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drawings/drawing5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4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trlProps/ctrlProp10.xml" ContentType="application/vnd.ms-excel.controlproperties+xml"/>
  <Override PartName="/xl/drawings/drawing11.xml" ContentType="application/vnd.openxmlformats-officedocument.drawing+xml"/>
  <Override PartName="/xl/comments5.xml" ContentType="application/vnd.openxmlformats-officedocument.spreadsheetml.comments+xml"/>
  <Override PartName="/xl/drawings/drawing12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comments6.xml" ContentType="application/vnd.openxmlformats-officedocument.spreadsheetml.comments+xml"/>
  <Override PartName="/xl/drawings/drawing13.xml" ContentType="application/vnd.openxmlformats-officedocument.drawing+xml"/>
  <Override PartName="/xl/comments7.xml" ContentType="application/vnd.openxmlformats-officedocument.spreadsheetml.comments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Z:\2025\CEMEI Santa Mariana\JULGAMENTO SESSÃO\"/>
    </mc:Choice>
  </mc:AlternateContent>
  <bookViews>
    <workbookView xWindow="0" yWindow="0" windowWidth="16815" windowHeight="7755" tabRatio="801" activeTab="4"/>
  </bookViews>
  <sheets>
    <sheet name="MENU" sheetId="15" r:id="rId1"/>
    <sheet name="DADOS" sheetId="2" r:id="rId2"/>
    <sheet name="NOVO" sheetId="3" r:id="rId3"/>
    <sheet name="BDI" sheetId="4" r:id="rId4"/>
    <sheet name="ORÇAMENTO" sheetId="5" r:id="rId5"/>
    <sheet name="CÁLCULO" sheetId="6" r:id="rId6"/>
    <sheet name="EVENTOS" sheetId="7" r:id="rId7"/>
    <sheet name="CRONO" sheetId="8" r:id="rId8"/>
    <sheet name="CRONOPLE" sheetId="9" r:id="rId9"/>
    <sheet name="PLE" sheetId="10" r:id="rId10"/>
    <sheet name="QCI" sheetId="11" r:id="rId11"/>
    <sheet name="BM" sheetId="12" r:id="rId12"/>
    <sheet name="RRE" sheetId="13" r:id="rId13"/>
    <sheet name="OFÍCIO" sheetId="14" r:id="rId14"/>
  </sheets>
  <definedNames>
    <definedName name="_xlnm._FilterDatabase" localSheetId="3" hidden="1">BDI!$I$11:$I$132</definedName>
    <definedName name="_xlnm._FilterDatabase" localSheetId="11" hidden="1">BM!$C$15:$C$747</definedName>
    <definedName name="_xlnm._FilterDatabase" localSheetId="5" hidden="1">CÁLCULO!$C$15:$C$747</definedName>
    <definedName name="_xlnm._FilterDatabase" localSheetId="7" hidden="1">CRONO!$F$13:$F$105</definedName>
    <definedName name="_xlnm._FilterDatabase" localSheetId="8" hidden="1">CRONOPLE!$A$13:$A$15</definedName>
    <definedName name="_xlnm._FilterDatabase" localSheetId="4" hidden="1">ORÇAMENTO!$L$15:$L$747</definedName>
    <definedName name="_xlnm._FilterDatabase" localSheetId="9" hidden="1">PLE!$A$13:$A$79</definedName>
    <definedName name="_xlnm._FilterDatabase" localSheetId="10" hidden="1">QCI!$C$13:$C$25</definedName>
    <definedName name="_xlnm._FilterDatabase" localSheetId="12" hidden="1">RRE!$D$13:$D$30</definedName>
    <definedName name="ACOMPANHAMENTO" hidden="1">IF(VALUE(MENU!$O$4)=2,"BM","PLE")</definedName>
    <definedName name="_xlnm.Print_Area" localSheetId="3">BDI!$J$1:$S$52</definedName>
    <definedName name="_xlnm.Print_Area" localSheetId="11">BM!$D$1:$O$762</definedName>
    <definedName name="_xlnm.Print_Area" localSheetId="5">CÁLCULO!$E$1:$R$755</definedName>
    <definedName name="_xlnm.Print_Area" localSheetId="7">CRONO!$H$1:$AE$105</definedName>
    <definedName name="_xlnm.Print_Area" localSheetId="0">MENU!$A$1:$I$25</definedName>
    <definedName name="_xlnm.Print_Area" localSheetId="13">OFÍCIO!$A$1:$G$56</definedName>
    <definedName name="_xlnm.Print_Area" localSheetId="4">ORÇAMENTO!$O$1:$Y$764</definedName>
    <definedName name="_xlnm.Print_Area" localSheetId="9">PLE!$B$3:$AG$80</definedName>
    <definedName name="_xlnm.Print_Area" localSheetId="10">QCI!$D$1:$O$37</definedName>
    <definedName name="_xlnm.Print_Area" localSheetId="12">RRE!$E$1:$P$49</definedName>
    <definedName name="AUTOEVENTO" hidden="1">CÁLCULO!$A$12</definedName>
    <definedName name="BDI.Filtro" hidden="1">BDI!$I$11:$I$132</definedName>
    <definedName name="BDI.Opcao" hidden="1">DADOS!$F$18</definedName>
    <definedName name="BDI.TipoObra" hidden="1">BDI!$A$138:$A$146</definedName>
    <definedName name="BM.AFAcumulado" hidden="1">BM!$R1</definedName>
    <definedName name="BM.AFAnterior" hidden="1">BM!$Q1</definedName>
    <definedName name="BM.CaixaColunas" hidden="1">BM!$Q:$Z</definedName>
    <definedName name="BM.Filtro" hidden="1">BM!$C$15:$C$747</definedName>
    <definedName name="BM.firstrow" hidden="1">BM!$15:$15</definedName>
    <definedName name="BM.FormulaMed" hidden="1">BM!$AO$7</definedName>
    <definedName name="BM.lastrow" hidden="1">BM!$747:$747</definedName>
    <definedName name="BM.LinhaPadrão" hidden="1">BM!$14:$14</definedName>
    <definedName name="BM.MaxMed" hidden="1">IF(RegimeExecucao="Global",1,BM!$G1)</definedName>
    <definedName name="BM.MCAIXA.Filter" hidden="1">BM!$C$15:$Z$747</definedName>
    <definedName name="BM.MEDAcumulado" hidden="1">IF(COUNTIF(BM!$AB$13:$AM$13,BM.medicao)&gt;0,SUM(OFFSET(BM!$AB1,0,0,1,MATCH(BM.medicao,BM!$AB$13:$AM$13,0))),0)</definedName>
    <definedName name="BM.MEDAnterior" hidden="1">IF(COUNTIF(BM!$AB$13:$AM$13,BM.medicao-1)&gt;0,SUM(OFFSET(BM!$AB1,0,0,1,MATCH(BM.medicao-1,BM!$AB$13:$AM$13,0))),0)</definedName>
    <definedName name="BM.medicao" hidden="1">OFFSET(BM!$O$7,1,0)</definedName>
    <definedName name="BM.MinMed" hidden="1">IF(RegimeExecucao="Global",-1,-BM!$G1)</definedName>
    <definedName name="BM.TomadorColunas" hidden="1">BM!$AB:$AN</definedName>
    <definedName name="Brasao" hidden="1">OFÍCIO!$B$1</definedName>
    <definedName name="CAIXA.Modo" hidden="1">BM!$A$3</definedName>
    <definedName name="CÁLCULO.AgrupEventos" hidden="1">CÁLCULO!$K1</definedName>
    <definedName name="CÁLCULO.ColunaPadrão" hidden="1">CÁLCULO!$O:$O</definedName>
    <definedName name="CÁLCULO.Filtro" hidden="1">CÁLCULO!$C$15:$C$747</definedName>
    <definedName name="CÁLCULO.firstcol" hidden="1">CÁLCULO!$P:$P</definedName>
    <definedName name="CÁLCULO.firstrow" hidden="1">CÁLCULO!$15:$15</definedName>
    <definedName name="CÁLCULO.Frenterow" hidden="1">CÁLCULO!$12:$12</definedName>
    <definedName name="CÁLCULO.lastcol" hidden="1">CÁLCULO!$AA:$AA</definedName>
    <definedName name="CÁLCULO.lastrow" hidden="1">CÁLCULO!$747:$747</definedName>
    <definedName name="CÁLCULO.LinhaPadrão" hidden="1">CÁLCULO!$14:$14</definedName>
    <definedName name="CÁLCULO.margemrow" hidden="1">CÁLCULO!$755:$755</definedName>
    <definedName name="CÁLCULO.MATRIZ1.ColunaPadrão" hidden="1">CÁLCULO!$AC:$AC</definedName>
    <definedName name="CÁLCULO.MATRIZ1.firstcol" hidden="1">CÁLCULO!$AA:$AA</definedName>
    <definedName name="CÁLCULO.MATRIZ1.lastcol" hidden="1">CÁLCULO!$AL:$AL</definedName>
    <definedName name="CÁLCULO.MATRIZ1.lastrow" hidden="1">CÁLCULO!$747:$747</definedName>
    <definedName name="CÁLCULO.MATRIZ2.ColunaPadrão" hidden="1">CÁLCULO!$AN:$AN</definedName>
    <definedName name="CÁLCULO.MATRIZ2.firstcol" hidden="1">CÁLCULO!$AL:$AL</definedName>
    <definedName name="CÁLCULO.MATRIZ2.lastcol" hidden="1">CÁLCULO!$AW:$AW</definedName>
    <definedName name="CÁLCULO.MATRIZ2.lastrow" hidden="1">CÁLCULO!$747:$747</definedName>
    <definedName name="CÁLCULO.MATRIZ3.ColunaPadrão" hidden="1">CÁLCULO!$AY:$AY</definedName>
    <definedName name="CÁLCULO.MATRIZ3.firstcol" hidden="1">CÁLCULO!$AW:$AW</definedName>
    <definedName name="CÁLCULO.MATRIZ3.lastcol" hidden="1">CÁLCULO!$BH:$BH</definedName>
    <definedName name="CÁLCULO.MATRIZ3.lastrow" hidden="1">CÁLCULO!$747:$747</definedName>
    <definedName name="CÁLCULO.NúmeroDeEventos" hidden="1">IF(AUTOEVENTO&lt;&gt;"manual",MAX(CÁLCULO!$M$15:$M$747),MAX(OFFSET(EVENTOS!$C$14:$C$65,1,0)))</definedName>
    <definedName name="CÁLCULO.NúmeroDeFrentes" hidden="1">COLUMN(CÁLCULO!$AA$15)-COLUMN(CÁLCULO!$Q$15)</definedName>
    <definedName name="CÁLCULO.TotalAdmLocal" hidden="1">IF(AUTOEVENTO="manual",SUMIF(CÁLCULO!$M$15:$M$747,1,ORÇAMENTO!$X$15:$X$747),0)</definedName>
    <definedName name="CRONO.ColunaPadrão" hidden="1">CRONO!$D:$D</definedName>
    <definedName name="CRONO.Filtro" hidden="1">CRONO!$F$13:$F$105</definedName>
    <definedName name="CRONO.FirstCol" hidden="1">CRONO!$S:$S</definedName>
    <definedName name="CRONO.firstrow" hidden="1">CRONO!$13:$13</definedName>
    <definedName name="CRONO.Frenterow" hidden="1">CRONO!$12:$12</definedName>
    <definedName name="CRONO.LastCol" hidden="1">CRONO!$AF:$AF</definedName>
    <definedName name="CRONO.lastrow" hidden="1">CRONO!$100:$100</definedName>
    <definedName name="CRONO.LinhaPadrão" hidden="1">CRONO!$1:$3</definedName>
    <definedName name="CRONO.LinhasNecessarias" hidden="1">COUNTIF(QCI!$B$13:$B$24,"Manual")+COUNTIF(QCI!$B$13:$B$24,"SemiAuto")+COUNT(ORÇAMENTO.ListaCrono)</definedName>
    <definedName name="CRONO.margemrow" hidden="1">CRONO!$105:$105</definedName>
    <definedName name="CRONO.MaxParc" hidden="1">CRONO!$G1048576+CRONO!A1</definedName>
    <definedName name="CRONO.NivelExibicao" hidden="1">CRONO!$G$10</definedName>
    <definedName name="CRONO.Parcela1" hidden="1">CRONO!$T$12:$T$13</definedName>
    <definedName name="CRONOPLE.ColunaPadrão" hidden="1">CRONOPLE!$E:$E</definedName>
    <definedName name="CRONOPLE.FirstCol" hidden="1">CRONOPLE!$F:$F</definedName>
    <definedName name="CRONOPLE.firstrow" hidden="1">CRONOPLE!$15:$15</definedName>
    <definedName name="CRONOPLE.Frenterow" hidden="1">CRONOPLE!$11:$11</definedName>
    <definedName name="CRONOPLE.LastCol" hidden="1">CRONOPLE!$AF:$AF</definedName>
    <definedName name="CRONOPLE.lastrow" hidden="1">CRONOPLE!$65:$65</definedName>
    <definedName name="CRONOPLE.LinhaPadrão" hidden="1">CRONOPLE!$1:$1</definedName>
    <definedName name="CRONOPLE.margemrow" hidden="1">CRONOPLE!$66:$66</definedName>
    <definedName name="CRONOPLE.ValorDoEvento" hidden="1">SUMIF(CÁLCULO!$M$15:$M$747,CRONOPLE!$B1,OFFSET(CÁLCULO!$AA$15:$AA$747,0,CRONOPLE!A$12))</definedName>
    <definedName name="DESONERACAO" hidden="1">IF(OR(Import.Desoneracao="DESONERADO",Import.Desoneracao="SIM"),"SIM","NÃO")</definedName>
    <definedName name="EVENTOS.firstrow" hidden="1">EVENTOS!$15:$15</definedName>
    <definedName name="EVENTOS.lastrow" hidden="1">EVENTOS!$65:$65</definedName>
    <definedName name="EVENTOS.LinhaPadrão" hidden="1">EVENTOS!$14:$14</definedName>
    <definedName name="EVENTOS.Lista" hidden="1">EVENTOS!$C$15:OFFSET(EVENTOS!$C$65,-1,0)</definedName>
    <definedName name="EVENTOS.ListaValidacao" hidden="1">EVENTOS!$B$15:OFFSET(EVENTOS!$B$65,-1,0)</definedName>
    <definedName name="Excel_BuiltIn_Database" hidden="1">TEXT(Import.DataBase,"mm-aaaa")</definedName>
    <definedName name="Import.Apelido" hidden="1">DADOS!$F$16</definedName>
    <definedName name="Import.BDI.Det1" hidden="1">BDI!$S$21:$S$26</definedName>
    <definedName name="Import.BDI.Det2" hidden="1">BDI!$S$61:$S$66</definedName>
    <definedName name="Import.BDI.Det3" hidden="1">BDI!$S$101:$S$106</definedName>
    <definedName name="Import.BDI.ISS" hidden="1">BDI!$R$10:$S$11</definedName>
    <definedName name="Import.BDI.Obs1" hidden="1">BDI!$J$43</definedName>
    <definedName name="Import.BDI.Obs2" hidden="1">BDI!$J$83</definedName>
    <definedName name="Import.BDI.Obs3" hidden="1">BDI!$J$123</definedName>
    <definedName name="Import.BDI.Tipo1" hidden="1">BDI!$J$17</definedName>
    <definedName name="Import.BDI.Tipo2" hidden="1">BDI!$J$57</definedName>
    <definedName name="Import.BDI.Tipo3" hidden="1">BDI!$J$97</definedName>
    <definedName name="Import.BM.Datas" hidden="1">BM!$AB$12:$AM$12</definedName>
    <definedName name="Import.BM.Obs" hidden="1">BM!$D$750</definedName>
    <definedName name="Import.BMAFAcumulado" hidden="1">OFFSET(BM!$R$15,1,0):OFFSET(BM!$R$747,-1,0)</definedName>
    <definedName name="Import.BMArred" hidden="1">BM!$A$9</definedName>
    <definedName name="Import.CNPJ" hidden="1">DADOS!$F$39</definedName>
    <definedName name="Import.Código" hidden="1">OFFSET(ORÇAMENTO!$Q$15,1,0):OFFSET(ORÇAMENTO!$Q$747,-1,0)</definedName>
    <definedName name="Import.Contrapartida" hidden="1">DADOS!$F$10</definedName>
    <definedName name="Import.CPMaxPerc" hidden="1">DADOS!$F$13</definedName>
    <definedName name="Import.CPMinAbsoluta" hidden="1">DADOS!$F$12</definedName>
    <definedName name="Import.CPMinPerc" hidden="1">DADOS!$F$11</definedName>
    <definedName name="Import.CR" hidden="1">DADOS!$F$7</definedName>
    <definedName name="Import.CRONOPLE" hidden="1">OFFSET(CRONOPLE!$F$15,1,1):OFFSET(CRONOPLE!$AF$65,-1,-1)</definedName>
    <definedName name="Import.CTEF" hidden="1">DADOS!$F$37</definedName>
    <definedName name="Import.CustoUnitário" hidden="1">OFFSET(ORÇAMENTO!$U$15,1,0):OFFSET(ORÇAMENTO!$U$747,-1,0)</definedName>
    <definedName name="Import.DataBase" hidden="1">OFFSET(DADOS!$G$19,0,-1)</definedName>
    <definedName name="Import.DataBaseLicit" hidden="1">OFFSET(DADOS!$G$41,0,-1)</definedName>
    <definedName name="Import.DataEmissaoLicit" hidden="1">DADOS!$F$36</definedName>
    <definedName name="Import.DataInicioObra" hidden="1">DADOS!$F$47</definedName>
    <definedName name="Import.DescLote" hidden="1">DADOS!$F$17</definedName>
    <definedName name="Import.Descrição" hidden="1">OFFSET(ORÇAMENTO!$R$15,1,0):OFFSET(ORÇAMENTO!$R$747,-1,0)</definedName>
    <definedName name="Import.Desoneracao" hidden="1">OFFSET(DADOS!$G$18,0,-1)</definedName>
    <definedName name="Import.empresa" hidden="1">DADOS!$F$38</definedName>
    <definedName name="Import.Eventos.Nível" hidden="1">EVENTOS!$C$6</definedName>
    <definedName name="Import.Eventos.Nomes" hidden="1">OFFSET(EVENTOS!$D$15,1,0):OFFSET(EVENTOS!$D$65,-1,0)</definedName>
    <definedName name="Import.Fonte" hidden="1">OFFSET(ORÇAMENTO!$P$15,1,0):OFFSET(ORÇAMENTO!$P$747,-1,0)</definedName>
    <definedName name="Import.FrenteDeObra" hidden="1">CÁLCULO!$Q$12:OFFSET(CÁLCULO!$AA$12,0,-1)</definedName>
    <definedName name="Import.Município" hidden="1">DADOS!$F$6</definedName>
    <definedName name="Import.Nível" hidden="1">OFFSET(ORÇAMENTO!$M$15,1,0):OFFSET(ORÇAMENTO!$M$747,-1,0)</definedName>
    <definedName name="Import.Ofício.Dest" hidden="1">OFÍCIO!$B$11</definedName>
    <definedName name="Import.Ofício.GIGOV" hidden="1">OFÍCIO!$C$11</definedName>
    <definedName name="Import.Ofício.Num" hidden="1">OFÍCIO!$C$6</definedName>
    <definedName name="Import.OpcaoBDI" hidden="1">OFFSET(ORÇAMENTO!$V$15,1,0):OFFSET(ORÇAMENTO!$V$747,-1,0)</definedName>
    <definedName name="Import.ORÇAMENTO.DivRecurso" hidden="1">OFFSET(ORÇAMENTO!$Y$15,1,0):OFFSET(ORÇAMENTO!$Y$747,-1,0)</definedName>
    <definedName name="Import.ORÇAMENTO.Obs" hidden="1">ORÇAMENTO!$O$753</definedName>
    <definedName name="Import.PLE" hidden="1">OFFSET(PLE!$G$15,1,1):OFFSET(PLE!$AG$65,-1,-1)</definedName>
    <definedName name="Import.PLE.Datas" hidden="1">PLE!$I$68:$AF$68</definedName>
    <definedName name="Import.PLQ" hidden="1">OFFSET(CÁLCULO!$P$15,1,1):OFFSET(CÁLCULO!$AA$747,-1,-1)</definedName>
    <definedName name="Import.PLQ.MemCalc" hidden="1">OFFSET(CÁLCULO!$I$15,1,0):OFFSET(CÁLCULO!$I$747,-1,0)</definedName>
    <definedName name="Import.POArred" hidden="1">ORÇAMENTO!$AF$7:$AF$11</definedName>
    <definedName name="IMport.Prefeito" hidden="1">DADOS!$F$28:$F$29</definedName>
    <definedName name="Import.Proponente" hidden="1">DADOS!$F$5</definedName>
    <definedName name="Import.QCI.Divisao" hidden="1">OFFSET(QCI!$V$13,1,0):OFFSET(QCI!$V$24,-1,0)</definedName>
    <definedName name="Import.QCI.ItemInv" hidden="1">OFFSET(QCI!$E$13,1,0):OFFSET(QCI!$E$24,-1,0)</definedName>
    <definedName name="Import.QCI.Obs" hidden="1">QCI!$D$28</definedName>
    <definedName name="Import.QCI.Qtde" hidden="1">OFFSET(QCI!$I$13,1,0):OFFSET(QCI!$I$24,-1,0)</definedName>
    <definedName name="Import.QCI.Situacao" hidden="1">OFFSET(QCI!$H$13,1,0):OFFSET(QCI!$H$24,-1,0)</definedName>
    <definedName name="Import.QCI.SubItemInv" hidden="1">OFFSET(QCI!$F$13,1,0):OFFSET(QCI!$F$24,-1,0)</definedName>
    <definedName name="Import.QCICP" hidden="1">OFFSET(QCI!$W$13,1,0):OFFSET(QCI!$W$24,-1,0)</definedName>
    <definedName name="Import.QCIDesc" hidden="1">OFFSET(QCI!$R$13,1,0):OFFSET(QCI!$R$24,-1,0)</definedName>
    <definedName name="Import.QCIInv" hidden="1">OFFSET(QCI!$U$13,1,0):OFFSET(QCI!$U$24,-1,0)</definedName>
    <definedName name="Import.QCILote" hidden="1">OFFSET(QCI!$T$13,1,0):OFFSET(QCI!$T$24,-1,0)</definedName>
    <definedName name="Import.QCIOutros" hidden="1">OFFSET(QCI!$X$13,1,0):OFFSET(QCI!$X$24,-1,0)</definedName>
    <definedName name="Import.Quantidade" hidden="1">OFFSET(ORÇAMENTO!$AJ$15,1,0):OFFSET(ORÇAMENTO!$AJ$747,-1,0)</definedName>
    <definedName name="import.recurso" hidden="1">DADOS!$F$4</definedName>
    <definedName name="Import.RegimeExecução" hidden="1">OFFSET(DADOS!$G$40,0,-1)</definedName>
    <definedName name="Import.Repasse" hidden="1">DADOS!$F$9</definedName>
    <definedName name="Import.RespFiscalização" hidden="1">DADOS!$F$51:$F$54</definedName>
    <definedName name="Import.RespOrçamento" hidden="1">DADOS!$F$22:$F$24</definedName>
    <definedName name="Import.RRE.Financeiro" hidden="1">RRE!$M$47:$O$49</definedName>
    <definedName name="Import.RRE.Obs" hidden="1">RRE!$E$31</definedName>
    <definedName name="Import.RRE.Social" hidden="1">RRE!$F$47:$G$49</definedName>
    <definedName name="Import.SICONV" hidden="1">DADOS!$F$8</definedName>
    <definedName name="Import.TipoArredondamento" hidden="1">DADOS!$F$31</definedName>
    <definedName name="Import.TransfereGOV" hidden="1">DADOS!$F$8</definedName>
    <definedName name="Import.Unidade" hidden="1">OFFSET(ORÇAMENTO!$S$15,1,0):OFFSET(ORÇAMENTO!$S$747,-1,0)</definedName>
    <definedName name="Import.UnitarioLicitado" hidden="1">OFFSET(ORÇAMENTO!$AL$15,1,0):OFFSET(ORÇAMENTO!$AL$747,-1,0)</definedName>
    <definedName name="MENU.Acompanhamento" hidden="1">MENU!$O$4</definedName>
    <definedName name="Menu.b.bdi" hidden="1">MENU!$C$10</definedName>
    <definedName name="Menu.b.bm" hidden="1">MENU!$G$22</definedName>
    <definedName name="Menu.b.branco" hidden="1">MENU!$G$12</definedName>
    <definedName name="Menu.b.cronolicit" hidden="1">MENU!$G$18</definedName>
    <definedName name="Menu.b.cronoprop" hidden="1">MENU!$E$12</definedName>
    <definedName name="Menu.b.dados" hidden="1">MENU!$E$6</definedName>
    <definedName name="Menu.b.novo" hidden="1">MENU!$G$6</definedName>
    <definedName name="Menu.b.oficio" hidden="1">MENU!$E$24</definedName>
    <definedName name="Menu.b.orçlicit" hidden="1">MENU!$C$18</definedName>
    <definedName name="Menu.b.orçprop" hidden="1">MENU!$E$10</definedName>
    <definedName name="Menu.b.PLE" hidden="1">MENU!$C$22</definedName>
    <definedName name="Menu.b.PLQ" hidden="1">MENU!$G$10</definedName>
    <definedName name="Menu.b.QCIlicit" hidden="1">MENU!$E$18</definedName>
    <definedName name="Menu.b.qciprop" hidden="1">MENU!$C$12</definedName>
    <definedName name="Menu.b.RRE" hidden="1">MENU!$E$22</definedName>
    <definedName name="MENU.CRONO" hidden="1">OFFSET(CRONO!$T$11,1,0)</definedName>
    <definedName name="MENU.CRONOPLE" hidden="1">CRONOPLE!$B$5</definedName>
    <definedName name="MENU.TipoOrçamento" hidden="1">MENU!$O$3</definedName>
    <definedName name="Menu.tit.acompanhamento" hidden="1">MENU!$B$20</definedName>
    <definedName name="Menu.tit.licitacao" hidden="1">MENU!$B$16</definedName>
    <definedName name="Menu.tit.proposta" hidden="1">MENU!$B$8</definedName>
    <definedName name="Objeto" hidden="1">MENU!$J$1</definedName>
    <definedName name="ORÇAMENTO.BancoRef" hidden="1">ORÇAMENTO!$F$8</definedName>
    <definedName name="ORÇAMENTO.CodBarra" hidden="1">IF(ORÇAMENTO.Fonte="Sinapi",SUBSTITUTE(SUBSTITUTE(ORÇAMENTO.Codigo,"/00","/"),"/0","/"),ORÇAMENTO.Codigo)</definedName>
    <definedName name="ORÇAMENTO.Codigo" hidden="1">ORÇAMENTO!$Q1</definedName>
    <definedName name="ORÇAMENTO.ColunaLicit" hidden="1">ORÇAMENTO!$AL$15</definedName>
    <definedName name="ORÇAMENTO.CopyFormat1" hidden="1">ORÇAMENTO!$P$14:$S$14</definedName>
    <definedName name="ORÇAMENTO.CopyFormat2" hidden="1">ORÇAMENTO!$U$14:$V$14</definedName>
    <definedName name="ORÇAMENTO.CustoUnitario" hidden="1">ROUND(ORÇAMENTO!$U1,15-13*ORÇAMENTO!$AF$8)</definedName>
    <definedName name="ORÇAMENTO.Descricao" hidden="1">ORÇAMENTO!$R1</definedName>
    <definedName name="ORÇAMENTO.Filtro" hidden="1">ORÇAMENTO!$L$15:$L$747</definedName>
    <definedName name="ORÇAMENTO.firstrow" hidden="1">ORÇAMENTO!$15:$15</definedName>
    <definedName name="ORÇAMENTO.Fonte" hidden="1">ORÇAMENTO!$P1</definedName>
    <definedName name="ORÇAMENTO.lastrow" hidden="1">ORÇAMENTO!$747:$747</definedName>
    <definedName name="ORÇAMENTO.LinhaPadrão" hidden="1">ORÇAMENTO!$14:$14</definedName>
    <definedName name="ORÇAMENTO.ListaCrono" hidden="1">OFFSET(ORÇAMENTO!$AD$15,1,0):OFFSET(ORÇAMENTO!$AD$747,-1,0)</definedName>
    <definedName name="ORÇAMENTO.MáximoListaCrono" hidden="1">MAX(ORÇAMENTO.ListaCrono)</definedName>
    <definedName name="ORÇAMENTO.Nivel" hidden="1">ORÇAMENTO!$M1</definedName>
    <definedName name="ORÇAMENTO.OpcaoBDI" hidden="1">ORÇAMENTO!$V1</definedName>
    <definedName name="ORÇAMENTO.PasteFormat1" hidden="1">OFFSET(ORÇAMENTO!$P$15,1,0):OFFSET(ORÇAMENTO!$S$747,-1,0)</definedName>
    <definedName name="ORÇAMENTO.PasteFormat2" hidden="1">OFFSET(ORÇAMENTO!$U$15,1,0):OFFSET(ORÇAMENTO!$V$747,-1,0)</definedName>
    <definedName name="ORÇAMENTO.PrecoUnitarioLicitado" hidden="1">ORÇAMENTO!$AL1</definedName>
    <definedName name="ORÇAMENTO.QuantBM" hidden="1">ORÇAMENTO!$AJ1</definedName>
    <definedName name="ORÇAMENTO.RangeQuant" hidden="1">OFFSET(ORÇAMENTO!$T$15,1,0):OFFSET(ORÇAMENTO!$T$747,-1,0)</definedName>
    <definedName name="ORÇAMENTO.SumCPMANUAL" hidden="1">SUMIF(ORÇAMENTO!$Z$15:$Z$747,"CP",ORÇAMENTO!$AA$15:$AA$747)</definedName>
    <definedName name="ORÇAMENTO.SumINVMANUAL" hidden="1">SUMIF(ORÇAMENTO!$Z$15:$Z$747,"RP",ORÇAMENTO!$X$15:$X$747)+SUMIF(ORÇAMENTO!$Z$15:$Z$747,"CP",ORÇAMENTO!$X$15:$X$747)+SUMIF(ORÇAMENTO!$Z$15:$Z$747,"OU",ORÇAMENTO!$X$15:$X$747)</definedName>
    <definedName name="ORÇAMENTO.SumOUTROSMANUAL" hidden="1">SUMIF(ORÇAMENTO!$Z$15:$Z$747,"OU",ORÇAMENTO!$AB$15:$AB$747)</definedName>
    <definedName name="ORÇAMENTO.SumREPASSEMANUAL" hidden="1">ORÇAMENTO.SumINVMANUAL-ORÇAMENTO.SumCPMANUAL-ORÇAMENTO.SumOUTROSMANUAL</definedName>
    <definedName name="ORÇAMENTO.Unidade" hidden="1">ORÇAMENTO!$S1</definedName>
    <definedName name="PLE.ColunaPadrão" hidden="1">PLE!$F:$F</definedName>
    <definedName name="PLE.Filtro" hidden="1">PLE!$A$13:$A$79</definedName>
    <definedName name="PLE.FirstCol" hidden="1">PLE!$G:$G</definedName>
    <definedName name="PLE.firstrow" hidden="1">PLE!$15:$15</definedName>
    <definedName name="PLE.FrenteRow" hidden="1">PLE!$11:$11</definedName>
    <definedName name="PLE.LastCol" hidden="1">PLE!$AG:$AG</definedName>
    <definedName name="PLE.lastrow" hidden="1">PLE!$65:$65</definedName>
    <definedName name="PLE.LinhaPadrão" hidden="1">PLE!$1:$1</definedName>
    <definedName name="PLE.margemrow" hidden="1">PLE!$80:$80</definedName>
    <definedName name="PLE.Medicao" hidden="1">PLE!$J$9</definedName>
    <definedName name="PLE.MEDIÇÕES.firstrow" hidden="1">PLE!$66:$66</definedName>
    <definedName name="PLE.MEDIÇÕES.lastrow" hidden="1">PLE!$74:$74</definedName>
    <definedName name="PLE.MEDIÇÕES.LinhaPadrão" hidden="1">PLE!$66:$73</definedName>
    <definedName name="PLE.ValorDoEvento" hidden="1">SUMIF(CÁLCULO!$M$15:$M$747,PLE!$B1,OFFSET(CÁLCULO!$AA$15:$AA$747,0,PLE!A$12))</definedName>
    <definedName name="PO.ValoresBDI" hidden="1">OFFSET(ORÇAMENTO!$AH$15,1,0):OFFSET(ORÇAMENTO!$AH$747,-1,0)</definedName>
    <definedName name="QCI.CPManual" hidden="1">ROUND(QCI!$W1,2)</definedName>
    <definedName name="QCI.DescManual" hidden="1">QCI!$R1</definedName>
    <definedName name="QCI.Divisao" hidden="1">QCI!$V1</definedName>
    <definedName name="QCI.ExisteManual" hidden="1">(COUNTIF(QCI!$B$13:$B$24,"Manual")+COUNTIF(QCI!$B$13:$B$24,"SemiAuto"))&gt;0</definedName>
    <definedName name="QCI.Filtro" hidden="1">QCI!$C$13:$C$25</definedName>
    <definedName name="QCI.firstrow" hidden="1">QCI!$13:$13</definedName>
    <definedName name="QCI.InvManual" hidden="1">ROUND(QCI!$U1,2)</definedName>
    <definedName name="QCI.ItemInvestimento" hidden="1">OFFSET(DADOS!$J$2,1,0,COUNTA(DADOS!$J:$J)-1,1)</definedName>
    <definedName name="QCI.lastrow" hidden="1">QCI!$24:$24</definedName>
    <definedName name="QCI.LinhaPadrão" hidden="1">QCI!$12:$12</definedName>
    <definedName name="QCI.LoteManual" hidden="1">QCI!$T1</definedName>
    <definedName name="QCI.MaxCPManual" hidden="1">QCI!$O1-QCI!$X1</definedName>
    <definedName name="QCI.MaxOUManual" hidden="1">QCI!$O1-QCI!$W1</definedName>
    <definedName name="QCI.OutrosManual" hidden="1">ROUND(QCI!$X1,2)</definedName>
    <definedName name="QCI.RepasseManual" hidden="1">QCI!$U1</definedName>
    <definedName name="QCI.SubItemInvestimento" hidden="1">OFFSET(DADOS!$A$2,1,MATCH(QCI!$E1,DADOS!$2:$2,0)-1,INDEX(DADOS!$2:$2,MATCH(QCI!$E1,DADOS!$2:$2,0)+1))</definedName>
    <definedName name="QCI.SumCPMANUAL" hidden="1">SUMIF(QCI!$B$13:$B$24,"Manual",QCI!$AA$13:$AA$24)</definedName>
    <definedName name="QCI.SumINVMANUAL" hidden="1">SUMIF(QCI!$B$13:$B$24,"Manual",QCI!$O$13:$O$24)</definedName>
    <definedName name="QCI.SumOUTROSMANUAL" hidden="1">SUMIF(QCI!$B$13:$B$24,"Manual",QCI!$AB$13:$AB$24)</definedName>
    <definedName name="QCI.SumREPASSEMANUAL" hidden="1">QCI.SumINVMANUAL-QCI.CPManual-QCI.OutrosManual</definedName>
    <definedName name="QCI.TotalCP" hidden="1">QCI!$M$24</definedName>
    <definedName name="REFERENCIA.Descricao" hidden="1">IF(ISNUMBER(ORÇAMENTO!$AF1),OFFSET(INDIRECT(ORÇAMENTO.BancoRef),ORÇAMENTO!$AF1-1,3,1),ORÇAMENTO!$AF1)</definedName>
    <definedName name="REFERENCIA.Desonerado" hidden="1">IF(ISNUMBER(ORÇAMENTO!$AF1),VALUE(OFFSET(INDIRECT(ORÇAMENTO.BancoRef),ORÇAMENTO!$AF1-1,5,1)),0)</definedName>
    <definedName name="REFERENCIA.NaoDesonerado" hidden="1">IF(ISNUMBER(ORÇAMENTO!$AF1),VALUE(OFFSET(INDIRECT(ORÇAMENTO.BancoRef),ORÇAMENTO!$AF1-1,6,1)),0)</definedName>
    <definedName name="REFERENCIA.Unidade" hidden="1">IF(ISNUMBER(ORÇAMENTO!$AF1),OFFSET(INDIRECT(ORÇAMENTO.BancoRef),ORÇAMENTO!$AF1-1,4,1),"-")</definedName>
    <definedName name="RegimeExecucao" hidden="1">IF(OR(Import.RegimeExecução="",Import.RegimeExecução="Empreitada por Preço Global",Import.RegimeExecução="Empreitada Integral"),"Global","Unitário")</definedName>
    <definedName name="RRE.CPDiferente" hidden="1">RRE!$Y$26:$Z$27</definedName>
    <definedName name="RRE.Filtro" hidden="1">RRE!$D$13:$D$28</definedName>
    <definedName name="RRE.firstrow" hidden="1">RRE!$13:$13</definedName>
    <definedName name="RRE.lastrow" hidden="1">RRE!$24:$24</definedName>
    <definedName name="RRE.LinhaPadrão" hidden="1">RRE!$12:$12</definedName>
    <definedName name="RRE.MaxCPAcum" hidden="1">RRE!$AD$26</definedName>
    <definedName name="RRE.MaxCPAnt" hidden="1">RRE!$AC$26</definedName>
    <definedName name="RRE.MaxOUAcum" hidden="1">RRE!$AD$27</definedName>
    <definedName name="RRE.MaxOUAnt" hidden="1">RRE!$AC$27</definedName>
    <definedName name="RRE.Numero" hidden="1">OFFSET(RRE!$O$7,0,1)</definedName>
    <definedName name="RRE.VIMeta" hidden="1">RRE!$L1</definedName>
    <definedName name="SENHAGT" hidden="1">"PM3CAIXA"</definedName>
    <definedName name="SomaAgrup" hidden="1">SUMIF(OFFSET(ORÇAMENTO!$C1,1,0,ORÇAMENTO!$D1),"S",OFFSET(ORÇAMENTO!A1,1,0,ORÇAMENTO!$D1))</definedName>
    <definedName name="SomaAgrupBM" hidden="1">SUMIF(OFFSET(BM!$A1,1,0,BM!$B1),"S",OFFSET(BM!A1,1,0,BM!$B1))</definedName>
    <definedName name="TIPOORCAMENTO" hidden="1">IF(VALUE(MENU!$O$3)=2,"Licitado","Proposto")</definedName>
    <definedName name="_xlnm.Print_Titles" localSheetId="3">BDI!$1:$13</definedName>
    <definedName name="_xlnm.Print_Titles" localSheetId="11">BM!$1:$15</definedName>
    <definedName name="_xlnm.Print_Titles" localSheetId="5">CÁLCULO!$E:$H,CÁLCULO!$1:$15</definedName>
    <definedName name="_xlnm.Print_Titles" localSheetId="7">CRONO!$H:$S,CRONO!$1:$13</definedName>
    <definedName name="_xlnm.Print_Titles" localSheetId="4">ORÇAMENTO!$1:$15</definedName>
    <definedName name="_xlnm.Print_Titles" localSheetId="9">PLE!$B:$E,PLE!$1:$13</definedName>
    <definedName name="_xlnm.Print_Titles" localSheetId="10">QCI!$1:$13</definedName>
    <definedName name="_xlnm.Print_Titles" localSheetId="12">RRE!$1:$13</definedName>
    <definedName name="Versao" hidden="1">MENU!$J$2</definedName>
    <definedName name="VTOTAL1" hidden="1">ROUND(ORÇAMENTO!$T1*ORÇAMENTO!$W1,15-13*ORÇAMENTO!$AF$11)</definedName>
    <definedName name="VTOTALBM" hidden="1">IF(BM!$I1=0,0,CHOOSE(MATCH(RegimeExecucao,{"Global","Unitário"},0),ROUND(ROUND(BM!XFB1,15-13*BM!$A$9)/100*BM!$I1,15-13*ORÇAMENTO!$AF$11),ROUND(ROUND(BM!XFB1,15-13*BM!$A$9)*ROUND(BM!$H1,15-13*ORÇAMENTO!$AF$10),15-13*ORÇAMENTO!$AF$11)))</definedName>
    <definedName name="VTOTALMED" hidden="1">BM!$P$14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746" i="5" l="1"/>
  <c r="A728" i="5"/>
  <c r="A727" i="5"/>
  <c r="A726" i="5"/>
  <c r="A725" i="5"/>
  <c r="A724" i="5"/>
  <c r="A723" i="5"/>
  <c r="A717" i="5"/>
  <c r="A716" i="5"/>
  <c r="A715" i="5"/>
  <c r="A699" i="5"/>
  <c r="A669" i="5"/>
  <c r="A668" i="5"/>
  <c r="A667" i="5"/>
  <c r="A666" i="5"/>
  <c r="A665" i="5"/>
  <c r="A664" i="5"/>
  <c r="A663" i="5"/>
  <c r="A662" i="5"/>
  <c r="A661" i="5"/>
  <c r="A681" i="5"/>
  <c r="A680" i="5"/>
  <c r="A679" i="5"/>
  <c r="A678" i="5"/>
  <c r="A677" i="5"/>
  <c r="A676" i="5"/>
  <c r="A675" i="5"/>
  <c r="A674" i="5"/>
  <c r="A673" i="5"/>
  <c r="A672" i="5"/>
  <c r="A671" i="5"/>
  <c r="A670" i="5"/>
  <c r="A660" i="5"/>
  <c r="A659" i="5"/>
  <c r="A658" i="5"/>
  <c r="A657" i="5"/>
  <c r="A656" i="5"/>
  <c r="A655" i="5"/>
  <c r="A654" i="5"/>
  <c r="A653" i="5"/>
  <c r="A448" i="5"/>
  <c r="A378" i="5"/>
  <c r="A377" i="5"/>
  <c r="A376" i="5"/>
  <c r="A375" i="5"/>
  <c r="A374" i="5"/>
  <c r="A373" i="5"/>
  <c r="A372" i="5"/>
  <c r="A371" i="5"/>
  <c r="A370" i="5"/>
  <c r="A369" i="5"/>
  <c r="A339" i="5"/>
  <c r="A338" i="5"/>
  <c r="A337" i="5"/>
  <c r="A314" i="5"/>
  <c r="A305" i="5"/>
  <c r="A250" i="5"/>
  <c r="A239" i="5"/>
  <c r="A238" i="5"/>
  <c r="A237" i="5"/>
  <c r="A236" i="5"/>
  <c r="A226" i="5"/>
  <c r="A212" i="5"/>
  <c r="A211" i="5"/>
  <c r="A210" i="5"/>
  <c r="A209" i="5"/>
  <c r="A208" i="5"/>
  <c r="A207" i="5"/>
  <c r="A118" i="5"/>
  <c r="A117" i="5"/>
  <c r="A116" i="5"/>
  <c r="A115" i="5"/>
  <c r="A114" i="5"/>
  <c r="A104" i="5"/>
  <c r="A103" i="5"/>
  <c r="A102" i="5"/>
  <c r="A99" i="5"/>
  <c r="A98" i="5"/>
  <c r="A97" i="5"/>
  <c r="A96" i="5"/>
  <c r="A95" i="5"/>
  <c r="A85" i="5" l="1"/>
  <c r="A87" i="5"/>
  <c r="A66" i="5"/>
  <c r="A65" i="5"/>
  <c r="A64" i="5"/>
  <c r="A63" i="5"/>
  <c r="A62" i="5"/>
  <c r="A74" i="5"/>
  <c r="A73" i="5"/>
  <c r="A72" i="5"/>
  <c r="A71" i="5"/>
  <c r="A70" i="5"/>
  <c r="A69" i="5"/>
  <c r="A68" i="5"/>
  <c r="A67" i="5"/>
  <c r="A58" i="5"/>
  <c r="A47" i="5"/>
  <c r="A39" i="5"/>
  <c r="A722" i="5"/>
  <c r="A721" i="5"/>
  <c r="A720" i="5"/>
  <c r="A619" i="5"/>
  <c r="A618" i="5"/>
  <c r="A617" i="5"/>
  <c r="A616" i="5"/>
  <c r="A615" i="5"/>
  <c r="A614" i="5"/>
  <c r="A613" i="5"/>
  <c r="A612" i="5"/>
  <c r="A611" i="5"/>
  <c r="A610" i="5"/>
  <c r="A609" i="5"/>
  <c r="A608" i="5"/>
  <c r="A638" i="5"/>
  <c r="A637" i="5"/>
  <c r="A636" i="5"/>
  <c r="A635" i="5"/>
  <c r="A634" i="5"/>
  <c r="A633" i="5"/>
  <c r="A632" i="5"/>
  <c r="A631" i="5"/>
  <c r="A630" i="5"/>
  <c r="A629" i="5"/>
  <c r="A628" i="5"/>
  <c r="A627" i="5"/>
  <c r="A626" i="5"/>
  <c r="A625" i="5"/>
  <c r="A624" i="5"/>
  <c r="A623" i="5"/>
  <c r="A622" i="5"/>
  <c r="A621" i="5"/>
  <c r="A620" i="5"/>
  <c r="A652" i="5"/>
  <c r="A651" i="5"/>
  <c r="A650" i="5"/>
  <c r="A649" i="5"/>
  <c r="A648" i="5"/>
  <c r="A647" i="5"/>
  <c r="A646" i="5"/>
  <c r="A645" i="5"/>
  <c r="A644" i="5"/>
  <c r="A643" i="5"/>
  <c r="A642" i="5"/>
  <c r="A641" i="5"/>
  <c r="A640" i="5"/>
  <c r="A639" i="5"/>
  <c r="A698" i="5"/>
  <c r="A697" i="5"/>
  <c r="A696" i="5"/>
  <c r="A695" i="5"/>
  <c r="A694" i="5"/>
  <c r="A693" i="5"/>
  <c r="A692" i="5"/>
  <c r="A691" i="5"/>
  <c r="A690" i="5"/>
  <c r="A689" i="5"/>
  <c r="A688" i="5"/>
  <c r="A687" i="5"/>
  <c r="A686" i="5"/>
  <c r="A685" i="5"/>
  <c r="A684" i="5"/>
  <c r="A683" i="5"/>
  <c r="A682" i="5"/>
  <c r="A719" i="5"/>
  <c r="A718" i="5"/>
  <c r="A714" i="5"/>
  <c r="A713" i="5"/>
  <c r="A712" i="5"/>
  <c r="A711" i="5"/>
  <c r="A710" i="5"/>
  <c r="A709" i="5"/>
  <c r="A708" i="5"/>
  <c r="A707" i="5"/>
  <c r="A706" i="5"/>
  <c r="A705" i="5"/>
  <c r="A704" i="5"/>
  <c r="A703" i="5"/>
  <c r="A702" i="5"/>
  <c r="A701" i="5"/>
  <c r="A700" i="5"/>
  <c r="A607" i="5"/>
  <c r="A606" i="5"/>
  <c r="A605" i="5"/>
  <c r="A604" i="5"/>
  <c r="A603" i="5"/>
  <c r="A602" i="5"/>
  <c r="A601" i="5"/>
  <c r="A600" i="5"/>
  <c r="A599" i="5"/>
  <c r="A598" i="5"/>
  <c r="A597" i="5"/>
  <c r="A596" i="5"/>
  <c r="A595" i="5"/>
  <c r="A594" i="5"/>
  <c r="A742" i="5"/>
  <c r="A741" i="5"/>
  <c r="A740" i="5"/>
  <c r="A739" i="5"/>
  <c r="A738" i="5"/>
  <c r="A737" i="5"/>
  <c r="A736" i="5"/>
  <c r="A735" i="5"/>
  <c r="A734" i="5"/>
  <c r="A733" i="5"/>
  <c r="A732" i="5"/>
  <c r="A731" i="5"/>
  <c r="A730" i="5"/>
  <c r="A729" i="5"/>
  <c r="A593" i="5"/>
  <c r="A592" i="5"/>
  <c r="A591" i="5"/>
  <c r="A590" i="5"/>
  <c r="A573" i="5"/>
  <c r="A572" i="5"/>
  <c r="A571" i="5"/>
  <c r="A570" i="5"/>
  <c r="A569" i="5"/>
  <c r="A568" i="5"/>
  <c r="A567" i="5"/>
  <c r="A566" i="5"/>
  <c r="A565" i="5"/>
  <c r="A564" i="5"/>
  <c r="A563" i="5"/>
  <c r="A562" i="5"/>
  <c r="A561" i="5"/>
  <c r="A560" i="5"/>
  <c r="A559" i="5"/>
  <c r="A558" i="5"/>
  <c r="A557" i="5"/>
  <c r="A556" i="5"/>
  <c r="A555" i="5"/>
  <c r="A588" i="5"/>
  <c r="A587" i="5"/>
  <c r="A586" i="5"/>
  <c r="A585" i="5"/>
  <c r="A584" i="5"/>
  <c r="A583" i="5"/>
  <c r="A582" i="5"/>
  <c r="A581" i="5"/>
  <c r="A580" i="5"/>
  <c r="A579" i="5"/>
  <c r="A578" i="5"/>
  <c r="A577" i="5"/>
  <c r="A576" i="5"/>
  <c r="A575" i="5"/>
  <c r="A574" i="5"/>
  <c r="A554" i="5"/>
  <c r="A542" i="5"/>
  <c r="A541" i="5"/>
  <c r="A540" i="5"/>
  <c r="A539" i="5"/>
  <c r="A538" i="5"/>
  <c r="A537" i="5"/>
  <c r="A536" i="5"/>
  <c r="A535" i="5"/>
  <c r="A534" i="5"/>
  <c r="A533" i="5"/>
  <c r="A532" i="5"/>
  <c r="A531" i="5"/>
  <c r="A530" i="5"/>
  <c r="A529" i="5"/>
  <c r="A528" i="5"/>
  <c r="A527" i="5"/>
  <c r="A526" i="5"/>
  <c r="A525" i="5"/>
  <c r="A524" i="5"/>
  <c r="A745" i="5"/>
  <c r="A744" i="5"/>
  <c r="A743" i="5"/>
  <c r="A589" i="5"/>
  <c r="A553" i="5"/>
  <c r="A552" i="5"/>
  <c r="A551" i="5"/>
  <c r="A550" i="5"/>
  <c r="A549" i="5"/>
  <c r="A548" i="5"/>
  <c r="A547" i="5"/>
  <c r="A546" i="5"/>
  <c r="A545" i="5"/>
  <c r="A544" i="5"/>
  <c r="A543" i="5"/>
  <c r="A523" i="5"/>
  <c r="A438" i="5" l="1"/>
  <c r="A437" i="5"/>
  <c r="A436" i="5"/>
  <c r="A435" i="5"/>
  <c r="A434" i="5"/>
  <c r="A433" i="5"/>
  <c r="A432" i="5"/>
  <c r="A431" i="5"/>
  <c r="A430" i="5"/>
  <c r="A429" i="5"/>
  <c r="A428" i="5"/>
  <c r="A427" i="5"/>
  <c r="A426" i="5"/>
  <c r="A458" i="5"/>
  <c r="A457" i="5"/>
  <c r="A456" i="5"/>
  <c r="A455" i="5"/>
  <c r="A454" i="5"/>
  <c r="A453" i="5"/>
  <c r="A452" i="5"/>
  <c r="A451" i="5"/>
  <c r="A450" i="5"/>
  <c r="A449" i="5"/>
  <c r="A447" i="5"/>
  <c r="A446" i="5"/>
  <c r="A445" i="5"/>
  <c r="A444" i="5"/>
  <c r="A443" i="5"/>
  <c r="A442" i="5"/>
  <c r="A441" i="5"/>
  <c r="A440" i="5"/>
  <c r="A439" i="5"/>
  <c r="A477" i="5"/>
  <c r="A476" i="5"/>
  <c r="A475" i="5"/>
  <c r="A474" i="5"/>
  <c r="A473" i="5"/>
  <c r="A472" i="5"/>
  <c r="A471" i="5"/>
  <c r="A470" i="5"/>
  <c r="A469" i="5"/>
  <c r="A468" i="5"/>
  <c r="A467" i="5"/>
  <c r="A466" i="5"/>
  <c r="A465" i="5"/>
  <c r="A464" i="5"/>
  <c r="A463" i="5"/>
  <c r="A462" i="5"/>
  <c r="A461" i="5"/>
  <c r="A460" i="5"/>
  <c r="A459" i="5"/>
  <c r="A494" i="5"/>
  <c r="A493" i="5"/>
  <c r="A492" i="5"/>
  <c r="A491" i="5"/>
  <c r="A490" i="5"/>
  <c r="A489" i="5"/>
  <c r="A488" i="5"/>
  <c r="A487" i="5"/>
  <c r="A486" i="5"/>
  <c r="A485" i="5"/>
  <c r="A484" i="5"/>
  <c r="A483" i="5"/>
  <c r="A482" i="5"/>
  <c r="A481" i="5"/>
  <c r="A480" i="5"/>
  <c r="A479" i="5"/>
  <c r="A478" i="5"/>
  <c r="A511" i="5"/>
  <c r="A510" i="5"/>
  <c r="A509" i="5"/>
  <c r="A508" i="5"/>
  <c r="A507" i="5"/>
  <c r="A506" i="5"/>
  <c r="A505" i="5"/>
  <c r="A504" i="5"/>
  <c r="A503" i="5"/>
  <c r="A502" i="5"/>
  <c r="A501" i="5"/>
  <c r="A500" i="5"/>
  <c r="A499" i="5"/>
  <c r="A498" i="5"/>
  <c r="A497" i="5"/>
  <c r="A496" i="5"/>
  <c r="A495" i="5"/>
  <c r="A390" i="5"/>
  <c r="A389" i="5"/>
  <c r="A388" i="5"/>
  <c r="A387" i="5"/>
  <c r="A386" i="5"/>
  <c r="A385" i="5"/>
  <c r="A384" i="5"/>
  <c r="A383" i="5"/>
  <c r="A382" i="5"/>
  <c r="A381" i="5"/>
  <c r="A380" i="5"/>
  <c r="A379" i="5"/>
  <c r="A368" i="5"/>
  <c r="A367" i="5"/>
  <c r="A409" i="5"/>
  <c r="A408" i="5"/>
  <c r="A407" i="5"/>
  <c r="A406" i="5"/>
  <c r="A405" i="5"/>
  <c r="A404" i="5"/>
  <c r="A403" i="5"/>
  <c r="A402" i="5"/>
  <c r="A401" i="5"/>
  <c r="A400" i="5"/>
  <c r="A399" i="5"/>
  <c r="A398" i="5"/>
  <c r="A397" i="5"/>
  <c r="A396" i="5"/>
  <c r="A395" i="5"/>
  <c r="A394" i="5"/>
  <c r="A393" i="5"/>
  <c r="A392" i="5"/>
  <c r="A391" i="5"/>
  <c r="A366" i="5"/>
  <c r="A425" i="5"/>
  <c r="A424" i="5"/>
  <c r="A423" i="5"/>
  <c r="A422" i="5"/>
  <c r="A421" i="5"/>
  <c r="A420" i="5"/>
  <c r="A419" i="5"/>
  <c r="A418" i="5"/>
  <c r="A417" i="5"/>
  <c r="A416" i="5"/>
  <c r="A415" i="5"/>
  <c r="A414" i="5"/>
  <c r="A413" i="5"/>
  <c r="A412" i="5"/>
  <c r="A411" i="5"/>
  <c r="A410" i="5"/>
  <c r="A365" i="5"/>
  <c r="A360" i="5"/>
  <c r="A359" i="5"/>
  <c r="A358" i="5"/>
  <c r="A357" i="5"/>
  <c r="A356" i="5"/>
  <c r="A355" i="5"/>
  <c r="A354" i="5"/>
  <c r="A353" i="5"/>
  <c r="A352" i="5"/>
  <c r="A351" i="5"/>
  <c r="A350" i="5"/>
  <c r="A349" i="5"/>
  <c r="A348" i="5"/>
  <c r="A347" i="5"/>
  <c r="A346" i="5"/>
  <c r="A345" i="5"/>
  <c r="A344" i="5"/>
  <c r="A343" i="5"/>
  <c r="A342" i="5"/>
  <c r="A341" i="5"/>
  <c r="A333" i="5"/>
  <c r="A332" i="5"/>
  <c r="A331" i="5"/>
  <c r="A330" i="5"/>
  <c r="A329" i="5"/>
  <c r="A328" i="5"/>
  <c r="A327" i="5"/>
  <c r="A326" i="5"/>
  <c r="A325" i="5"/>
  <c r="A324" i="5"/>
  <c r="A323" i="5"/>
  <c r="A322" i="5"/>
  <c r="A321" i="5"/>
  <c r="A320" i="5"/>
  <c r="A319" i="5"/>
  <c r="A318" i="5"/>
  <c r="A317" i="5"/>
  <c r="A522" i="5"/>
  <c r="A521" i="5"/>
  <c r="A520" i="5"/>
  <c r="A519" i="5"/>
  <c r="A518" i="5"/>
  <c r="A517" i="5"/>
  <c r="A516" i="5"/>
  <c r="A515" i="5"/>
  <c r="A514" i="5"/>
  <c r="A513" i="5"/>
  <c r="A512" i="5"/>
  <c r="A364" i="5"/>
  <c r="A363" i="5"/>
  <c r="A362" i="5"/>
  <c r="A361" i="5"/>
  <c r="A340" i="5"/>
  <c r="A336" i="5"/>
  <c r="A335" i="5"/>
  <c r="A334" i="5"/>
  <c r="A289" i="5"/>
  <c r="A288" i="5"/>
  <c r="A287" i="5"/>
  <c r="A286" i="5"/>
  <c r="A285" i="5"/>
  <c r="A284" i="5"/>
  <c r="A283" i="5"/>
  <c r="A282" i="5"/>
  <c r="A281" i="5"/>
  <c r="A280" i="5"/>
  <c r="A279" i="5"/>
  <c r="A278" i="5"/>
  <c r="A277" i="5"/>
  <c r="A276" i="5"/>
  <c r="A275" i="5"/>
  <c r="A274" i="5"/>
  <c r="A273" i="5"/>
  <c r="A272" i="5"/>
  <c r="A271" i="5"/>
  <c r="A270" i="5"/>
  <c r="A313" i="5"/>
  <c r="A312" i="5"/>
  <c r="A311" i="5"/>
  <c r="A310" i="5"/>
  <c r="A309" i="5"/>
  <c r="A308" i="5"/>
  <c r="A307" i="5"/>
  <c r="A306" i="5"/>
  <c r="A304" i="5"/>
  <c r="A303" i="5"/>
  <c r="A302" i="5"/>
  <c r="A301" i="5"/>
  <c r="A300" i="5"/>
  <c r="A299" i="5"/>
  <c r="A298" i="5"/>
  <c r="A297" i="5"/>
  <c r="A296" i="5"/>
  <c r="A295" i="5"/>
  <c r="A294" i="5"/>
  <c r="A293" i="5"/>
  <c r="H23" i="13"/>
  <c r="G23" i="13"/>
  <c r="H22" i="13"/>
  <c r="G22" i="13"/>
  <c r="E22" i="13"/>
  <c r="H21" i="13"/>
  <c r="G21" i="13"/>
  <c r="H20" i="13"/>
  <c r="G20" i="13"/>
  <c r="H19" i="13"/>
  <c r="G19" i="13"/>
  <c r="H18" i="13"/>
  <c r="G18" i="13"/>
  <c r="H17" i="13"/>
  <c r="G17" i="13"/>
  <c r="H16" i="13"/>
  <c r="G16" i="13"/>
  <c r="H15" i="13"/>
  <c r="G15" i="13"/>
  <c r="H14" i="13"/>
  <c r="G14" i="13"/>
  <c r="J23" i="11"/>
  <c r="I23" i="13" s="1"/>
  <c r="D23" i="11"/>
  <c r="E23" i="13" s="1"/>
  <c r="J22" i="11"/>
  <c r="I22" i="13" s="1"/>
  <c r="D22" i="11"/>
  <c r="A22" i="11" s="1"/>
  <c r="J21" i="11"/>
  <c r="I21" i="13" s="1"/>
  <c r="D21" i="11"/>
  <c r="A21" i="11" s="1"/>
  <c r="J20" i="11"/>
  <c r="I20" i="13" s="1"/>
  <c r="D20" i="11"/>
  <c r="E20" i="13" s="1"/>
  <c r="J19" i="11"/>
  <c r="I19" i="13" s="1"/>
  <c r="D19" i="11"/>
  <c r="E19" i="13" s="1"/>
  <c r="A19" i="11"/>
  <c r="J18" i="11"/>
  <c r="I18" i="13" s="1"/>
  <c r="D18" i="11"/>
  <c r="E18" i="13" s="1"/>
  <c r="J17" i="11"/>
  <c r="I17" i="13" s="1"/>
  <c r="D17" i="11"/>
  <c r="E17" i="13" s="1"/>
  <c r="J16" i="11"/>
  <c r="I16" i="13" s="1"/>
  <c r="D16" i="11"/>
  <c r="A16" i="11" s="1"/>
  <c r="J15" i="11"/>
  <c r="I15" i="13" s="1"/>
  <c r="D15" i="11"/>
  <c r="A15" i="11" s="1"/>
  <c r="D14" i="11"/>
  <c r="E14" i="13" s="1"/>
  <c r="A14" i="8"/>
  <c r="A17" i="8" s="1"/>
  <c r="A20" i="8" s="1"/>
  <c r="B16" i="10"/>
  <c r="B17" i="10" s="1"/>
  <c r="B18" i="10" s="1"/>
  <c r="B16" i="9"/>
  <c r="B17" i="9" s="1"/>
  <c r="B18" i="9" s="1"/>
  <c r="B19" i="9" s="1"/>
  <c r="B20" i="9" s="1"/>
  <c r="C16" i="7"/>
  <c r="B16" i="7" s="1"/>
  <c r="A316" i="5"/>
  <c r="A315" i="5"/>
  <c r="A292" i="5"/>
  <c r="A291" i="5"/>
  <c r="A290" i="5"/>
  <c r="A269" i="5"/>
  <c r="A268" i="5"/>
  <c r="A267" i="5"/>
  <c r="A266" i="5"/>
  <c r="A265" i="5"/>
  <c r="A264" i="5"/>
  <c r="A263" i="5"/>
  <c r="A262" i="5"/>
  <c r="A261" i="5"/>
  <c r="A260" i="5"/>
  <c r="A259" i="5"/>
  <c r="A258" i="5"/>
  <c r="A257" i="5"/>
  <c r="A256" i="5"/>
  <c r="A255" i="5"/>
  <c r="A254" i="5"/>
  <c r="A253" i="5"/>
  <c r="A252" i="5"/>
  <c r="A251" i="5"/>
  <c r="A249" i="5"/>
  <c r="A248" i="5"/>
  <c r="A247" i="5"/>
  <c r="A246" i="5"/>
  <c r="A245" i="5"/>
  <c r="A244" i="5"/>
  <c r="A243" i="5"/>
  <c r="A242" i="5"/>
  <c r="A241" i="5"/>
  <c r="A240" i="5"/>
  <c r="A235" i="5"/>
  <c r="A234" i="5"/>
  <c r="A233" i="5"/>
  <c r="A232" i="5"/>
  <c r="A231" i="5"/>
  <c r="A230" i="5"/>
  <c r="A229" i="5"/>
  <c r="A228" i="5"/>
  <c r="A227" i="5"/>
  <c r="A225" i="5"/>
  <c r="A224" i="5"/>
  <c r="A223" i="5"/>
  <c r="A222" i="5"/>
  <c r="A221" i="5"/>
  <c r="A220" i="5"/>
  <c r="A219" i="5"/>
  <c r="A218" i="5"/>
  <c r="A217" i="5"/>
  <c r="A216" i="5"/>
  <c r="A215" i="5"/>
  <c r="A214" i="5"/>
  <c r="A213" i="5"/>
  <c r="A206" i="5"/>
  <c r="A205" i="5"/>
  <c r="A204" i="5"/>
  <c r="A203" i="5"/>
  <c r="A202" i="5"/>
  <c r="A201" i="5"/>
  <c r="A200" i="5"/>
  <c r="A199" i="5"/>
  <c r="A198" i="5"/>
  <c r="A197" i="5"/>
  <c r="A196" i="5"/>
  <c r="A195" i="5"/>
  <c r="A194" i="5"/>
  <c r="A193" i="5"/>
  <c r="A192" i="5"/>
  <c r="A191" i="5"/>
  <c r="A190" i="5"/>
  <c r="A189" i="5"/>
  <c r="A188" i="5"/>
  <c r="A187" i="5"/>
  <c r="A186" i="5"/>
  <c r="A185" i="5"/>
  <c r="A184" i="5"/>
  <c r="A183" i="5"/>
  <c r="A182" i="5"/>
  <c r="A181" i="5"/>
  <c r="A180" i="5"/>
  <c r="A179" i="5"/>
  <c r="A178" i="5"/>
  <c r="A177" i="5"/>
  <c r="A176" i="5"/>
  <c r="A175" i="5"/>
  <c r="A174" i="5"/>
  <c r="A173" i="5"/>
  <c r="A172" i="5"/>
  <c r="A171" i="5"/>
  <c r="A170" i="5"/>
  <c r="A169" i="5"/>
  <c r="A168" i="5"/>
  <c r="A167" i="5"/>
  <c r="A166" i="5"/>
  <c r="A165" i="5"/>
  <c r="A164" i="5"/>
  <c r="A163" i="5"/>
  <c r="A162" i="5"/>
  <c r="A161" i="5"/>
  <c r="A160" i="5"/>
  <c r="A159" i="5"/>
  <c r="A158" i="5"/>
  <c r="A157" i="5"/>
  <c r="A156" i="5"/>
  <c r="A155" i="5"/>
  <c r="A154" i="5"/>
  <c r="A153" i="5"/>
  <c r="A152" i="5"/>
  <c r="A151" i="5"/>
  <c r="A150" i="5"/>
  <c r="A149" i="5"/>
  <c r="A148" i="5"/>
  <c r="A147" i="5"/>
  <c r="A146" i="5"/>
  <c r="A145" i="5"/>
  <c r="A144" i="5"/>
  <c r="A143" i="5"/>
  <c r="A142" i="5"/>
  <c r="A141" i="5"/>
  <c r="A140" i="5"/>
  <c r="A139" i="5"/>
  <c r="A138" i="5"/>
  <c r="A137" i="5"/>
  <c r="A136" i="5"/>
  <c r="A135" i="5"/>
  <c r="A134" i="5"/>
  <c r="A133" i="5"/>
  <c r="A132" i="5"/>
  <c r="A131" i="5"/>
  <c r="A130" i="5"/>
  <c r="A129" i="5"/>
  <c r="A128" i="5"/>
  <c r="A127" i="5"/>
  <c r="A126" i="5"/>
  <c r="A125" i="5"/>
  <c r="A124" i="5"/>
  <c r="A123" i="5"/>
  <c r="A122" i="5"/>
  <c r="A121" i="5"/>
  <c r="A120" i="5"/>
  <c r="A119" i="5"/>
  <c r="A113" i="5"/>
  <c r="A112" i="5"/>
  <c r="A111" i="5"/>
  <c r="A110" i="5"/>
  <c r="A109" i="5"/>
  <c r="A108" i="5"/>
  <c r="A107" i="5"/>
  <c r="A106" i="5"/>
  <c r="A105" i="5"/>
  <c r="A101" i="5"/>
  <c r="A100" i="5"/>
  <c r="A94" i="5"/>
  <c r="A93" i="5"/>
  <c r="A92" i="5"/>
  <c r="A91" i="5"/>
  <c r="A90" i="5"/>
  <c r="A89" i="5"/>
  <c r="A88" i="5"/>
  <c r="A86" i="5"/>
  <c r="A84" i="5"/>
  <c r="A83" i="5"/>
  <c r="A82" i="5"/>
  <c r="A81" i="5"/>
  <c r="A80" i="5"/>
  <c r="A79" i="5"/>
  <c r="A78" i="5"/>
  <c r="A77" i="5"/>
  <c r="A76" i="5"/>
  <c r="A75" i="5"/>
  <c r="A61" i="5"/>
  <c r="A60" i="5"/>
  <c r="A59" i="5"/>
  <c r="A57" i="5"/>
  <c r="A56" i="5"/>
  <c r="A55" i="5"/>
  <c r="A54" i="5"/>
  <c r="A53" i="5"/>
  <c r="A52" i="5"/>
  <c r="A51" i="5"/>
  <c r="A50" i="5"/>
  <c r="A49" i="5"/>
  <c r="A48" i="5"/>
  <c r="A46" i="5"/>
  <c r="A45" i="5"/>
  <c r="A44" i="5"/>
  <c r="A43" i="5"/>
  <c r="A42" i="5"/>
  <c r="A41" i="5"/>
  <c r="A40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C16" i="5"/>
  <c r="N16" i="5" s="1"/>
  <c r="A16" i="5"/>
  <c r="P7" i="13"/>
  <c r="E28" i="14" s="1"/>
  <c r="C15" i="14"/>
  <c r="L4" i="13"/>
  <c r="I5" i="12"/>
  <c r="F4" i="11"/>
  <c r="D7" i="10"/>
  <c r="J8" i="8"/>
  <c r="L5" i="4"/>
  <c r="C14" i="15"/>
  <c r="C52" i="3"/>
  <c r="G5" i="6" a="1"/>
  <c r="G5" i="6" s="1"/>
  <c r="Q5" i="5" a="1"/>
  <c r="Q5" i="5" s="1"/>
  <c r="F9" i="5"/>
  <c r="F8" i="5"/>
  <c r="F25" i="2"/>
  <c r="P85" i="4" s="1"/>
  <c r="C51" i="3"/>
  <c r="C47" i="3"/>
  <c r="C43" i="3"/>
  <c r="C41" i="3"/>
  <c r="C39" i="3"/>
  <c r="S108" i="4"/>
  <c r="S68" i="4"/>
  <c r="S28" i="4"/>
  <c r="E2" i="15"/>
  <c r="C34" i="3"/>
  <c r="C32" i="3"/>
  <c r="Q13" i="6"/>
  <c r="R13" i="6" s="1"/>
  <c r="S13" i="6" s="1"/>
  <c r="T13" i="6" s="1"/>
  <c r="U13" i="6" s="1"/>
  <c r="V13" i="6" s="1"/>
  <c r="W13" i="6" s="1"/>
  <c r="X13" i="6" s="1"/>
  <c r="Y13" i="6" s="1"/>
  <c r="Z13" i="6" s="1"/>
  <c r="A12" i="6"/>
  <c r="AX13" i="6"/>
  <c r="AY13" i="6" s="1"/>
  <c r="AZ13" i="6" s="1"/>
  <c r="AB13" i="6"/>
  <c r="AB12" i="6" s="1"/>
  <c r="AM13" i="6"/>
  <c r="AM12" i="6" s="1"/>
  <c r="H12" i="10"/>
  <c r="H11" i="10" s="1"/>
  <c r="S27" i="4"/>
  <c r="S29" i="4" s="1"/>
  <c r="BG15" i="6"/>
  <c r="BF15" i="6"/>
  <c r="BE15" i="6"/>
  <c r="BD15" i="6"/>
  <c r="BC15" i="6"/>
  <c r="BB15" i="6"/>
  <c r="BA15" i="6"/>
  <c r="AZ15" i="6"/>
  <c r="AY15" i="6"/>
  <c r="AX15" i="6"/>
  <c r="I69" i="10"/>
  <c r="N9" i="10" s="1"/>
  <c r="G12" i="9"/>
  <c r="G11" i="9" s="1"/>
  <c r="C20" i="3"/>
  <c r="C22" i="3"/>
  <c r="C24" i="3"/>
  <c r="C26" i="3"/>
  <c r="C28" i="3"/>
  <c r="C19" i="3"/>
  <c r="C15" i="3"/>
  <c r="C14" i="3"/>
  <c r="C12" i="3"/>
  <c r="I36" i="11"/>
  <c r="I35" i="11"/>
  <c r="Z103" i="8" a="1"/>
  <c r="T753" i="6" a="1"/>
  <c r="T755" i="6" s="1"/>
  <c r="I753" i="6" a="1"/>
  <c r="I754" i="6" s="1"/>
  <c r="AB13" i="12"/>
  <c r="AC13" i="12" s="1"/>
  <c r="AD13" i="12" s="1"/>
  <c r="AE13" i="12" s="1"/>
  <c r="AF13" i="12" s="1"/>
  <c r="AG13" i="12" s="1"/>
  <c r="AH13" i="12" s="1"/>
  <c r="AI13" i="12" s="1"/>
  <c r="AJ13" i="12" s="1"/>
  <c r="AK13" i="12" s="1"/>
  <c r="AL13" i="12" s="1"/>
  <c r="AM13" i="12" s="1"/>
  <c r="C2" i="4"/>
  <c r="Z7" i="11"/>
  <c r="U12" i="8"/>
  <c r="V12" i="8" s="1"/>
  <c r="W12" i="8" s="1"/>
  <c r="X12" i="8" s="1"/>
  <c r="Y12" i="8" s="1"/>
  <c r="Z12" i="8" s="1"/>
  <c r="AA12" i="8" s="1"/>
  <c r="AB12" i="8" s="1"/>
  <c r="AC12" i="8" s="1"/>
  <c r="AD12" i="8" s="1"/>
  <c r="AE12" i="8" s="1"/>
  <c r="D12" i="8"/>
  <c r="C11" i="10"/>
  <c r="A14" i="5"/>
  <c r="C14" i="5" s="1"/>
  <c r="B14" i="6" s="1"/>
  <c r="AV15" i="6"/>
  <c r="AU15" i="6"/>
  <c r="AT15" i="6"/>
  <c r="AS15" i="6"/>
  <c r="AR15" i="6"/>
  <c r="AQ15" i="6"/>
  <c r="AP15" i="6"/>
  <c r="AO15" i="6"/>
  <c r="AN15" i="6"/>
  <c r="AM15" i="6"/>
  <c r="D12" i="11"/>
  <c r="A12" i="11" s="1"/>
  <c r="L39" i="13"/>
  <c r="F48" i="2"/>
  <c r="S107" i="4"/>
  <c r="S109" i="4" s="1"/>
  <c r="I95" i="4" s="1"/>
  <c r="S67" i="4"/>
  <c r="S69" i="4" s="1"/>
  <c r="I92" i="4" s="1"/>
  <c r="C8" i="4"/>
  <c r="C9" i="4"/>
  <c r="C10" i="4"/>
  <c r="C11" i="4"/>
  <c r="C12" i="4"/>
  <c r="C13" i="4"/>
  <c r="L46" i="13"/>
  <c r="A1" i="8"/>
  <c r="C10" i="15"/>
  <c r="G22" i="15"/>
  <c r="C22" i="15"/>
  <c r="E24" i="15"/>
  <c r="E22" i="15"/>
  <c r="G18" i="15"/>
  <c r="E18" i="15"/>
  <c r="C18" i="15"/>
  <c r="C12" i="15"/>
  <c r="E12" i="15"/>
  <c r="G10" i="15"/>
  <c r="E10" i="15"/>
  <c r="B20" i="15"/>
  <c r="B16" i="15"/>
  <c r="B8" i="15"/>
  <c r="Q8" i="5"/>
  <c r="O1" i="4"/>
  <c r="A3" i="4"/>
  <c r="C3" i="4" s="1"/>
  <c r="J5" i="4"/>
  <c r="N5" i="4"/>
  <c r="J8" i="4"/>
  <c r="C14" i="4"/>
  <c r="A15" i="4"/>
  <c r="C15" i="4" s="1"/>
  <c r="A16" i="4"/>
  <c r="C20" i="4"/>
  <c r="A21" i="4"/>
  <c r="A22" i="4" s="1"/>
  <c r="A23" i="4" s="1"/>
  <c r="A24" i="4" s="1"/>
  <c r="A25" i="4" s="1"/>
  <c r="C25" i="4" s="1"/>
  <c r="J21" i="4"/>
  <c r="R21" i="4"/>
  <c r="J22" i="4"/>
  <c r="R22" i="4"/>
  <c r="J23" i="4"/>
  <c r="R23" i="4"/>
  <c r="J24" i="4"/>
  <c r="R24" i="4"/>
  <c r="J25" i="4"/>
  <c r="R25" i="4"/>
  <c r="C26" i="4"/>
  <c r="A27" i="4"/>
  <c r="C32" i="4"/>
  <c r="A33" i="4"/>
  <c r="A34" i="4" s="1"/>
  <c r="A35" i="4" s="1"/>
  <c r="N35" i="4"/>
  <c r="C38" i="4"/>
  <c r="C39" i="4"/>
  <c r="C40" i="4"/>
  <c r="C41" i="4"/>
  <c r="C42" i="4"/>
  <c r="C43" i="4"/>
  <c r="C44" i="4"/>
  <c r="J38" i="4"/>
  <c r="A45" i="4"/>
  <c r="J40" i="4"/>
  <c r="J45" i="4"/>
  <c r="K50" i="4" a="1"/>
  <c r="K52" i="4" s="1"/>
  <c r="J61" i="4"/>
  <c r="R61" i="4"/>
  <c r="J62" i="4"/>
  <c r="R62" i="4"/>
  <c r="J63" i="4"/>
  <c r="R63" i="4"/>
  <c r="J64" i="4"/>
  <c r="R64" i="4"/>
  <c r="J65" i="4"/>
  <c r="R65" i="4"/>
  <c r="N75" i="4"/>
  <c r="J78" i="4"/>
  <c r="J80" i="4"/>
  <c r="J85" i="4"/>
  <c r="K90" i="4" a="1"/>
  <c r="K92" i="4" s="1"/>
  <c r="J101" i="4"/>
  <c r="R101" i="4"/>
  <c r="J102" i="4"/>
  <c r="R102" i="4"/>
  <c r="J103" i="4"/>
  <c r="R103" i="4"/>
  <c r="J104" i="4"/>
  <c r="R104" i="4"/>
  <c r="J105" i="4"/>
  <c r="R105" i="4"/>
  <c r="N115" i="4"/>
  <c r="J118" i="4"/>
  <c r="J120" i="4"/>
  <c r="J125" i="4"/>
  <c r="K130" i="4" a="1"/>
  <c r="K131" i="4" s="1"/>
  <c r="E2" i="12"/>
  <c r="E1" i="12"/>
  <c r="D5" i="12"/>
  <c r="F5" i="12"/>
  <c r="J5" i="12"/>
  <c r="O5" i="12"/>
  <c r="A7" i="12"/>
  <c r="I7" i="12"/>
  <c r="D8" i="12"/>
  <c r="E8" i="12"/>
  <c r="F8" i="12"/>
  <c r="I8" i="12"/>
  <c r="E10" i="12"/>
  <c r="J12" i="12"/>
  <c r="Q12" i="12"/>
  <c r="V13" i="12"/>
  <c r="W13" i="12"/>
  <c r="X13" i="12"/>
  <c r="D15" i="12"/>
  <c r="AB15" i="12"/>
  <c r="D756" i="12"/>
  <c r="E757" i="12"/>
  <c r="K759" i="12" a="1"/>
  <c r="K761" i="12" s="1"/>
  <c r="F1" i="6"/>
  <c r="F2" i="6"/>
  <c r="E5" i="6"/>
  <c r="I5" i="6"/>
  <c r="K5" i="6"/>
  <c r="S5" i="6"/>
  <c r="U5" i="6"/>
  <c r="O13" i="6"/>
  <c r="O15" i="6" s="1"/>
  <c r="B15" i="6"/>
  <c r="C15" i="6"/>
  <c r="D15" i="6"/>
  <c r="E15" i="6"/>
  <c r="B747" i="6"/>
  <c r="C747" i="6"/>
  <c r="F751" i="6"/>
  <c r="R4" i="8"/>
  <c r="R5" i="8"/>
  <c r="Y7" i="8"/>
  <c r="AE7" i="8"/>
  <c r="H8" i="8"/>
  <c r="K8" i="8"/>
  <c r="T8" i="8"/>
  <c r="Y8" i="8"/>
  <c r="AE8" i="8"/>
  <c r="D13" i="8"/>
  <c r="U13" i="8"/>
  <c r="V13" i="8" s="1"/>
  <c r="W13" i="8" s="1"/>
  <c r="X13" i="8" s="1"/>
  <c r="Y13" i="8" s="1"/>
  <c r="Z13" i="8" s="1"/>
  <c r="AA13" i="8" s="1"/>
  <c r="AB13" i="8" s="1"/>
  <c r="AC13" i="8" s="1"/>
  <c r="AD13" i="8" s="1"/>
  <c r="AE13" i="8" s="1"/>
  <c r="S91" i="8"/>
  <c r="S96" i="8"/>
  <c r="H101" i="8"/>
  <c r="B1" i="9"/>
  <c r="E12" i="9"/>
  <c r="E11" i="9" s="1"/>
  <c r="L2" i="2"/>
  <c r="J14" i="11" s="1"/>
  <c r="I14" i="13" s="1"/>
  <c r="N2" i="2"/>
  <c r="P2" i="2"/>
  <c r="R2" i="2"/>
  <c r="T2" i="2"/>
  <c r="V2" i="2"/>
  <c r="X2" i="2"/>
  <c r="Z2" i="2"/>
  <c r="AB2" i="2"/>
  <c r="AD2" i="2"/>
  <c r="AF2" i="2"/>
  <c r="AH2" i="2"/>
  <c r="AJ2" i="2"/>
  <c r="AL2" i="2"/>
  <c r="AN2" i="2"/>
  <c r="AP2" i="2"/>
  <c r="AR2" i="2"/>
  <c r="E9" i="2"/>
  <c r="C9" i="7"/>
  <c r="C14" i="7"/>
  <c r="B14" i="7" s="1"/>
  <c r="B15" i="7"/>
  <c r="C8" i="3"/>
  <c r="C9" i="3"/>
  <c r="C18" i="14"/>
  <c r="C19" i="14"/>
  <c r="B22" i="14"/>
  <c r="B24" i="14"/>
  <c r="B30" i="14"/>
  <c r="B54" i="14"/>
  <c r="B55" i="14"/>
  <c r="R2" i="5"/>
  <c r="O5" i="5"/>
  <c r="R5" i="5"/>
  <c r="S5" i="5"/>
  <c r="O757" i="5"/>
  <c r="R7" i="5"/>
  <c r="S7" i="5"/>
  <c r="V7" i="5"/>
  <c r="W7" i="5"/>
  <c r="X7" i="5"/>
  <c r="R8" i="5"/>
  <c r="S8" i="5"/>
  <c r="U13" i="5"/>
  <c r="V13" i="5"/>
  <c r="AH13" i="5"/>
  <c r="M15" i="5"/>
  <c r="N15" i="5"/>
  <c r="O15" i="5"/>
  <c r="O760" i="5"/>
  <c r="T762" i="5" a="1"/>
  <c r="T762" i="5" s="1"/>
  <c r="B1" i="10"/>
  <c r="H4" i="10"/>
  <c r="V6" i="10"/>
  <c r="AE6" i="10"/>
  <c r="B7" i="10"/>
  <c r="H7" i="10"/>
  <c r="O7" i="10"/>
  <c r="V7" i="10"/>
  <c r="AE7" i="10"/>
  <c r="F12" i="10"/>
  <c r="F11" i="10" s="1"/>
  <c r="B75" i="10"/>
  <c r="W77" i="10" a="1"/>
  <c r="W78" i="10" s="1"/>
  <c r="D4" i="11"/>
  <c r="G4" i="11"/>
  <c r="J4" i="11"/>
  <c r="M6" i="11"/>
  <c r="D7" i="11"/>
  <c r="L7" i="11"/>
  <c r="M7" i="11"/>
  <c r="N7" i="11"/>
  <c r="J12" i="11"/>
  <c r="I12" i="13" s="1"/>
  <c r="L13" i="11"/>
  <c r="L9" i="11" s="1"/>
  <c r="D33" i="11"/>
  <c r="F1" i="13"/>
  <c r="E4" i="13"/>
  <c r="I4" i="13"/>
  <c r="P4" i="13"/>
  <c r="M6" i="13"/>
  <c r="E7" i="13"/>
  <c r="I7" i="13"/>
  <c r="M7" i="13"/>
  <c r="N7" i="13"/>
  <c r="M11" i="13"/>
  <c r="Y11" i="13"/>
  <c r="G12" i="13"/>
  <c r="H12" i="13"/>
  <c r="J25" i="13"/>
  <c r="AC2" i="13" s="1"/>
  <c r="E35" i="13"/>
  <c r="E39" i="13"/>
  <c r="F40" i="13"/>
  <c r="M40" i="13"/>
  <c r="E41" i="13"/>
  <c r="F41" i="13"/>
  <c r="L41" i="13"/>
  <c r="M41" i="13"/>
  <c r="M42" i="13"/>
  <c r="L43" i="13"/>
  <c r="M43" i="13"/>
  <c r="E46" i="13"/>
  <c r="E48" i="13"/>
  <c r="L48" i="13"/>
  <c r="E49" i="13"/>
  <c r="L49" i="13"/>
  <c r="D754" i="12"/>
  <c r="K50" i="4"/>
  <c r="I15" i="12"/>
  <c r="O15" i="12"/>
  <c r="M15" i="12"/>
  <c r="J15" i="12" s="1"/>
  <c r="K130" i="4"/>
  <c r="C33" i="4"/>
  <c r="W80" i="10"/>
  <c r="K69" i="10"/>
  <c r="M69" i="10" s="1"/>
  <c r="O69" i="10" s="1"/>
  <c r="Q69" i="10" s="1"/>
  <c r="S69" i="10" s="1"/>
  <c r="U69" i="10" s="1"/>
  <c r="W69" i="10" s="1"/>
  <c r="Y69" i="10" s="1"/>
  <c r="AA69" i="10" s="1"/>
  <c r="AC69" i="10" s="1"/>
  <c r="AE69" i="10" s="1"/>
  <c r="C45" i="4"/>
  <c r="A46" i="4"/>
  <c r="A47" i="4" s="1"/>
  <c r="A48" i="4" s="1"/>
  <c r="C48" i="4" s="1"/>
  <c r="A28" i="4"/>
  <c r="A29" i="4" s="1"/>
  <c r="C29" i="4" s="1"/>
  <c r="C27" i="4"/>
  <c r="C34" i="4"/>
  <c r="A17" i="4"/>
  <c r="A18" i="4" s="1"/>
  <c r="C16" i="4"/>
  <c r="E12" i="13"/>
  <c r="A49" i="4"/>
  <c r="C49" i="4" s="1"/>
  <c r="O8" i="5"/>
  <c r="A20" i="11" l="1"/>
  <c r="A18" i="11"/>
  <c r="O7" i="11"/>
  <c r="F63" i="7"/>
  <c r="A23" i="11"/>
  <c r="A19" i="4"/>
  <c r="C19" i="4" s="1"/>
  <c r="C18" i="4"/>
  <c r="C47" i="4"/>
  <c r="C23" i="4"/>
  <c r="A14" i="11"/>
  <c r="A30" i="4"/>
  <c r="A31" i="4" s="1"/>
  <c r="C31" i="4" s="1"/>
  <c r="C46" i="4"/>
  <c r="E16" i="13"/>
  <c r="C28" i="4"/>
  <c r="K762" i="12"/>
  <c r="C21" i="4"/>
  <c r="C22" i="4"/>
  <c r="C17" i="4"/>
  <c r="K132" i="4"/>
  <c r="E15" i="13"/>
  <c r="A17" i="11"/>
  <c r="E21" i="13"/>
  <c r="B39" i="14"/>
  <c r="A23" i="8"/>
  <c r="F23" i="7"/>
  <c r="F17" i="7"/>
  <c r="F16" i="7"/>
  <c r="F18" i="7"/>
  <c r="F30" i="7"/>
  <c r="F36" i="7"/>
  <c r="F38" i="7"/>
  <c r="B16" i="5"/>
  <c r="F43" i="7"/>
  <c r="F49" i="7"/>
  <c r="F50" i="7"/>
  <c r="F29" i="7"/>
  <c r="F56" i="7"/>
  <c r="F58" i="7"/>
  <c r="B19" i="10"/>
  <c r="B21" i="9"/>
  <c r="C17" i="7"/>
  <c r="F37" i="7"/>
  <c r="F57" i="7"/>
  <c r="F24" i="7"/>
  <c r="F44" i="7"/>
  <c r="F64" i="7"/>
  <c r="F31" i="7"/>
  <c r="F51" i="7"/>
  <c r="F45" i="7"/>
  <c r="F19" i="7"/>
  <c r="F39" i="7"/>
  <c r="F59" i="7"/>
  <c r="F25" i="7"/>
  <c r="F26" i="7"/>
  <c r="F46" i="7"/>
  <c r="F32" i="7"/>
  <c r="F52" i="7"/>
  <c r="F33" i="7"/>
  <c r="F53" i="7"/>
  <c r="F40" i="7"/>
  <c r="F27" i="7"/>
  <c r="F47" i="7"/>
  <c r="F20" i="7"/>
  <c r="F34" i="7"/>
  <c r="F54" i="7"/>
  <c r="F60" i="7"/>
  <c r="F21" i="7"/>
  <c r="F41" i="7"/>
  <c r="F61" i="7"/>
  <c r="F28" i="7"/>
  <c r="F48" i="7"/>
  <c r="F35" i="7"/>
  <c r="F55" i="7"/>
  <c r="F22" i="7"/>
  <c r="F42" i="7"/>
  <c r="F62" i="7"/>
  <c r="W79" i="10"/>
  <c r="I16" i="5"/>
  <c r="E16" i="12"/>
  <c r="W16" i="5"/>
  <c r="H16" i="12" s="1"/>
  <c r="AE16" i="5"/>
  <c r="F16" i="5"/>
  <c r="C17" i="5"/>
  <c r="R17" i="5" s="1"/>
  <c r="G16" i="5"/>
  <c r="H16" i="5"/>
  <c r="K759" i="12"/>
  <c r="D16" i="6"/>
  <c r="A16" i="12"/>
  <c r="B16" i="6"/>
  <c r="A16" i="6" s="1"/>
  <c r="T764" i="5"/>
  <c r="B37" i="14"/>
  <c r="C14" i="14"/>
  <c r="O7" i="13"/>
  <c r="T754" i="6"/>
  <c r="P125" i="4"/>
  <c r="H104" i="8"/>
  <c r="I755" i="6"/>
  <c r="I753" i="6"/>
  <c r="AX12" i="6"/>
  <c r="AC13" i="6"/>
  <c r="AN13" i="6"/>
  <c r="B14" i="5"/>
  <c r="F14" i="5"/>
  <c r="I80" i="4"/>
  <c r="G15" i="9"/>
  <c r="M15" i="6"/>
  <c r="L35" i="13"/>
  <c r="F14" i="7"/>
  <c r="F15" i="7"/>
  <c r="A15" i="10" s="1"/>
  <c r="H15" i="10"/>
  <c r="N15" i="12"/>
  <c r="I86" i="4"/>
  <c r="I88" i="4"/>
  <c r="I83" i="4"/>
  <c r="S110" i="4"/>
  <c r="H5" i="5" s="1"/>
  <c r="X8" i="5" s="1"/>
  <c r="I55" i="4"/>
  <c r="I69" i="4"/>
  <c r="I12" i="10"/>
  <c r="H12" i="9"/>
  <c r="I12" i="9" s="1"/>
  <c r="I70" i="4"/>
  <c r="I63" i="4"/>
  <c r="I82" i="4"/>
  <c r="I56" i="4"/>
  <c r="I58" i="4"/>
  <c r="I67" i="4"/>
  <c r="L15" i="12"/>
  <c r="K15" i="12" s="1"/>
  <c r="I72" i="4"/>
  <c r="I60" i="4"/>
  <c r="I78" i="4"/>
  <c r="I71" i="4"/>
  <c r="I66" i="4"/>
  <c r="I116" i="4"/>
  <c r="I79" i="4"/>
  <c r="I130" i="4"/>
  <c r="I76" i="4"/>
  <c r="I122" i="4"/>
  <c r="N10" i="12"/>
  <c r="I104" i="4"/>
  <c r="I119" i="4"/>
  <c r="S30" i="4"/>
  <c r="F5" i="5" s="1"/>
  <c r="AH746" i="5" s="1"/>
  <c r="A36" i="4"/>
  <c r="C35" i="4"/>
  <c r="C30" i="4"/>
  <c r="AZ12" i="6"/>
  <c r="BA13" i="6"/>
  <c r="I112" i="4"/>
  <c r="I117" i="4"/>
  <c r="I126" i="4"/>
  <c r="I121" i="4"/>
  <c r="I96" i="4"/>
  <c r="I109" i="4"/>
  <c r="I105" i="4"/>
  <c r="I115" i="4"/>
  <c r="I98" i="4"/>
  <c r="I125" i="4"/>
  <c r="I113" i="4"/>
  <c r="I111" i="4"/>
  <c r="I101" i="4"/>
  <c r="I132" i="4"/>
  <c r="I108" i="4"/>
  <c r="I103" i="4"/>
  <c r="I129" i="4"/>
  <c r="I100" i="4"/>
  <c r="I127" i="4"/>
  <c r="I124" i="4"/>
  <c r="I107" i="4"/>
  <c r="I106" i="4"/>
  <c r="I94" i="4"/>
  <c r="I118" i="4"/>
  <c r="I131" i="4"/>
  <c r="I128" i="4"/>
  <c r="I114" i="4"/>
  <c r="I102" i="4"/>
  <c r="I120" i="4"/>
  <c r="I97" i="4"/>
  <c r="I123" i="4"/>
  <c r="C24" i="4"/>
  <c r="I110" i="4"/>
  <c r="I99" i="4"/>
  <c r="Z104" i="8"/>
  <c r="Z105" i="8"/>
  <c r="Z103" i="8"/>
  <c r="P45" i="4"/>
  <c r="K14" i="5"/>
  <c r="J14" i="5"/>
  <c r="H14" i="5"/>
  <c r="A14" i="12"/>
  <c r="D14" i="5"/>
  <c r="B14" i="12" s="1"/>
  <c r="AD14" i="5"/>
  <c r="E14" i="5"/>
  <c r="G14" i="5"/>
  <c r="AE14" i="5"/>
  <c r="N14" i="5"/>
  <c r="I62" i="4"/>
  <c r="I74" i="4"/>
  <c r="I68" i="4"/>
  <c r="I61" i="4"/>
  <c r="I64" i="4"/>
  <c r="I87" i="4"/>
  <c r="I89" i="4"/>
  <c r="I57" i="4"/>
  <c r="I73" i="4"/>
  <c r="I93" i="4"/>
  <c r="I85" i="4"/>
  <c r="I84" i="4"/>
  <c r="I77" i="4"/>
  <c r="I65" i="4"/>
  <c r="I54" i="4"/>
  <c r="I59" i="4"/>
  <c r="I90" i="4"/>
  <c r="I81" i="4"/>
  <c r="I75" i="4"/>
  <c r="I91" i="4"/>
  <c r="E760" i="12"/>
  <c r="B78" i="10"/>
  <c r="F754" i="6"/>
  <c r="O763" i="5"/>
  <c r="D36" i="11"/>
  <c r="M8" i="12"/>
  <c r="AO7" i="12"/>
  <c r="AY12" i="6"/>
  <c r="W77" i="10"/>
  <c r="A4" i="4"/>
  <c r="K51" i="4"/>
  <c r="K760" i="12"/>
  <c r="S70" i="4"/>
  <c r="G5" i="5" s="1"/>
  <c r="W8" i="5" s="1"/>
  <c r="K91" i="4"/>
  <c r="T753" i="6"/>
  <c r="K90" i="4"/>
  <c r="T763" i="5"/>
  <c r="AH725" i="5" l="1"/>
  <c r="AH726" i="5"/>
  <c r="AH728" i="5"/>
  <c r="AH727" i="5"/>
  <c r="AH723" i="5"/>
  <c r="AH724" i="5"/>
  <c r="AH699" i="5"/>
  <c r="AH715" i="5"/>
  <c r="AH716" i="5"/>
  <c r="AH717" i="5"/>
  <c r="AH669" i="5"/>
  <c r="AH666" i="5"/>
  <c r="AH668" i="5"/>
  <c r="AH667" i="5"/>
  <c r="AH661" i="5"/>
  <c r="AH665" i="5"/>
  <c r="AH662" i="5"/>
  <c r="AH663" i="5"/>
  <c r="AH664" i="5"/>
  <c r="AH448" i="5"/>
  <c r="AH680" i="5"/>
  <c r="AH681" i="5"/>
  <c r="AH677" i="5"/>
  <c r="AH678" i="5"/>
  <c r="AH674" i="5"/>
  <c r="AH679" i="5"/>
  <c r="AH672" i="5"/>
  <c r="AH659" i="5"/>
  <c r="AH655" i="5"/>
  <c r="AH675" i="5"/>
  <c r="AH673" i="5"/>
  <c r="AH660" i="5"/>
  <c r="AH656" i="5"/>
  <c r="AH676" i="5"/>
  <c r="AH670" i="5"/>
  <c r="AH657" i="5"/>
  <c r="AH653" i="5"/>
  <c r="AH671" i="5"/>
  <c r="AH658" i="5"/>
  <c r="AH654" i="5"/>
  <c r="AH377" i="5"/>
  <c r="AH375" i="5"/>
  <c r="AH371" i="5"/>
  <c r="AH378" i="5"/>
  <c r="AH376" i="5"/>
  <c r="AH372" i="5"/>
  <c r="AH373" i="5"/>
  <c r="AH369" i="5"/>
  <c r="AH374" i="5"/>
  <c r="AH370" i="5"/>
  <c r="AH314" i="5"/>
  <c r="AH337" i="5"/>
  <c r="AH338" i="5"/>
  <c r="AH339" i="5"/>
  <c r="AH250" i="5"/>
  <c r="AH305" i="5"/>
  <c r="AH226" i="5"/>
  <c r="AH238" i="5"/>
  <c r="AH239" i="5"/>
  <c r="AH236" i="5"/>
  <c r="AH237" i="5"/>
  <c r="AH209" i="5"/>
  <c r="AH210" i="5"/>
  <c r="AH211" i="5"/>
  <c r="AH207" i="5"/>
  <c r="AH208" i="5"/>
  <c r="AH212" i="5"/>
  <c r="AH118" i="5"/>
  <c r="AH114" i="5"/>
  <c r="AH115" i="5"/>
  <c r="AH116" i="5"/>
  <c r="AH117" i="5"/>
  <c r="AH102" i="5"/>
  <c r="AH103" i="5"/>
  <c r="AH104" i="5"/>
  <c r="AH99" i="5"/>
  <c r="AH95" i="5"/>
  <c r="AH96" i="5"/>
  <c r="AH97" i="5"/>
  <c r="AH98" i="5"/>
  <c r="AH87" i="5"/>
  <c r="AN87" i="5" s="1"/>
  <c r="AH85" i="5"/>
  <c r="AH66" i="5"/>
  <c r="AH62" i="5"/>
  <c r="AH64" i="5"/>
  <c r="AH65" i="5"/>
  <c r="AH63" i="5"/>
  <c r="AH58" i="5"/>
  <c r="AH73" i="5"/>
  <c r="AH74" i="5"/>
  <c r="AH71" i="5"/>
  <c r="AH72" i="5"/>
  <c r="AH67" i="5"/>
  <c r="AH68" i="5"/>
  <c r="AH69" i="5"/>
  <c r="AH70" i="5"/>
  <c r="AH39" i="5"/>
  <c r="AH47" i="5"/>
  <c r="AH722" i="5"/>
  <c r="AH721" i="5"/>
  <c r="AH720" i="5"/>
  <c r="AH618" i="5"/>
  <c r="AH617" i="5"/>
  <c r="AH615" i="5"/>
  <c r="AH613" i="5"/>
  <c r="AH612" i="5"/>
  <c r="AH611" i="5"/>
  <c r="AH616" i="5"/>
  <c r="AH614" i="5"/>
  <c r="AH609" i="5"/>
  <c r="AH619" i="5"/>
  <c r="AH610" i="5"/>
  <c r="AH608" i="5"/>
  <c r="AH637" i="5"/>
  <c r="AH635" i="5"/>
  <c r="AH633" i="5"/>
  <c r="AH631" i="5"/>
  <c r="AH629" i="5"/>
  <c r="AH638" i="5"/>
  <c r="AH636" i="5"/>
  <c r="AH634" i="5"/>
  <c r="AH632" i="5"/>
  <c r="AH630" i="5"/>
  <c r="AH628" i="5"/>
  <c r="AH626" i="5"/>
  <c r="AH627" i="5"/>
  <c r="AH624" i="5"/>
  <c r="AH622" i="5"/>
  <c r="AH620" i="5"/>
  <c r="AH625" i="5"/>
  <c r="AH623" i="5"/>
  <c r="AH621" i="5"/>
  <c r="AH651" i="5"/>
  <c r="AH649" i="5"/>
  <c r="AH647" i="5"/>
  <c r="AH652" i="5"/>
  <c r="AH650" i="5"/>
  <c r="AH648" i="5"/>
  <c r="AH646" i="5"/>
  <c r="AH644" i="5"/>
  <c r="AH642" i="5"/>
  <c r="AH645" i="5"/>
  <c r="AH643" i="5"/>
  <c r="AH640" i="5"/>
  <c r="AH641" i="5"/>
  <c r="AH639" i="5"/>
  <c r="AH697" i="5"/>
  <c r="AH695" i="5"/>
  <c r="AH694" i="5"/>
  <c r="AH693" i="5"/>
  <c r="AH691" i="5"/>
  <c r="AH689" i="5"/>
  <c r="AH687" i="5"/>
  <c r="AH685" i="5"/>
  <c r="AH683" i="5"/>
  <c r="AH698" i="5"/>
  <c r="AH692" i="5"/>
  <c r="AH690" i="5"/>
  <c r="AH688" i="5"/>
  <c r="AH686" i="5"/>
  <c r="AH684" i="5"/>
  <c r="AH682" i="5"/>
  <c r="AH696" i="5"/>
  <c r="AH718" i="5"/>
  <c r="AH713" i="5"/>
  <c r="AH711" i="5"/>
  <c r="AH709" i="5"/>
  <c r="AH719" i="5"/>
  <c r="AH714" i="5"/>
  <c r="AH712" i="5"/>
  <c r="AH710" i="5"/>
  <c r="AH708" i="5"/>
  <c r="AH707" i="5"/>
  <c r="AH705" i="5"/>
  <c r="AH703" i="5"/>
  <c r="AH706" i="5"/>
  <c r="AH700" i="5"/>
  <c r="AH704" i="5"/>
  <c r="AH702" i="5"/>
  <c r="AH701" i="5"/>
  <c r="AH607" i="5"/>
  <c r="AH605" i="5"/>
  <c r="AH606" i="5"/>
  <c r="AH604" i="5"/>
  <c r="AH600" i="5"/>
  <c r="AH596" i="5"/>
  <c r="AH594" i="5"/>
  <c r="AH603" i="5"/>
  <c r="AH601" i="5"/>
  <c r="AH599" i="5"/>
  <c r="AH597" i="5"/>
  <c r="AH595" i="5"/>
  <c r="AH602" i="5"/>
  <c r="AH598" i="5"/>
  <c r="AH740" i="5"/>
  <c r="AH738" i="5"/>
  <c r="AH736" i="5"/>
  <c r="AH734" i="5"/>
  <c r="AH732" i="5"/>
  <c r="AH730" i="5"/>
  <c r="AH742" i="5"/>
  <c r="AH741" i="5"/>
  <c r="AH739" i="5"/>
  <c r="AH737" i="5"/>
  <c r="AH735" i="5"/>
  <c r="AH733" i="5"/>
  <c r="AH731" i="5"/>
  <c r="AH729" i="5"/>
  <c r="AH592" i="5"/>
  <c r="AH593" i="5"/>
  <c r="AH591" i="5"/>
  <c r="AH590" i="5"/>
  <c r="AH573" i="5"/>
  <c r="AH571" i="5"/>
  <c r="AH569" i="5"/>
  <c r="AH567" i="5"/>
  <c r="AH565" i="5"/>
  <c r="AH572" i="5"/>
  <c r="AH570" i="5"/>
  <c r="AH568" i="5"/>
  <c r="AH566" i="5"/>
  <c r="AH564" i="5"/>
  <c r="AH562" i="5"/>
  <c r="AH560" i="5"/>
  <c r="AH559" i="5"/>
  <c r="AH558" i="5"/>
  <c r="AH556" i="5"/>
  <c r="AH563" i="5"/>
  <c r="AH561" i="5"/>
  <c r="AH557" i="5"/>
  <c r="AH555" i="5"/>
  <c r="AH587" i="5"/>
  <c r="AH585" i="5"/>
  <c r="AH582" i="5"/>
  <c r="AH580" i="5"/>
  <c r="AH588" i="5"/>
  <c r="AH586" i="5"/>
  <c r="AH584" i="5"/>
  <c r="AH583" i="5"/>
  <c r="AH581" i="5"/>
  <c r="AH579" i="5"/>
  <c r="AH577" i="5"/>
  <c r="AH575" i="5"/>
  <c r="AH576" i="5"/>
  <c r="AH574" i="5"/>
  <c r="AH554" i="5"/>
  <c r="AH578" i="5"/>
  <c r="AH542" i="5"/>
  <c r="AH540" i="5"/>
  <c r="AH538" i="5"/>
  <c r="AH536" i="5"/>
  <c r="AH533" i="5"/>
  <c r="AH531" i="5"/>
  <c r="AH529" i="5"/>
  <c r="AH541" i="5"/>
  <c r="AH539" i="5"/>
  <c r="AH537" i="5"/>
  <c r="AH535" i="5"/>
  <c r="AH534" i="5"/>
  <c r="AH532" i="5"/>
  <c r="AH530" i="5"/>
  <c r="AH528" i="5"/>
  <c r="AH526" i="5"/>
  <c r="AH524" i="5"/>
  <c r="AH527" i="5"/>
  <c r="AH525" i="5"/>
  <c r="AH589" i="5"/>
  <c r="AH548" i="5"/>
  <c r="AH544" i="5"/>
  <c r="AH523" i="5"/>
  <c r="AH745" i="5"/>
  <c r="AH743" i="5"/>
  <c r="AH553" i="5"/>
  <c r="AH551" i="5"/>
  <c r="AH549" i="5"/>
  <c r="AH547" i="5"/>
  <c r="AH545" i="5"/>
  <c r="AH543" i="5"/>
  <c r="AH744" i="5"/>
  <c r="AH552" i="5"/>
  <c r="AH550" i="5"/>
  <c r="AH546" i="5"/>
  <c r="AH437" i="5"/>
  <c r="AH435" i="5"/>
  <c r="AH433" i="5"/>
  <c r="AH436" i="5"/>
  <c r="AH434" i="5"/>
  <c r="AH432" i="5"/>
  <c r="AH430" i="5"/>
  <c r="AH438" i="5"/>
  <c r="AH429" i="5"/>
  <c r="AH427" i="5"/>
  <c r="AH428" i="5"/>
  <c r="AH426" i="5"/>
  <c r="AH431" i="5"/>
  <c r="AH456" i="5"/>
  <c r="AH454" i="5"/>
  <c r="AH452" i="5"/>
  <c r="AH450" i="5"/>
  <c r="AH447" i="5"/>
  <c r="AH445" i="5"/>
  <c r="AH443" i="5"/>
  <c r="AH441" i="5"/>
  <c r="AH458" i="5"/>
  <c r="AH457" i="5"/>
  <c r="AH455" i="5"/>
  <c r="AH453" i="5"/>
  <c r="AH451" i="5"/>
  <c r="AH449" i="5"/>
  <c r="AH446" i="5"/>
  <c r="AH444" i="5"/>
  <c r="AH442" i="5"/>
  <c r="AH440" i="5"/>
  <c r="AH439" i="5"/>
  <c r="AH476" i="5"/>
  <c r="AH477" i="5"/>
  <c r="AH473" i="5"/>
  <c r="AH471" i="5"/>
  <c r="AH469" i="5"/>
  <c r="AH467" i="5"/>
  <c r="AH465" i="5"/>
  <c r="AH463" i="5"/>
  <c r="AH461" i="5"/>
  <c r="AH459" i="5"/>
  <c r="AH470" i="5"/>
  <c r="AH464" i="5"/>
  <c r="AH475" i="5"/>
  <c r="AH472" i="5"/>
  <c r="AH462" i="5"/>
  <c r="AH474" i="5"/>
  <c r="AH468" i="5"/>
  <c r="AH460" i="5"/>
  <c r="AH466" i="5"/>
  <c r="AH494" i="5"/>
  <c r="AH492" i="5"/>
  <c r="AH490" i="5"/>
  <c r="AH488" i="5"/>
  <c r="AH486" i="5"/>
  <c r="AH484" i="5"/>
  <c r="AH482" i="5"/>
  <c r="AH480" i="5"/>
  <c r="AH478" i="5"/>
  <c r="AH493" i="5"/>
  <c r="AH491" i="5"/>
  <c r="AH489" i="5"/>
  <c r="AH487" i="5"/>
  <c r="AH485" i="5"/>
  <c r="AH483" i="5"/>
  <c r="AH481" i="5"/>
  <c r="AH479" i="5"/>
  <c r="AH510" i="5"/>
  <c r="AH508" i="5"/>
  <c r="AH506" i="5"/>
  <c r="AH511" i="5"/>
  <c r="AH509" i="5"/>
  <c r="AH507" i="5"/>
  <c r="AH504" i="5"/>
  <c r="AH502" i="5"/>
  <c r="AH500" i="5"/>
  <c r="AH498" i="5"/>
  <c r="AH496" i="5"/>
  <c r="AH505" i="5"/>
  <c r="AH503" i="5"/>
  <c r="AH501" i="5"/>
  <c r="AH499" i="5"/>
  <c r="AH497" i="5"/>
  <c r="AH495" i="5"/>
  <c r="AH390" i="5"/>
  <c r="AH388" i="5"/>
  <c r="AH386" i="5"/>
  <c r="AH384" i="5"/>
  <c r="AH382" i="5"/>
  <c r="AH380" i="5"/>
  <c r="AH389" i="5"/>
  <c r="AH387" i="5"/>
  <c r="AH385" i="5"/>
  <c r="AH383" i="5"/>
  <c r="AH381" i="5"/>
  <c r="AH379" i="5"/>
  <c r="AH368" i="5"/>
  <c r="AH367" i="5"/>
  <c r="AH409" i="5"/>
  <c r="AH407" i="5"/>
  <c r="AH405" i="5"/>
  <c r="AH403" i="5"/>
  <c r="AH401" i="5"/>
  <c r="AH399" i="5"/>
  <c r="AH397" i="5"/>
  <c r="AH395" i="5"/>
  <c r="AH408" i="5"/>
  <c r="AH406" i="5"/>
  <c r="AH404" i="5"/>
  <c r="AH402" i="5"/>
  <c r="AH400" i="5"/>
  <c r="AH398" i="5"/>
  <c r="AH396" i="5"/>
  <c r="AH394" i="5"/>
  <c r="AH392" i="5"/>
  <c r="AH393" i="5"/>
  <c r="AH391" i="5"/>
  <c r="AH366" i="5"/>
  <c r="AH424" i="5"/>
  <c r="AH422" i="5"/>
  <c r="AH420" i="5"/>
  <c r="AH418" i="5"/>
  <c r="AH416" i="5"/>
  <c r="AH425" i="5"/>
  <c r="AH423" i="5"/>
  <c r="AH421" i="5"/>
  <c r="AH419" i="5"/>
  <c r="AH417" i="5"/>
  <c r="AH415" i="5"/>
  <c r="AH413" i="5"/>
  <c r="AH411" i="5"/>
  <c r="AH414" i="5"/>
  <c r="AH410" i="5"/>
  <c r="AH412" i="5"/>
  <c r="AH365" i="5"/>
  <c r="AH360" i="5"/>
  <c r="AH358" i="5"/>
  <c r="AH356" i="5"/>
  <c r="AH354" i="5"/>
  <c r="AH352" i="5"/>
  <c r="AH350" i="5"/>
  <c r="AH359" i="5"/>
  <c r="AH357" i="5"/>
  <c r="AH355" i="5"/>
  <c r="AH353" i="5"/>
  <c r="AH351" i="5"/>
  <c r="AH349" i="5"/>
  <c r="AH348" i="5"/>
  <c r="AH347" i="5"/>
  <c r="AH345" i="5"/>
  <c r="AH343" i="5"/>
  <c r="AH341" i="5"/>
  <c r="AH346" i="5"/>
  <c r="AH344" i="5"/>
  <c r="AH342" i="5"/>
  <c r="AH333" i="5"/>
  <c r="AH330" i="5"/>
  <c r="AH328" i="5"/>
  <c r="AH326" i="5"/>
  <c r="AH324" i="5"/>
  <c r="AH322" i="5"/>
  <c r="AH320" i="5"/>
  <c r="AH318" i="5"/>
  <c r="AH332" i="5"/>
  <c r="AH331" i="5"/>
  <c r="AH329" i="5"/>
  <c r="AH327" i="5"/>
  <c r="AH325" i="5"/>
  <c r="AH323" i="5"/>
  <c r="AH321" i="5"/>
  <c r="AH319" i="5"/>
  <c r="AH317" i="5"/>
  <c r="AH521" i="5"/>
  <c r="AH519" i="5"/>
  <c r="AH522" i="5"/>
  <c r="AH520" i="5"/>
  <c r="AH517" i="5"/>
  <c r="AH515" i="5"/>
  <c r="AH513" i="5"/>
  <c r="AH363" i="5"/>
  <c r="AH361" i="5"/>
  <c r="AH336" i="5"/>
  <c r="AH334" i="5"/>
  <c r="AH518" i="5"/>
  <c r="AH516" i="5"/>
  <c r="AH514" i="5"/>
  <c r="AH364" i="5"/>
  <c r="AH362" i="5"/>
  <c r="AH340" i="5"/>
  <c r="AH512" i="5"/>
  <c r="AH335" i="5"/>
  <c r="AH288" i="5"/>
  <c r="AH286" i="5"/>
  <c r="AH284" i="5"/>
  <c r="AH282" i="5"/>
  <c r="AH287" i="5"/>
  <c r="AH285" i="5"/>
  <c r="AH279" i="5"/>
  <c r="AH277" i="5"/>
  <c r="AH275" i="5"/>
  <c r="AH273" i="5"/>
  <c r="AH271" i="5"/>
  <c r="AH283" i="5"/>
  <c r="AH289" i="5"/>
  <c r="AH281" i="5"/>
  <c r="AH280" i="5"/>
  <c r="AH278" i="5"/>
  <c r="AH276" i="5"/>
  <c r="AH274" i="5"/>
  <c r="AH272" i="5"/>
  <c r="AH270" i="5"/>
  <c r="AH313" i="5"/>
  <c r="AH311" i="5"/>
  <c r="AH309" i="5"/>
  <c r="AH307" i="5"/>
  <c r="AH304" i="5"/>
  <c r="AH302" i="5"/>
  <c r="AH300" i="5"/>
  <c r="AH298" i="5"/>
  <c r="AH296" i="5"/>
  <c r="AH294" i="5"/>
  <c r="AH312" i="5"/>
  <c r="AH310" i="5"/>
  <c r="AH308" i="5"/>
  <c r="AH306" i="5"/>
  <c r="AH303" i="5"/>
  <c r="AH301" i="5"/>
  <c r="AH299" i="5"/>
  <c r="AH297" i="5"/>
  <c r="AH295" i="5"/>
  <c r="AH293" i="5"/>
  <c r="W17" i="5"/>
  <c r="H17" i="12" s="1"/>
  <c r="E16" i="5"/>
  <c r="E17" i="5" s="1"/>
  <c r="F16" i="6"/>
  <c r="B42" i="14"/>
  <c r="A26" i="8"/>
  <c r="F17" i="5"/>
  <c r="AE17" i="5"/>
  <c r="H17" i="5"/>
  <c r="B17" i="7"/>
  <c r="C18" i="7"/>
  <c r="B22" i="9"/>
  <c r="B20" i="10"/>
  <c r="B17" i="5"/>
  <c r="G17" i="5"/>
  <c r="E17" i="12"/>
  <c r="I17" i="5"/>
  <c r="N17" i="5"/>
  <c r="D17" i="6" s="1"/>
  <c r="B17" i="6"/>
  <c r="A17" i="6" s="1"/>
  <c r="C18" i="5"/>
  <c r="A17" i="12"/>
  <c r="AD16" i="5"/>
  <c r="AN16" i="6"/>
  <c r="AM16" i="6"/>
  <c r="BG16" i="6"/>
  <c r="BF16" i="6"/>
  <c r="BE16" i="6"/>
  <c r="BC16" i="6"/>
  <c r="BB16" i="6"/>
  <c r="BA16" i="6"/>
  <c r="AZ16" i="6"/>
  <c r="AY16" i="6"/>
  <c r="AX16" i="6"/>
  <c r="BD16" i="6"/>
  <c r="AS16" i="6"/>
  <c r="AR16" i="6"/>
  <c r="AQ16" i="6"/>
  <c r="AP16" i="6"/>
  <c r="AO16" i="6"/>
  <c r="N16" i="6"/>
  <c r="AU16" i="6"/>
  <c r="AT16" i="6"/>
  <c r="M16" i="6"/>
  <c r="AV16" i="6"/>
  <c r="H16" i="6"/>
  <c r="T16" i="5" s="1"/>
  <c r="G16" i="12" s="1"/>
  <c r="G16" i="6"/>
  <c r="AH316" i="5"/>
  <c r="AH292" i="5"/>
  <c r="AH290" i="5"/>
  <c r="AH260" i="5"/>
  <c r="AH291" i="5"/>
  <c r="AH235" i="5"/>
  <c r="AH231" i="5"/>
  <c r="AH261" i="5"/>
  <c r="AH227" i="5"/>
  <c r="AH267" i="5"/>
  <c r="AH263" i="5"/>
  <c r="AH223" i="5"/>
  <c r="AH221" i="5"/>
  <c r="AH219" i="5"/>
  <c r="AH217" i="5"/>
  <c r="AH245" i="5"/>
  <c r="AH225" i="5"/>
  <c r="AH264" i="5"/>
  <c r="AH247" i="5"/>
  <c r="AH246" i="5"/>
  <c r="AH244" i="5"/>
  <c r="AH243" i="5"/>
  <c r="AH249" i="5"/>
  <c r="AH248" i="5"/>
  <c r="AH233" i="5"/>
  <c r="AH268" i="5"/>
  <c r="AH252" i="5"/>
  <c r="AH251" i="5"/>
  <c r="AH242" i="5"/>
  <c r="AH315" i="5"/>
  <c r="AH254" i="5"/>
  <c r="AH253" i="5"/>
  <c r="AH229" i="5"/>
  <c r="AH269" i="5"/>
  <c r="AH265" i="5"/>
  <c r="AH256" i="5"/>
  <c r="AH255" i="5"/>
  <c r="AH241" i="5"/>
  <c r="AH186" i="5"/>
  <c r="AH222" i="5"/>
  <c r="AH214" i="5"/>
  <c r="AH200" i="5"/>
  <c r="AH192" i="5"/>
  <c r="AH181" i="5"/>
  <c r="AH262" i="5"/>
  <c r="AH240" i="5"/>
  <c r="AH213" i="5"/>
  <c r="AH199" i="5"/>
  <c r="AH191" i="5"/>
  <c r="AH177" i="5"/>
  <c r="AH228" i="5"/>
  <c r="AH257" i="5"/>
  <c r="AH180" i="5"/>
  <c r="AH259" i="5"/>
  <c r="AH232" i="5"/>
  <c r="AH204" i="5"/>
  <c r="AH196" i="5"/>
  <c r="AH179" i="5"/>
  <c r="AH258" i="5"/>
  <c r="AH230" i="5"/>
  <c r="AH216" i="5"/>
  <c r="AH202" i="5"/>
  <c r="AH194" i="5"/>
  <c r="AH224" i="5"/>
  <c r="AH198" i="5"/>
  <c r="AH169" i="5"/>
  <c r="AH159" i="5"/>
  <c r="AH183" i="5"/>
  <c r="AH150" i="5"/>
  <c r="AH139" i="5"/>
  <c r="AH215" i="5"/>
  <c r="AH168" i="5"/>
  <c r="AH163" i="5"/>
  <c r="AH154" i="5"/>
  <c r="AH146" i="5"/>
  <c r="AH135" i="5"/>
  <c r="AH178" i="5"/>
  <c r="AH205" i="5"/>
  <c r="AH167" i="5"/>
  <c r="AH158" i="5"/>
  <c r="AH142" i="5"/>
  <c r="AH203" i="5"/>
  <c r="AH190" i="5"/>
  <c r="AH149" i="5"/>
  <c r="AH201" i="5"/>
  <c r="AH145" i="5"/>
  <c r="AH141" i="5"/>
  <c r="AH197" i="5"/>
  <c r="AH187" i="5"/>
  <c r="AH176" i="5"/>
  <c r="AH161" i="5"/>
  <c r="AH134" i="5"/>
  <c r="AH266" i="5"/>
  <c r="AH170" i="5"/>
  <c r="AH133" i="5"/>
  <c r="AH76" i="5"/>
  <c r="AH234" i="5"/>
  <c r="AH188" i="5"/>
  <c r="AH137" i="5"/>
  <c r="AH88" i="5"/>
  <c r="AH129" i="5"/>
  <c r="AH160" i="5"/>
  <c r="AH152" i="5"/>
  <c r="AH140" i="5"/>
  <c r="AH110" i="5"/>
  <c r="AH82" i="5"/>
  <c r="AH143" i="5"/>
  <c r="AH130" i="5"/>
  <c r="AH125" i="5"/>
  <c r="AH108" i="5"/>
  <c r="AH92" i="5"/>
  <c r="AH193" i="5"/>
  <c r="AH184" i="5"/>
  <c r="AH166" i="5"/>
  <c r="AH112" i="5"/>
  <c r="AH109" i="5"/>
  <c r="AH86" i="5"/>
  <c r="AH78" i="5"/>
  <c r="AH60" i="5"/>
  <c r="AH57" i="5"/>
  <c r="AH55" i="5"/>
  <c r="AH53" i="5"/>
  <c r="AH51" i="5"/>
  <c r="AH49" i="5"/>
  <c r="AH46" i="5"/>
  <c r="AH44" i="5"/>
  <c r="AH42" i="5"/>
  <c r="AH40" i="5"/>
  <c r="AH37" i="5"/>
  <c r="AH35" i="5"/>
  <c r="AH33" i="5"/>
  <c r="AH126" i="5"/>
  <c r="AH111" i="5"/>
  <c r="AH106" i="5"/>
  <c r="AH91" i="5"/>
  <c r="AH155" i="5"/>
  <c r="AH107" i="5"/>
  <c r="AH81" i="5"/>
  <c r="AH138" i="5"/>
  <c r="AH220" i="5"/>
  <c r="AH189" i="5"/>
  <c r="AH175" i="5"/>
  <c r="AH171" i="5"/>
  <c r="AH101" i="5"/>
  <c r="AH100" i="5"/>
  <c r="AH136" i="5"/>
  <c r="AH195" i="5"/>
  <c r="AH128" i="5"/>
  <c r="AH119" i="5"/>
  <c r="AH113" i="5"/>
  <c r="AH90" i="5"/>
  <c r="AH77" i="5"/>
  <c r="AH50" i="5"/>
  <c r="AH173" i="5"/>
  <c r="AH59" i="5"/>
  <c r="AH185" i="5"/>
  <c r="AH206" i="5"/>
  <c r="AH121" i="5"/>
  <c r="AH20" i="5"/>
  <c r="AH93" i="5"/>
  <c r="AH52" i="5"/>
  <c r="AH34" i="5"/>
  <c r="AH32" i="5"/>
  <c r="AH31" i="5"/>
  <c r="AH19" i="5"/>
  <c r="AH83" i="5"/>
  <c r="AH80" i="5"/>
  <c r="AH36" i="5"/>
  <c r="AH218" i="5"/>
  <c r="AH132" i="5"/>
  <c r="AH123" i="5"/>
  <c r="AH38" i="5"/>
  <c r="AH30" i="5"/>
  <c r="AH29" i="5"/>
  <c r="AH127" i="5"/>
  <c r="AH120" i="5"/>
  <c r="AH17" i="5"/>
  <c r="AN17" i="5" s="1"/>
  <c r="AH172" i="5"/>
  <c r="AH151" i="5"/>
  <c r="AH61" i="5"/>
  <c r="AH54" i="5"/>
  <c r="AH26" i="5"/>
  <c r="AH25" i="5"/>
  <c r="AH122" i="5"/>
  <c r="AH94" i="5"/>
  <c r="AH89" i="5"/>
  <c r="AH84" i="5"/>
  <c r="AH75" i="5"/>
  <c r="AH43" i="5"/>
  <c r="AH165" i="5"/>
  <c r="AH124" i="5"/>
  <c r="AH56" i="5"/>
  <c r="AH144" i="5"/>
  <c r="AH48" i="5"/>
  <c r="AH131" i="5"/>
  <c r="AH157" i="5"/>
  <c r="AH16" i="5"/>
  <c r="AN16" i="5" s="1"/>
  <c r="AH18" i="5"/>
  <c r="AH41" i="5"/>
  <c r="AH164" i="5"/>
  <c r="AH27" i="5"/>
  <c r="AH105" i="5"/>
  <c r="AH45" i="5"/>
  <c r="AH153" i="5"/>
  <c r="AH22" i="5"/>
  <c r="AH182" i="5"/>
  <c r="AH147" i="5"/>
  <c r="AH24" i="5"/>
  <c r="AH162" i="5"/>
  <c r="AH79" i="5"/>
  <c r="AH21" i="5"/>
  <c r="AH174" i="5"/>
  <c r="AH156" i="5"/>
  <c r="AH148" i="5"/>
  <c r="AH28" i="5"/>
  <c r="AH23" i="5"/>
  <c r="AC12" i="6"/>
  <c r="AD13" i="6"/>
  <c r="H11" i="9"/>
  <c r="AO13" i="6"/>
  <c r="AN12" i="6"/>
  <c r="B8" i="14"/>
  <c r="I10" i="13"/>
  <c r="I11" i="9"/>
  <c r="J12" i="9"/>
  <c r="I11" i="10"/>
  <c r="J12" i="10"/>
  <c r="AH14" i="5"/>
  <c r="V8" i="5"/>
  <c r="D14" i="6"/>
  <c r="BB13" i="6"/>
  <c r="C4" i="4"/>
  <c r="A5" i="4"/>
  <c r="J14" i="12"/>
  <c r="L14" i="12"/>
  <c r="C36" i="4"/>
  <c r="A37" i="4"/>
  <c r="C37" i="4" s="1"/>
  <c r="A18" i="12" l="1"/>
  <c r="J18" i="12" s="1"/>
  <c r="A14" i="13"/>
  <c r="B14" i="11"/>
  <c r="G14" i="11" s="1"/>
  <c r="F14" i="13" s="1"/>
  <c r="AD18" i="5"/>
  <c r="AE18" i="5"/>
  <c r="N18" i="5"/>
  <c r="D18" i="6" s="1"/>
  <c r="F17" i="6"/>
  <c r="D18" i="5"/>
  <c r="B18" i="12" s="1"/>
  <c r="H18" i="5"/>
  <c r="AD17" i="5"/>
  <c r="A29" i="8"/>
  <c r="C19" i="7"/>
  <c r="B18" i="7"/>
  <c r="F18" i="5"/>
  <c r="J18" i="5"/>
  <c r="K18" i="5"/>
  <c r="B18" i="5"/>
  <c r="B18" i="6"/>
  <c r="G18" i="5"/>
  <c r="B21" i="10"/>
  <c r="C19" i="5"/>
  <c r="B23" i="9"/>
  <c r="AC16" i="6"/>
  <c r="E18" i="5"/>
  <c r="AN17" i="6"/>
  <c r="AM17" i="6"/>
  <c r="BG17" i="6"/>
  <c r="BF17" i="6"/>
  <c r="BE17" i="6"/>
  <c r="BC17" i="6"/>
  <c r="BB17" i="6"/>
  <c r="BA17" i="6"/>
  <c r="AZ17" i="6"/>
  <c r="AY17" i="6"/>
  <c r="AX17" i="6"/>
  <c r="AU17" i="6"/>
  <c r="AT17" i="6"/>
  <c r="AS17" i="6"/>
  <c r="AR17" i="6"/>
  <c r="AQ17" i="6"/>
  <c r="AP17" i="6"/>
  <c r="AO17" i="6"/>
  <c r="BD17" i="6"/>
  <c r="AV17" i="6"/>
  <c r="N17" i="6"/>
  <c r="M17" i="6"/>
  <c r="H17" i="6"/>
  <c r="T17" i="5" s="1"/>
  <c r="G17" i="12" s="1"/>
  <c r="G17" i="6"/>
  <c r="AB16" i="6"/>
  <c r="AE13" i="6"/>
  <c r="AF13" i="6" s="1"/>
  <c r="AD12" i="6"/>
  <c r="AD16" i="6" s="1"/>
  <c r="AO12" i="6"/>
  <c r="AP13" i="6"/>
  <c r="K12" i="10"/>
  <c r="J11" i="10"/>
  <c r="K12" i="9"/>
  <c r="W14" i="5"/>
  <c r="H14" i="12" s="1"/>
  <c r="AN14" i="5"/>
  <c r="BC13" i="6"/>
  <c r="BB12" i="6"/>
  <c r="A14" i="6"/>
  <c r="N14" i="6" s="1"/>
  <c r="K14" i="12"/>
  <c r="C5" i="4"/>
  <c r="A6" i="4"/>
  <c r="AC3" i="6"/>
  <c r="L18" i="12" l="1"/>
  <c r="K18" i="12" s="1"/>
  <c r="C20" i="5"/>
  <c r="AE20" i="5" s="1"/>
  <c r="C14" i="13"/>
  <c r="K14" i="13" s="1"/>
  <c r="K14" i="11"/>
  <c r="J14" i="13" s="1"/>
  <c r="F19" i="5"/>
  <c r="D19" i="5"/>
  <c r="B19" i="12" s="1"/>
  <c r="J19" i="5"/>
  <c r="A19" i="12"/>
  <c r="L19" i="12" s="1"/>
  <c r="E19" i="5"/>
  <c r="AD19" i="5"/>
  <c r="B19" i="6"/>
  <c r="A18" i="6"/>
  <c r="N18" i="6" s="1"/>
  <c r="A32" i="8"/>
  <c r="AC17" i="6"/>
  <c r="G19" i="5"/>
  <c r="H19" i="5"/>
  <c r="K19" i="5"/>
  <c r="AB17" i="6"/>
  <c r="AE19" i="5"/>
  <c r="B19" i="5"/>
  <c r="B22" i="10"/>
  <c r="B24" i="9"/>
  <c r="N19" i="5"/>
  <c r="D19" i="6" s="1"/>
  <c r="C20" i="7"/>
  <c r="B19" i="7"/>
  <c r="H18" i="6"/>
  <c r="T18" i="5" s="1"/>
  <c r="AD17" i="6"/>
  <c r="AD3" i="6"/>
  <c r="AB3" i="6"/>
  <c r="AQ13" i="6"/>
  <c r="L12" i="9"/>
  <c r="K11" i="9"/>
  <c r="M14" i="6"/>
  <c r="AX14" i="6" s="1"/>
  <c r="L12" i="10"/>
  <c r="AF12" i="6"/>
  <c r="AG13" i="6"/>
  <c r="A7" i="4"/>
  <c r="C7" i="4" s="1"/>
  <c r="C6" i="4"/>
  <c r="BC12" i="6"/>
  <c r="BD13" i="6"/>
  <c r="G20" i="5" l="1"/>
  <c r="D20" i="5"/>
  <c r="B20" i="12" s="1"/>
  <c r="AD20" i="5"/>
  <c r="B20" i="6"/>
  <c r="A20" i="12"/>
  <c r="J20" i="12" s="1"/>
  <c r="C21" i="5"/>
  <c r="C22" i="5" s="1"/>
  <c r="H20" i="5"/>
  <c r="N20" i="5"/>
  <c r="D20" i="6" s="1"/>
  <c r="K20" i="5"/>
  <c r="J20" i="5"/>
  <c r="F20" i="5"/>
  <c r="B20" i="5"/>
  <c r="J19" i="12"/>
  <c r="K19" i="12" s="1"/>
  <c r="E20" i="5"/>
  <c r="M18" i="6"/>
  <c r="BC18" i="6" s="1"/>
  <c r="A35" i="8"/>
  <c r="C21" i="7"/>
  <c r="B20" i="7"/>
  <c r="B25" i="9"/>
  <c r="B23" i="10"/>
  <c r="AF16" i="6"/>
  <c r="AF17" i="6"/>
  <c r="H19" i="6"/>
  <c r="T19" i="5" s="1"/>
  <c r="A19" i="6"/>
  <c r="G18" i="12"/>
  <c r="AO14" i="6"/>
  <c r="BD14" i="6"/>
  <c r="AQ12" i="6"/>
  <c r="AR13" i="6"/>
  <c r="AR14" i="6" s="1"/>
  <c r="BE14" i="6"/>
  <c r="AZ14" i="6"/>
  <c r="BC14" i="6"/>
  <c r="BA14" i="6"/>
  <c r="AP14" i="6"/>
  <c r="AQ14" i="6"/>
  <c r="AN14" i="6"/>
  <c r="AM14" i="6"/>
  <c r="AY14" i="6"/>
  <c r="BF14" i="6"/>
  <c r="BG14" i="6"/>
  <c r="L11" i="9"/>
  <c r="M12" i="9"/>
  <c r="BB14" i="6"/>
  <c r="L11" i="10"/>
  <c r="M12" i="10"/>
  <c r="AH13" i="6"/>
  <c r="AG12" i="6"/>
  <c r="BD12" i="6"/>
  <c r="BE13" i="6"/>
  <c r="Z69" i="4"/>
  <c r="Y29" i="4"/>
  <c r="Z21" i="4"/>
  <c r="Y64" i="4"/>
  <c r="X21" i="4"/>
  <c r="Y24" i="4"/>
  <c r="X103" i="4"/>
  <c r="Y102" i="4"/>
  <c r="Y101" i="4"/>
  <c r="Y21" i="4"/>
  <c r="X105" i="4"/>
  <c r="Y103" i="4"/>
  <c r="Z62" i="4"/>
  <c r="X29" i="4"/>
  <c r="X109" i="4"/>
  <c r="X101" i="4"/>
  <c r="Z23" i="4"/>
  <c r="Y62" i="4"/>
  <c r="X62" i="4"/>
  <c r="Z109" i="4"/>
  <c r="Z103" i="4"/>
  <c r="Z102" i="4"/>
  <c r="Z24" i="4"/>
  <c r="X61" i="4"/>
  <c r="Z63" i="4"/>
  <c r="X23" i="4"/>
  <c r="X65" i="4"/>
  <c r="Z105" i="4"/>
  <c r="Y104" i="4"/>
  <c r="Z61" i="4"/>
  <c r="Z29" i="4"/>
  <c r="Y65" i="4"/>
  <c r="Y109" i="4"/>
  <c r="Z104" i="4"/>
  <c r="Y69" i="4"/>
  <c r="X25" i="4"/>
  <c r="Z25" i="4"/>
  <c r="X22" i="4"/>
  <c r="X63" i="4"/>
  <c r="Y25" i="4"/>
  <c r="Y22" i="4"/>
  <c r="Z65" i="4"/>
  <c r="X69" i="4"/>
  <c r="U69" i="4" s="1"/>
  <c r="Y61" i="4"/>
  <c r="X102" i="4"/>
  <c r="X104" i="4"/>
  <c r="X64" i="4"/>
  <c r="Y105" i="4"/>
  <c r="Y63" i="4"/>
  <c r="Z22" i="4"/>
  <c r="Z101" i="4"/>
  <c r="Z64" i="4"/>
  <c r="X24" i="4"/>
  <c r="Y23" i="4"/>
  <c r="L20" i="12" l="1"/>
  <c r="K20" i="12" s="1"/>
  <c r="A21" i="12"/>
  <c r="L21" i="12" s="1"/>
  <c r="B21" i="5"/>
  <c r="B22" i="5" s="1"/>
  <c r="G21" i="5"/>
  <c r="G22" i="5" s="1"/>
  <c r="AD21" i="5"/>
  <c r="D21" i="5"/>
  <c r="B21" i="12" s="1"/>
  <c r="N21" i="5"/>
  <c r="D21" i="6" s="1"/>
  <c r="H21" i="5"/>
  <c r="H22" i="5" s="1"/>
  <c r="K21" i="5"/>
  <c r="B21" i="6"/>
  <c r="AE21" i="5"/>
  <c r="F21" i="5"/>
  <c r="F22" i="5" s="1"/>
  <c r="J21" i="5"/>
  <c r="E21" i="5"/>
  <c r="E22" i="5" s="1"/>
  <c r="AN18" i="6"/>
  <c r="AP18" i="6"/>
  <c r="AC18" i="6"/>
  <c r="BE18" i="6"/>
  <c r="AZ18" i="6"/>
  <c r="AB18" i="6"/>
  <c r="AY18" i="6"/>
  <c r="BA18" i="6"/>
  <c r="AF18" i="6"/>
  <c r="AO18" i="6"/>
  <c r="AX18" i="6"/>
  <c r="M19" i="6"/>
  <c r="AG19" i="6" s="1"/>
  <c r="AQ18" i="6"/>
  <c r="BD18" i="6"/>
  <c r="AD18" i="6"/>
  <c r="AM18" i="6"/>
  <c r="A38" i="8"/>
  <c r="BB18" i="6"/>
  <c r="AR18" i="6"/>
  <c r="B24" i="10"/>
  <c r="B26" i="9"/>
  <c r="C22" i="7"/>
  <c r="B21" i="7"/>
  <c r="N19" i="6"/>
  <c r="A20" i="6"/>
  <c r="M20" i="6" s="1"/>
  <c r="A22" i="12"/>
  <c r="B22" i="6"/>
  <c r="AD22" i="5"/>
  <c r="AE22" i="5"/>
  <c r="K22" i="5"/>
  <c r="J22" i="5"/>
  <c r="C23" i="5"/>
  <c r="N22" i="5"/>
  <c r="D22" i="5"/>
  <c r="B22" i="12" s="1"/>
  <c r="AG16" i="6"/>
  <c r="AG17" i="6"/>
  <c r="AG18" i="6"/>
  <c r="G19" i="12"/>
  <c r="H20" i="6"/>
  <c r="T20" i="5" s="1"/>
  <c r="U109" i="4"/>
  <c r="K112" i="4" s="1"/>
  <c r="AS13" i="6"/>
  <c r="AS18" i="6" s="1"/>
  <c r="AR12" i="6"/>
  <c r="M11" i="10"/>
  <c r="N12" i="10"/>
  <c r="M11" i="9"/>
  <c r="N12" i="9"/>
  <c r="AH12" i="6"/>
  <c r="AI13" i="6"/>
  <c r="U29" i="4"/>
  <c r="J72" i="4"/>
  <c r="K72" i="4"/>
  <c r="BF13" i="6"/>
  <c r="BF18" i="6" s="1"/>
  <c r="BE12" i="6"/>
  <c r="J21" i="12" l="1"/>
  <c r="K21" i="12" s="1"/>
  <c r="AQ19" i="6"/>
  <c r="BB19" i="6"/>
  <c r="AZ19" i="6"/>
  <c r="AX19" i="6"/>
  <c r="AC19" i="6"/>
  <c r="AY19" i="6"/>
  <c r="A21" i="6"/>
  <c r="N21" i="6" s="1"/>
  <c r="BA19" i="6"/>
  <c r="AF19" i="6"/>
  <c r="AB19" i="6"/>
  <c r="AD19" i="6"/>
  <c r="BE19" i="6"/>
  <c r="BD19" i="6"/>
  <c r="AP19" i="6"/>
  <c r="AM19" i="6"/>
  <c r="AO19" i="6"/>
  <c r="AR19" i="6"/>
  <c r="AN19" i="6"/>
  <c r="BC19" i="6"/>
  <c r="A41" i="8"/>
  <c r="BB20" i="6"/>
  <c r="B27" i="9"/>
  <c r="N20" i="6"/>
  <c r="B22" i="7"/>
  <c r="C23" i="7"/>
  <c r="AS19" i="6"/>
  <c r="B25" i="10"/>
  <c r="AH20" i="6"/>
  <c r="BC20" i="6"/>
  <c r="BE20" i="6"/>
  <c r="AG20" i="6"/>
  <c r="AO20" i="6"/>
  <c r="AP20" i="6"/>
  <c r="BD20" i="6"/>
  <c r="D22" i="6"/>
  <c r="G20" i="12"/>
  <c r="AB20" i="6"/>
  <c r="BF19" i="6"/>
  <c r="AC20" i="6"/>
  <c r="L22" i="12"/>
  <c r="J22" i="12"/>
  <c r="AH16" i="6"/>
  <c r="AH17" i="6"/>
  <c r="AH18" i="6"/>
  <c r="AH19" i="6"/>
  <c r="AM20" i="6"/>
  <c r="AN20" i="6"/>
  <c r="AX20" i="6"/>
  <c r="AZ20" i="6"/>
  <c r="BF20" i="6"/>
  <c r="H21" i="6"/>
  <c r="T21" i="5" s="1"/>
  <c r="AQ20" i="6"/>
  <c r="AF20" i="6"/>
  <c r="A23" i="12"/>
  <c r="B23" i="6"/>
  <c r="N23" i="5"/>
  <c r="J23" i="5"/>
  <c r="F23" i="5"/>
  <c r="H23" i="5"/>
  <c r="G23" i="5"/>
  <c r="D23" i="5"/>
  <c r="B23" i="12" s="1"/>
  <c r="E23" i="5"/>
  <c r="AE23" i="5"/>
  <c r="K23" i="5"/>
  <c r="B23" i="5"/>
  <c r="C24" i="5" s="1"/>
  <c r="AD23" i="5"/>
  <c r="AY20" i="6"/>
  <c r="AD20" i="6"/>
  <c r="AR20" i="6"/>
  <c r="BA20" i="6"/>
  <c r="AS20" i="6"/>
  <c r="J112" i="4"/>
  <c r="AS14" i="6"/>
  <c r="AT13" i="6"/>
  <c r="AS12" i="6"/>
  <c r="O12" i="9"/>
  <c r="N11" i="9"/>
  <c r="O12" i="10"/>
  <c r="N11" i="10"/>
  <c r="AI12" i="6"/>
  <c r="AJ13" i="6"/>
  <c r="K32" i="4"/>
  <c r="J32" i="4"/>
  <c r="BG13" i="6"/>
  <c r="BG20" i="6" s="1"/>
  <c r="BF12" i="6"/>
  <c r="A22" i="6" l="1"/>
  <c r="N22" i="6" s="1"/>
  <c r="M21" i="6"/>
  <c r="AI21" i="6" s="1"/>
  <c r="K22" i="12"/>
  <c r="A44" i="8"/>
  <c r="B26" i="10"/>
  <c r="B23" i="7"/>
  <c r="C24" i="7"/>
  <c r="B28" i="9"/>
  <c r="AI16" i="6"/>
  <c r="AI17" i="6"/>
  <c r="AI18" i="6"/>
  <c r="AI19" i="6"/>
  <c r="AI20" i="6"/>
  <c r="J23" i="12"/>
  <c r="L23" i="12"/>
  <c r="AT18" i="6"/>
  <c r="AT19" i="6"/>
  <c r="D23" i="6"/>
  <c r="G21" i="12"/>
  <c r="AT20" i="6"/>
  <c r="H22" i="6"/>
  <c r="T22" i="5" s="1"/>
  <c r="A24" i="12"/>
  <c r="B24" i="6"/>
  <c r="B24" i="5"/>
  <c r="N24" i="5"/>
  <c r="G24" i="5"/>
  <c r="F24" i="5"/>
  <c r="E24" i="5"/>
  <c r="AE24" i="5"/>
  <c r="H24" i="5"/>
  <c r="C25" i="5"/>
  <c r="AD24" i="5"/>
  <c r="BG18" i="6"/>
  <c r="BG19" i="6"/>
  <c r="AT12" i="6"/>
  <c r="AU13" i="6"/>
  <c r="AT14" i="6"/>
  <c r="P12" i="10"/>
  <c r="O11" i="10"/>
  <c r="O11" i="9"/>
  <c r="P12" i="9"/>
  <c r="AJ12" i="6"/>
  <c r="AK13" i="6"/>
  <c r="AK12" i="6" s="1"/>
  <c r="BG12" i="6"/>
  <c r="M22" i="6" l="1"/>
  <c r="AF22" i="6" s="1"/>
  <c r="AY21" i="6"/>
  <c r="AD21" i="6"/>
  <c r="AQ21" i="6"/>
  <c r="BF21" i="6"/>
  <c r="AG21" i="6"/>
  <c r="AC21" i="6"/>
  <c r="AU21" i="6"/>
  <c r="AZ21" i="6"/>
  <c r="BC21" i="6"/>
  <c r="AM21" i="6"/>
  <c r="BB21" i="6"/>
  <c r="AR21" i="6"/>
  <c r="AO21" i="6"/>
  <c r="AF21" i="6"/>
  <c r="AN21" i="6"/>
  <c r="AS21" i="6"/>
  <c r="BA21" i="6"/>
  <c r="BD21" i="6"/>
  <c r="AB21" i="6"/>
  <c r="BG21" i="6"/>
  <c r="AX21" i="6"/>
  <c r="AP21" i="6"/>
  <c r="AH21" i="6"/>
  <c r="BE21" i="6"/>
  <c r="AT21" i="6"/>
  <c r="A47" i="8"/>
  <c r="K23" i="12"/>
  <c r="C25" i="7"/>
  <c r="B24" i="7"/>
  <c r="B27" i="10"/>
  <c r="B29" i="9"/>
  <c r="AK16" i="6"/>
  <c r="AK17" i="6"/>
  <c r="AK18" i="6"/>
  <c r="AK19" i="6"/>
  <c r="AK20" i="6"/>
  <c r="AK21" i="6"/>
  <c r="D24" i="6"/>
  <c r="G22" i="12"/>
  <c r="A25" i="12"/>
  <c r="B25" i="6"/>
  <c r="N25" i="5"/>
  <c r="J25" i="5"/>
  <c r="F25" i="5"/>
  <c r="K25" i="5"/>
  <c r="H25" i="5"/>
  <c r="G25" i="5"/>
  <c r="E25" i="5"/>
  <c r="D25" i="5"/>
  <c r="B25" i="12" s="1"/>
  <c r="B25" i="5"/>
  <c r="C26" i="5" s="1"/>
  <c r="AE25" i="5"/>
  <c r="AD25" i="5"/>
  <c r="H23" i="6"/>
  <c r="T23" i="5" s="1"/>
  <c r="AJ16" i="6"/>
  <c r="AJ17" i="6"/>
  <c r="AJ18" i="6"/>
  <c r="AJ19" i="6"/>
  <c r="AJ20" i="6"/>
  <c r="AJ21" i="6"/>
  <c r="AU18" i="6"/>
  <c r="AU19" i="6"/>
  <c r="AU20" i="6"/>
  <c r="A23" i="6"/>
  <c r="M23" i="6" s="1"/>
  <c r="AU12" i="6"/>
  <c r="AV13" i="6"/>
  <c r="AU14" i="6"/>
  <c r="Q12" i="9"/>
  <c r="P11" i="9"/>
  <c r="Q12" i="10"/>
  <c r="P11" i="10"/>
  <c r="AM22" i="6" l="1"/>
  <c r="AR22" i="6"/>
  <c r="AY22" i="6"/>
  <c r="AJ22" i="6"/>
  <c r="AC22" i="6"/>
  <c r="AN22" i="6"/>
  <c r="AX22" i="6"/>
  <c r="AZ22" i="6"/>
  <c r="AI22" i="6"/>
  <c r="AG22" i="6"/>
  <c r="AO22" i="6"/>
  <c r="AB22" i="6"/>
  <c r="AU22" i="6"/>
  <c r="BF22" i="6"/>
  <c r="BD22" i="6"/>
  <c r="AK22" i="6"/>
  <c r="AQ22" i="6"/>
  <c r="AD22" i="6"/>
  <c r="BC22" i="6"/>
  <c r="BB22" i="6"/>
  <c r="AS22" i="6"/>
  <c r="AH22" i="6"/>
  <c r="BE22" i="6"/>
  <c r="AT22" i="6"/>
  <c r="BA22" i="6"/>
  <c r="BG22" i="6"/>
  <c r="AP22" i="6"/>
  <c r="AV22" i="6"/>
  <c r="A50" i="8"/>
  <c r="B30" i="9"/>
  <c r="B28" i="10"/>
  <c r="C26" i="7"/>
  <c r="B25" i="7"/>
  <c r="AN23" i="6"/>
  <c r="AT23" i="6"/>
  <c r="AM23" i="6"/>
  <c r="AS23" i="6"/>
  <c r="BG23" i="6"/>
  <c r="BB23" i="6"/>
  <c r="AP23" i="6"/>
  <c r="AD23" i="6"/>
  <c r="AR23" i="6"/>
  <c r="AY23" i="6"/>
  <c r="AQ23" i="6"/>
  <c r="AZ23" i="6"/>
  <c r="AX23" i="6"/>
  <c r="BF23" i="6"/>
  <c r="AU23" i="6"/>
  <c r="BA23" i="6"/>
  <c r="AC23" i="6"/>
  <c r="AB23" i="6"/>
  <c r="BE23" i="6"/>
  <c r="AO23" i="6"/>
  <c r="AF23" i="6"/>
  <c r="BC23" i="6"/>
  <c r="BD23" i="6"/>
  <c r="AV23" i="6"/>
  <c r="AI23" i="6"/>
  <c r="G23" i="12"/>
  <c r="H24" i="6"/>
  <c r="T24" i="5" s="1"/>
  <c r="N23" i="6"/>
  <c r="L25" i="12"/>
  <c r="J25" i="12"/>
  <c r="A24" i="6"/>
  <c r="AK23" i="6"/>
  <c r="AH23" i="6"/>
  <c r="AJ23" i="6"/>
  <c r="D25" i="6"/>
  <c r="AV18" i="6"/>
  <c r="AV19" i="6"/>
  <c r="AV20" i="6"/>
  <c r="AV21" i="6"/>
  <c r="AG23" i="6"/>
  <c r="A26" i="12"/>
  <c r="B26" i="6"/>
  <c r="B26" i="5"/>
  <c r="C27" i="5" s="1"/>
  <c r="R27" i="5" s="1"/>
  <c r="N26" i="5"/>
  <c r="E26" i="5"/>
  <c r="H26" i="5"/>
  <c r="G26" i="5"/>
  <c r="F26" i="5"/>
  <c r="AD26" i="5"/>
  <c r="AE26" i="5"/>
  <c r="AV12" i="6"/>
  <c r="AV14" i="6"/>
  <c r="Q11" i="10"/>
  <c r="R12" i="10"/>
  <c r="R12" i="9"/>
  <c r="Q11" i="9"/>
  <c r="K25" i="12" l="1"/>
  <c r="A53" i="8"/>
  <c r="B29" i="10"/>
  <c r="C27" i="7"/>
  <c r="B26" i="7"/>
  <c r="A25" i="6"/>
  <c r="N25" i="6" s="1"/>
  <c r="B31" i="9"/>
  <c r="M24" i="6"/>
  <c r="A27" i="12"/>
  <c r="B27" i="6"/>
  <c r="C28" i="5"/>
  <c r="N27" i="5"/>
  <c r="F27" i="5"/>
  <c r="H27" i="5"/>
  <c r="G27" i="5"/>
  <c r="E27" i="5"/>
  <c r="B27" i="5"/>
  <c r="AE27" i="5"/>
  <c r="AD27" i="5"/>
  <c r="W27" i="5"/>
  <c r="H27" i="12" s="1"/>
  <c r="D26" i="6"/>
  <c r="N24" i="6"/>
  <c r="G24" i="12"/>
  <c r="H25" i="6"/>
  <c r="T25" i="5" s="1"/>
  <c r="R11" i="9"/>
  <c r="S12" i="9"/>
  <c r="R11" i="10"/>
  <c r="S12" i="10"/>
  <c r="M25" i="6" l="1"/>
  <c r="BA25" i="6" s="1"/>
  <c r="A56" i="8"/>
  <c r="AF24" i="6"/>
  <c r="AI24" i="6"/>
  <c r="AN24" i="6"/>
  <c r="AM24" i="6"/>
  <c r="B30" i="10"/>
  <c r="BA24" i="6"/>
  <c r="AB24" i="6"/>
  <c r="AG24" i="6"/>
  <c r="AD24" i="6"/>
  <c r="AK24" i="6"/>
  <c r="B32" i="9"/>
  <c r="AC24" i="6"/>
  <c r="AZ24" i="6"/>
  <c r="AJ24" i="6"/>
  <c r="AO24" i="6"/>
  <c r="AQ24" i="6"/>
  <c r="AV24" i="6"/>
  <c r="C28" i="7"/>
  <c r="B27" i="7"/>
  <c r="AX24" i="6"/>
  <c r="BG24" i="6"/>
  <c r="AP24" i="6"/>
  <c r="AH24" i="6"/>
  <c r="AU24" i="6"/>
  <c r="AY24" i="6"/>
  <c r="BB24" i="6"/>
  <c r="BE24" i="6"/>
  <c r="BF24" i="6"/>
  <c r="BD24" i="6"/>
  <c r="AR24" i="6"/>
  <c r="AT24" i="6"/>
  <c r="BC24" i="6"/>
  <c r="AS24" i="6"/>
  <c r="H26" i="6"/>
  <c r="T26" i="5" s="1"/>
  <c r="D27" i="6"/>
  <c r="A28" i="12"/>
  <c r="B28" i="6"/>
  <c r="B28" i="5"/>
  <c r="C29" i="5"/>
  <c r="N28" i="5"/>
  <c r="J28" i="5"/>
  <c r="H28" i="5"/>
  <c r="G28" i="5"/>
  <c r="F28" i="5"/>
  <c r="E28" i="5"/>
  <c r="D28" i="5"/>
  <c r="B28" i="12" s="1"/>
  <c r="AD28" i="5"/>
  <c r="AE28" i="5"/>
  <c r="K28" i="5"/>
  <c r="G25" i="12"/>
  <c r="E27" i="12"/>
  <c r="F27" i="6"/>
  <c r="A26" i="6"/>
  <c r="N26" i="6" s="1"/>
  <c r="T12" i="10"/>
  <c r="S11" i="10"/>
  <c r="S11" i="9"/>
  <c r="T12" i="9"/>
  <c r="AD25" i="6" l="1"/>
  <c r="BD25" i="6"/>
  <c r="BB25" i="6"/>
  <c r="AQ25" i="6"/>
  <c r="AX25" i="6"/>
  <c r="BF25" i="6"/>
  <c r="AV25" i="6"/>
  <c r="AY25" i="6"/>
  <c r="AG25" i="6"/>
  <c r="AI25" i="6"/>
  <c r="AH25" i="6"/>
  <c r="AS25" i="6"/>
  <c r="AZ25" i="6"/>
  <c r="AK25" i="6"/>
  <c r="BG25" i="6"/>
  <c r="AU25" i="6"/>
  <c r="AO25" i="6"/>
  <c r="AT25" i="6"/>
  <c r="AR25" i="6"/>
  <c r="A59" i="8"/>
  <c r="AB25" i="6"/>
  <c r="AN25" i="6"/>
  <c r="AF25" i="6"/>
  <c r="AC25" i="6"/>
  <c r="AM25" i="6"/>
  <c r="BC25" i="6"/>
  <c r="AP25" i="6"/>
  <c r="AJ25" i="6"/>
  <c r="BE25" i="6"/>
  <c r="B33" i="9"/>
  <c r="C29" i="7"/>
  <c r="B28" i="7"/>
  <c r="B31" i="10"/>
  <c r="M26" i="6"/>
  <c r="A27" i="6"/>
  <c r="N27" i="6" s="1"/>
  <c r="G26" i="12"/>
  <c r="A29" i="12"/>
  <c r="B29" i="6"/>
  <c r="C30" i="5"/>
  <c r="N29" i="5"/>
  <c r="J29" i="5"/>
  <c r="F29" i="5"/>
  <c r="H29" i="5"/>
  <c r="G29" i="5"/>
  <c r="E29" i="5"/>
  <c r="D29" i="5"/>
  <c r="B29" i="12" s="1"/>
  <c r="B29" i="5"/>
  <c r="AD29" i="5"/>
  <c r="K29" i="5"/>
  <c r="AE29" i="5"/>
  <c r="D28" i="6"/>
  <c r="H27" i="6"/>
  <c r="T27" i="5" s="1"/>
  <c r="G27" i="6"/>
  <c r="L28" i="12"/>
  <c r="J28" i="12"/>
  <c r="U12" i="10"/>
  <c r="T11" i="10"/>
  <c r="T11" i="9"/>
  <c r="U12" i="9"/>
  <c r="M27" i="6" l="1"/>
  <c r="AT27" i="6" s="1"/>
  <c r="A62" i="8"/>
  <c r="B34" i="9"/>
  <c r="AU26" i="6"/>
  <c r="B32" i="10"/>
  <c r="B29" i="7"/>
  <c r="C30" i="7"/>
  <c r="AC26" i="6"/>
  <c r="AV26" i="6"/>
  <c r="BD26" i="6"/>
  <c r="AF26" i="6"/>
  <c r="BC26" i="6"/>
  <c r="BG26" i="6"/>
  <c r="AX26" i="6"/>
  <c r="AM26" i="6"/>
  <c r="K28" i="12"/>
  <c r="AH26" i="6"/>
  <c r="AD26" i="6"/>
  <c r="AG26" i="6"/>
  <c r="AB26" i="6"/>
  <c r="AK26" i="6"/>
  <c r="AS26" i="6"/>
  <c r="AJ26" i="6"/>
  <c r="AO26" i="6"/>
  <c r="AQ26" i="6"/>
  <c r="AT26" i="6"/>
  <c r="AP26" i="6"/>
  <c r="AR26" i="6"/>
  <c r="AZ26" i="6"/>
  <c r="BB26" i="6"/>
  <c r="BA26" i="6"/>
  <c r="BF26" i="6"/>
  <c r="AY26" i="6"/>
  <c r="AI26" i="6"/>
  <c r="AN26" i="6"/>
  <c r="BE26" i="6"/>
  <c r="H28" i="6"/>
  <c r="T28" i="5" s="1"/>
  <c r="D29" i="6"/>
  <c r="A30" i="12"/>
  <c r="B30" i="6"/>
  <c r="B30" i="5"/>
  <c r="C31" i="5"/>
  <c r="N30" i="5"/>
  <c r="H30" i="5"/>
  <c r="F30" i="5"/>
  <c r="G30" i="5"/>
  <c r="E30" i="5"/>
  <c r="D30" i="5"/>
  <c r="B30" i="12" s="1"/>
  <c r="AE30" i="5"/>
  <c r="AD30" i="5"/>
  <c r="K30" i="5"/>
  <c r="J30" i="5"/>
  <c r="G27" i="12"/>
  <c r="L29" i="12"/>
  <c r="J29" i="12"/>
  <c r="A28" i="6"/>
  <c r="N28" i="6" s="1"/>
  <c r="V12" i="10"/>
  <c r="U11" i="10"/>
  <c r="V12" i="9"/>
  <c r="U11" i="9"/>
  <c r="BC27" i="6" l="1"/>
  <c r="AS27" i="6"/>
  <c r="BE27" i="6"/>
  <c r="AB27" i="6"/>
  <c r="BA27" i="6"/>
  <c r="AO27" i="6"/>
  <c r="AJ27" i="6"/>
  <c r="AG27" i="6"/>
  <c r="AF27" i="6"/>
  <c r="AQ27" i="6"/>
  <c r="BF27" i="6"/>
  <c r="AV27" i="6"/>
  <c r="AR27" i="6"/>
  <c r="AC27" i="6"/>
  <c r="AD27" i="6"/>
  <c r="BD27" i="6"/>
  <c r="BG27" i="6"/>
  <c r="AP27" i="6"/>
  <c r="AZ27" i="6"/>
  <c r="AI27" i="6"/>
  <c r="AX27" i="6"/>
  <c r="BB27" i="6"/>
  <c r="AH27" i="6"/>
  <c r="AK27" i="6"/>
  <c r="AY27" i="6"/>
  <c r="AU27" i="6"/>
  <c r="AM27" i="6"/>
  <c r="AN27" i="6"/>
  <c r="A65" i="8"/>
  <c r="B33" i="10"/>
  <c r="K29" i="12"/>
  <c r="B35" i="9"/>
  <c r="B30" i="7"/>
  <c r="C31" i="7"/>
  <c r="M28" i="6"/>
  <c r="A29" i="6"/>
  <c r="D30" i="6"/>
  <c r="A31" i="12"/>
  <c r="B31" i="6"/>
  <c r="C32" i="5"/>
  <c r="N31" i="5"/>
  <c r="J31" i="5"/>
  <c r="F31" i="5"/>
  <c r="E31" i="5"/>
  <c r="D31" i="5"/>
  <c r="B31" i="12" s="1"/>
  <c r="B31" i="5"/>
  <c r="AD31" i="5"/>
  <c r="AE31" i="5"/>
  <c r="H31" i="5"/>
  <c r="K31" i="5"/>
  <c r="G31" i="5"/>
  <c r="H29" i="6"/>
  <c r="T29" i="5" s="1"/>
  <c r="G28" i="12"/>
  <c r="J30" i="12"/>
  <c r="L30" i="12"/>
  <c r="W12" i="9"/>
  <c r="V11" i="9"/>
  <c r="W12" i="10"/>
  <c r="V11" i="10"/>
  <c r="M29" i="6" l="1"/>
  <c r="AQ29" i="6" s="1"/>
  <c r="K30" i="12"/>
  <c r="A68" i="8"/>
  <c r="A30" i="6"/>
  <c r="C32" i="7"/>
  <c r="B31" i="7"/>
  <c r="BA28" i="6"/>
  <c r="B36" i="9"/>
  <c r="B34" i="10"/>
  <c r="N29" i="6"/>
  <c r="AZ28" i="6"/>
  <c r="AU28" i="6"/>
  <c r="AF28" i="6"/>
  <c r="AY28" i="6"/>
  <c r="BF28" i="6"/>
  <c r="AB28" i="6"/>
  <c r="BC28" i="6"/>
  <c r="AQ28" i="6"/>
  <c r="AR28" i="6"/>
  <c r="BD28" i="6"/>
  <c r="BG28" i="6"/>
  <c r="AH28" i="6"/>
  <c r="AI28" i="6"/>
  <c r="AT28" i="6"/>
  <c r="AV28" i="6"/>
  <c r="AN28" i="6"/>
  <c r="AM28" i="6"/>
  <c r="AJ28" i="6"/>
  <c r="AO28" i="6"/>
  <c r="AS28" i="6"/>
  <c r="AC28" i="6"/>
  <c r="BE28" i="6"/>
  <c r="AD28" i="6"/>
  <c r="BB28" i="6"/>
  <c r="AK28" i="6"/>
  <c r="AX28" i="6"/>
  <c r="AP28" i="6"/>
  <c r="AG28" i="6"/>
  <c r="D31" i="6"/>
  <c r="G29" i="12"/>
  <c r="A32" i="12"/>
  <c r="B32" i="6"/>
  <c r="B32" i="5"/>
  <c r="C33" i="5"/>
  <c r="N32" i="5"/>
  <c r="F32" i="5"/>
  <c r="D32" i="5"/>
  <c r="B32" i="12" s="1"/>
  <c r="E32" i="5"/>
  <c r="AE32" i="5"/>
  <c r="J32" i="5"/>
  <c r="AD32" i="5"/>
  <c r="G32" i="5"/>
  <c r="K32" i="5"/>
  <c r="H32" i="5"/>
  <c r="H30" i="6"/>
  <c r="T30" i="5" s="1"/>
  <c r="L31" i="12"/>
  <c r="J31" i="12"/>
  <c r="W11" i="10"/>
  <c r="X12" i="10"/>
  <c r="W11" i="9"/>
  <c r="X12" i="9"/>
  <c r="AC29" i="6" l="1"/>
  <c r="BC29" i="6"/>
  <c r="AH29" i="6"/>
  <c r="BB29" i="6"/>
  <c r="BG29" i="6"/>
  <c r="AX29" i="6"/>
  <c r="AF29" i="6"/>
  <c r="AD29" i="6"/>
  <c r="AJ29" i="6"/>
  <c r="BD29" i="6"/>
  <c r="AU29" i="6"/>
  <c r="AP29" i="6"/>
  <c r="AY29" i="6"/>
  <c r="AB29" i="6"/>
  <c r="AM29" i="6"/>
  <c r="AN29" i="6"/>
  <c r="AG29" i="6"/>
  <c r="BA29" i="6"/>
  <c r="AT29" i="6"/>
  <c r="AI29" i="6"/>
  <c r="AK29" i="6"/>
  <c r="AV29" i="6"/>
  <c r="AO29" i="6"/>
  <c r="BE29" i="6"/>
  <c r="AS29" i="6"/>
  <c r="BF29" i="6"/>
  <c r="AR29" i="6"/>
  <c r="AZ29" i="6"/>
  <c r="A31" i="6"/>
  <c r="N31" i="6" s="1"/>
  <c r="A71" i="8"/>
  <c r="N30" i="6"/>
  <c r="M30" i="6"/>
  <c r="BC30" i="6" s="1"/>
  <c r="B37" i="9"/>
  <c r="B35" i="10"/>
  <c r="B32" i="7"/>
  <c r="C33" i="7"/>
  <c r="K31" i="12"/>
  <c r="G30" i="12"/>
  <c r="L32" i="12"/>
  <c r="J32" i="12"/>
  <c r="D32" i="6"/>
  <c r="A33" i="12"/>
  <c r="B33" i="6"/>
  <c r="C34" i="5"/>
  <c r="N33" i="5"/>
  <c r="J33" i="5"/>
  <c r="F33" i="5"/>
  <c r="B33" i="5"/>
  <c r="AE33" i="5"/>
  <c r="AD33" i="5"/>
  <c r="H33" i="5"/>
  <c r="E33" i="5"/>
  <c r="D33" i="5"/>
  <c r="B33" i="12" s="1"/>
  <c r="G33" i="5"/>
  <c r="K33" i="5"/>
  <c r="H31" i="6"/>
  <c r="T31" i="5" s="1"/>
  <c r="X11" i="9"/>
  <c r="Y12" i="9"/>
  <c r="Y12" i="10"/>
  <c r="X11" i="10"/>
  <c r="AY30" i="6" l="1"/>
  <c r="BE30" i="6"/>
  <c r="AM30" i="6"/>
  <c r="AU30" i="6"/>
  <c r="BD30" i="6"/>
  <c r="BF30" i="6"/>
  <c r="M31" i="6"/>
  <c r="AZ31" i="6" s="1"/>
  <c r="AF30" i="6"/>
  <c r="AC30" i="6"/>
  <c r="AH30" i="6"/>
  <c r="AV30" i="6"/>
  <c r="AX30" i="6"/>
  <c r="AR30" i="6"/>
  <c r="A74" i="8"/>
  <c r="AZ30" i="6"/>
  <c r="AG30" i="6"/>
  <c r="AQ30" i="6"/>
  <c r="BG30" i="6"/>
  <c r="AN30" i="6"/>
  <c r="AS30" i="6"/>
  <c r="AK30" i="6"/>
  <c r="BA30" i="6"/>
  <c r="AO30" i="6"/>
  <c r="AD30" i="6"/>
  <c r="AB30" i="6"/>
  <c r="AT30" i="6"/>
  <c r="BB30" i="6"/>
  <c r="AJ30" i="6"/>
  <c r="AP30" i="6"/>
  <c r="AI30" i="6"/>
  <c r="B36" i="10"/>
  <c r="C34" i="7"/>
  <c r="B33" i="7"/>
  <c r="B38" i="9"/>
  <c r="L33" i="12"/>
  <c r="J33" i="12"/>
  <c r="K32" i="12"/>
  <c r="A34" i="12"/>
  <c r="B34" i="6"/>
  <c r="B34" i="5"/>
  <c r="C35" i="5" s="1"/>
  <c r="R35" i="5" s="1"/>
  <c r="N34" i="5"/>
  <c r="E34" i="5"/>
  <c r="D34" i="5"/>
  <c r="B34" i="12" s="1"/>
  <c r="AE34" i="5"/>
  <c r="G34" i="5"/>
  <c r="K34" i="5"/>
  <c r="F34" i="5"/>
  <c r="AD34" i="5"/>
  <c r="J34" i="5"/>
  <c r="H34" i="5"/>
  <c r="H32" i="6"/>
  <c r="T32" i="5" s="1"/>
  <c r="G31" i="12"/>
  <c r="D33" i="6"/>
  <c r="A32" i="6"/>
  <c r="Y11" i="10"/>
  <c r="Z12" i="10"/>
  <c r="Y11" i="9"/>
  <c r="Z12" i="9"/>
  <c r="AC31" i="6" l="1"/>
  <c r="AU31" i="6"/>
  <c r="AQ31" i="6"/>
  <c r="AP31" i="6"/>
  <c r="AR31" i="6"/>
  <c r="AJ31" i="6"/>
  <c r="AN31" i="6"/>
  <c r="AG31" i="6"/>
  <c r="AV31" i="6"/>
  <c r="AI31" i="6"/>
  <c r="BE31" i="6"/>
  <c r="BA31" i="6"/>
  <c r="AT31" i="6"/>
  <c r="AS31" i="6"/>
  <c r="AO31" i="6"/>
  <c r="BF31" i="6"/>
  <c r="AX31" i="6"/>
  <c r="BG31" i="6"/>
  <c r="AD31" i="6"/>
  <c r="AH31" i="6"/>
  <c r="BB31" i="6"/>
  <c r="AY31" i="6"/>
  <c r="AK31" i="6"/>
  <c r="AF31" i="6"/>
  <c r="AM31" i="6"/>
  <c r="BD31" i="6"/>
  <c r="BC31" i="6"/>
  <c r="AB31" i="6"/>
  <c r="A77" i="8"/>
  <c r="C35" i="7"/>
  <c r="B34" i="7"/>
  <c r="B39" i="9"/>
  <c r="B37" i="10"/>
  <c r="A33" i="6"/>
  <c r="N33" i="6" s="1"/>
  <c r="K33" i="12"/>
  <c r="H33" i="6"/>
  <c r="T33" i="5" s="1"/>
  <c r="D34" i="6"/>
  <c r="G32" i="12"/>
  <c r="A35" i="12"/>
  <c r="B35" i="6"/>
  <c r="N35" i="5"/>
  <c r="H35" i="5"/>
  <c r="F35" i="5"/>
  <c r="B35" i="5"/>
  <c r="C36" i="5" s="1"/>
  <c r="R36" i="5" s="1"/>
  <c r="AE35" i="5"/>
  <c r="AD35" i="5"/>
  <c r="W35" i="5"/>
  <c r="H35" i="12" s="1"/>
  <c r="G35" i="5"/>
  <c r="E35" i="5"/>
  <c r="L34" i="12"/>
  <c r="J34" i="12"/>
  <c r="M32" i="6"/>
  <c r="N32" i="6"/>
  <c r="Z11" i="10"/>
  <c r="AA12" i="10"/>
  <c r="Z11" i="9"/>
  <c r="AA12" i="9"/>
  <c r="A80" i="8" l="1"/>
  <c r="B35" i="7"/>
  <c r="C36" i="7"/>
  <c r="AC32" i="6"/>
  <c r="B40" i="9"/>
  <c r="B38" i="10"/>
  <c r="K34" i="12"/>
  <c r="A34" i="6"/>
  <c r="M33" i="6"/>
  <c r="BB33" i="6" s="1"/>
  <c r="D35" i="6"/>
  <c r="BA32" i="6"/>
  <c r="AR32" i="6"/>
  <c r="BB32" i="6"/>
  <c r="AT32" i="6"/>
  <c r="AQ32" i="6"/>
  <c r="BE32" i="6"/>
  <c r="AO32" i="6"/>
  <c r="AS32" i="6"/>
  <c r="AV32" i="6"/>
  <c r="BG32" i="6"/>
  <c r="BF32" i="6"/>
  <c r="AZ32" i="6"/>
  <c r="AX32" i="6"/>
  <c r="BD32" i="6"/>
  <c r="BC32" i="6"/>
  <c r="AN32" i="6"/>
  <c r="AY32" i="6"/>
  <c r="AM32" i="6"/>
  <c r="AU32" i="6"/>
  <c r="AP32" i="6"/>
  <c r="A36" i="12"/>
  <c r="B36" i="5"/>
  <c r="B36" i="6"/>
  <c r="W36" i="5"/>
  <c r="H36" i="12" s="1"/>
  <c r="C37" i="5"/>
  <c r="N36" i="5"/>
  <c r="F36" i="5"/>
  <c r="E36" i="5"/>
  <c r="AD36" i="5"/>
  <c r="H36" i="5"/>
  <c r="G36" i="5"/>
  <c r="AE36" i="5"/>
  <c r="AG32" i="6"/>
  <c r="AI32" i="6"/>
  <c r="AF32" i="6"/>
  <c r="AJ32" i="6"/>
  <c r="AK32" i="6"/>
  <c r="AH32" i="6"/>
  <c r="G33" i="12"/>
  <c r="H34" i="6"/>
  <c r="T34" i="5" s="1"/>
  <c r="AD32" i="6"/>
  <c r="E35" i="12"/>
  <c r="F35" i="6"/>
  <c r="AB32" i="6"/>
  <c r="AB12" i="10"/>
  <c r="AA11" i="10"/>
  <c r="AB12" i="9"/>
  <c r="AA11" i="9"/>
  <c r="A83" i="8" l="1"/>
  <c r="A35" i="6"/>
  <c r="N35" i="6" s="1"/>
  <c r="AB33" i="6"/>
  <c r="N34" i="6"/>
  <c r="AZ33" i="6"/>
  <c r="AV33" i="6"/>
  <c r="B41" i="9"/>
  <c r="B39" i="10"/>
  <c r="AH33" i="6"/>
  <c r="BA33" i="6"/>
  <c r="AD33" i="6"/>
  <c r="M34" i="6"/>
  <c r="AG34" i="6" s="1"/>
  <c r="AC33" i="6"/>
  <c r="AI33" i="6"/>
  <c r="B36" i="7"/>
  <c r="C37" i="7"/>
  <c r="AY33" i="6"/>
  <c r="AF33" i="6"/>
  <c r="AG33" i="6"/>
  <c r="AJ33" i="6"/>
  <c r="BC33" i="6"/>
  <c r="AU33" i="6"/>
  <c r="AT33" i="6"/>
  <c r="AR33" i="6"/>
  <c r="AQ33" i="6"/>
  <c r="AO33" i="6"/>
  <c r="AS33" i="6"/>
  <c r="AX33" i="6"/>
  <c r="BE33" i="6"/>
  <c r="BF33" i="6"/>
  <c r="AM33" i="6"/>
  <c r="BG33" i="6"/>
  <c r="BD33" i="6"/>
  <c r="AP33" i="6"/>
  <c r="AN33" i="6"/>
  <c r="AK33" i="6"/>
  <c r="G34" i="12"/>
  <c r="A37" i="12"/>
  <c r="B37" i="6"/>
  <c r="C38" i="5"/>
  <c r="C39" i="5" s="1"/>
  <c r="N37" i="5"/>
  <c r="J37" i="5"/>
  <c r="H37" i="5"/>
  <c r="F37" i="5"/>
  <c r="D37" i="5"/>
  <c r="B37" i="12" s="1"/>
  <c r="B37" i="5"/>
  <c r="AD37" i="5"/>
  <c r="AE37" i="5"/>
  <c r="E37" i="5"/>
  <c r="K37" i="5"/>
  <c r="G37" i="5"/>
  <c r="E36" i="12"/>
  <c r="F36" i="6"/>
  <c r="D36" i="6"/>
  <c r="G35" i="6"/>
  <c r="H35" i="6"/>
  <c r="T35" i="5" s="1"/>
  <c r="AB11" i="10"/>
  <c r="AC12" i="10"/>
  <c r="AC12" i="9"/>
  <c r="AB11" i="9"/>
  <c r="D39" i="5" l="1"/>
  <c r="B39" i="12" s="1"/>
  <c r="K39" i="5"/>
  <c r="A39" i="12"/>
  <c r="J39" i="5"/>
  <c r="AE39" i="5"/>
  <c r="N39" i="5"/>
  <c r="B39" i="6"/>
  <c r="AD39" i="5"/>
  <c r="A86" i="8"/>
  <c r="M35" i="6"/>
  <c r="BB35" i="6" s="1"/>
  <c r="A36" i="6"/>
  <c r="AC34" i="6"/>
  <c r="AD34" i="6"/>
  <c r="AZ34" i="6"/>
  <c r="AV34" i="6"/>
  <c r="B42" i="9"/>
  <c r="C38" i="7"/>
  <c r="B37" i="7"/>
  <c r="AT34" i="6"/>
  <c r="BC34" i="6"/>
  <c r="BA34" i="6"/>
  <c r="AU34" i="6"/>
  <c r="AM34" i="6"/>
  <c r="AN34" i="6"/>
  <c r="AY34" i="6"/>
  <c r="AO34" i="6"/>
  <c r="BE34" i="6"/>
  <c r="BG34" i="6"/>
  <c r="AP34" i="6"/>
  <c r="AX34" i="6"/>
  <c r="AK34" i="6"/>
  <c r="AF34" i="6"/>
  <c r="AS34" i="6"/>
  <c r="AJ34" i="6"/>
  <c r="BD34" i="6"/>
  <c r="BF34" i="6"/>
  <c r="AB34" i="6"/>
  <c r="B40" i="10"/>
  <c r="AI34" i="6"/>
  <c r="AR34" i="6"/>
  <c r="BB34" i="6"/>
  <c r="AQ34" i="6"/>
  <c r="AH34" i="6"/>
  <c r="L37" i="12"/>
  <c r="J37" i="12"/>
  <c r="D37" i="6"/>
  <c r="A38" i="12"/>
  <c r="B38" i="6"/>
  <c r="B38" i="5"/>
  <c r="N38" i="5"/>
  <c r="G38" i="5"/>
  <c r="G39" i="5" s="1"/>
  <c r="E38" i="5"/>
  <c r="E39" i="5" s="1"/>
  <c r="F38" i="5"/>
  <c r="F39" i="5" s="1"/>
  <c r="D38" i="5"/>
  <c r="B38" i="12" s="1"/>
  <c r="AE38" i="5"/>
  <c r="AD38" i="5"/>
  <c r="K38" i="5"/>
  <c r="J38" i="5"/>
  <c r="H38" i="5"/>
  <c r="H39" i="5" s="1"/>
  <c r="G35" i="12"/>
  <c r="G36" i="6"/>
  <c r="H36" i="6"/>
  <c r="T36" i="5" s="1"/>
  <c r="AC11" i="10"/>
  <c r="AD12" i="10"/>
  <c r="AC11" i="9"/>
  <c r="AD12" i="9"/>
  <c r="L39" i="12" l="1"/>
  <c r="J39" i="12"/>
  <c r="B39" i="5"/>
  <c r="C40" i="5" s="1"/>
  <c r="D39" i="6"/>
  <c r="M36" i="6"/>
  <c r="AQ36" i="6" s="1"/>
  <c r="BA35" i="6"/>
  <c r="AX35" i="6"/>
  <c r="N36" i="6"/>
  <c r="AH35" i="6"/>
  <c r="AJ35" i="6"/>
  <c r="AS35" i="6"/>
  <c r="AB35" i="6"/>
  <c r="BC35" i="6"/>
  <c r="AD35" i="6"/>
  <c r="AG35" i="6"/>
  <c r="AY35" i="6"/>
  <c r="BD35" i="6"/>
  <c r="AI35" i="6"/>
  <c r="A37" i="6"/>
  <c r="N37" i="6" s="1"/>
  <c r="AU35" i="6"/>
  <c r="BE35" i="6"/>
  <c r="AR35" i="6"/>
  <c r="BG35" i="6"/>
  <c r="AZ35" i="6"/>
  <c r="AQ35" i="6"/>
  <c r="AP35" i="6"/>
  <c r="AO35" i="6"/>
  <c r="AN35" i="6"/>
  <c r="BF35" i="6"/>
  <c r="AC35" i="6"/>
  <c r="AT35" i="6"/>
  <c r="AF35" i="6"/>
  <c r="AK35" i="6"/>
  <c r="AV35" i="6"/>
  <c r="AM35" i="6"/>
  <c r="B41" i="10"/>
  <c r="K37" i="12"/>
  <c r="AR36" i="6"/>
  <c r="C39" i="7"/>
  <c r="B38" i="7"/>
  <c r="B43" i="9"/>
  <c r="AU36" i="6"/>
  <c r="AN36" i="6"/>
  <c r="BD36" i="6"/>
  <c r="AS36" i="6"/>
  <c r="G36" i="12"/>
  <c r="D38" i="6"/>
  <c r="BA36" i="6"/>
  <c r="H37" i="6"/>
  <c r="T37" i="5" s="1"/>
  <c r="BF36" i="6"/>
  <c r="AV36" i="6"/>
  <c r="BC36" i="6"/>
  <c r="AX36" i="6"/>
  <c r="BG36" i="6"/>
  <c r="AY36" i="6"/>
  <c r="BE36" i="6"/>
  <c r="AZ36" i="6"/>
  <c r="L38" i="12"/>
  <c r="J38" i="12"/>
  <c r="AD11" i="9"/>
  <c r="AE12" i="9"/>
  <c r="AE11" i="9" s="1"/>
  <c r="AE12" i="10"/>
  <c r="AD11" i="10"/>
  <c r="K39" i="12" l="1"/>
  <c r="R40" i="5"/>
  <c r="E40" i="12" s="1"/>
  <c r="C41" i="5"/>
  <c r="A41" i="12" s="1"/>
  <c r="W40" i="5"/>
  <c r="H40" i="12" s="1"/>
  <c r="N40" i="5"/>
  <c r="D40" i="6" s="1"/>
  <c r="G40" i="5"/>
  <c r="F40" i="5"/>
  <c r="H40" i="5"/>
  <c r="AE40" i="5"/>
  <c r="E40" i="5"/>
  <c r="B40" i="6"/>
  <c r="B40" i="5"/>
  <c r="A40" i="12"/>
  <c r="AD40" i="5"/>
  <c r="H39" i="6"/>
  <c r="T39" i="5" s="1"/>
  <c r="AG36" i="6"/>
  <c r="AK36" i="6"/>
  <c r="AC36" i="6"/>
  <c r="AH36" i="6"/>
  <c r="AB36" i="6"/>
  <c r="AF36" i="6"/>
  <c r="AD36" i="6"/>
  <c r="AI36" i="6"/>
  <c r="AP36" i="6"/>
  <c r="BB36" i="6"/>
  <c r="AM36" i="6"/>
  <c r="AJ36" i="6"/>
  <c r="AO36" i="6"/>
  <c r="AT36" i="6"/>
  <c r="M37" i="6"/>
  <c r="AV37" i="6" s="1"/>
  <c r="A38" i="6"/>
  <c r="K38" i="12"/>
  <c r="B42" i="10"/>
  <c r="C40" i="7"/>
  <c r="B39" i="7"/>
  <c r="B44" i="9"/>
  <c r="H38" i="6"/>
  <c r="T38" i="5" s="1"/>
  <c r="G37" i="12"/>
  <c r="AE11" i="10"/>
  <c r="AF12" i="10"/>
  <c r="AF11" i="10" s="1"/>
  <c r="F40" i="6" l="1"/>
  <c r="J41" i="5"/>
  <c r="K41" i="5"/>
  <c r="H41" i="5"/>
  <c r="D41" i="5"/>
  <c r="B41" i="12" s="1"/>
  <c r="E41" i="5"/>
  <c r="AD41" i="5"/>
  <c r="N41" i="5"/>
  <c r="D41" i="6" s="1"/>
  <c r="B41" i="5"/>
  <c r="C42" i="5"/>
  <c r="C43" i="5" s="1"/>
  <c r="B41" i="6"/>
  <c r="F41" i="5"/>
  <c r="G41" i="5"/>
  <c r="AE41" i="5"/>
  <c r="N38" i="6"/>
  <c r="A39" i="6"/>
  <c r="A40" i="6" s="1"/>
  <c r="N40" i="6" s="1"/>
  <c r="G39" i="12"/>
  <c r="M38" i="6"/>
  <c r="AI38" i="6" s="1"/>
  <c r="AO37" i="6"/>
  <c r="BD37" i="6"/>
  <c r="BG37" i="6"/>
  <c r="AQ37" i="6"/>
  <c r="BA37" i="6"/>
  <c r="AY37" i="6"/>
  <c r="AJ37" i="6"/>
  <c r="AB37" i="6"/>
  <c r="AS37" i="6"/>
  <c r="AZ37" i="6"/>
  <c r="AK37" i="6"/>
  <c r="BC37" i="6"/>
  <c r="AN37" i="6"/>
  <c r="AX37" i="6"/>
  <c r="AG37" i="6"/>
  <c r="BB37" i="6"/>
  <c r="AT37" i="6"/>
  <c r="AM37" i="6"/>
  <c r="AP37" i="6"/>
  <c r="AD37" i="6"/>
  <c r="BE37" i="6"/>
  <c r="BF37" i="6"/>
  <c r="AR37" i="6"/>
  <c r="AH37" i="6"/>
  <c r="AI37" i="6"/>
  <c r="AU37" i="6"/>
  <c r="AF37" i="6"/>
  <c r="AC37" i="6"/>
  <c r="B45" i="9"/>
  <c r="C41" i="7"/>
  <c r="B40" i="7"/>
  <c r="B43" i="10"/>
  <c r="G38" i="12"/>
  <c r="L41" i="12"/>
  <c r="J41" i="12"/>
  <c r="G40" i="6"/>
  <c r="H40" i="6"/>
  <c r="T40" i="5" s="1"/>
  <c r="J42" i="5" l="1"/>
  <c r="B42" i="6"/>
  <c r="AE42" i="5"/>
  <c r="A42" i="12"/>
  <c r="L42" i="12" s="1"/>
  <c r="AD42" i="5"/>
  <c r="D42" i="5"/>
  <c r="B42" i="12" s="1"/>
  <c r="E42" i="5"/>
  <c r="E43" i="5" s="1"/>
  <c r="K42" i="5"/>
  <c r="N42" i="5"/>
  <c r="D42" i="6" s="1"/>
  <c r="F42" i="5"/>
  <c r="F43" i="5" s="1"/>
  <c r="H42" i="5"/>
  <c r="H43" i="5" s="1"/>
  <c r="B42" i="5"/>
  <c r="B43" i="5" s="1"/>
  <c r="G42" i="5"/>
  <c r="G43" i="5" s="1"/>
  <c r="M39" i="6"/>
  <c r="N39" i="6"/>
  <c r="BC38" i="6"/>
  <c r="BB38" i="6"/>
  <c r="AN38" i="6"/>
  <c r="BE38" i="6"/>
  <c r="AG38" i="6"/>
  <c r="AU38" i="6"/>
  <c r="AJ38" i="6"/>
  <c r="AY38" i="6"/>
  <c r="AC38" i="6"/>
  <c r="BG38" i="6"/>
  <c r="AK38" i="6"/>
  <c r="AT38" i="6"/>
  <c r="AX38" i="6"/>
  <c r="BD38" i="6"/>
  <c r="AR38" i="6"/>
  <c r="AZ38" i="6"/>
  <c r="AB38" i="6"/>
  <c r="AQ38" i="6"/>
  <c r="AF38" i="6"/>
  <c r="AS38" i="6"/>
  <c r="BA38" i="6"/>
  <c r="AM38" i="6"/>
  <c r="AH38" i="6"/>
  <c r="AV38" i="6"/>
  <c r="AD38" i="6"/>
  <c r="AP38" i="6"/>
  <c r="AO38" i="6"/>
  <c r="BF38" i="6"/>
  <c r="C42" i="7"/>
  <c r="B41" i="7"/>
  <c r="B44" i="10"/>
  <c r="M40" i="6"/>
  <c r="AP40" i="6" s="1"/>
  <c r="B46" i="9"/>
  <c r="K41" i="12"/>
  <c r="G40" i="12"/>
  <c r="H41" i="6"/>
  <c r="T41" i="5" s="1"/>
  <c r="A41" i="6"/>
  <c r="A43" i="12"/>
  <c r="B43" i="6"/>
  <c r="C44" i="5"/>
  <c r="N43" i="5"/>
  <c r="K43" i="5"/>
  <c r="J43" i="5"/>
  <c r="D43" i="5"/>
  <c r="B43" i="12" s="1"/>
  <c r="AD43" i="5"/>
  <c r="AE43" i="5"/>
  <c r="J42" i="12" l="1"/>
  <c r="K42" i="12" s="1"/>
  <c r="AU39" i="6"/>
  <c r="BG39" i="6"/>
  <c r="AP39" i="6"/>
  <c r="BA39" i="6"/>
  <c r="AR39" i="6"/>
  <c r="BF39" i="6"/>
  <c r="AX39" i="6"/>
  <c r="BC39" i="6"/>
  <c r="BD39" i="6"/>
  <c r="BB39" i="6"/>
  <c r="AS39" i="6"/>
  <c r="AC39" i="6"/>
  <c r="BE39" i="6"/>
  <c r="AM39" i="6"/>
  <c r="AT39" i="6"/>
  <c r="AJ39" i="6"/>
  <c r="AZ39" i="6"/>
  <c r="AY39" i="6"/>
  <c r="AV39" i="6"/>
  <c r="AO39" i="6"/>
  <c r="AN39" i="6"/>
  <c r="AQ39" i="6"/>
  <c r="AG39" i="6"/>
  <c r="AB39" i="6"/>
  <c r="AH39" i="6"/>
  <c r="AF39" i="6"/>
  <c r="AK39" i="6"/>
  <c r="AD39" i="6"/>
  <c r="AI39" i="6"/>
  <c r="AV40" i="6"/>
  <c r="AI40" i="6"/>
  <c r="BG40" i="6"/>
  <c r="BF40" i="6"/>
  <c r="AT40" i="6"/>
  <c r="AR40" i="6"/>
  <c r="AK40" i="6"/>
  <c r="AD40" i="6"/>
  <c r="AJ40" i="6"/>
  <c r="AY40" i="6"/>
  <c r="AB40" i="6"/>
  <c r="AQ40" i="6"/>
  <c r="AF40" i="6"/>
  <c r="AG40" i="6"/>
  <c r="AC40" i="6"/>
  <c r="AM40" i="6"/>
  <c r="AS40" i="6"/>
  <c r="AX40" i="6"/>
  <c r="BB40" i="6"/>
  <c r="AH40" i="6"/>
  <c r="AN40" i="6"/>
  <c r="BC40" i="6"/>
  <c r="B47" i="9"/>
  <c r="BD40" i="6"/>
  <c r="B45" i="10"/>
  <c r="BE40" i="6"/>
  <c r="AZ40" i="6"/>
  <c r="BA40" i="6"/>
  <c r="AU40" i="6"/>
  <c r="AO40" i="6"/>
  <c r="B42" i="7"/>
  <c r="C43" i="7"/>
  <c r="A42" i="6"/>
  <c r="N42" i="6" s="1"/>
  <c r="L43" i="12"/>
  <c r="J43" i="12"/>
  <c r="M41" i="6"/>
  <c r="N41" i="6"/>
  <c r="G41" i="12"/>
  <c r="D43" i="6"/>
  <c r="A44" i="12"/>
  <c r="B44" i="6"/>
  <c r="C45" i="5"/>
  <c r="N44" i="5"/>
  <c r="K44" i="5"/>
  <c r="J44" i="5"/>
  <c r="H44" i="5"/>
  <c r="F44" i="5"/>
  <c r="G44" i="5"/>
  <c r="E44" i="5"/>
  <c r="D44" i="5"/>
  <c r="B44" i="12" s="1"/>
  <c r="B44" i="5"/>
  <c r="AE44" i="5"/>
  <c r="AD44" i="5"/>
  <c r="H42" i="6"/>
  <c r="T42" i="5" s="1"/>
  <c r="M42" i="6" l="1"/>
  <c r="BF42" i="6" s="1"/>
  <c r="B43" i="7"/>
  <c r="C44" i="7"/>
  <c r="AD41" i="6"/>
  <c r="AF41" i="6"/>
  <c r="B46" i="10"/>
  <c r="B48" i="9"/>
  <c r="AB41" i="6"/>
  <c r="H43" i="6"/>
  <c r="T43" i="5" s="1"/>
  <c r="K43" i="12"/>
  <c r="AY41" i="6"/>
  <c r="BE41" i="6"/>
  <c r="AN41" i="6"/>
  <c r="AI41" i="6"/>
  <c r="AH41" i="6"/>
  <c r="BD41" i="6"/>
  <c r="BG41" i="6"/>
  <c r="AX41" i="6"/>
  <c r="BC41" i="6"/>
  <c r="AP41" i="6"/>
  <c r="AM41" i="6"/>
  <c r="AG41" i="6"/>
  <c r="BB41" i="6"/>
  <c r="AO41" i="6"/>
  <c r="AV41" i="6"/>
  <c r="BF41" i="6"/>
  <c r="AJ41" i="6"/>
  <c r="BA41" i="6"/>
  <c r="AS41" i="6"/>
  <c r="AK41" i="6"/>
  <c r="AT41" i="6"/>
  <c r="AZ41" i="6"/>
  <c r="AR41" i="6"/>
  <c r="AU41" i="6"/>
  <c r="AQ41" i="6"/>
  <c r="L44" i="12"/>
  <c r="J44" i="12"/>
  <c r="G42" i="12"/>
  <c r="D44" i="6"/>
  <c r="A43" i="6"/>
  <c r="AC41" i="6"/>
  <c r="A45" i="12"/>
  <c r="B45" i="6"/>
  <c r="B45" i="5"/>
  <c r="C46" i="5"/>
  <c r="C47" i="5" s="1"/>
  <c r="N45" i="5"/>
  <c r="K45" i="5"/>
  <c r="J45" i="5"/>
  <c r="G45" i="5"/>
  <c r="H45" i="5"/>
  <c r="E45" i="5"/>
  <c r="D45" i="5"/>
  <c r="B45" i="12" s="1"/>
  <c r="AE45" i="5"/>
  <c r="AD45" i="5"/>
  <c r="F45" i="5"/>
  <c r="D47" i="5" l="1"/>
  <c r="B47" i="12" s="1"/>
  <c r="K47" i="5"/>
  <c r="J47" i="5"/>
  <c r="AE47" i="5"/>
  <c r="B47" i="6"/>
  <c r="AD47" i="5"/>
  <c r="A47" i="12"/>
  <c r="N47" i="5"/>
  <c r="AF42" i="6"/>
  <c r="AZ42" i="6"/>
  <c r="BE42" i="6"/>
  <c r="AB42" i="6"/>
  <c r="BC42" i="6"/>
  <c r="AP42" i="6"/>
  <c r="BA42" i="6"/>
  <c r="BD42" i="6"/>
  <c r="AD42" i="6"/>
  <c r="AT42" i="6"/>
  <c r="AG42" i="6"/>
  <c r="AC42" i="6"/>
  <c r="AY42" i="6"/>
  <c r="AX42" i="6"/>
  <c r="AV42" i="6"/>
  <c r="AS42" i="6"/>
  <c r="K44" i="12"/>
  <c r="AU42" i="6"/>
  <c r="BG42" i="6"/>
  <c r="BB42" i="6"/>
  <c r="AQ42" i="6"/>
  <c r="AI42" i="6"/>
  <c r="AH42" i="6"/>
  <c r="AO42" i="6"/>
  <c r="AN42" i="6"/>
  <c r="AK42" i="6"/>
  <c r="AJ42" i="6"/>
  <c r="AM42" i="6"/>
  <c r="AR42" i="6"/>
  <c r="B44" i="7"/>
  <c r="C45" i="7"/>
  <c r="B47" i="10"/>
  <c r="B49" i="9"/>
  <c r="A44" i="6"/>
  <c r="N44" i="6" s="1"/>
  <c r="D45" i="6"/>
  <c r="G43" i="12"/>
  <c r="N43" i="6"/>
  <c r="A46" i="12"/>
  <c r="B46" i="6"/>
  <c r="N46" i="5"/>
  <c r="K46" i="5"/>
  <c r="J46" i="5"/>
  <c r="H46" i="5"/>
  <c r="H47" i="5" s="1"/>
  <c r="F46" i="5"/>
  <c r="F47" i="5" s="1"/>
  <c r="G46" i="5"/>
  <c r="G47" i="5" s="1"/>
  <c r="D46" i="5"/>
  <c r="B46" i="12" s="1"/>
  <c r="B46" i="5"/>
  <c r="B47" i="5" s="1"/>
  <c r="AE46" i="5"/>
  <c r="AD46" i="5"/>
  <c r="E46" i="5"/>
  <c r="E47" i="5" s="1"/>
  <c r="L45" i="12"/>
  <c r="J45" i="12"/>
  <c r="H44" i="6"/>
  <c r="T44" i="5" s="1"/>
  <c r="M43" i="6"/>
  <c r="C48" i="5" l="1"/>
  <c r="R48" i="5" s="1"/>
  <c r="L47" i="12"/>
  <c r="J47" i="12"/>
  <c r="D47" i="6"/>
  <c r="B50" i="9"/>
  <c r="AH43" i="6"/>
  <c r="B48" i="10"/>
  <c r="C46" i="7"/>
  <c r="B45" i="7"/>
  <c r="A45" i="6"/>
  <c r="M45" i="6" s="1"/>
  <c r="BE45" i="6" s="1"/>
  <c r="M44" i="6"/>
  <c r="AJ44" i="6" s="1"/>
  <c r="AG43" i="6"/>
  <c r="AK43" i="6"/>
  <c r="L46" i="12"/>
  <c r="J46" i="12"/>
  <c r="AB43" i="6"/>
  <c r="AI43" i="6"/>
  <c r="AC43" i="6"/>
  <c r="H45" i="6"/>
  <c r="T45" i="5" s="1"/>
  <c r="K45" i="12"/>
  <c r="G44" i="12"/>
  <c r="D46" i="6"/>
  <c r="AN43" i="6"/>
  <c r="BB43" i="6"/>
  <c r="BA43" i="6"/>
  <c r="AM43" i="6"/>
  <c r="AZ43" i="6"/>
  <c r="AD43" i="6"/>
  <c r="AO43" i="6"/>
  <c r="AY43" i="6"/>
  <c r="AS43" i="6"/>
  <c r="BC43" i="6"/>
  <c r="AP43" i="6"/>
  <c r="AQ43" i="6"/>
  <c r="AX43" i="6"/>
  <c r="BD43" i="6"/>
  <c r="AV43" i="6"/>
  <c r="BG43" i="6"/>
  <c r="AU43" i="6"/>
  <c r="BF43" i="6"/>
  <c r="BE43" i="6"/>
  <c r="AT43" i="6"/>
  <c r="AR43" i="6"/>
  <c r="AF43" i="6"/>
  <c r="AJ43" i="6"/>
  <c r="A48" i="12" l="1"/>
  <c r="H48" i="5"/>
  <c r="AD48" i="5"/>
  <c r="N48" i="5"/>
  <c r="D48" i="6" s="1"/>
  <c r="C49" i="5"/>
  <c r="J49" i="5" s="1"/>
  <c r="AE48" i="5"/>
  <c r="F48" i="5"/>
  <c r="W48" i="5"/>
  <c r="H48" i="12" s="1"/>
  <c r="E48" i="5"/>
  <c r="B48" i="5"/>
  <c r="G48" i="5"/>
  <c r="B48" i="6"/>
  <c r="K47" i="12"/>
  <c r="H47" i="6"/>
  <c r="T47" i="5" s="1"/>
  <c r="AD44" i="6"/>
  <c r="C47" i="7"/>
  <c r="B46" i="7"/>
  <c r="B49" i="10"/>
  <c r="B51" i="9"/>
  <c r="N45" i="6"/>
  <c r="BF44" i="6"/>
  <c r="AC44" i="6"/>
  <c r="BE44" i="6"/>
  <c r="AK44" i="6"/>
  <c r="AB44" i="6"/>
  <c r="AF44" i="6"/>
  <c r="AV44" i="6"/>
  <c r="BA44" i="6"/>
  <c r="AZ44" i="6"/>
  <c r="AO44" i="6"/>
  <c r="AP44" i="6"/>
  <c r="AU44" i="6"/>
  <c r="AS44" i="6"/>
  <c r="AT44" i="6"/>
  <c r="BG44" i="6"/>
  <c r="AQ44" i="6"/>
  <c r="AR44" i="6"/>
  <c r="AN44" i="6"/>
  <c r="AM44" i="6"/>
  <c r="BB44" i="6"/>
  <c r="AY44" i="6"/>
  <c r="AI44" i="6"/>
  <c r="AX44" i="6"/>
  <c r="BD44" i="6"/>
  <c r="AH44" i="6"/>
  <c r="BC44" i="6"/>
  <c r="AG44" i="6"/>
  <c r="AJ45" i="6"/>
  <c r="AR45" i="6"/>
  <c r="BC45" i="6"/>
  <c r="K46" i="12"/>
  <c r="AD45" i="6"/>
  <c r="AH45" i="6"/>
  <c r="AP45" i="6"/>
  <c r="AX45" i="6"/>
  <c r="AV45" i="6"/>
  <c r="AQ45" i="6"/>
  <c r="AC45" i="6"/>
  <c r="AT45" i="6"/>
  <c r="AY45" i="6"/>
  <c r="AK45" i="6"/>
  <c r="H46" i="6"/>
  <c r="T46" i="5" s="1"/>
  <c r="AU45" i="6"/>
  <c r="AZ45" i="6"/>
  <c r="BA45" i="6"/>
  <c r="BB45" i="6"/>
  <c r="E48" i="12"/>
  <c r="F48" i="6"/>
  <c r="AG45" i="6"/>
  <c r="AS45" i="6"/>
  <c r="AO45" i="6"/>
  <c r="AB45" i="6"/>
  <c r="BD45" i="6"/>
  <c r="A46" i="6"/>
  <c r="BF45" i="6"/>
  <c r="BG45" i="6"/>
  <c r="AM45" i="6"/>
  <c r="AI45" i="6"/>
  <c r="AN45" i="6"/>
  <c r="G45" i="12"/>
  <c r="AF45" i="6"/>
  <c r="AD49" i="5" l="1"/>
  <c r="N49" i="5"/>
  <c r="D49" i="6" s="1"/>
  <c r="C50" i="5"/>
  <c r="C51" i="5" s="1"/>
  <c r="AE49" i="5"/>
  <c r="B49" i="6"/>
  <c r="K49" i="5"/>
  <c r="D49" i="5"/>
  <c r="B49" i="12" s="1"/>
  <c r="A49" i="12"/>
  <c r="L49" i="12" s="1"/>
  <c r="H49" i="5"/>
  <c r="G49" i="5"/>
  <c r="B49" i="5"/>
  <c r="E49" i="5"/>
  <c r="F49" i="5"/>
  <c r="G47" i="12"/>
  <c r="M46" i="6"/>
  <c r="AD46" i="6" s="1"/>
  <c r="A47" i="6"/>
  <c r="A48" i="6" s="1"/>
  <c r="B50" i="10"/>
  <c r="C48" i="7"/>
  <c r="B47" i="7"/>
  <c r="B52" i="9"/>
  <c r="N46" i="6"/>
  <c r="G48" i="6"/>
  <c r="H48" i="6"/>
  <c r="T48" i="5" s="1"/>
  <c r="G46" i="12"/>
  <c r="AD50" i="5" l="1"/>
  <c r="B50" i="6"/>
  <c r="E50" i="5"/>
  <c r="E51" i="5" s="1"/>
  <c r="B50" i="5"/>
  <c r="B51" i="5" s="1"/>
  <c r="K50" i="5"/>
  <c r="D50" i="5"/>
  <c r="B50" i="12" s="1"/>
  <c r="A50" i="12"/>
  <c r="L50" i="12" s="1"/>
  <c r="J50" i="5"/>
  <c r="F50" i="5"/>
  <c r="F51" i="5" s="1"/>
  <c r="AE50" i="5"/>
  <c r="N50" i="5"/>
  <c r="D50" i="6" s="1"/>
  <c r="G50" i="5"/>
  <c r="G51" i="5" s="1"/>
  <c r="H50" i="5"/>
  <c r="H51" i="5" s="1"/>
  <c r="J49" i="12"/>
  <c r="K49" i="12" s="1"/>
  <c r="AM46" i="6"/>
  <c r="AX46" i="6"/>
  <c r="AB46" i="6"/>
  <c r="AP46" i="6"/>
  <c r="AO46" i="6"/>
  <c r="BA46" i="6"/>
  <c r="AJ46" i="6"/>
  <c r="AZ46" i="6"/>
  <c r="AQ46" i="6"/>
  <c r="AH46" i="6"/>
  <c r="AR46" i="6"/>
  <c r="BC46" i="6"/>
  <c r="BD46" i="6"/>
  <c r="AG46" i="6"/>
  <c r="AK46" i="6"/>
  <c r="BF46" i="6"/>
  <c r="AC46" i="6"/>
  <c r="AN46" i="6"/>
  <c r="AF46" i="6"/>
  <c r="BE46" i="6"/>
  <c r="AY46" i="6"/>
  <c r="BB46" i="6"/>
  <c r="AV46" i="6"/>
  <c r="AI46" i="6"/>
  <c r="AS46" i="6"/>
  <c r="AT46" i="6"/>
  <c r="M47" i="6"/>
  <c r="N47" i="6"/>
  <c r="BG46" i="6"/>
  <c r="AU46" i="6"/>
  <c r="B53" i="9"/>
  <c r="C49" i="7"/>
  <c r="B48" i="7"/>
  <c r="A49" i="6"/>
  <c r="M49" i="6" s="1"/>
  <c r="B51" i="10"/>
  <c r="N48" i="6"/>
  <c r="M48" i="6"/>
  <c r="G48" i="12"/>
  <c r="H49" i="6"/>
  <c r="T49" i="5" s="1"/>
  <c r="A51" i="12"/>
  <c r="B51" i="6"/>
  <c r="C52" i="5"/>
  <c r="N51" i="5"/>
  <c r="K51" i="5"/>
  <c r="J51" i="5"/>
  <c r="AE51" i="5"/>
  <c r="AD51" i="5"/>
  <c r="D51" i="5"/>
  <c r="B51" i="12" s="1"/>
  <c r="J50" i="12" l="1"/>
  <c r="K50" i="12" s="1"/>
  <c r="BE47" i="6"/>
  <c r="BC47" i="6"/>
  <c r="AS47" i="6"/>
  <c r="AZ47" i="6"/>
  <c r="AV47" i="6"/>
  <c r="AT47" i="6"/>
  <c r="AQ47" i="6"/>
  <c r="AN47" i="6"/>
  <c r="AY47" i="6"/>
  <c r="BD47" i="6"/>
  <c r="AP47" i="6"/>
  <c r="BA47" i="6"/>
  <c r="BG47" i="6"/>
  <c r="AU47" i="6"/>
  <c r="AR47" i="6"/>
  <c r="BF47" i="6"/>
  <c r="AM47" i="6"/>
  <c r="AI47" i="6"/>
  <c r="AX47" i="6"/>
  <c r="BB47" i="6"/>
  <c r="AO47" i="6"/>
  <c r="AD47" i="6"/>
  <c r="AB47" i="6"/>
  <c r="AK47" i="6"/>
  <c r="AJ47" i="6"/>
  <c r="AG47" i="6"/>
  <c r="AF47" i="6"/>
  <c r="AH47" i="6"/>
  <c r="AC47" i="6"/>
  <c r="AU49" i="6"/>
  <c r="BA49" i="6"/>
  <c r="BB49" i="6"/>
  <c r="BE49" i="6"/>
  <c r="B52" i="10"/>
  <c r="AR48" i="6"/>
  <c r="B49" i="7"/>
  <c r="C50" i="7"/>
  <c r="N49" i="6"/>
  <c r="A50" i="6"/>
  <c r="N50" i="6" s="1"/>
  <c r="B54" i="9"/>
  <c r="AX48" i="6"/>
  <c r="BE48" i="6"/>
  <c r="BD48" i="6"/>
  <c r="BB48" i="6"/>
  <c r="AK48" i="6"/>
  <c r="AI48" i="6"/>
  <c r="AU48" i="6"/>
  <c r="BA48" i="6"/>
  <c r="AM48" i="6"/>
  <c r="AN48" i="6"/>
  <c r="AZ48" i="6"/>
  <c r="AS48" i="6"/>
  <c r="AJ48" i="6"/>
  <c r="AH48" i="6"/>
  <c r="AV48" i="6"/>
  <c r="AG48" i="6"/>
  <c r="AT48" i="6"/>
  <c r="AZ49" i="6"/>
  <c r="BF48" i="6"/>
  <c r="AY48" i="6"/>
  <c r="AP48" i="6"/>
  <c r="AC48" i="6"/>
  <c r="BG48" i="6"/>
  <c r="AB48" i="6"/>
  <c r="AO48" i="6"/>
  <c r="AF48" i="6"/>
  <c r="BC48" i="6"/>
  <c r="AD48" i="6"/>
  <c r="AQ48" i="6"/>
  <c r="BD49" i="6"/>
  <c r="AD49" i="6"/>
  <c r="AJ49" i="6"/>
  <c r="AR49" i="6"/>
  <c r="A52" i="12"/>
  <c r="B52" i="6"/>
  <c r="B52" i="5"/>
  <c r="C53" i="5"/>
  <c r="N52" i="5"/>
  <c r="AE52" i="5"/>
  <c r="K52" i="5"/>
  <c r="G52" i="5"/>
  <c r="F52" i="5"/>
  <c r="AD52" i="5"/>
  <c r="J52" i="5"/>
  <c r="H52" i="5"/>
  <c r="E52" i="5"/>
  <c r="D52" i="5"/>
  <c r="B52" i="12" s="1"/>
  <c r="BG49" i="6"/>
  <c r="AM49" i="6"/>
  <c r="AF49" i="6"/>
  <c r="AS49" i="6"/>
  <c r="AN49" i="6"/>
  <c r="BC49" i="6"/>
  <c r="AK49" i="6"/>
  <c r="AH49" i="6"/>
  <c r="AV49" i="6"/>
  <c r="AG49" i="6"/>
  <c r="AI49" i="6"/>
  <c r="AB49" i="6"/>
  <c r="AP49" i="6"/>
  <c r="AX49" i="6"/>
  <c r="D51" i="6"/>
  <c r="BF49" i="6"/>
  <c r="J51" i="12"/>
  <c r="L51" i="12"/>
  <c r="H50" i="6"/>
  <c r="T50" i="5" s="1"/>
  <c r="AO49" i="6"/>
  <c r="AQ49" i="6"/>
  <c r="AC49" i="6"/>
  <c r="AT49" i="6"/>
  <c r="AY49" i="6"/>
  <c r="G49" i="12"/>
  <c r="M50" i="6" l="1"/>
  <c r="AM50" i="6" s="1"/>
  <c r="B55" i="9"/>
  <c r="B53" i="10"/>
  <c r="B50" i="7"/>
  <c r="C51" i="7"/>
  <c r="A53" i="12"/>
  <c r="B53" i="6"/>
  <c r="C54" i="5"/>
  <c r="N53" i="5"/>
  <c r="K53" i="5"/>
  <c r="J53" i="5"/>
  <c r="H53" i="5"/>
  <c r="G53" i="5"/>
  <c r="F53" i="5"/>
  <c r="B53" i="5"/>
  <c r="AE53" i="5"/>
  <c r="D53" i="5"/>
  <c r="B53" i="12" s="1"/>
  <c r="E53" i="5"/>
  <c r="AD53" i="5"/>
  <c r="D52" i="6"/>
  <c r="H51" i="6"/>
  <c r="T51" i="5" s="1"/>
  <c r="L52" i="12"/>
  <c r="J52" i="12"/>
  <c r="G50" i="12"/>
  <c r="A51" i="6"/>
  <c r="N51" i="6" s="1"/>
  <c r="K51" i="12"/>
  <c r="AI50" i="6" l="1"/>
  <c r="BF50" i="6"/>
  <c r="AQ50" i="6"/>
  <c r="AT50" i="6"/>
  <c r="AK50" i="6"/>
  <c r="BE50" i="6"/>
  <c r="AP50" i="6"/>
  <c r="BA50" i="6"/>
  <c r="AY50" i="6"/>
  <c r="BB50" i="6"/>
  <c r="AR50" i="6"/>
  <c r="AZ50" i="6"/>
  <c r="AX50" i="6"/>
  <c r="BC50" i="6"/>
  <c r="AN50" i="6"/>
  <c r="BD50" i="6"/>
  <c r="BG50" i="6"/>
  <c r="AV50" i="6"/>
  <c r="AJ50" i="6"/>
  <c r="AB50" i="6"/>
  <c r="AD50" i="6"/>
  <c r="AU50" i="6"/>
  <c r="AS50" i="6"/>
  <c r="AH50" i="6"/>
  <c r="AC50" i="6"/>
  <c r="AO50" i="6"/>
  <c r="AG50" i="6"/>
  <c r="AF50" i="6"/>
  <c r="K52" i="12"/>
  <c r="B54" i="10"/>
  <c r="B56" i="9"/>
  <c r="C52" i="7"/>
  <c r="B51" i="7"/>
  <c r="A52" i="6"/>
  <c r="N52" i="6" s="1"/>
  <c r="G51" i="12"/>
  <c r="M51" i="6"/>
  <c r="H52" i="6"/>
  <c r="T52" i="5" s="1"/>
  <c r="D53" i="6"/>
  <c r="A54" i="12"/>
  <c r="B54" i="6"/>
  <c r="B54" i="5"/>
  <c r="C55" i="5"/>
  <c r="N54" i="5"/>
  <c r="G54" i="5"/>
  <c r="H54" i="5"/>
  <c r="F54" i="5"/>
  <c r="E54" i="5"/>
  <c r="D54" i="5"/>
  <c r="B54" i="12" s="1"/>
  <c r="J54" i="5"/>
  <c r="AE54" i="5"/>
  <c r="AD54" i="5"/>
  <c r="K54" i="5"/>
  <c r="J53" i="12"/>
  <c r="L53" i="12"/>
  <c r="K53" i="12" l="1"/>
  <c r="A53" i="6"/>
  <c r="N53" i="6" s="1"/>
  <c r="C53" i="7"/>
  <c r="B52" i="7"/>
  <c r="M52" i="6"/>
  <c r="BA52" i="6" s="1"/>
  <c r="AJ51" i="6"/>
  <c r="B57" i="9"/>
  <c r="B55" i="10"/>
  <c r="D54" i="6"/>
  <c r="AI51" i="6"/>
  <c r="AG51" i="6"/>
  <c r="A55" i="12"/>
  <c r="B55" i="6"/>
  <c r="C56" i="5"/>
  <c r="N55" i="5"/>
  <c r="K55" i="5"/>
  <c r="J55" i="5"/>
  <c r="H55" i="5"/>
  <c r="G55" i="5"/>
  <c r="F55" i="5"/>
  <c r="E55" i="5"/>
  <c r="D55" i="5"/>
  <c r="B55" i="12" s="1"/>
  <c r="B55" i="5"/>
  <c r="AE55" i="5"/>
  <c r="AD55" i="5"/>
  <c r="AF51" i="6"/>
  <c r="G52" i="12"/>
  <c r="AB51" i="6"/>
  <c r="AX51" i="6"/>
  <c r="AN51" i="6"/>
  <c r="BB51" i="6"/>
  <c r="AV51" i="6"/>
  <c r="BG51" i="6"/>
  <c r="AQ51" i="6"/>
  <c r="AU51" i="6"/>
  <c r="BD51" i="6"/>
  <c r="AP51" i="6"/>
  <c r="BF51" i="6"/>
  <c r="AM51" i="6"/>
  <c r="BE51" i="6"/>
  <c r="AR51" i="6"/>
  <c r="AC51" i="6"/>
  <c r="BA51" i="6"/>
  <c r="AS51" i="6"/>
  <c r="AD51" i="6"/>
  <c r="AT51" i="6"/>
  <c r="AO51" i="6"/>
  <c r="BC51" i="6"/>
  <c r="AZ51" i="6"/>
  <c r="AY51" i="6"/>
  <c r="H53" i="6"/>
  <c r="T53" i="5" s="1"/>
  <c r="AK51" i="6"/>
  <c r="AH51" i="6"/>
  <c r="L54" i="12"/>
  <c r="J54" i="12"/>
  <c r="M53" i="6" l="1"/>
  <c r="AV53" i="6" s="1"/>
  <c r="BG52" i="6"/>
  <c r="AO52" i="6"/>
  <c r="AQ52" i="6"/>
  <c r="BB52" i="6"/>
  <c r="AC52" i="6"/>
  <c r="AK52" i="6"/>
  <c r="BF52" i="6"/>
  <c r="AM52" i="6"/>
  <c r="AY52" i="6"/>
  <c r="AG52" i="6"/>
  <c r="AU52" i="6"/>
  <c r="AI52" i="6"/>
  <c r="A54" i="6"/>
  <c r="M54" i="6" s="1"/>
  <c r="AY54" i="6" s="1"/>
  <c r="AS52" i="6"/>
  <c r="BC52" i="6"/>
  <c r="AX52" i="6"/>
  <c r="BD52" i="6"/>
  <c r="AJ52" i="6"/>
  <c r="AF52" i="6"/>
  <c r="AZ52" i="6"/>
  <c r="BE52" i="6"/>
  <c r="AP52" i="6"/>
  <c r="AV52" i="6"/>
  <c r="AN52" i="6"/>
  <c r="AB52" i="6"/>
  <c r="AH52" i="6"/>
  <c r="AD52" i="6"/>
  <c r="AT52" i="6"/>
  <c r="AR52" i="6"/>
  <c r="B56" i="10"/>
  <c r="B58" i="9"/>
  <c r="C54" i="7"/>
  <c r="B53" i="7"/>
  <c r="D55" i="6"/>
  <c r="K54" i="12"/>
  <c r="A56" i="12"/>
  <c r="B56" i="6"/>
  <c r="B56" i="5"/>
  <c r="C57" i="5"/>
  <c r="C58" i="5" s="1"/>
  <c r="N56" i="5"/>
  <c r="AD56" i="5"/>
  <c r="K56" i="5"/>
  <c r="H56" i="5"/>
  <c r="J56" i="5"/>
  <c r="F56" i="5"/>
  <c r="E56" i="5"/>
  <c r="D56" i="5"/>
  <c r="B56" i="12" s="1"/>
  <c r="G56" i="5"/>
  <c r="AE56" i="5"/>
  <c r="H54" i="6"/>
  <c r="T54" i="5" s="1"/>
  <c r="G53" i="12"/>
  <c r="L55" i="12"/>
  <c r="J55" i="12"/>
  <c r="D58" i="5" l="1"/>
  <c r="B58" i="12" s="1"/>
  <c r="K58" i="5"/>
  <c r="J58" i="5"/>
  <c r="AE58" i="5"/>
  <c r="B58" i="6"/>
  <c r="AD58" i="5"/>
  <c r="A58" i="12"/>
  <c r="N58" i="5"/>
  <c r="AD53" i="6"/>
  <c r="AF53" i="6"/>
  <c r="BD53" i="6"/>
  <c r="BC53" i="6"/>
  <c r="BA53" i="6"/>
  <c r="AO53" i="6"/>
  <c r="AX53" i="6"/>
  <c r="AH53" i="6"/>
  <c r="AT53" i="6"/>
  <c r="AC53" i="6"/>
  <c r="AS53" i="6"/>
  <c r="AB53" i="6"/>
  <c r="BB53" i="6"/>
  <c r="BG53" i="6"/>
  <c r="BF53" i="6"/>
  <c r="AP53" i="6"/>
  <c r="AQ53" i="6"/>
  <c r="AG53" i="6"/>
  <c r="AI53" i="6"/>
  <c r="AR53" i="6"/>
  <c r="AY53" i="6"/>
  <c r="AK53" i="6"/>
  <c r="BE53" i="6"/>
  <c r="AJ53" i="6"/>
  <c r="AZ53" i="6"/>
  <c r="AN53" i="6"/>
  <c r="AU53" i="6"/>
  <c r="AM53" i="6"/>
  <c r="N54" i="6"/>
  <c r="A55" i="6"/>
  <c r="N55" i="6" s="1"/>
  <c r="K55" i="12"/>
  <c r="C55" i="7"/>
  <c r="B54" i="7"/>
  <c r="AQ54" i="6"/>
  <c r="AP54" i="6"/>
  <c r="B59" i="9"/>
  <c r="B57" i="10"/>
  <c r="AR54" i="6"/>
  <c r="AD54" i="6"/>
  <c r="BA54" i="6"/>
  <c r="BB54" i="6"/>
  <c r="AZ54" i="6"/>
  <c r="AF54" i="6"/>
  <c r="AI54" i="6"/>
  <c r="AJ54" i="6"/>
  <c r="AK54" i="6"/>
  <c r="AM54" i="6"/>
  <c r="AO54" i="6"/>
  <c r="H55" i="6"/>
  <c r="T55" i="5" s="1"/>
  <c r="BG54" i="6"/>
  <c r="G54" i="12"/>
  <c r="AN54" i="6"/>
  <c r="AS54" i="6"/>
  <c r="AT54" i="6"/>
  <c r="AU54" i="6"/>
  <c r="BD54" i="6"/>
  <c r="AB54" i="6"/>
  <c r="L56" i="12"/>
  <c r="J56" i="12"/>
  <c r="BE54" i="6"/>
  <c r="AX54" i="6"/>
  <c r="BC54" i="6"/>
  <c r="AG54" i="6"/>
  <c r="BF54" i="6"/>
  <c r="AC54" i="6"/>
  <c r="D56" i="6"/>
  <c r="AV54" i="6"/>
  <c r="AH54" i="6"/>
  <c r="A57" i="12"/>
  <c r="B57" i="6"/>
  <c r="N57" i="5"/>
  <c r="K57" i="5"/>
  <c r="J57" i="5"/>
  <c r="H57" i="5"/>
  <c r="H58" i="5" s="1"/>
  <c r="G57" i="5"/>
  <c r="G58" i="5" s="1"/>
  <c r="F57" i="5"/>
  <c r="F58" i="5" s="1"/>
  <c r="AD57" i="5"/>
  <c r="B57" i="5"/>
  <c r="B58" i="5" s="1"/>
  <c r="E57" i="5"/>
  <c r="E58" i="5" s="1"/>
  <c r="D57" i="5"/>
  <c r="B57" i="12" s="1"/>
  <c r="AE57" i="5"/>
  <c r="L58" i="12" l="1"/>
  <c r="J58" i="12"/>
  <c r="D58" i="6"/>
  <c r="C59" i="5"/>
  <c r="R59" i="5" s="1"/>
  <c r="M55" i="6"/>
  <c r="AO55" i="6" s="1"/>
  <c r="B60" i="9"/>
  <c r="B58" i="10"/>
  <c r="C56" i="7"/>
  <c r="B55" i="7"/>
  <c r="K56" i="12"/>
  <c r="D57" i="6"/>
  <c r="G55" i="12"/>
  <c r="H56" i="6"/>
  <c r="T56" i="5" s="1"/>
  <c r="L57" i="12"/>
  <c r="J57" i="12"/>
  <c r="A56" i="6"/>
  <c r="N56" i="6" s="1"/>
  <c r="B59" i="5" l="1"/>
  <c r="C60" i="5" s="1"/>
  <c r="B60" i="5" s="1"/>
  <c r="K58" i="12"/>
  <c r="N59" i="5"/>
  <c r="D59" i="6" s="1"/>
  <c r="B59" i="6"/>
  <c r="A59" i="12"/>
  <c r="F59" i="5"/>
  <c r="G59" i="5"/>
  <c r="H59" i="5"/>
  <c r="E59" i="5"/>
  <c r="W59" i="5"/>
  <c r="H59" i="12" s="1"/>
  <c r="AD59" i="5"/>
  <c r="AE59" i="5"/>
  <c r="H58" i="6"/>
  <c r="T58" i="5" s="1"/>
  <c r="AI55" i="6"/>
  <c r="AY55" i="6"/>
  <c r="AH55" i="6"/>
  <c r="BF55" i="6"/>
  <c r="AF55" i="6"/>
  <c r="AQ55" i="6"/>
  <c r="AM55" i="6"/>
  <c r="AS55" i="6"/>
  <c r="AK55" i="6"/>
  <c r="AX55" i="6"/>
  <c r="AJ55" i="6"/>
  <c r="AZ55" i="6"/>
  <c r="AT55" i="6"/>
  <c r="AG55" i="6"/>
  <c r="BE55" i="6"/>
  <c r="BB55" i="6"/>
  <c r="AV55" i="6"/>
  <c r="BD55" i="6"/>
  <c r="AP55" i="6"/>
  <c r="AR55" i="6"/>
  <c r="BG55" i="6"/>
  <c r="BC55" i="6"/>
  <c r="BA55" i="6"/>
  <c r="AU55" i="6"/>
  <c r="AN55" i="6"/>
  <c r="AB55" i="6"/>
  <c r="AC55" i="6"/>
  <c r="AD55" i="6"/>
  <c r="B56" i="7"/>
  <c r="C57" i="7"/>
  <c r="B59" i="10"/>
  <c r="B61" i="9"/>
  <c r="A57" i="6"/>
  <c r="K57" i="12"/>
  <c r="M56" i="6"/>
  <c r="H57" i="6"/>
  <c r="T57" i="5" s="1"/>
  <c r="G56" i="12"/>
  <c r="E59" i="12"/>
  <c r="F59" i="6"/>
  <c r="B60" i="6" l="1"/>
  <c r="W60" i="5"/>
  <c r="H60" i="12" s="1"/>
  <c r="AD60" i="5"/>
  <c r="E60" i="5"/>
  <c r="A60" i="12"/>
  <c r="AE60" i="5"/>
  <c r="H60" i="5"/>
  <c r="N60" i="5"/>
  <c r="D60" i="6" s="1"/>
  <c r="C61" i="5"/>
  <c r="A61" i="12" s="1"/>
  <c r="G60" i="5"/>
  <c r="F60" i="5"/>
  <c r="N57" i="6"/>
  <c r="A58" i="6"/>
  <c r="G58" i="12"/>
  <c r="AK56" i="6"/>
  <c r="B62" i="9"/>
  <c r="B60" i="10"/>
  <c r="B57" i="7"/>
  <c r="C58" i="7"/>
  <c r="A59" i="6"/>
  <c r="M59" i="6" s="1"/>
  <c r="M57" i="6"/>
  <c r="AF57" i="6" s="1"/>
  <c r="AB56" i="6"/>
  <c r="AI56" i="6"/>
  <c r="G57" i="12"/>
  <c r="H59" i="6"/>
  <c r="T59" i="5" s="1"/>
  <c r="G59" i="6"/>
  <c r="E60" i="12"/>
  <c r="F60" i="6"/>
  <c r="AP56" i="6"/>
  <c r="AO56" i="6"/>
  <c r="AG56" i="6"/>
  <c r="AV56" i="6"/>
  <c r="BE56" i="6"/>
  <c r="AN56" i="6"/>
  <c r="AU56" i="6"/>
  <c r="AM56" i="6"/>
  <c r="AR56" i="6"/>
  <c r="AT56" i="6"/>
  <c r="BG56" i="6"/>
  <c r="AC56" i="6"/>
  <c r="AX56" i="6"/>
  <c r="AQ56" i="6"/>
  <c r="AH56" i="6"/>
  <c r="BB56" i="6"/>
  <c r="AF56" i="6"/>
  <c r="AS56" i="6"/>
  <c r="BA56" i="6"/>
  <c r="AZ56" i="6"/>
  <c r="BF56" i="6"/>
  <c r="BC56" i="6"/>
  <c r="AD56" i="6"/>
  <c r="BD56" i="6"/>
  <c r="AY56" i="6"/>
  <c r="AJ56" i="6"/>
  <c r="E61" i="5" l="1"/>
  <c r="F61" i="5"/>
  <c r="K61" i="5"/>
  <c r="G61" i="5"/>
  <c r="AD61" i="5"/>
  <c r="B61" i="6"/>
  <c r="C62" i="5"/>
  <c r="H61" i="5"/>
  <c r="J61" i="5"/>
  <c r="D61" i="5"/>
  <c r="B61" i="12" s="1"/>
  <c r="B61" i="5"/>
  <c r="N61" i="5"/>
  <c r="D61" i="6" s="1"/>
  <c r="AE61" i="5"/>
  <c r="M58" i="6"/>
  <c r="N58" i="6"/>
  <c r="AV57" i="6"/>
  <c r="AU57" i="6"/>
  <c r="BE57" i="6"/>
  <c r="AC57" i="6"/>
  <c r="AQ57" i="6"/>
  <c r="AD57" i="6"/>
  <c r="AY57" i="6"/>
  <c r="AN57" i="6"/>
  <c r="AT59" i="6"/>
  <c r="AT57" i="6"/>
  <c r="C59" i="7"/>
  <c r="B58" i="7"/>
  <c r="AH57" i="6"/>
  <c r="AJ57" i="6"/>
  <c r="AG57" i="6"/>
  <c r="B61" i="10"/>
  <c r="AM57" i="6"/>
  <c r="N59" i="6"/>
  <c r="AO57" i="6"/>
  <c r="AI57" i="6"/>
  <c r="AP57" i="6"/>
  <c r="B63" i="9"/>
  <c r="AX57" i="6"/>
  <c r="AK57" i="6"/>
  <c r="AZ57" i="6"/>
  <c r="AB57" i="6"/>
  <c r="AR57" i="6"/>
  <c r="BB57" i="6"/>
  <c r="BF57" i="6"/>
  <c r="BD57" i="6"/>
  <c r="BC57" i="6"/>
  <c r="AS57" i="6"/>
  <c r="BA57" i="6"/>
  <c r="BG57" i="6"/>
  <c r="AR59" i="6"/>
  <c r="AC59" i="6"/>
  <c r="AU59" i="6"/>
  <c r="AX59" i="6"/>
  <c r="AM59" i="6"/>
  <c r="AZ59" i="6"/>
  <c r="AD59" i="6"/>
  <c r="AG59" i="6"/>
  <c r="AV59" i="6"/>
  <c r="BA59" i="6"/>
  <c r="AF59" i="6"/>
  <c r="H60" i="6"/>
  <c r="T60" i="5" s="1"/>
  <c r="G60" i="6"/>
  <c r="AH59" i="6"/>
  <c r="AB59" i="6"/>
  <c r="AO59" i="6"/>
  <c r="AP59" i="6"/>
  <c r="AS59" i="6"/>
  <c r="BC59" i="6"/>
  <c r="BB59" i="6"/>
  <c r="AY59" i="6"/>
  <c r="BD59" i="6"/>
  <c r="AK59" i="6"/>
  <c r="BE59" i="6"/>
  <c r="AJ59" i="6"/>
  <c r="BF59" i="6"/>
  <c r="BG59" i="6"/>
  <c r="AI59" i="6"/>
  <c r="AN59" i="6"/>
  <c r="AQ59" i="6"/>
  <c r="G59" i="12"/>
  <c r="A60" i="6"/>
  <c r="N60" i="6" s="1"/>
  <c r="L61" i="12"/>
  <c r="J61" i="12"/>
  <c r="D62" i="5" l="1"/>
  <c r="B62" i="12" s="1"/>
  <c r="K62" i="5"/>
  <c r="C63" i="5"/>
  <c r="AE62" i="5"/>
  <c r="A62" i="12"/>
  <c r="B62" i="6"/>
  <c r="AD62" i="5"/>
  <c r="H62" i="5"/>
  <c r="N62" i="5"/>
  <c r="E62" i="5"/>
  <c r="J62" i="5"/>
  <c r="G62" i="5"/>
  <c r="F62" i="5"/>
  <c r="B62" i="5"/>
  <c r="BE58" i="6"/>
  <c r="AF58" i="6"/>
  <c r="AV58" i="6"/>
  <c r="BC58" i="6"/>
  <c r="AZ58" i="6"/>
  <c r="AN58" i="6"/>
  <c r="AT58" i="6"/>
  <c r="AP58" i="6"/>
  <c r="AQ58" i="6"/>
  <c r="BA58" i="6"/>
  <c r="BD58" i="6"/>
  <c r="AR58" i="6"/>
  <c r="AU58" i="6"/>
  <c r="BG58" i="6"/>
  <c r="BF58" i="6"/>
  <c r="AM58" i="6"/>
  <c r="BB58" i="6"/>
  <c r="AX58" i="6"/>
  <c r="AS58" i="6"/>
  <c r="AY58" i="6"/>
  <c r="AO58" i="6"/>
  <c r="AD58" i="6"/>
  <c r="AI58" i="6"/>
  <c r="AC58" i="6"/>
  <c r="AJ58" i="6"/>
  <c r="AH58" i="6"/>
  <c r="AG58" i="6"/>
  <c r="AK58" i="6"/>
  <c r="AB58" i="6"/>
  <c r="C60" i="7"/>
  <c r="B59" i="7"/>
  <c r="B64" i="9"/>
  <c r="B62" i="10"/>
  <c r="K61" i="12"/>
  <c r="A61" i="6"/>
  <c r="H61" i="6"/>
  <c r="T61" i="5" s="1"/>
  <c r="G60" i="12"/>
  <c r="M60" i="6"/>
  <c r="AB60" i="6" s="1"/>
  <c r="D62" i="6" l="1"/>
  <c r="J62" i="12"/>
  <c r="L62" i="12"/>
  <c r="F63" i="5"/>
  <c r="N63" i="5"/>
  <c r="E63" i="5"/>
  <c r="K63" i="5"/>
  <c r="B63" i="6"/>
  <c r="J63" i="5"/>
  <c r="B63" i="5"/>
  <c r="A63" i="12"/>
  <c r="G63" i="5"/>
  <c r="AE63" i="5"/>
  <c r="D63" i="5"/>
  <c r="B63" i="12" s="1"/>
  <c r="AD63" i="5"/>
  <c r="C64" i="5"/>
  <c r="H63" i="5"/>
  <c r="N61" i="6"/>
  <c r="AG60" i="6"/>
  <c r="B63" i="10"/>
  <c r="C61" i="7"/>
  <c r="B60" i="7"/>
  <c r="G61" i="12"/>
  <c r="M61" i="6"/>
  <c r="AG61" i="6" s="1"/>
  <c r="BD60" i="6"/>
  <c r="AS60" i="6"/>
  <c r="AJ60" i="6"/>
  <c r="BG60" i="6"/>
  <c r="AV60" i="6"/>
  <c r="AN60" i="6"/>
  <c r="AO60" i="6"/>
  <c r="AZ60" i="6"/>
  <c r="AH60" i="6"/>
  <c r="BB60" i="6"/>
  <c r="AD60" i="6"/>
  <c r="AU60" i="6"/>
  <c r="BE60" i="6"/>
  <c r="BF60" i="6"/>
  <c r="AT60" i="6"/>
  <c r="AI60" i="6"/>
  <c r="AX60" i="6"/>
  <c r="AP60" i="6"/>
  <c r="AK60" i="6"/>
  <c r="BC60" i="6"/>
  <c r="AQ60" i="6"/>
  <c r="BA60" i="6"/>
  <c r="AR60" i="6"/>
  <c r="AF60" i="6"/>
  <c r="AC60" i="6"/>
  <c r="AM60" i="6"/>
  <c r="AY60" i="6"/>
  <c r="K62" i="12" l="1"/>
  <c r="L63" i="12"/>
  <c r="J63" i="12"/>
  <c r="D63" i="6"/>
  <c r="AD64" i="5"/>
  <c r="H64" i="5"/>
  <c r="A64" i="12"/>
  <c r="G64" i="5"/>
  <c r="N64" i="5"/>
  <c r="E64" i="5"/>
  <c r="B64" i="6"/>
  <c r="D64" i="5"/>
  <c r="B64" i="12" s="1"/>
  <c r="C65" i="5"/>
  <c r="AE64" i="5"/>
  <c r="K64" i="5"/>
  <c r="J64" i="5"/>
  <c r="F64" i="5"/>
  <c r="B64" i="5"/>
  <c r="H62" i="6"/>
  <c r="T62" i="5" s="1"/>
  <c r="A62" i="6"/>
  <c r="M62" i="6" s="1"/>
  <c r="AD61" i="6"/>
  <c r="AH61" i="6"/>
  <c r="AF61" i="6"/>
  <c r="AB61" i="6"/>
  <c r="C62" i="7"/>
  <c r="B61" i="7"/>
  <c r="AJ61" i="6"/>
  <c r="B64" i="10"/>
  <c r="AV61" i="6"/>
  <c r="BF61" i="6"/>
  <c r="BA61" i="6"/>
  <c r="AX61" i="6"/>
  <c r="AT61" i="6"/>
  <c r="AS61" i="6"/>
  <c r="AR61" i="6"/>
  <c r="AU61" i="6"/>
  <c r="AK61" i="6"/>
  <c r="AZ61" i="6"/>
  <c r="AQ61" i="6"/>
  <c r="BB61" i="6"/>
  <c r="BE61" i="6"/>
  <c r="AN61" i="6"/>
  <c r="AY61" i="6"/>
  <c r="BD61" i="6"/>
  <c r="BG61" i="6"/>
  <c r="AP61" i="6"/>
  <c r="AM61" i="6"/>
  <c r="BC61" i="6"/>
  <c r="AO61" i="6"/>
  <c r="AC61" i="6"/>
  <c r="AI61" i="6"/>
  <c r="A63" i="6" l="1"/>
  <c r="N63" i="6" s="1"/>
  <c r="N62" i="6"/>
  <c r="BC62" i="6"/>
  <c r="BD62" i="6"/>
  <c r="AZ62" i="6"/>
  <c r="BF62" i="6"/>
  <c r="AY62" i="6"/>
  <c r="AS62" i="6"/>
  <c r="AN62" i="6"/>
  <c r="BG62" i="6"/>
  <c r="AU62" i="6"/>
  <c r="AX62" i="6"/>
  <c r="AT62" i="6"/>
  <c r="AM62" i="6"/>
  <c r="BA62" i="6"/>
  <c r="AO62" i="6"/>
  <c r="AP62" i="6"/>
  <c r="BB62" i="6"/>
  <c r="AV62" i="6"/>
  <c r="AR62" i="6"/>
  <c r="BE62" i="6"/>
  <c r="AQ62" i="6"/>
  <c r="AI62" i="6"/>
  <c r="AK62" i="6"/>
  <c r="AF62" i="6"/>
  <c r="AD62" i="6"/>
  <c r="AG62" i="6"/>
  <c r="D64" i="6"/>
  <c r="K63" i="12"/>
  <c r="G62" i="12"/>
  <c r="AJ62" i="6"/>
  <c r="AC62" i="6"/>
  <c r="H63" i="6"/>
  <c r="T63" i="5" s="1"/>
  <c r="AH62" i="6"/>
  <c r="J65" i="5"/>
  <c r="B65" i="5"/>
  <c r="C66" i="5"/>
  <c r="AE65" i="5"/>
  <c r="A65" i="12"/>
  <c r="G65" i="5"/>
  <c r="N65" i="5"/>
  <c r="B65" i="6"/>
  <c r="F65" i="5"/>
  <c r="E65" i="5"/>
  <c r="K65" i="5"/>
  <c r="H65" i="5"/>
  <c r="D65" i="5"/>
  <c r="B65" i="12" s="1"/>
  <c r="AD65" i="5"/>
  <c r="J64" i="12"/>
  <c r="L64" i="12"/>
  <c r="AB62" i="6"/>
  <c r="B62" i="7"/>
  <c r="C63" i="7"/>
  <c r="K64" i="12" l="1"/>
  <c r="M63" i="6"/>
  <c r="AR63" i="6" s="1"/>
  <c r="D65" i="6"/>
  <c r="D66" i="5"/>
  <c r="B66" i="12" s="1"/>
  <c r="K66" i="5"/>
  <c r="AE66" i="5"/>
  <c r="B66" i="6"/>
  <c r="AD66" i="5"/>
  <c r="H66" i="5"/>
  <c r="A66" i="12"/>
  <c r="G66" i="5"/>
  <c r="N66" i="5"/>
  <c r="E66" i="5"/>
  <c r="F66" i="5"/>
  <c r="B66" i="5"/>
  <c r="J66" i="5"/>
  <c r="C67" i="5"/>
  <c r="H64" i="6"/>
  <c r="T64" i="5" s="1"/>
  <c r="L65" i="12"/>
  <c r="J65" i="12"/>
  <c r="G63" i="12"/>
  <c r="A64" i="6"/>
  <c r="M64" i="6" s="1"/>
  <c r="B63" i="7"/>
  <c r="C64" i="7"/>
  <c r="B64" i="7" s="1"/>
  <c r="AD63" i="6" l="1"/>
  <c r="BE63" i="6"/>
  <c r="AV63" i="6"/>
  <c r="BB63" i="6"/>
  <c r="BG63" i="6"/>
  <c r="AI63" i="6"/>
  <c r="AN63" i="6"/>
  <c r="AJ63" i="6"/>
  <c r="AQ63" i="6"/>
  <c r="BD63" i="6"/>
  <c r="AS63" i="6"/>
  <c r="AB63" i="6"/>
  <c r="AF63" i="6"/>
  <c r="AY63" i="6"/>
  <c r="AO63" i="6"/>
  <c r="AP63" i="6"/>
  <c r="AZ63" i="6"/>
  <c r="AH63" i="6"/>
  <c r="BF63" i="6"/>
  <c r="AK63" i="6"/>
  <c r="AT63" i="6"/>
  <c r="AU63" i="6"/>
  <c r="AC63" i="6"/>
  <c r="BC63" i="6"/>
  <c r="AX63" i="6"/>
  <c r="BA63" i="6"/>
  <c r="AM63" i="6"/>
  <c r="AG63" i="6"/>
  <c r="K65" i="12"/>
  <c r="AU64" i="6"/>
  <c r="AX64" i="6"/>
  <c r="BG64" i="6"/>
  <c r="AM64" i="6"/>
  <c r="BA64" i="6"/>
  <c r="AO64" i="6"/>
  <c r="AR64" i="6"/>
  <c r="BC64" i="6"/>
  <c r="BE64" i="6"/>
  <c r="BB64" i="6"/>
  <c r="AY64" i="6"/>
  <c r="BD64" i="6"/>
  <c r="BF64" i="6"/>
  <c r="AV64" i="6"/>
  <c r="AS64" i="6"/>
  <c r="AP64" i="6"/>
  <c r="AT64" i="6"/>
  <c r="AQ64" i="6"/>
  <c r="AN64" i="6"/>
  <c r="AZ64" i="6"/>
  <c r="AC64" i="6"/>
  <c r="A65" i="6"/>
  <c r="N65" i="6" s="1"/>
  <c r="AG64" i="6"/>
  <c r="AH64" i="6"/>
  <c r="AB64" i="6"/>
  <c r="AJ64" i="6"/>
  <c r="L66" i="12"/>
  <c r="J66" i="12"/>
  <c r="AK64" i="6"/>
  <c r="N64" i="6"/>
  <c r="AI64" i="6"/>
  <c r="AF64" i="6"/>
  <c r="AD64" i="6"/>
  <c r="H65" i="6"/>
  <c r="T65" i="5" s="1"/>
  <c r="G64" i="12"/>
  <c r="B67" i="6"/>
  <c r="AE67" i="5"/>
  <c r="A67" i="12"/>
  <c r="C68" i="5"/>
  <c r="AD67" i="5"/>
  <c r="N67" i="5"/>
  <c r="D67" i="6" s="1"/>
  <c r="E67" i="5"/>
  <c r="J67" i="5"/>
  <c r="D67" i="5"/>
  <c r="B67" i="12" s="1"/>
  <c r="G67" i="5"/>
  <c r="F67" i="5"/>
  <c r="K67" i="5"/>
  <c r="B67" i="5"/>
  <c r="H67" i="5"/>
  <c r="D66" i="6"/>
  <c r="M65" i="6" l="1"/>
  <c r="BD65" i="6" s="1"/>
  <c r="A66" i="6"/>
  <c r="A67" i="6" s="1"/>
  <c r="K66" i="12"/>
  <c r="H66" i="6"/>
  <c r="T66" i="5" s="1"/>
  <c r="H67" i="6"/>
  <c r="T67" i="5" s="1"/>
  <c r="E68" i="5"/>
  <c r="A68" i="12"/>
  <c r="D68" i="5"/>
  <c r="B68" i="12" s="1"/>
  <c r="H68" i="5"/>
  <c r="C69" i="5"/>
  <c r="K68" i="5"/>
  <c r="AD68" i="5"/>
  <c r="AE68" i="5"/>
  <c r="N68" i="5"/>
  <c r="D68" i="6" s="1"/>
  <c r="B68" i="6"/>
  <c r="J68" i="5"/>
  <c r="F68" i="5"/>
  <c r="G68" i="5"/>
  <c r="B68" i="5"/>
  <c r="G65" i="12"/>
  <c r="L67" i="12"/>
  <c r="J67" i="12"/>
  <c r="AB65" i="6" l="1"/>
  <c r="M66" i="6"/>
  <c r="BC66" i="6" s="1"/>
  <c r="AZ65" i="6"/>
  <c r="BF65" i="6"/>
  <c r="N66" i="6"/>
  <c r="M67" i="6"/>
  <c r="AX67" i="6" s="1"/>
  <c r="N67" i="6"/>
  <c r="AO65" i="6"/>
  <c r="AX65" i="6"/>
  <c r="AY65" i="6"/>
  <c r="AU65" i="6"/>
  <c r="AQ65" i="6"/>
  <c r="BC65" i="6"/>
  <c r="AC65" i="6"/>
  <c r="AM65" i="6"/>
  <c r="AV65" i="6"/>
  <c r="AN65" i="6"/>
  <c r="AS65" i="6"/>
  <c r="BG65" i="6"/>
  <c r="BE65" i="6"/>
  <c r="AI65" i="6"/>
  <c r="AD65" i="6"/>
  <c r="BB65" i="6"/>
  <c r="AG65" i="6"/>
  <c r="AJ65" i="6"/>
  <c r="AR65" i="6"/>
  <c r="AK65" i="6"/>
  <c r="AT65" i="6"/>
  <c r="AP65" i="6"/>
  <c r="BA65" i="6"/>
  <c r="AH65" i="6"/>
  <c r="AF65" i="6"/>
  <c r="G67" i="12"/>
  <c r="G66" i="12"/>
  <c r="AD69" i="5"/>
  <c r="F69" i="5"/>
  <c r="E69" i="5"/>
  <c r="G69" i="5"/>
  <c r="B69" i="5"/>
  <c r="K69" i="5"/>
  <c r="C70" i="5"/>
  <c r="AE69" i="5"/>
  <c r="A69" i="12"/>
  <c r="B69" i="6"/>
  <c r="N69" i="5"/>
  <c r="D69" i="6" s="1"/>
  <c r="J69" i="5"/>
  <c r="D69" i="5"/>
  <c r="B69" i="12" s="1"/>
  <c r="H69" i="5"/>
  <c r="A68" i="6"/>
  <c r="M68" i="6" s="1"/>
  <c r="H68" i="6"/>
  <c r="T68" i="5" s="1"/>
  <c r="J68" i="12"/>
  <c r="L68" i="12"/>
  <c r="K67" i="12"/>
  <c r="AB66" i="6" l="1"/>
  <c r="AY66" i="6"/>
  <c r="AU66" i="6"/>
  <c r="AP66" i="6"/>
  <c r="AD66" i="6"/>
  <c r="AH66" i="6"/>
  <c r="AR66" i="6"/>
  <c r="AF66" i="6"/>
  <c r="BD66" i="6"/>
  <c r="AM66" i="6"/>
  <c r="AK66" i="6"/>
  <c r="BA66" i="6"/>
  <c r="AI66" i="6"/>
  <c r="AV66" i="6"/>
  <c r="AQ66" i="6"/>
  <c r="BF66" i="6"/>
  <c r="AO66" i="6"/>
  <c r="AG66" i="6"/>
  <c r="AS66" i="6"/>
  <c r="BE66" i="6"/>
  <c r="BB66" i="6"/>
  <c r="BG66" i="6"/>
  <c r="AC66" i="6"/>
  <c r="AM67" i="6"/>
  <c r="AB67" i="6"/>
  <c r="AN67" i="6"/>
  <c r="BB67" i="6"/>
  <c r="AC67" i="6"/>
  <c r="AH67" i="6"/>
  <c r="AS67" i="6"/>
  <c r="AR67" i="6"/>
  <c r="AJ67" i="6"/>
  <c r="AN66" i="6"/>
  <c r="AZ66" i="6"/>
  <c r="AX66" i="6"/>
  <c r="AD67" i="6"/>
  <c r="BE67" i="6"/>
  <c r="BF67" i="6"/>
  <c r="AI67" i="6"/>
  <c r="AF67" i="6"/>
  <c r="BA67" i="6"/>
  <c r="AO67" i="6"/>
  <c r="AT67" i="6"/>
  <c r="AY67" i="6"/>
  <c r="AT66" i="6"/>
  <c r="AJ66" i="6"/>
  <c r="AK67" i="6"/>
  <c r="AZ67" i="6"/>
  <c r="BC67" i="6"/>
  <c r="AU67" i="6"/>
  <c r="AQ67" i="6"/>
  <c r="AG67" i="6"/>
  <c r="BG67" i="6"/>
  <c r="AP67" i="6"/>
  <c r="BD67" i="6"/>
  <c r="AV67" i="6"/>
  <c r="N68" i="6"/>
  <c r="AU68" i="6"/>
  <c r="AR68" i="6"/>
  <c r="BG68" i="6"/>
  <c r="AK68" i="6"/>
  <c r="BB68" i="6"/>
  <c r="BD68" i="6"/>
  <c r="BC68" i="6"/>
  <c r="AV68" i="6"/>
  <c r="AT68" i="6"/>
  <c r="AJ68" i="6"/>
  <c r="AG68" i="6"/>
  <c r="AB68" i="6"/>
  <c r="BA68" i="6"/>
  <c r="AP68" i="6"/>
  <c r="AN68" i="6"/>
  <c r="BF68" i="6"/>
  <c r="AY68" i="6"/>
  <c r="BE68" i="6"/>
  <c r="AS68" i="6"/>
  <c r="AZ68" i="6"/>
  <c r="AI68" i="6"/>
  <c r="AM68" i="6"/>
  <c r="AO68" i="6"/>
  <c r="AQ68" i="6"/>
  <c r="AX68" i="6"/>
  <c r="AC68" i="6"/>
  <c r="AD68" i="6"/>
  <c r="A69" i="6"/>
  <c r="N69" i="6" s="1"/>
  <c r="K68" i="12"/>
  <c r="AF68" i="6"/>
  <c r="L69" i="12"/>
  <c r="J69" i="12"/>
  <c r="G68" i="12"/>
  <c r="G70" i="5"/>
  <c r="J70" i="5"/>
  <c r="D70" i="5"/>
  <c r="B70" i="12" s="1"/>
  <c r="AE70" i="5"/>
  <c r="H70" i="5"/>
  <c r="E70" i="5"/>
  <c r="A70" i="12"/>
  <c r="K70" i="5"/>
  <c r="F70" i="5"/>
  <c r="B70" i="6"/>
  <c r="N70" i="5"/>
  <c r="D70" i="6" s="1"/>
  <c r="AD70" i="5"/>
  <c r="B70" i="5"/>
  <c r="C71" i="5" s="1"/>
  <c r="AH68" i="6"/>
  <c r="H69" i="6"/>
  <c r="T69" i="5" s="1"/>
  <c r="M69" i="6" l="1"/>
  <c r="AT69" i="6" s="1"/>
  <c r="K69" i="12"/>
  <c r="F71" i="5"/>
  <c r="B71" i="6"/>
  <c r="AE71" i="5"/>
  <c r="H71" i="5"/>
  <c r="E71" i="5"/>
  <c r="B71" i="5"/>
  <c r="G71" i="5"/>
  <c r="C72" i="5"/>
  <c r="W71" i="5"/>
  <c r="H71" i="12" s="1"/>
  <c r="A71" i="12"/>
  <c r="AD71" i="5"/>
  <c r="N71" i="5"/>
  <c r="D71" i="6" s="1"/>
  <c r="H70" i="6"/>
  <c r="T70" i="5" s="1"/>
  <c r="A70" i="6"/>
  <c r="N70" i="6" s="1"/>
  <c r="G69" i="12"/>
  <c r="L70" i="12"/>
  <c r="J70" i="12"/>
  <c r="A71" i="6" l="1"/>
  <c r="AU69" i="6"/>
  <c r="BG69" i="6"/>
  <c r="AB69" i="6"/>
  <c r="BB69" i="6"/>
  <c r="AP69" i="6"/>
  <c r="AO69" i="6"/>
  <c r="AV69" i="6"/>
  <c r="AG69" i="6"/>
  <c r="AZ69" i="6"/>
  <c r="AX69" i="6"/>
  <c r="BA69" i="6"/>
  <c r="BD69" i="6"/>
  <c r="AR69" i="6"/>
  <c r="AN69" i="6"/>
  <c r="AF69" i="6"/>
  <c r="AK69" i="6"/>
  <c r="AY69" i="6"/>
  <c r="AI69" i="6"/>
  <c r="BF69" i="6"/>
  <c r="AC69" i="6"/>
  <c r="AQ69" i="6"/>
  <c r="BC69" i="6"/>
  <c r="AD69" i="6"/>
  <c r="AM69" i="6"/>
  <c r="AH69" i="6"/>
  <c r="AS69" i="6"/>
  <c r="AJ69" i="6"/>
  <c r="BE69" i="6"/>
  <c r="M70" i="6"/>
  <c r="AN70" i="6" s="1"/>
  <c r="K70" i="12"/>
  <c r="G70" i="12"/>
  <c r="B72" i="5"/>
  <c r="G72" i="5"/>
  <c r="J72" i="5"/>
  <c r="A72" i="12"/>
  <c r="AD72" i="5"/>
  <c r="N72" i="5"/>
  <c r="D72" i="6" s="1"/>
  <c r="F72" i="5"/>
  <c r="H72" i="5"/>
  <c r="K72" i="5"/>
  <c r="E72" i="5"/>
  <c r="D72" i="5"/>
  <c r="B72" i="12" s="1"/>
  <c r="B72" i="6"/>
  <c r="C73" i="5"/>
  <c r="AE72" i="5"/>
  <c r="H71" i="6"/>
  <c r="T71" i="5" s="1"/>
  <c r="M71" i="6"/>
  <c r="AR71" i="6" s="1"/>
  <c r="N71" i="6"/>
  <c r="AG70" i="6" l="1"/>
  <c r="AM70" i="6"/>
  <c r="AR70" i="6"/>
  <c r="AD70" i="6"/>
  <c r="AF70" i="6"/>
  <c r="BE70" i="6"/>
  <c r="AZ70" i="6"/>
  <c r="AS70" i="6"/>
  <c r="AY70" i="6"/>
  <c r="AB70" i="6"/>
  <c r="AO70" i="6"/>
  <c r="AT70" i="6"/>
  <c r="AH70" i="6"/>
  <c r="AI70" i="6"/>
  <c r="AP70" i="6"/>
  <c r="AV70" i="6"/>
  <c r="AU70" i="6"/>
  <c r="AK70" i="6"/>
  <c r="AC70" i="6"/>
  <c r="AQ70" i="6"/>
  <c r="AX70" i="6"/>
  <c r="BC70" i="6"/>
  <c r="BD70" i="6"/>
  <c r="BF70" i="6"/>
  <c r="AJ70" i="6"/>
  <c r="BA70" i="6"/>
  <c r="BB70" i="6"/>
  <c r="BG70" i="6"/>
  <c r="AJ71" i="6"/>
  <c r="AF71" i="6"/>
  <c r="BF71" i="6"/>
  <c r="BG71" i="6"/>
  <c r="BA71" i="6"/>
  <c r="BC71" i="6"/>
  <c r="AB71" i="6"/>
  <c r="AX71" i="6"/>
  <c r="AS71" i="6"/>
  <c r="AI71" i="6"/>
  <c r="G71" i="12"/>
  <c r="AK71" i="6"/>
  <c r="H72" i="6"/>
  <c r="T72" i="5" s="1"/>
  <c r="AU71" i="6"/>
  <c r="AM71" i="6"/>
  <c r="BB71" i="6"/>
  <c r="AP71" i="6"/>
  <c r="AC71" i="6"/>
  <c r="E73" i="5"/>
  <c r="B73" i="6"/>
  <c r="AD73" i="5"/>
  <c r="J73" i="5"/>
  <c r="H73" i="5"/>
  <c r="B73" i="5"/>
  <c r="K73" i="5"/>
  <c r="G73" i="5"/>
  <c r="A73" i="12"/>
  <c r="F73" i="5"/>
  <c r="C74" i="5"/>
  <c r="AE73" i="5"/>
  <c r="D73" i="5"/>
  <c r="B73" i="12" s="1"/>
  <c r="N73" i="5"/>
  <c r="D73" i="6" s="1"/>
  <c r="BE71" i="6"/>
  <c r="AZ71" i="6"/>
  <c r="AO71" i="6"/>
  <c r="A72" i="6"/>
  <c r="M72" i="6" s="1"/>
  <c r="J72" i="12"/>
  <c r="L72" i="12"/>
  <c r="AG71" i="6"/>
  <c r="BD71" i="6"/>
  <c r="AH71" i="6"/>
  <c r="AY71" i="6"/>
  <c r="AQ71" i="6"/>
  <c r="AN71" i="6"/>
  <c r="AV71" i="6"/>
  <c r="AD71" i="6"/>
  <c r="AT71" i="6"/>
  <c r="K72" i="12" l="1"/>
  <c r="AY72" i="6"/>
  <c r="AR72" i="6"/>
  <c r="BG72" i="6"/>
  <c r="AO72" i="6"/>
  <c r="AM72" i="6"/>
  <c r="BD72" i="6"/>
  <c r="AP72" i="6"/>
  <c r="AB72" i="6"/>
  <c r="BA72" i="6"/>
  <c r="AD72" i="6"/>
  <c r="AZ72" i="6"/>
  <c r="AT72" i="6"/>
  <c r="AQ72" i="6"/>
  <c r="AN72" i="6"/>
  <c r="BF72" i="6"/>
  <c r="BB72" i="6"/>
  <c r="AV72" i="6"/>
  <c r="BC72" i="6"/>
  <c r="AS72" i="6"/>
  <c r="AJ72" i="6"/>
  <c r="AH72" i="6"/>
  <c r="BE72" i="6"/>
  <c r="AU72" i="6"/>
  <c r="AX72" i="6"/>
  <c r="L73" i="12"/>
  <c r="J73" i="12"/>
  <c r="AG72" i="6"/>
  <c r="H73" i="6"/>
  <c r="T73" i="5" s="1"/>
  <c r="G72" i="12"/>
  <c r="AF72" i="6"/>
  <c r="J74" i="5"/>
  <c r="AD74" i="5"/>
  <c r="C75" i="5"/>
  <c r="F74" i="5"/>
  <c r="H74" i="5"/>
  <c r="K74" i="5"/>
  <c r="N74" i="5"/>
  <c r="D74" i="6" s="1"/>
  <c r="B74" i="6"/>
  <c r="E74" i="5"/>
  <c r="D74" i="5"/>
  <c r="B74" i="12" s="1"/>
  <c r="A74" i="12"/>
  <c r="B74" i="5"/>
  <c r="AE74" i="5"/>
  <c r="G74" i="5"/>
  <c r="AI72" i="6"/>
  <c r="AC72" i="6"/>
  <c r="A73" i="6"/>
  <c r="M73" i="6" s="1"/>
  <c r="AK72" i="6"/>
  <c r="K73" i="12" l="1"/>
  <c r="BC73" i="6"/>
  <c r="AB73" i="6"/>
  <c r="AU73" i="6"/>
  <c r="BG73" i="6"/>
  <c r="AX73" i="6"/>
  <c r="AO73" i="6"/>
  <c r="BE73" i="6"/>
  <c r="BD73" i="6"/>
  <c r="AQ73" i="6"/>
  <c r="AP73" i="6"/>
  <c r="AD73" i="6"/>
  <c r="BF73" i="6"/>
  <c r="AZ73" i="6"/>
  <c r="AI73" i="6"/>
  <c r="AR73" i="6"/>
  <c r="AK73" i="6"/>
  <c r="AF73" i="6"/>
  <c r="AV73" i="6"/>
  <c r="BA73" i="6"/>
  <c r="AN73" i="6"/>
  <c r="AM73" i="6"/>
  <c r="AJ73" i="6"/>
  <c r="AY73" i="6"/>
  <c r="BB73" i="6"/>
  <c r="AS73" i="6"/>
  <c r="AT73" i="6"/>
  <c r="AH73" i="6"/>
  <c r="J74" i="12"/>
  <c r="L74" i="12"/>
  <c r="AD75" i="5"/>
  <c r="C76" i="5"/>
  <c r="E75" i="5"/>
  <c r="G75" i="5"/>
  <c r="J75" i="5"/>
  <c r="B75" i="5"/>
  <c r="D75" i="5"/>
  <c r="B75" i="12" s="1"/>
  <c r="K75" i="5"/>
  <c r="B75" i="6"/>
  <c r="A75" i="12"/>
  <c r="AE75" i="5"/>
  <c r="F75" i="5"/>
  <c r="N75" i="5"/>
  <c r="D75" i="6" s="1"/>
  <c r="H75" i="5"/>
  <c r="G73" i="12"/>
  <c r="A74" i="6"/>
  <c r="M74" i="6" s="1"/>
  <c r="BE74" i="6" s="1"/>
  <c r="H74" i="6"/>
  <c r="T74" i="5" s="1"/>
  <c r="AG73" i="6"/>
  <c r="AC73" i="6"/>
  <c r="AM74" i="6" l="1"/>
  <c r="AO74" i="6"/>
  <c r="BG74" i="6"/>
  <c r="AJ74" i="6"/>
  <c r="BC74" i="6"/>
  <c r="AS74" i="6"/>
  <c r="AV74" i="6"/>
  <c r="AY74" i="6"/>
  <c r="G74" i="12"/>
  <c r="J75" i="12"/>
  <c r="L75" i="12"/>
  <c r="E76" i="5"/>
  <c r="D76" i="5"/>
  <c r="B76" i="12" s="1"/>
  <c r="B76" i="6"/>
  <c r="G76" i="5"/>
  <c r="AD76" i="5"/>
  <c r="C77" i="5"/>
  <c r="K76" i="5"/>
  <c r="AE76" i="5"/>
  <c r="A76" i="12"/>
  <c r="J76" i="5"/>
  <c r="B76" i="5"/>
  <c r="F76" i="5"/>
  <c r="H76" i="5"/>
  <c r="N76" i="5"/>
  <c r="D76" i="6" s="1"/>
  <c r="AF74" i="6"/>
  <c r="AR74" i="6"/>
  <c r="AN74" i="6"/>
  <c r="AB74" i="6"/>
  <c r="AG74" i="6"/>
  <c r="A75" i="6"/>
  <c r="M75" i="6" s="1"/>
  <c r="AZ74" i="6"/>
  <c r="AH74" i="6"/>
  <c r="BA74" i="6"/>
  <c r="BB74" i="6"/>
  <c r="AP74" i="6"/>
  <c r="BF74" i="6"/>
  <c r="AX74" i="6"/>
  <c r="AC74" i="6"/>
  <c r="AK74" i="6"/>
  <c r="AU74" i="6"/>
  <c r="AI74" i="6"/>
  <c r="AT74" i="6"/>
  <c r="BD74" i="6"/>
  <c r="AQ74" i="6"/>
  <c r="AD74" i="6"/>
  <c r="H75" i="6"/>
  <c r="T75" i="5" s="1"/>
  <c r="G75" i="12" s="1"/>
  <c r="K74" i="12"/>
  <c r="A76" i="6" l="1"/>
  <c r="M76" i="6" s="1"/>
  <c r="AY76" i="6" s="1"/>
  <c r="AU75" i="6"/>
  <c r="BE75" i="6"/>
  <c r="AJ75" i="6"/>
  <c r="AN75" i="6"/>
  <c r="AX75" i="6"/>
  <c r="AR75" i="6"/>
  <c r="BF75" i="6"/>
  <c r="AD75" i="6"/>
  <c r="AK75" i="6"/>
  <c r="AI75" i="6"/>
  <c r="BD75" i="6"/>
  <c r="AB75" i="6"/>
  <c r="AQ75" i="6"/>
  <c r="AZ75" i="6"/>
  <c r="BG75" i="6"/>
  <c r="BB75" i="6"/>
  <c r="AO75" i="6"/>
  <c r="AY75" i="6"/>
  <c r="AH75" i="6"/>
  <c r="AV75" i="6"/>
  <c r="BC75" i="6"/>
  <c r="AG75" i="6"/>
  <c r="AM75" i="6"/>
  <c r="BA75" i="6"/>
  <c r="AF75" i="6"/>
  <c r="AP75" i="6"/>
  <c r="AS75" i="6"/>
  <c r="AT75" i="6"/>
  <c r="AC75" i="6"/>
  <c r="J76" i="12"/>
  <c r="L76" i="12"/>
  <c r="K75" i="12"/>
  <c r="H76" i="6"/>
  <c r="T76" i="5" s="1"/>
  <c r="G76" i="12" s="1"/>
  <c r="A77" i="12"/>
  <c r="K77" i="5"/>
  <c r="B77" i="6"/>
  <c r="D77" i="5"/>
  <c r="B77" i="12" s="1"/>
  <c r="F77" i="5"/>
  <c r="G77" i="5"/>
  <c r="AE77" i="5"/>
  <c r="J77" i="5"/>
  <c r="N77" i="5"/>
  <c r="D77" i="6" s="1"/>
  <c r="E77" i="5"/>
  <c r="B77" i="5"/>
  <c r="AD77" i="5"/>
  <c r="H77" i="5"/>
  <c r="BB76" i="6" l="1"/>
  <c r="AR76" i="6"/>
  <c r="AH76" i="6"/>
  <c r="AK76" i="6"/>
  <c r="K76" i="12"/>
  <c r="AZ76" i="6"/>
  <c r="AU76" i="6"/>
  <c r="BA76" i="6"/>
  <c r="AX76" i="6"/>
  <c r="AF76" i="6"/>
  <c r="AQ76" i="6"/>
  <c r="BE76" i="6"/>
  <c r="AC76" i="6"/>
  <c r="AT76" i="6"/>
  <c r="AS76" i="6"/>
  <c r="AD76" i="6"/>
  <c r="AP76" i="6"/>
  <c r="BD76" i="6"/>
  <c r="AJ76" i="6"/>
  <c r="AV76" i="6"/>
  <c r="BF76" i="6"/>
  <c r="AG76" i="6"/>
  <c r="BC76" i="6"/>
  <c r="AN76" i="6"/>
  <c r="A77" i="6"/>
  <c r="M77" i="6" s="1"/>
  <c r="AB76" i="6"/>
  <c r="AI76" i="6"/>
  <c r="BG76" i="6"/>
  <c r="H77" i="6"/>
  <c r="T77" i="5" s="1"/>
  <c r="G77" i="12" s="1"/>
  <c r="J77" i="12"/>
  <c r="L77" i="12"/>
  <c r="AO76" i="6"/>
  <c r="AM76" i="6"/>
  <c r="BA77" i="6" l="1"/>
  <c r="AY77" i="6"/>
  <c r="AQ77" i="6"/>
  <c r="AP77" i="6"/>
  <c r="AX77" i="6"/>
  <c r="BC77" i="6"/>
  <c r="AV77" i="6"/>
  <c r="AR77" i="6"/>
  <c r="AU77" i="6"/>
  <c r="AO77" i="6"/>
  <c r="BG77" i="6"/>
  <c r="AD77" i="6"/>
  <c r="AM77" i="6"/>
  <c r="AC77" i="6"/>
  <c r="BF77" i="6"/>
  <c r="AS77" i="6"/>
  <c r="BE77" i="6"/>
  <c r="AT77" i="6"/>
  <c r="BB77" i="6"/>
  <c r="AZ77" i="6"/>
  <c r="AN77" i="6"/>
  <c r="BD77" i="6"/>
  <c r="AK77" i="6"/>
  <c r="K77" i="12"/>
  <c r="AH77" i="6"/>
  <c r="AB77" i="6"/>
  <c r="AI77" i="6"/>
  <c r="AG77" i="6"/>
  <c r="AJ77" i="6"/>
  <c r="AF77" i="6"/>
  <c r="C78" i="5" l="1"/>
  <c r="E78" i="5" l="1"/>
  <c r="C79" i="5"/>
  <c r="A78" i="12"/>
  <c r="B78" i="5"/>
  <c r="N78" i="5"/>
  <c r="D78" i="6" s="1"/>
  <c r="H78" i="5"/>
  <c r="R78" i="5"/>
  <c r="AD78" i="5"/>
  <c r="AE78" i="5"/>
  <c r="G78" i="5"/>
  <c r="B78" i="6"/>
  <c r="F78" i="5"/>
  <c r="W78" i="5"/>
  <c r="H78" i="12" s="1"/>
  <c r="F78" i="6" l="1"/>
  <c r="E78" i="12"/>
  <c r="N78" i="6"/>
  <c r="BC78" i="6"/>
  <c r="BA78" i="6"/>
  <c r="H78" i="6"/>
  <c r="T78" i="5" s="1"/>
  <c r="G78" i="12" s="1"/>
  <c r="BB78" i="6"/>
  <c r="AN78" i="6"/>
  <c r="G78" i="6"/>
  <c r="AO78" i="6"/>
  <c r="BF78" i="6"/>
  <c r="AP78" i="6"/>
  <c r="AT78" i="6"/>
  <c r="AS78" i="6"/>
  <c r="BG78" i="6"/>
  <c r="AR78" i="6"/>
  <c r="AX78" i="6"/>
  <c r="AV78" i="6"/>
  <c r="AM78" i="6"/>
  <c r="BE78" i="6"/>
  <c r="AY78" i="6"/>
  <c r="AQ78" i="6"/>
  <c r="AU78" i="6"/>
  <c r="BD78" i="6"/>
  <c r="A78" i="6"/>
  <c r="M78" i="6" s="1"/>
  <c r="AZ78" i="6" s="1"/>
  <c r="E79" i="5"/>
  <c r="B79" i="6"/>
  <c r="K79" i="5"/>
  <c r="N79" i="5"/>
  <c r="D79" i="6" s="1"/>
  <c r="G79" i="5"/>
  <c r="AE79" i="5"/>
  <c r="J79" i="5"/>
  <c r="D79" i="5"/>
  <c r="B79" i="12" s="1"/>
  <c r="A79" i="12"/>
  <c r="H79" i="5"/>
  <c r="B79" i="5"/>
  <c r="C80" i="5"/>
  <c r="F79" i="5"/>
  <c r="AD79" i="5"/>
  <c r="AD78" i="6" l="1"/>
  <c r="A79" i="6"/>
  <c r="N79" i="6" s="1"/>
  <c r="AI78" i="6"/>
  <c r="L79" i="12"/>
  <c r="J79" i="12"/>
  <c r="AK78" i="6"/>
  <c r="AG78" i="6"/>
  <c r="AB78" i="6"/>
  <c r="AC78" i="6"/>
  <c r="C81" i="5"/>
  <c r="B80" i="5"/>
  <c r="B80" i="6"/>
  <c r="G80" i="5"/>
  <c r="A80" i="12"/>
  <c r="AD80" i="5"/>
  <c r="F80" i="5"/>
  <c r="J80" i="5"/>
  <c r="H80" i="5"/>
  <c r="D80" i="5"/>
  <c r="B80" i="12" s="1"/>
  <c r="K80" i="5"/>
  <c r="AE80" i="5"/>
  <c r="N80" i="5"/>
  <c r="D80" i="6" s="1"/>
  <c r="E80" i="5"/>
  <c r="H79" i="6"/>
  <c r="T79" i="5" s="1"/>
  <c r="G79" i="12" s="1"/>
  <c r="AH78" i="6"/>
  <c r="AF78" i="6"/>
  <c r="AJ78" i="6"/>
  <c r="K79" i="12" l="1"/>
  <c r="A80" i="6"/>
  <c r="N80" i="6" s="1"/>
  <c r="M79" i="6"/>
  <c r="AG79" i="6" s="1"/>
  <c r="D81" i="5"/>
  <c r="B81" i="12" s="1"/>
  <c r="B81" i="6"/>
  <c r="K81" i="5"/>
  <c r="J81" i="5"/>
  <c r="AD81" i="5"/>
  <c r="AE81" i="5"/>
  <c r="F81" i="5"/>
  <c r="B81" i="5"/>
  <c r="E81" i="5"/>
  <c r="H81" i="5"/>
  <c r="G81" i="5"/>
  <c r="C82" i="5"/>
  <c r="A81" i="12"/>
  <c r="N81" i="5"/>
  <c r="D81" i="6" s="1"/>
  <c r="H80" i="6"/>
  <c r="T80" i="5" s="1"/>
  <c r="G80" i="12" s="1"/>
  <c r="L80" i="12"/>
  <c r="J80" i="12"/>
  <c r="M80" i="6" l="1"/>
  <c r="AQ80" i="6" s="1"/>
  <c r="AZ79" i="6"/>
  <c r="AV79" i="6"/>
  <c r="AX79" i="6"/>
  <c r="AB79" i="6"/>
  <c r="AN79" i="6"/>
  <c r="K80" i="12"/>
  <c r="AU79" i="6"/>
  <c r="AI79" i="6"/>
  <c r="AC79" i="6"/>
  <c r="BD79" i="6"/>
  <c r="AQ79" i="6"/>
  <c r="AH79" i="6"/>
  <c r="AO79" i="6"/>
  <c r="BE79" i="6"/>
  <c r="BG79" i="6"/>
  <c r="AK79" i="6"/>
  <c r="BA79" i="6"/>
  <c r="AF79" i="6"/>
  <c r="AT79" i="6"/>
  <c r="AJ79" i="6"/>
  <c r="AR79" i="6"/>
  <c r="AM79" i="6"/>
  <c r="BB79" i="6"/>
  <c r="AP79" i="6"/>
  <c r="AD79" i="6"/>
  <c r="AS79" i="6"/>
  <c r="BF79" i="6"/>
  <c r="BC79" i="6"/>
  <c r="AY79" i="6"/>
  <c r="K82" i="5"/>
  <c r="A82" i="12"/>
  <c r="D82" i="5"/>
  <c r="B82" i="12" s="1"/>
  <c r="C83" i="5"/>
  <c r="AD82" i="5"/>
  <c r="B82" i="5"/>
  <c r="H82" i="5"/>
  <c r="J82" i="5"/>
  <c r="G82" i="5"/>
  <c r="AE82" i="5"/>
  <c r="N82" i="5"/>
  <c r="D82" i="6" s="1"/>
  <c r="B82" i="6"/>
  <c r="F82" i="5"/>
  <c r="E82" i="5"/>
  <c r="A81" i="6"/>
  <c r="M81" i="6" s="1"/>
  <c r="AU81" i="6" s="1"/>
  <c r="H81" i="6"/>
  <c r="T81" i="5" s="1"/>
  <c r="G81" i="12" s="1"/>
  <c r="L81" i="12"/>
  <c r="J81" i="12"/>
  <c r="AI80" i="6" l="1"/>
  <c r="AK80" i="6"/>
  <c r="AF80" i="6"/>
  <c r="AD80" i="6"/>
  <c r="AB80" i="6"/>
  <c r="AH80" i="6"/>
  <c r="AG80" i="6"/>
  <c r="AJ80" i="6"/>
  <c r="BG80" i="6"/>
  <c r="BD80" i="6"/>
  <c r="AX80" i="6"/>
  <c r="AR80" i="6"/>
  <c r="AV80" i="6"/>
  <c r="AP80" i="6"/>
  <c r="BF80" i="6"/>
  <c r="AZ80" i="6"/>
  <c r="AM80" i="6"/>
  <c r="BA80" i="6"/>
  <c r="BE80" i="6"/>
  <c r="AY80" i="6"/>
  <c r="AT80" i="6"/>
  <c r="AC80" i="6"/>
  <c r="AN80" i="6"/>
  <c r="AS80" i="6"/>
  <c r="BB80" i="6"/>
  <c r="AO80" i="6"/>
  <c r="AU80" i="6"/>
  <c r="BC80" i="6"/>
  <c r="K81" i="12"/>
  <c r="AK81" i="6"/>
  <c r="AQ81" i="6"/>
  <c r="N81" i="6"/>
  <c r="AB81" i="6"/>
  <c r="AC81" i="6"/>
  <c r="AF81" i="6"/>
  <c r="AD81" i="6"/>
  <c r="AI81" i="6"/>
  <c r="A82" i="6"/>
  <c r="N82" i="6" s="1"/>
  <c r="BE81" i="6"/>
  <c r="AO81" i="6"/>
  <c r="AS81" i="6"/>
  <c r="AZ81" i="6"/>
  <c r="BG81" i="6"/>
  <c r="BD81" i="6"/>
  <c r="AJ81" i="6"/>
  <c r="AX81" i="6"/>
  <c r="AR81" i="6"/>
  <c r="BA81" i="6"/>
  <c r="AV81" i="6"/>
  <c r="AH81" i="6"/>
  <c r="BF81" i="6"/>
  <c r="AM81" i="6"/>
  <c r="AP81" i="6"/>
  <c r="H83" i="5"/>
  <c r="C84" i="5"/>
  <c r="C85" i="5" s="1"/>
  <c r="E83" i="5"/>
  <c r="D83" i="5"/>
  <c r="B83" i="12" s="1"/>
  <c r="B83" i="5"/>
  <c r="G83" i="5"/>
  <c r="K83" i="5"/>
  <c r="N83" i="5"/>
  <c r="D83" i="6" s="1"/>
  <c r="AD83" i="5"/>
  <c r="F83" i="5"/>
  <c r="J83" i="5"/>
  <c r="AE83" i="5"/>
  <c r="A83" i="12"/>
  <c r="B83" i="6"/>
  <c r="AN81" i="6"/>
  <c r="BB81" i="6"/>
  <c r="H82" i="6"/>
  <c r="T82" i="5" s="1"/>
  <c r="G82" i="12" s="1"/>
  <c r="AG81" i="6"/>
  <c r="AY81" i="6"/>
  <c r="BC81" i="6"/>
  <c r="AT81" i="6"/>
  <c r="J82" i="12"/>
  <c r="L82" i="12"/>
  <c r="D85" i="5" l="1"/>
  <c r="B85" i="12" s="1"/>
  <c r="K85" i="5"/>
  <c r="J85" i="5"/>
  <c r="AE85" i="5"/>
  <c r="B85" i="6"/>
  <c r="AD85" i="5"/>
  <c r="A85" i="12"/>
  <c r="N85" i="5"/>
  <c r="M82" i="6"/>
  <c r="AC82" i="6" s="1"/>
  <c r="A83" i="6"/>
  <c r="N83" i="6" s="1"/>
  <c r="A84" i="12"/>
  <c r="AD84" i="5"/>
  <c r="J84" i="5"/>
  <c r="B84" i="6"/>
  <c r="G84" i="5"/>
  <c r="G85" i="5" s="1"/>
  <c r="AE84" i="5"/>
  <c r="E84" i="5"/>
  <c r="E85" i="5" s="1"/>
  <c r="K84" i="5"/>
  <c r="F84" i="5"/>
  <c r="F85" i="5" s="1"/>
  <c r="B84" i="5"/>
  <c r="B85" i="5" s="1"/>
  <c r="D84" i="5"/>
  <c r="B84" i="12" s="1"/>
  <c r="N84" i="5"/>
  <c r="D84" i="6" s="1"/>
  <c r="H84" i="5"/>
  <c r="H85" i="5" s="1"/>
  <c r="H83" i="6"/>
  <c r="T83" i="5" s="1"/>
  <c r="G83" i="12" s="1"/>
  <c r="J83" i="12"/>
  <c r="L83" i="12"/>
  <c r="K82" i="12"/>
  <c r="M83" i="6" l="1"/>
  <c r="AY83" i="6" s="1"/>
  <c r="L85" i="12"/>
  <c r="J85" i="12"/>
  <c r="D85" i="6"/>
  <c r="C86" i="5"/>
  <c r="A86" i="12" s="1"/>
  <c r="BE82" i="6"/>
  <c r="AT82" i="6"/>
  <c r="AR82" i="6"/>
  <c r="AK82" i="6"/>
  <c r="BF82" i="6"/>
  <c r="AI82" i="6"/>
  <c r="AN82" i="6"/>
  <c r="AO82" i="6"/>
  <c r="AF82" i="6"/>
  <c r="BB82" i="6"/>
  <c r="AX82" i="6"/>
  <c r="AJ82" i="6"/>
  <c r="AZ82" i="6"/>
  <c r="BC82" i="6"/>
  <c r="AV82" i="6"/>
  <c r="AU82" i="6"/>
  <c r="AG82" i="6"/>
  <c r="BD82" i="6"/>
  <c r="AS82" i="6"/>
  <c r="AY82" i="6"/>
  <c r="AD82" i="6"/>
  <c r="AH82" i="6"/>
  <c r="BG82" i="6"/>
  <c r="AP82" i="6"/>
  <c r="AQ82" i="6"/>
  <c r="AB82" i="6"/>
  <c r="BA82" i="6"/>
  <c r="AM82" i="6"/>
  <c r="K83" i="12"/>
  <c r="H84" i="6"/>
  <c r="T84" i="5" s="1"/>
  <c r="G84" i="12" s="1"/>
  <c r="A84" i="6"/>
  <c r="N84" i="6" s="1"/>
  <c r="J84" i="12"/>
  <c r="L84" i="12"/>
  <c r="N86" i="5" l="1"/>
  <c r="D86" i="6" s="1"/>
  <c r="AT86" i="6" s="1"/>
  <c r="E86" i="5"/>
  <c r="W86" i="5"/>
  <c r="H86" i="12" s="1"/>
  <c r="B86" i="5"/>
  <c r="C87" i="5" s="1"/>
  <c r="AD86" i="5"/>
  <c r="AT83" i="6"/>
  <c r="AD83" i="6"/>
  <c r="AH83" i="6"/>
  <c r="AI83" i="6"/>
  <c r="AN83" i="6"/>
  <c r="AG83" i="6"/>
  <c r="BD83" i="6"/>
  <c r="AP83" i="6"/>
  <c r="AQ83" i="6"/>
  <c r="AJ83" i="6"/>
  <c r="AK83" i="6"/>
  <c r="AC83" i="6"/>
  <c r="AF83" i="6"/>
  <c r="AX83" i="6"/>
  <c r="BE83" i="6"/>
  <c r="BF83" i="6"/>
  <c r="AM83" i="6"/>
  <c r="AO83" i="6"/>
  <c r="AZ83" i="6"/>
  <c r="BG83" i="6"/>
  <c r="BA83" i="6"/>
  <c r="AS83" i="6"/>
  <c r="AV83" i="6"/>
  <c r="BC83" i="6"/>
  <c r="AR83" i="6"/>
  <c r="AB83" i="6"/>
  <c r="AU83" i="6"/>
  <c r="BB83" i="6"/>
  <c r="AE86" i="5"/>
  <c r="R86" i="5"/>
  <c r="E86" i="12" s="1"/>
  <c r="G86" i="5"/>
  <c r="B86" i="6"/>
  <c r="H86" i="5"/>
  <c r="F86" i="5"/>
  <c r="K85" i="12"/>
  <c r="A85" i="6"/>
  <c r="N85" i="6" s="1"/>
  <c r="H85" i="6"/>
  <c r="T85" i="5" s="1"/>
  <c r="K84" i="12"/>
  <c r="M84" i="6"/>
  <c r="AH84" i="6" s="1"/>
  <c r="A86" i="6" l="1"/>
  <c r="BA86" i="6"/>
  <c r="AO86" i="6"/>
  <c r="AV86" i="6"/>
  <c r="BG86" i="6"/>
  <c r="BC86" i="6"/>
  <c r="AS86" i="6"/>
  <c r="N86" i="6"/>
  <c r="H86" i="6"/>
  <c r="T86" i="5" s="1"/>
  <c r="G86" i="12" s="1"/>
  <c r="AY86" i="6"/>
  <c r="AR86" i="6"/>
  <c r="BB86" i="6"/>
  <c r="AP86" i="6"/>
  <c r="G86" i="6"/>
  <c r="AX86" i="6"/>
  <c r="AN86" i="6"/>
  <c r="BE86" i="6"/>
  <c r="AQ86" i="6"/>
  <c r="BD86" i="6"/>
  <c r="AM86" i="6"/>
  <c r="AZ86" i="6"/>
  <c r="M86" i="6"/>
  <c r="AU86" i="6" s="1"/>
  <c r="BF86" i="6"/>
  <c r="F86" i="6"/>
  <c r="M85" i="6"/>
  <c r="AS85" i="6" s="1"/>
  <c r="G85" i="12"/>
  <c r="AE87" i="5"/>
  <c r="W87" i="5"/>
  <c r="H87" i="12" s="1"/>
  <c r="B87" i="6"/>
  <c r="F87" i="5"/>
  <c r="AD87" i="5"/>
  <c r="H87" i="5"/>
  <c r="A87" i="12"/>
  <c r="N87" i="5"/>
  <c r="D87" i="6" s="1"/>
  <c r="N87" i="6" s="1"/>
  <c r="C88" i="5"/>
  <c r="G87" i="5"/>
  <c r="B87" i="5"/>
  <c r="E87" i="5"/>
  <c r="AB84" i="6"/>
  <c r="AC84" i="6"/>
  <c r="AJ84" i="6"/>
  <c r="AD84" i="6"/>
  <c r="AK84" i="6"/>
  <c r="AG84" i="6"/>
  <c r="AI84" i="6"/>
  <c r="AF84" i="6"/>
  <c r="AR84" i="6"/>
  <c r="BD84" i="6"/>
  <c r="AZ84" i="6"/>
  <c r="AO84" i="6"/>
  <c r="AS84" i="6"/>
  <c r="BB84" i="6"/>
  <c r="AY84" i="6"/>
  <c r="AX84" i="6"/>
  <c r="AP84" i="6"/>
  <c r="BC84" i="6"/>
  <c r="AQ84" i="6"/>
  <c r="AV84" i="6"/>
  <c r="BF84" i="6"/>
  <c r="AN84" i="6"/>
  <c r="BG84" i="6"/>
  <c r="BE84" i="6"/>
  <c r="AU84" i="6"/>
  <c r="BA84" i="6"/>
  <c r="AT84" i="6"/>
  <c r="AM84" i="6"/>
  <c r="AG86" i="6" l="1"/>
  <c r="AF86" i="6"/>
  <c r="AJ86" i="6"/>
  <c r="AB86" i="6"/>
  <c r="AI86" i="6"/>
  <c r="AC86" i="6"/>
  <c r="AD86" i="6"/>
  <c r="AH86" i="6"/>
  <c r="AK86" i="6"/>
  <c r="AD85" i="6"/>
  <c r="AZ85" i="6"/>
  <c r="AV85" i="6"/>
  <c r="AP85" i="6"/>
  <c r="AC85" i="6"/>
  <c r="BF85" i="6"/>
  <c r="AF85" i="6"/>
  <c r="AH85" i="6"/>
  <c r="AU85" i="6"/>
  <c r="BG85" i="6"/>
  <c r="AT85" i="6"/>
  <c r="BA85" i="6"/>
  <c r="AO85" i="6"/>
  <c r="AB85" i="6"/>
  <c r="BD85" i="6"/>
  <c r="AI85" i="6"/>
  <c r="BE85" i="6"/>
  <c r="AQ85" i="6"/>
  <c r="AY85" i="6"/>
  <c r="AM85" i="6"/>
  <c r="BC85" i="6"/>
  <c r="AN85" i="6"/>
  <c r="AR85" i="6"/>
  <c r="BB85" i="6"/>
  <c r="AJ85" i="6"/>
  <c r="AK85" i="6"/>
  <c r="AG85" i="6"/>
  <c r="AX85" i="6"/>
  <c r="H87" i="6"/>
  <c r="T87" i="5" s="1"/>
  <c r="G87" i="12" s="1"/>
  <c r="A87" i="6"/>
  <c r="A88" i="12"/>
  <c r="AD88" i="5"/>
  <c r="C89" i="5"/>
  <c r="N88" i="5"/>
  <c r="D88" i="6" s="1"/>
  <c r="H88" i="6" s="1"/>
  <c r="T88" i="5" s="1"/>
  <c r="G88" i="12" s="1"/>
  <c r="B88" i="5"/>
  <c r="H88" i="5"/>
  <c r="D88" i="5"/>
  <c r="B88" i="12" s="1"/>
  <c r="AE88" i="5"/>
  <c r="F88" i="5"/>
  <c r="E88" i="5"/>
  <c r="B88" i="6"/>
  <c r="K88" i="5"/>
  <c r="J88" i="5"/>
  <c r="G88" i="5"/>
  <c r="M87" i="6"/>
  <c r="AM87" i="6" s="1"/>
  <c r="AO87" i="6"/>
  <c r="AU87" i="6"/>
  <c r="AX87" i="6"/>
  <c r="BD87" i="6"/>
  <c r="BF87" i="6"/>
  <c r="AR87" i="6"/>
  <c r="BG87" i="6"/>
  <c r="BA87" i="6"/>
  <c r="AT87" i="6"/>
  <c r="BC87" i="6"/>
  <c r="AN87" i="6"/>
  <c r="AY87" i="6"/>
  <c r="AQ87" i="6"/>
  <c r="AP87" i="6"/>
  <c r="AV87" i="6"/>
  <c r="AZ87" i="6"/>
  <c r="AS87" i="6"/>
  <c r="BE87" i="6"/>
  <c r="BB87" i="6"/>
  <c r="AJ87" i="6" l="1"/>
  <c r="AI87" i="6"/>
  <c r="AD87" i="6"/>
  <c r="AB87" i="6"/>
  <c r="A88" i="6"/>
  <c r="N88" i="6" s="1"/>
  <c r="B89" i="6"/>
  <c r="F89" i="5"/>
  <c r="AE89" i="5"/>
  <c r="AD89" i="5"/>
  <c r="D89" i="5"/>
  <c r="B89" i="12" s="1"/>
  <c r="G89" i="5"/>
  <c r="H89" i="5"/>
  <c r="B89" i="5"/>
  <c r="C90" i="5"/>
  <c r="K89" i="5"/>
  <c r="E89" i="5"/>
  <c r="A89" i="12"/>
  <c r="N89" i="5"/>
  <c r="D89" i="6" s="1"/>
  <c r="H89" i="6" s="1"/>
  <c r="T89" i="5" s="1"/>
  <c r="G89" i="12" s="1"/>
  <c r="J89" i="5"/>
  <c r="AF87" i="6"/>
  <c r="AK87" i="6"/>
  <c r="AG87" i="6"/>
  <c r="L88" i="12"/>
  <c r="J88" i="12"/>
  <c r="AH87" i="6"/>
  <c r="AC87" i="6"/>
  <c r="M88" i="6" l="1"/>
  <c r="AK88" i="6" s="1"/>
  <c r="K88" i="12"/>
  <c r="J89" i="12"/>
  <c r="L89" i="12"/>
  <c r="C91" i="5"/>
  <c r="H90" i="5"/>
  <c r="B90" i="6"/>
  <c r="A90" i="12"/>
  <c r="AE90" i="5"/>
  <c r="N90" i="5"/>
  <c r="D90" i="6" s="1"/>
  <c r="H90" i="6" s="1"/>
  <c r="T90" i="5" s="1"/>
  <c r="G90" i="12" s="1"/>
  <c r="AD90" i="5"/>
  <c r="D90" i="5"/>
  <c r="B90" i="12" s="1"/>
  <c r="E90" i="5"/>
  <c r="B90" i="5"/>
  <c r="J90" i="5"/>
  <c r="F90" i="5"/>
  <c r="G90" i="5"/>
  <c r="K90" i="5"/>
  <c r="A89" i="6"/>
  <c r="BB88" i="6" l="1"/>
  <c r="AQ88" i="6"/>
  <c r="AU88" i="6"/>
  <c r="AY88" i="6"/>
  <c r="AG88" i="6"/>
  <c r="AZ88" i="6"/>
  <c r="AT88" i="6"/>
  <c r="BC88" i="6"/>
  <c r="BE88" i="6"/>
  <c r="AR88" i="6"/>
  <c r="AJ88" i="6"/>
  <c r="BG88" i="6"/>
  <c r="AF88" i="6"/>
  <c r="AB88" i="6"/>
  <c r="AN88" i="6"/>
  <c r="AO88" i="6"/>
  <c r="AV88" i="6"/>
  <c r="AD88" i="6"/>
  <c r="AX88" i="6"/>
  <c r="AM88" i="6"/>
  <c r="AC88" i="6"/>
  <c r="BA88" i="6"/>
  <c r="BF88" i="6"/>
  <c r="BD88" i="6"/>
  <c r="AS88" i="6"/>
  <c r="AP88" i="6"/>
  <c r="AI88" i="6"/>
  <c r="AH88" i="6"/>
  <c r="K89" i="12"/>
  <c r="L90" i="12"/>
  <c r="J90" i="12"/>
  <c r="A90" i="6"/>
  <c r="N90" i="6" s="1"/>
  <c r="J91" i="5"/>
  <c r="A91" i="12"/>
  <c r="G91" i="5"/>
  <c r="B91" i="6"/>
  <c r="N91" i="5"/>
  <c r="D91" i="6" s="1"/>
  <c r="H91" i="6" s="1"/>
  <c r="T91" i="5" s="1"/>
  <c r="G91" i="12" s="1"/>
  <c r="D91" i="5"/>
  <c r="B91" i="12" s="1"/>
  <c r="K91" i="5"/>
  <c r="E91" i="5"/>
  <c r="B91" i="5"/>
  <c r="C92" i="5"/>
  <c r="H91" i="5"/>
  <c r="AD91" i="5"/>
  <c r="AE91" i="5"/>
  <c r="F91" i="5"/>
  <c r="N89" i="6"/>
  <c r="M89" i="6"/>
  <c r="K90" i="12" l="1"/>
  <c r="M90" i="6"/>
  <c r="AJ90" i="6" s="1"/>
  <c r="E92" i="5"/>
  <c r="J92" i="5"/>
  <c r="G92" i="5"/>
  <c r="N92" i="5"/>
  <c r="D92" i="6" s="1"/>
  <c r="H92" i="6" s="1"/>
  <c r="T92" i="5" s="1"/>
  <c r="G92" i="12" s="1"/>
  <c r="B92" i="5"/>
  <c r="H92" i="5"/>
  <c r="C93" i="5"/>
  <c r="K92" i="5"/>
  <c r="AD92" i="5"/>
  <c r="AE92" i="5"/>
  <c r="B92" i="6"/>
  <c r="A92" i="12"/>
  <c r="F92" i="5"/>
  <c r="D92" i="5"/>
  <c r="B92" i="12" s="1"/>
  <c r="J91" i="12"/>
  <c r="L91" i="12"/>
  <c r="AG89" i="6"/>
  <c r="AU89" i="6"/>
  <c r="AM89" i="6"/>
  <c r="AV89" i="6"/>
  <c r="AJ89" i="6"/>
  <c r="BE89" i="6"/>
  <c r="AT89" i="6"/>
  <c r="AH89" i="6"/>
  <c r="AB89" i="6"/>
  <c r="AX89" i="6"/>
  <c r="AR89" i="6"/>
  <c r="AO89" i="6"/>
  <c r="AN89" i="6"/>
  <c r="AZ89" i="6"/>
  <c r="AP89" i="6"/>
  <c r="AC89" i="6"/>
  <c r="BG89" i="6"/>
  <c r="AK89" i="6"/>
  <c r="BC89" i="6"/>
  <c r="AI89" i="6"/>
  <c r="BF89" i="6"/>
  <c r="AS89" i="6"/>
  <c r="AD89" i="6"/>
  <c r="BA89" i="6"/>
  <c r="BD89" i="6"/>
  <c r="BB89" i="6"/>
  <c r="AF89" i="6"/>
  <c r="AY89" i="6"/>
  <c r="AQ89" i="6"/>
  <c r="A91" i="6"/>
  <c r="K91" i="12" l="1"/>
  <c r="BE90" i="6"/>
  <c r="BA90" i="6"/>
  <c r="AD90" i="6"/>
  <c r="BD90" i="6"/>
  <c r="AN90" i="6"/>
  <c r="AY90" i="6"/>
  <c r="BB90" i="6"/>
  <c r="AC90" i="6"/>
  <c r="BF90" i="6"/>
  <c r="AV90" i="6"/>
  <c r="AS90" i="6"/>
  <c r="AB90" i="6"/>
  <c r="AM90" i="6"/>
  <c r="AK90" i="6"/>
  <c r="BC90" i="6"/>
  <c r="AX90" i="6"/>
  <c r="AI90" i="6"/>
  <c r="AP90" i="6"/>
  <c r="AO90" i="6"/>
  <c r="AZ90" i="6"/>
  <c r="AG90" i="6"/>
  <c r="AH90" i="6"/>
  <c r="AR90" i="6"/>
  <c r="AT90" i="6"/>
  <c r="AQ90" i="6"/>
  <c r="BG90" i="6"/>
  <c r="AF90" i="6"/>
  <c r="AU90" i="6"/>
  <c r="L92" i="12"/>
  <c r="J92" i="12"/>
  <c r="A92" i="6"/>
  <c r="N91" i="6"/>
  <c r="M91" i="6"/>
  <c r="D93" i="5"/>
  <c r="B93" i="12" s="1"/>
  <c r="H93" i="5"/>
  <c r="K93" i="5"/>
  <c r="B93" i="5"/>
  <c r="E93" i="5"/>
  <c r="AE93" i="5"/>
  <c r="B93" i="6"/>
  <c r="N93" i="5"/>
  <c r="D93" i="6" s="1"/>
  <c r="H93" i="6" s="1"/>
  <c r="T93" i="5" s="1"/>
  <c r="G93" i="12" s="1"/>
  <c r="AD93" i="5"/>
  <c r="A93" i="12"/>
  <c r="J93" i="5"/>
  <c r="C94" i="5"/>
  <c r="G93" i="5"/>
  <c r="F93" i="5"/>
  <c r="K92" i="12" l="1"/>
  <c r="L93" i="12"/>
  <c r="J93" i="12"/>
  <c r="AM91" i="6"/>
  <c r="AZ91" i="6"/>
  <c r="AU91" i="6"/>
  <c r="AC91" i="6"/>
  <c r="AF91" i="6"/>
  <c r="AT91" i="6"/>
  <c r="AG91" i="6"/>
  <c r="AQ91" i="6"/>
  <c r="AI91" i="6"/>
  <c r="AN91" i="6"/>
  <c r="AB91" i="6"/>
  <c r="AR91" i="6"/>
  <c r="AD91" i="6"/>
  <c r="AY91" i="6"/>
  <c r="AO91" i="6"/>
  <c r="AH91" i="6"/>
  <c r="AV91" i="6"/>
  <c r="BD91" i="6"/>
  <c r="BA91" i="6"/>
  <c r="BF91" i="6"/>
  <c r="BE91" i="6"/>
  <c r="AP91" i="6"/>
  <c r="AK91" i="6"/>
  <c r="AX91" i="6"/>
  <c r="BB91" i="6"/>
  <c r="BG91" i="6"/>
  <c r="AS91" i="6"/>
  <c r="BC91" i="6"/>
  <c r="AJ91" i="6"/>
  <c r="A93" i="6"/>
  <c r="M93" i="6" s="1"/>
  <c r="BB93" i="6" s="1"/>
  <c r="N92" i="6"/>
  <c r="M92" i="6"/>
  <c r="H94" i="5"/>
  <c r="E94" i="5"/>
  <c r="AD94" i="5"/>
  <c r="N94" i="5"/>
  <c r="D94" i="6" s="1"/>
  <c r="H94" i="6" s="1"/>
  <c r="T94" i="5" s="1"/>
  <c r="G94" i="12" s="1"/>
  <c r="G94" i="5"/>
  <c r="D94" i="5"/>
  <c r="B94" i="12" s="1"/>
  <c r="B94" i="6"/>
  <c r="J94" i="5"/>
  <c r="B94" i="5"/>
  <c r="K94" i="5"/>
  <c r="A94" i="12"/>
  <c r="F94" i="5"/>
  <c r="AE94" i="5"/>
  <c r="C95" i="5" l="1"/>
  <c r="N93" i="6"/>
  <c r="AK92" i="6"/>
  <c r="AU92" i="6"/>
  <c r="BD92" i="6"/>
  <c r="AM92" i="6"/>
  <c r="AI92" i="6"/>
  <c r="AB92" i="6"/>
  <c r="AX92" i="6"/>
  <c r="AV92" i="6"/>
  <c r="AZ92" i="6"/>
  <c r="BE92" i="6"/>
  <c r="AS92" i="6"/>
  <c r="AY92" i="6"/>
  <c r="AG92" i="6"/>
  <c r="AC92" i="6"/>
  <c r="BA92" i="6"/>
  <c r="AR92" i="6"/>
  <c r="AH92" i="6"/>
  <c r="AO92" i="6"/>
  <c r="AN92" i="6"/>
  <c r="AT92" i="6"/>
  <c r="AD92" i="6"/>
  <c r="BG92" i="6"/>
  <c r="AJ92" i="6"/>
  <c r="BB92" i="6"/>
  <c r="BC92" i="6"/>
  <c r="BF92" i="6"/>
  <c r="AQ92" i="6"/>
  <c r="AF92" i="6"/>
  <c r="AP92" i="6"/>
  <c r="AX93" i="6"/>
  <c r="AD93" i="6"/>
  <c r="K93" i="12"/>
  <c r="L94" i="12"/>
  <c r="J94" i="12"/>
  <c r="AT93" i="6"/>
  <c r="AP93" i="6"/>
  <c r="AY93" i="6"/>
  <c r="AI93" i="6"/>
  <c r="AH93" i="6"/>
  <c r="AF93" i="6"/>
  <c r="AV93" i="6"/>
  <c r="AU93" i="6"/>
  <c r="AQ93" i="6"/>
  <c r="AO93" i="6"/>
  <c r="AS93" i="6"/>
  <c r="BA93" i="6"/>
  <c r="BF93" i="6"/>
  <c r="AN93" i="6"/>
  <c r="BD93" i="6"/>
  <c r="BG93" i="6"/>
  <c r="BC93" i="6"/>
  <c r="AC93" i="6"/>
  <c r="AJ93" i="6"/>
  <c r="AZ93" i="6"/>
  <c r="A94" i="6"/>
  <c r="N94" i="6" s="1"/>
  <c r="AK93" i="6"/>
  <c r="AG93" i="6"/>
  <c r="BE93" i="6"/>
  <c r="AR93" i="6"/>
  <c r="AM93" i="6"/>
  <c r="AB93" i="6"/>
  <c r="AE95" i="5" l="1"/>
  <c r="B95" i="6"/>
  <c r="AD95" i="5"/>
  <c r="A95" i="12"/>
  <c r="W95" i="5"/>
  <c r="H95" i="12" s="1"/>
  <c r="N95" i="5"/>
  <c r="D95" i="6" s="1"/>
  <c r="C96" i="5"/>
  <c r="E95" i="5"/>
  <c r="F95" i="5"/>
  <c r="H95" i="5"/>
  <c r="B95" i="5"/>
  <c r="G95" i="5"/>
  <c r="K94" i="12"/>
  <c r="M94" i="6"/>
  <c r="BF94" i="6" s="1"/>
  <c r="A95" i="6" l="1"/>
  <c r="G95" i="6"/>
  <c r="E96" i="5"/>
  <c r="A96" i="12"/>
  <c r="K96" i="5"/>
  <c r="B96" i="6"/>
  <c r="AE96" i="5"/>
  <c r="G96" i="5"/>
  <c r="J96" i="5"/>
  <c r="C97" i="5"/>
  <c r="F96" i="5"/>
  <c r="B96" i="5"/>
  <c r="D96" i="5"/>
  <c r="B96" i="12" s="1"/>
  <c r="AD96" i="5"/>
  <c r="N96" i="5"/>
  <c r="D96" i="6" s="1"/>
  <c r="H96" i="6" s="1"/>
  <c r="T96" i="5" s="1"/>
  <c r="H96" i="5"/>
  <c r="H95" i="6"/>
  <c r="T95" i="5" s="1"/>
  <c r="G95" i="12" s="1"/>
  <c r="M95" i="6"/>
  <c r="AU95" i="6" s="1"/>
  <c r="F95" i="6"/>
  <c r="E95" i="12"/>
  <c r="BG95" i="6"/>
  <c r="BD95" i="6"/>
  <c r="AO95" i="6"/>
  <c r="N95" i="6"/>
  <c r="BB95" i="6"/>
  <c r="AN95" i="6"/>
  <c r="AX95" i="6"/>
  <c r="AR95" i="6"/>
  <c r="AT95" i="6"/>
  <c r="AV95" i="6"/>
  <c r="AQ95" i="6"/>
  <c r="BA95" i="6"/>
  <c r="BC95" i="6"/>
  <c r="BE95" i="6"/>
  <c r="AZ95" i="6"/>
  <c r="AP95" i="6"/>
  <c r="AM95" i="6"/>
  <c r="BF95" i="6"/>
  <c r="AY95" i="6"/>
  <c r="AS95" i="6"/>
  <c r="AG94" i="6"/>
  <c r="AV94" i="6"/>
  <c r="BA94" i="6"/>
  <c r="AX94" i="6"/>
  <c r="AH94" i="6"/>
  <c r="BD94" i="6"/>
  <c r="AT94" i="6"/>
  <c r="AR94" i="6"/>
  <c r="AB94" i="6"/>
  <c r="BG94" i="6"/>
  <c r="BE94" i="6"/>
  <c r="AS94" i="6"/>
  <c r="AN94" i="6"/>
  <c r="BC94" i="6"/>
  <c r="AJ94" i="6"/>
  <c r="AD94" i="6"/>
  <c r="AY94" i="6"/>
  <c r="AF94" i="6"/>
  <c r="AQ94" i="6"/>
  <c r="AC94" i="6"/>
  <c r="AI94" i="6"/>
  <c r="BB94" i="6"/>
  <c r="AM94" i="6"/>
  <c r="AK94" i="6"/>
  <c r="AO94" i="6"/>
  <c r="AZ94" i="6"/>
  <c r="AU94" i="6"/>
  <c r="AP94" i="6"/>
  <c r="A96" i="6" l="1"/>
  <c r="N96" i="6" s="1"/>
  <c r="AJ95" i="6"/>
  <c r="AD95" i="6"/>
  <c r="AB95" i="6"/>
  <c r="AI95" i="6"/>
  <c r="AK95" i="6"/>
  <c r="AG95" i="6"/>
  <c r="AF95" i="6"/>
  <c r="AH95" i="6"/>
  <c r="AC95" i="6"/>
  <c r="E97" i="5"/>
  <c r="C98" i="5"/>
  <c r="AD97" i="5"/>
  <c r="B97" i="6"/>
  <c r="F97" i="5"/>
  <c r="A97" i="12"/>
  <c r="J97" i="5"/>
  <c r="G97" i="5"/>
  <c r="AE97" i="5"/>
  <c r="N97" i="5"/>
  <c r="D97" i="6" s="1"/>
  <c r="H97" i="5"/>
  <c r="D97" i="5"/>
  <c r="B97" i="12" s="1"/>
  <c r="B97" i="5"/>
  <c r="K97" i="5"/>
  <c r="J96" i="12"/>
  <c r="L96" i="12"/>
  <c r="G96" i="12"/>
  <c r="K96" i="12" l="1"/>
  <c r="A97" i="6"/>
  <c r="N97" i="6" s="1"/>
  <c r="M96" i="6"/>
  <c r="AN96" i="6" s="1"/>
  <c r="H97" i="6"/>
  <c r="J97" i="12"/>
  <c r="L97" i="12"/>
  <c r="AD98" i="5"/>
  <c r="J98" i="5"/>
  <c r="G98" i="5"/>
  <c r="B98" i="5"/>
  <c r="B98" i="6"/>
  <c r="H98" i="5"/>
  <c r="E98" i="5"/>
  <c r="C99" i="5"/>
  <c r="F98" i="5"/>
  <c r="D98" i="5"/>
  <c r="B98" i="12" s="1"/>
  <c r="N98" i="5"/>
  <c r="D98" i="6" s="1"/>
  <c r="AE98" i="5"/>
  <c r="K98" i="5"/>
  <c r="A98" i="12"/>
  <c r="M97" i="6" l="1"/>
  <c r="AQ97" i="6" s="1"/>
  <c r="AD96" i="6"/>
  <c r="AH96" i="6"/>
  <c r="AU96" i="6"/>
  <c r="AQ96" i="6"/>
  <c r="BD96" i="6"/>
  <c r="AC96" i="6"/>
  <c r="BA96" i="6"/>
  <c r="AO96" i="6"/>
  <c r="AG96" i="6"/>
  <c r="AY96" i="6"/>
  <c r="AI96" i="6"/>
  <c r="BG96" i="6"/>
  <c r="AF96" i="6"/>
  <c r="AX96" i="6"/>
  <c r="AV96" i="6"/>
  <c r="AZ96" i="6"/>
  <c r="AJ96" i="6"/>
  <c r="BE96" i="6"/>
  <c r="BC96" i="6"/>
  <c r="AS96" i="6"/>
  <c r="BF96" i="6"/>
  <c r="AP96" i="6"/>
  <c r="AB96" i="6"/>
  <c r="AM96" i="6"/>
  <c r="AR96" i="6"/>
  <c r="AT96" i="6"/>
  <c r="BB96" i="6"/>
  <c r="AK96" i="6"/>
  <c r="T97" i="5"/>
  <c r="K97" i="12"/>
  <c r="D99" i="5"/>
  <c r="B99" i="12" s="1"/>
  <c r="H99" i="5"/>
  <c r="AD99" i="5"/>
  <c r="K99" i="5"/>
  <c r="A99" i="12"/>
  <c r="F99" i="5"/>
  <c r="J99" i="5"/>
  <c r="AE99" i="5"/>
  <c r="G99" i="5"/>
  <c r="B99" i="5"/>
  <c r="C100" i="5" s="1"/>
  <c r="N99" i="5"/>
  <c r="D99" i="6" s="1"/>
  <c r="H99" i="6" s="1"/>
  <c r="T99" i="5" s="1"/>
  <c r="E99" i="5"/>
  <c r="B99" i="6"/>
  <c r="L98" i="12"/>
  <c r="J98" i="12"/>
  <c r="A98" i="6"/>
  <c r="M98" i="6" s="1"/>
  <c r="H98" i="6"/>
  <c r="T98" i="5" s="1"/>
  <c r="AI97" i="6" l="1"/>
  <c r="BA97" i="6"/>
  <c r="AN97" i="6"/>
  <c r="AX97" i="6"/>
  <c r="AJ97" i="6"/>
  <c r="BE97" i="6"/>
  <c r="AD97" i="6"/>
  <c r="BC97" i="6"/>
  <c r="AF97" i="6"/>
  <c r="AH97" i="6"/>
  <c r="AU97" i="6"/>
  <c r="AY97" i="6"/>
  <c r="AZ97" i="6"/>
  <c r="AP97" i="6"/>
  <c r="AO97" i="6"/>
  <c r="AT97" i="6"/>
  <c r="BG97" i="6"/>
  <c r="BD97" i="6"/>
  <c r="AR97" i="6"/>
  <c r="BF97" i="6"/>
  <c r="AK97" i="6"/>
  <c r="BB97" i="6"/>
  <c r="AV97" i="6"/>
  <c r="AB97" i="6"/>
  <c r="AS97" i="6"/>
  <c r="AG97" i="6"/>
  <c r="AM97" i="6"/>
  <c r="AC97" i="6"/>
  <c r="G98" i="12"/>
  <c r="A99" i="6"/>
  <c r="M99" i="6" s="1"/>
  <c r="AC99" i="6" s="1"/>
  <c r="N98" i="6"/>
  <c r="G97" i="12"/>
  <c r="BC98" i="6"/>
  <c r="AR98" i="6"/>
  <c r="AP98" i="6"/>
  <c r="AN98" i="6"/>
  <c r="BG98" i="6"/>
  <c r="AX98" i="6"/>
  <c r="AZ98" i="6"/>
  <c r="AG98" i="6"/>
  <c r="AM98" i="6"/>
  <c r="AV98" i="6"/>
  <c r="BA98" i="6"/>
  <c r="BF98" i="6"/>
  <c r="BB98" i="6"/>
  <c r="AK98" i="6"/>
  <c r="AC98" i="6"/>
  <c r="AY98" i="6"/>
  <c r="AU98" i="6"/>
  <c r="BD98" i="6"/>
  <c r="AQ98" i="6"/>
  <c r="BE98" i="6"/>
  <c r="AS98" i="6"/>
  <c r="AT98" i="6"/>
  <c r="AO98" i="6"/>
  <c r="AD98" i="6"/>
  <c r="L99" i="12"/>
  <c r="J99" i="12"/>
  <c r="F100" i="5"/>
  <c r="AE100" i="5"/>
  <c r="AD100" i="5"/>
  <c r="R100" i="5"/>
  <c r="A100" i="12"/>
  <c r="E100" i="5"/>
  <c r="N100" i="5"/>
  <c r="D100" i="6" s="1"/>
  <c r="B100" i="6"/>
  <c r="G100" i="5"/>
  <c r="C101" i="5"/>
  <c r="C102" i="5" s="1"/>
  <c r="B100" i="5"/>
  <c r="H100" i="5"/>
  <c r="W100" i="5"/>
  <c r="H100" i="12" s="1"/>
  <c r="K98" i="12"/>
  <c r="AJ98" i="6"/>
  <c r="AI98" i="6"/>
  <c r="AH98" i="6"/>
  <c r="AB98" i="6"/>
  <c r="AF98" i="6"/>
  <c r="G99" i="12"/>
  <c r="N99" i="6" l="1"/>
  <c r="B102" i="6"/>
  <c r="D102" i="5"/>
  <c r="B102" i="12" s="1"/>
  <c r="N102" i="5"/>
  <c r="A102" i="12"/>
  <c r="K102" i="5"/>
  <c r="J102" i="5"/>
  <c r="C103" i="5"/>
  <c r="AE102" i="5"/>
  <c r="AD102" i="5"/>
  <c r="BG99" i="6"/>
  <c r="BD99" i="6"/>
  <c r="BF99" i="6"/>
  <c r="BC99" i="6"/>
  <c r="AP99" i="6"/>
  <c r="AY99" i="6"/>
  <c r="BB99" i="6"/>
  <c r="BE99" i="6"/>
  <c r="AJ99" i="6"/>
  <c r="AX99" i="6"/>
  <c r="AB99" i="6"/>
  <c r="AK99" i="6"/>
  <c r="BA99" i="6"/>
  <c r="AM99" i="6"/>
  <c r="AZ99" i="6"/>
  <c r="A100" i="6"/>
  <c r="AR99" i="6"/>
  <c r="AI99" i="6"/>
  <c r="AQ99" i="6"/>
  <c r="AT99" i="6"/>
  <c r="AO99" i="6"/>
  <c r="AS99" i="6"/>
  <c r="AH99" i="6"/>
  <c r="AV99" i="6"/>
  <c r="AG99" i="6"/>
  <c r="AU99" i="6"/>
  <c r="AD99" i="6"/>
  <c r="AF99" i="6"/>
  <c r="AN99" i="6"/>
  <c r="K99" i="12"/>
  <c r="F100" i="6"/>
  <c r="E100" i="12"/>
  <c r="D101" i="5"/>
  <c r="B101" i="12" s="1"/>
  <c r="H101" i="5"/>
  <c r="H102" i="5" s="1"/>
  <c r="A101" i="12"/>
  <c r="E101" i="5"/>
  <c r="E102" i="5" s="1"/>
  <c r="AD101" i="5"/>
  <c r="J101" i="5"/>
  <c r="K101" i="5"/>
  <c r="G101" i="5"/>
  <c r="G102" i="5" s="1"/>
  <c r="B101" i="6"/>
  <c r="AE101" i="5"/>
  <c r="B101" i="5"/>
  <c r="F101" i="5"/>
  <c r="F102" i="5" s="1"/>
  <c r="N101" i="5"/>
  <c r="D101" i="6" s="1"/>
  <c r="H101" i="6" s="1"/>
  <c r="T101" i="5" s="1"/>
  <c r="G101" i="12" s="1"/>
  <c r="AM100" i="6"/>
  <c r="AX100" i="6"/>
  <c r="BB100" i="6"/>
  <c r="AY100" i="6"/>
  <c r="BA100" i="6"/>
  <c r="AR100" i="6"/>
  <c r="AO100" i="6"/>
  <c r="G100" i="6"/>
  <c r="N100" i="6"/>
  <c r="AV100" i="6"/>
  <c r="BD100" i="6"/>
  <c r="AP100" i="6"/>
  <c r="BC100" i="6"/>
  <c r="BF100" i="6"/>
  <c r="AU100" i="6"/>
  <c r="AS100" i="6"/>
  <c r="M100" i="6"/>
  <c r="AZ100" i="6" s="1"/>
  <c r="AQ100" i="6"/>
  <c r="BG100" i="6"/>
  <c r="BE100" i="6"/>
  <c r="AN100" i="6"/>
  <c r="H100" i="6"/>
  <c r="AT100" i="6"/>
  <c r="J102" i="12" l="1"/>
  <c r="L102" i="12"/>
  <c r="B103" i="6"/>
  <c r="F103" i="5"/>
  <c r="G103" i="5"/>
  <c r="N103" i="5"/>
  <c r="E103" i="5"/>
  <c r="D103" i="5"/>
  <c r="B103" i="12" s="1"/>
  <c r="C104" i="5"/>
  <c r="AE103" i="5"/>
  <c r="A103" i="12"/>
  <c r="K103" i="5"/>
  <c r="J103" i="5"/>
  <c r="AD103" i="5"/>
  <c r="H103" i="5"/>
  <c r="D102" i="6"/>
  <c r="B102" i="5"/>
  <c r="B103" i="5" s="1"/>
  <c r="A101" i="6"/>
  <c r="N101" i="6" s="1"/>
  <c r="T100" i="5"/>
  <c r="G100" i="12" s="1"/>
  <c r="AD100" i="6"/>
  <c r="AB100" i="6"/>
  <c r="AF100" i="6"/>
  <c r="AJ100" i="6"/>
  <c r="AH100" i="6"/>
  <c r="AC100" i="6"/>
  <c r="AK100" i="6"/>
  <c r="AI100" i="6"/>
  <c r="L101" i="12"/>
  <c r="J101" i="12"/>
  <c r="AG100" i="6"/>
  <c r="K102" i="12" l="1"/>
  <c r="A102" i="6"/>
  <c r="H102" i="6"/>
  <c r="T102" i="5" s="1"/>
  <c r="D103" i="6"/>
  <c r="M101" i="6"/>
  <c r="AI101" i="6" s="1"/>
  <c r="L103" i="12"/>
  <c r="J103" i="12"/>
  <c r="B104" i="6"/>
  <c r="AD104" i="5"/>
  <c r="H104" i="5"/>
  <c r="G104" i="5"/>
  <c r="F104" i="5"/>
  <c r="N104" i="5"/>
  <c r="E104" i="5"/>
  <c r="D104" i="5"/>
  <c r="B104" i="12" s="1"/>
  <c r="A104" i="12"/>
  <c r="K104" i="5"/>
  <c r="AE104" i="5"/>
  <c r="J104" i="5"/>
  <c r="B104" i="5"/>
  <c r="K101" i="12"/>
  <c r="M102" i="6" l="1"/>
  <c r="BC102" i="6" s="1"/>
  <c r="K103" i="12"/>
  <c r="N102" i="6"/>
  <c r="A103" i="6"/>
  <c r="N103" i="6" s="1"/>
  <c r="AT101" i="6"/>
  <c r="BA101" i="6"/>
  <c r="BC101" i="6"/>
  <c r="AX101" i="6"/>
  <c r="AS101" i="6"/>
  <c r="AB101" i="6"/>
  <c r="L104" i="12"/>
  <c r="J104" i="12"/>
  <c r="AF101" i="6"/>
  <c r="AJ101" i="6"/>
  <c r="AM101" i="6"/>
  <c r="H103" i="6"/>
  <c r="T103" i="5" s="1"/>
  <c r="AU101" i="6"/>
  <c r="BB101" i="6"/>
  <c r="AD101" i="6"/>
  <c r="AH101" i="6"/>
  <c r="AO101" i="6"/>
  <c r="AY101" i="6"/>
  <c r="AN101" i="6"/>
  <c r="AC101" i="6"/>
  <c r="AG101" i="6"/>
  <c r="AZ101" i="6"/>
  <c r="AP101" i="6"/>
  <c r="AR101" i="6"/>
  <c r="AQ101" i="6"/>
  <c r="D104" i="6"/>
  <c r="BE101" i="6"/>
  <c r="BF101" i="6"/>
  <c r="AK101" i="6"/>
  <c r="G102" i="12"/>
  <c r="BG101" i="6"/>
  <c r="AV101" i="6"/>
  <c r="BD101" i="6"/>
  <c r="AJ102" i="6" l="1"/>
  <c r="AG102" i="6"/>
  <c r="BA102" i="6"/>
  <c r="AK102" i="6"/>
  <c r="AI102" i="6"/>
  <c r="AT102" i="6"/>
  <c r="AF102" i="6"/>
  <c r="AQ102" i="6"/>
  <c r="AS102" i="6"/>
  <c r="AH102" i="6"/>
  <c r="AX102" i="6"/>
  <c r="BG102" i="6"/>
  <c r="AO102" i="6"/>
  <c r="AN102" i="6"/>
  <c r="AV102" i="6"/>
  <c r="BB102" i="6"/>
  <c r="AC102" i="6"/>
  <c r="AU102" i="6"/>
  <c r="AM102" i="6"/>
  <c r="AY102" i="6"/>
  <c r="AP102" i="6"/>
  <c r="AZ102" i="6"/>
  <c r="AD102" i="6"/>
  <c r="BF102" i="6"/>
  <c r="BD102" i="6"/>
  <c r="BE102" i="6"/>
  <c r="AR102" i="6"/>
  <c r="AB102" i="6"/>
  <c r="A104" i="6"/>
  <c r="N104" i="6" s="1"/>
  <c r="M103" i="6"/>
  <c r="AQ103" i="6" s="1"/>
  <c r="H104" i="6"/>
  <c r="T104" i="5" s="1"/>
  <c r="G103" i="12"/>
  <c r="K104" i="12"/>
  <c r="M104" i="6" l="1"/>
  <c r="BA104" i="6" s="1"/>
  <c r="AR103" i="6"/>
  <c r="AK103" i="6"/>
  <c r="AX103" i="6"/>
  <c r="AI103" i="6"/>
  <c r="AZ103" i="6"/>
  <c r="BA103" i="6"/>
  <c r="AM103" i="6"/>
  <c r="AV103" i="6"/>
  <c r="AH103" i="6"/>
  <c r="BD103" i="6"/>
  <c r="AY103" i="6"/>
  <c r="AJ103" i="6"/>
  <c r="AF103" i="6"/>
  <c r="AS103" i="6"/>
  <c r="AO103" i="6"/>
  <c r="AG103" i="6"/>
  <c r="BF103" i="6"/>
  <c r="BE103" i="6"/>
  <c r="BG103" i="6"/>
  <c r="AB103" i="6"/>
  <c r="AN103" i="6"/>
  <c r="AU103" i="6"/>
  <c r="BC103" i="6"/>
  <c r="AT103" i="6"/>
  <c r="AD103" i="6"/>
  <c r="AC103" i="6"/>
  <c r="AP103" i="6"/>
  <c r="BB103" i="6"/>
  <c r="G104" i="12"/>
  <c r="BC104" i="6" l="1"/>
  <c r="BD104" i="6"/>
  <c r="AU104" i="6"/>
  <c r="BF104" i="6"/>
  <c r="AX104" i="6"/>
  <c r="AJ104" i="6"/>
  <c r="AR104" i="6"/>
  <c r="AD104" i="6"/>
  <c r="AI104" i="6"/>
  <c r="AB104" i="6"/>
  <c r="AO104" i="6"/>
  <c r="AF104" i="6"/>
  <c r="AT104" i="6"/>
  <c r="AP104" i="6"/>
  <c r="AY104" i="6"/>
  <c r="AZ104" i="6"/>
  <c r="AM104" i="6"/>
  <c r="AK104" i="6"/>
  <c r="BG104" i="6"/>
  <c r="AN104" i="6"/>
  <c r="AQ104" i="6"/>
  <c r="BE104" i="6"/>
  <c r="AS104" i="6"/>
  <c r="AC104" i="6"/>
  <c r="AG104" i="6"/>
  <c r="AV104" i="6"/>
  <c r="BB104" i="6"/>
  <c r="AH104" i="6"/>
  <c r="C105" i="5" l="1"/>
  <c r="F105" i="5" l="1"/>
  <c r="R105" i="5"/>
  <c r="N105" i="5"/>
  <c r="D105" i="6" s="1"/>
  <c r="W105" i="5"/>
  <c r="H105" i="12" s="1"/>
  <c r="B105" i="6"/>
  <c r="A105" i="6" s="1"/>
  <c r="B105" i="5"/>
  <c r="C106" i="5" s="1"/>
  <c r="AE105" i="5"/>
  <c r="E105" i="5"/>
  <c r="G105" i="5"/>
  <c r="A105" i="12"/>
  <c r="H105" i="5"/>
  <c r="AD105" i="5"/>
  <c r="AP105" i="6" l="1"/>
  <c r="H105" i="6"/>
  <c r="AT105" i="6"/>
  <c r="AS105" i="6"/>
  <c r="BE105" i="6"/>
  <c r="N105" i="6"/>
  <c r="AO105" i="6"/>
  <c r="BD105" i="6"/>
  <c r="BB105" i="6"/>
  <c r="AR105" i="6"/>
  <c r="BC105" i="6"/>
  <c r="BG105" i="6"/>
  <c r="G105" i="6"/>
  <c r="AM105" i="6"/>
  <c r="AZ105" i="6"/>
  <c r="AV105" i="6"/>
  <c r="BA105" i="6"/>
  <c r="AY105" i="6"/>
  <c r="BF105" i="6"/>
  <c r="AU105" i="6"/>
  <c r="AQ105" i="6"/>
  <c r="AN105" i="6"/>
  <c r="M105" i="6"/>
  <c r="AX105" i="6" s="1"/>
  <c r="E105" i="12"/>
  <c r="F105" i="6"/>
  <c r="E106" i="5"/>
  <c r="AE106" i="5"/>
  <c r="F106" i="5"/>
  <c r="R106" i="5"/>
  <c r="A106" i="12"/>
  <c r="H106" i="5"/>
  <c r="W106" i="5"/>
  <c r="H106" i="12" s="1"/>
  <c r="AD106" i="5"/>
  <c r="C107" i="5"/>
  <c r="G106" i="5"/>
  <c r="B106" i="5"/>
  <c r="N106" i="5"/>
  <c r="D106" i="6" s="1"/>
  <c r="B106" i="6"/>
  <c r="A106" i="6" l="1"/>
  <c r="M106" i="6" s="1"/>
  <c r="AU106" i="6" s="1"/>
  <c r="AZ106" i="6"/>
  <c r="BD106" i="6"/>
  <c r="AP106" i="6"/>
  <c r="BA106" i="6"/>
  <c r="AT106" i="6"/>
  <c r="BE106" i="6"/>
  <c r="AX106" i="6"/>
  <c r="AO106" i="6"/>
  <c r="AV106" i="6"/>
  <c r="AQ106" i="6"/>
  <c r="AM106" i="6"/>
  <c r="AY106" i="6"/>
  <c r="H106" i="6"/>
  <c r="G106" i="6"/>
  <c r="AR106" i="6"/>
  <c r="BG106" i="6"/>
  <c r="AN106" i="6"/>
  <c r="AS106" i="6"/>
  <c r="BB106" i="6"/>
  <c r="N106" i="6"/>
  <c r="BF106" i="6"/>
  <c r="BC106" i="6"/>
  <c r="F106" i="6"/>
  <c r="E106" i="12"/>
  <c r="B107" i="6"/>
  <c r="D107" i="5"/>
  <c r="B107" i="12" s="1"/>
  <c r="F107" i="5"/>
  <c r="B107" i="5"/>
  <c r="C108" i="5" s="1"/>
  <c r="K107" i="5"/>
  <c r="AE107" i="5"/>
  <c r="A107" i="12"/>
  <c r="N107" i="5"/>
  <c r="D107" i="6" s="1"/>
  <c r="H107" i="6" s="1"/>
  <c r="T107" i="5" s="1"/>
  <c r="G107" i="12" s="1"/>
  <c r="E107" i="5"/>
  <c r="AD107" i="5"/>
  <c r="J107" i="5"/>
  <c r="H107" i="5"/>
  <c r="G107" i="5"/>
  <c r="T105" i="5"/>
  <c r="G105" i="12" s="1"/>
  <c r="AJ105" i="6"/>
  <c r="AB105" i="6"/>
  <c r="AD105" i="6"/>
  <c r="AC105" i="6"/>
  <c r="AF105" i="6"/>
  <c r="AH105" i="6"/>
  <c r="AK105" i="6"/>
  <c r="AI105" i="6"/>
  <c r="AG105" i="6"/>
  <c r="AF106" i="6" l="1"/>
  <c r="AG106" i="6"/>
  <c r="AK106" i="6"/>
  <c r="AD106" i="6"/>
  <c r="AJ106" i="6"/>
  <c r="AH106" i="6"/>
  <c r="AC106" i="6"/>
  <c r="A107" i="6"/>
  <c r="L107" i="12"/>
  <c r="J107" i="12"/>
  <c r="AD108" i="5"/>
  <c r="G108" i="5"/>
  <c r="B108" i="6"/>
  <c r="B108" i="5"/>
  <c r="N108" i="5"/>
  <c r="D108" i="6" s="1"/>
  <c r="AE108" i="5"/>
  <c r="R108" i="5"/>
  <c r="C109" i="5"/>
  <c r="W108" i="5"/>
  <c r="H108" i="12" s="1"/>
  <c r="H108" i="5"/>
  <c r="E108" i="5"/>
  <c r="A108" i="12"/>
  <c r="F108" i="5"/>
  <c r="AI106" i="6"/>
  <c r="T106" i="5"/>
  <c r="G106" i="12" s="1"/>
  <c r="AB106" i="6"/>
  <c r="K107" i="12" l="1"/>
  <c r="A108" i="6"/>
  <c r="B109" i="5"/>
  <c r="J109" i="5"/>
  <c r="K109" i="5"/>
  <c r="A109" i="12"/>
  <c r="AD109" i="5"/>
  <c r="H109" i="5"/>
  <c r="D109" i="5"/>
  <c r="B109" i="12" s="1"/>
  <c r="N109" i="5"/>
  <c r="D109" i="6" s="1"/>
  <c r="H109" i="6" s="1"/>
  <c r="T109" i="5" s="1"/>
  <c r="G109" i="12" s="1"/>
  <c r="F109" i="5"/>
  <c r="AE109" i="5"/>
  <c r="C110" i="5"/>
  <c r="G109" i="5"/>
  <c r="E109" i="5"/>
  <c r="B109" i="6"/>
  <c r="E108" i="12"/>
  <c r="F108" i="6"/>
  <c r="AS108" i="6"/>
  <c r="AU108" i="6"/>
  <c r="H108" i="6"/>
  <c r="BB108" i="6"/>
  <c r="BD108" i="6"/>
  <c r="AO108" i="6"/>
  <c r="G108" i="6"/>
  <c r="BC108" i="6"/>
  <c r="AZ108" i="6"/>
  <c r="AR108" i="6"/>
  <c r="AX108" i="6"/>
  <c r="AM108" i="6"/>
  <c r="N108" i="6"/>
  <c r="AP108" i="6"/>
  <c r="AY108" i="6"/>
  <c r="BF108" i="6"/>
  <c r="BA108" i="6"/>
  <c r="AN108" i="6"/>
  <c r="AT108" i="6"/>
  <c r="BE108" i="6"/>
  <c r="AQ108" i="6"/>
  <c r="M108" i="6"/>
  <c r="BG108" i="6"/>
  <c r="AV108" i="6"/>
  <c r="M107" i="6"/>
  <c r="N107" i="6"/>
  <c r="A109" i="6" l="1"/>
  <c r="N109" i="6" s="1"/>
  <c r="J109" i="12"/>
  <c r="L109" i="12"/>
  <c r="T108" i="5"/>
  <c r="G108" i="12" s="1"/>
  <c r="AD108" i="6"/>
  <c r="AI108" i="6"/>
  <c r="AB108" i="6"/>
  <c r="AF108" i="6"/>
  <c r="AH108" i="6"/>
  <c r="AG108" i="6"/>
  <c r="AC108" i="6"/>
  <c r="F110" i="5"/>
  <c r="A110" i="12"/>
  <c r="G110" i="5"/>
  <c r="AE110" i="5"/>
  <c r="J110" i="5"/>
  <c r="B110" i="5"/>
  <c r="N110" i="5"/>
  <c r="D110" i="6" s="1"/>
  <c r="H110" i="6" s="1"/>
  <c r="T110" i="5" s="1"/>
  <c r="G110" i="12" s="1"/>
  <c r="H110" i="5"/>
  <c r="E110" i="5"/>
  <c r="D110" i="5"/>
  <c r="B110" i="12" s="1"/>
  <c r="AD110" i="5"/>
  <c r="C111" i="5"/>
  <c r="B110" i="6"/>
  <c r="K110" i="5"/>
  <c r="BG107" i="6"/>
  <c r="AY107" i="6"/>
  <c r="AO107" i="6"/>
  <c r="AZ107" i="6"/>
  <c r="AM107" i="6"/>
  <c r="AQ107" i="6"/>
  <c r="AJ107" i="6"/>
  <c r="AU107" i="6"/>
  <c r="AP107" i="6"/>
  <c r="AT107" i="6"/>
  <c r="BB107" i="6"/>
  <c r="BF107" i="6"/>
  <c r="AN107" i="6"/>
  <c r="AX107" i="6"/>
  <c r="BA107" i="6"/>
  <c r="AR107" i="6"/>
  <c r="AK107" i="6"/>
  <c r="AB107" i="6"/>
  <c r="AH107" i="6"/>
  <c r="BE107" i="6"/>
  <c r="AS107" i="6"/>
  <c r="AV107" i="6"/>
  <c r="AD107" i="6"/>
  <c r="AG107" i="6"/>
  <c r="BC107" i="6"/>
  <c r="BD107" i="6"/>
  <c r="AF107" i="6"/>
  <c r="AC107" i="6"/>
  <c r="AI107" i="6"/>
  <c r="AJ108" i="6"/>
  <c r="AK108" i="6"/>
  <c r="K109" i="12" l="1"/>
  <c r="A110" i="6"/>
  <c r="N110" i="6" s="1"/>
  <c r="M109" i="6"/>
  <c r="C112" i="5"/>
  <c r="K111" i="5"/>
  <c r="AE111" i="5"/>
  <c r="E111" i="5"/>
  <c r="B111" i="6"/>
  <c r="N111" i="5"/>
  <c r="D111" i="6" s="1"/>
  <c r="H111" i="6" s="1"/>
  <c r="T111" i="5" s="1"/>
  <c r="G111" i="12" s="1"/>
  <c r="A111" i="12"/>
  <c r="B111" i="5"/>
  <c r="J111" i="5"/>
  <c r="AD111" i="5"/>
  <c r="D111" i="5"/>
  <c r="B111" i="12" s="1"/>
  <c r="H111" i="5"/>
  <c r="F111" i="5"/>
  <c r="G111" i="5"/>
  <c r="J110" i="12"/>
  <c r="L110" i="12"/>
  <c r="K110" i="12" l="1"/>
  <c r="M110" i="6"/>
  <c r="AC110" i="6" s="1"/>
  <c r="AK109" i="6"/>
  <c r="AQ109" i="6"/>
  <c r="AZ109" i="6"/>
  <c r="AO109" i="6"/>
  <c r="AM109" i="6"/>
  <c r="BD109" i="6"/>
  <c r="AB109" i="6"/>
  <c r="AP109" i="6"/>
  <c r="AU109" i="6"/>
  <c r="AT109" i="6"/>
  <c r="AR109" i="6"/>
  <c r="AS109" i="6"/>
  <c r="AF109" i="6"/>
  <c r="BG109" i="6"/>
  <c r="AJ109" i="6"/>
  <c r="AN109" i="6"/>
  <c r="BE109" i="6"/>
  <c r="BB109" i="6"/>
  <c r="AG109" i="6"/>
  <c r="AD109" i="6"/>
  <c r="BA109" i="6"/>
  <c r="BF109" i="6"/>
  <c r="AI109" i="6"/>
  <c r="AH109" i="6"/>
  <c r="AV109" i="6"/>
  <c r="AY109" i="6"/>
  <c r="AC109" i="6"/>
  <c r="AX109" i="6"/>
  <c r="BC109" i="6"/>
  <c r="J111" i="12"/>
  <c r="L111" i="12"/>
  <c r="A111" i="6"/>
  <c r="J112" i="5"/>
  <c r="F112" i="5"/>
  <c r="G112" i="5"/>
  <c r="AD112" i="5"/>
  <c r="D112" i="5"/>
  <c r="B112" i="12" s="1"/>
  <c r="H112" i="5"/>
  <c r="C113" i="5"/>
  <c r="A112" i="12"/>
  <c r="E112" i="5"/>
  <c r="K112" i="5"/>
  <c r="N112" i="5"/>
  <c r="D112" i="6" s="1"/>
  <c r="H112" i="6" s="1"/>
  <c r="T112" i="5" s="1"/>
  <c r="G112" i="12" s="1"/>
  <c r="B112" i="5"/>
  <c r="B112" i="6"/>
  <c r="AE112" i="5"/>
  <c r="AB110" i="6" l="1"/>
  <c r="AT110" i="6"/>
  <c r="AM110" i="6"/>
  <c r="AK110" i="6"/>
  <c r="AX110" i="6"/>
  <c r="AS110" i="6"/>
  <c r="AY110" i="6"/>
  <c r="BA110" i="6"/>
  <c r="BE110" i="6"/>
  <c r="AF110" i="6"/>
  <c r="AP110" i="6"/>
  <c r="AZ110" i="6"/>
  <c r="BF110" i="6"/>
  <c r="AV110" i="6"/>
  <c r="AI110" i="6"/>
  <c r="AU110" i="6"/>
  <c r="BD110" i="6"/>
  <c r="BG110" i="6"/>
  <c r="AR110" i="6"/>
  <c r="BB110" i="6"/>
  <c r="AH110" i="6"/>
  <c r="AO110" i="6"/>
  <c r="AN110" i="6"/>
  <c r="BC110" i="6"/>
  <c r="AJ110" i="6"/>
  <c r="AQ110" i="6"/>
  <c r="AD110" i="6"/>
  <c r="AG110" i="6"/>
  <c r="K111" i="12"/>
  <c r="A112" i="6"/>
  <c r="N112" i="6" s="1"/>
  <c r="M111" i="6"/>
  <c r="N111" i="6"/>
  <c r="L112" i="12"/>
  <c r="J112" i="12"/>
  <c r="H113" i="5"/>
  <c r="B113" i="5"/>
  <c r="AD113" i="5"/>
  <c r="AE113" i="5"/>
  <c r="A113" i="12"/>
  <c r="N113" i="5"/>
  <c r="D113" i="6" s="1"/>
  <c r="H113" i="6" s="1"/>
  <c r="T113" i="5" s="1"/>
  <c r="G113" i="12" s="1"/>
  <c r="F113" i="5"/>
  <c r="B113" i="6"/>
  <c r="E113" i="5"/>
  <c r="G113" i="5"/>
  <c r="C114" i="5" l="1"/>
  <c r="K112" i="12"/>
  <c r="M112" i="6"/>
  <c r="AD112" i="6" s="1"/>
  <c r="A113" i="6"/>
  <c r="M113" i="6" s="1"/>
  <c r="BB113" i="6" s="1"/>
  <c r="AQ111" i="6"/>
  <c r="BE111" i="6"/>
  <c r="AM111" i="6"/>
  <c r="BF111" i="6"/>
  <c r="AR111" i="6"/>
  <c r="AS111" i="6"/>
  <c r="AU111" i="6"/>
  <c r="AD111" i="6"/>
  <c r="AJ111" i="6"/>
  <c r="BD111" i="6"/>
  <c r="AF111" i="6"/>
  <c r="BB111" i="6"/>
  <c r="AV111" i="6"/>
  <c r="AP111" i="6"/>
  <c r="BA111" i="6"/>
  <c r="AZ111" i="6"/>
  <c r="AT111" i="6"/>
  <c r="AX111" i="6"/>
  <c r="AI111" i="6"/>
  <c r="AN111" i="6"/>
  <c r="AH111" i="6"/>
  <c r="BC111" i="6"/>
  <c r="AC111" i="6"/>
  <c r="AO111" i="6"/>
  <c r="AG111" i="6"/>
  <c r="AY111" i="6"/>
  <c r="AB111" i="6"/>
  <c r="AK111" i="6"/>
  <c r="BG111" i="6"/>
  <c r="AE12" i="6"/>
  <c r="H14" i="6"/>
  <c r="AJ14" i="6" s="1"/>
  <c r="K11" i="10"/>
  <c r="AP12" i="6"/>
  <c r="J11" i="9"/>
  <c r="BA12" i="6"/>
  <c r="C115" i="5" l="1"/>
  <c r="AE114" i="5"/>
  <c r="B114" i="6"/>
  <c r="AD114" i="5"/>
  <c r="N114" i="5"/>
  <c r="D114" i="6" s="1"/>
  <c r="A114" i="12"/>
  <c r="W114" i="5"/>
  <c r="H114" i="12" s="1"/>
  <c r="H114" i="5"/>
  <c r="E114" i="5"/>
  <c r="B114" i="5"/>
  <c r="G114" i="5"/>
  <c r="F114" i="5"/>
  <c r="AH113" i="6"/>
  <c r="AV113" i="6"/>
  <c r="AM113" i="6"/>
  <c r="BF112" i="6"/>
  <c r="AN113" i="6"/>
  <c r="BD112" i="6"/>
  <c r="BD113" i="6"/>
  <c r="AJ113" i="6"/>
  <c r="AZ112" i="6"/>
  <c r="AO112" i="6"/>
  <c r="AF113" i="6"/>
  <c r="AJ112" i="6"/>
  <c r="BG113" i="6"/>
  <c r="BE112" i="6"/>
  <c r="AV112" i="6"/>
  <c r="AR113" i="6"/>
  <c r="AX113" i="6"/>
  <c r="AM112" i="6"/>
  <c r="AB113" i="6"/>
  <c r="BC112" i="6"/>
  <c r="AN112" i="6"/>
  <c r="BB112" i="6"/>
  <c r="AP112" i="6"/>
  <c r="AR112" i="6"/>
  <c r="BE113" i="6"/>
  <c r="AP113" i="6"/>
  <c r="AG112" i="6"/>
  <c r="AY112" i="6"/>
  <c r="AU112" i="6"/>
  <c r="BG112" i="6"/>
  <c r="AO113" i="6"/>
  <c r="AC112" i="6"/>
  <c r="AX112" i="6"/>
  <c r="BA112" i="6"/>
  <c r="AI112" i="6"/>
  <c r="BC113" i="6"/>
  <c r="AC113" i="6"/>
  <c r="BA113" i="6"/>
  <c r="AB112" i="6"/>
  <c r="AS112" i="6"/>
  <c r="AH112" i="6"/>
  <c r="AK112" i="6"/>
  <c r="AI113" i="6"/>
  <c r="AQ113" i="6"/>
  <c r="AZ113" i="6"/>
  <c r="AT112" i="6"/>
  <c r="AF112" i="6"/>
  <c r="AQ112" i="6"/>
  <c r="N113" i="6"/>
  <c r="AK113" i="6"/>
  <c r="AT113" i="6"/>
  <c r="AD113" i="6"/>
  <c r="AY113" i="6"/>
  <c r="AG113" i="6"/>
  <c r="AU113" i="6"/>
  <c r="AS113" i="6"/>
  <c r="BF113" i="6"/>
  <c r="AE102" i="6"/>
  <c r="AE103" i="6"/>
  <c r="AE104" i="6"/>
  <c r="AE95" i="6"/>
  <c r="AE96" i="6"/>
  <c r="AE97" i="6"/>
  <c r="AE98" i="6"/>
  <c r="AE99" i="6"/>
  <c r="AE87" i="6"/>
  <c r="AE85" i="6"/>
  <c r="AE62" i="6"/>
  <c r="AE63" i="6"/>
  <c r="AE64" i="6"/>
  <c r="AE65" i="6"/>
  <c r="AE66" i="6"/>
  <c r="AE58" i="6"/>
  <c r="AE67" i="6"/>
  <c r="AE68" i="6"/>
  <c r="AE69" i="6"/>
  <c r="AE70" i="6"/>
  <c r="AE71" i="6"/>
  <c r="AE72" i="6"/>
  <c r="AE73" i="6"/>
  <c r="AE74" i="6"/>
  <c r="AE39" i="6"/>
  <c r="AE47" i="6"/>
  <c r="AE16" i="6"/>
  <c r="AE17" i="6"/>
  <c r="AE18" i="6"/>
  <c r="AE19" i="6"/>
  <c r="AE20" i="6"/>
  <c r="AE21" i="6"/>
  <c r="AE22" i="6"/>
  <c r="AE23" i="6"/>
  <c r="AE24" i="6"/>
  <c r="AE25" i="6"/>
  <c r="AE26" i="6"/>
  <c r="AE27" i="6"/>
  <c r="AE28" i="6"/>
  <c r="AE29" i="6"/>
  <c r="AE30" i="6"/>
  <c r="AE31" i="6"/>
  <c r="AE32" i="6"/>
  <c r="AE33" i="6"/>
  <c r="AE34" i="6"/>
  <c r="AE35" i="6"/>
  <c r="AE36" i="6"/>
  <c r="AE37" i="6"/>
  <c r="AE38" i="6"/>
  <c r="AE40" i="6"/>
  <c r="AE41" i="6"/>
  <c r="AE42" i="6"/>
  <c r="AE43" i="6"/>
  <c r="AE44" i="6"/>
  <c r="AE45" i="6"/>
  <c r="AE46" i="6"/>
  <c r="AE48" i="6"/>
  <c r="AE49" i="6"/>
  <c r="AE50" i="6"/>
  <c r="AE51" i="6"/>
  <c r="AE52" i="6"/>
  <c r="AE53" i="6"/>
  <c r="AE54" i="6"/>
  <c r="AE55" i="6"/>
  <c r="AE56" i="6"/>
  <c r="AE57" i="6"/>
  <c r="AE59" i="6"/>
  <c r="AE60" i="6"/>
  <c r="AE61" i="6"/>
  <c r="AE75" i="6"/>
  <c r="AE76" i="6"/>
  <c r="AE77" i="6"/>
  <c r="AE78" i="6"/>
  <c r="AE79" i="6"/>
  <c r="AE80" i="6"/>
  <c r="AE81" i="6"/>
  <c r="AE82" i="6"/>
  <c r="AE83" i="6"/>
  <c r="AE84" i="6"/>
  <c r="AE86" i="6"/>
  <c r="AE88" i="6"/>
  <c r="AE89" i="6"/>
  <c r="AE90" i="6"/>
  <c r="AE91" i="6"/>
  <c r="AE92" i="6"/>
  <c r="AE93" i="6"/>
  <c r="AE94" i="6"/>
  <c r="AE100" i="6"/>
  <c r="AE101" i="6"/>
  <c r="AE105" i="6"/>
  <c r="AE106" i="6"/>
  <c r="AE107" i="6"/>
  <c r="AE108" i="6"/>
  <c r="AE109" i="6"/>
  <c r="AE110" i="6"/>
  <c r="AE111" i="6"/>
  <c r="AE112" i="6"/>
  <c r="AE113" i="6"/>
  <c r="AK14" i="6"/>
  <c r="T14" i="5"/>
  <c r="AB14" i="6"/>
  <c r="AE14" i="6"/>
  <c r="AD14" i="6"/>
  <c r="AH14" i="6"/>
  <c r="AC14" i="6"/>
  <c r="AG14" i="6"/>
  <c r="AI14" i="6"/>
  <c r="AF14" i="6"/>
  <c r="A114" i="6" l="1"/>
  <c r="H114" i="6"/>
  <c r="T114" i="5" s="1"/>
  <c r="G114" i="12" s="1"/>
  <c r="N114" i="6"/>
  <c r="G114" i="6"/>
  <c r="F114" i="6"/>
  <c r="E114" i="12"/>
  <c r="B115" i="6"/>
  <c r="A115" i="12"/>
  <c r="K115" i="5"/>
  <c r="F115" i="5"/>
  <c r="J115" i="5"/>
  <c r="N115" i="5"/>
  <c r="D115" i="6" s="1"/>
  <c r="H115" i="6" s="1"/>
  <c r="T115" i="5" s="1"/>
  <c r="B115" i="5"/>
  <c r="E115" i="5"/>
  <c r="C116" i="5"/>
  <c r="AD115" i="5"/>
  <c r="G115" i="5"/>
  <c r="AE115" i="5"/>
  <c r="D115" i="5"/>
  <c r="B115" i="12" s="1"/>
  <c r="H115" i="5"/>
  <c r="M114" i="6"/>
  <c r="G14" i="12"/>
  <c r="X14" i="5"/>
  <c r="AJ114" i="6" l="1"/>
  <c r="A115" i="6"/>
  <c r="M115" i="6" s="1"/>
  <c r="K116" i="5"/>
  <c r="G116" i="5"/>
  <c r="F116" i="5"/>
  <c r="J116" i="5"/>
  <c r="C117" i="5"/>
  <c r="B116" i="5"/>
  <c r="D116" i="5"/>
  <c r="B116" i="12" s="1"/>
  <c r="AD116" i="5"/>
  <c r="N116" i="5"/>
  <c r="D116" i="6" s="1"/>
  <c r="A116" i="12"/>
  <c r="H116" i="5"/>
  <c r="E116" i="5"/>
  <c r="AE116" i="5"/>
  <c r="B116" i="6"/>
  <c r="J115" i="12"/>
  <c r="L115" i="12"/>
  <c r="BE114" i="6"/>
  <c r="AZ114" i="6"/>
  <c r="AV114" i="6"/>
  <c r="AQ114" i="6"/>
  <c r="AN114" i="6"/>
  <c r="BC114" i="6"/>
  <c r="AX114" i="6"/>
  <c r="AT114" i="6"/>
  <c r="BA114" i="6"/>
  <c r="AO114" i="6"/>
  <c r="AR114" i="6"/>
  <c r="BG114" i="6"/>
  <c r="BD114" i="6"/>
  <c r="AY114" i="6"/>
  <c r="AU114" i="6"/>
  <c r="BB114" i="6"/>
  <c r="AP114" i="6"/>
  <c r="AM114" i="6"/>
  <c r="AS114" i="6"/>
  <c r="BF114" i="6"/>
  <c r="AB114" i="6"/>
  <c r="AG114" i="6"/>
  <c r="AF114" i="6"/>
  <c r="AC114" i="6"/>
  <c r="G115" i="12"/>
  <c r="AH114" i="6"/>
  <c r="AI114" i="6"/>
  <c r="AD114" i="6"/>
  <c r="AE114" i="6"/>
  <c r="AK114" i="6"/>
  <c r="I14" i="12"/>
  <c r="L14" i="5"/>
  <c r="I14" i="5"/>
  <c r="Z14" i="5"/>
  <c r="AM14" i="5"/>
  <c r="AU115" i="6" l="1"/>
  <c r="AP115" i="6"/>
  <c r="BF115" i="6"/>
  <c r="BB115" i="6"/>
  <c r="AG115" i="6"/>
  <c r="AQ115" i="6"/>
  <c r="AJ115" i="6"/>
  <c r="AZ115" i="6"/>
  <c r="AS115" i="6"/>
  <c r="AF115" i="6"/>
  <c r="AM115" i="6"/>
  <c r="AO115" i="6"/>
  <c r="AV115" i="6"/>
  <c r="AD115" i="6"/>
  <c r="AT115" i="6"/>
  <c r="BE115" i="6"/>
  <c r="N115" i="6"/>
  <c r="A116" i="6"/>
  <c r="N116" i="6" s="1"/>
  <c r="AN115" i="6"/>
  <c r="AX115" i="6"/>
  <c r="BA115" i="6"/>
  <c r="AI115" i="6"/>
  <c r="BG115" i="6"/>
  <c r="BD115" i="6"/>
  <c r="K115" i="12"/>
  <c r="AB115" i="6"/>
  <c r="H116" i="6"/>
  <c r="AC115" i="6"/>
  <c r="C118" i="5"/>
  <c r="F117" i="5"/>
  <c r="AE117" i="5"/>
  <c r="K117" i="5"/>
  <c r="AD117" i="5"/>
  <c r="N117" i="5"/>
  <c r="D117" i="6" s="1"/>
  <c r="H117" i="6" s="1"/>
  <c r="T117" i="5" s="1"/>
  <c r="B117" i="5"/>
  <c r="H117" i="5"/>
  <c r="E117" i="5"/>
  <c r="A117" i="12"/>
  <c r="D117" i="5"/>
  <c r="B117" i="12" s="1"/>
  <c r="B117" i="6"/>
  <c r="J117" i="5"/>
  <c r="G117" i="5"/>
  <c r="AH115" i="6"/>
  <c r="AY115" i="6"/>
  <c r="J116" i="12"/>
  <c r="L116" i="12"/>
  <c r="AE115" i="6"/>
  <c r="BC115" i="6"/>
  <c r="AR115" i="6"/>
  <c r="AK115" i="6"/>
  <c r="AA14" i="5"/>
  <c r="AB14" i="5"/>
  <c r="O14" i="5"/>
  <c r="C14" i="6"/>
  <c r="O14" i="12"/>
  <c r="M14" i="12"/>
  <c r="C14" i="12"/>
  <c r="AO14" i="12"/>
  <c r="K116" i="12" l="1"/>
  <c r="M116" i="6"/>
  <c r="AO116" i="6" s="1"/>
  <c r="T116" i="5"/>
  <c r="A117" i="6"/>
  <c r="L117" i="12"/>
  <c r="J117" i="12"/>
  <c r="D118" i="5"/>
  <c r="B118" i="12" s="1"/>
  <c r="B118" i="6"/>
  <c r="N118" i="5"/>
  <c r="D118" i="6" s="1"/>
  <c r="H118" i="6" s="1"/>
  <c r="T118" i="5" s="1"/>
  <c r="AD118" i="5"/>
  <c r="K118" i="5"/>
  <c r="H118" i="5"/>
  <c r="E118" i="5"/>
  <c r="A118" i="12"/>
  <c r="AE118" i="5"/>
  <c r="J118" i="5"/>
  <c r="G118" i="5"/>
  <c r="B118" i="5"/>
  <c r="C119" i="5" s="1"/>
  <c r="F118" i="5"/>
  <c r="G117" i="12"/>
  <c r="N14" i="12"/>
  <c r="Y14" i="12"/>
  <c r="D14" i="12"/>
  <c r="E14" i="6"/>
  <c r="AU116" i="6" l="1"/>
  <c r="AM116" i="6"/>
  <c r="AK116" i="6"/>
  <c r="AX116" i="6"/>
  <c r="BA116" i="6"/>
  <c r="BF116" i="6"/>
  <c r="BG116" i="6"/>
  <c r="AC116" i="6"/>
  <c r="AF116" i="6"/>
  <c r="AP116" i="6"/>
  <c r="AZ116" i="6"/>
  <c r="BD116" i="6"/>
  <c r="BE116" i="6"/>
  <c r="AQ116" i="6"/>
  <c r="AB116" i="6"/>
  <c r="AD116" i="6"/>
  <c r="AI116" i="6"/>
  <c r="AG116" i="6"/>
  <c r="AE116" i="6"/>
  <c r="BC116" i="6"/>
  <c r="AS116" i="6"/>
  <c r="AY116" i="6"/>
  <c r="AH116" i="6"/>
  <c r="AN116" i="6"/>
  <c r="BB116" i="6"/>
  <c r="AR116" i="6"/>
  <c r="AT116" i="6"/>
  <c r="AV116" i="6"/>
  <c r="AJ116" i="6"/>
  <c r="K117" i="12"/>
  <c r="A118" i="6"/>
  <c r="N118" i="6" s="1"/>
  <c r="F119" i="5"/>
  <c r="W119" i="5"/>
  <c r="H119" i="12" s="1"/>
  <c r="R119" i="5"/>
  <c r="A119" i="12"/>
  <c r="H119" i="5"/>
  <c r="G119" i="5"/>
  <c r="B119" i="6"/>
  <c r="B119" i="5"/>
  <c r="C120" i="5" s="1"/>
  <c r="N119" i="5"/>
  <c r="D119" i="6" s="1"/>
  <c r="AE119" i="5"/>
  <c r="E119" i="5"/>
  <c r="AD119" i="5"/>
  <c r="N117" i="6"/>
  <c r="M117" i="6"/>
  <c r="G116" i="12"/>
  <c r="L118" i="12"/>
  <c r="J118" i="12"/>
  <c r="G118" i="12"/>
  <c r="W14" i="12"/>
  <c r="X14" i="12"/>
  <c r="M118" i="6" l="1"/>
  <c r="AB118" i="6" s="1"/>
  <c r="A119" i="6"/>
  <c r="N119" i="6" s="1"/>
  <c r="K118" i="12"/>
  <c r="G120" i="5"/>
  <c r="AD120" i="5"/>
  <c r="AE120" i="5"/>
  <c r="K120" i="5"/>
  <c r="H120" i="5"/>
  <c r="E120" i="5"/>
  <c r="B120" i="5"/>
  <c r="N120" i="5"/>
  <c r="D120" i="6" s="1"/>
  <c r="A120" i="12"/>
  <c r="F120" i="5"/>
  <c r="C121" i="5"/>
  <c r="B120" i="6"/>
  <c r="E119" i="12"/>
  <c r="F119" i="6"/>
  <c r="BE117" i="6"/>
  <c r="AM117" i="6"/>
  <c r="BF117" i="6"/>
  <c r="AU117" i="6"/>
  <c r="AS117" i="6"/>
  <c r="AQ117" i="6"/>
  <c r="AZ117" i="6"/>
  <c r="AN117" i="6"/>
  <c r="AH117" i="6"/>
  <c r="AB117" i="6"/>
  <c r="AD117" i="6"/>
  <c r="BB117" i="6"/>
  <c r="AC117" i="6"/>
  <c r="BG117" i="6"/>
  <c r="AJ117" i="6"/>
  <c r="AP117" i="6"/>
  <c r="AY117" i="6"/>
  <c r="AF117" i="6"/>
  <c r="AK117" i="6"/>
  <c r="AV117" i="6"/>
  <c r="AO117" i="6"/>
  <c r="AG117" i="6"/>
  <c r="AI117" i="6"/>
  <c r="AR117" i="6"/>
  <c r="BC117" i="6"/>
  <c r="BD117" i="6"/>
  <c r="AX117" i="6"/>
  <c r="AE117" i="6"/>
  <c r="BA117" i="6"/>
  <c r="AT117" i="6"/>
  <c r="M119" i="6"/>
  <c r="AS119" i="6"/>
  <c r="AV119" i="6"/>
  <c r="AQ119" i="6"/>
  <c r="H119" i="6"/>
  <c r="G119" i="6"/>
  <c r="AO119" i="6"/>
  <c r="BC119" i="6"/>
  <c r="BF119" i="6"/>
  <c r="BA119" i="6"/>
  <c r="BB119" i="6"/>
  <c r="AN119" i="6"/>
  <c r="AU119" i="6"/>
  <c r="BE119" i="6"/>
  <c r="BG119" i="6"/>
  <c r="AY119" i="6"/>
  <c r="AT119" i="6"/>
  <c r="AM119" i="6"/>
  <c r="BD119" i="6"/>
  <c r="AP119" i="6"/>
  <c r="AR119" i="6"/>
  <c r="AZ119" i="6"/>
  <c r="AX119" i="6"/>
  <c r="U14" i="12"/>
  <c r="V14" i="12"/>
  <c r="T14" i="12"/>
  <c r="AF118" i="6" l="1"/>
  <c r="AP118" i="6"/>
  <c r="AE118" i="6"/>
  <c r="BB118" i="6"/>
  <c r="AM118" i="6"/>
  <c r="AU118" i="6"/>
  <c r="BA118" i="6"/>
  <c r="AJ118" i="6"/>
  <c r="AG118" i="6"/>
  <c r="AT118" i="6"/>
  <c r="AK118" i="6"/>
  <c r="BC118" i="6"/>
  <c r="AY118" i="6"/>
  <c r="AI118" i="6"/>
  <c r="AV118" i="6"/>
  <c r="AZ118" i="6"/>
  <c r="AR118" i="6"/>
  <c r="AO118" i="6"/>
  <c r="AE119" i="6"/>
  <c r="AS118" i="6"/>
  <c r="AQ118" i="6"/>
  <c r="BF118" i="6"/>
  <c r="AC118" i="6"/>
  <c r="AN118" i="6"/>
  <c r="BE118" i="6"/>
  <c r="BD118" i="6"/>
  <c r="BG118" i="6"/>
  <c r="AX118" i="6"/>
  <c r="AB119" i="6"/>
  <c r="AH118" i="6"/>
  <c r="AD118" i="6"/>
  <c r="AK119" i="6"/>
  <c r="AI119" i="6"/>
  <c r="H120" i="6"/>
  <c r="AJ119" i="6"/>
  <c r="AC119" i="6"/>
  <c r="T119" i="5"/>
  <c r="G119" i="12" s="1"/>
  <c r="AF119" i="6"/>
  <c r="AH119" i="6"/>
  <c r="A120" i="6"/>
  <c r="M120" i="6" s="1"/>
  <c r="AZ120" i="6" s="1"/>
  <c r="AD119" i="6"/>
  <c r="AG119" i="6"/>
  <c r="N121" i="5"/>
  <c r="D121" i="6" s="1"/>
  <c r="A121" i="12"/>
  <c r="E121" i="5"/>
  <c r="AE121" i="5"/>
  <c r="H121" i="5"/>
  <c r="B121" i="6"/>
  <c r="C122" i="5"/>
  <c r="F121" i="5"/>
  <c r="G121" i="5"/>
  <c r="AD121" i="5"/>
  <c r="B121" i="5"/>
  <c r="BA120" i="6" l="1"/>
  <c r="H121" i="6"/>
  <c r="T120" i="5"/>
  <c r="G120" i="12" s="1"/>
  <c r="AC120" i="6"/>
  <c r="AJ120" i="6"/>
  <c r="AH120" i="6"/>
  <c r="AB120" i="6"/>
  <c r="AK120" i="6"/>
  <c r="AI120" i="6"/>
  <c r="G122" i="5"/>
  <c r="AE122" i="5"/>
  <c r="B122" i="6"/>
  <c r="F122" i="5"/>
  <c r="B122" i="5"/>
  <c r="C123" i="5" s="1"/>
  <c r="H122" i="5"/>
  <c r="E122" i="5"/>
  <c r="AD122" i="5"/>
  <c r="N122" i="5"/>
  <c r="D122" i="6" s="1"/>
  <c r="H122" i="6" s="1"/>
  <c r="T122" i="5" s="1"/>
  <c r="G122" i="12" s="1"/>
  <c r="A122" i="12"/>
  <c r="BC120" i="6"/>
  <c r="BB120" i="6"/>
  <c r="A121" i="6"/>
  <c r="N121" i="6" s="1"/>
  <c r="AF120" i="6"/>
  <c r="N120" i="6"/>
  <c r="BD120" i="6"/>
  <c r="AD120" i="6"/>
  <c r="AE120" i="6"/>
  <c r="AU120" i="6"/>
  <c r="AT120" i="6"/>
  <c r="AQ120" i="6"/>
  <c r="BE120" i="6"/>
  <c r="AY120" i="6"/>
  <c r="AS120" i="6"/>
  <c r="AP120" i="6"/>
  <c r="BF120" i="6"/>
  <c r="AR120" i="6"/>
  <c r="AO120" i="6"/>
  <c r="BG120" i="6"/>
  <c r="AV120" i="6"/>
  <c r="AX120" i="6"/>
  <c r="AG120" i="6"/>
  <c r="AN120" i="6"/>
  <c r="AM120" i="6"/>
  <c r="M121" i="6" l="1"/>
  <c r="AC121" i="6" s="1"/>
  <c r="A122" i="6"/>
  <c r="N122" i="6" s="1"/>
  <c r="W123" i="5"/>
  <c r="H123" i="12" s="1"/>
  <c r="H123" i="5"/>
  <c r="G123" i="5"/>
  <c r="N123" i="5"/>
  <c r="D123" i="6" s="1"/>
  <c r="AE123" i="5"/>
  <c r="A123" i="12"/>
  <c r="R123" i="5"/>
  <c r="E123" i="5"/>
  <c r="B123" i="6"/>
  <c r="A123" i="6" s="1"/>
  <c r="AD123" i="5"/>
  <c r="F123" i="5"/>
  <c r="B123" i="5"/>
  <c r="C124" i="5" s="1"/>
  <c r="T121" i="5"/>
  <c r="G121" i="12" s="1"/>
  <c r="AR121" i="6" l="1"/>
  <c r="BC121" i="6"/>
  <c r="AQ121" i="6"/>
  <c r="AN121" i="6"/>
  <c r="AJ121" i="6"/>
  <c r="AM121" i="6"/>
  <c r="BA121" i="6"/>
  <c r="AP121" i="6"/>
  <c r="AT121" i="6"/>
  <c r="AG121" i="6"/>
  <c r="AK121" i="6"/>
  <c r="BE121" i="6"/>
  <c r="AF121" i="6"/>
  <c r="AY121" i="6"/>
  <c r="AH121" i="6"/>
  <c r="AI121" i="6"/>
  <c r="BD121" i="6"/>
  <c r="AB121" i="6"/>
  <c r="AS121" i="6"/>
  <c r="AE121" i="6"/>
  <c r="AV121" i="6"/>
  <c r="AD121" i="6"/>
  <c r="BG121" i="6"/>
  <c r="AO121" i="6"/>
  <c r="BF121" i="6"/>
  <c r="BB121" i="6"/>
  <c r="AZ121" i="6"/>
  <c r="AU121" i="6"/>
  <c r="AX121" i="6"/>
  <c r="M122" i="6"/>
  <c r="E123" i="12"/>
  <c r="F123" i="6"/>
  <c r="AD124" i="5"/>
  <c r="W124" i="5"/>
  <c r="H124" i="12" s="1"/>
  <c r="R124" i="5"/>
  <c r="AE124" i="5"/>
  <c r="F124" i="5"/>
  <c r="N124" i="5"/>
  <c r="D124" i="6" s="1"/>
  <c r="B124" i="6"/>
  <c r="C125" i="5"/>
  <c r="B124" i="5"/>
  <c r="G124" i="5"/>
  <c r="A124" i="12"/>
  <c r="H124" i="5"/>
  <c r="E124" i="5"/>
  <c r="AV123" i="6"/>
  <c r="H123" i="6"/>
  <c r="AX123" i="6"/>
  <c r="AU123" i="6"/>
  <c r="AR123" i="6"/>
  <c r="BE123" i="6"/>
  <c r="G123" i="6"/>
  <c r="BB123" i="6"/>
  <c r="AZ123" i="6"/>
  <c r="AP123" i="6"/>
  <c r="AQ123" i="6"/>
  <c r="AT123" i="6"/>
  <c r="AN123" i="6"/>
  <c r="BF123" i="6"/>
  <c r="AS123" i="6"/>
  <c r="BD123" i="6"/>
  <c r="BG123" i="6"/>
  <c r="AM123" i="6"/>
  <c r="BC123" i="6"/>
  <c r="N123" i="6"/>
  <c r="M123" i="6"/>
  <c r="AO123" i="6" s="1"/>
  <c r="BA123" i="6"/>
  <c r="AY123" i="6"/>
  <c r="AE3" i="6"/>
  <c r="T6" i="6" s="1"/>
  <c r="AI123" i="6" l="1"/>
  <c r="AH123" i="6"/>
  <c r="AC123" i="6"/>
  <c r="AJ123" i="6"/>
  <c r="AK123" i="6"/>
  <c r="AB123" i="6"/>
  <c r="AE123" i="6"/>
  <c r="B125" i="6"/>
  <c r="C126" i="5"/>
  <c r="H125" i="5"/>
  <c r="AD125" i="5"/>
  <c r="A125" i="12"/>
  <c r="G125" i="5"/>
  <c r="N125" i="5"/>
  <c r="D125" i="6" s="1"/>
  <c r="H125" i="6" s="1"/>
  <c r="T125" i="5" s="1"/>
  <c r="G125" i="12" s="1"/>
  <c r="D125" i="5"/>
  <c r="B125" i="12" s="1"/>
  <c r="AE125" i="5"/>
  <c r="B125" i="5"/>
  <c r="J125" i="5"/>
  <c r="F125" i="5"/>
  <c r="E125" i="5"/>
  <c r="K125" i="5"/>
  <c r="T123" i="5"/>
  <c r="G123" i="12" s="1"/>
  <c r="AF123" i="6"/>
  <c r="AG123" i="6"/>
  <c r="AD123" i="6"/>
  <c r="A124" i="6"/>
  <c r="AX124" i="6"/>
  <c r="BF124" i="6"/>
  <c r="AY124" i="6"/>
  <c r="BD124" i="6"/>
  <c r="BE124" i="6"/>
  <c r="AR124" i="6"/>
  <c r="BA124" i="6"/>
  <c r="BB124" i="6"/>
  <c r="BC124" i="6"/>
  <c r="AN124" i="6"/>
  <c r="AQ124" i="6"/>
  <c r="AP124" i="6"/>
  <c r="N124" i="6"/>
  <c r="AZ124" i="6"/>
  <c r="G124" i="6"/>
  <c r="AM124" i="6"/>
  <c r="AV124" i="6"/>
  <c r="AO124" i="6"/>
  <c r="BG124" i="6"/>
  <c r="H124" i="6"/>
  <c r="M124" i="6"/>
  <c r="AS124" i="6" s="1"/>
  <c r="AU124" i="6"/>
  <c r="AT124" i="6"/>
  <c r="F124" i="6"/>
  <c r="E124" i="12"/>
  <c r="AQ122" i="6"/>
  <c r="AO122" i="6"/>
  <c r="AN122" i="6"/>
  <c r="AJ122" i="6"/>
  <c r="AZ122" i="6"/>
  <c r="BB122" i="6"/>
  <c r="BA122" i="6"/>
  <c r="AH122" i="6"/>
  <c r="AM122" i="6"/>
  <c r="AX122" i="6"/>
  <c r="AT122" i="6"/>
  <c r="BC122" i="6"/>
  <c r="AU122" i="6"/>
  <c r="BE122" i="6"/>
  <c r="BD122" i="6"/>
  <c r="AD122" i="6"/>
  <c r="AG122" i="6"/>
  <c r="AK122" i="6"/>
  <c r="BF122" i="6"/>
  <c r="AS122" i="6"/>
  <c r="AB122" i="6"/>
  <c r="AF122" i="6"/>
  <c r="AE122" i="6"/>
  <c r="AC122" i="6"/>
  <c r="AP122" i="6"/>
  <c r="AI122" i="6"/>
  <c r="AR122" i="6"/>
  <c r="AV122" i="6"/>
  <c r="BG122" i="6"/>
  <c r="AY122" i="6"/>
  <c r="AB124" i="6" l="1"/>
  <c r="AK124" i="6"/>
  <c r="AG124" i="6"/>
  <c r="AI124" i="6"/>
  <c r="AD124" i="6"/>
  <c r="L125" i="12"/>
  <c r="J125" i="12"/>
  <c r="T124" i="5"/>
  <c r="G124" i="12" s="1"/>
  <c r="AH124" i="6"/>
  <c r="AF124" i="6"/>
  <c r="AC124" i="6"/>
  <c r="AE124" i="6"/>
  <c r="AJ124" i="6"/>
  <c r="H126" i="5"/>
  <c r="J126" i="5"/>
  <c r="D126" i="5"/>
  <c r="B126" i="12" s="1"/>
  <c r="G126" i="5"/>
  <c r="AE126" i="5"/>
  <c r="F126" i="5"/>
  <c r="K126" i="5"/>
  <c r="N126" i="5"/>
  <c r="D126" i="6" s="1"/>
  <c r="B126" i="6"/>
  <c r="B126" i="5"/>
  <c r="E126" i="5"/>
  <c r="A126" i="12"/>
  <c r="C127" i="5"/>
  <c r="AD126" i="5"/>
  <c r="A125" i="6"/>
  <c r="K125" i="12" l="1"/>
  <c r="N125" i="6"/>
  <c r="M125" i="6"/>
  <c r="F127" i="5"/>
  <c r="C128" i="5"/>
  <c r="N127" i="5"/>
  <c r="D127" i="6" s="1"/>
  <c r="H127" i="6" s="1"/>
  <c r="T127" i="5" s="1"/>
  <c r="G127" i="12" s="1"/>
  <c r="G127" i="5"/>
  <c r="D127" i="5"/>
  <c r="B127" i="12" s="1"/>
  <c r="H127" i="5"/>
  <c r="E127" i="5"/>
  <c r="B127" i="5"/>
  <c r="K127" i="5"/>
  <c r="AD127" i="5"/>
  <c r="AE127" i="5"/>
  <c r="J127" i="5"/>
  <c r="A127" i="12"/>
  <c r="B127" i="6"/>
  <c r="J126" i="12"/>
  <c r="L126" i="12"/>
  <c r="H126" i="6"/>
  <c r="T126" i="5" s="1"/>
  <c r="G126" i="12" s="1"/>
  <c r="A126" i="6"/>
  <c r="M126" i="6" l="1"/>
  <c r="AT126" i="6" s="1"/>
  <c r="N126" i="6"/>
  <c r="A127" i="6"/>
  <c r="AF125" i="6"/>
  <c r="AT125" i="6"/>
  <c r="AY125" i="6"/>
  <c r="AD125" i="6"/>
  <c r="AP125" i="6"/>
  <c r="BF125" i="6"/>
  <c r="AO125" i="6"/>
  <c r="BG125" i="6"/>
  <c r="AN125" i="6"/>
  <c r="AM125" i="6"/>
  <c r="AU125" i="6"/>
  <c r="BD125" i="6"/>
  <c r="BB125" i="6"/>
  <c r="AS125" i="6"/>
  <c r="AV125" i="6"/>
  <c r="AB125" i="6"/>
  <c r="AI125" i="6"/>
  <c r="AE125" i="6"/>
  <c r="AK125" i="6"/>
  <c r="AR125" i="6"/>
  <c r="BA125" i="6"/>
  <c r="BE125" i="6"/>
  <c r="AG125" i="6"/>
  <c r="BC125" i="6"/>
  <c r="AH125" i="6"/>
  <c r="AJ125" i="6"/>
  <c r="AC125" i="6"/>
  <c r="AQ125" i="6"/>
  <c r="AZ125" i="6"/>
  <c r="AX125" i="6"/>
  <c r="K126" i="12"/>
  <c r="L127" i="12"/>
  <c r="J127" i="12"/>
  <c r="E128" i="5"/>
  <c r="G128" i="5"/>
  <c r="N128" i="5"/>
  <c r="D128" i="6" s="1"/>
  <c r="H128" i="6" s="1"/>
  <c r="T128" i="5" s="1"/>
  <c r="G128" i="12" s="1"/>
  <c r="C129" i="5"/>
  <c r="J128" i="5"/>
  <c r="AD128" i="5"/>
  <c r="D128" i="5"/>
  <c r="B128" i="12" s="1"/>
  <c r="F128" i="5"/>
  <c r="B128" i="5"/>
  <c r="AE128" i="5"/>
  <c r="K128" i="5"/>
  <c r="H128" i="5"/>
  <c r="B128" i="6"/>
  <c r="A128" i="12"/>
  <c r="AP126" i="6" l="1"/>
  <c r="BA126" i="6"/>
  <c r="AQ126" i="6"/>
  <c r="AB126" i="6"/>
  <c r="AH126" i="6"/>
  <c r="AU126" i="6"/>
  <c r="BG126" i="6"/>
  <c r="AI126" i="6"/>
  <c r="AM126" i="6"/>
  <c r="BC126" i="6"/>
  <c r="BF126" i="6"/>
  <c r="BE126" i="6"/>
  <c r="AE126" i="6"/>
  <c r="BD126" i="6"/>
  <c r="AK126" i="6"/>
  <c r="AJ126" i="6"/>
  <c r="AV126" i="6"/>
  <c r="AF126" i="6"/>
  <c r="AC126" i="6"/>
  <c r="AZ126" i="6"/>
  <c r="AO126" i="6"/>
  <c r="AR126" i="6"/>
  <c r="AY126" i="6"/>
  <c r="AD126" i="6"/>
  <c r="BB126" i="6"/>
  <c r="AG126" i="6"/>
  <c r="AX126" i="6"/>
  <c r="AS126" i="6"/>
  <c r="AN126" i="6"/>
  <c r="A128" i="6"/>
  <c r="M128" i="6" s="1"/>
  <c r="AP128" i="6" s="1"/>
  <c r="K127" i="12"/>
  <c r="A129" i="12"/>
  <c r="H129" i="5"/>
  <c r="B129" i="6"/>
  <c r="AE129" i="5"/>
  <c r="G129" i="5"/>
  <c r="D129" i="5"/>
  <c r="B129" i="12" s="1"/>
  <c r="F129" i="5"/>
  <c r="C130" i="5"/>
  <c r="AD129" i="5"/>
  <c r="N129" i="5"/>
  <c r="D129" i="6" s="1"/>
  <c r="E129" i="5"/>
  <c r="K129" i="5"/>
  <c r="B129" i="5"/>
  <c r="J129" i="5"/>
  <c r="L128" i="12"/>
  <c r="J128" i="12"/>
  <c r="N127" i="6"/>
  <c r="M127" i="6"/>
  <c r="K128" i="12" l="1"/>
  <c r="N128" i="6"/>
  <c r="AI128" i="6"/>
  <c r="AG128" i="6"/>
  <c r="BD128" i="6"/>
  <c r="AM128" i="6"/>
  <c r="AD128" i="6"/>
  <c r="AU128" i="6"/>
  <c r="AS128" i="6"/>
  <c r="AY128" i="6"/>
  <c r="AT128" i="6"/>
  <c r="AK128" i="6"/>
  <c r="BC128" i="6"/>
  <c r="BG128" i="6"/>
  <c r="AE128" i="6"/>
  <c r="BE128" i="6"/>
  <c r="AN128" i="6"/>
  <c r="AR128" i="6"/>
  <c r="AB128" i="6"/>
  <c r="AX128" i="6"/>
  <c r="AZ128" i="6"/>
  <c r="AF128" i="6"/>
  <c r="AH128" i="6"/>
  <c r="BF128" i="6"/>
  <c r="AC128" i="6"/>
  <c r="AJ128" i="6"/>
  <c r="AO128" i="6"/>
  <c r="AV128" i="6"/>
  <c r="BB128" i="6"/>
  <c r="BA128" i="6"/>
  <c r="AQ128" i="6"/>
  <c r="A129" i="6"/>
  <c r="N129" i="6" s="1"/>
  <c r="H129" i="6"/>
  <c r="L129" i="12"/>
  <c r="J129" i="12"/>
  <c r="AE130" i="5"/>
  <c r="H130" i="5"/>
  <c r="E130" i="5"/>
  <c r="F130" i="5"/>
  <c r="B130" i="6"/>
  <c r="AD130" i="5"/>
  <c r="N130" i="5"/>
  <c r="D130" i="6" s="1"/>
  <c r="H130" i="6" s="1"/>
  <c r="T130" i="5" s="1"/>
  <c r="G130" i="12" s="1"/>
  <c r="G130" i="5"/>
  <c r="K130" i="5"/>
  <c r="B130" i="5"/>
  <c r="C131" i="5" s="1"/>
  <c r="D130" i="5"/>
  <c r="B130" i="12" s="1"/>
  <c r="A130" i="12"/>
  <c r="J130" i="5"/>
  <c r="AB127" i="6"/>
  <c r="AO127" i="6"/>
  <c r="AQ127" i="6"/>
  <c r="AM127" i="6"/>
  <c r="AD127" i="6"/>
  <c r="AR127" i="6"/>
  <c r="BD127" i="6"/>
  <c r="AF127" i="6"/>
  <c r="AT127" i="6"/>
  <c r="BG127" i="6"/>
  <c r="BF127" i="6"/>
  <c r="BE127" i="6"/>
  <c r="AK127" i="6"/>
  <c r="AJ127" i="6"/>
  <c r="AV127" i="6"/>
  <c r="AI127" i="6"/>
  <c r="AZ127" i="6"/>
  <c r="BA127" i="6"/>
  <c r="AX127" i="6"/>
  <c r="AC127" i="6"/>
  <c r="AY127" i="6"/>
  <c r="BB127" i="6"/>
  <c r="AP127" i="6"/>
  <c r="AG127" i="6"/>
  <c r="AS127" i="6"/>
  <c r="AU127" i="6"/>
  <c r="AH127" i="6"/>
  <c r="BC127" i="6"/>
  <c r="AN127" i="6"/>
  <c r="AE127" i="6"/>
  <c r="M129" i="6" l="1"/>
  <c r="AO129" i="6" s="1"/>
  <c r="J130" i="12"/>
  <c r="L130" i="12"/>
  <c r="AE131" i="5"/>
  <c r="R131" i="5"/>
  <c r="W131" i="5"/>
  <c r="H131" i="12" s="1"/>
  <c r="G131" i="5"/>
  <c r="E131" i="5"/>
  <c r="AD131" i="5"/>
  <c r="H131" i="5"/>
  <c r="N131" i="5"/>
  <c r="D131" i="6" s="1"/>
  <c r="C132" i="5"/>
  <c r="B131" i="6"/>
  <c r="B131" i="5"/>
  <c r="F131" i="5"/>
  <c r="A131" i="12"/>
  <c r="K129" i="12"/>
  <c r="A130" i="6"/>
  <c r="T129" i="5"/>
  <c r="G129" i="12" s="1"/>
  <c r="AK129" i="6" l="1"/>
  <c r="AH129" i="6"/>
  <c r="AD129" i="6"/>
  <c r="K130" i="12"/>
  <c r="BE129" i="6"/>
  <c r="BF129" i="6"/>
  <c r="AC129" i="6"/>
  <c r="AE129" i="6"/>
  <c r="AQ129" i="6"/>
  <c r="AM129" i="6"/>
  <c r="AP129" i="6"/>
  <c r="AB129" i="6"/>
  <c r="BC129" i="6"/>
  <c r="AY129" i="6"/>
  <c r="AG129" i="6"/>
  <c r="BB129" i="6"/>
  <c r="AR129" i="6"/>
  <c r="AX129" i="6"/>
  <c r="AI129" i="6"/>
  <c r="AS129" i="6"/>
  <c r="BA129" i="6"/>
  <c r="AN129" i="6"/>
  <c r="AV129" i="6"/>
  <c r="AU129" i="6"/>
  <c r="AF129" i="6"/>
  <c r="AT129" i="6"/>
  <c r="AZ129" i="6"/>
  <c r="AJ129" i="6"/>
  <c r="BD129" i="6"/>
  <c r="BG129" i="6"/>
  <c r="M130" i="6"/>
  <c r="N130" i="6"/>
  <c r="A131" i="6"/>
  <c r="E131" i="12"/>
  <c r="F131" i="6"/>
  <c r="C133" i="5"/>
  <c r="AE132" i="5"/>
  <c r="G132" i="5"/>
  <c r="K132" i="5"/>
  <c r="N132" i="5"/>
  <c r="D132" i="6" s="1"/>
  <c r="H132" i="6" s="1"/>
  <c r="T132" i="5" s="1"/>
  <c r="G132" i="12" s="1"/>
  <c r="B132" i="6"/>
  <c r="E132" i="5"/>
  <c r="AD132" i="5"/>
  <c r="J132" i="5"/>
  <c r="A132" i="12"/>
  <c r="D132" i="5"/>
  <c r="B132" i="12" s="1"/>
  <c r="F132" i="5"/>
  <c r="B132" i="5"/>
  <c r="H132" i="5"/>
  <c r="BD131" i="6"/>
  <c r="AY131" i="6"/>
  <c r="M131" i="6"/>
  <c r="AT131" i="6"/>
  <c r="N131" i="6"/>
  <c r="AR131" i="6"/>
  <c r="AO131" i="6"/>
  <c r="BA131" i="6"/>
  <c r="G131" i="6"/>
  <c r="AN131" i="6"/>
  <c r="BB131" i="6"/>
  <c r="AV131" i="6"/>
  <c r="AM131" i="6"/>
  <c r="AZ131" i="6"/>
  <c r="AP131" i="6"/>
  <c r="AS131" i="6"/>
  <c r="BC131" i="6"/>
  <c r="BE131" i="6"/>
  <c r="AQ131" i="6"/>
  <c r="AX131" i="6"/>
  <c r="BF131" i="6"/>
  <c r="AU131" i="6"/>
  <c r="H131" i="6"/>
  <c r="T131" i="5" s="1"/>
  <c r="G131" i="12" s="1"/>
  <c r="BG131" i="6"/>
  <c r="AC131" i="6" l="1"/>
  <c r="AH131" i="6"/>
  <c r="AD131" i="6"/>
  <c r="AI131" i="6"/>
  <c r="AJ131" i="6"/>
  <c r="L132" i="12"/>
  <c r="J132" i="12"/>
  <c r="AG131" i="6"/>
  <c r="AB131" i="6"/>
  <c r="AD133" i="5"/>
  <c r="AE133" i="5"/>
  <c r="N133" i="5"/>
  <c r="D133" i="6" s="1"/>
  <c r="H133" i="5"/>
  <c r="A133" i="12"/>
  <c r="G133" i="5"/>
  <c r="F133" i="5"/>
  <c r="B133" i="6"/>
  <c r="E133" i="5"/>
  <c r="J133" i="5"/>
  <c r="D133" i="5"/>
  <c r="B133" i="12" s="1"/>
  <c r="B133" i="5"/>
  <c r="C134" i="5"/>
  <c r="K133" i="5"/>
  <c r="AE131" i="6"/>
  <c r="AK131" i="6"/>
  <c r="AF131" i="6"/>
  <c r="A132" i="6"/>
  <c r="AT130" i="6"/>
  <c r="AN130" i="6"/>
  <c r="AF130" i="6"/>
  <c r="AK130" i="6"/>
  <c r="BE130" i="6"/>
  <c r="BG130" i="6"/>
  <c r="AV130" i="6"/>
  <c r="AP130" i="6"/>
  <c r="AD130" i="6"/>
  <c r="AY130" i="6"/>
  <c r="BD130" i="6"/>
  <c r="AH130" i="6"/>
  <c r="AJ130" i="6"/>
  <c r="AI130" i="6"/>
  <c r="AR130" i="6"/>
  <c r="AG130" i="6"/>
  <c r="AQ130" i="6"/>
  <c r="AS130" i="6"/>
  <c r="AC130" i="6"/>
  <c r="BA130" i="6"/>
  <c r="AM130" i="6"/>
  <c r="AU130" i="6"/>
  <c r="AB130" i="6"/>
  <c r="AO130" i="6"/>
  <c r="AE130" i="6"/>
  <c r="AZ130" i="6"/>
  <c r="AX130" i="6"/>
  <c r="BF130" i="6"/>
  <c r="BC130" i="6"/>
  <c r="BB130" i="6"/>
  <c r="K132" i="12" l="1"/>
  <c r="N132" i="6"/>
  <c r="M132" i="6"/>
  <c r="A133" i="6"/>
  <c r="M133" i="6" s="1"/>
  <c r="AU133" i="6" s="1"/>
  <c r="A134" i="12"/>
  <c r="B134" i="6"/>
  <c r="D134" i="5"/>
  <c r="B134" i="12" s="1"/>
  <c r="H134" i="5"/>
  <c r="AD134" i="5"/>
  <c r="G134" i="5"/>
  <c r="B134" i="5"/>
  <c r="C135" i="5" s="1"/>
  <c r="K134" i="5"/>
  <c r="E134" i="5"/>
  <c r="F134" i="5"/>
  <c r="J134" i="5"/>
  <c r="AE134" i="5"/>
  <c r="N134" i="5"/>
  <c r="D134" i="6" s="1"/>
  <c r="J133" i="12"/>
  <c r="L133" i="12"/>
  <c r="H133" i="6"/>
  <c r="N133" i="6" l="1"/>
  <c r="K133" i="12"/>
  <c r="T133" i="5"/>
  <c r="G133" i="12" s="1"/>
  <c r="AD133" i="6"/>
  <c r="AC133" i="6"/>
  <c r="AI133" i="6"/>
  <c r="AB133" i="6"/>
  <c r="AJ133" i="6"/>
  <c r="AE133" i="6"/>
  <c r="AK133" i="6"/>
  <c r="AF133" i="6"/>
  <c r="AH133" i="6"/>
  <c r="AY133" i="6"/>
  <c r="AG133" i="6"/>
  <c r="A134" i="6"/>
  <c r="N134" i="6" s="1"/>
  <c r="H134" i="6"/>
  <c r="T134" i="5" s="1"/>
  <c r="G134" i="12" s="1"/>
  <c r="J134" i="12"/>
  <c r="L134" i="12"/>
  <c r="AX133" i="6"/>
  <c r="AZ133" i="6"/>
  <c r="AR133" i="6"/>
  <c r="AT133" i="6"/>
  <c r="BA133" i="6"/>
  <c r="AO133" i="6"/>
  <c r="AV133" i="6"/>
  <c r="BD133" i="6"/>
  <c r="BE133" i="6"/>
  <c r="AN133" i="6"/>
  <c r="BF133" i="6"/>
  <c r="AS133" i="6"/>
  <c r="BG133" i="6"/>
  <c r="BC133" i="6"/>
  <c r="AP133" i="6"/>
  <c r="AM133" i="6"/>
  <c r="BB133" i="6"/>
  <c r="AQ133" i="6"/>
  <c r="AI132" i="6"/>
  <c r="BD132" i="6"/>
  <c r="AO132" i="6"/>
  <c r="AS132" i="6"/>
  <c r="AK132" i="6"/>
  <c r="AR132" i="6"/>
  <c r="BG132" i="6"/>
  <c r="BE132" i="6"/>
  <c r="AE132" i="6"/>
  <c r="AQ132" i="6"/>
  <c r="BB132" i="6"/>
  <c r="BC132" i="6"/>
  <c r="AD132" i="6"/>
  <c r="AF132" i="6"/>
  <c r="AB132" i="6"/>
  <c r="AH132" i="6"/>
  <c r="AX132" i="6"/>
  <c r="BA132" i="6"/>
  <c r="AT132" i="6"/>
  <c r="AN132" i="6"/>
  <c r="AM132" i="6"/>
  <c r="AV132" i="6"/>
  <c r="AU132" i="6"/>
  <c r="AC132" i="6"/>
  <c r="AJ132" i="6"/>
  <c r="BF132" i="6"/>
  <c r="AY132" i="6"/>
  <c r="AZ132" i="6"/>
  <c r="AG132" i="6"/>
  <c r="AP132" i="6"/>
  <c r="B135" i="5"/>
  <c r="C136" i="5" s="1"/>
  <c r="E135" i="5"/>
  <c r="AE135" i="5"/>
  <c r="F135" i="5"/>
  <c r="B135" i="6"/>
  <c r="AD135" i="5"/>
  <c r="H135" i="5"/>
  <c r="G135" i="5"/>
  <c r="N135" i="5"/>
  <c r="D135" i="6" s="1"/>
  <c r="A135" i="12"/>
  <c r="K134" i="12" l="1"/>
  <c r="H135" i="6"/>
  <c r="F136" i="5"/>
  <c r="R136" i="5"/>
  <c r="A136" i="12"/>
  <c r="W136" i="5"/>
  <c r="H136" i="12" s="1"/>
  <c r="E136" i="5"/>
  <c r="H136" i="5"/>
  <c r="B136" i="5"/>
  <c r="C137" i="5"/>
  <c r="N136" i="5"/>
  <c r="D136" i="6" s="1"/>
  <c r="AD136" i="5"/>
  <c r="AE136" i="5"/>
  <c r="B136" i="6"/>
  <c r="G136" i="5"/>
  <c r="M134" i="6"/>
  <c r="AF134" i="6" s="1"/>
  <c r="A135" i="6"/>
  <c r="N135" i="6" s="1"/>
  <c r="AT136" i="6" l="1"/>
  <c r="BF136" i="6"/>
  <c r="BA136" i="6"/>
  <c r="AY136" i="6"/>
  <c r="BB136" i="6"/>
  <c r="AN136" i="6"/>
  <c r="AS136" i="6"/>
  <c r="BG136" i="6"/>
  <c r="AO136" i="6"/>
  <c r="AR136" i="6"/>
  <c r="AU136" i="6"/>
  <c r="BC136" i="6"/>
  <c r="H136" i="6"/>
  <c r="BE136" i="6"/>
  <c r="AV136" i="6"/>
  <c r="BD136" i="6"/>
  <c r="M136" i="6"/>
  <c r="AP136" i="6" s="1"/>
  <c r="AZ136" i="6"/>
  <c r="AQ136" i="6"/>
  <c r="AM136" i="6"/>
  <c r="N136" i="6"/>
  <c r="G136" i="6"/>
  <c r="AX136" i="6"/>
  <c r="AO134" i="6"/>
  <c r="AZ134" i="6"/>
  <c r="AU134" i="6"/>
  <c r="AY134" i="6"/>
  <c r="BF134" i="6"/>
  <c r="AT134" i="6"/>
  <c r="BD134" i="6"/>
  <c r="AQ134" i="6"/>
  <c r="BG134" i="6"/>
  <c r="AN134" i="6"/>
  <c r="BE134" i="6"/>
  <c r="AP134" i="6"/>
  <c r="AV134" i="6"/>
  <c r="AM134" i="6"/>
  <c r="AS134" i="6"/>
  <c r="AX134" i="6"/>
  <c r="BB134" i="6"/>
  <c r="BC134" i="6"/>
  <c r="AR134" i="6"/>
  <c r="BA134" i="6"/>
  <c r="AE134" i="6"/>
  <c r="A137" i="12"/>
  <c r="J137" i="5"/>
  <c r="H137" i="5"/>
  <c r="K137" i="5"/>
  <c r="E137" i="5"/>
  <c r="B137" i="6"/>
  <c r="N137" i="5"/>
  <c r="D137" i="6" s="1"/>
  <c r="G137" i="5"/>
  <c r="D137" i="5"/>
  <c r="B137" i="12" s="1"/>
  <c r="AD137" i="5"/>
  <c r="B137" i="5"/>
  <c r="C138" i="5"/>
  <c r="AE137" i="5"/>
  <c r="F137" i="5"/>
  <c r="T135" i="5"/>
  <c r="G135" i="12" s="1"/>
  <c r="AJ134" i="6"/>
  <c r="AH134" i="6"/>
  <c r="M135" i="6"/>
  <c r="AD134" i="6"/>
  <c r="AK134" i="6"/>
  <c r="AC134" i="6"/>
  <c r="AB134" i="6"/>
  <c r="AI134" i="6"/>
  <c r="E136" i="12"/>
  <c r="F136" i="6"/>
  <c r="A136" i="6"/>
  <c r="AG134" i="6"/>
  <c r="AF136" i="6" l="1"/>
  <c r="A137" i="6"/>
  <c r="M137" i="6" s="1"/>
  <c r="AM137" i="6" s="1"/>
  <c r="AQ135" i="6"/>
  <c r="AP135" i="6"/>
  <c r="BE135" i="6"/>
  <c r="BB135" i="6"/>
  <c r="AM135" i="6"/>
  <c r="AY135" i="6"/>
  <c r="BF135" i="6"/>
  <c r="AE135" i="6"/>
  <c r="BD135" i="6"/>
  <c r="AZ135" i="6"/>
  <c r="AU135" i="6"/>
  <c r="AV135" i="6"/>
  <c r="AR135" i="6"/>
  <c r="AN135" i="6"/>
  <c r="BG135" i="6"/>
  <c r="AT135" i="6"/>
  <c r="BC135" i="6"/>
  <c r="AX135" i="6"/>
  <c r="BA135" i="6"/>
  <c r="AK135" i="6"/>
  <c r="AS135" i="6"/>
  <c r="AG135" i="6"/>
  <c r="AF135" i="6"/>
  <c r="AO135" i="6"/>
  <c r="H137" i="6"/>
  <c r="T137" i="5" s="1"/>
  <c r="G137" i="12" s="1"/>
  <c r="G138" i="5"/>
  <c r="J138" i="5"/>
  <c r="D138" i="5"/>
  <c r="B138" i="12" s="1"/>
  <c r="N138" i="5"/>
  <c r="D138" i="6" s="1"/>
  <c r="A138" i="12"/>
  <c r="H138" i="5"/>
  <c r="F138" i="5"/>
  <c r="K138" i="5"/>
  <c r="B138" i="5"/>
  <c r="E138" i="5"/>
  <c r="B138" i="6"/>
  <c r="AD138" i="5"/>
  <c r="C139" i="5"/>
  <c r="AE138" i="5"/>
  <c r="AG136" i="6"/>
  <c r="AI135" i="6"/>
  <c r="AK136" i="6"/>
  <c r="AC136" i="6"/>
  <c r="AD135" i="6"/>
  <c r="AJ135" i="6"/>
  <c r="J137" i="12"/>
  <c r="L137" i="12"/>
  <c r="AH135" i="6"/>
  <c r="AC135" i="6"/>
  <c r="AB135" i="6"/>
  <c r="T136" i="5"/>
  <c r="G136" i="12" s="1"/>
  <c r="AB136" i="6"/>
  <c r="AH136" i="6"/>
  <c r="AE136" i="6"/>
  <c r="AI136" i="6"/>
  <c r="AJ136" i="6"/>
  <c r="AD136" i="6"/>
  <c r="N137" i="6" l="1"/>
  <c r="AB137" i="6"/>
  <c r="K137" i="12"/>
  <c r="AT137" i="6"/>
  <c r="AX137" i="6"/>
  <c r="AN137" i="6"/>
  <c r="AP137" i="6"/>
  <c r="AJ137" i="6"/>
  <c r="AE137" i="6"/>
  <c r="AY137" i="6"/>
  <c r="BE137" i="6"/>
  <c r="AC137" i="6"/>
  <c r="BF137" i="6"/>
  <c r="AO137" i="6"/>
  <c r="BG137" i="6"/>
  <c r="A138" i="6"/>
  <c r="N138" i="6" s="1"/>
  <c r="AZ137" i="6"/>
  <c r="AF137" i="6"/>
  <c r="AV137" i="6"/>
  <c r="AK137" i="6"/>
  <c r="AI137" i="6"/>
  <c r="AQ137" i="6"/>
  <c r="BB137" i="6"/>
  <c r="AS137" i="6"/>
  <c r="AD137" i="6"/>
  <c r="AG137" i="6"/>
  <c r="BA137" i="6"/>
  <c r="BD137" i="6"/>
  <c r="AR137" i="6"/>
  <c r="AU137" i="6"/>
  <c r="BC137" i="6"/>
  <c r="AH137" i="6"/>
  <c r="G139" i="5"/>
  <c r="AD139" i="5"/>
  <c r="A139" i="12"/>
  <c r="B139" i="6"/>
  <c r="E139" i="5"/>
  <c r="K139" i="5"/>
  <c r="H139" i="5"/>
  <c r="B139" i="5"/>
  <c r="D139" i="5"/>
  <c r="B139" i="12" s="1"/>
  <c r="AE139" i="5"/>
  <c r="C140" i="5"/>
  <c r="J139" i="5"/>
  <c r="N139" i="5"/>
  <c r="D139" i="6" s="1"/>
  <c r="F139" i="5"/>
  <c r="J138" i="12"/>
  <c r="L138" i="12"/>
  <c r="H138" i="6"/>
  <c r="M138" i="6" l="1"/>
  <c r="AQ138" i="6" s="1"/>
  <c r="K138" i="12"/>
  <c r="H139" i="6"/>
  <c r="A139" i="6"/>
  <c r="AE140" i="5"/>
  <c r="J140" i="5"/>
  <c r="C141" i="5"/>
  <c r="G140" i="5"/>
  <c r="AD140" i="5"/>
  <c r="B140" i="6"/>
  <c r="A140" i="12"/>
  <c r="F140" i="5"/>
  <c r="B140" i="5"/>
  <c r="K140" i="5"/>
  <c r="E140" i="5"/>
  <c r="N140" i="5"/>
  <c r="D140" i="6" s="1"/>
  <c r="D140" i="5"/>
  <c r="B140" i="12" s="1"/>
  <c r="H140" i="5"/>
  <c r="J139" i="12"/>
  <c r="L139" i="12"/>
  <c r="T138" i="5"/>
  <c r="G138" i="12" s="1"/>
  <c r="AS138" i="6" l="1"/>
  <c r="AE138" i="6"/>
  <c r="AZ138" i="6"/>
  <c r="AI138" i="6"/>
  <c r="BA138" i="6"/>
  <c r="BD138" i="6"/>
  <c r="AV138" i="6"/>
  <c r="AO138" i="6"/>
  <c r="AT138" i="6"/>
  <c r="AU138" i="6"/>
  <c r="AG138" i="6"/>
  <c r="BE138" i="6"/>
  <c r="AC138" i="6"/>
  <c r="AY138" i="6"/>
  <c r="BG138" i="6"/>
  <c r="AN138" i="6"/>
  <c r="AJ138" i="6"/>
  <c r="BC138" i="6"/>
  <c r="AX138" i="6"/>
  <c r="BB138" i="6"/>
  <c r="AB138" i="6"/>
  <c r="AF138" i="6"/>
  <c r="AH138" i="6"/>
  <c r="AP138" i="6"/>
  <c r="AM138" i="6"/>
  <c r="AR138" i="6"/>
  <c r="AK138" i="6"/>
  <c r="BF138" i="6"/>
  <c r="AD138" i="6"/>
  <c r="K139" i="12"/>
  <c r="J140" i="12"/>
  <c r="L140" i="12"/>
  <c r="A140" i="6"/>
  <c r="N140" i="6" s="1"/>
  <c r="H140" i="6"/>
  <c r="M139" i="6"/>
  <c r="AD139" i="6" s="1"/>
  <c r="N139" i="6"/>
  <c r="E141" i="5"/>
  <c r="B141" i="6"/>
  <c r="J141" i="5"/>
  <c r="B141" i="5"/>
  <c r="A141" i="12"/>
  <c r="D141" i="5"/>
  <c r="B141" i="12" s="1"/>
  <c r="H141" i="5"/>
  <c r="K141" i="5"/>
  <c r="AE141" i="5"/>
  <c r="F141" i="5"/>
  <c r="N141" i="5"/>
  <c r="D141" i="6" s="1"/>
  <c r="H141" i="6" s="1"/>
  <c r="T141" i="5" s="1"/>
  <c r="G141" i="12" s="1"/>
  <c r="C142" i="5"/>
  <c r="AD141" i="5"/>
  <c r="G141" i="5"/>
  <c r="T139" i="5"/>
  <c r="G139" i="12" s="1"/>
  <c r="K140" i="12" l="1"/>
  <c r="T140" i="5"/>
  <c r="G140" i="12" s="1"/>
  <c r="AX139" i="6"/>
  <c r="BF139" i="6"/>
  <c r="BE139" i="6"/>
  <c r="AV139" i="6"/>
  <c r="AS139" i="6"/>
  <c r="BB139" i="6"/>
  <c r="BD139" i="6"/>
  <c r="AN139" i="6"/>
  <c r="AR139" i="6"/>
  <c r="AM139" i="6"/>
  <c r="AQ139" i="6"/>
  <c r="BG139" i="6"/>
  <c r="BA139" i="6"/>
  <c r="AO139" i="6"/>
  <c r="AP139" i="6"/>
  <c r="BC139" i="6"/>
  <c r="AT139" i="6"/>
  <c r="AZ139" i="6"/>
  <c r="AY139" i="6"/>
  <c r="AU139" i="6"/>
  <c r="AF139" i="6"/>
  <c r="J141" i="12"/>
  <c r="L141" i="12"/>
  <c r="M140" i="6"/>
  <c r="AH140" i="6" s="1"/>
  <c r="AB139" i="6"/>
  <c r="AE142" i="5"/>
  <c r="F142" i="5"/>
  <c r="D142" i="5"/>
  <c r="B142" i="12" s="1"/>
  <c r="H142" i="5"/>
  <c r="K142" i="5"/>
  <c r="J142" i="5"/>
  <c r="B142" i="5"/>
  <c r="G142" i="5"/>
  <c r="B142" i="6"/>
  <c r="AD142" i="5"/>
  <c r="A142" i="12"/>
  <c r="C143" i="5"/>
  <c r="N142" i="5"/>
  <c r="D142" i="6" s="1"/>
  <c r="E142" i="5"/>
  <c r="AJ139" i="6"/>
  <c r="AE139" i="6"/>
  <c r="A141" i="6"/>
  <c r="AC139" i="6"/>
  <c r="AK139" i="6"/>
  <c r="AH139" i="6"/>
  <c r="AG139" i="6"/>
  <c r="AI139" i="6"/>
  <c r="K141" i="12" l="1"/>
  <c r="H142" i="6"/>
  <c r="AB140" i="6"/>
  <c r="M141" i="6"/>
  <c r="N141" i="6"/>
  <c r="E143" i="5"/>
  <c r="AD143" i="5"/>
  <c r="H143" i="5"/>
  <c r="G143" i="5"/>
  <c r="D143" i="5"/>
  <c r="B143" i="12" s="1"/>
  <c r="B143" i="5"/>
  <c r="C144" i="5" s="1"/>
  <c r="K143" i="5"/>
  <c r="AE143" i="5"/>
  <c r="A143" i="12"/>
  <c r="B143" i="6"/>
  <c r="F143" i="5"/>
  <c r="N143" i="5"/>
  <c r="D143" i="6" s="1"/>
  <c r="J143" i="5"/>
  <c r="AJ140" i="6"/>
  <c r="L142" i="12"/>
  <c r="J142" i="12"/>
  <c r="AD140" i="6"/>
  <c r="AE140" i="6"/>
  <c r="AG140" i="6"/>
  <c r="AK140" i="6"/>
  <c r="A142" i="6"/>
  <c r="M142" i="6" s="1"/>
  <c r="AC140" i="6"/>
  <c r="AF140" i="6"/>
  <c r="AV140" i="6"/>
  <c r="AZ140" i="6"/>
  <c r="AY140" i="6"/>
  <c r="AU140" i="6"/>
  <c r="BA140" i="6"/>
  <c r="AT140" i="6"/>
  <c r="AP140" i="6"/>
  <c r="BB140" i="6"/>
  <c r="BE140" i="6"/>
  <c r="AM140" i="6"/>
  <c r="AQ140" i="6"/>
  <c r="BD140" i="6"/>
  <c r="AR140" i="6"/>
  <c r="AO140" i="6"/>
  <c r="BC140" i="6"/>
  <c r="AS140" i="6"/>
  <c r="BF140" i="6"/>
  <c r="AX140" i="6"/>
  <c r="BG140" i="6"/>
  <c r="AN140" i="6"/>
  <c r="AI140" i="6"/>
  <c r="K142" i="12" l="1"/>
  <c r="AE142" i="6"/>
  <c r="AQ142" i="6"/>
  <c r="AU142" i="6"/>
  <c r="BG142" i="6"/>
  <c r="AY142" i="6"/>
  <c r="AP142" i="6"/>
  <c r="BE142" i="6"/>
  <c r="AN142" i="6"/>
  <c r="AO142" i="6"/>
  <c r="AZ142" i="6"/>
  <c r="B144" i="6"/>
  <c r="B144" i="5"/>
  <c r="F144" i="5"/>
  <c r="H144" i="5"/>
  <c r="AE144" i="5"/>
  <c r="R144" i="5"/>
  <c r="G144" i="5"/>
  <c r="N144" i="5"/>
  <c r="D144" i="6" s="1"/>
  <c r="A144" i="12"/>
  <c r="AD144" i="5"/>
  <c r="C145" i="5"/>
  <c r="E144" i="5"/>
  <c r="W144" i="5"/>
  <c r="H144" i="12" s="1"/>
  <c r="AT142" i="6"/>
  <c r="AF142" i="6"/>
  <c r="BC142" i="6"/>
  <c r="AV141" i="6"/>
  <c r="AI141" i="6"/>
  <c r="AP141" i="6"/>
  <c r="AR141" i="6"/>
  <c r="AK141" i="6"/>
  <c r="AZ141" i="6"/>
  <c r="AY141" i="6"/>
  <c r="AX141" i="6"/>
  <c r="BD141" i="6"/>
  <c r="AS141" i="6"/>
  <c r="BF141" i="6"/>
  <c r="AN141" i="6"/>
  <c r="AJ141" i="6"/>
  <c r="AT141" i="6"/>
  <c r="AB141" i="6"/>
  <c r="AC141" i="6"/>
  <c r="AD141" i="6"/>
  <c r="AF141" i="6"/>
  <c r="AQ141" i="6"/>
  <c r="BG141" i="6"/>
  <c r="BC141" i="6"/>
  <c r="AU141" i="6"/>
  <c r="BB141" i="6"/>
  <c r="BA141" i="6"/>
  <c r="AH141" i="6"/>
  <c r="AM141" i="6"/>
  <c r="AE141" i="6"/>
  <c r="AO141" i="6"/>
  <c r="AG141" i="6"/>
  <c r="BE141" i="6"/>
  <c r="AR142" i="6"/>
  <c r="AV142" i="6"/>
  <c r="H143" i="6"/>
  <c r="BF142" i="6"/>
  <c r="AH142" i="6"/>
  <c r="AS142" i="6"/>
  <c r="BA142" i="6"/>
  <c r="BD142" i="6"/>
  <c r="BB142" i="6"/>
  <c r="AM142" i="6"/>
  <c r="A143" i="6"/>
  <c r="N143" i="6" s="1"/>
  <c r="AB142" i="6"/>
  <c r="AD142" i="6"/>
  <c r="L143" i="12"/>
  <c r="J143" i="12"/>
  <c r="T142" i="5"/>
  <c r="G142" i="12" s="1"/>
  <c r="AI142" i="6"/>
  <c r="AC142" i="6"/>
  <c r="AG142" i="6"/>
  <c r="AJ142" i="6"/>
  <c r="AK142" i="6"/>
  <c r="AX142" i="6"/>
  <c r="N142" i="6"/>
  <c r="K143" i="12" l="1"/>
  <c r="F144" i="6"/>
  <c r="E144" i="12"/>
  <c r="M143" i="6"/>
  <c r="AD143" i="6" s="1"/>
  <c r="B145" i="6"/>
  <c r="N145" i="5"/>
  <c r="D145" i="6" s="1"/>
  <c r="H145" i="6" s="1"/>
  <c r="T145" i="5" s="1"/>
  <c r="G145" i="12" s="1"/>
  <c r="H145" i="5"/>
  <c r="C146" i="5"/>
  <c r="G145" i="5"/>
  <c r="E145" i="5"/>
  <c r="B145" i="5"/>
  <c r="J145" i="5"/>
  <c r="AD145" i="5"/>
  <c r="A145" i="12"/>
  <c r="D145" i="5"/>
  <c r="B145" i="12" s="1"/>
  <c r="F145" i="5"/>
  <c r="K145" i="5"/>
  <c r="AE145" i="5"/>
  <c r="T143" i="5"/>
  <c r="G143" i="12" s="1"/>
  <c r="A144" i="6"/>
  <c r="N144" i="6" s="1"/>
  <c r="AT144" i="6"/>
  <c r="AN144" i="6"/>
  <c r="AV144" i="6"/>
  <c r="BD144" i="6"/>
  <c r="AU144" i="6"/>
  <c r="AY144" i="6"/>
  <c r="BG144" i="6"/>
  <c r="H144" i="6"/>
  <c r="AR144" i="6"/>
  <c r="BE144" i="6"/>
  <c r="BF144" i="6"/>
  <c r="AO144" i="6"/>
  <c r="AZ144" i="6"/>
  <c r="M144" i="6"/>
  <c r="BC144" i="6"/>
  <c r="BA144" i="6"/>
  <c r="BB144" i="6"/>
  <c r="AQ144" i="6"/>
  <c r="G144" i="6"/>
  <c r="AP144" i="6"/>
  <c r="AX144" i="6"/>
  <c r="AM144" i="6"/>
  <c r="AS144" i="6"/>
  <c r="AI144" i="6" l="1"/>
  <c r="AJ143" i="6"/>
  <c r="AF143" i="6"/>
  <c r="B146" i="5"/>
  <c r="F146" i="5"/>
  <c r="D146" i="5"/>
  <c r="B146" i="12" s="1"/>
  <c r="G146" i="5"/>
  <c r="K146" i="5"/>
  <c r="J146" i="5"/>
  <c r="H146" i="5"/>
  <c r="B146" i="6"/>
  <c r="A146" i="12"/>
  <c r="AD146" i="5"/>
  <c r="N146" i="5"/>
  <c r="D146" i="6" s="1"/>
  <c r="E146" i="5"/>
  <c r="C147" i="5"/>
  <c r="AE146" i="5"/>
  <c r="AH143" i="6"/>
  <c r="J145" i="12"/>
  <c r="L145" i="12"/>
  <c r="AI143" i="6"/>
  <c r="A145" i="6"/>
  <c r="BA143" i="6"/>
  <c r="AU143" i="6"/>
  <c r="BC143" i="6"/>
  <c r="BB143" i="6"/>
  <c r="BE143" i="6"/>
  <c r="BG143" i="6"/>
  <c r="BF143" i="6"/>
  <c r="BD143" i="6"/>
  <c r="AT143" i="6"/>
  <c r="AP143" i="6"/>
  <c r="AS143" i="6"/>
  <c r="AR143" i="6"/>
  <c r="AV143" i="6"/>
  <c r="AN143" i="6"/>
  <c r="AZ143" i="6"/>
  <c r="AX143" i="6"/>
  <c r="AQ143" i="6"/>
  <c r="AO143" i="6"/>
  <c r="AY143" i="6"/>
  <c r="AM143" i="6"/>
  <c r="T144" i="5"/>
  <c r="G144" i="12" s="1"/>
  <c r="AK144" i="6"/>
  <c r="AH144" i="6"/>
  <c r="AG144" i="6"/>
  <c r="AB144" i="6"/>
  <c r="AF144" i="6"/>
  <c r="AC144" i="6"/>
  <c r="AE144" i="6"/>
  <c r="AD144" i="6"/>
  <c r="AJ144" i="6"/>
  <c r="AG143" i="6"/>
  <c r="AC143" i="6"/>
  <c r="AB143" i="6"/>
  <c r="AK143" i="6"/>
  <c r="AE143" i="6"/>
  <c r="A146" i="6" l="1"/>
  <c r="M146" i="6" s="1"/>
  <c r="AX146" i="6" s="1"/>
  <c r="AE147" i="5"/>
  <c r="G147" i="5"/>
  <c r="A147" i="12"/>
  <c r="C148" i="5"/>
  <c r="H147" i="5"/>
  <c r="E147" i="5"/>
  <c r="B147" i="6"/>
  <c r="N147" i="5"/>
  <c r="D147" i="6" s="1"/>
  <c r="AD147" i="5"/>
  <c r="B147" i="5"/>
  <c r="J147" i="5"/>
  <c r="K147" i="5"/>
  <c r="F147" i="5"/>
  <c r="D147" i="5"/>
  <c r="B147" i="12" s="1"/>
  <c r="M145" i="6"/>
  <c r="N145" i="6"/>
  <c r="H146" i="6"/>
  <c r="K145" i="12"/>
  <c r="L146" i="12"/>
  <c r="J146" i="12"/>
  <c r="N146" i="6" l="1"/>
  <c r="AV146" i="6"/>
  <c r="AU146" i="6"/>
  <c r="BE146" i="6"/>
  <c r="A147" i="6"/>
  <c r="N147" i="6" s="1"/>
  <c r="BD146" i="6"/>
  <c r="BG146" i="6"/>
  <c r="BC146" i="6"/>
  <c r="BA146" i="6"/>
  <c r="AO146" i="6"/>
  <c r="AN146" i="6"/>
  <c r="BB146" i="6"/>
  <c r="AY146" i="6"/>
  <c r="AM146" i="6"/>
  <c r="BF146" i="6"/>
  <c r="AR146" i="6"/>
  <c r="AP146" i="6"/>
  <c r="AZ146" i="6"/>
  <c r="AT146" i="6"/>
  <c r="AQ146" i="6"/>
  <c r="AS146" i="6"/>
  <c r="K146" i="12"/>
  <c r="H147" i="6"/>
  <c r="T146" i="5"/>
  <c r="G146" i="12" s="1"/>
  <c r="AI146" i="6"/>
  <c r="AJ146" i="6"/>
  <c r="AH146" i="6"/>
  <c r="AK146" i="6"/>
  <c r="AD146" i="6"/>
  <c r="AC146" i="6"/>
  <c r="AF146" i="6"/>
  <c r="AG146" i="6"/>
  <c r="AB146" i="6"/>
  <c r="AE146" i="6"/>
  <c r="AV145" i="6"/>
  <c r="AZ145" i="6"/>
  <c r="AH145" i="6"/>
  <c r="BG145" i="6"/>
  <c r="AT145" i="6"/>
  <c r="AB145" i="6"/>
  <c r="AU145" i="6"/>
  <c r="AD145" i="6"/>
  <c r="BA145" i="6"/>
  <c r="BD145" i="6"/>
  <c r="AJ145" i="6"/>
  <c r="AP145" i="6"/>
  <c r="BE145" i="6"/>
  <c r="AQ145" i="6"/>
  <c r="AR145" i="6"/>
  <c r="BC145" i="6"/>
  <c r="AM145" i="6"/>
  <c r="AG145" i="6"/>
  <c r="AS145" i="6"/>
  <c r="AK145" i="6"/>
  <c r="BF145" i="6"/>
  <c r="AO145" i="6"/>
  <c r="AN145" i="6"/>
  <c r="AY145" i="6"/>
  <c r="BB145" i="6"/>
  <c r="AC145" i="6"/>
  <c r="AE145" i="6"/>
  <c r="AX145" i="6"/>
  <c r="AI145" i="6"/>
  <c r="AF145" i="6"/>
  <c r="C149" i="5"/>
  <c r="H148" i="5"/>
  <c r="G148" i="5"/>
  <c r="B148" i="6"/>
  <c r="AE148" i="5"/>
  <c r="E148" i="5"/>
  <c r="K148" i="5"/>
  <c r="F148" i="5"/>
  <c r="B148" i="5"/>
  <c r="AD148" i="5"/>
  <c r="A148" i="12"/>
  <c r="J148" i="5"/>
  <c r="N148" i="5"/>
  <c r="D148" i="6" s="1"/>
  <c r="H148" i="6" s="1"/>
  <c r="T148" i="5" s="1"/>
  <c r="G148" i="12" s="1"/>
  <c r="D148" i="5"/>
  <c r="B148" i="12" s="1"/>
  <c r="L147" i="12"/>
  <c r="J147" i="12"/>
  <c r="M147" i="6" l="1"/>
  <c r="AJ147" i="6" s="1"/>
  <c r="A148" i="6"/>
  <c r="N148" i="6" s="1"/>
  <c r="K147" i="12"/>
  <c r="J148" i="12"/>
  <c r="L148" i="12"/>
  <c r="H149" i="5"/>
  <c r="AD149" i="5"/>
  <c r="G149" i="5"/>
  <c r="F149" i="5"/>
  <c r="B149" i="5"/>
  <c r="K149" i="5"/>
  <c r="N149" i="5"/>
  <c r="D149" i="6" s="1"/>
  <c r="AE149" i="5"/>
  <c r="C150" i="5"/>
  <c r="D149" i="5"/>
  <c r="B149" i="12" s="1"/>
  <c r="B149" i="6"/>
  <c r="J149" i="5"/>
  <c r="A149" i="12"/>
  <c r="E149" i="5"/>
  <c r="T147" i="5"/>
  <c r="G147" i="12" s="1"/>
  <c r="AV147" i="6" l="1"/>
  <c r="BF147" i="6"/>
  <c r="AM147" i="6"/>
  <c r="BC147" i="6"/>
  <c r="AC147" i="6"/>
  <c r="AG147" i="6"/>
  <c r="BE147" i="6"/>
  <c r="BB147" i="6"/>
  <c r="AP147" i="6"/>
  <c r="AE147" i="6"/>
  <c r="AX147" i="6"/>
  <c r="AS147" i="6"/>
  <c r="AO147" i="6"/>
  <c r="BG147" i="6"/>
  <c r="AK147" i="6"/>
  <c r="AF147" i="6"/>
  <c r="AU147" i="6"/>
  <c r="AI147" i="6"/>
  <c r="AQ147" i="6"/>
  <c r="AN147" i="6"/>
  <c r="AD147" i="6"/>
  <c r="BA147" i="6"/>
  <c r="AH147" i="6"/>
  <c r="AT147" i="6"/>
  <c r="AY147" i="6"/>
  <c r="AB147" i="6"/>
  <c r="AR147" i="6"/>
  <c r="BD147" i="6"/>
  <c r="AZ147" i="6"/>
  <c r="K148" i="12"/>
  <c r="A149" i="6"/>
  <c r="N149" i="6" s="1"/>
  <c r="M148" i="6"/>
  <c r="AR148" i="6" s="1"/>
  <c r="J149" i="12"/>
  <c r="L149" i="12"/>
  <c r="AD150" i="5"/>
  <c r="N150" i="5"/>
  <c r="D150" i="6" s="1"/>
  <c r="J150" i="5"/>
  <c r="F150" i="5"/>
  <c r="H150" i="5"/>
  <c r="AE150" i="5"/>
  <c r="E150" i="5"/>
  <c r="B150" i="5"/>
  <c r="G150" i="5"/>
  <c r="B150" i="6"/>
  <c r="K150" i="5"/>
  <c r="C151" i="5"/>
  <c r="D150" i="5"/>
  <c r="B150" i="12" s="1"/>
  <c r="A150" i="12"/>
  <c r="H149" i="6"/>
  <c r="K149" i="12" l="1"/>
  <c r="M149" i="6"/>
  <c r="AZ149" i="6" s="1"/>
  <c r="AI148" i="6"/>
  <c r="BD148" i="6"/>
  <c r="AO148" i="6"/>
  <c r="AN148" i="6"/>
  <c r="AG148" i="6"/>
  <c r="AC148" i="6"/>
  <c r="AT148" i="6"/>
  <c r="AJ148" i="6"/>
  <c r="AZ148" i="6"/>
  <c r="AF148" i="6"/>
  <c r="BF148" i="6"/>
  <c r="AM148" i="6"/>
  <c r="AV148" i="6"/>
  <c r="BC148" i="6"/>
  <c r="BE148" i="6"/>
  <c r="AD148" i="6"/>
  <c r="AQ148" i="6"/>
  <c r="AY148" i="6"/>
  <c r="AX148" i="6"/>
  <c r="BG148" i="6"/>
  <c r="AE148" i="6"/>
  <c r="AB148" i="6"/>
  <c r="BB148" i="6"/>
  <c r="BA148" i="6"/>
  <c r="AP148" i="6"/>
  <c r="AU148" i="6"/>
  <c r="AS148" i="6"/>
  <c r="AK148" i="6"/>
  <c r="AH148" i="6"/>
  <c r="A150" i="6"/>
  <c r="M150" i="6" s="1"/>
  <c r="AX150" i="6" s="1"/>
  <c r="L150" i="12"/>
  <c r="J150" i="12"/>
  <c r="K151" i="5"/>
  <c r="N151" i="5"/>
  <c r="D151" i="6" s="1"/>
  <c r="H151" i="6" s="1"/>
  <c r="T151" i="5" s="1"/>
  <c r="G151" i="12" s="1"/>
  <c r="E151" i="5"/>
  <c r="C152" i="5"/>
  <c r="AD151" i="5"/>
  <c r="B151" i="6"/>
  <c r="D151" i="5"/>
  <c r="B151" i="12" s="1"/>
  <c r="A151" i="12"/>
  <c r="J151" i="5"/>
  <c r="F151" i="5"/>
  <c r="AE151" i="5"/>
  <c r="B151" i="5"/>
  <c r="H151" i="5"/>
  <c r="G151" i="5"/>
  <c r="H150" i="6"/>
  <c r="T150" i="5" s="1"/>
  <c r="G150" i="12" s="1"/>
  <c r="T149" i="5"/>
  <c r="G149" i="12" s="1"/>
  <c r="BF149" i="6" l="1"/>
  <c r="AK149" i="6"/>
  <c r="AF149" i="6"/>
  <c r="AJ149" i="6"/>
  <c r="AP149" i="6"/>
  <c r="AQ149" i="6"/>
  <c r="AB149" i="6"/>
  <c r="BE149" i="6"/>
  <c r="AH149" i="6"/>
  <c r="AY149" i="6"/>
  <c r="BC149" i="6"/>
  <c r="AD149" i="6"/>
  <c r="AO149" i="6"/>
  <c r="BG149" i="6"/>
  <c r="BD149" i="6"/>
  <c r="AU149" i="6"/>
  <c r="AC149" i="6"/>
  <c r="AE149" i="6"/>
  <c r="AN149" i="6"/>
  <c r="AS149" i="6"/>
  <c r="BB149" i="6"/>
  <c r="AV149" i="6"/>
  <c r="AM149" i="6"/>
  <c r="AI149" i="6"/>
  <c r="AR149" i="6"/>
  <c r="AT149" i="6"/>
  <c r="AG149" i="6"/>
  <c r="BA149" i="6"/>
  <c r="AX149" i="6"/>
  <c r="N150" i="6"/>
  <c r="AQ150" i="6"/>
  <c r="AP150" i="6"/>
  <c r="BG150" i="6"/>
  <c r="BE150" i="6"/>
  <c r="BF150" i="6"/>
  <c r="AO150" i="6"/>
  <c r="BD150" i="6"/>
  <c r="AU150" i="6"/>
  <c r="BC150" i="6"/>
  <c r="BB150" i="6"/>
  <c r="AZ150" i="6"/>
  <c r="AS150" i="6"/>
  <c r="AV150" i="6"/>
  <c r="AM150" i="6"/>
  <c r="AY150" i="6"/>
  <c r="AR150" i="6"/>
  <c r="AT150" i="6"/>
  <c r="BA150" i="6"/>
  <c r="AN150" i="6"/>
  <c r="K150" i="12"/>
  <c r="AB150" i="6"/>
  <c r="E152" i="5"/>
  <c r="F152" i="5"/>
  <c r="B152" i="5"/>
  <c r="D152" i="5"/>
  <c r="B152" i="12" s="1"/>
  <c r="A152" i="12"/>
  <c r="H152" i="5"/>
  <c r="C153" i="5"/>
  <c r="AE152" i="5"/>
  <c r="J152" i="5"/>
  <c r="B152" i="6"/>
  <c r="N152" i="5"/>
  <c r="D152" i="6" s="1"/>
  <c r="G152" i="5"/>
  <c r="AD152" i="5"/>
  <c r="K152" i="5"/>
  <c r="AE150" i="6"/>
  <c r="AG150" i="6"/>
  <c r="AI150" i="6"/>
  <c r="AD150" i="6"/>
  <c r="AC150" i="6"/>
  <c r="AK150" i="6"/>
  <c r="J151" i="12"/>
  <c r="L151" i="12"/>
  <c r="AJ150" i="6"/>
  <c r="AH150" i="6"/>
  <c r="A151" i="6"/>
  <c r="AF150" i="6"/>
  <c r="K151" i="12" l="1"/>
  <c r="J152" i="12"/>
  <c r="L152" i="12"/>
  <c r="A153" i="12"/>
  <c r="AE153" i="5"/>
  <c r="E153" i="5"/>
  <c r="B153" i="6"/>
  <c r="AD153" i="5"/>
  <c r="D153" i="5"/>
  <c r="B153" i="12" s="1"/>
  <c r="B153" i="5"/>
  <c r="H153" i="5"/>
  <c r="F153" i="5"/>
  <c r="K153" i="5"/>
  <c r="G153" i="5"/>
  <c r="N153" i="5"/>
  <c r="D153" i="6" s="1"/>
  <c r="H153" i="6" s="1"/>
  <c r="T153" i="5" s="1"/>
  <c r="G153" i="12" s="1"/>
  <c r="C154" i="5"/>
  <c r="J153" i="5"/>
  <c r="H152" i="6"/>
  <c r="A152" i="6"/>
  <c r="N152" i="6" s="1"/>
  <c r="N151" i="6"/>
  <c r="M151" i="6"/>
  <c r="K152" i="12" l="1"/>
  <c r="A154" i="12"/>
  <c r="H154" i="5"/>
  <c r="D154" i="5"/>
  <c r="B154" i="12" s="1"/>
  <c r="AD154" i="5"/>
  <c r="N154" i="5"/>
  <c r="D154" i="6" s="1"/>
  <c r="G154" i="5"/>
  <c r="AE154" i="5"/>
  <c r="F154" i="5"/>
  <c r="E154" i="5"/>
  <c r="C155" i="5"/>
  <c r="B154" i="6"/>
  <c r="K154" i="5"/>
  <c r="J154" i="5"/>
  <c r="B154" i="5"/>
  <c r="A153" i="6"/>
  <c r="AD151" i="6"/>
  <c r="AT151" i="6"/>
  <c r="BG151" i="6"/>
  <c r="BA151" i="6"/>
  <c r="AU151" i="6"/>
  <c r="AJ151" i="6"/>
  <c r="AF151" i="6"/>
  <c r="AK151" i="6"/>
  <c r="AY151" i="6"/>
  <c r="AH151" i="6"/>
  <c r="AC151" i="6"/>
  <c r="AR151" i="6"/>
  <c r="AQ151" i="6"/>
  <c r="BB151" i="6"/>
  <c r="AM151" i="6"/>
  <c r="AI151" i="6"/>
  <c r="AB151" i="6"/>
  <c r="AS151" i="6"/>
  <c r="BC151" i="6"/>
  <c r="AZ151" i="6"/>
  <c r="BE151" i="6"/>
  <c r="AN151" i="6"/>
  <c r="AO151" i="6"/>
  <c r="AE151" i="6"/>
  <c r="BF151" i="6"/>
  <c r="AG151" i="6"/>
  <c r="AX151" i="6"/>
  <c r="AV151" i="6"/>
  <c r="BD151" i="6"/>
  <c r="AP151" i="6"/>
  <c r="M152" i="6"/>
  <c r="AI152" i="6" s="1"/>
  <c r="L153" i="12"/>
  <c r="J153" i="12"/>
  <c r="T152" i="5"/>
  <c r="G152" i="12" s="1"/>
  <c r="K153" i="12" l="1"/>
  <c r="A154" i="6"/>
  <c r="M154" i="6" s="1"/>
  <c r="BG154" i="6" s="1"/>
  <c r="H154" i="6"/>
  <c r="BB152" i="6"/>
  <c r="AP152" i="6"/>
  <c r="BE152" i="6"/>
  <c r="BA152" i="6"/>
  <c r="AV152" i="6"/>
  <c r="AS152" i="6"/>
  <c r="AY152" i="6"/>
  <c r="BD152" i="6"/>
  <c r="AU152" i="6"/>
  <c r="AZ152" i="6"/>
  <c r="BF152" i="6"/>
  <c r="AQ152" i="6"/>
  <c r="BC152" i="6"/>
  <c r="AR152" i="6"/>
  <c r="AN152" i="6"/>
  <c r="AT152" i="6"/>
  <c r="AM152" i="6"/>
  <c r="AX152" i="6"/>
  <c r="BG152" i="6"/>
  <c r="AO152" i="6"/>
  <c r="G155" i="5"/>
  <c r="H155" i="5"/>
  <c r="AD155" i="5"/>
  <c r="N155" i="5"/>
  <c r="D155" i="6" s="1"/>
  <c r="H155" i="6" s="1"/>
  <c r="T155" i="5" s="1"/>
  <c r="G155" i="12" s="1"/>
  <c r="E155" i="5"/>
  <c r="D155" i="5"/>
  <c r="B155" i="12" s="1"/>
  <c r="B155" i="5"/>
  <c r="F155" i="5"/>
  <c r="AE155" i="5"/>
  <c r="C156" i="5"/>
  <c r="A155" i="12"/>
  <c r="K155" i="5"/>
  <c r="J155" i="5"/>
  <c r="B155" i="6"/>
  <c r="AC152" i="6"/>
  <c r="AF152" i="6"/>
  <c r="J154" i="12"/>
  <c r="L154" i="12"/>
  <c r="AJ152" i="6"/>
  <c r="AE152" i="6"/>
  <c r="AH152" i="6"/>
  <c r="AB152" i="6"/>
  <c r="AK152" i="6"/>
  <c r="M153" i="6"/>
  <c r="N153" i="6"/>
  <c r="AG152" i="6"/>
  <c r="AD152" i="6"/>
  <c r="BE154" i="6" l="1"/>
  <c r="AB154" i="6"/>
  <c r="AS154" i="6"/>
  <c r="N154" i="6"/>
  <c r="BC154" i="6"/>
  <c r="AR154" i="6"/>
  <c r="AE154" i="6"/>
  <c r="AI154" i="6"/>
  <c r="AV154" i="6"/>
  <c r="AX154" i="6"/>
  <c r="AN154" i="6"/>
  <c r="BF154" i="6"/>
  <c r="AU154" i="6"/>
  <c r="AZ154" i="6"/>
  <c r="AP154" i="6"/>
  <c r="AD154" i="6"/>
  <c r="AY154" i="6"/>
  <c r="AT154" i="6"/>
  <c r="A155" i="6"/>
  <c r="N155" i="6" s="1"/>
  <c r="AO154" i="6"/>
  <c r="BB154" i="6"/>
  <c r="AQ154" i="6"/>
  <c r="BA154" i="6"/>
  <c r="AM154" i="6"/>
  <c r="BD154" i="6"/>
  <c r="L155" i="12"/>
  <c r="J155" i="12"/>
  <c r="AG154" i="6"/>
  <c r="AF154" i="6"/>
  <c r="K154" i="12"/>
  <c r="B156" i="6"/>
  <c r="C157" i="5"/>
  <c r="AE156" i="5"/>
  <c r="E156" i="5"/>
  <c r="F156" i="5"/>
  <c r="J156" i="5"/>
  <c r="A156" i="12"/>
  <c r="N156" i="5"/>
  <c r="D156" i="6" s="1"/>
  <c r="H156" i="6" s="1"/>
  <c r="T156" i="5" s="1"/>
  <c r="G156" i="12" s="1"/>
  <c r="AD156" i="5"/>
  <c r="K156" i="5"/>
  <c r="H156" i="5"/>
  <c r="G156" i="5"/>
  <c r="D156" i="5"/>
  <c r="B156" i="12" s="1"/>
  <c r="B156" i="5"/>
  <c r="AJ154" i="6"/>
  <c r="AK154" i="6"/>
  <c r="BB153" i="6"/>
  <c r="BD153" i="6"/>
  <c r="AG153" i="6"/>
  <c r="AK153" i="6"/>
  <c r="AT153" i="6"/>
  <c r="AP153" i="6"/>
  <c r="BG153" i="6"/>
  <c r="BA153" i="6"/>
  <c r="AM153" i="6"/>
  <c r="AV153" i="6"/>
  <c r="AC153" i="6"/>
  <c r="AZ153" i="6"/>
  <c r="AO153" i="6"/>
  <c r="AI153" i="6"/>
  <c r="AD153" i="6"/>
  <c r="BC153" i="6"/>
  <c r="AH153" i="6"/>
  <c r="BE153" i="6"/>
  <c r="AY153" i="6"/>
  <c r="AF153" i="6"/>
  <c r="AS153" i="6"/>
  <c r="AE153" i="6"/>
  <c r="AJ153" i="6"/>
  <c r="AN153" i="6"/>
  <c r="BF153" i="6"/>
  <c r="AR153" i="6"/>
  <c r="AB153" i="6"/>
  <c r="AX153" i="6"/>
  <c r="AQ153" i="6"/>
  <c r="AU153" i="6"/>
  <c r="T154" i="5"/>
  <c r="G154" i="12" s="1"/>
  <c r="AH154" i="6"/>
  <c r="AC154" i="6"/>
  <c r="K155" i="12" l="1"/>
  <c r="M155" i="6"/>
  <c r="A156" i="6"/>
  <c r="G157" i="5"/>
  <c r="H157" i="5"/>
  <c r="E157" i="5"/>
  <c r="D157" i="5"/>
  <c r="B157" i="12" s="1"/>
  <c r="A157" i="12"/>
  <c r="AD157" i="5"/>
  <c r="B157" i="6"/>
  <c r="K157" i="5"/>
  <c r="J157" i="5"/>
  <c r="N157" i="5"/>
  <c r="D157" i="6" s="1"/>
  <c r="H157" i="6" s="1"/>
  <c r="T157" i="5" s="1"/>
  <c r="G157" i="12" s="1"/>
  <c r="F157" i="5"/>
  <c r="AE157" i="5"/>
  <c r="B157" i="5"/>
  <c r="C158" i="5"/>
  <c r="J156" i="12"/>
  <c r="L156" i="12"/>
  <c r="AC155" i="6" l="1"/>
  <c r="AD155" i="6"/>
  <c r="BA155" i="6"/>
  <c r="AS155" i="6"/>
  <c r="AR155" i="6"/>
  <c r="BE155" i="6"/>
  <c r="BB155" i="6"/>
  <c r="AO155" i="6"/>
  <c r="AK155" i="6"/>
  <c r="AF155" i="6"/>
  <c r="AU155" i="6"/>
  <c r="AT155" i="6"/>
  <c r="AN155" i="6"/>
  <c r="AZ155" i="6"/>
  <c r="AI155" i="6"/>
  <c r="AM155" i="6"/>
  <c r="AV155" i="6"/>
  <c r="BC155" i="6"/>
  <c r="AG155" i="6"/>
  <c r="AJ155" i="6"/>
  <c r="AY155" i="6"/>
  <c r="AX155" i="6"/>
  <c r="AQ155" i="6"/>
  <c r="BG155" i="6"/>
  <c r="AE155" i="6"/>
  <c r="BF155" i="6"/>
  <c r="AB155" i="6"/>
  <c r="AP155" i="6"/>
  <c r="AH155" i="6"/>
  <c r="BD155" i="6"/>
  <c r="A157" i="6"/>
  <c r="N157" i="6" s="1"/>
  <c r="AD158" i="5"/>
  <c r="AE158" i="5"/>
  <c r="D158" i="5"/>
  <c r="B158" i="12" s="1"/>
  <c r="F158" i="5"/>
  <c r="A158" i="12"/>
  <c r="G158" i="5"/>
  <c r="E158" i="5"/>
  <c r="N158" i="5"/>
  <c r="D158" i="6" s="1"/>
  <c r="H158" i="6" s="1"/>
  <c r="T158" i="5" s="1"/>
  <c r="G158" i="12" s="1"/>
  <c r="J158" i="5"/>
  <c r="K158" i="5"/>
  <c r="B158" i="6"/>
  <c r="C159" i="5"/>
  <c r="B158" i="5"/>
  <c r="H158" i="5"/>
  <c r="J157" i="12"/>
  <c r="L157" i="12"/>
  <c r="K156" i="12"/>
  <c r="M156" i="6"/>
  <c r="N156" i="6"/>
  <c r="K157" i="12" l="1"/>
  <c r="M157" i="6"/>
  <c r="BB157" i="6" s="1"/>
  <c r="J158" i="12"/>
  <c r="L158" i="12"/>
  <c r="G159" i="5"/>
  <c r="D159" i="5"/>
  <c r="B159" i="12" s="1"/>
  <c r="H159" i="5"/>
  <c r="B159" i="5"/>
  <c r="N159" i="5"/>
  <c r="D159" i="6" s="1"/>
  <c r="C160" i="5"/>
  <c r="E159" i="5"/>
  <c r="A159" i="12"/>
  <c r="AD159" i="5"/>
  <c r="K159" i="5"/>
  <c r="AE159" i="5"/>
  <c r="J159" i="5"/>
  <c r="F159" i="5"/>
  <c r="B159" i="6"/>
  <c r="AS156" i="6"/>
  <c r="AO156" i="6"/>
  <c r="AY156" i="6"/>
  <c r="AF156" i="6"/>
  <c r="AD156" i="6"/>
  <c r="AT156" i="6"/>
  <c r="BF156" i="6"/>
  <c r="AU156" i="6"/>
  <c r="AG156" i="6"/>
  <c r="AB156" i="6"/>
  <c r="AM156" i="6"/>
  <c r="AN156" i="6"/>
  <c r="AV156" i="6"/>
  <c r="AC156" i="6"/>
  <c r="AI156" i="6"/>
  <c r="AR156" i="6"/>
  <c r="BC156" i="6"/>
  <c r="AK156" i="6"/>
  <c r="AP156" i="6"/>
  <c r="BG156" i="6"/>
  <c r="AQ156" i="6"/>
  <c r="BA156" i="6"/>
  <c r="AH156" i="6"/>
  <c r="BE156" i="6"/>
  <c r="BB156" i="6"/>
  <c r="AX156" i="6"/>
  <c r="AE156" i="6"/>
  <c r="BD156" i="6"/>
  <c r="AZ156" i="6"/>
  <c r="AJ156" i="6"/>
  <c r="A158" i="6"/>
  <c r="N158" i="6" s="1"/>
  <c r="AJ157" i="6" l="1"/>
  <c r="AO157" i="6"/>
  <c r="AI157" i="6"/>
  <c r="BE157" i="6"/>
  <c r="BD157" i="6"/>
  <c r="AE157" i="6"/>
  <c r="AR157" i="6"/>
  <c r="AS157" i="6"/>
  <c r="AV157" i="6"/>
  <c r="AB157" i="6"/>
  <c r="AT157" i="6"/>
  <c r="AY157" i="6"/>
  <c r="AN157" i="6"/>
  <c r="AD157" i="6"/>
  <c r="BG157" i="6"/>
  <c r="AH157" i="6"/>
  <c r="AU157" i="6"/>
  <c r="AM157" i="6"/>
  <c r="AP157" i="6"/>
  <c r="BA157" i="6"/>
  <c r="AG157" i="6"/>
  <c r="AC157" i="6"/>
  <c r="AK157" i="6"/>
  <c r="AQ157" i="6"/>
  <c r="BF157" i="6"/>
  <c r="AF157" i="6"/>
  <c r="AZ157" i="6"/>
  <c r="BC157" i="6"/>
  <c r="AX157" i="6"/>
  <c r="L159" i="12"/>
  <c r="J159" i="12"/>
  <c r="A159" i="6"/>
  <c r="N159" i="6" s="1"/>
  <c r="H160" i="5"/>
  <c r="B160" i="5"/>
  <c r="C161" i="5" s="1"/>
  <c r="AD160" i="5"/>
  <c r="B160" i="6"/>
  <c r="F160" i="5"/>
  <c r="D160" i="5"/>
  <c r="B160" i="12" s="1"/>
  <c r="E160" i="5"/>
  <c r="AE160" i="5"/>
  <c r="N160" i="5"/>
  <c r="D160" i="6" s="1"/>
  <c r="H160" i="6" s="1"/>
  <c r="T160" i="5" s="1"/>
  <c r="G160" i="12" s="1"/>
  <c r="A160" i="12"/>
  <c r="K160" i="5"/>
  <c r="J160" i="5"/>
  <c r="G160" i="5"/>
  <c r="H159" i="6"/>
  <c r="M158" i="6"/>
  <c r="K158" i="12"/>
  <c r="K159" i="12" l="1"/>
  <c r="M159" i="6"/>
  <c r="AC159" i="6" s="1"/>
  <c r="A160" i="6"/>
  <c r="N160" i="6" s="1"/>
  <c r="L160" i="12"/>
  <c r="J160" i="12"/>
  <c r="AE161" i="5"/>
  <c r="G161" i="5"/>
  <c r="B161" i="5"/>
  <c r="C162" i="5" s="1"/>
  <c r="B161" i="6"/>
  <c r="AD161" i="5"/>
  <c r="H161" i="5"/>
  <c r="F161" i="5"/>
  <c r="E161" i="5"/>
  <c r="N161" i="5"/>
  <c r="D161" i="6" s="1"/>
  <c r="H161" i="6" s="1"/>
  <c r="T161" i="5" s="1"/>
  <c r="G161" i="12" s="1"/>
  <c r="A161" i="12"/>
  <c r="AK158" i="6"/>
  <c r="AF158" i="6"/>
  <c r="AE158" i="6"/>
  <c r="AM158" i="6"/>
  <c r="AU158" i="6"/>
  <c r="AQ158" i="6"/>
  <c r="BG158" i="6"/>
  <c r="AT158" i="6"/>
  <c r="BB158" i="6"/>
  <c r="BA158" i="6"/>
  <c r="AN158" i="6"/>
  <c r="AC158" i="6"/>
  <c r="AY158" i="6"/>
  <c r="AJ158" i="6"/>
  <c r="AZ158" i="6"/>
  <c r="BF158" i="6"/>
  <c r="BD158" i="6"/>
  <c r="AP158" i="6"/>
  <c r="AV158" i="6"/>
  <c r="AB158" i="6"/>
  <c r="AR158" i="6"/>
  <c r="AD158" i="6"/>
  <c r="AG158" i="6"/>
  <c r="BC158" i="6"/>
  <c r="AS158" i="6"/>
  <c r="AH158" i="6"/>
  <c r="AX158" i="6"/>
  <c r="BE158" i="6"/>
  <c r="AO158" i="6"/>
  <c r="AI158" i="6"/>
  <c r="T159" i="5"/>
  <c r="G159" i="12" s="1"/>
  <c r="BD159" i="6" l="1"/>
  <c r="AQ159" i="6"/>
  <c r="BC159" i="6"/>
  <c r="AZ159" i="6"/>
  <c r="BA159" i="6"/>
  <c r="AO159" i="6"/>
  <c r="AD159" i="6"/>
  <c r="AX159" i="6"/>
  <c r="BB159" i="6"/>
  <c r="AN159" i="6"/>
  <c r="AP159" i="6"/>
  <c r="AB159" i="6"/>
  <c r="BG159" i="6"/>
  <c r="AV159" i="6"/>
  <c r="AS159" i="6"/>
  <c r="AR159" i="6"/>
  <c r="AY159" i="6"/>
  <c r="AT159" i="6"/>
  <c r="AE159" i="6"/>
  <c r="AJ159" i="6"/>
  <c r="AM159" i="6"/>
  <c r="AF159" i="6"/>
  <c r="BE159" i="6"/>
  <c r="AI159" i="6"/>
  <c r="AG159" i="6"/>
  <c r="AH159" i="6"/>
  <c r="AU159" i="6"/>
  <c r="BF159" i="6"/>
  <c r="AK159" i="6"/>
  <c r="K160" i="12"/>
  <c r="M160" i="6"/>
  <c r="A161" i="6"/>
  <c r="C163" i="5"/>
  <c r="A162" i="12"/>
  <c r="F162" i="5"/>
  <c r="AD162" i="5"/>
  <c r="E162" i="5"/>
  <c r="H162" i="5"/>
  <c r="R162" i="5"/>
  <c r="AE162" i="5"/>
  <c r="B162" i="5"/>
  <c r="G162" i="5"/>
  <c r="N162" i="5"/>
  <c r="D162" i="6" s="1"/>
  <c r="B162" i="6"/>
  <c r="W162" i="5"/>
  <c r="H162" i="12" s="1"/>
  <c r="A162" i="6" l="1"/>
  <c r="N162" i="6" s="1"/>
  <c r="AJ160" i="6"/>
  <c r="AC160" i="6"/>
  <c r="AM160" i="6"/>
  <c r="BB160" i="6"/>
  <c r="BG160" i="6"/>
  <c r="AR160" i="6"/>
  <c r="AH160" i="6"/>
  <c r="AY160" i="6"/>
  <c r="AZ160" i="6"/>
  <c r="AN160" i="6"/>
  <c r="AD160" i="6"/>
  <c r="BE160" i="6"/>
  <c r="AO160" i="6"/>
  <c r="AB160" i="6"/>
  <c r="BC160" i="6"/>
  <c r="AP160" i="6"/>
  <c r="AV160" i="6"/>
  <c r="AI160" i="6"/>
  <c r="AF160" i="6"/>
  <c r="BA160" i="6"/>
  <c r="AS160" i="6"/>
  <c r="AQ160" i="6"/>
  <c r="AG160" i="6"/>
  <c r="BD160" i="6"/>
  <c r="AT160" i="6"/>
  <c r="AX160" i="6"/>
  <c r="AK160" i="6"/>
  <c r="AE160" i="6"/>
  <c r="AU160" i="6"/>
  <c r="BF160" i="6"/>
  <c r="F162" i="6"/>
  <c r="E162" i="12"/>
  <c r="BB162" i="6"/>
  <c r="BA162" i="6"/>
  <c r="H162" i="6"/>
  <c r="AS162" i="6"/>
  <c r="AR162" i="6"/>
  <c r="AX162" i="6"/>
  <c r="BF162" i="6"/>
  <c r="AZ162" i="6"/>
  <c r="AY162" i="6"/>
  <c r="M162" i="6"/>
  <c r="AT162" i="6" s="1"/>
  <c r="AQ162" i="6"/>
  <c r="AV162" i="6"/>
  <c r="AM162" i="6"/>
  <c r="BG162" i="6"/>
  <c r="AU162" i="6"/>
  <c r="BE162" i="6"/>
  <c r="AP162" i="6"/>
  <c r="BD162" i="6"/>
  <c r="AN162" i="6"/>
  <c r="BC162" i="6"/>
  <c r="AO162" i="6"/>
  <c r="G162" i="6"/>
  <c r="D163" i="5"/>
  <c r="B163" i="12" s="1"/>
  <c r="K163" i="5"/>
  <c r="H163" i="5"/>
  <c r="G163" i="5"/>
  <c r="N163" i="5"/>
  <c r="D163" i="6" s="1"/>
  <c r="AE163" i="5"/>
  <c r="B163" i="5"/>
  <c r="A163" i="12"/>
  <c r="J163" i="5"/>
  <c r="AD163" i="5"/>
  <c r="C164" i="5"/>
  <c r="F163" i="5"/>
  <c r="E163" i="5"/>
  <c r="B163" i="6"/>
  <c r="N161" i="6"/>
  <c r="M161" i="6"/>
  <c r="AD162" i="6" l="1"/>
  <c r="A163" i="6"/>
  <c r="N163" i="6" s="1"/>
  <c r="AE164" i="5"/>
  <c r="F164" i="5"/>
  <c r="A164" i="12"/>
  <c r="AD164" i="5"/>
  <c r="H164" i="5"/>
  <c r="B164" i="5"/>
  <c r="C165" i="5" s="1"/>
  <c r="J164" i="5"/>
  <c r="D164" i="5"/>
  <c r="B164" i="12" s="1"/>
  <c r="E164" i="5"/>
  <c r="K164" i="5"/>
  <c r="G164" i="5"/>
  <c r="B164" i="6"/>
  <c r="N164" i="5"/>
  <c r="D164" i="6" s="1"/>
  <c r="T162" i="5"/>
  <c r="G162" i="12" s="1"/>
  <c r="AC162" i="6"/>
  <c r="AG162" i="6"/>
  <c r="AK162" i="6"/>
  <c r="AI162" i="6"/>
  <c r="AB162" i="6"/>
  <c r="AH162" i="6"/>
  <c r="AJ162" i="6"/>
  <c r="AF162" i="6"/>
  <c r="AD161" i="6"/>
  <c r="AB161" i="6"/>
  <c r="BD161" i="6"/>
  <c r="BE161" i="6"/>
  <c r="AT161" i="6"/>
  <c r="AM161" i="6"/>
  <c r="BB161" i="6"/>
  <c r="AV161" i="6"/>
  <c r="AX161" i="6"/>
  <c r="BF161" i="6"/>
  <c r="AC161" i="6"/>
  <c r="BC161" i="6"/>
  <c r="AS161" i="6"/>
  <c r="AN161" i="6"/>
  <c r="BG161" i="6"/>
  <c r="AQ161" i="6"/>
  <c r="AG161" i="6"/>
  <c r="AH161" i="6"/>
  <c r="AO161" i="6"/>
  <c r="AY161" i="6"/>
  <c r="AP161" i="6"/>
  <c r="BA161" i="6"/>
  <c r="AI161" i="6"/>
  <c r="AJ161" i="6"/>
  <c r="AK161" i="6"/>
  <c r="AZ161" i="6"/>
  <c r="AF161" i="6"/>
  <c r="AU161" i="6"/>
  <c r="AE161" i="6"/>
  <c r="AR161" i="6"/>
  <c r="J163" i="12"/>
  <c r="L163" i="12"/>
  <c r="H163" i="6"/>
  <c r="AE162" i="6"/>
  <c r="M163" i="6" l="1"/>
  <c r="AO163" i="6" s="1"/>
  <c r="K163" i="12"/>
  <c r="AD165" i="5"/>
  <c r="A165" i="12"/>
  <c r="F165" i="5"/>
  <c r="N165" i="5"/>
  <c r="D165" i="6" s="1"/>
  <c r="W165" i="5"/>
  <c r="H165" i="12" s="1"/>
  <c r="B165" i="6"/>
  <c r="AE165" i="5"/>
  <c r="B165" i="5"/>
  <c r="H165" i="5"/>
  <c r="R165" i="5"/>
  <c r="C166" i="5"/>
  <c r="E165" i="5"/>
  <c r="G165" i="5"/>
  <c r="H164" i="6"/>
  <c r="A164" i="6"/>
  <c r="N164" i="6" s="1"/>
  <c r="L164" i="12"/>
  <c r="J164" i="12"/>
  <c r="T163" i="5"/>
  <c r="G163" i="12" s="1"/>
  <c r="AI163" i="6" l="1"/>
  <c r="AZ163" i="6"/>
  <c r="AT163" i="6"/>
  <c r="BG163" i="6"/>
  <c r="AM163" i="6"/>
  <c r="AC163" i="6"/>
  <c r="BD163" i="6"/>
  <c r="AH163" i="6"/>
  <c r="AX163" i="6"/>
  <c r="AN163" i="6"/>
  <c r="AQ163" i="6"/>
  <c r="BE163" i="6"/>
  <c r="AY163" i="6"/>
  <c r="AD163" i="6"/>
  <c r="BA163" i="6"/>
  <c r="AS163" i="6"/>
  <c r="BB163" i="6"/>
  <c r="AE163" i="6"/>
  <c r="AR163" i="6"/>
  <c r="AB163" i="6"/>
  <c r="AV163" i="6"/>
  <c r="AG163" i="6"/>
  <c r="AJ163" i="6"/>
  <c r="AF163" i="6"/>
  <c r="AP163" i="6"/>
  <c r="BC163" i="6"/>
  <c r="AK163" i="6"/>
  <c r="AU163" i="6"/>
  <c r="BF163" i="6"/>
  <c r="M164" i="6"/>
  <c r="AT164" i="6" s="1"/>
  <c r="A165" i="6"/>
  <c r="T164" i="5"/>
  <c r="G164" i="12" s="1"/>
  <c r="BC165" i="6"/>
  <c r="N165" i="6"/>
  <c r="AP165" i="6"/>
  <c r="AZ165" i="6"/>
  <c r="H165" i="6"/>
  <c r="BD165" i="6"/>
  <c r="AV165" i="6"/>
  <c r="AO165" i="6"/>
  <c r="BE165" i="6"/>
  <c r="AY165" i="6"/>
  <c r="BA165" i="6"/>
  <c r="AR165" i="6"/>
  <c r="AS165" i="6"/>
  <c r="BG165" i="6"/>
  <c r="BF165" i="6"/>
  <c r="AQ165" i="6"/>
  <c r="M165" i="6"/>
  <c r="AU165" i="6" s="1"/>
  <c r="G165" i="6"/>
  <c r="AM165" i="6"/>
  <c r="BB165" i="6"/>
  <c r="AX165" i="6"/>
  <c r="AT165" i="6"/>
  <c r="AN165" i="6"/>
  <c r="H166" i="5"/>
  <c r="E166" i="5"/>
  <c r="B166" i="6"/>
  <c r="J166" i="5"/>
  <c r="K166" i="5"/>
  <c r="F166" i="5"/>
  <c r="D166" i="5"/>
  <c r="B166" i="12" s="1"/>
  <c r="N166" i="5"/>
  <c r="D166" i="6" s="1"/>
  <c r="H166" i="6" s="1"/>
  <c r="T166" i="5" s="1"/>
  <c r="G166" i="12" s="1"/>
  <c r="G166" i="5"/>
  <c r="C167" i="5"/>
  <c r="A166" i="12"/>
  <c r="AE166" i="5"/>
  <c r="B166" i="5"/>
  <c r="AD166" i="5"/>
  <c r="K164" i="12"/>
  <c r="F165" i="6"/>
  <c r="E165" i="12"/>
  <c r="AD164" i="6" l="1"/>
  <c r="AK164" i="6"/>
  <c r="AO164" i="6"/>
  <c r="AB164" i="6"/>
  <c r="AQ164" i="6"/>
  <c r="AN164" i="6"/>
  <c r="AG164" i="6"/>
  <c r="AE164" i="6"/>
  <c r="AI164" i="6"/>
  <c r="AV164" i="6"/>
  <c r="BB164" i="6"/>
  <c r="AX164" i="6"/>
  <c r="AC164" i="6"/>
  <c r="BD164" i="6"/>
  <c r="AS164" i="6"/>
  <c r="BG164" i="6"/>
  <c r="AF164" i="6"/>
  <c r="BF164" i="6"/>
  <c r="AU164" i="6"/>
  <c r="AM164" i="6"/>
  <c r="BE164" i="6"/>
  <c r="BC164" i="6"/>
  <c r="AZ164" i="6"/>
  <c r="AR164" i="6"/>
  <c r="AY164" i="6"/>
  <c r="AJ164" i="6"/>
  <c r="AP164" i="6"/>
  <c r="AH164" i="6"/>
  <c r="BA164" i="6"/>
  <c r="AC165" i="6"/>
  <c r="AE165" i="6"/>
  <c r="A166" i="6"/>
  <c r="N166" i="6" s="1"/>
  <c r="B167" i="5"/>
  <c r="D167" i="5"/>
  <c r="B167" i="12" s="1"/>
  <c r="AD167" i="5"/>
  <c r="H167" i="5"/>
  <c r="F167" i="5"/>
  <c r="J167" i="5"/>
  <c r="G167" i="5"/>
  <c r="K167" i="5"/>
  <c r="N167" i="5"/>
  <c r="D167" i="6" s="1"/>
  <c r="A167" i="12"/>
  <c r="AE167" i="5"/>
  <c r="B167" i="6"/>
  <c r="C168" i="5"/>
  <c r="E167" i="5"/>
  <c r="AG165" i="6"/>
  <c r="AI165" i="6"/>
  <c r="AD165" i="6"/>
  <c r="AH165" i="6"/>
  <c r="T165" i="5"/>
  <c r="G165" i="12" s="1"/>
  <c r="AK165" i="6"/>
  <c r="AF165" i="6"/>
  <c r="L166" i="12"/>
  <c r="J166" i="12"/>
  <c r="AB165" i="6"/>
  <c r="AJ165" i="6"/>
  <c r="M166" i="6" l="1"/>
  <c r="AD166" i="6" s="1"/>
  <c r="A167" i="6"/>
  <c r="M167" i="6" s="1"/>
  <c r="AN167" i="6" s="1"/>
  <c r="K166" i="12"/>
  <c r="D168" i="5"/>
  <c r="B168" i="12" s="1"/>
  <c r="G168" i="5"/>
  <c r="A168" i="12"/>
  <c r="E168" i="5"/>
  <c r="F168" i="5"/>
  <c r="B168" i="6"/>
  <c r="H168" i="5"/>
  <c r="C169" i="5"/>
  <c r="AE168" i="5"/>
  <c r="B168" i="5"/>
  <c r="AD168" i="5"/>
  <c r="K168" i="5"/>
  <c r="N168" i="5"/>
  <c r="D168" i="6" s="1"/>
  <c r="J168" i="5"/>
  <c r="L167" i="12"/>
  <c r="J167" i="12"/>
  <c r="H167" i="6"/>
  <c r="N167" i="6" l="1"/>
  <c r="AC166" i="6"/>
  <c r="BE166" i="6"/>
  <c r="AX166" i="6"/>
  <c r="AH166" i="6"/>
  <c r="AP166" i="6"/>
  <c r="AK166" i="6"/>
  <c r="AB166" i="6"/>
  <c r="BG166" i="6"/>
  <c r="BC166" i="6"/>
  <c r="AQ166" i="6"/>
  <c r="AE166" i="6"/>
  <c r="AV166" i="6"/>
  <c r="AG166" i="6"/>
  <c r="AT166" i="6"/>
  <c r="AZ166" i="6"/>
  <c r="AU166" i="6"/>
  <c r="BA166" i="6"/>
  <c r="AN166" i="6"/>
  <c r="AS166" i="6"/>
  <c r="AR166" i="6"/>
  <c r="AJ166" i="6"/>
  <c r="BD166" i="6"/>
  <c r="AM166" i="6"/>
  <c r="AO166" i="6"/>
  <c r="BB166" i="6"/>
  <c r="BF166" i="6"/>
  <c r="AF166" i="6"/>
  <c r="AI166" i="6"/>
  <c r="AY166" i="6"/>
  <c r="AB167" i="6"/>
  <c r="AO167" i="6"/>
  <c r="BE167" i="6"/>
  <c r="AP167" i="6"/>
  <c r="BB167" i="6"/>
  <c r="AR167" i="6"/>
  <c r="BG167" i="6"/>
  <c r="AT167" i="6"/>
  <c r="AS167" i="6"/>
  <c r="AQ167" i="6"/>
  <c r="AZ167" i="6"/>
  <c r="AY167" i="6"/>
  <c r="AU167" i="6"/>
  <c r="BD167" i="6"/>
  <c r="AV167" i="6"/>
  <c r="BC167" i="6"/>
  <c r="BF167" i="6"/>
  <c r="BA167" i="6"/>
  <c r="AX167" i="6"/>
  <c r="AM167" i="6"/>
  <c r="AF167" i="6"/>
  <c r="H169" i="5"/>
  <c r="C170" i="5"/>
  <c r="N169" i="5"/>
  <c r="D169" i="6" s="1"/>
  <c r="H169" i="6" s="1"/>
  <c r="T169" i="5" s="1"/>
  <c r="G169" i="12" s="1"/>
  <c r="B169" i="5"/>
  <c r="F169" i="5"/>
  <c r="J169" i="5"/>
  <c r="A169" i="12"/>
  <c r="E169" i="5"/>
  <c r="AD169" i="5"/>
  <c r="D169" i="5"/>
  <c r="B169" i="12" s="1"/>
  <c r="B169" i="6"/>
  <c r="K169" i="5"/>
  <c r="G169" i="5"/>
  <c r="AE169" i="5"/>
  <c r="K167" i="12"/>
  <c r="J168" i="12"/>
  <c r="L168" i="12"/>
  <c r="A168" i="6"/>
  <c r="N168" i="6" s="1"/>
  <c r="T167" i="5"/>
  <c r="G167" i="12" s="1"/>
  <c r="AJ167" i="6"/>
  <c r="AH167" i="6"/>
  <c r="AI167" i="6"/>
  <c r="AC167" i="6"/>
  <c r="AD167" i="6"/>
  <c r="AK167" i="6"/>
  <c r="AG167" i="6"/>
  <c r="AE167" i="6"/>
  <c r="H168" i="6"/>
  <c r="A169" i="6" l="1"/>
  <c r="M169" i="6" s="1"/>
  <c r="AV169" i="6" s="1"/>
  <c r="K168" i="12"/>
  <c r="M168" i="6"/>
  <c r="BG168" i="6" s="1"/>
  <c r="J169" i="12"/>
  <c r="L169" i="12"/>
  <c r="H170" i="5"/>
  <c r="B170" i="6"/>
  <c r="C171" i="5"/>
  <c r="D170" i="5"/>
  <c r="B170" i="12" s="1"/>
  <c r="AD170" i="5"/>
  <c r="J170" i="5"/>
  <c r="A170" i="12"/>
  <c r="E170" i="5"/>
  <c r="B170" i="5"/>
  <c r="AE170" i="5"/>
  <c r="N170" i="5"/>
  <c r="D170" i="6" s="1"/>
  <c r="H170" i="6" s="1"/>
  <c r="T170" i="5" s="1"/>
  <c r="G170" i="12" s="1"/>
  <c r="G170" i="5"/>
  <c r="F170" i="5"/>
  <c r="K170" i="5"/>
  <c r="T168" i="5"/>
  <c r="G168" i="12" s="1"/>
  <c r="N169" i="6" l="1"/>
  <c r="AO169" i="6"/>
  <c r="AE169" i="6"/>
  <c r="AQ169" i="6"/>
  <c r="AI169" i="6"/>
  <c r="AF169" i="6"/>
  <c r="AN169" i="6"/>
  <c r="AT169" i="6"/>
  <c r="BE169" i="6"/>
  <c r="AJ169" i="6"/>
  <c r="AU169" i="6"/>
  <c r="AZ169" i="6"/>
  <c r="AR169" i="6"/>
  <c r="AK169" i="6"/>
  <c r="BG169" i="6"/>
  <c r="BF169" i="6"/>
  <c r="AS169" i="6"/>
  <c r="AY169" i="6"/>
  <c r="AD169" i="6"/>
  <c r="BB169" i="6"/>
  <c r="AX169" i="6"/>
  <c r="AC169" i="6"/>
  <c r="AB169" i="6"/>
  <c r="AG169" i="6"/>
  <c r="BA169" i="6"/>
  <c r="AM169" i="6"/>
  <c r="BC169" i="6"/>
  <c r="AH169" i="6"/>
  <c r="AP169" i="6"/>
  <c r="BD169" i="6"/>
  <c r="A170" i="6"/>
  <c r="M170" i="6" s="1"/>
  <c r="BC170" i="6" s="1"/>
  <c r="AY168" i="6"/>
  <c r="AP168" i="6"/>
  <c r="BC168" i="6"/>
  <c r="AS168" i="6"/>
  <c r="BE168" i="6"/>
  <c r="AR168" i="6"/>
  <c r="AO168" i="6"/>
  <c r="AE168" i="6"/>
  <c r="AQ168" i="6"/>
  <c r="AM168" i="6"/>
  <c r="BA168" i="6"/>
  <c r="AZ168" i="6"/>
  <c r="AU168" i="6"/>
  <c r="BF168" i="6"/>
  <c r="BD168" i="6"/>
  <c r="AH168" i="6"/>
  <c r="BB168" i="6"/>
  <c r="AC168" i="6"/>
  <c r="AD168" i="6"/>
  <c r="AT168" i="6"/>
  <c r="AN168" i="6"/>
  <c r="AG168" i="6"/>
  <c r="AX168" i="6"/>
  <c r="AB168" i="6"/>
  <c r="AJ168" i="6"/>
  <c r="AV168" i="6"/>
  <c r="AI168" i="6"/>
  <c r="AF168" i="6"/>
  <c r="K169" i="12"/>
  <c r="AK168" i="6"/>
  <c r="J170" i="12"/>
  <c r="L170" i="12"/>
  <c r="B171" i="6"/>
  <c r="AD171" i="5"/>
  <c r="C172" i="5"/>
  <c r="G171" i="5"/>
  <c r="N171" i="5"/>
  <c r="D171" i="6" s="1"/>
  <c r="A171" i="12"/>
  <c r="K171" i="5"/>
  <c r="AE171" i="5"/>
  <c r="J171" i="5"/>
  <c r="H171" i="5"/>
  <c r="D171" i="5"/>
  <c r="B171" i="12" s="1"/>
  <c r="E171" i="5"/>
  <c r="F171" i="5"/>
  <c r="B171" i="5"/>
  <c r="N170" i="6" l="1"/>
  <c r="BE170" i="6"/>
  <c r="AQ170" i="6"/>
  <c r="AX170" i="6"/>
  <c r="AT170" i="6"/>
  <c r="AC170" i="6"/>
  <c r="BF170" i="6"/>
  <c r="AP170" i="6"/>
  <c r="AF170" i="6"/>
  <c r="AD170" i="6"/>
  <c r="AU170" i="6"/>
  <c r="AB170" i="6"/>
  <c r="AR170" i="6"/>
  <c r="AH170" i="6"/>
  <c r="AG170" i="6"/>
  <c r="AK170" i="6"/>
  <c r="AI170" i="6"/>
  <c r="BA170" i="6"/>
  <c r="BB170" i="6"/>
  <c r="AY170" i="6"/>
  <c r="AN170" i="6"/>
  <c r="BD170" i="6"/>
  <c r="BG170" i="6"/>
  <c r="AS170" i="6"/>
  <c r="AZ170" i="6"/>
  <c r="AO170" i="6"/>
  <c r="AM170" i="6"/>
  <c r="AE170" i="6"/>
  <c r="AJ170" i="6"/>
  <c r="AV170" i="6"/>
  <c r="K170" i="12"/>
  <c r="A171" i="6"/>
  <c r="M171" i="6" s="1"/>
  <c r="AU171" i="6" s="1"/>
  <c r="J171" i="12"/>
  <c r="L171" i="12"/>
  <c r="H171" i="6"/>
  <c r="AE172" i="5"/>
  <c r="A172" i="12"/>
  <c r="K172" i="5"/>
  <c r="B172" i="5"/>
  <c r="G172" i="5"/>
  <c r="E172" i="5"/>
  <c r="J172" i="5"/>
  <c r="B172" i="6"/>
  <c r="F172" i="5"/>
  <c r="D172" i="5"/>
  <c r="B172" i="12" s="1"/>
  <c r="H172" i="5"/>
  <c r="N172" i="5"/>
  <c r="D172" i="6" s="1"/>
  <c r="AD172" i="5"/>
  <c r="C173" i="5"/>
  <c r="K171" i="12" l="1"/>
  <c r="N171" i="6"/>
  <c r="AV171" i="6"/>
  <c r="BD171" i="6"/>
  <c r="BE171" i="6"/>
  <c r="BC171" i="6"/>
  <c r="AY171" i="6"/>
  <c r="AC171" i="6"/>
  <c r="AN171" i="6"/>
  <c r="BA171" i="6"/>
  <c r="AP171" i="6"/>
  <c r="AQ171" i="6"/>
  <c r="AT171" i="6"/>
  <c r="AO171" i="6"/>
  <c r="AM171" i="6"/>
  <c r="AR171" i="6"/>
  <c r="AZ171" i="6"/>
  <c r="BF171" i="6"/>
  <c r="BG171" i="6"/>
  <c r="AS171" i="6"/>
  <c r="BB171" i="6"/>
  <c r="AG171" i="6"/>
  <c r="AX171" i="6"/>
  <c r="AD171" i="6"/>
  <c r="A172" i="6"/>
  <c r="N172" i="6" s="1"/>
  <c r="AI171" i="6"/>
  <c r="B173" i="6"/>
  <c r="F173" i="5"/>
  <c r="N173" i="5"/>
  <c r="D173" i="6" s="1"/>
  <c r="H173" i="6" s="1"/>
  <c r="T173" i="5" s="1"/>
  <c r="G173" i="12" s="1"/>
  <c r="K173" i="5"/>
  <c r="B173" i="5"/>
  <c r="E173" i="5"/>
  <c r="C174" i="5"/>
  <c r="A173" i="12"/>
  <c r="D173" i="5"/>
  <c r="B173" i="12" s="1"/>
  <c r="G173" i="5"/>
  <c r="AD173" i="5"/>
  <c r="J173" i="5"/>
  <c r="H173" i="5"/>
  <c r="AE173" i="5"/>
  <c r="AK171" i="6"/>
  <c r="T171" i="5"/>
  <c r="G171" i="12" s="1"/>
  <c r="AE171" i="6"/>
  <c r="H172" i="6"/>
  <c r="AF171" i="6"/>
  <c r="AH171" i="6"/>
  <c r="L172" i="12"/>
  <c r="J172" i="12"/>
  <c r="AB171" i="6"/>
  <c r="AJ171" i="6"/>
  <c r="M172" i="6" l="1"/>
  <c r="BG172" i="6" s="1"/>
  <c r="T172" i="5"/>
  <c r="G172" i="12" s="1"/>
  <c r="A173" i="6"/>
  <c r="M173" i="6" s="1"/>
  <c r="AF173" i="6" s="1"/>
  <c r="L173" i="12"/>
  <c r="J173" i="12"/>
  <c r="A174" i="12"/>
  <c r="N174" i="5"/>
  <c r="D174" i="6" s="1"/>
  <c r="H174" i="6" s="1"/>
  <c r="T174" i="5" s="1"/>
  <c r="G174" i="12" s="1"/>
  <c r="AD174" i="5"/>
  <c r="D174" i="5"/>
  <c r="B174" i="12" s="1"/>
  <c r="B174" i="5"/>
  <c r="E174" i="5"/>
  <c r="F174" i="5"/>
  <c r="AE174" i="5"/>
  <c r="C175" i="5"/>
  <c r="J174" i="5"/>
  <c r="G174" i="5"/>
  <c r="H174" i="5"/>
  <c r="K174" i="5"/>
  <c r="B174" i="6"/>
  <c r="K172" i="12"/>
  <c r="AZ172" i="6" l="1"/>
  <c r="AR172" i="6"/>
  <c r="AG172" i="6"/>
  <c r="AQ172" i="6"/>
  <c r="AY172" i="6"/>
  <c r="AC172" i="6"/>
  <c r="BB172" i="6"/>
  <c r="AS172" i="6"/>
  <c r="BF172" i="6"/>
  <c r="AU172" i="6"/>
  <c r="AX172" i="6"/>
  <c r="AI172" i="6"/>
  <c r="AM172" i="6"/>
  <c r="AN172" i="6"/>
  <c r="AD172" i="6"/>
  <c r="AJ172" i="6"/>
  <c r="AT172" i="6"/>
  <c r="BE172" i="6"/>
  <c r="AB172" i="6"/>
  <c r="BA172" i="6"/>
  <c r="BC172" i="6"/>
  <c r="AP172" i="6"/>
  <c r="AH172" i="6"/>
  <c r="AV172" i="6"/>
  <c r="BD172" i="6"/>
  <c r="AO172" i="6"/>
  <c r="AK172" i="6"/>
  <c r="AE172" i="6"/>
  <c r="AF172" i="6"/>
  <c r="AU173" i="6"/>
  <c r="BC173" i="6"/>
  <c r="AM173" i="6"/>
  <c r="H175" i="5"/>
  <c r="E175" i="5"/>
  <c r="B175" i="6"/>
  <c r="N175" i="5"/>
  <c r="D175" i="6" s="1"/>
  <c r="AD175" i="5"/>
  <c r="D175" i="5"/>
  <c r="B175" i="12" s="1"/>
  <c r="K175" i="5"/>
  <c r="A175" i="12"/>
  <c r="J175" i="5"/>
  <c r="B175" i="5"/>
  <c r="F175" i="5"/>
  <c r="AE175" i="5"/>
  <c r="G175" i="5"/>
  <c r="L174" i="12"/>
  <c r="J174" i="12"/>
  <c r="AZ173" i="6"/>
  <c r="AV173" i="6"/>
  <c r="AS173" i="6"/>
  <c r="AG173" i="6"/>
  <c r="AB173" i="6"/>
  <c r="AY173" i="6"/>
  <c r="N173" i="6"/>
  <c r="BB173" i="6"/>
  <c r="AC173" i="6"/>
  <c r="AT173" i="6"/>
  <c r="AR173" i="6"/>
  <c r="A174" i="6"/>
  <c r="M174" i="6" s="1"/>
  <c r="AC174" i="6" s="1"/>
  <c r="K173" i="12"/>
  <c r="AP173" i="6"/>
  <c r="AH173" i="6"/>
  <c r="AJ173" i="6"/>
  <c r="BE173" i="6"/>
  <c r="AD173" i="6"/>
  <c r="BD173" i="6"/>
  <c r="BA173" i="6"/>
  <c r="AI173" i="6"/>
  <c r="AO173" i="6"/>
  <c r="AX173" i="6"/>
  <c r="AN173" i="6"/>
  <c r="AQ173" i="6"/>
  <c r="BF173" i="6"/>
  <c r="AE173" i="6"/>
  <c r="AK173" i="6"/>
  <c r="BG173" i="6"/>
  <c r="L175" i="12" l="1"/>
  <c r="J175" i="12"/>
  <c r="AS174" i="6"/>
  <c r="AN174" i="6"/>
  <c r="BC174" i="6"/>
  <c r="K174" i="12"/>
  <c r="BB174" i="6"/>
  <c r="AO174" i="6"/>
  <c r="AJ174" i="6"/>
  <c r="AE174" i="6"/>
  <c r="AG174" i="6"/>
  <c r="AF174" i="6"/>
  <c r="BA174" i="6"/>
  <c r="AT174" i="6"/>
  <c r="AV174" i="6"/>
  <c r="AU174" i="6"/>
  <c r="H175" i="6"/>
  <c r="AP174" i="6"/>
  <c r="AX174" i="6"/>
  <c r="AY174" i="6"/>
  <c r="AZ174" i="6"/>
  <c r="AB174" i="6"/>
  <c r="BE174" i="6"/>
  <c r="A175" i="6"/>
  <c r="N175" i="6" s="1"/>
  <c r="AQ174" i="6"/>
  <c r="AH174" i="6"/>
  <c r="BG174" i="6"/>
  <c r="AK174" i="6"/>
  <c r="AR174" i="6"/>
  <c r="BD174" i="6"/>
  <c r="AD174" i="6"/>
  <c r="N174" i="6"/>
  <c r="AM174" i="6"/>
  <c r="BF174" i="6"/>
  <c r="AI174" i="6"/>
  <c r="K175" i="12" l="1"/>
  <c r="M175" i="6"/>
  <c r="AB175" i="6" s="1"/>
  <c r="T175" i="5"/>
  <c r="G175" i="12" s="1"/>
  <c r="C176" i="5"/>
  <c r="AN175" i="6" l="1"/>
  <c r="AY175" i="6"/>
  <c r="BB175" i="6"/>
  <c r="BA175" i="6"/>
  <c r="AM175" i="6"/>
  <c r="AG175" i="6"/>
  <c r="AO175" i="6"/>
  <c r="BG175" i="6"/>
  <c r="AK175" i="6"/>
  <c r="AV175" i="6"/>
  <c r="AQ175" i="6"/>
  <c r="AD175" i="6"/>
  <c r="AP175" i="6"/>
  <c r="AX175" i="6"/>
  <c r="AZ175" i="6"/>
  <c r="AC175" i="6"/>
  <c r="BD175" i="6"/>
  <c r="BC175" i="6"/>
  <c r="AF175" i="6"/>
  <c r="AJ175" i="6"/>
  <c r="AS175" i="6"/>
  <c r="BE175" i="6"/>
  <c r="BF175" i="6"/>
  <c r="AE175" i="6"/>
  <c r="AH175" i="6"/>
  <c r="AR175" i="6"/>
  <c r="AT175" i="6"/>
  <c r="AU175" i="6"/>
  <c r="AI175" i="6"/>
  <c r="F176" i="5"/>
  <c r="E176" i="5"/>
  <c r="B176" i="6"/>
  <c r="N176" i="5"/>
  <c r="D176" i="6" s="1"/>
  <c r="AE176" i="5"/>
  <c r="J176" i="5"/>
  <c r="D176" i="5"/>
  <c r="B176" i="12" s="1"/>
  <c r="K176" i="5"/>
  <c r="A176" i="12"/>
  <c r="AD176" i="5"/>
  <c r="B176" i="5"/>
  <c r="C177" i="5" s="1"/>
  <c r="G176" i="5"/>
  <c r="H176" i="5"/>
  <c r="A176" i="6" l="1"/>
  <c r="N176" i="6" s="1"/>
  <c r="L176" i="12"/>
  <c r="J176" i="12"/>
  <c r="B177" i="5"/>
  <c r="W177" i="5"/>
  <c r="H177" i="12" s="1"/>
  <c r="R177" i="5"/>
  <c r="AD177" i="5"/>
  <c r="A177" i="12"/>
  <c r="H177" i="5"/>
  <c r="F177" i="5"/>
  <c r="AE177" i="5"/>
  <c r="B177" i="6"/>
  <c r="A177" i="6" s="1"/>
  <c r="N177" i="5"/>
  <c r="D177" i="6" s="1"/>
  <c r="G177" i="5"/>
  <c r="E177" i="5"/>
  <c r="C178" i="5"/>
  <c r="H176" i="6"/>
  <c r="M176" i="6" l="1"/>
  <c r="BB176" i="6" s="1"/>
  <c r="K176" i="12"/>
  <c r="E177" i="12"/>
  <c r="F177" i="6"/>
  <c r="BF177" i="6"/>
  <c r="AU177" i="6"/>
  <c r="BD177" i="6"/>
  <c r="AM177" i="6"/>
  <c r="AT177" i="6"/>
  <c r="AQ177" i="6"/>
  <c r="AS177" i="6"/>
  <c r="BA177" i="6"/>
  <c r="AN177" i="6"/>
  <c r="BE177" i="6"/>
  <c r="M177" i="6"/>
  <c r="AR177" i="6" s="1"/>
  <c r="BC177" i="6"/>
  <c r="AP177" i="6"/>
  <c r="BG177" i="6"/>
  <c r="AV177" i="6"/>
  <c r="AO177" i="6"/>
  <c r="BB177" i="6"/>
  <c r="H177" i="6"/>
  <c r="AY177" i="6"/>
  <c r="AZ177" i="6"/>
  <c r="AX177" i="6"/>
  <c r="G177" i="6"/>
  <c r="N177" i="6"/>
  <c r="T176" i="5"/>
  <c r="G176" i="12" s="1"/>
  <c r="B178" i="6"/>
  <c r="AE178" i="5"/>
  <c r="C179" i="5"/>
  <c r="N178" i="5"/>
  <c r="D178" i="6" s="1"/>
  <c r="J178" i="5"/>
  <c r="F178" i="5"/>
  <c r="H178" i="5"/>
  <c r="D178" i="5"/>
  <c r="B178" i="12" s="1"/>
  <c r="K178" i="5"/>
  <c r="E178" i="5"/>
  <c r="AD178" i="5"/>
  <c r="G178" i="5"/>
  <c r="A178" i="12"/>
  <c r="B178" i="5"/>
  <c r="AZ176" i="6" l="1"/>
  <c r="BA176" i="6"/>
  <c r="AF176" i="6"/>
  <c r="AH176" i="6"/>
  <c r="AU176" i="6"/>
  <c r="AR176" i="6"/>
  <c r="AE176" i="6"/>
  <c r="AM176" i="6"/>
  <c r="AT176" i="6"/>
  <c r="AC176" i="6"/>
  <c r="AK176" i="6"/>
  <c r="BF176" i="6"/>
  <c r="AJ176" i="6"/>
  <c r="AV176" i="6"/>
  <c r="AY176" i="6"/>
  <c r="AS176" i="6"/>
  <c r="AG176" i="6"/>
  <c r="BC176" i="6"/>
  <c r="AP176" i="6"/>
  <c r="AN176" i="6"/>
  <c r="AQ176" i="6"/>
  <c r="BG176" i="6"/>
  <c r="AD176" i="6"/>
  <c r="BD176" i="6"/>
  <c r="AO176" i="6"/>
  <c r="AI176" i="6"/>
  <c r="AB176" i="6"/>
  <c r="BE176" i="6"/>
  <c r="AX176" i="6"/>
  <c r="AF177" i="6"/>
  <c r="A178" i="6"/>
  <c r="M178" i="6" s="1"/>
  <c r="AY178" i="6" s="1"/>
  <c r="AC177" i="6"/>
  <c r="AK177" i="6"/>
  <c r="AH177" i="6"/>
  <c r="AG177" i="6"/>
  <c r="H178" i="6"/>
  <c r="AI177" i="6"/>
  <c r="J179" i="5"/>
  <c r="C180" i="5"/>
  <c r="AE179" i="5"/>
  <c r="G179" i="5"/>
  <c r="E179" i="5"/>
  <c r="D179" i="5"/>
  <c r="B179" i="12" s="1"/>
  <c r="AD179" i="5"/>
  <c r="A179" i="12"/>
  <c r="H179" i="5"/>
  <c r="N179" i="5"/>
  <c r="D179" i="6" s="1"/>
  <c r="H179" i="6" s="1"/>
  <c r="T179" i="5" s="1"/>
  <c r="G179" i="12" s="1"/>
  <c r="B179" i="5"/>
  <c r="K179" i="5"/>
  <c r="B179" i="6"/>
  <c r="F179" i="5"/>
  <c r="T177" i="5"/>
  <c r="G177" i="12" s="1"/>
  <c r="AB177" i="6"/>
  <c r="L178" i="12"/>
  <c r="J178" i="12"/>
  <c r="AE177" i="6"/>
  <c r="AD177" i="6"/>
  <c r="AJ177" i="6"/>
  <c r="N178" i="6" l="1"/>
  <c r="AT178" i="6"/>
  <c r="BA178" i="6"/>
  <c r="BD178" i="6"/>
  <c r="AM178" i="6"/>
  <c r="AX178" i="6"/>
  <c r="AZ178" i="6"/>
  <c r="AO178" i="6"/>
  <c r="BB178" i="6"/>
  <c r="BF178" i="6"/>
  <c r="AV178" i="6"/>
  <c r="BC178" i="6"/>
  <c r="AQ178" i="6"/>
  <c r="AP178" i="6"/>
  <c r="BG178" i="6"/>
  <c r="AU178" i="6"/>
  <c r="AR178" i="6"/>
  <c r="AN178" i="6"/>
  <c r="AI178" i="6"/>
  <c r="AS178" i="6"/>
  <c r="BE178" i="6"/>
  <c r="AF178" i="6"/>
  <c r="AE178" i="6"/>
  <c r="AK178" i="6"/>
  <c r="AD178" i="6"/>
  <c r="G180" i="5"/>
  <c r="AD180" i="5"/>
  <c r="A180" i="12"/>
  <c r="B180" i="5"/>
  <c r="C181" i="5"/>
  <c r="F180" i="5"/>
  <c r="K180" i="5"/>
  <c r="E180" i="5"/>
  <c r="J180" i="5"/>
  <c r="N180" i="5"/>
  <c r="D180" i="6" s="1"/>
  <c r="B180" i="6"/>
  <c r="AE180" i="5"/>
  <c r="H180" i="5"/>
  <c r="D180" i="5"/>
  <c r="B180" i="12" s="1"/>
  <c r="K178" i="12"/>
  <c r="L179" i="12"/>
  <c r="J179" i="12"/>
  <c r="T178" i="5"/>
  <c r="G178" i="12" s="1"/>
  <c r="AJ178" i="6"/>
  <c r="AH178" i="6"/>
  <c r="AC178" i="6"/>
  <c r="AG178" i="6"/>
  <c r="A179" i="6"/>
  <c r="AB178" i="6"/>
  <c r="K179" i="12" l="1"/>
  <c r="N179" i="6"/>
  <c r="M179" i="6"/>
  <c r="A181" i="12"/>
  <c r="F181" i="5"/>
  <c r="D181" i="5"/>
  <c r="B181" i="12" s="1"/>
  <c r="AD181" i="5"/>
  <c r="C182" i="5"/>
  <c r="K181" i="5"/>
  <c r="B181" i="5"/>
  <c r="E181" i="5"/>
  <c r="N181" i="5"/>
  <c r="D181" i="6" s="1"/>
  <c r="B181" i="6"/>
  <c r="H181" i="5"/>
  <c r="AE181" i="5"/>
  <c r="G181" i="5"/>
  <c r="J181" i="5"/>
  <c r="A180" i="6"/>
  <c r="N180" i="6" s="1"/>
  <c r="J180" i="12"/>
  <c r="L180" i="12"/>
  <c r="H180" i="6"/>
  <c r="A181" i="6" l="1"/>
  <c r="N181" i="6" s="1"/>
  <c r="M180" i="6"/>
  <c r="AC180" i="6" s="1"/>
  <c r="J182" i="5"/>
  <c r="A182" i="12"/>
  <c r="K182" i="5"/>
  <c r="B182" i="6"/>
  <c r="C183" i="5"/>
  <c r="B182" i="5"/>
  <c r="E182" i="5"/>
  <c r="F182" i="5"/>
  <c r="D182" i="5"/>
  <c r="B182" i="12" s="1"/>
  <c r="G182" i="5"/>
  <c r="H182" i="5"/>
  <c r="AE182" i="5"/>
  <c r="AD182" i="5"/>
  <c r="N182" i="5"/>
  <c r="D182" i="6" s="1"/>
  <c r="H182" i="6" s="1"/>
  <c r="T182" i="5" s="1"/>
  <c r="G182" i="12" s="1"/>
  <c r="T180" i="5"/>
  <c r="G180" i="12" s="1"/>
  <c r="K180" i="12"/>
  <c r="H181" i="6"/>
  <c r="L181" i="12"/>
  <c r="J181" i="12"/>
  <c r="AJ179" i="6"/>
  <c r="BG179" i="6"/>
  <c r="AT179" i="6"/>
  <c r="AS179" i="6"/>
  <c r="AG179" i="6"/>
  <c r="AH179" i="6"/>
  <c r="AI179" i="6"/>
  <c r="AB179" i="6"/>
  <c r="AF179" i="6"/>
  <c r="AD179" i="6"/>
  <c r="AU179" i="6"/>
  <c r="BA179" i="6"/>
  <c r="AY179" i="6"/>
  <c r="AV179" i="6"/>
  <c r="AZ179" i="6"/>
  <c r="AX179" i="6"/>
  <c r="AE179" i="6"/>
  <c r="AQ179" i="6"/>
  <c r="BB179" i="6"/>
  <c r="AK179" i="6"/>
  <c r="AN179" i="6"/>
  <c r="AP179" i="6"/>
  <c r="BF179" i="6"/>
  <c r="AO179" i="6"/>
  <c r="BD179" i="6"/>
  <c r="BE179" i="6"/>
  <c r="AM179" i="6"/>
  <c r="AR179" i="6"/>
  <c r="AC179" i="6"/>
  <c r="BC179" i="6"/>
  <c r="M181" i="6" l="1"/>
  <c r="AM181" i="6" s="1"/>
  <c r="AM180" i="6"/>
  <c r="BF180" i="6"/>
  <c r="AB180" i="6"/>
  <c r="AF180" i="6"/>
  <c r="AV180" i="6"/>
  <c r="BC180" i="6"/>
  <c r="AS180" i="6"/>
  <c r="AH180" i="6"/>
  <c r="AR180" i="6"/>
  <c r="AT180" i="6"/>
  <c r="AE180" i="6"/>
  <c r="AD180" i="6"/>
  <c r="AO180" i="6"/>
  <c r="BA180" i="6"/>
  <c r="AI180" i="6"/>
  <c r="AZ180" i="6"/>
  <c r="AX180" i="6"/>
  <c r="AK180" i="6"/>
  <c r="AN180" i="6"/>
  <c r="BE180" i="6"/>
  <c r="BD180" i="6"/>
  <c r="AG180" i="6"/>
  <c r="BB180" i="6"/>
  <c r="AP180" i="6"/>
  <c r="AQ180" i="6"/>
  <c r="AJ180" i="6"/>
  <c r="BG180" i="6"/>
  <c r="AU180" i="6"/>
  <c r="AY180" i="6"/>
  <c r="T181" i="5"/>
  <c r="G181" i="12" s="1"/>
  <c r="G183" i="5"/>
  <c r="D183" i="5"/>
  <c r="B183" i="12" s="1"/>
  <c r="K183" i="5"/>
  <c r="B183" i="6"/>
  <c r="H183" i="5"/>
  <c r="AD183" i="5"/>
  <c r="A183" i="12"/>
  <c r="N183" i="5"/>
  <c r="D183" i="6" s="1"/>
  <c r="H183" i="6" s="1"/>
  <c r="T183" i="5" s="1"/>
  <c r="G183" i="12" s="1"/>
  <c r="J183" i="5"/>
  <c r="B183" i="5"/>
  <c r="C184" i="5" s="1"/>
  <c r="AE183" i="5"/>
  <c r="E183" i="5"/>
  <c r="F183" i="5"/>
  <c r="A182" i="6"/>
  <c r="K181" i="12"/>
  <c r="J182" i="12"/>
  <c r="L182" i="12"/>
  <c r="AK181" i="6" l="1"/>
  <c r="AP181" i="6"/>
  <c r="BA181" i="6"/>
  <c r="AQ181" i="6"/>
  <c r="AV181" i="6"/>
  <c r="AU181" i="6"/>
  <c r="BG181" i="6"/>
  <c r="AE181" i="6"/>
  <c r="AZ181" i="6"/>
  <c r="BB181" i="6"/>
  <c r="AO181" i="6"/>
  <c r="AI181" i="6"/>
  <c r="AN181" i="6"/>
  <c r="AB181" i="6"/>
  <c r="AH181" i="6"/>
  <c r="AY181" i="6"/>
  <c r="BE181" i="6"/>
  <c r="AD181" i="6"/>
  <c r="AR181" i="6"/>
  <c r="AG181" i="6"/>
  <c r="BF181" i="6"/>
  <c r="AT181" i="6"/>
  <c r="AX181" i="6"/>
  <c r="BD181" i="6"/>
  <c r="AJ181" i="6"/>
  <c r="AC181" i="6"/>
  <c r="AS181" i="6"/>
  <c r="BC181" i="6"/>
  <c r="AF181" i="6"/>
  <c r="K182" i="12"/>
  <c r="A183" i="6"/>
  <c r="E184" i="5"/>
  <c r="R184" i="5"/>
  <c r="A184" i="12"/>
  <c r="F184" i="5"/>
  <c r="C185" i="5"/>
  <c r="G184" i="5"/>
  <c r="H184" i="5"/>
  <c r="B184" i="6"/>
  <c r="A184" i="6" s="1"/>
  <c r="AE184" i="5"/>
  <c r="B184" i="5"/>
  <c r="W184" i="5"/>
  <c r="H184" i="12" s="1"/>
  <c r="AD184" i="5"/>
  <c r="N184" i="5"/>
  <c r="D184" i="6" s="1"/>
  <c r="J183" i="12"/>
  <c r="L183" i="12"/>
  <c r="M182" i="6"/>
  <c r="N182" i="6"/>
  <c r="AG182" i="6" l="1"/>
  <c r="AP182" i="6"/>
  <c r="AN182" i="6"/>
  <c r="AD182" i="6"/>
  <c r="AC182" i="6"/>
  <c r="BD182" i="6"/>
  <c r="AE182" i="6"/>
  <c r="AZ182" i="6"/>
  <c r="AM182" i="6"/>
  <c r="BB182" i="6"/>
  <c r="AI182" i="6"/>
  <c r="AR182" i="6"/>
  <c r="BF182" i="6"/>
  <c r="AX182" i="6"/>
  <c r="AH182" i="6"/>
  <c r="BG182" i="6"/>
  <c r="BC182" i="6"/>
  <c r="AO182" i="6"/>
  <c r="BE182" i="6"/>
  <c r="AT182" i="6"/>
  <c r="AF182" i="6"/>
  <c r="AS182" i="6"/>
  <c r="AQ182" i="6"/>
  <c r="AU182" i="6"/>
  <c r="AB182" i="6"/>
  <c r="BA182" i="6"/>
  <c r="AV182" i="6"/>
  <c r="AJ182" i="6"/>
  <c r="AY182" i="6"/>
  <c r="AK182" i="6"/>
  <c r="BD184" i="6"/>
  <c r="BE184" i="6"/>
  <c r="AS184" i="6"/>
  <c r="AU184" i="6"/>
  <c r="N184" i="6"/>
  <c r="AR184" i="6"/>
  <c r="AX184" i="6"/>
  <c r="AT184" i="6"/>
  <c r="AY184" i="6"/>
  <c r="AQ184" i="6"/>
  <c r="AN184" i="6"/>
  <c r="BC184" i="6"/>
  <c r="G184" i="6"/>
  <c r="AZ184" i="6"/>
  <c r="AP184" i="6"/>
  <c r="AO184" i="6"/>
  <c r="BF184" i="6"/>
  <c r="BG184" i="6"/>
  <c r="BA184" i="6"/>
  <c r="M184" i="6"/>
  <c r="BB184" i="6"/>
  <c r="AV184" i="6"/>
  <c r="AM184" i="6"/>
  <c r="H184" i="6"/>
  <c r="T184" i="5" s="1"/>
  <c r="G184" i="12" s="1"/>
  <c r="F184" i="6"/>
  <c r="E184" i="12"/>
  <c r="AE185" i="5"/>
  <c r="E185" i="5"/>
  <c r="G185" i="5"/>
  <c r="D185" i="5"/>
  <c r="B185" i="12" s="1"/>
  <c r="B185" i="6"/>
  <c r="F185" i="5"/>
  <c r="N185" i="5"/>
  <c r="D185" i="6" s="1"/>
  <c r="B185" i="5"/>
  <c r="AD185" i="5"/>
  <c r="A185" i="12"/>
  <c r="C186" i="5"/>
  <c r="K185" i="5"/>
  <c r="J185" i="5"/>
  <c r="H185" i="5"/>
  <c r="K183" i="12"/>
  <c r="M183" i="6"/>
  <c r="N183" i="6"/>
  <c r="AI184" i="6" l="1"/>
  <c r="AK184" i="6"/>
  <c r="AF184" i="6"/>
  <c r="AC184" i="6"/>
  <c r="J186" i="5"/>
  <c r="F186" i="5"/>
  <c r="H186" i="5"/>
  <c r="N186" i="5"/>
  <c r="D186" i="6" s="1"/>
  <c r="AE186" i="5"/>
  <c r="B186" i="6"/>
  <c r="A186" i="12"/>
  <c r="D186" i="5"/>
  <c r="B186" i="12" s="1"/>
  <c r="G186" i="5"/>
  <c r="AD186" i="5"/>
  <c r="C187" i="5"/>
  <c r="B186" i="5"/>
  <c r="K186" i="5"/>
  <c r="E186" i="5"/>
  <c r="H185" i="6"/>
  <c r="AE184" i="6"/>
  <c r="AG184" i="6"/>
  <c r="A185" i="6"/>
  <c r="M185" i="6" s="1"/>
  <c r="BC185" i="6" s="1"/>
  <c r="AD184" i="6"/>
  <c r="J185" i="12"/>
  <c r="L185" i="12"/>
  <c r="AZ183" i="6"/>
  <c r="AS183" i="6"/>
  <c r="BA183" i="6"/>
  <c r="AT183" i="6"/>
  <c r="AN183" i="6"/>
  <c r="AM183" i="6"/>
  <c r="AX183" i="6"/>
  <c r="AD183" i="6"/>
  <c r="AB183" i="6"/>
  <c r="AC183" i="6"/>
  <c r="AU183" i="6"/>
  <c r="BG183" i="6"/>
  <c r="BF183" i="6"/>
  <c r="AK183" i="6"/>
  <c r="AV183" i="6"/>
  <c r="AH183" i="6"/>
  <c r="BB183" i="6"/>
  <c r="AF183" i="6"/>
  <c r="BE183" i="6"/>
  <c r="AO183" i="6"/>
  <c r="AY183" i="6"/>
  <c r="BC183" i="6"/>
  <c r="AP183" i="6"/>
  <c r="AR183" i="6"/>
  <c r="BD183" i="6"/>
  <c r="AE183" i="6"/>
  <c r="AQ183" i="6"/>
  <c r="AG183" i="6"/>
  <c r="AI183" i="6"/>
  <c r="AJ183" i="6"/>
  <c r="AJ184" i="6"/>
  <c r="AB184" i="6"/>
  <c r="AH184" i="6"/>
  <c r="K185" i="12" l="1"/>
  <c r="N185" i="6"/>
  <c r="AB185" i="6"/>
  <c r="AT185" i="6"/>
  <c r="AM185" i="6"/>
  <c r="BD185" i="6"/>
  <c r="T185" i="5"/>
  <c r="G185" i="12" s="1"/>
  <c r="AI185" i="6"/>
  <c r="AK185" i="6"/>
  <c r="J186" i="12"/>
  <c r="L186" i="12"/>
  <c r="AU185" i="6"/>
  <c r="BF185" i="6"/>
  <c r="AO185" i="6"/>
  <c r="A186" i="6"/>
  <c r="N186" i="6" s="1"/>
  <c r="BB185" i="6"/>
  <c r="AJ185" i="6"/>
  <c r="AG185" i="6"/>
  <c r="AZ185" i="6"/>
  <c r="AH185" i="6"/>
  <c r="BG185" i="6"/>
  <c r="AV185" i="6"/>
  <c r="H186" i="6"/>
  <c r="BA185" i="6"/>
  <c r="AF185" i="6"/>
  <c r="AE185" i="6"/>
  <c r="AP185" i="6"/>
  <c r="B187" i="5"/>
  <c r="G187" i="5"/>
  <c r="K187" i="5"/>
  <c r="A187" i="12"/>
  <c r="J187" i="5"/>
  <c r="D187" i="5"/>
  <c r="B187" i="12" s="1"/>
  <c r="B187" i="6"/>
  <c r="N187" i="5"/>
  <c r="D187" i="6" s="1"/>
  <c r="H187" i="6" s="1"/>
  <c r="T187" i="5" s="1"/>
  <c r="G187" i="12" s="1"/>
  <c r="AE187" i="5"/>
  <c r="E187" i="5"/>
  <c r="F187" i="5"/>
  <c r="C188" i="5"/>
  <c r="H187" i="5"/>
  <c r="AD187" i="5"/>
  <c r="BE185" i="6"/>
  <c r="AR185" i="6"/>
  <c r="AN185" i="6"/>
  <c r="AQ185" i="6"/>
  <c r="AD185" i="6"/>
  <c r="AC185" i="6"/>
  <c r="AY185" i="6"/>
  <c r="AS185" i="6"/>
  <c r="AX185" i="6"/>
  <c r="A187" i="6" l="1"/>
  <c r="N187" i="6" s="1"/>
  <c r="AE188" i="5"/>
  <c r="D188" i="5"/>
  <c r="B188" i="12" s="1"/>
  <c r="H188" i="5"/>
  <c r="F188" i="5"/>
  <c r="A188" i="12"/>
  <c r="E188" i="5"/>
  <c r="J188" i="5"/>
  <c r="N188" i="5"/>
  <c r="D188" i="6" s="1"/>
  <c r="G188" i="5"/>
  <c r="AD188" i="5"/>
  <c r="B188" i="6"/>
  <c r="B188" i="5"/>
  <c r="K188" i="5"/>
  <c r="L187" i="12"/>
  <c r="J187" i="12"/>
  <c r="M186" i="6"/>
  <c r="AK186" i="6" s="1"/>
  <c r="T186" i="5"/>
  <c r="G186" i="12" s="1"/>
  <c r="K186" i="12"/>
  <c r="M187" i="6" l="1"/>
  <c r="AG187" i="6" s="1"/>
  <c r="AG186" i="6"/>
  <c r="K187" i="12"/>
  <c r="AJ186" i="6"/>
  <c r="J188" i="12"/>
  <c r="L188" i="12"/>
  <c r="AF186" i="6"/>
  <c r="AH186" i="6"/>
  <c r="AB186" i="6"/>
  <c r="AI186" i="6"/>
  <c r="A188" i="6"/>
  <c r="N188" i="6" s="1"/>
  <c r="H188" i="6"/>
  <c r="AC186" i="6"/>
  <c r="AD186" i="6"/>
  <c r="C189" i="5"/>
  <c r="AE186" i="6"/>
  <c r="AR186" i="6"/>
  <c r="BB186" i="6"/>
  <c r="AQ186" i="6"/>
  <c r="BF186" i="6"/>
  <c r="AX186" i="6"/>
  <c r="AY186" i="6"/>
  <c r="BC186" i="6"/>
  <c r="AS186" i="6"/>
  <c r="AU186" i="6"/>
  <c r="AT186" i="6"/>
  <c r="AP186" i="6"/>
  <c r="AM186" i="6"/>
  <c r="AZ186" i="6"/>
  <c r="AO186" i="6"/>
  <c r="AV186" i="6"/>
  <c r="BG186" i="6"/>
  <c r="BA186" i="6"/>
  <c r="BE186" i="6"/>
  <c r="BD186" i="6"/>
  <c r="AN186" i="6"/>
  <c r="M188" i="6" l="1"/>
  <c r="BB188" i="6" s="1"/>
  <c r="AX187" i="6"/>
  <c r="AE187" i="6"/>
  <c r="AP187" i="6"/>
  <c r="AB187" i="6"/>
  <c r="AR187" i="6"/>
  <c r="BE187" i="6"/>
  <c r="AO187" i="6"/>
  <c r="AD187" i="6"/>
  <c r="AN187" i="6"/>
  <c r="AT187" i="6"/>
  <c r="BD187" i="6"/>
  <c r="AK187" i="6"/>
  <c r="AY187" i="6"/>
  <c r="AS187" i="6"/>
  <c r="AZ187" i="6"/>
  <c r="AM187" i="6"/>
  <c r="AH187" i="6"/>
  <c r="BA187" i="6"/>
  <c r="BG187" i="6"/>
  <c r="AV187" i="6"/>
  <c r="AC187" i="6"/>
  <c r="AQ187" i="6"/>
  <c r="AF187" i="6"/>
  <c r="BF187" i="6"/>
  <c r="AI187" i="6"/>
  <c r="BB187" i="6"/>
  <c r="AJ187" i="6"/>
  <c r="AU187" i="6"/>
  <c r="BC187" i="6"/>
  <c r="K188" i="12"/>
  <c r="A189" i="12"/>
  <c r="AD189" i="5"/>
  <c r="G189" i="5"/>
  <c r="B189" i="6"/>
  <c r="D189" i="5"/>
  <c r="B189" i="12" s="1"/>
  <c r="B189" i="5"/>
  <c r="C190" i="5" s="1"/>
  <c r="E189" i="5"/>
  <c r="K189" i="5"/>
  <c r="N189" i="5"/>
  <c r="D189" i="6" s="1"/>
  <c r="AE189" i="5"/>
  <c r="H189" i="5"/>
  <c r="F189" i="5"/>
  <c r="J189" i="5"/>
  <c r="T188" i="5"/>
  <c r="G188" i="12" s="1"/>
  <c r="AN188" i="6" l="1"/>
  <c r="AT188" i="6"/>
  <c r="BG188" i="6"/>
  <c r="AG188" i="6"/>
  <c r="AZ188" i="6"/>
  <c r="AB188" i="6"/>
  <c r="AR188" i="6"/>
  <c r="AF188" i="6"/>
  <c r="AD188" i="6"/>
  <c r="AS188" i="6"/>
  <c r="AY188" i="6"/>
  <c r="AM188" i="6"/>
  <c r="BD188" i="6"/>
  <c r="AI188" i="6"/>
  <c r="AE188" i="6"/>
  <c r="BC188" i="6"/>
  <c r="BA188" i="6"/>
  <c r="AQ188" i="6"/>
  <c r="AC188" i="6"/>
  <c r="AJ188" i="6"/>
  <c r="AU188" i="6"/>
  <c r="AO188" i="6"/>
  <c r="AV188" i="6"/>
  <c r="BE188" i="6"/>
  <c r="AH188" i="6"/>
  <c r="AX188" i="6"/>
  <c r="AP188" i="6"/>
  <c r="BF188" i="6"/>
  <c r="AK188" i="6"/>
  <c r="H189" i="6"/>
  <c r="L189" i="12"/>
  <c r="J189" i="12"/>
  <c r="F190" i="5"/>
  <c r="A190" i="12"/>
  <c r="B190" i="5"/>
  <c r="C191" i="5" s="1"/>
  <c r="B190" i="6"/>
  <c r="A190" i="6" s="1"/>
  <c r="E190" i="5"/>
  <c r="R190" i="5"/>
  <c r="W190" i="5"/>
  <c r="H190" i="12" s="1"/>
  <c r="G190" i="5"/>
  <c r="H190" i="5"/>
  <c r="AE190" i="5"/>
  <c r="N190" i="5"/>
  <c r="D190" i="6" s="1"/>
  <c r="AD190" i="5"/>
  <c r="A189" i="6"/>
  <c r="N189" i="6" s="1"/>
  <c r="K189" i="12" l="1"/>
  <c r="AN190" i="6"/>
  <c r="AY190" i="6"/>
  <c r="AV190" i="6"/>
  <c r="BE190" i="6"/>
  <c r="H190" i="6"/>
  <c r="BB190" i="6"/>
  <c r="AZ190" i="6"/>
  <c r="AO190" i="6"/>
  <c r="AR190" i="6"/>
  <c r="AQ190" i="6"/>
  <c r="AX190" i="6"/>
  <c r="BG190" i="6"/>
  <c r="AS190" i="6"/>
  <c r="BC190" i="6"/>
  <c r="G190" i="6"/>
  <c r="BD190" i="6"/>
  <c r="AM190" i="6"/>
  <c r="AP190" i="6"/>
  <c r="BA190" i="6"/>
  <c r="AT190" i="6"/>
  <c r="N190" i="6"/>
  <c r="M190" i="6"/>
  <c r="AU190" i="6" s="1"/>
  <c r="BF190" i="6"/>
  <c r="N191" i="5"/>
  <c r="D191" i="6" s="1"/>
  <c r="C192" i="5"/>
  <c r="H191" i="5"/>
  <c r="AE191" i="5"/>
  <c r="F191" i="5"/>
  <c r="W191" i="5"/>
  <c r="H191" i="12" s="1"/>
  <c r="B191" i="6"/>
  <c r="G191" i="5"/>
  <c r="B191" i="5"/>
  <c r="AD191" i="5"/>
  <c r="A191" i="12"/>
  <c r="E191" i="5"/>
  <c r="R191" i="5"/>
  <c r="M189" i="6"/>
  <c r="AB189" i="6" s="1"/>
  <c r="E190" i="12"/>
  <c r="F190" i="6"/>
  <c r="T189" i="5"/>
  <c r="G189" i="12" s="1"/>
  <c r="AE190" i="6" l="1"/>
  <c r="AH190" i="6"/>
  <c r="AK190" i="6"/>
  <c r="AB190" i="6"/>
  <c r="J192" i="5"/>
  <c r="K192" i="5"/>
  <c r="AE192" i="5"/>
  <c r="A192" i="12"/>
  <c r="H192" i="5"/>
  <c r="B192" i="6"/>
  <c r="E192" i="5"/>
  <c r="N192" i="5"/>
  <c r="D192" i="6" s="1"/>
  <c r="H192" i="6" s="1"/>
  <c r="T192" i="5" s="1"/>
  <c r="G192" i="12" s="1"/>
  <c r="D192" i="5"/>
  <c r="B192" i="12" s="1"/>
  <c r="AD192" i="5"/>
  <c r="F192" i="5"/>
  <c r="B192" i="5"/>
  <c r="G192" i="5"/>
  <c r="C193" i="5"/>
  <c r="AS191" i="6"/>
  <c r="AV191" i="6"/>
  <c r="AT191" i="6"/>
  <c r="BB191" i="6"/>
  <c r="BE191" i="6"/>
  <c r="AM191" i="6"/>
  <c r="BF191" i="6"/>
  <c r="BG191" i="6"/>
  <c r="AY191" i="6"/>
  <c r="AX191" i="6"/>
  <c r="BC191" i="6"/>
  <c r="G191" i="6"/>
  <c r="AP191" i="6"/>
  <c r="AU191" i="6"/>
  <c r="N191" i="6"/>
  <c r="AQ191" i="6"/>
  <c r="M191" i="6"/>
  <c r="AR191" i="6" s="1"/>
  <c r="BD191" i="6"/>
  <c r="H191" i="6"/>
  <c r="T191" i="5" s="1"/>
  <c r="G191" i="12" s="1"/>
  <c r="AN191" i="6"/>
  <c r="BA191" i="6"/>
  <c r="AZ191" i="6"/>
  <c r="AO191" i="6"/>
  <c r="T190" i="5"/>
  <c r="G190" i="12" s="1"/>
  <c r="AI190" i="6"/>
  <c r="AJ190" i="6"/>
  <c r="AG190" i="6"/>
  <c r="AC190" i="6"/>
  <c r="AF190" i="6"/>
  <c r="A191" i="6"/>
  <c r="AC189" i="6"/>
  <c r="AJ189" i="6"/>
  <c r="BE189" i="6"/>
  <c r="AG189" i="6"/>
  <c r="AT189" i="6"/>
  <c r="AP189" i="6"/>
  <c r="AN189" i="6"/>
  <c r="AY189" i="6"/>
  <c r="AU189" i="6"/>
  <c r="AR189" i="6"/>
  <c r="AE189" i="6"/>
  <c r="AF189" i="6"/>
  <c r="AD189" i="6"/>
  <c r="BG189" i="6"/>
  <c r="BC189" i="6"/>
  <c r="BA189" i="6"/>
  <c r="AK189" i="6"/>
  <c r="AH189" i="6"/>
  <c r="AS189" i="6"/>
  <c r="BB189" i="6"/>
  <c r="AM189" i="6"/>
  <c r="AO189" i="6"/>
  <c r="AQ189" i="6"/>
  <c r="AV189" i="6"/>
  <c r="AZ189" i="6"/>
  <c r="BD189" i="6"/>
  <c r="AX189" i="6"/>
  <c r="BF189" i="6"/>
  <c r="E191" i="12"/>
  <c r="F191" i="6"/>
  <c r="AD190" i="6"/>
  <c r="AI189" i="6"/>
  <c r="AF191" i="6" l="1"/>
  <c r="AD191" i="6"/>
  <c r="AH191" i="6"/>
  <c r="AG191" i="6"/>
  <c r="AE191" i="6"/>
  <c r="AI191" i="6"/>
  <c r="AC191" i="6"/>
  <c r="G193" i="5"/>
  <c r="H193" i="5"/>
  <c r="B193" i="6"/>
  <c r="A193" i="12"/>
  <c r="F193" i="5"/>
  <c r="C194" i="5"/>
  <c r="K193" i="5"/>
  <c r="B193" i="5"/>
  <c r="J193" i="5"/>
  <c r="E193" i="5"/>
  <c r="D193" i="5"/>
  <c r="B193" i="12" s="1"/>
  <c r="AE193" i="5"/>
  <c r="AD193" i="5"/>
  <c r="N193" i="5"/>
  <c r="D193" i="6" s="1"/>
  <c r="A192" i="6"/>
  <c r="N192" i="6" s="1"/>
  <c r="J192" i="12"/>
  <c r="L192" i="12"/>
  <c r="AJ191" i="6"/>
  <c r="AK191" i="6"/>
  <c r="AB191" i="6"/>
  <c r="K192" i="12" l="1"/>
  <c r="B194" i="5"/>
  <c r="E194" i="5"/>
  <c r="C195" i="5"/>
  <c r="AE194" i="5"/>
  <c r="H194" i="5"/>
  <c r="D194" i="5"/>
  <c r="B194" i="12" s="1"/>
  <c r="B194" i="6"/>
  <c r="N194" i="5"/>
  <c r="D194" i="6" s="1"/>
  <c r="J194" i="5"/>
  <c r="AD194" i="5"/>
  <c r="K194" i="5"/>
  <c r="F194" i="5"/>
  <c r="G194" i="5"/>
  <c r="A194" i="12"/>
  <c r="L193" i="12"/>
  <c r="J193" i="12"/>
  <c r="H193" i="6"/>
  <c r="T193" i="5" s="1"/>
  <c r="G193" i="12" s="1"/>
  <c r="A193" i="6"/>
  <c r="N193" i="6" s="1"/>
  <c r="M192" i="6"/>
  <c r="K193" i="12" l="1"/>
  <c r="A194" i="6"/>
  <c r="M194" i="6" s="1"/>
  <c r="BC194" i="6" s="1"/>
  <c r="M193" i="6"/>
  <c r="AF193" i="6" s="1"/>
  <c r="L194" i="12"/>
  <c r="J194" i="12"/>
  <c r="B195" i="6"/>
  <c r="N195" i="5"/>
  <c r="D195" i="6" s="1"/>
  <c r="H195" i="6" s="1"/>
  <c r="T195" i="5" s="1"/>
  <c r="G195" i="12" s="1"/>
  <c r="F195" i="5"/>
  <c r="H195" i="5"/>
  <c r="AD195" i="5"/>
  <c r="D195" i="5"/>
  <c r="B195" i="12" s="1"/>
  <c r="AE195" i="5"/>
  <c r="A195" i="12"/>
  <c r="C196" i="5"/>
  <c r="E195" i="5"/>
  <c r="K195" i="5"/>
  <c r="G195" i="5"/>
  <c r="B195" i="5"/>
  <c r="J195" i="5"/>
  <c r="AH192" i="6"/>
  <c r="AY192" i="6"/>
  <c r="AS192" i="6"/>
  <c r="AT192" i="6"/>
  <c r="AG192" i="6"/>
  <c r="AV192" i="6"/>
  <c r="AX192" i="6"/>
  <c r="AJ192" i="6"/>
  <c r="AF192" i="6"/>
  <c r="BF192" i="6"/>
  <c r="BC192" i="6"/>
  <c r="AN192" i="6"/>
  <c r="BE192" i="6"/>
  <c r="AM192" i="6"/>
  <c r="AE192" i="6"/>
  <c r="AC192" i="6"/>
  <c r="BA192" i="6"/>
  <c r="BG192" i="6"/>
  <c r="AU192" i="6"/>
  <c r="AK192" i="6"/>
  <c r="AI192" i="6"/>
  <c r="AR192" i="6"/>
  <c r="AO192" i="6"/>
  <c r="AD192" i="6"/>
  <c r="BD192" i="6"/>
  <c r="AQ192" i="6"/>
  <c r="BB192" i="6"/>
  <c r="AB192" i="6"/>
  <c r="AZ192" i="6"/>
  <c r="AP192" i="6"/>
  <c r="H194" i="6"/>
  <c r="N194" i="6" l="1"/>
  <c r="AK194" i="6"/>
  <c r="AK193" i="6"/>
  <c r="AX194" i="6"/>
  <c r="AU194" i="6"/>
  <c r="AB193" i="6"/>
  <c r="BD194" i="6"/>
  <c r="AH193" i="6"/>
  <c r="BF194" i="6"/>
  <c r="AY194" i="6"/>
  <c r="AS194" i="6"/>
  <c r="AT194" i="6"/>
  <c r="AM194" i="6"/>
  <c r="K194" i="12"/>
  <c r="AJ193" i="6"/>
  <c r="AG193" i="6"/>
  <c r="AD193" i="6"/>
  <c r="AQ194" i="6"/>
  <c r="AZ194" i="6"/>
  <c r="AR194" i="6"/>
  <c r="BA194" i="6"/>
  <c r="AO194" i="6"/>
  <c r="AC193" i="6"/>
  <c r="AN194" i="6"/>
  <c r="AP194" i="6"/>
  <c r="AV194" i="6"/>
  <c r="BG194" i="6"/>
  <c r="BE194" i="6"/>
  <c r="BB194" i="6"/>
  <c r="AE193" i="6"/>
  <c r="B196" i="6"/>
  <c r="E196" i="5"/>
  <c r="N196" i="5"/>
  <c r="D196" i="6" s="1"/>
  <c r="H196" i="6" s="1"/>
  <c r="T196" i="5" s="1"/>
  <c r="G196" i="12" s="1"/>
  <c r="G196" i="5"/>
  <c r="C197" i="5"/>
  <c r="D196" i="5"/>
  <c r="B196" i="12" s="1"/>
  <c r="F196" i="5"/>
  <c r="H196" i="5"/>
  <c r="A196" i="12"/>
  <c r="AE196" i="5"/>
  <c r="AD196" i="5"/>
  <c r="B196" i="5"/>
  <c r="J196" i="5"/>
  <c r="K196" i="5"/>
  <c r="A195" i="6"/>
  <c r="L195" i="12"/>
  <c r="J195" i="12"/>
  <c r="T194" i="5"/>
  <c r="G194" i="12" s="1"/>
  <c r="AB194" i="6"/>
  <c r="AG194" i="6"/>
  <c r="AD194" i="6"/>
  <c r="AJ194" i="6"/>
  <c r="AH194" i="6"/>
  <c r="AI194" i="6"/>
  <c r="AF194" i="6"/>
  <c r="AC194" i="6"/>
  <c r="BD193" i="6"/>
  <c r="BB193" i="6"/>
  <c r="BG193" i="6"/>
  <c r="AT193" i="6"/>
  <c r="AU193" i="6"/>
  <c r="AZ193" i="6"/>
  <c r="AP193" i="6"/>
  <c r="AX193" i="6"/>
  <c r="BF193" i="6"/>
  <c r="AQ193" i="6"/>
  <c r="AV193" i="6"/>
  <c r="AY193" i="6"/>
  <c r="AO193" i="6"/>
  <c r="BC193" i="6"/>
  <c r="BA193" i="6"/>
  <c r="BE193" i="6"/>
  <c r="AR193" i="6"/>
  <c r="AN193" i="6"/>
  <c r="AS193" i="6"/>
  <c r="AM193" i="6"/>
  <c r="AE194" i="6"/>
  <c r="AI193" i="6"/>
  <c r="K195" i="12" l="1"/>
  <c r="N197" i="5"/>
  <c r="D197" i="6" s="1"/>
  <c r="AE197" i="5"/>
  <c r="D197" i="5"/>
  <c r="B197" i="12" s="1"/>
  <c r="F197" i="5"/>
  <c r="H197" i="5"/>
  <c r="A197" i="12"/>
  <c r="J197" i="5"/>
  <c r="K197" i="5"/>
  <c r="B197" i="6"/>
  <c r="G197" i="5"/>
  <c r="E197" i="5"/>
  <c r="C198" i="5"/>
  <c r="AD197" i="5"/>
  <c r="B197" i="5"/>
  <c r="N195" i="6"/>
  <c r="M195" i="6"/>
  <c r="L196" i="12"/>
  <c r="J196" i="12"/>
  <c r="A196" i="6"/>
  <c r="K196" i="12" l="1"/>
  <c r="A197" i="6"/>
  <c r="N197" i="6" s="1"/>
  <c r="L197" i="12"/>
  <c r="J197" i="12"/>
  <c r="AC195" i="6"/>
  <c r="BB195" i="6"/>
  <c r="BF195" i="6"/>
  <c r="AF195" i="6"/>
  <c r="BA195" i="6"/>
  <c r="AO195" i="6"/>
  <c r="AI195" i="6"/>
  <c r="AP195" i="6"/>
  <c r="BD195" i="6"/>
  <c r="AD195" i="6"/>
  <c r="AZ195" i="6"/>
  <c r="AB195" i="6"/>
  <c r="AG195" i="6"/>
  <c r="AS195" i="6"/>
  <c r="AY195" i="6"/>
  <c r="AH195" i="6"/>
  <c r="BG195" i="6"/>
  <c r="AM195" i="6"/>
  <c r="AQ195" i="6"/>
  <c r="AJ195" i="6"/>
  <c r="AK195" i="6"/>
  <c r="AR195" i="6"/>
  <c r="AT195" i="6"/>
  <c r="AX195" i="6"/>
  <c r="BE195" i="6"/>
  <c r="AE195" i="6"/>
  <c r="BC195" i="6"/>
  <c r="AU195" i="6"/>
  <c r="AV195" i="6"/>
  <c r="AN195" i="6"/>
  <c r="E198" i="5"/>
  <c r="B198" i="6"/>
  <c r="K198" i="5"/>
  <c r="F198" i="5"/>
  <c r="C199" i="5"/>
  <c r="A198" i="12"/>
  <c r="H198" i="5"/>
  <c r="N198" i="5"/>
  <c r="D198" i="6" s="1"/>
  <c r="B198" i="5"/>
  <c r="AE198" i="5"/>
  <c r="G198" i="5"/>
  <c r="D198" i="5"/>
  <c r="B198" i="12" s="1"/>
  <c r="J198" i="5"/>
  <c r="AD198" i="5"/>
  <c r="N196" i="6"/>
  <c r="M196" i="6"/>
  <c r="H197" i="6"/>
  <c r="M197" i="6" l="1"/>
  <c r="BC197" i="6" s="1"/>
  <c r="K197" i="12"/>
  <c r="H198" i="6"/>
  <c r="T198" i="5" s="1"/>
  <c r="G198" i="12" s="1"/>
  <c r="L198" i="12"/>
  <c r="J198" i="12"/>
  <c r="AF196" i="6"/>
  <c r="AN196" i="6"/>
  <c r="AJ196" i="6"/>
  <c r="BE196" i="6"/>
  <c r="AH196" i="6"/>
  <c r="AS196" i="6"/>
  <c r="BC196" i="6"/>
  <c r="AD196" i="6"/>
  <c r="AP196" i="6"/>
  <c r="AX196" i="6"/>
  <c r="AR196" i="6"/>
  <c r="AM196" i="6"/>
  <c r="AB196" i="6"/>
  <c r="BB196" i="6"/>
  <c r="BD196" i="6"/>
  <c r="BA196" i="6"/>
  <c r="AT196" i="6"/>
  <c r="AY196" i="6"/>
  <c r="AQ196" i="6"/>
  <c r="AO196" i="6"/>
  <c r="BG196" i="6"/>
  <c r="AG196" i="6"/>
  <c r="AC196" i="6"/>
  <c r="AK196" i="6"/>
  <c r="AV196" i="6"/>
  <c r="AZ196" i="6"/>
  <c r="AI196" i="6"/>
  <c r="AU196" i="6"/>
  <c r="BF196" i="6"/>
  <c r="AE196" i="6"/>
  <c r="J199" i="5"/>
  <c r="B199" i="5"/>
  <c r="G199" i="5"/>
  <c r="AD199" i="5"/>
  <c r="K199" i="5"/>
  <c r="C200" i="5"/>
  <c r="H199" i="5"/>
  <c r="E199" i="5"/>
  <c r="D199" i="5"/>
  <c r="B199" i="12" s="1"/>
  <c r="A199" i="12"/>
  <c r="F199" i="5"/>
  <c r="AE199" i="5"/>
  <c r="B199" i="6"/>
  <c r="N199" i="5"/>
  <c r="D199" i="6" s="1"/>
  <c r="A198" i="6"/>
  <c r="M198" i="6" s="1"/>
  <c r="T197" i="5"/>
  <c r="G197" i="12" s="1"/>
  <c r="AF197" i="6" l="1"/>
  <c r="AI197" i="6"/>
  <c r="AQ197" i="6"/>
  <c r="AD197" i="6"/>
  <c r="AM197" i="6"/>
  <c r="BE197" i="6"/>
  <c r="AH197" i="6"/>
  <c r="AG197" i="6"/>
  <c r="AY197" i="6"/>
  <c r="AS197" i="6"/>
  <c r="AZ197" i="6"/>
  <c r="BG197" i="6"/>
  <c r="AB197" i="6"/>
  <c r="AK197" i="6"/>
  <c r="AU197" i="6"/>
  <c r="AN197" i="6"/>
  <c r="AO197" i="6"/>
  <c r="BD197" i="6"/>
  <c r="BB197" i="6"/>
  <c r="AV197" i="6"/>
  <c r="AE197" i="6"/>
  <c r="BA197" i="6"/>
  <c r="AJ197" i="6"/>
  <c r="AT197" i="6"/>
  <c r="BF197" i="6"/>
  <c r="AX197" i="6"/>
  <c r="AC197" i="6"/>
  <c r="AR197" i="6"/>
  <c r="AP197" i="6"/>
  <c r="K198" i="12"/>
  <c r="A199" i="6"/>
  <c r="M199" i="6" s="1"/>
  <c r="AT198" i="6"/>
  <c r="BA198" i="6"/>
  <c r="AB198" i="6"/>
  <c r="BF198" i="6"/>
  <c r="BD198" i="6"/>
  <c r="AQ198" i="6"/>
  <c r="BE198" i="6"/>
  <c r="AX198" i="6"/>
  <c r="AH198" i="6"/>
  <c r="AU198" i="6"/>
  <c r="AV198" i="6"/>
  <c r="AN198" i="6"/>
  <c r="AS198" i="6"/>
  <c r="AO198" i="6"/>
  <c r="AP198" i="6"/>
  <c r="AK198" i="6"/>
  <c r="BB198" i="6"/>
  <c r="AY198" i="6"/>
  <c r="BG198" i="6"/>
  <c r="AM198" i="6"/>
  <c r="AC198" i="6"/>
  <c r="AZ198" i="6"/>
  <c r="AR198" i="6"/>
  <c r="AJ198" i="6"/>
  <c r="BC198" i="6"/>
  <c r="AI198" i="6"/>
  <c r="AD198" i="6"/>
  <c r="J199" i="12"/>
  <c r="L199" i="12"/>
  <c r="AF198" i="6"/>
  <c r="AE198" i="6"/>
  <c r="AG198" i="6"/>
  <c r="N198" i="6"/>
  <c r="H199" i="6"/>
  <c r="AE200" i="5"/>
  <c r="C201" i="5"/>
  <c r="B200" i="5"/>
  <c r="AD200" i="5"/>
  <c r="G200" i="5"/>
  <c r="A200" i="12"/>
  <c r="J200" i="5"/>
  <c r="E200" i="5"/>
  <c r="H200" i="5"/>
  <c r="B200" i="6"/>
  <c r="K200" i="5"/>
  <c r="D200" i="5"/>
  <c r="B200" i="12" s="1"/>
  <c r="N200" i="5"/>
  <c r="D200" i="6" s="1"/>
  <c r="F200" i="5"/>
  <c r="N199" i="6" l="1"/>
  <c r="A200" i="6"/>
  <c r="M200" i="6" s="1"/>
  <c r="AU200" i="6" s="1"/>
  <c r="J201" i="5"/>
  <c r="A201" i="12"/>
  <c r="B201" i="6"/>
  <c r="AD201" i="5"/>
  <c r="B201" i="5"/>
  <c r="E201" i="5"/>
  <c r="H201" i="5"/>
  <c r="N201" i="5"/>
  <c r="D201" i="6" s="1"/>
  <c r="C202" i="5"/>
  <c r="G201" i="5"/>
  <c r="F201" i="5"/>
  <c r="AE201" i="5"/>
  <c r="D201" i="5"/>
  <c r="B201" i="12" s="1"/>
  <c r="K201" i="5"/>
  <c r="K199" i="12"/>
  <c r="AD199" i="6"/>
  <c r="AF199" i="6"/>
  <c r="AE199" i="6"/>
  <c r="T199" i="5"/>
  <c r="G199" i="12" s="1"/>
  <c r="AG199" i="6"/>
  <c r="AJ199" i="6"/>
  <c r="AB199" i="6"/>
  <c r="AH199" i="6"/>
  <c r="AK199" i="6"/>
  <c r="AI199" i="6"/>
  <c r="AC199" i="6"/>
  <c r="AN199" i="6"/>
  <c r="BA199" i="6"/>
  <c r="BE199" i="6"/>
  <c r="AR199" i="6"/>
  <c r="AU199" i="6"/>
  <c r="AV199" i="6"/>
  <c r="BD199" i="6"/>
  <c r="BG199" i="6"/>
  <c r="AZ199" i="6"/>
  <c r="AS199" i="6"/>
  <c r="BF199" i="6"/>
  <c r="AT199" i="6"/>
  <c r="AM199" i="6"/>
  <c r="AX199" i="6"/>
  <c r="AQ199" i="6"/>
  <c r="AO199" i="6"/>
  <c r="AY199" i="6"/>
  <c r="AP199" i="6"/>
  <c r="BC199" i="6"/>
  <c r="J200" i="12"/>
  <c r="L200" i="12"/>
  <c r="H200" i="6"/>
  <c r="BB199" i="6"/>
  <c r="N200" i="6" l="1"/>
  <c r="K200" i="12"/>
  <c r="H201" i="6"/>
  <c r="AC200" i="6"/>
  <c r="AK200" i="6"/>
  <c r="A201" i="6"/>
  <c r="N201" i="6" s="1"/>
  <c r="AH200" i="6"/>
  <c r="AI200" i="6"/>
  <c r="AJ200" i="6"/>
  <c r="AD200" i="6"/>
  <c r="AE200" i="6"/>
  <c r="T200" i="5"/>
  <c r="G200" i="12" s="1"/>
  <c r="AF200" i="6"/>
  <c r="AB200" i="6"/>
  <c r="AG200" i="6"/>
  <c r="L201" i="12"/>
  <c r="J201" i="12"/>
  <c r="AZ200" i="6"/>
  <c r="BG200" i="6"/>
  <c r="AQ200" i="6"/>
  <c r="BA200" i="6"/>
  <c r="AN200" i="6"/>
  <c r="AX200" i="6"/>
  <c r="AR200" i="6"/>
  <c r="AV200" i="6"/>
  <c r="BF200" i="6"/>
  <c r="AS200" i="6"/>
  <c r="BB200" i="6"/>
  <c r="BE200" i="6"/>
  <c r="AO200" i="6"/>
  <c r="AT200" i="6"/>
  <c r="BD200" i="6"/>
  <c r="AP200" i="6"/>
  <c r="AY200" i="6"/>
  <c r="BC200" i="6"/>
  <c r="AM200" i="6"/>
  <c r="AD202" i="5"/>
  <c r="G202" i="5"/>
  <c r="AE202" i="5"/>
  <c r="B202" i="6"/>
  <c r="H202" i="5"/>
  <c r="K202" i="5"/>
  <c r="N202" i="5"/>
  <c r="D202" i="6" s="1"/>
  <c r="H202" i="6" s="1"/>
  <c r="T202" i="5" s="1"/>
  <c r="G202" i="12" s="1"/>
  <c r="E202" i="5"/>
  <c r="A202" i="12"/>
  <c r="D202" i="5"/>
  <c r="B202" i="12" s="1"/>
  <c r="B202" i="5"/>
  <c r="J202" i="5"/>
  <c r="F202" i="5"/>
  <c r="C203" i="5"/>
  <c r="K201" i="12" l="1"/>
  <c r="D203" i="5"/>
  <c r="B203" i="12" s="1"/>
  <c r="C204" i="5"/>
  <c r="A203" i="12"/>
  <c r="H203" i="5"/>
  <c r="B203" i="6"/>
  <c r="F203" i="5"/>
  <c r="AE203" i="5"/>
  <c r="B203" i="5"/>
  <c r="E203" i="5"/>
  <c r="AD203" i="5"/>
  <c r="K203" i="5"/>
  <c r="N203" i="5"/>
  <c r="D203" i="6" s="1"/>
  <c r="G203" i="5"/>
  <c r="J203" i="5"/>
  <c r="A202" i="6"/>
  <c r="N202" i="6" s="1"/>
  <c r="T201" i="5"/>
  <c r="G201" i="12" s="1"/>
  <c r="J202" i="12"/>
  <c r="L202" i="12"/>
  <c r="M201" i="6"/>
  <c r="AF201" i="6" s="1"/>
  <c r="K202" i="12" l="1"/>
  <c r="AI201" i="6"/>
  <c r="A203" i="6"/>
  <c r="M203" i="6" s="1"/>
  <c r="BA203" i="6" s="1"/>
  <c r="AK201" i="6"/>
  <c r="H203" i="6"/>
  <c r="AG201" i="6"/>
  <c r="L203" i="12"/>
  <c r="J203" i="12"/>
  <c r="E204" i="5"/>
  <c r="D204" i="5"/>
  <c r="B204" i="12" s="1"/>
  <c r="B204" i="5"/>
  <c r="C205" i="5"/>
  <c r="K204" i="5"/>
  <c r="A204" i="12"/>
  <c r="N204" i="5"/>
  <c r="D204" i="6" s="1"/>
  <c r="J204" i="5"/>
  <c r="H204" i="5"/>
  <c r="G204" i="5"/>
  <c r="AD204" i="5"/>
  <c r="AE204" i="5"/>
  <c r="B204" i="6"/>
  <c r="F204" i="5"/>
  <c r="M202" i="6"/>
  <c r="AH201" i="6"/>
  <c r="AS201" i="6"/>
  <c r="BF201" i="6"/>
  <c r="BE201" i="6"/>
  <c r="AR201" i="6"/>
  <c r="AV201" i="6"/>
  <c r="AX201" i="6"/>
  <c r="AT201" i="6"/>
  <c r="AP201" i="6"/>
  <c r="AQ201" i="6"/>
  <c r="AJ201" i="6"/>
  <c r="BD201" i="6"/>
  <c r="BB201" i="6"/>
  <c r="BC201" i="6"/>
  <c r="BA201" i="6"/>
  <c r="AZ201" i="6"/>
  <c r="BG201" i="6"/>
  <c r="AU201" i="6"/>
  <c r="AM201" i="6"/>
  <c r="AN201" i="6"/>
  <c r="AC201" i="6"/>
  <c r="AD201" i="6"/>
  <c r="AY201" i="6"/>
  <c r="AO201" i="6"/>
  <c r="AB201" i="6"/>
  <c r="AE201" i="6"/>
  <c r="N203" i="6" l="1"/>
  <c r="A204" i="6"/>
  <c r="N204" i="6" s="1"/>
  <c r="AC203" i="6"/>
  <c r="T203" i="5"/>
  <c r="G203" i="12" s="1"/>
  <c r="AE203" i="6"/>
  <c r="AI203" i="6"/>
  <c r="AH203" i="6"/>
  <c r="AB203" i="6"/>
  <c r="AF203" i="6"/>
  <c r="AG203" i="6"/>
  <c r="AK203" i="6"/>
  <c r="G205" i="5"/>
  <c r="D205" i="5"/>
  <c r="B205" i="12" s="1"/>
  <c r="B205" i="6"/>
  <c r="K205" i="5"/>
  <c r="AD205" i="5"/>
  <c r="E205" i="5"/>
  <c r="F205" i="5"/>
  <c r="AE205" i="5"/>
  <c r="H205" i="5"/>
  <c r="J205" i="5"/>
  <c r="A205" i="12"/>
  <c r="B205" i="5"/>
  <c r="N205" i="5"/>
  <c r="D205" i="6" s="1"/>
  <c r="H205" i="6" s="1"/>
  <c r="T205" i="5" s="1"/>
  <c r="G205" i="12" s="1"/>
  <c r="K203" i="12"/>
  <c r="AX203" i="6"/>
  <c r="AZ203" i="6"/>
  <c r="BB203" i="6"/>
  <c r="BC203" i="6"/>
  <c r="AM203" i="6"/>
  <c r="AU203" i="6"/>
  <c r="AQ203" i="6"/>
  <c r="BE203" i="6"/>
  <c r="AO203" i="6"/>
  <c r="AN203" i="6"/>
  <c r="BF203" i="6"/>
  <c r="AP203" i="6"/>
  <c r="AV203" i="6"/>
  <c r="L204" i="12"/>
  <c r="J204" i="12"/>
  <c r="AS203" i="6"/>
  <c r="BD203" i="6"/>
  <c r="BG203" i="6"/>
  <c r="AT203" i="6"/>
  <c r="AD203" i="6"/>
  <c r="AE202" i="6"/>
  <c r="BB202" i="6"/>
  <c r="AH202" i="6"/>
  <c r="AS202" i="6"/>
  <c r="AF202" i="6"/>
  <c r="BA202" i="6"/>
  <c r="BC202" i="6"/>
  <c r="AK202" i="6"/>
  <c r="AM202" i="6"/>
  <c r="BE202" i="6"/>
  <c r="AT202" i="6"/>
  <c r="AP202" i="6"/>
  <c r="AO202" i="6"/>
  <c r="AU202" i="6"/>
  <c r="AZ202" i="6"/>
  <c r="AG202" i="6"/>
  <c r="AB202" i="6"/>
  <c r="AY202" i="6"/>
  <c r="AN202" i="6"/>
  <c r="AR202" i="6"/>
  <c r="AI202" i="6"/>
  <c r="BF202" i="6"/>
  <c r="AV202" i="6"/>
  <c r="BD202" i="6"/>
  <c r="AD202" i="6"/>
  <c r="AX202" i="6"/>
  <c r="AJ202" i="6"/>
  <c r="BG202" i="6"/>
  <c r="AQ202" i="6"/>
  <c r="AC202" i="6"/>
  <c r="H204" i="6"/>
  <c r="AY203" i="6"/>
  <c r="AJ203" i="6"/>
  <c r="AR203" i="6"/>
  <c r="M204" i="6" l="1"/>
  <c r="AI204" i="6" s="1"/>
  <c r="K204" i="12"/>
  <c r="J205" i="12"/>
  <c r="L205" i="12"/>
  <c r="A205" i="6"/>
  <c r="T204" i="5"/>
  <c r="G204" i="12" s="1"/>
  <c r="AK204" i="6" l="1"/>
  <c r="AN204" i="6"/>
  <c r="BC204" i="6"/>
  <c r="AU204" i="6"/>
  <c r="AJ204" i="6"/>
  <c r="AB204" i="6"/>
  <c r="AM204" i="6"/>
  <c r="AP204" i="6"/>
  <c r="AF204" i="6"/>
  <c r="AQ204" i="6"/>
  <c r="BF204" i="6"/>
  <c r="AE204" i="6"/>
  <c r="AC204" i="6"/>
  <c r="BE204" i="6"/>
  <c r="BG204" i="6"/>
  <c r="BA204" i="6"/>
  <c r="AD204" i="6"/>
  <c r="AT204" i="6"/>
  <c r="AV204" i="6"/>
  <c r="AR204" i="6"/>
  <c r="AZ204" i="6"/>
  <c r="AG204" i="6"/>
  <c r="AO204" i="6"/>
  <c r="AH204" i="6"/>
  <c r="BB204" i="6"/>
  <c r="BD204" i="6"/>
  <c r="AY204" i="6"/>
  <c r="AX204" i="6"/>
  <c r="AS204" i="6"/>
  <c r="N205" i="6"/>
  <c r="M205" i="6"/>
  <c r="K205" i="12"/>
  <c r="C206" i="5" l="1"/>
  <c r="AH205" i="6"/>
  <c r="AM205" i="6"/>
  <c r="AY205" i="6"/>
  <c r="AR205" i="6"/>
  <c r="AZ205" i="6"/>
  <c r="AO205" i="6"/>
  <c r="BB205" i="6"/>
  <c r="AQ205" i="6"/>
  <c r="BD205" i="6"/>
  <c r="AV205" i="6"/>
  <c r="AX205" i="6"/>
  <c r="AS205" i="6"/>
  <c r="AG205" i="6"/>
  <c r="BF205" i="6"/>
  <c r="BE205" i="6"/>
  <c r="AJ205" i="6"/>
  <c r="AE205" i="6"/>
  <c r="BA205" i="6"/>
  <c r="AI205" i="6"/>
  <c r="AF205" i="6"/>
  <c r="AT205" i="6"/>
  <c r="AU205" i="6"/>
  <c r="AK205" i="6"/>
  <c r="AC205" i="6"/>
  <c r="AP205" i="6"/>
  <c r="AN205" i="6"/>
  <c r="BC205" i="6"/>
  <c r="AD205" i="6"/>
  <c r="BG205" i="6"/>
  <c r="AB205" i="6"/>
  <c r="G206" i="5" l="1"/>
  <c r="N206" i="5"/>
  <c r="D206" i="6" s="1"/>
  <c r="R206" i="5"/>
  <c r="B206" i="5"/>
  <c r="C207" i="5" s="1"/>
  <c r="H206" i="5"/>
  <c r="AD206" i="5"/>
  <c r="W206" i="5"/>
  <c r="H206" i="12" s="1"/>
  <c r="E206" i="5"/>
  <c r="B206" i="6"/>
  <c r="A206" i="6" s="1"/>
  <c r="A206" i="12"/>
  <c r="F206" i="5"/>
  <c r="AE206" i="5"/>
  <c r="AE207" i="5" l="1"/>
  <c r="N207" i="5"/>
  <c r="D207" i="6" s="1"/>
  <c r="AD207" i="5"/>
  <c r="W207" i="5"/>
  <c r="H207" i="12" s="1"/>
  <c r="B207" i="6"/>
  <c r="C208" i="5"/>
  <c r="AE208" i="5" s="1"/>
  <c r="A207" i="12"/>
  <c r="G207" i="5"/>
  <c r="E207" i="5"/>
  <c r="H207" i="5"/>
  <c r="F207" i="5"/>
  <c r="E207" i="12"/>
  <c r="F207" i="6"/>
  <c r="B207" i="5"/>
  <c r="AM206" i="6"/>
  <c r="AT206" i="6"/>
  <c r="AX206" i="6"/>
  <c r="AU206" i="6"/>
  <c r="BB206" i="6"/>
  <c r="AV206" i="6"/>
  <c r="BF206" i="6"/>
  <c r="BD206" i="6"/>
  <c r="BA206" i="6"/>
  <c r="M206" i="6"/>
  <c r="AS206" i="6" s="1"/>
  <c r="AP206" i="6"/>
  <c r="G206" i="6"/>
  <c r="AN206" i="6"/>
  <c r="AR206" i="6"/>
  <c r="AQ206" i="6"/>
  <c r="AO206" i="6"/>
  <c r="BG206" i="6"/>
  <c r="N206" i="6"/>
  <c r="BC206" i="6"/>
  <c r="BE206" i="6"/>
  <c r="H206" i="6"/>
  <c r="T206" i="5" s="1"/>
  <c r="G206" i="12" s="1"/>
  <c r="AY206" i="6"/>
  <c r="AZ206" i="6"/>
  <c r="E206" i="12"/>
  <c r="F206" i="6"/>
  <c r="C209" i="5" l="1"/>
  <c r="J209" i="5" s="1"/>
  <c r="J208" i="5"/>
  <c r="F208" i="5"/>
  <c r="A208" i="12"/>
  <c r="L208" i="12" s="1"/>
  <c r="G208" i="5"/>
  <c r="K208" i="5"/>
  <c r="N208" i="5"/>
  <c r="D208" i="6" s="1"/>
  <c r="B208" i="5"/>
  <c r="H208" i="5"/>
  <c r="AD208" i="5"/>
  <c r="E208" i="5"/>
  <c r="B208" i="6"/>
  <c r="D208" i="5"/>
  <c r="B208" i="12" s="1"/>
  <c r="H207" i="6"/>
  <c r="T207" i="5" s="1"/>
  <c r="G207" i="6"/>
  <c r="A207" i="6"/>
  <c r="M207" i="6" s="1"/>
  <c r="AK206" i="6"/>
  <c r="AE206" i="6"/>
  <c r="AJ206" i="6"/>
  <c r="AH206" i="6"/>
  <c r="AD206" i="6"/>
  <c r="AG206" i="6"/>
  <c r="AB206" i="6"/>
  <c r="AF206" i="6"/>
  <c r="AC206" i="6"/>
  <c r="AI206" i="6"/>
  <c r="B209" i="6" l="1"/>
  <c r="H209" i="5"/>
  <c r="J208" i="12"/>
  <c r="K208" i="12" s="1"/>
  <c r="B209" i="5"/>
  <c r="D209" i="5"/>
  <c r="B209" i="12" s="1"/>
  <c r="K209" i="5"/>
  <c r="AE209" i="5"/>
  <c r="N209" i="5"/>
  <c r="D209" i="6" s="1"/>
  <c r="F209" i="5"/>
  <c r="C210" i="5"/>
  <c r="B210" i="6" s="1"/>
  <c r="A209" i="12"/>
  <c r="L209" i="12" s="1"/>
  <c r="AD209" i="5"/>
  <c r="G209" i="5"/>
  <c r="E209" i="5"/>
  <c r="AP207" i="6"/>
  <c r="AZ207" i="6"/>
  <c r="BD207" i="6"/>
  <c r="BE207" i="6"/>
  <c r="AN207" i="6"/>
  <c r="AM207" i="6"/>
  <c r="BC207" i="6"/>
  <c r="BA207" i="6"/>
  <c r="AT207" i="6"/>
  <c r="AR207" i="6"/>
  <c r="BF207" i="6"/>
  <c r="AV207" i="6"/>
  <c r="AQ207" i="6"/>
  <c r="AX207" i="6"/>
  <c r="AO207" i="6"/>
  <c r="AU207" i="6"/>
  <c r="BG207" i="6"/>
  <c r="AS207" i="6"/>
  <c r="BB207" i="6"/>
  <c r="AY207" i="6"/>
  <c r="AF207" i="6"/>
  <c r="AE207" i="6"/>
  <c r="A208" i="6"/>
  <c r="M208" i="6" s="1"/>
  <c r="AS208" i="6" s="1"/>
  <c r="N207" i="6"/>
  <c r="AC207" i="6"/>
  <c r="AI207" i="6"/>
  <c r="AK207" i="6"/>
  <c r="AH207" i="6"/>
  <c r="G207" i="12"/>
  <c r="H208" i="6"/>
  <c r="T208" i="5" s="1"/>
  <c r="AD207" i="6"/>
  <c r="AG207" i="6"/>
  <c r="AB207" i="6"/>
  <c r="AJ207" i="6"/>
  <c r="A210" i="12" l="1"/>
  <c r="L210" i="12" s="1"/>
  <c r="K210" i="5"/>
  <c r="N210" i="5"/>
  <c r="D210" i="6" s="1"/>
  <c r="H210" i="5"/>
  <c r="C211" i="5"/>
  <c r="J211" i="5" s="1"/>
  <c r="B210" i="5"/>
  <c r="G210" i="5"/>
  <c r="E210" i="5"/>
  <c r="J210" i="5"/>
  <c r="AE210" i="5"/>
  <c r="AD210" i="5"/>
  <c r="D210" i="5"/>
  <c r="B210" i="12" s="1"/>
  <c r="F210" i="5"/>
  <c r="J209" i="12"/>
  <c r="K209" i="12" s="1"/>
  <c r="A209" i="6"/>
  <c r="M209" i="6" s="1"/>
  <c r="AF208" i="6"/>
  <c r="BG208" i="6"/>
  <c r="BB208" i="6"/>
  <c r="H209" i="6"/>
  <c r="T209" i="5" s="1"/>
  <c r="AV208" i="6"/>
  <c r="AO208" i="6"/>
  <c r="N208" i="6"/>
  <c r="AC208" i="6"/>
  <c r="BE208" i="6"/>
  <c r="AX208" i="6"/>
  <c r="AI208" i="6"/>
  <c r="AK208" i="6"/>
  <c r="AH208" i="6"/>
  <c r="AD208" i="6"/>
  <c r="BF208" i="6"/>
  <c r="AR208" i="6"/>
  <c r="AT208" i="6"/>
  <c r="AM208" i="6"/>
  <c r="AZ208" i="6"/>
  <c r="G208" i="12"/>
  <c r="BA208" i="6"/>
  <c r="BC208" i="6"/>
  <c r="AE208" i="6"/>
  <c r="AB208" i="6"/>
  <c r="AN208" i="6"/>
  <c r="AG208" i="6"/>
  <c r="AQ208" i="6"/>
  <c r="BD208" i="6"/>
  <c r="AP208" i="6"/>
  <c r="AJ208" i="6"/>
  <c r="AU208" i="6"/>
  <c r="AY208" i="6"/>
  <c r="AC209" i="6" l="1"/>
  <c r="J210" i="12"/>
  <c r="K210" i="12" s="1"/>
  <c r="N211" i="5"/>
  <c r="D211" i="6" s="1"/>
  <c r="K211" i="5"/>
  <c r="D211" i="5"/>
  <c r="B211" i="12" s="1"/>
  <c r="B211" i="6"/>
  <c r="A211" i="12"/>
  <c r="L211" i="12" s="1"/>
  <c r="H211" i="5"/>
  <c r="AE211" i="5"/>
  <c r="C212" i="5"/>
  <c r="AE212" i="5" s="1"/>
  <c r="F211" i="5"/>
  <c r="B211" i="5"/>
  <c r="AD211" i="5"/>
  <c r="G211" i="5"/>
  <c r="E211" i="5"/>
  <c r="A210" i="6"/>
  <c r="M210" i="6" s="1"/>
  <c r="N209" i="6"/>
  <c r="AE209" i="6"/>
  <c r="AX209" i="6"/>
  <c r="AI209" i="6"/>
  <c r="AK209" i="6"/>
  <c r="AQ209" i="6"/>
  <c r="BD209" i="6"/>
  <c r="BF209" i="6"/>
  <c r="AR209" i="6"/>
  <c r="AT209" i="6"/>
  <c r="H210" i="6"/>
  <c r="T210" i="5" s="1"/>
  <c r="AU209" i="6"/>
  <c r="AN209" i="6"/>
  <c r="G209" i="12"/>
  <c r="BA209" i="6"/>
  <c r="BC209" i="6"/>
  <c r="AH209" i="6"/>
  <c r="AG209" i="6"/>
  <c r="AB209" i="6"/>
  <c r="AV209" i="6"/>
  <c r="BE209" i="6"/>
  <c r="AP209" i="6"/>
  <c r="AJ209" i="6"/>
  <c r="AM209" i="6"/>
  <c r="AY209" i="6"/>
  <c r="AS209" i="6"/>
  <c r="AD209" i="6"/>
  <c r="AF209" i="6"/>
  <c r="BG209" i="6"/>
  <c r="BB209" i="6"/>
  <c r="AZ209" i="6"/>
  <c r="AO209" i="6"/>
  <c r="B212" i="6" l="1"/>
  <c r="J211" i="12"/>
  <c r="K211" i="12" s="1"/>
  <c r="N212" i="5"/>
  <c r="D212" i="6" s="1"/>
  <c r="J212" i="5"/>
  <c r="B212" i="5"/>
  <c r="C213" i="5" s="1"/>
  <c r="A213" i="12" s="1"/>
  <c r="K212" i="5"/>
  <c r="E212" i="5"/>
  <c r="A212" i="12"/>
  <c r="L212" i="12" s="1"/>
  <c r="F212" i="5"/>
  <c r="H212" i="5"/>
  <c r="AD212" i="5"/>
  <c r="D212" i="5"/>
  <c r="B212" i="12" s="1"/>
  <c r="G212" i="5"/>
  <c r="AK210" i="6"/>
  <c r="N210" i="6"/>
  <c r="AQ210" i="6"/>
  <c r="BD210" i="6"/>
  <c r="BF210" i="6"/>
  <c r="AR210" i="6"/>
  <c r="AT210" i="6"/>
  <c r="AU210" i="6"/>
  <c r="AH210" i="6"/>
  <c r="G210" i="12"/>
  <c r="BA210" i="6"/>
  <c r="BC210" i="6"/>
  <c r="H211" i="6"/>
  <c r="T211" i="5" s="1"/>
  <c r="AN210" i="6"/>
  <c r="BE210" i="6"/>
  <c r="AG210" i="6"/>
  <c r="AB210" i="6"/>
  <c r="AM210" i="6"/>
  <c r="AP210" i="6"/>
  <c r="AJ210" i="6"/>
  <c r="AV210" i="6"/>
  <c r="AY210" i="6"/>
  <c r="AS210" i="6"/>
  <c r="AD210" i="6"/>
  <c r="AF210" i="6"/>
  <c r="BG210" i="6"/>
  <c r="BB210" i="6"/>
  <c r="A211" i="6"/>
  <c r="M211" i="6" s="1"/>
  <c r="AZ210" i="6"/>
  <c r="AO210" i="6"/>
  <c r="AC210" i="6"/>
  <c r="AE210" i="6"/>
  <c r="AX210" i="6"/>
  <c r="AI210" i="6"/>
  <c r="N213" i="5" l="1"/>
  <c r="D213" i="6" s="1"/>
  <c r="AN213" i="6" s="1"/>
  <c r="H213" i="5"/>
  <c r="B213" i="6"/>
  <c r="W213" i="5"/>
  <c r="H213" i="12" s="1"/>
  <c r="E213" i="5"/>
  <c r="C214" i="5"/>
  <c r="G213" i="5"/>
  <c r="B213" i="5"/>
  <c r="AD213" i="5"/>
  <c r="AE213" i="5"/>
  <c r="F213" i="5"/>
  <c r="J212" i="12"/>
  <c r="K212" i="12" s="1"/>
  <c r="A212" i="6"/>
  <c r="AS211" i="6"/>
  <c r="BG211" i="6"/>
  <c r="AD211" i="6"/>
  <c r="BC211" i="6"/>
  <c r="AY211" i="6"/>
  <c r="BE211" i="6"/>
  <c r="AT211" i="6"/>
  <c r="AP211" i="6"/>
  <c r="AU211" i="6"/>
  <c r="AK211" i="6"/>
  <c r="BA211" i="6"/>
  <c r="AG211" i="6"/>
  <c r="AN211" i="6"/>
  <c r="AR211" i="6"/>
  <c r="AM211" i="6"/>
  <c r="AZ211" i="6"/>
  <c r="BF211" i="6"/>
  <c r="BD211" i="6"/>
  <c r="AX211" i="6"/>
  <c r="AE211" i="6"/>
  <c r="BB211" i="6"/>
  <c r="AQ211" i="6"/>
  <c r="AO211" i="6"/>
  <c r="AV211" i="6"/>
  <c r="N211" i="6"/>
  <c r="AH211" i="6"/>
  <c r="AI211" i="6"/>
  <c r="G211" i="12"/>
  <c r="AC211" i="6"/>
  <c r="F213" i="6"/>
  <c r="E213" i="12"/>
  <c r="AB211" i="6"/>
  <c r="H212" i="6"/>
  <c r="T212" i="5" s="1"/>
  <c r="AJ211" i="6"/>
  <c r="AF211" i="6"/>
  <c r="BE213" i="6" l="1"/>
  <c r="AR213" i="6"/>
  <c r="BG213" i="6"/>
  <c r="H213" i="6"/>
  <c r="T213" i="5" s="1"/>
  <c r="G213" i="12" s="1"/>
  <c r="AS213" i="6"/>
  <c r="AM213" i="6"/>
  <c r="AP213" i="6"/>
  <c r="AO213" i="6"/>
  <c r="BD213" i="6"/>
  <c r="BF213" i="6"/>
  <c r="BB213" i="6"/>
  <c r="AV213" i="6"/>
  <c r="BC213" i="6"/>
  <c r="G213" i="6"/>
  <c r="AY213" i="6"/>
  <c r="AQ213" i="6"/>
  <c r="AU213" i="6"/>
  <c r="M213" i="6"/>
  <c r="BA213" i="6" s="1"/>
  <c r="AZ213" i="6"/>
  <c r="AT213" i="6"/>
  <c r="AX213" i="6"/>
  <c r="H214" i="5"/>
  <c r="A213" i="6"/>
  <c r="N213" i="6" s="1"/>
  <c r="A214" i="12"/>
  <c r="J214" i="12" s="1"/>
  <c r="C215" i="5"/>
  <c r="AD215" i="5" s="1"/>
  <c r="E214" i="5"/>
  <c r="AD214" i="5"/>
  <c r="F214" i="5"/>
  <c r="J214" i="5"/>
  <c r="B214" i="5"/>
  <c r="K214" i="5"/>
  <c r="AE214" i="5"/>
  <c r="D214" i="5"/>
  <c r="B214" i="12" s="1"/>
  <c r="N214" i="5"/>
  <c r="D214" i="6" s="1"/>
  <c r="B214" i="6"/>
  <c r="G214" i="5"/>
  <c r="M212" i="6"/>
  <c r="BC212" i="6" s="1"/>
  <c r="N212" i="6"/>
  <c r="G212" i="12"/>
  <c r="AB213" i="6" l="1"/>
  <c r="AC213" i="6"/>
  <c r="AE213" i="6"/>
  <c r="AJ213" i="6"/>
  <c r="AD213" i="6"/>
  <c r="AK213" i="6"/>
  <c r="AG213" i="6"/>
  <c r="AH213" i="6"/>
  <c r="AI213" i="6"/>
  <c r="AF213" i="6"/>
  <c r="L214" i="12"/>
  <c r="K214" i="12" s="1"/>
  <c r="H215" i="5"/>
  <c r="C216" i="5"/>
  <c r="D216" i="5" s="1"/>
  <c r="B216" i="12" s="1"/>
  <c r="K215" i="5"/>
  <c r="B215" i="6"/>
  <c r="E215" i="5"/>
  <c r="AE215" i="5"/>
  <c r="J215" i="5"/>
  <c r="A215" i="12"/>
  <c r="J215" i="12" s="1"/>
  <c r="N215" i="5"/>
  <c r="D215" i="6" s="1"/>
  <c r="H215" i="6" s="1"/>
  <c r="T215" i="5" s="1"/>
  <c r="G215" i="12" s="1"/>
  <c r="D215" i="5"/>
  <c r="B215" i="12" s="1"/>
  <c r="F215" i="5"/>
  <c r="B215" i="5"/>
  <c r="A214" i="6"/>
  <c r="M214" i="6" s="1"/>
  <c r="BG214" i="6" s="1"/>
  <c r="G215" i="5"/>
  <c r="H214" i="6"/>
  <c r="T214" i="5" s="1"/>
  <c r="G214" i="12" s="1"/>
  <c r="BA212" i="6"/>
  <c r="AY212" i="6"/>
  <c r="AG212" i="6"/>
  <c r="BE212" i="6"/>
  <c r="AI212" i="6"/>
  <c r="AM212" i="6"/>
  <c r="BF212" i="6"/>
  <c r="AN212" i="6"/>
  <c r="AE212" i="6"/>
  <c r="AQ212" i="6"/>
  <c r="BD212" i="6"/>
  <c r="AJ212" i="6"/>
  <c r="AO212" i="6"/>
  <c r="AD212" i="6"/>
  <c r="AS212" i="6"/>
  <c r="AB212" i="6"/>
  <c r="AH212" i="6"/>
  <c r="BG212" i="6"/>
  <c r="AK212" i="6"/>
  <c r="AF212" i="6"/>
  <c r="AR212" i="6"/>
  <c r="BB212" i="6"/>
  <c r="AX212" i="6"/>
  <c r="AV212" i="6"/>
  <c r="AT212" i="6"/>
  <c r="AP212" i="6"/>
  <c r="AC212" i="6"/>
  <c r="AZ212" i="6"/>
  <c r="AU212" i="6"/>
  <c r="B216" i="6" l="1"/>
  <c r="N216" i="5"/>
  <c r="D216" i="6" s="1"/>
  <c r="H216" i="6" s="1"/>
  <c r="T216" i="5" s="1"/>
  <c r="G216" i="12" s="1"/>
  <c r="C217" i="5"/>
  <c r="D217" i="5" s="1"/>
  <c r="B217" i="12" s="1"/>
  <c r="AE216" i="5"/>
  <c r="AD216" i="5"/>
  <c r="A216" i="12"/>
  <c r="J216" i="12" s="1"/>
  <c r="F216" i="5"/>
  <c r="J216" i="5"/>
  <c r="K216" i="5"/>
  <c r="H216" i="5"/>
  <c r="A215" i="6"/>
  <c r="N215" i="6" s="1"/>
  <c r="N214" i="6"/>
  <c r="G216" i="5"/>
  <c r="B216" i="5"/>
  <c r="E216" i="5"/>
  <c r="L215" i="12"/>
  <c r="K215" i="12" s="1"/>
  <c r="AE214" i="6"/>
  <c r="AI214" i="6"/>
  <c r="AQ214" i="6"/>
  <c r="AM214" i="6"/>
  <c r="AN214" i="6"/>
  <c r="AU214" i="6"/>
  <c r="AS214" i="6"/>
  <c r="AK214" i="6"/>
  <c r="AG214" i="6"/>
  <c r="AV214" i="6"/>
  <c r="AZ214" i="6"/>
  <c r="BB214" i="6"/>
  <c r="BA214" i="6"/>
  <c r="AB214" i="6"/>
  <c r="AH214" i="6"/>
  <c r="BE214" i="6"/>
  <c r="AY214" i="6"/>
  <c r="AF214" i="6"/>
  <c r="AX214" i="6"/>
  <c r="AD214" i="6"/>
  <c r="AC214" i="6"/>
  <c r="AO214" i="6"/>
  <c r="AP214" i="6"/>
  <c r="BF214" i="6"/>
  <c r="AJ214" i="6"/>
  <c r="BC214" i="6"/>
  <c r="BD214" i="6"/>
  <c r="AT214" i="6"/>
  <c r="AR214" i="6"/>
  <c r="L216" i="12" l="1"/>
  <c r="K216" i="12" s="1"/>
  <c r="B217" i="6"/>
  <c r="C218" i="5"/>
  <c r="D218" i="5" s="1"/>
  <c r="B218" i="12" s="1"/>
  <c r="J217" i="5"/>
  <c r="M215" i="6"/>
  <c r="AY215" i="6" s="1"/>
  <c r="A217" i="12"/>
  <c r="L217" i="12" s="1"/>
  <c r="AD217" i="5"/>
  <c r="E217" i="5"/>
  <c r="F217" i="5"/>
  <c r="AE217" i="5"/>
  <c r="K217" i="5"/>
  <c r="B217" i="5"/>
  <c r="G217" i="5"/>
  <c r="N217" i="5"/>
  <c r="D217" i="6" s="1"/>
  <c r="H217" i="6" s="1"/>
  <c r="T217" i="5" s="1"/>
  <c r="G217" i="12" s="1"/>
  <c r="A216" i="6"/>
  <c r="M216" i="6" s="1"/>
  <c r="BG216" i="6" s="1"/>
  <c r="H217" i="5"/>
  <c r="H218" i="5" l="1"/>
  <c r="A218" i="12"/>
  <c r="J218" i="12" s="1"/>
  <c r="E218" i="5"/>
  <c r="G218" i="5"/>
  <c r="J218" i="5"/>
  <c r="K218" i="5"/>
  <c r="AD218" i="5"/>
  <c r="F218" i="5"/>
  <c r="B218" i="6"/>
  <c r="N218" i="5"/>
  <c r="D218" i="6" s="1"/>
  <c r="H218" i="6" s="1"/>
  <c r="T218" i="5" s="1"/>
  <c r="G218" i="12" s="1"/>
  <c r="C219" i="5"/>
  <c r="J217" i="12"/>
  <c r="K217" i="12" s="1"/>
  <c r="AE218" i="5"/>
  <c r="B218" i="5"/>
  <c r="A217" i="6"/>
  <c r="N217" i="6" s="1"/>
  <c r="AG215" i="6"/>
  <c r="AS215" i="6"/>
  <c r="BB215" i="6"/>
  <c r="AU215" i="6"/>
  <c r="BC215" i="6"/>
  <c r="AY216" i="6"/>
  <c r="AU216" i="6"/>
  <c r="AP215" i="6"/>
  <c r="AE215" i="6"/>
  <c r="AD215" i="6"/>
  <c r="AM215" i="6"/>
  <c r="BF216" i="6"/>
  <c r="AK215" i="6"/>
  <c r="AC215" i="6"/>
  <c r="AT215" i="6"/>
  <c r="BA215" i="6"/>
  <c r="AD216" i="6"/>
  <c r="AH216" i="6"/>
  <c r="AV216" i="6"/>
  <c r="AR216" i="6"/>
  <c r="AN216" i="6"/>
  <c r="AZ216" i="6"/>
  <c r="AJ216" i="6"/>
  <c r="AO216" i="6"/>
  <c r="AK216" i="6"/>
  <c r="AR215" i="6"/>
  <c r="BE215" i="6"/>
  <c r="BF215" i="6"/>
  <c r="BG215" i="6"/>
  <c r="AT216" i="6"/>
  <c r="AI216" i="6"/>
  <c r="AC216" i="6"/>
  <c r="AX216" i="6"/>
  <c r="AB215" i="6"/>
  <c r="BE216" i="6"/>
  <c r="AB216" i="6"/>
  <c r="BA216" i="6"/>
  <c r="AE216" i="6"/>
  <c r="BC216" i="6"/>
  <c r="AQ215" i="6"/>
  <c r="AI215" i="6"/>
  <c r="BD215" i="6"/>
  <c r="N216" i="6"/>
  <c r="AM216" i="6"/>
  <c r="AP216" i="6"/>
  <c r="AJ215" i="6"/>
  <c r="AF216" i="6"/>
  <c r="AH215" i="6"/>
  <c r="AF215" i="6"/>
  <c r="AQ216" i="6"/>
  <c r="AX215" i="6"/>
  <c r="AO215" i="6"/>
  <c r="AN215" i="6"/>
  <c r="AG216" i="6"/>
  <c r="BB216" i="6"/>
  <c r="AS216" i="6"/>
  <c r="AV215" i="6"/>
  <c r="AZ215" i="6"/>
  <c r="BD216" i="6"/>
  <c r="L218" i="12" l="1"/>
  <c r="K218" i="12" s="1"/>
  <c r="H219" i="5"/>
  <c r="M217" i="6"/>
  <c r="AJ217" i="6" s="1"/>
  <c r="A218" i="6"/>
  <c r="N218" i="6" s="1"/>
  <c r="F219" i="5"/>
  <c r="K219" i="5"/>
  <c r="B219" i="6"/>
  <c r="N219" i="5"/>
  <c r="D219" i="6" s="1"/>
  <c r="H219" i="6" s="1"/>
  <c r="T219" i="5" s="1"/>
  <c r="G219" i="12" s="1"/>
  <c r="AE219" i="5"/>
  <c r="A219" i="12"/>
  <c r="J219" i="12" s="1"/>
  <c r="B219" i="5"/>
  <c r="C220" i="5"/>
  <c r="N220" i="5" s="1"/>
  <c r="D220" i="6" s="1"/>
  <c r="J219" i="5"/>
  <c r="AD219" i="5"/>
  <c r="D219" i="5"/>
  <c r="B219" i="12" s="1"/>
  <c r="E219" i="5"/>
  <c r="G219" i="5"/>
  <c r="M218" i="6" l="1"/>
  <c r="AC218" i="6" s="1"/>
  <c r="A219" i="6"/>
  <c r="N219" i="6" s="1"/>
  <c r="AQ217" i="6"/>
  <c r="AI217" i="6"/>
  <c r="AM217" i="6"/>
  <c r="AV217" i="6"/>
  <c r="BD217" i="6"/>
  <c r="AF217" i="6"/>
  <c r="AY217" i="6"/>
  <c r="AH217" i="6"/>
  <c r="AK217" i="6"/>
  <c r="AX217" i="6"/>
  <c r="AO217" i="6"/>
  <c r="L219" i="12"/>
  <c r="K219" i="12" s="1"/>
  <c r="AP217" i="6"/>
  <c r="BE217" i="6"/>
  <c r="AT217" i="6"/>
  <c r="AZ217" i="6"/>
  <c r="AU217" i="6"/>
  <c r="BA217" i="6"/>
  <c r="AR217" i="6"/>
  <c r="BB217" i="6"/>
  <c r="AS217" i="6"/>
  <c r="AC217" i="6"/>
  <c r="AD217" i="6"/>
  <c r="AE217" i="6"/>
  <c r="AB217" i="6"/>
  <c r="AN217" i="6"/>
  <c r="BF217" i="6"/>
  <c r="BG217" i="6"/>
  <c r="BC217" i="6"/>
  <c r="AG217" i="6"/>
  <c r="G220" i="5"/>
  <c r="J220" i="5"/>
  <c r="AE220" i="5"/>
  <c r="F220" i="5"/>
  <c r="AD220" i="5"/>
  <c r="E220" i="5"/>
  <c r="B220" i="6"/>
  <c r="B220" i="5"/>
  <c r="D220" i="5"/>
  <c r="B220" i="12" s="1"/>
  <c r="C221" i="5"/>
  <c r="C222" i="5" s="1"/>
  <c r="H220" i="5"/>
  <c r="K220" i="5"/>
  <c r="A220" i="12"/>
  <c r="J220" i="12" s="1"/>
  <c r="H220" i="6"/>
  <c r="T220" i="5" s="1"/>
  <c r="G220" i="12" s="1"/>
  <c r="A220" i="6" l="1"/>
  <c r="N220" i="6" s="1"/>
  <c r="M219" i="6"/>
  <c r="AI219" i="6" s="1"/>
  <c r="AX218" i="6"/>
  <c r="AK218" i="6"/>
  <c r="AF218" i="6"/>
  <c r="AE218" i="6"/>
  <c r="AM218" i="6"/>
  <c r="AO218" i="6"/>
  <c r="AN218" i="6"/>
  <c r="BG218" i="6"/>
  <c r="AG218" i="6"/>
  <c r="AZ218" i="6"/>
  <c r="AJ218" i="6"/>
  <c r="AH218" i="6"/>
  <c r="AY218" i="6"/>
  <c r="AI218" i="6"/>
  <c r="AU218" i="6"/>
  <c r="AD218" i="6"/>
  <c r="BB218" i="6"/>
  <c r="AR218" i="6"/>
  <c r="AB218" i="6"/>
  <c r="BE218" i="6"/>
  <c r="BF218" i="6"/>
  <c r="BD218" i="6"/>
  <c r="AP218" i="6"/>
  <c r="AQ218" i="6"/>
  <c r="AS218" i="6"/>
  <c r="BA218" i="6"/>
  <c r="AV218" i="6"/>
  <c r="BC218" i="6"/>
  <c r="AT218" i="6"/>
  <c r="J221" i="5"/>
  <c r="B221" i="5"/>
  <c r="B222" i="5" s="1"/>
  <c r="N221" i="5"/>
  <c r="D221" i="6" s="1"/>
  <c r="H221" i="6" s="1"/>
  <c r="T221" i="5" s="1"/>
  <c r="G221" i="12" s="1"/>
  <c r="B221" i="6"/>
  <c r="E221" i="5"/>
  <c r="E222" i="5" s="1"/>
  <c r="AE221" i="5"/>
  <c r="F221" i="5"/>
  <c r="F222" i="5" s="1"/>
  <c r="H221" i="5"/>
  <c r="H222" i="5" s="1"/>
  <c r="D221" i="5"/>
  <c r="B221" i="12" s="1"/>
  <c r="A221" i="12"/>
  <c r="J221" i="12" s="1"/>
  <c r="AD221" i="5"/>
  <c r="K221" i="5"/>
  <c r="G221" i="5"/>
  <c r="G222" i="5" s="1"/>
  <c r="L220" i="12"/>
  <c r="K220" i="12" s="1"/>
  <c r="AE222" i="5"/>
  <c r="N222" i="5"/>
  <c r="D222" i="6" s="1"/>
  <c r="A222" i="12"/>
  <c r="B222" i="6"/>
  <c r="AD222" i="5"/>
  <c r="C223" i="5"/>
  <c r="J222" i="5"/>
  <c r="K222" i="5"/>
  <c r="D222" i="5"/>
  <c r="B222" i="12" s="1"/>
  <c r="M220" i="6" l="1"/>
  <c r="AV220" i="6" s="1"/>
  <c r="AS219" i="6"/>
  <c r="AY219" i="6"/>
  <c r="BE219" i="6"/>
  <c r="AP219" i="6"/>
  <c r="AQ219" i="6"/>
  <c r="AU219" i="6"/>
  <c r="AK219" i="6"/>
  <c r="AR219" i="6"/>
  <c r="BD219" i="6"/>
  <c r="AB219" i="6"/>
  <c r="AO219" i="6"/>
  <c r="AH219" i="6"/>
  <c r="AX219" i="6"/>
  <c r="BG219" i="6"/>
  <c r="AJ219" i="6"/>
  <c r="AT219" i="6"/>
  <c r="BA219" i="6"/>
  <c r="AE219" i="6"/>
  <c r="AG219" i="6"/>
  <c r="BB219" i="6"/>
  <c r="BF219" i="6"/>
  <c r="AN219" i="6"/>
  <c r="BC219" i="6"/>
  <c r="AM219" i="6"/>
  <c r="AZ219" i="6"/>
  <c r="AV219" i="6"/>
  <c r="AC219" i="6"/>
  <c r="AF219" i="6"/>
  <c r="AD219" i="6"/>
  <c r="L221" i="12"/>
  <c r="K221" i="12" s="1"/>
  <c r="A221" i="6"/>
  <c r="M221" i="6" s="1"/>
  <c r="BE221" i="6" s="1"/>
  <c r="H222" i="6"/>
  <c r="T222" i="5" s="1"/>
  <c r="G222" i="12" s="1"/>
  <c r="G223" i="5"/>
  <c r="C224" i="5"/>
  <c r="J223" i="5"/>
  <c r="AE223" i="5"/>
  <c r="AD223" i="5"/>
  <c r="N223" i="5"/>
  <c r="D223" i="6" s="1"/>
  <c r="A223" i="12"/>
  <c r="K223" i="5"/>
  <c r="D223" i="5"/>
  <c r="B223" i="12" s="1"/>
  <c r="F223" i="5"/>
  <c r="H223" i="5"/>
  <c r="B223" i="6"/>
  <c r="B223" i="5"/>
  <c r="E223" i="5"/>
  <c r="L222" i="12"/>
  <c r="J222" i="12"/>
  <c r="BB220" i="6" l="1"/>
  <c r="AE220" i="6"/>
  <c r="AI220" i="6"/>
  <c r="AG220" i="6"/>
  <c r="AT220" i="6"/>
  <c r="BA220" i="6"/>
  <c r="BF220" i="6"/>
  <c r="AJ220" i="6"/>
  <c r="AQ220" i="6"/>
  <c r="AR220" i="6"/>
  <c r="AF220" i="6"/>
  <c r="BD220" i="6"/>
  <c r="BG220" i="6"/>
  <c r="AC220" i="6"/>
  <c r="AU220" i="6"/>
  <c r="AY220" i="6"/>
  <c r="AH220" i="6"/>
  <c r="AD220" i="6"/>
  <c r="AS220" i="6"/>
  <c r="AZ220" i="6"/>
  <c r="BC220" i="6"/>
  <c r="AO220" i="6"/>
  <c r="AB220" i="6"/>
  <c r="AM220" i="6"/>
  <c r="AX220" i="6"/>
  <c r="BE220" i="6"/>
  <c r="AK220" i="6"/>
  <c r="AP220" i="6"/>
  <c r="AN220" i="6"/>
  <c r="A222" i="6"/>
  <c r="N222" i="6" s="1"/>
  <c r="AG221" i="6"/>
  <c r="AC221" i="6"/>
  <c r="AN221" i="6"/>
  <c r="BB221" i="6"/>
  <c r="AR221" i="6"/>
  <c r="AD221" i="6"/>
  <c r="AY221" i="6"/>
  <c r="AB221" i="6"/>
  <c r="AK221" i="6"/>
  <c r="AF221" i="6"/>
  <c r="AM221" i="6"/>
  <c r="AS221" i="6"/>
  <c r="AU221" i="6"/>
  <c r="AJ221" i="6"/>
  <c r="AI221" i="6"/>
  <c r="AH221" i="6"/>
  <c r="AX221" i="6"/>
  <c r="AE221" i="6"/>
  <c r="AV221" i="6"/>
  <c r="BG221" i="6"/>
  <c r="AT221" i="6"/>
  <c r="AQ221" i="6"/>
  <c r="AZ221" i="6"/>
  <c r="BC221" i="6"/>
  <c r="BA221" i="6"/>
  <c r="AO221" i="6"/>
  <c r="AP221" i="6"/>
  <c r="BD221" i="6"/>
  <c r="BF221" i="6"/>
  <c r="N221" i="6"/>
  <c r="N224" i="5"/>
  <c r="D224" i="6" s="1"/>
  <c r="D224" i="5"/>
  <c r="B224" i="12" s="1"/>
  <c r="K224" i="5"/>
  <c r="F224" i="5"/>
  <c r="AD224" i="5"/>
  <c r="H224" i="5"/>
  <c r="G224" i="5"/>
  <c r="AE224" i="5"/>
  <c r="E224" i="5"/>
  <c r="J224" i="5"/>
  <c r="C225" i="5"/>
  <c r="C226" i="5" s="1"/>
  <c r="A224" i="12"/>
  <c r="B224" i="6"/>
  <c r="B224" i="5"/>
  <c r="L223" i="12"/>
  <c r="J223" i="12"/>
  <c r="H223" i="6"/>
  <c r="T223" i="5" s="1"/>
  <c r="G223" i="12" s="1"/>
  <c r="K222" i="12"/>
  <c r="A223" i="6" l="1"/>
  <c r="N223" i="6" s="1"/>
  <c r="M222" i="6"/>
  <c r="AC222" i="6" s="1"/>
  <c r="K226" i="5"/>
  <c r="J226" i="5"/>
  <c r="AE226" i="5"/>
  <c r="B226" i="6"/>
  <c r="AD226" i="5"/>
  <c r="N226" i="5"/>
  <c r="D226" i="5"/>
  <c r="B226" i="12" s="1"/>
  <c r="A226" i="12"/>
  <c r="K223" i="12"/>
  <c r="L224" i="12"/>
  <c r="J224" i="12"/>
  <c r="N225" i="5"/>
  <c r="D225" i="6" s="1"/>
  <c r="J225" i="5"/>
  <c r="A225" i="12"/>
  <c r="B225" i="5"/>
  <c r="B226" i="5" s="1"/>
  <c r="D225" i="5"/>
  <c r="B225" i="12" s="1"/>
  <c r="B225" i="6"/>
  <c r="G225" i="5"/>
  <c r="G226" i="5" s="1"/>
  <c r="K225" i="5"/>
  <c r="AE225" i="5"/>
  <c r="AD225" i="5"/>
  <c r="F225" i="5"/>
  <c r="F226" i="5" s="1"/>
  <c r="E225" i="5"/>
  <c r="E226" i="5" s="1"/>
  <c r="H225" i="5"/>
  <c r="H226" i="5" s="1"/>
  <c r="H224" i="6"/>
  <c r="T224" i="5" s="1"/>
  <c r="G224" i="12" s="1"/>
  <c r="M223" i="6" l="1"/>
  <c r="AH223" i="6" s="1"/>
  <c r="A224" i="6"/>
  <c r="M224" i="6" s="1"/>
  <c r="BB224" i="6" s="1"/>
  <c r="BD222" i="6"/>
  <c r="AG222" i="6"/>
  <c r="AD222" i="6"/>
  <c r="AS222" i="6"/>
  <c r="AV222" i="6"/>
  <c r="AZ222" i="6"/>
  <c r="AX222" i="6"/>
  <c r="BA222" i="6"/>
  <c r="BF222" i="6"/>
  <c r="AE222" i="6"/>
  <c r="BG222" i="6"/>
  <c r="AR222" i="6"/>
  <c r="BC222" i="6"/>
  <c r="AY222" i="6"/>
  <c r="AK222" i="6"/>
  <c r="AI222" i="6"/>
  <c r="AO222" i="6"/>
  <c r="AN222" i="6"/>
  <c r="AP222" i="6"/>
  <c r="AU222" i="6"/>
  <c r="BB222" i="6"/>
  <c r="AJ222" i="6"/>
  <c r="AT222" i="6"/>
  <c r="AQ222" i="6"/>
  <c r="BE222" i="6"/>
  <c r="AH222" i="6"/>
  <c r="AF222" i="6"/>
  <c r="AB222" i="6"/>
  <c r="AM222" i="6"/>
  <c r="D226" i="6"/>
  <c r="C227" i="5"/>
  <c r="AD227" i="5" s="1"/>
  <c r="L226" i="12"/>
  <c r="J226" i="12"/>
  <c r="K224" i="12"/>
  <c r="H225" i="6"/>
  <c r="T225" i="5" s="1"/>
  <c r="G225" i="12" s="1"/>
  <c r="L225" i="12"/>
  <c r="J225" i="12"/>
  <c r="N224" i="6" l="1"/>
  <c r="A225" i="6"/>
  <c r="N225" i="6" s="1"/>
  <c r="AK223" i="6"/>
  <c r="AZ223" i="6"/>
  <c r="AB223" i="6"/>
  <c r="BG223" i="6"/>
  <c r="AI223" i="6"/>
  <c r="AS223" i="6"/>
  <c r="BC223" i="6"/>
  <c r="AO223" i="6"/>
  <c r="AV223" i="6"/>
  <c r="AP223" i="6"/>
  <c r="AN223" i="6"/>
  <c r="AC223" i="6"/>
  <c r="BE223" i="6"/>
  <c r="AF223" i="6"/>
  <c r="AM223" i="6"/>
  <c r="AR223" i="6"/>
  <c r="BF223" i="6"/>
  <c r="BA223" i="6"/>
  <c r="BD223" i="6"/>
  <c r="AD223" i="6"/>
  <c r="AQ223" i="6"/>
  <c r="AJ223" i="6"/>
  <c r="AT223" i="6"/>
  <c r="AU223" i="6"/>
  <c r="AY223" i="6"/>
  <c r="AG223" i="6"/>
  <c r="AE223" i="6"/>
  <c r="AX223" i="6"/>
  <c r="BB223" i="6"/>
  <c r="AY224" i="6"/>
  <c r="AQ224" i="6"/>
  <c r="AG224" i="6"/>
  <c r="AD224" i="6"/>
  <c r="AU224" i="6"/>
  <c r="AP224" i="6"/>
  <c r="AS224" i="6"/>
  <c r="AE224" i="6"/>
  <c r="BE224" i="6"/>
  <c r="BA224" i="6"/>
  <c r="AC224" i="6"/>
  <c r="AX224" i="6"/>
  <c r="AN224" i="6"/>
  <c r="BD224" i="6"/>
  <c r="AI224" i="6"/>
  <c r="BF224" i="6"/>
  <c r="BC224" i="6"/>
  <c r="AO224" i="6"/>
  <c r="AV224" i="6"/>
  <c r="BG224" i="6"/>
  <c r="AM224" i="6"/>
  <c r="AR224" i="6"/>
  <c r="AF224" i="6"/>
  <c r="AB224" i="6"/>
  <c r="AT224" i="6"/>
  <c r="AK224" i="6"/>
  <c r="AZ224" i="6"/>
  <c r="AJ224" i="6"/>
  <c r="AH224" i="6"/>
  <c r="W227" i="5"/>
  <c r="H227" i="12" s="1"/>
  <c r="H227" i="5"/>
  <c r="G227" i="5"/>
  <c r="B227" i="6"/>
  <c r="B227" i="5"/>
  <c r="R227" i="5"/>
  <c r="E227" i="12" s="1"/>
  <c r="E227" i="5"/>
  <c r="A227" i="12"/>
  <c r="F227" i="5"/>
  <c r="N227" i="5"/>
  <c r="D227" i="6" s="1"/>
  <c r="BE227" i="6" s="1"/>
  <c r="C228" i="5"/>
  <c r="D228" i="5" s="1"/>
  <c r="B228" i="12" s="1"/>
  <c r="AE227" i="5"/>
  <c r="K226" i="12"/>
  <c r="A226" i="6"/>
  <c r="H226" i="6"/>
  <c r="T226" i="5" s="1"/>
  <c r="K225" i="12"/>
  <c r="M225" i="6" l="1"/>
  <c r="AG225" i="6" s="1"/>
  <c r="F227" i="6"/>
  <c r="AD228" i="5"/>
  <c r="K228" i="5"/>
  <c r="J228" i="5"/>
  <c r="H228" i="5"/>
  <c r="A227" i="6"/>
  <c r="A228" i="12"/>
  <c r="L228" i="12" s="1"/>
  <c r="G228" i="5"/>
  <c r="E228" i="5"/>
  <c r="C229" i="5"/>
  <c r="AE229" i="5" s="1"/>
  <c r="B228" i="6"/>
  <c r="AY227" i="6"/>
  <c r="AT227" i="6"/>
  <c r="BD227" i="6"/>
  <c r="B228" i="5"/>
  <c r="AO227" i="6"/>
  <c r="F228" i="5"/>
  <c r="AE228" i="5"/>
  <c r="N228" i="5"/>
  <c r="D228" i="6" s="1"/>
  <c r="H228" i="6" s="1"/>
  <c r="T228" i="5" s="1"/>
  <c r="G228" i="12" s="1"/>
  <c r="G227" i="6"/>
  <c r="M227" i="6"/>
  <c r="AU227" i="6" s="1"/>
  <c r="AS227" i="6"/>
  <c r="BB227" i="6"/>
  <c r="AZ227" i="6"/>
  <c r="BG227" i="6"/>
  <c r="AV227" i="6"/>
  <c r="AR227" i="6"/>
  <c r="BF227" i="6"/>
  <c r="BC227" i="6"/>
  <c r="AM227" i="6"/>
  <c r="N227" i="6"/>
  <c r="AP227" i="6"/>
  <c r="AX227" i="6"/>
  <c r="H227" i="6"/>
  <c r="T227" i="5" s="1"/>
  <c r="G227" i="12" s="1"/>
  <c r="BA227" i="6"/>
  <c r="AQ227" i="6"/>
  <c r="AN227" i="6"/>
  <c r="M226" i="6"/>
  <c r="AS226" i="6" s="1"/>
  <c r="N226" i="6"/>
  <c r="G226" i="12"/>
  <c r="AE225" i="6" l="1"/>
  <c r="AO225" i="6"/>
  <c r="AP225" i="6"/>
  <c r="AN225" i="6"/>
  <c r="BF225" i="6"/>
  <c r="AH225" i="6"/>
  <c r="AR225" i="6"/>
  <c r="AD225" i="6"/>
  <c r="AU225" i="6"/>
  <c r="BE225" i="6"/>
  <c r="AX225" i="6"/>
  <c r="BD225" i="6"/>
  <c r="AB225" i="6"/>
  <c r="AZ225" i="6"/>
  <c r="AY225" i="6"/>
  <c r="AJ225" i="6"/>
  <c r="BG225" i="6"/>
  <c r="AV225" i="6"/>
  <c r="AM225" i="6"/>
  <c r="AI225" i="6"/>
  <c r="BA225" i="6"/>
  <c r="AT225" i="6"/>
  <c r="AF225" i="6"/>
  <c r="BC225" i="6"/>
  <c r="AC225" i="6"/>
  <c r="AS225" i="6"/>
  <c r="AQ225" i="6"/>
  <c r="AK225" i="6"/>
  <c r="BB225" i="6"/>
  <c r="A229" i="12"/>
  <c r="J229" i="12" s="1"/>
  <c r="C230" i="5"/>
  <c r="AE230" i="5" s="1"/>
  <c r="K229" i="5"/>
  <c r="AD229" i="5"/>
  <c r="J229" i="5"/>
  <c r="N229" i="5"/>
  <c r="D229" i="6" s="1"/>
  <c r="H229" i="6" s="1"/>
  <c r="T229" i="5" s="1"/>
  <c r="G229" i="12" s="1"/>
  <c r="B229" i="6"/>
  <c r="B229" i="5"/>
  <c r="D229" i="5"/>
  <c r="B229" i="12" s="1"/>
  <c r="G229" i="5"/>
  <c r="J228" i="12"/>
  <c r="K228" i="12" s="1"/>
  <c r="H229" i="5"/>
  <c r="E229" i="5"/>
  <c r="AE227" i="6"/>
  <c r="AB227" i="6"/>
  <c r="F229" i="5"/>
  <c r="AC227" i="6"/>
  <c r="AD227" i="6"/>
  <c r="A228" i="6"/>
  <c r="N228" i="6" s="1"/>
  <c r="AF227" i="6"/>
  <c r="AJ227" i="6"/>
  <c r="AI227" i="6"/>
  <c r="AK227" i="6"/>
  <c r="AH227" i="6"/>
  <c r="AG227" i="6"/>
  <c r="AV226" i="6"/>
  <c r="BF226" i="6"/>
  <c r="BA226" i="6"/>
  <c r="AD226" i="6"/>
  <c r="AP226" i="6"/>
  <c r="AB226" i="6"/>
  <c r="AQ226" i="6"/>
  <c r="AU226" i="6"/>
  <c r="BE226" i="6"/>
  <c r="AZ226" i="6"/>
  <c r="AE226" i="6"/>
  <c r="AC226" i="6"/>
  <c r="AO226" i="6"/>
  <c r="AT226" i="6"/>
  <c r="AR226" i="6"/>
  <c r="AJ226" i="6"/>
  <c r="AF226" i="6"/>
  <c r="BG226" i="6"/>
  <c r="AX226" i="6"/>
  <c r="BB226" i="6"/>
  <c r="AH226" i="6"/>
  <c r="AM226" i="6"/>
  <c r="AG226" i="6"/>
  <c r="AN226" i="6"/>
  <c r="BD226" i="6"/>
  <c r="AY226" i="6"/>
  <c r="AI226" i="6"/>
  <c r="BC226" i="6"/>
  <c r="AK226" i="6"/>
  <c r="B230" i="6" l="1"/>
  <c r="K230" i="5"/>
  <c r="L229" i="12"/>
  <c r="K229" i="12" s="1"/>
  <c r="N230" i="5"/>
  <c r="D230" i="6" s="1"/>
  <c r="H230" i="6" s="1"/>
  <c r="T230" i="5" s="1"/>
  <c r="G230" i="12" s="1"/>
  <c r="J230" i="5"/>
  <c r="G230" i="5"/>
  <c r="D230" i="5"/>
  <c r="B230" i="12" s="1"/>
  <c r="F230" i="5"/>
  <c r="C231" i="5"/>
  <c r="D231" i="5" s="1"/>
  <c r="B231" i="12" s="1"/>
  <c r="AD230" i="5"/>
  <c r="A230" i="12"/>
  <c r="L230" i="12" s="1"/>
  <c r="B230" i="5"/>
  <c r="E230" i="5"/>
  <c r="H230" i="5"/>
  <c r="A229" i="6"/>
  <c r="N229" i="6" s="1"/>
  <c r="M228" i="6"/>
  <c r="AH228" i="6" s="1"/>
  <c r="K231" i="5" l="1"/>
  <c r="AE231" i="5"/>
  <c r="H231" i="5"/>
  <c r="A231" i="12"/>
  <c r="J231" i="12" s="1"/>
  <c r="F231" i="5"/>
  <c r="J231" i="5"/>
  <c r="G231" i="5"/>
  <c r="E231" i="5"/>
  <c r="B231" i="6"/>
  <c r="C232" i="5"/>
  <c r="J232" i="5" s="1"/>
  <c r="B231" i="5"/>
  <c r="AD231" i="5"/>
  <c r="N231" i="5"/>
  <c r="D231" i="6" s="1"/>
  <c r="H231" i="6" s="1"/>
  <c r="T231" i="5" s="1"/>
  <c r="G231" i="12" s="1"/>
  <c r="J230" i="12"/>
  <c r="K230" i="12" s="1"/>
  <c r="M229" i="6"/>
  <c r="AC229" i="6" s="1"/>
  <c r="A230" i="6"/>
  <c r="N230" i="6" s="1"/>
  <c r="AP228" i="6"/>
  <c r="BG228" i="6"/>
  <c r="AB228" i="6"/>
  <c r="AK228" i="6"/>
  <c r="BA228" i="6"/>
  <c r="AD228" i="6"/>
  <c r="BC228" i="6"/>
  <c r="BF228" i="6"/>
  <c r="AR228" i="6"/>
  <c r="AG228" i="6"/>
  <c r="AQ228" i="6"/>
  <c r="AN228" i="6"/>
  <c r="BE228" i="6"/>
  <c r="AS228" i="6"/>
  <c r="AT228" i="6"/>
  <c r="BD228" i="6"/>
  <c r="AM228" i="6"/>
  <c r="AV228" i="6"/>
  <c r="AJ228" i="6"/>
  <c r="AC228" i="6"/>
  <c r="AZ228" i="6"/>
  <c r="AF228" i="6"/>
  <c r="AI228" i="6"/>
  <c r="AO228" i="6"/>
  <c r="AU228" i="6"/>
  <c r="AE228" i="6"/>
  <c r="AY228" i="6"/>
  <c r="BB228" i="6"/>
  <c r="AX228" i="6"/>
  <c r="L231" i="12" l="1"/>
  <c r="K231" i="12" s="1"/>
  <c r="B232" i="5"/>
  <c r="AE232" i="5"/>
  <c r="K232" i="5"/>
  <c r="B232" i="6"/>
  <c r="AD232" i="5"/>
  <c r="C233" i="5"/>
  <c r="N233" i="5" s="1"/>
  <c r="D233" i="6" s="1"/>
  <c r="N232" i="5"/>
  <c r="D232" i="6" s="1"/>
  <c r="H232" i="6" s="1"/>
  <c r="T232" i="5" s="1"/>
  <c r="G232" i="12" s="1"/>
  <c r="A232" i="12"/>
  <c r="L232" i="12" s="1"/>
  <c r="D232" i="5"/>
  <c r="B232" i="12" s="1"/>
  <c r="H232" i="5"/>
  <c r="F232" i="5"/>
  <c r="E232" i="5"/>
  <c r="G232" i="5"/>
  <c r="A231" i="6"/>
  <c r="N231" i="6" s="1"/>
  <c r="M230" i="6"/>
  <c r="AI230" i="6" s="1"/>
  <c r="BD229" i="6"/>
  <c r="BC229" i="6"/>
  <c r="AO229" i="6"/>
  <c r="AE229" i="6"/>
  <c r="AT229" i="6"/>
  <c r="AY229" i="6"/>
  <c r="AI229" i="6"/>
  <c r="AJ229" i="6"/>
  <c r="AK229" i="6"/>
  <c r="AZ229" i="6"/>
  <c r="AH229" i="6"/>
  <c r="AX229" i="6"/>
  <c r="AN229" i="6"/>
  <c r="BE229" i="6"/>
  <c r="AB229" i="6"/>
  <c r="AQ229" i="6"/>
  <c r="AG229" i="6"/>
  <c r="BF229" i="6"/>
  <c r="AM229" i="6"/>
  <c r="AP229" i="6"/>
  <c r="BB229" i="6"/>
  <c r="AD229" i="6"/>
  <c r="AF229" i="6"/>
  <c r="AS229" i="6"/>
  <c r="BA229" i="6"/>
  <c r="AV229" i="6"/>
  <c r="AU229" i="6"/>
  <c r="AR229" i="6"/>
  <c r="BG229" i="6"/>
  <c r="B233" i="6" l="1"/>
  <c r="H233" i="5"/>
  <c r="C234" i="5"/>
  <c r="N234" i="5" s="1"/>
  <c r="D234" i="6" s="1"/>
  <c r="D233" i="5"/>
  <c r="B233" i="12" s="1"/>
  <c r="G233" i="5"/>
  <c r="E233" i="5"/>
  <c r="AD233" i="5"/>
  <c r="AE233" i="5"/>
  <c r="F233" i="5"/>
  <c r="A233" i="12"/>
  <c r="J233" i="12" s="1"/>
  <c r="B233" i="5"/>
  <c r="K233" i="5"/>
  <c r="J233" i="5"/>
  <c r="J232" i="12"/>
  <c r="K232" i="12" s="1"/>
  <c r="A232" i="6"/>
  <c r="N232" i="6" s="1"/>
  <c r="M231" i="6"/>
  <c r="AG231" i="6" s="1"/>
  <c r="AO230" i="6"/>
  <c r="AP230" i="6"/>
  <c r="AJ230" i="6"/>
  <c r="BG230" i="6"/>
  <c r="AT230" i="6"/>
  <c r="AS230" i="6"/>
  <c r="AF230" i="6"/>
  <c r="BE230" i="6"/>
  <c r="BA230" i="6"/>
  <c r="AG230" i="6"/>
  <c r="BD230" i="6"/>
  <c r="AV230" i="6"/>
  <c r="AX230" i="6"/>
  <c r="AH230" i="6"/>
  <c r="AD230" i="6"/>
  <c r="AK230" i="6"/>
  <c r="AN230" i="6"/>
  <c r="AB230" i="6"/>
  <c r="AC230" i="6"/>
  <c r="AU230" i="6"/>
  <c r="AM230" i="6"/>
  <c r="BC230" i="6"/>
  <c r="BF230" i="6"/>
  <c r="AZ230" i="6"/>
  <c r="AE230" i="6"/>
  <c r="AQ230" i="6"/>
  <c r="AY230" i="6"/>
  <c r="BB230" i="6"/>
  <c r="AR230" i="6"/>
  <c r="H233" i="6"/>
  <c r="T233" i="5" s="1"/>
  <c r="G233" i="12" s="1"/>
  <c r="J234" i="5" l="1"/>
  <c r="B234" i="5"/>
  <c r="C235" i="5"/>
  <c r="A235" i="12" s="1"/>
  <c r="H234" i="5"/>
  <c r="E234" i="5"/>
  <c r="D234" i="5"/>
  <c r="B234" i="12" s="1"/>
  <c r="K234" i="5"/>
  <c r="F234" i="5"/>
  <c r="B234" i="6"/>
  <c r="AD234" i="5"/>
  <c r="AE234" i="5"/>
  <c r="G234" i="5"/>
  <c r="A234" i="12"/>
  <c r="L234" i="12" s="1"/>
  <c r="L233" i="12"/>
  <c r="K233" i="12" s="1"/>
  <c r="A233" i="6"/>
  <c r="N233" i="6" s="1"/>
  <c r="M232" i="6"/>
  <c r="AI232" i="6" s="1"/>
  <c r="AJ231" i="6"/>
  <c r="BG231" i="6"/>
  <c r="AO231" i="6"/>
  <c r="AY231" i="6"/>
  <c r="BA231" i="6"/>
  <c r="AZ231" i="6"/>
  <c r="AP231" i="6"/>
  <c r="BE231" i="6"/>
  <c r="AI231" i="6"/>
  <c r="AB231" i="6"/>
  <c r="AV231" i="6"/>
  <c r="AD231" i="6"/>
  <c r="AF231" i="6"/>
  <c r="BB231" i="6"/>
  <c r="AT231" i="6"/>
  <c r="AX231" i="6"/>
  <c r="AN231" i="6"/>
  <c r="AQ231" i="6"/>
  <c r="AE231" i="6"/>
  <c r="BC231" i="6"/>
  <c r="AH231" i="6"/>
  <c r="BF231" i="6"/>
  <c r="AU231" i="6"/>
  <c r="AR231" i="6"/>
  <c r="AK231" i="6"/>
  <c r="AM231" i="6"/>
  <c r="AS231" i="6"/>
  <c r="BD231" i="6"/>
  <c r="AC231" i="6"/>
  <c r="H234" i="6"/>
  <c r="T234" i="5" s="1"/>
  <c r="G234" i="12" s="1"/>
  <c r="E235" i="5" l="1"/>
  <c r="J235" i="5"/>
  <c r="K235" i="5"/>
  <c r="B235" i="6"/>
  <c r="AE235" i="5"/>
  <c r="N235" i="5"/>
  <c r="D235" i="6" s="1"/>
  <c r="H235" i="6" s="1"/>
  <c r="T235" i="5" s="1"/>
  <c r="G235" i="12" s="1"/>
  <c r="AD235" i="5"/>
  <c r="J234" i="12"/>
  <c r="K234" i="12" s="1"/>
  <c r="B235" i="5"/>
  <c r="C236" i="5" s="1"/>
  <c r="AE236" i="5" s="1"/>
  <c r="D235" i="5"/>
  <c r="B235" i="12" s="1"/>
  <c r="F235" i="5"/>
  <c r="G235" i="5"/>
  <c r="H235" i="5"/>
  <c r="A234" i="6"/>
  <c r="M234" i="6" s="1"/>
  <c r="AS234" i="6" s="1"/>
  <c r="M233" i="6"/>
  <c r="AE233" i="6" s="1"/>
  <c r="AX232" i="6"/>
  <c r="AF232" i="6"/>
  <c r="AK232" i="6"/>
  <c r="BE232" i="6"/>
  <c r="AS232" i="6"/>
  <c r="AU232" i="6"/>
  <c r="AT232" i="6"/>
  <c r="AR232" i="6"/>
  <c r="BA232" i="6"/>
  <c r="AG232" i="6"/>
  <c r="AO232" i="6"/>
  <c r="AY232" i="6"/>
  <c r="BG232" i="6"/>
  <c r="AM232" i="6"/>
  <c r="AJ232" i="6"/>
  <c r="AH232" i="6"/>
  <c r="AQ232" i="6"/>
  <c r="AV232" i="6"/>
  <c r="AE232" i="6"/>
  <c r="AC232" i="6"/>
  <c r="BD232" i="6"/>
  <c r="AB232" i="6"/>
  <c r="AD232" i="6"/>
  <c r="BC232" i="6"/>
  <c r="BB232" i="6"/>
  <c r="AP232" i="6"/>
  <c r="BF232" i="6"/>
  <c r="AN232" i="6"/>
  <c r="AZ232" i="6"/>
  <c r="F236" i="6"/>
  <c r="L235" i="12"/>
  <c r="J235" i="12"/>
  <c r="E236" i="5" l="1"/>
  <c r="G236" i="5"/>
  <c r="F236" i="5"/>
  <c r="H236" i="5"/>
  <c r="B236" i="5"/>
  <c r="A236" i="12"/>
  <c r="C237" i="5"/>
  <c r="J237" i="5" s="1"/>
  <c r="N236" i="5"/>
  <c r="D236" i="6" s="1"/>
  <c r="G236" i="6" s="1"/>
  <c r="B236" i="6"/>
  <c r="W236" i="5"/>
  <c r="H236" i="12" s="1"/>
  <c r="A235" i="6"/>
  <c r="M235" i="6" s="1"/>
  <c r="AR235" i="6" s="1"/>
  <c r="AD236" i="5"/>
  <c r="N234" i="6"/>
  <c r="BC234" i="6"/>
  <c r="AC234" i="6"/>
  <c r="BE234" i="6"/>
  <c r="AJ234" i="6"/>
  <c r="AH234" i="6"/>
  <c r="BF234" i="6"/>
  <c r="AX234" i="6"/>
  <c r="AM234" i="6"/>
  <c r="AG234" i="6"/>
  <c r="AV234" i="6"/>
  <c r="AO234" i="6"/>
  <c r="BD234" i="6"/>
  <c r="AB234" i="6"/>
  <c r="AT234" i="6"/>
  <c r="AY234" i="6"/>
  <c r="AU234" i="6"/>
  <c r="AN234" i="6"/>
  <c r="AE234" i="6"/>
  <c r="BB234" i="6"/>
  <c r="AR234" i="6"/>
  <c r="AP234" i="6"/>
  <c r="AF234" i="6"/>
  <c r="AI234" i="6"/>
  <c r="BA234" i="6"/>
  <c r="AQ234" i="6"/>
  <c r="BG234" i="6"/>
  <c r="AZ234" i="6"/>
  <c r="AK234" i="6"/>
  <c r="AD234" i="6"/>
  <c r="AB233" i="6"/>
  <c r="AO233" i="6"/>
  <c r="BG233" i="6"/>
  <c r="BA233" i="6"/>
  <c r="AC233" i="6"/>
  <c r="AR233" i="6"/>
  <c r="AI233" i="6"/>
  <c r="AF233" i="6"/>
  <c r="AM233" i="6"/>
  <c r="AZ233" i="6"/>
  <c r="AN233" i="6"/>
  <c r="AP233" i="6"/>
  <c r="AS233" i="6"/>
  <c r="BC233" i="6"/>
  <c r="AK233" i="6"/>
  <c r="AJ233" i="6"/>
  <c r="AG233" i="6"/>
  <c r="BF233" i="6"/>
  <c r="AD233" i="6"/>
  <c r="AY233" i="6"/>
  <c r="AQ233" i="6"/>
  <c r="AX233" i="6"/>
  <c r="AU233" i="6"/>
  <c r="AV233" i="6"/>
  <c r="AT233" i="6"/>
  <c r="BE233" i="6"/>
  <c r="AH233" i="6"/>
  <c r="BB233" i="6"/>
  <c r="BD233" i="6"/>
  <c r="E236" i="12"/>
  <c r="K235" i="12"/>
  <c r="B237" i="5" l="1"/>
  <c r="H236" i="6"/>
  <c r="T236" i="5" s="1"/>
  <c r="G236" i="12" s="1"/>
  <c r="G237" i="5"/>
  <c r="E237" i="5"/>
  <c r="A237" i="12"/>
  <c r="J237" i="12" s="1"/>
  <c r="AD237" i="5"/>
  <c r="C238" i="5"/>
  <c r="J238" i="5" s="1"/>
  <c r="AE237" i="5"/>
  <c r="H237" i="5"/>
  <c r="K237" i="5"/>
  <c r="F237" i="5"/>
  <c r="N237" i="5"/>
  <c r="D237" i="6" s="1"/>
  <c r="H237" i="6" s="1"/>
  <c r="T237" i="5" s="1"/>
  <c r="B237" i="6"/>
  <c r="D237" i="5"/>
  <c r="B237" i="12" s="1"/>
  <c r="AF235" i="6"/>
  <c r="AT235" i="6"/>
  <c r="AE235" i="6"/>
  <c r="AK235" i="6"/>
  <c r="AN235" i="6"/>
  <c r="AC235" i="6"/>
  <c r="BE235" i="6"/>
  <c r="AU235" i="6"/>
  <c r="AG235" i="6"/>
  <c r="AY235" i="6"/>
  <c r="AQ235" i="6"/>
  <c r="AV235" i="6"/>
  <c r="AJ235" i="6"/>
  <c r="BD235" i="6"/>
  <c r="AH235" i="6"/>
  <c r="AD235" i="6"/>
  <c r="AI235" i="6"/>
  <c r="AX235" i="6"/>
  <c r="BF235" i="6"/>
  <c r="A236" i="6"/>
  <c r="N236" i="6" s="1"/>
  <c r="BG235" i="6"/>
  <c r="AP235" i="6"/>
  <c r="BA235" i="6"/>
  <c r="AO235" i="6"/>
  <c r="N235" i="6"/>
  <c r="AB235" i="6"/>
  <c r="BB235" i="6"/>
  <c r="BC235" i="6"/>
  <c r="AZ235" i="6"/>
  <c r="AS235" i="6"/>
  <c r="AM235" i="6"/>
  <c r="M236" i="6"/>
  <c r="L237" i="12" l="1"/>
  <c r="K237" i="12" s="1"/>
  <c r="C239" i="5"/>
  <c r="N239" i="5" s="1"/>
  <c r="D239" i="6" s="1"/>
  <c r="K238" i="5"/>
  <c r="AD238" i="5"/>
  <c r="AE238" i="5"/>
  <c r="F238" i="5"/>
  <c r="AC236" i="6"/>
  <c r="B238" i="5"/>
  <c r="G238" i="5"/>
  <c r="B238" i="6"/>
  <c r="D238" i="5"/>
  <c r="B238" i="12" s="1"/>
  <c r="E238" i="5"/>
  <c r="A238" i="12"/>
  <c r="L238" i="12" s="1"/>
  <c r="H238" i="5"/>
  <c r="N238" i="5"/>
  <c r="D238" i="6" s="1"/>
  <c r="H238" i="6" s="1"/>
  <c r="T238" i="5" s="1"/>
  <c r="A237" i="6"/>
  <c r="M237" i="6" s="1"/>
  <c r="BE237" i="6" s="1"/>
  <c r="AG236" i="6"/>
  <c r="AE236" i="6"/>
  <c r="AK236" i="6"/>
  <c r="AF236" i="6"/>
  <c r="AI236" i="6"/>
  <c r="BF236" i="6"/>
  <c r="AV236" i="6"/>
  <c r="BC236" i="6"/>
  <c r="BA236" i="6"/>
  <c r="AX236" i="6"/>
  <c r="AN236" i="6"/>
  <c r="AT236" i="6"/>
  <c r="AR236" i="6"/>
  <c r="AH236" i="6"/>
  <c r="BG236" i="6"/>
  <c r="AO236" i="6"/>
  <c r="BE236" i="6"/>
  <c r="AY236" i="6"/>
  <c r="AZ236" i="6"/>
  <c r="AP236" i="6"/>
  <c r="BD236" i="6"/>
  <c r="BB236" i="6"/>
  <c r="AD236" i="6"/>
  <c r="AQ236" i="6"/>
  <c r="AU236" i="6"/>
  <c r="AS236" i="6"/>
  <c r="AM236" i="6"/>
  <c r="AJ236" i="6"/>
  <c r="AB236" i="6"/>
  <c r="G237" i="12"/>
  <c r="K239" i="5" l="1"/>
  <c r="H239" i="5"/>
  <c r="E239" i="5"/>
  <c r="AD239" i="5"/>
  <c r="F239" i="5"/>
  <c r="B239" i="6"/>
  <c r="D239" i="5"/>
  <c r="B239" i="12" s="1"/>
  <c r="J239" i="5"/>
  <c r="G239" i="5"/>
  <c r="A239" i="12"/>
  <c r="L239" i="12" s="1"/>
  <c r="B239" i="5"/>
  <c r="C240" i="5" s="1"/>
  <c r="W240" i="5" s="1"/>
  <c r="H240" i="12" s="1"/>
  <c r="AE239" i="5"/>
  <c r="J238" i="12"/>
  <c r="K238" i="12" s="1"/>
  <c r="A238" i="6"/>
  <c r="N238" i="6" s="1"/>
  <c r="N237" i="6"/>
  <c r="BF237" i="6"/>
  <c r="BG237" i="6"/>
  <c r="AK237" i="6"/>
  <c r="BD237" i="6"/>
  <c r="AO237" i="6"/>
  <c r="AR237" i="6"/>
  <c r="AZ237" i="6"/>
  <c r="BA237" i="6"/>
  <c r="AH237" i="6"/>
  <c r="AX237" i="6"/>
  <c r="AV237" i="6"/>
  <c r="AD237" i="6"/>
  <c r="AN237" i="6"/>
  <c r="AQ237" i="6"/>
  <c r="AG237" i="6"/>
  <c r="AC237" i="6"/>
  <c r="AY237" i="6"/>
  <c r="AJ237" i="6"/>
  <c r="AI237" i="6"/>
  <c r="AF237" i="6"/>
  <c r="AT237" i="6"/>
  <c r="AP237" i="6"/>
  <c r="AS237" i="6"/>
  <c r="AE237" i="6"/>
  <c r="BC237" i="6"/>
  <c r="AU237" i="6"/>
  <c r="AB237" i="6"/>
  <c r="AM237" i="6"/>
  <c r="BB237" i="6"/>
  <c r="G238" i="12"/>
  <c r="H239" i="6"/>
  <c r="T239" i="5" s="1"/>
  <c r="K213" i="5"/>
  <c r="J191" i="5"/>
  <c r="K190" i="5"/>
  <c r="K184" i="5"/>
  <c r="K177" i="5"/>
  <c r="J165" i="5"/>
  <c r="J162" i="5"/>
  <c r="K162" i="5"/>
  <c r="K161" i="5"/>
  <c r="D161" i="5" s="1"/>
  <c r="J161" i="5"/>
  <c r="J144" i="5"/>
  <c r="K144" i="5"/>
  <c r="K136" i="5"/>
  <c r="J136" i="5"/>
  <c r="J135" i="5"/>
  <c r="K135" i="5"/>
  <c r="D135" i="5" s="1"/>
  <c r="K131" i="5"/>
  <c r="J131" i="5"/>
  <c r="K119" i="5"/>
  <c r="J124" i="5"/>
  <c r="K124" i="5"/>
  <c r="K123" i="5"/>
  <c r="J122" i="5"/>
  <c r="K122" i="5"/>
  <c r="D122" i="5" s="1"/>
  <c r="J120" i="5"/>
  <c r="D120" i="5" s="1"/>
  <c r="B120" i="12" s="1"/>
  <c r="J119" i="5"/>
  <c r="J108" i="5"/>
  <c r="K108" i="5"/>
  <c r="K121" i="5"/>
  <c r="J121" i="5"/>
  <c r="J113" i="5"/>
  <c r="K113" i="5"/>
  <c r="D113" i="5" s="1"/>
  <c r="K106" i="5"/>
  <c r="J106" i="5"/>
  <c r="K105" i="5"/>
  <c r="K86" i="5"/>
  <c r="K78" i="5"/>
  <c r="J60" i="5"/>
  <c r="K60" i="5"/>
  <c r="K59" i="5"/>
  <c r="J48" i="5"/>
  <c r="K48" i="5"/>
  <c r="K40" i="5"/>
  <c r="J40" i="5"/>
  <c r="J36" i="5"/>
  <c r="K36" i="5"/>
  <c r="K35" i="5"/>
  <c r="K27" i="5"/>
  <c r="K26" i="5"/>
  <c r="D26" i="5" s="1"/>
  <c r="J26" i="5"/>
  <c r="K24" i="5"/>
  <c r="D24" i="5" s="1"/>
  <c r="J24" i="5"/>
  <c r="K17" i="5"/>
  <c r="J239" i="12" l="1"/>
  <c r="K239" i="12" s="1"/>
  <c r="E240" i="5"/>
  <c r="R240" i="5"/>
  <c r="E240" i="12" s="1"/>
  <c r="A240" i="12"/>
  <c r="B240" i="6"/>
  <c r="A240" i="6" s="1"/>
  <c r="H240" i="5"/>
  <c r="F240" i="5"/>
  <c r="K206" i="5" s="1"/>
  <c r="AD240" i="5"/>
  <c r="AE240" i="5"/>
  <c r="B240" i="5"/>
  <c r="C241" i="5" s="1"/>
  <c r="R241" i="5" s="1"/>
  <c r="F241" i="6" s="1"/>
  <c r="G240" i="5"/>
  <c r="N240" i="5"/>
  <c r="D240" i="6" s="1"/>
  <c r="AU240" i="6" s="1"/>
  <c r="M238" i="6"/>
  <c r="AZ238" i="6" s="1"/>
  <c r="A239" i="6"/>
  <c r="M239" i="6" s="1"/>
  <c r="BG239" i="6" s="1"/>
  <c r="G239" i="12"/>
  <c r="D119" i="5"/>
  <c r="B119" i="12" s="1"/>
  <c r="D144" i="5"/>
  <c r="B144" i="12" s="1"/>
  <c r="D162" i="5"/>
  <c r="B162" i="12" s="1"/>
  <c r="D136" i="5"/>
  <c r="B136" i="12" s="1"/>
  <c r="D124" i="5"/>
  <c r="B124" i="12" s="1"/>
  <c r="B161" i="12"/>
  <c r="D131" i="5"/>
  <c r="B131" i="12" s="1"/>
  <c r="B135" i="12"/>
  <c r="B122" i="12"/>
  <c r="D106" i="5"/>
  <c r="B106" i="12" s="1"/>
  <c r="D121" i="5"/>
  <c r="B121" i="12" s="1"/>
  <c r="D108" i="5"/>
  <c r="B108" i="12" s="1"/>
  <c r="B113" i="12"/>
  <c r="D60" i="5"/>
  <c r="B60" i="12" s="1"/>
  <c r="D48" i="5"/>
  <c r="B48" i="12" s="1"/>
  <c r="D40" i="5"/>
  <c r="B40" i="12" s="1"/>
  <c r="D36" i="5"/>
  <c r="B36" i="12" s="1"/>
  <c r="B26" i="12"/>
  <c r="B24" i="12"/>
  <c r="F240" i="6" l="1"/>
  <c r="H241" i="5"/>
  <c r="G241" i="5"/>
  <c r="AD241" i="5"/>
  <c r="A241" i="12"/>
  <c r="B241" i="6"/>
  <c r="N241" i="5"/>
  <c r="D241" i="6" s="1"/>
  <c r="G241" i="6" s="1"/>
  <c r="G240" i="6"/>
  <c r="BB240" i="6"/>
  <c r="E241" i="12"/>
  <c r="BC240" i="6"/>
  <c r="AS240" i="6"/>
  <c r="F241" i="5"/>
  <c r="N240" i="6"/>
  <c r="AR240" i="6"/>
  <c r="AM240" i="6"/>
  <c r="AO240" i="6"/>
  <c r="AX240" i="6"/>
  <c r="AY240" i="6"/>
  <c r="B241" i="5"/>
  <c r="AV240" i="6"/>
  <c r="BE240" i="6"/>
  <c r="E241" i="5"/>
  <c r="BD240" i="6"/>
  <c r="BA240" i="6"/>
  <c r="C242" i="5"/>
  <c r="C243" i="5" s="1"/>
  <c r="N243" i="5" s="1"/>
  <c r="D243" i="6" s="1"/>
  <c r="AQ240" i="6"/>
  <c r="BG240" i="6"/>
  <c r="AE241" i="5"/>
  <c r="AZ240" i="6"/>
  <c r="H240" i="6"/>
  <c r="T240" i="5" s="1"/>
  <c r="G240" i="12" s="1"/>
  <c r="AP240" i="6"/>
  <c r="M240" i="6"/>
  <c r="AT240" i="6" s="1"/>
  <c r="W241" i="5"/>
  <c r="H241" i="12" s="1"/>
  <c r="AN240" i="6"/>
  <c r="BF240" i="6"/>
  <c r="BB238" i="6"/>
  <c r="AF238" i="6"/>
  <c r="AM238" i="6"/>
  <c r="AD238" i="6"/>
  <c r="AP238" i="6"/>
  <c r="AE238" i="6"/>
  <c r="AT238" i="6"/>
  <c r="BC238" i="6"/>
  <c r="AY238" i="6"/>
  <c r="AU238" i="6"/>
  <c r="BD238" i="6"/>
  <c r="AH238" i="6"/>
  <c r="AJ238" i="6"/>
  <c r="AO238" i="6"/>
  <c r="AC238" i="6"/>
  <c r="AN238" i="6"/>
  <c r="BA238" i="6"/>
  <c r="AK238" i="6"/>
  <c r="AQ238" i="6"/>
  <c r="BG238" i="6"/>
  <c r="AX238" i="6"/>
  <c r="AG238" i="6"/>
  <c r="AV238" i="6"/>
  <c r="BF238" i="6"/>
  <c r="AI238" i="6"/>
  <c r="AS238" i="6"/>
  <c r="AR238" i="6"/>
  <c r="AB238" i="6"/>
  <c r="BE238" i="6"/>
  <c r="N239" i="6"/>
  <c r="AC239" i="6"/>
  <c r="AM239" i="6"/>
  <c r="AY239" i="6"/>
  <c r="AS239" i="6"/>
  <c r="BF239" i="6"/>
  <c r="AQ239" i="6"/>
  <c r="AF239" i="6"/>
  <c r="AN239" i="6"/>
  <c r="BD239" i="6"/>
  <c r="AT239" i="6"/>
  <c r="AK239" i="6"/>
  <c r="AI239" i="6"/>
  <c r="AH239" i="6"/>
  <c r="BA239" i="6"/>
  <c r="AB239" i="6"/>
  <c r="AO239" i="6"/>
  <c r="AG239" i="6"/>
  <c r="AP239" i="6"/>
  <c r="AV239" i="6"/>
  <c r="AU239" i="6"/>
  <c r="AE239" i="6"/>
  <c r="BB239" i="6"/>
  <c r="BE239" i="6"/>
  <c r="AX239" i="6"/>
  <c r="AD239" i="6"/>
  <c r="BC239" i="6"/>
  <c r="AZ239" i="6"/>
  <c r="AJ239" i="6"/>
  <c r="AR239" i="6"/>
  <c r="L120" i="12"/>
  <c r="J120" i="12"/>
  <c r="AK240" i="6" l="1"/>
  <c r="BD241" i="6"/>
  <c r="AR241" i="6"/>
  <c r="BG241" i="6"/>
  <c r="H241" i="6"/>
  <c r="T241" i="5" s="1"/>
  <c r="G241" i="12" s="1"/>
  <c r="AS241" i="6"/>
  <c r="AO241" i="6"/>
  <c r="AY241" i="6"/>
  <c r="AQ241" i="6"/>
  <c r="BA241" i="6"/>
  <c r="BC241" i="6"/>
  <c r="AT241" i="6"/>
  <c r="A241" i="6"/>
  <c r="M241" i="6" s="1"/>
  <c r="AP241" i="6" s="1"/>
  <c r="AM241" i="6"/>
  <c r="N241" i="6"/>
  <c r="BF241" i="6"/>
  <c r="AX241" i="6"/>
  <c r="AZ241" i="6"/>
  <c r="AN241" i="6"/>
  <c r="BE241" i="6"/>
  <c r="AD243" i="5"/>
  <c r="A242" i="12"/>
  <c r="J242" i="12" s="1"/>
  <c r="AH240" i="6"/>
  <c r="BB241" i="6"/>
  <c r="AJ240" i="6"/>
  <c r="AD240" i="6"/>
  <c r="AB240" i="6"/>
  <c r="AU241" i="6"/>
  <c r="AV241" i="6"/>
  <c r="AF240" i="6"/>
  <c r="AE240" i="6"/>
  <c r="AC240" i="6"/>
  <c r="AG240" i="6"/>
  <c r="AI240" i="6"/>
  <c r="K242" i="5"/>
  <c r="D243" i="5"/>
  <c r="B243" i="12" s="1"/>
  <c r="AD242" i="5"/>
  <c r="K243" i="5"/>
  <c r="D242" i="5"/>
  <c r="B242" i="12" s="1"/>
  <c r="AE243" i="5"/>
  <c r="A243" i="12"/>
  <c r="J243" i="12" s="1"/>
  <c r="N242" i="5"/>
  <c r="D242" i="6" s="1"/>
  <c r="H242" i="6" s="1"/>
  <c r="T242" i="5" s="1"/>
  <c r="G242" i="12" s="1"/>
  <c r="B243" i="6"/>
  <c r="F242" i="5"/>
  <c r="F243" i="5" s="1"/>
  <c r="C244" i="5"/>
  <c r="D244" i="5" s="1"/>
  <c r="B244" i="12" s="1"/>
  <c r="E242" i="5"/>
  <c r="E243" i="5" s="1"/>
  <c r="G242" i="5"/>
  <c r="G243" i="5" s="1"/>
  <c r="AE242" i="5"/>
  <c r="B242" i="5"/>
  <c r="B243" i="5" s="1"/>
  <c r="J243" i="5"/>
  <c r="J242" i="5"/>
  <c r="H242" i="5"/>
  <c r="H243" i="5" s="1"/>
  <c r="B242" i="6"/>
  <c r="H243" i="6"/>
  <c r="T243" i="5" s="1"/>
  <c r="G243" i="12" s="1"/>
  <c r="K120" i="12"/>
  <c r="AJ241" i="6" l="1"/>
  <c r="AI241" i="6"/>
  <c r="AF241" i="6"/>
  <c r="AH241" i="6"/>
  <c r="AC241" i="6"/>
  <c r="AB241" i="6"/>
  <c r="AG241" i="6"/>
  <c r="L242" i="12"/>
  <c r="K242" i="12" s="1"/>
  <c r="AK241" i="6"/>
  <c r="AE241" i="6"/>
  <c r="AD241" i="6"/>
  <c r="B244" i="6"/>
  <c r="L243" i="12"/>
  <c r="K243" i="12" s="1"/>
  <c r="A244" i="12"/>
  <c r="L244" i="12" s="1"/>
  <c r="G244" i="5"/>
  <c r="K244" i="5"/>
  <c r="J244" i="5"/>
  <c r="C245" i="5"/>
  <c r="B244" i="5"/>
  <c r="AE244" i="5"/>
  <c r="F244" i="5"/>
  <c r="N244" i="5"/>
  <c r="D244" i="6" s="1"/>
  <c r="H244" i="6" s="1"/>
  <c r="T244" i="5" s="1"/>
  <c r="G244" i="12" s="1"/>
  <c r="AD244" i="5"/>
  <c r="H244" i="5"/>
  <c r="A242" i="6"/>
  <c r="M242" i="6" s="1"/>
  <c r="AZ242" i="6" s="1"/>
  <c r="E244" i="5"/>
  <c r="L26" i="12"/>
  <c r="J26" i="12"/>
  <c r="J244" i="12" l="1"/>
  <c r="K244" i="12" s="1"/>
  <c r="B245" i="5"/>
  <c r="G245" i="5"/>
  <c r="H245" i="5"/>
  <c r="J245" i="5"/>
  <c r="A245" i="12"/>
  <c r="J245" i="12" s="1"/>
  <c r="AE245" i="5"/>
  <c r="F245" i="5"/>
  <c r="K245" i="5"/>
  <c r="N245" i="5"/>
  <c r="D245" i="6" s="1"/>
  <c r="H245" i="6" s="1"/>
  <c r="T245" i="5" s="1"/>
  <c r="G245" i="12" s="1"/>
  <c r="N242" i="6"/>
  <c r="C246" i="5"/>
  <c r="E245" i="5"/>
  <c r="B245" i="6"/>
  <c r="A243" i="6"/>
  <c r="N243" i="6" s="1"/>
  <c r="D245" i="5"/>
  <c r="B245" i="12" s="1"/>
  <c r="AD245" i="5"/>
  <c r="AU242" i="6"/>
  <c r="AR242" i="6"/>
  <c r="AE242" i="6"/>
  <c r="BG242" i="6"/>
  <c r="AJ242" i="6"/>
  <c r="AN242" i="6"/>
  <c r="AC242" i="6"/>
  <c r="AY242" i="6"/>
  <c r="AP242" i="6"/>
  <c r="BD242" i="6"/>
  <c r="BB242" i="6"/>
  <c r="AM242" i="6"/>
  <c r="AO242" i="6"/>
  <c r="AI242" i="6"/>
  <c r="BE242" i="6"/>
  <c r="BF242" i="6"/>
  <c r="AG242" i="6"/>
  <c r="AD242" i="6"/>
  <c r="AV242" i="6"/>
  <c r="AT242" i="6"/>
  <c r="AS242" i="6"/>
  <c r="AF242" i="6"/>
  <c r="BA242" i="6"/>
  <c r="AX242" i="6"/>
  <c r="BC242" i="6"/>
  <c r="AH242" i="6"/>
  <c r="AK242" i="6"/>
  <c r="AB242" i="6"/>
  <c r="AQ242" i="6"/>
  <c r="L161" i="12"/>
  <c r="J161" i="12"/>
  <c r="L135" i="12"/>
  <c r="J135" i="12"/>
  <c r="J122" i="12"/>
  <c r="L122" i="12"/>
  <c r="J121" i="12"/>
  <c r="L121" i="12"/>
  <c r="L113" i="12"/>
  <c r="J113" i="12"/>
  <c r="K26" i="12"/>
  <c r="L24" i="12"/>
  <c r="J24" i="12"/>
  <c r="G246" i="5" l="1"/>
  <c r="E246" i="5"/>
  <c r="B246" i="5"/>
  <c r="H246" i="5"/>
  <c r="A246" i="12"/>
  <c r="J246" i="12" s="1"/>
  <c r="AE246" i="5"/>
  <c r="K246" i="5"/>
  <c r="C247" i="5"/>
  <c r="AD246" i="5"/>
  <c r="F246" i="5"/>
  <c r="B246" i="6"/>
  <c r="N246" i="5"/>
  <c r="D246" i="6" s="1"/>
  <c r="H246" i="6" s="1"/>
  <c r="T246" i="5" s="1"/>
  <c r="G246" i="12" s="1"/>
  <c r="J246" i="5"/>
  <c r="L245" i="12"/>
  <c r="K245" i="12" s="1"/>
  <c r="D246" i="5"/>
  <c r="B246" i="12" s="1"/>
  <c r="M243" i="6"/>
  <c r="AE243" i="6" s="1"/>
  <c r="A244" i="6"/>
  <c r="M244" i="6" s="1"/>
  <c r="AQ244" i="6" s="1"/>
  <c r="K161" i="12"/>
  <c r="K135" i="12"/>
  <c r="K122" i="12"/>
  <c r="K121" i="12"/>
  <c r="K113" i="12"/>
  <c r="K24" i="12"/>
  <c r="G247" i="5" l="1"/>
  <c r="L246" i="12"/>
  <c r="K246" i="12" s="1"/>
  <c r="F247" i="5"/>
  <c r="N247" i="5"/>
  <c r="D247" i="6" s="1"/>
  <c r="H247" i="6" s="1"/>
  <c r="T247" i="5" s="1"/>
  <c r="G247" i="12" s="1"/>
  <c r="C248" i="5"/>
  <c r="AD248" i="5" s="1"/>
  <c r="E247" i="5"/>
  <c r="B247" i="5"/>
  <c r="J247" i="5"/>
  <c r="AD247" i="5"/>
  <c r="AE247" i="5"/>
  <c r="D247" i="5"/>
  <c r="B247" i="12" s="1"/>
  <c r="B247" i="6"/>
  <c r="K247" i="5"/>
  <c r="A245" i="6"/>
  <c r="M245" i="6" s="1"/>
  <c r="AV245" i="6" s="1"/>
  <c r="H247" i="5"/>
  <c r="A247" i="12"/>
  <c r="J247" i="12" s="1"/>
  <c r="N244" i="6"/>
  <c r="BG243" i="6"/>
  <c r="AZ243" i="6"/>
  <c r="AO243" i="6"/>
  <c r="AY243" i="6"/>
  <c r="AK243" i="6"/>
  <c r="AG243" i="6"/>
  <c r="AS243" i="6"/>
  <c r="BA243" i="6"/>
  <c r="BE243" i="6"/>
  <c r="AJ243" i="6"/>
  <c r="AV243" i="6"/>
  <c r="BC243" i="6"/>
  <c r="AM243" i="6"/>
  <c r="BF243" i="6"/>
  <c r="BB243" i="6"/>
  <c r="AN243" i="6"/>
  <c r="AU243" i="6"/>
  <c r="AD243" i="6"/>
  <c r="AI243" i="6"/>
  <c r="AF243" i="6"/>
  <c r="AT243" i="6"/>
  <c r="AC243" i="6"/>
  <c r="AH243" i="6"/>
  <c r="AR243" i="6"/>
  <c r="BD243" i="6"/>
  <c r="AB243" i="6"/>
  <c r="AQ243" i="6"/>
  <c r="AP243" i="6"/>
  <c r="AX243" i="6"/>
  <c r="AV244" i="6"/>
  <c r="AZ244" i="6"/>
  <c r="AF244" i="6"/>
  <c r="BE244" i="6"/>
  <c r="AY244" i="6"/>
  <c r="AU244" i="6"/>
  <c r="AB244" i="6"/>
  <c r="BA244" i="6"/>
  <c r="AR244" i="6"/>
  <c r="AP244" i="6"/>
  <c r="AH244" i="6"/>
  <c r="AS244" i="6"/>
  <c r="AK244" i="6"/>
  <c r="BB244" i="6"/>
  <c r="AJ244" i="6"/>
  <c r="AX244" i="6"/>
  <c r="AE244" i="6"/>
  <c r="AD244" i="6"/>
  <c r="AC244" i="6"/>
  <c r="AT244" i="6"/>
  <c r="BD244" i="6"/>
  <c r="AN244" i="6"/>
  <c r="AI244" i="6"/>
  <c r="BC244" i="6"/>
  <c r="BF244" i="6"/>
  <c r="AG244" i="6"/>
  <c r="AO244" i="6"/>
  <c r="BG244" i="6"/>
  <c r="AM244" i="6"/>
  <c r="AE248" i="5" l="1"/>
  <c r="J248" i="5"/>
  <c r="N248" i="5"/>
  <c r="D248" i="6" s="1"/>
  <c r="H248" i="6" s="1"/>
  <c r="T248" i="5" s="1"/>
  <c r="G248" i="12" s="1"/>
  <c r="K248" i="5"/>
  <c r="B248" i="5"/>
  <c r="C249" i="5"/>
  <c r="C250" i="5" s="1"/>
  <c r="AE250" i="5" s="1"/>
  <c r="B248" i="6"/>
  <c r="D248" i="5"/>
  <c r="B248" i="12" s="1"/>
  <c r="E248" i="5"/>
  <c r="A248" i="12"/>
  <c r="L248" i="12" s="1"/>
  <c r="G248" i="5"/>
  <c r="F248" i="5"/>
  <c r="A246" i="6"/>
  <c r="N246" i="6" s="1"/>
  <c r="H248" i="5"/>
  <c r="N245" i="6"/>
  <c r="L247" i="12"/>
  <c r="K247" i="12" s="1"/>
  <c r="BC245" i="6"/>
  <c r="AT245" i="6"/>
  <c r="AS245" i="6"/>
  <c r="AR245" i="6"/>
  <c r="AD245" i="6"/>
  <c r="AQ245" i="6"/>
  <c r="BE245" i="6"/>
  <c r="AO245" i="6"/>
  <c r="BD245" i="6"/>
  <c r="AU245" i="6"/>
  <c r="AI245" i="6"/>
  <c r="AB245" i="6"/>
  <c r="AY245" i="6"/>
  <c r="AK245" i="6"/>
  <c r="BB245" i="6"/>
  <c r="AH245" i="6"/>
  <c r="AM245" i="6"/>
  <c r="AF245" i="6"/>
  <c r="AC245" i="6"/>
  <c r="AJ245" i="6"/>
  <c r="AE245" i="6"/>
  <c r="AX245" i="6"/>
  <c r="AG245" i="6"/>
  <c r="AZ245" i="6"/>
  <c r="BA245" i="6"/>
  <c r="BF245" i="6"/>
  <c r="BG245" i="6"/>
  <c r="AN245" i="6"/>
  <c r="AP245" i="6"/>
  <c r="N249" i="5" l="1"/>
  <c r="D249" i="6" s="1"/>
  <c r="H249" i="6" s="1"/>
  <c r="T249" i="5" s="1"/>
  <c r="G249" i="12" s="1"/>
  <c r="B249" i="6"/>
  <c r="J250" i="5"/>
  <c r="G249" i="5"/>
  <c r="G250" i="5" s="1"/>
  <c r="A249" i="12"/>
  <c r="J249" i="12" s="1"/>
  <c r="AE249" i="5"/>
  <c r="K249" i="5"/>
  <c r="D250" i="5"/>
  <c r="B250" i="12" s="1"/>
  <c r="F249" i="5"/>
  <c r="F250" i="5" s="1"/>
  <c r="E249" i="5"/>
  <c r="E250" i="5" s="1"/>
  <c r="K250" i="5"/>
  <c r="J249" i="5"/>
  <c r="AD249" i="5"/>
  <c r="B249" i="5"/>
  <c r="B250" i="5" s="1"/>
  <c r="C251" i="5" s="1"/>
  <c r="W251" i="5" s="1"/>
  <c r="H251" i="12" s="1"/>
  <c r="D249" i="5"/>
  <c r="B249" i="12" s="1"/>
  <c r="M246" i="6"/>
  <c r="AQ246" i="6" s="1"/>
  <c r="J248" i="12"/>
  <c r="K248" i="12" s="1"/>
  <c r="A250" i="12"/>
  <c r="J250" i="12" s="1"/>
  <c r="N250" i="5"/>
  <c r="D250" i="6" s="1"/>
  <c r="AD250" i="5"/>
  <c r="B250" i="6"/>
  <c r="A247" i="6"/>
  <c r="N247" i="6" s="1"/>
  <c r="H249" i="5"/>
  <c r="H250" i="5" s="1"/>
  <c r="L249" i="12" l="1"/>
  <c r="K249" i="12" s="1"/>
  <c r="L250" i="12"/>
  <c r="K250" i="12" s="1"/>
  <c r="AF246" i="6"/>
  <c r="AS246" i="6"/>
  <c r="BE246" i="6"/>
  <c r="AC246" i="6"/>
  <c r="BG246" i="6"/>
  <c r="AT246" i="6"/>
  <c r="BB246" i="6"/>
  <c r="AE246" i="6"/>
  <c r="AX246" i="6"/>
  <c r="AB246" i="6"/>
  <c r="BD246" i="6"/>
  <c r="BC246" i="6"/>
  <c r="AH246" i="6"/>
  <c r="AN246" i="6"/>
  <c r="AM246" i="6"/>
  <c r="AK246" i="6"/>
  <c r="AJ246" i="6"/>
  <c r="BF246" i="6"/>
  <c r="AP246" i="6"/>
  <c r="AG246" i="6"/>
  <c r="AD246" i="6"/>
  <c r="AI246" i="6"/>
  <c r="AV246" i="6"/>
  <c r="AU246" i="6"/>
  <c r="AZ246" i="6"/>
  <c r="BA246" i="6"/>
  <c r="AY246" i="6"/>
  <c r="AR246" i="6"/>
  <c r="AO246" i="6"/>
  <c r="A248" i="6"/>
  <c r="N248" i="6" s="1"/>
  <c r="M247" i="6"/>
  <c r="BG247" i="6" s="1"/>
  <c r="AE251" i="5"/>
  <c r="B251" i="6"/>
  <c r="N251" i="5"/>
  <c r="D251" i="6" s="1"/>
  <c r="H251" i="6" s="1"/>
  <c r="T251" i="5" s="1"/>
  <c r="G251" i="12" s="1"/>
  <c r="F251" i="5"/>
  <c r="A251" i="12"/>
  <c r="E251" i="5"/>
  <c r="AD251" i="5"/>
  <c r="G251" i="5"/>
  <c r="K241" i="5" s="1"/>
  <c r="C252" i="5"/>
  <c r="K252" i="5" s="1"/>
  <c r="B251" i="5"/>
  <c r="R251" i="5"/>
  <c r="F251" i="6" s="1"/>
  <c r="H251" i="5"/>
  <c r="H250" i="6"/>
  <c r="T250" i="5" s="1"/>
  <c r="A249" i="6" l="1"/>
  <c r="M249" i="6" s="1"/>
  <c r="BC249" i="6" s="1"/>
  <c r="M248" i="6"/>
  <c r="AU248" i="6" s="1"/>
  <c r="BD247" i="6"/>
  <c r="AV247" i="6"/>
  <c r="AF247" i="6"/>
  <c r="AZ247" i="6"/>
  <c r="AR247" i="6"/>
  <c r="AG247" i="6"/>
  <c r="AP247" i="6"/>
  <c r="AY247" i="6"/>
  <c r="AH247" i="6"/>
  <c r="AJ247" i="6"/>
  <c r="BC247" i="6"/>
  <c r="BA247" i="6"/>
  <c r="AU247" i="6"/>
  <c r="AE247" i="6"/>
  <c r="AB247" i="6"/>
  <c r="AC247" i="6"/>
  <c r="AD247" i="6"/>
  <c r="AM247" i="6"/>
  <c r="BF247" i="6"/>
  <c r="AX247" i="6"/>
  <c r="AS247" i="6"/>
  <c r="AT247" i="6"/>
  <c r="BE247" i="6"/>
  <c r="AQ247" i="6"/>
  <c r="AO247" i="6"/>
  <c r="BB247" i="6"/>
  <c r="AN247" i="6"/>
  <c r="AK247" i="6"/>
  <c r="AI247" i="6"/>
  <c r="B252" i="6"/>
  <c r="BA251" i="6"/>
  <c r="AZ251" i="6"/>
  <c r="BD251" i="6"/>
  <c r="A252" i="12"/>
  <c r="L252" i="12" s="1"/>
  <c r="B252" i="5"/>
  <c r="AD252" i="5"/>
  <c r="D252" i="5"/>
  <c r="B252" i="12" s="1"/>
  <c r="AE252" i="5"/>
  <c r="N252" i="5"/>
  <c r="D252" i="6" s="1"/>
  <c r="H252" i="6" s="1"/>
  <c r="T252" i="5" s="1"/>
  <c r="G252" i="12" s="1"/>
  <c r="C253" i="5"/>
  <c r="K253" i="5" s="1"/>
  <c r="F252" i="5"/>
  <c r="J252" i="5"/>
  <c r="E252" i="5"/>
  <c r="E251" i="12"/>
  <c r="AP251" i="6"/>
  <c r="BC251" i="6"/>
  <c r="BB251" i="6"/>
  <c r="AQ251" i="6"/>
  <c r="AR251" i="6"/>
  <c r="AV251" i="6"/>
  <c r="BF251" i="6"/>
  <c r="AO251" i="6"/>
  <c r="AM251" i="6"/>
  <c r="BG251" i="6"/>
  <c r="AT251" i="6"/>
  <c r="AY251" i="6"/>
  <c r="AU251" i="6"/>
  <c r="AX251" i="6"/>
  <c r="AN251" i="6"/>
  <c r="G251" i="6"/>
  <c r="AS251" i="6"/>
  <c r="N251" i="6"/>
  <c r="H252" i="5"/>
  <c r="G252" i="5"/>
  <c r="G250" i="12"/>
  <c r="N249" i="6" l="1"/>
  <c r="A250" i="6"/>
  <c r="M250" i="6" s="1"/>
  <c r="BC250" i="6" s="1"/>
  <c r="BB249" i="6"/>
  <c r="AK249" i="6"/>
  <c r="AB249" i="6"/>
  <c r="BF249" i="6"/>
  <c r="BD249" i="6"/>
  <c r="AN249" i="6"/>
  <c r="AS249" i="6"/>
  <c r="AZ249" i="6"/>
  <c r="AP249" i="6"/>
  <c r="AG249" i="6"/>
  <c r="BA249" i="6"/>
  <c r="AU249" i="6"/>
  <c r="AF249" i="6"/>
  <c r="AR249" i="6"/>
  <c r="AO249" i="6"/>
  <c r="BE249" i="6"/>
  <c r="AT249" i="6"/>
  <c r="AD249" i="6"/>
  <c r="AE249" i="6"/>
  <c r="BG249" i="6"/>
  <c r="AH249" i="6"/>
  <c r="AJ249" i="6"/>
  <c r="AM249" i="6"/>
  <c r="AV249" i="6"/>
  <c r="AI249" i="6"/>
  <c r="AQ249" i="6"/>
  <c r="AY249" i="6"/>
  <c r="AC249" i="6"/>
  <c r="AX249" i="6"/>
  <c r="BD248" i="6"/>
  <c r="AB248" i="6"/>
  <c r="BF248" i="6"/>
  <c r="AX248" i="6"/>
  <c r="AK248" i="6"/>
  <c r="AJ248" i="6"/>
  <c r="BE248" i="6"/>
  <c r="AF248" i="6"/>
  <c r="AI248" i="6"/>
  <c r="AE248" i="6"/>
  <c r="BA248" i="6"/>
  <c r="AR248" i="6"/>
  <c r="AP248" i="6"/>
  <c r="AN248" i="6"/>
  <c r="AV248" i="6"/>
  <c r="AY248" i="6"/>
  <c r="BC248" i="6"/>
  <c r="AC248" i="6"/>
  <c r="AH248" i="6"/>
  <c r="AT248" i="6"/>
  <c r="AQ248" i="6"/>
  <c r="AD248" i="6"/>
  <c r="AO248" i="6"/>
  <c r="AZ248" i="6"/>
  <c r="AG248" i="6"/>
  <c r="AS248" i="6"/>
  <c r="AM248" i="6"/>
  <c r="BG248" i="6"/>
  <c r="BB248" i="6"/>
  <c r="J252" i="12"/>
  <c r="K252" i="12" s="1"/>
  <c r="N253" i="5"/>
  <c r="D253" i="6" s="1"/>
  <c r="H253" i="6" s="1"/>
  <c r="T253" i="5" s="1"/>
  <c r="G253" i="12" s="1"/>
  <c r="J253" i="5"/>
  <c r="B253" i="6"/>
  <c r="E253" i="5"/>
  <c r="AD253" i="5"/>
  <c r="B253" i="5"/>
  <c r="C254" i="5" s="1"/>
  <c r="A253" i="12"/>
  <c r="L253" i="12" s="1"/>
  <c r="AE253" i="5"/>
  <c r="D253" i="5"/>
  <c r="B253" i="12" s="1"/>
  <c r="H253" i="5"/>
  <c r="F253" i="5"/>
  <c r="G253" i="5"/>
  <c r="N250" i="6" l="1"/>
  <c r="AJ250" i="6"/>
  <c r="AD250" i="6"/>
  <c r="BA250" i="6"/>
  <c r="AC250" i="6"/>
  <c r="AV250" i="6"/>
  <c r="AZ250" i="6"/>
  <c r="AO250" i="6"/>
  <c r="AB250" i="6"/>
  <c r="AK250" i="6"/>
  <c r="AE250" i="6"/>
  <c r="AX250" i="6"/>
  <c r="BG250" i="6"/>
  <c r="AY250" i="6"/>
  <c r="AF250" i="6"/>
  <c r="BF250" i="6"/>
  <c r="BD250" i="6"/>
  <c r="AG250" i="6"/>
  <c r="AI250" i="6"/>
  <c r="AS250" i="6"/>
  <c r="AT250" i="6"/>
  <c r="BE250" i="6"/>
  <c r="AQ250" i="6"/>
  <c r="AU250" i="6"/>
  <c r="AN250" i="6"/>
  <c r="AR250" i="6"/>
  <c r="AP250" i="6"/>
  <c r="AM250" i="6"/>
  <c r="A251" i="6"/>
  <c r="AH250" i="6"/>
  <c r="BB250" i="6"/>
  <c r="G254" i="5"/>
  <c r="J253" i="12"/>
  <c r="K253" i="12" s="1"/>
  <c r="B254" i="6"/>
  <c r="N254" i="5"/>
  <c r="D254" i="6" s="1"/>
  <c r="BD254" i="6" s="1"/>
  <c r="E254" i="5"/>
  <c r="AD254" i="5"/>
  <c r="A254" i="12"/>
  <c r="B254" i="5"/>
  <c r="C255" i="5"/>
  <c r="B255" i="6" s="1"/>
  <c r="W254" i="5"/>
  <c r="H254" i="12" s="1"/>
  <c r="H254" i="5"/>
  <c r="AE254" i="5"/>
  <c r="F254" i="5"/>
  <c r="R254" i="5"/>
  <c r="F254" i="6" s="1"/>
  <c r="M251" i="6" l="1"/>
  <c r="A252" i="6"/>
  <c r="AZ254" i="6"/>
  <c r="AY254" i="6"/>
  <c r="BG254" i="6"/>
  <c r="AO254" i="6"/>
  <c r="AV254" i="6"/>
  <c r="AP254" i="6"/>
  <c r="BA254" i="6"/>
  <c r="BF254" i="6"/>
  <c r="BC254" i="6"/>
  <c r="AU254" i="6"/>
  <c r="BB254" i="6"/>
  <c r="N254" i="6"/>
  <c r="AX254" i="6"/>
  <c r="AN254" i="6"/>
  <c r="AQ254" i="6"/>
  <c r="G254" i="6"/>
  <c r="AM254" i="6"/>
  <c r="H254" i="6"/>
  <c r="T254" i="5" s="1"/>
  <c r="G254" i="12" s="1"/>
  <c r="AS254" i="6"/>
  <c r="BE254" i="6"/>
  <c r="AR254" i="6"/>
  <c r="AT254" i="6"/>
  <c r="E254" i="12"/>
  <c r="C256" i="5"/>
  <c r="D256" i="5" s="1"/>
  <c r="B256" i="12" s="1"/>
  <c r="K255" i="5"/>
  <c r="D255" i="5"/>
  <c r="B255" i="12" s="1"/>
  <c r="E255" i="5"/>
  <c r="H255" i="5"/>
  <c r="N255" i="5"/>
  <c r="D255" i="6" s="1"/>
  <c r="H255" i="6" s="1"/>
  <c r="J255" i="5"/>
  <c r="AD255" i="5"/>
  <c r="G255" i="5"/>
  <c r="AE255" i="5"/>
  <c r="B255" i="5"/>
  <c r="F255" i="5"/>
  <c r="A255" i="12"/>
  <c r="J255" i="12" s="1"/>
  <c r="M252" i="6" l="1"/>
  <c r="A253" i="6"/>
  <c r="N252" i="6"/>
  <c r="BE251" i="6"/>
  <c r="AJ251" i="6"/>
  <c r="AD251" i="6"/>
  <c r="AG251" i="6"/>
  <c r="AC251" i="6"/>
  <c r="AK251" i="6"/>
  <c r="AI251" i="6"/>
  <c r="AB251" i="6"/>
  <c r="AH251" i="6"/>
  <c r="AF251" i="6"/>
  <c r="AE251" i="6"/>
  <c r="C257" i="5"/>
  <c r="AD257" i="5" s="1"/>
  <c r="N256" i="5"/>
  <c r="D256" i="6" s="1"/>
  <c r="H256" i="6" s="1"/>
  <c r="T256" i="5" s="1"/>
  <c r="G256" i="12" s="1"/>
  <c r="AD256" i="5"/>
  <c r="K256" i="5"/>
  <c r="A256" i="12"/>
  <c r="J256" i="12" s="1"/>
  <c r="AE256" i="5"/>
  <c r="B256" i="6"/>
  <c r="B256" i="5"/>
  <c r="G256" i="5"/>
  <c r="J256" i="5"/>
  <c r="H256" i="5"/>
  <c r="F256" i="5"/>
  <c r="E256" i="5"/>
  <c r="L255" i="12"/>
  <c r="K255" i="12" s="1"/>
  <c r="T255" i="5"/>
  <c r="G255" i="12" s="1"/>
  <c r="M253" i="6" l="1"/>
  <c r="A254" i="6"/>
  <c r="N253" i="6"/>
  <c r="AZ252" i="6"/>
  <c r="BF252" i="6"/>
  <c r="BE252" i="6"/>
  <c r="AS252" i="6"/>
  <c r="AJ252" i="6"/>
  <c r="AR252" i="6"/>
  <c r="AH252" i="6"/>
  <c r="AV252" i="6"/>
  <c r="AG252" i="6"/>
  <c r="AO252" i="6"/>
  <c r="AX252" i="6"/>
  <c r="AQ252" i="6"/>
  <c r="AN252" i="6"/>
  <c r="AE252" i="6"/>
  <c r="BA252" i="6"/>
  <c r="AB252" i="6"/>
  <c r="AU252" i="6"/>
  <c r="BC252" i="6"/>
  <c r="BB252" i="6"/>
  <c r="AK252" i="6"/>
  <c r="AT252" i="6"/>
  <c r="AM252" i="6"/>
  <c r="AC252" i="6"/>
  <c r="AP252" i="6"/>
  <c r="AY252" i="6"/>
  <c r="AF252" i="6"/>
  <c r="AD252" i="6"/>
  <c r="BG252" i="6"/>
  <c r="BD252" i="6"/>
  <c r="AI252" i="6"/>
  <c r="J257" i="5"/>
  <c r="B257" i="5"/>
  <c r="C258" i="5" s="1"/>
  <c r="D257" i="5"/>
  <c r="B257" i="12" s="1"/>
  <c r="G257" i="5"/>
  <c r="A257" i="12"/>
  <c r="J257" i="12" s="1"/>
  <c r="K257" i="5"/>
  <c r="E257" i="5"/>
  <c r="N257" i="5"/>
  <c r="D257" i="6" s="1"/>
  <c r="H257" i="6" s="1"/>
  <c r="T257" i="5" s="1"/>
  <c r="G257" i="12" s="1"/>
  <c r="F257" i="5"/>
  <c r="AE257" i="5"/>
  <c r="B257" i="6"/>
  <c r="H257" i="5"/>
  <c r="L256" i="12"/>
  <c r="K256" i="12" s="1"/>
  <c r="M254" i="6" l="1"/>
  <c r="A255" i="6"/>
  <c r="BC253" i="6"/>
  <c r="AJ253" i="6"/>
  <c r="BF253" i="6"/>
  <c r="AN253" i="6"/>
  <c r="AX253" i="6"/>
  <c r="AZ253" i="6"/>
  <c r="BB253" i="6"/>
  <c r="AT253" i="6"/>
  <c r="AC253" i="6"/>
  <c r="BG253" i="6"/>
  <c r="AS253" i="6"/>
  <c r="AR253" i="6"/>
  <c r="AO253" i="6"/>
  <c r="AP253" i="6"/>
  <c r="AI253" i="6"/>
  <c r="BA253" i="6"/>
  <c r="AG253" i="6"/>
  <c r="BD253" i="6"/>
  <c r="AY253" i="6"/>
  <c r="BE253" i="6"/>
  <c r="AE253" i="6"/>
  <c r="AV253" i="6"/>
  <c r="AD253" i="6"/>
  <c r="AK253" i="6"/>
  <c r="AU253" i="6"/>
  <c r="AB253" i="6"/>
  <c r="AH253" i="6"/>
  <c r="AF253" i="6"/>
  <c r="AQ253" i="6"/>
  <c r="AM253" i="6"/>
  <c r="F258" i="5"/>
  <c r="L257" i="12"/>
  <c r="K257" i="12" s="1"/>
  <c r="R258" i="5"/>
  <c r="F258" i="6" s="1"/>
  <c r="N258" i="5"/>
  <c r="D258" i="6" s="1"/>
  <c r="AY258" i="6" s="1"/>
  <c r="B258" i="5"/>
  <c r="AD258" i="5"/>
  <c r="AE258" i="5"/>
  <c r="E258" i="5"/>
  <c r="C259" i="5"/>
  <c r="AE259" i="5" s="1"/>
  <c r="W258" i="5"/>
  <c r="H258" i="12" s="1"/>
  <c r="A258" i="12"/>
  <c r="B258" i="6"/>
  <c r="H258" i="5"/>
  <c r="G258" i="5"/>
  <c r="K254" i="5" s="1"/>
  <c r="N255" i="6" l="1"/>
  <c r="M255" i="6"/>
  <c r="A256" i="6"/>
  <c r="BG258" i="6"/>
  <c r="AP258" i="6"/>
  <c r="AC254" i="6"/>
  <c r="AF254" i="6"/>
  <c r="AG254" i="6"/>
  <c r="AE254" i="6"/>
  <c r="AK254" i="6"/>
  <c r="AJ254" i="6"/>
  <c r="AD254" i="6"/>
  <c r="AI254" i="6"/>
  <c r="AB254" i="6"/>
  <c r="AH254" i="6"/>
  <c r="AV258" i="6"/>
  <c r="AT258" i="6"/>
  <c r="AN258" i="6"/>
  <c r="AS258" i="6"/>
  <c r="G258" i="6"/>
  <c r="BD258" i="6"/>
  <c r="AU258" i="6"/>
  <c r="BB258" i="6"/>
  <c r="AQ258" i="6"/>
  <c r="AO258" i="6"/>
  <c r="AX258" i="6"/>
  <c r="AM258" i="6"/>
  <c r="BF258" i="6"/>
  <c r="M258" i="6"/>
  <c r="BC258" i="6" s="1"/>
  <c r="BA258" i="6"/>
  <c r="H258" i="6"/>
  <c r="T258" i="5" s="1"/>
  <c r="G258" i="12" s="1"/>
  <c r="AZ258" i="6"/>
  <c r="AR258" i="6"/>
  <c r="BE258" i="6"/>
  <c r="E258" i="12"/>
  <c r="J259" i="5"/>
  <c r="E259" i="5"/>
  <c r="F259" i="5"/>
  <c r="B259" i="6"/>
  <c r="G259" i="5"/>
  <c r="C260" i="5"/>
  <c r="C261" i="5" s="1"/>
  <c r="K259" i="5"/>
  <c r="AD259" i="5"/>
  <c r="N259" i="5"/>
  <c r="D259" i="6" s="1"/>
  <c r="H259" i="6" s="1"/>
  <c r="T259" i="5" s="1"/>
  <c r="G259" i="12" s="1"/>
  <c r="D259" i="5"/>
  <c r="B259" i="12" s="1"/>
  <c r="B259" i="5"/>
  <c r="H259" i="5"/>
  <c r="A259" i="12"/>
  <c r="J259" i="12" s="1"/>
  <c r="N256" i="6" l="1"/>
  <c r="M256" i="6"/>
  <c r="A257" i="6"/>
  <c r="AU255" i="6"/>
  <c r="AR255" i="6"/>
  <c r="BD255" i="6"/>
  <c r="AE255" i="6"/>
  <c r="AI255" i="6"/>
  <c r="AT255" i="6"/>
  <c r="AO255" i="6"/>
  <c r="BA255" i="6"/>
  <c r="BF255" i="6"/>
  <c r="AF255" i="6"/>
  <c r="AN255" i="6"/>
  <c r="BB255" i="6"/>
  <c r="BE255" i="6"/>
  <c r="AZ255" i="6"/>
  <c r="AY255" i="6"/>
  <c r="BC255" i="6"/>
  <c r="AB255" i="6"/>
  <c r="BG255" i="6"/>
  <c r="AC255" i="6"/>
  <c r="AK255" i="6"/>
  <c r="AX255" i="6"/>
  <c r="AM255" i="6"/>
  <c r="AP255" i="6"/>
  <c r="AV255" i="6"/>
  <c r="AJ255" i="6"/>
  <c r="AS255" i="6"/>
  <c r="AG255" i="6"/>
  <c r="AH255" i="6"/>
  <c r="AQ255" i="6"/>
  <c r="AD255" i="6"/>
  <c r="L259" i="12"/>
  <c r="K259" i="12" s="1"/>
  <c r="AG258" i="6"/>
  <c r="AI258" i="6"/>
  <c r="AC258" i="6"/>
  <c r="AD258" i="6"/>
  <c r="AF258" i="6"/>
  <c r="AK258" i="6"/>
  <c r="AB258" i="6"/>
  <c r="AH258" i="6"/>
  <c r="AE258" i="6"/>
  <c r="AJ258" i="6"/>
  <c r="E260" i="5"/>
  <c r="E261" i="5" s="1"/>
  <c r="AD260" i="5"/>
  <c r="F260" i="5"/>
  <c r="F261" i="5" s="1"/>
  <c r="A260" i="12"/>
  <c r="J260" i="12" s="1"/>
  <c r="D260" i="5"/>
  <c r="B260" i="12" s="1"/>
  <c r="G260" i="5"/>
  <c r="G261" i="5" s="1"/>
  <c r="J260" i="5"/>
  <c r="B260" i="5"/>
  <c r="B261" i="5" s="1"/>
  <c r="N260" i="5"/>
  <c r="D260" i="6" s="1"/>
  <c r="H260" i="6" s="1"/>
  <c r="T260" i="5" s="1"/>
  <c r="G260" i="12" s="1"/>
  <c r="B260" i="6"/>
  <c r="H260" i="5"/>
  <c r="H261" i="5" s="1"/>
  <c r="K260" i="5"/>
  <c r="AE260" i="5"/>
  <c r="A261" i="12"/>
  <c r="AD261" i="5"/>
  <c r="N261" i="5"/>
  <c r="D261" i="6" s="1"/>
  <c r="K261" i="5"/>
  <c r="AE261" i="5"/>
  <c r="J261" i="5"/>
  <c r="C262" i="5"/>
  <c r="B261" i="6"/>
  <c r="D261" i="5"/>
  <c r="B261" i="12" s="1"/>
  <c r="M257" i="6" l="1"/>
  <c r="A258" i="6"/>
  <c r="N257" i="6"/>
  <c r="AS256" i="6"/>
  <c r="AE256" i="6"/>
  <c r="AD256" i="6"/>
  <c r="AP256" i="6"/>
  <c r="AR256" i="6"/>
  <c r="BE256" i="6"/>
  <c r="AN256" i="6"/>
  <c r="BG256" i="6"/>
  <c r="AU256" i="6"/>
  <c r="AC256" i="6"/>
  <c r="AK256" i="6"/>
  <c r="AQ256" i="6"/>
  <c r="AV256" i="6"/>
  <c r="AB256" i="6"/>
  <c r="AF256" i="6"/>
  <c r="AT256" i="6"/>
  <c r="AI256" i="6"/>
  <c r="BB256" i="6"/>
  <c r="AM256" i="6"/>
  <c r="BA256" i="6"/>
  <c r="AJ256" i="6"/>
  <c r="AG256" i="6"/>
  <c r="AX256" i="6"/>
  <c r="AO256" i="6"/>
  <c r="BC256" i="6"/>
  <c r="AH256" i="6"/>
  <c r="BF256" i="6"/>
  <c r="BD256" i="6"/>
  <c r="AZ256" i="6"/>
  <c r="AY256" i="6"/>
  <c r="L260" i="12"/>
  <c r="K260" i="12" s="1"/>
  <c r="AE262" i="5"/>
  <c r="K262" i="5"/>
  <c r="F262" i="5"/>
  <c r="G262" i="5"/>
  <c r="H262" i="5"/>
  <c r="N262" i="5"/>
  <c r="D262" i="6" s="1"/>
  <c r="B262" i="5"/>
  <c r="B262" i="6"/>
  <c r="J262" i="5"/>
  <c r="C263" i="5"/>
  <c r="A262" i="12"/>
  <c r="AD262" i="5"/>
  <c r="E262" i="5"/>
  <c r="D262" i="5"/>
  <c r="B262" i="12" s="1"/>
  <c r="H261" i="6"/>
  <c r="L261" i="12"/>
  <c r="J261" i="12"/>
  <c r="N258" i="6" l="1"/>
  <c r="A259" i="6"/>
  <c r="AU257" i="6"/>
  <c r="AD257" i="6"/>
  <c r="AS257" i="6"/>
  <c r="AH257" i="6"/>
  <c r="AN257" i="6"/>
  <c r="BC257" i="6"/>
  <c r="BA257" i="6"/>
  <c r="AX257" i="6"/>
  <c r="AR257" i="6"/>
  <c r="BF257" i="6"/>
  <c r="AG257" i="6"/>
  <c r="BB257" i="6"/>
  <c r="BE257" i="6"/>
  <c r="AI257" i="6"/>
  <c r="BG257" i="6"/>
  <c r="AP257" i="6"/>
  <c r="AE257" i="6"/>
  <c r="AT257" i="6"/>
  <c r="BD257" i="6"/>
  <c r="AF257" i="6"/>
  <c r="AO257" i="6"/>
  <c r="AY257" i="6"/>
  <c r="AK257" i="6"/>
  <c r="AC257" i="6"/>
  <c r="AV257" i="6"/>
  <c r="AB257" i="6"/>
  <c r="AQ257" i="6"/>
  <c r="AZ257" i="6"/>
  <c r="AM257" i="6"/>
  <c r="AJ257" i="6"/>
  <c r="K261" i="12"/>
  <c r="T261" i="5"/>
  <c r="G261" i="12" s="1"/>
  <c r="H262" i="6"/>
  <c r="L262" i="12"/>
  <c r="J262" i="12"/>
  <c r="K263" i="5"/>
  <c r="N263" i="5"/>
  <c r="D263" i="6" s="1"/>
  <c r="B263" i="5"/>
  <c r="D263" i="5"/>
  <c r="B263" i="12" s="1"/>
  <c r="G263" i="5"/>
  <c r="A263" i="12"/>
  <c r="H263" i="5"/>
  <c r="E263" i="5"/>
  <c r="C264" i="5"/>
  <c r="F263" i="5"/>
  <c r="AE263" i="5"/>
  <c r="B263" i="6"/>
  <c r="J263" i="5"/>
  <c r="AD263" i="5"/>
  <c r="N259" i="6" l="1"/>
  <c r="A260" i="6"/>
  <c r="M259" i="6"/>
  <c r="K262" i="12"/>
  <c r="A264" i="12"/>
  <c r="N264" i="5"/>
  <c r="D264" i="6" s="1"/>
  <c r="G264" i="5"/>
  <c r="B264" i="6"/>
  <c r="K264" i="5"/>
  <c r="F264" i="5"/>
  <c r="B264" i="5"/>
  <c r="H264" i="5"/>
  <c r="D264" i="5"/>
  <c r="B264" i="12" s="1"/>
  <c r="AD264" i="5"/>
  <c r="AE264" i="5"/>
  <c r="J264" i="5"/>
  <c r="E264" i="5"/>
  <c r="C265" i="5"/>
  <c r="T262" i="5"/>
  <c r="G262" i="12" s="1"/>
  <c r="H263" i="6"/>
  <c r="L263" i="12"/>
  <c r="J263" i="12"/>
  <c r="AH259" i="6" l="1"/>
  <c r="AZ259" i="6"/>
  <c r="AT259" i="6"/>
  <c r="AC259" i="6"/>
  <c r="AE259" i="6"/>
  <c r="AB259" i="6"/>
  <c r="BG259" i="6"/>
  <c r="AP259" i="6"/>
  <c r="AY259" i="6"/>
  <c r="AF259" i="6"/>
  <c r="BD259" i="6"/>
  <c r="AR259" i="6"/>
  <c r="AV259" i="6"/>
  <c r="BE259" i="6"/>
  <c r="BC259" i="6"/>
  <c r="AO259" i="6"/>
  <c r="AN259" i="6"/>
  <c r="AK259" i="6"/>
  <c r="AM259" i="6"/>
  <c r="AS259" i="6"/>
  <c r="AJ259" i="6"/>
  <c r="BF259" i="6"/>
  <c r="BB259" i="6"/>
  <c r="AQ259" i="6"/>
  <c r="AG259" i="6"/>
  <c r="AI259" i="6"/>
  <c r="AU259" i="6"/>
  <c r="AD259" i="6"/>
  <c r="BA259" i="6"/>
  <c r="AX259" i="6"/>
  <c r="N260" i="6"/>
  <c r="A261" i="6"/>
  <c r="M260" i="6"/>
  <c r="K263" i="12"/>
  <c r="H264" i="6"/>
  <c r="T264" i="5" s="1"/>
  <c r="G264" i="12" s="1"/>
  <c r="J264" i="12"/>
  <c r="L264" i="12"/>
  <c r="T263" i="5"/>
  <c r="G263" i="12" s="1"/>
  <c r="A265" i="12"/>
  <c r="J265" i="5"/>
  <c r="E265" i="5"/>
  <c r="B265" i="6"/>
  <c r="AE265" i="5"/>
  <c r="G265" i="5"/>
  <c r="N265" i="5"/>
  <c r="D265" i="6" s="1"/>
  <c r="D265" i="5"/>
  <c r="B265" i="12" s="1"/>
  <c r="K265" i="5"/>
  <c r="AD265" i="5"/>
  <c r="B265" i="5"/>
  <c r="H265" i="5"/>
  <c r="F265" i="5"/>
  <c r="AB260" i="6" l="1"/>
  <c r="BF260" i="6"/>
  <c r="AD260" i="6"/>
  <c r="BD260" i="6"/>
  <c r="AR260" i="6"/>
  <c r="AS260" i="6"/>
  <c r="BC260" i="6"/>
  <c r="AI260" i="6"/>
  <c r="AT260" i="6"/>
  <c r="BA260" i="6"/>
  <c r="AP260" i="6"/>
  <c r="AC260" i="6"/>
  <c r="AZ260" i="6"/>
  <c r="BB260" i="6"/>
  <c r="AJ260" i="6"/>
  <c r="AH260" i="6"/>
  <c r="AO260" i="6"/>
  <c r="AF260" i="6"/>
  <c r="AK260" i="6"/>
  <c r="AQ260" i="6"/>
  <c r="BG260" i="6"/>
  <c r="AN260" i="6"/>
  <c r="AG260" i="6"/>
  <c r="AY260" i="6"/>
  <c r="BE260" i="6"/>
  <c r="AX260" i="6"/>
  <c r="AV260" i="6"/>
  <c r="AM260" i="6"/>
  <c r="AE260" i="6"/>
  <c r="AU260" i="6"/>
  <c r="N261" i="6"/>
  <c r="M261" i="6"/>
  <c r="A262" i="6"/>
  <c r="K264" i="12"/>
  <c r="L265" i="12"/>
  <c r="J265" i="12"/>
  <c r="H265" i="6"/>
  <c r="T265" i="5" s="1"/>
  <c r="G265" i="12" s="1"/>
  <c r="AE261" i="6" l="1"/>
  <c r="AG261" i="6"/>
  <c r="BB261" i="6"/>
  <c r="AN261" i="6"/>
  <c r="AO261" i="6"/>
  <c r="AM261" i="6"/>
  <c r="AD261" i="6"/>
  <c r="AX261" i="6"/>
  <c r="AJ261" i="6"/>
  <c r="BC261" i="6"/>
  <c r="AZ261" i="6"/>
  <c r="AP261" i="6"/>
  <c r="AU261" i="6"/>
  <c r="AT261" i="6"/>
  <c r="BE261" i="6"/>
  <c r="AC261" i="6"/>
  <c r="AF261" i="6"/>
  <c r="BG261" i="6"/>
  <c r="AI261" i="6"/>
  <c r="AB261" i="6"/>
  <c r="AS261" i="6"/>
  <c r="AH261" i="6"/>
  <c r="AQ261" i="6"/>
  <c r="AV261" i="6"/>
  <c r="AK261" i="6"/>
  <c r="BD261" i="6"/>
  <c r="BF261" i="6"/>
  <c r="BA261" i="6"/>
  <c r="AR261" i="6"/>
  <c r="AY261" i="6"/>
  <c r="N262" i="6"/>
  <c r="A263" i="6"/>
  <c r="M262" i="6"/>
  <c r="K265" i="12"/>
  <c r="AO262" i="6" l="1"/>
  <c r="BE262" i="6"/>
  <c r="BC262" i="6"/>
  <c r="AC262" i="6"/>
  <c r="AF262" i="6"/>
  <c r="AN262" i="6"/>
  <c r="BF262" i="6"/>
  <c r="AD262" i="6"/>
  <c r="AR262" i="6"/>
  <c r="AP262" i="6"/>
  <c r="AM262" i="6"/>
  <c r="AI262" i="6"/>
  <c r="BB262" i="6"/>
  <c r="AZ262" i="6"/>
  <c r="AE262" i="6"/>
  <c r="AS262" i="6"/>
  <c r="BG262" i="6"/>
  <c r="AJ262" i="6"/>
  <c r="AK262" i="6"/>
  <c r="BD262" i="6"/>
  <c r="AG262" i="6"/>
  <c r="AU262" i="6"/>
  <c r="AX262" i="6"/>
  <c r="AV262" i="6"/>
  <c r="AY262" i="6"/>
  <c r="AH262" i="6"/>
  <c r="AB262" i="6"/>
  <c r="AQ262" i="6"/>
  <c r="AT262" i="6"/>
  <c r="BA262" i="6"/>
  <c r="N263" i="6"/>
  <c r="M263" i="6"/>
  <c r="A264" i="6"/>
  <c r="C266" i="5"/>
  <c r="N264" i="6" l="1"/>
  <c r="M264" i="6"/>
  <c r="A265" i="6"/>
  <c r="AJ263" i="6"/>
  <c r="AY263" i="6"/>
  <c r="BF263" i="6"/>
  <c r="AT263" i="6"/>
  <c r="AV263" i="6"/>
  <c r="AQ263" i="6"/>
  <c r="BC263" i="6"/>
  <c r="AN263" i="6"/>
  <c r="AG263" i="6"/>
  <c r="AD263" i="6"/>
  <c r="AZ263" i="6"/>
  <c r="BE263" i="6"/>
  <c r="BD263" i="6"/>
  <c r="AS263" i="6"/>
  <c r="BB263" i="6"/>
  <c r="AK263" i="6"/>
  <c r="AC263" i="6"/>
  <c r="AP263" i="6"/>
  <c r="AO263" i="6"/>
  <c r="AR263" i="6"/>
  <c r="BG263" i="6"/>
  <c r="BA263" i="6"/>
  <c r="AH263" i="6"/>
  <c r="AE263" i="6"/>
  <c r="AF263" i="6"/>
  <c r="AB263" i="6"/>
  <c r="AI263" i="6"/>
  <c r="AX263" i="6"/>
  <c r="AU263" i="6"/>
  <c r="AM263" i="6"/>
  <c r="W266" i="5"/>
  <c r="H266" i="12" s="1"/>
  <c r="B266" i="6"/>
  <c r="A266" i="6" s="1"/>
  <c r="E266" i="5"/>
  <c r="F266" i="5"/>
  <c r="K240" i="5" s="1"/>
  <c r="N266" i="5"/>
  <c r="D266" i="6" s="1"/>
  <c r="R266" i="5"/>
  <c r="A266" i="12"/>
  <c r="H266" i="5"/>
  <c r="AD266" i="5"/>
  <c r="G266" i="5"/>
  <c r="B266" i="5"/>
  <c r="C267" i="5" s="1"/>
  <c r="AE266" i="5"/>
  <c r="M265" i="6" l="1"/>
  <c r="N265" i="6"/>
  <c r="AF264" i="6"/>
  <c r="AH264" i="6"/>
  <c r="AI264" i="6"/>
  <c r="AJ264" i="6"/>
  <c r="AM264" i="6"/>
  <c r="BB264" i="6"/>
  <c r="AZ264" i="6"/>
  <c r="BD264" i="6"/>
  <c r="AK264" i="6"/>
  <c r="AD264" i="6"/>
  <c r="AQ264" i="6"/>
  <c r="AU264" i="6"/>
  <c r="AB264" i="6"/>
  <c r="AE264" i="6"/>
  <c r="AP264" i="6"/>
  <c r="AS264" i="6"/>
  <c r="AV264" i="6"/>
  <c r="AR264" i="6"/>
  <c r="BF264" i="6"/>
  <c r="BG264" i="6"/>
  <c r="AN264" i="6"/>
  <c r="BC264" i="6"/>
  <c r="BA264" i="6"/>
  <c r="AO264" i="6"/>
  <c r="AY264" i="6"/>
  <c r="AG264" i="6"/>
  <c r="AC264" i="6"/>
  <c r="BE264" i="6"/>
  <c r="AT264" i="6"/>
  <c r="AX264" i="6"/>
  <c r="J241" i="5"/>
  <c r="D241" i="5" s="1"/>
  <c r="B241" i="12" s="1"/>
  <c r="G267" i="5"/>
  <c r="AE267" i="5"/>
  <c r="F267" i="5"/>
  <c r="E267" i="5"/>
  <c r="B267" i="6"/>
  <c r="H267" i="5"/>
  <c r="W267" i="5"/>
  <c r="H267" i="12" s="1"/>
  <c r="C268" i="5"/>
  <c r="A267" i="12"/>
  <c r="B267" i="5"/>
  <c r="R267" i="5"/>
  <c r="AD267" i="5"/>
  <c r="N267" i="5"/>
  <c r="D267" i="6" s="1"/>
  <c r="J258" i="5"/>
  <c r="E266" i="12"/>
  <c r="F266" i="6"/>
  <c r="J251" i="5"/>
  <c r="N266" i="6"/>
  <c r="BC266" i="6"/>
  <c r="BB266" i="6"/>
  <c r="G266" i="6"/>
  <c r="AM266" i="6"/>
  <c r="H266" i="6"/>
  <c r="T266" i="5" s="1"/>
  <c r="G266" i="12" s="1"/>
  <c r="AR266" i="6"/>
  <c r="M266" i="6"/>
  <c r="AX266" i="6" s="1"/>
  <c r="BF266" i="6"/>
  <c r="AQ266" i="6"/>
  <c r="AN266" i="6"/>
  <c r="BD266" i="6"/>
  <c r="AP266" i="6"/>
  <c r="AV266" i="6"/>
  <c r="BE266" i="6"/>
  <c r="AT266" i="6"/>
  <c r="AS266" i="6"/>
  <c r="AO266" i="6"/>
  <c r="AY266" i="6"/>
  <c r="BA266" i="6"/>
  <c r="BG266" i="6"/>
  <c r="AZ266" i="6"/>
  <c r="AU266" i="6"/>
  <c r="J254" i="5"/>
  <c r="D254" i="5" s="1"/>
  <c r="B254" i="12" s="1"/>
  <c r="AN265" i="6" l="1"/>
  <c r="AG265" i="6"/>
  <c r="AZ265" i="6"/>
  <c r="AF265" i="6"/>
  <c r="AS265" i="6"/>
  <c r="AU265" i="6"/>
  <c r="BC265" i="6"/>
  <c r="AC265" i="6"/>
  <c r="AK265" i="6"/>
  <c r="BE265" i="6"/>
  <c r="AY265" i="6"/>
  <c r="AI265" i="6"/>
  <c r="BG265" i="6"/>
  <c r="BA265" i="6"/>
  <c r="BD265" i="6"/>
  <c r="AT265" i="6"/>
  <c r="AH265" i="6"/>
  <c r="BF265" i="6"/>
  <c r="AR265" i="6"/>
  <c r="AV265" i="6"/>
  <c r="AP265" i="6"/>
  <c r="AX265" i="6"/>
  <c r="AQ265" i="6"/>
  <c r="AJ265" i="6"/>
  <c r="AD265" i="6"/>
  <c r="BB265" i="6"/>
  <c r="AM265" i="6"/>
  <c r="AE265" i="6"/>
  <c r="AO265" i="6"/>
  <c r="AB265" i="6"/>
  <c r="AC266" i="6"/>
  <c r="AF266" i="6"/>
  <c r="AB266" i="6"/>
  <c r="AK266" i="6"/>
  <c r="AH266" i="6"/>
  <c r="AD266" i="6"/>
  <c r="AG266" i="6"/>
  <c r="AJ266" i="6"/>
  <c r="AE266" i="6"/>
  <c r="AI266" i="6"/>
  <c r="AD268" i="5"/>
  <c r="E268" i="5"/>
  <c r="K268" i="5"/>
  <c r="F268" i="5"/>
  <c r="B268" i="6"/>
  <c r="G268" i="5"/>
  <c r="B268" i="5"/>
  <c r="N268" i="5"/>
  <c r="D268" i="6" s="1"/>
  <c r="J268" i="5"/>
  <c r="H268" i="5"/>
  <c r="C269" i="5"/>
  <c r="D268" i="5"/>
  <c r="B268" i="12" s="1"/>
  <c r="AE268" i="5"/>
  <c r="A268" i="12"/>
  <c r="H267" i="6"/>
  <c r="T267" i="5" s="1"/>
  <c r="G267" i="12" s="1"/>
  <c r="AS267" i="6"/>
  <c r="M267" i="6"/>
  <c r="BA267" i="6" s="1"/>
  <c r="BD267" i="6"/>
  <c r="BB267" i="6"/>
  <c r="AV267" i="6"/>
  <c r="AZ267" i="6"/>
  <c r="BE267" i="6"/>
  <c r="N267" i="6"/>
  <c r="AR267" i="6"/>
  <c r="G267" i="6"/>
  <c r="AN267" i="6"/>
  <c r="AQ267" i="6"/>
  <c r="AT267" i="6"/>
  <c r="AX267" i="6"/>
  <c r="BG267" i="6"/>
  <c r="AM267" i="6"/>
  <c r="AO267" i="6"/>
  <c r="AP267" i="6"/>
  <c r="AY267" i="6"/>
  <c r="BC267" i="6"/>
  <c r="BF267" i="6"/>
  <c r="AU267" i="6"/>
  <c r="A267" i="6"/>
  <c r="F267" i="6"/>
  <c r="E267" i="12"/>
  <c r="AC267" i="6" l="1"/>
  <c r="AD267" i="6"/>
  <c r="AE267" i="6"/>
  <c r="AJ267" i="6"/>
  <c r="AG267" i="6"/>
  <c r="AH267" i="6"/>
  <c r="L268" i="12"/>
  <c r="J268" i="12"/>
  <c r="A268" i="6"/>
  <c r="M268" i="6" s="1"/>
  <c r="AV268" i="6" s="1"/>
  <c r="AK267" i="6"/>
  <c r="AF267" i="6"/>
  <c r="D269" i="5"/>
  <c r="B269" i="12" s="1"/>
  <c r="E269" i="5"/>
  <c r="AE269" i="5"/>
  <c r="G269" i="5"/>
  <c r="J269" i="5"/>
  <c r="N269" i="5"/>
  <c r="D269" i="6" s="1"/>
  <c r="AD269" i="5"/>
  <c r="K269" i="5"/>
  <c r="A269" i="12"/>
  <c r="H269" i="5"/>
  <c r="C270" i="5"/>
  <c r="B269" i="5"/>
  <c r="F269" i="5"/>
  <c r="B269" i="6"/>
  <c r="AB267" i="6"/>
  <c r="H268" i="6"/>
  <c r="T268" i="5" s="1"/>
  <c r="G268" i="12" s="1"/>
  <c r="AI267" i="6"/>
  <c r="K268" i="12" l="1"/>
  <c r="N268" i="6"/>
  <c r="AS268" i="6"/>
  <c r="BE268" i="6"/>
  <c r="AB268" i="6"/>
  <c r="AG268" i="6"/>
  <c r="BG268" i="6"/>
  <c r="AX268" i="6"/>
  <c r="K270" i="5"/>
  <c r="N270" i="5"/>
  <c r="D270" i="6" s="1"/>
  <c r="F270" i="5"/>
  <c r="D270" i="5"/>
  <c r="B270" i="12" s="1"/>
  <c r="B270" i="6"/>
  <c r="H270" i="5"/>
  <c r="B270" i="5"/>
  <c r="E270" i="5"/>
  <c r="AD270" i="5"/>
  <c r="AE270" i="5"/>
  <c r="C271" i="5"/>
  <c r="A270" i="12"/>
  <c r="G270" i="5"/>
  <c r="J270" i="5"/>
  <c r="AR268" i="6"/>
  <c r="AH268" i="6"/>
  <c r="BB268" i="6"/>
  <c r="AK268" i="6"/>
  <c r="J269" i="12"/>
  <c r="L269" i="12"/>
  <c r="AE268" i="6"/>
  <c r="AQ268" i="6"/>
  <c r="AJ268" i="6"/>
  <c r="AC268" i="6"/>
  <c r="AO268" i="6"/>
  <c r="AT268" i="6"/>
  <c r="BD268" i="6"/>
  <c r="AZ268" i="6"/>
  <c r="H269" i="6"/>
  <c r="T269" i="5" s="1"/>
  <c r="G269" i="12" s="1"/>
  <c r="AN268" i="6"/>
  <c r="AF268" i="6"/>
  <c r="AU268" i="6"/>
  <c r="BF268" i="6"/>
  <c r="BA268" i="6"/>
  <c r="AP268" i="6"/>
  <c r="AD268" i="6"/>
  <c r="A269" i="6"/>
  <c r="M269" i="6" s="1"/>
  <c r="AX269" i="6" s="1"/>
  <c r="AM268" i="6"/>
  <c r="BC268" i="6"/>
  <c r="AY268" i="6"/>
  <c r="AI268" i="6"/>
  <c r="K269" i="12" l="1"/>
  <c r="AT269" i="6"/>
  <c r="H270" i="6"/>
  <c r="T270" i="5" s="1"/>
  <c r="G270" i="12" s="1"/>
  <c r="BC269" i="6"/>
  <c r="BE269" i="6"/>
  <c r="BA269" i="6"/>
  <c r="AV269" i="6"/>
  <c r="AH269" i="6"/>
  <c r="AC269" i="6"/>
  <c r="AO269" i="6"/>
  <c r="BG269" i="6"/>
  <c r="AI269" i="6"/>
  <c r="AR269" i="6"/>
  <c r="AP269" i="6"/>
  <c r="AQ269" i="6"/>
  <c r="AJ269" i="6"/>
  <c r="BB269" i="6"/>
  <c r="AB269" i="6"/>
  <c r="AM269" i="6"/>
  <c r="AK269" i="6"/>
  <c r="BD269" i="6"/>
  <c r="N269" i="6"/>
  <c r="AN269" i="6"/>
  <c r="AZ269" i="6"/>
  <c r="AS269" i="6"/>
  <c r="A270" i="6"/>
  <c r="M270" i="6" s="1"/>
  <c r="BB270" i="6" s="1"/>
  <c r="BF269" i="6"/>
  <c r="AY269" i="6"/>
  <c r="AG269" i="6"/>
  <c r="J270" i="12"/>
  <c r="L270" i="12"/>
  <c r="AD269" i="6"/>
  <c r="AF269" i="6"/>
  <c r="AU269" i="6"/>
  <c r="AE269" i="6"/>
  <c r="A271" i="12"/>
  <c r="F271" i="5"/>
  <c r="G271" i="5"/>
  <c r="D271" i="5"/>
  <c r="B271" i="12" s="1"/>
  <c r="B271" i="6"/>
  <c r="B271" i="5"/>
  <c r="K271" i="5"/>
  <c r="H271" i="5"/>
  <c r="J271" i="5"/>
  <c r="E271" i="5"/>
  <c r="AE271" i="5"/>
  <c r="C272" i="5"/>
  <c r="AD271" i="5"/>
  <c r="N271" i="5"/>
  <c r="D271" i="6" s="1"/>
  <c r="K270" i="12" l="1"/>
  <c r="BD270" i="6"/>
  <c r="AM270" i="6"/>
  <c r="AY270" i="6"/>
  <c r="N270" i="6"/>
  <c r="AV270" i="6"/>
  <c r="H271" i="6"/>
  <c r="T271" i="5" s="1"/>
  <c r="G271" i="12" s="1"/>
  <c r="AF270" i="6"/>
  <c r="AO270" i="6"/>
  <c r="BC270" i="6"/>
  <c r="BF270" i="6"/>
  <c r="AP270" i="6"/>
  <c r="A271" i="6"/>
  <c r="M271" i="6" s="1"/>
  <c r="AT271" i="6" s="1"/>
  <c r="AH270" i="6"/>
  <c r="AK270" i="6"/>
  <c r="AU270" i="6"/>
  <c r="BE270" i="6"/>
  <c r="H272" i="5"/>
  <c r="AE272" i="5"/>
  <c r="AD272" i="5"/>
  <c r="N272" i="5"/>
  <c r="D272" i="6" s="1"/>
  <c r="B272" i="6"/>
  <c r="B272" i="5"/>
  <c r="D272" i="5"/>
  <c r="B272" i="12" s="1"/>
  <c r="E272" i="5"/>
  <c r="J272" i="5"/>
  <c r="C273" i="5"/>
  <c r="F272" i="5"/>
  <c r="K272" i="5"/>
  <c r="A272" i="12"/>
  <c r="G272" i="5"/>
  <c r="AN270" i="6"/>
  <c r="BA270" i="6"/>
  <c r="AG270" i="6"/>
  <c r="AB270" i="6"/>
  <c r="AC270" i="6"/>
  <c r="AQ270" i="6"/>
  <c r="AD270" i="6"/>
  <c r="AE270" i="6"/>
  <c r="AI270" i="6"/>
  <c r="AJ270" i="6"/>
  <c r="BG270" i="6"/>
  <c r="AR270" i="6"/>
  <c r="AZ270" i="6"/>
  <c r="J271" i="12"/>
  <c r="L271" i="12"/>
  <c r="AS270" i="6"/>
  <c r="AT270" i="6"/>
  <c r="AX270" i="6"/>
  <c r="AC271" i="6" l="1"/>
  <c r="AN271" i="6"/>
  <c r="AZ271" i="6"/>
  <c r="AD271" i="6"/>
  <c r="BB271" i="6"/>
  <c r="AE271" i="6"/>
  <c r="AB271" i="6"/>
  <c r="AJ271" i="6"/>
  <c r="BA271" i="6"/>
  <c r="AH271" i="6"/>
  <c r="AO271" i="6"/>
  <c r="AR271" i="6"/>
  <c r="BD271" i="6"/>
  <c r="BE271" i="6"/>
  <c r="E273" i="5"/>
  <c r="B273" i="5"/>
  <c r="C274" i="5"/>
  <c r="H273" i="5"/>
  <c r="G273" i="5"/>
  <c r="B273" i="6"/>
  <c r="N273" i="5"/>
  <c r="D273" i="6" s="1"/>
  <c r="AD273" i="5"/>
  <c r="A273" i="12"/>
  <c r="J273" i="5"/>
  <c r="D273" i="5"/>
  <c r="B273" i="12" s="1"/>
  <c r="K273" i="5"/>
  <c r="F273" i="5"/>
  <c r="AE273" i="5"/>
  <c r="AX271" i="6"/>
  <c r="AP271" i="6"/>
  <c r="AV271" i="6"/>
  <c r="BG271" i="6"/>
  <c r="K271" i="12"/>
  <c r="J272" i="12"/>
  <c r="L272" i="12"/>
  <c r="A272" i="6"/>
  <c r="N272" i="6" s="1"/>
  <c r="AG271" i="6"/>
  <c r="N271" i="6"/>
  <c r="AI271" i="6"/>
  <c r="AY271" i="6"/>
  <c r="AF271" i="6"/>
  <c r="BF271" i="6"/>
  <c r="BC271" i="6"/>
  <c r="AM271" i="6"/>
  <c r="H272" i="6"/>
  <c r="AS271" i="6"/>
  <c r="AK271" i="6"/>
  <c r="AQ271" i="6"/>
  <c r="AU271" i="6"/>
  <c r="M272" i="6" l="1"/>
  <c r="AU272" i="6" s="1"/>
  <c r="N274" i="5"/>
  <c r="D274" i="6" s="1"/>
  <c r="E274" i="5"/>
  <c r="G274" i="5"/>
  <c r="D274" i="5"/>
  <c r="B274" i="12" s="1"/>
  <c r="H274" i="5"/>
  <c r="C275" i="5"/>
  <c r="B274" i="5"/>
  <c r="F274" i="5"/>
  <c r="AE274" i="5"/>
  <c r="A274" i="12"/>
  <c r="J274" i="5"/>
  <c r="B274" i="6"/>
  <c r="AD274" i="5"/>
  <c r="K274" i="5"/>
  <c r="T272" i="5"/>
  <c r="G272" i="12" s="1"/>
  <c r="L273" i="12"/>
  <c r="J273" i="12"/>
  <c r="K272" i="12"/>
  <c r="H273" i="6"/>
  <c r="T273" i="5" s="1"/>
  <c r="G273" i="12" s="1"/>
  <c r="A273" i="6"/>
  <c r="M273" i="6" s="1"/>
  <c r="AU273" i="6" s="1"/>
  <c r="AM272" i="6" l="1"/>
  <c r="AI272" i="6"/>
  <c r="AD272" i="6"/>
  <c r="AT272" i="6"/>
  <c r="AC272" i="6"/>
  <c r="AN272" i="6"/>
  <c r="AJ272" i="6"/>
  <c r="BC272" i="6"/>
  <c r="BE272" i="6"/>
  <c r="AB272" i="6"/>
  <c r="AY272" i="6"/>
  <c r="AO272" i="6"/>
  <c r="AS272" i="6"/>
  <c r="BF272" i="6"/>
  <c r="AR272" i="6"/>
  <c r="AH272" i="6"/>
  <c r="BA272" i="6"/>
  <c r="BD272" i="6"/>
  <c r="AX272" i="6"/>
  <c r="AV272" i="6"/>
  <c r="AQ272" i="6"/>
  <c r="AG272" i="6"/>
  <c r="AZ272" i="6"/>
  <c r="BB272" i="6"/>
  <c r="AF272" i="6"/>
  <c r="BG272" i="6"/>
  <c r="AK272" i="6"/>
  <c r="AP272" i="6"/>
  <c r="AE272" i="6"/>
  <c r="AM273" i="6"/>
  <c r="AH273" i="6"/>
  <c r="AC273" i="6"/>
  <c r="A274" i="6"/>
  <c r="N274" i="6" s="1"/>
  <c r="BC273" i="6"/>
  <c r="AT273" i="6"/>
  <c r="BD273" i="6"/>
  <c r="AI273" i="6"/>
  <c r="AK273" i="6"/>
  <c r="AS273" i="6"/>
  <c r="BF273" i="6"/>
  <c r="BG273" i="6"/>
  <c r="L274" i="12"/>
  <c r="J274" i="12"/>
  <c r="AQ273" i="6"/>
  <c r="AV273" i="6"/>
  <c r="BB273" i="6"/>
  <c r="H274" i="6"/>
  <c r="AY273" i="6"/>
  <c r="AP273" i="6"/>
  <c r="BA273" i="6"/>
  <c r="AF273" i="6"/>
  <c r="AD273" i="6"/>
  <c r="AZ273" i="6"/>
  <c r="AJ273" i="6"/>
  <c r="AE273" i="6"/>
  <c r="AB273" i="6"/>
  <c r="AR273" i="6"/>
  <c r="AX273" i="6"/>
  <c r="K273" i="12"/>
  <c r="AO273" i="6"/>
  <c r="AG273" i="6"/>
  <c r="BE273" i="6"/>
  <c r="AN273" i="6"/>
  <c r="N273" i="6"/>
  <c r="N275" i="5"/>
  <c r="D275" i="6" s="1"/>
  <c r="AE275" i="5"/>
  <c r="A275" i="12"/>
  <c r="B275" i="6"/>
  <c r="J275" i="5"/>
  <c r="B275" i="5"/>
  <c r="E275" i="5"/>
  <c r="K275" i="5"/>
  <c r="H275" i="5"/>
  <c r="D275" i="5"/>
  <c r="B275" i="12" s="1"/>
  <c r="AD275" i="5"/>
  <c r="G275" i="5"/>
  <c r="F275" i="5"/>
  <c r="C276" i="5"/>
  <c r="M274" i="6" l="1"/>
  <c r="AU274" i="6" s="1"/>
  <c r="K274" i="12"/>
  <c r="A275" i="6"/>
  <c r="M275" i="6" s="1"/>
  <c r="AZ275" i="6" s="1"/>
  <c r="J275" i="12"/>
  <c r="L275" i="12"/>
  <c r="H275" i="6"/>
  <c r="T275" i="5" s="1"/>
  <c r="G275" i="12" s="1"/>
  <c r="H276" i="5"/>
  <c r="F276" i="5"/>
  <c r="AD276" i="5"/>
  <c r="B276" i="5"/>
  <c r="G276" i="5"/>
  <c r="N276" i="5"/>
  <c r="D276" i="6" s="1"/>
  <c r="J276" i="5"/>
  <c r="B276" i="6"/>
  <c r="C277" i="5"/>
  <c r="A276" i="12"/>
  <c r="K276" i="5"/>
  <c r="D276" i="5"/>
  <c r="B276" i="12" s="1"/>
  <c r="E276" i="5"/>
  <c r="AE276" i="5"/>
  <c r="T274" i="5"/>
  <c r="G274" i="12" s="1"/>
  <c r="AN274" i="6" l="1"/>
  <c r="AY274" i="6"/>
  <c r="BF274" i="6"/>
  <c r="AT274" i="6"/>
  <c r="AB274" i="6"/>
  <c r="AQ274" i="6"/>
  <c r="AO274" i="6"/>
  <c r="AD274" i="6"/>
  <c r="AJ274" i="6"/>
  <c r="AV274" i="6"/>
  <c r="AR274" i="6"/>
  <c r="AG274" i="6"/>
  <c r="AM274" i="6"/>
  <c r="AH274" i="6"/>
  <c r="AF274" i="6"/>
  <c r="BB274" i="6"/>
  <c r="BE274" i="6"/>
  <c r="AE274" i="6"/>
  <c r="BD274" i="6"/>
  <c r="AI274" i="6"/>
  <c r="AP274" i="6"/>
  <c r="AZ274" i="6"/>
  <c r="AK274" i="6"/>
  <c r="BC274" i="6"/>
  <c r="AS274" i="6"/>
  <c r="BA274" i="6"/>
  <c r="AC274" i="6"/>
  <c r="AX274" i="6"/>
  <c r="BG274" i="6"/>
  <c r="K275" i="12"/>
  <c r="N275" i="6"/>
  <c r="AV275" i="6"/>
  <c r="BG275" i="6"/>
  <c r="AX275" i="6"/>
  <c r="BA275" i="6"/>
  <c r="BD275" i="6"/>
  <c r="AC275" i="6"/>
  <c r="BB275" i="6"/>
  <c r="AH275" i="6"/>
  <c r="AO275" i="6"/>
  <c r="BC275" i="6"/>
  <c r="AU275" i="6"/>
  <c r="AS275" i="6"/>
  <c r="AP275" i="6"/>
  <c r="AG275" i="6"/>
  <c r="AT275" i="6"/>
  <c r="BF275" i="6"/>
  <c r="AR275" i="6"/>
  <c r="AM275" i="6"/>
  <c r="BE275" i="6"/>
  <c r="A276" i="6"/>
  <c r="N276" i="6" s="1"/>
  <c r="AN275" i="6"/>
  <c r="AB275" i="6"/>
  <c r="AF275" i="6"/>
  <c r="AY275" i="6"/>
  <c r="AD275" i="6"/>
  <c r="AQ275" i="6"/>
  <c r="AJ275" i="6"/>
  <c r="AI275" i="6"/>
  <c r="J276" i="12"/>
  <c r="L276" i="12"/>
  <c r="D277" i="5"/>
  <c r="B277" i="12" s="1"/>
  <c r="B277" i="6"/>
  <c r="C278" i="5"/>
  <c r="A277" i="12"/>
  <c r="G277" i="5"/>
  <c r="K277" i="5"/>
  <c r="J277" i="5"/>
  <c r="H277" i="5"/>
  <c r="AD277" i="5"/>
  <c r="B277" i="5"/>
  <c r="E277" i="5"/>
  <c r="N277" i="5"/>
  <c r="D277" i="6" s="1"/>
  <c r="AE277" i="5"/>
  <c r="F277" i="5"/>
  <c r="H276" i="6"/>
  <c r="T276" i="5" s="1"/>
  <c r="G276" i="12" s="1"/>
  <c r="AE275" i="6"/>
  <c r="AK275" i="6"/>
  <c r="M276" i="6" l="1"/>
  <c r="BB276" i="6" s="1"/>
  <c r="K276" i="12"/>
  <c r="H277" i="6"/>
  <c r="L277" i="12"/>
  <c r="J277" i="12"/>
  <c r="J278" i="5"/>
  <c r="F278" i="5"/>
  <c r="K278" i="5"/>
  <c r="C279" i="5"/>
  <c r="B278" i="5"/>
  <c r="G278" i="5"/>
  <c r="B278" i="6"/>
  <c r="A278" i="12"/>
  <c r="D278" i="5"/>
  <c r="B278" i="12" s="1"/>
  <c r="AD278" i="5"/>
  <c r="AE278" i="5"/>
  <c r="N278" i="5"/>
  <c r="D278" i="6" s="1"/>
  <c r="H278" i="5"/>
  <c r="E278" i="5"/>
  <c r="A277" i="6"/>
  <c r="N277" i="6" s="1"/>
  <c r="AD276" i="6" l="1"/>
  <c r="AQ276" i="6"/>
  <c r="AI276" i="6"/>
  <c r="AZ276" i="6"/>
  <c r="AK276" i="6"/>
  <c r="AE276" i="6"/>
  <c r="AN276" i="6"/>
  <c r="BF276" i="6"/>
  <c r="AC276" i="6"/>
  <c r="AF276" i="6"/>
  <c r="BE276" i="6"/>
  <c r="BC276" i="6"/>
  <c r="AR276" i="6"/>
  <c r="BG276" i="6"/>
  <c r="AO276" i="6"/>
  <c r="BD276" i="6"/>
  <c r="AS276" i="6"/>
  <c r="AT276" i="6"/>
  <c r="AG276" i="6"/>
  <c r="AP276" i="6"/>
  <c r="AB276" i="6"/>
  <c r="AJ276" i="6"/>
  <c r="AU276" i="6"/>
  <c r="AY276" i="6"/>
  <c r="AX276" i="6"/>
  <c r="AH276" i="6"/>
  <c r="BA276" i="6"/>
  <c r="AV276" i="6"/>
  <c r="AM276" i="6"/>
  <c r="K277" i="12"/>
  <c r="H278" i="6"/>
  <c r="J279" i="5"/>
  <c r="H279" i="5"/>
  <c r="E279" i="5"/>
  <c r="K279" i="5"/>
  <c r="AE279" i="5"/>
  <c r="B279" i="5"/>
  <c r="B279" i="6"/>
  <c r="F279" i="5"/>
  <c r="C280" i="5"/>
  <c r="A279" i="12"/>
  <c r="D279" i="5"/>
  <c r="B279" i="12" s="1"/>
  <c r="N279" i="5"/>
  <c r="D279" i="6" s="1"/>
  <c r="G279" i="5"/>
  <c r="AD279" i="5"/>
  <c r="M277" i="6"/>
  <c r="AE277" i="6" s="1"/>
  <c r="J278" i="12"/>
  <c r="L278" i="12"/>
  <c r="T277" i="5"/>
  <c r="G277" i="12" s="1"/>
  <c r="A278" i="6"/>
  <c r="N278" i="6" s="1"/>
  <c r="K278" i="12" l="1"/>
  <c r="AB277" i="6"/>
  <c r="AG277" i="6"/>
  <c r="AD277" i="6"/>
  <c r="H279" i="6"/>
  <c r="T279" i="5" s="1"/>
  <c r="G279" i="12" s="1"/>
  <c r="AC277" i="6"/>
  <c r="AI277" i="6"/>
  <c r="AJ277" i="6"/>
  <c r="L279" i="12"/>
  <c r="J279" i="12"/>
  <c r="AK277" i="6"/>
  <c r="H280" i="5"/>
  <c r="AE280" i="5"/>
  <c r="C281" i="5"/>
  <c r="F280" i="5"/>
  <c r="B280" i="5"/>
  <c r="E280" i="5"/>
  <c r="AD280" i="5"/>
  <c r="B280" i="6"/>
  <c r="A280" i="12"/>
  <c r="K280" i="5"/>
  <c r="N280" i="5"/>
  <c r="D280" i="6" s="1"/>
  <c r="J280" i="5"/>
  <c r="G280" i="5"/>
  <c r="D280" i="5"/>
  <c r="B280" i="12" s="1"/>
  <c r="AH277" i="6"/>
  <c r="M278" i="6"/>
  <c r="AF277" i="6"/>
  <c r="BG277" i="6"/>
  <c r="BB277" i="6"/>
  <c r="AM277" i="6"/>
  <c r="AX277" i="6"/>
  <c r="AU277" i="6"/>
  <c r="AY277" i="6"/>
  <c r="BC277" i="6"/>
  <c r="AQ277" i="6"/>
  <c r="BE277" i="6"/>
  <c r="BD277" i="6"/>
  <c r="AO277" i="6"/>
  <c r="AV277" i="6"/>
  <c r="AT277" i="6"/>
  <c r="BF277" i="6"/>
  <c r="AZ277" i="6"/>
  <c r="BA277" i="6"/>
  <c r="AR277" i="6"/>
  <c r="AN277" i="6"/>
  <c r="AS277" i="6"/>
  <c r="AP277" i="6"/>
  <c r="A279" i="6"/>
  <c r="M279" i="6" s="1"/>
  <c r="BC279" i="6" s="1"/>
  <c r="T278" i="5"/>
  <c r="G278" i="12" s="1"/>
  <c r="K279" i="12" l="1"/>
  <c r="AN278" i="6"/>
  <c r="AY278" i="6"/>
  <c r="BC278" i="6"/>
  <c r="AM278" i="6"/>
  <c r="AV278" i="6"/>
  <c r="BB278" i="6"/>
  <c r="BE278" i="6"/>
  <c r="AX278" i="6"/>
  <c r="AP278" i="6"/>
  <c r="BA278" i="6"/>
  <c r="BF278" i="6"/>
  <c r="BG278" i="6"/>
  <c r="AU278" i="6"/>
  <c r="AQ278" i="6"/>
  <c r="AZ278" i="6"/>
  <c r="AR278" i="6"/>
  <c r="AO278" i="6"/>
  <c r="AT278" i="6"/>
  <c r="AS278" i="6"/>
  <c r="BD278" i="6"/>
  <c r="A280" i="6"/>
  <c r="N280" i="6" s="1"/>
  <c r="AH279" i="6"/>
  <c r="AG279" i="6"/>
  <c r="AE279" i="6"/>
  <c r="BE279" i="6"/>
  <c r="AJ278" i="6"/>
  <c r="AU279" i="6"/>
  <c r="AV279" i="6"/>
  <c r="AR279" i="6"/>
  <c r="AF279" i="6"/>
  <c r="AN279" i="6"/>
  <c r="AT279" i="6"/>
  <c r="AC279" i="6"/>
  <c r="AK279" i="6"/>
  <c r="AI278" i="6"/>
  <c r="AK278" i="6"/>
  <c r="AM279" i="6"/>
  <c r="AQ279" i="6"/>
  <c r="AX279" i="6"/>
  <c r="N279" i="6"/>
  <c r="AB278" i="6"/>
  <c r="AC278" i="6"/>
  <c r="BA279" i="6"/>
  <c r="AO279" i="6"/>
  <c r="AY279" i="6"/>
  <c r="AH278" i="6"/>
  <c r="H280" i="6"/>
  <c r="K281" i="5"/>
  <c r="D281" i="5"/>
  <c r="B281" i="12" s="1"/>
  <c r="AE281" i="5"/>
  <c r="N281" i="5"/>
  <c r="D281" i="6" s="1"/>
  <c r="J281" i="5"/>
  <c r="G281" i="5"/>
  <c r="B281" i="5"/>
  <c r="H281" i="5"/>
  <c r="F281" i="5"/>
  <c r="A281" i="12"/>
  <c r="C282" i="5"/>
  <c r="B281" i="6"/>
  <c r="AD281" i="5"/>
  <c r="E281" i="5"/>
  <c r="AB279" i="6"/>
  <c r="BF279" i="6"/>
  <c r="AS279" i="6"/>
  <c r="AD278" i="6"/>
  <c r="AG278" i="6"/>
  <c r="AI279" i="6"/>
  <c r="AZ279" i="6"/>
  <c r="BB279" i="6"/>
  <c r="AD279" i="6"/>
  <c r="AE278" i="6"/>
  <c r="AF278" i="6"/>
  <c r="L280" i="12"/>
  <c r="J280" i="12"/>
  <c r="BG279" i="6"/>
  <c r="BD279" i="6"/>
  <c r="AP279" i="6"/>
  <c r="AJ279" i="6"/>
  <c r="A281" i="6" l="1"/>
  <c r="N281" i="6" s="1"/>
  <c r="M280" i="6"/>
  <c r="AJ280" i="6" s="1"/>
  <c r="T280" i="5"/>
  <c r="G280" i="12" s="1"/>
  <c r="H281" i="6"/>
  <c r="T281" i="5" s="1"/>
  <c r="G281" i="12" s="1"/>
  <c r="K282" i="5"/>
  <c r="N282" i="5"/>
  <c r="D282" i="6" s="1"/>
  <c r="F282" i="5"/>
  <c r="D282" i="5"/>
  <c r="B282" i="12" s="1"/>
  <c r="G282" i="5"/>
  <c r="AE282" i="5"/>
  <c r="B282" i="6"/>
  <c r="C283" i="5"/>
  <c r="E282" i="5"/>
  <c r="J282" i="5"/>
  <c r="AD282" i="5"/>
  <c r="H282" i="5"/>
  <c r="B282" i="5"/>
  <c r="A282" i="12"/>
  <c r="K280" i="12"/>
  <c r="L281" i="12"/>
  <c r="J281" i="12"/>
  <c r="M281" i="6" l="1"/>
  <c r="AR281" i="6" s="1"/>
  <c r="BF280" i="6"/>
  <c r="AS280" i="6"/>
  <c r="BB280" i="6"/>
  <c r="AK280" i="6"/>
  <c r="AM280" i="6"/>
  <c r="AR280" i="6"/>
  <c r="BA280" i="6"/>
  <c r="AG280" i="6"/>
  <c r="AH280" i="6"/>
  <c r="AP280" i="6"/>
  <c r="AD280" i="6"/>
  <c r="AO280" i="6"/>
  <c r="BC280" i="6"/>
  <c r="AI280" i="6"/>
  <c r="BG280" i="6"/>
  <c r="AQ280" i="6"/>
  <c r="AN280" i="6"/>
  <c r="AB280" i="6"/>
  <c r="AE280" i="6"/>
  <c r="AX280" i="6"/>
  <c r="AT280" i="6"/>
  <c r="AU280" i="6"/>
  <c r="AY280" i="6"/>
  <c r="AZ280" i="6"/>
  <c r="AC280" i="6"/>
  <c r="AF280" i="6"/>
  <c r="BE280" i="6"/>
  <c r="AV280" i="6"/>
  <c r="BD280" i="6"/>
  <c r="K281" i="12"/>
  <c r="H282" i="6"/>
  <c r="T282" i="5" s="1"/>
  <c r="G282" i="12" s="1"/>
  <c r="A283" i="12"/>
  <c r="AE283" i="5"/>
  <c r="C284" i="5"/>
  <c r="AD283" i="5"/>
  <c r="E283" i="5"/>
  <c r="F283" i="5"/>
  <c r="N283" i="5"/>
  <c r="D283" i="6" s="1"/>
  <c r="K283" i="5"/>
  <c r="B283" i="5"/>
  <c r="H283" i="5"/>
  <c r="G283" i="5"/>
  <c r="D283" i="5"/>
  <c r="B283" i="12" s="1"/>
  <c r="J283" i="5"/>
  <c r="B283" i="6"/>
  <c r="L282" i="12"/>
  <c r="J282" i="12"/>
  <c r="A282" i="6"/>
  <c r="M282" i="6" s="1"/>
  <c r="AP282" i="6" s="1"/>
  <c r="AG281" i="6" l="1"/>
  <c r="AM281" i="6"/>
  <c r="AT281" i="6"/>
  <c r="BE281" i="6"/>
  <c r="AS281" i="6"/>
  <c r="AV281" i="6"/>
  <c r="BB281" i="6"/>
  <c r="AF281" i="6"/>
  <c r="AE281" i="6"/>
  <c r="AD281" i="6"/>
  <c r="AU281" i="6"/>
  <c r="BA281" i="6"/>
  <c r="BG281" i="6"/>
  <c r="AP281" i="6"/>
  <c r="AO281" i="6"/>
  <c r="BD281" i="6"/>
  <c r="AI281" i="6"/>
  <c r="AX281" i="6"/>
  <c r="AQ281" i="6"/>
  <c r="AC281" i="6"/>
  <c r="AB281" i="6"/>
  <c r="AN281" i="6"/>
  <c r="AY281" i="6"/>
  <c r="AZ281" i="6"/>
  <c r="BF281" i="6"/>
  <c r="AK281" i="6"/>
  <c r="BC281" i="6"/>
  <c r="AH281" i="6"/>
  <c r="AJ281" i="6"/>
  <c r="A283" i="6"/>
  <c r="N283" i="6" s="1"/>
  <c r="AG282" i="6"/>
  <c r="AC282" i="6"/>
  <c r="AF282" i="6"/>
  <c r="BA282" i="6"/>
  <c r="BG282" i="6"/>
  <c r="BB282" i="6"/>
  <c r="H283" i="6"/>
  <c r="T283" i="5" s="1"/>
  <c r="G283" i="12" s="1"/>
  <c r="AJ282" i="6"/>
  <c r="AK282" i="6"/>
  <c r="AX282" i="6"/>
  <c r="AM282" i="6"/>
  <c r="AE282" i="6"/>
  <c r="BC282" i="6"/>
  <c r="AN282" i="6"/>
  <c r="AO282" i="6"/>
  <c r="AS282" i="6"/>
  <c r="AH282" i="6"/>
  <c r="AV282" i="6"/>
  <c r="BF282" i="6"/>
  <c r="L283" i="12"/>
  <c r="J283" i="12"/>
  <c r="K282" i="12"/>
  <c r="AI282" i="6"/>
  <c r="N282" i="6"/>
  <c r="AY282" i="6"/>
  <c r="AU282" i="6"/>
  <c r="H284" i="5"/>
  <c r="D284" i="5"/>
  <c r="B284" i="12" s="1"/>
  <c r="B284" i="6"/>
  <c r="N284" i="5"/>
  <c r="D284" i="6" s="1"/>
  <c r="F284" i="5"/>
  <c r="C285" i="5"/>
  <c r="G284" i="5"/>
  <c r="K284" i="5"/>
  <c r="J284" i="5"/>
  <c r="E284" i="5"/>
  <c r="AE284" i="5"/>
  <c r="A284" i="12"/>
  <c r="AD284" i="5"/>
  <c r="B284" i="5"/>
  <c r="AD282" i="6"/>
  <c r="AZ282" i="6"/>
  <c r="BE282" i="6"/>
  <c r="AR282" i="6"/>
  <c r="AB282" i="6"/>
  <c r="BD282" i="6"/>
  <c r="AQ282" i="6"/>
  <c r="AT282" i="6"/>
  <c r="M283" i="6" l="1"/>
  <c r="AK283" i="6" s="1"/>
  <c r="K283" i="12"/>
  <c r="A284" i="6"/>
  <c r="N284" i="6" s="1"/>
  <c r="AD285" i="5"/>
  <c r="N285" i="5"/>
  <c r="D285" i="6" s="1"/>
  <c r="B285" i="5"/>
  <c r="J285" i="5"/>
  <c r="D285" i="5"/>
  <c r="B285" i="12" s="1"/>
  <c r="A285" i="12"/>
  <c r="AE285" i="5"/>
  <c r="E285" i="5"/>
  <c r="C286" i="5"/>
  <c r="B285" i="6"/>
  <c r="K285" i="5"/>
  <c r="H285" i="5"/>
  <c r="F285" i="5"/>
  <c r="G285" i="5"/>
  <c r="L284" i="12"/>
  <c r="J284" i="12"/>
  <c r="H284" i="6"/>
  <c r="M284" i="6" l="1"/>
  <c r="AR284" i="6" s="1"/>
  <c r="K284" i="12"/>
  <c r="AI283" i="6"/>
  <c r="AR283" i="6"/>
  <c r="AF283" i="6"/>
  <c r="AE283" i="6"/>
  <c r="AC283" i="6"/>
  <c r="AZ283" i="6"/>
  <c r="AU283" i="6"/>
  <c r="BF283" i="6"/>
  <c r="AY283" i="6"/>
  <c r="AG283" i="6"/>
  <c r="AH283" i="6"/>
  <c r="AS283" i="6"/>
  <c r="AN283" i="6"/>
  <c r="AO283" i="6"/>
  <c r="AJ283" i="6"/>
  <c r="AD283" i="6"/>
  <c r="AT283" i="6"/>
  <c r="A285" i="6"/>
  <c r="N285" i="6" s="1"/>
  <c r="BB283" i="6"/>
  <c r="BA283" i="6"/>
  <c r="AP283" i="6"/>
  <c r="BC283" i="6"/>
  <c r="BD283" i="6"/>
  <c r="BE283" i="6"/>
  <c r="AB283" i="6"/>
  <c r="BG283" i="6"/>
  <c r="AV283" i="6"/>
  <c r="AM283" i="6"/>
  <c r="AQ283" i="6"/>
  <c r="AX283" i="6"/>
  <c r="H285" i="6"/>
  <c r="T284" i="5"/>
  <c r="G284" i="12" s="1"/>
  <c r="F286" i="5"/>
  <c r="K286" i="5"/>
  <c r="C287" i="5"/>
  <c r="A286" i="12"/>
  <c r="B286" i="5"/>
  <c r="D286" i="5"/>
  <c r="B286" i="12" s="1"/>
  <c r="N286" i="5"/>
  <c r="D286" i="6" s="1"/>
  <c r="G286" i="5"/>
  <c r="AD286" i="5"/>
  <c r="H286" i="5"/>
  <c r="AE286" i="5"/>
  <c r="J286" i="5"/>
  <c r="E286" i="5"/>
  <c r="B286" i="6"/>
  <c r="J285" i="12"/>
  <c r="L285" i="12"/>
  <c r="M285" i="6" l="1"/>
  <c r="AO285" i="6" s="1"/>
  <c r="AO284" i="6"/>
  <c r="AF284" i="6"/>
  <c r="AJ284" i="6"/>
  <c r="BB284" i="6"/>
  <c r="BD284" i="6"/>
  <c r="AG284" i="6"/>
  <c r="AV284" i="6"/>
  <c r="AI284" i="6"/>
  <c r="AE284" i="6"/>
  <c r="BA284" i="6"/>
  <c r="AT284" i="6"/>
  <c r="BC284" i="6"/>
  <c r="AN284" i="6"/>
  <c r="AU284" i="6"/>
  <c r="AY284" i="6"/>
  <c r="AQ284" i="6"/>
  <c r="AC284" i="6"/>
  <c r="AZ284" i="6"/>
  <c r="BG284" i="6"/>
  <c r="AP284" i="6"/>
  <c r="AD284" i="6"/>
  <c r="AB284" i="6"/>
  <c r="BF284" i="6"/>
  <c r="AM284" i="6"/>
  <c r="AX284" i="6"/>
  <c r="AK284" i="6"/>
  <c r="AH284" i="6"/>
  <c r="BE284" i="6"/>
  <c r="AS284" i="6"/>
  <c r="K285" i="12"/>
  <c r="A286" i="6"/>
  <c r="M286" i="6" s="1"/>
  <c r="BE286" i="6" s="1"/>
  <c r="J286" i="12"/>
  <c r="L286" i="12"/>
  <c r="T285" i="5"/>
  <c r="G285" i="12" s="1"/>
  <c r="H286" i="6"/>
  <c r="T286" i="5" s="1"/>
  <c r="G286" i="12" s="1"/>
  <c r="B287" i="6"/>
  <c r="E287" i="5"/>
  <c r="D287" i="5"/>
  <c r="B287" i="12" s="1"/>
  <c r="G287" i="5"/>
  <c r="AE287" i="5"/>
  <c r="H287" i="5"/>
  <c r="N287" i="5"/>
  <c r="D287" i="6" s="1"/>
  <c r="J287" i="5"/>
  <c r="AD287" i="5"/>
  <c r="C288" i="5"/>
  <c r="F287" i="5"/>
  <c r="A287" i="12"/>
  <c r="K287" i="5"/>
  <c r="B287" i="5"/>
  <c r="N286" i="6" l="1"/>
  <c r="AI285" i="6"/>
  <c r="BF285" i="6"/>
  <c r="AU285" i="6"/>
  <c r="AE285" i="6"/>
  <c r="AP285" i="6"/>
  <c r="BE285" i="6"/>
  <c r="AC285" i="6"/>
  <c r="BB285" i="6"/>
  <c r="AH285" i="6"/>
  <c r="AF285" i="6"/>
  <c r="AR285" i="6"/>
  <c r="AT285" i="6"/>
  <c r="AB285" i="6"/>
  <c r="BG285" i="6"/>
  <c r="AN285" i="6"/>
  <c r="AM285" i="6"/>
  <c r="AV285" i="6"/>
  <c r="AD285" i="6"/>
  <c r="AS285" i="6"/>
  <c r="BA285" i="6"/>
  <c r="BD285" i="6"/>
  <c r="AG285" i="6"/>
  <c r="AK285" i="6"/>
  <c r="AZ285" i="6"/>
  <c r="AY285" i="6"/>
  <c r="AQ285" i="6"/>
  <c r="AJ285" i="6"/>
  <c r="BC285" i="6"/>
  <c r="AX285" i="6"/>
  <c r="A287" i="6"/>
  <c r="M287" i="6" s="1"/>
  <c r="AS287" i="6" s="1"/>
  <c r="AS286" i="6"/>
  <c r="AO286" i="6"/>
  <c r="BA286" i="6"/>
  <c r="AK286" i="6"/>
  <c r="AY286" i="6"/>
  <c r="BG286" i="6"/>
  <c r="AI286" i="6"/>
  <c r="AX286" i="6"/>
  <c r="AR286" i="6"/>
  <c r="H287" i="6"/>
  <c r="T287" i="5" s="1"/>
  <c r="G287" i="12" s="1"/>
  <c r="AH286" i="6"/>
  <c r="AP286" i="6"/>
  <c r="AT286" i="6"/>
  <c r="AG286" i="6"/>
  <c r="K286" i="12"/>
  <c r="BF286" i="6"/>
  <c r="AC286" i="6"/>
  <c r="AV286" i="6"/>
  <c r="F288" i="5"/>
  <c r="AE288" i="5"/>
  <c r="N288" i="5"/>
  <c r="D288" i="6" s="1"/>
  <c r="G288" i="5"/>
  <c r="C289" i="5"/>
  <c r="E288" i="5"/>
  <c r="J288" i="5"/>
  <c r="H288" i="5"/>
  <c r="A288" i="12"/>
  <c r="K288" i="5"/>
  <c r="B288" i="6"/>
  <c r="AD288" i="5"/>
  <c r="B288" i="5"/>
  <c r="D288" i="5"/>
  <c r="B288" i="12" s="1"/>
  <c r="AN286" i="6"/>
  <c r="BC286" i="6"/>
  <c r="AB286" i="6"/>
  <c r="AZ286" i="6"/>
  <c r="AD286" i="6"/>
  <c r="AQ286" i="6"/>
  <c r="L287" i="12"/>
  <c r="J287" i="12"/>
  <c r="BD286" i="6"/>
  <c r="AM286" i="6"/>
  <c r="AF286" i="6"/>
  <c r="AU286" i="6"/>
  <c r="AE286" i="6"/>
  <c r="BB286" i="6"/>
  <c r="AJ286" i="6"/>
  <c r="N287" i="6" l="1"/>
  <c r="K287" i="12"/>
  <c r="BB287" i="6"/>
  <c r="AZ287" i="6"/>
  <c r="AN287" i="6"/>
  <c r="BE287" i="6"/>
  <c r="AR287" i="6"/>
  <c r="AY287" i="6"/>
  <c r="AT287" i="6"/>
  <c r="AM287" i="6"/>
  <c r="AO287" i="6"/>
  <c r="AV287" i="6"/>
  <c r="BC287" i="6"/>
  <c r="BD287" i="6"/>
  <c r="AX287" i="6"/>
  <c r="BG287" i="6"/>
  <c r="AP287" i="6"/>
  <c r="AQ287" i="6"/>
  <c r="BF287" i="6"/>
  <c r="BA287" i="6"/>
  <c r="AU287" i="6"/>
  <c r="A288" i="6"/>
  <c r="N288" i="6" s="1"/>
  <c r="L288" i="12"/>
  <c r="J288" i="12"/>
  <c r="AI287" i="6"/>
  <c r="H288" i="6"/>
  <c r="T288" i="5" s="1"/>
  <c r="G288" i="12" s="1"/>
  <c r="AB287" i="6"/>
  <c r="AH287" i="6"/>
  <c r="AE287" i="6"/>
  <c r="AG287" i="6"/>
  <c r="AD287" i="6"/>
  <c r="AJ287" i="6"/>
  <c r="E289" i="5"/>
  <c r="G289" i="5"/>
  <c r="C290" i="5"/>
  <c r="H289" i="5"/>
  <c r="D289" i="5"/>
  <c r="B289" i="12" s="1"/>
  <c r="F289" i="5"/>
  <c r="A289" i="12"/>
  <c r="B289" i="5"/>
  <c r="B289" i="6"/>
  <c r="AD289" i="5"/>
  <c r="K289" i="5"/>
  <c r="J289" i="5"/>
  <c r="AE289" i="5"/>
  <c r="N289" i="5"/>
  <c r="D289" i="6" s="1"/>
  <c r="AF287" i="6"/>
  <c r="AC287" i="6"/>
  <c r="AK287" i="6"/>
  <c r="K288" i="12" l="1"/>
  <c r="H289" i="6"/>
  <c r="T289" i="5" s="1"/>
  <c r="G289" i="12" s="1"/>
  <c r="G290" i="5"/>
  <c r="F290" i="5"/>
  <c r="AE290" i="5"/>
  <c r="A290" i="12"/>
  <c r="K290" i="5"/>
  <c r="C291" i="5"/>
  <c r="N290" i="5"/>
  <c r="D290" i="6" s="1"/>
  <c r="D290" i="5"/>
  <c r="B290" i="12" s="1"/>
  <c r="E290" i="5"/>
  <c r="H290" i="5"/>
  <c r="J290" i="5"/>
  <c r="B290" i="6"/>
  <c r="AD290" i="5"/>
  <c r="B290" i="5"/>
  <c r="M288" i="6"/>
  <c r="AE288" i="6" s="1"/>
  <c r="L289" i="12"/>
  <c r="J289" i="12"/>
  <c r="A289" i="6"/>
  <c r="M289" i="6" s="1"/>
  <c r="AV289" i="6" s="1"/>
  <c r="AP289" i="6" l="1"/>
  <c r="AF288" i="6"/>
  <c r="A290" i="6"/>
  <c r="M290" i="6" s="1"/>
  <c r="BG290" i="6" s="1"/>
  <c r="L290" i="12"/>
  <c r="J290" i="12"/>
  <c r="BA289" i="6"/>
  <c r="AG289" i="6"/>
  <c r="AR289" i="6"/>
  <c r="BD289" i="6"/>
  <c r="AI289" i="6"/>
  <c r="BE289" i="6"/>
  <c r="AZ289" i="6"/>
  <c r="AC289" i="6"/>
  <c r="AG288" i="6"/>
  <c r="AJ289" i="6"/>
  <c r="BC289" i="6"/>
  <c r="AF289" i="6"/>
  <c r="AB289" i="6"/>
  <c r="BF289" i="6"/>
  <c r="K289" i="12"/>
  <c r="AY289" i="6"/>
  <c r="AH289" i="6"/>
  <c r="AM289" i="6"/>
  <c r="AD289" i="6"/>
  <c r="AK288" i="6"/>
  <c r="AN289" i="6"/>
  <c r="AJ288" i="6"/>
  <c r="BB289" i="6"/>
  <c r="AS289" i="6"/>
  <c r="N289" i="6"/>
  <c r="BG289" i="6"/>
  <c r="BD288" i="6"/>
  <c r="BE288" i="6"/>
  <c r="BG288" i="6"/>
  <c r="AX288" i="6"/>
  <c r="AV288" i="6"/>
  <c r="AM288" i="6"/>
  <c r="AQ288" i="6"/>
  <c r="BB288" i="6"/>
  <c r="AS288" i="6"/>
  <c r="AN288" i="6"/>
  <c r="AT288" i="6"/>
  <c r="AZ288" i="6"/>
  <c r="BA288" i="6"/>
  <c r="AH288" i="6"/>
  <c r="BF288" i="6"/>
  <c r="BC288" i="6"/>
  <c r="AU288" i="6"/>
  <c r="AP288" i="6"/>
  <c r="AO288" i="6"/>
  <c r="AY288" i="6"/>
  <c r="AR288" i="6"/>
  <c r="H290" i="6"/>
  <c r="T290" i="5" s="1"/>
  <c r="G290" i="12" s="1"/>
  <c r="AB288" i="6"/>
  <c r="AE289" i="6"/>
  <c r="AK289" i="6"/>
  <c r="AO289" i="6"/>
  <c r="AQ289" i="6"/>
  <c r="AC288" i="6"/>
  <c r="AI288" i="6"/>
  <c r="B291" i="6"/>
  <c r="H291" i="5"/>
  <c r="B291" i="5"/>
  <c r="A291" i="12"/>
  <c r="F291" i="5"/>
  <c r="J291" i="5"/>
  <c r="AE291" i="5"/>
  <c r="AD291" i="5"/>
  <c r="G291" i="5"/>
  <c r="N291" i="5"/>
  <c r="D291" i="6" s="1"/>
  <c r="C292" i="5"/>
  <c r="E291" i="5"/>
  <c r="D291" i="5"/>
  <c r="B291" i="12" s="1"/>
  <c r="K291" i="5"/>
  <c r="AD288" i="6"/>
  <c r="AT289" i="6"/>
  <c r="AX289" i="6"/>
  <c r="AU289" i="6"/>
  <c r="N290" i="6" l="1"/>
  <c r="AN290" i="6"/>
  <c r="BE290" i="6"/>
  <c r="AC290" i="6"/>
  <c r="BC290" i="6"/>
  <c r="AQ290" i="6"/>
  <c r="BF290" i="6"/>
  <c r="AO290" i="6"/>
  <c r="AV290" i="6"/>
  <c r="AB290" i="6"/>
  <c r="A291" i="6"/>
  <c r="M291" i="6" s="1"/>
  <c r="AP291" i="6" s="1"/>
  <c r="BB290" i="6"/>
  <c r="AF290" i="6"/>
  <c r="AI290" i="6"/>
  <c r="AG290" i="6"/>
  <c r="AD290" i="6"/>
  <c r="J291" i="12"/>
  <c r="L291" i="12"/>
  <c r="BA290" i="6"/>
  <c r="AZ290" i="6"/>
  <c r="AJ290" i="6"/>
  <c r="AY290" i="6"/>
  <c r="E292" i="5"/>
  <c r="G292" i="5"/>
  <c r="AD292" i="5"/>
  <c r="H292" i="5"/>
  <c r="K292" i="5"/>
  <c r="C293" i="5"/>
  <c r="N292" i="5"/>
  <c r="D292" i="6" s="1"/>
  <c r="B292" i="5"/>
  <c r="A292" i="12"/>
  <c r="J292" i="5"/>
  <c r="D292" i="5"/>
  <c r="B292" i="12" s="1"/>
  <c r="F292" i="5"/>
  <c r="B292" i="6"/>
  <c r="AE292" i="5"/>
  <c r="H291" i="6"/>
  <c r="T291" i="5" s="1"/>
  <c r="G291" i="12" s="1"/>
  <c r="BD290" i="6"/>
  <c r="AE290" i="6"/>
  <c r="AS290" i="6"/>
  <c r="K290" i="12"/>
  <c r="AK290" i="6"/>
  <c r="AR290" i="6"/>
  <c r="AX290" i="6"/>
  <c r="AH290" i="6"/>
  <c r="AP290" i="6"/>
  <c r="AU290" i="6"/>
  <c r="AM290" i="6"/>
  <c r="AT290" i="6"/>
  <c r="N291" i="6" l="1"/>
  <c r="K291" i="12"/>
  <c r="AM291" i="6"/>
  <c r="AY291" i="6"/>
  <c r="BF291" i="6"/>
  <c r="AO291" i="6"/>
  <c r="AZ291" i="6"/>
  <c r="BC291" i="6"/>
  <c r="BG291" i="6"/>
  <c r="AX291" i="6"/>
  <c r="AT291" i="6"/>
  <c r="AS291" i="6"/>
  <c r="AV291" i="6"/>
  <c r="BA291" i="6"/>
  <c r="AU291" i="6"/>
  <c r="BD291" i="6"/>
  <c r="AR291" i="6"/>
  <c r="AQ291" i="6"/>
  <c r="BE291" i="6"/>
  <c r="AN291" i="6"/>
  <c r="BB291" i="6"/>
  <c r="AD291" i="6"/>
  <c r="AF291" i="6"/>
  <c r="D293" i="5"/>
  <c r="B293" i="12" s="1"/>
  <c r="AE293" i="5"/>
  <c r="N293" i="5"/>
  <c r="D293" i="6" s="1"/>
  <c r="K293" i="5"/>
  <c r="AD293" i="5"/>
  <c r="J293" i="5"/>
  <c r="B293" i="5"/>
  <c r="G293" i="5"/>
  <c r="E293" i="5"/>
  <c r="C294" i="5"/>
  <c r="B293" i="6"/>
  <c r="A293" i="12"/>
  <c r="H293" i="5"/>
  <c r="F293" i="5"/>
  <c r="AK291" i="6"/>
  <c r="AC291" i="6"/>
  <c r="A292" i="6"/>
  <c r="M292" i="6" s="1"/>
  <c r="AV292" i="6" s="1"/>
  <c r="AE291" i="6"/>
  <c r="AI291" i="6"/>
  <c r="AH291" i="6"/>
  <c r="H292" i="6"/>
  <c r="T292" i="5" s="1"/>
  <c r="G292" i="12" s="1"/>
  <c r="AG291" i="6"/>
  <c r="AB291" i="6"/>
  <c r="J292" i="12"/>
  <c r="L292" i="12"/>
  <c r="AJ291" i="6"/>
  <c r="A293" i="6" l="1"/>
  <c r="M293" i="6" s="1"/>
  <c r="AX293" i="6" s="1"/>
  <c r="AU292" i="6"/>
  <c r="AX292" i="6"/>
  <c r="BC292" i="6"/>
  <c r="AQ292" i="6"/>
  <c r="AI292" i="6"/>
  <c r="AE292" i="6"/>
  <c r="AO292" i="6"/>
  <c r="BF292" i="6"/>
  <c r="J293" i="12"/>
  <c r="L293" i="12"/>
  <c r="H293" i="6"/>
  <c r="T293" i="5" s="1"/>
  <c r="G293" i="12" s="1"/>
  <c r="AB292" i="6"/>
  <c r="AS292" i="6"/>
  <c r="AZ292" i="6"/>
  <c r="BD292" i="6"/>
  <c r="AC292" i="6"/>
  <c r="AY292" i="6"/>
  <c r="AH292" i="6"/>
  <c r="BG292" i="6"/>
  <c r="AG292" i="6"/>
  <c r="D294" i="5"/>
  <c r="B294" i="12" s="1"/>
  <c r="C295" i="5"/>
  <c r="H294" i="5"/>
  <c r="E294" i="5"/>
  <c r="J294" i="5"/>
  <c r="K294" i="5"/>
  <c r="B294" i="5"/>
  <c r="A294" i="12"/>
  <c r="AE294" i="5"/>
  <c r="F294" i="5"/>
  <c r="G294" i="5"/>
  <c r="B294" i="6"/>
  <c r="AD294" i="5"/>
  <c r="N294" i="5"/>
  <c r="D294" i="6" s="1"/>
  <c r="BE292" i="6"/>
  <c r="AT292" i="6"/>
  <c r="BB292" i="6"/>
  <c r="AP292" i="6"/>
  <c r="AK292" i="6"/>
  <c r="AM292" i="6"/>
  <c r="AN292" i="6"/>
  <c r="BA292" i="6"/>
  <c r="AJ292" i="6"/>
  <c r="K292" i="12"/>
  <c r="AF292" i="6"/>
  <c r="AR292" i="6"/>
  <c r="AD292" i="6"/>
  <c r="N292" i="6"/>
  <c r="K293" i="12" l="1"/>
  <c r="N293" i="6"/>
  <c r="BA293" i="6"/>
  <c r="AP293" i="6"/>
  <c r="AN293" i="6"/>
  <c r="AQ293" i="6"/>
  <c r="AY293" i="6"/>
  <c r="AO293" i="6"/>
  <c r="AD293" i="6"/>
  <c r="AJ293" i="6"/>
  <c r="AS293" i="6"/>
  <c r="AZ293" i="6"/>
  <c r="AF293" i="6"/>
  <c r="BB293" i="6"/>
  <c r="AU293" i="6"/>
  <c r="AV293" i="6"/>
  <c r="AE293" i="6"/>
  <c r="BE293" i="6"/>
  <c r="BF293" i="6"/>
  <c r="AI293" i="6"/>
  <c r="AG293" i="6"/>
  <c r="BD293" i="6"/>
  <c r="AT293" i="6"/>
  <c r="AM293" i="6"/>
  <c r="BG293" i="6"/>
  <c r="AK293" i="6"/>
  <c r="BC293" i="6"/>
  <c r="AC293" i="6"/>
  <c r="AR293" i="6"/>
  <c r="H294" i="6"/>
  <c r="T294" i="5" s="1"/>
  <c r="G294" i="12" s="1"/>
  <c r="A294" i="6"/>
  <c r="M294" i="6" s="1"/>
  <c r="AM294" i="6" s="1"/>
  <c r="AH293" i="6"/>
  <c r="H295" i="5"/>
  <c r="D295" i="5"/>
  <c r="B295" i="12" s="1"/>
  <c r="N295" i="5"/>
  <c r="D295" i="6" s="1"/>
  <c r="A295" i="12"/>
  <c r="AE295" i="5"/>
  <c r="AD295" i="5"/>
  <c r="E295" i="5"/>
  <c r="G295" i="5"/>
  <c r="F295" i="5"/>
  <c r="K295" i="5"/>
  <c r="B295" i="6"/>
  <c r="J295" i="5"/>
  <c r="C296" i="5"/>
  <c r="B295" i="5"/>
  <c r="AB293" i="6"/>
  <c r="J294" i="12"/>
  <c r="L294" i="12"/>
  <c r="K294" i="12" l="1"/>
  <c r="AJ294" i="6"/>
  <c r="AI294" i="6"/>
  <c r="AS294" i="6"/>
  <c r="AF294" i="6"/>
  <c r="AZ294" i="6"/>
  <c r="BG294" i="6"/>
  <c r="AO294" i="6"/>
  <c r="BD294" i="6"/>
  <c r="AN294" i="6"/>
  <c r="AT294" i="6"/>
  <c r="L295" i="12"/>
  <c r="J295" i="12"/>
  <c r="AP294" i="6"/>
  <c r="AG294" i="6"/>
  <c r="AU294" i="6"/>
  <c r="AR294" i="6"/>
  <c r="AB294" i="6"/>
  <c r="A295" i="6"/>
  <c r="M295" i="6" s="1"/>
  <c r="BF295" i="6" s="1"/>
  <c r="H295" i="6"/>
  <c r="T295" i="5" s="1"/>
  <c r="G295" i="12" s="1"/>
  <c r="AX294" i="6"/>
  <c r="BB294" i="6"/>
  <c r="AK294" i="6"/>
  <c r="AV294" i="6"/>
  <c r="C297" i="5"/>
  <c r="N296" i="5"/>
  <c r="D296" i="6" s="1"/>
  <c r="B296" i="6"/>
  <c r="H296" i="5"/>
  <c r="A296" i="12"/>
  <c r="G296" i="5"/>
  <c r="E296" i="5"/>
  <c r="F296" i="5"/>
  <c r="J296" i="5"/>
  <c r="AD296" i="5"/>
  <c r="B296" i="5"/>
  <c r="D296" i="5"/>
  <c r="B296" i="12" s="1"/>
  <c r="AE296" i="5"/>
  <c r="K296" i="5"/>
  <c r="AE294" i="6"/>
  <c r="BF294" i="6"/>
  <c r="BC294" i="6"/>
  <c r="AQ294" i="6"/>
  <c r="AH294" i="6"/>
  <c r="BA294" i="6"/>
  <c r="AD294" i="6"/>
  <c r="AC294" i="6"/>
  <c r="AY294" i="6"/>
  <c r="BE294" i="6"/>
  <c r="N294" i="6"/>
  <c r="K295" i="12" l="1"/>
  <c r="N295" i="6"/>
  <c r="A296" i="6"/>
  <c r="N296" i="6" s="1"/>
  <c r="AM295" i="6"/>
  <c r="H296" i="6"/>
  <c r="AX295" i="6"/>
  <c r="AO295" i="6"/>
  <c r="AC295" i="6"/>
  <c r="AY295" i="6"/>
  <c r="AN295" i="6"/>
  <c r="E297" i="5"/>
  <c r="K297" i="5"/>
  <c r="A297" i="12"/>
  <c r="J297" i="5"/>
  <c r="AE297" i="5"/>
  <c r="G297" i="5"/>
  <c r="H297" i="5"/>
  <c r="B297" i="6"/>
  <c r="N297" i="5"/>
  <c r="D297" i="6" s="1"/>
  <c r="F297" i="5"/>
  <c r="AD297" i="5"/>
  <c r="C298" i="5"/>
  <c r="D297" i="5"/>
  <c r="B297" i="12" s="1"/>
  <c r="B297" i="5"/>
  <c r="AB295" i="6"/>
  <c r="AP295" i="6"/>
  <c r="AD295" i="6"/>
  <c r="BA295" i="6"/>
  <c r="AJ295" i="6"/>
  <c r="BD295" i="6"/>
  <c r="AI295" i="6"/>
  <c r="BE295" i="6"/>
  <c r="AS295" i="6"/>
  <c r="AF295" i="6"/>
  <c r="AV295" i="6"/>
  <c r="AK295" i="6"/>
  <c r="AE295" i="6"/>
  <c r="BG295" i="6"/>
  <c r="AT295" i="6"/>
  <c r="AU295" i="6"/>
  <c r="L296" i="12"/>
  <c r="J296" i="12"/>
  <c r="AH295" i="6"/>
  <c r="AG295" i="6"/>
  <c r="AR295" i="6"/>
  <c r="AZ295" i="6"/>
  <c r="BB295" i="6"/>
  <c r="BC295" i="6"/>
  <c r="AQ295" i="6"/>
  <c r="A297" i="6" l="1"/>
  <c r="N297" i="6" s="1"/>
  <c r="M296" i="6"/>
  <c r="AO296" i="6" s="1"/>
  <c r="K296" i="12"/>
  <c r="H298" i="5"/>
  <c r="AE298" i="5"/>
  <c r="J298" i="5"/>
  <c r="AD298" i="5"/>
  <c r="N298" i="5"/>
  <c r="D298" i="6" s="1"/>
  <c r="E298" i="5"/>
  <c r="F298" i="5"/>
  <c r="C299" i="5"/>
  <c r="B298" i="5"/>
  <c r="K298" i="5"/>
  <c r="G298" i="5"/>
  <c r="B298" i="6"/>
  <c r="A298" i="12"/>
  <c r="D298" i="5"/>
  <c r="B298" i="12" s="1"/>
  <c r="T296" i="5"/>
  <c r="G296" i="12" s="1"/>
  <c r="J297" i="12"/>
  <c r="L297" i="12"/>
  <c r="H297" i="6"/>
  <c r="T297" i="5" s="1"/>
  <c r="G297" i="12" s="1"/>
  <c r="K297" i="12" l="1"/>
  <c r="M297" i="6"/>
  <c r="AK297" i="6" s="1"/>
  <c r="AZ296" i="6"/>
  <c r="AE296" i="6"/>
  <c r="BE296" i="6"/>
  <c r="AD296" i="6"/>
  <c r="BF296" i="6"/>
  <c r="AJ296" i="6"/>
  <c r="AH296" i="6"/>
  <c r="AI296" i="6"/>
  <c r="AQ296" i="6"/>
  <c r="AM296" i="6"/>
  <c r="A298" i="6"/>
  <c r="M298" i="6" s="1"/>
  <c r="BE298" i="6" s="1"/>
  <c r="AR296" i="6"/>
  <c r="AN296" i="6"/>
  <c r="AV296" i="6"/>
  <c r="AS296" i="6"/>
  <c r="BA296" i="6"/>
  <c r="AP296" i="6"/>
  <c r="AG296" i="6"/>
  <c r="AK296" i="6"/>
  <c r="AF296" i="6"/>
  <c r="AU296" i="6"/>
  <c r="BD296" i="6"/>
  <c r="BC296" i="6"/>
  <c r="AC296" i="6"/>
  <c r="AT296" i="6"/>
  <c r="BG296" i="6"/>
  <c r="BB296" i="6"/>
  <c r="AB296" i="6"/>
  <c r="AY296" i="6"/>
  <c r="AX296" i="6"/>
  <c r="L298" i="12"/>
  <c r="J298" i="12"/>
  <c r="H298" i="6"/>
  <c r="T298" i="5" s="1"/>
  <c r="G298" i="12" s="1"/>
  <c r="B299" i="6"/>
  <c r="G299" i="5"/>
  <c r="H299" i="5"/>
  <c r="E299" i="5"/>
  <c r="AD299" i="5"/>
  <c r="B299" i="5"/>
  <c r="D299" i="5"/>
  <c r="B299" i="12" s="1"/>
  <c r="F299" i="5"/>
  <c r="N299" i="5"/>
  <c r="D299" i="6" s="1"/>
  <c r="A299" i="12"/>
  <c r="J299" i="5"/>
  <c r="K299" i="5"/>
  <c r="AE299" i="5"/>
  <c r="C300" i="5"/>
  <c r="N298" i="6" l="1"/>
  <c r="AO297" i="6"/>
  <c r="AJ297" i="6"/>
  <c r="AP297" i="6"/>
  <c r="AI297" i="6"/>
  <c r="AU297" i="6"/>
  <c r="BE297" i="6"/>
  <c r="AN297" i="6"/>
  <c r="AH297" i="6"/>
  <c r="AB297" i="6"/>
  <c r="BG297" i="6"/>
  <c r="BA297" i="6"/>
  <c r="BC297" i="6"/>
  <c r="AE297" i="6"/>
  <c r="BF297" i="6"/>
  <c r="AS297" i="6"/>
  <c r="AQ297" i="6"/>
  <c r="AM297" i="6"/>
  <c r="AT297" i="6"/>
  <c r="AD297" i="6"/>
  <c r="BB297" i="6"/>
  <c r="AF297" i="6"/>
  <c r="AV297" i="6"/>
  <c r="AZ297" i="6"/>
  <c r="AG297" i="6"/>
  <c r="BD297" i="6"/>
  <c r="AR297" i="6"/>
  <c r="AC297" i="6"/>
  <c r="AY297" i="6"/>
  <c r="AX297" i="6"/>
  <c r="K298" i="12"/>
  <c r="AH298" i="6"/>
  <c r="AF298" i="6"/>
  <c r="BA298" i="6"/>
  <c r="AN298" i="6"/>
  <c r="AX298" i="6"/>
  <c r="BF298" i="6"/>
  <c r="AB298" i="6"/>
  <c r="AY298" i="6"/>
  <c r="BB298" i="6"/>
  <c r="AV298" i="6"/>
  <c r="AT298" i="6"/>
  <c r="AK298" i="6"/>
  <c r="BG298" i="6"/>
  <c r="BC298" i="6"/>
  <c r="AS298" i="6"/>
  <c r="AC298" i="6"/>
  <c r="BD298" i="6"/>
  <c r="AR298" i="6"/>
  <c r="AJ298" i="6"/>
  <c r="AI298" i="6"/>
  <c r="AZ298" i="6"/>
  <c r="AQ298" i="6"/>
  <c r="AP298" i="6"/>
  <c r="AD298" i="6"/>
  <c r="AU298" i="6"/>
  <c r="AE298" i="6"/>
  <c r="AG298" i="6"/>
  <c r="AM298" i="6"/>
  <c r="AO298" i="6"/>
  <c r="H299" i="6"/>
  <c r="A299" i="6"/>
  <c r="N299" i="6" s="1"/>
  <c r="L299" i="12"/>
  <c r="J299" i="12"/>
  <c r="E300" i="5"/>
  <c r="A300" i="12"/>
  <c r="F300" i="5"/>
  <c r="H300" i="5"/>
  <c r="N300" i="5"/>
  <c r="D300" i="6" s="1"/>
  <c r="AD300" i="5"/>
  <c r="B300" i="6"/>
  <c r="B300" i="5"/>
  <c r="K300" i="5"/>
  <c r="G300" i="5"/>
  <c r="J300" i="5"/>
  <c r="C301" i="5"/>
  <c r="AE300" i="5"/>
  <c r="D300" i="5"/>
  <c r="B300" i="12" s="1"/>
  <c r="A300" i="6" l="1"/>
  <c r="M300" i="6" s="1"/>
  <c r="AO300" i="6" s="1"/>
  <c r="J300" i="12"/>
  <c r="L300" i="12"/>
  <c r="K299" i="12"/>
  <c r="H300" i="6"/>
  <c r="T300" i="5" s="1"/>
  <c r="G300" i="12" s="1"/>
  <c r="M299" i="6"/>
  <c r="AH299" i="6" s="1"/>
  <c r="A301" i="12"/>
  <c r="C302" i="5"/>
  <c r="F301" i="5"/>
  <c r="J301" i="5"/>
  <c r="G301" i="5"/>
  <c r="N301" i="5"/>
  <c r="D301" i="6" s="1"/>
  <c r="B301" i="5"/>
  <c r="AE301" i="5"/>
  <c r="D301" i="5"/>
  <c r="B301" i="12" s="1"/>
  <c r="B301" i="6"/>
  <c r="K301" i="5"/>
  <c r="E301" i="5"/>
  <c r="H301" i="5"/>
  <c r="AD301" i="5"/>
  <c r="T299" i="5"/>
  <c r="G299" i="12" s="1"/>
  <c r="N300" i="6" l="1"/>
  <c r="K300" i="12"/>
  <c r="AY300" i="6"/>
  <c r="AJ300" i="6"/>
  <c r="BB300" i="6"/>
  <c r="AX300" i="6"/>
  <c r="AN300" i="6"/>
  <c r="AT300" i="6"/>
  <c r="AD300" i="6"/>
  <c r="BA300" i="6"/>
  <c r="BD300" i="6"/>
  <c r="AE300" i="6"/>
  <c r="BG300" i="6"/>
  <c r="AM300" i="6"/>
  <c r="BF300" i="6"/>
  <c r="AZ300" i="6"/>
  <c r="AR300" i="6"/>
  <c r="BC300" i="6"/>
  <c r="AV300" i="6"/>
  <c r="BE300" i="6"/>
  <c r="AP300" i="6"/>
  <c r="AU300" i="6"/>
  <c r="AQ300" i="6"/>
  <c r="AS300" i="6"/>
  <c r="AH300" i="6"/>
  <c r="AF300" i="6"/>
  <c r="A301" i="6"/>
  <c r="M301" i="6" s="1"/>
  <c r="AP301" i="6" s="1"/>
  <c r="AI300" i="6"/>
  <c r="AK299" i="6"/>
  <c r="AF299" i="6"/>
  <c r="AB300" i="6"/>
  <c r="E302" i="5"/>
  <c r="B302" i="6"/>
  <c r="AE302" i="5"/>
  <c r="A302" i="12"/>
  <c r="C303" i="5"/>
  <c r="F302" i="5"/>
  <c r="G302" i="5"/>
  <c r="K302" i="5"/>
  <c r="AD302" i="5"/>
  <c r="D302" i="5"/>
  <c r="B302" i="12" s="1"/>
  <c r="B302" i="5"/>
  <c r="J302" i="5"/>
  <c r="N302" i="5"/>
  <c r="D302" i="6" s="1"/>
  <c r="H302" i="5"/>
  <c r="AG300" i="6"/>
  <c r="AK300" i="6"/>
  <c r="AE299" i="6"/>
  <c r="AB299" i="6"/>
  <c r="AI299" i="6"/>
  <c r="J301" i="12"/>
  <c r="L301" i="12"/>
  <c r="AJ299" i="6"/>
  <c r="AU299" i="6"/>
  <c r="AV299" i="6"/>
  <c r="AP299" i="6"/>
  <c r="AM299" i="6"/>
  <c r="AN299" i="6"/>
  <c r="BD299" i="6"/>
  <c r="AR299" i="6"/>
  <c r="BG299" i="6"/>
  <c r="BE299" i="6"/>
  <c r="AY299" i="6"/>
  <c r="AQ299" i="6"/>
  <c r="AT299" i="6"/>
  <c r="AO299" i="6"/>
  <c r="AX299" i="6"/>
  <c r="BF299" i="6"/>
  <c r="BB299" i="6"/>
  <c r="BA299" i="6"/>
  <c r="AS299" i="6"/>
  <c r="AZ299" i="6"/>
  <c r="BC299" i="6"/>
  <c r="AD299" i="6"/>
  <c r="AG299" i="6"/>
  <c r="AC299" i="6"/>
  <c r="H301" i="6"/>
  <c r="T301" i="5" s="1"/>
  <c r="G301" i="12" s="1"/>
  <c r="AC300" i="6"/>
  <c r="N301" i="6" l="1"/>
  <c r="AY301" i="6"/>
  <c r="AB301" i="6"/>
  <c r="BA301" i="6"/>
  <c r="AN301" i="6"/>
  <c r="AT301" i="6"/>
  <c r="AF301" i="6"/>
  <c r="AV301" i="6"/>
  <c r="BD301" i="6"/>
  <c r="AU301" i="6"/>
  <c r="AR301" i="6"/>
  <c r="AS301" i="6"/>
  <c r="BB301" i="6"/>
  <c r="AH301" i="6"/>
  <c r="BE301" i="6"/>
  <c r="AI301" i="6"/>
  <c r="AG301" i="6"/>
  <c r="AD301" i="6"/>
  <c r="K301" i="12"/>
  <c r="AO301" i="6"/>
  <c r="AQ301" i="6"/>
  <c r="BG301" i="6"/>
  <c r="AJ301" i="6"/>
  <c r="AM301" i="6"/>
  <c r="AC301" i="6"/>
  <c r="AZ301" i="6"/>
  <c r="AE301" i="6"/>
  <c r="AK301" i="6"/>
  <c r="BF301" i="6"/>
  <c r="BC301" i="6"/>
  <c r="AX301" i="6"/>
  <c r="B303" i="6"/>
  <c r="E303" i="5"/>
  <c r="G303" i="5"/>
  <c r="F303" i="5"/>
  <c r="AD303" i="5"/>
  <c r="N303" i="5"/>
  <c r="D303" i="6" s="1"/>
  <c r="C304" i="5"/>
  <c r="C305" i="5" s="1"/>
  <c r="H303" i="5"/>
  <c r="K303" i="5"/>
  <c r="D303" i="5"/>
  <c r="B303" i="12" s="1"/>
  <c r="B303" i="5"/>
  <c r="J303" i="5"/>
  <c r="AE303" i="5"/>
  <c r="A303" i="12"/>
  <c r="J302" i="12"/>
  <c r="L302" i="12"/>
  <c r="A302" i="6"/>
  <c r="N302" i="6" s="1"/>
  <c r="H302" i="6"/>
  <c r="K302" i="12" l="1"/>
  <c r="D305" i="5"/>
  <c r="B305" i="12" s="1"/>
  <c r="K305" i="5"/>
  <c r="J305" i="5"/>
  <c r="N305" i="5"/>
  <c r="AE305" i="5"/>
  <c r="B305" i="6"/>
  <c r="AD305" i="5"/>
  <c r="A305" i="12"/>
  <c r="M302" i="6"/>
  <c r="AX302" i="6" s="1"/>
  <c r="AE304" i="5"/>
  <c r="J304" i="5"/>
  <c r="H304" i="5"/>
  <c r="H305" i="5" s="1"/>
  <c r="D304" i="5"/>
  <c r="B304" i="12" s="1"/>
  <c r="AD304" i="5"/>
  <c r="B304" i="5"/>
  <c r="B305" i="5" s="1"/>
  <c r="G304" i="5"/>
  <c r="G305" i="5" s="1"/>
  <c r="N304" i="5"/>
  <c r="D304" i="6" s="1"/>
  <c r="F304" i="5"/>
  <c r="F305" i="5" s="1"/>
  <c r="B304" i="6"/>
  <c r="A304" i="12"/>
  <c r="E304" i="5"/>
  <c r="E305" i="5" s="1"/>
  <c r="K304" i="5"/>
  <c r="J303" i="12"/>
  <c r="L303" i="12"/>
  <c r="H303" i="6"/>
  <c r="T303" i="5" s="1"/>
  <c r="G303" i="12" s="1"/>
  <c r="T302" i="5"/>
  <c r="G302" i="12" s="1"/>
  <c r="A303" i="6"/>
  <c r="M303" i="6" s="1"/>
  <c r="AV303" i="6" s="1"/>
  <c r="K303" i="12" l="1"/>
  <c r="C306" i="5"/>
  <c r="N306" i="5" s="1"/>
  <c r="D306" i="6" s="1"/>
  <c r="D305" i="6"/>
  <c r="L305" i="12"/>
  <c r="J305" i="12"/>
  <c r="AQ302" i="6"/>
  <c r="AD302" i="6"/>
  <c r="AM302" i="6"/>
  <c r="AS302" i="6"/>
  <c r="AE302" i="6"/>
  <c r="BG302" i="6"/>
  <c r="AY302" i="6"/>
  <c r="AC302" i="6"/>
  <c r="BE302" i="6"/>
  <c r="AV302" i="6"/>
  <c r="AF302" i="6"/>
  <c r="BC302" i="6"/>
  <c r="AN302" i="6"/>
  <c r="AO302" i="6"/>
  <c r="AT302" i="6"/>
  <c r="BA302" i="6"/>
  <c r="BD302" i="6"/>
  <c r="AK302" i="6"/>
  <c r="BF302" i="6"/>
  <c r="AR302" i="6"/>
  <c r="AI302" i="6"/>
  <c r="AG302" i="6"/>
  <c r="AU302" i="6"/>
  <c r="BB302" i="6"/>
  <c r="AZ302" i="6"/>
  <c r="AP302" i="6"/>
  <c r="AB302" i="6"/>
  <c r="AJ302" i="6"/>
  <c r="AH302" i="6"/>
  <c r="H304" i="6"/>
  <c r="BD303" i="6"/>
  <c r="AU303" i="6"/>
  <c r="N303" i="6"/>
  <c r="AM303" i="6"/>
  <c r="AI303" i="6"/>
  <c r="AQ303" i="6"/>
  <c r="AH303" i="6"/>
  <c r="AP303" i="6"/>
  <c r="BC303" i="6"/>
  <c r="AC303" i="6"/>
  <c r="AF303" i="6"/>
  <c r="AT303" i="6"/>
  <c r="AZ303" i="6"/>
  <c r="AK303" i="6"/>
  <c r="BF303" i="6"/>
  <c r="AO303" i="6"/>
  <c r="BB303" i="6"/>
  <c r="AX303" i="6"/>
  <c r="AY303" i="6"/>
  <c r="AD303" i="6"/>
  <c r="BA303" i="6"/>
  <c r="L304" i="12"/>
  <c r="J304" i="12"/>
  <c r="AS303" i="6"/>
  <c r="AG303" i="6"/>
  <c r="BE303" i="6"/>
  <c r="AR303" i="6"/>
  <c r="AN303" i="6"/>
  <c r="A304" i="6"/>
  <c r="N304" i="6" s="1"/>
  <c r="AE303" i="6"/>
  <c r="AJ303" i="6"/>
  <c r="BG303" i="6"/>
  <c r="AB303" i="6"/>
  <c r="F306" i="5" l="1"/>
  <c r="I306" i="5"/>
  <c r="A306" i="12"/>
  <c r="C307" i="5"/>
  <c r="N307" i="5" s="1"/>
  <c r="D307" i="6" s="1"/>
  <c r="AD306" i="5"/>
  <c r="AE306" i="5"/>
  <c r="R306" i="5"/>
  <c r="F306" i="6" s="1"/>
  <c r="W306" i="5"/>
  <c r="H306" i="12" s="1"/>
  <c r="E306" i="5"/>
  <c r="G306" i="5"/>
  <c r="K267" i="5" s="1"/>
  <c r="B306" i="6"/>
  <c r="B306" i="5"/>
  <c r="H306" i="5"/>
  <c r="K305" i="12"/>
  <c r="H305" i="6"/>
  <c r="T305" i="5" s="1"/>
  <c r="A305" i="6"/>
  <c r="M305" i="6" s="1"/>
  <c r="K304" i="12"/>
  <c r="AP306" i="6"/>
  <c r="BC306" i="6"/>
  <c r="AY306" i="6"/>
  <c r="AQ306" i="6"/>
  <c r="AR306" i="6"/>
  <c r="G306" i="6"/>
  <c r="AO306" i="6"/>
  <c r="H306" i="6"/>
  <c r="T306" i="5" s="1"/>
  <c r="G306" i="12" s="1"/>
  <c r="AZ306" i="6"/>
  <c r="BE306" i="6"/>
  <c r="AV306" i="6"/>
  <c r="N306" i="6"/>
  <c r="BA306" i="6"/>
  <c r="AT306" i="6"/>
  <c r="AN306" i="6"/>
  <c r="AM306" i="6"/>
  <c r="AS306" i="6"/>
  <c r="BG306" i="6"/>
  <c r="BB306" i="6"/>
  <c r="AU306" i="6"/>
  <c r="AX306" i="6"/>
  <c r="BD306" i="6"/>
  <c r="M306" i="6"/>
  <c r="BF306" i="6"/>
  <c r="M304" i="6"/>
  <c r="AB304" i="6" s="1"/>
  <c r="T304" i="5"/>
  <c r="G304" i="12" s="1"/>
  <c r="B307" i="5" l="1"/>
  <c r="J307" i="5"/>
  <c r="E307" i="5"/>
  <c r="D307" i="5"/>
  <c r="B307" i="12" s="1"/>
  <c r="G307" i="5"/>
  <c r="F307" i="5"/>
  <c r="A307" i="12"/>
  <c r="J307" i="12" s="1"/>
  <c r="AD307" i="5"/>
  <c r="AE307" i="5"/>
  <c r="H307" i="5"/>
  <c r="B307" i="6"/>
  <c r="K307" i="5"/>
  <c r="E306" i="12"/>
  <c r="C308" i="5"/>
  <c r="D308" i="5" s="1"/>
  <c r="B308" i="12" s="1"/>
  <c r="A306" i="6"/>
  <c r="BE305" i="6"/>
  <c r="AP305" i="6"/>
  <c r="AX305" i="6"/>
  <c r="BA305" i="6"/>
  <c r="AV305" i="6"/>
  <c r="BC305" i="6"/>
  <c r="AR305" i="6"/>
  <c r="AN305" i="6"/>
  <c r="AT305" i="6"/>
  <c r="BB305" i="6"/>
  <c r="AS305" i="6"/>
  <c r="BD305" i="6"/>
  <c r="BF305" i="6"/>
  <c r="AU305" i="6"/>
  <c r="BG305" i="6"/>
  <c r="AZ305" i="6"/>
  <c r="AM305" i="6"/>
  <c r="AY305" i="6"/>
  <c r="AQ305" i="6"/>
  <c r="AO305" i="6"/>
  <c r="AH305" i="6"/>
  <c r="G305" i="12"/>
  <c r="AD305" i="6"/>
  <c r="AG305" i="6"/>
  <c r="AB305" i="6"/>
  <c r="AJ305" i="6"/>
  <c r="AC305" i="6"/>
  <c r="N305" i="6"/>
  <c r="AK305" i="6"/>
  <c r="AE305" i="6"/>
  <c r="AI305" i="6"/>
  <c r="AF305" i="6"/>
  <c r="AJ306" i="6"/>
  <c r="AI306" i="6"/>
  <c r="AG306" i="6"/>
  <c r="H307" i="6"/>
  <c r="T307" i="5" s="1"/>
  <c r="G307" i="12" s="1"/>
  <c r="AD306" i="6"/>
  <c r="AC306" i="6"/>
  <c r="AJ304" i="6"/>
  <c r="AV304" i="6"/>
  <c r="BB304" i="6"/>
  <c r="AU304" i="6"/>
  <c r="AX304" i="6"/>
  <c r="AK304" i="6"/>
  <c r="BC304" i="6"/>
  <c r="BE304" i="6"/>
  <c r="BG304" i="6"/>
  <c r="AR304" i="6"/>
  <c r="AQ304" i="6"/>
  <c r="AS304" i="6"/>
  <c r="AY304" i="6"/>
  <c r="BA304" i="6"/>
  <c r="BF304" i="6"/>
  <c r="AE304" i="6"/>
  <c r="AP304" i="6"/>
  <c r="AT304" i="6"/>
  <c r="AD304" i="6"/>
  <c r="AC304" i="6"/>
  <c r="AZ304" i="6"/>
  <c r="BD304" i="6"/>
  <c r="AM304" i="6"/>
  <c r="AO304" i="6"/>
  <c r="AI304" i="6"/>
  <c r="AF304" i="6"/>
  <c r="AN304" i="6"/>
  <c r="AG304" i="6"/>
  <c r="AB306" i="6"/>
  <c r="AH306" i="6"/>
  <c r="AF306" i="6"/>
  <c r="AK306" i="6"/>
  <c r="AE306" i="6"/>
  <c r="AH304" i="6"/>
  <c r="L307" i="12" l="1"/>
  <c r="K307" i="12" s="1"/>
  <c r="A307" i="6"/>
  <c r="M307" i="6" s="1"/>
  <c r="BA307" i="6" s="1"/>
  <c r="F308" i="5"/>
  <c r="C309" i="5"/>
  <c r="A309" i="12" s="1"/>
  <c r="H308" i="5"/>
  <c r="AE308" i="5"/>
  <c r="K308" i="5"/>
  <c r="N308" i="5"/>
  <c r="D308" i="6" s="1"/>
  <c r="H308" i="6" s="1"/>
  <c r="J308" i="5"/>
  <c r="E308" i="5"/>
  <c r="AD308" i="5"/>
  <c r="G308" i="5"/>
  <c r="B308" i="6"/>
  <c r="B308" i="5"/>
  <c r="A308" i="12"/>
  <c r="J308" i="12" s="1"/>
  <c r="N307" i="6" l="1"/>
  <c r="B309" i="5"/>
  <c r="C310" i="5"/>
  <c r="B310" i="6" s="1"/>
  <c r="F309" i="5"/>
  <c r="D309" i="5"/>
  <c r="B309" i="12" s="1"/>
  <c r="AE309" i="5"/>
  <c r="J309" i="5"/>
  <c r="B309" i="6"/>
  <c r="AD309" i="5"/>
  <c r="H309" i="5"/>
  <c r="K309" i="5"/>
  <c r="N309" i="5"/>
  <c r="D309" i="6" s="1"/>
  <c r="H309" i="6" s="1"/>
  <c r="T309" i="5" s="1"/>
  <c r="G309" i="12" s="1"/>
  <c r="L308" i="12"/>
  <c r="K308" i="12" s="1"/>
  <c r="AB307" i="6"/>
  <c r="AT307" i="6"/>
  <c r="AC307" i="6"/>
  <c r="BC307" i="6"/>
  <c r="AO307" i="6"/>
  <c r="AS307" i="6"/>
  <c r="AN307" i="6"/>
  <c r="AD307" i="6"/>
  <c r="AU307" i="6"/>
  <c r="BD307" i="6"/>
  <c r="AK307" i="6"/>
  <c r="AQ307" i="6"/>
  <c r="AJ307" i="6"/>
  <c r="AP307" i="6"/>
  <c r="AF307" i="6"/>
  <c r="BB307" i="6"/>
  <c r="AE307" i="6"/>
  <c r="AY307" i="6"/>
  <c r="G309" i="5"/>
  <c r="BG307" i="6"/>
  <c r="AX307" i="6"/>
  <c r="AM307" i="6"/>
  <c r="AH307" i="6"/>
  <c r="AR307" i="6"/>
  <c r="AV307" i="6"/>
  <c r="AI307" i="6"/>
  <c r="BE307" i="6"/>
  <c r="AG307" i="6"/>
  <c r="AZ307" i="6"/>
  <c r="BF307" i="6"/>
  <c r="E309" i="5"/>
  <c r="A308" i="6"/>
  <c r="N308" i="6" s="1"/>
  <c r="J309" i="12"/>
  <c r="L309" i="12"/>
  <c r="T308" i="5"/>
  <c r="G308" i="12" s="1"/>
  <c r="A310" i="12" l="1"/>
  <c r="L310" i="12" s="1"/>
  <c r="C311" i="5"/>
  <c r="A311" i="12" s="1"/>
  <c r="G310" i="5"/>
  <c r="B310" i="5"/>
  <c r="H310" i="5"/>
  <c r="AD310" i="5"/>
  <c r="K310" i="5"/>
  <c r="J310" i="5"/>
  <c r="AE310" i="5"/>
  <c r="E310" i="5"/>
  <c r="D310" i="5"/>
  <c r="B310" i="12" s="1"/>
  <c r="N310" i="5"/>
  <c r="D310" i="6" s="1"/>
  <c r="H310" i="6" s="1"/>
  <c r="T310" i="5" s="1"/>
  <c r="G310" i="12" s="1"/>
  <c r="F310" i="5"/>
  <c r="A309" i="6"/>
  <c r="M309" i="6" s="1"/>
  <c r="AX309" i="6" s="1"/>
  <c r="M308" i="6"/>
  <c r="AT308" i="6" s="1"/>
  <c r="K309" i="12"/>
  <c r="J310" i="12" l="1"/>
  <c r="K310" i="12" s="1"/>
  <c r="AD311" i="5"/>
  <c r="N311" i="5"/>
  <c r="D311" i="6" s="1"/>
  <c r="H311" i="6" s="1"/>
  <c r="K311" i="5"/>
  <c r="AE311" i="5"/>
  <c r="F311" i="5"/>
  <c r="H311" i="5"/>
  <c r="G311" i="5"/>
  <c r="E311" i="5"/>
  <c r="C312" i="5"/>
  <c r="A312" i="12" s="1"/>
  <c r="J311" i="5"/>
  <c r="B311" i="6"/>
  <c r="B311" i="5"/>
  <c r="D311" i="5"/>
  <c r="B311" i="12" s="1"/>
  <c r="N309" i="6"/>
  <c r="A310" i="6"/>
  <c r="N310" i="6" s="1"/>
  <c r="AQ309" i="6"/>
  <c r="AK309" i="6"/>
  <c r="AF309" i="6"/>
  <c r="AZ309" i="6"/>
  <c r="AB309" i="6"/>
  <c r="AU308" i="6"/>
  <c r="AP309" i="6"/>
  <c r="AM308" i="6"/>
  <c r="AM309" i="6"/>
  <c r="BA309" i="6"/>
  <c r="BG309" i="6"/>
  <c r="AI309" i="6"/>
  <c r="AG309" i="6"/>
  <c r="BB309" i="6"/>
  <c r="AH309" i="6"/>
  <c r="AY309" i="6"/>
  <c r="BD309" i="6"/>
  <c r="AV309" i="6"/>
  <c r="AD309" i="6"/>
  <c r="AE309" i="6"/>
  <c r="AJ309" i="6"/>
  <c r="AS309" i="6"/>
  <c r="BC309" i="6"/>
  <c r="AR309" i="6"/>
  <c r="AO309" i="6"/>
  <c r="BF309" i="6"/>
  <c r="AC309" i="6"/>
  <c r="AU309" i="6"/>
  <c r="AN309" i="6"/>
  <c r="BE309" i="6"/>
  <c r="AT309" i="6"/>
  <c r="AI308" i="6"/>
  <c r="BA308" i="6"/>
  <c r="AB308" i="6"/>
  <c r="AC308" i="6"/>
  <c r="BE308" i="6"/>
  <c r="AQ308" i="6"/>
  <c r="BG308" i="6"/>
  <c r="BC308" i="6"/>
  <c r="AG308" i="6"/>
  <c r="BF308" i="6"/>
  <c r="AH308" i="6"/>
  <c r="AS308" i="6"/>
  <c r="AX308" i="6"/>
  <c r="BD308" i="6"/>
  <c r="AK308" i="6"/>
  <c r="AV308" i="6"/>
  <c r="AD308" i="6"/>
  <c r="AE308" i="6"/>
  <c r="AJ308" i="6"/>
  <c r="AN308" i="6"/>
  <c r="AF308" i="6"/>
  <c r="BB308" i="6"/>
  <c r="AO308" i="6"/>
  <c r="AP308" i="6"/>
  <c r="AY308" i="6"/>
  <c r="AR308" i="6"/>
  <c r="AZ308" i="6"/>
  <c r="L311" i="12"/>
  <c r="J311" i="12"/>
  <c r="N312" i="5" l="1"/>
  <c r="D312" i="6" s="1"/>
  <c r="H312" i="6" s="1"/>
  <c r="J312" i="5"/>
  <c r="AE312" i="5"/>
  <c r="AD312" i="5"/>
  <c r="D312" i="5"/>
  <c r="B312" i="12" s="1"/>
  <c r="B312" i="6"/>
  <c r="B312" i="5"/>
  <c r="K312" i="5"/>
  <c r="C313" i="5"/>
  <c r="C314" i="5" s="1"/>
  <c r="AE314" i="5" s="1"/>
  <c r="G312" i="5"/>
  <c r="H312" i="5"/>
  <c r="E312" i="5"/>
  <c r="F312" i="5"/>
  <c r="M310" i="6"/>
  <c r="AF310" i="6" s="1"/>
  <c r="A311" i="6"/>
  <c r="N311" i="6" s="1"/>
  <c r="K311" i="12"/>
  <c r="T311" i="5"/>
  <c r="G311" i="12" s="1"/>
  <c r="J312" i="12"/>
  <c r="L312" i="12"/>
  <c r="B313" i="6" l="1"/>
  <c r="F313" i="5"/>
  <c r="F314" i="5" s="1"/>
  <c r="D313" i="5"/>
  <c r="B313" i="12" s="1"/>
  <c r="N313" i="5"/>
  <c r="D313" i="6" s="1"/>
  <c r="H313" i="6" s="1"/>
  <c r="T313" i="5" s="1"/>
  <c r="G313" i="12" s="1"/>
  <c r="J313" i="5"/>
  <c r="E313" i="5"/>
  <c r="E314" i="5" s="1"/>
  <c r="K313" i="5"/>
  <c r="J314" i="5"/>
  <c r="K314" i="5"/>
  <c r="D314" i="5"/>
  <c r="B314" i="12" s="1"/>
  <c r="H313" i="5"/>
  <c r="H314" i="5" s="1"/>
  <c r="B314" i="6"/>
  <c r="A313" i="12"/>
  <c r="J313" i="12" s="1"/>
  <c r="A314" i="12"/>
  <c r="L314" i="12" s="1"/>
  <c r="N314" i="5"/>
  <c r="D314" i="6" s="1"/>
  <c r="AE313" i="5"/>
  <c r="B313" i="5"/>
  <c r="B314" i="5" s="1"/>
  <c r="C315" i="5" s="1"/>
  <c r="AD314" i="5"/>
  <c r="G313" i="5"/>
  <c r="G314" i="5" s="1"/>
  <c r="AD313" i="5"/>
  <c r="AU310" i="6"/>
  <c r="BF310" i="6"/>
  <c r="AY310" i="6"/>
  <c r="AJ310" i="6"/>
  <c r="BE310" i="6"/>
  <c r="AM310" i="6"/>
  <c r="AX310" i="6"/>
  <c r="BD310" i="6"/>
  <c r="AV310" i="6"/>
  <c r="AT310" i="6"/>
  <c r="BC310" i="6"/>
  <c r="BG310" i="6"/>
  <c r="AN310" i="6"/>
  <c r="AB310" i="6"/>
  <c r="BB310" i="6"/>
  <c r="AK310" i="6"/>
  <c r="AH310" i="6"/>
  <c r="AO310" i="6"/>
  <c r="AI310" i="6"/>
  <c r="AR310" i="6"/>
  <c r="AS310" i="6"/>
  <c r="AP310" i="6"/>
  <c r="AQ310" i="6"/>
  <c r="AG310" i="6"/>
  <c r="AZ310" i="6"/>
  <c r="AC310" i="6"/>
  <c r="AD310" i="6"/>
  <c r="BA310" i="6"/>
  <c r="AE310" i="6"/>
  <c r="A312" i="6"/>
  <c r="K312" i="12"/>
  <c r="M311" i="6"/>
  <c r="AG311" i="6" s="1"/>
  <c r="T312" i="5"/>
  <c r="G312" i="12" s="1"/>
  <c r="L313" i="12" l="1"/>
  <c r="K313" i="12" s="1"/>
  <c r="A313" i="6"/>
  <c r="M313" i="6" s="1"/>
  <c r="AV313" i="6" s="1"/>
  <c r="J314" i="12"/>
  <c r="K314" i="12" s="1"/>
  <c r="N312" i="6"/>
  <c r="M312" i="6"/>
  <c r="BC311" i="6"/>
  <c r="AF311" i="6"/>
  <c r="AN311" i="6"/>
  <c r="AB311" i="6"/>
  <c r="AM311" i="6"/>
  <c r="BF311" i="6"/>
  <c r="AY311" i="6"/>
  <c r="BB311" i="6"/>
  <c r="BA311" i="6"/>
  <c r="AS311" i="6"/>
  <c r="BG311" i="6"/>
  <c r="AE311" i="6"/>
  <c r="AV311" i="6"/>
  <c r="AO311" i="6"/>
  <c r="AQ311" i="6"/>
  <c r="AR311" i="6"/>
  <c r="BE311" i="6"/>
  <c r="AK311" i="6"/>
  <c r="AD311" i="6"/>
  <c r="AX311" i="6"/>
  <c r="AC311" i="6"/>
  <c r="AU311" i="6"/>
  <c r="AP311" i="6"/>
  <c r="AH311" i="6"/>
  <c r="AJ311" i="6"/>
  <c r="BD311" i="6"/>
  <c r="AZ311" i="6"/>
  <c r="AT311" i="6"/>
  <c r="AI311" i="6"/>
  <c r="H315" i="5"/>
  <c r="AD315" i="5"/>
  <c r="W315" i="5"/>
  <c r="H315" i="12" s="1"/>
  <c r="G315" i="5"/>
  <c r="K306" i="5" s="1"/>
  <c r="A315" i="12"/>
  <c r="N315" i="5"/>
  <c r="D315" i="6" s="1"/>
  <c r="BA315" i="6" s="1"/>
  <c r="AE315" i="5"/>
  <c r="B315" i="6"/>
  <c r="F315" i="5"/>
  <c r="E315" i="5"/>
  <c r="I315" i="5"/>
  <c r="B315" i="5"/>
  <c r="C316" i="5"/>
  <c r="N316" i="5" s="1"/>
  <c r="D316" i="6" s="1"/>
  <c r="H314" i="6"/>
  <c r="T314" i="5" s="1"/>
  <c r="E315" i="12"/>
  <c r="F315" i="6"/>
  <c r="A314" i="6" l="1"/>
  <c r="N314" i="6" s="1"/>
  <c r="N313" i="6"/>
  <c r="AQ313" i="6"/>
  <c r="AU313" i="6"/>
  <c r="AD313" i="6"/>
  <c r="AS313" i="6"/>
  <c r="BD313" i="6"/>
  <c r="AE313" i="6"/>
  <c r="AK313" i="6"/>
  <c r="AM313" i="6"/>
  <c r="AX313" i="6"/>
  <c r="BG313" i="6"/>
  <c r="AB313" i="6"/>
  <c r="AC313" i="6"/>
  <c r="AG313" i="6"/>
  <c r="BF313" i="6"/>
  <c r="AP313" i="6"/>
  <c r="AO313" i="6"/>
  <c r="AZ313" i="6"/>
  <c r="AT313" i="6"/>
  <c r="AN313" i="6"/>
  <c r="AJ313" i="6"/>
  <c r="AR313" i="6"/>
  <c r="BB313" i="6"/>
  <c r="BE313" i="6"/>
  <c r="BC313" i="6"/>
  <c r="AH313" i="6"/>
  <c r="AI313" i="6"/>
  <c r="AF313" i="6"/>
  <c r="BA313" i="6"/>
  <c r="AY313" i="6"/>
  <c r="AJ312" i="6"/>
  <c r="AQ312" i="6"/>
  <c r="AT312" i="6"/>
  <c r="BB312" i="6"/>
  <c r="AM312" i="6"/>
  <c r="AO312" i="6"/>
  <c r="AV312" i="6"/>
  <c r="AC312" i="6"/>
  <c r="AN312" i="6"/>
  <c r="AI312" i="6"/>
  <c r="AD312" i="6"/>
  <c r="AR312" i="6"/>
  <c r="AZ312" i="6"/>
  <c r="BC312" i="6"/>
  <c r="AG312" i="6"/>
  <c r="AF312" i="6"/>
  <c r="AX312" i="6"/>
  <c r="BA312" i="6"/>
  <c r="BD312" i="6"/>
  <c r="BE312" i="6"/>
  <c r="AY312" i="6"/>
  <c r="AE312" i="6"/>
  <c r="AH312" i="6"/>
  <c r="AB312" i="6"/>
  <c r="BG312" i="6"/>
  <c r="AU312" i="6"/>
  <c r="AK312" i="6"/>
  <c r="BF312" i="6"/>
  <c r="AP312" i="6"/>
  <c r="AS312" i="6"/>
  <c r="AD316" i="5"/>
  <c r="K316" i="5"/>
  <c r="AE316" i="5"/>
  <c r="B316" i="6"/>
  <c r="A316" i="12"/>
  <c r="L316" i="12" s="1"/>
  <c r="J316" i="5"/>
  <c r="D316" i="5"/>
  <c r="B316" i="12" s="1"/>
  <c r="F316" i="5"/>
  <c r="B316" i="5"/>
  <c r="H316" i="5"/>
  <c r="E316" i="5"/>
  <c r="G316" i="5"/>
  <c r="AZ315" i="6"/>
  <c r="BB315" i="6"/>
  <c r="BC315" i="6"/>
  <c r="AS315" i="6"/>
  <c r="BF315" i="6"/>
  <c r="BD315" i="6"/>
  <c r="AO315" i="6"/>
  <c r="AT315" i="6"/>
  <c r="AP315" i="6"/>
  <c r="N315" i="6"/>
  <c r="AY315" i="6"/>
  <c r="AN315" i="6"/>
  <c r="AR315" i="6"/>
  <c r="BE315" i="6"/>
  <c r="AM315" i="6"/>
  <c r="AQ315" i="6"/>
  <c r="AV315" i="6"/>
  <c r="G315" i="6"/>
  <c r="M315" i="6"/>
  <c r="BG315" i="6" s="1"/>
  <c r="AX315" i="6"/>
  <c r="AU315" i="6"/>
  <c r="H315" i="6"/>
  <c r="T315" i="5" s="1"/>
  <c r="G315" i="12" s="1"/>
  <c r="G314" i="12"/>
  <c r="H316" i="6"/>
  <c r="T316" i="5" s="1"/>
  <c r="G316" i="12" s="1"/>
  <c r="A315" i="6" l="1"/>
  <c r="A316" i="6" s="1"/>
  <c r="N316" i="6" s="1"/>
  <c r="M314" i="6"/>
  <c r="AH314" i="6" s="1"/>
  <c r="J316" i="12"/>
  <c r="K316" i="12" s="1"/>
  <c r="AJ315" i="6"/>
  <c r="AI315" i="6"/>
  <c r="AF315" i="6"/>
  <c r="AK315" i="6"/>
  <c r="AE315" i="6"/>
  <c r="AH315" i="6"/>
  <c r="AB315" i="6"/>
  <c r="AG315" i="6"/>
  <c r="AD315" i="6"/>
  <c r="AC315" i="6"/>
  <c r="AQ314" i="6" l="1"/>
  <c r="AP314" i="6"/>
  <c r="BA314" i="6"/>
  <c r="AC314" i="6"/>
  <c r="AB314" i="6"/>
  <c r="AX314" i="6"/>
  <c r="AZ314" i="6"/>
  <c r="AS314" i="6"/>
  <c r="AK314" i="6"/>
  <c r="AE314" i="6"/>
  <c r="AU314" i="6"/>
  <c r="AF314" i="6"/>
  <c r="BG314" i="6"/>
  <c r="AD314" i="6"/>
  <c r="AY314" i="6"/>
  <c r="AV314" i="6"/>
  <c r="AO314" i="6"/>
  <c r="BB314" i="6"/>
  <c r="AJ314" i="6"/>
  <c r="AI314" i="6"/>
  <c r="BF314" i="6"/>
  <c r="AM314" i="6"/>
  <c r="AT314" i="6"/>
  <c r="BC314" i="6"/>
  <c r="BD314" i="6"/>
  <c r="BE314" i="6"/>
  <c r="AR314" i="6"/>
  <c r="AG314" i="6"/>
  <c r="AN314" i="6"/>
  <c r="M316" i="6"/>
  <c r="AH316" i="6" s="1"/>
  <c r="AD316" i="6" l="1"/>
  <c r="BD316" i="6"/>
  <c r="AV316" i="6"/>
  <c r="AM316" i="6"/>
  <c r="AI316" i="6"/>
  <c r="BB316" i="6"/>
  <c r="BG316" i="6"/>
  <c r="AN316" i="6"/>
  <c r="AY316" i="6"/>
  <c r="AB316" i="6"/>
  <c r="AK316" i="6"/>
  <c r="AS316" i="6"/>
  <c r="AQ316" i="6"/>
  <c r="AF316" i="6"/>
  <c r="AX316" i="6"/>
  <c r="AG316" i="6"/>
  <c r="AO316" i="6"/>
  <c r="BF316" i="6"/>
  <c r="BE316" i="6"/>
  <c r="AE316" i="6"/>
  <c r="AT316" i="6"/>
  <c r="BC316" i="6"/>
  <c r="AC316" i="6"/>
  <c r="AR316" i="6"/>
  <c r="BA316" i="6"/>
  <c r="AP316" i="6"/>
  <c r="AZ316" i="6"/>
  <c r="AU316" i="6"/>
  <c r="AJ316" i="6"/>
  <c r="C317" i="5" l="1"/>
  <c r="F317" i="5" l="1"/>
  <c r="K266" i="5" s="1"/>
  <c r="I317" i="5"/>
  <c r="AE317" i="5"/>
  <c r="E317" i="5"/>
  <c r="AD317" i="5"/>
  <c r="R317" i="5"/>
  <c r="A317" i="12"/>
  <c r="N317" i="5"/>
  <c r="D317" i="6" s="1"/>
  <c r="W317" i="5"/>
  <c r="H317" i="12" s="1"/>
  <c r="G317" i="5"/>
  <c r="B317" i="6"/>
  <c r="A317" i="6" s="1"/>
  <c r="B317" i="5"/>
  <c r="C318" i="5" s="1"/>
  <c r="H317" i="5"/>
  <c r="J315" i="5" l="1"/>
  <c r="AO317" i="6"/>
  <c r="AP317" i="6"/>
  <c r="BF317" i="6"/>
  <c r="H317" i="6"/>
  <c r="T317" i="5" s="1"/>
  <c r="G317" i="12" s="1"/>
  <c r="BA317" i="6"/>
  <c r="BC317" i="6"/>
  <c r="AR317" i="6"/>
  <c r="BG317" i="6"/>
  <c r="M317" i="6"/>
  <c r="AS317" i="6" s="1"/>
  <c r="BB317" i="6"/>
  <c r="AN317" i="6"/>
  <c r="AY317" i="6"/>
  <c r="BE317" i="6"/>
  <c r="AT317" i="6"/>
  <c r="AV317" i="6"/>
  <c r="N317" i="6"/>
  <c r="BD317" i="6"/>
  <c r="G317" i="6"/>
  <c r="AQ317" i="6"/>
  <c r="AM317" i="6"/>
  <c r="AZ317" i="6"/>
  <c r="AX317" i="6"/>
  <c r="AU317" i="6"/>
  <c r="F317" i="6"/>
  <c r="E317" i="12"/>
  <c r="J267" i="5"/>
  <c r="D267" i="5" s="1"/>
  <c r="B267" i="12" s="1"/>
  <c r="J306" i="5"/>
  <c r="D306" i="5" s="1"/>
  <c r="B306" i="12" s="1"/>
  <c r="AD318" i="5"/>
  <c r="G318" i="5"/>
  <c r="A318" i="12"/>
  <c r="AE318" i="5"/>
  <c r="C319" i="5"/>
  <c r="E318" i="5"/>
  <c r="W318" i="5"/>
  <c r="H318" i="12" s="1"/>
  <c r="B318" i="6"/>
  <c r="H318" i="5"/>
  <c r="R318" i="5"/>
  <c r="I318" i="5"/>
  <c r="N318" i="5"/>
  <c r="D318" i="6" s="1"/>
  <c r="B318" i="5"/>
  <c r="F318" i="5"/>
  <c r="AG317" i="6" l="1"/>
  <c r="AI317" i="6"/>
  <c r="AE317" i="6"/>
  <c r="AH317" i="6"/>
  <c r="AF317" i="6"/>
  <c r="F318" i="6"/>
  <c r="E318" i="12"/>
  <c r="AK317" i="6"/>
  <c r="AC317" i="6"/>
  <c r="A318" i="6"/>
  <c r="AJ317" i="6"/>
  <c r="AX318" i="6"/>
  <c r="G318" i="6"/>
  <c r="AN318" i="6"/>
  <c r="AT318" i="6"/>
  <c r="AO318" i="6"/>
  <c r="BG318" i="6"/>
  <c r="BA318" i="6"/>
  <c r="AP318" i="6"/>
  <c r="AZ318" i="6"/>
  <c r="AU318" i="6"/>
  <c r="AQ318" i="6"/>
  <c r="AR318" i="6"/>
  <c r="AV318" i="6"/>
  <c r="AY318" i="6"/>
  <c r="BC318" i="6"/>
  <c r="AM318" i="6"/>
  <c r="M318" i="6"/>
  <c r="AS318" i="6" s="1"/>
  <c r="BD318" i="6"/>
  <c r="BE318" i="6"/>
  <c r="BF318" i="6"/>
  <c r="BB318" i="6"/>
  <c r="H318" i="6"/>
  <c r="T318" i="5" s="1"/>
  <c r="G318" i="12" s="1"/>
  <c r="N318" i="6"/>
  <c r="C320" i="5"/>
  <c r="D319" i="5"/>
  <c r="B319" i="12" s="1"/>
  <c r="H319" i="5"/>
  <c r="B319" i="5"/>
  <c r="F319" i="5"/>
  <c r="A319" i="12"/>
  <c r="N319" i="5"/>
  <c r="D319" i="6" s="1"/>
  <c r="G319" i="5"/>
  <c r="E319" i="5"/>
  <c r="B319" i="6"/>
  <c r="J319" i="5"/>
  <c r="K319" i="5"/>
  <c r="AE319" i="5"/>
  <c r="AD319" i="5"/>
  <c r="AB317" i="6"/>
  <c r="AD317" i="6"/>
  <c r="AD318" i="6" l="1"/>
  <c r="AG318" i="6"/>
  <c r="AJ318" i="6"/>
  <c r="AE318" i="6"/>
  <c r="AB318" i="6"/>
  <c r="AC318" i="6"/>
  <c r="AH318" i="6"/>
  <c r="H319" i="6"/>
  <c r="T319" i="5" s="1"/>
  <c r="G319" i="12" s="1"/>
  <c r="L319" i="12"/>
  <c r="J319" i="12"/>
  <c r="AF318" i="6"/>
  <c r="AI318" i="6"/>
  <c r="B320" i="5"/>
  <c r="K320" i="5"/>
  <c r="C321" i="5"/>
  <c r="G320" i="5"/>
  <c r="B320" i="6"/>
  <c r="J320" i="5"/>
  <c r="A320" i="12"/>
  <c r="F320" i="5"/>
  <c r="AD320" i="5"/>
  <c r="H320" i="5"/>
  <c r="AE320" i="5"/>
  <c r="E320" i="5"/>
  <c r="D320" i="5"/>
  <c r="B320" i="12" s="1"/>
  <c r="N320" i="5"/>
  <c r="D320" i="6" s="1"/>
  <c r="A319" i="6"/>
  <c r="M319" i="6" s="1"/>
  <c r="AV319" i="6" s="1"/>
  <c r="AK318" i="6"/>
  <c r="K319" i="12" l="1"/>
  <c r="N319" i="6"/>
  <c r="AX319" i="6"/>
  <c r="AK319" i="6"/>
  <c r="AH319" i="6"/>
  <c r="AF319" i="6"/>
  <c r="AR319" i="6"/>
  <c r="AY319" i="6"/>
  <c r="H321" i="5"/>
  <c r="C322" i="5"/>
  <c r="N321" i="5"/>
  <c r="D321" i="6" s="1"/>
  <c r="E321" i="5"/>
  <c r="A321" i="12"/>
  <c r="J321" i="5"/>
  <c r="F321" i="5"/>
  <c r="D321" i="5"/>
  <c r="B321" i="12" s="1"/>
  <c r="AE321" i="5"/>
  <c r="AD321" i="5"/>
  <c r="G321" i="5"/>
  <c r="B321" i="6"/>
  <c r="K321" i="5"/>
  <c r="B321" i="5"/>
  <c r="BE319" i="6"/>
  <c r="BF319" i="6"/>
  <c r="AS319" i="6"/>
  <c r="BB319" i="6"/>
  <c r="AZ319" i="6"/>
  <c r="BD319" i="6"/>
  <c r="AU319" i="6"/>
  <c r="AI319" i="6"/>
  <c r="AN319" i="6"/>
  <c r="A320" i="6"/>
  <c r="N320" i="6" s="1"/>
  <c r="AG319" i="6"/>
  <c r="AC319" i="6"/>
  <c r="AB319" i="6"/>
  <c r="AJ319" i="6"/>
  <c r="AO319" i="6"/>
  <c r="AE319" i="6"/>
  <c r="BG319" i="6"/>
  <c r="AT319" i="6"/>
  <c r="J320" i="12"/>
  <c r="L320" i="12"/>
  <c r="BA319" i="6"/>
  <c r="AD319" i="6"/>
  <c r="AP319" i="6"/>
  <c r="AQ319" i="6"/>
  <c r="H320" i="6"/>
  <c r="T320" i="5" s="1"/>
  <c r="G320" i="12" s="1"/>
  <c r="AM319" i="6"/>
  <c r="BC319" i="6"/>
  <c r="M320" i="6" l="1"/>
  <c r="AS320" i="6" s="1"/>
  <c r="A321" i="6"/>
  <c r="M321" i="6" s="1"/>
  <c r="AO321" i="6" s="1"/>
  <c r="K320" i="12"/>
  <c r="AE322" i="5"/>
  <c r="D322" i="5"/>
  <c r="B322" i="12" s="1"/>
  <c r="B322" i="5"/>
  <c r="F322" i="5"/>
  <c r="G322" i="5"/>
  <c r="B322" i="6"/>
  <c r="AD322" i="5"/>
  <c r="C323" i="5"/>
  <c r="H322" i="5"/>
  <c r="E322" i="5"/>
  <c r="A322" i="12"/>
  <c r="K322" i="5"/>
  <c r="J322" i="5"/>
  <c r="N322" i="5"/>
  <c r="D322" i="6" s="1"/>
  <c r="J321" i="12"/>
  <c r="L321" i="12"/>
  <c r="H321" i="6"/>
  <c r="T321" i="5" s="1"/>
  <c r="G321" i="12" s="1"/>
  <c r="N321" i="6" l="1"/>
  <c r="K321" i="12"/>
  <c r="AS321" i="6"/>
  <c r="AC320" i="6"/>
  <c r="AB321" i="6"/>
  <c r="BC320" i="6"/>
  <c r="AO320" i="6"/>
  <c r="AG320" i="6"/>
  <c r="AE320" i="6"/>
  <c r="AK321" i="6"/>
  <c r="AD320" i="6"/>
  <c r="AY320" i="6"/>
  <c r="AP321" i="6"/>
  <c r="BF320" i="6"/>
  <c r="BD321" i="6"/>
  <c r="AN321" i="6"/>
  <c r="AN320" i="6"/>
  <c r="AM320" i="6"/>
  <c r="BB320" i="6"/>
  <c r="BD320" i="6"/>
  <c r="AT320" i="6"/>
  <c r="BA320" i="6"/>
  <c r="BE320" i="6"/>
  <c r="AJ321" i="6"/>
  <c r="AR321" i="6"/>
  <c r="AZ321" i="6"/>
  <c r="AY321" i="6"/>
  <c r="AV320" i="6"/>
  <c r="AZ320" i="6"/>
  <c r="AJ320" i="6"/>
  <c r="BE321" i="6"/>
  <c r="BC321" i="6"/>
  <c r="AQ321" i="6"/>
  <c r="AC321" i="6"/>
  <c r="AF321" i="6"/>
  <c r="AG321" i="6"/>
  <c r="BF321" i="6"/>
  <c r="AM321" i="6"/>
  <c r="BG321" i="6"/>
  <c r="AB320" i="6"/>
  <c r="BG320" i="6"/>
  <c r="AK320" i="6"/>
  <c r="AU320" i="6"/>
  <c r="AI321" i="6"/>
  <c r="AX321" i="6"/>
  <c r="AQ320" i="6"/>
  <c r="AD321" i="6"/>
  <c r="AH320" i="6"/>
  <c r="AP320" i="6"/>
  <c r="AU321" i="6"/>
  <c r="AV321" i="6"/>
  <c r="BA321" i="6"/>
  <c r="BB321" i="6"/>
  <c r="AE321" i="6"/>
  <c r="AH321" i="6"/>
  <c r="AT321" i="6"/>
  <c r="AX320" i="6"/>
  <c r="AF320" i="6"/>
  <c r="AI320" i="6"/>
  <c r="AR320" i="6"/>
  <c r="N323" i="5"/>
  <c r="D323" i="6" s="1"/>
  <c r="H323" i="5"/>
  <c r="D323" i="5"/>
  <c r="B323" i="12" s="1"/>
  <c r="A323" i="12"/>
  <c r="AE323" i="5"/>
  <c r="B323" i="6"/>
  <c r="F323" i="5"/>
  <c r="AD323" i="5"/>
  <c r="B323" i="5"/>
  <c r="C324" i="5"/>
  <c r="K323" i="5"/>
  <c r="G323" i="5"/>
  <c r="J323" i="5"/>
  <c r="E323" i="5"/>
  <c r="H322" i="6"/>
  <c r="A322" i="6"/>
  <c r="N322" i="6" s="1"/>
  <c r="J322" i="12"/>
  <c r="L322" i="12"/>
  <c r="K322" i="12" l="1"/>
  <c r="M322" i="6"/>
  <c r="AK322" i="6" s="1"/>
  <c r="T322" i="5"/>
  <c r="G322" i="12" s="1"/>
  <c r="A323" i="6"/>
  <c r="N323" i="6" s="1"/>
  <c r="L323" i="12"/>
  <c r="J323" i="12"/>
  <c r="J324" i="5"/>
  <c r="B324" i="6"/>
  <c r="AD324" i="5"/>
  <c r="G324" i="5"/>
  <c r="H324" i="5"/>
  <c r="D324" i="5"/>
  <c r="B324" i="12" s="1"/>
  <c r="N324" i="5"/>
  <c r="D324" i="6" s="1"/>
  <c r="AE324" i="5"/>
  <c r="B324" i="5"/>
  <c r="A324" i="12"/>
  <c r="C325" i="5"/>
  <c r="E324" i="5"/>
  <c r="K324" i="5"/>
  <c r="F324" i="5"/>
  <c r="H323" i="6"/>
  <c r="M323" i="6" l="1"/>
  <c r="BB323" i="6" s="1"/>
  <c r="K323" i="12"/>
  <c r="AU322" i="6"/>
  <c r="BA322" i="6"/>
  <c r="AO322" i="6"/>
  <c r="AB322" i="6"/>
  <c r="AT322" i="6"/>
  <c r="AP322" i="6"/>
  <c r="AS322" i="6"/>
  <c r="AF322" i="6"/>
  <c r="AX322" i="6"/>
  <c r="AY322" i="6"/>
  <c r="AJ322" i="6"/>
  <c r="BD322" i="6"/>
  <c r="AN322" i="6"/>
  <c r="BB322" i="6"/>
  <c r="AE322" i="6"/>
  <c r="AH322" i="6"/>
  <c r="BC322" i="6"/>
  <c r="AI322" i="6"/>
  <c r="AV322" i="6"/>
  <c r="BG322" i="6"/>
  <c r="AQ322" i="6"/>
  <c r="AR322" i="6"/>
  <c r="AD322" i="6"/>
  <c r="AZ322" i="6"/>
  <c r="AM322" i="6"/>
  <c r="AC322" i="6"/>
  <c r="AG322" i="6"/>
  <c r="BF322" i="6"/>
  <c r="BE322" i="6"/>
  <c r="K325" i="5"/>
  <c r="A325" i="12"/>
  <c r="N325" i="5"/>
  <c r="D325" i="6" s="1"/>
  <c r="B325" i="6"/>
  <c r="J325" i="5"/>
  <c r="G325" i="5"/>
  <c r="AD325" i="5"/>
  <c r="H325" i="5"/>
  <c r="C326" i="5"/>
  <c r="D325" i="5"/>
  <c r="B325" i="12" s="1"/>
  <c r="F325" i="5"/>
  <c r="B325" i="5"/>
  <c r="AE325" i="5"/>
  <c r="E325" i="5"/>
  <c r="J324" i="12"/>
  <c r="L324" i="12"/>
  <c r="A324" i="6"/>
  <c r="N324" i="6" s="1"/>
  <c r="T323" i="5"/>
  <c r="G323" i="12" s="1"/>
  <c r="H324" i="6"/>
  <c r="M324" i="6" l="1"/>
  <c r="AR324" i="6" s="1"/>
  <c r="AG323" i="6"/>
  <c r="AX323" i="6"/>
  <c r="BE323" i="6"/>
  <c r="AY323" i="6"/>
  <c r="AP323" i="6"/>
  <c r="AC323" i="6"/>
  <c r="AS323" i="6"/>
  <c r="AO323" i="6"/>
  <c r="BC323" i="6"/>
  <c r="AR323" i="6"/>
  <c r="AN323" i="6"/>
  <c r="AJ323" i="6"/>
  <c r="BG323" i="6"/>
  <c r="AF323" i="6"/>
  <c r="BD323" i="6"/>
  <c r="AH323" i="6"/>
  <c r="AD323" i="6"/>
  <c r="AZ323" i="6"/>
  <c r="AU323" i="6"/>
  <c r="BF323" i="6"/>
  <c r="AE323" i="6"/>
  <c r="AI323" i="6"/>
  <c r="AB323" i="6"/>
  <c r="AQ323" i="6"/>
  <c r="AT323" i="6"/>
  <c r="BA323" i="6"/>
  <c r="AK323" i="6"/>
  <c r="AV323" i="6"/>
  <c r="AM323" i="6"/>
  <c r="K324" i="12"/>
  <c r="A325" i="6"/>
  <c r="N325" i="6" s="1"/>
  <c r="H325" i="6"/>
  <c r="J325" i="12"/>
  <c r="L325" i="12"/>
  <c r="N326" i="5"/>
  <c r="D326" i="6" s="1"/>
  <c r="H326" i="5"/>
  <c r="AD326" i="5"/>
  <c r="E326" i="5"/>
  <c r="A326" i="12"/>
  <c r="C327" i="5"/>
  <c r="AE326" i="5"/>
  <c r="B326" i="5"/>
  <c r="F326" i="5"/>
  <c r="G326" i="5"/>
  <c r="K326" i="5"/>
  <c r="J326" i="5"/>
  <c r="B326" i="6"/>
  <c r="D326" i="5"/>
  <c r="B326" i="12" s="1"/>
  <c r="T324" i="5"/>
  <c r="G324" i="12" s="1"/>
  <c r="AH324" i="6" l="1"/>
  <c r="AM324" i="6"/>
  <c r="AZ324" i="6"/>
  <c r="AK324" i="6"/>
  <c r="AV324" i="6"/>
  <c r="BE324" i="6"/>
  <c r="AC324" i="6"/>
  <c r="AN324" i="6"/>
  <c r="AU324" i="6"/>
  <c r="AF324" i="6"/>
  <c r="AS324" i="6"/>
  <c r="AQ324" i="6"/>
  <c r="AB324" i="6"/>
  <c r="BB324" i="6"/>
  <c r="AX324" i="6"/>
  <c r="AO324" i="6"/>
  <c r="AE324" i="6"/>
  <c r="AY324" i="6"/>
  <c r="AI324" i="6"/>
  <c r="BD324" i="6"/>
  <c r="AP324" i="6"/>
  <c r="BF324" i="6"/>
  <c r="AT324" i="6"/>
  <c r="AG324" i="6"/>
  <c r="AJ324" i="6"/>
  <c r="BG324" i="6"/>
  <c r="AD324" i="6"/>
  <c r="BC324" i="6"/>
  <c r="BA324" i="6"/>
  <c r="A326" i="6"/>
  <c r="M326" i="6" s="1"/>
  <c r="BE326" i="6" s="1"/>
  <c r="M325" i="6"/>
  <c r="BF325" i="6" s="1"/>
  <c r="K325" i="12"/>
  <c r="AE327" i="5"/>
  <c r="B327" i="5"/>
  <c r="J327" i="5"/>
  <c r="D327" i="5"/>
  <c r="B327" i="12" s="1"/>
  <c r="F327" i="5"/>
  <c r="G327" i="5"/>
  <c r="K327" i="5"/>
  <c r="AD327" i="5"/>
  <c r="N327" i="5"/>
  <c r="D327" i="6" s="1"/>
  <c r="E327" i="5"/>
  <c r="C328" i="5"/>
  <c r="A327" i="12"/>
  <c r="B327" i="6"/>
  <c r="H327" i="5"/>
  <c r="L326" i="12"/>
  <c r="J326" i="12"/>
  <c r="T325" i="5"/>
  <c r="G325" i="12" s="1"/>
  <c r="H326" i="6"/>
  <c r="T326" i="5" s="1"/>
  <c r="G326" i="12" s="1"/>
  <c r="N326" i="6" l="1"/>
  <c r="AT326" i="6"/>
  <c r="BB326" i="6"/>
  <c r="BC326" i="6"/>
  <c r="AQ326" i="6"/>
  <c r="AU326" i="6"/>
  <c r="AV326" i="6"/>
  <c r="AX326" i="6"/>
  <c r="AP326" i="6"/>
  <c r="AO326" i="6"/>
  <c r="AZ326" i="6"/>
  <c r="BD326" i="6"/>
  <c r="BF326" i="6"/>
  <c r="AM326" i="6"/>
  <c r="AN326" i="6"/>
  <c r="AR326" i="6"/>
  <c r="AY326" i="6"/>
  <c r="BA326" i="6"/>
  <c r="BG326" i="6"/>
  <c r="AS326" i="6"/>
  <c r="AF325" i="6"/>
  <c r="AD325" i="6"/>
  <c r="AV325" i="6"/>
  <c r="BB325" i="6"/>
  <c r="BA325" i="6"/>
  <c r="BC325" i="6"/>
  <c r="AJ325" i="6"/>
  <c r="BE325" i="6"/>
  <c r="AR325" i="6"/>
  <c r="BG325" i="6"/>
  <c r="AH325" i="6"/>
  <c r="AU325" i="6"/>
  <c r="AX325" i="6"/>
  <c r="AI325" i="6"/>
  <c r="AS325" i="6"/>
  <c r="AQ325" i="6"/>
  <c r="AZ325" i="6"/>
  <c r="AK325" i="6"/>
  <c r="AY325" i="6"/>
  <c r="AT325" i="6"/>
  <c r="BD325" i="6"/>
  <c r="AB325" i="6"/>
  <c r="AM325" i="6"/>
  <c r="AC325" i="6"/>
  <c r="AN325" i="6"/>
  <c r="AO325" i="6"/>
  <c r="AG325" i="6"/>
  <c r="AE325" i="6"/>
  <c r="AP325" i="6"/>
  <c r="A327" i="6"/>
  <c r="N327" i="6" s="1"/>
  <c r="AJ326" i="6"/>
  <c r="AE326" i="6"/>
  <c r="K326" i="12"/>
  <c r="AH326" i="6"/>
  <c r="AB326" i="6"/>
  <c r="AI326" i="6"/>
  <c r="AG326" i="6"/>
  <c r="J327" i="12"/>
  <c r="L327" i="12"/>
  <c r="AK326" i="6"/>
  <c r="AC326" i="6"/>
  <c r="B328" i="5"/>
  <c r="B328" i="6"/>
  <c r="K328" i="5"/>
  <c r="AE328" i="5"/>
  <c r="G328" i="5"/>
  <c r="A328" i="12"/>
  <c r="F328" i="5"/>
  <c r="E328" i="5"/>
  <c r="AD328" i="5"/>
  <c r="N328" i="5"/>
  <c r="D328" i="6" s="1"/>
  <c r="J328" i="5"/>
  <c r="H328" i="5"/>
  <c r="C329" i="5"/>
  <c r="D328" i="5"/>
  <c r="B328" i="12" s="1"/>
  <c r="AF326" i="6"/>
  <c r="AD326" i="6"/>
  <c r="H327" i="6"/>
  <c r="M327" i="6" l="1"/>
  <c r="BB327" i="6" s="1"/>
  <c r="H328" i="6"/>
  <c r="A328" i="6"/>
  <c r="N328" i="6" s="1"/>
  <c r="H329" i="5"/>
  <c r="F329" i="5"/>
  <c r="G329" i="5"/>
  <c r="J329" i="5"/>
  <c r="D329" i="5"/>
  <c r="B329" i="12" s="1"/>
  <c r="AD329" i="5"/>
  <c r="K329" i="5"/>
  <c r="B329" i="5"/>
  <c r="N329" i="5"/>
  <c r="D329" i="6" s="1"/>
  <c r="AE329" i="5"/>
  <c r="A329" i="12"/>
  <c r="C330" i="5"/>
  <c r="E329" i="5"/>
  <c r="B329" i="6"/>
  <c r="T327" i="5"/>
  <c r="G327" i="12" s="1"/>
  <c r="L328" i="12"/>
  <c r="J328" i="12"/>
  <c r="K327" i="12"/>
  <c r="AJ327" i="6" l="1"/>
  <c r="AY327" i="6"/>
  <c r="AI327" i="6"/>
  <c r="AM327" i="6"/>
  <c r="AK327" i="6"/>
  <c r="AX327" i="6"/>
  <c r="AR327" i="6"/>
  <c r="AE327" i="6"/>
  <c r="BF327" i="6"/>
  <c r="AF327" i="6"/>
  <c r="AU327" i="6"/>
  <c r="AQ327" i="6"/>
  <c r="BA327" i="6"/>
  <c r="AN327" i="6"/>
  <c r="BD327" i="6"/>
  <c r="BC327" i="6"/>
  <c r="AH327" i="6"/>
  <c r="AC327" i="6"/>
  <c r="BE327" i="6"/>
  <c r="AV327" i="6"/>
  <c r="AZ327" i="6"/>
  <c r="AD327" i="6"/>
  <c r="AB327" i="6"/>
  <c r="AP327" i="6"/>
  <c r="AO327" i="6"/>
  <c r="AS327" i="6"/>
  <c r="AG327" i="6"/>
  <c r="BG327" i="6"/>
  <c r="AT327" i="6"/>
  <c r="AE330" i="5"/>
  <c r="AD330" i="5"/>
  <c r="B330" i="6"/>
  <c r="G330" i="5"/>
  <c r="B330" i="5"/>
  <c r="D330" i="5"/>
  <c r="B330" i="12" s="1"/>
  <c r="K330" i="5"/>
  <c r="C331" i="5"/>
  <c r="H330" i="5"/>
  <c r="E330" i="5"/>
  <c r="J330" i="5"/>
  <c r="A330" i="12"/>
  <c r="F330" i="5"/>
  <c r="N330" i="5"/>
  <c r="D330" i="6" s="1"/>
  <c r="J329" i="12"/>
  <c r="L329" i="12"/>
  <c r="H329" i="6"/>
  <c r="T329" i="5" s="1"/>
  <c r="G329" i="12" s="1"/>
  <c r="K328" i="12"/>
  <c r="M328" i="6"/>
  <c r="AG328" i="6" s="1"/>
  <c r="A329" i="6"/>
  <c r="M329" i="6" s="1"/>
  <c r="AS329" i="6" s="1"/>
  <c r="T328" i="5"/>
  <c r="G328" i="12" s="1"/>
  <c r="K329" i="12" l="1"/>
  <c r="AC328" i="6"/>
  <c r="AX329" i="6"/>
  <c r="F331" i="5"/>
  <c r="A331" i="12"/>
  <c r="B331" i="6"/>
  <c r="D331" i="5"/>
  <c r="B331" i="12" s="1"/>
  <c r="AD331" i="5"/>
  <c r="E331" i="5"/>
  <c r="AE331" i="5"/>
  <c r="B331" i="5"/>
  <c r="J331" i="5"/>
  <c r="K331" i="5"/>
  <c r="C332" i="5"/>
  <c r="H331" i="5"/>
  <c r="G331" i="5"/>
  <c r="N331" i="5"/>
  <c r="D331" i="6" s="1"/>
  <c r="AK328" i="6"/>
  <c r="AF329" i="6"/>
  <c r="BA329" i="6"/>
  <c r="AN329" i="6"/>
  <c r="AM329" i="6"/>
  <c r="AE328" i="6"/>
  <c r="AR329" i="6"/>
  <c r="BF329" i="6"/>
  <c r="AC329" i="6"/>
  <c r="AJ329" i="6"/>
  <c r="H330" i="6"/>
  <c r="AI328" i="6"/>
  <c r="AU329" i="6"/>
  <c r="AT329" i="6"/>
  <c r="AZ329" i="6"/>
  <c r="AQ329" i="6"/>
  <c r="BD329" i="6"/>
  <c r="AH328" i="6"/>
  <c r="N329" i="6"/>
  <c r="AK329" i="6"/>
  <c r="AH329" i="6"/>
  <c r="AB329" i="6"/>
  <c r="J330" i="12"/>
  <c r="L330" i="12"/>
  <c r="BG329" i="6"/>
  <c r="AE329" i="6"/>
  <c r="AD329" i="6"/>
  <c r="AO329" i="6"/>
  <c r="AI329" i="6"/>
  <c r="A330" i="6"/>
  <c r="N330" i="6" s="1"/>
  <c r="AY329" i="6"/>
  <c r="BB329" i="6"/>
  <c r="BC329" i="6"/>
  <c r="AV329" i="6"/>
  <c r="AD328" i="6"/>
  <c r="BC328" i="6"/>
  <c r="BA328" i="6"/>
  <c r="AR328" i="6"/>
  <c r="AN328" i="6"/>
  <c r="BF328" i="6"/>
  <c r="AQ328" i="6"/>
  <c r="AZ328" i="6"/>
  <c r="AX328" i="6"/>
  <c r="AJ328" i="6"/>
  <c r="AP328" i="6"/>
  <c r="AU328" i="6"/>
  <c r="AO328" i="6"/>
  <c r="BE328" i="6"/>
  <c r="AT328" i="6"/>
  <c r="AB328" i="6"/>
  <c r="BD328" i="6"/>
  <c r="AY328" i="6"/>
  <c r="AV328" i="6"/>
  <c r="BB328" i="6"/>
  <c r="BG328" i="6"/>
  <c r="AS328" i="6"/>
  <c r="AF328" i="6"/>
  <c r="AM328" i="6"/>
  <c r="BE329" i="6"/>
  <c r="AG329" i="6"/>
  <c r="AP329" i="6"/>
  <c r="H331" i="6" l="1"/>
  <c r="T331" i="5" s="1"/>
  <c r="G331" i="12" s="1"/>
  <c r="G332" i="5"/>
  <c r="AE332" i="5"/>
  <c r="K332" i="5"/>
  <c r="A332" i="12"/>
  <c r="AD332" i="5"/>
  <c r="D332" i="5"/>
  <c r="B332" i="12" s="1"/>
  <c r="F332" i="5"/>
  <c r="E332" i="5"/>
  <c r="H332" i="5"/>
  <c r="J332" i="5"/>
  <c r="B332" i="6"/>
  <c r="C333" i="5"/>
  <c r="B332" i="5"/>
  <c r="N332" i="5"/>
  <c r="D332" i="6" s="1"/>
  <c r="A331" i="6"/>
  <c r="M331" i="6" s="1"/>
  <c r="BD331" i="6" s="1"/>
  <c r="M330" i="6"/>
  <c r="AG330" i="6" s="1"/>
  <c r="L331" i="12"/>
  <c r="J331" i="12"/>
  <c r="K330" i="12"/>
  <c r="T330" i="5"/>
  <c r="G330" i="12" s="1"/>
  <c r="AU331" i="6" l="1"/>
  <c r="BB331" i="6"/>
  <c r="AG331" i="6"/>
  <c r="BG331" i="6"/>
  <c r="AE330" i="6"/>
  <c r="BC331" i="6"/>
  <c r="AF330" i="6"/>
  <c r="H332" i="6"/>
  <c r="BA331" i="6"/>
  <c r="AQ331" i="6"/>
  <c r="AV331" i="6"/>
  <c r="AF331" i="6"/>
  <c r="AR330" i="6"/>
  <c r="AP330" i="6"/>
  <c r="BE330" i="6"/>
  <c r="AX330" i="6"/>
  <c r="BF330" i="6"/>
  <c r="AZ330" i="6"/>
  <c r="AS330" i="6"/>
  <c r="BC330" i="6"/>
  <c r="AT330" i="6"/>
  <c r="AV330" i="6"/>
  <c r="AQ330" i="6"/>
  <c r="BD330" i="6"/>
  <c r="AU330" i="6"/>
  <c r="AN330" i="6"/>
  <c r="AO330" i="6"/>
  <c r="BG330" i="6"/>
  <c r="AY330" i="6"/>
  <c r="BA330" i="6"/>
  <c r="BB330" i="6"/>
  <c r="AM330" i="6"/>
  <c r="AB330" i="6"/>
  <c r="AD330" i="6"/>
  <c r="AX331" i="6"/>
  <c r="AY331" i="6"/>
  <c r="AS331" i="6"/>
  <c r="AH331" i="6"/>
  <c r="AR331" i="6"/>
  <c r="AJ330" i="6"/>
  <c r="N333" i="5"/>
  <c r="D333" i="6" s="1"/>
  <c r="H333" i="5"/>
  <c r="AD333" i="5"/>
  <c r="A333" i="12"/>
  <c r="B333" i="5"/>
  <c r="C334" i="5" s="1"/>
  <c r="K333" i="5"/>
  <c r="G333" i="5"/>
  <c r="F333" i="5"/>
  <c r="AE333" i="5"/>
  <c r="B333" i="6"/>
  <c r="J333" i="5"/>
  <c r="E333" i="5"/>
  <c r="D333" i="5"/>
  <c r="B333" i="12" s="1"/>
  <c r="L332" i="12"/>
  <c r="J332" i="12"/>
  <c r="AT331" i="6"/>
  <c r="N331" i="6"/>
  <c r="AK331" i="6"/>
  <c r="BF331" i="6"/>
  <c r="AC330" i="6"/>
  <c r="A332" i="6"/>
  <c r="N332" i="6" s="1"/>
  <c r="AB331" i="6"/>
  <c r="AP331" i="6"/>
  <c r="AC331" i="6"/>
  <c r="AM331" i="6"/>
  <c r="AN331" i="6"/>
  <c r="AK330" i="6"/>
  <c r="AD331" i="6"/>
  <c r="AJ331" i="6"/>
  <c r="AZ331" i="6"/>
  <c r="AO331" i="6"/>
  <c r="AH330" i="6"/>
  <c r="K331" i="12"/>
  <c r="BE331" i="6"/>
  <c r="AE331" i="6"/>
  <c r="AI331" i="6"/>
  <c r="AI330" i="6"/>
  <c r="T332" i="5" l="1"/>
  <c r="G332" i="12" s="1"/>
  <c r="K332" i="12"/>
  <c r="I334" i="5"/>
  <c r="E334" i="5"/>
  <c r="C335" i="5"/>
  <c r="B334" i="6"/>
  <c r="F334" i="5"/>
  <c r="A334" i="12"/>
  <c r="AE334" i="5"/>
  <c r="R334" i="5"/>
  <c r="H334" i="5"/>
  <c r="B334" i="5"/>
  <c r="AD334" i="5"/>
  <c r="G334" i="5"/>
  <c r="K318" i="5" s="1"/>
  <c r="N334" i="5"/>
  <c r="D334" i="6" s="1"/>
  <c r="W334" i="5"/>
  <c r="H334" i="12" s="1"/>
  <c r="J333" i="12"/>
  <c r="L333" i="12"/>
  <c r="A333" i="6"/>
  <c r="M333" i="6" s="1"/>
  <c r="AR333" i="6" s="1"/>
  <c r="H333" i="6"/>
  <c r="T333" i="5" s="1"/>
  <c r="G333" i="12" s="1"/>
  <c r="M332" i="6"/>
  <c r="AF332" i="6" s="1"/>
  <c r="N333" i="6" l="1"/>
  <c r="K333" i="12"/>
  <c r="AV333" i="6"/>
  <c r="AP333" i="6"/>
  <c r="BB333" i="6"/>
  <c r="A334" i="6"/>
  <c r="AI332" i="6"/>
  <c r="AE333" i="6"/>
  <c r="AB332" i="6"/>
  <c r="BD333" i="6"/>
  <c r="BG333" i="6"/>
  <c r="AG333" i="6"/>
  <c r="AM333" i="6"/>
  <c r="AS333" i="6"/>
  <c r="G335" i="5"/>
  <c r="AE335" i="5"/>
  <c r="J335" i="5"/>
  <c r="AD335" i="5"/>
  <c r="E335" i="5"/>
  <c r="B335" i="5"/>
  <c r="F335" i="5"/>
  <c r="D335" i="5"/>
  <c r="B335" i="12" s="1"/>
  <c r="B335" i="6"/>
  <c r="H335" i="5"/>
  <c r="N335" i="5"/>
  <c r="D335" i="6" s="1"/>
  <c r="C336" i="5"/>
  <c r="A335" i="12"/>
  <c r="K335" i="5"/>
  <c r="AG332" i="6"/>
  <c r="AQ333" i="6"/>
  <c r="BE333" i="6"/>
  <c r="AY333" i="6"/>
  <c r="AD332" i="6"/>
  <c r="AK332" i="6"/>
  <c r="AB333" i="6"/>
  <c r="BA333" i="6"/>
  <c r="AU333" i="6"/>
  <c r="AN333" i="6"/>
  <c r="AH333" i="6"/>
  <c r="E334" i="12"/>
  <c r="F334" i="6"/>
  <c r="AC332" i="6"/>
  <c r="BA332" i="6"/>
  <c r="AV332" i="6"/>
  <c r="AO332" i="6"/>
  <c r="AX332" i="6"/>
  <c r="AU332" i="6"/>
  <c r="BC332" i="6"/>
  <c r="BE332" i="6"/>
  <c r="BD332" i="6"/>
  <c r="AQ332" i="6"/>
  <c r="AY332" i="6"/>
  <c r="AR332" i="6"/>
  <c r="AT332" i="6"/>
  <c r="BF332" i="6"/>
  <c r="BB332" i="6"/>
  <c r="AN332" i="6"/>
  <c r="AP332" i="6"/>
  <c r="AM332" i="6"/>
  <c r="BG332" i="6"/>
  <c r="AZ332" i="6"/>
  <c r="AS332" i="6"/>
  <c r="AT333" i="6"/>
  <c r="AD333" i="6"/>
  <c r="AF333" i="6"/>
  <c r="BF333" i="6"/>
  <c r="AK333" i="6"/>
  <c r="AC333" i="6"/>
  <c r="AJ333" i="6"/>
  <c r="AZ333" i="6"/>
  <c r="AH332" i="6"/>
  <c r="AE332" i="6"/>
  <c r="BD334" i="6"/>
  <c r="N334" i="6"/>
  <c r="BE334" i="6"/>
  <c r="AS334" i="6"/>
  <c r="AX334" i="6"/>
  <c r="AR334" i="6"/>
  <c r="AT334" i="6"/>
  <c r="BB334" i="6"/>
  <c r="BG334" i="6"/>
  <c r="AM334" i="6"/>
  <c r="AO334" i="6"/>
  <c r="M334" i="6"/>
  <c r="BC334" i="6" s="1"/>
  <c r="AP334" i="6"/>
  <c r="AQ334" i="6"/>
  <c r="BF334" i="6"/>
  <c r="BA334" i="6"/>
  <c r="H334" i="6"/>
  <c r="T334" i="5" s="1"/>
  <c r="G334" i="12" s="1"/>
  <c r="AY334" i="6"/>
  <c r="AN334" i="6"/>
  <c r="AZ334" i="6"/>
  <c r="G334" i="6"/>
  <c r="AV334" i="6"/>
  <c r="AU334" i="6"/>
  <c r="AX333" i="6"/>
  <c r="AO333" i="6"/>
  <c r="BC333" i="6"/>
  <c r="AI333" i="6"/>
  <c r="AJ332" i="6"/>
  <c r="AB334" i="6" l="1"/>
  <c r="AC334" i="6"/>
  <c r="AH334" i="6"/>
  <c r="AE334" i="6"/>
  <c r="AJ334" i="6"/>
  <c r="AG334" i="6"/>
  <c r="AD334" i="6"/>
  <c r="AI334" i="6"/>
  <c r="H335" i="6"/>
  <c r="A335" i="6"/>
  <c r="N335" i="6" s="1"/>
  <c r="B336" i="5"/>
  <c r="G336" i="5"/>
  <c r="F336" i="5"/>
  <c r="B336" i="6"/>
  <c r="K336" i="5"/>
  <c r="D336" i="5"/>
  <c r="B336" i="12" s="1"/>
  <c r="AE336" i="5"/>
  <c r="J336" i="5"/>
  <c r="N336" i="5"/>
  <c r="D336" i="6" s="1"/>
  <c r="H336" i="5"/>
  <c r="A336" i="12"/>
  <c r="E336" i="5"/>
  <c r="AD336" i="5"/>
  <c r="AF334" i="6"/>
  <c r="AK334" i="6"/>
  <c r="J335" i="12"/>
  <c r="L335" i="12"/>
  <c r="K335" i="12" l="1"/>
  <c r="C337" i="5"/>
  <c r="A336" i="6"/>
  <c r="N336" i="6" s="1"/>
  <c r="J336" i="12"/>
  <c r="L336" i="12"/>
  <c r="H336" i="6"/>
  <c r="M335" i="6"/>
  <c r="AJ335" i="6" s="1"/>
  <c r="T335" i="5"/>
  <c r="G335" i="12" s="1"/>
  <c r="C338" i="5" l="1"/>
  <c r="AE337" i="5"/>
  <c r="B337" i="6"/>
  <c r="AD337" i="5"/>
  <c r="A337" i="12"/>
  <c r="G337" i="5"/>
  <c r="W337" i="5"/>
  <c r="H337" i="12" s="1"/>
  <c r="N337" i="5"/>
  <c r="D337" i="6" s="1"/>
  <c r="N337" i="6" s="1"/>
  <c r="B337" i="5"/>
  <c r="H337" i="5"/>
  <c r="F337" i="5"/>
  <c r="E337" i="5"/>
  <c r="M336" i="6"/>
  <c r="BF336" i="6" s="1"/>
  <c r="AD335" i="6"/>
  <c r="AH335" i="6"/>
  <c r="AG335" i="6"/>
  <c r="T336" i="5"/>
  <c r="G336" i="12" s="1"/>
  <c r="AI335" i="6"/>
  <c r="AZ335" i="6"/>
  <c r="BG335" i="6"/>
  <c r="AS335" i="6"/>
  <c r="AN335" i="6"/>
  <c r="AR335" i="6"/>
  <c r="BA335" i="6"/>
  <c r="AX335" i="6"/>
  <c r="AV335" i="6"/>
  <c r="BB335" i="6"/>
  <c r="AQ335" i="6"/>
  <c r="AM335" i="6"/>
  <c r="AP335" i="6"/>
  <c r="BC335" i="6"/>
  <c r="BF335" i="6"/>
  <c r="AY335" i="6"/>
  <c r="BE335" i="6"/>
  <c r="BD335" i="6"/>
  <c r="AU335" i="6"/>
  <c r="AO335" i="6"/>
  <c r="AT335" i="6"/>
  <c r="AB335" i="6"/>
  <c r="AF335" i="6"/>
  <c r="AC335" i="6"/>
  <c r="AE335" i="6"/>
  <c r="AK335" i="6"/>
  <c r="K336" i="12"/>
  <c r="G337" i="6" l="1"/>
  <c r="A337" i="6"/>
  <c r="M337" i="6"/>
  <c r="BA337" i="6" s="1"/>
  <c r="F338" i="5"/>
  <c r="K338" i="5"/>
  <c r="N338" i="5"/>
  <c r="D338" i="6" s="1"/>
  <c r="H338" i="6" s="1"/>
  <c r="T338" i="5" s="1"/>
  <c r="J338" i="5"/>
  <c r="AD338" i="5"/>
  <c r="C339" i="5"/>
  <c r="E338" i="5"/>
  <c r="B338" i="5"/>
  <c r="D338" i="5"/>
  <c r="B338" i="12" s="1"/>
  <c r="G338" i="5"/>
  <c r="A338" i="12"/>
  <c r="B338" i="6"/>
  <c r="H338" i="5"/>
  <c r="AE338" i="5"/>
  <c r="H337" i="6"/>
  <c r="T337" i="5" s="1"/>
  <c r="G337" i="12" s="1"/>
  <c r="F337" i="6"/>
  <c r="E337" i="12"/>
  <c r="AM337" i="6"/>
  <c r="BE337" i="6"/>
  <c r="AP337" i="6"/>
  <c r="AQ337" i="6"/>
  <c r="AT337" i="6"/>
  <c r="AU337" i="6"/>
  <c r="AY337" i="6"/>
  <c r="AZ337" i="6"/>
  <c r="BD337" i="6"/>
  <c r="BG337" i="6"/>
  <c r="AO337" i="6"/>
  <c r="AS337" i="6"/>
  <c r="AX337" i="6"/>
  <c r="BB337" i="6"/>
  <c r="BF337" i="6"/>
  <c r="BC337" i="6"/>
  <c r="AR337" i="6"/>
  <c r="AN337" i="6"/>
  <c r="AV337" i="6"/>
  <c r="BB336" i="6"/>
  <c r="AI336" i="6"/>
  <c r="AZ336" i="6"/>
  <c r="AM336" i="6"/>
  <c r="AJ336" i="6"/>
  <c r="AP336" i="6"/>
  <c r="AS336" i="6"/>
  <c r="BC336" i="6"/>
  <c r="AD336" i="6"/>
  <c r="AV336" i="6"/>
  <c r="AQ336" i="6"/>
  <c r="AU336" i="6"/>
  <c r="AG336" i="6"/>
  <c r="AH336" i="6"/>
  <c r="AO336" i="6"/>
  <c r="AF336" i="6"/>
  <c r="AB336" i="6"/>
  <c r="BD336" i="6"/>
  <c r="AC336" i="6"/>
  <c r="AR336" i="6"/>
  <c r="BG336" i="6"/>
  <c r="AX336" i="6"/>
  <c r="AK336" i="6"/>
  <c r="AT336" i="6"/>
  <c r="BE336" i="6"/>
  <c r="AY336" i="6"/>
  <c r="AE336" i="6"/>
  <c r="AN336" i="6"/>
  <c r="BA336" i="6"/>
  <c r="AF337" i="6" l="1"/>
  <c r="AK337" i="6"/>
  <c r="AH337" i="6"/>
  <c r="AD337" i="6"/>
  <c r="AC337" i="6"/>
  <c r="AI337" i="6"/>
  <c r="AJ337" i="6"/>
  <c r="AE337" i="6"/>
  <c r="AB337" i="6"/>
  <c r="AG337" i="6"/>
  <c r="A338" i="6"/>
  <c r="N338" i="6" s="1"/>
  <c r="L338" i="12"/>
  <c r="J338" i="12"/>
  <c r="B339" i="6"/>
  <c r="N339" i="5"/>
  <c r="D339" i="6" s="1"/>
  <c r="H339" i="6" s="1"/>
  <c r="T339" i="5" s="1"/>
  <c r="AD339" i="5"/>
  <c r="E339" i="5"/>
  <c r="H339" i="5"/>
  <c r="D339" i="5"/>
  <c r="B339" i="12" s="1"/>
  <c r="B339" i="5"/>
  <c r="C340" i="5" s="1"/>
  <c r="A339" i="12"/>
  <c r="G339" i="5"/>
  <c r="K339" i="5"/>
  <c r="AE339" i="5"/>
  <c r="F339" i="5"/>
  <c r="J339" i="5"/>
  <c r="G338" i="12"/>
  <c r="K338" i="12" l="1"/>
  <c r="M338" i="6"/>
  <c r="AX338" i="6" s="1"/>
  <c r="J339" i="12"/>
  <c r="L339" i="12"/>
  <c r="A339" i="6"/>
  <c r="M339" i="6" s="1"/>
  <c r="AY339" i="6" s="1"/>
  <c r="AE340" i="5"/>
  <c r="I340" i="5"/>
  <c r="G340" i="5"/>
  <c r="B340" i="6"/>
  <c r="A340" i="6" s="1"/>
  <c r="H340" i="5"/>
  <c r="B340" i="5"/>
  <c r="C341" i="5" s="1"/>
  <c r="W340" i="5"/>
  <c r="H340" i="12" s="1"/>
  <c r="E340" i="5"/>
  <c r="N340" i="5"/>
  <c r="D340" i="6" s="1"/>
  <c r="AD340" i="5"/>
  <c r="A340" i="12"/>
  <c r="F340" i="5"/>
  <c r="G339" i="12"/>
  <c r="AB338" i="6" l="1"/>
  <c r="BF338" i="6"/>
  <c r="AK338" i="6"/>
  <c r="AN338" i="6"/>
  <c r="AG338" i="6"/>
  <c r="BB338" i="6"/>
  <c r="AI338" i="6"/>
  <c r="BA338" i="6"/>
  <c r="AJ338" i="6"/>
  <c r="AT338" i="6"/>
  <c r="AR338" i="6"/>
  <c r="AC338" i="6"/>
  <c r="AP338" i="6"/>
  <c r="AY338" i="6"/>
  <c r="AZ338" i="6"/>
  <c r="BE338" i="6"/>
  <c r="AU338" i="6"/>
  <c r="BD338" i="6"/>
  <c r="AH338" i="6"/>
  <c r="AD338" i="6"/>
  <c r="AE338" i="6"/>
  <c r="AF338" i="6"/>
  <c r="AQ338" i="6"/>
  <c r="AO338" i="6"/>
  <c r="AV338" i="6"/>
  <c r="BG338" i="6"/>
  <c r="AM338" i="6"/>
  <c r="K339" i="12"/>
  <c r="AS338" i="6"/>
  <c r="BC338" i="6"/>
  <c r="AP339" i="6"/>
  <c r="AV339" i="6"/>
  <c r="AF339" i="6"/>
  <c r="AQ339" i="6"/>
  <c r="AC339" i="6"/>
  <c r="AJ339" i="6"/>
  <c r="AM339" i="6"/>
  <c r="G340" i="6"/>
  <c r="AV340" i="6"/>
  <c r="AR340" i="6"/>
  <c r="BB340" i="6"/>
  <c r="BC340" i="6"/>
  <c r="AT340" i="6"/>
  <c r="BA340" i="6"/>
  <c r="AZ340" i="6"/>
  <c r="M340" i="6"/>
  <c r="AO340" i="6"/>
  <c r="AU340" i="6"/>
  <c r="BG340" i="6"/>
  <c r="AX340" i="6"/>
  <c r="AM340" i="6"/>
  <c r="AN340" i="6"/>
  <c r="N340" i="6"/>
  <c r="AQ340" i="6"/>
  <c r="BE340" i="6"/>
  <c r="AY340" i="6"/>
  <c r="BD340" i="6"/>
  <c r="AS340" i="6"/>
  <c r="BF340" i="6"/>
  <c r="H340" i="6"/>
  <c r="AP340" i="6"/>
  <c r="BA339" i="6"/>
  <c r="AI339" i="6"/>
  <c r="AN339" i="6"/>
  <c r="AZ339" i="6"/>
  <c r="BE339" i="6"/>
  <c r="AR339" i="6"/>
  <c r="BG339" i="6"/>
  <c r="F340" i="6"/>
  <c r="E340" i="12"/>
  <c r="AS339" i="6"/>
  <c r="AO339" i="6"/>
  <c r="BC339" i="6"/>
  <c r="B341" i="6"/>
  <c r="H341" i="5"/>
  <c r="F341" i="5"/>
  <c r="E341" i="5"/>
  <c r="C342" i="5"/>
  <c r="B341" i="5"/>
  <c r="AD341" i="5"/>
  <c r="G341" i="5"/>
  <c r="W341" i="5"/>
  <c r="H341" i="12" s="1"/>
  <c r="N341" i="5"/>
  <c r="D341" i="6" s="1"/>
  <c r="AE341" i="5"/>
  <c r="A341" i="12"/>
  <c r="R341" i="5"/>
  <c r="I341" i="5"/>
  <c r="AK339" i="6"/>
  <c r="AX339" i="6"/>
  <c r="BF339" i="6"/>
  <c r="BD339" i="6"/>
  <c r="AH339" i="6"/>
  <c r="AE339" i="6"/>
  <c r="N339" i="6"/>
  <c r="AG339" i="6"/>
  <c r="AU339" i="6"/>
  <c r="AD339" i="6"/>
  <c r="AB339" i="6"/>
  <c r="AT339" i="6"/>
  <c r="BB339" i="6"/>
  <c r="J337" i="5"/>
  <c r="AH340" i="6" l="1"/>
  <c r="AF340" i="6"/>
  <c r="F341" i="6"/>
  <c r="E341" i="12"/>
  <c r="B342" i="5"/>
  <c r="K342" i="5"/>
  <c r="N342" i="5"/>
  <c r="D342" i="6" s="1"/>
  <c r="H342" i="6" s="1"/>
  <c r="T342" i="5" s="1"/>
  <c r="G342" i="12" s="1"/>
  <c r="AD342" i="5"/>
  <c r="J342" i="5"/>
  <c r="H342" i="5"/>
  <c r="G342" i="5"/>
  <c r="D342" i="5"/>
  <c r="B342" i="12" s="1"/>
  <c r="C343" i="5"/>
  <c r="AE342" i="5"/>
  <c r="F342" i="5"/>
  <c r="A342" i="12"/>
  <c r="B342" i="6"/>
  <c r="E342" i="5"/>
  <c r="AT341" i="6"/>
  <c r="AR341" i="6"/>
  <c r="AP341" i="6"/>
  <c r="N341" i="6"/>
  <c r="AZ341" i="6"/>
  <c r="BB341" i="6"/>
  <c r="BF341" i="6"/>
  <c r="M341" i="6"/>
  <c r="BA341" i="6" s="1"/>
  <c r="AX341" i="6"/>
  <c r="BC341" i="6"/>
  <c r="BG341" i="6"/>
  <c r="AN341" i="6"/>
  <c r="AS341" i="6"/>
  <c r="BE341" i="6"/>
  <c r="H341" i="6"/>
  <c r="AU341" i="6"/>
  <c r="G341" i="6"/>
  <c r="AM341" i="6"/>
  <c r="AO341" i="6"/>
  <c r="AY341" i="6"/>
  <c r="BD341" i="6"/>
  <c r="AQ341" i="6"/>
  <c r="AV341" i="6"/>
  <c r="A341" i="6"/>
  <c r="AD340" i="6"/>
  <c r="AG340" i="6"/>
  <c r="AC340" i="6"/>
  <c r="AK340" i="6"/>
  <c r="AB340" i="6"/>
  <c r="AJ340" i="6"/>
  <c r="AE340" i="6"/>
  <c r="T340" i="5"/>
  <c r="G340" i="12" s="1"/>
  <c r="AI340" i="6"/>
  <c r="A342" i="6" l="1"/>
  <c r="N342" i="6" s="1"/>
  <c r="L342" i="12"/>
  <c r="J342" i="12"/>
  <c r="J343" i="5"/>
  <c r="B343" i="6"/>
  <c r="H343" i="5"/>
  <c r="D343" i="5"/>
  <c r="B343" i="12" s="1"/>
  <c r="E343" i="5"/>
  <c r="F343" i="5"/>
  <c r="AD343" i="5"/>
  <c r="AE343" i="5"/>
  <c r="G343" i="5"/>
  <c r="B343" i="5"/>
  <c r="A343" i="12"/>
  <c r="K343" i="5"/>
  <c r="C344" i="5"/>
  <c r="N343" i="5"/>
  <c r="D343" i="6" s="1"/>
  <c r="AJ341" i="6"/>
  <c r="T341" i="5"/>
  <c r="G341" i="12" s="1"/>
  <c r="AD341" i="6"/>
  <c r="AH341" i="6"/>
  <c r="AE341" i="6"/>
  <c r="AI341" i="6"/>
  <c r="AK341" i="6"/>
  <c r="AG341" i="6"/>
  <c r="AB341" i="6"/>
  <c r="AF341" i="6"/>
  <c r="AC341" i="6"/>
  <c r="K342" i="12" l="1"/>
  <c r="M342" i="6"/>
  <c r="BD342" i="6" s="1"/>
  <c r="G344" i="5"/>
  <c r="F344" i="5"/>
  <c r="A344" i="12"/>
  <c r="AE344" i="5"/>
  <c r="B344" i="5"/>
  <c r="B344" i="6"/>
  <c r="H344" i="5"/>
  <c r="AD344" i="5"/>
  <c r="E344" i="5"/>
  <c r="J344" i="5"/>
  <c r="D344" i="5"/>
  <c r="B344" i="12" s="1"/>
  <c r="C345" i="5"/>
  <c r="N344" i="5"/>
  <c r="D344" i="6" s="1"/>
  <c r="H344" i="6" s="1"/>
  <c r="T344" i="5" s="1"/>
  <c r="G344" i="12" s="1"/>
  <c r="K344" i="5"/>
  <c r="L343" i="12"/>
  <c r="J343" i="12"/>
  <c r="A343" i="6"/>
  <c r="N343" i="6" s="1"/>
  <c r="H343" i="6"/>
  <c r="K343" i="12" l="1"/>
  <c r="AO342" i="6"/>
  <c r="AR342" i="6"/>
  <c r="AB342" i="6"/>
  <c r="AI342" i="6"/>
  <c r="AC342" i="6"/>
  <c r="BG342" i="6"/>
  <c r="AZ342" i="6"/>
  <c r="AF342" i="6"/>
  <c r="AD342" i="6"/>
  <c r="AQ342" i="6"/>
  <c r="BC342" i="6"/>
  <c r="AM342" i="6"/>
  <c r="AE342" i="6"/>
  <c r="AT342" i="6"/>
  <c r="AH342" i="6"/>
  <c r="AP342" i="6"/>
  <c r="AN342" i="6"/>
  <c r="AG342" i="6"/>
  <c r="BA342" i="6"/>
  <c r="AU342" i="6"/>
  <c r="AX342" i="6"/>
  <c r="AJ342" i="6"/>
  <c r="AK342" i="6"/>
  <c r="AV342" i="6"/>
  <c r="BF342" i="6"/>
  <c r="AY342" i="6"/>
  <c r="BB342" i="6"/>
  <c r="BE342" i="6"/>
  <c r="AS342" i="6"/>
  <c r="M343" i="6"/>
  <c r="AI343" i="6" s="1"/>
  <c r="T343" i="5"/>
  <c r="G343" i="12" s="1"/>
  <c r="A345" i="12"/>
  <c r="B345" i="5"/>
  <c r="D345" i="5"/>
  <c r="B345" i="12" s="1"/>
  <c r="N345" i="5"/>
  <c r="D345" i="6" s="1"/>
  <c r="H345" i="6" s="1"/>
  <c r="T345" i="5" s="1"/>
  <c r="G345" i="12" s="1"/>
  <c r="AE345" i="5"/>
  <c r="AD345" i="5"/>
  <c r="F345" i="5"/>
  <c r="G345" i="5"/>
  <c r="H345" i="5"/>
  <c r="C346" i="5"/>
  <c r="J345" i="5"/>
  <c r="K345" i="5"/>
  <c r="E345" i="5"/>
  <c r="B345" i="6"/>
  <c r="L344" i="12"/>
  <c r="J344" i="12"/>
  <c r="A344" i="6"/>
  <c r="N344" i="6" s="1"/>
  <c r="M344" i="6" l="1"/>
  <c r="AB344" i="6" s="1"/>
  <c r="A345" i="6"/>
  <c r="N345" i="6" s="1"/>
  <c r="AG343" i="6"/>
  <c r="AF343" i="6"/>
  <c r="AH343" i="6"/>
  <c r="AB343" i="6"/>
  <c r="AD343" i="6"/>
  <c r="H346" i="5"/>
  <c r="G346" i="5"/>
  <c r="B346" i="6"/>
  <c r="D346" i="5"/>
  <c r="B346" i="12" s="1"/>
  <c r="F346" i="5"/>
  <c r="AE346" i="5"/>
  <c r="C347" i="5"/>
  <c r="J346" i="5"/>
  <c r="B346" i="5"/>
  <c r="K346" i="5"/>
  <c r="N346" i="5"/>
  <c r="D346" i="6" s="1"/>
  <c r="H346" i="6" s="1"/>
  <c r="T346" i="5" s="1"/>
  <c r="G346" i="12" s="1"/>
  <c r="AD346" i="5"/>
  <c r="E346" i="5"/>
  <c r="A346" i="12"/>
  <c r="AJ343" i="6"/>
  <c r="K344" i="12"/>
  <c r="J345" i="12"/>
  <c r="L345" i="12"/>
  <c r="AE343" i="6"/>
  <c r="AK343" i="6"/>
  <c r="AC343" i="6"/>
  <c r="BA343" i="6"/>
  <c r="BB343" i="6"/>
  <c r="BD343" i="6"/>
  <c r="AM343" i="6"/>
  <c r="BE343" i="6"/>
  <c r="AU343" i="6"/>
  <c r="AX343" i="6"/>
  <c r="AV343" i="6"/>
  <c r="BF343" i="6"/>
  <c r="AN343" i="6"/>
  <c r="BG343" i="6"/>
  <c r="AT343" i="6"/>
  <c r="BC343" i="6"/>
  <c r="AP343" i="6"/>
  <c r="AY343" i="6"/>
  <c r="AQ343" i="6"/>
  <c r="AZ343" i="6"/>
  <c r="AS343" i="6"/>
  <c r="AR343" i="6"/>
  <c r="AO343" i="6"/>
  <c r="M345" i="6" l="1"/>
  <c r="AD345" i="6" s="1"/>
  <c r="BD344" i="6"/>
  <c r="AP344" i="6"/>
  <c r="AG344" i="6"/>
  <c r="AJ344" i="6"/>
  <c r="AZ344" i="6"/>
  <c r="AX344" i="6"/>
  <c r="BB344" i="6"/>
  <c r="AE344" i="6"/>
  <c r="AT344" i="6"/>
  <c r="BC344" i="6"/>
  <c r="AM344" i="6"/>
  <c r="AR344" i="6"/>
  <c r="BG344" i="6"/>
  <c r="AU344" i="6"/>
  <c r="BF344" i="6"/>
  <c r="BE344" i="6"/>
  <c r="AC344" i="6"/>
  <c r="AS344" i="6"/>
  <c r="AD344" i="6"/>
  <c r="AF344" i="6"/>
  <c r="AQ344" i="6"/>
  <c r="BA344" i="6"/>
  <c r="AH344" i="6"/>
  <c r="AN344" i="6"/>
  <c r="AK344" i="6"/>
  <c r="AV344" i="6"/>
  <c r="AI344" i="6"/>
  <c r="AY344" i="6"/>
  <c r="AO344" i="6"/>
  <c r="B347" i="6"/>
  <c r="C348" i="5"/>
  <c r="B347" i="5"/>
  <c r="N347" i="5"/>
  <c r="D347" i="6" s="1"/>
  <c r="H347" i="6" s="1"/>
  <c r="T347" i="5" s="1"/>
  <c r="G347" i="12" s="1"/>
  <c r="G347" i="5"/>
  <c r="H347" i="5"/>
  <c r="K347" i="5"/>
  <c r="J347" i="5"/>
  <c r="A347" i="12"/>
  <c r="D347" i="5"/>
  <c r="B347" i="12" s="1"/>
  <c r="E347" i="5"/>
  <c r="F347" i="5"/>
  <c r="AD347" i="5"/>
  <c r="AE347" i="5"/>
  <c r="L346" i="12"/>
  <c r="J346" i="12"/>
  <c r="A346" i="6"/>
  <c r="K345" i="12"/>
  <c r="AF345" i="6" l="1"/>
  <c r="BF345" i="6"/>
  <c r="AJ345" i="6"/>
  <c r="AI345" i="6"/>
  <c r="AZ345" i="6"/>
  <c r="AO345" i="6"/>
  <c r="BD345" i="6"/>
  <c r="AB345" i="6"/>
  <c r="AP345" i="6"/>
  <c r="AR345" i="6"/>
  <c r="BG345" i="6"/>
  <c r="AQ345" i="6"/>
  <c r="AC345" i="6"/>
  <c r="AK345" i="6"/>
  <c r="AE345" i="6"/>
  <c r="BC345" i="6"/>
  <c r="BA345" i="6"/>
  <c r="AV345" i="6"/>
  <c r="AU345" i="6"/>
  <c r="BB345" i="6"/>
  <c r="AG345" i="6"/>
  <c r="AH345" i="6"/>
  <c r="AM345" i="6"/>
  <c r="BE345" i="6"/>
  <c r="AN345" i="6"/>
  <c r="AY345" i="6"/>
  <c r="AT345" i="6"/>
  <c r="AS345" i="6"/>
  <c r="AX345" i="6"/>
  <c r="K346" i="12"/>
  <c r="N346" i="6"/>
  <c r="M346" i="6"/>
  <c r="J348" i="5"/>
  <c r="A348" i="12"/>
  <c r="K348" i="5"/>
  <c r="B348" i="6"/>
  <c r="AD348" i="5"/>
  <c r="D348" i="5"/>
  <c r="B348" i="12" s="1"/>
  <c r="B348" i="5"/>
  <c r="G348" i="5"/>
  <c r="C349" i="5"/>
  <c r="H348" i="5"/>
  <c r="N348" i="5"/>
  <c r="D348" i="6" s="1"/>
  <c r="H348" i="6" s="1"/>
  <c r="T348" i="5" s="1"/>
  <c r="G348" i="12" s="1"/>
  <c r="F348" i="5"/>
  <c r="AE348" i="5"/>
  <c r="E348" i="5"/>
  <c r="L347" i="12"/>
  <c r="J347" i="12"/>
  <c r="A347" i="6"/>
  <c r="M347" i="6" s="1"/>
  <c r="N347" i="6" l="1"/>
  <c r="K347" i="12"/>
  <c r="AN347" i="6"/>
  <c r="AK347" i="6"/>
  <c r="AF347" i="6"/>
  <c r="BB347" i="6"/>
  <c r="AQ347" i="6"/>
  <c r="BA347" i="6"/>
  <c r="AM347" i="6"/>
  <c r="AR347" i="6"/>
  <c r="AY347" i="6"/>
  <c r="AH347" i="6"/>
  <c r="BG347" i="6"/>
  <c r="BF347" i="6"/>
  <c r="AE347" i="6"/>
  <c r="BE347" i="6"/>
  <c r="AI347" i="6"/>
  <c r="AV347" i="6"/>
  <c r="AZ347" i="6"/>
  <c r="AP347" i="6"/>
  <c r="AD347" i="6"/>
  <c r="BC347" i="6"/>
  <c r="AO347" i="6"/>
  <c r="AS347" i="6"/>
  <c r="AB347" i="6"/>
  <c r="AX347" i="6"/>
  <c r="AT347" i="6"/>
  <c r="AJ347" i="6"/>
  <c r="AU347" i="6"/>
  <c r="AC347" i="6"/>
  <c r="AG347" i="6"/>
  <c r="BD347" i="6"/>
  <c r="A348" i="6"/>
  <c r="J348" i="12"/>
  <c r="L348" i="12"/>
  <c r="N349" i="5"/>
  <c r="D349" i="6" s="1"/>
  <c r="H349" i="6" s="1"/>
  <c r="T349" i="5" s="1"/>
  <c r="G349" i="12" s="1"/>
  <c r="G349" i="5"/>
  <c r="AD349" i="5"/>
  <c r="F349" i="5"/>
  <c r="C350" i="5"/>
  <c r="B349" i="5"/>
  <c r="B349" i="6"/>
  <c r="J349" i="5"/>
  <c r="A349" i="12"/>
  <c r="D349" i="5"/>
  <c r="B349" i="12" s="1"/>
  <c r="AE349" i="5"/>
  <c r="K349" i="5"/>
  <c r="E349" i="5"/>
  <c r="H349" i="5"/>
  <c r="AI346" i="6"/>
  <c r="AN346" i="6"/>
  <c r="BB346" i="6"/>
  <c r="AF346" i="6"/>
  <c r="AC346" i="6"/>
  <c r="AH346" i="6"/>
  <c r="AD346" i="6"/>
  <c r="AX346" i="6"/>
  <c r="BA346" i="6"/>
  <c r="AG346" i="6"/>
  <c r="AQ346" i="6"/>
  <c r="AB346" i="6"/>
  <c r="AZ346" i="6"/>
  <c r="BD346" i="6"/>
  <c r="BF346" i="6"/>
  <c r="AV346" i="6"/>
  <c r="AE346" i="6"/>
  <c r="AT346" i="6"/>
  <c r="AM346" i="6"/>
  <c r="AO346" i="6"/>
  <c r="BC346" i="6"/>
  <c r="AS346" i="6"/>
  <c r="AU346" i="6"/>
  <c r="AR346" i="6"/>
  <c r="BG346" i="6"/>
  <c r="AP346" i="6"/>
  <c r="BE346" i="6"/>
  <c r="AY346" i="6"/>
  <c r="AK346" i="6"/>
  <c r="AJ346" i="6"/>
  <c r="A349" i="6" l="1"/>
  <c r="N349" i="6" s="1"/>
  <c r="M348" i="6"/>
  <c r="N348" i="6"/>
  <c r="N350" i="5"/>
  <c r="D350" i="6" s="1"/>
  <c r="K350" i="5"/>
  <c r="AD350" i="5"/>
  <c r="E350" i="5"/>
  <c r="F350" i="5"/>
  <c r="B350" i="6"/>
  <c r="B350" i="5"/>
  <c r="AE350" i="5"/>
  <c r="G350" i="5"/>
  <c r="C351" i="5"/>
  <c r="D350" i="5"/>
  <c r="B350" i="12" s="1"/>
  <c r="J350" i="5"/>
  <c r="A350" i="12"/>
  <c r="H350" i="5"/>
  <c r="J349" i="12"/>
  <c r="L349" i="12"/>
  <c r="K348" i="12"/>
  <c r="M349" i="6" l="1"/>
  <c r="BB349" i="6" s="1"/>
  <c r="A350" i="6"/>
  <c r="M350" i="6" s="1"/>
  <c r="AY350" i="6" s="1"/>
  <c r="L350" i="12"/>
  <c r="J350" i="12"/>
  <c r="H351" i="5"/>
  <c r="K351" i="5"/>
  <c r="G351" i="5"/>
  <c r="E351" i="5"/>
  <c r="J351" i="5"/>
  <c r="C352" i="5"/>
  <c r="A351" i="12"/>
  <c r="N351" i="5"/>
  <c r="D351" i="6" s="1"/>
  <c r="H351" i="6" s="1"/>
  <c r="B351" i="5"/>
  <c r="B351" i="6"/>
  <c r="F351" i="5"/>
  <c r="D351" i="5"/>
  <c r="B351" i="12" s="1"/>
  <c r="AE351" i="5"/>
  <c r="AD351" i="5"/>
  <c r="H350" i="6"/>
  <c r="K349" i="12"/>
  <c r="AT348" i="6"/>
  <c r="AH348" i="6"/>
  <c r="AI348" i="6"/>
  <c r="BE348" i="6"/>
  <c r="AN348" i="6"/>
  <c r="AK348" i="6"/>
  <c r="AE348" i="6"/>
  <c r="BC348" i="6"/>
  <c r="BD348" i="6"/>
  <c r="AM348" i="6"/>
  <c r="AX348" i="6"/>
  <c r="BG348" i="6"/>
  <c r="AG348" i="6"/>
  <c r="BB348" i="6"/>
  <c r="AS348" i="6"/>
  <c r="AB348" i="6"/>
  <c r="AP348" i="6"/>
  <c r="AQ348" i="6"/>
  <c r="BF348" i="6"/>
  <c r="AV348" i="6"/>
  <c r="AR348" i="6"/>
  <c r="AJ348" i="6"/>
  <c r="AC348" i="6"/>
  <c r="AY348" i="6"/>
  <c r="AD348" i="6"/>
  <c r="BA348" i="6"/>
  <c r="AZ348" i="6"/>
  <c r="AU348" i="6"/>
  <c r="AO348" i="6"/>
  <c r="AF348" i="6"/>
  <c r="BC349" i="6" l="1"/>
  <c r="AD349" i="6"/>
  <c r="AM349" i="6"/>
  <c r="BE349" i="6"/>
  <c r="BD349" i="6"/>
  <c r="AT349" i="6"/>
  <c r="BA349" i="6"/>
  <c r="AB349" i="6"/>
  <c r="AS349" i="6"/>
  <c r="AK349" i="6"/>
  <c r="AU349" i="6"/>
  <c r="BF349" i="6"/>
  <c r="AC349" i="6"/>
  <c r="AV349" i="6"/>
  <c r="AH349" i="6"/>
  <c r="AO349" i="6"/>
  <c r="AJ349" i="6"/>
  <c r="AX349" i="6"/>
  <c r="AF349" i="6"/>
  <c r="AQ349" i="6"/>
  <c r="AE349" i="6"/>
  <c r="AI349" i="6"/>
  <c r="BG349" i="6"/>
  <c r="AP349" i="6"/>
  <c r="AG349" i="6"/>
  <c r="AZ349" i="6"/>
  <c r="AN349" i="6"/>
  <c r="AY349" i="6"/>
  <c r="AR349" i="6"/>
  <c r="N350" i="6"/>
  <c r="AS350" i="6"/>
  <c r="BD350" i="6"/>
  <c r="AN350" i="6"/>
  <c r="BC350" i="6"/>
  <c r="AZ350" i="6"/>
  <c r="K350" i="12"/>
  <c r="AQ350" i="6"/>
  <c r="AX350" i="6"/>
  <c r="AP350" i="6"/>
  <c r="AM350" i="6"/>
  <c r="BE350" i="6"/>
  <c r="BB350" i="6"/>
  <c r="BA350" i="6"/>
  <c r="AT350" i="6"/>
  <c r="AO350" i="6"/>
  <c r="BF350" i="6"/>
  <c r="AU350" i="6"/>
  <c r="AV350" i="6"/>
  <c r="BG350" i="6"/>
  <c r="AR350" i="6"/>
  <c r="J351" i="12"/>
  <c r="L351" i="12"/>
  <c r="B352" i="6"/>
  <c r="K352" i="5"/>
  <c r="F352" i="5"/>
  <c r="B352" i="5"/>
  <c r="C353" i="5"/>
  <c r="N352" i="5"/>
  <c r="D352" i="6" s="1"/>
  <c r="H352" i="6" s="1"/>
  <c r="T352" i="5" s="1"/>
  <c r="G352" i="12" s="1"/>
  <c r="AE352" i="5"/>
  <c r="AD352" i="5"/>
  <c r="H352" i="5"/>
  <c r="J352" i="5"/>
  <c r="G352" i="5"/>
  <c r="A352" i="12"/>
  <c r="D352" i="5"/>
  <c r="B352" i="12" s="1"/>
  <c r="E352" i="5"/>
  <c r="T351" i="5"/>
  <c r="G351" i="12" s="1"/>
  <c r="AE350" i="6"/>
  <c r="AH350" i="6"/>
  <c r="AJ350" i="6"/>
  <c r="AI350" i="6"/>
  <c r="T350" i="5"/>
  <c r="G350" i="12" s="1"/>
  <c r="AB350" i="6"/>
  <c r="AG350" i="6"/>
  <c r="AC350" i="6"/>
  <c r="AK350" i="6"/>
  <c r="AD350" i="6"/>
  <c r="AF350" i="6"/>
  <c r="A351" i="6"/>
  <c r="M351" i="6" s="1"/>
  <c r="BF351" i="6" s="1"/>
  <c r="K351" i="12" l="1"/>
  <c r="AM351" i="6"/>
  <c r="AQ351" i="6"/>
  <c r="BB351" i="6"/>
  <c r="AO351" i="6"/>
  <c r="N351" i="6"/>
  <c r="A352" i="6"/>
  <c r="AE351" i="6"/>
  <c r="AJ351" i="6"/>
  <c r="BE351" i="6"/>
  <c r="AF351" i="6"/>
  <c r="BC351" i="6"/>
  <c r="AZ351" i="6"/>
  <c r="AC351" i="6"/>
  <c r="AK351" i="6"/>
  <c r="AT351" i="6"/>
  <c r="AX351" i="6"/>
  <c r="AV351" i="6"/>
  <c r="BA351" i="6"/>
  <c r="B353" i="6"/>
  <c r="J353" i="5"/>
  <c r="B353" i="5"/>
  <c r="AE353" i="5"/>
  <c r="H353" i="5"/>
  <c r="E353" i="5"/>
  <c r="N353" i="5"/>
  <c r="D353" i="6" s="1"/>
  <c r="K353" i="5"/>
  <c r="C354" i="5"/>
  <c r="F353" i="5"/>
  <c r="A353" i="12"/>
  <c r="AD353" i="5"/>
  <c r="G353" i="5"/>
  <c r="D353" i="5"/>
  <c r="B353" i="12" s="1"/>
  <c r="AS351" i="6"/>
  <c r="AG351" i="6"/>
  <c r="BG351" i="6"/>
  <c r="BD351" i="6"/>
  <c r="AU351" i="6"/>
  <c r="J352" i="12"/>
  <c r="L352" i="12"/>
  <c r="AB351" i="6"/>
  <c r="AI351" i="6"/>
  <c r="AP351" i="6"/>
  <c r="AH351" i="6"/>
  <c r="AR351" i="6"/>
  <c r="AN351" i="6"/>
  <c r="AY351" i="6"/>
  <c r="AD351" i="6"/>
  <c r="A353" i="6" l="1"/>
  <c r="N353" i="6" s="1"/>
  <c r="K352" i="12"/>
  <c r="N352" i="6"/>
  <c r="M352" i="6"/>
  <c r="J353" i="12"/>
  <c r="L353" i="12"/>
  <c r="K354" i="5"/>
  <c r="D354" i="5"/>
  <c r="B354" i="12" s="1"/>
  <c r="A354" i="12"/>
  <c r="AD354" i="5"/>
  <c r="E354" i="5"/>
  <c r="B354" i="5"/>
  <c r="H354" i="5"/>
  <c r="N354" i="5"/>
  <c r="D354" i="6" s="1"/>
  <c r="H354" i="6" s="1"/>
  <c r="T354" i="5" s="1"/>
  <c r="G354" i="12" s="1"/>
  <c r="B354" i="6"/>
  <c r="G354" i="5"/>
  <c r="C355" i="5"/>
  <c r="AE354" i="5"/>
  <c r="F354" i="5"/>
  <c r="J354" i="5"/>
  <c r="H353" i="6"/>
  <c r="K353" i="12" l="1"/>
  <c r="M353" i="6"/>
  <c r="AN353" i="6" s="1"/>
  <c r="B355" i="6"/>
  <c r="B355" i="5"/>
  <c r="C356" i="5"/>
  <c r="G355" i="5"/>
  <c r="AE355" i="5"/>
  <c r="E355" i="5"/>
  <c r="J355" i="5"/>
  <c r="H355" i="5"/>
  <c r="AD355" i="5"/>
  <c r="F355" i="5"/>
  <c r="K355" i="5"/>
  <c r="A355" i="12"/>
  <c r="D355" i="5"/>
  <c r="B355" i="12" s="1"/>
  <c r="N355" i="5"/>
  <c r="D355" i="6" s="1"/>
  <c r="H355" i="6" s="1"/>
  <c r="T355" i="5" s="1"/>
  <c r="G355" i="12" s="1"/>
  <c r="L354" i="12"/>
  <c r="J354" i="12"/>
  <c r="A354" i="6"/>
  <c r="N354" i="6" s="1"/>
  <c r="T353" i="5"/>
  <c r="G353" i="12" s="1"/>
  <c r="AV352" i="6"/>
  <c r="AZ352" i="6"/>
  <c r="AN352" i="6"/>
  <c r="AD352" i="6"/>
  <c r="AJ352" i="6"/>
  <c r="AF352" i="6"/>
  <c r="AE352" i="6"/>
  <c r="BC352" i="6"/>
  <c r="AU352" i="6"/>
  <c r="BF352" i="6"/>
  <c r="BD352" i="6"/>
  <c r="AG352" i="6"/>
  <c r="AI352" i="6"/>
  <c r="AC352" i="6"/>
  <c r="AM352" i="6"/>
  <c r="AH352" i="6"/>
  <c r="BA352" i="6"/>
  <c r="AO352" i="6"/>
  <c r="AP352" i="6"/>
  <c r="AK352" i="6"/>
  <c r="AS352" i="6"/>
  <c r="AB352" i="6"/>
  <c r="AR352" i="6"/>
  <c r="AQ352" i="6"/>
  <c r="BB352" i="6"/>
  <c r="BG352" i="6"/>
  <c r="AT352" i="6"/>
  <c r="AX352" i="6"/>
  <c r="BE352" i="6"/>
  <c r="AY352" i="6"/>
  <c r="M354" i="6" l="1"/>
  <c r="BD354" i="6" s="1"/>
  <c r="AM353" i="6"/>
  <c r="AJ353" i="6"/>
  <c r="AK353" i="6"/>
  <c r="AT353" i="6"/>
  <c r="BF353" i="6"/>
  <c r="BE353" i="6"/>
  <c r="AE353" i="6"/>
  <c r="AO353" i="6"/>
  <c r="AS353" i="6"/>
  <c r="AV353" i="6"/>
  <c r="AF353" i="6"/>
  <c r="AZ353" i="6"/>
  <c r="AH353" i="6"/>
  <c r="AU353" i="6"/>
  <c r="AX353" i="6"/>
  <c r="AY353" i="6"/>
  <c r="AB353" i="6"/>
  <c r="BC353" i="6"/>
  <c r="AR353" i="6"/>
  <c r="AP353" i="6"/>
  <c r="AQ353" i="6"/>
  <c r="AD353" i="6"/>
  <c r="AI353" i="6"/>
  <c r="BB353" i="6"/>
  <c r="BA353" i="6"/>
  <c r="BD353" i="6"/>
  <c r="AG353" i="6"/>
  <c r="AC353" i="6"/>
  <c r="BG353" i="6"/>
  <c r="K354" i="12"/>
  <c r="L355" i="12"/>
  <c r="J355" i="12"/>
  <c r="H356" i="5"/>
  <c r="A356" i="12"/>
  <c r="AE356" i="5"/>
  <c r="N356" i="5"/>
  <c r="D356" i="6" s="1"/>
  <c r="H356" i="6" s="1"/>
  <c r="T356" i="5" s="1"/>
  <c r="G356" i="12" s="1"/>
  <c r="K356" i="5"/>
  <c r="AD356" i="5"/>
  <c r="F356" i="5"/>
  <c r="E356" i="5"/>
  <c r="C357" i="5"/>
  <c r="B356" i="5"/>
  <c r="B356" i="6"/>
  <c r="G356" i="5"/>
  <c r="D356" i="5"/>
  <c r="B356" i="12" s="1"/>
  <c r="J356" i="5"/>
  <c r="A355" i="6"/>
  <c r="AK354" i="6" l="1"/>
  <c r="BB354" i="6"/>
  <c r="BF354" i="6"/>
  <c r="AF354" i="6"/>
  <c r="AU354" i="6"/>
  <c r="BC354" i="6"/>
  <c r="AX354" i="6"/>
  <c r="BE354" i="6"/>
  <c r="AH354" i="6"/>
  <c r="AN354" i="6"/>
  <c r="BG354" i="6"/>
  <c r="AD354" i="6"/>
  <c r="AZ354" i="6"/>
  <c r="AV354" i="6"/>
  <c r="AC354" i="6"/>
  <c r="AR354" i="6"/>
  <c r="AQ354" i="6"/>
  <c r="BA354" i="6"/>
  <c r="AE354" i="6"/>
  <c r="AG354" i="6"/>
  <c r="AS354" i="6"/>
  <c r="AP354" i="6"/>
  <c r="AY354" i="6"/>
  <c r="AJ354" i="6"/>
  <c r="AB354" i="6"/>
  <c r="AI354" i="6"/>
  <c r="AT354" i="6"/>
  <c r="AM354" i="6"/>
  <c r="AO354" i="6"/>
  <c r="K355" i="12"/>
  <c r="A356" i="6"/>
  <c r="N356" i="6" s="1"/>
  <c r="L356" i="12"/>
  <c r="J356" i="12"/>
  <c r="K357" i="5"/>
  <c r="AD357" i="5"/>
  <c r="D357" i="5"/>
  <c r="B357" i="12" s="1"/>
  <c r="H357" i="5"/>
  <c r="B357" i="5"/>
  <c r="G357" i="5"/>
  <c r="B357" i="6"/>
  <c r="E357" i="5"/>
  <c r="C358" i="5"/>
  <c r="A357" i="12"/>
  <c r="AE357" i="5"/>
  <c r="N357" i="5"/>
  <c r="D357" i="6" s="1"/>
  <c r="H357" i="6" s="1"/>
  <c r="T357" i="5" s="1"/>
  <c r="G357" i="12" s="1"/>
  <c r="J357" i="5"/>
  <c r="F357" i="5"/>
  <c r="N355" i="6"/>
  <c r="M355" i="6"/>
  <c r="M356" i="6" l="1"/>
  <c r="AI356" i="6" s="1"/>
  <c r="K356" i="12"/>
  <c r="L357" i="12"/>
  <c r="J357" i="12"/>
  <c r="H358" i="5"/>
  <c r="C359" i="5"/>
  <c r="D358" i="5"/>
  <c r="B358" i="12" s="1"/>
  <c r="A358" i="12"/>
  <c r="G358" i="5"/>
  <c r="F358" i="5"/>
  <c r="B358" i="6"/>
  <c r="N358" i="5"/>
  <c r="D358" i="6" s="1"/>
  <c r="K358" i="5"/>
  <c r="AD358" i="5"/>
  <c r="B358" i="5"/>
  <c r="E358" i="5"/>
  <c r="J358" i="5"/>
  <c r="AE358" i="5"/>
  <c r="A357" i="6"/>
  <c r="N357" i="6" s="1"/>
  <c r="AY355" i="6"/>
  <c r="AU355" i="6"/>
  <c r="AT355" i="6"/>
  <c r="AH355" i="6"/>
  <c r="AK355" i="6"/>
  <c r="AQ355" i="6"/>
  <c r="AE355" i="6"/>
  <c r="AV355" i="6"/>
  <c r="AD355" i="6"/>
  <c r="AI355" i="6"/>
  <c r="BA355" i="6"/>
  <c r="AC355" i="6"/>
  <c r="BC355" i="6"/>
  <c r="BB355" i="6"/>
  <c r="BD355" i="6"/>
  <c r="AM355" i="6"/>
  <c r="AJ355" i="6"/>
  <c r="AS355" i="6"/>
  <c r="BF355" i="6"/>
  <c r="AR355" i="6"/>
  <c r="AB355" i="6"/>
  <c r="AZ355" i="6"/>
  <c r="AX355" i="6"/>
  <c r="AN355" i="6"/>
  <c r="AG355" i="6"/>
  <c r="BE355" i="6"/>
  <c r="BG355" i="6"/>
  <c r="AF355" i="6"/>
  <c r="AP355" i="6"/>
  <c r="AO355" i="6"/>
  <c r="AT356" i="6" l="1"/>
  <c r="AC356" i="6"/>
  <c r="AS356" i="6"/>
  <c r="K357" i="12"/>
  <c r="AR356" i="6"/>
  <c r="AP356" i="6"/>
  <c r="AE356" i="6"/>
  <c r="AU356" i="6"/>
  <c r="BF356" i="6"/>
  <c r="AB356" i="6"/>
  <c r="BE356" i="6"/>
  <c r="BD356" i="6"/>
  <c r="AM356" i="6"/>
  <c r="BB356" i="6"/>
  <c r="AK356" i="6"/>
  <c r="AF356" i="6"/>
  <c r="M357" i="6"/>
  <c r="AI357" i="6" s="1"/>
  <c r="BA356" i="6"/>
  <c r="BG356" i="6"/>
  <c r="AZ356" i="6"/>
  <c r="AJ356" i="6"/>
  <c r="AN356" i="6"/>
  <c r="AO356" i="6"/>
  <c r="AY356" i="6"/>
  <c r="AD356" i="6"/>
  <c r="BC356" i="6"/>
  <c r="AH356" i="6"/>
  <c r="AQ356" i="6"/>
  <c r="AV356" i="6"/>
  <c r="AG356" i="6"/>
  <c r="AX356" i="6"/>
  <c r="L358" i="12"/>
  <c r="J358" i="12"/>
  <c r="K359" i="5"/>
  <c r="AD359" i="5"/>
  <c r="B359" i="6"/>
  <c r="B359" i="5"/>
  <c r="G359" i="5"/>
  <c r="J359" i="5"/>
  <c r="D359" i="5"/>
  <c r="B359" i="12" s="1"/>
  <c r="C360" i="5"/>
  <c r="AE359" i="5"/>
  <c r="A359" i="12"/>
  <c r="N359" i="5"/>
  <c r="D359" i="6" s="1"/>
  <c r="E359" i="5"/>
  <c r="H359" i="5"/>
  <c r="F359" i="5"/>
  <c r="H358" i="6"/>
  <c r="T358" i="5" s="1"/>
  <c r="G358" i="12" s="1"/>
  <c r="A358" i="6"/>
  <c r="M358" i="6" s="1"/>
  <c r="BA358" i="6" s="1"/>
  <c r="AH357" i="6" l="1"/>
  <c r="AS357" i="6"/>
  <c r="AK357" i="6"/>
  <c r="AZ357" i="6"/>
  <c r="BC357" i="6"/>
  <c r="AE357" i="6"/>
  <c r="BE357" i="6"/>
  <c r="BD357" i="6"/>
  <c r="AG357" i="6"/>
  <c r="BA357" i="6"/>
  <c r="AT357" i="6"/>
  <c r="AN357" i="6"/>
  <c r="AO357" i="6"/>
  <c r="AY357" i="6"/>
  <c r="AM357" i="6"/>
  <c r="AU357" i="6"/>
  <c r="BG357" i="6"/>
  <c r="AD357" i="6"/>
  <c r="AX357" i="6"/>
  <c r="BB357" i="6"/>
  <c r="AJ357" i="6"/>
  <c r="AB357" i="6"/>
  <c r="AF357" i="6"/>
  <c r="AP357" i="6"/>
  <c r="AV357" i="6"/>
  <c r="AQ357" i="6"/>
  <c r="BF357" i="6"/>
  <c r="AR357" i="6"/>
  <c r="AC357" i="6"/>
  <c r="K358" i="12"/>
  <c r="AH358" i="6"/>
  <c r="AS358" i="6"/>
  <c r="AO358" i="6"/>
  <c r="AT358" i="6"/>
  <c r="H359" i="6"/>
  <c r="A359" i="6"/>
  <c r="N359" i="6" s="1"/>
  <c r="AY358" i="6"/>
  <c r="BC358" i="6"/>
  <c r="AI358" i="6"/>
  <c r="AX358" i="6"/>
  <c r="AP358" i="6"/>
  <c r="J359" i="12"/>
  <c r="L359" i="12"/>
  <c r="AK358" i="6"/>
  <c r="AD358" i="6"/>
  <c r="AJ358" i="6"/>
  <c r="AU358" i="6"/>
  <c r="AZ358" i="6"/>
  <c r="BF358" i="6"/>
  <c r="BG358" i="6"/>
  <c r="AG358" i="6"/>
  <c r="D360" i="5"/>
  <c r="B360" i="12" s="1"/>
  <c r="H360" i="5"/>
  <c r="J360" i="5"/>
  <c r="F360" i="5"/>
  <c r="E360" i="5"/>
  <c r="N360" i="5"/>
  <c r="D360" i="6" s="1"/>
  <c r="G360" i="5"/>
  <c r="A360" i="12"/>
  <c r="B360" i="5"/>
  <c r="AE360" i="5"/>
  <c r="B360" i="6"/>
  <c r="AD360" i="5"/>
  <c r="K360" i="5"/>
  <c r="C361" i="5"/>
  <c r="AQ358" i="6"/>
  <c r="BD358" i="6"/>
  <c r="AE358" i="6"/>
  <c r="N358" i="6"/>
  <c r="BB358" i="6"/>
  <c r="AM358" i="6"/>
  <c r="AV358" i="6"/>
  <c r="AB358" i="6"/>
  <c r="AC358" i="6"/>
  <c r="AN358" i="6"/>
  <c r="AF358" i="6"/>
  <c r="AR358" i="6"/>
  <c r="BE358" i="6"/>
  <c r="K359" i="12" l="1"/>
  <c r="J360" i="12"/>
  <c r="L360" i="12"/>
  <c r="M359" i="6"/>
  <c r="AB359" i="6" s="1"/>
  <c r="T359" i="5"/>
  <c r="G359" i="12" s="1"/>
  <c r="K361" i="5"/>
  <c r="J361" i="5"/>
  <c r="H361" i="5"/>
  <c r="A361" i="12"/>
  <c r="AE361" i="5"/>
  <c r="B361" i="5"/>
  <c r="G361" i="5"/>
  <c r="AD361" i="5"/>
  <c r="N361" i="5"/>
  <c r="D361" i="6" s="1"/>
  <c r="H361" i="6" s="1"/>
  <c r="T361" i="5" s="1"/>
  <c r="G361" i="12" s="1"/>
  <c r="F361" i="5"/>
  <c r="E361" i="5"/>
  <c r="C362" i="5"/>
  <c r="D361" i="5"/>
  <c r="B361" i="12" s="1"/>
  <c r="B361" i="6"/>
  <c r="H360" i="6"/>
  <c r="T360" i="5" s="1"/>
  <c r="G360" i="12" s="1"/>
  <c r="A360" i="6"/>
  <c r="M360" i="6" s="1"/>
  <c r="AO360" i="6" s="1"/>
  <c r="K360" i="12" l="1"/>
  <c r="BE360" i="6"/>
  <c r="AE359" i="6"/>
  <c r="AK360" i="6"/>
  <c r="AN360" i="6"/>
  <c r="AF360" i="6"/>
  <c r="AR360" i="6"/>
  <c r="BG360" i="6"/>
  <c r="AE360" i="6"/>
  <c r="AJ360" i="6"/>
  <c r="N360" i="6"/>
  <c r="AG359" i="6"/>
  <c r="AF359" i="6"/>
  <c r="BA360" i="6"/>
  <c r="AZ360" i="6"/>
  <c r="AC360" i="6"/>
  <c r="AV360" i="6"/>
  <c r="AC359" i="6"/>
  <c r="AD359" i="6"/>
  <c r="BB360" i="6"/>
  <c r="AG360" i="6"/>
  <c r="AD360" i="6"/>
  <c r="A361" i="6"/>
  <c r="AZ359" i="6"/>
  <c r="AM359" i="6"/>
  <c r="BA359" i="6"/>
  <c r="AV359" i="6"/>
  <c r="AX359" i="6"/>
  <c r="AP359" i="6"/>
  <c r="BC359" i="6"/>
  <c r="AO359" i="6"/>
  <c r="BE359" i="6"/>
  <c r="AS359" i="6"/>
  <c r="BF359" i="6"/>
  <c r="AQ359" i="6"/>
  <c r="AT359" i="6"/>
  <c r="BD359" i="6"/>
  <c r="BG359" i="6"/>
  <c r="AR359" i="6"/>
  <c r="AN359" i="6"/>
  <c r="BB359" i="6"/>
  <c r="AU359" i="6"/>
  <c r="AY359" i="6"/>
  <c r="BC360" i="6"/>
  <c r="AP360" i="6"/>
  <c r="AT360" i="6"/>
  <c r="AI360" i="6"/>
  <c r="AS360" i="6"/>
  <c r="F362" i="5"/>
  <c r="E362" i="5"/>
  <c r="D362" i="5"/>
  <c r="B362" i="12" s="1"/>
  <c r="G362" i="5"/>
  <c r="B362" i="5"/>
  <c r="J362" i="5"/>
  <c r="B362" i="6"/>
  <c r="C363" i="5"/>
  <c r="H362" i="5"/>
  <c r="N362" i="5"/>
  <c r="D362" i="6" s="1"/>
  <c r="AD362" i="5"/>
  <c r="A362" i="12"/>
  <c r="K362" i="5"/>
  <c r="AE362" i="5"/>
  <c r="J361" i="12"/>
  <c r="L361" i="12"/>
  <c r="AK359" i="6"/>
  <c r="AY360" i="6"/>
  <c r="AJ359" i="6"/>
  <c r="AM360" i="6"/>
  <c r="AX360" i="6"/>
  <c r="AU360" i="6"/>
  <c r="AH359" i="6"/>
  <c r="BF360" i="6"/>
  <c r="BD360" i="6"/>
  <c r="AQ360" i="6"/>
  <c r="AB360" i="6"/>
  <c r="AH360" i="6"/>
  <c r="AI359" i="6"/>
  <c r="A362" i="6" l="1"/>
  <c r="N362" i="6" s="1"/>
  <c r="K361" i="12"/>
  <c r="K363" i="5"/>
  <c r="E363" i="5"/>
  <c r="J363" i="5"/>
  <c r="B363" i="5"/>
  <c r="D363" i="5"/>
  <c r="B363" i="12" s="1"/>
  <c r="G363" i="5"/>
  <c r="N363" i="5"/>
  <c r="D363" i="6" s="1"/>
  <c r="H363" i="6" s="1"/>
  <c r="T363" i="5" s="1"/>
  <c r="G363" i="12" s="1"/>
  <c r="AE363" i="5"/>
  <c r="H363" i="5"/>
  <c r="C364" i="5"/>
  <c r="A363" i="12"/>
  <c r="B363" i="6"/>
  <c r="AD363" i="5"/>
  <c r="F363" i="5"/>
  <c r="M361" i="6"/>
  <c r="N361" i="6"/>
  <c r="J362" i="12"/>
  <c r="L362" i="12"/>
  <c r="H362" i="6"/>
  <c r="M362" i="6" l="1"/>
  <c r="AU362" i="6" s="1"/>
  <c r="K362" i="12"/>
  <c r="BC361" i="6"/>
  <c r="AM361" i="6"/>
  <c r="AB361" i="6"/>
  <c r="AO361" i="6"/>
  <c r="AQ361" i="6"/>
  <c r="AS361" i="6"/>
  <c r="BD361" i="6"/>
  <c r="AJ361" i="6"/>
  <c r="AU361" i="6"/>
  <c r="BE361" i="6"/>
  <c r="AX361" i="6"/>
  <c r="AR361" i="6"/>
  <c r="AG361" i="6"/>
  <c r="AK361" i="6"/>
  <c r="AY361" i="6"/>
  <c r="AV361" i="6"/>
  <c r="AZ361" i="6"/>
  <c r="BF361" i="6"/>
  <c r="AC361" i="6"/>
  <c r="AN361" i="6"/>
  <c r="BB361" i="6"/>
  <c r="AD361" i="6"/>
  <c r="AF361" i="6"/>
  <c r="AT361" i="6"/>
  <c r="AH361" i="6"/>
  <c r="AI361" i="6"/>
  <c r="AP361" i="6"/>
  <c r="BA361" i="6"/>
  <c r="AE361" i="6"/>
  <c r="BG361" i="6"/>
  <c r="A363" i="6"/>
  <c r="M363" i="6" s="1"/>
  <c r="AT363" i="6" s="1"/>
  <c r="T362" i="5"/>
  <c r="G362" i="12" s="1"/>
  <c r="L363" i="12"/>
  <c r="J363" i="12"/>
  <c r="G364" i="5"/>
  <c r="C365" i="5"/>
  <c r="E364" i="5"/>
  <c r="D364" i="5"/>
  <c r="B364" i="12" s="1"/>
  <c r="J364" i="5"/>
  <c r="AD364" i="5"/>
  <c r="K364" i="5"/>
  <c r="AE364" i="5"/>
  <c r="B364" i="6"/>
  <c r="N364" i="5"/>
  <c r="D364" i="6" s="1"/>
  <c r="H364" i="6" s="1"/>
  <c r="T364" i="5" s="1"/>
  <c r="G364" i="12" s="1"/>
  <c r="A364" i="12"/>
  <c r="F364" i="5"/>
  <c r="H364" i="5"/>
  <c r="B364" i="5"/>
  <c r="AD362" i="6" l="1"/>
  <c r="AG362" i="6"/>
  <c r="AX362" i="6"/>
  <c r="AR362" i="6"/>
  <c r="AJ362" i="6"/>
  <c r="AB362" i="6"/>
  <c r="BD362" i="6"/>
  <c r="AS362" i="6"/>
  <c r="AP362" i="6"/>
  <c r="BE362" i="6"/>
  <c r="AZ362" i="6"/>
  <c r="AC362" i="6"/>
  <c r="AY362" i="6"/>
  <c r="BG362" i="6"/>
  <c r="AN362" i="6"/>
  <c r="AF362" i="6"/>
  <c r="BC362" i="6"/>
  <c r="AO362" i="6"/>
  <c r="BB362" i="6"/>
  <c r="AE362" i="6"/>
  <c r="AI362" i="6"/>
  <c r="BF362" i="6"/>
  <c r="AM362" i="6"/>
  <c r="BA362" i="6"/>
  <c r="AV362" i="6"/>
  <c r="AH362" i="6"/>
  <c r="AK362" i="6"/>
  <c r="AQ362" i="6"/>
  <c r="AT362" i="6"/>
  <c r="N363" i="6"/>
  <c r="K363" i="12"/>
  <c r="A364" i="6"/>
  <c r="M364" i="6" s="1"/>
  <c r="AK364" i="6" s="1"/>
  <c r="AI363" i="6"/>
  <c r="BC363" i="6"/>
  <c r="AZ363" i="6"/>
  <c r="BA363" i="6"/>
  <c r="BE363" i="6"/>
  <c r="AS363" i="6"/>
  <c r="AX363" i="6"/>
  <c r="AJ363" i="6"/>
  <c r="AN363" i="6"/>
  <c r="BF363" i="6"/>
  <c r="J364" i="12"/>
  <c r="L364" i="12"/>
  <c r="AU363" i="6"/>
  <c r="AC363" i="6"/>
  <c r="AF363" i="6"/>
  <c r="AY363" i="6"/>
  <c r="AO363" i="6"/>
  <c r="AP363" i="6"/>
  <c r="BG363" i="6"/>
  <c r="AE363" i="6"/>
  <c r="AK363" i="6"/>
  <c r="AB363" i="6"/>
  <c r="AQ363" i="6"/>
  <c r="AD363" i="6"/>
  <c r="AG363" i="6"/>
  <c r="BD363" i="6"/>
  <c r="AH363" i="6"/>
  <c r="AR363" i="6"/>
  <c r="J365" i="5"/>
  <c r="K365" i="5"/>
  <c r="C366" i="5"/>
  <c r="F365" i="5"/>
  <c r="E365" i="5"/>
  <c r="A365" i="12"/>
  <c r="AD365" i="5"/>
  <c r="B365" i="6"/>
  <c r="AE365" i="5"/>
  <c r="G365" i="5"/>
  <c r="D365" i="5"/>
  <c r="B365" i="12" s="1"/>
  <c r="B365" i="5"/>
  <c r="H365" i="5"/>
  <c r="N365" i="5"/>
  <c r="D365" i="6" s="1"/>
  <c r="AV363" i="6"/>
  <c r="BB363" i="6"/>
  <c r="AM363" i="6"/>
  <c r="N364" i="6" l="1"/>
  <c r="K364" i="12"/>
  <c r="AG364" i="6"/>
  <c r="AM364" i="6"/>
  <c r="AT364" i="6"/>
  <c r="AJ364" i="6"/>
  <c r="AP364" i="6"/>
  <c r="AX364" i="6"/>
  <c r="AR364" i="6"/>
  <c r="AH364" i="6"/>
  <c r="AQ364" i="6"/>
  <c r="BD364" i="6"/>
  <c r="AD364" i="6"/>
  <c r="BC364" i="6"/>
  <c r="AY364" i="6"/>
  <c r="AZ364" i="6"/>
  <c r="AI364" i="6"/>
  <c r="AN364" i="6"/>
  <c r="AO364" i="6"/>
  <c r="AV364" i="6"/>
  <c r="BE364" i="6"/>
  <c r="AF364" i="6"/>
  <c r="AC364" i="6"/>
  <c r="BB364" i="6"/>
  <c r="BA364" i="6"/>
  <c r="BF364" i="6"/>
  <c r="AS364" i="6"/>
  <c r="AE364" i="6"/>
  <c r="AU364" i="6"/>
  <c r="AB364" i="6"/>
  <c r="BG364" i="6"/>
  <c r="A366" i="12"/>
  <c r="D366" i="5"/>
  <c r="B366" i="12" s="1"/>
  <c r="AD366" i="5"/>
  <c r="B366" i="5"/>
  <c r="F366" i="5"/>
  <c r="C367" i="5"/>
  <c r="B366" i="6"/>
  <c r="K366" i="5"/>
  <c r="J366" i="5"/>
  <c r="H366" i="5"/>
  <c r="N366" i="5"/>
  <c r="D366" i="6" s="1"/>
  <c r="H366" i="6" s="1"/>
  <c r="T366" i="5" s="1"/>
  <c r="G366" i="12" s="1"/>
  <c r="AE366" i="5"/>
  <c r="G366" i="5"/>
  <c r="E366" i="5"/>
  <c r="A365" i="6"/>
  <c r="N365" i="6" s="1"/>
  <c r="H365" i="6"/>
  <c r="J365" i="12"/>
  <c r="L365" i="12"/>
  <c r="K365" i="12" l="1"/>
  <c r="M365" i="6"/>
  <c r="AC365" i="6" s="1"/>
  <c r="L366" i="12"/>
  <c r="J366" i="12"/>
  <c r="T365" i="5"/>
  <c r="G365" i="12" s="1"/>
  <c r="A366" i="6"/>
  <c r="M366" i="6" s="1"/>
  <c r="D367" i="5"/>
  <c r="B367" i="12" s="1"/>
  <c r="E367" i="5"/>
  <c r="A367" i="12"/>
  <c r="B367" i="6"/>
  <c r="C368" i="5"/>
  <c r="F367" i="5"/>
  <c r="AE367" i="5"/>
  <c r="N367" i="5"/>
  <c r="D367" i="6" s="1"/>
  <c r="H367" i="6" s="1"/>
  <c r="T367" i="5" s="1"/>
  <c r="G367" i="12" s="1"/>
  <c r="B367" i="5"/>
  <c r="J367" i="5"/>
  <c r="AD367" i="5"/>
  <c r="G367" i="5"/>
  <c r="K367" i="5"/>
  <c r="H367" i="5"/>
  <c r="K366" i="12" l="1"/>
  <c r="AO366" i="6"/>
  <c r="AH366" i="6"/>
  <c r="BC366" i="6"/>
  <c r="AC366" i="6"/>
  <c r="AR366" i="6"/>
  <c r="AV366" i="6"/>
  <c r="AS366" i="6"/>
  <c r="AQ366" i="6"/>
  <c r="AB366" i="6"/>
  <c r="AG366" i="6"/>
  <c r="BD366" i="6"/>
  <c r="BA366" i="6"/>
  <c r="AZ366" i="6"/>
  <c r="AN366" i="6"/>
  <c r="BB366" i="6"/>
  <c r="AJ366" i="6"/>
  <c r="AM366" i="6"/>
  <c r="AT366" i="6"/>
  <c r="AU366" i="6"/>
  <c r="AD366" i="6"/>
  <c r="BE366" i="6"/>
  <c r="BG366" i="6"/>
  <c r="AY366" i="6"/>
  <c r="AF366" i="6"/>
  <c r="AX366" i="6"/>
  <c r="AP366" i="6"/>
  <c r="AE366" i="6"/>
  <c r="BF366" i="6"/>
  <c r="AI366" i="6"/>
  <c r="AK366" i="6"/>
  <c r="AE365" i="6"/>
  <c r="AB365" i="6"/>
  <c r="AD368" i="5"/>
  <c r="B368" i="5"/>
  <c r="D368" i="5"/>
  <c r="B368" i="12" s="1"/>
  <c r="E368" i="5"/>
  <c r="B368" i="6"/>
  <c r="A368" i="12"/>
  <c r="F368" i="5"/>
  <c r="H368" i="5"/>
  <c r="K368" i="5"/>
  <c r="AE368" i="5"/>
  <c r="N368" i="5"/>
  <c r="D368" i="6" s="1"/>
  <c r="H368" i="6" s="1"/>
  <c r="T368" i="5" s="1"/>
  <c r="G368" i="12" s="1"/>
  <c r="J368" i="5"/>
  <c r="G368" i="5"/>
  <c r="AJ365" i="6"/>
  <c r="AI365" i="6"/>
  <c r="A367" i="6"/>
  <c r="N367" i="6" s="1"/>
  <c r="AZ365" i="6"/>
  <c r="AX365" i="6"/>
  <c r="BD365" i="6"/>
  <c r="AO365" i="6"/>
  <c r="BC365" i="6"/>
  <c r="BF365" i="6"/>
  <c r="AR365" i="6"/>
  <c r="BB365" i="6"/>
  <c r="AV365" i="6"/>
  <c r="BE365" i="6"/>
  <c r="AN365" i="6"/>
  <c r="AQ365" i="6"/>
  <c r="BA365" i="6"/>
  <c r="AY365" i="6"/>
  <c r="AS365" i="6"/>
  <c r="BG365" i="6"/>
  <c r="AM365" i="6"/>
  <c r="AT365" i="6"/>
  <c r="AU365" i="6"/>
  <c r="AP365" i="6"/>
  <c r="AG365" i="6"/>
  <c r="AK365" i="6"/>
  <c r="AD365" i="6"/>
  <c r="N366" i="6"/>
  <c r="AF365" i="6"/>
  <c r="L367" i="12"/>
  <c r="J367" i="12"/>
  <c r="AH365" i="6"/>
  <c r="K367" i="12" l="1"/>
  <c r="A368" i="6"/>
  <c r="J368" i="12"/>
  <c r="L368" i="12"/>
  <c r="M367" i="6"/>
  <c r="K368" i="12" l="1"/>
  <c r="N368" i="6"/>
  <c r="M368" i="6"/>
  <c r="AD367" i="6"/>
  <c r="AB367" i="6"/>
  <c r="AG367" i="6"/>
  <c r="AO367" i="6"/>
  <c r="AN367" i="6"/>
  <c r="AP367" i="6"/>
  <c r="AV367" i="6"/>
  <c r="AH367" i="6"/>
  <c r="AU367" i="6"/>
  <c r="AY367" i="6"/>
  <c r="AC367" i="6"/>
  <c r="BC367" i="6"/>
  <c r="BB367" i="6"/>
  <c r="BA367" i="6"/>
  <c r="AQ367" i="6"/>
  <c r="BF367" i="6"/>
  <c r="AI367" i="6"/>
  <c r="AM367" i="6"/>
  <c r="AJ367" i="6"/>
  <c r="AX367" i="6"/>
  <c r="BG367" i="6"/>
  <c r="AS367" i="6"/>
  <c r="AK367" i="6"/>
  <c r="AR367" i="6"/>
  <c r="AE367" i="6"/>
  <c r="BE367" i="6"/>
  <c r="AT367" i="6"/>
  <c r="AZ367" i="6"/>
  <c r="AF367" i="6"/>
  <c r="BD367" i="6"/>
  <c r="AB368" i="6" l="1"/>
  <c r="AE368" i="6"/>
  <c r="AV368" i="6"/>
  <c r="AN368" i="6"/>
  <c r="AF368" i="6"/>
  <c r="AK368" i="6"/>
  <c r="AO368" i="6"/>
  <c r="AT368" i="6"/>
  <c r="BA368" i="6"/>
  <c r="AP368" i="6"/>
  <c r="BE368" i="6"/>
  <c r="AS368" i="6"/>
  <c r="AU368" i="6"/>
  <c r="BD368" i="6"/>
  <c r="AD368" i="6"/>
  <c r="BC368" i="6"/>
  <c r="AI368" i="6"/>
  <c r="AX368" i="6"/>
  <c r="AJ368" i="6"/>
  <c r="AC368" i="6"/>
  <c r="BB368" i="6"/>
  <c r="AY368" i="6"/>
  <c r="AM368" i="6"/>
  <c r="BF368" i="6"/>
  <c r="AG368" i="6"/>
  <c r="AR368" i="6"/>
  <c r="BG368" i="6"/>
  <c r="AH368" i="6"/>
  <c r="AZ368" i="6"/>
  <c r="AQ368" i="6"/>
  <c r="C369" i="5" l="1"/>
  <c r="N369" i="5" l="1"/>
  <c r="D369" i="6" s="1"/>
  <c r="H369" i="6" s="1"/>
  <c r="T369" i="5" s="1"/>
  <c r="A369" i="12"/>
  <c r="AD369" i="5"/>
  <c r="B369" i="6"/>
  <c r="W369" i="5"/>
  <c r="H369" i="12" s="1"/>
  <c r="C370" i="5"/>
  <c r="AE369" i="5"/>
  <c r="G369" i="5"/>
  <c r="B369" i="5"/>
  <c r="H369" i="5"/>
  <c r="E369" i="5"/>
  <c r="F369" i="5"/>
  <c r="G369" i="6" l="1"/>
  <c r="A369" i="6"/>
  <c r="M369" i="6" s="1"/>
  <c r="AG369" i="6" s="1"/>
  <c r="AE370" i="5"/>
  <c r="B370" i="6"/>
  <c r="C371" i="5"/>
  <c r="A370" i="12"/>
  <c r="N370" i="5"/>
  <c r="D370" i="6" s="1"/>
  <c r="K370" i="5"/>
  <c r="AD370" i="5"/>
  <c r="D370" i="5"/>
  <c r="B370" i="12" s="1"/>
  <c r="H370" i="5"/>
  <c r="J370" i="5"/>
  <c r="B370" i="5"/>
  <c r="G370" i="5"/>
  <c r="E370" i="5"/>
  <c r="F370" i="5"/>
  <c r="E369" i="12"/>
  <c r="F369" i="6"/>
  <c r="AT369" i="6"/>
  <c r="BC369" i="6"/>
  <c r="AQ369" i="6"/>
  <c r="AN369" i="6"/>
  <c r="BB369" i="6"/>
  <c r="BF369" i="6"/>
  <c r="BE369" i="6"/>
  <c r="AY369" i="6"/>
  <c r="AS369" i="6"/>
  <c r="AX369" i="6"/>
  <c r="AR369" i="6"/>
  <c r="BA369" i="6"/>
  <c r="AU369" i="6"/>
  <c r="BG369" i="6"/>
  <c r="AO369" i="6"/>
  <c r="AM369" i="6"/>
  <c r="BD369" i="6"/>
  <c r="AZ369" i="6"/>
  <c r="AP369" i="6"/>
  <c r="AV369" i="6"/>
  <c r="G369" i="12"/>
  <c r="N369" i="6"/>
  <c r="AH369" i="6" l="1"/>
  <c r="AI369" i="6"/>
  <c r="AJ369" i="6"/>
  <c r="AC369" i="6"/>
  <c r="AD369" i="6"/>
  <c r="AK369" i="6"/>
  <c r="AF369" i="6"/>
  <c r="A370" i="6"/>
  <c r="M370" i="6" s="1"/>
  <c r="AZ370" i="6" s="1"/>
  <c r="AB369" i="6"/>
  <c r="AE369" i="6"/>
  <c r="H370" i="6"/>
  <c r="T370" i="5" s="1"/>
  <c r="G370" i="12" s="1"/>
  <c r="H371" i="5"/>
  <c r="J371" i="5"/>
  <c r="F371" i="5"/>
  <c r="N371" i="5"/>
  <c r="D371" i="6" s="1"/>
  <c r="H371" i="6" s="1"/>
  <c r="T371" i="5" s="1"/>
  <c r="B371" i="5"/>
  <c r="E371" i="5"/>
  <c r="B371" i="6"/>
  <c r="D371" i="5"/>
  <c r="B371" i="12" s="1"/>
  <c r="K371" i="5"/>
  <c r="C372" i="5"/>
  <c r="G371" i="5"/>
  <c r="AE371" i="5"/>
  <c r="A371" i="12"/>
  <c r="AD371" i="5"/>
  <c r="L370" i="12"/>
  <c r="J370" i="12"/>
  <c r="N370" i="6" l="1"/>
  <c r="AD370" i="6"/>
  <c r="AJ370" i="6"/>
  <c r="AQ370" i="6"/>
  <c r="AH370" i="6"/>
  <c r="AO370" i="6"/>
  <c r="AE372" i="5"/>
  <c r="G372" i="5"/>
  <c r="B372" i="6"/>
  <c r="F372" i="5"/>
  <c r="N372" i="5"/>
  <c r="D372" i="6" s="1"/>
  <c r="J372" i="5"/>
  <c r="E372" i="5"/>
  <c r="B372" i="5"/>
  <c r="D372" i="5"/>
  <c r="B372" i="12" s="1"/>
  <c r="H372" i="5"/>
  <c r="C373" i="5"/>
  <c r="AD372" i="5"/>
  <c r="A372" i="12"/>
  <c r="K372" i="5"/>
  <c r="BE370" i="6"/>
  <c r="AR370" i="6"/>
  <c r="BB370" i="6"/>
  <c r="AS370" i="6"/>
  <c r="AC370" i="6"/>
  <c r="BC370" i="6"/>
  <c r="AN370" i="6"/>
  <c r="AF370" i="6"/>
  <c r="BA370" i="6"/>
  <c r="BF370" i="6"/>
  <c r="AX370" i="6"/>
  <c r="AK370" i="6"/>
  <c r="L371" i="12"/>
  <c r="J371" i="12"/>
  <c r="AI370" i="6"/>
  <c r="AG370" i="6"/>
  <c r="BD370" i="6"/>
  <c r="AP370" i="6"/>
  <c r="A371" i="6"/>
  <c r="AU370" i="6"/>
  <c r="AY370" i="6"/>
  <c r="BG370" i="6"/>
  <c r="AM370" i="6"/>
  <c r="AE370" i="6"/>
  <c r="AB370" i="6"/>
  <c r="AT370" i="6"/>
  <c r="AV370" i="6"/>
  <c r="K370" i="12"/>
  <c r="G371" i="12"/>
  <c r="H372" i="6" l="1"/>
  <c r="T372" i="5" s="1"/>
  <c r="G372" i="12" s="1"/>
  <c r="K371" i="12"/>
  <c r="J372" i="12"/>
  <c r="L372" i="12"/>
  <c r="A372" i="6"/>
  <c r="N371" i="6"/>
  <c r="M371" i="6"/>
  <c r="E373" i="5"/>
  <c r="B373" i="5"/>
  <c r="G373" i="5"/>
  <c r="J373" i="5"/>
  <c r="N373" i="5"/>
  <c r="D373" i="6" s="1"/>
  <c r="D373" i="5"/>
  <c r="B373" i="12" s="1"/>
  <c r="H373" i="5"/>
  <c r="A373" i="12"/>
  <c r="F373" i="5"/>
  <c r="K373" i="5"/>
  <c r="AD373" i="5"/>
  <c r="C374" i="5"/>
  <c r="B373" i="6"/>
  <c r="AE373" i="5"/>
  <c r="K372" i="12" l="1"/>
  <c r="H373" i="6"/>
  <c r="T373" i="5" s="1"/>
  <c r="G373" i="12" s="1"/>
  <c r="BB371" i="6"/>
  <c r="AE371" i="6"/>
  <c r="AQ371" i="6"/>
  <c r="AZ371" i="6"/>
  <c r="AX371" i="6"/>
  <c r="AM371" i="6"/>
  <c r="AY371" i="6"/>
  <c r="AU371" i="6"/>
  <c r="AC371" i="6"/>
  <c r="AN371" i="6"/>
  <c r="AR371" i="6"/>
  <c r="BA371" i="6"/>
  <c r="AT371" i="6"/>
  <c r="AP371" i="6"/>
  <c r="AI371" i="6"/>
  <c r="AS371" i="6"/>
  <c r="AH371" i="6"/>
  <c r="AG371" i="6"/>
  <c r="AF371" i="6"/>
  <c r="AO371" i="6"/>
  <c r="BC371" i="6"/>
  <c r="AJ371" i="6"/>
  <c r="BF371" i="6"/>
  <c r="BG371" i="6"/>
  <c r="BE371" i="6"/>
  <c r="AB371" i="6"/>
  <c r="AK371" i="6"/>
  <c r="AD371" i="6"/>
  <c r="BD371" i="6"/>
  <c r="AV371" i="6"/>
  <c r="A373" i="6"/>
  <c r="N372" i="6"/>
  <c r="M372" i="6"/>
  <c r="N374" i="5"/>
  <c r="D374" i="6" s="1"/>
  <c r="H374" i="6" s="1"/>
  <c r="T374" i="5" s="1"/>
  <c r="G374" i="5"/>
  <c r="J374" i="5"/>
  <c r="E374" i="5"/>
  <c r="B374" i="5"/>
  <c r="C375" i="5" s="1"/>
  <c r="F374" i="5"/>
  <c r="D374" i="5"/>
  <c r="B374" i="12" s="1"/>
  <c r="K374" i="5"/>
  <c r="A374" i="12"/>
  <c r="AE374" i="5"/>
  <c r="AD374" i="5"/>
  <c r="B374" i="6"/>
  <c r="H374" i="5"/>
  <c r="L373" i="12"/>
  <c r="J373" i="12"/>
  <c r="K373" i="12" l="1"/>
  <c r="J374" i="12"/>
  <c r="L374" i="12"/>
  <c r="E375" i="5"/>
  <c r="AE375" i="5"/>
  <c r="A375" i="12"/>
  <c r="AD375" i="5"/>
  <c r="G375" i="5"/>
  <c r="H375" i="5"/>
  <c r="C376" i="5"/>
  <c r="W375" i="5"/>
  <c r="H375" i="12" s="1"/>
  <c r="F375" i="5"/>
  <c r="B375" i="6"/>
  <c r="B375" i="5"/>
  <c r="N375" i="5"/>
  <c r="D375" i="6" s="1"/>
  <c r="N375" i="6" s="1"/>
  <c r="A374" i="6"/>
  <c r="BB372" i="6"/>
  <c r="AR372" i="6"/>
  <c r="BC372" i="6"/>
  <c r="AB372" i="6"/>
  <c r="BD372" i="6"/>
  <c r="AU372" i="6"/>
  <c r="BA372" i="6"/>
  <c r="AF372" i="6"/>
  <c r="AI372" i="6"/>
  <c r="AQ372" i="6"/>
  <c r="AG372" i="6"/>
  <c r="AN372" i="6"/>
  <c r="BG372" i="6"/>
  <c r="AM372" i="6"/>
  <c r="AP372" i="6"/>
  <c r="BF372" i="6"/>
  <c r="AX372" i="6"/>
  <c r="AH372" i="6"/>
  <c r="AS372" i="6"/>
  <c r="AC372" i="6"/>
  <c r="AE372" i="6"/>
  <c r="AK372" i="6"/>
  <c r="AT372" i="6"/>
  <c r="AO372" i="6"/>
  <c r="BE372" i="6"/>
  <c r="AZ372" i="6"/>
  <c r="AY372" i="6"/>
  <c r="AJ372" i="6"/>
  <c r="AV372" i="6"/>
  <c r="AD372" i="6"/>
  <c r="M373" i="6"/>
  <c r="N373" i="6"/>
  <c r="G374" i="12"/>
  <c r="K374" i="12" l="1"/>
  <c r="G375" i="6"/>
  <c r="H375" i="6"/>
  <c r="T375" i="5" s="1"/>
  <c r="G375" i="12" s="1"/>
  <c r="M375" i="6"/>
  <c r="AS375" i="6" s="1"/>
  <c r="A375" i="6"/>
  <c r="M374" i="6"/>
  <c r="N374" i="6"/>
  <c r="F376" i="5"/>
  <c r="B376" i="5"/>
  <c r="N376" i="5"/>
  <c r="D376" i="6" s="1"/>
  <c r="H376" i="6" s="1"/>
  <c r="T376" i="5" s="1"/>
  <c r="AE376" i="5"/>
  <c r="AD376" i="5"/>
  <c r="H376" i="5"/>
  <c r="A376" i="12"/>
  <c r="E376" i="5"/>
  <c r="B376" i="6"/>
  <c r="D376" i="5"/>
  <c r="B376" i="12" s="1"/>
  <c r="C377" i="5"/>
  <c r="K376" i="5"/>
  <c r="J376" i="5"/>
  <c r="G376" i="5"/>
  <c r="AZ373" i="6"/>
  <c r="AS373" i="6"/>
  <c r="BG373" i="6"/>
  <c r="AH373" i="6"/>
  <c r="BF373" i="6"/>
  <c r="AQ373" i="6"/>
  <c r="BA373" i="6"/>
  <c r="BB373" i="6"/>
  <c r="AM373" i="6"/>
  <c r="AU373" i="6"/>
  <c r="AB373" i="6"/>
  <c r="AI373" i="6"/>
  <c r="AT373" i="6"/>
  <c r="AD373" i="6"/>
  <c r="BD373" i="6"/>
  <c r="AX373" i="6"/>
  <c r="AR373" i="6"/>
  <c r="AG373" i="6"/>
  <c r="AO373" i="6"/>
  <c r="BE373" i="6"/>
  <c r="AC373" i="6"/>
  <c r="AE373" i="6"/>
  <c r="AV373" i="6"/>
  <c r="AF373" i="6"/>
  <c r="AP373" i="6"/>
  <c r="AY373" i="6"/>
  <c r="AJ373" i="6"/>
  <c r="AK373" i="6"/>
  <c r="BC373" i="6"/>
  <c r="AN373" i="6"/>
  <c r="E375" i="12"/>
  <c r="F375" i="6"/>
  <c r="AM375" i="6"/>
  <c r="BB375" i="6"/>
  <c r="AN375" i="6"/>
  <c r="BD375" i="6"/>
  <c r="BC375" i="6"/>
  <c r="AT375" i="6"/>
  <c r="AU375" i="6"/>
  <c r="AY375" i="6"/>
  <c r="AR375" i="6"/>
  <c r="AP375" i="6"/>
  <c r="BG375" i="6"/>
  <c r="BA375" i="6"/>
  <c r="AZ375" i="6"/>
  <c r="AO375" i="6"/>
  <c r="BE375" i="6"/>
  <c r="AX375" i="6"/>
  <c r="AV375" i="6"/>
  <c r="BF375" i="6"/>
  <c r="AQ375" i="6"/>
  <c r="AE375" i="6" l="1"/>
  <c r="AB375" i="6"/>
  <c r="AK375" i="6"/>
  <c r="AH375" i="6"/>
  <c r="AG375" i="6"/>
  <c r="AC375" i="6"/>
  <c r="AD375" i="6"/>
  <c r="AI375" i="6"/>
  <c r="AJ375" i="6"/>
  <c r="AF375" i="6"/>
  <c r="A376" i="6"/>
  <c r="AE377" i="5"/>
  <c r="B377" i="5"/>
  <c r="J377" i="5"/>
  <c r="B377" i="6"/>
  <c r="G377" i="5"/>
  <c r="A377" i="12"/>
  <c r="AD377" i="5"/>
  <c r="C378" i="5"/>
  <c r="N377" i="5"/>
  <c r="D377" i="6" s="1"/>
  <c r="H377" i="6" s="1"/>
  <c r="T377" i="5" s="1"/>
  <c r="E377" i="5"/>
  <c r="F377" i="5"/>
  <c r="H377" i="5"/>
  <c r="D377" i="5"/>
  <c r="B377" i="12" s="1"/>
  <c r="K377" i="5"/>
  <c r="AZ374" i="6"/>
  <c r="AM374" i="6"/>
  <c r="BG374" i="6"/>
  <c r="AF374" i="6"/>
  <c r="AG374" i="6"/>
  <c r="AQ374" i="6"/>
  <c r="AO374" i="6"/>
  <c r="AR374" i="6"/>
  <c r="AP374" i="6"/>
  <c r="AH374" i="6"/>
  <c r="AY374" i="6"/>
  <c r="BB374" i="6"/>
  <c r="AU374" i="6"/>
  <c r="AS374" i="6"/>
  <c r="BE374" i="6"/>
  <c r="BC374" i="6"/>
  <c r="AE374" i="6"/>
  <c r="AN374" i="6"/>
  <c r="AT374" i="6"/>
  <c r="BD374" i="6"/>
  <c r="BA374" i="6"/>
  <c r="AX374" i="6"/>
  <c r="AD374" i="6"/>
  <c r="AK374" i="6"/>
  <c r="AJ374" i="6"/>
  <c r="AC374" i="6"/>
  <c r="AV374" i="6"/>
  <c r="AI374" i="6"/>
  <c r="AB374" i="6"/>
  <c r="BF374" i="6"/>
  <c r="L376" i="12"/>
  <c r="J376" i="12"/>
  <c r="G376" i="12"/>
  <c r="N376" i="6" l="1"/>
  <c r="M376" i="6"/>
  <c r="A377" i="6"/>
  <c r="K376" i="12"/>
  <c r="B378" i="6"/>
  <c r="AD378" i="5"/>
  <c r="G378" i="5"/>
  <c r="H378" i="5"/>
  <c r="A378" i="12"/>
  <c r="F378" i="5"/>
  <c r="N378" i="5"/>
  <c r="D378" i="6" s="1"/>
  <c r="D378" i="5"/>
  <c r="B378" i="12" s="1"/>
  <c r="E378" i="5"/>
  <c r="AE378" i="5"/>
  <c r="J378" i="5"/>
  <c r="K378" i="5"/>
  <c r="B378" i="5"/>
  <c r="C379" i="5" s="1"/>
  <c r="L377" i="12"/>
  <c r="J377" i="12"/>
  <c r="G377" i="12"/>
  <c r="A378" i="6" l="1"/>
  <c r="N378" i="6" s="1"/>
  <c r="BC376" i="6"/>
  <c r="BD376" i="6"/>
  <c r="AO376" i="6"/>
  <c r="AU376" i="6"/>
  <c r="AF376" i="6"/>
  <c r="AR376" i="6"/>
  <c r="AS376" i="6"/>
  <c r="AB376" i="6"/>
  <c r="AX376" i="6"/>
  <c r="AV376" i="6"/>
  <c r="AZ376" i="6"/>
  <c r="AM376" i="6"/>
  <c r="AH376" i="6"/>
  <c r="BB376" i="6"/>
  <c r="AE376" i="6"/>
  <c r="AJ376" i="6"/>
  <c r="AP376" i="6"/>
  <c r="AT376" i="6"/>
  <c r="BA376" i="6"/>
  <c r="AI376" i="6"/>
  <c r="AD376" i="6"/>
  <c r="AY376" i="6"/>
  <c r="AC376" i="6"/>
  <c r="BF376" i="6"/>
  <c r="AQ376" i="6"/>
  <c r="BE376" i="6"/>
  <c r="AG376" i="6"/>
  <c r="AN376" i="6"/>
  <c r="BG376" i="6"/>
  <c r="AK376" i="6"/>
  <c r="H378" i="6"/>
  <c r="T378" i="5" s="1"/>
  <c r="G378" i="12" s="1"/>
  <c r="K377" i="12"/>
  <c r="J378" i="12"/>
  <c r="L378" i="12"/>
  <c r="G379" i="5"/>
  <c r="K375" i="5" s="1"/>
  <c r="E379" i="5"/>
  <c r="R379" i="5"/>
  <c r="B379" i="6"/>
  <c r="H379" i="5"/>
  <c r="AD379" i="5"/>
  <c r="B379" i="5"/>
  <c r="C380" i="5"/>
  <c r="F379" i="5"/>
  <c r="N379" i="5"/>
  <c r="D379" i="6" s="1"/>
  <c r="AE379" i="5"/>
  <c r="I379" i="5"/>
  <c r="W379" i="5"/>
  <c r="H379" i="12" s="1"/>
  <c r="A379" i="12"/>
  <c r="N377" i="6"/>
  <c r="M377" i="6"/>
  <c r="M378" i="6" l="1"/>
  <c r="BB378" i="6" s="1"/>
  <c r="K378" i="12"/>
  <c r="A379" i="6"/>
  <c r="M379" i="6"/>
  <c r="AO379" i="6" s="1"/>
  <c r="AT379" i="6"/>
  <c r="BF379" i="6"/>
  <c r="AZ379" i="6"/>
  <c r="G379" i="6"/>
  <c r="BD379" i="6"/>
  <c r="AS379" i="6"/>
  <c r="AR379" i="6"/>
  <c r="AQ379" i="6"/>
  <c r="BG379" i="6"/>
  <c r="BC379" i="6"/>
  <c r="BB379" i="6"/>
  <c r="AX379" i="6"/>
  <c r="AV379" i="6"/>
  <c r="AP379" i="6"/>
  <c r="N379" i="6"/>
  <c r="H379" i="6"/>
  <c r="AY379" i="6"/>
  <c r="AM379" i="6"/>
  <c r="AN379" i="6"/>
  <c r="BA379" i="6"/>
  <c r="BE379" i="6"/>
  <c r="AU379" i="6"/>
  <c r="F379" i="6"/>
  <c r="E379" i="12"/>
  <c r="BB377" i="6"/>
  <c r="AY377" i="6"/>
  <c r="AJ377" i="6"/>
  <c r="AQ377" i="6"/>
  <c r="BC377" i="6"/>
  <c r="AR377" i="6"/>
  <c r="AS377" i="6"/>
  <c r="BD377" i="6"/>
  <c r="AZ377" i="6"/>
  <c r="AH377" i="6"/>
  <c r="AT377" i="6"/>
  <c r="AB377" i="6"/>
  <c r="AX377" i="6"/>
  <c r="BE377" i="6"/>
  <c r="AD377" i="6"/>
  <c r="AM377" i="6"/>
  <c r="BA377" i="6"/>
  <c r="AE377" i="6"/>
  <c r="AP377" i="6"/>
  <c r="AF377" i="6"/>
  <c r="AO377" i="6"/>
  <c r="AG377" i="6"/>
  <c r="AC377" i="6"/>
  <c r="AI377" i="6"/>
  <c r="BG377" i="6"/>
  <c r="AU377" i="6"/>
  <c r="AN377" i="6"/>
  <c r="BF377" i="6"/>
  <c r="AK377" i="6"/>
  <c r="AV377" i="6"/>
  <c r="B380" i="6"/>
  <c r="AD380" i="5"/>
  <c r="D380" i="5"/>
  <c r="B380" i="12" s="1"/>
  <c r="J380" i="5"/>
  <c r="C381" i="5"/>
  <c r="E380" i="5"/>
  <c r="K380" i="5"/>
  <c r="A380" i="12"/>
  <c r="B380" i="5"/>
  <c r="F380" i="5"/>
  <c r="H380" i="5"/>
  <c r="N380" i="5"/>
  <c r="D380" i="6" s="1"/>
  <c r="H380" i="6" s="1"/>
  <c r="T380" i="5" s="1"/>
  <c r="G380" i="12" s="1"/>
  <c r="G380" i="5"/>
  <c r="AE380" i="5"/>
  <c r="AH379" i="6" l="1"/>
  <c r="AP378" i="6"/>
  <c r="AK378" i="6"/>
  <c r="AG378" i="6"/>
  <c r="AZ378" i="6"/>
  <c r="AN378" i="6"/>
  <c r="BG378" i="6"/>
  <c r="BE378" i="6"/>
  <c r="AB378" i="6"/>
  <c r="BC378" i="6"/>
  <c r="AS378" i="6"/>
  <c r="AH378" i="6"/>
  <c r="AX378" i="6"/>
  <c r="BD378" i="6"/>
  <c r="AU378" i="6"/>
  <c r="AJ378" i="6"/>
  <c r="AF378" i="6"/>
  <c r="AR378" i="6"/>
  <c r="BF378" i="6"/>
  <c r="BA378" i="6"/>
  <c r="AI378" i="6"/>
  <c r="AM378" i="6"/>
  <c r="AO378" i="6"/>
  <c r="AC378" i="6"/>
  <c r="AD378" i="6"/>
  <c r="AQ378" i="6"/>
  <c r="AY378" i="6"/>
  <c r="AE378" i="6"/>
  <c r="AT378" i="6"/>
  <c r="AV378" i="6"/>
  <c r="AI379" i="6"/>
  <c r="D381" i="5"/>
  <c r="B381" i="12" s="1"/>
  <c r="J381" i="5"/>
  <c r="E381" i="5"/>
  <c r="B381" i="5"/>
  <c r="F381" i="5"/>
  <c r="AE381" i="5"/>
  <c r="AD381" i="5"/>
  <c r="N381" i="5"/>
  <c r="D381" i="6" s="1"/>
  <c r="H381" i="6" s="1"/>
  <c r="T381" i="5" s="1"/>
  <c r="G381" i="12" s="1"/>
  <c r="G381" i="5"/>
  <c r="B381" i="6"/>
  <c r="A381" i="12"/>
  <c r="C382" i="5"/>
  <c r="H381" i="5"/>
  <c r="K381" i="5"/>
  <c r="L380" i="12"/>
  <c r="J380" i="12"/>
  <c r="T379" i="5"/>
  <c r="G379" i="12" s="1"/>
  <c r="AG379" i="6"/>
  <c r="AJ379" i="6"/>
  <c r="AF379" i="6"/>
  <c r="AB379" i="6"/>
  <c r="AC379" i="6"/>
  <c r="AD379" i="6"/>
  <c r="AE379" i="6"/>
  <c r="AK379" i="6"/>
  <c r="A380" i="6"/>
  <c r="K380" i="12" l="1"/>
  <c r="B382" i="6"/>
  <c r="C383" i="5"/>
  <c r="D382" i="5"/>
  <c r="B382" i="12" s="1"/>
  <c r="J382" i="5"/>
  <c r="F382" i="5"/>
  <c r="E382" i="5"/>
  <c r="H382" i="5"/>
  <c r="K382" i="5"/>
  <c r="N382" i="5"/>
  <c r="D382" i="6" s="1"/>
  <c r="B382" i="5"/>
  <c r="AE382" i="5"/>
  <c r="G382" i="5"/>
  <c r="AD382" i="5"/>
  <c r="A382" i="12"/>
  <c r="N380" i="6"/>
  <c r="M380" i="6"/>
  <c r="J381" i="12"/>
  <c r="L381" i="12"/>
  <c r="A381" i="6"/>
  <c r="N381" i="6" s="1"/>
  <c r="J382" i="12" l="1"/>
  <c r="L382" i="12"/>
  <c r="K381" i="12"/>
  <c r="D383" i="5"/>
  <c r="B383" i="12" s="1"/>
  <c r="AD383" i="5"/>
  <c r="AE383" i="5"/>
  <c r="F383" i="5"/>
  <c r="J383" i="5"/>
  <c r="B383" i="6"/>
  <c r="A383" i="12"/>
  <c r="B383" i="5"/>
  <c r="C384" i="5"/>
  <c r="K383" i="5"/>
  <c r="G383" i="5"/>
  <c r="E383" i="5"/>
  <c r="H383" i="5"/>
  <c r="N383" i="5"/>
  <c r="D383" i="6" s="1"/>
  <c r="H382" i="6"/>
  <c r="A382" i="6"/>
  <c r="N382" i="6" s="1"/>
  <c r="AC380" i="6"/>
  <c r="AJ380" i="6"/>
  <c r="BC380" i="6"/>
  <c r="BE380" i="6"/>
  <c r="AD380" i="6"/>
  <c r="AS380" i="6"/>
  <c r="AQ380" i="6"/>
  <c r="AN380" i="6"/>
  <c r="AM380" i="6"/>
  <c r="AH380" i="6"/>
  <c r="AK380" i="6"/>
  <c r="AR380" i="6"/>
  <c r="BB380" i="6"/>
  <c r="AO380" i="6"/>
  <c r="BG380" i="6"/>
  <c r="BF380" i="6"/>
  <c r="AF380" i="6"/>
  <c r="AY380" i="6"/>
  <c r="AE380" i="6"/>
  <c r="AB380" i="6"/>
  <c r="AP380" i="6"/>
  <c r="BA380" i="6"/>
  <c r="BD380" i="6"/>
  <c r="AU380" i="6"/>
  <c r="AG380" i="6"/>
  <c r="AI380" i="6"/>
  <c r="AX380" i="6"/>
  <c r="AV380" i="6"/>
  <c r="AT380" i="6"/>
  <c r="AZ380" i="6"/>
  <c r="M381" i="6"/>
  <c r="K317" i="5"/>
  <c r="J334" i="5"/>
  <c r="J318" i="5"/>
  <c r="D318" i="5" s="1"/>
  <c r="K382" i="12" l="1"/>
  <c r="AK381" i="6"/>
  <c r="BE381" i="6"/>
  <c r="AV381" i="6"/>
  <c r="AB381" i="6"/>
  <c r="AZ381" i="6"/>
  <c r="AN381" i="6"/>
  <c r="BA381" i="6"/>
  <c r="AO381" i="6"/>
  <c r="AU381" i="6"/>
  <c r="AG381" i="6"/>
  <c r="AJ381" i="6"/>
  <c r="BG381" i="6"/>
  <c r="AY381" i="6"/>
  <c r="AP381" i="6"/>
  <c r="AE381" i="6"/>
  <c r="AC381" i="6"/>
  <c r="AQ381" i="6"/>
  <c r="BB381" i="6"/>
  <c r="BC381" i="6"/>
  <c r="AM381" i="6"/>
  <c r="AH381" i="6"/>
  <c r="AF381" i="6"/>
  <c r="BD381" i="6"/>
  <c r="AT381" i="6"/>
  <c r="AI381" i="6"/>
  <c r="AX381" i="6"/>
  <c r="AD381" i="6"/>
  <c r="AR381" i="6"/>
  <c r="BF381" i="6"/>
  <c r="AS381" i="6"/>
  <c r="M382" i="6"/>
  <c r="G384" i="5"/>
  <c r="K384" i="5"/>
  <c r="AD384" i="5"/>
  <c r="J384" i="5"/>
  <c r="N384" i="5"/>
  <c r="D384" i="6" s="1"/>
  <c r="H384" i="6" s="1"/>
  <c r="T384" i="5" s="1"/>
  <c r="G384" i="12" s="1"/>
  <c r="AE384" i="5"/>
  <c r="C385" i="5"/>
  <c r="A384" i="12"/>
  <c r="D384" i="5"/>
  <c r="B384" i="12" s="1"/>
  <c r="E384" i="5"/>
  <c r="H384" i="5"/>
  <c r="F384" i="5"/>
  <c r="B384" i="6"/>
  <c r="B384" i="5"/>
  <c r="T382" i="5"/>
  <c r="G382" i="12" s="1"/>
  <c r="L383" i="12"/>
  <c r="J383" i="12"/>
  <c r="H383" i="6"/>
  <c r="A383" i="6"/>
  <c r="M383" i="6" s="1"/>
  <c r="AU383" i="6" s="1"/>
  <c r="B318" i="12"/>
  <c r="BD382" i="6" l="1"/>
  <c r="BC382" i="6"/>
  <c r="BF382" i="6"/>
  <c r="AZ382" i="6"/>
  <c r="BB382" i="6"/>
  <c r="AX382" i="6"/>
  <c r="AT382" i="6"/>
  <c r="AO382" i="6"/>
  <c r="AR382" i="6"/>
  <c r="AY382" i="6"/>
  <c r="AQ382" i="6"/>
  <c r="AN382" i="6"/>
  <c r="BA382" i="6"/>
  <c r="AS382" i="6"/>
  <c r="BE382" i="6"/>
  <c r="AM382" i="6"/>
  <c r="AU382" i="6"/>
  <c r="AV382" i="6"/>
  <c r="BG382" i="6"/>
  <c r="AP382" i="6"/>
  <c r="AQ383" i="6"/>
  <c r="AF382" i="6"/>
  <c r="AI383" i="6"/>
  <c r="L384" i="12"/>
  <c r="J384" i="12"/>
  <c r="AR383" i="6"/>
  <c r="AJ383" i="6"/>
  <c r="AB383" i="6"/>
  <c r="AV383" i="6"/>
  <c r="K383" i="12"/>
  <c r="H385" i="5"/>
  <c r="B385" i="5"/>
  <c r="D385" i="5"/>
  <c r="B385" i="12" s="1"/>
  <c r="C386" i="5"/>
  <c r="AE385" i="5"/>
  <c r="A385" i="12"/>
  <c r="F385" i="5"/>
  <c r="N385" i="5"/>
  <c r="D385" i="6" s="1"/>
  <c r="H385" i="6" s="1"/>
  <c r="T385" i="5" s="1"/>
  <c r="G385" i="12" s="1"/>
  <c r="J385" i="5"/>
  <c r="AD385" i="5"/>
  <c r="B385" i="6"/>
  <c r="G385" i="5"/>
  <c r="K385" i="5"/>
  <c r="E385" i="5"/>
  <c r="AJ382" i="6"/>
  <c r="AD383" i="6"/>
  <c r="AS383" i="6"/>
  <c r="AF383" i="6"/>
  <c r="AG383" i="6"/>
  <c r="AH382" i="6"/>
  <c r="AN383" i="6"/>
  <c r="BG383" i="6"/>
  <c r="BF383" i="6"/>
  <c r="AG382" i="6"/>
  <c r="AE383" i="6"/>
  <c r="BA383" i="6"/>
  <c r="AY383" i="6"/>
  <c r="T383" i="5"/>
  <c r="G383" i="12" s="1"/>
  <c r="AC383" i="6"/>
  <c r="AB382" i="6"/>
  <c r="AI382" i="6"/>
  <c r="N383" i="6"/>
  <c r="A384" i="6"/>
  <c r="AK382" i="6"/>
  <c r="BE383" i="6"/>
  <c r="AO383" i="6"/>
  <c r="BB383" i="6"/>
  <c r="AX383" i="6"/>
  <c r="AE382" i="6"/>
  <c r="AP383" i="6"/>
  <c r="BD383" i="6"/>
  <c r="AT383" i="6"/>
  <c r="AH383" i="6"/>
  <c r="AK383" i="6"/>
  <c r="AD382" i="6"/>
  <c r="BC383" i="6"/>
  <c r="AZ383" i="6"/>
  <c r="AM383" i="6"/>
  <c r="AC382" i="6"/>
  <c r="K384" i="12" l="1"/>
  <c r="M384" i="6"/>
  <c r="N384" i="6"/>
  <c r="J385" i="12"/>
  <c r="L385" i="12"/>
  <c r="D386" i="5"/>
  <c r="B386" i="12" s="1"/>
  <c r="AE386" i="5"/>
  <c r="B386" i="5"/>
  <c r="G386" i="5"/>
  <c r="C387" i="5"/>
  <c r="J386" i="5"/>
  <c r="A386" i="12"/>
  <c r="H386" i="5"/>
  <c r="K386" i="5"/>
  <c r="B386" i="6"/>
  <c r="N386" i="5"/>
  <c r="D386" i="6" s="1"/>
  <c r="H386" i="6" s="1"/>
  <c r="T386" i="5" s="1"/>
  <c r="G386" i="12" s="1"/>
  <c r="AD386" i="5"/>
  <c r="F386" i="5"/>
  <c r="E386" i="5"/>
  <c r="A385" i="6"/>
  <c r="K385" i="12" l="1"/>
  <c r="A386" i="6"/>
  <c r="M386" i="6" s="1"/>
  <c r="AG386" i="6" s="1"/>
  <c r="AD387" i="5"/>
  <c r="G387" i="5"/>
  <c r="K387" i="5"/>
  <c r="C388" i="5"/>
  <c r="A387" i="12"/>
  <c r="B387" i="5"/>
  <c r="F387" i="5"/>
  <c r="N387" i="5"/>
  <c r="D387" i="6" s="1"/>
  <c r="H387" i="6" s="1"/>
  <c r="T387" i="5" s="1"/>
  <c r="G387" i="12" s="1"/>
  <c r="D387" i="5"/>
  <c r="B387" i="12" s="1"/>
  <c r="J387" i="5"/>
  <c r="AE387" i="5"/>
  <c r="H387" i="5"/>
  <c r="B387" i="6"/>
  <c r="E387" i="5"/>
  <c r="M385" i="6"/>
  <c r="N385" i="6"/>
  <c r="L386" i="12"/>
  <c r="J386" i="12"/>
  <c r="BD384" i="6"/>
  <c r="BE384" i="6"/>
  <c r="AV384" i="6"/>
  <c r="AI384" i="6"/>
  <c r="AJ384" i="6"/>
  <c r="AM384" i="6"/>
  <c r="AF384" i="6"/>
  <c r="AX384" i="6"/>
  <c r="AH384" i="6"/>
  <c r="BF384" i="6"/>
  <c r="AB384" i="6"/>
  <c r="AO384" i="6"/>
  <c r="BC384" i="6"/>
  <c r="AQ384" i="6"/>
  <c r="AE384" i="6"/>
  <c r="AD384" i="6"/>
  <c r="AS384" i="6"/>
  <c r="BB384" i="6"/>
  <c r="AK384" i="6"/>
  <c r="AZ384" i="6"/>
  <c r="AG384" i="6"/>
  <c r="BA384" i="6"/>
  <c r="BG384" i="6"/>
  <c r="AC384" i="6"/>
  <c r="AY384" i="6"/>
  <c r="AN384" i="6"/>
  <c r="AT384" i="6"/>
  <c r="AP384" i="6"/>
  <c r="AU384" i="6"/>
  <c r="AR384" i="6"/>
  <c r="K334" i="5"/>
  <c r="D334" i="5" s="1"/>
  <c r="N386" i="6" l="1"/>
  <c r="K386" i="12"/>
  <c r="BB386" i="6"/>
  <c r="AJ386" i="6"/>
  <c r="AK386" i="6"/>
  <c r="BD386" i="6"/>
  <c r="AC386" i="6"/>
  <c r="AB386" i="6"/>
  <c r="AV386" i="6"/>
  <c r="AU386" i="6"/>
  <c r="AZ386" i="6"/>
  <c r="A387" i="6"/>
  <c r="J387" i="12"/>
  <c r="L387" i="12"/>
  <c r="AO386" i="6"/>
  <c r="BB385" i="6"/>
  <c r="BG385" i="6"/>
  <c r="AK385" i="6"/>
  <c r="AN385" i="6"/>
  <c r="AU385" i="6"/>
  <c r="AG385" i="6"/>
  <c r="AV385" i="6"/>
  <c r="AS385" i="6"/>
  <c r="AP385" i="6"/>
  <c r="AT385" i="6"/>
  <c r="BC385" i="6"/>
  <c r="AF385" i="6"/>
  <c r="AQ385" i="6"/>
  <c r="BA385" i="6"/>
  <c r="AC385" i="6"/>
  <c r="AI385" i="6"/>
  <c r="AY385" i="6"/>
  <c r="AZ385" i="6"/>
  <c r="AM385" i="6"/>
  <c r="BE385" i="6"/>
  <c r="AD385" i="6"/>
  <c r="AH385" i="6"/>
  <c r="BD385" i="6"/>
  <c r="AR385" i="6"/>
  <c r="AB385" i="6"/>
  <c r="AX385" i="6"/>
  <c r="AJ385" i="6"/>
  <c r="AO385" i="6"/>
  <c r="BF385" i="6"/>
  <c r="AE385" i="6"/>
  <c r="AE388" i="5"/>
  <c r="E388" i="5"/>
  <c r="C389" i="5"/>
  <c r="B388" i="6"/>
  <c r="F388" i="5"/>
  <c r="H388" i="5"/>
  <c r="A388" i="12"/>
  <c r="AD388" i="5"/>
  <c r="N388" i="5"/>
  <c r="D388" i="6" s="1"/>
  <c r="H388" i="6" s="1"/>
  <c r="T388" i="5" s="1"/>
  <c r="G388" i="12" s="1"/>
  <c r="K388" i="5"/>
  <c r="D388" i="5"/>
  <c r="B388" i="12" s="1"/>
  <c r="B388" i="5"/>
  <c r="J388" i="5"/>
  <c r="G388" i="5"/>
  <c r="AQ386" i="6"/>
  <c r="AD386" i="6"/>
  <c r="AH386" i="6"/>
  <c r="BE386" i="6"/>
  <c r="AM386" i="6"/>
  <c r="AE386" i="6"/>
  <c r="BG386" i="6"/>
  <c r="AX386" i="6"/>
  <c r="AI386" i="6"/>
  <c r="AY386" i="6"/>
  <c r="AR386" i="6"/>
  <c r="AN386" i="6"/>
  <c r="AS386" i="6"/>
  <c r="AF386" i="6"/>
  <c r="AP386" i="6"/>
  <c r="BF386" i="6"/>
  <c r="BA386" i="6"/>
  <c r="AT386" i="6"/>
  <c r="BC386" i="6"/>
  <c r="B334" i="12"/>
  <c r="K341" i="5"/>
  <c r="K387" i="12" l="1"/>
  <c r="A388" i="6"/>
  <c r="D389" i="5"/>
  <c r="B389" i="12" s="1"/>
  <c r="J389" i="5"/>
  <c r="N389" i="5"/>
  <c r="D389" i="6" s="1"/>
  <c r="H389" i="5"/>
  <c r="AE389" i="5"/>
  <c r="G389" i="5"/>
  <c r="B389" i="5"/>
  <c r="C390" i="5"/>
  <c r="B389" i="6"/>
  <c r="K389" i="5"/>
  <c r="E389" i="5"/>
  <c r="A389" i="12"/>
  <c r="AD389" i="5"/>
  <c r="F389" i="5"/>
  <c r="J388" i="12"/>
  <c r="L388" i="12"/>
  <c r="M387" i="6"/>
  <c r="N387" i="6"/>
  <c r="K388" i="12" l="1"/>
  <c r="J389" i="12"/>
  <c r="L389" i="12"/>
  <c r="H389" i="6"/>
  <c r="A389" i="6"/>
  <c r="N389" i="6" s="1"/>
  <c r="AT387" i="6"/>
  <c r="BC387" i="6"/>
  <c r="AZ387" i="6"/>
  <c r="BD387" i="6"/>
  <c r="AC387" i="6"/>
  <c r="AH387" i="6"/>
  <c r="AQ387" i="6"/>
  <c r="BE387" i="6"/>
  <c r="AD387" i="6"/>
  <c r="AG387" i="6"/>
  <c r="AP387" i="6"/>
  <c r="AM387" i="6"/>
  <c r="AU387" i="6"/>
  <c r="AR387" i="6"/>
  <c r="BF387" i="6"/>
  <c r="AI387" i="6"/>
  <c r="AO387" i="6"/>
  <c r="AB387" i="6"/>
  <c r="AS387" i="6"/>
  <c r="AE387" i="6"/>
  <c r="BA387" i="6"/>
  <c r="AX387" i="6"/>
  <c r="AF387" i="6"/>
  <c r="AK387" i="6"/>
  <c r="AY387" i="6"/>
  <c r="AV387" i="6"/>
  <c r="BB387" i="6"/>
  <c r="AJ387" i="6"/>
  <c r="BG387" i="6"/>
  <c r="AN387" i="6"/>
  <c r="E390" i="5"/>
  <c r="AD390" i="5"/>
  <c r="K390" i="5"/>
  <c r="AE390" i="5"/>
  <c r="B390" i="6"/>
  <c r="F390" i="5"/>
  <c r="N390" i="5"/>
  <c r="D390" i="6" s="1"/>
  <c r="H390" i="6" s="1"/>
  <c r="T390" i="5" s="1"/>
  <c r="G390" i="12" s="1"/>
  <c r="B390" i="5"/>
  <c r="C391" i="5" s="1"/>
  <c r="A390" i="12"/>
  <c r="J390" i="5"/>
  <c r="H390" i="5"/>
  <c r="G390" i="5"/>
  <c r="D390" i="5"/>
  <c r="B390" i="12" s="1"/>
  <c r="M388" i="6"/>
  <c r="N388" i="6"/>
  <c r="K389" i="12" l="1"/>
  <c r="A390" i="6"/>
  <c r="N390" i="6" s="1"/>
  <c r="BD388" i="6"/>
  <c r="BC388" i="6"/>
  <c r="AZ388" i="6"/>
  <c r="BF388" i="6"/>
  <c r="AU388" i="6"/>
  <c r="AR388" i="6"/>
  <c r="AJ388" i="6"/>
  <c r="BG388" i="6"/>
  <c r="BA388" i="6"/>
  <c r="AN388" i="6"/>
  <c r="BE388" i="6"/>
  <c r="AP388" i="6"/>
  <c r="AG388" i="6"/>
  <c r="AV388" i="6"/>
  <c r="AM388" i="6"/>
  <c r="AT388" i="6"/>
  <c r="AK388" i="6"/>
  <c r="AQ388" i="6"/>
  <c r="BB388" i="6"/>
  <c r="AI388" i="6"/>
  <c r="AS388" i="6"/>
  <c r="AX388" i="6"/>
  <c r="AF388" i="6"/>
  <c r="AB388" i="6"/>
  <c r="AO388" i="6"/>
  <c r="AY388" i="6"/>
  <c r="AC388" i="6"/>
  <c r="AE388" i="6"/>
  <c r="AD388" i="6"/>
  <c r="AH388" i="6"/>
  <c r="A391" i="12"/>
  <c r="H391" i="5"/>
  <c r="B391" i="6"/>
  <c r="A391" i="6" s="1"/>
  <c r="G391" i="5"/>
  <c r="AD391" i="5"/>
  <c r="W391" i="5"/>
  <c r="H391" i="12" s="1"/>
  <c r="I391" i="5"/>
  <c r="C392" i="5"/>
  <c r="B391" i="5"/>
  <c r="AE391" i="5"/>
  <c r="E391" i="5"/>
  <c r="F391" i="5"/>
  <c r="K340" i="5" s="1"/>
  <c r="N391" i="5"/>
  <c r="D391" i="6" s="1"/>
  <c r="R391" i="5"/>
  <c r="M389" i="6"/>
  <c r="T389" i="5"/>
  <c r="G389" i="12" s="1"/>
  <c r="J390" i="12"/>
  <c r="L390" i="12"/>
  <c r="M390" i="6" l="1"/>
  <c r="AH390" i="6" s="1"/>
  <c r="K390" i="12"/>
  <c r="AD392" i="5"/>
  <c r="E392" i="5"/>
  <c r="B392" i="5"/>
  <c r="K392" i="5"/>
  <c r="G392" i="5"/>
  <c r="N392" i="5"/>
  <c r="D392" i="6" s="1"/>
  <c r="H392" i="6" s="1"/>
  <c r="T392" i="5" s="1"/>
  <c r="G392" i="12" s="1"/>
  <c r="H392" i="5"/>
  <c r="A392" i="12"/>
  <c r="F392" i="5"/>
  <c r="C393" i="5"/>
  <c r="AE392" i="5"/>
  <c r="B392" i="6"/>
  <c r="J392" i="5"/>
  <c r="D392" i="5"/>
  <c r="B392" i="12" s="1"/>
  <c r="AF389" i="6"/>
  <c r="BF389" i="6"/>
  <c r="AS389" i="6"/>
  <c r="BC389" i="6"/>
  <c r="AU389" i="6"/>
  <c r="AQ389" i="6"/>
  <c r="BD389" i="6"/>
  <c r="BB389" i="6"/>
  <c r="AZ389" i="6"/>
  <c r="AY389" i="6"/>
  <c r="BG389" i="6"/>
  <c r="AO389" i="6"/>
  <c r="AM389" i="6"/>
  <c r="AN389" i="6"/>
  <c r="AV389" i="6"/>
  <c r="AR389" i="6"/>
  <c r="AX389" i="6"/>
  <c r="AP389" i="6"/>
  <c r="AI389" i="6"/>
  <c r="AD389" i="6"/>
  <c r="AB389" i="6"/>
  <c r="BA389" i="6"/>
  <c r="AT389" i="6"/>
  <c r="BE389" i="6"/>
  <c r="AE389" i="6"/>
  <c r="F391" i="6"/>
  <c r="E391" i="12"/>
  <c r="AK389" i="6"/>
  <c r="J379" i="5"/>
  <c r="J341" i="5"/>
  <c r="D341" i="5" s="1"/>
  <c r="B341" i="12" s="1"/>
  <c r="AJ389" i="6"/>
  <c r="AC389" i="6"/>
  <c r="AG389" i="6"/>
  <c r="AS391" i="6"/>
  <c r="AZ391" i="6"/>
  <c r="M391" i="6"/>
  <c r="AT391" i="6" s="1"/>
  <c r="BF391" i="6"/>
  <c r="BG391" i="6"/>
  <c r="BD391" i="6"/>
  <c r="BA391" i="6"/>
  <c r="AO391" i="6"/>
  <c r="N391" i="6"/>
  <c r="AR391" i="6"/>
  <c r="AV391" i="6"/>
  <c r="AX391" i="6"/>
  <c r="BE391" i="6"/>
  <c r="H391" i="6"/>
  <c r="BB391" i="6"/>
  <c r="AQ391" i="6"/>
  <c r="AU391" i="6"/>
  <c r="G391" i="6"/>
  <c r="BC391" i="6"/>
  <c r="AP391" i="6"/>
  <c r="AN391" i="6"/>
  <c r="AY391" i="6"/>
  <c r="AM391" i="6"/>
  <c r="AH389" i="6"/>
  <c r="AG390" i="6" l="1"/>
  <c r="AS390" i="6"/>
  <c r="BG390" i="6"/>
  <c r="AR390" i="6"/>
  <c r="BD390" i="6"/>
  <c r="BC390" i="6"/>
  <c r="AZ390" i="6"/>
  <c r="AY390" i="6"/>
  <c r="AI390" i="6"/>
  <c r="AN390" i="6"/>
  <c r="BB390" i="6"/>
  <c r="AO390" i="6"/>
  <c r="AU390" i="6"/>
  <c r="AB390" i="6"/>
  <c r="AM390" i="6"/>
  <c r="AX390" i="6"/>
  <c r="AE390" i="6"/>
  <c r="AC390" i="6"/>
  <c r="BF390" i="6"/>
  <c r="AF390" i="6"/>
  <c r="BA390" i="6"/>
  <c r="AV390" i="6"/>
  <c r="AD390" i="6"/>
  <c r="BE390" i="6"/>
  <c r="AP390" i="6"/>
  <c r="AT390" i="6"/>
  <c r="AK390" i="6"/>
  <c r="AJ390" i="6"/>
  <c r="AQ390" i="6"/>
  <c r="AD391" i="6"/>
  <c r="AJ391" i="6"/>
  <c r="AB391" i="6"/>
  <c r="AG391" i="6"/>
  <c r="L392" i="12"/>
  <c r="J392" i="12"/>
  <c r="AI391" i="6"/>
  <c r="AD393" i="5"/>
  <c r="D393" i="5"/>
  <c r="B393" i="12" s="1"/>
  <c r="K393" i="5"/>
  <c r="A393" i="12"/>
  <c r="B393" i="5"/>
  <c r="C394" i="5"/>
  <c r="B393" i="6"/>
  <c r="E393" i="5"/>
  <c r="F393" i="5"/>
  <c r="H393" i="5"/>
  <c r="J393" i="5"/>
  <c r="N393" i="5"/>
  <c r="D393" i="6" s="1"/>
  <c r="H393" i="6" s="1"/>
  <c r="T393" i="5" s="1"/>
  <c r="G393" i="12" s="1"/>
  <c r="AE393" i="5"/>
  <c r="G393" i="5"/>
  <c r="T391" i="5"/>
  <c r="G391" i="12" s="1"/>
  <c r="AH391" i="6"/>
  <c r="AF391" i="6"/>
  <c r="AK391" i="6"/>
  <c r="A392" i="6"/>
  <c r="AC391" i="6"/>
  <c r="AE391" i="6"/>
  <c r="K392" i="12" l="1"/>
  <c r="N392" i="6"/>
  <c r="M392" i="6"/>
  <c r="A393" i="6"/>
  <c r="F394" i="5"/>
  <c r="AD394" i="5"/>
  <c r="D394" i="5"/>
  <c r="B394" i="12" s="1"/>
  <c r="AE394" i="5"/>
  <c r="J394" i="5"/>
  <c r="C395" i="5"/>
  <c r="B394" i="6"/>
  <c r="N394" i="5"/>
  <c r="D394" i="6" s="1"/>
  <c r="H394" i="6" s="1"/>
  <c r="T394" i="5" s="1"/>
  <c r="G394" i="12" s="1"/>
  <c r="E394" i="5"/>
  <c r="K394" i="5"/>
  <c r="B394" i="5"/>
  <c r="H394" i="5"/>
  <c r="A394" i="12"/>
  <c r="G394" i="5"/>
  <c r="L393" i="12"/>
  <c r="J393" i="12"/>
  <c r="K393" i="12" l="1"/>
  <c r="A394" i="6"/>
  <c r="M394" i="6" s="1"/>
  <c r="AM394" i="6" s="1"/>
  <c r="L394" i="12"/>
  <c r="J394" i="12"/>
  <c r="N393" i="6"/>
  <c r="M393" i="6"/>
  <c r="AF392" i="6"/>
  <c r="AS392" i="6"/>
  <c r="BE392" i="6"/>
  <c r="AP392" i="6"/>
  <c r="AH392" i="6"/>
  <c r="AJ392" i="6"/>
  <c r="AX392" i="6"/>
  <c r="AU392" i="6"/>
  <c r="BF392" i="6"/>
  <c r="BC392" i="6"/>
  <c r="AV392" i="6"/>
  <c r="AC392" i="6"/>
  <c r="AR392" i="6"/>
  <c r="AD392" i="6"/>
  <c r="AY392" i="6"/>
  <c r="AK392" i="6"/>
  <c r="BA392" i="6"/>
  <c r="BB392" i="6"/>
  <c r="AO392" i="6"/>
  <c r="BG392" i="6"/>
  <c r="AG392" i="6"/>
  <c r="AT392" i="6"/>
  <c r="AZ392" i="6"/>
  <c r="AQ392" i="6"/>
  <c r="AE392" i="6"/>
  <c r="AN392" i="6"/>
  <c r="AM392" i="6"/>
  <c r="AI392" i="6"/>
  <c r="BD392" i="6"/>
  <c r="AB392" i="6"/>
  <c r="K395" i="5"/>
  <c r="C396" i="5"/>
  <c r="A395" i="12"/>
  <c r="B395" i="6"/>
  <c r="G395" i="5"/>
  <c r="AE395" i="5"/>
  <c r="E395" i="5"/>
  <c r="B395" i="5"/>
  <c r="H395" i="5"/>
  <c r="AD395" i="5"/>
  <c r="J395" i="5"/>
  <c r="D395" i="5"/>
  <c r="B395" i="12" s="1"/>
  <c r="N395" i="5"/>
  <c r="D395" i="6" s="1"/>
  <c r="H395" i="6" s="1"/>
  <c r="T395" i="5" s="1"/>
  <c r="G395" i="12" s="1"/>
  <c r="F395" i="5"/>
  <c r="N394" i="6" l="1"/>
  <c r="AS394" i="6"/>
  <c r="AK394" i="6"/>
  <c r="K394" i="12"/>
  <c r="BE394" i="6"/>
  <c r="BA394" i="6"/>
  <c r="AH394" i="6"/>
  <c r="AD394" i="6"/>
  <c r="AE394" i="6"/>
  <c r="AJ394" i="6"/>
  <c r="BC394" i="6"/>
  <c r="AR394" i="6"/>
  <c r="AG394" i="6"/>
  <c r="AV394" i="6"/>
  <c r="AX394" i="6"/>
  <c r="AU394" i="6"/>
  <c r="AB394" i="6"/>
  <c r="BD394" i="6"/>
  <c r="AT394" i="6"/>
  <c r="AI394" i="6"/>
  <c r="AZ394" i="6"/>
  <c r="AO394" i="6"/>
  <c r="BB394" i="6"/>
  <c r="AQ394" i="6"/>
  <c r="AY394" i="6"/>
  <c r="AC394" i="6"/>
  <c r="BG394" i="6"/>
  <c r="AN394" i="6"/>
  <c r="AF394" i="6"/>
  <c r="AP394" i="6"/>
  <c r="BF394" i="6"/>
  <c r="A395" i="6"/>
  <c r="M395" i="6" s="1"/>
  <c r="AZ395" i="6" s="1"/>
  <c r="AD393" i="6"/>
  <c r="AQ393" i="6"/>
  <c r="AR393" i="6"/>
  <c r="AE393" i="6"/>
  <c r="AB393" i="6"/>
  <c r="AN393" i="6"/>
  <c r="AP393" i="6"/>
  <c r="AH393" i="6"/>
  <c r="AC393" i="6"/>
  <c r="BE393" i="6"/>
  <c r="AJ393" i="6"/>
  <c r="AU393" i="6"/>
  <c r="AV393" i="6"/>
  <c r="AZ393" i="6"/>
  <c r="BC393" i="6"/>
  <c r="AI393" i="6"/>
  <c r="AK393" i="6"/>
  <c r="BB393" i="6"/>
  <c r="BD393" i="6"/>
  <c r="BF393" i="6"/>
  <c r="BG393" i="6"/>
  <c r="AS393" i="6"/>
  <c r="AG393" i="6"/>
  <c r="AX393" i="6"/>
  <c r="BA393" i="6"/>
  <c r="AY393" i="6"/>
  <c r="AM393" i="6"/>
  <c r="AO393" i="6"/>
  <c r="AT393" i="6"/>
  <c r="AF393" i="6"/>
  <c r="J395" i="12"/>
  <c r="L395" i="12"/>
  <c r="A396" i="12"/>
  <c r="B396" i="5"/>
  <c r="E396" i="5"/>
  <c r="G396" i="5"/>
  <c r="J396" i="5"/>
  <c r="H396" i="5"/>
  <c r="D396" i="5"/>
  <c r="B396" i="12" s="1"/>
  <c r="C397" i="5"/>
  <c r="F396" i="5"/>
  <c r="K396" i="5"/>
  <c r="AD396" i="5"/>
  <c r="N396" i="5"/>
  <c r="D396" i="6" s="1"/>
  <c r="B396" i="6"/>
  <c r="AE396" i="5"/>
  <c r="AU395" i="6" l="1"/>
  <c r="BF395" i="6"/>
  <c r="AF395" i="6"/>
  <c r="AY395" i="6"/>
  <c r="AQ395" i="6"/>
  <c r="BE395" i="6"/>
  <c r="AE395" i="6"/>
  <c r="AM395" i="6"/>
  <c r="AD395" i="6"/>
  <c r="AC395" i="6"/>
  <c r="AV395" i="6"/>
  <c r="AG395" i="6"/>
  <c r="AN395" i="6"/>
  <c r="BG395" i="6"/>
  <c r="AP395" i="6"/>
  <c r="AI395" i="6"/>
  <c r="BD395" i="6"/>
  <c r="BB395" i="6"/>
  <c r="AH395" i="6"/>
  <c r="AR395" i="6"/>
  <c r="AS395" i="6"/>
  <c r="AO395" i="6"/>
  <c r="AB395" i="6"/>
  <c r="AT395" i="6"/>
  <c r="AX395" i="6"/>
  <c r="BA395" i="6"/>
  <c r="BC395" i="6"/>
  <c r="AJ395" i="6"/>
  <c r="K395" i="12"/>
  <c r="AK395" i="6"/>
  <c r="N395" i="6"/>
  <c r="A396" i="6"/>
  <c r="M396" i="6" s="1"/>
  <c r="AJ396" i="6" s="1"/>
  <c r="H396" i="6"/>
  <c r="T396" i="5" s="1"/>
  <c r="G396" i="12" s="1"/>
  <c r="J396" i="12"/>
  <c r="L396" i="12"/>
  <c r="H397" i="5"/>
  <c r="K397" i="5"/>
  <c r="AD397" i="5"/>
  <c r="G397" i="5"/>
  <c r="B397" i="6"/>
  <c r="F397" i="5"/>
  <c r="C398" i="5"/>
  <c r="D397" i="5"/>
  <c r="B397" i="12" s="1"/>
  <c r="A397" i="12"/>
  <c r="B397" i="5"/>
  <c r="N397" i="5"/>
  <c r="D397" i="6" s="1"/>
  <c r="H397" i="6" s="1"/>
  <c r="T397" i="5" s="1"/>
  <c r="G397" i="12" s="1"/>
  <c r="AE397" i="5"/>
  <c r="J397" i="5"/>
  <c r="E397" i="5"/>
  <c r="A397" i="6" l="1"/>
  <c r="M397" i="6" s="1"/>
  <c r="AO397" i="6" s="1"/>
  <c r="K396" i="12"/>
  <c r="AE396" i="6"/>
  <c r="BA396" i="6"/>
  <c r="AI396" i="6"/>
  <c r="N396" i="6"/>
  <c r="AS396" i="6"/>
  <c r="AG396" i="6"/>
  <c r="AN396" i="6"/>
  <c r="AP396" i="6"/>
  <c r="BE396" i="6"/>
  <c r="L397" i="12"/>
  <c r="J397" i="12"/>
  <c r="BF396" i="6"/>
  <c r="AM396" i="6"/>
  <c r="AU396" i="6"/>
  <c r="BD396" i="6"/>
  <c r="AK396" i="6"/>
  <c r="AX396" i="6"/>
  <c r="AC396" i="6"/>
  <c r="AT396" i="6"/>
  <c r="AQ396" i="6"/>
  <c r="BG396" i="6"/>
  <c r="AH396" i="6"/>
  <c r="AB396" i="6"/>
  <c r="AD396" i="6"/>
  <c r="AV396" i="6"/>
  <c r="J398" i="5"/>
  <c r="AE398" i="5"/>
  <c r="N398" i="5"/>
  <c r="D398" i="6" s="1"/>
  <c r="H398" i="6" s="1"/>
  <c r="T398" i="5" s="1"/>
  <c r="G398" i="12" s="1"/>
  <c r="K398" i="5"/>
  <c r="F398" i="5"/>
  <c r="B398" i="6"/>
  <c r="A398" i="12"/>
  <c r="G398" i="5"/>
  <c r="B398" i="5"/>
  <c r="D398" i="5"/>
  <c r="B398" i="12" s="1"/>
  <c r="E398" i="5"/>
  <c r="C399" i="5"/>
  <c r="AD398" i="5"/>
  <c r="H398" i="5"/>
  <c r="AY396" i="6"/>
  <c r="BC396" i="6"/>
  <c r="AF396" i="6"/>
  <c r="AR396" i="6"/>
  <c r="AO396" i="6"/>
  <c r="AZ396" i="6"/>
  <c r="BB396" i="6"/>
  <c r="N397" i="6" l="1"/>
  <c r="A398" i="6"/>
  <c r="M398" i="6" s="1"/>
  <c r="AM398" i="6" s="1"/>
  <c r="AP397" i="6"/>
  <c r="AD397" i="6"/>
  <c r="AM397" i="6"/>
  <c r="AC397" i="6"/>
  <c r="BC397" i="6"/>
  <c r="AU397" i="6"/>
  <c r="AS397" i="6"/>
  <c r="AB397" i="6"/>
  <c r="AX397" i="6"/>
  <c r="BG397" i="6"/>
  <c r="AV397" i="6"/>
  <c r="BA397" i="6"/>
  <c r="AZ397" i="6"/>
  <c r="BF397" i="6"/>
  <c r="BD397" i="6"/>
  <c r="AY397" i="6"/>
  <c r="AH397" i="6"/>
  <c r="AK397" i="6"/>
  <c r="AE397" i="6"/>
  <c r="AT397" i="6"/>
  <c r="AF397" i="6"/>
  <c r="AI397" i="6"/>
  <c r="BB397" i="6"/>
  <c r="AQ397" i="6"/>
  <c r="AN397" i="6"/>
  <c r="BE397" i="6"/>
  <c r="AJ397" i="6"/>
  <c r="AR397" i="6"/>
  <c r="AG397" i="6"/>
  <c r="K397" i="12"/>
  <c r="J398" i="12"/>
  <c r="L398" i="12"/>
  <c r="AD399" i="5"/>
  <c r="H399" i="5"/>
  <c r="F399" i="5"/>
  <c r="D399" i="5"/>
  <c r="B399" i="12" s="1"/>
  <c r="B399" i="5"/>
  <c r="C400" i="5"/>
  <c r="E399" i="5"/>
  <c r="A399" i="12"/>
  <c r="J399" i="5"/>
  <c r="N399" i="5"/>
  <c r="D399" i="6" s="1"/>
  <c r="H399" i="6" s="1"/>
  <c r="T399" i="5" s="1"/>
  <c r="G399" i="12" s="1"/>
  <c r="B399" i="6"/>
  <c r="K399" i="5"/>
  <c r="AE399" i="5"/>
  <c r="G399" i="5"/>
  <c r="N398" i="6" l="1"/>
  <c r="AB398" i="6"/>
  <c r="BE398" i="6"/>
  <c r="AU398" i="6"/>
  <c r="AI398" i="6"/>
  <c r="AJ398" i="6"/>
  <c r="BA398" i="6"/>
  <c r="AS398" i="6"/>
  <c r="BG398" i="6"/>
  <c r="AK398" i="6"/>
  <c r="AP398" i="6"/>
  <c r="AZ398" i="6"/>
  <c r="AC398" i="6"/>
  <c r="AN398" i="6"/>
  <c r="BF398" i="6"/>
  <c r="AD398" i="6"/>
  <c r="AR398" i="6"/>
  <c r="AG398" i="6"/>
  <c r="BB398" i="6"/>
  <c r="AE398" i="6"/>
  <c r="AY398" i="6"/>
  <c r="AF398" i="6"/>
  <c r="BD398" i="6"/>
  <c r="AV398" i="6"/>
  <c r="AQ398" i="6"/>
  <c r="AX398" i="6"/>
  <c r="AO398" i="6"/>
  <c r="AH398" i="6"/>
  <c r="AT398" i="6"/>
  <c r="BC398" i="6"/>
  <c r="K398" i="12"/>
  <c r="A399" i="6"/>
  <c r="N399" i="6" s="1"/>
  <c r="J399" i="12"/>
  <c r="L399" i="12"/>
  <c r="B400" i="6"/>
  <c r="A400" i="12"/>
  <c r="K400" i="5"/>
  <c r="D400" i="5"/>
  <c r="B400" i="12" s="1"/>
  <c r="H400" i="5"/>
  <c r="N400" i="5"/>
  <c r="D400" i="6" s="1"/>
  <c r="H400" i="6" s="1"/>
  <c r="T400" i="5" s="1"/>
  <c r="G400" i="12" s="1"/>
  <c r="B400" i="5"/>
  <c r="F400" i="5"/>
  <c r="AD400" i="5"/>
  <c r="AE400" i="5"/>
  <c r="C401" i="5"/>
  <c r="G400" i="5"/>
  <c r="J400" i="5"/>
  <c r="E400" i="5"/>
  <c r="K399" i="12" l="1"/>
  <c r="G401" i="5"/>
  <c r="A401" i="12"/>
  <c r="H401" i="5"/>
  <c r="E401" i="5"/>
  <c r="J401" i="5"/>
  <c r="D401" i="5"/>
  <c r="B401" i="12" s="1"/>
  <c r="F401" i="5"/>
  <c r="C402" i="5"/>
  <c r="K401" i="5"/>
  <c r="B401" i="6"/>
  <c r="N401" i="5"/>
  <c r="D401" i="6" s="1"/>
  <c r="AE401" i="5"/>
  <c r="B401" i="5"/>
  <c r="AD401" i="5"/>
  <c r="L400" i="12"/>
  <c r="J400" i="12"/>
  <c r="A400" i="6"/>
  <c r="M399" i="6"/>
  <c r="K400" i="12" l="1"/>
  <c r="F402" i="5"/>
  <c r="J402" i="5"/>
  <c r="G402" i="5"/>
  <c r="AD402" i="5"/>
  <c r="H402" i="5"/>
  <c r="B402" i="5"/>
  <c r="N402" i="5"/>
  <c r="D402" i="6" s="1"/>
  <c r="H402" i="6" s="1"/>
  <c r="T402" i="5" s="1"/>
  <c r="G402" i="12" s="1"/>
  <c r="A402" i="12"/>
  <c r="B402" i="6"/>
  <c r="C403" i="5"/>
  <c r="K402" i="5"/>
  <c r="E402" i="5"/>
  <c r="D402" i="5"/>
  <c r="B402" i="12" s="1"/>
  <c r="AE402" i="5"/>
  <c r="M400" i="6"/>
  <c r="N400" i="6"/>
  <c r="AD399" i="6"/>
  <c r="BE399" i="6"/>
  <c r="AN399" i="6"/>
  <c r="AC399" i="6"/>
  <c r="AP399" i="6"/>
  <c r="AG399" i="6"/>
  <c r="AZ399" i="6"/>
  <c r="AQ399" i="6"/>
  <c r="AY399" i="6"/>
  <c r="AE399" i="6"/>
  <c r="BB399" i="6"/>
  <c r="BD399" i="6"/>
  <c r="BG399" i="6"/>
  <c r="AM399" i="6"/>
  <c r="AO399" i="6"/>
  <c r="AV399" i="6"/>
  <c r="AB399" i="6"/>
  <c r="AX399" i="6"/>
  <c r="BF399" i="6"/>
  <c r="AR399" i="6"/>
  <c r="AT399" i="6"/>
  <c r="AS399" i="6"/>
  <c r="AU399" i="6"/>
  <c r="AI399" i="6"/>
  <c r="AJ399" i="6"/>
  <c r="AF399" i="6"/>
  <c r="BA399" i="6"/>
  <c r="BC399" i="6"/>
  <c r="AK399" i="6"/>
  <c r="AH399" i="6"/>
  <c r="H401" i="6"/>
  <c r="A401" i="6"/>
  <c r="N401" i="6" s="1"/>
  <c r="L401" i="12"/>
  <c r="J401" i="12"/>
  <c r="K401" i="12" l="1"/>
  <c r="M401" i="6"/>
  <c r="AF401" i="6" s="1"/>
  <c r="AE400" i="6"/>
  <c r="BF400" i="6"/>
  <c r="BB400" i="6"/>
  <c r="AY400" i="6"/>
  <c r="AS400" i="6"/>
  <c r="AR400" i="6"/>
  <c r="BD400" i="6"/>
  <c r="AU400" i="6"/>
  <c r="AQ400" i="6"/>
  <c r="BG400" i="6"/>
  <c r="AT400" i="6"/>
  <c r="AM400" i="6"/>
  <c r="AP400" i="6"/>
  <c r="AI400" i="6"/>
  <c r="BA400" i="6"/>
  <c r="AJ400" i="6"/>
  <c r="AZ400" i="6"/>
  <c r="AO400" i="6"/>
  <c r="AX400" i="6"/>
  <c r="AC400" i="6"/>
  <c r="AG400" i="6"/>
  <c r="BE400" i="6"/>
  <c r="AN400" i="6"/>
  <c r="AB400" i="6"/>
  <c r="BC400" i="6"/>
  <c r="AF400" i="6"/>
  <c r="AK400" i="6"/>
  <c r="AH400" i="6"/>
  <c r="AV400" i="6"/>
  <c r="AD400" i="6"/>
  <c r="AE403" i="5"/>
  <c r="J403" i="5"/>
  <c r="C404" i="5"/>
  <c r="N403" i="5"/>
  <c r="D403" i="6" s="1"/>
  <c r="H403" i="6" s="1"/>
  <c r="T403" i="5" s="1"/>
  <c r="G403" i="12" s="1"/>
  <c r="B403" i="5"/>
  <c r="E403" i="5"/>
  <c r="H403" i="5"/>
  <c r="G403" i="5"/>
  <c r="F403" i="5"/>
  <c r="AD403" i="5"/>
  <c r="A403" i="12"/>
  <c r="B403" i="6"/>
  <c r="K403" i="5"/>
  <c r="D403" i="5"/>
  <c r="B403" i="12" s="1"/>
  <c r="T401" i="5"/>
  <c r="G401" i="12" s="1"/>
  <c r="A402" i="6"/>
  <c r="J402" i="12"/>
  <c r="L402" i="12"/>
  <c r="K402" i="12" l="1"/>
  <c r="AJ401" i="6"/>
  <c r="BB401" i="6"/>
  <c r="AU401" i="6"/>
  <c r="AX401" i="6"/>
  <c r="A403" i="6"/>
  <c r="N403" i="6" s="1"/>
  <c r="AP401" i="6"/>
  <c r="BE401" i="6"/>
  <c r="AM401" i="6"/>
  <c r="AK401" i="6"/>
  <c r="AD401" i="6"/>
  <c r="AZ401" i="6"/>
  <c r="AO401" i="6"/>
  <c r="AC401" i="6"/>
  <c r="AH401" i="6"/>
  <c r="AN401" i="6"/>
  <c r="BA401" i="6"/>
  <c r="AV401" i="6"/>
  <c r="AI401" i="6"/>
  <c r="AS401" i="6"/>
  <c r="AG401" i="6"/>
  <c r="BG401" i="6"/>
  <c r="BD401" i="6"/>
  <c r="BC401" i="6"/>
  <c r="AB401" i="6"/>
  <c r="AY401" i="6"/>
  <c r="AR401" i="6"/>
  <c r="AE401" i="6"/>
  <c r="AT401" i="6"/>
  <c r="BF401" i="6"/>
  <c r="AQ401" i="6"/>
  <c r="J403" i="12"/>
  <c r="L403" i="12"/>
  <c r="E404" i="5"/>
  <c r="K404" i="5"/>
  <c r="C405" i="5"/>
  <c r="N404" i="5"/>
  <c r="D404" i="6" s="1"/>
  <c r="H404" i="6" s="1"/>
  <c r="T404" i="5" s="1"/>
  <c r="G404" i="12" s="1"/>
  <c r="J404" i="5"/>
  <c r="B404" i="6"/>
  <c r="B404" i="5"/>
  <c r="AD404" i="5"/>
  <c r="H404" i="5"/>
  <c r="AE404" i="5"/>
  <c r="F404" i="5"/>
  <c r="D404" i="5"/>
  <c r="B404" i="12" s="1"/>
  <c r="G404" i="5"/>
  <c r="A404" i="12"/>
  <c r="N402" i="6"/>
  <c r="M402" i="6"/>
  <c r="M403" i="6" l="1"/>
  <c r="AF403" i="6" s="1"/>
  <c r="A404" i="6"/>
  <c r="M404" i="6" s="1"/>
  <c r="BB404" i="6" s="1"/>
  <c r="K403" i="12"/>
  <c r="C406" i="5"/>
  <c r="E405" i="5"/>
  <c r="D405" i="5"/>
  <c r="B405" i="12" s="1"/>
  <c r="N405" i="5"/>
  <c r="D405" i="6" s="1"/>
  <c r="H405" i="6" s="1"/>
  <c r="T405" i="5" s="1"/>
  <c r="G405" i="12" s="1"/>
  <c r="A405" i="12"/>
  <c r="J405" i="5"/>
  <c r="B405" i="5"/>
  <c r="K405" i="5"/>
  <c r="H405" i="5"/>
  <c r="AE405" i="5"/>
  <c r="G405" i="5"/>
  <c r="F405" i="5"/>
  <c r="B405" i="6"/>
  <c r="AD405" i="5"/>
  <c r="L404" i="12"/>
  <c r="J404" i="12"/>
  <c r="AB402" i="6"/>
  <c r="AV402" i="6"/>
  <c r="AS402" i="6"/>
  <c r="AE402" i="6"/>
  <c r="AJ402" i="6"/>
  <c r="AD402" i="6"/>
  <c r="AY402" i="6"/>
  <c r="BE402" i="6"/>
  <c r="AQ402" i="6"/>
  <c r="AP402" i="6"/>
  <c r="BF402" i="6"/>
  <c r="AZ402" i="6"/>
  <c r="AR402" i="6"/>
  <c r="BB402" i="6"/>
  <c r="AK402" i="6"/>
  <c r="AI402" i="6"/>
  <c r="AC402" i="6"/>
  <c r="AX402" i="6"/>
  <c r="BG402" i="6"/>
  <c r="AG402" i="6"/>
  <c r="AO402" i="6"/>
  <c r="BA402" i="6"/>
  <c r="BC402" i="6"/>
  <c r="BD402" i="6"/>
  <c r="AU402" i="6"/>
  <c r="AN402" i="6"/>
  <c r="AH402" i="6"/>
  <c r="AT402" i="6"/>
  <c r="AM402" i="6"/>
  <c r="AF402" i="6"/>
  <c r="N404" i="6" l="1"/>
  <c r="AD403" i="6"/>
  <c r="BF403" i="6"/>
  <c r="AT403" i="6"/>
  <c r="AN403" i="6"/>
  <c r="BD403" i="6"/>
  <c r="BC403" i="6"/>
  <c r="AK403" i="6"/>
  <c r="AY403" i="6"/>
  <c r="BB403" i="6"/>
  <c r="AX403" i="6"/>
  <c r="AR403" i="6"/>
  <c r="BA403" i="6"/>
  <c r="AG403" i="6"/>
  <c r="AB403" i="6"/>
  <c r="AQ403" i="6"/>
  <c r="AU403" i="6"/>
  <c r="BG403" i="6"/>
  <c r="AZ403" i="6"/>
  <c r="AE403" i="6"/>
  <c r="AH403" i="6"/>
  <c r="AJ403" i="6"/>
  <c r="AP403" i="6"/>
  <c r="AC403" i="6"/>
  <c r="AM403" i="6"/>
  <c r="AI403" i="6"/>
  <c r="BE403" i="6"/>
  <c r="AV403" i="6"/>
  <c r="AS403" i="6"/>
  <c r="AO403" i="6"/>
  <c r="AS404" i="6"/>
  <c r="AQ404" i="6"/>
  <c r="AF404" i="6"/>
  <c r="BD404" i="6"/>
  <c r="AV404" i="6"/>
  <c r="AB404" i="6"/>
  <c r="AD404" i="6"/>
  <c r="AG404" i="6"/>
  <c r="AT404" i="6"/>
  <c r="AK404" i="6"/>
  <c r="AR404" i="6"/>
  <c r="BA404" i="6"/>
  <c r="AH404" i="6"/>
  <c r="BG404" i="6"/>
  <c r="AO404" i="6"/>
  <c r="AC404" i="6"/>
  <c r="AP404" i="6"/>
  <c r="AJ404" i="6"/>
  <c r="AY404" i="6"/>
  <c r="BF404" i="6"/>
  <c r="AZ404" i="6"/>
  <c r="AM404" i="6"/>
  <c r="BC404" i="6"/>
  <c r="AX404" i="6"/>
  <c r="AU404" i="6"/>
  <c r="BE404" i="6"/>
  <c r="AE404" i="6"/>
  <c r="AN404" i="6"/>
  <c r="AI404" i="6"/>
  <c r="K404" i="12"/>
  <c r="G406" i="5"/>
  <c r="C407" i="5"/>
  <c r="N406" i="5"/>
  <c r="D406" i="6" s="1"/>
  <c r="H406" i="6" s="1"/>
  <c r="T406" i="5" s="1"/>
  <c r="G406" i="12" s="1"/>
  <c r="J406" i="5"/>
  <c r="A406" i="12"/>
  <c r="E406" i="5"/>
  <c r="D406" i="5"/>
  <c r="B406" i="12" s="1"/>
  <c r="H406" i="5"/>
  <c r="AE406" i="5"/>
  <c r="B406" i="6"/>
  <c r="AD406" i="5"/>
  <c r="F406" i="5"/>
  <c r="K406" i="5"/>
  <c r="B406" i="5"/>
  <c r="A405" i="6"/>
  <c r="N405" i="6" s="1"/>
  <c r="L405" i="12"/>
  <c r="J405" i="12"/>
  <c r="A406" i="6" l="1"/>
  <c r="J406" i="12"/>
  <c r="L406" i="12"/>
  <c r="F407" i="5"/>
  <c r="AD407" i="5"/>
  <c r="AE407" i="5"/>
  <c r="D407" i="5"/>
  <c r="B407" i="12" s="1"/>
  <c r="B407" i="6"/>
  <c r="E407" i="5"/>
  <c r="A407" i="12"/>
  <c r="C408" i="5"/>
  <c r="G407" i="5"/>
  <c r="K407" i="5"/>
  <c r="H407" i="5"/>
  <c r="N407" i="5"/>
  <c r="D407" i="6" s="1"/>
  <c r="H407" i="6" s="1"/>
  <c r="T407" i="5" s="1"/>
  <c r="G407" i="12" s="1"/>
  <c r="B407" i="5"/>
  <c r="J407" i="5"/>
  <c r="K405" i="12"/>
  <c r="M405" i="6"/>
  <c r="K406" i="12" l="1"/>
  <c r="A407" i="6"/>
  <c r="M407" i="6" s="1"/>
  <c r="AP407" i="6" s="1"/>
  <c r="M406" i="6"/>
  <c r="N406" i="6"/>
  <c r="E408" i="5"/>
  <c r="AE408" i="5"/>
  <c r="B408" i="5"/>
  <c r="AD408" i="5"/>
  <c r="A408" i="12"/>
  <c r="H408" i="5"/>
  <c r="N408" i="5"/>
  <c r="D408" i="6" s="1"/>
  <c r="H408" i="6" s="1"/>
  <c r="T408" i="5" s="1"/>
  <c r="G408" i="12" s="1"/>
  <c r="C409" i="5"/>
  <c r="B408" i="6"/>
  <c r="J408" i="5"/>
  <c r="G408" i="5"/>
  <c r="D408" i="5"/>
  <c r="B408" i="12" s="1"/>
  <c r="F408" i="5"/>
  <c r="K408" i="5"/>
  <c r="J407" i="12"/>
  <c r="L407" i="12"/>
  <c r="AO405" i="6"/>
  <c r="BF405" i="6"/>
  <c r="AY405" i="6"/>
  <c r="AH405" i="6"/>
  <c r="BB405" i="6"/>
  <c r="BD405" i="6"/>
  <c r="AG405" i="6"/>
  <c r="AJ405" i="6"/>
  <c r="AQ405" i="6"/>
  <c r="BA405" i="6"/>
  <c r="AR405" i="6"/>
  <c r="AT405" i="6"/>
  <c r="AI405" i="6"/>
  <c r="BE405" i="6"/>
  <c r="AN405" i="6"/>
  <c r="AE405" i="6"/>
  <c r="BC405" i="6"/>
  <c r="AM405" i="6"/>
  <c r="AD405" i="6"/>
  <c r="AC405" i="6"/>
  <c r="AZ405" i="6"/>
  <c r="AX405" i="6"/>
  <c r="AS405" i="6"/>
  <c r="AU405" i="6"/>
  <c r="AV405" i="6"/>
  <c r="AK405" i="6"/>
  <c r="BG405" i="6"/>
  <c r="AF405" i="6"/>
  <c r="AB405" i="6"/>
  <c r="AP405" i="6"/>
  <c r="AV407" i="6" l="1"/>
  <c r="AY407" i="6"/>
  <c r="AC407" i="6"/>
  <c r="BB407" i="6"/>
  <c r="AQ407" i="6"/>
  <c r="BG407" i="6"/>
  <c r="AG407" i="6"/>
  <c r="AZ407" i="6"/>
  <c r="AT407" i="6"/>
  <c r="BE407" i="6"/>
  <c r="AM407" i="6"/>
  <c r="AB407" i="6"/>
  <c r="AJ407" i="6"/>
  <c r="AO407" i="6"/>
  <c r="AS407" i="6"/>
  <c r="AK407" i="6"/>
  <c r="BC407" i="6"/>
  <c r="AU407" i="6"/>
  <c r="BA407" i="6"/>
  <c r="AR407" i="6"/>
  <c r="BD407" i="6"/>
  <c r="AE407" i="6"/>
  <c r="BF407" i="6"/>
  <c r="AK406" i="6"/>
  <c r="AM406" i="6"/>
  <c r="AZ406" i="6"/>
  <c r="AX406" i="6"/>
  <c r="BF406" i="6"/>
  <c r="AH406" i="6"/>
  <c r="AO406" i="6"/>
  <c r="AR406" i="6"/>
  <c r="BC406" i="6"/>
  <c r="AV406" i="6"/>
  <c r="BA406" i="6"/>
  <c r="AY406" i="6"/>
  <c r="AJ406" i="6"/>
  <c r="BE406" i="6"/>
  <c r="AG406" i="6"/>
  <c r="AB406" i="6"/>
  <c r="AI406" i="6"/>
  <c r="AS406" i="6"/>
  <c r="AF406" i="6"/>
  <c r="BD406" i="6"/>
  <c r="AC406" i="6"/>
  <c r="AD406" i="6"/>
  <c r="AE406" i="6"/>
  <c r="AQ406" i="6"/>
  <c r="AT406" i="6"/>
  <c r="BG406" i="6"/>
  <c r="AU406" i="6"/>
  <c r="BB406" i="6"/>
  <c r="AP406" i="6"/>
  <c r="AN406" i="6"/>
  <c r="AN407" i="6"/>
  <c r="AX407" i="6"/>
  <c r="AF407" i="6"/>
  <c r="AI407" i="6"/>
  <c r="AD407" i="6"/>
  <c r="AH407" i="6"/>
  <c r="N407" i="6"/>
  <c r="J408" i="12"/>
  <c r="L408" i="12"/>
  <c r="A408" i="6"/>
  <c r="K407" i="12"/>
  <c r="B409" i="5"/>
  <c r="H409" i="5"/>
  <c r="N409" i="5"/>
  <c r="D409" i="6" s="1"/>
  <c r="AE409" i="5"/>
  <c r="A409" i="12"/>
  <c r="F409" i="5"/>
  <c r="B409" i="6"/>
  <c r="J409" i="5"/>
  <c r="AD409" i="5"/>
  <c r="G409" i="5"/>
  <c r="C410" i="5"/>
  <c r="D409" i="5"/>
  <c r="B409" i="12" s="1"/>
  <c r="E409" i="5"/>
  <c r="K409" i="5"/>
  <c r="K408" i="12" l="1"/>
  <c r="A409" i="6"/>
  <c r="M409" i="6" s="1"/>
  <c r="BA409" i="6" s="1"/>
  <c r="AD410" i="5"/>
  <c r="N410" i="5"/>
  <c r="D410" i="6" s="1"/>
  <c r="H410" i="6" s="1"/>
  <c r="T410" i="5" s="1"/>
  <c r="G410" i="12" s="1"/>
  <c r="A410" i="12"/>
  <c r="E410" i="5"/>
  <c r="J410" i="5"/>
  <c r="G410" i="5"/>
  <c r="AE410" i="5"/>
  <c r="F410" i="5"/>
  <c r="K410" i="5"/>
  <c r="B410" i="6"/>
  <c r="C411" i="5"/>
  <c r="D410" i="5"/>
  <c r="B410" i="12" s="1"/>
  <c r="B410" i="5"/>
  <c r="H410" i="5"/>
  <c r="H409" i="6"/>
  <c r="N408" i="6"/>
  <c r="M408" i="6"/>
  <c r="L409" i="12"/>
  <c r="J409" i="12"/>
  <c r="A410" i="6" l="1"/>
  <c r="M410" i="6" s="1"/>
  <c r="AJ410" i="6" s="1"/>
  <c r="N409" i="6"/>
  <c r="K409" i="12"/>
  <c r="BF409" i="6"/>
  <c r="AP409" i="6"/>
  <c r="T409" i="5"/>
  <c r="G409" i="12" s="1"/>
  <c r="AC409" i="6"/>
  <c r="AF409" i="6"/>
  <c r="AE409" i="6"/>
  <c r="AH409" i="6"/>
  <c r="AK409" i="6"/>
  <c r="AG409" i="6"/>
  <c r="AD409" i="6"/>
  <c r="AI409" i="6"/>
  <c r="AJ409" i="6"/>
  <c r="AK408" i="6"/>
  <c r="BB408" i="6"/>
  <c r="BG408" i="6"/>
  <c r="AR408" i="6"/>
  <c r="AS408" i="6"/>
  <c r="AV408" i="6"/>
  <c r="AH408" i="6"/>
  <c r="AD408" i="6"/>
  <c r="AT408" i="6"/>
  <c r="AQ408" i="6"/>
  <c r="AC408" i="6"/>
  <c r="AB408" i="6"/>
  <c r="BE408" i="6"/>
  <c r="AX408" i="6"/>
  <c r="BF408" i="6"/>
  <c r="BC408" i="6"/>
  <c r="BD408" i="6"/>
  <c r="AO408" i="6"/>
  <c r="AN408" i="6"/>
  <c r="AM408" i="6"/>
  <c r="BA408" i="6"/>
  <c r="AU408" i="6"/>
  <c r="AE408" i="6"/>
  <c r="AI408" i="6"/>
  <c r="AF408" i="6"/>
  <c r="AY408" i="6"/>
  <c r="AG408" i="6"/>
  <c r="AP408" i="6"/>
  <c r="AZ408" i="6"/>
  <c r="AJ408" i="6"/>
  <c r="BE409" i="6"/>
  <c r="BD409" i="6"/>
  <c r="AB409" i="6"/>
  <c r="A411" i="12"/>
  <c r="K411" i="5"/>
  <c r="J411" i="5"/>
  <c r="N411" i="5"/>
  <c r="D411" i="6" s="1"/>
  <c r="H411" i="6" s="1"/>
  <c r="T411" i="5" s="1"/>
  <c r="G411" i="12" s="1"/>
  <c r="C412" i="5"/>
  <c r="B411" i="6"/>
  <c r="G411" i="5"/>
  <c r="F411" i="5"/>
  <c r="E411" i="5"/>
  <c r="H411" i="5"/>
  <c r="AD411" i="5"/>
  <c r="AE411" i="5"/>
  <c r="D411" i="5"/>
  <c r="B411" i="12" s="1"/>
  <c r="B411" i="5"/>
  <c r="J410" i="12"/>
  <c r="L410" i="12"/>
  <c r="AT409" i="6"/>
  <c r="BB409" i="6"/>
  <c r="BG409" i="6"/>
  <c r="AQ409" i="6"/>
  <c r="AU409" i="6"/>
  <c r="AS409" i="6"/>
  <c r="AZ409" i="6"/>
  <c r="AM409" i="6"/>
  <c r="AR409" i="6"/>
  <c r="AV409" i="6"/>
  <c r="AY409" i="6"/>
  <c r="AO409" i="6"/>
  <c r="BC409" i="6"/>
  <c r="AN409" i="6"/>
  <c r="AX409" i="6"/>
  <c r="N410" i="6" l="1"/>
  <c r="AT410" i="6"/>
  <c r="AK410" i="6"/>
  <c r="AP410" i="6"/>
  <c r="AR410" i="6"/>
  <c r="AV410" i="6"/>
  <c r="BG410" i="6"/>
  <c r="AS410" i="6"/>
  <c r="AQ410" i="6"/>
  <c r="AU410" i="6"/>
  <c r="AD410" i="6"/>
  <c r="AZ410" i="6"/>
  <c r="AH410" i="6"/>
  <c r="BA410" i="6"/>
  <c r="AC410" i="6"/>
  <c r="AI410" i="6"/>
  <c r="AM410" i="6"/>
  <c r="BC410" i="6"/>
  <c r="AF410" i="6"/>
  <c r="AG410" i="6"/>
  <c r="AB410" i="6"/>
  <c r="BB410" i="6"/>
  <c r="AN410" i="6"/>
  <c r="AE410" i="6"/>
  <c r="AX410" i="6"/>
  <c r="AO410" i="6"/>
  <c r="BF410" i="6"/>
  <c r="BD410" i="6"/>
  <c r="BE410" i="6"/>
  <c r="AY410" i="6"/>
  <c r="K410" i="12"/>
  <c r="N412" i="5"/>
  <c r="D412" i="6" s="1"/>
  <c r="B412" i="5"/>
  <c r="A412" i="12"/>
  <c r="AD412" i="5"/>
  <c r="K412" i="5"/>
  <c r="D412" i="5"/>
  <c r="B412" i="12" s="1"/>
  <c r="J412" i="5"/>
  <c r="C413" i="5"/>
  <c r="F412" i="5"/>
  <c r="H412" i="5"/>
  <c r="E412" i="5"/>
  <c r="B412" i="6"/>
  <c r="G412" i="5"/>
  <c r="AE412" i="5"/>
  <c r="J411" i="12"/>
  <c r="L411" i="12"/>
  <c r="A411" i="6"/>
  <c r="A412" i="6" l="1"/>
  <c r="N412" i="6" s="1"/>
  <c r="J412" i="12"/>
  <c r="L412" i="12"/>
  <c r="M411" i="6"/>
  <c r="N411" i="6"/>
  <c r="H412" i="6"/>
  <c r="K411" i="12"/>
  <c r="K413" i="5"/>
  <c r="N413" i="5"/>
  <c r="D413" i="6" s="1"/>
  <c r="F413" i="5"/>
  <c r="AE413" i="5"/>
  <c r="B413" i="5"/>
  <c r="AD413" i="5"/>
  <c r="A413" i="12"/>
  <c r="G413" i="5"/>
  <c r="D413" i="5"/>
  <c r="B413" i="12" s="1"/>
  <c r="E413" i="5"/>
  <c r="J413" i="5"/>
  <c r="C414" i="5"/>
  <c r="H413" i="5"/>
  <c r="B413" i="6"/>
  <c r="K412" i="12" l="1"/>
  <c r="M412" i="6"/>
  <c r="AR412" i="6" s="1"/>
  <c r="A413" i="6"/>
  <c r="N413" i="6" s="1"/>
  <c r="L413" i="12"/>
  <c r="J413" i="12"/>
  <c r="T412" i="5"/>
  <c r="G412" i="12" s="1"/>
  <c r="BF411" i="6"/>
  <c r="AP411" i="6"/>
  <c r="AE411" i="6"/>
  <c r="AF411" i="6"/>
  <c r="AM411" i="6"/>
  <c r="AO411" i="6"/>
  <c r="BG411" i="6"/>
  <c r="AX411" i="6"/>
  <c r="AC411" i="6"/>
  <c r="AV411" i="6"/>
  <c r="AK411" i="6"/>
  <c r="AN411" i="6"/>
  <c r="AH411" i="6"/>
  <c r="BE411" i="6"/>
  <c r="AY411" i="6"/>
  <c r="BD411" i="6"/>
  <c r="AZ411" i="6"/>
  <c r="AB411" i="6"/>
  <c r="AS411" i="6"/>
  <c r="AU411" i="6"/>
  <c r="AT411" i="6"/>
  <c r="AG411" i="6"/>
  <c r="BB411" i="6"/>
  <c r="BA411" i="6"/>
  <c r="AD411" i="6"/>
  <c r="AR411" i="6"/>
  <c r="BC411" i="6"/>
  <c r="AQ411" i="6"/>
  <c r="AI411" i="6"/>
  <c r="AJ411" i="6"/>
  <c r="B414" i="5"/>
  <c r="C415" i="5"/>
  <c r="K414" i="5"/>
  <c r="H414" i="5"/>
  <c r="F414" i="5"/>
  <c r="D414" i="5"/>
  <c r="B414" i="12" s="1"/>
  <c r="E414" i="5"/>
  <c r="N414" i="5"/>
  <c r="D414" i="6" s="1"/>
  <c r="AE414" i="5"/>
  <c r="G414" i="5"/>
  <c r="B414" i="6"/>
  <c r="AD414" i="5"/>
  <c r="A414" i="12"/>
  <c r="J414" i="5"/>
  <c r="H413" i="6"/>
  <c r="M413" i="6" l="1"/>
  <c r="AK413" i="6" s="1"/>
  <c r="AO412" i="6"/>
  <c r="AF412" i="6"/>
  <c r="AM412" i="6"/>
  <c r="BG412" i="6"/>
  <c r="AB412" i="6"/>
  <c r="AQ412" i="6"/>
  <c r="AT412" i="6"/>
  <c r="AV412" i="6"/>
  <c r="AN412" i="6"/>
  <c r="AZ412" i="6"/>
  <c r="AD412" i="6"/>
  <c r="AS412" i="6"/>
  <c r="AY412" i="6"/>
  <c r="BD412" i="6"/>
  <c r="AE412" i="6"/>
  <c r="AG412" i="6"/>
  <c r="BF412" i="6"/>
  <c r="AH412" i="6"/>
  <c r="AP412" i="6"/>
  <c r="AU412" i="6"/>
  <c r="BA412" i="6"/>
  <c r="AX412" i="6"/>
  <c r="AI412" i="6"/>
  <c r="AC412" i="6"/>
  <c r="BB412" i="6"/>
  <c r="BC412" i="6"/>
  <c r="AK412" i="6"/>
  <c r="AJ412" i="6"/>
  <c r="BE412" i="6"/>
  <c r="K413" i="12"/>
  <c r="H414" i="6"/>
  <c r="T413" i="5"/>
  <c r="G413" i="12" s="1"/>
  <c r="L414" i="12"/>
  <c r="J414" i="12"/>
  <c r="A414" i="6"/>
  <c r="M414" i="6" s="1"/>
  <c r="BF414" i="6" s="1"/>
  <c r="G415" i="5"/>
  <c r="A415" i="12"/>
  <c r="B415" i="6"/>
  <c r="B415" i="5"/>
  <c r="D415" i="5"/>
  <c r="B415" i="12" s="1"/>
  <c r="C416" i="5"/>
  <c r="AE415" i="5"/>
  <c r="F415" i="5"/>
  <c r="E415" i="5"/>
  <c r="AD415" i="5"/>
  <c r="H415" i="5"/>
  <c r="J415" i="5"/>
  <c r="N415" i="5"/>
  <c r="D415" i="6" s="1"/>
  <c r="H415" i="6" s="1"/>
  <c r="T415" i="5" s="1"/>
  <c r="G415" i="12" s="1"/>
  <c r="K415" i="5"/>
  <c r="AC413" i="6" l="1"/>
  <c r="AO413" i="6"/>
  <c r="AZ413" i="6"/>
  <c r="AB413" i="6"/>
  <c r="AY413" i="6"/>
  <c r="AU413" i="6"/>
  <c r="AX413" i="6"/>
  <c r="AI413" i="6"/>
  <c r="AD413" i="6"/>
  <c r="BC413" i="6"/>
  <c r="AT413" i="6"/>
  <c r="AV413" i="6"/>
  <c r="AJ413" i="6"/>
  <c r="AP413" i="6"/>
  <c r="AR413" i="6"/>
  <c r="AS413" i="6"/>
  <c r="AQ413" i="6"/>
  <c r="BB413" i="6"/>
  <c r="BE413" i="6"/>
  <c r="BA413" i="6"/>
  <c r="AH413" i="6"/>
  <c r="BF413" i="6"/>
  <c r="BG413" i="6"/>
  <c r="AN413" i="6"/>
  <c r="AE413" i="6"/>
  <c r="AG413" i="6"/>
  <c r="AM413" i="6"/>
  <c r="BD413" i="6"/>
  <c r="AF413" i="6"/>
  <c r="K414" i="12"/>
  <c r="AH414" i="6"/>
  <c r="AM414" i="6"/>
  <c r="BA414" i="6"/>
  <c r="AJ414" i="6"/>
  <c r="AR414" i="6"/>
  <c r="J415" i="12"/>
  <c r="L415" i="12"/>
  <c r="AZ414" i="6"/>
  <c r="AO414" i="6"/>
  <c r="AI414" i="6"/>
  <c r="BC414" i="6"/>
  <c r="AS414" i="6"/>
  <c r="AV414" i="6"/>
  <c r="A416" i="12"/>
  <c r="B416" i="5"/>
  <c r="B416" i="6"/>
  <c r="N416" i="5"/>
  <c r="D416" i="6" s="1"/>
  <c r="H416" i="6" s="1"/>
  <c r="T416" i="5" s="1"/>
  <c r="G416" i="12" s="1"/>
  <c r="AE416" i="5"/>
  <c r="K416" i="5"/>
  <c r="H416" i="5"/>
  <c r="C417" i="5"/>
  <c r="E416" i="5"/>
  <c r="AD416" i="5"/>
  <c r="D416" i="5"/>
  <c r="B416" i="12" s="1"/>
  <c r="G416" i="5"/>
  <c r="F416" i="5"/>
  <c r="J416" i="5"/>
  <c r="BE414" i="6"/>
  <c r="AN414" i="6"/>
  <c r="AC414" i="6"/>
  <c r="AG414" i="6"/>
  <c r="AE414" i="6"/>
  <c r="AP414" i="6"/>
  <c r="AX414" i="6"/>
  <c r="AY414" i="6"/>
  <c r="BG414" i="6"/>
  <c r="AQ414" i="6"/>
  <c r="AU414" i="6"/>
  <c r="BD414" i="6"/>
  <c r="AK414" i="6"/>
  <c r="AT414" i="6"/>
  <c r="T414" i="5"/>
  <c r="G414" i="12" s="1"/>
  <c r="AB414" i="6"/>
  <c r="A415" i="6"/>
  <c r="BB414" i="6"/>
  <c r="AF414" i="6"/>
  <c r="AD414" i="6"/>
  <c r="N414" i="6"/>
  <c r="A416" i="6" l="1"/>
  <c r="M416" i="6" s="1"/>
  <c r="AZ416" i="6" s="1"/>
  <c r="K415" i="12"/>
  <c r="J416" i="12"/>
  <c r="L416" i="12"/>
  <c r="G417" i="5"/>
  <c r="N417" i="5"/>
  <c r="D417" i="6" s="1"/>
  <c r="F417" i="5"/>
  <c r="J417" i="5"/>
  <c r="AD417" i="5"/>
  <c r="H417" i="5"/>
  <c r="C418" i="5"/>
  <c r="D417" i="5"/>
  <c r="B417" i="12" s="1"/>
  <c r="AE417" i="5"/>
  <c r="K417" i="5"/>
  <c r="B417" i="5"/>
  <c r="E417" i="5"/>
  <c r="A417" i="12"/>
  <c r="B417" i="6"/>
  <c r="N415" i="6"/>
  <c r="M415" i="6"/>
  <c r="N416" i="6" l="1"/>
  <c r="AD416" i="6"/>
  <c r="AM416" i="6"/>
  <c r="AN416" i="6"/>
  <c r="BG416" i="6"/>
  <c r="AQ416" i="6"/>
  <c r="AT416" i="6"/>
  <c r="BB416" i="6"/>
  <c r="BE416" i="6"/>
  <c r="AE416" i="6"/>
  <c r="BD416" i="6"/>
  <c r="AR416" i="6"/>
  <c r="AS416" i="6"/>
  <c r="AV416" i="6"/>
  <c r="BF416" i="6"/>
  <c r="AI416" i="6"/>
  <c r="BA416" i="6"/>
  <c r="AJ416" i="6"/>
  <c r="AP416" i="6"/>
  <c r="AU416" i="6"/>
  <c r="AC416" i="6"/>
  <c r="AF416" i="6"/>
  <c r="AX416" i="6"/>
  <c r="AH416" i="6"/>
  <c r="AY416" i="6"/>
  <c r="BC416" i="6"/>
  <c r="AK416" i="6"/>
  <c r="AO416" i="6"/>
  <c r="AG416" i="6"/>
  <c r="AB416" i="6"/>
  <c r="H417" i="6"/>
  <c r="A418" i="12"/>
  <c r="E418" i="5"/>
  <c r="K418" i="5"/>
  <c r="J418" i="5"/>
  <c r="G418" i="5"/>
  <c r="N418" i="5"/>
  <c r="D418" i="6" s="1"/>
  <c r="AD418" i="5"/>
  <c r="B418" i="6"/>
  <c r="B418" i="5"/>
  <c r="F418" i="5"/>
  <c r="C419" i="5"/>
  <c r="D418" i="5"/>
  <c r="B418" i="12" s="1"/>
  <c r="AE418" i="5"/>
  <c r="H418" i="5"/>
  <c r="BA415" i="6"/>
  <c r="BB415" i="6"/>
  <c r="AG415" i="6"/>
  <c r="AC415" i="6"/>
  <c r="AJ415" i="6"/>
  <c r="AN415" i="6"/>
  <c r="BE415" i="6"/>
  <c r="AZ415" i="6"/>
  <c r="AF415" i="6"/>
  <c r="AT415" i="6"/>
  <c r="AQ415" i="6"/>
  <c r="AU415" i="6"/>
  <c r="AE415" i="6"/>
  <c r="BC415" i="6"/>
  <c r="AS415" i="6"/>
  <c r="AH415" i="6"/>
  <c r="BD415" i="6"/>
  <c r="AM415" i="6"/>
  <c r="AX415" i="6"/>
  <c r="AR415" i="6"/>
  <c r="BF415" i="6"/>
  <c r="AB415" i="6"/>
  <c r="AK415" i="6"/>
  <c r="AD415" i="6"/>
  <c r="BG415" i="6"/>
  <c r="AP415" i="6"/>
  <c r="AV415" i="6"/>
  <c r="AI415" i="6"/>
  <c r="AO415" i="6"/>
  <c r="AY415" i="6"/>
  <c r="A417" i="6"/>
  <c r="N417" i="6" s="1"/>
  <c r="J417" i="12"/>
  <c r="L417" i="12"/>
  <c r="K416" i="12"/>
  <c r="H418" i="6" l="1"/>
  <c r="D419" i="5"/>
  <c r="B419" i="12" s="1"/>
  <c r="B419" i="6"/>
  <c r="AD419" i="5"/>
  <c r="J419" i="5"/>
  <c r="B419" i="5"/>
  <c r="F419" i="5"/>
  <c r="E419" i="5"/>
  <c r="N419" i="5"/>
  <c r="D419" i="6" s="1"/>
  <c r="AE419" i="5"/>
  <c r="A419" i="12"/>
  <c r="G419" i="5"/>
  <c r="K419" i="5"/>
  <c r="C420" i="5"/>
  <c r="H419" i="5"/>
  <c r="L418" i="12"/>
  <c r="J418" i="12"/>
  <c r="A418" i="6"/>
  <c r="N418" i="6" s="1"/>
  <c r="T417" i="5"/>
  <c r="G417" i="12" s="1"/>
  <c r="K417" i="12"/>
  <c r="M417" i="6"/>
  <c r="AY417" i="6" l="1"/>
  <c r="BE417" i="6"/>
  <c r="AT417" i="6"/>
  <c r="AS417" i="6"/>
  <c r="BG417" i="6"/>
  <c r="AX417" i="6"/>
  <c r="AM417" i="6"/>
  <c r="AQ417" i="6"/>
  <c r="BC417" i="6"/>
  <c r="AO417" i="6"/>
  <c r="BA417" i="6"/>
  <c r="AP417" i="6"/>
  <c r="AR417" i="6"/>
  <c r="BB417" i="6"/>
  <c r="AV417" i="6"/>
  <c r="AZ417" i="6"/>
  <c r="AU417" i="6"/>
  <c r="BF417" i="6"/>
  <c r="BD417" i="6"/>
  <c r="AN417" i="6"/>
  <c r="AK417" i="6"/>
  <c r="D420" i="5"/>
  <c r="B420" i="12" s="1"/>
  <c r="H420" i="5"/>
  <c r="B420" i="5"/>
  <c r="E420" i="5"/>
  <c r="F420" i="5"/>
  <c r="AE420" i="5"/>
  <c r="A420" i="12"/>
  <c r="G420" i="5"/>
  <c r="K420" i="5"/>
  <c r="AD420" i="5"/>
  <c r="B420" i="6"/>
  <c r="C421" i="5"/>
  <c r="N420" i="5"/>
  <c r="D420" i="6" s="1"/>
  <c r="H420" i="6" s="1"/>
  <c r="T420" i="5" s="1"/>
  <c r="G420" i="12" s="1"/>
  <c r="J420" i="5"/>
  <c r="AB417" i="6"/>
  <c r="AH417" i="6"/>
  <c r="AD417" i="6"/>
  <c r="AF417" i="6"/>
  <c r="AC417" i="6"/>
  <c r="AG417" i="6"/>
  <c r="L419" i="12"/>
  <c r="J419" i="12"/>
  <c r="A419" i="6"/>
  <c r="N419" i="6" s="1"/>
  <c r="AI417" i="6"/>
  <c r="AJ417" i="6"/>
  <c r="H419" i="6"/>
  <c r="T418" i="5"/>
  <c r="G418" i="12" s="1"/>
  <c r="AE417" i="6"/>
  <c r="K418" i="12"/>
  <c r="M418" i="6"/>
  <c r="AC418" i="6" s="1"/>
  <c r="K419" i="12" l="1"/>
  <c r="M419" i="6"/>
  <c r="BC419" i="6" s="1"/>
  <c r="A420" i="6"/>
  <c r="AJ418" i="6"/>
  <c r="T419" i="5"/>
  <c r="G419" i="12" s="1"/>
  <c r="BC418" i="6"/>
  <c r="BA418" i="6"/>
  <c r="AQ418" i="6"/>
  <c r="AO418" i="6"/>
  <c r="AP418" i="6"/>
  <c r="AY418" i="6"/>
  <c r="AU418" i="6"/>
  <c r="AR418" i="6"/>
  <c r="AS418" i="6"/>
  <c r="AM418" i="6"/>
  <c r="BG418" i="6"/>
  <c r="AZ418" i="6"/>
  <c r="BD418" i="6"/>
  <c r="BB418" i="6"/>
  <c r="BE418" i="6"/>
  <c r="BF418" i="6"/>
  <c r="AV418" i="6"/>
  <c r="AT418" i="6"/>
  <c r="AN418" i="6"/>
  <c r="AX418" i="6"/>
  <c r="AH418" i="6"/>
  <c r="AB418" i="6"/>
  <c r="AG418" i="6"/>
  <c r="L420" i="12"/>
  <c r="J420" i="12"/>
  <c r="AF418" i="6"/>
  <c r="AD418" i="6"/>
  <c r="AE418" i="6"/>
  <c r="AI418" i="6"/>
  <c r="AK418" i="6"/>
  <c r="AD421" i="5"/>
  <c r="B421" i="5"/>
  <c r="F421" i="5"/>
  <c r="C422" i="5"/>
  <c r="J421" i="5"/>
  <c r="N421" i="5"/>
  <c r="D421" i="6" s="1"/>
  <c r="G421" i="5"/>
  <c r="A421" i="12"/>
  <c r="B421" i="6"/>
  <c r="E421" i="5"/>
  <c r="D421" i="5"/>
  <c r="B421" i="12" s="1"/>
  <c r="AE421" i="5"/>
  <c r="K421" i="5"/>
  <c r="H421" i="5"/>
  <c r="AB419" i="6" l="1"/>
  <c r="BG419" i="6"/>
  <c r="AF419" i="6"/>
  <c r="AS419" i="6"/>
  <c r="AU419" i="6"/>
  <c r="AH419" i="6"/>
  <c r="AY419" i="6"/>
  <c r="AO419" i="6"/>
  <c r="BF419" i="6"/>
  <c r="AT419" i="6"/>
  <c r="AI419" i="6"/>
  <c r="BE419" i="6"/>
  <c r="AV419" i="6"/>
  <c r="BA419" i="6"/>
  <c r="AE419" i="6"/>
  <c r="AR419" i="6"/>
  <c r="AG419" i="6"/>
  <c r="BD419" i="6"/>
  <c r="AM419" i="6"/>
  <c r="AX419" i="6"/>
  <c r="AC419" i="6"/>
  <c r="AJ419" i="6"/>
  <c r="BB419" i="6"/>
  <c r="AQ419" i="6"/>
  <c r="AZ419" i="6"/>
  <c r="A421" i="6"/>
  <c r="M421" i="6" s="1"/>
  <c r="BB421" i="6" s="1"/>
  <c r="AD419" i="6"/>
  <c r="AP419" i="6"/>
  <c r="AK419" i="6"/>
  <c r="AN419" i="6"/>
  <c r="K420" i="12"/>
  <c r="H421" i="6"/>
  <c r="M420" i="6"/>
  <c r="N420" i="6"/>
  <c r="E422" i="5"/>
  <c r="H422" i="5"/>
  <c r="F422" i="5"/>
  <c r="K422" i="5"/>
  <c r="C423" i="5"/>
  <c r="G422" i="5"/>
  <c r="AD422" i="5"/>
  <c r="B422" i="6"/>
  <c r="D422" i="5"/>
  <c r="B422" i="12" s="1"/>
  <c r="N422" i="5"/>
  <c r="D422" i="6" s="1"/>
  <c r="A422" i="12"/>
  <c r="AE422" i="5"/>
  <c r="J422" i="5"/>
  <c r="B422" i="5"/>
  <c r="L421" i="12"/>
  <c r="J421" i="12"/>
  <c r="N421" i="6" l="1"/>
  <c r="AR421" i="6"/>
  <c r="AU421" i="6"/>
  <c r="AN421" i="6"/>
  <c r="AQ421" i="6"/>
  <c r="A422" i="6"/>
  <c r="N422" i="6" s="1"/>
  <c r="BC421" i="6"/>
  <c r="BE421" i="6"/>
  <c r="AX421" i="6"/>
  <c r="BA421" i="6"/>
  <c r="AV421" i="6"/>
  <c r="AM421" i="6"/>
  <c r="AY421" i="6"/>
  <c r="AO421" i="6"/>
  <c r="BD421" i="6"/>
  <c r="AP421" i="6"/>
  <c r="AT421" i="6"/>
  <c r="BF421" i="6"/>
  <c r="AS421" i="6"/>
  <c r="BG421" i="6"/>
  <c r="AZ421" i="6"/>
  <c r="T421" i="5"/>
  <c r="G421" i="12" s="1"/>
  <c r="AD421" i="6"/>
  <c r="AH421" i="6"/>
  <c r="AI421" i="6"/>
  <c r="AB421" i="6"/>
  <c r="AE421" i="6"/>
  <c r="AJ421" i="6"/>
  <c r="AK421" i="6"/>
  <c r="AF421" i="6"/>
  <c r="AC421" i="6"/>
  <c r="AG421" i="6"/>
  <c r="AZ420" i="6"/>
  <c r="AR420" i="6"/>
  <c r="BB420" i="6"/>
  <c r="AX420" i="6"/>
  <c r="AG420" i="6"/>
  <c r="BG420" i="6"/>
  <c r="AI420" i="6"/>
  <c r="AB420" i="6"/>
  <c r="AT420" i="6"/>
  <c r="AS420" i="6"/>
  <c r="AO420" i="6"/>
  <c r="AK420" i="6"/>
  <c r="AQ420" i="6"/>
  <c r="AN420" i="6"/>
  <c r="AD420" i="6"/>
  <c r="BA420" i="6"/>
  <c r="AH420" i="6"/>
  <c r="AF420" i="6"/>
  <c r="BC420" i="6"/>
  <c r="AY420" i="6"/>
  <c r="AU420" i="6"/>
  <c r="AP420" i="6"/>
  <c r="AC420" i="6"/>
  <c r="BE420" i="6"/>
  <c r="AM420" i="6"/>
  <c r="AE420" i="6"/>
  <c r="BF420" i="6"/>
  <c r="AV420" i="6"/>
  <c r="BD420" i="6"/>
  <c r="AJ420" i="6"/>
  <c r="D423" i="5"/>
  <c r="B423" i="12" s="1"/>
  <c r="E423" i="5"/>
  <c r="B423" i="5"/>
  <c r="B423" i="6"/>
  <c r="H423" i="5"/>
  <c r="K423" i="5"/>
  <c r="AE423" i="5"/>
  <c r="A423" i="12"/>
  <c r="N423" i="5"/>
  <c r="D423" i="6" s="1"/>
  <c r="H423" i="6" s="1"/>
  <c r="T423" i="5" s="1"/>
  <c r="G423" i="12" s="1"/>
  <c r="C424" i="5"/>
  <c r="J423" i="5"/>
  <c r="AD423" i="5"/>
  <c r="F423" i="5"/>
  <c r="G423" i="5"/>
  <c r="K421" i="12"/>
  <c r="L422" i="12"/>
  <c r="J422" i="12"/>
  <c r="H422" i="6"/>
  <c r="M422" i="6" l="1"/>
  <c r="BF422" i="6" s="1"/>
  <c r="A423" i="6"/>
  <c r="T422" i="5"/>
  <c r="G422" i="12" s="1"/>
  <c r="AE424" i="5"/>
  <c r="K424" i="5"/>
  <c r="AD424" i="5"/>
  <c r="C425" i="5"/>
  <c r="G424" i="5"/>
  <c r="B424" i="6"/>
  <c r="H424" i="5"/>
  <c r="F424" i="5"/>
  <c r="B424" i="5"/>
  <c r="D424" i="5"/>
  <c r="B424" i="12" s="1"/>
  <c r="N424" i="5"/>
  <c r="D424" i="6" s="1"/>
  <c r="H424" i="6" s="1"/>
  <c r="T424" i="5" s="1"/>
  <c r="G424" i="12" s="1"/>
  <c r="J424" i="5"/>
  <c r="A424" i="12"/>
  <c r="E424" i="5"/>
  <c r="K422" i="12"/>
  <c r="L423" i="12"/>
  <c r="J423" i="12"/>
  <c r="AY422" i="6" l="1"/>
  <c r="AJ422" i="6"/>
  <c r="AI422" i="6"/>
  <c r="AV422" i="6"/>
  <c r="AU422" i="6"/>
  <c r="AG422" i="6"/>
  <c r="BG422" i="6"/>
  <c r="AX422" i="6"/>
  <c r="AD422" i="6"/>
  <c r="AC422" i="6"/>
  <c r="AH422" i="6"/>
  <c r="BB422" i="6"/>
  <c r="AT422" i="6"/>
  <c r="BE422" i="6"/>
  <c r="A424" i="6"/>
  <c r="M424" i="6" s="1"/>
  <c r="BF424" i="6" s="1"/>
  <c r="AB422" i="6"/>
  <c r="AM422" i="6"/>
  <c r="AS422" i="6"/>
  <c r="AO422" i="6"/>
  <c r="AK422" i="6"/>
  <c r="AZ422" i="6"/>
  <c r="AQ422" i="6"/>
  <c r="BC422" i="6"/>
  <c r="BD422" i="6"/>
  <c r="AE422" i="6"/>
  <c r="AR422" i="6"/>
  <c r="AP422" i="6"/>
  <c r="BA422" i="6"/>
  <c r="AF422" i="6"/>
  <c r="AN422" i="6"/>
  <c r="N423" i="6"/>
  <c r="M423" i="6"/>
  <c r="K423" i="12"/>
  <c r="L424" i="12"/>
  <c r="J424" i="12"/>
  <c r="AE425" i="5"/>
  <c r="B425" i="6"/>
  <c r="B425" i="5"/>
  <c r="AD425" i="5"/>
  <c r="D425" i="5"/>
  <c r="B425" i="12" s="1"/>
  <c r="E425" i="5"/>
  <c r="J425" i="5"/>
  <c r="H425" i="5"/>
  <c r="F425" i="5"/>
  <c r="G425" i="5"/>
  <c r="A425" i="12"/>
  <c r="K425" i="5"/>
  <c r="N425" i="5"/>
  <c r="D425" i="6" s="1"/>
  <c r="AP424" i="6" l="1"/>
  <c r="AK424" i="6"/>
  <c r="AD424" i="6"/>
  <c r="AR424" i="6"/>
  <c r="AN424" i="6"/>
  <c r="AG424" i="6"/>
  <c r="K424" i="12"/>
  <c r="BC424" i="6"/>
  <c r="BG424" i="6"/>
  <c r="AX424" i="6"/>
  <c r="AV424" i="6"/>
  <c r="AC424" i="6"/>
  <c r="AE424" i="6"/>
  <c r="AJ424" i="6"/>
  <c r="AF424" i="6"/>
  <c r="BB424" i="6"/>
  <c r="AZ424" i="6"/>
  <c r="AB424" i="6"/>
  <c r="AO424" i="6"/>
  <c r="AS424" i="6"/>
  <c r="BD424" i="6"/>
  <c r="AT424" i="6"/>
  <c r="AM424" i="6"/>
  <c r="AU424" i="6"/>
  <c r="BA424" i="6"/>
  <c r="AQ424" i="6"/>
  <c r="AY424" i="6"/>
  <c r="AI424" i="6"/>
  <c r="BE424" i="6"/>
  <c r="AH424" i="6"/>
  <c r="N424" i="6"/>
  <c r="BD423" i="6"/>
  <c r="AS423" i="6"/>
  <c r="AX423" i="6"/>
  <c r="AY423" i="6"/>
  <c r="AK423" i="6"/>
  <c r="AE423" i="6"/>
  <c r="AU423" i="6"/>
  <c r="AP423" i="6"/>
  <c r="BA423" i="6"/>
  <c r="AI423" i="6"/>
  <c r="BC423" i="6"/>
  <c r="AR423" i="6"/>
  <c r="AD423" i="6"/>
  <c r="BF423" i="6"/>
  <c r="AO423" i="6"/>
  <c r="AZ423" i="6"/>
  <c r="AT423" i="6"/>
  <c r="AJ423" i="6"/>
  <c r="AC423" i="6"/>
  <c r="AF423" i="6"/>
  <c r="BB423" i="6"/>
  <c r="AQ423" i="6"/>
  <c r="AM423" i="6"/>
  <c r="BE423" i="6"/>
  <c r="AN423" i="6"/>
  <c r="AV423" i="6"/>
  <c r="AB423" i="6"/>
  <c r="AH423" i="6"/>
  <c r="BG423" i="6"/>
  <c r="AG423" i="6"/>
  <c r="A425" i="6"/>
  <c r="N425" i="6" s="1"/>
  <c r="H425" i="6"/>
  <c r="J425" i="12"/>
  <c r="L425" i="12"/>
  <c r="K425" i="12" l="1"/>
  <c r="M425" i="6"/>
  <c r="BC425" i="6" s="1"/>
  <c r="T425" i="5"/>
  <c r="G425" i="12" s="1"/>
  <c r="AF425" i="6" l="1"/>
  <c r="BG425" i="6"/>
  <c r="AK425" i="6"/>
  <c r="AQ425" i="6"/>
  <c r="AM425" i="6"/>
  <c r="AU425" i="6"/>
  <c r="AT425" i="6"/>
  <c r="AC425" i="6"/>
  <c r="AX425" i="6"/>
  <c r="AG425" i="6"/>
  <c r="BB425" i="6"/>
  <c r="AP425" i="6"/>
  <c r="AN425" i="6"/>
  <c r="AO425" i="6"/>
  <c r="AI425" i="6"/>
  <c r="AZ425" i="6"/>
  <c r="AS425" i="6"/>
  <c r="BF425" i="6"/>
  <c r="BD425" i="6"/>
  <c r="BA425" i="6"/>
  <c r="AV425" i="6"/>
  <c r="AR425" i="6"/>
  <c r="AD425" i="6"/>
  <c r="AB425" i="6"/>
  <c r="AJ425" i="6"/>
  <c r="AE425" i="6"/>
  <c r="AY425" i="6"/>
  <c r="BE425" i="6"/>
  <c r="AH425" i="6"/>
  <c r="C426" i="5" l="1"/>
  <c r="B426" i="5" l="1"/>
  <c r="C427" i="5" s="1"/>
  <c r="H426" i="5"/>
  <c r="N426" i="5"/>
  <c r="D426" i="6" s="1"/>
  <c r="A426" i="12"/>
  <c r="I426" i="5"/>
  <c r="F426" i="5"/>
  <c r="K391" i="5" s="1"/>
  <c r="AE426" i="5"/>
  <c r="R426" i="5"/>
  <c r="B426" i="6"/>
  <c r="A426" i="6" s="1"/>
  <c r="G426" i="5"/>
  <c r="E426" i="5"/>
  <c r="W426" i="5"/>
  <c r="H426" i="12" s="1"/>
  <c r="AD426" i="5"/>
  <c r="AV426" i="6" l="1"/>
  <c r="AO426" i="6"/>
  <c r="AR426" i="6"/>
  <c r="BF426" i="6"/>
  <c r="G426" i="6"/>
  <c r="BD426" i="6"/>
  <c r="AM426" i="6"/>
  <c r="BA426" i="6"/>
  <c r="BB426" i="6"/>
  <c r="AY426" i="6"/>
  <c r="AX426" i="6"/>
  <c r="M426" i="6"/>
  <c r="AN426" i="6"/>
  <c r="AQ426" i="6"/>
  <c r="H426" i="6"/>
  <c r="N426" i="6"/>
  <c r="BG426" i="6"/>
  <c r="BC426" i="6"/>
  <c r="BE426" i="6"/>
  <c r="AP426" i="6"/>
  <c r="AS426" i="6"/>
  <c r="AU426" i="6"/>
  <c r="AT426" i="6"/>
  <c r="AZ426" i="6"/>
  <c r="H427" i="5"/>
  <c r="AD427" i="5"/>
  <c r="E427" i="5"/>
  <c r="N427" i="5"/>
  <c r="D427" i="6" s="1"/>
  <c r="B427" i="5"/>
  <c r="R427" i="5"/>
  <c r="I427" i="5"/>
  <c r="AE427" i="5"/>
  <c r="A427" i="12"/>
  <c r="B427" i="6"/>
  <c r="F427" i="5"/>
  <c r="W427" i="5"/>
  <c r="H427" i="12" s="1"/>
  <c r="C428" i="5"/>
  <c r="G427" i="5"/>
  <c r="F426" i="6"/>
  <c r="E426" i="12"/>
  <c r="AI426" i="6" l="1"/>
  <c r="AH426" i="6"/>
  <c r="A427" i="6"/>
  <c r="AK426" i="6"/>
  <c r="AG426" i="6"/>
  <c r="AJ426" i="6"/>
  <c r="E427" i="12"/>
  <c r="F427" i="6"/>
  <c r="A428" i="12"/>
  <c r="H428" i="5"/>
  <c r="J428" i="5"/>
  <c r="E428" i="5"/>
  <c r="C429" i="5"/>
  <c r="D428" i="5"/>
  <c r="B428" i="12" s="1"/>
  <c r="B428" i="5"/>
  <c r="F428" i="5"/>
  <c r="B428" i="6"/>
  <c r="G428" i="5"/>
  <c r="AD428" i="5"/>
  <c r="AE428" i="5"/>
  <c r="K428" i="5"/>
  <c r="N428" i="5"/>
  <c r="D428" i="6" s="1"/>
  <c r="H428" i="6" s="1"/>
  <c r="T428" i="5" s="1"/>
  <c r="G428" i="12" s="1"/>
  <c r="AV427" i="6"/>
  <c r="BD427" i="6"/>
  <c r="AY427" i="6"/>
  <c r="H427" i="6"/>
  <c r="BC427" i="6"/>
  <c r="G427" i="6"/>
  <c r="AX427" i="6"/>
  <c r="AN427" i="6"/>
  <c r="BF427" i="6"/>
  <c r="AR427" i="6"/>
  <c r="AS427" i="6"/>
  <c r="AT427" i="6"/>
  <c r="AO427" i="6"/>
  <c r="AQ427" i="6"/>
  <c r="N427" i="6"/>
  <c r="BB427" i="6"/>
  <c r="BG427" i="6"/>
  <c r="BE427" i="6"/>
  <c r="BA427" i="6"/>
  <c r="M427" i="6"/>
  <c r="AP427" i="6"/>
  <c r="AM427" i="6"/>
  <c r="AZ427" i="6"/>
  <c r="AU427" i="6"/>
  <c r="T426" i="5"/>
  <c r="G426" i="12" s="1"/>
  <c r="AF426" i="6"/>
  <c r="AC426" i="6"/>
  <c r="AD426" i="6"/>
  <c r="AE426" i="6"/>
  <c r="AB426" i="6"/>
  <c r="AH427" i="6" l="1"/>
  <c r="A428" i="6"/>
  <c r="N428" i="6" s="1"/>
  <c r="J428" i="12"/>
  <c r="L428" i="12"/>
  <c r="AG427" i="6"/>
  <c r="K429" i="5"/>
  <c r="H429" i="5"/>
  <c r="AD429" i="5"/>
  <c r="J429" i="5"/>
  <c r="G429" i="5"/>
  <c r="E429" i="5"/>
  <c r="N429" i="5"/>
  <c r="D429" i="6" s="1"/>
  <c r="H429" i="6" s="1"/>
  <c r="T429" i="5" s="1"/>
  <c r="G429" i="12" s="1"/>
  <c r="A429" i="12"/>
  <c r="F429" i="5"/>
  <c r="B429" i="6"/>
  <c r="B429" i="5"/>
  <c r="C430" i="5" s="1"/>
  <c r="D429" i="5"/>
  <c r="B429" i="12" s="1"/>
  <c r="AE429" i="5"/>
  <c r="T427" i="5"/>
  <c r="G427" i="12" s="1"/>
  <c r="AD427" i="6"/>
  <c r="AI427" i="6"/>
  <c r="AC427" i="6"/>
  <c r="AB427" i="6"/>
  <c r="AE427" i="6"/>
  <c r="AK427" i="6"/>
  <c r="AJ427" i="6"/>
  <c r="AF427" i="6"/>
  <c r="K428" i="12" l="1"/>
  <c r="M428" i="6"/>
  <c r="AJ428" i="6" s="1"/>
  <c r="B430" i="5"/>
  <c r="N430" i="5"/>
  <c r="D430" i="6" s="1"/>
  <c r="R430" i="5"/>
  <c r="A430" i="12"/>
  <c r="H430" i="5"/>
  <c r="G430" i="5"/>
  <c r="B430" i="6"/>
  <c r="C431" i="5"/>
  <c r="W430" i="5"/>
  <c r="H430" i="12" s="1"/>
  <c r="AE430" i="5"/>
  <c r="AD430" i="5"/>
  <c r="F430" i="5"/>
  <c r="E430" i="5"/>
  <c r="I430" i="5"/>
  <c r="A429" i="6"/>
  <c r="J429" i="12"/>
  <c r="L429" i="12"/>
  <c r="M429" i="6" l="1"/>
  <c r="BD429" i="6" s="1"/>
  <c r="K429" i="12"/>
  <c r="AY428" i="6"/>
  <c r="AU428" i="6"/>
  <c r="AR428" i="6"/>
  <c r="BF428" i="6"/>
  <c r="AB428" i="6"/>
  <c r="AI428" i="6"/>
  <c r="AM428" i="6"/>
  <c r="AK428" i="6"/>
  <c r="AX428" i="6"/>
  <c r="AN428" i="6"/>
  <c r="AQ428" i="6"/>
  <c r="AH428" i="6"/>
  <c r="AO428" i="6"/>
  <c r="AZ428" i="6"/>
  <c r="AS428" i="6"/>
  <c r="AP428" i="6"/>
  <c r="BB428" i="6"/>
  <c r="AG428" i="6"/>
  <c r="AF428" i="6"/>
  <c r="BC428" i="6"/>
  <c r="BD428" i="6"/>
  <c r="AC428" i="6"/>
  <c r="BG428" i="6"/>
  <c r="AE428" i="6"/>
  <c r="AV428" i="6"/>
  <c r="BE428" i="6"/>
  <c r="AD428" i="6"/>
  <c r="BA428" i="6"/>
  <c r="AT428" i="6"/>
  <c r="A430" i="6"/>
  <c r="N429" i="6"/>
  <c r="F430" i="6"/>
  <c r="E430" i="12"/>
  <c r="AX430" i="6"/>
  <c r="BC430" i="6"/>
  <c r="AY430" i="6"/>
  <c r="M430" i="6"/>
  <c r="BB430" i="6"/>
  <c r="AU430" i="6"/>
  <c r="AS430" i="6"/>
  <c r="G430" i="6"/>
  <c r="AR430" i="6"/>
  <c r="BE430" i="6"/>
  <c r="BD430" i="6"/>
  <c r="AV430" i="6"/>
  <c r="AT430" i="6"/>
  <c r="H430" i="6"/>
  <c r="AM430" i="6"/>
  <c r="AQ430" i="6"/>
  <c r="BG430" i="6"/>
  <c r="BA430" i="6"/>
  <c r="AN430" i="6"/>
  <c r="AZ430" i="6"/>
  <c r="N430" i="6"/>
  <c r="BF430" i="6"/>
  <c r="AP430" i="6"/>
  <c r="AO430" i="6"/>
  <c r="B431" i="5"/>
  <c r="C432" i="5"/>
  <c r="K431" i="5"/>
  <c r="D431" i="5"/>
  <c r="B431" i="12" s="1"/>
  <c r="F431" i="5"/>
  <c r="AD431" i="5"/>
  <c r="B431" i="6"/>
  <c r="J431" i="5"/>
  <c r="G431" i="5"/>
  <c r="N431" i="5"/>
  <c r="D431" i="6" s="1"/>
  <c r="H431" i="6" s="1"/>
  <c r="T431" i="5" s="1"/>
  <c r="G431" i="12" s="1"/>
  <c r="H431" i="5"/>
  <c r="E431" i="5"/>
  <c r="AE431" i="5"/>
  <c r="A431" i="12"/>
  <c r="AS429" i="6" l="1"/>
  <c r="AH429" i="6"/>
  <c r="AG429" i="6"/>
  <c r="AO429" i="6"/>
  <c r="AB429" i="6"/>
  <c r="BE429" i="6"/>
  <c r="AT429" i="6"/>
  <c r="AP429" i="6"/>
  <c r="BC429" i="6"/>
  <c r="AM429" i="6"/>
  <c r="AF429" i="6"/>
  <c r="AD429" i="6"/>
  <c r="AR429" i="6"/>
  <c r="AI429" i="6"/>
  <c r="AU429" i="6"/>
  <c r="BF429" i="6"/>
  <c r="AX429" i="6"/>
  <c r="AK429" i="6"/>
  <c r="AY429" i="6"/>
  <c r="BA429" i="6"/>
  <c r="AN429" i="6"/>
  <c r="AJ429" i="6"/>
  <c r="AQ429" i="6"/>
  <c r="AC429" i="6"/>
  <c r="AV429" i="6"/>
  <c r="BB429" i="6"/>
  <c r="BG429" i="6"/>
  <c r="AE429" i="6"/>
  <c r="AZ429" i="6"/>
  <c r="A431" i="6"/>
  <c r="N431" i="6" s="1"/>
  <c r="AE430" i="6"/>
  <c r="T430" i="5"/>
  <c r="G430" i="12" s="1"/>
  <c r="AI430" i="6"/>
  <c r="AJ430" i="6"/>
  <c r="AC430" i="6"/>
  <c r="AH430" i="6"/>
  <c r="AF430" i="6"/>
  <c r="AB430" i="6"/>
  <c r="AG430" i="6"/>
  <c r="AK430" i="6"/>
  <c r="AD430" i="6"/>
  <c r="L431" i="12"/>
  <c r="J431" i="12"/>
  <c r="AD432" i="5"/>
  <c r="B432" i="5"/>
  <c r="C433" i="5" s="1"/>
  <c r="B432" i="6"/>
  <c r="E432" i="5"/>
  <c r="AE432" i="5"/>
  <c r="H432" i="5"/>
  <c r="J432" i="5"/>
  <c r="A432" i="12"/>
  <c r="G432" i="5"/>
  <c r="K432" i="5"/>
  <c r="N432" i="5"/>
  <c r="D432" i="6" s="1"/>
  <c r="H432" i="6" s="1"/>
  <c r="T432" i="5" s="1"/>
  <c r="G432" i="12" s="1"/>
  <c r="F432" i="5"/>
  <c r="D432" i="5"/>
  <c r="B432" i="12" s="1"/>
  <c r="M431" i="6" l="1"/>
  <c r="AC431" i="6" s="1"/>
  <c r="K431" i="12"/>
  <c r="A432" i="6"/>
  <c r="H433" i="5"/>
  <c r="W433" i="5"/>
  <c r="H433" i="12" s="1"/>
  <c r="R433" i="5"/>
  <c r="F433" i="5"/>
  <c r="B433" i="6"/>
  <c r="AD433" i="5"/>
  <c r="AE433" i="5"/>
  <c r="B433" i="5"/>
  <c r="E433" i="5"/>
  <c r="A433" i="12"/>
  <c r="G433" i="5"/>
  <c r="C434" i="5"/>
  <c r="I433" i="5"/>
  <c r="N433" i="5"/>
  <c r="D433" i="6" s="1"/>
  <c r="L432" i="12"/>
  <c r="J432" i="12"/>
  <c r="AD431" i="6" l="1"/>
  <c r="AR431" i="6"/>
  <c r="AX431" i="6"/>
  <c r="AU431" i="6"/>
  <c r="AZ431" i="6"/>
  <c r="AJ431" i="6"/>
  <c r="AN431" i="6"/>
  <c r="AH431" i="6"/>
  <c r="BD431" i="6"/>
  <c r="AT431" i="6"/>
  <c r="AP431" i="6"/>
  <c r="BF431" i="6"/>
  <c r="BB431" i="6"/>
  <c r="BG431" i="6"/>
  <c r="AK431" i="6"/>
  <c r="AQ431" i="6"/>
  <c r="AM431" i="6"/>
  <c r="BE431" i="6"/>
  <c r="AO431" i="6"/>
  <c r="AE431" i="6"/>
  <c r="AS431" i="6"/>
  <c r="AG431" i="6"/>
  <c r="BA431" i="6"/>
  <c r="BC431" i="6"/>
  <c r="AB431" i="6"/>
  <c r="AI431" i="6"/>
  <c r="AV431" i="6"/>
  <c r="AF431" i="6"/>
  <c r="AY431" i="6"/>
  <c r="K432" i="12"/>
  <c r="A433" i="6"/>
  <c r="AD434" i="5"/>
  <c r="N434" i="5"/>
  <c r="D434" i="6" s="1"/>
  <c r="J434" i="5"/>
  <c r="E434" i="5"/>
  <c r="C435" i="5"/>
  <c r="AE434" i="5"/>
  <c r="G434" i="5"/>
  <c r="H434" i="5"/>
  <c r="A434" i="12"/>
  <c r="B434" i="6"/>
  <c r="K434" i="5"/>
  <c r="B434" i="5"/>
  <c r="F434" i="5"/>
  <c r="D434" i="5"/>
  <c r="B434" i="12" s="1"/>
  <c r="E433" i="12"/>
  <c r="F433" i="6"/>
  <c r="M432" i="6"/>
  <c r="N432" i="6"/>
  <c r="N433" i="6"/>
  <c r="BG433" i="6"/>
  <c r="BF433" i="6"/>
  <c r="AU433" i="6"/>
  <c r="AR433" i="6"/>
  <c r="BB433" i="6"/>
  <c r="AZ433" i="6"/>
  <c r="BC433" i="6"/>
  <c r="G433" i="6"/>
  <c r="AN433" i="6"/>
  <c r="AT433" i="6"/>
  <c r="BD433" i="6"/>
  <c r="AS433" i="6"/>
  <c r="BA433" i="6"/>
  <c r="H433" i="6"/>
  <c r="AP433" i="6"/>
  <c r="AX433" i="6"/>
  <c r="AV433" i="6"/>
  <c r="AO433" i="6"/>
  <c r="BE433" i="6"/>
  <c r="AY433" i="6"/>
  <c r="AM433" i="6"/>
  <c r="AQ433" i="6"/>
  <c r="M433" i="6"/>
  <c r="A434" i="6" l="1"/>
  <c r="M434" i="6" s="1"/>
  <c r="AS434" i="6" s="1"/>
  <c r="T433" i="5"/>
  <c r="G433" i="12" s="1"/>
  <c r="AH433" i="6"/>
  <c r="AK433" i="6"/>
  <c r="AB433" i="6"/>
  <c r="AC433" i="6"/>
  <c r="AD433" i="6"/>
  <c r="AI433" i="6"/>
  <c r="AJ433" i="6"/>
  <c r="AE433" i="6"/>
  <c r="AG433" i="6"/>
  <c r="AF433" i="6"/>
  <c r="B435" i="6"/>
  <c r="AE435" i="5"/>
  <c r="K435" i="5"/>
  <c r="B435" i="5"/>
  <c r="G435" i="5"/>
  <c r="AD435" i="5"/>
  <c r="J435" i="5"/>
  <c r="D435" i="5"/>
  <c r="B435" i="12" s="1"/>
  <c r="E435" i="5"/>
  <c r="A435" i="12"/>
  <c r="C436" i="5"/>
  <c r="F435" i="5"/>
  <c r="H435" i="5"/>
  <c r="N435" i="5"/>
  <c r="D435" i="6" s="1"/>
  <c r="H435" i="6" s="1"/>
  <c r="T435" i="5" s="1"/>
  <c r="G435" i="12" s="1"/>
  <c r="H434" i="6"/>
  <c r="AP432" i="6"/>
  <c r="AD432" i="6"/>
  <c r="AC432" i="6"/>
  <c r="AQ432" i="6"/>
  <c r="AU432" i="6"/>
  <c r="BA432" i="6"/>
  <c r="AN432" i="6"/>
  <c r="AS432" i="6"/>
  <c r="AK432" i="6"/>
  <c r="AJ432" i="6"/>
  <c r="AX432" i="6"/>
  <c r="BD432" i="6"/>
  <c r="BB432" i="6"/>
  <c r="AF432" i="6"/>
  <c r="AY432" i="6"/>
  <c r="AI432" i="6"/>
  <c r="AO432" i="6"/>
  <c r="AM432" i="6"/>
  <c r="BE432" i="6"/>
  <c r="AZ432" i="6"/>
  <c r="AB432" i="6"/>
  <c r="AT432" i="6"/>
  <c r="AG432" i="6"/>
  <c r="AH432" i="6"/>
  <c r="AV432" i="6"/>
  <c r="AE432" i="6"/>
  <c r="AR432" i="6"/>
  <c r="BF432" i="6"/>
  <c r="BC432" i="6"/>
  <c r="BG432" i="6"/>
  <c r="L434" i="12"/>
  <c r="J434" i="12"/>
  <c r="N434" i="6" l="1"/>
  <c r="BC434" i="6"/>
  <c r="AY434" i="6"/>
  <c r="AZ434" i="6"/>
  <c r="AO434" i="6"/>
  <c r="AV434" i="6"/>
  <c r="AP434" i="6"/>
  <c r="AQ434" i="6"/>
  <c r="BA434" i="6"/>
  <c r="AR434" i="6"/>
  <c r="AM434" i="6"/>
  <c r="AN434" i="6"/>
  <c r="BB434" i="6"/>
  <c r="BD434" i="6"/>
  <c r="AX434" i="6"/>
  <c r="BE434" i="6"/>
  <c r="BG434" i="6"/>
  <c r="AU434" i="6"/>
  <c r="AT434" i="6"/>
  <c r="BF434" i="6"/>
  <c r="K434" i="12"/>
  <c r="A435" i="6"/>
  <c r="T434" i="5"/>
  <c r="G434" i="12" s="1"/>
  <c r="AD434" i="6"/>
  <c r="AC434" i="6"/>
  <c r="AH434" i="6"/>
  <c r="AB434" i="6"/>
  <c r="AF434" i="6"/>
  <c r="AK434" i="6"/>
  <c r="AI434" i="6"/>
  <c r="AG434" i="6"/>
  <c r="AJ434" i="6"/>
  <c r="AE434" i="6"/>
  <c r="C437" i="5"/>
  <c r="G436" i="5"/>
  <c r="B436" i="5"/>
  <c r="H436" i="5"/>
  <c r="B436" i="6"/>
  <c r="K436" i="5"/>
  <c r="D436" i="5"/>
  <c r="B436" i="12" s="1"/>
  <c r="J436" i="5"/>
  <c r="N436" i="5"/>
  <c r="D436" i="6" s="1"/>
  <c r="H436" i="6" s="1"/>
  <c r="T436" i="5" s="1"/>
  <c r="G436" i="12" s="1"/>
  <c r="F436" i="5"/>
  <c r="AD436" i="5"/>
  <c r="AE436" i="5"/>
  <c r="A436" i="12"/>
  <c r="E436" i="5"/>
  <c r="J435" i="12"/>
  <c r="L435" i="12"/>
  <c r="K435" i="12" l="1"/>
  <c r="A436" i="6"/>
  <c r="N436" i="6" s="1"/>
  <c r="N437" i="5"/>
  <c r="D437" i="6" s="1"/>
  <c r="H437" i="6" s="1"/>
  <c r="T437" i="5" s="1"/>
  <c r="G437" i="12" s="1"/>
  <c r="B437" i="5"/>
  <c r="A437" i="12"/>
  <c r="H437" i="5"/>
  <c r="F437" i="5"/>
  <c r="G437" i="5"/>
  <c r="K437" i="5"/>
  <c r="E437" i="5"/>
  <c r="D437" i="5"/>
  <c r="B437" i="12" s="1"/>
  <c r="B437" i="6"/>
  <c r="AD437" i="5"/>
  <c r="J437" i="5"/>
  <c r="C438" i="5"/>
  <c r="AE437" i="5"/>
  <c r="J436" i="12"/>
  <c r="L436" i="12"/>
  <c r="M435" i="6"/>
  <c r="N435" i="6"/>
  <c r="M436" i="6" l="1"/>
  <c r="AJ436" i="6" s="1"/>
  <c r="K436" i="12"/>
  <c r="A437" i="6"/>
  <c r="N437" i="6" s="1"/>
  <c r="H438" i="5"/>
  <c r="A438" i="12"/>
  <c r="B438" i="6"/>
  <c r="E438" i="5"/>
  <c r="B438" i="5"/>
  <c r="N438" i="5"/>
  <c r="D438" i="6" s="1"/>
  <c r="H438" i="6" s="1"/>
  <c r="T438" i="5" s="1"/>
  <c r="G438" i="12" s="1"/>
  <c r="AE438" i="5"/>
  <c r="AD438" i="5"/>
  <c r="K438" i="5"/>
  <c r="F438" i="5"/>
  <c r="G438" i="5"/>
  <c r="J438" i="5"/>
  <c r="D438" i="5"/>
  <c r="B438" i="12" s="1"/>
  <c r="C439" i="5"/>
  <c r="J437" i="12"/>
  <c r="L437" i="12"/>
  <c r="AX435" i="6"/>
  <c r="AN435" i="6"/>
  <c r="AU435" i="6"/>
  <c r="BG435" i="6"/>
  <c r="AM435" i="6"/>
  <c r="BA435" i="6"/>
  <c r="AQ435" i="6"/>
  <c r="AP435" i="6"/>
  <c r="BE435" i="6"/>
  <c r="AY435" i="6"/>
  <c r="BD435" i="6"/>
  <c r="AG435" i="6"/>
  <c r="AB435" i="6"/>
  <c r="AS435" i="6"/>
  <c r="AI435" i="6"/>
  <c r="AD435" i="6"/>
  <c r="AZ435" i="6"/>
  <c r="AT435" i="6"/>
  <c r="BC435" i="6"/>
  <c r="AK435" i="6"/>
  <c r="AV435" i="6"/>
  <c r="AJ435" i="6"/>
  <c r="AE435" i="6"/>
  <c r="AF435" i="6"/>
  <c r="AO435" i="6"/>
  <c r="AC435" i="6"/>
  <c r="BB435" i="6"/>
  <c r="AR435" i="6"/>
  <c r="BF435" i="6"/>
  <c r="AH435" i="6"/>
  <c r="AS436" i="6" l="1"/>
  <c r="AB436" i="6"/>
  <c r="AN436" i="6"/>
  <c r="AC436" i="6"/>
  <c r="AE436" i="6"/>
  <c r="BA436" i="6"/>
  <c r="BG436" i="6"/>
  <c r="AX436" i="6"/>
  <c r="AT436" i="6"/>
  <c r="BE436" i="6"/>
  <c r="AK436" i="6"/>
  <c r="BB436" i="6"/>
  <c r="BD436" i="6"/>
  <c r="AI436" i="6"/>
  <c r="AU436" i="6"/>
  <c r="AM436" i="6"/>
  <c r="AH436" i="6"/>
  <c r="AQ436" i="6"/>
  <c r="AF436" i="6"/>
  <c r="AO436" i="6"/>
  <c r="BC436" i="6"/>
  <c r="AP436" i="6"/>
  <c r="BF436" i="6"/>
  <c r="AR436" i="6"/>
  <c r="AY436" i="6"/>
  <c r="AD436" i="6"/>
  <c r="AZ436" i="6"/>
  <c r="AV436" i="6"/>
  <c r="AG436" i="6"/>
  <c r="M437" i="6"/>
  <c r="AD437" i="6" s="1"/>
  <c r="J438" i="12"/>
  <c r="L438" i="12"/>
  <c r="K437" i="12"/>
  <c r="K439" i="5"/>
  <c r="C440" i="5"/>
  <c r="A439" i="12"/>
  <c r="H439" i="5"/>
  <c r="F439" i="5"/>
  <c r="D439" i="5"/>
  <c r="B439" i="12" s="1"/>
  <c r="N439" i="5"/>
  <c r="D439" i="6" s="1"/>
  <c r="H439" i="6" s="1"/>
  <c r="T439" i="5" s="1"/>
  <c r="G439" i="12" s="1"/>
  <c r="G439" i="5"/>
  <c r="J439" i="5"/>
  <c r="E439" i="5"/>
  <c r="B439" i="5"/>
  <c r="AE439" i="5"/>
  <c r="AD439" i="5"/>
  <c r="B439" i="6"/>
  <c r="A438" i="6"/>
  <c r="K438" i="12" l="1"/>
  <c r="BD437" i="6"/>
  <c r="AF437" i="6"/>
  <c r="AK437" i="6"/>
  <c r="BB437" i="6"/>
  <c r="AZ437" i="6"/>
  <c r="AO437" i="6"/>
  <c r="AG437" i="6"/>
  <c r="AV437" i="6"/>
  <c r="BE437" i="6"/>
  <c r="AN437" i="6"/>
  <c r="BA437" i="6"/>
  <c r="AE437" i="6"/>
  <c r="AI437" i="6"/>
  <c r="BC437" i="6"/>
  <c r="AC437" i="6"/>
  <c r="AM437" i="6"/>
  <c r="AR437" i="6"/>
  <c r="AY437" i="6"/>
  <c r="AH437" i="6"/>
  <c r="AB437" i="6"/>
  <c r="AT437" i="6"/>
  <c r="AQ437" i="6"/>
  <c r="BG437" i="6"/>
  <c r="AX437" i="6"/>
  <c r="AP437" i="6"/>
  <c r="AS437" i="6"/>
  <c r="AJ437" i="6"/>
  <c r="AU437" i="6"/>
  <c r="BF437" i="6"/>
  <c r="D440" i="5"/>
  <c r="B440" i="12" s="1"/>
  <c r="AE440" i="5"/>
  <c r="C441" i="5"/>
  <c r="G440" i="5"/>
  <c r="F440" i="5"/>
  <c r="K440" i="5"/>
  <c r="N440" i="5"/>
  <c r="D440" i="6" s="1"/>
  <c r="H440" i="6" s="1"/>
  <c r="T440" i="5" s="1"/>
  <c r="G440" i="12" s="1"/>
  <c r="H440" i="5"/>
  <c r="AD440" i="5"/>
  <c r="J440" i="5"/>
  <c r="B440" i="6"/>
  <c r="E440" i="5"/>
  <c r="A440" i="12"/>
  <c r="B440" i="5"/>
  <c r="M438" i="6"/>
  <c r="N438" i="6"/>
  <c r="A439" i="6"/>
  <c r="M439" i="6" s="1"/>
  <c r="AB439" i="6" s="1"/>
  <c r="J439" i="12"/>
  <c r="L439" i="12"/>
  <c r="K439" i="12" l="1"/>
  <c r="N439" i="6"/>
  <c r="AF438" i="6"/>
  <c r="AO438" i="6"/>
  <c r="AM438" i="6"/>
  <c r="AG438" i="6"/>
  <c r="AB438" i="6"/>
  <c r="AH438" i="6"/>
  <c r="AI438" i="6"/>
  <c r="AR438" i="6"/>
  <c r="AJ438" i="6"/>
  <c r="AZ438" i="6"/>
  <c r="AP438" i="6"/>
  <c r="BF438" i="6"/>
  <c r="BC438" i="6"/>
  <c r="AU438" i="6"/>
  <c r="AX438" i="6"/>
  <c r="AC438" i="6"/>
  <c r="BE438" i="6"/>
  <c r="AS438" i="6"/>
  <c r="AE438" i="6"/>
  <c r="AK438" i="6"/>
  <c r="BA438" i="6"/>
  <c r="BB438" i="6"/>
  <c r="AY438" i="6"/>
  <c r="AN438" i="6"/>
  <c r="AQ438" i="6"/>
  <c r="AV438" i="6"/>
  <c r="BG438" i="6"/>
  <c r="AD438" i="6"/>
  <c r="AT438" i="6"/>
  <c r="BD438" i="6"/>
  <c r="AE439" i="6"/>
  <c r="L440" i="12"/>
  <c r="J440" i="12"/>
  <c r="AI439" i="6"/>
  <c r="A440" i="6"/>
  <c r="M440" i="6" s="1"/>
  <c r="AB440" i="6" s="1"/>
  <c r="N441" i="5"/>
  <c r="D441" i="6" s="1"/>
  <c r="H441" i="6" s="1"/>
  <c r="T441" i="5" s="1"/>
  <c r="G441" i="12" s="1"/>
  <c r="G441" i="5"/>
  <c r="B441" i="6"/>
  <c r="F441" i="5"/>
  <c r="AE441" i="5"/>
  <c r="D441" i="5"/>
  <c r="B441" i="12" s="1"/>
  <c r="C442" i="5"/>
  <c r="K441" i="5"/>
  <c r="A441" i="12"/>
  <c r="AD441" i="5"/>
  <c r="B441" i="5"/>
  <c r="J441" i="5"/>
  <c r="H441" i="5"/>
  <c r="E441" i="5"/>
  <c r="AX439" i="6"/>
  <c r="BE439" i="6"/>
  <c r="BD439" i="6"/>
  <c r="BA439" i="6"/>
  <c r="AU439" i="6"/>
  <c r="AT439" i="6"/>
  <c r="AS439" i="6"/>
  <c r="AR439" i="6"/>
  <c r="AZ439" i="6"/>
  <c r="AP439" i="6"/>
  <c r="AJ439" i="6"/>
  <c r="AO439" i="6"/>
  <c r="AD439" i="6"/>
  <c r="AV439" i="6"/>
  <c r="AM439" i="6"/>
  <c r="AQ439" i="6"/>
  <c r="AY439" i="6"/>
  <c r="BB439" i="6"/>
  <c r="BF439" i="6"/>
  <c r="AF439" i="6"/>
  <c r="AK439" i="6"/>
  <c r="AH439" i="6"/>
  <c r="AN439" i="6"/>
  <c r="BG439" i="6"/>
  <c r="BC439" i="6"/>
  <c r="AG439" i="6"/>
  <c r="AC439" i="6"/>
  <c r="N440" i="6" l="1"/>
  <c r="K440" i="12"/>
  <c r="A441" i="6"/>
  <c r="AD440" i="6"/>
  <c r="BF440" i="6"/>
  <c r="L441" i="12"/>
  <c r="J441" i="12"/>
  <c r="AP440" i="6"/>
  <c r="AO440" i="6"/>
  <c r="AF440" i="6"/>
  <c r="AC440" i="6"/>
  <c r="BB440" i="6"/>
  <c r="BC440" i="6"/>
  <c r="AG440" i="6"/>
  <c r="AH440" i="6"/>
  <c r="BG440" i="6"/>
  <c r="AS440" i="6"/>
  <c r="AT440" i="6"/>
  <c r="AM440" i="6"/>
  <c r="AZ440" i="6"/>
  <c r="AV440" i="6"/>
  <c r="H442" i="5"/>
  <c r="AD442" i="5"/>
  <c r="C443" i="5"/>
  <c r="A442" i="12"/>
  <c r="K442" i="5"/>
  <c r="J442" i="5"/>
  <c r="E442" i="5"/>
  <c r="AE442" i="5"/>
  <c r="B442" i="6"/>
  <c r="N442" i="5"/>
  <c r="D442" i="6" s="1"/>
  <c r="H442" i="6" s="1"/>
  <c r="T442" i="5" s="1"/>
  <c r="G442" i="12" s="1"/>
  <c r="G442" i="5"/>
  <c r="D442" i="5"/>
  <c r="B442" i="12" s="1"/>
  <c r="B442" i="5"/>
  <c r="F442" i="5"/>
  <c r="AI440" i="6"/>
  <c r="AX440" i="6"/>
  <c r="BD440" i="6"/>
  <c r="BE440" i="6"/>
  <c r="BA440" i="6"/>
  <c r="AY440" i="6"/>
  <c r="AU440" i="6"/>
  <c r="AQ440" i="6"/>
  <c r="AR440" i="6"/>
  <c r="AN440" i="6"/>
  <c r="AE440" i="6"/>
  <c r="AJ440" i="6"/>
  <c r="AK440" i="6"/>
  <c r="K441" i="12" l="1"/>
  <c r="A442" i="6"/>
  <c r="M442" i="6" s="1"/>
  <c r="AM442" i="6" s="1"/>
  <c r="N441" i="6"/>
  <c r="M441" i="6"/>
  <c r="L442" i="12"/>
  <c r="J442" i="12"/>
  <c r="C444" i="5"/>
  <c r="A443" i="12"/>
  <c r="E443" i="5"/>
  <c r="H443" i="5"/>
  <c r="AE443" i="5"/>
  <c r="B443" i="5"/>
  <c r="D443" i="5"/>
  <c r="B443" i="12" s="1"/>
  <c r="G443" i="5"/>
  <c r="J443" i="5"/>
  <c r="K443" i="5"/>
  <c r="AD443" i="5"/>
  <c r="N443" i="5"/>
  <c r="D443" i="6" s="1"/>
  <c r="F443" i="5"/>
  <c r="B443" i="6"/>
  <c r="N442" i="6" l="1"/>
  <c r="K442" i="12"/>
  <c r="AD442" i="6"/>
  <c r="BD442" i="6"/>
  <c r="AO442" i="6"/>
  <c r="AF442" i="6"/>
  <c r="AE442" i="6"/>
  <c r="AC442" i="6"/>
  <c r="AQ442" i="6"/>
  <c r="AH442" i="6"/>
  <c r="AX442" i="6"/>
  <c r="AP442" i="6"/>
  <c r="AK442" i="6"/>
  <c r="AS442" i="6"/>
  <c r="AJ442" i="6"/>
  <c r="BB442" i="6"/>
  <c r="AB442" i="6"/>
  <c r="AI442" i="6"/>
  <c r="AY442" i="6"/>
  <c r="AN442" i="6"/>
  <c r="AV442" i="6"/>
  <c r="AZ442" i="6"/>
  <c r="BG442" i="6"/>
  <c r="BF442" i="6"/>
  <c r="AT442" i="6"/>
  <c r="AR442" i="6"/>
  <c r="AC441" i="6"/>
  <c r="AJ441" i="6"/>
  <c r="AT441" i="6"/>
  <c r="AE441" i="6"/>
  <c r="AB441" i="6"/>
  <c r="BE441" i="6"/>
  <c r="AV441" i="6"/>
  <c r="AD441" i="6"/>
  <c r="BC441" i="6"/>
  <c r="AF441" i="6"/>
  <c r="AR441" i="6"/>
  <c r="AG441" i="6"/>
  <c r="AP441" i="6"/>
  <c r="AH441" i="6"/>
  <c r="BB441" i="6"/>
  <c r="BF441" i="6"/>
  <c r="BD441" i="6"/>
  <c r="AN441" i="6"/>
  <c r="AY441" i="6"/>
  <c r="AO441" i="6"/>
  <c r="AI441" i="6"/>
  <c r="BG441" i="6"/>
  <c r="AS441" i="6"/>
  <c r="AU441" i="6"/>
  <c r="AQ441" i="6"/>
  <c r="AX441" i="6"/>
  <c r="AK441" i="6"/>
  <c r="AM441" i="6"/>
  <c r="AZ441" i="6"/>
  <c r="BA441" i="6"/>
  <c r="A443" i="6"/>
  <c r="M443" i="6" s="1"/>
  <c r="AO443" i="6" s="1"/>
  <c r="BE442" i="6"/>
  <c r="BA442" i="6"/>
  <c r="BC442" i="6"/>
  <c r="AU442" i="6"/>
  <c r="AG442" i="6"/>
  <c r="H443" i="6"/>
  <c r="L443" i="12"/>
  <c r="J443" i="12"/>
  <c r="D444" i="5"/>
  <c r="B444" i="12" s="1"/>
  <c r="AD444" i="5"/>
  <c r="E444" i="5"/>
  <c r="H444" i="5"/>
  <c r="C445" i="5"/>
  <c r="B444" i="6"/>
  <c r="A444" i="12"/>
  <c r="B444" i="5"/>
  <c r="G444" i="5"/>
  <c r="K444" i="5"/>
  <c r="AE444" i="5"/>
  <c r="N444" i="5"/>
  <c r="D444" i="6" s="1"/>
  <c r="J444" i="5"/>
  <c r="F444" i="5"/>
  <c r="K443" i="12" l="1"/>
  <c r="N443" i="6"/>
  <c r="BG443" i="6"/>
  <c r="AU443" i="6"/>
  <c r="AS443" i="6"/>
  <c r="AN443" i="6"/>
  <c r="BB443" i="6"/>
  <c r="BE443" i="6"/>
  <c r="AR443" i="6"/>
  <c r="AX443" i="6"/>
  <c r="AV443" i="6"/>
  <c r="AZ443" i="6"/>
  <c r="AP443" i="6"/>
  <c r="BF443" i="6"/>
  <c r="AM443" i="6"/>
  <c r="BA443" i="6"/>
  <c r="AQ443" i="6"/>
  <c r="A444" i="6"/>
  <c r="M444" i="6" s="1"/>
  <c r="AS444" i="6" s="1"/>
  <c r="AY443" i="6"/>
  <c r="AT443" i="6"/>
  <c r="BC443" i="6"/>
  <c r="BD443" i="6"/>
  <c r="C446" i="5"/>
  <c r="A445" i="12"/>
  <c r="N445" i="5"/>
  <c r="D445" i="6" s="1"/>
  <c r="D445" i="5"/>
  <c r="B445" i="12" s="1"/>
  <c r="F445" i="5"/>
  <c r="H445" i="5"/>
  <c r="J445" i="5"/>
  <c r="AE445" i="5"/>
  <c r="K445" i="5"/>
  <c r="B445" i="5"/>
  <c r="G445" i="5"/>
  <c r="E445" i="5"/>
  <c r="AD445" i="5"/>
  <c r="B445" i="6"/>
  <c r="H444" i="6"/>
  <c r="T443" i="5"/>
  <c r="G443" i="12" s="1"/>
  <c r="AF443" i="6"/>
  <c r="AK443" i="6"/>
  <c r="AB443" i="6"/>
  <c r="AJ443" i="6"/>
  <c r="AH443" i="6"/>
  <c r="AG443" i="6"/>
  <c r="AD443" i="6"/>
  <c r="AC443" i="6"/>
  <c r="AE443" i="6"/>
  <c r="AI443" i="6"/>
  <c r="J444" i="12"/>
  <c r="L444" i="12"/>
  <c r="K444" i="12" l="1"/>
  <c r="AJ444" i="6"/>
  <c r="AP444" i="6"/>
  <c r="AN444" i="6"/>
  <c r="AT444" i="6"/>
  <c r="AR444" i="6"/>
  <c r="BG444" i="6"/>
  <c r="BB444" i="6"/>
  <c r="BC444" i="6"/>
  <c r="AQ444" i="6"/>
  <c r="AZ444" i="6"/>
  <c r="AV444" i="6"/>
  <c r="AM444" i="6"/>
  <c r="AO444" i="6"/>
  <c r="AX444" i="6"/>
  <c r="AH444" i="6"/>
  <c r="AY444" i="6"/>
  <c r="AB444" i="6"/>
  <c r="AG444" i="6"/>
  <c r="AU444" i="6"/>
  <c r="AF444" i="6"/>
  <c r="N444" i="6"/>
  <c r="BD444" i="6"/>
  <c r="BE444" i="6"/>
  <c r="A445" i="6"/>
  <c r="M445" i="6" s="1"/>
  <c r="BA444" i="6"/>
  <c r="AC444" i="6"/>
  <c r="BF444" i="6"/>
  <c r="H445" i="6"/>
  <c r="T444" i="5"/>
  <c r="G444" i="12" s="1"/>
  <c r="AK444" i="6"/>
  <c r="AD444" i="6"/>
  <c r="AE444" i="6"/>
  <c r="AI444" i="6"/>
  <c r="J445" i="12"/>
  <c r="L445" i="12"/>
  <c r="F446" i="5"/>
  <c r="B446" i="5"/>
  <c r="AE446" i="5"/>
  <c r="AD446" i="5"/>
  <c r="K446" i="5"/>
  <c r="C447" i="5"/>
  <c r="C448" i="5" s="1"/>
  <c r="H446" i="5"/>
  <c r="B446" i="6"/>
  <c r="G446" i="5"/>
  <c r="D446" i="5"/>
  <c r="B446" i="12" s="1"/>
  <c r="E446" i="5"/>
  <c r="N446" i="5"/>
  <c r="D446" i="6" s="1"/>
  <c r="H446" i="6" s="1"/>
  <c r="T446" i="5" s="1"/>
  <c r="G446" i="12" s="1"/>
  <c r="J446" i="5"/>
  <c r="A446" i="12"/>
  <c r="D448" i="5" l="1"/>
  <c r="B448" i="12" s="1"/>
  <c r="K448" i="5"/>
  <c r="J448" i="5"/>
  <c r="AE448" i="5"/>
  <c r="B448" i="6"/>
  <c r="AD448" i="5"/>
  <c r="A448" i="12"/>
  <c r="N448" i="5"/>
  <c r="K445" i="12"/>
  <c r="N445" i="6"/>
  <c r="A446" i="6"/>
  <c r="M446" i="6" s="1"/>
  <c r="AR446" i="6" s="1"/>
  <c r="L446" i="12"/>
  <c r="J446" i="12"/>
  <c r="F447" i="5"/>
  <c r="F448" i="5" s="1"/>
  <c r="E447" i="5"/>
  <c r="E448" i="5" s="1"/>
  <c r="G447" i="5"/>
  <c r="G448" i="5" s="1"/>
  <c r="K447" i="5"/>
  <c r="A447" i="12"/>
  <c r="B447" i="5"/>
  <c r="J447" i="5"/>
  <c r="B447" i="6"/>
  <c r="N447" i="5"/>
  <c r="D447" i="6" s="1"/>
  <c r="H447" i="6" s="1"/>
  <c r="T447" i="5" s="1"/>
  <c r="G447" i="12" s="1"/>
  <c r="AD447" i="5"/>
  <c r="D447" i="5"/>
  <c r="B447" i="12" s="1"/>
  <c r="H447" i="5"/>
  <c r="H448" i="5" s="1"/>
  <c r="AE447" i="5"/>
  <c r="BA445" i="6"/>
  <c r="AP445" i="6"/>
  <c r="AY445" i="6"/>
  <c r="BB445" i="6"/>
  <c r="BE445" i="6"/>
  <c r="AV445" i="6"/>
  <c r="AO445" i="6"/>
  <c r="BC445" i="6"/>
  <c r="AS445" i="6"/>
  <c r="AN445" i="6"/>
  <c r="AR445" i="6"/>
  <c r="AT445" i="6"/>
  <c r="BD445" i="6"/>
  <c r="AZ445" i="6"/>
  <c r="AX445" i="6"/>
  <c r="BG445" i="6"/>
  <c r="AQ445" i="6"/>
  <c r="AM445" i="6"/>
  <c r="AU445" i="6"/>
  <c r="BF445" i="6"/>
  <c r="T445" i="5"/>
  <c r="G445" i="12" s="1"/>
  <c r="AC445" i="6"/>
  <c r="AB445" i="6"/>
  <c r="AF445" i="6"/>
  <c r="AD445" i="6"/>
  <c r="AH445" i="6"/>
  <c r="AI445" i="6"/>
  <c r="AK445" i="6"/>
  <c r="AJ445" i="6"/>
  <c r="AE445" i="6"/>
  <c r="AG445" i="6"/>
  <c r="N446" i="6" l="1"/>
  <c r="D448" i="6"/>
  <c r="L448" i="12"/>
  <c r="J448" i="12"/>
  <c r="B448" i="5"/>
  <c r="C449" i="5" s="1"/>
  <c r="AS446" i="6"/>
  <c r="A447" i="6"/>
  <c r="M447" i="6" s="1"/>
  <c r="BB447" i="6" s="1"/>
  <c r="AB446" i="6"/>
  <c r="BD446" i="6"/>
  <c r="BC446" i="6"/>
  <c r="AT446" i="6"/>
  <c r="AQ446" i="6"/>
  <c r="AC446" i="6"/>
  <c r="AF446" i="6"/>
  <c r="BF446" i="6"/>
  <c r="AD446" i="6"/>
  <c r="AV446" i="6"/>
  <c r="AY446" i="6"/>
  <c r="AK446" i="6"/>
  <c r="AZ446" i="6"/>
  <c r="AN446" i="6"/>
  <c r="AX446" i="6"/>
  <c r="BE446" i="6"/>
  <c r="AU446" i="6"/>
  <c r="AM446" i="6"/>
  <c r="AO446" i="6"/>
  <c r="AI446" i="6"/>
  <c r="AG446" i="6"/>
  <c r="AJ446" i="6"/>
  <c r="BB446" i="6"/>
  <c r="AH446" i="6"/>
  <c r="BG446" i="6"/>
  <c r="AP446" i="6"/>
  <c r="AE446" i="6"/>
  <c r="BA446" i="6"/>
  <c r="K446" i="12"/>
  <c r="J447" i="12"/>
  <c r="L447" i="12"/>
  <c r="N447" i="6" l="1"/>
  <c r="K448" i="12"/>
  <c r="H449" i="5"/>
  <c r="W449" i="5"/>
  <c r="H449" i="12" s="1"/>
  <c r="F449" i="5"/>
  <c r="N449" i="5"/>
  <c r="D449" i="6" s="1"/>
  <c r="AM449" i="6" s="1"/>
  <c r="E449" i="5"/>
  <c r="B449" i="5"/>
  <c r="G449" i="5"/>
  <c r="R449" i="5"/>
  <c r="E449" i="12" s="1"/>
  <c r="AD449" i="5"/>
  <c r="I449" i="5"/>
  <c r="B449" i="6"/>
  <c r="A449" i="12"/>
  <c r="C450" i="5"/>
  <c r="A450" i="12" s="1"/>
  <c r="AE449" i="5"/>
  <c r="H448" i="6"/>
  <c r="T448" i="5" s="1"/>
  <c r="A448" i="6"/>
  <c r="N448" i="6" s="1"/>
  <c r="BD447" i="6"/>
  <c r="AF447" i="6"/>
  <c r="AR447" i="6"/>
  <c r="AT447" i="6"/>
  <c r="AI447" i="6"/>
  <c r="K447" i="12"/>
  <c r="AC447" i="6"/>
  <c r="AD447" i="6"/>
  <c r="AV447" i="6"/>
  <c r="AB447" i="6"/>
  <c r="AQ447" i="6"/>
  <c r="AY447" i="6"/>
  <c r="BC447" i="6"/>
  <c r="AS447" i="6"/>
  <c r="AX447" i="6"/>
  <c r="AH447" i="6"/>
  <c r="AO447" i="6"/>
  <c r="AE447" i="6"/>
  <c r="BE447" i="6"/>
  <c r="BA447" i="6"/>
  <c r="AP447" i="6"/>
  <c r="BF447" i="6"/>
  <c r="AN447" i="6"/>
  <c r="BG447" i="6"/>
  <c r="AJ447" i="6"/>
  <c r="AU447" i="6"/>
  <c r="AM447" i="6"/>
  <c r="AG447" i="6"/>
  <c r="AZ447" i="6"/>
  <c r="AK447" i="6"/>
  <c r="F449" i="6" l="1"/>
  <c r="AN449" i="6"/>
  <c r="BF449" i="6"/>
  <c r="BB449" i="6"/>
  <c r="AS449" i="6"/>
  <c r="AZ449" i="6"/>
  <c r="AO449" i="6"/>
  <c r="AY449" i="6"/>
  <c r="BC449" i="6"/>
  <c r="H449" i="6"/>
  <c r="T449" i="5" s="1"/>
  <c r="G449" i="12" s="1"/>
  <c r="AT449" i="6"/>
  <c r="BG449" i="6"/>
  <c r="N449" i="6"/>
  <c r="M449" i="6"/>
  <c r="AR449" i="6"/>
  <c r="AX449" i="6"/>
  <c r="AV449" i="6"/>
  <c r="BE449" i="6"/>
  <c r="BD449" i="6"/>
  <c r="AU449" i="6"/>
  <c r="BA449" i="6"/>
  <c r="G449" i="6"/>
  <c r="AP449" i="6"/>
  <c r="AQ449" i="6"/>
  <c r="H450" i="5"/>
  <c r="K450" i="5"/>
  <c r="F450" i="5"/>
  <c r="D450" i="5"/>
  <c r="B450" i="12" s="1"/>
  <c r="A449" i="6"/>
  <c r="C451" i="5"/>
  <c r="AD451" i="5" s="1"/>
  <c r="AE450" i="5"/>
  <c r="N450" i="5"/>
  <c r="D450" i="6" s="1"/>
  <c r="H450" i="6" s="1"/>
  <c r="T450" i="5" s="1"/>
  <c r="G450" i="12" s="1"/>
  <c r="AD450" i="5"/>
  <c r="B450" i="6"/>
  <c r="J450" i="5"/>
  <c r="E450" i="5"/>
  <c r="B450" i="5"/>
  <c r="G450" i="5"/>
  <c r="M448" i="6"/>
  <c r="AF448" i="6" s="1"/>
  <c r="G448" i="12"/>
  <c r="L450" i="12"/>
  <c r="J450" i="12"/>
  <c r="AJ449" i="6" l="1"/>
  <c r="AK449" i="6"/>
  <c r="AB449" i="6"/>
  <c r="AE449" i="6"/>
  <c r="A451" i="12"/>
  <c r="L451" i="12" s="1"/>
  <c r="C452" i="5"/>
  <c r="D452" i="5" s="1"/>
  <c r="B452" i="12" s="1"/>
  <c r="H451" i="5"/>
  <c r="D451" i="5"/>
  <c r="B451" i="12" s="1"/>
  <c r="AC449" i="6"/>
  <c r="B451" i="5"/>
  <c r="G451" i="5"/>
  <c r="F451" i="5"/>
  <c r="AD449" i="6"/>
  <c r="B451" i="6"/>
  <c r="AG449" i="6"/>
  <c r="K451" i="5"/>
  <c r="AI449" i="6"/>
  <c r="AF449" i="6"/>
  <c r="N451" i="5"/>
  <c r="D451" i="6" s="1"/>
  <c r="H451" i="6" s="1"/>
  <c r="AH449" i="6"/>
  <c r="AE451" i="5"/>
  <c r="J451" i="5"/>
  <c r="E451" i="5"/>
  <c r="A450" i="6"/>
  <c r="N450" i="6" s="1"/>
  <c r="AK448" i="6"/>
  <c r="AE448" i="6"/>
  <c r="AB448" i="6"/>
  <c r="AC448" i="6"/>
  <c r="AJ448" i="6"/>
  <c r="AH448" i="6"/>
  <c r="AG448" i="6"/>
  <c r="BE448" i="6"/>
  <c r="BC448" i="6"/>
  <c r="AV448" i="6"/>
  <c r="AT448" i="6"/>
  <c r="AZ448" i="6"/>
  <c r="AN448" i="6"/>
  <c r="BF448" i="6"/>
  <c r="AQ448" i="6"/>
  <c r="AO448" i="6"/>
  <c r="BD448" i="6"/>
  <c r="AX448" i="6"/>
  <c r="AI448" i="6"/>
  <c r="AU448" i="6"/>
  <c r="BA448" i="6"/>
  <c r="BG448" i="6"/>
  <c r="AM448" i="6"/>
  <c r="BB448" i="6"/>
  <c r="AR448" i="6"/>
  <c r="AY448" i="6"/>
  <c r="AD448" i="6"/>
  <c r="AS448" i="6"/>
  <c r="AP448" i="6"/>
  <c r="K450" i="12"/>
  <c r="J451" i="12" l="1"/>
  <c r="K451" i="12" s="1"/>
  <c r="E452" i="5"/>
  <c r="AE452" i="5"/>
  <c r="N452" i="5"/>
  <c r="D452" i="6" s="1"/>
  <c r="H452" i="6" s="1"/>
  <c r="H452" i="5"/>
  <c r="AD452" i="5"/>
  <c r="K452" i="5"/>
  <c r="A452" i="12"/>
  <c r="L452" i="12" s="1"/>
  <c r="B452" i="6"/>
  <c r="C453" i="5"/>
  <c r="J452" i="5"/>
  <c r="B452" i="5"/>
  <c r="F452" i="5"/>
  <c r="G452" i="5"/>
  <c r="A451" i="6"/>
  <c r="N451" i="6" s="1"/>
  <c r="M450" i="6"/>
  <c r="BE450" i="6" s="1"/>
  <c r="T451" i="5"/>
  <c r="G451" i="12" s="1"/>
  <c r="E453" i="5" l="1"/>
  <c r="J452" i="12"/>
  <c r="K452" i="12" s="1"/>
  <c r="C454" i="5"/>
  <c r="J454" i="5" s="1"/>
  <c r="D453" i="5"/>
  <c r="B453" i="12" s="1"/>
  <c r="B453" i="5"/>
  <c r="AE453" i="5"/>
  <c r="N453" i="5"/>
  <c r="D453" i="6" s="1"/>
  <c r="H453" i="6" s="1"/>
  <c r="T453" i="5" s="1"/>
  <c r="G453" i="12" s="1"/>
  <c r="F453" i="5"/>
  <c r="H453" i="5"/>
  <c r="B453" i="6"/>
  <c r="A453" i="12"/>
  <c r="J453" i="12" s="1"/>
  <c r="K453" i="5"/>
  <c r="AD453" i="5"/>
  <c r="J453" i="5"/>
  <c r="G453" i="5"/>
  <c r="A452" i="6"/>
  <c r="M452" i="6" s="1"/>
  <c r="AR452" i="6" s="1"/>
  <c r="M451" i="6"/>
  <c r="AD451" i="6" s="1"/>
  <c r="AF450" i="6"/>
  <c r="AV450" i="6"/>
  <c r="AJ450" i="6"/>
  <c r="AH450" i="6"/>
  <c r="AR450" i="6"/>
  <c r="BB450" i="6"/>
  <c r="AI450" i="6"/>
  <c r="AX450" i="6"/>
  <c r="AY450" i="6"/>
  <c r="AK450" i="6"/>
  <c r="AC450" i="6"/>
  <c r="AU450" i="6"/>
  <c r="AN450" i="6"/>
  <c r="AP450" i="6"/>
  <c r="AE450" i="6"/>
  <c r="BF450" i="6"/>
  <c r="BD450" i="6"/>
  <c r="AS450" i="6"/>
  <c r="AQ450" i="6"/>
  <c r="AM450" i="6"/>
  <c r="AD450" i="6"/>
  <c r="BA450" i="6"/>
  <c r="AB450" i="6"/>
  <c r="AZ450" i="6"/>
  <c r="AT450" i="6"/>
  <c r="BC450" i="6"/>
  <c r="BG450" i="6"/>
  <c r="AO450" i="6"/>
  <c r="AG450" i="6"/>
  <c r="T452" i="5"/>
  <c r="G452" i="12" s="1"/>
  <c r="C455" i="5" l="1"/>
  <c r="D455" i="5" s="1"/>
  <c r="B455" i="12" s="1"/>
  <c r="K454" i="5"/>
  <c r="AD454" i="5"/>
  <c r="G454" i="5"/>
  <c r="L453" i="12"/>
  <c r="K453" i="12" s="1"/>
  <c r="B454" i="6"/>
  <c r="B454" i="5"/>
  <c r="H454" i="5"/>
  <c r="F454" i="5"/>
  <c r="E454" i="5"/>
  <c r="AE454" i="5"/>
  <c r="D454" i="5"/>
  <c r="B454" i="12" s="1"/>
  <c r="N454" i="5"/>
  <c r="D454" i="6" s="1"/>
  <c r="H454" i="6" s="1"/>
  <c r="T454" i="5" s="1"/>
  <c r="G454" i="12" s="1"/>
  <c r="A454" i="12"/>
  <c r="L454" i="12" s="1"/>
  <c r="N452" i="6"/>
  <c r="A453" i="6"/>
  <c r="M453" i="6" s="1"/>
  <c r="AD453" i="6" s="1"/>
  <c r="AU452" i="6"/>
  <c r="BF452" i="6"/>
  <c r="AK452" i="6"/>
  <c r="BE452" i="6"/>
  <c r="AI452" i="6"/>
  <c r="AZ452" i="6"/>
  <c r="AF452" i="6"/>
  <c r="AN452" i="6"/>
  <c r="AJ452" i="6"/>
  <c r="AM452" i="6"/>
  <c r="AV452" i="6"/>
  <c r="BB452" i="6"/>
  <c r="AG452" i="6"/>
  <c r="AD452" i="6"/>
  <c r="BC452" i="6"/>
  <c r="AS452" i="6"/>
  <c r="AH452" i="6"/>
  <c r="AT452" i="6"/>
  <c r="BA452" i="6"/>
  <c r="AC452" i="6"/>
  <c r="AO452" i="6"/>
  <c r="BG452" i="6"/>
  <c r="AY452" i="6"/>
  <c r="AB452" i="6"/>
  <c r="BD452" i="6"/>
  <c r="AP452" i="6"/>
  <c r="AE452" i="6"/>
  <c r="AQ452" i="6"/>
  <c r="AX452" i="6"/>
  <c r="AE451" i="6"/>
  <c r="AG451" i="6"/>
  <c r="AO451" i="6"/>
  <c r="AT451" i="6"/>
  <c r="AB451" i="6"/>
  <c r="AY451" i="6"/>
  <c r="BF451" i="6"/>
  <c r="AN451" i="6"/>
  <c r="AV451" i="6"/>
  <c r="AF451" i="6"/>
  <c r="AH451" i="6"/>
  <c r="AX451" i="6"/>
  <c r="BA451" i="6"/>
  <c r="AI451" i="6"/>
  <c r="AC451" i="6"/>
  <c r="BC451" i="6"/>
  <c r="AZ451" i="6"/>
  <c r="BB451" i="6"/>
  <c r="AJ451" i="6"/>
  <c r="BE451" i="6"/>
  <c r="AR451" i="6"/>
  <c r="AU451" i="6"/>
  <c r="AK451" i="6"/>
  <c r="BD451" i="6"/>
  <c r="AS451" i="6"/>
  <c r="AM451" i="6"/>
  <c r="AQ451" i="6"/>
  <c r="BG451" i="6"/>
  <c r="AP451" i="6"/>
  <c r="G455" i="5" l="1"/>
  <c r="B455" i="6"/>
  <c r="A455" i="12"/>
  <c r="J455" i="12" s="1"/>
  <c r="AE455" i="5"/>
  <c r="J455" i="5"/>
  <c r="F455" i="5"/>
  <c r="H455" i="5"/>
  <c r="AD455" i="5"/>
  <c r="K455" i="5"/>
  <c r="C456" i="5"/>
  <c r="C457" i="5" s="1"/>
  <c r="N455" i="5"/>
  <c r="D455" i="6" s="1"/>
  <c r="H455" i="6" s="1"/>
  <c r="B455" i="5"/>
  <c r="E455" i="5"/>
  <c r="N453" i="6"/>
  <c r="A454" i="6"/>
  <c r="N454" i="6" s="1"/>
  <c r="J454" i="12"/>
  <c r="K454" i="12" s="1"/>
  <c r="BB453" i="6"/>
  <c r="BA453" i="6"/>
  <c r="AG453" i="6"/>
  <c r="AP453" i="6"/>
  <c r="AV453" i="6"/>
  <c r="BG453" i="6"/>
  <c r="AO453" i="6"/>
  <c r="AR453" i="6"/>
  <c r="AQ453" i="6"/>
  <c r="AI453" i="6"/>
  <c r="AZ453" i="6"/>
  <c r="AC453" i="6"/>
  <c r="AF453" i="6"/>
  <c r="BD453" i="6"/>
  <c r="BC453" i="6"/>
  <c r="AS453" i="6"/>
  <c r="AK453" i="6"/>
  <c r="BF453" i="6"/>
  <c r="AY453" i="6"/>
  <c r="AB453" i="6"/>
  <c r="AU453" i="6"/>
  <c r="AM453" i="6"/>
  <c r="AE453" i="6"/>
  <c r="AX453" i="6"/>
  <c r="AT453" i="6"/>
  <c r="BE453" i="6"/>
  <c r="AN453" i="6"/>
  <c r="AJ453" i="6"/>
  <c r="AH453" i="6"/>
  <c r="L455" i="12" l="1"/>
  <c r="K455" i="12" s="1"/>
  <c r="A456" i="12"/>
  <c r="J456" i="12" s="1"/>
  <c r="N456" i="5"/>
  <c r="D456" i="6" s="1"/>
  <c r="H456" i="6" s="1"/>
  <c r="AD456" i="5"/>
  <c r="B456" i="6"/>
  <c r="AE456" i="5"/>
  <c r="D456" i="5"/>
  <c r="B456" i="12" s="1"/>
  <c r="K456" i="5"/>
  <c r="G456" i="5"/>
  <c r="G457" i="5" s="1"/>
  <c r="J456" i="5"/>
  <c r="F456" i="5"/>
  <c r="F457" i="5" s="1"/>
  <c r="H456" i="5"/>
  <c r="H457" i="5" s="1"/>
  <c r="E456" i="5"/>
  <c r="E457" i="5" s="1"/>
  <c r="B456" i="5"/>
  <c r="B457" i="5" s="1"/>
  <c r="A455" i="6"/>
  <c r="M455" i="6" s="1"/>
  <c r="AN455" i="6" s="1"/>
  <c r="M454" i="6"/>
  <c r="AT454" i="6" s="1"/>
  <c r="AD457" i="5"/>
  <c r="AE457" i="5"/>
  <c r="K457" i="5"/>
  <c r="J457" i="5"/>
  <c r="N457" i="5"/>
  <c r="D457" i="6" s="1"/>
  <c r="H457" i="6" s="1"/>
  <c r="T457" i="5" s="1"/>
  <c r="G457" i="12" s="1"/>
  <c r="D457" i="5"/>
  <c r="B457" i="12" s="1"/>
  <c r="A457" i="12"/>
  <c r="B457" i="6"/>
  <c r="C458" i="5"/>
  <c r="T455" i="5"/>
  <c r="G455" i="12" s="1"/>
  <c r="L456" i="12" l="1"/>
  <c r="K456" i="12" s="1"/>
  <c r="N455" i="6"/>
  <c r="A456" i="6"/>
  <c r="M456" i="6" s="1"/>
  <c r="AQ456" i="6" s="1"/>
  <c r="AI455" i="6"/>
  <c r="AR455" i="6"/>
  <c r="BC455" i="6"/>
  <c r="AD455" i="6"/>
  <c r="AO455" i="6"/>
  <c r="AZ455" i="6"/>
  <c r="AK455" i="6"/>
  <c r="AT455" i="6"/>
  <c r="AQ455" i="6"/>
  <c r="AG455" i="6"/>
  <c r="AE455" i="6"/>
  <c r="BA455" i="6"/>
  <c r="BD455" i="6"/>
  <c r="AY455" i="6"/>
  <c r="AC455" i="6"/>
  <c r="AP455" i="6"/>
  <c r="AV455" i="6"/>
  <c r="AX455" i="6"/>
  <c r="BB455" i="6"/>
  <c r="AB455" i="6"/>
  <c r="BF455" i="6"/>
  <c r="AM455" i="6"/>
  <c r="BG455" i="6"/>
  <c r="AU455" i="6"/>
  <c r="AS455" i="6"/>
  <c r="AJ455" i="6"/>
  <c r="AH455" i="6"/>
  <c r="BE455" i="6"/>
  <c r="AF455" i="6"/>
  <c r="AP454" i="6"/>
  <c r="AK454" i="6"/>
  <c r="AO454" i="6"/>
  <c r="BE454" i="6"/>
  <c r="AY454" i="6"/>
  <c r="AF454" i="6"/>
  <c r="BB454" i="6"/>
  <c r="AC454" i="6"/>
  <c r="AU454" i="6"/>
  <c r="AR454" i="6"/>
  <c r="AJ454" i="6"/>
  <c r="BC454" i="6"/>
  <c r="AS454" i="6"/>
  <c r="AN454" i="6"/>
  <c r="BD454" i="6"/>
  <c r="AZ454" i="6"/>
  <c r="AB454" i="6"/>
  <c r="AM454" i="6"/>
  <c r="AQ454" i="6"/>
  <c r="AH454" i="6"/>
  <c r="AV454" i="6"/>
  <c r="AG454" i="6"/>
  <c r="AD454" i="6"/>
  <c r="BF454" i="6"/>
  <c r="AE454" i="6"/>
  <c r="BA454" i="6"/>
  <c r="BG454" i="6"/>
  <c r="AX454" i="6"/>
  <c r="AI454" i="6"/>
  <c r="D458" i="5"/>
  <c r="B458" i="12" s="1"/>
  <c r="F458" i="5"/>
  <c r="AD458" i="5"/>
  <c r="H458" i="5"/>
  <c r="N458" i="5"/>
  <c r="D458" i="6" s="1"/>
  <c r="H458" i="6" s="1"/>
  <c r="T458" i="5" s="1"/>
  <c r="G458" i="12" s="1"/>
  <c r="G458" i="5"/>
  <c r="B458" i="5"/>
  <c r="B458" i="6"/>
  <c r="C459" i="5"/>
  <c r="A458" i="12"/>
  <c r="E458" i="5"/>
  <c r="AE458" i="5"/>
  <c r="K458" i="5"/>
  <c r="J458" i="5"/>
  <c r="L457" i="12"/>
  <c r="J457" i="12"/>
  <c r="T456" i="5"/>
  <c r="G456" i="12" s="1"/>
  <c r="A457" i="6" l="1"/>
  <c r="M457" i="6" s="1"/>
  <c r="BB457" i="6" s="1"/>
  <c r="N456" i="6"/>
  <c r="AE456" i="6"/>
  <c r="AI456" i="6"/>
  <c r="BC456" i="6"/>
  <c r="AT456" i="6"/>
  <c r="AR456" i="6"/>
  <c r="AK456" i="6"/>
  <c r="AS456" i="6"/>
  <c r="AH456" i="6"/>
  <c r="AZ456" i="6"/>
  <c r="BF456" i="6"/>
  <c r="BG456" i="6"/>
  <c r="AJ456" i="6"/>
  <c r="AB456" i="6"/>
  <c r="AX456" i="6"/>
  <c r="BB456" i="6"/>
  <c r="AU456" i="6"/>
  <c r="AV456" i="6"/>
  <c r="BD456" i="6"/>
  <c r="AG456" i="6"/>
  <c r="AY456" i="6"/>
  <c r="AP456" i="6"/>
  <c r="AO456" i="6"/>
  <c r="BA456" i="6"/>
  <c r="AF456" i="6"/>
  <c r="AD456" i="6"/>
  <c r="AN456" i="6"/>
  <c r="AC456" i="6"/>
  <c r="AM456" i="6"/>
  <c r="BE456" i="6"/>
  <c r="K457" i="12"/>
  <c r="J458" i="12"/>
  <c r="L458" i="12"/>
  <c r="J459" i="5"/>
  <c r="F459" i="5"/>
  <c r="N459" i="5"/>
  <c r="D459" i="6" s="1"/>
  <c r="AD459" i="5"/>
  <c r="B459" i="5"/>
  <c r="B459" i="6"/>
  <c r="AE459" i="5"/>
  <c r="D459" i="5"/>
  <c r="B459" i="12" s="1"/>
  <c r="G459" i="5"/>
  <c r="K459" i="5"/>
  <c r="C460" i="5"/>
  <c r="H459" i="5"/>
  <c r="A459" i="12"/>
  <c r="E459" i="5"/>
  <c r="N457" i="6" l="1"/>
  <c r="A458" i="6"/>
  <c r="M458" i="6" s="1"/>
  <c r="BE458" i="6" s="1"/>
  <c r="AC457" i="6"/>
  <c r="AU457" i="6"/>
  <c r="AZ457" i="6"/>
  <c r="AO457" i="6"/>
  <c r="AH457" i="6"/>
  <c r="BD457" i="6"/>
  <c r="BG457" i="6"/>
  <c r="AY457" i="6"/>
  <c r="AB457" i="6"/>
  <c r="BE457" i="6"/>
  <c r="AG457" i="6"/>
  <c r="BF457" i="6"/>
  <c r="AV457" i="6"/>
  <c r="BA457" i="6"/>
  <c r="AJ457" i="6"/>
  <c r="AN457" i="6"/>
  <c r="AX457" i="6"/>
  <c r="BC457" i="6"/>
  <c r="AQ457" i="6"/>
  <c r="AT457" i="6"/>
  <c r="AF457" i="6"/>
  <c r="AR457" i="6"/>
  <c r="AI457" i="6"/>
  <c r="AP457" i="6"/>
  <c r="AS457" i="6"/>
  <c r="AM457" i="6"/>
  <c r="AD457" i="6"/>
  <c r="AE457" i="6"/>
  <c r="AK457" i="6"/>
  <c r="G460" i="5"/>
  <c r="B460" i="5"/>
  <c r="AD460" i="5"/>
  <c r="A460" i="12"/>
  <c r="E460" i="5"/>
  <c r="F460" i="5"/>
  <c r="D460" i="5"/>
  <c r="B460" i="12" s="1"/>
  <c r="AE460" i="5"/>
  <c r="C461" i="5"/>
  <c r="J460" i="5"/>
  <c r="B460" i="6"/>
  <c r="N460" i="5"/>
  <c r="D460" i="6" s="1"/>
  <c r="H460" i="6" s="1"/>
  <c r="T460" i="5" s="1"/>
  <c r="G460" i="12" s="1"/>
  <c r="H460" i="5"/>
  <c r="K460" i="5"/>
  <c r="H459" i="6"/>
  <c r="L459" i="12"/>
  <c r="J459" i="12"/>
  <c r="K458" i="12"/>
  <c r="A459" i="6" l="1"/>
  <c r="N459" i="6" s="1"/>
  <c r="N458" i="6"/>
  <c r="AK458" i="6"/>
  <c r="AS458" i="6"/>
  <c r="AN458" i="6"/>
  <c r="AE458" i="6"/>
  <c r="AY458" i="6"/>
  <c r="AP458" i="6"/>
  <c r="AG458" i="6"/>
  <c r="BA458" i="6"/>
  <c r="AT458" i="6"/>
  <c r="AD458" i="6"/>
  <c r="AU458" i="6"/>
  <c r="BB458" i="6"/>
  <c r="AM458" i="6"/>
  <c r="AH458" i="6"/>
  <c r="AJ458" i="6"/>
  <c r="AX458" i="6"/>
  <c r="AB458" i="6"/>
  <c r="BD458" i="6"/>
  <c r="AO458" i="6"/>
  <c r="AF458" i="6"/>
  <c r="BG458" i="6"/>
  <c r="AC458" i="6"/>
  <c r="AI458" i="6"/>
  <c r="AZ458" i="6"/>
  <c r="AV458" i="6"/>
  <c r="AQ458" i="6"/>
  <c r="AR458" i="6"/>
  <c r="BC458" i="6"/>
  <c r="BF458" i="6"/>
  <c r="K459" i="12"/>
  <c r="J460" i="12"/>
  <c r="L460" i="12"/>
  <c r="B461" i="6"/>
  <c r="J461" i="5"/>
  <c r="AD461" i="5"/>
  <c r="E461" i="5"/>
  <c r="AE461" i="5"/>
  <c r="D461" i="5"/>
  <c r="B461" i="12" s="1"/>
  <c r="B461" i="5"/>
  <c r="K461" i="5"/>
  <c r="C462" i="5"/>
  <c r="H461" i="5"/>
  <c r="F461" i="5"/>
  <c r="A461" i="12"/>
  <c r="G461" i="5"/>
  <c r="N461" i="5"/>
  <c r="D461" i="6" s="1"/>
  <c r="H461" i="6" s="1"/>
  <c r="T461" i="5" s="1"/>
  <c r="G461" i="12" s="1"/>
  <c r="T459" i="5"/>
  <c r="G459" i="12" s="1"/>
  <c r="M459" i="6" l="1"/>
  <c r="AG459" i="6" s="1"/>
  <c r="A460" i="6"/>
  <c r="A461" i="6" s="1"/>
  <c r="K460" i="12"/>
  <c r="J461" i="12"/>
  <c r="L461" i="12"/>
  <c r="K462" i="5"/>
  <c r="B462" i="6"/>
  <c r="A462" i="12"/>
  <c r="F462" i="5"/>
  <c r="C463" i="5"/>
  <c r="G462" i="5"/>
  <c r="E462" i="5"/>
  <c r="H462" i="5"/>
  <c r="D462" i="5"/>
  <c r="B462" i="12" s="1"/>
  <c r="AD462" i="5"/>
  <c r="J462" i="5"/>
  <c r="AE462" i="5"/>
  <c r="N462" i="5"/>
  <c r="D462" i="6" s="1"/>
  <c r="H462" i="6" s="1"/>
  <c r="T462" i="5" s="1"/>
  <c r="G462" i="12" s="1"/>
  <c r="B462" i="5"/>
  <c r="AE459" i="6" l="1"/>
  <c r="BB459" i="6"/>
  <c r="BF459" i="6"/>
  <c r="AD459" i="6"/>
  <c r="AS459" i="6"/>
  <c r="AF459" i="6"/>
  <c r="BC459" i="6"/>
  <c r="AK459" i="6"/>
  <c r="AP459" i="6"/>
  <c r="AQ459" i="6"/>
  <c r="AV459" i="6"/>
  <c r="AN459" i="6"/>
  <c r="AC459" i="6"/>
  <c r="AZ459" i="6"/>
  <c r="AO459" i="6"/>
  <c r="AR459" i="6"/>
  <c r="BE459" i="6"/>
  <c r="BD459" i="6"/>
  <c r="AX459" i="6"/>
  <c r="BG459" i="6"/>
  <c r="AY459" i="6"/>
  <c r="AH459" i="6"/>
  <c r="AB459" i="6"/>
  <c r="AU459" i="6"/>
  <c r="AT459" i="6"/>
  <c r="AJ459" i="6"/>
  <c r="BA459" i="6"/>
  <c r="AM459" i="6"/>
  <c r="AI459" i="6"/>
  <c r="N460" i="6"/>
  <c r="M460" i="6"/>
  <c r="AH460" i="6" s="1"/>
  <c r="K461" i="12"/>
  <c r="B463" i="6"/>
  <c r="AD463" i="5"/>
  <c r="AE463" i="5"/>
  <c r="J463" i="5"/>
  <c r="G463" i="5"/>
  <c r="C464" i="5"/>
  <c r="N463" i="5"/>
  <c r="D463" i="6" s="1"/>
  <c r="H463" i="5"/>
  <c r="K463" i="5"/>
  <c r="A463" i="12"/>
  <c r="D463" i="5"/>
  <c r="B463" i="12" s="1"/>
  <c r="E463" i="5"/>
  <c r="B463" i="5"/>
  <c r="F463" i="5"/>
  <c r="J462" i="12"/>
  <c r="L462" i="12"/>
  <c r="A462" i="6"/>
  <c r="M462" i="6" s="1"/>
  <c r="N461" i="6"/>
  <c r="M461" i="6"/>
  <c r="BG460" i="6" l="1"/>
  <c r="BC460" i="6"/>
  <c r="AR460" i="6"/>
  <c r="BD460" i="6"/>
  <c r="AC460" i="6"/>
  <c r="BF460" i="6"/>
  <c r="AS460" i="6"/>
  <c r="AE460" i="6"/>
  <c r="AZ460" i="6"/>
  <c r="AJ460" i="6"/>
  <c r="AK460" i="6"/>
  <c r="AO460" i="6"/>
  <c r="AN460" i="6"/>
  <c r="AP460" i="6"/>
  <c r="AV460" i="6"/>
  <c r="AT460" i="6"/>
  <c r="AY460" i="6"/>
  <c r="AU460" i="6"/>
  <c r="AQ460" i="6"/>
  <c r="AG460" i="6"/>
  <c r="BB460" i="6"/>
  <c r="AX460" i="6"/>
  <c r="AF460" i="6"/>
  <c r="AD460" i="6"/>
  <c r="BE460" i="6"/>
  <c r="AI460" i="6"/>
  <c r="AB460" i="6"/>
  <c r="AM460" i="6"/>
  <c r="BA460" i="6"/>
  <c r="N462" i="6"/>
  <c r="K462" i="12"/>
  <c r="H463" i="6"/>
  <c r="N464" i="5"/>
  <c r="D464" i="6" s="1"/>
  <c r="A464" i="12"/>
  <c r="J464" i="5"/>
  <c r="H464" i="5"/>
  <c r="AE464" i="5"/>
  <c r="B464" i="6"/>
  <c r="F464" i="5"/>
  <c r="G464" i="5"/>
  <c r="B464" i="5"/>
  <c r="E464" i="5"/>
  <c r="AD464" i="5"/>
  <c r="K464" i="5"/>
  <c r="C465" i="5"/>
  <c r="D464" i="5"/>
  <c r="B464" i="12" s="1"/>
  <c r="AK461" i="6"/>
  <c r="AG461" i="6"/>
  <c r="AP461" i="6"/>
  <c r="AZ461" i="6"/>
  <c r="AN461" i="6"/>
  <c r="AE461" i="6"/>
  <c r="BC461" i="6"/>
  <c r="AF461" i="6"/>
  <c r="AQ461" i="6"/>
  <c r="AS461" i="6"/>
  <c r="AV461" i="6"/>
  <c r="AX461" i="6"/>
  <c r="AI461" i="6"/>
  <c r="AJ461" i="6"/>
  <c r="AM461" i="6"/>
  <c r="AD461" i="6"/>
  <c r="BF461" i="6"/>
  <c r="AY461" i="6"/>
  <c r="AT461" i="6"/>
  <c r="AB461" i="6"/>
  <c r="AR461" i="6"/>
  <c r="BG461" i="6"/>
  <c r="BA461" i="6"/>
  <c r="BE461" i="6"/>
  <c r="AC461" i="6"/>
  <c r="AU461" i="6"/>
  <c r="BB461" i="6"/>
  <c r="AH461" i="6"/>
  <c r="BD461" i="6"/>
  <c r="AO461" i="6"/>
  <c r="J463" i="12"/>
  <c r="L463" i="12"/>
  <c r="AP462" i="6"/>
  <c r="AM462" i="6"/>
  <c r="AU462" i="6"/>
  <c r="AT462" i="6"/>
  <c r="AZ462" i="6"/>
  <c r="BA462" i="6"/>
  <c r="BG462" i="6"/>
  <c r="BF462" i="6"/>
  <c r="AQ462" i="6"/>
  <c r="AJ462" i="6"/>
  <c r="BB462" i="6"/>
  <c r="AY462" i="6"/>
  <c r="BE462" i="6"/>
  <c r="AR462" i="6"/>
  <c r="AS462" i="6"/>
  <c r="AC462" i="6"/>
  <c r="AE462" i="6"/>
  <c r="BC462" i="6"/>
  <c r="BD462" i="6"/>
  <c r="AO462" i="6"/>
  <c r="AG462" i="6"/>
  <c r="AV462" i="6"/>
  <c r="AX462" i="6"/>
  <c r="AN462" i="6"/>
  <c r="AF462" i="6"/>
  <c r="AD462" i="6"/>
  <c r="AK462" i="6"/>
  <c r="AI462" i="6"/>
  <c r="AH462" i="6"/>
  <c r="AB462" i="6"/>
  <c r="A463" i="6"/>
  <c r="N463" i="6" s="1"/>
  <c r="K463" i="12" l="1"/>
  <c r="J464" i="12"/>
  <c r="L464" i="12"/>
  <c r="H464" i="6"/>
  <c r="T463" i="5"/>
  <c r="G463" i="12" s="1"/>
  <c r="M463" i="6"/>
  <c r="A464" i="6"/>
  <c r="M464" i="6" s="1"/>
  <c r="AX464" i="6" s="1"/>
  <c r="D465" i="5"/>
  <c r="B465" i="12" s="1"/>
  <c r="N465" i="5"/>
  <c r="D465" i="6" s="1"/>
  <c r="H465" i="6" s="1"/>
  <c r="T465" i="5" s="1"/>
  <c r="G465" i="12" s="1"/>
  <c r="E465" i="5"/>
  <c r="AD465" i="5"/>
  <c r="A465" i="12"/>
  <c r="J465" i="5"/>
  <c r="H465" i="5"/>
  <c r="G465" i="5"/>
  <c r="K465" i="5"/>
  <c r="B465" i="5"/>
  <c r="C466" i="5"/>
  <c r="F465" i="5"/>
  <c r="AE465" i="5"/>
  <c r="B465" i="6"/>
  <c r="K464" i="12" l="1"/>
  <c r="AV463" i="6"/>
  <c r="AM463" i="6"/>
  <c r="AU463" i="6"/>
  <c r="BD463" i="6"/>
  <c r="BA463" i="6"/>
  <c r="AP463" i="6"/>
  <c r="AZ463" i="6"/>
  <c r="AQ463" i="6"/>
  <c r="AN463" i="6"/>
  <c r="BB463" i="6"/>
  <c r="BC463" i="6"/>
  <c r="AT463" i="6"/>
  <c r="AR463" i="6"/>
  <c r="AS463" i="6"/>
  <c r="BF463" i="6"/>
  <c r="BG463" i="6"/>
  <c r="AO463" i="6"/>
  <c r="AY463" i="6"/>
  <c r="AX463" i="6"/>
  <c r="BE463" i="6"/>
  <c r="AJ463" i="6"/>
  <c r="AP464" i="6"/>
  <c r="AZ464" i="6"/>
  <c r="AU464" i="6"/>
  <c r="BF464" i="6"/>
  <c r="A465" i="6"/>
  <c r="N465" i="6" s="1"/>
  <c r="AD463" i="6"/>
  <c r="AH463" i="6"/>
  <c r="T464" i="5"/>
  <c r="G464" i="12" s="1"/>
  <c r="AB464" i="6"/>
  <c r="AK464" i="6"/>
  <c r="AD464" i="6"/>
  <c r="AC464" i="6"/>
  <c r="AG464" i="6"/>
  <c r="AJ464" i="6"/>
  <c r="AM464" i="6"/>
  <c r="AY464" i="6"/>
  <c r="AK463" i="6"/>
  <c r="J465" i="12"/>
  <c r="L465" i="12"/>
  <c r="AC463" i="6"/>
  <c r="AE463" i="6"/>
  <c r="AI464" i="6"/>
  <c r="AV464" i="6"/>
  <c r="AE464" i="6"/>
  <c r="AT464" i="6"/>
  <c r="AO464" i="6"/>
  <c r="BB464" i="6"/>
  <c r="BA464" i="6"/>
  <c r="AB463" i="6"/>
  <c r="B466" i="5"/>
  <c r="K466" i="5"/>
  <c r="G466" i="5"/>
  <c r="F466" i="5"/>
  <c r="AD466" i="5"/>
  <c r="J466" i="5"/>
  <c r="H466" i="5"/>
  <c r="AE466" i="5"/>
  <c r="N466" i="5"/>
  <c r="D466" i="6" s="1"/>
  <c r="C467" i="5"/>
  <c r="D466" i="5"/>
  <c r="B466" i="12" s="1"/>
  <c r="E466" i="5"/>
  <c r="A466" i="12"/>
  <c r="B466" i="6"/>
  <c r="AF463" i="6"/>
  <c r="AH464" i="6"/>
  <c r="BD464" i="6"/>
  <c r="N464" i="6"/>
  <c r="BE464" i="6"/>
  <c r="AI463" i="6"/>
  <c r="AN464" i="6"/>
  <c r="AS464" i="6"/>
  <c r="BC464" i="6"/>
  <c r="AR464" i="6"/>
  <c r="AG463" i="6"/>
  <c r="AF464" i="6"/>
  <c r="BG464" i="6"/>
  <c r="AQ464" i="6"/>
  <c r="M465" i="6" l="1"/>
  <c r="AV465" i="6" s="1"/>
  <c r="A466" i="6"/>
  <c r="M466" i="6" s="1"/>
  <c r="K465" i="12"/>
  <c r="J466" i="12"/>
  <c r="L466" i="12"/>
  <c r="AD467" i="5"/>
  <c r="F467" i="5"/>
  <c r="K467" i="5"/>
  <c r="D467" i="5"/>
  <c r="B467" i="12" s="1"/>
  <c r="AE467" i="5"/>
  <c r="G467" i="5"/>
  <c r="B467" i="5"/>
  <c r="N467" i="5"/>
  <c r="D467" i="6" s="1"/>
  <c r="B467" i="6"/>
  <c r="E467" i="5"/>
  <c r="A467" i="12"/>
  <c r="H467" i="5"/>
  <c r="C468" i="5"/>
  <c r="J467" i="5"/>
  <c r="H466" i="6"/>
  <c r="N466" i="6" l="1"/>
  <c r="BC465" i="6"/>
  <c r="BB465" i="6"/>
  <c r="AJ465" i="6"/>
  <c r="AO465" i="6"/>
  <c r="AN465" i="6"/>
  <c r="AB465" i="6"/>
  <c r="AR465" i="6"/>
  <c r="AF465" i="6"/>
  <c r="BF465" i="6"/>
  <c r="AU465" i="6"/>
  <c r="AI465" i="6"/>
  <c r="AQ465" i="6"/>
  <c r="BG465" i="6"/>
  <c r="BA465" i="6"/>
  <c r="AK465" i="6"/>
  <c r="AG465" i="6"/>
  <c r="AX465" i="6"/>
  <c r="BE465" i="6"/>
  <c r="AZ465" i="6"/>
  <c r="BD465" i="6"/>
  <c r="AY465" i="6"/>
  <c r="AT465" i="6"/>
  <c r="AE465" i="6"/>
  <c r="AS465" i="6"/>
  <c r="AH465" i="6"/>
  <c r="AD465" i="6"/>
  <c r="AP465" i="6"/>
  <c r="AM465" i="6"/>
  <c r="AC465" i="6"/>
  <c r="K466" i="12"/>
  <c r="T466" i="5"/>
  <c r="G466" i="12" s="1"/>
  <c r="AG466" i="6"/>
  <c r="AI466" i="6"/>
  <c r="AC466" i="6"/>
  <c r="AE466" i="6"/>
  <c r="AF466" i="6"/>
  <c r="AH466" i="6"/>
  <c r="AB466" i="6"/>
  <c r="AJ466" i="6"/>
  <c r="AK466" i="6"/>
  <c r="AD466" i="6"/>
  <c r="A467" i="6"/>
  <c r="M467" i="6" s="1"/>
  <c r="AF467" i="6" s="1"/>
  <c r="H467" i="6"/>
  <c r="AM466" i="6"/>
  <c r="AU466" i="6"/>
  <c r="BB466" i="6"/>
  <c r="BD466" i="6"/>
  <c r="BC466" i="6"/>
  <c r="AX466" i="6"/>
  <c r="BE466" i="6"/>
  <c r="AR466" i="6"/>
  <c r="AV466" i="6"/>
  <c r="AN466" i="6"/>
  <c r="AY466" i="6"/>
  <c r="BF466" i="6"/>
  <c r="AZ466" i="6"/>
  <c r="BG466" i="6"/>
  <c r="AO466" i="6"/>
  <c r="AS466" i="6"/>
  <c r="AQ466" i="6"/>
  <c r="AP466" i="6"/>
  <c r="BA466" i="6"/>
  <c r="AT466" i="6"/>
  <c r="L467" i="12"/>
  <c r="J467" i="12"/>
  <c r="E468" i="5"/>
  <c r="K468" i="5"/>
  <c r="D468" i="5"/>
  <c r="B468" i="12" s="1"/>
  <c r="C469" i="5"/>
  <c r="J468" i="5"/>
  <c r="N468" i="5"/>
  <c r="D468" i="6" s="1"/>
  <c r="AE468" i="5"/>
  <c r="B468" i="6"/>
  <c r="G468" i="5"/>
  <c r="AD468" i="5"/>
  <c r="A468" i="12"/>
  <c r="F468" i="5"/>
  <c r="B468" i="5"/>
  <c r="H468" i="5"/>
  <c r="A468" i="6" l="1"/>
  <c r="M468" i="6" s="1"/>
  <c r="AS468" i="6" s="1"/>
  <c r="AK467" i="6"/>
  <c r="BG467" i="6"/>
  <c r="H468" i="6"/>
  <c r="AY467" i="6"/>
  <c r="N467" i="6"/>
  <c r="T467" i="5"/>
  <c r="G467" i="12" s="1"/>
  <c r="AG467" i="6"/>
  <c r="AH467" i="6"/>
  <c r="AB467" i="6"/>
  <c r="AE467" i="6"/>
  <c r="AI467" i="6"/>
  <c r="AD467" i="6"/>
  <c r="AJ467" i="6"/>
  <c r="AC467" i="6"/>
  <c r="AP467" i="6"/>
  <c r="BE467" i="6"/>
  <c r="AO467" i="6"/>
  <c r="BA467" i="6"/>
  <c r="AU467" i="6"/>
  <c r="AX467" i="6"/>
  <c r="AT467" i="6"/>
  <c r="AQ467" i="6"/>
  <c r="BF467" i="6"/>
  <c r="BD467" i="6"/>
  <c r="AM467" i="6"/>
  <c r="AN467" i="6"/>
  <c r="AS467" i="6"/>
  <c r="AZ467" i="6"/>
  <c r="AR467" i="6"/>
  <c r="BC467" i="6"/>
  <c r="AV467" i="6"/>
  <c r="BB467" i="6"/>
  <c r="A469" i="12"/>
  <c r="G469" i="5"/>
  <c r="AE469" i="5"/>
  <c r="N469" i="5"/>
  <c r="D469" i="6" s="1"/>
  <c r="H469" i="5"/>
  <c r="C470" i="5"/>
  <c r="E469" i="5"/>
  <c r="F469" i="5"/>
  <c r="AD469" i="5"/>
  <c r="D469" i="5"/>
  <c r="B469" i="12" s="1"/>
  <c r="J469" i="5"/>
  <c r="K469" i="5"/>
  <c r="B469" i="6"/>
  <c r="B469" i="5"/>
  <c r="J468" i="12"/>
  <c r="L468" i="12"/>
  <c r="K467" i="12"/>
  <c r="K433" i="5"/>
  <c r="K430" i="5"/>
  <c r="K427" i="5"/>
  <c r="N468" i="6" l="1"/>
  <c r="A469" i="6"/>
  <c r="M469" i="6" s="1"/>
  <c r="AU469" i="6" s="1"/>
  <c r="AG468" i="6"/>
  <c r="AI468" i="6"/>
  <c r="AZ468" i="6"/>
  <c r="BC468" i="6"/>
  <c r="BB468" i="6"/>
  <c r="AV468" i="6"/>
  <c r="AJ468" i="6"/>
  <c r="AR468" i="6"/>
  <c r="AO468" i="6"/>
  <c r="BA468" i="6"/>
  <c r="AH468" i="6"/>
  <c r="AX468" i="6"/>
  <c r="BF468" i="6"/>
  <c r="BE468" i="6"/>
  <c r="BD468" i="6"/>
  <c r="BG468" i="6"/>
  <c r="AT468" i="6"/>
  <c r="AM468" i="6"/>
  <c r="AN468" i="6"/>
  <c r="AQ468" i="6"/>
  <c r="AY468" i="6"/>
  <c r="AB468" i="6"/>
  <c r="AP468" i="6"/>
  <c r="AU468" i="6"/>
  <c r="T468" i="5"/>
  <c r="G468" i="12" s="1"/>
  <c r="AC468" i="6"/>
  <c r="AF468" i="6"/>
  <c r="AE468" i="6"/>
  <c r="AK468" i="6"/>
  <c r="AD468" i="6"/>
  <c r="K468" i="12"/>
  <c r="L469" i="12"/>
  <c r="J469" i="12"/>
  <c r="D470" i="5"/>
  <c r="B470" i="12" s="1"/>
  <c r="K470" i="5"/>
  <c r="C471" i="5"/>
  <c r="AD470" i="5"/>
  <c r="B470" i="5"/>
  <c r="A470" i="12"/>
  <c r="N470" i="5"/>
  <c r="D470" i="6" s="1"/>
  <c r="H470" i="6" s="1"/>
  <c r="T470" i="5" s="1"/>
  <c r="G470" i="12" s="1"/>
  <c r="AE470" i="5"/>
  <c r="G470" i="5"/>
  <c r="H470" i="5"/>
  <c r="J470" i="5"/>
  <c r="F470" i="5"/>
  <c r="E470" i="5"/>
  <c r="B470" i="6"/>
  <c r="H469" i="6"/>
  <c r="N469" i="6" l="1"/>
  <c r="AY469" i="6"/>
  <c r="AS469" i="6"/>
  <c r="K469" i="12"/>
  <c r="AV469" i="6"/>
  <c r="BE469" i="6"/>
  <c r="AM469" i="6"/>
  <c r="BG469" i="6"/>
  <c r="BC469" i="6"/>
  <c r="BF469" i="6"/>
  <c r="AO469" i="6"/>
  <c r="BD469" i="6"/>
  <c r="AN469" i="6"/>
  <c r="A470" i="6"/>
  <c r="M470" i="6" s="1"/>
  <c r="AQ470" i="6" s="1"/>
  <c r="AR469" i="6"/>
  <c r="AT469" i="6"/>
  <c r="AP469" i="6"/>
  <c r="AX469" i="6"/>
  <c r="AZ469" i="6"/>
  <c r="AQ469" i="6"/>
  <c r="BB469" i="6"/>
  <c r="BA469" i="6"/>
  <c r="L470" i="12"/>
  <c r="J470" i="12"/>
  <c r="T469" i="5"/>
  <c r="G469" i="12" s="1"/>
  <c r="AK469" i="6"/>
  <c r="AJ469" i="6"/>
  <c r="AB469" i="6"/>
  <c r="AD469" i="6"/>
  <c r="AF469" i="6"/>
  <c r="AH469" i="6"/>
  <c r="AG469" i="6"/>
  <c r="AC469" i="6"/>
  <c r="AI469" i="6"/>
  <c r="AE469" i="6"/>
  <c r="G471" i="5"/>
  <c r="J471" i="5"/>
  <c r="K471" i="5"/>
  <c r="AD471" i="5"/>
  <c r="F471" i="5"/>
  <c r="H471" i="5"/>
  <c r="A471" i="12"/>
  <c r="B471" i="6"/>
  <c r="B471" i="5"/>
  <c r="C472" i="5"/>
  <c r="E471" i="5"/>
  <c r="AE471" i="5"/>
  <c r="N471" i="5"/>
  <c r="D471" i="6" s="1"/>
  <c r="H471" i="6" s="1"/>
  <c r="T471" i="5" s="1"/>
  <c r="G471" i="12" s="1"/>
  <c r="D471" i="5"/>
  <c r="B471" i="12" s="1"/>
  <c r="K470" i="12" l="1"/>
  <c r="BC470" i="6"/>
  <c r="AB470" i="6"/>
  <c r="AY470" i="6"/>
  <c r="AI470" i="6"/>
  <c r="AD470" i="6"/>
  <c r="AU470" i="6"/>
  <c r="BB470" i="6"/>
  <c r="AV470" i="6"/>
  <c r="AN470" i="6"/>
  <c r="AC470" i="6"/>
  <c r="AZ470" i="6"/>
  <c r="AP470" i="6"/>
  <c r="BE470" i="6"/>
  <c r="BD470" i="6"/>
  <c r="AK470" i="6"/>
  <c r="BA470" i="6"/>
  <c r="AJ470" i="6"/>
  <c r="AG470" i="6"/>
  <c r="AF470" i="6"/>
  <c r="AH470" i="6"/>
  <c r="BG470" i="6"/>
  <c r="AM470" i="6"/>
  <c r="AE470" i="6"/>
  <c r="AO470" i="6"/>
  <c r="BF470" i="6"/>
  <c r="AR470" i="6"/>
  <c r="AS470" i="6"/>
  <c r="AX470" i="6"/>
  <c r="AT470" i="6"/>
  <c r="N470" i="6"/>
  <c r="A471" i="6"/>
  <c r="J471" i="12"/>
  <c r="L471" i="12"/>
  <c r="B472" i="6"/>
  <c r="B472" i="5"/>
  <c r="E472" i="5"/>
  <c r="G472" i="5"/>
  <c r="N472" i="5"/>
  <c r="D472" i="6" s="1"/>
  <c r="H472" i="6" s="1"/>
  <c r="T472" i="5" s="1"/>
  <c r="G472" i="12" s="1"/>
  <c r="AD472" i="5"/>
  <c r="A472" i="12"/>
  <c r="K472" i="5"/>
  <c r="C473" i="5"/>
  <c r="H472" i="5"/>
  <c r="D472" i="5"/>
  <c r="B472" i="12" s="1"/>
  <c r="AE472" i="5"/>
  <c r="J472" i="5"/>
  <c r="F472" i="5"/>
  <c r="L472" i="12" l="1"/>
  <c r="J472" i="12"/>
  <c r="K471" i="12"/>
  <c r="M471" i="6"/>
  <c r="N471" i="6"/>
  <c r="A473" i="12"/>
  <c r="C474" i="5"/>
  <c r="AD473" i="5"/>
  <c r="B473" i="6"/>
  <c r="F473" i="5"/>
  <c r="AE473" i="5"/>
  <c r="H473" i="5"/>
  <c r="J473" i="5"/>
  <c r="B473" i="5"/>
  <c r="N473" i="5"/>
  <c r="D473" i="6" s="1"/>
  <c r="H473" i="6" s="1"/>
  <c r="T473" i="5" s="1"/>
  <c r="G473" i="12" s="1"/>
  <c r="D473" i="5"/>
  <c r="B473" i="12" s="1"/>
  <c r="G473" i="5"/>
  <c r="K473" i="5"/>
  <c r="E473" i="5"/>
  <c r="A472" i="6"/>
  <c r="N472" i="6" s="1"/>
  <c r="K472" i="12" l="1"/>
  <c r="F474" i="5"/>
  <c r="AD474" i="5"/>
  <c r="B474" i="6"/>
  <c r="J474" i="5"/>
  <c r="D474" i="5"/>
  <c r="B474" i="12" s="1"/>
  <c r="A474" i="12"/>
  <c r="B474" i="5"/>
  <c r="H474" i="5"/>
  <c r="C475" i="5"/>
  <c r="G474" i="5"/>
  <c r="AE474" i="5"/>
  <c r="K474" i="5"/>
  <c r="E474" i="5"/>
  <c r="N474" i="5"/>
  <c r="D474" i="6" s="1"/>
  <c r="H474" i="6" s="1"/>
  <c r="T474" i="5" s="1"/>
  <c r="G474" i="12" s="1"/>
  <c r="J473" i="12"/>
  <c r="L473" i="12"/>
  <c r="AU471" i="6"/>
  <c r="AT471" i="6"/>
  <c r="AG471" i="6"/>
  <c r="AS471" i="6"/>
  <c r="AQ471" i="6"/>
  <c r="AF471" i="6"/>
  <c r="AK471" i="6"/>
  <c r="BE471" i="6"/>
  <c r="AO471" i="6"/>
  <c r="AI471" i="6"/>
  <c r="BA471" i="6"/>
  <c r="AJ471" i="6"/>
  <c r="AP471" i="6"/>
  <c r="AE471" i="6"/>
  <c r="BD471" i="6"/>
  <c r="AH471" i="6"/>
  <c r="BC471" i="6"/>
  <c r="AX471" i="6"/>
  <c r="AZ471" i="6"/>
  <c r="AY471" i="6"/>
  <c r="BF471" i="6"/>
  <c r="AD471" i="6"/>
  <c r="AR471" i="6"/>
  <c r="AM471" i="6"/>
  <c r="AC471" i="6"/>
  <c r="BG471" i="6"/>
  <c r="AN471" i="6"/>
  <c r="AB471" i="6"/>
  <c r="AV471" i="6"/>
  <c r="BB471" i="6"/>
  <c r="A473" i="6"/>
  <c r="N473" i="6" s="1"/>
  <c r="M472" i="6"/>
  <c r="K473" i="12" l="1"/>
  <c r="L474" i="12"/>
  <c r="J474" i="12"/>
  <c r="A474" i="6"/>
  <c r="AF472" i="6"/>
  <c r="AU472" i="6"/>
  <c r="AC472" i="6"/>
  <c r="AO472" i="6"/>
  <c r="AM472" i="6"/>
  <c r="AI472" i="6"/>
  <c r="AH472" i="6"/>
  <c r="BD472" i="6"/>
  <c r="BB472" i="6"/>
  <c r="BG472" i="6"/>
  <c r="AQ472" i="6"/>
  <c r="AT472" i="6"/>
  <c r="AP472" i="6"/>
  <c r="AY472" i="6"/>
  <c r="AV472" i="6"/>
  <c r="AE472" i="6"/>
  <c r="AN472" i="6"/>
  <c r="AB472" i="6"/>
  <c r="BF472" i="6"/>
  <c r="AX472" i="6"/>
  <c r="BC472" i="6"/>
  <c r="AJ472" i="6"/>
  <c r="AZ472" i="6"/>
  <c r="BE472" i="6"/>
  <c r="AK472" i="6"/>
  <c r="AR472" i="6"/>
  <c r="AG472" i="6"/>
  <c r="AS472" i="6"/>
  <c r="AD472" i="6"/>
  <c r="BA472" i="6"/>
  <c r="M473" i="6"/>
  <c r="K475" i="5"/>
  <c r="E475" i="5"/>
  <c r="AD475" i="5"/>
  <c r="AE475" i="5"/>
  <c r="D475" i="5"/>
  <c r="B475" i="12" s="1"/>
  <c r="C476" i="5"/>
  <c r="H475" i="5"/>
  <c r="G475" i="5"/>
  <c r="F475" i="5"/>
  <c r="J475" i="5"/>
  <c r="B475" i="5"/>
  <c r="N475" i="5"/>
  <c r="D475" i="6" s="1"/>
  <c r="A475" i="12"/>
  <c r="B475" i="6"/>
  <c r="K474" i="12" l="1"/>
  <c r="A475" i="6"/>
  <c r="N475" i="6" s="1"/>
  <c r="F476" i="5"/>
  <c r="N476" i="5"/>
  <c r="D476" i="6" s="1"/>
  <c r="H476" i="6" s="1"/>
  <c r="T476" i="5" s="1"/>
  <c r="G476" i="12" s="1"/>
  <c r="A476" i="12"/>
  <c r="B476" i="5"/>
  <c r="G476" i="5"/>
  <c r="C477" i="5"/>
  <c r="AE476" i="5"/>
  <c r="K476" i="5"/>
  <c r="H476" i="5"/>
  <c r="B476" i="6"/>
  <c r="AD476" i="5"/>
  <c r="D476" i="5"/>
  <c r="B476" i="12" s="1"/>
  <c r="J476" i="5"/>
  <c r="E476" i="5"/>
  <c r="J475" i="12"/>
  <c r="L475" i="12"/>
  <c r="H475" i="6"/>
  <c r="T475" i="5" s="1"/>
  <c r="G475" i="12" s="1"/>
  <c r="M474" i="6"/>
  <c r="N474" i="6"/>
  <c r="AY473" i="6"/>
  <c r="AS473" i="6"/>
  <c r="AU473" i="6"/>
  <c r="AB473" i="6"/>
  <c r="AE473" i="6"/>
  <c r="AP473" i="6"/>
  <c r="BF473" i="6"/>
  <c r="AO473" i="6"/>
  <c r="AF473" i="6"/>
  <c r="AV473" i="6"/>
  <c r="AZ473" i="6"/>
  <c r="AD473" i="6"/>
  <c r="AX473" i="6"/>
  <c r="AJ473" i="6"/>
  <c r="AG473" i="6"/>
  <c r="AK473" i="6"/>
  <c r="AQ473" i="6"/>
  <c r="AN473" i="6"/>
  <c r="AI473" i="6"/>
  <c r="AH473" i="6"/>
  <c r="AT473" i="6"/>
  <c r="AR473" i="6"/>
  <c r="BA473" i="6"/>
  <c r="BD473" i="6"/>
  <c r="AC473" i="6"/>
  <c r="AM473" i="6"/>
  <c r="BB473" i="6"/>
  <c r="BG473" i="6"/>
  <c r="BE473" i="6"/>
  <c r="BC473" i="6"/>
  <c r="M475" i="6" l="1"/>
  <c r="BB475" i="6" s="1"/>
  <c r="A476" i="6"/>
  <c r="N476" i="6" s="1"/>
  <c r="AM474" i="6"/>
  <c r="BC474" i="6"/>
  <c r="BB474" i="6"/>
  <c r="AX474" i="6"/>
  <c r="AS474" i="6"/>
  <c r="AQ474" i="6"/>
  <c r="AE474" i="6"/>
  <c r="AV474" i="6"/>
  <c r="AN474" i="6"/>
  <c r="AR474" i="6"/>
  <c r="BE474" i="6"/>
  <c r="AJ474" i="6"/>
  <c r="AK474" i="6"/>
  <c r="BG474" i="6"/>
  <c r="AU474" i="6"/>
  <c r="AB474" i="6"/>
  <c r="BA474" i="6"/>
  <c r="AZ474" i="6"/>
  <c r="BF474" i="6"/>
  <c r="AD474" i="6"/>
  <c r="AP474" i="6"/>
  <c r="AT474" i="6"/>
  <c r="AO474" i="6"/>
  <c r="AY474" i="6"/>
  <c r="AH474" i="6"/>
  <c r="AG474" i="6"/>
  <c r="AF474" i="6"/>
  <c r="BD474" i="6"/>
  <c r="AI474" i="6"/>
  <c r="AC474" i="6"/>
  <c r="H477" i="5"/>
  <c r="J477" i="5"/>
  <c r="G477" i="5"/>
  <c r="AE477" i="5"/>
  <c r="N477" i="5"/>
  <c r="D477" i="6" s="1"/>
  <c r="D477" i="5"/>
  <c r="B477" i="12" s="1"/>
  <c r="A477" i="12"/>
  <c r="K477" i="5"/>
  <c r="AD477" i="5"/>
  <c r="E477" i="5"/>
  <c r="F477" i="5"/>
  <c r="C478" i="5"/>
  <c r="B477" i="6"/>
  <c r="B477" i="5"/>
  <c r="J476" i="12"/>
  <c r="L476" i="12"/>
  <c r="K475" i="12"/>
  <c r="A477" i="6" l="1"/>
  <c r="N477" i="6" s="1"/>
  <c r="BF475" i="6"/>
  <c r="BE475" i="6"/>
  <c r="AO475" i="6"/>
  <c r="AG475" i="6"/>
  <c r="AH475" i="6"/>
  <c r="AD475" i="6"/>
  <c r="BG475" i="6"/>
  <c r="AK475" i="6"/>
  <c r="AP475" i="6"/>
  <c r="AF475" i="6"/>
  <c r="AB475" i="6"/>
  <c r="AN475" i="6"/>
  <c r="AV475" i="6"/>
  <c r="AM475" i="6"/>
  <c r="AY475" i="6"/>
  <c r="AS475" i="6"/>
  <c r="AZ475" i="6"/>
  <c r="AX475" i="6"/>
  <c r="BA475" i="6"/>
  <c r="BD475" i="6"/>
  <c r="AQ475" i="6"/>
  <c r="AR475" i="6"/>
  <c r="AJ475" i="6"/>
  <c r="M476" i="6"/>
  <c r="AF476" i="6" s="1"/>
  <c r="BC475" i="6"/>
  <c r="AI475" i="6"/>
  <c r="AU475" i="6"/>
  <c r="AE475" i="6"/>
  <c r="AC475" i="6"/>
  <c r="AT475" i="6"/>
  <c r="K476" i="12"/>
  <c r="J477" i="12"/>
  <c r="L477" i="12"/>
  <c r="H477" i="6"/>
  <c r="A478" i="12"/>
  <c r="AD478" i="5"/>
  <c r="G478" i="5"/>
  <c r="F478" i="5"/>
  <c r="J478" i="5"/>
  <c r="E478" i="5"/>
  <c r="C479" i="5"/>
  <c r="B478" i="6"/>
  <c r="H478" i="5"/>
  <c r="K478" i="5"/>
  <c r="AE478" i="5"/>
  <c r="N478" i="5"/>
  <c r="D478" i="6" s="1"/>
  <c r="B478" i="5"/>
  <c r="D478" i="5"/>
  <c r="B478" i="12" s="1"/>
  <c r="M477" i="6" l="1"/>
  <c r="AU477" i="6" s="1"/>
  <c r="AD476" i="6"/>
  <c r="BE476" i="6"/>
  <c r="AM476" i="6"/>
  <c r="AV476" i="6"/>
  <c r="AN476" i="6"/>
  <c r="AT476" i="6"/>
  <c r="AQ476" i="6"/>
  <c r="AE476" i="6"/>
  <c r="AH476" i="6"/>
  <c r="AC476" i="6"/>
  <c r="AP476" i="6"/>
  <c r="BG476" i="6"/>
  <c r="BB476" i="6"/>
  <c r="AU476" i="6"/>
  <c r="AI476" i="6"/>
  <c r="AS476" i="6"/>
  <c r="AJ476" i="6"/>
  <c r="AR476" i="6"/>
  <c r="AZ476" i="6"/>
  <c r="BA476" i="6"/>
  <c r="AO476" i="6"/>
  <c r="AB476" i="6"/>
  <c r="AY476" i="6"/>
  <c r="BF476" i="6"/>
  <c r="BD476" i="6"/>
  <c r="AK476" i="6"/>
  <c r="AX476" i="6"/>
  <c r="BC476" i="6"/>
  <c r="AG476" i="6"/>
  <c r="K477" i="12"/>
  <c r="A478" i="6"/>
  <c r="N478" i="6" s="1"/>
  <c r="H478" i="6"/>
  <c r="L478" i="12"/>
  <c r="J478" i="12"/>
  <c r="G479" i="5"/>
  <c r="F479" i="5"/>
  <c r="AE479" i="5"/>
  <c r="E479" i="5"/>
  <c r="K479" i="5"/>
  <c r="B479" i="5"/>
  <c r="A479" i="12"/>
  <c r="C480" i="5"/>
  <c r="H479" i="5"/>
  <c r="AD479" i="5"/>
  <c r="D479" i="5"/>
  <c r="B479" i="12" s="1"/>
  <c r="N479" i="5"/>
  <c r="D479" i="6" s="1"/>
  <c r="H479" i="6" s="1"/>
  <c r="T479" i="5" s="1"/>
  <c r="G479" i="12" s="1"/>
  <c r="J479" i="5"/>
  <c r="B479" i="6"/>
  <c r="T477" i="5"/>
  <c r="G477" i="12" s="1"/>
  <c r="AP477" i="6" l="1"/>
  <c r="AK477" i="6"/>
  <c r="AC477" i="6"/>
  <c r="AM477" i="6"/>
  <c r="AZ477" i="6"/>
  <c r="AX477" i="6"/>
  <c r="AQ477" i="6"/>
  <c r="AS477" i="6"/>
  <c r="AG477" i="6"/>
  <c r="AD477" i="6"/>
  <c r="BB477" i="6"/>
  <c r="BF477" i="6"/>
  <c r="AF477" i="6"/>
  <c r="AT477" i="6"/>
  <c r="BG477" i="6"/>
  <c r="AV477" i="6"/>
  <c r="AE477" i="6"/>
  <c r="AY477" i="6"/>
  <c r="AJ477" i="6"/>
  <c r="AO477" i="6"/>
  <c r="BC477" i="6"/>
  <c r="BD477" i="6"/>
  <c r="AN477" i="6"/>
  <c r="BA477" i="6"/>
  <c r="AR477" i="6"/>
  <c r="AI477" i="6"/>
  <c r="AH477" i="6"/>
  <c r="AB477" i="6"/>
  <c r="BE477" i="6"/>
  <c r="M478" i="6"/>
  <c r="BA478" i="6" s="1"/>
  <c r="K478" i="12"/>
  <c r="F480" i="5"/>
  <c r="H480" i="5"/>
  <c r="J480" i="5"/>
  <c r="K480" i="5"/>
  <c r="D480" i="5"/>
  <c r="B480" i="12" s="1"/>
  <c r="G480" i="5"/>
  <c r="N480" i="5"/>
  <c r="D480" i="6" s="1"/>
  <c r="H480" i="6" s="1"/>
  <c r="T480" i="5" s="1"/>
  <c r="G480" i="12" s="1"/>
  <c r="AE480" i="5"/>
  <c r="B480" i="6"/>
  <c r="AD480" i="5"/>
  <c r="A480" i="12"/>
  <c r="E480" i="5"/>
  <c r="B480" i="5"/>
  <c r="C481" i="5"/>
  <c r="L479" i="12"/>
  <c r="J479" i="12"/>
  <c r="A479" i="6"/>
  <c r="T478" i="5"/>
  <c r="G478" i="12" s="1"/>
  <c r="K479" i="12" l="1"/>
  <c r="BC478" i="6"/>
  <c r="AQ478" i="6"/>
  <c r="AN478" i="6"/>
  <c r="AT478" i="6"/>
  <c r="BD478" i="6"/>
  <c r="AB478" i="6"/>
  <c r="AY478" i="6"/>
  <c r="BF478" i="6"/>
  <c r="AZ478" i="6"/>
  <c r="BE478" i="6"/>
  <c r="AR478" i="6"/>
  <c r="AS478" i="6"/>
  <c r="AC478" i="6"/>
  <c r="BB478" i="6"/>
  <c r="AH478" i="6"/>
  <c r="AO478" i="6"/>
  <c r="AK478" i="6"/>
  <c r="AU478" i="6"/>
  <c r="AD478" i="6"/>
  <c r="AP478" i="6"/>
  <c r="AE478" i="6"/>
  <c r="AI478" i="6"/>
  <c r="BG478" i="6"/>
  <c r="AF478" i="6"/>
  <c r="AV478" i="6"/>
  <c r="AM478" i="6"/>
  <c r="AJ478" i="6"/>
  <c r="AX478" i="6"/>
  <c r="A480" i="6"/>
  <c r="M480" i="6" s="1"/>
  <c r="AK480" i="6" s="1"/>
  <c r="AG478" i="6"/>
  <c r="E481" i="5"/>
  <c r="D481" i="5"/>
  <c r="B481" i="12" s="1"/>
  <c r="AD481" i="5"/>
  <c r="N481" i="5"/>
  <c r="D481" i="6" s="1"/>
  <c r="H481" i="6" s="1"/>
  <c r="T481" i="5" s="1"/>
  <c r="G481" i="12" s="1"/>
  <c r="H481" i="5"/>
  <c r="B481" i="5"/>
  <c r="C482" i="5"/>
  <c r="G481" i="5"/>
  <c r="K481" i="5"/>
  <c r="B481" i="6"/>
  <c r="F481" i="5"/>
  <c r="AE481" i="5"/>
  <c r="A481" i="12"/>
  <c r="J481" i="5"/>
  <c r="N479" i="6"/>
  <c r="M479" i="6"/>
  <c r="J480" i="12"/>
  <c r="L480" i="12"/>
  <c r="A481" i="6" l="1"/>
  <c r="M481" i="6" s="1"/>
  <c r="AY481" i="6" s="1"/>
  <c r="N480" i="6"/>
  <c r="BG480" i="6"/>
  <c r="AP480" i="6"/>
  <c r="BD480" i="6"/>
  <c r="BF480" i="6"/>
  <c r="AS480" i="6"/>
  <c r="AC480" i="6"/>
  <c r="AQ480" i="6"/>
  <c r="AN480" i="6"/>
  <c r="BB480" i="6"/>
  <c r="AT480" i="6"/>
  <c r="AG480" i="6"/>
  <c r="AF480" i="6"/>
  <c r="AU480" i="6"/>
  <c r="AY480" i="6"/>
  <c r="AI480" i="6"/>
  <c r="BC480" i="6"/>
  <c r="AB480" i="6"/>
  <c r="AR480" i="6"/>
  <c r="AZ480" i="6"/>
  <c r="AX480" i="6"/>
  <c r="BE480" i="6"/>
  <c r="AV480" i="6"/>
  <c r="AH480" i="6"/>
  <c r="AE480" i="6"/>
  <c r="AM480" i="6"/>
  <c r="AO480" i="6"/>
  <c r="AJ480" i="6"/>
  <c r="AD480" i="6"/>
  <c r="BA480" i="6"/>
  <c r="H482" i="5"/>
  <c r="E482" i="5"/>
  <c r="AD482" i="5"/>
  <c r="K482" i="5"/>
  <c r="A482" i="12"/>
  <c r="B482" i="6"/>
  <c r="B482" i="5"/>
  <c r="F482" i="5"/>
  <c r="AE482" i="5"/>
  <c r="J482" i="5"/>
  <c r="G482" i="5"/>
  <c r="N482" i="5"/>
  <c r="D482" i="6" s="1"/>
  <c r="H482" i="6" s="1"/>
  <c r="T482" i="5" s="1"/>
  <c r="G482" i="12" s="1"/>
  <c r="D482" i="5"/>
  <c r="B482" i="12" s="1"/>
  <c r="J481" i="12"/>
  <c r="L481" i="12"/>
  <c r="AG479" i="6"/>
  <c r="AO479" i="6"/>
  <c r="AS479" i="6"/>
  <c r="AT479" i="6"/>
  <c r="BE479" i="6"/>
  <c r="AU479" i="6"/>
  <c r="BD479" i="6"/>
  <c r="AY479" i="6"/>
  <c r="AE479" i="6"/>
  <c r="AC479" i="6"/>
  <c r="BF479" i="6"/>
  <c r="AR479" i="6"/>
  <c r="AH479" i="6"/>
  <c r="BA479" i="6"/>
  <c r="AI479" i="6"/>
  <c r="AF479" i="6"/>
  <c r="AD479" i="6"/>
  <c r="AQ479" i="6"/>
  <c r="AM479" i="6"/>
  <c r="AV479" i="6"/>
  <c r="AN479" i="6"/>
  <c r="AB479" i="6"/>
  <c r="AZ479" i="6"/>
  <c r="AX479" i="6"/>
  <c r="AJ479" i="6"/>
  <c r="BG479" i="6"/>
  <c r="AP479" i="6"/>
  <c r="BB479" i="6"/>
  <c r="BC479" i="6"/>
  <c r="AK479" i="6"/>
  <c r="K480" i="12"/>
  <c r="K481" i="12" l="1"/>
  <c r="AE481" i="6"/>
  <c r="BC481" i="6"/>
  <c r="AB481" i="6"/>
  <c r="AQ481" i="6"/>
  <c r="BG481" i="6"/>
  <c r="AV481" i="6"/>
  <c r="AT481" i="6"/>
  <c r="AU481" i="6"/>
  <c r="BE481" i="6"/>
  <c r="BA481" i="6"/>
  <c r="AX481" i="6"/>
  <c r="BD481" i="6"/>
  <c r="AK481" i="6"/>
  <c r="AG481" i="6"/>
  <c r="AN481" i="6"/>
  <c r="AI481" i="6"/>
  <c r="AO481" i="6"/>
  <c r="AZ481" i="6"/>
  <c r="AS481" i="6"/>
  <c r="AJ481" i="6"/>
  <c r="AR481" i="6"/>
  <c r="AC481" i="6"/>
  <c r="N481" i="6"/>
  <c r="AP481" i="6"/>
  <c r="AM481" i="6"/>
  <c r="AF481" i="6"/>
  <c r="AH481" i="6"/>
  <c r="BB481" i="6"/>
  <c r="AD481" i="6"/>
  <c r="BF481" i="6"/>
  <c r="A482" i="6"/>
  <c r="N482" i="6" s="1"/>
  <c r="L482" i="12"/>
  <c r="J482" i="12"/>
  <c r="C483" i="5" l="1"/>
  <c r="K482" i="12"/>
  <c r="M482" i="6"/>
  <c r="G483" i="5" l="1"/>
  <c r="K449" i="5" s="1"/>
  <c r="C484" i="5"/>
  <c r="AD483" i="5"/>
  <c r="A483" i="12"/>
  <c r="N483" i="5"/>
  <c r="D483" i="6" s="1"/>
  <c r="AE483" i="5"/>
  <c r="H483" i="5"/>
  <c r="B483" i="5"/>
  <c r="W483" i="5"/>
  <c r="H483" i="12" s="1"/>
  <c r="I483" i="5"/>
  <c r="B483" i="6"/>
  <c r="E483" i="5"/>
  <c r="F483" i="5"/>
  <c r="R483" i="5"/>
  <c r="BC482" i="6"/>
  <c r="AG482" i="6"/>
  <c r="AT482" i="6"/>
  <c r="AK482" i="6"/>
  <c r="AQ482" i="6"/>
  <c r="AZ482" i="6"/>
  <c r="AD482" i="6"/>
  <c r="AV482" i="6"/>
  <c r="BA482" i="6"/>
  <c r="BG482" i="6"/>
  <c r="AB482" i="6"/>
  <c r="AM482" i="6"/>
  <c r="AJ482" i="6"/>
  <c r="BB482" i="6"/>
  <c r="AI482" i="6"/>
  <c r="AO482" i="6"/>
  <c r="AS482" i="6"/>
  <c r="AN482" i="6"/>
  <c r="BD482" i="6"/>
  <c r="AH482" i="6"/>
  <c r="AP482" i="6"/>
  <c r="AR482" i="6"/>
  <c r="AC482" i="6"/>
  <c r="AY482" i="6"/>
  <c r="AX482" i="6"/>
  <c r="AU482" i="6"/>
  <c r="BF482" i="6"/>
  <c r="BE482" i="6"/>
  <c r="AF482" i="6"/>
  <c r="AE482" i="6"/>
  <c r="A483" i="6" l="1"/>
  <c r="M483" i="6" s="1"/>
  <c r="E483" i="12"/>
  <c r="F483" i="6"/>
  <c r="AN483" i="6"/>
  <c r="N483" i="6"/>
  <c r="AR483" i="6"/>
  <c r="AX483" i="6"/>
  <c r="AT483" i="6"/>
  <c r="BG483" i="6"/>
  <c r="AP483" i="6"/>
  <c r="BC483" i="6"/>
  <c r="G483" i="6"/>
  <c r="AY483" i="6"/>
  <c r="BE483" i="6"/>
  <c r="BD483" i="6"/>
  <c r="BB483" i="6"/>
  <c r="AV483" i="6"/>
  <c r="AM483" i="6"/>
  <c r="AS483" i="6"/>
  <c r="AO483" i="6"/>
  <c r="BA483" i="6"/>
  <c r="H483" i="6"/>
  <c r="BF483" i="6"/>
  <c r="AZ483" i="6"/>
  <c r="AQ483" i="6"/>
  <c r="AU483" i="6"/>
  <c r="A484" i="12"/>
  <c r="H484" i="5"/>
  <c r="K484" i="5"/>
  <c r="J484" i="5"/>
  <c r="AD484" i="5"/>
  <c r="D484" i="5"/>
  <c r="B484" i="12" s="1"/>
  <c r="G484" i="5"/>
  <c r="B484" i="6"/>
  <c r="E484" i="5"/>
  <c r="N484" i="5"/>
  <c r="D484" i="6" s="1"/>
  <c r="H484" i="6" s="1"/>
  <c r="T484" i="5" s="1"/>
  <c r="G484" i="12" s="1"/>
  <c r="F484" i="5"/>
  <c r="C485" i="5"/>
  <c r="B484" i="5"/>
  <c r="AE484" i="5"/>
  <c r="T483" i="5" l="1"/>
  <c r="G483" i="12" s="1"/>
  <c r="AJ483" i="6"/>
  <c r="AC483" i="6"/>
  <c r="AI483" i="6"/>
  <c r="AD483" i="6"/>
  <c r="AK483" i="6"/>
  <c r="AG483" i="6"/>
  <c r="AF483" i="6"/>
  <c r="J484" i="12"/>
  <c r="L484" i="12"/>
  <c r="AE483" i="6"/>
  <c r="A484" i="6"/>
  <c r="AB483" i="6"/>
  <c r="AH483" i="6"/>
  <c r="E485" i="5"/>
  <c r="N485" i="5"/>
  <c r="D485" i="6" s="1"/>
  <c r="D485" i="5"/>
  <c r="B485" i="12" s="1"/>
  <c r="G485" i="5"/>
  <c r="H485" i="5"/>
  <c r="F485" i="5"/>
  <c r="AD485" i="5"/>
  <c r="AE485" i="5"/>
  <c r="A485" i="12"/>
  <c r="C486" i="5"/>
  <c r="J485" i="5"/>
  <c r="B485" i="6"/>
  <c r="B485" i="5"/>
  <c r="K485" i="5"/>
  <c r="A485" i="6" l="1"/>
  <c r="M485" i="6" s="1"/>
  <c r="BF485" i="6" s="1"/>
  <c r="J485" i="12"/>
  <c r="L485" i="12"/>
  <c r="M484" i="6"/>
  <c r="N484" i="6"/>
  <c r="K484" i="12"/>
  <c r="AE486" i="5"/>
  <c r="B486" i="5"/>
  <c r="C487" i="5" s="1"/>
  <c r="E486" i="5"/>
  <c r="G486" i="5"/>
  <c r="N486" i="5"/>
  <c r="D486" i="6" s="1"/>
  <c r="H486" i="6" s="1"/>
  <c r="T486" i="5" s="1"/>
  <c r="G486" i="12" s="1"/>
  <c r="J486" i="5"/>
  <c r="D486" i="5"/>
  <c r="B486" i="12" s="1"/>
  <c r="A486" i="12"/>
  <c r="F486" i="5"/>
  <c r="K486" i="5"/>
  <c r="AD486" i="5"/>
  <c r="H486" i="5"/>
  <c r="B486" i="6"/>
  <c r="H485" i="6"/>
  <c r="K485" i="12" l="1"/>
  <c r="N485" i="6"/>
  <c r="A486" i="6"/>
  <c r="N486" i="6" s="1"/>
  <c r="AR485" i="6"/>
  <c r="AN485" i="6"/>
  <c r="AU485" i="6"/>
  <c r="AM485" i="6"/>
  <c r="BC485" i="6"/>
  <c r="AX485" i="6"/>
  <c r="BB485" i="6"/>
  <c r="AP485" i="6"/>
  <c r="AY485" i="6"/>
  <c r="AS485" i="6"/>
  <c r="AQ485" i="6"/>
  <c r="BA485" i="6"/>
  <c r="BE485" i="6"/>
  <c r="AV485" i="6"/>
  <c r="BG485" i="6"/>
  <c r="AZ485" i="6"/>
  <c r="AT485" i="6"/>
  <c r="AO485" i="6"/>
  <c r="BD485" i="6"/>
  <c r="L486" i="12"/>
  <c r="J486" i="12"/>
  <c r="T485" i="5"/>
  <c r="G485" i="12" s="1"/>
  <c r="AE485" i="6"/>
  <c r="AK485" i="6"/>
  <c r="AC485" i="6"/>
  <c r="AF485" i="6"/>
  <c r="AD485" i="6"/>
  <c r="AB485" i="6"/>
  <c r="AJ485" i="6"/>
  <c r="AI485" i="6"/>
  <c r="AG485" i="6"/>
  <c r="AH485" i="6"/>
  <c r="AO484" i="6"/>
  <c r="AX484" i="6"/>
  <c r="AK484" i="6"/>
  <c r="AV484" i="6"/>
  <c r="BC484" i="6"/>
  <c r="AQ484" i="6"/>
  <c r="AB484" i="6"/>
  <c r="AE484" i="6"/>
  <c r="AT484" i="6"/>
  <c r="AY484" i="6"/>
  <c r="BE484" i="6"/>
  <c r="AI484" i="6"/>
  <c r="AU484" i="6"/>
  <c r="AM484" i="6"/>
  <c r="AD484" i="6"/>
  <c r="AS484" i="6"/>
  <c r="BB484" i="6"/>
  <c r="AP484" i="6"/>
  <c r="AZ484" i="6"/>
  <c r="AR484" i="6"/>
  <c r="AF484" i="6"/>
  <c r="AG484" i="6"/>
  <c r="AN484" i="6"/>
  <c r="BF484" i="6"/>
  <c r="AH484" i="6"/>
  <c r="AC484" i="6"/>
  <c r="BA484" i="6"/>
  <c r="BG484" i="6"/>
  <c r="AJ484" i="6"/>
  <c r="BD484" i="6"/>
  <c r="AD487" i="5"/>
  <c r="E487" i="5"/>
  <c r="AE487" i="5"/>
  <c r="B487" i="6"/>
  <c r="A487" i="6" s="1"/>
  <c r="I487" i="5"/>
  <c r="H487" i="5"/>
  <c r="N487" i="5"/>
  <c r="D487" i="6" s="1"/>
  <c r="W487" i="5"/>
  <c r="H487" i="12" s="1"/>
  <c r="B487" i="5"/>
  <c r="C488" i="5" s="1"/>
  <c r="A487" i="12"/>
  <c r="F487" i="5"/>
  <c r="K426" i="5" s="1"/>
  <c r="G487" i="5"/>
  <c r="M486" i="6" l="1"/>
  <c r="AG486" i="6" s="1"/>
  <c r="K486" i="12"/>
  <c r="F488" i="5"/>
  <c r="A488" i="12"/>
  <c r="B488" i="5"/>
  <c r="B488" i="6"/>
  <c r="R488" i="5"/>
  <c r="I488" i="5"/>
  <c r="G488" i="5"/>
  <c r="H488" i="5"/>
  <c r="W488" i="5"/>
  <c r="H488" i="12" s="1"/>
  <c r="AD488" i="5"/>
  <c r="E488" i="5"/>
  <c r="AE488" i="5"/>
  <c r="C489" i="5"/>
  <c r="N488" i="5"/>
  <c r="D488" i="6" s="1"/>
  <c r="AT487" i="6"/>
  <c r="AZ487" i="6"/>
  <c r="M487" i="6"/>
  <c r="AM487" i="6" s="1"/>
  <c r="N487" i="6"/>
  <c r="AY487" i="6"/>
  <c r="G487" i="6"/>
  <c r="AO487" i="6"/>
  <c r="AU487" i="6"/>
  <c r="BF487" i="6"/>
  <c r="H487" i="6"/>
  <c r="BB487" i="6"/>
  <c r="BD487" i="6"/>
  <c r="AN487" i="6"/>
  <c r="BE487" i="6"/>
  <c r="AX487" i="6"/>
  <c r="BA487" i="6"/>
  <c r="AV487" i="6"/>
  <c r="BC487" i="6"/>
  <c r="BG487" i="6"/>
  <c r="AS487" i="6"/>
  <c r="AR487" i="6"/>
  <c r="AP487" i="6"/>
  <c r="AQ487" i="6"/>
  <c r="E487" i="12"/>
  <c r="F487" i="6"/>
  <c r="AJ487" i="6" l="1"/>
  <c r="BG486" i="6"/>
  <c r="AT486" i="6"/>
  <c r="AF486" i="6"/>
  <c r="BB486" i="6"/>
  <c r="AN486" i="6"/>
  <c r="AE486" i="6"/>
  <c r="AC486" i="6"/>
  <c r="BE486" i="6"/>
  <c r="AX486" i="6"/>
  <c r="AD486" i="6"/>
  <c r="AQ486" i="6"/>
  <c r="AY486" i="6"/>
  <c r="AI486" i="6"/>
  <c r="AH486" i="6"/>
  <c r="AM486" i="6"/>
  <c r="BF486" i="6"/>
  <c r="AZ486" i="6"/>
  <c r="AS486" i="6"/>
  <c r="AP486" i="6"/>
  <c r="AB486" i="6"/>
  <c r="BA486" i="6"/>
  <c r="AK486" i="6"/>
  <c r="AR486" i="6"/>
  <c r="AO486" i="6"/>
  <c r="AV486" i="6"/>
  <c r="BC486" i="6"/>
  <c r="AJ486" i="6"/>
  <c r="AU486" i="6"/>
  <c r="BD486" i="6"/>
  <c r="AG487" i="6"/>
  <c r="AF487" i="6"/>
  <c r="AB487" i="6"/>
  <c r="A488" i="6"/>
  <c r="M488" i="6" s="1"/>
  <c r="BG488" i="6" s="1"/>
  <c r="T487" i="5"/>
  <c r="G487" i="12" s="1"/>
  <c r="AI487" i="6"/>
  <c r="AH487" i="6"/>
  <c r="AD487" i="6"/>
  <c r="AE487" i="6"/>
  <c r="BF488" i="6"/>
  <c r="AX488" i="6"/>
  <c r="N488" i="6"/>
  <c r="H488" i="6"/>
  <c r="BC488" i="6"/>
  <c r="BA488" i="6"/>
  <c r="BB488" i="6"/>
  <c r="AQ488" i="6"/>
  <c r="AO488" i="6"/>
  <c r="AM488" i="6"/>
  <c r="AV488" i="6"/>
  <c r="AY488" i="6"/>
  <c r="AS488" i="6"/>
  <c r="AR488" i="6"/>
  <c r="BD488" i="6"/>
  <c r="AP488" i="6"/>
  <c r="AT488" i="6"/>
  <c r="AN488" i="6"/>
  <c r="AU488" i="6"/>
  <c r="BE488" i="6"/>
  <c r="G488" i="6"/>
  <c r="AZ488" i="6"/>
  <c r="AC487" i="6"/>
  <c r="H489" i="5"/>
  <c r="N489" i="5"/>
  <c r="D489" i="6" s="1"/>
  <c r="H489" i="6" s="1"/>
  <c r="T489" i="5" s="1"/>
  <c r="G489" i="12" s="1"/>
  <c r="B489" i="5"/>
  <c r="K489" i="5"/>
  <c r="AE489" i="5"/>
  <c r="A489" i="12"/>
  <c r="AD489" i="5"/>
  <c r="J489" i="5"/>
  <c r="D489" i="5"/>
  <c r="B489" i="12" s="1"/>
  <c r="B489" i="6"/>
  <c r="G489" i="5"/>
  <c r="F489" i="5"/>
  <c r="C490" i="5"/>
  <c r="E489" i="5"/>
  <c r="F488" i="6"/>
  <c r="E488" i="12"/>
  <c r="AK487" i="6"/>
  <c r="A489" i="6" l="1"/>
  <c r="M489" i="6" s="1"/>
  <c r="AP489" i="6" s="1"/>
  <c r="L489" i="12"/>
  <c r="J489" i="12"/>
  <c r="D490" i="5"/>
  <c r="B490" i="12" s="1"/>
  <c r="A490" i="12"/>
  <c r="F490" i="5"/>
  <c r="J490" i="5"/>
  <c r="G490" i="5"/>
  <c r="K490" i="5"/>
  <c r="E490" i="5"/>
  <c r="B490" i="6"/>
  <c r="AD490" i="5"/>
  <c r="N490" i="5"/>
  <c r="D490" i="6" s="1"/>
  <c r="H490" i="5"/>
  <c r="B490" i="5"/>
  <c r="C491" i="5" s="1"/>
  <c r="AE490" i="5"/>
  <c r="T488" i="5"/>
  <c r="G488" i="12" s="1"/>
  <c r="AK488" i="6"/>
  <c r="AJ488" i="6"/>
  <c r="AE488" i="6"/>
  <c r="AI488" i="6"/>
  <c r="AB488" i="6"/>
  <c r="AF488" i="6"/>
  <c r="AC488" i="6"/>
  <c r="AH488" i="6"/>
  <c r="AG488" i="6"/>
  <c r="AD488" i="6"/>
  <c r="N489" i="6" l="1"/>
  <c r="AB489" i="6"/>
  <c r="BF489" i="6"/>
  <c r="BB489" i="6"/>
  <c r="BC489" i="6"/>
  <c r="BG489" i="6"/>
  <c r="AY489" i="6"/>
  <c r="BD489" i="6"/>
  <c r="AG489" i="6"/>
  <c r="AS489" i="6"/>
  <c r="AJ489" i="6"/>
  <c r="BE489" i="6"/>
  <c r="AR489" i="6"/>
  <c r="AD489" i="6"/>
  <c r="AZ489" i="6"/>
  <c r="AU489" i="6"/>
  <c r="BA489" i="6"/>
  <c r="AE489" i="6"/>
  <c r="AK489" i="6"/>
  <c r="AV489" i="6"/>
  <c r="AC489" i="6"/>
  <c r="AO489" i="6"/>
  <c r="K489" i="12"/>
  <c r="AT489" i="6"/>
  <c r="AX489" i="6"/>
  <c r="AQ489" i="6"/>
  <c r="AF489" i="6"/>
  <c r="AM489" i="6"/>
  <c r="AH489" i="6"/>
  <c r="AI489" i="6"/>
  <c r="AN489" i="6"/>
  <c r="A490" i="6"/>
  <c r="M490" i="6" s="1"/>
  <c r="BF490" i="6" s="1"/>
  <c r="B491" i="5"/>
  <c r="I491" i="5"/>
  <c r="A491" i="12"/>
  <c r="W491" i="5"/>
  <c r="H491" i="12" s="1"/>
  <c r="B491" i="6"/>
  <c r="AE491" i="5"/>
  <c r="AD491" i="5"/>
  <c r="H491" i="5"/>
  <c r="R491" i="5"/>
  <c r="E491" i="5"/>
  <c r="N491" i="5"/>
  <c r="D491" i="6" s="1"/>
  <c r="G491" i="5"/>
  <c r="K488" i="5" s="1"/>
  <c r="F491" i="5"/>
  <c r="C492" i="5"/>
  <c r="H490" i="6"/>
  <c r="J490" i="12"/>
  <c r="L490" i="12"/>
  <c r="N490" i="6" l="1"/>
  <c r="K490" i="12"/>
  <c r="A491" i="6"/>
  <c r="N491" i="6" s="1"/>
  <c r="BC491" i="6"/>
  <c r="BE491" i="6"/>
  <c r="AN491" i="6"/>
  <c r="H491" i="6"/>
  <c r="AT491" i="6"/>
  <c r="G491" i="6"/>
  <c r="BF491" i="6"/>
  <c r="M491" i="6"/>
  <c r="BB491" i="6" s="1"/>
  <c r="AU491" i="6"/>
  <c r="BG491" i="6"/>
  <c r="AR491" i="6"/>
  <c r="BA491" i="6"/>
  <c r="AY491" i="6"/>
  <c r="AQ491" i="6"/>
  <c r="AZ491" i="6"/>
  <c r="AP491" i="6"/>
  <c r="AS491" i="6"/>
  <c r="AX491" i="6"/>
  <c r="AV491" i="6"/>
  <c r="AO491" i="6"/>
  <c r="AM491" i="6"/>
  <c r="BD491" i="6"/>
  <c r="T490" i="5"/>
  <c r="G490" i="12" s="1"/>
  <c r="AI490" i="6"/>
  <c r="AB490" i="6"/>
  <c r="AD490" i="6"/>
  <c r="AE490" i="6"/>
  <c r="AJ490" i="6"/>
  <c r="AH490" i="6"/>
  <c r="AC490" i="6"/>
  <c r="AG490" i="6"/>
  <c r="E491" i="12"/>
  <c r="F491" i="6"/>
  <c r="BE490" i="6"/>
  <c r="BC490" i="6"/>
  <c r="AR490" i="6"/>
  <c r="AZ490" i="6"/>
  <c r="AN490" i="6"/>
  <c r="AM490" i="6"/>
  <c r="AV490" i="6"/>
  <c r="AP490" i="6"/>
  <c r="BB490" i="6"/>
  <c r="BD490" i="6"/>
  <c r="BA490" i="6"/>
  <c r="AQ490" i="6"/>
  <c r="AS490" i="6"/>
  <c r="BG490" i="6"/>
  <c r="AO490" i="6"/>
  <c r="AX490" i="6"/>
  <c r="AY490" i="6"/>
  <c r="AK490" i="6"/>
  <c r="AT490" i="6"/>
  <c r="AU490" i="6"/>
  <c r="B492" i="6"/>
  <c r="E492" i="5"/>
  <c r="AD492" i="5"/>
  <c r="A492" i="12"/>
  <c r="D492" i="5"/>
  <c r="B492" i="12" s="1"/>
  <c r="K492" i="5"/>
  <c r="J492" i="5"/>
  <c r="C493" i="5"/>
  <c r="B492" i="5"/>
  <c r="AE492" i="5"/>
  <c r="G492" i="5"/>
  <c r="F492" i="5"/>
  <c r="N492" i="5"/>
  <c r="D492" i="6" s="1"/>
  <c r="H492" i="5"/>
  <c r="AF490" i="6"/>
  <c r="AI491" i="6" l="1"/>
  <c r="AE491" i="6"/>
  <c r="AD491" i="6"/>
  <c r="AG491" i="6"/>
  <c r="AJ491" i="6"/>
  <c r="AC491" i="6"/>
  <c r="AB491" i="6"/>
  <c r="A492" i="6"/>
  <c r="N492" i="6" s="1"/>
  <c r="E493" i="5"/>
  <c r="H493" i="5"/>
  <c r="A493" i="12"/>
  <c r="F493" i="5"/>
  <c r="G493" i="5"/>
  <c r="AD493" i="5"/>
  <c r="K493" i="5"/>
  <c r="B493" i="5"/>
  <c r="N493" i="5"/>
  <c r="D493" i="6" s="1"/>
  <c r="D493" i="5"/>
  <c r="B493" i="12" s="1"/>
  <c r="B493" i="6"/>
  <c r="J493" i="5"/>
  <c r="AE493" i="5"/>
  <c r="C494" i="5"/>
  <c r="T491" i="5"/>
  <c r="G491" i="12" s="1"/>
  <c r="AF491" i="6"/>
  <c r="AK491" i="6"/>
  <c r="H492" i="6"/>
  <c r="L492" i="12"/>
  <c r="J492" i="12"/>
  <c r="AH491" i="6"/>
  <c r="K492" i="12" l="1"/>
  <c r="M492" i="6"/>
  <c r="BF492" i="6" s="1"/>
  <c r="H493" i="6"/>
  <c r="T493" i="5" s="1"/>
  <c r="G493" i="12" s="1"/>
  <c r="T492" i="5"/>
  <c r="G492" i="12" s="1"/>
  <c r="AE494" i="5"/>
  <c r="C495" i="5"/>
  <c r="G494" i="5"/>
  <c r="D494" i="5"/>
  <c r="B494" i="12" s="1"/>
  <c r="J494" i="5"/>
  <c r="B494" i="6"/>
  <c r="H494" i="5"/>
  <c r="K494" i="5"/>
  <c r="A494" i="12"/>
  <c r="B494" i="5"/>
  <c r="AD494" i="5"/>
  <c r="E494" i="5"/>
  <c r="N494" i="5"/>
  <c r="D494" i="6" s="1"/>
  <c r="F494" i="5"/>
  <c r="A493" i="6"/>
  <c r="N493" i="6" s="1"/>
  <c r="J493" i="12"/>
  <c r="L493" i="12"/>
  <c r="AJ492" i="6" l="1"/>
  <c r="AV492" i="6"/>
  <c r="AU492" i="6"/>
  <c r="AC492" i="6"/>
  <c r="AS492" i="6"/>
  <c r="AY492" i="6"/>
  <c r="AN492" i="6"/>
  <c r="AE492" i="6"/>
  <c r="BE492" i="6"/>
  <c r="AF492" i="6"/>
  <c r="AQ492" i="6"/>
  <c r="AX492" i="6"/>
  <c r="AM492" i="6"/>
  <c r="BG492" i="6"/>
  <c r="AD492" i="6"/>
  <c r="AZ492" i="6"/>
  <c r="BC492" i="6"/>
  <c r="AH492" i="6"/>
  <c r="BD492" i="6"/>
  <c r="AI492" i="6"/>
  <c r="BB492" i="6"/>
  <c r="AO492" i="6"/>
  <c r="AT492" i="6"/>
  <c r="AP492" i="6"/>
  <c r="BA492" i="6"/>
  <c r="AB492" i="6"/>
  <c r="AR492" i="6"/>
  <c r="AG492" i="6"/>
  <c r="AK492" i="6"/>
  <c r="K493" i="12"/>
  <c r="C496" i="5"/>
  <c r="AD495" i="5"/>
  <c r="B495" i="6"/>
  <c r="G495" i="5"/>
  <c r="AE495" i="5"/>
  <c r="A495" i="12"/>
  <c r="F495" i="5"/>
  <c r="B495" i="5"/>
  <c r="D495" i="5"/>
  <c r="B495" i="12" s="1"/>
  <c r="J495" i="5"/>
  <c r="K495" i="5"/>
  <c r="N495" i="5"/>
  <c r="D495" i="6" s="1"/>
  <c r="H495" i="6" s="1"/>
  <c r="T495" i="5" s="1"/>
  <c r="G495" i="12" s="1"/>
  <c r="H495" i="5"/>
  <c r="E495" i="5"/>
  <c r="H494" i="6"/>
  <c r="T494" i="5" s="1"/>
  <c r="G494" i="12" s="1"/>
  <c r="J494" i="12"/>
  <c r="L494" i="12"/>
  <c r="M493" i="6"/>
  <c r="A494" i="6"/>
  <c r="M494" i="6" s="1"/>
  <c r="AM494" i="6" s="1"/>
  <c r="K494" i="12" l="1"/>
  <c r="BA494" i="6"/>
  <c r="AN494" i="6"/>
  <c r="AD494" i="6"/>
  <c r="BF494" i="6"/>
  <c r="A495" i="6"/>
  <c r="M495" i="6" s="1"/>
  <c r="AO495" i="6" s="1"/>
  <c r="AE494" i="6"/>
  <c r="AH494" i="6"/>
  <c r="BD494" i="6"/>
  <c r="AV494" i="6"/>
  <c r="AC494" i="6"/>
  <c r="AN493" i="6"/>
  <c r="AR493" i="6"/>
  <c r="AP493" i="6"/>
  <c r="AB493" i="6"/>
  <c r="AO493" i="6"/>
  <c r="AK493" i="6"/>
  <c r="AX493" i="6"/>
  <c r="AM493" i="6"/>
  <c r="AI493" i="6"/>
  <c r="AV493" i="6"/>
  <c r="BD493" i="6"/>
  <c r="AT493" i="6"/>
  <c r="AY493" i="6"/>
  <c r="AF493" i="6"/>
  <c r="AH493" i="6"/>
  <c r="AS493" i="6"/>
  <c r="BC493" i="6"/>
  <c r="AQ493" i="6"/>
  <c r="BF493" i="6"/>
  <c r="AZ493" i="6"/>
  <c r="AJ493" i="6"/>
  <c r="AE493" i="6"/>
  <c r="BB493" i="6"/>
  <c r="BE493" i="6"/>
  <c r="BA493" i="6"/>
  <c r="AG493" i="6"/>
  <c r="BG493" i="6"/>
  <c r="AU493" i="6"/>
  <c r="AC493" i="6"/>
  <c r="AQ494" i="6"/>
  <c r="BC494" i="6"/>
  <c r="BG494" i="6"/>
  <c r="B496" i="5"/>
  <c r="B496" i="6"/>
  <c r="H496" i="5"/>
  <c r="C497" i="5"/>
  <c r="J496" i="5"/>
  <c r="F496" i="5"/>
  <c r="G496" i="5"/>
  <c r="D496" i="5"/>
  <c r="B496" i="12" s="1"/>
  <c r="K496" i="5"/>
  <c r="E496" i="5"/>
  <c r="A496" i="12"/>
  <c r="AD496" i="5"/>
  <c r="AE496" i="5"/>
  <c r="N496" i="5"/>
  <c r="D496" i="6" s="1"/>
  <c r="H496" i="6" s="1"/>
  <c r="T496" i="5" s="1"/>
  <c r="G496" i="12" s="1"/>
  <c r="BE494" i="6"/>
  <c r="AB494" i="6"/>
  <c r="AU494" i="6"/>
  <c r="AY494" i="6"/>
  <c r="N494" i="6"/>
  <c r="AT494" i="6"/>
  <c r="AZ494" i="6"/>
  <c r="AD493" i="6"/>
  <c r="AF494" i="6"/>
  <c r="BB494" i="6"/>
  <c r="AX494" i="6"/>
  <c r="AI494" i="6"/>
  <c r="J495" i="12"/>
  <c r="L495" i="12"/>
  <c r="AO494" i="6"/>
  <c r="AP494" i="6"/>
  <c r="AG494" i="6"/>
  <c r="AJ494" i="6"/>
  <c r="AS494" i="6"/>
  <c r="AK494" i="6"/>
  <c r="AR494" i="6"/>
  <c r="N495" i="6" l="1"/>
  <c r="K495" i="12"/>
  <c r="A496" i="6"/>
  <c r="N496" i="6" s="1"/>
  <c r="AS495" i="6"/>
  <c r="AY495" i="6"/>
  <c r="AU495" i="6"/>
  <c r="BB495" i="6"/>
  <c r="AT495" i="6"/>
  <c r="AK495" i="6"/>
  <c r="AQ495" i="6"/>
  <c r="BG495" i="6"/>
  <c r="AH495" i="6"/>
  <c r="AZ495" i="6"/>
  <c r="BE495" i="6"/>
  <c r="AX495" i="6"/>
  <c r="AR495" i="6"/>
  <c r="BD495" i="6"/>
  <c r="AN495" i="6"/>
  <c r="AV495" i="6"/>
  <c r="BA495" i="6"/>
  <c r="AP495" i="6"/>
  <c r="AM495" i="6"/>
  <c r="BF495" i="6"/>
  <c r="AF495" i="6"/>
  <c r="AE495" i="6"/>
  <c r="J496" i="12"/>
  <c r="L496" i="12"/>
  <c r="BC495" i="6"/>
  <c r="AD495" i="6"/>
  <c r="AI495" i="6"/>
  <c r="AB495" i="6"/>
  <c r="AC495" i="6"/>
  <c r="AG495" i="6"/>
  <c r="AJ495" i="6"/>
  <c r="B497" i="5"/>
  <c r="A497" i="12"/>
  <c r="H497" i="5"/>
  <c r="D497" i="5"/>
  <c r="B497" i="12" s="1"/>
  <c r="E497" i="5"/>
  <c r="AE497" i="5"/>
  <c r="AD497" i="5"/>
  <c r="K497" i="5"/>
  <c r="C498" i="5"/>
  <c r="J497" i="5"/>
  <c r="N497" i="5"/>
  <c r="D497" i="6" s="1"/>
  <c r="H497" i="6" s="1"/>
  <c r="T497" i="5" s="1"/>
  <c r="G497" i="12" s="1"/>
  <c r="F497" i="5"/>
  <c r="G497" i="5"/>
  <c r="B497" i="6"/>
  <c r="M496" i="6" l="1"/>
  <c r="AB496" i="6" s="1"/>
  <c r="K496" i="12"/>
  <c r="A497" i="6"/>
  <c r="M497" i="6" s="1"/>
  <c r="AO497" i="6" s="1"/>
  <c r="L497" i="12"/>
  <c r="J497" i="12"/>
  <c r="B498" i="6"/>
  <c r="B498" i="5"/>
  <c r="AE498" i="5"/>
  <c r="N498" i="5"/>
  <c r="D498" i="6" s="1"/>
  <c r="H498" i="6" s="1"/>
  <c r="T498" i="5" s="1"/>
  <c r="G498" i="12" s="1"/>
  <c r="G498" i="5"/>
  <c r="E498" i="5"/>
  <c r="J498" i="5"/>
  <c r="F498" i="5"/>
  <c r="C499" i="5"/>
  <c r="AD498" i="5"/>
  <c r="D498" i="5"/>
  <c r="B498" i="12" s="1"/>
  <c r="A498" i="12"/>
  <c r="H498" i="5"/>
  <c r="K498" i="5"/>
  <c r="N497" i="6" l="1"/>
  <c r="AJ496" i="6"/>
  <c r="BC496" i="6"/>
  <c r="AI496" i="6"/>
  <c r="AQ496" i="6"/>
  <c r="AG496" i="6"/>
  <c r="AK496" i="6"/>
  <c r="AF496" i="6"/>
  <c r="BA496" i="6"/>
  <c r="AZ496" i="6"/>
  <c r="AS496" i="6"/>
  <c r="AD496" i="6"/>
  <c r="AX496" i="6"/>
  <c r="BF496" i="6"/>
  <c r="AP496" i="6"/>
  <c r="AC496" i="6"/>
  <c r="AN496" i="6"/>
  <c r="AO496" i="6"/>
  <c r="AE496" i="6"/>
  <c r="BD496" i="6"/>
  <c r="AV496" i="6"/>
  <c r="AT496" i="6"/>
  <c r="BB496" i="6"/>
  <c r="AM496" i="6"/>
  <c r="AY496" i="6"/>
  <c r="AR496" i="6"/>
  <c r="BE496" i="6"/>
  <c r="AU496" i="6"/>
  <c r="BG496" i="6"/>
  <c r="AH496" i="6"/>
  <c r="K497" i="12"/>
  <c r="AR497" i="6"/>
  <c r="AU497" i="6"/>
  <c r="BF497" i="6"/>
  <c r="AK497" i="6"/>
  <c r="AQ497" i="6"/>
  <c r="AB497" i="6"/>
  <c r="AG497" i="6"/>
  <c r="AX497" i="6"/>
  <c r="AD497" i="6"/>
  <c r="AP497" i="6"/>
  <c r="AH497" i="6"/>
  <c r="AE497" i="6"/>
  <c r="AN497" i="6"/>
  <c r="BC497" i="6"/>
  <c r="AY497" i="6"/>
  <c r="BA497" i="6"/>
  <c r="AF497" i="6"/>
  <c r="AC497" i="6"/>
  <c r="BE497" i="6"/>
  <c r="AM497" i="6"/>
  <c r="AZ497" i="6"/>
  <c r="BB497" i="6"/>
  <c r="BG497" i="6"/>
  <c r="AI497" i="6"/>
  <c r="AJ497" i="6"/>
  <c r="AS497" i="6"/>
  <c r="AT497" i="6"/>
  <c r="BD497" i="6"/>
  <c r="AV497" i="6"/>
  <c r="J498" i="12"/>
  <c r="L498" i="12"/>
  <c r="F499" i="5"/>
  <c r="K499" i="5"/>
  <c r="AE499" i="5"/>
  <c r="G499" i="5"/>
  <c r="A499" i="12"/>
  <c r="E499" i="5"/>
  <c r="B499" i="6"/>
  <c r="N499" i="5"/>
  <c r="D499" i="6" s="1"/>
  <c r="H499" i="6" s="1"/>
  <c r="T499" i="5" s="1"/>
  <c r="G499" i="12" s="1"/>
  <c r="AD499" i="5"/>
  <c r="B499" i="5"/>
  <c r="H499" i="5"/>
  <c r="J499" i="5"/>
  <c r="D499" i="5"/>
  <c r="B499" i="12" s="1"/>
  <c r="A498" i="6"/>
  <c r="K498" i="12" l="1"/>
  <c r="J499" i="12"/>
  <c r="L499" i="12"/>
  <c r="N498" i="6"/>
  <c r="M498" i="6"/>
  <c r="A499" i="6"/>
  <c r="M499" i="6" s="1"/>
  <c r="K499" i="12" l="1"/>
  <c r="BC499" i="6"/>
  <c r="AM499" i="6"/>
  <c r="AG499" i="6"/>
  <c r="AF499" i="6"/>
  <c r="BD499" i="6"/>
  <c r="AR499" i="6"/>
  <c r="AE499" i="6"/>
  <c r="AK499" i="6"/>
  <c r="BE499" i="6"/>
  <c r="AV499" i="6"/>
  <c r="AS499" i="6"/>
  <c r="AB499" i="6"/>
  <c r="AX499" i="6"/>
  <c r="AP499" i="6"/>
  <c r="AQ499" i="6"/>
  <c r="BG499" i="6"/>
  <c r="AY499" i="6"/>
  <c r="AH499" i="6"/>
  <c r="AU499" i="6"/>
  <c r="AN499" i="6"/>
  <c r="AZ499" i="6"/>
  <c r="BB499" i="6"/>
  <c r="AT499" i="6"/>
  <c r="BF499" i="6"/>
  <c r="AO499" i="6"/>
  <c r="AJ499" i="6"/>
  <c r="BA499" i="6"/>
  <c r="C500" i="5"/>
  <c r="AY498" i="6"/>
  <c r="BE498" i="6"/>
  <c r="AP498" i="6"/>
  <c r="AB498" i="6"/>
  <c r="BF498" i="6"/>
  <c r="AI498" i="6"/>
  <c r="AS498" i="6"/>
  <c r="AN498" i="6"/>
  <c r="AR498" i="6"/>
  <c r="BA498" i="6"/>
  <c r="AF498" i="6"/>
  <c r="AM498" i="6"/>
  <c r="AC498" i="6"/>
  <c r="AG498" i="6"/>
  <c r="BG498" i="6"/>
  <c r="AD498" i="6"/>
  <c r="BB498" i="6"/>
  <c r="AE498" i="6"/>
  <c r="AJ498" i="6"/>
  <c r="AX498" i="6"/>
  <c r="AU498" i="6"/>
  <c r="AQ498" i="6"/>
  <c r="AH498" i="6"/>
  <c r="AK498" i="6"/>
  <c r="BC498" i="6"/>
  <c r="AO498" i="6"/>
  <c r="AZ498" i="6"/>
  <c r="AT498" i="6"/>
  <c r="BD498" i="6"/>
  <c r="AV498" i="6"/>
  <c r="AC499" i="6"/>
  <c r="AD499" i="6"/>
  <c r="N499" i="6"/>
  <c r="AI499" i="6"/>
  <c r="C501" i="5" l="1"/>
  <c r="R500" i="5"/>
  <c r="N500" i="5"/>
  <c r="D500" i="6" s="1"/>
  <c r="W500" i="5"/>
  <c r="H500" i="12" s="1"/>
  <c r="F500" i="5"/>
  <c r="G500" i="5"/>
  <c r="K491" i="5" s="1"/>
  <c r="AD500" i="5"/>
  <c r="A500" i="12"/>
  <c r="H500" i="5"/>
  <c r="B500" i="6"/>
  <c r="B500" i="5"/>
  <c r="AE500" i="5"/>
  <c r="I500" i="5"/>
  <c r="E500" i="5"/>
  <c r="AV500" i="6" l="1"/>
  <c r="BF500" i="6"/>
  <c r="AM500" i="6"/>
  <c r="AO500" i="6"/>
  <c r="G500" i="6"/>
  <c r="AZ500" i="6"/>
  <c r="N500" i="6"/>
  <c r="BB500" i="6"/>
  <c r="AX500" i="6"/>
  <c r="AU500" i="6"/>
  <c r="AR500" i="6"/>
  <c r="AY500" i="6"/>
  <c r="AS500" i="6"/>
  <c r="BG500" i="6"/>
  <c r="BC500" i="6"/>
  <c r="AT500" i="6"/>
  <c r="H500" i="6"/>
  <c r="BD500" i="6"/>
  <c r="AN500" i="6"/>
  <c r="AQ500" i="6"/>
  <c r="AP500" i="6"/>
  <c r="BA500" i="6"/>
  <c r="A500" i="6"/>
  <c r="M500" i="6" s="1"/>
  <c r="BE500" i="6" s="1"/>
  <c r="E500" i="12"/>
  <c r="F500" i="6"/>
  <c r="F501" i="5"/>
  <c r="AE501" i="5"/>
  <c r="K501" i="5"/>
  <c r="B501" i="6"/>
  <c r="D501" i="5"/>
  <c r="B501" i="12" s="1"/>
  <c r="E501" i="5"/>
  <c r="H501" i="5"/>
  <c r="A501" i="12"/>
  <c r="C502" i="5"/>
  <c r="AD501" i="5"/>
  <c r="N501" i="5"/>
  <c r="D501" i="6" s="1"/>
  <c r="H501" i="6" s="1"/>
  <c r="T501" i="5" s="1"/>
  <c r="G501" i="12" s="1"/>
  <c r="J501" i="5"/>
  <c r="G501" i="5"/>
  <c r="B501" i="5"/>
  <c r="A501" i="6" l="1"/>
  <c r="B502" i="5"/>
  <c r="B502" i="6"/>
  <c r="H502" i="5"/>
  <c r="E502" i="5"/>
  <c r="AD502" i="5"/>
  <c r="A502" i="12"/>
  <c r="C503" i="5"/>
  <c r="G502" i="5"/>
  <c r="D502" i="5"/>
  <c r="B502" i="12" s="1"/>
  <c r="K502" i="5"/>
  <c r="F502" i="5"/>
  <c r="AE502" i="5"/>
  <c r="N502" i="5"/>
  <c r="D502" i="6" s="1"/>
  <c r="J502" i="5"/>
  <c r="J501" i="12"/>
  <c r="L501" i="12"/>
  <c r="T500" i="5"/>
  <c r="G500" i="12" s="1"/>
  <c r="AC500" i="6"/>
  <c r="AK500" i="6"/>
  <c r="AE500" i="6"/>
  <c r="AF500" i="6"/>
  <c r="AH500" i="6"/>
  <c r="AG500" i="6"/>
  <c r="AD500" i="6"/>
  <c r="AJ500" i="6"/>
  <c r="AB500" i="6"/>
  <c r="AI500" i="6"/>
  <c r="K501" i="12" l="1"/>
  <c r="G503" i="5"/>
  <c r="A503" i="12"/>
  <c r="K503" i="5"/>
  <c r="C504" i="5"/>
  <c r="AD503" i="5"/>
  <c r="D503" i="5"/>
  <c r="B503" i="12" s="1"/>
  <c r="J503" i="5"/>
  <c r="AE503" i="5"/>
  <c r="B503" i="5"/>
  <c r="F503" i="5"/>
  <c r="N503" i="5"/>
  <c r="D503" i="6" s="1"/>
  <c r="H503" i="5"/>
  <c r="E503" i="5"/>
  <c r="B503" i="6"/>
  <c r="J502" i="12"/>
  <c r="L502" i="12"/>
  <c r="H502" i="6"/>
  <c r="M501" i="6"/>
  <c r="N501" i="6"/>
  <c r="A502" i="6"/>
  <c r="N502" i="6" s="1"/>
  <c r="K502" i="12" l="1"/>
  <c r="A503" i="6"/>
  <c r="N503" i="6" s="1"/>
  <c r="AS501" i="6"/>
  <c r="BA501" i="6"/>
  <c r="AN501" i="6"/>
  <c r="AV501" i="6"/>
  <c r="AY501" i="6"/>
  <c r="AP501" i="6"/>
  <c r="AM501" i="6"/>
  <c r="AU501" i="6"/>
  <c r="BC501" i="6"/>
  <c r="AQ501" i="6"/>
  <c r="AZ501" i="6"/>
  <c r="AC501" i="6"/>
  <c r="AK501" i="6"/>
  <c r="BB501" i="6"/>
  <c r="BF501" i="6"/>
  <c r="AJ501" i="6"/>
  <c r="AI501" i="6"/>
  <c r="AX501" i="6"/>
  <c r="BE501" i="6"/>
  <c r="BG501" i="6"/>
  <c r="AT501" i="6"/>
  <c r="AD501" i="6"/>
  <c r="AG501" i="6"/>
  <c r="AR501" i="6"/>
  <c r="AO501" i="6"/>
  <c r="AB501" i="6"/>
  <c r="AH501" i="6"/>
  <c r="AF501" i="6"/>
  <c r="BD501" i="6"/>
  <c r="AE501" i="6"/>
  <c r="G504" i="5"/>
  <c r="B504" i="6"/>
  <c r="F504" i="5"/>
  <c r="E504" i="5"/>
  <c r="H504" i="5"/>
  <c r="AE504" i="5"/>
  <c r="J504" i="5"/>
  <c r="A504" i="12"/>
  <c r="C505" i="5"/>
  <c r="N504" i="5"/>
  <c r="D504" i="6" s="1"/>
  <c r="B504" i="5"/>
  <c r="AD504" i="5"/>
  <c r="K504" i="5"/>
  <c r="D504" i="5"/>
  <c r="B504" i="12" s="1"/>
  <c r="T502" i="5"/>
  <c r="G502" i="12" s="1"/>
  <c r="H503" i="6"/>
  <c r="M502" i="6"/>
  <c r="AI502" i="6" s="1"/>
  <c r="J503" i="12"/>
  <c r="L503" i="12"/>
  <c r="M503" i="6" l="1"/>
  <c r="BF503" i="6" s="1"/>
  <c r="B505" i="6"/>
  <c r="B505" i="5"/>
  <c r="E505" i="5"/>
  <c r="G505" i="5"/>
  <c r="C506" i="5"/>
  <c r="AE505" i="5"/>
  <c r="H505" i="5"/>
  <c r="AD505" i="5"/>
  <c r="F505" i="5"/>
  <c r="J505" i="5"/>
  <c r="K505" i="5"/>
  <c r="D505" i="5"/>
  <c r="B505" i="12" s="1"/>
  <c r="N505" i="5"/>
  <c r="D505" i="6" s="1"/>
  <c r="A505" i="12"/>
  <c r="K503" i="12"/>
  <c r="AG502" i="6"/>
  <c r="AF502" i="6"/>
  <c r="J504" i="12"/>
  <c r="L504" i="12"/>
  <c r="AK502" i="6"/>
  <c r="AN502" i="6"/>
  <c r="AP502" i="6"/>
  <c r="AZ502" i="6"/>
  <c r="AM502" i="6"/>
  <c r="BD502" i="6"/>
  <c r="BG502" i="6"/>
  <c r="AX502" i="6"/>
  <c r="AV502" i="6"/>
  <c r="AU502" i="6"/>
  <c r="AO502" i="6"/>
  <c r="AY502" i="6"/>
  <c r="BE502" i="6"/>
  <c r="AS502" i="6"/>
  <c r="AT502" i="6"/>
  <c r="BF502" i="6"/>
  <c r="BA502" i="6"/>
  <c r="AQ502" i="6"/>
  <c r="BB502" i="6"/>
  <c r="BC502" i="6"/>
  <c r="AR502" i="6"/>
  <c r="AD502" i="6"/>
  <c r="AJ502" i="6"/>
  <c r="AH502" i="6"/>
  <c r="AE502" i="6"/>
  <c r="AB502" i="6"/>
  <c r="T503" i="5"/>
  <c r="G503" i="12" s="1"/>
  <c r="AC502" i="6"/>
  <c r="H504" i="6"/>
  <c r="A504" i="6"/>
  <c r="M504" i="6" s="1"/>
  <c r="AF503" i="6" l="1"/>
  <c r="AU503" i="6"/>
  <c r="AG503" i="6"/>
  <c r="AS503" i="6"/>
  <c r="BA503" i="6"/>
  <c r="AV503" i="6"/>
  <c r="AZ503" i="6"/>
  <c r="AR503" i="6"/>
  <c r="AP503" i="6"/>
  <c r="AC503" i="6"/>
  <c r="BC503" i="6"/>
  <c r="BB503" i="6"/>
  <c r="AT503" i="6"/>
  <c r="AQ503" i="6"/>
  <c r="AD503" i="6"/>
  <c r="AH503" i="6"/>
  <c r="AB503" i="6"/>
  <c r="BD503" i="6"/>
  <c r="AO503" i="6"/>
  <c r="AM503" i="6"/>
  <c r="AI503" i="6"/>
  <c r="AK503" i="6"/>
  <c r="AN503" i="6"/>
  <c r="AX503" i="6"/>
  <c r="AE503" i="6"/>
  <c r="AY503" i="6"/>
  <c r="BE503" i="6"/>
  <c r="BG503" i="6"/>
  <c r="AJ503" i="6"/>
  <c r="K504" i="12"/>
  <c r="BB504" i="6"/>
  <c r="BC504" i="6"/>
  <c r="BA504" i="6"/>
  <c r="AM504" i="6"/>
  <c r="AV504" i="6"/>
  <c r="AS504" i="6"/>
  <c r="AQ504" i="6"/>
  <c r="AY504" i="6"/>
  <c r="AU504" i="6"/>
  <c r="AP504" i="6"/>
  <c r="AT504" i="6"/>
  <c r="AX504" i="6"/>
  <c r="AO504" i="6"/>
  <c r="BE504" i="6"/>
  <c r="AZ504" i="6"/>
  <c r="BF504" i="6"/>
  <c r="BG504" i="6"/>
  <c r="BD504" i="6"/>
  <c r="AR504" i="6"/>
  <c r="AN504" i="6"/>
  <c r="L505" i="12"/>
  <c r="J505" i="12"/>
  <c r="N504" i="6"/>
  <c r="H505" i="6"/>
  <c r="AD506" i="5"/>
  <c r="G506" i="5"/>
  <c r="C507" i="5"/>
  <c r="D506" i="5"/>
  <c r="B506" i="12" s="1"/>
  <c r="AE506" i="5"/>
  <c r="B506" i="6"/>
  <c r="F506" i="5"/>
  <c r="N506" i="5"/>
  <c r="D506" i="6" s="1"/>
  <c r="H506" i="6" s="1"/>
  <c r="T506" i="5" s="1"/>
  <c r="G506" i="12" s="1"/>
  <c r="H506" i="5"/>
  <c r="B506" i="5"/>
  <c r="J506" i="5"/>
  <c r="K506" i="5"/>
  <c r="E506" i="5"/>
  <c r="A506" i="12"/>
  <c r="T504" i="5"/>
  <c r="G504" i="12" s="1"/>
  <c r="AD504" i="6"/>
  <c r="AE504" i="6"/>
  <c r="AF504" i="6"/>
  <c r="AJ504" i="6"/>
  <c r="AG504" i="6"/>
  <c r="AC504" i="6"/>
  <c r="AB504" i="6"/>
  <c r="AH504" i="6"/>
  <c r="AK504" i="6"/>
  <c r="A505" i="6"/>
  <c r="N505" i="6" s="1"/>
  <c r="AI504" i="6"/>
  <c r="K505" i="12" l="1"/>
  <c r="J506" i="12"/>
  <c r="L506" i="12"/>
  <c r="A506" i="6"/>
  <c r="T505" i="5"/>
  <c r="G505" i="12" s="1"/>
  <c r="N507" i="5"/>
  <c r="D507" i="6" s="1"/>
  <c r="H507" i="6" s="1"/>
  <c r="T507" i="5" s="1"/>
  <c r="G507" i="12" s="1"/>
  <c r="AD507" i="5"/>
  <c r="K507" i="5"/>
  <c r="D507" i="5"/>
  <c r="B507" i="12" s="1"/>
  <c r="AE507" i="5"/>
  <c r="B507" i="6"/>
  <c r="G507" i="5"/>
  <c r="H507" i="5"/>
  <c r="J507" i="5"/>
  <c r="E507" i="5"/>
  <c r="A507" i="12"/>
  <c r="F507" i="5"/>
  <c r="B507" i="5"/>
  <c r="C508" i="5"/>
  <c r="M505" i="6"/>
  <c r="AI505" i="6" s="1"/>
  <c r="K506" i="12" l="1"/>
  <c r="J507" i="12"/>
  <c r="L507" i="12"/>
  <c r="AD505" i="6"/>
  <c r="AJ505" i="6"/>
  <c r="AH505" i="6"/>
  <c r="AE505" i="6"/>
  <c r="AB505" i="6"/>
  <c r="BB505" i="6"/>
  <c r="AV505" i="6"/>
  <c r="BA505" i="6"/>
  <c r="AR505" i="6"/>
  <c r="AN505" i="6"/>
  <c r="AS505" i="6"/>
  <c r="AY505" i="6"/>
  <c r="AX505" i="6"/>
  <c r="AQ505" i="6"/>
  <c r="AT505" i="6"/>
  <c r="AO505" i="6"/>
  <c r="BG505" i="6"/>
  <c r="AU505" i="6"/>
  <c r="AZ505" i="6"/>
  <c r="AP505" i="6"/>
  <c r="BF505" i="6"/>
  <c r="AM505" i="6"/>
  <c r="BE505" i="6"/>
  <c r="BC505" i="6"/>
  <c r="BD505" i="6"/>
  <c r="AG505" i="6"/>
  <c r="AD508" i="5"/>
  <c r="E508" i="5"/>
  <c r="K508" i="5"/>
  <c r="D508" i="5"/>
  <c r="B508" i="12" s="1"/>
  <c r="H508" i="5"/>
  <c r="A508" i="12"/>
  <c r="AE508" i="5"/>
  <c r="B508" i="5"/>
  <c r="N508" i="5"/>
  <c r="D508" i="6" s="1"/>
  <c r="H508" i="6" s="1"/>
  <c r="T508" i="5" s="1"/>
  <c r="G508" i="12" s="1"/>
  <c r="C509" i="5"/>
  <c r="G508" i="5"/>
  <c r="F508" i="5"/>
  <c r="J508" i="5"/>
  <c r="B508" i="6"/>
  <c r="A507" i="6"/>
  <c r="N507" i="6" s="1"/>
  <c r="AC505" i="6"/>
  <c r="N506" i="6"/>
  <c r="M506" i="6"/>
  <c r="AF505" i="6"/>
  <c r="AK505" i="6"/>
  <c r="K507" i="12" l="1"/>
  <c r="AB506" i="6"/>
  <c r="AV506" i="6"/>
  <c r="AR506" i="6"/>
  <c r="AY506" i="6"/>
  <c r="AK506" i="6"/>
  <c r="AS506" i="6"/>
  <c r="BD506" i="6"/>
  <c r="AE506" i="6"/>
  <c r="AT506" i="6"/>
  <c r="AQ506" i="6"/>
  <c r="BF506" i="6"/>
  <c r="AF506" i="6"/>
  <c r="AU506" i="6"/>
  <c r="AP506" i="6"/>
  <c r="AI506" i="6"/>
  <c r="AX506" i="6"/>
  <c r="AH506" i="6"/>
  <c r="BB506" i="6"/>
  <c r="BA506" i="6"/>
  <c r="AN506" i="6"/>
  <c r="AJ506" i="6"/>
  <c r="AC506" i="6"/>
  <c r="BE506" i="6"/>
  <c r="AZ506" i="6"/>
  <c r="AD506" i="6"/>
  <c r="AG506" i="6"/>
  <c r="AM506" i="6"/>
  <c r="BG506" i="6"/>
  <c r="BC506" i="6"/>
  <c r="AO506" i="6"/>
  <c r="F509" i="5"/>
  <c r="D509" i="5"/>
  <c r="B509" i="12" s="1"/>
  <c r="H509" i="5"/>
  <c r="AE509" i="5"/>
  <c r="G509" i="5"/>
  <c r="C510" i="5"/>
  <c r="B509" i="5"/>
  <c r="K509" i="5"/>
  <c r="E509" i="5"/>
  <c r="AD509" i="5"/>
  <c r="A509" i="12"/>
  <c r="J509" i="5"/>
  <c r="N509" i="5"/>
  <c r="D509" i="6" s="1"/>
  <c r="H509" i="6" s="1"/>
  <c r="T509" i="5" s="1"/>
  <c r="G509" i="12" s="1"/>
  <c r="B509" i="6"/>
  <c r="M507" i="6"/>
  <c r="A508" i="6"/>
  <c r="N508" i="6" s="1"/>
  <c r="L508" i="12"/>
  <c r="J508" i="12"/>
  <c r="K508" i="12" l="1"/>
  <c r="AF507" i="6"/>
  <c r="AH507" i="6"/>
  <c r="BC507" i="6"/>
  <c r="AO507" i="6"/>
  <c r="AB507" i="6"/>
  <c r="AX507" i="6"/>
  <c r="AV507" i="6"/>
  <c r="AD507" i="6"/>
  <c r="AM507" i="6"/>
  <c r="AZ507" i="6"/>
  <c r="AN507" i="6"/>
  <c r="AC507" i="6"/>
  <c r="BD507" i="6"/>
  <c r="AE507" i="6"/>
  <c r="BF507" i="6"/>
  <c r="AJ507" i="6"/>
  <c r="AI507" i="6"/>
  <c r="AT507" i="6"/>
  <c r="AQ507" i="6"/>
  <c r="BE507" i="6"/>
  <c r="AK507" i="6"/>
  <c r="BB507" i="6"/>
  <c r="AS507" i="6"/>
  <c r="AR507" i="6"/>
  <c r="AP507" i="6"/>
  <c r="BA507" i="6"/>
  <c r="AG507" i="6"/>
  <c r="AU507" i="6"/>
  <c r="BG507" i="6"/>
  <c r="AY507" i="6"/>
  <c r="A509" i="6"/>
  <c r="G510" i="5"/>
  <c r="AE510" i="5"/>
  <c r="N510" i="5"/>
  <c r="D510" i="6" s="1"/>
  <c r="A510" i="12"/>
  <c r="E510" i="5"/>
  <c r="B510" i="5"/>
  <c r="D510" i="5"/>
  <c r="B510" i="12" s="1"/>
  <c r="H510" i="5"/>
  <c r="AD510" i="5"/>
  <c r="B510" i="6"/>
  <c r="F510" i="5"/>
  <c r="C511" i="5"/>
  <c r="K510" i="5"/>
  <c r="J510" i="5"/>
  <c r="M508" i="6"/>
  <c r="L509" i="12"/>
  <c r="J509" i="12"/>
  <c r="K509" i="12" l="1"/>
  <c r="AO508" i="6"/>
  <c r="AD508" i="6"/>
  <c r="AU508" i="6"/>
  <c r="AE508" i="6"/>
  <c r="AH508" i="6"/>
  <c r="AT508" i="6"/>
  <c r="AR508" i="6"/>
  <c r="AQ508" i="6"/>
  <c r="BA508" i="6"/>
  <c r="AF508" i="6"/>
  <c r="AS508" i="6"/>
  <c r="AN508" i="6"/>
  <c r="AZ508" i="6"/>
  <c r="BD508" i="6"/>
  <c r="AI508" i="6"/>
  <c r="AX508" i="6"/>
  <c r="AB508" i="6"/>
  <c r="AJ508" i="6"/>
  <c r="BB508" i="6"/>
  <c r="BC508" i="6"/>
  <c r="BF508" i="6"/>
  <c r="AC508" i="6"/>
  <c r="BG508" i="6"/>
  <c r="AM508" i="6"/>
  <c r="AY508" i="6"/>
  <c r="AK508" i="6"/>
  <c r="BE508" i="6"/>
  <c r="AP508" i="6"/>
  <c r="AG508" i="6"/>
  <c r="AV508" i="6"/>
  <c r="H511" i="5"/>
  <c r="B511" i="5"/>
  <c r="D511" i="5"/>
  <c r="B511" i="12" s="1"/>
  <c r="AD511" i="5"/>
  <c r="J511" i="5"/>
  <c r="C512" i="5"/>
  <c r="F511" i="5"/>
  <c r="E511" i="5"/>
  <c r="A511" i="12"/>
  <c r="B511" i="6"/>
  <c r="N511" i="5"/>
  <c r="D511" i="6" s="1"/>
  <c r="AE511" i="5"/>
  <c r="K511" i="5"/>
  <c r="G511" i="5"/>
  <c r="J510" i="12"/>
  <c r="L510" i="12"/>
  <c r="M509" i="6"/>
  <c r="N509" i="6"/>
  <c r="H510" i="6"/>
  <c r="A510" i="6"/>
  <c r="N510" i="6" s="1"/>
  <c r="K510" i="12" l="1"/>
  <c r="M510" i="6"/>
  <c r="AD510" i="6" s="1"/>
  <c r="A511" i="6"/>
  <c r="N511" i="6" s="1"/>
  <c r="T510" i="5"/>
  <c r="G510" i="12" s="1"/>
  <c r="H511" i="6"/>
  <c r="AU509" i="6"/>
  <c r="AT509" i="6"/>
  <c r="AV509" i="6"/>
  <c r="AB509" i="6"/>
  <c r="BG509" i="6"/>
  <c r="AM509" i="6"/>
  <c r="AY509" i="6"/>
  <c r="AP509" i="6"/>
  <c r="AS509" i="6"/>
  <c r="AO509" i="6"/>
  <c r="AX509" i="6"/>
  <c r="AG509" i="6"/>
  <c r="AR509" i="6"/>
  <c r="AN509" i="6"/>
  <c r="BD509" i="6"/>
  <c r="BE509" i="6"/>
  <c r="AF509" i="6"/>
  <c r="AE509" i="6"/>
  <c r="AJ509" i="6"/>
  <c r="BB509" i="6"/>
  <c r="BC509" i="6"/>
  <c r="BA509" i="6"/>
  <c r="AH509" i="6"/>
  <c r="AZ509" i="6"/>
  <c r="AC509" i="6"/>
  <c r="BF509" i="6"/>
  <c r="AD509" i="6"/>
  <c r="AQ509" i="6"/>
  <c r="AK509" i="6"/>
  <c r="AI509" i="6"/>
  <c r="J511" i="12"/>
  <c r="L511" i="12"/>
  <c r="F512" i="5"/>
  <c r="B512" i="6"/>
  <c r="K512" i="5"/>
  <c r="D512" i="5"/>
  <c r="B512" i="12" s="1"/>
  <c r="AD512" i="5"/>
  <c r="AE512" i="5"/>
  <c r="H512" i="5"/>
  <c r="C513" i="5"/>
  <c r="J512" i="5"/>
  <c r="A512" i="12"/>
  <c r="N512" i="5"/>
  <c r="D512" i="6" s="1"/>
  <c r="G512" i="5"/>
  <c r="B512" i="5"/>
  <c r="E512" i="5"/>
  <c r="M511" i="6" l="1"/>
  <c r="BG511" i="6" s="1"/>
  <c r="BB510" i="6"/>
  <c r="AQ510" i="6"/>
  <c r="AM510" i="6"/>
  <c r="AJ510" i="6"/>
  <c r="AR510" i="6"/>
  <c r="AH510" i="6"/>
  <c r="AU510" i="6"/>
  <c r="AF510" i="6"/>
  <c r="AI510" i="6"/>
  <c r="AV510" i="6"/>
  <c r="AG510" i="6"/>
  <c r="BD510" i="6"/>
  <c r="BA510" i="6"/>
  <c r="AE510" i="6"/>
  <c r="AP510" i="6"/>
  <c r="AS510" i="6"/>
  <c r="BE510" i="6"/>
  <c r="BG510" i="6"/>
  <c r="BF510" i="6"/>
  <c r="AN510" i="6"/>
  <c r="AC510" i="6"/>
  <c r="AX510" i="6"/>
  <c r="AZ510" i="6"/>
  <c r="AK510" i="6"/>
  <c r="AY510" i="6"/>
  <c r="AO510" i="6"/>
  <c r="AT510" i="6"/>
  <c r="BC510" i="6"/>
  <c r="AB510" i="6"/>
  <c r="K511" i="12"/>
  <c r="A512" i="6"/>
  <c r="M512" i="6" s="1"/>
  <c r="AZ512" i="6" s="1"/>
  <c r="H512" i="6"/>
  <c r="T512" i="5" s="1"/>
  <c r="G512" i="12" s="1"/>
  <c r="L512" i="12"/>
  <c r="J512" i="12"/>
  <c r="T511" i="5"/>
  <c r="G511" i="12" s="1"/>
  <c r="B513" i="5"/>
  <c r="C514" i="5"/>
  <c r="G513" i="5"/>
  <c r="A513" i="12"/>
  <c r="N513" i="5"/>
  <c r="D513" i="6" s="1"/>
  <c r="J513" i="5"/>
  <c r="AE513" i="5"/>
  <c r="D513" i="5"/>
  <c r="B513" i="12" s="1"/>
  <c r="H513" i="5"/>
  <c r="K513" i="5"/>
  <c r="AD513" i="5"/>
  <c r="E513" i="5"/>
  <c r="B513" i="6"/>
  <c r="F513" i="5"/>
  <c r="A513" i="6" l="1"/>
  <c r="N513" i="6" s="1"/>
  <c r="AG511" i="6"/>
  <c r="BB511" i="6"/>
  <c r="AF511" i="6"/>
  <c r="AQ511" i="6"/>
  <c r="AX511" i="6"/>
  <c r="AJ511" i="6"/>
  <c r="AB511" i="6"/>
  <c r="AU511" i="6"/>
  <c r="AM511" i="6"/>
  <c r="AC511" i="6"/>
  <c r="AZ511" i="6"/>
  <c r="AV511" i="6"/>
  <c r="BE511" i="6"/>
  <c r="BD511" i="6"/>
  <c r="AH511" i="6"/>
  <c r="AY511" i="6"/>
  <c r="AD511" i="6"/>
  <c r="K512" i="12"/>
  <c r="AT511" i="6"/>
  <c r="AS511" i="6"/>
  <c r="BA511" i="6"/>
  <c r="BF511" i="6"/>
  <c r="AI511" i="6"/>
  <c r="N512" i="6"/>
  <c r="AR511" i="6"/>
  <c r="BC511" i="6"/>
  <c r="AE511" i="6"/>
  <c r="AK511" i="6"/>
  <c r="AN511" i="6"/>
  <c r="AP511" i="6"/>
  <c r="AO511" i="6"/>
  <c r="AU512" i="6"/>
  <c r="AI512" i="6"/>
  <c r="A514" i="12"/>
  <c r="J514" i="5"/>
  <c r="K514" i="5"/>
  <c r="G514" i="5"/>
  <c r="AD514" i="5"/>
  <c r="N514" i="5"/>
  <c r="D514" i="6" s="1"/>
  <c r="E514" i="5"/>
  <c r="AE514" i="5"/>
  <c r="B514" i="6"/>
  <c r="H514" i="5"/>
  <c r="D514" i="5"/>
  <c r="B514" i="12" s="1"/>
  <c r="F514" i="5"/>
  <c r="C515" i="5"/>
  <c r="B514" i="5"/>
  <c r="AJ512" i="6"/>
  <c r="AN512" i="6"/>
  <c r="AV512" i="6"/>
  <c r="AX512" i="6"/>
  <c r="AH512" i="6"/>
  <c r="AD512" i="6"/>
  <c r="BA512" i="6"/>
  <c r="AQ512" i="6"/>
  <c r="AK512" i="6"/>
  <c r="BF512" i="6"/>
  <c r="BD512" i="6"/>
  <c r="AY512" i="6"/>
  <c r="AC512" i="6"/>
  <c r="AR512" i="6"/>
  <c r="AO512" i="6"/>
  <c r="AS512" i="6"/>
  <c r="BE512" i="6"/>
  <c r="BG512" i="6"/>
  <c r="AF512" i="6"/>
  <c r="AT512" i="6"/>
  <c r="BB512" i="6"/>
  <c r="AE512" i="6"/>
  <c r="AP512" i="6"/>
  <c r="H513" i="6"/>
  <c r="AG512" i="6"/>
  <c r="L513" i="12"/>
  <c r="J513" i="12"/>
  <c r="BC512" i="6"/>
  <c r="AM512" i="6"/>
  <c r="AB512" i="6"/>
  <c r="M513" i="6" l="1"/>
  <c r="AS513" i="6" s="1"/>
  <c r="A514" i="6"/>
  <c r="N514" i="6" s="1"/>
  <c r="K513" i="12"/>
  <c r="L514" i="12"/>
  <c r="J514" i="12"/>
  <c r="T513" i="5"/>
  <c r="G513" i="12" s="1"/>
  <c r="H514" i="6"/>
  <c r="D515" i="5"/>
  <c r="B515" i="12" s="1"/>
  <c r="C516" i="5"/>
  <c r="A515" i="12"/>
  <c r="G515" i="5"/>
  <c r="H515" i="5"/>
  <c r="B515" i="5"/>
  <c r="K515" i="5"/>
  <c r="J515" i="5"/>
  <c r="E515" i="5"/>
  <c r="F515" i="5"/>
  <c r="B515" i="6"/>
  <c r="AE515" i="5"/>
  <c r="N515" i="5"/>
  <c r="D515" i="6" s="1"/>
  <c r="H515" i="6" s="1"/>
  <c r="T515" i="5" s="1"/>
  <c r="G515" i="12" s="1"/>
  <c r="AD515" i="5"/>
  <c r="BE513" i="6" l="1"/>
  <c r="AD513" i="6"/>
  <c r="AR513" i="6"/>
  <c r="AP513" i="6"/>
  <c r="BF513" i="6"/>
  <c r="AI513" i="6"/>
  <c r="BG513" i="6"/>
  <c r="BB513" i="6"/>
  <c r="AN513" i="6"/>
  <c r="AQ513" i="6"/>
  <c r="AT513" i="6"/>
  <c r="AJ513" i="6"/>
  <c r="AB513" i="6"/>
  <c r="AU513" i="6"/>
  <c r="AV513" i="6"/>
  <c r="BD513" i="6"/>
  <c r="AY513" i="6"/>
  <c r="AH513" i="6"/>
  <c r="BA513" i="6"/>
  <c r="AK513" i="6"/>
  <c r="AO513" i="6"/>
  <c r="AZ513" i="6"/>
  <c r="BC513" i="6"/>
  <c r="AX513" i="6"/>
  <c r="AF513" i="6"/>
  <c r="AM513" i="6"/>
  <c r="AC513" i="6"/>
  <c r="AG513" i="6"/>
  <c r="AE513" i="6"/>
  <c r="M514" i="6"/>
  <c r="AR514" i="6" s="1"/>
  <c r="A515" i="6"/>
  <c r="N515" i="6" s="1"/>
  <c r="H516" i="5"/>
  <c r="F516" i="5"/>
  <c r="N516" i="5"/>
  <c r="D516" i="6" s="1"/>
  <c r="H516" i="6" s="1"/>
  <c r="T516" i="5" s="1"/>
  <c r="G516" i="12" s="1"/>
  <c r="B516" i="6"/>
  <c r="C517" i="5"/>
  <c r="J516" i="5"/>
  <c r="E516" i="5"/>
  <c r="A516" i="12"/>
  <c r="AD516" i="5"/>
  <c r="B516" i="5"/>
  <c r="D516" i="5"/>
  <c r="B516" i="12" s="1"/>
  <c r="AE516" i="5"/>
  <c r="G516" i="5"/>
  <c r="K516" i="5"/>
  <c r="K514" i="12"/>
  <c r="T514" i="5"/>
  <c r="G514" i="12" s="1"/>
  <c r="J515" i="12"/>
  <c r="L515" i="12"/>
  <c r="M515" i="6" l="1"/>
  <c r="AG515" i="6" s="1"/>
  <c r="AZ514" i="6"/>
  <c r="AH514" i="6"/>
  <c r="AX514" i="6"/>
  <c r="BD514" i="6"/>
  <c r="AI514" i="6"/>
  <c r="AK514" i="6"/>
  <c r="AM514" i="6"/>
  <c r="AY514" i="6"/>
  <c r="AO514" i="6"/>
  <c r="AJ514" i="6"/>
  <c r="AE514" i="6"/>
  <c r="BE514" i="6"/>
  <c r="BC514" i="6"/>
  <c r="AB514" i="6"/>
  <c r="AQ514" i="6"/>
  <c r="AT514" i="6"/>
  <c r="BG514" i="6"/>
  <c r="AN514" i="6"/>
  <c r="AG514" i="6"/>
  <c r="AF514" i="6"/>
  <c r="BF514" i="6"/>
  <c r="AD514" i="6"/>
  <c r="AP514" i="6"/>
  <c r="BA514" i="6"/>
  <c r="AV514" i="6"/>
  <c r="BB514" i="6"/>
  <c r="AC514" i="6"/>
  <c r="AU514" i="6"/>
  <c r="AS514" i="6"/>
  <c r="N517" i="5"/>
  <c r="D517" i="6" s="1"/>
  <c r="K517" i="5"/>
  <c r="AE517" i="5"/>
  <c r="H517" i="5"/>
  <c r="B517" i="6"/>
  <c r="F517" i="5"/>
  <c r="B517" i="5"/>
  <c r="C518" i="5" s="1"/>
  <c r="G517" i="5"/>
  <c r="AD517" i="5"/>
  <c r="A517" i="12"/>
  <c r="J517" i="5"/>
  <c r="E517" i="5"/>
  <c r="D517" i="5"/>
  <c r="B517" i="12" s="1"/>
  <c r="J516" i="12"/>
  <c r="L516" i="12"/>
  <c r="A516" i="6"/>
  <c r="K515" i="12"/>
  <c r="BG515" i="6" l="1"/>
  <c r="BB515" i="6"/>
  <c r="AO515" i="6"/>
  <c r="BF515" i="6"/>
  <c r="AS515" i="6"/>
  <c r="AC515" i="6"/>
  <c r="AT515" i="6"/>
  <c r="AH515" i="6"/>
  <c r="AV515" i="6"/>
  <c r="AK515" i="6"/>
  <c r="BC515" i="6"/>
  <c r="AN515" i="6"/>
  <c r="AZ515" i="6"/>
  <c r="AI515" i="6"/>
  <c r="AQ515" i="6"/>
  <c r="BD515" i="6"/>
  <c r="AX515" i="6"/>
  <c r="AB515" i="6"/>
  <c r="AJ515" i="6"/>
  <c r="AD515" i="6"/>
  <c r="BE515" i="6"/>
  <c r="AR515" i="6"/>
  <c r="BA515" i="6"/>
  <c r="AE515" i="6"/>
  <c r="AM515" i="6"/>
  <c r="AP515" i="6"/>
  <c r="AY515" i="6"/>
  <c r="AF515" i="6"/>
  <c r="AU515" i="6"/>
  <c r="K516" i="12"/>
  <c r="N516" i="6"/>
  <c r="M516" i="6"/>
  <c r="A517" i="6"/>
  <c r="M517" i="6" s="1"/>
  <c r="J517" i="12"/>
  <c r="L517" i="12"/>
  <c r="H517" i="6"/>
  <c r="B518" i="5"/>
  <c r="B518" i="6"/>
  <c r="E518" i="5"/>
  <c r="F518" i="5"/>
  <c r="C519" i="5"/>
  <c r="W518" i="5"/>
  <c r="H518" i="12" s="1"/>
  <c r="AD518" i="5"/>
  <c r="H518" i="5"/>
  <c r="I518" i="5"/>
  <c r="G518" i="5"/>
  <c r="K500" i="5" s="1"/>
  <c r="A518" i="12"/>
  <c r="AE518" i="5"/>
  <c r="R518" i="5"/>
  <c r="N518" i="5"/>
  <c r="D518" i="6" s="1"/>
  <c r="K517" i="12" l="1"/>
  <c r="N517" i="6"/>
  <c r="AT517" i="6"/>
  <c r="AP517" i="6"/>
  <c r="BE517" i="6"/>
  <c r="AZ517" i="6"/>
  <c r="AO517" i="6"/>
  <c r="BA517" i="6"/>
  <c r="AN517" i="6"/>
  <c r="BB517" i="6"/>
  <c r="AY517" i="6"/>
  <c r="BF517" i="6"/>
  <c r="AM517" i="6"/>
  <c r="AS517" i="6"/>
  <c r="AR517" i="6"/>
  <c r="AX517" i="6"/>
  <c r="BG517" i="6"/>
  <c r="AV517" i="6"/>
  <c r="BD517" i="6"/>
  <c r="BC517" i="6"/>
  <c r="AQ517" i="6"/>
  <c r="AU517" i="6"/>
  <c r="T517" i="5"/>
  <c r="G517" i="12" s="1"/>
  <c r="AG517" i="6"/>
  <c r="AB517" i="6"/>
  <c r="AD517" i="6"/>
  <c r="AF517" i="6"/>
  <c r="AH517" i="6"/>
  <c r="AK517" i="6"/>
  <c r="AE517" i="6"/>
  <c r="AJ517" i="6"/>
  <c r="AI517" i="6"/>
  <c r="AC517" i="6"/>
  <c r="AP518" i="6"/>
  <c r="AV518" i="6"/>
  <c r="BG518" i="6"/>
  <c r="BB518" i="6"/>
  <c r="AY518" i="6"/>
  <c r="AU518" i="6"/>
  <c r="BF518" i="6"/>
  <c r="AM518" i="6"/>
  <c r="BE518" i="6"/>
  <c r="H518" i="6"/>
  <c r="T518" i="5" s="1"/>
  <c r="G518" i="12" s="1"/>
  <c r="BC518" i="6"/>
  <c r="BA518" i="6"/>
  <c r="AZ518" i="6"/>
  <c r="AO518" i="6"/>
  <c r="AN518" i="6"/>
  <c r="G518" i="6"/>
  <c r="AR518" i="6"/>
  <c r="BD518" i="6"/>
  <c r="AS518" i="6"/>
  <c r="AT518" i="6"/>
  <c r="M518" i="6"/>
  <c r="AQ518" i="6" s="1"/>
  <c r="AX518" i="6"/>
  <c r="F518" i="6"/>
  <c r="E518" i="12"/>
  <c r="H519" i="5"/>
  <c r="J519" i="5"/>
  <c r="A519" i="12"/>
  <c r="E519" i="5"/>
  <c r="AD519" i="5"/>
  <c r="AE519" i="5"/>
  <c r="F519" i="5"/>
  <c r="B519" i="6"/>
  <c r="K519" i="5"/>
  <c r="D519" i="5"/>
  <c r="B519" i="12" s="1"/>
  <c r="N519" i="5"/>
  <c r="D519" i="6" s="1"/>
  <c r="H519" i="6" s="1"/>
  <c r="T519" i="5" s="1"/>
  <c r="G519" i="12" s="1"/>
  <c r="B519" i="5"/>
  <c r="G519" i="5"/>
  <c r="C520" i="5"/>
  <c r="AR516" i="6"/>
  <c r="AV516" i="6"/>
  <c r="BF516" i="6"/>
  <c r="AN516" i="6"/>
  <c r="BC516" i="6"/>
  <c r="AH516" i="6"/>
  <c r="AQ516" i="6"/>
  <c r="AE516" i="6"/>
  <c r="AF516" i="6"/>
  <c r="BG516" i="6"/>
  <c r="AM516" i="6"/>
  <c r="BD516" i="6"/>
  <c r="AC516" i="6"/>
  <c r="AT516" i="6"/>
  <c r="AS516" i="6"/>
  <c r="AG516" i="6"/>
  <c r="AP516" i="6"/>
  <c r="AZ516" i="6"/>
  <c r="AK516" i="6"/>
  <c r="AO516" i="6"/>
  <c r="AD516" i="6"/>
  <c r="AJ516" i="6"/>
  <c r="BA516" i="6"/>
  <c r="AX516" i="6"/>
  <c r="BE516" i="6"/>
  <c r="AB516" i="6"/>
  <c r="BB516" i="6"/>
  <c r="AY516" i="6"/>
  <c r="AI516" i="6"/>
  <c r="AU516" i="6"/>
  <c r="A518" i="6"/>
  <c r="N518" i="6" s="1"/>
  <c r="AC518" i="6" l="1"/>
  <c r="AD518" i="6"/>
  <c r="AH518" i="6"/>
  <c r="AI518" i="6"/>
  <c r="AJ518" i="6"/>
  <c r="AE518" i="6"/>
  <c r="AK518" i="6"/>
  <c r="A519" i="6"/>
  <c r="AF518" i="6"/>
  <c r="N520" i="5"/>
  <c r="D520" i="6" s="1"/>
  <c r="H520" i="6" s="1"/>
  <c r="T520" i="5" s="1"/>
  <c r="G520" i="12" s="1"/>
  <c r="H520" i="5"/>
  <c r="AD520" i="5"/>
  <c r="C521" i="5"/>
  <c r="K520" i="5"/>
  <c r="G520" i="5"/>
  <c r="B520" i="5"/>
  <c r="J520" i="5"/>
  <c r="E520" i="5"/>
  <c r="A520" i="12"/>
  <c r="F520" i="5"/>
  <c r="B520" i="6"/>
  <c r="D520" i="5"/>
  <c r="B520" i="12" s="1"/>
  <c r="AE520" i="5"/>
  <c r="AB518" i="6"/>
  <c r="J519" i="12"/>
  <c r="L519" i="12"/>
  <c r="AG518" i="6"/>
  <c r="K519" i="12" l="1"/>
  <c r="A520" i="6"/>
  <c r="M520" i="6" s="1"/>
  <c r="AE520" i="6" s="1"/>
  <c r="H521" i="5"/>
  <c r="J521" i="5"/>
  <c r="G521" i="5"/>
  <c r="AE521" i="5"/>
  <c r="B521" i="5"/>
  <c r="N521" i="5"/>
  <c r="D521" i="6" s="1"/>
  <c r="D521" i="5"/>
  <c r="B521" i="12" s="1"/>
  <c r="B521" i="6"/>
  <c r="E521" i="5"/>
  <c r="F521" i="5"/>
  <c r="C522" i="5"/>
  <c r="AD521" i="5"/>
  <c r="K521" i="5"/>
  <c r="A521" i="12"/>
  <c r="L520" i="12"/>
  <c r="J520" i="12"/>
  <c r="N519" i="6"/>
  <c r="M519" i="6"/>
  <c r="K520" i="12" l="1"/>
  <c r="N520" i="6"/>
  <c r="AJ520" i="6"/>
  <c r="BB520" i="6"/>
  <c r="AT520" i="6"/>
  <c r="AG520" i="6"/>
  <c r="AQ520" i="6"/>
  <c r="AP520" i="6"/>
  <c r="AC520" i="6"/>
  <c r="BG520" i="6"/>
  <c r="BE520" i="6"/>
  <c r="BF520" i="6"/>
  <c r="AS520" i="6"/>
  <c r="AU520" i="6"/>
  <c r="AF520" i="6"/>
  <c r="AZ520" i="6"/>
  <c r="AM520" i="6"/>
  <c r="AK520" i="6"/>
  <c r="BC520" i="6"/>
  <c r="AV520" i="6"/>
  <c r="AI520" i="6"/>
  <c r="AH520" i="6"/>
  <c r="AX520" i="6"/>
  <c r="AD520" i="6"/>
  <c r="BA520" i="6"/>
  <c r="BD520" i="6"/>
  <c r="AO520" i="6"/>
  <c r="AY520" i="6"/>
  <c r="AR520" i="6"/>
  <c r="AB520" i="6"/>
  <c r="AN520" i="6"/>
  <c r="AB519" i="6"/>
  <c r="AE519" i="6"/>
  <c r="AS519" i="6"/>
  <c r="AR519" i="6"/>
  <c r="AY519" i="6"/>
  <c r="AC519" i="6"/>
  <c r="BA519" i="6"/>
  <c r="AZ519" i="6"/>
  <c r="AM519" i="6"/>
  <c r="AF519" i="6"/>
  <c r="AX519" i="6"/>
  <c r="AU519" i="6"/>
  <c r="BF519" i="6"/>
  <c r="BE519" i="6"/>
  <c r="AD519" i="6"/>
  <c r="AP519" i="6"/>
  <c r="BG519" i="6"/>
  <c r="AJ519" i="6"/>
  <c r="AQ519" i="6"/>
  <c r="AN519" i="6"/>
  <c r="AV519" i="6"/>
  <c r="AI519" i="6"/>
  <c r="AG519" i="6"/>
  <c r="AO519" i="6"/>
  <c r="BC519" i="6"/>
  <c r="AK519" i="6"/>
  <c r="BB519" i="6"/>
  <c r="AT519" i="6"/>
  <c r="BD519" i="6"/>
  <c r="AH519" i="6"/>
  <c r="AE522" i="5"/>
  <c r="K522" i="5"/>
  <c r="AD522" i="5"/>
  <c r="N522" i="5"/>
  <c r="D522" i="6" s="1"/>
  <c r="H522" i="6" s="1"/>
  <c r="T522" i="5" s="1"/>
  <c r="G522" i="12" s="1"/>
  <c r="H522" i="5"/>
  <c r="F522" i="5"/>
  <c r="B522" i="6"/>
  <c r="B522" i="5"/>
  <c r="C523" i="5"/>
  <c r="D522" i="5"/>
  <c r="B522" i="12" s="1"/>
  <c r="G522" i="5"/>
  <c r="J522" i="5"/>
  <c r="E522" i="5"/>
  <c r="A522" i="12"/>
  <c r="A521" i="6"/>
  <c r="N521" i="6" s="1"/>
  <c r="J521" i="12"/>
  <c r="L521" i="12"/>
  <c r="H521" i="6"/>
  <c r="K521" i="12" l="1"/>
  <c r="M521" i="6"/>
  <c r="AM521" i="6" s="1"/>
  <c r="H523" i="5"/>
  <c r="G523" i="5"/>
  <c r="A523" i="12"/>
  <c r="E523" i="5"/>
  <c r="AE523" i="5"/>
  <c r="D523" i="5"/>
  <c r="B523" i="12" s="1"/>
  <c r="N523" i="5"/>
  <c r="D523" i="6" s="1"/>
  <c r="H523" i="6" s="1"/>
  <c r="T523" i="5" s="1"/>
  <c r="G523" i="12" s="1"/>
  <c r="F523" i="5"/>
  <c r="B523" i="6"/>
  <c r="B523" i="5"/>
  <c r="C524" i="5"/>
  <c r="AD523" i="5"/>
  <c r="J523" i="5"/>
  <c r="K523" i="5"/>
  <c r="A522" i="6"/>
  <c r="J522" i="12"/>
  <c r="L522" i="12"/>
  <c r="T521" i="5"/>
  <c r="G521" i="12" s="1"/>
  <c r="AP521" i="6" l="1"/>
  <c r="AS521" i="6"/>
  <c r="AF521" i="6"/>
  <c r="AZ521" i="6"/>
  <c r="AB521" i="6"/>
  <c r="AX521" i="6"/>
  <c r="AD521" i="6"/>
  <c r="AT521" i="6"/>
  <c r="BC521" i="6"/>
  <c r="AN521" i="6"/>
  <c r="AU521" i="6"/>
  <c r="AJ521" i="6"/>
  <c r="AO521" i="6"/>
  <c r="BE521" i="6"/>
  <c r="BA521" i="6"/>
  <c r="BD521" i="6"/>
  <c r="AG521" i="6"/>
  <c r="AK521" i="6"/>
  <c r="AQ521" i="6"/>
  <c r="AR521" i="6"/>
  <c r="AV521" i="6"/>
  <c r="AH521" i="6"/>
  <c r="BB521" i="6"/>
  <c r="AE521" i="6"/>
  <c r="BF521" i="6"/>
  <c r="AI521" i="6"/>
  <c r="BG521" i="6"/>
  <c r="AC521" i="6"/>
  <c r="AY521" i="6"/>
  <c r="K522" i="12"/>
  <c r="M522" i="6"/>
  <c r="N522" i="6"/>
  <c r="C525" i="5"/>
  <c r="B524" i="5"/>
  <c r="N524" i="5"/>
  <c r="D524" i="6" s="1"/>
  <c r="H524" i="6" s="1"/>
  <c r="T524" i="5" s="1"/>
  <c r="G524" i="12" s="1"/>
  <c r="J524" i="5"/>
  <c r="H524" i="5"/>
  <c r="AE524" i="5"/>
  <c r="E524" i="5"/>
  <c r="G524" i="5"/>
  <c r="F524" i="5"/>
  <c r="K524" i="5"/>
  <c r="D524" i="5"/>
  <c r="B524" i="12" s="1"/>
  <c r="A524" i="12"/>
  <c r="B524" i="6"/>
  <c r="AD524" i="5"/>
  <c r="L523" i="12"/>
  <c r="J523" i="12"/>
  <c r="A523" i="6"/>
  <c r="K523" i="12" l="1"/>
  <c r="A524" i="6"/>
  <c r="M524" i="6" s="1"/>
  <c r="BF524" i="6" s="1"/>
  <c r="L524" i="12"/>
  <c r="J524" i="12"/>
  <c r="M523" i="6"/>
  <c r="N523" i="6"/>
  <c r="G525" i="5"/>
  <c r="N525" i="5"/>
  <c r="D525" i="6" s="1"/>
  <c r="F525" i="5"/>
  <c r="J525" i="5"/>
  <c r="E525" i="5"/>
  <c r="B525" i="5"/>
  <c r="C526" i="5"/>
  <c r="AE525" i="5"/>
  <c r="A525" i="12"/>
  <c r="AD525" i="5"/>
  <c r="H525" i="5"/>
  <c r="K525" i="5"/>
  <c r="D525" i="5"/>
  <c r="B525" i="12" s="1"/>
  <c r="B525" i="6"/>
  <c r="AG522" i="6"/>
  <c r="AO522" i="6"/>
  <c r="AZ522" i="6"/>
  <c r="AY522" i="6"/>
  <c r="AC522" i="6"/>
  <c r="AK522" i="6"/>
  <c r="BD522" i="6"/>
  <c r="AU522" i="6"/>
  <c r="AH522" i="6"/>
  <c r="BC522" i="6"/>
  <c r="AN522" i="6"/>
  <c r="AT522" i="6"/>
  <c r="AF522" i="6"/>
  <c r="AR522" i="6"/>
  <c r="AP522" i="6"/>
  <c r="AX522" i="6"/>
  <c r="AJ522" i="6"/>
  <c r="AD522" i="6"/>
  <c r="BF522" i="6"/>
  <c r="BA522" i="6"/>
  <c r="AV522" i="6"/>
  <c r="AM522" i="6"/>
  <c r="BE522" i="6"/>
  <c r="AS522" i="6"/>
  <c r="BG522" i="6"/>
  <c r="AB522" i="6"/>
  <c r="AI522" i="6"/>
  <c r="AQ522" i="6"/>
  <c r="BB522" i="6"/>
  <c r="AE522" i="6"/>
  <c r="N524" i="6" l="1"/>
  <c r="K524" i="12"/>
  <c r="AQ524" i="6"/>
  <c r="AD524" i="6"/>
  <c r="AT524" i="6"/>
  <c r="AI524" i="6"/>
  <c r="AK524" i="6"/>
  <c r="AZ524" i="6"/>
  <c r="BD524" i="6"/>
  <c r="AH524" i="6"/>
  <c r="BC524" i="6"/>
  <c r="AY524" i="6"/>
  <c r="AE524" i="6"/>
  <c r="BB524" i="6"/>
  <c r="A525" i="6"/>
  <c r="M525" i="6" s="1"/>
  <c r="BE525" i="6" s="1"/>
  <c r="BE524" i="6"/>
  <c r="AJ524" i="6"/>
  <c r="AU524" i="6"/>
  <c r="AX524" i="6"/>
  <c r="AS524" i="6"/>
  <c r="AP524" i="6"/>
  <c r="AF524" i="6"/>
  <c r="BG524" i="6"/>
  <c r="AM524" i="6"/>
  <c r="AO524" i="6"/>
  <c r="BA524" i="6"/>
  <c r="AR524" i="6"/>
  <c r="AC524" i="6"/>
  <c r="AN524" i="6"/>
  <c r="AV524" i="6"/>
  <c r="AG524" i="6"/>
  <c r="AB524" i="6"/>
  <c r="H525" i="6"/>
  <c r="L525" i="12"/>
  <c r="J525" i="12"/>
  <c r="BB523" i="6"/>
  <c r="AT523" i="6"/>
  <c r="AB523" i="6"/>
  <c r="AX523" i="6"/>
  <c r="AN523" i="6"/>
  <c r="BF523" i="6"/>
  <c r="AF523" i="6"/>
  <c r="BD523" i="6"/>
  <c r="AD523" i="6"/>
  <c r="AI523" i="6"/>
  <c r="AY523" i="6"/>
  <c r="AQ523" i="6"/>
  <c r="AO523" i="6"/>
  <c r="AH523" i="6"/>
  <c r="AZ523" i="6"/>
  <c r="BC523" i="6"/>
  <c r="AU523" i="6"/>
  <c r="BE523" i="6"/>
  <c r="AG523" i="6"/>
  <c r="AV523" i="6"/>
  <c r="AM523" i="6"/>
  <c r="AS523" i="6"/>
  <c r="AP523" i="6"/>
  <c r="AJ523" i="6"/>
  <c r="AC523" i="6"/>
  <c r="BA523" i="6"/>
  <c r="AR523" i="6"/>
  <c r="AK523" i="6"/>
  <c r="BG523" i="6"/>
  <c r="AE523" i="6"/>
  <c r="G526" i="5"/>
  <c r="C527" i="5"/>
  <c r="A526" i="12"/>
  <c r="AD526" i="5"/>
  <c r="AE526" i="5"/>
  <c r="B526" i="6"/>
  <c r="J526" i="5"/>
  <c r="K526" i="5"/>
  <c r="H526" i="5"/>
  <c r="B526" i="5"/>
  <c r="E526" i="5"/>
  <c r="N526" i="5"/>
  <c r="D526" i="6" s="1"/>
  <c r="H526" i="6" s="1"/>
  <c r="T526" i="5" s="1"/>
  <c r="G526" i="12" s="1"/>
  <c r="D526" i="5"/>
  <c r="B526" i="12" s="1"/>
  <c r="F526" i="5"/>
  <c r="N525" i="6" l="1"/>
  <c r="A526" i="6"/>
  <c r="M526" i="6" s="1"/>
  <c r="AN526" i="6" s="1"/>
  <c r="AZ525" i="6"/>
  <c r="BC525" i="6"/>
  <c r="AP525" i="6"/>
  <c r="AM525" i="6"/>
  <c r="AN525" i="6"/>
  <c r="BB525" i="6"/>
  <c r="BG525" i="6"/>
  <c r="AT525" i="6"/>
  <c r="AS525" i="6"/>
  <c r="BA525" i="6"/>
  <c r="AU525" i="6"/>
  <c r="AX525" i="6"/>
  <c r="AR525" i="6"/>
  <c r="AY525" i="6"/>
  <c r="BD525" i="6"/>
  <c r="AO525" i="6"/>
  <c r="AV525" i="6"/>
  <c r="AQ525" i="6"/>
  <c r="BF525" i="6"/>
  <c r="K525" i="12"/>
  <c r="L526" i="12"/>
  <c r="J526" i="12"/>
  <c r="A527" i="12"/>
  <c r="B527" i="5"/>
  <c r="G527" i="5"/>
  <c r="E527" i="5"/>
  <c r="AE527" i="5"/>
  <c r="N527" i="5"/>
  <c r="D527" i="6" s="1"/>
  <c r="C528" i="5"/>
  <c r="B527" i="6"/>
  <c r="J527" i="5"/>
  <c r="K527" i="5"/>
  <c r="AD527" i="5"/>
  <c r="H527" i="5"/>
  <c r="D527" i="5"/>
  <c r="B527" i="12" s="1"/>
  <c r="F527" i="5"/>
  <c r="T525" i="5"/>
  <c r="G525" i="12" s="1"/>
  <c r="AE525" i="6"/>
  <c r="AF525" i="6"/>
  <c r="AJ525" i="6"/>
  <c r="AD525" i="6"/>
  <c r="AC525" i="6"/>
  <c r="AG525" i="6"/>
  <c r="AB525" i="6"/>
  <c r="AH525" i="6"/>
  <c r="AK525" i="6"/>
  <c r="AI525" i="6"/>
  <c r="N526" i="6" l="1"/>
  <c r="K526" i="12"/>
  <c r="BD526" i="6"/>
  <c r="AF526" i="6"/>
  <c r="AD526" i="6"/>
  <c r="AZ526" i="6"/>
  <c r="AC526" i="6"/>
  <c r="AR526" i="6"/>
  <c r="AU526" i="6"/>
  <c r="AE526" i="6"/>
  <c r="BG526" i="6"/>
  <c r="BF526" i="6"/>
  <c r="BA526" i="6"/>
  <c r="BE526" i="6"/>
  <c r="AH526" i="6"/>
  <c r="AS526" i="6"/>
  <c r="AO526" i="6"/>
  <c r="AT526" i="6"/>
  <c r="AK526" i="6"/>
  <c r="AY526" i="6"/>
  <c r="AX526" i="6"/>
  <c r="AQ526" i="6"/>
  <c r="AJ526" i="6"/>
  <c r="AI526" i="6"/>
  <c r="AG526" i="6"/>
  <c r="BC526" i="6"/>
  <c r="AB526" i="6"/>
  <c r="AV526" i="6"/>
  <c r="AM526" i="6"/>
  <c r="AP526" i="6"/>
  <c r="BB526" i="6"/>
  <c r="A527" i="6"/>
  <c r="M527" i="6" s="1"/>
  <c r="J527" i="12"/>
  <c r="L527" i="12"/>
  <c r="H528" i="5"/>
  <c r="K528" i="5"/>
  <c r="G528" i="5"/>
  <c r="N528" i="5"/>
  <c r="D528" i="6" s="1"/>
  <c r="E528" i="5"/>
  <c r="J528" i="5"/>
  <c r="F528" i="5"/>
  <c r="C529" i="5"/>
  <c r="B528" i="6"/>
  <c r="A528" i="12"/>
  <c r="AE528" i="5"/>
  <c r="B528" i="5"/>
  <c r="D528" i="5"/>
  <c r="B528" i="12" s="1"/>
  <c r="AD528" i="5"/>
  <c r="H527" i="6"/>
  <c r="K527" i="12" l="1"/>
  <c r="N527" i="6"/>
  <c r="H528" i="6"/>
  <c r="L528" i="12"/>
  <c r="J528" i="12"/>
  <c r="AZ527" i="6"/>
  <c r="BC527" i="6"/>
  <c r="BG527" i="6"/>
  <c r="AY527" i="6"/>
  <c r="AV527" i="6"/>
  <c r="AM527" i="6"/>
  <c r="BA527" i="6"/>
  <c r="AN527" i="6"/>
  <c r="BF527" i="6"/>
  <c r="AS527" i="6"/>
  <c r="AP527" i="6"/>
  <c r="AU527" i="6"/>
  <c r="AR527" i="6"/>
  <c r="AQ527" i="6"/>
  <c r="AX527" i="6"/>
  <c r="BE527" i="6"/>
  <c r="AT527" i="6"/>
  <c r="AO527" i="6"/>
  <c r="BB527" i="6"/>
  <c r="BD527" i="6"/>
  <c r="A528" i="6"/>
  <c r="M528" i="6" s="1"/>
  <c r="T527" i="5"/>
  <c r="G527" i="12" s="1"/>
  <c r="AH527" i="6"/>
  <c r="AI527" i="6"/>
  <c r="AK527" i="6"/>
  <c r="AE527" i="6"/>
  <c r="AF527" i="6"/>
  <c r="AJ527" i="6"/>
  <c r="AC527" i="6"/>
  <c r="AG527" i="6"/>
  <c r="AB527" i="6"/>
  <c r="AD527" i="6"/>
  <c r="H529" i="5"/>
  <c r="A529" i="12"/>
  <c r="G529" i="5"/>
  <c r="K529" i="5"/>
  <c r="J529" i="5"/>
  <c r="D529" i="5"/>
  <c r="B529" i="12" s="1"/>
  <c r="N529" i="5"/>
  <c r="D529" i="6" s="1"/>
  <c r="H529" i="6" s="1"/>
  <c r="T529" i="5" s="1"/>
  <c r="G529" i="12" s="1"/>
  <c r="C530" i="5"/>
  <c r="F529" i="5"/>
  <c r="AD529" i="5"/>
  <c r="B529" i="6"/>
  <c r="AE529" i="5"/>
  <c r="B529" i="5"/>
  <c r="E529" i="5"/>
  <c r="K528" i="12" l="1"/>
  <c r="AM528" i="6"/>
  <c r="AQ528" i="6"/>
  <c r="BC528" i="6"/>
  <c r="AO528" i="6"/>
  <c r="BF528" i="6"/>
  <c r="BE528" i="6"/>
  <c r="AU528" i="6"/>
  <c r="BG528" i="6"/>
  <c r="AP528" i="6"/>
  <c r="BD528" i="6"/>
  <c r="AZ528" i="6"/>
  <c r="AS528" i="6"/>
  <c r="AX528" i="6"/>
  <c r="AV528" i="6"/>
  <c r="AN528" i="6"/>
  <c r="AY528" i="6"/>
  <c r="A529" i="6"/>
  <c r="M529" i="6" s="1"/>
  <c r="AM529" i="6" s="1"/>
  <c r="BB528" i="6"/>
  <c r="L529" i="12"/>
  <c r="J529" i="12"/>
  <c r="N528" i="6"/>
  <c r="T528" i="5"/>
  <c r="G528" i="12" s="1"/>
  <c r="AB528" i="6"/>
  <c r="AC528" i="6"/>
  <c r="AK528" i="6"/>
  <c r="AF528" i="6"/>
  <c r="AH528" i="6"/>
  <c r="AI528" i="6"/>
  <c r="AJ528" i="6"/>
  <c r="AD528" i="6"/>
  <c r="AE528" i="6"/>
  <c r="BA528" i="6"/>
  <c r="AG528" i="6"/>
  <c r="H530" i="5"/>
  <c r="F530" i="5"/>
  <c r="B530" i="5"/>
  <c r="J530" i="5"/>
  <c r="D530" i="5"/>
  <c r="B530" i="12" s="1"/>
  <c r="E530" i="5"/>
  <c r="N530" i="5"/>
  <c r="D530" i="6" s="1"/>
  <c r="H530" i="6" s="1"/>
  <c r="T530" i="5" s="1"/>
  <c r="G530" i="12" s="1"/>
  <c r="C531" i="5"/>
  <c r="A530" i="12"/>
  <c r="K530" i="5"/>
  <c r="G530" i="5"/>
  <c r="B530" i="6"/>
  <c r="AD530" i="5"/>
  <c r="AE530" i="5"/>
  <c r="AT528" i="6"/>
  <c r="AR528" i="6"/>
  <c r="K529" i="12" l="1"/>
  <c r="BF529" i="6"/>
  <c r="BE529" i="6"/>
  <c r="AS529" i="6"/>
  <c r="BB529" i="6"/>
  <c r="AY529" i="6"/>
  <c r="AQ529" i="6"/>
  <c r="BA529" i="6"/>
  <c r="AX529" i="6"/>
  <c r="AO529" i="6"/>
  <c r="AF529" i="6"/>
  <c r="AG529" i="6"/>
  <c r="AC529" i="6"/>
  <c r="AJ529" i="6"/>
  <c r="C532" i="5"/>
  <c r="G531" i="5"/>
  <c r="K531" i="5"/>
  <c r="F531" i="5"/>
  <c r="AD531" i="5"/>
  <c r="AE531" i="5"/>
  <c r="D531" i="5"/>
  <c r="B531" i="12" s="1"/>
  <c r="A531" i="12"/>
  <c r="B531" i="6"/>
  <c r="E531" i="5"/>
  <c r="J531" i="5"/>
  <c r="N531" i="5"/>
  <c r="D531" i="6" s="1"/>
  <c r="H531" i="6" s="1"/>
  <c r="T531" i="5" s="1"/>
  <c r="G531" i="12" s="1"/>
  <c r="H531" i="5"/>
  <c r="B531" i="5"/>
  <c r="AH529" i="6"/>
  <c r="BD529" i="6"/>
  <c r="A530" i="6"/>
  <c r="N530" i="6" s="1"/>
  <c r="AB529" i="6"/>
  <c r="BG529" i="6"/>
  <c r="AP529" i="6"/>
  <c r="AK529" i="6"/>
  <c r="AI529" i="6"/>
  <c r="AN529" i="6"/>
  <c r="AV529" i="6"/>
  <c r="AU529" i="6"/>
  <c r="AR529" i="6"/>
  <c r="AD529" i="6"/>
  <c r="BC529" i="6"/>
  <c r="AE529" i="6"/>
  <c r="J530" i="12"/>
  <c r="L530" i="12"/>
  <c r="N529" i="6"/>
  <c r="AZ529" i="6"/>
  <c r="AT529" i="6"/>
  <c r="K530" i="12" l="1"/>
  <c r="M530" i="6"/>
  <c r="AC530" i="6" s="1"/>
  <c r="A531" i="6"/>
  <c r="C533" i="5"/>
  <c r="K532" i="5"/>
  <c r="F532" i="5"/>
  <c r="B532" i="6"/>
  <c r="H532" i="5"/>
  <c r="J532" i="5"/>
  <c r="N532" i="5"/>
  <c r="D532" i="6" s="1"/>
  <c r="H532" i="6" s="1"/>
  <c r="T532" i="5" s="1"/>
  <c r="G532" i="12" s="1"/>
  <c r="AE532" i="5"/>
  <c r="B532" i="5"/>
  <c r="E532" i="5"/>
  <c r="A532" i="12"/>
  <c r="D532" i="5"/>
  <c r="B532" i="12" s="1"/>
  <c r="AD532" i="5"/>
  <c r="G532" i="5"/>
  <c r="J531" i="12"/>
  <c r="L531" i="12"/>
  <c r="K531" i="12" l="1"/>
  <c r="AF530" i="6"/>
  <c r="AH530" i="6"/>
  <c r="BF530" i="6"/>
  <c r="AV530" i="6"/>
  <c r="BE530" i="6"/>
  <c r="AY530" i="6"/>
  <c r="BG530" i="6"/>
  <c r="AP530" i="6"/>
  <c r="AQ530" i="6"/>
  <c r="AZ530" i="6"/>
  <c r="AO530" i="6"/>
  <c r="AK530" i="6"/>
  <c r="BD530" i="6"/>
  <c r="AG530" i="6"/>
  <c r="AD530" i="6"/>
  <c r="AM530" i="6"/>
  <c r="AS530" i="6"/>
  <c r="AX530" i="6"/>
  <c r="AU530" i="6"/>
  <c r="BA530" i="6"/>
  <c r="AR530" i="6"/>
  <c r="AI530" i="6"/>
  <c r="AE530" i="6"/>
  <c r="AJ530" i="6"/>
  <c r="AN530" i="6"/>
  <c r="BC530" i="6"/>
  <c r="AT530" i="6"/>
  <c r="AB530" i="6"/>
  <c r="BB530" i="6"/>
  <c r="A532" i="6"/>
  <c r="M532" i="6" s="1"/>
  <c r="BD532" i="6" s="1"/>
  <c r="N531" i="6"/>
  <c r="M531" i="6"/>
  <c r="L532" i="12"/>
  <c r="J532" i="12"/>
  <c r="A533" i="12"/>
  <c r="G533" i="5"/>
  <c r="K533" i="5"/>
  <c r="D533" i="5"/>
  <c r="B533" i="12" s="1"/>
  <c r="C534" i="5"/>
  <c r="AE533" i="5"/>
  <c r="B533" i="5"/>
  <c r="E533" i="5"/>
  <c r="F533" i="5"/>
  <c r="H533" i="5"/>
  <c r="N533" i="5"/>
  <c r="D533" i="6" s="1"/>
  <c r="B533" i="6"/>
  <c r="AD533" i="5"/>
  <c r="J533" i="5"/>
  <c r="N532" i="6" l="1"/>
  <c r="K532" i="12"/>
  <c r="AC532" i="6"/>
  <c r="AJ532" i="6"/>
  <c r="AU532" i="6"/>
  <c r="AV532" i="6"/>
  <c r="AG532" i="6"/>
  <c r="AP532" i="6"/>
  <c r="AT532" i="6"/>
  <c r="AE532" i="6"/>
  <c r="BC532" i="6"/>
  <c r="BB532" i="6"/>
  <c r="BF532" i="6"/>
  <c r="AS532" i="6"/>
  <c r="AO532" i="6"/>
  <c r="AQ532" i="6"/>
  <c r="AF532" i="6"/>
  <c r="BA532" i="6"/>
  <c r="AN532" i="6"/>
  <c r="AR532" i="6"/>
  <c r="AK532" i="6"/>
  <c r="BG532" i="6"/>
  <c r="AH532" i="6"/>
  <c r="BE532" i="6"/>
  <c r="AX532" i="6"/>
  <c r="AM532" i="6"/>
  <c r="AD531" i="6"/>
  <c r="BB531" i="6"/>
  <c r="AY531" i="6"/>
  <c r="BA531" i="6"/>
  <c r="AJ531" i="6"/>
  <c r="BF531" i="6"/>
  <c r="AE531" i="6"/>
  <c r="AF531" i="6"/>
  <c r="AN531" i="6"/>
  <c r="AM531" i="6"/>
  <c r="BD531" i="6"/>
  <c r="AO531" i="6"/>
  <c r="AQ531" i="6"/>
  <c r="BC531" i="6"/>
  <c r="AR531" i="6"/>
  <c r="AI531" i="6"/>
  <c r="AU531" i="6"/>
  <c r="AZ531" i="6"/>
  <c r="AH531" i="6"/>
  <c r="AT531" i="6"/>
  <c r="AK531" i="6"/>
  <c r="AC531" i="6"/>
  <c r="AB531" i="6"/>
  <c r="AV531" i="6"/>
  <c r="AG531" i="6"/>
  <c r="AS531" i="6"/>
  <c r="BG531" i="6"/>
  <c r="AX531" i="6"/>
  <c r="BE531" i="6"/>
  <c r="AP531" i="6"/>
  <c r="AB532" i="6"/>
  <c r="AI532" i="6"/>
  <c r="AY532" i="6"/>
  <c r="AZ532" i="6"/>
  <c r="AD532" i="6"/>
  <c r="H533" i="6"/>
  <c r="T533" i="5" s="1"/>
  <c r="G533" i="12" s="1"/>
  <c r="J533" i="12"/>
  <c r="L533" i="12"/>
  <c r="E534" i="5"/>
  <c r="N534" i="5"/>
  <c r="D534" i="6" s="1"/>
  <c r="D534" i="5"/>
  <c r="B534" i="12" s="1"/>
  <c r="K534" i="5"/>
  <c r="B534" i="6"/>
  <c r="H534" i="5"/>
  <c r="AD534" i="5"/>
  <c r="J534" i="5"/>
  <c r="A534" i="12"/>
  <c r="F534" i="5"/>
  <c r="G534" i="5"/>
  <c r="AE534" i="5"/>
  <c r="B534" i="5"/>
  <c r="A533" i="6"/>
  <c r="M533" i="6" s="1"/>
  <c r="BB533" i="6" s="1"/>
  <c r="K533" i="12" l="1"/>
  <c r="J534" i="12"/>
  <c r="L534" i="12"/>
  <c r="AE533" i="6"/>
  <c r="AH533" i="6"/>
  <c r="AQ533" i="6"/>
  <c r="AV533" i="6"/>
  <c r="AY533" i="6"/>
  <c r="AF533" i="6"/>
  <c r="AX533" i="6"/>
  <c r="C535" i="5"/>
  <c r="AO533" i="6"/>
  <c r="AK533" i="6"/>
  <c r="AP533" i="6"/>
  <c r="BG533" i="6"/>
  <c r="H534" i="6"/>
  <c r="T534" i="5" s="1"/>
  <c r="G534" i="12" s="1"/>
  <c r="AS533" i="6"/>
  <c r="BA533" i="6"/>
  <c r="AB533" i="6"/>
  <c r="BE533" i="6"/>
  <c r="AU533" i="6"/>
  <c r="BD533" i="6"/>
  <c r="AM533" i="6"/>
  <c r="A534" i="6"/>
  <c r="M534" i="6" s="1"/>
  <c r="AR534" i="6" s="1"/>
  <c r="AJ533" i="6"/>
  <c r="AN533" i="6"/>
  <c r="BC533" i="6"/>
  <c r="AG533" i="6"/>
  <c r="AT533" i="6"/>
  <c r="AZ533" i="6"/>
  <c r="AI533" i="6"/>
  <c r="AD533" i="6"/>
  <c r="AC533" i="6"/>
  <c r="N533" i="6"/>
  <c r="AR533" i="6"/>
  <c r="BF533" i="6"/>
  <c r="K534" i="12" l="1"/>
  <c r="AF534" i="6"/>
  <c r="AU534" i="6"/>
  <c r="AG534" i="6"/>
  <c r="AY534" i="6"/>
  <c r="AX534" i="6"/>
  <c r="BE534" i="6"/>
  <c r="AO534" i="6"/>
  <c r="AQ534" i="6"/>
  <c r="AJ534" i="6"/>
  <c r="AP534" i="6"/>
  <c r="AN534" i="6"/>
  <c r="AM534" i="6"/>
  <c r="AV534" i="6"/>
  <c r="BC534" i="6"/>
  <c r="BD534" i="6"/>
  <c r="AB534" i="6"/>
  <c r="BB534" i="6"/>
  <c r="BG534" i="6"/>
  <c r="AK534" i="6"/>
  <c r="AS534" i="6"/>
  <c r="AD534" i="6"/>
  <c r="AC534" i="6"/>
  <c r="BA534" i="6"/>
  <c r="AE534" i="6"/>
  <c r="AI534" i="6"/>
  <c r="AZ534" i="6"/>
  <c r="N534" i="6"/>
  <c r="BF534" i="6"/>
  <c r="W535" i="5"/>
  <c r="H535" i="12" s="1"/>
  <c r="B535" i="5"/>
  <c r="AE535" i="5"/>
  <c r="H535" i="5"/>
  <c r="G535" i="5"/>
  <c r="K518" i="5" s="1"/>
  <c r="F535" i="5"/>
  <c r="N535" i="5"/>
  <c r="D535" i="6" s="1"/>
  <c r="AD535" i="5"/>
  <c r="C536" i="5"/>
  <c r="B535" i="6"/>
  <c r="E535" i="5"/>
  <c r="A535" i="12"/>
  <c r="I535" i="5"/>
  <c r="R535" i="5"/>
  <c r="AT534" i="6"/>
  <c r="AH534" i="6"/>
  <c r="C537" i="5" l="1"/>
  <c r="N536" i="5"/>
  <c r="D536" i="6" s="1"/>
  <c r="H536" i="6" s="1"/>
  <c r="T536" i="5" s="1"/>
  <c r="G536" i="12" s="1"/>
  <c r="AD536" i="5"/>
  <c r="B536" i="6"/>
  <c r="K536" i="5"/>
  <c r="AE536" i="5"/>
  <c r="G536" i="5"/>
  <c r="B536" i="5"/>
  <c r="A536" i="12"/>
  <c r="H536" i="5"/>
  <c r="F536" i="5"/>
  <c r="D536" i="5"/>
  <c r="B536" i="12" s="1"/>
  <c r="J536" i="5"/>
  <c r="E536" i="5"/>
  <c r="BD535" i="6"/>
  <c r="AU535" i="6"/>
  <c r="AV535" i="6"/>
  <c r="BC535" i="6"/>
  <c r="BG535" i="6"/>
  <c r="N535" i="6"/>
  <c r="AZ535" i="6"/>
  <c r="BB535" i="6"/>
  <c r="AT535" i="6"/>
  <c r="AQ535" i="6"/>
  <c r="H535" i="6"/>
  <c r="T535" i="5" s="1"/>
  <c r="G535" i="12" s="1"/>
  <c r="BE535" i="6"/>
  <c r="AP535" i="6"/>
  <c r="AY535" i="6"/>
  <c r="AM535" i="6"/>
  <c r="AN535" i="6"/>
  <c r="AO535" i="6"/>
  <c r="AX535" i="6"/>
  <c r="BA535" i="6"/>
  <c r="G535" i="6"/>
  <c r="AS535" i="6"/>
  <c r="BF535" i="6"/>
  <c r="AR535" i="6"/>
  <c r="M535" i="6"/>
  <c r="E535" i="12"/>
  <c r="F535" i="6"/>
  <c r="A535" i="6"/>
  <c r="AK535" i="6" l="1"/>
  <c r="AB535" i="6"/>
  <c r="AF535" i="6"/>
  <c r="AE535" i="6"/>
  <c r="A536" i="6"/>
  <c r="AC535" i="6"/>
  <c r="AG535" i="6"/>
  <c r="AI535" i="6"/>
  <c r="J536" i="12"/>
  <c r="L536" i="12"/>
  <c r="J537" i="5"/>
  <c r="C538" i="5"/>
  <c r="K537" i="5"/>
  <c r="D537" i="5"/>
  <c r="B537" i="12" s="1"/>
  <c r="B537" i="6"/>
  <c r="AD537" i="5"/>
  <c r="H537" i="5"/>
  <c r="N537" i="5"/>
  <c r="D537" i="6" s="1"/>
  <c r="H537" i="6" s="1"/>
  <c r="T537" i="5" s="1"/>
  <c r="G537" i="12" s="1"/>
  <c r="A537" i="12"/>
  <c r="E537" i="5"/>
  <c r="AE537" i="5"/>
  <c r="G537" i="5"/>
  <c r="F537" i="5"/>
  <c r="B537" i="5"/>
  <c r="AH535" i="6"/>
  <c r="AJ535" i="6"/>
  <c r="AD535" i="6"/>
  <c r="K536" i="12" l="1"/>
  <c r="D538" i="5"/>
  <c r="B538" i="12" s="1"/>
  <c r="G538" i="5"/>
  <c r="H538" i="5"/>
  <c r="E538" i="5"/>
  <c r="N538" i="5"/>
  <c r="D538" i="6" s="1"/>
  <c r="H538" i="6" s="1"/>
  <c r="T538" i="5" s="1"/>
  <c r="G538" i="12" s="1"/>
  <c r="K538" i="5"/>
  <c r="B538" i="5"/>
  <c r="C539" i="5" s="1"/>
  <c r="B538" i="6"/>
  <c r="AE538" i="5"/>
  <c r="AD538" i="5"/>
  <c r="A538" i="12"/>
  <c r="J538" i="5"/>
  <c r="F538" i="5"/>
  <c r="L537" i="12"/>
  <c r="J537" i="12"/>
  <c r="A537" i="6"/>
  <c r="N537" i="6" s="1"/>
  <c r="M536" i="6"/>
  <c r="N536" i="6"/>
  <c r="M537" i="6" l="1"/>
  <c r="AF537" i="6" s="1"/>
  <c r="A538" i="6"/>
  <c r="N538" i="6" s="1"/>
  <c r="A539" i="12"/>
  <c r="I539" i="5"/>
  <c r="C540" i="5"/>
  <c r="B539" i="5"/>
  <c r="R539" i="5"/>
  <c r="G539" i="5"/>
  <c r="K535" i="5" s="1"/>
  <c r="AD539" i="5"/>
  <c r="F539" i="5"/>
  <c r="E539" i="5"/>
  <c r="N539" i="5"/>
  <c r="D539" i="6" s="1"/>
  <c r="AE539" i="5"/>
  <c r="W539" i="5"/>
  <c r="H539" i="12" s="1"/>
  <c r="H539" i="5"/>
  <c r="B539" i="6"/>
  <c r="K537" i="12"/>
  <c r="J538" i="12"/>
  <c r="L538" i="12"/>
  <c r="AU536" i="6"/>
  <c r="AN536" i="6"/>
  <c r="AM536" i="6"/>
  <c r="BC536" i="6"/>
  <c r="AD536" i="6"/>
  <c r="BG536" i="6"/>
  <c r="AR536" i="6"/>
  <c r="BF536" i="6"/>
  <c r="AG536" i="6"/>
  <c r="BE536" i="6"/>
  <c r="AC536" i="6"/>
  <c r="AO536" i="6"/>
  <c r="AX536" i="6"/>
  <c r="AI536" i="6"/>
  <c r="AZ536" i="6"/>
  <c r="AJ536" i="6"/>
  <c r="BD536" i="6"/>
  <c r="AB536" i="6"/>
  <c r="AF536" i="6"/>
  <c r="AK536" i="6"/>
  <c r="AT536" i="6"/>
  <c r="AE536" i="6"/>
  <c r="AQ536" i="6"/>
  <c r="AP536" i="6"/>
  <c r="BA536" i="6"/>
  <c r="AS536" i="6"/>
  <c r="AY536" i="6"/>
  <c r="AV536" i="6"/>
  <c r="AH536" i="6"/>
  <c r="BB536" i="6"/>
  <c r="M538" i="6" l="1"/>
  <c r="AY538" i="6" s="1"/>
  <c r="K538" i="12"/>
  <c r="AT537" i="6"/>
  <c r="AG537" i="6"/>
  <c r="AP537" i="6"/>
  <c r="AC537" i="6"/>
  <c r="AZ537" i="6"/>
  <c r="BC537" i="6"/>
  <c r="AU537" i="6"/>
  <c r="AQ537" i="6"/>
  <c r="AM537" i="6"/>
  <c r="AY537" i="6"/>
  <c r="AX537" i="6"/>
  <c r="AE537" i="6"/>
  <c r="AV537" i="6"/>
  <c r="AD537" i="6"/>
  <c r="BF537" i="6"/>
  <c r="A539" i="6"/>
  <c r="BD537" i="6"/>
  <c r="BG537" i="6"/>
  <c r="AI537" i="6"/>
  <c r="AO537" i="6"/>
  <c r="AR537" i="6"/>
  <c r="AH537" i="6"/>
  <c r="AS537" i="6"/>
  <c r="BE537" i="6"/>
  <c r="AN537" i="6"/>
  <c r="AJ537" i="6"/>
  <c r="AK537" i="6"/>
  <c r="AB537" i="6"/>
  <c r="BB537" i="6"/>
  <c r="BA537" i="6"/>
  <c r="J540" i="5"/>
  <c r="G540" i="5"/>
  <c r="E540" i="5"/>
  <c r="N540" i="5"/>
  <c r="D540" i="6" s="1"/>
  <c r="H540" i="6" s="1"/>
  <c r="T540" i="5" s="1"/>
  <c r="G540" i="12" s="1"/>
  <c r="AD540" i="5"/>
  <c r="A540" i="12"/>
  <c r="C541" i="5"/>
  <c r="D540" i="5"/>
  <c r="B540" i="12" s="1"/>
  <c r="AE540" i="5"/>
  <c r="F540" i="5"/>
  <c r="B540" i="6"/>
  <c r="K540" i="5"/>
  <c r="H540" i="5"/>
  <c r="B540" i="5"/>
  <c r="BC539" i="6"/>
  <c r="AZ539" i="6"/>
  <c r="AM539" i="6"/>
  <c r="AO539" i="6"/>
  <c r="AV539" i="6"/>
  <c r="BE539" i="6"/>
  <c r="AT539" i="6"/>
  <c r="AQ539" i="6"/>
  <c r="AR539" i="6"/>
  <c r="BA539" i="6"/>
  <c r="M539" i="6"/>
  <c r="G539" i="6"/>
  <c r="AN539" i="6"/>
  <c r="AS539" i="6"/>
  <c r="AU539" i="6"/>
  <c r="BG539" i="6"/>
  <c r="BB539" i="6"/>
  <c r="N539" i="6"/>
  <c r="H539" i="6"/>
  <c r="AX539" i="6"/>
  <c r="AP539" i="6"/>
  <c r="AY539" i="6"/>
  <c r="BD539" i="6"/>
  <c r="BF539" i="6"/>
  <c r="F539" i="6"/>
  <c r="E539" i="12"/>
  <c r="BF538" i="6" l="1"/>
  <c r="AC538" i="6"/>
  <c r="AJ538" i="6"/>
  <c r="AE538" i="6"/>
  <c r="AQ538" i="6"/>
  <c r="AB538" i="6"/>
  <c r="AT538" i="6"/>
  <c r="AP538" i="6"/>
  <c r="AG538" i="6"/>
  <c r="AU538" i="6"/>
  <c r="AO538" i="6"/>
  <c r="AX538" i="6"/>
  <c r="BA538" i="6"/>
  <c r="BE538" i="6"/>
  <c r="AR538" i="6"/>
  <c r="AH538" i="6"/>
  <c r="AN538" i="6"/>
  <c r="BD538" i="6"/>
  <c r="AK538" i="6"/>
  <c r="AI538" i="6"/>
  <c r="BC538" i="6"/>
  <c r="AV538" i="6"/>
  <c r="BB538" i="6"/>
  <c r="AD538" i="6"/>
  <c r="BG538" i="6"/>
  <c r="AM538" i="6"/>
  <c r="AS538" i="6"/>
  <c r="AZ538" i="6"/>
  <c r="AF538" i="6"/>
  <c r="A540" i="6"/>
  <c r="AD541" i="5"/>
  <c r="K541" i="5"/>
  <c r="C542" i="5"/>
  <c r="H541" i="5"/>
  <c r="B541" i="5"/>
  <c r="G541" i="5"/>
  <c r="D541" i="5"/>
  <c r="B541" i="12" s="1"/>
  <c r="A541" i="12"/>
  <c r="J541" i="5"/>
  <c r="B541" i="6"/>
  <c r="N541" i="5"/>
  <c r="D541" i="6" s="1"/>
  <c r="AE541" i="5"/>
  <c r="F541" i="5"/>
  <c r="E541" i="5"/>
  <c r="L540" i="12"/>
  <c r="J540" i="12"/>
  <c r="T539" i="5"/>
  <c r="G539" i="12" s="1"/>
  <c r="AC539" i="6"/>
  <c r="AJ539" i="6"/>
  <c r="AD539" i="6"/>
  <c r="AK539" i="6"/>
  <c r="AF539" i="6"/>
  <c r="AE539" i="6"/>
  <c r="AG539" i="6"/>
  <c r="AH539" i="6"/>
  <c r="AI539" i="6"/>
  <c r="AB539" i="6"/>
  <c r="K540" i="12" l="1"/>
  <c r="M540" i="6"/>
  <c r="N540" i="6"/>
  <c r="J541" i="12"/>
  <c r="L541" i="12"/>
  <c r="H541" i="6"/>
  <c r="C543" i="5"/>
  <c r="F542" i="5"/>
  <c r="A542" i="12"/>
  <c r="N542" i="5"/>
  <c r="D542" i="6" s="1"/>
  <c r="H542" i="6" s="1"/>
  <c r="T542" i="5" s="1"/>
  <c r="G542" i="12" s="1"/>
  <c r="AE542" i="5"/>
  <c r="H542" i="5"/>
  <c r="B542" i="6"/>
  <c r="J542" i="5"/>
  <c r="K542" i="5"/>
  <c r="G542" i="5"/>
  <c r="AD542" i="5"/>
  <c r="B542" i="5"/>
  <c r="D542" i="5"/>
  <c r="B542" i="12" s="1"/>
  <c r="E542" i="5"/>
  <c r="A541" i="6"/>
  <c r="N541" i="6" s="1"/>
  <c r="K541" i="12" l="1"/>
  <c r="BE540" i="6"/>
  <c r="AE540" i="6"/>
  <c r="AI540" i="6"/>
  <c r="AV540" i="6"/>
  <c r="AN540" i="6"/>
  <c r="AC540" i="6"/>
  <c r="AH540" i="6"/>
  <c r="AS540" i="6"/>
  <c r="AX540" i="6"/>
  <c r="AZ540" i="6"/>
  <c r="BA540" i="6"/>
  <c r="AG540" i="6"/>
  <c r="AM540" i="6"/>
  <c r="BF540" i="6"/>
  <c r="AP540" i="6"/>
  <c r="BD540" i="6"/>
  <c r="AD540" i="6"/>
  <c r="AQ540" i="6"/>
  <c r="AU540" i="6"/>
  <c r="BC540" i="6"/>
  <c r="AF540" i="6"/>
  <c r="BG540" i="6"/>
  <c r="AY540" i="6"/>
  <c r="AR540" i="6"/>
  <c r="AJ540" i="6"/>
  <c r="AB540" i="6"/>
  <c r="BB540" i="6"/>
  <c r="AK540" i="6"/>
  <c r="AT540" i="6"/>
  <c r="AO540" i="6"/>
  <c r="J542" i="12"/>
  <c r="L542" i="12"/>
  <c r="G543" i="5"/>
  <c r="H543" i="5"/>
  <c r="AE543" i="5"/>
  <c r="C544" i="5"/>
  <c r="J543" i="5"/>
  <c r="K543" i="5"/>
  <c r="E543" i="5"/>
  <c r="AD543" i="5"/>
  <c r="B543" i="6"/>
  <c r="A543" i="12"/>
  <c r="F543" i="5"/>
  <c r="B543" i="5"/>
  <c r="D543" i="5"/>
  <c r="B543" i="12" s="1"/>
  <c r="N543" i="5"/>
  <c r="D543" i="6" s="1"/>
  <c r="H543" i="6" s="1"/>
  <c r="T543" i="5" s="1"/>
  <c r="G543" i="12" s="1"/>
  <c r="M541" i="6"/>
  <c r="AF541" i="6" s="1"/>
  <c r="A542" i="6"/>
  <c r="M542" i="6" s="1"/>
  <c r="BA542" i="6" s="1"/>
  <c r="T541" i="5"/>
  <c r="G541" i="12" s="1"/>
  <c r="K542" i="12" l="1"/>
  <c r="N542" i="6"/>
  <c r="A543" i="6"/>
  <c r="N543" i="6" s="1"/>
  <c r="AB541" i="6"/>
  <c r="AC542" i="6"/>
  <c r="BE542" i="6"/>
  <c r="AD541" i="6"/>
  <c r="AT542" i="6"/>
  <c r="AJ542" i="6"/>
  <c r="AQ542" i="6"/>
  <c r="AK542" i="6"/>
  <c r="BF542" i="6"/>
  <c r="AZ542" i="6"/>
  <c r="AG541" i="6"/>
  <c r="AN542" i="6"/>
  <c r="AI542" i="6"/>
  <c r="AM542" i="6"/>
  <c r="AS542" i="6"/>
  <c r="AH542" i="6"/>
  <c r="AO542" i="6"/>
  <c r="AK541" i="6"/>
  <c r="AC541" i="6"/>
  <c r="AY542" i="6"/>
  <c r="AP542" i="6"/>
  <c r="AD542" i="6"/>
  <c r="K544" i="5"/>
  <c r="AD544" i="5"/>
  <c r="E544" i="5"/>
  <c r="F544" i="5"/>
  <c r="AE544" i="5"/>
  <c r="B544" i="6"/>
  <c r="N544" i="5"/>
  <c r="D544" i="6" s="1"/>
  <c r="A544" i="12"/>
  <c r="C545" i="5"/>
  <c r="G544" i="5"/>
  <c r="B544" i="5"/>
  <c r="J544" i="5"/>
  <c r="H544" i="5"/>
  <c r="D544" i="5"/>
  <c r="B544" i="12" s="1"/>
  <c r="BB542" i="6"/>
  <c r="AX542" i="6"/>
  <c r="AJ541" i="6"/>
  <c r="AQ541" i="6"/>
  <c r="BE541" i="6"/>
  <c r="AO541" i="6"/>
  <c r="AN541" i="6"/>
  <c r="AR541" i="6"/>
  <c r="BB541" i="6"/>
  <c r="AP541" i="6"/>
  <c r="BD541" i="6"/>
  <c r="BF541" i="6"/>
  <c r="BC541" i="6"/>
  <c r="AX541" i="6"/>
  <c r="AY541" i="6"/>
  <c r="AS541" i="6"/>
  <c r="AV541" i="6"/>
  <c r="AT541" i="6"/>
  <c r="AM541" i="6"/>
  <c r="BA541" i="6"/>
  <c r="BG541" i="6"/>
  <c r="AZ541" i="6"/>
  <c r="AU541" i="6"/>
  <c r="BD542" i="6"/>
  <c r="BG542" i="6"/>
  <c r="BC542" i="6"/>
  <c r="AH541" i="6"/>
  <c r="AE542" i="6"/>
  <c r="AR542" i="6"/>
  <c r="AI541" i="6"/>
  <c r="AU542" i="6"/>
  <c r="AG542" i="6"/>
  <c r="AE541" i="6"/>
  <c r="AV542" i="6"/>
  <c r="J543" i="12"/>
  <c r="L543" i="12"/>
  <c r="AB542" i="6"/>
  <c r="AF542" i="6"/>
  <c r="M543" i="6" l="1"/>
  <c r="AH543" i="6" s="1"/>
  <c r="E545" i="5"/>
  <c r="AE545" i="5"/>
  <c r="J545" i="5"/>
  <c r="AD545" i="5"/>
  <c r="D545" i="5"/>
  <c r="B545" i="12" s="1"/>
  <c r="C546" i="5"/>
  <c r="A545" i="12"/>
  <c r="N545" i="5"/>
  <c r="D545" i="6" s="1"/>
  <c r="F545" i="5"/>
  <c r="H545" i="5"/>
  <c r="K545" i="5"/>
  <c r="B545" i="5"/>
  <c r="G545" i="5"/>
  <c r="B545" i="6"/>
  <c r="L544" i="12"/>
  <c r="J544" i="12"/>
  <c r="H544" i="6"/>
  <c r="A544" i="6"/>
  <c r="M544" i="6" s="1"/>
  <c r="K543" i="12"/>
  <c r="AN543" i="6" l="1"/>
  <c r="AE543" i="6"/>
  <c r="AZ543" i="6"/>
  <c r="BD543" i="6"/>
  <c r="BE543" i="6"/>
  <c r="BC543" i="6"/>
  <c r="BA543" i="6"/>
  <c r="AX543" i="6"/>
  <c r="BG543" i="6"/>
  <c r="AT543" i="6"/>
  <c r="AD543" i="6"/>
  <c r="AV543" i="6"/>
  <c r="AB543" i="6"/>
  <c r="AC543" i="6"/>
  <c r="AU543" i="6"/>
  <c r="AR543" i="6"/>
  <c r="AJ543" i="6"/>
  <c r="AQ543" i="6"/>
  <c r="AS543" i="6"/>
  <c r="AK543" i="6"/>
  <c r="AO543" i="6"/>
  <c r="AG543" i="6"/>
  <c r="AY543" i="6"/>
  <c r="AM543" i="6"/>
  <c r="AF543" i="6"/>
  <c r="BB543" i="6"/>
  <c r="BF543" i="6"/>
  <c r="AI543" i="6"/>
  <c r="AP543" i="6"/>
  <c r="A545" i="6"/>
  <c r="M545" i="6" s="1"/>
  <c r="AX545" i="6" s="1"/>
  <c r="C547" i="5"/>
  <c r="E546" i="5"/>
  <c r="AD546" i="5"/>
  <c r="F546" i="5"/>
  <c r="D546" i="5"/>
  <c r="B546" i="12" s="1"/>
  <c r="A546" i="12"/>
  <c r="K546" i="5"/>
  <c r="G546" i="5"/>
  <c r="J546" i="5"/>
  <c r="B546" i="6"/>
  <c r="H546" i="5"/>
  <c r="AE546" i="5"/>
  <c r="N546" i="5"/>
  <c r="D546" i="6" s="1"/>
  <c r="H546" i="6" s="1"/>
  <c r="T546" i="5" s="1"/>
  <c r="G546" i="12" s="1"/>
  <c r="B546" i="5"/>
  <c r="AQ544" i="6"/>
  <c r="BF544" i="6"/>
  <c r="AU544" i="6"/>
  <c r="AZ544" i="6"/>
  <c r="AX544" i="6"/>
  <c r="AP544" i="6"/>
  <c r="AO544" i="6"/>
  <c r="BE544" i="6"/>
  <c r="AS544" i="6"/>
  <c r="BA544" i="6"/>
  <c r="AM544" i="6"/>
  <c r="BD544" i="6"/>
  <c r="BC544" i="6"/>
  <c r="AN544" i="6"/>
  <c r="BB544" i="6"/>
  <c r="AV544" i="6"/>
  <c r="AY544" i="6"/>
  <c r="AR544" i="6"/>
  <c r="BG544" i="6"/>
  <c r="AT544" i="6"/>
  <c r="N544" i="6"/>
  <c r="K544" i="12"/>
  <c r="T544" i="5"/>
  <c r="G544" i="12" s="1"/>
  <c r="AK544" i="6"/>
  <c r="AG544" i="6"/>
  <c r="AJ544" i="6"/>
  <c r="AH544" i="6"/>
  <c r="AB544" i="6"/>
  <c r="AF544" i="6"/>
  <c r="AE544" i="6"/>
  <c r="AI544" i="6"/>
  <c r="AD544" i="6"/>
  <c r="AC544" i="6"/>
  <c r="H545" i="6"/>
  <c r="J545" i="12"/>
  <c r="L545" i="12"/>
  <c r="N545" i="6" l="1"/>
  <c r="BF545" i="6"/>
  <c r="AS545" i="6"/>
  <c r="AU545" i="6"/>
  <c r="AP545" i="6"/>
  <c r="AV545" i="6"/>
  <c r="BB545" i="6"/>
  <c r="AY545" i="6"/>
  <c r="BD545" i="6"/>
  <c r="AT545" i="6"/>
  <c r="AQ545" i="6"/>
  <c r="BG545" i="6"/>
  <c r="AZ545" i="6"/>
  <c r="AR545" i="6"/>
  <c r="BA545" i="6"/>
  <c r="BC545" i="6"/>
  <c r="AM545" i="6"/>
  <c r="BE545" i="6"/>
  <c r="AE545" i="6"/>
  <c r="AO545" i="6"/>
  <c r="AN545" i="6"/>
  <c r="T545" i="5"/>
  <c r="G545" i="12" s="1"/>
  <c r="AG545" i="6"/>
  <c r="AJ545" i="6"/>
  <c r="AC545" i="6"/>
  <c r="AF545" i="6"/>
  <c r="AK545" i="6"/>
  <c r="L546" i="12"/>
  <c r="J546" i="12"/>
  <c r="K545" i="12"/>
  <c r="AD545" i="6"/>
  <c r="AI545" i="6"/>
  <c r="AH545" i="6"/>
  <c r="A546" i="6"/>
  <c r="AB545" i="6"/>
  <c r="AE547" i="5"/>
  <c r="N547" i="5"/>
  <c r="D547" i="6" s="1"/>
  <c r="H547" i="6" s="1"/>
  <c r="T547" i="5" s="1"/>
  <c r="G547" i="12" s="1"/>
  <c r="C548" i="5"/>
  <c r="B547" i="5"/>
  <c r="H547" i="5"/>
  <c r="D547" i="5"/>
  <c r="B547" i="12" s="1"/>
  <c r="A547" i="12"/>
  <c r="K547" i="5"/>
  <c r="G547" i="5"/>
  <c r="B547" i="6"/>
  <c r="J547" i="5"/>
  <c r="F547" i="5"/>
  <c r="E547" i="5"/>
  <c r="AD547" i="5"/>
  <c r="K546" i="12" l="1"/>
  <c r="J547" i="12"/>
  <c r="L547" i="12"/>
  <c r="N546" i="6"/>
  <c r="M546" i="6"/>
  <c r="A547" i="6"/>
  <c r="N547" i="6" s="1"/>
  <c r="B548" i="5"/>
  <c r="AD548" i="5"/>
  <c r="H548" i="5"/>
  <c r="AE548" i="5"/>
  <c r="B548" i="6"/>
  <c r="J548" i="5"/>
  <c r="G548" i="5"/>
  <c r="F548" i="5"/>
  <c r="N548" i="5"/>
  <c r="D548" i="6" s="1"/>
  <c r="D548" i="5"/>
  <c r="B548" i="12" s="1"/>
  <c r="K548" i="5"/>
  <c r="E548" i="5"/>
  <c r="C549" i="5"/>
  <c r="A548" i="12"/>
  <c r="K547" i="12" l="1"/>
  <c r="AK546" i="6"/>
  <c r="AE546" i="6"/>
  <c r="AP546" i="6"/>
  <c r="AC546" i="6"/>
  <c r="AV546" i="6"/>
  <c r="AD546" i="6"/>
  <c r="BD546" i="6"/>
  <c r="AM546" i="6"/>
  <c r="BA546" i="6"/>
  <c r="BC546" i="6"/>
  <c r="AU546" i="6"/>
  <c r="AH546" i="6"/>
  <c r="BF546" i="6"/>
  <c r="AB546" i="6"/>
  <c r="AT546" i="6"/>
  <c r="AN546" i="6"/>
  <c r="AX546" i="6"/>
  <c r="AG546" i="6"/>
  <c r="AO546" i="6"/>
  <c r="BB546" i="6"/>
  <c r="AZ546" i="6"/>
  <c r="AS546" i="6"/>
  <c r="AI546" i="6"/>
  <c r="AQ546" i="6"/>
  <c r="AY546" i="6"/>
  <c r="BG546" i="6"/>
  <c r="AJ546" i="6"/>
  <c r="AR546" i="6"/>
  <c r="BE546" i="6"/>
  <c r="AF546" i="6"/>
  <c r="H548" i="6"/>
  <c r="T548" i="5" s="1"/>
  <c r="G548" i="12" s="1"/>
  <c r="L548" i="12"/>
  <c r="J548" i="12"/>
  <c r="H549" i="5"/>
  <c r="AE549" i="5"/>
  <c r="B549" i="6"/>
  <c r="N549" i="5"/>
  <c r="D549" i="6" s="1"/>
  <c r="H549" i="6" s="1"/>
  <c r="T549" i="5" s="1"/>
  <c r="G549" i="12" s="1"/>
  <c r="G549" i="5"/>
  <c r="B549" i="5"/>
  <c r="C550" i="5"/>
  <c r="AD549" i="5"/>
  <c r="K549" i="5"/>
  <c r="J549" i="5"/>
  <c r="D549" i="5"/>
  <c r="B549" i="12" s="1"/>
  <c r="A549" i="12"/>
  <c r="E549" i="5"/>
  <c r="F549" i="5"/>
  <c r="A548" i="6"/>
  <c r="M548" i="6" s="1"/>
  <c r="AU548" i="6" s="1"/>
  <c r="M547" i="6"/>
  <c r="K548" i="12" l="1"/>
  <c r="AG548" i="6"/>
  <c r="AM548" i="6"/>
  <c r="AH548" i="6"/>
  <c r="BG548" i="6"/>
  <c r="AS548" i="6"/>
  <c r="F550" i="5"/>
  <c r="AD550" i="5"/>
  <c r="N550" i="5"/>
  <c r="D550" i="6" s="1"/>
  <c r="B550" i="6"/>
  <c r="D550" i="5"/>
  <c r="B550" i="12" s="1"/>
  <c r="E550" i="5"/>
  <c r="B550" i="5"/>
  <c r="AE550" i="5"/>
  <c r="A550" i="12"/>
  <c r="H550" i="5"/>
  <c r="J550" i="5"/>
  <c r="G550" i="5"/>
  <c r="C551" i="5"/>
  <c r="K550" i="5"/>
  <c r="BC548" i="6"/>
  <c r="AQ548" i="6"/>
  <c r="AS547" i="6"/>
  <c r="AC547" i="6"/>
  <c r="AQ547" i="6"/>
  <c r="AG547" i="6"/>
  <c r="BD547" i="6"/>
  <c r="AB547" i="6"/>
  <c r="AH547" i="6"/>
  <c r="AX547" i="6"/>
  <c r="AD547" i="6"/>
  <c r="AF547" i="6"/>
  <c r="AK547" i="6"/>
  <c r="AT547" i="6"/>
  <c r="AJ547" i="6"/>
  <c r="AV547" i="6"/>
  <c r="AO547" i="6"/>
  <c r="AR547" i="6"/>
  <c r="AI547" i="6"/>
  <c r="BA547" i="6"/>
  <c r="AE547" i="6"/>
  <c r="AU547" i="6"/>
  <c r="BB547" i="6"/>
  <c r="AZ547" i="6"/>
  <c r="BC547" i="6"/>
  <c r="BE547" i="6"/>
  <c r="BF547" i="6"/>
  <c r="AN547" i="6"/>
  <c r="AP547" i="6"/>
  <c r="BG547" i="6"/>
  <c r="AY547" i="6"/>
  <c r="AM547" i="6"/>
  <c r="BF548" i="6"/>
  <c r="BA548" i="6"/>
  <c r="AZ548" i="6"/>
  <c r="AI548" i="6"/>
  <c r="AR548" i="6"/>
  <c r="BE548" i="6"/>
  <c r="AC548" i="6"/>
  <c r="AK548" i="6"/>
  <c r="N548" i="6"/>
  <c r="BB548" i="6"/>
  <c r="AN548" i="6"/>
  <c r="BD548" i="6"/>
  <c r="AT548" i="6"/>
  <c r="AX548" i="6"/>
  <c r="AF548" i="6"/>
  <c r="AP548" i="6"/>
  <c r="A549" i="6"/>
  <c r="M549" i="6" s="1"/>
  <c r="AJ548" i="6"/>
  <c r="AD548" i="6"/>
  <c r="AO548" i="6"/>
  <c r="J549" i="12"/>
  <c r="L549" i="12"/>
  <c r="AE548" i="6"/>
  <c r="AB548" i="6"/>
  <c r="AV548" i="6"/>
  <c r="AY548" i="6"/>
  <c r="N549" i="6" l="1"/>
  <c r="H550" i="6"/>
  <c r="AP549" i="6"/>
  <c r="AZ549" i="6"/>
  <c r="AY549" i="6"/>
  <c r="AE549" i="6"/>
  <c r="AJ549" i="6"/>
  <c r="BB549" i="6"/>
  <c r="AR549" i="6"/>
  <c r="AF549" i="6"/>
  <c r="AD549" i="6"/>
  <c r="AT549" i="6"/>
  <c r="AX549" i="6"/>
  <c r="AM549" i="6"/>
  <c r="AN549" i="6"/>
  <c r="BC549" i="6"/>
  <c r="AU549" i="6"/>
  <c r="BD549" i="6"/>
  <c r="BA549" i="6"/>
  <c r="AK549" i="6"/>
  <c r="AC549" i="6"/>
  <c r="BE549" i="6"/>
  <c r="AQ549" i="6"/>
  <c r="BG549" i="6"/>
  <c r="AO549" i="6"/>
  <c r="AS549" i="6"/>
  <c r="AH549" i="6"/>
  <c r="AG549" i="6"/>
  <c r="BF549" i="6"/>
  <c r="L550" i="12"/>
  <c r="J550" i="12"/>
  <c r="AI549" i="6"/>
  <c r="K549" i="12"/>
  <c r="AV549" i="6"/>
  <c r="AB549" i="6"/>
  <c r="E551" i="5"/>
  <c r="H551" i="5"/>
  <c r="AE551" i="5"/>
  <c r="K551" i="5"/>
  <c r="AD551" i="5"/>
  <c r="B551" i="5"/>
  <c r="C552" i="5" s="1"/>
  <c r="F551" i="5"/>
  <c r="B551" i="6"/>
  <c r="J551" i="5"/>
  <c r="A551" i="12"/>
  <c r="N551" i="5"/>
  <c r="D551" i="6" s="1"/>
  <c r="G551" i="5"/>
  <c r="D551" i="5"/>
  <c r="B551" i="12" s="1"/>
  <c r="A550" i="6"/>
  <c r="N550" i="6" s="1"/>
  <c r="K550" i="12" l="1"/>
  <c r="A551" i="6"/>
  <c r="M551" i="6" s="1"/>
  <c r="AV551" i="6" s="1"/>
  <c r="AE552" i="5"/>
  <c r="N552" i="5"/>
  <c r="D552" i="6" s="1"/>
  <c r="AD552" i="5"/>
  <c r="F552" i="5"/>
  <c r="G552" i="5"/>
  <c r="K165" i="5" s="1"/>
  <c r="D165" i="5" s="1"/>
  <c r="B165" i="12" s="1"/>
  <c r="C553" i="5"/>
  <c r="I552" i="5"/>
  <c r="W552" i="5"/>
  <c r="H552" i="12" s="1"/>
  <c r="R552" i="5"/>
  <c r="A552" i="12"/>
  <c r="E552" i="5"/>
  <c r="B552" i="5"/>
  <c r="B552" i="6"/>
  <c r="H552" i="5"/>
  <c r="H551" i="6"/>
  <c r="J551" i="12"/>
  <c r="L551" i="12"/>
  <c r="M550" i="6"/>
  <c r="T550" i="5"/>
  <c r="G550" i="12" s="1"/>
  <c r="A552" i="6" l="1"/>
  <c r="N551" i="6"/>
  <c r="K551" i="12"/>
  <c r="AE551" i="6"/>
  <c r="AX550" i="6"/>
  <c r="BA550" i="6"/>
  <c r="AU550" i="6"/>
  <c r="AG550" i="6"/>
  <c r="BG550" i="6"/>
  <c r="AY550" i="6"/>
  <c r="BF550" i="6"/>
  <c r="AH550" i="6"/>
  <c r="BE550" i="6"/>
  <c r="BB550" i="6"/>
  <c r="AB550" i="6"/>
  <c r="AN550" i="6"/>
  <c r="AI550" i="6"/>
  <c r="AQ550" i="6"/>
  <c r="BD550" i="6"/>
  <c r="AP550" i="6"/>
  <c r="AM550" i="6"/>
  <c r="AE550" i="6"/>
  <c r="BC550" i="6"/>
  <c r="AT550" i="6"/>
  <c r="AZ550" i="6"/>
  <c r="AC550" i="6"/>
  <c r="AK550" i="6"/>
  <c r="AV550" i="6"/>
  <c r="AO550" i="6"/>
  <c r="AD550" i="6"/>
  <c r="AS550" i="6"/>
  <c r="AR550" i="6"/>
  <c r="BF551" i="6"/>
  <c r="AY551" i="6"/>
  <c r="AZ551" i="6"/>
  <c r="AP552" i="6"/>
  <c r="AV552" i="6"/>
  <c r="AN552" i="6"/>
  <c r="BB552" i="6"/>
  <c r="AS552" i="6"/>
  <c r="AQ552" i="6"/>
  <c r="AU552" i="6"/>
  <c r="AY552" i="6"/>
  <c r="AR552" i="6"/>
  <c r="G552" i="6"/>
  <c r="BD552" i="6"/>
  <c r="BG552" i="6"/>
  <c r="AO552" i="6"/>
  <c r="AZ552" i="6"/>
  <c r="N552" i="6"/>
  <c r="H552" i="6"/>
  <c r="AM552" i="6"/>
  <c r="AX552" i="6"/>
  <c r="BF552" i="6"/>
  <c r="BA552" i="6"/>
  <c r="BC552" i="6"/>
  <c r="AT552" i="6"/>
  <c r="M552" i="6"/>
  <c r="BE552" i="6"/>
  <c r="AN551" i="6"/>
  <c r="AQ551" i="6"/>
  <c r="BD551" i="6"/>
  <c r="BA551" i="6"/>
  <c r="AT551" i="6"/>
  <c r="BE551" i="6"/>
  <c r="AP551" i="6"/>
  <c r="BB551" i="6"/>
  <c r="AU551" i="6"/>
  <c r="BC551" i="6"/>
  <c r="AM551" i="6"/>
  <c r="BG551" i="6"/>
  <c r="AX551" i="6"/>
  <c r="E552" i="12"/>
  <c r="F552" i="6"/>
  <c r="AJ550" i="6"/>
  <c r="J553" i="5"/>
  <c r="B553" i="6"/>
  <c r="A553" i="12"/>
  <c r="D553" i="5"/>
  <c r="B553" i="12" s="1"/>
  <c r="AE553" i="5"/>
  <c r="AD553" i="5"/>
  <c r="N553" i="5"/>
  <c r="D553" i="6" s="1"/>
  <c r="H553" i="6" s="1"/>
  <c r="T553" i="5" s="1"/>
  <c r="G553" i="12" s="1"/>
  <c r="F553" i="5"/>
  <c r="E553" i="5"/>
  <c r="C554" i="5"/>
  <c r="B553" i="5"/>
  <c r="H553" i="5"/>
  <c r="K553" i="5"/>
  <c r="G553" i="5"/>
  <c r="AB551" i="6"/>
  <c r="AS551" i="6"/>
  <c r="AF550" i="6"/>
  <c r="T551" i="5"/>
  <c r="G551" i="12" s="1"/>
  <c r="AG551" i="6"/>
  <c r="AI551" i="6"/>
  <c r="AC551" i="6"/>
  <c r="AF551" i="6"/>
  <c r="AK551" i="6"/>
  <c r="AD551" i="6"/>
  <c r="AJ551" i="6"/>
  <c r="AH551" i="6"/>
  <c r="AO551" i="6"/>
  <c r="AR551" i="6"/>
  <c r="AH552" i="6" l="1"/>
  <c r="A553" i="6"/>
  <c r="M553" i="6" s="1"/>
  <c r="AR553" i="6" s="1"/>
  <c r="L553" i="12"/>
  <c r="J553" i="12"/>
  <c r="B554" i="6"/>
  <c r="A554" i="12"/>
  <c r="B554" i="5"/>
  <c r="C555" i="5"/>
  <c r="N554" i="5"/>
  <c r="D554" i="6" s="1"/>
  <c r="AD554" i="5"/>
  <c r="AE554" i="5"/>
  <c r="G554" i="5"/>
  <c r="F554" i="5"/>
  <c r="E554" i="5"/>
  <c r="J554" i="5"/>
  <c r="H554" i="5"/>
  <c r="D554" i="5"/>
  <c r="B554" i="12" s="1"/>
  <c r="K554" i="5"/>
  <c r="T552" i="5"/>
  <c r="G552" i="12" s="1"/>
  <c r="AB552" i="6"/>
  <c r="AK552" i="6"/>
  <c r="AJ552" i="6"/>
  <c r="AF552" i="6"/>
  <c r="AI552" i="6"/>
  <c r="AE552" i="6"/>
  <c r="AD552" i="6"/>
  <c r="AC552" i="6"/>
  <c r="AG552" i="6"/>
  <c r="K553" i="12" l="1"/>
  <c r="AZ553" i="6"/>
  <c r="BG553" i="6"/>
  <c r="AK553" i="6"/>
  <c r="AX553" i="6"/>
  <c r="AH553" i="6"/>
  <c r="BF553" i="6"/>
  <c r="AD553" i="6"/>
  <c r="AQ553" i="6"/>
  <c r="AN553" i="6"/>
  <c r="AB553" i="6"/>
  <c r="AU553" i="6"/>
  <c r="BD553" i="6"/>
  <c r="AY553" i="6"/>
  <c r="AT553" i="6"/>
  <c r="AE553" i="6"/>
  <c r="AI553" i="6"/>
  <c r="AC553" i="6"/>
  <c r="BC553" i="6"/>
  <c r="AM553" i="6"/>
  <c r="BA553" i="6"/>
  <c r="AG553" i="6"/>
  <c r="AO553" i="6"/>
  <c r="AJ553" i="6"/>
  <c r="BE553" i="6"/>
  <c r="AP553" i="6"/>
  <c r="AS553" i="6"/>
  <c r="AV553" i="6"/>
  <c r="BB553" i="6"/>
  <c r="AF553" i="6"/>
  <c r="N553" i="6"/>
  <c r="A555" i="12"/>
  <c r="AE555" i="5"/>
  <c r="B555" i="5"/>
  <c r="J555" i="5"/>
  <c r="D555" i="5"/>
  <c r="B555" i="12" s="1"/>
  <c r="N555" i="5"/>
  <c r="D555" i="6" s="1"/>
  <c r="H555" i="6" s="1"/>
  <c r="T555" i="5" s="1"/>
  <c r="G555" i="12" s="1"/>
  <c r="F555" i="5"/>
  <c r="B555" i="6"/>
  <c r="E555" i="5"/>
  <c r="H555" i="5"/>
  <c r="K555" i="5"/>
  <c r="AD555" i="5"/>
  <c r="C556" i="5"/>
  <c r="G555" i="5"/>
  <c r="J554" i="12"/>
  <c r="L554" i="12"/>
  <c r="A554" i="6"/>
  <c r="M554" i="6" s="1"/>
  <c r="H554" i="6"/>
  <c r="K554" i="12" l="1"/>
  <c r="A555" i="6"/>
  <c r="M555" i="6" s="1"/>
  <c r="BA555" i="6" s="1"/>
  <c r="E556" i="5"/>
  <c r="A556" i="12"/>
  <c r="AD556" i="5"/>
  <c r="AE556" i="5"/>
  <c r="N556" i="5"/>
  <c r="D556" i="6" s="1"/>
  <c r="H556" i="5"/>
  <c r="C557" i="5"/>
  <c r="F556" i="5"/>
  <c r="B556" i="6"/>
  <c r="K556" i="5"/>
  <c r="B556" i="5"/>
  <c r="G556" i="5"/>
  <c r="D556" i="5"/>
  <c r="B556" i="12" s="1"/>
  <c r="J556" i="5"/>
  <c r="N554" i="6"/>
  <c r="T554" i="5"/>
  <c r="G554" i="12" s="1"/>
  <c r="AG554" i="6"/>
  <c r="AD554" i="6"/>
  <c r="AC554" i="6"/>
  <c r="AK554" i="6"/>
  <c r="AB554" i="6"/>
  <c r="AI554" i="6"/>
  <c r="AE554" i="6"/>
  <c r="AH554" i="6"/>
  <c r="AJ554" i="6"/>
  <c r="AF554" i="6"/>
  <c r="AX554" i="6"/>
  <c r="AM554" i="6"/>
  <c r="AU554" i="6"/>
  <c r="BF554" i="6"/>
  <c r="BC554" i="6"/>
  <c r="AO554" i="6"/>
  <c r="BD554" i="6"/>
  <c r="BG554" i="6"/>
  <c r="BA554" i="6"/>
  <c r="AT554" i="6"/>
  <c r="AP554" i="6"/>
  <c r="BE554" i="6"/>
  <c r="AQ554" i="6"/>
  <c r="AZ554" i="6"/>
  <c r="AV554" i="6"/>
  <c r="AS554" i="6"/>
  <c r="BB554" i="6"/>
  <c r="AY554" i="6"/>
  <c r="AN554" i="6"/>
  <c r="AR554" i="6"/>
  <c r="L555" i="12"/>
  <c r="J555" i="12"/>
  <c r="N555" i="6" l="1"/>
  <c r="AC555" i="6"/>
  <c r="AT555" i="6"/>
  <c r="AK555" i="6"/>
  <c r="AI555" i="6"/>
  <c r="AU555" i="6"/>
  <c r="AY555" i="6"/>
  <c r="BG555" i="6"/>
  <c r="AQ555" i="6"/>
  <c r="AZ555" i="6"/>
  <c r="BD555" i="6"/>
  <c r="AN555" i="6"/>
  <c r="BE555" i="6"/>
  <c r="AV555" i="6"/>
  <c r="AJ555" i="6"/>
  <c r="AE555" i="6"/>
  <c r="AG555" i="6"/>
  <c r="AF555" i="6"/>
  <c r="AX555" i="6"/>
  <c r="AM555" i="6"/>
  <c r="AO555" i="6"/>
  <c r="AS555" i="6"/>
  <c r="AD555" i="6"/>
  <c r="BB555" i="6"/>
  <c r="AP555" i="6"/>
  <c r="AB555" i="6"/>
  <c r="BF555" i="6"/>
  <c r="BC555" i="6"/>
  <c r="AH555" i="6"/>
  <c r="AR555" i="6"/>
  <c r="K555" i="12"/>
  <c r="H556" i="6"/>
  <c r="T556" i="5" s="1"/>
  <c r="G556" i="12" s="1"/>
  <c r="J556" i="12"/>
  <c r="L556" i="12"/>
  <c r="A556" i="6"/>
  <c r="M556" i="6" s="1"/>
  <c r="AT556" i="6" s="1"/>
  <c r="J557" i="5"/>
  <c r="N557" i="5"/>
  <c r="D557" i="6" s="1"/>
  <c r="H557" i="6" s="1"/>
  <c r="T557" i="5" s="1"/>
  <c r="G557" i="12" s="1"/>
  <c r="E557" i="5"/>
  <c r="G557" i="5"/>
  <c r="B557" i="5"/>
  <c r="AD557" i="5"/>
  <c r="D557" i="5"/>
  <c r="B557" i="12" s="1"/>
  <c r="F557" i="5"/>
  <c r="H557" i="5"/>
  <c r="K557" i="5"/>
  <c r="B557" i="6"/>
  <c r="C558" i="5"/>
  <c r="AE557" i="5"/>
  <c r="A557" i="12"/>
  <c r="K556" i="12" l="1"/>
  <c r="BC556" i="6"/>
  <c r="A557" i="6"/>
  <c r="N557" i="6" s="1"/>
  <c r="BF556" i="6"/>
  <c r="AQ556" i="6"/>
  <c r="AF556" i="6"/>
  <c r="F558" i="5"/>
  <c r="AE558" i="5"/>
  <c r="A558" i="12"/>
  <c r="N558" i="5"/>
  <c r="D558" i="6" s="1"/>
  <c r="H558" i="6" s="1"/>
  <c r="T558" i="5" s="1"/>
  <c r="G558" i="12" s="1"/>
  <c r="AD558" i="5"/>
  <c r="B558" i="5"/>
  <c r="K558" i="5"/>
  <c r="E558" i="5"/>
  <c r="H558" i="5"/>
  <c r="C559" i="5"/>
  <c r="J558" i="5"/>
  <c r="D558" i="5"/>
  <c r="B558" i="12" s="1"/>
  <c r="G558" i="5"/>
  <c r="B558" i="6"/>
  <c r="BB556" i="6"/>
  <c r="BE556" i="6"/>
  <c r="AV556" i="6"/>
  <c r="AJ556" i="6"/>
  <c r="AS556" i="6"/>
  <c r="AC556" i="6"/>
  <c r="AZ556" i="6"/>
  <c r="AO556" i="6"/>
  <c r="N556" i="6"/>
  <c r="AP556" i="6"/>
  <c r="AH556" i="6"/>
  <c r="AY556" i="6"/>
  <c r="AX556" i="6"/>
  <c r="AK556" i="6"/>
  <c r="AB556" i="6"/>
  <c r="AI556" i="6"/>
  <c r="AM556" i="6"/>
  <c r="BA556" i="6"/>
  <c r="L557" i="12"/>
  <c r="J557" i="12"/>
  <c r="AU556" i="6"/>
  <c r="AG556" i="6"/>
  <c r="AR556" i="6"/>
  <c r="AE556" i="6"/>
  <c r="BG556" i="6"/>
  <c r="AD556" i="6"/>
  <c r="BD556" i="6"/>
  <c r="AN556" i="6"/>
  <c r="M557" i="6" l="1"/>
  <c r="AD557" i="6" s="1"/>
  <c r="A558" i="6"/>
  <c r="M558" i="6" s="1"/>
  <c r="AQ558" i="6" s="1"/>
  <c r="N559" i="5"/>
  <c r="D559" i="6" s="1"/>
  <c r="B559" i="5"/>
  <c r="D559" i="5"/>
  <c r="B559" i="12" s="1"/>
  <c r="B559" i="6"/>
  <c r="E559" i="5"/>
  <c r="J559" i="5"/>
  <c r="AE559" i="5"/>
  <c r="H559" i="5"/>
  <c r="F559" i="5"/>
  <c r="AD559" i="5"/>
  <c r="A559" i="12"/>
  <c r="K559" i="5"/>
  <c r="G559" i="5"/>
  <c r="C560" i="5"/>
  <c r="K557" i="12"/>
  <c r="J558" i="12"/>
  <c r="L558" i="12"/>
  <c r="AK557" i="6" l="1"/>
  <c r="AO557" i="6"/>
  <c r="AC557" i="6"/>
  <c r="AX557" i="6"/>
  <c r="BD557" i="6"/>
  <c r="AS557" i="6"/>
  <c r="BE557" i="6"/>
  <c r="BC557" i="6"/>
  <c r="AQ557" i="6"/>
  <c r="AM557" i="6"/>
  <c r="BG557" i="6"/>
  <c r="AI557" i="6"/>
  <c r="AH557" i="6"/>
  <c r="BA557" i="6"/>
  <c r="BF557" i="6"/>
  <c r="BB557" i="6"/>
  <c r="AG557" i="6"/>
  <c r="AU557" i="6"/>
  <c r="AE557" i="6"/>
  <c r="AT557" i="6"/>
  <c r="AP557" i="6"/>
  <c r="AY557" i="6"/>
  <c r="AF557" i="6"/>
  <c r="AJ557" i="6"/>
  <c r="AB557" i="6"/>
  <c r="AV557" i="6"/>
  <c r="AZ557" i="6"/>
  <c r="AR557" i="6"/>
  <c r="AN557" i="6"/>
  <c r="N558" i="6"/>
  <c r="BF558" i="6"/>
  <c r="AN558" i="6"/>
  <c r="AI558" i="6"/>
  <c r="AE558" i="6"/>
  <c r="AP558" i="6"/>
  <c r="AB558" i="6"/>
  <c r="AH558" i="6"/>
  <c r="AZ558" i="6"/>
  <c r="AS558" i="6"/>
  <c r="AU558" i="6"/>
  <c r="AM558" i="6"/>
  <c r="AR558" i="6"/>
  <c r="AK558" i="6"/>
  <c r="BA558" i="6"/>
  <c r="AX558" i="6"/>
  <c r="BC558" i="6"/>
  <c r="AY558" i="6"/>
  <c r="BE558" i="6"/>
  <c r="AJ558" i="6"/>
  <c r="BG558" i="6"/>
  <c r="AC558" i="6"/>
  <c r="AV558" i="6"/>
  <c r="BD558" i="6"/>
  <c r="AT558" i="6"/>
  <c r="BB558" i="6"/>
  <c r="AF558" i="6"/>
  <c r="AO558" i="6"/>
  <c r="AD558" i="6"/>
  <c r="AG558" i="6"/>
  <c r="K558" i="12"/>
  <c r="H559" i="6"/>
  <c r="N560" i="5"/>
  <c r="D560" i="6" s="1"/>
  <c r="F560" i="5"/>
  <c r="K560" i="5"/>
  <c r="G560" i="5"/>
  <c r="B560" i="5"/>
  <c r="J560" i="5"/>
  <c r="C561" i="5"/>
  <c r="D560" i="5"/>
  <c r="B560" i="12" s="1"/>
  <c r="AD560" i="5"/>
  <c r="AE560" i="5"/>
  <c r="E560" i="5"/>
  <c r="A560" i="12"/>
  <c r="H560" i="5"/>
  <c r="B560" i="6"/>
  <c r="A559" i="6"/>
  <c r="N559" i="6" s="1"/>
  <c r="J559" i="12"/>
  <c r="L559" i="12"/>
  <c r="K559" i="12" l="1"/>
  <c r="A560" i="6"/>
  <c r="M560" i="6" s="1"/>
  <c r="AR560" i="6" s="1"/>
  <c r="L560" i="12"/>
  <c r="J560" i="12"/>
  <c r="H560" i="6"/>
  <c r="T559" i="5"/>
  <c r="G559" i="12" s="1"/>
  <c r="F561" i="5"/>
  <c r="B561" i="6"/>
  <c r="C562" i="5"/>
  <c r="AD561" i="5"/>
  <c r="D561" i="5"/>
  <c r="B561" i="12" s="1"/>
  <c r="H561" i="5"/>
  <c r="B561" i="5"/>
  <c r="AE561" i="5"/>
  <c r="K561" i="5"/>
  <c r="J561" i="5"/>
  <c r="E561" i="5"/>
  <c r="N561" i="5"/>
  <c r="D561" i="6" s="1"/>
  <c r="G561" i="5"/>
  <c r="A561" i="12"/>
  <c r="M559" i="6"/>
  <c r="AF559" i="6" s="1"/>
  <c r="N560" i="6" l="1"/>
  <c r="K560" i="12"/>
  <c r="AO560" i="6"/>
  <c r="BC560" i="6"/>
  <c r="BD560" i="6"/>
  <c r="BA560" i="6"/>
  <c r="AN560" i="6"/>
  <c r="BB560" i="6"/>
  <c r="AS560" i="6"/>
  <c r="BF560" i="6"/>
  <c r="AY560" i="6"/>
  <c r="AZ560" i="6"/>
  <c r="AU560" i="6"/>
  <c r="AT560" i="6"/>
  <c r="AV560" i="6"/>
  <c r="BG560" i="6"/>
  <c r="AX560" i="6"/>
  <c r="AQ560" i="6"/>
  <c r="AP560" i="6"/>
  <c r="BE560" i="6"/>
  <c r="AM560" i="6"/>
  <c r="AK559" i="6"/>
  <c r="H562" i="5"/>
  <c r="AE562" i="5"/>
  <c r="A562" i="12"/>
  <c r="N562" i="5"/>
  <c r="D562" i="6" s="1"/>
  <c r="H562" i="6" s="1"/>
  <c r="T562" i="5" s="1"/>
  <c r="G562" i="12" s="1"/>
  <c r="C563" i="5"/>
  <c r="B562" i="5"/>
  <c r="F562" i="5"/>
  <c r="J562" i="5"/>
  <c r="K562" i="5"/>
  <c r="AD562" i="5"/>
  <c r="E562" i="5"/>
  <c r="D562" i="5"/>
  <c r="B562" i="12" s="1"/>
  <c r="G562" i="5"/>
  <c r="B562" i="6"/>
  <c r="AI559" i="6"/>
  <c r="A561" i="6"/>
  <c r="N561" i="6" s="1"/>
  <c r="AJ559" i="6"/>
  <c r="AE559" i="6"/>
  <c r="T560" i="5"/>
  <c r="G560" i="12" s="1"/>
  <c r="AC560" i="6"/>
  <c r="AG560" i="6"/>
  <c r="AE560" i="6"/>
  <c r="AB560" i="6"/>
  <c r="AI560" i="6"/>
  <c r="AH560" i="6"/>
  <c r="AD560" i="6"/>
  <c r="AF560" i="6"/>
  <c r="AK560" i="6"/>
  <c r="AB559" i="6"/>
  <c r="BE559" i="6"/>
  <c r="BF559" i="6"/>
  <c r="BA559" i="6"/>
  <c r="AO559" i="6"/>
  <c r="AU559" i="6"/>
  <c r="AT559" i="6"/>
  <c r="AM559" i="6"/>
  <c r="BG559" i="6"/>
  <c r="AX559" i="6"/>
  <c r="AY559" i="6"/>
  <c r="AR559" i="6"/>
  <c r="BB559" i="6"/>
  <c r="AQ559" i="6"/>
  <c r="AS559" i="6"/>
  <c r="AV559" i="6"/>
  <c r="AN559" i="6"/>
  <c r="BD559" i="6"/>
  <c r="AP559" i="6"/>
  <c r="AZ559" i="6"/>
  <c r="BC559" i="6"/>
  <c r="AC559" i="6"/>
  <c r="AH559" i="6"/>
  <c r="H561" i="6"/>
  <c r="T561" i="5" s="1"/>
  <c r="G561" i="12" s="1"/>
  <c r="AG559" i="6"/>
  <c r="L561" i="12"/>
  <c r="J561" i="12"/>
  <c r="AD559" i="6"/>
  <c r="AJ560" i="6"/>
  <c r="M561" i="6" l="1"/>
  <c r="BD561" i="6" s="1"/>
  <c r="A562" i="6"/>
  <c r="AE563" i="5"/>
  <c r="D563" i="5"/>
  <c r="B563" i="12" s="1"/>
  <c r="B563" i="5"/>
  <c r="E563" i="5"/>
  <c r="A563" i="12"/>
  <c r="G563" i="5"/>
  <c r="J563" i="5"/>
  <c r="K563" i="5"/>
  <c r="N563" i="5"/>
  <c r="D563" i="6" s="1"/>
  <c r="H563" i="6" s="1"/>
  <c r="T563" i="5" s="1"/>
  <c r="G563" i="12" s="1"/>
  <c r="H563" i="5"/>
  <c r="AD563" i="5"/>
  <c r="B563" i="6"/>
  <c r="C564" i="5"/>
  <c r="F563" i="5"/>
  <c r="K561" i="12"/>
  <c r="L562" i="12"/>
  <c r="J562" i="12"/>
  <c r="AM561" i="6" l="1"/>
  <c r="AQ561" i="6"/>
  <c r="AN561" i="6"/>
  <c r="AX561" i="6"/>
  <c r="AH561" i="6"/>
  <c r="AZ561" i="6"/>
  <c r="AG561" i="6"/>
  <c r="AC561" i="6"/>
  <c r="AY561" i="6"/>
  <c r="AF561" i="6"/>
  <c r="AP561" i="6"/>
  <c r="AJ561" i="6"/>
  <c r="AB561" i="6"/>
  <c r="AU561" i="6"/>
  <c r="BF561" i="6"/>
  <c r="AS561" i="6"/>
  <c r="AI561" i="6"/>
  <c r="AR561" i="6"/>
  <c r="AD561" i="6"/>
  <c r="AO561" i="6"/>
  <c r="BE561" i="6"/>
  <c r="AV561" i="6"/>
  <c r="BB561" i="6"/>
  <c r="AT561" i="6"/>
  <c r="AE561" i="6"/>
  <c r="AK561" i="6"/>
  <c r="BC561" i="6"/>
  <c r="BG561" i="6"/>
  <c r="BA561" i="6"/>
  <c r="K562" i="12"/>
  <c r="N562" i="6"/>
  <c r="M562" i="6"/>
  <c r="A564" i="12"/>
  <c r="AD564" i="5"/>
  <c r="D564" i="5"/>
  <c r="B564" i="12" s="1"/>
  <c r="K564" i="5"/>
  <c r="N564" i="5"/>
  <c r="D564" i="6" s="1"/>
  <c r="H564" i="6" s="1"/>
  <c r="T564" i="5" s="1"/>
  <c r="G564" i="12" s="1"/>
  <c r="H564" i="5"/>
  <c r="C565" i="5"/>
  <c r="J564" i="5"/>
  <c r="B564" i="6"/>
  <c r="B564" i="5"/>
  <c r="F564" i="5"/>
  <c r="G564" i="5"/>
  <c r="E564" i="5"/>
  <c r="AE564" i="5"/>
  <c r="J563" i="12"/>
  <c r="L563" i="12"/>
  <c r="A563" i="6"/>
  <c r="K563" i="12" l="1"/>
  <c r="M563" i="6"/>
  <c r="N563" i="6"/>
  <c r="A564" i="6"/>
  <c r="J564" i="12"/>
  <c r="L564" i="12"/>
  <c r="AD565" i="5"/>
  <c r="B565" i="5"/>
  <c r="F565" i="5"/>
  <c r="A565" i="12"/>
  <c r="J565" i="5"/>
  <c r="B565" i="6"/>
  <c r="K565" i="5"/>
  <c r="C566" i="5"/>
  <c r="D565" i="5"/>
  <c r="B565" i="12" s="1"/>
  <c r="G565" i="5"/>
  <c r="N565" i="5"/>
  <c r="D565" i="6" s="1"/>
  <c r="H565" i="6" s="1"/>
  <c r="T565" i="5" s="1"/>
  <c r="G565" i="12" s="1"/>
  <c r="H565" i="5"/>
  <c r="AE565" i="5"/>
  <c r="E565" i="5"/>
  <c r="AI562" i="6"/>
  <c r="AD562" i="6"/>
  <c r="AO562" i="6"/>
  <c r="AE562" i="6"/>
  <c r="AC562" i="6"/>
  <c r="AF562" i="6"/>
  <c r="AV562" i="6"/>
  <c r="AJ562" i="6"/>
  <c r="BB562" i="6"/>
  <c r="BC562" i="6"/>
  <c r="BD562" i="6"/>
  <c r="AY562" i="6"/>
  <c r="AM562" i="6"/>
  <c r="AB562" i="6"/>
  <c r="AX562" i="6"/>
  <c r="BA562" i="6"/>
  <c r="AS562" i="6"/>
  <c r="AK562" i="6"/>
  <c r="AH562" i="6"/>
  <c r="AN562" i="6"/>
  <c r="BG562" i="6"/>
  <c r="AP562" i="6"/>
  <c r="AT562" i="6"/>
  <c r="BE562" i="6"/>
  <c r="AZ562" i="6"/>
  <c r="AU562" i="6"/>
  <c r="AG562" i="6"/>
  <c r="BF562" i="6"/>
  <c r="AR562" i="6"/>
  <c r="AQ562" i="6"/>
  <c r="K564" i="12" l="1"/>
  <c r="B566" i="6"/>
  <c r="G566" i="5"/>
  <c r="C567" i="5"/>
  <c r="AE566" i="5"/>
  <c r="K566" i="5"/>
  <c r="D566" i="5"/>
  <c r="B566" i="12" s="1"/>
  <c r="J566" i="5"/>
  <c r="E566" i="5"/>
  <c r="F566" i="5"/>
  <c r="A566" i="12"/>
  <c r="N566" i="5"/>
  <c r="D566" i="6" s="1"/>
  <c r="AD566" i="5"/>
  <c r="B566" i="5"/>
  <c r="H566" i="5"/>
  <c r="A565" i="6"/>
  <c r="M565" i="6" s="1"/>
  <c r="BG565" i="6" s="1"/>
  <c r="N564" i="6"/>
  <c r="M564" i="6"/>
  <c r="L565" i="12"/>
  <c r="J565" i="12"/>
  <c r="BC563" i="6"/>
  <c r="AU563" i="6"/>
  <c r="AJ563" i="6"/>
  <c r="AD563" i="6"/>
  <c r="AF563" i="6"/>
  <c r="BD563" i="6"/>
  <c r="AV563" i="6"/>
  <c r="AQ563" i="6"/>
  <c r="BG563" i="6"/>
  <c r="BF563" i="6"/>
  <c r="AZ563" i="6"/>
  <c r="AP563" i="6"/>
  <c r="AO563" i="6"/>
  <c r="AN563" i="6"/>
  <c r="AR563" i="6"/>
  <c r="AH563" i="6"/>
  <c r="AM563" i="6"/>
  <c r="BA563" i="6"/>
  <c r="AK563" i="6"/>
  <c r="BB563" i="6"/>
  <c r="AI563" i="6"/>
  <c r="AG563" i="6"/>
  <c r="AY563" i="6"/>
  <c r="BE563" i="6"/>
  <c r="AT563" i="6"/>
  <c r="AC563" i="6"/>
  <c r="AX563" i="6"/>
  <c r="AS563" i="6"/>
  <c r="AB563" i="6"/>
  <c r="AE563" i="6"/>
  <c r="AQ565" i="6" l="1"/>
  <c r="K565" i="12"/>
  <c r="AT565" i="6"/>
  <c r="H566" i="6"/>
  <c r="G567" i="5"/>
  <c r="A567" i="12"/>
  <c r="K567" i="5"/>
  <c r="C568" i="5"/>
  <c r="D567" i="5"/>
  <c r="B567" i="12" s="1"/>
  <c r="N567" i="5"/>
  <c r="D567" i="6" s="1"/>
  <c r="AE567" i="5"/>
  <c r="H567" i="5"/>
  <c r="F567" i="5"/>
  <c r="J567" i="5"/>
  <c r="E567" i="5"/>
  <c r="AD567" i="5"/>
  <c r="B567" i="5"/>
  <c r="B567" i="6"/>
  <c r="AB565" i="6"/>
  <c r="AE564" i="6"/>
  <c r="AD564" i="6"/>
  <c r="AO564" i="6"/>
  <c r="AQ564" i="6"/>
  <c r="BD564" i="6"/>
  <c r="AS564" i="6"/>
  <c r="AY564" i="6"/>
  <c r="BA564" i="6"/>
  <c r="AV564" i="6"/>
  <c r="AP564" i="6"/>
  <c r="BC564" i="6"/>
  <c r="BG564" i="6"/>
  <c r="AF564" i="6"/>
  <c r="AX564" i="6"/>
  <c r="BE564" i="6"/>
  <c r="AT564" i="6"/>
  <c r="AM564" i="6"/>
  <c r="BF564" i="6"/>
  <c r="AG564" i="6"/>
  <c r="BB564" i="6"/>
  <c r="AU564" i="6"/>
  <c r="AZ564" i="6"/>
  <c r="AH564" i="6"/>
  <c r="AB564" i="6"/>
  <c r="AI564" i="6"/>
  <c r="AC564" i="6"/>
  <c r="AJ564" i="6"/>
  <c r="AK564" i="6"/>
  <c r="AR564" i="6"/>
  <c r="AN564" i="6"/>
  <c r="AC565" i="6"/>
  <c r="J566" i="12"/>
  <c r="L566" i="12"/>
  <c r="BD565" i="6"/>
  <c r="AU565" i="6"/>
  <c r="AG565" i="6"/>
  <c r="AO565" i="6"/>
  <c r="A566" i="6"/>
  <c r="M566" i="6" s="1"/>
  <c r="BE565" i="6"/>
  <c r="AD565" i="6"/>
  <c r="AN565" i="6"/>
  <c r="AY565" i="6"/>
  <c r="BB565" i="6"/>
  <c r="AR565" i="6"/>
  <c r="AF565" i="6"/>
  <c r="AM565" i="6"/>
  <c r="AV565" i="6"/>
  <c r="AS565" i="6"/>
  <c r="AI565" i="6"/>
  <c r="AX565" i="6"/>
  <c r="N565" i="6"/>
  <c r="BF565" i="6"/>
  <c r="AJ565" i="6"/>
  <c r="BA565" i="6"/>
  <c r="AE565" i="6"/>
  <c r="AZ565" i="6"/>
  <c r="AH565" i="6"/>
  <c r="AP565" i="6"/>
  <c r="BC565" i="6"/>
  <c r="AK565" i="6"/>
  <c r="L567" i="12" l="1"/>
  <c r="J567" i="12"/>
  <c r="K566" i="12"/>
  <c r="N566" i="6"/>
  <c r="T566" i="5"/>
  <c r="G566" i="12" s="1"/>
  <c r="AD566" i="6"/>
  <c r="AE566" i="6"/>
  <c r="AF566" i="6"/>
  <c r="AG566" i="6"/>
  <c r="AC566" i="6"/>
  <c r="AJ566" i="6"/>
  <c r="AH566" i="6"/>
  <c r="AB566" i="6"/>
  <c r="AK566" i="6"/>
  <c r="AI566" i="6"/>
  <c r="A567" i="6"/>
  <c r="N567" i="6" s="1"/>
  <c r="H567" i="6"/>
  <c r="AR566" i="6"/>
  <c r="BG566" i="6"/>
  <c r="BF566" i="6"/>
  <c r="AQ566" i="6"/>
  <c r="AX566" i="6"/>
  <c r="BC566" i="6"/>
  <c r="AT566" i="6"/>
  <c r="AM566" i="6"/>
  <c r="AU566" i="6"/>
  <c r="AV566" i="6"/>
  <c r="BA566" i="6"/>
  <c r="AZ566" i="6"/>
  <c r="AN566" i="6"/>
  <c r="AO566" i="6"/>
  <c r="AP566" i="6"/>
  <c r="BB566" i="6"/>
  <c r="BD566" i="6"/>
  <c r="AS566" i="6"/>
  <c r="AY566" i="6"/>
  <c r="BE566" i="6"/>
  <c r="B568" i="5"/>
  <c r="AD568" i="5"/>
  <c r="A568" i="12"/>
  <c r="AE568" i="5"/>
  <c r="K568" i="5"/>
  <c r="G568" i="5"/>
  <c r="H568" i="5"/>
  <c r="F568" i="5"/>
  <c r="C569" i="5"/>
  <c r="N568" i="5"/>
  <c r="D568" i="6" s="1"/>
  <c r="D568" i="5"/>
  <c r="B568" i="12" s="1"/>
  <c r="B568" i="6"/>
  <c r="E568" i="5"/>
  <c r="J568" i="5"/>
  <c r="K567" i="12" l="1"/>
  <c r="E569" i="5"/>
  <c r="F569" i="5"/>
  <c r="B569" i="6"/>
  <c r="AD569" i="5"/>
  <c r="AE569" i="5"/>
  <c r="N569" i="5"/>
  <c r="D569" i="6" s="1"/>
  <c r="H569" i="6" s="1"/>
  <c r="T569" i="5" s="1"/>
  <c r="G569" i="12" s="1"/>
  <c r="J569" i="5"/>
  <c r="G569" i="5"/>
  <c r="C570" i="5"/>
  <c r="H569" i="5"/>
  <c r="A569" i="12"/>
  <c r="B569" i="5"/>
  <c r="K569" i="5"/>
  <c r="D569" i="5" s="1"/>
  <c r="B569" i="12" s="1"/>
  <c r="A568" i="6"/>
  <c r="N568" i="6" s="1"/>
  <c r="M567" i="6"/>
  <c r="AG567" i="6" s="1"/>
  <c r="J568" i="12"/>
  <c r="L568" i="12"/>
  <c r="T567" i="5"/>
  <c r="G567" i="12" s="1"/>
  <c r="H568" i="6"/>
  <c r="M568" i="6" l="1"/>
  <c r="AR568" i="6" s="1"/>
  <c r="K568" i="12"/>
  <c r="AB567" i="6"/>
  <c r="AH567" i="6"/>
  <c r="AY567" i="6"/>
  <c r="AT567" i="6"/>
  <c r="AV567" i="6"/>
  <c r="AM567" i="6"/>
  <c r="AZ567" i="6"/>
  <c r="BA567" i="6"/>
  <c r="AR567" i="6"/>
  <c r="AX567" i="6"/>
  <c r="BD567" i="6"/>
  <c r="AU567" i="6"/>
  <c r="AP567" i="6"/>
  <c r="BG567" i="6"/>
  <c r="AQ567" i="6"/>
  <c r="BB567" i="6"/>
  <c r="BE567" i="6"/>
  <c r="AS567" i="6"/>
  <c r="BF567" i="6"/>
  <c r="AN567" i="6"/>
  <c r="AO567" i="6"/>
  <c r="BC567" i="6"/>
  <c r="J569" i="12"/>
  <c r="L569" i="12"/>
  <c r="A569" i="6"/>
  <c r="M569" i="6" s="1"/>
  <c r="AH569" i="6" s="1"/>
  <c r="AI567" i="6"/>
  <c r="T568" i="5"/>
  <c r="G568" i="12" s="1"/>
  <c r="AK567" i="6"/>
  <c r="B570" i="5"/>
  <c r="C571" i="5"/>
  <c r="J570" i="5"/>
  <c r="B570" i="6"/>
  <c r="N570" i="5"/>
  <c r="D570" i="6" s="1"/>
  <c r="H570" i="6" s="1"/>
  <c r="T570" i="5" s="1"/>
  <c r="G570" i="12" s="1"/>
  <c r="G570" i="5"/>
  <c r="A570" i="12"/>
  <c r="F570" i="5"/>
  <c r="D570" i="5"/>
  <c r="B570" i="12" s="1"/>
  <c r="AD570" i="5"/>
  <c r="H570" i="5"/>
  <c r="K570" i="5"/>
  <c r="E570" i="5"/>
  <c r="AE570" i="5"/>
  <c r="AD567" i="6"/>
  <c r="AF567" i="6"/>
  <c r="AC567" i="6"/>
  <c r="AJ567" i="6"/>
  <c r="AE567" i="6"/>
  <c r="BB568" i="6" l="1"/>
  <c r="AX568" i="6"/>
  <c r="BA568" i="6"/>
  <c r="AD568" i="6"/>
  <c r="BC568" i="6"/>
  <c r="AJ568" i="6"/>
  <c r="AV568" i="6"/>
  <c r="AP568" i="6"/>
  <c r="AQ568" i="6"/>
  <c r="AF568" i="6"/>
  <c r="BE568" i="6"/>
  <c r="BG568" i="6"/>
  <c r="AB568" i="6"/>
  <c r="BF568" i="6"/>
  <c r="AO568" i="6"/>
  <c r="AH568" i="6"/>
  <c r="AE568" i="6"/>
  <c r="AI568" i="6"/>
  <c r="AN568" i="6"/>
  <c r="AS568" i="6"/>
  <c r="AK568" i="6"/>
  <c r="AZ568" i="6"/>
  <c r="BD568" i="6"/>
  <c r="AM568" i="6"/>
  <c r="AC568" i="6"/>
  <c r="AT568" i="6"/>
  <c r="AU568" i="6"/>
  <c r="AG568" i="6"/>
  <c r="AY568" i="6"/>
  <c r="K569" i="12"/>
  <c r="BB569" i="6"/>
  <c r="AY569" i="6"/>
  <c r="AO569" i="6"/>
  <c r="AU569" i="6"/>
  <c r="AX569" i="6"/>
  <c r="AE569" i="6"/>
  <c r="BG569" i="6"/>
  <c r="AP569" i="6"/>
  <c r="AT569" i="6"/>
  <c r="L570" i="12"/>
  <c r="J570" i="12"/>
  <c r="AD569" i="6"/>
  <c r="AQ569" i="6"/>
  <c r="AC569" i="6"/>
  <c r="BF569" i="6"/>
  <c r="AN569" i="6"/>
  <c r="BC569" i="6"/>
  <c r="AS569" i="6"/>
  <c r="N569" i="6"/>
  <c r="A570" i="6"/>
  <c r="AR569" i="6"/>
  <c r="AI569" i="6"/>
  <c r="BE569" i="6"/>
  <c r="AB569" i="6"/>
  <c r="AZ569" i="6"/>
  <c r="BD569" i="6"/>
  <c r="AF569" i="6"/>
  <c r="AM569" i="6"/>
  <c r="AV569" i="6"/>
  <c r="BA569" i="6"/>
  <c r="G571" i="5"/>
  <c r="AD571" i="5"/>
  <c r="H571" i="5"/>
  <c r="B571" i="6"/>
  <c r="C572" i="5"/>
  <c r="AE571" i="5"/>
  <c r="N571" i="5"/>
  <c r="D571" i="6" s="1"/>
  <c r="H571" i="6" s="1"/>
  <c r="T571" i="5" s="1"/>
  <c r="G571" i="12" s="1"/>
  <c r="J571" i="5"/>
  <c r="K571" i="5"/>
  <c r="B571" i="5"/>
  <c r="A571" i="12"/>
  <c r="D571" i="5"/>
  <c r="B571" i="12" s="1"/>
  <c r="F571" i="5"/>
  <c r="E571" i="5"/>
  <c r="AJ569" i="6"/>
  <c r="AK569" i="6"/>
  <c r="AG569" i="6"/>
  <c r="A571" i="6" l="1"/>
  <c r="M571" i="6" s="1"/>
  <c r="AZ571" i="6" s="1"/>
  <c r="K570" i="12"/>
  <c r="N570" i="6"/>
  <c r="M570" i="6"/>
  <c r="A572" i="12"/>
  <c r="C573" i="5"/>
  <c r="G572" i="5"/>
  <c r="F572" i="5"/>
  <c r="AD572" i="5"/>
  <c r="AE572" i="5"/>
  <c r="H572" i="5"/>
  <c r="E572" i="5"/>
  <c r="K572" i="5"/>
  <c r="D572" i="5"/>
  <c r="B572" i="12" s="1"/>
  <c r="N572" i="5"/>
  <c r="D572" i="6" s="1"/>
  <c r="J572" i="5"/>
  <c r="B572" i="5"/>
  <c r="B572" i="6"/>
  <c r="J571" i="12"/>
  <c r="L571" i="12"/>
  <c r="AJ571" i="6" l="1"/>
  <c r="AH571" i="6"/>
  <c r="AR571" i="6"/>
  <c r="AG571" i="6"/>
  <c r="BA571" i="6"/>
  <c r="AY571" i="6"/>
  <c r="AU571" i="6"/>
  <c r="BD571" i="6"/>
  <c r="AV571" i="6"/>
  <c r="AQ571" i="6"/>
  <c r="BC571" i="6"/>
  <c r="AO571" i="6"/>
  <c r="AE571" i="6"/>
  <c r="AD571" i="6"/>
  <c r="AC571" i="6"/>
  <c r="AP571" i="6"/>
  <c r="AN571" i="6"/>
  <c r="BB571" i="6"/>
  <c r="AT571" i="6"/>
  <c r="BE571" i="6"/>
  <c r="AI571" i="6"/>
  <c r="BF571" i="6"/>
  <c r="AS571" i="6"/>
  <c r="BG571" i="6"/>
  <c r="AB571" i="6"/>
  <c r="AK571" i="6"/>
  <c r="N571" i="6"/>
  <c r="AX571" i="6"/>
  <c r="AF571" i="6"/>
  <c r="AM571" i="6"/>
  <c r="K571" i="12"/>
  <c r="A572" i="6"/>
  <c r="N572" i="6" s="1"/>
  <c r="H572" i="6"/>
  <c r="AC570" i="6"/>
  <c r="AO570" i="6"/>
  <c r="AY570" i="6"/>
  <c r="AZ570" i="6"/>
  <c r="AK570" i="6"/>
  <c r="AD570" i="6"/>
  <c r="AB570" i="6"/>
  <c r="AQ570" i="6"/>
  <c r="AF570" i="6"/>
  <c r="AU570" i="6"/>
  <c r="AX570" i="6"/>
  <c r="AH570" i="6"/>
  <c r="BG570" i="6"/>
  <c r="AT570" i="6"/>
  <c r="AI570" i="6"/>
  <c r="AS570" i="6"/>
  <c r="BA570" i="6"/>
  <c r="AR570" i="6"/>
  <c r="AE570" i="6"/>
  <c r="AG570" i="6"/>
  <c r="BC570" i="6"/>
  <c r="AM570" i="6"/>
  <c r="AN570" i="6"/>
  <c r="BD570" i="6"/>
  <c r="BF570" i="6"/>
  <c r="AV570" i="6"/>
  <c r="BE570" i="6"/>
  <c r="AJ570" i="6"/>
  <c r="AP570" i="6"/>
  <c r="BB570" i="6"/>
  <c r="L572" i="12"/>
  <c r="J572" i="12"/>
  <c r="H573" i="5"/>
  <c r="F573" i="5"/>
  <c r="B573" i="5"/>
  <c r="N573" i="5"/>
  <c r="D573" i="6" s="1"/>
  <c r="H573" i="6" s="1"/>
  <c r="T573" i="5" s="1"/>
  <c r="G573" i="12" s="1"/>
  <c r="J573" i="5"/>
  <c r="A573" i="12"/>
  <c r="K573" i="5"/>
  <c r="AD573" i="5"/>
  <c r="AE573" i="5"/>
  <c r="G573" i="5"/>
  <c r="E573" i="5"/>
  <c r="D573" i="5"/>
  <c r="B573" i="12" s="1"/>
  <c r="B573" i="6"/>
  <c r="M572" i="6" l="1"/>
  <c r="AI572" i="6" s="1"/>
  <c r="A573" i="6"/>
  <c r="M573" i="6" s="1"/>
  <c r="AO573" i="6" s="1"/>
  <c r="L573" i="12"/>
  <c r="J573" i="12"/>
  <c r="K572" i="12"/>
  <c r="T572" i="5"/>
  <c r="G572" i="12" s="1"/>
  <c r="K573" i="12" l="1"/>
  <c r="N573" i="6"/>
  <c r="AF572" i="6"/>
  <c r="BB572" i="6"/>
  <c r="BE573" i="6"/>
  <c r="AG573" i="6"/>
  <c r="AZ572" i="6"/>
  <c r="AN573" i="6"/>
  <c r="BF573" i="6"/>
  <c r="BB573" i="6"/>
  <c r="AG572" i="6"/>
  <c r="AJ572" i="6"/>
  <c r="AK573" i="6"/>
  <c r="AU572" i="6"/>
  <c r="BF572" i="6"/>
  <c r="AZ573" i="6"/>
  <c r="AE573" i="6"/>
  <c r="AP573" i="6"/>
  <c r="AR573" i="6"/>
  <c r="AF573" i="6"/>
  <c r="BG573" i="6"/>
  <c r="AD572" i="6"/>
  <c r="AM572" i="6"/>
  <c r="AK572" i="6"/>
  <c r="AV572" i="6"/>
  <c r="AQ572" i="6"/>
  <c r="AX572" i="6"/>
  <c r="AV573" i="6"/>
  <c r="AU573" i="6"/>
  <c r="AM573" i="6"/>
  <c r="BA572" i="6"/>
  <c r="BD573" i="6"/>
  <c r="AB573" i="6"/>
  <c r="AS573" i="6"/>
  <c r="AE572" i="6"/>
  <c r="AY572" i="6"/>
  <c r="AN572" i="6"/>
  <c r="AS572" i="6"/>
  <c r="AC573" i="6"/>
  <c r="AI573" i="6"/>
  <c r="AX573" i="6"/>
  <c r="BC573" i="6"/>
  <c r="AO572" i="6"/>
  <c r="AP572" i="6"/>
  <c r="AB572" i="6"/>
  <c r="AD573" i="6"/>
  <c r="BA573" i="6"/>
  <c r="AY573" i="6"/>
  <c r="AC572" i="6"/>
  <c r="BG572" i="6"/>
  <c r="BD572" i="6"/>
  <c r="BC572" i="6"/>
  <c r="AR572" i="6"/>
  <c r="AH572" i="6"/>
  <c r="AQ573" i="6"/>
  <c r="AT572" i="6"/>
  <c r="BE572" i="6"/>
  <c r="AJ573" i="6"/>
  <c r="AT573" i="6"/>
  <c r="AH573" i="6"/>
  <c r="C574" i="5"/>
  <c r="AD574" i="5" l="1"/>
  <c r="C575" i="5"/>
  <c r="B574" i="6"/>
  <c r="F574" i="5"/>
  <c r="H574" i="5"/>
  <c r="E574" i="5"/>
  <c r="A574" i="12"/>
  <c r="AE574" i="5"/>
  <c r="R574" i="5"/>
  <c r="N574" i="5"/>
  <c r="D574" i="6" s="1"/>
  <c r="G574" i="5"/>
  <c r="K552" i="5" s="1"/>
  <c r="W574" i="5"/>
  <c r="H574" i="12" s="1"/>
  <c r="B574" i="5"/>
  <c r="A574" i="6" l="1"/>
  <c r="AN574" i="6"/>
  <c r="M574" i="6"/>
  <c r="BC574" i="6"/>
  <c r="BG574" i="6"/>
  <c r="N574" i="6"/>
  <c r="AT574" i="6"/>
  <c r="AZ574" i="6"/>
  <c r="AU574" i="6"/>
  <c r="BB574" i="6"/>
  <c r="BE574" i="6"/>
  <c r="BA574" i="6"/>
  <c r="AO574" i="6"/>
  <c r="AQ574" i="6"/>
  <c r="AV574" i="6"/>
  <c r="BD574" i="6"/>
  <c r="G574" i="6"/>
  <c r="H574" i="6"/>
  <c r="AX574" i="6"/>
  <c r="AY574" i="6"/>
  <c r="AS574" i="6"/>
  <c r="AR574" i="6"/>
  <c r="AM574" i="6"/>
  <c r="BF574" i="6"/>
  <c r="AP574" i="6"/>
  <c r="D575" i="5"/>
  <c r="B575" i="12" s="1"/>
  <c r="B575" i="6"/>
  <c r="AE575" i="5"/>
  <c r="B575" i="5"/>
  <c r="C576" i="5"/>
  <c r="E575" i="5"/>
  <c r="F575" i="5"/>
  <c r="K575" i="5"/>
  <c r="H575" i="5"/>
  <c r="AD575" i="5"/>
  <c r="A575" i="12"/>
  <c r="J575" i="5"/>
  <c r="G575" i="5"/>
  <c r="N575" i="5"/>
  <c r="D575" i="6" s="1"/>
  <c r="H575" i="6" s="1"/>
  <c r="T575" i="5" s="1"/>
  <c r="G575" i="12" s="1"/>
  <c r="F574" i="6"/>
  <c r="E574" i="12"/>
  <c r="AH574" i="6" l="1"/>
  <c r="AC574" i="6"/>
  <c r="T574" i="5"/>
  <c r="G574" i="12" s="1"/>
  <c r="AG574" i="6"/>
  <c r="AK574" i="6"/>
  <c r="AF574" i="6"/>
  <c r="AE574" i="6"/>
  <c r="AI574" i="6"/>
  <c r="C577" i="5"/>
  <c r="J576" i="5"/>
  <c r="K576" i="5"/>
  <c r="F576" i="5"/>
  <c r="B576" i="5"/>
  <c r="AE576" i="5"/>
  <c r="B576" i="6"/>
  <c r="AD576" i="5"/>
  <c r="E576" i="5"/>
  <c r="G576" i="5"/>
  <c r="D576" i="5"/>
  <c r="B576" i="12" s="1"/>
  <c r="N576" i="5"/>
  <c r="D576" i="6" s="1"/>
  <c r="A576" i="12"/>
  <c r="H576" i="5"/>
  <c r="AB574" i="6"/>
  <c r="AD574" i="6"/>
  <c r="L575" i="12"/>
  <c r="J575" i="12"/>
  <c r="A575" i="6"/>
  <c r="N575" i="6" s="1"/>
  <c r="AJ574" i="6"/>
  <c r="K575" i="12" l="1"/>
  <c r="K577" i="5"/>
  <c r="H577" i="5"/>
  <c r="J577" i="5"/>
  <c r="B577" i="5"/>
  <c r="E577" i="5"/>
  <c r="G577" i="5"/>
  <c r="C578" i="5"/>
  <c r="B577" i="6"/>
  <c r="AD577" i="5"/>
  <c r="D577" i="5"/>
  <c r="B577" i="12" s="1"/>
  <c r="A577" i="12"/>
  <c r="F577" i="5"/>
  <c r="AE577" i="5"/>
  <c r="N577" i="5"/>
  <c r="D577" i="6" s="1"/>
  <c r="A576" i="6"/>
  <c r="N576" i="6" s="1"/>
  <c r="L576" i="12"/>
  <c r="J576" i="12"/>
  <c r="H576" i="6"/>
  <c r="M575" i="6"/>
  <c r="K576" i="12" l="1"/>
  <c r="H577" i="6"/>
  <c r="AK575" i="6"/>
  <c r="AJ575" i="6"/>
  <c r="BB575" i="6"/>
  <c r="AF575" i="6"/>
  <c r="BG575" i="6"/>
  <c r="BF575" i="6"/>
  <c r="AM575" i="6"/>
  <c r="AQ575" i="6"/>
  <c r="AC575" i="6"/>
  <c r="AZ575" i="6"/>
  <c r="AG575" i="6"/>
  <c r="BC575" i="6"/>
  <c r="AD575" i="6"/>
  <c r="BD575" i="6"/>
  <c r="AY575" i="6"/>
  <c r="AV575" i="6"/>
  <c r="AP575" i="6"/>
  <c r="AX575" i="6"/>
  <c r="AT575" i="6"/>
  <c r="AS575" i="6"/>
  <c r="AB575" i="6"/>
  <c r="AN575" i="6"/>
  <c r="AI575" i="6"/>
  <c r="AO575" i="6"/>
  <c r="AE575" i="6"/>
  <c r="BA575" i="6"/>
  <c r="AH575" i="6"/>
  <c r="AU575" i="6"/>
  <c r="AR575" i="6"/>
  <c r="BE575" i="6"/>
  <c r="T576" i="5"/>
  <c r="G576" i="12" s="1"/>
  <c r="L577" i="12"/>
  <c r="J577" i="12"/>
  <c r="M576" i="6"/>
  <c r="AH576" i="6" s="1"/>
  <c r="C579" i="5"/>
  <c r="H578" i="5"/>
  <c r="E578" i="5"/>
  <c r="AD578" i="5"/>
  <c r="AE578" i="5"/>
  <c r="F578" i="5"/>
  <c r="G578" i="5"/>
  <c r="K578" i="5"/>
  <c r="N578" i="5"/>
  <c r="D578" i="6" s="1"/>
  <c r="B578" i="6"/>
  <c r="D578" i="5"/>
  <c r="B578" i="12" s="1"/>
  <c r="B578" i="5"/>
  <c r="J578" i="5"/>
  <c r="A578" i="12"/>
  <c r="A577" i="6"/>
  <c r="N577" i="6" s="1"/>
  <c r="K577" i="12" l="1"/>
  <c r="AJ576" i="6"/>
  <c r="H578" i="6"/>
  <c r="T578" i="5" s="1"/>
  <c r="G578" i="12" s="1"/>
  <c r="AF576" i="6"/>
  <c r="AI576" i="6"/>
  <c r="J578" i="12"/>
  <c r="L578" i="12"/>
  <c r="AC576" i="6"/>
  <c r="AP576" i="6"/>
  <c r="AU576" i="6"/>
  <c r="BA576" i="6"/>
  <c r="BG576" i="6"/>
  <c r="BC576" i="6"/>
  <c r="AM576" i="6"/>
  <c r="BE576" i="6"/>
  <c r="AY576" i="6"/>
  <c r="AS576" i="6"/>
  <c r="AZ576" i="6"/>
  <c r="AT576" i="6"/>
  <c r="AO576" i="6"/>
  <c r="AQ576" i="6"/>
  <c r="BF576" i="6"/>
  <c r="AV576" i="6"/>
  <c r="BB576" i="6"/>
  <c r="AR576" i="6"/>
  <c r="BD576" i="6"/>
  <c r="AX576" i="6"/>
  <c r="AN576" i="6"/>
  <c r="AE576" i="6"/>
  <c r="AB576" i="6"/>
  <c r="M577" i="6"/>
  <c r="AI577" i="6" s="1"/>
  <c r="K579" i="5"/>
  <c r="B579" i="6"/>
  <c r="AD579" i="5"/>
  <c r="D579" i="5"/>
  <c r="B579" i="12" s="1"/>
  <c r="E579" i="5"/>
  <c r="C580" i="5"/>
  <c r="A579" i="12"/>
  <c r="H579" i="5"/>
  <c r="N579" i="5"/>
  <c r="D579" i="6" s="1"/>
  <c r="G579" i="5"/>
  <c r="J579" i="5"/>
  <c r="B579" i="5"/>
  <c r="AE579" i="5"/>
  <c r="F579" i="5"/>
  <c r="AG576" i="6"/>
  <c r="AK576" i="6"/>
  <c r="A578" i="6"/>
  <c r="M578" i="6" s="1"/>
  <c r="AM578" i="6" s="1"/>
  <c r="AD576" i="6"/>
  <c r="T577" i="5"/>
  <c r="G577" i="12" s="1"/>
  <c r="K578" i="12" l="1"/>
  <c r="A579" i="6"/>
  <c r="M579" i="6" s="1"/>
  <c r="AX579" i="6" s="1"/>
  <c r="B580" i="5"/>
  <c r="K580" i="5"/>
  <c r="E580" i="5"/>
  <c r="C581" i="5"/>
  <c r="B580" i="6"/>
  <c r="A580" i="12"/>
  <c r="N580" i="5"/>
  <c r="D580" i="6" s="1"/>
  <c r="AD580" i="5"/>
  <c r="F580" i="5"/>
  <c r="AE580" i="5"/>
  <c r="H580" i="5"/>
  <c r="J580" i="5"/>
  <c r="G580" i="5"/>
  <c r="D580" i="5"/>
  <c r="B580" i="12" s="1"/>
  <c r="BB578" i="6"/>
  <c r="AQ578" i="6"/>
  <c r="AR578" i="6"/>
  <c r="AE578" i="6"/>
  <c r="AD578" i="6"/>
  <c r="AB578" i="6"/>
  <c r="AV578" i="6"/>
  <c r="AP578" i="6"/>
  <c r="BE578" i="6"/>
  <c r="AX578" i="6"/>
  <c r="BC578" i="6"/>
  <c r="N578" i="6"/>
  <c r="AJ578" i="6"/>
  <c r="AI578" i="6"/>
  <c r="AJ577" i="6"/>
  <c r="L579" i="12"/>
  <c r="J579" i="12"/>
  <c r="AC578" i="6"/>
  <c r="AO578" i="6"/>
  <c r="AN578" i="6"/>
  <c r="BF578" i="6"/>
  <c r="AD577" i="6"/>
  <c r="AG578" i="6"/>
  <c r="AT578" i="6"/>
  <c r="H579" i="6"/>
  <c r="BA578" i="6"/>
  <c r="AS578" i="6"/>
  <c r="AK577" i="6"/>
  <c r="BG578" i="6"/>
  <c r="AY578" i="6"/>
  <c r="AF578" i="6"/>
  <c r="BD578" i="6"/>
  <c r="AK578" i="6"/>
  <c r="AS577" i="6"/>
  <c r="BG577" i="6"/>
  <c r="AV577" i="6"/>
  <c r="BB577" i="6"/>
  <c r="BE577" i="6"/>
  <c r="AX577" i="6"/>
  <c r="AR577" i="6"/>
  <c r="AY577" i="6"/>
  <c r="BF577" i="6"/>
  <c r="AT577" i="6"/>
  <c r="BD577" i="6"/>
  <c r="AZ577" i="6"/>
  <c r="AC577" i="6"/>
  <c r="AU577" i="6"/>
  <c r="BC577" i="6"/>
  <c r="BA577" i="6"/>
  <c r="AN577" i="6"/>
  <c r="AP577" i="6"/>
  <c r="AG577" i="6"/>
  <c r="AM577" i="6"/>
  <c r="AO577" i="6"/>
  <c r="AF577" i="6"/>
  <c r="AH577" i="6"/>
  <c r="AB577" i="6"/>
  <c r="AQ577" i="6"/>
  <c r="AE577" i="6"/>
  <c r="AZ578" i="6"/>
  <c r="AH578" i="6"/>
  <c r="AU578" i="6"/>
  <c r="N579" i="6" l="1"/>
  <c r="K579" i="12"/>
  <c r="AC579" i="6"/>
  <c r="BC579" i="6"/>
  <c r="AS579" i="6"/>
  <c r="AZ579" i="6"/>
  <c r="AO579" i="6"/>
  <c r="BD579" i="6"/>
  <c r="AN579" i="6"/>
  <c r="BE579" i="6"/>
  <c r="BG579" i="6"/>
  <c r="AT579" i="6"/>
  <c r="AU579" i="6"/>
  <c r="AV579" i="6"/>
  <c r="BB579" i="6"/>
  <c r="AR579" i="6"/>
  <c r="BF579" i="6"/>
  <c r="AQ579" i="6"/>
  <c r="AM579" i="6"/>
  <c r="AP579" i="6"/>
  <c r="BA579" i="6"/>
  <c r="AY579" i="6"/>
  <c r="H580" i="6"/>
  <c r="T579" i="5"/>
  <c r="G579" i="12" s="1"/>
  <c r="AD579" i="6"/>
  <c r="AH579" i="6"/>
  <c r="AI579" i="6"/>
  <c r="AB579" i="6"/>
  <c r="AG579" i="6"/>
  <c r="AJ579" i="6"/>
  <c r="AK579" i="6"/>
  <c r="AF579" i="6"/>
  <c r="AE579" i="6"/>
  <c r="J580" i="12"/>
  <c r="L580" i="12"/>
  <c r="A580" i="6"/>
  <c r="M580" i="6" s="1"/>
  <c r="B581" i="5"/>
  <c r="F581" i="5"/>
  <c r="J581" i="5"/>
  <c r="C582" i="5"/>
  <c r="K581" i="5"/>
  <c r="AD581" i="5"/>
  <c r="B581" i="6"/>
  <c r="AE581" i="5"/>
  <c r="G581" i="5"/>
  <c r="N581" i="5"/>
  <c r="D581" i="6" s="1"/>
  <c r="A581" i="12"/>
  <c r="E581" i="5"/>
  <c r="H581" i="5"/>
  <c r="D581" i="5"/>
  <c r="B581" i="12" s="1"/>
  <c r="A581" i="6" l="1"/>
  <c r="N581" i="6" s="1"/>
  <c r="K580" i="12"/>
  <c r="BG580" i="6"/>
  <c r="BC580" i="6"/>
  <c r="AP580" i="6"/>
  <c r="BD580" i="6"/>
  <c r="AS580" i="6"/>
  <c r="AT580" i="6"/>
  <c r="BA580" i="6"/>
  <c r="AQ580" i="6"/>
  <c r="AV580" i="6"/>
  <c r="AU580" i="6"/>
  <c r="AR580" i="6"/>
  <c r="AO580" i="6"/>
  <c r="BB580" i="6"/>
  <c r="BF580" i="6"/>
  <c r="AY580" i="6"/>
  <c r="BE580" i="6"/>
  <c r="AZ580" i="6"/>
  <c r="AX580" i="6"/>
  <c r="AM580" i="6"/>
  <c r="AN580" i="6"/>
  <c r="K582" i="5"/>
  <c r="AE582" i="5"/>
  <c r="F582" i="5"/>
  <c r="J582" i="5"/>
  <c r="G582" i="5"/>
  <c r="D582" i="5"/>
  <c r="B582" i="12" s="1"/>
  <c r="AD582" i="5"/>
  <c r="H582" i="5"/>
  <c r="B582" i="5"/>
  <c r="N582" i="5"/>
  <c r="D582" i="6" s="1"/>
  <c r="B582" i="6"/>
  <c r="C583" i="5"/>
  <c r="E582" i="5"/>
  <c r="A582" i="12"/>
  <c r="L581" i="12"/>
  <c r="J581" i="12"/>
  <c r="N580" i="6"/>
  <c r="H581" i="6"/>
  <c r="T580" i="5"/>
  <c r="G580" i="12" s="1"/>
  <c r="AH580" i="6"/>
  <c r="AG580" i="6"/>
  <c r="AJ580" i="6"/>
  <c r="AF580" i="6"/>
  <c r="AB580" i="6"/>
  <c r="AK580" i="6"/>
  <c r="AD580" i="6"/>
  <c r="AE580" i="6"/>
  <c r="AC580" i="6"/>
  <c r="AI580" i="6"/>
  <c r="M581" i="6" l="1"/>
  <c r="AN581" i="6" s="1"/>
  <c r="K581" i="12"/>
  <c r="L582" i="12"/>
  <c r="J582" i="12"/>
  <c r="T581" i="5"/>
  <c r="G581" i="12" s="1"/>
  <c r="F583" i="5"/>
  <c r="K583" i="5"/>
  <c r="B583" i="5"/>
  <c r="AE583" i="5"/>
  <c r="H583" i="5"/>
  <c r="D583" i="5"/>
  <c r="B583" i="12" s="1"/>
  <c r="G583" i="5"/>
  <c r="N583" i="5"/>
  <c r="D583" i="6" s="1"/>
  <c r="H583" i="6" s="1"/>
  <c r="T583" i="5" s="1"/>
  <c r="G583" i="12" s="1"/>
  <c r="A583" i="12"/>
  <c r="E583" i="5"/>
  <c r="J583" i="5"/>
  <c r="AD583" i="5"/>
  <c r="B583" i="6"/>
  <c r="A582" i="6"/>
  <c r="N582" i="6" s="1"/>
  <c r="H582" i="6"/>
  <c r="AF581" i="6" l="1"/>
  <c r="BD581" i="6"/>
  <c r="AX581" i="6"/>
  <c r="AV581" i="6"/>
  <c r="AG581" i="6"/>
  <c r="BG581" i="6"/>
  <c r="BC581" i="6"/>
  <c r="AP581" i="6"/>
  <c r="AY581" i="6"/>
  <c r="BF581" i="6"/>
  <c r="AI581" i="6"/>
  <c r="AR581" i="6"/>
  <c r="AO581" i="6"/>
  <c r="AB581" i="6"/>
  <c r="AM581" i="6"/>
  <c r="BA581" i="6"/>
  <c r="AE581" i="6"/>
  <c r="AU581" i="6"/>
  <c r="AJ581" i="6"/>
  <c r="AT581" i="6"/>
  <c r="AQ581" i="6"/>
  <c r="AC581" i="6"/>
  <c r="AD581" i="6"/>
  <c r="AS581" i="6"/>
  <c r="BB581" i="6"/>
  <c r="AH581" i="6"/>
  <c r="AK581" i="6"/>
  <c r="AZ581" i="6"/>
  <c r="BE581" i="6"/>
  <c r="K582" i="12"/>
  <c r="T582" i="5"/>
  <c r="G582" i="12" s="1"/>
  <c r="A583" i="6"/>
  <c r="N583" i="6" s="1"/>
  <c r="M582" i="6"/>
  <c r="AD582" i="6" s="1"/>
  <c r="L583" i="12"/>
  <c r="J583" i="12"/>
  <c r="K583" i="12" l="1"/>
  <c r="AI582" i="6"/>
  <c r="AF582" i="6"/>
  <c r="AE582" i="6"/>
  <c r="AG582" i="6"/>
  <c r="AY582" i="6"/>
  <c r="BF582" i="6"/>
  <c r="AP582" i="6"/>
  <c r="BG582" i="6"/>
  <c r="AU582" i="6"/>
  <c r="AX582" i="6"/>
  <c r="AM582" i="6"/>
  <c r="BB582" i="6"/>
  <c r="AQ582" i="6"/>
  <c r="AT582" i="6"/>
  <c r="AN582" i="6"/>
  <c r="BE582" i="6"/>
  <c r="AR582" i="6"/>
  <c r="AS582" i="6"/>
  <c r="BA582" i="6"/>
  <c r="BD582" i="6"/>
  <c r="BC582" i="6"/>
  <c r="AV582" i="6"/>
  <c r="AZ582" i="6"/>
  <c r="AO582" i="6"/>
  <c r="M583" i="6"/>
  <c r="AK582" i="6"/>
  <c r="AC582" i="6"/>
  <c r="AJ582" i="6"/>
  <c r="AH582" i="6"/>
  <c r="AB582" i="6"/>
  <c r="AR583" i="6" l="1"/>
  <c r="AB583" i="6"/>
  <c r="AP583" i="6"/>
  <c r="BF583" i="6"/>
  <c r="AI583" i="6"/>
  <c r="AF583" i="6"/>
  <c r="AJ583" i="6"/>
  <c r="BG583" i="6"/>
  <c r="BD583" i="6"/>
  <c r="AD583" i="6"/>
  <c r="AX583" i="6"/>
  <c r="BE583" i="6"/>
  <c r="AM583" i="6"/>
  <c r="AZ583" i="6"/>
  <c r="BB583" i="6"/>
  <c r="AK583" i="6"/>
  <c r="BC583" i="6"/>
  <c r="AN583" i="6"/>
  <c r="AS583" i="6"/>
  <c r="AH583" i="6"/>
  <c r="AC583" i="6"/>
  <c r="AT583" i="6"/>
  <c r="AO583" i="6"/>
  <c r="AG583" i="6"/>
  <c r="BA583" i="6"/>
  <c r="AU583" i="6"/>
  <c r="AY583" i="6"/>
  <c r="AV583" i="6"/>
  <c r="AE583" i="6"/>
  <c r="AQ583" i="6"/>
  <c r="C584" i="5"/>
  <c r="H584" i="5" l="1"/>
  <c r="G584" i="5"/>
  <c r="K574" i="5" s="1"/>
  <c r="A584" i="12"/>
  <c r="AD584" i="5"/>
  <c r="B584" i="5"/>
  <c r="W584" i="5"/>
  <c r="H584" i="12" s="1"/>
  <c r="AE584" i="5"/>
  <c r="E584" i="5"/>
  <c r="B584" i="6"/>
  <c r="R584" i="5"/>
  <c r="F584" i="5"/>
  <c r="N584" i="5"/>
  <c r="D584" i="6" s="1"/>
  <c r="C585" i="5"/>
  <c r="A584" i="6" l="1"/>
  <c r="AE585" i="5"/>
  <c r="A585" i="12"/>
  <c r="B585" i="6"/>
  <c r="G585" i="5"/>
  <c r="B585" i="5"/>
  <c r="AD585" i="5"/>
  <c r="K585" i="5"/>
  <c r="C586" i="5"/>
  <c r="E585" i="5"/>
  <c r="J585" i="5"/>
  <c r="D585" i="5"/>
  <c r="B585" i="12" s="1"/>
  <c r="H585" i="5"/>
  <c r="N585" i="5"/>
  <c r="D585" i="6" s="1"/>
  <c r="F585" i="5"/>
  <c r="AO584" i="6"/>
  <c r="AR584" i="6"/>
  <c r="AN584" i="6"/>
  <c r="AY584" i="6"/>
  <c r="M584" i="6"/>
  <c r="BB584" i="6"/>
  <c r="BA584" i="6"/>
  <c r="AU584" i="6"/>
  <c r="AX584" i="6"/>
  <c r="BC584" i="6"/>
  <c r="AS584" i="6"/>
  <c r="BG584" i="6"/>
  <c r="AZ584" i="6"/>
  <c r="AT584" i="6"/>
  <c r="AQ584" i="6"/>
  <c r="G584" i="6"/>
  <c r="AV584" i="6"/>
  <c r="AM584" i="6"/>
  <c r="AP584" i="6"/>
  <c r="N584" i="6"/>
  <c r="BD584" i="6"/>
  <c r="BE584" i="6"/>
  <c r="BF584" i="6"/>
  <c r="H584" i="6"/>
  <c r="F584" i="6"/>
  <c r="E584" i="12"/>
  <c r="A585" i="6" l="1"/>
  <c r="N585" i="6" s="1"/>
  <c r="J585" i="12"/>
  <c r="L585" i="12"/>
  <c r="B586" i="5"/>
  <c r="K586" i="5"/>
  <c r="E586" i="5"/>
  <c r="D586" i="5"/>
  <c r="B586" i="12" s="1"/>
  <c r="AD586" i="5"/>
  <c r="AE586" i="5"/>
  <c r="J586" i="5"/>
  <c r="C587" i="5"/>
  <c r="G586" i="5"/>
  <c r="B586" i="6"/>
  <c r="N586" i="5"/>
  <c r="D586" i="6" s="1"/>
  <c r="H586" i="6" s="1"/>
  <c r="T586" i="5" s="1"/>
  <c r="G586" i="12" s="1"/>
  <c r="A586" i="12"/>
  <c r="H586" i="5"/>
  <c r="F586" i="5"/>
  <c r="T584" i="5"/>
  <c r="G584" i="12" s="1"/>
  <c r="AE584" i="6"/>
  <c r="AH584" i="6"/>
  <c r="AI584" i="6"/>
  <c r="AG584" i="6"/>
  <c r="AD584" i="6"/>
  <c r="AC584" i="6"/>
  <c r="AF584" i="6"/>
  <c r="AK584" i="6"/>
  <c r="AB584" i="6"/>
  <c r="AJ584" i="6"/>
  <c r="H585" i="6"/>
  <c r="K585" i="12" l="1"/>
  <c r="M585" i="6"/>
  <c r="AJ585" i="6" s="1"/>
  <c r="L586" i="12"/>
  <c r="J586" i="12"/>
  <c r="A586" i="6"/>
  <c r="T585" i="5"/>
  <c r="G585" i="12" s="1"/>
  <c r="AE587" i="5"/>
  <c r="F587" i="5"/>
  <c r="E587" i="5"/>
  <c r="B587" i="5"/>
  <c r="N587" i="5"/>
  <c r="D587" i="6" s="1"/>
  <c r="G587" i="5"/>
  <c r="H587" i="5"/>
  <c r="C588" i="5"/>
  <c r="J587" i="5"/>
  <c r="D587" i="5"/>
  <c r="B587" i="12" s="1"/>
  <c r="K587" i="5"/>
  <c r="B587" i="6"/>
  <c r="AD587" i="5"/>
  <c r="A587" i="12"/>
  <c r="BD585" i="6" l="1"/>
  <c r="AF585" i="6"/>
  <c r="BF585" i="6"/>
  <c r="AR585" i="6"/>
  <c r="AP585" i="6"/>
  <c r="BC585" i="6"/>
  <c r="AH585" i="6"/>
  <c r="AD585" i="6"/>
  <c r="AC585" i="6"/>
  <c r="BB585" i="6"/>
  <c r="AK585" i="6"/>
  <c r="AN585" i="6"/>
  <c r="AM585" i="6"/>
  <c r="BE585" i="6"/>
  <c r="AQ585" i="6"/>
  <c r="AS585" i="6"/>
  <c r="AG585" i="6"/>
  <c r="AO585" i="6"/>
  <c r="AV585" i="6"/>
  <c r="AZ585" i="6"/>
  <c r="AE585" i="6"/>
  <c r="AB585" i="6"/>
  <c r="AU585" i="6"/>
  <c r="AY585" i="6"/>
  <c r="BG585" i="6"/>
  <c r="BA585" i="6"/>
  <c r="AI585" i="6"/>
  <c r="AX585" i="6"/>
  <c r="AT585" i="6"/>
  <c r="K586" i="12"/>
  <c r="M586" i="6"/>
  <c r="N586" i="6"/>
  <c r="B588" i="6"/>
  <c r="D588" i="5"/>
  <c r="B588" i="12" s="1"/>
  <c r="H588" i="5"/>
  <c r="N588" i="5"/>
  <c r="D588" i="6" s="1"/>
  <c r="H588" i="6" s="1"/>
  <c r="T588" i="5" s="1"/>
  <c r="G588" i="12" s="1"/>
  <c r="C589" i="5"/>
  <c r="B588" i="5"/>
  <c r="F588" i="5"/>
  <c r="AD588" i="5"/>
  <c r="G588" i="5"/>
  <c r="AE588" i="5"/>
  <c r="A588" i="12"/>
  <c r="K588" i="5"/>
  <c r="J588" i="5"/>
  <c r="E588" i="5"/>
  <c r="J587" i="12"/>
  <c r="L587" i="12"/>
  <c r="H587" i="6"/>
  <c r="A587" i="6"/>
  <c r="M587" i="6" s="1"/>
  <c r="AQ587" i="6" s="1"/>
  <c r="N587" i="6" l="1"/>
  <c r="K587" i="12"/>
  <c r="L588" i="12"/>
  <c r="J588" i="12"/>
  <c r="BE587" i="6"/>
  <c r="C590" i="5"/>
  <c r="G589" i="5"/>
  <c r="AD589" i="5"/>
  <c r="E589" i="5"/>
  <c r="A589" i="12"/>
  <c r="B589" i="5"/>
  <c r="F589" i="5"/>
  <c r="K589" i="5"/>
  <c r="B589" i="6"/>
  <c r="D589" i="5"/>
  <c r="B589" i="12" s="1"/>
  <c r="N589" i="5"/>
  <c r="D589" i="6" s="1"/>
  <c r="H589" i="6" s="1"/>
  <c r="T589" i="5" s="1"/>
  <c r="G589" i="12" s="1"/>
  <c r="H589" i="5"/>
  <c r="J589" i="5"/>
  <c r="AE589" i="5"/>
  <c r="AM587" i="6"/>
  <c r="A588" i="6"/>
  <c r="M588" i="6" s="1"/>
  <c r="BC586" i="6"/>
  <c r="AQ586" i="6"/>
  <c r="AB586" i="6"/>
  <c r="AU586" i="6"/>
  <c r="BF586" i="6"/>
  <c r="AO586" i="6"/>
  <c r="AY586" i="6"/>
  <c r="AZ586" i="6"/>
  <c r="AH586" i="6"/>
  <c r="BE586" i="6"/>
  <c r="AD586" i="6"/>
  <c r="AP586" i="6"/>
  <c r="AV586" i="6"/>
  <c r="AG586" i="6"/>
  <c r="AI586" i="6"/>
  <c r="AC586" i="6"/>
  <c r="BG586" i="6"/>
  <c r="AS586" i="6"/>
  <c r="AT586" i="6"/>
  <c r="BA586" i="6"/>
  <c r="BD586" i="6"/>
  <c r="AM586" i="6"/>
  <c r="AN586" i="6"/>
  <c r="AK586" i="6"/>
  <c r="AR586" i="6"/>
  <c r="AX586" i="6"/>
  <c r="AF586" i="6"/>
  <c r="AJ586" i="6"/>
  <c r="BB586" i="6"/>
  <c r="AE586" i="6"/>
  <c r="AN587" i="6"/>
  <c r="AO587" i="6"/>
  <c r="BB587" i="6"/>
  <c r="BF587" i="6"/>
  <c r="BA587" i="6"/>
  <c r="AT587" i="6"/>
  <c r="BD587" i="6"/>
  <c r="AU587" i="6"/>
  <c r="BG587" i="6"/>
  <c r="AP587" i="6"/>
  <c r="AR587" i="6"/>
  <c r="AZ587" i="6"/>
  <c r="AY587" i="6"/>
  <c r="AV587" i="6"/>
  <c r="AX587" i="6"/>
  <c r="AS587" i="6"/>
  <c r="AK587" i="6"/>
  <c r="T587" i="5"/>
  <c r="G587" i="12" s="1"/>
  <c r="AJ587" i="6"/>
  <c r="AD587" i="6"/>
  <c r="AC587" i="6"/>
  <c r="AB587" i="6"/>
  <c r="AF587" i="6"/>
  <c r="AI587" i="6"/>
  <c r="AE587" i="6"/>
  <c r="AG587" i="6"/>
  <c r="AH587" i="6"/>
  <c r="BC587" i="6"/>
  <c r="K588" i="12" l="1"/>
  <c r="BB588" i="6"/>
  <c r="BF588" i="6"/>
  <c r="AX588" i="6"/>
  <c r="BC588" i="6"/>
  <c r="AH588" i="6"/>
  <c r="AZ588" i="6"/>
  <c r="AT588" i="6"/>
  <c r="AY588" i="6"/>
  <c r="AR588" i="6"/>
  <c r="AV588" i="6"/>
  <c r="BE588" i="6"/>
  <c r="AN588" i="6"/>
  <c r="BD588" i="6"/>
  <c r="BG588" i="6"/>
  <c r="AB588" i="6"/>
  <c r="AF588" i="6"/>
  <c r="AJ588" i="6"/>
  <c r="BA588" i="6"/>
  <c r="AO588" i="6"/>
  <c r="A589" i="6"/>
  <c r="N589" i="6" s="1"/>
  <c r="AD590" i="5"/>
  <c r="J590" i="5"/>
  <c r="A590" i="12"/>
  <c r="E590" i="5"/>
  <c r="D590" i="5"/>
  <c r="B590" i="12" s="1"/>
  <c r="AE590" i="5"/>
  <c r="F590" i="5"/>
  <c r="K590" i="5"/>
  <c r="B590" i="5"/>
  <c r="B590" i="6"/>
  <c r="N590" i="5"/>
  <c r="D590" i="6" s="1"/>
  <c r="G590" i="5"/>
  <c r="C591" i="5"/>
  <c r="H590" i="5"/>
  <c r="AK588" i="6"/>
  <c r="AM588" i="6"/>
  <c r="AU588" i="6"/>
  <c r="AS588" i="6"/>
  <c r="N588" i="6"/>
  <c r="AC588" i="6"/>
  <c r="AD588" i="6"/>
  <c r="AP588" i="6"/>
  <c r="AE588" i="6"/>
  <c r="J589" i="12"/>
  <c r="L589" i="12"/>
  <c r="AG588" i="6"/>
  <c r="AQ588" i="6"/>
  <c r="AI588" i="6"/>
  <c r="M589" i="6" l="1"/>
  <c r="BA589" i="6" s="1"/>
  <c r="K589" i="12"/>
  <c r="A590" i="6"/>
  <c r="N590" i="6" s="1"/>
  <c r="H590" i="6"/>
  <c r="L590" i="12"/>
  <c r="J590" i="12"/>
  <c r="A591" i="12"/>
  <c r="AD591" i="5"/>
  <c r="B591" i="5"/>
  <c r="F591" i="5"/>
  <c r="D591" i="5"/>
  <c r="B591" i="12" s="1"/>
  <c r="K591" i="5"/>
  <c r="E591" i="5"/>
  <c r="AE591" i="5"/>
  <c r="C592" i="5"/>
  <c r="B591" i="6"/>
  <c r="H591" i="5"/>
  <c r="N591" i="5"/>
  <c r="D591" i="6" s="1"/>
  <c r="H591" i="6" s="1"/>
  <c r="T591" i="5" s="1"/>
  <c r="G591" i="12" s="1"/>
  <c r="J591" i="5"/>
  <c r="G591" i="5"/>
  <c r="AS589" i="6" l="1"/>
  <c r="AC589" i="6"/>
  <c r="BD589" i="6"/>
  <c r="AU589" i="6"/>
  <c r="AE589" i="6"/>
  <c r="AY589" i="6"/>
  <c r="AM589" i="6"/>
  <c r="AR589" i="6"/>
  <c r="AP589" i="6"/>
  <c r="BG589" i="6"/>
  <c r="AN589" i="6"/>
  <c r="AX589" i="6"/>
  <c r="AZ589" i="6"/>
  <c r="AI589" i="6"/>
  <c r="AK589" i="6"/>
  <c r="AV589" i="6"/>
  <c r="AB589" i="6"/>
  <c r="BF589" i="6"/>
  <c r="BB589" i="6"/>
  <c r="AT589" i="6"/>
  <c r="AQ589" i="6"/>
  <c r="AJ589" i="6"/>
  <c r="AH589" i="6"/>
  <c r="BE589" i="6"/>
  <c r="AD589" i="6"/>
  <c r="BC589" i="6"/>
  <c r="AO589" i="6"/>
  <c r="AG589" i="6"/>
  <c r="AF589" i="6"/>
  <c r="M590" i="6"/>
  <c r="AC590" i="6" s="1"/>
  <c r="K590" i="12"/>
  <c r="T590" i="5"/>
  <c r="G590" i="12" s="1"/>
  <c r="A591" i="6"/>
  <c r="N591" i="6" s="1"/>
  <c r="K592" i="5"/>
  <c r="AD592" i="5"/>
  <c r="G592" i="5"/>
  <c r="D592" i="5"/>
  <c r="B592" i="12" s="1"/>
  <c r="E592" i="5"/>
  <c r="AE592" i="5"/>
  <c r="F592" i="5"/>
  <c r="H592" i="5"/>
  <c r="A592" i="12"/>
  <c r="N592" i="5"/>
  <c r="D592" i="6" s="1"/>
  <c r="B592" i="5"/>
  <c r="J592" i="5"/>
  <c r="B592" i="6"/>
  <c r="J591" i="12"/>
  <c r="L591" i="12"/>
  <c r="AP590" i="6" l="1"/>
  <c r="AS590" i="6"/>
  <c r="AZ590" i="6"/>
  <c r="AI590" i="6"/>
  <c r="AM590" i="6"/>
  <c r="AT590" i="6"/>
  <c r="AR590" i="6"/>
  <c r="BD590" i="6"/>
  <c r="AK590" i="6"/>
  <c r="AE590" i="6"/>
  <c r="BG590" i="6"/>
  <c r="AV590" i="6"/>
  <c r="BC590" i="6"/>
  <c r="BA590" i="6"/>
  <c r="AH590" i="6"/>
  <c r="AB590" i="6"/>
  <c r="AX590" i="6"/>
  <c r="AF590" i="6"/>
  <c r="AY590" i="6"/>
  <c r="BB590" i="6"/>
  <c r="AG590" i="6"/>
  <c r="AD590" i="6"/>
  <c r="AO590" i="6"/>
  <c r="BE590" i="6"/>
  <c r="BF590" i="6"/>
  <c r="AJ590" i="6"/>
  <c r="AU590" i="6"/>
  <c r="AQ590" i="6"/>
  <c r="AN590" i="6"/>
  <c r="K591" i="12"/>
  <c r="A592" i="6"/>
  <c r="M592" i="6" s="1"/>
  <c r="AM592" i="6" s="1"/>
  <c r="H592" i="6"/>
  <c r="L592" i="12"/>
  <c r="J592" i="12"/>
  <c r="M591" i="6"/>
  <c r="K592" i="12" l="1"/>
  <c r="N592" i="6"/>
  <c r="AX592" i="6"/>
  <c r="BD592" i="6"/>
  <c r="AO592" i="6"/>
  <c r="BA592" i="6"/>
  <c r="AT592" i="6"/>
  <c r="T592" i="5"/>
  <c r="G592" i="12" s="1"/>
  <c r="AG592" i="6"/>
  <c r="AC592" i="6"/>
  <c r="AJ592" i="6"/>
  <c r="AH592" i="6"/>
  <c r="AF592" i="6"/>
  <c r="AB592" i="6"/>
  <c r="AE592" i="6"/>
  <c r="AK592" i="6"/>
  <c r="AD592" i="6"/>
  <c r="BF592" i="6"/>
  <c r="AV592" i="6"/>
  <c r="AS592" i="6"/>
  <c r="AV591" i="6"/>
  <c r="BE591" i="6"/>
  <c r="AQ591" i="6"/>
  <c r="AO591" i="6"/>
  <c r="AG591" i="6"/>
  <c r="AH591" i="6"/>
  <c r="AC591" i="6"/>
  <c r="AK591" i="6"/>
  <c r="AF591" i="6"/>
  <c r="BC591" i="6"/>
  <c r="BB591" i="6"/>
  <c r="AD591" i="6"/>
  <c r="BA591" i="6"/>
  <c r="AS591" i="6"/>
  <c r="AU591" i="6"/>
  <c r="AY591" i="6"/>
  <c r="AN591" i="6"/>
  <c r="AI591" i="6"/>
  <c r="BD591" i="6"/>
  <c r="AB591" i="6"/>
  <c r="AT591" i="6"/>
  <c r="AR591" i="6"/>
  <c r="AP591" i="6"/>
  <c r="AZ591" i="6"/>
  <c r="AM591" i="6"/>
  <c r="AX591" i="6"/>
  <c r="BG591" i="6"/>
  <c r="AE591" i="6"/>
  <c r="BF591" i="6"/>
  <c r="AJ591" i="6"/>
  <c r="AU592" i="6"/>
  <c r="BE592" i="6"/>
  <c r="BC592" i="6"/>
  <c r="C593" i="5"/>
  <c r="AZ592" i="6"/>
  <c r="AQ592" i="6"/>
  <c r="AI592" i="6"/>
  <c r="BB592" i="6"/>
  <c r="AP592" i="6"/>
  <c r="BG592" i="6"/>
  <c r="AY592" i="6"/>
  <c r="AR592" i="6"/>
  <c r="AN592" i="6"/>
  <c r="H593" i="5" l="1"/>
  <c r="A593" i="12"/>
  <c r="E593" i="5"/>
  <c r="B593" i="6"/>
  <c r="N593" i="5"/>
  <c r="D593" i="6" s="1"/>
  <c r="R593" i="5"/>
  <c r="B593" i="5"/>
  <c r="AE593" i="5"/>
  <c r="C594" i="5"/>
  <c r="AD593" i="5"/>
  <c r="F593" i="5"/>
  <c r="W593" i="5"/>
  <c r="H593" i="12" s="1"/>
  <c r="G593" i="5"/>
  <c r="E593" i="12" l="1"/>
  <c r="F593" i="6"/>
  <c r="A593" i="6"/>
  <c r="BD593" i="6"/>
  <c r="N593" i="6"/>
  <c r="G593" i="6"/>
  <c r="AV593" i="6"/>
  <c r="BA593" i="6"/>
  <c r="AY593" i="6"/>
  <c r="AO593" i="6"/>
  <c r="AU593" i="6"/>
  <c r="AN593" i="6"/>
  <c r="BF593" i="6"/>
  <c r="BB593" i="6"/>
  <c r="AP593" i="6"/>
  <c r="H593" i="6"/>
  <c r="BC593" i="6"/>
  <c r="BE593" i="6"/>
  <c r="AS593" i="6"/>
  <c r="AZ593" i="6"/>
  <c r="AM593" i="6"/>
  <c r="M593" i="6"/>
  <c r="AR593" i="6"/>
  <c r="BG593" i="6"/>
  <c r="AT593" i="6"/>
  <c r="AQ593" i="6"/>
  <c r="AX593" i="6"/>
  <c r="H594" i="5"/>
  <c r="G594" i="5"/>
  <c r="K594" i="5"/>
  <c r="J594" i="5"/>
  <c r="AE594" i="5"/>
  <c r="N594" i="5"/>
  <c r="D594" i="6" s="1"/>
  <c r="A594" i="12"/>
  <c r="AD594" i="5"/>
  <c r="E594" i="5"/>
  <c r="F594" i="5"/>
  <c r="D594" i="5"/>
  <c r="B594" i="12" s="1"/>
  <c r="B594" i="6"/>
  <c r="B594" i="5"/>
  <c r="C595" i="5"/>
  <c r="AE593" i="6" l="1"/>
  <c r="AJ593" i="6"/>
  <c r="AH593" i="6"/>
  <c r="AD593" i="6"/>
  <c r="AC593" i="6"/>
  <c r="H594" i="6"/>
  <c r="T594" i="5" s="1"/>
  <c r="G594" i="12" s="1"/>
  <c r="AK593" i="6"/>
  <c r="A594" i="6"/>
  <c r="M594" i="6" s="1"/>
  <c r="BA594" i="6" s="1"/>
  <c r="T593" i="5"/>
  <c r="G593" i="12" s="1"/>
  <c r="AB593" i="6"/>
  <c r="AG593" i="6"/>
  <c r="AI593" i="6"/>
  <c r="B595" i="5"/>
  <c r="B595" i="6"/>
  <c r="F595" i="5"/>
  <c r="C596" i="5"/>
  <c r="N595" i="5"/>
  <c r="D595" i="6" s="1"/>
  <c r="H595" i="6" s="1"/>
  <c r="T595" i="5" s="1"/>
  <c r="G595" i="12" s="1"/>
  <c r="H595" i="5"/>
  <c r="AD595" i="5"/>
  <c r="A595" i="12"/>
  <c r="G595" i="5"/>
  <c r="D595" i="5"/>
  <c r="B595" i="12" s="1"/>
  <c r="E595" i="5"/>
  <c r="J595" i="5"/>
  <c r="AE595" i="5"/>
  <c r="K595" i="5"/>
  <c r="L594" i="12"/>
  <c r="J594" i="12"/>
  <c r="AF593" i="6"/>
  <c r="K594" i="12" l="1"/>
  <c r="AO594" i="6"/>
  <c r="A595" i="6"/>
  <c r="M595" i="6" s="1"/>
  <c r="AC595" i="6" s="1"/>
  <c r="AH594" i="6"/>
  <c r="AD594" i="6"/>
  <c r="BD594" i="6"/>
  <c r="AU594" i="6"/>
  <c r="BE594" i="6"/>
  <c r="AB594" i="6"/>
  <c r="AN594" i="6"/>
  <c r="AM594" i="6"/>
  <c r="BF594" i="6"/>
  <c r="J595" i="12"/>
  <c r="L595" i="12"/>
  <c r="AI594" i="6"/>
  <c r="AF594" i="6"/>
  <c r="AS594" i="6"/>
  <c r="BG594" i="6"/>
  <c r="AP594" i="6"/>
  <c r="AE594" i="6"/>
  <c r="AJ594" i="6"/>
  <c r="AX594" i="6"/>
  <c r="BC594" i="6"/>
  <c r="AC594" i="6"/>
  <c r="AG594" i="6"/>
  <c r="AK594" i="6"/>
  <c r="AQ594" i="6"/>
  <c r="AR594" i="6"/>
  <c r="AY594" i="6"/>
  <c r="AZ594" i="6"/>
  <c r="AT594" i="6"/>
  <c r="AV594" i="6"/>
  <c r="N596" i="5"/>
  <c r="D596" i="6" s="1"/>
  <c r="H596" i="6" s="1"/>
  <c r="T596" i="5" s="1"/>
  <c r="G596" i="12" s="1"/>
  <c r="AE596" i="5"/>
  <c r="F596" i="5"/>
  <c r="K596" i="5"/>
  <c r="B596" i="6"/>
  <c r="D596" i="5"/>
  <c r="B596" i="12" s="1"/>
  <c r="H596" i="5"/>
  <c r="E596" i="5"/>
  <c r="AD596" i="5"/>
  <c r="A596" i="12"/>
  <c r="J596" i="5"/>
  <c r="B596" i="5"/>
  <c r="C597" i="5" s="1"/>
  <c r="G596" i="5"/>
  <c r="BB594" i="6"/>
  <c r="N594" i="6"/>
  <c r="N595" i="6" l="1"/>
  <c r="K595" i="12"/>
  <c r="A596" i="6"/>
  <c r="N596" i="6" s="1"/>
  <c r="AD595" i="6"/>
  <c r="AR595" i="6"/>
  <c r="AG595" i="6"/>
  <c r="AM595" i="6"/>
  <c r="AE595" i="6"/>
  <c r="AZ595" i="6"/>
  <c r="AX595" i="6"/>
  <c r="AJ595" i="6"/>
  <c r="AF595" i="6"/>
  <c r="AY595" i="6"/>
  <c r="AT595" i="6"/>
  <c r="BD595" i="6"/>
  <c r="BG595" i="6"/>
  <c r="BA595" i="6"/>
  <c r="N597" i="5"/>
  <c r="D597" i="6" s="1"/>
  <c r="F597" i="5"/>
  <c r="B597" i="5"/>
  <c r="A597" i="12"/>
  <c r="G597" i="5"/>
  <c r="K593" i="5" s="1"/>
  <c r="W597" i="5"/>
  <c r="H597" i="12" s="1"/>
  <c r="H597" i="5"/>
  <c r="C598" i="5"/>
  <c r="R597" i="5"/>
  <c r="AE597" i="5"/>
  <c r="E597" i="5"/>
  <c r="AD597" i="5"/>
  <c r="B597" i="6"/>
  <c r="AV595" i="6"/>
  <c r="AH595" i="6"/>
  <c r="BB595" i="6"/>
  <c r="L596" i="12"/>
  <c r="J596" i="12"/>
  <c r="BF595" i="6"/>
  <c r="AB595" i="6"/>
  <c r="AI595" i="6"/>
  <c r="AU595" i="6"/>
  <c r="BC595" i="6"/>
  <c r="AN595" i="6"/>
  <c r="AK595" i="6"/>
  <c r="AP595" i="6"/>
  <c r="AQ595" i="6"/>
  <c r="AO595" i="6"/>
  <c r="BE595" i="6"/>
  <c r="AS595" i="6"/>
  <c r="M596" i="6" l="1"/>
  <c r="AD596" i="6" s="1"/>
  <c r="A597" i="6"/>
  <c r="K596" i="12"/>
  <c r="E597" i="12"/>
  <c r="F597" i="6"/>
  <c r="AU597" i="6"/>
  <c r="AR597" i="6"/>
  <c r="AQ597" i="6"/>
  <c r="AZ597" i="6"/>
  <c r="G597" i="6"/>
  <c r="M597" i="6"/>
  <c r="BG597" i="6"/>
  <c r="AO597" i="6"/>
  <c r="BE597" i="6"/>
  <c r="BB597" i="6"/>
  <c r="AS597" i="6"/>
  <c r="AX597" i="6"/>
  <c r="BF597" i="6"/>
  <c r="AP597" i="6"/>
  <c r="AT597" i="6"/>
  <c r="N597" i="6"/>
  <c r="H597" i="6"/>
  <c r="AY597" i="6"/>
  <c r="BC597" i="6"/>
  <c r="AV597" i="6"/>
  <c r="BA597" i="6"/>
  <c r="BD597" i="6"/>
  <c r="AM597" i="6"/>
  <c r="AN597" i="6"/>
  <c r="A598" i="12"/>
  <c r="E598" i="5"/>
  <c r="N598" i="5"/>
  <c r="D598" i="6" s="1"/>
  <c r="F598" i="5"/>
  <c r="J598" i="5"/>
  <c r="B598" i="5"/>
  <c r="AE598" i="5"/>
  <c r="K598" i="5"/>
  <c r="G598" i="5"/>
  <c r="C599" i="5"/>
  <c r="AD598" i="5"/>
  <c r="D598" i="5"/>
  <c r="B598" i="12" s="1"/>
  <c r="H598" i="5"/>
  <c r="B598" i="6"/>
  <c r="AT596" i="6" l="1"/>
  <c r="AF596" i="6"/>
  <c r="AQ596" i="6"/>
  <c r="AO596" i="6"/>
  <c r="AI596" i="6"/>
  <c r="AX596" i="6"/>
  <c r="AH596" i="6"/>
  <c r="BD596" i="6"/>
  <c r="AS596" i="6"/>
  <c r="AB596" i="6"/>
  <c r="AY596" i="6"/>
  <c r="AJ596" i="6"/>
  <c r="BB596" i="6"/>
  <c r="AM596" i="6"/>
  <c r="AV596" i="6"/>
  <c r="AN596" i="6"/>
  <c r="AR596" i="6"/>
  <c r="BF596" i="6"/>
  <c r="BC596" i="6"/>
  <c r="BG596" i="6"/>
  <c r="AP596" i="6"/>
  <c r="AU596" i="6"/>
  <c r="AG596" i="6"/>
  <c r="AC596" i="6"/>
  <c r="BE596" i="6"/>
  <c r="AZ596" i="6"/>
  <c r="AE596" i="6"/>
  <c r="BA596" i="6"/>
  <c r="AK596" i="6"/>
  <c r="A598" i="6"/>
  <c r="N598" i="6" s="1"/>
  <c r="T597" i="5"/>
  <c r="G597" i="12" s="1"/>
  <c r="AI597" i="6"/>
  <c r="AG597" i="6"/>
  <c r="AE597" i="6"/>
  <c r="AB597" i="6"/>
  <c r="AF597" i="6"/>
  <c r="AK597" i="6"/>
  <c r="AC597" i="6"/>
  <c r="AD597" i="6"/>
  <c r="AJ597" i="6"/>
  <c r="AH597" i="6"/>
  <c r="H598" i="6"/>
  <c r="C600" i="5"/>
  <c r="A599" i="12"/>
  <c r="B599" i="5"/>
  <c r="H599" i="5"/>
  <c r="D599" i="5"/>
  <c r="B599" i="12" s="1"/>
  <c r="K599" i="5"/>
  <c r="J599" i="5"/>
  <c r="N599" i="5"/>
  <c r="D599" i="6" s="1"/>
  <c r="F599" i="5"/>
  <c r="G599" i="5"/>
  <c r="B599" i="6"/>
  <c r="AE599" i="5"/>
  <c r="E599" i="5"/>
  <c r="AD599" i="5"/>
  <c r="L598" i="12"/>
  <c r="J598" i="12"/>
  <c r="M598" i="6" l="1"/>
  <c r="AU598" i="6" s="1"/>
  <c r="A599" i="6"/>
  <c r="N599" i="6" s="1"/>
  <c r="L599" i="12"/>
  <c r="J599" i="12"/>
  <c r="H600" i="5"/>
  <c r="E600" i="5"/>
  <c r="C601" i="5"/>
  <c r="B600" i="6"/>
  <c r="K600" i="5"/>
  <c r="G600" i="5"/>
  <c r="AE600" i="5"/>
  <c r="AD600" i="5"/>
  <c r="D600" i="5"/>
  <c r="B600" i="12" s="1"/>
  <c r="A600" i="12"/>
  <c r="F600" i="5"/>
  <c r="J600" i="5"/>
  <c r="N600" i="5"/>
  <c r="D600" i="6" s="1"/>
  <c r="H600" i="6" s="1"/>
  <c r="T600" i="5" s="1"/>
  <c r="G600" i="12" s="1"/>
  <c r="B600" i="5"/>
  <c r="K598" i="12"/>
  <c r="T598" i="5"/>
  <c r="G598" i="12" s="1"/>
  <c r="H599" i="6"/>
  <c r="M599" i="6" l="1"/>
  <c r="BB599" i="6" s="1"/>
  <c r="AB598" i="6"/>
  <c r="AO598" i="6"/>
  <c r="AN598" i="6"/>
  <c r="AZ598" i="6"/>
  <c r="AG598" i="6"/>
  <c r="BC598" i="6"/>
  <c r="BF598" i="6"/>
  <c r="AK598" i="6"/>
  <c r="AE598" i="6"/>
  <c r="AT598" i="6"/>
  <c r="BE598" i="6"/>
  <c r="AR598" i="6"/>
  <c r="BD598" i="6"/>
  <c r="AC598" i="6"/>
  <c r="AS598" i="6"/>
  <c r="AY598" i="6"/>
  <c r="AX598" i="6"/>
  <c r="AJ598" i="6"/>
  <c r="AM598" i="6"/>
  <c r="AV598" i="6"/>
  <c r="AQ598" i="6"/>
  <c r="AH598" i="6"/>
  <c r="AF598" i="6"/>
  <c r="BA598" i="6"/>
  <c r="BG598" i="6"/>
  <c r="BB598" i="6"/>
  <c r="AD598" i="6"/>
  <c r="AI598" i="6"/>
  <c r="AP598" i="6"/>
  <c r="K599" i="12"/>
  <c r="A600" i="6"/>
  <c r="L600" i="12"/>
  <c r="J600" i="12"/>
  <c r="T599" i="5"/>
  <c r="G599" i="12" s="1"/>
  <c r="F601" i="5"/>
  <c r="J601" i="5"/>
  <c r="C602" i="5"/>
  <c r="A601" i="12"/>
  <c r="K601" i="5"/>
  <c r="H601" i="5"/>
  <c r="N601" i="5"/>
  <c r="D601" i="6" s="1"/>
  <c r="H601" i="6" s="1"/>
  <c r="T601" i="5" s="1"/>
  <c r="G601" i="12" s="1"/>
  <c r="E601" i="5"/>
  <c r="AD601" i="5"/>
  <c r="D601" i="5"/>
  <c r="B601" i="12" s="1"/>
  <c r="G601" i="5"/>
  <c r="AE601" i="5"/>
  <c r="B601" i="5"/>
  <c r="B601" i="6"/>
  <c r="BE599" i="6" l="1"/>
  <c r="BD599" i="6"/>
  <c r="AH599" i="6"/>
  <c r="BF599" i="6"/>
  <c r="AB599" i="6"/>
  <c r="AM599" i="6"/>
  <c r="AF599" i="6"/>
  <c r="AZ599" i="6"/>
  <c r="AG599" i="6"/>
  <c r="AR599" i="6"/>
  <c r="BG599" i="6"/>
  <c r="AK599" i="6"/>
  <c r="AT599" i="6"/>
  <c r="BC599" i="6"/>
  <c r="AY599" i="6"/>
  <c r="AI599" i="6"/>
  <c r="AQ599" i="6"/>
  <c r="AD599" i="6"/>
  <c r="AC599" i="6"/>
  <c r="AX599" i="6"/>
  <c r="AV599" i="6"/>
  <c r="AU599" i="6"/>
  <c r="AP599" i="6"/>
  <c r="AO599" i="6"/>
  <c r="AJ599" i="6"/>
  <c r="AS599" i="6"/>
  <c r="AE599" i="6"/>
  <c r="BA599" i="6"/>
  <c r="AN599" i="6"/>
  <c r="K600" i="12"/>
  <c r="A601" i="6"/>
  <c r="M601" i="6" s="1"/>
  <c r="AI601" i="6" s="1"/>
  <c r="N600" i="6"/>
  <c r="M600" i="6"/>
  <c r="L601" i="12"/>
  <c r="J601" i="12"/>
  <c r="E602" i="5"/>
  <c r="D602" i="5"/>
  <c r="B602" i="12" s="1"/>
  <c r="H602" i="5"/>
  <c r="AE602" i="5"/>
  <c r="K602" i="5"/>
  <c r="N602" i="5"/>
  <c r="D602" i="6" s="1"/>
  <c r="A602" i="12"/>
  <c r="B602" i="5"/>
  <c r="C603" i="5"/>
  <c r="F602" i="5"/>
  <c r="B602" i="6"/>
  <c r="J602" i="5"/>
  <c r="G602" i="5"/>
  <c r="AD602" i="5"/>
  <c r="N601" i="6" l="1"/>
  <c r="K601" i="12"/>
  <c r="A602" i="6"/>
  <c r="N602" i="6" s="1"/>
  <c r="AM601" i="6"/>
  <c r="AP601" i="6"/>
  <c r="AK601" i="6"/>
  <c r="AS601" i="6"/>
  <c r="AB601" i="6"/>
  <c r="AY601" i="6"/>
  <c r="AE601" i="6"/>
  <c r="BF601" i="6"/>
  <c r="BE601" i="6"/>
  <c r="AC601" i="6"/>
  <c r="AN601" i="6"/>
  <c r="AD601" i="6"/>
  <c r="BG601" i="6"/>
  <c r="AF601" i="6"/>
  <c r="AX601" i="6"/>
  <c r="AQ601" i="6"/>
  <c r="AR601" i="6"/>
  <c r="AH601" i="6"/>
  <c r="BC601" i="6"/>
  <c r="BA601" i="6"/>
  <c r="AJ601" i="6"/>
  <c r="AZ601" i="6"/>
  <c r="AO601" i="6"/>
  <c r="AV601" i="6"/>
  <c r="AU601" i="6"/>
  <c r="BD601" i="6"/>
  <c r="AF600" i="6"/>
  <c r="AV600" i="6"/>
  <c r="AO600" i="6"/>
  <c r="BE600" i="6"/>
  <c r="AD600" i="6"/>
  <c r="AJ600" i="6"/>
  <c r="BC600" i="6"/>
  <c r="AT600" i="6"/>
  <c r="AX600" i="6"/>
  <c r="AC600" i="6"/>
  <c r="AK600" i="6"/>
  <c r="BF600" i="6"/>
  <c r="BD600" i="6"/>
  <c r="BB600" i="6"/>
  <c r="AH600" i="6"/>
  <c r="AI600" i="6"/>
  <c r="AN600" i="6"/>
  <c r="AB600" i="6"/>
  <c r="BA600" i="6"/>
  <c r="AE600" i="6"/>
  <c r="BG600" i="6"/>
  <c r="AS600" i="6"/>
  <c r="AR600" i="6"/>
  <c r="AM600" i="6"/>
  <c r="AQ600" i="6"/>
  <c r="AY600" i="6"/>
  <c r="AP600" i="6"/>
  <c r="AU600" i="6"/>
  <c r="AZ600" i="6"/>
  <c r="AG600" i="6"/>
  <c r="BB601" i="6"/>
  <c r="AT601" i="6"/>
  <c r="AG601" i="6"/>
  <c r="D603" i="5"/>
  <c r="B603" i="12" s="1"/>
  <c r="K603" i="5"/>
  <c r="AE603" i="5"/>
  <c r="H603" i="5"/>
  <c r="F603" i="5"/>
  <c r="C604" i="5"/>
  <c r="G603" i="5"/>
  <c r="J603" i="5"/>
  <c r="B603" i="5"/>
  <c r="B603" i="6"/>
  <c r="AD603" i="5"/>
  <c r="N603" i="5"/>
  <c r="D603" i="6" s="1"/>
  <c r="A603" i="12"/>
  <c r="E603" i="5"/>
  <c r="L602" i="12"/>
  <c r="J602" i="12"/>
  <c r="H602" i="6"/>
  <c r="M602" i="6" l="1"/>
  <c r="AP602" i="6" s="1"/>
  <c r="K602" i="12"/>
  <c r="AE604" i="5"/>
  <c r="H604" i="5"/>
  <c r="N604" i="5"/>
  <c r="D604" i="6" s="1"/>
  <c r="B604" i="5"/>
  <c r="A604" i="12"/>
  <c r="K604" i="5"/>
  <c r="AD604" i="5"/>
  <c r="J604" i="5"/>
  <c r="B604" i="6"/>
  <c r="E604" i="5"/>
  <c r="D604" i="5"/>
  <c r="B604" i="12" s="1"/>
  <c r="G604" i="5"/>
  <c r="F604" i="5"/>
  <c r="L603" i="12"/>
  <c r="J603" i="12"/>
  <c r="H603" i="6"/>
  <c r="A603" i="6"/>
  <c r="M603" i="6" s="1"/>
  <c r="BF603" i="6" s="1"/>
  <c r="T602" i="5"/>
  <c r="G602" i="12" s="1"/>
  <c r="AE602" i="6" l="1"/>
  <c r="AU602" i="6"/>
  <c r="AH602" i="6"/>
  <c r="AX602" i="6"/>
  <c r="AD602" i="6"/>
  <c r="BG602" i="6"/>
  <c r="BC602" i="6"/>
  <c r="AS602" i="6"/>
  <c r="BB602" i="6"/>
  <c r="AG602" i="6"/>
  <c r="AM602" i="6"/>
  <c r="BA602" i="6"/>
  <c r="AR602" i="6"/>
  <c r="AO602" i="6"/>
  <c r="AK602" i="6"/>
  <c r="BD602" i="6"/>
  <c r="AC602" i="6"/>
  <c r="AY602" i="6"/>
  <c r="AB602" i="6"/>
  <c r="BE602" i="6"/>
  <c r="AF602" i="6"/>
  <c r="AQ602" i="6"/>
  <c r="AV602" i="6"/>
  <c r="AZ602" i="6"/>
  <c r="AN602" i="6"/>
  <c r="BF602" i="6"/>
  <c r="AJ602" i="6"/>
  <c r="AI602" i="6"/>
  <c r="AT602" i="6"/>
  <c r="J604" i="12"/>
  <c r="L604" i="12"/>
  <c r="AH603" i="6"/>
  <c r="AR603" i="6"/>
  <c r="AO603" i="6"/>
  <c r="AB603" i="6"/>
  <c r="H604" i="6"/>
  <c r="N603" i="6"/>
  <c r="A604" i="6"/>
  <c r="M604" i="6" s="1"/>
  <c r="AY603" i="6"/>
  <c r="BB603" i="6"/>
  <c r="BC603" i="6"/>
  <c r="BG603" i="6"/>
  <c r="BE603" i="6"/>
  <c r="AQ603" i="6"/>
  <c r="AN603" i="6"/>
  <c r="AU603" i="6"/>
  <c r="BA603" i="6"/>
  <c r="AM603" i="6"/>
  <c r="AP603" i="6"/>
  <c r="AX603" i="6"/>
  <c r="AZ603" i="6"/>
  <c r="BD603" i="6"/>
  <c r="AV603" i="6"/>
  <c r="AT603" i="6"/>
  <c r="T603" i="5"/>
  <c r="G603" i="12" s="1"/>
  <c r="AE603" i="6"/>
  <c r="AF603" i="6"/>
  <c r="AI603" i="6"/>
  <c r="AJ603" i="6"/>
  <c r="AD603" i="6"/>
  <c r="AC603" i="6"/>
  <c r="AK603" i="6"/>
  <c r="AG603" i="6"/>
  <c r="C605" i="5"/>
  <c r="K603" i="12"/>
  <c r="AS603" i="6"/>
  <c r="K604" i="12" l="1"/>
  <c r="AZ604" i="6"/>
  <c r="AM604" i="6"/>
  <c r="AO604" i="6"/>
  <c r="BA604" i="6"/>
  <c r="BE604" i="6"/>
  <c r="BD604" i="6"/>
  <c r="AQ604" i="6"/>
  <c r="BG604" i="6"/>
  <c r="AR604" i="6"/>
  <c r="AS604" i="6"/>
  <c r="AT604" i="6"/>
  <c r="AN604" i="6"/>
  <c r="BC604" i="6"/>
  <c r="BB604" i="6"/>
  <c r="AY604" i="6"/>
  <c r="AP604" i="6"/>
  <c r="AV604" i="6"/>
  <c r="BF604" i="6"/>
  <c r="AX604" i="6"/>
  <c r="AU604" i="6"/>
  <c r="N604" i="6"/>
  <c r="T604" i="5"/>
  <c r="G604" i="12" s="1"/>
  <c r="AG604" i="6"/>
  <c r="AH604" i="6"/>
  <c r="AD604" i="6"/>
  <c r="AI604" i="6"/>
  <c r="AF604" i="6"/>
  <c r="AE604" i="6"/>
  <c r="AK604" i="6"/>
  <c r="AC604" i="6"/>
  <c r="AB604" i="6"/>
  <c r="AJ604" i="6"/>
  <c r="C606" i="5"/>
  <c r="B605" i="5"/>
  <c r="F605" i="5"/>
  <c r="I605" i="5"/>
  <c r="AE605" i="5"/>
  <c r="AD605" i="5"/>
  <c r="R605" i="5"/>
  <c r="G605" i="5"/>
  <c r="K597" i="5" s="1"/>
  <c r="E605" i="5"/>
  <c r="B605" i="6"/>
  <c r="A605" i="12"/>
  <c r="H605" i="5"/>
  <c r="N605" i="5"/>
  <c r="D605" i="6" s="1"/>
  <c r="W605" i="5"/>
  <c r="H605" i="12" s="1"/>
  <c r="AP605" i="6" l="1"/>
  <c r="AM605" i="6"/>
  <c r="AT605" i="6"/>
  <c r="AO605" i="6"/>
  <c r="BF605" i="6"/>
  <c r="H605" i="6"/>
  <c r="T605" i="5" s="1"/>
  <c r="G605" i="12" s="1"/>
  <c r="AS605" i="6"/>
  <c r="BA605" i="6"/>
  <c r="BG605" i="6"/>
  <c r="AQ605" i="6"/>
  <c r="BE605" i="6"/>
  <c r="AN605" i="6"/>
  <c r="BD605" i="6"/>
  <c r="BB605" i="6"/>
  <c r="BC605" i="6"/>
  <c r="AR605" i="6"/>
  <c r="AU605" i="6"/>
  <c r="AV605" i="6"/>
  <c r="G605" i="6"/>
  <c r="N605" i="6"/>
  <c r="AZ605" i="6"/>
  <c r="AY605" i="6"/>
  <c r="M605" i="6"/>
  <c r="AX605" i="6"/>
  <c r="A605" i="6"/>
  <c r="C607" i="5"/>
  <c r="J606" i="5"/>
  <c r="F606" i="5"/>
  <c r="AD606" i="5"/>
  <c r="H606" i="5"/>
  <c r="AE606" i="5"/>
  <c r="D606" i="5"/>
  <c r="B606" i="12" s="1"/>
  <c r="G606" i="5"/>
  <c r="A606" i="12"/>
  <c r="E606" i="5"/>
  <c r="B606" i="6"/>
  <c r="B606" i="5"/>
  <c r="K606" i="5"/>
  <c r="N606" i="5"/>
  <c r="D606" i="6" s="1"/>
  <c r="H606" i="6" s="1"/>
  <c r="T606" i="5" s="1"/>
  <c r="G606" i="12" s="1"/>
  <c r="F605" i="6"/>
  <c r="E605" i="12"/>
  <c r="AD605" i="6" l="1"/>
  <c r="AC605" i="6"/>
  <c r="AB605" i="6"/>
  <c r="AE605" i="6"/>
  <c r="AJ605" i="6"/>
  <c r="AK605" i="6"/>
  <c r="AF605" i="6"/>
  <c r="AH605" i="6"/>
  <c r="H607" i="5"/>
  <c r="B607" i="6"/>
  <c r="AE607" i="5"/>
  <c r="E607" i="5"/>
  <c r="N607" i="5"/>
  <c r="D607" i="6" s="1"/>
  <c r="H607" i="6" s="1"/>
  <c r="T607" i="5" s="1"/>
  <c r="G607" i="12" s="1"/>
  <c r="B607" i="5"/>
  <c r="G607" i="5"/>
  <c r="A607" i="12"/>
  <c r="K607" i="5"/>
  <c r="F607" i="5"/>
  <c r="AD607" i="5"/>
  <c r="D607" i="5"/>
  <c r="B607" i="12" s="1"/>
  <c r="J607" i="5"/>
  <c r="J606" i="12"/>
  <c r="L606" i="12"/>
  <c r="AI605" i="6"/>
  <c r="A606" i="6"/>
  <c r="AG605" i="6"/>
  <c r="K606" i="12" l="1"/>
  <c r="M606" i="6"/>
  <c r="N606" i="6"/>
  <c r="A607" i="6"/>
  <c r="M607" i="6" s="1"/>
  <c r="AG607" i="6" s="1"/>
  <c r="J607" i="12"/>
  <c r="L607" i="12"/>
  <c r="AD607" i="6" l="1"/>
  <c r="AQ607" i="6"/>
  <c r="BB607" i="6"/>
  <c r="AK607" i="6"/>
  <c r="AB607" i="6"/>
  <c r="AS607" i="6"/>
  <c r="AO607" i="6"/>
  <c r="AM607" i="6"/>
  <c r="AZ606" i="6"/>
  <c r="AN606" i="6"/>
  <c r="AU606" i="6"/>
  <c r="AO606" i="6"/>
  <c r="AS606" i="6"/>
  <c r="AJ606" i="6"/>
  <c r="AY606" i="6"/>
  <c r="BB606" i="6"/>
  <c r="BC606" i="6"/>
  <c r="AK606" i="6"/>
  <c r="AR606" i="6"/>
  <c r="AQ606" i="6"/>
  <c r="AD606" i="6"/>
  <c r="BF606" i="6"/>
  <c r="AE606" i="6"/>
  <c r="AX606" i="6"/>
  <c r="AH606" i="6"/>
  <c r="BE606" i="6"/>
  <c r="AF606" i="6"/>
  <c r="AI606" i="6"/>
  <c r="AT606" i="6"/>
  <c r="AM606" i="6"/>
  <c r="BA606" i="6"/>
  <c r="AC606" i="6"/>
  <c r="AV606" i="6"/>
  <c r="BG606" i="6"/>
  <c r="AP606" i="6"/>
  <c r="AG606" i="6"/>
  <c r="AB606" i="6"/>
  <c r="BD606" i="6"/>
  <c r="AI607" i="6"/>
  <c r="K607" i="12"/>
  <c r="BA607" i="6"/>
  <c r="AX607" i="6"/>
  <c r="AF607" i="6"/>
  <c r="AN607" i="6"/>
  <c r="BD607" i="6"/>
  <c r="BC607" i="6"/>
  <c r="AU607" i="6"/>
  <c r="AV607" i="6"/>
  <c r="AC607" i="6"/>
  <c r="AY607" i="6"/>
  <c r="AP607" i="6"/>
  <c r="AZ607" i="6"/>
  <c r="AE607" i="6"/>
  <c r="BF607" i="6"/>
  <c r="AT607" i="6"/>
  <c r="AR607" i="6"/>
  <c r="BE607" i="6"/>
  <c r="AJ607" i="6"/>
  <c r="BG607" i="6"/>
  <c r="N607" i="6"/>
  <c r="AH607" i="6"/>
  <c r="C608" i="5" l="1"/>
  <c r="G608" i="5" l="1"/>
  <c r="N608" i="5"/>
  <c r="D608" i="6" s="1"/>
  <c r="B608" i="5"/>
  <c r="C609" i="5" s="1"/>
  <c r="B608" i="6"/>
  <c r="A608" i="6" s="1"/>
  <c r="E608" i="5"/>
  <c r="W608" i="5"/>
  <c r="H608" i="12" s="1"/>
  <c r="H608" i="5"/>
  <c r="I608" i="5"/>
  <c r="AD608" i="5"/>
  <c r="AE608" i="5"/>
  <c r="R608" i="5"/>
  <c r="F608" i="5"/>
  <c r="K487" i="5" s="1"/>
  <c r="A608" i="12"/>
  <c r="J574" i="5" l="1"/>
  <c r="D574" i="5" s="1"/>
  <c r="B574" i="12" s="1"/>
  <c r="J605" i="5"/>
  <c r="N608" i="6"/>
  <c r="BD608" i="6"/>
  <c r="AU608" i="6"/>
  <c r="M608" i="6"/>
  <c r="AT608" i="6"/>
  <c r="H608" i="6"/>
  <c r="BG608" i="6"/>
  <c r="AV608" i="6"/>
  <c r="AY608" i="6"/>
  <c r="BC608" i="6"/>
  <c r="AX608" i="6"/>
  <c r="AP608" i="6"/>
  <c r="AR608" i="6"/>
  <c r="BF608" i="6"/>
  <c r="BA608" i="6"/>
  <c r="AQ608" i="6"/>
  <c r="AO608" i="6"/>
  <c r="AM608" i="6"/>
  <c r="AN608" i="6"/>
  <c r="BB608" i="6"/>
  <c r="G608" i="6"/>
  <c r="BE608" i="6"/>
  <c r="AS608" i="6"/>
  <c r="AZ608" i="6"/>
  <c r="E608" i="12"/>
  <c r="F608" i="6"/>
  <c r="B609" i="5"/>
  <c r="W609" i="5"/>
  <c r="H609" i="12" s="1"/>
  <c r="F609" i="5"/>
  <c r="E609" i="5"/>
  <c r="N609" i="5"/>
  <c r="D609" i="6" s="1"/>
  <c r="R609" i="5"/>
  <c r="G609" i="5"/>
  <c r="AD609" i="5"/>
  <c r="I609" i="5"/>
  <c r="A609" i="12"/>
  <c r="H609" i="5"/>
  <c r="B609" i="6"/>
  <c r="C610" i="5"/>
  <c r="AE609" i="5"/>
  <c r="AG608" i="6" l="1"/>
  <c r="E609" i="12"/>
  <c r="F609" i="6"/>
  <c r="AB608" i="6"/>
  <c r="AT609" i="6"/>
  <c r="BC609" i="6"/>
  <c r="BE609" i="6"/>
  <c r="AX609" i="6"/>
  <c r="BD609" i="6"/>
  <c r="BB609" i="6"/>
  <c r="M609" i="6"/>
  <c r="AU609" i="6"/>
  <c r="AP609" i="6"/>
  <c r="AY609" i="6"/>
  <c r="AZ609" i="6"/>
  <c r="G609" i="6"/>
  <c r="BG609" i="6"/>
  <c r="BF609" i="6"/>
  <c r="AM609" i="6"/>
  <c r="AN609" i="6"/>
  <c r="N609" i="6"/>
  <c r="H609" i="6"/>
  <c r="T609" i="5" s="1"/>
  <c r="G609" i="12" s="1"/>
  <c r="AR609" i="6"/>
  <c r="AV609" i="6"/>
  <c r="AQ609" i="6"/>
  <c r="BA609" i="6"/>
  <c r="AS609" i="6"/>
  <c r="AO609" i="6"/>
  <c r="AI608" i="6"/>
  <c r="AD608" i="6"/>
  <c r="A609" i="6"/>
  <c r="AE608" i="6"/>
  <c r="F610" i="5"/>
  <c r="B610" i="6"/>
  <c r="AD610" i="5"/>
  <c r="H610" i="5"/>
  <c r="A610" i="12"/>
  <c r="N610" i="5"/>
  <c r="D610" i="6" s="1"/>
  <c r="AE610" i="5"/>
  <c r="G610" i="5"/>
  <c r="J610" i="5"/>
  <c r="D610" i="5"/>
  <c r="B610" i="12" s="1"/>
  <c r="C611" i="5"/>
  <c r="B610" i="5"/>
  <c r="K610" i="5"/>
  <c r="E610" i="5"/>
  <c r="AK608" i="6"/>
  <c r="T608" i="5"/>
  <c r="G608" i="12" s="1"/>
  <c r="AF608" i="6"/>
  <c r="AH608" i="6"/>
  <c r="AJ608" i="6"/>
  <c r="AC608" i="6"/>
  <c r="AK609" i="6" l="1"/>
  <c r="AD609" i="6"/>
  <c r="AC609" i="6"/>
  <c r="AG609" i="6"/>
  <c r="AJ609" i="6"/>
  <c r="AF609" i="6"/>
  <c r="AI609" i="6"/>
  <c r="AB609" i="6"/>
  <c r="H610" i="6"/>
  <c r="J610" i="12"/>
  <c r="L610" i="12"/>
  <c r="F611" i="5"/>
  <c r="AE611" i="5"/>
  <c r="AD611" i="5"/>
  <c r="K611" i="5"/>
  <c r="C612" i="5"/>
  <c r="B611" i="5"/>
  <c r="B611" i="6"/>
  <c r="J611" i="5"/>
  <c r="N611" i="5"/>
  <c r="D611" i="6" s="1"/>
  <c r="H611" i="6" s="1"/>
  <c r="T611" i="5" s="1"/>
  <c r="G611" i="12" s="1"/>
  <c r="H611" i="5"/>
  <c r="E611" i="5"/>
  <c r="A611" i="12"/>
  <c r="D611" i="5"/>
  <c r="B611" i="12" s="1"/>
  <c r="G611" i="5"/>
  <c r="A610" i="6"/>
  <c r="N610" i="6" s="1"/>
  <c r="AE609" i="6"/>
  <c r="AH609" i="6"/>
  <c r="K610" i="12" l="1"/>
  <c r="A611" i="6"/>
  <c r="N611" i="6" s="1"/>
  <c r="B612" i="5"/>
  <c r="F612" i="5"/>
  <c r="A612" i="12"/>
  <c r="K612" i="5"/>
  <c r="AE612" i="5"/>
  <c r="D612" i="5"/>
  <c r="B612" i="12" s="1"/>
  <c r="C613" i="5"/>
  <c r="AD612" i="5"/>
  <c r="B612" i="6"/>
  <c r="G612" i="5"/>
  <c r="J612" i="5"/>
  <c r="N612" i="5"/>
  <c r="D612" i="6" s="1"/>
  <c r="H612" i="6" s="1"/>
  <c r="T612" i="5" s="1"/>
  <c r="G612" i="12" s="1"/>
  <c r="E612" i="5"/>
  <c r="H612" i="5"/>
  <c r="J611" i="12"/>
  <c r="L611" i="12"/>
  <c r="M610" i="6"/>
  <c r="AF610" i="6" s="1"/>
  <c r="T610" i="5"/>
  <c r="G610" i="12" s="1"/>
  <c r="AD610" i="6" l="1"/>
  <c r="AD613" i="5"/>
  <c r="E613" i="5"/>
  <c r="H613" i="5"/>
  <c r="A613" i="12"/>
  <c r="N613" i="5"/>
  <c r="D613" i="6" s="1"/>
  <c r="H613" i="6" s="1"/>
  <c r="T613" i="5" s="1"/>
  <c r="G613" i="12" s="1"/>
  <c r="C614" i="5"/>
  <c r="AE613" i="5"/>
  <c r="F613" i="5"/>
  <c r="B613" i="5"/>
  <c r="B613" i="6"/>
  <c r="D613" i="5"/>
  <c r="B613" i="12" s="1"/>
  <c r="G613" i="5"/>
  <c r="K613" i="5"/>
  <c r="J613" i="5"/>
  <c r="AB610" i="6"/>
  <c r="AC610" i="6"/>
  <c r="AK610" i="6"/>
  <c r="AG610" i="6"/>
  <c r="J612" i="12"/>
  <c r="L612" i="12"/>
  <c r="BA610" i="6"/>
  <c r="BC610" i="6"/>
  <c r="BF610" i="6"/>
  <c r="AP610" i="6"/>
  <c r="AV610" i="6"/>
  <c r="AS610" i="6"/>
  <c r="AZ610" i="6"/>
  <c r="AO610" i="6"/>
  <c r="AN610" i="6"/>
  <c r="AT610" i="6"/>
  <c r="AR610" i="6"/>
  <c r="AQ610" i="6"/>
  <c r="AX610" i="6"/>
  <c r="BB610" i="6"/>
  <c r="AE610" i="6"/>
  <c r="AU610" i="6"/>
  <c r="BD610" i="6"/>
  <c r="AY610" i="6"/>
  <c r="BG610" i="6"/>
  <c r="AH610" i="6"/>
  <c r="AM610" i="6"/>
  <c r="BE610" i="6"/>
  <c r="M611" i="6"/>
  <c r="A612" i="6"/>
  <c r="M612" i="6" s="1"/>
  <c r="AJ612" i="6" s="1"/>
  <c r="AI610" i="6"/>
  <c r="AJ610" i="6"/>
  <c r="K611" i="12"/>
  <c r="A614" i="12" l="1"/>
  <c r="B614" i="5"/>
  <c r="G614" i="5"/>
  <c r="H614" i="5"/>
  <c r="J614" i="5"/>
  <c r="D614" i="5"/>
  <c r="B614" i="12" s="1"/>
  <c r="C615" i="5"/>
  <c r="AE614" i="5"/>
  <c r="B614" i="6"/>
  <c r="K614" i="5"/>
  <c r="E614" i="5"/>
  <c r="F614" i="5"/>
  <c r="AD614" i="5"/>
  <c r="N614" i="5"/>
  <c r="D614" i="6" s="1"/>
  <c r="H614" i="6" s="1"/>
  <c r="T614" i="5" s="1"/>
  <c r="G614" i="12" s="1"/>
  <c r="AY611" i="6"/>
  <c r="AM611" i="6"/>
  <c r="AT611" i="6"/>
  <c r="AI611" i="6"/>
  <c r="AX611" i="6"/>
  <c r="AD611" i="6"/>
  <c r="AU611" i="6"/>
  <c r="AF611" i="6"/>
  <c r="BA611" i="6"/>
  <c r="AJ611" i="6"/>
  <c r="AH611" i="6"/>
  <c r="AS611" i="6"/>
  <c r="AV611" i="6"/>
  <c r="BD611" i="6"/>
  <c r="AZ611" i="6"/>
  <c r="BG611" i="6"/>
  <c r="AN611" i="6"/>
  <c r="AK611" i="6"/>
  <c r="BF611" i="6"/>
  <c r="BC611" i="6"/>
  <c r="BE611" i="6"/>
  <c r="AC611" i="6"/>
  <c r="AE611" i="6"/>
  <c r="AB611" i="6"/>
  <c r="BB611" i="6"/>
  <c r="AO611" i="6"/>
  <c r="AG611" i="6"/>
  <c r="AQ611" i="6"/>
  <c r="AR611" i="6"/>
  <c r="AP611" i="6"/>
  <c r="J613" i="12"/>
  <c r="L613" i="12"/>
  <c r="AG612" i="6"/>
  <c r="A613" i="6"/>
  <c r="N612" i="6"/>
  <c r="BA612" i="6"/>
  <c r="AF612" i="6"/>
  <c r="AQ612" i="6"/>
  <c r="AE612" i="6"/>
  <c r="BF612" i="6"/>
  <c r="AI612" i="6"/>
  <c r="AO612" i="6"/>
  <c r="AP612" i="6"/>
  <c r="AM612" i="6"/>
  <c r="AT612" i="6"/>
  <c r="AS612" i="6"/>
  <c r="AU612" i="6"/>
  <c r="BE612" i="6"/>
  <c r="BC612" i="6"/>
  <c r="BG612" i="6"/>
  <c r="AB612" i="6"/>
  <c r="AR612" i="6"/>
  <c r="AH612" i="6"/>
  <c r="AX612" i="6"/>
  <c r="AZ612" i="6"/>
  <c r="AV612" i="6"/>
  <c r="AD612" i="6"/>
  <c r="BD612" i="6"/>
  <c r="AK612" i="6"/>
  <c r="AN612" i="6"/>
  <c r="AC612" i="6"/>
  <c r="BB612" i="6"/>
  <c r="K612" i="12"/>
  <c r="AY612" i="6"/>
  <c r="K613" i="12" l="1"/>
  <c r="AE615" i="5"/>
  <c r="K615" i="5"/>
  <c r="N615" i="5"/>
  <c r="D615" i="6" s="1"/>
  <c r="H615" i="6" s="1"/>
  <c r="T615" i="5" s="1"/>
  <c r="G615" i="12" s="1"/>
  <c r="J615" i="5"/>
  <c r="B615" i="6"/>
  <c r="B615" i="5"/>
  <c r="F615" i="5"/>
  <c r="A615" i="12"/>
  <c r="AD615" i="5"/>
  <c r="G615" i="5"/>
  <c r="C616" i="5"/>
  <c r="E615" i="5"/>
  <c r="D615" i="5"/>
  <c r="B615" i="12" s="1"/>
  <c r="H615" i="5"/>
  <c r="M613" i="6"/>
  <c r="N613" i="6"/>
  <c r="A614" i="6"/>
  <c r="J614" i="12"/>
  <c r="L614" i="12"/>
  <c r="K614" i="12" l="1"/>
  <c r="A615" i="6"/>
  <c r="N615" i="6" s="1"/>
  <c r="AB613" i="6"/>
  <c r="AP613" i="6"/>
  <c r="AM613" i="6"/>
  <c r="AE613" i="6"/>
  <c r="AF613" i="6"/>
  <c r="BB613" i="6"/>
  <c r="AU613" i="6"/>
  <c r="AD613" i="6"/>
  <c r="AJ613" i="6"/>
  <c r="AV613" i="6"/>
  <c r="AG613" i="6"/>
  <c r="BG613" i="6"/>
  <c r="AT613" i="6"/>
  <c r="AR613" i="6"/>
  <c r="BF613" i="6"/>
  <c r="AK613" i="6"/>
  <c r="AY613" i="6"/>
  <c r="AO613" i="6"/>
  <c r="AZ613" i="6"/>
  <c r="AX613" i="6"/>
  <c r="BC613" i="6"/>
  <c r="BA613" i="6"/>
  <c r="AS613" i="6"/>
  <c r="AI613" i="6"/>
  <c r="AH613" i="6"/>
  <c r="AN613" i="6"/>
  <c r="BD613" i="6"/>
  <c r="AQ613" i="6"/>
  <c r="BE613" i="6"/>
  <c r="AC613" i="6"/>
  <c r="J615" i="12"/>
  <c r="L615" i="12"/>
  <c r="F616" i="5"/>
  <c r="AD616" i="5"/>
  <c r="C617" i="5"/>
  <c r="K616" i="5"/>
  <c r="G616" i="5"/>
  <c r="AE616" i="5"/>
  <c r="H616" i="5"/>
  <c r="B616" i="5"/>
  <c r="D616" i="5"/>
  <c r="B616" i="12" s="1"/>
  <c r="N616" i="5"/>
  <c r="D616" i="6" s="1"/>
  <c r="E616" i="5"/>
  <c r="B616" i="6"/>
  <c r="J616" i="5"/>
  <c r="A616" i="12"/>
  <c r="N614" i="6"/>
  <c r="M614" i="6"/>
  <c r="M615" i="6" l="1"/>
  <c r="AY615" i="6" s="1"/>
  <c r="K615" i="12"/>
  <c r="A616" i="6"/>
  <c r="N616" i="6" s="1"/>
  <c r="J616" i="12"/>
  <c r="L616" i="12"/>
  <c r="A617" i="12"/>
  <c r="F617" i="5"/>
  <c r="H617" i="5"/>
  <c r="B617" i="6"/>
  <c r="AD617" i="5"/>
  <c r="E617" i="5"/>
  <c r="AE617" i="5"/>
  <c r="N617" i="5"/>
  <c r="D617" i="6" s="1"/>
  <c r="H617" i="6" s="1"/>
  <c r="T617" i="5" s="1"/>
  <c r="G617" i="12" s="1"/>
  <c r="B617" i="5"/>
  <c r="D617" i="5"/>
  <c r="B617" i="12" s="1"/>
  <c r="K617" i="5"/>
  <c r="G617" i="5"/>
  <c r="J617" i="5"/>
  <c r="H616" i="6"/>
  <c r="AE614" i="6"/>
  <c r="AK614" i="6"/>
  <c r="BG614" i="6"/>
  <c r="AP614" i="6"/>
  <c r="AF614" i="6"/>
  <c r="AH614" i="6"/>
  <c r="AU614" i="6"/>
  <c r="AZ614" i="6"/>
  <c r="AO614" i="6"/>
  <c r="AN614" i="6"/>
  <c r="AM614" i="6"/>
  <c r="AD614" i="6"/>
  <c r="BC614" i="6"/>
  <c r="BF614" i="6"/>
  <c r="AY614" i="6"/>
  <c r="BA614" i="6"/>
  <c r="AR614" i="6"/>
  <c r="BD614" i="6"/>
  <c r="BB614" i="6"/>
  <c r="AG614" i="6"/>
  <c r="AV614" i="6"/>
  <c r="AJ614" i="6"/>
  <c r="AB614" i="6"/>
  <c r="AC614" i="6"/>
  <c r="BE614" i="6"/>
  <c r="AQ614" i="6"/>
  <c r="AT614" i="6"/>
  <c r="AI614" i="6"/>
  <c r="AX614" i="6"/>
  <c r="AS614" i="6"/>
  <c r="M616" i="6" l="1"/>
  <c r="BD616" i="6" s="1"/>
  <c r="AH615" i="6"/>
  <c r="BE615" i="6"/>
  <c r="AM615" i="6"/>
  <c r="BA615" i="6"/>
  <c r="AJ615" i="6"/>
  <c r="BC615" i="6"/>
  <c r="BB615" i="6"/>
  <c r="BD615" i="6"/>
  <c r="AF615" i="6"/>
  <c r="AE615" i="6"/>
  <c r="AR615" i="6"/>
  <c r="AC615" i="6"/>
  <c r="AX615" i="6"/>
  <c r="AD615" i="6"/>
  <c r="AO615" i="6"/>
  <c r="AZ615" i="6"/>
  <c r="AQ615" i="6"/>
  <c r="AI615" i="6"/>
  <c r="AN615" i="6"/>
  <c r="AT615" i="6"/>
  <c r="AK615" i="6"/>
  <c r="AV615" i="6"/>
  <c r="BF615" i="6"/>
  <c r="BG615" i="6"/>
  <c r="AS615" i="6"/>
  <c r="AU615" i="6"/>
  <c r="AP615" i="6"/>
  <c r="AG615" i="6"/>
  <c r="AB615" i="6"/>
  <c r="K616" i="12"/>
  <c r="T616" i="5"/>
  <c r="G616" i="12" s="1"/>
  <c r="L617" i="12"/>
  <c r="J617" i="12"/>
  <c r="C618" i="5"/>
  <c r="A617" i="6"/>
  <c r="BF616" i="6" l="1"/>
  <c r="BB616" i="6"/>
  <c r="AE616" i="6"/>
  <c r="AT616" i="6"/>
  <c r="BA616" i="6"/>
  <c r="AB616" i="6"/>
  <c r="AS616" i="6"/>
  <c r="AJ616" i="6"/>
  <c r="AH616" i="6"/>
  <c r="AP616" i="6"/>
  <c r="AQ616" i="6"/>
  <c r="AM616" i="6"/>
  <c r="AI616" i="6"/>
  <c r="AO616" i="6"/>
  <c r="BG616" i="6"/>
  <c r="AK616" i="6"/>
  <c r="AV616" i="6"/>
  <c r="AC616" i="6"/>
  <c r="AZ616" i="6"/>
  <c r="AY616" i="6"/>
  <c r="AN616" i="6"/>
  <c r="AD616" i="6"/>
  <c r="AR616" i="6"/>
  <c r="BE616" i="6"/>
  <c r="AF616" i="6"/>
  <c r="AU616" i="6"/>
  <c r="BC616" i="6"/>
  <c r="AG616" i="6"/>
  <c r="AX616" i="6"/>
  <c r="K617" i="12"/>
  <c r="B618" i="5"/>
  <c r="G618" i="5"/>
  <c r="B618" i="6"/>
  <c r="AE618" i="5"/>
  <c r="H618" i="5"/>
  <c r="AD618" i="5"/>
  <c r="C619" i="5"/>
  <c r="W618" i="5"/>
  <c r="H618" i="12" s="1"/>
  <c r="E618" i="5"/>
  <c r="I618" i="5"/>
  <c r="A618" i="12"/>
  <c r="R618" i="5"/>
  <c r="F618" i="5"/>
  <c r="N618" i="5"/>
  <c r="D618" i="6" s="1"/>
  <c r="M617" i="6"/>
  <c r="N617" i="6"/>
  <c r="D619" i="5" l="1"/>
  <c r="B619" i="12" s="1"/>
  <c r="N619" i="5"/>
  <c r="D619" i="6" s="1"/>
  <c r="H619" i="6" s="1"/>
  <c r="T619" i="5" s="1"/>
  <c r="G619" i="12" s="1"/>
  <c r="E619" i="5"/>
  <c r="G619" i="5"/>
  <c r="A619" i="12"/>
  <c r="C620" i="5"/>
  <c r="AD619" i="5"/>
  <c r="B619" i="6"/>
  <c r="J619" i="5"/>
  <c r="H619" i="5"/>
  <c r="K619" i="5"/>
  <c r="B619" i="5"/>
  <c r="F619" i="5"/>
  <c r="AE619" i="5"/>
  <c r="AP618" i="6"/>
  <c r="AR618" i="6"/>
  <c r="AU618" i="6"/>
  <c r="AN618" i="6"/>
  <c r="AO618" i="6"/>
  <c r="H618" i="6"/>
  <c r="AZ618" i="6"/>
  <c r="AS618" i="6"/>
  <c r="BB618" i="6"/>
  <c r="BC618" i="6"/>
  <c r="AY618" i="6"/>
  <c r="AT618" i="6"/>
  <c r="BD618" i="6"/>
  <c r="M618" i="6"/>
  <c r="G618" i="6"/>
  <c r="BG618" i="6"/>
  <c r="AM618" i="6"/>
  <c r="N618" i="6"/>
  <c r="BF618" i="6"/>
  <c r="AX618" i="6"/>
  <c r="AQ618" i="6"/>
  <c r="BA618" i="6"/>
  <c r="AV618" i="6"/>
  <c r="BE618" i="6"/>
  <c r="E618" i="12"/>
  <c r="F618" i="6"/>
  <c r="A618" i="6"/>
  <c r="AT617" i="6"/>
  <c r="BA617" i="6"/>
  <c r="AG617" i="6"/>
  <c r="AP617" i="6"/>
  <c r="AN617" i="6"/>
  <c r="AE617" i="6"/>
  <c r="BD617" i="6"/>
  <c r="AH617" i="6"/>
  <c r="AK617" i="6"/>
  <c r="BB617" i="6"/>
  <c r="AQ617" i="6"/>
  <c r="AU617" i="6"/>
  <c r="AX617" i="6"/>
  <c r="AY617" i="6"/>
  <c r="AF617" i="6"/>
  <c r="AO617" i="6"/>
  <c r="AM617" i="6"/>
  <c r="BE617" i="6"/>
  <c r="AJ617" i="6"/>
  <c r="AR617" i="6"/>
  <c r="AS617" i="6"/>
  <c r="BF617" i="6"/>
  <c r="BC617" i="6"/>
  <c r="AI617" i="6"/>
  <c r="AZ617" i="6"/>
  <c r="AD617" i="6"/>
  <c r="BG617" i="6"/>
  <c r="AV617" i="6"/>
  <c r="AC617" i="6"/>
  <c r="AB617" i="6"/>
  <c r="AE618" i="6" l="1"/>
  <c r="AE620" i="5"/>
  <c r="B620" i="6"/>
  <c r="K620" i="5"/>
  <c r="AD620" i="5"/>
  <c r="F620" i="5"/>
  <c r="G620" i="5"/>
  <c r="C621" i="5"/>
  <c r="E620" i="5"/>
  <c r="B620" i="5"/>
  <c r="N620" i="5"/>
  <c r="D620" i="6" s="1"/>
  <c r="H620" i="6" s="1"/>
  <c r="T620" i="5" s="1"/>
  <c r="G620" i="12" s="1"/>
  <c r="J620" i="5"/>
  <c r="A620" i="12"/>
  <c r="H620" i="5"/>
  <c r="D620" i="5"/>
  <c r="B620" i="12" s="1"/>
  <c r="L619" i="12"/>
  <c r="J619" i="12"/>
  <c r="AB618" i="6"/>
  <c r="AD618" i="6"/>
  <c r="AK618" i="6"/>
  <c r="AI618" i="6"/>
  <c r="AF618" i="6"/>
  <c r="T618" i="5"/>
  <c r="G618" i="12" s="1"/>
  <c r="AC618" i="6"/>
  <c r="AH618" i="6"/>
  <c r="AJ618" i="6"/>
  <c r="A619" i="6"/>
  <c r="AG618" i="6"/>
  <c r="K619" i="12" l="1"/>
  <c r="F621" i="5"/>
  <c r="D621" i="5"/>
  <c r="B621" i="12" s="1"/>
  <c r="A621" i="12"/>
  <c r="AE621" i="5"/>
  <c r="AD621" i="5"/>
  <c r="K621" i="5"/>
  <c r="B621" i="5"/>
  <c r="B621" i="6"/>
  <c r="H621" i="5"/>
  <c r="N621" i="5"/>
  <c r="D621" i="6" s="1"/>
  <c r="H621" i="6" s="1"/>
  <c r="T621" i="5" s="1"/>
  <c r="G621" i="12" s="1"/>
  <c r="C622" i="5"/>
  <c r="G621" i="5"/>
  <c r="J621" i="5"/>
  <c r="E621" i="5"/>
  <c r="L620" i="12"/>
  <c r="J620" i="12"/>
  <c r="M619" i="6"/>
  <c r="N619" i="6"/>
  <c r="A620" i="6"/>
  <c r="A621" i="6" l="1"/>
  <c r="N621" i="6" s="1"/>
  <c r="K620" i="12"/>
  <c r="M620" i="6"/>
  <c r="N620" i="6"/>
  <c r="C623" i="5"/>
  <c r="A622" i="12"/>
  <c r="AE622" i="5"/>
  <c r="N622" i="5"/>
  <c r="D622" i="6" s="1"/>
  <c r="B622" i="5"/>
  <c r="AD622" i="5"/>
  <c r="J622" i="5"/>
  <c r="D622" i="5"/>
  <c r="B622" i="12" s="1"/>
  <c r="H622" i="5"/>
  <c r="E622" i="5"/>
  <c r="B622" i="6"/>
  <c r="F622" i="5"/>
  <c r="K622" i="5"/>
  <c r="G622" i="5"/>
  <c r="L621" i="12"/>
  <c r="J621" i="12"/>
  <c r="AZ619" i="6"/>
  <c r="AC619" i="6"/>
  <c r="AV619" i="6"/>
  <c r="AB619" i="6"/>
  <c r="AT619" i="6"/>
  <c r="BB619" i="6"/>
  <c r="AS619" i="6"/>
  <c r="AI619" i="6"/>
  <c r="AR619" i="6"/>
  <c r="AE619" i="6"/>
  <c r="BF619" i="6"/>
  <c r="AQ619" i="6"/>
  <c r="AK619" i="6"/>
  <c r="BE619" i="6"/>
  <c r="AD619" i="6"/>
  <c r="AJ619" i="6"/>
  <c r="AN619" i="6"/>
  <c r="AU619" i="6"/>
  <c r="AF619" i="6"/>
  <c r="AO619" i="6"/>
  <c r="AX619" i="6"/>
  <c r="AP619" i="6"/>
  <c r="BC619" i="6"/>
  <c r="AM619" i="6"/>
  <c r="AY619" i="6"/>
  <c r="BA619" i="6"/>
  <c r="AG619" i="6"/>
  <c r="BD619" i="6"/>
  <c r="BG619" i="6"/>
  <c r="AH619" i="6"/>
  <c r="K621" i="12" l="1"/>
  <c r="A622" i="6"/>
  <c r="M622" i="6" s="1"/>
  <c r="BE622" i="6" s="1"/>
  <c r="M621" i="6"/>
  <c r="AE621" i="6" s="1"/>
  <c r="J622" i="12"/>
  <c r="L622" i="12"/>
  <c r="J623" i="5"/>
  <c r="F623" i="5"/>
  <c r="B623" i="6"/>
  <c r="N623" i="5"/>
  <c r="D623" i="6" s="1"/>
  <c r="H623" i="6" s="1"/>
  <c r="T623" i="5" s="1"/>
  <c r="G623" i="12" s="1"/>
  <c r="C624" i="5"/>
  <c r="K623" i="5"/>
  <c r="E623" i="5"/>
  <c r="G623" i="5"/>
  <c r="AE623" i="5"/>
  <c r="B623" i="5"/>
  <c r="H623" i="5"/>
  <c r="D623" i="5"/>
  <c r="B623" i="12" s="1"/>
  <c r="A623" i="12"/>
  <c r="AD623" i="5"/>
  <c r="BA620" i="6"/>
  <c r="AU620" i="6"/>
  <c r="AV620" i="6"/>
  <c r="AE620" i="6"/>
  <c r="BF620" i="6"/>
  <c r="AY620" i="6"/>
  <c r="AO620" i="6"/>
  <c r="AZ620" i="6"/>
  <c r="AF620" i="6"/>
  <c r="AJ620" i="6"/>
  <c r="AX620" i="6"/>
  <c r="BC620" i="6"/>
  <c r="AR620" i="6"/>
  <c r="AG620" i="6"/>
  <c r="BG620" i="6"/>
  <c r="AT620" i="6"/>
  <c r="AN620" i="6"/>
  <c r="BE620" i="6"/>
  <c r="AP620" i="6"/>
  <c r="BD620" i="6"/>
  <c r="AI620" i="6"/>
  <c r="AQ620" i="6"/>
  <c r="AD620" i="6"/>
  <c r="AK620" i="6"/>
  <c r="AH620" i="6"/>
  <c r="AC620" i="6"/>
  <c r="AB620" i="6"/>
  <c r="BB620" i="6"/>
  <c r="AM620" i="6"/>
  <c r="AS620" i="6"/>
  <c r="H622" i="6"/>
  <c r="AY622" i="6" l="1"/>
  <c r="AU622" i="6"/>
  <c r="AV622" i="6"/>
  <c r="AQ622" i="6"/>
  <c r="AS622" i="6"/>
  <c r="BA622" i="6"/>
  <c r="AR622" i="6"/>
  <c r="AO622" i="6"/>
  <c r="BC622" i="6"/>
  <c r="AN622" i="6"/>
  <c r="AM622" i="6"/>
  <c r="AK621" i="6"/>
  <c r="BB621" i="6"/>
  <c r="AB621" i="6"/>
  <c r="AV621" i="6"/>
  <c r="BG621" i="6"/>
  <c r="AR621" i="6"/>
  <c r="AI621" i="6"/>
  <c r="AQ621" i="6"/>
  <c r="BA621" i="6"/>
  <c r="AC621" i="6"/>
  <c r="AU621" i="6"/>
  <c r="BF621" i="6"/>
  <c r="K622" i="12"/>
  <c r="AT622" i="6"/>
  <c r="AX622" i="6"/>
  <c r="BG622" i="6"/>
  <c r="BF622" i="6"/>
  <c r="AZ622" i="6"/>
  <c r="BB622" i="6"/>
  <c r="N622" i="6"/>
  <c r="BD622" i="6"/>
  <c r="AP622" i="6"/>
  <c r="AO621" i="6"/>
  <c r="AF621" i="6"/>
  <c r="AY621" i="6"/>
  <c r="BD621" i="6"/>
  <c r="AG621" i="6"/>
  <c r="AP621" i="6"/>
  <c r="AT621" i="6"/>
  <c r="BC621" i="6"/>
  <c r="AJ621" i="6"/>
  <c r="BE621" i="6"/>
  <c r="AN621" i="6"/>
  <c r="AM621" i="6"/>
  <c r="AX621" i="6"/>
  <c r="AH621" i="6"/>
  <c r="AD621" i="6"/>
  <c r="AZ621" i="6"/>
  <c r="AS621" i="6"/>
  <c r="T622" i="5"/>
  <c r="G622" i="12" s="1"/>
  <c r="AD622" i="6"/>
  <c r="AI622" i="6"/>
  <c r="AE622" i="6"/>
  <c r="AH622" i="6"/>
  <c r="AF622" i="6"/>
  <c r="AK622" i="6"/>
  <c r="AJ622" i="6"/>
  <c r="AB622" i="6"/>
  <c r="AC622" i="6"/>
  <c r="AG622" i="6"/>
  <c r="J623" i="12"/>
  <c r="L623" i="12"/>
  <c r="AE624" i="5"/>
  <c r="J624" i="5"/>
  <c r="F624" i="5"/>
  <c r="E624" i="5"/>
  <c r="B624" i="5"/>
  <c r="A624" i="12"/>
  <c r="H624" i="5"/>
  <c r="N624" i="5"/>
  <c r="D624" i="6" s="1"/>
  <c r="H624" i="6" s="1"/>
  <c r="T624" i="5" s="1"/>
  <c r="G624" i="12" s="1"/>
  <c r="K624" i="5"/>
  <c r="G624" i="5"/>
  <c r="D624" i="5"/>
  <c r="B624" i="12" s="1"/>
  <c r="B624" i="6"/>
  <c r="AD624" i="5"/>
  <c r="C625" i="5"/>
  <c r="A623" i="6"/>
  <c r="K623" i="12" l="1"/>
  <c r="N623" i="6"/>
  <c r="M623" i="6"/>
  <c r="AD625" i="5"/>
  <c r="G625" i="5"/>
  <c r="N625" i="5"/>
  <c r="D625" i="6" s="1"/>
  <c r="H625" i="6" s="1"/>
  <c r="T625" i="5" s="1"/>
  <c r="G625" i="12" s="1"/>
  <c r="K625" i="5"/>
  <c r="D625" i="5"/>
  <c r="B625" i="12" s="1"/>
  <c r="F625" i="5"/>
  <c r="E625" i="5"/>
  <c r="B625" i="5"/>
  <c r="C626" i="5" s="1"/>
  <c r="AE625" i="5"/>
  <c r="B625" i="6"/>
  <c r="J625" i="5"/>
  <c r="H625" i="5"/>
  <c r="A625" i="12"/>
  <c r="J624" i="12"/>
  <c r="L624" i="12"/>
  <c r="A624" i="6"/>
  <c r="M624" i="6" s="1"/>
  <c r="AU624" i="6" s="1"/>
  <c r="K624" i="12" l="1"/>
  <c r="BA624" i="6"/>
  <c r="AY624" i="6"/>
  <c r="AJ623" i="6"/>
  <c r="AC623" i="6"/>
  <c r="AT623" i="6"/>
  <c r="BB623" i="6"/>
  <c r="AX623" i="6"/>
  <c r="AK623" i="6"/>
  <c r="BE623" i="6"/>
  <c r="BA623" i="6"/>
  <c r="AU623" i="6"/>
  <c r="AH623" i="6"/>
  <c r="AR623" i="6"/>
  <c r="AZ623" i="6"/>
  <c r="AF623" i="6"/>
  <c r="AP623" i="6"/>
  <c r="AO623" i="6"/>
  <c r="AY623" i="6"/>
  <c r="AI623" i="6"/>
  <c r="AE623" i="6"/>
  <c r="AB623" i="6"/>
  <c r="AN623" i="6"/>
  <c r="AS623" i="6"/>
  <c r="BG623" i="6"/>
  <c r="AV623" i="6"/>
  <c r="AQ623" i="6"/>
  <c r="AD623" i="6"/>
  <c r="AG623" i="6"/>
  <c r="BC623" i="6"/>
  <c r="AM623" i="6"/>
  <c r="BD623" i="6"/>
  <c r="BF623" i="6"/>
  <c r="AJ624" i="6"/>
  <c r="BG624" i="6"/>
  <c r="AV624" i="6"/>
  <c r="AB624" i="6"/>
  <c r="A625" i="6"/>
  <c r="AX624" i="6"/>
  <c r="BE624" i="6"/>
  <c r="BC624" i="6"/>
  <c r="AS624" i="6"/>
  <c r="AI624" i="6"/>
  <c r="AM624" i="6"/>
  <c r="AO624" i="6"/>
  <c r="AN624" i="6"/>
  <c r="AP624" i="6"/>
  <c r="AD624" i="6"/>
  <c r="AE624" i="6"/>
  <c r="A626" i="12"/>
  <c r="AE626" i="5"/>
  <c r="G626" i="5"/>
  <c r="H626" i="5"/>
  <c r="N626" i="5"/>
  <c r="D626" i="6" s="1"/>
  <c r="E626" i="5"/>
  <c r="B626" i="5"/>
  <c r="C627" i="5"/>
  <c r="B626" i="6"/>
  <c r="R626" i="5"/>
  <c r="I626" i="5"/>
  <c r="W626" i="5"/>
  <c r="H626" i="12" s="1"/>
  <c r="AD626" i="5"/>
  <c r="F626" i="5"/>
  <c r="AQ624" i="6"/>
  <c r="AZ624" i="6"/>
  <c r="BB624" i="6"/>
  <c r="BF624" i="6"/>
  <c r="AH624" i="6"/>
  <c r="AF624" i="6"/>
  <c r="AR624" i="6"/>
  <c r="BD624" i="6"/>
  <c r="AT624" i="6"/>
  <c r="L625" i="12"/>
  <c r="J625" i="12"/>
  <c r="AG624" i="6"/>
  <c r="AK624" i="6"/>
  <c r="N624" i="6"/>
  <c r="AC624" i="6"/>
  <c r="AM626" i="6" l="1"/>
  <c r="AP626" i="6"/>
  <c r="AY626" i="6"/>
  <c r="BG626" i="6"/>
  <c r="AT626" i="6"/>
  <c r="M626" i="6"/>
  <c r="AX626" i="6"/>
  <c r="AS626" i="6"/>
  <c r="BB626" i="6"/>
  <c r="AQ626" i="6"/>
  <c r="BC626" i="6"/>
  <c r="BA626" i="6"/>
  <c r="BE626" i="6"/>
  <c r="AZ626" i="6"/>
  <c r="G626" i="6"/>
  <c r="AR626" i="6"/>
  <c r="H626" i="6"/>
  <c r="BF626" i="6"/>
  <c r="AO626" i="6"/>
  <c r="AN626" i="6"/>
  <c r="BD626" i="6"/>
  <c r="N626" i="6"/>
  <c r="AV626" i="6"/>
  <c r="AU626" i="6"/>
  <c r="N625" i="6"/>
  <c r="M625" i="6"/>
  <c r="E626" i="12"/>
  <c r="F626" i="6"/>
  <c r="A626" i="6"/>
  <c r="K625" i="12"/>
  <c r="AE627" i="5"/>
  <c r="J627" i="5"/>
  <c r="H627" i="5"/>
  <c r="G627" i="5"/>
  <c r="D627" i="5"/>
  <c r="B627" i="12" s="1"/>
  <c r="A627" i="12"/>
  <c r="E627" i="5"/>
  <c r="K627" i="5"/>
  <c r="C628" i="5"/>
  <c r="N627" i="5"/>
  <c r="D627" i="6" s="1"/>
  <c r="H627" i="6" s="1"/>
  <c r="T627" i="5" s="1"/>
  <c r="G627" i="12" s="1"/>
  <c r="AD627" i="5"/>
  <c r="B627" i="5"/>
  <c r="B627" i="6"/>
  <c r="F627" i="5"/>
  <c r="AK626" i="6" l="1"/>
  <c r="AB626" i="6"/>
  <c r="A627" i="6"/>
  <c r="M627" i="6" s="1"/>
  <c r="BB627" i="6" s="1"/>
  <c r="AJ626" i="6"/>
  <c r="AH626" i="6"/>
  <c r="AG625" i="6"/>
  <c r="AB625" i="6"/>
  <c r="AE625" i="6"/>
  <c r="BG625" i="6"/>
  <c r="AQ625" i="6"/>
  <c r="AX625" i="6"/>
  <c r="BF625" i="6"/>
  <c r="AU625" i="6"/>
  <c r="AR625" i="6"/>
  <c r="BA625" i="6"/>
  <c r="AF625" i="6"/>
  <c r="AD625" i="6"/>
  <c r="BB625" i="6"/>
  <c r="AK625" i="6"/>
  <c r="AH625" i="6"/>
  <c r="AP625" i="6"/>
  <c r="AO625" i="6"/>
  <c r="BC625" i="6"/>
  <c r="AC625" i="6"/>
  <c r="AN625" i="6"/>
  <c r="AT625" i="6"/>
  <c r="AV625" i="6"/>
  <c r="AZ625" i="6"/>
  <c r="AM625" i="6"/>
  <c r="BD625" i="6"/>
  <c r="AI625" i="6"/>
  <c r="AY625" i="6"/>
  <c r="AS625" i="6"/>
  <c r="AJ625" i="6"/>
  <c r="BE625" i="6"/>
  <c r="F628" i="5"/>
  <c r="AE628" i="5"/>
  <c r="H628" i="5"/>
  <c r="J628" i="5"/>
  <c r="G628" i="5"/>
  <c r="AD628" i="5"/>
  <c r="E628" i="5"/>
  <c r="N628" i="5"/>
  <c r="D628" i="6" s="1"/>
  <c r="H628" i="6" s="1"/>
  <c r="T628" i="5" s="1"/>
  <c r="G628" i="12" s="1"/>
  <c r="K628" i="5"/>
  <c r="A628" i="12"/>
  <c r="B628" i="5"/>
  <c r="D628" i="5"/>
  <c r="B628" i="12" s="1"/>
  <c r="C629" i="5"/>
  <c r="B628" i="6"/>
  <c r="T626" i="5"/>
  <c r="G626" i="12" s="1"/>
  <c r="AI626" i="6"/>
  <c r="AC626" i="6"/>
  <c r="AE626" i="6"/>
  <c r="AD626" i="6"/>
  <c r="AF626" i="6"/>
  <c r="AG626" i="6"/>
  <c r="J627" i="12"/>
  <c r="L627" i="12"/>
  <c r="N627" i="6" l="1"/>
  <c r="AD627" i="6"/>
  <c r="BG627" i="6"/>
  <c r="AN627" i="6"/>
  <c r="AC627" i="6"/>
  <c r="BC627" i="6"/>
  <c r="AO627" i="6"/>
  <c r="AR627" i="6"/>
  <c r="AJ627" i="6"/>
  <c r="AK627" i="6"/>
  <c r="AT627" i="6"/>
  <c r="AE627" i="6"/>
  <c r="AV627" i="6"/>
  <c r="AI627" i="6"/>
  <c r="BA627" i="6"/>
  <c r="AP627" i="6"/>
  <c r="AY627" i="6"/>
  <c r="AX627" i="6"/>
  <c r="AQ627" i="6"/>
  <c r="AU627" i="6"/>
  <c r="BD627" i="6"/>
  <c r="K627" i="12"/>
  <c r="AF627" i="6"/>
  <c r="BE627" i="6"/>
  <c r="AZ627" i="6"/>
  <c r="AM627" i="6"/>
  <c r="BF627" i="6"/>
  <c r="AS627" i="6"/>
  <c r="AG627" i="6"/>
  <c r="AH627" i="6"/>
  <c r="AB627" i="6"/>
  <c r="A628" i="6"/>
  <c r="N628" i="6" s="1"/>
  <c r="A629" i="12"/>
  <c r="B629" i="6"/>
  <c r="E629" i="5"/>
  <c r="J629" i="5"/>
  <c r="H629" i="5"/>
  <c r="D629" i="5"/>
  <c r="B629" i="12" s="1"/>
  <c r="G629" i="5"/>
  <c r="N629" i="5"/>
  <c r="D629" i="6" s="1"/>
  <c r="H629" i="6" s="1"/>
  <c r="T629" i="5" s="1"/>
  <c r="G629" i="12" s="1"/>
  <c r="AD629" i="5"/>
  <c r="K629" i="5"/>
  <c r="AE629" i="5"/>
  <c r="B629" i="5"/>
  <c r="C630" i="5" s="1"/>
  <c r="F629" i="5"/>
  <c r="L628" i="12"/>
  <c r="J628" i="12"/>
  <c r="K628" i="12" l="1"/>
  <c r="M628" i="6"/>
  <c r="AD628" i="6" s="1"/>
  <c r="AE630" i="5"/>
  <c r="N630" i="5"/>
  <c r="D630" i="6" s="1"/>
  <c r="AD630" i="5"/>
  <c r="A630" i="12"/>
  <c r="I630" i="5"/>
  <c r="W630" i="5"/>
  <c r="H630" i="12" s="1"/>
  <c r="E630" i="5"/>
  <c r="F630" i="5"/>
  <c r="B630" i="5"/>
  <c r="G630" i="5"/>
  <c r="B630" i="6"/>
  <c r="R630" i="5"/>
  <c r="H630" i="5"/>
  <c r="C631" i="5"/>
  <c r="A629" i="6"/>
  <c r="L629" i="12"/>
  <c r="J629" i="12"/>
  <c r="AH628" i="6" l="1"/>
  <c r="K629" i="12"/>
  <c r="AG628" i="6"/>
  <c r="AJ628" i="6"/>
  <c r="AI628" i="6"/>
  <c r="AK628" i="6"/>
  <c r="AO628" i="6"/>
  <c r="AN628" i="6"/>
  <c r="AB628" i="6"/>
  <c r="BE628" i="6"/>
  <c r="BG628" i="6"/>
  <c r="AC628" i="6"/>
  <c r="AR628" i="6"/>
  <c r="AY628" i="6"/>
  <c r="AS628" i="6"/>
  <c r="AV628" i="6"/>
  <c r="AF628" i="6"/>
  <c r="AP628" i="6"/>
  <c r="AM628" i="6"/>
  <c r="BB628" i="6"/>
  <c r="AT628" i="6"/>
  <c r="AX628" i="6"/>
  <c r="BA628" i="6"/>
  <c r="AU628" i="6"/>
  <c r="BC628" i="6"/>
  <c r="BD628" i="6"/>
  <c r="AQ628" i="6"/>
  <c r="AZ628" i="6"/>
  <c r="BF628" i="6"/>
  <c r="AE628" i="6"/>
  <c r="K631" i="5"/>
  <c r="B631" i="5"/>
  <c r="D631" i="5"/>
  <c r="B631" i="12" s="1"/>
  <c r="B631" i="6"/>
  <c r="AE631" i="5"/>
  <c r="AD631" i="5"/>
  <c r="E631" i="5"/>
  <c r="N631" i="5"/>
  <c r="D631" i="6" s="1"/>
  <c r="A631" i="12"/>
  <c r="F631" i="5"/>
  <c r="G631" i="5"/>
  <c r="H631" i="5"/>
  <c r="C632" i="5"/>
  <c r="J631" i="5"/>
  <c r="F630" i="6"/>
  <c r="E630" i="12"/>
  <c r="A630" i="6"/>
  <c r="BB630" i="6"/>
  <c r="AS630" i="6"/>
  <c r="AN630" i="6"/>
  <c r="AT630" i="6"/>
  <c r="BA630" i="6"/>
  <c r="AR630" i="6"/>
  <c r="AO630" i="6"/>
  <c r="AX630" i="6"/>
  <c r="AM630" i="6"/>
  <c r="N630" i="6"/>
  <c r="BE630" i="6"/>
  <c r="BF630" i="6"/>
  <c r="AY630" i="6"/>
  <c r="H630" i="6"/>
  <c r="BD630" i="6"/>
  <c r="AU630" i="6"/>
  <c r="AV630" i="6"/>
  <c r="BC630" i="6"/>
  <c r="AP630" i="6"/>
  <c r="M630" i="6"/>
  <c r="AQ630" i="6"/>
  <c r="AZ630" i="6"/>
  <c r="G630" i="6"/>
  <c r="BG630" i="6"/>
  <c r="M629" i="6"/>
  <c r="N629" i="6"/>
  <c r="AK630" i="6" l="1"/>
  <c r="AB630" i="6"/>
  <c r="AG630" i="6"/>
  <c r="AE632" i="5"/>
  <c r="D632" i="5"/>
  <c r="B632" i="12" s="1"/>
  <c r="B632" i="5"/>
  <c r="C633" i="5" s="1"/>
  <c r="AD632" i="5"/>
  <c r="B632" i="6"/>
  <c r="K632" i="5"/>
  <c r="A632" i="12"/>
  <c r="H632" i="5"/>
  <c r="J632" i="5"/>
  <c r="N632" i="5"/>
  <c r="D632" i="6" s="1"/>
  <c r="H632" i="6" s="1"/>
  <c r="T632" i="5" s="1"/>
  <c r="G632" i="12" s="1"/>
  <c r="F632" i="5"/>
  <c r="E632" i="5"/>
  <c r="G632" i="5"/>
  <c r="AO629" i="6"/>
  <c r="AX629" i="6"/>
  <c r="AJ629" i="6"/>
  <c r="AG629" i="6"/>
  <c r="AH629" i="6"/>
  <c r="BA629" i="6"/>
  <c r="AF629" i="6"/>
  <c r="AP629" i="6"/>
  <c r="AR629" i="6"/>
  <c r="AQ629" i="6"/>
  <c r="AM629" i="6"/>
  <c r="AS629" i="6"/>
  <c r="AZ629" i="6"/>
  <c r="BB629" i="6"/>
  <c r="AT629" i="6"/>
  <c r="AK629" i="6"/>
  <c r="AV629" i="6"/>
  <c r="AD629" i="6"/>
  <c r="AE629" i="6"/>
  <c r="BC629" i="6"/>
  <c r="AI629" i="6"/>
  <c r="AN629" i="6"/>
  <c r="BG629" i="6"/>
  <c r="AC629" i="6"/>
  <c r="BE629" i="6"/>
  <c r="BF629" i="6"/>
  <c r="BD629" i="6"/>
  <c r="AU629" i="6"/>
  <c r="AY629" i="6"/>
  <c r="AB629" i="6"/>
  <c r="A631" i="6"/>
  <c r="N631" i="6" s="1"/>
  <c r="H631" i="6"/>
  <c r="T631" i="5" s="1"/>
  <c r="G631" i="12" s="1"/>
  <c r="T630" i="5"/>
  <c r="G630" i="12" s="1"/>
  <c r="AH630" i="6"/>
  <c r="AF630" i="6"/>
  <c r="AJ630" i="6"/>
  <c r="AI630" i="6"/>
  <c r="AD630" i="6"/>
  <c r="AC630" i="6"/>
  <c r="AE630" i="6"/>
  <c r="J631" i="12"/>
  <c r="L631" i="12"/>
  <c r="K631" i="12" l="1"/>
  <c r="M631" i="6"/>
  <c r="BA631" i="6" s="1"/>
  <c r="L632" i="12"/>
  <c r="J632" i="12"/>
  <c r="A632" i="6"/>
  <c r="W633" i="5"/>
  <c r="H633" i="12" s="1"/>
  <c r="B633" i="5"/>
  <c r="R633" i="5"/>
  <c r="AE633" i="5"/>
  <c r="C634" i="5"/>
  <c r="F633" i="5"/>
  <c r="B633" i="6"/>
  <c r="E633" i="5"/>
  <c r="H633" i="5"/>
  <c r="A633" i="12"/>
  <c r="N633" i="5"/>
  <c r="D633" i="6" s="1"/>
  <c r="I633" i="5"/>
  <c r="AD633" i="5"/>
  <c r="G633" i="5"/>
  <c r="AB631" i="6" l="1"/>
  <c r="AK631" i="6"/>
  <c r="AQ631" i="6"/>
  <c r="BB631" i="6"/>
  <c r="AX631" i="6"/>
  <c r="AP631" i="6"/>
  <c r="A633" i="6"/>
  <c r="AR631" i="6"/>
  <c r="AT631" i="6"/>
  <c r="BG631" i="6"/>
  <c r="AM631" i="6"/>
  <c r="AC631" i="6"/>
  <c r="BE631" i="6"/>
  <c r="AI631" i="6"/>
  <c r="AU631" i="6"/>
  <c r="BC631" i="6"/>
  <c r="AD631" i="6"/>
  <c r="AV631" i="6"/>
  <c r="AO631" i="6"/>
  <c r="AS631" i="6"/>
  <c r="AN631" i="6"/>
  <c r="AZ631" i="6"/>
  <c r="AY631" i="6"/>
  <c r="AG631" i="6"/>
  <c r="AE631" i="6"/>
  <c r="BD631" i="6"/>
  <c r="AJ631" i="6"/>
  <c r="AH631" i="6"/>
  <c r="BF631" i="6"/>
  <c r="AF631" i="6"/>
  <c r="N632" i="6"/>
  <c r="M632" i="6"/>
  <c r="K632" i="12"/>
  <c r="C635" i="5"/>
  <c r="H634" i="5"/>
  <c r="D634" i="5"/>
  <c r="B634" i="12" s="1"/>
  <c r="K634" i="5"/>
  <c r="J634" i="5"/>
  <c r="A634" i="12"/>
  <c r="E634" i="5"/>
  <c r="AD634" i="5"/>
  <c r="B634" i="5"/>
  <c r="F634" i="5"/>
  <c r="B634" i="6"/>
  <c r="G634" i="5"/>
  <c r="N634" i="5"/>
  <c r="D634" i="6" s="1"/>
  <c r="AE634" i="5"/>
  <c r="AO633" i="6"/>
  <c r="BD633" i="6"/>
  <c r="AX633" i="6"/>
  <c r="AS633" i="6"/>
  <c r="AN633" i="6"/>
  <c r="BE633" i="6"/>
  <c r="BB633" i="6"/>
  <c r="BA633" i="6"/>
  <c r="BG633" i="6"/>
  <c r="N633" i="6"/>
  <c r="AP633" i="6"/>
  <c r="G633" i="6"/>
  <c r="M633" i="6"/>
  <c r="BC633" i="6"/>
  <c r="AM633" i="6"/>
  <c r="H633" i="6"/>
  <c r="AT633" i="6"/>
  <c r="AQ633" i="6"/>
  <c r="BF633" i="6"/>
  <c r="AZ633" i="6"/>
  <c r="AV633" i="6"/>
  <c r="AR633" i="6"/>
  <c r="AY633" i="6"/>
  <c r="AU633" i="6"/>
  <c r="F633" i="6"/>
  <c r="E633" i="12"/>
  <c r="AB633" i="6" l="1"/>
  <c r="A634" i="6"/>
  <c r="N634" i="6" s="1"/>
  <c r="H634" i="6"/>
  <c r="T634" i="5" s="1"/>
  <c r="G634" i="12" s="1"/>
  <c r="AC633" i="6"/>
  <c r="G635" i="5"/>
  <c r="J635" i="5"/>
  <c r="F635" i="5"/>
  <c r="A635" i="12"/>
  <c r="AD635" i="5"/>
  <c r="AE635" i="5"/>
  <c r="B635" i="6"/>
  <c r="K635" i="5"/>
  <c r="B635" i="5"/>
  <c r="N635" i="5"/>
  <c r="D635" i="6" s="1"/>
  <c r="D635" i="5"/>
  <c r="B635" i="12" s="1"/>
  <c r="C636" i="5"/>
  <c r="E635" i="5"/>
  <c r="H635" i="5"/>
  <c r="AB632" i="6"/>
  <c r="AD632" i="6"/>
  <c r="AC632" i="6"/>
  <c r="BF632" i="6"/>
  <c r="AQ632" i="6"/>
  <c r="AM632" i="6"/>
  <c r="BG632" i="6"/>
  <c r="BB632" i="6"/>
  <c r="AN632" i="6"/>
  <c r="AK632" i="6"/>
  <c r="AO632" i="6"/>
  <c r="AR632" i="6"/>
  <c r="BD632" i="6"/>
  <c r="AP632" i="6"/>
  <c r="AF632" i="6"/>
  <c r="AX632" i="6"/>
  <c r="AS632" i="6"/>
  <c r="BA632" i="6"/>
  <c r="AJ632" i="6"/>
  <c r="AV632" i="6"/>
  <c r="AT632" i="6"/>
  <c r="BC632" i="6"/>
  <c r="AI632" i="6"/>
  <c r="BE632" i="6"/>
  <c r="AY632" i="6"/>
  <c r="AG632" i="6"/>
  <c r="AU632" i="6"/>
  <c r="AE632" i="6"/>
  <c r="AZ632" i="6"/>
  <c r="AH632" i="6"/>
  <c r="T633" i="5"/>
  <c r="G633" i="12" s="1"/>
  <c r="AG633" i="6"/>
  <c r="AF633" i="6"/>
  <c r="AD633" i="6"/>
  <c r="AI633" i="6"/>
  <c r="AK633" i="6"/>
  <c r="AJ633" i="6"/>
  <c r="AH633" i="6"/>
  <c r="AE633" i="6"/>
  <c r="J634" i="12"/>
  <c r="L634" i="12"/>
  <c r="M634" i="6" l="1"/>
  <c r="AT634" i="6" s="1"/>
  <c r="K634" i="12"/>
  <c r="H635" i="6"/>
  <c r="T635" i="5" s="1"/>
  <c r="G635" i="12" s="1"/>
  <c r="A635" i="6"/>
  <c r="M635" i="6" s="1"/>
  <c r="AX635" i="6" s="1"/>
  <c r="F636" i="5"/>
  <c r="B636" i="6"/>
  <c r="AD636" i="5"/>
  <c r="B636" i="5"/>
  <c r="G636" i="5"/>
  <c r="C637" i="5"/>
  <c r="K636" i="5"/>
  <c r="H636" i="5"/>
  <c r="E636" i="5"/>
  <c r="J636" i="5"/>
  <c r="D636" i="5"/>
  <c r="B636" i="12" s="1"/>
  <c r="AE636" i="5"/>
  <c r="A636" i="12"/>
  <c r="N636" i="5"/>
  <c r="D636" i="6" s="1"/>
  <c r="J635" i="12"/>
  <c r="L635" i="12"/>
  <c r="AY634" i="6" l="1"/>
  <c r="AH634" i="6"/>
  <c r="AF634" i="6"/>
  <c r="BA634" i="6"/>
  <c r="AE634" i="6"/>
  <c r="AB634" i="6"/>
  <c r="AK634" i="6"/>
  <c r="AV634" i="6"/>
  <c r="AK635" i="6"/>
  <c r="K635" i="12"/>
  <c r="AH635" i="6"/>
  <c r="BB634" i="6"/>
  <c r="AZ634" i="6"/>
  <c r="AD635" i="6"/>
  <c r="AC634" i="6"/>
  <c r="AC635" i="6"/>
  <c r="A636" i="6"/>
  <c r="N636" i="6" s="1"/>
  <c r="AG634" i="6"/>
  <c r="AG635" i="6"/>
  <c r="BG634" i="6"/>
  <c r="AS634" i="6"/>
  <c r="BF635" i="6"/>
  <c r="AD634" i="6"/>
  <c r="AZ635" i="6"/>
  <c r="AQ634" i="6"/>
  <c r="BF634" i="6"/>
  <c r="BD634" i="6"/>
  <c r="AM634" i="6"/>
  <c r="BE634" i="6"/>
  <c r="AP634" i="6"/>
  <c r="BC634" i="6"/>
  <c r="AN634" i="6"/>
  <c r="AJ634" i="6"/>
  <c r="AU634" i="6"/>
  <c r="AR634" i="6"/>
  <c r="AX634" i="6"/>
  <c r="AI634" i="6"/>
  <c r="AO634" i="6"/>
  <c r="AI635" i="6"/>
  <c r="AJ635" i="6"/>
  <c r="AY635" i="6"/>
  <c r="AO635" i="6"/>
  <c r="AF635" i="6"/>
  <c r="BC635" i="6"/>
  <c r="AQ635" i="6"/>
  <c r="BE635" i="6"/>
  <c r="AV635" i="6"/>
  <c r="N635" i="6"/>
  <c r="BG635" i="6"/>
  <c r="AT635" i="6"/>
  <c r="AP635" i="6"/>
  <c r="AS635" i="6"/>
  <c r="AN635" i="6"/>
  <c r="AR635" i="6"/>
  <c r="AE635" i="6"/>
  <c r="BB635" i="6"/>
  <c r="BD635" i="6"/>
  <c r="AU635" i="6"/>
  <c r="J636" i="12"/>
  <c r="L636" i="12"/>
  <c r="H636" i="6"/>
  <c r="A637" i="12"/>
  <c r="H637" i="5"/>
  <c r="AE637" i="5"/>
  <c r="N637" i="5"/>
  <c r="D637" i="6" s="1"/>
  <c r="K637" i="5"/>
  <c r="B637" i="5"/>
  <c r="B637" i="6"/>
  <c r="D637" i="5"/>
  <c r="B637" i="12" s="1"/>
  <c r="J637" i="5"/>
  <c r="E637" i="5"/>
  <c r="AD637" i="5"/>
  <c r="C638" i="5"/>
  <c r="F637" i="5"/>
  <c r="G637" i="5"/>
  <c r="AB635" i="6"/>
  <c r="AM635" i="6"/>
  <c r="BA635" i="6"/>
  <c r="K636" i="12" l="1"/>
  <c r="M636" i="6"/>
  <c r="AJ636" i="6" s="1"/>
  <c r="A637" i="6"/>
  <c r="M637" i="6" s="1"/>
  <c r="AQ637" i="6" s="1"/>
  <c r="T636" i="5"/>
  <c r="G636" i="12" s="1"/>
  <c r="H637" i="6"/>
  <c r="D638" i="5"/>
  <c r="B638" i="12" s="1"/>
  <c r="AD638" i="5"/>
  <c r="AE638" i="5"/>
  <c r="G638" i="5"/>
  <c r="F638" i="5"/>
  <c r="J638" i="5"/>
  <c r="N638" i="5"/>
  <c r="D638" i="6" s="1"/>
  <c r="H638" i="5"/>
  <c r="A638" i="12"/>
  <c r="C639" i="5"/>
  <c r="K638" i="5"/>
  <c r="E638" i="5"/>
  <c r="B638" i="6"/>
  <c r="B638" i="5"/>
  <c r="J637" i="12"/>
  <c r="L637" i="12"/>
  <c r="AY636" i="6" l="1"/>
  <c r="AN636" i="6"/>
  <c r="AV636" i="6"/>
  <c r="AZ636" i="6"/>
  <c r="BG636" i="6"/>
  <c r="BF636" i="6"/>
  <c r="AX636" i="6"/>
  <c r="AS636" i="6"/>
  <c r="AT636" i="6"/>
  <c r="AQ636" i="6"/>
  <c r="BC636" i="6"/>
  <c r="BB636" i="6"/>
  <c r="BD636" i="6"/>
  <c r="AO636" i="6"/>
  <c r="BA636" i="6"/>
  <c r="AM636" i="6"/>
  <c r="AU636" i="6"/>
  <c r="BE636" i="6"/>
  <c r="AP636" i="6"/>
  <c r="AR636" i="6"/>
  <c r="AR637" i="6"/>
  <c r="N637" i="6"/>
  <c r="AI636" i="6"/>
  <c r="AE636" i="6"/>
  <c r="AH636" i="6"/>
  <c r="AC636" i="6"/>
  <c r="BC637" i="6"/>
  <c r="AG636" i="6"/>
  <c r="AD636" i="6"/>
  <c r="AK636" i="6"/>
  <c r="AF636" i="6"/>
  <c r="AB636" i="6"/>
  <c r="BG637" i="6"/>
  <c r="BA637" i="6"/>
  <c r="BB637" i="6"/>
  <c r="AZ637" i="6"/>
  <c r="K637" i="12"/>
  <c r="BD637" i="6"/>
  <c r="AN637" i="6"/>
  <c r="BE637" i="6"/>
  <c r="AE637" i="6"/>
  <c r="AS637" i="6"/>
  <c r="AG637" i="6"/>
  <c r="AV637" i="6"/>
  <c r="AJ637" i="6"/>
  <c r="AI637" i="6"/>
  <c r="AF637" i="6"/>
  <c r="AO637" i="6"/>
  <c r="BF637" i="6"/>
  <c r="AT637" i="6"/>
  <c r="AY637" i="6"/>
  <c r="AX637" i="6"/>
  <c r="AU637" i="6"/>
  <c r="AP637" i="6"/>
  <c r="AM637" i="6"/>
  <c r="A638" i="6"/>
  <c r="N638" i="6" s="1"/>
  <c r="AH637" i="6"/>
  <c r="T637" i="5"/>
  <c r="G637" i="12" s="1"/>
  <c r="G639" i="5"/>
  <c r="K639" i="5"/>
  <c r="AD639" i="5"/>
  <c r="F639" i="5"/>
  <c r="E639" i="5"/>
  <c r="C640" i="5"/>
  <c r="B639" i="6"/>
  <c r="J639" i="5"/>
  <c r="D639" i="5"/>
  <c r="B639" i="12" s="1"/>
  <c r="AE639" i="5"/>
  <c r="H639" i="5"/>
  <c r="B639" i="5"/>
  <c r="N639" i="5"/>
  <c r="D639" i="6" s="1"/>
  <c r="H639" i="6" s="1"/>
  <c r="T639" i="5" s="1"/>
  <c r="G639" i="12" s="1"/>
  <c r="A639" i="12"/>
  <c r="AB637" i="6"/>
  <c r="J638" i="12"/>
  <c r="L638" i="12"/>
  <c r="AK637" i="6"/>
  <c r="H638" i="6"/>
  <c r="AC637" i="6"/>
  <c r="AD637" i="6"/>
  <c r="M638" i="6" l="1"/>
  <c r="BB638" i="6" s="1"/>
  <c r="T638" i="5"/>
  <c r="G638" i="12" s="1"/>
  <c r="L639" i="12"/>
  <c r="J639" i="12"/>
  <c r="K638" i="12"/>
  <c r="B640" i="5"/>
  <c r="B640" i="6"/>
  <c r="AE640" i="5"/>
  <c r="G640" i="5"/>
  <c r="E640" i="5"/>
  <c r="N640" i="5"/>
  <c r="D640" i="6" s="1"/>
  <c r="J640" i="5"/>
  <c r="C641" i="5"/>
  <c r="K640" i="5"/>
  <c r="A640" i="12"/>
  <c r="D640" i="5"/>
  <c r="B640" i="12" s="1"/>
  <c r="H640" i="5"/>
  <c r="F640" i="5"/>
  <c r="AD640" i="5"/>
  <c r="A639" i="6"/>
  <c r="K639" i="12" l="1"/>
  <c r="AJ638" i="6"/>
  <c r="AI638" i="6"/>
  <c r="AF638" i="6"/>
  <c r="AH638" i="6"/>
  <c r="AG638" i="6"/>
  <c r="AD638" i="6"/>
  <c r="AN638" i="6"/>
  <c r="AC638" i="6"/>
  <c r="BA638" i="6"/>
  <c r="AR638" i="6"/>
  <c r="AY638" i="6"/>
  <c r="AU638" i="6"/>
  <c r="AT638" i="6"/>
  <c r="AB638" i="6"/>
  <c r="BG638" i="6"/>
  <c r="BD638" i="6"/>
  <c r="AK638" i="6"/>
  <c r="BE638" i="6"/>
  <c r="BF638" i="6"/>
  <c r="AX638" i="6"/>
  <c r="AZ638" i="6"/>
  <c r="AS638" i="6"/>
  <c r="AV638" i="6"/>
  <c r="AQ638" i="6"/>
  <c r="BC638" i="6"/>
  <c r="AO638" i="6"/>
  <c r="AE638" i="6"/>
  <c r="AM638" i="6"/>
  <c r="AP638" i="6"/>
  <c r="A641" i="12"/>
  <c r="B641" i="5"/>
  <c r="N641" i="5"/>
  <c r="D641" i="6" s="1"/>
  <c r="H641" i="6" s="1"/>
  <c r="T641" i="5" s="1"/>
  <c r="G641" i="12" s="1"/>
  <c r="K641" i="5"/>
  <c r="B641" i="6"/>
  <c r="C642" i="5"/>
  <c r="J641" i="5"/>
  <c r="F641" i="5"/>
  <c r="E641" i="5"/>
  <c r="AE641" i="5"/>
  <c r="D641" i="5"/>
  <c r="B641" i="12" s="1"/>
  <c r="AD641" i="5"/>
  <c r="G641" i="5"/>
  <c r="H641" i="5"/>
  <c r="A640" i="6"/>
  <c r="N640" i="6" s="1"/>
  <c r="H640" i="6"/>
  <c r="L640" i="12"/>
  <c r="J640" i="12"/>
  <c r="M639" i="6"/>
  <c r="N639" i="6"/>
  <c r="M640" i="6" l="1"/>
  <c r="BA640" i="6" s="1"/>
  <c r="AD642" i="5"/>
  <c r="J642" i="5"/>
  <c r="E642" i="5"/>
  <c r="G642" i="5"/>
  <c r="D642" i="5"/>
  <c r="B642" i="12" s="1"/>
  <c r="H642" i="5"/>
  <c r="AE642" i="5"/>
  <c r="K642" i="5"/>
  <c r="A642" i="12"/>
  <c r="F642" i="5"/>
  <c r="C643" i="5"/>
  <c r="B642" i="5"/>
  <c r="B642" i="6"/>
  <c r="N642" i="5"/>
  <c r="D642" i="6" s="1"/>
  <c r="H642" i="6" s="1"/>
  <c r="T642" i="5" s="1"/>
  <c r="G642" i="12" s="1"/>
  <c r="A641" i="6"/>
  <c r="BE639" i="6"/>
  <c r="AQ639" i="6"/>
  <c r="BD639" i="6"/>
  <c r="AZ639" i="6"/>
  <c r="AU639" i="6"/>
  <c r="AX639" i="6"/>
  <c r="AO639" i="6"/>
  <c r="AV639" i="6"/>
  <c r="AN639" i="6"/>
  <c r="AH639" i="6"/>
  <c r="BB639" i="6"/>
  <c r="AI639" i="6"/>
  <c r="AY639" i="6"/>
  <c r="BC639" i="6"/>
  <c r="AB639" i="6"/>
  <c r="AP639" i="6"/>
  <c r="AM639" i="6"/>
  <c r="BA639" i="6"/>
  <c r="AK639" i="6"/>
  <c r="BG639" i="6"/>
  <c r="BF639" i="6"/>
  <c r="AG639" i="6"/>
  <c r="AD639" i="6"/>
  <c r="AS639" i="6"/>
  <c r="AJ639" i="6"/>
  <c r="AE639" i="6"/>
  <c r="AT639" i="6"/>
  <c r="AF639" i="6"/>
  <c r="AC639" i="6"/>
  <c r="AR639" i="6"/>
  <c r="K640" i="12"/>
  <c r="T640" i="5"/>
  <c r="G640" i="12" s="1"/>
  <c r="J641" i="12"/>
  <c r="L641" i="12"/>
  <c r="AJ640" i="6" l="1"/>
  <c r="AF640" i="6"/>
  <c r="AI640" i="6"/>
  <c r="AD640" i="6"/>
  <c r="AB640" i="6"/>
  <c r="AG640" i="6"/>
  <c r="AH640" i="6"/>
  <c r="AC640" i="6"/>
  <c r="AK640" i="6"/>
  <c r="AE640" i="6"/>
  <c r="AN640" i="6"/>
  <c r="AP640" i="6"/>
  <c r="AU640" i="6"/>
  <c r="BC640" i="6"/>
  <c r="AQ640" i="6"/>
  <c r="AY640" i="6"/>
  <c r="AT640" i="6"/>
  <c r="AS640" i="6"/>
  <c r="BE640" i="6"/>
  <c r="BD640" i="6"/>
  <c r="AZ640" i="6"/>
  <c r="AX640" i="6"/>
  <c r="AM640" i="6"/>
  <c r="AO640" i="6"/>
  <c r="BF640" i="6"/>
  <c r="AV640" i="6"/>
  <c r="BB640" i="6"/>
  <c r="BG640" i="6"/>
  <c r="AR640" i="6"/>
  <c r="K641" i="12"/>
  <c r="K643" i="5"/>
  <c r="B643" i="5"/>
  <c r="C644" i="5" s="1"/>
  <c r="F643" i="5"/>
  <c r="H643" i="5"/>
  <c r="AD643" i="5"/>
  <c r="B643" i="6"/>
  <c r="J643" i="5"/>
  <c r="D643" i="5"/>
  <c r="B643" i="12" s="1"/>
  <c r="E643" i="5"/>
  <c r="G643" i="5"/>
  <c r="AE643" i="5"/>
  <c r="A643" i="12"/>
  <c r="N643" i="5"/>
  <c r="D643" i="6" s="1"/>
  <c r="H643" i="6" s="1"/>
  <c r="T643" i="5" s="1"/>
  <c r="G643" i="12" s="1"/>
  <c r="J642" i="12"/>
  <c r="L642" i="12"/>
  <c r="N641" i="6"/>
  <c r="M641" i="6"/>
  <c r="A642" i="6"/>
  <c r="K642" i="12" l="1"/>
  <c r="A643" i="6"/>
  <c r="J643" i="12"/>
  <c r="L643" i="12"/>
  <c r="M642" i="6"/>
  <c r="N642" i="6"/>
  <c r="AE644" i="5"/>
  <c r="AD644" i="5"/>
  <c r="F644" i="5"/>
  <c r="N644" i="5"/>
  <c r="D644" i="6" s="1"/>
  <c r="G644" i="5"/>
  <c r="A644" i="12"/>
  <c r="B644" i="5"/>
  <c r="E644" i="5"/>
  <c r="C645" i="5"/>
  <c r="H644" i="5"/>
  <c r="I644" i="5"/>
  <c r="B644" i="6"/>
  <c r="W644" i="5"/>
  <c r="H644" i="12" s="1"/>
  <c r="R644" i="5"/>
  <c r="AE641" i="6"/>
  <c r="AM641" i="6"/>
  <c r="AZ641" i="6"/>
  <c r="AT641" i="6"/>
  <c r="AR641" i="6"/>
  <c r="BD641" i="6"/>
  <c r="AJ641" i="6"/>
  <c r="AP641" i="6"/>
  <c r="AF641" i="6"/>
  <c r="AX641" i="6"/>
  <c r="BF641" i="6"/>
  <c r="AD641" i="6"/>
  <c r="AK641" i="6"/>
  <c r="AO641" i="6"/>
  <c r="AS641" i="6"/>
  <c r="AI641" i="6"/>
  <c r="BA641" i="6"/>
  <c r="BB641" i="6"/>
  <c r="BE641" i="6"/>
  <c r="AG641" i="6"/>
  <c r="AY641" i="6"/>
  <c r="BC641" i="6"/>
  <c r="AV641" i="6"/>
  <c r="AU641" i="6"/>
  <c r="AB641" i="6"/>
  <c r="AC641" i="6"/>
  <c r="AN641" i="6"/>
  <c r="BG641" i="6"/>
  <c r="AH641" i="6"/>
  <c r="AQ641" i="6"/>
  <c r="A644" i="6" l="1"/>
  <c r="K643" i="12"/>
  <c r="AZ642" i="6"/>
  <c r="AP642" i="6"/>
  <c r="AM642" i="6"/>
  <c r="AV642" i="6"/>
  <c r="AH642" i="6"/>
  <c r="AN642" i="6"/>
  <c r="AR642" i="6"/>
  <c r="AG642" i="6"/>
  <c r="AJ642" i="6"/>
  <c r="AE642" i="6"/>
  <c r="BC642" i="6"/>
  <c r="BF642" i="6"/>
  <c r="AY642" i="6"/>
  <c r="AT642" i="6"/>
  <c r="AF642" i="6"/>
  <c r="AD642" i="6"/>
  <c r="AC642" i="6"/>
  <c r="AI642" i="6"/>
  <c r="AB642" i="6"/>
  <c r="AQ642" i="6"/>
  <c r="BA642" i="6"/>
  <c r="AK642" i="6"/>
  <c r="AU642" i="6"/>
  <c r="BG642" i="6"/>
  <c r="BD642" i="6"/>
  <c r="AO642" i="6"/>
  <c r="BE642" i="6"/>
  <c r="AS642" i="6"/>
  <c r="BB642" i="6"/>
  <c r="AX642" i="6"/>
  <c r="N645" i="5"/>
  <c r="D645" i="6" s="1"/>
  <c r="H645" i="6" s="1"/>
  <c r="T645" i="5" s="1"/>
  <c r="G645" i="12" s="1"/>
  <c r="D645" i="5"/>
  <c r="B645" i="12" s="1"/>
  <c r="G645" i="5"/>
  <c r="E645" i="5"/>
  <c r="K645" i="5"/>
  <c r="AD645" i="5"/>
  <c r="B645" i="6"/>
  <c r="J645" i="5"/>
  <c r="B645" i="5"/>
  <c r="H645" i="5"/>
  <c r="A645" i="12"/>
  <c r="AE645" i="5"/>
  <c r="F645" i="5"/>
  <c r="F644" i="6"/>
  <c r="E644" i="12"/>
  <c r="AP644" i="6"/>
  <c r="BF644" i="6"/>
  <c r="AN644" i="6"/>
  <c r="BE644" i="6"/>
  <c r="AS644" i="6"/>
  <c r="BA644" i="6"/>
  <c r="M644" i="6"/>
  <c r="AZ644" i="6"/>
  <c r="AU644" i="6"/>
  <c r="BC644" i="6"/>
  <c r="AY644" i="6"/>
  <c r="BB644" i="6"/>
  <c r="H644" i="6"/>
  <c r="AO644" i="6"/>
  <c r="BD644" i="6"/>
  <c r="AV644" i="6"/>
  <c r="AT644" i="6"/>
  <c r="BG644" i="6"/>
  <c r="AR644" i="6"/>
  <c r="AX644" i="6"/>
  <c r="AQ644" i="6"/>
  <c r="N644" i="6"/>
  <c r="G644" i="6"/>
  <c r="AM644" i="6"/>
  <c r="N643" i="6"/>
  <c r="M643" i="6"/>
  <c r="AF644" i="6" l="1"/>
  <c r="A645" i="6"/>
  <c r="M645" i="6" s="1"/>
  <c r="AP645" i="6" s="1"/>
  <c r="AJ643" i="6"/>
  <c r="AH643" i="6"/>
  <c r="AX643" i="6"/>
  <c r="AR643" i="6"/>
  <c r="AP643" i="6"/>
  <c r="BG643" i="6"/>
  <c r="AV643" i="6"/>
  <c r="BF643" i="6"/>
  <c r="BE643" i="6"/>
  <c r="AC643" i="6"/>
  <c r="AE643" i="6"/>
  <c r="AO643" i="6"/>
  <c r="AZ643" i="6"/>
  <c r="BC643" i="6"/>
  <c r="AN643" i="6"/>
  <c r="AI643" i="6"/>
  <c r="BA643" i="6"/>
  <c r="AY643" i="6"/>
  <c r="AQ643" i="6"/>
  <c r="AT643" i="6"/>
  <c r="AD643" i="6"/>
  <c r="AK643" i="6"/>
  <c r="AF643" i="6"/>
  <c r="AU643" i="6"/>
  <c r="AG643" i="6"/>
  <c r="BB643" i="6"/>
  <c r="AS643" i="6"/>
  <c r="BD643" i="6"/>
  <c r="AB643" i="6"/>
  <c r="AM643" i="6"/>
  <c r="T644" i="5"/>
  <c r="G644" i="12" s="1"/>
  <c r="AG644" i="6"/>
  <c r="AI644" i="6"/>
  <c r="AB644" i="6"/>
  <c r="AK644" i="6"/>
  <c r="AH644" i="6"/>
  <c r="AE644" i="6"/>
  <c r="AD644" i="6"/>
  <c r="AC644" i="6"/>
  <c r="AJ644" i="6"/>
  <c r="J645" i="12"/>
  <c r="L645" i="12"/>
  <c r="BF645" i="6" l="1"/>
  <c r="AM645" i="6"/>
  <c r="AO645" i="6"/>
  <c r="AS645" i="6"/>
  <c r="AG645" i="6"/>
  <c r="AR645" i="6"/>
  <c r="AF645" i="6"/>
  <c r="AI645" i="6"/>
  <c r="AC645" i="6"/>
  <c r="AU645" i="6"/>
  <c r="BC645" i="6"/>
  <c r="BG645" i="6"/>
  <c r="BE645" i="6"/>
  <c r="AE645" i="6"/>
  <c r="AD645" i="6"/>
  <c r="AZ645" i="6"/>
  <c r="AT645" i="6"/>
  <c r="AQ645" i="6"/>
  <c r="AB645" i="6"/>
  <c r="AK645" i="6"/>
  <c r="BD645" i="6"/>
  <c r="AY645" i="6"/>
  <c r="K645" i="12"/>
  <c r="BB645" i="6"/>
  <c r="AN645" i="6"/>
  <c r="AX645" i="6"/>
  <c r="BA645" i="6"/>
  <c r="AH645" i="6"/>
  <c r="AV645" i="6"/>
  <c r="N645" i="6"/>
  <c r="AJ645" i="6"/>
  <c r="C646" i="5" l="1"/>
  <c r="W646" i="5" l="1"/>
  <c r="H646" i="12" s="1"/>
  <c r="A646" i="12"/>
  <c r="H646" i="5"/>
  <c r="AE646" i="5"/>
  <c r="C647" i="5"/>
  <c r="N646" i="5"/>
  <c r="D646" i="6" s="1"/>
  <c r="G646" i="5"/>
  <c r="F646" i="5"/>
  <c r="B646" i="6"/>
  <c r="A646" i="6" s="1"/>
  <c r="R646" i="5"/>
  <c r="B646" i="5"/>
  <c r="AD646" i="5"/>
  <c r="I646" i="5"/>
  <c r="E646" i="5"/>
  <c r="M646" i="6" l="1"/>
  <c r="G646" i="6"/>
  <c r="BG646" i="6"/>
  <c r="AM646" i="6"/>
  <c r="BA646" i="6"/>
  <c r="BE646" i="6"/>
  <c r="AR646" i="6"/>
  <c r="AN646" i="6"/>
  <c r="AP646" i="6"/>
  <c r="AT646" i="6"/>
  <c r="AY646" i="6"/>
  <c r="AU646" i="6"/>
  <c r="AQ646" i="6"/>
  <c r="AO646" i="6"/>
  <c r="BD646" i="6"/>
  <c r="H646" i="6"/>
  <c r="AS646" i="6"/>
  <c r="BC646" i="6"/>
  <c r="BB646" i="6"/>
  <c r="BF646" i="6"/>
  <c r="N646" i="6"/>
  <c r="AZ646" i="6"/>
  <c r="AX646" i="6"/>
  <c r="AV646" i="6"/>
  <c r="A647" i="12"/>
  <c r="J647" i="5"/>
  <c r="K647" i="5"/>
  <c r="C648" i="5"/>
  <c r="B647" i="6"/>
  <c r="B647" i="5"/>
  <c r="E647" i="5"/>
  <c r="H647" i="5"/>
  <c r="F647" i="5"/>
  <c r="AE647" i="5"/>
  <c r="D647" i="5"/>
  <c r="B647" i="12" s="1"/>
  <c r="AD647" i="5"/>
  <c r="N647" i="5"/>
  <c r="D647" i="6" s="1"/>
  <c r="H647" i="6" s="1"/>
  <c r="T647" i="5" s="1"/>
  <c r="G647" i="12" s="1"/>
  <c r="G647" i="5"/>
  <c r="F646" i="6"/>
  <c r="E646" i="12"/>
  <c r="AJ646" i="6" l="1"/>
  <c r="T646" i="5"/>
  <c r="G646" i="12" s="1"/>
  <c r="AI646" i="6"/>
  <c r="AD646" i="6"/>
  <c r="AK646" i="6"/>
  <c r="AC646" i="6"/>
  <c r="AG646" i="6"/>
  <c r="AB646" i="6"/>
  <c r="AF646" i="6"/>
  <c r="AE646" i="6"/>
  <c r="AH646" i="6"/>
  <c r="A647" i="6"/>
  <c r="A648" i="12"/>
  <c r="AD648" i="5"/>
  <c r="K648" i="5"/>
  <c r="D648" i="5"/>
  <c r="B648" i="12" s="1"/>
  <c r="N648" i="5"/>
  <c r="D648" i="6" s="1"/>
  <c r="J648" i="5"/>
  <c r="B648" i="5"/>
  <c r="H648" i="5"/>
  <c r="F648" i="5"/>
  <c r="G648" i="5"/>
  <c r="AE648" i="5"/>
  <c r="C649" i="5"/>
  <c r="B648" i="6"/>
  <c r="E648" i="5"/>
  <c r="L647" i="12"/>
  <c r="J647" i="12"/>
  <c r="J644" i="5"/>
  <c r="J633" i="5"/>
  <c r="K633" i="5"/>
  <c r="J630" i="5"/>
  <c r="K630" i="5"/>
  <c r="J626" i="5"/>
  <c r="K626" i="5"/>
  <c r="J618" i="5"/>
  <c r="K618" i="5"/>
  <c r="J609" i="5"/>
  <c r="K609" i="5"/>
  <c r="K608" i="5"/>
  <c r="A648" i="6" l="1"/>
  <c r="N648" i="6" s="1"/>
  <c r="K647" i="12"/>
  <c r="J648" i="12"/>
  <c r="L648" i="12"/>
  <c r="H648" i="6"/>
  <c r="A649" i="12"/>
  <c r="G649" i="5"/>
  <c r="J649" i="5"/>
  <c r="C650" i="5"/>
  <c r="F649" i="5"/>
  <c r="E649" i="5"/>
  <c r="AE649" i="5"/>
  <c r="B649" i="6"/>
  <c r="K649" i="5"/>
  <c r="B649" i="5"/>
  <c r="H649" i="5"/>
  <c r="AD649" i="5"/>
  <c r="N649" i="5"/>
  <c r="D649" i="6" s="1"/>
  <c r="H649" i="6" s="1"/>
  <c r="T649" i="5" s="1"/>
  <c r="G649" i="12" s="1"/>
  <c r="D649" i="5"/>
  <c r="B649" i="12" s="1"/>
  <c r="M647" i="6"/>
  <c r="N647" i="6"/>
  <c r="D618" i="5"/>
  <c r="B618" i="12" s="1"/>
  <c r="D630" i="5"/>
  <c r="D609" i="5"/>
  <c r="D626" i="5"/>
  <c r="B626" i="12" s="1"/>
  <c r="D633" i="5"/>
  <c r="B633" i="12" s="1"/>
  <c r="K648" i="12" l="1"/>
  <c r="A649" i="6"/>
  <c r="N649" i="6" s="1"/>
  <c r="BF647" i="6"/>
  <c r="BB647" i="6"/>
  <c r="AV647" i="6"/>
  <c r="BA647" i="6"/>
  <c r="AS647" i="6"/>
  <c r="AR647" i="6"/>
  <c r="AQ647" i="6"/>
  <c r="AD647" i="6"/>
  <c r="AE647" i="6"/>
  <c r="AG647" i="6"/>
  <c r="AZ647" i="6"/>
  <c r="BC647" i="6"/>
  <c r="AM647" i="6"/>
  <c r="AC647" i="6"/>
  <c r="AP647" i="6"/>
  <c r="AF647" i="6"/>
  <c r="AN647" i="6"/>
  <c r="BG647" i="6"/>
  <c r="AJ647" i="6"/>
  <c r="AO647" i="6"/>
  <c r="BE647" i="6"/>
  <c r="AX647" i="6"/>
  <c r="BD647" i="6"/>
  <c r="AK647" i="6"/>
  <c r="AU647" i="6"/>
  <c r="AI647" i="6"/>
  <c r="AY647" i="6"/>
  <c r="AT647" i="6"/>
  <c r="AB647" i="6"/>
  <c r="AH647" i="6"/>
  <c r="B650" i="6"/>
  <c r="H650" i="5"/>
  <c r="F650" i="5"/>
  <c r="C651" i="5"/>
  <c r="A650" i="12"/>
  <c r="G650" i="5"/>
  <c r="B650" i="5"/>
  <c r="AD650" i="5"/>
  <c r="N650" i="5"/>
  <c r="D650" i="6" s="1"/>
  <c r="AE650" i="5"/>
  <c r="J650" i="5"/>
  <c r="K650" i="5"/>
  <c r="D650" i="5"/>
  <c r="B650" i="12" s="1"/>
  <c r="E650" i="5"/>
  <c r="J649" i="12"/>
  <c r="L649" i="12"/>
  <c r="T648" i="5"/>
  <c r="G648" i="12" s="1"/>
  <c r="M648" i="6"/>
  <c r="AC648" i="6" s="1"/>
  <c r="B630" i="12"/>
  <c r="B609" i="12"/>
  <c r="M649" i="6" l="1"/>
  <c r="AS649" i="6" s="1"/>
  <c r="K649" i="12"/>
  <c r="AI648" i="6"/>
  <c r="AD648" i="6"/>
  <c r="AB648" i="6"/>
  <c r="H650" i="6"/>
  <c r="A650" i="6"/>
  <c r="N650" i="6" s="1"/>
  <c r="AX648" i="6"/>
  <c r="AQ648" i="6"/>
  <c r="AS648" i="6"/>
  <c r="AP648" i="6"/>
  <c r="AO648" i="6"/>
  <c r="AZ648" i="6"/>
  <c r="AV648" i="6"/>
  <c r="AR648" i="6"/>
  <c r="BD648" i="6"/>
  <c r="BE648" i="6"/>
  <c r="AN648" i="6"/>
  <c r="AY648" i="6"/>
  <c r="BF648" i="6"/>
  <c r="AU648" i="6"/>
  <c r="AM648" i="6"/>
  <c r="BA648" i="6"/>
  <c r="BG648" i="6"/>
  <c r="BB648" i="6"/>
  <c r="AT648" i="6"/>
  <c r="BC648" i="6"/>
  <c r="AG648" i="6"/>
  <c r="D651" i="5"/>
  <c r="B651" i="12" s="1"/>
  <c r="K651" i="5"/>
  <c r="J651" i="5"/>
  <c r="F651" i="5"/>
  <c r="H651" i="5"/>
  <c r="A651" i="12"/>
  <c r="N651" i="5"/>
  <c r="D651" i="6" s="1"/>
  <c r="B651" i="5"/>
  <c r="B651" i="6"/>
  <c r="AE651" i="5"/>
  <c r="C652" i="5"/>
  <c r="AD651" i="5"/>
  <c r="G651" i="5"/>
  <c r="E651" i="5"/>
  <c r="AE648" i="6"/>
  <c r="AK648" i="6"/>
  <c r="AH648" i="6"/>
  <c r="AJ648" i="6"/>
  <c r="AF648" i="6"/>
  <c r="L650" i="12"/>
  <c r="J650" i="12"/>
  <c r="AD17" i="13"/>
  <c r="AC17" i="13"/>
  <c r="AG17" i="13"/>
  <c r="AH17" i="13"/>
  <c r="AE17" i="13"/>
  <c r="AC22" i="13"/>
  <c r="AE22" i="13"/>
  <c r="AD22" i="13"/>
  <c r="AF22" i="13"/>
  <c r="AG22" i="13"/>
  <c r="AH23" i="13"/>
  <c r="AG19" i="13"/>
  <c r="AC19" i="13"/>
  <c r="AD19" i="13"/>
  <c r="AF19" i="13"/>
  <c r="AF12" i="13"/>
  <c r="AD12" i="13"/>
  <c r="AE12" i="13"/>
  <c r="AH19" i="13"/>
  <c r="AH12" i="13"/>
  <c r="AC12" i="13"/>
  <c r="AD16" i="13"/>
  <c r="AF23" i="13"/>
  <c r="AG16" i="13"/>
  <c r="AF16" i="13"/>
  <c r="AE16" i="13"/>
  <c r="AC23" i="13"/>
  <c r="AC16" i="13"/>
  <c r="AD23" i="13"/>
  <c r="AE23" i="13"/>
  <c r="AE15" i="13"/>
  <c r="AH15" i="13"/>
  <c r="AO649" i="6" l="1"/>
  <c r="AR649" i="6"/>
  <c r="AJ649" i="6"/>
  <c r="AM649" i="6"/>
  <c r="AK649" i="6"/>
  <c r="AN649" i="6"/>
  <c r="BE649" i="6"/>
  <c r="AI649" i="6"/>
  <c r="AD649" i="6"/>
  <c r="AP649" i="6"/>
  <c r="AQ649" i="6"/>
  <c r="AX649" i="6"/>
  <c r="BB649" i="6"/>
  <c r="AZ649" i="6"/>
  <c r="AU649" i="6"/>
  <c r="AT649" i="6"/>
  <c r="BF649" i="6"/>
  <c r="AG649" i="6"/>
  <c r="AB649" i="6"/>
  <c r="AH649" i="6"/>
  <c r="BC649" i="6"/>
  <c r="AE649" i="6"/>
  <c r="BG649" i="6"/>
  <c r="BD649" i="6"/>
  <c r="BA649" i="6"/>
  <c r="AF649" i="6"/>
  <c r="AY649" i="6"/>
  <c r="AC649" i="6"/>
  <c r="AV649" i="6"/>
  <c r="K650" i="12"/>
  <c r="H651" i="6"/>
  <c r="L651" i="12"/>
  <c r="J651" i="12"/>
  <c r="T650" i="5"/>
  <c r="G650" i="12" s="1"/>
  <c r="M650" i="6"/>
  <c r="AC650" i="6" s="1"/>
  <c r="A652" i="12"/>
  <c r="G652" i="5"/>
  <c r="K652" i="5"/>
  <c r="E652" i="5"/>
  <c r="AE652" i="5"/>
  <c r="D652" i="5"/>
  <c r="B652" i="12" s="1"/>
  <c r="F652" i="5"/>
  <c r="B652" i="5"/>
  <c r="B652" i="6"/>
  <c r="J652" i="5"/>
  <c r="AD652" i="5"/>
  <c r="H652" i="5"/>
  <c r="N652" i="5"/>
  <c r="D652" i="6" s="1"/>
  <c r="A651" i="6"/>
  <c r="N651" i="6" s="1"/>
  <c r="AG18" i="13"/>
  <c r="AF21" i="13"/>
  <c r="AH21" i="13"/>
  <c r="AE21" i="13"/>
  <c r="AG21" i="13"/>
  <c r="AC21" i="13"/>
  <c r="AH20" i="13"/>
  <c r="AF18" i="13"/>
  <c r="AH18" i="13"/>
  <c r="AE20" i="13"/>
  <c r="AC20" i="13"/>
  <c r="AD18" i="13"/>
  <c r="AF20" i="13"/>
  <c r="AG20" i="13"/>
  <c r="AC18" i="13"/>
  <c r="AF15" i="13"/>
  <c r="AC15" i="13"/>
  <c r="AD15" i="13"/>
  <c r="AG15" i="13"/>
  <c r="C653" i="5" l="1"/>
  <c r="K651" i="12"/>
  <c r="AK650" i="6"/>
  <c r="AG650" i="6"/>
  <c r="AI650" i="6"/>
  <c r="AD650" i="6"/>
  <c r="H652" i="6"/>
  <c r="T652" i="5" s="1"/>
  <c r="G652" i="12" s="1"/>
  <c r="A652" i="6"/>
  <c r="M652" i="6" s="1"/>
  <c r="L652" i="12"/>
  <c r="J652" i="12"/>
  <c r="AF650" i="6"/>
  <c r="BE650" i="6"/>
  <c r="AT650" i="6"/>
  <c r="AS650" i="6"/>
  <c r="AX650" i="6"/>
  <c r="BB650" i="6"/>
  <c r="AM650" i="6"/>
  <c r="AV650" i="6"/>
  <c r="AP650" i="6"/>
  <c r="BF650" i="6"/>
  <c r="BG650" i="6"/>
  <c r="AR650" i="6"/>
  <c r="BC650" i="6"/>
  <c r="AY650" i="6"/>
  <c r="BA650" i="6"/>
  <c r="BD650" i="6"/>
  <c r="AQ650" i="6"/>
  <c r="AB650" i="6"/>
  <c r="AZ650" i="6"/>
  <c r="AU650" i="6"/>
  <c r="AN650" i="6"/>
  <c r="AO650" i="6"/>
  <c r="AE650" i="6"/>
  <c r="AH650" i="6"/>
  <c r="M651" i="6"/>
  <c r="AI651" i="6" s="1"/>
  <c r="AJ650" i="6"/>
  <c r="T651" i="5"/>
  <c r="G651" i="12" s="1"/>
  <c r="W653" i="5" l="1"/>
  <c r="H653" i="12" s="1"/>
  <c r="A653" i="12"/>
  <c r="N653" i="5"/>
  <c r="D653" i="6" s="1"/>
  <c r="H653" i="6" s="1"/>
  <c r="T653" i="5" s="1"/>
  <c r="B653" i="6"/>
  <c r="A653" i="6" s="1"/>
  <c r="AE653" i="5"/>
  <c r="AD653" i="5"/>
  <c r="B653" i="5"/>
  <c r="C654" i="5" s="1"/>
  <c r="H653" i="5"/>
  <c r="F653" i="5"/>
  <c r="G653" i="5"/>
  <c r="E653" i="5"/>
  <c r="K652" i="12"/>
  <c r="BC652" i="6"/>
  <c r="AO652" i="6"/>
  <c r="AM652" i="6"/>
  <c r="AV652" i="6"/>
  <c r="BD652" i="6"/>
  <c r="AQ652" i="6"/>
  <c r="AX652" i="6"/>
  <c r="AT652" i="6"/>
  <c r="AZ652" i="6"/>
  <c r="BE652" i="6"/>
  <c r="AR652" i="6"/>
  <c r="AU652" i="6"/>
  <c r="AY652" i="6"/>
  <c r="BG652" i="6"/>
  <c r="BB652" i="6"/>
  <c r="BF652" i="6"/>
  <c r="AP652" i="6"/>
  <c r="BA652" i="6"/>
  <c r="AS652" i="6"/>
  <c r="AN652" i="6"/>
  <c r="AB651" i="6"/>
  <c r="AI652" i="6"/>
  <c r="AC652" i="6"/>
  <c r="AC651" i="6"/>
  <c r="BE651" i="6"/>
  <c r="BG651" i="6"/>
  <c r="AS651" i="6"/>
  <c r="AM651" i="6"/>
  <c r="AV651" i="6"/>
  <c r="AN651" i="6"/>
  <c r="BC651" i="6"/>
  <c r="AO651" i="6"/>
  <c r="AR651" i="6"/>
  <c r="AP651" i="6"/>
  <c r="AZ651" i="6"/>
  <c r="BA651" i="6"/>
  <c r="AJ651" i="6"/>
  <c r="AY651" i="6"/>
  <c r="BD651" i="6"/>
  <c r="AQ651" i="6"/>
  <c r="BF651" i="6"/>
  <c r="AT651" i="6"/>
  <c r="AK651" i="6"/>
  <c r="AU651" i="6"/>
  <c r="AG651" i="6"/>
  <c r="BB651" i="6"/>
  <c r="AF651" i="6"/>
  <c r="AX651" i="6"/>
  <c r="AK652" i="6"/>
  <c r="AG652" i="6"/>
  <c r="AF652" i="6"/>
  <c r="AJ652" i="6"/>
  <c r="AE651" i="6"/>
  <c r="AD651" i="6"/>
  <c r="AB652" i="6"/>
  <c r="N652" i="6"/>
  <c r="AD652" i="6"/>
  <c r="AH651" i="6"/>
  <c r="AH652" i="6"/>
  <c r="AE652" i="6"/>
  <c r="M12" i="6"/>
  <c r="G653" i="6" l="1"/>
  <c r="M653" i="6"/>
  <c r="BF653" i="6" s="1"/>
  <c r="E653" i="12"/>
  <c r="F653" i="6"/>
  <c r="N653" i="6"/>
  <c r="AE654" i="5"/>
  <c r="AD654" i="5"/>
  <c r="N654" i="5"/>
  <c r="D654" i="6" s="1"/>
  <c r="H654" i="6" s="1"/>
  <c r="T654" i="5" s="1"/>
  <c r="A654" i="12"/>
  <c r="H654" i="5"/>
  <c r="E654" i="5"/>
  <c r="B654" i="6"/>
  <c r="W654" i="5"/>
  <c r="H654" i="12" s="1"/>
  <c r="G654" i="5"/>
  <c r="B654" i="5"/>
  <c r="F654" i="5"/>
  <c r="C655" i="5"/>
  <c r="AN653" i="6"/>
  <c r="AQ653" i="6"/>
  <c r="AT653" i="6"/>
  <c r="AV653" i="6"/>
  <c r="AZ653" i="6"/>
  <c r="BC653" i="6"/>
  <c r="BE653" i="6"/>
  <c r="AP653" i="6"/>
  <c r="AY653" i="6"/>
  <c r="AS653" i="6"/>
  <c r="AM653" i="6"/>
  <c r="BG653" i="6"/>
  <c r="G653" i="12"/>
  <c r="BB653" i="6"/>
  <c r="AR653" i="6"/>
  <c r="AU653" i="6"/>
  <c r="AO653" i="6"/>
  <c r="BA653" i="6"/>
  <c r="BD653" i="6"/>
  <c r="AX653" i="6"/>
  <c r="AH14" i="13"/>
  <c r="AE14" i="13"/>
  <c r="AB653" i="6" l="1"/>
  <c r="AI653" i="6"/>
  <c r="AG653" i="6"/>
  <c r="AC653" i="6"/>
  <c r="AF653" i="6"/>
  <c r="AD653" i="6"/>
  <c r="AK653" i="6"/>
  <c r="AJ653" i="6"/>
  <c r="AH653" i="6"/>
  <c r="AE653" i="6"/>
  <c r="A654" i="6"/>
  <c r="M654" i="6" s="1"/>
  <c r="AY654" i="6" s="1"/>
  <c r="G654" i="6"/>
  <c r="N654" i="6"/>
  <c r="K655" i="5"/>
  <c r="N655" i="5"/>
  <c r="D655" i="6" s="1"/>
  <c r="H655" i="6" s="1"/>
  <c r="T655" i="5" s="1"/>
  <c r="F655" i="5"/>
  <c r="B655" i="5"/>
  <c r="E655" i="5"/>
  <c r="C656" i="5"/>
  <c r="G655" i="5"/>
  <c r="A655" i="12"/>
  <c r="AE655" i="5"/>
  <c r="B655" i="6"/>
  <c r="AD655" i="5"/>
  <c r="J655" i="5"/>
  <c r="D655" i="5"/>
  <c r="B655" i="12" s="1"/>
  <c r="H655" i="5"/>
  <c r="F654" i="6"/>
  <c r="E654" i="12"/>
  <c r="AM654" i="6"/>
  <c r="AS654" i="6"/>
  <c r="AR654" i="6"/>
  <c r="AU654" i="6"/>
  <c r="AO654" i="6"/>
  <c r="BG654" i="6"/>
  <c r="BB654" i="6"/>
  <c r="BA654" i="6"/>
  <c r="BD654" i="6"/>
  <c r="AX654" i="6"/>
  <c r="BF654" i="6"/>
  <c r="AN654" i="6"/>
  <c r="G654" i="12"/>
  <c r="AQ654" i="6"/>
  <c r="AT654" i="6"/>
  <c r="AV654" i="6"/>
  <c r="AZ654" i="6"/>
  <c r="BC654" i="6"/>
  <c r="BE654" i="6"/>
  <c r="AP654" i="6"/>
  <c r="AD654" i="6" l="1"/>
  <c r="AF654" i="6"/>
  <c r="AC654" i="6"/>
  <c r="AK654" i="6"/>
  <c r="AB654" i="6"/>
  <c r="AH654" i="6"/>
  <c r="AG654" i="6"/>
  <c r="AI654" i="6"/>
  <c r="AE654" i="6"/>
  <c r="AJ654" i="6"/>
  <c r="A655" i="6"/>
  <c r="M655" i="6" s="1"/>
  <c r="AX655" i="6" s="1"/>
  <c r="J655" i="12"/>
  <c r="L655" i="12"/>
  <c r="AE656" i="5"/>
  <c r="AD656" i="5"/>
  <c r="N656" i="5"/>
  <c r="D656" i="6" s="1"/>
  <c r="H656" i="5"/>
  <c r="B656" i="5"/>
  <c r="E656" i="5"/>
  <c r="D656" i="5"/>
  <c r="B656" i="12" s="1"/>
  <c r="G656" i="5"/>
  <c r="B656" i="6"/>
  <c r="K656" i="5"/>
  <c r="C657" i="5"/>
  <c r="F656" i="5"/>
  <c r="A656" i="12"/>
  <c r="J656" i="5"/>
  <c r="G655" i="12"/>
  <c r="AC14" i="13"/>
  <c r="AD14" i="13"/>
  <c r="AF14" i="13"/>
  <c r="AG14" i="13"/>
  <c r="K655" i="12" l="1"/>
  <c r="N655" i="6"/>
  <c r="H656" i="6"/>
  <c r="T656" i="5" s="1"/>
  <c r="G656" i="12" s="1"/>
  <c r="BB655" i="6"/>
  <c r="AF655" i="6"/>
  <c r="AB655" i="6"/>
  <c r="AV655" i="6"/>
  <c r="AE655" i="6"/>
  <c r="AM655" i="6"/>
  <c r="AO655" i="6"/>
  <c r="AI655" i="6"/>
  <c r="AQ655" i="6"/>
  <c r="L656" i="12"/>
  <c r="J656" i="12"/>
  <c r="AT655" i="6"/>
  <c r="AJ655" i="6"/>
  <c r="AP655" i="6"/>
  <c r="A656" i="6"/>
  <c r="N656" i="6" s="1"/>
  <c r="BG655" i="6"/>
  <c r="AU655" i="6"/>
  <c r="AR655" i="6"/>
  <c r="BF655" i="6"/>
  <c r="BE655" i="6"/>
  <c r="AN655" i="6"/>
  <c r="K657" i="5"/>
  <c r="J657" i="5"/>
  <c r="B657" i="5"/>
  <c r="G657" i="5"/>
  <c r="C658" i="5"/>
  <c r="D657" i="5"/>
  <c r="B657" i="12" s="1"/>
  <c r="H657" i="5"/>
  <c r="F657" i="5"/>
  <c r="AE657" i="5"/>
  <c r="A657" i="12"/>
  <c r="N657" i="5"/>
  <c r="D657" i="6" s="1"/>
  <c r="AD657" i="5"/>
  <c r="B657" i="6"/>
  <c r="E657" i="5"/>
  <c r="BA655" i="6"/>
  <c r="AG655" i="6"/>
  <c r="AS655" i="6"/>
  <c r="AY655" i="6"/>
  <c r="BC655" i="6"/>
  <c r="AH655" i="6"/>
  <c r="BD655" i="6"/>
  <c r="AC655" i="6"/>
  <c r="AD655" i="6"/>
  <c r="AZ655" i="6"/>
  <c r="AK655" i="6"/>
  <c r="A657" i="6" l="1"/>
  <c r="N657" i="6" s="1"/>
  <c r="J657" i="12"/>
  <c r="L657" i="12"/>
  <c r="K656" i="12"/>
  <c r="H657" i="6"/>
  <c r="T657" i="5" s="1"/>
  <c r="G657" i="12" s="1"/>
  <c r="M656" i="6"/>
  <c r="J658" i="5"/>
  <c r="G658" i="5"/>
  <c r="B658" i="5"/>
  <c r="F658" i="5"/>
  <c r="N658" i="5"/>
  <c r="D658" i="6" s="1"/>
  <c r="H658" i="6" s="1"/>
  <c r="T658" i="5" s="1"/>
  <c r="D658" i="5"/>
  <c r="B658" i="12" s="1"/>
  <c r="C659" i="5"/>
  <c r="K658" i="5"/>
  <c r="AE658" i="5"/>
  <c r="E658" i="5"/>
  <c r="A658" i="12"/>
  <c r="AD658" i="5"/>
  <c r="B658" i="6"/>
  <c r="H658" i="5"/>
  <c r="K657" i="12" l="1"/>
  <c r="M657" i="6"/>
  <c r="AO657" i="6" s="1"/>
  <c r="A658" i="6"/>
  <c r="BG656" i="6"/>
  <c r="AB656" i="6"/>
  <c r="BA656" i="6"/>
  <c r="AR656" i="6"/>
  <c r="AU656" i="6"/>
  <c r="AY656" i="6"/>
  <c r="AS656" i="6"/>
  <c r="BD656" i="6"/>
  <c r="AH656" i="6"/>
  <c r="AO656" i="6"/>
  <c r="BB656" i="6"/>
  <c r="AX656" i="6"/>
  <c r="AK656" i="6"/>
  <c r="AZ656" i="6"/>
  <c r="AI656" i="6"/>
  <c r="BC656" i="6"/>
  <c r="AM656" i="6"/>
  <c r="AP656" i="6"/>
  <c r="AJ656" i="6"/>
  <c r="AC656" i="6"/>
  <c r="AN656" i="6"/>
  <c r="AQ656" i="6"/>
  <c r="AV656" i="6"/>
  <c r="AE656" i="6"/>
  <c r="AT656" i="6"/>
  <c r="BE656" i="6"/>
  <c r="AF656" i="6"/>
  <c r="AG656" i="6"/>
  <c r="AD656" i="6"/>
  <c r="BF656" i="6"/>
  <c r="K659" i="5"/>
  <c r="F659" i="5"/>
  <c r="B659" i="6"/>
  <c r="H659" i="5"/>
  <c r="J659" i="5"/>
  <c r="N659" i="5"/>
  <c r="D659" i="6" s="1"/>
  <c r="H659" i="6" s="1"/>
  <c r="T659" i="5" s="1"/>
  <c r="E659" i="5"/>
  <c r="AE659" i="5"/>
  <c r="D659" i="5"/>
  <c r="B659" i="12" s="1"/>
  <c r="B659" i="5"/>
  <c r="C660" i="5" s="1"/>
  <c r="G659" i="5"/>
  <c r="A659" i="12"/>
  <c r="AD659" i="5"/>
  <c r="J658" i="12"/>
  <c r="L658" i="12"/>
  <c r="G658" i="12"/>
  <c r="BA657" i="6" l="1"/>
  <c r="AN657" i="6"/>
  <c r="AT657" i="6"/>
  <c r="AF657" i="6"/>
  <c r="AB657" i="6"/>
  <c r="AI657" i="6"/>
  <c r="BC657" i="6"/>
  <c r="AP657" i="6"/>
  <c r="AD657" i="6"/>
  <c r="AG657" i="6"/>
  <c r="AH657" i="6"/>
  <c r="AY657" i="6"/>
  <c r="AC657" i="6"/>
  <c r="BG657" i="6"/>
  <c r="AX657" i="6"/>
  <c r="AU657" i="6"/>
  <c r="BE657" i="6"/>
  <c r="AS657" i="6"/>
  <c r="AE657" i="6"/>
  <c r="BD657" i="6"/>
  <c r="AJ657" i="6"/>
  <c r="AK657" i="6"/>
  <c r="AZ657" i="6"/>
  <c r="AV657" i="6"/>
  <c r="AM657" i="6"/>
  <c r="BB657" i="6"/>
  <c r="AQ657" i="6"/>
  <c r="BF657" i="6"/>
  <c r="AR657" i="6"/>
  <c r="K658" i="12"/>
  <c r="N658" i="6"/>
  <c r="M658" i="6"/>
  <c r="A659" i="6"/>
  <c r="C661" i="5"/>
  <c r="AE660" i="5"/>
  <c r="G660" i="5"/>
  <c r="A660" i="12"/>
  <c r="F660" i="5"/>
  <c r="AD660" i="5"/>
  <c r="E660" i="5"/>
  <c r="B660" i="6"/>
  <c r="B660" i="5"/>
  <c r="N660" i="5"/>
  <c r="D660" i="6" s="1"/>
  <c r="H660" i="6" s="1"/>
  <c r="T660" i="5" s="1"/>
  <c r="H660" i="5"/>
  <c r="L659" i="12"/>
  <c r="J659" i="12"/>
  <c r="G659" i="12"/>
  <c r="F661" i="5" l="1"/>
  <c r="H661" i="5"/>
  <c r="W660" i="5"/>
  <c r="H660" i="12" s="1"/>
  <c r="AY658" i="6"/>
  <c r="AS658" i="6"/>
  <c r="BF658" i="6"/>
  <c r="AR658" i="6"/>
  <c r="AI658" i="6"/>
  <c r="AU658" i="6"/>
  <c r="BA658" i="6"/>
  <c r="AK658" i="6"/>
  <c r="AQ658" i="6"/>
  <c r="AM658" i="6"/>
  <c r="AO658" i="6"/>
  <c r="BD658" i="6"/>
  <c r="AN658" i="6"/>
  <c r="AT658" i="6"/>
  <c r="AZ658" i="6"/>
  <c r="AB658" i="6"/>
  <c r="AV658" i="6"/>
  <c r="BC658" i="6"/>
  <c r="AD658" i="6"/>
  <c r="AJ658" i="6"/>
  <c r="AE658" i="6"/>
  <c r="AH658" i="6"/>
  <c r="AF658" i="6"/>
  <c r="AX658" i="6"/>
  <c r="BE658" i="6"/>
  <c r="AG658" i="6"/>
  <c r="BB658" i="6"/>
  <c r="BG658" i="6"/>
  <c r="AC658" i="6"/>
  <c r="AP658" i="6"/>
  <c r="K659" i="12"/>
  <c r="G660" i="6"/>
  <c r="G661" i="5"/>
  <c r="A660" i="6"/>
  <c r="B661" i="5"/>
  <c r="A661" i="12"/>
  <c r="C662" i="5"/>
  <c r="N661" i="5"/>
  <c r="D661" i="6" s="1"/>
  <c r="AE661" i="5"/>
  <c r="E661" i="5"/>
  <c r="B661" i="6"/>
  <c r="AD661" i="5"/>
  <c r="K661" i="5"/>
  <c r="D661" i="5"/>
  <c r="B661" i="12" s="1"/>
  <c r="J661" i="5"/>
  <c r="N659" i="6"/>
  <c r="M659" i="6"/>
  <c r="E660" i="12"/>
  <c r="F660" i="6"/>
  <c r="N660" i="6"/>
  <c r="M660" i="6"/>
  <c r="AG660" i="6" s="1"/>
  <c r="G660" i="12"/>
  <c r="A661" i="6" l="1"/>
  <c r="M661" i="6" s="1"/>
  <c r="H661" i="6"/>
  <c r="T661" i="5" s="1"/>
  <c r="E662" i="5"/>
  <c r="C663" i="5"/>
  <c r="N662" i="5"/>
  <c r="D662" i="6" s="1"/>
  <c r="AD662" i="5"/>
  <c r="AE662" i="5"/>
  <c r="D662" i="5"/>
  <c r="B662" i="12" s="1"/>
  <c r="H662" i="5"/>
  <c r="B662" i="6"/>
  <c r="K662" i="5"/>
  <c r="A662" i="12"/>
  <c r="G662" i="5"/>
  <c r="B662" i="5"/>
  <c r="F662" i="5"/>
  <c r="J662" i="5"/>
  <c r="J661" i="12"/>
  <c r="L661" i="12"/>
  <c r="AO659" i="6"/>
  <c r="AQ659" i="6"/>
  <c r="BB659" i="6"/>
  <c r="BA659" i="6"/>
  <c r="AT659" i="6"/>
  <c r="AZ659" i="6"/>
  <c r="AY659" i="6"/>
  <c r="AR659" i="6"/>
  <c r="AX659" i="6"/>
  <c r="AV659" i="6"/>
  <c r="BC659" i="6"/>
  <c r="AE659" i="6"/>
  <c r="AU659" i="6"/>
  <c r="AC659" i="6"/>
  <c r="AS659" i="6"/>
  <c r="AG659" i="6"/>
  <c r="BE659" i="6"/>
  <c r="AD659" i="6"/>
  <c r="BF659" i="6"/>
  <c r="AH659" i="6"/>
  <c r="BD659" i="6"/>
  <c r="AP659" i="6"/>
  <c r="AB659" i="6"/>
  <c r="BG659" i="6"/>
  <c r="AK659" i="6"/>
  <c r="AI659" i="6"/>
  <c r="AM659" i="6"/>
  <c r="AN659" i="6"/>
  <c r="AF659" i="6"/>
  <c r="AJ659" i="6"/>
  <c r="AH660" i="6"/>
  <c r="BF660" i="6"/>
  <c r="AF660" i="6"/>
  <c r="AM660" i="6"/>
  <c r="AI660" i="6"/>
  <c r="AJ660" i="6"/>
  <c r="AR660" i="6"/>
  <c r="AX660" i="6"/>
  <c r="AD660" i="6"/>
  <c r="AB660" i="6"/>
  <c r="AS660" i="6"/>
  <c r="AZ660" i="6"/>
  <c r="BG660" i="6"/>
  <c r="BD660" i="6"/>
  <c r="BA660" i="6"/>
  <c r="AP660" i="6"/>
  <c r="AV660" i="6"/>
  <c r="AT660" i="6"/>
  <c r="AQ660" i="6"/>
  <c r="AN660" i="6"/>
  <c r="AO660" i="6"/>
  <c r="AE660" i="6"/>
  <c r="AC660" i="6"/>
  <c r="AU660" i="6"/>
  <c r="AY660" i="6"/>
  <c r="BE660" i="6"/>
  <c r="BB660" i="6"/>
  <c r="BC660" i="6"/>
  <c r="AK660" i="6"/>
  <c r="N661" i="6" l="1"/>
  <c r="A662" i="6"/>
  <c r="M662" i="6" s="1"/>
  <c r="K661" i="12"/>
  <c r="L662" i="12"/>
  <c r="J662" i="12"/>
  <c r="H662" i="6"/>
  <c r="T662" i="5" s="1"/>
  <c r="AE663" i="5"/>
  <c r="N663" i="5"/>
  <c r="D663" i="6" s="1"/>
  <c r="E663" i="5"/>
  <c r="AD663" i="5"/>
  <c r="D663" i="5"/>
  <c r="B663" i="12" s="1"/>
  <c r="H663" i="5"/>
  <c r="K663" i="5"/>
  <c r="C664" i="5"/>
  <c r="J663" i="5"/>
  <c r="A663" i="12"/>
  <c r="G663" i="5"/>
  <c r="B663" i="5"/>
  <c r="B663" i="6"/>
  <c r="F663" i="5"/>
  <c r="G661" i="12"/>
  <c r="AV661" i="6"/>
  <c r="AT661" i="6"/>
  <c r="AR661" i="6"/>
  <c r="AY661" i="6"/>
  <c r="AN661" i="6"/>
  <c r="AP661" i="6"/>
  <c r="BG661" i="6"/>
  <c r="BD661" i="6"/>
  <c r="BB661" i="6"/>
  <c r="AZ661" i="6"/>
  <c r="BC661" i="6"/>
  <c r="AU661" i="6"/>
  <c r="AS661" i="6"/>
  <c r="AQ661" i="6"/>
  <c r="BF661" i="6"/>
  <c r="BE661" i="6"/>
  <c r="AM661" i="6"/>
  <c r="AX661" i="6"/>
  <c r="BA661" i="6"/>
  <c r="AF661" i="6"/>
  <c r="AO661" i="6"/>
  <c r="AG661" i="6"/>
  <c r="AB661" i="6"/>
  <c r="AC661" i="6"/>
  <c r="AD661" i="6"/>
  <c r="AE661" i="6"/>
  <c r="AI661" i="6"/>
  <c r="AH661" i="6"/>
  <c r="AK661" i="6"/>
  <c r="AJ661" i="6"/>
  <c r="N662" i="6" l="1"/>
  <c r="A663" i="6"/>
  <c r="M663" i="6" s="1"/>
  <c r="K662" i="12"/>
  <c r="G662" i="12"/>
  <c r="J663" i="12"/>
  <c r="L663" i="12"/>
  <c r="H663" i="6"/>
  <c r="T663" i="5" s="1"/>
  <c r="AE664" i="5"/>
  <c r="E664" i="5"/>
  <c r="A664" i="12"/>
  <c r="AD664" i="5"/>
  <c r="B664" i="6"/>
  <c r="H664" i="5"/>
  <c r="K664" i="5"/>
  <c r="D664" i="5"/>
  <c r="B664" i="12" s="1"/>
  <c r="G664" i="5"/>
  <c r="J664" i="5"/>
  <c r="B664" i="5"/>
  <c r="C665" i="5" s="1"/>
  <c r="F664" i="5"/>
  <c r="N664" i="5"/>
  <c r="D664" i="6" s="1"/>
  <c r="AN662" i="6"/>
  <c r="AP662" i="6"/>
  <c r="BD662" i="6"/>
  <c r="BB662" i="6"/>
  <c r="AZ662" i="6"/>
  <c r="AU662" i="6"/>
  <c r="AS662" i="6"/>
  <c r="AQ662" i="6"/>
  <c r="AM662" i="6"/>
  <c r="BF662" i="6"/>
  <c r="AX662" i="6"/>
  <c r="BE662" i="6"/>
  <c r="BC662" i="6"/>
  <c r="BA662" i="6"/>
  <c r="BG662" i="6"/>
  <c r="AO662" i="6"/>
  <c r="AV662" i="6"/>
  <c r="AT662" i="6"/>
  <c r="AR662" i="6"/>
  <c r="AY662" i="6"/>
  <c r="AF662" i="6"/>
  <c r="AH662" i="6"/>
  <c r="AI662" i="6"/>
  <c r="AJ662" i="6"/>
  <c r="AK662" i="6"/>
  <c r="AE662" i="6"/>
  <c r="AB662" i="6"/>
  <c r="AD662" i="6"/>
  <c r="AG662" i="6"/>
  <c r="AC662" i="6"/>
  <c r="N663" i="6" l="1"/>
  <c r="K663" i="12"/>
  <c r="A664" i="6"/>
  <c r="N664" i="6" s="1"/>
  <c r="H664" i="6"/>
  <c r="T664" i="5" s="1"/>
  <c r="G663" i="12"/>
  <c r="G665" i="5"/>
  <c r="B665" i="6"/>
  <c r="B665" i="5"/>
  <c r="A665" i="12"/>
  <c r="F665" i="5"/>
  <c r="N665" i="5"/>
  <c r="D665" i="6" s="1"/>
  <c r="C666" i="5"/>
  <c r="E665" i="5"/>
  <c r="AE665" i="5"/>
  <c r="H665" i="5"/>
  <c r="AD665" i="5"/>
  <c r="L664" i="12"/>
  <c r="J664" i="12"/>
  <c r="AJ663" i="6"/>
  <c r="BE663" i="6"/>
  <c r="BC663" i="6"/>
  <c r="BA663" i="6"/>
  <c r="BG663" i="6"/>
  <c r="AX663" i="6"/>
  <c r="AV663" i="6"/>
  <c r="AT663" i="6"/>
  <c r="AR663" i="6"/>
  <c r="AY663" i="6"/>
  <c r="BF663" i="6"/>
  <c r="AM663" i="6"/>
  <c r="AN663" i="6"/>
  <c r="AP663" i="6"/>
  <c r="AH663" i="6"/>
  <c r="BD663" i="6"/>
  <c r="BB663" i="6"/>
  <c r="AZ663" i="6"/>
  <c r="AU663" i="6"/>
  <c r="AS663" i="6"/>
  <c r="AQ663" i="6"/>
  <c r="AO663" i="6"/>
  <c r="AF663" i="6"/>
  <c r="AB663" i="6"/>
  <c r="AG663" i="6"/>
  <c r="AD663" i="6"/>
  <c r="AC663" i="6"/>
  <c r="AE663" i="6"/>
  <c r="AI663" i="6"/>
  <c r="AK663" i="6"/>
  <c r="W665" i="5" l="1"/>
  <c r="H665" i="12" s="1"/>
  <c r="M664" i="6"/>
  <c r="AS664" i="6" s="1"/>
  <c r="A665" i="6"/>
  <c r="M665" i="6" s="1"/>
  <c r="G664" i="12"/>
  <c r="K664" i="12"/>
  <c r="E666" i="5"/>
  <c r="K666" i="5"/>
  <c r="H666" i="5"/>
  <c r="N666" i="5"/>
  <c r="D666" i="6" s="1"/>
  <c r="G666" i="5"/>
  <c r="J666" i="5"/>
  <c r="D666" i="5"/>
  <c r="B666" i="12" s="1"/>
  <c r="A666" i="12"/>
  <c r="B666" i="5"/>
  <c r="C667" i="5"/>
  <c r="B666" i="6"/>
  <c r="AD666" i="5"/>
  <c r="AE666" i="5"/>
  <c r="F666" i="5"/>
  <c r="F665" i="6"/>
  <c r="E665" i="12"/>
  <c r="H665" i="6"/>
  <c r="T665" i="5" s="1"/>
  <c r="G665" i="6"/>
  <c r="BC664" i="6" l="1"/>
  <c r="BE664" i="6"/>
  <c r="AG664" i="6"/>
  <c r="AY664" i="6"/>
  <c r="AO664" i="6"/>
  <c r="BB664" i="6"/>
  <c r="BD664" i="6"/>
  <c r="AF664" i="6"/>
  <c r="AH664" i="6"/>
  <c r="AB664" i="6"/>
  <c r="AR664" i="6"/>
  <c r="AX664" i="6"/>
  <c r="AK664" i="6"/>
  <c r="AT664" i="6"/>
  <c r="AM664" i="6"/>
  <c r="AP664" i="6"/>
  <c r="AC664" i="6"/>
  <c r="AI664" i="6"/>
  <c r="AN664" i="6"/>
  <c r="AZ664" i="6"/>
  <c r="A666" i="6"/>
  <c r="M666" i="6" s="1"/>
  <c r="AU664" i="6"/>
  <c r="AD664" i="6"/>
  <c r="N665" i="6"/>
  <c r="AV664" i="6"/>
  <c r="BF664" i="6"/>
  <c r="AE664" i="6"/>
  <c r="BG664" i="6"/>
  <c r="AQ664" i="6"/>
  <c r="AJ664" i="6"/>
  <c r="BA664" i="6"/>
  <c r="H666" i="6"/>
  <c r="T666" i="5" s="1"/>
  <c r="G665" i="12"/>
  <c r="H667" i="5"/>
  <c r="B667" i="5"/>
  <c r="G667" i="5"/>
  <c r="C668" i="5"/>
  <c r="E667" i="5"/>
  <c r="J667" i="5"/>
  <c r="A667" i="12"/>
  <c r="AE667" i="5"/>
  <c r="F667" i="5"/>
  <c r="B667" i="6"/>
  <c r="D667" i="5"/>
  <c r="B667" i="12" s="1"/>
  <c r="K667" i="5"/>
  <c r="AD667" i="5"/>
  <c r="N667" i="5"/>
  <c r="D667" i="6" s="1"/>
  <c r="L666" i="12"/>
  <c r="J666" i="12"/>
  <c r="AU665" i="6"/>
  <c r="AS665" i="6"/>
  <c r="AQ665" i="6"/>
  <c r="AM665" i="6"/>
  <c r="AJ665" i="6"/>
  <c r="AH665" i="6"/>
  <c r="AF665" i="6"/>
  <c r="BF665" i="6"/>
  <c r="BE665" i="6"/>
  <c r="BC665" i="6"/>
  <c r="BA665" i="6"/>
  <c r="BG665" i="6"/>
  <c r="AX665" i="6"/>
  <c r="AV665" i="6"/>
  <c r="AT665" i="6"/>
  <c r="AR665" i="6"/>
  <c r="AY665" i="6"/>
  <c r="AO665" i="6"/>
  <c r="AN665" i="6"/>
  <c r="AK665" i="6"/>
  <c r="AI665" i="6"/>
  <c r="AP665" i="6"/>
  <c r="BD665" i="6"/>
  <c r="BB665" i="6"/>
  <c r="AZ665" i="6"/>
  <c r="AE665" i="6"/>
  <c r="AB665" i="6"/>
  <c r="AG665" i="6"/>
  <c r="AD665" i="6"/>
  <c r="AC665" i="6"/>
  <c r="N666" i="6" l="1"/>
  <c r="K666" i="12"/>
  <c r="A667" i="6"/>
  <c r="N667" i="6" s="1"/>
  <c r="H667" i="6"/>
  <c r="T667" i="5" s="1"/>
  <c r="J667" i="12"/>
  <c r="L667" i="12"/>
  <c r="G666" i="12"/>
  <c r="A668" i="12"/>
  <c r="B668" i="5"/>
  <c r="C669" i="5" s="1"/>
  <c r="G668" i="5"/>
  <c r="F668" i="5"/>
  <c r="B668" i="6"/>
  <c r="D668" i="5"/>
  <c r="B668" i="12" s="1"/>
  <c r="N668" i="5"/>
  <c r="D668" i="6" s="1"/>
  <c r="K668" i="5"/>
  <c r="H668" i="5"/>
  <c r="AE668" i="5"/>
  <c r="E668" i="5"/>
  <c r="AD668" i="5"/>
  <c r="J668" i="5"/>
  <c r="AM666" i="6"/>
  <c r="AO666" i="6"/>
  <c r="BE666" i="6"/>
  <c r="BC666" i="6"/>
  <c r="BA666" i="6"/>
  <c r="BG666" i="6"/>
  <c r="AV666" i="6"/>
  <c r="AT666" i="6"/>
  <c r="AR666" i="6"/>
  <c r="AY666" i="6"/>
  <c r="BF666" i="6"/>
  <c r="AN666" i="6"/>
  <c r="AK666" i="6"/>
  <c r="AI666" i="6"/>
  <c r="AP666" i="6"/>
  <c r="AC666" i="6"/>
  <c r="AG666" i="6"/>
  <c r="BD666" i="6"/>
  <c r="BB666" i="6"/>
  <c r="AZ666" i="6"/>
  <c r="AU666" i="6"/>
  <c r="AS666" i="6"/>
  <c r="AQ666" i="6"/>
  <c r="AX666" i="6"/>
  <c r="AH666" i="6"/>
  <c r="AJ666" i="6"/>
  <c r="AD666" i="6"/>
  <c r="AF666" i="6"/>
  <c r="AB666" i="6"/>
  <c r="AE666" i="6"/>
  <c r="M667" i="6" l="1"/>
  <c r="AO667" i="6" s="1"/>
  <c r="A668" i="6"/>
  <c r="M668" i="6" s="1"/>
  <c r="K667" i="12"/>
  <c r="AE669" i="5"/>
  <c r="AD669" i="5"/>
  <c r="B669" i="6"/>
  <c r="E669" i="5"/>
  <c r="B669" i="5"/>
  <c r="A669" i="12"/>
  <c r="H669" i="5"/>
  <c r="C670" i="5"/>
  <c r="G669" i="5"/>
  <c r="F669" i="5"/>
  <c r="N669" i="5"/>
  <c r="D669" i="6" s="1"/>
  <c r="L668" i="12"/>
  <c r="J668" i="12"/>
  <c r="G667" i="12"/>
  <c r="H668" i="6"/>
  <c r="T668" i="5" s="1"/>
  <c r="AI667" i="6" l="1"/>
  <c r="AH667" i="6"/>
  <c r="AT667" i="6"/>
  <c r="AR667" i="6"/>
  <c r="AF667" i="6"/>
  <c r="AE667" i="6"/>
  <c r="AM667" i="6"/>
  <c r="AX667" i="6"/>
  <c r="AD667" i="6"/>
  <c r="AC667" i="6"/>
  <c r="AZ667" i="6"/>
  <c r="AV667" i="6"/>
  <c r="BF667" i="6"/>
  <c r="BB667" i="6"/>
  <c r="BG667" i="6"/>
  <c r="AQ667" i="6"/>
  <c r="AB667" i="6"/>
  <c r="BD667" i="6"/>
  <c r="BA667" i="6"/>
  <c r="AS667" i="6"/>
  <c r="AK667" i="6"/>
  <c r="AP667" i="6"/>
  <c r="BC667" i="6"/>
  <c r="AU667" i="6"/>
  <c r="AG667" i="6"/>
  <c r="AN667" i="6"/>
  <c r="BE667" i="6"/>
  <c r="AJ667" i="6"/>
  <c r="AY667" i="6"/>
  <c r="N668" i="6"/>
  <c r="A669" i="6"/>
  <c r="W669" i="5"/>
  <c r="H669" i="12" s="1"/>
  <c r="G668" i="12"/>
  <c r="A670" i="12"/>
  <c r="N670" i="5"/>
  <c r="D670" i="6" s="1"/>
  <c r="AD670" i="5"/>
  <c r="F670" i="5"/>
  <c r="J670" i="5"/>
  <c r="H670" i="5"/>
  <c r="C671" i="5"/>
  <c r="B670" i="6"/>
  <c r="AE670" i="5"/>
  <c r="K670" i="5"/>
  <c r="G670" i="5"/>
  <c r="B670" i="5"/>
  <c r="E670" i="5"/>
  <c r="D670" i="5"/>
  <c r="B670" i="12" s="1"/>
  <c r="K668" i="12"/>
  <c r="F669" i="6"/>
  <c r="E669" i="12"/>
  <c r="H669" i="6"/>
  <c r="T669" i="5" s="1"/>
  <c r="G669" i="6"/>
  <c r="BD668" i="6"/>
  <c r="BB668" i="6"/>
  <c r="AZ668" i="6"/>
  <c r="AU668" i="6"/>
  <c r="AS668" i="6"/>
  <c r="AQ668" i="6"/>
  <c r="AF668" i="6"/>
  <c r="AM668" i="6"/>
  <c r="AO668" i="6"/>
  <c r="BE668" i="6"/>
  <c r="BC668" i="6"/>
  <c r="BA668" i="6"/>
  <c r="BG668" i="6"/>
  <c r="BF668" i="6"/>
  <c r="AV668" i="6"/>
  <c r="AT668" i="6"/>
  <c r="AR668" i="6"/>
  <c r="AY668" i="6"/>
  <c r="AX668" i="6"/>
  <c r="AN668" i="6"/>
  <c r="AP668" i="6"/>
  <c r="AG668" i="6"/>
  <c r="AI668" i="6"/>
  <c r="AB668" i="6"/>
  <c r="AH668" i="6"/>
  <c r="AC668" i="6"/>
  <c r="AK668" i="6"/>
  <c r="AD668" i="6"/>
  <c r="AJ668" i="6"/>
  <c r="AE668" i="6"/>
  <c r="N669" i="6"/>
  <c r="M669" i="6"/>
  <c r="H670" i="6" l="1"/>
  <c r="T670" i="5" s="1"/>
  <c r="E671" i="5"/>
  <c r="AE671" i="5"/>
  <c r="AD671" i="5"/>
  <c r="G671" i="5"/>
  <c r="N671" i="5"/>
  <c r="D671" i="6" s="1"/>
  <c r="F671" i="5"/>
  <c r="H671" i="5"/>
  <c r="B671" i="5"/>
  <c r="A671" i="12"/>
  <c r="D671" i="5"/>
  <c r="B671" i="12" s="1"/>
  <c r="C672" i="5"/>
  <c r="J671" i="5"/>
  <c r="B671" i="6"/>
  <c r="K671" i="5"/>
  <c r="L670" i="12"/>
  <c r="J670" i="12"/>
  <c r="A670" i="6"/>
  <c r="N670" i="6" s="1"/>
  <c r="G669" i="12"/>
  <c r="AV669" i="6"/>
  <c r="AT669" i="6"/>
  <c r="AR669" i="6"/>
  <c r="AY669" i="6"/>
  <c r="AN669" i="6"/>
  <c r="AP669" i="6"/>
  <c r="BD669" i="6"/>
  <c r="BB669" i="6"/>
  <c r="AZ669" i="6"/>
  <c r="AU669" i="6"/>
  <c r="AS669" i="6"/>
  <c r="AQ669" i="6"/>
  <c r="BF669" i="6"/>
  <c r="AM669" i="6"/>
  <c r="AX669" i="6"/>
  <c r="AO669" i="6"/>
  <c r="BE669" i="6"/>
  <c r="BC669" i="6"/>
  <c r="BA669" i="6"/>
  <c r="BG669" i="6"/>
  <c r="AH669" i="6"/>
  <c r="AE669" i="6"/>
  <c r="AJ669" i="6"/>
  <c r="AB669" i="6"/>
  <c r="AF669" i="6"/>
  <c r="AD669" i="6"/>
  <c r="AI669" i="6"/>
  <c r="AK669" i="6"/>
  <c r="AC669" i="6"/>
  <c r="AG669" i="6"/>
  <c r="A671" i="6" l="1"/>
  <c r="N671" i="6" s="1"/>
  <c r="M670" i="6"/>
  <c r="BF670" i="6" s="1"/>
  <c r="K670" i="12"/>
  <c r="L671" i="12"/>
  <c r="J671" i="12"/>
  <c r="G670" i="12"/>
  <c r="H671" i="6"/>
  <c r="T671" i="5" s="1"/>
  <c r="K672" i="5"/>
  <c r="J672" i="5"/>
  <c r="A672" i="12"/>
  <c r="G672" i="5"/>
  <c r="AE672" i="5"/>
  <c r="B672" i="6"/>
  <c r="F672" i="5"/>
  <c r="E672" i="5"/>
  <c r="AD672" i="5"/>
  <c r="B672" i="5"/>
  <c r="D672" i="5"/>
  <c r="B672" i="12" s="1"/>
  <c r="N672" i="5"/>
  <c r="D672" i="6" s="1"/>
  <c r="H672" i="5"/>
  <c r="C673" i="5"/>
  <c r="M671" i="6" l="1"/>
  <c r="AM671" i="6" s="1"/>
  <c r="AC670" i="6"/>
  <c r="AP670" i="6"/>
  <c r="AJ670" i="6"/>
  <c r="AX670" i="6"/>
  <c r="AV670" i="6"/>
  <c r="AZ670" i="6"/>
  <c r="BG670" i="6"/>
  <c r="AF670" i="6"/>
  <c r="AR670" i="6"/>
  <c r="BA670" i="6"/>
  <c r="AD670" i="6"/>
  <c r="BE670" i="6"/>
  <c r="BD670" i="6"/>
  <c r="BB670" i="6"/>
  <c r="AK670" i="6"/>
  <c r="AY670" i="6"/>
  <c r="AE670" i="6"/>
  <c r="AM670" i="6"/>
  <c r="AI670" i="6"/>
  <c r="AG670" i="6"/>
  <c r="AN670" i="6"/>
  <c r="AQ670" i="6"/>
  <c r="AB670" i="6"/>
  <c r="AT670" i="6"/>
  <c r="BC670" i="6"/>
  <c r="AH670" i="6"/>
  <c r="AS670" i="6"/>
  <c r="AO670" i="6"/>
  <c r="AU670" i="6"/>
  <c r="A672" i="6"/>
  <c r="M672" i="6" s="1"/>
  <c r="K671" i="12"/>
  <c r="L672" i="12"/>
  <c r="J672" i="12"/>
  <c r="H673" i="5"/>
  <c r="F673" i="5"/>
  <c r="C674" i="5"/>
  <c r="AE673" i="5"/>
  <c r="B673" i="5"/>
  <c r="G673" i="5"/>
  <c r="A673" i="12"/>
  <c r="K673" i="5"/>
  <c r="N673" i="5"/>
  <c r="D673" i="6" s="1"/>
  <c r="AD673" i="5"/>
  <c r="D673" i="5"/>
  <c r="B673" i="12" s="1"/>
  <c r="B673" i="6"/>
  <c r="J673" i="5"/>
  <c r="E673" i="5"/>
  <c r="H672" i="6"/>
  <c r="T672" i="5" s="1"/>
  <c r="G671" i="12"/>
  <c r="K71" i="5"/>
  <c r="K539" i="5"/>
  <c r="BG671" i="6" l="1"/>
  <c r="BC671" i="6"/>
  <c r="AY671" i="6"/>
  <c r="BB671" i="6"/>
  <c r="AO671" i="6"/>
  <c r="AE671" i="6"/>
  <c r="BE671" i="6"/>
  <c r="N672" i="6"/>
  <c r="AC671" i="6"/>
  <c r="AR671" i="6"/>
  <c r="AT671" i="6"/>
  <c r="AD671" i="6"/>
  <c r="AP671" i="6"/>
  <c r="AH671" i="6"/>
  <c r="BD671" i="6"/>
  <c r="AK671" i="6"/>
  <c r="AJ671" i="6"/>
  <c r="AX671" i="6"/>
  <c r="BA671" i="6"/>
  <c r="AB671" i="6"/>
  <c r="AG671" i="6"/>
  <c r="AV671" i="6"/>
  <c r="AQ671" i="6"/>
  <c r="AS671" i="6"/>
  <c r="AN671" i="6"/>
  <c r="BF671" i="6"/>
  <c r="AF671" i="6"/>
  <c r="AU671" i="6"/>
  <c r="AZ671" i="6"/>
  <c r="AI671" i="6"/>
  <c r="A673" i="6"/>
  <c r="M673" i="6" s="1"/>
  <c r="H673" i="6"/>
  <c r="T673" i="5" s="1"/>
  <c r="G672" i="12"/>
  <c r="L673" i="12"/>
  <c r="J673" i="12"/>
  <c r="B674" i="6"/>
  <c r="N674" i="5"/>
  <c r="D674" i="6" s="1"/>
  <c r="E674" i="5"/>
  <c r="B674" i="5"/>
  <c r="J674" i="5"/>
  <c r="AD674" i="5"/>
  <c r="AE674" i="5"/>
  <c r="G674" i="5"/>
  <c r="H674" i="5"/>
  <c r="F674" i="5"/>
  <c r="D674" i="5"/>
  <c r="B674" i="12" s="1"/>
  <c r="A674" i="12"/>
  <c r="K674" i="5"/>
  <c r="C675" i="5"/>
  <c r="K672" i="12"/>
  <c r="AQ672" i="6"/>
  <c r="AZ672" i="6"/>
  <c r="AU672" i="6"/>
  <c r="AX672" i="6"/>
  <c r="BA672" i="6"/>
  <c r="AR672" i="6"/>
  <c r="BF672" i="6"/>
  <c r="AT672" i="6"/>
  <c r="AO672" i="6"/>
  <c r="AP672" i="6"/>
  <c r="AS672" i="6"/>
  <c r="BB672" i="6"/>
  <c r="AY672" i="6"/>
  <c r="AV672" i="6"/>
  <c r="BG672" i="6"/>
  <c r="AM672" i="6"/>
  <c r="BC672" i="6"/>
  <c r="AG672" i="6"/>
  <c r="AF672" i="6"/>
  <c r="BE672" i="6"/>
  <c r="AN672" i="6"/>
  <c r="BD672" i="6"/>
  <c r="AD672" i="6"/>
  <c r="AI672" i="6"/>
  <c r="AK672" i="6"/>
  <c r="AE672" i="6"/>
  <c r="AH672" i="6"/>
  <c r="AC672" i="6"/>
  <c r="AB672" i="6"/>
  <c r="AJ672" i="6"/>
  <c r="N673" i="6" l="1"/>
  <c r="A674" i="6"/>
  <c r="N674" i="6" s="1"/>
  <c r="K673" i="12"/>
  <c r="J675" i="5"/>
  <c r="N675" i="5"/>
  <c r="D675" i="6" s="1"/>
  <c r="AE675" i="5"/>
  <c r="C676" i="5"/>
  <c r="AD675" i="5"/>
  <c r="G675" i="5"/>
  <c r="B675" i="5"/>
  <c r="A675" i="12"/>
  <c r="H675" i="5"/>
  <c r="D675" i="5"/>
  <c r="B675" i="12" s="1"/>
  <c r="F675" i="5"/>
  <c r="B675" i="6"/>
  <c r="K675" i="5"/>
  <c r="E675" i="5"/>
  <c r="J674" i="12"/>
  <c r="L674" i="12"/>
  <c r="G673" i="12"/>
  <c r="H674" i="6"/>
  <c r="T674" i="5" s="1"/>
  <c r="BF673" i="6"/>
  <c r="AV673" i="6"/>
  <c r="AM673" i="6"/>
  <c r="AY673" i="6"/>
  <c r="BC673" i="6"/>
  <c r="AQ673" i="6"/>
  <c r="AO673" i="6"/>
  <c r="AI673" i="6"/>
  <c r="AE673" i="6"/>
  <c r="AF673" i="6"/>
  <c r="BE673" i="6"/>
  <c r="AT673" i="6"/>
  <c r="AP673" i="6"/>
  <c r="AD673" i="6"/>
  <c r="BG673" i="6"/>
  <c r="BB673" i="6"/>
  <c r="BA673" i="6"/>
  <c r="AB673" i="6"/>
  <c r="AG673" i="6"/>
  <c r="AS673" i="6"/>
  <c r="AU673" i="6"/>
  <c r="AN673" i="6"/>
  <c r="AC673" i="6"/>
  <c r="AX673" i="6"/>
  <c r="AR673" i="6"/>
  <c r="BD673" i="6"/>
  <c r="AZ673" i="6"/>
  <c r="AJ673" i="6"/>
  <c r="AK673" i="6"/>
  <c r="AH673" i="6"/>
  <c r="J87" i="5"/>
  <c r="M674" i="6" l="1"/>
  <c r="AR674" i="6" s="1"/>
  <c r="A675" i="6"/>
  <c r="M675" i="6" s="1"/>
  <c r="E676" i="5"/>
  <c r="F676" i="5"/>
  <c r="J676" i="5"/>
  <c r="A676" i="12"/>
  <c r="AE676" i="5"/>
  <c r="N676" i="5"/>
  <c r="D676" i="6" s="1"/>
  <c r="H676" i="5"/>
  <c r="B676" i="6"/>
  <c r="K676" i="5"/>
  <c r="D676" i="5"/>
  <c r="B676" i="12" s="1"/>
  <c r="C677" i="5"/>
  <c r="B676" i="5"/>
  <c r="G676" i="5"/>
  <c r="AD676" i="5"/>
  <c r="J675" i="12"/>
  <c r="L675" i="12"/>
  <c r="H675" i="6"/>
  <c r="T675" i="5" s="1"/>
  <c r="G674" i="12"/>
  <c r="K674" i="12"/>
  <c r="AX674" i="6" l="1"/>
  <c r="BG674" i="6"/>
  <c r="AJ674" i="6"/>
  <c r="AD674" i="6"/>
  <c r="BD674" i="6"/>
  <c r="AP674" i="6"/>
  <c r="AK674" i="6"/>
  <c r="AB674" i="6"/>
  <c r="AO674" i="6"/>
  <c r="AZ674" i="6"/>
  <c r="BA674" i="6"/>
  <c r="AC674" i="6"/>
  <c r="AU674" i="6"/>
  <c r="AN674" i="6"/>
  <c r="AG674" i="6"/>
  <c r="AQ674" i="6"/>
  <c r="AY674" i="6"/>
  <c r="AE674" i="6"/>
  <c r="AI674" i="6"/>
  <c r="AT674" i="6"/>
  <c r="AV674" i="6"/>
  <c r="BF674" i="6"/>
  <c r="AM674" i="6"/>
  <c r="AF674" i="6"/>
  <c r="AH674" i="6"/>
  <c r="BB674" i="6"/>
  <c r="AS674" i="6"/>
  <c r="BC674" i="6"/>
  <c r="BE674" i="6"/>
  <c r="N675" i="6"/>
  <c r="L676" i="12"/>
  <c r="J676" i="12"/>
  <c r="H676" i="6"/>
  <c r="T676" i="5" s="1"/>
  <c r="B677" i="5"/>
  <c r="C678" i="5"/>
  <c r="F677" i="5"/>
  <c r="E677" i="5"/>
  <c r="G677" i="5"/>
  <c r="K677" i="5"/>
  <c r="A677" i="12"/>
  <c r="H677" i="5"/>
  <c r="D677" i="5"/>
  <c r="B677" i="12" s="1"/>
  <c r="J677" i="5"/>
  <c r="N677" i="5"/>
  <c r="D677" i="6" s="1"/>
  <c r="B677" i="6"/>
  <c r="AE677" i="5"/>
  <c r="AD677" i="5"/>
  <c r="A676" i="6"/>
  <c r="N676" i="6" s="1"/>
  <c r="G675" i="12"/>
  <c r="K675" i="12"/>
  <c r="BE675" i="6"/>
  <c r="AN675" i="6"/>
  <c r="AZ675" i="6"/>
  <c r="AV675" i="6"/>
  <c r="AU675" i="6"/>
  <c r="BD675" i="6"/>
  <c r="AP675" i="6"/>
  <c r="AY675" i="6"/>
  <c r="BG675" i="6"/>
  <c r="AR675" i="6"/>
  <c r="AO675" i="6"/>
  <c r="AQ675" i="6"/>
  <c r="AS675" i="6"/>
  <c r="BB675" i="6"/>
  <c r="BC675" i="6"/>
  <c r="AC675" i="6"/>
  <c r="AM675" i="6"/>
  <c r="BA675" i="6"/>
  <c r="AJ675" i="6"/>
  <c r="AK675" i="6"/>
  <c r="BF675" i="6"/>
  <c r="AX675" i="6"/>
  <c r="AT675" i="6"/>
  <c r="AH675" i="6"/>
  <c r="AG675" i="6"/>
  <c r="AD675" i="6"/>
  <c r="AF675" i="6"/>
  <c r="AI675" i="6"/>
  <c r="AB675" i="6"/>
  <c r="AE675" i="6"/>
  <c r="AG23" i="13"/>
  <c r="AE19" i="13"/>
  <c r="AD21" i="13"/>
  <c r="AG12" i="13"/>
  <c r="AF17" i="13"/>
  <c r="A677" i="6" l="1"/>
  <c r="N677" i="6" s="1"/>
  <c r="M676" i="6"/>
  <c r="AR676" i="6" s="1"/>
  <c r="K676" i="12"/>
  <c r="L677" i="12"/>
  <c r="J677" i="12"/>
  <c r="H677" i="6"/>
  <c r="T677" i="5" s="1"/>
  <c r="G676" i="12"/>
  <c r="K678" i="5"/>
  <c r="G678" i="5"/>
  <c r="B678" i="6"/>
  <c r="F678" i="5"/>
  <c r="C679" i="5"/>
  <c r="D678" i="5"/>
  <c r="B678" i="12" s="1"/>
  <c r="J678" i="5"/>
  <c r="AE678" i="5"/>
  <c r="A678" i="12"/>
  <c r="H678" i="5"/>
  <c r="E678" i="5"/>
  <c r="AD678" i="5"/>
  <c r="B678" i="5"/>
  <c r="N678" i="5"/>
  <c r="D678" i="6" s="1"/>
  <c r="K677" i="12" l="1"/>
  <c r="M677" i="6"/>
  <c r="AR677" i="6" s="1"/>
  <c r="AB676" i="6"/>
  <c r="AJ676" i="6"/>
  <c r="BA676" i="6"/>
  <c r="AN676" i="6"/>
  <c r="AK676" i="6"/>
  <c r="AF676" i="6"/>
  <c r="BF676" i="6"/>
  <c r="BG676" i="6"/>
  <c r="AG676" i="6"/>
  <c r="AU676" i="6"/>
  <c r="BB676" i="6"/>
  <c r="AH676" i="6"/>
  <c r="AV676" i="6"/>
  <c r="AX676" i="6"/>
  <c r="BD676" i="6"/>
  <c r="AY676" i="6"/>
  <c r="AQ676" i="6"/>
  <c r="AO676" i="6"/>
  <c r="AC676" i="6"/>
  <c r="AM676" i="6"/>
  <c r="AT676" i="6"/>
  <c r="AS676" i="6"/>
  <c r="AD676" i="6"/>
  <c r="AP676" i="6"/>
  <c r="AZ676" i="6"/>
  <c r="AI676" i="6"/>
  <c r="AE676" i="6"/>
  <c r="BC676" i="6"/>
  <c r="BE676" i="6"/>
  <c r="A678" i="6"/>
  <c r="N678" i="6" s="1"/>
  <c r="J678" i="12"/>
  <c r="L678" i="12"/>
  <c r="G677" i="12"/>
  <c r="H678" i="6"/>
  <c r="T678" i="5" s="1"/>
  <c r="AD679" i="5"/>
  <c r="B679" i="6"/>
  <c r="D679" i="5"/>
  <c r="B679" i="12" s="1"/>
  <c r="G679" i="5"/>
  <c r="H679" i="5"/>
  <c r="AE679" i="5"/>
  <c r="F679" i="5"/>
  <c r="C680" i="5"/>
  <c r="J679" i="5"/>
  <c r="N679" i="5"/>
  <c r="D679" i="6" s="1"/>
  <c r="K679" i="5"/>
  <c r="E679" i="5"/>
  <c r="B679" i="5"/>
  <c r="A679" i="12"/>
  <c r="AB677" i="6" l="1"/>
  <c r="AN677" i="6"/>
  <c r="AG677" i="6"/>
  <c r="AI677" i="6"/>
  <c r="BG677" i="6"/>
  <c r="AH677" i="6"/>
  <c r="BB677" i="6"/>
  <c r="AJ677" i="6"/>
  <c r="AM677" i="6"/>
  <c r="BD677" i="6"/>
  <c r="AF677" i="6"/>
  <c r="AX677" i="6"/>
  <c r="AV677" i="6"/>
  <c r="AK677" i="6"/>
  <c r="AZ677" i="6"/>
  <c r="AT677" i="6"/>
  <c r="AS677" i="6"/>
  <c r="AD677" i="6"/>
  <c r="AY677" i="6"/>
  <c r="AQ677" i="6"/>
  <c r="AO677" i="6"/>
  <c r="AC677" i="6"/>
  <c r="AE677" i="6"/>
  <c r="AP677" i="6"/>
  <c r="BE677" i="6"/>
  <c r="BA677" i="6"/>
  <c r="BC677" i="6"/>
  <c r="AU677" i="6"/>
  <c r="BF677" i="6"/>
  <c r="M678" i="6"/>
  <c r="AZ678" i="6" s="1"/>
  <c r="K678" i="12"/>
  <c r="A679" i="6"/>
  <c r="N679" i="6" s="1"/>
  <c r="E680" i="5"/>
  <c r="J680" i="5"/>
  <c r="AD680" i="5"/>
  <c r="D680" i="5"/>
  <c r="B680" i="12" s="1"/>
  <c r="G680" i="5"/>
  <c r="N680" i="5"/>
  <c r="D680" i="6" s="1"/>
  <c r="A680" i="12"/>
  <c r="K680" i="5"/>
  <c r="H680" i="5"/>
  <c r="AE680" i="5"/>
  <c r="C681" i="5"/>
  <c r="B680" i="6"/>
  <c r="B680" i="5"/>
  <c r="F680" i="5"/>
  <c r="J679" i="12"/>
  <c r="L679" i="12"/>
  <c r="G678" i="12"/>
  <c r="H679" i="6"/>
  <c r="T679" i="5" s="1"/>
  <c r="M679" i="6" l="1"/>
  <c r="AZ679" i="6" s="1"/>
  <c r="BE678" i="6"/>
  <c r="AC678" i="6"/>
  <c r="BB678" i="6"/>
  <c r="AS678" i="6"/>
  <c r="AR678" i="6"/>
  <c r="AV678" i="6"/>
  <c r="AT678" i="6"/>
  <c r="AF678" i="6"/>
  <c r="AB678" i="6"/>
  <c r="AN678" i="6"/>
  <c r="AU678" i="6"/>
  <c r="AO678" i="6"/>
  <c r="BG678" i="6"/>
  <c r="AH678" i="6"/>
  <c r="BF678" i="6"/>
  <c r="AM678" i="6"/>
  <c r="AQ678" i="6"/>
  <c r="AJ678" i="6"/>
  <c r="AY678" i="6"/>
  <c r="BC678" i="6"/>
  <c r="AG678" i="6"/>
  <c r="AK678" i="6"/>
  <c r="AX678" i="6"/>
  <c r="BD678" i="6"/>
  <c r="AI678" i="6"/>
  <c r="BA678" i="6"/>
  <c r="AE678" i="6"/>
  <c r="AD678" i="6"/>
  <c r="AP678" i="6"/>
  <c r="A680" i="6"/>
  <c r="N680" i="6" s="1"/>
  <c r="K679" i="12"/>
  <c r="L680" i="12"/>
  <c r="J680" i="12"/>
  <c r="H680" i="6"/>
  <c r="T680" i="5" s="1"/>
  <c r="G679" i="12"/>
  <c r="K681" i="5"/>
  <c r="A681" i="12"/>
  <c r="D681" i="5"/>
  <c r="B681" i="12" s="1"/>
  <c r="AD681" i="5"/>
  <c r="E681" i="5"/>
  <c r="AE681" i="5"/>
  <c r="N681" i="5"/>
  <c r="D681" i="6" s="1"/>
  <c r="F681" i="5"/>
  <c r="J681" i="5"/>
  <c r="B681" i="6"/>
  <c r="G681" i="5"/>
  <c r="B681" i="5"/>
  <c r="C682" i="5" s="1"/>
  <c r="H681" i="5"/>
  <c r="J95" i="5"/>
  <c r="K95" i="5"/>
  <c r="AI679" i="6" l="1"/>
  <c r="BC679" i="6"/>
  <c r="BE679" i="6"/>
  <c r="AF679" i="6"/>
  <c r="AK679" i="6"/>
  <c r="AM679" i="6"/>
  <c r="AC679" i="6"/>
  <c r="AN679" i="6"/>
  <c r="BB679" i="6"/>
  <c r="AV679" i="6"/>
  <c r="AB679" i="6"/>
  <c r="BD679" i="6"/>
  <c r="BA679" i="6"/>
  <c r="AY679" i="6"/>
  <c r="AH679" i="6"/>
  <c r="AG679" i="6"/>
  <c r="AT679" i="6"/>
  <c r="AJ679" i="6"/>
  <c r="AS679" i="6"/>
  <c r="AE679" i="6"/>
  <c r="AD679" i="6"/>
  <c r="BF679" i="6"/>
  <c r="AQ679" i="6"/>
  <c r="AR679" i="6"/>
  <c r="AO679" i="6"/>
  <c r="BG679" i="6"/>
  <c r="AP679" i="6"/>
  <c r="AX679" i="6"/>
  <c r="AU679" i="6"/>
  <c r="M680" i="6"/>
  <c r="AV680" i="6" s="1"/>
  <c r="A681" i="6"/>
  <c r="N681" i="6" s="1"/>
  <c r="G680" i="12"/>
  <c r="L681" i="12"/>
  <c r="J681" i="12"/>
  <c r="H681" i="6"/>
  <c r="T681" i="5" s="1"/>
  <c r="K680" i="12"/>
  <c r="N682" i="5"/>
  <c r="D682" i="6" s="1"/>
  <c r="B682" i="6"/>
  <c r="A682" i="6" s="1"/>
  <c r="R682" i="5"/>
  <c r="AD682" i="5"/>
  <c r="I682" i="5"/>
  <c r="F682" i="5"/>
  <c r="K646" i="5" s="1"/>
  <c r="C683" i="5"/>
  <c r="G682" i="5"/>
  <c r="W682" i="5"/>
  <c r="H682" i="12" s="1"/>
  <c r="B682" i="5"/>
  <c r="H682" i="5"/>
  <c r="AE682" i="5"/>
  <c r="E682" i="5"/>
  <c r="A682" i="12"/>
  <c r="D95" i="5"/>
  <c r="B95" i="12" s="1"/>
  <c r="M681" i="6" l="1"/>
  <c r="BC681" i="6" s="1"/>
  <c r="AJ680" i="6"/>
  <c r="AM680" i="6"/>
  <c r="AY680" i="6"/>
  <c r="BB680" i="6"/>
  <c r="AC680" i="6"/>
  <c r="AE680" i="6"/>
  <c r="AG680" i="6"/>
  <c r="AP680" i="6"/>
  <c r="AN680" i="6"/>
  <c r="AB680" i="6"/>
  <c r="BE680" i="6"/>
  <c r="AH680" i="6"/>
  <c r="AQ680" i="6"/>
  <c r="AX680" i="6"/>
  <c r="BG680" i="6"/>
  <c r="BF680" i="6"/>
  <c r="BD680" i="6"/>
  <c r="AU680" i="6"/>
  <c r="AZ680" i="6"/>
  <c r="AK680" i="6"/>
  <c r="AO680" i="6"/>
  <c r="AT680" i="6"/>
  <c r="BA680" i="6"/>
  <c r="AR680" i="6"/>
  <c r="AD680" i="6"/>
  <c r="BC680" i="6"/>
  <c r="AF680" i="6"/>
  <c r="AS680" i="6"/>
  <c r="AI680" i="6"/>
  <c r="K681" i="12"/>
  <c r="B683" i="5"/>
  <c r="AD683" i="5"/>
  <c r="C684" i="5"/>
  <c r="G683" i="5"/>
  <c r="K683" i="5"/>
  <c r="J683" i="5"/>
  <c r="F683" i="5"/>
  <c r="D683" i="5"/>
  <c r="B683" i="12" s="1"/>
  <c r="A683" i="12"/>
  <c r="B683" i="6"/>
  <c r="AE683" i="5"/>
  <c r="E683" i="5"/>
  <c r="N683" i="5"/>
  <c r="D683" i="6" s="1"/>
  <c r="H683" i="6" s="1"/>
  <c r="T683" i="5" s="1"/>
  <c r="G683" i="12" s="1"/>
  <c r="H683" i="5"/>
  <c r="G681" i="12"/>
  <c r="E682" i="12"/>
  <c r="F682" i="6"/>
  <c r="AO682" i="6"/>
  <c r="AV682" i="6"/>
  <c r="AR682" i="6"/>
  <c r="AS682" i="6"/>
  <c r="N682" i="6"/>
  <c r="AU682" i="6"/>
  <c r="AX682" i="6"/>
  <c r="BE682" i="6"/>
  <c r="G682" i="6"/>
  <c r="BC682" i="6"/>
  <c r="AT682" i="6"/>
  <c r="AQ682" i="6"/>
  <c r="AP682" i="6"/>
  <c r="AZ682" i="6"/>
  <c r="AM682" i="6"/>
  <c r="BA682" i="6"/>
  <c r="BB682" i="6"/>
  <c r="M682" i="6"/>
  <c r="H682" i="6"/>
  <c r="T682" i="5" s="1"/>
  <c r="G682" i="12" s="1"/>
  <c r="BD682" i="6"/>
  <c r="AN682" i="6"/>
  <c r="AY682" i="6"/>
  <c r="BF682" i="6"/>
  <c r="BG682" i="6"/>
  <c r="AD20" i="13"/>
  <c r="AH16" i="13"/>
  <c r="AE18" i="13"/>
  <c r="AH22" i="13"/>
  <c r="AB681" i="6" l="1"/>
  <c r="AP681" i="6"/>
  <c r="AO681" i="6"/>
  <c r="AZ681" i="6"/>
  <c r="AH681" i="6"/>
  <c r="BF681" i="6"/>
  <c r="AF681" i="6"/>
  <c r="AD681" i="6"/>
  <c r="AS681" i="6"/>
  <c r="AR681" i="6"/>
  <c r="AQ681" i="6"/>
  <c r="AK681" i="6"/>
  <c r="AU681" i="6"/>
  <c r="AX681" i="6"/>
  <c r="BG681" i="6"/>
  <c r="AE681" i="6"/>
  <c r="AG681" i="6"/>
  <c r="AI681" i="6"/>
  <c r="BD681" i="6"/>
  <c r="AV681" i="6"/>
  <c r="BE681" i="6"/>
  <c r="AJ681" i="6"/>
  <c r="AN681" i="6"/>
  <c r="BA681" i="6"/>
  <c r="AY681" i="6"/>
  <c r="AC681" i="6"/>
  <c r="AM681" i="6"/>
  <c r="BB681" i="6"/>
  <c r="AT681" i="6"/>
  <c r="AE682" i="6"/>
  <c r="AF682" i="6"/>
  <c r="A683" i="6"/>
  <c r="M683" i="6" s="1"/>
  <c r="AS683" i="6" s="1"/>
  <c r="AI682" i="6"/>
  <c r="AH682" i="6"/>
  <c r="AG682" i="6"/>
  <c r="AC682" i="6"/>
  <c r="K684" i="5"/>
  <c r="C685" i="5"/>
  <c r="H684" i="5"/>
  <c r="G684" i="5"/>
  <c r="J684" i="5"/>
  <c r="AE684" i="5"/>
  <c r="E684" i="5"/>
  <c r="D684" i="5"/>
  <c r="B684" i="12" s="1"/>
  <c r="AD684" i="5"/>
  <c r="N684" i="5"/>
  <c r="D684" i="6" s="1"/>
  <c r="A684" i="12"/>
  <c r="F684" i="5"/>
  <c r="B684" i="5"/>
  <c r="B684" i="6"/>
  <c r="AK682" i="6"/>
  <c r="L683" i="12"/>
  <c r="J683" i="12"/>
  <c r="AD682" i="6"/>
  <c r="AJ682" i="6"/>
  <c r="AB682" i="6"/>
  <c r="N683" i="6" l="1"/>
  <c r="AC683" i="6"/>
  <c r="AP683" i="6"/>
  <c r="AG683" i="6"/>
  <c r="AK683" i="6"/>
  <c r="AZ683" i="6"/>
  <c r="AD683" i="6"/>
  <c r="BF683" i="6"/>
  <c r="AI683" i="6"/>
  <c r="BG683" i="6"/>
  <c r="AR683" i="6"/>
  <c r="AN683" i="6"/>
  <c r="BD683" i="6"/>
  <c r="AT683" i="6"/>
  <c r="AJ683" i="6"/>
  <c r="BB683" i="6"/>
  <c r="AX683" i="6"/>
  <c r="BA683" i="6"/>
  <c r="AY683" i="6"/>
  <c r="AV683" i="6"/>
  <c r="BE683" i="6"/>
  <c r="AH683" i="6"/>
  <c r="AB683" i="6"/>
  <c r="AF683" i="6"/>
  <c r="BC683" i="6"/>
  <c r="AO683" i="6"/>
  <c r="AM683" i="6"/>
  <c r="AE683" i="6"/>
  <c r="AQ683" i="6"/>
  <c r="AU683" i="6"/>
  <c r="A684" i="6"/>
  <c r="M684" i="6" s="1"/>
  <c r="AM684" i="6" s="1"/>
  <c r="K683" i="12"/>
  <c r="L684" i="12"/>
  <c r="J684" i="12"/>
  <c r="H684" i="6"/>
  <c r="T684" i="5" s="1"/>
  <c r="G684" i="12" s="1"/>
  <c r="D685" i="5"/>
  <c r="B685" i="12" s="1"/>
  <c r="AD685" i="5"/>
  <c r="J685" i="5"/>
  <c r="G685" i="5"/>
  <c r="E685" i="5"/>
  <c r="F685" i="5"/>
  <c r="B685" i="5"/>
  <c r="K685" i="5"/>
  <c r="A685" i="12"/>
  <c r="B685" i="6"/>
  <c r="N685" i="5"/>
  <c r="D685" i="6" s="1"/>
  <c r="C686" i="5"/>
  <c r="AE685" i="5"/>
  <c r="H685" i="5"/>
  <c r="N684" i="6" l="1"/>
  <c r="K684" i="12"/>
  <c r="AQ684" i="6"/>
  <c r="BF684" i="6"/>
  <c r="AV684" i="6"/>
  <c r="AX684" i="6"/>
  <c r="AD684" i="6"/>
  <c r="AB684" i="6"/>
  <c r="AH684" i="6"/>
  <c r="AS684" i="6"/>
  <c r="AE684" i="6"/>
  <c r="BB684" i="6"/>
  <c r="AJ684" i="6"/>
  <c r="AZ684" i="6"/>
  <c r="AU684" i="6"/>
  <c r="AK684" i="6"/>
  <c r="AR684" i="6"/>
  <c r="AY684" i="6"/>
  <c r="BA684" i="6"/>
  <c r="BG684" i="6"/>
  <c r="AG684" i="6"/>
  <c r="AI684" i="6"/>
  <c r="AN684" i="6"/>
  <c r="BE684" i="6"/>
  <c r="AT684" i="6"/>
  <c r="AP684" i="6"/>
  <c r="AO684" i="6"/>
  <c r="BC684" i="6"/>
  <c r="BD684" i="6"/>
  <c r="AF684" i="6"/>
  <c r="AC684" i="6"/>
  <c r="J685" i="12"/>
  <c r="L685" i="12"/>
  <c r="J686" i="5"/>
  <c r="G686" i="5"/>
  <c r="F686" i="5"/>
  <c r="B686" i="5"/>
  <c r="AE686" i="5"/>
  <c r="D686" i="5"/>
  <c r="B686" i="12" s="1"/>
  <c r="B686" i="6"/>
  <c r="A686" i="12"/>
  <c r="K686" i="5"/>
  <c r="H686" i="5"/>
  <c r="N686" i="5"/>
  <c r="D686" i="6" s="1"/>
  <c r="C687" i="5"/>
  <c r="E686" i="5"/>
  <c r="AD686" i="5"/>
  <c r="H685" i="6"/>
  <c r="A685" i="6"/>
  <c r="N685" i="6" s="1"/>
  <c r="K685" i="12" l="1"/>
  <c r="M685" i="6"/>
  <c r="AT685" i="6" s="1"/>
  <c r="A686" i="6"/>
  <c r="N686" i="6" s="1"/>
  <c r="J686" i="12"/>
  <c r="L686" i="12"/>
  <c r="T685" i="5"/>
  <c r="G685" i="12" s="1"/>
  <c r="K687" i="5"/>
  <c r="G687" i="5"/>
  <c r="A687" i="12"/>
  <c r="F687" i="5"/>
  <c r="N687" i="5"/>
  <c r="D687" i="6" s="1"/>
  <c r="H687" i="5"/>
  <c r="B687" i="5"/>
  <c r="J687" i="5"/>
  <c r="AE687" i="5"/>
  <c r="AD687" i="5"/>
  <c r="D687" i="5"/>
  <c r="B687" i="12" s="1"/>
  <c r="B687" i="6"/>
  <c r="C688" i="5"/>
  <c r="E687" i="5"/>
  <c r="H686" i="6"/>
  <c r="M686" i="6" l="1"/>
  <c r="AU686" i="6" s="1"/>
  <c r="AD685" i="6"/>
  <c r="AJ685" i="6"/>
  <c r="BG685" i="6"/>
  <c r="AN685" i="6"/>
  <c r="AF685" i="6"/>
  <c r="AB685" i="6"/>
  <c r="AH685" i="6"/>
  <c r="BD685" i="6"/>
  <c r="AX685" i="6"/>
  <c r="AE685" i="6"/>
  <c r="BE685" i="6"/>
  <c r="AY685" i="6"/>
  <c r="AC685" i="6"/>
  <c r="AQ685" i="6"/>
  <c r="BF685" i="6"/>
  <c r="AI685" i="6"/>
  <c r="AP685" i="6"/>
  <c r="AM685" i="6"/>
  <c r="AG685" i="6"/>
  <c r="AR685" i="6"/>
  <c r="AZ685" i="6"/>
  <c r="AS685" i="6"/>
  <c r="BC685" i="6"/>
  <c r="BA685" i="6"/>
  <c r="BB685" i="6"/>
  <c r="AO685" i="6"/>
  <c r="AK685" i="6"/>
  <c r="AV685" i="6"/>
  <c r="AU685" i="6"/>
  <c r="K686" i="12"/>
  <c r="H687" i="6"/>
  <c r="T687" i="5" s="1"/>
  <c r="G687" i="12" s="1"/>
  <c r="A687" i="6"/>
  <c r="M687" i="6" s="1"/>
  <c r="L687" i="12"/>
  <c r="J687" i="12"/>
  <c r="B688" i="6"/>
  <c r="D688" i="5"/>
  <c r="B688" i="12" s="1"/>
  <c r="B688" i="5"/>
  <c r="K688" i="5"/>
  <c r="AE688" i="5"/>
  <c r="N688" i="5"/>
  <c r="D688" i="6" s="1"/>
  <c r="E688" i="5"/>
  <c r="C689" i="5"/>
  <c r="F688" i="5"/>
  <c r="H688" i="5"/>
  <c r="A688" i="12"/>
  <c r="J688" i="5"/>
  <c r="AD688" i="5"/>
  <c r="G688" i="5"/>
  <c r="T686" i="5"/>
  <c r="G686" i="12" s="1"/>
  <c r="K114" i="5"/>
  <c r="J114" i="5"/>
  <c r="AG686" i="6" l="1"/>
  <c r="AM686" i="6"/>
  <c r="AT686" i="6"/>
  <c r="AE686" i="6"/>
  <c r="AH686" i="6"/>
  <c r="AN686" i="6"/>
  <c r="AI686" i="6"/>
  <c r="AK686" i="6"/>
  <c r="AX686" i="6"/>
  <c r="BF686" i="6"/>
  <c r="AZ686" i="6"/>
  <c r="BG686" i="6"/>
  <c r="AY686" i="6"/>
  <c r="BB686" i="6"/>
  <c r="AR686" i="6"/>
  <c r="BE686" i="6"/>
  <c r="AQ686" i="6"/>
  <c r="AF686" i="6"/>
  <c r="AP686" i="6"/>
  <c r="AO686" i="6"/>
  <c r="BC686" i="6"/>
  <c r="BA686" i="6"/>
  <c r="AC686" i="6"/>
  <c r="AD686" i="6"/>
  <c r="AB686" i="6"/>
  <c r="AV686" i="6"/>
  <c r="BD686" i="6"/>
  <c r="AJ686" i="6"/>
  <c r="AS686" i="6"/>
  <c r="A688" i="6"/>
  <c r="N688" i="6" s="1"/>
  <c r="BG687" i="6"/>
  <c r="BA687" i="6"/>
  <c r="AT687" i="6"/>
  <c r="AY687" i="6"/>
  <c r="BF687" i="6"/>
  <c r="BB687" i="6"/>
  <c r="AQ687" i="6"/>
  <c r="AG687" i="6"/>
  <c r="AB687" i="6"/>
  <c r="AV687" i="6"/>
  <c r="AJ687" i="6"/>
  <c r="AD687" i="6"/>
  <c r="AR687" i="6"/>
  <c r="AM687" i="6"/>
  <c r="BC687" i="6"/>
  <c r="AK687" i="6"/>
  <c r="BE687" i="6"/>
  <c r="AC687" i="6"/>
  <c r="BD687" i="6"/>
  <c r="AF687" i="6"/>
  <c r="AU687" i="6"/>
  <c r="AX687" i="6"/>
  <c r="AZ687" i="6"/>
  <c r="AS687" i="6"/>
  <c r="AH687" i="6"/>
  <c r="AP687" i="6"/>
  <c r="AO687" i="6"/>
  <c r="AN687" i="6"/>
  <c r="H689" i="5"/>
  <c r="E689" i="5"/>
  <c r="G689" i="5"/>
  <c r="AD689" i="5"/>
  <c r="F689" i="5"/>
  <c r="B689" i="6"/>
  <c r="K689" i="5"/>
  <c r="AE689" i="5"/>
  <c r="D689" i="5"/>
  <c r="B689" i="12" s="1"/>
  <c r="N689" i="5"/>
  <c r="D689" i="6" s="1"/>
  <c r="B689" i="5"/>
  <c r="A689" i="12"/>
  <c r="C690" i="5"/>
  <c r="J689" i="5"/>
  <c r="AE687" i="6"/>
  <c r="H688" i="6"/>
  <c r="T688" i="5" s="1"/>
  <c r="G688" i="12" s="1"/>
  <c r="N687" i="6"/>
  <c r="L688" i="12"/>
  <c r="J688" i="12"/>
  <c r="K687" i="12"/>
  <c r="AI687" i="6"/>
  <c r="D114" i="5"/>
  <c r="K688" i="12" l="1"/>
  <c r="M688" i="6"/>
  <c r="AP688" i="6" s="1"/>
  <c r="H689" i="6"/>
  <c r="T689" i="5" s="1"/>
  <c r="G689" i="12" s="1"/>
  <c r="J689" i="12"/>
  <c r="L689" i="12"/>
  <c r="A689" i="6"/>
  <c r="N689" i="6" s="1"/>
  <c r="J690" i="5"/>
  <c r="C691" i="5"/>
  <c r="A690" i="12"/>
  <c r="AD690" i="5"/>
  <c r="F690" i="5"/>
  <c r="H690" i="5"/>
  <c r="B690" i="5"/>
  <c r="E690" i="5"/>
  <c r="G690" i="5"/>
  <c r="B690" i="6"/>
  <c r="K690" i="5"/>
  <c r="D690" i="5"/>
  <c r="B690" i="12" s="1"/>
  <c r="N690" i="5"/>
  <c r="D690" i="6" s="1"/>
  <c r="AE690" i="5"/>
  <c r="B114" i="12"/>
  <c r="AZ688" i="6" l="1"/>
  <c r="AK688" i="6"/>
  <c r="AX688" i="6"/>
  <c r="AT688" i="6"/>
  <c r="BD688" i="6"/>
  <c r="AQ688" i="6"/>
  <c r="AC688" i="6"/>
  <c r="AV688" i="6"/>
  <c r="AB688" i="6"/>
  <c r="AS688" i="6"/>
  <c r="AH688" i="6"/>
  <c r="BC688" i="6"/>
  <c r="BF688" i="6"/>
  <c r="BE688" i="6"/>
  <c r="AM688" i="6"/>
  <c r="AE688" i="6"/>
  <c r="AY688" i="6"/>
  <c r="AI688" i="6"/>
  <c r="BA688" i="6"/>
  <c r="AO688" i="6"/>
  <c r="AR688" i="6"/>
  <c r="BG688" i="6"/>
  <c r="AN688" i="6"/>
  <c r="AG688" i="6"/>
  <c r="AD688" i="6"/>
  <c r="AF688" i="6"/>
  <c r="BB688" i="6"/>
  <c r="AJ688" i="6"/>
  <c r="AU688" i="6"/>
  <c r="K689" i="12"/>
  <c r="H690" i="6"/>
  <c r="T690" i="5" s="1"/>
  <c r="G690" i="12" s="1"/>
  <c r="J690" i="12"/>
  <c r="L690" i="12"/>
  <c r="A690" i="6"/>
  <c r="M690" i="6" s="1"/>
  <c r="AQ690" i="6" s="1"/>
  <c r="E691" i="5"/>
  <c r="G691" i="5"/>
  <c r="B691" i="6"/>
  <c r="H691" i="5"/>
  <c r="F691" i="5"/>
  <c r="N691" i="5"/>
  <c r="D691" i="6" s="1"/>
  <c r="AD691" i="5"/>
  <c r="D691" i="5"/>
  <c r="B691" i="12" s="1"/>
  <c r="B691" i="5"/>
  <c r="A691" i="12"/>
  <c r="AE691" i="5"/>
  <c r="K691" i="5"/>
  <c r="C692" i="5"/>
  <c r="J691" i="5"/>
  <c r="M689" i="6"/>
  <c r="K690" i="12" l="1"/>
  <c r="A691" i="6"/>
  <c r="N691" i="6" s="1"/>
  <c r="BD690" i="6"/>
  <c r="AM690" i="6"/>
  <c r="BF690" i="6"/>
  <c r="AK690" i="6"/>
  <c r="AP690" i="6"/>
  <c r="N690" i="6"/>
  <c r="BB690" i="6"/>
  <c r="AJ690" i="6"/>
  <c r="BC690" i="6"/>
  <c r="BA690" i="6"/>
  <c r="AY690" i="6"/>
  <c r="C693" i="5"/>
  <c r="J692" i="5"/>
  <c r="E692" i="5"/>
  <c r="AE692" i="5"/>
  <c r="A692" i="12"/>
  <c r="N692" i="5"/>
  <c r="D692" i="6" s="1"/>
  <c r="B692" i="5"/>
  <c r="K692" i="5"/>
  <c r="D692" i="5"/>
  <c r="B692" i="12" s="1"/>
  <c r="AD692" i="5"/>
  <c r="G692" i="5"/>
  <c r="H692" i="5"/>
  <c r="B692" i="6"/>
  <c r="F692" i="5"/>
  <c r="AB690" i="6"/>
  <c r="AS690" i="6"/>
  <c r="L691" i="12"/>
  <c r="J691" i="12"/>
  <c r="AF690" i="6"/>
  <c r="AG690" i="6"/>
  <c r="AD690" i="6"/>
  <c r="AR690" i="6"/>
  <c r="AO690" i="6"/>
  <c r="BE690" i="6"/>
  <c r="AH690" i="6"/>
  <c r="AN690" i="6"/>
  <c r="BG690" i="6"/>
  <c r="AZ690" i="6"/>
  <c r="AI689" i="6"/>
  <c r="AO689" i="6"/>
  <c r="AG689" i="6"/>
  <c r="BF689" i="6"/>
  <c r="AM689" i="6"/>
  <c r="AV689" i="6"/>
  <c r="BD689" i="6"/>
  <c r="AE689" i="6"/>
  <c r="AH689" i="6"/>
  <c r="AC689" i="6"/>
  <c r="AP689" i="6"/>
  <c r="AT689" i="6"/>
  <c r="AX689" i="6"/>
  <c r="BC689" i="6"/>
  <c r="BE689" i="6"/>
  <c r="AR689" i="6"/>
  <c r="BB689" i="6"/>
  <c r="AF689" i="6"/>
  <c r="AS689" i="6"/>
  <c r="AZ689" i="6"/>
  <c r="AU689" i="6"/>
  <c r="AB689" i="6"/>
  <c r="AJ689" i="6"/>
  <c r="AQ689" i="6"/>
  <c r="AY689" i="6"/>
  <c r="BA689" i="6"/>
  <c r="AN689" i="6"/>
  <c r="BG689" i="6"/>
  <c r="AK689" i="6"/>
  <c r="AD689" i="6"/>
  <c r="AI690" i="6"/>
  <c r="AX690" i="6"/>
  <c r="AT690" i="6"/>
  <c r="AU690" i="6"/>
  <c r="H691" i="6"/>
  <c r="T691" i="5" s="1"/>
  <c r="G691" i="12" s="1"/>
  <c r="AE690" i="6"/>
  <c r="AV690" i="6"/>
  <c r="AC690" i="6"/>
  <c r="M691" i="6" l="1"/>
  <c r="AS691" i="6" s="1"/>
  <c r="K691" i="12"/>
  <c r="A692" i="6"/>
  <c r="M692" i="6" s="1"/>
  <c r="BG692" i="6" s="1"/>
  <c r="L692" i="12"/>
  <c r="J692" i="12"/>
  <c r="A693" i="12"/>
  <c r="H693" i="5"/>
  <c r="F693" i="5"/>
  <c r="N693" i="5"/>
  <c r="D693" i="6" s="1"/>
  <c r="B693" i="6"/>
  <c r="AD693" i="5"/>
  <c r="E693" i="5"/>
  <c r="B693" i="5"/>
  <c r="J693" i="5"/>
  <c r="D693" i="5"/>
  <c r="B693" i="12" s="1"/>
  <c r="K693" i="5"/>
  <c r="G693" i="5"/>
  <c r="AE693" i="5"/>
  <c r="H692" i="6"/>
  <c r="T692" i="5" s="1"/>
  <c r="G692" i="12" s="1"/>
  <c r="N692" i="6" l="1"/>
  <c r="AP691" i="6"/>
  <c r="AQ691" i="6"/>
  <c r="AB691" i="6"/>
  <c r="AO691" i="6"/>
  <c r="AZ691" i="6"/>
  <c r="AV691" i="6"/>
  <c r="BA691" i="6"/>
  <c r="AF691" i="6"/>
  <c r="AE691" i="6"/>
  <c r="AY691" i="6"/>
  <c r="BB691" i="6"/>
  <c r="AI691" i="6"/>
  <c r="AX691" i="6"/>
  <c r="BD691" i="6"/>
  <c r="BG691" i="6"/>
  <c r="AD691" i="6"/>
  <c r="AH691" i="6"/>
  <c r="AT691" i="6"/>
  <c r="AR691" i="6"/>
  <c r="AU691" i="6"/>
  <c r="AK691" i="6"/>
  <c r="AM691" i="6"/>
  <c r="AG691" i="6"/>
  <c r="BE691" i="6"/>
  <c r="AJ691" i="6"/>
  <c r="BF691" i="6"/>
  <c r="BC691" i="6"/>
  <c r="AC691" i="6"/>
  <c r="AN691" i="6"/>
  <c r="AP692" i="6"/>
  <c r="BD692" i="6"/>
  <c r="BB692" i="6"/>
  <c r="AT692" i="6"/>
  <c r="AX692" i="6"/>
  <c r="AM692" i="6"/>
  <c r="BF692" i="6"/>
  <c r="BE692" i="6"/>
  <c r="BC692" i="6"/>
  <c r="AN692" i="6"/>
  <c r="AQ692" i="6"/>
  <c r="AS692" i="6"/>
  <c r="AO692" i="6"/>
  <c r="AV692" i="6"/>
  <c r="AR692" i="6"/>
  <c r="AY692" i="6"/>
  <c r="BA692" i="6"/>
  <c r="AU692" i="6"/>
  <c r="AZ692" i="6"/>
  <c r="AJ692" i="6"/>
  <c r="AG692" i="6"/>
  <c r="AD692" i="6"/>
  <c r="AI692" i="6"/>
  <c r="AH692" i="6"/>
  <c r="A693" i="6"/>
  <c r="M693" i="6" s="1"/>
  <c r="AT693" i="6" s="1"/>
  <c r="H693" i="6"/>
  <c r="T693" i="5" s="1"/>
  <c r="G693" i="12" s="1"/>
  <c r="AE692" i="6"/>
  <c r="J693" i="12"/>
  <c r="L693" i="12"/>
  <c r="AK692" i="6"/>
  <c r="AB692" i="6"/>
  <c r="AC692" i="6"/>
  <c r="AF692" i="6"/>
  <c r="K692" i="12"/>
  <c r="K693" i="12" l="1"/>
  <c r="BA693" i="6"/>
  <c r="AO693" i="6"/>
  <c r="AV693" i="6"/>
  <c r="AY693" i="6"/>
  <c r="AB693" i="6"/>
  <c r="AC693" i="6"/>
  <c r="AP693" i="6"/>
  <c r="AD693" i="6"/>
  <c r="BC693" i="6"/>
  <c r="BD693" i="6"/>
  <c r="BG693" i="6"/>
  <c r="BF693" i="6"/>
  <c r="AQ693" i="6"/>
  <c r="AG693" i="6"/>
  <c r="AF693" i="6"/>
  <c r="C694" i="5"/>
  <c r="AS693" i="6"/>
  <c r="AN693" i="6"/>
  <c r="AX693" i="6"/>
  <c r="BE693" i="6"/>
  <c r="AZ693" i="6"/>
  <c r="AK693" i="6"/>
  <c r="BB693" i="6"/>
  <c r="AU693" i="6"/>
  <c r="AE693" i="6"/>
  <c r="AM693" i="6"/>
  <c r="AJ693" i="6"/>
  <c r="N693" i="6"/>
  <c r="AH693" i="6"/>
  <c r="AR693" i="6"/>
  <c r="AI693" i="6"/>
  <c r="B694" i="5" l="1"/>
  <c r="C695" i="5" s="1"/>
  <c r="AD694" i="5"/>
  <c r="W694" i="5"/>
  <c r="H694" i="12" s="1"/>
  <c r="H694" i="5"/>
  <c r="E694" i="5"/>
  <c r="B694" i="6"/>
  <c r="A694" i="6" s="1"/>
  <c r="R694" i="5"/>
  <c r="A694" i="12"/>
  <c r="AE694" i="5"/>
  <c r="I694" i="5"/>
  <c r="F694" i="5"/>
  <c r="K682" i="5" s="1"/>
  <c r="N694" i="5"/>
  <c r="D694" i="6" s="1"/>
  <c r="G694" i="5"/>
  <c r="K207" i="5"/>
  <c r="J207" i="5"/>
  <c r="K227" i="5"/>
  <c r="K191" i="5"/>
  <c r="D191" i="5" s="1"/>
  <c r="B191" i="12" s="1"/>
  <c r="K251" i="5"/>
  <c r="D251" i="5" s="1"/>
  <c r="B251" i="12" s="1"/>
  <c r="K584" i="5"/>
  <c r="J227" i="5"/>
  <c r="J213" i="5"/>
  <c r="D213" i="5" s="1"/>
  <c r="B213" i="12" s="1"/>
  <c r="F694" i="6" l="1"/>
  <c r="E694" i="12"/>
  <c r="BC694" i="6"/>
  <c r="AO694" i="6"/>
  <c r="AN694" i="6"/>
  <c r="AX694" i="6"/>
  <c r="AS694" i="6"/>
  <c r="N694" i="6"/>
  <c r="AY694" i="6"/>
  <c r="AR694" i="6"/>
  <c r="AT694" i="6"/>
  <c r="AQ694" i="6"/>
  <c r="BB694" i="6"/>
  <c r="M694" i="6"/>
  <c r="AZ694" i="6"/>
  <c r="BA694" i="6"/>
  <c r="BF694" i="6"/>
  <c r="BD694" i="6"/>
  <c r="BG694" i="6"/>
  <c r="AV694" i="6"/>
  <c r="AU694" i="6"/>
  <c r="AM694" i="6"/>
  <c r="H694" i="6"/>
  <c r="T694" i="5" s="1"/>
  <c r="G694" i="12" s="1"/>
  <c r="AP694" i="6"/>
  <c r="BE694" i="6"/>
  <c r="G694" i="6"/>
  <c r="B695" i="5"/>
  <c r="H695" i="5"/>
  <c r="AE695" i="5"/>
  <c r="G695" i="5"/>
  <c r="A695" i="12"/>
  <c r="AD695" i="5"/>
  <c r="E695" i="5"/>
  <c r="F695" i="5"/>
  <c r="B695" i="6"/>
  <c r="C696" i="5"/>
  <c r="I695" i="5"/>
  <c r="W695" i="5"/>
  <c r="H695" i="12" s="1"/>
  <c r="N695" i="5"/>
  <c r="D695" i="6" s="1"/>
  <c r="R695" i="5"/>
  <c r="D227" i="5"/>
  <c r="B227" i="12" s="1"/>
  <c r="D207" i="5"/>
  <c r="AH694" i="6" l="1"/>
  <c r="AK694" i="6"/>
  <c r="AG694" i="6"/>
  <c r="AB694" i="6"/>
  <c r="AI694" i="6"/>
  <c r="AE694" i="6"/>
  <c r="AD694" i="6"/>
  <c r="A695" i="6"/>
  <c r="E695" i="12"/>
  <c r="F695" i="6"/>
  <c r="AO695" i="6"/>
  <c r="AU695" i="6"/>
  <c r="BB695" i="6"/>
  <c r="AR695" i="6"/>
  <c r="BD695" i="6"/>
  <c r="BE695" i="6"/>
  <c r="AM695" i="6"/>
  <c r="AS695" i="6"/>
  <c r="BG695" i="6"/>
  <c r="AZ695" i="6"/>
  <c r="AX695" i="6"/>
  <c r="AQ695" i="6"/>
  <c r="H695" i="6"/>
  <c r="T695" i="5" s="1"/>
  <c r="G695" i="12" s="1"/>
  <c r="AV695" i="6"/>
  <c r="G695" i="6"/>
  <c r="AN695" i="6"/>
  <c r="N695" i="6"/>
  <c r="AP695" i="6"/>
  <c r="BF695" i="6"/>
  <c r="BC695" i="6"/>
  <c r="AT695" i="6"/>
  <c r="BA695" i="6"/>
  <c r="AY695" i="6"/>
  <c r="M695" i="6"/>
  <c r="AF694" i="6"/>
  <c r="J696" i="5"/>
  <c r="A696" i="12"/>
  <c r="K696" i="5"/>
  <c r="H696" i="5"/>
  <c r="AD696" i="5"/>
  <c r="AE696" i="5"/>
  <c r="C697" i="5"/>
  <c r="N696" i="5"/>
  <c r="D696" i="6" s="1"/>
  <c r="B696" i="5"/>
  <c r="B696" i="6"/>
  <c r="G696" i="5"/>
  <c r="D696" i="5"/>
  <c r="B696" i="12" s="1"/>
  <c r="F696" i="5"/>
  <c r="E696" i="5"/>
  <c r="AJ694" i="6"/>
  <c r="AC694" i="6"/>
  <c r="B207" i="12"/>
  <c r="AG695" i="6" l="1"/>
  <c r="AF695" i="6"/>
  <c r="AB695" i="6"/>
  <c r="AI695" i="6"/>
  <c r="A696" i="6"/>
  <c r="N696" i="6" s="1"/>
  <c r="J696" i="12"/>
  <c r="L696" i="12"/>
  <c r="H696" i="6"/>
  <c r="AK695" i="6"/>
  <c r="AD697" i="5"/>
  <c r="H697" i="5"/>
  <c r="J697" i="5"/>
  <c r="AE697" i="5"/>
  <c r="E697" i="5"/>
  <c r="B697" i="5"/>
  <c r="F697" i="5"/>
  <c r="B697" i="6"/>
  <c r="G697" i="5"/>
  <c r="C698" i="5"/>
  <c r="C699" i="5" s="1"/>
  <c r="D697" i="5"/>
  <c r="B697" i="12" s="1"/>
  <c r="K697" i="5"/>
  <c r="N697" i="5"/>
  <c r="D697" i="6" s="1"/>
  <c r="A697" i="12"/>
  <c r="AE695" i="6"/>
  <c r="AD695" i="6"/>
  <c r="AC695" i="6"/>
  <c r="AH695" i="6"/>
  <c r="AJ695" i="6"/>
  <c r="K315" i="5"/>
  <c r="D315" i="5" s="1"/>
  <c r="B315" i="12" s="1"/>
  <c r="K236" i="5"/>
  <c r="J236" i="5"/>
  <c r="D699" i="5" l="1"/>
  <c r="B699" i="12" s="1"/>
  <c r="N699" i="5"/>
  <c r="K699" i="5"/>
  <c r="J699" i="5"/>
  <c r="AE699" i="5"/>
  <c r="B699" i="6"/>
  <c r="AD699" i="5"/>
  <c r="A699" i="12"/>
  <c r="K696" i="12"/>
  <c r="M696" i="6"/>
  <c r="AZ696" i="6" s="1"/>
  <c r="A697" i="6"/>
  <c r="N697" i="6" s="1"/>
  <c r="J697" i="12"/>
  <c r="L697" i="12"/>
  <c r="H697" i="6"/>
  <c r="N698" i="5"/>
  <c r="D698" i="6" s="1"/>
  <c r="AD698" i="5"/>
  <c r="J698" i="5"/>
  <c r="K698" i="5"/>
  <c r="B698" i="6"/>
  <c r="B698" i="5"/>
  <c r="B699" i="5" s="1"/>
  <c r="H698" i="5"/>
  <c r="H699" i="5" s="1"/>
  <c r="D698" i="5"/>
  <c r="B698" i="12" s="1"/>
  <c r="A698" i="12"/>
  <c r="AE698" i="5"/>
  <c r="F698" i="5"/>
  <c r="F699" i="5" s="1"/>
  <c r="G698" i="5"/>
  <c r="G699" i="5" s="1"/>
  <c r="E698" i="5"/>
  <c r="E699" i="5" s="1"/>
  <c r="T696" i="5"/>
  <c r="G696" i="12" s="1"/>
  <c r="D236" i="5"/>
  <c r="B236" i="12" s="1"/>
  <c r="D699" i="6" l="1"/>
  <c r="L699" i="12"/>
  <c r="J699" i="12"/>
  <c r="C700" i="5"/>
  <c r="N700" i="5" s="1"/>
  <c r="D700" i="6" s="1"/>
  <c r="BG696" i="6"/>
  <c r="AP696" i="6"/>
  <c r="AM696" i="6"/>
  <c r="AJ696" i="6"/>
  <c r="AV696" i="6"/>
  <c r="AN696" i="6"/>
  <c r="BA696" i="6"/>
  <c r="AB696" i="6"/>
  <c r="BB696" i="6"/>
  <c r="AX696" i="6"/>
  <c r="AY696" i="6"/>
  <c r="BC696" i="6"/>
  <c r="AC696" i="6"/>
  <c r="BF696" i="6"/>
  <c r="BD696" i="6"/>
  <c r="AH696" i="6"/>
  <c r="AK696" i="6"/>
  <c r="AO696" i="6"/>
  <c r="AT696" i="6"/>
  <c r="AI696" i="6"/>
  <c r="BE696" i="6"/>
  <c r="AQ696" i="6"/>
  <c r="AR696" i="6"/>
  <c r="AG696" i="6"/>
  <c r="AS696" i="6"/>
  <c r="AF696" i="6"/>
  <c r="AE696" i="6"/>
  <c r="AD696" i="6"/>
  <c r="AU696" i="6"/>
  <c r="M697" i="6"/>
  <c r="AD697" i="6" s="1"/>
  <c r="A698" i="6"/>
  <c r="N698" i="6" s="1"/>
  <c r="T697" i="5"/>
  <c r="G697" i="12" s="1"/>
  <c r="K697" i="12"/>
  <c r="L698" i="12"/>
  <c r="J698" i="12"/>
  <c r="H698" i="6"/>
  <c r="AE700" i="5" l="1"/>
  <c r="C701" i="5"/>
  <c r="AE701" i="5" s="1"/>
  <c r="B700" i="5"/>
  <c r="AD700" i="5"/>
  <c r="B700" i="6"/>
  <c r="W700" i="5"/>
  <c r="H700" i="12" s="1"/>
  <c r="G700" i="5"/>
  <c r="K695" i="5" s="1"/>
  <c r="R700" i="5"/>
  <c r="E700" i="12" s="1"/>
  <c r="A700" i="12"/>
  <c r="F700" i="5"/>
  <c r="H700" i="5"/>
  <c r="E700" i="5"/>
  <c r="I700" i="5"/>
  <c r="K698" i="12"/>
  <c r="K699" i="12"/>
  <c r="H699" i="6"/>
  <c r="T699" i="5" s="1"/>
  <c r="A699" i="6"/>
  <c r="M699" i="6" s="1"/>
  <c r="M698" i="6"/>
  <c r="AO698" i="6" s="1"/>
  <c r="AC697" i="6"/>
  <c r="BD697" i="6"/>
  <c r="AN697" i="6"/>
  <c r="AE697" i="6"/>
  <c r="BG697" i="6"/>
  <c r="BF697" i="6"/>
  <c r="BE697" i="6"/>
  <c r="AH697" i="6"/>
  <c r="AO697" i="6"/>
  <c r="AR697" i="6"/>
  <c r="AF697" i="6"/>
  <c r="AZ697" i="6"/>
  <c r="AP697" i="6"/>
  <c r="AM697" i="6"/>
  <c r="BC697" i="6"/>
  <c r="AG697" i="6"/>
  <c r="AK697" i="6"/>
  <c r="AY697" i="6"/>
  <c r="AV697" i="6"/>
  <c r="AX697" i="6"/>
  <c r="BB697" i="6"/>
  <c r="AJ697" i="6"/>
  <c r="AQ697" i="6"/>
  <c r="AS697" i="6"/>
  <c r="AT697" i="6"/>
  <c r="AI697" i="6"/>
  <c r="AU697" i="6"/>
  <c r="BA697" i="6"/>
  <c r="AB697" i="6"/>
  <c r="T698" i="5"/>
  <c r="G698" i="12" s="1"/>
  <c r="AP700" i="6"/>
  <c r="AO700" i="6"/>
  <c r="AX700" i="6"/>
  <c r="AV700" i="6"/>
  <c r="G700" i="6"/>
  <c r="AY700" i="6"/>
  <c r="AQ700" i="6"/>
  <c r="H700" i="6"/>
  <c r="T700" i="5" s="1"/>
  <c r="G700" i="12" s="1"/>
  <c r="BC700" i="6"/>
  <c r="BA700" i="6"/>
  <c r="AU700" i="6"/>
  <c r="AS700" i="6"/>
  <c r="BE700" i="6"/>
  <c r="BB700" i="6"/>
  <c r="AR700" i="6"/>
  <c r="AT700" i="6"/>
  <c r="M700" i="6"/>
  <c r="AZ700" i="6"/>
  <c r="AM700" i="6"/>
  <c r="BD700" i="6"/>
  <c r="AN700" i="6"/>
  <c r="BG700" i="6"/>
  <c r="N700" i="6"/>
  <c r="BF700" i="6"/>
  <c r="AD701" i="5" l="1"/>
  <c r="F701" i="5"/>
  <c r="D701" i="5"/>
  <c r="B701" i="12" s="1"/>
  <c r="B701" i="6"/>
  <c r="N701" i="5"/>
  <c r="D701" i="6" s="1"/>
  <c r="H701" i="6" s="1"/>
  <c r="T701" i="5" s="1"/>
  <c r="G701" i="12" s="1"/>
  <c r="H701" i="5"/>
  <c r="C702" i="5"/>
  <c r="D702" i="5" s="1"/>
  <c r="B702" i="12" s="1"/>
  <c r="A701" i="12"/>
  <c r="J701" i="12" s="1"/>
  <c r="B701" i="5"/>
  <c r="K701" i="5"/>
  <c r="J701" i="5"/>
  <c r="E701" i="5"/>
  <c r="G701" i="5"/>
  <c r="F700" i="6"/>
  <c r="AK698" i="6"/>
  <c r="BE698" i="6"/>
  <c r="AS699" i="6"/>
  <c r="BF699" i="6"/>
  <c r="BE699" i="6"/>
  <c r="AZ699" i="6"/>
  <c r="AO699" i="6"/>
  <c r="AV699" i="6"/>
  <c r="AX699" i="6"/>
  <c r="AN699" i="6"/>
  <c r="BC699" i="6"/>
  <c r="BA699" i="6"/>
  <c r="BG699" i="6"/>
  <c r="AT699" i="6"/>
  <c r="AR699" i="6"/>
  <c r="AY699" i="6"/>
  <c r="BD699" i="6"/>
  <c r="AP699" i="6"/>
  <c r="AM699" i="6"/>
  <c r="BB699" i="6"/>
  <c r="AQ699" i="6"/>
  <c r="AU699" i="6"/>
  <c r="G699" i="12"/>
  <c r="AG699" i="6"/>
  <c r="N699" i="6"/>
  <c r="AC699" i="6"/>
  <c r="BF698" i="6"/>
  <c r="A700" i="6"/>
  <c r="AI699" i="6"/>
  <c r="AK699" i="6"/>
  <c r="AE699" i="6"/>
  <c r="AV698" i="6"/>
  <c r="AF699" i="6"/>
  <c r="AB699" i="6"/>
  <c r="AJ699" i="6"/>
  <c r="AH699" i="6"/>
  <c r="AD699" i="6"/>
  <c r="AH698" i="6"/>
  <c r="AR698" i="6"/>
  <c r="AQ698" i="6"/>
  <c r="AI698" i="6"/>
  <c r="AJ698" i="6"/>
  <c r="BB698" i="6"/>
  <c r="AY698" i="6"/>
  <c r="AC698" i="6"/>
  <c r="AD698" i="6"/>
  <c r="AP698" i="6"/>
  <c r="AM698" i="6"/>
  <c r="AB698" i="6"/>
  <c r="BD698" i="6"/>
  <c r="BC698" i="6"/>
  <c r="AG698" i="6"/>
  <c r="AS698" i="6"/>
  <c r="BG698" i="6"/>
  <c r="BA698" i="6"/>
  <c r="AF698" i="6"/>
  <c r="AT698" i="6"/>
  <c r="AX698" i="6"/>
  <c r="AZ698" i="6"/>
  <c r="AE698" i="6"/>
  <c r="AN698" i="6"/>
  <c r="AU698" i="6"/>
  <c r="AI700" i="6"/>
  <c r="AD700" i="6"/>
  <c r="AG700" i="6"/>
  <c r="AH700" i="6"/>
  <c r="AF700" i="6"/>
  <c r="AJ700" i="6"/>
  <c r="AE700" i="6"/>
  <c r="AC700" i="6"/>
  <c r="AB700" i="6"/>
  <c r="AK700" i="6"/>
  <c r="K337" i="5"/>
  <c r="D337" i="5" s="1"/>
  <c r="B9" i="9"/>
  <c r="F702" i="5" l="1"/>
  <c r="A701" i="6"/>
  <c r="N701" i="6" s="1"/>
  <c r="K702" i="5"/>
  <c r="J702" i="5"/>
  <c r="AD702" i="5"/>
  <c r="N702" i="5"/>
  <c r="D702" i="6" s="1"/>
  <c r="H702" i="6" s="1"/>
  <c r="T702" i="5" s="1"/>
  <c r="G702" i="12" s="1"/>
  <c r="C703" i="5"/>
  <c r="AE703" i="5" s="1"/>
  <c r="B702" i="6"/>
  <c r="A702" i="12"/>
  <c r="J702" i="12" s="1"/>
  <c r="AE702" i="5"/>
  <c r="L701" i="12"/>
  <c r="K701" i="12" s="1"/>
  <c r="H702" i="5"/>
  <c r="B702" i="5"/>
  <c r="G702" i="5"/>
  <c r="E702" i="5"/>
  <c r="B337" i="12"/>
  <c r="I27" i="5"/>
  <c r="M701" i="6" l="1"/>
  <c r="AD701" i="6" s="1"/>
  <c r="B703" i="6"/>
  <c r="N703" i="5"/>
  <c r="D703" i="6" s="1"/>
  <c r="H703" i="6" s="1"/>
  <c r="T703" i="5" s="1"/>
  <c r="G703" i="12" s="1"/>
  <c r="F703" i="5"/>
  <c r="G703" i="5"/>
  <c r="E703" i="5"/>
  <c r="L702" i="12"/>
  <c r="K702" i="12" s="1"/>
  <c r="J703" i="5"/>
  <c r="AD703" i="5"/>
  <c r="A703" i="12"/>
  <c r="L703" i="12" s="1"/>
  <c r="D703" i="5"/>
  <c r="B703" i="12" s="1"/>
  <c r="A702" i="6"/>
  <c r="M702" i="6" s="1"/>
  <c r="BE702" i="6" s="1"/>
  <c r="K703" i="5"/>
  <c r="C704" i="5"/>
  <c r="B703" i="5"/>
  <c r="H703" i="5"/>
  <c r="I584" i="5"/>
  <c r="AN701" i="6" l="1"/>
  <c r="BG701" i="6"/>
  <c r="AU701" i="6"/>
  <c r="AY701" i="6"/>
  <c r="AS701" i="6"/>
  <c r="AG701" i="6"/>
  <c r="BE701" i="6"/>
  <c r="AF701" i="6"/>
  <c r="AJ701" i="6"/>
  <c r="BF701" i="6"/>
  <c r="AZ701" i="6"/>
  <c r="BA701" i="6"/>
  <c r="BC701" i="6"/>
  <c r="BB701" i="6"/>
  <c r="AC701" i="6"/>
  <c r="AR701" i="6"/>
  <c r="AB701" i="6"/>
  <c r="AX701" i="6"/>
  <c r="AK701" i="6"/>
  <c r="AT701" i="6"/>
  <c r="AQ701" i="6"/>
  <c r="AV701" i="6"/>
  <c r="AE701" i="6"/>
  <c r="AP701" i="6"/>
  <c r="AH701" i="6"/>
  <c r="AI701" i="6"/>
  <c r="AM701" i="6"/>
  <c r="BD701" i="6"/>
  <c r="AO701" i="6"/>
  <c r="E704" i="5"/>
  <c r="J703" i="12"/>
  <c r="K703" i="12" s="1"/>
  <c r="N702" i="6"/>
  <c r="AD704" i="5"/>
  <c r="N704" i="5"/>
  <c r="D704" i="6" s="1"/>
  <c r="H704" i="6" s="1"/>
  <c r="T704" i="5" s="1"/>
  <c r="G704" i="12" s="1"/>
  <c r="D704" i="5"/>
  <c r="B704" i="12" s="1"/>
  <c r="AE704" i="5"/>
  <c r="B704" i="5"/>
  <c r="F704" i="5"/>
  <c r="A704" i="12"/>
  <c r="J704" i="12" s="1"/>
  <c r="C705" i="5"/>
  <c r="H704" i="5"/>
  <c r="G704" i="5"/>
  <c r="J704" i="5"/>
  <c r="K704" i="5"/>
  <c r="B704" i="6"/>
  <c r="A703" i="6"/>
  <c r="M703" i="6" s="1"/>
  <c r="BA703" i="6" s="1"/>
  <c r="AY702" i="6"/>
  <c r="AZ702" i="6"/>
  <c r="AB702" i="6"/>
  <c r="AG702" i="6"/>
  <c r="AF702" i="6"/>
  <c r="AM702" i="6"/>
  <c r="AV702" i="6"/>
  <c r="BF702" i="6"/>
  <c r="AN702" i="6"/>
  <c r="AC702" i="6"/>
  <c r="BC702" i="6"/>
  <c r="AE702" i="6"/>
  <c r="AO702" i="6"/>
  <c r="AP702" i="6"/>
  <c r="BA702" i="6"/>
  <c r="AT702" i="6"/>
  <c r="AS702" i="6"/>
  <c r="AD702" i="6"/>
  <c r="BG702" i="6"/>
  <c r="BB702" i="6"/>
  <c r="AI702" i="6"/>
  <c r="AJ702" i="6"/>
  <c r="AX702" i="6"/>
  <c r="BD702" i="6"/>
  <c r="AK702" i="6"/>
  <c r="AQ702" i="6"/>
  <c r="AU702" i="6"/>
  <c r="AR702" i="6"/>
  <c r="AH702" i="6"/>
  <c r="H705" i="5" l="1"/>
  <c r="L704" i="12"/>
  <c r="K704" i="12" s="1"/>
  <c r="C706" i="5"/>
  <c r="AD705" i="5"/>
  <c r="AE705" i="5"/>
  <c r="J705" i="5"/>
  <c r="K705" i="5"/>
  <c r="E705" i="5"/>
  <c r="D705" i="5"/>
  <c r="B705" i="12" s="1"/>
  <c r="N705" i="5"/>
  <c r="D705" i="6" s="1"/>
  <c r="H705" i="6" s="1"/>
  <c r="T705" i="5" s="1"/>
  <c r="G705" i="12" s="1"/>
  <c r="B705" i="6"/>
  <c r="A705" i="12"/>
  <c r="J705" i="12" s="1"/>
  <c r="G705" i="5"/>
  <c r="B705" i="5"/>
  <c r="F705" i="5"/>
  <c r="N703" i="6"/>
  <c r="A704" i="6"/>
  <c r="M704" i="6" s="1"/>
  <c r="AQ704" i="6" s="1"/>
  <c r="AT703" i="6"/>
  <c r="BF703" i="6"/>
  <c r="AC703" i="6"/>
  <c r="AR703" i="6"/>
  <c r="BE703" i="6"/>
  <c r="BC703" i="6"/>
  <c r="AB703" i="6"/>
  <c r="AG703" i="6"/>
  <c r="AE703" i="6"/>
  <c r="AP703" i="6"/>
  <c r="BG703" i="6"/>
  <c r="AY703" i="6"/>
  <c r="AD703" i="6"/>
  <c r="AU703" i="6"/>
  <c r="AH703" i="6"/>
  <c r="BD703" i="6"/>
  <c r="AS703" i="6"/>
  <c r="AN703" i="6"/>
  <c r="AX703" i="6"/>
  <c r="AV703" i="6"/>
  <c r="AO703" i="6"/>
  <c r="AI703" i="6"/>
  <c r="AQ703" i="6"/>
  <c r="AK703" i="6"/>
  <c r="AM703" i="6"/>
  <c r="AF703" i="6"/>
  <c r="BB703" i="6"/>
  <c r="AZ703" i="6"/>
  <c r="AJ703" i="6"/>
  <c r="I35" i="5"/>
  <c r="I36" i="5" s="1"/>
  <c r="H706" i="5" l="1"/>
  <c r="F706" i="5"/>
  <c r="C707" i="5"/>
  <c r="N707" i="5" s="1"/>
  <c r="D707" i="6" s="1"/>
  <c r="G706" i="5"/>
  <c r="B706" i="6"/>
  <c r="E706" i="5"/>
  <c r="AE706" i="5"/>
  <c r="A706" i="12"/>
  <c r="J706" i="12" s="1"/>
  <c r="N706" i="5"/>
  <c r="D706" i="6" s="1"/>
  <c r="H706" i="6" s="1"/>
  <c r="T706" i="5" s="1"/>
  <c r="G706" i="12" s="1"/>
  <c r="AD706" i="5"/>
  <c r="D706" i="5"/>
  <c r="B706" i="12" s="1"/>
  <c r="B706" i="5"/>
  <c r="J706" i="5"/>
  <c r="K706" i="5"/>
  <c r="L705" i="12"/>
  <c r="K705" i="12" s="1"/>
  <c r="A705" i="6"/>
  <c r="M705" i="6" s="1"/>
  <c r="AQ705" i="6" s="1"/>
  <c r="N704" i="6"/>
  <c r="BE704" i="6"/>
  <c r="BF704" i="6"/>
  <c r="BD704" i="6"/>
  <c r="AI704" i="6"/>
  <c r="BG704" i="6"/>
  <c r="AF704" i="6"/>
  <c r="AP704" i="6"/>
  <c r="AG704" i="6"/>
  <c r="AT704" i="6"/>
  <c r="AJ704" i="6"/>
  <c r="AY704" i="6"/>
  <c r="AZ704" i="6"/>
  <c r="AD704" i="6"/>
  <c r="AK704" i="6"/>
  <c r="BC704" i="6"/>
  <c r="AV704" i="6"/>
  <c r="AH704" i="6"/>
  <c r="AS704" i="6"/>
  <c r="AN704" i="6"/>
  <c r="AE704" i="6"/>
  <c r="AB704" i="6"/>
  <c r="AC704" i="6"/>
  <c r="BA704" i="6"/>
  <c r="AM704" i="6"/>
  <c r="AR704" i="6"/>
  <c r="AX704" i="6"/>
  <c r="BB704" i="6"/>
  <c r="AU704" i="6"/>
  <c r="AO704" i="6"/>
  <c r="I40" i="5"/>
  <c r="L706" i="12" l="1"/>
  <c r="K706" i="12" s="1"/>
  <c r="B707" i="5"/>
  <c r="C708" i="5" s="1"/>
  <c r="K707" i="5"/>
  <c r="B707" i="6"/>
  <c r="AD707" i="5"/>
  <c r="J707" i="5"/>
  <c r="E707" i="5"/>
  <c r="H707" i="5"/>
  <c r="G707" i="5"/>
  <c r="AE707" i="5"/>
  <c r="F707" i="5"/>
  <c r="A707" i="12"/>
  <c r="L707" i="12" s="1"/>
  <c r="D707" i="5"/>
  <c r="B707" i="12" s="1"/>
  <c r="AP705" i="6"/>
  <c r="AY705" i="6"/>
  <c r="AI705" i="6"/>
  <c r="BC705" i="6"/>
  <c r="BG705" i="6"/>
  <c r="N705" i="6"/>
  <c r="A706" i="6"/>
  <c r="M706" i="6" s="1"/>
  <c r="BG706" i="6" s="1"/>
  <c r="AK705" i="6"/>
  <c r="AH705" i="6"/>
  <c r="AT705" i="6"/>
  <c r="AO705" i="6"/>
  <c r="AN705" i="6"/>
  <c r="BF705" i="6"/>
  <c r="BE705" i="6"/>
  <c r="AV705" i="6"/>
  <c r="BA705" i="6"/>
  <c r="AR705" i="6"/>
  <c r="AZ705" i="6"/>
  <c r="AB705" i="6"/>
  <c r="AG705" i="6"/>
  <c r="AF705" i="6"/>
  <c r="AU705" i="6"/>
  <c r="BD705" i="6"/>
  <c r="BB705" i="6"/>
  <c r="AS705" i="6"/>
  <c r="AD705" i="6"/>
  <c r="AM705" i="6"/>
  <c r="AC705" i="6"/>
  <c r="AJ705" i="6"/>
  <c r="AX705" i="6"/>
  <c r="AE705" i="6"/>
  <c r="H707" i="6"/>
  <c r="T707" i="5" s="1"/>
  <c r="G707" i="12" s="1"/>
  <c r="I593" i="5"/>
  <c r="J707" i="12" l="1"/>
  <c r="K707" i="12" s="1"/>
  <c r="A707" i="6"/>
  <c r="M707" i="6" s="1"/>
  <c r="AU707" i="6" s="1"/>
  <c r="N706" i="6"/>
  <c r="AK706" i="6"/>
  <c r="AE706" i="6"/>
  <c r="AV706" i="6"/>
  <c r="BD706" i="6"/>
  <c r="AS706" i="6"/>
  <c r="AQ706" i="6"/>
  <c r="BF706" i="6"/>
  <c r="AO706" i="6"/>
  <c r="AB706" i="6"/>
  <c r="AH706" i="6"/>
  <c r="AF706" i="6"/>
  <c r="AP706" i="6"/>
  <c r="AX706" i="6"/>
  <c r="AC706" i="6"/>
  <c r="BC706" i="6"/>
  <c r="BA706" i="6"/>
  <c r="AG706" i="6"/>
  <c r="AN706" i="6"/>
  <c r="AY706" i="6"/>
  <c r="BB706" i="6"/>
  <c r="AR706" i="6"/>
  <c r="AD706" i="6"/>
  <c r="AM706" i="6"/>
  <c r="AT706" i="6"/>
  <c r="AU706" i="6"/>
  <c r="AI706" i="6"/>
  <c r="AZ706" i="6"/>
  <c r="AJ706" i="6"/>
  <c r="BE706" i="6"/>
  <c r="B708" i="6"/>
  <c r="F708" i="5"/>
  <c r="W708" i="5"/>
  <c r="H708" i="12" s="1"/>
  <c r="N708" i="5"/>
  <c r="D708" i="6" s="1"/>
  <c r="A708" i="12"/>
  <c r="E708" i="5"/>
  <c r="B708" i="5"/>
  <c r="C709" i="5" s="1"/>
  <c r="R708" i="5"/>
  <c r="I708" i="5"/>
  <c r="AD708" i="5"/>
  <c r="H708" i="5"/>
  <c r="AE708" i="5"/>
  <c r="G708" i="5"/>
  <c r="K700" i="5" s="1"/>
  <c r="I48" i="5"/>
  <c r="N707" i="6" l="1"/>
  <c r="AD707" i="6"/>
  <c r="AJ707" i="6"/>
  <c r="AF707" i="6"/>
  <c r="AQ707" i="6"/>
  <c r="AK707" i="6"/>
  <c r="BD707" i="6"/>
  <c r="BC707" i="6"/>
  <c r="BB707" i="6"/>
  <c r="BF707" i="6"/>
  <c r="AE707" i="6"/>
  <c r="AP707" i="6"/>
  <c r="AH707" i="6"/>
  <c r="AI707" i="6"/>
  <c r="AT707" i="6"/>
  <c r="AS707" i="6"/>
  <c r="AX707" i="6"/>
  <c r="AN707" i="6"/>
  <c r="AG707" i="6"/>
  <c r="AO707" i="6"/>
  <c r="AM707" i="6"/>
  <c r="BE707" i="6"/>
  <c r="AC707" i="6"/>
  <c r="BG707" i="6"/>
  <c r="BA707" i="6"/>
  <c r="AY707" i="6"/>
  <c r="AR707" i="6"/>
  <c r="AZ707" i="6"/>
  <c r="AB707" i="6"/>
  <c r="AV707" i="6"/>
  <c r="A708" i="6"/>
  <c r="F708" i="6"/>
  <c r="E708" i="12"/>
  <c r="N709" i="5"/>
  <c r="D709" i="6" s="1"/>
  <c r="B709" i="5"/>
  <c r="G709" i="5"/>
  <c r="AD709" i="5"/>
  <c r="AE709" i="5"/>
  <c r="W709" i="5"/>
  <c r="H709" i="12" s="1"/>
  <c r="E709" i="5"/>
  <c r="F709" i="5"/>
  <c r="A709" i="12"/>
  <c r="B709" i="6"/>
  <c r="C710" i="5"/>
  <c r="H709" i="5"/>
  <c r="I709" i="5"/>
  <c r="AP708" i="6"/>
  <c r="AU708" i="6"/>
  <c r="BA708" i="6"/>
  <c r="AQ708" i="6"/>
  <c r="H708" i="6"/>
  <c r="T708" i="5" s="1"/>
  <c r="G708" i="12" s="1"/>
  <c r="BG708" i="6"/>
  <c r="AR708" i="6"/>
  <c r="AO708" i="6"/>
  <c r="N708" i="6"/>
  <c r="AV708" i="6"/>
  <c r="AN708" i="6"/>
  <c r="BB708" i="6"/>
  <c r="BC708" i="6"/>
  <c r="BE708" i="6"/>
  <c r="M708" i="6"/>
  <c r="AT708" i="6"/>
  <c r="AS708" i="6"/>
  <c r="BF708" i="6"/>
  <c r="AY708" i="6"/>
  <c r="AM708" i="6"/>
  <c r="AZ708" i="6"/>
  <c r="BD708" i="6"/>
  <c r="G708" i="6"/>
  <c r="AX708" i="6"/>
  <c r="I597" i="5"/>
  <c r="AF708" i="6" l="1"/>
  <c r="A709" i="6"/>
  <c r="AE708" i="6"/>
  <c r="AC708" i="6"/>
  <c r="AK708" i="6"/>
  <c r="AB708" i="6"/>
  <c r="AI708" i="6"/>
  <c r="AE710" i="5"/>
  <c r="F710" i="5"/>
  <c r="AD710" i="5"/>
  <c r="A710" i="12"/>
  <c r="E710" i="5"/>
  <c r="G710" i="5"/>
  <c r="K710" i="5"/>
  <c r="D710" i="5" s="1"/>
  <c r="B710" i="12" s="1"/>
  <c r="B710" i="5"/>
  <c r="J710" i="5"/>
  <c r="H710" i="5"/>
  <c r="C711" i="5"/>
  <c r="N710" i="5"/>
  <c r="D710" i="6" s="1"/>
  <c r="B710" i="6"/>
  <c r="AH708" i="6"/>
  <c r="AJ708" i="6"/>
  <c r="AY709" i="6"/>
  <c r="BD709" i="6"/>
  <c r="BE709" i="6"/>
  <c r="BF709" i="6"/>
  <c r="BB709" i="6"/>
  <c r="AM709" i="6"/>
  <c r="AU709" i="6"/>
  <c r="AP709" i="6"/>
  <c r="N709" i="6"/>
  <c r="AR709" i="6"/>
  <c r="AZ709" i="6"/>
  <c r="BA709" i="6"/>
  <c r="BC709" i="6"/>
  <c r="M709" i="6"/>
  <c r="BG709" i="6"/>
  <c r="H709" i="6"/>
  <c r="T709" i="5" s="1"/>
  <c r="G709" i="12" s="1"/>
  <c r="AV709" i="6"/>
  <c r="AS709" i="6"/>
  <c r="AX709" i="6"/>
  <c r="AQ709" i="6"/>
  <c r="AN709" i="6"/>
  <c r="AO709" i="6"/>
  <c r="G709" i="6"/>
  <c r="AT709" i="6"/>
  <c r="AD708" i="6"/>
  <c r="E709" i="12"/>
  <c r="F709" i="6"/>
  <c r="AG708" i="6"/>
  <c r="J433" i="5"/>
  <c r="D433" i="5" s="1"/>
  <c r="B433" i="12" s="1"/>
  <c r="J430" i="5"/>
  <c r="D430" i="5" s="1"/>
  <c r="B430" i="12" s="1"/>
  <c r="J427" i="5"/>
  <c r="D427" i="5" s="1"/>
  <c r="B427" i="12" s="1"/>
  <c r="J449" i="5"/>
  <c r="D449" i="5" s="1"/>
  <c r="B449" i="12" s="1"/>
  <c r="J483" i="5"/>
  <c r="K483" i="5"/>
  <c r="J535" i="5"/>
  <c r="D535" i="5" s="1"/>
  <c r="B535" i="12" s="1"/>
  <c r="J488" i="5"/>
  <c r="D488" i="5" s="1"/>
  <c r="B488" i="12" s="1"/>
  <c r="J539" i="5"/>
  <c r="D539" i="5" s="1"/>
  <c r="B539" i="12" s="1"/>
  <c r="J491" i="5"/>
  <c r="D491" i="5" s="1"/>
  <c r="B491" i="12" s="1"/>
  <c r="J552" i="5"/>
  <c r="D552" i="5" s="1"/>
  <c r="B552" i="12" s="1"/>
  <c r="J584" i="5"/>
  <c r="D584" i="5" s="1"/>
  <c r="B584" i="12" s="1"/>
  <c r="J597" i="5"/>
  <c r="D597" i="5" s="1"/>
  <c r="B597" i="12" s="1"/>
  <c r="J593" i="5"/>
  <c r="D593" i="5" s="1"/>
  <c r="B593" i="12" s="1"/>
  <c r="J518" i="5"/>
  <c r="D518" i="5" s="1"/>
  <c r="B518" i="12" s="1"/>
  <c r="J500" i="5"/>
  <c r="D500" i="5" s="1"/>
  <c r="B500" i="12" s="1"/>
  <c r="AK709" i="6" l="1"/>
  <c r="AC709" i="6"/>
  <c r="AF709" i="6"/>
  <c r="AI709" i="6"/>
  <c r="AG709" i="6"/>
  <c r="AH709" i="6"/>
  <c r="AJ709" i="6"/>
  <c r="AD709" i="6"/>
  <c r="A710" i="6"/>
  <c r="N710" i="6" s="1"/>
  <c r="H710" i="6"/>
  <c r="T710" i="5" s="1"/>
  <c r="G710" i="12" s="1"/>
  <c r="L710" i="12"/>
  <c r="J710" i="12"/>
  <c r="AE709" i="6"/>
  <c r="AB709" i="6"/>
  <c r="K711" i="5"/>
  <c r="F711" i="5"/>
  <c r="B711" i="5"/>
  <c r="G711" i="5"/>
  <c r="H711" i="5"/>
  <c r="A711" i="12"/>
  <c r="AE711" i="5"/>
  <c r="C712" i="5"/>
  <c r="D711" i="5"/>
  <c r="B711" i="12" s="1"/>
  <c r="E711" i="5"/>
  <c r="J711" i="5"/>
  <c r="B711" i="6"/>
  <c r="N711" i="5"/>
  <c r="D711" i="6" s="1"/>
  <c r="AD711" i="5"/>
  <c r="D483" i="5"/>
  <c r="B483" i="12" s="1"/>
  <c r="I59" i="5"/>
  <c r="I60" i="5" s="1"/>
  <c r="H712" i="5" l="1"/>
  <c r="F712" i="5"/>
  <c r="AD712" i="5"/>
  <c r="D712" i="5"/>
  <c r="B712" i="12" s="1"/>
  <c r="J712" i="5"/>
  <c r="AE712" i="5"/>
  <c r="A712" i="12"/>
  <c r="E712" i="5"/>
  <c r="K712" i="5"/>
  <c r="N712" i="5"/>
  <c r="D712" i="6" s="1"/>
  <c r="C713" i="5"/>
  <c r="B712" i="6"/>
  <c r="B712" i="5"/>
  <c r="G712" i="5"/>
  <c r="M710" i="6"/>
  <c r="L711" i="12"/>
  <c r="J711" i="12"/>
  <c r="K710" i="12"/>
  <c r="H711" i="6"/>
  <c r="A711" i="6"/>
  <c r="N711" i="6" s="1"/>
  <c r="J375" i="5"/>
  <c r="D375" i="5" s="1"/>
  <c r="K369" i="5"/>
  <c r="J369" i="5"/>
  <c r="K379" i="5"/>
  <c r="D379" i="5" s="1"/>
  <c r="B379" i="12" s="1"/>
  <c r="I78" i="5"/>
  <c r="K711" i="12" l="1"/>
  <c r="M711" i="6"/>
  <c r="AF711" i="6" s="1"/>
  <c r="AX710" i="6"/>
  <c r="AT710" i="6"/>
  <c r="AS710" i="6"/>
  <c r="BF710" i="6"/>
  <c r="AU710" i="6"/>
  <c r="AV710" i="6"/>
  <c r="AP710" i="6"/>
  <c r="BG710" i="6"/>
  <c r="AD710" i="6"/>
  <c r="AN710" i="6"/>
  <c r="AR710" i="6"/>
  <c r="BB710" i="6"/>
  <c r="AE710" i="6"/>
  <c r="AQ710" i="6"/>
  <c r="BC710" i="6"/>
  <c r="AK710" i="6"/>
  <c r="AY710" i="6"/>
  <c r="BA710" i="6"/>
  <c r="AZ710" i="6"/>
  <c r="AF710" i="6"/>
  <c r="BD710" i="6"/>
  <c r="BE710" i="6"/>
  <c r="AM710" i="6"/>
  <c r="AO710" i="6"/>
  <c r="AH710" i="6"/>
  <c r="AC710" i="6"/>
  <c r="A712" i="6"/>
  <c r="N712" i="6" s="1"/>
  <c r="AI710" i="6"/>
  <c r="T711" i="5"/>
  <c r="G711" i="12" s="1"/>
  <c r="A713" i="12"/>
  <c r="G713" i="5"/>
  <c r="H713" i="5"/>
  <c r="C714" i="5"/>
  <c r="C715" i="5" s="1"/>
  <c r="AE713" i="5"/>
  <c r="B713" i="5"/>
  <c r="J713" i="5"/>
  <c r="AD713" i="5"/>
  <c r="F713" i="5"/>
  <c r="N713" i="5"/>
  <c r="D713" i="6" s="1"/>
  <c r="B713" i="6"/>
  <c r="E713" i="5"/>
  <c r="D713" i="5"/>
  <c r="B713" i="12" s="1"/>
  <c r="K713" i="5"/>
  <c r="AJ710" i="6"/>
  <c r="AG710" i="6"/>
  <c r="H712" i="6"/>
  <c r="T712" i="5" s="1"/>
  <c r="G712" i="12" s="1"/>
  <c r="AB710" i="6"/>
  <c r="J712" i="12"/>
  <c r="L712" i="12"/>
  <c r="B375" i="12"/>
  <c r="D369" i="5"/>
  <c r="B369" i="12" s="1"/>
  <c r="I86" i="5"/>
  <c r="I87" i="5" s="1"/>
  <c r="AC711" i="6" l="1"/>
  <c r="AD711" i="6"/>
  <c r="BD711" i="6"/>
  <c r="AY711" i="6"/>
  <c r="BB711" i="6"/>
  <c r="AK711" i="6"/>
  <c r="AO711" i="6"/>
  <c r="BA711" i="6"/>
  <c r="AP711" i="6"/>
  <c r="BC711" i="6"/>
  <c r="AG711" i="6"/>
  <c r="AM711" i="6"/>
  <c r="AJ711" i="6"/>
  <c r="AV711" i="6"/>
  <c r="BF711" i="6"/>
  <c r="BG711" i="6"/>
  <c r="AR711" i="6"/>
  <c r="AZ711" i="6"/>
  <c r="AE711" i="6"/>
  <c r="B715" i="6"/>
  <c r="D715" i="5"/>
  <c r="B715" i="12" s="1"/>
  <c r="A715" i="12"/>
  <c r="K715" i="5"/>
  <c r="J715" i="5"/>
  <c r="N715" i="5"/>
  <c r="C716" i="5"/>
  <c r="AE715" i="5"/>
  <c r="AD715" i="5"/>
  <c r="M712" i="6"/>
  <c r="AT712" i="6" s="1"/>
  <c r="AS711" i="6"/>
  <c r="AU711" i="6"/>
  <c r="AT711" i="6"/>
  <c r="AN711" i="6"/>
  <c r="AX711" i="6"/>
  <c r="AQ711" i="6"/>
  <c r="BE711" i="6"/>
  <c r="AI711" i="6"/>
  <c r="AB711" i="6"/>
  <c r="AH711" i="6"/>
  <c r="AD714" i="5"/>
  <c r="AE714" i="5"/>
  <c r="K714" i="5"/>
  <c r="F714" i="5"/>
  <c r="F715" i="5" s="1"/>
  <c r="B714" i="6"/>
  <c r="E714" i="5"/>
  <c r="E715" i="5" s="1"/>
  <c r="J714" i="5"/>
  <c r="A714" i="12"/>
  <c r="N714" i="5"/>
  <c r="D714" i="6" s="1"/>
  <c r="B714" i="5"/>
  <c r="B715" i="5" s="1"/>
  <c r="G714" i="5"/>
  <c r="G715" i="5" s="1"/>
  <c r="H714" i="5"/>
  <c r="H715" i="5" s="1"/>
  <c r="D714" i="5"/>
  <c r="B714" i="12" s="1"/>
  <c r="A713" i="6"/>
  <c r="M713" i="6" s="1"/>
  <c r="AY713" i="6" s="1"/>
  <c r="H713" i="6"/>
  <c r="T713" i="5" s="1"/>
  <c r="G713" i="12" s="1"/>
  <c r="L713" i="12"/>
  <c r="J713" i="12"/>
  <c r="K712" i="12"/>
  <c r="I100" i="5"/>
  <c r="AR712" i="6" l="1"/>
  <c r="AK712" i="6"/>
  <c r="BG712" i="6"/>
  <c r="AG712" i="6"/>
  <c r="AU712" i="6"/>
  <c r="AO712" i="6"/>
  <c r="AB712" i="6"/>
  <c r="AD712" i="6"/>
  <c r="AC712" i="6"/>
  <c r="AF712" i="6"/>
  <c r="AJ712" i="6"/>
  <c r="AM712" i="6"/>
  <c r="BA712" i="6"/>
  <c r="AS712" i="6"/>
  <c r="J715" i="12"/>
  <c r="L715" i="12"/>
  <c r="BB712" i="6"/>
  <c r="B716" i="6"/>
  <c r="F716" i="5"/>
  <c r="H716" i="5"/>
  <c r="N716" i="5"/>
  <c r="E716" i="5"/>
  <c r="G716" i="5"/>
  <c r="D716" i="5"/>
  <c r="B716" i="12" s="1"/>
  <c r="A716" i="12"/>
  <c r="K716" i="5"/>
  <c r="J716" i="5"/>
  <c r="B716" i="5"/>
  <c r="C717" i="5"/>
  <c r="AE716" i="5"/>
  <c r="AD716" i="5"/>
  <c r="D715" i="6"/>
  <c r="AE712" i="6"/>
  <c r="BF712" i="6"/>
  <c r="AI712" i="6"/>
  <c r="AH712" i="6"/>
  <c r="AZ712" i="6"/>
  <c r="AQ712" i="6"/>
  <c r="AX712" i="6"/>
  <c r="BC712" i="6"/>
  <c r="AN712" i="6"/>
  <c r="AY712" i="6"/>
  <c r="AV712" i="6"/>
  <c r="AP712" i="6"/>
  <c r="BE712" i="6"/>
  <c r="BD712" i="6"/>
  <c r="BD713" i="6"/>
  <c r="AU713" i="6"/>
  <c r="AR713" i="6"/>
  <c r="BF713" i="6"/>
  <c r="N713" i="6"/>
  <c r="AN713" i="6"/>
  <c r="AV713" i="6"/>
  <c r="AE713" i="6"/>
  <c r="AO713" i="6"/>
  <c r="AX713" i="6"/>
  <c r="AJ713" i="6"/>
  <c r="BC713" i="6"/>
  <c r="AC713" i="6"/>
  <c r="AM713" i="6"/>
  <c r="AI713" i="6"/>
  <c r="AG713" i="6"/>
  <c r="BG713" i="6"/>
  <c r="AQ713" i="6"/>
  <c r="AT713" i="6"/>
  <c r="AH713" i="6"/>
  <c r="AS713" i="6"/>
  <c r="AK713" i="6"/>
  <c r="BB713" i="6"/>
  <c r="H714" i="6"/>
  <c r="T714" i="5" s="1"/>
  <c r="G714" i="12" s="1"/>
  <c r="L714" i="12"/>
  <c r="J714" i="12"/>
  <c r="K713" i="12"/>
  <c r="AB713" i="6"/>
  <c r="AD713" i="6"/>
  <c r="AZ713" i="6"/>
  <c r="A714" i="6"/>
  <c r="M714" i="6" s="1"/>
  <c r="AU714" i="6" s="1"/>
  <c r="AF713" i="6"/>
  <c r="BA713" i="6"/>
  <c r="AP713" i="6"/>
  <c r="BE713" i="6"/>
  <c r="I105" i="5"/>
  <c r="I106" i="5" s="1"/>
  <c r="K715" i="12" l="1"/>
  <c r="L716" i="12"/>
  <c r="J716" i="12"/>
  <c r="B717" i="6"/>
  <c r="AD717" i="5"/>
  <c r="H717" i="5"/>
  <c r="J717" i="5"/>
  <c r="B717" i="5"/>
  <c r="C718" i="5" s="1"/>
  <c r="G717" i="5"/>
  <c r="F717" i="5"/>
  <c r="N717" i="5"/>
  <c r="E717" i="5"/>
  <c r="D717" i="5"/>
  <c r="B717" i="12" s="1"/>
  <c r="A717" i="12"/>
  <c r="K717" i="5"/>
  <c r="AE717" i="5"/>
  <c r="H715" i="6"/>
  <c r="T715" i="5" s="1"/>
  <c r="D716" i="6"/>
  <c r="A715" i="6"/>
  <c r="N715" i="6" s="1"/>
  <c r="K714" i="12"/>
  <c r="N714" i="6"/>
  <c r="BF714" i="6"/>
  <c r="AO714" i="6"/>
  <c r="AH714" i="6"/>
  <c r="AY714" i="6"/>
  <c r="AV714" i="6"/>
  <c r="BA714" i="6"/>
  <c r="AC714" i="6"/>
  <c r="AR714" i="6"/>
  <c r="BB714" i="6"/>
  <c r="AB714" i="6"/>
  <c r="BD714" i="6"/>
  <c r="BG714" i="6"/>
  <c r="AE714" i="6"/>
  <c r="AG714" i="6"/>
  <c r="AX714" i="6"/>
  <c r="AT714" i="6"/>
  <c r="AJ714" i="6"/>
  <c r="AD714" i="6"/>
  <c r="AQ714" i="6"/>
  <c r="AI714" i="6"/>
  <c r="BC714" i="6"/>
  <c r="AK714" i="6"/>
  <c r="AF714" i="6"/>
  <c r="AM714" i="6"/>
  <c r="AZ714" i="6"/>
  <c r="AS714" i="6"/>
  <c r="AP714" i="6"/>
  <c r="BE714" i="6"/>
  <c r="AN714" i="6"/>
  <c r="I108" i="5"/>
  <c r="K716" i="12" l="1"/>
  <c r="M715" i="6"/>
  <c r="AX715" i="6" s="1"/>
  <c r="G715" i="12"/>
  <c r="B718" i="6"/>
  <c r="B718" i="5"/>
  <c r="H718" i="5"/>
  <c r="C719" i="5"/>
  <c r="G718" i="5"/>
  <c r="A718" i="12"/>
  <c r="E718" i="5"/>
  <c r="AE718" i="5"/>
  <c r="W718" i="5"/>
  <c r="H718" i="12" s="1"/>
  <c r="AD718" i="5"/>
  <c r="N718" i="5"/>
  <c r="D718" i="6" s="1"/>
  <c r="F718" i="5"/>
  <c r="A716" i="6"/>
  <c r="M716" i="6" s="1"/>
  <c r="D717" i="6"/>
  <c r="H716" i="6"/>
  <c r="T716" i="5" s="1"/>
  <c r="L717" i="12"/>
  <c r="J717" i="12"/>
  <c r="I119" i="5"/>
  <c r="BG715" i="6" l="1"/>
  <c r="AM715" i="6"/>
  <c r="AE715" i="6"/>
  <c r="AN715" i="6"/>
  <c r="AJ715" i="6"/>
  <c r="BB715" i="6"/>
  <c r="AC715" i="6"/>
  <c r="AY715" i="6"/>
  <c r="BD715" i="6"/>
  <c r="AP715" i="6"/>
  <c r="AH715" i="6"/>
  <c r="AF715" i="6"/>
  <c r="AZ715" i="6"/>
  <c r="BF715" i="6"/>
  <c r="AO715" i="6"/>
  <c r="AU715" i="6"/>
  <c r="AD715" i="6"/>
  <c r="BE715" i="6"/>
  <c r="AT715" i="6"/>
  <c r="AR715" i="6"/>
  <c r="BC715" i="6"/>
  <c r="BA715" i="6"/>
  <c r="AV715" i="6"/>
  <c r="AG715" i="6"/>
  <c r="AQ715" i="6"/>
  <c r="AS715" i="6"/>
  <c r="AI715" i="6"/>
  <c r="AB715" i="6"/>
  <c r="AK715" i="6"/>
  <c r="A717" i="6"/>
  <c r="N717" i="6" s="1"/>
  <c r="AR716" i="6"/>
  <c r="BC716" i="6"/>
  <c r="AV716" i="6"/>
  <c r="BB716" i="6"/>
  <c r="AT716" i="6"/>
  <c r="AN716" i="6"/>
  <c r="BF716" i="6"/>
  <c r="BG716" i="6"/>
  <c r="AX716" i="6"/>
  <c r="BE716" i="6"/>
  <c r="AS716" i="6"/>
  <c r="AY716" i="6"/>
  <c r="AO716" i="6"/>
  <c r="BD716" i="6"/>
  <c r="BA716" i="6"/>
  <c r="AZ716" i="6"/>
  <c r="AP716" i="6"/>
  <c r="AU716" i="6"/>
  <c r="AQ716" i="6"/>
  <c r="AM716" i="6"/>
  <c r="AG716" i="6"/>
  <c r="G716" i="12"/>
  <c r="AF716" i="6"/>
  <c r="AD716" i="6"/>
  <c r="H717" i="6"/>
  <c r="T717" i="5" s="1"/>
  <c r="AH716" i="6"/>
  <c r="AK716" i="6"/>
  <c r="AC716" i="6"/>
  <c r="AE716" i="6"/>
  <c r="AB716" i="6"/>
  <c r="N716" i="6"/>
  <c r="K709" i="5"/>
  <c r="AI716" i="6"/>
  <c r="A719" i="12"/>
  <c r="F719" i="5"/>
  <c r="G719" i="5"/>
  <c r="B719" i="6"/>
  <c r="K719" i="5"/>
  <c r="N719" i="5"/>
  <c r="D719" i="6" s="1"/>
  <c r="H719" i="6" s="1"/>
  <c r="T719" i="5" s="1"/>
  <c r="G719" i="12" s="1"/>
  <c r="AE719" i="5"/>
  <c r="AD719" i="5"/>
  <c r="B719" i="5"/>
  <c r="E719" i="5"/>
  <c r="C720" i="5"/>
  <c r="H719" i="5"/>
  <c r="D719" i="5"/>
  <c r="B719" i="12" s="1"/>
  <c r="J719" i="5"/>
  <c r="K717" i="12"/>
  <c r="AJ716" i="6"/>
  <c r="G718" i="6"/>
  <c r="BG718" i="6"/>
  <c r="AN718" i="6"/>
  <c r="BC718" i="6"/>
  <c r="AR718" i="6"/>
  <c r="BE718" i="6"/>
  <c r="H718" i="6"/>
  <c r="AZ718" i="6"/>
  <c r="N718" i="6"/>
  <c r="BB718" i="6"/>
  <c r="AV718" i="6"/>
  <c r="BA718" i="6"/>
  <c r="AY718" i="6"/>
  <c r="BD718" i="6"/>
  <c r="AP718" i="6"/>
  <c r="AT718" i="6"/>
  <c r="AX718" i="6"/>
  <c r="BF718" i="6"/>
  <c r="AM718" i="6"/>
  <c r="AO718" i="6"/>
  <c r="AU718" i="6"/>
  <c r="AS718" i="6"/>
  <c r="AQ718" i="6"/>
  <c r="M718" i="6"/>
  <c r="F718" i="6"/>
  <c r="E718" i="12"/>
  <c r="I123" i="5"/>
  <c r="I124" i="5" s="1"/>
  <c r="M717" i="6" l="1"/>
  <c r="AP717" i="6" s="1"/>
  <c r="A718" i="6"/>
  <c r="A719" i="6" s="1"/>
  <c r="N719" i="6" s="1"/>
  <c r="F720" i="5"/>
  <c r="C721" i="5"/>
  <c r="D720" i="5"/>
  <c r="B720" i="12" s="1"/>
  <c r="B720" i="5"/>
  <c r="N720" i="5"/>
  <c r="D720" i="6" s="1"/>
  <c r="H720" i="6" s="1"/>
  <c r="T720" i="5" s="1"/>
  <c r="G720" i="12" s="1"/>
  <c r="J720" i="5"/>
  <c r="B720" i="6"/>
  <c r="E720" i="5"/>
  <c r="H720" i="5"/>
  <c r="AE720" i="5"/>
  <c r="AD720" i="5"/>
  <c r="G720" i="5"/>
  <c r="A720" i="12"/>
  <c r="K720" i="5"/>
  <c r="J719" i="12"/>
  <c r="L719" i="12"/>
  <c r="G717" i="12"/>
  <c r="T718" i="5"/>
  <c r="G718" i="12" s="1"/>
  <c r="AH718" i="6"/>
  <c r="AI718" i="6"/>
  <c r="AK718" i="6"/>
  <c r="AG718" i="6"/>
  <c r="AB718" i="6"/>
  <c r="AF718" i="6"/>
  <c r="AE718" i="6"/>
  <c r="AD718" i="6"/>
  <c r="AJ718" i="6"/>
  <c r="AC718" i="6"/>
  <c r="I131" i="5"/>
  <c r="AJ717" i="6" l="1"/>
  <c r="AU717" i="6"/>
  <c r="AG717" i="6"/>
  <c r="AO717" i="6"/>
  <c r="AQ717" i="6"/>
  <c r="AZ717" i="6"/>
  <c r="BC717" i="6"/>
  <c r="BA717" i="6"/>
  <c r="AR717" i="6"/>
  <c r="AI717" i="6"/>
  <c r="AK717" i="6"/>
  <c r="AB717" i="6"/>
  <c r="AV717" i="6"/>
  <c r="AN717" i="6"/>
  <c r="AE717" i="6"/>
  <c r="AH717" i="6"/>
  <c r="AX717" i="6"/>
  <c r="AY717" i="6"/>
  <c r="AT717" i="6"/>
  <c r="BE717" i="6"/>
  <c r="BD717" i="6"/>
  <c r="BB717" i="6"/>
  <c r="AF717" i="6"/>
  <c r="BG717" i="6"/>
  <c r="AC717" i="6"/>
  <c r="AM717" i="6"/>
  <c r="M719" i="6"/>
  <c r="AQ719" i="6" s="1"/>
  <c r="AD717" i="6"/>
  <c r="BF717" i="6"/>
  <c r="AS717" i="6"/>
  <c r="K719" i="12"/>
  <c r="J720" i="12"/>
  <c r="L720" i="12"/>
  <c r="H721" i="5"/>
  <c r="F721" i="5"/>
  <c r="AD721" i="5"/>
  <c r="A721" i="12"/>
  <c r="K721" i="5"/>
  <c r="E721" i="5"/>
  <c r="B721" i="5"/>
  <c r="B721" i="6"/>
  <c r="C722" i="5"/>
  <c r="D721" i="5"/>
  <c r="B721" i="12" s="1"/>
  <c r="J721" i="5"/>
  <c r="N721" i="5"/>
  <c r="D721" i="6" s="1"/>
  <c r="H721" i="6" s="1"/>
  <c r="T721" i="5" s="1"/>
  <c r="G721" i="12" s="1"/>
  <c r="AE721" i="5"/>
  <c r="G721" i="5"/>
  <c r="A720" i="6"/>
  <c r="I136" i="5"/>
  <c r="K720" i="12" l="1"/>
  <c r="AB719" i="6"/>
  <c r="AZ719" i="6"/>
  <c r="AF719" i="6"/>
  <c r="AM719" i="6"/>
  <c r="AI719" i="6"/>
  <c r="BE719" i="6"/>
  <c r="AR719" i="6"/>
  <c r="BB719" i="6"/>
  <c r="AP719" i="6"/>
  <c r="AH719" i="6"/>
  <c r="AY719" i="6"/>
  <c r="AT719" i="6"/>
  <c r="AS719" i="6"/>
  <c r="BA719" i="6"/>
  <c r="BC719" i="6"/>
  <c r="AG719" i="6"/>
  <c r="AN719" i="6"/>
  <c r="AO719" i="6"/>
  <c r="AJ719" i="6"/>
  <c r="AX719" i="6"/>
  <c r="AD719" i="6"/>
  <c r="AU719" i="6"/>
  <c r="AE719" i="6"/>
  <c r="BG719" i="6"/>
  <c r="AV719" i="6"/>
  <c r="BD719" i="6"/>
  <c r="AK719" i="6"/>
  <c r="AC719" i="6"/>
  <c r="BF719" i="6"/>
  <c r="A721" i="6"/>
  <c r="N721" i="6" s="1"/>
  <c r="N720" i="6"/>
  <c r="M720" i="6"/>
  <c r="J721" i="12"/>
  <c r="L721" i="12"/>
  <c r="AD722" i="5"/>
  <c r="D722" i="5"/>
  <c r="B722" i="12" s="1"/>
  <c r="F722" i="5"/>
  <c r="N722" i="5"/>
  <c r="D722" i="6" s="1"/>
  <c r="H722" i="6" s="1"/>
  <c r="T722" i="5" s="1"/>
  <c r="G722" i="12" s="1"/>
  <c r="B722" i="5"/>
  <c r="E722" i="5"/>
  <c r="A722" i="12"/>
  <c r="H722" i="5"/>
  <c r="K722" i="5"/>
  <c r="B722" i="6"/>
  <c r="J722" i="5"/>
  <c r="G722" i="5"/>
  <c r="AE722" i="5"/>
  <c r="I144" i="5"/>
  <c r="C723" i="5" l="1"/>
  <c r="K721" i="12"/>
  <c r="M721" i="6"/>
  <c r="BD721" i="6" s="1"/>
  <c r="AB720" i="6"/>
  <c r="AK720" i="6"/>
  <c r="AQ720" i="6"/>
  <c r="AS720" i="6"/>
  <c r="AD720" i="6"/>
  <c r="AE720" i="6"/>
  <c r="AN720" i="6"/>
  <c r="AZ720" i="6"/>
  <c r="AG720" i="6"/>
  <c r="AC720" i="6"/>
  <c r="AM720" i="6"/>
  <c r="AO720" i="6"/>
  <c r="BF720" i="6"/>
  <c r="AT720" i="6"/>
  <c r="AV720" i="6"/>
  <c r="BB720" i="6"/>
  <c r="AR720" i="6"/>
  <c r="AU720" i="6"/>
  <c r="BE720" i="6"/>
  <c r="AP720" i="6"/>
  <c r="AF720" i="6"/>
  <c r="AI720" i="6"/>
  <c r="AJ720" i="6"/>
  <c r="AX720" i="6"/>
  <c r="BC720" i="6"/>
  <c r="BA720" i="6"/>
  <c r="AY720" i="6"/>
  <c r="BD720" i="6"/>
  <c r="BG720" i="6"/>
  <c r="AH720" i="6"/>
  <c r="A722" i="6"/>
  <c r="N722" i="6" s="1"/>
  <c r="L722" i="12"/>
  <c r="J722" i="12"/>
  <c r="I162" i="5"/>
  <c r="AN721" i="6" l="1"/>
  <c r="AQ721" i="6"/>
  <c r="BF721" i="6"/>
  <c r="BC721" i="6"/>
  <c r="AK721" i="6"/>
  <c r="AZ721" i="6"/>
  <c r="AU721" i="6"/>
  <c r="AX721" i="6"/>
  <c r="AV721" i="6"/>
  <c r="AO721" i="6"/>
  <c r="AS721" i="6"/>
  <c r="AF721" i="6"/>
  <c r="BE721" i="6"/>
  <c r="AY721" i="6"/>
  <c r="BG721" i="6"/>
  <c r="AC721" i="6"/>
  <c r="AP721" i="6"/>
  <c r="AD721" i="6"/>
  <c r="AI721" i="6"/>
  <c r="AE721" i="6"/>
  <c r="BA721" i="6"/>
  <c r="AT721" i="6"/>
  <c r="BB721" i="6"/>
  <c r="AB721" i="6"/>
  <c r="AM721" i="6"/>
  <c r="AH721" i="6"/>
  <c r="AR721" i="6"/>
  <c r="AJ721" i="6"/>
  <c r="AG721" i="6"/>
  <c r="AE723" i="5"/>
  <c r="AD723" i="5"/>
  <c r="W723" i="5"/>
  <c r="H723" i="12" s="1"/>
  <c r="N723" i="5"/>
  <c r="D723" i="6" s="1"/>
  <c r="N723" i="6" s="1"/>
  <c r="B723" i="6"/>
  <c r="C724" i="5"/>
  <c r="A723" i="12"/>
  <c r="H723" i="5"/>
  <c r="F723" i="5"/>
  <c r="G723" i="5"/>
  <c r="E723" i="5"/>
  <c r="B723" i="5"/>
  <c r="K722" i="12"/>
  <c r="M722" i="6"/>
  <c r="I165" i="5"/>
  <c r="A723" i="6" l="1"/>
  <c r="M723" i="6" s="1"/>
  <c r="G723" i="6"/>
  <c r="H723" i="6"/>
  <c r="T723" i="5" s="1"/>
  <c r="G723" i="12" s="1"/>
  <c r="F723" i="6"/>
  <c r="E723" i="12"/>
  <c r="H724" i="5"/>
  <c r="J724" i="5"/>
  <c r="G724" i="5"/>
  <c r="B724" i="5"/>
  <c r="F724" i="5"/>
  <c r="D724" i="5"/>
  <c r="B724" i="12" s="1"/>
  <c r="C725" i="5"/>
  <c r="A724" i="12"/>
  <c r="AE724" i="5"/>
  <c r="N724" i="5"/>
  <c r="D724" i="6" s="1"/>
  <c r="B724" i="6"/>
  <c r="E724" i="5"/>
  <c r="AD724" i="5"/>
  <c r="K724" i="5"/>
  <c r="AY723" i="6"/>
  <c r="BB723" i="6"/>
  <c r="AP723" i="6"/>
  <c r="AS723" i="6"/>
  <c r="AZ723" i="6"/>
  <c r="BD723" i="6"/>
  <c r="AQ723" i="6"/>
  <c r="AU723" i="6"/>
  <c r="AV723" i="6"/>
  <c r="BC723" i="6"/>
  <c r="BF723" i="6"/>
  <c r="AM723" i="6"/>
  <c r="BG723" i="6"/>
  <c r="AT723" i="6"/>
  <c r="AN723" i="6"/>
  <c r="AX723" i="6"/>
  <c r="BA723" i="6"/>
  <c r="BE723" i="6"/>
  <c r="AO723" i="6"/>
  <c r="AR723" i="6"/>
  <c r="AI722" i="6"/>
  <c r="BF722" i="6"/>
  <c r="BB722" i="6"/>
  <c r="AG722" i="6"/>
  <c r="AP722" i="6"/>
  <c r="AS722" i="6"/>
  <c r="AC722" i="6"/>
  <c r="AX722" i="6"/>
  <c r="BC722" i="6"/>
  <c r="AJ722" i="6"/>
  <c r="AV722" i="6"/>
  <c r="AM722" i="6"/>
  <c r="BA722" i="6"/>
  <c r="BE722" i="6"/>
  <c r="BG722" i="6"/>
  <c r="BD722" i="6"/>
  <c r="AO722" i="6"/>
  <c r="AB722" i="6"/>
  <c r="AY722" i="6"/>
  <c r="AH722" i="6"/>
  <c r="AQ722" i="6"/>
  <c r="AZ722" i="6"/>
  <c r="AT722" i="6"/>
  <c r="AE722" i="6"/>
  <c r="AD722" i="6"/>
  <c r="AR722" i="6"/>
  <c r="AK722" i="6"/>
  <c r="AF722" i="6"/>
  <c r="AU722" i="6"/>
  <c r="AN722" i="6"/>
  <c r="I177" i="5"/>
  <c r="AC723" i="6" l="1"/>
  <c r="AE723" i="6"/>
  <c r="AH723" i="6"/>
  <c r="AJ723" i="6"/>
  <c r="AI723" i="6"/>
  <c r="AG723" i="6"/>
  <c r="AB723" i="6"/>
  <c r="AD723" i="6"/>
  <c r="AK723" i="6"/>
  <c r="AF723" i="6"/>
  <c r="H724" i="6"/>
  <c r="T724" i="5" s="1"/>
  <c r="G724" i="12" s="1"/>
  <c r="A724" i="6"/>
  <c r="N724" i="6" s="1"/>
  <c r="G725" i="5"/>
  <c r="J725" i="5"/>
  <c r="A725" i="12"/>
  <c r="B725" i="5"/>
  <c r="N725" i="5"/>
  <c r="D725" i="6" s="1"/>
  <c r="H725" i="6" s="1"/>
  <c r="T725" i="5" s="1"/>
  <c r="H725" i="5"/>
  <c r="C726" i="5"/>
  <c r="E725" i="5"/>
  <c r="D725" i="5"/>
  <c r="B725" i="12" s="1"/>
  <c r="AE725" i="5"/>
  <c r="B725" i="6"/>
  <c r="F725" i="5"/>
  <c r="AD725" i="5"/>
  <c r="K725" i="5"/>
  <c r="L724" i="12"/>
  <c r="J724" i="12"/>
  <c r="I184" i="5"/>
  <c r="A725" i="6" l="1"/>
  <c r="N725" i="6" s="1"/>
  <c r="M724" i="6"/>
  <c r="AE724" i="6" s="1"/>
  <c r="J725" i="12"/>
  <c r="L725" i="12"/>
  <c r="K724" i="12"/>
  <c r="D726" i="5"/>
  <c r="B726" i="12" s="1"/>
  <c r="H726" i="5"/>
  <c r="K726" i="5"/>
  <c r="G726" i="5"/>
  <c r="F726" i="5"/>
  <c r="A726" i="12"/>
  <c r="J726" i="5"/>
  <c r="N726" i="5"/>
  <c r="D726" i="6" s="1"/>
  <c r="H726" i="6" s="1"/>
  <c r="T726" i="5" s="1"/>
  <c r="B726" i="5"/>
  <c r="E726" i="5"/>
  <c r="C727" i="5"/>
  <c r="AD726" i="5"/>
  <c r="AE726" i="5"/>
  <c r="B726" i="6"/>
  <c r="G725" i="12"/>
  <c r="I190" i="5"/>
  <c r="I191" i="5" s="1"/>
  <c r="M725" i="6" l="1"/>
  <c r="AT725" i="6" s="1"/>
  <c r="K725" i="12"/>
  <c r="A726" i="6"/>
  <c r="M726" i="6" s="1"/>
  <c r="AG724" i="6"/>
  <c r="AP724" i="6"/>
  <c r="BA724" i="6"/>
  <c r="AD724" i="6"/>
  <c r="AT724" i="6"/>
  <c r="AN724" i="6"/>
  <c r="AU724" i="6"/>
  <c r="BE724" i="6"/>
  <c r="AV724" i="6"/>
  <c r="AQ724" i="6"/>
  <c r="AI724" i="6"/>
  <c r="AF724" i="6"/>
  <c r="BD724" i="6"/>
  <c r="AB724" i="6"/>
  <c r="AR724" i="6"/>
  <c r="BC724" i="6"/>
  <c r="AJ724" i="6"/>
  <c r="AC724" i="6"/>
  <c r="AK724" i="6"/>
  <c r="AS724" i="6"/>
  <c r="AY724" i="6"/>
  <c r="BB724" i="6"/>
  <c r="AM724" i="6"/>
  <c r="BF724" i="6"/>
  <c r="AX724" i="6"/>
  <c r="AO724" i="6"/>
  <c r="AH724" i="6"/>
  <c r="AZ724" i="6"/>
  <c r="BG724" i="6"/>
  <c r="J726" i="12"/>
  <c r="L726" i="12"/>
  <c r="B727" i="5"/>
  <c r="E727" i="5"/>
  <c r="J727" i="5"/>
  <c r="C728" i="5"/>
  <c r="H727" i="5"/>
  <c r="D727" i="5"/>
  <c r="B727" i="12" s="1"/>
  <c r="G727" i="5"/>
  <c r="K727" i="5"/>
  <c r="B727" i="6"/>
  <c r="N727" i="5"/>
  <c r="D727" i="6" s="1"/>
  <c r="H727" i="6" s="1"/>
  <c r="T727" i="5" s="1"/>
  <c r="F727" i="5"/>
  <c r="AE727" i="5"/>
  <c r="AD727" i="5"/>
  <c r="A727" i="12"/>
  <c r="G726" i="12"/>
  <c r="J718" i="5"/>
  <c r="I206" i="5"/>
  <c r="AO725" i="6" l="1"/>
  <c r="BD725" i="6"/>
  <c r="AM725" i="6"/>
  <c r="AH725" i="6"/>
  <c r="AJ725" i="6"/>
  <c r="AP725" i="6"/>
  <c r="AR725" i="6"/>
  <c r="AV725" i="6"/>
  <c r="AF725" i="6"/>
  <c r="AS725" i="6"/>
  <c r="BC725" i="6"/>
  <c r="AU725" i="6"/>
  <c r="AC725" i="6"/>
  <c r="AD725" i="6"/>
  <c r="AE725" i="6"/>
  <c r="BG725" i="6"/>
  <c r="AG725" i="6"/>
  <c r="AY725" i="6"/>
  <c r="AK725" i="6"/>
  <c r="AQ725" i="6"/>
  <c r="AX725" i="6"/>
  <c r="AN725" i="6"/>
  <c r="AB725" i="6"/>
  <c r="BF725" i="6"/>
  <c r="AZ725" i="6"/>
  <c r="BA725" i="6"/>
  <c r="BE725" i="6"/>
  <c r="BB725" i="6"/>
  <c r="AI725" i="6"/>
  <c r="N726" i="6"/>
  <c r="K726" i="12"/>
  <c r="A727" i="6"/>
  <c r="B728" i="5"/>
  <c r="C729" i="5" s="1"/>
  <c r="A728" i="12"/>
  <c r="F728" i="5"/>
  <c r="AE728" i="5"/>
  <c r="N728" i="5"/>
  <c r="D728" i="6" s="1"/>
  <c r="H728" i="6" s="1"/>
  <c r="T728" i="5" s="1"/>
  <c r="B728" i="6"/>
  <c r="E728" i="5"/>
  <c r="AD728" i="5"/>
  <c r="D728" i="5"/>
  <c r="B728" i="12" s="1"/>
  <c r="H728" i="5"/>
  <c r="K728" i="5"/>
  <c r="J728" i="5"/>
  <c r="G728" i="5"/>
  <c r="L727" i="12"/>
  <c r="J727" i="12"/>
  <c r="AT726" i="6"/>
  <c r="BA726" i="6"/>
  <c r="BG726" i="6"/>
  <c r="AF726" i="6"/>
  <c r="AD726" i="6"/>
  <c r="AR726" i="6"/>
  <c r="AY726" i="6"/>
  <c r="AC726" i="6"/>
  <c r="AI726" i="6"/>
  <c r="AP726" i="6"/>
  <c r="AV726" i="6"/>
  <c r="BC726" i="6"/>
  <c r="BE726" i="6"/>
  <c r="AN726" i="6"/>
  <c r="AB726" i="6"/>
  <c r="AO726" i="6"/>
  <c r="BB726" i="6"/>
  <c r="AZ726" i="6"/>
  <c r="AE726" i="6"/>
  <c r="AU726" i="6"/>
  <c r="AS726" i="6"/>
  <c r="AQ726" i="6"/>
  <c r="BF726" i="6"/>
  <c r="BD726" i="6"/>
  <c r="AX726" i="6"/>
  <c r="AM726" i="6"/>
  <c r="AG726" i="6"/>
  <c r="G727" i="12"/>
  <c r="AJ726" i="6"/>
  <c r="AK726" i="6"/>
  <c r="AH726" i="6"/>
  <c r="I213" i="5"/>
  <c r="I207" i="5"/>
  <c r="I227" i="5"/>
  <c r="K727" i="12" l="1"/>
  <c r="A728" i="6"/>
  <c r="N728" i="6" s="1"/>
  <c r="M727" i="6"/>
  <c r="AH727" i="6" s="1"/>
  <c r="N727" i="6"/>
  <c r="J728" i="12"/>
  <c r="L728" i="12"/>
  <c r="H729" i="5"/>
  <c r="B729" i="6"/>
  <c r="E729" i="5"/>
  <c r="G729" i="5"/>
  <c r="B729" i="5"/>
  <c r="N729" i="5"/>
  <c r="D729" i="6" s="1"/>
  <c r="R729" i="5"/>
  <c r="W729" i="5"/>
  <c r="H729" i="12" s="1"/>
  <c r="AD729" i="5"/>
  <c r="AE729" i="5"/>
  <c r="C730" i="5"/>
  <c r="A729" i="12"/>
  <c r="F729" i="5"/>
  <c r="G728" i="12"/>
  <c r="I240" i="5"/>
  <c r="I241" i="5" s="1"/>
  <c r="M728" i="6" l="1"/>
  <c r="AG728" i="6" s="1"/>
  <c r="K728" i="12"/>
  <c r="BA727" i="6"/>
  <c r="AT727" i="6"/>
  <c r="AO727" i="6"/>
  <c r="AE727" i="6"/>
  <c r="BD727" i="6"/>
  <c r="BG727" i="6"/>
  <c r="AG727" i="6"/>
  <c r="AQ727" i="6"/>
  <c r="AX727" i="6"/>
  <c r="AV727" i="6"/>
  <c r="AK727" i="6"/>
  <c r="AF727" i="6"/>
  <c r="BE727" i="6"/>
  <c r="AS727" i="6"/>
  <c r="AP727" i="6"/>
  <c r="AY727" i="6"/>
  <c r="AJ727" i="6"/>
  <c r="BC727" i="6"/>
  <c r="AZ727" i="6"/>
  <c r="AI727" i="6"/>
  <c r="AR727" i="6"/>
  <c r="BF727" i="6"/>
  <c r="AC727" i="6"/>
  <c r="BB727" i="6"/>
  <c r="AB727" i="6"/>
  <c r="AN727" i="6"/>
  <c r="AM727" i="6"/>
  <c r="AU727" i="6"/>
  <c r="AD727" i="6"/>
  <c r="A729" i="6"/>
  <c r="A730" i="12"/>
  <c r="D730" i="5"/>
  <c r="B730" i="12" s="1"/>
  <c r="H730" i="5"/>
  <c r="B730" i="6"/>
  <c r="E730" i="5"/>
  <c r="F730" i="5"/>
  <c r="AD730" i="5"/>
  <c r="G730" i="5"/>
  <c r="K730" i="5"/>
  <c r="AE730" i="5"/>
  <c r="N730" i="5"/>
  <c r="D730" i="6" s="1"/>
  <c r="B730" i="5"/>
  <c r="C731" i="5" s="1"/>
  <c r="J730" i="5"/>
  <c r="F729" i="6"/>
  <c r="E729" i="12"/>
  <c r="AQ729" i="6"/>
  <c r="N729" i="6"/>
  <c r="AU729" i="6"/>
  <c r="AY729" i="6"/>
  <c r="AM729" i="6"/>
  <c r="BC729" i="6"/>
  <c r="AT729" i="6"/>
  <c r="BA729" i="6"/>
  <c r="AO729" i="6"/>
  <c r="BE729" i="6"/>
  <c r="M729" i="6"/>
  <c r="BD729" i="6"/>
  <c r="BG729" i="6"/>
  <c r="AP729" i="6"/>
  <c r="AV729" i="6"/>
  <c r="AX729" i="6"/>
  <c r="AS729" i="6"/>
  <c r="AN729" i="6"/>
  <c r="BF729" i="6"/>
  <c r="BB729" i="6"/>
  <c r="AR729" i="6"/>
  <c r="AZ729" i="6"/>
  <c r="H729" i="6"/>
  <c r="T729" i="5" s="1"/>
  <c r="G729" i="12" s="1"/>
  <c r="G729" i="6"/>
  <c r="I251" i="5"/>
  <c r="AP728" i="6" l="1"/>
  <c r="AX728" i="6"/>
  <c r="AQ728" i="6"/>
  <c r="BA728" i="6"/>
  <c r="BB728" i="6"/>
  <c r="BD728" i="6"/>
  <c r="AM728" i="6"/>
  <c r="AK728" i="6"/>
  <c r="AB728" i="6"/>
  <c r="AZ728" i="6"/>
  <c r="AF728" i="6"/>
  <c r="AY728" i="6"/>
  <c r="BF728" i="6"/>
  <c r="AE728" i="6"/>
  <c r="AD728" i="6"/>
  <c r="AR728" i="6"/>
  <c r="AV728" i="6"/>
  <c r="AC728" i="6"/>
  <c r="BE728" i="6"/>
  <c r="AN728" i="6"/>
  <c r="BC728" i="6"/>
  <c r="AH728" i="6"/>
  <c r="AJ728" i="6"/>
  <c r="AT728" i="6"/>
  <c r="AO728" i="6"/>
  <c r="AS728" i="6"/>
  <c r="BG728" i="6"/>
  <c r="AU728" i="6"/>
  <c r="AI728" i="6"/>
  <c r="A730" i="6"/>
  <c r="N730" i="6" s="1"/>
  <c r="AI729" i="6"/>
  <c r="AF729" i="6"/>
  <c r="AC729" i="6"/>
  <c r="AJ729" i="6"/>
  <c r="AH729" i="6"/>
  <c r="AE729" i="6"/>
  <c r="C732" i="5"/>
  <c r="H731" i="5"/>
  <c r="R731" i="5"/>
  <c r="E731" i="5"/>
  <c r="B731" i="6"/>
  <c r="B731" i="5"/>
  <c r="A731" i="12"/>
  <c r="AE731" i="5"/>
  <c r="N731" i="5"/>
  <c r="D731" i="6" s="1"/>
  <c r="AD731" i="5"/>
  <c r="F731" i="5"/>
  <c r="W731" i="5"/>
  <c r="H731" i="12" s="1"/>
  <c r="G731" i="5"/>
  <c r="K729" i="5" s="1"/>
  <c r="AB729" i="6"/>
  <c r="AD729" i="6"/>
  <c r="H730" i="6"/>
  <c r="AK729" i="6"/>
  <c r="AG729" i="6"/>
  <c r="L730" i="12"/>
  <c r="J730" i="12"/>
  <c r="I254" i="5"/>
  <c r="M730" i="6" l="1"/>
  <c r="BC730" i="6" s="1"/>
  <c r="A731" i="6"/>
  <c r="F731" i="6"/>
  <c r="E731" i="12"/>
  <c r="K730" i="12"/>
  <c r="BB731" i="6"/>
  <c r="AU731" i="6"/>
  <c r="BA731" i="6"/>
  <c r="BF731" i="6"/>
  <c r="AQ731" i="6"/>
  <c r="BG731" i="6"/>
  <c r="AV731" i="6"/>
  <c r="AP731" i="6"/>
  <c r="AX731" i="6"/>
  <c r="AS731" i="6"/>
  <c r="AY731" i="6"/>
  <c r="AN731" i="6"/>
  <c r="AZ731" i="6"/>
  <c r="BD731" i="6"/>
  <c r="AM731" i="6"/>
  <c r="N731" i="6"/>
  <c r="BE731" i="6"/>
  <c r="H731" i="6"/>
  <c r="T731" i="5" s="1"/>
  <c r="G731" i="12" s="1"/>
  <c r="AO731" i="6"/>
  <c r="G731" i="6"/>
  <c r="AT731" i="6"/>
  <c r="AR731" i="6"/>
  <c r="M731" i="6"/>
  <c r="BC731" i="6"/>
  <c r="AE732" i="5"/>
  <c r="H732" i="5"/>
  <c r="J732" i="5"/>
  <c r="AD732" i="5"/>
  <c r="B732" i="6"/>
  <c r="F732" i="5"/>
  <c r="D732" i="5"/>
  <c r="B732" i="12" s="1"/>
  <c r="B732" i="5"/>
  <c r="C733" i="5"/>
  <c r="E732" i="5"/>
  <c r="K732" i="5"/>
  <c r="N732" i="5"/>
  <c r="D732" i="6" s="1"/>
  <c r="A732" i="12"/>
  <c r="G732" i="5"/>
  <c r="T730" i="5"/>
  <c r="G730" i="12" s="1"/>
  <c r="I258" i="5"/>
  <c r="AK730" i="6" l="1"/>
  <c r="AO730" i="6"/>
  <c r="AH730" i="6"/>
  <c r="AQ730" i="6"/>
  <c r="AU730" i="6"/>
  <c r="AR730" i="6"/>
  <c r="AV730" i="6"/>
  <c r="BF730" i="6"/>
  <c r="AJ730" i="6"/>
  <c r="BE730" i="6"/>
  <c r="AS730" i="6"/>
  <c r="AE730" i="6"/>
  <c r="AB730" i="6"/>
  <c r="BB730" i="6"/>
  <c r="AC730" i="6"/>
  <c r="AX730" i="6"/>
  <c r="BA730" i="6"/>
  <c r="AY730" i="6"/>
  <c r="AM730" i="6"/>
  <c r="AT730" i="6"/>
  <c r="AN730" i="6"/>
  <c r="AP730" i="6"/>
  <c r="AI730" i="6"/>
  <c r="AD730" i="6"/>
  <c r="AG730" i="6"/>
  <c r="AF730" i="6"/>
  <c r="BG730" i="6"/>
  <c r="AZ730" i="6"/>
  <c r="BD730" i="6"/>
  <c r="AG731" i="6"/>
  <c r="AI731" i="6"/>
  <c r="AK731" i="6"/>
  <c r="AB731" i="6"/>
  <c r="J732" i="12"/>
  <c r="L732" i="12"/>
  <c r="A732" i="6"/>
  <c r="M732" i="6" s="1"/>
  <c r="BE732" i="6" s="1"/>
  <c r="AF731" i="6"/>
  <c r="H732" i="6"/>
  <c r="T732" i="5" s="1"/>
  <c r="G732" i="12" s="1"/>
  <c r="AD731" i="6"/>
  <c r="AJ731" i="6"/>
  <c r="AE731" i="6"/>
  <c r="AC731" i="6"/>
  <c r="G733" i="5"/>
  <c r="N733" i="5"/>
  <c r="D733" i="6" s="1"/>
  <c r="H733" i="5"/>
  <c r="B733" i="6"/>
  <c r="AD733" i="5"/>
  <c r="B733" i="5"/>
  <c r="C734" i="5" s="1"/>
  <c r="AE733" i="5"/>
  <c r="D733" i="5"/>
  <c r="B733" i="12" s="1"/>
  <c r="F733" i="5"/>
  <c r="A733" i="12"/>
  <c r="J733" i="5"/>
  <c r="K733" i="5"/>
  <c r="E733" i="5"/>
  <c r="AH731" i="6"/>
  <c r="K732" i="12" l="1"/>
  <c r="A733" i="6"/>
  <c r="M733" i="6" s="1"/>
  <c r="BA733" i="6" s="1"/>
  <c r="BD732" i="6"/>
  <c r="AT732" i="6"/>
  <c r="AU732" i="6"/>
  <c r="N732" i="6"/>
  <c r="AD732" i="6"/>
  <c r="AZ732" i="6"/>
  <c r="AQ732" i="6"/>
  <c r="AJ732" i="6"/>
  <c r="BC732" i="6"/>
  <c r="AM732" i="6"/>
  <c r="AY732" i="6"/>
  <c r="BA732" i="6"/>
  <c r="AS732" i="6"/>
  <c r="H733" i="6"/>
  <c r="T733" i="5" s="1"/>
  <c r="G733" i="12" s="1"/>
  <c r="AX732" i="6"/>
  <c r="AE732" i="6"/>
  <c r="AV732" i="6"/>
  <c r="AF732" i="6"/>
  <c r="R734" i="5"/>
  <c r="AE734" i="5"/>
  <c r="F734" i="5"/>
  <c r="N734" i="5"/>
  <c r="D734" i="6" s="1"/>
  <c r="H734" i="5"/>
  <c r="B734" i="5"/>
  <c r="AD734" i="5"/>
  <c r="A734" i="12"/>
  <c r="G734" i="5"/>
  <c r="W734" i="5"/>
  <c r="H734" i="12" s="1"/>
  <c r="B734" i="6"/>
  <c r="E734" i="5"/>
  <c r="C735" i="5"/>
  <c r="J733" i="12"/>
  <c r="L733" i="12"/>
  <c r="AR732" i="6"/>
  <c r="AN732" i="6"/>
  <c r="BF732" i="6"/>
  <c r="AG732" i="6"/>
  <c r="AK732" i="6"/>
  <c r="AO732" i="6"/>
  <c r="AI732" i="6"/>
  <c r="AH732" i="6"/>
  <c r="AP732" i="6"/>
  <c r="AB732" i="6"/>
  <c r="AC732" i="6"/>
  <c r="BG732" i="6"/>
  <c r="BB732" i="6"/>
  <c r="I266" i="5"/>
  <c r="I267" i="5" s="1"/>
  <c r="AN733" i="6" l="1"/>
  <c r="BC733" i="6"/>
  <c r="BD733" i="6"/>
  <c r="N733" i="6"/>
  <c r="AU733" i="6"/>
  <c r="AX733" i="6"/>
  <c r="AV733" i="6"/>
  <c r="K733" i="12"/>
  <c r="BB733" i="6"/>
  <c r="AP733" i="6"/>
  <c r="BE733" i="6"/>
  <c r="BF733" i="6"/>
  <c r="AS733" i="6"/>
  <c r="AO733" i="6"/>
  <c r="AM733" i="6"/>
  <c r="AI733" i="6"/>
  <c r="AF733" i="6"/>
  <c r="BG733" i="6"/>
  <c r="AC733" i="6"/>
  <c r="AQ733" i="6"/>
  <c r="AZ733" i="6"/>
  <c r="AG733" i="6"/>
  <c r="AT733" i="6"/>
  <c r="AD733" i="6"/>
  <c r="AE733" i="6"/>
  <c r="AY733" i="6"/>
  <c r="AH733" i="6"/>
  <c r="AR733" i="6"/>
  <c r="B735" i="5"/>
  <c r="J735" i="5"/>
  <c r="A735" i="12"/>
  <c r="D735" i="5"/>
  <c r="B735" i="12" s="1"/>
  <c r="N735" i="5"/>
  <c r="D735" i="6" s="1"/>
  <c r="AD735" i="5"/>
  <c r="G735" i="5"/>
  <c r="F735" i="5"/>
  <c r="B735" i="6"/>
  <c r="AE735" i="5"/>
  <c r="C736" i="5"/>
  <c r="E735" i="5"/>
  <c r="H735" i="5"/>
  <c r="K735" i="5"/>
  <c r="AT734" i="6"/>
  <c r="BF734" i="6"/>
  <c r="BG734" i="6"/>
  <c r="H734" i="6"/>
  <c r="T734" i="5" s="1"/>
  <c r="G734" i="12" s="1"/>
  <c r="G734" i="6"/>
  <c r="BE734" i="6"/>
  <c r="AZ734" i="6"/>
  <c r="AX734" i="6"/>
  <c r="AQ734" i="6"/>
  <c r="AU734" i="6"/>
  <c r="BC734" i="6"/>
  <c r="AO734" i="6"/>
  <c r="M734" i="6"/>
  <c r="AV734" i="6"/>
  <c r="BD734" i="6"/>
  <c r="AS734" i="6"/>
  <c r="AM734" i="6"/>
  <c r="AN734" i="6"/>
  <c r="BB734" i="6"/>
  <c r="BA734" i="6"/>
  <c r="N734" i="6"/>
  <c r="AP734" i="6"/>
  <c r="AY734" i="6"/>
  <c r="AR734" i="6"/>
  <c r="A734" i="6"/>
  <c r="AJ733" i="6"/>
  <c r="E734" i="12"/>
  <c r="F734" i="6"/>
  <c r="AB733" i="6"/>
  <c r="AK733" i="6"/>
  <c r="I734" i="5"/>
  <c r="AC734" i="6" l="1"/>
  <c r="AI734" i="6"/>
  <c r="AH734" i="6"/>
  <c r="AG734" i="6"/>
  <c r="AK734" i="6"/>
  <c r="AF734" i="6"/>
  <c r="AD734" i="6"/>
  <c r="AJ734" i="6"/>
  <c r="AE734" i="6"/>
  <c r="AB734" i="6"/>
  <c r="H735" i="6"/>
  <c r="G736" i="5"/>
  <c r="A736" i="12"/>
  <c r="AE736" i="5"/>
  <c r="J736" i="5"/>
  <c r="F736" i="5"/>
  <c r="K736" i="5"/>
  <c r="D736" i="5"/>
  <c r="B736" i="12" s="1"/>
  <c r="B736" i="5"/>
  <c r="H736" i="5"/>
  <c r="C737" i="5"/>
  <c r="AD736" i="5"/>
  <c r="B736" i="6"/>
  <c r="E736" i="5"/>
  <c r="N736" i="5"/>
  <c r="D736" i="6" s="1"/>
  <c r="L735" i="12"/>
  <c r="J735" i="12"/>
  <c r="A735" i="6"/>
  <c r="N735" i="6" s="1"/>
  <c r="K735" i="12" l="1"/>
  <c r="A736" i="6"/>
  <c r="N736" i="6" s="1"/>
  <c r="C738" i="5"/>
  <c r="E737" i="5"/>
  <c r="AE737" i="5"/>
  <c r="B737" i="6"/>
  <c r="A737" i="12"/>
  <c r="D737" i="5"/>
  <c r="B737" i="12" s="1"/>
  <c r="B737" i="5"/>
  <c r="N737" i="5"/>
  <c r="D737" i="6" s="1"/>
  <c r="F737" i="5"/>
  <c r="J737" i="5"/>
  <c r="G737" i="5"/>
  <c r="K737" i="5"/>
  <c r="AD737" i="5"/>
  <c r="H737" i="5"/>
  <c r="L736" i="12"/>
  <c r="J736" i="12"/>
  <c r="M735" i="6"/>
  <c r="AJ735" i="6" s="1"/>
  <c r="H736" i="6"/>
  <c r="T735" i="5"/>
  <c r="G735" i="12" s="1"/>
  <c r="M736" i="6" l="1"/>
  <c r="BD736" i="6" s="1"/>
  <c r="AF735" i="6"/>
  <c r="AI735" i="6"/>
  <c r="AK735" i="6"/>
  <c r="AE735" i="6"/>
  <c r="AH735" i="6"/>
  <c r="K736" i="12"/>
  <c r="H737" i="6"/>
  <c r="T737" i="5" s="1"/>
  <c r="G737" i="12" s="1"/>
  <c r="AG735" i="6"/>
  <c r="AD735" i="6"/>
  <c r="AB735" i="6"/>
  <c r="L737" i="12"/>
  <c r="J737" i="12"/>
  <c r="A737" i="6"/>
  <c r="M737" i="6" s="1"/>
  <c r="AC735" i="6"/>
  <c r="T736" i="5"/>
  <c r="G736" i="12" s="1"/>
  <c r="AM735" i="6"/>
  <c r="AO735" i="6"/>
  <c r="AV735" i="6"/>
  <c r="AT735" i="6"/>
  <c r="AR735" i="6"/>
  <c r="AZ735" i="6"/>
  <c r="BC735" i="6"/>
  <c r="BD735" i="6"/>
  <c r="AU735" i="6"/>
  <c r="AN735" i="6"/>
  <c r="AP735" i="6"/>
  <c r="AX735" i="6"/>
  <c r="AS735" i="6"/>
  <c r="BE735" i="6"/>
  <c r="AQ735" i="6"/>
  <c r="AY735" i="6"/>
  <c r="BB735" i="6"/>
  <c r="BF735" i="6"/>
  <c r="BA735" i="6"/>
  <c r="BG735" i="6"/>
  <c r="AD738" i="5"/>
  <c r="B738" i="5"/>
  <c r="K738" i="5"/>
  <c r="N738" i="5"/>
  <c r="D738" i="6" s="1"/>
  <c r="J738" i="5"/>
  <c r="B738" i="6"/>
  <c r="D738" i="5"/>
  <c r="B738" i="12" s="1"/>
  <c r="A738" i="12"/>
  <c r="C739" i="5"/>
  <c r="F738" i="5"/>
  <c r="G738" i="5"/>
  <c r="H738" i="5"/>
  <c r="E738" i="5"/>
  <c r="AE738" i="5"/>
  <c r="K644" i="5"/>
  <c r="D644" i="5" s="1"/>
  <c r="B644" i="12" s="1"/>
  <c r="K708" i="5"/>
  <c r="K731" i="5"/>
  <c r="J709" i="5"/>
  <c r="D709" i="5" s="1"/>
  <c r="B709" i="12" s="1"/>
  <c r="AH736" i="6" l="1"/>
  <c r="AR736" i="6"/>
  <c r="AT736" i="6"/>
  <c r="AC736" i="6"/>
  <c r="BG736" i="6"/>
  <c r="BE736" i="6"/>
  <c r="AD736" i="6"/>
  <c r="BB736" i="6"/>
  <c r="BA736" i="6"/>
  <c r="AI736" i="6"/>
  <c r="BF736" i="6"/>
  <c r="AJ736" i="6"/>
  <c r="AP736" i="6"/>
  <c r="AB736" i="6"/>
  <c r="AS736" i="6"/>
  <c r="AU736" i="6"/>
  <c r="AV736" i="6"/>
  <c r="AY736" i="6"/>
  <c r="AO736" i="6"/>
  <c r="AG736" i="6"/>
  <c r="AZ736" i="6"/>
  <c r="AX736" i="6"/>
  <c r="BC736" i="6"/>
  <c r="AF736" i="6"/>
  <c r="AM736" i="6"/>
  <c r="AN736" i="6"/>
  <c r="AQ736" i="6"/>
  <c r="AK736" i="6"/>
  <c r="AE736" i="6"/>
  <c r="AC737" i="6"/>
  <c r="BB737" i="6"/>
  <c r="AO737" i="6"/>
  <c r="AX737" i="6"/>
  <c r="BE737" i="6"/>
  <c r="K737" i="12"/>
  <c r="AQ737" i="6"/>
  <c r="A738" i="6"/>
  <c r="M738" i="6" s="1"/>
  <c r="AO738" i="6" s="1"/>
  <c r="AK737" i="6"/>
  <c r="AS737" i="6"/>
  <c r="J738" i="12"/>
  <c r="L738" i="12"/>
  <c r="AN737" i="6"/>
  <c r="AT737" i="6"/>
  <c r="AH737" i="6"/>
  <c r="AU737" i="6"/>
  <c r="AI737" i="6"/>
  <c r="AJ737" i="6"/>
  <c r="AY737" i="6"/>
  <c r="BG737" i="6"/>
  <c r="AZ737" i="6"/>
  <c r="AF737" i="6"/>
  <c r="AR737" i="6"/>
  <c r="AP737" i="6"/>
  <c r="H738" i="6"/>
  <c r="T738" i="5" s="1"/>
  <c r="G738" i="12" s="1"/>
  <c r="AM737" i="6"/>
  <c r="N737" i="6"/>
  <c r="AV737" i="6"/>
  <c r="J739" i="5"/>
  <c r="E739" i="5"/>
  <c r="N739" i="5"/>
  <c r="D739" i="6" s="1"/>
  <c r="AE739" i="5"/>
  <c r="A739" i="12"/>
  <c r="K739" i="5"/>
  <c r="D739" i="5"/>
  <c r="B739" i="12" s="1"/>
  <c r="F739" i="5"/>
  <c r="B739" i="5"/>
  <c r="C740" i="5" s="1"/>
  <c r="H739" i="5"/>
  <c r="G739" i="5"/>
  <c r="AD739" i="5"/>
  <c r="B739" i="6"/>
  <c r="BF737" i="6"/>
  <c r="BD737" i="6"/>
  <c r="AE737" i="6"/>
  <c r="AG737" i="6"/>
  <c r="AD737" i="6"/>
  <c r="AB737" i="6"/>
  <c r="BC737" i="6"/>
  <c r="BA737" i="6"/>
  <c r="F87" i="6"/>
  <c r="E87" i="12"/>
  <c r="G87" i="6"/>
  <c r="G71" i="6"/>
  <c r="F71" i="6"/>
  <c r="E71" i="12"/>
  <c r="F39" i="6"/>
  <c r="E39" i="12"/>
  <c r="K738" i="12" l="1"/>
  <c r="N738" i="6"/>
  <c r="AU738" i="6"/>
  <c r="AM738" i="6"/>
  <c r="BG738" i="6"/>
  <c r="AK738" i="6"/>
  <c r="AJ738" i="6"/>
  <c r="AV738" i="6"/>
  <c r="BC738" i="6"/>
  <c r="AE738" i="6"/>
  <c r="AP738" i="6"/>
  <c r="BA738" i="6"/>
  <c r="BE738" i="6"/>
  <c r="AD738" i="6"/>
  <c r="AG738" i="6"/>
  <c r="AT738" i="6"/>
  <c r="AZ738" i="6"/>
  <c r="AF738" i="6"/>
  <c r="A739" i="6"/>
  <c r="N739" i="6" s="1"/>
  <c r="AI738" i="6"/>
  <c r="AS738" i="6"/>
  <c r="BF738" i="6"/>
  <c r="AR738" i="6"/>
  <c r="AN738" i="6"/>
  <c r="BD738" i="6"/>
  <c r="AX738" i="6"/>
  <c r="AY738" i="6"/>
  <c r="AQ738" i="6"/>
  <c r="BB738" i="6"/>
  <c r="AB738" i="6"/>
  <c r="J739" i="12"/>
  <c r="L739" i="12"/>
  <c r="H739" i="6"/>
  <c r="T739" i="5" s="1"/>
  <c r="G739" i="12" s="1"/>
  <c r="AC738" i="6"/>
  <c r="AH738" i="6"/>
  <c r="AD740" i="5"/>
  <c r="G740" i="5"/>
  <c r="K734" i="5" s="1"/>
  <c r="H740" i="5"/>
  <c r="F740" i="5"/>
  <c r="A740" i="12"/>
  <c r="C741" i="5"/>
  <c r="B740" i="6"/>
  <c r="AE740" i="5"/>
  <c r="E740" i="5"/>
  <c r="I740" i="5"/>
  <c r="N740" i="5"/>
  <c r="D740" i="6" s="1"/>
  <c r="B740" i="5"/>
  <c r="R740" i="5"/>
  <c r="W740" i="5"/>
  <c r="H740" i="12" s="1"/>
  <c r="N72" i="6"/>
  <c r="N73" i="6"/>
  <c r="N74" i="6"/>
  <c r="N75" i="6"/>
  <c r="N76" i="6"/>
  <c r="N77" i="6"/>
  <c r="M739" i="6" l="1"/>
  <c r="AK739" i="6" s="1"/>
  <c r="K739" i="12"/>
  <c r="A740" i="6"/>
  <c r="D741" i="5"/>
  <c r="B741" i="12" s="1"/>
  <c r="B741" i="5"/>
  <c r="A741" i="12"/>
  <c r="E741" i="5"/>
  <c r="B741" i="6"/>
  <c r="C742" i="5"/>
  <c r="J741" i="5"/>
  <c r="AD741" i="5"/>
  <c r="K741" i="5"/>
  <c r="N741" i="5"/>
  <c r="D741" i="6" s="1"/>
  <c r="F741" i="5"/>
  <c r="G741" i="5"/>
  <c r="AE741" i="5"/>
  <c r="H741" i="5"/>
  <c r="F740" i="6"/>
  <c r="E740" i="12"/>
  <c r="BB740" i="6"/>
  <c r="BG740" i="6"/>
  <c r="BE740" i="6"/>
  <c r="M740" i="6"/>
  <c r="AM740" i="6"/>
  <c r="AU740" i="6"/>
  <c r="AZ740" i="6"/>
  <c r="AQ740" i="6"/>
  <c r="N740" i="6"/>
  <c r="AY740" i="6"/>
  <c r="AV740" i="6"/>
  <c r="AX740" i="6"/>
  <c r="H740" i="6"/>
  <c r="T740" i="5" s="1"/>
  <c r="G740" i="12" s="1"/>
  <c r="BC740" i="6"/>
  <c r="AO740" i="6"/>
  <c r="AT740" i="6"/>
  <c r="BD740" i="6"/>
  <c r="AS740" i="6"/>
  <c r="BA740" i="6"/>
  <c r="AN740" i="6"/>
  <c r="AR740" i="6"/>
  <c r="AP740" i="6"/>
  <c r="G740" i="6"/>
  <c r="BF740" i="6"/>
  <c r="K669" i="5"/>
  <c r="K665" i="5"/>
  <c r="J660" i="5"/>
  <c r="K660" i="5"/>
  <c r="J654" i="5"/>
  <c r="K654" i="5"/>
  <c r="K653" i="5"/>
  <c r="AQ739" i="6" l="1"/>
  <c r="BE739" i="6"/>
  <c r="AB739" i="6"/>
  <c r="AN739" i="6"/>
  <c r="AH739" i="6"/>
  <c r="AP739" i="6"/>
  <c r="AG739" i="6"/>
  <c r="AR739" i="6"/>
  <c r="BB739" i="6"/>
  <c r="AS739" i="6"/>
  <c r="AY739" i="6"/>
  <c r="BC739" i="6"/>
  <c r="AZ739" i="6"/>
  <c r="AF739" i="6"/>
  <c r="AO739" i="6"/>
  <c r="AU739" i="6"/>
  <c r="BA739" i="6"/>
  <c r="AD739" i="6"/>
  <c r="AJ739" i="6"/>
  <c r="AT739" i="6"/>
  <c r="AC739" i="6"/>
  <c r="AI739" i="6"/>
  <c r="BD739" i="6"/>
  <c r="BG739" i="6"/>
  <c r="AX739" i="6"/>
  <c r="BF739" i="6"/>
  <c r="AE739" i="6"/>
  <c r="AM739" i="6"/>
  <c r="AV739" i="6"/>
  <c r="AC740" i="6"/>
  <c r="AJ740" i="6"/>
  <c r="AF740" i="6"/>
  <c r="L741" i="12"/>
  <c r="J741" i="12"/>
  <c r="AG740" i="6"/>
  <c r="AB740" i="6"/>
  <c r="H741" i="6"/>
  <c r="AE740" i="6"/>
  <c r="AD740" i="6"/>
  <c r="A741" i="6"/>
  <c r="N741" i="6" s="1"/>
  <c r="AI740" i="6"/>
  <c r="AH740" i="6"/>
  <c r="AK740" i="6"/>
  <c r="AE742" i="5"/>
  <c r="B742" i="6"/>
  <c r="H742" i="5"/>
  <c r="F742" i="5"/>
  <c r="E742" i="5"/>
  <c r="A742" i="12"/>
  <c r="N742" i="5"/>
  <c r="D742" i="6" s="1"/>
  <c r="J742" i="5"/>
  <c r="D742" i="5"/>
  <c r="B742" i="12" s="1"/>
  <c r="AD742" i="5"/>
  <c r="B742" i="5"/>
  <c r="C743" i="5" s="1"/>
  <c r="G742" i="5"/>
  <c r="K742" i="5"/>
  <c r="D654" i="5"/>
  <c r="D660" i="5"/>
  <c r="B660" i="12" s="1"/>
  <c r="A742" i="6" l="1"/>
  <c r="M742" i="6" s="1"/>
  <c r="AU742" i="6" s="1"/>
  <c r="K741" i="12"/>
  <c r="M741" i="6"/>
  <c r="H742" i="6"/>
  <c r="T742" i="5" s="1"/>
  <c r="G742" i="12" s="1"/>
  <c r="J742" i="12"/>
  <c r="L742" i="12"/>
  <c r="T741" i="5"/>
  <c r="G741" i="12" s="1"/>
  <c r="H743" i="5"/>
  <c r="G743" i="5"/>
  <c r="K740" i="5" s="1"/>
  <c r="A743" i="12"/>
  <c r="F743" i="5"/>
  <c r="B743" i="6"/>
  <c r="AE743" i="5"/>
  <c r="W743" i="5"/>
  <c r="H743" i="12" s="1"/>
  <c r="C744" i="5"/>
  <c r="AD743" i="5"/>
  <c r="B743" i="5"/>
  <c r="E743" i="5"/>
  <c r="I743" i="5"/>
  <c r="R743" i="5"/>
  <c r="N743" i="5"/>
  <c r="D743" i="6" s="1"/>
  <c r="B654" i="12"/>
  <c r="AP742" i="6" l="1"/>
  <c r="N742" i="6"/>
  <c r="AV742" i="6"/>
  <c r="AN742" i="6"/>
  <c r="AC742" i="6"/>
  <c r="AB742" i="6"/>
  <c r="AJ742" i="6"/>
  <c r="AO742" i="6"/>
  <c r="AE742" i="6"/>
  <c r="AT742" i="6"/>
  <c r="BA742" i="6"/>
  <c r="AD742" i="6"/>
  <c r="BB742" i="6"/>
  <c r="AZ742" i="6"/>
  <c r="AQ742" i="6"/>
  <c r="BC742" i="6"/>
  <c r="AS742" i="6"/>
  <c r="AH742" i="6"/>
  <c r="AF742" i="6"/>
  <c r="AR742" i="6"/>
  <c r="AG742" i="6"/>
  <c r="BE742" i="6"/>
  <c r="BD742" i="6"/>
  <c r="AI742" i="6"/>
  <c r="AM742" i="6"/>
  <c r="BG742" i="6"/>
  <c r="BF742" i="6"/>
  <c r="AY742" i="6"/>
  <c r="AX742" i="6"/>
  <c r="K742" i="12"/>
  <c r="BE741" i="6"/>
  <c r="AR741" i="6"/>
  <c r="AT741" i="6"/>
  <c r="AS741" i="6"/>
  <c r="AQ741" i="6"/>
  <c r="BD741" i="6"/>
  <c r="BB741" i="6"/>
  <c r="BC741" i="6"/>
  <c r="BF741" i="6"/>
  <c r="BG741" i="6"/>
  <c r="AN741" i="6"/>
  <c r="AP741" i="6"/>
  <c r="AV741" i="6"/>
  <c r="AZ741" i="6"/>
  <c r="AO741" i="6"/>
  <c r="AU741" i="6"/>
  <c r="AX741" i="6"/>
  <c r="AM741" i="6"/>
  <c r="BA741" i="6"/>
  <c r="AF741" i="6"/>
  <c r="AY741" i="6"/>
  <c r="AH741" i="6"/>
  <c r="AK741" i="6"/>
  <c r="AD744" i="5"/>
  <c r="F744" i="5"/>
  <c r="J744" i="5"/>
  <c r="B744" i="6"/>
  <c r="A744" i="12"/>
  <c r="H744" i="5"/>
  <c r="D744" i="5"/>
  <c r="B744" i="12" s="1"/>
  <c r="B744" i="5"/>
  <c r="C745" i="5"/>
  <c r="AE744" i="5"/>
  <c r="G744" i="5"/>
  <c r="K744" i="5"/>
  <c r="N744" i="5"/>
  <c r="D744" i="6" s="1"/>
  <c r="E744" i="5"/>
  <c r="AG741" i="6"/>
  <c r="AD741" i="6"/>
  <c r="AB741" i="6"/>
  <c r="AC741" i="6"/>
  <c r="AK742" i="6"/>
  <c r="AZ743" i="6"/>
  <c r="BB743" i="6"/>
  <c r="AO743" i="6"/>
  <c r="BG743" i="6"/>
  <c r="BD743" i="6"/>
  <c r="BA743" i="6"/>
  <c r="AM743" i="6"/>
  <c r="G743" i="6"/>
  <c r="AP743" i="6"/>
  <c r="AT743" i="6"/>
  <c r="AS743" i="6"/>
  <c r="M743" i="6"/>
  <c r="AQ743" i="6"/>
  <c r="AN743" i="6"/>
  <c r="AU743" i="6"/>
  <c r="BC743" i="6"/>
  <c r="AV743" i="6"/>
  <c r="AR743" i="6"/>
  <c r="BE743" i="6"/>
  <c r="N743" i="6"/>
  <c r="H743" i="6"/>
  <c r="T743" i="5" s="1"/>
  <c r="G743" i="12" s="1"/>
  <c r="AX743" i="6"/>
  <c r="BF743" i="6"/>
  <c r="AY743" i="6"/>
  <c r="AJ741" i="6"/>
  <c r="E743" i="12"/>
  <c r="F743" i="6"/>
  <c r="A743" i="6"/>
  <c r="AE741" i="6"/>
  <c r="AI741" i="6"/>
  <c r="I337" i="5"/>
  <c r="AH743" i="6" l="1"/>
  <c r="C746" i="5"/>
  <c r="A5" i="5" s="1"/>
  <c r="AD743" i="6"/>
  <c r="AK743" i="6"/>
  <c r="AI743" i="6"/>
  <c r="AB743" i="6"/>
  <c r="AF743" i="6"/>
  <c r="A744" i="6"/>
  <c r="N744" i="6" s="1"/>
  <c r="AE743" i="6"/>
  <c r="AJ743" i="6"/>
  <c r="AG743" i="6"/>
  <c r="AC743" i="6"/>
  <c r="J745" i="5"/>
  <c r="G745" i="5"/>
  <c r="E745" i="5"/>
  <c r="A745" i="12"/>
  <c r="B745" i="6"/>
  <c r="F745" i="5"/>
  <c r="D745" i="5"/>
  <c r="B745" i="12" s="1"/>
  <c r="N745" i="5"/>
  <c r="D745" i="6" s="1"/>
  <c r="K745" i="5"/>
  <c r="H745" i="5"/>
  <c r="AD745" i="5"/>
  <c r="B745" i="5"/>
  <c r="AE745" i="5"/>
  <c r="H744" i="6"/>
  <c r="J744" i="12"/>
  <c r="L744" i="12"/>
  <c r="I718" i="5"/>
  <c r="M744" i="6" l="1"/>
  <c r="AX744" i="6" s="1"/>
  <c r="D746" i="5"/>
  <c r="B746" i="12" s="1"/>
  <c r="K746" i="5"/>
  <c r="J746" i="5"/>
  <c r="B746" i="5"/>
  <c r="A746" i="12"/>
  <c r="G746" i="5"/>
  <c r="K100" i="5" s="1"/>
  <c r="AE746" i="5"/>
  <c r="B746" i="6"/>
  <c r="AD746" i="5"/>
  <c r="E41" i="8" s="1"/>
  <c r="E42" i="8" s="1"/>
  <c r="L41" i="8" s="1"/>
  <c r="H746" i="5"/>
  <c r="F746" i="5"/>
  <c r="N746" i="5"/>
  <c r="E746" i="5"/>
  <c r="B19" i="11" s="1"/>
  <c r="G19" i="11" s="1"/>
  <c r="F19" i="13" s="1"/>
  <c r="K744" i="12"/>
  <c r="H745" i="6"/>
  <c r="A745" i="6"/>
  <c r="N745" i="6" s="1"/>
  <c r="J745" i="12"/>
  <c r="L745" i="12"/>
  <c r="T744" i="5"/>
  <c r="K723" i="5"/>
  <c r="I729" i="5"/>
  <c r="I723" i="5"/>
  <c r="I236" i="5"/>
  <c r="K718" i="5" l="1"/>
  <c r="D718" i="5" s="1"/>
  <c r="K87" i="5"/>
  <c r="D87" i="5" s="1"/>
  <c r="B87" i="12" s="1"/>
  <c r="J695" i="5"/>
  <c r="D695" i="5" s="1"/>
  <c r="K258" i="5"/>
  <c r="D258" i="5" s="1"/>
  <c r="B258" i="12" s="1"/>
  <c r="J391" i="5"/>
  <c r="D391" i="5" s="1"/>
  <c r="B391" i="12" s="1"/>
  <c r="J100" i="5"/>
  <c r="D100" i="5" s="1"/>
  <c r="B100" i="12" s="1"/>
  <c r="BA744" i="6"/>
  <c r="AQ744" i="6"/>
  <c r="AG744" i="6"/>
  <c r="AB744" i="6"/>
  <c r="BC744" i="6"/>
  <c r="AN744" i="6"/>
  <c r="AO744" i="6"/>
  <c r="AD744" i="6"/>
  <c r="BF744" i="6"/>
  <c r="AZ744" i="6"/>
  <c r="AT744" i="6"/>
  <c r="AC744" i="6"/>
  <c r="AJ744" i="6"/>
  <c r="AS744" i="6"/>
  <c r="AR744" i="6"/>
  <c r="AM744" i="6"/>
  <c r="AH744" i="6"/>
  <c r="AK744" i="6"/>
  <c r="AV744" i="6"/>
  <c r="BE744" i="6"/>
  <c r="AE744" i="6"/>
  <c r="AY744" i="6"/>
  <c r="BD744" i="6"/>
  <c r="AI744" i="6"/>
  <c r="BG744" i="6"/>
  <c r="AP744" i="6"/>
  <c r="AF744" i="6"/>
  <c r="AU744" i="6"/>
  <c r="BB744" i="6"/>
  <c r="E86" i="8"/>
  <c r="E87" i="8" s="1"/>
  <c r="L86" i="8" s="1"/>
  <c r="R88" i="8" s="1"/>
  <c r="J71" i="5"/>
  <c r="D71" i="5" s="1"/>
  <c r="E23" i="8"/>
  <c r="E24" i="8" s="1"/>
  <c r="L23" i="8" s="1"/>
  <c r="R25" i="8" s="1"/>
  <c r="E26" i="8"/>
  <c r="E27" i="8" s="1"/>
  <c r="I26" i="8" s="1"/>
  <c r="E50" i="8"/>
  <c r="E51" i="8" s="1"/>
  <c r="L50" i="8" s="1"/>
  <c r="R52" i="8" s="1"/>
  <c r="E17" i="8"/>
  <c r="E18" i="8" s="1"/>
  <c r="L17" i="8" s="1"/>
  <c r="R19" i="8" s="1"/>
  <c r="E29" i="8"/>
  <c r="E30" i="8" s="1"/>
  <c r="I29" i="8" s="1"/>
  <c r="E80" i="8"/>
  <c r="E81" i="8" s="1"/>
  <c r="L80" i="8" s="1"/>
  <c r="R82" i="8" s="1"/>
  <c r="B21" i="11"/>
  <c r="G21" i="11" s="1"/>
  <c r="F21" i="13" s="1"/>
  <c r="A23" i="13"/>
  <c r="AO23" i="13" s="1"/>
  <c r="J743" i="5"/>
  <c r="J723" i="5"/>
  <c r="D723" i="5" s="1"/>
  <c r="AB19" i="11"/>
  <c r="N19" i="11" s="1"/>
  <c r="J700" i="5"/>
  <c r="D700" i="5" s="1"/>
  <c r="B700" i="12" s="1"/>
  <c r="K743" i="5"/>
  <c r="K605" i="5"/>
  <c r="D605" i="5" s="1"/>
  <c r="J708" i="5"/>
  <c r="D708" i="5" s="1"/>
  <c r="J78" i="5"/>
  <c r="D78" i="5" s="1"/>
  <c r="A18" i="13"/>
  <c r="B18" i="13" s="1"/>
  <c r="AN18" i="13" s="1"/>
  <c r="J740" i="5"/>
  <c r="D740" i="5" s="1"/>
  <c r="J487" i="5"/>
  <c r="D487" i="5" s="1"/>
  <c r="B487" i="12" s="1"/>
  <c r="B12" i="11"/>
  <c r="AA12" i="11" s="1"/>
  <c r="J729" i="5"/>
  <c r="D729" i="5" s="1"/>
  <c r="J734" i="5"/>
  <c r="D734" i="5" s="1"/>
  <c r="B734" i="12" s="1"/>
  <c r="J694" i="5"/>
  <c r="J123" i="5"/>
  <c r="D123" i="5" s="1"/>
  <c r="J731" i="5"/>
  <c r="D731" i="5" s="1"/>
  <c r="B731" i="12" s="1"/>
  <c r="J653" i="5"/>
  <c r="D653" i="5" s="1"/>
  <c r="B653" i="12" s="1"/>
  <c r="J17" i="5"/>
  <c r="D17" i="5" s="1"/>
  <c r="J184" i="5"/>
  <c r="D184" i="5" s="1"/>
  <c r="B184" i="12" s="1"/>
  <c r="J190" i="5"/>
  <c r="D190" i="5" s="1"/>
  <c r="B190" i="12" s="1"/>
  <c r="J669" i="5"/>
  <c r="D669" i="5" s="1"/>
  <c r="B669" i="12" s="1"/>
  <c r="J177" i="5"/>
  <c r="D177" i="5" s="1"/>
  <c r="J206" i="5"/>
  <c r="D206" i="5" s="1"/>
  <c r="B206" i="12" s="1"/>
  <c r="J59" i="5"/>
  <c r="D59" i="5" s="1"/>
  <c r="K694" i="5"/>
  <c r="J35" i="5"/>
  <c r="D35" i="5" s="1"/>
  <c r="B35" i="12" s="1"/>
  <c r="J426" i="5"/>
  <c r="D426" i="5" s="1"/>
  <c r="B426" i="12" s="1"/>
  <c r="J608" i="5"/>
  <c r="D608" i="5" s="1"/>
  <c r="J27" i="5"/>
  <c r="D27" i="5" s="1"/>
  <c r="J340" i="5"/>
  <c r="D340" i="5" s="1"/>
  <c r="B340" i="12" s="1"/>
  <c r="J665" i="5"/>
  <c r="D665" i="5" s="1"/>
  <c r="B665" i="12" s="1"/>
  <c r="J317" i="5"/>
  <c r="D317" i="5" s="1"/>
  <c r="B317" i="12" s="1"/>
  <c r="J105" i="5"/>
  <c r="D105" i="5" s="1"/>
  <c r="B105" i="12" s="1"/>
  <c r="J240" i="5"/>
  <c r="D240" i="5" s="1"/>
  <c r="B240" i="12" s="1"/>
  <c r="J646" i="5"/>
  <c r="D646" i="5" s="1"/>
  <c r="J86" i="5"/>
  <c r="D86" i="5" s="1"/>
  <c r="J682" i="5"/>
  <c r="D682" i="5" s="1"/>
  <c r="B682" i="12" s="1"/>
  <c r="J266" i="5"/>
  <c r="D266" i="5" s="1"/>
  <c r="E47" i="8"/>
  <c r="E48" i="8" s="1"/>
  <c r="I47" i="8" s="1"/>
  <c r="E1" i="8"/>
  <c r="E2" i="8" s="1"/>
  <c r="N1" i="8" s="1"/>
  <c r="E56" i="8"/>
  <c r="E57" i="8" s="1"/>
  <c r="I56" i="8" s="1"/>
  <c r="E68" i="8"/>
  <c r="E69" i="8" s="1"/>
  <c r="I68" i="8" s="1"/>
  <c r="E38" i="8"/>
  <c r="E39" i="8" s="1"/>
  <c r="L38" i="8" s="1"/>
  <c r="R40" i="8" s="1"/>
  <c r="E59" i="8"/>
  <c r="E60" i="8" s="1"/>
  <c r="I59" i="8" s="1"/>
  <c r="E35" i="8"/>
  <c r="E36" i="8" s="1"/>
  <c r="L35" i="8" s="1"/>
  <c r="R37" i="8" s="1"/>
  <c r="E53" i="8"/>
  <c r="E54" i="8" s="1"/>
  <c r="E14" i="8"/>
  <c r="E15" i="8" s="1"/>
  <c r="L14" i="8" s="1"/>
  <c r="R16" i="8" s="1"/>
  <c r="E20" i="8"/>
  <c r="E21" i="8" s="1"/>
  <c r="I20" i="8" s="1"/>
  <c r="E74" i="8"/>
  <c r="E75" i="8" s="1"/>
  <c r="L74" i="8" s="1"/>
  <c r="R76" i="8" s="1"/>
  <c r="I41" i="8"/>
  <c r="E62" i="8"/>
  <c r="E63" i="8" s="1"/>
  <c r="L62" i="8" s="1"/>
  <c r="R64" i="8" s="1"/>
  <c r="E65" i="8"/>
  <c r="E66" i="8" s="1"/>
  <c r="E77" i="8"/>
  <c r="E78" i="8" s="1"/>
  <c r="L77" i="8" s="1"/>
  <c r="R79" i="8" s="1"/>
  <c r="E71" i="8"/>
  <c r="E72" i="8" s="1"/>
  <c r="I71" i="8" s="1"/>
  <c r="E83" i="8"/>
  <c r="E84" i="8" s="1"/>
  <c r="I83" i="8" s="1"/>
  <c r="E32" i="8"/>
  <c r="E33" i="8" s="1"/>
  <c r="B695" i="12"/>
  <c r="B718" i="12"/>
  <c r="A16" i="13"/>
  <c r="B16" i="13" s="1"/>
  <c r="AJ16" i="13" s="1"/>
  <c r="B16" i="11"/>
  <c r="K16" i="11" s="1"/>
  <c r="J16" i="13" s="1"/>
  <c r="AA19" i="11"/>
  <c r="A21" i="13"/>
  <c r="B18" i="11"/>
  <c r="D746" i="6"/>
  <c r="A746" i="6" s="1"/>
  <c r="B15" i="11"/>
  <c r="K15" i="11" s="1"/>
  <c r="J15" i="13" s="1"/>
  <c r="B22" i="11"/>
  <c r="AB22" i="11" s="1"/>
  <c r="N22" i="11" s="1"/>
  <c r="K19" i="11"/>
  <c r="J19" i="13" s="1"/>
  <c r="A19" i="13"/>
  <c r="B19" i="13" s="1"/>
  <c r="AK19" i="13" s="1"/>
  <c r="A17" i="13"/>
  <c r="B17" i="13" s="1"/>
  <c r="AJ17" i="13" s="1"/>
  <c r="A15" i="13"/>
  <c r="B15" i="13" s="1"/>
  <c r="AJ15" i="13" s="1"/>
  <c r="O19" i="11"/>
  <c r="K16" i="5"/>
  <c r="C19" i="13"/>
  <c r="B20" i="11"/>
  <c r="J16" i="5"/>
  <c r="L746" i="12"/>
  <c r="J746" i="12"/>
  <c r="A20" i="13"/>
  <c r="A22" i="13"/>
  <c r="AO22" i="13" s="1"/>
  <c r="E44" i="8"/>
  <c r="E45" i="8" s="1"/>
  <c r="B23" i="11"/>
  <c r="C23" i="13" s="1"/>
  <c r="A12" i="13"/>
  <c r="B12" i="13" s="1"/>
  <c r="B17" i="11"/>
  <c r="AA17" i="11" s="1"/>
  <c r="K745" i="12"/>
  <c r="G744" i="12"/>
  <c r="M745" i="6"/>
  <c r="AJ745" i="6" s="1"/>
  <c r="T745" i="5"/>
  <c r="R43" i="8"/>
  <c r="O41" i="8"/>
  <c r="P41" i="8"/>
  <c r="I375" i="5"/>
  <c r="I1" i="8" l="1"/>
  <c r="P80" i="8"/>
  <c r="I80" i="8"/>
  <c r="B78" i="12"/>
  <c r="D743" i="5"/>
  <c r="B743" i="12" s="1"/>
  <c r="B123" i="12"/>
  <c r="O23" i="8"/>
  <c r="O12" i="11"/>
  <c r="W12" i="11" s="1"/>
  <c r="C21" i="13"/>
  <c r="M21" i="13" s="1"/>
  <c r="O80" i="8"/>
  <c r="B71" i="12"/>
  <c r="N86" i="8"/>
  <c r="M86" i="8"/>
  <c r="P86" i="8"/>
  <c r="I86" i="8"/>
  <c r="AA21" i="11"/>
  <c r="K21" i="11"/>
  <c r="J21" i="13" s="1"/>
  <c r="C12" i="13"/>
  <c r="K12" i="13" s="1"/>
  <c r="AB21" i="11"/>
  <c r="N21" i="11" s="1"/>
  <c r="O86" i="8"/>
  <c r="AB12" i="11"/>
  <c r="N12" i="11" s="1"/>
  <c r="P23" i="8"/>
  <c r="I17" i="8"/>
  <c r="P17" i="8"/>
  <c r="O17" i="8"/>
  <c r="I23" i="8"/>
  <c r="L56" i="8"/>
  <c r="R58" i="8" s="1"/>
  <c r="B17" i="12"/>
  <c r="B605" i="12"/>
  <c r="N38" i="8"/>
  <c r="O21" i="11"/>
  <c r="W21" i="11" s="1"/>
  <c r="I38" i="8"/>
  <c r="K12" i="11"/>
  <c r="J12" i="13" s="1"/>
  <c r="G12" i="11"/>
  <c r="F12" i="13" s="1"/>
  <c r="O38" i="8"/>
  <c r="B59" i="12"/>
  <c r="P50" i="8"/>
  <c r="B729" i="12"/>
  <c r="L29" i="8"/>
  <c r="P29" i="8" s="1"/>
  <c r="I50" i="8"/>
  <c r="O50" i="8"/>
  <c r="L26" i="8"/>
  <c r="O26" i="8" s="1"/>
  <c r="D694" i="5"/>
  <c r="B694" i="12" s="1"/>
  <c r="P38" i="8"/>
  <c r="I62" i="8"/>
  <c r="N35" i="8"/>
  <c r="B708" i="12"/>
  <c r="AL23" i="13"/>
  <c r="B266" i="12"/>
  <c r="B23" i="13"/>
  <c r="AK23" i="13" s="1"/>
  <c r="I77" i="8"/>
  <c r="P1" i="8"/>
  <c r="H1" i="8"/>
  <c r="L1" i="8"/>
  <c r="O1" i="8"/>
  <c r="N77" i="8"/>
  <c r="B86" i="12"/>
  <c r="B27" i="12"/>
  <c r="P35" i="8"/>
  <c r="AL18" i="13"/>
  <c r="O35" i="8"/>
  <c r="P77" i="8"/>
  <c r="B740" i="12"/>
  <c r="O62" i="8"/>
  <c r="AL12" i="13"/>
  <c r="AO18" i="13"/>
  <c r="I35" i="8"/>
  <c r="O77" i="8"/>
  <c r="AO17" i="13"/>
  <c r="Z19" i="11"/>
  <c r="O22" i="11"/>
  <c r="W22" i="11" s="1"/>
  <c r="U19" i="13"/>
  <c r="C22" i="13"/>
  <c r="K22" i="13" s="1"/>
  <c r="W19" i="11"/>
  <c r="AA22" i="11"/>
  <c r="L19" i="13"/>
  <c r="D19" i="13" s="1"/>
  <c r="K22" i="11"/>
  <c r="J22" i="13" s="1"/>
  <c r="C19" i="11"/>
  <c r="G22" i="11"/>
  <c r="F22" i="13" s="1"/>
  <c r="O23" i="11"/>
  <c r="C23" i="11" s="1"/>
  <c r="AK12" i="13"/>
  <c r="L83" i="8"/>
  <c r="N83" i="8" s="1"/>
  <c r="AJ18" i="13"/>
  <c r="AK18" i="13"/>
  <c r="G23" i="11"/>
  <c r="F23" i="13" s="1"/>
  <c r="AO12" i="13"/>
  <c r="AM18" i="13"/>
  <c r="AM12" i="13"/>
  <c r="AN12" i="13"/>
  <c r="AJ12" i="13"/>
  <c r="P62" i="8"/>
  <c r="M1" i="8"/>
  <c r="R1" i="8"/>
  <c r="G1" i="8" s="1"/>
  <c r="I2" i="8" s="1"/>
  <c r="O14" i="8"/>
  <c r="B608" i="12"/>
  <c r="I14" i="8"/>
  <c r="B646" i="12"/>
  <c r="L59" i="8"/>
  <c r="R61" i="8" s="1"/>
  <c r="B177" i="12"/>
  <c r="N14" i="8"/>
  <c r="P14" i="8"/>
  <c r="AB23" i="11"/>
  <c r="N23" i="11" s="1"/>
  <c r="L68" i="8"/>
  <c r="R70" i="8" s="1"/>
  <c r="AA15" i="11"/>
  <c r="P74" i="8"/>
  <c r="I74" i="8"/>
  <c r="AL19" i="13"/>
  <c r="AO19" i="13"/>
  <c r="AB16" i="11"/>
  <c r="N16" i="11" s="1"/>
  <c r="AJ19" i="13"/>
  <c r="I65" i="8"/>
  <c r="L65" i="8"/>
  <c r="I53" i="8"/>
  <c r="L53" i="8"/>
  <c r="L47" i="8"/>
  <c r="R49" i="8" s="1"/>
  <c r="AM19" i="13"/>
  <c r="O74" i="8"/>
  <c r="AN19" i="13"/>
  <c r="T19" i="13"/>
  <c r="L20" i="8"/>
  <c r="L71" i="8"/>
  <c r="R73" i="8" s="1"/>
  <c r="L32" i="8"/>
  <c r="I32" i="8"/>
  <c r="N74" i="8"/>
  <c r="K23" i="11"/>
  <c r="J23" i="13" s="1"/>
  <c r="AL17" i="13"/>
  <c r="M19" i="13"/>
  <c r="S19" i="13"/>
  <c r="O19" i="13"/>
  <c r="AA23" i="11"/>
  <c r="R19" i="13"/>
  <c r="AL15" i="13"/>
  <c r="K19" i="13"/>
  <c r="B22" i="13"/>
  <c r="AK22" i="13" s="1"/>
  <c r="O17" i="11"/>
  <c r="L17" i="13" s="1"/>
  <c r="D17" i="13" s="1"/>
  <c r="AO16" i="13"/>
  <c r="AL16" i="13"/>
  <c r="AL22" i="13"/>
  <c r="D16" i="5"/>
  <c r="B16" i="12" s="1"/>
  <c r="C15" i="13"/>
  <c r="O15" i="13" s="1"/>
  <c r="AO15" i="13"/>
  <c r="AB15" i="11"/>
  <c r="N15" i="11" s="1"/>
  <c r="O15" i="11"/>
  <c r="W15" i="11" s="1"/>
  <c r="G15" i="11"/>
  <c r="F15" i="13" s="1"/>
  <c r="K746" i="12"/>
  <c r="G16" i="11"/>
  <c r="F16" i="13" s="1"/>
  <c r="C16" i="13"/>
  <c r="M16" i="13" s="1"/>
  <c r="C17" i="13"/>
  <c r="M17" i="13" s="1"/>
  <c r="K20" i="11"/>
  <c r="J20" i="13" s="1"/>
  <c r="C20" i="13"/>
  <c r="AB20" i="11"/>
  <c r="N20" i="11" s="1"/>
  <c r="G20" i="11"/>
  <c r="F20" i="13" s="1"/>
  <c r="O20" i="11"/>
  <c r="AA20" i="11"/>
  <c r="AA16" i="11"/>
  <c r="L44" i="8"/>
  <c r="I44" i="8"/>
  <c r="M746" i="6"/>
  <c r="AS746" i="6" s="1"/>
  <c r="N746" i="6"/>
  <c r="H746" i="6"/>
  <c r="T746" i="5" s="1"/>
  <c r="O16" i="11"/>
  <c r="AO20" i="13"/>
  <c r="AL20" i="13"/>
  <c r="B20" i="13"/>
  <c r="O18" i="11"/>
  <c r="C18" i="13"/>
  <c r="AA18" i="11"/>
  <c r="K18" i="11"/>
  <c r="J18" i="13" s="1"/>
  <c r="AB18" i="11"/>
  <c r="N18" i="11" s="1"/>
  <c r="G18" i="11"/>
  <c r="F18" i="13" s="1"/>
  <c r="K17" i="11"/>
  <c r="J17" i="13" s="1"/>
  <c r="G17" i="11"/>
  <c r="F17" i="13" s="1"/>
  <c r="AL21" i="13"/>
  <c r="B21" i="13"/>
  <c r="AO21" i="13"/>
  <c r="AB17" i="11"/>
  <c r="N17" i="11" s="1"/>
  <c r="AK15" i="13"/>
  <c r="AH745" i="6"/>
  <c r="AN16" i="13"/>
  <c r="AK17" i="13"/>
  <c r="AN17" i="13"/>
  <c r="AM17" i="13"/>
  <c r="AB745" i="6"/>
  <c r="AM16" i="13"/>
  <c r="AG745" i="6"/>
  <c r="AF745" i="6"/>
  <c r="AK16" i="13"/>
  <c r="AK745" i="6"/>
  <c r="AI745" i="6"/>
  <c r="AD745" i="6"/>
  <c r="AC745" i="6"/>
  <c r="AE745" i="6"/>
  <c r="BA745" i="6"/>
  <c r="AZ745" i="6"/>
  <c r="AN745" i="6"/>
  <c r="AY745" i="6"/>
  <c r="AS745" i="6"/>
  <c r="BC745" i="6"/>
  <c r="BF745" i="6"/>
  <c r="AT745" i="6"/>
  <c r="AX745" i="6"/>
  <c r="AM745" i="6"/>
  <c r="AV745" i="6"/>
  <c r="BB745" i="6"/>
  <c r="AU745" i="6"/>
  <c r="AR745" i="6"/>
  <c r="BD745" i="6"/>
  <c r="AO745" i="6"/>
  <c r="AP745" i="6"/>
  <c r="AQ745" i="6"/>
  <c r="BG745" i="6"/>
  <c r="BE745" i="6"/>
  <c r="M23" i="13"/>
  <c r="K23" i="13"/>
  <c r="O23" i="13"/>
  <c r="G745" i="12"/>
  <c r="B723" i="12"/>
  <c r="AN15" i="13"/>
  <c r="AM15" i="13"/>
  <c r="K21" i="13" l="1"/>
  <c r="O21" i="13"/>
  <c r="L21" i="13"/>
  <c r="D21" i="13" s="1"/>
  <c r="AJ23" i="13"/>
  <c r="C12" i="11"/>
  <c r="L12" i="13"/>
  <c r="D12" i="13" s="1"/>
  <c r="Z12" i="11"/>
  <c r="AN23" i="13"/>
  <c r="U21" i="13"/>
  <c r="S21" i="13"/>
  <c r="C21" i="11"/>
  <c r="AM23" i="13"/>
  <c r="Q86" i="8"/>
  <c r="E88" i="8" s="1"/>
  <c r="S12" i="13"/>
  <c r="U12" i="13"/>
  <c r="T12" i="13"/>
  <c r="R12" i="13"/>
  <c r="M12" i="13"/>
  <c r="O12" i="13"/>
  <c r="R21" i="13"/>
  <c r="O83" i="8"/>
  <c r="C45" i="10"/>
  <c r="N23" i="8"/>
  <c r="R28" i="8"/>
  <c r="P26" i="8"/>
  <c r="T21" i="13"/>
  <c r="Z21" i="11"/>
  <c r="P56" i="8"/>
  <c r="O56" i="8"/>
  <c r="V12" i="13"/>
  <c r="O29" i="8"/>
  <c r="R31" i="8"/>
  <c r="N29" i="8"/>
  <c r="N26" i="8"/>
  <c r="M80" i="8"/>
  <c r="P83" i="8"/>
  <c r="M74" i="8"/>
  <c r="Q74" i="8" s="1"/>
  <c r="E76" i="8" s="1"/>
  <c r="AN22" i="13"/>
  <c r="P59" i="8"/>
  <c r="AM22" i="13"/>
  <c r="AJ22" i="13"/>
  <c r="C30" i="9"/>
  <c r="A35" i="9"/>
  <c r="K16" i="13"/>
  <c r="L15" i="13"/>
  <c r="D15" i="13" s="1"/>
  <c r="R3" i="8"/>
  <c r="Q1" i="8"/>
  <c r="W17" i="11"/>
  <c r="Z22" i="11"/>
  <c r="L22" i="13"/>
  <c r="D22" i="13" s="1"/>
  <c r="R23" i="13"/>
  <c r="C22" i="11"/>
  <c r="T22" i="13"/>
  <c r="L23" i="13"/>
  <c r="D23" i="13" s="1"/>
  <c r="S22" i="13"/>
  <c r="S23" i="13"/>
  <c r="C57" i="9"/>
  <c r="P47" i="8"/>
  <c r="O47" i="8"/>
  <c r="P68" i="8"/>
  <c r="G2" i="8"/>
  <c r="T23" i="13"/>
  <c r="W23" i="11"/>
  <c r="O22" i="13"/>
  <c r="C17" i="10"/>
  <c r="D15" i="5"/>
  <c r="O59" i="8"/>
  <c r="R22" i="13"/>
  <c r="A49" i="10"/>
  <c r="C28" i="10"/>
  <c r="M68" i="8"/>
  <c r="U22" i="13"/>
  <c r="U23" i="13"/>
  <c r="A40" i="9"/>
  <c r="A37" i="10"/>
  <c r="N59" i="8"/>
  <c r="F2" i="8"/>
  <c r="M22" i="13"/>
  <c r="O16" i="13"/>
  <c r="N16" i="13" s="1"/>
  <c r="M59" i="8"/>
  <c r="O68" i="8"/>
  <c r="N71" i="8"/>
  <c r="N65" i="8"/>
  <c r="M50" i="8"/>
  <c r="M77" i="8"/>
  <c r="Q77" i="8" s="1"/>
  <c r="R85" i="8"/>
  <c r="N80" i="8"/>
  <c r="N56" i="8"/>
  <c r="N47" i="8"/>
  <c r="F1" i="8"/>
  <c r="M83" i="8"/>
  <c r="Q83" i="8" s="1"/>
  <c r="E85" i="8" s="1"/>
  <c r="K17" i="13"/>
  <c r="Z23" i="11"/>
  <c r="R17" i="13"/>
  <c r="M65" i="8"/>
  <c r="C15" i="11"/>
  <c r="O17" i="13"/>
  <c r="P17" i="13" s="1"/>
  <c r="C17" i="11"/>
  <c r="T17" i="13"/>
  <c r="C38" i="9"/>
  <c r="A25" i="10"/>
  <c r="A27" i="10"/>
  <c r="C59" i="9"/>
  <c r="C30" i="10"/>
  <c r="C55" i="10"/>
  <c r="C24" i="9"/>
  <c r="C51" i="9"/>
  <c r="A53" i="10"/>
  <c r="A52" i="9"/>
  <c r="A26" i="10"/>
  <c r="C33" i="10"/>
  <c r="T16" i="13"/>
  <c r="Z15" i="11"/>
  <c r="N19" i="13"/>
  <c r="M47" i="8"/>
  <c r="M56" i="8"/>
  <c r="N53" i="8"/>
  <c r="M62" i="8"/>
  <c r="M53" i="8"/>
  <c r="N68" i="8"/>
  <c r="M71" i="8"/>
  <c r="R15" i="13"/>
  <c r="M20" i="8"/>
  <c r="O71" i="8"/>
  <c r="P19" i="13"/>
  <c r="P71" i="8"/>
  <c r="K15" i="13"/>
  <c r="T15" i="13"/>
  <c r="S15" i="13"/>
  <c r="O32" i="8"/>
  <c r="N32" i="8"/>
  <c r="R34" i="8"/>
  <c r="P32" i="8"/>
  <c r="U15" i="13"/>
  <c r="P53" i="8"/>
  <c r="N50" i="8"/>
  <c r="R55" i="8"/>
  <c r="O53" i="8"/>
  <c r="M15" i="13"/>
  <c r="N15" i="13" s="1"/>
  <c r="N20" i="8"/>
  <c r="P20" i="8"/>
  <c r="N17" i="8"/>
  <c r="R22" i="8"/>
  <c r="O20" i="8"/>
  <c r="O65" i="8"/>
  <c r="R67" i="8"/>
  <c r="N62" i="8"/>
  <c r="P65" i="8"/>
  <c r="A34" i="9"/>
  <c r="A55" i="10"/>
  <c r="A20" i="10"/>
  <c r="C25" i="9"/>
  <c r="A34" i="10"/>
  <c r="A61" i="9"/>
  <c r="A50" i="9"/>
  <c r="C49" i="9"/>
  <c r="A37" i="9"/>
  <c r="C60" i="10"/>
  <c r="C24" i="10"/>
  <c r="A36" i="10"/>
  <c r="A17" i="9"/>
  <c r="A22" i="9"/>
  <c r="A58" i="9"/>
  <c r="C22" i="10"/>
  <c r="C40" i="10"/>
  <c r="A29" i="9"/>
  <c r="A55" i="9"/>
  <c r="C52" i="10"/>
  <c r="A33" i="9"/>
  <c r="C42" i="10"/>
  <c r="C29" i="9"/>
  <c r="A60" i="10"/>
  <c r="C43" i="9"/>
  <c r="A32" i="10"/>
  <c r="C50" i="9"/>
  <c r="A18" i="10"/>
  <c r="A52" i="10"/>
  <c r="A45" i="10"/>
  <c r="C62" i="9"/>
  <c r="A41" i="10"/>
  <c r="C22" i="9"/>
  <c r="A36" i="9"/>
  <c r="A64" i="10"/>
  <c r="A19" i="10"/>
  <c r="A24" i="10"/>
  <c r="C27" i="9"/>
  <c r="A35" i="10"/>
  <c r="A16" i="10"/>
  <c r="C36" i="10"/>
  <c r="A40" i="10"/>
  <c r="A44" i="10"/>
  <c r="A46" i="10"/>
  <c r="A42" i="10"/>
  <c r="A59" i="10"/>
  <c r="C53" i="9"/>
  <c r="A32" i="9"/>
  <c r="C40" i="9"/>
  <c r="C16" i="10"/>
  <c r="C45" i="9"/>
  <c r="A22" i="10"/>
  <c r="C23" i="10"/>
  <c r="C26" i="10"/>
  <c r="A23" i="9"/>
  <c r="A31" i="9"/>
  <c r="C49" i="10"/>
  <c r="C38" i="10"/>
  <c r="C1" i="10"/>
  <c r="A16" i="9"/>
  <c r="C34" i="10"/>
  <c r="A28" i="10"/>
  <c r="C56" i="9"/>
  <c r="C60" i="9"/>
  <c r="C47" i="10"/>
  <c r="A63" i="9"/>
  <c r="A19" i="9"/>
  <c r="C31" i="9"/>
  <c r="C64" i="10"/>
  <c r="C20" i="9"/>
  <c r="A38" i="10"/>
  <c r="C48" i="9"/>
  <c r="A18" i="9"/>
  <c r="C17" i="9"/>
  <c r="A39" i="9"/>
  <c r="C58" i="9"/>
  <c r="A53" i="9"/>
  <c r="A25" i="9"/>
  <c r="C58" i="10"/>
  <c r="C1" i="9"/>
  <c r="C23" i="9"/>
  <c r="A38" i="9"/>
  <c r="C18" i="9"/>
  <c r="A62" i="9"/>
  <c r="C21" i="10"/>
  <c r="C39" i="9"/>
  <c r="A51" i="9"/>
  <c r="A63" i="10"/>
  <c r="C61" i="10"/>
  <c r="C31" i="10"/>
  <c r="A59" i="9"/>
  <c r="C35" i="10"/>
  <c r="C61" i="9"/>
  <c r="C35" i="9"/>
  <c r="C39" i="10"/>
  <c r="A31" i="10"/>
  <c r="A56" i="10"/>
  <c r="A47" i="10"/>
  <c r="A17" i="10"/>
  <c r="C64" i="9"/>
  <c r="C50" i="10"/>
  <c r="C53" i="10"/>
  <c r="A51" i="10"/>
  <c r="A54" i="9"/>
  <c r="C34" i="9"/>
  <c r="B14" i="13"/>
  <c r="A44" i="9"/>
  <c r="A1" i="9"/>
  <c r="A61" i="10"/>
  <c r="A46" i="9"/>
  <c r="C25" i="10"/>
  <c r="C55" i="9"/>
  <c r="C63" i="9"/>
  <c r="C57" i="10"/>
  <c r="A29" i="10"/>
  <c r="A23" i="10"/>
  <c r="A50" i="10"/>
  <c r="A30" i="10"/>
  <c r="A62" i="10"/>
  <c r="A60" i="9"/>
  <c r="A57" i="10"/>
  <c r="A64" i="9"/>
  <c r="A43" i="9"/>
  <c r="A33" i="10"/>
  <c r="A45" i="9"/>
  <c r="A47" i="9"/>
  <c r="A58" i="10"/>
  <c r="C16" i="9"/>
  <c r="C44" i="9"/>
  <c r="C52" i="9"/>
  <c r="C44" i="10"/>
  <c r="A21" i="9"/>
  <c r="C59" i="10"/>
  <c r="C56" i="10"/>
  <c r="C27" i="10"/>
  <c r="A49" i="9"/>
  <c r="C18" i="10"/>
  <c r="A48" i="9"/>
  <c r="C36" i="9"/>
  <c r="C48" i="10"/>
  <c r="A57" i="9"/>
  <c r="C33" i="9"/>
  <c r="C41" i="10"/>
  <c r="C41" i="9"/>
  <c r="C54" i="10"/>
  <c r="A30" i="9"/>
  <c r="C28" i="9"/>
  <c r="C37" i="9"/>
  <c r="C62" i="10"/>
  <c r="C19" i="10"/>
  <c r="C46" i="9"/>
  <c r="C29" i="10"/>
  <c r="C37" i="10"/>
  <c r="C32" i="9"/>
  <c r="A54" i="10"/>
  <c r="A41" i="9"/>
  <c r="C20" i="10"/>
  <c r="C63" i="10"/>
  <c r="C42" i="9"/>
  <c r="A28" i="9"/>
  <c r="C26" i="9"/>
  <c r="C43" i="10"/>
  <c r="C46" i="10"/>
  <c r="A24" i="9"/>
  <c r="C47" i="9"/>
  <c r="A1" i="10"/>
  <c r="A39" i="10"/>
  <c r="C54" i="9"/>
  <c r="A26" i="9"/>
  <c r="A21" i="10"/>
  <c r="A20" i="9"/>
  <c r="A48" i="10"/>
  <c r="C19" i="9"/>
  <c r="A42" i="9"/>
  <c r="A43" i="10"/>
  <c r="C21" i="9"/>
  <c r="C32" i="10"/>
  <c r="A27" i="9"/>
  <c r="A56" i="9"/>
  <c r="C51" i="10"/>
  <c r="R16" i="13"/>
  <c r="U16" i="13"/>
  <c r="AP746" i="6"/>
  <c r="W16" i="11"/>
  <c r="Z16" i="11"/>
  <c r="AB746" i="6"/>
  <c r="AB15" i="6" s="1"/>
  <c r="Q15" i="6" s="1"/>
  <c r="C16" i="11"/>
  <c r="U17" i="13"/>
  <c r="BB746" i="6"/>
  <c r="L16" i="13"/>
  <c r="D16" i="13" s="1"/>
  <c r="S16" i="13"/>
  <c r="AM746" i="6"/>
  <c r="M14" i="8"/>
  <c r="Q14" i="8" s="1"/>
  <c r="E16" i="8" s="1"/>
  <c r="AX746" i="6"/>
  <c r="M44" i="8"/>
  <c r="AM21" i="13"/>
  <c r="AJ21" i="13"/>
  <c r="AK21" i="13"/>
  <c r="AN21" i="13"/>
  <c r="M18" i="13"/>
  <c r="O18" i="13"/>
  <c r="T18" i="13"/>
  <c r="K18" i="13"/>
  <c r="R18" i="13"/>
  <c r="S18" i="13"/>
  <c r="U18" i="13"/>
  <c r="BF746" i="6"/>
  <c r="AI746" i="6"/>
  <c r="AI15" i="6" s="1"/>
  <c r="X15" i="6" s="1"/>
  <c r="AC746" i="6"/>
  <c r="AC15" i="6" s="1"/>
  <c r="R15" i="6" s="1"/>
  <c r="AU746" i="6"/>
  <c r="M29" i="8"/>
  <c r="Z18" i="11"/>
  <c r="L18" i="13"/>
  <c r="D18" i="13" s="1"/>
  <c r="W18" i="11"/>
  <c r="C18" i="11"/>
  <c r="AQ746" i="6"/>
  <c r="AR746" i="6"/>
  <c r="AK746" i="6"/>
  <c r="AK15" i="6" s="1"/>
  <c r="Z15" i="6" s="1"/>
  <c r="BD746" i="6"/>
  <c r="S17" i="13"/>
  <c r="AK20" i="13"/>
  <c r="AJ20" i="13"/>
  <c r="AN20" i="13"/>
  <c r="AM20" i="13"/>
  <c r="G746" i="12"/>
  <c r="BA746" i="6"/>
  <c r="AT746" i="6"/>
  <c r="AE746" i="6"/>
  <c r="AE15" i="6" s="1"/>
  <c r="T15" i="6" s="1"/>
  <c r="P44" i="8"/>
  <c r="N41" i="8"/>
  <c r="R46" i="8"/>
  <c r="O44" i="8"/>
  <c r="M41" i="8"/>
  <c r="Z17" i="11"/>
  <c r="AG746" i="6"/>
  <c r="AG15" i="6" s="1"/>
  <c r="V15" i="6" s="1"/>
  <c r="AH746" i="6"/>
  <c r="AH15" i="6" s="1"/>
  <c r="W15" i="6" s="1"/>
  <c r="BC746" i="6"/>
  <c r="AN746" i="6"/>
  <c r="Z20" i="11"/>
  <c r="C20" i="11"/>
  <c r="W20" i="11"/>
  <c r="L20" i="13"/>
  <c r="D20" i="13" s="1"/>
  <c r="M32" i="8"/>
  <c r="M17" i="8"/>
  <c r="AV746" i="6"/>
  <c r="M23" i="8"/>
  <c r="M35" i="8"/>
  <c r="Q35" i="8" s="1"/>
  <c r="E37" i="8" s="1"/>
  <c r="AF746" i="6"/>
  <c r="AF15" i="6" s="1"/>
  <c r="U15" i="6" s="1"/>
  <c r="AY746" i="6"/>
  <c r="AJ746" i="6"/>
  <c r="AJ15" i="6" s="1"/>
  <c r="Y15" i="6" s="1"/>
  <c r="AZ746" i="6"/>
  <c r="BE746" i="6"/>
  <c r="M26" i="8"/>
  <c r="M38" i="8"/>
  <c r="Q38" i="8" s="1"/>
  <c r="N44" i="8"/>
  <c r="AO746" i="6"/>
  <c r="BG746" i="6"/>
  <c r="AD746" i="6"/>
  <c r="AD15" i="6" s="1"/>
  <c r="S15" i="6" s="1"/>
  <c r="K20" i="13"/>
  <c r="M20" i="13"/>
  <c r="U20" i="13"/>
  <c r="T20" i="13"/>
  <c r="S20" i="13"/>
  <c r="R20" i="13"/>
  <c r="O20" i="13"/>
  <c r="N23" i="13"/>
  <c r="I660" i="5"/>
  <c r="I71" i="5"/>
  <c r="Q23" i="8" l="1"/>
  <c r="E25" i="8" s="1"/>
  <c r="P12" i="13"/>
  <c r="Q65" i="8"/>
  <c r="E67" i="8" s="1"/>
  <c r="P21" i="13"/>
  <c r="N21" i="13"/>
  <c r="Q29" i="8"/>
  <c r="Q47" i="8"/>
  <c r="E49" i="8" s="1"/>
  <c r="N12" i="13"/>
  <c r="E79" i="8"/>
  <c r="Q26" i="8"/>
  <c r="AE26" i="8" s="1"/>
  <c r="P15" i="13"/>
  <c r="Q50" i="8"/>
  <c r="Q68" i="8"/>
  <c r="Q80" i="8"/>
  <c r="E82" i="8" s="1"/>
  <c r="N22" i="13"/>
  <c r="Q17" i="8"/>
  <c r="W17" i="8" s="1"/>
  <c r="Q62" i="8"/>
  <c r="P23" i="13"/>
  <c r="Q71" i="8"/>
  <c r="AB1" i="8"/>
  <c r="V3" i="8"/>
  <c r="U3" i="8"/>
  <c r="Z1" i="8"/>
  <c r="X1" i="8"/>
  <c r="U1" i="8"/>
  <c r="AE3" i="8"/>
  <c r="AE1" i="8"/>
  <c r="W3" i="8"/>
  <c r="Z3" i="8"/>
  <c r="B1" i="8"/>
  <c r="T3" i="8"/>
  <c r="V1" i="8"/>
  <c r="E3" i="8"/>
  <c r="W1" i="8"/>
  <c r="AD3" i="8"/>
  <c r="D3" i="8"/>
  <c r="AC1" i="8"/>
  <c r="AA1" i="8"/>
  <c r="AD1" i="8"/>
  <c r="C1" i="8"/>
  <c r="AA3" i="8"/>
  <c r="X3" i="8"/>
  <c r="Y1" i="8"/>
  <c r="Y3" i="8"/>
  <c r="AC3" i="8"/>
  <c r="AB3" i="8"/>
  <c r="T1" i="8"/>
  <c r="D1" i="8"/>
  <c r="Q59" i="8"/>
  <c r="P22" i="13"/>
  <c r="Q53" i="8"/>
  <c r="Q56" i="8"/>
  <c r="N17" i="13"/>
  <c r="C14" i="8"/>
  <c r="Q32" i="8"/>
  <c r="Q20" i="8"/>
  <c r="B14" i="8"/>
  <c r="Q41" i="8"/>
  <c r="P16" i="13"/>
  <c r="E40" i="8"/>
  <c r="P18" i="13"/>
  <c r="N18" i="13"/>
  <c r="P20" i="13"/>
  <c r="N20" i="13"/>
  <c r="Q44" i="8"/>
  <c r="E28" i="8" l="1"/>
  <c r="D26" i="8"/>
  <c r="E52" i="8"/>
  <c r="AA26" i="8"/>
  <c r="AC26" i="8"/>
  <c r="E70" i="8"/>
  <c r="E31" i="8"/>
  <c r="Z17" i="8"/>
  <c r="AC17" i="8"/>
  <c r="U17" i="8"/>
  <c r="D17" i="8"/>
  <c r="Y17" i="8"/>
  <c r="AD17" i="8"/>
  <c r="AA17" i="8"/>
  <c r="AE17" i="8"/>
  <c r="AB17" i="8"/>
  <c r="V17" i="8"/>
  <c r="T17" i="8"/>
  <c r="E19" i="8"/>
  <c r="X17" i="8"/>
  <c r="E61" i="8"/>
  <c r="E64" i="8"/>
  <c r="E58" i="8"/>
  <c r="E73" i="8"/>
  <c r="E55" i="8"/>
  <c r="E22" i="8"/>
  <c r="E34" i="8"/>
  <c r="E43" i="8"/>
  <c r="E46" i="8"/>
  <c r="W44" i="8" l="1"/>
  <c r="AC44" i="8"/>
  <c r="D44" i="8"/>
  <c r="AD44" i="8"/>
  <c r="V44" i="8"/>
  <c r="AE44" i="8"/>
  <c r="T44" i="8"/>
  <c r="AA44" i="8"/>
  <c r="U44" i="8"/>
  <c r="AB44" i="8"/>
  <c r="X44" i="8"/>
  <c r="Z44" i="8"/>
  <c r="I665" i="5" l="1"/>
  <c r="I669" i="5" l="1"/>
  <c r="E326" i="12" l="1"/>
  <c r="F326" i="6"/>
  <c r="I369" i="5" l="1"/>
  <c r="I653" i="5" l="1"/>
  <c r="I654" i="5" s="1"/>
  <c r="I574" i="5" l="1"/>
  <c r="AF584" i="5"/>
  <c r="AF306" i="5"/>
  <c r="AF487" i="5"/>
  <c r="AF341" i="5"/>
  <c r="AF337" i="5"/>
  <c r="AF729" i="5"/>
  <c r="AF630" i="5"/>
  <c r="AF694" i="5"/>
  <c r="AF709" i="5"/>
  <c r="AF483" i="5"/>
  <c r="AF734" i="5"/>
  <c r="AF700" i="5"/>
  <c r="AF500" i="5"/>
  <c r="AF427" i="5"/>
  <c r="AF695" i="5"/>
  <c r="AF375" i="5"/>
  <c r="AF609" i="5"/>
  <c r="AF574" i="5"/>
  <c r="AF340" i="5"/>
  <c r="AF315" i="5"/>
  <c r="AF539" i="5"/>
  <c r="AF334" i="5"/>
  <c r="AF653" i="5"/>
  <c r="AF723" i="5"/>
  <c r="AF654" i="5"/>
  <c r="AF391" i="5"/>
  <c r="AF731" i="5"/>
  <c r="AF682" i="5"/>
  <c r="AF535" i="5"/>
  <c r="AF718" i="5"/>
  <c r="AF426" i="5"/>
  <c r="AF740" i="5"/>
  <c r="AF433" i="5"/>
  <c r="AF646" i="5"/>
  <c r="AF669" i="5"/>
  <c r="AF552" i="5"/>
  <c r="AF660" i="5"/>
  <c r="AF593" i="5"/>
  <c r="AF743" i="5"/>
  <c r="AF633" i="5"/>
  <c r="AF491" i="5"/>
  <c r="AF626" i="5"/>
  <c r="AF605" i="5"/>
  <c r="AF449" i="5"/>
  <c r="AF430" i="5"/>
  <c r="AF488" i="5"/>
  <c r="AF369" i="5"/>
  <c r="AF379" i="5"/>
  <c r="AF318" i="5"/>
  <c r="AF665" i="5"/>
  <c r="AF518" i="5"/>
  <c r="AF317" i="5"/>
  <c r="AF708" i="5"/>
  <c r="AF644" i="5"/>
  <c r="AF608" i="5"/>
  <c r="AF618" i="5"/>
  <c r="AF597" i="5"/>
  <c r="AG633" i="5" l="1"/>
  <c r="U633" i="5" s="1"/>
  <c r="AN633" i="5" s="1"/>
  <c r="S633" i="5"/>
  <c r="F633" i="12" s="1"/>
  <c r="AG654" i="5"/>
  <c r="U654" i="5" s="1"/>
  <c r="AN654" i="5" s="1"/>
  <c r="S654" i="5"/>
  <c r="F654" i="12" s="1"/>
  <c r="AG630" i="5"/>
  <c r="U630" i="5" s="1"/>
  <c r="AN630" i="5" s="1"/>
  <c r="S630" i="5"/>
  <c r="F630" i="12" s="1"/>
  <c r="S618" i="5"/>
  <c r="F618" i="12" s="1"/>
  <c r="AG618" i="5"/>
  <c r="U618" i="5" s="1"/>
  <c r="AN618" i="5" s="1"/>
  <c r="AG426" i="5"/>
  <c r="U426" i="5" s="1"/>
  <c r="AN426" i="5" s="1"/>
  <c r="S426" i="5"/>
  <c r="F426" i="12" s="1"/>
  <c r="AG318" i="5"/>
  <c r="U318" i="5" s="1"/>
  <c r="AN318" i="5" s="1"/>
  <c r="S318" i="5"/>
  <c r="F318" i="12" s="1"/>
  <c r="S306" i="5"/>
  <c r="F306" i="12" s="1"/>
  <c r="AG306" i="5"/>
  <c r="U306" i="5" s="1"/>
  <c r="AN306" i="5" s="1"/>
  <c r="S597" i="5"/>
  <c r="F597" i="12" s="1"/>
  <c r="AG597" i="5"/>
  <c r="U597" i="5" s="1"/>
  <c r="AN597" i="5" s="1"/>
  <c r="AG665" i="5"/>
  <c r="U665" i="5" s="1"/>
  <c r="AN665" i="5" s="1"/>
  <c r="S665" i="5"/>
  <c r="F665" i="12" s="1"/>
  <c r="S653" i="5"/>
  <c r="F653" i="12" s="1"/>
  <c r="AG653" i="5"/>
  <c r="U653" i="5" s="1"/>
  <c r="AN653" i="5" s="1"/>
  <c r="S605" i="5"/>
  <c r="F605" i="12" s="1"/>
  <c r="AG605" i="5"/>
  <c r="U605" i="5" s="1"/>
  <c r="AN605" i="5" s="1"/>
  <c r="AG593" i="5"/>
  <c r="U593" i="5" s="1"/>
  <c r="AN593" i="5" s="1"/>
  <c r="S593" i="5"/>
  <c r="F593" i="12" s="1"/>
  <c r="S449" i="5"/>
  <c r="F449" i="12" s="1"/>
  <c r="AG449" i="5"/>
  <c r="U449" i="5" s="1"/>
  <c r="AN449" i="5" s="1"/>
  <c r="S341" i="5"/>
  <c r="F341" i="12" s="1"/>
  <c r="AG341" i="5"/>
  <c r="U341" i="5" s="1"/>
  <c r="AN341" i="5" s="1"/>
  <c r="AG317" i="5"/>
  <c r="U317" i="5" s="1"/>
  <c r="AN317" i="5" s="1"/>
  <c r="S317" i="5"/>
  <c r="F317" i="12" s="1"/>
  <c r="AG660" i="5"/>
  <c r="U660" i="5" s="1"/>
  <c r="AN660" i="5" s="1"/>
  <c r="S660" i="5"/>
  <c r="F660" i="12" s="1"/>
  <c r="S729" i="5"/>
  <c r="F729" i="12" s="1"/>
  <c r="AG729" i="5"/>
  <c r="U729" i="5" s="1"/>
  <c r="AN729" i="5" s="1"/>
  <c r="AG669" i="5"/>
  <c r="U669" i="5" s="1"/>
  <c r="AN669" i="5" s="1"/>
  <c r="S669" i="5"/>
  <c r="F669" i="12" s="1"/>
  <c r="S369" i="5"/>
  <c r="F369" i="12" s="1"/>
  <c r="AG369" i="5"/>
  <c r="U369" i="5" s="1"/>
  <c r="AN369" i="5" s="1"/>
  <c r="AG700" i="5"/>
  <c r="U700" i="5" s="1"/>
  <c r="AN700" i="5" s="1"/>
  <c r="S700" i="5"/>
  <c r="F700" i="12" s="1"/>
  <c r="AG340" i="5"/>
  <c r="U340" i="5" s="1"/>
  <c r="AN340" i="5" s="1"/>
  <c r="S340" i="5"/>
  <c r="F340" i="12" s="1"/>
  <c r="S723" i="5"/>
  <c r="F723" i="12" s="1"/>
  <c r="AG723" i="5"/>
  <c r="U723" i="5" s="1"/>
  <c r="AN723" i="5" s="1"/>
  <c r="S483" i="5"/>
  <c r="F483" i="12" s="1"/>
  <c r="AG483" i="5"/>
  <c r="U483" i="5" s="1"/>
  <c r="AN483" i="5" s="1"/>
  <c r="AG375" i="5"/>
  <c r="U375" i="5" s="1"/>
  <c r="AN375" i="5" s="1"/>
  <c r="S375" i="5"/>
  <c r="F375" i="12" s="1"/>
  <c r="AG315" i="5"/>
  <c r="U315" i="5" s="1"/>
  <c r="AN315" i="5" s="1"/>
  <c r="S315" i="5"/>
  <c r="F315" i="12" s="1"/>
  <c r="S734" i="5"/>
  <c r="F734" i="12" s="1"/>
  <c r="AG734" i="5"/>
  <c r="U734" i="5" s="1"/>
  <c r="AN734" i="5" s="1"/>
  <c r="AG626" i="5"/>
  <c r="U626" i="5" s="1"/>
  <c r="AN626" i="5" s="1"/>
  <c r="S626" i="5"/>
  <c r="F626" i="12" s="1"/>
  <c r="AG518" i="5"/>
  <c r="U518" i="5" s="1"/>
  <c r="AN518" i="5" s="1"/>
  <c r="S518" i="5"/>
  <c r="F518" i="12" s="1"/>
  <c r="AG709" i="5"/>
  <c r="U709" i="5" s="1"/>
  <c r="AN709" i="5" s="1"/>
  <c r="S709" i="5"/>
  <c r="F709" i="12" s="1"/>
  <c r="S433" i="5"/>
  <c r="F433" i="12" s="1"/>
  <c r="AG433" i="5"/>
  <c r="U433" i="5" s="1"/>
  <c r="AN433" i="5" s="1"/>
  <c r="AG337" i="5"/>
  <c r="U337" i="5" s="1"/>
  <c r="AN337" i="5" s="1"/>
  <c r="S337" i="5"/>
  <c r="F337" i="12" s="1"/>
  <c r="AG708" i="5"/>
  <c r="U708" i="5" s="1"/>
  <c r="AN708" i="5" s="1"/>
  <c r="S708" i="5"/>
  <c r="F708" i="12" s="1"/>
  <c r="AG743" i="5"/>
  <c r="U743" i="5" s="1"/>
  <c r="AN743" i="5" s="1"/>
  <c r="S743" i="5"/>
  <c r="F743" i="12" s="1"/>
  <c r="S731" i="5"/>
  <c r="F731" i="12" s="1"/>
  <c r="AG731" i="5"/>
  <c r="U731" i="5" s="1"/>
  <c r="AN731" i="5" s="1"/>
  <c r="S695" i="5"/>
  <c r="F695" i="12" s="1"/>
  <c r="AG695" i="5"/>
  <c r="U695" i="5" s="1"/>
  <c r="AN695" i="5" s="1"/>
  <c r="S539" i="5"/>
  <c r="F539" i="12" s="1"/>
  <c r="AG539" i="5"/>
  <c r="U539" i="5" s="1"/>
  <c r="AN539" i="5" s="1"/>
  <c r="S491" i="5"/>
  <c r="F491" i="12" s="1"/>
  <c r="AG491" i="5"/>
  <c r="U491" i="5" s="1"/>
  <c r="AN491" i="5" s="1"/>
  <c r="S552" i="5"/>
  <c r="F552" i="12" s="1"/>
  <c r="AG552" i="5"/>
  <c r="U552" i="5" s="1"/>
  <c r="AN552" i="5" s="1"/>
  <c r="AG718" i="5"/>
  <c r="U718" i="5" s="1"/>
  <c r="AN718" i="5" s="1"/>
  <c r="S718" i="5"/>
  <c r="F718" i="12" s="1"/>
  <c r="S694" i="5"/>
  <c r="F694" i="12" s="1"/>
  <c r="AG694" i="5"/>
  <c r="U694" i="5" s="1"/>
  <c r="AN694" i="5" s="1"/>
  <c r="AG682" i="5"/>
  <c r="U682" i="5" s="1"/>
  <c r="AN682" i="5" s="1"/>
  <c r="S682" i="5"/>
  <c r="F682" i="12" s="1"/>
  <c r="S646" i="5"/>
  <c r="F646" i="12" s="1"/>
  <c r="AG646" i="5"/>
  <c r="U646" i="5" s="1"/>
  <c r="AN646" i="5" s="1"/>
  <c r="S574" i="5"/>
  <c r="F574" i="12" s="1"/>
  <c r="AG574" i="5"/>
  <c r="U574" i="5" s="1"/>
  <c r="AN574" i="5" s="1"/>
  <c r="AG430" i="5"/>
  <c r="U430" i="5" s="1"/>
  <c r="AN430" i="5" s="1"/>
  <c r="S430" i="5"/>
  <c r="F430" i="12" s="1"/>
  <c r="S334" i="5"/>
  <c r="F334" i="12" s="1"/>
  <c r="AG334" i="5"/>
  <c r="U334" i="5" s="1"/>
  <c r="AN334" i="5" s="1"/>
  <c r="AG740" i="5"/>
  <c r="U740" i="5" s="1"/>
  <c r="AN740" i="5" s="1"/>
  <c r="S740" i="5"/>
  <c r="F740" i="12" s="1"/>
  <c r="AG644" i="5"/>
  <c r="U644" i="5" s="1"/>
  <c r="AN644" i="5" s="1"/>
  <c r="S644" i="5"/>
  <c r="F644" i="12" s="1"/>
  <c r="S608" i="5"/>
  <c r="F608" i="12" s="1"/>
  <c r="AG608" i="5"/>
  <c r="U608" i="5" s="1"/>
  <c r="AN608" i="5" s="1"/>
  <c r="AG584" i="5"/>
  <c r="U584" i="5" s="1"/>
  <c r="AN584" i="5" s="1"/>
  <c r="S584" i="5"/>
  <c r="F584" i="12" s="1"/>
  <c r="S500" i="5"/>
  <c r="F500" i="12" s="1"/>
  <c r="AG500" i="5"/>
  <c r="U500" i="5" s="1"/>
  <c r="AN500" i="5" s="1"/>
  <c r="AG488" i="5"/>
  <c r="U488" i="5" s="1"/>
  <c r="AN488" i="5" s="1"/>
  <c r="S488" i="5"/>
  <c r="F488" i="12" s="1"/>
  <c r="S609" i="5"/>
  <c r="F609" i="12" s="1"/>
  <c r="AG609" i="5"/>
  <c r="U609" i="5" s="1"/>
  <c r="AN609" i="5" s="1"/>
  <c r="S535" i="5"/>
  <c r="F535" i="12" s="1"/>
  <c r="AG535" i="5"/>
  <c r="U535" i="5" s="1"/>
  <c r="AN535" i="5" s="1"/>
  <c r="AG487" i="5"/>
  <c r="U487" i="5" s="1"/>
  <c r="AN487" i="5" s="1"/>
  <c r="S487" i="5"/>
  <c r="F487" i="12" s="1"/>
  <c r="S427" i="5"/>
  <c r="F427" i="12" s="1"/>
  <c r="AG427" i="5"/>
  <c r="U427" i="5" s="1"/>
  <c r="AN427" i="5" s="1"/>
  <c r="AG391" i="5"/>
  <c r="U391" i="5" s="1"/>
  <c r="AN391" i="5" s="1"/>
  <c r="S391" i="5"/>
  <c r="F391" i="12" s="1"/>
  <c r="AG379" i="5"/>
  <c r="U379" i="5" s="1"/>
  <c r="AN379" i="5" s="1"/>
  <c r="S379" i="5"/>
  <c r="F379" i="12" s="1"/>
  <c r="AB23" i="8" l="1"/>
  <c r="AA23" i="8"/>
  <c r="Y23" i="8"/>
  <c r="U23" i="8"/>
  <c r="AD23" i="8"/>
  <c r="X23" i="8"/>
  <c r="Z23" i="8"/>
  <c r="AF169" i="5"/>
  <c r="AF293" i="5"/>
  <c r="AF253" i="5"/>
  <c r="AF190" i="5"/>
  <c r="AF113" i="5"/>
  <c r="AF280" i="5"/>
  <c r="AF263" i="5"/>
  <c r="AF294" i="5"/>
  <c r="AF22" i="5"/>
  <c r="AF105" i="5"/>
  <c r="AF238" i="5"/>
  <c r="AF172" i="5"/>
  <c r="AF80" i="5"/>
  <c r="AF116" i="5"/>
  <c r="AF72" i="5"/>
  <c r="AF602" i="5"/>
  <c r="AF385" i="5"/>
  <c r="AF554" i="5"/>
  <c r="AF374" i="5"/>
  <c r="AF441" i="5"/>
  <c r="AF409" i="5"/>
  <c r="AF553" i="5"/>
  <c r="AF425" i="5"/>
  <c r="AF418" i="5"/>
  <c r="AF329" i="5"/>
  <c r="AF435" i="5"/>
  <c r="AF614" i="5"/>
  <c r="AF299" i="5"/>
  <c r="AF339" i="5"/>
  <c r="AF551" i="5"/>
  <c r="AF573" i="5"/>
  <c r="AF565" i="5"/>
  <c r="AF406" i="5"/>
  <c r="AF350" i="5"/>
  <c r="AF659" i="5"/>
  <c r="AF600" i="5"/>
  <c r="AF432" i="5"/>
  <c r="AF347" i="5"/>
  <c r="AF563" i="5"/>
  <c r="AF704" i="5"/>
  <c r="AF358" i="5"/>
  <c r="AF402" i="5"/>
  <c r="AF357" i="5"/>
  <c r="AF548" i="5"/>
  <c r="AF612" i="5"/>
  <c r="AF516" i="5"/>
  <c r="AF658" i="5"/>
  <c r="AF617" i="5"/>
  <c r="AF592" i="5"/>
  <c r="AF481" i="5"/>
  <c r="AF741" i="5"/>
  <c r="AF733" i="5"/>
  <c r="AF564" i="5"/>
  <c r="AF638" i="5"/>
  <c r="AF611" i="5"/>
  <c r="AF319" i="5"/>
  <c r="AF314" i="5"/>
  <c r="AF353" i="5"/>
  <c r="AF696" i="5"/>
  <c r="AF746" i="5"/>
  <c r="AF504" i="5"/>
  <c r="AF343" i="5"/>
  <c r="AF572" i="5"/>
  <c r="AF485" i="5"/>
  <c r="AF540" i="5"/>
  <c r="AF634" i="5"/>
  <c r="AF370" i="5"/>
  <c r="AF509" i="5"/>
  <c r="AF647" i="5"/>
  <c r="AF459" i="5"/>
  <c r="AF410" i="5"/>
  <c r="AF715" i="5"/>
  <c r="AF297" i="5"/>
  <c r="AF579" i="5"/>
  <c r="AF598" i="5"/>
  <c r="AF635" i="5"/>
  <c r="AF454" i="5"/>
  <c r="AF386" i="5"/>
  <c r="AF711" i="5"/>
  <c r="AF671" i="5"/>
  <c r="AF684" i="5"/>
  <c r="AF725" i="5"/>
  <c r="AF503" i="5"/>
  <c r="AF586" i="5"/>
  <c r="AF677" i="5"/>
  <c r="AF730" i="5"/>
  <c r="AF364" i="5"/>
  <c r="AF519" i="5"/>
  <c r="AF407" i="5"/>
  <c r="AF434" i="5"/>
  <c r="AF560" i="5"/>
  <c r="AF576" i="5"/>
  <c r="AF578" i="5"/>
  <c r="AF305" i="5"/>
  <c r="AF632" i="5"/>
  <c r="AF326" i="5"/>
  <c r="AF345" i="5"/>
  <c r="AF395" i="5"/>
  <c r="AF378" i="5"/>
  <c r="AF707" i="5"/>
  <c r="AF728" i="5"/>
  <c r="AF510" i="5"/>
  <c r="AF335" i="5"/>
  <c r="AF545" i="5"/>
  <c r="AF601" i="5"/>
  <c r="AF651" i="5"/>
  <c r="AF648" i="5"/>
  <c r="AF373" i="5"/>
  <c r="AF742" i="5"/>
  <c r="AF666" i="5"/>
  <c r="AF419" i="5"/>
  <c r="AF412" i="5"/>
  <c r="AF652" i="5"/>
  <c r="AF428" i="5"/>
  <c r="AF23" i="5"/>
  <c r="AF153" i="5"/>
  <c r="AF209" i="5"/>
  <c r="AF87" i="5"/>
  <c r="AF205" i="5"/>
  <c r="AF199" i="5"/>
  <c r="AF234" i="5"/>
  <c r="AF21" i="5"/>
  <c r="AF257" i="5"/>
  <c r="AF240" i="5"/>
  <c r="AF237" i="5"/>
  <c r="AF258" i="5"/>
  <c r="AF242" i="5"/>
  <c r="AF20" i="5"/>
  <c r="AF150" i="5"/>
  <c r="AF136" i="5"/>
  <c r="AF292" i="5"/>
  <c r="AF212" i="5"/>
  <c r="AF285" i="5"/>
  <c r="AF91" i="5"/>
  <c r="AF224" i="5"/>
  <c r="AF32" i="5"/>
  <c r="AF64" i="5"/>
  <c r="AF107" i="5"/>
  <c r="AF220" i="5"/>
  <c r="AF92" i="5"/>
  <c r="AF291" i="5"/>
  <c r="AF98" i="5"/>
  <c r="AF506" i="5"/>
  <c r="AF398" i="5"/>
  <c r="AF559" i="5"/>
  <c r="AF585" i="5"/>
  <c r="AF421" i="5"/>
  <c r="AF699" i="5"/>
  <c r="AF531" i="5"/>
  <c r="AF675" i="5"/>
  <c r="AF705" i="5"/>
  <c r="AF422" i="5"/>
  <c r="AF530" i="5"/>
  <c r="AF555" i="5"/>
  <c r="AF589" i="5"/>
  <c r="AF455" i="5"/>
  <c r="AF625" i="5"/>
  <c r="AF453" i="5"/>
  <c r="AF311" i="5"/>
  <c r="AF490" i="5"/>
  <c r="AF615" i="5"/>
  <c r="AF316" i="5"/>
  <c r="AF323" i="5"/>
  <c r="AF417" i="5"/>
  <c r="AF726" i="5"/>
  <c r="AF327" i="5"/>
  <c r="AF348" i="5"/>
  <c r="AF420" i="5"/>
  <c r="AF582" i="5"/>
  <c r="AF556" i="5"/>
  <c r="AF688" i="5"/>
  <c r="AF443" i="5"/>
  <c r="AF702" i="5"/>
  <c r="AF302" i="5"/>
  <c r="AF456" i="5"/>
  <c r="AF557" i="5"/>
  <c r="AF720" i="5"/>
  <c r="AF362" i="5"/>
  <c r="AF520" i="5"/>
  <c r="AF661" i="5"/>
  <c r="AF737" i="5"/>
  <c r="AF710" i="5"/>
  <c r="AF532" i="5"/>
  <c r="AF673" i="5"/>
  <c r="AF546" i="5"/>
  <c r="AF526" i="5"/>
  <c r="AF380" i="5"/>
  <c r="AF606" i="5"/>
  <c r="AF310" i="5"/>
  <c r="AF544" i="5"/>
  <c r="AF475" i="5"/>
  <c r="AF336" i="5"/>
  <c r="AF499" i="5"/>
  <c r="AF498" i="5"/>
  <c r="AF745" i="5"/>
  <c r="AF698" i="5"/>
  <c r="AF344" i="5"/>
  <c r="AF495" i="5"/>
  <c r="AF460" i="5"/>
  <c r="AF529" i="5"/>
  <c r="AF424" i="5"/>
  <c r="AF607" i="5"/>
  <c r="AF662" i="5"/>
  <c r="AF446" i="5"/>
  <c r="AF440" i="5"/>
  <c r="AF629" i="5"/>
  <c r="AF668" i="5"/>
  <c r="AF523" i="5"/>
  <c r="AF363" i="5"/>
  <c r="AF538" i="5"/>
  <c r="AF528" i="5"/>
  <c r="AF620" i="5"/>
  <c r="AF613" i="5"/>
  <c r="AF722" i="5"/>
  <c r="AF394" i="5"/>
  <c r="AF479" i="5"/>
  <c r="AF437" i="5"/>
  <c r="AF468" i="5"/>
  <c r="AF484" i="5"/>
  <c r="AF365" i="5"/>
  <c r="AF384" i="5"/>
  <c r="AF562" i="5"/>
  <c r="AF309" i="5"/>
  <c r="AF494" i="5"/>
  <c r="AF505" i="5"/>
  <c r="AF389" i="5"/>
  <c r="AF390" i="5"/>
  <c r="AF680" i="5"/>
  <c r="AF478" i="5"/>
  <c r="AF438" i="5"/>
  <c r="AF697" i="5"/>
  <c r="AF392" i="5"/>
  <c r="AF301" i="5"/>
  <c r="AF678" i="5"/>
  <c r="AF596" i="5"/>
  <c r="AF691" i="5"/>
  <c r="AF349" i="5"/>
  <c r="AF543" i="5"/>
  <c r="AF522" i="5"/>
  <c r="AF570" i="5"/>
  <c r="AF639" i="5"/>
  <c r="AF34" i="5"/>
  <c r="AF85" i="5"/>
  <c r="AF130" i="5"/>
  <c r="AF149" i="5"/>
  <c r="AF186" i="5"/>
  <c r="AF114" i="5"/>
  <c r="AF127" i="5"/>
  <c r="AF33" i="5"/>
  <c r="AF276" i="5"/>
  <c r="AF147" i="5"/>
  <c r="AF200" i="5"/>
  <c r="AF121" i="5"/>
  <c r="AF254" i="5"/>
  <c r="AF287" i="5"/>
  <c r="AF43" i="5"/>
  <c r="AF156" i="5"/>
  <c r="AF65" i="5"/>
  <c r="AF96" i="5"/>
  <c r="AF168" i="5"/>
  <c r="AF70" i="5"/>
  <c r="AF167" i="5"/>
  <c r="AF230" i="5"/>
  <c r="AF217" i="5"/>
  <c r="AF88" i="5"/>
  <c r="AF162" i="5"/>
  <c r="AF161" i="5"/>
  <c r="AF108" i="5"/>
  <c r="AF151" i="5"/>
  <c r="AF216" i="5"/>
  <c r="AF568" i="5"/>
  <c r="AF623" i="5"/>
  <c r="AF649" i="5"/>
  <c r="AF533" i="5"/>
  <c r="AF411" i="5"/>
  <c r="AF320" i="5"/>
  <c r="AF442" i="5"/>
  <c r="AF361" i="5"/>
  <c r="AF452" i="5"/>
  <c r="AF383" i="5"/>
  <c r="AF716" i="5"/>
  <c r="AF599" i="5"/>
  <c r="AF692" i="5"/>
  <c r="AF444" i="5"/>
  <c r="AF464" i="5"/>
  <c r="AF594" i="5"/>
  <c r="AF703" i="5"/>
  <c r="AF588" i="5"/>
  <c r="AF624" i="5"/>
  <c r="AF719" i="5"/>
  <c r="AF400" i="5"/>
  <c r="AF497" i="5"/>
  <c r="AF512" i="5"/>
  <c r="AF466" i="5"/>
  <c r="AF458" i="5"/>
  <c r="AF640" i="5"/>
  <c r="AF388" i="5"/>
  <c r="AF580" i="5"/>
  <c r="AF566" i="5"/>
  <c r="AF738" i="5"/>
  <c r="AF642" i="5"/>
  <c r="AF727" i="5"/>
  <c r="AF477" i="5"/>
  <c r="AF670" i="5"/>
  <c r="AF401" i="5"/>
  <c r="AF581" i="5"/>
  <c r="AF467" i="5"/>
  <c r="AF515" i="5"/>
  <c r="AF496" i="5"/>
  <c r="AF462" i="5"/>
  <c r="AF621" i="5"/>
  <c r="AF387" i="5"/>
  <c r="AF448" i="5"/>
  <c r="AF631" i="5"/>
  <c r="AF416" i="5"/>
  <c r="AF693" i="5"/>
  <c r="AF657" i="5"/>
  <c r="AF687" i="5"/>
  <c r="AF451" i="5"/>
  <c r="AF371" i="5"/>
  <c r="AF508" i="5"/>
  <c r="AF312" i="5"/>
  <c r="AF436" i="5"/>
  <c r="AF643" i="5"/>
  <c r="AF744" i="5"/>
  <c r="AF408" i="5"/>
  <c r="AF536" i="5"/>
  <c r="AF439" i="5"/>
  <c r="AF486" i="5"/>
  <c r="AF393" i="5"/>
  <c r="AF493" i="5"/>
  <c r="AF333" i="5"/>
  <c r="AF595" i="5"/>
  <c r="AF303" i="5"/>
  <c r="AF656" i="5"/>
  <c r="AF352" i="5"/>
  <c r="AF616" i="5"/>
  <c r="AF322" i="5"/>
  <c r="AF571" i="5"/>
  <c r="AF667" i="5"/>
  <c r="AF517" i="5"/>
  <c r="AF622" i="5"/>
  <c r="AF541" i="5"/>
  <c r="AF690" i="5"/>
  <c r="AF399" i="5"/>
  <c r="AF346" i="5"/>
  <c r="AF360" i="5"/>
  <c r="AF473" i="5"/>
  <c r="AF354" i="5"/>
  <c r="AF676" i="5"/>
  <c r="AF367" i="5"/>
  <c r="AF683" i="5"/>
  <c r="AF356" i="5"/>
  <c r="AF471" i="5"/>
  <c r="AF714" i="5"/>
  <c r="AF542" i="5"/>
  <c r="AF445" i="5"/>
  <c r="AF415" i="5"/>
  <c r="AF372" i="5"/>
  <c r="AF732" i="5"/>
  <c r="AF655" i="5"/>
  <c r="AF321" i="5"/>
  <c r="AF636" i="5"/>
  <c r="AF331" i="5"/>
  <c r="AF569" i="5"/>
  <c r="AF248" i="5"/>
  <c r="AF286" i="5"/>
  <c r="AF106" i="5"/>
  <c r="AF739" i="5"/>
  <c r="AF524" i="5"/>
  <c r="AF674" i="5"/>
  <c r="AF298" i="5"/>
  <c r="AF603" i="5"/>
  <c r="AF558" i="5"/>
  <c r="AF713" i="5"/>
  <c r="AF681" i="5"/>
  <c r="AF300" i="5"/>
  <c r="AF396" i="5"/>
  <c r="AF521" i="5"/>
  <c r="AF712" i="5"/>
  <c r="AF489" i="5"/>
  <c r="AF534" i="5"/>
  <c r="AF423" i="5"/>
  <c r="AF679" i="5"/>
  <c r="AF382" i="5"/>
  <c r="AF377" i="5"/>
  <c r="AF567" i="5"/>
  <c r="AF628" i="5"/>
  <c r="AF368" i="5"/>
  <c r="AF686" i="5"/>
  <c r="AF359" i="5"/>
  <c r="AF307" i="5"/>
  <c r="AF583" i="5"/>
  <c r="AF672" i="5"/>
  <c r="AF271" i="5"/>
  <c r="AF214" i="5"/>
  <c r="AF247" i="5"/>
  <c r="AF97" i="5"/>
  <c r="AF184" i="5"/>
  <c r="AF174" i="5"/>
  <c r="AF193" i="5"/>
  <c r="AF157" i="5"/>
  <c r="AF102" i="5"/>
  <c r="AF236" i="5"/>
  <c r="AF270" i="5"/>
  <c r="AF124" i="5"/>
  <c r="AF154" i="5"/>
  <c r="AF265" i="5"/>
  <c r="AF165" i="5"/>
  <c r="AF48" i="5"/>
  <c r="AF132" i="5"/>
  <c r="AF277" i="5"/>
  <c r="AF59" i="5"/>
  <c r="AF94" i="5"/>
  <c r="AF266" i="5"/>
  <c r="AF53" i="5"/>
  <c r="AF37" i="5"/>
  <c r="AF141" i="5"/>
  <c r="AF166" i="5"/>
  <c r="AF99" i="5"/>
  <c r="AF201" i="5"/>
  <c r="AF252" i="5"/>
  <c r="AF38" i="5"/>
  <c r="AF191" i="5"/>
  <c r="AF210" i="5"/>
  <c r="AF101" i="5"/>
  <c r="AF138" i="5"/>
  <c r="AF194" i="5"/>
  <c r="AF134" i="5"/>
  <c r="AF27" i="5"/>
  <c r="AF232" i="5"/>
  <c r="AF278" i="5"/>
  <c r="AF119" i="5"/>
  <c r="AF260" i="5"/>
  <c r="AF120" i="5"/>
  <c r="AF73" i="5"/>
  <c r="AF304" i="5"/>
  <c r="AF279" i="5"/>
  <c r="AF289" i="5"/>
  <c r="AF131" i="5"/>
  <c r="AF66" i="5"/>
  <c r="AF288" i="5"/>
  <c r="AF282" i="5"/>
  <c r="AF60" i="5"/>
  <c r="AF159" i="5"/>
  <c r="AF31" i="5"/>
  <c r="AF164" i="5"/>
  <c r="AF45" i="5"/>
  <c r="AF125" i="5"/>
  <c r="AF342" i="5"/>
  <c r="AF397" i="5"/>
  <c r="AF328" i="5"/>
  <c r="AF604" i="5"/>
  <c r="AF701" i="5"/>
  <c r="AF547" i="5"/>
  <c r="AF561" i="5"/>
  <c r="AF645" i="5"/>
  <c r="AF736" i="5"/>
  <c r="AF355" i="5"/>
  <c r="AF492" i="5"/>
  <c r="AF469" i="5"/>
  <c r="AF575" i="5"/>
  <c r="AF465" i="5"/>
  <c r="AF332" i="5"/>
  <c r="AF514" i="5"/>
  <c r="AF405" i="5"/>
  <c r="AF591" i="5"/>
  <c r="AF296" i="5"/>
  <c r="AF376" i="5"/>
  <c r="AF735" i="5"/>
  <c r="AF549" i="5"/>
  <c r="AF663" i="5"/>
  <c r="AF324" i="5"/>
  <c r="AF381" i="5"/>
  <c r="AF313" i="5"/>
  <c r="AF197" i="5"/>
  <c r="AF206" i="5"/>
  <c r="AF189" i="5"/>
  <c r="AF46" i="5"/>
  <c r="AF196" i="5"/>
  <c r="AF281" i="5"/>
  <c r="AF246" i="5"/>
  <c r="AF207" i="5"/>
  <c r="AF36" i="5"/>
  <c r="AF86" i="5"/>
  <c r="AF267" i="5"/>
  <c r="AF146" i="5"/>
  <c r="AF235" i="5"/>
  <c r="AF68" i="5"/>
  <c r="AF14" i="5"/>
  <c r="AF195" i="5"/>
  <c r="AF77" i="5"/>
  <c r="AF148" i="5"/>
  <c r="AF255" i="5"/>
  <c r="AF249" i="5"/>
  <c r="AF142" i="5"/>
  <c r="AF202" i="5"/>
  <c r="AF49" i="5"/>
  <c r="AF89" i="5"/>
  <c r="AF137" i="5"/>
  <c r="AF155" i="5"/>
  <c r="AF56" i="5"/>
  <c r="AF61" i="5"/>
  <c r="AF50" i="5"/>
  <c r="AF183" i="5"/>
  <c r="AF239" i="5"/>
  <c r="AF152" i="5"/>
  <c r="AF283" i="5"/>
  <c r="AF40" i="5"/>
  <c r="AF176" i="5"/>
  <c r="AF39" i="5"/>
  <c r="AF272" i="5"/>
  <c r="AF76" i="5"/>
  <c r="AF103" i="5"/>
  <c r="AF75" i="5"/>
  <c r="AF275" i="5"/>
  <c r="AF128" i="5"/>
  <c r="AF204" i="5"/>
  <c r="AF273" i="5"/>
  <c r="AF140" i="5"/>
  <c r="AF264" i="5"/>
  <c r="AF225" i="5"/>
  <c r="AF18" i="5"/>
  <c r="AF112" i="5"/>
  <c r="AF158" i="5"/>
  <c r="AF122" i="5"/>
  <c r="AF52" i="5"/>
  <c r="AF413" i="5"/>
  <c r="AF308" i="5"/>
  <c r="AF619" i="5"/>
  <c r="AF501" i="5"/>
  <c r="AF689" i="5"/>
  <c r="AF429" i="5"/>
  <c r="AF482" i="5"/>
  <c r="AF685" i="5"/>
  <c r="AF637" i="5"/>
  <c r="AF664" i="5"/>
  <c r="AF472" i="5"/>
  <c r="AF550" i="5"/>
  <c r="AF450" i="5"/>
  <c r="AF325" i="5"/>
  <c r="AF590" i="5"/>
  <c r="AF330" i="5"/>
  <c r="AF366" i="5"/>
  <c r="AF641" i="5"/>
  <c r="AF717" i="5"/>
  <c r="AF507" i="5"/>
  <c r="AF62" i="5"/>
  <c r="AF69" i="5"/>
  <c r="AF268" i="5"/>
  <c r="AF28" i="5"/>
  <c r="AF47" i="5"/>
  <c r="AF170" i="5"/>
  <c r="AF187" i="5"/>
  <c r="AF175" i="5"/>
  <c r="AF241" i="5"/>
  <c r="AF181" i="5"/>
  <c r="AF144" i="5"/>
  <c r="AF67" i="5"/>
  <c r="AF118" i="5"/>
  <c r="AF115" i="5"/>
  <c r="AF256" i="5"/>
  <c r="AF84" i="5"/>
  <c r="AF79" i="5"/>
  <c r="AF19" i="5"/>
  <c r="AF55" i="5"/>
  <c r="AF177" i="5"/>
  <c r="AF111" i="5"/>
  <c r="AF17" i="5"/>
  <c r="AF244" i="5"/>
  <c r="AF274" i="5"/>
  <c r="AF457" i="5"/>
  <c r="AF431" i="5"/>
  <c r="AF480" i="5"/>
  <c r="AF525" i="5"/>
  <c r="AF403" i="5"/>
  <c r="AF527" i="5"/>
  <c r="AF502" i="5"/>
  <c r="AF463" i="5"/>
  <c r="AF404" i="5"/>
  <c r="AF470" i="5"/>
  <c r="AF351" i="5"/>
  <c r="AF338" i="5"/>
  <c r="AF721" i="5"/>
  <c r="AF587" i="5"/>
  <c r="AF414" i="5"/>
  <c r="AF610" i="5"/>
  <c r="AF295" i="5"/>
  <c r="AF513" i="5"/>
  <c r="AF577" i="5"/>
  <c r="AF474" i="5"/>
  <c r="AF537" i="5"/>
  <c r="AF461" i="5"/>
  <c r="AF447" i="5"/>
  <c r="AF724" i="5"/>
  <c r="AF476" i="5"/>
  <c r="AF44" i="5"/>
  <c r="AF284" i="5"/>
  <c r="AF226" i="5"/>
  <c r="AF41" i="5"/>
  <c r="AF129" i="5"/>
  <c r="AF259" i="5"/>
  <c r="AF126" i="5"/>
  <c r="AF215" i="5"/>
  <c r="AF82" i="5"/>
  <c r="AF243" i="5"/>
  <c r="AF57" i="5"/>
  <c r="AF233" i="5"/>
  <c r="AF250" i="5"/>
  <c r="AF110" i="5"/>
  <c r="AF143" i="5"/>
  <c r="AF35" i="5"/>
  <c r="AF93" i="5"/>
  <c r="AF81" i="5"/>
  <c r="AF90" i="5"/>
  <c r="AF171" i="5"/>
  <c r="AF228" i="5"/>
  <c r="AF123" i="5"/>
  <c r="AF25" i="5"/>
  <c r="AF192" i="5"/>
  <c r="AF179" i="5"/>
  <c r="AF208" i="5"/>
  <c r="AF74" i="5"/>
  <c r="AF227" i="5"/>
  <c r="AF26" i="5"/>
  <c r="AF173" i="5"/>
  <c r="AF223" i="5"/>
  <c r="AF261" i="5"/>
  <c r="AF71" i="5"/>
  <c r="AF139" i="5"/>
  <c r="AF29" i="5"/>
  <c r="AF16" i="5"/>
  <c r="AF78" i="5"/>
  <c r="AF135" i="5"/>
  <c r="AF222" i="5"/>
  <c r="AF163" i="5"/>
  <c r="AF83" i="5"/>
  <c r="AF245" i="5"/>
  <c r="AF30" i="5"/>
  <c r="AF262" i="5"/>
  <c r="AF63" i="5"/>
  <c r="AF145" i="5"/>
  <c r="AF104" i="5"/>
  <c r="AF231" i="5"/>
  <c r="AF95" i="5"/>
  <c r="AF109" i="5"/>
  <c r="AF42" i="5"/>
  <c r="AF198" i="5"/>
  <c r="AF229" i="5"/>
  <c r="AF100" i="5"/>
  <c r="AF650" i="5"/>
  <c r="AF627" i="5"/>
  <c r="AF706" i="5"/>
  <c r="AF511" i="5"/>
  <c r="AF58" i="5"/>
  <c r="AF213" i="5"/>
  <c r="AF188" i="5"/>
  <c r="AF218" i="5"/>
  <c r="AF182" i="5"/>
  <c r="AF178" i="5"/>
  <c r="AF211" i="5"/>
  <c r="AF24" i="5"/>
  <c r="AF221" i="5"/>
  <c r="AF219" i="5"/>
  <c r="AF117" i="5"/>
  <c r="AF133" i="5"/>
  <c r="AF251" i="5"/>
  <c r="AF290" i="5"/>
  <c r="AF54" i="5"/>
  <c r="AF180" i="5"/>
  <c r="AF51" i="5"/>
  <c r="AF203" i="5"/>
  <c r="AF185" i="5"/>
  <c r="AF160" i="5"/>
  <c r="AF269" i="5"/>
  <c r="AG177" i="5" l="1"/>
  <c r="U177" i="5" s="1"/>
  <c r="AN177" i="5" s="1"/>
  <c r="S177" i="5"/>
  <c r="S100" i="5"/>
  <c r="AG100" i="5"/>
  <c r="U100" i="5" s="1"/>
  <c r="AN100" i="5" s="1"/>
  <c r="S60" i="5"/>
  <c r="AG60" i="5"/>
  <c r="U60" i="5" s="1"/>
  <c r="AN60" i="5" s="1"/>
  <c r="AG119" i="5"/>
  <c r="U119" i="5" s="1"/>
  <c r="AN119" i="5" s="1"/>
  <c r="S119" i="5"/>
  <c r="AG95" i="5"/>
  <c r="U95" i="5" s="1"/>
  <c r="AN95" i="5" s="1"/>
  <c r="S95" i="5"/>
  <c r="AG78" i="5"/>
  <c r="U78" i="5" s="1"/>
  <c r="AN78" i="5" s="1"/>
  <c r="S78" i="5"/>
  <c r="AG27" i="5"/>
  <c r="U27" i="5" s="1"/>
  <c r="AN27" i="5" s="1"/>
  <c r="S27" i="5"/>
  <c r="AG16" i="5"/>
  <c r="S16" i="5"/>
  <c r="AG40" i="5"/>
  <c r="U40" i="5" s="1"/>
  <c r="AN40" i="5" s="1"/>
  <c r="S40" i="5"/>
  <c r="AG71" i="5"/>
  <c r="U71" i="5" s="1"/>
  <c r="AN71" i="5" s="1"/>
  <c r="S71" i="5"/>
  <c r="AG191" i="5"/>
  <c r="U191" i="5" s="1"/>
  <c r="AN191" i="5" s="1"/>
  <c r="S191" i="5"/>
  <c r="S227" i="5"/>
  <c r="AG227" i="5"/>
  <c r="U227" i="5" s="1"/>
  <c r="AN227" i="5" s="1"/>
  <c r="AG131" i="5"/>
  <c r="U131" i="5" s="1"/>
  <c r="AN131" i="5" s="1"/>
  <c r="S131" i="5"/>
  <c r="AG251" i="5"/>
  <c r="U251" i="5" s="1"/>
  <c r="AN251" i="5" s="1"/>
  <c r="S251" i="5"/>
  <c r="S144" i="5"/>
  <c r="AG144" i="5"/>
  <c r="U144" i="5" s="1"/>
  <c r="AN144" i="5" s="1"/>
  <c r="S123" i="5"/>
  <c r="AG123" i="5"/>
  <c r="U123" i="5" s="1"/>
  <c r="AN123" i="5" s="1"/>
  <c r="AG266" i="5"/>
  <c r="U266" i="5" s="1"/>
  <c r="AN266" i="5" s="1"/>
  <c r="S266" i="5"/>
  <c r="AG59" i="5"/>
  <c r="U59" i="5" s="1"/>
  <c r="AN59" i="5" s="1"/>
  <c r="S59" i="5"/>
  <c r="S241" i="5"/>
  <c r="AG241" i="5"/>
  <c r="U241" i="5" s="1"/>
  <c r="AN241" i="5" s="1"/>
  <c r="AG48" i="5"/>
  <c r="U48" i="5" s="1"/>
  <c r="AN48" i="5" s="1"/>
  <c r="S48" i="5"/>
  <c r="S35" i="5"/>
  <c r="AG35" i="5"/>
  <c r="U35" i="5" s="1"/>
  <c r="AN35" i="5" s="1"/>
  <c r="S14" i="5"/>
  <c r="AG14" i="5"/>
  <c r="R14" i="5"/>
  <c r="AG165" i="5"/>
  <c r="U165" i="5" s="1"/>
  <c r="AN165" i="5" s="1"/>
  <c r="S165" i="5"/>
  <c r="AG124" i="5"/>
  <c r="U124" i="5" s="1"/>
  <c r="AN124" i="5" s="1"/>
  <c r="S124" i="5"/>
  <c r="AG267" i="5"/>
  <c r="U267" i="5" s="1"/>
  <c r="AN267" i="5" s="1"/>
  <c r="S267" i="5"/>
  <c r="S86" i="5"/>
  <c r="AG86" i="5"/>
  <c r="U86" i="5" s="1"/>
  <c r="AN86" i="5" s="1"/>
  <c r="S236" i="5"/>
  <c r="AG236" i="5"/>
  <c r="U236" i="5" s="1"/>
  <c r="AN236" i="5" s="1"/>
  <c r="AG36" i="5"/>
  <c r="U36" i="5" s="1"/>
  <c r="AN36" i="5" s="1"/>
  <c r="S36" i="5"/>
  <c r="S207" i="5"/>
  <c r="AG207" i="5"/>
  <c r="U207" i="5" s="1"/>
  <c r="AN207" i="5" s="1"/>
  <c r="AG254" i="5"/>
  <c r="U254" i="5" s="1"/>
  <c r="AN254" i="5" s="1"/>
  <c r="S254" i="5"/>
  <c r="AG258" i="5"/>
  <c r="U258" i="5" s="1"/>
  <c r="AN258" i="5" s="1"/>
  <c r="S258" i="5"/>
  <c r="AG240" i="5"/>
  <c r="U240" i="5" s="1"/>
  <c r="AN240" i="5" s="1"/>
  <c r="S240" i="5"/>
  <c r="AG184" i="5"/>
  <c r="U184" i="5" s="1"/>
  <c r="AN184" i="5" s="1"/>
  <c r="S184" i="5"/>
  <c r="S114" i="5"/>
  <c r="AG114" i="5"/>
  <c r="U114" i="5" s="1"/>
  <c r="AN114" i="5" s="1"/>
  <c r="S213" i="5"/>
  <c r="AG213" i="5"/>
  <c r="U213" i="5" s="1"/>
  <c r="AN213" i="5" s="1"/>
  <c r="AG206" i="5"/>
  <c r="U206" i="5" s="1"/>
  <c r="AN206" i="5" s="1"/>
  <c r="S206" i="5"/>
  <c r="AG87" i="5"/>
  <c r="S87" i="5"/>
  <c r="AG108" i="5"/>
  <c r="U108" i="5" s="1"/>
  <c r="AN108" i="5" s="1"/>
  <c r="S108" i="5"/>
  <c r="AG106" i="5"/>
  <c r="U106" i="5" s="1"/>
  <c r="AN106" i="5" s="1"/>
  <c r="S106" i="5"/>
  <c r="AG162" i="5"/>
  <c r="U162" i="5" s="1"/>
  <c r="AN162" i="5" s="1"/>
  <c r="S162" i="5"/>
  <c r="AG105" i="5"/>
  <c r="U105" i="5" s="1"/>
  <c r="AN105" i="5" s="1"/>
  <c r="S105" i="5"/>
  <c r="AG17" i="5"/>
  <c r="S17" i="5"/>
  <c r="AG190" i="5"/>
  <c r="U190" i="5" s="1"/>
  <c r="AN190" i="5" s="1"/>
  <c r="S190" i="5"/>
  <c r="S136" i="5"/>
  <c r="AG136" i="5"/>
  <c r="U136" i="5" s="1"/>
  <c r="AN136" i="5" s="1"/>
  <c r="AG269" i="5"/>
  <c r="R55" i="5"/>
  <c r="S19" i="5"/>
  <c r="S275" i="5"/>
  <c r="S75" i="5"/>
  <c r="S103" i="5"/>
  <c r="AG76" i="5"/>
  <c r="AG272" i="5"/>
  <c r="R29" i="5"/>
  <c r="R139" i="5"/>
  <c r="S118" i="5"/>
  <c r="S290" i="5"/>
  <c r="S67" i="5"/>
  <c r="R137" i="5"/>
  <c r="S89" i="5"/>
  <c r="AG49" i="5"/>
  <c r="S202" i="5"/>
  <c r="S94" i="5"/>
  <c r="AG277" i="5"/>
  <c r="AG132" i="5"/>
  <c r="R110" i="5"/>
  <c r="S170" i="5"/>
  <c r="R178" i="5"/>
  <c r="R218" i="5"/>
  <c r="S174" i="5"/>
  <c r="AG268" i="5"/>
  <c r="R129" i="5"/>
  <c r="S46" i="5"/>
  <c r="S41" i="5"/>
  <c r="S189" i="5"/>
  <c r="AG226" i="5"/>
  <c r="R149" i="5"/>
  <c r="S130" i="5"/>
  <c r="R85" i="5"/>
  <c r="R34" i="5"/>
  <c r="S639" i="5"/>
  <c r="S570" i="5"/>
  <c r="AG522" i="5"/>
  <c r="AG543" i="5"/>
  <c r="AG349" i="5"/>
  <c r="R691" i="5"/>
  <c r="R596" i="5"/>
  <c r="R678" i="5"/>
  <c r="R301" i="5"/>
  <c r="S392" i="5"/>
  <c r="S697" i="5"/>
  <c r="S438" i="5"/>
  <c r="AG478" i="5"/>
  <c r="R680" i="5"/>
  <c r="R390" i="5"/>
  <c r="R389" i="5"/>
  <c r="S505" i="5"/>
  <c r="AG494" i="5"/>
  <c r="S309" i="5"/>
  <c r="R384" i="5"/>
  <c r="S365" i="5"/>
  <c r="AG484" i="5"/>
  <c r="AG468" i="5"/>
  <c r="S437" i="5"/>
  <c r="R479" i="5"/>
  <c r="AG394" i="5"/>
  <c r="S528" i="5"/>
  <c r="S538" i="5"/>
  <c r="AG363" i="5"/>
  <c r="AG523" i="5"/>
  <c r="S662" i="5"/>
  <c r="S529" i="5"/>
  <c r="S495" i="5"/>
  <c r="S344" i="5"/>
  <c r="S698" i="5"/>
  <c r="S498" i="5"/>
  <c r="R336" i="5"/>
  <c r="AG475" i="5"/>
  <c r="AG310" i="5"/>
  <c r="AG606" i="5"/>
  <c r="R380" i="5"/>
  <c r="S526" i="5"/>
  <c r="R546" i="5"/>
  <c r="S673" i="5"/>
  <c r="S532" i="5"/>
  <c r="R710" i="5"/>
  <c r="R661" i="5"/>
  <c r="S520" i="5"/>
  <c r="R362" i="5"/>
  <c r="S720" i="5"/>
  <c r="S557" i="5"/>
  <c r="S302" i="5"/>
  <c r="AG702" i="5"/>
  <c r="AG688" i="5"/>
  <c r="R556" i="5"/>
  <c r="AG420" i="5"/>
  <c r="AG348" i="5"/>
  <c r="S327" i="5"/>
  <c r="AG726" i="5"/>
  <c r="R323" i="5"/>
  <c r="R311" i="5"/>
  <c r="S453" i="5"/>
  <c r="S625" i="5"/>
  <c r="R455" i="5"/>
  <c r="AG555" i="5"/>
  <c r="S530" i="5"/>
  <c r="AG705" i="5"/>
  <c r="S675" i="5"/>
  <c r="R531" i="5"/>
  <c r="R699" i="5"/>
  <c r="S585" i="5"/>
  <c r="S559" i="5"/>
  <c r="AG398" i="5"/>
  <c r="R98" i="5"/>
  <c r="S291" i="5"/>
  <c r="AG80" i="5"/>
  <c r="R172" i="5"/>
  <c r="S238" i="5"/>
  <c r="AG217" i="5"/>
  <c r="R230" i="5"/>
  <c r="R167" i="5"/>
  <c r="AG70" i="5"/>
  <c r="S168" i="5"/>
  <c r="AG96" i="5"/>
  <c r="AG65" i="5"/>
  <c r="AG112" i="5"/>
  <c r="R31" i="5"/>
  <c r="R269" i="5"/>
  <c r="R264" i="5"/>
  <c r="S140" i="5"/>
  <c r="S273" i="5"/>
  <c r="AG204" i="5"/>
  <c r="S128" i="5"/>
  <c r="AG275" i="5"/>
  <c r="AG75" i="5"/>
  <c r="AG103" i="5"/>
  <c r="AG278" i="5"/>
  <c r="S232" i="5"/>
  <c r="AG29" i="5"/>
  <c r="R115" i="5"/>
  <c r="S66" i="5"/>
  <c r="AG54" i="5"/>
  <c r="R118" i="5"/>
  <c r="R290" i="5"/>
  <c r="R56" i="5"/>
  <c r="R155" i="5"/>
  <c r="S137" i="5"/>
  <c r="R89" i="5"/>
  <c r="R49" i="5"/>
  <c r="AG94" i="5"/>
  <c r="R81" i="5"/>
  <c r="S93" i="5"/>
  <c r="R279" i="5"/>
  <c r="R187" i="5"/>
  <c r="S211" i="5"/>
  <c r="R170" i="5"/>
  <c r="R157" i="5"/>
  <c r="R193" i="5"/>
  <c r="S218" i="5"/>
  <c r="R268" i="5"/>
  <c r="S129" i="5"/>
  <c r="R46" i="5"/>
  <c r="AG41" i="5"/>
  <c r="R189" i="5"/>
  <c r="R226" i="5"/>
  <c r="S149" i="5"/>
  <c r="AG34" i="5"/>
  <c r="AG570" i="5"/>
  <c r="R522" i="5"/>
  <c r="R543" i="5"/>
  <c r="R349" i="5"/>
  <c r="S301" i="5"/>
  <c r="AG392" i="5"/>
  <c r="AG697" i="5"/>
  <c r="R438" i="5"/>
  <c r="S478" i="5"/>
  <c r="S680" i="5"/>
  <c r="AG390" i="5"/>
  <c r="S389" i="5"/>
  <c r="R505" i="5"/>
  <c r="R494" i="5"/>
  <c r="AG309" i="5"/>
  <c r="R632" i="5"/>
  <c r="R305" i="5"/>
  <c r="R578" i="5"/>
  <c r="S576" i="5"/>
  <c r="R560" i="5"/>
  <c r="S434" i="5"/>
  <c r="S407" i="5"/>
  <c r="S519" i="5"/>
  <c r="R364" i="5"/>
  <c r="R730" i="5"/>
  <c r="R677" i="5"/>
  <c r="S586" i="5"/>
  <c r="S503" i="5"/>
  <c r="AG725" i="5"/>
  <c r="S684" i="5"/>
  <c r="S671" i="5"/>
  <c r="AG711" i="5"/>
  <c r="S386" i="5"/>
  <c r="S454" i="5"/>
  <c r="R635" i="5"/>
  <c r="R598" i="5"/>
  <c r="R579" i="5"/>
  <c r="S297" i="5"/>
  <c r="AG715" i="5"/>
  <c r="S410" i="5"/>
  <c r="S459" i="5"/>
  <c r="R647" i="5"/>
  <c r="S509" i="5"/>
  <c r="AG370" i="5"/>
  <c r="S634" i="5"/>
  <c r="AG540" i="5"/>
  <c r="S485" i="5"/>
  <c r="R572" i="5"/>
  <c r="R343" i="5"/>
  <c r="S504" i="5"/>
  <c r="S746" i="5"/>
  <c r="AG696" i="5"/>
  <c r="S353" i="5"/>
  <c r="R314" i="5"/>
  <c r="AG319" i="5"/>
  <c r="R611" i="5"/>
  <c r="AG638" i="5"/>
  <c r="R564" i="5"/>
  <c r="S733" i="5"/>
  <c r="S741" i="5"/>
  <c r="S481" i="5"/>
  <c r="R592" i="5"/>
  <c r="S617" i="5"/>
  <c r="AG658" i="5"/>
  <c r="R516" i="5"/>
  <c r="AG612" i="5"/>
  <c r="S548" i="5"/>
  <c r="AG357" i="5"/>
  <c r="R402" i="5"/>
  <c r="S358" i="5"/>
  <c r="S704" i="5"/>
  <c r="S563" i="5"/>
  <c r="AG347" i="5"/>
  <c r="S432" i="5"/>
  <c r="S600" i="5"/>
  <c r="AG659" i="5"/>
  <c r="AG350" i="5"/>
  <c r="S406" i="5"/>
  <c r="AG565" i="5"/>
  <c r="S573" i="5"/>
  <c r="R551" i="5"/>
  <c r="S339" i="5"/>
  <c r="R299" i="5"/>
  <c r="S614" i="5"/>
  <c r="AG435" i="5"/>
  <c r="S329" i="5"/>
  <c r="AG418" i="5"/>
  <c r="R425" i="5"/>
  <c r="R553" i="5"/>
  <c r="S409" i="5"/>
  <c r="AG441" i="5"/>
  <c r="R374" i="5"/>
  <c r="R554" i="5"/>
  <c r="AG385" i="5"/>
  <c r="R602" i="5"/>
  <c r="S72" i="5"/>
  <c r="S116" i="5"/>
  <c r="R80" i="5"/>
  <c r="R88" i="5"/>
  <c r="R217" i="5"/>
  <c r="S230" i="5"/>
  <c r="S167" i="5"/>
  <c r="R70" i="5"/>
  <c r="S96" i="5"/>
  <c r="AG111" i="5"/>
  <c r="R112" i="5"/>
  <c r="AG31" i="5"/>
  <c r="S269" i="5"/>
  <c r="R225" i="5"/>
  <c r="S264" i="5"/>
  <c r="R140" i="5"/>
  <c r="R273" i="5"/>
  <c r="S204" i="5"/>
  <c r="R128" i="5"/>
  <c r="R275" i="5"/>
  <c r="R75" i="5"/>
  <c r="S278" i="5"/>
  <c r="R232" i="5"/>
  <c r="S29" i="5"/>
  <c r="AG180" i="5"/>
  <c r="AG115" i="5"/>
  <c r="R66" i="5"/>
  <c r="R54" i="5"/>
  <c r="AG118" i="5"/>
  <c r="AG290" i="5"/>
  <c r="AG56" i="5"/>
  <c r="S155" i="5"/>
  <c r="AG89" i="5"/>
  <c r="S37" i="5"/>
  <c r="AG53" i="5"/>
  <c r="R94" i="5"/>
  <c r="R90" i="5"/>
  <c r="S81" i="5"/>
  <c r="R93" i="5"/>
  <c r="S24" i="5"/>
  <c r="AG279" i="5"/>
  <c r="S187" i="5"/>
  <c r="AG211" i="5"/>
  <c r="R102" i="5"/>
  <c r="S157" i="5"/>
  <c r="S193" i="5"/>
  <c r="AG218" i="5"/>
  <c r="R259" i="5"/>
  <c r="R196" i="5"/>
  <c r="AG46" i="5"/>
  <c r="R41" i="5"/>
  <c r="AG189" i="5"/>
  <c r="R186" i="5"/>
  <c r="S209" i="5"/>
  <c r="S153" i="5"/>
  <c r="S23" i="5"/>
  <c r="R428" i="5"/>
  <c r="R652" i="5"/>
  <c r="R412" i="5"/>
  <c r="S419" i="5"/>
  <c r="R666" i="5"/>
  <c r="R742" i="5"/>
  <c r="AG373" i="5"/>
  <c r="AG648" i="5"/>
  <c r="S651" i="5"/>
  <c r="S601" i="5"/>
  <c r="S545" i="5"/>
  <c r="S335" i="5"/>
  <c r="S510" i="5"/>
  <c r="R728" i="5"/>
  <c r="S707" i="5"/>
  <c r="R378" i="5"/>
  <c r="S395" i="5"/>
  <c r="R345" i="5"/>
  <c r="S326" i="5"/>
  <c r="S632" i="5"/>
  <c r="S305" i="5"/>
  <c r="S578" i="5"/>
  <c r="R576" i="5"/>
  <c r="S560" i="5"/>
  <c r="AG434" i="5"/>
  <c r="R407" i="5"/>
  <c r="R519" i="5"/>
  <c r="AG364" i="5"/>
  <c r="S730" i="5"/>
  <c r="S677" i="5"/>
  <c r="R586" i="5"/>
  <c r="R503" i="5"/>
  <c r="R725" i="5"/>
  <c r="R684" i="5"/>
  <c r="R671" i="5"/>
  <c r="S711" i="5"/>
  <c r="R386" i="5"/>
  <c r="R454" i="5"/>
  <c r="AG635" i="5"/>
  <c r="S598" i="5"/>
  <c r="S579" i="5"/>
  <c r="AG297" i="5"/>
  <c r="R715" i="5"/>
  <c r="R410" i="5"/>
  <c r="AG459" i="5"/>
  <c r="AG647" i="5"/>
  <c r="R509" i="5"/>
  <c r="S370" i="5"/>
  <c r="R634" i="5"/>
  <c r="S540" i="5"/>
  <c r="R485" i="5"/>
  <c r="S572" i="5"/>
  <c r="S343" i="5"/>
  <c r="R504" i="5"/>
  <c r="R746" i="5"/>
  <c r="S696" i="5"/>
  <c r="R353" i="5"/>
  <c r="S314" i="5"/>
  <c r="R319" i="5"/>
  <c r="S611" i="5"/>
  <c r="R638" i="5"/>
  <c r="AG564" i="5"/>
  <c r="AG733" i="5"/>
  <c r="R741" i="5"/>
  <c r="AG481" i="5"/>
  <c r="S592" i="5"/>
  <c r="R617" i="5"/>
  <c r="S658" i="5"/>
  <c r="S516" i="5"/>
  <c r="S612" i="5"/>
  <c r="AG548" i="5"/>
  <c r="S357" i="5"/>
  <c r="S402" i="5"/>
  <c r="R358" i="5"/>
  <c r="AG704" i="5"/>
  <c r="R563" i="5"/>
  <c r="R347" i="5"/>
  <c r="AG432" i="5"/>
  <c r="R600" i="5"/>
  <c r="S659" i="5"/>
  <c r="S350" i="5"/>
  <c r="R406" i="5"/>
  <c r="S565" i="5"/>
  <c r="R573" i="5"/>
  <c r="S551" i="5"/>
  <c r="R339" i="5"/>
  <c r="S299" i="5"/>
  <c r="R614" i="5"/>
  <c r="S435" i="5"/>
  <c r="R329" i="5"/>
  <c r="R418" i="5"/>
  <c r="S425" i="5"/>
  <c r="AG553" i="5"/>
  <c r="AG409" i="5"/>
  <c r="R441" i="5"/>
  <c r="S374" i="5"/>
  <c r="S554" i="5"/>
  <c r="R385" i="5"/>
  <c r="S602" i="5"/>
  <c r="R72" i="5"/>
  <c r="AG116" i="5"/>
  <c r="S80" i="5"/>
  <c r="S88" i="5"/>
  <c r="S217" i="5"/>
  <c r="R158" i="5"/>
  <c r="S164" i="5"/>
  <c r="S248" i="5"/>
  <c r="S111" i="5"/>
  <c r="S112" i="5"/>
  <c r="S31" i="5"/>
  <c r="AG18" i="5"/>
  <c r="AG225" i="5"/>
  <c r="R204" i="5"/>
  <c r="S109" i="5"/>
  <c r="R278" i="5"/>
  <c r="R288" i="5"/>
  <c r="R256" i="5"/>
  <c r="R180" i="5"/>
  <c r="S115" i="5"/>
  <c r="AG66" i="5"/>
  <c r="S54" i="5"/>
  <c r="S50" i="5"/>
  <c r="AG61" i="5"/>
  <c r="S56" i="5"/>
  <c r="S166" i="5"/>
  <c r="S141" i="5"/>
  <c r="R37" i="5"/>
  <c r="R53" i="5"/>
  <c r="AG228" i="5"/>
  <c r="R171" i="5"/>
  <c r="AG90" i="5"/>
  <c r="AG81" i="5"/>
  <c r="AG93" i="5"/>
  <c r="R24" i="5"/>
  <c r="S279" i="5"/>
  <c r="R211" i="5"/>
  <c r="AG102" i="5"/>
  <c r="AG193" i="5"/>
  <c r="S281" i="5"/>
  <c r="S259" i="5"/>
  <c r="AG196" i="5"/>
  <c r="R276" i="5"/>
  <c r="S33" i="5"/>
  <c r="S127" i="5"/>
  <c r="S186" i="5"/>
  <c r="R209" i="5"/>
  <c r="R153" i="5"/>
  <c r="R23" i="5"/>
  <c r="S428" i="5"/>
  <c r="S652" i="5"/>
  <c r="S412" i="5"/>
  <c r="R419" i="5"/>
  <c r="S666" i="5"/>
  <c r="S742" i="5"/>
  <c r="R373" i="5"/>
  <c r="R648" i="5"/>
  <c r="R651" i="5"/>
  <c r="R601" i="5"/>
  <c r="R545" i="5"/>
  <c r="R335" i="5"/>
  <c r="R510" i="5"/>
  <c r="S728" i="5"/>
  <c r="AG707" i="5"/>
  <c r="S378" i="5"/>
  <c r="AG395" i="5"/>
  <c r="AG345" i="5"/>
  <c r="AG305" i="5"/>
  <c r="R434" i="5"/>
  <c r="AG407" i="5"/>
  <c r="AG519" i="5"/>
  <c r="S364" i="5"/>
  <c r="AG677" i="5"/>
  <c r="AG586" i="5"/>
  <c r="S725" i="5"/>
  <c r="AG671" i="5"/>
  <c r="R711" i="5"/>
  <c r="AG386" i="5"/>
  <c r="AG454" i="5"/>
  <c r="S635" i="5"/>
  <c r="R297" i="5"/>
  <c r="S715" i="5"/>
  <c r="R459" i="5"/>
  <c r="S647" i="5"/>
  <c r="AG509" i="5"/>
  <c r="R370" i="5"/>
  <c r="R540" i="5"/>
  <c r="AG343" i="5"/>
  <c r="R696" i="5"/>
  <c r="S319" i="5"/>
  <c r="S638" i="5"/>
  <c r="S564" i="5"/>
  <c r="R733" i="5"/>
  <c r="R481" i="5"/>
  <c r="AG592" i="5"/>
  <c r="R658" i="5"/>
  <c r="R612" i="5"/>
  <c r="R548" i="5"/>
  <c r="R357" i="5"/>
  <c r="AG358" i="5"/>
  <c r="R704" i="5"/>
  <c r="S347" i="5"/>
  <c r="R432" i="5"/>
  <c r="R659" i="5"/>
  <c r="R350" i="5"/>
  <c r="AG406" i="5"/>
  <c r="R565" i="5"/>
  <c r="AG551" i="5"/>
  <c r="AG299" i="5"/>
  <c r="R435" i="5"/>
  <c r="AG329" i="5"/>
  <c r="S418" i="5"/>
  <c r="S553" i="5"/>
  <c r="R409" i="5"/>
  <c r="S441" i="5"/>
  <c r="AG374" i="5"/>
  <c r="AG554" i="5"/>
  <c r="S385" i="5"/>
  <c r="AG72" i="5"/>
  <c r="R116" i="5"/>
  <c r="S161" i="5"/>
  <c r="AG88" i="5"/>
  <c r="S45" i="5"/>
  <c r="AG286" i="5"/>
  <c r="S158" i="5"/>
  <c r="R164" i="5"/>
  <c r="R248" i="5"/>
  <c r="R111" i="5"/>
  <c r="R150" i="5"/>
  <c r="R20" i="5"/>
  <c r="S18" i="5"/>
  <c r="S225" i="5"/>
  <c r="S229" i="5"/>
  <c r="AG120" i="5"/>
  <c r="S198" i="5"/>
  <c r="R42" i="5"/>
  <c r="S260" i="5"/>
  <c r="AG109" i="5"/>
  <c r="R222" i="5"/>
  <c r="AG135" i="5"/>
  <c r="S288" i="5"/>
  <c r="S256" i="5"/>
  <c r="S180" i="5"/>
  <c r="S152" i="5"/>
  <c r="R239" i="5"/>
  <c r="R183" i="5"/>
  <c r="R50" i="5"/>
  <c r="R61" i="5"/>
  <c r="R201" i="5"/>
  <c r="S99" i="5"/>
  <c r="R166" i="5"/>
  <c r="R141" i="5"/>
  <c r="S53" i="5"/>
  <c r="R228" i="5"/>
  <c r="S171" i="5"/>
  <c r="S90" i="5"/>
  <c r="S221" i="5"/>
  <c r="R175" i="5"/>
  <c r="R68" i="5"/>
  <c r="AG235" i="5"/>
  <c r="S146" i="5"/>
  <c r="S102" i="5"/>
  <c r="AG215" i="5"/>
  <c r="R126" i="5"/>
  <c r="R281" i="5"/>
  <c r="S196" i="5"/>
  <c r="S276" i="5"/>
  <c r="R33" i="5"/>
  <c r="R127" i="5"/>
  <c r="AG209" i="5"/>
  <c r="AG428" i="5"/>
  <c r="AG419" i="5"/>
  <c r="S373" i="5"/>
  <c r="S648" i="5"/>
  <c r="AG651" i="5"/>
  <c r="AG601" i="5"/>
  <c r="AG545" i="5"/>
  <c r="AG335" i="5"/>
  <c r="R707" i="5"/>
  <c r="AG378" i="5"/>
  <c r="R395" i="5"/>
  <c r="S345" i="5"/>
  <c r="R676" i="5"/>
  <c r="AG354" i="5"/>
  <c r="R473" i="5"/>
  <c r="R360" i="5"/>
  <c r="S346" i="5"/>
  <c r="R399" i="5"/>
  <c r="S690" i="5"/>
  <c r="S541" i="5"/>
  <c r="R622" i="5"/>
  <c r="R517" i="5"/>
  <c r="R667" i="5"/>
  <c r="S571" i="5"/>
  <c r="S322" i="5"/>
  <c r="S616" i="5"/>
  <c r="S352" i="5"/>
  <c r="R656" i="5"/>
  <c r="R303" i="5"/>
  <c r="R595" i="5"/>
  <c r="AG333" i="5"/>
  <c r="S493" i="5"/>
  <c r="AG393" i="5"/>
  <c r="R486" i="5"/>
  <c r="AG439" i="5"/>
  <c r="S536" i="5"/>
  <c r="R408" i="5"/>
  <c r="R744" i="5"/>
  <c r="R643" i="5"/>
  <c r="R436" i="5"/>
  <c r="S312" i="5"/>
  <c r="S508" i="5"/>
  <c r="AG371" i="5"/>
  <c r="R451" i="5"/>
  <c r="S687" i="5"/>
  <c r="S657" i="5"/>
  <c r="AG693" i="5"/>
  <c r="R416" i="5"/>
  <c r="R631" i="5"/>
  <c r="R448" i="5"/>
  <c r="R387" i="5"/>
  <c r="R621" i="5"/>
  <c r="AG462" i="5"/>
  <c r="S496" i="5"/>
  <c r="R515" i="5"/>
  <c r="S467" i="5"/>
  <c r="R581" i="5"/>
  <c r="R401" i="5"/>
  <c r="R670" i="5"/>
  <c r="AG477" i="5"/>
  <c r="AG727" i="5"/>
  <c r="S642" i="5"/>
  <c r="S738" i="5"/>
  <c r="S566" i="5"/>
  <c r="R580" i="5"/>
  <c r="S388" i="5"/>
  <c r="S640" i="5"/>
  <c r="R458" i="5"/>
  <c r="R466" i="5"/>
  <c r="S512" i="5"/>
  <c r="R497" i="5"/>
  <c r="AG400" i="5"/>
  <c r="S719" i="5"/>
  <c r="S624" i="5"/>
  <c r="R588" i="5"/>
  <c r="AG703" i="5"/>
  <c r="R594" i="5"/>
  <c r="S464" i="5"/>
  <c r="R444" i="5"/>
  <c r="S692" i="5"/>
  <c r="S599" i="5"/>
  <c r="R716" i="5"/>
  <c r="AG383" i="5"/>
  <c r="S452" i="5"/>
  <c r="S361" i="5"/>
  <c r="S442" i="5"/>
  <c r="S320" i="5"/>
  <c r="R411" i="5"/>
  <c r="S533" i="5"/>
  <c r="R649" i="5"/>
  <c r="S623" i="5"/>
  <c r="S568" i="5"/>
  <c r="AG216" i="5"/>
  <c r="R151" i="5"/>
  <c r="R161" i="5"/>
  <c r="R244" i="5"/>
  <c r="S122" i="5"/>
  <c r="R45" i="5"/>
  <c r="R286" i="5"/>
  <c r="S150" i="5"/>
  <c r="AG20" i="5"/>
  <c r="R18" i="5"/>
  <c r="R229" i="5"/>
  <c r="S120" i="5"/>
  <c r="R198" i="5"/>
  <c r="S42" i="5"/>
  <c r="R260" i="5"/>
  <c r="R109" i="5"/>
  <c r="S163" i="5"/>
  <c r="S222" i="5"/>
  <c r="R135" i="5"/>
  <c r="R283" i="5"/>
  <c r="R152" i="5"/>
  <c r="AG239" i="5"/>
  <c r="AG183" i="5"/>
  <c r="AG50" i="5"/>
  <c r="S61" i="5"/>
  <c r="S201" i="5"/>
  <c r="R99" i="5"/>
  <c r="S25" i="5"/>
  <c r="S228" i="5"/>
  <c r="R221" i="5"/>
  <c r="S175" i="5"/>
  <c r="S68" i="5"/>
  <c r="R235" i="5"/>
  <c r="R146" i="5"/>
  <c r="S270" i="5"/>
  <c r="R82" i="5"/>
  <c r="S215" i="5"/>
  <c r="S126" i="5"/>
  <c r="AG281" i="5"/>
  <c r="R200" i="5"/>
  <c r="R147" i="5"/>
  <c r="AG276" i="5"/>
  <c r="AG33" i="5"/>
  <c r="R199" i="5"/>
  <c r="S205" i="5"/>
  <c r="AG214" i="5"/>
  <c r="R62" i="5"/>
  <c r="AG271" i="5"/>
  <c r="S58" i="5"/>
  <c r="S672" i="5"/>
  <c r="S507" i="5"/>
  <c r="S583" i="5"/>
  <c r="R569" i="5"/>
  <c r="S331" i="5"/>
  <c r="R636" i="5"/>
  <c r="AG321" i="5"/>
  <c r="AG655" i="5"/>
  <c r="AG732" i="5"/>
  <c r="S372" i="5"/>
  <c r="AG415" i="5"/>
  <c r="R445" i="5"/>
  <c r="R542" i="5"/>
  <c r="S714" i="5"/>
  <c r="S471" i="5"/>
  <c r="S356" i="5"/>
  <c r="S683" i="5"/>
  <c r="R367" i="5"/>
  <c r="S676" i="5"/>
  <c r="R354" i="5"/>
  <c r="S473" i="5"/>
  <c r="S360" i="5"/>
  <c r="AG346" i="5"/>
  <c r="S399" i="5"/>
  <c r="AG690" i="5"/>
  <c r="AG541" i="5"/>
  <c r="S622" i="5"/>
  <c r="S517" i="5"/>
  <c r="S667" i="5"/>
  <c r="R571" i="5"/>
  <c r="AG322" i="5"/>
  <c r="AG616" i="5"/>
  <c r="R352" i="5"/>
  <c r="AG656" i="5"/>
  <c r="S303" i="5"/>
  <c r="S595" i="5"/>
  <c r="R333" i="5"/>
  <c r="R493" i="5"/>
  <c r="S393" i="5"/>
  <c r="S486" i="5"/>
  <c r="R439" i="5"/>
  <c r="AG536" i="5"/>
  <c r="S408" i="5"/>
  <c r="S744" i="5"/>
  <c r="S643" i="5"/>
  <c r="AG436" i="5"/>
  <c r="R312" i="5"/>
  <c r="R508" i="5"/>
  <c r="R371" i="5"/>
  <c r="AG451" i="5"/>
  <c r="R687" i="5"/>
  <c r="AG657" i="5"/>
  <c r="S693" i="5"/>
  <c r="S416" i="5"/>
  <c r="S631" i="5"/>
  <c r="S448" i="5"/>
  <c r="AG387" i="5"/>
  <c r="S621" i="5"/>
  <c r="R462" i="5"/>
  <c r="AG496" i="5"/>
  <c r="S515" i="5"/>
  <c r="R467" i="5"/>
  <c r="S581" i="5"/>
  <c r="AG401" i="5"/>
  <c r="S670" i="5"/>
  <c r="S477" i="5"/>
  <c r="R727" i="5"/>
  <c r="R642" i="5"/>
  <c r="R738" i="5"/>
  <c r="R566" i="5"/>
  <c r="S580" i="5"/>
  <c r="R388" i="5"/>
  <c r="R640" i="5"/>
  <c r="AG458" i="5"/>
  <c r="S466" i="5"/>
  <c r="R512" i="5"/>
  <c r="S497" i="5"/>
  <c r="S400" i="5"/>
  <c r="AG719" i="5"/>
  <c r="AG624" i="5"/>
  <c r="AG588" i="5"/>
  <c r="R703" i="5"/>
  <c r="S594" i="5"/>
  <c r="R464" i="5"/>
  <c r="S444" i="5"/>
  <c r="R692" i="5"/>
  <c r="R599" i="5"/>
  <c r="S716" i="5"/>
  <c r="R383" i="5"/>
  <c r="R452" i="5"/>
  <c r="R361" i="5"/>
  <c r="R442" i="5"/>
  <c r="AG320" i="5"/>
  <c r="AG411" i="5"/>
  <c r="R533" i="5"/>
  <c r="S649" i="5"/>
  <c r="R623" i="5"/>
  <c r="R568" i="5"/>
  <c r="R216" i="5"/>
  <c r="S151" i="5"/>
  <c r="S244" i="5"/>
  <c r="AG122" i="5"/>
  <c r="AG45" i="5"/>
  <c r="S286" i="5"/>
  <c r="AG91" i="5"/>
  <c r="R285" i="5"/>
  <c r="R212" i="5"/>
  <c r="AG292" i="5"/>
  <c r="S20" i="5"/>
  <c r="R73" i="5"/>
  <c r="R120" i="5"/>
  <c r="AG42" i="5"/>
  <c r="R83" i="5"/>
  <c r="R163" i="5"/>
  <c r="S135" i="5"/>
  <c r="R51" i="5"/>
  <c r="R176" i="5"/>
  <c r="S283" i="5"/>
  <c r="S239" i="5"/>
  <c r="S183" i="5"/>
  <c r="S38" i="5"/>
  <c r="S252" i="5"/>
  <c r="R179" i="5"/>
  <c r="R192" i="5"/>
  <c r="R25" i="5"/>
  <c r="S181" i="5"/>
  <c r="R219" i="5"/>
  <c r="AG68" i="5"/>
  <c r="S235" i="5"/>
  <c r="R270" i="5"/>
  <c r="R243" i="5"/>
  <c r="S82" i="5"/>
  <c r="R215" i="5"/>
  <c r="R121" i="5"/>
  <c r="S200" i="5"/>
  <c r="S147" i="5"/>
  <c r="S257" i="5"/>
  <c r="R21" i="5"/>
  <c r="R234" i="5"/>
  <c r="S199" i="5"/>
  <c r="R205" i="5"/>
  <c r="R214" i="5"/>
  <c r="S62" i="5"/>
  <c r="S271" i="5"/>
  <c r="AG58" i="5"/>
  <c r="R672" i="5"/>
  <c r="AG507" i="5"/>
  <c r="R583" i="5"/>
  <c r="AG569" i="5"/>
  <c r="R331" i="5"/>
  <c r="AG636" i="5"/>
  <c r="R321" i="5"/>
  <c r="R655" i="5"/>
  <c r="S732" i="5"/>
  <c r="R372" i="5"/>
  <c r="R415" i="5"/>
  <c r="S445" i="5"/>
  <c r="S542" i="5"/>
  <c r="R714" i="5"/>
  <c r="R471" i="5"/>
  <c r="R356" i="5"/>
  <c r="R683" i="5"/>
  <c r="S367" i="5"/>
  <c r="S354" i="5"/>
  <c r="AG360" i="5"/>
  <c r="R346" i="5"/>
  <c r="AG399" i="5"/>
  <c r="R690" i="5"/>
  <c r="R541" i="5"/>
  <c r="AG571" i="5"/>
  <c r="R322" i="5"/>
  <c r="R616" i="5"/>
  <c r="AG352" i="5"/>
  <c r="S656" i="5"/>
  <c r="AG303" i="5"/>
  <c r="AG595" i="5"/>
  <c r="S333" i="5"/>
  <c r="R393" i="5"/>
  <c r="AG486" i="5"/>
  <c r="S439" i="5"/>
  <c r="R536" i="5"/>
  <c r="S436" i="5"/>
  <c r="AG312" i="5"/>
  <c r="S371" i="5"/>
  <c r="S451" i="5"/>
  <c r="R657" i="5"/>
  <c r="R693" i="5"/>
  <c r="AG631" i="5"/>
  <c r="S387" i="5"/>
  <c r="S462" i="5"/>
  <c r="R496" i="5"/>
  <c r="AG515" i="5"/>
  <c r="S401" i="5"/>
  <c r="AG670" i="5"/>
  <c r="R477" i="5"/>
  <c r="S727" i="5"/>
  <c r="AG566" i="5"/>
  <c r="AG388" i="5"/>
  <c r="S458" i="5"/>
  <c r="AG497" i="5"/>
  <c r="R400" i="5"/>
  <c r="R719" i="5"/>
  <c r="R624" i="5"/>
  <c r="S588" i="5"/>
  <c r="S703" i="5"/>
  <c r="AG464" i="5"/>
  <c r="AG716" i="5"/>
  <c r="S383" i="5"/>
  <c r="AG452" i="5"/>
  <c r="AG361" i="5"/>
  <c r="AG442" i="5"/>
  <c r="R320" i="5"/>
  <c r="S411" i="5"/>
  <c r="AG533" i="5"/>
  <c r="S216" i="5"/>
  <c r="S125" i="5"/>
  <c r="R122" i="5"/>
  <c r="S32" i="5"/>
  <c r="S224" i="5"/>
  <c r="S91" i="5"/>
  <c r="AG285" i="5"/>
  <c r="S212" i="5"/>
  <c r="R292" i="5"/>
  <c r="S253" i="5"/>
  <c r="AG293" i="5"/>
  <c r="S169" i="5"/>
  <c r="AG73" i="5"/>
  <c r="R104" i="5"/>
  <c r="S145" i="5"/>
  <c r="R63" i="5"/>
  <c r="R262" i="5"/>
  <c r="R30" i="5"/>
  <c r="S245" i="5"/>
  <c r="S83" i="5"/>
  <c r="AG282" i="5"/>
  <c r="AG84" i="5"/>
  <c r="AG51" i="5"/>
  <c r="S176" i="5"/>
  <c r="AG283" i="5"/>
  <c r="R101" i="5"/>
  <c r="R210" i="5"/>
  <c r="R38" i="5"/>
  <c r="R252" i="5"/>
  <c r="AG74" i="5"/>
  <c r="AG208" i="5"/>
  <c r="AG179" i="5"/>
  <c r="AG192" i="5"/>
  <c r="S117" i="5"/>
  <c r="R181" i="5"/>
  <c r="S219" i="5"/>
  <c r="S148" i="5"/>
  <c r="R77" i="5"/>
  <c r="AG195" i="5"/>
  <c r="S265" i="5"/>
  <c r="S154" i="5"/>
  <c r="AG270" i="5"/>
  <c r="AG243" i="5"/>
  <c r="AG82" i="5"/>
  <c r="R28" i="5"/>
  <c r="S121" i="5"/>
  <c r="R257" i="5"/>
  <c r="S21" i="5"/>
  <c r="S234" i="5"/>
  <c r="S214" i="5"/>
  <c r="AG62" i="5"/>
  <c r="R271" i="5"/>
  <c r="R58" i="5"/>
  <c r="R507" i="5"/>
  <c r="S569" i="5"/>
  <c r="S636" i="5"/>
  <c r="S321" i="5"/>
  <c r="S655" i="5"/>
  <c r="R732" i="5"/>
  <c r="AG372" i="5"/>
  <c r="S415" i="5"/>
  <c r="AG542" i="5"/>
  <c r="AG714" i="5"/>
  <c r="AG356" i="5"/>
  <c r="S474" i="5"/>
  <c r="S627" i="5"/>
  <c r="R376" i="5"/>
  <c r="S628" i="5"/>
  <c r="S577" i="5"/>
  <c r="S366" i="5"/>
  <c r="R296" i="5"/>
  <c r="AG567" i="5"/>
  <c r="R513" i="5"/>
  <c r="S330" i="5"/>
  <c r="R591" i="5"/>
  <c r="AG377" i="5"/>
  <c r="S295" i="5"/>
  <c r="S590" i="5"/>
  <c r="S405" i="5"/>
  <c r="R382" i="5"/>
  <c r="R610" i="5"/>
  <c r="R325" i="5"/>
  <c r="AG514" i="5"/>
  <c r="R679" i="5"/>
  <c r="AG414" i="5"/>
  <c r="AG450" i="5"/>
  <c r="R332" i="5"/>
  <c r="R423" i="5"/>
  <c r="S587" i="5"/>
  <c r="AG550" i="5"/>
  <c r="S465" i="5"/>
  <c r="R534" i="5"/>
  <c r="S721" i="5"/>
  <c r="S304" i="5"/>
  <c r="R575" i="5"/>
  <c r="R489" i="5"/>
  <c r="S338" i="5"/>
  <c r="R472" i="5"/>
  <c r="S469" i="5"/>
  <c r="R712" i="5"/>
  <c r="R351" i="5"/>
  <c r="S664" i="5"/>
  <c r="R492" i="5"/>
  <c r="S521" i="5"/>
  <c r="S470" i="5"/>
  <c r="AG650" i="5"/>
  <c r="AG355" i="5"/>
  <c r="S396" i="5"/>
  <c r="R404" i="5"/>
  <c r="AG637" i="5"/>
  <c r="S736" i="5"/>
  <c r="S300" i="5"/>
  <c r="R463" i="5"/>
  <c r="S685" i="5"/>
  <c r="S645" i="5"/>
  <c r="AG681" i="5"/>
  <c r="S502" i="5"/>
  <c r="R482" i="5"/>
  <c r="S561" i="5"/>
  <c r="AG713" i="5"/>
  <c r="S527" i="5"/>
  <c r="R429" i="5"/>
  <c r="AG547" i="5"/>
  <c r="S558" i="5"/>
  <c r="AG403" i="5"/>
  <c r="S689" i="5"/>
  <c r="S701" i="5"/>
  <c r="R603" i="5"/>
  <c r="S525" i="5"/>
  <c r="S501" i="5"/>
  <c r="R604" i="5"/>
  <c r="R298" i="5"/>
  <c r="S480" i="5"/>
  <c r="S619" i="5"/>
  <c r="AG328" i="5"/>
  <c r="AG674" i="5"/>
  <c r="S431" i="5"/>
  <c r="S308" i="5"/>
  <c r="R397" i="5"/>
  <c r="AG524" i="5"/>
  <c r="R457" i="5"/>
  <c r="S413" i="5"/>
  <c r="R342" i="5"/>
  <c r="AG739" i="5"/>
  <c r="S274" i="5"/>
  <c r="AG52" i="5"/>
  <c r="R125" i="5"/>
  <c r="R107" i="5"/>
  <c r="AG64" i="5"/>
  <c r="AG32" i="5"/>
  <c r="AG224" i="5"/>
  <c r="R91" i="5"/>
  <c r="S285" i="5"/>
  <c r="AG212" i="5"/>
  <c r="S292" i="5"/>
  <c r="R253" i="5"/>
  <c r="S293" i="5"/>
  <c r="R169" i="5"/>
  <c r="S73" i="5"/>
  <c r="AG104" i="5"/>
  <c r="R145" i="5"/>
  <c r="AG63" i="5"/>
  <c r="S262" i="5"/>
  <c r="S30" i="5"/>
  <c r="R245" i="5"/>
  <c r="AG83" i="5"/>
  <c r="S203" i="5"/>
  <c r="S282" i="5"/>
  <c r="S84" i="5"/>
  <c r="S51" i="5"/>
  <c r="AG194" i="5"/>
  <c r="R138" i="5"/>
  <c r="S101" i="5"/>
  <c r="AG210" i="5"/>
  <c r="AG252" i="5"/>
  <c r="R74" i="5"/>
  <c r="S208" i="5"/>
  <c r="S179" i="5"/>
  <c r="S192" i="5"/>
  <c r="AG289" i="5"/>
  <c r="AG117" i="5"/>
  <c r="R148" i="5"/>
  <c r="S77" i="5"/>
  <c r="S195" i="5"/>
  <c r="R265" i="5"/>
  <c r="R154" i="5"/>
  <c r="R57" i="5"/>
  <c r="S243" i="5"/>
  <c r="R182" i="5"/>
  <c r="AG28" i="5"/>
  <c r="AG121" i="5"/>
  <c r="AG237" i="5"/>
  <c r="R247" i="5"/>
  <c r="S284" i="5"/>
  <c r="R197" i="5"/>
  <c r="S44" i="5"/>
  <c r="AG313" i="5"/>
  <c r="S476" i="5"/>
  <c r="AG381" i="5"/>
  <c r="R724" i="5"/>
  <c r="R511" i="5"/>
  <c r="AG324" i="5"/>
  <c r="R307" i="5"/>
  <c r="S447" i="5"/>
  <c r="R717" i="5"/>
  <c r="S663" i="5"/>
  <c r="AG359" i="5"/>
  <c r="AG461" i="5"/>
  <c r="AG706" i="5"/>
  <c r="S549" i="5"/>
  <c r="S686" i="5"/>
  <c r="S537" i="5"/>
  <c r="R641" i="5"/>
  <c r="S735" i="5"/>
  <c r="S368" i="5"/>
  <c r="R474" i="5"/>
  <c r="R627" i="5"/>
  <c r="S376" i="5"/>
  <c r="AG628" i="5"/>
  <c r="R577" i="5"/>
  <c r="R366" i="5"/>
  <c r="S296" i="5"/>
  <c r="R567" i="5"/>
  <c r="S513" i="5"/>
  <c r="AG330" i="5"/>
  <c r="AG591" i="5"/>
  <c r="S377" i="5"/>
  <c r="AG295" i="5"/>
  <c r="R590" i="5"/>
  <c r="AG405" i="5"/>
  <c r="S382" i="5"/>
  <c r="S610" i="5"/>
  <c r="S325" i="5"/>
  <c r="S514" i="5"/>
  <c r="S679" i="5"/>
  <c r="S414" i="5"/>
  <c r="S450" i="5"/>
  <c r="S332" i="5"/>
  <c r="AG423" i="5"/>
  <c r="R587" i="5"/>
  <c r="R550" i="5"/>
  <c r="R465" i="5"/>
  <c r="AG534" i="5"/>
  <c r="AG721" i="5"/>
  <c r="AG304" i="5"/>
  <c r="S575" i="5"/>
  <c r="S489" i="5"/>
  <c r="R338" i="5"/>
  <c r="S472" i="5"/>
  <c r="AG469" i="5"/>
  <c r="AG712" i="5"/>
  <c r="S351" i="5"/>
  <c r="R664" i="5"/>
  <c r="S492" i="5"/>
  <c r="AG521" i="5"/>
  <c r="R470" i="5"/>
  <c r="S650" i="5"/>
  <c r="S355" i="5"/>
  <c r="R396" i="5"/>
  <c r="AG404" i="5"/>
  <c r="R637" i="5"/>
  <c r="R736" i="5"/>
  <c r="AG300" i="5"/>
  <c r="S463" i="5"/>
  <c r="R685" i="5"/>
  <c r="R645" i="5"/>
  <c r="R681" i="5"/>
  <c r="R502" i="5"/>
  <c r="S482" i="5"/>
  <c r="R561" i="5"/>
  <c r="S713" i="5"/>
  <c r="AG527" i="5"/>
  <c r="AG429" i="5"/>
  <c r="R547" i="5"/>
  <c r="R558" i="5"/>
  <c r="R403" i="5"/>
  <c r="R689" i="5"/>
  <c r="R701" i="5"/>
  <c r="S603" i="5"/>
  <c r="AG525" i="5"/>
  <c r="R501" i="5"/>
  <c r="S604" i="5"/>
  <c r="S298" i="5"/>
  <c r="R480" i="5"/>
  <c r="AG619" i="5"/>
  <c r="S328" i="5"/>
  <c r="R674" i="5"/>
  <c r="AG431" i="5"/>
  <c r="AG308" i="5"/>
  <c r="S397" i="5"/>
  <c r="S524" i="5"/>
  <c r="S457" i="5"/>
  <c r="R413" i="5"/>
  <c r="AG342" i="5"/>
  <c r="S739" i="5"/>
  <c r="AG274" i="5"/>
  <c r="R52" i="5"/>
  <c r="R220" i="5"/>
  <c r="S107" i="5"/>
  <c r="R64" i="5"/>
  <c r="R32" i="5"/>
  <c r="R224" i="5"/>
  <c r="S263" i="5"/>
  <c r="S280" i="5"/>
  <c r="S113" i="5"/>
  <c r="AG253" i="5"/>
  <c r="R293" i="5"/>
  <c r="S231" i="5"/>
  <c r="S104" i="5"/>
  <c r="S63" i="5"/>
  <c r="AG30" i="5"/>
  <c r="AG79" i="5"/>
  <c r="R203" i="5"/>
  <c r="R282" i="5"/>
  <c r="R84" i="5"/>
  <c r="AG39" i="5"/>
  <c r="S134" i="5"/>
  <c r="S194" i="5"/>
  <c r="S138" i="5"/>
  <c r="S210" i="5"/>
  <c r="R173" i="5"/>
  <c r="R26" i="5"/>
  <c r="S74" i="5"/>
  <c r="R208" i="5"/>
  <c r="S133" i="5"/>
  <c r="R289" i="5"/>
  <c r="R117" i="5"/>
  <c r="S249" i="5"/>
  <c r="S255" i="5"/>
  <c r="R195" i="5"/>
  <c r="AG233" i="5"/>
  <c r="AG57" i="5"/>
  <c r="AG47" i="5"/>
  <c r="AG182" i="5"/>
  <c r="S28" i="5"/>
  <c r="R242" i="5"/>
  <c r="R237" i="5"/>
  <c r="R188" i="5"/>
  <c r="S97" i="5"/>
  <c r="AG69" i="5"/>
  <c r="S247" i="5"/>
  <c r="R284" i="5"/>
  <c r="AG197" i="5"/>
  <c r="AG44" i="5"/>
  <c r="S313" i="5"/>
  <c r="R476" i="5"/>
  <c r="R381" i="5"/>
  <c r="S724" i="5"/>
  <c r="S511" i="5"/>
  <c r="R324" i="5"/>
  <c r="AG307" i="5"/>
  <c r="AG447" i="5"/>
  <c r="S717" i="5"/>
  <c r="AG663" i="5"/>
  <c r="R359" i="5"/>
  <c r="R461" i="5"/>
  <c r="R706" i="5"/>
  <c r="AG549" i="5"/>
  <c r="R686" i="5"/>
  <c r="R537" i="5"/>
  <c r="S641" i="5"/>
  <c r="R735" i="5"/>
  <c r="R368" i="5"/>
  <c r="AG474" i="5"/>
  <c r="AG376" i="5"/>
  <c r="R628" i="5"/>
  <c r="AG296" i="5"/>
  <c r="S567" i="5"/>
  <c r="R330" i="5"/>
  <c r="S591" i="5"/>
  <c r="R377" i="5"/>
  <c r="R295" i="5"/>
  <c r="AG590" i="5"/>
  <c r="R405" i="5"/>
  <c r="AG382" i="5"/>
  <c r="AG325" i="5"/>
  <c r="R514" i="5"/>
  <c r="AG679" i="5"/>
  <c r="R414" i="5"/>
  <c r="R450" i="5"/>
  <c r="S423" i="5"/>
  <c r="AG587" i="5"/>
  <c r="S550" i="5"/>
  <c r="S534" i="5"/>
  <c r="R721" i="5"/>
  <c r="R304" i="5"/>
  <c r="R469" i="5"/>
  <c r="S712" i="5"/>
  <c r="AG664" i="5"/>
  <c r="R521" i="5"/>
  <c r="R650" i="5"/>
  <c r="R355" i="5"/>
  <c r="S404" i="5"/>
  <c r="S637" i="5"/>
  <c r="R300" i="5"/>
  <c r="AG645" i="5"/>
  <c r="S681" i="5"/>
  <c r="R713" i="5"/>
  <c r="R527" i="5"/>
  <c r="S429" i="5"/>
  <c r="S547" i="5"/>
  <c r="AG558" i="5"/>
  <c r="S403" i="5"/>
  <c r="AG701" i="5"/>
  <c r="R525" i="5"/>
  <c r="AG604" i="5"/>
  <c r="AG298" i="5"/>
  <c r="R619" i="5"/>
  <c r="R328" i="5"/>
  <c r="S674" i="5"/>
  <c r="R431" i="5"/>
  <c r="R308" i="5"/>
  <c r="R524" i="5"/>
  <c r="S342" i="5"/>
  <c r="R739" i="5"/>
  <c r="R274" i="5"/>
  <c r="S52" i="5"/>
  <c r="AG92" i="5"/>
  <c r="S220" i="5"/>
  <c r="AG107" i="5"/>
  <c r="S64" i="5"/>
  <c r="R22" i="5"/>
  <c r="R294" i="5"/>
  <c r="R263" i="5"/>
  <c r="R280" i="5"/>
  <c r="R113" i="5"/>
  <c r="S156" i="5"/>
  <c r="AG43" i="5"/>
  <c r="S287" i="5"/>
  <c r="R231" i="5"/>
  <c r="R160" i="5"/>
  <c r="R159" i="5"/>
  <c r="S55" i="5"/>
  <c r="S185" i="5"/>
  <c r="AG19" i="5"/>
  <c r="R79" i="5"/>
  <c r="R76" i="5"/>
  <c r="R272" i="5"/>
  <c r="S39" i="5"/>
  <c r="R134" i="5"/>
  <c r="R194" i="5"/>
  <c r="R261" i="5"/>
  <c r="R223" i="5"/>
  <c r="S173" i="5"/>
  <c r="S26" i="5"/>
  <c r="AG67" i="5"/>
  <c r="R133" i="5"/>
  <c r="S289" i="5"/>
  <c r="R142" i="5"/>
  <c r="R249" i="5"/>
  <c r="R255" i="5"/>
  <c r="S277" i="5"/>
  <c r="S132" i="5"/>
  <c r="R143" i="5"/>
  <c r="S110" i="5"/>
  <c r="S250" i="5"/>
  <c r="R233" i="5"/>
  <c r="S57" i="5"/>
  <c r="R47" i="5"/>
  <c r="S182" i="5"/>
  <c r="S246" i="5"/>
  <c r="AG242" i="5"/>
  <c r="S237" i="5"/>
  <c r="S188" i="5"/>
  <c r="R97" i="5"/>
  <c r="R69" i="5"/>
  <c r="AG284" i="5"/>
  <c r="S197" i="5"/>
  <c r="R44" i="5"/>
  <c r="R313" i="5"/>
  <c r="S381" i="5"/>
  <c r="AG724" i="5"/>
  <c r="S324" i="5"/>
  <c r="S307" i="5"/>
  <c r="R447" i="5"/>
  <c r="AG717" i="5"/>
  <c r="R663" i="5"/>
  <c r="S359" i="5"/>
  <c r="S461" i="5"/>
  <c r="S706" i="5"/>
  <c r="R549" i="5"/>
  <c r="AG537" i="5"/>
  <c r="AG368" i="5"/>
  <c r="S562" i="5"/>
  <c r="AG384" i="5"/>
  <c r="R365" i="5"/>
  <c r="S484" i="5"/>
  <c r="S468" i="5"/>
  <c r="AG437" i="5"/>
  <c r="S479" i="5"/>
  <c r="R394" i="5"/>
  <c r="S722" i="5"/>
  <c r="R613" i="5"/>
  <c r="S620" i="5"/>
  <c r="AG528" i="5"/>
  <c r="R538" i="5"/>
  <c r="R363" i="5"/>
  <c r="S523" i="5"/>
  <c r="R668" i="5"/>
  <c r="S629" i="5"/>
  <c r="R440" i="5"/>
  <c r="S446" i="5"/>
  <c r="AG662" i="5"/>
  <c r="S607" i="5"/>
  <c r="R424" i="5"/>
  <c r="R529" i="5"/>
  <c r="R460" i="5"/>
  <c r="R495" i="5"/>
  <c r="AG344" i="5"/>
  <c r="AG698" i="5"/>
  <c r="S745" i="5"/>
  <c r="R498" i="5"/>
  <c r="R499" i="5"/>
  <c r="AG336" i="5"/>
  <c r="S475" i="5"/>
  <c r="R544" i="5"/>
  <c r="S310" i="5"/>
  <c r="R606" i="5"/>
  <c r="S380" i="5"/>
  <c r="AG526" i="5"/>
  <c r="S546" i="5"/>
  <c r="AG673" i="5"/>
  <c r="R532" i="5"/>
  <c r="S710" i="5"/>
  <c r="R737" i="5"/>
  <c r="AG661" i="5"/>
  <c r="R520" i="5"/>
  <c r="AG362" i="5"/>
  <c r="AG720" i="5"/>
  <c r="R557" i="5"/>
  <c r="S456" i="5"/>
  <c r="R302" i="5"/>
  <c r="R702" i="5"/>
  <c r="R443" i="5"/>
  <c r="S688" i="5"/>
  <c r="AG556" i="5"/>
  <c r="S582" i="5"/>
  <c r="S420" i="5"/>
  <c r="R348" i="5"/>
  <c r="AG327" i="5"/>
  <c r="R726" i="5"/>
  <c r="S417" i="5"/>
  <c r="S323" i="5"/>
  <c r="S316" i="5"/>
  <c r="R615" i="5"/>
  <c r="R490" i="5"/>
  <c r="AG311" i="5"/>
  <c r="R453" i="5"/>
  <c r="AG625" i="5"/>
  <c r="AG455" i="5"/>
  <c r="S589" i="5"/>
  <c r="R555" i="5"/>
  <c r="R530" i="5"/>
  <c r="R422" i="5"/>
  <c r="S705" i="5"/>
  <c r="AG675" i="5"/>
  <c r="AG531" i="5"/>
  <c r="AG699" i="5"/>
  <c r="R421" i="5"/>
  <c r="R585" i="5"/>
  <c r="AG559" i="5"/>
  <c r="R398" i="5"/>
  <c r="S506" i="5"/>
  <c r="S98" i="5"/>
  <c r="R291" i="5"/>
  <c r="S92" i="5"/>
  <c r="R238" i="5"/>
  <c r="AG22" i="5"/>
  <c r="S294" i="5"/>
  <c r="AG113" i="5"/>
  <c r="R65" i="5"/>
  <c r="R156" i="5"/>
  <c r="R43" i="5"/>
  <c r="R287" i="5"/>
  <c r="S160" i="5"/>
  <c r="S159" i="5"/>
  <c r="AG55" i="5"/>
  <c r="R185" i="5"/>
  <c r="R19" i="5"/>
  <c r="S79" i="5"/>
  <c r="R103" i="5"/>
  <c r="S76" i="5"/>
  <c r="S272" i="5"/>
  <c r="S139" i="5"/>
  <c r="S261" i="5"/>
  <c r="S223" i="5"/>
  <c r="R67" i="5"/>
  <c r="AG133" i="5"/>
  <c r="S49" i="5"/>
  <c r="R202" i="5"/>
  <c r="S142" i="5"/>
  <c r="R277" i="5"/>
  <c r="R132" i="5"/>
  <c r="S143" i="5"/>
  <c r="AG110" i="5"/>
  <c r="R250" i="5"/>
  <c r="S233" i="5"/>
  <c r="S178" i="5"/>
  <c r="S47" i="5"/>
  <c r="R246" i="5"/>
  <c r="S242" i="5"/>
  <c r="R174" i="5"/>
  <c r="S268" i="5"/>
  <c r="AG97" i="5"/>
  <c r="S69" i="5"/>
  <c r="S226" i="5"/>
  <c r="R130" i="5"/>
  <c r="S85" i="5"/>
  <c r="S34" i="5"/>
  <c r="R639" i="5"/>
  <c r="R570" i="5"/>
  <c r="S522" i="5"/>
  <c r="S543" i="5"/>
  <c r="S349" i="5"/>
  <c r="S691" i="5"/>
  <c r="S596" i="5"/>
  <c r="S678" i="5"/>
  <c r="AG301" i="5"/>
  <c r="R392" i="5"/>
  <c r="R697" i="5"/>
  <c r="AG438" i="5"/>
  <c r="R478" i="5"/>
  <c r="AG680" i="5"/>
  <c r="S390" i="5"/>
  <c r="AG389" i="5"/>
  <c r="AG505" i="5"/>
  <c r="S494" i="5"/>
  <c r="R309" i="5"/>
  <c r="R562" i="5"/>
  <c r="S384" i="5"/>
  <c r="AG365" i="5"/>
  <c r="R484" i="5"/>
  <c r="R468" i="5"/>
  <c r="R437" i="5"/>
  <c r="AG479" i="5"/>
  <c r="S394" i="5"/>
  <c r="R722" i="5"/>
  <c r="S613" i="5"/>
  <c r="R620" i="5"/>
  <c r="R528" i="5"/>
  <c r="AG538" i="5"/>
  <c r="S363" i="5"/>
  <c r="R523" i="5"/>
  <c r="S668" i="5"/>
  <c r="R629" i="5"/>
  <c r="S440" i="5"/>
  <c r="R446" i="5"/>
  <c r="R662" i="5"/>
  <c r="R607" i="5"/>
  <c r="S424" i="5"/>
  <c r="AG529" i="5"/>
  <c r="S460" i="5"/>
  <c r="AG495" i="5"/>
  <c r="R344" i="5"/>
  <c r="R698" i="5"/>
  <c r="R745" i="5"/>
  <c r="AG498" i="5"/>
  <c r="S499" i="5"/>
  <c r="S336" i="5"/>
  <c r="R475" i="5"/>
  <c r="S544" i="5"/>
  <c r="R310" i="5"/>
  <c r="S606" i="5"/>
  <c r="AG380" i="5"/>
  <c r="R526" i="5"/>
  <c r="AG546" i="5"/>
  <c r="R673" i="5"/>
  <c r="AG532" i="5"/>
  <c r="AG710" i="5"/>
  <c r="S737" i="5"/>
  <c r="S661" i="5"/>
  <c r="AG520" i="5"/>
  <c r="S362" i="5"/>
  <c r="R720" i="5"/>
  <c r="AG557" i="5"/>
  <c r="R456" i="5"/>
  <c r="AG302" i="5"/>
  <c r="S702" i="5"/>
  <c r="S443" i="5"/>
  <c r="R688" i="5"/>
  <c r="S556" i="5"/>
  <c r="R582" i="5"/>
  <c r="R420" i="5"/>
  <c r="S348" i="5"/>
  <c r="R327" i="5"/>
  <c r="S726" i="5"/>
  <c r="R417" i="5"/>
  <c r="AG323" i="5"/>
  <c r="R316" i="5"/>
  <c r="S615" i="5"/>
  <c r="S490" i="5"/>
  <c r="S311" i="5"/>
  <c r="AG453" i="5"/>
  <c r="R625" i="5"/>
  <c r="S455" i="5"/>
  <c r="R589" i="5"/>
  <c r="S555" i="5"/>
  <c r="AG530" i="5"/>
  <c r="S422" i="5"/>
  <c r="R705" i="5"/>
  <c r="R675" i="5"/>
  <c r="S531" i="5"/>
  <c r="S699" i="5"/>
  <c r="S421" i="5"/>
  <c r="AG585" i="5"/>
  <c r="R559" i="5"/>
  <c r="S398" i="5"/>
  <c r="R506" i="5"/>
  <c r="AG98" i="5"/>
  <c r="AG291" i="5"/>
  <c r="R92" i="5"/>
  <c r="S172" i="5"/>
  <c r="AG238" i="5"/>
  <c r="S22" i="5"/>
  <c r="AG294" i="5"/>
  <c r="S70" i="5"/>
  <c r="R168" i="5"/>
  <c r="R96" i="5"/>
  <c r="S65" i="5"/>
  <c r="S43" i="5"/>
  <c r="AG287" i="5"/>
  <c r="U287" i="5" l="1"/>
  <c r="G43" i="6"/>
  <c r="F43" i="12"/>
  <c r="G65" i="6"/>
  <c r="F65" i="12"/>
  <c r="E96" i="12"/>
  <c r="F96" i="6"/>
  <c r="E168" i="12"/>
  <c r="F168" i="6"/>
  <c r="F70" i="12"/>
  <c r="G70" i="6"/>
  <c r="U294" i="5"/>
  <c r="F22" i="12"/>
  <c r="G22" i="6"/>
  <c r="U238" i="5"/>
  <c r="F172" i="12"/>
  <c r="G172" i="6"/>
  <c r="F92" i="6"/>
  <c r="E92" i="12"/>
  <c r="U291" i="5"/>
  <c r="U98" i="5"/>
  <c r="E506" i="12"/>
  <c r="F506" i="6"/>
  <c r="G398" i="6"/>
  <c r="F398" i="12"/>
  <c r="E559" i="12"/>
  <c r="F559" i="6"/>
  <c r="U585" i="5"/>
  <c r="G421" i="6"/>
  <c r="F421" i="12"/>
  <c r="G699" i="6"/>
  <c r="F699" i="12"/>
  <c r="F531" i="12"/>
  <c r="G531" i="6"/>
  <c r="F675" i="6"/>
  <c r="E675" i="12"/>
  <c r="F705" i="6"/>
  <c r="E705" i="12"/>
  <c r="G422" i="6"/>
  <c r="F422" i="12"/>
  <c r="U530" i="5"/>
  <c r="G555" i="6"/>
  <c r="F555" i="12"/>
  <c r="F589" i="6"/>
  <c r="E589" i="12"/>
  <c r="G455" i="6"/>
  <c r="F455" i="12"/>
  <c r="E625" i="12"/>
  <c r="F625" i="6"/>
  <c r="U453" i="5"/>
  <c r="F311" i="12"/>
  <c r="G311" i="6"/>
  <c r="G490" i="6"/>
  <c r="F490" i="12"/>
  <c r="G615" i="6"/>
  <c r="F615" i="12"/>
  <c r="E316" i="12"/>
  <c r="F316" i="6"/>
  <c r="U323" i="5"/>
  <c r="F417" i="6"/>
  <c r="E417" i="12"/>
  <c r="G726" i="6"/>
  <c r="F726" i="12"/>
  <c r="E327" i="12"/>
  <c r="F327" i="6"/>
  <c r="F348" i="12"/>
  <c r="G348" i="6"/>
  <c r="E420" i="12"/>
  <c r="F420" i="6"/>
  <c r="E582" i="12"/>
  <c r="F582" i="6"/>
  <c r="F556" i="12"/>
  <c r="G556" i="6"/>
  <c r="E688" i="12"/>
  <c r="F688" i="6"/>
  <c r="G443" i="6"/>
  <c r="F443" i="12"/>
  <c r="F702" i="12"/>
  <c r="G702" i="6"/>
  <c r="U302" i="5"/>
  <c r="E456" i="12"/>
  <c r="F456" i="6"/>
  <c r="U557" i="5"/>
  <c r="E720" i="12"/>
  <c r="F720" i="6"/>
  <c r="F362" i="12"/>
  <c r="G362" i="6"/>
  <c r="U520" i="5"/>
  <c r="F661" i="12"/>
  <c r="G661" i="6"/>
  <c r="G737" i="6"/>
  <c r="F737" i="12"/>
  <c r="U710" i="5"/>
  <c r="U532" i="5"/>
  <c r="F673" i="6"/>
  <c r="E673" i="12"/>
  <c r="U546" i="5"/>
  <c r="F526" i="6"/>
  <c r="E526" i="12"/>
  <c r="U380" i="5"/>
  <c r="G606" i="6"/>
  <c r="F606" i="12"/>
  <c r="F310" i="6"/>
  <c r="E310" i="12"/>
  <c r="F544" i="12"/>
  <c r="G544" i="6"/>
  <c r="E475" i="12"/>
  <c r="F475" i="6"/>
  <c r="F336" i="12"/>
  <c r="G336" i="6"/>
  <c r="F499" i="12"/>
  <c r="G499" i="6"/>
  <c r="U498" i="5"/>
  <c r="F745" i="6"/>
  <c r="E745" i="12"/>
  <c r="F698" i="6"/>
  <c r="E698" i="12"/>
  <c r="F344" i="6"/>
  <c r="E344" i="12"/>
  <c r="U495" i="5"/>
  <c r="F460" i="12"/>
  <c r="G460" i="6"/>
  <c r="U529" i="5"/>
  <c r="F424" i="12"/>
  <c r="G424" i="6"/>
  <c r="F607" i="6"/>
  <c r="E607" i="12"/>
  <c r="E662" i="12"/>
  <c r="F662" i="6"/>
  <c r="F446" i="6"/>
  <c r="E446" i="12"/>
  <c r="G440" i="6"/>
  <c r="F440" i="12"/>
  <c r="E629" i="12"/>
  <c r="F629" i="6"/>
  <c r="F668" i="12"/>
  <c r="G668" i="6"/>
  <c r="E523" i="12"/>
  <c r="F523" i="6"/>
  <c r="G363" i="6"/>
  <c r="F363" i="12"/>
  <c r="U538" i="5"/>
  <c r="F528" i="6"/>
  <c r="E528" i="12"/>
  <c r="F620" i="6"/>
  <c r="E620" i="12"/>
  <c r="F613" i="12"/>
  <c r="G613" i="6"/>
  <c r="E722" i="12"/>
  <c r="F722" i="6"/>
  <c r="F394" i="12"/>
  <c r="G394" i="6"/>
  <c r="U479" i="5"/>
  <c r="F437" i="6"/>
  <c r="E437" i="12"/>
  <c r="F468" i="6"/>
  <c r="E468" i="12"/>
  <c r="E484" i="12"/>
  <c r="F484" i="6"/>
  <c r="U365" i="5"/>
  <c r="F384" i="12"/>
  <c r="G384" i="6"/>
  <c r="E562" i="12"/>
  <c r="F562" i="6"/>
  <c r="E309" i="12"/>
  <c r="F309" i="6"/>
  <c r="F494" i="12"/>
  <c r="G494" i="6"/>
  <c r="U505" i="5"/>
  <c r="U389" i="5"/>
  <c r="G390" i="6"/>
  <c r="F390" i="12"/>
  <c r="U680" i="5"/>
  <c r="E478" i="12"/>
  <c r="F478" i="6"/>
  <c r="U438" i="5"/>
  <c r="F697" i="6"/>
  <c r="E697" i="12"/>
  <c r="E392" i="12"/>
  <c r="F392" i="6"/>
  <c r="U301" i="5"/>
  <c r="F678" i="12"/>
  <c r="G678" i="6"/>
  <c r="F596" i="12"/>
  <c r="G596" i="6"/>
  <c r="G691" i="6"/>
  <c r="F691" i="12"/>
  <c r="G349" i="6"/>
  <c r="F349" i="12"/>
  <c r="G543" i="6"/>
  <c r="F543" i="12"/>
  <c r="G522" i="6"/>
  <c r="F522" i="12"/>
  <c r="F570" i="6"/>
  <c r="E570" i="12"/>
  <c r="E639" i="12"/>
  <c r="F639" i="6"/>
  <c r="G34" i="6"/>
  <c r="F34" i="12"/>
  <c r="G85" i="6"/>
  <c r="F85" i="12"/>
  <c r="F130" i="6"/>
  <c r="E130" i="12"/>
  <c r="G226" i="6"/>
  <c r="F226" i="12"/>
  <c r="F69" i="12"/>
  <c r="G69" i="6"/>
  <c r="U97" i="5"/>
  <c r="F268" i="12"/>
  <c r="G268" i="6"/>
  <c r="E174" i="12"/>
  <c r="F174" i="6"/>
  <c r="G242" i="6"/>
  <c r="F242" i="12"/>
  <c r="E246" i="12"/>
  <c r="F246" i="6"/>
  <c r="F47" i="12"/>
  <c r="G47" i="6"/>
  <c r="F178" i="12"/>
  <c r="G178" i="6"/>
  <c r="F233" i="12"/>
  <c r="G233" i="6"/>
  <c r="F250" i="6"/>
  <c r="E250" i="12"/>
  <c r="U110" i="5"/>
  <c r="F143" i="12"/>
  <c r="G143" i="6"/>
  <c r="F132" i="6"/>
  <c r="E132" i="12"/>
  <c r="E277" i="12"/>
  <c r="F277" i="6"/>
  <c r="G142" i="6"/>
  <c r="F142" i="12"/>
  <c r="F202" i="6"/>
  <c r="E202" i="12"/>
  <c r="F49" i="12"/>
  <c r="G49" i="6"/>
  <c r="U133" i="5"/>
  <c r="F67" i="6"/>
  <c r="E67" i="12"/>
  <c r="F223" i="12"/>
  <c r="G223" i="6"/>
  <c r="G261" i="6"/>
  <c r="F261" i="12"/>
  <c r="G139" i="6"/>
  <c r="F139" i="12"/>
  <c r="F272" i="12"/>
  <c r="G272" i="6"/>
  <c r="G76" i="6"/>
  <c r="F76" i="12"/>
  <c r="E103" i="12"/>
  <c r="F103" i="6"/>
  <c r="F79" i="12"/>
  <c r="G79" i="6"/>
  <c r="E19" i="12"/>
  <c r="F19" i="6"/>
  <c r="F185" i="6"/>
  <c r="E185" i="12"/>
  <c r="U55" i="5"/>
  <c r="G159" i="6"/>
  <c r="F159" i="12"/>
  <c r="F160" i="12"/>
  <c r="G160" i="6"/>
  <c r="F287" i="6"/>
  <c r="E287" i="12"/>
  <c r="E43" i="12"/>
  <c r="F43" i="6"/>
  <c r="F156" i="6"/>
  <c r="E156" i="12"/>
  <c r="E65" i="12"/>
  <c r="F65" i="6"/>
  <c r="U113" i="5"/>
  <c r="F294" i="12"/>
  <c r="G294" i="6"/>
  <c r="U22" i="5"/>
  <c r="F238" i="6"/>
  <c r="E238" i="12"/>
  <c r="F92" i="12"/>
  <c r="G92" i="6"/>
  <c r="F291" i="6"/>
  <c r="E291" i="12"/>
  <c r="G98" i="6"/>
  <c r="F98" i="12"/>
  <c r="F506" i="12"/>
  <c r="G506" i="6"/>
  <c r="F398" i="6"/>
  <c r="E398" i="12"/>
  <c r="U559" i="5"/>
  <c r="F585" i="6"/>
  <c r="E585" i="12"/>
  <c r="E421" i="12"/>
  <c r="F421" i="6"/>
  <c r="U699" i="5"/>
  <c r="U531" i="5"/>
  <c r="U675" i="5"/>
  <c r="F705" i="12"/>
  <c r="G705" i="6"/>
  <c r="F422" i="6"/>
  <c r="E422" i="12"/>
  <c r="E530" i="12"/>
  <c r="F530" i="6"/>
  <c r="F555" i="6"/>
  <c r="E555" i="12"/>
  <c r="F589" i="12"/>
  <c r="G589" i="6"/>
  <c r="U455" i="5"/>
  <c r="U625" i="5"/>
  <c r="E453" i="12"/>
  <c r="F453" i="6"/>
  <c r="U311" i="5"/>
  <c r="F490" i="6"/>
  <c r="E490" i="12"/>
  <c r="F615" i="6"/>
  <c r="E615" i="12"/>
  <c r="G316" i="6"/>
  <c r="F316" i="12"/>
  <c r="G323" i="6"/>
  <c r="F323" i="12"/>
  <c r="F417" i="12"/>
  <c r="G417" i="6"/>
  <c r="E726" i="12"/>
  <c r="F726" i="6"/>
  <c r="U327" i="5"/>
  <c r="F348" i="6"/>
  <c r="E348" i="12"/>
  <c r="F420" i="12"/>
  <c r="G420" i="6"/>
  <c r="F582" i="12"/>
  <c r="G582" i="6"/>
  <c r="U556" i="5"/>
  <c r="G688" i="6"/>
  <c r="F688" i="12"/>
  <c r="E443" i="12"/>
  <c r="F443" i="6"/>
  <c r="F702" i="6"/>
  <c r="E702" i="12"/>
  <c r="E302" i="12"/>
  <c r="F302" i="6"/>
  <c r="F456" i="12"/>
  <c r="G456" i="6"/>
  <c r="F557" i="6"/>
  <c r="E557" i="12"/>
  <c r="U720" i="5"/>
  <c r="U362" i="5"/>
  <c r="F520" i="6"/>
  <c r="E520" i="12"/>
  <c r="U661" i="5"/>
  <c r="F737" i="6"/>
  <c r="E737" i="12"/>
  <c r="G710" i="6"/>
  <c r="F710" i="12"/>
  <c r="F532" i="6"/>
  <c r="E532" i="12"/>
  <c r="U673" i="5"/>
  <c r="F546" i="12"/>
  <c r="G546" i="6"/>
  <c r="U526" i="5"/>
  <c r="F380" i="12"/>
  <c r="G380" i="6"/>
  <c r="F606" i="6"/>
  <c r="E606" i="12"/>
  <c r="G310" i="6"/>
  <c r="F310" i="12"/>
  <c r="F544" i="6"/>
  <c r="E544" i="12"/>
  <c r="F475" i="12"/>
  <c r="G475" i="6"/>
  <c r="U336" i="5"/>
  <c r="E499" i="12"/>
  <c r="F499" i="6"/>
  <c r="E498" i="12"/>
  <c r="F498" i="6"/>
  <c r="G745" i="6"/>
  <c r="F745" i="12"/>
  <c r="U698" i="5"/>
  <c r="U344" i="5"/>
  <c r="F495" i="6"/>
  <c r="E495" i="12"/>
  <c r="F460" i="6"/>
  <c r="E460" i="12"/>
  <c r="F529" i="6"/>
  <c r="E529" i="12"/>
  <c r="F424" i="6"/>
  <c r="E424" i="12"/>
  <c r="F607" i="12"/>
  <c r="G607" i="6"/>
  <c r="U662" i="5"/>
  <c r="G446" i="6"/>
  <c r="F446" i="12"/>
  <c r="F440" i="6"/>
  <c r="E440" i="12"/>
  <c r="F629" i="12"/>
  <c r="G629" i="6"/>
  <c r="E668" i="12"/>
  <c r="F668" i="6"/>
  <c r="F523" i="12"/>
  <c r="G523" i="6"/>
  <c r="E363" i="12"/>
  <c r="F363" i="6"/>
  <c r="F538" i="6"/>
  <c r="E538" i="12"/>
  <c r="U528" i="5"/>
  <c r="G620" i="6"/>
  <c r="F620" i="12"/>
  <c r="E613" i="12"/>
  <c r="F613" i="6"/>
  <c r="F722" i="12"/>
  <c r="G722" i="6"/>
  <c r="F394" i="6"/>
  <c r="E394" i="12"/>
  <c r="F479" i="12"/>
  <c r="G479" i="6"/>
  <c r="U437" i="5"/>
  <c r="G468" i="6"/>
  <c r="F468" i="12"/>
  <c r="F484" i="12"/>
  <c r="G484" i="6"/>
  <c r="E365" i="12"/>
  <c r="F365" i="6"/>
  <c r="U384" i="5"/>
  <c r="G562" i="6"/>
  <c r="F562" i="12"/>
  <c r="U368" i="5"/>
  <c r="U537" i="5"/>
  <c r="E549" i="12"/>
  <c r="F549" i="6"/>
  <c r="F706" i="12"/>
  <c r="G706" i="6"/>
  <c r="F461" i="12"/>
  <c r="G461" i="6"/>
  <c r="F359" i="12"/>
  <c r="G359" i="6"/>
  <c r="F663" i="6"/>
  <c r="E663" i="12"/>
  <c r="U717" i="5"/>
  <c r="E447" i="12"/>
  <c r="F447" i="6"/>
  <c r="F307" i="12"/>
  <c r="G307" i="6"/>
  <c r="F324" i="12"/>
  <c r="G324" i="6"/>
  <c r="U724" i="5"/>
  <c r="G381" i="6"/>
  <c r="F381" i="12"/>
  <c r="F313" i="6"/>
  <c r="E313" i="12"/>
  <c r="E44" i="12"/>
  <c r="F44" i="6"/>
  <c r="F197" i="12"/>
  <c r="G197" i="6"/>
  <c r="U284" i="5"/>
  <c r="E69" i="12"/>
  <c r="F69" i="6"/>
  <c r="E97" i="12"/>
  <c r="F97" i="6"/>
  <c r="G188" i="6"/>
  <c r="F188" i="12"/>
  <c r="F237" i="12"/>
  <c r="G237" i="6"/>
  <c r="U242" i="5"/>
  <c r="F246" i="12"/>
  <c r="G246" i="6"/>
  <c r="F182" i="12"/>
  <c r="G182" i="6"/>
  <c r="E47" i="12"/>
  <c r="F47" i="6"/>
  <c r="F57" i="12"/>
  <c r="G57" i="6"/>
  <c r="F233" i="6"/>
  <c r="E233" i="12"/>
  <c r="G250" i="6"/>
  <c r="F250" i="12"/>
  <c r="G110" i="6"/>
  <c r="F110" i="12"/>
  <c r="E143" i="12"/>
  <c r="F143" i="6"/>
  <c r="G132" i="6"/>
  <c r="F132" i="12"/>
  <c r="F277" i="12"/>
  <c r="G277" i="6"/>
  <c r="E255" i="12"/>
  <c r="F255" i="6"/>
  <c r="F249" i="6"/>
  <c r="E249" i="12"/>
  <c r="F142" i="6"/>
  <c r="E142" i="12"/>
  <c r="F289" i="12"/>
  <c r="G289" i="6"/>
  <c r="F133" i="6"/>
  <c r="E133" i="12"/>
  <c r="U67" i="5"/>
  <c r="F26" i="12"/>
  <c r="G26" i="6"/>
  <c r="G173" i="6"/>
  <c r="F173" i="12"/>
  <c r="E223" i="12"/>
  <c r="F223" i="6"/>
  <c r="E261" i="12"/>
  <c r="F261" i="6"/>
  <c r="E194" i="12"/>
  <c r="F194" i="6"/>
  <c r="F134" i="6"/>
  <c r="E134" i="12"/>
  <c r="F39" i="12"/>
  <c r="G39" i="6"/>
  <c r="E272" i="12"/>
  <c r="F272" i="6"/>
  <c r="E76" i="12"/>
  <c r="F76" i="6"/>
  <c r="E79" i="12"/>
  <c r="F79" i="6"/>
  <c r="U19" i="5"/>
  <c r="G185" i="6"/>
  <c r="F185" i="12"/>
  <c r="F55" i="12"/>
  <c r="G55" i="6"/>
  <c r="E159" i="12"/>
  <c r="F159" i="6"/>
  <c r="E160" i="12"/>
  <c r="F160" i="6"/>
  <c r="E231" i="12"/>
  <c r="F231" i="6"/>
  <c r="F287" i="12"/>
  <c r="G287" i="6"/>
  <c r="U43" i="5"/>
  <c r="G156" i="6"/>
  <c r="F156" i="12"/>
  <c r="F113" i="6"/>
  <c r="E113" i="12"/>
  <c r="E280" i="12"/>
  <c r="F280" i="6"/>
  <c r="F263" i="6"/>
  <c r="E263" i="12"/>
  <c r="E294" i="12"/>
  <c r="F294" i="6"/>
  <c r="F22" i="6"/>
  <c r="E22" i="12"/>
  <c r="G64" i="6"/>
  <c r="F64" i="12"/>
  <c r="U107" i="5"/>
  <c r="G220" i="6"/>
  <c r="F220" i="12"/>
  <c r="U92" i="5"/>
  <c r="G52" i="6"/>
  <c r="F52" i="12"/>
  <c r="E274" i="12"/>
  <c r="F274" i="6"/>
  <c r="E739" i="12"/>
  <c r="F739" i="6"/>
  <c r="G342" i="6"/>
  <c r="F342" i="12"/>
  <c r="F524" i="6"/>
  <c r="E524" i="12"/>
  <c r="F308" i="6"/>
  <c r="E308" i="12"/>
  <c r="E431" i="12"/>
  <c r="F431" i="6"/>
  <c r="F674" i="12"/>
  <c r="G674" i="6"/>
  <c r="E328" i="12"/>
  <c r="F328" i="6"/>
  <c r="E619" i="12"/>
  <c r="F619" i="6"/>
  <c r="U298" i="5"/>
  <c r="U604" i="5"/>
  <c r="E525" i="12"/>
  <c r="F525" i="6"/>
  <c r="U701" i="5"/>
  <c r="F403" i="12"/>
  <c r="G403" i="6"/>
  <c r="U558" i="5"/>
  <c r="G547" i="6"/>
  <c r="F547" i="12"/>
  <c r="G429" i="6"/>
  <c r="F429" i="12"/>
  <c r="E527" i="12"/>
  <c r="F527" i="6"/>
  <c r="E713" i="12"/>
  <c r="F713" i="6"/>
  <c r="F681" i="12"/>
  <c r="G681" i="6"/>
  <c r="U645" i="5"/>
  <c r="E300" i="12"/>
  <c r="F300" i="6"/>
  <c r="G637" i="6"/>
  <c r="F637" i="12"/>
  <c r="G404" i="6"/>
  <c r="F404" i="12"/>
  <c r="E355" i="12"/>
  <c r="F355" i="6"/>
  <c r="E650" i="12"/>
  <c r="F650" i="6"/>
  <c r="E521" i="12"/>
  <c r="F521" i="6"/>
  <c r="U664" i="5"/>
  <c r="F712" i="12"/>
  <c r="G712" i="6"/>
  <c r="E469" i="12"/>
  <c r="F469" i="6"/>
  <c r="F304" i="6"/>
  <c r="E304" i="12"/>
  <c r="F721" i="6"/>
  <c r="E721" i="12"/>
  <c r="F534" i="12"/>
  <c r="G534" i="6"/>
  <c r="F550" i="12"/>
  <c r="G550" i="6"/>
  <c r="U587" i="5"/>
  <c r="G423" i="6"/>
  <c r="F423" i="12"/>
  <c r="E450" i="12"/>
  <c r="F450" i="6"/>
  <c r="E414" i="12"/>
  <c r="F414" i="6"/>
  <c r="U679" i="5"/>
  <c r="F514" i="6"/>
  <c r="E514" i="12"/>
  <c r="U325" i="5"/>
  <c r="U382" i="5"/>
  <c r="E405" i="12"/>
  <c r="F405" i="6"/>
  <c r="U590" i="5"/>
  <c r="E295" i="12"/>
  <c r="F295" i="6"/>
  <c r="E377" i="12"/>
  <c r="F377" i="6"/>
  <c r="F591" i="12"/>
  <c r="G591" i="6"/>
  <c r="E330" i="12"/>
  <c r="F330" i="6"/>
  <c r="F567" i="12"/>
  <c r="G567" i="6"/>
  <c r="U296" i="5"/>
  <c r="E628" i="12"/>
  <c r="F628" i="6"/>
  <c r="U376" i="5"/>
  <c r="U474" i="5"/>
  <c r="F368" i="6"/>
  <c r="E368" i="12"/>
  <c r="E735" i="12"/>
  <c r="F735" i="6"/>
  <c r="F641" i="12"/>
  <c r="G641" i="6"/>
  <c r="F537" i="6"/>
  <c r="E537" i="12"/>
  <c r="F686" i="6"/>
  <c r="E686" i="12"/>
  <c r="U549" i="5"/>
  <c r="F706" i="6"/>
  <c r="E706" i="12"/>
  <c r="F461" i="6"/>
  <c r="E461" i="12"/>
  <c r="F359" i="6"/>
  <c r="E359" i="12"/>
  <c r="U663" i="5"/>
  <c r="F717" i="12"/>
  <c r="G717" i="6"/>
  <c r="U447" i="5"/>
  <c r="U307" i="5"/>
  <c r="E324" i="12"/>
  <c r="F324" i="6"/>
  <c r="F511" i="12"/>
  <c r="G511" i="6"/>
  <c r="G724" i="6"/>
  <c r="F724" i="12"/>
  <c r="F381" i="6"/>
  <c r="E381" i="12"/>
  <c r="E476" i="12"/>
  <c r="F476" i="6"/>
  <c r="F313" i="12"/>
  <c r="G313" i="6"/>
  <c r="U44" i="5"/>
  <c r="U197" i="5"/>
  <c r="E284" i="12"/>
  <c r="F284" i="6"/>
  <c r="G247" i="6"/>
  <c r="F247" i="12"/>
  <c r="U69" i="5"/>
  <c r="F97" i="12"/>
  <c r="G97" i="6"/>
  <c r="E188" i="12"/>
  <c r="F188" i="6"/>
  <c r="F237" i="6"/>
  <c r="E237" i="12"/>
  <c r="F242" i="6"/>
  <c r="E242" i="12"/>
  <c r="G28" i="6"/>
  <c r="F28" i="12"/>
  <c r="U182" i="5"/>
  <c r="U47" i="5"/>
  <c r="U57" i="5"/>
  <c r="U233" i="5"/>
  <c r="E195" i="12"/>
  <c r="F195" i="6"/>
  <c r="G255" i="6"/>
  <c r="F255" i="12"/>
  <c r="G249" i="6"/>
  <c r="F249" i="12"/>
  <c r="F117" i="6"/>
  <c r="E117" i="12"/>
  <c r="F289" i="6"/>
  <c r="E289" i="12"/>
  <c r="F133" i="12"/>
  <c r="G133" i="6"/>
  <c r="F208" i="6"/>
  <c r="E208" i="12"/>
  <c r="F74" i="12"/>
  <c r="G74" i="6"/>
  <c r="F26" i="6"/>
  <c r="E26" i="12"/>
  <c r="F173" i="6"/>
  <c r="E173" i="12"/>
  <c r="G210" i="6"/>
  <c r="F210" i="12"/>
  <c r="G138" i="6"/>
  <c r="F138" i="12"/>
  <c r="G194" i="6"/>
  <c r="F194" i="12"/>
  <c r="G134" i="6"/>
  <c r="F134" i="12"/>
  <c r="U39" i="5"/>
  <c r="E84" i="12"/>
  <c r="F84" i="6"/>
  <c r="F282" i="6"/>
  <c r="E282" i="12"/>
  <c r="F203" i="6"/>
  <c r="E203" i="12"/>
  <c r="U79" i="5"/>
  <c r="U30" i="5"/>
  <c r="F63" i="12"/>
  <c r="G63" i="6"/>
  <c r="G104" i="6"/>
  <c r="F104" i="12"/>
  <c r="F231" i="12"/>
  <c r="G231" i="6"/>
  <c r="F293" i="6"/>
  <c r="E293" i="12"/>
  <c r="U253" i="5"/>
  <c r="F113" i="12"/>
  <c r="G113" i="6"/>
  <c r="G280" i="6"/>
  <c r="F280" i="12"/>
  <c r="F263" i="12"/>
  <c r="G263" i="6"/>
  <c r="E224" i="12"/>
  <c r="F224" i="6"/>
  <c r="E32" i="12"/>
  <c r="F32" i="6"/>
  <c r="E64" i="12"/>
  <c r="F64" i="6"/>
  <c r="G107" i="6"/>
  <c r="F107" i="12"/>
  <c r="F220" i="6"/>
  <c r="E220" i="12"/>
  <c r="E52" i="12"/>
  <c r="F52" i="6"/>
  <c r="U274" i="5"/>
  <c r="F739" i="12"/>
  <c r="G739" i="6"/>
  <c r="U342" i="5"/>
  <c r="F413" i="6"/>
  <c r="E413" i="12"/>
  <c r="F457" i="12"/>
  <c r="G457" i="6"/>
  <c r="G524" i="6"/>
  <c r="F524" i="12"/>
  <c r="G397" i="6"/>
  <c r="F397" i="12"/>
  <c r="U308" i="5"/>
  <c r="U431" i="5"/>
  <c r="E674" i="12"/>
  <c r="F674" i="6"/>
  <c r="F328" i="12"/>
  <c r="G328" i="6"/>
  <c r="U619" i="5"/>
  <c r="E480" i="12"/>
  <c r="F480" i="6"/>
  <c r="F298" i="12"/>
  <c r="G298" i="6"/>
  <c r="F604" i="12"/>
  <c r="G604" i="6"/>
  <c r="F501" i="6"/>
  <c r="E501" i="12"/>
  <c r="U525" i="5"/>
  <c r="G603" i="6"/>
  <c r="F603" i="12"/>
  <c r="F701" i="6"/>
  <c r="E701" i="12"/>
  <c r="F689" i="6"/>
  <c r="E689" i="12"/>
  <c r="F403" i="6"/>
  <c r="E403" i="12"/>
  <c r="F558" i="6"/>
  <c r="E558" i="12"/>
  <c r="E547" i="12"/>
  <c r="F547" i="6"/>
  <c r="U429" i="5"/>
  <c r="U527" i="5"/>
  <c r="G713" i="6"/>
  <c r="F713" i="12"/>
  <c r="F561" i="6"/>
  <c r="E561" i="12"/>
  <c r="G482" i="6"/>
  <c r="F482" i="12"/>
  <c r="E502" i="12"/>
  <c r="F502" i="6"/>
  <c r="E681" i="12"/>
  <c r="F681" i="6"/>
  <c r="E645" i="12"/>
  <c r="F645" i="6"/>
  <c r="F685" i="6"/>
  <c r="E685" i="12"/>
  <c r="G463" i="6"/>
  <c r="F463" i="12"/>
  <c r="U300" i="5"/>
  <c r="F736" i="6"/>
  <c r="E736" i="12"/>
  <c r="F637" i="6"/>
  <c r="E637" i="12"/>
  <c r="U404" i="5"/>
  <c r="F396" i="6"/>
  <c r="E396" i="12"/>
  <c r="G355" i="6"/>
  <c r="F355" i="12"/>
  <c r="G650" i="6"/>
  <c r="F650" i="12"/>
  <c r="E470" i="12"/>
  <c r="F470" i="6"/>
  <c r="U521" i="5"/>
  <c r="G492" i="6"/>
  <c r="F492" i="12"/>
  <c r="E664" i="12"/>
  <c r="F664" i="6"/>
  <c r="G351" i="6"/>
  <c r="F351" i="12"/>
  <c r="U712" i="5"/>
  <c r="U469" i="5"/>
  <c r="F472" i="12"/>
  <c r="G472" i="6"/>
  <c r="F338" i="6"/>
  <c r="E338" i="12"/>
  <c r="G489" i="6"/>
  <c r="F489" i="12"/>
  <c r="F575" i="12"/>
  <c r="G575" i="6"/>
  <c r="U304" i="5"/>
  <c r="U721" i="5"/>
  <c r="U534" i="5"/>
  <c r="E465" i="12"/>
  <c r="F465" i="6"/>
  <c r="E550" i="12"/>
  <c r="F550" i="6"/>
  <c r="E587" i="12"/>
  <c r="F587" i="6"/>
  <c r="U423" i="5"/>
  <c r="F332" i="12"/>
  <c r="G332" i="6"/>
  <c r="G450" i="6"/>
  <c r="F450" i="12"/>
  <c r="F414" i="12"/>
  <c r="G414" i="6"/>
  <c r="G679" i="6"/>
  <c r="F679" i="12"/>
  <c r="G514" i="6"/>
  <c r="F514" i="12"/>
  <c r="F325" i="12"/>
  <c r="G325" i="6"/>
  <c r="G610" i="6"/>
  <c r="F610" i="12"/>
  <c r="F382" i="12"/>
  <c r="G382" i="6"/>
  <c r="U405" i="5"/>
  <c r="F590" i="6"/>
  <c r="E590" i="12"/>
  <c r="U295" i="5"/>
  <c r="G377" i="6"/>
  <c r="F377" i="12"/>
  <c r="U591" i="5"/>
  <c r="U330" i="5"/>
  <c r="G513" i="6"/>
  <c r="F513" i="12"/>
  <c r="E567" i="12"/>
  <c r="F567" i="6"/>
  <c r="F296" i="12"/>
  <c r="G296" i="6"/>
  <c r="F366" i="6"/>
  <c r="E366" i="12"/>
  <c r="F577" i="6"/>
  <c r="E577" i="12"/>
  <c r="U628" i="5"/>
  <c r="F376" i="12"/>
  <c r="G376" i="6"/>
  <c r="F627" i="6"/>
  <c r="E627" i="12"/>
  <c r="F474" i="6"/>
  <c r="E474" i="12"/>
  <c r="G368" i="6"/>
  <c r="F368" i="12"/>
  <c r="F735" i="12"/>
  <c r="G735" i="6"/>
  <c r="F641" i="6"/>
  <c r="E641" i="12"/>
  <c r="G537" i="6"/>
  <c r="F537" i="12"/>
  <c r="G686" i="6"/>
  <c r="F686" i="12"/>
  <c r="F549" i="12"/>
  <c r="G549" i="6"/>
  <c r="U706" i="5"/>
  <c r="U461" i="5"/>
  <c r="U359" i="5"/>
  <c r="F663" i="12"/>
  <c r="G663" i="6"/>
  <c r="F717" i="6"/>
  <c r="E717" i="12"/>
  <c r="G447" i="6"/>
  <c r="F447" i="12"/>
  <c r="F307" i="6"/>
  <c r="E307" i="12"/>
  <c r="U324" i="5"/>
  <c r="F511" i="6"/>
  <c r="E511" i="12"/>
  <c r="E724" i="12"/>
  <c r="F724" i="6"/>
  <c r="U381" i="5"/>
  <c r="F476" i="12"/>
  <c r="G476" i="6"/>
  <c r="U313" i="5"/>
  <c r="G44" i="6"/>
  <c r="F44" i="12"/>
  <c r="E197" i="12"/>
  <c r="F197" i="6"/>
  <c r="G284" i="6"/>
  <c r="F284" i="12"/>
  <c r="E247" i="12"/>
  <c r="F247" i="6"/>
  <c r="U237" i="5"/>
  <c r="U121" i="5"/>
  <c r="U28" i="5"/>
  <c r="E182" i="12"/>
  <c r="F182" i="6"/>
  <c r="G243" i="6"/>
  <c r="F243" i="12"/>
  <c r="F57" i="6"/>
  <c r="E57" i="12"/>
  <c r="E154" i="12"/>
  <c r="F154" i="6"/>
  <c r="E265" i="12"/>
  <c r="F265" i="6"/>
  <c r="F195" i="12"/>
  <c r="G195" i="6"/>
  <c r="G77" i="6"/>
  <c r="F77" i="12"/>
  <c r="E148" i="12"/>
  <c r="F148" i="6"/>
  <c r="U117" i="5"/>
  <c r="U289" i="5"/>
  <c r="F192" i="12"/>
  <c r="G192" i="6"/>
  <c r="G179" i="6"/>
  <c r="F179" i="12"/>
  <c r="F208" i="12"/>
  <c r="G208" i="6"/>
  <c r="E74" i="12"/>
  <c r="F74" i="6"/>
  <c r="U252" i="5"/>
  <c r="U210" i="5"/>
  <c r="G101" i="6"/>
  <c r="F101" i="12"/>
  <c r="F138" i="6"/>
  <c r="E138" i="12"/>
  <c r="U194" i="5"/>
  <c r="F51" i="12"/>
  <c r="G51" i="6"/>
  <c r="G84" i="6"/>
  <c r="F84" i="12"/>
  <c r="F282" i="12"/>
  <c r="G282" i="6"/>
  <c r="G203" i="6"/>
  <c r="F203" i="12"/>
  <c r="U83" i="5"/>
  <c r="E245" i="12"/>
  <c r="F245" i="6"/>
  <c r="F30" i="12"/>
  <c r="G30" i="6"/>
  <c r="F262" i="12"/>
  <c r="G262" i="6"/>
  <c r="U63" i="5"/>
  <c r="E145" i="12"/>
  <c r="F145" i="6"/>
  <c r="U104" i="5"/>
  <c r="F73" i="12"/>
  <c r="G73" i="6"/>
  <c r="E169" i="12"/>
  <c r="F169" i="6"/>
  <c r="G293" i="6"/>
  <c r="F293" i="12"/>
  <c r="E253" i="12"/>
  <c r="F253" i="6"/>
  <c r="F292" i="12"/>
  <c r="G292" i="6"/>
  <c r="U212" i="5"/>
  <c r="G285" i="6"/>
  <c r="F285" i="12"/>
  <c r="F91" i="6"/>
  <c r="E91" i="12"/>
  <c r="U224" i="5"/>
  <c r="U32" i="5"/>
  <c r="U64" i="5"/>
  <c r="F107" i="6"/>
  <c r="E107" i="12"/>
  <c r="E125" i="12"/>
  <c r="F125" i="6"/>
  <c r="U52" i="5"/>
  <c r="F274" i="12"/>
  <c r="G274" i="6"/>
  <c r="U739" i="5"/>
  <c r="F342" i="6"/>
  <c r="E342" i="12"/>
  <c r="F413" i="12"/>
  <c r="G413" i="6"/>
  <c r="F457" i="6"/>
  <c r="E457" i="12"/>
  <c r="U524" i="5"/>
  <c r="F397" i="6"/>
  <c r="E397" i="12"/>
  <c r="G308" i="6"/>
  <c r="F308" i="12"/>
  <c r="G431" i="6"/>
  <c r="F431" i="12"/>
  <c r="U674" i="5"/>
  <c r="U328" i="5"/>
  <c r="G619" i="6"/>
  <c r="F619" i="12"/>
  <c r="G480" i="6"/>
  <c r="F480" i="12"/>
  <c r="E298" i="12"/>
  <c r="F298" i="6"/>
  <c r="F604" i="6"/>
  <c r="E604" i="12"/>
  <c r="G501" i="6"/>
  <c r="F501" i="12"/>
  <c r="F525" i="12"/>
  <c r="G525" i="6"/>
  <c r="E603" i="12"/>
  <c r="F603" i="6"/>
  <c r="F701" i="12"/>
  <c r="G701" i="6"/>
  <c r="F689" i="12"/>
  <c r="G689" i="6"/>
  <c r="U403" i="5"/>
  <c r="F558" i="12"/>
  <c r="G558" i="6"/>
  <c r="U547" i="5"/>
  <c r="F429" i="6"/>
  <c r="E429" i="12"/>
  <c r="F527" i="12"/>
  <c r="G527" i="6"/>
  <c r="U713" i="5"/>
  <c r="G561" i="6"/>
  <c r="F561" i="12"/>
  <c r="F482" i="6"/>
  <c r="E482" i="12"/>
  <c r="G502" i="6"/>
  <c r="F502" i="12"/>
  <c r="U681" i="5"/>
  <c r="F645" i="12"/>
  <c r="G645" i="6"/>
  <c r="F685" i="12"/>
  <c r="G685" i="6"/>
  <c r="F463" i="6"/>
  <c r="E463" i="12"/>
  <c r="F300" i="12"/>
  <c r="G300" i="6"/>
  <c r="G736" i="6"/>
  <c r="F736" i="12"/>
  <c r="U637" i="5"/>
  <c r="E404" i="12"/>
  <c r="F404" i="6"/>
  <c r="G396" i="6"/>
  <c r="F396" i="12"/>
  <c r="U355" i="5"/>
  <c r="U650" i="5"/>
  <c r="G470" i="6"/>
  <c r="F470" i="12"/>
  <c r="F521" i="12"/>
  <c r="G521" i="6"/>
  <c r="E492" i="12"/>
  <c r="F492" i="6"/>
  <c r="F664" i="12"/>
  <c r="G664" i="6"/>
  <c r="E351" i="12"/>
  <c r="F351" i="6"/>
  <c r="E712" i="12"/>
  <c r="F712" i="6"/>
  <c r="F469" i="12"/>
  <c r="G469" i="6"/>
  <c r="E472" i="12"/>
  <c r="F472" i="6"/>
  <c r="G338" i="6"/>
  <c r="F338" i="12"/>
  <c r="E489" i="12"/>
  <c r="F489" i="6"/>
  <c r="E575" i="12"/>
  <c r="F575" i="6"/>
  <c r="F304" i="12"/>
  <c r="G304" i="6"/>
  <c r="F721" i="12"/>
  <c r="G721" i="6"/>
  <c r="E534" i="12"/>
  <c r="F534" i="6"/>
  <c r="F465" i="12"/>
  <c r="G465" i="6"/>
  <c r="U550" i="5"/>
  <c r="G587" i="6"/>
  <c r="F587" i="12"/>
  <c r="F423" i="6"/>
  <c r="E423" i="12"/>
  <c r="E332" i="12"/>
  <c r="F332" i="6"/>
  <c r="U450" i="5"/>
  <c r="U414" i="5"/>
  <c r="E679" i="12"/>
  <c r="F679" i="6"/>
  <c r="U514" i="5"/>
  <c r="E325" i="12"/>
  <c r="F325" i="6"/>
  <c r="E610" i="12"/>
  <c r="F610" i="6"/>
  <c r="F382" i="6"/>
  <c r="E382" i="12"/>
  <c r="G405" i="6"/>
  <c r="F405" i="12"/>
  <c r="G590" i="6"/>
  <c r="F590" i="12"/>
  <c r="G295" i="6"/>
  <c r="F295" i="12"/>
  <c r="U377" i="5"/>
  <c r="F591" i="6"/>
  <c r="E591" i="12"/>
  <c r="G330" i="6"/>
  <c r="F330" i="12"/>
  <c r="E513" i="12"/>
  <c r="F513" i="6"/>
  <c r="U567" i="5"/>
  <c r="E296" i="12"/>
  <c r="F296" i="6"/>
  <c r="F366" i="12"/>
  <c r="G366" i="6"/>
  <c r="F577" i="12"/>
  <c r="G577" i="6"/>
  <c r="G628" i="6"/>
  <c r="F628" i="12"/>
  <c r="E376" i="12"/>
  <c r="F376" i="6"/>
  <c r="G627" i="6"/>
  <c r="F627" i="12"/>
  <c r="F474" i="12"/>
  <c r="G474" i="6"/>
  <c r="U356" i="5"/>
  <c r="U714" i="5"/>
  <c r="U542" i="5"/>
  <c r="F415" i="12"/>
  <c r="G415" i="6"/>
  <c r="U372" i="5"/>
  <c r="E732" i="12"/>
  <c r="F732" i="6"/>
  <c r="F655" i="12"/>
  <c r="G655" i="6"/>
  <c r="G321" i="6"/>
  <c r="F321" i="12"/>
  <c r="F636" i="12"/>
  <c r="G636" i="6"/>
  <c r="G569" i="6"/>
  <c r="F569" i="12"/>
  <c r="F507" i="6"/>
  <c r="E507" i="12"/>
  <c r="E58" i="12"/>
  <c r="F58" i="6"/>
  <c r="F271" i="6"/>
  <c r="E271" i="12"/>
  <c r="U62" i="5"/>
  <c r="G214" i="6"/>
  <c r="F214" i="12"/>
  <c r="G234" i="6"/>
  <c r="F234" i="12"/>
  <c r="F21" i="12"/>
  <c r="G21" i="6"/>
  <c r="E257" i="12"/>
  <c r="F257" i="6"/>
  <c r="F121" i="12"/>
  <c r="G121" i="6"/>
  <c r="F28" i="6"/>
  <c r="E28" i="12"/>
  <c r="U82" i="5"/>
  <c r="U243" i="5"/>
  <c r="U270" i="5"/>
  <c r="G154" i="6"/>
  <c r="F154" i="12"/>
  <c r="G265" i="6"/>
  <c r="F265" i="12"/>
  <c r="U195" i="5"/>
  <c r="E77" i="12"/>
  <c r="F77" i="6"/>
  <c r="G148" i="6"/>
  <c r="F148" i="12"/>
  <c r="F219" i="12"/>
  <c r="G219" i="6"/>
  <c r="E181" i="12"/>
  <c r="F181" i="6"/>
  <c r="G117" i="6"/>
  <c r="F117" i="12"/>
  <c r="U192" i="5"/>
  <c r="U179" i="5"/>
  <c r="U208" i="5"/>
  <c r="U74" i="5"/>
  <c r="F252" i="6"/>
  <c r="E252" i="12"/>
  <c r="F38" i="6"/>
  <c r="E38" i="12"/>
  <c r="E210" i="12"/>
  <c r="F210" i="6"/>
  <c r="F101" i="6"/>
  <c r="E101" i="12"/>
  <c r="U283" i="5"/>
  <c r="G176" i="6"/>
  <c r="F176" i="12"/>
  <c r="U51" i="5"/>
  <c r="U84" i="5"/>
  <c r="U282" i="5"/>
  <c r="G83" i="6"/>
  <c r="F83" i="12"/>
  <c r="G245" i="6"/>
  <c r="F245" i="12"/>
  <c r="F30" i="6"/>
  <c r="E30" i="12"/>
  <c r="F262" i="6"/>
  <c r="E262" i="12"/>
  <c r="E63" i="12"/>
  <c r="F63" i="6"/>
  <c r="G145" i="6"/>
  <c r="F145" i="12"/>
  <c r="F104" i="6"/>
  <c r="E104" i="12"/>
  <c r="U73" i="5"/>
  <c r="F169" i="12"/>
  <c r="G169" i="6"/>
  <c r="U293" i="5"/>
  <c r="F253" i="12"/>
  <c r="G253" i="6"/>
  <c r="E292" i="12"/>
  <c r="F292" i="6"/>
  <c r="F212" i="12"/>
  <c r="G212" i="6"/>
  <c r="U285" i="5"/>
  <c r="F91" i="12"/>
  <c r="G91" i="6"/>
  <c r="F224" i="12"/>
  <c r="G224" i="6"/>
  <c r="G32" i="6"/>
  <c r="F32" i="12"/>
  <c r="E122" i="12"/>
  <c r="F122" i="6"/>
  <c r="F125" i="12"/>
  <c r="G125" i="6"/>
  <c r="G216" i="6"/>
  <c r="F216" i="12"/>
  <c r="U533" i="5"/>
  <c r="G411" i="6"/>
  <c r="F411" i="12"/>
  <c r="E320" i="12"/>
  <c r="F320" i="6"/>
  <c r="U442" i="5"/>
  <c r="U361" i="5"/>
  <c r="U452" i="5"/>
  <c r="G383" i="6"/>
  <c r="F383" i="12"/>
  <c r="U716" i="5"/>
  <c r="U464" i="5"/>
  <c r="F703" i="12"/>
  <c r="G703" i="6"/>
  <c r="G588" i="6"/>
  <c r="F588" i="12"/>
  <c r="F624" i="6"/>
  <c r="E624" i="12"/>
  <c r="F719" i="6"/>
  <c r="E719" i="12"/>
  <c r="E400" i="12"/>
  <c r="F400" i="6"/>
  <c r="U497" i="5"/>
  <c r="G458" i="6"/>
  <c r="F458" i="12"/>
  <c r="U388" i="5"/>
  <c r="U566" i="5"/>
  <c r="F727" i="12"/>
  <c r="G727" i="6"/>
  <c r="E477" i="12"/>
  <c r="F477" i="6"/>
  <c r="U670" i="5"/>
  <c r="G401" i="6"/>
  <c r="F401" i="12"/>
  <c r="U515" i="5"/>
  <c r="E496" i="12"/>
  <c r="F496" i="6"/>
  <c r="G462" i="6"/>
  <c r="F462" i="12"/>
  <c r="G387" i="6"/>
  <c r="F387" i="12"/>
  <c r="U631" i="5"/>
  <c r="F693" i="6"/>
  <c r="E693" i="12"/>
  <c r="F657" i="6"/>
  <c r="E657" i="12"/>
  <c r="F451" i="12"/>
  <c r="G451" i="6"/>
  <c r="G371" i="6"/>
  <c r="F371" i="12"/>
  <c r="U312" i="5"/>
  <c r="G436" i="6"/>
  <c r="F436" i="12"/>
  <c r="E536" i="12"/>
  <c r="F536" i="6"/>
  <c r="G439" i="6"/>
  <c r="F439" i="12"/>
  <c r="U486" i="5"/>
  <c r="E393" i="12"/>
  <c r="F393" i="6"/>
  <c r="F333" i="12"/>
  <c r="G333" i="6"/>
  <c r="U595" i="5"/>
  <c r="U303" i="5"/>
  <c r="F656" i="12"/>
  <c r="G656" i="6"/>
  <c r="U352" i="5"/>
  <c r="E616" i="12"/>
  <c r="F616" i="6"/>
  <c r="F322" i="6"/>
  <c r="E322" i="12"/>
  <c r="U571" i="5"/>
  <c r="F541" i="6"/>
  <c r="E541" i="12"/>
  <c r="F690" i="6"/>
  <c r="E690" i="12"/>
  <c r="U399" i="5"/>
  <c r="E346" i="12"/>
  <c r="F346" i="6"/>
  <c r="U360" i="5"/>
  <c r="G354" i="6"/>
  <c r="F354" i="12"/>
  <c r="G367" i="6"/>
  <c r="F367" i="12"/>
  <c r="F683" i="6"/>
  <c r="E683" i="12"/>
  <c r="F356" i="6"/>
  <c r="E356" i="12"/>
  <c r="E471" i="12"/>
  <c r="F471" i="6"/>
  <c r="F714" i="6"/>
  <c r="E714" i="12"/>
  <c r="G542" i="6"/>
  <c r="F542" i="12"/>
  <c r="G445" i="6"/>
  <c r="F445" i="12"/>
  <c r="F415" i="6"/>
  <c r="E415" i="12"/>
  <c r="E372" i="12"/>
  <c r="F372" i="6"/>
  <c r="G732" i="6"/>
  <c r="F732" i="12"/>
  <c r="F655" i="6"/>
  <c r="E655" i="12"/>
  <c r="F321" i="6"/>
  <c r="E321" i="12"/>
  <c r="U636" i="5"/>
  <c r="F331" i="6"/>
  <c r="E331" i="12"/>
  <c r="U569" i="5"/>
  <c r="E583" i="12"/>
  <c r="F583" i="6"/>
  <c r="U507" i="5"/>
  <c r="F672" i="6"/>
  <c r="E672" i="12"/>
  <c r="U58" i="5"/>
  <c r="G271" i="6"/>
  <c r="F271" i="12"/>
  <c r="G62" i="6"/>
  <c r="F62" i="12"/>
  <c r="F214" i="6"/>
  <c r="E214" i="12"/>
  <c r="E205" i="12"/>
  <c r="F205" i="6"/>
  <c r="G199" i="6"/>
  <c r="F199" i="12"/>
  <c r="F234" i="6"/>
  <c r="E234" i="12"/>
  <c r="F21" i="6"/>
  <c r="E21" i="12"/>
  <c r="G257" i="6"/>
  <c r="F257" i="12"/>
  <c r="G147" i="6"/>
  <c r="F147" i="12"/>
  <c r="G200" i="6"/>
  <c r="F200" i="12"/>
  <c r="E121" i="12"/>
  <c r="F121" i="6"/>
  <c r="E215" i="12"/>
  <c r="F215" i="6"/>
  <c r="G82" i="6"/>
  <c r="F82" i="12"/>
  <c r="E243" i="12"/>
  <c r="F243" i="6"/>
  <c r="F270" i="6"/>
  <c r="E270" i="12"/>
  <c r="F235" i="12"/>
  <c r="G235" i="6"/>
  <c r="U68" i="5"/>
  <c r="F219" i="6"/>
  <c r="E219" i="12"/>
  <c r="F181" i="12"/>
  <c r="G181" i="6"/>
  <c r="F25" i="6"/>
  <c r="E25" i="12"/>
  <c r="F192" i="6"/>
  <c r="E192" i="12"/>
  <c r="E179" i="12"/>
  <c r="F179" i="6"/>
  <c r="F252" i="12"/>
  <c r="G252" i="6"/>
  <c r="F38" i="12"/>
  <c r="G38" i="6"/>
  <c r="G183" i="6"/>
  <c r="F183" i="12"/>
  <c r="F239" i="12"/>
  <c r="G239" i="6"/>
  <c r="F283" i="12"/>
  <c r="G283" i="6"/>
  <c r="F176" i="6"/>
  <c r="E176" i="12"/>
  <c r="E51" i="12"/>
  <c r="F51" i="6"/>
  <c r="F135" i="12"/>
  <c r="G135" i="6"/>
  <c r="F163" i="6"/>
  <c r="E163" i="12"/>
  <c r="F83" i="6"/>
  <c r="E83" i="12"/>
  <c r="U42" i="5"/>
  <c r="E120" i="12"/>
  <c r="F120" i="6"/>
  <c r="F73" i="6"/>
  <c r="E73" i="12"/>
  <c r="G20" i="6"/>
  <c r="F20" i="12"/>
  <c r="U292" i="5"/>
  <c r="E212" i="12"/>
  <c r="F212" i="6"/>
  <c r="E285" i="12"/>
  <c r="F285" i="6"/>
  <c r="U91" i="5"/>
  <c r="G286" i="6"/>
  <c r="F286" i="12"/>
  <c r="U45" i="5"/>
  <c r="U122" i="5"/>
  <c r="G244" i="6"/>
  <c r="F244" i="12"/>
  <c r="F151" i="12"/>
  <c r="G151" i="6"/>
  <c r="E216" i="12"/>
  <c r="F216" i="6"/>
  <c r="E568" i="12"/>
  <c r="F568" i="6"/>
  <c r="E623" i="12"/>
  <c r="F623" i="6"/>
  <c r="G649" i="6"/>
  <c r="F649" i="12"/>
  <c r="F533" i="6"/>
  <c r="E533" i="12"/>
  <c r="U411" i="5"/>
  <c r="U320" i="5"/>
  <c r="E442" i="12"/>
  <c r="F442" i="6"/>
  <c r="E361" i="12"/>
  <c r="F361" i="6"/>
  <c r="F452" i="6"/>
  <c r="E452" i="12"/>
  <c r="E383" i="12"/>
  <c r="F383" i="6"/>
  <c r="G716" i="6"/>
  <c r="F716" i="12"/>
  <c r="F599" i="6"/>
  <c r="E599" i="12"/>
  <c r="E692" i="12"/>
  <c r="F692" i="6"/>
  <c r="F444" i="12"/>
  <c r="G444" i="6"/>
  <c r="E464" i="12"/>
  <c r="F464" i="6"/>
  <c r="G594" i="6"/>
  <c r="F594" i="12"/>
  <c r="E703" i="12"/>
  <c r="F703" i="6"/>
  <c r="U588" i="5"/>
  <c r="U624" i="5"/>
  <c r="U719" i="5"/>
  <c r="G400" i="6"/>
  <c r="F400" i="12"/>
  <c r="G497" i="6"/>
  <c r="F497" i="12"/>
  <c r="E512" i="12"/>
  <c r="F512" i="6"/>
  <c r="F466" i="12"/>
  <c r="G466" i="6"/>
  <c r="U458" i="5"/>
  <c r="F640" i="6"/>
  <c r="E640" i="12"/>
  <c r="E388" i="12"/>
  <c r="F388" i="6"/>
  <c r="G580" i="6"/>
  <c r="F580" i="12"/>
  <c r="F566" i="6"/>
  <c r="E566" i="12"/>
  <c r="E738" i="12"/>
  <c r="F738" i="6"/>
  <c r="F642" i="6"/>
  <c r="E642" i="12"/>
  <c r="F727" i="6"/>
  <c r="E727" i="12"/>
  <c r="F477" i="12"/>
  <c r="G477" i="6"/>
  <c r="G670" i="6"/>
  <c r="F670" i="12"/>
  <c r="U401" i="5"/>
  <c r="F581" i="12"/>
  <c r="G581" i="6"/>
  <c r="E467" i="12"/>
  <c r="F467" i="6"/>
  <c r="G515" i="6"/>
  <c r="F515" i="12"/>
  <c r="U496" i="5"/>
  <c r="F462" i="6"/>
  <c r="E462" i="12"/>
  <c r="F621" i="12"/>
  <c r="G621" i="6"/>
  <c r="U387" i="5"/>
  <c r="F448" i="12"/>
  <c r="G448" i="6"/>
  <c r="F631" i="12"/>
  <c r="G631" i="6"/>
  <c r="F416" i="12"/>
  <c r="G416" i="6"/>
  <c r="G693" i="6"/>
  <c r="F693" i="12"/>
  <c r="U657" i="5"/>
  <c r="E687" i="12"/>
  <c r="F687" i="6"/>
  <c r="U451" i="5"/>
  <c r="E371" i="12"/>
  <c r="F371" i="6"/>
  <c r="F508" i="6"/>
  <c r="E508" i="12"/>
  <c r="F312" i="6"/>
  <c r="E312" i="12"/>
  <c r="U436" i="5"/>
  <c r="F643" i="12"/>
  <c r="G643" i="6"/>
  <c r="F744" i="12"/>
  <c r="G744" i="6"/>
  <c r="G408" i="6"/>
  <c r="F408" i="12"/>
  <c r="U536" i="5"/>
  <c r="E439" i="12"/>
  <c r="F439" i="6"/>
  <c r="G486" i="6"/>
  <c r="F486" i="12"/>
  <c r="G393" i="6"/>
  <c r="F393" i="12"/>
  <c r="E493" i="12"/>
  <c r="F493" i="6"/>
  <c r="F333" i="6"/>
  <c r="E333" i="12"/>
  <c r="F595" i="12"/>
  <c r="G595" i="6"/>
  <c r="F303" i="12"/>
  <c r="G303" i="6"/>
  <c r="U656" i="5"/>
  <c r="F352" i="6"/>
  <c r="E352" i="12"/>
  <c r="U616" i="5"/>
  <c r="U322" i="5"/>
  <c r="E571" i="12"/>
  <c r="F571" i="6"/>
  <c r="G667" i="6"/>
  <c r="F667" i="12"/>
  <c r="F517" i="12"/>
  <c r="G517" i="6"/>
  <c r="F622" i="12"/>
  <c r="G622" i="6"/>
  <c r="U541" i="5"/>
  <c r="U690" i="5"/>
  <c r="G399" i="6"/>
  <c r="F399" i="12"/>
  <c r="U346" i="5"/>
  <c r="F360" i="12"/>
  <c r="G360" i="6"/>
  <c r="F473" i="12"/>
  <c r="G473" i="6"/>
  <c r="F354" i="6"/>
  <c r="E354" i="12"/>
  <c r="G676" i="6"/>
  <c r="F676" i="12"/>
  <c r="E367" i="12"/>
  <c r="F367" i="6"/>
  <c r="F683" i="12"/>
  <c r="G683" i="6"/>
  <c r="G356" i="6"/>
  <c r="F356" i="12"/>
  <c r="G471" i="6"/>
  <c r="F471" i="12"/>
  <c r="G714" i="6"/>
  <c r="F714" i="12"/>
  <c r="F542" i="6"/>
  <c r="E542" i="12"/>
  <c r="F445" i="6"/>
  <c r="E445" i="12"/>
  <c r="U415" i="5"/>
  <c r="F372" i="12"/>
  <c r="G372" i="6"/>
  <c r="U732" i="5"/>
  <c r="U655" i="5"/>
  <c r="U321" i="5"/>
  <c r="F636" i="6"/>
  <c r="E636" i="12"/>
  <c r="G331" i="6"/>
  <c r="F331" i="12"/>
  <c r="E569" i="12"/>
  <c r="F569" i="6"/>
  <c r="G583" i="6"/>
  <c r="F583" i="12"/>
  <c r="F507" i="12"/>
  <c r="G507" i="6"/>
  <c r="G672" i="6"/>
  <c r="F672" i="12"/>
  <c r="G58" i="6"/>
  <c r="F58" i="12"/>
  <c r="U271" i="5"/>
  <c r="F62" i="6"/>
  <c r="E62" i="12"/>
  <c r="U214" i="5"/>
  <c r="G205" i="6"/>
  <c r="F205" i="12"/>
  <c r="F199" i="6"/>
  <c r="E199" i="12"/>
  <c r="U33" i="5"/>
  <c r="U276" i="5"/>
  <c r="E147" i="12"/>
  <c r="F147" i="6"/>
  <c r="F200" i="6"/>
  <c r="E200" i="12"/>
  <c r="U281" i="5"/>
  <c r="F126" i="12"/>
  <c r="G126" i="6"/>
  <c r="G215" i="6"/>
  <c r="F215" i="12"/>
  <c r="E82" i="12"/>
  <c r="F82" i="6"/>
  <c r="F270" i="12"/>
  <c r="G270" i="6"/>
  <c r="F146" i="6"/>
  <c r="E146" i="12"/>
  <c r="E235" i="12"/>
  <c r="F235" i="6"/>
  <c r="G68" i="6"/>
  <c r="F68" i="12"/>
  <c r="F175" i="12"/>
  <c r="G175" i="6"/>
  <c r="F221" i="6"/>
  <c r="E221" i="12"/>
  <c r="F228" i="12"/>
  <c r="G228" i="6"/>
  <c r="F25" i="12"/>
  <c r="G25" i="6"/>
  <c r="E99" i="12"/>
  <c r="F99" i="6"/>
  <c r="F201" i="12"/>
  <c r="G201" i="6"/>
  <c r="G61" i="6"/>
  <c r="F61" i="12"/>
  <c r="U50" i="5"/>
  <c r="U183" i="5"/>
  <c r="U239" i="5"/>
  <c r="E152" i="12"/>
  <c r="F152" i="6"/>
  <c r="E283" i="12"/>
  <c r="F283" i="6"/>
  <c r="E135" i="12"/>
  <c r="F135" i="6"/>
  <c r="F222" i="12"/>
  <c r="G222" i="6"/>
  <c r="F163" i="12"/>
  <c r="G163" i="6"/>
  <c r="F109" i="6"/>
  <c r="E109" i="12"/>
  <c r="E260" i="12"/>
  <c r="F260" i="6"/>
  <c r="F42" i="12"/>
  <c r="G42" i="6"/>
  <c r="E198" i="12"/>
  <c r="F198" i="6"/>
  <c r="F120" i="12"/>
  <c r="G120" i="6"/>
  <c r="F229" i="6"/>
  <c r="E229" i="12"/>
  <c r="F18" i="6"/>
  <c r="E18" i="12"/>
  <c r="U20" i="5"/>
  <c r="G150" i="6"/>
  <c r="F150" i="12"/>
  <c r="F286" i="6"/>
  <c r="E286" i="12"/>
  <c r="F45" i="6"/>
  <c r="E45" i="12"/>
  <c r="G122" i="6"/>
  <c r="F122" i="12"/>
  <c r="F244" i="6"/>
  <c r="E244" i="12"/>
  <c r="E161" i="12"/>
  <c r="F161" i="6"/>
  <c r="E151" i="12"/>
  <c r="F151" i="6"/>
  <c r="U216" i="5"/>
  <c r="G568" i="6"/>
  <c r="F568" i="12"/>
  <c r="G623" i="6"/>
  <c r="F623" i="12"/>
  <c r="E649" i="12"/>
  <c r="F649" i="6"/>
  <c r="F533" i="12"/>
  <c r="G533" i="6"/>
  <c r="E411" i="12"/>
  <c r="F411" i="6"/>
  <c r="F320" i="12"/>
  <c r="G320" i="6"/>
  <c r="G442" i="6"/>
  <c r="F442" i="12"/>
  <c r="G361" i="6"/>
  <c r="F361" i="12"/>
  <c r="G452" i="6"/>
  <c r="F452" i="12"/>
  <c r="U383" i="5"/>
  <c r="F716" i="6"/>
  <c r="E716" i="12"/>
  <c r="G599" i="6"/>
  <c r="F599" i="12"/>
  <c r="F692" i="12"/>
  <c r="G692" i="6"/>
  <c r="F444" i="6"/>
  <c r="E444" i="12"/>
  <c r="F464" i="12"/>
  <c r="G464" i="6"/>
  <c r="E594" i="12"/>
  <c r="F594" i="6"/>
  <c r="U703" i="5"/>
  <c r="E588" i="12"/>
  <c r="F588" i="6"/>
  <c r="F624" i="12"/>
  <c r="G624" i="6"/>
  <c r="F719" i="12"/>
  <c r="G719" i="6"/>
  <c r="U400" i="5"/>
  <c r="F497" i="6"/>
  <c r="E497" i="12"/>
  <c r="G512" i="6"/>
  <c r="F512" i="12"/>
  <c r="F466" i="6"/>
  <c r="E466" i="12"/>
  <c r="F458" i="6"/>
  <c r="E458" i="12"/>
  <c r="F640" i="12"/>
  <c r="G640" i="6"/>
  <c r="G388" i="6"/>
  <c r="F388" i="12"/>
  <c r="E580" i="12"/>
  <c r="F580" i="6"/>
  <c r="G566" i="6"/>
  <c r="F566" i="12"/>
  <c r="F738" i="12"/>
  <c r="G738" i="6"/>
  <c r="G642" i="6"/>
  <c r="F642" i="12"/>
  <c r="U727" i="5"/>
  <c r="U477" i="5"/>
  <c r="F670" i="6"/>
  <c r="E670" i="12"/>
  <c r="E401" i="12"/>
  <c r="F401" i="6"/>
  <c r="F581" i="6"/>
  <c r="E581" i="12"/>
  <c r="F467" i="12"/>
  <c r="G467" i="6"/>
  <c r="E515" i="12"/>
  <c r="F515" i="6"/>
  <c r="F496" i="12"/>
  <c r="G496" i="6"/>
  <c r="U462" i="5"/>
  <c r="F621" i="6"/>
  <c r="E621" i="12"/>
  <c r="E387" i="12"/>
  <c r="F387" i="6"/>
  <c r="F448" i="6"/>
  <c r="E448" i="12"/>
  <c r="F631" i="6"/>
  <c r="E631" i="12"/>
  <c r="E416" i="12"/>
  <c r="F416" i="6"/>
  <c r="U693" i="5"/>
  <c r="G657" i="6"/>
  <c r="F657" i="12"/>
  <c r="G687" i="6"/>
  <c r="F687" i="12"/>
  <c r="F451" i="6"/>
  <c r="E451" i="12"/>
  <c r="U371" i="5"/>
  <c r="G508" i="6"/>
  <c r="F508" i="12"/>
  <c r="G312" i="6"/>
  <c r="F312" i="12"/>
  <c r="E436" i="12"/>
  <c r="F436" i="6"/>
  <c r="F643" i="6"/>
  <c r="E643" i="12"/>
  <c r="E744" i="12"/>
  <c r="F744" i="6"/>
  <c r="F408" i="6"/>
  <c r="E408" i="12"/>
  <c r="F536" i="12"/>
  <c r="G536" i="6"/>
  <c r="U439" i="5"/>
  <c r="E486" i="12"/>
  <c r="F486" i="6"/>
  <c r="U393" i="5"/>
  <c r="G493" i="6"/>
  <c r="F493" i="12"/>
  <c r="U333" i="5"/>
  <c r="F595" i="6"/>
  <c r="E595" i="12"/>
  <c r="E303" i="12"/>
  <c r="F303" i="6"/>
  <c r="E656" i="12"/>
  <c r="F656" i="6"/>
  <c r="G352" i="6"/>
  <c r="F352" i="12"/>
  <c r="F616" i="12"/>
  <c r="G616" i="6"/>
  <c r="G322" i="6"/>
  <c r="F322" i="12"/>
  <c r="F571" i="12"/>
  <c r="G571" i="6"/>
  <c r="E667" i="12"/>
  <c r="F667" i="6"/>
  <c r="F517" i="6"/>
  <c r="E517" i="12"/>
  <c r="F622" i="6"/>
  <c r="E622" i="12"/>
  <c r="G541" i="6"/>
  <c r="F541" i="12"/>
  <c r="F690" i="12"/>
  <c r="G690" i="6"/>
  <c r="F399" i="6"/>
  <c r="E399" i="12"/>
  <c r="G346" i="6"/>
  <c r="F346" i="12"/>
  <c r="F360" i="6"/>
  <c r="E360" i="12"/>
  <c r="E473" i="12"/>
  <c r="F473" i="6"/>
  <c r="U354" i="5"/>
  <c r="F676" i="6"/>
  <c r="E676" i="12"/>
  <c r="F345" i="12"/>
  <c r="G345" i="6"/>
  <c r="E395" i="12"/>
  <c r="F395" i="6"/>
  <c r="U378" i="5"/>
  <c r="E707" i="12"/>
  <c r="F707" i="6"/>
  <c r="U335" i="5"/>
  <c r="U545" i="5"/>
  <c r="U601" i="5"/>
  <c r="U651" i="5"/>
  <c r="F648" i="12"/>
  <c r="G648" i="6"/>
  <c r="G373" i="6"/>
  <c r="F373" i="12"/>
  <c r="U419" i="5"/>
  <c r="U428" i="5"/>
  <c r="U209" i="5"/>
  <c r="E127" i="12"/>
  <c r="F127" i="6"/>
  <c r="E33" i="12"/>
  <c r="F33" i="6"/>
  <c r="F276" i="12"/>
  <c r="G276" i="6"/>
  <c r="F196" i="12"/>
  <c r="G196" i="6"/>
  <c r="E281" i="12"/>
  <c r="F281" i="6"/>
  <c r="F126" i="6"/>
  <c r="E126" i="12"/>
  <c r="U215" i="5"/>
  <c r="F102" i="12"/>
  <c r="G102" i="6"/>
  <c r="G146" i="6"/>
  <c r="F146" i="12"/>
  <c r="U235" i="5"/>
  <c r="F68" i="6"/>
  <c r="E68" i="12"/>
  <c r="F175" i="6"/>
  <c r="E175" i="12"/>
  <c r="G221" i="6"/>
  <c r="F221" i="12"/>
  <c r="F90" i="12"/>
  <c r="G90" i="6"/>
  <c r="G171" i="6"/>
  <c r="F171" i="12"/>
  <c r="E228" i="12"/>
  <c r="F228" i="6"/>
  <c r="F53" i="12"/>
  <c r="G53" i="6"/>
  <c r="E141" i="12"/>
  <c r="F141" i="6"/>
  <c r="F166" i="6"/>
  <c r="E166" i="12"/>
  <c r="F99" i="12"/>
  <c r="G99" i="6"/>
  <c r="F201" i="6"/>
  <c r="E201" i="12"/>
  <c r="F61" i="6"/>
  <c r="E61" i="12"/>
  <c r="E50" i="12"/>
  <c r="F50" i="6"/>
  <c r="F183" i="6"/>
  <c r="E183" i="12"/>
  <c r="E239" i="12"/>
  <c r="F239" i="6"/>
  <c r="F152" i="12"/>
  <c r="G152" i="6"/>
  <c r="G180" i="6"/>
  <c r="F180" i="12"/>
  <c r="F256" i="12"/>
  <c r="G256" i="6"/>
  <c r="G288" i="6"/>
  <c r="F288" i="12"/>
  <c r="U135" i="5"/>
  <c r="F222" i="6"/>
  <c r="E222" i="12"/>
  <c r="U109" i="5"/>
  <c r="F260" i="12"/>
  <c r="G260" i="6"/>
  <c r="F42" i="6"/>
  <c r="E42" i="12"/>
  <c r="F198" i="12"/>
  <c r="G198" i="6"/>
  <c r="U120" i="5"/>
  <c r="G229" i="6"/>
  <c r="F229" i="12"/>
  <c r="G225" i="6"/>
  <c r="F225" i="12"/>
  <c r="F18" i="12"/>
  <c r="G18" i="6"/>
  <c r="F20" i="6"/>
  <c r="E20" i="12"/>
  <c r="F150" i="6"/>
  <c r="E150" i="12"/>
  <c r="E111" i="12"/>
  <c r="F111" i="6"/>
  <c r="E248" i="12"/>
  <c r="F248" i="6"/>
  <c r="E164" i="12"/>
  <c r="F164" i="6"/>
  <c r="G158" i="6"/>
  <c r="F158" i="12"/>
  <c r="U286" i="5"/>
  <c r="F45" i="12"/>
  <c r="G45" i="6"/>
  <c r="U88" i="5"/>
  <c r="F161" i="12"/>
  <c r="G161" i="6"/>
  <c r="E116" i="12"/>
  <c r="F116" i="6"/>
  <c r="U72" i="5"/>
  <c r="F385" i="12"/>
  <c r="G385" i="6"/>
  <c r="U554" i="5"/>
  <c r="U374" i="5"/>
  <c r="F441" i="12"/>
  <c r="G441" i="6"/>
  <c r="F409" i="6"/>
  <c r="E409" i="12"/>
  <c r="F553" i="12"/>
  <c r="G553" i="6"/>
  <c r="G418" i="6"/>
  <c r="F418" i="12"/>
  <c r="U329" i="5"/>
  <c r="F435" i="6"/>
  <c r="E435" i="12"/>
  <c r="U299" i="5"/>
  <c r="U551" i="5"/>
  <c r="E565" i="12"/>
  <c r="F565" i="6"/>
  <c r="U406" i="5"/>
  <c r="E350" i="12"/>
  <c r="F350" i="6"/>
  <c r="E659" i="12"/>
  <c r="F659" i="6"/>
  <c r="E432" i="12"/>
  <c r="F432" i="6"/>
  <c r="F347" i="12"/>
  <c r="G347" i="6"/>
  <c r="E704" i="12"/>
  <c r="F704" i="6"/>
  <c r="U358" i="5"/>
  <c r="F357" i="6"/>
  <c r="E357" i="12"/>
  <c r="F548" i="6"/>
  <c r="E548" i="12"/>
  <c r="E612" i="12"/>
  <c r="F612" i="6"/>
  <c r="E658" i="12"/>
  <c r="F658" i="6"/>
  <c r="U592" i="5"/>
  <c r="E481" i="12"/>
  <c r="F481" i="6"/>
  <c r="F733" i="6"/>
  <c r="E733" i="12"/>
  <c r="F564" i="12"/>
  <c r="G564" i="6"/>
  <c r="F638" i="12"/>
  <c r="G638" i="6"/>
  <c r="F319" i="12"/>
  <c r="G319" i="6"/>
  <c r="F696" i="6"/>
  <c r="E696" i="12"/>
  <c r="U343" i="5"/>
  <c r="E540" i="12"/>
  <c r="F540" i="6"/>
  <c r="E370" i="12"/>
  <c r="F370" i="6"/>
  <c r="U509" i="5"/>
  <c r="F647" i="12"/>
  <c r="G647" i="6"/>
  <c r="E459" i="12"/>
  <c r="F459" i="6"/>
  <c r="F715" i="12"/>
  <c r="G715" i="6"/>
  <c r="F297" i="6"/>
  <c r="E297" i="12"/>
  <c r="F635" i="12"/>
  <c r="G635" i="6"/>
  <c r="U454" i="5"/>
  <c r="U386" i="5"/>
  <c r="F711" i="6"/>
  <c r="E711" i="12"/>
  <c r="U671" i="5"/>
  <c r="G725" i="6"/>
  <c r="F725" i="12"/>
  <c r="U586" i="5"/>
  <c r="U677" i="5"/>
  <c r="G364" i="6"/>
  <c r="F364" i="12"/>
  <c r="U519" i="5"/>
  <c r="U407" i="5"/>
  <c r="F434" i="6"/>
  <c r="E434" i="12"/>
  <c r="U305" i="5"/>
  <c r="U345" i="5"/>
  <c r="U395" i="5"/>
  <c r="F378" i="12"/>
  <c r="G378" i="6"/>
  <c r="U707" i="5"/>
  <c r="G728" i="6"/>
  <c r="F728" i="12"/>
  <c r="F510" i="6"/>
  <c r="E510" i="12"/>
  <c r="E335" i="12"/>
  <c r="F335" i="6"/>
  <c r="F545" i="6"/>
  <c r="E545" i="12"/>
  <c r="F601" i="6"/>
  <c r="E601" i="12"/>
  <c r="F651" i="6"/>
  <c r="E651" i="12"/>
  <c r="E648" i="12"/>
  <c r="F648" i="6"/>
  <c r="E373" i="12"/>
  <c r="F373" i="6"/>
  <c r="F742" i="12"/>
  <c r="G742" i="6"/>
  <c r="F666" i="12"/>
  <c r="G666" i="6"/>
  <c r="F419" i="6"/>
  <c r="E419" i="12"/>
  <c r="F412" i="12"/>
  <c r="G412" i="6"/>
  <c r="G652" i="6"/>
  <c r="F652" i="12"/>
  <c r="G428" i="6"/>
  <c r="F428" i="12"/>
  <c r="F23" i="6"/>
  <c r="E23" i="12"/>
  <c r="F153" i="6"/>
  <c r="E153" i="12"/>
  <c r="E209" i="12"/>
  <c r="F209" i="6"/>
  <c r="G186" i="6"/>
  <c r="F186" i="12"/>
  <c r="F127" i="12"/>
  <c r="G127" i="6"/>
  <c r="G33" i="6"/>
  <c r="F33" i="12"/>
  <c r="E276" i="12"/>
  <c r="F276" i="6"/>
  <c r="U196" i="5"/>
  <c r="F259" i="12"/>
  <c r="G259" i="6"/>
  <c r="F281" i="12"/>
  <c r="G281" i="6"/>
  <c r="U193" i="5"/>
  <c r="U102" i="5"/>
  <c r="E211" i="12"/>
  <c r="F211" i="6"/>
  <c r="F279" i="12"/>
  <c r="G279" i="6"/>
  <c r="E24" i="12"/>
  <c r="F24" i="6"/>
  <c r="U93" i="5"/>
  <c r="U81" i="5"/>
  <c r="U90" i="5"/>
  <c r="F171" i="6"/>
  <c r="E171" i="12"/>
  <c r="U228" i="5"/>
  <c r="F53" i="6"/>
  <c r="E53" i="12"/>
  <c r="E37" i="12"/>
  <c r="F37" i="6"/>
  <c r="G141" i="6"/>
  <c r="F141" i="12"/>
  <c r="F166" i="12"/>
  <c r="G166" i="6"/>
  <c r="F56" i="12"/>
  <c r="G56" i="6"/>
  <c r="U61" i="5"/>
  <c r="G50" i="6"/>
  <c r="F50" i="12"/>
  <c r="F54" i="12"/>
  <c r="G54" i="6"/>
  <c r="U66" i="5"/>
  <c r="F115" i="12"/>
  <c r="G115" i="6"/>
  <c r="E180" i="12"/>
  <c r="F180" i="6"/>
  <c r="E256" i="12"/>
  <c r="F256" i="6"/>
  <c r="E288" i="12"/>
  <c r="F288" i="6"/>
  <c r="E278" i="12"/>
  <c r="F278" i="6"/>
  <c r="F109" i="12"/>
  <c r="G109" i="6"/>
  <c r="F204" i="6"/>
  <c r="E204" i="12"/>
  <c r="U225" i="5"/>
  <c r="U18" i="5"/>
  <c r="G31" i="6"/>
  <c r="F31" i="12"/>
  <c r="F112" i="12"/>
  <c r="G112" i="6"/>
  <c r="G111" i="6"/>
  <c r="F111" i="12"/>
  <c r="F248" i="12"/>
  <c r="G248" i="6"/>
  <c r="F164" i="12"/>
  <c r="G164" i="6"/>
  <c r="E158" i="12"/>
  <c r="F158" i="6"/>
  <c r="G217" i="6"/>
  <c r="F217" i="12"/>
  <c r="F88" i="12"/>
  <c r="G88" i="6"/>
  <c r="F80" i="12"/>
  <c r="G80" i="6"/>
  <c r="U116" i="5"/>
  <c r="F72" i="6"/>
  <c r="E72" i="12"/>
  <c r="G602" i="6"/>
  <c r="F602" i="12"/>
  <c r="E385" i="12"/>
  <c r="F385" i="6"/>
  <c r="F554" i="12"/>
  <c r="G554" i="6"/>
  <c r="F374" i="12"/>
  <c r="G374" i="6"/>
  <c r="E441" i="12"/>
  <c r="F441" i="6"/>
  <c r="U409" i="5"/>
  <c r="U553" i="5"/>
  <c r="G425" i="6"/>
  <c r="F425" i="12"/>
  <c r="E418" i="12"/>
  <c r="F418" i="6"/>
  <c r="F329" i="6"/>
  <c r="E329" i="12"/>
  <c r="F435" i="12"/>
  <c r="G435" i="6"/>
  <c r="F614" i="6"/>
  <c r="E614" i="12"/>
  <c r="G299" i="6"/>
  <c r="F299" i="12"/>
  <c r="E339" i="12"/>
  <c r="F339" i="6"/>
  <c r="F551" i="12"/>
  <c r="G551" i="6"/>
  <c r="E573" i="12"/>
  <c r="F573" i="6"/>
  <c r="G565" i="6"/>
  <c r="F565" i="12"/>
  <c r="F406" i="6"/>
  <c r="E406" i="12"/>
  <c r="G350" i="6"/>
  <c r="F350" i="12"/>
  <c r="F659" i="12"/>
  <c r="G659" i="6"/>
  <c r="F600" i="6"/>
  <c r="E600" i="12"/>
  <c r="U432" i="5"/>
  <c r="E347" i="12"/>
  <c r="F347" i="6"/>
  <c r="E563" i="12"/>
  <c r="F563" i="6"/>
  <c r="U704" i="5"/>
  <c r="E358" i="12"/>
  <c r="F358" i="6"/>
  <c r="G402" i="6"/>
  <c r="F402" i="12"/>
  <c r="F357" i="12"/>
  <c r="G357" i="6"/>
  <c r="U548" i="5"/>
  <c r="F612" i="12"/>
  <c r="G612" i="6"/>
  <c r="F516" i="12"/>
  <c r="G516" i="6"/>
  <c r="F658" i="12"/>
  <c r="G658" i="6"/>
  <c r="E617" i="12"/>
  <c r="F617" i="6"/>
  <c r="G592" i="6"/>
  <c r="F592" i="12"/>
  <c r="U481" i="5"/>
  <c r="F741" i="6"/>
  <c r="E741" i="12"/>
  <c r="U733" i="5"/>
  <c r="U564" i="5"/>
  <c r="E638" i="12"/>
  <c r="F638" i="6"/>
  <c r="F611" i="12"/>
  <c r="G611" i="6"/>
  <c r="F319" i="6"/>
  <c r="E319" i="12"/>
  <c r="F314" i="12"/>
  <c r="G314" i="6"/>
  <c r="E353" i="12"/>
  <c r="F353" i="6"/>
  <c r="F696" i="12"/>
  <c r="G696" i="6"/>
  <c r="F746" i="6"/>
  <c r="E746" i="12"/>
  <c r="F504" i="6"/>
  <c r="E504" i="12"/>
  <c r="G343" i="6"/>
  <c r="F343" i="12"/>
  <c r="F572" i="12"/>
  <c r="G572" i="6"/>
  <c r="E485" i="12"/>
  <c r="F485" i="6"/>
  <c r="F540" i="12"/>
  <c r="G540" i="6"/>
  <c r="E634" i="12"/>
  <c r="F634" i="6"/>
  <c r="G370" i="6"/>
  <c r="F370" i="12"/>
  <c r="F509" i="6"/>
  <c r="E509" i="12"/>
  <c r="U647" i="5"/>
  <c r="U459" i="5"/>
  <c r="E410" i="12"/>
  <c r="F410" i="6"/>
  <c r="E715" i="12"/>
  <c r="F715" i="6"/>
  <c r="U297" i="5"/>
  <c r="F579" i="12"/>
  <c r="G579" i="6"/>
  <c r="F598" i="12"/>
  <c r="G598" i="6"/>
  <c r="U635" i="5"/>
  <c r="F454" i="6"/>
  <c r="E454" i="12"/>
  <c r="E386" i="12"/>
  <c r="F386" i="6"/>
  <c r="F711" i="12"/>
  <c r="G711" i="6"/>
  <c r="F671" i="6"/>
  <c r="E671" i="12"/>
  <c r="F684" i="6"/>
  <c r="E684" i="12"/>
  <c r="F725" i="6"/>
  <c r="E725" i="12"/>
  <c r="F503" i="6"/>
  <c r="E503" i="12"/>
  <c r="E586" i="12"/>
  <c r="F586" i="6"/>
  <c r="G677" i="6"/>
  <c r="F677" i="12"/>
  <c r="G730" i="6"/>
  <c r="F730" i="12"/>
  <c r="U364" i="5"/>
  <c r="F519" i="6"/>
  <c r="E519" i="12"/>
  <c r="F407" i="6"/>
  <c r="E407" i="12"/>
  <c r="U434" i="5"/>
  <c r="F560" i="12"/>
  <c r="G560" i="6"/>
  <c r="F576" i="6"/>
  <c r="E576" i="12"/>
  <c r="F578" i="12"/>
  <c r="G578" i="6"/>
  <c r="G305" i="6"/>
  <c r="F305" i="12"/>
  <c r="F632" i="12"/>
  <c r="G632" i="6"/>
  <c r="F326" i="12"/>
  <c r="G326" i="6"/>
  <c r="E345" i="12"/>
  <c r="F345" i="6"/>
  <c r="G395" i="6"/>
  <c r="F395" i="12"/>
  <c r="E378" i="12"/>
  <c r="F378" i="6"/>
  <c r="F707" i="12"/>
  <c r="G707" i="6"/>
  <c r="F728" i="6"/>
  <c r="E728" i="12"/>
  <c r="F510" i="12"/>
  <c r="G510" i="6"/>
  <c r="F335" i="12"/>
  <c r="G335" i="6"/>
  <c r="G545" i="6"/>
  <c r="F545" i="12"/>
  <c r="G601" i="6"/>
  <c r="F601" i="12"/>
  <c r="F651" i="12"/>
  <c r="G651" i="6"/>
  <c r="U648" i="5"/>
  <c r="U373" i="5"/>
  <c r="E742" i="12"/>
  <c r="F742" i="6"/>
  <c r="E666" i="12"/>
  <c r="F666" i="6"/>
  <c r="F419" i="12"/>
  <c r="G419" i="6"/>
  <c r="E412" i="12"/>
  <c r="F412" i="6"/>
  <c r="E652" i="12"/>
  <c r="F652" i="6"/>
  <c r="E428" i="12"/>
  <c r="F428" i="6"/>
  <c r="F23" i="12"/>
  <c r="G23" i="6"/>
  <c r="G153" i="6"/>
  <c r="F153" i="12"/>
  <c r="G209" i="6"/>
  <c r="F209" i="12"/>
  <c r="E186" i="12"/>
  <c r="F186" i="6"/>
  <c r="U189" i="5"/>
  <c r="E41" i="12"/>
  <c r="F41" i="6"/>
  <c r="U46" i="5"/>
  <c r="E196" i="12"/>
  <c r="F196" i="6"/>
  <c r="E259" i="12"/>
  <c r="F259" i="6"/>
  <c r="U218" i="5"/>
  <c r="F193" i="12"/>
  <c r="G193" i="6"/>
  <c r="G157" i="6"/>
  <c r="F157" i="12"/>
  <c r="E102" i="12"/>
  <c r="F102" i="6"/>
  <c r="U211" i="5"/>
  <c r="F187" i="12"/>
  <c r="G187" i="6"/>
  <c r="U279" i="5"/>
  <c r="G24" i="6"/>
  <c r="F24" i="12"/>
  <c r="E93" i="12"/>
  <c r="F93" i="6"/>
  <c r="F81" i="12"/>
  <c r="G81" i="6"/>
  <c r="E90" i="12"/>
  <c r="F90" i="6"/>
  <c r="F94" i="6"/>
  <c r="E94" i="12"/>
  <c r="U53" i="5"/>
  <c r="G37" i="6"/>
  <c r="F37" i="12"/>
  <c r="U89" i="5"/>
  <c r="F155" i="12"/>
  <c r="G155" i="6"/>
  <c r="U56" i="5"/>
  <c r="U290" i="5"/>
  <c r="U118" i="5"/>
  <c r="E54" i="12"/>
  <c r="F54" i="6"/>
  <c r="F66" i="6"/>
  <c r="E66" i="12"/>
  <c r="U115" i="5"/>
  <c r="U180" i="5"/>
  <c r="F29" i="12"/>
  <c r="G29" i="6"/>
  <c r="F232" i="6"/>
  <c r="E232" i="12"/>
  <c r="G278" i="6"/>
  <c r="F278" i="12"/>
  <c r="F75" i="6"/>
  <c r="E75" i="12"/>
  <c r="F275" i="6"/>
  <c r="E275" i="12"/>
  <c r="E128" i="12"/>
  <c r="F128" i="6"/>
  <c r="G204" i="6"/>
  <c r="F204" i="12"/>
  <c r="F273" i="6"/>
  <c r="E273" i="12"/>
  <c r="F140" i="6"/>
  <c r="E140" i="12"/>
  <c r="F264" i="12"/>
  <c r="G264" i="6"/>
  <c r="E225" i="12"/>
  <c r="F225" i="6"/>
  <c r="F269" i="12"/>
  <c r="G269" i="6"/>
  <c r="U31" i="5"/>
  <c r="E112" i="12"/>
  <c r="F112" i="6"/>
  <c r="U111" i="5"/>
  <c r="G96" i="6"/>
  <c r="F96" i="12"/>
  <c r="F70" i="6"/>
  <c r="E70" i="12"/>
  <c r="F167" i="12"/>
  <c r="G167" i="6"/>
  <c r="G230" i="6"/>
  <c r="F230" i="12"/>
  <c r="F217" i="6"/>
  <c r="E217" i="12"/>
  <c r="F88" i="6"/>
  <c r="E88" i="12"/>
  <c r="F80" i="6"/>
  <c r="E80" i="12"/>
  <c r="G116" i="6"/>
  <c r="F116" i="12"/>
  <c r="F72" i="12"/>
  <c r="G72" i="6"/>
  <c r="F602" i="6"/>
  <c r="E602" i="12"/>
  <c r="U385" i="5"/>
  <c r="F554" i="6"/>
  <c r="E554" i="12"/>
  <c r="E374" i="12"/>
  <c r="F374" i="6"/>
  <c r="U441" i="5"/>
  <c r="F409" i="12"/>
  <c r="G409" i="6"/>
  <c r="F553" i="6"/>
  <c r="E553" i="12"/>
  <c r="F425" i="6"/>
  <c r="E425" i="12"/>
  <c r="U418" i="5"/>
  <c r="F329" i="12"/>
  <c r="G329" i="6"/>
  <c r="U435" i="5"/>
  <c r="F614" i="12"/>
  <c r="G614" i="6"/>
  <c r="F299" i="6"/>
  <c r="E299" i="12"/>
  <c r="G339" i="6"/>
  <c r="F339" i="12"/>
  <c r="E551" i="12"/>
  <c r="F551" i="6"/>
  <c r="F573" i="12"/>
  <c r="G573" i="6"/>
  <c r="U565" i="5"/>
  <c r="F406" i="12"/>
  <c r="G406" i="6"/>
  <c r="U350" i="5"/>
  <c r="U659" i="5"/>
  <c r="F600" i="12"/>
  <c r="G600" i="6"/>
  <c r="G432" i="6"/>
  <c r="F432" i="12"/>
  <c r="U347" i="5"/>
  <c r="F563" i="12"/>
  <c r="G563" i="6"/>
  <c r="F704" i="12"/>
  <c r="G704" i="6"/>
  <c r="G358" i="6"/>
  <c r="F358" i="12"/>
  <c r="E402" i="12"/>
  <c r="F402" i="6"/>
  <c r="U357" i="5"/>
  <c r="G548" i="6"/>
  <c r="F548" i="12"/>
  <c r="U612" i="5"/>
  <c r="E516" i="12"/>
  <c r="F516" i="6"/>
  <c r="U658" i="5"/>
  <c r="G617" i="6"/>
  <c r="F617" i="12"/>
  <c r="E592" i="12"/>
  <c r="F592" i="6"/>
  <c r="F481" i="12"/>
  <c r="G481" i="6"/>
  <c r="G741" i="6"/>
  <c r="F741" i="12"/>
  <c r="G733" i="6"/>
  <c r="F733" i="12"/>
  <c r="E564" i="12"/>
  <c r="F564" i="6"/>
  <c r="U638" i="5"/>
  <c r="E611" i="12"/>
  <c r="F611" i="6"/>
  <c r="U319" i="5"/>
  <c r="F314" i="6"/>
  <c r="E314" i="12"/>
  <c r="G353" i="6"/>
  <c r="F353" i="12"/>
  <c r="U696" i="5"/>
  <c r="F746" i="12"/>
  <c r="G746" i="6"/>
  <c r="F504" i="12"/>
  <c r="G504" i="6"/>
  <c r="F343" i="6"/>
  <c r="E343" i="12"/>
  <c r="E572" i="12"/>
  <c r="F572" i="6"/>
  <c r="F485" i="12"/>
  <c r="G485" i="6"/>
  <c r="U540" i="5"/>
  <c r="G634" i="6"/>
  <c r="F634" i="12"/>
  <c r="U370" i="5"/>
  <c r="G509" i="6"/>
  <c r="F509" i="12"/>
  <c r="E647" i="12"/>
  <c r="F647" i="6"/>
  <c r="G459" i="6"/>
  <c r="F459" i="12"/>
  <c r="G410" i="6"/>
  <c r="F410" i="12"/>
  <c r="U715" i="5"/>
  <c r="G297" i="6"/>
  <c r="F297" i="12"/>
  <c r="E579" i="12"/>
  <c r="F579" i="6"/>
  <c r="E598" i="12"/>
  <c r="F598" i="6"/>
  <c r="E635" i="12"/>
  <c r="F635" i="6"/>
  <c r="G454" i="6"/>
  <c r="F454" i="12"/>
  <c r="F386" i="12"/>
  <c r="G386" i="6"/>
  <c r="U711" i="5"/>
  <c r="F671" i="12"/>
  <c r="G671" i="6"/>
  <c r="G684" i="6"/>
  <c r="F684" i="12"/>
  <c r="U725" i="5"/>
  <c r="F503" i="12"/>
  <c r="G503" i="6"/>
  <c r="F586" i="12"/>
  <c r="G586" i="6"/>
  <c r="F677" i="6"/>
  <c r="E677" i="12"/>
  <c r="F730" i="6"/>
  <c r="E730" i="12"/>
  <c r="F364" i="6"/>
  <c r="E364" i="12"/>
  <c r="F519" i="12"/>
  <c r="G519" i="6"/>
  <c r="G407" i="6"/>
  <c r="F407" i="12"/>
  <c r="F434" i="12"/>
  <c r="G434" i="6"/>
  <c r="F560" i="6"/>
  <c r="E560" i="12"/>
  <c r="F576" i="12"/>
  <c r="G576" i="6"/>
  <c r="E578" i="12"/>
  <c r="F578" i="6"/>
  <c r="F305" i="6"/>
  <c r="E305" i="12"/>
  <c r="F632" i="6"/>
  <c r="E632" i="12"/>
  <c r="U309" i="5"/>
  <c r="F494" i="6"/>
  <c r="E494" i="12"/>
  <c r="F505" i="6"/>
  <c r="E505" i="12"/>
  <c r="G389" i="6"/>
  <c r="F389" i="12"/>
  <c r="U390" i="5"/>
  <c r="G680" i="6"/>
  <c r="F680" i="12"/>
  <c r="F478" i="12"/>
  <c r="G478" i="6"/>
  <c r="E438" i="12"/>
  <c r="F438" i="6"/>
  <c r="U697" i="5"/>
  <c r="U392" i="5"/>
  <c r="F301" i="12"/>
  <c r="G301" i="6"/>
  <c r="E349" i="12"/>
  <c r="F349" i="6"/>
  <c r="E543" i="12"/>
  <c r="F543" i="6"/>
  <c r="E522" i="12"/>
  <c r="F522" i="6"/>
  <c r="U570" i="5"/>
  <c r="U34" i="5"/>
  <c r="G149" i="6"/>
  <c r="F149" i="12"/>
  <c r="F226" i="6"/>
  <c r="E226" i="12"/>
  <c r="E189" i="12"/>
  <c r="F189" i="6"/>
  <c r="U41" i="5"/>
  <c r="E46" i="12"/>
  <c r="F46" i="6"/>
  <c r="G129" i="6"/>
  <c r="F129" i="12"/>
  <c r="E268" i="12"/>
  <c r="F268" i="6"/>
  <c r="F218" i="12"/>
  <c r="G218" i="6"/>
  <c r="F193" i="6"/>
  <c r="E193" i="12"/>
  <c r="F157" i="6"/>
  <c r="E157" i="12"/>
  <c r="E170" i="12"/>
  <c r="F170" i="6"/>
  <c r="F211" i="12"/>
  <c r="G211" i="6"/>
  <c r="F187" i="6"/>
  <c r="E187" i="12"/>
  <c r="F279" i="6"/>
  <c r="E279" i="12"/>
  <c r="F93" i="12"/>
  <c r="G93" i="6"/>
  <c r="E81" i="12"/>
  <c r="F81" i="6"/>
  <c r="U94" i="5"/>
  <c r="F49" i="6"/>
  <c r="E49" i="12"/>
  <c r="E89" i="12"/>
  <c r="F89" i="6"/>
  <c r="F137" i="12"/>
  <c r="G137" i="6"/>
  <c r="E155" i="12"/>
  <c r="F155" i="6"/>
  <c r="E56" i="12"/>
  <c r="F56" i="6"/>
  <c r="E290" i="12"/>
  <c r="F290" i="6"/>
  <c r="F118" i="6"/>
  <c r="E118" i="12"/>
  <c r="U54" i="5"/>
  <c r="G66" i="6"/>
  <c r="F66" i="12"/>
  <c r="E115" i="12"/>
  <c r="F115" i="6"/>
  <c r="U29" i="5"/>
  <c r="F232" i="12"/>
  <c r="G232" i="6"/>
  <c r="U278" i="5"/>
  <c r="U103" i="5"/>
  <c r="U75" i="5"/>
  <c r="U275" i="5"/>
  <c r="G128" i="6"/>
  <c r="F128" i="12"/>
  <c r="U204" i="5"/>
  <c r="F273" i="12"/>
  <c r="G273" i="6"/>
  <c r="G140" i="6"/>
  <c r="F140" i="12"/>
  <c r="F264" i="6"/>
  <c r="E264" i="12"/>
  <c r="E269" i="12"/>
  <c r="F269" i="6"/>
  <c r="F31" i="6"/>
  <c r="E31" i="12"/>
  <c r="U112" i="5"/>
  <c r="U65" i="5"/>
  <c r="U96" i="5"/>
  <c r="F168" i="12"/>
  <c r="G168" i="6"/>
  <c r="U70" i="5"/>
  <c r="E167" i="12"/>
  <c r="F167" i="6"/>
  <c r="F230" i="6"/>
  <c r="E230" i="12"/>
  <c r="U217" i="5"/>
  <c r="G238" i="6"/>
  <c r="F238" i="12"/>
  <c r="F172" i="6"/>
  <c r="E172" i="12"/>
  <c r="U80" i="5"/>
  <c r="F291" i="12"/>
  <c r="G291" i="6"/>
  <c r="E98" i="12"/>
  <c r="F98" i="6"/>
  <c r="U398" i="5"/>
  <c r="F559" i="12"/>
  <c r="G559" i="6"/>
  <c r="F585" i="12"/>
  <c r="G585" i="6"/>
  <c r="F699" i="6"/>
  <c r="E699" i="12"/>
  <c r="F531" i="6"/>
  <c r="E531" i="12"/>
  <c r="G675" i="6"/>
  <c r="F675" i="12"/>
  <c r="U705" i="5"/>
  <c r="F530" i="12"/>
  <c r="G530" i="6"/>
  <c r="U555" i="5"/>
  <c r="E455" i="12"/>
  <c r="F455" i="6"/>
  <c r="F625" i="12"/>
  <c r="G625" i="6"/>
  <c r="F453" i="12"/>
  <c r="G453" i="6"/>
  <c r="E311" i="12"/>
  <c r="F311" i="6"/>
  <c r="E323" i="12"/>
  <c r="F323" i="6"/>
  <c r="U726" i="5"/>
  <c r="F327" i="12"/>
  <c r="G327" i="6"/>
  <c r="U348" i="5"/>
  <c r="U420" i="5"/>
  <c r="F556" i="6"/>
  <c r="E556" i="12"/>
  <c r="U688" i="5"/>
  <c r="U702" i="5"/>
  <c r="F302" i="12"/>
  <c r="G302" i="6"/>
  <c r="G557" i="6"/>
  <c r="F557" i="12"/>
  <c r="F720" i="12"/>
  <c r="G720" i="6"/>
  <c r="F362" i="6"/>
  <c r="E362" i="12"/>
  <c r="G520" i="6"/>
  <c r="F520" i="12"/>
  <c r="F661" i="6"/>
  <c r="E661" i="12"/>
  <c r="F710" i="6"/>
  <c r="E710" i="12"/>
  <c r="G532" i="6"/>
  <c r="F532" i="12"/>
  <c r="F673" i="12"/>
  <c r="G673" i="6"/>
  <c r="F546" i="6"/>
  <c r="E546" i="12"/>
  <c r="F526" i="12"/>
  <c r="G526" i="6"/>
  <c r="E380" i="12"/>
  <c r="F380" i="6"/>
  <c r="U606" i="5"/>
  <c r="U310" i="5"/>
  <c r="U475" i="5"/>
  <c r="F336" i="6"/>
  <c r="E336" i="12"/>
  <c r="G498" i="6"/>
  <c r="F498" i="12"/>
  <c r="G698" i="6"/>
  <c r="F698" i="12"/>
  <c r="G344" i="6"/>
  <c r="F344" i="12"/>
  <c r="G495" i="6"/>
  <c r="F495" i="12"/>
  <c r="G529" i="6"/>
  <c r="F529" i="12"/>
  <c r="G662" i="6"/>
  <c r="F662" i="12"/>
  <c r="U523" i="5"/>
  <c r="U363" i="5"/>
  <c r="G538" i="6"/>
  <c r="F538" i="12"/>
  <c r="F528" i="12"/>
  <c r="G528" i="6"/>
  <c r="U394" i="5"/>
  <c r="F479" i="6"/>
  <c r="E479" i="12"/>
  <c r="F437" i="12"/>
  <c r="G437" i="6"/>
  <c r="U468" i="5"/>
  <c r="U484" i="5"/>
  <c r="F365" i="12"/>
  <c r="G365" i="6"/>
  <c r="E384" i="12"/>
  <c r="F384" i="6"/>
  <c r="F309" i="12"/>
  <c r="G309" i="6"/>
  <c r="U494" i="5"/>
  <c r="F505" i="12"/>
  <c r="G505" i="6"/>
  <c r="F389" i="6"/>
  <c r="E389" i="12"/>
  <c r="E390" i="12"/>
  <c r="F390" i="6"/>
  <c r="E680" i="12"/>
  <c r="F680" i="6"/>
  <c r="U478" i="5"/>
  <c r="G438" i="6"/>
  <c r="F438" i="12"/>
  <c r="F697" i="12"/>
  <c r="G697" i="6"/>
  <c r="G392" i="6"/>
  <c r="F392" i="12"/>
  <c r="E301" i="12"/>
  <c r="F301" i="6"/>
  <c r="F678" i="6"/>
  <c r="E678" i="12"/>
  <c r="E596" i="12"/>
  <c r="F596" i="6"/>
  <c r="F691" i="6"/>
  <c r="E691" i="12"/>
  <c r="U349" i="5"/>
  <c r="U543" i="5"/>
  <c r="U522" i="5"/>
  <c r="F570" i="12"/>
  <c r="G570" i="6"/>
  <c r="F639" i="12"/>
  <c r="G639" i="6"/>
  <c r="F34" i="6"/>
  <c r="E34" i="12"/>
  <c r="F85" i="6"/>
  <c r="E85" i="12"/>
  <c r="F130" i="12"/>
  <c r="G130" i="6"/>
  <c r="E149" i="12"/>
  <c r="F149" i="6"/>
  <c r="U226" i="5"/>
  <c r="G189" i="6"/>
  <c r="F189" i="12"/>
  <c r="F41" i="12"/>
  <c r="G41" i="6"/>
  <c r="F46" i="12"/>
  <c r="G46" i="6"/>
  <c r="E129" i="12"/>
  <c r="F129" i="6"/>
  <c r="U268" i="5"/>
  <c r="G174" i="6"/>
  <c r="F174" i="12"/>
  <c r="E218" i="12"/>
  <c r="F218" i="6"/>
  <c r="F178" i="6"/>
  <c r="E178" i="12"/>
  <c r="G170" i="6"/>
  <c r="F170" i="12"/>
  <c r="F110" i="6"/>
  <c r="E110" i="12"/>
  <c r="U132" i="5"/>
  <c r="U277" i="5"/>
  <c r="F94" i="12"/>
  <c r="G94" i="6"/>
  <c r="F202" i="12"/>
  <c r="G202" i="6"/>
  <c r="U49" i="5"/>
  <c r="G89" i="6"/>
  <c r="F89" i="12"/>
  <c r="E137" i="12"/>
  <c r="F137" i="6"/>
  <c r="F67" i="12"/>
  <c r="G67" i="6"/>
  <c r="G290" i="6"/>
  <c r="F290" i="12"/>
  <c r="F118" i="12"/>
  <c r="G118" i="6"/>
  <c r="E139" i="12"/>
  <c r="F139" i="6"/>
  <c r="F29" i="6"/>
  <c r="E29" i="12"/>
  <c r="U272" i="5"/>
  <c r="U76" i="5"/>
  <c r="F103" i="12"/>
  <c r="G103" i="6"/>
  <c r="F75" i="12"/>
  <c r="G75" i="6"/>
  <c r="F275" i="12"/>
  <c r="G275" i="6"/>
  <c r="F19" i="12"/>
  <c r="G19" i="6"/>
  <c r="F55" i="6"/>
  <c r="E55" i="12"/>
  <c r="U269" i="5"/>
  <c r="F105" i="12"/>
  <c r="F206" i="12"/>
  <c r="F184" i="12"/>
  <c r="F207" i="12"/>
  <c r="F48" i="12"/>
  <c r="F251" i="12"/>
  <c r="F258" i="12"/>
  <c r="F60" i="12"/>
  <c r="F190" i="12"/>
  <c r="F240" i="12"/>
  <c r="F165" i="12"/>
  <c r="F144" i="12"/>
  <c r="F227" i="12"/>
  <c r="F213" i="12"/>
  <c r="F254" i="12"/>
  <c r="F124" i="12"/>
  <c r="F191" i="12"/>
  <c r="F106" i="12"/>
  <c r="E14" i="12"/>
  <c r="AC14" i="5"/>
  <c r="F14" i="6"/>
  <c r="F40" i="12"/>
  <c r="F108" i="12"/>
  <c r="F14" i="12"/>
  <c r="G14" i="6"/>
  <c r="F241" i="12"/>
  <c r="F123" i="12"/>
  <c r="F78" i="12"/>
  <c r="F100" i="12"/>
  <c r="F136" i="12"/>
  <c r="F17" i="12"/>
  <c r="F87" i="12"/>
  <c r="F236" i="12"/>
  <c r="F267" i="12"/>
  <c r="F119" i="12"/>
  <c r="F162" i="12"/>
  <c r="F114" i="12"/>
  <c r="F95" i="12"/>
  <c r="F86" i="12"/>
  <c r="F266" i="12"/>
  <c r="F16" i="12"/>
  <c r="F36" i="12"/>
  <c r="F59" i="12"/>
  <c r="F177" i="12"/>
  <c r="F35" i="12"/>
  <c r="F131" i="12"/>
  <c r="F71" i="12"/>
  <c r="F27" i="12"/>
  <c r="W70" i="5" l="1"/>
  <c r="AN70" i="5"/>
  <c r="AN103" i="5"/>
  <c r="W103" i="5"/>
  <c r="W418" i="5"/>
  <c r="AN418" i="5"/>
  <c r="W279" i="5"/>
  <c r="AN279" i="5"/>
  <c r="AN481" i="5"/>
  <c r="W481" i="5"/>
  <c r="AN548" i="5"/>
  <c r="W548" i="5"/>
  <c r="W81" i="5"/>
  <c r="AN81" i="5"/>
  <c r="AN677" i="5"/>
  <c r="W677" i="5"/>
  <c r="AN72" i="5"/>
  <c r="W72" i="5"/>
  <c r="W239" i="5"/>
  <c r="AN239" i="5"/>
  <c r="W281" i="5"/>
  <c r="AN281" i="5"/>
  <c r="AN655" i="5"/>
  <c r="W655" i="5"/>
  <c r="W320" i="5"/>
  <c r="AN320" i="5"/>
  <c r="W91" i="5"/>
  <c r="AN91" i="5"/>
  <c r="AN58" i="5"/>
  <c r="W58" i="5"/>
  <c r="AN636" i="5"/>
  <c r="W636" i="5"/>
  <c r="W208" i="5"/>
  <c r="AN208" i="5"/>
  <c r="AN674" i="5"/>
  <c r="W674" i="5"/>
  <c r="AN104" i="5"/>
  <c r="W104" i="5"/>
  <c r="W83" i="5"/>
  <c r="AN83" i="5"/>
  <c r="W324" i="5"/>
  <c r="AN324" i="5"/>
  <c r="W461" i="5"/>
  <c r="AN461" i="5"/>
  <c r="W534" i="5"/>
  <c r="AN534" i="5"/>
  <c r="AN469" i="5"/>
  <c r="W469" i="5"/>
  <c r="AN342" i="5"/>
  <c r="W342" i="5"/>
  <c r="W39" i="5"/>
  <c r="AN39" i="5"/>
  <c r="W57" i="5"/>
  <c r="AN57" i="5"/>
  <c r="W679" i="5"/>
  <c r="AN679" i="5"/>
  <c r="W537" i="5"/>
  <c r="AN537" i="5"/>
  <c r="AN437" i="5"/>
  <c r="W437" i="5"/>
  <c r="W698" i="5"/>
  <c r="AN698" i="5"/>
  <c r="W625" i="5"/>
  <c r="AN625" i="5"/>
  <c r="AN559" i="5"/>
  <c r="W559" i="5"/>
  <c r="AN55" i="5"/>
  <c r="W55" i="5"/>
  <c r="AN495" i="5"/>
  <c r="W495" i="5"/>
  <c r="AN530" i="5"/>
  <c r="W530" i="5"/>
  <c r="AN98" i="5"/>
  <c r="W98" i="5"/>
  <c r="AN484" i="5"/>
  <c r="W484" i="5"/>
  <c r="AN363" i="5"/>
  <c r="W363" i="5"/>
  <c r="W555" i="5"/>
  <c r="AN555" i="5"/>
  <c r="AN278" i="5"/>
  <c r="W278" i="5"/>
  <c r="AN34" i="5"/>
  <c r="W34" i="5"/>
  <c r="W370" i="5"/>
  <c r="AN370" i="5"/>
  <c r="AN357" i="5"/>
  <c r="W357" i="5"/>
  <c r="W373" i="5"/>
  <c r="AN373" i="5"/>
  <c r="W66" i="5"/>
  <c r="AN66" i="5"/>
  <c r="W93" i="5"/>
  <c r="AN93" i="5"/>
  <c r="W586" i="5"/>
  <c r="AN586" i="5"/>
  <c r="AN406" i="5"/>
  <c r="W406" i="5"/>
  <c r="W333" i="5"/>
  <c r="AN333" i="5"/>
  <c r="W183" i="5"/>
  <c r="AN183" i="5"/>
  <c r="AN732" i="5"/>
  <c r="W732" i="5"/>
  <c r="AN451" i="5"/>
  <c r="W451" i="5"/>
  <c r="W411" i="5"/>
  <c r="AN411" i="5"/>
  <c r="AN452" i="5"/>
  <c r="W452" i="5"/>
  <c r="W179" i="5"/>
  <c r="AN179" i="5"/>
  <c r="AN62" i="5"/>
  <c r="W62" i="5"/>
  <c r="W542" i="5"/>
  <c r="AN542" i="5"/>
  <c r="W414" i="5"/>
  <c r="AN414" i="5"/>
  <c r="W650" i="5"/>
  <c r="AN650" i="5"/>
  <c r="AN403" i="5"/>
  <c r="W403" i="5"/>
  <c r="W28" i="5"/>
  <c r="AN28" i="5"/>
  <c r="W706" i="5"/>
  <c r="AN706" i="5"/>
  <c r="AN330" i="5"/>
  <c r="W330" i="5"/>
  <c r="AN721" i="5"/>
  <c r="W721" i="5"/>
  <c r="W712" i="5"/>
  <c r="AN712" i="5"/>
  <c r="W527" i="5"/>
  <c r="AN527" i="5"/>
  <c r="AN431" i="5"/>
  <c r="W431" i="5"/>
  <c r="W30" i="5"/>
  <c r="AN30" i="5"/>
  <c r="AN47" i="5"/>
  <c r="W47" i="5"/>
  <c r="W296" i="5"/>
  <c r="AN296" i="5"/>
  <c r="W664" i="5"/>
  <c r="AN664" i="5"/>
  <c r="AN368" i="5"/>
  <c r="W368" i="5"/>
  <c r="AN528" i="5"/>
  <c r="W528" i="5"/>
  <c r="AN673" i="5"/>
  <c r="W673" i="5"/>
  <c r="W455" i="5"/>
  <c r="AN455" i="5"/>
  <c r="W133" i="5"/>
  <c r="AN133" i="5"/>
  <c r="AN97" i="5"/>
  <c r="W97" i="5"/>
  <c r="AN380" i="5"/>
  <c r="W380" i="5"/>
  <c r="AN302" i="5"/>
  <c r="W302" i="5"/>
  <c r="AN453" i="5"/>
  <c r="W453" i="5"/>
  <c r="AN291" i="5"/>
  <c r="W291" i="5"/>
  <c r="AN468" i="5"/>
  <c r="W468" i="5"/>
  <c r="W523" i="5"/>
  <c r="AN523" i="5"/>
  <c r="AN702" i="5"/>
  <c r="W702" i="5"/>
  <c r="AN570" i="5"/>
  <c r="W570" i="5"/>
  <c r="W392" i="5"/>
  <c r="AN392" i="5"/>
  <c r="AN118" i="5"/>
  <c r="W118" i="5"/>
  <c r="AN648" i="5"/>
  <c r="W648" i="5"/>
  <c r="W395" i="5"/>
  <c r="AN395" i="5"/>
  <c r="AN50" i="5"/>
  <c r="W50" i="5"/>
  <c r="W214" i="5"/>
  <c r="AN214" i="5"/>
  <c r="W656" i="5"/>
  <c r="AN656" i="5"/>
  <c r="AN387" i="5"/>
  <c r="W387" i="5"/>
  <c r="W361" i="5"/>
  <c r="AN361" i="5"/>
  <c r="W192" i="5"/>
  <c r="AN192" i="5"/>
  <c r="W714" i="5"/>
  <c r="AN714" i="5"/>
  <c r="W450" i="5"/>
  <c r="AN450" i="5"/>
  <c r="AN355" i="5"/>
  <c r="W355" i="5"/>
  <c r="W289" i="5"/>
  <c r="AN289" i="5"/>
  <c r="AN121" i="5"/>
  <c r="W121" i="5"/>
  <c r="W313" i="5"/>
  <c r="AN313" i="5"/>
  <c r="W591" i="5"/>
  <c r="AN591" i="5"/>
  <c r="W423" i="5"/>
  <c r="AN423" i="5"/>
  <c r="W304" i="5"/>
  <c r="AN304" i="5"/>
  <c r="W429" i="5"/>
  <c r="AN429" i="5"/>
  <c r="W308" i="5"/>
  <c r="AN308" i="5"/>
  <c r="AN79" i="5"/>
  <c r="W79" i="5"/>
  <c r="W182" i="5"/>
  <c r="AN182" i="5"/>
  <c r="W604" i="5"/>
  <c r="AN604" i="5"/>
  <c r="AN362" i="5"/>
  <c r="W362" i="5"/>
  <c r="AN438" i="5"/>
  <c r="W438" i="5"/>
  <c r="W269" i="5"/>
  <c r="AN269" i="5"/>
  <c r="W76" i="5"/>
  <c r="AN76" i="5"/>
  <c r="AN277" i="5"/>
  <c r="W277" i="5"/>
  <c r="W688" i="5"/>
  <c r="AN688" i="5"/>
  <c r="AN96" i="5"/>
  <c r="W96" i="5"/>
  <c r="W697" i="5"/>
  <c r="AN697" i="5"/>
  <c r="W715" i="5"/>
  <c r="AN715" i="5"/>
  <c r="AN638" i="5"/>
  <c r="W638" i="5"/>
  <c r="W290" i="5"/>
  <c r="AN290" i="5"/>
  <c r="AN211" i="5"/>
  <c r="W211" i="5"/>
  <c r="AN635" i="5"/>
  <c r="W635" i="5"/>
  <c r="AN459" i="5"/>
  <c r="W459" i="5"/>
  <c r="W432" i="5"/>
  <c r="AN432" i="5"/>
  <c r="AN553" i="5"/>
  <c r="W553" i="5"/>
  <c r="AN345" i="5"/>
  <c r="W345" i="5"/>
  <c r="AN215" i="5"/>
  <c r="W215" i="5"/>
  <c r="AN651" i="5"/>
  <c r="W651" i="5"/>
  <c r="AN371" i="5"/>
  <c r="W371" i="5"/>
  <c r="W462" i="5"/>
  <c r="AN462" i="5"/>
  <c r="AN20" i="5"/>
  <c r="W20" i="5"/>
  <c r="W436" i="5"/>
  <c r="AN436" i="5"/>
  <c r="W719" i="5"/>
  <c r="AN719" i="5"/>
  <c r="W399" i="5"/>
  <c r="AN399" i="5"/>
  <c r="W486" i="5"/>
  <c r="AN486" i="5"/>
  <c r="W566" i="5"/>
  <c r="AN566" i="5"/>
  <c r="AN442" i="5"/>
  <c r="W442" i="5"/>
  <c r="AN195" i="5"/>
  <c r="W195" i="5"/>
  <c r="W356" i="5"/>
  <c r="AN356" i="5"/>
  <c r="W64" i="5"/>
  <c r="AN64" i="5"/>
  <c r="AN210" i="5"/>
  <c r="W210" i="5"/>
  <c r="AN117" i="5"/>
  <c r="W117" i="5"/>
  <c r="AN237" i="5"/>
  <c r="W237" i="5"/>
  <c r="W300" i="5"/>
  <c r="AN300" i="5"/>
  <c r="AN274" i="5"/>
  <c r="W274" i="5"/>
  <c r="W253" i="5"/>
  <c r="AN253" i="5"/>
  <c r="AN307" i="5"/>
  <c r="W307" i="5"/>
  <c r="AN590" i="5"/>
  <c r="W590" i="5"/>
  <c r="W298" i="5"/>
  <c r="AN298" i="5"/>
  <c r="AN67" i="5"/>
  <c r="W67" i="5"/>
  <c r="AN724" i="5"/>
  <c r="W724" i="5"/>
  <c r="W720" i="5"/>
  <c r="AN720" i="5"/>
  <c r="W675" i="5"/>
  <c r="AN675" i="5"/>
  <c r="W520" i="5"/>
  <c r="AN520" i="5"/>
  <c r="AN323" i="5"/>
  <c r="W323" i="5"/>
  <c r="W585" i="5"/>
  <c r="AN585" i="5"/>
  <c r="W272" i="5"/>
  <c r="AN272" i="5"/>
  <c r="W132" i="5"/>
  <c r="AN132" i="5"/>
  <c r="W226" i="5"/>
  <c r="AN226" i="5"/>
  <c r="AN705" i="5"/>
  <c r="W705" i="5"/>
  <c r="W65" i="5"/>
  <c r="AN65" i="5"/>
  <c r="AN29" i="5"/>
  <c r="W29" i="5"/>
  <c r="W41" i="5"/>
  <c r="AN41" i="5"/>
  <c r="AN540" i="5"/>
  <c r="W540" i="5"/>
  <c r="AN659" i="5"/>
  <c r="W659" i="5"/>
  <c r="W385" i="5"/>
  <c r="AN385" i="5"/>
  <c r="AN56" i="5"/>
  <c r="W56" i="5"/>
  <c r="W434" i="5"/>
  <c r="AN434" i="5"/>
  <c r="AN647" i="5"/>
  <c r="W647" i="5"/>
  <c r="W409" i="5"/>
  <c r="AN409" i="5"/>
  <c r="W18" i="5"/>
  <c r="AN18" i="5"/>
  <c r="W196" i="5"/>
  <c r="AN196" i="5"/>
  <c r="AN305" i="5"/>
  <c r="W305" i="5"/>
  <c r="W671" i="5"/>
  <c r="AN671" i="5"/>
  <c r="W601" i="5"/>
  <c r="AN601" i="5"/>
  <c r="AN393" i="5"/>
  <c r="W393" i="5"/>
  <c r="AN415" i="5"/>
  <c r="W415" i="5"/>
  <c r="W401" i="5"/>
  <c r="AN401" i="5"/>
  <c r="W624" i="5"/>
  <c r="AN624" i="5"/>
  <c r="W42" i="5"/>
  <c r="AN42" i="5"/>
  <c r="W507" i="5"/>
  <c r="AN507" i="5"/>
  <c r="W388" i="5"/>
  <c r="AN388" i="5"/>
  <c r="AN713" i="5"/>
  <c r="W713" i="5"/>
  <c r="AN32" i="5"/>
  <c r="W32" i="5"/>
  <c r="AN63" i="5"/>
  <c r="W63" i="5"/>
  <c r="W252" i="5"/>
  <c r="AN252" i="5"/>
  <c r="AN69" i="5"/>
  <c r="W69" i="5"/>
  <c r="W447" i="5"/>
  <c r="AN447" i="5"/>
  <c r="W284" i="5"/>
  <c r="AN284" i="5"/>
  <c r="AN384" i="5"/>
  <c r="W384" i="5"/>
  <c r="W327" i="5"/>
  <c r="AN327" i="5"/>
  <c r="AN531" i="5"/>
  <c r="W531" i="5"/>
  <c r="AN22" i="5"/>
  <c r="W22" i="5"/>
  <c r="AN478" i="5"/>
  <c r="W478" i="5"/>
  <c r="AN494" i="5"/>
  <c r="W494" i="5"/>
  <c r="W398" i="5"/>
  <c r="AN398" i="5"/>
  <c r="AN217" i="5"/>
  <c r="W217" i="5"/>
  <c r="W112" i="5"/>
  <c r="AN112" i="5"/>
  <c r="AN696" i="5"/>
  <c r="W696" i="5"/>
  <c r="AN350" i="5"/>
  <c r="W350" i="5"/>
  <c r="AN225" i="5"/>
  <c r="W225" i="5"/>
  <c r="W343" i="5"/>
  <c r="AN343" i="5"/>
  <c r="AN551" i="5"/>
  <c r="W551" i="5"/>
  <c r="AN109" i="5"/>
  <c r="W109" i="5"/>
  <c r="AN545" i="5"/>
  <c r="W545" i="5"/>
  <c r="AN657" i="5"/>
  <c r="W657" i="5"/>
  <c r="AN458" i="5"/>
  <c r="W458" i="5"/>
  <c r="W588" i="5"/>
  <c r="AN588" i="5"/>
  <c r="W352" i="5"/>
  <c r="AN352" i="5"/>
  <c r="W282" i="5"/>
  <c r="AN282" i="5"/>
  <c r="AN377" i="5"/>
  <c r="W377" i="5"/>
  <c r="AN739" i="5"/>
  <c r="W739" i="5"/>
  <c r="AN224" i="5"/>
  <c r="W224" i="5"/>
  <c r="W381" i="5"/>
  <c r="AN381" i="5"/>
  <c r="W295" i="5"/>
  <c r="AN295" i="5"/>
  <c r="W549" i="5"/>
  <c r="AN549" i="5"/>
  <c r="W242" i="5"/>
  <c r="AN242" i="5"/>
  <c r="AN699" i="5"/>
  <c r="W699" i="5"/>
  <c r="W110" i="5"/>
  <c r="AN110" i="5"/>
  <c r="W546" i="5"/>
  <c r="AN546" i="5"/>
  <c r="AN645" i="5"/>
  <c r="W645" i="5"/>
  <c r="W43" i="5"/>
  <c r="AN43" i="5"/>
  <c r="AN680" i="5"/>
  <c r="W680" i="5"/>
  <c r="AN268" i="5"/>
  <c r="W268" i="5"/>
  <c r="W725" i="5"/>
  <c r="AN725" i="5"/>
  <c r="W658" i="5"/>
  <c r="AN658" i="5"/>
  <c r="AN111" i="5"/>
  <c r="W111" i="5"/>
  <c r="AN88" i="5"/>
  <c r="W88" i="5"/>
  <c r="AN271" i="5"/>
  <c r="W271" i="5"/>
  <c r="AN310" i="5"/>
  <c r="W310" i="5"/>
  <c r="AN420" i="5"/>
  <c r="W420" i="5"/>
  <c r="W204" i="5"/>
  <c r="AN204" i="5"/>
  <c r="W94" i="5"/>
  <c r="AN94" i="5"/>
  <c r="AN115" i="5"/>
  <c r="W115" i="5"/>
  <c r="W89" i="5"/>
  <c r="AN89" i="5"/>
  <c r="W564" i="5"/>
  <c r="AN564" i="5"/>
  <c r="AN228" i="5"/>
  <c r="W228" i="5"/>
  <c r="AN354" i="5"/>
  <c r="W354" i="5"/>
  <c r="W216" i="5"/>
  <c r="AN216" i="5"/>
  <c r="AN276" i="5"/>
  <c r="W276" i="5"/>
  <c r="W346" i="5"/>
  <c r="AN346" i="5"/>
  <c r="AN292" i="5"/>
  <c r="W292" i="5"/>
  <c r="AN68" i="5"/>
  <c r="W68" i="5"/>
  <c r="W497" i="5"/>
  <c r="AN497" i="5"/>
  <c r="W293" i="5"/>
  <c r="AN293" i="5"/>
  <c r="W51" i="5"/>
  <c r="AN51" i="5"/>
  <c r="W619" i="5"/>
  <c r="AN619" i="5"/>
  <c r="W663" i="5"/>
  <c r="AN663" i="5"/>
  <c r="AN382" i="5"/>
  <c r="W382" i="5"/>
  <c r="W558" i="5"/>
  <c r="AN558" i="5"/>
  <c r="AN92" i="5"/>
  <c r="W92" i="5"/>
  <c r="W113" i="5"/>
  <c r="AN113" i="5"/>
  <c r="W301" i="5"/>
  <c r="AN301" i="5"/>
  <c r="W479" i="5"/>
  <c r="AN479" i="5"/>
  <c r="AN238" i="5"/>
  <c r="W238" i="5"/>
  <c r="W46" i="5"/>
  <c r="AN46" i="5"/>
  <c r="W515" i="5"/>
  <c r="AN515" i="5"/>
  <c r="W84" i="5"/>
  <c r="AN84" i="5"/>
  <c r="AN522" i="5"/>
  <c r="W522" i="5"/>
  <c r="AN394" i="5"/>
  <c r="W394" i="5"/>
  <c r="W606" i="5"/>
  <c r="AN606" i="5"/>
  <c r="AN348" i="5"/>
  <c r="W348" i="5"/>
  <c r="W309" i="5"/>
  <c r="AN309" i="5"/>
  <c r="AN565" i="5"/>
  <c r="W565" i="5"/>
  <c r="AN297" i="5"/>
  <c r="W297" i="5"/>
  <c r="W733" i="5"/>
  <c r="AN733" i="5"/>
  <c r="AN704" i="5"/>
  <c r="W704" i="5"/>
  <c r="W116" i="5"/>
  <c r="AN116" i="5"/>
  <c r="W407" i="5"/>
  <c r="AN407" i="5"/>
  <c r="AN386" i="5"/>
  <c r="W386" i="5"/>
  <c r="AN374" i="5"/>
  <c r="W374" i="5"/>
  <c r="AN209" i="5"/>
  <c r="W209" i="5"/>
  <c r="W439" i="5"/>
  <c r="AN439" i="5"/>
  <c r="W477" i="5"/>
  <c r="AN477" i="5"/>
  <c r="AN33" i="5"/>
  <c r="W33" i="5"/>
  <c r="W536" i="5"/>
  <c r="AN536" i="5"/>
  <c r="W496" i="5"/>
  <c r="AN496" i="5"/>
  <c r="AN122" i="5"/>
  <c r="W122" i="5"/>
  <c r="AN569" i="5"/>
  <c r="W569" i="5"/>
  <c r="AN303" i="5"/>
  <c r="W303" i="5"/>
  <c r="W270" i="5"/>
  <c r="AN270" i="5"/>
  <c r="W567" i="5"/>
  <c r="AN567" i="5"/>
  <c r="AN637" i="5"/>
  <c r="W637" i="5"/>
  <c r="W681" i="5"/>
  <c r="AN681" i="5"/>
  <c r="AN524" i="5"/>
  <c r="W524" i="5"/>
  <c r="W52" i="5"/>
  <c r="AN52" i="5"/>
  <c r="AN404" i="5"/>
  <c r="W404" i="5"/>
  <c r="W525" i="5"/>
  <c r="AN525" i="5"/>
  <c r="W474" i="5"/>
  <c r="AN474" i="5"/>
  <c r="AN325" i="5"/>
  <c r="W325" i="5"/>
  <c r="W662" i="5"/>
  <c r="AN662" i="5"/>
  <c r="W556" i="5"/>
  <c r="AN556" i="5"/>
  <c r="W311" i="5"/>
  <c r="AN311" i="5"/>
  <c r="AN180" i="5"/>
  <c r="W180" i="5"/>
  <c r="AN335" i="5"/>
  <c r="W335" i="5"/>
  <c r="W703" i="5"/>
  <c r="AN703" i="5"/>
  <c r="AN543" i="5"/>
  <c r="W543" i="5"/>
  <c r="W435" i="5"/>
  <c r="AN435" i="5"/>
  <c r="AN441" i="5"/>
  <c r="W441" i="5"/>
  <c r="AN519" i="5"/>
  <c r="W519" i="5"/>
  <c r="W454" i="5"/>
  <c r="AN454" i="5"/>
  <c r="AN592" i="5"/>
  <c r="W592" i="5"/>
  <c r="AN554" i="5"/>
  <c r="W554" i="5"/>
  <c r="W286" i="5"/>
  <c r="AN286" i="5"/>
  <c r="AN120" i="5"/>
  <c r="W120" i="5"/>
  <c r="AN135" i="5"/>
  <c r="W135" i="5"/>
  <c r="AN428" i="5"/>
  <c r="W428" i="5"/>
  <c r="AN727" i="5"/>
  <c r="W727" i="5"/>
  <c r="W322" i="5"/>
  <c r="AN322" i="5"/>
  <c r="W45" i="5"/>
  <c r="AN45" i="5"/>
  <c r="AN595" i="5"/>
  <c r="W595" i="5"/>
  <c r="W670" i="5"/>
  <c r="AN670" i="5"/>
  <c r="AN464" i="5"/>
  <c r="W464" i="5"/>
  <c r="AN533" i="5"/>
  <c r="W533" i="5"/>
  <c r="W243" i="5"/>
  <c r="AN243" i="5"/>
  <c r="AN514" i="5"/>
  <c r="W514" i="5"/>
  <c r="AN194" i="5"/>
  <c r="W194" i="5"/>
  <c r="AN405" i="5"/>
  <c r="W405" i="5"/>
  <c r="AN521" i="5"/>
  <c r="W521" i="5"/>
  <c r="AN376" i="5"/>
  <c r="W376" i="5"/>
  <c r="W587" i="5"/>
  <c r="AN587" i="5"/>
  <c r="W336" i="5"/>
  <c r="AN336" i="5"/>
  <c r="AN389" i="5"/>
  <c r="W389" i="5"/>
  <c r="W365" i="5"/>
  <c r="AN365" i="5"/>
  <c r="W538" i="5"/>
  <c r="AN538" i="5"/>
  <c r="AN529" i="5"/>
  <c r="W529" i="5"/>
  <c r="W532" i="5"/>
  <c r="AN532" i="5"/>
  <c r="AN557" i="5"/>
  <c r="W557" i="5"/>
  <c r="AN475" i="5"/>
  <c r="W475" i="5"/>
  <c r="AN61" i="5"/>
  <c r="W61" i="5"/>
  <c r="W299" i="5"/>
  <c r="AN299" i="5"/>
  <c r="AN49" i="5"/>
  <c r="W49" i="5"/>
  <c r="W349" i="5"/>
  <c r="AN349" i="5"/>
  <c r="AN275" i="5"/>
  <c r="W275" i="5"/>
  <c r="AN54" i="5"/>
  <c r="W54" i="5"/>
  <c r="W612" i="5"/>
  <c r="AN612" i="5"/>
  <c r="W31" i="5"/>
  <c r="AN31" i="5"/>
  <c r="AN53" i="5"/>
  <c r="W53" i="5"/>
  <c r="AN189" i="5"/>
  <c r="W189" i="5"/>
  <c r="W102" i="5"/>
  <c r="AN102" i="5"/>
  <c r="W509" i="5"/>
  <c r="AN509" i="5"/>
  <c r="W358" i="5"/>
  <c r="AN358" i="5"/>
  <c r="AN329" i="5"/>
  <c r="W329" i="5"/>
  <c r="W235" i="5"/>
  <c r="AN235" i="5"/>
  <c r="AN419" i="5"/>
  <c r="W419" i="5"/>
  <c r="AN378" i="5"/>
  <c r="W378" i="5"/>
  <c r="AN400" i="5"/>
  <c r="W400" i="5"/>
  <c r="W383" i="5"/>
  <c r="AN383" i="5"/>
  <c r="W690" i="5"/>
  <c r="AN690" i="5"/>
  <c r="W616" i="5"/>
  <c r="AN616" i="5"/>
  <c r="AN571" i="5"/>
  <c r="W571" i="5"/>
  <c r="W631" i="5"/>
  <c r="AN631" i="5"/>
  <c r="AN716" i="5"/>
  <c r="W716" i="5"/>
  <c r="AN73" i="5"/>
  <c r="W73" i="5"/>
  <c r="W283" i="5"/>
  <c r="AN283" i="5"/>
  <c r="AN82" i="5"/>
  <c r="W82" i="5"/>
  <c r="AN372" i="5"/>
  <c r="W372" i="5"/>
  <c r="W547" i="5"/>
  <c r="AN547" i="5"/>
  <c r="AN197" i="5"/>
  <c r="W197" i="5"/>
  <c r="AN701" i="5"/>
  <c r="W701" i="5"/>
  <c r="AN107" i="5"/>
  <c r="W107" i="5"/>
  <c r="AN19" i="5"/>
  <c r="W19" i="5"/>
  <c r="W526" i="5"/>
  <c r="AN526" i="5"/>
  <c r="AN661" i="5"/>
  <c r="W661" i="5"/>
  <c r="W505" i="5"/>
  <c r="AN505" i="5"/>
  <c r="W498" i="5"/>
  <c r="AN498" i="5"/>
  <c r="W710" i="5"/>
  <c r="AN710" i="5"/>
  <c r="W294" i="5"/>
  <c r="AN294" i="5"/>
  <c r="AN726" i="5"/>
  <c r="W726" i="5"/>
  <c r="W80" i="5"/>
  <c r="AN80" i="5"/>
  <c r="AN75" i="5"/>
  <c r="W75" i="5"/>
  <c r="AN390" i="5"/>
  <c r="W390" i="5"/>
  <c r="AN711" i="5"/>
  <c r="W711" i="5"/>
  <c r="W319" i="5"/>
  <c r="AN319" i="5"/>
  <c r="AN347" i="5"/>
  <c r="W347" i="5"/>
  <c r="W218" i="5"/>
  <c r="AN218" i="5"/>
  <c r="W364" i="5"/>
  <c r="AN364" i="5"/>
  <c r="W90" i="5"/>
  <c r="AN90" i="5"/>
  <c r="W193" i="5"/>
  <c r="AN193" i="5"/>
  <c r="W707" i="5"/>
  <c r="AN707" i="5"/>
  <c r="AN693" i="5"/>
  <c r="W693" i="5"/>
  <c r="AN321" i="5"/>
  <c r="W321" i="5"/>
  <c r="AN541" i="5"/>
  <c r="W541" i="5"/>
  <c r="AN360" i="5"/>
  <c r="W360" i="5"/>
  <c r="AN312" i="5"/>
  <c r="W312" i="5"/>
  <c r="AN285" i="5"/>
  <c r="W285" i="5"/>
  <c r="AN74" i="5"/>
  <c r="W74" i="5"/>
  <c r="AN550" i="5"/>
  <c r="W550" i="5"/>
  <c r="W328" i="5"/>
  <c r="AN328" i="5"/>
  <c r="AN212" i="5"/>
  <c r="W212" i="5"/>
  <c r="W359" i="5"/>
  <c r="AN359" i="5"/>
  <c r="AN628" i="5"/>
  <c r="W628" i="5"/>
  <c r="AN233" i="5"/>
  <c r="W233" i="5"/>
  <c r="AN44" i="5"/>
  <c r="W44" i="5"/>
  <c r="AN717" i="5"/>
  <c r="W717" i="5"/>
  <c r="AN344" i="5"/>
  <c r="W344" i="5"/>
  <c r="AN287" i="5"/>
  <c r="W287" i="5"/>
  <c r="X717" i="5" l="1"/>
  <c r="H717" i="12"/>
  <c r="H541" i="12"/>
  <c r="X541" i="5"/>
  <c r="X75" i="5"/>
  <c r="H75" i="12"/>
  <c r="X197" i="5"/>
  <c r="H197" i="12"/>
  <c r="X716" i="5"/>
  <c r="H716" i="12"/>
  <c r="H400" i="12"/>
  <c r="X400" i="5"/>
  <c r="X54" i="5"/>
  <c r="H54" i="12"/>
  <c r="X475" i="5"/>
  <c r="H475" i="12"/>
  <c r="X389" i="5"/>
  <c r="H389" i="12"/>
  <c r="X194" i="5"/>
  <c r="H194" i="12"/>
  <c r="H595" i="12"/>
  <c r="X595" i="5"/>
  <c r="X120" i="5"/>
  <c r="H120" i="12"/>
  <c r="H441" i="12"/>
  <c r="X441" i="5"/>
  <c r="X404" i="5"/>
  <c r="H404" i="12"/>
  <c r="X33" i="5"/>
  <c r="H33" i="12"/>
  <c r="H92" i="12"/>
  <c r="X92" i="5"/>
  <c r="H111" i="12"/>
  <c r="X111" i="5"/>
  <c r="H645" i="12"/>
  <c r="X645" i="5"/>
  <c r="X551" i="5"/>
  <c r="H551" i="12"/>
  <c r="H217" i="12"/>
  <c r="X217" i="5"/>
  <c r="H63" i="12"/>
  <c r="X63" i="5"/>
  <c r="H305" i="12"/>
  <c r="X305" i="5"/>
  <c r="X56" i="5"/>
  <c r="H56" i="12"/>
  <c r="H323" i="12"/>
  <c r="X323" i="5"/>
  <c r="H237" i="12"/>
  <c r="X237" i="5"/>
  <c r="H442" i="12"/>
  <c r="X442" i="5"/>
  <c r="X20" i="5"/>
  <c r="H20" i="12"/>
  <c r="H553" i="12"/>
  <c r="X553" i="5"/>
  <c r="H638" i="12"/>
  <c r="X638" i="5"/>
  <c r="X79" i="5"/>
  <c r="H79" i="12"/>
  <c r="X97" i="5"/>
  <c r="H97" i="12"/>
  <c r="X34" i="5"/>
  <c r="H34" i="12"/>
  <c r="H530" i="12"/>
  <c r="X530" i="5"/>
  <c r="H437" i="12"/>
  <c r="X437" i="5"/>
  <c r="X469" i="5"/>
  <c r="H469" i="12"/>
  <c r="X674" i="5"/>
  <c r="H674" i="12"/>
  <c r="X655" i="5"/>
  <c r="H655" i="12"/>
  <c r="X548" i="5"/>
  <c r="H548" i="12"/>
  <c r="H328" i="12"/>
  <c r="X328" i="5"/>
  <c r="X364" i="5"/>
  <c r="H364" i="12"/>
  <c r="H505" i="12"/>
  <c r="X505" i="5"/>
  <c r="H509" i="12"/>
  <c r="X509" i="5"/>
  <c r="X311" i="5"/>
  <c r="H311" i="12"/>
  <c r="X270" i="5"/>
  <c r="H270" i="12"/>
  <c r="X407" i="5"/>
  <c r="H407" i="12"/>
  <c r="H309" i="12"/>
  <c r="X309" i="5"/>
  <c r="H515" i="12"/>
  <c r="X515" i="5"/>
  <c r="H293" i="12"/>
  <c r="X293" i="5"/>
  <c r="H216" i="12"/>
  <c r="X216" i="5"/>
  <c r="H94" i="12"/>
  <c r="X94" i="5"/>
  <c r="X295" i="5"/>
  <c r="H295" i="12"/>
  <c r="X352" i="5"/>
  <c r="H352" i="12"/>
  <c r="H327" i="12"/>
  <c r="X327" i="5"/>
  <c r="H624" i="12"/>
  <c r="X624" i="5"/>
  <c r="X65" i="5"/>
  <c r="H65" i="12"/>
  <c r="X298" i="5"/>
  <c r="H298" i="12"/>
  <c r="H76" i="12"/>
  <c r="X76" i="5"/>
  <c r="X313" i="5"/>
  <c r="H313" i="12"/>
  <c r="H192" i="12"/>
  <c r="X192" i="5"/>
  <c r="X395" i="5"/>
  <c r="H395" i="12"/>
  <c r="X523" i="5"/>
  <c r="H523" i="12"/>
  <c r="X664" i="5"/>
  <c r="H664" i="12"/>
  <c r="X712" i="5"/>
  <c r="H712" i="12"/>
  <c r="X650" i="5"/>
  <c r="H650" i="12"/>
  <c r="X411" i="5"/>
  <c r="H411" i="12"/>
  <c r="X586" i="5"/>
  <c r="H586" i="12"/>
  <c r="X44" i="5"/>
  <c r="H44" i="12"/>
  <c r="X550" i="5"/>
  <c r="H550" i="12"/>
  <c r="H321" i="12"/>
  <c r="X321" i="5"/>
  <c r="H661" i="12"/>
  <c r="X661" i="5"/>
  <c r="X378" i="5"/>
  <c r="H378" i="12"/>
  <c r="H275" i="12"/>
  <c r="X275" i="5"/>
  <c r="X557" i="5"/>
  <c r="H557" i="12"/>
  <c r="X514" i="5"/>
  <c r="H514" i="12"/>
  <c r="X303" i="5"/>
  <c r="H303" i="12"/>
  <c r="H348" i="12"/>
  <c r="X348" i="5"/>
  <c r="X354" i="5"/>
  <c r="H354" i="12"/>
  <c r="X384" i="5"/>
  <c r="H384" i="12"/>
  <c r="H32" i="12"/>
  <c r="X32" i="5"/>
  <c r="X705" i="5"/>
  <c r="H705" i="12"/>
  <c r="X590" i="5"/>
  <c r="H590" i="12"/>
  <c r="H117" i="12"/>
  <c r="X117" i="5"/>
  <c r="X121" i="5"/>
  <c r="H121" i="12"/>
  <c r="H648" i="12"/>
  <c r="X648" i="5"/>
  <c r="H468" i="12"/>
  <c r="X468" i="5"/>
  <c r="H721" i="12"/>
  <c r="X721" i="5"/>
  <c r="X451" i="5"/>
  <c r="H451" i="12"/>
  <c r="X278" i="5"/>
  <c r="H278" i="12"/>
  <c r="H495" i="12"/>
  <c r="X495" i="5"/>
  <c r="X481" i="5"/>
  <c r="H481" i="12"/>
  <c r="H218" i="12"/>
  <c r="X218" i="5"/>
  <c r="X80" i="5"/>
  <c r="H80" i="12"/>
  <c r="X547" i="5"/>
  <c r="H547" i="12"/>
  <c r="H631" i="12"/>
  <c r="X631" i="5"/>
  <c r="X102" i="5"/>
  <c r="H102" i="12"/>
  <c r="H336" i="12"/>
  <c r="X336" i="5"/>
  <c r="X45" i="5"/>
  <c r="H45" i="12"/>
  <c r="H286" i="12"/>
  <c r="X286" i="5"/>
  <c r="X435" i="5"/>
  <c r="H435" i="12"/>
  <c r="X556" i="5"/>
  <c r="H556" i="12"/>
  <c r="H52" i="12"/>
  <c r="X52" i="5"/>
  <c r="X477" i="5"/>
  <c r="H477" i="12"/>
  <c r="H116" i="12"/>
  <c r="X116" i="5"/>
  <c r="X46" i="5"/>
  <c r="H46" i="12"/>
  <c r="H558" i="12"/>
  <c r="X558" i="5"/>
  <c r="H497" i="12"/>
  <c r="X497" i="5"/>
  <c r="X204" i="5"/>
  <c r="H204" i="12"/>
  <c r="X658" i="5"/>
  <c r="H658" i="12"/>
  <c r="X546" i="5"/>
  <c r="H546" i="12"/>
  <c r="H381" i="12"/>
  <c r="X381" i="5"/>
  <c r="X588" i="5"/>
  <c r="H588" i="12"/>
  <c r="H343" i="12"/>
  <c r="X343" i="5"/>
  <c r="X398" i="5"/>
  <c r="H398" i="12"/>
  <c r="X401" i="5"/>
  <c r="H401" i="12"/>
  <c r="H196" i="12"/>
  <c r="X196" i="5"/>
  <c r="X385" i="5"/>
  <c r="H385" i="12"/>
  <c r="X520" i="5"/>
  <c r="H520" i="12"/>
  <c r="X566" i="5"/>
  <c r="H566" i="12"/>
  <c r="X462" i="5"/>
  <c r="H462" i="12"/>
  <c r="H432" i="12"/>
  <c r="X432" i="5"/>
  <c r="X715" i="5"/>
  <c r="H715" i="12"/>
  <c r="H269" i="12"/>
  <c r="X269" i="5"/>
  <c r="H308" i="12"/>
  <c r="X308" i="5"/>
  <c r="H361" i="12"/>
  <c r="X361" i="5"/>
  <c r="H133" i="12"/>
  <c r="X133" i="5"/>
  <c r="H296" i="12"/>
  <c r="X296" i="5"/>
  <c r="X414" i="5"/>
  <c r="H414" i="12"/>
  <c r="X93" i="5"/>
  <c r="H93" i="12"/>
  <c r="X537" i="5"/>
  <c r="H537" i="12"/>
  <c r="X534" i="5"/>
  <c r="H534" i="12"/>
  <c r="H208" i="12"/>
  <c r="X208" i="5"/>
  <c r="X281" i="5"/>
  <c r="H281" i="12"/>
  <c r="H233" i="12"/>
  <c r="X233" i="5"/>
  <c r="H74" i="12"/>
  <c r="X74" i="5"/>
  <c r="H693" i="12"/>
  <c r="X693" i="5"/>
  <c r="X347" i="5"/>
  <c r="H347" i="12"/>
  <c r="H726" i="12"/>
  <c r="X726" i="5"/>
  <c r="H372" i="12"/>
  <c r="X372" i="5"/>
  <c r="H571" i="12"/>
  <c r="X571" i="5"/>
  <c r="H419" i="12"/>
  <c r="X419" i="5"/>
  <c r="X189" i="5"/>
  <c r="H189" i="12"/>
  <c r="H554" i="12"/>
  <c r="X554" i="5"/>
  <c r="X543" i="5"/>
  <c r="H543" i="12"/>
  <c r="X524" i="5"/>
  <c r="H524" i="12"/>
  <c r="H569" i="12"/>
  <c r="X569" i="5"/>
  <c r="X704" i="5"/>
  <c r="H704" i="12"/>
  <c r="H238" i="12"/>
  <c r="X238" i="5"/>
  <c r="X382" i="5"/>
  <c r="H382" i="12"/>
  <c r="H68" i="12"/>
  <c r="X68" i="5"/>
  <c r="X228" i="5"/>
  <c r="H228" i="12"/>
  <c r="X420" i="5"/>
  <c r="H420" i="12"/>
  <c r="X224" i="5"/>
  <c r="H224" i="12"/>
  <c r="X458" i="5"/>
  <c r="H458" i="12"/>
  <c r="X225" i="5"/>
  <c r="H225" i="12"/>
  <c r="X494" i="5"/>
  <c r="H494" i="12"/>
  <c r="H713" i="12"/>
  <c r="X713" i="5"/>
  <c r="X415" i="5"/>
  <c r="H415" i="12"/>
  <c r="H659" i="12"/>
  <c r="X659" i="5"/>
  <c r="X307" i="5"/>
  <c r="H307" i="12"/>
  <c r="H210" i="12"/>
  <c r="X210" i="5"/>
  <c r="X371" i="5"/>
  <c r="H371" i="12"/>
  <c r="X459" i="5"/>
  <c r="H459" i="12"/>
  <c r="X438" i="5"/>
  <c r="H438" i="12"/>
  <c r="H387" i="12"/>
  <c r="X387" i="5"/>
  <c r="H118" i="12"/>
  <c r="X118" i="5"/>
  <c r="H291" i="12"/>
  <c r="X291" i="5"/>
  <c r="H47" i="12"/>
  <c r="X47" i="5"/>
  <c r="X330" i="5"/>
  <c r="H330" i="12"/>
  <c r="H732" i="12"/>
  <c r="X732" i="5"/>
  <c r="X55" i="5"/>
  <c r="H55" i="12"/>
  <c r="X636" i="5"/>
  <c r="H636" i="12"/>
  <c r="X526" i="5"/>
  <c r="H526" i="12"/>
  <c r="X349" i="5"/>
  <c r="H349" i="12"/>
  <c r="X532" i="5"/>
  <c r="H532" i="12"/>
  <c r="H587" i="12"/>
  <c r="X587" i="5"/>
  <c r="X243" i="5"/>
  <c r="H243" i="12"/>
  <c r="X322" i="5"/>
  <c r="H322" i="12"/>
  <c r="H662" i="12"/>
  <c r="X662" i="5"/>
  <c r="H439" i="12"/>
  <c r="X439" i="5"/>
  <c r="X606" i="5"/>
  <c r="H606" i="12"/>
  <c r="H725" i="12"/>
  <c r="X725" i="5"/>
  <c r="H110" i="12"/>
  <c r="X110" i="5"/>
  <c r="X284" i="5"/>
  <c r="H284" i="12"/>
  <c r="H18" i="12"/>
  <c r="X18" i="5"/>
  <c r="H226" i="12"/>
  <c r="X226" i="5"/>
  <c r="X675" i="5"/>
  <c r="H675" i="12"/>
  <c r="H486" i="12"/>
  <c r="X486" i="5"/>
  <c r="H697" i="12"/>
  <c r="X697" i="5"/>
  <c r="X429" i="5"/>
  <c r="H429" i="12"/>
  <c r="H289" i="12"/>
  <c r="X289" i="5"/>
  <c r="X455" i="5"/>
  <c r="H455" i="12"/>
  <c r="H542" i="12"/>
  <c r="X542" i="5"/>
  <c r="X66" i="5"/>
  <c r="H66" i="12"/>
  <c r="H555" i="12"/>
  <c r="X555" i="5"/>
  <c r="X679" i="5"/>
  <c r="H679" i="12"/>
  <c r="X461" i="5"/>
  <c r="H461" i="12"/>
  <c r="H239" i="12"/>
  <c r="X239" i="5"/>
  <c r="X279" i="5"/>
  <c r="H279" i="12"/>
  <c r="H628" i="12"/>
  <c r="X628" i="5"/>
  <c r="H285" i="12"/>
  <c r="X285" i="5"/>
  <c r="H19" i="12"/>
  <c r="X19" i="5"/>
  <c r="H82" i="12"/>
  <c r="X82" i="5"/>
  <c r="H53" i="12"/>
  <c r="X53" i="5"/>
  <c r="H49" i="12"/>
  <c r="X49" i="5"/>
  <c r="X529" i="5"/>
  <c r="H529" i="12"/>
  <c r="H376" i="12"/>
  <c r="X376" i="5"/>
  <c r="X533" i="5"/>
  <c r="H533" i="12"/>
  <c r="H727" i="12"/>
  <c r="X727" i="5"/>
  <c r="X592" i="5"/>
  <c r="H592" i="12"/>
  <c r="H325" i="12"/>
  <c r="X325" i="5"/>
  <c r="X122" i="5"/>
  <c r="H122" i="12"/>
  <c r="H209" i="12"/>
  <c r="X209" i="5"/>
  <c r="H394" i="12"/>
  <c r="X394" i="5"/>
  <c r="X292" i="5"/>
  <c r="H292" i="12"/>
  <c r="X310" i="5"/>
  <c r="H310" i="12"/>
  <c r="H268" i="12"/>
  <c r="X268" i="5"/>
  <c r="H699" i="12"/>
  <c r="X699" i="5"/>
  <c r="X739" i="5"/>
  <c r="H739" i="12"/>
  <c r="H657" i="12"/>
  <c r="X657" i="5"/>
  <c r="X350" i="5"/>
  <c r="H350" i="12"/>
  <c r="X478" i="5"/>
  <c r="H478" i="12"/>
  <c r="X393" i="5"/>
  <c r="H393" i="12"/>
  <c r="X540" i="5"/>
  <c r="H540" i="12"/>
  <c r="H651" i="12"/>
  <c r="X651" i="5"/>
  <c r="H635" i="12"/>
  <c r="X635" i="5"/>
  <c r="X96" i="5"/>
  <c r="H96" i="12"/>
  <c r="H362" i="12"/>
  <c r="X362" i="5"/>
  <c r="H355" i="12"/>
  <c r="X355" i="5"/>
  <c r="H453" i="12"/>
  <c r="X453" i="5"/>
  <c r="X673" i="5"/>
  <c r="H673" i="12"/>
  <c r="H62" i="12"/>
  <c r="X62" i="5"/>
  <c r="X363" i="5"/>
  <c r="H363" i="12"/>
  <c r="H559" i="12"/>
  <c r="X559" i="5"/>
  <c r="H58" i="12"/>
  <c r="X58" i="5"/>
  <c r="H72" i="12"/>
  <c r="X72" i="5"/>
  <c r="X707" i="5"/>
  <c r="H707" i="12"/>
  <c r="X319" i="5"/>
  <c r="H319" i="12"/>
  <c r="H294" i="12"/>
  <c r="X294" i="5"/>
  <c r="X616" i="5"/>
  <c r="H616" i="12"/>
  <c r="H235" i="12"/>
  <c r="X235" i="5"/>
  <c r="X703" i="5"/>
  <c r="H703" i="12"/>
  <c r="H681" i="12"/>
  <c r="X681" i="5"/>
  <c r="X733" i="5"/>
  <c r="H733" i="12"/>
  <c r="X479" i="5"/>
  <c r="H479" i="12"/>
  <c r="H663" i="12"/>
  <c r="X663" i="5"/>
  <c r="H564" i="12"/>
  <c r="X564" i="5"/>
  <c r="H447" i="12"/>
  <c r="X447" i="5"/>
  <c r="H388" i="12"/>
  <c r="X388" i="5"/>
  <c r="X409" i="5"/>
  <c r="H409" i="12"/>
  <c r="X132" i="5"/>
  <c r="H132" i="12"/>
  <c r="X720" i="5"/>
  <c r="H720" i="12"/>
  <c r="X253" i="5"/>
  <c r="H253" i="12"/>
  <c r="X64" i="5"/>
  <c r="H64" i="12"/>
  <c r="X399" i="5"/>
  <c r="H399" i="12"/>
  <c r="X304" i="5"/>
  <c r="H304" i="12"/>
  <c r="X656" i="5"/>
  <c r="H656" i="12"/>
  <c r="X392" i="5"/>
  <c r="H392" i="12"/>
  <c r="X30" i="5"/>
  <c r="H30" i="12"/>
  <c r="X706" i="5"/>
  <c r="H706" i="12"/>
  <c r="X183" i="5"/>
  <c r="H183" i="12"/>
  <c r="X373" i="5"/>
  <c r="H373" i="12"/>
  <c r="X57" i="5"/>
  <c r="H57" i="12"/>
  <c r="H324" i="12"/>
  <c r="X324" i="5"/>
  <c r="H418" i="12"/>
  <c r="X418" i="5"/>
  <c r="H287" i="12"/>
  <c r="X287" i="5"/>
  <c r="H312" i="12"/>
  <c r="X312" i="5"/>
  <c r="X711" i="5"/>
  <c r="H711" i="12"/>
  <c r="X107" i="5"/>
  <c r="H107" i="12"/>
  <c r="X329" i="5"/>
  <c r="H329" i="12"/>
  <c r="H521" i="12"/>
  <c r="X521" i="5"/>
  <c r="X464" i="5"/>
  <c r="H464" i="12"/>
  <c r="X428" i="5"/>
  <c r="H428" i="12"/>
  <c r="H335" i="12"/>
  <c r="X335" i="5"/>
  <c r="X637" i="5"/>
  <c r="H637" i="12"/>
  <c r="H374" i="12"/>
  <c r="X374" i="5"/>
  <c r="X297" i="5"/>
  <c r="H297" i="12"/>
  <c r="H522" i="12"/>
  <c r="X522" i="5"/>
  <c r="X271" i="5"/>
  <c r="H271" i="12"/>
  <c r="H680" i="12"/>
  <c r="X680" i="5"/>
  <c r="X377" i="5"/>
  <c r="H377" i="12"/>
  <c r="X545" i="5"/>
  <c r="H545" i="12"/>
  <c r="H696" i="12"/>
  <c r="X696" i="5"/>
  <c r="H22" i="12"/>
  <c r="X22" i="5"/>
  <c r="X69" i="5"/>
  <c r="H69" i="12"/>
  <c r="X647" i="5"/>
  <c r="H647" i="12"/>
  <c r="H724" i="12"/>
  <c r="X724" i="5"/>
  <c r="H274" i="12"/>
  <c r="X274" i="5"/>
  <c r="H215" i="12"/>
  <c r="X215" i="5"/>
  <c r="H211" i="12"/>
  <c r="X211" i="5"/>
  <c r="X570" i="5"/>
  <c r="H570" i="12"/>
  <c r="X302" i="5"/>
  <c r="H302" i="12"/>
  <c r="H528" i="12"/>
  <c r="X528" i="5"/>
  <c r="H431" i="12"/>
  <c r="X431" i="5"/>
  <c r="X357" i="5"/>
  <c r="H357" i="12"/>
  <c r="X484" i="5"/>
  <c r="H484" i="12"/>
  <c r="X677" i="5"/>
  <c r="H677" i="12"/>
  <c r="H103" i="12"/>
  <c r="X103" i="5"/>
  <c r="X359" i="5"/>
  <c r="H359" i="12"/>
  <c r="H193" i="12"/>
  <c r="X193" i="5"/>
  <c r="X710" i="5"/>
  <c r="H710" i="12"/>
  <c r="H283" i="12"/>
  <c r="X283" i="5"/>
  <c r="X690" i="5"/>
  <c r="H690" i="12"/>
  <c r="X31" i="5"/>
  <c r="H31" i="12"/>
  <c r="X299" i="5"/>
  <c r="H299" i="12"/>
  <c r="X538" i="5"/>
  <c r="H538" i="12"/>
  <c r="H454" i="12"/>
  <c r="X454" i="5"/>
  <c r="H474" i="12"/>
  <c r="X474" i="5"/>
  <c r="H496" i="12"/>
  <c r="X496" i="5"/>
  <c r="H301" i="12"/>
  <c r="X301" i="5"/>
  <c r="X619" i="5"/>
  <c r="H619" i="12"/>
  <c r="H346" i="12"/>
  <c r="X346" i="5"/>
  <c r="X89" i="5"/>
  <c r="H89" i="12"/>
  <c r="H242" i="12"/>
  <c r="X242" i="5"/>
  <c r="X507" i="5"/>
  <c r="H507" i="12"/>
  <c r="H601" i="12"/>
  <c r="X601" i="5"/>
  <c r="X41" i="5"/>
  <c r="H41" i="12"/>
  <c r="H272" i="12"/>
  <c r="X272" i="5"/>
  <c r="X356" i="5"/>
  <c r="H356" i="12"/>
  <c r="X719" i="5"/>
  <c r="H719" i="12"/>
  <c r="X688" i="5"/>
  <c r="H688" i="12"/>
  <c r="H604" i="12"/>
  <c r="X604" i="5"/>
  <c r="H423" i="12"/>
  <c r="X423" i="5"/>
  <c r="X450" i="5"/>
  <c r="H450" i="12"/>
  <c r="X214" i="5"/>
  <c r="H214" i="12"/>
  <c r="H28" i="12"/>
  <c r="X28" i="5"/>
  <c r="H179" i="12"/>
  <c r="X179" i="5"/>
  <c r="X333" i="5"/>
  <c r="H333" i="12"/>
  <c r="H625" i="12"/>
  <c r="X625" i="5"/>
  <c r="H39" i="12"/>
  <c r="X39" i="5"/>
  <c r="X83" i="5"/>
  <c r="H83" i="12"/>
  <c r="H91" i="12"/>
  <c r="X91" i="5"/>
  <c r="X344" i="5"/>
  <c r="H344" i="12"/>
  <c r="H212" i="12"/>
  <c r="X212" i="5"/>
  <c r="X360" i="5"/>
  <c r="H360" i="12"/>
  <c r="H390" i="12"/>
  <c r="X390" i="5"/>
  <c r="X701" i="5"/>
  <c r="H701" i="12"/>
  <c r="H73" i="12"/>
  <c r="X73" i="5"/>
  <c r="X61" i="5"/>
  <c r="H61" i="12"/>
  <c r="X405" i="5"/>
  <c r="H405" i="12"/>
  <c r="X135" i="5"/>
  <c r="H135" i="12"/>
  <c r="H519" i="12"/>
  <c r="X519" i="5"/>
  <c r="X180" i="5"/>
  <c r="H180" i="12"/>
  <c r="H386" i="12"/>
  <c r="X386" i="5"/>
  <c r="X565" i="5"/>
  <c r="H565" i="12"/>
  <c r="X276" i="5"/>
  <c r="H276" i="12"/>
  <c r="X115" i="5"/>
  <c r="H115" i="12"/>
  <c r="H88" i="12"/>
  <c r="X88" i="5"/>
  <c r="X109" i="5"/>
  <c r="H109" i="12"/>
  <c r="X531" i="5"/>
  <c r="H531" i="12"/>
  <c r="X29" i="5"/>
  <c r="H29" i="12"/>
  <c r="H67" i="12"/>
  <c r="X67" i="5"/>
  <c r="X195" i="5"/>
  <c r="H195" i="12"/>
  <c r="H345" i="12"/>
  <c r="X345" i="5"/>
  <c r="H277" i="12"/>
  <c r="X277" i="5"/>
  <c r="H50" i="12"/>
  <c r="X50" i="5"/>
  <c r="X702" i="5"/>
  <c r="H702" i="12"/>
  <c r="H380" i="12"/>
  <c r="X380" i="5"/>
  <c r="X368" i="5"/>
  <c r="H368" i="12"/>
  <c r="X403" i="5"/>
  <c r="H403" i="12"/>
  <c r="X452" i="5"/>
  <c r="H452" i="12"/>
  <c r="H406" i="12"/>
  <c r="X406" i="5"/>
  <c r="X98" i="5"/>
  <c r="H98" i="12"/>
  <c r="H342" i="12"/>
  <c r="X342" i="5"/>
  <c r="X104" i="5"/>
  <c r="H104" i="12"/>
  <c r="H90" i="12"/>
  <c r="X90" i="5"/>
  <c r="X498" i="5"/>
  <c r="H498" i="12"/>
  <c r="H383" i="12"/>
  <c r="X383" i="5"/>
  <c r="H358" i="12"/>
  <c r="X358" i="5"/>
  <c r="H612" i="12"/>
  <c r="X612" i="5"/>
  <c r="H365" i="12"/>
  <c r="X365" i="5"/>
  <c r="X670" i="5"/>
  <c r="H670" i="12"/>
  <c r="H525" i="12"/>
  <c r="X525" i="5"/>
  <c r="H567" i="12"/>
  <c r="X567" i="5"/>
  <c r="H536" i="12"/>
  <c r="X536" i="5"/>
  <c r="X84" i="5"/>
  <c r="H84" i="12"/>
  <c r="X113" i="5"/>
  <c r="H113" i="12"/>
  <c r="X51" i="5"/>
  <c r="H51" i="12"/>
  <c r="X43" i="5"/>
  <c r="H43" i="12"/>
  <c r="H549" i="12"/>
  <c r="X549" i="5"/>
  <c r="H282" i="12"/>
  <c r="X282" i="5"/>
  <c r="X112" i="5"/>
  <c r="H112" i="12"/>
  <c r="H252" i="12"/>
  <c r="X252" i="5"/>
  <c r="X42" i="5"/>
  <c r="H42" i="12"/>
  <c r="X671" i="5"/>
  <c r="H671" i="12"/>
  <c r="X434" i="5"/>
  <c r="H434" i="12"/>
  <c r="X585" i="5"/>
  <c r="H585" i="12"/>
  <c r="X300" i="5"/>
  <c r="H300" i="12"/>
  <c r="H436" i="12"/>
  <c r="X436" i="5"/>
  <c r="X290" i="5"/>
  <c r="H290" i="12"/>
  <c r="H182" i="12"/>
  <c r="X182" i="5"/>
  <c r="X591" i="5"/>
  <c r="H591" i="12"/>
  <c r="H714" i="12"/>
  <c r="X714" i="5"/>
  <c r="H527" i="12"/>
  <c r="X527" i="5"/>
  <c r="H370" i="12"/>
  <c r="X370" i="5"/>
  <c r="X698" i="5"/>
  <c r="H698" i="12"/>
  <c r="X320" i="5"/>
  <c r="H320" i="12"/>
  <c r="X81" i="5"/>
  <c r="H81" i="12"/>
  <c r="H70" i="12"/>
  <c r="X70" i="5"/>
  <c r="AG141" i="5"/>
  <c r="AG139" i="5"/>
  <c r="AG164" i="5"/>
  <c r="AG600" i="5"/>
  <c r="AG326" i="5"/>
  <c r="AG173" i="5"/>
  <c r="AG560" i="5"/>
  <c r="AG264" i="5"/>
  <c r="AG263" i="5"/>
  <c r="AG410" i="5"/>
  <c r="AG367" i="5"/>
  <c r="AG687" i="5"/>
  <c r="AG685" i="5"/>
  <c r="AG730" i="5"/>
  <c r="AG185" i="5"/>
  <c r="AG668" i="5"/>
  <c r="AG510" i="5"/>
  <c r="AG596" i="5"/>
  <c r="AG578" i="5"/>
  <c r="AG467" i="5"/>
  <c r="AG366" i="5"/>
  <c r="AG163" i="5"/>
  <c r="AG499" i="5"/>
  <c r="AG172" i="5"/>
  <c r="AG482" i="5"/>
  <c r="AG247" i="5"/>
  <c r="AG416" i="5"/>
  <c r="AG199" i="5"/>
  <c r="AG611" i="5"/>
  <c r="AG424" i="5"/>
  <c r="AG672" i="5"/>
  <c r="AG222" i="5"/>
  <c r="AG617" i="5"/>
  <c r="AG686" i="5"/>
  <c r="AG440" i="5"/>
  <c r="AG737" i="5"/>
  <c r="AG736" i="5"/>
  <c r="AG125" i="5"/>
  <c r="AG602" i="5"/>
  <c r="AG201" i="5"/>
  <c r="AG735" i="5"/>
  <c r="AG506" i="5"/>
  <c r="AG583" i="5"/>
  <c r="AG188" i="5"/>
  <c r="AG203" i="5"/>
  <c r="AG250" i="5"/>
  <c r="AG101" i="5"/>
  <c r="AG181" i="5"/>
  <c r="AG198" i="5"/>
  <c r="AG683" i="5"/>
  <c r="AG205" i="5"/>
  <c r="AG576" i="5"/>
  <c r="AG260" i="5"/>
  <c r="AG256" i="5"/>
  <c r="AG741" i="5"/>
  <c r="AG466" i="5"/>
  <c r="AG615" i="5"/>
  <c r="AG408" i="5"/>
  <c r="AG142" i="5"/>
  <c r="AG229" i="5"/>
  <c r="AG23" i="5"/>
  <c r="AG448" i="5"/>
  <c r="AG417" i="5"/>
  <c r="AG249" i="5"/>
  <c r="AG598" i="5"/>
  <c r="AG244" i="5"/>
  <c r="AG676" i="5"/>
  <c r="AG472" i="5"/>
  <c r="AG689" i="5"/>
  <c r="AG413" i="5"/>
  <c r="AG288" i="5"/>
  <c r="AG332" i="5"/>
  <c r="AG38" i="5"/>
  <c r="AG331" i="5"/>
  <c r="AG684" i="5"/>
  <c r="AG234" i="5"/>
  <c r="AG649" i="5"/>
  <c r="AG412" i="5"/>
  <c r="AG516" i="5"/>
  <c r="AG21" i="5"/>
  <c r="AG153" i="5"/>
  <c r="AG157" i="5"/>
  <c r="AG489" i="5"/>
  <c r="AG220" i="5"/>
  <c r="AG613" i="5"/>
  <c r="AG353" i="5"/>
  <c r="AG476" i="5"/>
  <c r="AG562" i="5"/>
  <c r="AG614" i="5"/>
  <c r="AG223" i="5"/>
  <c r="AG456" i="5"/>
  <c r="AG248" i="5"/>
  <c r="AG314" i="5"/>
  <c r="AG666" i="5"/>
  <c r="AG421" i="5"/>
  <c r="AG463" i="5"/>
  <c r="AG397" i="5"/>
  <c r="AG255" i="5"/>
  <c r="AG259" i="5"/>
  <c r="AG186" i="5"/>
  <c r="AG280" i="5"/>
  <c r="AG246" i="5"/>
  <c r="AG744" i="5"/>
  <c r="AG26" i="5"/>
  <c r="AG134" i="5"/>
  <c r="AG146" i="5"/>
  <c r="AG154" i="5"/>
  <c r="AG156" i="5"/>
  <c r="AG161" i="5"/>
  <c r="AG169" i="5"/>
  <c r="AG200" i="5"/>
  <c r="AG573" i="5"/>
  <c r="AG622" i="5"/>
  <c r="AG503" i="5"/>
  <c r="AG568" i="5"/>
  <c r="AG202" i="5"/>
  <c r="AG37" i="5"/>
  <c r="AG517" i="5"/>
  <c r="AG575" i="5"/>
  <c r="AG230" i="5"/>
  <c r="AG642" i="5"/>
  <c r="AG231" i="5"/>
  <c r="AG465" i="5"/>
  <c r="AG492" i="5"/>
  <c r="AG607" i="5"/>
  <c r="AG629" i="5"/>
  <c r="AG470" i="5"/>
  <c r="AG544" i="5"/>
  <c r="AG273" i="5"/>
  <c r="AG634" i="5"/>
  <c r="AG603" i="5"/>
  <c r="AG130" i="5"/>
  <c r="AG145" i="5"/>
  <c r="AG160" i="5"/>
  <c r="AG167" i="5"/>
  <c r="AG168" i="5"/>
  <c r="AG667" i="5"/>
  <c r="AG643" i="5"/>
  <c r="AG444" i="5"/>
  <c r="AG351" i="5"/>
  <c r="AG175" i="5"/>
  <c r="AG589" i="5"/>
  <c r="AG738" i="5"/>
  <c r="AG265" i="5"/>
  <c r="AG460" i="5"/>
  <c r="AG99" i="5"/>
  <c r="AG728" i="5"/>
  <c r="AG85" i="5"/>
  <c r="AG513" i="5"/>
  <c r="AG580" i="5"/>
  <c r="AG485" i="5"/>
  <c r="AG599" i="5"/>
  <c r="AG127" i="5"/>
  <c r="AG610" i="5"/>
  <c r="AG143" i="5"/>
  <c r="AG150" i="5"/>
  <c r="AG152" i="5"/>
  <c r="AG166" i="5"/>
  <c r="AG171" i="5"/>
  <c r="AG627" i="5"/>
  <c r="AG232" i="5"/>
  <c r="AG577" i="5"/>
  <c r="AG746" i="5"/>
  <c r="AG176" i="5"/>
  <c r="AG579" i="5"/>
  <c r="AG691" i="5"/>
  <c r="AG262" i="5"/>
  <c r="AG257" i="5"/>
  <c r="AG261" i="5"/>
  <c r="AG174" i="5"/>
  <c r="AG396" i="5"/>
  <c r="AG245" i="5"/>
  <c r="AG445" i="5"/>
  <c r="AG480" i="5"/>
  <c r="AG457" i="5"/>
  <c r="AG338" i="5"/>
  <c r="AG443" i="5"/>
  <c r="AG446" i="5"/>
  <c r="AG140" i="5"/>
  <c r="AG149" i="5"/>
  <c r="AG151" i="5"/>
  <c r="AG170" i="5"/>
  <c r="AG187" i="5"/>
  <c r="AG178" i="5"/>
  <c r="AG745" i="5"/>
  <c r="AG422" i="5"/>
  <c r="AG641" i="5"/>
  <c r="AG490" i="5"/>
  <c r="AG473" i="5"/>
  <c r="AG508" i="5"/>
  <c r="AG511" i="5"/>
  <c r="AG652" i="5"/>
  <c r="AG126" i="5"/>
  <c r="AG563" i="5"/>
  <c r="AG25" i="5"/>
  <c r="AG138" i="5"/>
  <c r="AG148" i="5"/>
  <c r="AG159" i="5"/>
  <c r="AG742" i="5"/>
  <c r="AG512" i="5"/>
  <c r="AG501" i="5"/>
  <c r="AG493" i="5"/>
  <c r="AG620" i="5"/>
  <c r="AG471" i="5"/>
  <c r="AG640" i="5"/>
  <c r="AG581" i="5"/>
  <c r="AG594" i="5"/>
  <c r="AG155" i="5"/>
  <c r="AG402" i="5"/>
  <c r="AG632" i="5"/>
  <c r="AG24" i="5"/>
  <c r="AG128" i="5"/>
  <c r="AG129" i="5"/>
  <c r="AG137" i="5"/>
  <c r="AG147" i="5"/>
  <c r="AG561" i="5"/>
  <c r="AG158" i="5"/>
  <c r="AG316" i="5"/>
  <c r="AG339" i="5"/>
  <c r="AG221" i="5"/>
  <c r="AG425" i="5"/>
  <c r="AG77" i="5"/>
  <c r="AG722" i="5"/>
  <c r="AG582" i="5"/>
  <c r="AG572" i="5"/>
  <c r="AG623" i="5"/>
  <c r="AG504" i="5"/>
  <c r="AG219" i="5"/>
  <c r="AG692" i="5"/>
  <c r="AG639" i="5"/>
  <c r="AG678" i="5"/>
  <c r="AG502" i="5"/>
  <c r="AG621" i="5"/>
  <c r="U621" i="5" l="1"/>
  <c r="U502" i="5"/>
  <c r="U678" i="5"/>
  <c r="U639" i="5"/>
  <c r="U692" i="5"/>
  <c r="U219" i="5"/>
  <c r="U504" i="5"/>
  <c r="U623" i="5"/>
  <c r="U572" i="5"/>
  <c r="U582" i="5"/>
  <c r="U722" i="5"/>
  <c r="U77" i="5"/>
  <c r="U425" i="5"/>
  <c r="U221" i="5"/>
  <c r="U339" i="5"/>
  <c r="U316" i="5"/>
  <c r="U158" i="5"/>
  <c r="U561" i="5"/>
  <c r="U147" i="5"/>
  <c r="U137" i="5"/>
  <c r="U129" i="5"/>
  <c r="U128" i="5"/>
  <c r="U24" i="5"/>
  <c r="U632" i="5"/>
  <c r="U402" i="5"/>
  <c r="U155" i="5"/>
  <c r="U594" i="5"/>
  <c r="U581" i="5"/>
  <c r="U640" i="5"/>
  <c r="U471" i="5"/>
  <c r="U620" i="5"/>
  <c r="U493" i="5"/>
  <c r="U501" i="5"/>
  <c r="U512" i="5"/>
  <c r="U742" i="5"/>
  <c r="U159" i="5"/>
  <c r="U148" i="5"/>
  <c r="U138" i="5"/>
  <c r="U25" i="5"/>
  <c r="U563" i="5"/>
  <c r="U126" i="5"/>
  <c r="U652" i="5"/>
  <c r="U511" i="5"/>
  <c r="U508" i="5"/>
  <c r="U473" i="5"/>
  <c r="U490" i="5"/>
  <c r="U641" i="5"/>
  <c r="U422" i="5"/>
  <c r="U745" i="5"/>
  <c r="U178" i="5"/>
  <c r="U187" i="5"/>
  <c r="U170" i="5"/>
  <c r="U151" i="5"/>
  <c r="U149" i="5"/>
  <c r="U140" i="5"/>
  <c r="U446" i="5"/>
  <c r="U443" i="5"/>
  <c r="U338" i="5"/>
  <c r="U457" i="5"/>
  <c r="U480" i="5"/>
  <c r="U445" i="5"/>
  <c r="U245" i="5"/>
  <c r="U396" i="5"/>
  <c r="U174" i="5"/>
  <c r="U261" i="5"/>
  <c r="U257" i="5"/>
  <c r="U262" i="5"/>
  <c r="U691" i="5"/>
  <c r="U579" i="5"/>
  <c r="U176" i="5"/>
  <c r="U746" i="5"/>
  <c r="U577" i="5"/>
  <c r="U232" i="5"/>
  <c r="U627" i="5"/>
  <c r="U171" i="5"/>
  <c r="U166" i="5"/>
  <c r="U152" i="5"/>
  <c r="U150" i="5"/>
  <c r="U143" i="5"/>
  <c r="U610" i="5"/>
  <c r="U127" i="5"/>
  <c r="U599" i="5"/>
  <c r="U485" i="5"/>
  <c r="U580" i="5"/>
  <c r="U513" i="5"/>
  <c r="U85" i="5"/>
  <c r="U728" i="5"/>
  <c r="U99" i="5"/>
  <c r="U460" i="5"/>
  <c r="U265" i="5"/>
  <c r="U738" i="5"/>
  <c r="U589" i="5"/>
  <c r="U175" i="5"/>
  <c r="U351" i="5"/>
  <c r="U444" i="5"/>
  <c r="U643" i="5"/>
  <c r="U667" i="5"/>
  <c r="U168" i="5"/>
  <c r="U167" i="5"/>
  <c r="U160" i="5"/>
  <c r="U145" i="5"/>
  <c r="U130" i="5"/>
  <c r="U603" i="5"/>
  <c r="U634" i="5"/>
  <c r="U273" i="5"/>
  <c r="U544" i="5"/>
  <c r="U470" i="5"/>
  <c r="U629" i="5"/>
  <c r="U607" i="5"/>
  <c r="U492" i="5"/>
  <c r="U465" i="5"/>
  <c r="U231" i="5"/>
  <c r="U642" i="5"/>
  <c r="U230" i="5"/>
  <c r="U575" i="5"/>
  <c r="U517" i="5"/>
  <c r="U37" i="5"/>
  <c r="U202" i="5"/>
  <c r="U568" i="5"/>
  <c r="U503" i="5"/>
  <c r="U622" i="5"/>
  <c r="U573" i="5"/>
  <c r="U200" i="5"/>
  <c r="U169" i="5"/>
  <c r="U161" i="5"/>
  <c r="U156" i="5"/>
  <c r="U154" i="5"/>
  <c r="U146" i="5"/>
  <c r="U134" i="5"/>
  <c r="U26" i="5"/>
  <c r="U744" i="5"/>
  <c r="U246" i="5"/>
  <c r="U280" i="5"/>
  <c r="U186" i="5"/>
  <c r="U259" i="5"/>
  <c r="U255" i="5"/>
  <c r="U397" i="5"/>
  <c r="U463" i="5"/>
  <c r="U421" i="5"/>
  <c r="U666" i="5"/>
  <c r="U314" i="5"/>
  <c r="U248" i="5"/>
  <c r="U456" i="5"/>
  <c r="U223" i="5"/>
  <c r="U614" i="5"/>
  <c r="U562" i="5"/>
  <c r="U476" i="5"/>
  <c r="U353" i="5"/>
  <c r="U613" i="5"/>
  <c r="U220" i="5"/>
  <c r="U489" i="5"/>
  <c r="U157" i="5"/>
  <c r="U153" i="5"/>
  <c r="U21" i="5"/>
  <c r="U516" i="5"/>
  <c r="U412" i="5"/>
  <c r="U649" i="5"/>
  <c r="U234" i="5"/>
  <c r="U684" i="5"/>
  <c r="U331" i="5"/>
  <c r="U38" i="5"/>
  <c r="U332" i="5"/>
  <c r="U288" i="5"/>
  <c r="U413" i="5"/>
  <c r="U689" i="5"/>
  <c r="U472" i="5"/>
  <c r="U676" i="5"/>
  <c r="U244" i="5"/>
  <c r="U598" i="5"/>
  <c r="U249" i="5"/>
  <c r="U417" i="5"/>
  <c r="U448" i="5"/>
  <c r="U23" i="5"/>
  <c r="U229" i="5"/>
  <c r="U142" i="5"/>
  <c r="U408" i="5"/>
  <c r="U615" i="5"/>
  <c r="U466" i="5"/>
  <c r="U741" i="5"/>
  <c r="U256" i="5"/>
  <c r="U260" i="5"/>
  <c r="U576" i="5"/>
  <c r="U205" i="5"/>
  <c r="U683" i="5"/>
  <c r="U198" i="5"/>
  <c r="U181" i="5"/>
  <c r="U101" i="5"/>
  <c r="U250" i="5"/>
  <c r="U203" i="5"/>
  <c r="U188" i="5"/>
  <c r="U583" i="5"/>
  <c r="U506" i="5"/>
  <c r="U735" i="5"/>
  <c r="U201" i="5"/>
  <c r="U602" i="5"/>
  <c r="U125" i="5"/>
  <c r="U736" i="5"/>
  <c r="U737" i="5"/>
  <c r="U440" i="5"/>
  <c r="U686" i="5"/>
  <c r="U617" i="5"/>
  <c r="U222" i="5"/>
  <c r="U672" i="5"/>
  <c r="U424" i="5"/>
  <c r="U611" i="5"/>
  <c r="U199" i="5"/>
  <c r="U416" i="5"/>
  <c r="U247" i="5"/>
  <c r="U482" i="5"/>
  <c r="U172" i="5"/>
  <c r="U499" i="5"/>
  <c r="U163" i="5"/>
  <c r="U366" i="5"/>
  <c r="U467" i="5"/>
  <c r="U578" i="5"/>
  <c r="U596" i="5"/>
  <c r="U510" i="5"/>
  <c r="U668" i="5"/>
  <c r="U185" i="5"/>
  <c r="U730" i="5"/>
  <c r="U685" i="5"/>
  <c r="U687" i="5"/>
  <c r="U367" i="5"/>
  <c r="U410" i="5"/>
  <c r="U263" i="5"/>
  <c r="U264" i="5"/>
  <c r="U560" i="5"/>
  <c r="U173" i="5"/>
  <c r="U326" i="5"/>
  <c r="U600" i="5"/>
  <c r="U164" i="5"/>
  <c r="U139" i="5"/>
  <c r="U141" i="5"/>
  <c r="L325" i="5"/>
  <c r="Z325" i="5"/>
  <c r="I325" i="12"/>
  <c r="AM325" i="5"/>
  <c r="AC325" i="5"/>
  <c r="I293" i="12"/>
  <c r="Z293" i="5"/>
  <c r="AM293" i="5"/>
  <c r="L293" i="5"/>
  <c r="AC293" i="5"/>
  <c r="AM320" i="5"/>
  <c r="L320" i="5"/>
  <c r="Z320" i="5"/>
  <c r="I320" i="12"/>
  <c r="AC320" i="5"/>
  <c r="AM671" i="5"/>
  <c r="L671" i="5"/>
  <c r="Z671" i="5"/>
  <c r="I671" i="12"/>
  <c r="AC671" i="5"/>
  <c r="Z43" i="5"/>
  <c r="I43" i="12"/>
  <c r="L43" i="5"/>
  <c r="AM43" i="5"/>
  <c r="AC43" i="5"/>
  <c r="L498" i="5"/>
  <c r="I498" i="12"/>
  <c r="AM498" i="5"/>
  <c r="Z498" i="5"/>
  <c r="AC498" i="5"/>
  <c r="AM452" i="5"/>
  <c r="L452" i="5"/>
  <c r="Z452" i="5"/>
  <c r="I452" i="12"/>
  <c r="AC452" i="5"/>
  <c r="I109" i="5"/>
  <c r="I110" i="5" s="1"/>
  <c r="I111" i="5" s="1"/>
  <c r="I112" i="5" s="1"/>
  <c r="I113" i="5" s="1"/>
  <c r="I114" i="5" s="1"/>
  <c r="I115" i="5" s="1"/>
  <c r="I116" i="5" s="1"/>
  <c r="I117" i="5" s="1"/>
  <c r="I118" i="5" s="1"/>
  <c r="Z109" i="5"/>
  <c r="I109" i="12"/>
  <c r="X108" i="5"/>
  <c r="L109" i="5"/>
  <c r="AM109" i="5"/>
  <c r="AC109" i="5"/>
  <c r="I180" i="12"/>
  <c r="Z180" i="5"/>
  <c r="AM180" i="5"/>
  <c r="L180" i="5"/>
  <c r="AC180" i="5"/>
  <c r="L701" i="5"/>
  <c r="AM701" i="5"/>
  <c r="I701" i="5"/>
  <c r="I702" i="5" s="1"/>
  <c r="I703" i="5" s="1"/>
  <c r="I704" i="5" s="1"/>
  <c r="I705" i="5" s="1"/>
  <c r="I706" i="5" s="1"/>
  <c r="I707" i="5" s="1"/>
  <c r="I701" i="12"/>
  <c r="Z701" i="5"/>
  <c r="X700" i="5"/>
  <c r="AC701" i="5"/>
  <c r="AM83" i="5"/>
  <c r="I83" i="12"/>
  <c r="Z83" i="5"/>
  <c r="L83" i="5"/>
  <c r="AC83" i="5"/>
  <c r="AM214" i="5"/>
  <c r="L214" i="5"/>
  <c r="I214" i="5"/>
  <c r="I215" i="5" s="1"/>
  <c r="I216" i="5" s="1"/>
  <c r="I217" i="5" s="1"/>
  <c r="I218" i="5" s="1"/>
  <c r="Z214" i="5"/>
  <c r="I214" i="12"/>
  <c r="AC214" i="5"/>
  <c r="AM356" i="5"/>
  <c r="I356" i="12"/>
  <c r="L356" i="5"/>
  <c r="Z356" i="5"/>
  <c r="AC356" i="5"/>
  <c r="AM89" i="5"/>
  <c r="I89" i="12"/>
  <c r="Z89" i="5"/>
  <c r="L89" i="5"/>
  <c r="AC89" i="5"/>
  <c r="L710" i="5"/>
  <c r="Z710" i="5"/>
  <c r="X709" i="5"/>
  <c r="AM710" i="5"/>
  <c r="I710" i="5"/>
  <c r="I711" i="5" s="1"/>
  <c r="I712" i="5" s="1"/>
  <c r="I713" i="5" s="1"/>
  <c r="I714" i="5" s="1"/>
  <c r="I715" i="5" s="1"/>
  <c r="I716" i="5" s="1"/>
  <c r="I717" i="5" s="1"/>
  <c r="I710" i="12"/>
  <c r="AC710" i="5"/>
  <c r="L357" i="5"/>
  <c r="Z357" i="5"/>
  <c r="AM357" i="5"/>
  <c r="I357" i="12"/>
  <c r="AC357" i="5"/>
  <c r="L297" i="5"/>
  <c r="I297" i="12"/>
  <c r="AM297" i="5"/>
  <c r="Z297" i="5"/>
  <c r="AC297" i="5"/>
  <c r="I30" i="12"/>
  <c r="Z30" i="5"/>
  <c r="L30" i="5"/>
  <c r="AM30" i="5"/>
  <c r="AC30" i="5"/>
  <c r="L253" i="5"/>
  <c r="I253" i="12"/>
  <c r="Z253" i="5"/>
  <c r="AM253" i="5"/>
  <c r="AC253" i="5"/>
  <c r="AM393" i="5"/>
  <c r="Z393" i="5"/>
  <c r="I393" i="12"/>
  <c r="L393" i="5"/>
  <c r="AC393" i="5"/>
  <c r="L279" i="5"/>
  <c r="AM279" i="5"/>
  <c r="Z279" i="5"/>
  <c r="I279" i="12"/>
  <c r="AC279" i="5"/>
  <c r="AM675" i="5"/>
  <c r="Z675" i="5"/>
  <c r="I675" i="12"/>
  <c r="L675" i="5"/>
  <c r="AC675" i="5"/>
  <c r="L606" i="5"/>
  <c r="I606" i="5"/>
  <c r="I606" i="12"/>
  <c r="Z606" i="5"/>
  <c r="AM606" i="5"/>
  <c r="AC606" i="5"/>
  <c r="Z532" i="5"/>
  <c r="I532" i="12"/>
  <c r="AM532" i="5"/>
  <c r="L532" i="5"/>
  <c r="AC532" i="5"/>
  <c r="AM330" i="5"/>
  <c r="I330" i="12"/>
  <c r="L330" i="5"/>
  <c r="Z330" i="5"/>
  <c r="AC330" i="5"/>
  <c r="AM459" i="5"/>
  <c r="L459" i="5"/>
  <c r="I459" i="12"/>
  <c r="Z459" i="5"/>
  <c r="AC459" i="5"/>
  <c r="I228" i="12"/>
  <c r="Z228" i="5"/>
  <c r="I228" i="5"/>
  <c r="AM228" i="5"/>
  <c r="L228" i="5"/>
  <c r="AC228" i="5"/>
  <c r="AM524" i="5"/>
  <c r="Z524" i="5"/>
  <c r="I524" i="12"/>
  <c r="L524" i="5"/>
  <c r="AC524" i="5"/>
  <c r="L281" i="5"/>
  <c r="I281" i="12"/>
  <c r="Z281" i="5"/>
  <c r="AM281" i="5"/>
  <c r="AC281" i="5"/>
  <c r="Z401" i="5"/>
  <c r="AM401" i="5"/>
  <c r="L401" i="5"/>
  <c r="I401" i="12"/>
  <c r="AC401" i="5"/>
  <c r="I658" i="12"/>
  <c r="Z658" i="5"/>
  <c r="L658" i="5"/>
  <c r="AM658" i="5"/>
  <c r="AC658" i="5"/>
  <c r="AM477" i="5"/>
  <c r="L477" i="5"/>
  <c r="I477" i="12"/>
  <c r="Z477" i="5"/>
  <c r="AC477" i="5"/>
  <c r="I481" i="12"/>
  <c r="Z481" i="5"/>
  <c r="L481" i="5"/>
  <c r="AM481" i="5"/>
  <c r="AC481" i="5"/>
  <c r="I384" i="12"/>
  <c r="L384" i="5"/>
  <c r="Z384" i="5"/>
  <c r="AM384" i="5"/>
  <c r="AC384" i="5"/>
  <c r="I586" i="12"/>
  <c r="Z586" i="5"/>
  <c r="L586" i="5"/>
  <c r="AM586" i="5"/>
  <c r="AC586" i="5"/>
  <c r="AM395" i="5"/>
  <c r="I395" i="12"/>
  <c r="Z395" i="5"/>
  <c r="L395" i="5"/>
  <c r="AC395" i="5"/>
  <c r="Z674" i="5"/>
  <c r="I674" i="12"/>
  <c r="L674" i="5"/>
  <c r="AM674" i="5"/>
  <c r="AC674" i="5"/>
  <c r="I79" i="12"/>
  <c r="Z79" i="5"/>
  <c r="AM79" i="5"/>
  <c r="L79" i="5"/>
  <c r="I79" i="5"/>
  <c r="I80" i="5" s="1"/>
  <c r="I81" i="5" s="1"/>
  <c r="I82" i="5" s="1"/>
  <c r="I83" i="5" s="1"/>
  <c r="I84" i="5" s="1"/>
  <c r="AC79" i="5"/>
  <c r="L120" i="5"/>
  <c r="Z120" i="5"/>
  <c r="X119" i="5"/>
  <c r="I120" i="5"/>
  <c r="I121" i="5" s="1"/>
  <c r="I122" i="5" s="1"/>
  <c r="AM120" i="5"/>
  <c r="I120" i="12"/>
  <c r="AC120" i="5"/>
  <c r="L90" i="5"/>
  <c r="AM90" i="5"/>
  <c r="I90" i="12"/>
  <c r="Z90" i="5"/>
  <c r="AC90" i="5"/>
  <c r="L345" i="5"/>
  <c r="AM345" i="5"/>
  <c r="Z345" i="5"/>
  <c r="I345" i="12"/>
  <c r="AC345" i="5"/>
  <c r="AM88" i="5"/>
  <c r="I88" i="5"/>
  <c r="I89" i="5" s="1"/>
  <c r="I90" i="5" s="1"/>
  <c r="I91" i="5" s="1"/>
  <c r="I92" i="5" s="1"/>
  <c r="I93" i="5" s="1"/>
  <c r="I94" i="5" s="1"/>
  <c r="I95" i="5" s="1"/>
  <c r="I96" i="5" s="1"/>
  <c r="I97" i="5" s="1"/>
  <c r="I98" i="5" s="1"/>
  <c r="L88" i="5"/>
  <c r="X87" i="5"/>
  <c r="I88" i="12"/>
  <c r="X86" i="5"/>
  <c r="Z88" i="5"/>
  <c r="AC88" i="5"/>
  <c r="L519" i="5"/>
  <c r="I519" i="5"/>
  <c r="I520" i="5" s="1"/>
  <c r="I521" i="5" s="1"/>
  <c r="I522" i="5" s="1"/>
  <c r="I523" i="5" s="1"/>
  <c r="I524" i="5" s="1"/>
  <c r="I525" i="5" s="1"/>
  <c r="I526" i="5" s="1"/>
  <c r="I527" i="5" s="1"/>
  <c r="I528" i="5" s="1"/>
  <c r="I529" i="5" s="1"/>
  <c r="I530" i="5" s="1"/>
  <c r="I531" i="5" s="1"/>
  <c r="I532" i="5" s="1"/>
  <c r="I533" i="5" s="1"/>
  <c r="I534" i="5" s="1"/>
  <c r="Z519" i="5"/>
  <c r="AM519" i="5"/>
  <c r="X518" i="5"/>
  <c r="I519" i="12"/>
  <c r="AC519" i="5"/>
  <c r="I390" i="12"/>
  <c r="L390" i="5"/>
  <c r="Z390" i="5"/>
  <c r="AM390" i="5"/>
  <c r="AC390" i="5"/>
  <c r="AM39" i="5"/>
  <c r="I39" i="12"/>
  <c r="L39" i="5"/>
  <c r="C39" i="6" s="1"/>
  <c r="Z39" i="5"/>
  <c r="AC39" i="5"/>
  <c r="I272" i="12"/>
  <c r="L272" i="5"/>
  <c r="Z272" i="5"/>
  <c r="AM272" i="5"/>
  <c r="AC272" i="5"/>
  <c r="I346" i="12"/>
  <c r="L346" i="5"/>
  <c r="AM346" i="5"/>
  <c r="Z346" i="5"/>
  <c r="AC346" i="5"/>
  <c r="AM193" i="5"/>
  <c r="Z193" i="5"/>
  <c r="I193" i="12"/>
  <c r="L193" i="5"/>
  <c r="AC193" i="5"/>
  <c r="I431" i="5"/>
  <c r="I432" i="5" s="1"/>
  <c r="I431" i="12"/>
  <c r="AM431" i="5"/>
  <c r="L431" i="5"/>
  <c r="X430" i="5"/>
  <c r="Z431" i="5"/>
  <c r="AC431" i="5"/>
  <c r="L274" i="5"/>
  <c r="Z274" i="5"/>
  <c r="AM274" i="5"/>
  <c r="I274" i="12"/>
  <c r="AC274" i="5"/>
  <c r="L374" i="5"/>
  <c r="AM374" i="5"/>
  <c r="Z374" i="5"/>
  <c r="I374" i="12"/>
  <c r="AC374" i="5"/>
  <c r="L324" i="5"/>
  <c r="I324" i="12"/>
  <c r="AM324" i="5"/>
  <c r="Z324" i="5"/>
  <c r="AC324" i="5"/>
  <c r="AM663" i="5"/>
  <c r="Z663" i="5"/>
  <c r="I663" i="12"/>
  <c r="L663" i="5"/>
  <c r="AC663" i="5"/>
  <c r="AM559" i="5"/>
  <c r="L559" i="5"/>
  <c r="Z559" i="5"/>
  <c r="I559" i="12"/>
  <c r="AC559" i="5"/>
  <c r="AM362" i="5"/>
  <c r="L362" i="5"/>
  <c r="I362" i="12"/>
  <c r="Z362" i="5"/>
  <c r="AC362" i="5"/>
  <c r="AM53" i="5"/>
  <c r="Z53" i="5"/>
  <c r="I53" i="12"/>
  <c r="L53" i="5"/>
  <c r="AC53" i="5"/>
  <c r="L239" i="5"/>
  <c r="I239" i="12"/>
  <c r="AM239" i="5"/>
  <c r="Z239" i="5"/>
  <c r="AC239" i="5"/>
  <c r="I226" i="12"/>
  <c r="AM226" i="5"/>
  <c r="L226" i="5"/>
  <c r="C226" i="6" s="1"/>
  <c r="Z226" i="5"/>
  <c r="AC226" i="5"/>
  <c r="L439" i="5"/>
  <c r="Z439" i="5"/>
  <c r="I439" i="12"/>
  <c r="AM439" i="5"/>
  <c r="AC439" i="5"/>
  <c r="L47" i="5"/>
  <c r="Z47" i="5"/>
  <c r="I47" i="12"/>
  <c r="AM47" i="5"/>
  <c r="AC47" i="5"/>
  <c r="Z68" i="5"/>
  <c r="AM68" i="5"/>
  <c r="I68" i="12"/>
  <c r="L68" i="5"/>
  <c r="AC68" i="5"/>
  <c r="AM726" i="5"/>
  <c r="L726" i="5"/>
  <c r="Z726" i="5"/>
  <c r="I726" i="12"/>
  <c r="AC726" i="5"/>
  <c r="Z208" i="5"/>
  <c r="I208" i="5"/>
  <c r="I209" i="5" s="1"/>
  <c r="I210" i="5" s="1"/>
  <c r="I211" i="5" s="1"/>
  <c r="I212" i="5" s="1"/>
  <c r="L208" i="5"/>
  <c r="AM208" i="5"/>
  <c r="I208" i="12"/>
  <c r="X207" i="5"/>
  <c r="AC208" i="5"/>
  <c r="L133" i="5"/>
  <c r="AM133" i="5"/>
  <c r="I133" i="12"/>
  <c r="Z133" i="5"/>
  <c r="AC133" i="5"/>
  <c r="AM52" i="5"/>
  <c r="Z52" i="5"/>
  <c r="I52" i="12"/>
  <c r="L52" i="5"/>
  <c r="AC52" i="5"/>
  <c r="AM495" i="5"/>
  <c r="L495" i="5"/>
  <c r="I495" i="12"/>
  <c r="Z495" i="5"/>
  <c r="AC495" i="5"/>
  <c r="I192" i="12"/>
  <c r="L192" i="5"/>
  <c r="I192" i="5"/>
  <c r="I193" i="5" s="1"/>
  <c r="I194" i="5" s="1"/>
  <c r="I195" i="5" s="1"/>
  <c r="I196" i="5" s="1"/>
  <c r="I197" i="5" s="1"/>
  <c r="Z192" i="5"/>
  <c r="AM192" i="5"/>
  <c r="AC192" i="5"/>
  <c r="AM327" i="5"/>
  <c r="I327" i="12"/>
  <c r="Z327" i="5"/>
  <c r="L327" i="5"/>
  <c r="AC327" i="5"/>
  <c r="L515" i="5"/>
  <c r="I515" i="12"/>
  <c r="AM515" i="5"/>
  <c r="Z515" i="5"/>
  <c r="AC515" i="5"/>
  <c r="I505" i="12"/>
  <c r="AM505" i="5"/>
  <c r="L505" i="5"/>
  <c r="C505" i="6" s="1"/>
  <c r="Z505" i="5"/>
  <c r="AC505" i="5"/>
  <c r="AM638" i="5"/>
  <c r="Z638" i="5"/>
  <c r="I638" i="12"/>
  <c r="L638" i="5"/>
  <c r="AC638" i="5"/>
  <c r="Z111" i="5"/>
  <c r="L111" i="5"/>
  <c r="AM111" i="5"/>
  <c r="I111" i="12"/>
  <c r="AC111" i="5"/>
  <c r="AM595" i="5"/>
  <c r="L595" i="5"/>
  <c r="C595" i="6" s="1"/>
  <c r="I595" i="12"/>
  <c r="Z595" i="5"/>
  <c r="AC595" i="5"/>
  <c r="L698" i="5"/>
  <c r="Z698" i="5"/>
  <c r="AM698" i="5"/>
  <c r="I698" i="12"/>
  <c r="AC698" i="5"/>
  <c r="L290" i="5"/>
  <c r="I290" i="12"/>
  <c r="AM290" i="5"/>
  <c r="Z290" i="5"/>
  <c r="AC290" i="5"/>
  <c r="AM42" i="5"/>
  <c r="Z42" i="5"/>
  <c r="L42" i="5"/>
  <c r="I42" i="12"/>
  <c r="AC42" i="5"/>
  <c r="L51" i="5"/>
  <c r="I51" i="12"/>
  <c r="AM51" i="5"/>
  <c r="Z51" i="5"/>
  <c r="AC51" i="5"/>
  <c r="AM670" i="5"/>
  <c r="L670" i="5"/>
  <c r="Z670" i="5"/>
  <c r="I670" i="5"/>
  <c r="I671" i="5" s="1"/>
  <c r="I670" i="12"/>
  <c r="AC670" i="5"/>
  <c r="AM403" i="5"/>
  <c r="L403" i="5"/>
  <c r="Z403" i="5"/>
  <c r="I403" i="12"/>
  <c r="AC403" i="5"/>
  <c r="Z450" i="5"/>
  <c r="L450" i="5"/>
  <c r="AM450" i="5"/>
  <c r="I450" i="12"/>
  <c r="I450" i="5"/>
  <c r="I451" i="5" s="1"/>
  <c r="I452" i="5" s="1"/>
  <c r="I453" i="5" s="1"/>
  <c r="I454" i="5" s="1"/>
  <c r="I455" i="5" s="1"/>
  <c r="AC450" i="5"/>
  <c r="AM538" i="5"/>
  <c r="Z538" i="5"/>
  <c r="L538" i="5"/>
  <c r="I538" i="12"/>
  <c r="AC538" i="5"/>
  <c r="AM545" i="5"/>
  <c r="L545" i="5"/>
  <c r="Z545" i="5"/>
  <c r="I545" i="12"/>
  <c r="AC545" i="5"/>
  <c r="AM329" i="5"/>
  <c r="I329" i="12"/>
  <c r="L329" i="5"/>
  <c r="Z329" i="5"/>
  <c r="AC329" i="5"/>
  <c r="L392" i="5"/>
  <c r="I392" i="5"/>
  <c r="I393" i="5" s="1"/>
  <c r="I394" i="5" s="1"/>
  <c r="I395" i="5" s="1"/>
  <c r="I392" i="12"/>
  <c r="Z392" i="5"/>
  <c r="AM392" i="5"/>
  <c r="AC392" i="5"/>
  <c r="I720" i="12"/>
  <c r="Z720" i="5"/>
  <c r="AM720" i="5"/>
  <c r="L720" i="5"/>
  <c r="AC720" i="5"/>
  <c r="AM616" i="5"/>
  <c r="I616" i="12"/>
  <c r="Z616" i="5"/>
  <c r="L616" i="5"/>
  <c r="AC616" i="5"/>
  <c r="L478" i="5"/>
  <c r="AM478" i="5"/>
  <c r="Z478" i="5"/>
  <c r="I478" i="12"/>
  <c r="AC478" i="5"/>
  <c r="Z310" i="5"/>
  <c r="L310" i="5"/>
  <c r="AM310" i="5"/>
  <c r="I310" i="12"/>
  <c r="AC310" i="5"/>
  <c r="L592" i="5"/>
  <c r="C592" i="6" s="1"/>
  <c r="Z592" i="5"/>
  <c r="I592" i="12"/>
  <c r="AM592" i="5"/>
  <c r="AC592" i="5"/>
  <c r="AM455" i="5"/>
  <c r="L455" i="5"/>
  <c r="I455" i="12"/>
  <c r="Z455" i="5"/>
  <c r="AC455" i="5"/>
  <c r="L349" i="5"/>
  <c r="I349" i="12"/>
  <c r="Z349" i="5"/>
  <c r="AM349" i="5"/>
  <c r="AC349" i="5"/>
  <c r="AM371" i="5"/>
  <c r="I371" i="12"/>
  <c r="Z371" i="5"/>
  <c r="L371" i="5"/>
  <c r="AC371" i="5"/>
  <c r="I494" i="12"/>
  <c r="Z494" i="5"/>
  <c r="L494" i="5"/>
  <c r="AM494" i="5"/>
  <c r="AC494" i="5"/>
  <c r="AM543" i="5"/>
  <c r="L543" i="5"/>
  <c r="Z543" i="5"/>
  <c r="I543" i="12"/>
  <c r="AC543" i="5"/>
  <c r="L462" i="5"/>
  <c r="AM462" i="5"/>
  <c r="Z462" i="5"/>
  <c r="I462" i="12"/>
  <c r="AC462" i="5"/>
  <c r="Z398" i="5"/>
  <c r="I398" i="12"/>
  <c r="AM398" i="5"/>
  <c r="L398" i="5"/>
  <c r="AC398" i="5"/>
  <c r="Z204" i="5"/>
  <c r="AM204" i="5"/>
  <c r="L204" i="5"/>
  <c r="C204" i="6" s="1"/>
  <c r="I204" i="12"/>
  <c r="AC204" i="5"/>
  <c r="I102" i="12"/>
  <c r="Z102" i="5"/>
  <c r="AM102" i="5"/>
  <c r="L102" i="5"/>
  <c r="AC102" i="5"/>
  <c r="Z121" i="5"/>
  <c r="L121" i="5"/>
  <c r="I121" i="12"/>
  <c r="AM121" i="5"/>
  <c r="AC121" i="5"/>
  <c r="I354" i="12"/>
  <c r="Z354" i="5"/>
  <c r="AM354" i="5"/>
  <c r="L354" i="5"/>
  <c r="AC354" i="5"/>
  <c r="L378" i="5"/>
  <c r="Z378" i="5"/>
  <c r="I378" i="12"/>
  <c r="AM378" i="5"/>
  <c r="AC378" i="5"/>
  <c r="AM411" i="5"/>
  <c r="I411" i="12"/>
  <c r="L411" i="5"/>
  <c r="Z411" i="5"/>
  <c r="AC411" i="5"/>
  <c r="Z469" i="5"/>
  <c r="L469" i="5"/>
  <c r="I469" i="12"/>
  <c r="AM469" i="5"/>
  <c r="AC469" i="5"/>
  <c r="AM56" i="5"/>
  <c r="Z56" i="5"/>
  <c r="I56" i="12"/>
  <c r="L56" i="5"/>
  <c r="AC56" i="5"/>
  <c r="Z716" i="5"/>
  <c r="AM716" i="5"/>
  <c r="I716" i="12"/>
  <c r="L716" i="5"/>
  <c r="AC716" i="5"/>
  <c r="L696" i="5"/>
  <c r="I696" i="5"/>
  <c r="I697" i="5" s="1"/>
  <c r="I698" i="5" s="1"/>
  <c r="I699" i="5" s="1"/>
  <c r="X695" i="5"/>
  <c r="AM696" i="5"/>
  <c r="I696" i="12"/>
  <c r="Z696" i="5"/>
  <c r="AC696" i="5"/>
  <c r="L336" i="5"/>
  <c r="AM336" i="5"/>
  <c r="Z336" i="5"/>
  <c r="I336" i="12"/>
  <c r="AC336" i="5"/>
  <c r="I370" i="12"/>
  <c r="Z370" i="5"/>
  <c r="AM370" i="5"/>
  <c r="L370" i="5"/>
  <c r="X369" i="5"/>
  <c r="I370" i="5"/>
  <c r="I371" i="5" s="1"/>
  <c r="I372" i="5" s="1"/>
  <c r="I373" i="5" s="1"/>
  <c r="I374" i="5" s="1"/>
  <c r="AC370" i="5"/>
  <c r="AM436" i="5"/>
  <c r="I436" i="12"/>
  <c r="Z436" i="5"/>
  <c r="L436" i="5"/>
  <c r="AC436" i="5"/>
  <c r="I252" i="12"/>
  <c r="AM252" i="5"/>
  <c r="X251" i="5"/>
  <c r="I252" i="5"/>
  <c r="I253" i="5" s="1"/>
  <c r="L252" i="5"/>
  <c r="Z252" i="5"/>
  <c r="AC252" i="5"/>
  <c r="L365" i="5"/>
  <c r="AM365" i="5"/>
  <c r="Z365" i="5"/>
  <c r="I365" i="12"/>
  <c r="AC365" i="5"/>
  <c r="AM625" i="5"/>
  <c r="I625" i="12"/>
  <c r="Z625" i="5"/>
  <c r="L625" i="5"/>
  <c r="C625" i="6" s="1"/>
  <c r="AC625" i="5"/>
  <c r="I423" i="12"/>
  <c r="Z423" i="5"/>
  <c r="L423" i="5"/>
  <c r="AM423" i="5"/>
  <c r="AC423" i="5"/>
  <c r="Z528" i="5"/>
  <c r="AM528" i="5"/>
  <c r="I528" i="12"/>
  <c r="L528" i="5"/>
  <c r="AC528" i="5"/>
  <c r="I724" i="5"/>
  <c r="I725" i="5" s="1"/>
  <c r="I726" i="5" s="1"/>
  <c r="I727" i="5" s="1"/>
  <c r="Z724" i="5"/>
  <c r="L724" i="5"/>
  <c r="I724" i="12"/>
  <c r="AM724" i="5"/>
  <c r="AC724" i="5"/>
  <c r="L294" i="5"/>
  <c r="AM294" i="5"/>
  <c r="I294" i="12"/>
  <c r="Z294" i="5"/>
  <c r="AC294" i="5"/>
  <c r="Z727" i="5"/>
  <c r="I727" i="12"/>
  <c r="L727" i="5"/>
  <c r="AM727" i="5"/>
  <c r="AC727" i="5"/>
  <c r="AM82" i="5"/>
  <c r="L82" i="5"/>
  <c r="I82" i="12"/>
  <c r="Z82" i="5"/>
  <c r="AC82" i="5"/>
  <c r="L289" i="5"/>
  <c r="I289" i="12"/>
  <c r="AM289" i="5"/>
  <c r="Z289" i="5"/>
  <c r="AC289" i="5"/>
  <c r="Z18" i="5"/>
  <c r="I18" i="5"/>
  <c r="I19" i="5" s="1"/>
  <c r="I20" i="5" s="1"/>
  <c r="AM18" i="5"/>
  <c r="I18" i="12"/>
  <c r="L18" i="5"/>
  <c r="AC18" i="5"/>
  <c r="L662" i="5"/>
  <c r="AM662" i="5"/>
  <c r="I662" i="12"/>
  <c r="Z662" i="5"/>
  <c r="AC662" i="5"/>
  <c r="Z291" i="5"/>
  <c r="I291" i="12"/>
  <c r="L291" i="5"/>
  <c r="AM291" i="5"/>
  <c r="AC291" i="5"/>
  <c r="L210" i="5"/>
  <c r="I210" i="12"/>
  <c r="AM210" i="5"/>
  <c r="Z210" i="5"/>
  <c r="AC210" i="5"/>
  <c r="L554" i="5"/>
  <c r="Z554" i="5"/>
  <c r="AM554" i="5"/>
  <c r="I554" i="12"/>
  <c r="AC554" i="5"/>
  <c r="Z361" i="5"/>
  <c r="I361" i="12"/>
  <c r="AM361" i="5"/>
  <c r="L361" i="5"/>
  <c r="AC361" i="5"/>
  <c r="L343" i="5"/>
  <c r="Z343" i="5"/>
  <c r="I343" i="12"/>
  <c r="AM343" i="5"/>
  <c r="AC343" i="5"/>
  <c r="I497" i="12"/>
  <c r="AM497" i="5"/>
  <c r="Z497" i="5"/>
  <c r="L497" i="5"/>
  <c r="AC497" i="5"/>
  <c r="I631" i="12"/>
  <c r="L631" i="5"/>
  <c r="AM631" i="5"/>
  <c r="Z631" i="5"/>
  <c r="I631" i="5"/>
  <c r="AC631" i="5"/>
  <c r="AM117" i="5"/>
  <c r="Z117" i="5"/>
  <c r="L117" i="5"/>
  <c r="I117" i="12"/>
  <c r="AC117" i="5"/>
  <c r="L348" i="5"/>
  <c r="AM348" i="5"/>
  <c r="I348" i="12"/>
  <c r="Z348" i="5"/>
  <c r="AC348" i="5"/>
  <c r="Z661" i="5"/>
  <c r="L661" i="5"/>
  <c r="X660" i="5"/>
  <c r="I661" i="12"/>
  <c r="AM661" i="5"/>
  <c r="I661" i="5"/>
  <c r="I662" i="5" s="1"/>
  <c r="I663" i="5" s="1"/>
  <c r="I664" i="5" s="1"/>
  <c r="AC661" i="5"/>
  <c r="AM309" i="5"/>
  <c r="I309" i="12"/>
  <c r="Z309" i="5"/>
  <c r="L309" i="5"/>
  <c r="AC309" i="5"/>
  <c r="AM437" i="5"/>
  <c r="I437" i="12"/>
  <c r="Z437" i="5"/>
  <c r="L437" i="5"/>
  <c r="AC437" i="5"/>
  <c r="I553" i="5"/>
  <c r="I554" i="5" s="1"/>
  <c r="I555" i="5" s="1"/>
  <c r="I556" i="5" s="1"/>
  <c r="I557" i="5" s="1"/>
  <c r="I558" i="5" s="1"/>
  <c r="I559" i="5" s="1"/>
  <c r="Z553" i="5"/>
  <c r="I553" i="12"/>
  <c r="L553" i="5"/>
  <c r="AM553" i="5"/>
  <c r="AC553" i="5"/>
  <c r="AM305" i="5"/>
  <c r="Z305" i="5"/>
  <c r="L305" i="5"/>
  <c r="C305" i="6" s="1"/>
  <c r="I305" i="12"/>
  <c r="AC305" i="5"/>
  <c r="I92" i="12"/>
  <c r="L92" i="5"/>
  <c r="AM92" i="5"/>
  <c r="Z92" i="5"/>
  <c r="AC92" i="5"/>
  <c r="AM355" i="5"/>
  <c r="L355" i="5"/>
  <c r="Z355" i="5"/>
  <c r="I355" i="12"/>
  <c r="AC355" i="5"/>
  <c r="L49" i="5"/>
  <c r="Z49" i="5"/>
  <c r="I49" i="12"/>
  <c r="X48" i="5"/>
  <c r="I49" i="5"/>
  <c r="I50" i="5" s="1"/>
  <c r="I51" i="5" s="1"/>
  <c r="I52" i="5" s="1"/>
  <c r="I53" i="5" s="1"/>
  <c r="I54" i="5" s="1"/>
  <c r="I55" i="5" s="1"/>
  <c r="I56" i="5" s="1"/>
  <c r="I57" i="5" s="1"/>
  <c r="I58" i="5" s="1"/>
  <c r="AM49" i="5"/>
  <c r="AC49" i="5"/>
  <c r="Z713" i="5"/>
  <c r="AM713" i="5"/>
  <c r="I713" i="12"/>
  <c r="L713" i="5"/>
  <c r="AC713" i="5"/>
  <c r="I296" i="12"/>
  <c r="L296" i="5"/>
  <c r="AM296" i="5"/>
  <c r="Z296" i="5"/>
  <c r="AC296" i="5"/>
  <c r="Z624" i="5"/>
  <c r="AM624" i="5"/>
  <c r="I624" i="12"/>
  <c r="L624" i="5"/>
  <c r="AC624" i="5"/>
  <c r="I113" i="12"/>
  <c r="Z113" i="5"/>
  <c r="AM113" i="5"/>
  <c r="L113" i="5"/>
  <c r="AC113" i="5"/>
  <c r="AM104" i="5"/>
  <c r="L104" i="5"/>
  <c r="C104" i="6" s="1"/>
  <c r="I104" i="12"/>
  <c r="Z104" i="5"/>
  <c r="AC104" i="5"/>
  <c r="L368" i="5"/>
  <c r="C368" i="6" s="1"/>
  <c r="Z368" i="5"/>
  <c r="AM368" i="5"/>
  <c r="I368" i="12"/>
  <c r="AC368" i="5"/>
  <c r="L195" i="5"/>
  <c r="AM195" i="5"/>
  <c r="I195" i="12"/>
  <c r="Z195" i="5"/>
  <c r="AC195" i="5"/>
  <c r="L115" i="5"/>
  <c r="Z115" i="5"/>
  <c r="X114" i="5"/>
  <c r="AM115" i="5"/>
  <c r="I115" i="12"/>
  <c r="AC115" i="5"/>
  <c r="L135" i="5"/>
  <c r="C135" i="6" s="1"/>
  <c r="AM135" i="5"/>
  <c r="I135" i="12"/>
  <c r="Z135" i="5"/>
  <c r="AC135" i="5"/>
  <c r="I360" i="12"/>
  <c r="AM360" i="5"/>
  <c r="L360" i="5"/>
  <c r="Z360" i="5"/>
  <c r="AC360" i="5"/>
  <c r="Z41" i="5"/>
  <c r="I41" i="12"/>
  <c r="I41" i="5"/>
  <c r="I42" i="5" s="1"/>
  <c r="I43" i="5" s="1"/>
  <c r="I44" i="5" s="1"/>
  <c r="I45" i="5" s="1"/>
  <c r="I46" i="5" s="1"/>
  <c r="I47" i="5" s="1"/>
  <c r="X40" i="5"/>
  <c r="AM41" i="5"/>
  <c r="L41" i="5"/>
  <c r="AC41" i="5"/>
  <c r="L619" i="5"/>
  <c r="I619" i="12"/>
  <c r="I619" i="5"/>
  <c r="AM619" i="5"/>
  <c r="Z619" i="5"/>
  <c r="AC619" i="5"/>
  <c r="Z299" i="5"/>
  <c r="L299" i="5"/>
  <c r="I299" i="12"/>
  <c r="AM299" i="5"/>
  <c r="AC299" i="5"/>
  <c r="AM359" i="5"/>
  <c r="Z359" i="5"/>
  <c r="L359" i="5"/>
  <c r="I359" i="12"/>
  <c r="AC359" i="5"/>
  <c r="I377" i="12"/>
  <c r="Z377" i="5"/>
  <c r="AM377" i="5"/>
  <c r="L377" i="5"/>
  <c r="AC377" i="5"/>
  <c r="AM637" i="5"/>
  <c r="I637" i="12"/>
  <c r="Z637" i="5"/>
  <c r="L637" i="5"/>
  <c r="AC637" i="5"/>
  <c r="Z107" i="5"/>
  <c r="L107" i="5"/>
  <c r="X106" i="5"/>
  <c r="I107" i="5"/>
  <c r="I107" i="12"/>
  <c r="X105" i="5"/>
  <c r="AM107" i="5"/>
  <c r="AC107" i="5"/>
  <c r="I57" i="12"/>
  <c r="Z57" i="5"/>
  <c r="AM57" i="5"/>
  <c r="L57" i="5"/>
  <c r="AC57" i="5"/>
  <c r="Z656" i="5"/>
  <c r="AM656" i="5"/>
  <c r="I656" i="12"/>
  <c r="L656" i="5"/>
  <c r="AC656" i="5"/>
  <c r="L132" i="5"/>
  <c r="AM132" i="5"/>
  <c r="I132" i="12"/>
  <c r="Z132" i="5"/>
  <c r="I132" i="5"/>
  <c r="I133" i="5" s="1"/>
  <c r="AC132" i="5"/>
  <c r="L479" i="5"/>
  <c r="Z479" i="5"/>
  <c r="AM479" i="5"/>
  <c r="I479" i="12"/>
  <c r="AC479" i="5"/>
  <c r="Z363" i="5"/>
  <c r="I363" i="12"/>
  <c r="L363" i="5"/>
  <c r="AM363" i="5"/>
  <c r="AC363" i="5"/>
  <c r="I96" i="12"/>
  <c r="AM96" i="5"/>
  <c r="L96" i="5"/>
  <c r="Z96" i="5"/>
  <c r="AC96" i="5"/>
  <c r="Z350" i="5"/>
  <c r="L350" i="5"/>
  <c r="I350" i="12"/>
  <c r="AM350" i="5"/>
  <c r="AC350" i="5"/>
  <c r="Z292" i="5"/>
  <c r="L292" i="5"/>
  <c r="AM292" i="5"/>
  <c r="I292" i="12"/>
  <c r="AC292" i="5"/>
  <c r="I461" i="12"/>
  <c r="L461" i="5"/>
  <c r="Z461" i="5"/>
  <c r="AM461" i="5"/>
  <c r="AC461" i="5"/>
  <c r="I526" i="12"/>
  <c r="AM526" i="5"/>
  <c r="L526" i="5"/>
  <c r="Z526" i="5"/>
  <c r="AC526" i="5"/>
  <c r="I225" i="12"/>
  <c r="L225" i="5"/>
  <c r="AM225" i="5"/>
  <c r="Z225" i="5"/>
  <c r="AC225" i="5"/>
  <c r="L382" i="5"/>
  <c r="AM382" i="5"/>
  <c r="Z382" i="5"/>
  <c r="I382" i="12"/>
  <c r="AC382" i="5"/>
  <c r="Z347" i="5"/>
  <c r="L347" i="5"/>
  <c r="I347" i="12"/>
  <c r="AM347" i="5"/>
  <c r="AC347" i="5"/>
  <c r="AM534" i="5"/>
  <c r="L534" i="5"/>
  <c r="Z534" i="5"/>
  <c r="I534" i="12"/>
  <c r="AC534" i="5"/>
  <c r="I566" i="12"/>
  <c r="L566" i="5"/>
  <c r="Z566" i="5"/>
  <c r="AM566" i="5"/>
  <c r="AC566" i="5"/>
  <c r="L556" i="5"/>
  <c r="Z556" i="5"/>
  <c r="I556" i="12"/>
  <c r="AM556" i="5"/>
  <c r="AC556" i="5"/>
  <c r="L278" i="5"/>
  <c r="I278" i="12"/>
  <c r="AM278" i="5"/>
  <c r="Z278" i="5"/>
  <c r="AC278" i="5"/>
  <c r="Z650" i="5"/>
  <c r="AM650" i="5"/>
  <c r="L650" i="5"/>
  <c r="I650" i="12"/>
  <c r="AC650" i="5"/>
  <c r="Z313" i="5"/>
  <c r="AM313" i="5"/>
  <c r="I313" i="12"/>
  <c r="L313" i="5"/>
  <c r="AC313" i="5"/>
  <c r="I352" i="12"/>
  <c r="AM352" i="5"/>
  <c r="L352" i="5"/>
  <c r="C352" i="6" s="1"/>
  <c r="Z352" i="5"/>
  <c r="AC352" i="5"/>
  <c r="Z364" i="5"/>
  <c r="L364" i="5"/>
  <c r="AM364" i="5"/>
  <c r="I364" i="12"/>
  <c r="AC364" i="5"/>
  <c r="AM194" i="5"/>
  <c r="L194" i="5"/>
  <c r="I194" i="12"/>
  <c r="Z194" i="5"/>
  <c r="AC194" i="5"/>
  <c r="I197" i="12"/>
  <c r="Z197" i="5"/>
  <c r="L197" i="5"/>
  <c r="AM197" i="5"/>
  <c r="AC197" i="5"/>
  <c r="AM521" i="5"/>
  <c r="I521" i="12"/>
  <c r="Z521" i="5"/>
  <c r="L521" i="5"/>
  <c r="AC521" i="5"/>
  <c r="I268" i="5"/>
  <c r="I269" i="5" s="1"/>
  <c r="I270" i="5" s="1"/>
  <c r="I271" i="5" s="1"/>
  <c r="I272" i="5" s="1"/>
  <c r="Z268" i="5"/>
  <c r="AM268" i="5"/>
  <c r="L268" i="5"/>
  <c r="I268" i="12"/>
  <c r="AC268" i="5"/>
  <c r="I432" i="12"/>
  <c r="L432" i="5"/>
  <c r="AM432" i="5"/>
  <c r="Z432" i="5"/>
  <c r="AC432" i="5"/>
  <c r="L527" i="5"/>
  <c r="AM527" i="5"/>
  <c r="I527" i="12"/>
  <c r="Z527" i="5"/>
  <c r="AC527" i="5"/>
  <c r="AM612" i="5"/>
  <c r="I612" i="12"/>
  <c r="L612" i="5"/>
  <c r="C612" i="6" s="1"/>
  <c r="Z612" i="5"/>
  <c r="AC612" i="5"/>
  <c r="I342" i="12"/>
  <c r="I342" i="5"/>
  <c r="I343" i="5" s="1"/>
  <c r="I344" i="5" s="1"/>
  <c r="I345" i="5" s="1"/>
  <c r="I346" i="5" s="1"/>
  <c r="I347" i="5" s="1"/>
  <c r="I348" i="5" s="1"/>
  <c r="I349" i="5" s="1"/>
  <c r="I350" i="5" s="1"/>
  <c r="L342" i="5"/>
  <c r="Z342" i="5"/>
  <c r="AM342" i="5"/>
  <c r="AC342" i="5"/>
  <c r="L380" i="5"/>
  <c r="I380" i="12"/>
  <c r="AM380" i="5"/>
  <c r="X379" i="5"/>
  <c r="I380" i="5"/>
  <c r="I381" i="5" s="1"/>
  <c r="I382" i="5" s="1"/>
  <c r="I383" i="5" s="1"/>
  <c r="I384" i="5" s="1"/>
  <c r="I385" i="5" s="1"/>
  <c r="I386" i="5" s="1"/>
  <c r="I387" i="5" s="1"/>
  <c r="I388" i="5" s="1"/>
  <c r="I389" i="5" s="1"/>
  <c r="I390" i="5" s="1"/>
  <c r="Z380" i="5"/>
  <c r="AC380" i="5"/>
  <c r="Z67" i="5"/>
  <c r="I67" i="12"/>
  <c r="L67" i="5"/>
  <c r="AM67" i="5"/>
  <c r="AC67" i="5"/>
  <c r="AM212" i="5"/>
  <c r="I212" i="12"/>
  <c r="L212" i="5"/>
  <c r="Z212" i="5"/>
  <c r="AC212" i="5"/>
  <c r="Z604" i="5"/>
  <c r="I604" i="12"/>
  <c r="AM604" i="5"/>
  <c r="L604" i="5"/>
  <c r="C604" i="6" s="1"/>
  <c r="AC604" i="5"/>
  <c r="AM601" i="5"/>
  <c r="I601" i="12"/>
  <c r="Z601" i="5"/>
  <c r="L601" i="5"/>
  <c r="C601" i="6" s="1"/>
  <c r="AC601" i="5"/>
  <c r="I301" i="12"/>
  <c r="Z301" i="5"/>
  <c r="L301" i="5"/>
  <c r="AM301" i="5"/>
  <c r="AC301" i="5"/>
  <c r="I103" i="12"/>
  <c r="Z103" i="5"/>
  <c r="L103" i="5"/>
  <c r="AM103" i="5"/>
  <c r="AC103" i="5"/>
  <c r="Z680" i="5"/>
  <c r="AM680" i="5"/>
  <c r="L680" i="5"/>
  <c r="I680" i="12"/>
  <c r="AC680" i="5"/>
  <c r="AM335" i="5"/>
  <c r="X334" i="5"/>
  <c r="Z335" i="5"/>
  <c r="I335" i="12"/>
  <c r="I335" i="5"/>
  <c r="I336" i="5" s="1"/>
  <c r="L335" i="5"/>
  <c r="AC335" i="5"/>
  <c r="I62" i="12"/>
  <c r="L62" i="5"/>
  <c r="AM62" i="5"/>
  <c r="Z62" i="5"/>
  <c r="AC62" i="5"/>
  <c r="AM635" i="5"/>
  <c r="I635" i="12"/>
  <c r="L635" i="5"/>
  <c r="Z635" i="5"/>
  <c r="AC635" i="5"/>
  <c r="AM657" i="5"/>
  <c r="I657" i="12"/>
  <c r="Z657" i="5"/>
  <c r="L657" i="5"/>
  <c r="AC657" i="5"/>
  <c r="I394" i="12"/>
  <c r="L394" i="5"/>
  <c r="Z394" i="5"/>
  <c r="AM394" i="5"/>
  <c r="AC394" i="5"/>
  <c r="L19" i="5"/>
  <c r="Z19" i="5"/>
  <c r="AM19" i="5"/>
  <c r="I19" i="12"/>
  <c r="AC19" i="5"/>
  <c r="Z118" i="5"/>
  <c r="AM118" i="5"/>
  <c r="L118" i="5"/>
  <c r="I118" i="12"/>
  <c r="AC118" i="5"/>
  <c r="L238" i="5"/>
  <c r="I238" i="12"/>
  <c r="Z238" i="5"/>
  <c r="AM238" i="5"/>
  <c r="AC238" i="5"/>
  <c r="AM693" i="5"/>
  <c r="L693" i="5"/>
  <c r="C693" i="6" s="1"/>
  <c r="Z693" i="5"/>
  <c r="I693" i="12"/>
  <c r="AC693" i="5"/>
  <c r="AM308" i="5"/>
  <c r="L308" i="5"/>
  <c r="I308" i="12"/>
  <c r="Z308" i="5"/>
  <c r="AC308" i="5"/>
  <c r="AM558" i="5"/>
  <c r="L558" i="5"/>
  <c r="Z558" i="5"/>
  <c r="I558" i="12"/>
  <c r="AC558" i="5"/>
  <c r="L321" i="5"/>
  <c r="AM321" i="5"/>
  <c r="Z321" i="5"/>
  <c r="I321" i="12"/>
  <c r="AC321" i="5"/>
  <c r="L76" i="5"/>
  <c r="I76" i="12"/>
  <c r="AM76" i="5"/>
  <c r="Z76" i="5"/>
  <c r="AC76" i="5"/>
  <c r="I328" i="12"/>
  <c r="AM328" i="5"/>
  <c r="Z328" i="5"/>
  <c r="L328" i="5"/>
  <c r="AC328" i="5"/>
  <c r="AM530" i="5"/>
  <c r="L530" i="5"/>
  <c r="Z530" i="5"/>
  <c r="I530" i="12"/>
  <c r="AC530" i="5"/>
  <c r="I63" i="12"/>
  <c r="L63" i="5"/>
  <c r="AM63" i="5"/>
  <c r="Z63" i="5"/>
  <c r="AC63" i="5"/>
  <c r="AM525" i="5"/>
  <c r="Z525" i="5"/>
  <c r="L525" i="5"/>
  <c r="I525" i="12"/>
  <c r="AC525" i="5"/>
  <c r="L215" i="5"/>
  <c r="I215" i="12"/>
  <c r="Z215" i="5"/>
  <c r="AM215" i="5"/>
  <c r="AC215" i="5"/>
  <c r="Z400" i="5"/>
  <c r="I400" i="12"/>
  <c r="AM400" i="5"/>
  <c r="L400" i="5"/>
  <c r="AC400" i="5"/>
  <c r="L300" i="5"/>
  <c r="AM300" i="5"/>
  <c r="Z300" i="5"/>
  <c r="I300" i="12"/>
  <c r="AC300" i="5"/>
  <c r="AM112" i="5"/>
  <c r="L112" i="5"/>
  <c r="I112" i="12"/>
  <c r="Z112" i="5"/>
  <c r="AC112" i="5"/>
  <c r="I84" i="12"/>
  <c r="AM84" i="5"/>
  <c r="L84" i="5"/>
  <c r="Z84" i="5"/>
  <c r="AC84" i="5"/>
  <c r="I276" i="12"/>
  <c r="AM276" i="5"/>
  <c r="L276" i="5"/>
  <c r="Z276" i="5"/>
  <c r="AC276" i="5"/>
  <c r="L405" i="5"/>
  <c r="Z405" i="5"/>
  <c r="I405" i="12"/>
  <c r="AM405" i="5"/>
  <c r="AC405" i="5"/>
  <c r="L333" i="5"/>
  <c r="C333" i="6" s="1"/>
  <c r="AM333" i="5"/>
  <c r="Z333" i="5"/>
  <c r="I333" i="12"/>
  <c r="AC333" i="5"/>
  <c r="AM31" i="5"/>
  <c r="Z31" i="5"/>
  <c r="L31" i="5"/>
  <c r="I31" i="12"/>
  <c r="AC31" i="5"/>
  <c r="AM302" i="5"/>
  <c r="L302" i="5"/>
  <c r="Z302" i="5"/>
  <c r="I302" i="12"/>
  <c r="AC302" i="5"/>
  <c r="Z647" i="5"/>
  <c r="AM647" i="5"/>
  <c r="I647" i="12"/>
  <c r="I647" i="5"/>
  <c r="I648" i="5" s="1"/>
  <c r="L647" i="5"/>
  <c r="AC647" i="5"/>
  <c r="L711" i="5"/>
  <c r="AM711" i="5"/>
  <c r="I711" i="12"/>
  <c r="Z711" i="5"/>
  <c r="AC711" i="5"/>
  <c r="I373" i="12"/>
  <c r="AM373" i="5"/>
  <c r="L373" i="5"/>
  <c r="Z373" i="5"/>
  <c r="AC373" i="5"/>
  <c r="Z304" i="5"/>
  <c r="L304" i="5"/>
  <c r="I304" i="12"/>
  <c r="AM304" i="5"/>
  <c r="AC304" i="5"/>
  <c r="Z409" i="5"/>
  <c r="I409" i="12"/>
  <c r="AM409" i="5"/>
  <c r="L409" i="5"/>
  <c r="AC409" i="5"/>
  <c r="I733" i="12"/>
  <c r="AM733" i="5"/>
  <c r="Z733" i="5"/>
  <c r="L733" i="5"/>
  <c r="C733" i="6" s="1"/>
  <c r="AC733" i="5"/>
  <c r="I319" i="12"/>
  <c r="Z319" i="5"/>
  <c r="L319" i="5"/>
  <c r="I319" i="5"/>
  <c r="I320" i="5" s="1"/>
  <c r="I321" i="5" s="1"/>
  <c r="I322" i="5" s="1"/>
  <c r="I323" i="5" s="1"/>
  <c r="I324" i="5" s="1"/>
  <c r="I325" i="5" s="1"/>
  <c r="AM319" i="5"/>
  <c r="AC319" i="5"/>
  <c r="I533" i="12"/>
  <c r="Z533" i="5"/>
  <c r="AM533" i="5"/>
  <c r="L533" i="5"/>
  <c r="AC533" i="5"/>
  <c r="I679" i="12"/>
  <c r="AM679" i="5"/>
  <c r="L679" i="5"/>
  <c r="Z679" i="5"/>
  <c r="AC679" i="5"/>
  <c r="AM429" i="5"/>
  <c r="I429" i="12"/>
  <c r="Z429" i="5"/>
  <c r="L429" i="5"/>
  <c r="AC429" i="5"/>
  <c r="L284" i="5"/>
  <c r="Z284" i="5"/>
  <c r="AM284" i="5"/>
  <c r="I284" i="12"/>
  <c r="AC284" i="5"/>
  <c r="I322" i="12"/>
  <c r="Z322" i="5"/>
  <c r="L322" i="5"/>
  <c r="AM322" i="5"/>
  <c r="AC322" i="5"/>
  <c r="AM636" i="5"/>
  <c r="I636" i="12"/>
  <c r="L636" i="5"/>
  <c r="Z636" i="5"/>
  <c r="AC636" i="5"/>
  <c r="L307" i="5"/>
  <c r="I307" i="12"/>
  <c r="AM307" i="5"/>
  <c r="Z307" i="5"/>
  <c r="I307" i="5"/>
  <c r="I308" i="5" s="1"/>
  <c r="I309" i="5" s="1"/>
  <c r="I310" i="5" s="1"/>
  <c r="I311" i="5" s="1"/>
  <c r="I312" i="5" s="1"/>
  <c r="I313" i="5" s="1"/>
  <c r="AC307" i="5"/>
  <c r="AM458" i="5"/>
  <c r="L458" i="5"/>
  <c r="I458" i="12"/>
  <c r="Z458" i="5"/>
  <c r="AC458" i="5"/>
  <c r="AM189" i="5"/>
  <c r="I189" i="12"/>
  <c r="L189" i="5"/>
  <c r="C189" i="6" s="1"/>
  <c r="Z189" i="5"/>
  <c r="AC189" i="5"/>
  <c r="AM537" i="5"/>
  <c r="I537" i="12"/>
  <c r="Z537" i="5"/>
  <c r="L537" i="5"/>
  <c r="AC537" i="5"/>
  <c r="Z520" i="5"/>
  <c r="L520" i="5"/>
  <c r="I520" i="12"/>
  <c r="AM520" i="5"/>
  <c r="AC520" i="5"/>
  <c r="L588" i="5"/>
  <c r="AM588" i="5"/>
  <c r="I588" i="12"/>
  <c r="Z588" i="5"/>
  <c r="AC588" i="5"/>
  <c r="Z435" i="5"/>
  <c r="AM435" i="5"/>
  <c r="L435" i="5"/>
  <c r="I435" i="12"/>
  <c r="AC435" i="5"/>
  <c r="Z547" i="5"/>
  <c r="AM547" i="5"/>
  <c r="L547" i="5"/>
  <c r="I547" i="12"/>
  <c r="AC547" i="5"/>
  <c r="L451" i="5"/>
  <c r="AM451" i="5"/>
  <c r="Z451" i="5"/>
  <c r="I451" i="12"/>
  <c r="AC451" i="5"/>
  <c r="Z590" i="5"/>
  <c r="L590" i="5"/>
  <c r="I590" i="12"/>
  <c r="AM590" i="5"/>
  <c r="AC590" i="5"/>
  <c r="L303" i="5"/>
  <c r="Z303" i="5"/>
  <c r="AM303" i="5"/>
  <c r="I303" i="12"/>
  <c r="AC303" i="5"/>
  <c r="AM712" i="5"/>
  <c r="I712" i="12"/>
  <c r="L712" i="5"/>
  <c r="Z712" i="5"/>
  <c r="AC712" i="5"/>
  <c r="I295" i="12"/>
  <c r="AM295" i="5"/>
  <c r="Z295" i="5"/>
  <c r="L295" i="5"/>
  <c r="AC295" i="5"/>
  <c r="I407" i="12"/>
  <c r="L407" i="5"/>
  <c r="AM407" i="5"/>
  <c r="Z407" i="5"/>
  <c r="AC407" i="5"/>
  <c r="AM20" i="5"/>
  <c r="L20" i="5"/>
  <c r="Z20" i="5"/>
  <c r="I20" i="12"/>
  <c r="AC20" i="5"/>
  <c r="Z33" i="5"/>
  <c r="I33" i="12"/>
  <c r="AM33" i="5"/>
  <c r="L33" i="5"/>
  <c r="AC33" i="5"/>
  <c r="I389" i="12"/>
  <c r="L389" i="5"/>
  <c r="AM389" i="5"/>
  <c r="Z389" i="5"/>
  <c r="AC389" i="5"/>
  <c r="Z75" i="5"/>
  <c r="L75" i="5"/>
  <c r="AM75" i="5"/>
  <c r="I75" i="12"/>
  <c r="AC75" i="5"/>
  <c r="Z277" i="5"/>
  <c r="AM277" i="5"/>
  <c r="L277" i="5"/>
  <c r="I277" i="12"/>
  <c r="AC277" i="5"/>
  <c r="I235" i="12"/>
  <c r="Z235" i="5"/>
  <c r="AM235" i="5"/>
  <c r="L235" i="5"/>
  <c r="C235" i="6" s="1"/>
  <c r="AC235" i="5"/>
  <c r="AM372" i="5"/>
  <c r="L372" i="5"/>
  <c r="I372" i="12"/>
  <c r="Z372" i="5"/>
  <c r="AC372" i="5"/>
  <c r="AM509" i="5"/>
  <c r="Z509" i="5"/>
  <c r="I509" i="12"/>
  <c r="L509" i="5"/>
  <c r="AC509" i="5"/>
  <c r="AM70" i="5"/>
  <c r="L70" i="5"/>
  <c r="I70" i="12"/>
  <c r="Z70" i="5"/>
  <c r="AC70" i="5"/>
  <c r="Z714" i="5"/>
  <c r="L714" i="5"/>
  <c r="AM714" i="5"/>
  <c r="I714" i="12"/>
  <c r="AC714" i="5"/>
  <c r="L282" i="5"/>
  <c r="AM282" i="5"/>
  <c r="Z282" i="5"/>
  <c r="I282" i="12"/>
  <c r="AC282" i="5"/>
  <c r="I536" i="5"/>
  <c r="I537" i="5" s="1"/>
  <c r="I538" i="5" s="1"/>
  <c r="Z536" i="5"/>
  <c r="X535" i="5"/>
  <c r="L536" i="5"/>
  <c r="I536" i="12"/>
  <c r="AM536" i="5"/>
  <c r="AC536" i="5"/>
  <c r="I358" i="12"/>
  <c r="L358" i="5"/>
  <c r="Z358" i="5"/>
  <c r="AM358" i="5"/>
  <c r="AC358" i="5"/>
  <c r="AM179" i="5"/>
  <c r="I179" i="12"/>
  <c r="Z179" i="5"/>
  <c r="L179" i="5"/>
  <c r="AC179" i="5"/>
  <c r="I496" i="12"/>
  <c r="Z496" i="5"/>
  <c r="AM496" i="5"/>
  <c r="L496" i="5"/>
  <c r="AC496" i="5"/>
  <c r="I312" i="12"/>
  <c r="Z312" i="5"/>
  <c r="L312" i="5"/>
  <c r="AM312" i="5"/>
  <c r="AC312" i="5"/>
  <c r="AM388" i="5"/>
  <c r="L388" i="5"/>
  <c r="I388" i="12"/>
  <c r="Z388" i="5"/>
  <c r="AC388" i="5"/>
  <c r="L681" i="5"/>
  <c r="C681" i="6" s="1"/>
  <c r="I681" i="12"/>
  <c r="Z681" i="5"/>
  <c r="AM681" i="5"/>
  <c r="AC681" i="5"/>
  <c r="I651" i="12"/>
  <c r="AM651" i="5"/>
  <c r="L651" i="5"/>
  <c r="Z651" i="5"/>
  <c r="AC651" i="5"/>
  <c r="L209" i="5"/>
  <c r="AM209" i="5"/>
  <c r="I209" i="12"/>
  <c r="Z209" i="5"/>
  <c r="AC209" i="5"/>
  <c r="L376" i="5"/>
  <c r="Z376" i="5"/>
  <c r="AM376" i="5"/>
  <c r="I376" i="12"/>
  <c r="X375" i="5"/>
  <c r="I376" i="5"/>
  <c r="I377" i="5" s="1"/>
  <c r="I378" i="5" s="1"/>
  <c r="AC376" i="5"/>
  <c r="Z285" i="5"/>
  <c r="I285" i="12"/>
  <c r="AM285" i="5"/>
  <c r="L285" i="5"/>
  <c r="AC285" i="5"/>
  <c r="L555" i="5"/>
  <c r="I555" i="12"/>
  <c r="Z555" i="5"/>
  <c r="AM555" i="5"/>
  <c r="AC555" i="5"/>
  <c r="L697" i="5"/>
  <c r="Z697" i="5"/>
  <c r="I697" i="12"/>
  <c r="AM697" i="5"/>
  <c r="AC697" i="5"/>
  <c r="Z110" i="5"/>
  <c r="I110" i="12"/>
  <c r="AM110" i="5"/>
  <c r="L110" i="5"/>
  <c r="AC110" i="5"/>
  <c r="I387" i="12"/>
  <c r="AM387" i="5"/>
  <c r="Z387" i="5"/>
  <c r="L387" i="5"/>
  <c r="AC387" i="5"/>
  <c r="I659" i="12"/>
  <c r="AM659" i="5"/>
  <c r="L659" i="5"/>
  <c r="Z659" i="5"/>
  <c r="AC659" i="5"/>
  <c r="I419" i="12"/>
  <c r="L419" i="5"/>
  <c r="AM419" i="5"/>
  <c r="Z419" i="5"/>
  <c r="AC419" i="5"/>
  <c r="I74" i="12"/>
  <c r="Z74" i="5"/>
  <c r="L74" i="5"/>
  <c r="AM74" i="5"/>
  <c r="AC74" i="5"/>
  <c r="L269" i="5"/>
  <c r="I269" i="12"/>
  <c r="Z269" i="5"/>
  <c r="AM269" i="5"/>
  <c r="AC269" i="5"/>
  <c r="Z381" i="5"/>
  <c r="L381" i="5"/>
  <c r="AM381" i="5"/>
  <c r="I381" i="12"/>
  <c r="AC381" i="5"/>
  <c r="I286" i="12"/>
  <c r="Z286" i="5"/>
  <c r="L286" i="5"/>
  <c r="AM286" i="5"/>
  <c r="AC286" i="5"/>
  <c r="I721" i="12"/>
  <c r="Z721" i="5"/>
  <c r="L721" i="5"/>
  <c r="AM721" i="5"/>
  <c r="AC721" i="5"/>
  <c r="AM94" i="5"/>
  <c r="I94" i="12"/>
  <c r="L94" i="5"/>
  <c r="Z94" i="5"/>
  <c r="AC94" i="5"/>
  <c r="AM442" i="5"/>
  <c r="Z442" i="5"/>
  <c r="L442" i="5"/>
  <c r="I442" i="12"/>
  <c r="AC442" i="5"/>
  <c r="Z217" i="5"/>
  <c r="L217" i="5"/>
  <c r="I217" i="12"/>
  <c r="AM217" i="5"/>
  <c r="AC217" i="5"/>
  <c r="Z541" i="5"/>
  <c r="I541" i="12"/>
  <c r="AM541" i="5"/>
  <c r="L541" i="5"/>
  <c r="AC541" i="5"/>
  <c r="Z275" i="5"/>
  <c r="I275" i="12"/>
  <c r="AM275" i="5"/>
  <c r="L275" i="5"/>
  <c r="AC275" i="5"/>
  <c r="L323" i="5"/>
  <c r="Z323" i="5"/>
  <c r="I323" i="12"/>
  <c r="AM323" i="5"/>
  <c r="AC323" i="5"/>
  <c r="I585" i="5"/>
  <c r="I586" i="5" s="1"/>
  <c r="I587" i="5" s="1"/>
  <c r="I588" i="5" s="1"/>
  <c r="AM585" i="5"/>
  <c r="L585" i="5"/>
  <c r="Z585" i="5"/>
  <c r="I585" i="12"/>
  <c r="AC585" i="5"/>
  <c r="AM98" i="5"/>
  <c r="I98" i="12"/>
  <c r="L98" i="5"/>
  <c r="Z98" i="5"/>
  <c r="AC98" i="5"/>
  <c r="Z702" i="5"/>
  <c r="AM702" i="5"/>
  <c r="L702" i="5"/>
  <c r="I702" i="12"/>
  <c r="AC702" i="5"/>
  <c r="I29" i="12"/>
  <c r="AM29" i="5"/>
  <c r="Z29" i="5"/>
  <c r="L29" i="5"/>
  <c r="AC29" i="5"/>
  <c r="I565" i="12"/>
  <c r="AM565" i="5"/>
  <c r="L565" i="5"/>
  <c r="Z565" i="5"/>
  <c r="AC565" i="5"/>
  <c r="I61" i="5"/>
  <c r="I62" i="5" s="1"/>
  <c r="I63" i="5" s="1"/>
  <c r="I64" i="5" s="1"/>
  <c r="I65" i="5" s="1"/>
  <c r="I66" i="5" s="1"/>
  <c r="I67" i="5" s="1"/>
  <c r="I68" i="5" s="1"/>
  <c r="I69" i="5" s="1"/>
  <c r="I70" i="5" s="1"/>
  <c r="I61" i="12"/>
  <c r="AM61" i="5"/>
  <c r="X60" i="5"/>
  <c r="L61" i="5"/>
  <c r="Z61" i="5"/>
  <c r="AC61" i="5"/>
  <c r="L344" i="5"/>
  <c r="AM344" i="5"/>
  <c r="Z344" i="5"/>
  <c r="I344" i="12"/>
  <c r="AC344" i="5"/>
  <c r="Z688" i="5"/>
  <c r="L688" i="5"/>
  <c r="C688" i="6" s="1"/>
  <c r="AM688" i="5"/>
  <c r="I688" i="12"/>
  <c r="AC688" i="5"/>
  <c r="AM507" i="5"/>
  <c r="I507" i="12"/>
  <c r="Z507" i="5"/>
  <c r="L507" i="5"/>
  <c r="AC507" i="5"/>
  <c r="L690" i="5"/>
  <c r="I690" i="12"/>
  <c r="Z690" i="5"/>
  <c r="AM690" i="5"/>
  <c r="AC690" i="5"/>
  <c r="AM677" i="5"/>
  <c r="I677" i="12"/>
  <c r="Z677" i="5"/>
  <c r="L677" i="5"/>
  <c r="AC677" i="5"/>
  <c r="I570" i="12"/>
  <c r="AM570" i="5"/>
  <c r="Z570" i="5"/>
  <c r="L570" i="5"/>
  <c r="AC570" i="5"/>
  <c r="L69" i="5"/>
  <c r="AM69" i="5"/>
  <c r="I69" i="12"/>
  <c r="Z69" i="5"/>
  <c r="AC69" i="5"/>
  <c r="I271" i="12"/>
  <c r="L271" i="5"/>
  <c r="Z271" i="5"/>
  <c r="AM271" i="5"/>
  <c r="AC271" i="5"/>
  <c r="L428" i="5"/>
  <c r="I428" i="5"/>
  <c r="I429" i="5" s="1"/>
  <c r="Z428" i="5"/>
  <c r="I428" i="12"/>
  <c r="AM428" i="5"/>
  <c r="X427" i="5"/>
  <c r="AC428" i="5"/>
  <c r="I183" i="12"/>
  <c r="Z183" i="5"/>
  <c r="L183" i="5"/>
  <c r="C183" i="6" s="1"/>
  <c r="AM183" i="5"/>
  <c r="AC183" i="5"/>
  <c r="L399" i="5"/>
  <c r="Z399" i="5"/>
  <c r="AM399" i="5"/>
  <c r="I399" i="12"/>
  <c r="AC399" i="5"/>
  <c r="I707" i="12"/>
  <c r="AM707" i="5"/>
  <c r="L707" i="5"/>
  <c r="Z707" i="5"/>
  <c r="AC707" i="5"/>
  <c r="Z673" i="5"/>
  <c r="AM673" i="5"/>
  <c r="I673" i="12"/>
  <c r="L673" i="5"/>
  <c r="AC673" i="5"/>
  <c r="L739" i="5"/>
  <c r="C739" i="6" s="1"/>
  <c r="Z739" i="5"/>
  <c r="AM739" i="5"/>
  <c r="I739" i="12"/>
  <c r="AC739" i="5"/>
  <c r="Z243" i="5"/>
  <c r="I243" i="12"/>
  <c r="AM243" i="5"/>
  <c r="L243" i="5"/>
  <c r="AC243" i="5"/>
  <c r="Z55" i="5"/>
  <c r="I55" i="12"/>
  <c r="AM55" i="5"/>
  <c r="L55" i="5"/>
  <c r="AC55" i="5"/>
  <c r="AM224" i="5"/>
  <c r="I224" i="12"/>
  <c r="Z224" i="5"/>
  <c r="L224" i="5"/>
  <c r="AC224" i="5"/>
  <c r="Z704" i="5"/>
  <c r="I704" i="12"/>
  <c r="AM704" i="5"/>
  <c r="L704" i="5"/>
  <c r="AC704" i="5"/>
  <c r="I93" i="12"/>
  <c r="AM93" i="5"/>
  <c r="L93" i="5"/>
  <c r="Z93" i="5"/>
  <c r="AC93" i="5"/>
  <c r="Z385" i="5"/>
  <c r="AM385" i="5"/>
  <c r="L385" i="5"/>
  <c r="I385" i="12"/>
  <c r="AC385" i="5"/>
  <c r="I46" i="12"/>
  <c r="L46" i="5"/>
  <c r="AM46" i="5"/>
  <c r="Z46" i="5"/>
  <c r="AC46" i="5"/>
  <c r="AM80" i="5"/>
  <c r="I80" i="12"/>
  <c r="L80" i="5"/>
  <c r="Z80" i="5"/>
  <c r="AC80" i="5"/>
  <c r="Z705" i="5"/>
  <c r="I705" i="12"/>
  <c r="AM705" i="5"/>
  <c r="L705" i="5"/>
  <c r="AC705" i="5"/>
  <c r="L514" i="5"/>
  <c r="AM514" i="5"/>
  <c r="Z514" i="5"/>
  <c r="I514" i="12"/>
  <c r="AC514" i="5"/>
  <c r="I550" i="12"/>
  <c r="AM550" i="5"/>
  <c r="L550" i="5"/>
  <c r="Z550" i="5"/>
  <c r="AC550" i="5"/>
  <c r="AM664" i="5"/>
  <c r="Z664" i="5"/>
  <c r="L664" i="5"/>
  <c r="I664" i="12"/>
  <c r="AC664" i="5"/>
  <c r="I298" i="12"/>
  <c r="L298" i="5"/>
  <c r="Z298" i="5"/>
  <c r="AM298" i="5"/>
  <c r="AC298" i="5"/>
  <c r="I270" i="12"/>
  <c r="Z270" i="5"/>
  <c r="AM270" i="5"/>
  <c r="L270" i="5"/>
  <c r="AC270" i="5"/>
  <c r="Z548" i="5"/>
  <c r="L548" i="5"/>
  <c r="I548" i="12"/>
  <c r="AM548" i="5"/>
  <c r="AC548" i="5"/>
  <c r="I34" i="12"/>
  <c r="Z34" i="5"/>
  <c r="AM34" i="5"/>
  <c r="L34" i="5"/>
  <c r="AC34" i="5"/>
  <c r="AM404" i="5"/>
  <c r="L404" i="5"/>
  <c r="Z404" i="5"/>
  <c r="I404" i="12"/>
  <c r="AC404" i="5"/>
  <c r="L475" i="5"/>
  <c r="Z475" i="5"/>
  <c r="AM475" i="5"/>
  <c r="I475" i="12"/>
  <c r="AC475" i="5"/>
  <c r="I182" i="12"/>
  <c r="Z182" i="5"/>
  <c r="L182" i="5"/>
  <c r="AM182" i="5"/>
  <c r="AC182" i="5"/>
  <c r="L454" i="5"/>
  <c r="Z454" i="5"/>
  <c r="AM454" i="5"/>
  <c r="I454" i="12"/>
  <c r="AC454" i="5"/>
  <c r="AM418" i="5"/>
  <c r="I418" i="12"/>
  <c r="L418" i="5"/>
  <c r="Z418" i="5"/>
  <c r="AC418" i="5"/>
  <c r="Z58" i="5"/>
  <c r="I58" i="12"/>
  <c r="L58" i="5"/>
  <c r="AM58" i="5"/>
  <c r="AC58" i="5"/>
  <c r="Z542" i="5"/>
  <c r="L542" i="5"/>
  <c r="I542" i="12"/>
  <c r="AM542" i="5"/>
  <c r="AC542" i="5"/>
  <c r="I645" i="5"/>
  <c r="I645" i="12"/>
  <c r="X644" i="5"/>
  <c r="Z645" i="5"/>
  <c r="AM645" i="5"/>
  <c r="L645" i="5"/>
  <c r="AC645" i="5"/>
  <c r="I549" i="12"/>
  <c r="L549" i="5"/>
  <c r="Z549" i="5"/>
  <c r="AM549" i="5"/>
  <c r="AC549" i="5"/>
  <c r="Z567" i="5"/>
  <c r="I567" i="12"/>
  <c r="L567" i="5"/>
  <c r="AM567" i="5"/>
  <c r="AC567" i="5"/>
  <c r="L383" i="5"/>
  <c r="Z383" i="5"/>
  <c r="I383" i="12"/>
  <c r="AM383" i="5"/>
  <c r="AC383" i="5"/>
  <c r="I406" i="12"/>
  <c r="Z406" i="5"/>
  <c r="AM406" i="5"/>
  <c r="L406" i="5"/>
  <c r="AC406" i="5"/>
  <c r="Z50" i="5"/>
  <c r="I50" i="12"/>
  <c r="AM50" i="5"/>
  <c r="L50" i="5"/>
  <c r="AC50" i="5"/>
  <c r="AM386" i="5"/>
  <c r="I386" i="12"/>
  <c r="Z386" i="5"/>
  <c r="L386" i="5"/>
  <c r="AC386" i="5"/>
  <c r="AM73" i="5"/>
  <c r="Z73" i="5"/>
  <c r="I73" i="12"/>
  <c r="L73" i="5"/>
  <c r="AC73" i="5"/>
  <c r="Z91" i="5"/>
  <c r="L91" i="5"/>
  <c r="AM91" i="5"/>
  <c r="I91" i="12"/>
  <c r="AC91" i="5"/>
  <c r="Z28" i="5"/>
  <c r="AM28" i="5"/>
  <c r="I28" i="5"/>
  <c r="I29" i="5" s="1"/>
  <c r="I30" i="5" s="1"/>
  <c r="I31" i="5" s="1"/>
  <c r="I32" i="5" s="1"/>
  <c r="I33" i="5" s="1"/>
  <c r="I34" i="5" s="1"/>
  <c r="X27" i="5"/>
  <c r="I28" i="12"/>
  <c r="L28" i="5"/>
  <c r="AC28" i="5"/>
  <c r="I242" i="12"/>
  <c r="L242" i="5"/>
  <c r="I242" i="5"/>
  <c r="I243" i="5" s="1"/>
  <c r="Z242" i="5"/>
  <c r="AM242" i="5"/>
  <c r="AC242" i="5"/>
  <c r="AM474" i="5"/>
  <c r="I474" i="12"/>
  <c r="L474" i="5"/>
  <c r="Z474" i="5"/>
  <c r="AC474" i="5"/>
  <c r="AM283" i="5"/>
  <c r="Z283" i="5"/>
  <c r="L283" i="5"/>
  <c r="I283" i="12"/>
  <c r="AC283" i="5"/>
  <c r="L211" i="5"/>
  <c r="AM211" i="5"/>
  <c r="I211" i="12"/>
  <c r="Z211" i="5"/>
  <c r="AC211" i="5"/>
  <c r="AM22" i="5"/>
  <c r="I22" i="12"/>
  <c r="Z22" i="5"/>
  <c r="L22" i="5"/>
  <c r="C22" i="6" s="1"/>
  <c r="AC22" i="5"/>
  <c r="I522" i="12"/>
  <c r="L522" i="5"/>
  <c r="AM522" i="5"/>
  <c r="Z522" i="5"/>
  <c r="AC522" i="5"/>
  <c r="L287" i="5"/>
  <c r="AM287" i="5"/>
  <c r="Z287" i="5"/>
  <c r="I287" i="12"/>
  <c r="AC287" i="5"/>
  <c r="L447" i="5"/>
  <c r="I447" i="12"/>
  <c r="AM447" i="5"/>
  <c r="Z447" i="5"/>
  <c r="AC447" i="5"/>
  <c r="I72" i="12"/>
  <c r="L72" i="5"/>
  <c r="I72" i="5"/>
  <c r="I73" i="5" s="1"/>
  <c r="I74" i="5" s="1"/>
  <c r="I75" i="5" s="1"/>
  <c r="I76" i="5" s="1"/>
  <c r="AM72" i="5"/>
  <c r="Z72" i="5"/>
  <c r="AC72" i="5"/>
  <c r="L453" i="5"/>
  <c r="AM453" i="5"/>
  <c r="Z453" i="5"/>
  <c r="I453" i="12"/>
  <c r="AC453" i="5"/>
  <c r="AM699" i="5"/>
  <c r="L699" i="5"/>
  <c r="I699" i="12"/>
  <c r="Z699" i="5"/>
  <c r="AC699" i="5"/>
  <c r="L628" i="5"/>
  <c r="C628" i="6" s="1"/>
  <c r="AM628" i="5"/>
  <c r="Z628" i="5"/>
  <c r="I628" i="12"/>
  <c r="AC628" i="5"/>
  <c r="I486" i="12"/>
  <c r="L486" i="5"/>
  <c r="C486" i="6" s="1"/>
  <c r="Z486" i="5"/>
  <c r="AM486" i="5"/>
  <c r="AC486" i="5"/>
  <c r="L725" i="5"/>
  <c r="Z725" i="5"/>
  <c r="I725" i="12"/>
  <c r="AM725" i="5"/>
  <c r="AC725" i="5"/>
  <c r="Z587" i="5"/>
  <c r="I587" i="12"/>
  <c r="L587" i="5"/>
  <c r="AM587" i="5"/>
  <c r="AC587" i="5"/>
  <c r="Z732" i="5"/>
  <c r="L732" i="5"/>
  <c r="X731" i="5"/>
  <c r="I732" i="12"/>
  <c r="AM732" i="5"/>
  <c r="AC732" i="5"/>
  <c r="L569" i="5"/>
  <c r="AM569" i="5"/>
  <c r="Z569" i="5"/>
  <c r="I569" i="12"/>
  <c r="AC569" i="5"/>
  <c r="L571" i="5"/>
  <c r="AM571" i="5"/>
  <c r="Z571" i="5"/>
  <c r="I571" i="12"/>
  <c r="AC571" i="5"/>
  <c r="I233" i="12"/>
  <c r="L233" i="5"/>
  <c r="C233" i="6" s="1"/>
  <c r="Z233" i="5"/>
  <c r="AM233" i="5"/>
  <c r="AC233" i="5"/>
  <c r="Z196" i="5"/>
  <c r="I196" i="12"/>
  <c r="AM196" i="5"/>
  <c r="L196" i="5"/>
  <c r="AC196" i="5"/>
  <c r="L116" i="5"/>
  <c r="Z116" i="5"/>
  <c r="I116" i="12"/>
  <c r="AM116" i="5"/>
  <c r="AC116" i="5"/>
  <c r="AM218" i="5"/>
  <c r="L218" i="5"/>
  <c r="Z218" i="5"/>
  <c r="I218" i="12"/>
  <c r="AC218" i="5"/>
  <c r="AM468" i="5"/>
  <c r="L468" i="5"/>
  <c r="I468" i="12"/>
  <c r="Z468" i="5"/>
  <c r="AC468" i="5"/>
  <c r="Z32" i="5"/>
  <c r="L32" i="5"/>
  <c r="AM32" i="5"/>
  <c r="I32" i="12"/>
  <c r="AC32" i="5"/>
  <c r="Z216" i="5"/>
  <c r="L216" i="5"/>
  <c r="I216" i="12"/>
  <c r="AM216" i="5"/>
  <c r="AC216" i="5"/>
  <c r="L237" i="5"/>
  <c r="I237" i="5"/>
  <c r="I238" i="5" s="1"/>
  <c r="I239" i="5" s="1"/>
  <c r="Z237" i="5"/>
  <c r="X236" i="5"/>
  <c r="I237" i="12"/>
  <c r="AM237" i="5"/>
  <c r="AC237" i="5"/>
  <c r="L441" i="5"/>
  <c r="I441" i="12"/>
  <c r="AM441" i="5"/>
  <c r="Z441" i="5"/>
  <c r="AC441" i="5"/>
  <c r="L564" i="5"/>
  <c r="Z564" i="5"/>
  <c r="I564" i="12"/>
  <c r="AM564" i="5"/>
  <c r="AC564" i="5"/>
  <c r="Z648" i="5"/>
  <c r="I648" i="12"/>
  <c r="AM648" i="5"/>
  <c r="L648" i="5"/>
  <c r="AC648" i="5"/>
  <c r="Z81" i="5"/>
  <c r="I81" i="12"/>
  <c r="AM81" i="5"/>
  <c r="L81" i="5"/>
  <c r="AC81" i="5"/>
  <c r="AM591" i="5"/>
  <c r="L591" i="5"/>
  <c r="I591" i="12"/>
  <c r="Z591" i="5"/>
  <c r="AC591" i="5"/>
  <c r="I434" i="12"/>
  <c r="Z434" i="5"/>
  <c r="L434" i="5"/>
  <c r="AM434" i="5"/>
  <c r="I434" i="5"/>
  <c r="I435" i="5" s="1"/>
  <c r="I436" i="5" s="1"/>
  <c r="I437" i="5" s="1"/>
  <c r="I438" i="5" s="1"/>
  <c r="I439" i="5" s="1"/>
  <c r="AC434" i="5"/>
  <c r="I531" i="12"/>
  <c r="Z531" i="5"/>
  <c r="AM531" i="5"/>
  <c r="L531" i="5"/>
  <c r="AC531" i="5"/>
  <c r="L719" i="5"/>
  <c r="I719" i="12"/>
  <c r="I719" i="5"/>
  <c r="I720" i="5" s="1"/>
  <c r="I721" i="5" s="1"/>
  <c r="AM719" i="5"/>
  <c r="Z719" i="5"/>
  <c r="AC719" i="5"/>
  <c r="I484" i="12"/>
  <c r="I484" i="5"/>
  <c r="Z484" i="5"/>
  <c r="L484" i="5"/>
  <c r="AM484" i="5"/>
  <c r="AC484" i="5"/>
  <c r="I464" i="12"/>
  <c r="AM464" i="5"/>
  <c r="L464" i="5"/>
  <c r="Z464" i="5"/>
  <c r="AC464" i="5"/>
  <c r="Z706" i="5"/>
  <c r="L706" i="5"/>
  <c r="I706" i="12"/>
  <c r="AM706" i="5"/>
  <c r="AC706" i="5"/>
  <c r="I64" i="12"/>
  <c r="AM64" i="5"/>
  <c r="Z64" i="5"/>
  <c r="L64" i="5"/>
  <c r="AC64" i="5"/>
  <c r="Z703" i="5"/>
  <c r="L703" i="5"/>
  <c r="AM703" i="5"/>
  <c r="I703" i="12"/>
  <c r="AC703" i="5"/>
  <c r="L540" i="5"/>
  <c r="AM540" i="5"/>
  <c r="I540" i="12"/>
  <c r="I540" i="5"/>
  <c r="I541" i="5" s="1"/>
  <c r="I542" i="5" s="1"/>
  <c r="I543" i="5" s="1"/>
  <c r="Z540" i="5"/>
  <c r="AC540" i="5"/>
  <c r="Z122" i="5"/>
  <c r="AM122" i="5"/>
  <c r="L122" i="5"/>
  <c r="I122" i="12"/>
  <c r="AC122" i="5"/>
  <c r="I529" i="12"/>
  <c r="L529" i="5"/>
  <c r="AM529" i="5"/>
  <c r="Z529" i="5"/>
  <c r="AC529" i="5"/>
  <c r="L66" i="5"/>
  <c r="Z66" i="5"/>
  <c r="I66" i="12"/>
  <c r="AM66" i="5"/>
  <c r="AC66" i="5"/>
  <c r="AM438" i="5"/>
  <c r="Z438" i="5"/>
  <c r="I438" i="12"/>
  <c r="L438" i="5"/>
  <c r="AC438" i="5"/>
  <c r="L415" i="5"/>
  <c r="I415" i="12"/>
  <c r="Z415" i="5"/>
  <c r="AM415" i="5"/>
  <c r="AC415" i="5"/>
  <c r="Z420" i="5"/>
  <c r="I420" i="12"/>
  <c r="L420" i="5"/>
  <c r="AM420" i="5"/>
  <c r="AC420" i="5"/>
  <c r="I414" i="12"/>
  <c r="L414" i="5"/>
  <c r="Z414" i="5"/>
  <c r="AM414" i="5"/>
  <c r="AC414" i="5"/>
  <c r="I715" i="12"/>
  <c r="Z715" i="5"/>
  <c r="AM715" i="5"/>
  <c r="L715" i="5"/>
  <c r="AC715" i="5"/>
  <c r="L546" i="5"/>
  <c r="Z546" i="5"/>
  <c r="I546" i="12"/>
  <c r="AM546" i="5"/>
  <c r="AC546" i="5"/>
  <c r="AM45" i="5"/>
  <c r="L45" i="5"/>
  <c r="I45" i="12"/>
  <c r="Z45" i="5"/>
  <c r="AC45" i="5"/>
  <c r="L557" i="5"/>
  <c r="AM557" i="5"/>
  <c r="I557" i="12"/>
  <c r="Z557" i="5"/>
  <c r="AC557" i="5"/>
  <c r="I44" i="12"/>
  <c r="AM44" i="5"/>
  <c r="L44" i="5"/>
  <c r="Z44" i="5"/>
  <c r="AC44" i="5"/>
  <c r="AM523" i="5"/>
  <c r="Z523" i="5"/>
  <c r="L523" i="5"/>
  <c r="I523" i="12"/>
  <c r="AC523" i="5"/>
  <c r="Z65" i="5"/>
  <c r="I65" i="12"/>
  <c r="L65" i="5"/>
  <c r="AM65" i="5"/>
  <c r="AC65" i="5"/>
  <c r="I311" i="12"/>
  <c r="Z311" i="5"/>
  <c r="L311" i="5"/>
  <c r="AM311" i="5"/>
  <c r="AC311" i="5"/>
  <c r="X653" i="5"/>
  <c r="I655" i="5"/>
  <c r="I656" i="5" s="1"/>
  <c r="I657" i="5" s="1"/>
  <c r="I658" i="5" s="1"/>
  <c r="I659" i="5" s="1"/>
  <c r="X654" i="5"/>
  <c r="AM655" i="5"/>
  <c r="L655" i="5"/>
  <c r="I655" i="12"/>
  <c r="Z655" i="5"/>
  <c r="AC655" i="5"/>
  <c r="AM97" i="5"/>
  <c r="I97" i="12"/>
  <c r="Z97" i="5"/>
  <c r="L97" i="5"/>
  <c r="AC97" i="5"/>
  <c r="Z551" i="5"/>
  <c r="I551" i="12"/>
  <c r="L551" i="5"/>
  <c r="C551" i="6" s="1"/>
  <c r="AM551" i="5"/>
  <c r="AC551" i="5"/>
  <c r="L54" i="5"/>
  <c r="AM54" i="5"/>
  <c r="I54" i="12"/>
  <c r="Z54" i="5"/>
  <c r="AC54" i="5"/>
  <c r="Z717" i="5"/>
  <c r="AM717" i="5"/>
  <c r="I717" i="12"/>
  <c r="L717" i="5"/>
  <c r="AC717" i="5"/>
  <c r="AB484" i="5" l="1"/>
  <c r="O50" i="5"/>
  <c r="C50" i="6"/>
  <c r="M80" i="12"/>
  <c r="AO80" i="12"/>
  <c r="O80" i="12"/>
  <c r="C80" i="12"/>
  <c r="C570" i="6"/>
  <c r="M217" i="12"/>
  <c r="AO217" i="12"/>
  <c r="O217" i="12"/>
  <c r="C217" i="12"/>
  <c r="O312" i="5"/>
  <c r="C312" i="6"/>
  <c r="AN744" i="5"/>
  <c r="W744" i="5"/>
  <c r="M54" i="12"/>
  <c r="O54" i="12"/>
  <c r="AO54" i="12"/>
  <c r="C54" i="12"/>
  <c r="AO97" i="12"/>
  <c r="C97" i="12"/>
  <c r="O97" i="12"/>
  <c r="M97" i="12"/>
  <c r="O311" i="5"/>
  <c r="C311" i="6"/>
  <c r="AB45" i="5"/>
  <c r="C420" i="6"/>
  <c r="AB438" i="5"/>
  <c r="M706" i="12"/>
  <c r="C706" i="12"/>
  <c r="AO706" i="12"/>
  <c r="O706" i="12"/>
  <c r="C484" i="6"/>
  <c r="O484" i="5"/>
  <c r="C531" i="6"/>
  <c r="O531" i="5"/>
  <c r="C441" i="6"/>
  <c r="AB216" i="5"/>
  <c r="C732" i="6"/>
  <c r="C699" i="12"/>
  <c r="AO699" i="12"/>
  <c r="O699" i="12"/>
  <c r="M699" i="12"/>
  <c r="AB287" i="5"/>
  <c r="O242" i="5"/>
  <c r="C242" i="6"/>
  <c r="O91" i="5"/>
  <c r="C91" i="6"/>
  <c r="C418" i="6"/>
  <c r="AB182" i="5"/>
  <c r="C404" i="6"/>
  <c r="AB548" i="5"/>
  <c r="O80" i="5"/>
  <c r="C80" i="6"/>
  <c r="AB385" i="5"/>
  <c r="C224" i="6"/>
  <c r="O243" i="12"/>
  <c r="AO243" i="12"/>
  <c r="C243" i="12"/>
  <c r="M243" i="12"/>
  <c r="O428" i="5"/>
  <c r="C428" i="6"/>
  <c r="C94" i="6"/>
  <c r="O94" i="5"/>
  <c r="AB286" i="5"/>
  <c r="AB659" i="5"/>
  <c r="C110" i="12"/>
  <c r="O110" i="12"/>
  <c r="M110" i="12"/>
  <c r="AO110" i="12"/>
  <c r="C376" i="6"/>
  <c r="O376" i="5"/>
  <c r="AB179" i="5"/>
  <c r="O536" i="5"/>
  <c r="C536" i="6"/>
  <c r="AB509" i="5"/>
  <c r="AB389" i="5"/>
  <c r="C20" i="6"/>
  <c r="O20" i="5"/>
  <c r="C303" i="6"/>
  <c r="M588" i="12"/>
  <c r="AO588" i="12"/>
  <c r="O588" i="12"/>
  <c r="C588" i="12"/>
  <c r="C429" i="6"/>
  <c r="O429" i="5"/>
  <c r="M711" i="12"/>
  <c r="O711" i="12"/>
  <c r="C711" i="12"/>
  <c r="AO711" i="12"/>
  <c r="C302" i="12"/>
  <c r="AO302" i="12"/>
  <c r="M302" i="12"/>
  <c r="O302" i="12"/>
  <c r="O328" i="12"/>
  <c r="AO328" i="12"/>
  <c r="M328" i="12"/>
  <c r="C328" i="12"/>
  <c r="O558" i="12"/>
  <c r="M558" i="12"/>
  <c r="C558" i="12"/>
  <c r="AO558" i="12"/>
  <c r="AB693" i="5"/>
  <c r="AB118" i="5"/>
  <c r="C657" i="6"/>
  <c r="O657" i="5"/>
  <c r="C62" i="6"/>
  <c r="O62" i="5"/>
  <c r="C680" i="6"/>
  <c r="C301" i="6"/>
  <c r="AB604" i="5"/>
  <c r="AB380" i="5"/>
  <c r="AB194" i="5"/>
  <c r="AB650" i="5"/>
  <c r="C461" i="6"/>
  <c r="AB350" i="5"/>
  <c r="AB363" i="5"/>
  <c r="M637" i="12"/>
  <c r="O637" i="12"/>
  <c r="AO637" i="12"/>
  <c r="C637" i="12"/>
  <c r="C619" i="12"/>
  <c r="M619" i="12"/>
  <c r="O619" i="12"/>
  <c r="AO619" i="12"/>
  <c r="C360" i="6"/>
  <c r="AB115" i="5"/>
  <c r="O713" i="5"/>
  <c r="C713" i="6"/>
  <c r="M305" i="12"/>
  <c r="C305" i="12"/>
  <c r="O305" i="12"/>
  <c r="AO305" i="12"/>
  <c r="C437" i="6"/>
  <c r="O437" i="5"/>
  <c r="O661" i="12"/>
  <c r="C661" i="12"/>
  <c r="M661" i="12"/>
  <c r="AO661" i="12"/>
  <c r="AB117" i="5"/>
  <c r="AB497" i="5"/>
  <c r="O361" i="12"/>
  <c r="N361" i="12" s="1"/>
  <c r="AO361" i="12"/>
  <c r="M361" i="12"/>
  <c r="C361" i="12"/>
  <c r="AO289" i="12"/>
  <c r="O289" i="12"/>
  <c r="C289" i="12"/>
  <c r="M289" i="12"/>
  <c r="AB716" i="5"/>
  <c r="C354" i="6"/>
  <c r="AB102" i="5"/>
  <c r="M349" i="12"/>
  <c r="AO349" i="12"/>
  <c r="O349" i="12"/>
  <c r="C349" i="12"/>
  <c r="AB545" i="5"/>
  <c r="AB42" i="5"/>
  <c r="O698" i="5"/>
  <c r="C698" i="6"/>
  <c r="AB515" i="5"/>
  <c r="O52" i="5"/>
  <c r="C52" i="6"/>
  <c r="AO208" i="12"/>
  <c r="O208" i="12"/>
  <c r="C208" i="12"/>
  <c r="M208" i="12"/>
  <c r="C68" i="12"/>
  <c r="AO68" i="12"/>
  <c r="M68" i="12"/>
  <c r="O68" i="12"/>
  <c r="C439" i="6"/>
  <c r="O439" i="5"/>
  <c r="C559" i="12"/>
  <c r="AO559" i="12"/>
  <c r="M559" i="12"/>
  <c r="O559" i="12"/>
  <c r="C324" i="12"/>
  <c r="M324" i="12"/>
  <c r="O324" i="12"/>
  <c r="AO324" i="12"/>
  <c r="AB519" i="5"/>
  <c r="C345" i="12"/>
  <c r="M345" i="12"/>
  <c r="AO345" i="12"/>
  <c r="O345" i="12"/>
  <c r="O586" i="5"/>
  <c r="C586" i="6"/>
  <c r="AB481" i="5"/>
  <c r="AO658" i="12"/>
  <c r="C658" i="12"/>
  <c r="O658" i="12"/>
  <c r="M658" i="12"/>
  <c r="C281" i="6"/>
  <c r="O228" i="12"/>
  <c r="AO228" i="12"/>
  <c r="M228" i="12"/>
  <c r="C228" i="12"/>
  <c r="O30" i="5"/>
  <c r="C30" i="6"/>
  <c r="O89" i="5"/>
  <c r="C89" i="6"/>
  <c r="O214" i="12"/>
  <c r="AO214" i="12"/>
  <c r="C214" i="12"/>
  <c r="M214" i="12"/>
  <c r="AB701" i="5"/>
  <c r="AB671" i="5"/>
  <c r="AB293" i="5"/>
  <c r="W173" i="5"/>
  <c r="AN173" i="5"/>
  <c r="AN596" i="5"/>
  <c r="W596" i="5"/>
  <c r="W424" i="5"/>
  <c r="AN424" i="5"/>
  <c r="W506" i="5"/>
  <c r="AN506" i="5"/>
  <c r="W256" i="5"/>
  <c r="AN256" i="5"/>
  <c r="W244" i="5"/>
  <c r="AN244" i="5"/>
  <c r="AN412" i="5"/>
  <c r="W412" i="5"/>
  <c r="AN223" i="5"/>
  <c r="W223" i="5"/>
  <c r="W246" i="5"/>
  <c r="AN246" i="5"/>
  <c r="AN503" i="5"/>
  <c r="W503" i="5"/>
  <c r="AN629" i="5"/>
  <c r="W629" i="5"/>
  <c r="W643" i="5"/>
  <c r="AN643" i="5"/>
  <c r="W580" i="5"/>
  <c r="AN580" i="5"/>
  <c r="AN577" i="5"/>
  <c r="W577" i="5"/>
  <c r="AN480" i="5"/>
  <c r="W480" i="5"/>
  <c r="W422" i="5"/>
  <c r="AN422" i="5"/>
  <c r="AN159" i="5"/>
  <c r="W159" i="5"/>
  <c r="W632" i="5"/>
  <c r="AN632" i="5"/>
  <c r="AN77" i="5"/>
  <c r="W77" i="5"/>
  <c r="M45" i="12"/>
  <c r="O45" i="12"/>
  <c r="C45" i="12"/>
  <c r="AO45" i="12"/>
  <c r="M514" i="12"/>
  <c r="AO514" i="12"/>
  <c r="O514" i="12"/>
  <c r="C514" i="12"/>
  <c r="AB243" i="5"/>
  <c r="AB688" i="5"/>
  <c r="O94" i="12"/>
  <c r="AO94" i="12"/>
  <c r="M94" i="12"/>
  <c r="C94" i="12"/>
  <c r="C547" i="12"/>
  <c r="M547" i="12"/>
  <c r="AO547" i="12"/>
  <c r="O547" i="12"/>
  <c r="AB429" i="5"/>
  <c r="AB558" i="5"/>
  <c r="M62" i="12"/>
  <c r="C62" i="12"/>
  <c r="AO62" i="12"/>
  <c r="O62" i="12"/>
  <c r="AO342" i="12"/>
  <c r="O342" i="12"/>
  <c r="C342" i="12"/>
  <c r="M342" i="12"/>
  <c r="AO194" i="12"/>
  <c r="M194" i="12"/>
  <c r="O194" i="12"/>
  <c r="C194" i="12"/>
  <c r="M347" i="12"/>
  <c r="O347" i="12"/>
  <c r="AO347" i="12"/>
  <c r="C347" i="12"/>
  <c r="C624" i="6"/>
  <c r="C494" i="6"/>
  <c r="C616" i="6"/>
  <c r="C638" i="6"/>
  <c r="AB192" i="5"/>
  <c r="M52" i="12"/>
  <c r="AO52" i="12"/>
  <c r="O52" i="12"/>
  <c r="C52" i="12"/>
  <c r="O53" i="5"/>
  <c r="C53" i="6"/>
  <c r="C324" i="6"/>
  <c r="O324" i="5"/>
  <c r="AB346" i="5"/>
  <c r="M39" i="12"/>
  <c r="C39" i="12"/>
  <c r="O39" i="12"/>
  <c r="AO39" i="12"/>
  <c r="AB345" i="5"/>
  <c r="AB357" i="5"/>
  <c r="O109" i="5"/>
  <c r="C109" i="6"/>
  <c r="AN560" i="5"/>
  <c r="W560" i="5"/>
  <c r="W742" i="5"/>
  <c r="AN742" i="5"/>
  <c r="O54" i="5"/>
  <c r="C54" i="6"/>
  <c r="M311" i="12"/>
  <c r="O311" i="12"/>
  <c r="C311" i="12"/>
  <c r="AO311" i="12"/>
  <c r="AB44" i="5"/>
  <c r="O45" i="5"/>
  <c r="C45" i="6"/>
  <c r="C715" i="12"/>
  <c r="M715" i="12"/>
  <c r="O715" i="12"/>
  <c r="AO715" i="12"/>
  <c r="AB420" i="5"/>
  <c r="O122" i="5"/>
  <c r="C122" i="6"/>
  <c r="AB706" i="5"/>
  <c r="AB531" i="5"/>
  <c r="C591" i="12"/>
  <c r="M591" i="12"/>
  <c r="AO591" i="12"/>
  <c r="O591" i="12"/>
  <c r="AB648" i="5"/>
  <c r="C32" i="12"/>
  <c r="M32" i="12"/>
  <c r="O32" i="12"/>
  <c r="AO32" i="12"/>
  <c r="AB218" i="5"/>
  <c r="AB196" i="5"/>
  <c r="AB486" i="5"/>
  <c r="M72" i="12"/>
  <c r="AO72" i="12"/>
  <c r="O72" i="12"/>
  <c r="C72" i="12"/>
  <c r="C287" i="6"/>
  <c r="AB211" i="5"/>
  <c r="AB474" i="5"/>
  <c r="AB383" i="5"/>
  <c r="C549" i="6"/>
  <c r="C542" i="6"/>
  <c r="O542" i="5"/>
  <c r="C270" i="6"/>
  <c r="O270" i="5"/>
  <c r="O664" i="5"/>
  <c r="C664" i="6"/>
  <c r="AB514" i="5"/>
  <c r="AB93" i="5"/>
  <c r="C224" i="12"/>
  <c r="M224" i="12"/>
  <c r="O224" i="12"/>
  <c r="AO224" i="12"/>
  <c r="C707" i="6"/>
  <c r="O707" i="5"/>
  <c r="AB570" i="5"/>
  <c r="M690" i="12"/>
  <c r="O690" i="12"/>
  <c r="AO690" i="12"/>
  <c r="C690" i="12"/>
  <c r="O585" i="12"/>
  <c r="AO585" i="12"/>
  <c r="M585" i="12"/>
  <c r="C585" i="12"/>
  <c r="C275" i="6"/>
  <c r="C217" i="6"/>
  <c r="O217" i="5"/>
  <c r="C74" i="6"/>
  <c r="O74" i="5"/>
  <c r="C285" i="6"/>
  <c r="AB209" i="5"/>
  <c r="AB312" i="5"/>
  <c r="AB536" i="5"/>
  <c r="AB714" i="5"/>
  <c r="M277" i="12"/>
  <c r="AO277" i="12"/>
  <c r="O277" i="12"/>
  <c r="C277" i="12"/>
  <c r="C389" i="6"/>
  <c r="O389" i="5"/>
  <c r="C547" i="6"/>
  <c r="C588" i="6"/>
  <c r="O588" i="5"/>
  <c r="AB189" i="5"/>
  <c r="AB307" i="5"/>
  <c r="C322" i="6"/>
  <c r="O322" i="5"/>
  <c r="AO429" i="12"/>
  <c r="M429" i="12"/>
  <c r="O429" i="12"/>
  <c r="C429" i="12"/>
  <c r="M533" i="12"/>
  <c r="O533" i="12"/>
  <c r="C533" i="12"/>
  <c r="AO533" i="12"/>
  <c r="AB733" i="5"/>
  <c r="AO304" i="12"/>
  <c r="C304" i="12"/>
  <c r="O304" i="12"/>
  <c r="M304" i="12"/>
  <c r="C711" i="6"/>
  <c r="O711" i="5"/>
  <c r="C302" i="6"/>
  <c r="AO300" i="12"/>
  <c r="M300" i="12"/>
  <c r="C300" i="12"/>
  <c r="O300" i="12"/>
  <c r="AB215" i="5"/>
  <c r="M63" i="12"/>
  <c r="AO63" i="12"/>
  <c r="C63" i="12"/>
  <c r="O63" i="12"/>
  <c r="AB76" i="5"/>
  <c r="C558" i="6"/>
  <c r="O558" i="5"/>
  <c r="C19" i="12"/>
  <c r="AO19" i="12"/>
  <c r="M19" i="12"/>
  <c r="O19" i="12"/>
  <c r="O657" i="12"/>
  <c r="C657" i="12"/>
  <c r="AO657" i="12"/>
  <c r="M657" i="12"/>
  <c r="AB680" i="5"/>
  <c r="O301" i="12"/>
  <c r="C301" i="12"/>
  <c r="AO301" i="12"/>
  <c r="M301" i="12"/>
  <c r="AB212" i="5"/>
  <c r="I379" i="12"/>
  <c r="AM379" i="5"/>
  <c r="AC379" i="5"/>
  <c r="L379" i="5"/>
  <c r="Z379" i="5"/>
  <c r="O521" i="5"/>
  <c r="C521" i="6"/>
  <c r="O194" i="5"/>
  <c r="C194" i="6"/>
  <c r="C352" i="12"/>
  <c r="O352" i="12"/>
  <c r="M352" i="12"/>
  <c r="AO352" i="12"/>
  <c r="O347" i="5"/>
  <c r="C347" i="6"/>
  <c r="M225" i="12"/>
  <c r="O225" i="12"/>
  <c r="AO225" i="12"/>
  <c r="C225" i="12"/>
  <c r="Z105" i="5"/>
  <c r="L105" i="5"/>
  <c r="AM105" i="5"/>
  <c r="R29" i="8"/>
  <c r="I105" i="12"/>
  <c r="AC105" i="5"/>
  <c r="O360" i="12"/>
  <c r="AO360" i="12"/>
  <c r="C360" i="12"/>
  <c r="M360" i="12"/>
  <c r="M624" i="12"/>
  <c r="AO624" i="12"/>
  <c r="O624" i="12"/>
  <c r="C624" i="12"/>
  <c r="AB355" i="5"/>
  <c r="AB305" i="5"/>
  <c r="O437" i="12"/>
  <c r="AO437" i="12"/>
  <c r="C437" i="12"/>
  <c r="M437" i="12"/>
  <c r="C661" i="6"/>
  <c r="O661" i="5"/>
  <c r="C497" i="12"/>
  <c r="AO497" i="12"/>
  <c r="O497" i="12"/>
  <c r="M497" i="12"/>
  <c r="AB294" i="5"/>
  <c r="O528" i="5"/>
  <c r="C528" i="6"/>
  <c r="O252" i="5"/>
  <c r="C252" i="6"/>
  <c r="I369" i="12"/>
  <c r="AC369" i="5"/>
  <c r="AM369" i="5"/>
  <c r="L369" i="5"/>
  <c r="Z369" i="5"/>
  <c r="AB696" i="5"/>
  <c r="O56" i="5"/>
  <c r="C56" i="6"/>
  <c r="AB411" i="5"/>
  <c r="AB354" i="5"/>
  <c r="C462" i="12"/>
  <c r="AO462" i="12"/>
  <c r="O462" i="12"/>
  <c r="M462" i="12"/>
  <c r="AB494" i="5"/>
  <c r="AO310" i="12"/>
  <c r="O310" i="12"/>
  <c r="M310" i="12"/>
  <c r="C310" i="12"/>
  <c r="AB616" i="5"/>
  <c r="C392" i="12"/>
  <c r="M392" i="12"/>
  <c r="O392" i="12"/>
  <c r="AO392" i="12"/>
  <c r="AB450" i="5"/>
  <c r="O670" i="5"/>
  <c r="C670" i="6"/>
  <c r="AB595" i="5"/>
  <c r="C638" i="12"/>
  <c r="O638" i="12"/>
  <c r="AO638" i="12"/>
  <c r="M638" i="12"/>
  <c r="AO515" i="12"/>
  <c r="M515" i="12"/>
  <c r="O515" i="12"/>
  <c r="C515" i="12"/>
  <c r="AB52" i="5"/>
  <c r="C208" i="6"/>
  <c r="O208" i="5"/>
  <c r="AB68" i="5"/>
  <c r="O53" i="12"/>
  <c r="C53" i="12"/>
  <c r="M53" i="12"/>
  <c r="AO53" i="12"/>
  <c r="C559" i="6"/>
  <c r="O559" i="5"/>
  <c r="I430" i="12"/>
  <c r="AC430" i="5"/>
  <c r="L430" i="5"/>
  <c r="AM430" i="5"/>
  <c r="Z430" i="5"/>
  <c r="C519" i="6"/>
  <c r="O519" i="5"/>
  <c r="AB120" i="5"/>
  <c r="C674" i="6"/>
  <c r="O586" i="12"/>
  <c r="M586" i="12"/>
  <c r="AO586" i="12"/>
  <c r="C586" i="12"/>
  <c r="C524" i="6"/>
  <c r="O524" i="5"/>
  <c r="C675" i="6"/>
  <c r="M393" i="12"/>
  <c r="C393" i="12"/>
  <c r="O393" i="12"/>
  <c r="AO393" i="12"/>
  <c r="AO30" i="12"/>
  <c r="M30" i="12"/>
  <c r="O30" i="12"/>
  <c r="C30" i="12"/>
  <c r="C357" i="6"/>
  <c r="O89" i="12"/>
  <c r="C89" i="12"/>
  <c r="M89" i="12"/>
  <c r="AO89" i="12"/>
  <c r="AM108" i="5"/>
  <c r="L108" i="5"/>
  <c r="Z108" i="5"/>
  <c r="I108" i="12"/>
  <c r="AC108" i="5"/>
  <c r="AN264" i="5"/>
  <c r="W264" i="5"/>
  <c r="W467" i="5"/>
  <c r="AN467" i="5"/>
  <c r="W222" i="5"/>
  <c r="AN222" i="5"/>
  <c r="W188" i="5"/>
  <c r="AN188" i="5"/>
  <c r="W466" i="5"/>
  <c r="AN466" i="5"/>
  <c r="W472" i="5"/>
  <c r="AN472" i="5"/>
  <c r="AN21" i="5"/>
  <c r="W21" i="5"/>
  <c r="W248" i="5"/>
  <c r="AN248" i="5"/>
  <c r="W26" i="5"/>
  <c r="AN26" i="5"/>
  <c r="AN202" i="5"/>
  <c r="W202" i="5"/>
  <c r="W544" i="5"/>
  <c r="AN544" i="5"/>
  <c r="AN351" i="5"/>
  <c r="W351" i="5"/>
  <c r="AN599" i="5"/>
  <c r="W599" i="5"/>
  <c r="AN176" i="5"/>
  <c r="W176" i="5"/>
  <c r="W338" i="5"/>
  <c r="AN338" i="5"/>
  <c r="AN490" i="5"/>
  <c r="W490" i="5"/>
  <c r="AN512" i="5"/>
  <c r="W512" i="5"/>
  <c r="AN128" i="5"/>
  <c r="W128" i="5"/>
  <c r="W582" i="5"/>
  <c r="AN582" i="5"/>
  <c r="AO61" i="12"/>
  <c r="O61" i="12"/>
  <c r="C61" i="12"/>
  <c r="M61" i="12"/>
  <c r="AB586" i="5"/>
  <c r="O393" i="5"/>
  <c r="C393" i="6"/>
  <c r="AB214" i="5"/>
  <c r="C671" i="6"/>
  <c r="O671" i="5"/>
  <c r="W24" i="5"/>
  <c r="AN24" i="5"/>
  <c r="AB655" i="5"/>
  <c r="C44" i="6"/>
  <c r="O44" i="5"/>
  <c r="C703" i="6"/>
  <c r="O703" i="5"/>
  <c r="M484" i="12"/>
  <c r="AO484" i="12"/>
  <c r="O484" i="12"/>
  <c r="C484" i="12"/>
  <c r="AO531" i="12"/>
  <c r="O531" i="12"/>
  <c r="M531" i="12"/>
  <c r="C531" i="12"/>
  <c r="C591" i="6"/>
  <c r="O237" i="12"/>
  <c r="M237" i="12"/>
  <c r="C237" i="12"/>
  <c r="AO237" i="12"/>
  <c r="C218" i="6"/>
  <c r="O218" i="5"/>
  <c r="M211" i="12"/>
  <c r="AO211" i="12"/>
  <c r="O211" i="12"/>
  <c r="C211" i="12"/>
  <c r="C474" i="6"/>
  <c r="C28" i="6"/>
  <c r="O28" i="5"/>
  <c r="O73" i="5"/>
  <c r="C73" i="6"/>
  <c r="C50" i="12"/>
  <c r="O50" i="12"/>
  <c r="AO50" i="12"/>
  <c r="M50" i="12"/>
  <c r="C383" i="6"/>
  <c r="O383" i="5"/>
  <c r="C549" i="12"/>
  <c r="M549" i="12"/>
  <c r="O549" i="12"/>
  <c r="AO549" i="12"/>
  <c r="AB542" i="5"/>
  <c r="O34" i="5"/>
  <c r="C34" i="6"/>
  <c r="AB664" i="5"/>
  <c r="C93" i="6"/>
  <c r="O93" i="5"/>
  <c r="O739" i="12"/>
  <c r="AO739" i="12"/>
  <c r="M739" i="12"/>
  <c r="C739" i="12"/>
  <c r="AB183" i="5"/>
  <c r="AB271" i="5"/>
  <c r="C690" i="6"/>
  <c r="O344" i="12"/>
  <c r="M344" i="12"/>
  <c r="C344" i="12"/>
  <c r="AO344" i="12"/>
  <c r="AO702" i="12"/>
  <c r="M702" i="12"/>
  <c r="C702" i="12"/>
  <c r="O702" i="12"/>
  <c r="AB585" i="5"/>
  <c r="AB217" i="5"/>
  <c r="AO381" i="12"/>
  <c r="M381" i="12"/>
  <c r="O381" i="12"/>
  <c r="C381" i="12"/>
  <c r="AB74" i="5"/>
  <c r="AO659" i="12"/>
  <c r="C659" i="12"/>
  <c r="M659" i="12"/>
  <c r="O659" i="12"/>
  <c r="O209" i="12"/>
  <c r="C209" i="12"/>
  <c r="M209" i="12"/>
  <c r="AO209" i="12"/>
  <c r="AB681" i="5"/>
  <c r="O312" i="12"/>
  <c r="C312" i="12"/>
  <c r="AO312" i="12"/>
  <c r="M312" i="12"/>
  <c r="AB372" i="5"/>
  <c r="C277" i="6"/>
  <c r="M389" i="12"/>
  <c r="AO389" i="12"/>
  <c r="O389" i="12"/>
  <c r="C389" i="12"/>
  <c r="AB712" i="5"/>
  <c r="M590" i="12"/>
  <c r="C590" i="12"/>
  <c r="O590" i="12"/>
  <c r="AO590" i="12"/>
  <c r="AB322" i="5"/>
  <c r="C304" i="6"/>
  <c r="AB84" i="5"/>
  <c r="AB300" i="5"/>
  <c r="M215" i="12"/>
  <c r="AO215" i="12"/>
  <c r="C215" i="12"/>
  <c r="O215" i="12"/>
  <c r="O335" i="5"/>
  <c r="C335" i="6"/>
  <c r="C212" i="6"/>
  <c r="O212" i="5"/>
  <c r="AB612" i="5"/>
  <c r="O432" i="5"/>
  <c r="C432" i="6"/>
  <c r="AB521" i="5"/>
  <c r="AB278" i="5"/>
  <c r="AB566" i="5"/>
  <c r="AB347" i="5"/>
  <c r="AB96" i="5"/>
  <c r="M479" i="12"/>
  <c r="O479" i="12"/>
  <c r="C479" i="12"/>
  <c r="AO479" i="12"/>
  <c r="O656" i="5"/>
  <c r="C656" i="6"/>
  <c r="O107" i="12"/>
  <c r="AO107" i="12"/>
  <c r="C107" i="12"/>
  <c r="M107" i="12"/>
  <c r="C377" i="6"/>
  <c r="O377" i="5"/>
  <c r="O41" i="5"/>
  <c r="C41" i="6"/>
  <c r="AB195" i="5"/>
  <c r="AB104" i="5"/>
  <c r="AB713" i="5"/>
  <c r="C355" i="6"/>
  <c r="AB661" i="5"/>
  <c r="O554" i="12"/>
  <c r="C554" i="12"/>
  <c r="AO554" i="12"/>
  <c r="M554" i="12"/>
  <c r="C291" i="6"/>
  <c r="C18" i="6"/>
  <c r="O18" i="5"/>
  <c r="AB82" i="5"/>
  <c r="AO294" i="12"/>
  <c r="C294" i="12"/>
  <c r="O294" i="12"/>
  <c r="M294" i="12"/>
  <c r="O528" i="12"/>
  <c r="C528" i="12"/>
  <c r="AO528" i="12"/>
  <c r="M528" i="12"/>
  <c r="AB625" i="5"/>
  <c r="O370" i="5"/>
  <c r="C370" i="6"/>
  <c r="O696" i="12"/>
  <c r="AO696" i="12"/>
  <c r="C696" i="12"/>
  <c r="M696" i="12"/>
  <c r="O56" i="12"/>
  <c r="C56" i="12"/>
  <c r="M56" i="12"/>
  <c r="AO56" i="12"/>
  <c r="C411" i="6"/>
  <c r="O354" i="12"/>
  <c r="M354" i="12"/>
  <c r="C354" i="12"/>
  <c r="AO354" i="12"/>
  <c r="C204" i="12"/>
  <c r="O204" i="12"/>
  <c r="M204" i="12"/>
  <c r="AO204" i="12"/>
  <c r="AB462" i="5"/>
  <c r="AO494" i="12"/>
  <c r="C494" i="12"/>
  <c r="M494" i="12"/>
  <c r="O494" i="12"/>
  <c r="AB455" i="5"/>
  <c r="M616" i="12"/>
  <c r="C616" i="12"/>
  <c r="AO616" i="12"/>
  <c r="O616" i="12"/>
  <c r="C595" i="12"/>
  <c r="AO595" i="12"/>
  <c r="O595" i="12"/>
  <c r="M595" i="12"/>
  <c r="AB638" i="5"/>
  <c r="C515" i="6"/>
  <c r="O192" i="5"/>
  <c r="C192" i="6"/>
  <c r="AB226" i="5"/>
  <c r="AB53" i="5"/>
  <c r="C374" i="12"/>
  <c r="AO374" i="12"/>
  <c r="O374" i="12"/>
  <c r="M374" i="12"/>
  <c r="C431" i="6"/>
  <c r="O431" i="5"/>
  <c r="O346" i="5"/>
  <c r="C346" i="6"/>
  <c r="C345" i="6"/>
  <c r="O345" i="5"/>
  <c r="C120" i="6"/>
  <c r="O120" i="5"/>
  <c r="M674" i="12"/>
  <c r="O674" i="12"/>
  <c r="C674" i="12"/>
  <c r="AO674" i="12"/>
  <c r="AO401" i="12"/>
  <c r="M401" i="12"/>
  <c r="O401" i="12"/>
  <c r="C401" i="12"/>
  <c r="O524" i="12"/>
  <c r="C524" i="12"/>
  <c r="AO524" i="12"/>
  <c r="M524" i="12"/>
  <c r="AB459" i="5"/>
  <c r="C532" i="12"/>
  <c r="AO532" i="12"/>
  <c r="O532" i="12"/>
  <c r="M532" i="12"/>
  <c r="AO675" i="12"/>
  <c r="C675" i="12"/>
  <c r="O675" i="12"/>
  <c r="M675" i="12"/>
  <c r="AB393" i="5"/>
  <c r="O214" i="5"/>
  <c r="C214" i="6"/>
  <c r="AO109" i="12"/>
  <c r="O109" i="12"/>
  <c r="C109" i="12"/>
  <c r="M109" i="12"/>
  <c r="M498" i="12"/>
  <c r="O498" i="12"/>
  <c r="AO498" i="12"/>
  <c r="C498" i="12"/>
  <c r="W263" i="5"/>
  <c r="AN263" i="5"/>
  <c r="W366" i="5"/>
  <c r="AN366" i="5"/>
  <c r="W617" i="5"/>
  <c r="AN617" i="5"/>
  <c r="W203" i="5"/>
  <c r="AN203" i="5"/>
  <c r="AN615" i="5"/>
  <c r="W615" i="5"/>
  <c r="W689" i="5"/>
  <c r="AN689" i="5"/>
  <c r="AN153" i="5"/>
  <c r="W153" i="5"/>
  <c r="W314" i="5"/>
  <c r="AN314" i="5"/>
  <c r="AN134" i="5"/>
  <c r="W134" i="5"/>
  <c r="W37" i="5"/>
  <c r="AN37" i="5"/>
  <c r="W273" i="5"/>
  <c r="AN273" i="5"/>
  <c r="W175" i="5"/>
  <c r="AN175" i="5"/>
  <c r="W127" i="5"/>
  <c r="AN127" i="5"/>
  <c r="W579" i="5"/>
  <c r="AN579" i="5"/>
  <c r="AN443" i="5"/>
  <c r="W443" i="5"/>
  <c r="W473" i="5"/>
  <c r="AN473" i="5"/>
  <c r="W501" i="5"/>
  <c r="AN501" i="5"/>
  <c r="AN129" i="5"/>
  <c r="W129" i="5"/>
  <c r="W572" i="5"/>
  <c r="AN572" i="5"/>
  <c r="AB732" i="5"/>
  <c r="M355" i="12"/>
  <c r="AO355" i="12"/>
  <c r="O355" i="12"/>
  <c r="C355" i="12"/>
  <c r="C349" i="6"/>
  <c r="O349" i="5"/>
  <c r="AB670" i="5"/>
  <c r="AB559" i="5"/>
  <c r="AB431" i="5"/>
  <c r="Z119" i="5"/>
  <c r="I119" i="12"/>
  <c r="AM119" i="5"/>
  <c r="L119" i="5"/>
  <c r="AC119" i="5"/>
  <c r="C481" i="12"/>
  <c r="M481" i="12"/>
  <c r="AO481" i="12"/>
  <c r="O481" i="12"/>
  <c r="O532" i="5"/>
  <c r="C532" i="6"/>
  <c r="AB30" i="5"/>
  <c r="AB89" i="5"/>
  <c r="AO701" i="12"/>
  <c r="C701" i="12"/>
  <c r="O701" i="12"/>
  <c r="M701" i="12"/>
  <c r="AB498" i="5"/>
  <c r="AO293" i="12"/>
  <c r="M293" i="12"/>
  <c r="O293" i="12"/>
  <c r="C293" i="12"/>
  <c r="W578" i="5"/>
  <c r="AN578" i="5"/>
  <c r="AN672" i="5"/>
  <c r="W672" i="5"/>
  <c r="W583" i="5"/>
  <c r="AN583" i="5"/>
  <c r="AN741" i="5"/>
  <c r="W741" i="5"/>
  <c r="W676" i="5"/>
  <c r="AN676" i="5"/>
  <c r="W516" i="5"/>
  <c r="AN516" i="5"/>
  <c r="W456" i="5"/>
  <c r="AN456" i="5"/>
  <c r="W722" i="5"/>
  <c r="AN722" i="5"/>
  <c r="M655" i="12"/>
  <c r="O655" i="12"/>
  <c r="AO655" i="12"/>
  <c r="C655" i="12"/>
  <c r="M66" i="12"/>
  <c r="AO66" i="12"/>
  <c r="O66" i="12"/>
  <c r="C66" i="12"/>
  <c r="AB122" i="5"/>
  <c r="AB703" i="5"/>
  <c r="L236" i="5"/>
  <c r="Z236" i="5"/>
  <c r="I236" i="12"/>
  <c r="AM236" i="5"/>
  <c r="AC236" i="5"/>
  <c r="O32" i="5"/>
  <c r="C32" i="6"/>
  <c r="AO569" i="12"/>
  <c r="O569" i="12"/>
  <c r="C569" i="12"/>
  <c r="M569" i="12"/>
  <c r="C587" i="6"/>
  <c r="O587" i="5"/>
  <c r="AO486" i="12"/>
  <c r="O486" i="12"/>
  <c r="M486" i="12"/>
  <c r="C486" i="12"/>
  <c r="AO453" i="12"/>
  <c r="C453" i="12"/>
  <c r="M453" i="12"/>
  <c r="O453" i="12"/>
  <c r="AB522" i="5"/>
  <c r="C474" i="12"/>
  <c r="M474" i="12"/>
  <c r="O474" i="12"/>
  <c r="AO474" i="12"/>
  <c r="C28" i="12"/>
  <c r="O28" i="12"/>
  <c r="AO28" i="12"/>
  <c r="M28" i="12"/>
  <c r="C73" i="12"/>
  <c r="AO73" i="12"/>
  <c r="O73" i="12"/>
  <c r="M73" i="12"/>
  <c r="AB50" i="5"/>
  <c r="AO454" i="12"/>
  <c r="C454" i="12"/>
  <c r="O454" i="12"/>
  <c r="M454" i="12"/>
  <c r="C475" i="12"/>
  <c r="M475" i="12"/>
  <c r="AO475" i="12"/>
  <c r="O475" i="12"/>
  <c r="AB270" i="5"/>
  <c r="C514" i="6"/>
  <c r="AB46" i="5"/>
  <c r="M707" i="12"/>
  <c r="AO707" i="12"/>
  <c r="C707" i="12"/>
  <c r="O707" i="12"/>
  <c r="AO183" i="12"/>
  <c r="M183" i="12"/>
  <c r="O183" i="12"/>
  <c r="C183" i="12"/>
  <c r="C271" i="6"/>
  <c r="O271" i="5"/>
  <c r="C570" i="12"/>
  <c r="AO570" i="12"/>
  <c r="M570" i="12"/>
  <c r="O570" i="12"/>
  <c r="AB344" i="5"/>
  <c r="O702" i="5"/>
  <c r="C702" i="6"/>
  <c r="O585" i="5"/>
  <c r="C585" i="6"/>
  <c r="O275" i="12"/>
  <c r="C275" i="12"/>
  <c r="M275" i="12"/>
  <c r="AO275" i="12"/>
  <c r="AO74" i="12"/>
  <c r="C74" i="12"/>
  <c r="O74" i="12"/>
  <c r="M74" i="12"/>
  <c r="M697" i="12"/>
  <c r="C697" i="12"/>
  <c r="O697" i="12"/>
  <c r="AO697" i="12"/>
  <c r="O285" i="12"/>
  <c r="AO285" i="12"/>
  <c r="M285" i="12"/>
  <c r="C285" i="12"/>
  <c r="C681" i="12"/>
  <c r="AO681" i="12"/>
  <c r="O681" i="12"/>
  <c r="M681" i="12"/>
  <c r="AB70" i="5"/>
  <c r="C372" i="12"/>
  <c r="AO372" i="12"/>
  <c r="O372" i="12"/>
  <c r="N372" i="12" s="1"/>
  <c r="M372" i="12"/>
  <c r="AB407" i="5"/>
  <c r="C712" i="6"/>
  <c r="O712" i="5"/>
  <c r="C590" i="6"/>
  <c r="AB547" i="5"/>
  <c r="AO189" i="12"/>
  <c r="C189" i="12"/>
  <c r="O189" i="12"/>
  <c r="M189" i="12"/>
  <c r="C307" i="12"/>
  <c r="O307" i="12"/>
  <c r="AO307" i="12"/>
  <c r="M307" i="12"/>
  <c r="M322" i="12"/>
  <c r="O322" i="12"/>
  <c r="AO322" i="12"/>
  <c r="C322" i="12"/>
  <c r="M733" i="12"/>
  <c r="AO733" i="12"/>
  <c r="C733" i="12"/>
  <c r="O733" i="12"/>
  <c r="AB304" i="5"/>
  <c r="C84" i="6"/>
  <c r="O84" i="5"/>
  <c r="O215" i="5"/>
  <c r="C215" i="6"/>
  <c r="M530" i="12"/>
  <c r="C530" i="12"/>
  <c r="AO530" i="12"/>
  <c r="O530" i="12"/>
  <c r="M76" i="12"/>
  <c r="C76" i="12"/>
  <c r="O76" i="12"/>
  <c r="AO76" i="12"/>
  <c r="AB19" i="5"/>
  <c r="O212" i="12"/>
  <c r="C212" i="12"/>
  <c r="M212" i="12"/>
  <c r="AO212" i="12"/>
  <c r="C380" i="12"/>
  <c r="AO380" i="12"/>
  <c r="O380" i="12"/>
  <c r="M380" i="12"/>
  <c r="O432" i="12"/>
  <c r="C432" i="12"/>
  <c r="AO432" i="12"/>
  <c r="M432" i="12"/>
  <c r="O521" i="12"/>
  <c r="M521" i="12"/>
  <c r="C521" i="12"/>
  <c r="AO521" i="12"/>
  <c r="C313" i="6"/>
  <c r="O313" i="5"/>
  <c r="C566" i="6"/>
  <c r="AB526" i="5"/>
  <c r="C292" i="12"/>
  <c r="AO292" i="12"/>
  <c r="M292" i="12"/>
  <c r="O292" i="12"/>
  <c r="C96" i="6"/>
  <c r="O96" i="5"/>
  <c r="C656" i="12"/>
  <c r="M656" i="12"/>
  <c r="AO656" i="12"/>
  <c r="O656" i="12"/>
  <c r="M299" i="12"/>
  <c r="AO299" i="12"/>
  <c r="C299" i="12"/>
  <c r="O299" i="12"/>
  <c r="AB135" i="5"/>
  <c r="C195" i="12"/>
  <c r="AO195" i="12"/>
  <c r="O195" i="12"/>
  <c r="M195" i="12"/>
  <c r="C104" i="12"/>
  <c r="O104" i="12"/>
  <c r="M104" i="12"/>
  <c r="AO104" i="12"/>
  <c r="AB624" i="5"/>
  <c r="AO291" i="12"/>
  <c r="M291" i="12"/>
  <c r="O291" i="12"/>
  <c r="C291" i="12"/>
  <c r="M18" i="12"/>
  <c r="C18" i="12"/>
  <c r="AO18" i="12"/>
  <c r="O18" i="12"/>
  <c r="O82" i="12"/>
  <c r="AO82" i="12"/>
  <c r="C82" i="12"/>
  <c r="M82" i="12"/>
  <c r="C625" i="12"/>
  <c r="M625" i="12"/>
  <c r="AO625" i="12"/>
  <c r="O625" i="12"/>
  <c r="I251" i="12"/>
  <c r="Z251" i="5"/>
  <c r="L251" i="5"/>
  <c r="AM251" i="5"/>
  <c r="AC251" i="5"/>
  <c r="AB56" i="5"/>
  <c r="C411" i="12"/>
  <c r="M411" i="12"/>
  <c r="O411" i="12"/>
  <c r="AO411" i="12"/>
  <c r="C455" i="12"/>
  <c r="M455" i="12"/>
  <c r="O455" i="12"/>
  <c r="AO455" i="12"/>
  <c r="O310" i="5"/>
  <c r="C310" i="6"/>
  <c r="C392" i="6"/>
  <c r="O392" i="5"/>
  <c r="C538" i="12"/>
  <c r="O538" i="12"/>
  <c r="M538" i="12"/>
  <c r="AO538" i="12"/>
  <c r="AB290" i="5"/>
  <c r="C192" i="12"/>
  <c r="AO192" i="12"/>
  <c r="O192" i="12"/>
  <c r="M192" i="12"/>
  <c r="AB208" i="5"/>
  <c r="AB374" i="5"/>
  <c r="M346" i="12"/>
  <c r="O346" i="12"/>
  <c r="C346" i="12"/>
  <c r="AO346" i="12"/>
  <c r="AB88" i="5"/>
  <c r="AB674" i="5"/>
  <c r="AB477" i="5"/>
  <c r="C401" i="6"/>
  <c r="AB524" i="5"/>
  <c r="O459" i="12"/>
  <c r="C459" i="12"/>
  <c r="M459" i="12"/>
  <c r="AO459" i="12"/>
  <c r="AB532" i="5"/>
  <c r="AB675" i="5"/>
  <c r="C701" i="6"/>
  <c r="O701" i="5"/>
  <c r="AB109" i="5"/>
  <c r="C498" i="6"/>
  <c r="O320" i="12"/>
  <c r="AO320" i="12"/>
  <c r="M320" i="12"/>
  <c r="C320" i="12"/>
  <c r="M325" i="12"/>
  <c r="AO325" i="12"/>
  <c r="O325" i="12"/>
  <c r="C325" i="12"/>
  <c r="W410" i="5"/>
  <c r="AN410" i="5"/>
  <c r="W163" i="5"/>
  <c r="AN163" i="5"/>
  <c r="W686" i="5"/>
  <c r="AN686" i="5"/>
  <c r="W250" i="5"/>
  <c r="AN250" i="5"/>
  <c r="AN408" i="5"/>
  <c r="W408" i="5"/>
  <c r="W413" i="5"/>
  <c r="AN413" i="5"/>
  <c r="AN157" i="5"/>
  <c r="W157" i="5"/>
  <c r="AN666" i="5"/>
  <c r="W666" i="5"/>
  <c r="W146" i="5"/>
  <c r="AN146" i="5"/>
  <c r="AN517" i="5"/>
  <c r="W517" i="5"/>
  <c r="W634" i="5"/>
  <c r="AN634" i="5"/>
  <c r="AN589" i="5"/>
  <c r="W589" i="5"/>
  <c r="W610" i="5"/>
  <c r="AN610" i="5"/>
  <c r="W691" i="5"/>
  <c r="AN691" i="5"/>
  <c r="AN446" i="5"/>
  <c r="W446" i="5"/>
  <c r="AN508" i="5"/>
  <c r="W508" i="5"/>
  <c r="W493" i="5"/>
  <c r="AN493" i="5"/>
  <c r="W137" i="5"/>
  <c r="AN137" i="5"/>
  <c r="AN623" i="5"/>
  <c r="W623" i="5"/>
  <c r="M648" i="12"/>
  <c r="C648" i="12"/>
  <c r="AO648" i="12"/>
  <c r="O648" i="12"/>
  <c r="AO242" i="12"/>
  <c r="C242" i="12"/>
  <c r="O242" i="12"/>
  <c r="M242" i="12"/>
  <c r="O418" i="12"/>
  <c r="AO418" i="12"/>
  <c r="M418" i="12"/>
  <c r="C418" i="12"/>
  <c r="AB707" i="5"/>
  <c r="AM535" i="5"/>
  <c r="L535" i="5"/>
  <c r="Z535" i="5"/>
  <c r="I535" i="12"/>
  <c r="AC535" i="5"/>
  <c r="AB302" i="5"/>
  <c r="AB657" i="5"/>
  <c r="AB361" i="5"/>
  <c r="W568" i="5"/>
  <c r="AN568" i="5"/>
  <c r="C655" i="6"/>
  <c r="O655" i="5"/>
  <c r="C65" i="6"/>
  <c r="O65" i="5"/>
  <c r="C44" i="12"/>
  <c r="M44" i="12"/>
  <c r="AO44" i="12"/>
  <c r="O44" i="12"/>
  <c r="AB66" i="5"/>
  <c r="AB464" i="5"/>
  <c r="M564" i="12"/>
  <c r="AO564" i="12"/>
  <c r="C564" i="12"/>
  <c r="O564" i="12"/>
  <c r="AB237" i="5"/>
  <c r="AB32" i="5"/>
  <c r="AB233" i="5"/>
  <c r="AB569" i="5"/>
  <c r="C587" i="12"/>
  <c r="M587" i="12"/>
  <c r="AO587" i="12"/>
  <c r="O587" i="12"/>
  <c r="AB453" i="5"/>
  <c r="AB447" i="5"/>
  <c r="C211" i="6"/>
  <c r="O211" i="5"/>
  <c r="L27" i="5"/>
  <c r="R20" i="8"/>
  <c r="AM27" i="5"/>
  <c r="I27" i="12"/>
  <c r="Z27" i="5"/>
  <c r="AC27" i="5"/>
  <c r="AB73" i="5"/>
  <c r="O645" i="5"/>
  <c r="C645" i="6"/>
  <c r="AB34" i="5"/>
  <c r="AO270" i="12"/>
  <c r="C270" i="12"/>
  <c r="O270" i="12"/>
  <c r="M270" i="12"/>
  <c r="O93" i="12"/>
  <c r="C93" i="12"/>
  <c r="M93" i="12"/>
  <c r="AO93" i="12"/>
  <c r="C55" i="6"/>
  <c r="O55" i="5"/>
  <c r="AB739" i="5"/>
  <c r="M271" i="12"/>
  <c r="C271" i="12"/>
  <c r="O271" i="12"/>
  <c r="AO271" i="12"/>
  <c r="C507" i="6"/>
  <c r="AB565" i="5"/>
  <c r="AB275" i="5"/>
  <c r="O721" i="5"/>
  <c r="C721" i="6"/>
  <c r="C381" i="6"/>
  <c r="O381" i="5"/>
  <c r="C387" i="6"/>
  <c r="O387" i="5"/>
  <c r="AB697" i="5"/>
  <c r="AB285" i="5"/>
  <c r="O209" i="5"/>
  <c r="C209" i="6"/>
  <c r="AO70" i="12"/>
  <c r="C70" i="12"/>
  <c r="M70" i="12"/>
  <c r="O70" i="12"/>
  <c r="O372" i="5"/>
  <c r="C372" i="6"/>
  <c r="AB277" i="5"/>
  <c r="O33" i="5"/>
  <c r="C33" i="6"/>
  <c r="O712" i="12"/>
  <c r="C712" i="12"/>
  <c r="M712" i="12"/>
  <c r="AO712" i="12"/>
  <c r="AB590" i="5"/>
  <c r="C520" i="12"/>
  <c r="O520" i="12"/>
  <c r="M520" i="12"/>
  <c r="AO520" i="12"/>
  <c r="C307" i="6"/>
  <c r="O307" i="5"/>
  <c r="O647" i="5"/>
  <c r="C647" i="6"/>
  <c r="AO31" i="12"/>
  <c r="Y31" i="12" s="1"/>
  <c r="C31" i="12"/>
  <c r="M31" i="12"/>
  <c r="O31" i="12"/>
  <c r="M405" i="12"/>
  <c r="C405" i="12"/>
  <c r="AO405" i="12"/>
  <c r="O405" i="12"/>
  <c r="C300" i="6"/>
  <c r="AB530" i="5"/>
  <c r="C76" i="6"/>
  <c r="O76" i="5"/>
  <c r="AB308" i="5"/>
  <c r="AB238" i="5"/>
  <c r="C19" i="6"/>
  <c r="O19" i="5"/>
  <c r="AB635" i="5"/>
  <c r="AO335" i="12"/>
  <c r="O335" i="12"/>
  <c r="M335" i="12"/>
  <c r="C335" i="12"/>
  <c r="AB601" i="5"/>
  <c r="O380" i="5"/>
  <c r="C380" i="6"/>
  <c r="M612" i="12"/>
  <c r="AO612" i="12"/>
  <c r="C612" i="12"/>
  <c r="O612" i="12"/>
  <c r="O313" i="12"/>
  <c r="C313" i="12"/>
  <c r="AO313" i="12"/>
  <c r="M313" i="12"/>
  <c r="M278" i="12"/>
  <c r="C278" i="12"/>
  <c r="O278" i="12"/>
  <c r="AO278" i="12"/>
  <c r="C566" i="12"/>
  <c r="AO566" i="12"/>
  <c r="O566" i="12"/>
  <c r="M566" i="12"/>
  <c r="M382" i="12"/>
  <c r="O382" i="12"/>
  <c r="C382" i="12"/>
  <c r="AO382" i="12"/>
  <c r="O526" i="5"/>
  <c r="C526" i="6"/>
  <c r="AB479" i="5"/>
  <c r="I106" i="12"/>
  <c r="Z106" i="5"/>
  <c r="L106" i="5"/>
  <c r="AM106" i="5"/>
  <c r="AC106" i="5"/>
  <c r="AB377" i="5"/>
  <c r="C299" i="6"/>
  <c r="L40" i="5"/>
  <c r="AM40" i="5"/>
  <c r="I40" i="12"/>
  <c r="Z40" i="5"/>
  <c r="AC40" i="5"/>
  <c r="M135" i="12"/>
  <c r="AO135" i="12"/>
  <c r="C135" i="12"/>
  <c r="O135" i="12"/>
  <c r="C309" i="6"/>
  <c r="O309" i="5"/>
  <c r="AB348" i="5"/>
  <c r="AB631" i="5"/>
  <c r="O343" i="12"/>
  <c r="AO343" i="12"/>
  <c r="M343" i="12"/>
  <c r="C343" i="12"/>
  <c r="AB554" i="5"/>
  <c r="AB291" i="5"/>
  <c r="C82" i="6"/>
  <c r="O82" i="5"/>
  <c r="C294" i="6"/>
  <c r="AB528" i="5"/>
  <c r="AB370" i="5"/>
  <c r="L695" i="5"/>
  <c r="I695" i="12"/>
  <c r="AM695" i="5"/>
  <c r="AC695" i="5"/>
  <c r="Z695" i="5"/>
  <c r="C462" i="6"/>
  <c r="C371" i="6"/>
  <c r="O371" i="5"/>
  <c r="C455" i="6"/>
  <c r="O455" i="5"/>
  <c r="AB310" i="5"/>
  <c r="O538" i="5"/>
  <c r="C538" i="6"/>
  <c r="C403" i="12"/>
  <c r="O403" i="12"/>
  <c r="M403" i="12"/>
  <c r="AO403" i="12"/>
  <c r="AB51" i="5"/>
  <c r="C327" i="6"/>
  <c r="AB133" i="5"/>
  <c r="AO47" i="12"/>
  <c r="M47" i="12"/>
  <c r="C47" i="12"/>
  <c r="O47" i="12"/>
  <c r="C663" i="6"/>
  <c r="O663" i="5"/>
  <c r="AO431" i="12"/>
  <c r="C431" i="12"/>
  <c r="M431" i="12"/>
  <c r="O431" i="12"/>
  <c r="AB390" i="5"/>
  <c r="AM86" i="5"/>
  <c r="L86" i="5"/>
  <c r="I86" i="12"/>
  <c r="Z86" i="5"/>
  <c r="AC86" i="5"/>
  <c r="AB90" i="5"/>
  <c r="AB384" i="5"/>
  <c r="M477" i="12"/>
  <c r="C477" i="12"/>
  <c r="O477" i="12"/>
  <c r="AO477" i="12"/>
  <c r="C459" i="6"/>
  <c r="AB297" i="5"/>
  <c r="AO710" i="12"/>
  <c r="C710" i="12"/>
  <c r="M710" i="12"/>
  <c r="O710" i="12"/>
  <c r="AB320" i="5"/>
  <c r="AB325" i="5"/>
  <c r="W367" i="5"/>
  <c r="AN367" i="5"/>
  <c r="AN499" i="5"/>
  <c r="W499" i="5"/>
  <c r="AN440" i="5"/>
  <c r="W440" i="5"/>
  <c r="AN101" i="5"/>
  <c r="W101" i="5"/>
  <c r="AN142" i="5"/>
  <c r="W142" i="5"/>
  <c r="AN288" i="5"/>
  <c r="W288" i="5"/>
  <c r="W489" i="5"/>
  <c r="AN489" i="5"/>
  <c r="AN421" i="5"/>
  <c r="W421" i="5"/>
  <c r="AN154" i="5"/>
  <c r="W154" i="5"/>
  <c r="AN575" i="5"/>
  <c r="W575" i="5"/>
  <c r="W603" i="5"/>
  <c r="AN603" i="5"/>
  <c r="W738" i="5"/>
  <c r="AN738" i="5"/>
  <c r="AN143" i="5"/>
  <c r="W143" i="5"/>
  <c r="AN262" i="5"/>
  <c r="W262" i="5"/>
  <c r="W140" i="5"/>
  <c r="AN140" i="5"/>
  <c r="AN511" i="5"/>
  <c r="W511" i="5"/>
  <c r="W620" i="5"/>
  <c r="AN620" i="5"/>
  <c r="AN147" i="5"/>
  <c r="W147" i="5"/>
  <c r="W504" i="5"/>
  <c r="AN504" i="5"/>
  <c r="AB311" i="5"/>
  <c r="AO420" i="12"/>
  <c r="C420" i="12"/>
  <c r="M420" i="12"/>
  <c r="O420" i="12"/>
  <c r="C182" i="12"/>
  <c r="O182" i="12"/>
  <c r="AO182" i="12"/>
  <c r="M182" i="12"/>
  <c r="AB224" i="5"/>
  <c r="AB690" i="5"/>
  <c r="O659" i="5"/>
  <c r="C659" i="6"/>
  <c r="O179" i="12"/>
  <c r="M179" i="12"/>
  <c r="AO179" i="12"/>
  <c r="C179" i="12"/>
  <c r="AB533" i="5"/>
  <c r="M276" i="12"/>
  <c r="O276" i="12"/>
  <c r="C276" i="12"/>
  <c r="AO276" i="12"/>
  <c r="I660" i="12"/>
  <c r="L660" i="5"/>
  <c r="Z660" i="5"/>
  <c r="AM660" i="5"/>
  <c r="AC660" i="5"/>
  <c r="W485" i="5"/>
  <c r="AN485" i="5"/>
  <c r="O717" i="5"/>
  <c r="C717" i="6"/>
  <c r="C65" i="12"/>
  <c r="O65" i="12"/>
  <c r="M65" i="12"/>
  <c r="AO65" i="12"/>
  <c r="AB414" i="5"/>
  <c r="AB415" i="5"/>
  <c r="C66" i="6"/>
  <c r="O66" i="5"/>
  <c r="O64" i="5"/>
  <c r="C64" i="6"/>
  <c r="C464" i="6"/>
  <c r="AB719" i="5"/>
  <c r="O81" i="5"/>
  <c r="C81" i="6"/>
  <c r="AB564" i="5"/>
  <c r="AB587" i="5"/>
  <c r="AO628" i="12"/>
  <c r="C628" i="12"/>
  <c r="O628" i="12"/>
  <c r="M628" i="12"/>
  <c r="C522" i="6"/>
  <c r="O522" i="5"/>
  <c r="O58" i="5"/>
  <c r="C58" i="6"/>
  <c r="AB454" i="5"/>
  <c r="AB475" i="5"/>
  <c r="C34" i="12"/>
  <c r="M34" i="12"/>
  <c r="O34" i="12"/>
  <c r="AO34" i="12"/>
  <c r="C705" i="6"/>
  <c r="O705" i="5"/>
  <c r="C46" i="6"/>
  <c r="O46" i="5"/>
  <c r="AB507" i="5"/>
  <c r="O344" i="5"/>
  <c r="C344" i="6"/>
  <c r="C565" i="6"/>
  <c r="AB702" i="5"/>
  <c r="AO442" i="12"/>
  <c r="C442" i="12"/>
  <c r="M442" i="12"/>
  <c r="O442" i="12"/>
  <c r="AB721" i="5"/>
  <c r="AB381" i="5"/>
  <c r="AB387" i="5"/>
  <c r="C697" i="6"/>
  <c r="O697" i="5"/>
  <c r="C496" i="6"/>
  <c r="AB358" i="5"/>
  <c r="C282" i="12"/>
  <c r="AO282" i="12"/>
  <c r="O282" i="12"/>
  <c r="M282" i="12"/>
  <c r="O70" i="5"/>
  <c r="C70" i="6"/>
  <c r="C407" i="6"/>
  <c r="AO435" i="12"/>
  <c r="C435" i="12"/>
  <c r="M435" i="12"/>
  <c r="O435" i="12"/>
  <c r="C520" i="6"/>
  <c r="O520" i="5"/>
  <c r="AB679" i="5"/>
  <c r="AB373" i="5"/>
  <c r="O31" i="5"/>
  <c r="C31" i="6"/>
  <c r="AB405" i="5"/>
  <c r="O84" i="12"/>
  <c r="M84" i="12"/>
  <c r="C84" i="12"/>
  <c r="AO84" i="12"/>
  <c r="M525" i="12"/>
  <c r="AO525" i="12"/>
  <c r="O525" i="12"/>
  <c r="C525" i="12"/>
  <c r="O530" i="5"/>
  <c r="C530" i="6"/>
  <c r="O308" i="12"/>
  <c r="M308" i="12"/>
  <c r="AO308" i="12"/>
  <c r="C308" i="12"/>
  <c r="C238" i="12"/>
  <c r="M238" i="12"/>
  <c r="AO238" i="12"/>
  <c r="O238" i="12"/>
  <c r="C635" i="6"/>
  <c r="AB335" i="5"/>
  <c r="C103" i="6"/>
  <c r="O601" i="12"/>
  <c r="AO601" i="12"/>
  <c r="C601" i="12"/>
  <c r="M601" i="12"/>
  <c r="O364" i="12"/>
  <c r="C364" i="12"/>
  <c r="AO364" i="12"/>
  <c r="M364" i="12"/>
  <c r="C278" i="6"/>
  <c r="AB382" i="5"/>
  <c r="C292" i="6"/>
  <c r="M96" i="12"/>
  <c r="C96" i="12"/>
  <c r="O96" i="12"/>
  <c r="AO96" i="12"/>
  <c r="C479" i="6"/>
  <c r="AB656" i="5"/>
  <c r="C107" i="6"/>
  <c r="O107" i="5"/>
  <c r="AO377" i="12"/>
  <c r="C377" i="12"/>
  <c r="M377" i="12"/>
  <c r="O377" i="12"/>
  <c r="AB299" i="5"/>
  <c r="C195" i="6"/>
  <c r="O195" i="5"/>
  <c r="AB92" i="5"/>
  <c r="AB309" i="5"/>
  <c r="AO348" i="12"/>
  <c r="M348" i="12"/>
  <c r="C348" i="12"/>
  <c r="O348" i="12"/>
  <c r="AB343" i="5"/>
  <c r="O554" i="5"/>
  <c r="C554" i="6"/>
  <c r="AO252" i="12"/>
  <c r="C252" i="12"/>
  <c r="O252" i="12"/>
  <c r="M252" i="12"/>
  <c r="M370" i="12"/>
  <c r="C370" i="12"/>
  <c r="O370" i="12"/>
  <c r="AO370" i="12"/>
  <c r="C121" i="12"/>
  <c r="O121" i="12"/>
  <c r="AO121" i="12"/>
  <c r="M121" i="12"/>
  <c r="AB204" i="5"/>
  <c r="AB371" i="5"/>
  <c r="C720" i="6"/>
  <c r="O720" i="5"/>
  <c r="AB329" i="5"/>
  <c r="AB538" i="5"/>
  <c r="AB403" i="5"/>
  <c r="C290" i="12"/>
  <c r="O290" i="12"/>
  <c r="AO290" i="12"/>
  <c r="M290" i="12"/>
  <c r="AB505" i="5"/>
  <c r="AB327" i="5"/>
  <c r="O133" i="12"/>
  <c r="AO133" i="12"/>
  <c r="M133" i="12"/>
  <c r="C133" i="12"/>
  <c r="AO726" i="12"/>
  <c r="C726" i="12"/>
  <c r="M726" i="12"/>
  <c r="O726" i="12"/>
  <c r="AB47" i="5"/>
  <c r="M226" i="12"/>
  <c r="O226" i="12"/>
  <c r="AO226" i="12"/>
  <c r="C226" i="12"/>
  <c r="O663" i="12"/>
  <c r="C663" i="12"/>
  <c r="AO663" i="12"/>
  <c r="M663" i="12"/>
  <c r="C374" i="6"/>
  <c r="O374" i="5"/>
  <c r="O390" i="5"/>
  <c r="C390" i="6"/>
  <c r="C88" i="12"/>
  <c r="AO88" i="12"/>
  <c r="O88" i="12"/>
  <c r="M88" i="12"/>
  <c r="O90" i="12"/>
  <c r="AO90" i="12"/>
  <c r="C90" i="12"/>
  <c r="M90" i="12"/>
  <c r="C395" i="6"/>
  <c r="O395" i="5"/>
  <c r="C384" i="6"/>
  <c r="O384" i="5"/>
  <c r="C477" i="6"/>
  <c r="AB401" i="5"/>
  <c r="AB356" i="5"/>
  <c r="C83" i="6"/>
  <c r="O83" i="5"/>
  <c r="O320" i="5"/>
  <c r="C320" i="6"/>
  <c r="C325" i="6"/>
  <c r="O325" i="5"/>
  <c r="AN687" i="5"/>
  <c r="W687" i="5"/>
  <c r="W172" i="5"/>
  <c r="AN172" i="5"/>
  <c r="W737" i="5"/>
  <c r="AN737" i="5"/>
  <c r="W181" i="5"/>
  <c r="AN181" i="5"/>
  <c r="AN229" i="5"/>
  <c r="W229" i="5"/>
  <c r="AN332" i="5"/>
  <c r="W332" i="5"/>
  <c r="AN220" i="5"/>
  <c r="W220" i="5"/>
  <c r="AN463" i="5"/>
  <c r="W463" i="5"/>
  <c r="AN156" i="5"/>
  <c r="W156" i="5"/>
  <c r="W230" i="5"/>
  <c r="AN230" i="5"/>
  <c r="AN130" i="5"/>
  <c r="W130" i="5"/>
  <c r="AN265" i="5"/>
  <c r="W265" i="5"/>
  <c r="AN150" i="5"/>
  <c r="W150" i="5"/>
  <c r="W257" i="5"/>
  <c r="AN257" i="5"/>
  <c r="AN149" i="5"/>
  <c r="W149" i="5"/>
  <c r="AN652" i="5"/>
  <c r="W652" i="5"/>
  <c r="AN471" i="5"/>
  <c r="W471" i="5"/>
  <c r="W561" i="5"/>
  <c r="AN561" i="5"/>
  <c r="W219" i="5"/>
  <c r="AN219" i="5"/>
  <c r="C122" i="12"/>
  <c r="O122" i="12"/>
  <c r="AO122" i="12"/>
  <c r="AB591" i="5"/>
  <c r="C218" i="12"/>
  <c r="O218" i="12"/>
  <c r="AO218" i="12"/>
  <c r="M218" i="12"/>
  <c r="C29" i="12"/>
  <c r="O29" i="12"/>
  <c r="M29" i="12"/>
  <c r="AO29" i="12"/>
  <c r="O714" i="5"/>
  <c r="C714" i="6"/>
  <c r="AO102" i="12"/>
  <c r="O102" i="12"/>
  <c r="C102" i="12"/>
  <c r="M102" i="12"/>
  <c r="AN457" i="5"/>
  <c r="W457" i="5"/>
  <c r="AO717" i="12"/>
  <c r="O717" i="12"/>
  <c r="C717" i="12"/>
  <c r="M717" i="12"/>
  <c r="O551" i="12"/>
  <c r="C551" i="12"/>
  <c r="M551" i="12"/>
  <c r="AO551" i="12"/>
  <c r="L654" i="5"/>
  <c r="Z654" i="5"/>
  <c r="AC654" i="5"/>
  <c r="AM654" i="5"/>
  <c r="I654" i="12"/>
  <c r="AB65" i="5"/>
  <c r="AB557" i="5"/>
  <c r="M546" i="12"/>
  <c r="O546" i="12"/>
  <c r="AO546" i="12"/>
  <c r="C546" i="12"/>
  <c r="C414" i="6"/>
  <c r="O415" i="12"/>
  <c r="M415" i="12"/>
  <c r="AO415" i="12"/>
  <c r="C415" i="12"/>
  <c r="AB540" i="5"/>
  <c r="AB64" i="5"/>
  <c r="C564" i="6"/>
  <c r="C237" i="6"/>
  <c r="O237" i="5"/>
  <c r="AO116" i="12"/>
  <c r="M116" i="12"/>
  <c r="C116" i="12"/>
  <c r="O116" i="12"/>
  <c r="M233" i="12"/>
  <c r="O233" i="12"/>
  <c r="AO233" i="12"/>
  <c r="C233" i="12"/>
  <c r="C569" i="6"/>
  <c r="AB628" i="5"/>
  <c r="C453" i="6"/>
  <c r="O453" i="5"/>
  <c r="AO447" i="12"/>
  <c r="C447" i="12"/>
  <c r="M447" i="12"/>
  <c r="O447" i="12"/>
  <c r="AO522" i="12"/>
  <c r="M522" i="12"/>
  <c r="O522" i="12"/>
  <c r="C522" i="12"/>
  <c r="C406" i="6"/>
  <c r="C567" i="6"/>
  <c r="AB645" i="5"/>
  <c r="AB644" i="5" s="1"/>
  <c r="C58" i="12"/>
  <c r="M58" i="12"/>
  <c r="AO58" i="12"/>
  <c r="O58" i="12"/>
  <c r="O454" i="5"/>
  <c r="C454" i="6"/>
  <c r="C475" i="6"/>
  <c r="AB550" i="5"/>
  <c r="M46" i="12"/>
  <c r="O46" i="12"/>
  <c r="C46" i="12"/>
  <c r="AO46" i="12"/>
  <c r="C704" i="6"/>
  <c r="O704" i="5"/>
  <c r="O55" i="12"/>
  <c r="M55" i="12"/>
  <c r="C55" i="12"/>
  <c r="AO55" i="12"/>
  <c r="AO399" i="12"/>
  <c r="M399" i="12"/>
  <c r="O399" i="12"/>
  <c r="C399" i="12"/>
  <c r="L427" i="5"/>
  <c r="I427" i="12"/>
  <c r="AC427" i="5"/>
  <c r="Z427" i="5"/>
  <c r="AM427" i="5"/>
  <c r="AB69" i="5"/>
  <c r="C677" i="6"/>
  <c r="O507" i="12"/>
  <c r="AO507" i="12"/>
  <c r="C507" i="12"/>
  <c r="M507" i="12"/>
  <c r="O541" i="5"/>
  <c r="C541" i="6"/>
  <c r="C442" i="6"/>
  <c r="O721" i="12"/>
  <c r="AO721" i="12"/>
  <c r="C721" i="12"/>
  <c r="M721" i="12"/>
  <c r="AB419" i="5"/>
  <c r="AB388" i="5"/>
  <c r="C358" i="6"/>
  <c r="AB282" i="5"/>
  <c r="AO75" i="12"/>
  <c r="O75" i="12"/>
  <c r="C75" i="12"/>
  <c r="M75" i="12"/>
  <c r="O33" i="12"/>
  <c r="M33" i="12"/>
  <c r="AO33" i="12"/>
  <c r="C33" i="12"/>
  <c r="M407" i="12"/>
  <c r="O407" i="12"/>
  <c r="C407" i="12"/>
  <c r="AO407" i="12"/>
  <c r="AO451" i="12"/>
  <c r="M451" i="12"/>
  <c r="O451" i="12"/>
  <c r="C451" i="12"/>
  <c r="C435" i="6"/>
  <c r="O435" i="5"/>
  <c r="AB520" i="5"/>
  <c r="AB458" i="5"/>
  <c r="M284" i="12"/>
  <c r="O284" i="12"/>
  <c r="C284" i="12"/>
  <c r="AO284" i="12"/>
  <c r="C679" i="6"/>
  <c r="C409" i="6"/>
  <c r="O373" i="5"/>
  <c r="C373" i="6"/>
  <c r="M647" i="12"/>
  <c r="AO647" i="12"/>
  <c r="O647" i="12"/>
  <c r="C647" i="12"/>
  <c r="AB31" i="5"/>
  <c r="C405" i="6"/>
  <c r="O525" i="5"/>
  <c r="C525" i="6"/>
  <c r="C321" i="12"/>
  <c r="O321" i="12"/>
  <c r="M321" i="12"/>
  <c r="AO321" i="12"/>
  <c r="C308" i="6"/>
  <c r="O308" i="5"/>
  <c r="O238" i="5"/>
  <c r="C238" i="6"/>
  <c r="AO635" i="12"/>
  <c r="O635" i="12"/>
  <c r="C635" i="12"/>
  <c r="M635" i="12"/>
  <c r="Z334" i="5"/>
  <c r="AM334" i="5"/>
  <c r="AC334" i="5"/>
  <c r="L334" i="5"/>
  <c r="I334" i="12"/>
  <c r="AB103" i="5"/>
  <c r="AB313" i="5"/>
  <c r="O534" i="12"/>
  <c r="C534" i="12"/>
  <c r="AO534" i="12"/>
  <c r="M534" i="12"/>
  <c r="M526" i="12"/>
  <c r="O526" i="12"/>
  <c r="C526" i="12"/>
  <c r="AO526" i="12"/>
  <c r="AB292" i="5"/>
  <c r="AB107" i="5"/>
  <c r="O41" i="12"/>
  <c r="C41" i="12"/>
  <c r="M41" i="12"/>
  <c r="AO41" i="12"/>
  <c r="AB296" i="5"/>
  <c r="L48" i="5"/>
  <c r="AM48" i="5"/>
  <c r="Z48" i="5"/>
  <c r="I48" i="12"/>
  <c r="AC48" i="5"/>
  <c r="O553" i="5"/>
  <c r="C553" i="6"/>
  <c r="M309" i="12"/>
  <c r="O309" i="12"/>
  <c r="C309" i="12"/>
  <c r="AO309" i="12"/>
  <c r="O631" i="5"/>
  <c r="C631" i="6"/>
  <c r="C343" i="6"/>
  <c r="O343" i="5"/>
  <c r="AB662" i="5"/>
  <c r="AB18" i="5"/>
  <c r="O696" i="5"/>
  <c r="C696" i="6"/>
  <c r="O121" i="5"/>
  <c r="C121" i="6"/>
  <c r="C543" i="12"/>
  <c r="AO543" i="12"/>
  <c r="O543" i="12"/>
  <c r="M543" i="12"/>
  <c r="O371" i="12"/>
  <c r="AO371" i="12"/>
  <c r="M371" i="12"/>
  <c r="C371" i="12"/>
  <c r="C329" i="6"/>
  <c r="C403" i="6"/>
  <c r="C51" i="12"/>
  <c r="AO51" i="12"/>
  <c r="M51" i="12"/>
  <c r="O51" i="12"/>
  <c r="C290" i="6"/>
  <c r="M111" i="12"/>
  <c r="C111" i="12"/>
  <c r="O111" i="12"/>
  <c r="AO111" i="12"/>
  <c r="O327" i="12"/>
  <c r="M327" i="12"/>
  <c r="C327" i="12"/>
  <c r="AO327" i="12"/>
  <c r="AB495" i="5"/>
  <c r="AB726" i="5"/>
  <c r="O47" i="5"/>
  <c r="C47" i="6"/>
  <c r="AB362" i="5"/>
  <c r="AB663" i="5"/>
  <c r="AB272" i="5"/>
  <c r="M390" i="12"/>
  <c r="AO390" i="12"/>
  <c r="O390" i="12"/>
  <c r="C390" i="12"/>
  <c r="L87" i="5"/>
  <c r="Z87" i="5"/>
  <c r="AM87" i="5"/>
  <c r="I87" i="12"/>
  <c r="AC87" i="5"/>
  <c r="C79" i="6"/>
  <c r="O79" i="5"/>
  <c r="AB395" i="5"/>
  <c r="M384" i="12"/>
  <c r="AO384" i="12"/>
  <c r="O384" i="12"/>
  <c r="C384" i="12"/>
  <c r="AB253" i="5"/>
  <c r="M297" i="12"/>
  <c r="O297" i="12"/>
  <c r="C297" i="12"/>
  <c r="AO297" i="12"/>
  <c r="C356" i="6"/>
  <c r="AB83" i="5"/>
  <c r="C180" i="6"/>
  <c r="O452" i="12"/>
  <c r="AO452" i="12"/>
  <c r="C452" i="12"/>
  <c r="M452" i="12"/>
  <c r="C43" i="6"/>
  <c r="O43" i="5"/>
  <c r="W141" i="5"/>
  <c r="AN141" i="5"/>
  <c r="W685" i="5"/>
  <c r="AN685" i="5"/>
  <c r="W482" i="5"/>
  <c r="AN482" i="5"/>
  <c r="W736" i="5"/>
  <c r="AN736" i="5"/>
  <c r="AN198" i="5"/>
  <c r="W198" i="5"/>
  <c r="W23" i="5"/>
  <c r="AN23" i="5"/>
  <c r="W38" i="5"/>
  <c r="AN38" i="5"/>
  <c r="AN613" i="5"/>
  <c r="W613" i="5"/>
  <c r="AN397" i="5"/>
  <c r="W397" i="5"/>
  <c r="AN161" i="5"/>
  <c r="W161" i="5"/>
  <c r="W642" i="5"/>
  <c r="AN642" i="5"/>
  <c r="AN145" i="5"/>
  <c r="W145" i="5"/>
  <c r="W460" i="5"/>
  <c r="AN460" i="5"/>
  <c r="W152" i="5"/>
  <c r="AN152" i="5"/>
  <c r="AN261" i="5"/>
  <c r="W261" i="5"/>
  <c r="W151" i="5"/>
  <c r="AN151" i="5"/>
  <c r="AN126" i="5"/>
  <c r="W126" i="5"/>
  <c r="AN640" i="5"/>
  <c r="W640" i="5"/>
  <c r="W158" i="5"/>
  <c r="AN158" i="5"/>
  <c r="AN692" i="5"/>
  <c r="W692" i="5"/>
  <c r="AB715" i="5"/>
  <c r="M703" i="12"/>
  <c r="AO703" i="12"/>
  <c r="O703" i="12"/>
  <c r="C703" i="12"/>
  <c r="O196" i="12"/>
  <c r="C196" i="12"/>
  <c r="M196" i="12"/>
  <c r="AO196" i="12"/>
  <c r="M542" i="12"/>
  <c r="O542" i="12"/>
  <c r="AO542" i="12"/>
  <c r="C542" i="12"/>
  <c r="AB110" i="5"/>
  <c r="O63" i="5"/>
  <c r="C63" i="6"/>
  <c r="AB432" i="5"/>
  <c r="O461" i="12"/>
  <c r="AO461" i="12"/>
  <c r="M461" i="12"/>
  <c r="C461" i="12"/>
  <c r="O115" i="5"/>
  <c r="C115" i="6"/>
  <c r="AN444" i="5"/>
  <c r="W444" i="5"/>
  <c r="AB551" i="5"/>
  <c r="O557" i="12"/>
  <c r="AO557" i="12"/>
  <c r="C557" i="12"/>
  <c r="M557" i="12"/>
  <c r="AB546" i="5"/>
  <c r="O414" i="12"/>
  <c r="M414" i="12"/>
  <c r="C414" i="12"/>
  <c r="AO414" i="12"/>
  <c r="C415" i="6"/>
  <c r="AB529" i="5"/>
  <c r="O464" i="12"/>
  <c r="M464" i="12"/>
  <c r="AO464" i="12"/>
  <c r="C464" i="12"/>
  <c r="O434" i="5"/>
  <c r="C434" i="6"/>
  <c r="C81" i="12"/>
  <c r="AO81" i="12"/>
  <c r="M81" i="12"/>
  <c r="O81" i="12"/>
  <c r="AB468" i="5"/>
  <c r="AB116" i="5"/>
  <c r="C447" i="6"/>
  <c r="C283" i="12"/>
  <c r="AO283" i="12"/>
  <c r="M283" i="12"/>
  <c r="O283" i="12"/>
  <c r="AB28" i="5"/>
  <c r="O386" i="5"/>
  <c r="C386" i="6"/>
  <c r="O567" i="12"/>
  <c r="AO567" i="12"/>
  <c r="C567" i="12"/>
  <c r="M567" i="12"/>
  <c r="Z644" i="5"/>
  <c r="AC644" i="5"/>
  <c r="AM644" i="5"/>
  <c r="L644" i="5"/>
  <c r="I644" i="12"/>
  <c r="AB58" i="5"/>
  <c r="C550" i="6"/>
  <c r="AO705" i="12"/>
  <c r="C705" i="12"/>
  <c r="M705" i="12"/>
  <c r="O705" i="12"/>
  <c r="AB55" i="5"/>
  <c r="C673" i="6"/>
  <c r="M69" i="12"/>
  <c r="C69" i="12"/>
  <c r="AO69" i="12"/>
  <c r="O69" i="12"/>
  <c r="AB677" i="5"/>
  <c r="M565" i="12"/>
  <c r="C565" i="12"/>
  <c r="O565" i="12"/>
  <c r="AO565" i="12"/>
  <c r="AB98" i="5"/>
  <c r="AB442" i="5"/>
  <c r="M387" i="12"/>
  <c r="O387" i="12"/>
  <c r="AO387" i="12"/>
  <c r="C387" i="12"/>
  <c r="I375" i="12"/>
  <c r="AC375" i="5"/>
  <c r="AM375" i="5"/>
  <c r="Z375" i="5"/>
  <c r="L375" i="5"/>
  <c r="AB651" i="5"/>
  <c r="AO388" i="12"/>
  <c r="C388" i="12"/>
  <c r="M388" i="12"/>
  <c r="O388" i="12"/>
  <c r="AB496" i="5"/>
  <c r="AO358" i="12"/>
  <c r="M358" i="12"/>
  <c r="O358" i="12"/>
  <c r="C358" i="12"/>
  <c r="AB33" i="5"/>
  <c r="AB451" i="5"/>
  <c r="M458" i="12"/>
  <c r="C458" i="12"/>
  <c r="AO458" i="12"/>
  <c r="O458" i="12"/>
  <c r="AB636" i="5"/>
  <c r="O319" i="5"/>
  <c r="C319" i="6"/>
  <c r="AB112" i="5"/>
  <c r="C400" i="6"/>
  <c r="AB525" i="5"/>
  <c r="AB321" i="5"/>
  <c r="AB394" i="5"/>
  <c r="AO103" i="12"/>
  <c r="M103" i="12"/>
  <c r="C103" i="12"/>
  <c r="O103" i="12"/>
  <c r="C67" i="6"/>
  <c r="O67" i="5"/>
  <c r="AB527" i="5"/>
  <c r="AO268" i="12"/>
  <c r="M268" i="12"/>
  <c r="C268" i="12"/>
  <c r="O268" i="12"/>
  <c r="C197" i="6"/>
  <c r="O197" i="5"/>
  <c r="C364" i="6"/>
  <c r="AB534" i="5"/>
  <c r="C382" i="6"/>
  <c r="O382" i="5"/>
  <c r="O57" i="5"/>
  <c r="C57" i="6"/>
  <c r="AB41" i="5"/>
  <c r="C113" i="6"/>
  <c r="O113" i="5"/>
  <c r="M49" i="12"/>
  <c r="O49" i="12"/>
  <c r="C49" i="12"/>
  <c r="AO49" i="12"/>
  <c r="C92" i="6"/>
  <c r="O92" i="5"/>
  <c r="M553" i="12"/>
  <c r="C553" i="12"/>
  <c r="O553" i="12"/>
  <c r="AO553" i="12"/>
  <c r="C348" i="6"/>
  <c r="O348" i="5"/>
  <c r="AO631" i="12"/>
  <c r="O631" i="12"/>
  <c r="C631" i="12"/>
  <c r="M631" i="12"/>
  <c r="AB210" i="5"/>
  <c r="M662" i="12"/>
  <c r="C662" i="12"/>
  <c r="O662" i="12"/>
  <c r="AO662" i="12"/>
  <c r="O365" i="12"/>
  <c r="C365" i="12"/>
  <c r="M365" i="12"/>
  <c r="AO365" i="12"/>
  <c r="C436" i="6"/>
  <c r="O436" i="5"/>
  <c r="C336" i="12"/>
  <c r="AO336" i="12"/>
  <c r="O336" i="12"/>
  <c r="M336" i="12"/>
  <c r="AO378" i="12"/>
  <c r="O378" i="12"/>
  <c r="M378" i="12"/>
  <c r="C378" i="12"/>
  <c r="AB121" i="5"/>
  <c r="C398" i="6"/>
  <c r="AB543" i="5"/>
  <c r="AO478" i="12"/>
  <c r="M478" i="12"/>
  <c r="O478" i="12"/>
  <c r="C478" i="12"/>
  <c r="AB720" i="5"/>
  <c r="O329" i="12"/>
  <c r="AO329" i="12"/>
  <c r="C329" i="12"/>
  <c r="M329" i="12"/>
  <c r="C51" i="6"/>
  <c r="O51" i="5"/>
  <c r="M495" i="12"/>
  <c r="AO495" i="12"/>
  <c r="C495" i="12"/>
  <c r="O495" i="12"/>
  <c r="O133" i="5"/>
  <c r="C133" i="6"/>
  <c r="O726" i="5"/>
  <c r="C726" i="6"/>
  <c r="AB239" i="5"/>
  <c r="M362" i="12"/>
  <c r="C362" i="12"/>
  <c r="O362" i="12"/>
  <c r="AO362" i="12"/>
  <c r="O274" i="12"/>
  <c r="AO274" i="12"/>
  <c r="C274" i="12"/>
  <c r="M274" i="12"/>
  <c r="C193" i="6"/>
  <c r="O193" i="5"/>
  <c r="O272" i="5"/>
  <c r="C272" i="6"/>
  <c r="C88" i="6"/>
  <c r="O88" i="5"/>
  <c r="C90" i="6"/>
  <c r="O90" i="5"/>
  <c r="M395" i="12"/>
  <c r="AO395" i="12"/>
  <c r="O395" i="12"/>
  <c r="C395" i="12"/>
  <c r="O228" i="5"/>
  <c r="C228" i="6"/>
  <c r="AB330" i="5"/>
  <c r="AB606" i="5"/>
  <c r="AO279" i="12"/>
  <c r="M279" i="12"/>
  <c r="O279" i="12"/>
  <c r="C279" i="12"/>
  <c r="O253" i="12"/>
  <c r="C253" i="12"/>
  <c r="AO253" i="12"/>
  <c r="M253" i="12"/>
  <c r="C297" i="6"/>
  <c r="AM709" i="5"/>
  <c r="AC709" i="5"/>
  <c r="Z709" i="5"/>
  <c r="L709" i="5"/>
  <c r="I709" i="12"/>
  <c r="M356" i="12"/>
  <c r="O356" i="12"/>
  <c r="AO356" i="12"/>
  <c r="C356" i="12"/>
  <c r="C83" i="12"/>
  <c r="AO83" i="12"/>
  <c r="O83" i="12"/>
  <c r="M83" i="12"/>
  <c r="AB452" i="5"/>
  <c r="C43" i="12"/>
  <c r="AO43" i="12"/>
  <c r="O43" i="12"/>
  <c r="M43" i="12"/>
  <c r="AN139" i="5"/>
  <c r="W139" i="5"/>
  <c r="AN730" i="5"/>
  <c r="W730" i="5"/>
  <c r="W247" i="5"/>
  <c r="AN247" i="5"/>
  <c r="AN125" i="5"/>
  <c r="W125" i="5"/>
  <c r="AN683" i="5"/>
  <c r="W683" i="5"/>
  <c r="AN448" i="5"/>
  <c r="W448" i="5"/>
  <c r="W331" i="5"/>
  <c r="AN331" i="5"/>
  <c r="AN353" i="5"/>
  <c r="W353" i="5"/>
  <c r="W255" i="5"/>
  <c r="AN255" i="5"/>
  <c r="W169" i="5"/>
  <c r="AN169" i="5"/>
  <c r="AN231" i="5"/>
  <c r="W231" i="5"/>
  <c r="W160" i="5"/>
  <c r="AN160" i="5"/>
  <c r="W99" i="5"/>
  <c r="AN99" i="5"/>
  <c r="AN166" i="5"/>
  <c r="W166" i="5"/>
  <c r="W174" i="5"/>
  <c r="AN174" i="5"/>
  <c r="AN170" i="5"/>
  <c r="W170" i="5"/>
  <c r="W563" i="5"/>
  <c r="AN563" i="5"/>
  <c r="W581" i="5"/>
  <c r="AN581" i="5"/>
  <c r="W316" i="5"/>
  <c r="AN316" i="5"/>
  <c r="W639" i="5"/>
  <c r="AN639" i="5"/>
  <c r="C571" i="6"/>
  <c r="O699" i="5"/>
  <c r="C699" i="6"/>
  <c r="AB91" i="5"/>
  <c r="AB549" i="5"/>
  <c r="AB301" i="5"/>
  <c r="C225" i="6"/>
  <c r="O619" i="5"/>
  <c r="C619" i="6"/>
  <c r="AB437" i="5"/>
  <c r="C289" i="6"/>
  <c r="AB252" i="5"/>
  <c r="C450" i="6"/>
  <c r="O450" i="5"/>
  <c r="AN641" i="5"/>
  <c r="W641" i="5"/>
  <c r="AB717" i="5"/>
  <c r="L653" i="5"/>
  <c r="R74" i="8"/>
  <c r="Z653" i="5"/>
  <c r="I653" i="12"/>
  <c r="AC653" i="5"/>
  <c r="AM653" i="5"/>
  <c r="AO523" i="12"/>
  <c r="M523" i="12"/>
  <c r="C523" i="12"/>
  <c r="O523" i="12"/>
  <c r="C546" i="6"/>
  <c r="AO540" i="12"/>
  <c r="O540" i="12"/>
  <c r="M540" i="12"/>
  <c r="C540" i="12"/>
  <c r="M64" i="12"/>
  <c r="O64" i="12"/>
  <c r="C64" i="12"/>
  <c r="AO64" i="12"/>
  <c r="AO719" i="12"/>
  <c r="M719" i="12"/>
  <c r="C719" i="12"/>
  <c r="O719" i="12"/>
  <c r="AB434" i="5"/>
  <c r="AB81" i="5"/>
  <c r="AB441" i="5"/>
  <c r="C468" i="12"/>
  <c r="O468" i="12"/>
  <c r="M468" i="12"/>
  <c r="AO468" i="12"/>
  <c r="C116" i="6"/>
  <c r="O116" i="5"/>
  <c r="AO725" i="12"/>
  <c r="O725" i="12"/>
  <c r="C725" i="12"/>
  <c r="M725" i="12"/>
  <c r="C283" i="6"/>
  <c r="AB386" i="5"/>
  <c r="AB406" i="5"/>
  <c r="AB567" i="5"/>
  <c r="M645" i="12"/>
  <c r="M644" i="12" s="1"/>
  <c r="O645" i="12"/>
  <c r="C645" i="12"/>
  <c r="AO645" i="12"/>
  <c r="AB298" i="5"/>
  <c r="AB705" i="5"/>
  <c r="AO385" i="12"/>
  <c r="C385" i="12"/>
  <c r="M385" i="12"/>
  <c r="O385" i="12"/>
  <c r="O704" i="12"/>
  <c r="M704" i="12"/>
  <c r="AO704" i="12"/>
  <c r="C704" i="12"/>
  <c r="C673" i="12"/>
  <c r="AO673" i="12"/>
  <c r="M673" i="12"/>
  <c r="O673" i="12"/>
  <c r="AB399" i="5"/>
  <c r="AO428" i="12"/>
  <c r="O428" i="12"/>
  <c r="M428" i="12"/>
  <c r="C428" i="12"/>
  <c r="M677" i="12"/>
  <c r="O677" i="12"/>
  <c r="AO677" i="12"/>
  <c r="C677" i="12"/>
  <c r="AB61" i="5"/>
  <c r="C98" i="6"/>
  <c r="O98" i="5"/>
  <c r="M323" i="12"/>
  <c r="AO323" i="12"/>
  <c r="C323" i="12"/>
  <c r="O323" i="12"/>
  <c r="M541" i="12"/>
  <c r="AO541" i="12"/>
  <c r="O541" i="12"/>
  <c r="C541" i="12"/>
  <c r="AB269" i="5"/>
  <c r="C419" i="6"/>
  <c r="AB555" i="5"/>
  <c r="M376" i="12"/>
  <c r="O376" i="12"/>
  <c r="AO376" i="12"/>
  <c r="C376" i="12"/>
  <c r="C651" i="6"/>
  <c r="C388" i="6"/>
  <c r="O388" i="5"/>
  <c r="C496" i="12"/>
  <c r="O496" i="12"/>
  <c r="AO496" i="12"/>
  <c r="M496" i="12"/>
  <c r="C282" i="6"/>
  <c r="C75" i="6"/>
  <c r="O75" i="5"/>
  <c r="AO303" i="12"/>
  <c r="C303" i="12"/>
  <c r="O303" i="12"/>
  <c r="M303" i="12"/>
  <c r="AB435" i="5"/>
  <c r="O537" i="5"/>
  <c r="C537" i="6"/>
  <c r="C458" i="6"/>
  <c r="C636" i="6"/>
  <c r="AB284" i="5"/>
  <c r="O679" i="12"/>
  <c r="C679" i="12"/>
  <c r="M679" i="12"/>
  <c r="AO679" i="12"/>
  <c r="AB319" i="5"/>
  <c r="C409" i="12"/>
  <c r="M409" i="12"/>
  <c r="AO409" i="12"/>
  <c r="O409" i="12"/>
  <c r="O373" i="12"/>
  <c r="M373" i="12"/>
  <c r="C373" i="12"/>
  <c r="AO373" i="12"/>
  <c r="AB647" i="5"/>
  <c r="M112" i="12"/>
  <c r="AO112" i="12"/>
  <c r="C112" i="12"/>
  <c r="O112" i="12"/>
  <c r="C328" i="6"/>
  <c r="M118" i="12"/>
  <c r="O118" i="12"/>
  <c r="C118" i="12"/>
  <c r="AO118" i="12"/>
  <c r="O394" i="5"/>
  <c r="C394" i="6"/>
  <c r="AO67" i="12"/>
  <c r="C67" i="12"/>
  <c r="M67" i="12"/>
  <c r="O67" i="12"/>
  <c r="C527" i="12"/>
  <c r="AO527" i="12"/>
  <c r="M527" i="12"/>
  <c r="O527" i="12"/>
  <c r="C268" i="6"/>
  <c r="O268" i="5"/>
  <c r="AB197" i="5"/>
  <c r="AB364" i="5"/>
  <c r="AO650" i="12"/>
  <c r="M650" i="12"/>
  <c r="O650" i="12"/>
  <c r="C650" i="12"/>
  <c r="AO556" i="12"/>
  <c r="M556" i="12"/>
  <c r="C556" i="12"/>
  <c r="O556" i="12"/>
  <c r="O534" i="5"/>
  <c r="C534" i="6"/>
  <c r="AO359" i="12"/>
  <c r="M359" i="12"/>
  <c r="O359" i="12"/>
  <c r="C359" i="12"/>
  <c r="AB619" i="5"/>
  <c r="AO115" i="12"/>
  <c r="C115" i="12"/>
  <c r="O115" i="12"/>
  <c r="M115" i="12"/>
  <c r="O368" i="12"/>
  <c r="C368" i="12"/>
  <c r="M368" i="12"/>
  <c r="AO368" i="12"/>
  <c r="C296" i="6"/>
  <c r="AB49" i="5"/>
  <c r="O92" i="12"/>
  <c r="C92" i="12"/>
  <c r="M92" i="12"/>
  <c r="AO92" i="12"/>
  <c r="AB553" i="5"/>
  <c r="O727" i="5"/>
  <c r="C727" i="6"/>
  <c r="AO724" i="12"/>
  <c r="M724" i="12"/>
  <c r="O724" i="12"/>
  <c r="C724" i="12"/>
  <c r="C423" i="6"/>
  <c r="AB365" i="5"/>
  <c r="AB436" i="5"/>
  <c r="AB336" i="5"/>
  <c r="O716" i="5"/>
  <c r="C716" i="6"/>
  <c r="AO469" i="12"/>
  <c r="C469" i="12"/>
  <c r="M469" i="12"/>
  <c r="O469" i="12"/>
  <c r="AB378" i="5"/>
  <c r="O543" i="5"/>
  <c r="C543" i="6"/>
  <c r="AB478" i="5"/>
  <c r="AO720" i="12"/>
  <c r="C720" i="12"/>
  <c r="O720" i="12"/>
  <c r="M720" i="12"/>
  <c r="AO698" i="12"/>
  <c r="Y698" i="12" s="1"/>
  <c r="C698" i="12"/>
  <c r="O698" i="12"/>
  <c r="M698" i="12"/>
  <c r="C111" i="6"/>
  <c r="O111" i="5"/>
  <c r="AO505" i="12"/>
  <c r="O505" i="12"/>
  <c r="M505" i="12"/>
  <c r="C505" i="12"/>
  <c r="C495" i="6"/>
  <c r="C362" i="6"/>
  <c r="C193" i="12"/>
  <c r="O193" i="12"/>
  <c r="M193" i="12"/>
  <c r="AO193" i="12"/>
  <c r="AO272" i="12"/>
  <c r="C272" i="12"/>
  <c r="M272" i="12"/>
  <c r="O272" i="12"/>
  <c r="M519" i="12"/>
  <c r="O519" i="12"/>
  <c r="AO519" i="12"/>
  <c r="C519" i="12"/>
  <c r="AB79" i="5"/>
  <c r="C330" i="6"/>
  <c r="C606" i="12"/>
  <c r="M606" i="12"/>
  <c r="AO606" i="12"/>
  <c r="O606" i="12"/>
  <c r="AB279" i="5"/>
  <c r="O253" i="5"/>
  <c r="C253" i="6"/>
  <c r="AB710" i="5"/>
  <c r="AB180" i="5"/>
  <c r="O452" i="5"/>
  <c r="C452" i="6"/>
  <c r="AB43" i="5"/>
  <c r="W164" i="5"/>
  <c r="AN164" i="5"/>
  <c r="W185" i="5"/>
  <c r="AN185" i="5"/>
  <c r="AN416" i="5"/>
  <c r="W416" i="5"/>
  <c r="W602" i="5"/>
  <c r="AN602" i="5"/>
  <c r="W205" i="5"/>
  <c r="AN205" i="5"/>
  <c r="W417" i="5"/>
  <c r="AN417" i="5"/>
  <c r="W684" i="5"/>
  <c r="AN684" i="5"/>
  <c r="AN476" i="5"/>
  <c r="W476" i="5"/>
  <c r="W259" i="5"/>
  <c r="AN259" i="5"/>
  <c r="W200" i="5"/>
  <c r="AN200" i="5"/>
  <c r="W465" i="5"/>
  <c r="AN465" i="5"/>
  <c r="W167" i="5"/>
  <c r="AN167" i="5"/>
  <c r="AN728" i="5"/>
  <c r="W728" i="5"/>
  <c r="W171" i="5"/>
  <c r="AN171" i="5"/>
  <c r="W396" i="5"/>
  <c r="AN396" i="5"/>
  <c r="W187" i="5"/>
  <c r="AN187" i="5"/>
  <c r="AN25" i="5"/>
  <c r="W25" i="5"/>
  <c r="AN594" i="5"/>
  <c r="W594" i="5"/>
  <c r="W339" i="5"/>
  <c r="AN339" i="5"/>
  <c r="AN678" i="5"/>
  <c r="W678" i="5"/>
  <c r="O72" i="5"/>
  <c r="C72" i="6"/>
  <c r="C383" i="12"/>
  <c r="O383" i="12"/>
  <c r="AO383" i="12"/>
  <c r="M383" i="12"/>
  <c r="M286" i="12"/>
  <c r="C286" i="12"/>
  <c r="AO286" i="12"/>
  <c r="O286" i="12"/>
  <c r="O295" i="12"/>
  <c r="M295" i="12"/>
  <c r="AO295" i="12"/>
  <c r="C295" i="12"/>
  <c r="C545" i="6"/>
  <c r="W470" i="5"/>
  <c r="AN470" i="5"/>
  <c r="C97" i="6"/>
  <c r="O97" i="5"/>
  <c r="O523" i="5"/>
  <c r="C523" i="6"/>
  <c r="O557" i="5"/>
  <c r="C557" i="6"/>
  <c r="C438" i="6"/>
  <c r="O438" i="5"/>
  <c r="O529" i="5"/>
  <c r="C529" i="6"/>
  <c r="C719" i="6"/>
  <c r="O719" i="5"/>
  <c r="O434" i="12"/>
  <c r="M434" i="12"/>
  <c r="C434" i="12"/>
  <c r="AO434" i="12"/>
  <c r="C216" i="12"/>
  <c r="M216" i="12"/>
  <c r="O216" i="12"/>
  <c r="AO216" i="12"/>
  <c r="C468" i="6"/>
  <c r="C571" i="12"/>
  <c r="AO571" i="12"/>
  <c r="O571" i="12"/>
  <c r="M571" i="12"/>
  <c r="M732" i="12"/>
  <c r="M731" i="12" s="1"/>
  <c r="C732" i="12"/>
  <c r="O732" i="12"/>
  <c r="AO732" i="12"/>
  <c r="AB725" i="5"/>
  <c r="AB72" i="5"/>
  <c r="AB22" i="5"/>
  <c r="AB283" i="5"/>
  <c r="AB242" i="5"/>
  <c r="M91" i="12"/>
  <c r="O91" i="12"/>
  <c r="C91" i="12"/>
  <c r="AO91" i="12"/>
  <c r="AO386" i="12"/>
  <c r="M386" i="12"/>
  <c r="C386" i="12"/>
  <c r="O386" i="12"/>
  <c r="O406" i="12"/>
  <c r="C406" i="12"/>
  <c r="AO406" i="12"/>
  <c r="M406" i="12"/>
  <c r="C404" i="12"/>
  <c r="M404" i="12"/>
  <c r="AO404" i="12"/>
  <c r="O404" i="12"/>
  <c r="O548" i="12"/>
  <c r="AO548" i="12"/>
  <c r="C548" i="12"/>
  <c r="M548" i="12"/>
  <c r="C298" i="6"/>
  <c r="O550" i="12"/>
  <c r="AO550" i="12"/>
  <c r="C550" i="12"/>
  <c r="M550" i="12"/>
  <c r="C385" i="6"/>
  <c r="O385" i="5"/>
  <c r="AB704" i="5"/>
  <c r="O243" i="5"/>
  <c r="C243" i="6"/>
  <c r="C399" i="6"/>
  <c r="AB428" i="5"/>
  <c r="C69" i="6"/>
  <c r="O69" i="5"/>
  <c r="C688" i="12"/>
  <c r="O688" i="12"/>
  <c r="AO688" i="12"/>
  <c r="M688" i="12"/>
  <c r="C61" i="6"/>
  <c r="O61" i="5"/>
  <c r="C29" i="6"/>
  <c r="O29" i="5"/>
  <c r="C98" i="12"/>
  <c r="O98" i="12"/>
  <c r="AO98" i="12"/>
  <c r="M98" i="12"/>
  <c r="AB323" i="5"/>
  <c r="AB541" i="5"/>
  <c r="M269" i="12"/>
  <c r="C269" i="12"/>
  <c r="AO269" i="12"/>
  <c r="O269" i="12"/>
  <c r="C419" i="12"/>
  <c r="O419" i="12"/>
  <c r="M419" i="12"/>
  <c r="AO419" i="12"/>
  <c r="O110" i="5"/>
  <c r="C110" i="6"/>
  <c r="M555" i="12"/>
  <c r="AO555" i="12"/>
  <c r="O555" i="12"/>
  <c r="C555" i="12"/>
  <c r="C509" i="6"/>
  <c r="AB235" i="5"/>
  <c r="AB75" i="5"/>
  <c r="O20" i="12"/>
  <c r="C20" i="12"/>
  <c r="AO20" i="12"/>
  <c r="M20" i="12"/>
  <c r="C295" i="6"/>
  <c r="O451" i="5"/>
  <c r="C451" i="6"/>
  <c r="AB537" i="5"/>
  <c r="AO636" i="12"/>
  <c r="M636" i="12"/>
  <c r="C636" i="12"/>
  <c r="O636" i="12"/>
  <c r="C284" i="6"/>
  <c r="O319" i="12"/>
  <c r="C319" i="12"/>
  <c r="M319" i="12"/>
  <c r="AO319" i="12"/>
  <c r="AB409" i="5"/>
  <c r="O333" i="12"/>
  <c r="AO333" i="12"/>
  <c r="C333" i="12"/>
  <c r="M333" i="12"/>
  <c r="AB276" i="5"/>
  <c r="O112" i="5"/>
  <c r="C112" i="6"/>
  <c r="AO400" i="12"/>
  <c r="O400" i="12"/>
  <c r="C400" i="12"/>
  <c r="M400" i="12"/>
  <c r="AB328" i="5"/>
  <c r="C321" i="6"/>
  <c r="O321" i="5"/>
  <c r="C118" i="6"/>
  <c r="O118" i="5"/>
  <c r="AO394" i="12"/>
  <c r="C394" i="12"/>
  <c r="M394" i="12"/>
  <c r="O394" i="12"/>
  <c r="AB62" i="5"/>
  <c r="AB67" i="5"/>
  <c r="AB342" i="5"/>
  <c r="M197" i="12"/>
  <c r="O197" i="12"/>
  <c r="AO197" i="12"/>
  <c r="C197" i="12"/>
  <c r="C650" i="6"/>
  <c r="AB556" i="5"/>
  <c r="AO350" i="12"/>
  <c r="Y350" i="12" s="1"/>
  <c r="M350" i="12"/>
  <c r="C350" i="12"/>
  <c r="O350" i="12"/>
  <c r="C363" i="6"/>
  <c r="AB132" i="5"/>
  <c r="AB57" i="5"/>
  <c r="C637" i="6"/>
  <c r="C359" i="6"/>
  <c r="AB113" i="5"/>
  <c r="M296" i="12"/>
  <c r="C296" i="12"/>
  <c r="O296" i="12"/>
  <c r="AO296" i="12"/>
  <c r="C49" i="6"/>
  <c r="O49" i="5"/>
  <c r="AO117" i="12"/>
  <c r="M117" i="12"/>
  <c r="C117" i="12"/>
  <c r="O117" i="12"/>
  <c r="C361" i="6"/>
  <c r="M210" i="12"/>
  <c r="AO210" i="12"/>
  <c r="C210" i="12"/>
  <c r="O210" i="12"/>
  <c r="C662" i="6"/>
  <c r="O662" i="5"/>
  <c r="AB289" i="5"/>
  <c r="C727" i="12"/>
  <c r="O727" i="12"/>
  <c r="M727" i="12"/>
  <c r="AO727" i="12"/>
  <c r="O724" i="5"/>
  <c r="C724" i="6"/>
  <c r="AB423" i="5"/>
  <c r="M436" i="12"/>
  <c r="AO436" i="12"/>
  <c r="O436" i="12"/>
  <c r="C436" i="12"/>
  <c r="AO716" i="12"/>
  <c r="C716" i="12"/>
  <c r="O716" i="12"/>
  <c r="M716" i="12"/>
  <c r="C469" i="6"/>
  <c r="C378" i="6"/>
  <c r="O378" i="5"/>
  <c r="C102" i="6"/>
  <c r="M398" i="12"/>
  <c r="O398" i="12"/>
  <c r="C398" i="12"/>
  <c r="AO398" i="12"/>
  <c r="C592" i="12"/>
  <c r="M592" i="12"/>
  <c r="O592" i="12"/>
  <c r="AO592" i="12"/>
  <c r="C42" i="12"/>
  <c r="AO42" i="12"/>
  <c r="O42" i="12"/>
  <c r="M42" i="12"/>
  <c r="AB111" i="5"/>
  <c r="O439" i="12"/>
  <c r="N439" i="12" s="1"/>
  <c r="AO439" i="12"/>
  <c r="C439" i="12"/>
  <c r="M439" i="12"/>
  <c r="M239" i="12"/>
  <c r="AO239" i="12"/>
  <c r="O239" i="12"/>
  <c r="C239" i="12"/>
  <c r="AB324" i="5"/>
  <c r="AB274" i="5"/>
  <c r="AB193" i="5"/>
  <c r="Z518" i="5"/>
  <c r="AM518" i="5"/>
  <c r="L518" i="5"/>
  <c r="I518" i="12"/>
  <c r="AC518" i="5"/>
  <c r="M120" i="12"/>
  <c r="C120" i="12"/>
  <c r="AO120" i="12"/>
  <c r="O120" i="12"/>
  <c r="C79" i="12"/>
  <c r="O79" i="12"/>
  <c r="M79" i="12"/>
  <c r="AO79" i="12"/>
  <c r="C658" i="6"/>
  <c r="O658" i="5"/>
  <c r="AB281" i="5"/>
  <c r="O330" i="12"/>
  <c r="AO330" i="12"/>
  <c r="M330" i="12"/>
  <c r="C330" i="12"/>
  <c r="O710" i="5"/>
  <c r="C710" i="6"/>
  <c r="M180" i="12"/>
  <c r="C180" i="12"/>
  <c r="O180" i="12"/>
  <c r="AO180" i="12"/>
  <c r="C293" i="6"/>
  <c r="AN600" i="5"/>
  <c r="W600" i="5"/>
  <c r="AN668" i="5"/>
  <c r="W668" i="5"/>
  <c r="W199" i="5"/>
  <c r="AN199" i="5"/>
  <c r="W201" i="5"/>
  <c r="AN201" i="5"/>
  <c r="W576" i="5"/>
  <c r="AN576" i="5"/>
  <c r="AN249" i="5"/>
  <c r="W249" i="5"/>
  <c r="AN234" i="5"/>
  <c r="W234" i="5"/>
  <c r="W562" i="5"/>
  <c r="AN562" i="5"/>
  <c r="AN186" i="5"/>
  <c r="W186" i="5"/>
  <c r="W573" i="5"/>
  <c r="AN573" i="5"/>
  <c r="W492" i="5"/>
  <c r="AN492" i="5"/>
  <c r="AN168" i="5"/>
  <c r="W168" i="5"/>
  <c r="AN85" i="5"/>
  <c r="W85" i="5"/>
  <c r="W627" i="5"/>
  <c r="AN627" i="5"/>
  <c r="AN245" i="5"/>
  <c r="W245" i="5"/>
  <c r="W178" i="5"/>
  <c r="AN178" i="5"/>
  <c r="W138" i="5"/>
  <c r="AN138" i="5"/>
  <c r="W155" i="5"/>
  <c r="AN155" i="5"/>
  <c r="AN221" i="5"/>
  <c r="W221" i="5"/>
  <c r="AN502" i="5"/>
  <c r="W502" i="5"/>
  <c r="C706" i="6"/>
  <c r="O706" i="5"/>
  <c r="M664" i="12"/>
  <c r="AO664" i="12"/>
  <c r="C664" i="12"/>
  <c r="O664" i="12"/>
  <c r="O132" i="5"/>
  <c r="C132" i="6"/>
  <c r="AO713" i="12"/>
  <c r="C713" i="12"/>
  <c r="O713" i="12"/>
  <c r="M713" i="12"/>
  <c r="AB392" i="5"/>
  <c r="AN746" i="5"/>
  <c r="W746" i="5"/>
  <c r="AB54" i="5"/>
  <c r="AB97" i="5"/>
  <c r="AB523" i="5"/>
  <c r="C715" i="6"/>
  <c r="O715" i="5"/>
  <c r="M438" i="12"/>
  <c r="C438" i="12"/>
  <c r="O438" i="12"/>
  <c r="AO438" i="12"/>
  <c r="M529" i="12"/>
  <c r="O529" i="12"/>
  <c r="AO529" i="12"/>
  <c r="C529" i="12"/>
  <c r="O540" i="5"/>
  <c r="C540" i="6"/>
  <c r="O648" i="5"/>
  <c r="C648" i="6"/>
  <c r="AO441" i="12"/>
  <c r="O441" i="12"/>
  <c r="C441" i="12"/>
  <c r="M441" i="12"/>
  <c r="C216" i="6"/>
  <c r="O216" i="5"/>
  <c r="O196" i="5"/>
  <c r="C196" i="6"/>
  <c r="AB571" i="5"/>
  <c r="AM731" i="5"/>
  <c r="L731" i="5"/>
  <c r="Z731" i="5"/>
  <c r="I731" i="12"/>
  <c r="AC731" i="5"/>
  <c r="O725" i="5"/>
  <c r="C725" i="6"/>
  <c r="AB699" i="5"/>
  <c r="O287" i="12"/>
  <c r="C287" i="12"/>
  <c r="M287" i="12"/>
  <c r="AO287" i="12"/>
  <c r="O22" i="12"/>
  <c r="AO22" i="12"/>
  <c r="C22" i="12"/>
  <c r="M22" i="12"/>
  <c r="AB418" i="5"/>
  <c r="C182" i="6"/>
  <c r="AB404" i="5"/>
  <c r="C548" i="6"/>
  <c r="M298" i="12"/>
  <c r="AO298" i="12"/>
  <c r="C298" i="12"/>
  <c r="O298" i="12"/>
  <c r="AB80" i="5"/>
  <c r="AB673" i="5"/>
  <c r="L60" i="5"/>
  <c r="AM60" i="5"/>
  <c r="Z60" i="5"/>
  <c r="I60" i="12"/>
  <c r="AC60" i="5"/>
  <c r="AB29" i="5"/>
  <c r="O323" i="5"/>
  <c r="C323" i="6"/>
  <c r="AB94" i="5"/>
  <c r="C286" i="6"/>
  <c r="C269" i="6"/>
  <c r="O269" i="5"/>
  <c r="O555" i="5"/>
  <c r="C555" i="6"/>
  <c r="AB376" i="5"/>
  <c r="O651" i="12"/>
  <c r="C651" i="12"/>
  <c r="M651" i="12"/>
  <c r="AO651" i="12"/>
  <c r="C179" i="6"/>
  <c r="M536" i="12"/>
  <c r="AO536" i="12"/>
  <c r="C536" i="12"/>
  <c r="O536" i="12"/>
  <c r="O714" i="12"/>
  <c r="M714" i="12"/>
  <c r="AO714" i="12"/>
  <c r="C714" i="12"/>
  <c r="C509" i="12"/>
  <c r="M509" i="12"/>
  <c r="AO509" i="12"/>
  <c r="O509" i="12"/>
  <c r="C235" i="12"/>
  <c r="AO235" i="12"/>
  <c r="M235" i="12"/>
  <c r="O235" i="12"/>
  <c r="AB20" i="5"/>
  <c r="AB295" i="5"/>
  <c r="AB303" i="5"/>
  <c r="AB588" i="5"/>
  <c r="M537" i="12"/>
  <c r="AO537" i="12"/>
  <c r="O537" i="12"/>
  <c r="C537" i="12"/>
  <c r="O533" i="5"/>
  <c r="C533" i="6"/>
  <c r="AB711" i="5"/>
  <c r="AB333" i="5"/>
  <c r="C276" i="6"/>
  <c r="AB400" i="5"/>
  <c r="AB63" i="5"/>
  <c r="M693" i="12"/>
  <c r="C693" i="12"/>
  <c r="AO693" i="12"/>
  <c r="O693" i="12"/>
  <c r="O680" i="12"/>
  <c r="C680" i="12"/>
  <c r="M680" i="12"/>
  <c r="AO680" i="12"/>
  <c r="O604" i="12"/>
  <c r="M604" i="12"/>
  <c r="AO604" i="12"/>
  <c r="C604" i="12"/>
  <c r="C342" i="6"/>
  <c r="O342" i="5"/>
  <c r="C527" i="6"/>
  <c r="O527" i="5"/>
  <c r="AB268" i="5"/>
  <c r="AB352" i="5"/>
  <c r="C556" i="6"/>
  <c r="O556" i="5"/>
  <c r="AB225" i="5"/>
  <c r="AB461" i="5"/>
  <c r="O350" i="5"/>
  <c r="C350" i="6"/>
  <c r="C363" i="12"/>
  <c r="O363" i="12"/>
  <c r="M363" i="12"/>
  <c r="AO363" i="12"/>
  <c r="O132" i="12"/>
  <c r="C132" i="12"/>
  <c r="M132" i="12"/>
  <c r="AO132" i="12"/>
  <c r="C57" i="12"/>
  <c r="O57" i="12"/>
  <c r="AO57" i="12"/>
  <c r="M57" i="12"/>
  <c r="AB637" i="5"/>
  <c r="AB359" i="5"/>
  <c r="AB360" i="5"/>
  <c r="L114" i="5"/>
  <c r="I114" i="12"/>
  <c r="AM114" i="5"/>
  <c r="Z114" i="5"/>
  <c r="AC114" i="5"/>
  <c r="AB368" i="5"/>
  <c r="C113" i="12"/>
  <c r="M113" i="12"/>
  <c r="O113" i="12"/>
  <c r="AO113" i="12"/>
  <c r="O117" i="5"/>
  <c r="C117" i="6"/>
  <c r="C497" i="6"/>
  <c r="O210" i="5"/>
  <c r="C210" i="6"/>
  <c r="AB727" i="5"/>
  <c r="AB724" i="5"/>
  <c r="O423" i="12"/>
  <c r="AO423" i="12"/>
  <c r="M423" i="12"/>
  <c r="C423" i="12"/>
  <c r="C365" i="6"/>
  <c r="O336" i="5"/>
  <c r="C336" i="6"/>
  <c r="AB469" i="5"/>
  <c r="AB398" i="5"/>
  <c r="AB349" i="5"/>
  <c r="AB592" i="5"/>
  <c r="C478" i="6"/>
  <c r="C545" i="12"/>
  <c r="O545" i="12"/>
  <c r="AO545" i="12"/>
  <c r="M545" i="12"/>
  <c r="C450" i="12"/>
  <c r="O450" i="12"/>
  <c r="M450" i="12"/>
  <c r="AO450" i="12"/>
  <c r="O670" i="12"/>
  <c r="M670" i="12"/>
  <c r="C670" i="12"/>
  <c r="AO670" i="12"/>
  <c r="O42" i="5"/>
  <c r="C42" i="6"/>
  <c r="AB698" i="5"/>
  <c r="AM207" i="5"/>
  <c r="Z207" i="5"/>
  <c r="I207" i="12"/>
  <c r="L207" i="5"/>
  <c r="AC207" i="5"/>
  <c r="O68" i="5"/>
  <c r="C68" i="6"/>
  <c r="AB439" i="5"/>
  <c r="O239" i="5"/>
  <c r="C239" i="6"/>
  <c r="C274" i="6"/>
  <c r="AB39" i="5"/>
  <c r="C481" i="6"/>
  <c r="AB658" i="5"/>
  <c r="M281" i="12"/>
  <c r="AO281" i="12"/>
  <c r="C281" i="12"/>
  <c r="O281" i="12"/>
  <c r="AB228" i="5"/>
  <c r="C606" i="6"/>
  <c r="O606" i="5"/>
  <c r="C279" i="6"/>
  <c r="M357" i="12"/>
  <c r="O357" i="12"/>
  <c r="C357" i="12"/>
  <c r="AO357" i="12"/>
  <c r="AM700" i="5"/>
  <c r="L700" i="5"/>
  <c r="Z700" i="5"/>
  <c r="AC700" i="5"/>
  <c r="I700" i="12"/>
  <c r="M671" i="12"/>
  <c r="AO671" i="12"/>
  <c r="O671" i="12"/>
  <c r="C671" i="12"/>
  <c r="AN326" i="5"/>
  <c r="W326" i="5"/>
  <c r="AN510" i="5"/>
  <c r="W510" i="5"/>
  <c r="W611" i="5"/>
  <c r="AN611" i="5"/>
  <c r="W735" i="5"/>
  <c r="AN735" i="5"/>
  <c r="AN260" i="5"/>
  <c r="W260" i="5"/>
  <c r="W598" i="5"/>
  <c r="AN598" i="5"/>
  <c r="W649" i="5"/>
  <c r="AN649" i="5"/>
  <c r="AN614" i="5"/>
  <c r="W614" i="5"/>
  <c r="AN280" i="5"/>
  <c r="W280" i="5"/>
  <c r="AN622" i="5"/>
  <c r="W622" i="5"/>
  <c r="W607" i="5"/>
  <c r="AN607" i="5"/>
  <c r="AN667" i="5"/>
  <c r="W667" i="5"/>
  <c r="AN513" i="5"/>
  <c r="W513" i="5"/>
  <c r="W232" i="5"/>
  <c r="AN232" i="5"/>
  <c r="W445" i="5"/>
  <c r="AN445" i="5"/>
  <c r="W745" i="5"/>
  <c r="AN745" i="5"/>
  <c r="W148" i="5"/>
  <c r="AN148" i="5"/>
  <c r="W402" i="5"/>
  <c r="AN402" i="5"/>
  <c r="W425" i="5"/>
  <c r="AN425" i="5"/>
  <c r="W621" i="5"/>
  <c r="AN621" i="5"/>
  <c r="AB731" i="5" l="1"/>
  <c r="AB375" i="5"/>
  <c r="AB251" i="5"/>
  <c r="Y399" i="12"/>
  <c r="Y135" i="12"/>
  <c r="N677" i="12"/>
  <c r="Y565" i="12"/>
  <c r="W565" i="12" s="1"/>
  <c r="N81" i="12"/>
  <c r="N407" i="12"/>
  <c r="Y601" i="12"/>
  <c r="X601" i="12" s="1"/>
  <c r="N442" i="12"/>
  <c r="Y477" i="12"/>
  <c r="N291" i="12"/>
  <c r="Y225" i="12"/>
  <c r="W225" i="12" s="1"/>
  <c r="Y658" i="12"/>
  <c r="X658" i="12" s="1"/>
  <c r="Y586" i="12"/>
  <c r="N638" i="12"/>
  <c r="Y680" i="12"/>
  <c r="W680" i="12" s="1"/>
  <c r="Y394" i="12"/>
  <c r="W394" i="12" s="1"/>
  <c r="N635" i="12"/>
  <c r="N507" i="12"/>
  <c r="Y55" i="12"/>
  <c r="W55" i="12" s="1"/>
  <c r="Y522" i="12"/>
  <c r="X522" i="12" s="1"/>
  <c r="N90" i="12"/>
  <c r="N663" i="12"/>
  <c r="Y420" i="12"/>
  <c r="W420" i="12" s="1"/>
  <c r="N662" i="12"/>
  <c r="Y566" i="12"/>
  <c r="W566" i="12" s="1"/>
  <c r="Y475" i="12"/>
  <c r="N296" i="12"/>
  <c r="N409" i="12"/>
  <c r="Y479" i="12"/>
  <c r="N393" i="12"/>
  <c r="Y43" i="12"/>
  <c r="W43" i="12" s="1"/>
  <c r="Y447" i="12"/>
  <c r="X447" i="12" s="1"/>
  <c r="Y116" i="12"/>
  <c r="N675" i="12"/>
  <c r="N360" i="12"/>
  <c r="Y591" i="12"/>
  <c r="X591" i="12" s="1"/>
  <c r="N495" i="12"/>
  <c r="N333" i="12"/>
  <c r="N300" i="12"/>
  <c r="N515" i="12"/>
  <c r="Y557" i="12"/>
  <c r="N73" i="12"/>
  <c r="N210" i="12"/>
  <c r="N50" i="12"/>
  <c r="N53" i="12"/>
  <c r="N541" i="12"/>
  <c r="Y297" i="12"/>
  <c r="X297" i="12" s="1"/>
  <c r="N271" i="12"/>
  <c r="N51" i="12"/>
  <c r="Y403" i="12"/>
  <c r="N278" i="12"/>
  <c r="Y538" i="12"/>
  <c r="W538" i="12" s="1"/>
  <c r="Y720" i="12"/>
  <c r="Y112" i="12"/>
  <c r="N343" i="12"/>
  <c r="N89" i="12"/>
  <c r="N92" i="12"/>
  <c r="Y303" i="12"/>
  <c r="Y323" i="12"/>
  <c r="W323" i="12" s="1"/>
  <c r="N365" i="12"/>
  <c r="Y215" i="12"/>
  <c r="X215" i="12" s="1"/>
  <c r="Y67" i="12"/>
  <c r="Y377" i="12"/>
  <c r="X377" i="12" s="1"/>
  <c r="N82" i="12"/>
  <c r="N437" i="12"/>
  <c r="N211" i="12"/>
  <c r="Y547" i="12"/>
  <c r="W547" i="12" s="1"/>
  <c r="Y436" i="12"/>
  <c r="X436" i="12" s="1"/>
  <c r="N253" i="12"/>
  <c r="N274" i="12"/>
  <c r="Y103" i="12"/>
  <c r="W103" i="12" s="1"/>
  <c r="N22" i="12"/>
  <c r="N193" i="12"/>
  <c r="Y395" i="12"/>
  <c r="Y616" i="12"/>
  <c r="N356" i="12"/>
  <c r="Y34" i="12"/>
  <c r="Y411" i="12"/>
  <c r="X411" i="12" s="1"/>
  <c r="N381" i="12"/>
  <c r="Y42" i="12"/>
  <c r="X42" i="12" s="1"/>
  <c r="N414" i="12"/>
  <c r="Y102" i="12"/>
  <c r="N403" i="12"/>
  <c r="N688" i="12"/>
  <c r="N418" i="12"/>
  <c r="Y707" i="12"/>
  <c r="Y454" i="12"/>
  <c r="Y80" i="12"/>
  <c r="W80" i="12" s="1"/>
  <c r="Y378" i="12"/>
  <c r="N459" i="12"/>
  <c r="N354" i="12"/>
  <c r="Y281" i="12"/>
  <c r="X281" i="12" s="1"/>
  <c r="Y459" i="12"/>
  <c r="N401" i="12"/>
  <c r="Y438" i="12"/>
  <c r="W438" i="12" s="1"/>
  <c r="N423" i="12"/>
  <c r="N270" i="12"/>
  <c r="Y429" i="12"/>
  <c r="W429" i="12" s="1"/>
  <c r="Y45" i="12"/>
  <c r="W45" i="12" s="1"/>
  <c r="N525" i="12"/>
  <c r="N325" i="12"/>
  <c r="Y537" i="12"/>
  <c r="X537" i="12" s="1"/>
  <c r="Y550" i="12"/>
  <c r="W550" i="12" s="1"/>
  <c r="N272" i="12"/>
  <c r="N69" i="12"/>
  <c r="N461" i="12"/>
  <c r="N546" i="12"/>
  <c r="Y498" i="12"/>
  <c r="W498" i="12" s="1"/>
  <c r="Y437" i="12"/>
  <c r="X437" i="12" s="1"/>
  <c r="N713" i="12"/>
  <c r="Y390" i="12"/>
  <c r="W390" i="12" s="1"/>
  <c r="N327" i="12"/>
  <c r="N293" i="12"/>
  <c r="N352" i="12"/>
  <c r="Y47" i="12"/>
  <c r="X47" i="12" s="1"/>
  <c r="N285" i="12"/>
  <c r="N275" i="12"/>
  <c r="N658" i="12"/>
  <c r="N398" i="12"/>
  <c r="N705" i="12"/>
  <c r="Y542" i="12"/>
  <c r="X542" i="12" s="1"/>
  <c r="Y218" i="12"/>
  <c r="W218" i="12" s="1"/>
  <c r="Y90" i="12"/>
  <c r="X90" i="12" s="1"/>
  <c r="M251" i="12"/>
  <c r="N292" i="12"/>
  <c r="N183" i="12"/>
  <c r="Y590" i="12"/>
  <c r="X590" i="12" s="1"/>
  <c r="Y497" i="12"/>
  <c r="W497" i="12" s="1"/>
  <c r="Y624" i="12"/>
  <c r="N565" i="12"/>
  <c r="N715" i="12"/>
  <c r="N559" i="12"/>
  <c r="N243" i="12"/>
  <c r="Y217" i="12"/>
  <c r="X217" i="12" s="1"/>
  <c r="Y383" i="12"/>
  <c r="X383" i="12" s="1"/>
  <c r="Y97" i="12"/>
  <c r="W97" i="12" s="1"/>
  <c r="Y209" i="12"/>
  <c r="N62" i="12"/>
  <c r="N358" i="12"/>
  <c r="Y327" i="12"/>
  <c r="X327" i="12" s="1"/>
  <c r="Y121" i="12"/>
  <c r="N346" i="12"/>
  <c r="N570" i="12"/>
  <c r="N549" i="12"/>
  <c r="Y690" i="12"/>
  <c r="W690" i="12" s="1"/>
  <c r="Y347" i="12"/>
  <c r="W347" i="12" s="1"/>
  <c r="Y62" i="12"/>
  <c r="N345" i="12"/>
  <c r="Y558" i="12"/>
  <c r="Y711" i="12"/>
  <c r="W711" i="12" s="1"/>
  <c r="N699" i="12"/>
  <c r="Y54" i="12"/>
  <c r="W54" i="12" s="1"/>
  <c r="N239" i="12"/>
  <c r="Y313" i="12"/>
  <c r="W313" i="12" s="1"/>
  <c r="N656" i="12"/>
  <c r="N711" i="12"/>
  <c r="N357" i="12"/>
  <c r="Y545" i="12"/>
  <c r="X545" i="12" s="1"/>
  <c r="Y441" i="12"/>
  <c r="W441" i="12" s="1"/>
  <c r="N330" i="12"/>
  <c r="Y716" i="12"/>
  <c r="W716" i="12" s="1"/>
  <c r="N98" i="12"/>
  <c r="N295" i="12"/>
  <c r="Y359" i="12"/>
  <c r="X359" i="12" s="1"/>
  <c r="N387" i="12"/>
  <c r="Y111" i="12"/>
  <c r="W111" i="12" s="1"/>
  <c r="N46" i="12"/>
  <c r="N56" i="12"/>
  <c r="Y514" i="12"/>
  <c r="W514" i="12" s="1"/>
  <c r="N20" i="12"/>
  <c r="N419" i="12"/>
  <c r="N373" i="12"/>
  <c r="Y523" i="12"/>
  <c r="Y458" i="12"/>
  <c r="X458" i="12" s="1"/>
  <c r="Y308" i="12"/>
  <c r="W308" i="12" s="1"/>
  <c r="Y659" i="12"/>
  <c r="X659" i="12" s="1"/>
  <c r="N301" i="12"/>
  <c r="N277" i="12"/>
  <c r="N39" i="12"/>
  <c r="N179" i="12"/>
  <c r="Y625" i="12"/>
  <c r="W625" i="12" s="1"/>
  <c r="Y310" i="12"/>
  <c r="W310" i="12" s="1"/>
  <c r="N304" i="12"/>
  <c r="Y349" i="12"/>
  <c r="X349" i="12" s="1"/>
  <c r="N97" i="12"/>
  <c r="Y527" i="12"/>
  <c r="X527" i="12" s="1"/>
  <c r="Y541" i="12"/>
  <c r="W541" i="12" s="1"/>
  <c r="N567" i="12"/>
  <c r="Y543" i="12"/>
  <c r="N601" i="12"/>
  <c r="M430" i="12"/>
  <c r="Y292" i="12"/>
  <c r="W292" i="12" s="1"/>
  <c r="N733" i="12"/>
  <c r="Y183" i="12"/>
  <c r="X183" i="12" s="1"/>
  <c r="N486" i="12"/>
  <c r="N312" i="12"/>
  <c r="N344" i="12"/>
  <c r="Y89" i="12"/>
  <c r="X89" i="12" s="1"/>
  <c r="Y63" i="12"/>
  <c r="X63" i="12" s="1"/>
  <c r="N509" i="12"/>
  <c r="Y298" i="12"/>
  <c r="W298" i="12" s="1"/>
  <c r="Y529" i="12"/>
  <c r="X529" i="12" s="1"/>
  <c r="Y636" i="12"/>
  <c r="W636" i="12" s="1"/>
  <c r="Y556" i="12"/>
  <c r="W556" i="12" s="1"/>
  <c r="N279" i="12"/>
  <c r="Y196" i="12"/>
  <c r="W196" i="12" s="1"/>
  <c r="N297" i="12"/>
  <c r="N534" i="12"/>
  <c r="N58" i="12"/>
  <c r="Y551" i="12"/>
  <c r="X551" i="12" s="1"/>
  <c r="N102" i="12"/>
  <c r="Y226" i="12"/>
  <c r="X226" i="12" s="1"/>
  <c r="N282" i="12"/>
  <c r="Y628" i="12"/>
  <c r="W628" i="12" s="1"/>
  <c r="Y564" i="12"/>
  <c r="W564" i="12" s="1"/>
  <c r="N411" i="12"/>
  <c r="N432" i="12"/>
  <c r="N189" i="12"/>
  <c r="N707" i="12"/>
  <c r="Y486" i="12"/>
  <c r="W486" i="12" s="1"/>
  <c r="Y304" i="12"/>
  <c r="X304" i="12" s="1"/>
  <c r="Y302" i="12"/>
  <c r="W302" i="12" s="1"/>
  <c r="N110" i="12"/>
  <c r="Y363" i="12"/>
  <c r="W363" i="12" s="1"/>
  <c r="N287" i="12"/>
  <c r="Y197" i="12"/>
  <c r="X197" i="12" s="1"/>
  <c r="N555" i="12"/>
  <c r="Y571" i="12"/>
  <c r="W571" i="12" s="1"/>
  <c r="N67" i="12"/>
  <c r="N385" i="12"/>
  <c r="Y51" i="12"/>
  <c r="W51" i="12" s="1"/>
  <c r="N309" i="12"/>
  <c r="Y122" i="12"/>
  <c r="N226" i="12"/>
  <c r="Y65" i="12"/>
  <c r="W65" i="12" s="1"/>
  <c r="N474" i="12"/>
  <c r="N524" i="12"/>
  <c r="Y381" i="12"/>
  <c r="X381" i="12" s="1"/>
  <c r="N462" i="12"/>
  <c r="N657" i="12"/>
  <c r="N591" i="12"/>
  <c r="Y706" i="12"/>
  <c r="X706" i="12" s="1"/>
  <c r="M334" i="12"/>
  <c r="N505" i="12"/>
  <c r="AB40" i="5"/>
  <c r="N33" i="12"/>
  <c r="N65" i="12"/>
  <c r="Y405" i="12"/>
  <c r="X405" i="12" s="1"/>
  <c r="Y587" i="12"/>
  <c r="Y530" i="12"/>
  <c r="W530" i="12" s="1"/>
  <c r="Y681" i="12"/>
  <c r="W681" i="12" s="1"/>
  <c r="N80" i="12"/>
  <c r="N727" i="12"/>
  <c r="Y216" i="12"/>
  <c r="W216" i="12" s="1"/>
  <c r="Y650" i="12"/>
  <c r="W650" i="12" s="1"/>
  <c r="Y329" i="12"/>
  <c r="W329" i="12" s="1"/>
  <c r="Y358" i="12"/>
  <c r="N384" i="12"/>
  <c r="Y321" i="12"/>
  <c r="X321" i="12" s="1"/>
  <c r="Y29" i="12"/>
  <c r="W29" i="12" s="1"/>
  <c r="N726" i="12"/>
  <c r="Y238" i="12"/>
  <c r="W238" i="12" s="1"/>
  <c r="N435" i="12"/>
  <c r="N382" i="12"/>
  <c r="Y656" i="12"/>
  <c r="W656" i="12" s="1"/>
  <c r="Y322" i="12"/>
  <c r="X322" i="12" s="1"/>
  <c r="Y74" i="12"/>
  <c r="W74" i="12" s="1"/>
  <c r="Y675" i="12"/>
  <c r="W675" i="12" s="1"/>
  <c r="N533" i="12"/>
  <c r="N113" i="12"/>
  <c r="N441" i="12"/>
  <c r="N673" i="12"/>
  <c r="Y283" i="12"/>
  <c r="X283" i="12" s="1"/>
  <c r="N451" i="12"/>
  <c r="N182" i="12"/>
  <c r="Y521" i="12"/>
  <c r="W521" i="12" s="1"/>
  <c r="Y212" i="12"/>
  <c r="X212" i="12" s="1"/>
  <c r="N322" i="12"/>
  <c r="N569" i="12"/>
  <c r="N528" i="12"/>
  <c r="N554" i="12"/>
  <c r="Y300" i="12"/>
  <c r="X300" i="12" s="1"/>
  <c r="N289" i="12"/>
  <c r="Y20" i="12"/>
  <c r="W20" i="12" s="1"/>
  <c r="N386" i="12"/>
  <c r="Y272" i="12"/>
  <c r="X272" i="12" s="1"/>
  <c r="Y368" i="12"/>
  <c r="X368" i="12" s="1"/>
  <c r="N452" i="12"/>
  <c r="Y569" i="12"/>
  <c r="W569" i="12" s="1"/>
  <c r="Y481" i="12"/>
  <c r="X481" i="12" s="1"/>
  <c r="N532" i="12"/>
  <c r="Y595" i="12"/>
  <c r="W595" i="12" s="1"/>
  <c r="Y204" i="12"/>
  <c r="Y52" i="12"/>
  <c r="X52" i="12" s="1"/>
  <c r="N194" i="12"/>
  <c r="N57" i="12"/>
  <c r="N714" i="12"/>
  <c r="Y713" i="12"/>
  <c r="W713" i="12" s="1"/>
  <c r="N394" i="12"/>
  <c r="N286" i="12"/>
  <c r="Y673" i="12"/>
  <c r="X673" i="12" s="1"/>
  <c r="N336" i="12"/>
  <c r="N103" i="12"/>
  <c r="N464" i="12"/>
  <c r="Y371" i="12"/>
  <c r="N526" i="12"/>
  <c r="Y75" i="12"/>
  <c r="X75" i="12" s="1"/>
  <c r="Y717" i="12"/>
  <c r="W717" i="12" s="1"/>
  <c r="Y348" i="12"/>
  <c r="X348" i="12" s="1"/>
  <c r="N135" i="12"/>
  <c r="Y712" i="12"/>
  <c r="W712" i="12" s="1"/>
  <c r="Y70" i="12"/>
  <c r="X70" i="12" s="1"/>
  <c r="N93" i="12"/>
  <c r="N648" i="12"/>
  <c r="Y320" i="12"/>
  <c r="X320" i="12" s="1"/>
  <c r="Y455" i="12"/>
  <c r="W455" i="12" s="1"/>
  <c r="N195" i="12"/>
  <c r="Y293" i="12"/>
  <c r="W293" i="12" s="1"/>
  <c r="N374" i="12"/>
  <c r="N294" i="12"/>
  <c r="Y702" i="12"/>
  <c r="Y638" i="12"/>
  <c r="X638" i="12" s="1"/>
  <c r="Y68" i="12"/>
  <c r="X68" i="12" s="1"/>
  <c r="N235" i="12"/>
  <c r="Y296" i="12"/>
  <c r="W296" i="12" s="1"/>
  <c r="Y496" i="12"/>
  <c r="W496" i="12" s="1"/>
  <c r="N478" i="12"/>
  <c r="Y233" i="12"/>
  <c r="X233" i="12" s="1"/>
  <c r="N674" i="12"/>
  <c r="Y393" i="12"/>
  <c r="X393" i="12" s="1"/>
  <c r="Y224" i="12"/>
  <c r="W224" i="12" s="1"/>
  <c r="Y32" i="12"/>
  <c r="W32" i="12" s="1"/>
  <c r="N324" i="12"/>
  <c r="N305" i="12"/>
  <c r="Y637" i="12"/>
  <c r="X637" i="12" s="1"/>
  <c r="X513" i="5"/>
  <c r="H513" i="12"/>
  <c r="H326" i="12"/>
  <c r="X326" i="5"/>
  <c r="Y670" i="12"/>
  <c r="D533" i="12"/>
  <c r="E533" i="6"/>
  <c r="Y22" i="12"/>
  <c r="D706" i="12"/>
  <c r="E706" i="6"/>
  <c r="H245" i="12"/>
  <c r="X245" i="5"/>
  <c r="X186" i="5"/>
  <c r="H186" i="12"/>
  <c r="N79" i="12"/>
  <c r="W350" i="12"/>
  <c r="X350" i="12"/>
  <c r="Y98" i="12"/>
  <c r="O731" i="12"/>
  <c r="N731" i="12" s="1"/>
  <c r="N732" i="12"/>
  <c r="D557" i="12"/>
  <c r="E557" i="6"/>
  <c r="H171" i="12"/>
  <c r="X171" i="5"/>
  <c r="H185" i="12"/>
  <c r="X185" i="5"/>
  <c r="D253" i="12"/>
  <c r="E253" i="6"/>
  <c r="Y519" i="12"/>
  <c r="AO518" i="12"/>
  <c r="X698" i="12"/>
  <c r="W698" i="12"/>
  <c r="AO114" i="12"/>
  <c r="Y115" i="12"/>
  <c r="W303" i="12"/>
  <c r="X303" i="12"/>
  <c r="Y677" i="12"/>
  <c r="H581" i="12"/>
  <c r="X581" i="5"/>
  <c r="H160" i="12"/>
  <c r="X160" i="5"/>
  <c r="N43" i="12"/>
  <c r="W395" i="12"/>
  <c r="X395" i="12"/>
  <c r="Y274" i="12"/>
  <c r="N378" i="12"/>
  <c r="Y662" i="12"/>
  <c r="Y553" i="12"/>
  <c r="N268" i="12"/>
  <c r="W283" i="12"/>
  <c r="X261" i="5"/>
  <c r="H261" i="12"/>
  <c r="X397" i="5"/>
  <c r="H397" i="12"/>
  <c r="C87" i="6"/>
  <c r="O87" i="5"/>
  <c r="E47" i="6"/>
  <c r="D47" i="12"/>
  <c r="D553" i="12"/>
  <c r="E553" i="6"/>
  <c r="Y635" i="12"/>
  <c r="W399" i="12"/>
  <c r="X399" i="12"/>
  <c r="X116" i="12"/>
  <c r="W116" i="12"/>
  <c r="N415" i="12"/>
  <c r="X457" i="5"/>
  <c r="H457" i="12"/>
  <c r="X561" i="5"/>
  <c r="H561" i="12"/>
  <c r="D390" i="12"/>
  <c r="E390" i="6"/>
  <c r="M369" i="12"/>
  <c r="W348" i="12"/>
  <c r="W377" i="12"/>
  <c r="N84" i="12"/>
  <c r="D58" i="12"/>
  <c r="E58" i="6"/>
  <c r="E81" i="6"/>
  <c r="D81" i="12"/>
  <c r="O660" i="5"/>
  <c r="C660" i="6"/>
  <c r="H154" i="12"/>
  <c r="X154" i="5"/>
  <c r="H440" i="12"/>
  <c r="X440" i="5"/>
  <c r="Y431" i="12"/>
  <c r="AO430" i="12"/>
  <c r="C40" i="12"/>
  <c r="J40" i="12"/>
  <c r="L40" i="12"/>
  <c r="Y278" i="12"/>
  <c r="N520" i="12"/>
  <c r="D387" i="12"/>
  <c r="E387" i="6"/>
  <c r="Y271" i="12"/>
  <c r="L27" i="12"/>
  <c r="J27" i="12"/>
  <c r="C27" i="12"/>
  <c r="E655" i="6"/>
  <c r="D655" i="12"/>
  <c r="Y242" i="12"/>
  <c r="X250" i="5"/>
  <c r="H250" i="12"/>
  <c r="N192" i="12"/>
  <c r="D310" i="12"/>
  <c r="E310" i="6"/>
  <c r="N18" i="12"/>
  <c r="N104" i="12"/>
  <c r="M379" i="12"/>
  <c r="Y285" i="12"/>
  <c r="D271" i="12"/>
  <c r="E271" i="6"/>
  <c r="D587" i="12"/>
  <c r="E587" i="6"/>
  <c r="O236" i="5"/>
  <c r="C236" i="6"/>
  <c r="M654" i="12"/>
  <c r="M653" i="12"/>
  <c r="X583" i="5"/>
  <c r="H583" i="12"/>
  <c r="O700" i="12"/>
  <c r="N701" i="12"/>
  <c r="E349" i="6"/>
  <c r="D349" i="12"/>
  <c r="H615" i="12"/>
  <c r="X615" i="5"/>
  <c r="N498" i="12"/>
  <c r="N204" i="12"/>
  <c r="M695" i="12"/>
  <c r="N479" i="12"/>
  <c r="Y549" i="12"/>
  <c r="D28" i="12"/>
  <c r="E28" i="6"/>
  <c r="M236" i="12"/>
  <c r="D703" i="12"/>
  <c r="E703" i="6"/>
  <c r="H512" i="12"/>
  <c r="X512" i="5"/>
  <c r="Y30" i="12"/>
  <c r="N586" i="12"/>
  <c r="D559" i="12"/>
  <c r="E559" i="6"/>
  <c r="J105" i="12"/>
  <c r="L105" i="12"/>
  <c r="C105" i="12"/>
  <c r="N19" i="12"/>
  <c r="E322" i="6"/>
  <c r="D322" i="12"/>
  <c r="Y715" i="12"/>
  <c r="Y39" i="12"/>
  <c r="X45" i="12"/>
  <c r="X480" i="5"/>
  <c r="H480" i="12"/>
  <c r="E439" i="6"/>
  <c r="D439" i="12"/>
  <c r="Y361" i="12"/>
  <c r="Y305" i="12"/>
  <c r="E62" i="6"/>
  <c r="D62" i="12"/>
  <c r="E429" i="6"/>
  <c r="D429" i="12"/>
  <c r="E75" i="6"/>
  <c r="D75" i="12"/>
  <c r="X683" i="5"/>
  <c r="H683" i="12"/>
  <c r="X229" i="5"/>
  <c r="H229" i="12"/>
  <c r="D705" i="12"/>
  <c r="E705" i="6"/>
  <c r="D522" i="12"/>
  <c r="E522" i="6"/>
  <c r="E659" i="6"/>
  <c r="D659" i="12"/>
  <c r="X140" i="5"/>
  <c r="H140" i="12"/>
  <c r="D663" i="12"/>
  <c r="E663" i="6"/>
  <c r="W320" i="12"/>
  <c r="H501" i="12"/>
  <c r="X501" i="5"/>
  <c r="D346" i="12"/>
  <c r="E346" i="6"/>
  <c r="D41" i="12"/>
  <c r="E41" i="6"/>
  <c r="E432" i="6"/>
  <c r="D432" i="12"/>
  <c r="AB695" i="5"/>
  <c r="AC31" i="8"/>
  <c r="AC29" i="8" s="1"/>
  <c r="AA31" i="8"/>
  <c r="AA29" i="8" s="1"/>
  <c r="T31" i="8"/>
  <c r="T29" i="8" s="1"/>
  <c r="U31" i="8"/>
  <c r="U29" i="8" s="1"/>
  <c r="V31" i="8"/>
  <c r="V29" i="8" s="1"/>
  <c r="F29" i="8"/>
  <c r="AE31" i="8"/>
  <c r="AE29" i="8" s="1"/>
  <c r="F30" i="8"/>
  <c r="W31" i="8"/>
  <c r="W29" i="8" s="1"/>
  <c r="D31" i="8"/>
  <c r="D29" i="8" s="1"/>
  <c r="Z31" i="8"/>
  <c r="Z29" i="8" s="1"/>
  <c r="Y31" i="8"/>
  <c r="Y29" i="8" s="1"/>
  <c r="G30" i="8"/>
  <c r="X31" i="8"/>
  <c r="X29" i="8" s="1"/>
  <c r="AD31" i="8"/>
  <c r="AD29" i="8" s="1"/>
  <c r="AB31" i="8"/>
  <c r="AB29" i="8" s="1"/>
  <c r="W591" i="12"/>
  <c r="E54" i="6"/>
  <c r="D54" i="12"/>
  <c r="X62" i="12"/>
  <c r="W62" i="12"/>
  <c r="H246" i="12"/>
  <c r="X246" i="5"/>
  <c r="H424" i="12"/>
  <c r="X424" i="5"/>
  <c r="H667" i="12"/>
  <c r="X667" i="5"/>
  <c r="E68" i="6"/>
  <c r="D68" i="12"/>
  <c r="C114" i="6"/>
  <c r="O114" i="5"/>
  <c r="Y604" i="12"/>
  <c r="N537" i="12"/>
  <c r="E555" i="6"/>
  <c r="D555" i="12"/>
  <c r="J60" i="12"/>
  <c r="C60" i="12"/>
  <c r="L60" i="12"/>
  <c r="Y287" i="12"/>
  <c r="D648" i="12"/>
  <c r="E648" i="6"/>
  <c r="X502" i="5"/>
  <c r="H502" i="12"/>
  <c r="X668" i="5"/>
  <c r="H668" i="12"/>
  <c r="O119" i="12"/>
  <c r="N120" i="12"/>
  <c r="N436" i="12"/>
  <c r="Y117" i="12"/>
  <c r="AB427" i="5"/>
  <c r="N550" i="12"/>
  <c r="Y406" i="12"/>
  <c r="D523" i="12"/>
  <c r="E523" i="6"/>
  <c r="Y286" i="12"/>
  <c r="H339" i="12"/>
  <c r="X339" i="5"/>
  <c r="X684" i="5"/>
  <c r="H684" i="12"/>
  <c r="H164" i="12"/>
  <c r="X164" i="5"/>
  <c r="M518" i="12"/>
  <c r="N720" i="12"/>
  <c r="Y469" i="12"/>
  <c r="N724" i="12"/>
  <c r="AB48" i="5"/>
  <c r="N650" i="12"/>
  <c r="Y409" i="12"/>
  <c r="Y376" i="12"/>
  <c r="AO375" i="12"/>
  <c r="Y704" i="12"/>
  <c r="H563" i="12"/>
  <c r="X563" i="5"/>
  <c r="O709" i="5"/>
  <c r="C709" i="6"/>
  <c r="E90" i="6"/>
  <c r="D90" i="12"/>
  <c r="Y362" i="12"/>
  <c r="Y495" i="12"/>
  <c r="N458" i="12"/>
  <c r="L375" i="12"/>
  <c r="C375" i="12"/>
  <c r="J375" i="12"/>
  <c r="N542" i="12"/>
  <c r="H692" i="12"/>
  <c r="X692" i="5"/>
  <c r="H613" i="12"/>
  <c r="X613" i="5"/>
  <c r="Y384" i="12"/>
  <c r="N390" i="12"/>
  <c r="N371" i="12"/>
  <c r="L48" i="12"/>
  <c r="J48" i="12"/>
  <c r="C48" i="12"/>
  <c r="D238" i="12"/>
  <c r="E238" i="6"/>
  <c r="Y284" i="12"/>
  <c r="N75" i="12"/>
  <c r="Y721" i="12"/>
  <c r="N218" i="12"/>
  <c r="E320" i="6"/>
  <c r="D320" i="12"/>
  <c r="Y290" i="12"/>
  <c r="O251" i="12"/>
  <c r="N252" i="12"/>
  <c r="N308" i="12"/>
  <c r="Y435" i="12"/>
  <c r="Y442" i="12"/>
  <c r="Y276" i="12"/>
  <c r="X262" i="5"/>
  <c r="H262" i="12"/>
  <c r="H421" i="12"/>
  <c r="X421" i="5"/>
  <c r="H499" i="12"/>
  <c r="X499" i="5"/>
  <c r="E82" i="6"/>
  <c r="D82" i="12"/>
  <c r="O40" i="5"/>
  <c r="C40" i="6"/>
  <c r="N31" i="12"/>
  <c r="N70" i="12"/>
  <c r="E381" i="6"/>
  <c r="D381" i="12"/>
  <c r="AB22" i="8"/>
  <c r="AB20" i="8" s="1"/>
  <c r="AD22" i="8"/>
  <c r="AD20" i="8" s="1"/>
  <c r="X22" i="8"/>
  <c r="X20" i="8" s="1"/>
  <c r="Z22" i="8"/>
  <c r="Z20" i="8" s="1"/>
  <c r="W22" i="8"/>
  <c r="W20" i="8" s="1"/>
  <c r="T22" i="8"/>
  <c r="T20" i="8" s="1"/>
  <c r="D22" i="8"/>
  <c r="D20" i="8" s="1"/>
  <c r="G21" i="8"/>
  <c r="F20" i="8"/>
  <c r="AC22" i="8"/>
  <c r="AC20" i="8" s="1"/>
  <c r="Y22" i="8"/>
  <c r="Y20" i="8" s="1"/>
  <c r="AA22" i="8"/>
  <c r="AA20" i="8" s="1"/>
  <c r="V22" i="8"/>
  <c r="V20" i="8" s="1"/>
  <c r="U22" i="8"/>
  <c r="U20" i="8" s="1"/>
  <c r="F21" i="8"/>
  <c r="AE22" i="8"/>
  <c r="AE20" i="8" s="1"/>
  <c r="Y648" i="12"/>
  <c r="X146" i="5"/>
  <c r="H146" i="12"/>
  <c r="H686" i="12"/>
  <c r="X686" i="5"/>
  <c r="N320" i="12"/>
  <c r="AB87" i="5"/>
  <c r="AB86" i="5"/>
  <c r="N455" i="12"/>
  <c r="D313" i="12"/>
  <c r="E313" i="6"/>
  <c r="Y380" i="12"/>
  <c r="AO379" i="12"/>
  <c r="N530" i="12"/>
  <c r="Y733" i="12"/>
  <c r="Y372" i="12"/>
  <c r="Y697" i="12"/>
  <c r="X722" i="5"/>
  <c r="H722" i="12"/>
  <c r="Y701" i="12"/>
  <c r="AO700" i="12"/>
  <c r="C119" i="6"/>
  <c r="O119" i="5"/>
  <c r="M108" i="12"/>
  <c r="E431" i="6"/>
  <c r="D431" i="12"/>
  <c r="Y354" i="12"/>
  <c r="Y696" i="12"/>
  <c r="AO695" i="12"/>
  <c r="D377" i="12"/>
  <c r="E377" i="6"/>
  <c r="Y344" i="12"/>
  <c r="Y739" i="12"/>
  <c r="E44" i="6"/>
  <c r="D44" i="12"/>
  <c r="H490" i="12"/>
  <c r="X490" i="5"/>
  <c r="X202" i="5"/>
  <c r="H202" i="12"/>
  <c r="Y53" i="12"/>
  <c r="Y392" i="12"/>
  <c r="N497" i="12"/>
  <c r="Y19" i="12"/>
  <c r="Y277" i="12"/>
  <c r="E74" i="6"/>
  <c r="D74" i="12"/>
  <c r="N690" i="12"/>
  <c r="N347" i="12"/>
  <c r="Y94" i="12"/>
  <c r="N45" i="12"/>
  <c r="X577" i="5"/>
  <c r="H577" i="12"/>
  <c r="X223" i="5"/>
  <c r="H223" i="12"/>
  <c r="H596" i="12"/>
  <c r="X596" i="5"/>
  <c r="Y214" i="12"/>
  <c r="N68" i="12"/>
  <c r="D657" i="12"/>
  <c r="E657" i="6"/>
  <c r="Y328" i="12"/>
  <c r="O535" i="12"/>
  <c r="N536" i="12"/>
  <c r="E710" i="6"/>
  <c r="D710" i="12"/>
  <c r="D434" i="12"/>
  <c r="E434" i="6"/>
  <c r="X55" i="12"/>
  <c r="X130" i="5"/>
  <c r="H130" i="12"/>
  <c r="D107" i="12"/>
  <c r="E107" i="6"/>
  <c r="X420" i="12"/>
  <c r="W403" i="12"/>
  <c r="X403" i="12"/>
  <c r="O535" i="5"/>
  <c r="C535" i="6"/>
  <c r="X455" i="12"/>
  <c r="E393" i="6"/>
  <c r="D393" i="12"/>
  <c r="X544" i="5"/>
  <c r="H544" i="12"/>
  <c r="X466" i="5"/>
  <c r="H466" i="12"/>
  <c r="H402" i="12"/>
  <c r="X402" i="5"/>
  <c r="H598" i="12"/>
  <c r="X598" i="5"/>
  <c r="N671" i="12"/>
  <c r="N670" i="12"/>
  <c r="D117" i="12"/>
  <c r="E117" i="6"/>
  <c r="D556" i="12"/>
  <c r="E556" i="6"/>
  <c r="Y235" i="12"/>
  <c r="AO535" i="12"/>
  <c r="Y536" i="12"/>
  <c r="E269" i="6"/>
  <c r="D269" i="12"/>
  <c r="X627" i="5"/>
  <c r="H627" i="12"/>
  <c r="X562" i="5"/>
  <c r="H562" i="12"/>
  <c r="Y120" i="12"/>
  <c r="AO119" i="12"/>
  <c r="W436" i="12"/>
  <c r="D662" i="12"/>
  <c r="E662" i="6"/>
  <c r="D49" i="12"/>
  <c r="E49" i="6"/>
  <c r="N400" i="12"/>
  <c r="Y319" i="12"/>
  <c r="N269" i="12"/>
  <c r="D29" i="12"/>
  <c r="E29" i="6"/>
  <c r="E97" i="6"/>
  <c r="D97" i="12"/>
  <c r="X594" i="5"/>
  <c r="H594" i="12"/>
  <c r="N606" i="12"/>
  <c r="N112" i="12"/>
  <c r="N376" i="12"/>
  <c r="O375" i="12"/>
  <c r="N323" i="12"/>
  <c r="O644" i="12"/>
  <c r="N644" i="12" s="1"/>
  <c r="N645" i="12"/>
  <c r="N725" i="12"/>
  <c r="N540" i="12"/>
  <c r="V76" i="8"/>
  <c r="V74" i="8" s="1"/>
  <c r="Z76" i="8"/>
  <c r="Z74" i="8" s="1"/>
  <c r="AC76" i="8"/>
  <c r="AC74" i="8" s="1"/>
  <c r="AD76" i="8"/>
  <c r="AD74" i="8" s="1"/>
  <c r="X76" i="8"/>
  <c r="X74" i="8" s="1"/>
  <c r="D76" i="8"/>
  <c r="D74" i="8" s="1"/>
  <c r="W76" i="8"/>
  <c r="W74" i="8" s="1"/>
  <c r="F75" i="8"/>
  <c r="T76" i="8"/>
  <c r="T74" i="8" s="1"/>
  <c r="AA76" i="8"/>
  <c r="AA74" i="8" s="1"/>
  <c r="U76" i="8"/>
  <c r="U74" i="8" s="1"/>
  <c r="AE76" i="8"/>
  <c r="AE74" i="8" s="1"/>
  <c r="G75" i="8"/>
  <c r="Y76" i="8"/>
  <c r="Y74" i="8" s="1"/>
  <c r="AB76" i="8"/>
  <c r="AB74" i="8" s="1"/>
  <c r="F74" i="8"/>
  <c r="H170" i="12"/>
  <c r="X170" i="5"/>
  <c r="X125" i="5"/>
  <c r="H125" i="12"/>
  <c r="Y279" i="12"/>
  <c r="N362" i="12"/>
  <c r="Y478" i="12"/>
  <c r="E57" i="6"/>
  <c r="D57" i="12"/>
  <c r="Y268" i="12"/>
  <c r="Y464" i="12"/>
  <c r="X152" i="5"/>
  <c r="H152" i="12"/>
  <c r="X685" i="5"/>
  <c r="H685" i="12"/>
  <c r="X390" i="12"/>
  <c r="E343" i="6"/>
  <c r="D343" i="12"/>
  <c r="D308" i="12"/>
  <c r="E308" i="6"/>
  <c r="Y451" i="12"/>
  <c r="N721" i="12"/>
  <c r="C654" i="6"/>
  <c r="O654" i="5"/>
  <c r="H652" i="12"/>
  <c r="X652" i="5"/>
  <c r="D83" i="12"/>
  <c r="E83" i="6"/>
  <c r="N290" i="12"/>
  <c r="D697" i="12"/>
  <c r="E697" i="6"/>
  <c r="W34" i="12"/>
  <c r="X34" i="12"/>
  <c r="N47" i="12"/>
  <c r="D526" i="12"/>
  <c r="E526" i="6"/>
  <c r="Y270" i="12"/>
  <c r="C27" i="6"/>
  <c r="O27" i="5"/>
  <c r="X568" i="5"/>
  <c r="H568" i="12"/>
  <c r="X666" i="5"/>
  <c r="H666" i="12"/>
  <c r="Y346" i="12"/>
  <c r="J251" i="12"/>
  <c r="C251" i="12"/>
  <c r="L251" i="12"/>
  <c r="Y189" i="12"/>
  <c r="N697" i="12"/>
  <c r="D585" i="12"/>
  <c r="E585" i="6"/>
  <c r="N355" i="12"/>
  <c r="X473" i="5"/>
  <c r="H473" i="12"/>
  <c r="X37" i="5"/>
  <c r="H37" i="12"/>
  <c r="X203" i="5"/>
  <c r="H203" i="12"/>
  <c r="Y401" i="12"/>
  <c r="N696" i="12"/>
  <c r="O695" i="12"/>
  <c r="Y294" i="12"/>
  <c r="AB660" i="5"/>
  <c r="N389" i="12"/>
  <c r="N739" i="12"/>
  <c r="X188" i="5"/>
  <c r="H188" i="12"/>
  <c r="Y515" i="12"/>
  <c r="N392" i="12"/>
  <c r="C369" i="6"/>
  <c r="O369" i="5"/>
  <c r="O105" i="5"/>
  <c r="C105" i="6"/>
  <c r="Y301" i="12"/>
  <c r="H742" i="12"/>
  <c r="X742" i="5"/>
  <c r="N94" i="12"/>
  <c r="N214" i="12"/>
  <c r="AB518" i="5"/>
  <c r="E698" i="6"/>
  <c r="D698" i="12"/>
  <c r="N328" i="12"/>
  <c r="N588" i="12"/>
  <c r="E536" i="6"/>
  <c r="D536" i="12"/>
  <c r="D91" i="12"/>
  <c r="E91" i="6"/>
  <c r="D715" i="12"/>
  <c r="E715" i="6"/>
  <c r="N519" i="12"/>
  <c r="O518" i="12"/>
  <c r="W378" i="12"/>
  <c r="X378" i="12"/>
  <c r="W371" i="12"/>
  <c r="X371" i="12"/>
  <c r="H471" i="12"/>
  <c r="X471" i="5"/>
  <c r="D374" i="12"/>
  <c r="E374" i="6"/>
  <c r="L660" i="12"/>
  <c r="C660" i="12"/>
  <c r="J660" i="12"/>
  <c r="Y710" i="12"/>
  <c r="AO709" i="12"/>
  <c r="D380" i="12"/>
  <c r="E380" i="6"/>
  <c r="E372" i="6"/>
  <c r="D372" i="12"/>
  <c r="H446" i="12"/>
  <c r="X446" i="5"/>
  <c r="Y192" i="12"/>
  <c r="H672" i="12"/>
  <c r="X672" i="5"/>
  <c r="H273" i="12"/>
  <c r="X273" i="5"/>
  <c r="E192" i="6"/>
  <c r="D192" i="12"/>
  <c r="X702" i="12"/>
  <c r="W702" i="12"/>
  <c r="O236" i="12"/>
  <c r="N236" i="12" s="1"/>
  <c r="N237" i="12"/>
  <c r="O108" i="5"/>
  <c r="C108" i="6"/>
  <c r="X347" i="12"/>
  <c r="X260" i="5"/>
  <c r="H260" i="12"/>
  <c r="Y671" i="12"/>
  <c r="C207" i="6"/>
  <c r="O207" i="5"/>
  <c r="Y450" i="12"/>
  <c r="Y423" i="12"/>
  <c r="Y113" i="12"/>
  <c r="N132" i="12"/>
  <c r="N604" i="12"/>
  <c r="M535" i="12"/>
  <c r="E540" i="6"/>
  <c r="D540" i="12"/>
  <c r="H221" i="12"/>
  <c r="X221" i="5"/>
  <c r="H85" i="12"/>
  <c r="X85" i="5"/>
  <c r="X234" i="5"/>
  <c r="H234" i="12"/>
  <c r="X600" i="5"/>
  <c r="H600" i="12"/>
  <c r="Y330" i="12"/>
  <c r="N42" i="12"/>
  <c r="Y400" i="12"/>
  <c r="D451" i="12"/>
  <c r="E451" i="6"/>
  <c r="Y269" i="12"/>
  <c r="N406" i="12"/>
  <c r="N571" i="12"/>
  <c r="N434" i="12"/>
  <c r="X167" i="5"/>
  <c r="H167" i="12"/>
  <c r="X417" i="5"/>
  <c r="H417" i="12"/>
  <c r="Y606" i="12"/>
  <c r="W720" i="12"/>
  <c r="X720" i="12"/>
  <c r="E716" i="6"/>
  <c r="D716" i="12"/>
  <c r="Y724" i="12"/>
  <c r="N359" i="12"/>
  <c r="M375" i="12"/>
  <c r="M427" i="12"/>
  <c r="N704" i="12"/>
  <c r="Y725" i="12"/>
  <c r="Y540" i="12"/>
  <c r="C653" i="6"/>
  <c r="O653" i="5"/>
  <c r="E699" i="6"/>
  <c r="D699" i="12"/>
  <c r="X169" i="5"/>
  <c r="H169" i="12"/>
  <c r="E88" i="6"/>
  <c r="D88" i="12"/>
  <c r="E51" i="6"/>
  <c r="D51" i="12"/>
  <c r="Y336" i="12"/>
  <c r="E92" i="6"/>
  <c r="D92" i="12"/>
  <c r="E382" i="6"/>
  <c r="D382" i="12"/>
  <c r="N388" i="12"/>
  <c r="Y387" i="12"/>
  <c r="Y705" i="12"/>
  <c r="Y567" i="12"/>
  <c r="Y461" i="12"/>
  <c r="N543" i="12"/>
  <c r="Y526" i="12"/>
  <c r="J334" i="12"/>
  <c r="L334" i="12"/>
  <c r="C334" i="12"/>
  <c r="N647" i="12"/>
  <c r="N284" i="12"/>
  <c r="Y407" i="12"/>
  <c r="N55" i="12"/>
  <c r="E454" i="6"/>
  <c r="D454" i="12"/>
  <c r="N522" i="12"/>
  <c r="Y546" i="12"/>
  <c r="X230" i="5"/>
  <c r="H230" i="12"/>
  <c r="H181" i="12"/>
  <c r="X181" i="5"/>
  <c r="Y663" i="12"/>
  <c r="Y726" i="12"/>
  <c r="AO251" i="12"/>
  <c r="Y252" i="12"/>
  <c r="AB334" i="5"/>
  <c r="E530" i="6"/>
  <c r="D530" i="12"/>
  <c r="E31" i="6"/>
  <c r="D31" i="12"/>
  <c r="N34" i="12"/>
  <c r="N628" i="12"/>
  <c r="N276" i="12"/>
  <c r="H143" i="12"/>
  <c r="X143" i="5"/>
  <c r="L86" i="12"/>
  <c r="C86" i="12"/>
  <c r="J86" i="12"/>
  <c r="E309" i="6"/>
  <c r="D309" i="12"/>
  <c r="Y382" i="12"/>
  <c r="E76" i="6"/>
  <c r="D76" i="12"/>
  <c r="E211" i="6"/>
  <c r="D211" i="12"/>
  <c r="H691" i="12"/>
  <c r="X691" i="5"/>
  <c r="X163" i="5"/>
  <c r="H163" i="12"/>
  <c r="N625" i="12"/>
  <c r="Y195" i="12"/>
  <c r="D96" i="12"/>
  <c r="E96" i="6"/>
  <c r="N475" i="12"/>
  <c r="Y73" i="12"/>
  <c r="N453" i="12"/>
  <c r="X456" i="5"/>
  <c r="H456" i="12"/>
  <c r="X578" i="5"/>
  <c r="H578" i="12"/>
  <c r="C119" i="12"/>
  <c r="L119" i="12"/>
  <c r="J119" i="12"/>
  <c r="Y355" i="12"/>
  <c r="H443" i="12"/>
  <c r="X443" i="5"/>
  <c r="X134" i="5"/>
  <c r="H134" i="12"/>
  <c r="O108" i="12"/>
  <c r="N109" i="12"/>
  <c r="Y532" i="12"/>
  <c r="Y674" i="12"/>
  <c r="N494" i="12"/>
  <c r="M106" i="12"/>
  <c r="E212" i="6"/>
  <c r="D212" i="12"/>
  <c r="Y389" i="12"/>
  <c r="X209" i="12"/>
  <c r="W209" i="12"/>
  <c r="E93" i="6"/>
  <c r="D93" i="12"/>
  <c r="D383" i="12"/>
  <c r="E383" i="6"/>
  <c r="M60" i="12"/>
  <c r="AB119" i="5"/>
  <c r="Y462" i="12"/>
  <c r="N624" i="12"/>
  <c r="E194" i="6"/>
  <c r="D194" i="12"/>
  <c r="E558" i="6"/>
  <c r="D558" i="12"/>
  <c r="Y533" i="12"/>
  <c r="D217" i="12"/>
  <c r="E217" i="6"/>
  <c r="H560" i="12"/>
  <c r="X560" i="5"/>
  <c r="X77" i="5"/>
  <c r="H77" i="12"/>
  <c r="H412" i="12"/>
  <c r="X412" i="5"/>
  <c r="Y324" i="12"/>
  <c r="N637" i="12"/>
  <c r="N302" i="12"/>
  <c r="Y588" i="12"/>
  <c r="E94" i="6"/>
  <c r="D94" i="12"/>
  <c r="N54" i="12"/>
  <c r="E115" i="6"/>
  <c r="D115" i="12"/>
  <c r="X459" i="12"/>
  <c r="W459" i="12"/>
  <c r="X148" i="5"/>
  <c r="H148" i="12"/>
  <c r="H607" i="12"/>
  <c r="X607" i="5"/>
  <c r="D606" i="12"/>
  <c r="E606" i="6"/>
  <c r="C207" i="12"/>
  <c r="L207" i="12"/>
  <c r="J207" i="12"/>
  <c r="X680" i="12"/>
  <c r="C60" i="6"/>
  <c r="O60" i="5"/>
  <c r="W42" i="12"/>
  <c r="D378" i="12"/>
  <c r="E378" i="6"/>
  <c r="D61" i="12"/>
  <c r="E61" i="6"/>
  <c r="E719" i="6"/>
  <c r="D719" i="12"/>
  <c r="X25" i="5"/>
  <c r="H25" i="12"/>
  <c r="W112" i="12"/>
  <c r="X112" i="12"/>
  <c r="N428" i="12"/>
  <c r="O427" i="12"/>
  <c r="D116" i="12"/>
  <c r="E116" i="6"/>
  <c r="N719" i="12"/>
  <c r="X158" i="5"/>
  <c r="H158" i="12"/>
  <c r="H460" i="12"/>
  <c r="X460" i="5"/>
  <c r="X38" i="5"/>
  <c r="H38" i="12"/>
  <c r="X141" i="5"/>
  <c r="H141" i="12"/>
  <c r="X543" i="12"/>
  <c r="W543" i="12"/>
  <c r="C48" i="6"/>
  <c r="O48" i="5"/>
  <c r="C334" i="6"/>
  <c r="O334" i="5"/>
  <c r="Y647" i="12"/>
  <c r="E704" i="6"/>
  <c r="D704" i="12"/>
  <c r="W102" i="12"/>
  <c r="X102" i="12"/>
  <c r="X149" i="5"/>
  <c r="H149" i="12"/>
  <c r="X156" i="5"/>
  <c r="H156" i="12"/>
  <c r="W90" i="12"/>
  <c r="D195" i="12"/>
  <c r="E195" i="6"/>
  <c r="X504" i="5"/>
  <c r="H504" i="12"/>
  <c r="H489" i="12"/>
  <c r="X489" i="5"/>
  <c r="H367" i="12"/>
  <c r="X367" i="5"/>
  <c r="O86" i="5"/>
  <c r="C86" i="6"/>
  <c r="X31" i="12"/>
  <c r="W31" i="12"/>
  <c r="E721" i="6"/>
  <c r="D721" i="12"/>
  <c r="H623" i="12"/>
  <c r="X623" i="5"/>
  <c r="X157" i="5"/>
  <c r="H157" i="12"/>
  <c r="W411" i="12"/>
  <c r="W322" i="12"/>
  <c r="D702" i="12"/>
  <c r="E702" i="6"/>
  <c r="X475" i="12"/>
  <c r="W475" i="12"/>
  <c r="X617" i="5"/>
  <c r="H617" i="12"/>
  <c r="Y109" i="12"/>
  <c r="AO108" i="12"/>
  <c r="E370" i="6"/>
  <c r="D370" i="12"/>
  <c r="AB653" i="5"/>
  <c r="C74" i="8" s="1"/>
  <c r="AB654" i="5"/>
  <c r="X338" i="5"/>
  <c r="H338" i="12"/>
  <c r="H26" i="12"/>
  <c r="X26" i="5"/>
  <c r="H222" i="12"/>
  <c r="X222" i="5"/>
  <c r="D519" i="12"/>
  <c r="E519" i="6"/>
  <c r="D661" i="12"/>
  <c r="E661" i="6"/>
  <c r="W624" i="12"/>
  <c r="X624" i="12"/>
  <c r="D664" i="12"/>
  <c r="E664" i="6"/>
  <c r="D45" i="12"/>
  <c r="E45" i="6"/>
  <c r="H580" i="12"/>
  <c r="X580" i="5"/>
  <c r="X173" i="5"/>
  <c r="H173" i="12"/>
  <c r="D89" i="12"/>
  <c r="E89" i="6"/>
  <c r="W658" i="12"/>
  <c r="D713" i="12"/>
  <c r="E713" i="6"/>
  <c r="AB379" i="5"/>
  <c r="E80" i="6"/>
  <c r="D80" i="12"/>
  <c r="D242" i="12"/>
  <c r="E242" i="6"/>
  <c r="X425" i="5"/>
  <c r="H425" i="12"/>
  <c r="H199" i="12"/>
  <c r="X199" i="5"/>
  <c r="Y18" i="12"/>
  <c r="X622" i="5"/>
  <c r="H622" i="12"/>
  <c r="C700" i="12"/>
  <c r="J700" i="12"/>
  <c r="L700" i="12"/>
  <c r="N450" i="12"/>
  <c r="Y509" i="12"/>
  <c r="E196" i="6"/>
  <c r="D196" i="12"/>
  <c r="X168" i="5"/>
  <c r="H168" i="12"/>
  <c r="X249" i="5"/>
  <c r="H249" i="12"/>
  <c r="W197" i="12"/>
  <c r="X394" i="12"/>
  <c r="E112" i="6"/>
  <c r="D112" i="12"/>
  <c r="N319" i="12"/>
  <c r="E243" i="6"/>
  <c r="D243" i="12"/>
  <c r="X470" i="5"/>
  <c r="H470" i="12"/>
  <c r="X465" i="5"/>
  <c r="H465" i="12"/>
  <c r="H205" i="12"/>
  <c r="X205" i="5"/>
  <c r="D452" i="12"/>
  <c r="E452" i="6"/>
  <c r="Y505" i="12"/>
  <c r="E727" i="6"/>
  <c r="D727" i="12"/>
  <c r="W359" i="12"/>
  <c r="X67" i="12"/>
  <c r="W67" i="12"/>
  <c r="D537" i="12"/>
  <c r="E537" i="6"/>
  <c r="Y428" i="12"/>
  <c r="AO427" i="12"/>
  <c r="D619" i="12"/>
  <c r="E619" i="6"/>
  <c r="X174" i="5"/>
  <c r="H174" i="12"/>
  <c r="H255" i="12"/>
  <c r="X255" i="5"/>
  <c r="X247" i="5"/>
  <c r="H247" i="12"/>
  <c r="N83" i="12"/>
  <c r="E436" i="6"/>
  <c r="D436" i="12"/>
  <c r="Y49" i="12"/>
  <c r="AO48" i="12"/>
  <c r="D67" i="12"/>
  <c r="E67" i="6"/>
  <c r="Y69" i="12"/>
  <c r="W557" i="12"/>
  <c r="X557" i="12"/>
  <c r="H640" i="12"/>
  <c r="X640" i="5"/>
  <c r="H145" i="12"/>
  <c r="X145" i="5"/>
  <c r="E43" i="6"/>
  <c r="D43" i="12"/>
  <c r="E79" i="6"/>
  <c r="D79" i="12"/>
  <c r="E631" i="6"/>
  <c r="D631" i="12"/>
  <c r="Y58" i="12"/>
  <c r="W233" i="12"/>
  <c r="X122" i="12"/>
  <c r="W122" i="12"/>
  <c r="H737" i="12"/>
  <c r="X737" i="5"/>
  <c r="W121" i="12"/>
  <c r="X121" i="12"/>
  <c r="D554" i="12"/>
  <c r="E554" i="6"/>
  <c r="Y364" i="12"/>
  <c r="D70" i="12"/>
  <c r="E70" i="6"/>
  <c r="E64" i="6"/>
  <c r="D64" i="12"/>
  <c r="E717" i="6"/>
  <c r="D717" i="12"/>
  <c r="X147" i="5"/>
  <c r="H147" i="12"/>
  <c r="X288" i="5"/>
  <c r="H288" i="12"/>
  <c r="X477" i="12"/>
  <c r="W477" i="12"/>
  <c r="E538" i="6"/>
  <c r="D538" i="12"/>
  <c r="L695" i="12"/>
  <c r="J695" i="12"/>
  <c r="C695" i="12"/>
  <c r="N335" i="12"/>
  <c r="O334" i="12"/>
  <c r="D55" i="12"/>
  <c r="E55" i="6"/>
  <c r="N44" i="12"/>
  <c r="H610" i="12"/>
  <c r="X610" i="5"/>
  <c r="X410" i="5"/>
  <c r="H410" i="12"/>
  <c r="AB108" i="5"/>
  <c r="M27" i="12"/>
  <c r="N66" i="12"/>
  <c r="H516" i="12"/>
  <c r="X516" i="5"/>
  <c r="Y374" i="12"/>
  <c r="E18" i="6"/>
  <c r="D18" i="12"/>
  <c r="Y107" i="12"/>
  <c r="AO105" i="12"/>
  <c r="AO106" i="12"/>
  <c r="Y211" i="12"/>
  <c r="N531" i="12"/>
  <c r="O60" i="12"/>
  <c r="N61" i="12"/>
  <c r="H176" i="12"/>
  <c r="X176" i="5"/>
  <c r="C369" i="12"/>
  <c r="J369" i="12"/>
  <c r="L369" i="12"/>
  <c r="E521" i="6"/>
  <c r="D521" i="12"/>
  <c r="E588" i="6"/>
  <c r="D588" i="12"/>
  <c r="D707" i="12"/>
  <c r="E707" i="6"/>
  <c r="D270" i="12"/>
  <c r="E270" i="6"/>
  <c r="E324" i="6"/>
  <c r="D324" i="12"/>
  <c r="M207" i="12"/>
  <c r="AO660" i="12"/>
  <c r="Y661" i="12"/>
  <c r="E376" i="6"/>
  <c r="D376" i="12"/>
  <c r="E531" i="6"/>
  <c r="D531" i="12"/>
  <c r="H744" i="12"/>
  <c r="X744" i="5"/>
  <c r="X80" i="12"/>
  <c r="X231" i="5"/>
  <c r="H231" i="12"/>
  <c r="J709" i="12"/>
  <c r="L709" i="12"/>
  <c r="C709" i="12"/>
  <c r="X358" i="12"/>
  <c r="W358" i="12"/>
  <c r="N380" i="12"/>
  <c r="O379" i="12"/>
  <c r="X745" i="5"/>
  <c r="H745" i="12"/>
  <c r="X735" i="5"/>
  <c r="H735" i="12"/>
  <c r="N363" i="12"/>
  <c r="Y651" i="12"/>
  <c r="D216" i="12"/>
  <c r="E216" i="6"/>
  <c r="N529" i="12"/>
  <c r="E132" i="6"/>
  <c r="D132" i="12"/>
  <c r="H155" i="12"/>
  <c r="X155" i="5"/>
  <c r="C518" i="12"/>
  <c r="L518" i="12"/>
  <c r="J518" i="12"/>
  <c r="Y239" i="12"/>
  <c r="Y592" i="12"/>
  <c r="Y210" i="12"/>
  <c r="N197" i="12"/>
  <c r="E118" i="6"/>
  <c r="D118" i="12"/>
  <c r="Y555" i="12"/>
  <c r="Y548" i="12"/>
  <c r="N383" i="12"/>
  <c r="Y193" i="12"/>
  <c r="E111" i="6"/>
  <c r="D111" i="12"/>
  <c r="Y679" i="12"/>
  <c r="N496" i="12"/>
  <c r="E98" i="6"/>
  <c r="D98" i="12"/>
  <c r="Y468" i="12"/>
  <c r="N523" i="12"/>
  <c r="X641" i="5"/>
  <c r="H641" i="12"/>
  <c r="X166" i="5"/>
  <c r="H166" i="12"/>
  <c r="H353" i="12"/>
  <c r="X353" i="5"/>
  <c r="X730" i="5"/>
  <c r="H730" i="12"/>
  <c r="Y83" i="12"/>
  <c r="E272" i="6"/>
  <c r="D272" i="12"/>
  <c r="Y388" i="12"/>
  <c r="D386" i="12"/>
  <c r="E386" i="6"/>
  <c r="N557" i="12"/>
  <c r="N196" i="12"/>
  <c r="H23" i="12"/>
  <c r="X23" i="5"/>
  <c r="Y309" i="12"/>
  <c r="N321" i="12"/>
  <c r="E541" i="6"/>
  <c r="D541" i="12"/>
  <c r="C427" i="12"/>
  <c r="J427" i="12"/>
  <c r="L427" i="12"/>
  <c r="Y46" i="12"/>
  <c r="N447" i="12"/>
  <c r="N233" i="12"/>
  <c r="N551" i="12"/>
  <c r="E714" i="6"/>
  <c r="D714" i="12"/>
  <c r="H463" i="12"/>
  <c r="X463" i="5"/>
  <c r="M87" i="12"/>
  <c r="M86" i="12"/>
  <c r="Y133" i="12"/>
  <c r="N121" i="12"/>
  <c r="Y96" i="12"/>
  <c r="N238" i="12"/>
  <c r="Y525" i="12"/>
  <c r="E66" i="6"/>
  <c r="D66" i="12"/>
  <c r="Y182" i="12"/>
  <c r="X738" i="5"/>
  <c r="H738" i="12"/>
  <c r="N477" i="12"/>
  <c r="C695" i="6"/>
  <c r="O695" i="5"/>
  <c r="N313" i="12"/>
  <c r="AO334" i="12"/>
  <c r="Y335" i="12"/>
  <c r="D647" i="12"/>
  <c r="E647" i="6"/>
  <c r="N712" i="12"/>
  <c r="E209" i="6"/>
  <c r="D209" i="12"/>
  <c r="E645" i="6"/>
  <c r="D645" i="12"/>
  <c r="Y44" i="12"/>
  <c r="Y418" i="12"/>
  <c r="X589" i="5"/>
  <c r="H589" i="12"/>
  <c r="E701" i="6"/>
  <c r="D701" i="12"/>
  <c r="N538" i="12"/>
  <c r="Y291" i="12"/>
  <c r="N521" i="12"/>
  <c r="N212" i="12"/>
  <c r="D215" i="12"/>
  <c r="E215" i="6"/>
  <c r="N681" i="12"/>
  <c r="N74" i="12"/>
  <c r="AO27" i="12"/>
  <c r="Y28" i="12"/>
  <c r="Y453" i="12"/>
  <c r="D32" i="12"/>
  <c r="E32" i="6"/>
  <c r="Y66" i="12"/>
  <c r="AB430" i="5"/>
  <c r="X579" i="5"/>
  <c r="H579" i="12"/>
  <c r="X314" i="5"/>
  <c r="H314" i="12"/>
  <c r="H366" i="12"/>
  <c r="X366" i="5"/>
  <c r="D214" i="12"/>
  <c r="E214" i="6"/>
  <c r="N595" i="12"/>
  <c r="Y494" i="12"/>
  <c r="N107" i="12"/>
  <c r="O106" i="12"/>
  <c r="O105" i="12"/>
  <c r="D335" i="12"/>
  <c r="E335" i="6"/>
  <c r="N209" i="12"/>
  <c r="Y50" i="12"/>
  <c r="Y531" i="12"/>
  <c r="X24" i="5"/>
  <c r="H24" i="12"/>
  <c r="Y61" i="12"/>
  <c r="AO60" i="12"/>
  <c r="H248" i="12"/>
  <c r="X248" i="5"/>
  <c r="X467" i="5"/>
  <c r="H467" i="12"/>
  <c r="E524" i="6"/>
  <c r="D524" i="12"/>
  <c r="N225" i="12"/>
  <c r="AB535" i="5"/>
  <c r="N32" i="12"/>
  <c r="D109" i="12"/>
  <c r="E109" i="6"/>
  <c r="Y194" i="12"/>
  <c r="H632" i="12"/>
  <c r="X632" i="5"/>
  <c r="X643" i="5"/>
  <c r="H643" i="12"/>
  <c r="X244" i="5"/>
  <c r="H244" i="12"/>
  <c r="D30" i="12"/>
  <c r="E30" i="6"/>
  <c r="M660" i="12"/>
  <c r="AB114" i="5"/>
  <c r="E428" i="6"/>
  <c r="D428" i="12"/>
  <c r="X649" i="5"/>
  <c r="H649" i="12"/>
  <c r="X280" i="5"/>
  <c r="H280" i="12"/>
  <c r="N680" i="12"/>
  <c r="N664" i="12"/>
  <c r="Y180" i="12"/>
  <c r="E658" i="6"/>
  <c r="D658" i="12"/>
  <c r="C518" i="6"/>
  <c r="O518" i="5"/>
  <c r="N592" i="12"/>
  <c r="E724" i="6"/>
  <c r="D724" i="12"/>
  <c r="Y688" i="12"/>
  <c r="N548" i="12"/>
  <c r="Y386" i="12"/>
  <c r="D529" i="12"/>
  <c r="E529" i="6"/>
  <c r="X187" i="5"/>
  <c r="H187" i="12"/>
  <c r="X200" i="5"/>
  <c r="H200" i="12"/>
  <c r="H602" i="12"/>
  <c r="X602" i="5"/>
  <c r="E543" i="6"/>
  <c r="D543" i="12"/>
  <c r="N368" i="12"/>
  <c r="E534" i="6"/>
  <c r="D534" i="12"/>
  <c r="D394" i="12"/>
  <c r="E394" i="6"/>
  <c r="Y385" i="12"/>
  <c r="Y719" i="12"/>
  <c r="H639" i="12"/>
  <c r="X639" i="5"/>
  <c r="D193" i="12"/>
  <c r="E193" i="6"/>
  <c r="X329" i="12"/>
  <c r="Y365" i="12"/>
  <c r="N631" i="12"/>
  <c r="N49" i="12"/>
  <c r="O48" i="12"/>
  <c r="X126" i="5"/>
  <c r="H126" i="12"/>
  <c r="X198" i="5"/>
  <c r="H198" i="12"/>
  <c r="D121" i="12"/>
  <c r="E121" i="6"/>
  <c r="Y41" i="12"/>
  <c r="AO40" i="12"/>
  <c r="E373" i="6"/>
  <c r="D373" i="12"/>
  <c r="C427" i="6"/>
  <c r="O427" i="5"/>
  <c r="H257" i="12"/>
  <c r="X257" i="5"/>
  <c r="H172" i="12"/>
  <c r="X172" i="5"/>
  <c r="O87" i="12"/>
  <c r="N88" i="12"/>
  <c r="O86" i="12"/>
  <c r="N133" i="12"/>
  <c r="N96" i="12"/>
  <c r="N364" i="12"/>
  <c r="E344" i="6"/>
  <c r="D344" i="12"/>
  <c r="X485" i="5"/>
  <c r="H485" i="12"/>
  <c r="X142" i="5"/>
  <c r="H142" i="12"/>
  <c r="X135" i="12"/>
  <c r="W135" i="12"/>
  <c r="N612" i="12"/>
  <c r="D307" i="12"/>
  <c r="E307" i="6"/>
  <c r="Y93" i="12"/>
  <c r="X137" i="5"/>
  <c r="H137" i="12"/>
  <c r="X413" i="5"/>
  <c r="H413" i="12"/>
  <c r="N299" i="12"/>
  <c r="E84" i="6"/>
  <c r="D84" i="12"/>
  <c r="D712" i="12"/>
  <c r="E712" i="6"/>
  <c r="W707" i="12"/>
  <c r="X707" i="12"/>
  <c r="N28" i="12"/>
  <c r="O27" i="12"/>
  <c r="X676" i="5"/>
  <c r="H676" i="12"/>
  <c r="E532" i="6"/>
  <c r="D532" i="12"/>
  <c r="H153" i="12"/>
  <c r="X153" i="5"/>
  <c r="E120" i="6"/>
  <c r="D120" i="12"/>
  <c r="X595" i="12"/>
  <c r="Y56" i="12"/>
  <c r="N215" i="12"/>
  <c r="W590" i="12"/>
  <c r="N659" i="12"/>
  <c r="E218" i="6"/>
  <c r="D218" i="12"/>
  <c r="E671" i="6"/>
  <c r="D671" i="12"/>
  <c r="X599" i="5"/>
  <c r="H599" i="12"/>
  <c r="X21" i="5"/>
  <c r="H21" i="12"/>
  <c r="H264" i="12"/>
  <c r="X264" i="5"/>
  <c r="E208" i="6"/>
  <c r="D208" i="12"/>
  <c r="E252" i="6"/>
  <c r="D252" i="12"/>
  <c r="C379" i="6"/>
  <c r="O379" i="5"/>
  <c r="N63" i="12"/>
  <c r="D711" i="12"/>
  <c r="E711" i="6"/>
  <c r="D542" i="12"/>
  <c r="E542" i="6"/>
  <c r="Y311" i="12"/>
  <c r="N547" i="12"/>
  <c r="X159" i="5"/>
  <c r="H159" i="12"/>
  <c r="X629" i="5"/>
  <c r="H629" i="12"/>
  <c r="N208" i="12"/>
  <c r="O207" i="12"/>
  <c r="W558" i="12"/>
  <c r="X558" i="12"/>
  <c r="E20" i="6"/>
  <c r="D20" i="12"/>
  <c r="Y110" i="12"/>
  <c r="D484" i="12"/>
  <c r="E484" i="6"/>
  <c r="Y645" i="12"/>
  <c r="AO644" i="12"/>
  <c r="H482" i="12"/>
  <c r="X482" i="5"/>
  <c r="E395" i="6"/>
  <c r="D395" i="12"/>
  <c r="O251" i="5"/>
  <c r="C251" i="6"/>
  <c r="H445" i="12"/>
  <c r="X445" i="5"/>
  <c r="H611" i="12"/>
  <c r="X611" i="5"/>
  <c r="C700" i="6"/>
  <c r="O700" i="5"/>
  <c r="N281" i="12"/>
  <c r="D527" i="12"/>
  <c r="E527" i="6"/>
  <c r="N693" i="12"/>
  <c r="E725" i="6"/>
  <c r="D725" i="12"/>
  <c r="X138" i="5"/>
  <c r="H138" i="12"/>
  <c r="X492" i="5"/>
  <c r="H492" i="12"/>
  <c r="H576" i="12"/>
  <c r="X576" i="5"/>
  <c r="N180" i="12"/>
  <c r="Y727" i="12"/>
  <c r="N350" i="12"/>
  <c r="E321" i="6"/>
  <c r="D321" i="12"/>
  <c r="N636" i="12"/>
  <c r="D385" i="12"/>
  <c r="E385" i="6"/>
  <c r="N404" i="12"/>
  <c r="Y91" i="12"/>
  <c r="E438" i="6"/>
  <c r="D438" i="12"/>
  <c r="X416" i="5"/>
  <c r="H416" i="12"/>
  <c r="Y92" i="12"/>
  <c r="M114" i="12"/>
  <c r="N556" i="12"/>
  <c r="D268" i="12"/>
  <c r="E268" i="6"/>
  <c r="Y118" i="12"/>
  <c r="Y373" i="12"/>
  <c r="E388" i="6"/>
  <c r="D388" i="12"/>
  <c r="N468" i="12"/>
  <c r="Y64" i="12"/>
  <c r="D450" i="12"/>
  <c r="E450" i="6"/>
  <c r="X139" i="5"/>
  <c r="H139" i="12"/>
  <c r="Y253" i="12"/>
  <c r="D228" i="12"/>
  <c r="E228" i="6"/>
  <c r="D726" i="12"/>
  <c r="E726" i="6"/>
  <c r="N329" i="12"/>
  <c r="Y631" i="12"/>
  <c r="M48" i="12"/>
  <c r="J644" i="12"/>
  <c r="C644" i="12"/>
  <c r="L644" i="12"/>
  <c r="AB27" i="5"/>
  <c r="C20" i="8" s="1"/>
  <c r="D63" i="12"/>
  <c r="E63" i="6"/>
  <c r="N703" i="12"/>
  <c r="X642" i="5"/>
  <c r="H642" i="12"/>
  <c r="L87" i="12"/>
  <c r="J87" i="12"/>
  <c r="C87" i="12"/>
  <c r="X111" i="12"/>
  <c r="M40" i="12"/>
  <c r="Y534" i="12"/>
  <c r="Y33" i="12"/>
  <c r="N116" i="12"/>
  <c r="H150" i="12"/>
  <c r="X150" i="5"/>
  <c r="X220" i="5"/>
  <c r="H220" i="12"/>
  <c r="X687" i="5"/>
  <c r="H687" i="12"/>
  <c r="AO86" i="12"/>
  <c r="AO87" i="12"/>
  <c r="Y88" i="12"/>
  <c r="Y370" i="12"/>
  <c r="AO369" i="12"/>
  <c r="N348" i="12"/>
  <c r="N377" i="12"/>
  <c r="Y84" i="12"/>
  <c r="D520" i="12"/>
  <c r="E520" i="6"/>
  <c r="Y282" i="12"/>
  <c r="Y179" i="12"/>
  <c r="H620" i="12"/>
  <c r="X620" i="5"/>
  <c r="X603" i="5"/>
  <c r="H603" i="12"/>
  <c r="N431" i="12"/>
  <c r="O430" i="12"/>
  <c r="D455" i="12"/>
  <c r="E455" i="6"/>
  <c r="AB369" i="5"/>
  <c r="C106" i="6"/>
  <c r="O106" i="5"/>
  <c r="N566" i="12"/>
  <c r="D33" i="12"/>
  <c r="E33" i="6"/>
  <c r="AB236" i="5"/>
  <c r="X408" i="5"/>
  <c r="H408" i="12"/>
  <c r="Y325" i="12"/>
  <c r="D392" i="12"/>
  <c r="E392" i="6"/>
  <c r="Y432" i="12"/>
  <c r="Y307" i="12"/>
  <c r="N454" i="12"/>
  <c r="H741" i="12"/>
  <c r="X741" i="5"/>
  <c r="N481" i="12"/>
  <c r="H572" i="12"/>
  <c r="X572" i="5"/>
  <c r="H127" i="12"/>
  <c r="X127" i="5"/>
  <c r="X263" i="5"/>
  <c r="H263" i="12"/>
  <c r="Y524" i="12"/>
  <c r="Y528" i="12"/>
  <c r="D656" i="12"/>
  <c r="E656" i="6"/>
  <c r="N590" i="12"/>
  <c r="D34" i="12"/>
  <c r="E34" i="6"/>
  <c r="N484" i="12"/>
  <c r="X582" i="5"/>
  <c r="H582" i="12"/>
  <c r="C430" i="6"/>
  <c r="O430" i="5"/>
  <c r="Y360" i="12"/>
  <c r="Y657" i="12"/>
  <c r="N429" i="12"/>
  <c r="N224" i="12"/>
  <c r="N72" i="12"/>
  <c r="E122" i="6"/>
  <c r="D122" i="12"/>
  <c r="E53" i="6"/>
  <c r="D53" i="12"/>
  <c r="N514" i="12"/>
  <c r="X256" i="5"/>
  <c r="H256" i="12"/>
  <c r="E586" i="6"/>
  <c r="D586" i="12"/>
  <c r="Y208" i="12"/>
  <c r="AO207" i="12"/>
  <c r="N349" i="12"/>
  <c r="Y289" i="12"/>
  <c r="O660" i="12"/>
  <c r="N661" i="12"/>
  <c r="D311" i="12"/>
  <c r="E311" i="6"/>
  <c r="E312" i="6"/>
  <c r="D312" i="12"/>
  <c r="D50" i="12"/>
  <c r="E50" i="6"/>
  <c r="Y132" i="12"/>
  <c r="C731" i="6"/>
  <c r="O731" i="5"/>
  <c r="X728" i="5"/>
  <c r="H728" i="12"/>
  <c r="C653" i="12"/>
  <c r="J653" i="12"/>
  <c r="L653" i="12"/>
  <c r="N553" i="12"/>
  <c r="AB106" i="5"/>
  <c r="AB105" i="5"/>
  <c r="C29" i="8" s="1"/>
  <c r="E237" i="6"/>
  <c r="D237" i="12"/>
  <c r="X614" i="5"/>
  <c r="H614" i="12"/>
  <c r="X510" i="5"/>
  <c r="H510" i="12"/>
  <c r="D239" i="12"/>
  <c r="E239" i="6"/>
  <c r="N545" i="12"/>
  <c r="Y57" i="12"/>
  <c r="E350" i="6"/>
  <c r="D350" i="12"/>
  <c r="Y693" i="12"/>
  <c r="Y714" i="12"/>
  <c r="N651" i="12"/>
  <c r="D323" i="12"/>
  <c r="E323" i="6"/>
  <c r="N298" i="12"/>
  <c r="N438" i="12"/>
  <c r="X746" i="5"/>
  <c r="H746" i="12"/>
  <c r="Y664" i="12"/>
  <c r="Y79" i="12"/>
  <c r="N716" i="12"/>
  <c r="D110" i="12"/>
  <c r="E110" i="6"/>
  <c r="Y404" i="12"/>
  <c r="N216" i="12"/>
  <c r="Y295" i="12"/>
  <c r="D72" i="12"/>
  <c r="E72" i="6"/>
  <c r="H396" i="12"/>
  <c r="X396" i="5"/>
  <c r="H259" i="12"/>
  <c r="X259" i="5"/>
  <c r="AB709" i="5"/>
  <c r="N698" i="12"/>
  <c r="N115" i="12"/>
  <c r="O114" i="12"/>
  <c r="N679" i="12"/>
  <c r="N303" i="12"/>
  <c r="AB60" i="5"/>
  <c r="W523" i="12"/>
  <c r="X523" i="12"/>
  <c r="X316" i="5"/>
  <c r="H316" i="12"/>
  <c r="H99" i="12"/>
  <c r="X99" i="5"/>
  <c r="X331" i="5"/>
  <c r="H331" i="12"/>
  <c r="Y356" i="12"/>
  <c r="E348" i="6"/>
  <c r="D348" i="12"/>
  <c r="D113" i="12"/>
  <c r="E113" i="6"/>
  <c r="E197" i="6"/>
  <c r="D197" i="12"/>
  <c r="C375" i="6"/>
  <c r="O375" i="5"/>
  <c r="C644" i="6"/>
  <c r="O644" i="5"/>
  <c r="N283" i="12"/>
  <c r="Y81" i="12"/>
  <c r="Y414" i="12"/>
  <c r="X444" i="5"/>
  <c r="H444" i="12"/>
  <c r="Y703" i="12"/>
  <c r="X161" i="5"/>
  <c r="H161" i="12"/>
  <c r="Y452" i="12"/>
  <c r="N111" i="12"/>
  <c r="D696" i="12"/>
  <c r="E696" i="6"/>
  <c r="E525" i="6"/>
  <c r="D525" i="12"/>
  <c r="D435" i="12"/>
  <c r="E435" i="6"/>
  <c r="Y507" i="12"/>
  <c r="N399" i="12"/>
  <c r="Y415" i="12"/>
  <c r="N717" i="12"/>
  <c r="N29" i="12"/>
  <c r="H219" i="12"/>
  <c r="X219" i="5"/>
  <c r="N370" i="12"/>
  <c r="O369" i="12"/>
  <c r="N420" i="12"/>
  <c r="H511" i="12"/>
  <c r="X511" i="5"/>
  <c r="H575" i="12"/>
  <c r="X575" i="5"/>
  <c r="H101" i="12"/>
  <c r="X101" i="5"/>
  <c r="N710" i="12"/>
  <c r="O709" i="12"/>
  <c r="Y343" i="12"/>
  <c r="X566" i="12"/>
  <c r="Y612" i="12"/>
  <c r="E19" i="6"/>
  <c r="D19" i="12"/>
  <c r="N405" i="12"/>
  <c r="Y520" i="12"/>
  <c r="N587" i="12"/>
  <c r="N564" i="12"/>
  <c r="D65" i="12"/>
  <c r="E65" i="6"/>
  <c r="N242" i="12"/>
  <c r="X493" i="5"/>
  <c r="H493" i="12"/>
  <c r="X634" i="5"/>
  <c r="H634" i="12"/>
  <c r="AB207" i="5"/>
  <c r="Y82" i="12"/>
  <c r="Y104" i="12"/>
  <c r="Y299" i="12"/>
  <c r="Y76" i="12"/>
  <c r="N307" i="12"/>
  <c r="Y275" i="12"/>
  <c r="Y570" i="12"/>
  <c r="Y474" i="12"/>
  <c r="J236" i="12"/>
  <c r="C236" i="12"/>
  <c r="L236" i="12"/>
  <c r="AO654" i="12"/>
  <c r="AO653" i="12"/>
  <c r="Y655" i="12"/>
  <c r="H129" i="12"/>
  <c r="X129" i="5"/>
  <c r="E345" i="6"/>
  <c r="D345" i="12"/>
  <c r="N616" i="12"/>
  <c r="W204" i="12"/>
  <c r="X204" i="12"/>
  <c r="X479" i="12"/>
  <c r="W479" i="12"/>
  <c r="N702" i="12"/>
  <c r="Y237" i="12"/>
  <c r="AO236" i="12"/>
  <c r="Y484" i="12"/>
  <c r="H128" i="12"/>
  <c r="X128" i="5"/>
  <c r="X351" i="5"/>
  <c r="H351" i="12"/>
  <c r="N30" i="12"/>
  <c r="X586" i="12"/>
  <c r="W586" i="12"/>
  <c r="N310" i="12"/>
  <c r="E528" i="6"/>
  <c r="D528" i="12"/>
  <c r="D347" i="12"/>
  <c r="E347" i="6"/>
  <c r="D389" i="12"/>
  <c r="E389" i="6"/>
  <c r="Y585" i="12"/>
  <c r="Y72" i="12"/>
  <c r="N311" i="12"/>
  <c r="N342" i="12"/>
  <c r="X503" i="5"/>
  <c r="H503" i="12"/>
  <c r="Y228" i="12"/>
  <c r="Y559" i="12"/>
  <c r="E437" i="6"/>
  <c r="D437" i="12"/>
  <c r="Y619" i="12"/>
  <c r="Y243" i="12"/>
  <c r="Y699" i="12"/>
  <c r="N706" i="12"/>
  <c r="C114" i="12"/>
  <c r="J114" i="12"/>
  <c r="L114" i="12"/>
  <c r="Y434" i="12"/>
  <c r="H621" i="12"/>
  <c r="X621" i="5"/>
  <c r="X232" i="5"/>
  <c r="H232" i="12"/>
  <c r="Y357" i="12"/>
  <c r="D42" i="12"/>
  <c r="E42" i="6"/>
  <c r="D336" i="12"/>
  <c r="E336" i="6"/>
  <c r="E210" i="6"/>
  <c r="D210" i="12"/>
  <c r="D342" i="12"/>
  <c r="E342" i="6"/>
  <c r="L731" i="12"/>
  <c r="J731" i="12"/>
  <c r="C731" i="12"/>
  <c r="X178" i="5"/>
  <c r="H178" i="12"/>
  <c r="X573" i="5"/>
  <c r="H573" i="12"/>
  <c r="X201" i="5"/>
  <c r="H201" i="12"/>
  <c r="Y439" i="12"/>
  <c r="Y398" i="12"/>
  <c r="N117" i="12"/>
  <c r="Y333" i="12"/>
  <c r="Y419" i="12"/>
  <c r="E69" i="6"/>
  <c r="D69" i="12"/>
  <c r="N91" i="12"/>
  <c r="Y732" i="12"/>
  <c r="AO731" i="12"/>
  <c r="X678" i="5"/>
  <c r="H678" i="12"/>
  <c r="X476" i="5"/>
  <c r="H476" i="12"/>
  <c r="N469" i="12"/>
  <c r="N527" i="12"/>
  <c r="N118" i="12"/>
  <c r="N64" i="12"/>
  <c r="X448" i="5"/>
  <c r="H448" i="12"/>
  <c r="N395" i="12"/>
  <c r="D133" i="12"/>
  <c r="E133" i="6"/>
  <c r="D319" i="12"/>
  <c r="E319" i="6"/>
  <c r="X151" i="5"/>
  <c r="H151" i="12"/>
  <c r="H736" i="12"/>
  <c r="X736" i="5"/>
  <c r="O40" i="12"/>
  <c r="N41" i="12"/>
  <c r="E453" i="6"/>
  <c r="D453" i="12"/>
  <c r="J654" i="12"/>
  <c r="C654" i="12"/>
  <c r="L654" i="12"/>
  <c r="X265" i="5"/>
  <c r="H265" i="12"/>
  <c r="X332" i="5"/>
  <c r="H332" i="12"/>
  <c r="E325" i="6"/>
  <c r="D325" i="12"/>
  <c r="D384" i="12"/>
  <c r="E384" i="6"/>
  <c r="D720" i="12"/>
  <c r="E720" i="6"/>
  <c r="E46" i="6"/>
  <c r="D46" i="12"/>
  <c r="M709" i="12"/>
  <c r="E371" i="6"/>
  <c r="D371" i="12"/>
  <c r="J106" i="12"/>
  <c r="C106" i="12"/>
  <c r="L106" i="12"/>
  <c r="W405" i="12"/>
  <c r="W587" i="12"/>
  <c r="X587" i="12"/>
  <c r="C535" i="12"/>
  <c r="L535" i="12"/>
  <c r="J535" i="12"/>
  <c r="X508" i="5"/>
  <c r="H508" i="12"/>
  <c r="H517" i="12"/>
  <c r="X517" i="5"/>
  <c r="N76" i="12"/>
  <c r="X454" i="12"/>
  <c r="W454" i="12"/>
  <c r="O654" i="12"/>
  <c r="N655" i="12"/>
  <c r="O653" i="12"/>
  <c r="M700" i="12"/>
  <c r="X175" i="5"/>
  <c r="H175" i="12"/>
  <c r="X689" i="5"/>
  <c r="H689" i="12"/>
  <c r="X616" i="12"/>
  <c r="W616" i="12"/>
  <c r="Y554" i="12"/>
  <c r="Y312" i="12"/>
  <c r="W659" i="12"/>
  <c r="D73" i="12"/>
  <c r="E73" i="6"/>
  <c r="X472" i="5"/>
  <c r="H472" i="12"/>
  <c r="L108" i="12"/>
  <c r="J108" i="12"/>
  <c r="C108" i="12"/>
  <c r="C430" i="12"/>
  <c r="J430" i="12"/>
  <c r="L430" i="12"/>
  <c r="E670" i="6"/>
  <c r="D670" i="12"/>
  <c r="X310" i="12"/>
  <c r="E56" i="6"/>
  <c r="D56" i="12"/>
  <c r="Y352" i="12"/>
  <c r="L379" i="12"/>
  <c r="C379" i="12"/>
  <c r="J379" i="12"/>
  <c r="N585" i="12"/>
  <c r="N52" i="12"/>
  <c r="Y342" i="12"/>
  <c r="X422" i="5"/>
  <c r="H422" i="12"/>
  <c r="X506" i="5"/>
  <c r="H506" i="12"/>
  <c r="AB700" i="5"/>
  <c r="N228" i="12"/>
  <c r="Y345" i="12"/>
  <c r="E52" i="6"/>
  <c r="D52" i="12"/>
  <c r="N619" i="12"/>
  <c r="N558" i="12"/>
  <c r="W706" i="12"/>
  <c r="N217" i="12"/>
  <c r="X565" i="12" l="1"/>
  <c r="W281" i="12"/>
  <c r="T281" i="12" s="1"/>
  <c r="X29" i="12"/>
  <c r="X20" i="12"/>
  <c r="X32" i="12"/>
  <c r="X538" i="12"/>
  <c r="X363" i="12"/>
  <c r="X486" i="12"/>
  <c r="W601" i="12"/>
  <c r="W349" i="12"/>
  <c r="V349" i="12" s="1"/>
  <c r="W447" i="12"/>
  <c r="V447" i="12" s="1"/>
  <c r="X547" i="12"/>
  <c r="X74" i="12"/>
  <c r="X225" i="12"/>
  <c r="N334" i="12"/>
  <c r="W522" i="12"/>
  <c r="W383" i="12"/>
  <c r="X51" i="12"/>
  <c r="N251" i="12"/>
  <c r="X97" i="12"/>
  <c r="X675" i="12"/>
  <c r="W47" i="12"/>
  <c r="V47" i="12" s="1"/>
  <c r="N518" i="12"/>
  <c r="Y119" i="12"/>
  <c r="N106" i="12"/>
  <c r="N60" i="12"/>
  <c r="N207" i="12"/>
  <c r="X541" i="12"/>
  <c r="W63" i="12"/>
  <c r="X550" i="12"/>
  <c r="W321" i="12"/>
  <c r="U321" i="12" s="1"/>
  <c r="X224" i="12"/>
  <c r="X308" i="12"/>
  <c r="X43" i="12"/>
  <c r="W75" i="12"/>
  <c r="V75" i="12" s="1"/>
  <c r="Y251" i="12"/>
  <c r="W68" i="12"/>
  <c r="U68" i="12" s="1"/>
  <c r="N369" i="12"/>
  <c r="X498" i="12"/>
  <c r="X103" i="12"/>
  <c r="W70" i="12"/>
  <c r="X323" i="12"/>
  <c r="X292" i="12"/>
  <c r="W297" i="12"/>
  <c r="X521" i="12"/>
  <c r="X556" i="12"/>
  <c r="Y427" i="12"/>
  <c r="W427" i="12" s="1"/>
  <c r="Y60" i="12"/>
  <c r="Y86" i="12"/>
  <c r="W86" i="12" s="1"/>
  <c r="W673" i="12"/>
  <c r="U673" i="12" s="1"/>
  <c r="X514" i="12"/>
  <c r="W437" i="12"/>
  <c r="X296" i="12"/>
  <c r="X690" i="12"/>
  <c r="W215" i="12"/>
  <c r="T215" i="12" s="1"/>
  <c r="X625" i="12"/>
  <c r="X656" i="12"/>
  <c r="W542" i="12"/>
  <c r="V542" i="12" s="1"/>
  <c r="N660" i="12"/>
  <c r="Y700" i="12"/>
  <c r="X700" i="12" s="1"/>
  <c r="Y731" i="12"/>
  <c r="W731" i="12" s="1"/>
  <c r="N379" i="12"/>
  <c r="W537" i="12"/>
  <c r="U537" i="12" s="1"/>
  <c r="X712" i="12"/>
  <c r="X564" i="12"/>
  <c r="N430" i="12"/>
  <c r="X438" i="12"/>
  <c r="X441" i="12"/>
  <c r="W637" i="12"/>
  <c r="W368" i="12"/>
  <c r="U368" i="12" s="1"/>
  <c r="X681" i="12"/>
  <c r="X496" i="12"/>
  <c r="X429" i="12"/>
  <c r="K430" i="12"/>
  <c r="X196" i="12"/>
  <c r="W481" i="12"/>
  <c r="V481" i="12" s="1"/>
  <c r="X218" i="12"/>
  <c r="W183" i="12"/>
  <c r="V183" i="12" s="1"/>
  <c r="X216" i="12"/>
  <c r="X636" i="12"/>
  <c r="W545" i="12"/>
  <c r="W217" i="12"/>
  <c r="V217" i="12" s="1"/>
  <c r="W52" i="12"/>
  <c r="T52" i="12" s="1"/>
  <c r="N654" i="12"/>
  <c r="X302" i="12"/>
  <c r="W300" i="12"/>
  <c r="U300" i="12" s="1"/>
  <c r="X711" i="12"/>
  <c r="X293" i="12"/>
  <c r="W527" i="12"/>
  <c r="T527" i="12" s="1"/>
  <c r="W393" i="12"/>
  <c r="T393" i="12" s="1"/>
  <c r="W89" i="12"/>
  <c r="U89" i="12" s="1"/>
  <c r="W551" i="12"/>
  <c r="W381" i="12"/>
  <c r="V381" i="12" s="1"/>
  <c r="K731" i="12"/>
  <c r="X716" i="12"/>
  <c r="X298" i="12"/>
  <c r="N86" i="12"/>
  <c r="X530" i="12"/>
  <c r="K427" i="12"/>
  <c r="X628" i="12"/>
  <c r="W529" i="12"/>
  <c r="X313" i="12"/>
  <c r="K207" i="12"/>
  <c r="Y207" i="12"/>
  <c r="K535" i="12"/>
  <c r="X713" i="12"/>
  <c r="N87" i="12"/>
  <c r="K334" i="12"/>
  <c r="K40" i="12"/>
  <c r="W458" i="12"/>
  <c r="V458" i="12" s="1"/>
  <c r="Y654" i="12"/>
  <c r="W654" i="12" s="1"/>
  <c r="X238" i="12"/>
  <c r="Y334" i="12"/>
  <c r="X497" i="12"/>
  <c r="X717" i="12"/>
  <c r="X65" i="12"/>
  <c r="K27" i="12"/>
  <c r="K379" i="12"/>
  <c r="N709" i="12"/>
  <c r="W327" i="12"/>
  <c r="U327" i="12" s="1"/>
  <c r="X54" i="12"/>
  <c r="G74" i="8"/>
  <c r="I75" i="8" s="1"/>
  <c r="W304" i="12"/>
  <c r="U304" i="12" s="1"/>
  <c r="K236" i="12"/>
  <c r="W272" i="12"/>
  <c r="K251" i="12"/>
  <c r="G29" i="8"/>
  <c r="I30" i="8" s="1"/>
  <c r="G20" i="8"/>
  <c r="I21" i="8" s="1"/>
  <c r="N114" i="12"/>
  <c r="N108" i="12"/>
  <c r="K709" i="12"/>
  <c r="X569" i="12"/>
  <c r="X571" i="12"/>
  <c r="Y236" i="12"/>
  <c r="W236" i="12" s="1"/>
  <c r="W226" i="12"/>
  <c r="V226" i="12" s="1"/>
  <c r="K86" i="12"/>
  <c r="W212" i="12"/>
  <c r="X650" i="12"/>
  <c r="W638" i="12"/>
  <c r="T638" i="12" s="1"/>
  <c r="N40" i="12"/>
  <c r="Y40" i="12"/>
  <c r="W40" i="12" s="1"/>
  <c r="Y660" i="12"/>
  <c r="W660" i="12" s="1"/>
  <c r="K105" i="12"/>
  <c r="Y653" i="12"/>
  <c r="X653" i="12" s="1"/>
  <c r="K119" i="12"/>
  <c r="L175" i="5"/>
  <c r="I175" i="12"/>
  <c r="Z175" i="5"/>
  <c r="AM175" i="5"/>
  <c r="AC175" i="5"/>
  <c r="K106" i="12"/>
  <c r="W419" i="12"/>
  <c r="X419" i="12"/>
  <c r="X357" i="12"/>
  <c r="W357" i="12"/>
  <c r="K114" i="12"/>
  <c r="X559" i="12"/>
  <c r="W559" i="12"/>
  <c r="X72" i="12"/>
  <c r="W72" i="12"/>
  <c r="V586" i="12"/>
  <c r="T586" i="12"/>
  <c r="U586" i="12"/>
  <c r="W76" i="12"/>
  <c r="X76" i="12"/>
  <c r="X343" i="12"/>
  <c r="W343" i="12"/>
  <c r="X81" i="12"/>
  <c r="W81" i="12"/>
  <c r="W356" i="12"/>
  <c r="X356" i="12"/>
  <c r="W295" i="12"/>
  <c r="X295" i="12"/>
  <c r="I746" i="12"/>
  <c r="Z746" i="5"/>
  <c r="L746" i="5"/>
  <c r="AM746" i="5"/>
  <c r="AC746" i="5"/>
  <c r="X92" i="12"/>
  <c r="W92" i="12"/>
  <c r="T438" i="12"/>
  <c r="V438" i="12"/>
  <c r="U438" i="12"/>
  <c r="AM629" i="5"/>
  <c r="Z629" i="5"/>
  <c r="L629" i="5"/>
  <c r="I629" i="12"/>
  <c r="AC629" i="5"/>
  <c r="U595" i="12"/>
  <c r="V595" i="12"/>
  <c r="T595" i="12"/>
  <c r="Z280" i="5"/>
  <c r="AM280" i="5"/>
  <c r="L280" i="5"/>
  <c r="I280" i="12"/>
  <c r="AC280" i="5"/>
  <c r="AM649" i="5"/>
  <c r="Z649" i="5"/>
  <c r="L649" i="5"/>
  <c r="I649" i="5"/>
  <c r="I650" i="5" s="1"/>
  <c r="I649" i="12"/>
  <c r="AC649" i="5"/>
  <c r="X646" i="5"/>
  <c r="W182" i="12"/>
  <c r="X182" i="12"/>
  <c r="X83" i="12"/>
  <c r="W83" i="12"/>
  <c r="U302" i="12"/>
  <c r="V302" i="12"/>
  <c r="T302" i="12"/>
  <c r="Z247" i="5"/>
  <c r="AM247" i="5"/>
  <c r="I247" i="12"/>
  <c r="L247" i="5"/>
  <c r="AC247" i="5"/>
  <c r="L580" i="5"/>
  <c r="AM580" i="5"/>
  <c r="Z580" i="5"/>
  <c r="I580" i="12"/>
  <c r="AC580" i="5"/>
  <c r="T183" i="12"/>
  <c r="E334" i="6"/>
  <c r="D334" i="12"/>
  <c r="V571" i="12"/>
  <c r="U571" i="12"/>
  <c r="T571" i="12"/>
  <c r="E60" i="6"/>
  <c r="D60" i="12"/>
  <c r="AM607" i="5"/>
  <c r="I607" i="12"/>
  <c r="L607" i="5"/>
  <c r="Z607" i="5"/>
  <c r="I607" i="5"/>
  <c r="AC607" i="5"/>
  <c r="X605" i="5"/>
  <c r="W674" i="12"/>
  <c r="X674" i="12"/>
  <c r="AM230" i="5"/>
  <c r="I230" i="12"/>
  <c r="L230" i="5"/>
  <c r="Z230" i="5"/>
  <c r="AC230" i="5"/>
  <c r="T650" i="12"/>
  <c r="U650" i="12"/>
  <c r="V650" i="12"/>
  <c r="I260" i="12"/>
  <c r="Z260" i="5"/>
  <c r="L260" i="5"/>
  <c r="AM260" i="5"/>
  <c r="AC260" i="5"/>
  <c r="U497" i="12"/>
  <c r="V497" i="12"/>
  <c r="T497" i="12"/>
  <c r="X346" i="12"/>
  <c r="W346" i="12"/>
  <c r="V34" i="12"/>
  <c r="T34" i="12"/>
  <c r="U34" i="12"/>
  <c r="X464" i="12"/>
  <c r="W464" i="12"/>
  <c r="U436" i="12"/>
  <c r="T436" i="12"/>
  <c r="V436" i="12"/>
  <c r="W235" i="12"/>
  <c r="X235" i="12"/>
  <c r="Z402" i="5"/>
  <c r="L402" i="5"/>
  <c r="I402" i="12"/>
  <c r="AM402" i="5"/>
  <c r="AC402" i="5"/>
  <c r="E535" i="6"/>
  <c r="D535" i="12"/>
  <c r="W19" i="12"/>
  <c r="X19" i="12"/>
  <c r="W344" i="12"/>
  <c r="X344" i="12"/>
  <c r="I421" i="12"/>
  <c r="L421" i="5"/>
  <c r="Z421" i="5"/>
  <c r="AM421" i="5"/>
  <c r="AC421" i="5"/>
  <c r="W409" i="12"/>
  <c r="X409" i="12"/>
  <c r="Z684" i="5"/>
  <c r="AM684" i="5"/>
  <c r="L684" i="5"/>
  <c r="I684" i="12"/>
  <c r="AC684" i="5"/>
  <c r="X117" i="12"/>
  <c r="W117" i="12"/>
  <c r="I501" i="5"/>
  <c r="I502" i="5" s="1"/>
  <c r="I503" i="5" s="1"/>
  <c r="I504" i="5" s="1"/>
  <c r="I505" i="5" s="1"/>
  <c r="O505" i="5" s="1"/>
  <c r="I501" i="12"/>
  <c r="L501" i="5"/>
  <c r="Z501" i="5"/>
  <c r="AM501" i="5"/>
  <c r="X500" i="5"/>
  <c r="AC501" i="5"/>
  <c r="V45" i="12"/>
  <c r="U45" i="12"/>
  <c r="T45" i="12"/>
  <c r="I583" i="12"/>
  <c r="AM583" i="5"/>
  <c r="Z583" i="5"/>
  <c r="L583" i="5"/>
  <c r="AC583" i="5"/>
  <c r="X242" i="12"/>
  <c r="W242" i="12"/>
  <c r="W278" i="12"/>
  <c r="X278" i="12"/>
  <c r="AM261" i="5"/>
  <c r="I261" i="12"/>
  <c r="L261" i="5"/>
  <c r="Z261" i="5"/>
  <c r="AC261" i="5"/>
  <c r="V395" i="12"/>
  <c r="T395" i="12"/>
  <c r="U395" i="12"/>
  <c r="Y114" i="12"/>
  <c r="T659" i="12"/>
  <c r="V659" i="12"/>
  <c r="U659" i="12"/>
  <c r="X307" i="12"/>
  <c r="W307" i="12"/>
  <c r="Z599" i="5"/>
  <c r="AM599" i="5"/>
  <c r="I599" i="12"/>
  <c r="L599" i="5"/>
  <c r="AC599" i="5"/>
  <c r="W66" i="12"/>
  <c r="X66" i="12"/>
  <c r="AM147" i="5"/>
  <c r="I147" i="12"/>
  <c r="Z147" i="5"/>
  <c r="L147" i="5"/>
  <c r="AC147" i="5"/>
  <c r="T698" i="12"/>
  <c r="U698" i="12"/>
  <c r="V698" i="12"/>
  <c r="W228" i="12"/>
  <c r="X228" i="12"/>
  <c r="X585" i="12"/>
  <c r="W585" i="12"/>
  <c r="U479" i="12"/>
  <c r="V479" i="12"/>
  <c r="T479" i="12"/>
  <c r="X104" i="12"/>
  <c r="W104" i="12"/>
  <c r="E644" i="6"/>
  <c r="D644" i="12"/>
  <c r="I331" i="12"/>
  <c r="L331" i="5"/>
  <c r="AM331" i="5"/>
  <c r="Z331" i="5"/>
  <c r="AC331" i="5"/>
  <c r="X404" i="12"/>
  <c r="W404" i="12"/>
  <c r="X208" i="12"/>
  <c r="W208" i="12"/>
  <c r="AM582" i="5"/>
  <c r="Z582" i="5"/>
  <c r="I582" i="12"/>
  <c r="L582" i="5"/>
  <c r="AC582" i="5"/>
  <c r="Z127" i="5"/>
  <c r="I127" i="12"/>
  <c r="AM127" i="5"/>
  <c r="L127" i="5"/>
  <c r="AC127" i="5"/>
  <c r="W432" i="12"/>
  <c r="X432" i="12"/>
  <c r="D106" i="12"/>
  <c r="E106" i="6"/>
  <c r="X282" i="12"/>
  <c r="W282" i="12"/>
  <c r="L687" i="5"/>
  <c r="AM687" i="5"/>
  <c r="I687" i="12"/>
  <c r="Z687" i="5"/>
  <c r="AC687" i="5"/>
  <c r="X64" i="12"/>
  <c r="W64" i="12"/>
  <c r="L416" i="5"/>
  <c r="Z416" i="5"/>
  <c r="AM416" i="5"/>
  <c r="I416" i="12"/>
  <c r="AC416" i="5"/>
  <c r="Z159" i="5"/>
  <c r="I159" i="12"/>
  <c r="AM159" i="5"/>
  <c r="L159" i="5"/>
  <c r="AC159" i="5"/>
  <c r="E379" i="6"/>
  <c r="D379" i="12"/>
  <c r="T707" i="12"/>
  <c r="V707" i="12"/>
  <c r="U707" i="12"/>
  <c r="W41" i="12"/>
  <c r="X41" i="12"/>
  <c r="T329" i="12"/>
  <c r="V329" i="12"/>
  <c r="U329" i="12"/>
  <c r="W60" i="12"/>
  <c r="X60" i="12"/>
  <c r="W494" i="12"/>
  <c r="X494" i="12"/>
  <c r="W309" i="12"/>
  <c r="X309" i="12"/>
  <c r="X729" i="5"/>
  <c r="I730" i="12"/>
  <c r="L730" i="5"/>
  <c r="I730" i="5"/>
  <c r="I731" i="5" s="1"/>
  <c r="I732" i="5" s="1"/>
  <c r="AM730" i="5"/>
  <c r="Z730" i="5"/>
  <c r="AC730" i="5"/>
  <c r="W592" i="12"/>
  <c r="X592" i="12"/>
  <c r="W651" i="12"/>
  <c r="X651" i="12"/>
  <c r="V121" i="12"/>
  <c r="T121" i="12"/>
  <c r="U121" i="12"/>
  <c r="U557" i="12"/>
  <c r="T557" i="12"/>
  <c r="V557" i="12"/>
  <c r="V529" i="12"/>
  <c r="T529" i="12"/>
  <c r="U529" i="12"/>
  <c r="AM623" i="5"/>
  <c r="Z623" i="5"/>
  <c r="L623" i="5"/>
  <c r="I623" i="12"/>
  <c r="AC623" i="5"/>
  <c r="Z367" i="5"/>
  <c r="AM367" i="5"/>
  <c r="I367" i="12"/>
  <c r="L367" i="5"/>
  <c r="AC367" i="5"/>
  <c r="E48" i="6"/>
  <c r="D48" i="12"/>
  <c r="Z460" i="5"/>
  <c r="L460" i="5"/>
  <c r="AM460" i="5"/>
  <c r="I460" i="12"/>
  <c r="AC460" i="5"/>
  <c r="T680" i="12"/>
  <c r="U680" i="12"/>
  <c r="V680" i="12"/>
  <c r="L471" i="5"/>
  <c r="AM471" i="5"/>
  <c r="I471" i="12"/>
  <c r="Z471" i="5"/>
  <c r="AC471" i="5"/>
  <c r="I666" i="12"/>
  <c r="Z666" i="5"/>
  <c r="AM666" i="5"/>
  <c r="X665" i="5"/>
  <c r="I666" i="5"/>
  <c r="I667" i="5" s="1"/>
  <c r="I668" i="5" s="1"/>
  <c r="L666" i="5"/>
  <c r="AC666" i="5"/>
  <c r="Z170" i="5"/>
  <c r="L170" i="5"/>
  <c r="AM170" i="5"/>
  <c r="I170" i="12"/>
  <c r="AC170" i="5"/>
  <c r="W119" i="12"/>
  <c r="X119" i="12"/>
  <c r="Z466" i="5"/>
  <c r="I466" i="12"/>
  <c r="AM466" i="5"/>
  <c r="L466" i="5"/>
  <c r="AC466" i="5"/>
  <c r="T403" i="12"/>
  <c r="U403" i="12"/>
  <c r="V403" i="12"/>
  <c r="L223" i="5"/>
  <c r="I223" i="12"/>
  <c r="Z223" i="5"/>
  <c r="AM223" i="5"/>
  <c r="AC223" i="5"/>
  <c r="I613" i="12"/>
  <c r="AM613" i="5"/>
  <c r="Z613" i="5"/>
  <c r="L613" i="5"/>
  <c r="AC613" i="5"/>
  <c r="W362" i="12"/>
  <c r="X362" i="12"/>
  <c r="T591" i="12"/>
  <c r="V591" i="12"/>
  <c r="U591" i="12"/>
  <c r="U52" i="12"/>
  <c r="U283" i="12"/>
  <c r="T283" i="12"/>
  <c r="V283" i="12"/>
  <c r="Z160" i="5"/>
  <c r="I160" i="12"/>
  <c r="L160" i="5"/>
  <c r="AM160" i="5"/>
  <c r="AC160" i="5"/>
  <c r="Z245" i="5"/>
  <c r="I245" i="12"/>
  <c r="AM245" i="5"/>
  <c r="L245" i="5"/>
  <c r="AC245" i="5"/>
  <c r="X670" i="12"/>
  <c r="W670" i="12"/>
  <c r="W299" i="12"/>
  <c r="X299" i="12"/>
  <c r="I445" i="12"/>
  <c r="Z445" i="5"/>
  <c r="L445" i="5"/>
  <c r="AM445" i="5"/>
  <c r="AC445" i="5"/>
  <c r="I187" i="12"/>
  <c r="AM187" i="5"/>
  <c r="Z187" i="5"/>
  <c r="L187" i="5"/>
  <c r="AC187" i="5"/>
  <c r="AM38" i="5"/>
  <c r="L38" i="5"/>
  <c r="Z38" i="5"/>
  <c r="I38" i="12"/>
  <c r="AC38" i="5"/>
  <c r="I167" i="12"/>
  <c r="AM167" i="5"/>
  <c r="L167" i="5"/>
  <c r="Z167" i="5"/>
  <c r="AC167" i="5"/>
  <c r="X123" i="5"/>
  <c r="AM125" i="5"/>
  <c r="I125" i="12"/>
  <c r="X124" i="5"/>
  <c r="Z125" i="5"/>
  <c r="L125" i="5"/>
  <c r="I125" i="5"/>
  <c r="I126" i="5" s="1"/>
  <c r="I127" i="5" s="1"/>
  <c r="I128" i="5" s="1"/>
  <c r="I129" i="5" s="1"/>
  <c r="I130" i="5" s="1"/>
  <c r="AC125" i="5"/>
  <c r="T429" i="12"/>
  <c r="U429" i="12"/>
  <c r="V429" i="12"/>
  <c r="W312" i="12"/>
  <c r="X312" i="12"/>
  <c r="N653" i="12"/>
  <c r="X398" i="12"/>
  <c r="W398" i="12"/>
  <c r="AM621" i="5"/>
  <c r="L621" i="5"/>
  <c r="I621" i="12"/>
  <c r="Z621" i="5"/>
  <c r="AC621" i="5"/>
  <c r="W82" i="12"/>
  <c r="X82" i="12"/>
  <c r="I99" i="5"/>
  <c r="L99" i="5"/>
  <c r="Z99" i="5"/>
  <c r="AM99" i="5"/>
  <c r="I99" i="12"/>
  <c r="AC99" i="5"/>
  <c r="X95" i="5"/>
  <c r="AM510" i="5"/>
  <c r="L510" i="5"/>
  <c r="Z510" i="5"/>
  <c r="I510" i="12"/>
  <c r="AC510" i="5"/>
  <c r="K87" i="12"/>
  <c r="W631" i="12"/>
  <c r="X631" i="12"/>
  <c r="W727" i="12"/>
  <c r="X727" i="12"/>
  <c r="AM153" i="5"/>
  <c r="Z153" i="5"/>
  <c r="L153" i="5"/>
  <c r="I153" i="12"/>
  <c r="AC153" i="5"/>
  <c r="AM137" i="5"/>
  <c r="I137" i="5"/>
  <c r="I138" i="5" s="1"/>
  <c r="I139" i="5" s="1"/>
  <c r="I140" i="5" s="1"/>
  <c r="I141" i="5" s="1"/>
  <c r="I142" i="5" s="1"/>
  <c r="I143" i="5" s="1"/>
  <c r="I137" i="12"/>
  <c r="X136" i="5"/>
  <c r="L137" i="5"/>
  <c r="Z137" i="5"/>
  <c r="AC137" i="5"/>
  <c r="L172" i="5"/>
  <c r="Z172" i="5"/>
  <c r="AM172" i="5"/>
  <c r="I172" i="12"/>
  <c r="AC172" i="5"/>
  <c r="W61" i="12"/>
  <c r="X61" i="12"/>
  <c r="W525" i="12"/>
  <c r="X525" i="12"/>
  <c r="AM23" i="5"/>
  <c r="I23" i="12"/>
  <c r="L23" i="5"/>
  <c r="Z23" i="5"/>
  <c r="AC23" i="5"/>
  <c r="AM353" i="5"/>
  <c r="L353" i="5"/>
  <c r="I353" i="12"/>
  <c r="Z353" i="5"/>
  <c r="AC353" i="5"/>
  <c r="W679" i="12"/>
  <c r="X679" i="12"/>
  <c r="W239" i="12"/>
  <c r="X239" i="12"/>
  <c r="K695" i="12"/>
  <c r="Z737" i="5"/>
  <c r="I737" i="12"/>
  <c r="AM737" i="5"/>
  <c r="L737" i="5"/>
  <c r="AC737" i="5"/>
  <c r="W69" i="12"/>
  <c r="X69" i="12"/>
  <c r="Z205" i="5"/>
  <c r="AM205" i="5"/>
  <c r="I205" i="12"/>
  <c r="L205" i="5"/>
  <c r="C205" i="6" s="1"/>
  <c r="AC205" i="5"/>
  <c r="I149" i="12"/>
  <c r="L149" i="5"/>
  <c r="AM149" i="5"/>
  <c r="Z149" i="5"/>
  <c r="AC149" i="5"/>
  <c r="Z148" i="5"/>
  <c r="I148" i="12"/>
  <c r="AM148" i="5"/>
  <c r="L148" i="5"/>
  <c r="AC148" i="5"/>
  <c r="I456" i="5"/>
  <c r="I457" i="5" s="1"/>
  <c r="I458" i="5" s="1"/>
  <c r="L456" i="5"/>
  <c r="AM456" i="5"/>
  <c r="Z456" i="5"/>
  <c r="I456" i="12"/>
  <c r="AC456" i="5"/>
  <c r="X449" i="5"/>
  <c r="X546" i="12"/>
  <c r="W546" i="12"/>
  <c r="W526" i="12"/>
  <c r="X526" i="12"/>
  <c r="X724" i="12"/>
  <c r="W724" i="12"/>
  <c r="Z600" i="5"/>
  <c r="AM600" i="5"/>
  <c r="L600" i="5"/>
  <c r="I600" i="12"/>
  <c r="AC600" i="5"/>
  <c r="L273" i="5"/>
  <c r="Z273" i="5"/>
  <c r="AM273" i="5"/>
  <c r="I273" i="12"/>
  <c r="I273" i="5"/>
  <c r="I274" i="5" s="1"/>
  <c r="AC273" i="5"/>
  <c r="X267" i="5"/>
  <c r="X266" i="5"/>
  <c r="N695" i="12"/>
  <c r="N375" i="12"/>
  <c r="X120" i="12"/>
  <c r="W120" i="12"/>
  <c r="X392" i="12"/>
  <c r="W392" i="12"/>
  <c r="Z722" i="5"/>
  <c r="I722" i="12"/>
  <c r="I722" i="5"/>
  <c r="AM722" i="5"/>
  <c r="L722" i="5"/>
  <c r="AC722" i="5"/>
  <c r="X718" i="5"/>
  <c r="X708" i="5"/>
  <c r="X694" i="5"/>
  <c r="Z262" i="5"/>
  <c r="L262" i="5"/>
  <c r="AM262" i="5"/>
  <c r="I262" i="12"/>
  <c r="AC262" i="5"/>
  <c r="W721" i="12"/>
  <c r="X721" i="12"/>
  <c r="X286" i="12"/>
  <c r="W286" i="12"/>
  <c r="T320" i="12"/>
  <c r="U320" i="12"/>
  <c r="V320" i="12"/>
  <c r="I229" i="12"/>
  <c r="I229" i="5"/>
  <c r="I230" i="5" s="1"/>
  <c r="I231" i="5" s="1"/>
  <c r="I232" i="5" s="1"/>
  <c r="I233" i="5" s="1"/>
  <c r="O233" i="5" s="1"/>
  <c r="AM229" i="5"/>
  <c r="L229" i="5"/>
  <c r="Z229" i="5"/>
  <c r="AC229" i="5"/>
  <c r="X227" i="5"/>
  <c r="W30" i="12"/>
  <c r="X30" i="12"/>
  <c r="AM561" i="5"/>
  <c r="I561" i="12"/>
  <c r="L561" i="5"/>
  <c r="Z561" i="5"/>
  <c r="AC561" i="5"/>
  <c r="Y518" i="12"/>
  <c r="X98" i="12"/>
  <c r="W98" i="12"/>
  <c r="AM326" i="5"/>
  <c r="L326" i="5"/>
  <c r="Z326" i="5"/>
  <c r="AB326" i="5" s="1"/>
  <c r="I326" i="12"/>
  <c r="AC326" i="5"/>
  <c r="X317" i="5"/>
  <c r="X318" i="5"/>
  <c r="I326" i="5"/>
  <c r="I327" i="5" s="1"/>
  <c r="I517" i="12"/>
  <c r="AM517" i="5"/>
  <c r="Z517" i="5"/>
  <c r="L517" i="5"/>
  <c r="C517" i="6" s="1"/>
  <c r="AC517" i="5"/>
  <c r="AM263" i="5"/>
  <c r="I263" i="12"/>
  <c r="L263" i="5"/>
  <c r="Z263" i="5"/>
  <c r="AC263" i="5"/>
  <c r="D86" i="12"/>
  <c r="E86" i="6"/>
  <c r="W382" i="12"/>
  <c r="X382" i="12"/>
  <c r="AM506" i="5"/>
  <c r="I506" i="12"/>
  <c r="Z506" i="5"/>
  <c r="L506" i="5"/>
  <c r="AC506" i="5"/>
  <c r="W554" i="12"/>
  <c r="X554" i="12"/>
  <c r="Z508" i="5"/>
  <c r="L508" i="5"/>
  <c r="I508" i="12"/>
  <c r="AM508" i="5"/>
  <c r="AC508" i="5"/>
  <c r="Z476" i="5"/>
  <c r="AM476" i="5"/>
  <c r="I476" i="12"/>
  <c r="L476" i="5"/>
  <c r="AC476" i="5"/>
  <c r="W439" i="12"/>
  <c r="X439" i="12"/>
  <c r="X699" i="12"/>
  <c r="W699" i="12"/>
  <c r="Z503" i="5"/>
  <c r="AM503" i="5"/>
  <c r="I503" i="12"/>
  <c r="L503" i="5"/>
  <c r="AC503" i="5"/>
  <c r="AM351" i="5"/>
  <c r="L351" i="5"/>
  <c r="I351" i="12"/>
  <c r="Z351" i="5"/>
  <c r="I351" i="5"/>
  <c r="I352" i="5" s="1"/>
  <c r="O352" i="5" s="1"/>
  <c r="AC351" i="5"/>
  <c r="X340" i="5"/>
  <c r="X341" i="5"/>
  <c r="X100" i="5"/>
  <c r="I101" i="5"/>
  <c r="I102" i="5" s="1"/>
  <c r="Z101" i="5"/>
  <c r="L101" i="5"/>
  <c r="AM101" i="5"/>
  <c r="I101" i="12"/>
  <c r="AC101" i="5"/>
  <c r="E375" i="6"/>
  <c r="D375" i="12"/>
  <c r="L572" i="5"/>
  <c r="I572" i="12"/>
  <c r="Z572" i="5"/>
  <c r="AM572" i="5"/>
  <c r="AC572" i="5"/>
  <c r="AM220" i="5"/>
  <c r="Z220" i="5"/>
  <c r="I220" i="12"/>
  <c r="L220" i="5"/>
  <c r="AC220" i="5"/>
  <c r="D251" i="12"/>
  <c r="E251" i="6"/>
  <c r="V681" i="12"/>
  <c r="U681" i="12"/>
  <c r="T681" i="12"/>
  <c r="X93" i="12"/>
  <c r="W93" i="12"/>
  <c r="X453" i="12"/>
  <c r="W453" i="12"/>
  <c r="X335" i="12"/>
  <c r="W335" i="12"/>
  <c r="U218" i="12"/>
  <c r="V218" i="12"/>
  <c r="T218" i="12"/>
  <c r="U80" i="12"/>
  <c r="T80" i="12"/>
  <c r="V80" i="12"/>
  <c r="X211" i="12"/>
  <c r="W211" i="12"/>
  <c r="AM174" i="5"/>
  <c r="I174" i="12"/>
  <c r="Z174" i="5"/>
  <c r="L174" i="5"/>
  <c r="AC174" i="5"/>
  <c r="T67" i="12"/>
  <c r="U67" i="12"/>
  <c r="V67" i="12"/>
  <c r="W18" i="12"/>
  <c r="X18" i="12"/>
  <c r="Z222" i="5"/>
  <c r="AM222" i="5"/>
  <c r="I222" i="12"/>
  <c r="L222" i="5"/>
  <c r="AC222" i="5"/>
  <c r="Y108" i="12"/>
  <c r="L489" i="5"/>
  <c r="X488" i="5"/>
  <c r="I489" i="5"/>
  <c r="I490" i="5" s="1"/>
  <c r="I489" i="12"/>
  <c r="Z489" i="5"/>
  <c r="X487" i="5"/>
  <c r="AM489" i="5"/>
  <c r="AC489" i="5"/>
  <c r="T543" i="12"/>
  <c r="U543" i="12"/>
  <c r="V543" i="12"/>
  <c r="T112" i="12"/>
  <c r="U112" i="12"/>
  <c r="V112" i="12"/>
  <c r="T296" i="12"/>
  <c r="V296" i="12"/>
  <c r="U296" i="12"/>
  <c r="V459" i="12"/>
  <c r="T459" i="12"/>
  <c r="U459" i="12"/>
  <c r="X324" i="12"/>
  <c r="W324" i="12"/>
  <c r="U209" i="12"/>
  <c r="V209" i="12"/>
  <c r="T209" i="12"/>
  <c r="L163" i="5"/>
  <c r="Z163" i="5"/>
  <c r="I163" i="5"/>
  <c r="I164" i="5" s="1"/>
  <c r="X162" i="5"/>
  <c r="I163" i="12"/>
  <c r="AM163" i="5"/>
  <c r="AC163" i="5"/>
  <c r="W336" i="12"/>
  <c r="X336" i="12"/>
  <c r="W540" i="12"/>
  <c r="X540" i="12"/>
  <c r="X113" i="12"/>
  <c r="W113" i="12"/>
  <c r="W189" i="12"/>
  <c r="X189" i="12"/>
  <c r="Z568" i="5"/>
  <c r="L568" i="5"/>
  <c r="AM568" i="5"/>
  <c r="I568" i="12"/>
  <c r="AC568" i="5"/>
  <c r="AM544" i="5"/>
  <c r="L544" i="5"/>
  <c r="I544" i="5"/>
  <c r="I545" i="5" s="1"/>
  <c r="I544" i="12"/>
  <c r="Z544" i="5"/>
  <c r="AC544" i="5"/>
  <c r="X539" i="5"/>
  <c r="V420" i="12"/>
  <c r="T420" i="12"/>
  <c r="U420" i="12"/>
  <c r="N535" i="12"/>
  <c r="Z577" i="5"/>
  <c r="I577" i="12"/>
  <c r="L577" i="5"/>
  <c r="AM577" i="5"/>
  <c r="AC577" i="5"/>
  <c r="W53" i="12"/>
  <c r="X53" i="12"/>
  <c r="Y695" i="12"/>
  <c r="X697" i="12"/>
  <c r="W697" i="12"/>
  <c r="L686" i="5"/>
  <c r="I686" i="12"/>
  <c r="AM686" i="5"/>
  <c r="Z686" i="5"/>
  <c r="AC686" i="5"/>
  <c r="X276" i="12"/>
  <c r="W276" i="12"/>
  <c r="L692" i="5"/>
  <c r="I692" i="12"/>
  <c r="AM692" i="5"/>
  <c r="Z692" i="5"/>
  <c r="AC692" i="5"/>
  <c r="V97" i="12"/>
  <c r="U97" i="12"/>
  <c r="T97" i="12"/>
  <c r="U393" i="12"/>
  <c r="V393" i="12"/>
  <c r="X39" i="12"/>
  <c r="W39" i="12"/>
  <c r="I512" i="12"/>
  <c r="Z512" i="5"/>
  <c r="AM512" i="5"/>
  <c r="L512" i="5"/>
  <c r="AC512" i="5"/>
  <c r="D236" i="12"/>
  <c r="E236" i="6"/>
  <c r="V564" i="12"/>
  <c r="T564" i="12"/>
  <c r="U564" i="12"/>
  <c r="Y430" i="12"/>
  <c r="L581" i="5"/>
  <c r="AM581" i="5"/>
  <c r="Z581" i="5"/>
  <c r="I581" i="12"/>
  <c r="AC581" i="5"/>
  <c r="W519" i="12"/>
  <c r="X519" i="12"/>
  <c r="U636" i="12"/>
  <c r="T636" i="12"/>
  <c r="V636" i="12"/>
  <c r="I219" i="12"/>
  <c r="AM219" i="5"/>
  <c r="Z219" i="5"/>
  <c r="L219" i="5"/>
  <c r="I219" i="5"/>
  <c r="I220" i="5" s="1"/>
  <c r="I221" i="5" s="1"/>
  <c r="I222" i="5" s="1"/>
  <c r="I223" i="5" s="1"/>
  <c r="I224" i="5" s="1"/>
  <c r="AC219" i="5"/>
  <c r="X213" i="5"/>
  <c r="X206" i="5"/>
  <c r="I485" i="5"/>
  <c r="I486" i="5" s="1"/>
  <c r="O486" i="5" s="1"/>
  <c r="Z485" i="5"/>
  <c r="AM485" i="5"/>
  <c r="L485" i="5"/>
  <c r="I485" i="12"/>
  <c r="AC485" i="5"/>
  <c r="X483" i="5"/>
  <c r="I255" i="5"/>
  <c r="I256" i="5" s="1"/>
  <c r="I257" i="5" s="1"/>
  <c r="L255" i="5"/>
  <c r="X254" i="5"/>
  <c r="Z255" i="5"/>
  <c r="I255" i="12"/>
  <c r="AM255" i="5"/>
  <c r="AC255" i="5"/>
  <c r="I157" i="12"/>
  <c r="Z157" i="5"/>
  <c r="AM157" i="5"/>
  <c r="L157" i="5"/>
  <c r="AC157" i="5"/>
  <c r="X532" i="12"/>
  <c r="W532" i="12"/>
  <c r="W195" i="12"/>
  <c r="X195" i="12"/>
  <c r="X294" i="12"/>
  <c r="W294" i="12"/>
  <c r="U103" i="12"/>
  <c r="T103" i="12"/>
  <c r="V103" i="12"/>
  <c r="U706" i="12"/>
  <c r="T706" i="12"/>
  <c r="V706" i="12"/>
  <c r="V616" i="12"/>
  <c r="U616" i="12"/>
  <c r="T616" i="12"/>
  <c r="W243" i="12"/>
  <c r="X243" i="12"/>
  <c r="T63" i="12"/>
  <c r="V63" i="12"/>
  <c r="U63" i="12"/>
  <c r="Z128" i="5"/>
  <c r="L128" i="5"/>
  <c r="AM128" i="5"/>
  <c r="I128" i="12"/>
  <c r="AC128" i="5"/>
  <c r="T204" i="12"/>
  <c r="V204" i="12"/>
  <c r="U204" i="12"/>
  <c r="W520" i="12"/>
  <c r="X520" i="12"/>
  <c r="W415" i="12"/>
  <c r="X415" i="12"/>
  <c r="X452" i="12"/>
  <c r="W452" i="12"/>
  <c r="I614" i="12"/>
  <c r="L614" i="5"/>
  <c r="AM614" i="5"/>
  <c r="Z614" i="5"/>
  <c r="AC614" i="5"/>
  <c r="K653" i="12"/>
  <c r="W325" i="12"/>
  <c r="X325" i="12"/>
  <c r="X84" i="12"/>
  <c r="W84" i="12"/>
  <c r="Z150" i="5"/>
  <c r="L150" i="5"/>
  <c r="AM150" i="5"/>
  <c r="I150" i="12"/>
  <c r="AC150" i="5"/>
  <c r="AM642" i="5"/>
  <c r="Z642" i="5"/>
  <c r="L642" i="5"/>
  <c r="I642" i="12"/>
  <c r="AC642" i="5"/>
  <c r="Z576" i="5"/>
  <c r="L576" i="5"/>
  <c r="I576" i="12"/>
  <c r="AM576" i="5"/>
  <c r="AC576" i="5"/>
  <c r="T711" i="12"/>
  <c r="U711" i="12"/>
  <c r="V711" i="12"/>
  <c r="T238" i="12"/>
  <c r="U238" i="12"/>
  <c r="V238" i="12"/>
  <c r="AM257" i="5"/>
  <c r="I257" i="12"/>
  <c r="Z257" i="5"/>
  <c r="L257" i="5"/>
  <c r="AC257" i="5"/>
  <c r="X386" i="12"/>
  <c r="W386" i="12"/>
  <c r="X180" i="12"/>
  <c r="W180" i="12"/>
  <c r="I24" i="12"/>
  <c r="AM24" i="5"/>
  <c r="Z24" i="5"/>
  <c r="L24" i="5"/>
  <c r="AC24" i="5"/>
  <c r="W28" i="12"/>
  <c r="X28" i="12"/>
  <c r="X334" i="12"/>
  <c r="W334" i="12"/>
  <c r="K518" i="12"/>
  <c r="X734" i="5"/>
  <c r="L735" i="5"/>
  <c r="I735" i="12"/>
  <c r="Z735" i="5"/>
  <c r="I735" i="5"/>
  <c r="I736" i="5" s="1"/>
  <c r="I737" i="5" s="1"/>
  <c r="I738" i="5" s="1"/>
  <c r="I739" i="5" s="1"/>
  <c r="O739" i="5" s="1"/>
  <c r="AM735" i="5"/>
  <c r="AC735" i="5"/>
  <c r="U358" i="12"/>
  <c r="T358" i="12"/>
  <c r="V358" i="12"/>
  <c r="I744" i="5"/>
  <c r="I745" i="5" s="1"/>
  <c r="I746" i="5" s="1"/>
  <c r="I744" i="12"/>
  <c r="L744" i="5"/>
  <c r="X743" i="5"/>
  <c r="AM744" i="5"/>
  <c r="Z744" i="5"/>
  <c r="AC744" i="5"/>
  <c r="V225" i="12"/>
  <c r="U225" i="12"/>
  <c r="T225" i="12"/>
  <c r="Y106" i="12"/>
  <c r="I410" i="12"/>
  <c r="L410" i="5"/>
  <c r="Z410" i="5"/>
  <c r="AM410" i="5"/>
  <c r="AC410" i="5"/>
  <c r="U122" i="12"/>
  <c r="V122" i="12"/>
  <c r="T122" i="12"/>
  <c r="V297" i="12"/>
  <c r="U297" i="12"/>
  <c r="T297" i="12"/>
  <c r="W109" i="12"/>
  <c r="X109" i="12"/>
  <c r="V322" i="12"/>
  <c r="U322" i="12"/>
  <c r="T322" i="12"/>
  <c r="T102" i="12"/>
  <c r="U102" i="12"/>
  <c r="V102" i="12"/>
  <c r="Z158" i="5"/>
  <c r="L158" i="5"/>
  <c r="I158" i="12"/>
  <c r="AM158" i="5"/>
  <c r="AC158" i="5"/>
  <c r="U363" i="12"/>
  <c r="T363" i="12"/>
  <c r="V363" i="12"/>
  <c r="Z412" i="5"/>
  <c r="I412" i="12"/>
  <c r="L412" i="5"/>
  <c r="AM412" i="5"/>
  <c r="AC412" i="5"/>
  <c r="L134" i="5"/>
  <c r="I134" i="5"/>
  <c r="I135" i="5" s="1"/>
  <c r="O135" i="5" s="1"/>
  <c r="AM134" i="5"/>
  <c r="I134" i="12"/>
  <c r="Z134" i="5"/>
  <c r="AC134" i="5"/>
  <c r="X131" i="5"/>
  <c r="X73" i="12"/>
  <c r="W73" i="12"/>
  <c r="Z691" i="5"/>
  <c r="AM691" i="5"/>
  <c r="L691" i="5"/>
  <c r="I691" i="12"/>
  <c r="AC691" i="5"/>
  <c r="X252" i="12"/>
  <c r="W252" i="12"/>
  <c r="I234" i="12"/>
  <c r="AM234" i="5"/>
  <c r="Z234" i="5"/>
  <c r="L234" i="5"/>
  <c r="AC234" i="5"/>
  <c r="W423" i="12"/>
  <c r="X423" i="12"/>
  <c r="T347" i="12"/>
  <c r="U347" i="12"/>
  <c r="V347" i="12"/>
  <c r="L672" i="5"/>
  <c r="AM672" i="5"/>
  <c r="Z672" i="5"/>
  <c r="I672" i="5"/>
  <c r="I673" i="5" s="1"/>
  <c r="I672" i="12"/>
  <c r="AC672" i="5"/>
  <c r="X669" i="5"/>
  <c r="Y709" i="12"/>
  <c r="T371" i="12"/>
  <c r="U371" i="12"/>
  <c r="V371" i="12"/>
  <c r="X515" i="12"/>
  <c r="W515" i="12"/>
  <c r="X401" i="12"/>
  <c r="W401" i="12"/>
  <c r="T530" i="12"/>
  <c r="V530" i="12"/>
  <c r="U530" i="12"/>
  <c r="H20" i="8"/>
  <c r="E27" i="6"/>
  <c r="D27" i="12"/>
  <c r="X268" i="12"/>
  <c r="W268" i="12"/>
  <c r="Z562" i="5"/>
  <c r="I562" i="12"/>
  <c r="AM562" i="5"/>
  <c r="L562" i="5"/>
  <c r="AC562" i="5"/>
  <c r="W328" i="12"/>
  <c r="X328" i="12"/>
  <c r="X696" i="12"/>
  <c r="W696" i="12"/>
  <c r="X372" i="12"/>
  <c r="W372" i="12"/>
  <c r="X284" i="12"/>
  <c r="W284" i="12"/>
  <c r="AM668" i="5"/>
  <c r="L668" i="5"/>
  <c r="I668" i="12"/>
  <c r="Z668" i="5"/>
  <c r="AC668" i="5"/>
  <c r="W604" i="12"/>
  <c r="X604" i="12"/>
  <c r="V690" i="12"/>
  <c r="T690" i="12"/>
  <c r="U690" i="12"/>
  <c r="W305" i="12"/>
  <c r="X305" i="12"/>
  <c r="X715" i="12"/>
  <c r="W715" i="12"/>
  <c r="L615" i="5"/>
  <c r="I615" i="12"/>
  <c r="AM615" i="5"/>
  <c r="Z615" i="5"/>
  <c r="AC615" i="5"/>
  <c r="W431" i="12"/>
  <c r="X431" i="12"/>
  <c r="I457" i="12"/>
  <c r="AM457" i="5"/>
  <c r="L457" i="5"/>
  <c r="Z457" i="5"/>
  <c r="AC457" i="5"/>
  <c r="X132" i="12"/>
  <c r="W132" i="12"/>
  <c r="W533" i="12"/>
  <c r="X533" i="12"/>
  <c r="U551" i="12"/>
  <c r="V551" i="12"/>
  <c r="T551" i="12"/>
  <c r="E369" i="6"/>
  <c r="D369" i="12"/>
  <c r="W451" i="12"/>
  <c r="X451" i="12"/>
  <c r="X495" i="12"/>
  <c r="W495" i="12"/>
  <c r="Z422" i="5"/>
  <c r="L422" i="5"/>
  <c r="I422" i="12"/>
  <c r="AM422" i="5"/>
  <c r="AC422" i="5"/>
  <c r="T486" i="12"/>
  <c r="U486" i="12"/>
  <c r="V486" i="12"/>
  <c r="AM332" i="5"/>
  <c r="L332" i="5"/>
  <c r="Z332" i="5"/>
  <c r="I332" i="12"/>
  <c r="AC332" i="5"/>
  <c r="Z736" i="5"/>
  <c r="I736" i="12"/>
  <c r="L736" i="5"/>
  <c r="AM736" i="5"/>
  <c r="AC736" i="5"/>
  <c r="AM678" i="5"/>
  <c r="I678" i="12"/>
  <c r="Z678" i="5"/>
  <c r="L678" i="5"/>
  <c r="AC678" i="5"/>
  <c r="AM201" i="5"/>
  <c r="Z201" i="5"/>
  <c r="I201" i="12"/>
  <c r="L201" i="5"/>
  <c r="AC201" i="5"/>
  <c r="U514" i="12"/>
  <c r="T514" i="12"/>
  <c r="V514" i="12"/>
  <c r="X574" i="5"/>
  <c r="L575" i="5"/>
  <c r="AM575" i="5"/>
  <c r="I575" i="5"/>
  <c r="I576" i="5" s="1"/>
  <c r="I577" i="5" s="1"/>
  <c r="I578" i="5" s="1"/>
  <c r="I579" i="5" s="1"/>
  <c r="I580" i="5" s="1"/>
  <c r="I581" i="5" s="1"/>
  <c r="I582" i="5" s="1"/>
  <c r="I583" i="5" s="1"/>
  <c r="I575" i="12"/>
  <c r="Z575" i="5"/>
  <c r="AC575" i="5"/>
  <c r="Z316" i="5"/>
  <c r="I316" i="5"/>
  <c r="I316" i="12"/>
  <c r="L316" i="5"/>
  <c r="AM316" i="5"/>
  <c r="X315" i="5"/>
  <c r="AC316" i="5"/>
  <c r="AM259" i="5"/>
  <c r="X258" i="5"/>
  <c r="I259" i="5"/>
  <c r="I260" i="5" s="1"/>
  <c r="I261" i="5" s="1"/>
  <c r="I262" i="5" s="1"/>
  <c r="I263" i="5" s="1"/>
  <c r="I264" i="5" s="1"/>
  <c r="I265" i="5" s="1"/>
  <c r="I259" i="12"/>
  <c r="L259" i="5"/>
  <c r="Z259" i="5"/>
  <c r="AC259" i="5"/>
  <c r="X714" i="12"/>
  <c r="W714" i="12"/>
  <c r="W373" i="12"/>
  <c r="X373" i="12"/>
  <c r="T216" i="12"/>
  <c r="U216" i="12"/>
  <c r="V216" i="12"/>
  <c r="V545" i="12"/>
  <c r="T545" i="12"/>
  <c r="U545" i="12"/>
  <c r="W311" i="12"/>
  <c r="X311" i="12"/>
  <c r="Z198" i="5"/>
  <c r="I198" i="5"/>
  <c r="I199" i="5" s="1"/>
  <c r="I200" i="5" s="1"/>
  <c r="I201" i="5" s="1"/>
  <c r="I202" i="5" s="1"/>
  <c r="I203" i="5" s="1"/>
  <c r="I204" i="5" s="1"/>
  <c r="O204" i="5" s="1"/>
  <c r="I198" i="12"/>
  <c r="L198" i="5"/>
  <c r="AM198" i="5"/>
  <c r="AC198" i="5"/>
  <c r="X190" i="5"/>
  <c r="X191" i="5"/>
  <c r="L639" i="5"/>
  <c r="I639" i="12"/>
  <c r="AM639" i="5"/>
  <c r="Z639" i="5"/>
  <c r="AC639" i="5"/>
  <c r="X531" i="12"/>
  <c r="W531" i="12"/>
  <c r="L366" i="5"/>
  <c r="I366" i="12"/>
  <c r="Z366" i="5"/>
  <c r="AM366" i="5"/>
  <c r="AC366" i="5"/>
  <c r="Y27" i="12"/>
  <c r="L589" i="5"/>
  <c r="I589" i="12"/>
  <c r="AM589" i="5"/>
  <c r="I589" i="5"/>
  <c r="I590" i="5" s="1"/>
  <c r="Z589" i="5"/>
  <c r="AC589" i="5"/>
  <c r="X584" i="5"/>
  <c r="X96" i="12"/>
  <c r="W96" i="12"/>
  <c r="I166" i="5"/>
  <c r="I167" i="5" s="1"/>
  <c r="I168" i="5" s="1"/>
  <c r="I169" i="5" s="1"/>
  <c r="I170" i="5" s="1"/>
  <c r="I171" i="5" s="1"/>
  <c r="I172" i="5" s="1"/>
  <c r="I173" i="5" s="1"/>
  <c r="I174" i="5" s="1"/>
  <c r="I175" i="5" s="1"/>
  <c r="I176" i="5" s="1"/>
  <c r="X165" i="5"/>
  <c r="I166" i="12"/>
  <c r="AM166" i="5"/>
  <c r="L166" i="5"/>
  <c r="Z166" i="5"/>
  <c r="AC166" i="5"/>
  <c r="W193" i="12"/>
  <c r="X193" i="12"/>
  <c r="Y105" i="12"/>
  <c r="I610" i="12"/>
  <c r="AM610" i="5"/>
  <c r="X608" i="5"/>
  <c r="Z610" i="5"/>
  <c r="X609" i="5"/>
  <c r="L610" i="5"/>
  <c r="I610" i="5"/>
  <c r="I611" i="5" s="1"/>
  <c r="I612" i="5" s="1"/>
  <c r="O612" i="5" s="1"/>
  <c r="AC610" i="5"/>
  <c r="T47" i="12"/>
  <c r="U47" i="12"/>
  <c r="Y48" i="12"/>
  <c r="I465" i="12"/>
  <c r="L465" i="5"/>
  <c r="AM465" i="5"/>
  <c r="Z465" i="5"/>
  <c r="AC465" i="5"/>
  <c r="T394" i="12"/>
  <c r="U394" i="12"/>
  <c r="V394" i="12"/>
  <c r="W509" i="12"/>
  <c r="X509" i="12"/>
  <c r="T43" i="12"/>
  <c r="U43" i="12"/>
  <c r="V43" i="12"/>
  <c r="AM26" i="5"/>
  <c r="I26" i="12"/>
  <c r="L26" i="5"/>
  <c r="Z26" i="5"/>
  <c r="AC26" i="5"/>
  <c r="T51" i="12"/>
  <c r="V51" i="12"/>
  <c r="U51" i="12"/>
  <c r="W389" i="12"/>
  <c r="X389" i="12"/>
  <c r="AM443" i="5"/>
  <c r="I443" i="12"/>
  <c r="Z443" i="5"/>
  <c r="L443" i="5"/>
  <c r="AC443" i="5"/>
  <c r="W251" i="12"/>
  <c r="X251" i="12"/>
  <c r="T196" i="12"/>
  <c r="U196" i="12"/>
  <c r="V196" i="12"/>
  <c r="X725" i="12"/>
  <c r="W725" i="12"/>
  <c r="W269" i="12"/>
  <c r="X269" i="12"/>
  <c r="I85" i="12"/>
  <c r="L85" i="5"/>
  <c r="Z85" i="5"/>
  <c r="I85" i="5"/>
  <c r="AM85" i="5"/>
  <c r="AC85" i="5"/>
  <c r="X78" i="5"/>
  <c r="X710" i="12"/>
  <c r="W710" i="12"/>
  <c r="I742" i="12"/>
  <c r="L742" i="5"/>
  <c r="AM742" i="5"/>
  <c r="Z742" i="5"/>
  <c r="AC742" i="5"/>
  <c r="V89" i="12"/>
  <c r="I652" i="12"/>
  <c r="AM652" i="5"/>
  <c r="Z652" i="5"/>
  <c r="L652" i="5"/>
  <c r="C652" i="6" s="1"/>
  <c r="AC652" i="5"/>
  <c r="X319" i="12"/>
  <c r="W319" i="12"/>
  <c r="W94" i="12"/>
  <c r="X94" i="12"/>
  <c r="I202" i="12"/>
  <c r="AM202" i="5"/>
  <c r="Z202" i="5"/>
  <c r="L202" i="5"/>
  <c r="AC202" i="5"/>
  <c r="X354" i="12"/>
  <c r="W354" i="12"/>
  <c r="X733" i="12"/>
  <c r="W733" i="12"/>
  <c r="W442" i="12"/>
  <c r="X442" i="12"/>
  <c r="D709" i="12"/>
  <c r="E709" i="6"/>
  <c r="W469" i="12"/>
  <c r="X469" i="12"/>
  <c r="D114" i="12"/>
  <c r="E114" i="6"/>
  <c r="Z424" i="5"/>
  <c r="I424" i="12"/>
  <c r="AM424" i="5"/>
  <c r="L424" i="5"/>
  <c r="AC424" i="5"/>
  <c r="X361" i="12"/>
  <c r="W361" i="12"/>
  <c r="I440" i="12"/>
  <c r="Z440" i="5"/>
  <c r="AM440" i="5"/>
  <c r="L440" i="5"/>
  <c r="I440" i="5"/>
  <c r="I441" i="5" s="1"/>
  <c r="AC440" i="5"/>
  <c r="X426" i="5"/>
  <c r="X433" i="5"/>
  <c r="T308" i="12"/>
  <c r="V308" i="12"/>
  <c r="U308" i="12"/>
  <c r="X677" i="12"/>
  <c r="W677" i="12"/>
  <c r="V441" i="12"/>
  <c r="T441" i="12"/>
  <c r="U441" i="12"/>
  <c r="L513" i="5"/>
  <c r="Z513" i="5"/>
  <c r="AM513" i="5"/>
  <c r="I513" i="12"/>
  <c r="AC513" i="5"/>
  <c r="AM413" i="5"/>
  <c r="L413" i="5"/>
  <c r="I413" i="12"/>
  <c r="Z413" i="5"/>
  <c r="AC413" i="5"/>
  <c r="W365" i="12"/>
  <c r="X365" i="12"/>
  <c r="U323" i="12"/>
  <c r="V323" i="12"/>
  <c r="T323" i="12"/>
  <c r="D653" i="12"/>
  <c r="E653" i="6"/>
  <c r="H74" i="8"/>
  <c r="X384" i="12"/>
  <c r="W384" i="12"/>
  <c r="Z232" i="5"/>
  <c r="L232" i="5"/>
  <c r="AM232" i="5"/>
  <c r="I232" i="12"/>
  <c r="AC232" i="5"/>
  <c r="X352" i="12"/>
  <c r="W352" i="12"/>
  <c r="K108" i="12"/>
  <c r="X619" i="12"/>
  <c r="W619" i="12"/>
  <c r="X474" i="12"/>
  <c r="W474" i="12"/>
  <c r="X633" i="5"/>
  <c r="Z634" i="5"/>
  <c r="L634" i="5"/>
  <c r="I634" i="12"/>
  <c r="I634" i="5"/>
  <c r="I635" i="5" s="1"/>
  <c r="AM634" i="5"/>
  <c r="AC634" i="5"/>
  <c r="AM161" i="5"/>
  <c r="Z161" i="5"/>
  <c r="I161" i="12"/>
  <c r="L161" i="5"/>
  <c r="AC161" i="5"/>
  <c r="W693" i="12"/>
  <c r="X693" i="12"/>
  <c r="I256" i="12"/>
  <c r="Z256" i="5"/>
  <c r="L256" i="5"/>
  <c r="AM256" i="5"/>
  <c r="AC256" i="5"/>
  <c r="W657" i="12"/>
  <c r="X657" i="12"/>
  <c r="I741" i="5"/>
  <c r="I742" i="5" s="1"/>
  <c r="X740" i="5"/>
  <c r="I741" i="12"/>
  <c r="L741" i="5"/>
  <c r="Z741" i="5"/>
  <c r="AM741" i="5"/>
  <c r="AC741" i="5"/>
  <c r="AM408" i="5"/>
  <c r="Z408" i="5"/>
  <c r="I408" i="12"/>
  <c r="L408" i="5"/>
  <c r="AC408" i="5"/>
  <c r="W118" i="12"/>
  <c r="X118" i="12"/>
  <c r="X91" i="12"/>
  <c r="W91" i="12"/>
  <c r="Z482" i="5"/>
  <c r="AM482" i="5"/>
  <c r="L482" i="5"/>
  <c r="C482" i="6" s="1"/>
  <c r="I482" i="12"/>
  <c r="AC482" i="5"/>
  <c r="T558" i="12"/>
  <c r="U558" i="12"/>
  <c r="V558" i="12"/>
  <c r="U590" i="12"/>
  <c r="V590" i="12"/>
  <c r="T590" i="12"/>
  <c r="X688" i="12"/>
  <c r="W688" i="12"/>
  <c r="W50" i="12"/>
  <c r="X50" i="12"/>
  <c r="W418" i="12"/>
  <c r="X418" i="12"/>
  <c r="E695" i="6"/>
  <c r="D695" i="12"/>
  <c r="W46" i="12"/>
  <c r="X46" i="12"/>
  <c r="AM155" i="5"/>
  <c r="I155" i="12"/>
  <c r="L155" i="5"/>
  <c r="Z155" i="5"/>
  <c r="AC155" i="5"/>
  <c r="I745" i="12"/>
  <c r="Z745" i="5"/>
  <c r="AM745" i="5"/>
  <c r="L745" i="5"/>
  <c r="AC745" i="5"/>
  <c r="U32" i="12"/>
  <c r="V32" i="12"/>
  <c r="T32" i="12"/>
  <c r="K369" i="12"/>
  <c r="W107" i="12"/>
  <c r="X107" i="12"/>
  <c r="U628" i="12"/>
  <c r="V628" i="12"/>
  <c r="T628" i="12"/>
  <c r="T233" i="12"/>
  <c r="V233" i="12"/>
  <c r="U233" i="12"/>
  <c r="W49" i="12"/>
  <c r="X49" i="12"/>
  <c r="V359" i="12"/>
  <c r="U359" i="12"/>
  <c r="T359" i="12"/>
  <c r="I199" i="12"/>
  <c r="Z199" i="5"/>
  <c r="L199" i="5"/>
  <c r="AM199" i="5"/>
  <c r="AC199" i="5"/>
  <c r="V658" i="12"/>
  <c r="U658" i="12"/>
  <c r="T658" i="12"/>
  <c r="I617" i="12"/>
  <c r="L617" i="5"/>
  <c r="C617" i="6" s="1"/>
  <c r="Z617" i="5"/>
  <c r="AM617" i="5"/>
  <c r="AC617" i="5"/>
  <c r="V625" i="12"/>
  <c r="U625" i="12"/>
  <c r="T625" i="12"/>
  <c r="U70" i="12"/>
  <c r="V70" i="12"/>
  <c r="T70" i="12"/>
  <c r="AM504" i="5"/>
  <c r="Z504" i="5"/>
  <c r="L504" i="5"/>
  <c r="I504" i="12"/>
  <c r="AC504" i="5"/>
  <c r="W462" i="12"/>
  <c r="X462" i="12"/>
  <c r="V212" i="12"/>
  <c r="T212" i="12"/>
  <c r="U212" i="12"/>
  <c r="I143" i="12"/>
  <c r="L143" i="5"/>
  <c r="AM143" i="5"/>
  <c r="Z143" i="5"/>
  <c r="AC143" i="5"/>
  <c r="X726" i="12"/>
  <c r="W726" i="12"/>
  <c r="X461" i="12"/>
  <c r="W461" i="12"/>
  <c r="T720" i="12"/>
  <c r="V720" i="12"/>
  <c r="U720" i="12"/>
  <c r="W450" i="12"/>
  <c r="X450" i="12"/>
  <c r="T378" i="12"/>
  <c r="V378" i="12"/>
  <c r="U378" i="12"/>
  <c r="I203" i="12"/>
  <c r="Z203" i="5"/>
  <c r="AM203" i="5"/>
  <c r="L203" i="5"/>
  <c r="AC203" i="5"/>
  <c r="X270" i="12"/>
  <c r="W270" i="12"/>
  <c r="V390" i="12"/>
  <c r="U390" i="12"/>
  <c r="T390" i="12"/>
  <c r="I627" i="5"/>
  <c r="I628" i="5" s="1"/>
  <c r="O628" i="5" s="1"/>
  <c r="X626" i="5"/>
  <c r="I627" i="12"/>
  <c r="Z627" i="5"/>
  <c r="AM627" i="5"/>
  <c r="L627" i="5"/>
  <c r="AC627" i="5"/>
  <c r="I490" i="12"/>
  <c r="L490" i="5"/>
  <c r="Z490" i="5"/>
  <c r="AM490" i="5"/>
  <c r="AC490" i="5"/>
  <c r="L146" i="5"/>
  <c r="I146" i="12"/>
  <c r="AM146" i="5"/>
  <c r="Z146" i="5"/>
  <c r="AC146" i="5"/>
  <c r="D40" i="12"/>
  <c r="E40" i="6"/>
  <c r="W435" i="12"/>
  <c r="X435" i="12"/>
  <c r="L563" i="5"/>
  <c r="Z563" i="5"/>
  <c r="I563" i="12"/>
  <c r="AM563" i="5"/>
  <c r="AC563" i="5"/>
  <c r="AM502" i="5"/>
  <c r="L502" i="5"/>
  <c r="Z502" i="5"/>
  <c r="I502" i="12"/>
  <c r="AC502" i="5"/>
  <c r="L140" i="5"/>
  <c r="AM140" i="5"/>
  <c r="I140" i="12"/>
  <c r="Z140" i="5"/>
  <c r="AC140" i="5"/>
  <c r="L683" i="5"/>
  <c r="X682" i="5"/>
  <c r="I683" i="5"/>
  <c r="I684" i="5" s="1"/>
  <c r="I685" i="5" s="1"/>
  <c r="I686" i="5" s="1"/>
  <c r="I687" i="5" s="1"/>
  <c r="I688" i="5" s="1"/>
  <c r="O688" i="5" s="1"/>
  <c r="Z683" i="5"/>
  <c r="AM683" i="5"/>
  <c r="I683" i="12"/>
  <c r="AC683" i="5"/>
  <c r="V377" i="12"/>
  <c r="U377" i="12"/>
  <c r="T377" i="12"/>
  <c r="U116" i="12"/>
  <c r="V116" i="12"/>
  <c r="T116" i="12"/>
  <c r="D87" i="12"/>
  <c r="E87" i="6"/>
  <c r="X553" i="12"/>
  <c r="W553" i="12"/>
  <c r="I185" i="12"/>
  <c r="AM185" i="5"/>
  <c r="L185" i="5"/>
  <c r="I185" i="5"/>
  <c r="I186" i="5" s="1"/>
  <c r="I187" i="5" s="1"/>
  <c r="I188" i="5" s="1"/>
  <c r="I189" i="5" s="1"/>
  <c r="O189" i="5" s="1"/>
  <c r="X184" i="5"/>
  <c r="Z185" i="5"/>
  <c r="AC185" i="5"/>
  <c r="T350" i="12"/>
  <c r="V350" i="12"/>
  <c r="U350" i="12"/>
  <c r="W333" i="12"/>
  <c r="X333" i="12"/>
  <c r="W655" i="12"/>
  <c r="X655" i="12"/>
  <c r="X210" i="12"/>
  <c r="W210" i="12"/>
  <c r="AM168" i="5"/>
  <c r="I168" i="12"/>
  <c r="Z168" i="5"/>
  <c r="L168" i="5"/>
  <c r="AC168" i="5"/>
  <c r="L578" i="5"/>
  <c r="I578" i="12"/>
  <c r="Z578" i="5"/>
  <c r="AM578" i="5"/>
  <c r="AC578" i="5"/>
  <c r="T498" i="12"/>
  <c r="U498" i="12"/>
  <c r="V498" i="12"/>
  <c r="T454" i="12"/>
  <c r="U454" i="12"/>
  <c r="V454" i="12"/>
  <c r="I265" i="12"/>
  <c r="AM265" i="5"/>
  <c r="Z265" i="5"/>
  <c r="L265" i="5"/>
  <c r="AC265" i="5"/>
  <c r="Z448" i="5"/>
  <c r="L448" i="5"/>
  <c r="C448" i="6" s="1"/>
  <c r="I448" i="12"/>
  <c r="AM448" i="5"/>
  <c r="AC448" i="5"/>
  <c r="W732" i="12"/>
  <c r="X732" i="12"/>
  <c r="I573" i="12"/>
  <c r="AM573" i="5"/>
  <c r="L573" i="5"/>
  <c r="C573" i="6" s="1"/>
  <c r="Z573" i="5"/>
  <c r="AC573" i="5"/>
  <c r="W484" i="12"/>
  <c r="X484" i="12"/>
  <c r="W570" i="12"/>
  <c r="X570" i="12"/>
  <c r="AM511" i="5"/>
  <c r="L511" i="5"/>
  <c r="I511" i="12"/>
  <c r="Z511" i="5"/>
  <c r="AC511" i="5"/>
  <c r="W703" i="12"/>
  <c r="X703" i="12"/>
  <c r="T523" i="12"/>
  <c r="V523" i="12"/>
  <c r="U523" i="12"/>
  <c r="L396" i="5"/>
  <c r="I396" i="5"/>
  <c r="I397" i="5" s="1"/>
  <c r="I398" i="5" s="1"/>
  <c r="I396" i="12"/>
  <c r="AM396" i="5"/>
  <c r="Z396" i="5"/>
  <c r="AC396" i="5"/>
  <c r="X391" i="5"/>
  <c r="X360" i="12"/>
  <c r="W360" i="12"/>
  <c r="Y369" i="12"/>
  <c r="W33" i="12"/>
  <c r="X33" i="12"/>
  <c r="L492" i="5"/>
  <c r="Z492" i="5"/>
  <c r="I492" i="5"/>
  <c r="I493" i="5" s="1"/>
  <c r="I494" i="5" s="1"/>
  <c r="I492" i="12"/>
  <c r="X491" i="5"/>
  <c r="AM492" i="5"/>
  <c r="AC492" i="5"/>
  <c r="Z264" i="5"/>
  <c r="L264" i="5"/>
  <c r="I264" i="12"/>
  <c r="AM264" i="5"/>
  <c r="AC264" i="5"/>
  <c r="U293" i="12"/>
  <c r="V293" i="12"/>
  <c r="T293" i="12"/>
  <c r="V135" i="12"/>
  <c r="T135" i="12"/>
  <c r="U135" i="12"/>
  <c r="U29" i="12"/>
  <c r="T29" i="12"/>
  <c r="V29" i="12"/>
  <c r="AM126" i="5"/>
  <c r="L126" i="5"/>
  <c r="Z126" i="5"/>
  <c r="I126" i="12"/>
  <c r="AC126" i="5"/>
  <c r="I602" i="12"/>
  <c r="L602" i="5"/>
  <c r="Z602" i="5"/>
  <c r="AM602" i="5"/>
  <c r="AC602" i="5"/>
  <c r="T656" i="12"/>
  <c r="U656" i="12"/>
  <c r="V656" i="12"/>
  <c r="L244" i="5"/>
  <c r="I244" i="12"/>
  <c r="AM244" i="5"/>
  <c r="Z244" i="5"/>
  <c r="I244" i="5"/>
  <c r="I245" i="5" s="1"/>
  <c r="I246" i="5" s="1"/>
  <c r="I247" i="5" s="1"/>
  <c r="I248" i="5" s="1"/>
  <c r="I249" i="5" s="1"/>
  <c r="I250" i="5" s="1"/>
  <c r="AC244" i="5"/>
  <c r="X241" i="5"/>
  <c r="X240" i="5"/>
  <c r="X44" i="12"/>
  <c r="W44" i="12"/>
  <c r="X133" i="12"/>
  <c r="W133" i="12"/>
  <c r="Z641" i="5"/>
  <c r="AM641" i="5"/>
  <c r="I641" i="12"/>
  <c r="L641" i="5"/>
  <c r="AC641" i="5"/>
  <c r="X548" i="12"/>
  <c r="W548" i="12"/>
  <c r="V477" i="12"/>
  <c r="U477" i="12"/>
  <c r="T477" i="12"/>
  <c r="U383" i="12"/>
  <c r="V383" i="12"/>
  <c r="T383" i="12"/>
  <c r="U31" i="12"/>
  <c r="T31" i="12"/>
  <c r="V31" i="12"/>
  <c r="AM25" i="5"/>
  <c r="Z25" i="5"/>
  <c r="I25" i="12"/>
  <c r="L25" i="5"/>
  <c r="AC25" i="5"/>
  <c r="U42" i="12"/>
  <c r="T42" i="12"/>
  <c r="V42" i="12"/>
  <c r="L77" i="5"/>
  <c r="AM77" i="5"/>
  <c r="I77" i="5"/>
  <c r="Z77" i="5"/>
  <c r="I77" i="12"/>
  <c r="AC77" i="5"/>
  <c r="X71" i="5"/>
  <c r="X59" i="5"/>
  <c r="X355" i="12"/>
  <c r="W355" i="12"/>
  <c r="W663" i="12"/>
  <c r="X663" i="12"/>
  <c r="X407" i="12"/>
  <c r="W407" i="12"/>
  <c r="W567" i="12"/>
  <c r="X567" i="12"/>
  <c r="I221" i="12"/>
  <c r="AM221" i="5"/>
  <c r="Z221" i="5"/>
  <c r="L221" i="5"/>
  <c r="AC221" i="5"/>
  <c r="D207" i="12"/>
  <c r="E207" i="6"/>
  <c r="D108" i="12"/>
  <c r="E108" i="6"/>
  <c r="U637" i="12"/>
  <c r="V637" i="12"/>
  <c r="T637" i="12"/>
  <c r="W301" i="12"/>
  <c r="X301" i="12"/>
  <c r="D654" i="12"/>
  <c r="E654" i="6"/>
  <c r="T675" i="12"/>
  <c r="V675" i="12"/>
  <c r="U675" i="12"/>
  <c r="I130" i="12"/>
  <c r="AM130" i="5"/>
  <c r="Z130" i="5"/>
  <c r="L130" i="5"/>
  <c r="AC130" i="5"/>
  <c r="Y379" i="12"/>
  <c r="W648" i="12"/>
  <c r="X648" i="12"/>
  <c r="W406" i="12"/>
  <c r="X406" i="12"/>
  <c r="AM246" i="5"/>
  <c r="Z246" i="5"/>
  <c r="I246" i="12"/>
  <c r="L246" i="5"/>
  <c r="AC246" i="5"/>
  <c r="W271" i="12"/>
  <c r="X271" i="12"/>
  <c r="L154" i="5"/>
  <c r="AM154" i="5"/>
  <c r="Z154" i="5"/>
  <c r="I154" i="12"/>
  <c r="AC154" i="5"/>
  <c r="W662" i="12"/>
  <c r="X662" i="12"/>
  <c r="T303" i="12"/>
  <c r="U303" i="12"/>
  <c r="V303" i="12"/>
  <c r="X22" i="12"/>
  <c r="W22" i="12"/>
  <c r="W207" i="12"/>
  <c r="X207" i="12"/>
  <c r="E518" i="6"/>
  <c r="D518" i="12"/>
  <c r="I622" i="12"/>
  <c r="AM622" i="5"/>
  <c r="L622" i="5"/>
  <c r="Z622" i="5"/>
  <c r="AC622" i="5"/>
  <c r="Z156" i="5"/>
  <c r="I156" i="12"/>
  <c r="AM156" i="5"/>
  <c r="L156" i="5"/>
  <c r="AC156" i="5"/>
  <c r="X701" i="12"/>
  <c r="W701" i="12"/>
  <c r="Z339" i="5"/>
  <c r="I339" i="12"/>
  <c r="AM339" i="5"/>
  <c r="L339" i="5"/>
  <c r="AC339" i="5"/>
  <c r="X342" i="12"/>
  <c r="W342" i="12"/>
  <c r="L472" i="5"/>
  <c r="I472" i="12"/>
  <c r="AM472" i="5"/>
  <c r="Z472" i="5"/>
  <c r="AC472" i="5"/>
  <c r="V587" i="12"/>
  <c r="U587" i="12"/>
  <c r="T587" i="12"/>
  <c r="L151" i="5"/>
  <c r="I151" i="12"/>
  <c r="Z151" i="5"/>
  <c r="AM151" i="5"/>
  <c r="AC151" i="5"/>
  <c r="U541" i="12"/>
  <c r="T541" i="12"/>
  <c r="V541" i="12"/>
  <c r="I129" i="12"/>
  <c r="Z129" i="5"/>
  <c r="AM129" i="5"/>
  <c r="L129" i="5"/>
  <c r="AC129" i="5"/>
  <c r="X275" i="12"/>
  <c r="W275" i="12"/>
  <c r="I493" i="12"/>
  <c r="AM493" i="5"/>
  <c r="L493" i="5"/>
  <c r="Z493" i="5"/>
  <c r="AC493" i="5"/>
  <c r="W612" i="12"/>
  <c r="X612" i="12"/>
  <c r="X507" i="12"/>
  <c r="W507" i="12"/>
  <c r="X79" i="12"/>
  <c r="W79" i="12"/>
  <c r="Z728" i="5"/>
  <c r="AM728" i="5"/>
  <c r="L728" i="5"/>
  <c r="I728" i="12"/>
  <c r="I728" i="5"/>
  <c r="AC728" i="5"/>
  <c r="X723" i="5"/>
  <c r="T547" i="12"/>
  <c r="U547" i="12"/>
  <c r="V547" i="12"/>
  <c r="V437" i="12"/>
  <c r="T437" i="12"/>
  <c r="U437" i="12"/>
  <c r="W370" i="12"/>
  <c r="X370" i="12"/>
  <c r="W534" i="12"/>
  <c r="X534" i="12"/>
  <c r="X253" i="12"/>
  <c r="W253" i="12"/>
  <c r="D700" i="12"/>
  <c r="E700" i="6"/>
  <c r="Y644" i="12"/>
  <c r="D427" i="12"/>
  <c r="E427" i="6"/>
  <c r="N48" i="12"/>
  <c r="W719" i="12"/>
  <c r="X719" i="12"/>
  <c r="U20" i="12"/>
  <c r="T20" i="12"/>
  <c r="V20" i="12"/>
  <c r="Z314" i="5"/>
  <c r="I314" i="5"/>
  <c r="L314" i="5"/>
  <c r="AM314" i="5"/>
  <c r="I314" i="12"/>
  <c r="AC314" i="5"/>
  <c r="X306" i="5"/>
  <c r="W388" i="12"/>
  <c r="X388" i="12"/>
  <c r="W555" i="12"/>
  <c r="X555" i="12"/>
  <c r="Z145" i="5"/>
  <c r="AM145" i="5"/>
  <c r="I145" i="5"/>
  <c r="I146" i="5" s="1"/>
  <c r="I147" i="5" s="1"/>
  <c r="I148" i="5" s="1"/>
  <c r="I149" i="5" s="1"/>
  <c r="I150" i="5" s="1"/>
  <c r="I151" i="5" s="1"/>
  <c r="I152" i="5" s="1"/>
  <c r="I153" i="5" s="1"/>
  <c r="I154" i="5" s="1"/>
  <c r="I155" i="5" s="1"/>
  <c r="I156" i="5" s="1"/>
  <c r="I157" i="5" s="1"/>
  <c r="I158" i="5" s="1"/>
  <c r="I159" i="5" s="1"/>
  <c r="I160" i="5" s="1"/>
  <c r="I161" i="5" s="1"/>
  <c r="X144" i="5"/>
  <c r="I145" i="12"/>
  <c r="L145" i="5"/>
  <c r="AC145" i="5"/>
  <c r="W428" i="12"/>
  <c r="X428" i="12"/>
  <c r="V197" i="12"/>
  <c r="T197" i="12"/>
  <c r="U197" i="12"/>
  <c r="K700" i="12"/>
  <c r="V624" i="12"/>
  <c r="U624" i="12"/>
  <c r="T624" i="12"/>
  <c r="I338" i="5"/>
  <c r="I339" i="5" s="1"/>
  <c r="AM338" i="5"/>
  <c r="L338" i="5"/>
  <c r="Z338" i="5"/>
  <c r="X337" i="5"/>
  <c r="I338" i="12"/>
  <c r="AC338" i="5"/>
  <c r="T569" i="12"/>
  <c r="U569" i="12"/>
  <c r="V569" i="12"/>
  <c r="V411" i="12"/>
  <c r="T411" i="12"/>
  <c r="U411" i="12"/>
  <c r="X647" i="12"/>
  <c r="W647" i="12"/>
  <c r="I560" i="12"/>
  <c r="Z560" i="5"/>
  <c r="AM560" i="5"/>
  <c r="L560" i="5"/>
  <c r="I560" i="5"/>
  <c r="I561" i="5" s="1"/>
  <c r="I562" i="5" s="1"/>
  <c r="I563" i="5" s="1"/>
  <c r="I564" i="5" s="1"/>
  <c r="AC560" i="5"/>
  <c r="X552" i="5"/>
  <c r="L181" i="5"/>
  <c r="I181" i="12"/>
  <c r="Z181" i="5"/>
  <c r="AM181" i="5"/>
  <c r="AC181" i="5"/>
  <c r="W705" i="12"/>
  <c r="X705" i="12"/>
  <c r="W606" i="12"/>
  <c r="X606" i="12"/>
  <c r="X192" i="12"/>
  <c r="W192" i="12"/>
  <c r="K660" i="12"/>
  <c r="AM188" i="5"/>
  <c r="I188" i="12"/>
  <c r="Z188" i="5"/>
  <c r="L188" i="5"/>
  <c r="AC188" i="5"/>
  <c r="I37" i="12"/>
  <c r="X36" i="5"/>
  <c r="X35" i="5"/>
  <c r="AM37" i="5"/>
  <c r="I37" i="5"/>
  <c r="I38" i="5" s="1"/>
  <c r="I39" i="5" s="1"/>
  <c r="O39" i="5" s="1"/>
  <c r="L37" i="5"/>
  <c r="Z37" i="5"/>
  <c r="AC37" i="5"/>
  <c r="Z685" i="5"/>
  <c r="L685" i="5"/>
  <c r="AM685" i="5"/>
  <c r="I685" i="12"/>
  <c r="AC685" i="5"/>
  <c r="W478" i="12"/>
  <c r="X478" i="12"/>
  <c r="L594" i="5"/>
  <c r="X593" i="5"/>
  <c r="AM594" i="5"/>
  <c r="I594" i="12"/>
  <c r="Z594" i="5"/>
  <c r="I594" i="5"/>
  <c r="I595" i="5" s="1"/>
  <c r="O595" i="5" s="1"/>
  <c r="AC594" i="5"/>
  <c r="V455" i="12"/>
  <c r="T455" i="12"/>
  <c r="U455" i="12"/>
  <c r="V55" i="12"/>
  <c r="U55" i="12"/>
  <c r="T55" i="12"/>
  <c r="W380" i="12"/>
  <c r="X380" i="12"/>
  <c r="K375" i="12"/>
  <c r="W704" i="12"/>
  <c r="X704" i="12"/>
  <c r="I164" i="12"/>
  <c r="AM164" i="5"/>
  <c r="L164" i="5"/>
  <c r="Z164" i="5"/>
  <c r="AC164" i="5"/>
  <c r="X285" i="12"/>
  <c r="W285" i="12"/>
  <c r="I250" i="12"/>
  <c r="AM250" i="5"/>
  <c r="L250" i="5"/>
  <c r="Z250" i="5"/>
  <c r="AC250" i="5"/>
  <c r="V348" i="12"/>
  <c r="T348" i="12"/>
  <c r="U348" i="12"/>
  <c r="U556" i="12"/>
  <c r="T556" i="12"/>
  <c r="V556" i="12"/>
  <c r="L171" i="5"/>
  <c r="I171" i="12"/>
  <c r="AM171" i="5"/>
  <c r="Z171" i="5"/>
  <c r="AC171" i="5"/>
  <c r="T716" i="12"/>
  <c r="U716" i="12"/>
  <c r="V716" i="12"/>
  <c r="V310" i="12"/>
  <c r="T310" i="12"/>
  <c r="U310" i="12"/>
  <c r="Z689" i="5"/>
  <c r="L689" i="5"/>
  <c r="AM689" i="5"/>
  <c r="I689" i="12"/>
  <c r="AC689" i="5"/>
  <c r="V405" i="12"/>
  <c r="U405" i="12"/>
  <c r="T405" i="12"/>
  <c r="V601" i="12"/>
  <c r="T601" i="12"/>
  <c r="U601" i="12"/>
  <c r="V717" i="12"/>
  <c r="T717" i="12"/>
  <c r="U717" i="12"/>
  <c r="V673" i="12"/>
  <c r="I178" i="12"/>
  <c r="AM178" i="5"/>
  <c r="L178" i="5"/>
  <c r="Z178" i="5"/>
  <c r="X177" i="5"/>
  <c r="I178" i="5"/>
  <c r="I179" i="5" s="1"/>
  <c r="AC178" i="5"/>
  <c r="V281" i="12"/>
  <c r="U281" i="12"/>
  <c r="W237" i="12"/>
  <c r="X237" i="12"/>
  <c r="Z444" i="5"/>
  <c r="AM444" i="5"/>
  <c r="I444" i="12"/>
  <c r="L444" i="5"/>
  <c r="AC444" i="5"/>
  <c r="W664" i="12"/>
  <c r="X664" i="12"/>
  <c r="W57" i="12"/>
  <c r="X57" i="12"/>
  <c r="E731" i="6"/>
  <c r="D731" i="12"/>
  <c r="W289" i="12"/>
  <c r="X289" i="12"/>
  <c r="W528" i="12"/>
  <c r="X528" i="12"/>
  <c r="I603" i="12"/>
  <c r="L603" i="5"/>
  <c r="AM603" i="5"/>
  <c r="Z603" i="5"/>
  <c r="AC603" i="5"/>
  <c r="X88" i="12"/>
  <c r="W88" i="12"/>
  <c r="K644" i="12"/>
  <c r="Z138" i="5"/>
  <c r="L138" i="5"/>
  <c r="I138" i="12"/>
  <c r="AM138" i="5"/>
  <c r="AC138" i="5"/>
  <c r="W645" i="12"/>
  <c r="X645" i="12"/>
  <c r="T224" i="12"/>
  <c r="V224" i="12"/>
  <c r="U224" i="12"/>
  <c r="W56" i="12"/>
  <c r="X56" i="12"/>
  <c r="AM676" i="5"/>
  <c r="I676" i="12"/>
  <c r="L676" i="5"/>
  <c r="Z676" i="5"/>
  <c r="AC676" i="5"/>
  <c r="V292" i="12"/>
  <c r="U292" i="12"/>
  <c r="T292" i="12"/>
  <c r="W385" i="12"/>
  <c r="X385" i="12"/>
  <c r="U550" i="12"/>
  <c r="T550" i="12"/>
  <c r="V550" i="12"/>
  <c r="Z643" i="5"/>
  <c r="AM643" i="5"/>
  <c r="I643" i="12"/>
  <c r="L643" i="5"/>
  <c r="C643" i="6" s="1"/>
  <c r="AC643" i="5"/>
  <c r="I467" i="12"/>
  <c r="AM467" i="5"/>
  <c r="Z467" i="5"/>
  <c r="L467" i="5"/>
  <c r="AC467" i="5"/>
  <c r="I176" i="12"/>
  <c r="Z176" i="5"/>
  <c r="L176" i="5"/>
  <c r="AM176" i="5"/>
  <c r="AC176" i="5"/>
  <c r="W374" i="12"/>
  <c r="X374" i="12"/>
  <c r="W364" i="12"/>
  <c r="X364" i="12"/>
  <c r="U522" i="12"/>
  <c r="T522" i="12"/>
  <c r="V522" i="12"/>
  <c r="X505" i="12"/>
  <c r="W505" i="12"/>
  <c r="Z470" i="5"/>
  <c r="I470" i="12"/>
  <c r="L470" i="5"/>
  <c r="AM470" i="5"/>
  <c r="AC470" i="5"/>
  <c r="Z425" i="5"/>
  <c r="AM425" i="5"/>
  <c r="L425" i="5"/>
  <c r="C425" i="6" s="1"/>
  <c r="I425" i="12"/>
  <c r="AC425" i="5"/>
  <c r="T475" i="12"/>
  <c r="U475" i="12"/>
  <c r="V475" i="12"/>
  <c r="U90" i="12"/>
  <c r="T90" i="12"/>
  <c r="V90" i="12"/>
  <c r="V321" i="12"/>
  <c r="V521" i="12"/>
  <c r="U521" i="12"/>
  <c r="T521" i="12"/>
  <c r="U712" i="12"/>
  <c r="T712" i="12"/>
  <c r="V712" i="12"/>
  <c r="X387" i="12"/>
  <c r="W387" i="12"/>
  <c r="Z169" i="5"/>
  <c r="AM169" i="5"/>
  <c r="I169" i="12"/>
  <c r="L169" i="5"/>
  <c r="AC169" i="5"/>
  <c r="W671" i="12"/>
  <c r="X671" i="12"/>
  <c r="Z446" i="5"/>
  <c r="L446" i="5"/>
  <c r="AM446" i="5"/>
  <c r="I446" i="12"/>
  <c r="AC446" i="5"/>
  <c r="D105" i="12"/>
  <c r="H29" i="8"/>
  <c r="E105" i="6"/>
  <c r="W536" i="12"/>
  <c r="X536" i="12"/>
  <c r="I598" i="5"/>
  <c r="I599" i="5" s="1"/>
  <c r="I600" i="5" s="1"/>
  <c r="I601" i="5" s="1"/>
  <c r="O601" i="5" s="1"/>
  <c r="I598" i="12"/>
  <c r="AM598" i="5"/>
  <c r="L598" i="5"/>
  <c r="X597" i="5"/>
  <c r="Z598" i="5"/>
  <c r="AC598" i="5"/>
  <c r="X214" i="12"/>
  <c r="W214" i="12"/>
  <c r="D119" i="12"/>
  <c r="E119" i="6"/>
  <c r="AM499" i="5"/>
  <c r="L499" i="5"/>
  <c r="C499" i="6" s="1"/>
  <c r="Z499" i="5"/>
  <c r="I499" i="12"/>
  <c r="AC499" i="5"/>
  <c r="K48" i="12"/>
  <c r="Y375" i="12"/>
  <c r="X287" i="12"/>
  <c r="W287" i="12"/>
  <c r="T62" i="12"/>
  <c r="U62" i="12"/>
  <c r="V62" i="12"/>
  <c r="N700" i="12"/>
  <c r="U399" i="12"/>
  <c r="V399" i="12"/>
  <c r="T399" i="12"/>
  <c r="Z397" i="5"/>
  <c r="AM397" i="5"/>
  <c r="I397" i="12"/>
  <c r="L397" i="5"/>
  <c r="AC397" i="5"/>
  <c r="X274" i="12"/>
  <c r="W274" i="12"/>
  <c r="U298" i="12"/>
  <c r="V298" i="12"/>
  <c r="T298" i="12"/>
  <c r="W179" i="12"/>
  <c r="X179" i="12"/>
  <c r="W110" i="12"/>
  <c r="X110" i="12"/>
  <c r="W194" i="12"/>
  <c r="X194" i="12"/>
  <c r="W291" i="12"/>
  <c r="X291" i="12"/>
  <c r="W661" i="12"/>
  <c r="X661" i="12"/>
  <c r="X330" i="12"/>
  <c r="W330" i="12"/>
  <c r="T54" i="12"/>
  <c r="U54" i="12"/>
  <c r="V54" i="12"/>
  <c r="I186" i="12"/>
  <c r="L186" i="5"/>
  <c r="Z186" i="5"/>
  <c r="AM186" i="5"/>
  <c r="AC186" i="5"/>
  <c r="W345" i="12"/>
  <c r="X345" i="12"/>
  <c r="K654" i="12"/>
  <c r="T565" i="12"/>
  <c r="U565" i="12"/>
  <c r="V565" i="12"/>
  <c r="X434" i="12"/>
  <c r="W434" i="12"/>
  <c r="U349" i="12"/>
  <c r="U566" i="12"/>
  <c r="T566" i="12"/>
  <c r="V566" i="12"/>
  <c r="X414" i="12"/>
  <c r="W414" i="12"/>
  <c r="E430" i="6"/>
  <c r="D430" i="12"/>
  <c r="W524" i="12"/>
  <c r="X524" i="12"/>
  <c r="U74" i="12"/>
  <c r="T74" i="12"/>
  <c r="V74" i="12"/>
  <c r="AM620" i="5"/>
  <c r="I620" i="5"/>
  <c r="I621" i="5" s="1"/>
  <c r="I622" i="5" s="1"/>
  <c r="I623" i="5" s="1"/>
  <c r="I624" i="5" s="1"/>
  <c r="I620" i="12"/>
  <c r="Z620" i="5"/>
  <c r="L620" i="5"/>
  <c r="AC620" i="5"/>
  <c r="X618" i="5"/>
  <c r="Y87" i="12"/>
  <c r="T111" i="12"/>
  <c r="U111" i="12"/>
  <c r="V111" i="12"/>
  <c r="L139" i="5"/>
  <c r="Z139" i="5"/>
  <c r="I139" i="12"/>
  <c r="AM139" i="5"/>
  <c r="AC139" i="5"/>
  <c r="AM611" i="5"/>
  <c r="I611" i="12"/>
  <c r="L611" i="5"/>
  <c r="Z611" i="5"/>
  <c r="AC611" i="5"/>
  <c r="I21" i="12"/>
  <c r="Z21" i="5"/>
  <c r="AM21" i="5"/>
  <c r="I21" i="5"/>
  <c r="I22" i="5" s="1"/>
  <c r="O22" i="5" s="1"/>
  <c r="L21" i="5"/>
  <c r="AC21" i="5"/>
  <c r="X16" i="5"/>
  <c r="X15" i="5"/>
  <c r="X17" i="5"/>
  <c r="N27" i="12"/>
  <c r="L142" i="5"/>
  <c r="AM142" i="5"/>
  <c r="I142" i="12"/>
  <c r="Z142" i="5"/>
  <c r="AC142" i="5"/>
  <c r="Z200" i="5"/>
  <c r="I200" i="12"/>
  <c r="AM200" i="5"/>
  <c r="L200" i="5"/>
  <c r="AC200" i="5"/>
  <c r="L632" i="5"/>
  <c r="Z632" i="5"/>
  <c r="I632" i="5"/>
  <c r="AM632" i="5"/>
  <c r="I632" i="12"/>
  <c r="AC632" i="5"/>
  <c r="X630" i="5"/>
  <c r="AM248" i="5"/>
  <c r="L248" i="5"/>
  <c r="I248" i="12"/>
  <c r="Z248" i="5"/>
  <c r="AC248" i="5"/>
  <c r="L579" i="5"/>
  <c r="Z579" i="5"/>
  <c r="I579" i="12"/>
  <c r="AM579" i="5"/>
  <c r="AC579" i="5"/>
  <c r="I738" i="12"/>
  <c r="L738" i="5"/>
  <c r="Z738" i="5"/>
  <c r="AM738" i="5"/>
  <c r="AC738" i="5"/>
  <c r="AM463" i="5"/>
  <c r="Z463" i="5"/>
  <c r="L463" i="5"/>
  <c r="I463" i="12"/>
  <c r="AC463" i="5"/>
  <c r="X468" i="12"/>
  <c r="W468" i="12"/>
  <c r="I231" i="12"/>
  <c r="Z231" i="5"/>
  <c r="L231" i="5"/>
  <c r="AM231" i="5"/>
  <c r="AC231" i="5"/>
  <c r="AM516" i="5"/>
  <c r="Z516" i="5"/>
  <c r="I516" i="12"/>
  <c r="L516" i="5"/>
  <c r="AC516" i="5"/>
  <c r="AM288" i="5"/>
  <c r="Z288" i="5"/>
  <c r="I288" i="12"/>
  <c r="L288" i="5"/>
  <c r="AC288" i="5"/>
  <c r="X58" i="12"/>
  <c r="W58" i="12"/>
  <c r="I640" i="12"/>
  <c r="AM640" i="5"/>
  <c r="Z640" i="5"/>
  <c r="L640" i="5"/>
  <c r="AC640" i="5"/>
  <c r="U496" i="12"/>
  <c r="T496" i="12"/>
  <c r="V496" i="12"/>
  <c r="U272" i="12"/>
  <c r="V272" i="12"/>
  <c r="T272" i="12"/>
  <c r="AM249" i="5"/>
  <c r="Z249" i="5"/>
  <c r="I249" i="12"/>
  <c r="L249" i="5"/>
  <c r="AC249" i="5"/>
  <c r="Z173" i="5"/>
  <c r="I173" i="12"/>
  <c r="AM173" i="5"/>
  <c r="L173" i="5"/>
  <c r="AC173" i="5"/>
  <c r="T538" i="12"/>
  <c r="U538" i="12"/>
  <c r="V538" i="12"/>
  <c r="T313" i="12"/>
  <c r="U313" i="12"/>
  <c r="V313" i="12"/>
  <c r="AM141" i="5"/>
  <c r="Z141" i="5"/>
  <c r="I141" i="12"/>
  <c r="L141" i="5"/>
  <c r="AC141" i="5"/>
  <c r="N427" i="12"/>
  <c r="T713" i="12"/>
  <c r="U713" i="12"/>
  <c r="V713" i="12"/>
  <c r="X588" i="12"/>
  <c r="W588" i="12"/>
  <c r="L417" i="5"/>
  <c r="I417" i="12"/>
  <c r="AM417" i="5"/>
  <c r="Z417" i="5"/>
  <c r="AC417" i="5"/>
  <c r="W400" i="12"/>
  <c r="X400" i="12"/>
  <c r="U702" i="12"/>
  <c r="T702" i="12"/>
  <c r="V702" i="12"/>
  <c r="V65" i="12"/>
  <c r="U65" i="12"/>
  <c r="T65" i="12"/>
  <c r="L473" i="5"/>
  <c r="I473" i="12"/>
  <c r="Z473" i="5"/>
  <c r="AM473" i="5"/>
  <c r="AC473" i="5"/>
  <c r="U75" i="12"/>
  <c r="Z152" i="5"/>
  <c r="L152" i="5"/>
  <c r="AM152" i="5"/>
  <c r="I152" i="12"/>
  <c r="AC152" i="5"/>
  <c r="X279" i="12"/>
  <c r="W279" i="12"/>
  <c r="Y535" i="12"/>
  <c r="Z596" i="5"/>
  <c r="AM596" i="5"/>
  <c r="L596" i="5"/>
  <c r="I596" i="12"/>
  <c r="AC596" i="5"/>
  <c r="W277" i="12"/>
  <c r="X277" i="12"/>
  <c r="W739" i="12"/>
  <c r="X739" i="12"/>
  <c r="X290" i="12"/>
  <c r="W290" i="12"/>
  <c r="X376" i="12"/>
  <c r="W376" i="12"/>
  <c r="K60" i="12"/>
  <c r="I667" i="12"/>
  <c r="AM667" i="5"/>
  <c r="Z667" i="5"/>
  <c r="L667" i="5"/>
  <c r="AC667" i="5"/>
  <c r="L480" i="5"/>
  <c r="Z480" i="5"/>
  <c r="AM480" i="5"/>
  <c r="I480" i="12"/>
  <c r="AC480" i="5"/>
  <c r="X549" i="12"/>
  <c r="W549" i="12"/>
  <c r="E660" i="6"/>
  <c r="D660" i="12"/>
  <c r="X635" i="12"/>
  <c r="W635" i="12"/>
  <c r="W115" i="12"/>
  <c r="X115" i="12"/>
  <c r="T75" i="12" l="1"/>
  <c r="T447" i="12"/>
  <c r="T89" i="12"/>
  <c r="T349" i="12"/>
  <c r="T321" i="12"/>
  <c r="T673" i="12"/>
  <c r="X236" i="12"/>
  <c r="U447" i="12"/>
  <c r="T542" i="12"/>
  <c r="V52" i="12"/>
  <c r="T537" i="12"/>
  <c r="U215" i="12"/>
  <c r="X427" i="12"/>
  <c r="V537" i="12"/>
  <c r="U226" i="12"/>
  <c r="U542" i="12"/>
  <c r="T68" i="12"/>
  <c r="V68" i="12"/>
  <c r="X86" i="12"/>
  <c r="U527" i="12"/>
  <c r="V527" i="12"/>
  <c r="V215" i="12"/>
  <c r="X731" i="12"/>
  <c r="W700" i="12"/>
  <c r="V700" i="12" s="1"/>
  <c r="W653" i="12"/>
  <c r="T327" i="12"/>
  <c r="V327" i="12"/>
  <c r="U183" i="12"/>
  <c r="I596" i="5"/>
  <c r="O596" i="5" s="1"/>
  <c r="T481" i="12"/>
  <c r="T368" i="12"/>
  <c r="V368" i="12"/>
  <c r="U481" i="12"/>
  <c r="T226" i="12"/>
  <c r="U458" i="12"/>
  <c r="T458" i="12"/>
  <c r="T304" i="12"/>
  <c r="V304" i="12"/>
  <c r="T300" i="12"/>
  <c r="V300" i="12"/>
  <c r="X654" i="12"/>
  <c r="U217" i="12"/>
  <c r="T217" i="12"/>
  <c r="X660" i="12"/>
  <c r="X40" i="12"/>
  <c r="U381" i="12"/>
  <c r="T381" i="12"/>
  <c r="U638" i="12"/>
  <c r="V638" i="12"/>
  <c r="I234" i="5"/>
  <c r="I235" i="5" s="1"/>
  <c r="O235" i="5" s="1"/>
  <c r="E235" i="6" s="1"/>
  <c r="I506" i="5"/>
  <c r="I507" i="5" s="1"/>
  <c r="I689" i="5"/>
  <c r="I690" i="5" s="1"/>
  <c r="O690" i="5" s="1"/>
  <c r="D690" i="12" s="1"/>
  <c r="T645" i="12"/>
  <c r="U645" i="12"/>
  <c r="V645" i="12"/>
  <c r="V192" i="12"/>
  <c r="U192" i="12"/>
  <c r="T192" i="12"/>
  <c r="O129" i="12"/>
  <c r="AO129" i="12"/>
  <c r="C129" i="12"/>
  <c r="M129" i="12"/>
  <c r="C77" i="12"/>
  <c r="O77" i="12"/>
  <c r="AO77" i="12"/>
  <c r="M77" i="12"/>
  <c r="O264" i="12"/>
  <c r="C264" i="12"/>
  <c r="AO264" i="12"/>
  <c r="M264" i="12"/>
  <c r="C140" i="12"/>
  <c r="O140" i="12"/>
  <c r="AO140" i="12"/>
  <c r="M140" i="12"/>
  <c r="AB143" i="5"/>
  <c r="T693" i="12"/>
  <c r="V693" i="12"/>
  <c r="U693" i="12"/>
  <c r="AB26" i="5"/>
  <c r="T373" i="12"/>
  <c r="V373" i="12"/>
  <c r="U373" i="12"/>
  <c r="I674" i="5"/>
  <c r="O673" i="5"/>
  <c r="O485" i="5"/>
  <c r="C485" i="6"/>
  <c r="V115" i="12"/>
  <c r="U115" i="12"/>
  <c r="T115" i="12"/>
  <c r="C480" i="6"/>
  <c r="T739" i="12"/>
  <c r="U739" i="12"/>
  <c r="V739" i="12"/>
  <c r="M473" i="12"/>
  <c r="C473" i="12"/>
  <c r="O473" i="12"/>
  <c r="AO473" i="12"/>
  <c r="AB417" i="5"/>
  <c r="AO141" i="12"/>
  <c r="O141" i="12"/>
  <c r="M141" i="12"/>
  <c r="C141" i="12"/>
  <c r="M173" i="12"/>
  <c r="O173" i="12"/>
  <c r="C173" i="12"/>
  <c r="AO173" i="12"/>
  <c r="AO288" i="12"/>
  <c r="C288" i="12"/>
  <c r="M288" i="12"/>
  <c r="O288" i="12"/>
  <c r="AB231" i="5"/>
  <c r="AB738" i="5"/>
  <c r="AB200" i="5"/>
  <c r="D22" i="12"/>
  <c r="E22" i="6"/>
  <c r="AB139" i="5"/>
  <c r="D601" i="12"/>
  <c r="E601" i="6"/>
  <c r="U505" i="12"/>
  <c r="T505" i="12"/>
  <c r="V505" i="12"/>
  <c r="AB176" i="5"/>
  <c r="T664" i="12"/>
  <c r="V664" i="12"/>
  <c r="U664" i="12"/>
  <c r="AB689" i="5"/>
  <c r="AB171" i="5"/>
  <c r="C250" i="6"/>
  <c r="O250" i="5"/>
  <c r="O594" i="12"/>
  <c r="C594" i="12"/>
  <c r="AO594" i="12"/>
  <c r="M594" i="12"/>
  <c r="AB37" i="5"/>
  <c r="C181" i="6"/>
  <c r="AB129" i="5"/>
  <c r="U648" i="12"/>
  <c r="V648" i="12"/>
  <c r="T648" i="12"/>
  <c r="AB25" i="5"/>
  <c r="U427" i="12"/>
  <c r="V427" i="12"/>
  <c r="T427" i="12"/>
  <c r="T133" i="12"/>
  <c r="V133" i="12"/>
  <c r="U133" i="12"/>
  <c r="O126" i="5"/>
  <c r="C126" i="6"/>
  <c r="U33" i="12"/>
  <c r="T33" i="12"/>
  <c r="V33" i="12"/>
  <c r="AO168" i="12"/>
  <c r="C168" i="12"/>
  <c r="O168" i="12"/>
  <c r="M168" i="12"/>
  <c r="AB185" i="5"/>
  <c r="AB140" i="5"/>
  <c r="O146" i="12"/>
  <c r="AO146" i="12"/>
  <c r="C146" i="12"/>
  <c r="M146" i="12"/>
  <c r="AC626" i="5"/>
  <c r="Z626" i="5"/>
  <c r="I626" i="12"/>
  <c r="L626" i="5"/>
  <c r="AM626" i="5"/>
  <c r="C504" i="6"/>
  <c r="O504" i="5"/>
  <c r="AB617" i="5"/>
  <c r="C155" i="12"/>
  <c r="AO155" i="12"/>
  <c r="O155" i="12"/>
  <c r="M155" i="12"/>
  <c r="V91" i="12"/>
  <c r="T91" i="12"/>
  <c r="U91" i="12"/>
  <c r="AB741" i="5"/>
  <c r="I636" i="5"/>
  <c r="O635" i="5"/>
  <c r="U352" i="12"/>
  <c r="V352" i="12"/>
  <c r="T352" i="12"/>
  <c r="C413" i="6"/>
  <c r="V361" i="12"/>
  <c r="U361" i="12"/>
  <c r="T361" i="12"/>
  <c r="O202" i="12"/>
  <c r="M202" i="12"/>
  <c r="C202" i="12"/>
  <c r="AO202" i="12"/>
  <c r="U251" i="12"/>
  <c r="T251" i="12"/>
  <c r="V251" i="12"/>
  <c r="T509" i="12"/>
  <c r="U509" i="12"/>
  <c r="V509" i="12"/>
  <c r="V193" i="12"/>
  <c r="T193" i="12"/>
  <c r="U193" i="12"/>
  <c r="AB589" i="5"/>
  <c r="AB584" i="5" s="1"/>
  <c r="U531" i="12"/>
  <c r="V531" i="12"/>
  <c r="T531" i="12"/>
  <c r="C198" i="6"/>
  <c r="O198" i="5"/>
  <c r="L315" i="5"/>
  <c r="I315" i="12"/>
  <c r="Z315" i="5"/>
  <c r="AM315" i="5"/>
  <c r="AC315" i="5"/>
  <c r="L574" i="5"/>
  <c r="AC574" i="5"/>
  <c r="AM574" i="5"/>
  <c r="I574" i="12"/>
  <c r="Z574" i="5"/>
  <c r="AB678" i="5"/>
  <c r="U495" i="12"/>
  <c r="V495" i="12"/>
  <c r="T495" i="12"/>
  <c r="V40" i="12"/>
  <c r="U40" i="12"/>
  <c r="T40" i="12"/>
  <c r="T328" i="12"/>
  <c r="U328" i="12"/>
  <c r="V328" i="12"/>
  <c r="M672" i="12"/>
  <c r="C672" i="12"/>
  <c r="O672" i="12"/>
  <c r="AO672" i="12"/>
  <c r="C234" i="6"/>
  <c r="O234" i="5"/>
  <c r="V73" i="12"/>
  <c r="T73" i="12"/>
  <c r="U73" i="12"/>
  <c r="C412" i="6"/>
  <c r="C158" i="6"/>
  <c r="O158" i="5"/>
  <c r="AB257" i="5"/>
  <c r="C576" i="6"/>
  <c r="O576" i="5"/>
  <c r="AB150" i="5"/>
  <c r="AB128" i="5"/>
  <c r="O485" i="12"/>
  <c r="M485" i="12"/>
  <c r="M483" i="12" s="1"/>
  <c r="AO485" i="12"/>
  <c r="C485" i="12"/>
  <c r="AO219" i="12"/>
  <c r="O219" i="12"/>
  <c r="C219" i="12"/>
  <c r="M219" i="12"/>
  <c r="AB692" i="5"/>
  <c r="C568" i="6"/>
  <c r="AO163" i="12"/>
  <c r="O163" i="12"/>
  <c r="C163" i="12"/>
  <c r="M163" i="12"/>
  <c r="I487" i="12"/>
  <c r="Z487" i="5"/>
  <c r="AC487" i="5"/>
  <c r="AM487" i="5"/>
  <c r="R65" i="8"/>
  <c r="L487" i="5"/>
  <c r="L100" i="5"/>
  <c r="Z100" i="5"/>
  <c r="I100" i="12"/>
  <c r="AM100" i="5"/>
  <c r="AC100" i="5"/>
  <c r="C506" i="12"/>
  <c r="M506" i="12"/>
  <c r="O506" i="12"/>
  <c r="AO506" i="12"/>
  <c r="C263" i="6"/>
  <c r="O263" i="5"/>
  <c r="I718" i="12"/>
  <c r="L718" i="5"/>
  <c r="AM718" i="5"/>
  <c r="Z718" i="5"/>
  <c r="AC718" i="5"/>
  <c r="AB149" i="5"/>
  <c r="AB353" i="5"/>
  <c r="AM124" i="5"/>
  <c r="I124" i="12"/>
  <c r="Z124" i="5"/>
  <c r="L124" i="5"/>
  <c r="AC124" i="5"/>
  <c r="O38" i="5"/>
  <c r="C38" i="6"/>
  <c r="C445" i="12"/>
  <c r="AO445" i="12"/>
  <c r="M445" i="12"/>
  <c r="O445" i="12"/>
  <c r="C160" i="6"/>
  <c r="O160" i="5"/>
  <c r="O223" i="5"/>
  <c r="C223" i="6"/>
  <c r="O159" i="12"/>
  <c r="C159" i="12"/>
  <c r="M159" i="12"/>
  <c r="AO159" i="12"/>
  <c r="O687" i="12"/>
  <c r="C687" i="12"/>
  <c r="AO687" i="12"/>
  <c r="M687" i="12"/>
  <c r="O127" i="12"/>
  <c r="AO127" i="12"/>
  <c r="C127" i="12"/>
  <c r="M127" i="12"/>
  <c r="AB331" i="5"/>
  <c r="V307" i="12"/>
  <c r="U307" i="12"/>
  <c r="T307" i="12"/>
  <c r="O261" i="12"/>
  <c r="C261" i="12"/>
  <c r="M261" i="12"/>
  <c r="AO261" i="12"/>
  <c r="M684" i="12"/>
  <c r="C684" i="12"/>
  <c r="O684" i="12"/>
  <c r="AO684" i="12"/>
  <c r="T700" i="12"/>
  <c r="C402" i="6"/>
  <c r="U346" i="12"/>
  <c r="T346" i="12"/>
  <c r="V346" i="12"/>
  <c r="O607" i="5"/>
  <c r="C607" i="6"/>
  <c r="AM646" i="5"/>
  <c r="I646" i="12"/>
  <c r="L646" i="5"/>
  <c r="R71" i="8"/>
  <c r="Z646" i="5"/>
  <c r="AC646" i="5"/>
  <c r="AB280" i="5"/>
  <c r="T612" i="12"/>
  <c r="U612" i="12"/>
  <c r="V612" i="12"/>
  <c r="D628" i="12"/>
  <c r="E628" i="6"/>
  <c r="I591" i="5"/>
  <c r="O590" i="5"/>
  <c r="AB234" i="5"/>
  <c r="AM539" i="5"/>
  <c r="I539" i="12"/>
  <c r="AC539" i="5"/>
  <c r="L539" i="5"/>
  <c r="Z539" i="5"/>
  <c r="C326" i="12"/>
  <c r="O326" i="12"/>
  <c r="M326" i="12"/>
  <c r="AO326" i="12"/>
  <c r="O456" i="5"/>
  <c r="C456" i="6"/>
  <c r="C353" i="12"/>
  <c r="O353" i="12"/>
  <c r="AO353" i="12"/>
  <c r="M353" i="12"/>
  <c r="AB127" i="5"/>
  <c r="T419" i="12"/>
  <c r="V419" i="12"/>
  <c r="U419" i="12"/>
  <c r="O667" i="5"/>
  <c r="C667" i="6"/>
  <c r="U277" i="12"/>
  <c r="V277" i="12"/>
  <c r="T277" i="12"/>
  <c r="M417" i="12"/>
  <c r="AO417" i="12"/>
  <c r="O417" i="12"/>
  <c r="C417" i="12"/>
  <c r="U468" i="12"/>
  <c r="T468" i="12"/>
  <c r="V468" i="12"/>
  <c r="M738" i="12"/>
  <c r="AO738" i="12"/>
  <c r="C738" i="12"/>
  <c r="O738" i="12"/>
  <c r="AB142" i="5"/>
  <c r="AB21" i="5"/>
  <c r="AB186" i="5"/>
  <c r="O397" i="5"/>
  <c r="C397" i="6"/>
  <c r="U536" i="12"/>
  <c r="T536" i="12"/>
  <c r="V536" i="12"/>
  <c r="O425" i="12"/>
  <c r="M425" i="12"/>
  <c r="C425" i="12"/>
  <c r="AO425" i="12"/>
  <c r="M603" i="12"/>
  <c r="AO603" i="12"/>
  <c r="O603" i="12"/>
  <c r="C603" i="12"/>
  <c r="Z177" i="5"/>
  <c r="R35" i="8"/>
  <c r="AM177" i="5"/>
  <c r="L177" i="5"/>
  <c r="I177" i="12"/>
  <c r="AC177" i="5"/>
  <c r="O171" i="12"/>
  <c r="M171" i="12"/>
  <c r="C171" i="12"/>
  <c r="AO171" i="12"/>
  <c r="C250" i="12"/>
  <c r="M250" i="12"/>
  <c r="O250" i="12"/>
  <c r="AO250" i="12"/>
  <c r="T380" i="12"/>
  <c r="U380" i="12"/>
  <c r="V380" i="12"/>
  <c r="I593" i="12"/>
  <c r="Z593" i="5"/>
  <c r="L593" i="5"/>
  <c r="AM593" i="5"/>
  <c r="AC593" i="5"/>
  <c r="D39" i="12"/>
  <c r="E39" i="6"/>
  <c r="AB145" i="5"/>
  <c r="T236" i="12"/>
  <c r="U236" i="12"/>
  <c r="V236" i="12"/>
  <c r="V22" i="12"/>
  <c r="T22" i="12"/>
  <c r="U22" i="12"/>
  <c r="AB77" i="5"/>
  <c r="V44" i="12"/>
  <c r="T44" i="12"/>
  <c r="U44" i="12"/>
  <c r="C264" i="6"/>
  <c r="O264" i="5"/>
  <c r="T360" i="12"/>
  <c r="U360" i="12"/>
  <c r="V360" i="12"/>
  <c r="U210" i="12"/>
  <c r="T210" i="12"/>
  <c r="V210" i="12"/>
  <c r="E189" i="6"/>
  <c r="D189" i="12"/>
  <c r="C563" i="12"/>
  <c r="O563" i="12"/>
  <c r="AO563" i="12"/>
  <c r="M563" i="12"/>
  <c r="O617" i="12"/>
  <c r="C617" i="12"/>
  <c r="AO617" i="12"/>
  <c r="M617" i="12"/>
  <c r="AO741" i="12"/>
  <c r="O741" i="12"/>
  <c r="M741" i="12"/>
  <c r="C741" i="12"/>
  <c r="O634" i="5"/>
  <c r="C634" i="6"/>
  <c r="V94" i="12"/>
  <c r="T94" i="12"/>
  <c r="U94" i="12"/>
  <c r="C85" i="6"/>
  <c r="O85" i="5"/>
  <c r="C26" i="6"/>
  <c r="AB166" i="5"/>
  <c r="E204" i="6"/>
  <c r="D204" i="12"/>
  <c r="V714" i="12"/>
  <c r="T714" i="12"/>
  <c r="U714" i="12"/>
  <c r="C316" i="6"/>
  <c r="O316" i="5"/>
  <c r="C615" i="6"/>
  <c r="M668" i="12"/>
  <c r="O668" i="12"/>
  <c r="AO668" i="12"/>
  <c r="C668" i="12"/>
  <c r="O562" i="5"/>
  <c r="C562" i="6"/>
  <c r="U401" i="12"/>
  <c r="V401" i="12"/>
  <c r="T401" i="12"/>
  <c r="AB672" i="5"/>
  <c r="Z131" i="5"/>
  <c r="I131" i="12"/>
  <c r="AM131" i="5"/>
  <c r="L131" i="5"/>
  <c r="AC131" i="5"/>
  <c r="AB412" i="5"/>
  <c r="E739" i="6"/>
  <c r="D739" i="12"/>
  <c r="AB24" i="5"/>
  <c r="U415" i="12"/>
  <c r="T415" i="12"/>
  <c r="V415" i="12"/>
  <c r="O157" i="12"/>
  <c r="M157" i="12"/>
  <c r="AO157" i="12"/>
  <c r="C157" i="12"/>
  <c r="AO692" i="12"/>
  <c r="C692" i="12"/>
  <c r="O692" i="12"/>
  <c r="M692" i="12"/>
  <c r="C489" i="12"/>
  <c r="O489" i="12"/>
  <c r="AO489" i="12"/>
  <c r="M489" i="12"/>
  <c r="C572" i="12"/>
  <c r="AO572" i="12"/>
  <c r="O572" i="12"/>
  <c r="M572" i="12"/>
  <c r="AC340" i="5"/>
  <c r="R56" i="8"/>
  <c r="AM340" i="5"/>
  <c r="I340" i="12"/>
  <c r="Z340" i="5"/>
  <c r="L340" i="5"/>
  <c r="T699" i="12"/>
  <c r="U699" i="12"/>
  <c r="V699" i="12"/>
  <c r="T30" i="12"/>
  <c r="V30" i="12"/>
  <c r="U30" i="12"/>
  <c r="O722" i="5"/>
  <c r="C722" i="6"/>
  <c r="Z267" i="5"/>
  <c r="L267" i="5"/>
  <c r="I267" i="12"/>
  <c r="AM267" i="5"/>
  <c r="AC267" i="5"/>
  <c r="V724" i="12"/>
  <c r="U724" i="12"/>
  <c r="T724" i="12"/>
  <c r="I459" i="5"/>
  <c r="O458" i="5"/>
  <c r="C149" i="6"/>
  <c r="O149" i="5"/>
  <c r="C353" i="6"/>
  <c r="C510" i="12"/>
  <c r="AO510" i="12"/>
  <c r="M510" i="12"/>
  <c r="O510" i="12"/>
  <c r="U82" i="12"/>
  <c r="T82" i="12"/>
  <c r="V82" i="12"/>
  <c r="T312" i="12"/>
  <c r="V312" i="12"/>
  <c r="U312" i="12"/>
  <c r="V299" i="12"/>
  <c r="U299" i="12"/>
  <c r="T299" i="12"/>
  <c r="AB160" i="5"/>
  <c r="V119" i="12"/>
  <c r="T119" i="12"/>
  <c r="U119" i="12"/>
  <c r="C666" i="12"/>
  <c r="AO666" i="12"/>
  <c r="O666" i="12"/>
  <c r="M666" i="12"/>
  <c r="AO460" i="12"/>
  <c r="M460" i="12"/>
  <c r="C460" i="12"/>
  <c r="O460" i="12"/>
  <c r="C730" i="6"/>
  <c r="O730" i="5"/>
  <c r="C687" i="6"/>
  <c r="O687" i="5"/>
  <c r="T585" i="12"/>
  <c r="V585" i="12"/>
  <c r="U585" i="12"/>
  <c r="AB147" i="5"/>
  <c r="AB230" i="5"/>
  <c r="AO649" i="12"/>
  <c r="O649" i="12"/>
  <c r="M649" i="12"/>
  <c r="C649" i="12"/>
  <c r="V81" i="12"/>
  <c r="T81" i="12"/>
  <c r="U81" i="12"/>
  <c r="AB288" i="5"/>
  <c r="V207" i="12"/>
  <c r="U207" i="12"/>
  <c r="T207" i="12"/>
  <c r="AB668" i="5"/>
  <c r="M412" i="12"/>
  <c r="O412" i="12"/>
  <c r="AO412" i="12"/>
  <c r="C412" i="12"/>
  <c r="AB576" i="5"/>
  <c r="Z341" i="5"/>
  <c r="L341" i="5"/>
  <c r="AM341" i="5"/>
  <c r="I341" i="12"/>
  <c r="AC341" i="5"/>
  <c r="AB503" i="5"/>
  <c r="C263" i="12"/>
  <c r="AO263" i="12"/>
  <c r="M263" i="12"/>
  <c r="O263" i="12"/>
  <c r="V286" i="12"/>
  <c r="U286" i="12"/>
  <c r="T286" i="12"/>
  <c r="T61" i="12"/>
  <c r="V61" i="12"/>
  <c r="U61" i="12"/>
  <c r="AO160" i="12"/>
  <c r="M160" i="12"/>
  <c r="O160" i="12"/>
  <c r="C160" i="12"/>
  <c r="V362" i="12"/>
  <c r="T362" i="12"/>
  <c r="U362" i="12"/>
  <c r="AB666" i="5"/>
  <c r="I733" i="5"/>
  <c r="O733" i="5" s="1"/>
  <c r="O732" i="5"/>
  <c r="AB159" i="5"/>
  <c r="O147" i="5"/>
  <c r="C147" i="6"/>
  <c r="C684" i="6"/>
  <c r="O684" i="5"/>
  <c r="AB402" i="5"/>
  <c r="AB667" i="5"/>
  <c r="C152" i="6"/>
  <c r="O152" i="5"/>
  <c r="C417" i="6"/>
  <c r="O249" i="5"/>
  <c r="C249" i="6"/>
  <c r="C640" i="6"/>
  <c r="O632" i="12"/>
  <c r="M632" i="12"/>
  <c r="M630" i="12" s="1"/>
  <c r="C632" i="12"/>
  <c r="AO632" i="12"/>
  <c r="M142" i="12"/>
  <c r="O142" i="12"/>
  <c r="C142" i="12"/>
  <c r="AO142" i="12"/>
  <c r="O21" i="12"/>
  <c r="AO21" i="12"/>
  <c r="M21" i="12"/>
  <c r="C21" i="12"/>
  <c r="C186" i="6"/>
  <c r="O186" i="5"/>
  <c r="U194" i="12"/>
  <c r="T194" i="12"/>
  <c r="V194" i="12"/>
  <c r="M397" i="12"/>
  <c r="O397" i="12"/>
  <c r="AO397" i="12"/>
  <c r="C397" i="12"/>
  <c r="O169" i="5"/>
  <c r="C169" i="6"/>
  <c r="AB676" i="5"/>
  <c r="C444" i="6"/>
  <c r="AB178" i="5"/>
  <c r="C171" i="6"/>
  <c r="O171" i="5"/>
  <c r="T285" i="12"/>
  <c r="V285" i="12"/>
  <c r="U285" i="12"/>
  <c r="C594" i="6"/>
  <c r="O594" i="5"/>
  <c r="I565" i="5"/>
  <c r="O564" i="5"/>
  <c r="AB493" i="5"/>
  <c r="O339" i="5"/>
  <c r="C339" i="6"/>
  <c r="M156" i="12"/>
  <c r="AO156" i="12"/>
  <c r="O156" i="12"/>
  <c r="C156" i="12"/>
  <c r="V271" i="12"/>
  <c r="U271" i="12"/>
  <c r="T271" i="12"/>
  <c r="O130" i="5"/>
  <c r="C130" i="6"/>
  <c r="V567" i="12"/>
  <c r="T567" i="12"/>
  <c r="U567" i="12"/>
  <c r="AB264" i="5"/>
  <c r="T703" i="12"/>
  <c r="V703" i="12"/>
  <c r="U703" i="12"/>
  <c r="AB448" i="5"/>
  <c r="O185" i="5"/>
  <c r="C185" i="6"/>
  <c r="O140" i="5"/>
  <c r="C140" i="6"/>
  <c r="AB563" i="5"/>
  <c r="C143" i="6"/>
  <c r="O143" i="5"/>
  <c r="V49" i="12"/>
  <c r="T49" i="12"/>
  <c r="U49" i="12"/>
  <c r="V46" i="12"/>
  <c r="U46" i="12"/>
  <c r="T46" i="12"/>
  <c r="U118" i="12"/>
  <c r="V118" i="12"/>
  <c r="T118" i="12"/>
  <c r="L740" i="5"/>
  <c r="Z740" i="5"/>
  <c r="AC740" i="5"/>
  <c r="I740" i="12"/>
  <c r="AM740" i="5"/>
  <c r="O161" i="5"/>
  <c r="C161" i="6"/>
  <c r="AB634" i="5"/>
  <c r="U442" i="12"/>
  <c r="V442" i="12"/>
  <c r="T442" i="12"/>
  <c r="T319" i="12"/>
  <c r="U319" i="12"/>
  <c r="V319" i="12"/>
  <c r="AB742" i="5"/>
  <c r="O85" i="12"/>
  <c r="M85" i="12"/>
  <c r="M78" i="12" s="1"/>
  <c r="C85" i="12"/>
  <c r="AO85" i="12"/>
  <c r="C443" i="6"/>
  <c r="M26" i="12"/>
  <c r="AO26" i="12"/>
  <c r="O26" i="12"/>
  <c r="C26" i="12"/>
  <c r="D612" i="12"/>
  <c r="E612" i="6"/>
  <c r="O166" i="5"/>
  <c r="C166" i="6"/>
  <c r="O589" i="12"/>
  <c r="C589" i="12"/>
  <c r="M589" i="12"/>
  <c r="M584" i="12" s="1"/>
  <c r="AO589" i="12"/>
  <c r="AB198" i="5"/>
  <c r="C316" i="12"/>
  <c r="M316" i="12"/>
  <c r="M315" i="12" s="1"/>
  <c r="O316" i="12"/>
  <c r="AO316" i="12"/>
  <c r="T451" i="12"/>
  <c r="V451" i="12"/>
  <c r="U451" i="12"/>
  <c r="T715" i="12"/>
  <c r="U715" i="12"/>
  <c r="V715" i="12"/>
  <c r="O668" i="5"/>
  <c r="C668" i="6"/>
  <c r="C234" i="12"/>
  <c r="O234" i="12"/>
  <c r="M234" i="12"/>
  <c r="AO234" i="12"/>
  <c r="AB744" i="5"/>
  <c r="AB735" i="5"/>
  <c r="AB485" i="5"/>
  <c r="AB483" i="5" s="1"/>
  <c r="C692" i="6"/>
  <c r="U53" i="12"/>
  <c r="V53" i="12"/>
  <c r="T53" i="12"/>
  <c r="AB544" i="5"/>
  <c r="AB539" i="5" s="1"/>
  <c r="U189" i="12"/>
  <c r="T189" i="12"/>
  <c r="V189" i="12"/>
  <c r="AB163" i="5"/>
  <c r="C572" i="6"/>
  <c r="C508" i="12"/>
  <c r="AO508" i="12"/>
  <c r="M508" i="12"/>
  <c r="O508" i="12"/>
  <c r="C326" i="6"/>
  <c r="O326" i="5"/>
  <c r="L227" i="5"/>
  <c r="AM227" i="5"/>
  <c r="Z227" i="5"/>
  <c r="I227" i="12"/>
  <c r="AC227" i="5"/>
  <c r="O149" i="12"/>
  <c r="AO149" i="12"/>
  <c r="M149" i="12"/>
  <c r="C149" i="12"/>
  <c r="M737" i="12"/>
  <c r="AO737" i="12"/>
  <c r="C737" i="12"/>
  <c r="O737" i="12"/>
  <c r="AO172" i="12"/>
  <c r="O172" i="12"/>
  <c r="C172" i="12"/>
  <c r="M172" i="12"/>
  <c r="M153" i="12"/>
  <c r="O153" i="12"/>
  <c r="C153" i="12"/>
  <c r="AO153" i="12"/>
  <c r="AB510" i="5"/>
  <c r="L123" i="5"/>
  <c r="I123" i="12"/>
  <c r="AM123" i="5"/>
  <c r="R32" i="8"/>
  <c r="Z123" i="5"/>
  <c r="AC123" i="5"/>
  <c r="C187" i="6"/>
  <c r="O187" i="5"/>
  <c r="V670" i="12"/>
  <c r="U670" i="12"/>
  <c r="T670" i="12"/>
  <c r="I613" i="5"/>
  <c r="I614" i="5" s="1"/>
  <c r="I615" i="5" s="1"/>
  <c r="I616" i="5" s="1"/>
  <c r="AO623" i="12"/>
  <c r="C623" i="12"/>
  <c r="M623" i="12"/>
  <c r="O623" i="12"/>
  <c r="AO730" i="12"/>
  <c r="O730" i="12"/>
  <c r="C730" i="12"/>
  <c r="M730" i="12"/>
  <c r="M729" i="12" s="1"/>
  <c r="U41" i="12"/>
  <c r="T41" i="12"/>
  <c r="V41" i="12"/>
  <c r="T282" i="12"/>
  <c r="V282" i="12"/>
  <c r="U282" i="12"/>
  <c r="C582" i="6"/>
  <c r="O582" i="5"/>
  <c r="C331" i="6"/>
  <c r="AO147" i="12"/>
  <c r="O147" i="12"/>
  <c r="C147" i="12"/>
  <c r="M147" i="12"/>
  <c r="U278" i="12"/>
  <c r="V278" i="12"/>
  <c r="T278" i="12"/>
  <c r="AC500" i="5"/>
  <c r="AM500" i="5"/>
  <c r="Z500" i="5"/>
  <c r="I500" i="12"/>
  <c r="L500" i="5"/>
  <c r="AB684" i="5"/>
  <c r="T344" i="12"/>
  <c r="V344" i="12"/>
  <c r="U344" i="12"/>
  <c r="V235" i="12"/>
  <c r="T235" i="12"/>
  <c r="U235" i="12"/>
  <c r="O230" i="5"/>
  <c r="C230" i="6"/>
  <c r="I651" i="5"/>
  <c r="O650" i="5"/>
  <c r="T86" i="12"/>
  <c r="V86" i="12"/>
  <c r="U86" i="12"/>
  <c r="AO152" i="12"/>
  <c r="C152" i="12"/>
  <c r="M152" i="12"/>
  <c r="O152" i="12"/>
  <c r="O139" i="5"/>
  <c r="C139" i="6"/>
  <c r="AM552" i="5"/>
  <c r="Z552" i="5"/>
  <c r="I552" i="12"/>
  <c r="L552" i="5"/>
  <c r="AC552" i="5"/>
  <c r="O156" i="5"/>
  <c r="C156" i="6"/>
  <c r="M448" i="12"/>
  <c r="C448" i="12"/>
  <c r="AO448" i="12"/>
  <c r="O448" i="12"/>
  <c r="O146" i="5"/>
  <c r="C146" i="6"/>
  <c r="O198" i="12"/>
  <c r="M198" i="12"/>
  <c r="AO198" i="12"/>
  <c r="C198" i="12"/>
  <c r="C615" i="12"/>
  <c r="M615" i="12"/>
  <c r="O615" i="12"/>
  <c r="AO615" i="12"/>
  <c r="AB158" i="5"/>
  <c r="L266" i="5"/>
  <c r="Z266" i="5"/>
  <c r="I266" i="12"/>
  <c r="AM266" i="5"/>
  <c r="R50" i="8"/>
  <c r="AC266" i="5"/>
  <c r="C737" i="6"/>
  <c r="O737" i="5"/>
  <c r="AO125" i="12"/>
  <c r="M125" i="12"/>
  <c r="O125" i="12"/>
  <c r="C125" i="12"/>
  <c r="AB367" i="5"/>
  <c r="U356" i="12"/>
  <c r="V356" i="12"/>
  <c r="T356" i="12"/>
  <c r="AB152" i="5"/>
  <c r="V588" i="12"/>
  <c r="T588" i="12"/>
  <c r="U588" i="12"/>
  <c r="O249" i="12"/>
  <c r="C249" i="12"/>
  <c r="M249" i="12"/>
  <c r="AO249" i="12"/>
  <c r="AB640" i="5"/>
  <c r="V434" i="12"/>
  <c r="T434" i="12"/>
  <c r="U434" i="12"/>
  <c r="AO186" i="12"/>
  <c r="M186" i="12"/>
  <c r="O186" i="12"/>
  <c r="C186" i="12"/>
  <c r="T287" i="12"/>
  <c r="V287" i="12"/>
  <c r="U287" i="12"/>
  <c r="V214" i="12"/>
  <c r="T214" i="12"/>
  <c r="U214" i="12"/>
  <c r="C169" i="12"/>
  <c r="M169" i="12"/>
  <c r="O169" i="12"/>
  <c r="AO169" i="12"/>
  <c r="C467" i="6"/>
  <c r="C676" i="6"/>
  <c r="C138" i="12"/>
  <c r="AO138" i="12"/>
  <c r="O138" i="12"/>
  <c r="M138" i="12"/>
  <c r="U528" i="12"/>
  <c r="T528" i="12"/>
  <c r="V528" i="12"/>
  <c r="O444" i="12"/>
  <c r="AO444" i="12"/>
  <c r="M444" i="12"/>
  <c r="C444" i="12"/>
  <c r="O178" i="5"/>
  <c r="C178" i="6"/>
  <c r="R23" i="8"/>
  <c r="Z35" i="5"/>
  <c r="I35" i="12"/>
  <c r="AM35" i="5"/>
  <c r="L35" i="5"/>
  <c r="AC35" i="5"/>
  <c r="U606" i="12"/>
  <c r="V606" i="12"/>
  <c r="T606" i="12"/>
  <c r="C560" i="6"/>
  <c r="O560" i="5"/>
  <c r="T555" i="12"/>
  <c r="U555" i="12"/>
  <c r="V555" i="12"/>
  <c r="V534" i="12"/>
  <c r="U534" i="12"/>
  <c r="T534" i="12"/>
  <c r="M728" i="12"/>
  <c r="M723" i="12" s="1"/>
  <c r="AO728" i="12"/>
  <c r="C728" i="12"/>
  <c r="O728" i="12"/>
  <c r="C493" i="6"/>
  <c r="O493" i="5"/>
  <c r="AB156" i="5"/>
  <c r="AB130" i="5"/>
  <c r="V407" i="12"/>
  <c r="U407" i="12"/>
  <c r="T407" i="12"/>
  <c r="V548" i="12"/>
  <c r="T548" i="12"/>
  <c r="U548" i="12"/>
  <c r="Z240" i="5"/>
  <c r="AM240" i="5"/>
  <c r="I240" i="12"/>
  <c r="R47" i="8"/>
  <c r="L240" i="5"/>
  <c r="AC240" i="5"/>
  <c r="I602" i="5"/>
  <c r="I603" i="5" s="1"/>
  <c r="I604" i="5" s="1"/>
  <c r="O604" i="5" s="1"/>
  <c r="Z391" i="5"/>
  <c r="I391" i="12"/>
  <c r="L391" i="5"/>
  <c r="R59" i="8"/>
  <c r="AC391" i="5"/>
  <c r="AM391" i="5"/>
  <c r="AB573" i="5"/>
  <c r="C563" i="6"/>
  <c r="O563" i="5"/>
  <c r="AB490" i="5"/>
  <c r="V450" i="12"/>
  <c r="T450" i="12"/>
  <c r="U450" i="12"/>
  <c r="C143" i="12"/>
  <c r="AO143" i="12"/>
  <c r="M143" i="12"/>
  <c r="O143" i="12"/>
  <c r="M161" i="12"/>
  <c r="AO161" i="12"/>
  <c r="C161" i="12"/>
  <c r="O161" i="12"/>
  <c r="AM633" i="5"/>
  <c r="L633" i="5"/>
  <c r="I633" i="12"/>
  <c r="Z633" i="5"/>
  <c r="AC633" i="5"/>
  <c r="C513" i="12"/>
  <c r="O513" i="12"/>
  <c r="M513" i="12"/>
  <c r="AO513" i="12"/>
  <c r="I433" i="12"/>
  <c r="L433" i="5"/>
  <c r="Z433" i="5"/>
  <c r="AM433" i="5"/>
  <c r="AC433" i="5"/>
  <c r="C424" i="6"/>
  <c r="U733" i="12"/>
  <c r="T733" i="12"/>
  <c r="V733" i="12"/>
  <c r="AB443" i="5"/>
  <c r="C610" i="6"/>
  <c r="O610" i="5"/>
  <c r="O589" i="5"/>
  <c r="C589" i="6"/>
  <c r="AB639" i="5"/>
  <c r="AB457" i="5"/>
  <c r="O562" i="12"/>
  <c r="M562" i="12"/>
  <c r="C562" i="12"/>
  <c r="AO562" i="12"/>
  <c r="U515" i="12"/>
  <c r="V515" i="12"/>
  <c r="T515" i="12"/>
  <c r="O672" i="5"/>
  <c r="C672" i="6"/>
  <c r="V252" i="12"/>
  <c r="T252" i="12"/>
  <c r="U252" i="12"/>
  <c r="AB134" i="5"/>
  <c r="AB131" i="5" s="1"/>
  <c r="C735" i="12"/>
  <c r="M735" i="12"/>
  <c r="O735" i="12"/>
  <c r="AO735" i="12"/>
  <c r="C642" i="12"/>
  <c r="AO642" i="12"/>
  <c r="O642" i="12"/>
  <c r="M642" i="12"/>
  <c r="V325" i="12"/>
  <c r="U325" i="12"/>
  <c r="T325" i="12"/>
  <c r="U520" i="12"/>
  <c r="V520" i="12"/>
  <c r="T520" i="12"/>
  <c r="V294" i="12"/>
  <c r="U294" i="12"/>
  <c r="T294" i="12"/>
  <c r="E486" i="6"/>
  <c r="D486" i="12"/>
  <c r="U276" i="12"/>
  <c r="V276" i="12"/>
  <c r="T276" i="12"/>
  <c r="AO544" i="12"/>
  <c r="C544" i="12"/>
  <c r="M544" i="12"/>
  <c r="M539" i="12" s="1"/>
  <c r="O544" i="12"/>
  <c r="T113" i="12"/>
  <c r="U113" i="12"/>
  <c r="V113" i="12"/>
  <c r="O163" i="5"/>
  <c r="C163" i="6"/>
  <c r="AC488" i="5"/>
  <c r="AM488" i="5"/>
  <c r="Z488" i="5"/>
  <c r="I488" i="12"/>
  <c r="L488" i="5"/>
  <c r="D352" i="12"/>
  <c r="E352" i="6"/>
  <c r="C508" i="6"/>
  <c r="V721" i="12"/>
  <c r="T721" i="12"/>
  <c r="U721" i="12"/>
  <c r="I275" i="5"/>
  <c r="O274" i="5"/>
  <c r="AB737" i="5"/>
  <c r="O153" i="5"/>
  <c r="C153" i="6"/>
  <c r="C510" i="6"/>
  <c r="V654" i="12"/>
  <c r="T654" i="12"/>
  <c r="U654" i="12"/>
  <c r="AB187" i="5"/>
  <c r="C613" i="6"/>
  <c r="O613" i="5"/>
  <c r="C170" i="12"/>
  <c r="M170" i="12"/>
  <c r="O170" i="12"/>
  <c r="AO170" i="12"/>
  <c r="C460" i="6"/>
  <c r="O623" i="5"/>
  <c r="C623" i="6"/>
  <c r="AM729" i="5"/>
  <c r="AC729" i="5"/>
  <c r="I729" i="12"/>
  <c r="Z729" i="5"/>
  <c r="L729" i="5"/>
  <c r="C416" i="12"/>
  <c r="O416" i="12"/>
  <c r="M416" i="12"/>
  <c r="AO416" i="12"/>
  <c r="C582" i="12"/>
  <c r="AO582" i="12"/>
  <c r="O582" i="12"/>
  <c r="M582" i="12"/>
  <c r="M331" i="12"/>
  <c r="C331" i="12"/>
  <c r="AO331" i="12"/>
  <c r="O331" i="12"/>
  <c r="T242" i="12"/>
  <c r="V242" i="12"/>
  <c r="U242" i="12"/>
  <c r="AO230" i="12"/>
  <c r="C230" i="12"/>
  <c r="O230" i="12"/>
  <c r="M230" i="12"/>
  <c r="C649" i="6"/>
  <c r="O649" i="5"/>
  <c r="U343" i="12"/>
  <c r="T343" i="12"/>
  <c r="V343" i="12"/>
  <c r="C473" i="6"/>
  <c r="C603" i="6"/>
  <c r="C37" i="6"/>
  <c r="O37" i="5"/>
  <c r="AM184" i="5"/>
  <c r="R38" i="8"/>
  <c r="L184" i="5"/>
  <c r="Z184" i="5"/>
  <c r="I184" i="12"/>
  <c r="AC184" i="5"/>
  <c r="C741" i="6"/>
  <c r="O741" i="5"/>
  <c r="C634" i="12"/>
  <c r="M634" i="12"/>
  <c r="O634" i="12"/>
  <c r="AO634" i="12"/>
  <c r="V132" i="12"/>
  <c r="T132" i="12"/>
  <c r="U132" i="12"/>
  <c r="C24" i="6"/>
  <c r="V84" i="12"/>
  <c r="U84" i="12"/>
  <c r="T84" i="12"/>
  <c r="AB157" i="5"/>
  <c r="AB572" i="5"/>
  <c r="T549" i="12"/>
  <c r="U549" i="12"/>
  <c r="V549" i="12"/>
  <c r="AO667" i="12"/>
  <c r="O667" i="12"/>
  <c r="C667" i="12"/>
  <c r="M667" i="12"/>
  <c r="C596" i="12"/>
  <c r="M596" i="12"/>
  <c r="AO596" i="12"/>
  <c r="O596" i="12"/>
  <c r="AB249" i="5"/>
  <c r="C516" i="6"/>
  <c r="AO579" i="12"/>
  <c r="C579" i="12"/>
  <c r="O579" i="12"/>
  <c r="M579" i="12"/>
  <c r="O142" i="5"/>
  <c r="C142" i="6"/>
  <c r="AB611" i="5"/>
  <c r="W87" i="12"/>
  <c r="X87" i="12"/>
  <c r="V524" i="12"/>
  <c r="U524" i="12"/>
  <c r="T524" i="12"/>
  <c r="T110" i="12"/>
  <c r="V110" i="12"/>
  <c r="U110" i="12"/>
  <c r="AB397" i="5"/>
  <c r="AB425" i="5"/>
  <c r="AB467" i="5"/>
  <c r="M676" i="12"/>
  <c r="C676" i="12"/>
  <c r="AO676" i="12"/>
  <c r="O676" i="12"/>
  <c r="O138" i="5"/>
  <c r="C138" i="6"/>
  <c r="U478" i="12"/>
  <c r="V478" i="12"/>
  <c r="T478" i="12"/>
  <c r="AM36" i="5"/>
  <c r="Z36" i="5"/>
  <c r="I36" i="12"/>
  <c r="L36" i="5"/>
  <c r="AC36" i="5"/>
  <c r="M338" i="12"/>
  <c r="AO338" i="12"/>
  <c r="C338" i="12"/>
  <c r="O338" i="12"/>
  <c r="C728" i="6"/>
  <c r="O728" i="5"/>
  <c r="AB472" i="5"/>
  <c r="M339" i="12"/>
  <c r="AO339" i="12"/>
  <c r="C339" i="12"/>
  <c r="O339" i="12"/>
  <c r="O246" i="5"/>
  <c r="C246" i="6"/>
  <c r="O77" i="5"/>
  <c r="C77" i="6"/>
  <c r="I241" i="12"/>
  <c r="AM241" i="5"/>
  <c r="Z241" i="5"/>
  <c r="L241" i="5"/>
  <c r="AC241" i="5"/>
  <c r="C265" i="6"/>
  <c r="O265" i="5"/>
  <c r="V655" i="12"/>
  <c r="U655" i="12"/>
  <c r="T655" i="12"/>
  <c r="AO185" i="12"/>
  <c r="C185" i="12"/>
  <c r="O185" i="12"/>
  <c r="M185" i="12"/>
  <c r="C683" i="12"/>
  <c r="AO683" i="12"/>
  <c r="O683" i="12"/>
  <c r="M683" i="12"/>
  <c r="C490" i="6"/>
  <c r="O490" i="5"/>
  <c r="T270" i="12"/>
  <c r="U270" i="12"/>
  <c r="V270" i="12"/>
  <c r="C745" i="6"/>
  <c r="O745" i="5"/>
  <c r="AB161" i="5"/>
  <c r="T474" i="12"/>
  <c r="U474" i="12"/>
  <c r="V474" i="12"/>
  <c r="I426" i="12"/>
  <c r="Z426" i="5"/>
  <c r="L426" i="5"/>
  <c r="AM426" i="5"/>
  <c r="AC426" i="5"/>
  <c r="R62" i="8"/>
  <c r="C742" i="6"/>
  <c r="O742" i="5"/>
  <c r="T269" i="12"/>
  <c r="U269" i="12"/>
  <c r="V269" i="12"/>
  <c r="C443" i="12"/>
  <c r="M443" i="12"/>
  <c r="O443" i="12"/>
  <c r="AO443" i="12"/>
  <c r="AM609" i="5"/>
  <c r="Z609" i="5"/>
  <c r="AC609" i="5"/>
  <c r="L609" i="5"/>
  <c r="I609" i="12"/>
  <c r="C166" i="12"/>
  <c r="M166" i="12"/>
  <c r="AO166" i="12"/>
  <c r="O166" i="12"/>
  <c r="X27" i="12"/>
  <c r="W27" i="12"/>
  <c r="V311" i="12"/>
  <c r="U311" i="12"/>
  <c r="T311" i="12"/>
  <c r="AB259" i="5"/>
  <c r="AB316" i="5"/>
  <c r="AB315" i="5" s="1"/>
  <c r="O201" i="5"/>
  <c r="C201" i="6"/>
  <c r="C736" i="6"/>
  <c r="O736" i="5"/>
  <c r="O457" i="5"/>
  <c r="C457" i="6"/>
  <c r="T284" i="12"/>
  <c r="U284" i="12"/>
  <c r="V284" i="12"/>
  <c r="AB562" i="5"/>
  <c r="O134" i="12"/>
  <c r="AO134" i="12"/>
  <c r="C134" i="12"/>
  <c r="M134" i="12"/>
  <c r="M131" i="12" s="1"/>
  <c r="AC743" i="5"/>
  <c r="I743" i="12"/>
  <c r="L743" i="5"/>
  <c r="AM743" i="5"/>
  <c r="Z743" i="5"/>
  <c r="O735" i="5"/>
  <c r="C735" i="6"/>
  <c r="C24" i="12"/>
  <c r="O24" i="12"/>
  <c r="AO24" i="12"/>
  <c r="M24" i="12"/>
  <c r="C642" i="6"/>
  <c r="T243" i="12"/>
  <c r="U243" i="12"/>
  <c r="V243" i="12"/>
  <c r="M255" i="12"/>
  <c r="AO255" i="12"/>
  <c r="O255" i="12"/>
  <c r="C255" i="12"/>
  <c r="Z206" i="5"/>
  <c r="L206" i="5"/>
  <c r="AM206" i="5"/>
  <c r="I206" i="12"/>
  <c r="R44" i="8"/>
  <c r="AC206" i="5"/>
  <c r="V519" i="12"/>
  <c r="U519" i="12"/>
  <c r="T519" i="12"/>
  <c r="I546" i="5"/>
  <c r="O545" i="5"/>
  <c r="O489" i="5"/>
  <c r="C489" i="6"/>
  <c r="AB351" i="5"/>
  <c r="V439" i="12"/>
  <c r="U439" i="12"/>
  <c r="T439" i="12"/>
  <c r="AB508" i="5"/>
  <c r="V98" i="12"/>
  <c r="T98" i="12"/>
  <c r="U98" i="12"/>
  <c r="AB229" i="5"/>
  <c r="C722" i="12"/>
  <c r="O722" i="12"/>
  <c r="AO722" i="12"/>
  <c r="M722" i="12"/>
  <c r="M273" i="12"/>
  <c r="C273" i="12"/>
  <c r="AO273" i="12"/>
  <c r="O273" i="12"/>
  <c r="T526" i="12"/>
  <c r="V526" i="12"/>
  <c r="U526" i="12"/>
  <c r="I205" i="5"/>
  <c r="O205" i="5" s="1"/>
  <c r="I23" i="5"/>
  <c r="I24" i="5" s="1"/>
  <c r="I25" i="5" s="1"/>
  <c r="I26" i="5" s="1"/>
  <c r="O26" i="5" s="1"/>
  <c r="AB172" i="5"/>
  <c r="AB153" i="5"/>
  <c r="AB167" i="5"/>
  <c r="AB613" i="5"/>
  <c r="AB471" i="5"/>
  <c r="AB460" i="5"/>
  <c r="AB623" i="5"/>
  <c r="U660" i="12"/>
  <c r="V660" i="12"/>
  <c r="T660" i="12"/>
  <c r="AB582" i="5"/>
  <c r="V228" i="12"/>
  <c r="U228" i="12"/>
  <c r="T228" i="12"/>
  <c r="X114" i="12"/>
  <c r="W114" i="12"/>
  <c r="AB501" i="5"/>
  <c r="U409" i="12"/>
  <c r="T409" i="12"/>
  <c r="V409" i="12"/>
  <c r="T19" i="12"/>
  <c r="V19" i="12"/>
  <c r="U19" i="12"/>
  <c r="O580" i="12"/>
  <c r="C580" i="12"/>
  <c r="AO580" i="12"/>
  <c r="M580" i="12"/>
  <c r="AB649" i="5"/>
  <c r="I629" i="5"/>
  <c r="O629" i="5" s="1"/>
  <c r="U72" i="12"/>
  <c r="T72" i="12"/>
  <c r="V72" i="12"/>
  <c r="AB175" i="5"/>
  <c r="L630" i="5"/>
  <c r="Z630" i="5"/>
  <c r="AC630" i="5"/>
  <c r="I630" i="12"/>
  <c r="AM630" i="5"/>
  <c r="U671" i="12"/>
  <c r="T671" i="12"/>
  <c r="V671" i="12"/>
  <c r="AM723" i="5"/>
  <c r="I723" i="12"/>
  <c r="Z723" i="5"/>
  <c r="AC723" i="5"/>
  <c r="L723" i="5"/>
  <c r="V484" i="12"/>
  <c r="T484" i="12"/>
  <c r="U484" i="12"/>
  <c r="AB568" i="5"/>
  <c r="AB489" i="5"/>
  <c r="U18" i="12"/>
  <c r="T18" i="12"/>
  <c r="V18" i="12"/>
  <c r="AB247" i="5"/>
  <c r="C596" i="6"/>
  <c r="AO640" i="12"/>
  <c r="C640" i="12"/>
  <c r="O640" i="12"/>
  <c r="M640" i="12"/>
  <c r="O516" i="12"/>
  <c r="C516" i="12"/>
  <c r="AO516" i="12"/>
  <c r="M516" i="12"/>
  <c r="AO463" i="12"/>
  <c r="C463" i="12"/>
  <c r="M463" i="12"/>
  <c r="O463" i="12"/>
  <c r="AB579" i="5"/>
  <c r="AB632" i="5"/>
  <c r="AB630" i="5" s="1"/>
  <c r="C611" i="6"/>
  <c r="O611" i="5"/>
  <c r="AC618" i="5"/>
  <c r="Z618" i="5"/>
  <c r="AM618" i="5"/>
  <c r="L618" i="5"/>
  <c r="I618" i="12"/>
  <c r="X375" i="12"/>
  <c r="W375" i="12"/>
  <c r="AB169" i="5"/>
  <c r="U364" i="12"/>
  <c r="V364" i="12"/>
  <c r="T364" i="12"/>
  <c r="V385" i="12"/>
  <c r="U385" i="12"/>
  <c r="T385" i="12"/>
  <c r="AB138" i="5"/>
  <c r="U289" i="12"/>
  <c r="T289" i="12"/>
  <c r="V289" i="12"/>
  <c r="AB444" i="5"/>
  <c r="C178" i="12"/>
  <c r="M178" i="12"/>
  <c r="AO178" i="12"/>
  <c r="O178" i="12"/>
  <c r="AB164" i="5"/>
  <c r="C37" i="12"/>
  <c r="AO37" i="12"/>
  <c r="O37" i="12"/>
  <c r="M37" i="12"/>
  <c r="V705" i="12"/>
  <c r="U705" i="12"/>
  <c r="T705" i="12"/>
  <c r="AB560" i="5"/>
  <c r="L337" i="5"/>
  <c r="AM337" i="5"/>
  <c r="Z337" i="5"/>
  <c r="AC337" i="5"/>
  <c r="I337" i="12"/>
  <c r="T388" i="12"/>
  <c r="V388" i="12"/>
  <c r="U388" i="12"/>
  <c r="T719" i="12"/>
  <c r="U719" i="12"/>
  <c r="V719" i="12"/>
  <c r="T370" i="12"/>
  <c r="V370" i="12"/>
  <c r="U370" i="12"/>
  <c r="AO493" i="12"/>
  <c r="M493" i="12"/>
  <c r="O493" i="12"/>
  <c r="C493" i="12"/>
  <c r="AB339" i="5"/>
  <c r="AB622" i="5"/>
  <c r="AO246" i="12"/>
  <c r="Y246" i="12" s="1"/>
  <c r="O246" i="12"/>
  <c r="C246" i="12"/>
  <c r="M246" i="12"/>
  <c r="AO130" i="12"/>
  <c r="O130" i="12"/>
  <c r="M130" i="12"/>
  <c r="C130" i="12"/>
  <c r="AB602" i="5"/>
  <c r="L491" i="5"/>
  <c r="AC491" i="5"/>
  <c r="AM491" i="5"/>
  <c r="I491" i="12"/>
  <c r="Z491" i="5"/>
  <c r="AB396" i="5"/>
  <c r="AB511" i="5"/>
  <c r="AB265" i="5"/>
  <c r="AB578" i="5"/>
  <c r="U553" i="12"/>
  <c r="T553" i="12"/>
  <c r="V553" i="12"/>
  <c r="V435" i="12"/>
  <c r="T435" i="12"/>
  <c r="U435" i="12"/>
  <c r="C490" i="12"/>
  <c r="M490" i="12"/>
  <c r="AO490" i="12"/>
  <c r="O490" i="12"/>
  <c r="C408" i="6"/>
  <c r="T657" i="12"/>
  <c r="U657" i="12"/>
  <c r="V657" i="12"/>
  <c r="M232" i="12"/>
  <c r="AO232" i="12"/>
  <c r="C232" i="12"/>
  <c r="O232" i="12"/>
  <c r="AB513" i="5"/>
  <c r="C424" i="12"/>
  <c r="AO424" i="12"/>
  <c r="M424" i="12"/>
  <c r="O424" i="12"/>
  <c r="V354" i="12"/>
  <c r="U354" i="12"/>
  <c r="T354" i="12"/>
  <c r="O742" i="12"/>
  <c r="C742" i="12"/>
  <c r="AO742" i="12"/>
  <c r="M742" i="12"/>
  <c r="T725" i="12"/>
  <c r="V725" i="12"/>
  <c r="U725" i="12"/>
  <c r="AB465" i="5"/>
  <c r="AB610" i="5"/>
  <c r="I165" i="12"/>
  <c r="AM165" i="5"/>
  <c r="Z165" i="5"/>
  <c r="L165" i="5"/>
  <c r="AC165" i="5"/>
  <c r="M639" i="12"/>
  <c r="AO639" i="12"/>
  <c r="O639" i="12"/>
  <c r="C639" i="12"/>
  <c r="O259" i="5"/>
  <c r="C259" i="6"/>
  <c r="O201" i="12"/>
  <c r="C201" i="12"/>
  <c r="AO201" i="12"/>
  <c r="M201" i="12"/>
  <c r="AO736" i="12"/>
  <c r="C736" i="12"/>
  <c r="O736" i="12"/>
  <c r="M736" i="12"/>
  <c r="T305" i="12"/>
  <c r="U305" i="12"/>
  <c r="V305" i="12"/>
  <c r="T268" i="12"/>
  <c r="V268" i="12"/>
  <c r="U268" i="12"/>
  <c r="O744" i="5"/>
  <c r="C744" i="6"/>
  <c r="AM734" i="5"/>
  <c r="Z734" i="5"/>
  <c r="I734" i="12"/>
  <c r="AC734" i="5"/>
  <c r="L734" i="5"/>
  <c r="U180" i="12"/>
  <c r="T180" i="12"/>
  <c r="V180" i="12"/>
  <c r="AB642" i="5"/>
  <c r="AB255" i="5"/>
  <c r="L213" i="5"/>
  <c r="Z213" i="5"/>
  <c r="I213" i="12"/>
  <c r="AM213" i="5"/>
  <c r="AC213" i="5"/>
  <c r="O577" i="5"/>
  <c r="C577" i="6"/>
  <c r="C544" i="6"/>
  <c r="O544" i="5"/>
  <c r="X108" i="12"/>
  <c r="W108" i="12"/>
  <c r="C174" i="6"/>
  <c r="O174" i="5"/>
  <c r="V335" i="12"/>
  <c r="U335" i="12"/>
  <c r="T335" i="12"/>
  <c r="O220" i="5"/>
  <c r="C220" i="6"/>
  <c r="M351" i="12"/>
  <c r="C351" i="12"/>
  <c r="AO351" i="12"/>
  <c r="O351" i="12"/>
  <c r="AB517" i="5"/>
  <c r="O229" i="5"/>
  <c r="C229" i="6"/>
  <c r="AO262" i="12"/>
  <c r="M262" i="12"/>
  <c r="C262" i="12"/>
  <c r="O262" i="12"/>
  <c r="AB722" i="5"/>
  <c r="V546" i="12"/>
  <c r="T546" i="12"/>
  <c r="U546" i="12"/>
  <c r="AB23" i="5"/>
  <c r="O172" i="5"/>
  <c r="C172" i="6"/>
  <c r="AM95" i="5"/>
  <c r="Z95" i="5"/>
  <c r="L95" i="5"/>
  <c r="I95" i="12"/>
  <c r="AC95" i="5"/>
  <c r="AB621" i="5"/>
  <c r="C167" i="6"/>
  <c r="O167" i="5"/>
  <c r="O187" i="12"/>
  <c r="AO187" i="12"/>
  <c r="C187" i="12"/>
  <c r="M187" i="12"/>
  <c r="O245" i="5"/>
  <c r="C245" i="6"/>
  <c r="C466" i="6"/>
  <c r="C170" i="6"/>
  <c r="O170" i="5"/>
  <c r="O471" i="12"/>
  <c r="M471" i="12"/>
  <c r="C471" i="12"/>
  <c r="AO471" i="12"/>
  <c r="U309" i="12"/>
  <c r="V309" i="12"/>
  <c r="T309" i="12"/>
  <c r="AB416" i="5"/>
  <c r="T66" i="12"/>
  <c r="U66" i="12"/>
  <c r="V66" i="12"/>
  <c r="C501" i="6"/>
  <c r="O501" i="5"/>
  <c r="AB580" i="5"/>
  <c r="O629" i="12"/>
  <c r="M629" i="12"/>
  <c r="C629" i="12"/>
  <c r="AO629" i="12"/>
  <c r="O175" i="12"/>
  <c r="C175" i="12"/>
  <c r="M175" i="12"/>
  <c r="AO175" i="12"/>
  <c r="T635" i="12"/>
  <c r="V635" i="12"/>
  <c r="U635" i="12"/>
  <c r="AB141" i="5"/>
  <c r="C738" i="6"/>
  <c r="O738" i="5"/>
  <c r="AB643" i="5"/>
  <c r="T253" i="12"/>
  <c r="U253" i="12"/>
  <c r="V253" i="12"/>
  <c r="X695" i="12"/>
  <c r="W695" i="12"/>
  <c r="AB600" i="5"/>
  <c r="V92" i="12"/>
  <c r="T92" i="12"/>
  <c r="U92" i="12"/>
  <c r="U376" i="12"/>
  <c r="T376" i="12"/>
  <c r="V376" i="12"/>
  <c r="T58" i="12"/>
  <c r="V58" i="12"/>
  <c r="U58" i="12"/>
  <c r="AB516" i="5"/>
  <c r="C463" i="6"/>
  <c r="O579" i="5"/>
  <c r="C579" i="6"/>
  <c r="C632" i="6"/>
  <c r="O632" i="5"/>
  <c r="L17" i="5"/>
  <c r="AM17" i="5"/>
  <c r="I17" i="12"/>
  <c r="Z17" i="5"/>
  <c r="R17" i="8"/>
  <c r="AC17" i="5"/>
  <c r="O611" i="12"/>
  <c r="C611" i="12"/>
  <c r="AO611" i="12"/>
  <c r="M611" i="12"/>
  <c r="U179" i="12"/>
  <c r="T179" i="12"/>
  <c r="V179" i="12"/>
  <c r="AB598" i="5"/>
  <c r="U387" i="12"/>
  <c r="T387" i="12"/>
  <c r="V387" i="12"/>
  <c r="M467" i="12"/>
  <c r="C467" i="12"/>
  <c r="AO467" i="12"/>
  <c r="O467" i="12"/>
  <c r="C164" i="6"/>
  <c r="O164" i="5"/>
  <c r="C685" i="12"/>
  <c r="O685" i="12"/>
  <c r="M685" i="12"/>
  <c r="AO685" i="12"/>
  <c r="O560" i="12"/>
  <c r="C560" i="12"/>
  <c r="M560" i="12"/>
  <c r="AO560" i="12"/>
  <c r="AB338" i="5"/>
  <c r="U428" i="12"/>
  <c r="T428" i="12"/>
  <c r="V428" i="12"/>
  <c r="I306" i="12"/>
  <c r="L306" i="5"/>
  <c r="AC306" i="5"/>
  <c r="Z306" i="5"/>
  <c r="AM306" i="5"/>
  <c r="AB728" i="5"/>
  <c r="AB723" i="5" s="1"/>
  <c r="V275" i="12"/>
  <c r="U275" i="12"/>
  <c r="T275" i="12"/>
  <c r="M472" i="12"/>
  <c r="AO472" i="12"/>
  <c r="C472" i="12"/>
  <c r="O472" i="12"/>
  <c r="V701" i="12"/>
  <c r="T701" i="12"/>
  <c r="U701" i="12"/>
  <c r="C622" i="6"/>
  <c r="O622" i="5"/>
  <c r="AB246" i="5"/>
  <c r="V663" i="12"/>
  <c r="T663" i="12"/>
  <c r="U663" i="12"/>
  <c r="C602" i="6"/>
  <c r="O492" i="12"/>
  <c r="AO492" i="12"/>
  <c r="M492" i="12"/>
  <c r="C492" i="12"/>
  <c r="C511" i="12"/>
  <c r="AO511" i="12"/>
  <c r="M511" i="12"/>
  <c r="O511" i="12"/>
  <c r="M573" i="12"/>
  <c r="AO573" i="12"/>
  <c r="O573" i="12"/>
  <c r="C573" i="12"/>
  <c r="C578" i="12"/>
  <c r="AO578" i="12"/>
  <c r="O578" i="12"/>
  <c r="M578" i="12"/>
  <c r="V333" i="12"/>
  <c r="U333" i="12"/>
  <c r="T333" i="12"/>
  <c r="AB683" i="5"/>
  <c r="AB745" i="5"/>
  <c r="T418" i="12"/>
  <c r="V418" i="12"/>
  <c r="U418" i="12"/>
  <c r="C408" i="12"/>
  <c r="AO408" i="12"/>
  <c r="M408" i="12"/>
  <c r="O408" i="12"/>
  <c r="T619" i="12"/>
  <c r="U619" i="12"/>
  <c r="V619" i="12"/>
  <c r="U365" i="12"/>
  <c r="V365" i="12"/>
  <c r="T365" i="12"/>
  <c r="C513" i="6"/>
  <c r="I442" i="5"/>
  <c r="O441" i="5"/>
  <c r="AB424" i="5"/>
  <c r="T710" i="12"/>
  <c r="V710" i="12"/>
  <c r="U710" i="12"/>
  <c r="Z608" i="5"/>
  <c r="R68" i="8"/>
  <c r="AM608" i="5"/>
  <c r="L608" i="5"/>
  <c r="AC608" i="5"/>
  <c r="I608" i="12"/>
  <c r="C639" i="6"/>
  <c r="M259" i="12"/>
  <c r="O259" i="12"/>
  <c r="AO259" i="12"/>
  <c r="C259" i="12"/>
  <c r="AB575" i="5"/>
  <c r="AB201" i="5"/>
  <c r="AB736" i="5"/>
  <c r="AO422" i="12"/>
  <c r="O422" i="12"/>
  <c r="C422" i="12"/>
  <c r="M422" i="12"/>
  <c r="C457" i="12"/>
  <c r="AO457" i="12"/>
  <c r="O457" i="12"/>
  <c r="M457" i="12"/>
  <c r="T372" i="12"/>
  <c r="V372" i="12"/>
  <c r="U372" i="12"/>
  <c r="D135" i="12"/>
  <c r="E135" i="6"/>
  <c r="AB410" i="5"/>
  <c r="M744" i="12"/>
  <c r="C744" i="12"/>
  <c r="AO744" i="12"/>
  <c r="O744" i="12"/>
  <c r="AB614" i="5"/>
  <c r="T195" i="12"/>
  <c r="U195" i="12"/>
  <c r="V195" i="12"/>
  <c r="I254" i="12"/>
  <c r="L254" i="5"/>
  <c r="Z254" i="5"/>
  <c r="AM254" i="5"/>
  <c r="AC254" i="5"/>
  <c r="M581" i="12"/>
  <c r="C581" i="12"/>
  <c r="AO581" i="12"/>
  <c r="O581" i="12"/>
  <c r="C512" i="6"/>
  <c r="AB686" i="5"/>
  <c r="M577" i="12"/>
  <c r="C577" i="12"/>
  <c r="AO577" i="12"/>
  <c r="O577" i="12"/>
  <c r="T540" i="12"/>
  <c r="V540" i="12"/>
  <c r="U540" i="12"/>
  <c r="AB174" i="5"/>
  <c r="M220" i="12"/>
  <c r="O220" i="12"/>
  <c r="C220" i="12"/>
  <c r="AO220" i="12"/>
  <c r="O101" i="12"/>
  <c r="C101" i="12"/>
  <c r="M101" i="12"/>
  <c r="M100" i="12" s="1"/>
  <c r="AO101" i="12"/>
  <c r="O351" i="5"/>
  <c r="C351" i="6"/>
  <c r="V554" i="12"/>
  <c r="T554" i="12"/>
  <c r="U554" i="12"/>
  <c r="U382" i="12"/>
  <c r="V382" i="12"/>
  <c r="T382" i="12"/>
  <c r="W518" i="12"/>
  <c r="X518" i="12"/>
  <c r="V392" i="12"/>
  <c r="T392" i="12"/>
  <c r="U392" i="12"/>
  <c r="AB273" i="5"/>
  <c r="C148" i="6"/>
  <c r="O148" i="5"/>
  <c r="O205" i="12"/>
  <c r="AO205" i="12"/>
  <c r="C205" i="12"/>
  <c r="M205" i="12"/>
  <c r="V239" i="12"/>
  <c r="T239" i="12"/>
  <c r="U239" i="12"/>
  <c r="C23" i="6"/>
  <c r="O23" i="5"/>
  <c r="AO621" i="12"/>
  <c r="O621" i="12"/>
  <c r="C621" i="12"/>
  <c r="M621" i="12"/>
  <c r="C613" i="12"/>
  <c r="AO613" i="12"/>
  <c r="M613" i="12"/>
  <c r="O613" i="12"/>
  <c r="AB170" i="5"/>
  <c r="U651" i="12"/>
  <c r="V651" i="12"/>
  <c r="T651" i="12"/>
  <c r="C416" i="6"/>
  <c r="T208" i="12"/>
  <c r="V208" i="12"/>
  <c r="U208" i="12"/>
  <c r="U104" i="12"/>
  <c r="T104" i="12"/>
  <c r="V104" i="12"/>
  <c r="C583" i="6"/>
  <c r="O583" i="5"/>
  <c r="M501" i="12"/>
  <c r="C501" i="12"/>
  <c r="O501" i="12"/>
  <c r="AO501" i="12"/>
  <c r="V464" i="12"/>
  <c r="U464" i="12"/>
  <c r="T464" i="12"/>
  <c r="O260" i="5"/>
  <c r="C260" i="6"/>
  <c r="U674" i="12"/>
  <c r="T674" i="12"/>
  <c r="V674" i="12"/>
  <c r="C629" i="6"/>
  <c r="C746" i="6"/>
  <c r="O746" i="5"/>
  <c r="U76" i="12"/>
  <c r="V76" i="12"/>
  <c r="T76" i="12"/>
  <c r="T559" i="12"/>
  <c r="U559" i="12"/>
  <c r="V559" i="12"/>
  <c r="C175" i="6"/>
  <c r="O175" i="5"/>
  <c r="I180" i="5"/>
  <c r="O179" i="5"/>
  <c r="AB314" i="5"/>
  <c r="AB306" i="5" s="1"/>
  <c r="O154" i="5"/>
  <c r="C154" i="6"/>
  <c r="X369" i="12"/>
  <c r="W369" i="12"/>
  <c r="AB504" i="5"/>
  <c r="M257" i="12"/>
  <c r="AO257" i="12"/>
  <c r="O257" i="12"/>
  <c r="C257" i="12"/>
  <c r="Z162" i="5"/>
  <c r="L162" i="5"/>
  <c r="AM162" i="5"/>
  <c r="I162" i="12"/>
  <c r="AC162" i="5"/>
  <c r="AB596" i="5"/>
  <c r="AB463" i="5"/>
  <c r="U73" i="10"/>
  <c r="AM15" i="5"/>
  <c r="AE73" i="10"/>
  <c r="K73" i="10"/>
  <c r="Z15" i="5"/>
  <c r="S73" i="10"/>
  <c r="AC73" i="10"/>
  <c r="AA73" i="10"/>
  <c r="Q73" i="10"/>
  <c r="I73" i="10"/>
  <c r="M73" i="10"/>
  <c r="W73" i="10"/>
  <c r="Y73" i="10"/>
  <c r="O73" i="10"/>
  <c r="O620" i="5"/>
  <c r="C620" i="6"/>
  <c r="U414" i="12"/>
  <c r="V414" i="12"/>
  <c r="T414" i="12"/>
  <c r="T330" i="12"/>
  <c r="U330" i="12"/>
  <c r="V330" i="12"/>
  <c r="AM597" i="5"/>
  <c r="AC597" i="5"/>
  <c r="I597" i="12"/>
  <c r="Z597" i="5"/>
  <c r="L597" i="5"/>
  <c r="C446" i="12"/>
  <c r="AO446" i="12"/>
  <c r="M446" i="12"/>
  <c r="O446" i="12"/>
  <c r="U374" i="12"/>
  <c r="V374" i="12"/>
  <c r="T374" i="12"/>
  <c r="T56" i="12"/>
  <c r="V56" i="12"/>
  <c r="U56" i="12"/>
  <c r="V88" i="12"/>
  <c r="U88" i="12"/>
  <c r="T88" i="12"/>
  <c r="T237" i="12"/>
  <c r="U237" i="12"/>
  <c r="V237" i="12"/>
  <c r="C188" i="6"/>
  <c r="O188" i="5"/>
  <c r="T647" i="12"/>
  <c r="U647" i="12"/>
  <c r="V647" i="12"/>
  <c r="C338" i="6"/>
  <c r="O338" i="5"/>
  <c r="T79" i="12"/>
  <c r="V79" i="12"/>
  <c r="U79" i="12"/>
  <c r="C472" i="6"/>
  <c r="U662" i="12"/>
  <c r="V662" i="12"/>
  <c r="T662" i="12"/>
  <c r="T355" i="12"/>
  <c r="U355" i="12"/>
  <c r="V355" i="12"/>
  <c r="C641" i="6"/>
  <c r="AB244" i="5"/>
  <c r="O602" i="12"/>
  <c r="AO602" i="12"/>
  <c r="M602" i="12"/>
  <c r="C602" i="12"/>
  <c r="I495" i="5"/>
  <c r="O494" i="5"/>
  <c r="AO396" i="12"/>
  <c r="C396" i="12"/>
  <c r="O396" i="12"/>
  <c r="M396" i="12"/>
  <c r="C511" i="6"/>
  <c r="C265" i="12"/>
  <c r="M265" i="12"/>
  <c r="O265" i="12"/>
  <c r="AO265" i="12"/>
  <c r="O578" i="5"/>
  <c r="C578" i="6"/>
  <c r="E688" i="6"/>
  <c r="D688" i="12"/>
  <c r="AO502" i="12"/>
  <c r="M502" i="12"/>
  <c r="O502" i="12"/>
  <c r="C502" i="12"/>
  <c r="O627" i="5"/>
  <c r="C627" i="6"/>
  <c r="O203" i="5"/>
  <c r="C203" i="6"/>
  <c r="V461" i="12"/>
  <c r="T461" i="12"/>
  <c r="U461" i="12"/>
  <c r="C199" i="6"/>
  <c r="O199" i="5"/>
  <c r="O745" i="12"/>
  <c r="AO745" i="12"/>
  <c r="M745" i="12"/>
  <c r="C745" i="12"/>
  <c r="M482" i="12"/>
  <c r="O482" i="12"/>
  <c r="AO482" i="12"/>
  <c r="C482" i="12"/>
  <c r="AB408" i="5"/>
  <c r="C232" i="6"/>
  <c r="O232" i="5"/>
  <c r="C440" i="6"/>
  <c r="O440" i="5"/>
  <c r="AB652" i="5"/>
  <c r="U389" i="12"/>
  <c r="V389" i="12"/>
  <c r="T389" i="12"/>
  <c r="C465" i="6"/>
  <c r="T96" i="12"/>
  <c r="U96" i="12"/>
  <c r="V96" i="12"/>
  <c r="I191" i="12"/>
  <c r="AM191" i="5"/>
  <c r="L191" i="5"/>
  <c r="Z191" i="5"/>
  <c r="AC191" i="5"/>
  <c r="AO575" i="12"/>
  <c r="C575" i="12"/>
  <c r="M575" i="12"/>
  <c r="O575" i="12"/>
  <c r="C422" i="6"/>
  <c r="AO691" i="12"/>
  <c r="O691" i="12"/>
  <c r="C691" i="12"/>
  <c r="M691" i="12"/>
  <c r="C134" i="6"/>
  <c r="O134" i="5"/>
  <c r="C410" i="6"/>
  <c r="T334" i="12"/>
  <c r="V334" i="12"/>
  <c r="U334" i="12"/>
  <c r="V386" i="12"/>
  <c r="T386" i="12"/>
  <c r="U386" i="12"/>
  <c r="U532" i="12"/>
  <c r="T532" i="12"/>
  <c r="V532" i="12"/>
  <c r="O255" i="5"/>
  <c r="C255" i="6"/>
  <c r="I225" i="5"/>
  <c r="O224" i="5"/>
  <c r="AB581" i="5"/>
  <c r="AB577" i="5"/>
  <c r="U324" i="12"/>
  <c r="V324" i="12"/>
  <c r="T324" i="12"/>
  <c r="O222" i="5"/>
  <c r="C222" i="6"/>
  <c r="M174" i="12"/>
  <c r="O174" i="12"/>
  <c r="AO174" i="12"/>
  <c r="C174" i="12"/>
  <c r="T453" i="12"/>
  <c r="U453" i="12"/>
  <c r="V453" i="12"/>
  <c r="AB220" i="5"/>
  <c r="C476" i="6"/>
  <c r="O517" i="12"/>
  <c r="C517" i="12"/>
  <c r="AO517" i="12"/>
  <c r="M517" i="12"/>
  <c r="E233" i="6"/>
  <c r="D233" i="12"/>
  <c r="O262" i="5"/>
  <c r="C262" i="6"/>
  <c r="O273" i="5"/>
  <c r="C273" i="6"/>
  <c r="L449" i="5"/>
  <c r="AC449" i="5"/>
  <c r="Z449" i="5"/>
  <c r="AM449" i="5"/>
  <c r="I449" i="12"/>
  <c r="O23" i="12"/>
  <c r="AO23" i="12"/>
  <c r="M23" i="12"/>
  <c r="C23" i="12"/>
  <c r="AB137" i="5"/>
  <c r="V727" i="12"/>
  <c r="U727" i="12"/>
  <c r="T727" i="12"/>
  <c r="O99" i="12"/>
  <c r="C99" i="12"/>
  <c r="M99" i="12"/>
  <c r="M95" i="12" s="1"/>
  <c r="AO99" i="12"/>
  <c r="O621" i="5"/>
  <c r="C621" i="6"/>
  <c r="O167" i="12"/>
  <c r="M167" i="12"/>
  <c r="AO167" i="12"/>
  <c r="C167" i="12"/>
  <c r="AO245" i="12"/>
  <c r="O245" i="12"/>
  <c r="M245" i="12"/>
  <c r="C245" i="12"/>
  <c r="C466" i="12"/>
  <c r="O466" i="12"/>
  <c r="M466" i="12"/>
  <c r="AO466" i="12"/>
  <c r="C471" i="6"/>
  <c r="V494" i="12"/>
  <c r="T494" i="12"/>
  <c r="U494" i="12"/>
  <c r="T64" i="12"/>
  <c r="U64" i="12"/>
  <c r="V64" i="12"/>
  <c r="T432" i="12"/>
  <c r="U432" i="12"/>
  <c r="V432" i="12"/>
  <c r="O599" i="5"/>
  <c r="C599" i="6"/>
  <c r="AB583" i="5"/>
  <c r="D505" i="12"/>
  <c r="E505" i="6"/>
  <c r="AB260" i="5"/>
  <c r="AC605" i="5"/>
  <c r="I605" i="12"/>
  <c r="AM605" i="5"/>
  <c r="Z605" i="5"/>
  <c r="L605" i="5"/>
  <c r="C580" i="6"/>
  <c r="O580" i="5"/>
  <c r="V83" i="12"/>
  <c r="U83" i="12"/>
  <c r="T83" i="12"/>
  <c r="AB629" i="5"/>
  <c r="AB746" i="5"/>
  <c r="M231" i="12"/>
  <c r="C231" i="12"/>
  <c r="O231" i="12"/>
  <c r="AO231" i="12"/>
  <c r="X379" i="12"/>
  <c r="W379" i="12"/>
  <c r="M480" i="12"/>
  <c r="AO480" i="12"/>
  <c r="O480" i="12"/>
  <c r="C480" i="12"/>
  <c r="T290" i="12"/>
  <c r="V290" i="12"/>
  <c r="U290" i="12"/>
  <c r="W535" i="12"/>
  <c r="X535" i="12"/>
  <c r="V400" i="12"/>
  <c r="U400" i="12"/>
  <c r="T400" i="12"/>
  <c r="AB248" i="5"/>
  <c r="C200" i="6"/>
  <c r="O200" i="5"/>
  <c r="O14" i="11"/>
  <c r="I16" i="12"/>
  <c r="AM16" i="5"/>
  <c r="L16" i="5"/>
  <c r="Z16" i="5"/>
  <c r="R14" i="8"/>
  <c r="AC16" i="5"/>
  <c r="AB620" i="5"/>
  <c r="C598" i="6"/>
  <c r="O598" i="5"/>
  <c r="C470" i="6"/>
  <c r="C689" i="12"/>
  <c r="M689" i="12"/>
  <c r="AO689" i="12"/>
  <c r="O689" i="12"/>
  <c r="O164" i="12"/>
  <c r="AO164" i="12"/>
  <c r="C164" i="12"/>
  <c r="M164" i="12"/>
  <c r="C685" i="6"/>
  <c r="O685" i="5"/>
  <c r="AB188" i="5"/>
  <c r="C145" i="6"/>
  <c r="O145" i="5"/>
  <c r="AO314" i="12"/>
  <c r="C314" i="12"/>
  <c r="M314" i="12"/>
  <c r="M306" i="12" s="1"/>
  <c r="O314" i="12"/>
  <c r="AB151" i="5"/>
  <c r="T342" i="12"/>
  <c r="U342" i="12"/>
  <c r="V342" i="12"/>
  <c r="M622" i="12"/>
  <c r="AO622" i="12"/>
  <c r="O622" i="12"/>
  <c r="C622" i="12"/>
  <c r="AO641" i="12"/>
  <c r="C641" i="12"/>
  <c r="O641" i="12"/>
  <c r="M641" i="12"/>
  <c r="AB492" i="5"/>
  <c r="I399" i="5"/>
  <c r="O398" i="5"/>
  <c r="T732" i="12"/>
  <c r="V732" i="12"/>
  <c r="U732" i="12"/>
  <c r="I682" i="12"/>
  <c r="Z682" i="5"/>
  <c r="L682" i="5"/>
  <c r="AM682" i="5"/>
  <c r="R83" i="8"/>
  <c r="AC682" i="5"/>
  <c r="AB502" i="5"/>
  <c r="U462" i="12"/>
  <c r="T462" i="12"/>
  <c r="V462" i="12"/>
  <c r="AB199" i="5"/>
  <c r="U50" i="12"/>
  <c r="T50" i="12"/>
  <c r="V50" i="12"/>
  <c r="O256" i="5"/>
  <c r="C256" i="6"/>
  <c r="AB232" i="5"/>
  <c r="O202" i="5"/>
  <c r="C202" i="6"/>
  <c r="I78" i="12"/>
  <c r="AM78" i="5"/>
  <c r="Z78" i="5"/>
  <c r="L78" i="5"/>
  <c r="AC78" i="5"/>
  <c r="M465" i="12"/>
  <c r="C465" i="12"/>
  <c r="AO465" i="12"/>
  <c r="O465" i="12"/>
  <c r="C610" i="12"/>
  <c r="M610" i="12"/>
  <c r="O610" i="12"/>
  <c r="AO610" i="12"/>
  <c r="AB366" i="5"/>
  <c r="Z190" i="5"/>
  <c r="AM190" i="5"/>
  <c r="I190" i="12"/>
  <c r="L190" i="5"/>
  <c r="R41" i="8"/>
  <c r="AC190" i="5"/>
  <c r="Z258" i="5"/>
  <c r="L258" i="5"/>
  <c r="I258" i="12"/>
  <c r="AM258" i="5"/>
  <c r="AC258" i="5"/>
  <c r="O332" i="12"/>
  <c r="C332" i="12"/>
  <c r="M332" i="12"/>
  <c r="AO332" i="12"/>
  <c r="AB422" i="5"/>
  <c r="U431" i="12"/>
  <c r="T431" i="12"/>
  <c r="V431" i="12"/>
  <c r="V696" i="12"/>
  <c r="T696" i="12"/>
  <c r="U696" i="12"/>
  <c r="W709" i="12"/>
  <c r="X709" i="12"/>
  <c r="U423" i="12"/>
  <c r="T423" i="12"/>
  <c r="V423" i="12"/>
  <c r="C691" i="6"/>
  <c r="U109" i="12"/>
  <c r="V109" i="12"/>
  <c r="T109" i="12"/>
  <c r="M410" i="12"/>
  <c r="AO410" i="12"/>
  <c r="C410" i="12"/>
  <c r="O410" i="12"/>
  <c r="O150" i="12"/>
  <c r="M150" i="12"/>
  <c r="C150" i="12"/>
  <c r="AO150" i="12"/>
  <c r="C614" i="6"/>
  <c r="O614" i="5"/>
  <c r="O128" i="12"/>
  <c r="C128" i="12"/>
  <c r="AO128" i="12"/>
  <c r="M128" i="12"/>
  <c r="O219" i="5"/>
  <c r="C219" i="6"/>
  <c r="AB512" i="5"/>
  <c r="C686" i="12"/>
  <c r="M686" i="12"/>
  <c r="O686" i="12"/>
  <c r="AO686" i="12"/>
  <c r="T336" i="12"/>
  <c r="V336" i="12"/>
  <c r="U336" i="12"/>
  <c r="O222" i="12"/>
  <c r="AO222" i="12"/>
  <c r="M222" i="12"/>
  <c r="C222" i="12"/>
  <c r="O101" i="5"/>
  <c r="C101" i="6"/>
  <c r="AO476" i="12"/>
  <c r="C476" i="12"/>
  <c r="M476" i="12"/>
  <c r="O476" i="12"/>
  <c r="I328" i="5"/>
  <c r="O327" i="5"/>
  <c r="AB561" i="5"/>
  <c r="AO229" i="12"/>
  <c r="O229" i="12"/>
  <c r="M229" i="12"/>
  <c r="C229" i="12"/>
  <c r="AB262" i="5"/>
  <c r="T120" i="12"/>
  <c r="V120" i="12"/>
  <c r="U120" i="12"/>
  <c r="AO148" i="12"/>
  <c r="O148" i="12"/>
  <c r="C148" i="12"/>
  <c r="M148" i="12"/>
  <c r="AB205" i="5"/>
  <c r="V679" i="12"/>
  <c r="U679" i="12"/>
  <c r="T679" i="12"/>
  <c r="C137" i="6"/>
  <c r="O137" i="5"/>
  <c r="AB245" i="5"/>
  <c r="AB466" i="5"/>
  <c r="O666" i="5"/>
  <c r="C666" i="6"/>
  <c r="U592" i="12"/>
  <c r="V592" i="12"/>
  <c r="T592" i="12"/>
  <c r="U404" i="12"/>
  <c r="T404" i="12"/>
  <c r="V404" i="12"/>
  <c r="T653" i="12"/>
  <c r="V653" i="12"/>
  <c r="U653" i="12"/>
  <c r="C599" i="12"/>
  <c r="O599" i="12"/>
  <c r="M599" i="12"/>
  <c r="AO599" i="12"/>
  <c r="V117" i="12"/>
  <c r="U117" i="12"/>
  <c r="T117" i="12"/>
  <c r="AB421" i="5"/>
  <c r="C260" i="12"/>
  <c r="M260" i="12"/>
  <c r="AO260" i="12"/>
  <c r="O260" i="12"/>
  <c r="C280" i="12"/>
  <c r="O280" i="12"/>
  <c r="AO280" i="12"/>
  <c r="M280" i="12"/>
  <c r="AO746" i="12"/>
  <c r="C746" i="12"/>
  <c r="M746" i="12"/>
  <c r="O746" i="12"/>
  <c r="AB173" i="5"/>
  <c r="T301" i="12"/>
  <c r="V301" i="12"/>
  <c r="U301" i="12"/>
  <c r="M678" i="12"/>
  <c r="AO678" i="12"/>
  <c r="C678" i="12"/>
  <c r="O678" i="12"/>
  <c r="C607" i="12"/>
  <c r="M607" i="12"/>
  <c r="M605" i="12" s="1"/>
  <c r="O607" i="12"/>
  <c r="AO607" i="12"/>
  <c r="V279" i="12"/>
  <c r="U279" i="12"/>
  <c r="T279" i="12"/>
  <c r="C173" i="6"/>
  <c r="O173" i="5"/>
  <c r="C248" i="12"/>
  <c r="AO248" i="12"/>
  <c r="M248" i="12"/>
  <c r="O248" i="12"/>
  <c r="C620" i="12"/>
  <c r="O620" i="12"/>
  <c r="M620" i="12"/>
  <c r="AO620" i="12"/>
  <c r="AO499" i="12"/>
  <c r="O499" i="12"/>
  <c r="M499" i="12"/>
  <c r="C499" i="12"/>
  <c r="C446" i="6"/>
  <c r="M470" i="12"/>
  <c r="AO470" i="12"/>
  <c r="O470" i="12"/>
  <c r="C470" i="12"/>
  <c r="T57" i="12"/>
  <c r="U57" i="12"/>
  <c r="V57" i="12"/>
  <c r="E595" i="6"/>
  <c r="D595" i="12"/>
  <c r="AB685" i="5"/>
  <c r="O188" i="12"/>
  <c r="C188" i="12"/>
  <c r="AO188" i="12"/>
  <c r="M188" i="12"/>
  <c r="AB181" i="5"/>
  <c r="O145" i="12"/>
  <c r="M145" i="12"/>
  <c r="C145" i="12"/>
  <c r="AO145" i="12"/>
  <c r="X644" i="12"/>
  <c r="W644" i="12"/>
  <c r="U507" i="12"/>
  <c r="V507" i="12"/>
  <c r="T507" i="12"/>
  <c r="C129" i="6"/>
  <c r="O129" i="5"/>
  <c r="AO151" i="12"/>
  <c r="O151" i="12"/>
  <c r="C151" i="12"/>
  <c r="M151" i="12"/>
  <c r="M154" i="12"/>
  <c r="AO154" i="12"/>
  <c r="C154" i="12"/>
  <c r="O154" i="12"/>
  <c r="U406" i="12"/>
  <c r="V406" i="12"/>
  <c r="T406" i="12"/>
  <c r="C221" i="6"/>
  <c r="O221" i="5"/>
  <c r="R26" i="8"/>
  <c r="L59" i="5"/>
  <c r="Z59" i="5"/>
  <c r="AM59" i="5"/>
  <c r="I59" i="12"/>
  <c r="AC59" i="5"/>
  <c r="C25" i="6"/>
  <c r="O25" i="5"/>
  <c r="O244" i="12"/>
  <c r="M244" i="12"/>
  <c r="AO244" i="12"/>
  <c r="C244" i="12"/>
  <c r="O126" i="12"/>
  <c r="M126" i="12"/>
  <c r="AO126" i="12"/>
  <c r="C126" i="12"/>
  <c r="O492" i="5"/>
  <c r="C492" i="6"/>
  <c r="C396" i="6"/>
  <c r="O396" i="5"/>
  <c r="O168" i="5"/>
  <c r="C168" i="6"/>
  <c r="C683" i="6"/>
  <c r="O683" i="5"/>
  <c r="O502" i="5"/>
  <c r="C502" i="6"/>
  <c r="AB146" i="5"/>
  <c r="AB627" i="5"/>
  <c r="AB203" i="5"/>
  <c r="T726" i="12"/>
  <c r="V726" i="12"/>
  <c r="U726" i="12"/>
  <c r="C199" i="12"/>
  <c r="O199" i="12"/>
  <c r="M199" i="12"/>
  <c r="AO199" i="12"/>
  <c r="AB155" i="5"/>
  <c r="V688" i="12"/>
  <c r="T688" i="12"/>
  <c r="U688" i="12"/>
  <c r="AB256" i="5"/>
  <c r="V731" i="12"/>
  <c r="T731" i="12"/>
  <c r="U731" i="12"/>
  <c r="V384" i="12"/>
  <c r="T384" i="12"/>
  <c r="U384" i="12"/>
  <c r="AB413" i="5"/>
  <c r="AB440" i="5"/>
  <c r="AB202" i="5"/>
  <c r="C652" i="12"/>
  <c r="O652" i="12"/>
  <c r="AO652" i="12"/>
  <c r="M652" i="12"/>
  <c r="W48" i="12"/>
  <c r="X48" i="12"/>
  <c r="W105" i="12"/>
  <c r="X105" i="12"/>
  <c r="Z584" i="5"/>
  <c r="AM584" i="5"/>
  <c r="I584" i="12"/>
  <c r="AC584" i="5"/>
  <c r="L584" i="5"/>
  <c r="C366" i="12"/>
  <c r="O366" i="12"/>
  <c r="AO366" i="12"/>
  <c r="M366" i="12"/>
  <c r="AB332" i="5"/>
  <c r="V533" i="12"/>
  <c r="T533" i="12"/>
  <c r="U533" i="12"/>
  <c r="R80" i="8"/>
  <c r="L669" i="5"/>
  <c r="Z669" i="5"/>
  <c r="AM669" i="5"/>
  <c r="AC669" i="5"/>
  <c r="I669" i="12"/>
  <c r="W106" i="12"/>
  <c r="X106" i="12"/>
  <c r="M614" i="12"/>
  <c r="AO614" i="12"/>
  <c r="O614" i="12"/>
  <c r="C614" i="12"/>
  <c r="Z483" i="5"/>
  <c r="AM483" i="5"/>
  <c r="I483" i="12"/>
  <c r="AC483" i="5"/>
  <c r="L483" i="5"/>
  <c r="AB219" i="5"/>
  <c r="C581" i="6"/>
  <c r="O581" i="5"/>
  <c r="AO512" i="12"/>
  <c r="O512" i="12"/>
  <c r="C512" i="12"/>
  <c r="M512" i="12"/>
  <c r="O686" i="5"/>
  <c r="C686" i="6"/>
  <c r="O568" i="12"/>
  <c r="AO568" i="12"/>
  <c r="M568" i="12"/>
  <c r="C568" i="12"/>
  <c r="U211" i="12"/>
  <c r="T211" i="12"/>
  <c r="V211" i="12"/>
  <c r="V93" i="12"/>
  <c r="T93" i="12"/>
  <c r="U93" i="12"/>
  <c r="AB101" i="5"/>
  <c r="AB100" i="5" s="1"/>
  <c r="O503" i="5"/>
  <c r="C503" i="6"/>
  <c r="C506" i="6"/>
  <c r="AC318" i="5"/>
  <c r="L318" i="5"/>
  <c r="Z318" i="5"/>
  <c r="I318" i="12"/>
  <c r="AM318" i="5"/>
  <c r="O561" i="5"/>
  <c r="C561" i="6"/>
  <c r="AM694" i="5"/>
  <c r="L694" i="5"/>
  <c r="R86" i="8"/>
  <c r="Z694" i="5"/>
  <c r="I694" i="12"/>
  <c r="AC694" i="5"/>
  <c r="M600" i="12"/>
  <c r="O600" i="12"/>
  <c r="AO600" i="12"/>
  <c r="C600" i="12"/>
  <c r="AO456" i="12"/>
  <c r="C456" i="12"/>
  <c r="M456" i="12"/>
  <c r="O456" i="12"/>
  <c r="AB148" i="5"/>
  <c r="AM136" i="5"/>
  <c r="Z136" i="5"/>
  <c r="L136" i="5"/>
  <c r="I136" i="12"/>
  <c r="AC136" i="5"/>
  <c r="U631" i="12"/>
  <c r="V631" i="12"/>
  <c r="T631" i="12"/>
  <c r="AB99" i="5"/>
  <c r="AB95" i="5" s="1"/>
  <c r="U398" i="12"/>
  <c r="V398" i="12"/>
  <c r="T398" i="12"/>
  <c r="O125" i="5"/>
  <c r="C125" i="6"/>
  <c r="M38" i="12"/>
  <c r="O38" i="12"/>
  <c r="AO38" i="12"/>
  <c r="C38" i="12"/>
  <c r="C445" i="6"/>
  <c r="AB223" i="5"/>
  <c r="C367" i="6"/>
  <c r="T60" i="12"/>
  <c r="U60" i="12"/>
  <c r="V60" i="12"/>
  <c r="C159" i="6"/>
  <c r="O159" i="5"/>
  <c r="C127" i="6"/>
  <c r="O127" i="5"/>
  <c r="AB261" i="5"/>
  <c r="AO583" i="12"/>
  <c r="C583" i="12"/>
  <c r="M583" i="12"/>
  <c r="O583" i="12"/>
  <c r="C421" i="6"/>
  <c r="C247" i="6"/>
  <c r="O247" i="5"/>
  <c r="C280" i="6"/>
  <c r="T357" i="12"/>
  <c r="U357" i="12"/>
  <c r="V357" i="12"/>
  <c r="V291" i="12"/>
  <c r="U291" i="12"/>
  <c r="T291" i="12"/>
  <c r="M176" i="12"/>
  <c r="C176" i="12"/>
  <c r="AO176" i="12"/>
  <c r="O176" i="12"/>
  <c r="M221" i="12"/>
  <c r="C221" i="12"/>
  <c r="O221" i="12"/>
  <c r="AO221" i="12"/>
  <c r="AB85" i="5"/>
  <c r="AB78" i="5" s="1"/>
  <c r="AB480" i="5"/>
  <c r="AB473" i="5"/>
  <c r="O141" i="5"/>
  <c r="C141" i="6"/>
  <c r="C288" i="6"/>
  <c r="C231" i="6"/>
  <c r="O231" i="5"/>
  <c r="O248" i="5"/>
  <c r="C248" i="6"/>
  <c r="AO200" i="12"/>
  <c r="O200" i="12"/>
  <c r="M200" i="12"/>
  <c r="C200" i="12"/>
  <c r="C21" i="6"/>
  <c r="O21" i="5"/>
  <c r="O139" i="12"/>
  <c r="C139" i="12"/>
  <c r="AO139" i="12"/>
  <c r="M139" i="12"/>
  <c r="I625" i="5"/>
  <c r="O625" i="5" s="1"/>
  <c r="O624" i="5"/>
  <c r="T345" i="12"/>
  <c r="U345" i="12"/>
  <c r="V345" i="12"/>
  <c r="V661" i="12"/>
  <c r="T661" i="12"/>
  <c r="U661" i="12"/>
  <c r="V274" i="12"/>
  <c r="T274" i="12"/>
  <c r="U274" i="12"/>
  <c r="AB499" i="5"/>
  <c r="O598" i="12"/>
  <c r="AO598" i="12"/>
  <c r="M598" i="12"/>
  <c r="C598" i="12"/>
  <c r="AB446" i="5"/>
  <c r="AB470" i="5"/>
  <c r="O176" i="5"/>
  <c r="C176" i="6"/>
  <c r="M643" i="12"/>
  <c r="O643" i="12"/>
  <c r="AO643" i="12"/>
  <c r="C643" i="12"/>
  <c r="AB603" i="5"/>
  <c r="C689" i="6"/>
  <c r="AB250" i="5"/>
  <c r="T704" i="12"/>
  <c r="V704" i="12"/>
  <c r="U704" i="12"/>
  <c r="AB594" i="5"/>
  <c r="O181" i="12"/>
  <c r="C181" i="12"/>
  <c r="M181" i="12"/>
  <c r="AO181" i="12"/>
  <c r="AM144" i="5"/>
  <c r="L144" i="5"/>
  <c r="I144" i="12"/>
  <c r="Z144" i="5"/>
  <c r="AC144" i="5"/>
  <c r="O314" i="5"/>
  <c r="C314" i="6"/>
  <c r="O151" i="5"/>
  <c r="C151" i="6"/>
  <c r="AB154" i="5"/>
  <c r="AB221" i="5"/>
  <c r="L71" i="5"/>
  <c r="AM71" i="5"/>
  <c r="Z71" i="5"/>
  <c r="I71" i="12"/>
  <c r="AC71" i="5"/>
  <c r="M25" i="12"/>
  <c r="AO25" i="12"/>
  <c r="C25" i="12"/>
  <c r="O25" i="12"/>
  <c r="AB641" i="5"/>
  <c r="C244" i="6"/>
  <c r="O244" i="5"/>
  <c r="AB126" i="5"/>
  <c r="T570" i="12"/>
  <c r="V570" i="12"/>
  <c r="U570" i="12"/>
  <c r="AB168" i="5"/>
  <c r="C627" i="12"/>
  <c r="M627" i="12"/>
  <c r="O627" i="12"/>
  <c r="AO627" i="12"/>
  <c r="M203" i="12"/>
  <c r="O203" i="12"/>
  <c r="AO203" i="12"/>
  <c r="C203" i="12"/>
  <c r="AO504" i="12"/>
  <c r="O504" i="12"/>
  <c r="M504" i="12"/>
  <c r="C504" i="12"/>
  <c r="U107" i="12"/>
  <c r="V107" i="12"/>
  <c r="T107" i="12"/>
  <c r="O155" i="5"/>
  <c r="C155" i="6"/>
  <c r="AB482" i="5"/>
  <c r="O256" i="12"/>
  <c r="M256" i="12"/>
  <c r="C256" i="12"/>
  <c r="AO256" i="12"/>
  <c r="M413" i="12"/>
  <c r="O413" i="12"/>
  <c r="C413" i="12"/>
  <c r="AO413" i="12"/>
  <c r="U677" i="12"/>
  <c r="T677" i="12"/>
  <c r="V677" i="12"/>
  <c r="M440" i="12"/>
  <c r="O440" i="12"/>
  <c r="C440" i="12"/>
  <c r="AO440" i="12"/>
  <c r="V469" i="12"/>
  <c r="U469" i="12"/>
  <c r="T469" i="12"/>
  <c r="C366" i="6"/>
  <c r="C575" i="6"/>
  <c r="O575" i="5"/>
  <c r="C678" i="6"/>
  <c r="C332" i="6"/>
  <c r="AB615" i="5"/>
  <c r="U604" i="12"/>
  <c r="T604" i="12"/>
  <c r="V604" i="12"/>
  <c r="AB691" i="5"/>
  <c r="M158" i="12"/>
  <c r="O158" i="12"/>
  <c r="C158" i="12"/>
  <c r="AO158" i="12"/>
  <c r="U28" i="12"/>
  <c r="T28" i="12"/>
  <c r="V28" i="12"/>
  <c r="O257" i="5"/>
  <c r="C257" i="6"/>
  <c r="C576" i="12"/>
  <c r="O576" i="12"/>
  <c r="M576" i="12"/>
  <c r="AO576" i="12"/>
  <c r="C150" i="6"/>
  <c r="O150" i="5"/>
  <c r="T452" i="12"/>
  <c r="U452" i="12"/>
  <c r="V452" i="12"/>
  <c r="O128" i="5"/>
  <c r="C128" i="6"/>
  <c r="C157" i="6"/>
  <c r="O157" i="5"/>
  <c r="W430" i="12"/>
  <c r="X430" i="12"/>
  <c r="V39" i="12"/>
  <c r="T39" i="12"/>
  <c r="U39" i="12"/>
  <c r="V697" i="12"/>
  <c r="T697" i="12"/>
  <c r="U697" i="12"/>
  <c r="AB222" i="5"/>
  <c r="I103" i="5"/>
  <c r="O102" i="5"/>
  <c r="O503" i="12"/>
  <c r="C503" i="12"/>
  <c r="AO503" i="12"/>
  <c r="M503" i="12"/>
  <c r="AB476" i="5"/>
  <c r="AB506" i="5"/>
  <c r="AB263" i="5"/>
  <c r="L317" i="5"/>
  <c r="R53" i="8"/>
  <c r="I317" i="12"/>
  <c r="AC317" i="5"/>
  <c r="Z317" i="5"/>
  <c r="AM317" i="5"/>
  <c r="C561" i="12"/>
  <c r="AO561" i="12"/>
  <c r="M561" i="12"/>
  <c r="O561" i="12"/>
  <c r="Z708" i="5"/>
  <c r="L708" i="5"/>
  <c r="AC708" i="5"/>
  <c r="AM708" i="5"/>
  <c r="I708" i="12"/>
  <c r="O600" i="5"/>
  <c r="C600" i="6"/>
  <c r="AB456" i="5"/>
  <c r="U69" i="12"/>
  <c r="V69" i="12"/>
  <c r="T69" i="12"/>
  <c r="I353" i="5"/>
  <c r="I354" i="5" s="1"/>
  <c r="V525" i="12"/>
  <c r="T525" i="12"/>
  <c r="U525" i="12"/>
  <c r="C137" i="12"/>
  <c r="O137" i="12"/>
  <c r="AO137" i="12"/>
  <c r="M137" i="12"/>
  <c r="C99" i="6"/>
  <c r="O99" i="5"/>
  <c r="AB125" i="5"/>
  <c r="AB38" i="5"/>
  <c r="AB445" i="5"/>
  <c r="C223" i="12"/>
  <c r="AO223" i="12"/>
  <c r="M223" i="12"/>
  <c r="O223" i="12"/>
  <c r="Z665" i="5"/>
  <c r="R77" i="8"/>
  <c r="I665" i="12"/>
  <c r="AC665" i="5"/>
  <c r="L665" i="5"/>
  <c r="AM665" i="5"/>
  <c r="M367" i="12"/>
  <c r="C367" i="12"/>
  <c r="O367" i="12"/>
  <c r="AO367" i="12"/>
  <c r="AB730" i="5"/>
  <c r="AB729" i="5" s="1"/>
  <c r="AB687" i="5"/>
  <c r="AB599" i="5"/>
  <c r="C261" i="6"/>
  <c r="O261" i="5"/>
  <c r="O421" i="12"/>
  <c r="M421" i="12"/>
  <c r="C421" i="12"/>
  <c r="AO421" i="12"/>
  <c r="C402" i="12"/>
  <c r="AO402" i="12"/>
  <c r="O402" i="12"/>
  <c r="M402" i="12"/>
  <c r="AB607" i="5"/>
  <c r="AB605" i="5" s="1"/>
  <c r="M247" i="12"/>
  <c r="O247" i="12"/>
  <c r="C247" i="12"/>
  <c r="AO247" i="12"/>
  <c r="V182" i="12"/>
  <c r="U182" i="12"/>
  <c r="T182" i="12"/>
  <c r="U295" i="12"/>
  <c r="V295" i="12"/>
  <c r="T295" i="12"/>
  <c r="M626" i="12" l="1"/>
  <c r="N151" i="12"/>
  <c r="Y617" i="12"/>
  <c r="U700" i="12"/>
  <c r="Y448" i="12"/>
  <c r="Y738" i="12"/>
  <c r="D235" i="12"/>
  <c r="N413" i="12"/>
  <c r="Y513" i="12"/>
  <c r="O506" i="5"/>
  <c r="N511" i="12"/>
  <c r="Y263" i="12"/>
  <c r="W263" i="12" s="1"/>
  <c r="N493" i="12"/>
  <c r="Y692" i="12"/>
  <c r="Y155" i="12"/>
  <c r="W155" i="12" s="1"/>
  <c r="Y691" i="12"/>
  <c r="X691" i="12" s="1"/>
  <c r="Y173" i="12"/>
  <c r="X173" i="12" s="1"/>
  <c r="Y257" i="12"/>
  <c r="X257" i="12" s="1"/>
  <c r="Y367" i="12"/>
  <c r="W367" i="12" s="1"/>
  <c r="N128" i="12"/>
  <c r="Y745" i="12"/>
  <c r="N502" i="12"/>
  <c r="Y223" i="12"/>
  <c r="W223" i="12" s="1"/>
  <c r="Y158" i="12"/>
  <c r="W158" i="12" s="1"/>
  <c r="Y736" i="12"/>
  <c r="N154" i="12"/>
  <c r="Y668" i="12"/>
  <c r="X668" i="12" s="1"/>
  <c r="Y146" i="12"/>
  <c r="W146" i="12" s="1"/>
  <c r="N504" i="12"/>
  <c r="N641" i="12"/>
  <c r="Y205" i="12"/>
  <c r="X205" i="12" s="1"/>
  <c r="Y170" i="12"/>
  <c r="X170" i="12" s="1"/>
  <c r="N614" i="12"/>
  <c r="N199" i="12"/>
  <c r="Y188" i="12"/>
  <c r="Y186" i="12"/>
  <c r="X186" i="12" s="1"/>
  <c r="Y171" i="12"/>
  <c r="Y678" i="12"/>
  <c r="X678" i="12" s="1"/>
  <c r="N476" i="12"/>
  <c r="N397" i="12"/>
  <c r="Y412" i="12"/>
  <c r="X412" i="12" s="1"/>
  <c r="N200" i="12"/>
  <c r="N366" i="12"/>
  <c r="Y652" i="12"/>
  <c r="X652" i="12" s="1"/>
  <c r="Y561" i="12"/>
  <c r="W561" i="12" s="1"/>
  <c r="Y503" i="12"/>
  <c r="Y508" i="12"/>
  <c r="W508" i="12" s="1"/>
  <c r="N568" i="12"/>
  <c r="Y129" i="12"/>
  <c r="N583" i="12"/>
  <c r="N443" i="12"/>
  <c r="N578" i="12"/>
  <c r="Y138" i="12"/>
  <c r="X138" i="12" s="1"/>
  <c r="Y408" i="12"/>
  <c r="X408" i="12" s="1"/>
  <c r="N685" i="12"/>
  <c r="Y471" i="12"/>
  <c r="X471" i="12" s="1"/>
  <c r="N579" i="12"/>
  <c r="Y667" i="12"/>
  <c r="Y152" i="12"/>
  <c r="X152" i="12" s="1"/>
  <c r="Y148" i="12"/>
  <c r="W148" i="12" s="1"/>
  <c r="N230" i="12"/>
  <c r="N600" i="12"/>
  <c r="N686" i="12"/>
  <c r="Y480" i="12"/>
  <c r="X480" i="12" s="1"/>
  <c r="Y23" i="12"/>
  <c r="X23" i="12" s="1"/>
  <c r="Y502" i="12"/>
  <c r="W502" i="12" s="1"/>
  <c r="Y457" i="12"/>
  <c r="X457" i="12" s="1"/>
  <c r="N246" i="12"/>
  <c r="Y230" i="12"/>
  <c r="Y416" i="12"/>
  <c r="Y572" i="12"/>
  <c r="X572" i="12" s="1"/>
  <c r="N473" i="12"/>
  <c r="N23" i="12"/>
  <c r="O602" i="5"/>
  <c r="D602" i="12" s="1"/>
  <c r="Y579" i="12"/>
  <c r="W579" i="12" s="1"/>
  <c r="N170" i="12"/>
  <c r="Y147" i="12"/>
  <c r="X147" i="12" s="1"/>
  <c r="N250" i="12"/>
  <c r="Y288" i="12"/>
  <c r="X288" i="12" s="1"/>
  <c r="N562" i="12"/>
  <c r="Y582" i="12"/>
  <c r="O689" i="5"/>
  <c r="N652" i="12"/>
  <c r="AB626" i="5"/>
  <c r="E690" i="6"/>
  <c r="N169" i="12"/>
  <c r="N623" i="12"/>
  <c r="N332" i="12"/>
  <c r="N517" i="12"/>
  <c r="Y603" i="12"/>
  <c r="W603" i="12" s="1"/>
  <c r="N353" i="12"/>
  <c r="N173" i="12"/>
  <c r="N599" i="12"/>
  <c r="N516" i="12"/>
  <c r="Y580" i="12"/>
  <c r="M337" i="12"/>
  <c r="Y676" i="12"/>
  <c r="W676" i="12" s="1"/>
  <c r="Y596" i="12"/>
  <c r="X596" i="12" s="1"/>
  <c r="Y181" i="12"/>
  <c r="X181" i="12" s="1"/>
  <c r="N126" i="12"/>
  <c r="I691" i="5"/>
  <c r="Y203" i="12"/>
  <c r="W203" i="12" s="1"/>
  <c r="N248" i="12"/>
  <c r="N222" i="12"/>
  <c r="Y245" i="12"/>
  <c r="N613" i="12"/>
  <c r="Y201" i="12"/>
  <c r="X201" i="12" s="1"/>
  <c r="N339" i="12"/>
  <c r="Y127" i="12"/>
  <c r="M136" i="12"/>
  <c r="N160" i="12"/>
  <c r="N256" i="12"/>
  <c r="Y176" i="12"/>
  <c r="W176" i="12" s="1"/>
  <c r="N470" i="12"/>
  <c r="N577" i="12"/>
  <c r="N471" i="12"/>
  <c r="Y639" i="12"/>
  <c r="W639" i="12" s="1"/>
  <c r="O603" i="5"/>
  <c r="D603" i="12" s="1"/>
  <c r="N249" i="12"/>
  <c r="N127" i="12"/>
  <c r="N203" i="12"/>
  <c r="N643" i="12"/>
  <c r="Y222" i="12"/>
  <c r="X222" i="12" s="1"/>
  <c r="Y410" i="12"/>
  <c r="W410" i="12" s="1"/>
  <c r="Y164" i="12"/>
  <c r="X164" i="12" s="1"/>
  <c r="N482" i="12"/>
  <c r="N265" i="12"/>
  <c r="N446" i="12"/>
  <c r="Y577" i="12"/>
  <c r="N467" i="12"/>
  <c r="N262" i="12"/>
  <c r="Y742" i="12"/>
  <c r="W742" i="12" s="1"/>
  <c r="N161" i="12"/>
  <c r="Y261" i="12"/>
  <c r="X261" i="12" s="1"/>
  <c r="N139" i="12"/>
  <c r="Y280" i="12"/>
  <c r="X280" i="12" s="1"/>
  <c r="N164" i="12"/>
  <c r="Y602" i="12"/>
  <c r="W602" i="12" s="1"/>
  <c r="N24" i="12"/>
  <c r="N596" i="12"/>
  <c r="Y687" i="12"/>
  <c r="N288" i="12"/>
  <c r="AB682" i="5"/>
  <c r="C83" i="8" s="1"/>
  <c r="AB144" i="5"/>
  <c r="Y402" i="12"/>
  <c r="W402" i="12" s="1"/>
  <c r="Y583" i="12"/>
  <c r="W583" i="12" s="1"/>
  <c r="Y600" i="12"/>
  <c r="W600" i="12" s="1"/>
  <c r="N465" i="12"/>
  <c r="Y689" i="12"/>
  <c r="W689" i="12" s="1"/>
  <c r="Y26" i="12"/>
  <c r="W26" i="12" s="1"/>
  <c r="AB184" i="5"/>
  <c r="C38" i="8" s="1"/>
  <c r="N143" i="12"/>
  <c r="N444" i="12"/>
  <c r="N510" i="12"/>
  <c r="N563" i="12"/>
  <c r="Y417" i="12"/>
  <c r="X417" i="12" s="1"/>
  <c r="O507" i="5"/>
  <c r="I508" i="5"/>
  <c r="Y421" i="12"/>
  <c r="X421" i="12" s="1"/>
  <c r="Y576" i="12"/>
  <c r="X576" i="12" s="1"/>
  <c r="N38" i="12"/>
  <c r="N480" i="12"/>
  <c r="N175" i="12"/>
  <c r="Y629" i="12"/>
  <c r="W629" i="12" s="1"/>
  <c r="N424" i="12"/>
  <c r="Y640" i="12"/>
  <c r="Y143" i="12"/>
  <c r="Y737" i="12"/>
  <c r="W737" i="12" s="1"/>
  <c r="Y264" i="12"/>
  <c r="Y622" i="12"/>
  <c r="X622" i="12" s="1"/>
  <c r="Y187" i="12"/>
  <c r="N463" i="12"/>
  <c r="N667" i="12"/>
  <c r="Y562" i="12"/>
  <c r="X562" i="12" s="1"/>
  <c r="N156" i="12"/>
  <c r="N460" i="12"/>
  <c r="Y425" i="12"/>
  <c r="AB318" i="5"/>
  <c r="N159" i="12"/>
  <c r="Y168" i="12"/>
  <c r="X168" i="12" s="1"/>
  <c r="Y247" i="12"/>
  <c r="Y568" i="12"/>
  <c r="X568" i="12" s="1"/>
  <c r="Y249" i="12"/>
  <c r="W249" i="12" s="1"/>
  <c r="N152" i="12"/>
  <c r="Y153" i="12"/>
  <c r="X153" i="12" s="1"/>
  <c r="Y684" i="12"/>
  <c r="X684" i="12" s="1"/>
  <c r="Y506" i="12"/>
  <c r="W506" i="12" s="1"/>
  <c r="N202" i="12"/>
  <c r="D629" i="12"/>
  <c r="E629" i="6"/>
  <c r="E26" i="6"/>
  <c r="D26" i="12"/>
  <c r="X402" i="12"/>
  <c r="N223" i="12"/>
  <c r="AB449" i="5"/>
  <c r="N158" i="12"/>
  <c r="N440" i="12"/>
  <c r="O426" i="12"/>
  <c r="O433" i="12"/>
  <c r="L71" i="12"/>
  <c r="J71" i="12"/>
  <c r="C71" i="12"/>
  <c r="Y139" i="12"/>
  <c r="N221" i="12"/>
  <c r="M449" i="12"/>
  <c r="C483" i="12"/>
  <c r="J483" i="12"/>
  <c r="L483" i="12"/>
  <c r="O584" i="5"/>
  <c r="C584" i="6"/>
  <c r="Y244" i="12"/>
  <c r="AO240" i="12"/>
  <c r="AO241" i="12"/>
  <c r="E129" i="6"/>
  <c r="D129" i="12"/>
  <c r="N620" i="12"/>
  <c r="O618" i="12"/>
  <c r="N607" i="12"/>
  <c r="O605" i="12"/>
  <c r="N605" i="12" s="1"/>
  <c r="N746" i="12"/>
  <c r="E137" i="6"/>
  <c r="D137" i="12"/>
  <c r="Y128" i="12"/>
  <c r="AO608" i="12"/>
  <c r="Y610" i="12"/>
  <c r="AO609" i="12"/>
  <c r="J78" i="12"/>
  <c r="L78" i="12"/>
  <c r="C78" i="12"/>
  <c r="C16" i="12"/>
  <c r="J16" i="12"/>
  <c r="L16" i="12"/>
  <c r="L605" i="12"/>
  <c r="J605" i="12"/>
  <c r="C605" i="12"/>
  <c r="C449" i="12"/>
  <c r="L449" i="12"/>
  <c r="J449" i="12"/>
  <c r="Y517" i="12"/>
  <c r="N174" i="12"/>
  <c r="I226" i="5"/>
  <c r="O226" i="5" s="1"/>
  <c r="O225" i="5"/>
  <c r="Y482" i="12"/>
  <c r="Y265" i="12"/>
  <c r="E188" i="6"/>
  <c r="D188" i="12"/>
  <c r="M71" i="10"/>
  <c r="M70" i="10" s="1"/>
  <c r="M72" i="10"/>
  <c r="E164" i="6"/>
  <c r="D164" i="12"/>
  <c r="D632" i="12"/>
  <c r="E632" i="6"/>
  <c r="AB609" i="5"/>
  <c r="AB608" i="5"/>
  <c r="C68" i="8" s="1"/>
  <c r="W246" i="12"/>
  <c r="X246" i="12"/>
  <c r="AB552" i="5"/>
  <c r="M177" i="12"/>
  <c r="D611" i="12"/>
  <c r="E611" i="6"/>
  <c r="C743" i="6"/>
  <c r="O743" i="5"/>
  <c r="Y443" i="12"/>
  <c r="C426" i="6"/>
  <c r="O426" i="5"/>
  <c r="D246" i="12"/>
  <c r="E246" i="6"/>
  <c r="X676" i="12"/>
  <c r="W667" i="12"/>
  <c r="X667" i="12"/>
  <c r="C729" i="12"/>
  <c r="L729" i="12"/>
  <c r="J729" i="12"/>
  <c r="E274" i="6"/>
  <c r="D274" i="12"/>
  <c r="O391" i="5"/>
  <c r="C391" i="6"/>
  <c r="Y728" i="12"/>
  <c r="AO723" i="12"/>
  <c r="Y169" i="12"/>
  <c r="AO124" i="12"/>
  <c r="AO123" i="12"/>
  <c r="Y125" i="12"/>
  <c r="N615" i="12"/>
  <c r="N508" i="12"/>
  <c r="Y234" i="12"/>
  <c r="AO315" i="12"/>
  <c r="Y316" i="12"/>
  <c r="M17" i="12"/>
  <c r="E684" i="6"/>
  <c r="D684" i="12"/>
  <c r="N263" i="12"/>
  <c r="AO665" i="12"/>
  <c r="Y666" i="12"/>
  <c r="E458" i="6"/>
  <c r="D458" i="12"/>
  <c r="T58" i="8"/>
  <c r="T56" i="8" s="1"/>
  <c r="F56" i="8"/>
  <c r="F57" i="8"/>
  <c r="AE58" i="8"/>
  <c r="AE56" i="8" s="1"/>
  <c r="D58" i="8"/>
  <c r="D56" i="8" s="1"/>
  <c r="Y58" i="8"/>
  <c r="Y56" i="8" s="1"/>
  <c r="Z58" i="8"/>
  <c r="Z56" i="8" s="1"/>
  <c r="G57" i="8"/>
  <c r="U58" i="8"/>
  <c r="U56" i="8" s="1"/>
  <c r="AD58" i="8"/>
  <c r="AD56" i="8" s="1"/>
  <c r="AB58" i="8"/>
  <c r="AB56" i="8" s="1"/>
  <c r="AA58" i="8"/>
  <c r="AA56" i="8" s="1"/>
  <c r="AC58" i="8"/>
  <c r="AC56" i="8" s="1"/>
  <c r="V58" i="8"/>
  <c r="V56" i="8" s="1"/>
  <c r="W58" i="8"/>
  <c r="W56" i="8" s="1"/>
  <c r="X58" i="8"/>
  <c r="X56" i="8" s="1"/>
  <c r="Y563" i="12"/>
  <c r="Y250" i="12"/>
  <c r="Y37" i="8"/>
  <c r="Y35" i="8" s="1"/>
  <c r="AA37" i="8"/>
  <c r="AA35" i="8" s="1"/>
  <c r="T37" i="8"/>
  <c r="T35" i="8" s="1"/>
  <c r="W37" i="8"/>
  <c r="W35" i="8" s="1"/>
  <c r="AE37" i="8"/>
  <c r="AE35" i="8" s="1"/>
  <c r="F35" i="8"/>
  <c r="F36" i="8"/>
  <c r="AD37" i="8"/>
  <c r="AD35" i="8" s="1"/>
  <c r="G36" i="8"/>
  <c r="U37" i="8"/>
  <c r="U35" i="8" s="1"/>
  <c r="AB37" i="8"/>
  <c r="AB35" i="8" s="1"/>
  <c r="V37" i="8"/>
  <c r="V35" i="8" s="1"/>
  <c r="AC37" i="8"/>
  <c r="AC35" i="8" s="1"/>
  <c r="D37" i="8"/>
  <c r="D35" i="8" s="1"/>
  <c r="Z37" i="8"/>
  <c r="Z35" i="8" s="1"/>
  <c r="X37" i="8"/>
  <c r="X35" i="8" s="1"/>
  <c r="E667" i="6"/>
  <c r="D667" i="12"/>
  <c r="Y326" i="12"/>
  <c r="AO318" i="12"/>
  <c r="AO317" i="12"/>
  <c r="AA73" i="8"/>
  <c r="AA71" i="8" s="1"/>
  <c r="F72" i="8"/>
  <c r="D73" i="8"/>
  <c r="D71" i="8" s="1"/>
  <c r="F71" i="8"/>
  <c r="AB73" i="8"/>
  <c r="AB71" i="8" s="1"/>
  <c r="W73" i="8"/>
  <c r="W71" i="8" s="1"/>
  <c r="V73" i="8"/>
  <c r="V71" i="8" s="1"/>
  <c r="U73" i="8"/>
  <c r="U71" i="8" s="1"/>
  <c r="AD73" i="8"/>
  <c r="AD71" i="8" s="1"/>
  <c r="AE73" i="8"/>
  <c r="AE71" i="8" s="1"/>
  <c r="G72" i="8"/>
  <c r="AC73" i="8"/>
  <c r="AC71" i="8" s="1"/>
  <c r="X73" i="8"/>
  <c r="X71" i="8" s="1"/>
  <c r="Z73" i="8"/>
  <c r="Z71" i="8" s="1"/>
  <c r="T73" i="8"/>
  <c r="T71" i="8" s="1"/>
  <c r="Y73" i="8"/>
  <c r="Y71" i="8" s="1"/>
  <c r="D38" i="12"/>
  <c r="E38" i="6"/>
  <c r="O574" i="5"/>
  <c r="C574" i="6"/>
  <c r="Y473" i="12"/>
  <c r="N77" i="12"/>
  <c r="O71" i="12"/>
  <c r="O59" i="12"/>
  <c r="E686" i="6"/>
  <c r="D686" i="12"/>
  <c r="L258" i="12"/>
  <c r="J258" i="12"/>
  <c r="C258" i="12"/>
  <c r="E259" i="6"/>
  <c r="D259" i="12"/>
  <c r="L743" i="12"/>
  <c r="J743" i="12"/>
  <c r="C743" i="12"/>
  <c r="W421" i="12"/>
  <c r="X223" i="12"/>
  <c r="N137" i="12"/>
  <c r="O136" i="12"/>
  <c r="E600" i="6"/>
  <c r="D600" i="12"/>
  <c r="C144" i="12"/>
  <c r="J144" i="12"/>
  <c r="L144" i="12"/>
  <c r="Y456" i="12"/>
  <c r="AO449" i="12"/>
  <c r="E561" i="6"/>
  <c r="D561" i="12"/>
  <c r="Y82" i="8"/>
  <c r="Y80" i="8" s="1"/>
  <c r="AE82" i="8"/>
  <c r="AE80" i="8" s="1"/>
  <c r="V82" i="8"/>
  <c r="V80" i="8" s="1"/>
  <c r="AC82" i="8"/>
  <c r="AC80" i="8" s="1"/>
  <c r="AD82" i="8"/>
  <c r="AD80" i="8" s="1"/>
  <c r="AA82" i="8"/>
  <c r="AA80" i="8" s="1"/>
  <c r="F80" i="8"/>
  <c r="AB82" i="8"/>
  <c r="AB80" i="8" s="1"/>
  <c r="D82" i="8"/>
  <c r="D80" i="8" s="1"/>
  <c r="G81" i="8"/>
  <c r="F81" i="8"/>
  <c r="Z82" i="8"/>
  <c r="Z80" i="8" s="1"/>
  <c r="T82" i="8"/>
  <c r="T80" i="8" s="1"/>
  <c r="W82" i="8"/>
  <c r="W80" i="8" s="1"/>
  <c r="X82" i="8"/>
  <c r="X80" i="8" s="1"/>
  <c r="U82" i="8"/>
  <c r="U80" i="8" s="1"/>
  <c r="J584" i="12"/>
  <c r="L584" i="12"/>
  <c r="C584" i="12"/>
  <c r="E168" i="6"/>
  <c r="D168" i="12"/>
  <c r="N244" i="12"/>
  <c r="O241" i="12"/>
  <c r="O240" i="12"/>
  <c r="W188" i="12"/>
  <c r="X188" i="12"/>
  <c r="Y470" i="12"/>
  <c r="C258" i="6"/>
  <c r="O258" i="5"/>
  <c r="M609" i="12"/>
  <c r="M608" i="12"/>
  <c r="E202" i="6"/>
  <c r="D202" i="12"/>
  <c r="E398" i="6"/>
  <c r="D398" i="12"/>
  <c r="D200" i="12"/>
  <c r="E200" i="6"/>
  <c r="N99" i="12"/>
  <c r="O95" i="12"/>
  <c r="N95" i="12" s="1"/>
  <c r="E255" i="6"/>
  <c r="D255" i="12"/>
  <c r="D134" i="12"/>
  <c r="E134" i="6"/>
  <c r="Q72" i="10"/>
  <c r="Q71" i="10"/>
  <c r="Q70" i="10" s="1"/>
  <c r="V369" i="12"/>
  <c r="T369" i="12"/>
  <c r="U369" i="12"/>
  <c r="E260" i="6"/>
  <c r="D260" i="12"/>
  <c r="V518" i="12"/>
  <c r="U518" i="12"/>
  <c r="T518" i="12"/>
  <c r="O100" i="12"/>
  <c r="N100" i="12" s="1"/>
  <c r="N101" i="12"/>
  <c r="O258" i="12"/>
  <c r="N259" i="12"/>
  <c r="X629" i="12"/>
  <c r="C95" i="6"/>
  <c r="O95" i="5"/>
  <c r="D577" i="12"/>
  <c r="E577" i="6"/>
  <c r="O491" i="5"/>
  <c r="C491" i="6"/>
  <c r="AB488" i="5"/>
  <c r="AB487" i="5"/>
  <c r="C65" i="8" s="1"/>
  <c r="M694" i="12"/>
  <c r="M718" i="12"/>
  <c r="M708" i="12"/>
  <c r="Y46" i="8"/>
  <c r="Y44" i="8" s="1"/>
  <c r="G44" i="8" s="1"/>
  <c r="I45" i="8" s="1"/>
  <c r="F45" i="8"/>
  <c r="D46" i="8"/>
  <c r="X46" i="8"/>
  <c r="F44" i="8"/>
  <c r="U46" i="8"/>
  <c r="T46" i="8"/>
  <c r="Z46" i="8"/>
  <c r="V46" i="8"/>
  <c r="AC46" i="8"/>
  <c r="AD46" i="8"/>
  <c r="AA46" i="8"/>
  <c r="AE46" i="8"/>
  <c r="G45" i="8"/>
  <c r="W46" i="8"/>
  <c r="AB46" i="8"/>
  <c r="E736" i="6"/>
  <c r="D736" i="12"/>
  <c r="C426" i="12"/>
  <c r="J426" i="12"/>
  <c r="L426" i="12"/>
  <c r="E265" i="6"/>
  <c r="D265" i="12"/>
  <c r="C36" i="6"/>
  <c r="O36" i="5"/>
  <c r="X40" i="8"/>
  <c r="X38" i="8" s="1"/>
  <c r="V40" i="8"/>
  <c r="V38" i="8" s="1"/>
  <c r="AD40" i="8"/>
  <c r="AD38" i="8" s="1"/>
  <c r="AB40" i="8"/>
  <c r="AB38" i="8" s="1"/>
  <c r="Z40" i="8"/>
  <c r="Z38" i="8" s="1"/>
  <c r="U40" i="8"/>
  <c r="U38" i="8" s="1"/>
  <c r="F38" i="8"/>
  <c r="AA40" i="8"/>
  <c r="AA38" i="8" s="1"/>
  <c r="W40" i="8"/>
  <c r="W38" i="8" s="1"/>
  <c r="D40" i="8"/>
  <c r="D38" i="8" s="1"/>
  <c r="G39" i="8"/>
  <c r="AE40" i="8"/>
  <c r="AE38" i="8" s="1"/>
  <c r="F39" i="8"/>
  <c r="AC40" i="8"/>
  <c r="AC38" i="8" s="1"/>
  <c r="Y40" i="8"/>
  <c r="Y38" i="8" s="1"/>
  <c r="T40" i="8"/>
  <c r="T38" i="8" s="1"/>
  <c r="N642" i="12"/>
  <c r="C633" i="6"/>
  <c r="O633" i="5"/>
  <c r="C35" i="6"/>
  <c r="O35" i="5"/>
  <c r="E156" i="6"/>
  <c r="D156" i="12"/>
  <c r="X508" i="12"/>
  <c r="N234" i="12"/>
  <c r="D143" i="12"/>
  <c r="E143" i="6"/>
  <c r="N21" i="12"/>
  <c r="O16" i="12"/>
  <c r="O17" i="12"/>
  <c r="E249" i="6"/>
  <c r="D249" i="12"/>
  <c r="D687" i="12"/>
  <c r="E687" i="6"/>
  <c r="D562" i="12"/>
  <c r="E562" i="6"/>
  <c r="E634" i="6"/>
  <c r="D634" i="12"/>
  <c r="E397" i="6"/>
  <c r="D397" i="12"/>
  <c r="N326" i="12"/>
  <c r="O318" i="12"/>
  <c r="O317" i="12"/>
  <c r="I592" i="5"/>
  <c r="O592" i="5" s="1"/>
  <c r="O591" i="5"/>
  <c r="C646" i="12"/>
  <c r="L646" i="12"/>
  <c r="J646" i="12"/>
  <c r="C124" i="6"/>
  <c r="O124" i="5"/>
  <c r="J718" i="12"/>
  <c r="L718" i="12"/>
  <c r="C718" i="12"/>
  <c r="C487" i="6"/>
  <c r="O487" i="5"/>
  <c r="O626" i="5"/>
  <c r="C626" i="6"/>
  <c r="E673" i="6"/>
  <c r="D673" i="12"/>
  <c r="AO136" i="12"/>
  <c r="Y137" i="12"/>
  <c r="M426" i="12"/>
  <c r="M433" i="12"/>
  <c r="M240" i="12"/>
  <c r="M241" i="12"/>
  <c r="Y575" i="12"/>
  <c r="AO574" i="12"/>
  <c r="E649" i="6"/>
  <c r="D649" i="12"/>
  <c r="E169" i="6"/>
  <c r="D169" i="12"/>
  <c r="C646" i="6"/>
  <c r="O646" i="5"/>
  <c r="N367" i="12"/>
  <c r="L708" i="12"/>
  <c r="C708" i="12"/>
  <c r="J708" i="12"/>
  <c r="J317" i="12"/>
  <c r="L317" i="12"/>
  <c r="C317" i="12"/>
  <c r="N503" i="12"/>
  <c r="V430" i="12"/>
  <c r="T430" i="12"/>
  <c r="U430" i="12"/>
  <c r="N576" i="12"/>
  <c r="D575" i="12"/>
  <c r="E575" i="6"/>
  <c r="E244" i="6"/>
  <c r="D244" i="12"/>
  <c r="C71" i="6"/>
  <c r="O71" i="5"/>
  <c r="C144" i="6"/>
  <c r="O144" i="5"/>
  <c r="D21" i="12"/>
  <c r="E21" i="6"/>
  <c r="N176" i="12"/>
  <c r="D247" i="12"/>
  <c r="E247" i="6"/>
  <c r="D159" i="12"/>
  <c r="E159" i="6"/>
  <c r="Y38" i="12"/>
  <c r="D396" i="12"/>
  <c r="E396" i="6"/>
  <c r="D25" i="12"/>
  <c r="E25" i="6"/>
  <c r="N678" i="12"/>
  <c r="Y746" i="12"/>
  <c r="Y686" i="12"/>
  <c r="E614" i="6"/>
  <c r="D614" i="12"/>
  <c r="I400" i="5"/>
  <c r="O399" i="5"/>
  <c r="D685" i="12"/>
  <c r="E685" i="6"/>
  <c r="E598" i="6"/>
  <c r="D598" i="12"/>
  <c r="N245" i="12"/>
  <c r="D222" i="12"/>
  <c r="E222" i="6"/>
  <c r="D627" i="12"/>
  <c r="E627" i="6"/>
  <c r="N602" i="12"/>
  <c r="AA72" i="10"/>
  <c r="AA71" i="10"/>
  <c r="AA70" i="10" s="1"/>
  <c r="Y613" i="12"/>
  <c r="Y220" i="12"/>
  <c r="O254" i="5"/>
  <c r="C254" i="6"/>
  <c r="M258" i="12"/>
  <c r="N408" i="12"/>
  <c r="Y511" i="12"/>
  <c r="AB337" i="5"/>
  <c r="Y467" i="12"/>
  <c r="Y611" i="12"/>
  <c r="D579" i="12"/>
  <c r="E579" i="6"/>
  <c r="D738" i="12"/>
  <c r="E738" i="6"/>
  <c r="D245" i="12"/>
  <c r="E245" i="6"/>
  <c r="D220" i="12"/>
  <c r="E220" i="6"/>
  <c r="O734" i="5"/>
  <c r="C734" i="6"/>
  <c r="N639" i="12"/>
  <c r="Y424" i="12"/>
  <c r="N640" i="12"/>
  <c r="Y722" i="12"/>
  <c r="AO718" i="12"/>
  <c r="AO708" i="12"/>
  <c r="AO694" i="12"/>
  <c r="J206" i="12"/>
  <c r="C206" i="12"/>
  <c r="L206" i="12"/>
  <c r="N166" i="12"/>
  <c r="O165" i="12"/>
  <c r="M682" i="12"/>
  <c r="Y339" i="12"/>
  <c r="L36" i="12"/>
  <c r="C36" i="12"/>
  <c r="J36" i="12"/>
  <c r="N582" i="12"/>
  <c r="E163" i="6"/>
  <c r="D163" i="12"/>
  <c r="Y642" i="12"/>
  <c r="D672" i="12"/>
  <c r="E672" i="6"/>
  <c r="E604" i="6"/>
  <c r="D604" i="12"/>
  <c r="N147" i="12"/>
  <c r="D187" i="12"/>
  <c r="E187" i="6"/>
  <c r="N153" i="12"/>
  <c r="Y149" i="12"/>
  <c r="N26" i="12"/>
  <c r="Y156" i="12"/>
  <c r="Y397" i="12"/>
  <c r="Y142" i="12"/>
  <c r="E147" i="6"/>
  <c r="D147" i="12"/>
  <c r="N412" i="12"/>
  <c r="AB317" i="5"/>
  <c r="C53" i="8" s="1"/>
  <c r="N572" i="12"/>
  <c r="Y157" i="12"/>
  <c r="N603" i="12"/>
  <c r="N684" i="12"/>
  <c r="D263" i="12"/>
  <c r="E263" i="6"/>
  <c r="Z67" i="8"/>
  <c r="Z65" i="8" s="1"/>
  <c r="AB67" i="8"/>
  <c r="AB65" i="8" s="1"/>
  <c r="F66" i="8"/>
  <c r="T67" i="8"/>
  <c r="T65" i="8" s="1"/>
  <c r="AD67" i="8"/>
  <c r="AD65" i="8" s="1"/>
  <c r="Y67" i="8"/>
  <c r="Y65" i="8" s="1"/>
  <c r="V67" i="8"/>
  <c r="V65" i="8" s="1"/>
  <c r="AA67" i="8"/>
  <c r="AA65" i="8" s="1"/>
  <c r="W67" i="8"/>
  <c r="W65" i="8" s="1"/>
  <c r="F65" i="8"/>
  <c r="D67" i="8"/>
  <c r="D65" i="8" s="1"/>
  <c r="AE67" i="8"/>
  <c r="AE65" i="8" s="1"/>
  <c r="X67" i="8"/>
  <c r="X65" i="8" s="1"/>
  <c r="AC67" i="8"/>
  <c r="AC65" i="8" s="1"/>
  <c r="G66" i="8"/>
  <c r="U67" i="8"/>
  <c r="U65" i="8" s="1"/>
  <c r="D234" i="12"/>
  <c r="E234" i="6"/>
  <c r="L626" i="12"/>
  <c r="J626" i="12"/>
  <c r="C626" i="12"/>
  <c r="N168" i="12"/>
  <c r="AB35" i="5"/>
  <c r="C23" i="8" s="1"/>
  <c r="AB36" i="5"/>
  <c r="I675" i="5"/>
  <c r="O674" i="5"/>
  <c r="Y140" i="12"/>
  <c r="C184" i="6"/>
  <c r="O184" i="5"/>
  <c r="C391" i="12"/>
  <c r="J391" i="12"/>
  <c r="L391" i="12"/>
  <c r="W152" i="12"/>
  <c r="M318" i="12"/>
  <c r="M317" i="12"/>
  <c r="AB740" i="5"/>
  <c r="X247" i="12"/>
  <c r="W247" i="12"/>
  <c r="AB55" i="8"/>
  <c r="AB53" i="8" s="1"/>
  <c r="V55" i="8"/>
  <c r="V53" i="8" s="1"/>
  <c r="X55" i="8"/>
  <c r="X53" i="8" s="1"/>
  <c r="Y55" i="8"/>
  <c r="Y53" i="8" s="1"/>
  <c r="T55" i="8"/>
  <c r="T53" i="8" s="1"/>
  <c r="F53" i="8"/>
  <c r="AD55" i="8"/>
  <c r="AD53" i="8" s="1"/>
  <c r="W55" i="8"/>
  <c r="W53" i="8" s="1"/>
  <c r="AA55" i="8"/>
  <c r="AA53" i="8" s="1"/>
  <c r="U55" i="8"/>
  <c r="U53" i="8" s="1"/>
  <c r="G54" i="8"/>
  <c r="D55" i="8"/>
  <c r="D53" i="8" s="1"/>
  <c r="AC55" i="8"/>
  <c r="AC53" i="8" s="1"/>
  <c r="Z55" i="8"/>
  <c r="Z53" i="8" s="1"/>
  <c r="AE55" i="8"/>
  <c r="AE53" i="8" s="1"/>
  <c r="F54" i="8"/>
  <c r="E102" i="6"/>
  <c r="D102" i="12"/>
  <c r="E157" i="6"/>
  <c r="D157" i="12"/>
  <c r="E155" i="6"/>
  <c r="D155" i="12"/>
  <c r="Y627" i="12"/>
  <c r="AO626" i="12"/>
  <c r="D689" i="12"/>
  <c r="E689" i="6"/>
  <c r="E141" i="6"/>
  <c r="D141" i="12"/>
  <c r="L318" i="12"/>
  <c r="C318" i="12"/>
  <c r="J318" i="12"/>
  <c r="N512" i="12"/>
  <c r="AB426" i="5"/>
  <c r="C62" i="8" s="1"/>
  <c r="AB433" i="5"/>
  <c r="N188" i="12"/>
  <c r="Y248" i="12"/>
  <c r="X245" i="12"/>
  <c r="W245" i="12"/>
  <c r="O449" i="5"/>
  <c r="C449" i="6"/>
  <c r="O191" i="5"/>
  <c r="C191" i="6"/>
  <c r="AC72" i="10"/>
  <c r="AC71" i="10"/>
  <c r="AC70" i="10" s="1"/>
  <c r="C162" i="12"/>
  <c r="L162" i="12"/>
  <c r="J162" i="12"/>
  <c r="C254" i="12"/>
  <c r="L254" i="12"/>
  <c r="J254" i="12"/>
  <c r="N422" i="12"/>
  <c r="D622" i="12"/>
  <c r="E622" i="6"/>
  <c r="Y560" i="12"/>
  <c r="AO552" i="12"/>
  <c r="N490" i="12"/>
  <c r="M36" i="12"/>
  <c r="M35" i="12"/>
  <c r="AB646" i="5"/>
  <c r="C71" i="8" s="1"/>
  <c r="AB500" i="5"/>
  <c r="N722" i="12"/>
  <c r="O718" i="12"/>
  <c r="O708" i="12"/>
  <c r="O694" i="12"/>
  <c r="N694" i="12" s="1"/>
  <c r="AO165" i="12"/>
  <c r="Y166" i="12"/>
  <c r="O682" i="12"/>
  <c r="N683" i="12"/>
  <c r="U87" i="12"/>
  <c r="V87" i="12"/>
  <c r="T87" i="12"/>
  <c r="Y634" i="12"/>
  <c r="AO633" i="12"/>
  <c r="D37" i="12"/>
  <c r="E37" i="6"/>
  <c r="X582" i="12"/>
  <c r="W582" i="12"/>
  <c r="D623" i="12"/>
  <c r="E623" i="6"/>
  <c r="D589" i="12"/>
  <c r="E589" i="6"/>
  <c r="C35" i="12"/>
  <c r="L35" i="12"/>
  <c r="J35" i="12"/>
  <c r="AC52" i="8"/>
  <c r="AC50" i="8" s="1"/>
  <c r="AE52" i="8"/>
  <c r="AE50" i="8" s="1"/>
  <c r="G51" i="8"/>
  <c r="V52" i="8"/>
  <c r="V50" i="8" s="1"/>
  <c r="AB52" i="8"/>
  <c r="AB50" i="8" s="1"/>
  <c r="D52" i="8"/>
  <c r="D50" i="8" s="1"/>
  <c r="F50" i="8"/>
  <c r="W52" i="8"/>
  <c r="W50" i="8" s="1"/>
  <c r="Y52" i="8"/>
  <c r="Y50" i="8" s="1"/>
  <c r="X52" i="8"/>
  <c r="X50" i="8" s="1"/>
  <c r="Z52" i="8"/>
  <c r="Z50" i="8" s="1"/>
  <c r="AA52" i="8"/>
  <c r="AA50" i="8" s="1"/>
  <c r="AD52" i="8"/>
  <c r="AD50" i="8" s="1"/>
  <c r="T52" i="8"/>
  <c r="T50" i="8" s="1"/>
  <c r="U52" i="8"/>
  <c r="U50" i="8" s="1"/>
  <c r="F51" i="8"/>
  <c r="Y198" i="12"/>
  <c r="AO191" i="12"/>
  <c r="AO190" i="12"/>
  <c r="O552" i="5"/>
  <c r="C552" i="6"/>
  <c r="N149" i="12"/>
  <c r="C740" i="6"/>
  <c r="O740" i="5"/>
  <c r="D171" i="12"/>
  <c r="E171" i="6"/>
  <c r="Y160" i="12"/>
  <c r="M646" i="12"/>
  <c r="D730" i="12"/>
  <c r="E730" i="6"/>
  <c r="O131" i="5"/>
  <c r="C131" i="6"/>
  <c r="M740" i="12"/>
  <c r="X171" i="12"/>
  <c r="W171" i="12"/>
  <c r="E223" i="6"/>
  <c r="D223" i="12"/>
  <c r="C124" i="12"/>
  <c r="L124" i="12"/>
  <c r="J124" i="12"/>
  <c r="M213" i="12"/>
  <c r="M206" i="12"/>
  <c r="E576" i="6"/>
  <c r="D576" i="12"/>
  <c r="L315" i="12"/>
  <c r="C315" i="12"/>
  <c r="J315" i="12"/>
  <c r="M593" i="12"/>
  <c r="N140" i="12"/>
  <c r="W129" i="12"/>
  <c r="X129" i="12"/>
  <c r="D127" i="12"/>
  <c r="E127" i="6"/>
  <c r="C669" i="6"/>
  <c r="O669" i="5"/>
  <c r="O608" i="12"/>
  <c r="N608" i="12" s="1"/>
  <c r="O609" i="12"/>
  <c r="N610" i="12"/>
  <c r="W692" i="12"/>
  <c r="X692" i="12"/>
  <c r="D485" i="12"/>
  <c r="E485" i="6"/>
  <c r="N421" i="12"/>
  <c r="C317" i="6"/>
  <c r="O317" i="5"/>
  <c r="I104" i="5"/>
  <c r="O104" i="5" s="1"/>
  <c r="O103" i="5"/>
  <c r="Y413" i="12"/>
  <c r="N627" i="12"/>
  <c r="O626" i="12"/>
  <c r="N626" i="12" s="1"/>
  <c r="C136" i="12"/>
  <c r="J136" i="12"/>
  <c r="L136" i="12"/>
  <c r="Y512" i="12"/>
  <c r="Y614" i="12"/>
  <c r="V644" i="12"/>
  <c r="U644" i="12"/>
  <c r="T644" i="12"/>
  <c r="Y599" i="12"/>
  <c r="M227" i="12"/>
  <c r="Y476" i="12"/>
  <c r="Y150" i="12"/>
  <c r="F42" i="8"/>
  <c r="AB43" i="8"/>
  <c r="AB41" i="8" s="1"/>
  <c r="Y43" i="8"/>
  <c r="Y41" i="8" s="1"/>
  <c r="AE43" i="8"/>
  <c r="AE41" i="8" s="1"/>
  <c r="AC43" i="8"/>
  <c r="AC41" i="8" s="1"/>
  <c r="AA43" i="8"/>
  <c r="AA41" i="8" s="1"/>
  <c r="AD43" i="8"/>
  <c r="AD41" i="8" s="1"/>
  <c r="G42" i="8"/>
  <c r="W43" i="8"/>
  <c r="W41" i="8" s="1"/>
  <c r="T43" i="8"/>
  <c r="T41" i="8" s="1"/>
  <c r="X43" i="8"/>
  <c r="X41" i="8" s="1"/>
  <c r="Z43" i="8"/>
  <c r="Z41" i="8" s="1"/>
  <c r="V43" i="8"/>
  <c r="V41" i="8" s="1"/>
  <c r="U43" i="8"/>
  <c r="U41" i="8" s="1"/>
  <c r="F41" i="8"/>
  <c r="D43" i="8"/>
  <c r="D41" i="8" s="1"/>
  <c r="Y465" i="12"/>
  <c r="AB491" i="5"/>
  <c r="E440" i="6"/>
  <c r="D440" i="12"/>
  <c r="W745" i="12"/>
  <c r="X745" i="12"/>
  <c r="AB241" i="5"/>
  <c r="AB240" i="5"/>
  <c r="C47" i="8" s="1"/>
  <c r="S71" i="10"/>
  <c r="S70" i="10" s="1"/>
  <c r="S72" i="10"/>
  <c r="E154" i="6"/>
  <c r="D154" i="12"/>
  <c r="N205" i="12"/>
  <c r="N220" i="12"/>
  <c r="Y422" i="12"/>
  <c r="D441" i="12"/>
  <c r="E441" i="6"/>
  <c r="M552" i="12"/>
  <c r="N611" i="12"/>
  <c r="N629" i="12"/>
  <c r="Y262" i="12"/>
  <c r="C213" i="12"/>
  <c r="L213" i="12"/>
  <c r="J213" i="12"/>
  <c r="J734" i="12"/>
  <c r="L734" i="12"/>
  <c r="C734" i="12"/>
  <c r="N736" i="12"/>
  <c r="Y490" i="12"/>
  <c r="O36" i="12"/>
  <c r="N37" i="12"/>
  <c r="O35" i="12"/>
  <c r="U375" i="12"/>
  <c r="T375" i="12"/>
  <c r="V375" i="12"/>
  <c r="W640" i="12"/>
  <c r="X640" i="12"/>
  <c r="C630" i="12"/>
  <c r="J630" i="12"/>
  <c r="L630" i="12"/>
  <c r="U114" i="12"/>
  <c r="T114" i="12"/>
  <c r="V114" i="12"/>
  <c r="AB340" i="5"/>
  <c r="C56" i="8" s="1"/>
  <c r="AB341" i="5"/>
  <c r="O206" i="5"/>
  <c r="C206" i="6"/>
  <c r="Y24" i="12"/>
  <c r="Y134" i="12"/>
  <c r="AO131" i="12"/>
  <c r="D201" i="12"/>
  <c r="E201" i="6"/>
  <c r="M165" i="12"/>
  <c r="Y683" i="12"/>
  <c r="AO682" i="12"/>
  <c r="Y682" i="12" s="1"/>
  <c r="C241" i="6"/>
  <c r="O241" i="5"/>
  <c r="N634" i="12"/>
  <c r="O633" i="12"/>
  <c r="AO734" i="12"/>
  <c r="Y735" i="12"/>
  <c r="D610" i="12"/>
  <c r="E610" i="6"/>
  <c r="C433" i="6"/>
  <c r="O433" i="5"/>
  <c r="D563" i="12"/>
  <c r="E563" i="6"/>
  <c r="C240" i="6"/>
  <c r="O240" i="5"/>
  <c r="N138" i="12"/>
  <c r="M191" i="12"/>
  <c r="M190" i="12"/>
  <c r="J552" i="12"/>
  <c r="C552" i="12"/>
  <c r="L552" i="12"/>
  <c r="D650" i="12"/>
  <c r="E650" i="6"/>
  <c r="C500" i="6"/>
  <c r="O500" i="5"/>
  <c r="O729" i="12"/>
  <c r="N729" i="12" s="1"/>
  <c r="N730" i="12"/>
  <c r="E668" i="6"/>
  <c r="D668" i="12"/>
  <c r="AB190" i="5"/>
  <c r="C41" i="8" s="1"/>
  <c r="AB191" i="5"/>
  <c r="N142" i="12"/>
  <c r="E152" i="6"/>
  <c r="D152" i="12"/>
  <c r="N649" i="12"/>
  <c r="O646" i="12"/>
  <c r="N157" i="12"/>
  <c r="N668" i="12"/>
  <c r="AB165" i="5"/>
  <c r="O740" i="12"/>
  <c r="N740" i="12" s="1"/>
  <c r="N741" i="12"/>
  <c r="AB59" i="5"/>
  <c r="C26" i="8" s="1"/>
  <c r="AB71" i="5"/>
  <c r="N417" i="12"/>
  <c r="E607" i="6"/>
  <c r="D607" i="12"/>
  <c r="W127" i="12"/>
  <c r="X127" i="12"/>
  <c r="D160" i="12"/>
  <c r="E160" i="6"/>
  <c r="Y672" i="12"/>
  <c r="AO669" i="12"/>
  <c r="C315" i="6"/>
  <c r="O315" i="5"/>
  <c r="Y594" i="12"/>
  <c r="AO593" i="12"/>
  <c r="N129" i="12"/>
  <c r="X503" i="12"/>
  <c r="W503" i="12"/>
  <c r="C14" i="11"/>
  <c r="L14" i="13"/>
  <c r="W14" i="11"/>
  <c r="O24" i="11"/>
  <c r="X577" i="12"/>
  <c r="W577" i="12"/>
  <c r="M340" i="12"/>
  <c r="M341" i="12"/>
  <c r="D457" i="12"/>
  <c r="E457" i="6"/>
  <c r="N247" i="12"/>
  <c r="E261" i="6"/>
  <c r="D261" i="12"/>
  <c r="O708" i="5"/>
  <c r="C708" i="6"/>
  <c r="E257" i="6"/>
  <c r="D257" i="12"/>
  <c r="O136" i="5"/>
  <c r="C136" i="6"/>
  <c r="O318" i="5"/>
  <c r="C318" i="6"/>
  <c r="D581" i="12"/>
  <c r="E581" i="6"/>
  <c r="V105" i="12"/>
  <c r="U105" i="12"/>
  <c r="T105" i="12"/>
  <c r="E492" i="6"/>
  <c r="D492" i="12"/>
  <c r="J59" i="12"/>
  <c r="L59" i="12"/>
  <c r="C59" i="12"/>
  <c r="Y154" i="12"/>
  <c r="E173" i="6"/>
  <c r="D173" i="12"/>
  <c r="N280" i="12"/>
  <c r="N229" i="12"/>
  <c r="O227" i="12"/>
  <c r="C190" i="6"/>
  <c r="O190" i="5"/>
  <c r="D256" i="12"/>
  <c r="E256" i="6"/>
  <c r="G84" i="8"/>
  <c r="Z85" i="8"/>
  <c r="Z83" i="8" s="1"/>
  <c r="D85" i="8"/>
  <c r="D83" i="8" s="1"/>
  <c r="AE85" i="8"/>
  <c r="AE83" i="8" s="1"/>
  <c r="W85" i="8"/>
  <c r="W83" i="8" s="1"/>
  <c r="F83" i="8"/>
  <c r="AC85" i="8"/>
  <c r="AC83" i="8" s="1"/>
  <c r="F84" i="8"/>
  <c r="AB85" i="8"/>
  <c r="AB83" i="8" s="1"/>
  <c r="AA85" i="8"/>
  <c r="AA83" i="8" s="1"/>
  <c r="U85" i="8"/>
  <c r="U83" i="8" s="1"/>
  <c r="X85" i="8"/>
  <c r="X83" i="8" s="1"/>
  <c r="Y85" i="8"/>
  <c r="Y83" i="8" s="1"/>
  <c r="T85" i="8"/>
  <c r="T83" i="8" s="1"/>
  <c r="V85" i="8"/>
  <c r="V83" i="8" s="1"/>
  <c r="AD85" i="8"/>
  <c r="AD83" i="8" s="1"/>
  <c r="AB618" i="5"/>
  <c r="T379" i="12"/>
  <c r="V379" i="12"/>
  <c r="U379" i="12"/>
  <c r="Y167" i="12"/>
  <c r="E273" i="6"/>
  <c r="D273" i="12"/>
  <c r="N691" i="12"/>
  <c r="C191" i="12"/>
  <c r="L191" i="12"/>
  <c r="J191" i="12"/>
  <c r="N745" i="12"/>
  <c r="M391" i="12"/>
  <c r="Y446" i="12"/>
  <c r="C162" i="6"/>
  <c r="O162" i="5"/>
  <c r="E746" i="6"/>
  <c r="D746" i="12"/>
  <c r="Y501" i="12"/>
  <c r="AO500" i="12"/>
  <c r="E148" i="6"/>
  <c r="D148" i="12"/>
  <c r="C608" i="12"/>
  <c r="L608" i="12"/>
  <c r="J608" i="12"/>
  <c r="O442" i="5"/>
  <c r="I443" i="5"/>
  <c r="M491" i="12"/>
  <c r="X187" i="12"/>
  <c r="W187" i="12"/>
  <c r="E172" i="6"/>
  <c r="D172" i="12"/>
  <c r="C337" i="12"/>
  <c r="L337" i="12"/>
  <c r="J337" i="12"/>
  <c r="AO35" i="12"/>
  <c r="AO36" i="12"/>
  <c r="Y37" i="12"/>
  <c r="D596" i="12"/>
  <c r="E596" i="6"/>
  <c r="X580" i="12"/>
  <c r="W580" i="12"/>
  <c r="D205" i="12"/>
  <c r="E205" i="6"/>
  <c r="N134" i="12"/>
  <c r="O131" i="12"/>
  <c r="N131" i="12" s="1"/>
  <c r="M633" i="12"/>
  <c r="X230" i="12"/>
  <c r="W230" i="12"/>
  <c r="W416" i="12"/>
  <c r="X416" i="12"/>
  <c r="N735" i="12"/>
  <c r="O734" i="12"/>
  <c r="C433" i="12"/>
  <c r="L433" i="12"/>
  <c r="J433" i="12"/>
  <c r="Y161" i="12"/>
  <c r="Y49" i="8"/>
  <c r="Y47" i="8" s="1"/>
  <c r="D49" i="8"/>
  <c r="D47" i="8" s="1"/>
  <c r="AB49" i="8"/>
  <c r="AB47" i="8" s="1"/>
  <c r="U49" i="8"/>
  <c r="U47" i="8" s="1"/>
  <c r="F48" i="8"/>
  <c r="AA49" i="8"/>
  <c r="AA47" i="8" s="1"/>
  <c r="V49" i="8"/>
  <c r="V47" i="8" s="1"/>
  <c r="Z49" i="8"/>
  <c r="Z47" i="8" s="1"/>
  <c r="F47" i="8"/>
  <c r="AD49" i="8"/>
  <c r="AD47" i="8" s="1"/>
  <c r="W49" i="8"/>
  <c r="W47" i="8" s="1"/>
  <c r="T49" i="8"/>
  <c r="T47" i="8" s="1"/>
  <c r="X49" i="8"/>
  <c r="X47" i="8" s="1"/>
  <c r="G48" i="8"/>
  <c r="AE49" i="8"/>
  <c r="AE47" i="8" s="1"/>
  <c r="AC49" i="8"/>
  <c r="AC47" i="8" s="1"/>
  <c r="D25" i="8"/>
  <c r="D23" i="8" s="1"/>
  <c r="Y25" i="8"/>
  <c r="AE25" i="8"/>
  <c r="AE23" i="8" s="1"/>
  <c r="Z25" i="8"/>
  <c r="W25" i="8"/>
  <c r="W23" i="8" s="1"/>
  <c r="AB25" i="8"/>
  <c r="AD25" i="8"/>
  <c r="X25" i="8"/>
  <c r="T25" i="8"/>
  <c r="T23" i="8" s="1"/>
  <c r="U25" i="8"/>
  <c r="F24" i="8"/>
  <c r="AC25" i="8"/>
  <c r="AC23" i="8" s="1"/>
  <c r="AA25" i="8"/>
  <c r="V25" i="8"/>
  <c r="V23" i="8" s="1"/>
  <c r="G24" i="8"/>
  <c r="F23" i="8"/>
  <c r="L266" i="12"/>
  <c r="J266" i="12"/>
  <c r="C266" i="12"/>
  <c r="N198" i="12"/>
  <c r="O190" i="12"/>
  <c r="O191" i="12"/>
  <c r="O651" i="5"/>
  <c r="I652" i="5"/>
  <c r="O652" i="5" s="1"/>
  <c r="C500" i="12"/>
  <c r="L500" i="12"/>
  <c r="J500" i="12"/>
  <c r="Y730" i="12"/>
  <c r="AO729" i="12"/>
  <c r="J227" i="12"/>
  <c r="C227" i="12"/>
  <c r="L227" i="12"/>
  <c r="Y589" i="12"/>
  <c r="AO584" i="12"/>
  <c r="D339" i="12"/>
  <c r="E339" i="6"/>
  <c r="D732" i="12"/>
  <c r="E732" i="6"/>
  <c r="Y649" i="12"/>
  <c r="AO646" i="12"/>
  <c r="Y510" i="12"/>
  <c r="M487" i="12"/>
  <c r="M488" i="12"/>
  <c r="J131" i="12"/>
  <c r="C131" i="12"/>
  <c r="L131" i="12"/>
  <c r="AO740" i="12"/>
  <c r="Y741" i="12"/>
  <c r="O593" i="5"/>
  <c r="C593" i="6"/>
  <c r="X425" i="12"/>
  <c r="W425" i="12"/>
  <c r="AB15" i="5"/>
  <c r="AB16" i="5"/>
  <c r="AB14" i="11" s="1"/>
  <c r="AB17" i="5"/>
  <c r="C17" i="8" s="1"/>
  <c r="W261" i="12"/>
  <c r="N506" i="12"/>
  <c r="N219" i="12"/>
  <c r="O206" i="12"/>
  <c r="O213" i="12"/>
  <c r="N672" i="12"/>
  <c r="O669" i="12"/>
  <c r="D198" i="12"/>
  <c r="E198" i="6"/>
  <c r="N155" i="12"/>
  <c r="O665" i="5"/>
  <c r="C665" i="6"/>
  <c r="I355" i="5"/>
  <c r="O354" i="5"/>
  <c r="D128" i="12"/>
  <c r="E128" i="6"/>
  <c r="N25" i="12"/>
  <c r="M597" i="12"/>
  <c r="E125" i="6"/>
  <c r="D125" i="12"/>
  <c r="AO144" i="12"/>
  <c r="Y145" i="12"/>
  <c r="E666" i="6"/>
  <c r="D666" i="12"/>
  <c r="Y229" i="12"/>
  <c r="AO227" i="12"/>
  <c r="E101" i="6"/>
  <c r="D101" i="12"/>
  <c r="Y332" i="12"/>
  <c r="C190" i="12"/>
  <c r="J190" i="12"/>
  <c r="L190" i="12"/>
  <c r="N314" i="12"/>
  <c r="O306" i="12"/>
  <c r="N306" i="12" s="1"/>
  <c r="AC11" i="5"/>
  <c r="E580" i="6"/>
  <c r="D580" i="12"/>
  <c r="AB136" i="5"/>
  <c r="D232" i="12"/>
  <c r="E232" i="6"/>
  <c r="D199" i="12"/>
  <c r="E199" i="6"/>
  <c r="N396" i="12"/>
  <c r="O391" i="12"/>
  <c r="D338" i="12"/>
  <c r="E338" i="6"/>
  <c r="K72" i="10"/>
  <c r="K71" i="10"/>
  <c r="K70" i="10" s="1"/>
  <c r="O500" i="12"/>
  <c r="N501" i="12"/>
  <c r="N621" i="12"/>
  <c r="Y578" i="12"/>
  <c r="Y492" i="12"/>
  <c r="AO491" i="12"/>
  <c r="N560" i="12"/>
  <c r="O552" i="12"/>
  <c r="X19" i="8"/>
  <c r="G17" i="8"/>
  <c r="I18" i="8" s="1"/>
  <c r="T19" i="8"/>
  <c r="Y19" i="8"/>
  <c r="F18" i="8"/>
  <c r="AD19" i="8"/>
  <c r="G18" i="8"/>
  <c r="V19" i="8"/>
  <c r="AC19" i="8"/>
  <c r="AA19" i="8"/>
  <c r="F17" i="8"/>
  <c r="AB19" i="8"/>
  <c r="U19" i="8"/>
  <c r="Z19" i="8"/>
  <c r="D19" i="8"/>
  <c r="AE19" i="8"/>
  <c r="W19" i="8"/>
  <c r="N187" i="12"/>
  <c r="E229" i="6"/>
  <c r="D229" i="12"/>
  <c r="E174" i="6"/>
  <c r="D174" i="12"/>
  <c r="O213" i="5"/>
  <c r="C213" i="6"/>
  <c r="W736" i="12"/>
  <c r="X736" i="12"/>
  <c r="O165" i="5"/>
  <c r="C165" i="6"/>
  <c r="N232" i="12"/>
  <c r="N130" i="12"/>
  <c r="C618" i="12"/>
  <c r="L618" i="12"/>
  <c r="J618" i="12"/>
  <c r="AB227" i="5"/>
  <c r="D489" i="12"/>
  <c r="E489" i="6"/>
  <c r="C609" i="12"/>
  <c r="L609" i="12"/>
  <c r="J609" i="12"/>
  <c r="D742" i="12"/>
  <c r="E742" i="6"/>
  <c r="M184" i="12"/>
  <c r="E728" i="6"/>
  <c r="D728" i="12"/>
  <c r="W170" i="12"/>
  <c r="N544" i="12"/>
  <c r="O539" i="12"/>
  <c r="N539" i="12" s="1"/>
  <c r="M734" i="12"/>
  <c r="X513" i="12"/>
  <c r="W513" i="12"/>
  <c r="C240" i="12"/>
  <c r="J240" i="12"/>
  <c r="L240" i="12"/>
  <c r="X249" i="12"/>
  <c r="E582" i="6"/>
  <c r="D582" i="12"/>
  <c r="T34" i="8"/>
  <c r="T32" i="8" s="1"/>
  <c r="D34" i="8"/>
  <c r="D32" i="8" s="1"/>
  <c r="U34" i="8"/>
  <c r="U32" i="8" s="1"/>
  <c r="G33" i="8"/>
  <c r="X34" i="8"/>
  <c r="X32" i="8" s="1"/>
  <c r="AE34" i="8"/>
  <c r="AE32" i="8" s="1"/>
  <c r="F33" i="8"/>
  <c r="F32" i="8"/>
  <c r="V34" i="8"/>
  <c r="V32" i="8" s="1"/>
  <c r="Z34" i="8"/>
  <c r="Z32" i="8" s="1"/>
  <c r="Y34" i="8"/>
  <c r="Y32" i="8" s="1"/>
  <c r="AA34" i="8"/>
  <c r="AA32" i="8" s="1"/>
  <c r="AC34" i="8"/>
  <c r="AC32" i="8" s="1"/>
  <c r="AD34" i="8"/>
  <c r="AD32" i="8" s="1"/>
  <c r="AB34" i="8"/>
  <c r="AB32" i="8" s="1"/>
  <c r="W34" i="8"/>
  <c r="W32" i="8" s="1"/>
  <c r="N172" i="12"/>
  <c r="AB162" i="5"/>
  <c r="D140" i="12"/>
  <c r="E140" i="6"/>
  <c r="AB177" i="5"/>
  <c r="C35" i="8" s="1"/>
  <c r="Y632" i="12"/>
  <c r="AO630" i="12"/>
  <c r="D733" i="12"/>
  <c r="E733" i="6"/>
  <c r="L341" i="12"/>
  <c r="J341" i="12"/>
  <c r="C341" i="12"/>
  <c r="J267" i="12"/>
  <c r="C267" i="12"/>
  <c r="L267" i="12"/>
  <c r="AO488" i="12"/>
  <c r="AO487" i="12"/>
  <c r="Y489" i="12"/>
  <c r="O615" i="5"/>
  <c r="N171" i="12"/>
  <c r="Y353" i="12"/>
  <c r="C539" i="6"/>
  <c r="O539" i="5"/>
  <c r="N445" i="12"/>
  <c r="J487" i="12"/>
  <c r="L487" i="12"/>
  <c r="C487" i="12"/>
  <c r="Y219" i="12"/>
  <c r="AO213" i="12"/>
  <c r="AO206" i="12"/>
  <c r="X155" i="12"/>
  <c r="N594" i="12"/>
  <c r="O593" i="12"/>
  <c r="X264" i="12"/>
  <c r="W264" i="12"/>
  <c r="I71" i="10"/>
  <c r="I70" i="10" s="1"/>
  <c r="Y9" i="10" s="1"/>
  <c r="I72" i="10"/>
  <c r="AE9" i="10" s="1"/>
  <c r="M267" i="12"/>
  <c r="M266" i="12"/>
  <c r="U27" i="12"/>
  <c r="T27" i="12"/>
  <c r="V27" i="12"/>
  <c r="N316" i="12"/>
  <c r="O315" i="12"/>
  <c r="N315" i="12" s="1"/>
  <c r="L740" i="12"/>
  <c r="J740" i="12"/>
  <c r="C740" i="12"/>
  <c r="N561" i="12"/>
  <c r="N181" i="12"/>
  <c r="Y598" i="12"/>
  <c r="AO597" i="12"/>
  <c r="Y200" i="12"/>
  <c r="C694" i="12"/>
  <c r="L694" i="12"/>
  <c r="J694" i="12"/>
  <c r="E506" i="6"/>
  <c r="D506" i="12"/>
  <c r="U106" i="12"/>
  <c r="T106" i="12"/>
  <c r="V106" i="12"/>
  <c r="U48" i="12"/>
  <c r="T48" i="12"/>
  <c r="V48" i="12"/>
  <c r="Y199" i="12"/>
  <c r="Y126" i="12"/>
  <c r="N499" i="12"/>
  <c r="N260" i="12"/>
  <c r="N150" i="12"/>
  <c r="C682" i="6"/>
  <c r="O682" i="5"/>
  <c r="G15" i="8"/>
  <c r="F14" i="8"/>
  <c r="Q90" i="8"/>
  <c r="H90" i="8" s="1"/>
  <c r="F15" i="8"/>
  <c r="Y231" i="12"/>
  <c r="N167" i="12"/>
  <c r="D262" i="12"/>
  <c r="E262" i="6"/>
  <c r="C597" i="6"/>
  <c r="O597" i="5"/>
  <c r="E620" i="6"/>
  <c r="D620" i="12"/>
  <c r="AE72" i="10"/>
  <c r="AE71" i="10"/>
  <c r="AE70" i="10" s="1"/>
  <c r="E179" i="6"/>
  <c r="D179" i="12"/>
  <c r="Y621" i="12"/>
  <c r="N581" i="12"/>
  <c r="C608" i="6"/>
  <c r="O608" i="5"/>
  <c r="N492" i="12"/>
  <c r="O491" i="12"/>
  <c r="Y685" i="12"/>
  <c r="V695" i="12"/>
  <c r="T695" i="12"/>
  <c r="U695" i="12"/>
  <c r="D501" i="12"/>
  <c r="E501" i="6"/>
  <c r="D167" i="12"/>
  <c r="E167" i="6"/>
  <c r="Y130" i="12"/>
  <c r="Y493" i="12"/>
  <c r="C618" i="6"/>
  <c r="O618" i="5"/>
  <c r="O723" i="5"/>
  <c r="C723" i="6"/>
  <c r="O630" i="5"/>
  <c r="C630" i="6"/>
  <c r="N580" i="12"/>
  <c r="E545" i="6"/>
  <c r="D545" i="12"/>
  <c r="N255" i="12"/>
  <c r="O254" i="12"/>
  <c r="C609" i="6"/>
  <c r="O609" i="5"/>
  <c r="E745" i="6"/>
  <c r="D745" i="12"/>
  <c r="N185" i="12"/>
  <c r="O184" i="12"/>
  <c r="J241" i="12"/>
  <c r="C241" i="12"/>
  <c r="L241" i="12"/>
  <c r="D142" i="12"/>
  <c r="E142" i="6"/>
  <c r="E741" i="6"/>
  <c r="D741" i="12"/>
  <c r="N416" i="12"/>
  <c r="E493" i="6"/>
  <c r="D493" i="12"/>
  <c r="E560" i="6"/>
  <c r="D560" i="12"/>
  <c r="E178" i="6"/>
  <c r="D178" i="12"/>
  <c r="O266" i="5"/>
  <c r="C266" i="6"/>
  <c r="D146" i="12"/>
  <c r="E146" i="6"/>
  <c r="E230" i="6"/>
  <c r="D230" i="12"/>
  <c r="Y172" i="12"/>
  <c r="Y85" i="12"/>
  <c r="AO78" i="12"/>
  <c r="O353" i="5"/>
  <c r="O267" i="5"/>
  <c r="C267" i="6"/>
  <c r="C340" i="6"/>
  <c r="O340" i="5"/>
  <c r="O487" i="12"/>
  <c r="O488" i="12"/>
  <c r="N489" i="12"/>
  <c r="E85" i="6"/>
  <c r="D85" i="12"/>
  <c r="X617" i="12"/>
  <c r="W617" i="12"/>
  <c r="L593" i="12"/>
  <c r="C593" i="12"/>
  <c r="J593" i="12"/>
  <c r="X687" i="12"/>
  <c r="W687" i="12"/>
  <c r="M162" i="12"/>
  <c r="D158" i="12"/>
  <c r="E158" i="6"/>
  <c r="M669" i="12"/>
  <c r="E250" i="6"/>
  <c r="D250" i="12"/>
  <c r="N141" i="12"/>
  <c r="AO258" i="12"/>
  <c r="Y259" i="12"/>
  <c r="AB718" i="5"/>
  <c r="AB708" i="5"/>
  <c r="AB694" i="5"/>
  <c r="C86" i="8" s="1"/>
  <c r="C665" i="12"/>
  <c r="J665" i="12"/>
  <c r="L665" i="12"/>
  <c r="AB123" i="5"/>
  <c r="C32" i="8" s="1"/>
  <c r="AB124" i="5"/>
  <c r="Y256" i="12"/>
  <c r="Y25" i="12"/>
  <c r="E151" i="6"/>
  <c r="D151" i="12"/>
  <c r="Y643" i="12"/>
  <c r="N598" i="12"/>
  <c r="O597" i="12"/>
  <c r="D624" i="12"/>
  <c r="E624" i="6"/>
  <c r="AB213" i="5"/>
  <c r="AB206" i="5"/>
  <c r="C44" i="8" s="1"/>
  <c r="J669" i="12"/>
  <c r="C669" i="12"/>
  <c r="L669" i="12"/>
  <c r="Y366" i="12"/>
  <c r="O59" i="5"/>
  <c r="C59" i="6"/>
  <c r="M144" i="12"/>
  <c r="Y499" i="12"/>
  <c r="Y260" i="12"/>
  <c r="N148" i="12"/>
  <c r="N410" i="12"/>
  <c r="C78" i="6"/>
  <c r="O78" i="5"/>
  <c r="Y641" i="12"/>
  <c r="N689" i="12"/>
  <c r="N231" i="12"/>
  <c r="O605" i="5"/>
  <c r="C605" i="6"/>
  <c r="D599" i="12"/>
  <c r="E599" i="6"/>
  <c r="Y466" i="12"/>
  <c r="Y396" i="12"/>
  <c r="AO391" i="12"/>
  <c r="O72" i="10"/>
  <c r="O71" i="10"/>
  <c r="O70" i="10" s="1"/>
  <c r="N257" i="12"/>
  <c r="O180" i="5"/>
  <c r="I181" i="5"/>
  <c r="M500" i="12"/>
  <c r="D23" i="12"/>
  <c r="E23" i="6"/>
  <c r="AB266" i="5"/>
  <c r="C50" i="8" s="1"/>
  <c r="AB267" i="5"/>
  <c r="Y581" i="12"/>
  <c r="N472" i="12"/>
  <c r="O306" i="5"/>
  <c r="C306" i="6"/>
  <c r="L17" i="12"/>
  <c r="C17" i="12"/>
  <c r="J17" i="12"/>
  <c r="U108" i="12"/>
  <c r="V108" i="12"/>
  <c r="T108" i="12"/>
  <c r="AB254" i="5"/>
  <c r="D744" i="12"/>
  <c r="E744" i="6"/>
  <c r="N742" i="12"/>
  <c r="Y232" i="12"/>
  <c r="AB391" i="5"/>
  <c r="C59" i="8" s="1"/>
  <c r="Y463" i="12"/>
  <c r="I547" i="5"/>
  <c r="O546" i="5"/>
  <c r="AO254" i="12"/>
  <c r="Y255" i="12"/>
  <c r="E735" i="6"/>
  <c r="D735" i="12"/>
  <c r="AB258" i="5"/>
  <c r="X64" i="8"/>
  <c r="X62" i="8" s="1"/>
  <c r="Y64" i="8"/>
  <c r="Y62" i="8" s="1"/>
  <c r="AC64" i="8"/>
  <c r="AC62" i="8" s="1"/>
  <c r="U64" i="8"/>
  <c r="U62" i="8" s="1"/>
  <c r="AA64" i="8"/>
  <c r="AA62" i="8" s="1"/>
  <c r="F62" i="8"/>
  <c r="W64" i="8"/>
  <c r="W62" i="8" s="1"/>
  <c r="T64" i="8"/>
  <c r="T62" i="8" s="1"/>
  <c r="F63" i="8"/>
  <c r="G63" i="8"/>
  <c r="D64" i="8"/>
  <c r="D62" i="8" s="1"/>
  <c r="Z64" i="8"/>
  <c r="Z62" i="8" s="1"/>
  <c r="AE64" i="8"/>
  <c r="AE62" i="8" s="1"/>
  <c r="AD64" i="8"/>
  <c r="AD62" i="8" s="1"/>
  <c r="AB64" i="8"/>
  <c r="AB62" i="8" s="1"/>
  <c r="V64" i="8"/>
  <c r="V62" i="8" s="1"/>
  <c r="O337" i="12"/>
  <c r="N338" i="12"/>
  <c r="E153" i="6"/>
  <c r="D153" i="12"/>
  <c r="C488" i="6"/>
  <c r="O488" i="5"/>
  <c r="N513" i="12"/>
  <c r="N448" i="12"/>
  <c r="D139" i="12"/>
  <c r="E139" i="6"/>
  <c r="C123" i="12"/>
  <c r="J123" i="12"/>
  <c r="L123" i="12"/>
  <c r="N737" i="12"/>
  <c r="C227" i="6"/>
  <c r="O227" i="5"/>
  <c r="AB734" i="5"/>
  <c r="N589" i="12"/>
  <c r="O584" i="12"/>
  <c r="N584" i="12" s="1"/>
  <c r="AB633" i="5"/>
  <c r="D185" i="12"/>
  <c r="E185" i="6"/>
  <c r="D130" i="12"/>
  <c r="E130" i="6"/>
  <c r="E564" i="6"/>
  <c r="D564" i="12"/>
  <c r="E186" i="6"/>
  <c r="D186" i="12"/>
  <c r="AB665" i="5"/>
  <c r="C77" i="8" s="1"/>
  <c r="O341" i="5"/>
  <c r="C341" i="6"/>
  <c r="Y460" i="12"/>
  <c r="AB669" i="5"/>
  <c r="C80" i="8" s="1"/>
  <c r="E316" i="6"/>
  <c r="D316" i="12"/>
  <c r="L177" i="12"/>
  <c r="C177" i="12"/>
  <c r="J177" i="12"/>
  <c r="N425" i="12"/>
  <c r="N738" i="12"/>
  <c r="L539" i="12"/>
  <c r="J539" i="12"/>
  <c r="C539" i="12"/>
  <c r="N261" i="12"/>
  <c r="Y445" i="12"/>
  <c r="Y485" i="12"/>
  <c r="AO483" i="12"/>
  <c r="J574" i="12"/>
  <c r="C574" i="12"/>
  <c r="L574" i="12"/>
  <c r="N146" i="12"/>
  <c r="Y141" i="12"/>
  <c r="N264" i="12"/>
  <c r="D203" i="12"/>
  <c r="E203" i="6"/>
  <c r="M743" i="12"/>
  <c r="L95" i="12"/>
  <c r="J95" i="12"/>
  <c r="C95" i="12"/>
  <c r="I276" i="5"/>
  <c r="O275" i="5"/>
  <c r="L633" i="12"/>
  <c r="J633" i="12"/>
  <c r="C633" i="12"/>
  <c r="Y21" i="12"/>
  <c r="AO16" i="12"/>
  <c r="AO17" i="12"/>
  <c r="O459" i="5"/>
  <c r="I460" i="5"/>
  <c r="C100" i="6"/>
  <c r="O100" i="5"/>
  <c r="AD79" i="8"/>
  <c r="AD77" i="8" s="1"/>
  <c r="W79" i="8"/>
  <c r="W77" i="8" s="1"/>
  <c r="F78" i="8"/>
  <c r="Y79" i="8"/>
  <c r="Y77" i="8" s="1"/>
  <c r="U79" i="8"/>
  <c r="U77" i="8" s="1"/>
  <c r="G78" i="8"/>
  <c r="Z79" i="8"/>
  <c r="Z77" i="8" s="1"/>
  <c r="D79" i="8"/>
  <c r="D77" i="8" s="1"/>
  <c r="AC79" i="8"/>
  <c r="AC77" i="8" s="1"/>
  <c r="V79" i="8"/>
  <c r="V77" i="8" s="1"/>
  <c r="AA79" i="8"/>
  <c r="AA77" i="8" s="1"/>
  <c r="T79" i="8"/>
  <c r="T77" i="8" s="1"/>
  <c r="F77" i="8"/>
  <c r="X79" i="8"/>
  <c r="X77" i="8" s="1"/>
  <c r="AB79" i="8"/>
  <c r="AB77" i="8" s="1"/>
  <c r="AE79" i="8"/>
  <c r="AE77" i="8" s="1"/>
  <c r="E99" i="6"/>
  <c r="D99" i="12"/>
  <c r="Y440" i="12"/>
  <c r="AO433" i="12"/>
  <c r="AO426" i="12"/>
  <c r="AB593" i="5"/>
  <c r="D625" i="12"/>
  <c r="E625" i="6"/>
  <c r="E248" i="6"/>
  <c r="D248" i="12"/>
  <c r="F86" i="8"/>
  <c r="G87" i="8"/>
  <c r="W88" i="8"/>
  <c r="W86" i="8" s="1"/>
  <c r="AA88" i="8"/>
  <c r="AA86" i="8" s="1"/>
  <c r="AC88" i="8"/>
  <c r="AC86" i="8" s="1"/>
  <c r="AB88" i="8"/>
  <c r="AB86" i="8" s="1"/>
  <c r="Z88" i="8"/>
  <c r="Z86" i="8" s="1"/>
  <c r="X88" i="8"/>
  <c r="X86" i="8" s="1"/>
  <c r="Y88" i="8"/>
  <c r="Y86" i="8" s="1"/>
  <c r="U88" i="8"/>
  <c r="U86" i="8" s="1"/>
  <c r="AD88" i="8"/>
  <c r="AD86" i="8" s="1"/>
  <c r="T88" i="8"/>
  <c r="T86" i="8" s="1"/>
  <c r="D88" i="8"/>
  <c r="D86" i="8" s="1"/>
  <c r="F87" i="8"/>
  <c r="AE88" i="8"/>
  <c r="AE86" i="8" s="1"/>
  <c r="V88" i="8"/>
  <c r="V86" i="8" s="1"/>
  <c r="W568" i="12"/>
  <c r="O483" i="5"/>
  <c r="C483" i="6"/>
  <c r="W652" i="12"/>
  <c r="E502" i="6"/>
  <c r="D502" i="12"/>
  <c r="D28" i="8"/>
  <c r="AB28" i="8"/>
  <c r="AB26" i="8" s="1"/>
  <c r="F26" i="8"/>
  <c r="V28" i="8"/>
  <c r="V26" i="8" s="1"/>
  <c r="Y28" i="8"/>
  <c r="Y26" i="8" s="1"/>
  <c r="U28" i="8"/>
  <c r="U26" i="8" s="1"/>
  <c r="W28" i="8"/>
  <c r="W26" i="8" s="1"/>
  <c r="Z28" i="8"/>
  <c r="Z26" i="8" s="1"/>
  <c r="AA28" i="8"/>
  <c r="G27" i="8"/>
  <c r="AD28" i="8"/>
  <c r="AD26" i="8" s="1"/>
  <c r="X28" i="8"/>
  <c r="X26" i="8" s="1"/>
  <c r="F27" i="8"/>
  <c r="T28" i="8"/>
  <c r="T26" i="8" s="1"/>
  <c r="AC28" i="8"/>
  <c r="AE28" i="8"/>
  <c r="O144" i="12"/>
  <c r="N145" i="12"/>
  <c r="Y620" i="12"/>
  <c r="AO618" i="12"/>
  <c r="E327" i="6"/>
  <c r="D327" i="12"/>
  <c r="W222" i="12"/>
  <c r="D219" i="12"/>
  <c r="E219" i="6"/>
  <c r="T709" i="12"/>
  <c r="V709" i="12"/>
  <c r="U709" i="12"/>
  <c r="J682" i="12"/>
  <c r="C682" i="12"/>
  <c r="L682" i="12"/>
  <c r="Y314" i="12"/>
  <c r="AO306" i="12"/>
  <c r="O16" i="5"/>
  <c r="C16" i="6"/>
  <c r="U535" i="12"/>
  <c r="V535" i="12"/>
  <c r="T535" i="12"/>
  <c r="E621" i="6"/>
  <c r="D621" i="12"/>
  <c r="N575" i="12"/>
  <c r="O574" i="12"/>
  <c r="D494" i="12"/>
  <c r="E494" i="6"/>
  <c r="J597" i="12"/>
  <c r="C597" i="12"/>
  <c r="L597" i="12"/>
  <c r="Y72" i="10"/>
  <c r="Y71" i="10"/>
  <c r="Y70" i="10" s="1"/>
  <c r="U72" i="10"/>
  <c r="U71" i="10"/>
  <c r="U70" i="10" s="1"/>
  <c r="E175" i="6"/>
  <c r="D175" i="12"/>
  <c r="D583" i="12"/>
  <c r="E583" i="6"/>
  <c r="D351" i="12"/>
  <c r="E351" i="6"/>
  <c r="N744" i="12"/>
  <c r="O743" i="12"/>
  <c r="F69" i="8"/>
  <c r="AD70" i="8"/>
  <c r="AD68" i="8" s="1"/>
  <c r="AC70" i="8"/>
  <c r="AC68" i="8" s="1"/>
  <c r="F68" i="8"/>
  <c r="AE70" i="8"/>
  <c r="AE68" i="8" s="1"/>
  <c r="D70" i="8"/>
  <c r="D68" i="8" s="1"/>
  <c r="Z70" i="8"/>
  <c r="Z68" i="8" s="1"/>
  <c r="W70" i="8"/>
  <c r="W68" i="8" s="1"/>
  <c r="X70" i="8"/>
  <c r="X68" i="8" s="1"/>
  <c r="Y70" i="8"/>
  <c r="Y68" i="8" s="1"/>
  <c r="G69" i="8"/>
  <c r="U70" i="8"/>
  <c r="U68" i="8" s="1"/>
  <c r="V70" i="8"/>
  <c r="V68" i="8" s="1"/>
  <c r="T70" i="8"/>
  <c r="T68" i="8" s="1"/>
  <c r="AA70" i="8"/>
  <c r="AA68" i="8" s="1"/>
  <c r="AB70" i="8"/>
  <c r="AB68" i="8" s="1"/>
  <c r="N573" i="12"/>
  <c r="L306" i="12"/>
  <c r="J306" i="12"/>
  <c r="C306" i="12"/>
  <c r="AB597" i="5"/>
  <c r="Y175" i="12"/>
  <c r="D170" i="12"/>
  <c r="E170" i="6"/>
  <c r="N351" i="12"/>
  <c r="O341" i="12"/>
  <c r="O340" i="12"/>
  <c r="C165" i="12"/>
  <c r="L165" i="12"/>
  <c r="J165" i="12"/>
  <c r="C337" i="6"/>
  <c r="O337" i="5"/>
  <c r="O177" i="12"/>
  <c r="N178" i="12"/>
  <c r="N273" i="12"/>
  <c r="O267" i="12"/>
  <c r="O266" i="12"/>
  <c r="M254" i="12"/>
  <c r="Y185" i="12"/>
  <c r="AO184" i="12"/>
  <c r="D77" i="12"/>
  <c r="E77" i="6"/>
  <c r="D138" i="12"/>
  <c r="E138" i="6"/>
  <c r="N331" i="12"/>
  <c r="O729" i="5"/>
  <c r="C729" i="6"/>
  <c r="L488" i="12"/>
  <c r="C488" i="12"/>
  <c r="J488" i="12"/>
  <c r="Y544" i="12"/>
  <c r="AO539" i="12"/>
  <c r="X143" i="12"/>
  <c r="W143" i="12"/>
  <c r="N728" i="12"/>
  <c r="O723" i="12"/>
  <c r="N723" i="12" s="1"/>
  <c r="N125" i="12"/>
  <c r="O124" i="12"/>
  <c r="O123" i="12"/>
  <c r="W448" i="12"/>
  <c r="X448" i="12"/>
  <c r="Y623" i="12"/>
  <c r="C123" i="6"/>
  <c r="O123" i="5"/>
  <c r="D326" i="12"/>
  <c r="E326" i="6"/>
  <c r="I566" i="5"/>
  <c r="O565" i="5"/>
  <c r="N632" i="12"/>
  <c r="O630" i="12"/>
  <c r="N630" i="12" s="1"/>
  <c r="M665" i="12"/>
  <c r="E149" i="6"/>
  <c r="D149" i="12"/>
  <c r="C340" i="12"/>
  <c r="L340" i="12"/>
  <c r="J340" i="12"/>
  <c r="N617" i="12"/>
  <c r="C177" i="6"/>
  <c r="O177" i="5"/>
  <c r="N687" i="12"/>
  <c r="N163" i="12"/>
  <c r="O162" i="12"/>
  <c r="Y202" i="12"/>
  <c r="E635" i="6"/>
  <c r="D635" i="12"/>
  <c r="E126" i="6"/>
  <c r="D126" i="12"/>
  <c r="M71" i="12"/>
  <c r="M59" i="12"/>
  <c r="D176" i="12"/>
  <c r="E176" i="6"/>
  <c r="D490" i="12"/>
  <c r="E490" i="6"/>
  <c r="D737" i="12"/>
  <c r="E737" i="6"/>
  <c r="E590" i="6"/>
  <c r="D590" i="12"/>
  <c r="O718" i="5"/>
  <c r="C718" i="6"/>
  <c r="N402" i="12"/>
  <c r="E150" i="6"/>
  <c r="D150" i="12"/>
  <c r="Y504" i="12"/>
  <c r="E314" i="6"/>
  <c r="D314" i="12"/>
  <c r="D231" i="12"/>
  <c r="E231" i="6"/>
  <c r="Y221" i="12"/>
  <c r="N456" i="12"/>
  <c r="O449" i="12"/>
  <c r="O694" i="5"/>
  <c r="C694" i="6"/>
  <c r="E503" i="6"/>
  <c r="D503" i="12"/>
  <c r="D683" i="12"/>
  <c r="E683" i="6"/>
  <c r="E221" i="6"/>
  <c r="D221" i="12"/>
  <c r="Y151" i="12"/>
  <c r="M618" i="12"/>
  <c r="Y607" i="12"/>
  <c r="AO605" i="12"/>
  <c r="Y605" i="12" s="1"/>
  <c r="I329" i="5"/>
  <c r="O328" i="5"/>
  <c r="N622" i="12"/>
  <c r="D145" i="12"/>
  <c r="E145" i="6"/>
  <c r="N466" i="12"/>
  <c r="Y99" i="12"/>
  <c r="AO95" i="12"/>
  <c r="Y174" i="12"/>
  <c r="D224" i="12"/>
  <c r="E224" i="6"/>
  <c r="M574" i="12"/>
  <c r="E578" i="6"/>
  <c r="D578" i="12"/>
  <c r="I496" i="5"/>
  <c r="O495" i="5"/>
  <c r="W71" i="10"/>
  <c r="W70" i="10" s="1"/>
  <c r="W72" i="10"/>
  <c r="AO100" i="12"/>
  <c r="Y100" i="12" s="1"/>
  <c r="Y101" i="12"/>
  <c r="Y744" i="12"/>
  <c r="AO743" i="12"/>
  <c r="Y743" i="12" s="1"/>
  <c r="N457" i="12"/>
  <c r="AB574" i="5"/>
  <c r="Y573" i="12"/>
  <c r="Y472" i="12"/>
  <c r="O17" i="5"/>
  <c r="C17" i="6"/>
  <c r="Y351" i="12"/>
  <c r="AO341" i="12"/>
  <c r="AO340" i="12"/>
  <c r="D544" i="12"/>
  <c r="E544" i="6"/>
  <c r="N201" i="12"/>
  <c r="J491" i="12"/>
  <c r="L491" i="12"/>
  <c r="C491" i="12"/>
  <c r="AO177" i="12"/>
  <c r="Y178" i="12"/>
  <c r="Y516" i="12"/>
  <c r="L723" i="12"/>
  <c r="J723" i="12"/>
  <c r="C723" i="12"/>
  <c r="Y273" i="12"/>
  <c r="AO267" i="12"/>
  <c r="AO266" i="12"/>
  <c r="Y338" i="12"/>
  <c r="AO337" i="12"/>
  <c r="N676" i="12"/>
  <c r="O24" i="5"/>
  <c r="C184" i="12"/>
  <c r="L184" i="12"/>
  <c r="J184" i="12"/>
  <c r="Y331" i="12"/>
  <c r="E613" i="6"/>
  <c r="D613" i="12"/>
  <c r="F59" i="8"/>
  <c r="Z61" i="8"/>
  <c r="Z59" i="8" s="1"/>
  <c r="T61" i="8"/>
  <c r="T59" i="8" s="1"/>
  <c r="AD61" i="8"/>
  <c r="AD59" i="8" s="1"/>
  <c r="D61" i="8"/>
  <c r="D59" i="8" s="1"/>
  <c r="G60" i="8"/>
  <c r="AA61" i="8"/>
  <c r="AA59" i="8" s="1"/>
  <c r="AC61" i="8"/>
  <c r="AC59" i="8" s="1"/>
  <c r="AE61" i="8"/>
  <c r="AE59" i="8" s="1"/>
  <c r="AB61" i="8"/>
  <c r="AB59" i="8" s="1"/>
  <c r="X61" i="8"/>
  <c r="X59" i="8" s="1"/>
  <c r="F60" i="8"/>
  <c r="V61" i="8"/>
  <c r="V59" i="8" s="1"/>
  <c r="U61" i="8"/>
  <c r="U59" i="8" s="1"/>
  <c r="Y61" i="8"/>
  <c r="Y59" i="8" s="1"/>
  <c r="W61" i="8"/>
  <c r="W59" i="8" s="1"/>
  <c r="Y444" i="12"/>
  <c r="N186" i="12"/>
  <c r="M123" i="12"/>
  <c r="M122" i="12" s="1"/>
  <c r="M16" i="12" s="1"/>
  <c r="M124" i="12"/>
  <c r="Y615" i="12"/>
  <c r="O616" i="5"/>
  <c r="I617" i="5"/>
  <c r="O617" i="5" s="1"/>
  <c r="AB743" i="5"/>
  <c r="D166" i="12"/>
  <c r="E166" i="6"/>
  <c r="N85" i="12"/>
  <c r="O78" i="12"/>
  <c r="N78" i="12" s="1"/>
  <c r="D161" i="12"/>
  <c r="E161" i="6"/>
  <c r="D594" i="12"/>
  <c r="E594" i="6"/>
  <c r="O665" i="12"/>
  <c r="N666" i="12"/>
  <c r="E722" i="6"/>
  <c r="D722" i="12"/>
  <c r="N692" i="12"/>
  <c r="D264" i="12"/>
  <c r="E264" i="6"/>
  <c r="X738" i="12"/>
  <c r="W738" i="12"/>
  <c r="E456" i="6"/>
  <c r="D456" i="12"/>
  <c r="Y159" i="12"/>
  <c r="C100" i="12"/>
  <c r="J100" i="12"/>
  <c r="L100" i="12"/>
  <c r="AO162" i="12"/>
  <c r="Y162" i="12" s="1"/>
  <c r="Y163" i="12"/>
  <c r="N485" i="12"/>
  <c r="O483" i="12"/>
  <c r="N483" i="12" s="1"/>
  <c r="I637" i="5"/>
  <c r="O636" i="5"/>
  <c r="D504" i="12"/>
  <c r="E504" i="6"/>
  <c r="Y77" i="12"/>
  <c r="AO71" i="12"/>
  <c r="AO59" i="12"/>
  <c r="Y59" i="12" s="1"/>
  <c r="X742" i="12" l="1"/>
  <c r="Y433" i="12"/>
  <c r="Y17" i="12"/>
  <c r="W17" i="12" s="1"/>
  <c r="X146" i="12"/>
  <c r="Y213" i="12"/>
  <c r="N206" i="12"/>
  <c r="W471" i="12"/>
  <c r="V471" i="12" s="1"/>
  <c r="W181" i="12"/>
  <c r="T181" i="12" s="1"/>
  <c r="W668" i="12"/>
  <c r="W572" i="12"/>
  <c r="W576" i="12"/>
  <c r="T576" i="12" s="1"/>
  <c r="X579" i="12"/>
  <c r="N341" i="12"/>
  <c r="Y306" i="12"/>
  <c r="N177" i="12"/>
  <c r="Y16" i="12"/>
  <c r="X16" i="12" s="1"/>
  <c r="Y391" i="12"/>
  <c r="X391" i="12" s="1"/>
  <c r="W147" i="12"/>
  <c r="Y95" i="12"/>
  <c r="Y136" i="12"/>
  <c r="X136" i="12" s="1"/>
  <c r="W173" i="12"/>
  <c r="U173" i="12" s="1"/>
  <c r="N488" i="12"/>
  <c r="X176" i="12"/>
  <c r="W412" i="12"/>
  <c r="T412" i="12" s="1"/>
  <c r="W691" i="12"/>
  <c r="T691" i="12" s="1"/>
  <c r="W480" i="12"/>
  <c r="N266" i="12"/>
  <c r="N35" i="12"/>
  <c r="Y539" i="12"/>
  <c r="W257" i="12"/>
  <c r="X603" i="12"/>
  <c r="X367" i="12"/>
  <c r="W205" i="12"/>
  <c r="N337" i="12"/>
  <c r="W186" i="12"/>
  <c r="U186" i="12" s="1"/>
  <c r="X148" i="12"/>
  <c r="W417" i="12"/>
  <c r="T417" i="12" s="1"/>
  <c r="N609" i="12"/>
  <c r="W168" i="12"/>
  <c r="U168" i="12" s="1"/>
  <c r="X158" i="12"/>
  <c r="X263" i="12"/>
  <c r="X737" i="12"/>
  <c r="K633" i="12"/>
  <c r="N593" i="12"/>
  <c r="K630" i="12"/>
  <c r="N449" i="12"/>
  <c r="E602" i="6"/>
  <c r="W596" i="12"/>
  <c r="U596" i="12" s="1"/>
  <c r="W678" i="12"/>
  <c r="T678" i="12" s="1"/>
  <c r="X583" i="12"/>
  <c r="N136" i="12"/>
  <c r="Y71" i="12"/>
  <c r="W71" i="12" s="1"/>
  <c r="Y618" i="12"/>
  <c r="W618" i="12" s="1"/>
  <c r="Y258" i="12"/>
  <c r="W258" i="12" s="1"/>
  <c r="K500" i="12"/>
  <c r="X689" i="12"/>
  <c r="Y35" i="12"/>
  <c r="X35" i="12" s="1"/>
  <c r="W23" i="12"/>
  <c r="Y729" i="12"/>
  <c r="X729" i="12" s="1"/>
  <c r="W138" i="12"/>
  <c r="V138" i="12" s="1"/>
  <c r="Y267" i="12"/>
  <c r="W267" i="12" s="1"/>
  <c r="N491" i="12"/>
  <c r="Y184" i="12"/>
  <c r="W184" i="12" s="1"/>
  <c r="X602" i="12"/>
  <c r="X502" i="12"/>
  <c r="W684" i="12"/>
  <c r="T684" i="12" s="1"/>
  <c r="X26" i="12"/>
  <c r="W408" i="12"/>
  <c r="V408" i="12" s="1"/>
  <c r="X203" i="12"/>
  <c r="N213" i="12"/>
  <c r="K734" i="12"/>
  <c r="Y426" i="12"/>
  <c r="W426" i="12" s="1"/>
  <c r="W622" i="12"/>
  <c r="T622" i="12" s="1"/>
  <c r="K184" i="12"/>
  <c r="W288" i="12"/>
  <c r="V288" i="12" s="1"/>
  <c r="K254" i="12"/>
  <c r="N574" i="12"/>
  <c r="X561" i="12"/>
  <c r="K35" i="12"/>
  <c r="K539" i="12"/>
  <c r="K213" i="12"/>
  <c r="N682" i="12"/>
  <c r="K16" i="12"/>
  <c r="N190" i="12"/>
  <c r="X506" i="12"/>
  <c r="G68" i="8"/>
  <c r="I69" i="8" s="1"/>
  <c r="K597" i="12"/>
  <c r="N144" i="12"/>
  <c r="K131" i="12"/>
  <c r="N191" i="12"/>
  <c r="Y177" i="12"/>
  <c r="X177" i="12" s="1"/>
  <c r="G62" i="8"/>
  <c r="I63" i="8" s="1"/>
  <c r="G53" i="8"/>
  <c r="I54" i="8" s="1"/>
  <c r="K306" i="12"/>
  <c r="N487" i="12"/>
  <c r="K227" i="12"/>
  <c r="G26" i="8"/>
  <c r="I27" i="8" s="1"/>
  <c r="K669" i="12"/>
  <c r="N227" i="12"/>
  <c r="W201" i="12"/>
  <c r="U201" i="12" s="1"/>
  <c r="N340" i="12"/>
  <c r="K618" i="12"/>
  <c r="K337" i="12"/>
  <c r="K608" i="12"/>
  <c r="K729" i="12"/>
  <c r="I692" i="5"/>
  <c r="O691" i="5"/>
  <c r="K593" i="12"/>
  <c r="Y488" i="12"/>
  <c r="W488" i="12" s="1"/>
  <c r="X639" i="12"/>
  <c r="Y340" i="12"/>
  <c r="X340" i="12" s="1"/>
  <c r="W457" i="12"/>
  <c r="T457" i="12" s="1"/>
  <c r="N743" i="12"/>
  <c r="N646" i="12"/>
  <c r="N36" i="12"/>
  <c r="G59" i="8"/>
  <c r="I60" i="8" s="1"/>
  <c r="G86" i="8"/>
  <c r="I87" i="8" s="1"/>
  <c r="W562" i="12"/>
  <c r="T562" i="12" s="1"/>
  <c r="G80" i="8"/>
  <c r="I81" i="8" s="1"/>
  <c r="G32" i="8"/>
  <c r="I33" i="8" s="1"/>
  <c r="G41" i="8"/>
  <c r="I42" i="8" s="1"/>
  <c r="Z16" i="8"/>
  <c r="Z14" i="8" s="1"/>
  <c r="U16" i="8"/>
  <c r="U14" i="8" s="1"/>
  <c r="X16" i="8"/>
  <c r="X14" i="8" s="1"/>
  <c r="K136" i="12"/>
  <c r="X600" i="12"/>
  <c r="G71" i="8"/>
  <c r="I72" i="8" s="1"/>
  <c r="G35" i="8"/>
  <c r="I36" i="8" s="1"/>
  <c r="I509" i="5"/>
  <c r="O508" i="5"/>
  <c r="Y206" i="12"/>
  <c r="W206" i="12" s="1"/>
  <c r="AB16" i="8"/>
  <c r="AB14" i="8" s="1"/>
  <c r="N552" i="12"/>
  <c r="Y740" i="12"/>
  <c r="W740" i="12" s="1"/>
  <c r="Y165" i="12"/>
  <c r="X165" i="12" s="1"/>
  <c r="D507" i="12"/>
  <c r="E507" i="6"/>
  <c r="K682" i="12"/>
  <c r="N17" i="12"/>
  <c r="G56" i="8"/>
  <c r="I57" i="8" s="1"/>
  <c r="AA16" i="8"/>
  <c r="AA14" i="8" s="1"/>
  <c r="K665" i="12"/>
  <c r="K240" i="12"/>
  <c r="W280" i="12"/>
  <c r="U280" i="12" s="1"/>
  <c r="N708" i="12"/>
  <c r="AC16" i="8"/>
  <c r="AC14" i="8" s="1"/>
  <c r="W153" i="12"/>
  <c r="T153" i="12" s="1"/>
  <c r="G50" i="8"/>
  <c r="I51" i="8" s="1"/>
  <c r="N718" i="12"/>
  <c r="N162" i="12"/>
  <c r="N124" i="12"/>
  <c r="Y254" i="12"/>
  <c r="W254" i="12" s="1"/>
  <c r="W164" i="12"/>
  <c r="U164" i="12" s="1"/>
  <c r="G23" i="8"/>
  <c r="I24" i="8" s="1"/>
  <c r="G83" i="8"/>
  <c r="I84" i="8" s="1"/>
  <c r="Y708" i="12"/>
  <c r="X708" i="12" s="1"/>
  <c r="K646" i="12"/>
  <c r="G38" i="8"/>
  <c r="I39" i="8" s="1"/>
  <c r="X410" i="12"/>
  <c r="N597" i="12"/>
  <c r="G47" i="8"/>
  <c r="I48" i="8" s="1"/>
  <c r="E603" i="6"/>
  <c r="N633" i="12"/>
  <c r="Y337" i="12"/>
  <c r="W337" i="12" s="1"/>
  <c r="AE16" i="8"/>
  <c r="AE14" i="8" s="1"/>
  <c r="G77" i="8"/>
  <c r="I78" i="8" s="1"/>
  <c r="K177" i="12"/>
  <c r="K694" i="12"/>
  <c r="W16" i="8"/>
  <c r="W14" i="8" s="1"/>
  <c r="Y646" i="12"/>
  <c r="X646" i="12" s="1"/>
  <c r="K433" i="12"/>
  <c r="G65" i="8"/>
  <c r="I66" i="8" s="1"/>
  <c r="K449" i="12"/>
  <c r="N16" i="12"/>
  <c r="AL14" i="13"/>
  <c r="M14" i="13" s="1"/>
  <c r="M28" i="13" s="1"/>
  <c r="I638" i="5"/>
  <c r="O637" i="5"/>
  <c r="X178" i="12"/>
  <c r="W178" i="12"/>
  <c r="E17" i="6"/>
  <c r="H17" i="8"/>
  <c r="D17" i="12"/>
  <c r="I497" i="5"/>
  <c r="O496" i="5"/>
  <c r="W504" i="12"/>
  <c r="X504" i="12"/>
  <c r="E729" i="6"/>
  <c r="D729" i="12"/>
  <c r="W175" i="12"/>
  <c r="X175" i="12"/>
  <c r="W620" i="12"/>
  <c r="X620" i="12"/>
  <c r="D341" i="12"/>
  <c r="E341" i="6"/>
  <c r="D488" i="12"/>
  <c r="E488" i="6"/>
  <c r="E267" i="6"/>
  <c r="D267" i="12"/>
  <c r="W598" i="12"/>
  <c r="X598" i="12"/>
  <c r="D615" i="12"/>
  <c r="E615" i="6"/>
  <c r="Y630" i="12"/>
  <c r="T16" i="8"/>
  <c r="N500" i="12"/>
  <c r="Y36" i="12"/>
  <c r="I444" i="5"/>
  <c r="O443" i="5"/>
  <c r="X501" i="12"/>
  <c r="W501" i="12"/>
  <c r="W24" i="12"/>
  <c r="X24" i="12"/>
  <c r="V640" i="12"/>
  <c r="T640" i="12"/>
  <c r="U640" i="12"/>
  <c r="K124" i="12"/>
  <c r="D131" i="12"/>
  <c r="E131" i="6"/>
  <c r="U26" i="12"/>
  <c r="T26" i="12"/>
  <c r="V26" i="12"/>
  <c r="X397" i="12"/>
  <c r="W397" i="12"/>
  <c r="W642" i="12"/>
  <c r="X642" i="12"/>
  <c r="D144" i="12"/>
  <c r="E144" i="6"/>
  <c r="D633" i="12"/>
  <c r="E633" i="6"/>
  <c r="K426" i="12"/>
  <c r="Y449" i="12"/>
  <c r="U367" i="12"/>
  <c r="V367" i="12"/>
  <c r="T367" i="12"/>
  <c r="Y124" i="12"/>
  <c r="U667" i="12"/>
  <c r="T667" i="12"/>
  <c r="V667" i="12"/>
  <c r="K78" i="12"/>
  <c r="X444" i="12"/>
  <c r="W444" i="12"/>
  <c r="E24" i="6"/>
  <c r="D24" i="12"/>
  <c r="W472" i="12"/>
  <c r="X472" i="12"/>
  <c r="D483" i="12"/>
  <c r="E483" i="6"/>
  <c r="W21" i="12"/>
  <c r="X21" i="12"/>
  <c r="W391" i="12"/>
  <c r="E353" i="6"/>
  <c r="D353" i="12"/>
  <c r="N184" i="12"/>
  <c r="D630" i="12"/>
  <c r="E630" i="6"/>
  <c r="X489" i="12"/>
  <c r="W489" i="12"/>
  <c r="W632" i="12"/>
  <c r="X632" i="12"/>
  <c r="U736" i="12"/>
  <c r="T736" i="12"/>
  <c r="V736" i="12"/>
  <c r="Y16" i="8"/>
  <c r="Y14" i="8" s="1"/>
  <c r="V691" i="12"/>
  <c r="D593" i="12"/>
  <c r="E593" i="6"/>
  <c r="T596" i="12"/>
  <c r="D442" i="12"/>
  <c r="E442" i="6"/>
  <c r="E240" i="6"/>
  <c r="D240" i="12"/>
  <c r="H47" i="8"/>
  <c r="X465" i="12"/>
  <c r="W465" i="12"/>
  <c r="U129" i="12"/>
  <c r="T129" i="12"/>
  <c r="V129" i="12"/>
  <c r="T572" i="12"/>
  <c r="V572" i="12"/>
  <c r="U572" i="12"/>
  <c r="X248" i="12"/>
  <c r="W248" i="12"/>
  <c r="V152" i="12"/>
  <c r="T152" i="12"/>
  <c r="U152" i="12"/>
  <c r="X156" i="12"/>
  <c r="W156" i="12"/>
  <c r="T173" i="12"/>
  <c r="AN14" i="13"/>
  <c r="U14" i="13" s="1"/>
  <c r="AD4" i="13" s="1"/>
  <c r="AO14" i="13"/>
  <c r="O14" i="13" s="1"/>
  <c r="U602" i="12"/>
  <c r="V602" i="12"/>
  <c r="T602" i="12"/>
  <c r="W456" i="12"/>
  <c r="X456" i="12"/>
  <c r="N59" i="12"/>
  <c r="W250" i="12"/>
  <c r="X250" i="12"/>
  <c r="W169" i="12"/>
  <c r="X169" i="12"/>
  <c r="X139" i="12"/>
  <c r="W139" i="12"/>
  <c r="X573" i="12"/>
  <c r="W573" i="12"/>
  <c r="T410" i="12"/>
  <c r="U410" i="12"/>
  <c r="V410" i="12"/>
  <c r="E565" i="6"/>
  <c r="D565" i="12"/>
  <c r="E337" i="6"/>
  <c r="D337" i="12"/>
  <c r="X141" i="12"/>
  <c r="W141" i="12"/>
  <c r="E227" i="6"/>
  <c r="D227" i="12"/>
  <c r="X255" i="12"/>
  <c r="W255" i="12"/>
  <c r="W581" i="12"/>
  <c r="X581" i="12"/>
  <c r="W396" i="12"/>
  <c r="X396" i="12"/>
  <c r="V617" i="12"/>
  <c r="T617" i="12"/>
  <c r="U617" i="12"/>
  <c r="Y78" i="12"/>
  <c r="W213" i="12"/>
  <c r="X213" i="12"/>
  <c r="Y487" i="12"/>
  <c r="X332" i="12"/>
  <c r="W332" i="12"/>
  <c r="X741" i="12"/>
  <c r="W741" i="12"/>
  <c r="E652" i="6"/>
  <c r="D652" i="12"/>
  <c r="N734" i="12"/>
  <c r="X167" i="12"/>
  <c r="W167" i="12"/>
  <c r="D190" i="12"/>
  <c r="E190" i="6"/>
  <c r="H41" i="8"/>
  <c r="Y593" i="12"/>
  <c r="E206" i="6"/>
  <c r="D206" i="12"/>
  <c r="H44" i="8"/>
  <c r="U692" i="12"/>
  <c r="T692" i="12"/>
  <c r="V692" i="12"/>
  <c r="Y633" i="12"/>
  <c r="K391" i="12"/>
  <c r="Y694" i="12"/>
  <c r="D254" i="12"/>
  <c r="E254" i="6"/>
  <c r="E71" i="6"/>
  <c r="D71" i="12"/>
  <c r="K317" i="12"/>
  <c r="K144" i="12"/>
  <c r="U421" i="12"/>
  <c r="V421" i="12"/>
  <c r="T421" i="12"/>
  <c r="N71" i="12"/>
  <c r="X563" i="12"/>
  <c r="W563" i="12"/>
  <c r="Y723" i="12"/>
  <c r="V579" i="12"/>
  <c r="U579" i="12"/>
  <c r="T579" i="12"/>
  <c r="Y609" i="12"/>
  <c r="X163" i="12"/>
  <c r="W163" i="12"/>
  <c r="K491" i="12"/>
  <c r="D328" i="12"/>
  <c r="E328" i="6"/>
  <c r="H35" i="8"/>
  <c r="E177" i="6"/>
  <c r="D177" i="12"/>
  <c r="I567" i="5"/>
  <c r="O566" i="5"/>
  <c r="V568" i="12"/>
  <c r="T568" i="12"/>
  <c r="U568" i="12"/>
  <c r="X466" i="12"/>
  <c r="W466" i="12"/>
  <c r="X260" i="12"/>
  <c r="W260" i="12"/>
  <c r="X85" i="12"/>
  <c r="W85" i="12"/>
  <c r="E723" i="6"/>
  <c r="D723" i="12"/>
  <c r="W685" i="12"/>
  <c r="X685" i="12"/>
  <c r="W219" i="12"/>
  <c r="X219" i="12"/>
  <c r="T249" i="12"/>
  <c r="U249" i="12"/>
  <c r="V249" i="12"/>
  <c r="U170" i="12"/>
  <c r="T170" i="12"/>
  <c r="V170" i="12"/>
  <c r="D213" i="12"/>
  <c r="E213" i="6"/>
  <c r="AD16" i="8"/>
  <c r="AD14" i="8" s="1"/>
  <c r="V261" i="12"/>
  <c r="U261" i="12"/>
  <c r="T261" i="12"/>
  <c r="E651" i="6"/>
  <c r="D651" i="12"/>
  <c r="D162" i="12"/>
  <c r="E162" i="6"/>
  <c r="D708" i="12"/>
  <c r="E708" i="6"/>
  <c r="T577" i="12"/>
  <c r="U577" i="12"/>
  <c r="V577" i="12"/>
  <c r="W594" i="12"/>
  <c r="X594" i="12"/>
  <c r="U127" i="12"/>
  <c r="V127" i="12"/>
  <c r="T127" i="12"/>
  <c r="D500" i="12"/>
  <c r="E500" i="6"/>
  <c r="D241" i="12"/>
  <c r="E241" i="6"/>
  <c r="W262" i="12"/>
  <c r="X262" i="12"/>
  <c r="X413" i="12"/>
  <c r="W413" i="12"/>
  <c r="T186" i="12"/>
  <c r="U147" i="12"/>
  <c r="V147" i="12"/>
  <c r="T147" i="12"/>
  <c r="W634" i="12"/>
  <c r="X634" i="12"/>
  <c r="X149" i="12"/>
  <c r="W149" i="12"/>
  <c r="X220" i="12"/>
  <c r="W220" i="12"/>
  <c r="Y574" i="12"/>
  <c r="E491" i="6"/>
  <c r="D491" i="12"/>
  <c r="K584" i="12"/>
  <c r="Y317" i="12"/>
  <c r="W728" i="12"/>
  <c r="X728" i="12"/>
  <c r="X610" i="12"/>
  <c r="W610" i="12"/>
  <c r="Y241" i="12"/>
  <c r="W162" i="12"/>
  <c r="X162" i="12"/>
  <c r="X338" i="12"/>
  <c r="W338" i="12"/>
  <c r="I330" i="5"/>
  <c r="O329" i="5"/>
  <c r="H86" i="8"/>
  <c r="E694" i="6"/>
  <c r="D694" i="12"/>
  <c r="V143" i="12"/>
  <c r="T143" i="12"/>
  <c r="U143" i="12"/>
  <c r="H14" i="8"/>
  <c r="E16" i="6"/>
  <c r="D16" i="12"/>
  <c r="K574" i="12"/>
  <c r="D546" i="12"/>
  <c r="E546" i="6"/>
  <c r="X499" i="12"/>
  <c r="W499" i="12"/>
  <c r="T146" i="12"/>
  <c r="U146" i="12"/>
  <c r="V146" i="12"/>
  <c r="X172" i="12"/>
  <c r="W172" i="12"/>
  <c r="E618" i="6"/>
  <c r="D618" i="12"/>
  <c r="D597" i="12"/>
  <c r="E597" i="6"/>
  <c r="E682" i="6"/>
  <c r="H83" i="8"/>
  <c r="D682" i="12"/>
  <c r="K267" i="12"/>
  <c r="D16" i="8"/>
  <c r="Y584" i="12"/>
  <c r="E103" i="6"/>
  <c r="D103" i="12"/>
  <c r="V603" i="12"/>
  <c r="U603" i="12"/>
  <c r="T603" i="12"/>
  <c r="D191" i="12"/>
  <c r="E191" i="6"/>
  <c r="Y718" i="12"/>
  <c r="X613" i="12"/>
  <c r="W613" i="12"/>
  <c r="X38" i="12"/>
  <c r="W38" i="12"/>
  <c r="X575" i="12"/>
  <c r="W575" i="12"/>
  <c r="E626" i="6"/>
  <c r="D626" i="12"/>
  <c r="E258" i="6"/>
  <c r="D258" i="12"/>
  <c r="W473" i="12"/>
  <c r="X473" i="12"/>
  <c r="Y318" i="12"/>
  <c r="V676" i="12"/>
  <c r="U676" i="12"/>
  <c r="T676" i="12"/>
  <c r="Y608" i="12"/>
  <c r="Y240" i="12"/>
  <c r="K71" i="12"/>
  <c r="K100" i="12"/>
  <c r="Y266" i="12"/>
  <c r="W743" i="12"/>
  <c r="X743" i="12"/>
  <c r="W605" i="12"/>
  <c r="X605" i="12"/>
  <c r="K165" i="12"/>
  <c r="U222" i="12"/>
  <c r="V222" i="12"/>
  <c r="T222" i="12"/>
  <c r="W433" i="12"/>
  <c r="X433" i="12"/>
  <c r="E275" i="6"/>
  <c r="D275" i="12"/>
  <c r="K123" i="12"/>
  <c r="I548" i="5"/>
  <c r="O547" i="5"/>
  <c r="D609" i="12"/>
  <c r="E609" i="6"/>
  <c r="K487" i="12"/>
  <c r="Y491" i="12"/>
  <c r="N391" i="12"/>
  <c r="Y227" i="12"/>
  <c r="E354" i="6"/>
  <c r="D354" i="12"/>
  <c r="U417" i="12"/>
  <c r="W589" i="12"/>
  <c r="X589" i="12"/>
  <c r="X446" i="12"/>
  <c r="W446" i="12"/>
  <c r="D433" i="12"/>
  <c r="E433" i="6"/>
  <c r="X682" i="12"/>
  <c r="W682" i="12"/>
  <c r="D104" i="12"/>
  <c r="E104" i="6"/>
  <c r="Y626" i="12"/>
  <c r="D184" i="12"/>
  <c r="H38" i="8"/>
  <c r="E184" i="6"/>
  <c r="K626" i="12"/>
  <c r="X157" i="12"/>
  <c r="W157" i="12"/>
  <c r="X722" i="12"/>
  <c r="W722" i="12"/>
  <c r="E399" i="6"/>
  <c r="D399" i="12"/>
  <c r="E487" i="6"/>
  <c r="H65" i="8"/>
  <c r="D487" i="12"/>
  <c r="E591" i="6"/>
  <c r="D591" i="12"/>
  <c r="K743" i="12"/>
  <c r="X326" i="12"/>
  <c r="W326" i="12"/>
  <c r="W316" i="12"/>
  <c r="X316" i="12"/>
  <c r="H59" i="8"/>
  <c r="D391" i="12"/>
  <c r="E391" i="6"/>
  <c r="T246" i="12"/>
  <c r="V246" i="12"/>
  <c r="U246" i="12"/>
  <c r="K605" i="12"/>
  <c r="X128" i="12"/>
  <c r="W128" i="12"/>
  <c r="X244" i="12"/>
  <c r="W244" i="12"/>
  <c r="N433" i="12"/>
  <c r="W59" i="12"/>
  <c r="X59" i="12"/>
  <c r="T737" i="12"/>
  <c r="V737" i="12"/>
  <c r="U737" i="12"/>
  <c r="X744" i="12"/>
  <c r="W744" i="12"/>
  <c r="X174" i="12"/>
  <c r="W174" i="12"/>
  <c r="W607" i="12"/>
  <c r="X607" i="12"/>
  <c r="E123" i="6"/>
  <c r="H32" i="8"/>
  <c r="D123" i="12"/>
  <c r="X539" i="12"/>
  <c r="W539" i="12"/>
  <c r="X184" i="12"/>
  <c r="V689" i="12"/>
  <c r="U689" i="12"/>
  <c r="T689" i="12"/>
  <c r="X440" i="12"/>
  <c r="W440" i="12"/>
  <c r="I277" i="5"/>
  <c r="O276" i="5"/>
  <c r="X463" i="12"/>
  <c r="W463" i="12"/>
  <c r="X643" i="12"/>
  <c r="W643" i="12"/>
  <c r="X493" i="12"/>
  <c r="W493" i="12"/>
  <c r="H68" i="8"/>
  <c r="D608" i="12"/>
  <c r="E608" i="6"/>
  <c r="X492" i="12"/>
  <c r="W492" i="12"/>
  <c r="X229" i="12"/>
  <c r="W229" i="12"/>
  <c r="I356" i="5"/>
  <c r="O355" i="5"/>
  <c r="E315" i="6"/>
  <c r="D315" i="12"/>
  <c r="X683" i="12"/>
  <c r="W683" i="12"/>
  <c r="X614" i="12"/>
  <c r="W614" i="12"/>
  <c r="H53" i="8"/>
  <c r="E317" i="6"/>
  <c r="D317" i="12"/>
  <c r="K315" i="12"/>
  <c r="U171" i="12"/>
  <c r="V171" i="12"/>
  <c r="T171" i="12"/>
  <c r="W160" i="12"/>
  <c r="X160" i="12"/>
  <c r="D552" i="12"/>
  <c r="E552" i="6"/>
  <c r="V205" i="12"/>
  <c r="U205" i="12"/>
  <c r="T205" i="12"/>
  <c r="E449" i="6"/>
  <c r="D449" i="12"/>
  <c r="X627" i="12"/>
  <c r="W627" i="12"/>
  <c r="U247" i="12"/>
  <c r="T247" i="12"/>
  <c r="V247" i="12"/>
  <c r="K36" i="12"/>
  <c r="I401" i="5"/>
  <c r="O400" i="5"/>
  <c r="K708" i="12"/>
  <c r="E592" i="6"/>
  <c r="D592" i="12"/>
  <c r="V412" i="12"/>
  <c r="T508" i="12"/>
  <c r="V508" i="12"/>
  <c r="U508" i="12"/>
  <c r="D95" i="12"/>
  <c r="E95" i="6"/>
  <c r="X470" i="12"/>
  <c r="W470" i="12"/>
  <c r="D574" i="12"/>
  <c r="E574" i="6"/>
  <c r="Y315" i="12"/>
  <c r="W265" i="12"/>
  <c r="X265" i="12"/>
  <c r="N426" i="12"/>
  <c r="N665" i="12"/>
  <c r="E617" i="6"/>
  <c r="D617" i="12"/>
  <c r="W273" i="12"/>
  <c r="X273" i="12"/>
  <c r="W101" i="12"/>
  <c r="X101" i="12"/>
  <c r="W95" i="12"/>
  <c r="X95" i="12"/>
  <c r="W221" i="12"/>
  <c r="X221" i="12"/>
  <c r="K340" i="12"/>
  <c r="X544" i="12"/>
  <c r="W544" i="12"/>
  <c r="X185" i="12"/>
  <c r="W185" i="12"/>
  <c r="V257" i="12"/>
  <c r="T257" i="12"/>
  <c r="U257" i="12"/>
  <c r="X306" i="12"/>
  <c r="W306" i="12"/>
  <c r="E100" i="6"/>
  <c r="D100" i="12"/>
  <c r="Y483" i="12"/>
  <c r="D605" i="12"/>
  <c r="E605" i="6"/>
  <c r="D59" i="12"/>
  <c r="H26" i="8"/>
  <c r="E59" i="6"/>
  <c r="N254" i="12"/>
  <c r="X130" i="12"/>
  <c r="W130" i="12"/>
  <c r="U264" i="12"/>
  <c r="V264" i="12"/>
  <c r="T264" i="12"/>
  <c r="V513" i="12"/>
  <c r="T513" i="12"/>
  <c r="U513" i="12"/>
  <c r="W578" i="12"/>
  <c r="X578" i="12"/>
  <c r="V164" i="12"/>
  <c r="T416" i="12"/>
  <c r="U416" i="12"/>
  <c r="V416" i="12"/>
  <c r="U580" i="12"/>
  <c r="V580" i="12"/>
  <c r="T580" i="12"/>
  <c r="V187" i="12"/>
  <c r="U187" i="12"/>
  <c r="T187" i="12"/>
  <c r="AA7" i="11"/>
  <c r="O25" i="11"/>
  <c r="K552" i="12"/>
  <c r="W490" i="12"/>
  <c r="X490" i="12"/>
  <c r="T408" i="12"/>
  <c r="W150" i="12"/>
  <c r="X150" i="12"/>
  <c r="W512" i="12"/>
  <c r="X512" i="12"/>
  <c r="Y190" i="12"/>
  <c r="V245" i="12"/>
  <c r="U245" i="12"/>
  <c r="T245" i="12"/>
  <c r="V576" i="12"/>
  <c r="U576" i="12"/>
  <c r="X339" i="12"/>
  <c r="W339" i="12"/>
  <c r="X424" i="12"/>
  <c r="W424" i="12"/>
  <c r="X611" i="12"/>
  <c r="W611" i="12"/>
  <c r="N317" i="12"/>
  <c r="X234" i="12"/>
  <c r="W234" i="12"/>
  <c r="H62" i="8"/>
  <c r="E426" i="6"/>
  <c r="D426" i="12"/>
  <c r="X482" i="12"/>
  <c r="W482" i="12"/>
  <c r="E584" i="6"/>
  <c r="D584" i="12"/>
  <c r="W77" i="12"/>
  <c r="X77" i="12"/>
  <c r="X159" i="12"/>
  <c r="W159" i="12"/>
  <c r="D616" i="12"/>
  <c r="E616" i="6"/>
  <c r="W100" i="12"/>
  <c r="X100" i="12"/>
  <c r="W99" i="12"/>
  <c r="X99" i="12"/>
  <c r="W151" i="12"/>
  <c r="X151" i="12"/>
  <c r="D718" i="12"/>
  <c r="E718" i="6"/>
  <c r="W623" i="12"/>
  <c r="X623" i="12"/>
  <c r="U23" i="12"/>
  <c r="T23" i="12"/>
  <c r="V23" i="12"/>
  <c r="W314" i="12"/>
  <c r="X314" i="12"/>
  <c r="T158" i="12"/>
  <c r="U158" i="12"/>
  <c r="V158" i="12"/>
  <c r="W485" i="12"/>
  <c r="X485" i="12"/>
  <c r="X232" i="12"/>
  <c r="W232" i="12"/>
  <c r="K17" i="12"/>
  <c r="I182" i="5"/>
  <c r="O181" i="5"/>
  <c r="X366" i="12"/>
  <c r="W366" i="12"/>
  <c r="W259" i="12"/>
  <c r="X259" i="12"/>
  <c r="D539" i="12"/>
  <c r="E539" i="6"/>
  <c r="V16" i="8"/>
  <c r="V14" i="8" s="1"/>
  <c r="T502" i="12"/>
  <c r="U502" i="12"/>
  <c r="V502" i="12"/>
  <c r="D665" i="12"/>
  <c r="H77" i="8"/>
  <c r="E665" i="6"/>
  <c r="N14" i="11"/>
  <c r="N24" i="11" s="1"/>
  <c r="AB24" i="11"/>
  <c r="AB7" i="11" s="1"/>
  <c r="T230" i="12"/>
  <c r="U230" i="12"/>
  <c r="V230" i="12"/>
  <c r="Y669" i="12"/>
  <c r="W476" i="12"/>
  <c r="X476" i="12"/>
  <c r="D669" i="12"/>
  <c r="H80" i="8"/>
  <c r="E669" i="6"/>
  <c r="Y191" i="12"/>
  <c r="K318" i="12"/>
  <c r="X467" i="12"/>
  <c r="W467" i="12"/>
  <c r="K718" i="12"/>
  <c r="N318" i="12"/>
  <c r="E36" i="6"/>
  <c r="D36" i="12"/>
  <c r="T629" i="12"/>
  <c r="V629" i="12"/>
  <c r="U629" i="12"/>
  <c r="V188" i="12"/>
  <c r="U188" i="12"/>
  <c r="T188" i="12"/>
  <c r="D225" i="12"/>
  <c r="E225" i="6"/>
  <c r="K483" i="12"/>
  <c r="W615" i="12"/>
  <c r="X615" i="12"/>
  <c r="X331" i="12"/>
  <c r="W331" i="12"/>
  <c r="Y341" i="12"/>
  <c r="I461" i="5"/>
  <c r="O460" i="5"/>
  <c r="K95" i="12"/>
  <c r="X445" i="12"/>
  <c r="W445" i="12"/>
  <c r="E180" i="6"/>
  <c r="D180" i="12"/>
  <c r="X25" i="12"/>
  <c r="W25" i="12"/>
  <c r="X258" i="12"/>
  <c r="V687" i="12"/>
  <c r="U687" i="12"/>
  <c r="T687" i="12"/>
  <c r="H56" i="8"/>
  <c r="E340" i="6"/>
  <c r="D340" i="12"/>
  <c r="X621" i="12"/>
  <c r="W621" i="12"/>
  <c r="X231" i="12"/>
  <c r="W231" i="12"/>
  <c r="W126" i="12"/>
  <c r="X126" i="12"/>
  <c r="K740" i="12"/>
  <c r="K341" i="12"/>
  <c r="T742" i="12"/>
  <c r="V742" i="12"/>
  <c r="U742" i="12"/>
  <c r="X145" i="12"/>
  <c r="W145" i="12"/>
  <c r="N669" i="12"/>
  <c r="W510" i="12"/>
  <c r="X510" i="12"/>
  <c r="W729" i="12"/>
  <c r="K266" i="12"/>
  <c r="T471" i="12"/>
  <c r="K191" i="12"/>
  <c r="X154" i="12"/>
  <c r="W154" i="12"/>
  <c r="E318" i="6"/>
  <c r="D318" i="12"/>
  <c r="D14" i="13"/>
  <c r="L28" i="13"/>
  <c r="V14" i="13"/>
  <c r="X672" i="12"/>
  <c r="W672" i="12"/>
  <c r="W735" i="12"/>
  <c r="X735" i="12"/>
  <c r="V745" i="12"/>
  <c r="T745" i="12"/>
  <c r="U745" i="12"/>
  <c r="U668" i="12"/>
  <c r="T668" i="12"/>
  <c r="V668" i="12"/>
  <c r="E740" i="6"/>
  <c r="D740" i="12"/>
  <c r="X198" i="12"/>
  <c r="W198" i="12"/>
  <c r="W166" i="12"/>
  <c r="X166" i="12"/>
  <c r="U639" i="12"/>
  <c r="V639" i="12"/>
  <c r="T639" i="12"/>
  <c r="K162" i="12"/>
  <c r="U480" i="12"/>
  <c r="V480" i="12"/>
  <c r="T480" i="12"/>
  <c r="W140" i="12"/>
  <c r="X140" i="12"/>
  <c r="N165" i="12"/>
  <c r="X686" i="12"/>
  <c r="W686" i="12"/>
  <c r="E646" i="6"/>
  <c r="H71" i="8"/>
  <c r="D646" i="12"/>
  <c r="X137" i="12"/>
  <c r="W137" i="12"/>
  <c r="V263" i="12"/>
  <c r="T263" i="12"/>
  <c r="U263" i="12"/>
  <c r="N240" i="12"/>
  <c r="X443" i="12"/>
  <c r="W443" i="12"/>
  <c r="E226" i="6"/>
  <c r="D226" i="12"/>
  <c r="K723" i="12"/>
  <c r="W351" i="12"/>
  <c r="X351" i="12"/>
  <c r="V448" i="12"/>
  <c r="U448" i="12"/>
  <c r="T448" i="12"/>
  <c r="K488" i="12"/>
  <c r="N267" i="12"/>
  <c r="T148" i="12"/>
  <c r="U148" i="12"/>
  <c r="V148" i="12"/>
  <c r="U583" i="12"/>
  <c r="V583" i="12"/>
  <c r="T583" i="12"/>
  <c r="U561" i="12"/>
  <c r="T561" i="12"/>
  <c r="V561" i="12"/>
  <c r="D459" i="12"/>
  <c r="E459" i="6"/>
  <c r="X460" i="12"/>
  <c r="W460" i="12"/>
  <c r="E306" i="6"/>
  <c r="D306" i="12"/>
  <c r="X641" i="12"/>
  <c r="W641" i="12"/>
  <c r="X256" i="12"/>
  <c r="W256" i="12"/>
  <c r="E266" i="6"/>
  <c r="H50" i="8"/>
  <c r="D266" i="12"/>
  <c r="K241" i="12"/>
  <c r="X199" i="12"/>
  <c r="W199" i="12"/>
  <c r="W200" i="12"/>
  <c r="X200" i="12"/>
  <c r="W353" i="12"/>
  <c r="X353" i="12"/>
  <c r="K609" i="12"/>
  <c r="Y144" i="12"/>
  <c r="U425" i="12"/>
  <c r="V425" i="12"/>
  <c r="T425" i="12"/>
  <c r="X730" i="12"/>
  <c r="W730" i="12"/>
  <c r="X161" i="12"/>
  <c r="W161" i="12"/>
  <c r="Y734" i="12"/>
  <c r="Y131" i="12"/>
  <c r="X599" i="12"/>
  <c r="W599" i="12"/>
  <c r="U582" i="12"/>
  <c r="T582" i="12"/>
  <c r="V582" i="12"/>
  <c r="Y552" i="12"/>
  <c r="V600" i="12"/>
  <c r="T600" i="12"/>
  <c r="U600" i="12"/>
  <c r="E674" i="6"/>
  <c r="D674" i="12"/>
  <c r="E734" i="6"/>
  <c r="D734" i="12"/>
  <c r="X511" i="12"/>
  <c r="W511" i="12"/>
  <c r="X746" i="12"/>
  <c r="W746" i="12"/>
  <c r="E124" i="6"/>
  <c r="D124" i="12"/>
  <c r="H23" i="8"/>
  <c r="E35" i="6"/>
  <c r="D35" i="12"/>
  <c r="N241" i="12"/>
  <c r="V223" i="12"/>
  <c r="U223" i="12"/>
  <c r="T223" i="12"/>
  <c r="K258" i="12"/>
  <c r="W666" i="12"/>
  <c r="X666" i="12"/>
  <c r="X125" i="12"/>
  <c r="W125" i="12"/>
  <c r="D743" i="12"/>
  <c r="E743" i="6"/>
  <c r="D636" i="12"/>
  <c r="E636" i="6"/>
  <c r="U738" i="12"/>
  <c r="V738" i="12"/>
  <c r="T738" i="12"/>
  <c r="N122" i="12"/>
  <c r="M105" i="12"/>
  <c r="N105" i="12" s="1"/>
  <c r="M119" i="12"/>
  <c r="N119" i="12" s="1"/>
  <c r="W516" i="12"/>
  <c r="X516" i="12"/>
  <c r="D495" i="12"/>
  <c r="E495" i="6"/>
  <c r="W202" i="12"/>
  <c r="X202" i="12"/>
  <c r="N123" i="12"/>
  <c r="V652" i="12"/>
  <c r="T652" i="12"/>
  <c r="U652" i="12"/>
  <c r="E78" i="6"/>
  <c r="D78" i="12"/>
  <c r="V203" i="12"/>
  <c r="U203" i="12"/>
  <c r="T203" i="12"/>
  <c r="Y597" i="12"/>
  <c r="U155" i="12"/>
  <c r="V155" i="12"/>
  <c r="T155" i="12"/>
  <c r="D165" i="12"/>
  <c r="E165" i="6"/>
  <c r="K190" i="12"/>
  <c r="X649" i="12"/>
  <c r="W649" i="12"/>
  <c r="W37" i="12"/>
  <c r="X37" i="12"/>
  <c r="Y500" i="12"/>
  <c r="K59" i="12"/>
  <c r="D136" i="12"/>
  <c r="E136" i="6"/>
  <c r="V503" i="12"/>
  <c r="U503" i="12"/>
  <c r="T503" i="12"/>
  <c r="T506" i="12"/>
  <c r="U506" i="12"/>
  <c r="V506" i="12"/>
  <c r="W134" i="12"/>
  <c r="X134" i="12"/>
  <c r="W422" i="12"/>
  <c r="X422" i="12"/>
  <c r="W560" i="12"/>
  <c r="X560" i="12"/>
  <c r="V176" i="12"/>
  <c r="T176" i="12"/>
  <c r="U176" i="12"/>
  <c r="O675" i="5"/>
  <c r="I676" i="5"/>
  <c r="X142" i="12"/>
  <c r="W142" i="12"/>
  <c r="K206" i="12"/>
  <c r="N258" i="12"/>
  <c r="Y665" i="12"/>
  <c r="Y123" i="12"/>
  <c r="X517" i="12"/>
  <c r="W517" i="12"/>
  <c r="N618" i="12"/>
  <c r="V402" i="12"/>
  <c r="T402" i="12"/>
  <c r="U402" i="12"/>
  <c r="V181" i="12" l="1"/>
  <c r="X17" i="12"/>
  <c r="W136" i="12"/>
  <c r="V136" i="12" s="1"/>
  <c r="U138" i="12"/>
  <c r="U471" i="12"/>
  <c r="U412" i="12"/>
  <c r="T168" i="12"/>
  <c r="W708" i="12"/>
  <c r="V186" i="12"/>
  <c r="V596" i="12"/>
  <c r="U457" i="12"/>
  <c r="W16" i="12"/>
  <c r="U181" i="12"/>
  <c r="T138" i="12"/>
  <c r="U408" i="12"/>
  <c r="V457" i="12"/>
  <c r="T288" i="12"/>
  <c r="X254" i="12"/>
  <c r="X337" i="12"/>
  <c r="V173" i="12"/>
  <c r="U678" i="12"/>
  <c r="W35" i="12"/>
  <c r="T35" i="12" s="1"/>
  <c r="U691" i="12"/>
  <c r="X71" i="12"/>
  <c r="U562" i="12"/>
  <c r="V678" i="12"/>
  <c r="V622" i="12"/>
  <c r="X267" i="12"/>
  <c r="U622" i="12"/>
  <c r="V417" i="12"/>
  <c r="V562" i="12"/>
  <c r="T280" i="12"/>
  <c r="X206" i="12"/>
  <c r="V280" i="12"/>
  <c r="V168" i="12"/>
  <c r="X740" i="12"/>
  <c r="X618" i="12"/>
  <c r="X488" i="12"/>
  <c r="W646" i="12"/>
  <c r="T646" i="12" s="1"/>
  <c r="V684" i="12"/>
  <c r="W165" i="12"/>
  <c r="U288" i="12"/>
  <c r="W340" i="12"/>
  <c r="T340" i="12" s="1"/>
  <c r="U684" i="12"/>
  <c r="U153" i="12"/>
  <c r="V153" i="12"/>
  <c r="X426" i="12"/>
  <c r="T164" i="12"/>
  <c r="W177" i="12"/>
  <c r="T177" i="12" s="1"/>
  <c r="Z3" i="11"/>
  <c r="AA3" i="11" s="1"/>
  <c r="AD15" i="11" s="1"/>
  <c r="E691" i="6"/>
  <c r="D691" i="12"/>
  <c r="I693" i="5"/>
  <c r="O693" i="5" s="1"/>
  <c r="O692" i="5"/>
  <c r="V201" i="12"/>
  <c r="T201" i="12"/>
  <c r="E508" i="6"/>
  <c r="D508" i="12"/>
  <c r="O509" i="5"/>
  <c r="I510" i="5"/>
  <c r="V142" i="12"/>
  <c r="U142" i="12"/>
  <c r="T142" i="12"/>
  <c r="T125" i="12"/>
  <c r="V125" i="12"/>
  <c r="U125" i="12"/>
  <c r="W734" i="12"/>
  <c r="X734" i="12"/>
  <c r="T140" i="12"/>
  <c r="V140" i="12"/>
  <c r="U140" i="12"/>
  <c r="V15" i="13"/>
  <c r="V16" i="13" s="1"/>
  <c r="V17" i="13" s="1"/>
  <c r="V18" i="13" s="1"/>
  <c r="V19" i="13" s="1"/>
  <c r="V20" i="13" s="1"/>
  <c r="V21" i="13" s="1"/>
  <c r="V22" i="13" s="1"/>
  <c r="V23" i="13" s="1"/>
  <c r="I41" i="14" s="1"/>
  <c r="J41" i="14" s="1"/>
  <c r="K41" i="14" s="1"/>
  <c r="L41" i="14" s="1"/>
  <c r="D460" i="12"/>
  <c r="E460" i="6"/>
  <c r="E181" i="6"/>
  <c r="D181" i="12"/>
  <c r="T100" i="12"/>
  <c r="U100" i="12"/>
  <c r="V100" i="12"/>
  <c r="V578" i="12"/>
  <c r="U578" i="12"/>
  <c r="T578" i="12"/>
  <c r="D400" i="12"/>
  <c r="E400" i="6"/>
  <c r="T614" i="12"/>
  <c r="U614" i="12"/>
  <c r="V614" i="12"/>
  <c r="U607" i="12"/>
  <c r="T607" i="12"/>
  <c r="V607" i="12"/>
  <c r="V722" i="12"/>
  <c r="U722" i="12"/>
  <c r="T722" i="12"/>
  <c r="I549" i="5"/>
  <c r="O548" i="5"/>
  <c r="X318" i="12"/>
  <c r="W318" i="12"/>
  <c r="V172" i="12"/>
  <c r="T172" i="12"/>
  <c r="U172" i="12"/>
  <c r="V206" i="12"/>
  <c r="T206" i="12"/>
  <c r="U206" i="12"/>
  <c r="I498" i="5"/>
  <c r="O497" i="5"/>
  <c r="V161" i="12"/>
  <c r="T161" i="12"/>
  <c r="U161" i="12"/>
  <c r="U460" i="12"/>
  <c r="V460" i="12"/>
  <c r="T460" i="12"/>
  <c r="V482" i="12"/>
  <c r="T482" i="12"/>
  <c r="U482" i="12"/>
  <c r="O401" i="5"/>
  <c r="I402" i="5"/>
  <c r="V174" i="12"/>
  <c r="U174" i="12"/>
  <c r="T174" i="12"/>
  <c r="V472" i="12"/>
  <c r="T472" i="12"/>
  <c r="U472" i="12"/>
  <c r="I677" i="5"/>
  <c r="O676" i="5"/>
  <c r="T136" i="12"/>
  <c r="X341" i="12"/>
  <c r="W341" i="12"/>
  <c r="V683" i="12"/>
  <c r="T683" i="12"/>
  <c r="U683" i="12"/>
  <c r="T326" i="12"/>
  <c r="V326" i="12"/>
  <c r="U326" i="12"/>
  <c r="T157" i="12"/>
  <c r="U157" i="12"/>
  <c r="V157" i="12"/>
  <c r="X227" i="12"/>
  <c r="W227" i="12"/>
  <c r="X266" i="12"/>
  <c r="W266" i="12"/>
  <c r="T473" i="12"/>
  <c r="V473" i="12"/>
  <c r="U473" i="12"/>
  <c r="W584" i="12"/>
  <c r="X584" i="12"/>
  <c r="V162" i="12"/>
  <c r="U162" i="12"/>
  <c r="T162" i="12"/>
  <c r="U220" i="12"/>
  <c r="V220" i="12"/>
  <c r="T220" i="12"/>
  <c r="V85" i="12"/>
  <c r="T85" i="12"/>
  <c r="U85" i="12"/>
  <c r="O567" i="5"/>
  <c r="I568" i="5"/>
  <c r="U741" i="12"/>
  <c r="T741" i="12"/>
  <c r="V741" i="12"/>
  <c r="U396" i="12"/>
  <c r="V396" i="12"/>
  <c r="T396" i="12"/>
  <c r="U177" i="12"/>
  <c r="V177" i="12"/>
  <c r="W630" i="12"/>
  <c r="X630" i="12"/>
  <c r="I462" i="5"/>
  <c r="O461" i="5"/>
  <c r="T544" i="12"/>
  <c r="V544" i="12"/>
  <c r="U544" i="12"/>
  <c r="U244" i="12"/>
  <c r="V244" i="12"/>
  <c r="T244" i="12"/>
  <c r="T14" i="8"/>
  <c r="G14" i="8" s="1"/>
  <c r="I15" i="8" s="1"/>
  <c r="T99" i="8"/>
  <c r="E675" i="6"/>
  <c r="D675" i="12"/>
  <c r="X597" i="12"/>
  <c r="W597" i="12"/>
  <c r="T618" i="12"/>
  <c r="V618" i="12"/>
  <c r="U618" i="12"/>
  <c r="V666" i="12"/>
  <c r="T666" i="12"/>
  <c r="U666" i="12"/>
  <c r="W552" i="12"/>
  <c r="X552" i="12"/>
  <c r="T137" i="12"/>
  <c r="V137" i="12"/>
  <c r="U137" i="12"/>
  <c r="U729" i="12"/>
  <c r="T729" i="12"/>
  <c r="V729" i="12"/>
  <c r="T258" i="12"/>
  <c r="U258" i="12"/>
  <c r="V258" i="12"/>
  <c r="U331" i="12"/>
  <c r="T331" i="12"/>
  <c r="V331" i="12"/>
  <c r="T232" i="12"/>
  <c r="V232" i="12"/>
  <c r="U232" i="12"/>
  <c r="X483" i="12"/>
  <c r="W483" i="12"/>
  <c r="T493" i="12"/>
  <c r="V493" i="12"/>
  <c r="U493" i="12"/>
  <c r="U744" i="12"/>
  <c r="V744" i="12"/>
  <c r="T744" i="12"/>
  <c r="V128" i="12"/>
  <c r="U128" i="12"/>
  <c r="T128" i="12"/>
  <c r="D14" i="8"/>
  <c r="D98" i="8" a="1"/>
  <c r="D98" i="8" s="1"/>
  <c r="D93" i="8" s="1"/>
  <c r="D99" i="8"/>
  <c r="T740" i="12"/>
  <c r="V740" i="12"/>
  <c r="U740" i="12"/>
  <c r="X609" i="12"/>
  <c r="W609" i="12"/>
  <c r="V250" i="12"/>
  <c r="U250" i="12"/>
  <c r="T250" i="12"/>
  <c r="X124" i="12"/>
  <c r="W124" i="12"/>
  <c r="X144" i="12"/>
  <c r="W144" i="12"/>
  <c r="I183" i="5"/>
  <c r="O183" i="5" s="1"/>
  <c r="O182" i="5"/>
  <c r="V339" i="12"/>
  <c r="T339" i="12"/>
  <c r="U339" i="12"/>
  <c r="U316" i="12"/>
  <c r="T316" i="12"/>
  <c r="V316" i="12"/>
  <c r="T169" i="12"/>
  <c r="U169" i="12"/>
  <c r="V169" i="12"/>
  <c r="T16" i="12"/>
  <c r="V16" i="12"/>
  <c r="U16" i="12"/>
  <c r="U422" i="12"/>
  <c r="V422" i="12"/>
  <c r="T422" i="12"/>
  <c r="W500" i="12"/>
  <c r="X500" i="12"/>
  <c r="V746" i="12"/>
  <c r="T746" i="12"/>
  <c r="U746" i="12"/>
  <c r="V165" i="12"/>
  <c r="T165" i="12"/>
  <c r="U165" i="12"/>
  <c r="U256" i="12"/>
  <c r="T256" i="12"/>
  <c r="V256" i="12"/>
  <c r="T126" i="12"/>
  <c r="V126" i="12"/>
  <c r="U126" i="12"/>
  <c r="U476" i="12"/>
  <c r="T476" i="12"/>
  <c r="V476" i="12"/>
  <c r="U623" i="12"/>
  <c r="V623" i="12"/>
  <c r="T623" i="12"/>
  <c r="U71" i="12"/>
  <c r="V71" i="12"/>
  <c r="T71" i="12"/>
  <c r="T160" i="12"/>
  <c r="V160" i="12"/>
  <c r="U160" i="12"/>
  <c r="T184" i="12"/>
  <c r="U184" i="12"/>
  <c r="V184" i="12"/>
  <c r="W491" i="12"/>
  <c r="X491" i="12"/>
  <c r="W241" i="12"/>
  <c r="X241" i="12"/>
  <c r="T708" i="12"/>
  <c r="V708" i="12"/>
  <c r="U708" i="12"/>
  <c r="V413" i="12"/>
  <c r="T413" i="12"/>
  <c r="U413" i="12"/>
  <c r="U594" i="12"/>
  <c r="V594" i="12"/>
  <c r="T594" i="12"/>
  <c r="T260" i="12"/>
  <c r="V260" i="12"/>
  <c r="U260" i="12"/>
  <c r="U332" i="12"/>
  <c r="V332" i="12"/>
  <c r="T332" i="12"/>
  <c r="U581" i="12"/>
  <c r="T581" i="12"/>
  <c r="V581" i="12"/>
  <c r="T156" i="12"/>
  <c r="V156" i="12"/>
  <c r="U156" i="12"/>
  <c r="U620" i="12"/>
  <c r="T620" i="12"/>
  <c r="V620" i="12"/>
  <c r="U178" i="12"/>
  <c r="T178" i="12"/>
  <c r="V178" i="12"/>
  <c r="L24" i="13"/>
  <c r="D33" i="14"/>
  <c r="V340" i="12"/>
  <c r="T150" i="12"/>
  <c r="V150" i="12"/>
  <c r="U150" i="12"/>
  <c r="V743" i="12"/>
  <c r="U743" i="12"/>
  <c r="T743" i="12"/>
  <c r="X718" i="12"/>
  <c r="W718" i="12"/>
  <c r="X574" i="12"/>
  <c r="W574" i="12"/>
  <c r="E566" i="6"/>
  <c r="D566" i="12"/>
  <c r="V231" i="12"/>
  <c r="T231" i="12"/>
  <c r="U231" i="12"/>
  <c r="U25" i="12"/>
  <c r="T25" i="12"/>
  <c r="V25" i="12"/>
  <c r="X669" i="12"/>
  <c r="W669" i="12"/>
  <c r="T159" i="12"/>
  <c r="V159" i="12"/>
  <c r="U159" i="12"/>
  <c r="T221" i="12"/>
  <c r="U221" i="12"/>
  <c r="V221" i="12"/>
  <c r="V643" i="12"/>
  <c r="T643" i="12"/>
  <c r="U643" i="12"/>
  <c r="U446" i="12"/>
  <c r="T446" i="12"/>
  <c r="V446" i="12"/>
  <c r="U433" i="12"/>
  <c r="T433" i="12"/>
  <c r="V433" i="12"/>
  <c r="T499" i="12"/>
  <c r="V499" i="12"/>
  <c r="U499" i="12"/>
  <c r="T610" i="12"/>
  <c r="U610" i="12"/>
  <c r="V610" i="12"/>
  <c r="T488" i="12"/>
  <c r="U488" i="12"/>
  <c r="V488" i="12"/>
  <c r="X593" i="12"/>
  <c r="W593" i="12"/>
  <c r="U255" i="12"/>
  <c r="T255" i="12"/>
  <c r="V255" i="12"/>
  <c r="V35" i="12"/>
  <c r="T642" i="12"/>
  <c r="V642" i="12"/>
  <c r="U642" i="12"/>
  <c r="V517" i="12"/>
  <c r="U517" i="12"/>
  <c r="T517" i="12"/>
  <c r="V134" i="12"/>
  <c r="U134" i="12"/>
  <c r="T134" i="12"/>
  <c r="V37" i="12"/>
  <c r="U37" i="12"/>
  <c r="T37" i="12"/>
  <c r="T202" i="12"/>
  <c r="V202" i="12"/>
  <c r="U202" i="12"/>
  <c r="V511" i="12"/>
  <c r="U511" i="12"/>
  <c r="T511" i="12"/>
  <c r="T730" i="12"/>
  <c r="U730" i="12"/>
  <c r="V730" i="12"/>
  <c r="U641" i="12"/>
  <c r="V641" i="12"/>
  <c r="T641" i="12"/>
  <c r="T510" i="12"/>
  <c r="V510" i="12"/>
  <c r="U510" i="12"/>
  <c r="U615" i="12"/>
  <c r="V615" i="12"/>
  <c r="T615" i="12"/>
  <c r="V485" i="12"/>
  <c r="U485" i="12"/>
  <c r="T485" i="12"/>
  <c r="U234" i="12"/>
  <c r="T234" i="12"/>
  <c r="V234" i="12"/>
  <c r="V490" i="12"/>
  <c r="U490" i="12"/>
  <c r="T490" i="12"/>
  <c r="T306" i="12"/>
  <c r="U306" i="12"/>
  <c r="V306" i="12"/>
  <c r="T627" i="12"/>
  <c r="U627" i="12"/>
  <c r="V627" i="12"/>
  <c r="D355" i="12"/>
  <c r="E355" i="6"/>
  <c r="T539" i="12"/>
  <c r="V539" i="12"/>
  <c r="U539" i="12"/>
  <c r="V267" i="12"/>
  <c r="T267" i="12"/>
  <c r="U267" i="12"/>
  <c r="V149" i="12"/>
  <c r="T149" i="12"/>
  <c r="U149" i="12"/>
  <c r="U466" i="12"/>
  <c r="T466" i="12"/>
  <c r="V466" i="12"/>
  <c r="X487" i="12"/>
  <c r="W487" i="12"/>
  <c r="T573" i="12"/>
  <c r="U573" i="12"/>
  <c r="V573" i="12"/>
  <c r="V456" i="12"/>
  <c r="T456" i="12"/>
  <c r="U456" i="12"/>
  <c r="U444" i="12"/>
  <c r="V444" i="12"/>
  <c r="T444" i="12"/>
  <c r="V397" i="12"/>
  <c r="T397" i="12"/>
  <c r="U397" i="12"/>
  <c r="T24" i="12"/>
  <c r="V24" i="12"/>
  <c r="U24" i="12"/>
  <c r="T598" i="12"/>
  <c r="V598" i="12"/>
  <c r="U598" i="12"/>
  <c r="V175" i="12"/>
  <c r="U175" i="12"/>
  <c r="T175" i="12"/>
  <c r="E637" i="6"/>
  <c r="D637" i="12"/>
  <c r="V649" i="12"/>
  <c r="U649" i="12"/>
  <c r="T649" i="12"/>
  <c r="U353" i="12"/>
  <c r="V353" i="12"/>
  <c r="T353" i="12"/>
  <c r="V621" i="12"/>
  <c r="U621" i="12"/>
  <c r="T621" i="12"/>
  <c r="U130" i="12"/>
  <c r="V130" i="12"/>
  <c r="T130" i="12"/>
  <c r="U95" i="12"/>
  <c r="T95" i="12"/>
  <c r="V95" i="12"/>
  <c r="U265" i="12"/>
  <c r="T265" i="12"/>
  <c r="V265" i="12"/>
  <c r="I357" i="5"/>
  <c r="O356" i="5"/>
  <c r="T463" i="12"/>
  <c r="U463" i="12"/>
  <c r="V463" i="12"/>
  <c r="X240" i="12"/>
  <c r="W240" i="12"/>
  <c r="T575" i="12"/>
  <c r="U575" i="12"/>
  <c r="V575" i="12"/>
  <c r="V262" i="12"/>
  <c r="T262" i="12"/>
  <c r="U262" i="12"/>
  <c r="T219" i="12"/>
  <c r="U219" i="12"/>
  <c r="V219" i="12"/>
  <c r="W723" i="12"/>
  <c r="X723" i="12"/>
  <c r="T391" i="12"/>
  <c r="U391" i="12"/>
  <c r="V391" i="12"/>
  <c r="W449" i="12"/>
  <c r="X449" i="12"/>
  <c r="U501" i="12"/>
  <c r="V501" i="12"/>
  <c r="T501" i="12"/>
  <c r="O638" i="5"/>
  <c r="I639" i="5"/>
  <c r="X123" i="12"/>
  <c r="W123" i="12"/>
  <c r="T560" i="12"/>
  <c r="V560" i="12"/>
  <c r="U560" i="12"/>
  <c r="T351" i="12"/>
  <c r="V351" i="12"/>
  <c r="U351" i="12"/>
  <c r="V686" i="12"/>
  <c r="U686" i="12"/>
  <c r="T686" i="12"/>
  <c r="U154" i="12"/>
  <c r="V154" i="12"/>
  <c r="T154" i="12"/>
  <c r="T145" i="12"/>
  <c r="U145" i="12"/>
  <c r="V145" i="12"/>
  <c r="T467" i="12"/>
  <c r="U467" i="12"/>
  <c r="V467" i="12"/>
  <c r="V151" i="12"/>
  <c r="U151" i="12"/>
  <c r="T151" i="12"/>
  <c r="U77" i="12"/>
  <c r="T77" i="12"/>
  <c r="V77" i="12"/>
  <c r="X315" i="12"/>
  <c r="W315" i="12"/>
  <c r="V229" i="12"/>
  <c r="U229" i="12"/>
  <c r="T229" i="12"/>
  <c r="X626" i="12"/>
  <c r="W626" i="12"/>
  <c r="T589" i="12"/>
  <c r="V589" i="12"/>
  <c r="U589" i="12"/>
  <c r="W608" i="12"/>
  <c r="X608" i="12"/>
  <c r="T728" i="12"/>
  <c r="U728" i="12"/>
  <c r="V728" i="12"/>
  <c r="V254" i="12"/>
  <c r="T254" i="12"/>
  <c r="U254" i="12"/>
  <c r="T563" i="12"/>
  <c r="U563" i="12"/>
  <c r="V563" i="12"/>
  <c r="W694" i="12"/>
  <c r="X694" i="12"/>
  <c r="T213" i="12"/>
  <c r="V213" i="12"/>
  <c r="U213" i="12"/>
  <c r="V632" i="12"/>
  <c r="T632" i="12"/>
  <c r="U632" i="12"/>
  <c r="V259" i="12"/>
  <c r="T259" i="12"/>
  <c r="U259" i="12"/>
  <c r="U611" i="12"/>
  <c r="T611" i="12"/>
  <c r="V611" i="12"/>
  <c r="X190" i="12"/>
  <c r="W190" i="12"/>
  <c r="T101" i="12"/>
  <c r="V101" i="12"/>
  <c r="U101" i="12"/>
  <c r="D276" i="12"/>
  <c r="E276" i="6"/>
  <c r="V38" i="12"/>
  <c r="T38" i="12"/>
  <c r="U38" i="12"/>
  <c r="E329" i="6"/>
  <c r="D329" i="12"/>
  <c r="X317" i="12"/>
  <c r="W317" i="12"/>
  <c r="U634" i="12"/>
  <c r="T634" i="12"/>
  <c r="V634" i="12"/>
  <c r="T167" i="12"/>
  <c r="V167" i="12"/>
  <c r="U167" i="12"/>
  <c r="X78" i="12"/>
  <c r="W78" i="12"/>
  <c r="V141" i="12"/>
  <c r="T141" i="12"/>
  <c r="U141" i="12"/>
  <c r="T248" i="12"/>
  <c r="V248" i="12"/>
  <c r="U248" i="12"/>
  <c r="U489" i="12"/>
  <c r="V489" i="12"/>
  <c r="T489" i="12"/>
  <c r="V21" i="12"/>
  <c r="T21" i="12"/>
  <c r="U21" i="12"/>
  <c r="E443" i="6"/>
  <c r="D443" i="12"/>
  <c r="AK14" i="13"/>
  <c r="S14" i="13" s="1"/>
  <c r="M27" i="13" s="1"/>
  <c r="W665" i="12"/>
  <c r="X665" i="12"/>
  <c r="U735" i="12"/>
  <c r="V735" i="12"/>
  <c r="T735" i="12"/>
  <c r="U17" i="12"/>
  <c r="T17" i="12"/>
  <c r="V17" i="12"/>
  <c r="V516" i="12"/>
  <c r="T516" i="12"/>
  <c r="U516" i="12"/>
  <c r="V199" i="12"/>
  <c r="U199" i="12"/>
  <c r="T199" i="12"/>
  <c r="V198" i="12"/>
  <c r="T198" i="12"/>
  <c r="U198" i="12"/>
  <c r="U672" i="12"/>
  <c r="V672" i="12"/>
  <c r="T672" i="12"/>
  <c r="L27" i="13"/>
  <c r="D32" i="14" s="1"/>
  <c r="N25" i="11"/>
  <c r="U366" i="12"/>
  <c r="T366" i="12"/>
  <c r="V366" i="12"/>
  <c r="U99" i="12"/>
  <c r="V99" i="12"/>
  <c r="T99" i="12"/>
  <c r="V492" i="12"/>
  <c r="T492" i="12"/>
  <c r="U492" i="12"/>
  <c r="I278" i="5"/>
  <c r="O277" i="5"/>
  <c r="O330" i="5"/>
  <c r="I331" i="5"/>
  <c r="T337" i="12"/>
  <c r="V337" i="12"/>
  <c r="U337" i="12"/>
  <c r="X633" i="12"/>
  <c r="W633" i="12"/>
  <c r="V139" i="12"/>
  <c r="U139" i="12"/>
  <c r="T139" i="12"/>
  <c r="V465" i="12"/>
  <c r="T465" i="12"/>
  <c r="U465" i="12"/>
  <c r="I445" i="5"/>
  <c r="O444" i="5"/>
  <c r="T504" i="12"/>
  <c r="V504" i="12"/>
  <c r="U504" i="12"/>
  <c r="O29" i="13"/>
  <c r="M24" i="13"/>
  <c r="V599" i="12"/>
  <c r="T599" i="12"/>
  <c r="U599" i="12"/>
  <c r="V646" i="12"/>
  <c r="V200" i="12"/>
  <c r="U200" i="12"/>
  <c r="T200" i="12"/>
  <c r="T443" i="12"/>
  <c r="U443" i="12"/>
  <c r="V443" i="12"/>
  <c r="V166" i="12"/>
  <c r="T166" i="12"/>
  <c r="U166" i="12"/>
  <c r="V445" i="12"/>
  <c r="T445" i="12"/>
  <c r="U445" i="12"/>
  <c r="W131" i="12"/>
  <c r="X131" i="12"/>
  <c r="W191" i="12"/>
  <c r="X191" i="12"/>
  <c r="V314" i="12"/>
  <c r="U314" i="12"/>
  <c r="T314" i="12"/>
  <c r="T424" i="12"/>
  <c r="V424" i="12"/>
  <c r="U424" i="12"/>
  <c r="U512" i="12"/>
  <c r="T512" i="12"/>
  <c r="V512" i="12"/>
  <c r="T185" i="12"/>
  <c r="U185" i="12"/>
  <c r="V185" i="12"/>
  <c r="V273" i="12"/>
  <c r="U273" i="12"/>
  <c r="T273" i="12"/>
  <c r="V470" i="12"/>
  <c r="U470" i="12"/>
  <c r="T470" i="12"/>
  <c r="V440" i="12"/>
  <c r="T440" i="12"/>
  <c r="U440" i="12"/>
  <c r="T59" i="12"/>
  <c r="U59" i="12"/>
  <c r="V59" i="12"/>
  <c r="T682" i="12"/>
  <c r="U682" i="12"/>
  <c r="V682" i="12"/>
  <c r="E547" i="6"/>
  <c r="D547" i="12"/>
  <c r="V605" i="12"/>
  <c r="T605" i="12"/>
  <c r="U605" i="12"/>
  <c r="U613" i="12"/>
  <c r="V613" i="12"/>
  <c r="T613" i="12"/>
  <c r="T426" i="12"/>
  <c r="V426" i="12"/>
  <c r="U426" i="12"/>
  <c r="T338" i="12"/>
  <c r="V338" i="12"/>
  <c r="U338" i="12"/>
  <c r="V685" i="12"/>
  <c r="T685" i="12"/>
  <c r="U685" i="12"/>
  <c r="U163" i="12"/>
  <c r="T163" i="12"/>
  <c r="V163" i="12"/>
  <c r="P14" i="13"/>
  <c r="O28" i="13"/>
  <c r="N14" i="13"/>
  <c r="X36" i="12"/>
  <c r="W36" i="12"/>
  <c r="E496" i="6"/>
  <c r="D496" i="12"/>
  <c r="U646" i="12" l="1"/>
  <c r="U35" i="12"/>
  <c r="U340" i="12"/>
  <c r="U136" i="12"/>
  <c r="AA683" i="5"/>
  <c r="AA691" i="5"/>
  <c r="AA152" i="5"/>
  <c r="AA339" i="5"/>
  <c r="AA186" i="5"/>
  <c r="AA351" i="5"/>
  <c r="AA641" i="5"/>
  <c r="AA460" i="5"/>
  <c r="AA263" i="5"/>
  <c r="AA580" i="5"/>
  <c r="AA678" i="5"/>
  <c r="AA443" i="5"/>
  <c r="AA125" i="5"/>
  <c r="AA164" i="5"/>
  <c r="AA643" i="5"/>
  <c r="AA134" i="5"/>
  <c r="AA366" i="5"/>
  <c r="AA288" i="5"/>
  <c r="AA170" i="5"/>
  <c r="AA41" i="5"/>
  <c r="AA712" i="5"/>
  <c r="AA650" i="5"/>
  <c r="AA83" i="5"/>
  <c r="AA464" i="5"/>
  <c r="AA514" i="5"/>
  <c r="AA382" i="5"/>
  <c r="AA452" i="5"/>
  <c r="AA120" i="5"/>
  <c r="AA525" i="5"/>
  <c r="AA547" i="5"/>
  <c r="AA346" i="5"/>
  <c r="AA352" i="5"/>
  <c r="AA717" i="5"/>
  <c r="AA398" i="5"/>
  <c r="AA296" i="5"/>
  <c r="AA431" i="5"/>
  <c r="AA680" i="5"/>
  <c r="AA604" i="5"/>
  <c r="AA303" i="5"/>
  <c r="AA435" i="5"/>
  <c r="AA679" i="5"/>
  <c r="AA368" i="5"/>
  <c r="AA370" i="5"/>
  <c r="AA53" i="5"/>
  <c r="AA350" i="5"/>
  <c r="AA710" i="5"/>
  <c r="AA65" i="5"/>
  <c r="AA498" i="5"/>
  <c r="AA277" i="5"/>
  <c r="AA214" i="5"/>
  <c r="AA461" i="5"/>
  <c r="AA549" i="5"/>
  <c r="AA305" i="5"/>
  <c r="AA326" i="5"/>
  <c r="AA482" i="5"/>
  <c r="AA122" i="5"/>
  <c r="AA692" i="5"/>
  <c r="AA222" i="5"/>
  <c r="AA465" i="5"/>
  <c r="AA394" i="5"/>
  <c r="AA677" i="5"/>
  <c r="AA70" i="5"/>
  <c r="AA458" i="5"/>
  <c r="AA94" i="5"/>
  <c r="AA79" i="5"/>
  <c r="AA20" i="5"/>
  <c r="AA742" i="5"/>
  <c r="AA470" i="5"/>
  <c r="AA150" i="5"/>
  <c r="AA568" i="5"/>
  <c r="AA445" i="5"/>
  <c r="AA130" i="5"/>
  <c r="AA413" i="5"/>
  <c r="AA425" i="5"/>
  <c r="AA154" i="5"/>
  <c r="AA229" i="5"/>
  <c r="AA480" i="5"/>
  <c r="AA367" i="5"/>
  <c r="AA168" i="5"/>
  <c r="AA259" i="5"/>
  <c r="AA331" i="5"/>
  <c r="AA147" i="5"/>
  <c r="AA575" i="5"/>
  <c r="AA129" i="5"/>
  <c r="AA560" i="5"/>
  <c r="AA636" i="5"/>
  <c r="AA450" i="5"/>
  <c r="AA659" i="5"/>
  <c r="AA103" i="5"/>
  <c r="AA522" i="5"/>
  <c r="AA196" i="5"/>
  <c r="AA360" i="5"/>
  <c r="AA495" i="5"/>
  <c r="AA49" i="5"/>
  <c r="AA395" i="5"/>
  <c r="AA638" i="5"/>
  <c r="AA688" i="5"/>
  <c r="AA97" i="5"/>
  <c r="AA64" i="5"/>
  <c r="AA673" i="5"/>
  <c r="AA533" i="5"/>
  <c r="AA459" i="5"/>
  <c r="AA536" i="5"/>
  <c r="AA535" i="5" s="1"/>
  <c r="AA548" i="5"/>
  <c r="AA54" i="5"/>
  <c r="AA406" i="5"/>
  <c r="AA475" i="5"/>
  <c r="AA418" i="5"/>
  <c r="AA285" i="5"/>
  <c r="AA104" i="5"/>
  <c r="AA62" i="5"/>
  <c r="AA378" i="5"/>
  <c r="AA329" i="5"/>
  <c r="AA242" i="5"/>
  <c r="AA526" i="5"/>
  <c r="AA209" i="5"/>
  <c r="AA376" i="5"/>
  <c r="AA18" i="5"/>
  <c r="AD21" i="11"/>
  <c r="AA202" i="5"/>
  <c r="AA30" i="5"/>
  <c r="AA250" i="5"/>
  <c r="AA472" i="5"/>
  <c r="AA247" i="5"/>
  <c r="AA140" i="5"/>
  <c r="AA292" i="5"/>
  <c r="AA116" i="5"/>
  <c r="AA724" i="5"/>
  <c r="AA693" i="5"/>
  <c r="AA462" i="5"/>
  <c r="AA52" i="5"/>
  <c r="AA145" i="5"/>
  <c r="AA262" i="5"/>
  <c r="AA37" i="5"/>
  <c r="AA649" i="5"/>
  <c r="AA221" i="5"/>
  <c r="AA198" i="5"/>
  <c r="AA627" i="5"/>
  <c r="AA611" i="5"/>
  <c r="AA603" i="5"/>
  <c r="AA316" i="5"/>
  <c r="AA315" i="5" s="1"/>
  <c r="AA146" i="5"/>
  <c r="AA493" i="5"/>
  <c r="AA219" i="5"/>
  <c r="AA735" i="5"/>
  <c r="AA615" i="5"/>
  <c r="AA24" i="5"/>
  <c r="AA745" i="5"/>
  <c r="AA171" i="5"/>
  <c r="AA167" i="5"/>
  <c r="AA715" i="5"/>
  <c r="AA494" i="5"/>
  <c r="AA556" i="5"/>
  <c r="AA69" i="5"/>
  <c r="AA455" i="5"/>
  <c r="AA192" i="5"/>
  <c r="AA400" i="5"/>
  <c r="AA204" i="5"/>
  <c r="AA371" i="5"/>
  <c r="AA282" i="5"/>
  <c r="AA82" i="5"/>
  <c r="AA42" i="5"/>
  <c r="AA423" i="5"/>
  <c r="AA356" i="5"/>
  <c r="AA699" i="5"/>
  <c r="AA325" i="5"/>
  <c r="AA625" i="5"/>
  <c r="AA706" i="5"/>
  <c r="AA287" i="5"/>
  <c r="AA276" i="5"/>
  <c r="AA442" i="5"/>
  <c r="AA587" i="5"/>
  <c r="AA121" i="5"/>
  <c r="AA565" i="5"/>
  <c r="AA278" i="5"/>
  <c r="AA537" i="5"/>
  <c r="AA365" i="5"/>
  <c r="AA721" i="5"/>
  <c r="AA279" i="5"/>
  <c r="AA304" i="5"/>
  <c r="AA648" i="5"/>
  <c r="AA29" i="5"/>
  <c r="AA27" i="5" s="1"/>
  <c r="B20" i="8" s="1"/>
  <c r="AA550" i="5"/>
  <c r="AD20" i="11"/>
  <c r="AA746" i="5"/>
  <c r="AA141" i="5"/>
  <c r="AA255" i="5"/>
  <c r="AA181" i="5"/>
  <c r="AA733" i="5"/>
  <c r="AA66" i="5"/>
  <c r="AA529" i="5"/>
  <c r="AA115" i="5"/>
  <c r="AA388" i="5"/>
  <c r="AA441" i="5"/>
  <c r="AA126" i="5"/>
  <c r="AA738" i="5"/>
  <c r="AA158" i="5"/>
  <c r="AA74" i="5"/>
  <c r="AA289" i="5"/>
  <c r="AA588" i="5"/>
  <c r="AA732" i="5"/>
  <c r="AA731" i="5" s="1"/>
  <c r="AA381" i="5"/>
  <c r="AA658" i="5"/>
  <c r="AA697" i="5"/>
  <c r="AA55" i="5"/>
  <c r="AA128" i="5"/>
  <c r="AA629" i="5"/>
  <c r="AA187" i="5"/>
  <c r="AA501" i="5"/>
  <c r="AA446" i="5"/>
  <c r="AA563" i="5"/>
  <c r="AA685" i="5"/>
  <c r="AA640" i="5"/>
  <c r="AA332" i="5"/>
  <c r="AA161" i="5"/>
  <c r="AA512" i="5"/>
  <c r="AA667" i="5"/>
  <c r="AA466" i="5"/>
  <c r="AA634" i="5"/>
  <c r="AA594" i="5"/>
  <c r="AA617" i="5"/>
  <c r="AA621" i="5"/>
  <c r="AA417" i="5"/>
  <c r="AA508" i="5"/>
  <c r="AA107" i="5"/>
  <c r="AA106" i="5" s="1"/>
  <c r="AA696" i="5"/>
  <c r="AA619" i="5"/>
  <c r="AA690" i="5"/>
  <c r="AA661" i="5"/>
  <c r="AA519" i="5"/>
  <c r="AA571" i="5"/>
  <c r="AA92" i="5"/>
  <c r="AA309" i="5"/>
  <c r="AA591" i="5"/>
  <c r="AA347" i="5"/>
  <c r="AA716" i="5"/>
  <c r="AA132" i="5"/>
  <c r="AA403" i="5"/>
  <c r="AA281" i="5"/>
  <c r="AA554" i="5"/>
  <c r="AA713" i="5"/>
  <c r="AA44" i="5"/>
  <c r="AA45" i="5"/>
  <c r="AA40" i="5" s="1"/>
  <c r="AA541" i="5"/>
  <c r="AA58" i="5"/>
  <c r="AA390" i="5"/>
  <c r="AA112" i="5"/>
  <c r="AA73" i="5"/>
  <c r="AA372" i="5"/>
  <c r="AA428" i="5"/>
  <c r="AA269" i="5"/>
  <c r="AA507" i="5"/>
  <c r="AA726" i="5"/>
  <c r="AA407" i="5"/>
  <c r="AA420" i="5"/>
  <c r="AA193" i="5"/>
  <c r="AA47" i="5"/>
  <c r="AD12" i="11"/>
  <c r="AA50" i="5"/>
  <c r="AA473" i="5"/>
  <c r="AA199" i="5"/>
  <c r="AA405" i="5"/>
  <c r="AA272" i="5"/>
  <c r="AA399" i="5"/>
  <c r="AA111" i="5"/>
  <c r="AD14" i="11"/>
  <c r="AA741" i="5"/>
  <c r="AA740" i="5" s="1"/>
  <c r="AA260" i="5"/>
  <c r="AA440" i="5"/>
  <c r="AA623" i="5"/>
  <c r="AA492" i="5"/>
  <c r="AA159" i="5"/>
  <c r="AA205" i="5"/>
  <c r="AA668" i="5"/>
  <c r="AA665" i="5" s="1"/>
  <c r="B77" i="8" s="1"/>
  <c r="AA155" i="5"/>
  <c r="AA157" i="5"/>
  <c r="AA577" i="5"/>
  <c r="AA230" i="5"/>
  <c r="AA561" i="5"/>
  <c r="AA666" i="5"/>
  <c r="AA85" i="5"/>
  <c r="AA412" i="5"/>
  <c r="AA642" i="5"/>
  <c r="AA596" i="5"/>
  <c r="AA457" i="5"/>
  <c r="AA313" i="5"/>
  <c r="AA212" i="5"/>
  <c r="AA719" i="5"/>
  <c r="AA311" i="5"/>
  <c r="AA96" i="5"/>
  <c r="AA497" i="5"/>
  <c r="AA523" i="5"/>
  <c r="AA656" i="5"/>
  <c r="AA703" i="5"/>
  <c r="AA224" i="5"/>
  <c r="AA655" i="5"/>
  <c r="AA117" i="5"/>
  <c r="AA22" i="5"/>
  <c r="AA373" i="5"/>
  <c r="AA330" i="5"/>
  <c r="AA530" i="5"/>
  <c r="AA566" i="5"/>
  <c r="AA429" i="5"/>
  <c r="AA274" i="5"/>
  <c r="AA704" i="5"/>
  <c r="AA663" i="5"/>
  <c r="AA133" i="5"/>
  <c r="AA33" i="5"/>
  <c r="AA453" i="5"/>
  <c r="AA585" i="5"/>
  <c r="AA91" i="5"/>
  <c r="AA61" i="5"/>
  <c r="AA454" i="5"/>
  <c r="AA662" i="5"/>
  <c r="AA46" i="5"/>
  <c r="AA345" i="5"/>
  <c r="AA67" i="5"/>
  <c r="AA505" i="5"/>
  <c r="AD16" i="11"/>
  <c r="AA444" i="5"/>
  <c r="AA516" i="5"/>
  <c r="AA175" i="5"/>
  <c r="AA515" i="5"/>
  <c r="AA210" i="5"/>
  <c r="AA469" i="5"/>
  <c r="AA572" i="5"/>
  <c r="AA573" i="5"/>
  <c r="AA610" i="5"/>
  <c r="AA474" i="5"/>
  <c r="AA558" i="5"/>
  <c r="AA76" i="5"/>
  <c r="AA327" i="5"/>
  <c r="AA185" i="5"/>
  <c r="AA410" i="5"/>
  <c r="AA203" i="5"/>
  <c r="AA172" i="5"/>
  <c r="AA248" i="5"/>
  <c r="AA503" i="5"/>
  <c r="AA422" i="5"/>
  <c r="AA160" i="5"/>
  <c r="AA583" i="5"/>
  <c r="AA156" i="5"/>
  <c r="AA174" i="5"/>
  <c r="AA142" i="5"/>
  <c r="AA273" i="5"/>
  <c r="AA672" i="5"/>
  <c r="AA148" i="5"/>
  <c r="AA687" i="5"/>
  <c r="AA582" i="5"/>
  <c r="AA489" i="5"/>
  <c r="AA488" i="5" s="1"/>
  <c r="AA510" i="5"/>
  <c r="AA90" i="5"/>
  <c r="AA215" i="5"/>
  <c r="AA88" i="5"/>
  <c r="AA297" i="5"/>
  <c r="AA612" i="5"/>
  <c r="AA194" i="5"/>
  <c r="AA324" i="5"/>
  <c r="AA335" i="5"/>
  <c r="AA349" i="5"/>
  <c r="AA291" i="5"/>
  <c r="AA189" i="5"/>
  <c r="AA380" i="5"/>
  <c r="AA478" i="5"/>
  <c r="AA387" i="5"/>
  <c r="AA239" i="5"/>
  <c r="AA275" i="5"/>
  <c r="AA322" i="5"/>
  <c r="AA243" i="5"/>
  <c r="AA235" i="5"/>
  <c r="AA72" i="5"/>
  <c r="AA540" i="5"/>
  <c r="AA310" i="5"/>
  <c r="AA651" i="5"/>
  <c r="AA237" i="5"/>
  <c r="AA271" i="5"/>
  <c r="AA711" i="5"/>
  <c r="AA705" i="5"/>
  <c r="AA564" i="5"/>
  <c r="AA720" i="5"/>
  <c r="AA670" i="5"/>
  <c r="AA701" i="5"/>
  <c r="AA328" i="5"/>
  <c r="AA358" i="5"/>
  <c r="AD22" i="11"/>
  <c r="AA265" i="5"/>
  <c r="AA256" i="5"/>
  <c r="AA496" i="5"/>
  <c r="AA555" i="5"/>
  <c r="AA674" i="5"/>
  <c r="AA722" i="5"/>
  <c r="AA511" i="5"/>
  <c r="AA509" i="5"/>
  <c r="AA635" i="5"/>
  <c r="AA730" i="5"/>
  <c r="AA729" i="5" s="1"/>
  <c r="AA689" i="5"/>
  <c r="AA246" i="5"/>
  <c r="AA232" i="5"/>
  <c r="AA467" i="5"/>
  <c r="AA244" i="5"/>
  <c r="AA166" i="5"/>
  <c r="AA151" i="5"/>
  <c r="AA21" i="5"/>
  <c r="AA137" i="5"/>
  <c r="AA163" i="5"/>
  <c r="AA23" i="5"/>
  <c r="AA26" i="5"/>
  <c r="AA614" i="5"/>
  <c r="AA280" i="5"/>
  <c r="AA581" i="5"/>
  <c r="AA476" i="5"/>
  <c r="AA737" i="5"/>
  <c r="AA456" i="5"/>
  <c r="AA544" i="5"/>
  <c r="AA631" i="5"/>
  <c r="AA93" i="5"/>
  <c r="AA355" i="5"/>
  <c r="AA348" i="5"/>
  <c r="AA84" i="5"/>
  <c r="AA286" i="5"/>
  <c r="AA57" i="5"/>
  <c r="AA702" i="5"/>
  <c r="AA404" i="5"/>
  <c r="AA739" i="5"/>
  <c r="AA714" i="5"/>
  <c r="AA118" i="5"/>
  <c r="AA336" i="5"/>
  <c r="AA377" i="5"/>
  <c r="AA534" i="5"/>
  <c r="AA447" i="5"/>
  <c r="AA217" i="5"/>
  <c r="AA293" i="5"/>
  <c r="AA81" i="5"/>
  <c r="AA180" i="5"/>
  <c r="AA557" i="5"/>
  <c r="AA374" i="5"/>
  <c r="AA28" i="5"/>
  <c r="AA302" i="5"/>
  <c r="AA595" i="5"/>
  <c r="AA593" i="5" s="1"/>
  <c r="AA295" i="5"/>
  <c r="AA386" i="5"/>
  <c r="AA415" i="5"/>
  <c r="AA110" i="5"/>
  <c r="AA226" i="5"/>
  <c r="AA389" i="5"/>
  <c r="AA75" i="5"/>
  <c r="AA414" i="5"/>
  <c r="AD18" i="11"/>
  <c r="AA200" i="5"/>
  <c r="AA607" i="5"/>
  <c r="AA589" i="5"/>
  <c r="AA434" i="5"/>
  <c r="AA268" i="5"/>
  <c r="AA169" i="5"/>
  <c r="AA506" i="5"/>
  <c r="AA270" i="5"/>
  <c r="AA80" i="5"/>
  <c r="AA101" i="5"/>
  <c r="AA139" i="5"/>
  <c r="AA136" i="5" s="1"/>
  <c r="AA338" i="5"/>
  <c r="AA337" i="5" s="1"/>
  <c r="AA502" i="5"/>
  <c r="AA249" i="5"/>
  <c r="AA686" i="5"/>
  <c r="AA77" i="5"/>
  <c r="AA620" i="5"/>
  <c r="AA25" i="5"/>
  <c r="AA314" i="5"/>
  <c r="AA485" i="5"/>
  <c r="AA138" i="5"/>
  <c r="AA622" i="5"/>
  <c r="AA201" i="5"/>
  <c r="AA149" i="5"/>
  <c r="AA408" i="5"/>
  <c r="AA499" i="5"/>
  <c r="AA744" i="5"/>
  <c r="AA261" i="5"/>
  <c r="AA576" i="5"/>
  <c r="AA479" i="5"/>
  <c r="AA383" i="5"/>
  <c r="AA592" i="5"/>
  <c r="AA601" i="5"/>
  <c r="AA681" i="5"/>
  <c r="AA385" i="5"/>
  <c r="AA283" i="5"/>
  <c r="AA707" i="5"/>
  <c r="AA606" i="5"/>
  <c r="AA605" i="5" s="1"/>
  <c r="AA34" i="5"/>
  <c r="AA570" i="5"/>
  <c r="AA179" i="5"/>
  <c r="AA364" i="5"/>
  <c r="AA109" i="5"/>
  <c r="AA451" i="5"/>
  <c r="AA32" i="5"/>
  <c r="AA664" i="5"/>
  <c r="AA481" i="5"/>
  <c r="AA228" i="5"/>
  <c r="AA436" i="5"/>
  <c r="AA401" i="5"/>
  <c r="AA31" i="5"/>
  <c r="AA551" i="5"/>
  <c r="AA624" i="5"/>
  <c r="AA411" i="5"/>
  <c r="AA113" i="5"/>
  <c r="AA301" i="5"/>
  <c r="AA675" i="5"/>
  <c r="AA253" i="5"/>
  <c r="AA195" i="5"/>
  <c r="AA182" i="5"/>
  <c r="AA284" i="5"/>
  <c r="AA51" i="5"/>
  <c r="AD23" i="11"/>
  <c r="AE23" i="11" s="1"/>
  <c r="M23" i="11" s="1"/>
  <c r="L23" i="11" s="1"/>
  <c r="AA424" i="5"/>
  <c r="AA353" i="5"/>
  <c r="AA173" i="5"/>
  <c r="AA590" i="5"/>
  <c r="AA218" i="5"/>
  <c r="AA135" i="5"/>
  <c r="AA343" i="5"/>
  <c r="AA183" i="5"/>
  <c r="AA421" i="5"/>
  <c r="AA143" i="5"/>
  <c r="AA578" i="5"/>
  <c r="AA652" i="5"/>
  <c r="AA490" i="5"/>
  <c r="AA728" i="5"/>
  <c r="AA127" i="5"/>
  <c r="AA220" i="5"/>
  <c r="AA176" i="5"/>
  <c r="AA736" i="5"/>
  <c r="AA178" i="5"/>
  <c r="AA471" i="5"/>
  <c r="AA639" i="5"/>
  <c r="AA517" i="5"/>
  <c r="AA231" i="5"/>
  <c r="AA598" i="5"/>
  <c r="AA223" i="5"/>
  <c r="AA448" i="5"/>
  <c r="AA99" i="5"/>
  <c r="AA234" i="5"/>
  <c r="AA238" i="5"/>
  <c r="AA486" i="5"/>
  <c r="AA321" i="5"/>
  <c r="AA308" i="5"/>
  <c r="AA586" i="5"/>
  <c r="AA216" i="5"/>
  <c r="AA43" i="5"/>
  <c r="AA290" i="5"/>
  <c r="AA543" i="5"/>
  <c r="AA233" i="5"/>
  <c r="AA211" i="5"/>
  <c r="AA225" i="5"/>
  <c r="AA319" i="5"/>
  <c r="AA524" i="5"/>
  <c r="AA468" i="5"/>
  <c r="AA657" i="5"/>
  <c r="AA68" i="5"/>
  <c r="AA545" i="5"/>
  <c r="AA637" i="5"/>
  <c r="AA553" i="5"/>
  <c r="AA538" i="5"/>
  <c r="AA698" i="5"/>
  <c r="AA520" i="5"/>
  <c r="AA19" i="5"/>
  <c r="AA312" i="5"/>
  <c r="AA342" i="5"/>
  <c r="AA98" i="5"/>
  <c r="AA477" i="5"/>
  <c r="AA419" i="5"/>
  <c r="AA521" i="5"/>
  <c r="AA484" i="5"/>
  <c r="AA298" i="5"/>
  <c r="AA532" i="5"/>
  <c r="AD19" i="11"/>
  <c r="AA684" i="5"/>
  <c r="AA562" i="5"/>
  <c r="AA676" i="5"/>
  <c r="AA438" i="5"/>
  <c r="AA39" i="5"/>
  <c r="AA616" i="5"/>
  <c r="AA197" i="5"/>
  <c r="AA559" i="5"/>
  <c r="AA357" i="5"/>
  <c r="AA323" i="5"/>
  <c r="AA362" i="5"/>
  <c r="AA208" i="5"/>
  <c r="AA384" i="5"/>
  <c r="AA63" i="5"/>
  <c r="AD17" i="11"/>
  <c r="AA504" i="5"/>
  <c r="AA153" i="5"/>
  <c r="AA632" i="5"/>
  <c r="AA602" i="5"/>
  <c r="AA264" i="5"/>
  <c r="AA579" i="5"/>
  <c r="AA416" i="5"/>
  <c r="AA513" i="5"/>
  <c r="AA38" i="5"/>
  <c r="AA600" i="5"/>
  <c r="AA257" i="5"/>
  <c r="AA397" i="5"/>
  <c r="AA599" i="5"/>
  <c r="AA396" i="5"/>
  <c r="AA188" i="5"/>
  <c r="AA613" i="5"/>
  <c r="AA245" i="5"/>
  <c r="AA402" i="5"/>
  <c r="AA463" i="5"/>
  <c r="AA392" i="5"/>
  <c r="AA300" i="5"/>
  <c r="AA102" i="5"/>
  <c r="AA100" i="5" s="1"/>
  <c r="AA546" i="5"/>
  <c r="AA569" i="5"/>
  <c r="AA307" i="5"/>
  <c r="AA628" i="5"/>
  <c r="AA437" i="5"/>
  <c r="AA89" i="5"/>
  <c r="AA527" i="5"/>
  <c r="AA361" i="5"/>
  <c r="AA531" i="5"/>
  <c r="AA359" i="5"/>
  <c r="AA567" i="5"/>
  <c r="AA409" i="5"/>
  <c r="AA432" i="5"/>
  <c r="AA344" i="5"/>
  <c r="AA354" i="5"/>
  <c r="AA363" i="5"/>
  <c r="AA333" i="5"/>
  <c r="AA647" i="5"/>
  <c r="AA299" i="5"/>
  <c r="AA727" i="5"/>
  <c r="AA320" i="5"/>
  <c r="AA393" i="5"/>
  <c r="AA671" i="5"/>
  <c r="AA725" i="5"/>
  <c r="AA645" i="5"/>
  <c r="AA644" i="5" s="1"/>
  <c r="AA56" i="5"/>
  <c r="AA528" i="5"/>
  <c r="AA542" i="5"/>
  <c r="AA439" i="5"/>
  <c r="AA252" i="5"/>
  <c r="AA294" i="5"/>
  <c r="D692" i="12"/>
  <c r="E692" i="6"/>
  <c r="E693" i="6"/>
  <c r="D693" i="12"/>
  <c r="I21" i="14"/>
  <c r="J21" i="14" s="1"/>
  <c r="K21" i="14" s="1"/>
  <c r="L21" i="14" s="1"/>
  <c r="I25" i="14"/>
  <c r="J25" i="14" s="1"/>
  <c r="K25" i="14" s="1"/>
  <c r="L25" i="14" s="1"/>
  <c r="I511" i="5"/>
  <c r="O510" i="5"/>
  <c r="E509" i="6"/>
  <c r="D509" i="12"/>
  <c r="I34" i="14"/>
  <c r="J34" i="14" s="1"/>
  <c r="K34" i="14" s="1"/>
  <c r="L34" i="14" s="1"/>
  <c r="I26" i="14"/>
  <c r="J26" i="14" s="1"/>
  <c r="K26" i="14" s="1"/>
  <c r="L26" i="14" s="1"/>
  <c r="I31" i="14"/>
  <c r="J31" i="14" s="1"/>
  <c r="K31" i="14" s="1"/>
  <c r="L31" i="14" s="1"/>
  <c r="I45" i="14"/>
  <c r="J45" i="14" s="1"/>
  <c r="K45" i="14" s="1"/>
  <c r="L45" i="14" s="1"/>
  <c r="T131" i="12"/>
  <c r="U131" i="12"/>
  <c r="V131" i="12"/>
  <c r="V665" i="12"/>
  <c r="T665" i="12"/>
  <c r="U665" i="12"/>
  <c r="T608" i="12"/>
  <c r="V608" i="12"/>
  <c r="U608" i="12"/>
  <c r="V723" i="12"/>
  <c r="U723" i="12"/>
  <c r="T723" i="12"/>
  <c r="T718" i="12"/>
  <c r="U718" i="12"/>
  <c r="V718" i="12"/>
  <c r="T483" i="12"/>
  <c r="U483" i="12"/>
  <c r="V483" i="12"/>
  <c r="E401" i="6"/>
  <c r="D401" i="12"/>
  <c r="O498" i="5"/>
  <c r="I499" i="5"/>
  <c r="O499" i="5" s="1"/>
  <c r="I446" i="5"/>
  <c r="O445" i="5"/>
  <c r="I332" i="5"/>
  <c r="O331" i="5"/>
  <c r="T317" i="12"/>
  <c r="U317" i="12"/>
  <c r="V317" i="12"/>
  <c r="U190" i="12"/>
  <c r="V190" i="12"/>
  <c r="T190" i="12"/>
  <c r="D638" i="12"/>
  <c r="E638" i="6"/>
  <c r="T500" i="12"/>
  <c r="U500" i="12"/>
  <c r="V500" i="12"/>
  <c r="D676" i="12"/>
  <c r="E676" i="6"/>
  <c r="I13" i="14"/>
  <c r="J13" i="14" s="1"/>
  <c r="K13" i="14" s="1"/>
  <c r="L13" i="14" s="1"/>
  <c r="I36" i="14"/>
  <c r="J36" i="14" s="1"/>
  <c r="K36" i="14" s="1"/>
  <c r="L36" i="14" s="1"/>
  <c r="I22" i="14"/>
  <c r="J22" i="14" s="1"/>
  <c r="K22" i="14" s="1"/>
  <c r="L22" i="14" s="1"/>
  <c r="D330" i="12"/>
  <c r="E330" i="6"/>
  <c r="AA119" i="5"/>
  <c r="D356" i="12"/>
  <c r="E356" i="6"/>
  <c r="D461" i="12"/>
  <c r="E461" i="6"/>
  <c r="O677" i="5"/>
  <c r="I678" i="5"/>
  <c r="I30" i="14"/>
  <c r="J30" i="14" s="1"/>
  <c r="K30" i="14" s="1"/>
  <c r="L30" i="14" s="1"/>
  <c r="I40" i="14"/>
  <c r="J40" i="14" s="1"/>
  <c r="K40" i="14" s="1"/>
  <c r="L40" i="14" s="1"/>
  <c r="I27" i="14"/>
  <c r="J27" i="14" s="1"/>
  <c r="K27" i="14" s="1"/>
  <c r="L27" i="14" s="1"/>
  <c r="I640" i="5"/>
  <c r="O639" i="5"/>
  <c r="U487" i="12"/>
  <c r="V487" i="12"/>
  <c r="T487" i="12"/>
  <c r="E277" i="6"/>
  <c r="D277" i="12"/>
  <c r="U78" i="12"/>
  <c r="T78" i="12"/>
  <c r="V78" i="12"/>
  <c r="V626" i="12"/>
  <c r="T626" i="12"/>
  <c r="U626" i="12"/>
  <c r="I358" i="5"/>
  <c r="O357" i="5"/>
  <c r="U609" i="12"/>
  <c r="V609" i="12"/>
  <c r="T609" i="12"/>
  <c r="O462" i="5"/>
  <c r="I463" i="5"/>
  <c r="I569" i="5"/>
  <c r="O568" i="5"/>
  <c r="T584" i="12"/>
  <c r="U584" i="12"/>
  <c r="V584" i="12"/>
  <c r="I39" i="14"/>
  <c r="J39" i="14" s="1"/>
  <c r="K39" i="14" s="1"/>
  <c r="L39" i="14" s="1"/>
  <c r="I37" i="14"/>
  <c r="J37" i="14" s="1"/>
  <c r="K37" i="14" s="1"/>
  <c r="L37" i="14" s="1"/>
  <c r="I6" i="14"/>
  <c r="J6" i="14" s="1"/>
  <c r="K6" i="14" s="1"/>
  <c r="L6" i="14" s="1"/>
  <c r="U597" i="12"/>
  <c r="V597" i="12"/>
  <c r="T597" i="12"/>
  <c r="T36" i="12"/>
  <c r="V36" i="12"/>
  <c r="U36" i="12"/>
  <c r="I279" i="5"/>
  <c r="O278" i="5"/>
  <c r="AA241" i="5"/>
  <c r="V241" i="12"/>
  <c r="U241" i="12"/>
  <c r="T241" i="12"/>
  <c r="E567" i="6"/>
  <c r="D567" i="12"/>
  <c r="I43" i="14"/>
  <c r="J43" i="14" s="1"/>
  <c r="K43" i="14" s="1"/>
  <c r="L43" i="14" s="1"/>
  <c r="I29" i="14"/>
  <c r="J29" i="14" s="1"/>
  <c r="K29" i="14" s="1"/>
  <c r="L29" i="14" s="1"/>
  <c r="I46" i="14"/>
  <c r="J46" i="14" s="1"/>
  <c r="K46" i="14" s="1"/>
  <c r="L46" i="14" s="1"/>
  <c r="V734" i="12"/>
  <c r="T734" i="12"/>
  <c r="U734" i="12"/>
  <c r="D444" i="12"/>
  <c r="E444" i="6"/>
  <c r="AA734" i="5"/>
  <c r="U552" i="12"/>
  <c r="T552" i="12"/>
  <c r="V552" i="12"/>
  <c r="U99" i="8"/>
  <c r="T94" i="8"/>
  <c r="T90" i="8" s="1"/>
  <c r="T98" i="8" s="1" a="1"/>
  <c r="T98" i="8" s="1"/>
  <c r="T95" i="8"/>
  <c r="T630" i="12"/>
  <c r="V630" i="12"/>
  <c r="U630" i="12"/>
  <c r="I18" i="14"/>
  <c r="J18" i="14" s="1"/>
  <c r="K18" i="14" s="1"/>
  <c r="L18" i="14" s="1"/>
  <c r="I19" i="14"/>
  <c r="J19" i="14" s="1"/>
  <c r="K19" i="14" s="1"/>
  <c r="L19" i="14" s="1"/>
  <c r="I24" i="14"/>
  <c r="J24" i="14" s="1"/>
  <c r="K24" i="14" s="1"/>
  <c r="L24" i="14" s="1"/>
  <c r="T449" i="12"/>
  <c r="V449" i="12"/>
  <c r="U449" i="12"/>
  <c r="U491" i="12"/>
  <c r="V491" i="12"/>
  <c r="T491" i="12"/>
  <c r="E182" i="6"/>
  <c r="D182" i="12"/>
  <c r="U318" i="12"/>
  <c r="T318" i="12"/>
  <c r="V318" i="12"/>
  <c r="I32" i="14"/>
  <c r="J32" i="14" s="1"/>
  <c r="K32" i="14" s="1"/>
  <c r="L32" i="14" s="1"/>
  <c r="I20" i="14"/>
  <c r="J20" i="14" s="1"/>
  <c r="K20" i="14" s="1"/>
  <c r="L20" i="14" s="1"/>
  <c r="I35" i="14"/>
  <c r="J35" i="14" s="1"/>
  <c r="K35" i="14" s="1"/>
  <c r="L35" i="14" s="1"/>
  <c r="N28" i="13"/>
  <c r="F33" i="14"/>
  <c r="AD6" i="13"/>
  <c r="AE6" i="13" s="1"/>
  <c r="AD27" i="13"/>
  <c r="P24" i="13"/>
  <c r="O24" i="13"/>
  <c r="AC27" i="13"/>
  <c r="V593" i="12"/>
  <c r="T593" i="12"/>
  <c r="U593" i="12"/>
  <c r="D183" i="12"/>
  <c r="E183" i="6"/>
  <c r="T266" i="12"/>
  <c r="U266" i="12"/>
  <c r="V266" i="12"/>
  <c r="I16" i="14"/>
  <c r="J16" i="14" s="1"/>
  <c r="K16" i="14" s="1"/>
  <c r="L16" i="14" s="1"/>
  <c r="I10" i="14"/>
  <c r="J10" i="14" s="1"/>
  <c r="K10" i="14" s="1"/>
  <c r="L10" i="14" s="1"/>
  <c r="I23" i="14"/>
  <c r="J23" i="14" s="1"/>
  <c r="K23" i="14" s="1"/>
  <c r="L23" i="14" s="1"/>
  <c r="I38" i="14"/>
  <c r="J38" i="14" s="1"/>
  <c r="K38" i="14" s="1"/>
  <c r="L38" i="14" s="1"/>
  <c r="U633" i="12"/>
  <c r="V633" i="12"/>
  <c r="T633" i="12"/>
  <c r="V315" i="12"/>
  <c r="T315" i="12"/>
  <c r="U315" i="12"/>
  <c r="T144" i="12"/>
  <c r="U144" i="12"/>
  <c r="V144" i="12"/>
  <c r="D94" i="8"/>
  <c r="D90" i="8" s="1"/>
  <c r="D95" i="8"/>
  <c r="T341" i="12"/>
  <c r="V341" i="12"/>
  <c r="U341" i="12"/>
  <c r="E548" i="6"/>
  <c r="D548" i="12"/>
  <c r="I42" i="14"/>
  <c r="J42" i="14" s="1"/>
  <c r="K42" i="14" s="1"/>
  <c r="L42" i="14" s="1"/>
  <c r="I28" i="14"/>
  <c r="J28" i="14" s="1"/>
  <c r="K28" i="14" s="1"/>
  <c r="L28" i="14" s="1"/>
  <c r="I9" i="14"/>
  <c r="J9" i="14" s="1"/>
  <c r="K9" i="14" s="1"/>
  <c r="L9" i="14" s="1"/>
  <c r="I33" i="14"/>
  <c r="J33" i="14" s="1"/>
  <c r="K33" i="14" s="1"/>
  <c r="L33" i="14" s="1"/>
  <c r="V191" i="12"/>
  <c r="U191" i="12"/>
  <c r="T191" i="12"/>
  <c r="AA630" i="5"/>
  <c r="U240" i="12"/>
  <c r="T240" i="12"/>
  <c r="V240" i="12"/>
  <c r="U669" i="12"/>
  <c r="T669" i="12"/>
  <c r="V669" i="12"/>
  <c r="U574" i="12"/>
  <c r="V574" i="12"/>
  <c r="T574" i="12"/>
  <c r="V227" i="12"/>
  <c r="T227" i="12"/>
  <c r="U227" i="12"/>
  <c r="I550" i="5"/>
  <c r="O549" i="5"/>
  <c r="I44" i="14"/>
  <c r="J44" i="14" s="1"/>
  <c r="K44" i="14" s="1"/>
  <c r="L44" i="14" s="1"/>
  <c r="I14" i="14"/>
  <c r="J14" i="14" s="1"/>
  <c r="K14" i="14" s="1"/>
  <c r="L14" i="14" s="1"/>
  <c r="I17" i="14"/>
  <c r="J17" i="14" s="1"/>
  <c r="K17" i="14" s="1"/>
  <c r="L17" i="14" s="1"/>
  <c r="I15" i="14"/>
  <c r="J15" i="14" s="1"/>
  <c r="K15" i="14" s="1"/>
  <c r="L15" i="14" s="1"/>
  <c r="AA743" i="5"/>
  <c r="T694" i="12"/>
  <c r="V694" i="12"/>
  <c r="U694" i="12"/>
  <c r="U123" i="12"/>
  <c r="V123" i="12"/>
  <c r="T123" i="12"/>
  <c r="T124" i="12"/>
  <c r="V124" i="12"/>
  <c r="U124" i="12"/>
  <c r="I403" i="5"/>
  <c r="O402" i="5"/>
  <c r="E497" i="6"/>
  <c r="D497" i="12"/>
  <c r="I12" i="14"/>
  <c r="J12" i="14" s="1"/>
  <c r="K12" i="14" s="1"/>
  <c r="L12" i="14" s="1"/>
  <c r="I8" i="14"/>
  <c r="J8" i="14" s="1"/>
  <c r="K8" i="14" s="1"/>
  <c r="L8" i="14" s="1"/>
  <c r="I7" i="14"/>
  <c r="J7" i="14" s="1"/>
  <c r="K7" i="14" s="1"/>
  <c r="L7" i="14" s="1"/>
  <c r="I11" i="14"/>
  <c r="J11" i="14" s="1"/>
  <c r="K11" i="14" s="1"/>
  <c r="L11" i="14" s="1"/>
  <c r="AA626" i="5" l="1"/>
  <c r="AE22" i="11"/>
  <c r="M22" i="11" s="1"/>
  <c r="L22" i="11" s="1"/>
  <c r="AA36" i="5"/>
  <c r="AA162" i="5"/>
  <c r="AA334" i="5"/>
  <c r="AA95" i="5"/>
  <c r="AA427" i="5"/>
  <c r="AA184" i="5"/>
  <c r="B38" i="8" s="1"/>
  <c r="AA131" i="5"/>
  <c r="AA375" i="5"/>
  <c r="AA258" i="5"/>
  <c r="AA723" i="5"/>
  <c r="AA709" i="5"/>
  <c r="AA597" i="5"/>
  <c r="AA695" i="5"/>
  <c r="AA177" i="5"/>
  <c r="B35" i="8" s="1"/>
  <c r="AA240" i="5"/>
  <c r="B47" i="8" s="1"/>
  <c r="AA227" i="5"/>
  <c r="AA379" i="5"/>
  <c r="AA71" i="5"/>
  <c r="AA251" i="5"/>
  <c r="AA660" i="5"/>
  <c r="AA236" i="5"/>
  <c r="AA646" i="5"/>
  <c r="B71" i="8" s="1"/>
  <c r="AA341" i="5"/>
  <c r="AA718" i="5"/>
  <c r="AA306" i="5"/>
  <c r="AA213" i="5"/>
  <c r="AA483" i="5"/>
  <c r="AA608" i="5"/>
  <c r="B68" i="8" s="1"/>
  <c r="AA682" i="5"/>
  <c r="B83" i="8" s="1"/>
  <c r="AA207" i="5"/>
  <c r="AA114" i="5"/>
  <c r="AA700" i="5"/>
  <c r="AA633" i="5"/>
  <c r="AA124" i="5"/>
  <c r="AA108" i="5"/>
  <c r="AA86" i="5"/>
  <c r="AA618" i="5"/>
  <c r="AA654" i="5"/>
  <c r="AA518" i="5"/>
  <c r="AE21" i="11"/>
  <c r="M21" i="11" s="1"/>
  <c r="L21" i="11" s="1"/>
  <c r="AA574" i="5"/>
  <c r="AA165" i="5"/>
  <c r="AA539" i="5"/>
  <c r="AA500" i="5"/>
  <c r="AA340" i="5"/>
  <c r="B56" i="8" s="1"/>
  <c r="AA669" i="5"/>
  <c r="B80" i="8" s="1"/>
  <c r="AA708" i="5"/>
  <c r="AA15" i="5"/>
  <c r="AA609" i="5"/>
  <c r="AA584" i="5"/>
  <c r="AA391" i="5"/>
  <c r="B59" i="8" s="1"/>
  <c r="AA318" i="5"/>
  <c r="AA78" i="5"/>
  <c r="AA317" i="5"/>
  <c r="B53" i="8" s="1"/>
  <c r="AA206" i="5"/>
  <c r="B44" i="8" s="1"/>
  <c r="AA449" i="5"/>
  <c r="AA123" i="5"/>
  <c r="B32" i="8" s="1"/>
  <c r="AA433" i="5"/>
  <c r="AA60" i="5"/>
  <c r="AA552" i="5"/>
  <c r="AA48" i="5"/>
  <c r="AA191" i="5"/>
  <c r="AA426" i="5"/>
  <c r="B62" i="8" s="1"/>
  <c r="AA266" i="5"/>
  <c r="B50" i="8" s="1"/>
  <c r="AA487" i="5"/>
  <c r="B65" i="8" s="1"/>
  <c r="AA491" i="5"/>
  <c r="AA35" i="5"/>
  <c r="B23" i="8" s="1"/>
  <c r="AA267" i="5"/>
  <c r="AE15" i="11"/>
  <c r="M15" i="11" s="1"/>
  <c r="L15" i="11" s="1"/>
  <c r="AA694" i="5"/>
  <c r="B86" i="8" s="1"/>
  <c r="AA59" i="5"/>
  <c r="B26" i="8" s="1"/>
  <c r="AA144" i="5"/>
  <c r="AA369" i="5"/>
  <c r="AA430" i="5"/>
  <c r="AE18" i="11"/>
  <c r="M18" i="11" s="1"/>
  <c r="L18" i="11" s="1"/>
  <c r="AE16" i="11"/>
  <c r="M16" i="11" s="1"/>
  <c r="L16" i="11" s="1"/>
  <c r="AA87" i="5"/>
  <c r="AA105" i="5"/>
  <c r="B29" i="8" s="1"/>
  <c r="AE20" i="11"/>
  <c r="M20" i="11" s="1"/>
  <c r="L20" i="11" s="1"/>
  <c r="AA653" i="5"/>
  <c r="B74" i="8" s="1"/>
  <c r="AA17" i="5"/>
  <c r="B17" i="8" s="1"/>
  <c r="AA254" i="5"/>
  <c r="AA16" i="5"/>
  <c r="AA14" i="11" s="1"/>
  <c r="AE12" i="11"/>
  <c r="M12" i="11" s="1"/>
  <c r="L12" i="11" s="1"/>
  <c r="AE17" i="11"/>
  <c r="M17" i="11" s="1"/>
  <c r="L17" i="11" s="1"/>
  <c r="AE19" i="11"/>
  <c r="M19" i="11" s="1"/>
  <c r="L19" i="11" s="1"/>
  <c r="AA190" i="5"/>
  <c r="B41" i="8" s="1"/>
  <c r="E510" i="6"/>
  <c r="D510" i="12"/>
  <c r="I512" i="5"/>
  <c r="O511" i="5"/>
  <c r="I641" i="5"/>
  <c r="O640" i="5"/>
  <c r="D331" i="12"/>
  <c r="E331" i="6"/>
  <c r="E445" i="6"/>
  <c r="D445" i="12"/>
  <c r="D278" i="12"/>
  <c r="E278" i="6"/>
  <c r="E357" i="6"/>
  <c r="D357" i="12"/>
  <c r="I447" i="5"/>
  <c r="O446" i="5"/>
  <c r="E549" i="6"/>
  <c r="D549" i="12"/>
  <c r="O279" i="5"/>
  <c r="I280" i="5"/>
  <c r="I359" i="5"/>
  <c r="O358" i="5"/>
  <c r="E499" i="6"/>
  <c r="D499" i="12"/>
  <c r="U98" i="8" a="1"/>
  <c r="U98" i="8" s="1"/>
  <c r="T93" i="8"/>
  <c r="I551" i="5"/>
  <c r="O551" i="5" s="1"/>
  <c r="O550" i="5"/>
  <c r="D498" i="12"/>
  <c r="E498" i="6"/>
  <c r="E33" i="14"/>
  <c r="E34" i="14"/>
  <c r="N24" i="13"/>
  <c r="AE4" i="13"/>
  <c r="O27" i="13" s="1"/>
  <c r="I333" i="5"/>
  <c r="O333" i="5" s="1"/>
  <c r="O332" i="5"/>
  <c r="E402" i="6"/>
  <c r="D402" i="12"/>
  <c r="D568" i="12"/>
  <c r="E568" i="6"/>
  <c r="I679" i="5"/>
  <c r="O678" i="5"/>
  <c r="I404" i="5"/>
  <c r="O403" i="5"/>
  <c r="F34" i="14"/>
  <c r="I570" i="5"/>
  <c r="O569" i="5"/>
  <c r="E677" i="6"/>
  <c r="D677" i="12"/>
  <c r="I464" i="5"/>
  <c r="O463" i="5"/>
  <c r="V99" i="8"/>
  <c r="U95" i="8"/>
  <c r="U94" i="8"/>
  <c r="U90" i="8" s="1"/>
  <c r="E462" i="6"/>
  <c r="D462" i="12"/>
  <c r="D639" i="12"/>
  <c r="E639" i="6"/>
  <c r="AJ14" i="13" l="1"/>
  <c r="R14" i="13" s="1"/>
  <c r="M26" i="13" s="1"/>
  <c r="M25" i="13" s="1"/>
  <c r="AM14" i="13"/>
  <c r="T14" i="13" s="1"/>
  <c r="AD3" i="13" s="1"/>
  <c r="AD2" i="13" s="1"/>
  <c r="D97" i="8" a="1"/>
  <c r="D97" i="8" s="1"/>
  <c r="D92" i="8" s="1"/>
  <c r="T97" i="8" a="1"/>
  <c r="T97" i="8" s="1"/>
  <c r="U97" i="8" s="1" a="1"/>
  <c r="U97" i="8" s="1"/>
  <c r="D511" i="12"/>
  <c r="E511" i="6"/>
  <c r="I513" i="5"/>
  <c r="O512" i="5"/>
  <c r="E403" i="6"/>
  <c r="D403" i="12"/>
  <c r="I405" i="5"/>
  <c r="O404" i="5"/>
  <c r="E358" i="6"/>
  <c r="D358" i="12"/>
  <c r="V94" i="8"/>
  <c r="V90" i="8" s="1"/>
  <c r="W99" i="8"/>
  <c r="V95" i="8"/>
  <c r="E678" i="6"/>
  <c r="D678" i="12"/>
  <c r="I360" i="5"/>
  <c r="O359" i="5"/>
  <c r="E463" i="6"/>
  <c r="D463" i="12"/>
  <c r="I680" i="5"/>
  <c r="O679" i="5"/>
  <c r="I281" i="5"/>
  <c r="O280" i="5"/>
  <c r="E279" i="6"/>
  <c r="D279" i="12"/>
  <c r="O464" i="5"/>
  <c r="I465" i="5"/>
  <c r="AA24" i="11"/>
  <c r="Z14" i="11"/>
  <c r="Z24" i="11" s="1"/>
  <c r="AE14" i="11" s="1"/>
  <c r="M14" i="11" s="1"/>
  <c r="D550" i="12"/>
  <c r="E550" i="6"/>
  <c r="E640" i="6"/>
  <c r="D640" i="12"/>
  <c r="E569" i="6"/>
  <c r="D569" i="12"/>
  <c r="D332" i="12"/>
  <c r="E332" i="6"/>
  <c r="E551" i="6"/>
  <c r="D551" i="12"/>
  <c r="I642" i="5"/>
  <c r="O641" i="5"/>
  <c r="I571" i="5"/>
  <c r="O570" i="5"/>
  <c r="D333" i="12"/>
  <c r="E333" i="6"/>
  <c r="D446" i="12"/>
  <c r="E446" i="6"/>
  <c r="N27" i="13"/>
  <c r="E32" i="14" s="1"/>
  <c r="F32" i="14"/>
  <c r="V98" i="8" a="1"/>
  <c r="V98" i="8" s="1"/>
  <c r="U93" i="8"/>
  <c r="O447" i="5"/>
  <c r="I448" i="5"/>
  <c r="O448" i="5" s="1"/>
  <c r="D96" i="8" l="1"/>
  <c r="D91" i="8" s="1"/>
  <c r="T96" i="8"/>
  <c r="T91" i="8" s="1"/>
  <c r="T92" i="8"/>
  <c r="D512" i="12"/>
  <c r="E512" i="6"/>
  <c r="I514" i="5"/>
  <c r="O513" i="5"/>
  <c r="AE3" i="13"/>
  <c r="O26" i="13" s="1"/>
  <c r="N26" i="13" s="1"/>
  <c r="E31" i="14" s="1"/>
  <c r="E447" i="6"/>
  <c r="D447" i="12"/>
  <c r="O571" i="5"/>
  <c r="I572" i="5"/>
  <c r="D641" i="12"/>
  <c r="E641" i="6"/>
  <c r="V93" i="8"/>
  <c r="W98" i="8" a="1"/>
  <c r="W98" i="8" s="1"/>
  <c r="I643" i="5"/>
  <c r="O643" i="5" s="1"/>
  <c r="O642" i="5"/>
  <c r="E280" i="6"/>
  <c r="D280" i="12"/>
  <c r="W94" i="8"/>
  <c r="W90" i="8" s="1"/>
  <c r="W95" i="8"/>
  <c r="X99" i="8"/>
  <c r="I282" i="5"/>
  <c r="O281" i="5"/>
  <c r="M24" i="11"/>
  <c r="L14" i="11"/>
  <c r="L24" i="11" s="1"/>
  <c r="D679" i="12"/>
  <c r="E679" i="6"/>
  <c r="I681" i="5"/>
  <c r="O681" i="5" s="1"/>
  <c r="O680" i="5"/>
  <c r="I466" i="5"/>
  <c r="O465" i="5"/>
  <c r="E404" i="6"/>
  <c r="D404" i="12"/>
  <c r="D464" i="12"/>
  <c r="E464" i="6"/>
  <c r="I406" i="5"/>
  <c r="O405" i="5"/>
  <c r="U92" i="8"/>
  <c r="V97" i="8" a="1"/>
  <c r="V97" i="8" s="1"/>
  <c r="D359" i="12"/>
  <c r="E359" i="6"/>
  <c r="I361" i="5"/>
  <c r="O360" i="5"/>
  <c r="E448" i="6"/>
  <c r="D448" i="12"/>
  <c r="D570" i="12"/>
  <c r="E570" i="6"/>
  <c r="U96" i="8"/>
  <c r="U91" i="8" s="1"/>
  <c r="O25" i="13" l="1"/>
  <c r="N25" i="13" s="1"/>
  <c r="E30" i="14" s="1"/>
  <c r="F31" i="14"/>
  <c r="AE2" i="13"/>
  <c r="D513" i="12"/>
  <c r="E513" i="6"/>
  <c r="I515" i="5"/>
  <c r="O514" i="5"/>
  <c r="E360" i="6"/>
  <c r="D360" i="12"/>
  <c r="I407" i="5"/>
  <c r="O406" i="5"/>
  <c r="M10" i="11"/>
  <c r="N10" i="13" s="1"/>
  <c r="L26" i="13"/>
  <c r="M25" i="11"/>
  <c r="E642" i="6"/>
  <c r="D642" i="12"/>
  <c r="E405" i="6"/>
  <c r="D405" i="12"/>
  <c r="I362" i="5"/>
  <c r="O361" i="5"/>
  <c r="D643" i="12"/>
  <c r="E643" i="6"/>
  <c r="W93" i="8"/>
  <c r="X98" i="8" a="1"/>
  <c r="X98" i="8" s="1"/>
  <c r="L25" i="11"/>
  <c r="L25" i="13"/>
  <c r="D30" i="14" s="1"/>
  <c r="L10" i="11"/>
  <c r="M10" i="13" s="1"/>
  <c r="F30" i="14"/>
  <c r="E281" i="6"/>
  <c r="D281" i="12"/>
  <c r="D465" i="12"/>
  <c r="E465" i="6"/>
  <c r="I283" i="5"/>
  <c r="O282" i="5"/>
  <c r="W97" i="8" a="1"/>
  <c r="W97" i="8" s="1"/>
  <c r="V92" i="8"/>
  <c r="V96" i="8"/>
  <c r="V91" i="8" s="1"/>
  <c r="I467" i="5"/>
  <c r="O466" i="5"/>
  <c r="I573" i="5"/>
  <c r="O573" i="5" s="1"/>
  <c r="O572" i="5"/>
  <c r="E680" i="6"/>
  <c r="D680" i="12"/>
  <c r="Y99" i="8"/>
  <c r="X94" i="8"/>
  <c r="X90" i="8" s="1"/>
  <c r="X95" i="8"/>
  <c r="J10" i="13" s="1"/>
  <c r="G10" i="13" s="1"/>
  <c r="D571" i="12"/>
  <c r="E571" i="6"/>
  <c r="D681" i="12"/>
  <c r="E681" i="6"/>
  <c r="D514" i="12" l="1"/>
  <c r="E514" i="6"/>
  <c r="O515" i="5"/>
  <c r="I516" i="5"/>
  <c r="I468" i="5"/>
  <c r="O467" i="5"/>
  <c r="I363" i="5"/>
  <c r="O362" i="5"/>
  <c r="X97" i="8" a="1"/>
  <c r="X97" i="8" s="1"/>
  <c r="W92" i="8"/>
  <c r="W96" i="8"/>
  <c r="W91" i="8" s="1"/>
  <c r="E282" i="6"/>
  <c r="D282" i="12"/>
  <c r="I284" i="5"/>
  <c r="O283" i="5"/>
  <c r="X93" i="8"/>
  <c r="Y98" i="8" a="1"/>
  <c r="Y98" i="8" s="1"/>
  <c r="G9" i="11"/>
  <c r="Y94" i="8"/>
  <c r="Y90" i="8" s="1"/>
  <c r="Y95" i="8"/>
  <c r="Z99" i="8"/>
  <c r="D31" i="14"/>
  <c r="AC26" i="13"/>
  <c r="AD26" i="13"/>
  <c r="D406" i="12"/>
  <c r="E406" i="6"/>
  <c r="D572" i="12"/>
  <c r="E572" i="6"/>
  <c r="O407" i="5"/>
  <c r="I408" i="5"/>
  <c r="E573" i="6"/>
  <c r="D573" i="12"/>
  <c r="E466" i="6"/>
  <c r="D466" i="12"/>
  <c r="D361" i="12"/>
  <c r="E361" i="6"/>
  <c r="I517" i="5" l="1"/>
  <c r="O517" i="5" s="1"/>
  <c r="O516" i="5"/>
  <c r="D515" i="12"/>
  <c r="E515" i="6"/>
  <c r="Z95" i="8"/>
  <c r="Z94" i="8"/>
  <c r="Z90" i="8" s="1"/>
  <c r="AA99" i="8"/>
  <c r="I409" i="5"/>
  <c r="O408" i="5"/>
  <c r="X92" i="8"/>
  <c r="Y97" i="8" a="1"/>
  <c r="Y97" i="8" s="1"/>
  <c r="X96" i="8"/>
  <c r="X91" i="8" s="1"/>
  <c r="D407" i="12"/>
  <c r="E407" i="6"/>
  <c r="E362" i="6"/>
  <c r="D362" i="12"/>
  <c r="Y93" i="8"/>
  <c r="Z98" i="8" a="1"/>
  <c r="Z98" i="8" s="1"/>
  <c r="I364" i="5"/>
  <c r="O363" i="5"/>
  <c r="D283" i="12"/>
  <c r="E283" i="6"/>
  <c r="I285" i="5"/>
  <c r="O284" i="5"/>
  <c r="E467" i="6"/>
  <c r="D467" i="12"/>
  <c r="I469" i="5"/>
  <c r="O468" i="5"/>
  <c r="E516" i="6" l="1"/>
  <c r="D516" i="12"/>
  <c r="E517" i="6"/>
  <c r="D517" i="12"/>
  <c r="I286" i="5"/>
  <c r="O285" i="5"/>
  <c r="Z97" i="8" a="1"/>
  <c r="Z97" i="8" s="1"/>
  <c r="Y92" i="8"/>
  <c r="Y96" i="8"/>
  <c r="Y91" i="8" s="1"/>
  <c r="D408" i="12"/>
  <c r="E408" i="6"/>
  <c r="D363" i="12"/>
  <c r="E363" i="6"/>
  <c r="O409" i="5"/>
  <c r="I410" i="5"/>
  <c r="I365" i="5"/>
  <c r="O364" i="5"/>
  <c r="Z93" i="8"/>
  <c r="AA98" i="8" a="1"/>
  <c r="AA98" i="8" s="1"/>
  <c r="AA95" i="8"/>
  <c r="AA94" i="8"/>
  <c r="AA90" i="8" s="1"/>
  <c r="AB99" i="8"/>
  <c r="E468" i="6"/>
  <c r="D468" i="12"/>
  <c r="O469" i="5"/>
  <c r="I470" i="5"/>
  <c r="E284" i="6"/>
  <c r="D284" i="12"/>
  <c r="I471" i="5" l="1"/>
  <c r="O470" i="5"/>
  <c r="I411" i="5"/>
  <c r="O410" i="5"/>
  <c r="D409" i="12"/>
  <c r="E409" i="6"/>
  <c r="D469" i="12"/>
  <c r="E469" i="6"/>
  <c r="AB94" i="8"/>
  <c r="AB90" i="8" s="1"/>
  <c r="AC99" i="8"/>
  <c r="AB95" i="8"/>
  <c r="AA93" i="8"/>
  <c r="AB98" i="8" a="1"/>
  <c r="AB98" i="8" s="1"/>
  <c r="AA97" i="8" a="1"/>
  <c r="AA97" i="8" s="1"/>
  <c r="Z92" i="8"/>
  <c r="D285" i="12"/>
  <c r="E285" i="6"/>
  <c r="E364" i="6"/>
  <c r="D364" i="12"/>
  <c r="I287" i="5"/>
  <c r="O286" i="5"/>
  <c r="O365" i="5"/>
  <c r="I366" i="5"/>
  <c r="Z96" i="8"/>
  <c r="Z91" i="8" s="1"/>
  <c r="AB93" i="8" l="1"/>
  <c r="AC98" i="8" a="1"/>
  <c r="AC98" i="8" s="1"/>
  <c r="E365" i="6"/>
  <c r="D365" i="12"/>
  <c r="O287" i="5"/>
  <c r="I288" i="5"/>
  <c r="AC95" i="8"/>
  <c r="AD99" i="8"/>
  <c r="AC94" i="8"/>
  <c r="AC90" i="8" s="1"/>
  <c r="E286" i="6"/>
  <c r="D286" i="12"/>
  <c r="D410" i="12"/>
  <c r="E410" i="6"/>
  <c r="AB97" i="8" a="1"/>
  <c r="AB97" i="8" s="1"/>
  <c r="AA92" i="8"/>
  <c r="O411" i="5"/>
  <c r="I412" i="5"/>
  <c r="E470" i="6"/>
  <c r="D470" i="12"/>
  <c r="I472" i="5"/>
  <c r="O471" i="5"/>
  <c r="I367" i="5"/>
  <c r="O366" i="5"/>
  <c r="AA96" i="8"/>
  <c r="AA91" i="8" s="1"/>
  <c r="D366" i="12" l="1"/>
  <c r="E366" i="6"/>
  <c r="E471" i="6"/>
  <c r="D471" i="12"/>
  <c r="I473" i="5"/>
  <c r="O472" i="5"/>
  <c r="AE99" i="8"/>
  <c r="AD94" i="8"/>
  <c r="AD90" i="8" s="1"/>
  <c r="AD95" i="8"/>
  <c r="I368" i="5"/>
  <c r="O368" i="5" s="1"/>
  <c r="O367" i="5"/>
  <c r="I413" i="5"/>
  <c r="O412" i="5"/>
  <c r="I289" i="5"/>
  <c r="O288" i="5"/>
  <c r="D411" i="12"/>
  <c r="E411" i="6"/>
  <c r="E287" i="6"/>
  <c r="D287" i="12"/>
  <c r="AB92" i="8"/>
  <c r="AC97" i="8" a="1"/>
  <c r="AC97" i="8" s="1"/>
  <c r="AC93" i="8"/>
  <c r="AD98" i="8" a="1"/>
  <c r="AD98" i="8" s="1"/>
  <c r="AB96" i="8"/>
  <c r="AB91" i="8" s="1"/>
  <c r="E368" i="6" l="1"/>
  <c r="D368" i="12"/>
  <c r="AD97" i="8" a="1"/>
  <c r="AD97" i="8" s="1"/>
  <c r="AC92" i="8"/>
  <c r="J10" i="8"/>
  <c r="AE95" i="8"/>
  <c r="AE94" i="8"/>
  <c r="AE90" i="8" s="1"/>
  <c r="AF99" i="8"/>
  <c r="D472" i="12"/>
  <c r="E472" i="6"/>
  <c r="I474" i="5"/>
  <c r="O473" i="5"/>
  <c r="D288" i="12"/>
  <c r="E288" i="6"/>
  <c r="I290" i="5"/>
  <c r="O289" i="5"/>
  <c r="D412" i="12"/>
  <c r="E412" i="6"/>
  <c r="I414" i="5"/>
  <c r="O413" i="5"/>
  <c r="AE98" i="8" a="1"/>
  <c r="AE98" i="8" s="1"/>
  <c r="AE93" i="8" s="1"/>
  <c r="AD93" i="8"/>
  <c r="E367" i="6"/>
  <c r="D367" i="12"/>
  <c r="AC96" i="8"/>
  <c r="AC91" i="8" s="1"/>
  <c r="I475" i="5" l="1"/>
  <c r="O474" i="5"/>
  <c r="D413" i="12"/>
  <c r="E413" i="6"/>
  <c r="I415" i="5"/>
  <c r="O414" i="5"/>
  <c r="E289" i="6"/>
  <c r="D289" i="12"/>
  <c r="I291" i="5"/>
  <c r="O290" i="5"/>
  <c r="AD92" i="8"/>
  <c r="AE97" i="8" a="1"/>
  <c r="AE97" i="8" s="1"/>
  <c r="AE96" i="8" s="1"/>
  <c r="AD96" i="8"/>
  <c r="AD91" i="8" s="1"/>
  <c r="D473" i="12"/>
  <c r="E473" i="6"/>
  <c r="AF96" i="8" l="1"/>
  <c r="AE91" i="8"/>
  <c r="E290" i="6"/>
  <c r="D290" i="12"/>
  <c r="I292" i="5"/>
  <c r="O291" i="5"/>
  <c r="E414" i="6"/>
  <c r="D414" i="12"/>
  <c r="O415" i="5"/>
  <c r="I416" i="5"/>
  <c r="D474" i="12"/>
  <c r="E474" i="6"/>
  <c r="AE92" i="8"/>
  <c r="AF97" i="8"/>
  <c r="O475" i="5"/>
  <c r="I476" i="5"/>
  <c r="I417" i="5" l="1"/>
  <c r="O416" i="5"/>
  <c r="E415" i="6"/>
  <c r="D415" i="12"/>
  <c r="E291" i="6"/>
  <c r="D291" i="12"/>
  <c r="I293" i="5"/>
  <c r="O292" i="5"/>
  <c r="I477" i="5"/>
  <c r="O476" i="5"/>
  <c r="E475" i="6"/>
  <c r="D475" i="12"/>
  <c r="AF98" i="8"/>
  <c r="D476" i="12" l="1"/>
  <c r="E476" i="6"/>
  <c r="I478" i="5"/>
  <c r="O477" i="5"/>
  <c r="D292" i="12"/>
  <c r="E292" i="6"/>
  <c r="I294" i="5"/>
  <c r="O293" i="5"/>
  <c r="E416" i="6"/>
  <c r="D416" i="12"/>
  <c r="I418" i="5"/>
  <c r="O417" i="5"/>
  <c r="D417" i="12" l="1"/>
  <c r="E417" i="6"/>
  <c r="E293" i="6"/>
  <c r="D293" i="12"/>
  <c r="I419" i="5"/>
  <c r="O418" i="5"/>
  <c r="I295" i="5"/>
  <c r="O294" i="5"/>
  <c r="E477" i="6"/>
  <c r="D477" i="12"/>
  <c r="I479" i="5"/>
  <c r="O478" i="5"/>
  <c r="E478" i="6" l="1"/>
  <c r="D478" i="12"/>
  <c r="O479" i="5"/>
  <c r="I480" i="5"/>
  <c r="D294" i="12"/>
  <c r="E294" i="6"/>
  <c r="I296" i="5"/>
  <c r="O295" i="5"/>
  <c r="E418" i="6"/>
  <c r="D418" i="12"/>
  <c r="I420" i="5"/>
  <c r="O419" i="5"/>
  <c r="D419" i="12" l="1"/>
  <c r="E419" i="6"/>
  <c r="D295" i="12"/>
  <c r="E295" i="6"/>
  <c r="O420" i="5"/>
  <c r="I421" i="5"/>
  <c r="I297" i="5"/>
  <c r="O296" i="5"/>
  <c r="I481" i="5"/>
  <c r="O480" i="5"/>
  <c r="E479" i="6"/>
  <c r="D479" i="12"/>
  <c r="O481" i="5" l="1"/>
  <c r="I482" i="5"/>
  <c r="O482" i="5" s="1"/>
  <c r="E296" i="6"/>
  <c r="D296" i="12"/>
  <c r="D480" i="12"/>
  <c r="E480" i="6"/>
  <c r="I298" i="5"/>
  <c r="O297" i="5"/>
  <c r="I422" i="5"/>
  <c r="O421" i="5"/>
  <c r="E420" i="6"/>
  <c r="D420" i="12"/>
  <c r="I423" i="5" l="1"/>
  <c r="O422" i="5"/>
  <c r="D297" i="12"/>
  <c r="E297" i="6"/>
  <c r="D421" i="12"/>
  <c r="E421" i="6"/>
  <c r="I299" i="5"/>
  <c r="O298" i="5"/>
  <c r="D482" i="12"/>
  <c r="E482" i="6"/>
  <c r="E481" i="6"/>
  <c r="D481" i="12"/>
  <c r="D298" i="12" l="1"/>
  <c r="E298" i="6"/>
  <c r="I300" i="5"/>
  <c r="O299" i="5"/>
  <c r="D422" i="12"/>
  <c r="E422" i="6"/>
  <c r="O423" i="5"/>
  <c r="I424" i="5"/>
  <c r="I425" i="5" l="1"/>
  <c r="O425" i="5" s="1"/>
  <c r="O424" i="5"/>
  <c r="D423" i="12"/>
  <c r="E423" i="6"/>
  <c r="D299" i="12"/>
  <c r="E299" i="6"/>
  <c r="I301" i="5"/>
  <c r="O300" i="5"/>
  <c r="D300" i="12" l="1"/>
  <c r="E300" i="6"/>
  <c r="I302" i="5"/>
  <c r="O301" i="5"/>
  <c r="D424" i="12"/>
  <c r="E424" i="6"/>
  <c r="D425" i="12"/>
  <c r="E425" i="6"/>
  <c r="D301" i="12" l="1"/>
  <c r="E301" i="6"/>
  <c r="I303" i="5"/>
  <c r="O302" i="5"/>
  <c r="D302" i="12" l="1"/>
  <c r="E302" i="6"/>
  <c r="I304" i="5"/>
  <c r="O303" i="5"/>
  <c r="E303" i="6" l="1"/>
  <c r="D303" i="12"/>
  <c r="I305" i="5"/>
  <c r="O305" i="5" s="1"/>
  <c r="O304" i="5"/>
  <c r="E304" i="6" l="1"/>
  <c r="D304" i="12"/>
  <c r="E305" i="6"/>
  <c r="D305" i="12"/>
</calcChain>
</file>

<file path=xl/comments1.xml><?xml version="1.0" encoding="utf-8"?>
<comments xmlns="http://schemas.openxmlformats.org/spreadsheetml/2006/main">
  <authors>
    <author/>
  </authors>
  <commentList>
    <comment ref="F41" authorId="0" shapeId="0">
      <text>
        <r>
          <rPr>
            <sz val="9"/>
            <color indexed="8"/>
            <rFont val="Segoe UI"/>
            <family val="2"/>
          </rPr>
          <t>Informar a data-base do CTEF no formato mm-aaaa.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I6" authorId="0" shape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J7" authorId="0" shapeId="0">
      <text>
        <r>
          <rPr>
            <b/>
            <sz val="9"/>
            <color indexed="8"/>
            <rFont val="Tahoma"/>
            <family val="2"/>
          </rPr>
          <t xml:space="preserve">QUANTIDADES:
</t>
        </r>
        <r>
          <rPr>
            <sz val="9"/>
            <color indexed="8"/>
            <rFont val="Tahoma"/>
            <family val="2"/>
          </rPr>
          <t>PREENCHA AS QUANTIDADES AQUI PARA ACOMPANHAMENTOS POR BM.</t>
        </r>
      </text>
    </comment>
    <comment ref="AL7" authorId="0" shapeId="0">
      <text>
        <r>
          <rPr>
            <b/>
            <sz val="9"/>
            <color indexed="8"/>
            <rFont val="Tahoma"/>
            <family val="2"/>
          </rPr>
          <t xml:space="preserve">PREÇO UNITÁRIO LICITADO:
</t>
        </r>
        <r>
          <rPr>
            <sz val="9"/>
            <color indexed="8"/>
            <rFont val="Tahoma"/>
            <family val="2"/>
          </rPr>
          <t>PREENCHA AQUI O PREÇO UNITÁRIO DA LICITAÇÃO.</t>
        </r>
      </text>
    </comment>
    <comment ref="L8" authorId="0" shape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  <comment ref="Y8" authorId="0" shapeId="0">
      <text>
        <r>
          <rPr>
            <b/>
            <sz val="9"/>
            <color indexed="8"/>
            <rFont val="Tahoma"/>
            <family val="2"/>
          </rPr>
          <t xml:space="preserve">RECURSO:
</t>
        </r>
        <r>
          <rPr>
            <sz val="9"/>
            <color indexed="8"/>
            <rFont val="Tahoma"/>
            <family val="2"/>
          </rPr>
          <t>Selecione a composição do item do Orçamento no Investimento.
RA: Rateio proporcional entre Repasse e Contrapartida.
RP: 100% valor de Repasse.
CP: 100%  valor de Contrapartida.
OU: 100% valor "Outros".</t>
        </r>
      </text>
    </comment>
  </commentList>
</comments>
</file>

<file path=xl/comments4.xml><?xml version="1.0" encoding="utf-8"?>
<comments xmlns="http://schemas.openxmlformats.org/spreadsheetml/2006/main">
  <authors>
    <author/>
  </authors>
  <commentList>
    <comment ref="D15" authorId="0" shapeId="0">
      <text>
        <r>
          <rPr>
            <sz val="9"/>
            <color indexed="8"/>
            <rFont val="Segoe UI"/>
            <family val="2"/>
          </rPr>
          <t>O evento de administração local é fixo, de uso opcional.
Os serviços agrupados neste evento serão medidos proporcionalmente à execução dos demais eventos.</t>
        </r>
      </text>
    </comment>
  </commentList>
</comments>
</file>

<file path=xl/comments5.xml><?xml version="1.0" encoding="utf-8"?>
<comments xmlns="http://schemas.openxmlformats.org/spreadsheetml/2006/main">
  <authors>
    <author/>
  </authors>
  <commentList>
    <comment ref="C7" authorId="0" shape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</commentList>
</comments>
</file>

<file path=xl/comments6.xml><?xml version="1.0" encoding="utf-8"?>
<comments xmlns="http://schemas.openxmlformats.org/spreadsheetml/2006/main">
  <authors>
    <author/>
  </authors>
  <commentList>
    <comment ref="C8" authorId="0" shape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  <comment ref="AB12" authorId="0" shapeId="0">
      <text>
        <r>
          <rPr>
            <sz val="9"/>
            <color indexed="8"/>
            <rFont val="Segoe UI"/>
            <family val="2"/>
          </rPr>
          <t>Digite nestes campos as datas das medições</t>
        </r>
      </text>
    </comment>
    <comment ref="AB13" authorId="0" shapeId="0">
      <text>
        <r>
          <rPr>
            <sz val="9"/>
            <color indexed="8"/>
            <rFont val="Tahoma"/>
            <family val="2"/>
          </rPr>
          <t xml:space="preserve">Para medições além da 12ª, preencha esta coluna com as </t>
        </r>
        <r>
          <rPr>
            <b/>
            <sz val="9"/>
            <color indexed="8"/>
            <rFont val="Tahoma"/>
            <family val="2"/>
          </rPr>
          <t>quantidades acumuladas.</t>
        </r>
      </text>
    </comment>
  </commentList>
</comments>
</file>

<file path=xl/comments7.xml><?xml version="1.0" encoding="utf-8"?>
<comments xmlns="http://schemas.openxmlformats.org/spreadsheetml/2006/main">
  <authors>
    <author/>
  </authors>
  <commentList>
    <comment ref="D7" authorId="0" shapeId="0">
      <text>
        <r>
          <rPr>
            <b/>
            <sz val="9"/>
            <color indexed="8"/>
            <rFont val="Tahoma"/>
            <family val="2"/>
          </rPr>
          <t xml:space="preserve">FILTRO:
</t>
        </r>
        <r>
          <rPr>
            <sz val="9"/>
            <color indexed="8"/>
            <rFont val="Tahoma"/>
            <family val="2"/>
          </rPr>
          <t>Após a conclusão do Orçamento, utilize o filtro nessa coluna com o valor "F" para ocultar linhas não utilizadas.</t>
        </r>
      </text>
    </comment>
    <comment ref="Z25" authorId="0" shapeId="0">
      <text>
        <r>
          <rPr>
            <b/>
            <sz val="9"/>
            <color indexed="8"/>
            <rFont val="Segoe UI"/>
            <family val="2"/>
          </rPr>
          <t xml:space="preserve">Valores de Contrapartida e Outros:
</t>
        </r>
        <r>
          <rPr>
            <sz val="9"/>
            <color indexed="8"/>
            <rFont val="Segoe UI"/>
            <family val="2"/>
          </rPr>
          <t>Digite somente para desbloquear valores diferentes do previsto no RRE.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<sst xmlns="http://schemas.openxmlformats.org/spreadsheetml/2006/main" count="5924" uniqueCount="1034">
  <si>
    <t>PM</t>
  </si>
  <si>
    <t>Licitado</t>
  </si>
  <si>
    <t>Fundo amarelo: células para preencher</t>
  </si>
  <si>
    <t>Fundo azul: células para seleção de opções</t>
  </si>
  <si>
    <t>BM</t>
  </si>
  <si>
    <t>A. DOCUMENTAÇÃO DA PROPOSTA</t>
  </si>
  <si>
    <t>Sub-Itens de Investimento</t>
  </si>
  <si>
    <t>Itens de Investimento</t>
  </si>
  <si>
    <t>Unidades habitacionais</t>
  </si>
  <si>
    <t>Equipamentos comunitários</t>
  </si>
  <si>
    <t>Pavimentação</t>
  </si>
  <si>
    <t xml:space="preserve">Drenagem </t>
  </si>
  <si>
    <t>Abastecimento de água</t>
  </si>
  <si>
    <t>Esgotamento sanitário</t>
  </si>
  <si>
    <t>Energia elétrica e iluminação pública</t>
  </si>
  <si>
    <t>Coleta e tratamento de resíduos sólidos</t>
  </si>
  <si>
    <t xml:space="preserve">Contenção e estabilização de encostas </t>
  </si>
  <si>
    <t>Regularização fundiária</t>
  </si>
  <si>
    <t>Aquisição de terreno</t>
  </si>
  <si>
    <t>Aquisição de equipamentos e insumos</t>
  </si>
  <si>
    <t>Elaboração de estudos e projetos</t>
  </si>
  <si>
    <t>Instrumentos e ações em planejamento e gestão pública</t>
  </si>
  <si>
    <t>Ações complementares às obras</t>
  </si>
  <si>
    <t>Gerenciamento</t>
  </si>
  <si>
    <t>Trabalho social</t>
  </si>
  <si>
    <t>Dados do Contrato (Inicial)</t>
  </si>
  <si>
    <t>Aquisição</t>
  </si>
  <si>
    <t>un</t>
  </si>
  <si>
    <t>Convivência comunitária, assistência social e/ou comunitária</t>
  </si>
  <si>
    <t>m²</t>
  </si>
  <si>
    <t>Capeamento de vias</t>
  </si>
  <si>
    <t xml:space="preserve">Obras de microdrenagem </t>
  </si>
  <si>
    <t>m</t>
  </si>
  <si>
    <t>Captação subterrânea</t>
  </si>
  <si>
    <t>m³/s</t>
  </si>
  <si>
    <t>Ligações domiciliares e/ou intradomiciliares</t>
  </si>
  <si>
    <t>Iluminação pública - luminárias</t>
  </si>
  <si>
    <t xml:space="preserve">Acondicionamento </t>
  </si>
  <si>
    <t>Estabilização de taludes</t>
  </si>
  <si>
    <t>Desapropriacões/Indenizações</t>
  </si>
  <si>
    <t>Avaliação pós intervenção</t>
  </si>
  <si>
    <t>%CT</t>
  </si>
  <si>
    <t>Projeto de Trabalho Social Preliminar</t>
  </si>
  <si>
    <t>nº fam</t>
  </si>
  <si>
    <t>Fonte de recursos:</t>
  </si>
  <si>
    <t>Construção</t>
  </si>
  <si>
    <t>Educação e cultura</t>
  </si>
  <si>
    <t>Recapeamento de vias</t>
  </si>
  <si>
    <t>Desassoreamento de cursos de água</t>
  </si>
  <si>
    <t>Captação superficial</t>
  </si>
  <si>
    <t>Rede coletora e/ou condominial</t>
  </si>
  <si>
    <t>Ligações domiciliares</t>
  </si>
  <si>
    <t>Aterro sanitário e/ou disposição final</t>
  </si>
  <si>
    <t>m³</t>
  </si>
  <si>
    <t>Obras complementares a ações de redução de risco e/ou contenções</t>
  </si>
  <si>
    <t>Projeto de Regularização Fundiária</t>
  </si>
  <si>
    <t>Benfeitorias</t>
  </si>
  <si>
    <t>Demolições</t>
  </si>
  <si>
    <t>Projeto de Trabalho Social</t>
  </si>
  <si>
    <t>Proponente/Tomador:</t>
  </si>
  <si>
    <t>Reforma e/ou melhoria</t>
  </si>
  <si>
    <t>Esportes</t>
  </si>
  <si>
    <t>Obras de artes especiais</t>
  </si>
  <si>
    <t>Canalização de cursos de água</t>
  </si>
  <si>
    <t>Estação de bombeamento de água bruta</t>
  </si>
  <si>
    <t>Coletor tronco e/ou interceptores</t>
  </si>
  <si>
    <t xml:space="preserve">Linhas de distribuição - baixa tensão </t>
  </si>
  <si>
    <t>Erradicação de lixões</t>
  </si>
  <si>
    <t>Plano de Reassentamento e medidas compensatórias</t>
  </si>
  <si>
    <t>Plano de Desenvolvimento Socioterritorial</t>
  </si>
  <si>
    <t>Município/UF:</t>
  </si>
  <si>
    <t>Lazer e turismo</t>
  </si>
  <si>
    <t>Pavimentação de calçadas</t>
  </si>
  <si>
    <t>Recomposição de vegetação ciliar, renaturalização de cursos de água ou restauração de margens</t>
  </si>
  <si>
    <t>Adução</t>
  </si>
  <si>
    <t>Emissário</t>
  </si>
  <si>
    <t xml:space="preserve">Linhas de transmissão - alta tensão </t>
  </si>
  <si>
    <t>Sistema de coleta seletiva tradicional, transporte e/ou equipamentos</t>
  </si>
  <si>
    <t>Plano de Gestão Condominial</t>
  </si>
  <si>
    <t>Nº da Operação (0000000-00):</t>
  </si>
  <si>
    <t>Saúde</t>
  </si>
  <si>
    <t>Pavimentação de vias</t>
  </si>
  <si>
    <t>Reservatório de amortecimento de cheias</t>
  </si>
  <si>
    <t>Estação de Tratamento de Água (ETA)</t>
  </si>
  <si>
    <t>Estação Elevatória</t>
  </si>
  <si>
    <t xml:space="preserve">Tratamento local </t>
  </si>
  <si>
    <t>Segurança pública</t>
  </si>
  <si>
    <t>Sinalização</t>
  </si>
  <si>
    <t>Estação de Bombeamento</t>
  </si>
  <si>
    <t>Estação de bombeamento de água tratada</t>
  </si>
  <si>
    <t>Estação de Tratamento de Esgoto (ETE)</t>
  </si>
  <si>
    <t xml:space="preserve">Usinas de reciclagem </t>
  </si>
  <si>
    <t>Linha de recalque</t>
  </si>
  <si>
    <t>Sistema simplificado de tratamento</t>
  </si>
  <si>
    <t>Valor de Contrapartida Contratada (R$):</t>
  </si>
  <si>
    <t>Reservação</t>
  </si>
  <si>
    <t>Unidades sanitárias</t>
  </si>
  <si>
    <t>% mínimo de Contrapartida:</t>
  </si>
  <si>
    <t>Rede de distribuição</t>
  </si>
  <si>
    <t>R$ mínimo de Contrapartida (se houver):</t>
  </si>
  <si>
    <t>% máximo de Contrapartida:</t>
  </si>
  <si>
    <t>Sistema simplificado de abastecimento</t>
  </si>
  <si>
    <t>Dados do Empreendimento e Orçamento</t>
  </si>
  <si>
    <t>Nome/apelido:</t>
  </si>
  <si>
    <t>Descrição do Objeto do Lote / CTEF:</t>
  </si>
  <si>
    <t>Regime previdenciário previsto para a obra:</t>
  </si>
  <si>
    <t>Data base do Orçamento:</t>
  </si>
  <si>
    <t>Responsável pelo Orçamento</t>
  </si>
  <si>
    <t>Nome:</t>
  </si>
  <si>
    <t>CREA/CAU:</t>
  </si>
  <si>
    <t>ART/RRT:</t>
  </si>
  <si>
    <t>Data do preenchimento:</t>
  </si>
  <si>
    <t>Responsável pelo Tomador (Prefeito, no caso de Municípios)</t>
  </si>
  <si>
    <t>Cargo:</t>
  </si>
  <si>
    <t>B. RESULTADO DO PROCESSO LICITATÓRIO</t>
  </si>
  <si>
    <t>Licitação</t>
  </si>
  <si>
    <t>Data de emissão dos documentos de licitação:</t>
  </si>
  <si>
    <t>Nº do CTEF (contrato com empresa):</t>
  </si>
  <si>
    <t>Nome da empresa:</t>
  </si>
  <si>
    <t>CNPJ da empresa:</t>
  </si>
  <si>
    <t>Regime de execução do CTEF:</t>
  </si>
  <si>
    <t>Data base do CTEF:</t>
  </si>
  <si>
    <t>C. ACOMPANHAMENTO DO EMPREENDIMENTO</t>
  </si>
  <si>
    <t>Dados da obra</t>
  </si>
  <si>
    <t>Data do Início da Obra:</t>
  </si>
  <si>
    <t>Data de fechamento do RRE:</t>
  </si>
  <si>
    <t>Responsável pela Fiscalização</t>
  </si>
  <si>
    <t>Profissão:</t>
  </si>
  <si>
    <t>CREA/CAU (para obras/projetos):</t>
  </si>
  <si>
    <t>ART/RRT (para obras/projetos):</t>
  </si>
  <si>
    <t>D. ACOMPANHAMENTO CAIXA</t>
  </si>
  <si>
    <t>Responsável Gerencial</t>
  </si>
  <si>
    <t>Função:</t>
  </si>
  <si>
    <t>Novidades da Versão</t>
  </si>
  <si>
    <t>V3.0.0</t>
  </si>
  <si>
    <t>GERAL</t>
  </si>
  <si>
    <t>Lançamento: Adequação à Portaria 424/2016. Acompanhamento por Eventos.</t>
  </si>
  <si>
    <t>MIN</t>
  </si>
  <si>
    <t>MED</t>
  </si>
  <si>
    <t>MAX</t>
  </si>
  <si>
    <t>Grau de Sigilo</t>
  </si>
  <si>
    <t>Construção e Reforma de Edifícios</t>
  </si>
  <si>
    <t>AC</t>
  </si>
  <si>
    <t>#PUBLICO</t>
  </si>
  <si>
    <t>SG</t>
  </si>
  <si>
    <t>R</t>
  </si>
  <si>
    <t>Nº OPERAÇÃO</t>
  </si>
  <si>
    <t>PROPONENTE / TOMADOR</t>
  </si>
  <si>
    <t>DF</t>
  </si>
  <si>
    <t>L</t>
  </si>
  <si>
    <t>BDI PAD</t>
  </si>
  <si>
    <t>APELIDO DO EMPREENDIMENTO / DESCRIÇÃO DO LOTE</t>
  </si>
  <si>
    <t>Construção de Praças Urbanas, Rodovias, Ferrovias e recapeamento e pavimentação de vias urbanas</t>
  </si>
  <si>
    <t>Conforme legislação tributária municipal, definir estimativa de percentual da base de cálculo para o ISS:</t>
  </si>
  <si>
    <t>Sobre a base de cálculo, definir a respectiva alíquota do ISS (entre 2% e 5%):</t>
  </si>
  <si>
    <t>Construção de Redes de Abastecimento de Água, Coleta de Esgoto</t>
  </si>
  <si>
    <t>BDI 1</t>
  </si>
  <si>
    <t>TIPO DE OBRA</t>
  </si>
  <si>
    <t>Itens</t>
  </si>
  <si>
    <t>Siglas</t>
  </si>
  <si>
    <t>% Adotado</t>
  </si>
  <si>
    <t>Situação</t>
  </si>
  <si>
    <t>1º Quartil</t>
  </si>
  <si>
    <t>Médio</t>
  </si>
  <si>
    <t>3º Quartil</t>
  </si>
  <si>
    <t>Construção e Manutenção de Estações e Redes de Distribuição de Energia Elétrica</t>
  </si>
  <si>
    <t>-</t>
  </si>
  <si>
    <t>Obras Portuárias, Marítimas e Fluviais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</si>
  <si>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</si>
  <si>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</si>
  <si>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</si>
  <si>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</si>
  <si>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</si>
  <si>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</si>
  <si>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</si>
  <si>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COM desoneração</t>
  </si>
  <si>
    <t>BDI DES</t>
  </si>
  <si>
    <t>Fornecimento de Materiais e Equipamentos (aquisição indireta - em conjunto com licitação de obras)</t>
  </si>
  <si>
    <t>Os valores de BDI foram calculados com o emprego da fórmula:</t>
  </si>
  <si>
    <t>BDI =</t>
  </si>
  <si>
    <t xml:space="preserve"> - 1</t>
  </si>
  <si>
    <t>(1-CP-ISS-CRPB)</t>
  </si>
  <si>
    <t>Fornecimento de Materiais e Equipamentos (aquisição direta)</t>
  </si>
  <si>
    <t>Estudos e Projetos, Planos e Gerenciamento e outros correlatos</t>
  </si>
  <si>
    <t>K1</t>
  </si>
  <si>
    <t>K2</t>
  </si>
  <si>
    <t>K3</t>
  </si>
  <si>
    <t>Observações:</t>
  </si>
  <si>
    <t>Local</t>
  </si>
  <si>
    <t>Data</t>
  </si>
  <si>
    <t>Responsável Técnico</t>
  </si>
  <si>
    <t>BDI 2</t>
  </si>
  <si>
    <t>BDI 3</t>
  </si>
  <si>
    <t>PO - PLANILHA ORÇAMENTÁRIA</t>
  </si>
  <si>
    <t>LOTE</t>
  </si>
  <si>
    <t>Meta</t>
  </si>
  <si>
    <t>Nível 2</t>
  </si>
  <si>
    <t>Nível 3</t>
  </si>
  <si>
    <t>Nível 4</t>
  </si>
  <si>
    <t>Serviço</t>
  </si>
  <si>
    <t>Arredondamento</t>
  </si>
  <si>
    <t>Nmax</t>
  </si>
  <si>
    <t>APELIDO DO EMPREENDIMENTO</t>
  </si>
  <si>
    <t>Quantidade</t>
  </si>
  <si>
    <t>LOCALIDADE SINAPI</t>
  </si>
  <si>
    <t>DATA BASE</t>
  </si>
  <si>
    <t>Custo Unitáro</t>
  </si>
  <si>
    <t>QUANTIDADES: ACOMP. POR BM</t>
  </si>
  <si>
    <t>PREÇO UNITÁRIO LICITADO</t>
  </si>
  <si>
    <t>FILTRO</t>
  </si>
  <si>
    <t>RECURSO</t>
  </si>
  <si>
    <t>SGL RECURSO</t>
  </si>
  <si>
    <t>BDI</t>
  </si>
  <si>
    <t>Preço Unitário</t>
  </si>
  <si>
    <t>ERRO GERAL</t>
  </si>
  <si>
    <t>Preço Total</t>
  </si>
  <si>
    <t>Valores não Arredondados</t>
  </si>
  <si>
    <t>↓</t>
  </si>
  <si>
    <t>Nível E</t>
  </si>
  <si>
    <t>Save Nivel</t>
  </si>
  <si>
    <t>Nível C</t>
  </si>
  <si>
    <t>Altura</t>
  </si>
  <si>
    <t>n1</t>
  </si>
  <si>
    <t>n2</t>
  </si>
  <si>
    <t>n3</t>
  </si>
  <si>
    <t>n4</t>
  </si>
  <si>
    <t>n5</t>
  </si>
  <si>
    <t>Czero</t>
  </si>
  <si>
    <t>Cnível</t>
  </si>
  <si>
    <t>Nível</t>
  </si>
  <si>
    <t>Nível Corrigido</t>
  </si>
  <si>
    <t>Item</t>
  </si>
  <si>
    <t>Fonte</t>
  </si>
  <si>
    <t>Código</t>
  </si>
  <si>
    <t>Descrição</t>
  </si>
  <si>
    <t>Unidade</t>
  </si>
  <si>
    <t>Preço Unitário (com BDI) (R$)</t>
  </si>
  <si>
    <t>Preço Total
(R$)</t>
  </si>
  <si>
    <t>Contrapartida (R$)</t>
  </si>
  <si>
    <t>Outros (R$)</t>
  </si>
  <si>
    <t>Erro de Dados</t>
  </si>
  <si>
    <t>Lista Crono</t>
  </si>
  <si>
    <t>Concatenação Fonte-Código</t>
  </si>
  <si>
    <t>BancoDesloc</t>
  </si>
  <si>
    <t>Preço Total
Licit. (R$)</t>
  </si>
  <si>
    <t>RA</t>
  </si>
  <si>
    <t>F</t>
  </si>
  <si>
    <t>SINAPI</t>
  </si>
  <si>
    <t>Encargos sociais:</t>
  </si>
  <si>
    <t>Para elaboração deste orçamento, foram utilizados os encargos sociais do SINAPI para a Unidade da Federação indicada.</t>
  </si>
  <si>
    <t>Siglas da Composição do Investimento: RA - Rateio proporcional entre Repasse e Contrapartida; RP - 100% Repasse; CP - 100% Contrapartida; OU - 100% Outros.</t>
  </si>
  <si>
    <t>Preços dos serviços por frente</t>
  </si>
  <si>
    <t>Mês do cronograma</t>
  </si>
  <si>
    <t>Número da Medição</t>
  </si>
  <si>
    <t>Empty</t>
  </si>
  <si>
    <t>.</t>
  </si>
  <si>
    <t>Nº AGRUPADOR DE EVENTOS</t>
  </si>
  <si>
    <t>FRENTES DE OBRA:</t>
  </si>
  <si>
    <t>AUTOEVENTO</t>
  </si>
  <si>
    <t>Memória de Cálculo</t>
  </si>
  <si>
    <t>Nº</t>
  </si>
  <si>
    <t># Evento</t>
  </si>
  <si>
    <t>Agrupador de Eventos</t>
  </si>
  <si>
    <t>TOTAL FINANC. POR FRENTE (R$):</t>
  </si>
  <si>
    <t>AGRUPADORES DE EVENTOS</t>
  </si>
  <si>
    <t>1. Selecione abaixo a forma de definição dos agrupadores de eventos:</t>
  </si>
  <si>
    <t>Nº do Evento</t>
  </si>
  <si>
    <t>Título do Evento</t>
  </si>
  <si>
    <t>Valor Total dos Eventos (R$)</t>
  </si>
  <si>
    <t>Administração Local</t>
  </si>
  <si>
    <t>% Período:</t>
  </si>
  <si>
    <t>Níveis a Exibir no Cronograma:</t>
  </si>
  <si>
    <t>PROPONENTE TOMADOR</t>
  </si>
  <si>
    <t>APELIDO EMPREENDIMENTO</t>
  </si>
  <si>
    <t>Falta distribuir:</t>
  </si>
  <si>
    <t>Valor (R$)</t>
  </si>
  <si>
    <t>Parcelas:</t>
  </si>
  <si>
    <t>Item CRONO</t>
  </si>
  <si>
    <t>OU</t>
  </si>
  <si>
    <t>Linha PO
Linha QCI
Total Adm Local</t>
  </si>
  <si>
    <t>Linhas a somar</t>
  </si>
  <si>
    <t>#</t>
  </si>
  <si>
    <t>%:</t>
  </si>
  <si>
    <t>Período:</t>
  </si>
  <si>
    <t>Contrapartida:</t>
  </si>
  <si>
    <t>Outros:</t>
  </si>
  <si>
    <t>Investimento:</t>
  </si>
  <si>
    <t>Acumulado:</t>
  </si>
  <si>
    <t>CRONOGRAMA PREVISTO PLE</t>
  </si>
  <si>
    <t>1. Digite nas células em amarelo o número do período em que os eventos serão concluídos:</t>
  </si>
  <si>
    <t>Filtro</t>
  </si>
  <si>
    <t>Título dos Eventos</t>
  </si>
  <si>
    <t>Informe abaixo o NÚMERO DO PERÍODO em que os eventos serão concluídos</t>
  </si>
  <si>
    <t>PLE - PLANILHA DE LEVANTAMENTO DE EVENTOS</t>
  </si>
  <si>
    <t>Medição:</t>
  </si>
  <si>
    <t>% Realizado Período.:</t>
  </si>
  <si>
    <t>% Realizado Acum.:</t>
  </si>
  <si>
    <t>Informe abaixo o NÚMERO DA MEDIÇÃO em que os eventos foram concluídos</t>
  </si>
  <si>
    <t>Data das Medições</t>
  </si>
  <si>
    <t>Medições</t>
  </si>
  <si>
    <t>%</t>
  </si>
  <si>
    <t>R$</t>
  </si>
  <si>
    <t>Responsável Técnico pela Fiscalização</t>
  </si>
  <si>
    <t>QCI - Quadro de Composição do Investimento</t>
  </si>
  <si>
    <t>% Maior:</t>
  </si>
  <si>
    <t>% Rateio CP Fin:</t>
  </si>
  <si>
    <t>MUNICÍPIO / UF</t>
  </si>
  <si>
    <t>VALORES CONTRATADOS (R$):</t>
  </si>
  <si>
    <t>CONTRAPARTIDA</t>
  </si>
  <si>
    <t>INVESTIMENTO</t>
  </si>
  <si>
    <t>% CP Min Prog:</t>
  </si>
  <si>
    <t>% CP Absoluta:</t>
  </si>
  <si>
    <t>% CP Max Rep:</t>
  </si>
  <si>
    <t>Saldo a Reprogramar</t>
  </si>
  <si>
    <t>Ordem Meta</t>
  </si>
  <si>
    <t>Arred</t>
  </si>
  <si>
    <t>Repasse (R$)</t>
  </si>
  <si>
    <t>Proporcional</t>
  </si>
  <si>
    <t>Busca</t>
  </si>
  <si>
    <t>Item de Investimento</t>
  </si>
  <si>
    <t>Subitem de Investimento</t>
  </si>
  <si>
    <t>Descrição da Meta</t>
  </si>
  <si>
    <t>Unid.</t>
  </si>
  <si>
    <t>Lote de Licitação / nº do CTEF</t>
  </si>
  <si>
    <t>Contrapartida Financeira (R$)</t>
  </si>
  <si>
    <t>Investimento (R$)</t>
  </si>
  <si>
    <t>Divisão do Investimento</t>
  </si>
  <si>
    <t>TR$</t>
  </si>
  <si>
    <t>TOTAL</t>
  </si>
  <si>
    <t>T%</t>
  </si>
  <si>
    <t>Representante Tomador</t>
  </si>
  <si>
    <t>Modo CAIXA</t>
  </si>
  <si>
    <t>INÍCIO DE OBRA</t>
  </si>
  <si>
    <t xml:space="preserve">Regime </t>
  </si>
  <si>
    <t>Fórmula CopMed</t>
  </si>
  <si>
    <t>Nº CTEF</t>
  </si>
  <si>
    <t>EMPRESA EXECUTORA</t>
  </si>
  <si>
    <t>CNPJ</t>
  </si>
  <si>
    <t>PERÍODO DA MEDIÇÃO</t>
  </si>
  <si>
    <t>Nº MEDIÇÃO</t>
  </si>
  <si>
    <t>ARREDMED</t>
  </si>
  <si>
    <t>Anexo</t>
  </si>
  <si>
    <t>Datas das Medições</t>
  </si>
  <si>
    <t>Orçamento Contratado</t>
  </si>
  <si>
    <t>Evolução Financeira (R$)</t>
  </si>
  <si>
    <t>Quadro de Glosas</t>
  </si>
  <si>
    <t>Acum. Anterior</t>
  </si>
  <si>
    <t>Período</t>
  </si>
  <si>
    <t>Acum. Incluindo o Período</t>
  </si>
  <si>
    <t>Valor Total Glosado (R$)</t>
  </si>
  <si>
    <t>Motivo da Glosa</t>
  </si>
  <si>
    <t>Valor Total Medido (R$)</t>
  </si>
  <si>
    <t>TOTAL:</t>
  </si>
  <si>
    <t>Observações</t>
  </si>
  <si>
    <t>Profissional CAIXA:</t>
  </si>
  <si>
    <t>Matrícula</t>
  </si>
  <si>
    <t>Acum. Previsto</t>
  </si>
  <si>
    <t>Acum. Chegada</t>
  </si>
  <si>
    <t>Outros</t>
  </si>
  <si>
    <t>Nº RRE</t>
  </si>
  <si>
    <t>Investimento</t>
  </si>
  <si>
    <t>Situação do TC/CR:</t>
  </si>
  <si>
    <t>Percentual previsto em:</t>
  </si>
  <si>
    <t>Lista CTEF</t>
  </si>
  <si>
    <t>PLE</t>
  </si>
  <si>
    <t>Acumulado Período Anterior</t>
  </si>
  <si>
    <t>Acumulado incluindo o Período</t>
  </si>
  <si>
    <t>Linha
PO</t>
  </si>
  <si>
    <t>BM / PLE nº</t>
  </si>
  <si>
    <t>Valor Total (R$)</t>
  </si>
  <si>
    <t>Acum. Período Anterior - CP</t>
  </si>
  <si>
    <t>Acum. Período Anterior - Outros</t>
  </si>
  <si>
    <t>No Período</t>
  </si>
  <si>
    <t>Acum. Incluindo Período - CP</t>
  </si>
  <si>
    <t>Acum. Incluindo Período - Outros</t>
  </si>
  <si>
    <t>Execução Física Acum.</t>
  </si>
  <si>
    <t>(%)</t>
  </si>
  <si>
    <t>Anterior (R$)</t>
  </si>
  <si>
    <t>Acumulado (R$)</t>
  </si>
  <si>
    <t>Max CP/OU Ant.</t>
  </si>
  <si>
    <t>Max CP/OU Acum.</t>
  </si>
  <si>
    <t>Contrapartida</t>
  </si>
  <si>
    <t># PÚBLICO</t>
  </si>
  <si>
    <t>Resumo de Valores por CTEF:</t>
  </si>
  <si>
    <t>CTEF:</t>
  </si>
  <si>
    <t>Valor Vigente (R$)</t>
  </si>
  <si>
    <t>Valor desta Medição (R$)</t>
  </si>
  <si>
    <t>Valor Acumulado (R$)</t>
  </si>
  <si>
    <t>Ofício n°:</t>
  </si>
  <si>
    <t>À</t>
  </si>
  <si>
    <t>CAIXA ECONÔMICA FEDERAL</t>
  </si>
  <si>
    <t>Assunto:</t>
  </si>
  <si>
    <t>REF:</t>
  </si>
  <si>
    <t>Objeto:</t>
  </si>
  <si>
    <t>Proponente / Tomador:</t>
  </si>
  <si>
    <t>Valores Vigentes do TC/CR</t>
  </si>
  <si>
    <t>Valores Medidos Acumulados</t>
  </si>
  <si>
    <t>Contrapartida Financeira:</t>
  </si>
  <si>
    <t>Execução Física:</t>
  </si>
  <si>
    <t>Atenciosamente,</t>
  </si>
  <si>
    <t>DADOS DO CONTRATO</t>
  </si>
  <si>
    <t>NOVIDADES DA VERSÃO</t>
  </si>
  <si>
    <t>LEGENDA:</t>
  </si>
  <si>
    <t>Fundo azul: navegação entre abas</t>
  </si>
  <si>
    <t>Fundo laranja: execução de macro</t>
  </si>
  <si>
    <r>
      <t xml:space="preserve">Cores das </t>
    </r>
    <r>
      <rPr>
        <b/>
        <sz val="10"/>
        <rFont val="Arial"/>
        <family val="2"/>
      </rPr>
      <t>células</t>
    </r>
    <r>
      <rPr>
        <sz val="10"/>
        <rFont val="Arial"/>
        <family val="2"/>
      </rPr>
      <t>:</t>
    </r>
  </si>
  <si>
    <r>
      <t xml:space="preserve">Cores dos </t>
    </r>
    <r>
      <rPr>
        <b/>
        <sz val="10"/>
        <rFont val="Arial"/>
        <family val="2"/>
      </rPr>
      <t>botões</t>
    </r>
    <r>
      <rPr>
        <sz val="10"/>
        <rFont val="Arial"/>
        <family val="2"/>
      </rPr>
      <t>:</t>
    </r>
  </si>
  <si>
    <t>Proposto</t>
  </si>
  <si>
    <t>Automática, conforme os agrupadores Nível 2 do Orçamento</t>
  </si>
  <si>
    <t>(SELECIONAR)</t>
  </si>
  <si>
    <t>GIGOV</t>
  </si>
  <si>
    <t>Lista CTEFs</t>
  </si>
  <si>
    <t>V3.0.1</t>
  </si>
  <si>
    <t>PO</t>
  </si>
  <si>
    <t>Preço Unitário Edital (R$)</t>
  </si>
  <si>
    <t>Ajustes de formatações.</t>
  </si>
  <si>
    <t>Correção da aplicação do BDI não desonerado.</t>
  </si>
  <si>
    <t>Inclusão de coluna exclusiva "Preço Unitário Edital", para o Modo 'Orçamento Licitado'.</t>
  </si>
  <si>
    <t>Custo Unitário Referência (R$)</t>
  </si>
  <si>
    <t>V3.0.2</t>
  </si>
  <si>
    <t>CRONOGRAMA</t>
  </si>
  <si>
    <t>QCI</t>
  </si>
  <si>
    <t>Correção na formulação do total por Repasse, CP e Outros.</t>
  </si>
  <si>
    <t>Correção na formulação do arredondamento no rateio dos valores do QCI.</t>
  </si>
  <si>
    <t>Correção na formulação do total acumulado por Repasse, CP e Outros</t>
  </si>
  <si>
    <t>RRE</t>
  </si>
  <si>
    <t>ORÇAMENTO</t>
  </si>
  <si>
    <t>Ampliada obtenção de dados da Planilha Referência de 20.000 para 65.536 linhas.</t>
  </si>
  <si>
    <t>Correção do Problema de Guias ocultas no BROFFICE.</t>
  </si>
  <si>
    <t>V3.0.3</t>
  </si>
  <si>
    <t>CÁLCULO</t>
  </si>
  <si>
    <t>Corrigida lentidão e travamento ao incluir e excluir frentes.</t>
  </si>
  <si>
    <t>V3.0.4</t>
  </si>
  <si>
    <t>Correção da CPRB que exibia 4,5% mesmo quando não desonerado.</t>
  </si>
  <si>
    <t>Correção da distribuição de Repasse, CP e Outros para as metas manuais.</t>
  </si>
  <si>
    <t>Adicionado botão para adotar a CP do QCI como CP do contrato (zera saldo a reprogramar de CP).</t>
  </si>
  <si>
    <t>V3.0.5</t>
  </si>
  <si>
    <t>Corrigido modo de Cálculo da Planilha para Automático.</t>
  </si>
  <si>
    <t>v3.0.6</t>
  </si>
  <si>
    <t>Arredondamento das frentes:</t>
  </si>
  <si>
    <t>Tradicional</t>
  </si>
  <si>
    <t>V3.0.6</t>
  </si>
  <si>
    <t>Nº do TransfereGOV (000000):</t>
  </si>
  <si>
    <t>Nº TransfereGOV</t>
  </si>
  <si>
    <t>Adicionado modo de arredondamento para compatibilidade com o TransfereGOV, altera na aba DADOS</t>
  </si>
  <si>
    <t>A planilha passará a ser disponibilizada com o formato .xlsm. Deve ser usado arquivo referência 1.9 ou superior, também no formato .xlsm</t>
  </si>
  <si>
    <t>Nº TRANSFEREGOV</t>
  </si>
  <si>
    <t>Nº TGOV</t>
  </si>
  <si>
    <t>103689</t>
  </si>
  <si>
    <t>98459</t>
  </si>
  <si>
    <t>101509</t>
  </si>
  <si>
    <t>99059</t>
  </si>
  <si>
    <t>98525</t>
  </si>
  <si>
    <t>96521</t>
  </si>
  <si>
    <t>96525</t>
  </si>
  <si>
    <t>96619</t>
  </si>
  <si>
    <t>96558</t>
  </si>
  <si>
    <t>96534</t>
  </si>
  <si>
    <t>104918</t>
  </si>
  <si>
    <t>104919</t>
  </si>
  <si>
    <t>96557</t>
  </si>
  <si>
    <t>96546</t>
  </si>
  <si>
    <t>96544</t>
  </si>
  <si>
    <t>96543</t>
  </si>
  <si>
    <t>104920</t>
  </si>
  <si>
    <t>104921</t>
  </si>
  <si>
    <t>104922</t>
  </si>
  <si>
    <t>92443</t>
  </si>
  <si>
    <t>92762</t>
  </si>
  <si>
    <t>92763</t>
  </si>
  <si>
    <t>92759</t>
  </si>
  <si>
    <t>92761</t>
  </si>
  <si>
    <t>92764</t>
  </si>
  <si>
    <t>92769</t>
  </si>
  <si>
    <t>92770</t>
  </si>
  <si>
    <t>97083</t>
  </si>
  <si>
    <t>97087</t>
  </si>
  <si>
    <t>101161</t>
  </si>
  <si>
    <t>103324</t>
  </si>
  <si>
    <t>103322</t>
  </si>
  <si>
    <t>103328</t>
  </si>
  <si>
    <t>101159</t>
  </si>
  <si>
    <t>102253</t>
  </si>
  <si>
    <t>102235</t>
  </si>
  <si>
    <t>100705</t>
  </si>
  <si>
    <t>100866</t>
  </si>
  <si>
    <t>102219</t>
  </si>
  <si>
    <t>94228</t>
  </si>
  <si>
    <t>94229</t>
  </si>
  <si>
    <t>100327</t>
  </si>
  <si>
    <t>101979</t>
  </si>
  <si>
    <t>98565</t>
  </si>
  <si>
    <t>87273</t>
  </si>
  <si>
    <t>96114</t>
  </si>
  <si>
    <t>104162</t>
  </si>
  <si>
    <t>87257</t>
  </si>
  <si>
    <t>87251</t>
  </si>
  <si>
    <t>88650</t>
  </si>
  <si>
    <t>98688</t>
  </si>
  <si>
    <t>98689</t>
  </si>
  <si>
    <t>98504</t>
  </si>
  <si>
    <t>88497</t>
  </si>
  <si>
    <t>88494</t>
  </si>
  <si>
    <t>88488</t>
  </si>
  <si>
    <t>89356</t>
  </si>
  <si>
    <t>103978</t>
  </si>
  <si>
    <t>103979</t>
  </si>
  <si>
    <t>89450</t>
  </si>
  <si>
    <t>89452</t>
  </si>
  <si>
    <t>89429</t>
  </si>
  <si>
    <t>94660</t>
  </si>
  <si>
    <t>104001</t>
  </si>
  <si>
    <t>89616</t>
  </si>
  <si>
    <t>103959</t>
  </si>
  <si>
    <t>103968</t>
  </si>
  <si>
    <t>103986</t>
  </si>
  <si>
    <t>89408</t>
  </si>
  <si>
    <t>103980</t>
  </si>
  <si>
    <t>103984</t>
  </si>
  <si>
    <t>89505</t>
  </si>
  <si>
    <t>89521</t>
  </si>
  <si>
    <t>103981</t>
  </si>
  <si>
    <t>89409</t>
  </si>
  <si>
    <t>89424</t>
  </si>
  <si>
    <t>103995</t>
  </si>
  <si>
    <t>89440</t>
  </si>
  <si>
    <t>104004</t>
  </si>
  <si>
    <t>89628</t>
  </si>
  <si>
    <t>89631</t>
  </si>
  <si>
    <t>89627</t>
  </si>
  <si>
    <t>89632</t>
  </si>
  <si>
    <t>104011</t>
  </si>
  <si>
    <t>89396</t>
  </si>
  <si>
    <t>89366</t>
  </si>
  <si>
    <t>90373</t>
  </si>
  <si>
    <t>104034</t>
  </si>
  <si>
    <t>94500</t>
  </si>
  <si>
    <t>94794</t>
  </si>
  <si>
    <t>89987</t>
  </si>
  <si>
    <t>89985</t>
  </si>
  <si>
    <t>103042</t>
  </si>
  <si>
    <t>90371</t>
  </si>
  <si>
    <t>94496</t>
  </si>
  <si>
    <t>89578</t>
  </si>
  <si>
    <t>89580</t>
  </si>
  <si>
    <t>90702</t>
  </si>
  <si>
    <t>90703</t>
  </si>
  <si>
    <t>89509</t>
  </si>
  <si>
    <t>89571</t>
  </si>
  <si>
    <t>89585</t>
  </si>
  <si>
    <t>89520</t>
  </si>
  <si>
    <t>89584</t>
  </si>
  <si>
    <t>104345</t>
  </si>
  <si>
    <t>89549</t>
  </si>
  <si>
    <t>104178</t>
  </si>
  <si>
    <t>99253</t>
  </si>
  <si>
    <t>89482</t>
  </si>
  <si>
    <t>89711</t>
  </si>
  <si>
    <t>89712</t>
  </si>
  <si>
    <t>89713</t>
  </si>
  <si>
    <t>89714</t>
  </si>
  <si>
    <t>89849</t>
  </si>
  <si>
    <t>89726</t>
  </si>
  <si>
    <t>89732</t>
  </si>
  <si>
    <t>89739</t>
  </si>
  <si>
    <t>89746</t>
  </si>
  <si>
    <t>89855</t>
  </si>
  <si>
    <t>89744</t>
  </si>
  <si>
    <t>89731</t>
  </si>
  <si>
    <t>89724</t>
  </si>
  <si>
    <t>104341</t>
  </si>
  <si>
    <t>89748</t>
  </si>
  <si>
    <t>89728</t>
  </si>
  <si>
    <t>89803</t>
  </si>
  <si>
    <t>104063</t>
  </si>
  <si>
    <t>89834</t>
  </si>
  <si>
    <t>89827</t>
  </si>
  <si>
    <t>89783</t>
  </si>
  <si>
    <t>89569</t>
  </si>
  <si>
    <t>89495</t>
  </si>
  <si>
    <t>98087</t>
  </si>
  <si>
    <t>98065</t>
  </si>
  <si>
    <t>98090</t>
  </si>
  <si>
    <t>89801</t>
  </si>
  <si>
    <t>89805</t>
  </si>
  <si>
    <t>89813</t>
  </si>
  <si>
    <t>104348</t>
  </si>
  <si>
    <t>89696</t>
  </si>
  <si>
    <t>104352</t>
  </si>
  <si>
    <t>89825</t>
  </si>
  <si>
    <t>89630</t>
  </si>
  <si>
    <t>95470</t>
  </si>
  <si>
    <t>100848</t>
  </si>
  <si>
    <t>100849</t>
  </si>
  <si>
    <t>100851</t>
  </si>
  <si>
    <t>86901</t>
  </si>
  <si>
    <t>86902</t>
  </si>
  <si>
    <t>86872</t>
  </si>
  <si>
    <t>86900</t>
  </si>
  <si>
    <t>100852</t>
  </si>
  <si>
    <t>86877</t>
  </si>
  <si>
    <t>86878</t>
  </si>
  <si>
    <t>86883</t>
  </si>
  <si>
    <t>86911</t>
  </si>
  <si>
    <t>86913</t>
  </si>
  <si>
    <t>86887</t>
  </si>
  <si>
    <t>100860</t>
  </si>
  <si>
    <t>100867</t>
  </si>
  <si>
    <t>100868</t>
  </si>
  <si>
    <t>100875</t>
  </si>
  <si>
    <t>95547</t>
  </si>
  <si>
    <t>104328</t>
  </si>
  <si>
    <t>89708</t>
  </si>
  <si>
    <t>95248</t>
  </si>
  <si>
    <t>95249</t>
  </si>
  <si>
    <t>103029</t>
  </si>
  <si>
    <t>92688</t>
  </si>
  <si>
    <t>92705</t>
  </si>
  <si>
    <t>92695</t>
  </si>
  <si>
    <t>97548</t>
  </si>
  <si>
    <t>97549</t>
  </si>
  <si>
    <t>97547</t>
  </si>
  <si>
    <t>101908</t>
  </si>
  <si>
    <t>101909</t>
  </si>
  <si>
    <t>101912</t>
  </si>
  <si>
    <t>101916</t>
  </si>
  <si>
    <t>94499</t>
  </si>
  <si>
    <t>99622</t>
  </si>
  <si>
    <t>99624</t>
  </si>
  <si>
    <t>99625</t>
  </si>
  <si>
    <t>101917</t>
  </si>
  <si>
    <t>94473</t>
  </si>
  <si>
    <t>94475</t>
  </si>
  <si>
    <t>97498</t>
  </si>
  <si>
    <t>92364</t>
  </si>
  <si>
    <t>92365</t>
  </si>
  <si>
    <t>92366</t>
  </si>
  <si>
    <t>92367</t>
  </si>
  <si>
    <t>92368</t>
  </si>
  <si>
    <t>97503</t>
  </si>
  <si>
    <t>97447</t>
  </si>
  <si>
    <t>97450</t>
  </si>
  <si>
    <t>92920</t>
  </si>
  <si>
    <t>97599</t>
  </si>
  <si>
    <t>102520</t>
  </si>
  <si>
    <t>91941</t>
  </si>
  <si>
    <t>91936</t>
  </si>
  <si>
    <t>92867</t>
  </si>
  <si>
    <t>91899</t>
  </si>
  <si>
    <t>90460</t>
  </si>
  <si>
    <t>101553</t>
  </si>
  <si>
    <t>98306</t>
  </si>
  <si>
    <t>96986</t>
  </si>
  <si>
    <t>101548</t>
  </si>
  <si>
    <t>92996</t>
  </si>
  <si>
    <t>92998</t>
  </si>
  <si>
    <t>93002</t>
  </si>
  <si>
    <t>91929</t>
  </si>
  <si>
    <t>91931</t>
  </si>
  <si>
    <t>101567</t>
  </si>
  <si>
    <t>91924</t>
  </si>
  <si>
    <t>91926</t>
  </si>
  <si>
    <t>91928</t>
  </si>
  <si>
    <t>91930</t>
  </si>
  <si>
    <t>100556</t>
  </si>
  <si>
    <t>97891</t>
  </si>
  <si>
    <t>SINAPI-I</t>
  </si>
  <si>
    <t>43097</t>
  </si>
  <si>
    <t>91955</t>
  </si>
  <si>
    <t>91953</t>
  </si>
  <si>
    <t>91959</t>
  </si>
  <si>
    <t>91967</t>
  </si>
  <si>
    <t>91946</t>
  </si>
  <si>
    <t>93667</t>
  </si>
  <si>
    <t>93653</t>
  </si>
  <si>
    <t>93654</t>
  </si>
  <si>
    <t>93656</t>
  </si>
  <si>
    <t>93660</t>
  </si>
  <si>
    <t>93661</t>
  </si>
  <si>
    <t>93663</t>
  </si>
  <si>
    <t>93664</t>
  </si>
  <si>
    <t>101895</t>
  </si>
  <si>
    <t>93668</t>
  </si>
  <si>
    <t>101898</t>
  </si>
  <si>
    <t>93673</t>
  </si>
  <si>
    <t>101894</t>
  </si>
  <si>
    <t>91837</t>
  </si>
  <si>
    <t>91855</t>
  </si>
  <si>
    <t>97667</t>
  </si>
  <si>
    <t>97669</t>
  </si>
  <si>
    <t>91870</t>
  </si>
  <si>
    <t>104764</t>
  </si>
  <si>
    <t>101946</t>
  </si>
  <si>
    <t>91927</t>
  </si>
  <si>
    <t>97327</t>
  </si>
  <si>
    <t>97328</t>
  </si>
  <si>
    <t>103292</t>
  </si>
  <si>
    <t>98307</t>
  </si>
  <si>
    <t>98302</t>
  </si>
  <si>
    <t>100555</t>
  </si>
  <si>
    <t>92884</t>
  </si>
  <si>
    <t>98463</t>
  </si>
  <si>
    <t>100557</t>
  </si>
  <si>
    <t>91835</t>
  </si>
  <si>
    <t>91865</t>
  </si>
  <si>
    <t>93011</t>
  </si>
  <si>
    <t>98297</t>
  </si>
  <si>
    <t>98111</t>
  </si>
  <si>
    <t>96985</t>
  </si>
  <si>
    <t>96977</t>
  </si>
  <si>
    <t>101965</t>
  </si>
  <si>
    <t>100861</t>
  </si>
  <si>
    <t>Composição</t>
  </si>
  <si>
    <t>FNDE 03</t>
  </si>
  <si>
    <t>FNDE 244</t>
  </si>
  <si>
    <t>FNDE 230</t>
  </si>
  <si>
    <t>FNDE 232</t>
  </si>
  <si>
    <t>FNDE 243</t>
  </si>
  <si>
    <t>FNDE 247</t>
  </si>
  <si>
    <t>FNDE 246</t>
  </si>
  <si>
    <t>FNDE 248</t>
  </si>
  <si>
    <t>FNDE 249</t>
  </si>
  <si>
    <t>FNDE 250</t>
  </si>
  <si>
    <t>FNDE 04</t>
  </si>
  <si>
    <t>FNDE 251</t>
  </si>
  <si>
    <t>FNDE 253</t>
  </si>
  <si>
    <t xml:space="preserve">FNDE 252  </t>
  </si>
  <si>
    <t xml:space="preserve">FNDE 254 </t>
  </si>
  <si>
    <t xml:space="preserve">FNDE 255 </t>
  </si>
  <si>
    <t xml:space="preserve">FNDE 256 </t>
  </si>
  <si>
    <t xml:space="preserve">FNDE 257 </t>
  </si>
  <si>
    <t>FNDE 259</t>
  </si>
  <si>
    <t>FNDE 275</t>
  </si>
  <si>
    <t>FNDE 276</t>
  </si>
  <si>
    <t>FNDE 264</t>
  </si>
  <si>
    <t>FNDE 268</t>
  </si>
  <si>
    <t>FNDE 265</t>
  </si>
  <si>
    <t>FNDE 271</t>
  </si>
  <si>
    <t>FNDE 274</t>
  </si>
  <si>
    <t>FNDE 277</t>
  </si>
  <si>
    <t xml:space="preserve">FNDE 258 </t>
  </si>
  <si>
    <t xml:space="preserve">FNDE 262 </t>
  </si>
  <si>
    <t xml:space="preserve">FNDE 263 </t>
  </si>
  <si>
    <t xml:space="preserve">FNDE 269 </t>
  </si>
  <si>
    <t xml:space="preserve">FNDE 270 </t>
  </si>
  <si>
    <t xml:space="preserve">FNDE 272 </t>
  </si>
  <si>
    <t xml:space="preserve">FNDE 273 </t>
  </si>
  <si>
    <t xml:space="preserve">FNDE 05 </t>
  </si>
  <si>
    <t>FNDE 278</t>
  </si>
  <si>
    <t xml:space="preserve">FNDE 279 </t>
  </si>
  <si>
    <t>FNDE 280</t>
  </si>
  <si>
    <t>FNDE 08</t>
  </si>
  <si>
    <t>FNDE 281</t>
  </si>
  <si>
    <t>FNDE 282</t>
  </si>
  <si>
    <t>FNDE 283</t>
  </si>
  <si>
    <t>FNDE 284</t>
  </si>
  <si>
    <t>FNDE 285</t>
  </si>
  <si>
    <t>FNDE 286</t>
  </si>
  <si>
    <t>FNDE 287</t>
  </si>
  <si>
    <t xml:space="preserve">FNDE 60 </t>
  </si>
  <si>
    <t xml:space="preserve">FNDE 120 </t>
  </si>
  <si>
    <t xml:space="preserve">FNDE 20 </t>
  </si>
  <si>
    <t xml:space="preserve">FNDE 65 </t>
  </si>
  <si>
    <t>FNDE 172</t>
  </si>
  <si>
    <t>FNDE 175</t>
  </si>
  <si>
    <t xml:space="preserve">FNDE 173 </t>
  </si>
  <si>
    <t xml:space="preserve">FNDE 174 </t>
  </si>
  <si>
    <t>FNDE 293</t>
  </si>
  <si>
    <t>FNDE 294</t>
  </si>
  <si>
    <t>FNDE 295</t>
  </si>
  <si>
    <t>FNDE 296</t>
  </si>
  <si>
    <t>FNDE 245</t>
  </si>
  <si>
    <t>FNDE 37</t>
  </si>
  <si>
    <t>FNDE 18</t>
  </si>
  <si>
    <t xml:space="preserve">FNDE 177 </t>
  </si>
  <si>
    <t xml:space="preserve">FNDE 176 </t>
  </si>
  <si>
    <t>FNDE 09</t>
  </si>
  <si>
    <t>FNDE 298</t>
  </si>
  <si>
    <t>FNDE 299</t>
  </si>
  <si>
    <t>FNDE 300</t>
  </si>
  <si>
    <t>FNDE 190</t>
  </si>
  <si>
    <t>FNDE 38</t>
  </si>
  <si>
    <t>FNDE 402</t>
  </si>
  <si>
    <t>FNDE 404</t>
  </si>
  <si>
    <t>FNDE 405</t>
  </si>
  <si>
    <t>FNDE 35</t>
  </si>
  <si>
    <t>FNDE 36</t>
  </si>
  <si>
    <t>FNDE 201</t>
  </si>
  <si>
    <t>FNDE 406</t>
  </si>
  <si>
    <t>FNDE 407</t>
  </si>
  <si>
    <t>FNDE 409</t>
  </si>
  <si>
    <t>FNDE 410</t>
  </si>
  <si>
    <t>FNDE 411</t>
  </si>
  <si>
    <t>FNDE 412</t>
  </si>
  <si>
    <t>FNDE 413</t>
  </si>
  <si>
    <t>FNDE 119</t>
  </si>
  <si>
    <t>FNDE 415</t>
  </si>
  <si>
    <t>FNDE 78</t>
  </si>
  <si>
    <t>FNDE 79</t>
  </si>
  <si>
    <t>FNDE 416</t>
  </si>
  <si>
    <t>FNDE 421</t>
  </si>
  <si>
    <t>FNDE 30</t>
  </si>
  <si>
    <t>FNDE 417</t>
  </si>
  <si>
    <t>FNDE 418</t>
  </si>
  <si>
    <t>FNDE 419</t>
  </si>
  <si>
    <t>FNDE 11</t>
  </si>
  <si>
    <t>FNDE 219</t>
  </si>
  <si>
    <t>FNDE 217</t>
  </si>
  <si>
    <t>FNDE 14</t>
  </si>
  <si>
    <t>FNDE 225</t>
  </si>
  <si>
    <t>FNDE 13</t>
  </si>
  <si>
    <t>FNDE 226</t>
  </si>
  <si>
    <t>FNDE 215</t>
  </si>
  <si>
    <t>FNDE 15</t>
  </si>
  <si>
    <t>FNDE 16</t>
  </si>
  <si>
    <t>FNDE 12</t>
  </si>
  <si>
    <t>FNDE 17</t>
  </si>
  <si>
    <t>FNDE 34</t>
  </si>
  <si>
    <t>FNDE 301</t>
  </si>
  <si>
    <t>FNDE 260</t>
  </si>
  <si>
    <t>FNDE 332</t>
  </si>
  <si>
    <t>FNDE 112</t>
  </si>
  <si>
    <t>FNDE 331</t>
  </si>
  <si>
    <t>FNDE 335</t>
  </si>
  <si>
    <t>FNDE 336</t>
  </si>
  <si>
    <t>FNDE 338</t>
  </si>
  <si>
    <t>FNDE 339</t>
  </si>
  <si>
    <t>FNDE 340</t>
  </si>
  <si>
    <t>FNDE 341</t>
  </si>
  <si>
    <t>FNDE 343</t>
  </si>
  <si>
    <t>FNDE 345</t>
  </si>
  <si>
    <t>FNDE 303</t>
  </si>
  <si>
    <t>FNDE 350</t>
  </si>
  <si>
    <t xml:space="preserve">FNDE 346 </t>
  </si>
  <si>
    <t>FNDE 353</t>
  </si>
  <si>
    <t xml:space="preserve">FNDE 347 </t>
  </si>
  <si>
    <t>FNDE 150</t>
  </si>
  <si>
    <t>FNDE 354</t>
  </si>
  <si>
    <t>FNDE 356</t>
  </si>
  <si>
    <t xml:space="preserve">FNDE 355 </t>
  </si>
  <si>
    <t xml:space="preserve">FNDE 357 </t>
  </si>
  <si>
    <t xml:space="preserve">FNDE 358 </t>
  </si>
  <si>
    <t>FNDE 362</t>
  </si>
  <si>
    <t xml:space="preserve">FNDE 359 </t>
  </si>
  <si>
    <t xml:space="preserve">FNDE 360 </t>
  </si>
  <si>
    <t xml:space="preserve">FNDE 361 </t>
  </si>
  <si>
    <t xml:space="preserve">FNDE 364 </t>
  </si>
  <si>
    <t xml:space="preserve">FNDE 363 </t>
  </si>
  <si>
    <t xml:space="preserve">FNDE 309 </t>
  </si>
  <si>
    <t>FNDE 22</t>
  </si>
  <si>
    <t>93676</t>
  </si>
  <si>
    <t>FNDE 369</t>
  </si>
  <si>
    <t>FNDE 116</t>
  </si>
  <si>
    <t xml:space="preserve">FNDE 372 </t>
  </si>
  <si>
    <t>FNDE 373</t>
  </si>
  <si>
    <t xml:space="preserve">FNDE 32 </t>
  </si>
  <si>
    <t>FNDE 383</t>
  </si>
  <si>
    <t>FNDE 123</t>
  </si>
  <si>
    <t>FNDE 122</t>
  </si>
  <si>
    <t>FNDE 125</t>
  </si>
  <si>
    <t>FNDE 389</t>
  </si>
  <si>
    <t>FNDE 31</t>
  </si>
  <si>
    <t xml:space="preserve">FNDE 375 </t>
  </si>
  <si>
    <t>FNDE 374</t>
  </si>
  <si>
    <t>FNDE 70</t>
  </si>
  <si>
    <t xml:space="preserve">FNDE 312 </t>
  </si>
  <si>
    <t>FNDE 42</t>
  </si>
  <si>
    <t>FNDE 44</t>
  </si>
  <si>
    <t>FNDE 45</t>
  </si>
  <si>
    <t>C3478</t>
  </si>
  <si>
    <t>FNDE 46</t>
  </si>
  <si>
    <t>FNDE 48</t>
  </si>
  <si>
    <t>99856</t>
  </si>
  <si>
    <t xml:space="preserve">FNDE 178 </t>
  </si>
  <si>
    <t xml:space="preserve">FNDE 179 </t>
  </si>
  <si>
    <t>FNDE 196</t>
  </si>
  <si>
    <t xml:space="preserve">FNDE 352 </t>
  </si>
  <si>
    <t>102181</t>
  </si>
  <si>
    <t>93200</t>
  </si>
  <si>
    <t>Lwan Matheus Costa Souza</t>
  </si>
  <si>
    <t>255.542/D</t>
  </si>
  <si>
    <t>Alexandro Costa César</t>
  </si>
  <si>
    <t>Prefeito Municipal</t>
  </si>
  <si>
    <t>Pirapora/MG</t>
  </si>
  <si>
    <t>Prefeitura Municipal de Pirapora</t>
  </si>
  <si>
    <t>1094391-68</t>
  </si>
  <si>
    <t xml:space="preserve">960797/2024 </t>
  </si>
  <si>
    <t>Centro Municipal de Educação Infantil - CEMEI Santa Mariana Pirapora/MG. Projeto Padrão FNDE- Creche e Pré escola Tipo I.</t>
  </si>
  <si>
    <t>CEMEI Santa Mariana Pirapora/MG. Projeto Padrão FNDE- Creche e Pré Escola Tipo I.</t>
  </si>
  <si>
    <t>MG20253712585</t>
  </si>
  <si>
    <t xml:space="preserve">CONFORME PLANILHA FNDE </t>
  </si>
  <si>
    <t>Em Análise</t>
  </si>
  <si>
    <t>ARRASAMENTO MECANICO DE ESTACA DE CONCRETO ARMADO, DIAMETROS DE ATÉ 40 CM. AF_05/2021</t>
  </si>
  <si>
    <t>95601</t>
  </si>
  <si>
    <t>CONCRETO ARMADO - PILARES</t>
  </si>
  <si>
    <t>CONCRETO ARMADO - VIGAS BALDRAME</t>
  </si>
  <si>
    <t>FNDE 239</t>
  </si>
  <si>
    <t>92479</t>
  </si>
  <si>
    <t>FNDE 240</t>
  </si>
  <si>
    <t>LAJE DE PISO - CASA MÁQUINAS E MASTRO</t>
  </si>
  <si>
    <t>96624</t>
  </si>
  <si>
    <t>97086</t>
  </si>
  <si>
    <t>97091</t>
  </si>
  <si>
    <t>97096</t>
  </si>
  <si>
    <t>97097</t>
  </si>
  <si>
    <t>LAJE DE COBERTURA - CASA DE MÁQUINAS E CASA DE GÁS</t>
  </si>
  <si>
    <t>92538</t>
  </si>
  <si>
    <t>FNDE 607</t>
  </si>
  <si>
    <t>100723</t>
  </si>
  <si>
    <t>100719</t>
  </si>
  <si>
    <t>100739</t>
  </si>
  <si>
    <t>105024</t>
  </si>
  <si>
    <t>105023</t>
  </si>
  <si>
    <t>105030</t>
  </si>
  <si>
    <t>105029</t>
  </si>
  <si>
    <t>87905</t>
  </si>
  <si>
    <t>87879</t>
  </si>
  <si>
    <t>87775</t>
  </si>
  <si>
    <t>87531</t>
  </si>
  <si>
    <t>104958</t>
  </si>
  <si>
    <t>PAVIMENTAÇÃO INTERNA - PREPARO DE PISO 8CM</t>
  </si>
  <si>
    <t>97088</t>
  </si>
  <si>
    <t>PAVIMENTAÇÃO INTERNA - REVESTIMENTOS</t>
  </si>
  <si>
    <t>87630</t>
  </si>
  <si>
    <t>87745</t>
  </si>
  <si>
    <t>92400</t>
  </si>
  <si>
    <t>FNDE 400</t>
  </si>
  <si>
    <t>FNDE 401</t>
  </si>
  <si>
    <t>FNDE 10</t>
  </si>
  <si>
    <t>PAVIMENTAÇÃO EXTERNA - CALÇADA DE CONCRETO 8 CM</t>
  </si>
  <si>
    <t>94994</t>
  </si>
  <si>
    <t>96135</t>
  </si>
  <si>
    <t>89597</t>
  </si>
  <si>
    <t>89385</t>
  </si>
  <si>
    <t>89614</t>
  </si>
  <si>
    <t>RESERVATÓRIO 30.000 L</t>
  </si>
  <si>
    <t>FNDE 471</t>
  </si>
  <si>
    <t>INSTALAÇÕES DE ESGOTO SANITÁRIO</t>
  </si>
  <si>
    <t>FNDE 420</t>
  </si>
  <si>
    <t>98107</t>
  </si>
  <si>
    <t>86882</t>
  </si>
  <si>
    <t>FNDE 224</t>
  </si>
  <si>
    <t>FNDE 261</t>
  </si>
  <si>
    <t>FNDE 113</t>
  </si>
  <si>
    <t>FNDE 114</t>
  </si>
  <si>
    <t>FNDE 603</t>
  </si>
  <si>
    <t>FNDE 329</t>
  </si>
  <si>
    <t>FNDE 328</t>
  </si>
  <si>
    <t>92637</t>
  </si>
  <si>
    <t>92642</t>
  </si>
  <si>
    <t>92644</t>
  </si>
  <si>
    <t>95727</t>
  </si>
  <si>
    <t>95817</t>
  </si>
  <si>
    <t>91914</t>
  </si>
  <si>
    <t>FNDE 330</t>
  </si>
  <si>
    <t>91875</t>
  </si>
  <si>
    <t>FNDE 604</t>
  </si>
  <si>
    <t>INSTALAÇÕES ELÉTRICAS - 220V</t>
  </si>
  <si>
    <t>92988</t>
  </si>
  <si>
    <t>92982</t>
  </si>
  <si>
    <t>91933</t>
  </si>
  <si>
    <t>101888</t>
  </si>
  <si>
    <t>91934</t>
  </si>
  <si>
    <t>92023</t>
  </si>
  <si>
    <t>92029</t>
  </si>
  <si>
    <t>91957</t>
  </si>
  <si>
    <t>92027</t>
  </si>
  <si>
    <t>91996</t>
  </si>
  <si>
    <t>91997</t>
  </si>
  <si>
    <t>FNDE 84</t>
  </si>
  <si>
    <t>FNDE 85</t>
  </si>
  <si>
    <t>FNDE 487</t>
  </si>
  <si>
    <t>93669</t>
  </si>
  <si>
    <t>FNDE 390</t>
  </si>
  <si>
    <t>FNDE 393</t>
  </si>
  <si>
    <t>FNDE 24</t>
  </si>
  <si>
    <t>FNDE 25</t>
  </si>
  <si>
    <t>FNDE 346</t>
  </si>
  <si>
    <t>FNDE 366</t>
  </si>
  <si>
    <t>FNDE 367</t>
  </si>
  <si>
    <t>FNDE 368</t>
  </si>
  <si>
    <t>FNDE 370</t>
  </si>
  <si>
    <t>FNDE 96</t>
  </si>
  <si>
    <t>FNDE 97</t>
  </si>
  <si>
    <t>FNDE 308</t>
  </si>
  <si>
    <t>100903</t>
  </si>
  <si>
    <t>FNDE 98</t>
  </si>
  <si>
    <t>FNDE 99</t>
  </si>
  <si>
    <t>97607</t>
  </si>
  <si>
    <t>FNDE 384</t>
  </si>
  <si>
    <t>FNDE 385</t>
  </si>
  <si>
    <t>INSTALAÇÕES DE CLIMATIZAÇÃO</t>
  </si>
  <si>
    <t>DUTOS</t>
  </si>
  <si>
    <t>DRENO</t>
  </si>
  <si>
    <t>INSTALAÇÕES DE EXAUSTÃO MECÂNICA</t>
  </si>
  <si>
    <t>INSTALAÇÕES DE GÁS COMBUSTÍVEL</t>
  </si>
  <si>
    <t>FNDE 29</t>
  </si>
  <si>
    <t>FNDE 40</t>
  </si>
  <si>
    <t>FNDE 47</t>
  </si>
  <si>
    <t>FNDE 51</t>
  </si>
  <si>
    <t>105001</t>
  </si>
  <si>
    <t>101616</t>
  </si>
  <si>
    <t>104740</t>
  </si>
  <si>
    <t>96621</t>
  </si>
  <si>
    <t>96535</t>
  </si>
  <si>
    <t>104916</t>
  </si>
  <si>
    <t>96536</t>
  </si>
  <si>
    <t>CONCRETO ARMADO - VIGAS</t>
  </si>
  <si>
    <t>FNDE 601</t>
  </si>
  <si>
    <t>FNDE 560</t>
  </si>
  <si>
    <t xml:space="preserve">FNDE 297 </t>
  </si>
  <si>
    <t xml:space="preserve">FNDE 403 </t>
  </si>
  <si>
    <t>CURVA 45 GRAUS, PVC, SERIE R, ÁGUA PLUVIAL, DN 200 MM, VINILFORT, JUNTA ELÁSTICA, FORNECIDO E INSTALADO EM RAMAL DE ENCAMINHAMENTO (UN)</t>
  </si>
  <si>
    <t>SISTEMA DE REUSO DE ÁGUA</t>
  </si>
  <si>
    <t>ACESSÓRIOS</t>
  </si>
  <si>
    <t>UNIDADE DE TRATAMENTO</t>
  </si>
  <si>
    <t>FNDE 600</t>
  </si>
  <si>
    <t>CONCRETO ARMADO PARA VERGAS</t>
  </si>
  <si>
    <t xml:space="preserve">FNDE 333 </t>
  </si>
  <si>
    <t xml:space="preserve">FNDE 371 </t>
  </si>
  <si>
    <t xml:space="preserve">FNDE 388 </t>
  </si>
  <si>
    <t xml:space="preserve">FNDE 39 </t>
  </si>
  <si>
    <t xml:space="preserve">FNDE 351 </t>
  </si>
  <si>
    <t>NÃO DESONERADO</t>
  </si>
  <si>
    <t>94304</t>
  </si>
  <si>
    <t>104738</t>
  </si>
  <si>
    <t>96545</t>
  </si>
  <si>
    <t xml:space="preserve">FNDE 231 </t>
  </si>
  <si>
    <t>COMP-EST25</t>
  </si>
  <si>
    <t>COMP-EST40</t>
  </si>
  <si>
    <t>43.10.730</t>
  </si>
  <si>
    <t>SPObras</t>
  </si>
  <si>
    <t>42.05.440</t>
  </si>
  <si>
    <t>C3479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</si>
</sst>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3" formatCode="_-* #,##0.00_-;\-* #,##0.00_-;_-* &quot;-&quot;??_-;_-@_-"/>
    <numFmt numFmtId="164" formatCode="_(&quot;R$ &quot;* #,##0.00_);_(&quot;R$ &quot;* \(#,##0.00\);_(&quot;R$ &quot;* \-??_);_(@_)"/>
    <numFmt numFmtId="165" formatCode="_-* #,##0.00_-;\-* #,##0.00_-;_-* \-??_-;_-@_-"/>
    <numFmt numFmtId="166" formatCode="mm\-yyyy"/>
    <numFmt numFmtId="167" formatCode="General;General"/>
    <numFmt numFmtId="168" formatCode="dddd&quot;, &quot;mmmm\ dd&quot;, &quot;yyyy"/>
    <numFmt numFmtId="169" formatCode="dd&quot; de &quot;mmmm&quot; de &quot;yyyy"/>
    <numFmt numFmtId="170" formatCode="mmm\-yy;@"/>
    <numFmt numFmtId="171" formatCode="_(* #,##0.00_);_(* \(#,##0.00\);_(* \-??_);_(@_)"/>
    <numFmt numFmtId="172" formatCode="0\."/>
    <numFmt numFmtId="173" formatCode="_(\ #,##0.00_);_(&quot; (&quot;#,##0.00\);_(&quot; -&quot;??_);_(@_)"/>
    <numFmt numFmtId="174" formatCode="mm/yy"/>
    <numFmt numFmtId="175" formatCode="General;;"/>
    <numFmt numFmtId="176" formatCode="&quot;Medição &quot;0"/>
    <numFmt numFmtId="177" formatCode="_(#,##0.00_);_(* \(#,##0.00\);_(* \-??_);_(@_)"/>
    <numFmt numFmtId="178" formatCode="_-#,##0.00_-;\-#,##0.00_-;_-&quot; -&quot;??_-;_-@_-"/>
    <numFmt numFmtId="179" formatCode="##\."/>
    <numFmt numFmtId="180" formatCode="_-&quot;R$ &quot;* #,##0.00_-;&quot;-R$ &quot;* #,##0.00_-;_-&quot;R$ &quot;* \-??_-;_-@_-"/>
    <numFmt numFmtId="181" formatCode="&quot;( &quot;0.00%&quot; )&quot;"/>
    <numFmt numFmtId="182" formatCode="dd/mm/yy;@"/>
    <numFmt numFmtId="183" formatCode="&quot;Medição &quot;##"/>
    <numFmt numFmtId="184" formatCode="#,##0.00_ ;\-#,##0.00\ "/>
    <numFmt numFmtId="185" formatCode="_(* #,##0.00_);_(* \(#,##0.00\);;_(@_)"/>
    <numFmt numFmtId="186" formatCode="[$-F800]dddd\,\ mmmm\ dd\,\ yyyy"/>
  </numFmts>
  <fonts count="6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9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54"/>
      <name val="Calibri"/>
      <family val="2"/>
    </font>
    <font>
      <sz val="18"/>
      <color indexed="54"/>
      <name val="Calibri Light"/>
      <family val="2"/>
    </font>
    <font>
      <b/>
      <sz val="11"/>
      <name val="Arial"/>
      <family val="2"/>
    </font>
    <font>
      <b/>
      <sz val="13"/>
      <name val="Arial"/>
      <family val="2"/>
    </font>
    <font>
      <b/>
      <sz val="18"/>
      <name val="Arial"/>
      <family val="2"/>
    </font>
    <font>
      <b/>
      <sz val="11"/>
      <color indexed="10"/>
      <name val="Arial"/>
      <family val="2"/>
    </font>
    <font>
      <i/>
      <sz val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color indexed="8"/>
      <name val="Segoe UI"/>
      <family val="2"/>
    </font>
    <font>
      <b/>
      <sz val="18"/>
      <color indexed="8"/>
      <name val="Calibri"/>
      <family val="2"/>
    </font>
    <font>
      <b/>
      <sz val="14"/>
      <color indexed="8"/>
      <name val="Calibri"/>
      <family val="2"/>
    </font>
    <font>
      <u/>
      <sz val="11"/>
      <color indexed="8"/>
      <name val="Calibri"/>
      <family val="2"/>
    </font>
    <font>
      <b/>
      <sz val="10"/>
      <color indexed="12"/>
      <name val="Arial"/>
      <family val="2"/>
    </font>
    <font>
      <sz val="11"/>
      <name val="Arial"/>
      <family val="2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i/>
      <sz val="12"/>
      <name val="Calibri"/>
      <family val="2"/>
    </font>
    <font>
      <i/>
      <u/>
      <sz val="12"/>
      <name val="Calibri"/>
      <family val="2"/>
    </font>
    <font>
      <u/>
      <sz val="10"/>
      <name val="Arial"/>
      <family val="2"/>
    </font>
    <font>
      <sz val="14"/>
      <color indexed="9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Calibri"/>
      <family val="2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Calibri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2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name val="Arial Narrow"/>
      <family val="2"/>
    </font>
    <font>
      <sz val="11"/>
      <color indexed="10"/>
      <name val="Arial"/>
      <family val="2"/>
    </font>
    <font>
      <b/>
      <i/>
      <sz val="10"/>
      <name val="Arial"/>
      <family val="2"/>
    </font>
    <font>
      <b/>
      <sz val="9"/>
      <color indexed="8"/>
      <name val="Segoe UI"/>
      <family val="2"/>
    </font>
    <font>
      <i/>
      <sz val="8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0"/>
      <color indexed="9"/>
      <name val="Arial"/>
      <family val="2"/>
    </font>
    <font>
      <b/>
      <sz val="12"/>
      <color indexed="10"/>
      <name val="Arial"/>
      <family val="2"/>
    </font>
    <font>
      <b/>
      <sz val="8"/>
      <color indexed="10"/>
      <name val="Calibri"/>
      <family val="2"/>
    </font>
    <font>
      <b/>
      <sz val="11"/>
      <color indexed="10"/>
      <name val="Calibri"/>
      <family val="2"/>
    </font>
    <font>
      <sz val="10"/>
      <color indexed="44"/>
      <name val="Arial"/>
      <family val="2"/>
    </font>
    <font>
      <u/>
      <sz val="10"/>
      <color theme="10"/>
      <name val="Arial"/>
      <family val="2"/>
    </font>
    <font>
      <sz val="8"/>
      <color rgb="FF000000"/>
      <name val="Segoe UI"/>
      <family val="2"/>
    </font>
  </fonts>
  <fills count="30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7"/>
        <bgColor indexed="42"/>
      </patternFill>
    </fill>
    <fill>
      <patternFill patternType="solid">
        <fgColor indexed="42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22"/>
        <bgColor indexed="44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9"/>
        <bgColor indexed="41"/>
      </patternFill>
    </fill>
    <fill>
      <patternFill patternType="solid">
        <fgColor indexed="55"/>
        <bgColor indexed="46"/>
      </patternFill>
    </fill>
    <fill>
      <patternFill patternType="solid">
        <fgColor indexed="53"/>
        <bgColor indexed="52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31"/>
        <bgColor indexed="42"/>
      </patternFill>
    </fill>
    <fill>
      <patternFill patternType="solid">
        <fgColor indexed="23"/>
        <bgColor indexed="55"/>
      </patternFill>
    </fill>
    <fill>
      <patternFill patternType="solid">
        <fgColor indexed="44"/>
        <bgColor indexed="22"/>
      </patternFill>
    </fill>
    <fill>
      <patternFill patternType="solid">
        <fgColor indexed="41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4"/>
        <bgColor indexed="26"/>
      </patternFill>
    </fill>
    <fill>
      <patternFill patternType="lightUp"/>
    </fill>
    <fill>
      <patternFill patternType="lightUp">
        <fgColor indexed="22"/>
      </patternFill>
    </fill>
    <fill>
      <patternFill patternType="lightUp">
        <bgColor indexed="42"/>
      </patternFill>
    </fill>
    <fill>
      <patternFill patternType="lightUp">
        <fgColor indexed="31"/>
      </patternFill>
    </fill>
  </fills>
  <borders count="1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 style="hair">
        <color indexed="8"/>
      </bottom>
      <diagonal/>
    </border>
    <border>
      <left/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medium">
        <color indexed="8"/>
      </top>
      <bottom/>
      <diagonal/>
    </border>
    <border>
      <left style="hair">
        <color indexed="8"/>
      </left>
      <right style="medium">
        <color indexed="8"/>
      </right>
      <top style="medium">
        <color indexed="8"/>
      </top>
      <bottom/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thin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55"/>
      </bottom>
      <diagonal/>
    </border>
    <border>
      <left style="thin">
        <color indexed="8"/>
      </left>
      <right/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/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55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55"/>
      </bottom>
      <diagonal/>
    </border>
    <border>
      <left/>
      <right/>
      <top/>
      <bottom style="hair">
        <color indexed="8"/>
      </bottom>
      <diagonal/>
    </border>
    <border>
      <left/>
      <right style="hair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  <border>
      <left/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medium">
        <color indexed="8"/>
      </right>
      <top/>
      <bottom style="hair">
        <color indexed="8"/>
      </bottom>
      <diagonal/>
    </border>
    <border>
      <left/>
      <right style="hair">
        <color indexed="8"/>
      </right>
      <top style="hair">
        <color indexed="55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55"/>
      </top>
      <bottom/>
      <diagonal/>
    </border>
    <border>
      <left style="thin">
        <color indexed="8"/>
      </left>
      <right style="hair">
        <color indexed="8"/>
      </right>
      <top style="hair">
        <color indexed="55"/>
      </top>
      <bottom/>
      <diagonal/>
    </border>
    <border>
      <left style="hair">
        <color indexed="8"/>
      </left>
      <right style="thin">
        <color indexed="8"/>
      </right>
      <top style="hair">
        <color indexed="55"/>
      </top>
      <bottom/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23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hair">
        <color indexed="8"/>
      </bottom>
      <diagonal/>
    </border>
    <border>
      <left style="medium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hair">
        <color indexed="8"/>
      </bottom>
      <diagonal/>
    </border>
  </borders>
  <cellStyleXfs count="5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3" borderId="0" applyNumberFormat="0" applyBorder="0" applyAlignment="0" applyProtection="0"/>
    <xf numFmtId="0" fontId="4" fillId="8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5" fillId="2" borderId="0" applyNumberFormat="0" applyBorder="0" applyAlignment="0" applyProtection="0"/>
    <xf numFmtId="0" fontId="6" fillId="11" borderId="1" applyNumberFormat="0" applyAlignment="0" applyProtection="0"/>
    <xf numFmtId="0" fontId="7" fillId="12" borderId="2" applyNumberFormat="0" applyAlignment="0" applyProtection="0"/>
    <xf numFmtId="0" fontId="8" fillId="0" borderId="3" applyNumberFormat="0" applyFill="0" applyAlignment="0" applyProtection="0"/>
    <xf numFmtId="0" fontId="4" fillId="9" borderId="0" applyNumberFormat="0" applyBorder="0" applyAlignment="0" applyProtection="0"/>
    <xf numFmtId="0" fontId="4" fillId="13" borderId="0" applyNumberFormat="0" applyBorder="0" applyAlignment="0" applyProtection="0"/>
    <xf numFmtId="0" fontId="4" fillId="12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0" borderId="0" applyNumberFormat="0" applyBorder="0" applyAlignment="0" applyProtection="0"/>
    <xf numFmtId="0" fontId="9" fillId="3" borderId="1" applyNumberFormat="0" applyAlignment="0" applyProtection="0"/>
    <xf numFmtId="0" fontId="66" fillId="0" borderId="0" applyNumberFormat="0" applyFill="0" applyBorder="0" applyAlignment="0" applyProtection="0"/>
    <xf numFmtId="180" fontId="58" fillId="0" borderId="0" applyFill="0" applyBorder="0" applyAlignment="0" applyProtection="0"/>
    <xf numFmtId="164" fontId="58" fillId="0" borderId="0" applyFill="0" applyBorder="0" applyAlignment="0" applyProtection="0"/>
    <xf numFmtId="0" fontId="58" fillId="0" borderId="0"/>
    <xf numFmtId="0" fontId="3" fillId="0" borderId="0"/>
    <xf numFmtId="0" fontId="10" fillId="0" borderId="0"/>
    <xf numFmtId="0" fontId="58" fillId="5" borderId="4" applyNumberFormat="0" applyAlignment="0" applyProtection="0"/>
    <xf numFmtId="9" fontId="58" fillId="0" borderId="0" applyFill="0" applyBorder="0" applyAlignment="0" applyProtection="0"/>
    <xf numFmtId="9" fontId="58" fillId="0" borderId="0" applyFill="0" applyBorder="0" applyAlignment="0" applyProtection="0"/>
    <xf numFmtId="0" fontId="11" fillId="11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4" fillId="0" borderId="9" applyNumberFormat="0" applyFill="0" applyAlignment="0" applyProtection="0"/>
    <xf numFmtId="171" fontId="58" fillId="0" borderId="0" applyFill="0" applyBorder="0" applyAlignment="0" applyProtection="0"/>
    <xf numFmtId="165" fontId="58" fillId="0" borderId="0" applyFill="0" applyBorder="0" applyAlignment="0" applyProtection="0"/>
    <xf numFmtId="0" fontId="2" fillId="0" borderId="0"/>
    <xf numFmtId="0" fontId="1" fillId="0" borderId="0"/>
  </cellStyleXfs>
  <cellXfs count="741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0" xfId="0" applyAlignment="1">
      <alignment vertical="center"/>
    </xf>
    <xf numFmtId="0" fontId="0" fillId="0" borderId="12" xfId="0" applyBorder="1"/>
    <xf numFmtId="0" fontId="0" fillId="6" borderId="0" xfId="0" applyFill="1"/>
    <xf numFmtId="0" fontId="0" fillId="16" borderId="0" xfId="0" applyFill="1" applyAlignment="1">
      <alignment vertical="center"/>
    </xf>
    <xf numFmtId="0" fontId="0" fillId="0" borderId="0" xfId="0" applyAlignment="1">
      <alignment horizontal="center"/>
    </xf>
    <xf numFmtId="0" fontId="25" fillId="0" borderId="0" xfId="0" applyFont="1" applyAlignment="1">
      <alignment vertical="center"/>
    </xf>
    <xf numFmtId="0" fontId="0" fillId="0" borderId="13" xfId="0" applyBorder="1"/>
    <xf numFmtId="0" fontId="26" fillId="0" borderId="0" xfId="0" applyFont="1"/>
    <xf numFmtId="0" fontId="26" fillId="0" borderId="14" xfId="0" applyFont="1" applyBorder="1" applyAlignment="1">
      <alignment horizontal="left"/>
    </xf>
    <xf numFmtId="0" fontId="26" fillId="0" borderId="14" xfId="0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15" xfId="0" applyBorder="1" applyAlignment="1">
      <alignment vertical="center"/>
    </xf>
    <xf numFmtId="0" fontId="0" fillId="16" borderId="16" xfId="0" applyFill="1" applyBorder="1" applyAlignment="1" applyProtection="1">
      <alignment vertical="center"/>
      <protection locked="0"/>
    </xf>
    <xf numFmtId="0" fontId="0" fillId="0" borderId="17" xfId="0" applyBorder="1" applyAlignment="1">
      <alignment vertical="center"/>
    </xf>
    <xf numFmtId="49" fontId="0" fillId="6" borderId="18" xfId="0" applyNumberFormat="1" applyFill="1" applyBorder="1" applyAlignment="1" applyProtection="1">
      <alignment vertical="center"/>
      <protection locked="0"/>
    </xf>
    <xf numFmtId="0" fontId="0" fillId="0" borderId="19" xfId="0" applyBorder="1" applyAlignment="1">
      <alignment vertical="center"/>
    </xf>
    <xf numFmtId="49" fontId="0" fillId="6" borderId="20" xfId="0" applyNumberFormat="1" applyFill="1" applyBorder="1" applyAlignment="1" applyProtection="1">
      <alignment vertical="center"/>
      <protection locked="0"/>
    </xf>
    <xf numFmtId="4" fontId="0" fillId="6" borderId="20" xfId="0" applyNumberFormat="1" applyFill="1" applyBorder="1" applyAlignment="1" applyProtection="1">
      <alignment horizontal="left" vertical="center"/>
      <protection locked="0"/>
    </xf>
    <xf numFmtId="10" fontId="0" fillId="6" borderId="20" xfId="0" applyNumberFormat="1" applyFill="1" applyBorder="1" applyAlignment="1" applyProtection="1">
      <alignment horizontal="left" vertical="center"/>
      <protection locked="0"/>
    </xf>
    <xf numFmtId="0" fontId="0" fillId="0" borderId="21" xfId="0" applyBorder="1" applyAlignment="1">
      <alignment vertical="center"/>
    </xf>
    <xf numFmtId="10" fontId="0" fillId="6" borderId="22" xfId="0" applyNumberFormat="1" applyFill="1" applyBorder="1" applyAlignment="1" applyProtection="1">
      <alignment horizontal="left" vertical="center"/>
      <protection locked="0"/>
    </xf>
    <xf numFmtId="10" fontId="0" fillId="0" borderId="0" xfId="0" applyNumberFormat="1" applyAlignment="1">
      <alignment horizontal="left" vertical="center"/>
    </xf>
    <xf numFmtId="0" fontId="0" fillId="0" borderId="23" xfId="0" applyBorder="1" applyAlignment="1">
      <alignment vertical="center"/>
    </xf>
    <xf numFmtId="49" fontId="0" fillId="6" borderId="24" xfId="0" applyNumberFormat="1" applyFill="1" applyBorder="1" applyAlignment="1" applyProtection="1">
      <alignment vertical="center" wrapText="1"/>
      <protection locked="0"/>
    </xf>
    <xf numFmtId="49" fontId="0" fillId="6" borderId="25" xfId="0" applyNumberFormat="1" applyFill="1" applyBorder="1" applyAlignment="1" applyProtection="1">
      <alignment vertical="center" wrapText="1"/>
      <protection locked="0"/>
    </xf>
    <xf numFmtId="0" fontId="0" fillId="16" borderId="25" xfId="0" applyFill="1" applyBorder="1" applyAlignment="1" applyProtection="1">
      <alignment vertical="center"/>
      <protection locked="0"/>
    </xf>
    <xf numFmtId="0" fontId="0" fillId="0" borderId="26" xfId="0" applyBorder="1" applyAlignment="1">
      <alignment vertical="center"/>
    </xf>
    <xf numFmtId="166" fontId="0" fillId="6" borderId="22" xfId="0" applyNumberFormat="1" applyFill="1" applyBorder="1" applyAlignment="1" applyProtection="1">
      <alignment horizontal="left" vertical="center"/>
      <protection locked="0"/>
    </xf>
    <xf numFmtId="4" fontId="0" fillId="0" borderId="0" xfId="0" applyNumberFormat="1" applyAlignment="1">
      <alignment vertical="center"/>
    </xf>
    <xf numFmtId="0" fontId="0" fillId="6" borderId="18" xfId="0" applyFill="1" applyBorder="1" applyAlignment="1" applyProtection="1">
      <alignment vertical="center"/>
      <protection locked="0"/>
    </xf>
    <xf numFmtId="14" fontId="0" fillId="6" borderId="22" xfId="0" applyNumberFormat="1" applyFill="1" applyBorder="1" applyAlignment="1" applyProtection="1">
      <alignment horizontal="left" vertical="center"/>
      <protection locked="0"/>
    </xf>
    <xf numFmtId="0" fontId="0" fillId="6" borderId="16" xfId="0" applyFill="1" applyBorder="1" applyAlignment="1" applyProtection="1">
      <alignment vertical="center"/>
      <protection locked="0"/>
    </xf>
    <xf numFmtId="0" fontId="0" fillId="6" borderId="22" xfId="0" applyFill="1" applyBorder="1" applyAlignment="1" applyProtection="1">
      <alignment vertical="center"/>
      <protection locked="0"/>
    </xf>
    <xf numFmtId="14" fontId="0" fillId="6" borderId="16" xfId="0" applyNumberFormat="1" applyFill="1" applyBorder="1" applyAlignment="1" applyProtection="1">
      <alignment horizontal="left" vertical="center"/>
      <protection locked="0"/>
    </xf>
    <xf numFmtId="166" fontId="0" fillId="6" borderId="27" xfId="0" applyNumberFormat="1" applyFill="1" applyBorder="1" applyAlignment="1" applyProtection="1">
      <alignment horizontal="left" vertical="center"/>
      <protection locked="0"/>
    </xf>
    <xf numFmtId="14" fontId="0" fillId="6" borderId="28" xfId="0" applyNumberFormat="1" applyFill="1" applyBorder="1" applyAlignment="1" applyProtection="1">
      <alignment horizontal="left" vertical="center"/>
      <protection locked="0"/>
    </xf>
    <xf numFmtId="49" fontId="0" fillId="6" borderId="16" xfId="0" applyNumberFormat="1" applyFill="1" applyBorder="1" applyAlignment="1" applyProtection="1">
      <alignment vertical="center"/>
      <protection locked="0"/>
    </xf>
    <xf numFmtId="49" fontId="0" fillId="6" borderId="28" xfId="0" applyNumberFormat="1" applyFill="1" applyBorder="1" applyAlignment="1" applyProtection="1">
      <alignment vertical="center"/>
      <protection locked="0"/>
    </xf>
    <xf numFmtId="49" fontId="0" fillId="6" borderId="22" xfId="0" applyNumberFormat="1" applyFill="1" applyBorder="1" applyAlignment="1" applyProtection="1">
      <alignment vertical="center"/>
      <protection locked="0"/>
    </xf>
    <xf numFmtId="0" fontId="28" fillId="0" borderId="12" xfId="0" applyFont="1" applyBorder="1" applyAlignment="1">
      <alignment horizontal="left"/>
    </xf>
    <xf numFmtId="0" fontId="0" fillId="0" borderId="29" xfId="0" applyBorder="1"/>
    <xf numFmtId="0" fontId="29" fillId="0" borderId="30" xfId="0" applyFont="1" applyBorder="1" applyAlignment="1">
      <alignment horizontal="left" indent="1"/>
    </xf>
    <xf numFmtId="0" fontId="0" fillId="0" borderId="30" xfId="0" applyBorder="1" applyAlignment="1">
      <alignment vertical="center"/>
    </xf>
    <xf numFmtId="0" fontId="30" fillId="0" borderId="12" xfId="0" applyFont="1" applyBorder="1"/>
    <xf numFmtId="0" fontId="29" fillId="0" borderId="0" xfId="0" applyFont="1" applyAlignment="1">
      <alignment horizontal="left" indent="1"/>
    </xf>
    <xf numFmtId="0" fontId="14" fillId="0" borderId="0" xfId="0" applyFont="1" applyAlignment="1">
      <alignment horizontal="left" indent="1"/>
    </xf>
    <xf numFmtId="0" fontId="14" fillId="0" borderId="0" xfId="0" applyFont="1" applyAlignment="1">
      <alignment horizontal="left" vertical="top" indent="1"/>
    </xf>
    <xf numFmtId="0" fontId="0" fillId="0" borderId="0" xfId="33" applyFont="1"/>
    <xf numFmtId="0" fontId="26" fillId="0" borderId="0" xfId="33" applyFont="1" applyAlignment="1">
      <alignment horizontal="center"/>
    </xf>
    <xf numFmtId="0" fontId="25" fillId="0" borderId="0" xfId="33" applyFont="1" applyAlignment="1">
      <alignment horizontal="center"/>
    </xf>
    <xf numFmtId="0" fontId="0" fillId="0" borderId="31" xfId="0" applyBorder="1" applyAlignment="1">
      <alignment horizontal="center"/>
    </xf>
    <xf numFmtId="0" fontId="26" fillId="0" borderId="32" xfId="33" applyFont="1" applyBorder="1" applyAlignment="1">
      <alignment horizontal="center"/>
    </xf>
    <xf numFmtId="10" fontId="31" fillId="0" borderId="32" xfId="33" applyNumberFormat="1" applyFont="1" applyBorder="1" applyAlignment="1">
      <alignment horizontal="center"/>
    </xf>
    <xf numFmtId="0" fontId="26" fillId="0" borderId="31" xfId="35" applyFont="1" applyBorder="1" applyAlignment="1">
      <alignment horizontal="left" vertical="top"/>
    </xf>
    <xf numFmtId="0" fontId="0" fillId="0" borderId="14" xfId="33" applyFont="1" applyBorder="1" applyAlignment="1">
      <alignment horizontal="left" vertical="top" wrapText="1"/>
    </xf>
    <xf numFmtId="0" fontId="26" fillId="0" borderId="0" xfId="33" applyFont="1"/>
    <xf numFmtId="0" fontId="26" fillId="0" borderId="32" xfId="33" applyFont="1" applyBorder="1" applyAlignment="1">
      <alignment horizontal="center" vertical="center" wrapText="1"/>
    </xf>
    <xf numFmtId="0" fontId="10" fillId="0" borderId="0" xfId="33" applyFont="1" applyAlignment="1">
      <alignment horizontal="left"/>
    </xf>
    <xf numFmtId="0" fontId="32" fillId="0" borderId="32" xfId="33" applyFont="1" applyBorder="1" applyAlignment="1">
      <alignment horizontal="center" vertical="center"/>
    </xf>
    <xf numFmtId="10" fontId="32" fillId="6" borderId="32" xfId="33" applyNumberFormat="1" applyFont="1" applyFill="1" applyBorder="1" applyAlignment="1" applyProtection="1">
      <alignment horizontal="center" vertical="center"/>
      <protection locked="0"/>
    </xf>
    <xf numFmtId="10" fontId="32" fillId="0" borderId="32" xfId="33" applyNumberFormat="1" applyFont="1" applyBorder="1" applyAlignment="1">
      <alignment horizontal="center" vertical="center"/>
    </xf>
    <xf numFmtId="10" fontId="32" fillId="0" borderId="32" xfId="33" applyNumberFormat="1" applyFont="1" applyBorder="1" applyAlignment="1">
      <alignment horizontal="center" vertical="center" wrapText="1"/>
    </xf>
    <xf numFmtId="0" fontId="32" fillId="0" borderId="32" xfId="33" applyFont="1" applyBorder="1" applyAlignment="1">
      <alignment horizontal="center" vertical="center" wrapText="1"/>
    </xf>
    <xf numFmtId="0" fontId="32" fillId="8" borderId="32" xfId="33" applyFont="1" applyFill="1" applyBorder="1" applyAlignment="1">
      <alignment horizontal="center" vertical="center" wrapText="1"/>
    </xf>
    <xf numFmtId="10" fontId="19" fillId="8" borderId="32" xfId="33" applyNumberFormat="1" applyFont="1" applyFill="1" applyBorder="1" applyAlignment="1">
      <alignment horizontal="center" vertical="center"/>
    </xf>
    <xf numFmtId="0" fontId="33" fillId="0" borderId="0" xfId="33" applyFont="1" applyAlignment="1">
      <alignment horizontal="right" vertical="center"/>
    </xf>
    <xf numFmtId="0" fontId="0" fillId="0" borderId="0" xfId="33" applyFont="1" applyAlignment="1">
      <alignment horizontal="center" vertical="top"/>
    </xf>
    <xf numFmtId="0" fontId="35" fillId="0" borderId="0" xfId="0" applyFont="1" applyAlignment="1">
      <alignment horizontal="right" vertical="center"/>
    </xf>
    <xf numFmtId="0" fontId="35" fillId="0" borderId="0" xfId="0" applyFont="1" applyAlignment="1">
      <alignment horizontal="left" vertical="center"/>
    </xf>
    <xf numFmtId="0" fontId="35" fillId="0" borderId="0" xfId="0" applyFont="1" applyAlignment="1">
      <alignment horizontal="center" vertical="top"/>
    </xf>
    <xf numFmtId="0" fontId="37" fillId="0" borderId="0" xfId="33" applyFont="1" applyAlignment="1">
      <alignment horizontal="center" vertical="top"/>
    </xf>
    <xf numFmtId="169" fontId="0" fillId="0" borderId="0" xfId="33" applyNumberFormat="1" applyFont="1"/>
    <xf numFmtId="0" fontId="26" fillId="0" borderId="10" xfId="33" applyFont="1" applyBorder="1" applyAlignment="1">
      <alignment horizontal="left"/>
    </xf>
    <xf numFmtId="0" fontId="0" fillId="0" borderId="10" xfId="33" applyFont="1" applyBorder="1"/>
    <xf numFmtId="0" fontId="32" fillId="0" borderId="0" xfId="33" applyFont="1"/>
    <xf numFmtId="0" fontId="26" fillId="0" borderId="0" xfId="35" applyFont="1" applyAlignment="1">
      <alignment horizontal="left" vertical="top"/>
    </xf>
    <xf numFmtId="0" fontId="0" fillId="0" borderId="0" xfId="33" applyFont="1" applyAlignment="1">
      <alignment vertical="top"/>
    </xf>
    <xf numFmtId="167" fontId="0" fillId="0" borderId="0" xfId="33" applyNumberFormat="1" applyFont="1"/>
    <xf numFmtId="167" fontId="0" fillId="0" borderId="0" xfId="33" applyNumberFormat="1" applyFont="1" applyAlignment="1">
      <alignment vertical="top"/>
    </xf>
    <xf numFmtId="0" fontId="38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26" fillId="0" borderId="0" xfId="0" applyFont="1" applyAlignment="1">
      <alignment horizontal="center"/>
    </xf>
    <xf numFmtId="0" fontId="40" fillId="0" borderId="0" xfId="0" applyFont="1"/>
    <xf numFmtId="0" fontId="0" fillId="0" borderId="0" xfId="0" applyAlignment="1">
      <alignment wrapText="1"/>
    </xf>
    <xf numFmtId="10" fontId="0" fillId="0" borderId="0" xfId="0" applyNumberFormat="1"/>
    <xf numFmtId="0" fontId="26" fillId="0" borderId="31" xfId="35" applyFont="1" applyBorder="1" applyAlignment="1">
      <alignment vertical="top"/>
    </xf>
    <xf numFmtId="0" fontId="0" fillId="0" borderId="32" xfId="0" applyBorder="1"/>
    <xf numFmtId="0" fontId="0" fillId="0" borderId="32" xfId="0" applyBorder="1" applyProtection="1">
      <protection locked="0"/>
    </xf>
    <xf numFmtId="0" fontId="0" fillId="0" borderId="14" xfId="33" applyFont="1" applyBorder="1" applyAlignment="1">
      <alignment vertical="top" wrapText="1"/>
    </xf>
    <xf numFmtId="0" fontId="0" fillId="0" borderId="29" xfId="33" applyFont="1" applyBorder="1" applyAlignment="1">
      <alignment vertical="top" wrapText="1"/>
    </xf>
    <xf numFmtId="0" fontId="0" fillId="0" borderId="0" xfId="33" applyFont="1" applyAlignment="1">
      <alignment horizontal="left" vertical="top" wrapText="1"/>
    </xf>
    <xf numFmtId="0" fontId="0" fillId="0" borderId="10" xfId="33" applyFont="1" applyBorder="1" applyAlignment="1">
      <alignment horizontal="left" vertical="top" wrapText="1"/>
    </xf>
    <xf numFmtId="0" fontId="0" fillId="0" borderId="10" xfId="33" applyFont="1" applyBorder="1" applyAlignment="1">
      <alignment vertical="top" wrapText="1"/>
    </xf>
    <xf numFmtId="0" fontId="24" fillId="0" borderId="0" xfId="0" applyFont="1" applyAlignment="1">
      <alignment horizontal="center"/>
    </xf>
    <xf numFmtId="0" fontId="26" fillId="0" borderId="33" xfId="35" applyFont="1" applyBorder="1" applyAlignment="1">
      <alignment horizontal="left" vertical="top"/>
    </xf>
    <xf numFmtId="0" fontId="26" fillId="0" borderId="0" xfId="35" applyFont="1" applyAlignment="1">
      <alignment horizontal="center" vertical="top"/>
    </xf>
    <xf numFmtId="0" fontId="26" fillId="0" borderId="31" xfId="35" applyFont="1" applyBorder="1" applyAlignment="1">
      <alignment horizontal="center" vertical="top"/>
    </xf>
    <xf numFmtId="170" fontId="0" fillId="0" borderId="14" xfId="33" applyNumberFormat="1" applyFont="1" applyBorder="1" applyAlignment="1">
      <alignment vertical="top" shrinkToFit="1"/>
    </xf>
    <xf numFmtId="0" fontId="0" fillId="0" borderId="30" xfId="33" applyFont="1" applyBorder="1" applyAlignment="1">
      <alignment horizontal="center" vertical="top" wrapText="1"/>
    </xf>
    <xf numFmtId="0" fontId="0" fillId="0" borderId="14" xfId="33" applyFont="1" applyBorder="1" applyAlignment="1">
      <alignment horizontal="center" vertical="top" wrapText="1"/>
    </xf>
    <xf numFmtId="10" fontId="0" fillId="0" borderId="0" xfId="0" applyNumberFormat="1" applyAlignment="1">
      <alignment vertical="center" wrapText="1"/>
    </xf>
    <xf numFmtId="0" fontId="44" fillId="0" borderId="34" xfId="0" applyFont="1" applyBorder="1" applyAlignment="1">
      <alignment horizontal="center" vertical="center" wrapText="1"/>
    </xf>
    <xf numFmtId="0" fontId="45" fillId="0" borderId="0" xfId="0" applyFont="1"/>
    <xf numFmtId="0" fontId="24" fillId="0" borderId="14" xfId="0" applyFont="1" applyBorder="1" applyAlignment="1">
      <alignment horizontal="center"/>
    </xf>
    <xf numFmtId="1" fontId="46" fillId="0" borderId="0" xfId="0" applyNumberFormat="1" applyFont="1" applyAlignment="1">
      <alignment horizontal="center" vertical="center"/>
    </xf>
    <xf numFmtId="0" fontId="26" fillId="0" borderId="32" xfId="0" applyFont="1" applyBorder="1" applyAlignment="1">
      <alignment horizontal="center" vertical="center" wrapText="1"/>
    </xf>
    <xf numFmtId="0" fontId="47" fillId="0" borderId="32" xfId="0" applyFont="1" applyBorder="1" applyAlignment="1">
      <alignment horizontal="center" vertical="center" wrapText="1"/>
    </xf>
    <xf numFmtId="0" fontId="26" fillId="0" borderId="32" xfId="0" applyFont="1" applyBorder="1" applyAlignment="1">
      <alignment horizontal="center" vertical="center"/>
    </xf>
    <xf numFmtId="0" fontId="26" fillId="0" borderId="3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41" fillId="0" borderId="0" xfId="0" applyFont="1" applyAlignment="1">
      <alignment horizontal="center"/>
    </xf>
    <xf numFmtId="0" fontId="10" fillId="16" borderId="38" xfId="0" applyFont="1" applyFill="1" applyBorder="1" applyAlignment="1" applyProtection="1">
      <alignment horizontal="center" vertical="center" wrapText="1"/>
      <protection locked="0"/>
    </xf>
    <xf numFmtId="0" fontId="10" fillId="0" borderId="38" xfId="0" applyFont="1" applyBorder="1" applyAlignment="1">
      <alignment horizontal="center" vertical="center" wrapText="1"/>
    </xf>
    <xf numFmtId="0" fontId="0" fillId="0" borderId="39" xfId="0" applyBorder="1" applyAlignment="1">
      <alignment vertical="center" wrapText="1" shrinkToFit="1"/>
    </xf>
    <xf numFmtId="49" fontId="0" fillId="16" borderId="40" xfId="0" applyNumberFormat="1" applyFill="1" applyBorder="1" applyAlignment="1" applyProtection="1">
      <alignment horizontal="center" vertical="center" wrapText="1"/>
      <protection locked="0"/>
    </xf>
    <xf numFmtId="49" fontId="0" fillId="6" borderId="40" xfId="0" applyNumberFormat="1" applyFill="1" applyBorder="1" applyAlignment="1" applyProtection="1">
      <alignment horizontal="center" vertical="center" wrapText="1"/>
      <protection locked="0"/>
    </xf>
    <xf numFmtId="0" fontId="0" fillId="6" borderId="40" xfId="0" applyFill="1" applyBorder="1" applyAlignment="1" applyProtection="1">
      <alignment horizontal="left" vertical="center" wrapText="1"/>
      <protection locked="0"/>
    </xf>
    <xf numFmtId="0" fontId="0" fillId="6" borderId="40" xfId="0" applyFill="1" applyBorder="1" applyAlignment="1" applyProtection="1">
      <alignment horizontal="center" vertical="center" wrapText="1"/>
      <protection locked="0"/>
    </xf>
    <xf numFmtId="171" fontId="0" fillId="0" borderId="40" xfId="48" applyFont="1" applyFill="1" applyBorder="1" applyAlignment="1" applyProtection="1">
      <alignment vertical="center" shrinkToFit="1"/>
    </xf>
    <xf numFmtId="171" fontId="0" fillId="6" borderId="40" xfId="48" applyFont="1" applyFill="1" applyBorder="1" applyAlignment="1" applyProtection="1">
      <alignment vertical="center" wrapText="1"/>
      <protection locked="0"/>
    </xf>
    <xf numFmtId="10" fontId="0" fillId="16" borderId="40" xfId="37" applyNumberFormat="1" applyFont="1" applyFill="1" applyBorder="1" applyAlignment="1" applyProtection="1">
      <alignment horizontal="center" vertical="center" wrapText="1"/>
      <protection locked="0"/>
    </xf>
    <xf numFmtId="171" fontId="0" fillId="0" borderId="41" xfId="48" applyFont="1" applyFill="1" applyBorder="1" applyAlignment="1" applyProtection="1">
      <alignment horizontal="center" vertical="center" shrinkToFit="1"/>
    </xf>
    <xf numFmtId="10" fontId="41" fillId="16" borderId="42" xfId="37" applyNumberFormat="1" applyFont="1" applyFill="1" applyBorder="1" applyAlignment="1" applyProtection="1">
      <alignment horizontal="center" vertical="center"/>
      <protection locked="0"/>
    </xf>
    <xf numFmtId="0" fontId="0" fillId="0" borderId="43" xfId="0" applyBorder="1"/>
    <xf numFmtId="0" fontId="0" fillId="0" borderId="44" xfId="0" applyBorder="1"/>
    <xf numFmtId="0" fontId="24" fillId="0" borderId="0" xfId="0" applyFont="1"/>
    <xf numFmtId="0" fontId="26" fillId="17" borderId="32" xfId="0" applyFont="1" applyFill="1" applyBorder="1" applyAlignment="1">
      <alignment horizontal="center" vertical="center"/>
    </xf>
    <xf numFmtId="49" fontId="26" fillId="17" borderId="45" xfId="0" applyNumberFormat="1" applyFont="1" applyFill="1" applyBorder="1" applyAlignment="1">
      <alignment horizontal="center" vertical="center"/>
    </xf>
    <xf numFmtId="171" fontId="26" fillId="17" borderId="45" xfId="48" applyFont="1" applyFill="1" applyBorder="1" applyAlignment="1" applyProtection="1">
      <alignment horizontal="center" vertical="center"/>
    </xf>
    <xf numFmtId="10" fontId="26" fillId="17" borderId="45" xfId="37" applyNumberFormat="1" applyFont="1" applyFill="1" applyBorder="1" applyAlignment="1" applyProtection="1">
      <alignment horizontal="center" vertical="center"/>
    </xf>
    <xf numFmtId="171" fontId="26" fillId="17" borderId="46" xfId="48" applyFont="1" applyFill="1" applyBorder="1" applyAlignment="1" applyProtection="1">
      <alignment horizontal="center" vertical="center" shrinkToFit="1"/>
    </xf>
    <xf numFmtId="171" fontId="23" fillId="17" borderId="46" xfId="48" applyFont="1" applyFill="1" applyBorder="1" applyAlignment="1" applyProtection="1">
      <alignment horizontal="center" vertical="center" shrinkToFit="1"/>
    </xf>
    <xf numFmtId="0" fontId="0" fillId="4" borderId="13" xfId="0" applyFill="1" applyBorder="1"/>
    <xf numFmtId="0" fontId="0" fillId="4" borderId="46" xfId="0" applyFill="1" applyBorder="1"/>
    <xf numFmtId="0" fontId="32" fillId="0" borderId="0" xfId="0" applyFont="1"/>
    <xf numFmtId="0" fontId="32" fillId="0" borderId="33" xfId="0" applyFont="1" applyBorder="1" applyAlignment="1">
      <alignment horizontal="left" vertical="center"/>
    </xf>
    <xf numFmtId="0" fontId="32" fillId="0" borderId="0" xfId="0" applyFont="1" applyAlignment="1" applyProtection="1">
      <alignment horizontal="left" wrapText="1"/>
      <protection locked="0"/>
    </xf>
    <xf numFmtId="0" fontId="19" fillId="0" borderId="0" xfId="0" applyFont="1" applyAlignment="1">
      <alignment horizontal="left" wrapText="1"/>
    </xf>
    <xf numFmtId="167" fontId="0" fillId="0" borderId="30" xfId="0" applyNumberFormat="1" applyBorder="1" applyAlignment="1">
      <alignment horizontal="left"/>
    </xf>
    <xf numFmtId="0" fontId="19" fillId="0" borderId="30" xfId="33" applyFont="1" applyBorder="1" applyAlignment="1">
      <alignment vertical="center"/>
    </xf>
    <xf numFmtId="0" fontId="26" fillId="0" borderId="10" xfId="0" applyFont="1" applyBorder="1"/>
    <xf numFmtId="0" fontId="25" fillId="0" borderId="0" xfId="0" applyFont="1" applyAlignment="1">
      <alignment horizontal="left" vertical="center" indent="10"/>
    </xf>
    <xf numFmtId="0" fontId="25" fillId="0" borderId="0" xfId="0" applyFont="1" applyAlignment="1">
      <alignment horizontal="center" vertical="center"/>
    </xf>
    <xf numFmtId="0" fontId="39" fillId="0" borderId="0" xfId="0" applyFont="1" applyAlignment="1">
      <alignment horizontal="left" vertical="center" indent="10"/>
    </xf>
    <xf numFmtId="0" fontId="39" fillId="0" borderId="0" xfId="0" applyFont="1" applyAlignment="1">
      <alignment horizontal="center" vertical="center"/>
    </xf>
    <xf numFmtId="0" fontId="26" fillId="0" borderId="33" xfId="35" applyFont="1" applyBorder="1" applyAlignment="1">
      <alignment vertical="top"/>
    </xf>
    <xf numFmtId="0" fontId="26" fillId="0" borderId="0" xfId="35" applyFont="1" applyAlignment="1">
      <alignment vertical="top"/>
    </xf>
    <xf numFmtId="0" fontId="26" fillId="0" borderId="12" xfId="35" applyFont="1" applyBorder="1" applyAlignment="1">
      <alignment vertical="top"/>
    </xf>
    <xf numFmtId="0" fontId="0" fillId="0" borderId="47" xfId="33" applyFont="1" applyBorder="1" applyAlignment="1">
      <alignment vertical="top"/>
    </xf>
    <xf numFmtId="0" fontId="0" fillId="0" borderId="30" xfId="33" applyFont="1" applyBorder="1" applyAlignment="1">
      <alignment vertical="top" wrapText="1"/>
    </xf>
    <xf numFmtId="0" fontId="34" fillId="0" borderId="0" xfId="0" applyFont="1" applyAlignment="1">
      <alignment horizontal="center"/>
    </xf>
    <xf numFmtId="0" fontId="24" fillId="0" borderId="30" xfId="0" applyFont="1" applyBorder="1" applyAlignment="1">
      <alignment vertical="center" wrapText="1"/>
    </xf>
    <xf numFmtId="0" fontId="24" fillId="0" borderId="30" xfId="0" applyFont="1" applyBorder="1" applyAlignment="1">
      <alignment horizontal="right" vertical="center" wrapText="1"/>
    </xf>
    <xf numFmtId="0" fontId="49" fillId="0" borderId="0" xfId="0" applyFont="1"/>
    <xf numFmtId="1" fontId="46" fillId="0" borderId="0" xfId="0" applyNumberFormat="1" applyFont="1" applyAlignment="1">
      <alignment horizontal="left" textRotation="90" wrapText="1"/>
    </xf>
    <xf numFmtId="0" fontId="24" fillId="0" borderId="30" xfId="0" applyFont="1" applyBorder="1" applyAlignment="1">
      <alignment horizontal="center" vertical="center" wrapText="1"/>
    </xf>
    <xf numFmtId="0" fontId="0" fillId="6" borderId="48" xfId="0" applyFill="1" applyBorder="1" applyAlignment="1" applyProtection="1">
      <alignment horizontal="center" textRotation="90" wrapText="1"/>
      <protection locked="0"/>
    </xf>
    <xf numFmtId="0" fontId="0" fillId="6" borderId="49" xfId="0" applyFill="1" applyBorder="1" applyAlignment="1" applyProtection="1">
      <alignment horizontal="center" textRotation="90" wrapText="1"/>
      <protection locked="0"/>
    </xf>
    <xf numFmtId="0" fontId="0" fillId="0" borderId="37" xfId="0" applyBorder="1" applyAlignment="1">
      <alignment horizontal="center" textRotation="90" wrapText="1"/>
    </xf>
    <xf numFmtId="0" fontId="0" fillId="0" borderId="48" xfId="0" applyBorder="1" applyAlignment="1">
      <alignment horizontal="center" textRotation="90" wrapText="1"/>
    </xf>
    <xf numFmtId="0" fontId="0" fillId="0" borderId="49" xfId="0" applyBorder="1" applyAlignment="1">
      <alignment horizontal="center" textRotation="90" wrapText="1"/>
    </xf>
    <xf numFmtId="0" fontId="26" fillId="0" borderId="50" xfId="0" applyFont="1" applyBorder="1" applyAlignment="1">
      <alignment horizontal="center" vertical="center" wrapText="1"/>
    </xf>
    <xf numFmtId="0" fontId="26" fillId="0" borderId="51" xfId="0" applyFont="1" applyBorder="1" applyAlignment="1">
      <alignment horizontal="center" vertical="center" wrapText="1"/>
    </xf>
    <xf numFmtId="0" fontId="26" fillId="0" borderId="52" xfId="0" applyFont="1" applyBorder="1" applyAlignment="1">
      <alignment horizontal="center" vertical="center" wrapText="1"/>
    </xf>
    <xf numFmtId="0" fontId="26" fillId="0" borderId="48" xfId="0" applyFont="1" applyBorder="1" applyAlignment="1">
      <alignment horizontal="center" vertical="center" wrapText="1"/>
    </xf>
    <xf numFmtId="0" fontId="26" fillId="0" borderId="49" xfId="0" applyFont="1" applyBorder="1" applyAlignment="1">
      <alignment horizontal="center" vertical="center" wrapText="1"/>
    </xf>
    <xf numFmtId="0" fontId="0" fillId="0" borderId="40" xfId="0" applyBorder="1" applyAlignment="1">
      <alignment horizontal="left" vertical="center" wrapText="1"/>
    </xf>
    <xf numFmtId="0" fontId="0" fillId="0" borderId="40" xfId="0" applyBorder="1" applyAlignment="1">
      <alignment horizontal="center" vertical="center" wrapText="1"/>
    </xf>
    <xf numFmtId="0" fontId="0" fillId="16" borderId="42" xfId="48" applyNumberFormat="1" applyFont="1" applyFill="1" applyBorder="1" applyAlignment="1" applyProtection="1">
      <alignment horizontal="left" vertical="center"/>
      <protection locked="0"/>
    </xf>
    <xf numFmtId="0" fontId="49" fillId="0" borderId="0" xfId="0" applyFont="1" applyAlignment="1">
      <alignment horizontal="center"/>
    </xf>
    <xf numFmtId="0" fontId="23" fillId="0" borderId="36" xfId="48" applyNumberFormat="1" applyFont="1" applyFill="1" applyBorder="1" applyAlignment="1" applyProtection="1">
      <alignment horizontal="center" vertical="center" wrapText="1" shrinkToFit="1"/>
    </xf>
    <xf numFmtId="0" fontId="23" fillId="0" borderId="42" xfId="48" applyNumberFormat="1" applyFont="1" applyFill="1" applyBorder="1" applyAlignment="1" applyProtection="1">
      <alignment vertical="center" wrapText="1" shrinkToFit="1"/>
    </xf>
    <xf numFmtId="171" fontId="0" fillId="6" borderId="39" xfId="48" applyFont="1" applyFill="1" applyBorder="1" applyAlignment="1" applyProtection="1">
      <alignment vertical="center" shrinkToFit="1"/>
      <protection locked="0"/>
    </xf>
    <xf numFmtId="171" fontId="0" fillId="6" borderId="40" xfId="48" applyFont="1" applyFill="1" applyBorder="1" applyAlignment="1" applyProtection="1">
      <alignment vertical="center" shrinkToFit="1"/>
      <protection locked="0"/>
    </xf>
    <xf numFmtId="171" fontId="0" fillId="6" borderId="41" xfId="48" applyFont="1" applyFill="1" applyBorder="1" applyAlignment="1" applyProtection="1">
      <alignment vertical="center" shrinkToFit="1"/>
      <protection locked="0"/>
    </xf>
    <xf numFmtId="1" fontId="0" fillId="0" borderId="53" xfId="48" applyNumberFormat="1" applyFont="1" applyFill="1" applyBorder="1" applyAlignment="1" applyProtection="1">
      <alignment horizontal="center" vertical="center" shrinkToFit="1"/>
    </xf>
    <xf numFmtId="1" fontId="0" fillId="0" borderId="54" xfId="48" applyNumberFormat="1" applyFont="1" applyFill="1" applyBorder="1" applyAlignment="1" applyProtection="1">
      <alignment horizontal="center" vertical="center" shrinkToFit="1"/>
    </xf>
    <xf numFmtId="0" fontId="26" fillId="17" borderId="32" xfId="0" applyFont="1" applyFill="1" applyBorder="1" applyAlignment="1">
      <alignment horizontal="left" vertical="center"/>
    </xf>
    <xf numFmtId="0" fontId="26" fillId="14" borderId="32" xfId="0" applyFont="1" applyFill="1" applyBorder="1" applyAlignment="1">
      <alignment horizontal="center" vertical="center"/>
    </xf>
    <xf numFmtId="0" fontId="26" fillId="17" borderId="32" xfId="0" applyFont="1" applyFill="1" applyBorder="1" applyAlignment="1">
      <alignment horizontal="right" vertical="center"/>
    </xf>
    <xf numFmtId="4" fontId="26" fillId="17" borderId="55" xfId="0" applyNumberFormat="1" applyFont="1" applyFill="1" applyBorder="1" applyAlignment="1">
      <alignment horizontal="right" vertical="center" shrinkToFit="1"/>
    </xf>
    <xf numFmtId="4" fontId="26" fillId="17" borderId="56" xfId="0" applyNumberFormat="1" applyFont="1" applyFill="1" applyBorder="1" applyAlignment="1">
      <alignment horizontal="right" vertical="center" shrinkToFit="1"/>
    </xf>
    <xf numFmtId="4" fontId="26" fillId="17" borderId="57" xfId="0" applyNumberFormat="1" applyFont="1" applyFill="1" applyBorder="1" applyAlignment="1">
      <alignment horizontal="right" vertical="center" shrinkToFit="1"/>
    </xf>
    <xf numFmtId="4" fontId="26" fillId="17" borderId="37" xfId="0" applyNumberFormat="1" applyFont="1" applyFill="1" applyBorder="1" applyAlignment="1">
      <alignment horizontal="right" vertical="center" shrinkToFit="1"/>
    </xf>
    <xf numFmtId="0" fontId="26" fillId="17" borderId="37" xfId="0" applyFont="1" applyFill="1" applyBorder="1" applyAlignment="1">
      <alignment horizontal="right" vertical="center" shrinkToFit="1"/>
    </xf>
    <xf numFmtId="0" fontId="0" fillId="18" borderId="13" xfId="0" applyFill="1" applyBorder="1"/>
    <xf numFmtId="0" fontId="0" fillId="4" borderId="45" xfId="0" applyFill="1" applyBorder="1"/>
    <xf numFmtId="167" fontId="0" fillId="0" borderId="30" xfId="0" applyNumberFormat="1" applyBorder="1"/>
    <xf numFmtId="0" fontId="0" fillId="0" borderId="30" xfId="0" applyBorder="1"/>
    <xf numFmtId="0" fontId="0" fillId="0" borderId="0" xfId="33" applyFont="1" applyAlignment="1">
      <alignment vertical="center"/>
    </xf>
    <xf numFmtId="0" fontId="14" fillId="0" borderId="32" xfId="0" applyFont="1" applyBorder="1"/>
    <xf numFmtId="0" fontId="14" fillId="0" borderId="32" xfId="0" applyFont="1" applyBorder="1" applyAlignment="1">
      <alignment horizontal="center"/>
    </xf>
    <xf numFmtId="0" fontId="48" fillId="0" borderId="32" xfId="0" applyFont="1" applyBorder="1" applyAlignment="1">
      <alignment horizontal="center" vertical="center"/>
    </xf>
    <xf numFmtId="171" fontId="58" fillId="0" borderId="32" xfId="48" applyFill="1" applyBorder="1" applyAlignment="1" applyProtection="1"/>
    <xf numFmtId="0" fontId="48" fillId="18" borderId="32" xfId="0" applyFont="1" applyFill="1" applyBorder="1" applyAlignment="1">
      <alignment horizontal="center" vertical="center"/>
    </xf>
    <xf numFmtId="171" fontId="58" fillId="18" borderId="32" xfId="48" applyFill="1" applyBorder="1" applyAlignment="1" applyProtection="1"/>
    <xf numFmtId="0" fontId="0" fillId="18" borderId="45" xfId="0" applyFill="1" applyBorder="1"/>
    <xf numFmtId="0" fontId="0" fillId="18" borderId="46" xfId="0" applyFill="1" applyBorder="1"/>
    <xf numFmtId="0" fontId="48" fillId="0" borderId="0" xfId="34" applyFont="1" applyAlignment="1">
      <alignment horizontal="center"/>
    </xf>
    <xf numFmtId="0" fontId="48" fillId="0" borderId="0" xfId="34" applyFont="1"/>
    <xf numFmtId="165" fontId="0" fillId="0" borderId="0" xfId="49" applyFont="1" applyFill="1" applyBorder="1" applyAlignment="1" applyProtection="1">
      <alignment horizontal="center"/>
    </xf>
    <xf numFmtId="10" fontId="49" fillId="0" borderId="58" xfId="38" applyNumberFormat="1" applyFont="1" applyFill="1" applyBorder="1" applyAlignment="1" applyProtection="1">
      <alignment horizontal="center"/>
    </xf>
    <xf numFmtId="10" fontId="48" fillId="0" borderId="34" xfId="34" applyNumberFormat="1" applyFont="1" applyBorder="1" applyAlignment="1">
      <alignment horizontal="center"/>
    </xf>
    <xf numFmtId="172" fontId="48" fillId="0" borderId="59" xfId="34" applyNumberFormat="1" applyFont="1" applyBorder="1" applyAlignment="1">
      <alignment horizontal="left"/>
    </xf>
    <xf numFmtId="10" fontId="48" fillId="0" borderId="60" xfId="34" applyNumberFormat="1" applyFont="1" applyBorder="1" applyAlignment="1">
      <alignment horizontal="left"/>
    </xf>
    <xf numFmtId="1" fontId="48" fillId="0" borderId="60" xfId="34" applyNumberFormat="1" applyFont="1" applyBorder="1" applyAlignment="1">
      <alignment horizontal="center"/>
    </xf>
    <xf numFmtId="0" fontId="48" fillId="0" borderId="60" xfId="34" applyFont="1" applyBorder="1" applyAlignment="1">
      <alignment horizontal="center"/>
    </xf>
    <xf numFmtId="173" fontId="58" fillId="0" borderId="61" xfId="48" applyNumberFormat="1" applyFill="1" applyBorder="1" applyAlignment="1" applyProtection="1">
      <alignment horizontal="right" shrinkToFit="1"/>
    </xf>
    <xf numFmtId="173" fontId="0" fillId="0" borderId="34" xfId="48" applyNumberFormat="1" applyFont="1" applyFill="1" applyBorder="1" applyAlignment="1" applyProtection="1">
      <alignment horizontal="center" vertical="center"/>
    </xf>
    <xf numFmtId="10" fontId="49" fillId="0" borderId="62" xfId="38" applyNumberFormat="1" applyFont="1" applyFill="1" applyBorder="1" applyAlignment="1" applyProtection="1">
      <alignment horizontal="center"/>
    </xf>
    <xf numFmtId="10" fontId="49" fillId="0" borderId="63" xfId="38" applyNumberFormat="1" applyFont="1" applyFill="1" applyBorder="1" applyAlignment="1" applyProtection="1">
      <alignment horizontal="center"/>
    </xf>
    <xf numFmtId="0" fontId="48" fillId="0" borderId="31" xfId="34" applyFont="1" applyBorder="1" applyAlignment="1">
      <alignment horizontal="center"/>
    </xf>
    <xf numFmtId="0" fontId="48" fillId="0" borderId="64" xfId="34" applyFont="1" applyBorder="1"/>
    <xf numFmtId="0" fontId="34" fillId="0" borderId="64" xfId="34" applyFont="1" applyBorder="1"/>
    <xf numFmtId="0" fontId="48" fillId="0" borderId="64" xfId="34" applyFont="1" applyBorder="1" applyAlignment="1">
      <alignment horizontal="center"/>
    </xf>
    <xf numFmtId="165" fontId="0" fillId="0" borderId="64" xfId="49" applyFont="1" applyFill="1" applyBorder="1" applyAlignment="1" applyProtection="1">
      <alignment horizontal="right" shrinkToFit="1"/>
    </xf>
    <xf numFmtId="173" fontId="0" fillId="0" borderId="31" xfId="48" applyNumberFormat="1" applyFont="1" applyFill="1" applyBorder="1" applyAlignment="1" applyProtection="1">
      <alignment horizontal="center" vertical="center"/>
    </xf>
    <xf numFmtId="165" fontId="50" fillId="0" borderId="65" xfId="49" applyFont="1" applyFill="1" applyBorder="1" applyAlignment="1" applyProtection="1">
      <alignment horizontal="center"/>
    </xf>
    <xf numFmtId="0" fontId="48" fillId="0" borderId="14" xfId="34" applyFont="1" applyBorder="1" applyAlignment="1">
      <alignment horizontal="center"/>
    </xf>
    <xf numFmtId="165" fontId="50" fillId="0" borderId="0" xfId="49" applyFont="1" applyFill="1" applyBorder="1" applyAlignment="1" applyProtection="1">
      <alignment horizontal="center"/>
    </xf>
    <xf numFmtId="165" fontId="0" fillId="0" borderId="14" xfId="49" applyFont="1" applyFill="1" applyBorder="1" applyAlignment="1" applyProtection="1">
      <alignment horizontal="center"/>
    </xf>
    <xf numFmtId="165" fontId="50" fillId="0" borderId="56" xfId="49" applyFont="1" applyFill="1" applyBorder="1" applyAlignment="1" applyProtection="1">
      <alignment horizontal="center"/>
    </xf>
    <xf numFmtId="165" fontId="50" fillId="0" borderId="57" xfId="49" applyFont="1" applyFill="1" applyBorder="1" applyAlignment="1" applyProtection="1">
      <alignment horizontal="center"/>
    </xf>
    <xf numFmtId="165" fontId="25" fillId="0" borderId="0" xfId="49" applyFont="1" applyFill="1" applyBorder="1" applyAlignment="1" applyProtection="1">
      <alignment horizontal="left"/>
    </xf>
    <xf numFmtId="0" fontId="41" fillId="0" borderId="0" xfId="0" applyFont="1" applyAlignment="1">
      <alignment horizontal="center" textRotation="90"/>
    </xf>
    <xf numFmtId="0" fontId="51" fillId="0" borderId="33" xfId="34" applyFont="1" applyBorder="1"/>
    <xf numFmtId="0" fontId="48" fillId="0" borderId="12" xfId="34" applyFont="1" applyBorder="1"/>
    <xf numFmtId="0" fontId="26" fillId="0" borderId="33" xfId="49" applyNumberFormat="1" applyFont="1" applyFill="1" applyBorder="1" applyAlignment="1" applyProtection="1">
      <alignment horizontal="left"/>
    </xf>
    <xf numFmtId="165" fontId="26" fillId="0" borderId="33" xfId="49" applyFont="1" applyFill="1" applyBorder="1" applyAlignment="1" applyProtection="1">
      <alignment horizontal="left"/>
    </xf>
    <xf numFmtId="165" fontId="0" fillId="0" borderId="12" xfId="49" applyFont="1" applyFill="1" applyBorder="1" applyAlignment="1" applyProtection="1">
      <alignment horizontal="center"/>
    </xf>
    <xf numFmtId="0" fontId="51" fillId="0" borderId="31" xfId="34" applyFont="1" applyBorder="1" applyAlignment="1">
      <alignment horizontal="center"/>
    </xf>
    <xf numFmtId="0" fontId="48" fillId="0" borderId="47" xfId="34" applyFont="1" applyBorder="1"/>
    <xf numFmtId="0" fontId="48" fillId="16" borderId="32" xfId="34" applyFont="1" applyFill="1" applyBorder="1" applyAlignment="1" applyProtection="1">
      <alignment horizontal="center"/>
      <protection locked="0"/>
    </xf>
    <xf numFmtId="0" fontId="48" fillId="0" borderId="30" xfId="34" applyFont="1" applyBorder="1"/>
    <xf numFmtId="0" fontId="51" fillId="0" borderId="50" xfId="34" applyFont="1" applyBorder="1" applyAlignment="1">
      <alignment horizontal="center"/>
    </xf>
    <xf numFmtId="0" fontId="51" fillId="0" borderId="10" xfId="34" applyFont="1" applyBorder="1" applyAlignment="1">
      <alignment horizontal="left" vertical="center" wrapText="1"/>
    </xf>
    <xf numFmtId="0" fontId="48" fillId="0" borderId="10" xfId="34" applyFont="1" applyBorder="1" applyAlignment="1">
      <alignment horizontal="center" vertical="center"/>
    </xf>
    <xf numFmtId="0" fontId="51" fillId="0" borderId="51" xfId="34" applyFont="1" applyBorder="1" applyAlignment="1" applyProtection="1">
      <alignment horizontal="center"/>
      <protection locked="0"/>
    </xf>
    <xf numFmtId="0" fontId="51" fillId="0" borderId="52" xfId="34" applyFont="1" applyBorder="1" applyAlignment="1">
      <alignment horizontal="center"/>
    </xf>
    <xf numFmtId="0" fontId="48" fillId="0" borderId="0" xfId="34" applyFont="1" applyAlignment="1">
      <alignment horizontal="center" wrapText="1"/>
    </xf>
    <xf numFmtId="174" fontId="51" fillId="0" borderId="55" xfId="34" applyNumberFormat="1" applyFont="1" applyBorder="1" applyAlignment="1">
      <alignment horizontal="center"/>
    </xf>
    <xf numFmtId="0" fontId="51" fillId="0" borderId="30" xfId="34" applyFont="1" applyBorder="1" applyAlignment="1">
      <alignment horizontal="left" vertical="center" wrapText="1"/>
    </xf>
    <xf numFmtId="0" fontId="48" fillId="0" borderId="30" xfId="34" applyFont="1" applyBorder="1" applyAlignment="1">
      <alignment horizontal="center" vertical="center"/>
    </xf>
    <xf numFmtId="0" fontId="48" fillId="0" borderId="30" xfId="34" applyFont="1" applyBorder="1" applyAlignment="1">
      <alignment horizontal="center" vertical="center" wrapText="1"/>
    </xf>
    <xf numFmtId="174" fontId="51" fillId="0" borderId="56" xfId="34" applyNumberFormat="1" applyFont="1" applyBorder="1" applyAlignment="1" applyProtection="1">
      <alignment horizontal="center"/>
      <protection locked="0"/>
    </xf>
    <xf numFmtId="174" fontId="51" fillId="0" borderId="57" xfId="34" applyNumberFormat="1" applyFont="1" applyBorder="1" applyAlignment="1">
      <alignment horizontal="center"/>
    </xf>
    <xf numFmtId="10" fontId="0" fillId="0" borderId="54" xfId="38" applyNumberFormat="1" applyFont="1" applyFill="1" applyBorder="1" applyAlignment="1" applyProtection="1"/>
    <xf numFmtId="0" fontId="48" fillId="8" borderId="34" xfId="34" applyFont="1" applyFill="1" applyBorder="1"/>
    <xf numFmtId="165" fontId="26" fillId="0" borderId="0" xfId="49" applyFont="1" applyFill="1" applyBorder="1" applyAlignment="1" applyProtection="1">
      <alignment horizontal="center" shrinkToFit="1"/>
    </xf>
    <xf numFmtId="165" fontId="0" fillId="8" borderId="66" xfId="49" applyFont="1" applyFill="1" applyBorder="1" applyAlignment="1" applyProtection="1">
      <alignment horizontal="center"/>
    </xf>
    <xf numFmtId="165" fontId="0" fillId="8" borderId="67" xfId="49" applyFont="1" applyFill="1" applyBorder="1" applyAlignment="1" applyProtection="1">
      <alignment horizontal="right"/>
    </xf>
    <xf numFmtId="10" fontId="0" fillId="8" borderId="53" xfId="38" applyNumberFormat="1" applyFont="1" applyFill="1" applyBorder="1" applyAlignment="1" applyProtection="1"/>
    <xf numFmtId="10" fontId="0" fillId="8" borderId="54" xfId="38" applyNumberFormat="1" applyFont="1" applyFill="1" applyBorder="1" applyAlignment="1" applyProtection="1"/>
    <xf numFmtId="10" fontId="0" fillId="8" borderId="68" xfId="38" applyNumberFormat="1" applyFont="1" applyFill="1" applyBorder="1" applyAlignment="1" applyProtection="1"/>
    <xf numFmtId="171" fontId="58" fillId="0" borderId="40" xfId="48" applyFill="1" applyBorder="1" applyAlignment="1" applyProtection="1">
      <alignment shrinkToFit="1"/>
    </xf>
    <xf numFmtId="0" fontId="48" fillId="8" borderId="31" xfId="34" applyFont="1" applyFill="1" applyBorder="1"/>
    <xf numFmtId="165" fontId="0" fillId="0" borderId="38" xfId="49" applyFont="1" applyFill="1" applyBorder="1" applyAlignment="1" applyProtection="1">
      <alignment horizontal="center"/>
    </xf>
    <xf numFmtId="165" fontId="0" fillId="0" borderId="69" xfId="49" applyFont="1" applyFill="1" applyBorder="1" applyAlignment="1" applyProtection="1">
      <alignment horizontal="right"/>
    </xf>
    <xf numFmtId="171" fontId="58" fillId="0" borderId="39" xfId="48" applyFill="1" applyBorder="1" applyAlignment="1" applyProtection="1">
      <alignment shrinkToFit="1"/>
    </xf>
    <xf numFmtId="171" fontId="58" fillId="0" borderId="41" xfId="48" applyFill="1" applyBorder="1" applyAlignment="1" applyProtection="1">
      <alignment shrinkToFit="1"/>
    </xf>
    <xf numFmtId="0" fontId="51" fillId="0" borderId="0" xfId="34" applyFont="1" applyAlignment="1">
      <alignment horizontal="left"/>
    </xf>
    <xf numFmtId="0" fontId="48" fillId="8" borderId="31" xfId="34" applyFont="1" applyFill="1" applyBorder="1" applyAlignment="1">
      <alignment horizontal="center"/>
    </xf>
    <xf numFmtId="165" fontId="0" fillId="8" borderId="38" xfId="49" applyFont="1" applyFill="1" applyBorder="1" applyAlignment="1" applyProtection="1">
      <alignment horizontal="center"/>
    </xf>
    <xf numFmtId="165" fontId="0" fillId="8" borderId="69" xfId="49" applyFont="1" applyFill="1" applyBorder="1" applyAlignment="1" applyProtection="1">
      <alignment horizontal="right"/>
    </xf>
    <xf numFmtId="171" fontId="58" fillId="8" borderId="39" xfId="48" applyFill="1" applyBorder="1" applyAlignment="1" applyProtection="1">
      <alignment shrinkToFit="1"/>
    </xf>
    <xf numFmtId="171" fontId="58" fillId="8" borderId="40" xfId="48" applyFill="1" applyBorder="1" applyAlignment="1" applyProtection="1">
      <alignment shrinkToFit="1"/>
    </xf>
    <xf numFmtId="171" fontId="58" fillId="8" borderId="41" xfId="48" applyFill="1" applyBorder="1" applyAlignment="1" applyProtection="1">
      <alignment shrinkToFit="1"/>
    </xf>
    <xf numFmtId="171" fontId="58" fillId="0" borderId="43" xfId="48" applyFill="1" applyBorder="1" applyAlignment="1" applyProtection="1">
      <alignment shrinkToFit="1"/>
    </xf>
    <xf numFmtId="165" fontId="0" fillId="0" borderId="59" xfId="49" applyFont="1" applyFill="1" applyBorder="1" applyAlignment="1" applyProtection="1">
      <alignment horizontal="center"/>
    </xf>
    <xf numFmtId="165" fontId="0" fillId="0" borderId="61" xfId="49" applyFont="1" applyFill="1" applyBorder="1" applyAlignment="1" applyProtection="1">
      <alignment horizontal="right"/>
    </xf>
    <xf numFmtId="171" fontId="58" fillId="0" borderId="70" xfId="48" applyFill="1" applyBorder="1" applyAlignment="1" applyProtection="1">
      <alignment shrinkToFit="1"/>
    </xf>
    <xf numFmtId="171" fontId="58" fillId="0" borderId="44" xfId="48" applyFill="1" applyBorder="1" applyAlignment="1" applyProtection="1">
      <alignment shrinkToFit="1"/>
    </xf>
    <xf numFmtId="165" fontId="26" fillId="0" borderId="71" xfId="49" applyFont="1" applyFill="1" applyBorder="1" applyAlignment="1" applyProtection="1">
      <alignment shrinkToFit="1"/>
    </xf>
    <xf numFmtId="0" fontId="48" fillId="8" borderId="14" xfId="34" applyFont="1" applyFill="1" applyBorder="1"/>
    <xf numFmtId="165" fontId="26" fillId="8" borderId="72" xfId="49" applyFont="1" applyFill="1" applyBorder="1" applyAlignment="1" applyProtection="1">
      <alignment horizontal="center"/>
    </xf>
    <xf numFmtId="165" fontId="26" fillId="8" borderId="73" xfId="49" applyFont="1" applyFill="1" applyBorder="1" applyAlignment="1" applyProtection="1">
      <alignment horizontal="right"/>
    </xf>
    <xf numFmtId="165" fontId="26" fillId="8" borderId="74" xfId="49" applyFont="1" applyFill="1" applyBorder="1" applyAlignment="1" applyProtection="1">
      <alignment shrinkToFit="1"/>
    </xf>
    <xf numFmtId="165" fontId="26" fillId="8" borderId="71" xfId="49" applyFont="1" applyFill="1" applyBorder="1" applyAlignment="1" applyProtection="1">
      <alignment shrinkToFit="1"/>
    </xf>
    <xf numFmtId="165" fontId="26" fillId="8" borderId="75" xfId="49" applyFont="1" applyFill="1" applyBorder="1" applyAlignment="1" applyProtection="1">
      <alignment shrinkToFit="1"/>
    </xf>
    <xf numFmtId="0" fontId="48" fillId="0" borderId="30" xfId="34" applyFont="1" applyBorder="1" applyAlignment="1">
      <alignment horizontal="center"/>
    </xf>
    <xf numFmtId="165" fontId="0" fillId="0" borderId="30" xfId="49" applyFont="1" applyFill="1" applyBorder="1" applyAlignment="1" applyProtection="1">
      <alignment horizontal="center"/>
    </xf>
    <xf numFmtId="0" fontId="0" fillId="0" borderId="40" xfId="0" applyBorder="1" applyAlignment="1">
      <alignment horizontal="center"/>
    </xf>
    <xf numFmtId="0" fontId="0" fillId="0" borderId="40" xfId="0" applyBorder="1" applyAlignment="1">
      <alignment horizontal="left"/>
    </xf>
    <xf numFmtId="1" fontId="0" fillId="6" borderId="40" xfId="0" applyNumberFormat="1" applyFill="1" applyBorder="1" applyAlignment="1" applyProtection="1">
      <alignment horizontal="center"/>
      <protection locked="0"/>
    </xf>
    <xf numFmtId="0" fontId="22" fillId="0" borderId="0" xfId="0" applyFont="1"/>
    <xf numFmtId="0" fontId="0" fillId="0" borderId="0" xfId="0" applyAlignment="1">
      <alignment textRotation="90"/>
    </xf>
    <xf numFmtId="4" fontId="0" fillId="0" borderId="0" xfId="0" applyNumberFormat="1"/>
    <xf numFmtId="175" fontId="53" fillId="8" borderId="1" xfId="0" applyNumberFormat="1" applyFont="1" applyFill="1" applyBorder="1" applyAlignment="1">
      <alignment horizontal="center" textRotation="90" wrapText="1"/>
    </xf>
    <xf numFmtId="0" fontId="26" fillId="8" borderId="1" xfId="0" applyFont="1" applyFill="1" applyBorder="1" applyAlignment="1">
      <alignment horizontal="center"/>
    </xf>
    <xf numFmtId="0" fontId="26" fillId="8" borderId="76" xfId="0" applyFont="1" applyFill="1" applyBorder="1"/>
    <xf numFmtId="0" fontId="26" fillId="8" borderId="77" xfId="0" applyFont="1" applyFill="1" applyBorder="1"/>
    <xf numFmtId="0" fontId="26" fillId="8" borderId="78" xfId="0" applyFont="1" applyFill="1" applyBorder="1"/>
    <xf numFmtId="0" fontId="0" fillId="18" borderId="40" xfId="0" applyFill="1" applyBorder="1" applyAlignment="1">
      <alignment horizontal="center"/>
    </xf>
    <xf numFmtId="0" fontId="0" fillId="18" borderId="40" xfId="0" applyFill="1" applyBorder="1"/>
    <xf numFmtId="0" fontId="0" fillId="8" borderId="79" xfId="0" applyFill="1" applyBorder="1"/>
    <xf numFmtId="0" fontId="0" fillId="8" borderId="80" xfId="0" applyFill="1" applyBorder="1"/>
    <xf numFmtId="0" fontId="0" fillId="8" borderId="81" xfId="0" applyFill="1" applyBorder="1"/>
    <xf numFmtId="0" fontId="48" fillId="19" borderId="32" xfId="34" applyFont="1" applyFill="1" applyBorder="1" applyAlignment="1">
      <alignment horizontal="center"/>
    </xf>
    <xf numFmtId="0" fontId="51" fillId="0" borderId="12" xfId="34" applyFont="1" applyBorder="1"/>
    <xf numFmtId="0" fontId="48" fillId="0" borderId="12" xfId="34" applyFont="1" applyBorder="1" applyAlignment="1">
      <alignment horizontal="center"/>
    </xf>
    <xf numFmtId="0" fontId="0" fillId="0" borderId="33" xfId="0" applyBorder="1"/>
    <xf numFmtId="0" fontId="54" fillId="0" borderId="0" xfId="0" applyFont="1"/>
    <xf numFmtId="0" fontId="26" fillId="0" borderId="0" xfId="0" applyFont="1" applyAlignment="1">
      <alignment horizontal="right"/>
    </xf>
    <xf numFmtId="0" fontId="25" fillId="0" borderId="33" xfId="0" applyFont="1" applyBorder="1"/>
    <xf numFmtId="0" fontId="26" fillId="8" borderId="32" xfId="0" applyFont="1" applyFill="1" applyBorder="1" applyAlignment="1">
      <alignment horizontal="center"/>
    </xf>
    <xf numFmtId="0" fontId="26" fillId="0" borderId="34" xfId="0" applyFont="1" applyBorder="1" applyAlignment="1">
      <alignment horizontal="center"/>
    </xf>
    <xf numFmtId="0" fontId="0" fillId="0" borderId="0" xfId="33" applyFont="1" applyAlignment="1">
      <alignment horizontal="left" vertical="top"/>
    </xf>
    <xf numFmtId="0" fontId="25" fillId="0" borderId="0" xfId="0" applyFont="1" applyAlignment="1">
      <alignment horizontal="left" vertical="center" indent="2"/>
    </xf>
    <xf numFmtId="10" fontId="0" fillId="0" borderId="32" xfId="0" applyNumberFormat="1" applyBorder="1" applyAlignment="1">
      <alignment horizontal="center" vertical="center" wrapText="1"/>
    </xf>
    <xf numFmtId="0" fontId="26" fillId="0" borderId="31" xfId="0" applyFont="1" applyBorder="1"/>
    <xf numFmtId="0" fontId="0" fillId="0" borderId="14" xfId="0" applyBorder="1"/>
    <xf numFmtId="4" fontId="0" fillId="0" borderId="14" xfId="33" applyNumberFormat="1" applyFont="1" applyBorder="1" applyAlignment="1">
      <alignment vertical="top" wrapText="1"/>
    </xf>
    <xf numFmtId="0" fontId="0" fillId="0" borderId="0" xfId="33" applyFont="1" applyAlignment="1">
      <alignment vertical="top" wrapText="1"/>
    </xf>
    <xf numFmtId="0" fontId="23" fillId="0" borderId="34" xfId="0" applyFont="1" applyBorder="1" applyAlignment="1">
      <alignment horizontal="center"/>
    </xf>
    <xf numFmtId="178" fontId="0" fillId="0" borderId="47" xfId="0" applyNumberFormat="1" applyBorder="1" applyAlignment="1">
      <alignment horizontal="center" vertical="center"/>
    </xf>
    <xf numFmtId="178" fontId="0" fillId="0" borderId="14" xfId="0" applyNumberFormat="1" applyBorder="1" applyAlignment="1">
      <alignment horizontal="center" vertical="center"/>
    </xf>
    <xf numFmtId="179" fontId="26" fillId="0" borderId="39" xfId="0" applyNumberFormat="1" applyFon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178" fontId="0" fillId="0" borderId="38" xfId="0" applyNumberFormat="1" applyBorder="1" applyAlignment="1">
      <alignment horizontal="center" vertical="center"/>
    </xf>
    <xf numFmtId="178" fontId="0" fillId="0" borderId="79" xfId="0" applyNumberFormat="1" applyBorder="1" applyAlignment="1">
      <alignment horizontal="center" vertical="center"/>
    </xf>
    <xf numFmtId="178" fontId="0" fillId="0" borderId="69" xfId="0" applyNumberFormat="1" applyBorder="1" applyAlignment="1">
      <alignment horizontal="center" vertical="center"/>
    </xf>
    <xf numFmtId="178" fontId="0" fillId="0" borderId="42" xfId="0" applyNumberFormat="1" applyBorder="1" applyAlignment="1">
      <alignment horizontal="center" vertical="center"/>
    </xf>
    <xf numFmtId="49" fontId="0" fillId="6" borderId="70" xfId="0" applyNumberFormat="1" applyFill="1" applyBorder="1" applyAlignment="1" applyProtection="1">
      <alignment horizontal="center"/>
      <protection locked="0"/>
    </xf>
    <xf numFmtId="178" fontId="0" fillId="6" borderId="70" xfId="0" applyNumberFormat="1" applyFill="1" applyBorder="1" applyAlignment="1" applyProtection="1">
      <alignment horizontal="center" vertical="center"/>
      <protection locked="0"/>
    </xf>
    <xf numFmtId="178" fontId="0" fillId="6" borderId="43" xfId="0" applyNumberFormat="1" applyFill="1" applyBorder="1" applyAlignment="1" applyProtection="1">
      <alignment horizontal="center" vertical="center"/>
      <protection locked="0"/>
    </xf>
    <xf numFmtId="178" fontId="0" fillId="6" borderId="44" xfId="0" applyNumberFormat="1" applyFill="1" applyBorder="1" applyAlignment="1" applyProtection="1">
      <alignment horizontal="center" vertical="center"/>
      <protection locked="0"/>
    </xf>
    <xf numFmtId="4" fontId="0" fillId="0" borderId="0" xfId="31" applyNumberFormat="1" applyFont="1" applyFill="1" applyBorder="1" applyAlignment="1" applyProtection="1">
      <alignment vertical="center" wrapText="1"/>
    </xf>
    <xf numFmtId="0" fontId="26" fillId="0" borderId="0" xfId="0" applyFont="1" applyAlignment="1">
      <alignment wrapText="1"/>
    </xf>
    <xf numFmtId="0" fontId="26" fillId="0" borderId="13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26" fillId="0" borderId="46" xfId="0" applyFont="1" applyBorder="1" applyAlignment="1">
      <alignment horizontal="center" vertical="center" wrapText="1"/>
    </xf>
    <xf numFmtId="0" fontId="26" fillId="0" borderId="34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0" fillId="8" borderId="82" xfId="0" applyFill="1" applyBorder="1"/>
    <xf numFmtId="0" fontId="0" fillId="8" borderId="10" xfId="0" applyFill="1" applyBorder="1"/>
    <xf numFmtId="178" fontId="19" fillId="8" borderId="82" xfId="0" applyNumberFormat="1" applyFont="1" applyFill="1" applyBorder="1" applyAlignment="1">
      <alignment horizontal="center" vertical="center"/>
    </xf>
    <xf numFmtId="178" fontId="19" fillId="8" borderId="10" xfId="0" applyNumberFormat="1" applyFont="1" applyFill="1" applyBorder="1" applyAlignment="1">
      <alignment horizontal="center" vertical="center"/>
    </xf>
    <xf numFmtId="178" fontId="19" fillId="8" borderId="11" xfId="0" applyNumberFormat="1" applyFont="1" applyFill="1" applyBorder="1" applyAlignment="1">
      <alignment horizontal="center" vertical="center"/>
    </xf>
    <xf numFmtId="178" fontId="19" fillId="8" borderId="34" xfId="0" applyNumberFormat="1" applyFont="1" applyFill="1" applyBorder="1" applyAlignment="1">
      <alignment horizontal="center" vertical="center"/>
    </xf>
    <xf numFmtId="0" fontId="0" fillId="18" borderId="34" xfId="0" applyFill="1" applyBorder="1"/>
    <xf numFmtId="0" fontId="0" fillId="18" borderId="34" xfId="0" applyFill="1" applyBorder="1" applyAlignment="1">
      <alignment horizontal="center"/>
    </xf>
    <xf numFmtId="0" fontId="0" fillId="18" borderId="82" xfId="0" applyFill="1" applyBorder="1"/>
    <xf numFmtId="0" fontId="0" fillId="18" borderId="10" xfId="0" applyFill="1" applyBorder="1" applyAlignment="1">
      <alignment horizontal="center"/>
    </xf>
    <xf numFmtId="0" fontId="0" fillId="18" borderId="10" xfId="0" applyFill="1" applyBorder="1"/>
    <xf numFmtId="0" fontId="0" fillId="18" borderId="11" xfId="0" applyFill="1" applyBorder="1"/>
    <xf numFmtId="0" fontId="0" fillId="8" borderId="47" xfId="0" applyFill="1" applyBorder="1"/>
    <xf numFmtId="0" fontId="0" fillId="8" borderId="30" xfId="0" applyFill="1" applyBorder="1"/>
    <xf numFmtId="181" fontId="10" fillId="8" borderId="47" xfId="0" applyNumberFormat="1" applyFont="1" applyFill="1" applyBorder="1" applyAlignment="1">
      <alignment horizontal="center"/>
    </xf>
    <xf numFmtId="181" fontId="10" fillId="8" borderId="30" xfId="0" applyNumberFormat="1" applyFont="1" applyFill="1" applyBorder="1" applyAlignment="1">
      <alignment horizontal="center"/>
    </xf>
    <xf numFmtId="181" fontId="10" fillId="8" borderId="29" xfId="0" applyNumberFormat="1" applyFont="1" applyFill="1" applyBorder="1" applyAlignment="1">
      <alignment horizontal="center"/>
    </xf>
    <xf numFmtId="181" fontId="10" fillId="8" borderId="14" xfId="0" applyNumberFormat="1" applyFont="1" applyFill="1" applyBorder="1" applyAlignment="1">
      <alignment horizontal="center"/>
    </xf>
    <xf numFmtId="0" fontId="0" fillId="18" borderId="14" xfId="0" applyFill="1" applyBorder="1"/>
    <xf numFmtId="0" fontId="0" fillId="18" borderId="14" xfId="0" applyFill="1" applyBorder="1" applyAlignment="1">
      <alignment horizontal="center"/>
    </xf>
    <xf numFmtId="0" fontId="0" fillId="18" borderId="47" xfId="0" applyFill="1" applyBorder="1"/>
    <xf numFmtId="0" fontId="0" fillId="18" borderId="30" xfId="0" applyFill="1" applyBorder="1" applyAlignment="1">
      <alignment horizontal="center"/>
    </xf>
    <xf numFmtId="0" fontId="0" fillId="18" borderId="30" xfId="0" applyFill="1" applyBorder="1"/>
    <xf numFmtId="0" fontId="0" fillId="18" borderId="29" xfId="0" applyFill="1" applyBorder="1"/>
    <xf numFmtId="0" fontId="25" fillId="0" borderId="0" xfId="0" applyFont="1" applyAlignment="1">
      <alignment horizontal="left" vertical="center" indent="12"/>
    </xf>
    <xf numFmtId="0" fontId="0" fillId="0" borderId="0" xfId="0" applyAlignment="1">
      <alignment horizontal="center" vertical="top"/>
    </xf>
    <xf numFmtId="0" fontId="0" fillId="0" borderId="82" xfId="0" applyBorder="1"/>
    <xf numFmtId="0" fontId="39" fillId="0" borderId="0" xfId="0" applyFont="1" applyAlignment="1">
      <alignment horizontal="left" vertical="center" indent="12"/>
    </xf>
    <xf numFmtId="0" fontId="0" fillId="0" borderId="47" xfId="33" applyFont="1" applyBorder="1" applyAlignment="1">
      <alignment vertical="top" wrapText="1"/>
    </xf>
    <xf numFmtId="182" fontId="0" fillId="0" borderId="29" xfId="33" applyNumberFormat="1" applyFont="1" applyBorder="1" applyAlignment="1">
      <alignment horizontal="left" vertical="top" wrapText="1"/>
    </xf>
    <xf numFmtId="0" fontId="0" fillId="0" borderId="34" xfId="0" applyBorder="1"/>
    <xf numFmtId="0" fontId="0" fillId="0" borderId="31" xfId="0" applyBorder="1"/>
    <xf numFmtId="49" fontId="0" fillId="0" borderId="14" xfId="33" applyNumberFormat="1" applyFont="1" applyBorder="1" applyAlignment="1">
      <alignment vertical="top" wrapText="1"/>
    </xf>
    <xf numFmtId="0" fontId="25" fillId="0" borderId="47" xfId="0" applyFont="1" applyBorder="1"/>
    <xf numFmtId="14" fontId="26" fillId="6" borderId="37" xfId="0" applyNumberFormat="1" applyFont="1" applyFill="1" applyBorder="1" applyAlignment="1" applyProtection="1">
      <alignment horizontal="center" vertical="center" wrapText="1"/>
      <protection locked="0"/>
    </xf>
    <xf numFmtId="14" fontId="26" fillId="6" borderId="48" xfId="0" applyNumberFormat="1" applyFont="1" applyFill="1" applyBorder="1" applyAlignment="1" applyProtection="1">
      <alignment horizontal="center" vertical="center" wrapText="1"/>
      <protection locked="0"/>
    </xf>
    <xf numFmtId="14" fontId="26" fillId="6" borderId="49" xfId="0" applyNumberFormat="1" applyFont="1" applyFill="1" applyBorder="1" applyAlignment="1" applyProtection="1">
      <alignment horizontal="center" vertical="center" wrapText="1"/>
      <protection locked="0"/>
    </xf>
    <xf numFmtId="0" fontId="26" fillId="0" borderId="34" xfId="0" applyFont="1" applyBorder="1" applyAlignment="1">
      <alignment horizontal="center" vertical="center"/>
    </xf>
    <xf numFmtId="183" fontId="26" fillId="8" borderId="34" xfId="0" applyNumberFormat="1" applyFont="1" applyFill="1" applyBorder="1" applyAlignment="1">
      <alignment horizontal="center" vertical="center" wrapText="1"/>
    </xf>
    <xf numFmtId="171" fontId="0" fillId="0" borderId="38" xfId="48" applyFont="1" applyFill="1" applyBorder="1" applyAlignment="1" applyProtection="1">
      <alignment vertical="center" shrinkToFit="1"/>
    </xf>
    <xf numFmtId="171" fontId="0" fillId="0" borderId="69" xfId="48" applyFont="1" applyFill="1" applyBorder="1" applyAlignment="1" applyProtection="1">
      <alignment vertical="center" shrinkToFit="1"/>
    </xf>
    <xf numFmtId="171" fontId="0" fillId="0" borderId="39" xfId="48" applyFont="1" applyFill="1" applyBorder="1" applyAlignment="1" applyProtection="1">
      <alignment horizontal="center" vertical="center" shrinkToFit="1"/>
    </xf>
    <xf numFmtId="171" fontId="0" fillId="0" borderId="40" xfId="48" applyFont="1" applyFill="1" applyBorder="1" applyAlignment="1" applyProtection="1">
      <alignment horizontal="center" vertical="center" shrinkToFit="1"/>
    </xf>
    <xf numFmtId="171" fontId="0" fillId="6" borderId="39" xfId="48" applyFont="1" applyFill="1" applyBorder="1" applyAlignment="1" applyProtection="1">
      <protection locked="0"/>
    </xf>
    <xf numFmtId="171" fontId="0" fillId="6" borderId="41" xfId="48" applyFont="1" applyFill="1" applyBorder="1" applyAlignment="1" applyProtection="1">
      <protection locked="0"/>
    </xf>
    <xf numFmtId="165" fontId="0" fillId="0" borderId="40" xfId="0" applyNumberFormat="1" applyBorder="1"/>
    <xf numFmtId="171" fontId="26" fillId="17" borderId="14" xfId="48" applyFont="1" applyFill="1" applyBorder="1" applyAlignment="1" applyProtection="1">
      <alignment horizontal="center" vertical="center"/>
    </xf>
    <xf numFmtId="171" fontId="26" fillId="17" borderId="14" xfId="48" applyFont="1" applyFill="1" applyBorder="1" applyAlignment="1" applyProtection="1">
      <alignment horizontal="center" vertical="center" shrinkToFit="1"/>
    </xf>
    <xf numFmtId="0" fontId="0" fillId="17" borderId="42" xfId="0" applyFill="1" applyBorder="1"/>
    <xf numFmtId="0" fontId="0" fillId="17" borderId="35" xfId="0" applyFill="1" applyBorder="1"/>
    <xf numFmtId="0" fontId="0" fillId="17" borderId="64" xfId="0" applyFill="1" applyBorder="1"/>
    <xf numFmtId="0" fontId="0" fillId="17" borderId="83" xfId="0" applyFill="1" applyBorder="1"/>
    <xf numFmtId="0" fontId="25" fillId="0" borderId="0" xfId="0" applyFont="1" applyAlignment="1">
      <alignment horizontal="left" vertical="center" indent="15"/>
    </xf>
    <xf numFmtId="0" fontId="0" fillId="0" borderId="13" xfId="0" applyBorder="1" applyAlignment="1">
      <alignment horizontal="center" wrapText="1"/>
    </xf>
    <xf numFmtId="0" fontId="0" fillId="0" borderId="46" xfId="0" applyBorder="1" applyAlignment="1">
      <alignment horizontal="center" wrapText="1"/>
    </xf>
    <xf numFmtId="0" fontId="26" fillId="0" borderId="32" xfId="0" applyFont="1" applyBorder="1" applyAlignment="1">
      <alignment horizontal="right" vertical="center" wrapText="1"/>
    </xf>
    <xf numFmtId="184" fontId="26" fillId="0" borderId="32" xfId="31" applyNumberFormat="1" applyFont="1" applyFill="1" applyBorder="1" applyAlignment="1" applyProtection="1">
      <alignment horizontal="right" vertical="center" shrinkToFit="1"/>
    </xf>
    <xf numFmtId="0" fontId="26" fillId="0" borderId="12" xfId="35" applyFont="1" applyBorder="1"/>
    <xf numFmtId="0" fontId="0" fillId="0" borderId="29" xfId="0" applyBorder="1" applyAlignment="1">
      <alignment shrinkToFit="1"/>
    </xf>
    <xf numFmtId="0" fontId="0" fillId="0" borderId="31" xfId="33" applyFont="1" applyBorder="1" applyAlignment="1">
      <alignment vertical="top" wrapText="1"/>
    </xf>
    <xf numFmtId="4" fontId="0" fillId="0" borderId="14" xfId="33" applyNumberFormat="1" applyFont="1" applyBorder="1" applyAlignment="1">
      <alignment horizontal="left" vertical="top" wrapText="1"/>
    </xf>
    <xf numFmtId="4" fontId="0" fillId="0" borderId="47" xfId="33" applyNumberFormat="1" applyFont="1" applyBorder="1" applyAlignment="1">
      <alignment horizontal="left" vertical="top" wrapText="1"/>
    </xf>
    <xf numFmtId="0" fontId="24" fillId="0" borderId="0" xfId="0" applyFont="1" applyAlignment="1">
      <alignment wrapText="1"/>
    </xf>
    <xf numFmtId="0" fontId="23" fillId="0" borderId="11" xfId="0" applyFont="1" applyBorder="1" applyAlignment="1">
      <alignment horizontal="center"/>
    </xf>
    <xf numFmtId="0" fontId="55" fillId="0" borderId="0" xfId="0" applyFont="1" applyAlignment="1">
      <alignment horizontal="center" vertical="center" wrapText="1"/>
    </xf>
    <xf numFmtId="170" fontId="26" fillId="0" borderId="47" xfId="0" applyNumberFormat="1" applyFont="1" applyBorder="1" applyAlignment="1">
      <alignment horizontal="center"/>
    </xf>
    <xf numFmtId="10" fontId="26" fillId="0" borderId="29" xfId="0" applyNumberFormat="1" applyFont="1" applyBorder="1" applyAlignment="1">
      <alignment horizontal="center" shrinkToFit="1"/>
    </xf>
    <xf numFmtId="178" fontId="0" fillId="0" borderId="30" xfId="0" applyNumberFormat="1" applyBorder="1" applyAlignment="1">
      <alignment horizontal="center" vertical="center"/>
    </xf>
    <xf numFmtId="0" fontId="0" fillId="0" borderId="10" xfId="0" applyBorder="1" applyAlignment="1">
      <alignment wrapText="1"/>
    </xf>
    <xf numFmtId="0" fontId="0" fillId="0" borderId="40" xfId="0" applyBorder="1" applyAlignment="1">
      <alignment horizontal="left" vertical="top"/>
    </xf>
    <xf numFmtId="49" fontId="0" fillId="0" borderId="40" xfId="0" applyNumberFormat="1" applyBorder="1" applyAlignment="1">
      <alignment horizontal="center" vertical="center" wrapText="1"/>
    </xf>
    <xf numFmtId="0" fontId="0" fillId="0" borderId="41" xfId="0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0" fontId="0" fillId="0" borderId="69" xfId="0" applyNumberFormat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181" fontId="10" fillId="8" borderId="84" xfId="0" applyNumberFormat="1" applyFont="1" applyFill="1" applyBorder="1" applyAlignment="1">
      <alignment horizontal="center"/>
    </xf>
    <xf numFmtId="181" fontId="10" fillId="8" borderId="85" xfId="0" applyNumberFormat="1" applyFont="1" applyFill="1" applyBorder="1" applyAlignment="1">
      <alignment horizontal="center"/>
    </xf>
    <xf numFmtId="181" fontId="10" fillId="8" borderId="66" xfId="0" applyNumberFormat="1" applyFont="1" applyFill="1" applyBorder="1" applyAlignment="1">
      <alignment horizontal="center"/>
    </xf>
    <xf numFmtId="181" fontId="10" fillId="8" borderId="67" xfId="0" applyNumberFormat="1" applyFont="1" applyFill="1" applyBorder="1" applyAlignment="1">
      <alignment horizontal="center"/>
    </xf>
    <xf numFmtId="0" fontId="0" fillId="18" borderId="33" xfId="0" applyFill="1" applyBorder="1"/>
    <xf numFmtId="0" fontId="0" fillId="18" borderId="0" xfId="0" applyFill="1" applyAlignment="1">
      <alignment horizontal="center"/>
    </xf>
    <xf numFmtId="0" fontId="0" fillId="18" borderId="12" xfId="0" applyFill="1" applyBorder="1" applyAlignment="1">
      <alignment horizontal="center"/>
    </xf>
    <xf numFmtId="0" fontId="23" fillId="0" borderId="0" xfId="0" applyFont="1"/>
    <xf numFmtId="178" fontId="0" fillId="8" borderId="42" xfId="0" applyNumberFormat="1" applyFill="1" applyBorder="1" applyAlignment="1">
      <alignment horizontal="center" vertical="center"/>
    </xf>
    <xf numFmtId="178" fontId="0" fillId="8" borderId="38" xfId="0" applyNumberFormat="1" applyFill="1" applyBorder="1" applyAlignment="1">
      <alignment horizontal="center" vertical="center"/>
    </xf>
    <xf numFmtId="178" fontId="0" fillId="8" borderId="79" xfId="0" applyNumberFormat="1" applyFill="1" applyBorder="1" applyAlignment="1">
      <alignment horizontal="center" vertical="center"/>
    </xf>
    <xf numFmtId="178" fontId="0" fillId="8" borderId="69" xfId="0" applyNumberFormat="1" applyFill="1" applyBorder="1" applyAlignment="1">
      <alignment horizontal="center" vertical="center"/>
    </xf>
    <xf numFmtId="0" fontId="0" fillId="18" borderId="84" xfId="0" applyFill="1" applyBorder="1" applyAlignment="1">
      <alignment horizontal="right"/>
    </xf>
    <xf numFmtId="178" fontId="57" fillId="0" borderId="40" xfId="0" applyNumberFormat="1" applyFont="1" applyBorder="1"/>
    <xf numFmtId="178" fontId="0" fillId="0" borderId="86" xfId="0" applyNumberFormat="1" applyBorder="1" applyAlignment="1">
      <alignment horizontal="center" vertical="center"/>
    </xf>
    <xf numFmtId="178" fontId="0" fillId="0" borderId="59" xfId="0" applyNumberFormat="1" applyBorder="1" applyAlignment="1">
      <alignment horizontal="center" vertical="center"/>
    </xf>
    <xf numFmtId="178" fontId="0" fillId="0" borderId="60" xfId="0" applyNumberFormat="1" applyBorder="1" applyAlignment="1">
      <alignment horizontal="center" vertical="center"/>
    </xf>
    <xf numFmtId="178" fontId="0" fillId="0" borderId="61" xfId="0" applyNumberFormat="1" applyBorder="1" applyAlignment="1">
      <alignment horizontal="center" vertical="center"/>
    </xf>
    <xf numFmtId="0" fontId="0" fillId="18" borderId="87" xfId="0" applyFill="1" applyBorder="1" applyAlignment="1">
      <alignment horizontal="right"/>
    </xf>
    <xf numFmtId="178" fontId="19" fillId="8" borderId="32" xfId="0" applyNumberFormat="1" applyFont="1" applyFill="1" applyBorder="1" applyAlignment="1">
      <alignment horizontal="center" vertical="center"/>
    </xf>
    <xf numFmtId="178" fontId="19" fillId="8" borderId="13" xfId="0" applyNumberFormat="1" applyFont="1" applyFill="1" applyBorder="1" applyAlignment="1">
      <alignment horizontal="center" vertical="center"/>
    </xf>
    <xf numFmtId="178" fontId="19" fillId="8" borderId="45" xfId="0" applyNumberFormat="1" applyFont="1" applyFill="1" applyBorder="1" applyAlignment="1">
      <alignment horizontal="center" vertical="center"/>
    </xf>
    <xf numFmtId="178" fontId="19" fillId="8" borderId="46" xfId="0" applyNumberFormat="1" applyFont="1" applyFill="1" applyBorder="1" applyAlignment="1">
      <alignment horizontal="center" vertical="center"/>
    </xf>
    <xf numFmtId="178" fontId="0" fillId="0" borderId="0" xfId="0" applyNumberFormat="1"/>
    <xf numFmtId="0" fontId="19" fillId="0" borderId="0" xfId="33" applyFont="1" applyAlignment="1">
      <alignment vertical="center"/>
    </xf>
    <xf numFmtId="0" fontId="0" fillId="0" borderId="0" xfId="33" applyFont="1" applyAlignment="1">
      <alignment horizontal="left" vertical="center"/>
    </xf>
    <xf numFmtId="0" fontId="0" fillId="0" borderId="10" xfId="0" applyBorder="1" applyAlignment="1">
      <alignment horizontal="right"/>
    </xf>
    <xf numFmtId="171" fontId="23" fillId="0" borderId="0" xfId="48" applyFont="1" applyFill="1" applyBorder="1" applyAlignment="1" applyProtection="1"/>
    <xf numFmtId="168" fontId="0" fillId="0" borderId="0" xfId="33" applyNumberFormat="1" applyFont="1" applyAlignment="1">
      <alignment horizontal="left"/>
    </xf>
    <xf numFmtId="171" fontId="58" fillId="0" borderId="0" xfId="48" applyFill="1" applyBorder="1" applyAlignment="1" applyProtection="1"/>
    <xf numFmtId="0" fontId="0" fillId="0" borderId="0" xfId="33" applyFont="1" applyAlignment="1">
      <alignment horizontal="left"/>
    </xf>
    <xf numFmtId="0" fontId="0" fillId="6" borderId="0" xfId="33" applyFont="1" applyFill="1" applyAlignment="1" applyProtection="1">
      <alignment vertical="top"/>
      <protection locked="0"/>
    </xf>
    <xf numFmtId="0" fontId="26" fillId="0" borderId="0" xfId="33" applyFont="1" applyAlignment="1">
      <alignment vertical="top"/>
    </xf>
    <xf numFmtId="180" fontId="26" fillId="0" borderId="40" xfId="48" applyNumberFormat="1" applyFont="1" applyFill="1" applyBorder="1" applyAlignment="1" applyProtection="1">
      <alignment vertical="top" shrinkToFit="1"/>
    </xf>
    <xf numFmtId="180" fontId="26" fillId="0" borderId="71" xfId="48" applyNumberFormat="1" applyFont="1" applyFill="1" applyBorder="1" applyAlignment="1" applyProtection="1">
      <alignment horizontal="right" vertical="top" shrinkToFit="1"/>
    </xf>
    <xf numFmtId="10" fontId="26" fillId="0" borderId="71" xfId="37" applyNumberFormat="1" applyFont="1" applyFill="1" applyBorder="1" applyAlignment="1" applyProtection="1">
      <alignment horizontal="right" vertical="top" shrinkToFit="1"/>
    </xf>
    <xf numFmtId="0" fontId="0" fillId="6" borderId="0" xfId="33" applyFont="1" applyFill="1" applyAlignment="1" applyProtection="1">
      <alignment vertical="top" wrapText="1"/>
      <protection locked="0"/>
    </xf>
    <xf numFmtId="0" fontId="0" fillId="0" borderId="30" xfId="33" applyFont="1" applyBorder="1"/>
    <xf numFmtId="0" fontId="61" fillId="0" borderId="0" xfId="0" applyFont="1" applyAlignment="1">
      <alignment horizontal="center"/>
    </xf>
    <xf numFmtId="0" fontId="0" fillId="20" borderId="0" xfId="0" applyFill="1"/>
    <xf numFmtId="0" fontId="0" fillId="20" borderId="0" xfId="0" applyFill="1" applyAlignment="1">
      <alignment horizontal="center" vertical="center"/>
    </xf>
    <xf numFmtId="0" fontId="20" fillId="20" borderId="0" xfId="0" applyFont="1" applyFill="1" applyAlignment="1">
      <alignment vertical="center"/>
    </xf>
    <xf numFmtId="0" fontId="21" fillId="20" borderId="0" xfId="0" applyFont="1" applyFill="1" applyAlignment="1">
      <alignment horizontal="center" vertical="top"/>
    </xf>
    <xf numFmtId="0" fontId="21" fillId="20" borderId="0" xfId="0" applyFont="1" applyFill="1" applyAlignment="1">
      <alignment vertical="top"/>
    </xf>
    <xf numFmtId="0" fontId="60" fillId="21" borderId="88" xfId="30" applyFont="1" applyFill="1" applyBorder="1" applyAlignment="1">
      <alignment horizontal="center" vertical="center"/>
    </xf>
    <xf numFmtId="0" fontId="19" fillId="22" borderId="88" xfId="30" applyFont="1" applyFill="1" applyBorder="1" applyAlignment="1">
      <alignment horizontal="center" vertical="center"/>
    </xf>
    <xf numFmtId="0" fontId="25" fillId="22" borderId="88" xfId="30" applyFont="1" applyFill="1" applyBorder="1" applyAlignment="1">
      <alignment horizontal="center" vertical="center"/>
    </xf>
    <xf numFmtId="0" fontId="59" fillId="22" borderId="88" xfId="30" applyFont="1" applyFill="1" applyBorder="1" applyAlignment="1">
      <alignment horizontal="center" vertical="center"/>
    </xf>
    <xf numFmtId="0" fontId="61" fillId="0" borderId="0" xfId="0" applyFont="1" applyAlignment="1" applyProtection="1">
      <alignment horizontal="center" vertical="center"/>
      <protection locked="0"/>
    </xf>
    <xf numFmtId="0" fontId="19" fillId="23" borderId="88" xfId="30" applyFont="1" applyFill="1" applyBorder="1" applyAlignment="1">
      <alignment horizontal="center" vertical="center"/>
    </xf>
    <xf numFmtId="0" fontId="59" fillId="23" borderId="88" xfId="30" applyFont="1" applyFill="1" applyBorder="1" applyAlignment="1">
      <alignment horizontal="center" vertical="center"/>
    </xf>
    <xf numFmtId="0" fontId="26" fillId="24" borderId="88" xfId="30" applyFont="1" applyFill="1" applyBorder="1" applyAlignment="1">
      <alignment horizontal="center" vertical="center"/>
    </xf>
    <xf numFmtId="0" fontId="25" fillId="24" borderId="88" xfId="30" applyFont="1" applyFill="1" applyBorder="1" applyAlignment="1">
      <alignment horizontal="center" vertical="center"/>
    </xf>
    <xf numFmtId="0" fontId="59" fillId="24" borderId="88" xfId="30" applyFont="1" applyFill="1" applyBorder="1" applyAlignment="1">
      <alignment horizontal="center" vertical="center"/>
    </xf>
    <xf numFmtId="0" fontId="0" fillId="25" borderId="0" xfId="0" applyFill="1"/>
    <xf numFmtId="0" fontId="0" fillId="3" borderId="0" xfId="0" applyFill="1" applyAlignment="1">
      <alignment vertical="center"/>
    </xf>
    <xf numFmtId="0" fontId="0" fillId="0" borderId="89" xfId="0" applyBorder="1"/>
    <xf numFmtId="0" fontId="0" fillId="0" borderId="90" xfId="0" applyBorder="1"/>
    <xf numFmtId="0" fontId="0" fillId="0" borderId="91" xfId="0" applyBorder="1"/>
    <xf numFmtId="0" fontId="0" fillId="0" borderId="92" xfId="0" applyBorder="1"/>
    <xf numFmtId="0" fontId="26" fillId="0" borderId="0" xfId="0" applyFont="1" applyAlignment="1">
      <alignment vertical="center"/>
    </xf>
    <xf numFmtId="0" fontId="0" fillId="0" borderId="93" xfId="0" applyBorder="1"/>
    <xf numFmtId="0" fontId="0" fillId="0" borderId="93" xfId="0" applyBorder="1" applyAlignment="1">
      <alignment vertical="center"/>
    </xf>
    <xf numFmtId="0" fontId="0" fillId="0" borderId="94" xfId="0" applyBorder="1"/>
    <xf numFmtId="0" fontId="0" fillId="0" borderId="95" xfId="0" applyBorder="1"/>
    <xf numFmtId="0" fontId="0" fillId="0" borderId="96" xfId="0" applyBorder="1"/>
    <xf numFmtId="0" fontId="61" fillId="0" borderId="0" xfId="0" applyFont="1"/>
    <xf numFmtId="0" fontId="0" fillId="0" borderId="45" xfId="0" applyBorder="1"/>
    <xf numFmtId="0" fontId="49" fillId="26" borderId="13" xfId="0" applyFont="1" applyFill="1" applyBorder="1"/>
    <xf numFmtId="0" fontId="0" fillId="26" borderId="13" xfId="0" applyFill="1" applyBorder="1"/>
    <xf numFmtId="0" fontId="0" fillId="26" borderId="45" xfId="0" applyFill="1" applyBorder="1"/>
    <xf numFmtId="0" fontId="0" fillId="26" borderId="46" xfId="0" applyFill="1" applyBorder="1"/>
    <xf numFmtId="0" fontId="0" fillId="26" borderId="32" xfId="0" applyFill="1" applyBorder="1"/>
    <xf numFmtId="0" fontId="0" fillId="26" borderId="32" xfId="0" applyFill="1" applyBorder="1" applyAlignment="1">
      <alignment horizontal="left"/>
    </xf>
    <xf numFmtId="0" fontId="0" fillId="26" borderId="32" xfId="0" applyFill="1" applyBorder="1" applyAlignment="1">
      <alignment horizontal="center"/>
    </xf>
    <xf numFmtId="0" fontId="26" fillId="6" borderId="14" xfId="0" applyFont="1" applyFill="1" applyBorder="1" applyAlignment="1" applyProtection="1">
      <alignment horizontal="center" vertical="center" wrapText="1"/>
      <protection locked="0"/>
    </xf>
    <xf numFmtId="0" fontId="26" fillId="6" borderId="29" xfId="0" applyFont="1" applyFill="1" applyBorder="1" applyAlignment="1" applyProtection="1">
      <alignment horizontal="center" vertical="center" wrapText="1"/>
      <protection locked="0"/>
    </xf>
    <xf numFmtId="0" fontId="0" fillId="27" borderId="13" xfId="0" applyFill="1" applyBorder="1"/>
    <xf numFmtId="0" fontId="0" fillId="27" borderId="46" xfId="0" applyFill="1" applyBorder="1"/>
    <xf numFmtId="0" fontId="0" fillId="27" borderId="45" xfId="0" applyFill="1" applyBorder="1"/>
    <xf numFmtId="0" fontId="0" fillId="28" borderId="32" xfId="0" applyFill="1" applyBorder="1"/>
    <xf numFmtId="171" fontId="23" fillId="17" borderId="32" xfId="48" applyFont="1" applyFill="1" applyBorder="1" applyAlignment="1" applyProtection="1">
      <alignment horizontal="center" vertical="center" shrinkToFit="1"/>
    </xf>
    <xf numFmtId="0" fontId="44" fillId="0" borderId="52" xfId="0" applyFont="1" applyBorder="1" applyAlignment="1">
      <alignment horizontal="center" vertical="center" wrapText="1"/>
    </xf>
    <xf numFmtId="171" fontId="0" fillId="0" borderId="39" xfId="48" applyFont="1" applyFill="1" applyBorder="1" applyAlignment="1" applyProtection="1">
      <alignment vertical="center" shrinkToFit="1"/>
    </xf>
    <xf numFmtId="10" fontId="0" fillId="0" borderId="41" xfId="48" applyNumberFormat="1" applyFont="1" applyFill="1" applyBorder="1" applyAlignment="1" applyProtection="1">
      <alignment vertical="center" shrinkToFit="1"/>
    </xf>
    <xf numFmtId="10" fontId="26" fillId="17" borderId="14" xfId="48" applyNumberFormat="1" applyFont="1" applyFill="1" applyBorder="1" applyAlignment="1" applyProtection="1">
      <alignment horizontal="center" vertical="center"/>
    </xf>
    <xf numFmtId="171" fontId="0" fillId="6" borderId="42" xfId="48" applyFont="1" applyFill="1" applyBorder="1" applyAlignment="1" applyProtection="1">
      <alignment vertical="center" wrapText="1"/>
      <protection locked="0"/>
    </xf>
    <xf numFmtId="0" fontId="48" fillId="28" borderId="45" xfId="34" applyFont="1" applyFill="1" applyBorder="1"/>
    <xf numFmtId="0" fontId="48" fillId="26" borderId="0" xfId="34" applyFont="1" applyFill="1"/>
    <xf numFmtId="0" fontId="48" fillId="27" borderId="32" xfId="34" applyFont="1" applyFill="1" applyBorder="1" applyAlignment="1">
      <alignment horizontal="center"/>
    </xf>
    <xf numFmtId="0" fontId="48" fillId="27" borderId="13" xfId="34" applyFont="1" applyFill="1" applyBorder="1"/>
    <xf numFmtId="0" fontId="48" fillId="27" borderId="45" xfId="34" applyFont="1" applyFill="1" applyBorder="1"/>
    <xf numFmtId="0" fontId="48" fillId="29" borderId="45" xfId="34" applyFont="1" applyFill="1" applyBorder="1" applyAlignment="1">
      <alignment horizontal="center"/>
    </xf>
    <xf numFmtId="165" fontId="0" fillId="27" borderId="45" xfId="49" applyFont="1" applyFill="1" applyBorder="1" applyAlignment="1" applyProtection="1">
      <alignment horizontal="center"/>
    </xf>
    <xf numFmtId="0" fontId="48" fillId="27" borderId="46" xfId="34" applyFont="1" applyFill="1" applyBorder="1"/>
    <xf numFmtId="0" fontId="48" fillId="26" borderId="13" xfId="34" applyFont="1" applyFill="1" applyBorder="1" applyAlignment="1">
      <alignment horizontal="center"/>
    </xf>
    <xf numFmtId="0" fontId="48" fillId="26" borderId="46" xfId="34" applyFont="1" applyFill="1" applyBorder="1" applyAlignment="1">
      <alignment horizontal="center"/>
    </xf>
    <xf numFmtId="0" fontId="48" fillId="26" borderId="45" xfId="34" applyFont="1" applyFill="1" applyBorder="1" applyAlignment="1">
      <alignment horizontal="center"/>
    </xf>
    <xf numFmtId="0" fontId="0" fillId="26" borderId="37" xfId="0" applyFill="1" applyBorder="1"/>
    <xf numFmtId="0" fontId="0" fillId="26" borderId="48" xfId="0" applyFill="1" applyBorder="1"/>
    <xf numFmtId="0" fontId="0" fillId="26" borderId="49" xfId="0" applyFill="1" applyBorder="1"/>
    <xf numFmtId="171" fontId="0" fillId="6" borderId="40" xfId="48" applyFont="1" applyFill="1" applyBorder="1" applyAlignment="1" applyProtection="1">
      <protection locked="0"/>
    </xf>
    <xf numFmtId="0" fontId="0" fillId="8" borderId="19" xfId="0" applyFill="1" applyBorder="1" applyAlignment="1">
      <alignment horizontal="center"/>
    </xf>
    <xf numFmtId="4" fontId="0" fillId="8" borderId="40" xfId="0" applyNumberFormat="1" applyFill="1" applyBorder="1"/>
    <xf numFmtId="4" fontId="0" fillId="8" borderId="25" xfId="0" applyNumberFormat="1" applyFill="1" applyBorder="1"/>
    <xf numFmtId="0" fontId="0" fillId="8" borderId="26" xfId="0" applyFill="1" applyBorder="1" applyAlignment="1">
      <alignment horizontal="center"/>
    </xf>
    <xf numFmtId="4" fontId="0" fillId="8" borderId="97" xfId="0" applyNumberFormat="1" applyFill="1" applyBorder="1"/>
    <xf numFmtId="4" fontId="0" fillId="8" borderId="27" xfId="0" applyNumberFormat="1" applyFill="1" applyBorder="1"/>
    <xf numFmtId="0" fontId="0" fillId="8" borderId="17" xfId="0" applyFill="1" applyBorder="1" applyAlignment="1">
      <alignment horizontal="center"/>
    </xf>
    <xf numFmtId="4" fontId="0" fillId="8" borderId="98" xfId="0" applyNumberFormat="1" applyFill="1" applyBorder="1"/>
    <xf numFmtId="4" fontId="0" fillId="8" borderId="99" xfId="0" applyNumberFormat="1" applyFill="1" applyBorder="1"/>
    <xf numFmtId="1" fontId="0" fillId="6" borderId="0" xfId="0" applyNumberFormat="1" applyFill="1" applyAlignment="1" applyProtection="1">
      <alignment horizontal="center"/>
      <protection locked="0"/>
    </xf>
    <xf numFmtId="171" fontId="0" fillId="6" borderId="39" xfId="48" applyFont="1" applyFill="1" applyBorder="1" applyAlignment="1" applyProtection="1">
      <alignment vertical="center" wrapText="1"/>
      <protection locked="0"/>
    </xf>
    <xf numFmtId="10" fontId="26" fillId="17" borderId="74" xfId="48" applyNumberFormat="1" applyFont="1" applyFill="1" applyBorder="1" applyAlignment="1" applyProtection="1">
      <alignment horizontal="center" vertical="center"/>
    </xf>
    <xf numFmtId="171" fontId="26" fillId="17" borderId="74" xfId="48" applyFont="1" applyFill="1" applyBorder="1" applyAlignment="1" applyProtection="1">
      <alignment horizontal="center" vertical="center"/>
    </xf>
    <xf numFmtId="10" fontId="26" fillId="17" borderId="75" xfId="48" applyNumberFormat="1" applyFont="1" applyFill="1" applyBorder="1" applyAlignment="1" applyProtection="1">
      <alignment horizontal="center" vertical="center"/>
    </xf>
    <xf numFmtId="0" fontId="0" fillId="0" borderId="47" xfId="0" applyBorder="1" applyProtection="1">
      <protection locked="0"/>
    </xf>
    <xf numFmtId="184" fontId="0" fillId="0" borderId="0" xfId="0" applyNumberFormat="1"/>
    <xf numFmtId="10" fontId="49" fillId="0" borderId="100" xfId="38" applyNumberFormat="1" applyFont="1" applyFill="1" applyBorder="1" applyAlignment="1" applyProtection="1">
      <alignment horizontal="center"/>
      <protection locked="0"/>
    </xf>
    <xf numFmtId="0" fontId="32" fillId="0" borderId="0" xfId="0" applyFont="1" applyAlignment="1">
      <alignment horizontal="left" wrapText="1"/>
    </xf>
    <xf numFmtId="4" fontId="0" fillId="6" borderId="53" xfId="0" applyNumberFormat="1" applyFill="1" applyBorder="1" applyProtection="1">
      <protection locked="0"/>
    </xf>
    <xf numFmtId="4" fontId="0" fillId="6" borderId="68" xfId="0" applyNumberFormat="1" applyFill="1" applyBorder="1" applyProtection="1">
      <protection locked="0"/>
    </xf>
    <xf numFmtId="4" fontId="0" fillId="6" borderId="74" xfId="0" applyNumberFormat="1" applyFill="1" applyBorder="1" applyProtection="1">
      <protection locked="0"/>
    </xf>
    <xf numFmtId="4" fontId="0" fillId="6" borderId="75" xfId="0" applyNumberFormat="1" applyFill="1" applyBorder="1" applyProtection="1">
      <protection locked="0"/>
    </xf>
    <xf numFmtId="0" fontId="0" fillId="0" borderId="101" xfId="0" applyBorder="1" applyAlignment="1">
      <alignment horizontal="center"/>
    </xf>
    <xf numFmtId="0" fontId="0" fillId="0" borderId="102" xfId="0" applyBorder="1" applyAlignment="1">
      <alignment horizontal="center"/>
    </xf>
    <xf numFmtId="0" fontId="0" fillId="0" borderId="103" xfId="0" applyBorder="1" applyAlignment="1">
      <alignment horizontal="center"/>
    </xf>
    <xf numFmtId="0" fontId="26" fillId="0" borderId="64" xfId="0" applyFont="1" applyBorder="1"/>
    <xf numFmtId="0" fontId="0" fillId="6" borderId="37" xfId="0" applyFill="1" applyBorder="1" applyAlignment="1" applyProtection="1">
      <alignment horizontal="center" textRotation="90" wrapText="1"/>
      <protection locked="0"/>
    </xf>
    <xf numFmtId="171" fontId="0" fillId="0" borderId="37" xfId="48" applyFont="1" applyFill="1" applyBorder="1" applyAlignment="1" applyProtection="1">
      <alignment vertical="center" shrinkToFit="1"/>
    </xf>
    <xf numFmtId="171" fontId="0" fillId="0" borderId="48" xfId="48" applyFont="1" applyFill="1" applyBorder="1" applyAlignment="1" applyProtection="1">
      <alignment vertical="center" shrinkToFit="1"/>
    </xf>
    <xf numFmtId="171" fontId="0" fillId="0" borderId="49" xfId="48" applyFont="1" applyFill="1" applyBorder="1" applyAlignment="1" applyProtection="1">
      <alignment vertical="center" shrinkToFit="1"/>
    </xf>
    <xf numFmtId="185" fontId="0" fillId="0" borderId="40" xfId="48" applyNumberFormat="1" applyFont="1" applyFill="1" applyBorder="1" applyAlignment="1" applyProtection="1">
      <alignment vertical="center" shrinkToFit="1"/>
    </xf>
    <xf numFmtId="49" fontId="26" fillId="17" borderId="30" xfId="0" applyNumberFormat="1" applyFont="1" applyFill="1" applyBorder="1" applyAlignment="1">
      <alignment horizontal="center" vertical="center"/>
    </xf>
    <xf numFmtId="171" fontId="26" fillId="17" borderId="30" xfId="48" applyFont="1" applyFill="1" applyBorder="1" applyAlignment="1" applyProtection="1">
      <alignment horizontal="center" vertical="center"/>
    </xf>
    <xf numFmtId="171" fontId="26" fillId="17" borderId="29" xfId="48" applyFont="1" applyFill="1" applyBorder="1" applyAlignment="1" applyProtection="1">
      <alignment horizontal="center" vertical="center" shrinkToFit="1"/>
    </xf>
    <xf numFmtId="1" fontId="63" fillId="0" borderId="0" xfId="0" applyNumberFormat="1" applyFont="1" applyAlignment="1">
      <alignment horizontal="center" vertical="center"/>
    </xf>
    <xf numFmtId="186" fontId="0" fillId="0" borderId="30" xfId="0" applyNumberFormat="1" applyBorder="1" applyAlignment="1">
      <alignment horizontal="left"/>
    </xf>
    <xf numFmtId="0" fontId="19" fillId="0" borderId="95" xfId="33" applyFont="1" applyBorder="1" applyAlignment="1">
      <alignment vertical="center"/>
    </xf>
    <xf numFmtId="0" fontId="0" fillId="0" borderId="95" xfId="0" applyBorder="1" applyAlignment="1">
      <alignment horizontal="center"/>
    </xf>
    <xf numFmtId="0" fontId="48" fillId="0" borderId="95" xfId="34" applyFont="1" applyBorder="1" applyAlignment="1">
      <alignment horizontal="center"/>
    </xf>
    <xf numFmtId="0" fontId="0" fillId="0" borderId="41" xfId="0" applyBorder="1" applyAlignment="1">
      <alignment horizontal="center" vertical="center" wrapText="1"/>
    </xf>
    <xf numFmtId="165" fontId="0" fillId="6" borderId="40" xfId="0" applyNumberFormat="1" applyFill="1" applyBorder="1" applyAlignment="1" applyProtection="1">
      <alignment horizontal="center" vertical="center"/>
      <protection locked="0"/>
    </xf>
    <xf numFmtId="0" fontId="0" fillId="6" borderId="86" xfId="0" applyFill="1" applyBorder="1" applyAlignment="1" applyProtection="1">
      <alignment horizontal="left" vertical="center" wrapText="1"/>
      <protection locked="0"/>
    </xf>
    <xf numFmtId="49" fontId="0" fillId="6" borderId="70" xfId="0" applyNumberFormat="1" applyFill="1" applyBorder="1" applyAlignment="1" applyProtection="1">
      <alignment horizontal="center" vertical="center" wrapText="1"/>
      <protection locked="0"/>
    </xf>
    <xf numFmtId="49" fontId="0" fillId="16" borderId="104" xfId="0" applyNumberFormat="1" applyFill="1" applyBorder="1" applyAlignment="1" applyProtection="1">
      <alignment horizontal="center" vertical="center"/>
      <protection locked="0"/>
    </xf>
    <xf numFmtId="49" fontId="0" fillId="6" borderId="41" xfId="48" applyNumberFormat="1" applyFont="1" applyFill="1" applyBorder="1" applyAlignment="1" applyProtection="1">
      <alignment horizontal="left" vertical="center" wrapText="1" shrinkToFit="1"/>
      <protection locked="0"/>
    </xf>
    <xf numFmtId="49" fontId="26" fillId="17" borderId="32" xfId="0" applyNumberFormat="1" applyFont="1" applyFill="1" applyBorder="1" applyAlignment="1">
      <alignment horizontal="left" vertical="center"/>
    </xf>
    <xf numFmtId="0" fontId="30" fillId="0" borderId="105" xfId="0" applyFont="1" applyBorder="1"/>
    <xf numFmtId="0" fontId="29" fillId="0" borderId="90" xfId="0" applyFont="1" applyBorder="1" applyAlignment="1">
      <alignment horizontal="left" indent="1"/>
    </xf>
    <xf numFmtId="0" fontId="0" fillId="0" borderId="90" xfId="0" applyBorder="1" applyAlignment="1">
      <alignment vertical="center"/>
    </xf>
    <xf numFmtId="171" fontId="0" fillId="0" borderId="41" xfId="48" applyFont="1" applyFill="1" applyBorder="1" applyAlignment="1" applyProtection="1">
      <alignment vertical="center" shrinkToFit="1"/>
    </xf>
    <xf numFmtId="171" fontId="26" fillId="17" borderId="71" xfId="48" applyFont="1" applyFill="1" applyBorder="1" applyAlignment="1" applyProtection="1">
      <alignment horizontal="center" vertical="center" shrinkToFit="1"/>
    </xf>
    <xf numFmtId="171" fontId="26" fillId="17" borderId="75" xfId="48" applyFont="1" applyFill="1" applyBorder="1" applyAlignment="1" applyProtection="1">
      <alignment horizontal="center" vertical="center"/>
    </xf>
    <xf numFmtId="10" fontId="65" fillId="0" borderId="106" xfId="38" applyNumberFormat="1" applyFont="1" applyFill="1" applyBorder="1" applyAlignment="1" applyProtection="1">
      <alignment horizontal="center"/>
      <protection locked="0"/>
    </xf>
    <xf numFmtId="10" fontId="65" fillId="0" borderId="107" xfId="38" applyNumberFormat="1" applyFont="1" applyFill="1" applyBorder="1" applyAlignment="1" applyProtection="1">
      <alignment horizontal="center"/>
      <protection locked="0"/>
    </xf>
    <xf numFmtId="10" fontId="65" fillId="0" borderId="108" xfId="38" applyNumberFormat="1" applyFont="1" applyFill="1" applyBorder="1" applyAlignment="1" applyProtection="1">
      <alignment horizontal="center"/>
      <protection locked="0"/>
    </xf>
    <xf numFmtId="0" fontId="0" fillId="16" borderId="41" xfId="0" applyFill="1" applyBorder="1" applyAlignment="1" applyProtection="1">
      <alignment shrinkToFit="1"/>
      <protection locked="0"/>
    </xf>
    <xf numFmtId="0" fontId="0" fillId="0" borderId="109" xfId="0" applyBorder="1" applyAlignment="1">
      <alignment vertical="center"/>
    </xf>
    <xf numFmtId="0" fontId="0" fillId="16" borderId="110" xfId="0" applyFill="1" applyBorder="1" applyAlignment="1" applyProtection="1">
      <alignment vertical="center"/>
      <protection locked="0"/>
    </xf>
    <xf numFmtId="43" fontId="0" fillId="0" borderId="0" xfId="0" applyNumberFormat="1"/>
    <xf numFmtId="0" fontId="20" fillId="0" borderId="32" xfId="0" applyFont="1" applyBorder="1" applyAlignment="1">
      <alignment horizontal="center" vertical="center"/>
    </xf>
    <xf numFmtId="0" fontId="21" fillId="20" borderId="0" xfId="0" applyFont="1" applyFill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26" fillId="0" borderId="46" xfId="0" applyFont="1" applyBorder="1" applyAlignment="1">
      <alignment horizontal="center"/>
    </xf>
    <xf numFmtId="0" fontId="0" fillId="0" borderId="10" xfId="33" applyFont="1" applyBorder="1" applyAlignment="1">
      <alignment horizontal="left" vertical="center"/>
    </xf>
    <xf numFmtId="0" fontId="10" fillId="0" borderId="32" xfId="33" applyFont="1" applyBorder="1" applyAlignment="1">
      <alignment horizontal="left" vertical="center" wrapText="1"/>
    </xf>
    <xf numFmtId="49" fontId="0" fillId="6" borderId="32" xfId="33" applyNumberFormat="1" applyFont="1" applyFill="1" applyBorder="1" applyAlignment="1" applyProtection="1">
      <alignment horizontal="left" vertical="top" wrapText="1"/>
      <protection locked="0"/>
    </xf>
    <xf numFmtId="167" fontId="0" fillId="0" borderId="30" xfId="33" applyNumberFormat="1" applyFont="1" applyBorder="1" applyAlignment="1">
      <alignment horizontal="left"/>
    </xf>
    <xf numFmtId="186" fontId="0" fillId="0" borderId="30" xfId="33" applyNumberFormat="1" applyFont="1" applyBorder="1" applyAlignment="1">
      <alignment horizontal="left"/>
    </xf>
    <xf numFmtId="0" fontId="26" fillId="0" borderId="0" xfId="33" applyFont="1" applyAlignment="1">
      <alignment horizontal="left" vertical="center"/>
    </xf>
    <xf numFmtId="0" fontId="19" fillId="0" borderId="0" xfId="33" applyFont="1" applyAlignment="1">
      <alignment horizontal="left" vertical="center"/>
    </xf>
    <xf numFmtId="0" fontId="35" fillId="0" borderId="0" xfId="0" applyFont="1" applyAlignment="1">
      <alignment horizontal="center" vertical="top"/>
    </xf>
    <xf numFmtId="0" fontId="0" fillId="0" borderId="32" xfId="33" applyFont="1" applyBorder="1" applyAlignment="1">
      <alignment horizontal="center" vertical="center" wrapText="1"/>
    </xf>
    <xf numFmtId="4" fontId="19" fillId="0" borderId="32" xfId="33" applyNumberFormat="1" applyFont="1" applyBorder="1" applyAlignment="1">
      <alignment horizontal="center" vertical="center"/>
    </xf>
    <xf numFmtId="4" fontId="19" fillId="0" borderId="32" xfId="33" applyNumberFormat="1" applyFont="1" applyBorder="1" applyAlignment="1">
      <alignment horizontal="center" vertical="center" wrapText="1"/>
    </xf>
    <xf numFmtId="0" fontId="32" fillId="8" borderId="32" xfId="33" applyFont="1" applyFill="1" applyBorder="1" applyAlignment="1">
      <alignment horizontal="center" vertical="center" wrapText="1"/>
    </xf>
    <xf numFmtId="0" fontId="34" fillId="0" borderId="0" xfId="33" applyFont="1" applyAlignment="1">
      <alignment horizontal="left" vertical="center" indent="1"/>
    </xf>
    <xf numFmtId="0" fontId="41" fillId="0" borderId="0" xfId="0" applyFont="1" applyAlignment="1">
      <alignment horizontal="center" textRotation="90"/>
    </xf>
    <xf numFmtId="0" fontId="0" fillId="0" borderId="0" xfId="33" applyFont="1" applyAlignment="1">
      <alignment horizontal="center" vertical="center"/>
    </xf>
    <xf numFmtId="0" fontId="35" fillId="0" borderId="0" xfId="0" applyFont="1" applyAlignment="1">
      <alignment horizontal="right" vertical="center"/>
    </xf>
    <xf numFmtId="0" fontId="36" fillId="0" borderId="0" xfId="0" applyFont="1" applyAlignment="1">
      <alignment horizontal="center"/>
    </xf>
    <xf numFmtId="0" fontId="35" fillId="0" borderId="0" xfId="0" applyFont="1" applyAlignment="1">
      <alignment horizontal="left" vertical="center"/>
    </xf>
    <xf numFmtId="0" fontId="26" fillId="0" borderId="32" xfId="33" applyFont="1" applyBorder="1" applyAlignment="1">
      <alignment horizontal="center" vertical="center"/>
    </xf>
    <xf numFmtId="0" fontId="19" fillId="0" borderId="32" xfId="33" applyFont="1" applyBorder="1" applyAlignment="1">
      <alignment horizontal="center" vertical="center"/>
    </xf>
    <xf numFmtId="0" fontId="26" fillId="0" borderId="31" xfId="35" applyFont="1" applyBorder="1" applyAlignment="1">
      <alignment horizontal="left" vertical="top"/>
    </xf>
    <xf numFmtId="164" fontId="10" fillId="16" borderId="14" xfId="32" applyFont="1" applyFill="1" applyBorder="1" applyAlignment="1" applyProtection="1">
      <alignment horizontal="left"/>
      <protection locked="0"/>
    </xf>
    <xf numFmtId="0" fontId="25" fillId="0" borderId="32" xfId="33" applyFont="1" applyBorder="1" applyAlignment="1">
      <alignment horizontal="center"/>
    </xf>
    <xf numFmtId="0" fontId="0" fillId="0" borderId="14" xfId="33" applyFont="1" applyBorder="1" applyAlignment="1">
      <alignment horizontal="left" vertical="top" wrapText="1"/>
    </xf>
    <xf numFmtId="0" fontId="0" fillId="0" borderId="31" xfId="0" applyBorder="1" applyAlignment="1">
      <alignment horizontal="center"/>
    </xf>
    <xf numFmtId="0" fontId="26" fillId="0" borderId="14" xfId="0" applyFont="1" applyBorder="1" applyAlignment="1">
      <alignment horizontal="center"/>
    </xf>
    <xf numFmtId="0" fontId="10" fillId="0" borderId="32" xfId="33" applyFont="1" applyBorder="1" applyAlignment="1">
      <alignment horizontal="left"/>
    </xf>
    <xf numFmtId="10" fontId="10" fillId="6" borderId="32" xfId="33" applyNumberFormat="1" applyFont="1" applyFill="1" applyBorder="1" applyAlignment="1" applyProtection="1">
      <alignment horizontal="center"/>
      <protection locked="0"/>
    </xf>
    <xf numFmtId="0" fontId="10" fillId="0" borderId="14" xfId="32" applyNumberFormat="1" applyFont="1" applyFill="1" applyBorder="1" applyAlignment="1" applyProtection="1">
      <alignment horizontal="left" wrapText="1"/>
    </xf>
    <xf numFmtId="0" fontId="10" fillId="0" borderId="32" xfId="33" applyFont="1" applyBorder="1" applyAlignment="1">
      <alignment horizontal="left" wrapText="1"/>
    </xf>
    <xf numFmtId="0" fontId="0" fillId="0" borderId="32" xfId="0" applyBorder="1" applyAlignment="1">
      <alignment horizontal="center"/>
    </xf>
    <xf numFmtId="0" fontId="26" fillId="0" borderId="33" xfId="35" applyFont="1" applyBorder="1" applyAlignment="1">
      <alignment horizontal="left" vertical="top"/>
    </xf>
    <xf numFmtId="0" fontId="64" fillId="0" borderId="0" xfId="0" applyFont="1" applyAlignment="1">
      <alignment horizontal="center" textRotation="90" wrapText="1"/>
    </xf>
    <xf numFmtId="0" fontId="26" fillId="0" borderId="12" xfId="0" applyFont="1" applyBorder="1" applyAlignment="1">
      <alignment horizontal="center"/>
    </xf>
    <xf numFmtId="0" fontId="41" fillId="0" borderId="0" xfId="0" applyFont="1" applyAlignment="1">
      <alignment horizontal="center" textRotation="90" wrapText="1"/>
    </xf>
    <xf numFmtId="0" fontId="0" fillId="14" borderId="0" xfId="0" applyFill="1" applyAlignment="1">
      <alignment horizontal="left"/>
    </xf>
    <xf numFmtId="0" fontId="0" fillId="0" borderId="47" xfId="33" applyFont="1" applyBorder="1" applyAlignment="1">
      <alignment horizontal="left" vertical="top" wrapText="1"/>
    </xf>
    <xf numFmtId="186" fontId="0" fillId="0" borderId="0" xfId="0" applyNumberFormat="1" applyAlignment="1">
      <alignment horizontal="left"/>
    </xf>
    <xf numFmtId="0" fontId="26" fillId="17" borderId="13" xfId="0" applyFont="1" applyFill="1" applyBorder="1" applyAlignment="1">
      <alignment horizontal="left" vertical="center" wrapText="1"/>
    </xf>
    <xf numFmtId="0" fontId="32" fillId="0" borderId="32" xfId="0" applyFont="1" applyBorder="1" applyAlignment="1" applyProtection="1">
      <alignment horizontal="left" vertical="center"/>
      <protection locked="0"/>
    </xf>
    <xf numFmtId="0" fontId="32" fillId="6" borderId="14" xfId="0" applyFont="1" applyFill="1" applyBorder="1" applyAlignment="1" applyProtection="1">
      <alignment horizontal="left" vertical="top" wrapText="1"/>
      <protection locked="0"/>
    </xf>
    <xf numFmtId="0" fontId="19" fillId="0" borderId="32" xfId="0" applyFont="1" applyBorder="1" applyAlignment="1">
      <alignment horizontal="left" wrapText="1"/>
    </xf>
    <xf numFmtId="167" fontId="0" fillId="0" borderId="30" xfId="0" applyNumberFormat="1" applyBorder="1" applyAlignment="1">
      <alignment horizontal="left"/>
    </xf>
    <xf numFmtId="0" fontId="0" fillId="0" borderId="32" xfId="0" applyBorder="1" applyAlignment="1">
      <alignment horizontal="left" wrapText="1"/>
    </xf>
    <xf numFmtId="0" fontId="26" fillId="17" borderId="32" xfId="0" applyFont="1" applyFill="1" applyBorder="1" applyAlignment="1">
      <alignment horizontal="left" vertical="center" wrapText="1"/>
    </xf>
    <xf numFmtId="0" fontId="25" fillId="0" borderId="0" xfId="0" applyFont="1" applyAlignment="1">
      <alignment horizontal="left" vertical="center" indent="10"/>
    </xf>
    <xf numFmtId="0" fontId="39" fillId="0" borderId="0" xfId="0" applyFont="1" applyAlignment="1">
      <alignment horizontal="left" vertical="center" indent="10"/>
    </xf>
    <xf numFmtId="0" fontId="48" fillId="6" borderId="32" xfId="0" applyFont="1" applyFill="1" applyBorder="1" applyAlignment="1" applyProtection="1">
      <alignment horizontal="left" vertical="center"/>
      <protection locked="0"/>
    </xf>
    <xf numFmtId="0" fontId="0" fillId="16" borderId="111" xfId="0" applyFill="1" applyBorder="1" applyAlignment="1" applyProtection="1">
      <alignment horizontal="left" vertical="center"/>
      <protection locked="0"/>
    </xf>
    <xf numFmtId="0" fontId="33" fillId="0" borderId="0" xfId="0" applyFont="1" applyAlignment="1">
      <alignment horizontal="left" vertical="top" wrapText="1"/>
    </xf>
    <xf numFmtId="0" fontId="14" fillId="0" borderId="32" xfId="0" applyFont="1" applyBorder="1"/>
    <xf numFmtId="0" fontId="48" fillId="18" borderId="32" xfId="0" applyFont="1" applyFill="1" applyBorder="1" applyAlignment="1">
      <alignment horizontal="left" vertical="center"/>
    </xf>
    <xf numFmtId="186" fontId="0" fillId="0" borderId="30" xfId="0" applyNumberFormat="1" applyBorder="1" applyAlignment="1">
      <alignment horizontal="left"/>
    </xf>
    <xf numFmtId="0" fontId="48" fillId="0" borderId="47" xfId="34" applyFont="1" applyBorder="1" applyAlignment="1">
      <alignment horizontal="left"/>
    </xf>
    <xf numFmtId="165" fontId="26" fillId="0" borderId="46" xfId="49" applyFont="1" applyFill="1" applyBorder="1" applyAlignment="1" applyProtection="1">
      <alignment horizontal="center" vertical="center" wrapText="1"/>
    </xf>
    <xf numFmtId="173" fontId="26" fillId="0" borderId="32" xfId="48" applyNumberFormat="1" applyFont="1" applyFill="1" applyBorder="1" applyAlignment="1" applyProtection="1">
      <alignment horizontal="center" vertical="center"/>
    </xf>
    <xf numFmtId="165" fontId="0" fillId="0" borderId="14" xfId="49" applyFont="1" applyFill="1" applyBorder="1" applyAlignment="1" applyProtection="1">
      <alignment horizontal="left"/>
    </xf>
    <xf numFmtId="0" fontId="48" fillId="0" borderId="14" xfId="34" applyFont="1" applyBorder="1" applyAlignment="1">
      <alignment horizontal="left"/>
    </xf>
    <xf numFmtId="0" fontId="24" fillId="0" borderId="30" xfId="34" applyFont="1" applyBorder="1" applyAlignment="1">
      <alignment horizontal="center" vertical="center" wrapText="1"/>
    </xf>
    <xf numFmtId="0" fontId="48" fillId="0" borderId="0" xfId="34" applyFont="1" applyAlignment="1">
      <alignment horizontal="center" wrapText="1"/>
    </xf>
    <xf numFmtId="0" fontId="52" fillId="0" borderId="11" xfId="34" applyFont="1" applyBorder="1" applyAlignment="1">
      <alignment horizontal="left" vertical="top"/>
    </xf>
    <xf numFmtId="0" fontId="48" fillId="0" borderId="32" xfId="34" applyFont="1" applyBorder="1" applyAlignment="1">
      <alignment horizontal="center" wrapText="1"/>
    </xf>
    <xf numFmtId="0" fontId="51" fillId="0" borderId="13" xfId="34" applyFont="1" applyBorder="1" applyAlignment="1">
      <alignment horizontal="center" vertical="center" wrapText="1"/>
    </xf>
    <xf numFmtId="0" fontId="51" fillId="0" borderId="45" xfId="34" applyFont="1" applyBorder="1" applyAlignment="1">
      <alignment horizontal="left" vertical="center" wrapText="1"/>
    </xf>
    <xf numFmtId="0" fontId="26" fillId="8" borderId="1" xfId="0" applyFont="1" applyFill="1" applyBorder="1" applyAlignment="1">
      <alignment horizontal="center" wrapText="1"/>
    </xf>
    <xf numFmtId="176" fontId="26" fillId="8" borderId="32" xfId="0" applyNumberFormat="1" applyFont="1" applyFill="1" applyBorder="1" applyAlignment="1">
      <alignment horizontal="center" shrinkToFit="1"/>
    </xf>
    <xf numFmtId="10" fontId="58" fillId="0" borderId="82" xfId="37" applyNumberFormat="1" applyFill="1" applyBorder="1" applyAlignment="1" applyProtection="1">
      <alignment horizontal="center"/>
    </xf>
    <xf numFmtId="14" fontId="0" fillId="6" borderId="37" xfId="0" applyNumberFormat="1" applyFill="1" applyBorder="1" applyAlignment="1" applyProtection="1">
      <alignment horizontal="center"/>
      <protection locked="0"/>
    </xf>
    <xf numFmtId="14" fontId="0" fillId="6" borderId="48" xfId="0" applyNumberFormat="1" applyFill="1" applyBorder="1" applyAlignment="1" applyProtection="1">
      <alignment horizontal="center"/>
      <protection locked="0"/>
    </xf>
    <xf numFmtId="0" fontId="0" fillId="0" borderId="40" xfId="0" applyBorder="1" applyAlignment="1">
      <alignment horizontal="left"/>
    </xf>
    <xf numFmtId="0" fontId="26" fillId="0" borderId="32" xfId="0" applyFont="1" applyBorder="1" applyAlignment="1">
      <alignment horizontal="right" vertical="center"/>
    </xf>
    <xf numFmtId="177" fontId="58" fillId="0" borderId="30" xfId="48" applyNumberFormat="1" applyFill="1" applyBorder="1" applyAlignment="1" applyProtection="1">
      <alignment horizontal="center" shrinkToFit="1"/>
    </xf>
    <xf numFmtId="177" fontId="58" fillId="0" borderId="14" xfId="48" applyNumberFormat="1" applyFill="1" applyBorder="1" applyAlignment="1" applyProtection="1">
      <alignment horizontal="center" shrinkToFit="1"/>
    </xf>
    <xf numFmtId="10" fontId="58" fillId="0" borderId="34" xfId="37" applyNumberFormat="1" applyFill="1" applyBorder="1" applyAlignment="1" applyProtection="1">
      <alignment horizontal="center"/>
    </xf>
    <xf numFmtId="10" fontId="58" fillId="0" borderId="10" xfId="37" applyNumberFormat="1" applyFill="1" applyBorder="1" applyAlignment="1" applyProtection="1">
      <alignment horizontal="center"/>
    </xf>
    <xf numFmtId="10" fontId="58" fillId="0" borderId="31" xfId="37" applyNumberFormat="1" applyFill="1" applyBorder="1" applyAlignment="1" applyProtection="1">
      <alignment horizontal="center"/>
    </xf>
    <xf numFmtId="10" fontId="58" fillId="0" borderId="0" xfId="37" applyNumberFormat="1" applyFill="1" applyBorder="1" applyAlignment="1" applyProtection="1">
      <alignment horizontal="center"/>
    </xf>
    <xf numFmtId="10" fontId="58" fillId="0" borderId="33" xfId="37" applyNumberFormat="1" applyFill="1" applyBorder="1" applyAlignment="1" applyProtection="1">
      <alignment horizontal="center"/>
    </xf>
    <xf numFmtId="177" fontId="58" fillId="0" borderId="47" xfId="48" applyNumberFormat="1" applyFill="1" applyBorder="1" applyAlignment="1" applyProtection="1">
      <alignment horizontal="center" shrinkToFit="1"/>
    </xf>
    <xf numFmtId="14" fontId="0" fillId="6" borderId="49" xfId="0" applyNumberFormat="1" applyFill="1" applyBorder="1" applyAlignment="1" applyProtection="1">
      <alignment horizontal="center"/>
      <protection locked="0"/>
    </xf>
    <xf numFmtId="0" fontId="26" fillId="8" borderId="32" xfId="0" applyFont="1" applyFill="1" applyBorder="1" applyAlignment="1">
      <alignment horizontal="center"/>
    </xf>
    <xf numFmtId="0" fontId="0" fillId="18" borderId="40" xfId="0" applyFill="1" applyBorder="1"/>
    <xf numFmtId="0" fontId="51" fillId="0" borderId="31" xfId="34" applyFont="1" applyBorder="1" applyAlignment="1">
      <alignment horizontal="center"/>
    </xf>
    <xf numFmtId="0" fontId="62" fillId="0" borderId="112" xfId="0" applyFont="1" applyBorder="1" applyAlignment="1">
      <alignment horizontal="center" vertical="top" wrapText="1"/>
    </xf>
    <xf numFmtId="0" fontId="25" fillId="6" borderId="14" xfId="0" applyFont="1" applyFill="1" applyBorder="1" applyAlignment="1" applyProtection="1">
      <alignment horizontal="center"/>
      <protection locked="0"/>
    </xf>
    <xf numFmtId="0" fontId="25" fillId="0" borderId="14" xfId="0" applyFont="1" applyBorder="1" applyAlignment="1">
      <alignment horizontal="center"/>
    </xf>
    <xf numFmtId="0" fontId="48" fillId="0" borderId="14" xfId="34" applyFont="1" applyBorder="1" applyAlignment="1">
      <alignment horizontal="center"/>
    </xf>
    <xf numFmtId="10" fontId="25" fillId="0" borderId="14" xfId="37" applyNumberFormat="1" applyFont="1" applyFill="1" applyBorder="1" applyAlignment="1" applyProtection="1">
      <alignment horizontal="center"/>
    </xf>
    <xf numFmtId="0" fontId="26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6" fillId="8" borderId="46" xfId="0" applyFont="1" applyFill="1" applyBorder="1" applyAlignment="1">
      <alignment horizontal="center" vertical="center"/>
    </xf>
    <xf numFmtId="0" fontId="24" fillId="0" borderId="12" xfId="0" applyFont="1" applyBorder="1" applyAlignment="1">
      <alignment horizontal="center" wrapText="1"/>
    </xf>
    <xf numFmtId="0" fontId="55" fillId="0" borderId="13" xfId="0" applyFont="1" applyBorder="1" applyAlignment="1">
      <alignment horizontal="center" vertical="center" wrapText="1"/>
    </xf>
    <xf numFmtId="4" fontId="26" fillId="0" borderId="33" xfId="0" applyNumberFormat="1" applyFont="1" applyBorder="1" applyAlignment="1">
      <alignment horizontal="left"/>
    </xf>
    <xf numFmtId="0" fontId="26" fillId="0" borderId="31" xfId="35" applyFont="1" applyBorder="1" applyAlignment="1">
      <alignment horizontal="center"/>
    </xf>
    <xf numFmtId="49" fontId="0" fillId="0" borderId="47" xfId="0" applyNumberFormat="1" applyBorder="1" applyAlignment="1">
      <alignment horizontal="left"/>
    </xf>
    <xf numFmtId="0" fontId="0" fillId="6" borderId="0" xfId="33" applyFont="1" applyFill="1" applyAlignment="1" applyProtection="1">
      <alignment horizontal="left" vertical="top"/>
      <protection locked="0"/>
    </xf>
    <xf numFmtId="0" fontId="0" fillId="0" borderId="0" xfId="0" applyAlignment="1">
      <alignment horizontal="left"/>
    </xf>
    <xf numFmtId="0" fontId="19" fillId="0" borderId="30" xfId="33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171" fontId="26" fillId="8" borderId="14" xfId="48" applyFont="1" applyFill="1" applyBorder="1" applyAlignment="1" applyProtection="1">
      <alignment horizontal="center" vertical="center" shrinkToFit="1"/>
    </xf>
    <xf numFmtId="0" fontId="32" fillId="0" borderId="31" xfId="0" applyFont="1" applyBorder="1" applyAlignment="1">
      <alignment horizontal="left" vertical="center"/>
    </xf>
    <xf numFmtId="0" fontId="0" fillId="0" borderId="31" xfId="0" applyBorder="1" applyAlignment="1">
      <alignment horizontal="left"/>
    </xf>
    <xf numFmtId="0" fontId="0" fillId="6" borderId="14" xfId="0" applyFill="1" applyBorder="1" applyAlignment="1" applyProtection="1">
      <alignment horizontal="left" vertical="top"/>
      <protection locked="0"/>
    </xf>
    <xf numFmtId="0" fontId="26" fillId="17" borderId="47" xfId="0" applyFont="1" applyFill="1" applyBorder="1" applyAlignment="1">
      <alignment horizontal="left" vertical="center" wrapText="1"/>
    </xf>
    <xf numFmtId="0" fontId="25" fillId="6" borderId="33" xfId="0" applyFont="1" applyFill="1" applyBorder="1" applyAlignment="1">
      <alignment horizontal="left"/>
    </xf>
    <xf numFmtId="0" fontId="33" fillId="0" borderId="0" xfId="0" applyFont="1" applyAlignment="1">
      <alignment horizontal="right" vertical="center" wrapText="1"/>
    </xf>
    <xf numFmtId="165" fontId="25" fillId="0" borderId="0" xfId="0" applyNumberFormat="1" applyFont="1" applyAlignment="1">
      <alignment horizontal="right" vertical="top"/>
    </xf>
    <xf numFmtId="0" fontId="0" fillId="0" borderId="14" xfId="0" applyBorder="1" applyAlignment="1">
      <alignment horizontal="center"/>
    </xf>
    <xf numFmtId="0" fontId="26" fillId="0" borderId="33" xfId="35" applyFont="1" applyBorder="1" applyAlignment="1">
      <alignment horizontal="center"/>
    </xf>
    <xf numFmtId="0" fontId="26" fillId="0" borderId="0" xfId="35" applyFont="1" applyAlignment="1">
      <alignment horizontal="center"/>
    </xf>
    <xf numFmtId="0" fontId="26" fillId="0" borderId="12" xfId="35" applyFont="1" applyBorder="1" applyAlignment="1">
      <alignment horizontal="center"/>
    </xf>
    <xf numFmtId="0" fontId="32" fillId="6" borderId="33" xfId="0" applyFont="1" applyFill="1" applyBorder="1" applyAlignment="1" applyProtection="1">
      <alignment horizontal="left" vertical="top" wrapText="1"/>
      <protection locked="0"/>
    </xf>
    <xf numFmtId="0" fontId="32" fillId="6" borderId="0" xfId="0" applyFont="1" applyFill="1" applyAlignment="1" applyProtection="1">
      <alignment horizontal="left" vertical="top" wrapText="1"/>
      <protection locked="0"/>
    </xf>
    <xf numFmtId="0" fontId="32" fillId="6" borderId="12" xfId="0" applyFont="1" applyFill="1" applyBorder="1" applyAlignment="1" applyProtection="1">
      <alignment horizontal="left" vertical="top" wrapText="1"/>
      <protection locked="0"/>
    </xf>
    <xf numFmtId="0" fontId="32" fillId="6" borderId="47" xfId="0" applyFont="1" applyFill="1" applyBorder="1" applyAlignment="1" applyProtection="1">
      <alignment horizontal="left" vertical="top" wrapText="1"/>
      <protection locked="0"/>
    </xf>
    <xf numFmtId="0" fontId="32" fillId="6" borderId="30" xfId="0" applyFont="1" applyFill="1" applyBorder="1" applyAlignment="1" applyProtection="1">
      <alignment horizontal="left" vertical="top" wrapText="1"/>
      <protection locked="0"/>
    </xf>
    <xf numFmtId="0" fontId="32" fillId="6" borderId="29" xfId="0" applyFont="1" applyFill="1" applyBorder="1" applyAlignment="1" applyProtection="1">
      <alignment horizontal="left" vertical="top" wrapText="1"/>
      <protection locked="0"/>
    </xf>
    <xf numFmtId="0" fontId="0" fillId="8" borderId="84" xfId="0" applyFill="1" applyBorder="1" applyAlignment="1">
      <alignment horizontal="center" vertical="center"/>
    </xf>
    <xf numFmtId="0" fontId="0" fillId="8" borderId="67" xfId="0" applyFill="1" applyBorder="1" applyAlignment="1">
      <alignment horizontal="center" vertical="center"/>
    </xf>
    <xf numFmtId="10" fontId="26" fillId="8" borderId="32" xfId="0" applyNumberFormat="1" applyFont="1" applyFill="1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8" borderId="42" xfId="0" applyFill="1" applyBorder="1" applyAlignment="1">
      <alignment horizontal="center" vertical="center"/>
    </xf>
    <xf numFmtId="0" fontId="0" fillId="8" borderId="69" xfId="0" applyFill="1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19" fillId="8" borderId="32" xfId="0" applyFont="1" applyFill="1" applyBorder="1" applyAlignment="1">
      <alignment horizontal="center" vertical="center"/>
    </xf>
    <xf numFmtId="0" fontId="19" fillId="8" borderId="46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right"/>
    </xf>
    <xf numFmtId="0" fontId="26" fillId="0" borderId="32" xfId="0" applyFont="1" applyBorder="1" applyAlignment="1">
      <alignment horizontal="center"/>
    </xf>
    <xf numFmtId="0" fontId="26" fillId="0" borderId="64" xfId="0" applyFont="1" applyBorder="1" applyAlignment="1">
      <alignment horizontal="center"/>
    </xf>
    <xf numFmtId="0" fontId="26" fillId="0" borderId="32" xfId="0" applyFont="1" applyBorder="1" applyAlignment="1">
      <alignment horizontal="center" vertical="center"/>
    </xf>
    <xf numFmtId="49" fontId="0" fillId="0" borderId="14" xfId="0" applyNumberFormat="1" applyBorder="1" applyAlignment="1">
      <alignment horizontal="left"/>
    </xf>
    <xf numFmtId="0" fontId="26" fillId="0" borderId="34" xfId="0" applyFont="1" applyBorder="1" applyAlignment="1">
      <alignment horizontal="center"/>
    </xf>
    <xf numFmtId="0" fontId="55" fillId="0" borderId="32" xfId="0" applyFont="1" applyBorder="1" applyAlignment="1">
      <alignment horizontal="center" vertical="center" wrapText="1"/>
    </xf>
    <xf numFmtId="4" fontId="26" fillId="0" borderId="31" xfId="0" applyNumberFormat="1" applyFont="1" applyBorder="1" applyAlignment="1">
      <alignment horizontal="left"/>
    </xf>
    <xf numFmtId="0" fontId="0" fillId="0" borderId="0" xfId="33" applyFont="1" applyAlignment="1">
      <alignment horizontal="left" vertical="top"/>
    </xf>
    <xf numFmtId="0" fontId="0" fillId="0" borderId="0" xfId="0"/>
    <xf numFmtId="0" fontId="0" fillId="0" borderId="39" xfId="33" applyFont="1" applyBorder="1" applyAlignment="1">
      <alignment horizontal="right"/>
    </xf>
    <xf numFmtId="180" fontId="26" fillId="0" borderId="41" xfId="48" applyNumberFormat="1" applyFont="1" applyFill="1" applyBorder="1" applyAlignment="1" applyProtection="1">
      <alignment vertical="top" shrinkToFit="1"/>
    </xf>
    <xf numFmtId="0" fontId="0" fillId="0" borderId="74" xfId="33" applyFont="1" applyBorder="1" applyAlignment="1">
      <alignment horizontal="right"/>
    </xf>
    <xf numFmtId="10" fontId="26" fillId="0" borderId="75" xfId="37" applyNumberFormat="1" applyFont="1" applyFill="1" applyBorder="1" applyAlignment="1" applyProtection="1">
      <alignment horizontal="right" vertical="top" shrinkToFit="1"/>
    </xf>
    <xf numFmtId="0" fontId="0" fillId="6" borderId="0" xfId="33" applyFont="1" applyFill="1" applyAlignment="1" applyProtection="1">
      <alignment horizontal="left" vertical="top" wrapText="1"/>
      <protection locked="0"/>
    </xf>
    <xf numFmtId="0" fontId="0" fillId="0" borderId="0" xfId="33" applyFont="1" applyAlignment="1">
      <alignment horizontal="left" vertical="top" wrapText="1"/>
    </xf>
    <xf numFmtId="0" fontId="0" fillId="0" borderId="53" xfId="33" applyFont="1" applyBorder="1" applyAlignment="1">
      <alignment horizontal="center"/>
    </xf>
    <xf numFmtId="0" fontId="0" fillId="0" borderId="0" xfId="33" applyFont="1" applyAlignment="1">
      <alignment horizontal="left" wrapText="1"/>
    </xf>
    <xf numFmtId="0" fontId="0" fillId="0" borderId="0" xfId="33" applyFont="1" applyAlignment="1">
      <alignment vertical="center"/>
    </xf>
    <xf numFmtId="0" fontId="0" fillId="0" borderId="0" xfId="33" applyFont="1" applyAlignment="1">
      <alignment horizontal="left"/>
    </xf>
    <xf numFmtId="0" fontId="0" fillId="0" borderId="0" xfId="33" applyFont="1" applyAlignment="1">
      <alignment horizontal="left" vertical="top" wrapText="1" shrinkToFit="1"/>
    </xf>
    <xf numFmtId="0" fontId="0" fillId="0" borderId="54" xfId="33" applyFont="1" applyBorder="1" applyAlignment="1">
      <alignment horizontal="center" vertical="center" wrapText="1"/>
    </xf>
    <xf numFmtId="0" fontId="0" fillId="0" borderId="68" xfId="33" applyFont="1" applyBorder="1" applyAlignment="1">
      <alignment horizontal="center" vertical="center" wrapText="1"/>
    </xf>
    <xf numFmtId="0" fontId="26" fillId="8" borderId="113" xfId="0" applyFont="1" applyFill="1" applyBorder="1" applyAlignment="1">
      <alignment horizontal="center" vertical="center" wrapText="1"/>
    </xf>
    <xf numFmtId="0" fontId="26" fillId="8" borderId="114" xfId="0" applyFont="1" applyFill="1" applyBorder="1" applyAlignment="1">
      <alignment horizontal="center" vertical="center" wrapText="1"/>
    </xf>
    <xf numFmtId="49" fontId="0" fillId="6" borderId="0" xfId="33" applyNumberFormat="1" applyFont="1" applyFill="1" applyAlignment="1" applyProtection="1">
      <alignment horizontal="left"/>
      <protection locked="0"/>
    </xf>
    <xf numFmtId="168" fontId="0" fillId="0" borderId="0" xfId="33" applyNumberFormat="1" applyFont="1" applyAlignment="1">
      <alignment horizontal="right"/>
    </xf>
    <xf numFmtId="0" fontId="0" fillId="0" borderId="0" xfId="33" applyFont="1" applyAlignment="1">
      <alignment horizontal="center"/>
    </xf>
    <xf numFmtId="171" fontId="26" fillId="8" borderId="115" xfId="48" applyFont="1" applyFill="1" applyBorder="1" applyAlignment="1" applyProtection="1">
      <alignment horizontal="center" vertical="center"/>
    </xf>
    <xf numFmtId="171" fontId="26" fillId="8" borderId="116" xfId="48" applyFont="1" applyFill="1" applyBorder="1" applyAlignment="1" applyProtection="1">
      <alignment horizontal="center" vertical="center"/>
    </xf>
    <xf numFmtId="0" fontId="26" fillId="8" borderId="117" xfId="0" applyFont="1" applyFill="1" applyBorder="1" applyAlignment="1">
      <alignment horizontal="center" vertical="center" wrapText="1"/>
    </xf>
    <xf numFmtId="0" fontId="26" fillId="8" borderId="87" xfId="0" applyFont="1" applyFill="1" applyBorder="1" applyAlignment="1">
      <alignment horizontal="center" vertical="center" wrapText="1"/>
    </xf>
  </cellXfs>
  <cellStyles count="52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30" builtinId="8"/>
    <cellStyle name="Moeda" xfId="31" builtinId="4"/>
    <cellStyle name="Moeda_Composicao BDI v2.1" xfId="32"/>
    <cellStyle name="Normal" xfId="0" builtinId="0"/>
    <cellStyle name="Normal 12" xfId="50"/>
    <cellStyle name="Normal 2" xfId="33"/>
    <cellStyle name="Normal 3" xfId="34"/>
    <cellStyle name="Normal 36" xfId="51"/>
    <cellStyle name="Normal_FICHA DE VERIFICAÇÃO PRELIMINAR - Plano R" xfId="35"/>
    <cellStyle name="Nota" xfId="36" builtinId="10" customBuiltin="1"/>
    <cellStyle name="Porcentagem" xfId="37" builtinId="5"/>
    <cellStyle name="Porcentagem 2" xfId="38"/>
    <cellStyle name="Saída" xfId="39" builtinId="21" customBuiltin="1"/>
    <cellStyle name="Texto de Aviso" xfId="40" builtinId="11" customBuiltin="1"/>
    <cellStyle name="Texto Explicativo" xfId="41" builtinId="53" customBuiltin="1"/>
    <cellStyle name="Título 1" xfId="42" builtinId="16" customBuiltin="1"/>
    <cellStyle name="Título 2" xfId="43" builtinId="17" customBuiltin="1"/>
    <cellStyle name="Título 3" xfId="44" builtinId="18" customBuiltin="1"/>
    <cellStyle name="Título 4" xfId="45" builtinId="19" customBuiltin="1"/>
    <cellStyle name="Título 5" xfId="46"/>
    <cellStyle name="Total" xfId="47" builtinId="25" customBuiltin="1"/>
    <cellStyle name="Vírgula" xfId="48" builtinId="3"/>
    <cellStyle name="Vírgula 2" xfId="49"/>
  </cellStyles>
  <dxfs count="2712"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ill>
        <patternFill patternType="solid">
          <fgColor indexed="13"/>
          <bgColor indexed="51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 val="0"/>
        <condense val="0"/>
        <extend val="0"/>
        <color indexed="9"/>
      </font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13"/>
          <bgColor indexed="51"/>
        </patternFill>
      </fill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 val="0"/>
        <condense val="0"/>
        <extend val="0"/>
        <color indexed="9"/>
      </font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 val="0"/>
        <condense val="0"/>
        <extend val="0"/>
        <color indexed="44"/>
      </font>
      <fill>
        <patternFill patternType="solid">
          <fgColor indexed="22"/>
          <bgColor indexed="44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9"/>
      </font>
      <border>
        <left/>
        <right style="thin">
          <color indexed="64"/>
        </right>
      </border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ill>
        <patternFill>
          <bgColor rgb="FFFFC000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/>
        <i val="0"/>
        <condense val="0"/>
        <extend val="0"/>
      </font>
      <fill>
        <patternFill patternType="solid">
          <fgColor indexed="21"/>
          <bgColor indexed="57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ont>
        <color theme="0"/>
      </font>
      <border>
        <left/>
        <right/>
      </border>
    </dxf>
    <dxf>
      <font>
        <b val="0"/>
        <condense val="0"/>
        <extend val="0"/>
        <color indexed="8"/>
      </font>
      <fill>
        <patternFill patternType="solid">
          <fgColor indexed="46"/>
          <bgColor indexed="24"/>
        </patternFill>
      </fill>
    </dxf>
    <dxf>
      <font>
        <b val="0"/>
        <condense val="0"/>
        <extend val="0"/>
        <color indexed="9"/>
      </font>
      <border>
        <left/>
      </border>
    </dxf>
    <dxf>
      <font>
        <b val="0"/>
        <condense val="0"/>
        <extend val="0"/>
        <color indexed="44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44"/>
      </font>
    </dxf>
    <dxf>
      <font>
        <b val="0"/>
        <condense val="0"/>
        <extend val="0"/>
        <color indexed="9"/>
      </font>
    </dxf>
    <dxf>
      <font>
        <b val="0"/>
        <condense val="0"/>
        <extend val="0"/>
        <color indexed="9"/>
      </font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ill>
        <patternFill patternType="solid">
          <fgColor indexed="44"/>
          <bgColor indexed="22"/>
        </patternFill>
      </fill>
    </dxf>
    <dxf>
      <fill>
        <patternFill patternType="solid">
          <fgColor indexed="46"/>
          <bgColor indexed="55"/>
        </patternFill>
      </fill>
    </dxf>
    <dxf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8"/>
      </font>
      <fill>
        <patternFill patternType="solid">
          <fgColor indexed="26"/>
          <bgColor indexed="43"/>
        </patternFill>
      </fill>
    </dxf>
    <dxf>
      <fill>
        <patternFill patternType="solid">
          <fgColor indexed="26"/>
          <bgColor indexed="43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border>
        <top style="thin">
          <color indexed="64"/>
        </top>
      </border>
    </dxf>
    <dxf>
      <border>
        <left style="thin">
          <color indexed="8"/>
        </left>
        <right style="thin">
          <color indexed="8"/>
        </right>
        <top/>
        <bottom/>
      </border>
    </dxf>
    <dxf>
      <font>
        <b/>
        <i val="0"/>
        <condense val="0"/>
        <extend val="0"/>
        <color indexed="10"/>
      </font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  <color indexed="9"/>
      </font>
      <fill>
        <patternFill patternType="solid">
          <fgColor indexed="60"/>
          <bgColor indexed="10"/>
        </patternFill>
      </fill>
    </dxf>
    <dxf>
      <font>
        <b/>
        <i val="0"/>
        <condense val="0"/>
        <extend val="0"/>
      </font>
    </dxf>
    <dxf>
      <font>
        <b val="0"/>
        <condense val="0"/>
        <extend val="0"/>
        <color indexed="17"/>
      </font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font>
        <b val="0"/>
        <condense val="0"/>
        <extend val="0"/>
        <color indexed="10"/>
      </font>
      <border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</dxf>
    <dxf>
      <font>
        <b/>
        <i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 style="thin">
          <color indexed="64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/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10"/>
      </font>
    </dxf>
    <dxf>
      <font>
        <b val="0"/>
        <condense val="0"/>
        <extend val="0"/>
        <color indexed="10"/>
      </font>
    </dxf>
    <dxf>
      <font>
        <color rgb="FFC0C0C0"/>
      </font>
      <fill>
        <patternFill>
          <bgColor rgb="FFC0C0C0"/>
        </patternFill>
      </fill>
      <border>
        <left/>
        <right/>
        <top/>
        <bottom/>
      </border>
    </dxf>
    <dxf>
      <font>
        <color rgb="FFC0C0C0"/>
      </font>
      <fill>
        <patternFill>
          <bgColor rgb="FFC0C0C0"/>
        </patternFill>
      </fill>
      <border>
        <left/>
        <right/>
        <top/>
        <bottom/>
      </border>
    </dxf>
    <dxf>
      <font>
        <color rgb="FFC0C0C0"/>
      </font>
      <fill>
        <patternFill>
          <bgColor rgb="FFC0C0C0"/>
        </patternFill>
      </fill>
      <border>
        <left/>
        <right/>
        <top/>
        <bottom/>
      </border>
    </dxf>
    <dxf>
      <font>
        <color rgb="FFC0C0C0"/>
      </font>
      <fill>
        <patternFill>
          <bgColor rgb="FFC0C0C0"/>
        </patternFill>
      </fill>
      <border>
        <left/>
        <right/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2F2FF"/>
      <rgbColor rgb="00DFDFDF"/>
      <rgbColor rgb="00FFFF99"/>
      <rgbColor rgb="00BFBFBF"/>
      <rgbColor rgb="00FF99CC"/>
      <rgbColor rgb="00A7A7A7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Drop" dropStyle="combo" dx="26" fmlaLink="$O$4" fmlaRange="$J$7:$J$8" noThreeD="1" sel="2" val="0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Drop" dropStyle="combo" dx="26" fmlaLink="$O$3" fmlaRange="$J$5:$J$6" noThreeD="1" val="0"/>
</file>

<file path=xl/ctrlProps/ctrlProp5.xml><?xml version="1.0" encoding="utf-8"?>
<formControlPr xmlns="http://schemas.microsoft.com/office/spreadsheetml/2009/9/main" objectType="CheckBox" checked="Checked" fmlaLink="$AF$7"/>
</file>

<file path=xl/ctrlProps/ctrlProp6.xml><?xml version="1.0" encoding="utf-8"?>
<formControlPr xmlns="http://schemas.microsoft.com/office/spreadsheetml/2009/9/main" objectType="CheckBox" checked="Checked" fmlaLink="$AF$8"/>
</file>

<file path=xl/ctrlProps/ctrlProp7.xml><?xml version="1.0" encoding="utf-8"?>
<formControlPr xmlns="http://schemas.microsoft.com/office/spreadsheetml/2009/9/main" objectType="CheckBox" checked="Checked" fmlaLink="$AF$9"/>
</file>

<file path=xl/ctrlProps/ctrlProp8.xml><?xml version="1.0" encoding="utf-8"?>
<formControlPr xmlns="http://schemas.microsoft.com/office/spreadsheetml/2009/9/main" objectType="CheckBox" checked="Checked" fmlaLink="$AF$10"/>
</file>

<file path=xl/ctrlProps/ctrlProp9.xml><?xml version="1.0" encoding="utf-8"?>
<formControlPr xmlns="http://schemas.microsoft.com/office/spreadsheetml/2009/9/main" objectType="CheckBox" checked="Checked" fmlaLink="$AF$11"/>
</file>

<file path=xl/ctrlProps/ctrlProp10.xml><?xml version="1.0" encoding="utf-8"?>
<formControlPr xmlns="http://schemas.microsoft.com/office/spreadsheetml/2009/9/main" objectType="Spin" dx="15" fmlaLink="$J$9" max="30000" min="1" page="10"/>
</file>

<file path=xl/ctrlProps/ctrlProp11.xml><?xml version="1.0" encoding="utf-8"?>
<formControlPr xmlns="http://schemas.microsoft.com/office/spreadsheetml/2009/9/main" objectType="CheckBox" checked="Checked" fmlaLink="$A$9" noThreeD="1"/>
</file>

<file path=xl/ctrlProps/ctrlProp12.xml><?xml version="1.0" encoding="utf-8"?>
<formControlPr xmlns="http://schemas.microsoft.com/office/spreadsheetml/2009/9/main" objectType="Spin" dx="15" fmlaLink="$O$8" max="30000" min="1" page="1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Menu!E6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Menu!E6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OR&#199;AMENTO!M13"/><Relationship Id="rId2" Type="http://schemas.openxmlformats.org/officeDocument/2006/relationships/hyperlink" Target="#Menu!E6"/><Relationship Id="rId1" Type="http://schemas.openxmlformats.org/officeDocument/2006/relationships/image" Target="../media/image2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BDI!Q11"/><Relationship Id="rId2" Type="http://schemas.openxmlformats.org/officeDocument/2006/relationships/hyperlink" Target="#Menu!E6"/><Relationship Id="rId1" Type="http://schemas.openxmlformats.org/officeDocument/2006/relationships/image" Target="../media/image2.emf"/><Relationship Id="rId4" Type="http://schemas.openxmlformats.org/officeDocument/2006/relationships/hyperlink" Target="#C&#193;LCULO!D13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EVENTOS!A1"/><Relationship Id="rId2" Type="http://schemas.openxmlformats.org/officeDocument/2006/relationships/hyperlink" Target="#Menu!E6"/><Relationship Id="rId1" Type="http://schemas.openxmlformats.org/officeDocument/2006/relationships/image" Target="../media/image2.emf"/><Relationship Id="rId4" Type="http://schemas.openxmlformats.org/officeDocument/2006/relationships/hyperlink" Target="#OR&#199;AMENTO!M13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C&#193;LCULO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CRONOPLE!B2"/><Relationship Id="rId2" Type="http://schemas.openxmlformats.org/officeDocument/2006/relationships/hyperlink" Target="#Menu!E6"/><Relationship Id="rId1" Type="http://schemas.openxmlformats.org/officeDocument/2006/relationships/image" Target="../media/image2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CRONO!E7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C&#193;LCULO!D13"/><Relationship Id="rId2" Type="http://schemas.openxmlformats.org/officeDocument/2006/relationships/hyperlink" Target="#Menu!E6"/><Relationship Id="rId1" Type="http://schemas.openxmlformats.org/officeDocument/2006/relationships/image" Target="../media/image2.emf"/><Relationship Id="rId4" Type="http://schemas.openxmlformats.org/officeDocument/2006/relationships/hyperlink" Target="#RRE!E13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hyperlink" Target="#Menu!E6"/><Relationship Id="rId1" Type="http://schemas.openxmlformats.org/officeDocument/2006/relationships/image" Target="../media/image2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RRE!E13"/><Relationship Id="rId2" Type="http://schemas.openxmlformats.org/officeDocument/2006/relationships/image" Target="../media/image2.emf"/><Relationship Id="rId1" Type="http://schemas.openxmlformats.org/officeDocument/2006/relationships/hyperlink" Target="#Menu!E6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Of&#237;cio!C6"/><Relationship Id="rId2" Type="http://schemas.openxmlformats.org/officeDocument/2006/relationships/hyperlink" Target="#Menu!E6"/><Relationship Id="rId1" Type="http://schemas.openxmlformats.org/officeDocument/2006/relationships/image" Target="../media/image2.emf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hyperlink" Target="#RRE!E13"/><Relationship Id="rId1" Type="http://schemas.openxmlformats.org/officeDocument/2006/relationships/hyperlink" Target="#Menu!E6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2087880</xdr:colOff>
      <xdr:row>2</xdr:row>
      <xdr:rowOff>259080</xdr:rowOff>
    </xdr:to>
    <xdr:pic>
      <xdr:nvPicPr>
        <xdr:cNvPr id="20321" name="Imagem 23">
          <a:extLst>
            <a:ext uri="{FF2B5EF4-FFF2-40B4-BE49-F238E27FC236}">
              <a16:creationId xmlns:a16="http://schemas.microsoft.com/office/drawing/2014/main" xmlns="" id="{00000000-0008-0000-0000-0000614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" y="190500"/>
          <a:ext cx="2476500" cy="5410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</xdr:colOff>
          <xdr:row>4</xdr:row>
          <xdr:rowOff>0</xdr:rowOff>
        </xdr:from>
        <xdr:to>
          <xdr:col>2</xdr:col>
          <xdr:colOff>1264920</xdr:colOff>
          <xdr:row>6</xdr:row>
          <xdr:rowOff>7620</xdr:rowOff>
        </xdr:to>
        <xdr:grpSp>
          <xdr:nvGrpSpPr>
            <xdr:cNvPr id="20322" name="TipoOrçamento">
              <a:extLst>
                <a:ext uri="{FF2B5EF4-FFF2-40B4-BE49-F238E27FC236}">
                  <a16:creationId xmlns:a16="http://schemas.microsoft.com/office/drawing/2014/main" xmlns="" id="{00000000-0008-0000-0000-0000624F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579120" y="971549"/>
              <a:ext cx="1257300" cy="483870"/>
              <a:chOff x="523876" y="971531"/>
              <a:chExt cx="1257300" cy="485775"/>
            </a:xfrm>
          </xdr:grpSpPr>
          <xdr:sp macro="" textlink="">
            <xdr:nvSpPr>
              <xdr:cNvPr id="15377" name="Group Box 17" descr="Tipo de Orçamento          " hidden="1">
                <a:extLst>
                  <a:ext uri="{63B3BB69-23CF-44E3-9099-C40C66FF867C}">
                    <a14:compatExt spid="_x0000_s15377"/>
                  </a:ext>
                  <a:ext uri="{FF2B5EF4-FFF2-40B4-BE49-F238E27FC236}">
                    <a16:creationId xmlns:a16="http://schemas.microsoft.com/office/drawing/2014/main" xmlns="" id="{00000000-0008-0000-0000-0000113C0000}"/>
                  </a:ext>
                </a:extLst>
              </xdr:cNvPr>
              <xdr:cNvSpPr/>
            </xdr:nvSpPr>
            <xdr:spPr bwMode="auto">
              <a:xfrm>
                <a:off x="523876" y="971531"/>
                <a:ext cx="1257300" cy="485775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pt-BR" sz="800" b="0" i="0" u="none" strike="noStrike" baseline="0">
                    <a:solidFill>
                      <a:srgbClr val="000000"/>
                    </a:solidFill>
                    <a:latin typeface="Segoe UI"/>
                    <a:ea typeface="Segoe UI"/>
                    <a:cs typeface="Segoe UI"/>
                  </a:rPr>
                  <a:t>Tipo de Orçamento          </a:t>
                </a:r>
              </a:p>
            </xdr:txBody>
          </xdr:sp>
          <xdr:sp macro="" textlink="">
            <xdr:nvSpPr>
              <xdr:cNvPr id="15453" name="Drop Down 93" hidden="1">
                <a:extLst>
                  <a:ext uri="{63B3BB69-23CF-44E3-9099-C40C66FF867C}">
                    <a14:compatExt spid="_x0000_s15453"/>
                  </a:ext>
                  <a:ext uri="{FF2B5EF4-FFF2-40B4-BE49-F238E27FC236}">
                    <a16:creationId xmlns:a16="http://schemas.microsoft.com/office/drawing/2014/main" xmlns="" id="{00000000-0008-0000-0000-00005D3C0000}"/>
                  </a:ext>
                </a:extLst>
              </xdr:cNvPr>
              <xdr:cNvSpPr/>
            </xdr:nvSpPr>
            <xdr:spPr bwMode="auto">
              <a:xfrm>
                <a:off x="647699" y="1133476"/>
                <a:ext cx="981076" cy="219074"/>
              </a:xfrm>
              <a:prstGeom prst="rect">
                <a:avLst/>
              </a:prstGeom>
              <a:noFill/>
              <a:ln>
                <a:noFill/>
              </a:ln>
              <a:extLst>
                <a:ext uri="{91240B29-F687-4F45-9708-019B960494DF}">
                  <a14:hiddenLine w="9525">
                    <a:noFill/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1363980</xdr:colOff>
          <xdr:row>4</xdr:row>
          <xdr:rowOff>0</xdr:rowOff>
        </xdr:from>
        <xdr:to>
          <xdr:col>3</xdr:col>
          <xdr:colOff>22860</xdr:colOff>
          <xdr:row>6</xdr:row>
          <xdr:rowOff>7620</xdr:rowOff>
        </xdr:to>
        <xdr:grpSp>
          <xdr:nvGrpSpPr>
            <xdr:cNvPr id="20323" name="Acompanhamento">
              <a:extLst>
                <a:ext uri="{FF2B5EF4-FFF2-40B4-BE49-F238E27FC236}">
                  <a16:creationId xmlns:a16="http://schemas.microsoft.com/office/drawing/2014/main" xmlns="" id="{00000000-0008-0000-0000-0000634F0000}"/>
                </a:ext>
              </a:extLst>
            </xdr:cNvPr>
            <xdr:cNvGrpSpPr>
              <a:grpSpLocks/>
            </xdr:cNvGrpSpPr>
          </xdr:nvGrpSpPr>
          <xdr:grpSpPr bwMode="auto">
            <a:xfrm>
              <a:off x="1935480" y="971549"/>
              <a:ext cx="1230630" cy="483870"/>
              <a:chOff x="1790701" y="971531"/>
              <a:chExt cx="1304925" cy="485775"/>
            </a:xfrm>
          </xdr:grpSpPr>
          <xdr:sp macro="" textlink="">
            <xdr:nvSpPr>
              <xdr:cNvPr id="15384" name="Group Box 24" hidden="1">
                <a:extLst>
                  <a:ext uri="{63B3BB69-23CF-44E3-9099-C40C66FF867C}">
                    <a14:compatExt spid="_x0000_s15384"/>
                  </a:ext>
                  <a:ext uri="{FF2B5EF4-FFF2-40B4-BE49-F238E27FC236}">
                    <a16:creationId xmlns:a16="http://schemas.microsoft.com/office/drawing/2014/main" xmlns="" id="{00000000-0008-0000-0000-0000183C0000}"/>
                  </a:ext>
                </a:extLst>
              </xdr:cNvPr>
              <xdr:cNvSpPr/>
            </xdr:nvSpPr>
            <xdr:spPr bwMode="auto">
              <a:xfrm>
                <a:off x="1790701" y="971531"/>
                <a:ext cx="1304925" cy="485775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  <a:extLst>
                <a:ext uri="{909E8E84-426E-40DD-AFC4-6F175D3DCCD1}">
                  <a14:hiddenFill>
                    <a:noFill/>
                  </a14:hiddenFill>
                </a:ext>
              </a:extLst>
            </xdr:spPr>
            <xdr:txBody>
              <a:bodyPr vertOverflow="clip" wrap="none" lIns="27432" tIns="18288" rIns="0" bIns="0" anchor="t" upright="1"/>
              <a:lstStyle/>
              <a:p>
                <a:pPr algn="l" rtl="0">
                  <a:defRPr sz="1000"/>
                </a:pPr>
                <a:r>
                  <a:rPr lang="pt-BR" sz="800" b="0" i="0" u="none" strike="noStrike" baseline="0">
                    <a:solidFill>
                      <a:srgbClr val="000000"/>
                    </a:solidFill>
                    <a:latin typeface="Segoe UI"/>
                    <a:ea typeface="Segoe UI"/>
                    <a:cs typeface="Segoe UI"/>
                  </a:rPr>
                  <a:t>Acompanhamento     </a:t>
                </a:r>
              </a:p>
            </xdr:txBody>
          </xdr:sp>
          <xdr:sp macro="" textlink="">
            <xdr:nvSpPr>
              <xdr:cNvPr id="15454" name="Drop Down 94" hidden="1">
                <a:extLst>
                  <a:ext uri="{63B3BB69-23CF-44E3-9099-C40C66FF867C}">
                    <a14:compatExt spid="_x0000_s15454"/>
                  </a:ext>
                  <a:ext uri="{FF2B5EF4-FFF2-40B4-BE49-F238E27FC236}">
                    <a16:creationId xmlns:a16="http://schemas.microsoft.com/office/drawing/2014/main" xmlns="" id="{00000000-0008-0000-0000-00005E3C0000}"/>
                  </a:ext>
                </a:extLst>
              </xdr:cNvPr>
              <xdr:cNvSpPr/>
            </xdr:nvSpPr>
            <xdr:spPr bwMode="auto">
              <a:xfrm>
                <a:off x="1924050" y="1133475"/>
                <a:ext cx="981075" cy="219075"/>
              </a:xfrm>
              <a:prstGeom prst="rect">
                <a:avLst/>
              </a:prstGeom>
              <a:noFill/>
              <a:ln>
                <a:noFill/>
              </a:ln>
              <a:extLst>
                <a:ext uri="{91240B29-F687-4F45-9708-019B960494DF}">
                  <a14:hiddenLine w="9525">
                    <a:noFill/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  <xdr:twoCellAnchor>
    <xdr:from>
      <xdr:col>9</xdr:col>
      <xdr:colOff>9526</xdr:colOff>
      <xdr:row>6</xdr:row>
      <xdr:rowOff>160019</xdr:rowOff>
    </xdr:from>
    <xdr:to>
      <xdr:col>9</xdr:col>
      <xdr:colOff>1144906</xdr:colOff>
      <xdr:row>9</xdr:row>
      <xdr:rowOff>38099</xdr:rowOff>
    </xdr:to>
    <xdr:sp macro="[0]!imprimirPROPOSTA" textlink="" fLocksText="0">
      <xdr:nvSpPr>
        <xdr:cNvPr id="10" name="Bot.ImprimirProposta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9629776" y="1600199"/>
          <a:ext cx="1104900" cy="48577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IMPRIMIR DOCUMENTOS</a:t>
          </a:r>
        </a:p>
      </xdr:txBody>
    </xdr:sp>
    <xdr:clientData/>
  </xdr:twoCellAnchor>
  <xdr:twoCellAnchor>
    <xdr:from>
      <xdr:col>9</xdr:col>
      <xdr:colOff>9525</xdr:colOff>
      <xdr:row>14</xdr:row>
      <xdr:rowOff>160020</xdr:rowOff>
    </xdr:from>
    <xdr:to>
      <xdr:col>9</xdr:col>
      <xdr:colOff>1144905</xdr:colOff>
      <xdr:row>17</xdr:row>
      <xdr:rowOff>38100</xdr:rowOff>
    </xdr:to>
    <xdr:sp macro="[0]!imprimirLICITADO" textlink="" fLocksText="0">
      <xdr:nvSpPr>
        <xdr:cNvPr id="12" name="Bot.ImprimirLicitacao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>
          <a:spLocks noChangeArrowheads="1"/>
        </xdr:cNvSpPr>
      </xdr:nvSpPr>
      <xdr:spPr bwMode="auto">
        <a:xfrm>
          <a:off x="9629775" y="3228975"/>
          <a:ext cx="1104900" cy="48577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IMPRIMIR DOCUMENTOS</a:t>
          </a:r>
        </a:p>
      </xdr:txBody>
    </xdr:sp>
    <xdr:clientData/>
  </xdr:twoCellAnchor>
  <xdr:twoCellAnchor>
    <xdr:from>
      <xdr:col>9</xdr:col>
      <xdr:colOff>0</xdr:colOff>
      <xdr:row>18</xdr:row>
      <xdr:rowOff>142875</xdr:rowOff>
    </xdr:from>
    <xdr:to>
      <xdr:col>9</xdr:col>
      <xdr:colOff>1135380</xdr:colOff>
      <xdr:row>21</xdr:row>
      <xdr:rowOff>28575</xdr:rowOff>
    </xdr:to>
    <xdr:sp macro="[0]!imprimirMedicao" textlink="" fLocksText="0">
      <xdr:nvSpPr>
        <xdr:cNvPr id="13" name="Bot.ImprimirAcompanhamento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9620250" y="4086225"/>
          <a:ext cx="1104900" cy="48577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IMPRIMIR DOCUMENTOS</a:t>
          </a:r>
        </a:p>
      </xdr:txBody>
    </xdr:sp>
    <xdr:clientData/>
  </xdr:twoCellAnchor>
  <xdr:twoCellAnchor>
    <xdr:from>
      <xdr:col>9</xdr:col>
      <xdr:colOff>9524</xdr:colOff>
      <xdr:row>2</xdr:row>
      <xdr:rowOff>0</xdr:rowOff>
    </xdr:from>
    <xdr:to>
      <xdr:col>11</xdr:col>
      <xdr:colOff>47625</xdr:colOff>
      <xdr:row>5</xdr:row>
      <xdr:rowOff>66675</xdr:rowOff>
    </xdr:to>
    <xdr:sp macro="[0]!Importar" textlink="" fLocksText="0">
      <xdr:nvSpPr>
        <xdr:cNvPr id="14" name="Bot.Importar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>
          <a:spLocks noChangeArrowheads="1"/>
        </xdr:cNvSpPr>
      </xdr:nvSpPr>
      <xdr:spPr bwMode="auto">
        <a:xfrm>
          <a:off x="9629774" y="476250"/>
          <a:ext cx="1504951" cy="7715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IMPORTAR DE OUTRA PLANILHA MÚLTIPLA (A PARTIR DA VERSÃO 3)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200025</xdr:colOff>
      <xdr:row>0</xdr:row>
      <xdr:rowOff>47625</xdr:rowOff>
    </xdr:from>
    <xdr:to>
      <xdr:col>3</xdr:col>
      <xdr:colOff>161925</xdr:colOff>
      <xdr:row>1</xdr:row>
      <xdr:rowOff>152400</xdr:rowOff>
    </xdr:to>
    <xdr:sp macro="" textlink="" fLocksText="0">
      <xdr:nvSpPr>
        <xdr:cNvPr id="2050" name="AutoShape 6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2080000}"/>
            </a:ext>
          </a:extLst>
        </xdr:cNvPr>
        <xdr:cNvSpPr>
          <a:spLocks noChangeArrowheads="1"/>
        </xdr:cNvSpPr>
      </xdr:nvSpPr>
      <xdr:spPr bwMode="auto">
        <a:xfrm>
          <a:off x="200025" y="47625"/>
          <a:ext cx="17907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76200</xdr:rowOff>
    </xdr:from>
    <xdr:to>
      <xdr:col>1</xdr:col>
      <xdr:colOff>102923</xdr:colOff>
      <xdr:row>2</xdr:row>
      <xdr:rowOff>49540</xdr:rowOff>
    </xdr:to>
    <xdr:sp macro="" textlink="" fLocksText="0">
      <xdr:nvSpPr>
        <xdr:cNvPr id="3073" name="AutoShape 6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200-0000010C0000}"/>
            </a:ext>
          </a:extLst>
        </xdr:cNvPr>
        <xdr:cNvSpPr>
          <a:spLocks noChangeArrowheads="1"/>
        </xdr:cNvSpPr>
      </xdr:nvSpPr>
      <xdr:spPr bwMode="auto">
        <a:xfrm>
          <a:off x="104775" y="76200"/>
          <a:ext cx="5715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30480</xdr:colOff>
      <xdr:row>0</xdr:row>
      <xdr:rowOff>15240</xdr:rowOff>
    </xdr:from>
    <xdr:to>
      <xdr:col>11</xdr:col>
      <xdr:colOff>403860</xdr:colOff>
      <xdr:row>2</xdr:row>
      <xdr:rowOff>38100</xdr:rowOff>
    </xdr:to>
    <xdr:pic>
      <xdr:nvPicPr>
        <xdr:cNvPr id="4848" name="Logo1">
          <a:extLst>
            <a:ext uri="{FF2B5EF4-FFF2-40B4-BE49-F238E27FC236}">
              <a16:creationId xmlns:a16="http://schemas.microsoft.com/office/drawing/2014/main" xmlns="" id="{00000000-0008-0000-03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3460" y="15240"/>
          <a:ext cx="1836420" cy="3886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7</xdr:col>
      <xdr:colOff>287020</xdr:colOff>
      <xdr:row>1</xdr:row>
      <xdr:rowOff>30903</xdr:rowOff>
    </xdr:from>
    <xdr:to>
      <xdr:col>8</xdr:col>
      <xdr:colOff>138854</xdr:colOff>
      <xdr:row>3</xdr:row>
      <xdr:rowOff>8555</xdr:rowOff>
    </xdr:to>
    <xdr:sp macro="" textlink="" fLocksText="0">
      <xdr:nvSpPr>
        <xdr:cNvPr id="4098" name="AutoShape 6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300-000002100000}"/>
            </a:ext>
          </a:extLst>
        </xdr:cNvPr>
        <xdr:cNvSpPr>
          <a:spLocks noChangeArrowheads="1"/>
        </xdr:cNvSpPr>
      </xdr:nvSpPr>
      <xdr:spPr bwMode="auto">
        <a:xfrm>
          <a:off x="15096067" y="224366"/>
          <a:ext cx="571500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7</xdr:col>
      <xdr:colOff>287019</xdr:colOff>
      <xdr:row>3</xdr:row>
      <xdr:rowOff>57150</xdr:rowOff>
    </xdr:from>
    <xdr:to>
      <xdr:col>8</xdr:col>
      <xdr:colOff>138853</xdr:colOff>
      <xdr:row>5</xdr:row>
      <xdr:rowOff>42333</xdr:rowOff>
    </xdr:to>
    <xdr:sp macro="" textlink="" fLocksText="0">
      <xdr:nvSpPr>
        <xdr:cNvPr id="5" name="AutoShape 6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SpPr>
          <a:spLocks noChangeArrowheads="1"/>
        </xdr:cNvSpPr>
      </xdr:nvSpPr>
      <xdr:spPr bwMode="auto">
        <a:xfrm>
          <a:off x="279399" y="575733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60960</xdr:colOff>
      <xdr:row>0</xdr:row>
      <xdr:rowOff>15240</xdr:rowOff>
    </xdr:from>
    <xdr:to>
      <xdr:col>15</xdr:col>
      <xdr:colOff>1036320</xdr:colOff>
      <xdr:row>1</xdr:row>
      <xdr:rowOff>167640</xdr:rowOff>
    </xdr:to>
    <xdr:pic>
      <xdr:nvPicPr>
        <xdr:cNvPr id="24130" name="Picture 2">
          <a:extLst>
            <a:ext uri="{FF2B5EF4-FFF2-40B4-BE49-F238E27FC236}">
              <a16:creationId xmlns:a16="http://schemas.microsoft.com/office/drawing/2014/main" xmlns="" id="{00000000-0008-0000-0400-0000425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1140" y="15240"/>
          <a:ext cx="1844040" cy="3733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19</xdr:col>
      <xdr:colOff>9102</xdr:colOff>
      <xdr:row>8</xdr:row>
      <xdr:rowOff>152400</xdr:rowOff>
    </xdr:from>
    <xdr:to>
      <xdr:col>23</xdr:col>
      <xdr:colOff>1051560</xdr:colOff>
      <xdr:row>11</xdr:row>
      <xdr:rowOff>36243</xdr:rowOff>
    </xdr:to>
    <xdr:sp macro="" textlink="" fLocksText="0">
      <xdr:nvSpPr>
        <xdr:cNvPr id="5127" name="TextBoxArred">
          <a:extLst>
            <a:ext uri="{FF2B5EF4-FFF2-40B4-BE49-F238E27FC236}">
              <a16:creationId xmlns:a16="http://schemas.microsoft.com/office/drawing/2014/main" xmlns="" id="{00000000-0008-0000-0400-000007140000}"/>
            </a:ext>
          </a:extLst>
        </xdr:cNvPr>
        <xdr:cNvSpPr txBox="1">
          <a:spLocks noChangeArrowheads="1"/>
        </xdr:cNvSpPr>
      </xdr:nvSpPr>
      <xdr:spPr bwMode="auto">
        <a:xfrm flipH="1">
          <a:off x="15811500" y="1438275"/>
          <a:ext cx="4686300" cy="361950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457200</xdr:colOff>
          <xdr:row>9</xdr:row>
          <xdr:rowOff>123825</xdr:rowOff>
        </xdr:from>
        <xdr:to>
          <xdr:col>19</xdr:col>
          <xdr:colOff>895350</xdr:colOff>
          <xdr:row>11</xdr:row>
          <xdr:rowOff>38100</xdr:rowOff>
        </xdr:to>
        <xdr:sp macro="" textlink="">
          <xdr:nvSpPr>
            <xdr:cNvPr id="5128" name="CaixaArredQuant" hidden="1">
              <a:extLst>
                <a:ext uri="{63B3BB69-23CF-44E3-9099-C40C66FF867C}">
                  <a14:compatExt spid="_x0000_s5128"/>
                </a:ext>
                <a:ext uri="{FF2B5EF4-FFF2-40B4-BE49-F238E27FC236}">
                  <a16:creationId xmlns:a16="http://schemas.microsoft.com/office/drawing/2014/main" xmlns="" id="{00000000-0008-0000-0400-00000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20</xdr:col>
          <xdr:colOff>447675</xdr:colOff>
          <xdr:row>9</xdr:row>
          <xdr:rowOff>123825</xdr:rowOff>
        </xdr:from>
        <xdr:to>
          <xdr:col>20</xdr:col>
          <xdr:colOff>876300</xdr:colOff>
          <xdr:row>11</xdr:row>
          <xdr:rowOff>38100</xdr:rowOff>
        </xdr:to>
        <xdr:sp macro="" textlink="">
          <xdr:nvSpPr>
            <xdr:cNvPr id="5129" name="CaixaArredCustoUnit" hidden="1">
              <a:extLst>
                <a:ext uri="{63B3BB69-23CF-44E3-9099-C40C66FF867C}">
                  <a14:compatExt spid="_x0000_s5129"/>
                </a:ext>
                <a:ext uri="{FF2B5EF4-FFF2-40B4-BE49-F238E27FC236}">
                  <a16:creationId xmlns:a16="http://schemas.microsoft.com/office/drawing/2014/main" xmlns="" id="{00000000-0008-0000-0400-00000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21</xdr:col>
          <xdr:colOff>285750</xdr:colOff>
          <xdr:row>9</xdr:row>
          <xdr:rowOff>123825</xdr:rowOff>
        </xdr:from>
        <xdr:to>
          <xdr:col>21</xdr:col>
          <xdr:colOff>704850</xdr:colOff>
          <xdr:row>11</xdr:row>
          <xdr:rowOff>38100</xdr:rowOff>
        </xdr:to>
        <xdr:sp macro="" textlink="">
          <xdr:nvSpPr>
            <xdr:cNvPr id="5130" name="CaixaArredBDI" hidden="1">
              <a:extLst>
                <a:ext uri="{63B3BB69-23CF-44E3-9099-C40C66FF867C}">
                  <a14:compatExt spid="_x0000_s5130"/>
                </a:ext>
                <a:ext uri="{FF2B5EF4-FFF2-40B4-BE49-F238E27FC236}">
                  <a16:creationId xmlns:a16="http://schemas.microsoft.com/office/drawing/2014/main" xmlns="" id="{00000000-0008-0000-0400-00000A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22</xdr:col>
          <xdr:colOff>361950</xdr:colOff>
          <xdr:row>9</xdr:row>
          <xdr:rowOff>123825</xdr:rowOff>
        </xdr:from>
        <xdr:to>
          <xdr:col>22</xdr:col>
          <xdr:colOff>790575</xdr:colOff>
          <xdr:row>11</xdr:row>
          <xdr:rowOff>38100</xdr:rowOff>
        </xdr:to>
        <xdr:sp macro="" textlink="">
          <xdr:nvSpPr>
            <xdr:cNvPr id="5131" name="CaixaArredPrecoUnit" hidden="1">
              <a:extLst>
                <a:ext uri="{63B3BB69-23CF-44E3-9099-C40C66FF867C}">
                  <a14:compatExt spid="_x0000_s5131"/>
                </a:ext>
                <a:ext uri="{FF2B5EF4-FFF2-40B4-BE49-F238E27FC236}">
                  <a16:creationId xmlns:a16="http://schemas.microsoft.com/office/drawing/2014/main" xmlns="" id="{00000000-0008-0000-0400-00000B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23</xdr:col>
          <xdr:colOff>447675</xdr:colOff>
          <xdr:row>9</xdr:row>
          <xdr:rowOff>104775</xdr:rowOff>
        </xdr:from>
        <xdr:to>
          <xdr:col>23</xdr:col>
          <xdr:colOff>876300</xdr:colOff>
          <xdr:row>11</xdr:row>
          <xdr:rowOff>28575</xdr:rowOff>
        </xdr:to>
        <xdr:sp macro="" textlink="">
          <xdr:nvSpPr>
            <xdr:cNvPr id="5132" name="CaixaArredPrecoTotal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xmlns="" id="{00000000-0008-0000-0400-00000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xdr:twoCellAnchor>
    <xdr:from>
      <xdr:col>12</xdr:col>
      <xdr:colOff>302895</xdr:colOff>
      <xdr:row>0</xdr:row>
      <xdr:rowOff>144780</xdr:rowOff>
    </xdr:from>
    <xdr:to>
      <xdr:col>13</xdr:col>
      <xdr:colOff>285797</xdr:colOff>
      <xdr:row>2</xdr:row>
      <xdr:rowOff>38187</xdr:rowOff>
    </xdr:to>
    <xdr:sp macro="" textlink="" fLocksText="0">
      <xdr:nvSpPr>
        <xdr:cNvPr id="5133" name="AutoShape 6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400-00000D140000}"/>
            </a:ext>
          </a:extLst>
        </xdr:cNvPr>
        <xdr:cNvSpPr>
          <a:spLocks noChangeArrowheads="1"/>
        </xdr:cNvSpPr>
      </xdr:nvSpPr>
      <xdr:spPr bwMode="auto">
        <a:xfrm>
          <a:off x="6905625" y="152400"/>
          <a:ext cx="5715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14</xdr:col>
      <xdr:colOff>28575</xdr:colOff>
      <xdr:row>9</xdr:row>
      <xdr:rowOff>0</xdr:rowOff>
    </xdr:from>
    <xdr:to>
      <xdr:col>15</xdr:col>
      <xdr:colOff>624896</xdr:colOff>
      <xdr:row>10</xdr:row>
      <xdr:rowOff>160060</xdr:rowOff>
    </xdr:to>
    <xdr:sp macro="[0]!Linhas.AddLinha" textlink="" fLocksText="0">
      <xdr:nvSpPr>
        <xdr:cNvPr id="5134" name="AutoShape 67">
          <a:extLst>
            <a:ext uri="{FF2B5EF4-FFF2-40B4-BE49-F238E27FC236}">
              <a16:creationId xmlns:a16="http://schemas.microsoft.com/office/drawing/2014/main" xmlns="" id="{00000000-0008-0000-0400-00000E140000}"/>
            </a:ext>
          </a:extLst>
        </xdr:cNvPr>
        <xdr:cNvSpPr>
          <a:spLocks noChangeArrowheads="1"/>
        </xdr:cNvSpPr>
      </xdr:nvSpPr>
      <xdr:spPr bwMode="auto">
        <a:xfrm>
          <a:off x="7800975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LINHAS</a:t>
          </a:r>
        </a:p>
      </xdr:txBody>
    </xdr:sp>
    <xdr:clientData fPrintsWithSheet="0"/>
  </xdr:twoCellAnchor>
  <xdr:twoCellAnchor>
    <xdr:from>
      <xdr:col>17</xdr:col>
      <xdr:colOff>93345</xdr:colOff>
      <xdr:row>9</xdr:row>
      <xdr:rowOff>0</xdr:rowOff>
    </xdr:from>
    <xdr:to>
      <xdr:col>17</xdr:col>
      <xdr:colOff>1560297</xdr:colOff>
      <xdr:row>10</xdr:row>
      <xdr:rowOff>160060</xdr:rowOff>
    </xdr:to>
    <xdr:sp macro="[0]!Descrição.fixar" textlink="" fLocksText="0">
      <xdr:nvSpPr>
        <xdr:cNvPr id="5135" name="AutoShape 67">
          <a:extLst>
            <a:ext uri="{FF2B5EF4-FFF2-40B4-BE49-F238E27FC236}">
              <a16:creationId xmlns:a16="http://schemas.microsoft.com/office/drawing/2014/main" xmlns="" id="{00000000-0008-0000-0400-00000F140000}"/>
            </a:ext>
          </a:extLst>
        </xdr:cNvPr>
        <xdr:cNvSpPr>
          <a:spLocks noChangeArrowheads="1"/>
        </xdr:cNvSpPr>
      </xdr:nvSpPr>
      <xdr:spPr bwMode="auto">
        <a:xfrm>
          <a:off x="1080135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FIXAR DESCRIÇÕES</a:t>
          </a:r>
        </a:p>
      </xdr:txBody>
    </xdr:sp>
    <xdr:clientData fPrintsWithSheet="0"/>
  </xdr:twoCellAnchor>
  <xdr:twoCellAnchor>
    <xdr:from>
      <xdr:col>15</xdr:col>
      <xdr:colOff>691515</xdr:colOff>
      <xdr:row>9</xdr:row>
      <xdr:rowOff>0</xdr:rowOff>
    </xdr:from>
    <xdr:to>
      <xdr:col>17</xdr:col>
      <xdr:colOff>9547</xdr:colOff>
      <xdr:row>10</xdr:row>
      <xdr:rowOff>160060</xdr:rowOff>
    </xdr:to>
    <xdr:sp macro="[0]!Linhas.ExcLinhas" textlink="" fLocksText="0">
      <xdr:nvSpPr>
        <xdr:cNvPr id="5136" name="AutoShape 67">
          <a:extLst>
            <a:ext uri="{FF2B5EF4-FFF2-40B4-BE49-F238E27FC236}">
              <a16:creationId xmlns:a16="http://schemas.microsoft.com/office/drawing/2014/main" xmlns="" id="{00000000-0008-0000-0400-000010140000}"/>
            </a:ext>
          </a:extLst>
        </xdr:cNvPr>
        <xdr:cNvSpPr>
          <a:spLocks noChangeArrowheads="1"/>
        </xdr:cNvSpPr>
      </xdr:nvSpPr>
      <xdr:spPr bwMode="auto">
        <a:xfrm>
          <a:off x="929640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LINHAS</a:t>
          </a:r>
        </a:p>
      </xdr:txBody>
    </xdr:sp>
    <xdr:clientData fPrintsWithSheet="0"/>
  </xdr:twoCellAnchor>
  <xdr:twoCellAnchor>
    <xdr:from>
      <xdr:col>17</xdr:col>
      <xdr:colOff>1644015</xdr:colOff>
      <xdr:row>9</xdr:row>
      <xdr:rowOff>0</xdr:rowOff>
    </xdr:from>
    <xdr:to>
      <xdr:col>17</xdr:col>
      <xdr:colOff>3339378</xdr:colOff>
      <xdr:row>10</xdr:row>
      <xdr:rowOff>160060</xdr:rowOff>
    </xdr:to>
    <xdr:sp macro="[0]!Descrição.recuperar" textlink="" fLocksText="0">
      <xdr:nvSpPr>
        <xdr:cNvPr id="5137" name="AutoShape 67">
          <a:extLst>
            <a:ext uri="{FF2B5EF4-FFF2-40B4-BE49-F238E27FC236}">
              <a16:creationId xmlns:a16="http://schemas.microsoft.com/office/drawing/2014/main" xmlns="" id="{00000000-0008-0000-0400-000011140000}"/>
            </a:ext>
          </a:extLst>
        </xdr:cNvPr>
        <xdr:cNvSpPr>
          <a:spLocks noChangeArrowheads="1"/>
        </xdr:cNvSpPr>
      </xdr:nvSpPr>
      <xdr:spPr bwMode="auto">
        <a:xfrm>
          <a:off x="12306300" y="1447800"/>
          <a:ext cx="16573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RECUPERAR FÓRMULAS</a:t>
          </a:r>
        </a:p>
      </xdr:txBody>
    </xdr:sp>
    <xdr:clientData fPrintsWithSheet="0"/>
  </xdr:twoCellAnchor>
  <xdr:twoCellAnchor>
    <xdr:from>
      <xdr:col>17</xdr:col>
      <xdr:colOff>3404023</xdr:colOff>
      <xdr:row>9</xdr:row>
      <xdr:rowOff>1</xdr:rowOff>
    </xdr:from>
    <xdr:to>
      <xdr:col>18</xdr:col>
      <xdr:colOff>272154</xdr:colOff>
      <xdr:row>10</xdr:row>
      <xdr:rowOff>160061</xdr:rowOff>
    </xdr:to>
    <xdr:sp macro="[0]!buscarcodigo" textlink="" fLocksText="0">
      <xdr:nvSpPr>
        <xdr:cNvPr id="14" name="AutoShape 67">
          <a:extLst>
            <a:ext uri="{FF2B5EF4-FFF2-40B4-BE49-F238E27FC236}">
              <a16:creationId xmlns:a16="http://schemas.microsoft.com/office/drawing/2014/main" xmlns="" id="{00000000-0008-0000-0400-00000E000000}"/>
            </a:ext>
          </a:extLst>
        </xdr:cNvPr>
        <xdr:cNvSpPr>
          <a:spLocks noChangeArrowheads="1"/>
        </xdr:cNvSpPr>
      </xdr:nvSpPr>
      <xdr:spPr bwMode="auto">
        <a:xfrm>
          <a:off x="7662333" y="1428751"/>
          <a:ext cx="1333500" cy="311150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BUSCAR CÓDIGO</a:t>
          </a:r>
        </a:p>
      </xdr:txBody>
    </xdr:sp>
    <xdr:clientData fPrintsWithSheet="0"/>
  </xdr:twoCellAnchor>
  <xdr:twoCellAnchor>
    <xdr:from>
      <xdr:col>12</xdr:col>
      <xdr:colOff>303953</xdr:colOff>
      <xdr:row>2</xdr:row>
      <xdr:rowOff>84667</xdr:rowOff>
    </xdr:from>
    <xdr:to>
      <xdr:col>13</xdr:col>
      <xdr:colOff>285811</xdr:colOff>
      <xdr:row>4</xdr:row>
      <xdr:rowOff>69850</xdr:rowOff>
    </xdr:to>
    <xdr:sp macro="" textlink="" fLocksText="0">
      <xdr:nvSpPr>
        <xdr:cNvPr id="15" name="AutoShape 6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400-00000F000000}"/>
            </a:ext>
          </a:extLst>
        </xdr:cNvPr>
        <xdr:cNvSpPr>
          <a:spLocks noChangeArrowheads="1"/>
        </xdr:cNvSpPr>
      </xdr:nvSpPr>
      <xdr:spPr bwMode="auto">
        <a:xfrm>
          <a:off x="539750" y="508000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←</a:t>
          </a:r>
        </a:p>
      </xdr:txBody>
    </xdr:sp>
    <xdr:clientData/>
  </xdr:twoCellAnchor>
  <xdr:twoCellAnchor>
    <xdr:from>
      <xdr:col>12</xdr:col>
      <xdr:colOff>308186</xdr:colOff>
      <xdr:row>4</xdr:row>
      <xdr:rowOff>120650</xdr:rowOff>
    </xdr:from>
    <xdr:to>
      <xdr:col>13</xdr:col>
      <xdr:colOff>289945</xdr:colOff>
      <xdr:row>7</xdr:row>
      <xdr:rowOff>52916</xdr:rowOff>
    </xdr:to>
    <xdr:sp macro="" textlink="" fLocksText="0">
      <xdr:nvSpPr>
        <xdr:cNvPr id="16" name="AutoShape 6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0000000-0008-0000-0400-000010000000}"/>
            </a:ext>
          </a:extLst>
        </xdr:cNvPr>
        <xdr:cNvSpPr>
          <a:spLocks noChangeArrowheads="1"/>
        </xdr:cNvSpPr>
      </xdr:nvSpPr>
      <xdr:spPr bwMode="auto">
        <a:xfrm>
          <a:off x="543983" y="861483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0</xdr:row>
      <xdr:rowOff>15240</xdr:rowOff>
    </xdr:from>
    <xdr:to>
      <xdr:col>5</xdr:col>
      <xdr:colOff>1036320</xdr:colOff>
      <xdr:row>2</xdr:row>
      <xdr:rowOff>7620</xdr:rowOff>
    </xdr:to>
    <xdr:pic>
      <xdr:nvPicPr>
        <xdr:cNvPr id="21100" name="Picture 2">
          <a:extLst>
            <a:ext uri="{FF2B5EF4-FFF2-40B4-BE49-F238E27FC236}">
              <a16:creationId xmlns:a16="http://schemas.microsoft.com/office/drawing/2014/main" xmlns="" id="{00000000-0008-0000-0500-00006C5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" y="15240"/>
          <a:ext cx="1866900" cy="381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2</xdr:col>
      <xdr:colOff>152400</xdr:colOff>
      <xdr:row>1</xdr:row>
      <xdr:rowOff>9525</xdr:rowOff>
    </xdr:from>
    <xdr:to>
      <xdr:col>3</xdr:col>
      <xdr:colOff>474303</xdr:colOff>
      <xdr:row>2</xdr:row>
      <xdr:rowOff>123825</xdr:rowOff>
    </xdr:to>
    <xdr:sp macro="" textlink="" fLocksText="0">
      <xdr:nvSpPr>
        <xdr:cNvPr id="6147" name="AutoShape 6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500-000003180000}"/>
            </a:ext>
          </a:extLst>
        </xdr:cNvPr>
        <xdr:cNvSpPr>
          <a:spLocks noChangeArrowheads="1"/>
        </xdr:cNvSpPr>
      </xdr:nvSpPr>
      <xdr:spPr bwMode="auto">
        <a:xfrm>
          <a:off x="152400" y="209550"/>
          <a:ext cx="561975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5</xdr:col>
      <xdr:colOff>179070</xdr:colOff>
      <xdr:row>11</xdr:row>
      <xdr:rowOff>266700</xdr:rowOff>
    </xdr:from>
    <xdr:to>
      <xdr:col>5</xdr:col>
      <xdr:colOff>2905076</xdr:colOff>
      <xdr:row>11</xdr:row>
      <xdr:rowOff>571500</xdr:rowOff>
    </xdr:to>
    <xdr:sp macro="" textlink="" fLocksText="0">
      <xdr:nvSpPr>
        <xdr:cNvPr id="6148" name="AutoShape 6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500-000004180000}"/>
            </a:ext>
          </a:extLst>
        </xdr:cNvPr>
        <xdr:cNvSpPr>
          <a:spLocks noChangeArrowheads="1"/>
        </xdr:cNvSpPr>
      </xdr:nvSpPr>
      <xdr:spPr bwMode="auto">
        <a:xfrm>
          <a:off x="1847850" y="1304925"/>
          <a:ext cx="2657475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REDEFINIR AGRUPADORES DE EVENTOS</a:t>
          </a:r>
        </a:p>
      </xdr:txBody>
    </xdr:sp>
    <xdr:clientData fPrintsWithSheet="0"/>
  </xdr:twoCellAnchor>
  <xdr:twoCellAnchor>
    <xdr:from>
      <xdr:col>5</xdr:col>
      <xdr:colOff>2977515</xdr:colOff>
      <xdr:row>11</xdr:row>
      <xdr:rowOff>266700</xdr:rowOff>
    </xdr:from>
    <xdr:to>
      <xdr:col>6</xdr:col>
      <xdr:colOff>26724</xdr:colOff>
      <xdr:row>11</xdr:row>
      <xdr:rowOff>571500</xdr:rowOff>
    </xdr:to>
    <xdr:sp macro="[0]!Colunas.incluirpag" textlink="" fLocksText="0">
      <xdr:nvSpPr>
        <xdr:cNvPr id="6149" name="AutoShape 67">
          <a:extLst>
            <a:ext uri="{FF2B5EF4-FFF2-40B4-BE49-F238E27FC236}">
              <a16:creationId xmlns:a16="http://schemas.microsoft.com/office/drawing/2014/main" xmlns="" id="{00000000-0008-0000-0500-000005180000}"/>
            </a:ext>
          </a:extLst>
        </xdr:cNvPr>
        <xdr:cNvSpPr>
          <a:spLocks noChangeArrowheads="1"/>
        </xdr:cNvSpPr>
      </xdr:nvSpPr>
      <xdr:spPr bwMode="auto">
        <a:xfrm>
          <a:off x="4562475" y="1304925"/>
          <a:ext cx="1514475" cy="304800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8 FRENTES</a:t>
          </a:r>
        </a:p>
      </xdr:txBody>
    </xdr:sp>
    <xdr:clientData fPrintsWithSheet="0"/>
  </xdr:twoCellAnchor>
  <xdr:twoCellAnchor>
    <xdr:from>
      <xdr:col>6</xdr:col>
      <xdr:colOff>93345</xdr:colOff>
      <xdr:row>11</xdr:row>
      <xdr:rowOff>266700</xdr:rowOff>
    </xdr:from>
    <xdr:to>
      <xdr:col>7</xdr:col>
      <xdr:colOff>908727</xdr:colOff>
      <xdr:row>11</xdr:row>
      <xdr:rowOff>581025</xdr:rowOff>
    </xdr:to>
    <xdr:sp macro="[0]!Colunas.excluirpag" textlink="" fLocksText="0">
      <xdr:nvSpPr>
        <xdr:cNvPr id="6150" name="AutoShape 67">
          <a:extLst>
            <a:ext uri="{FF2B5EF4-FFF2-40B4-BE49-F238E27FC236}">
              <a16:creationId xmlns:a16="http://schemas.microsoft.com/office/drawing/2014/main" xmlns="" id="{00000000-0008-0000-0500-000006180000}"/>
            </a:ext>
          </a:extLst>
        </xdr:cNvPr>
        <xdr:cNvSpPr>
          <a:spLocks noChangeArrowheads="1"/>
        </xdr:cNvSpPr>
      </xdr:nvSpPr>
      <xdr:spPr bwMode="auto">
        <a:xfrm>
          <a:off x="6143625" y="1304925"/>
          <a:ext cx="1514475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8 FRENTES</a:t>
          </a:r>
        </a:p>
      </xdr:txBody>
    </xdr:sp>
    <xdr:clientData fPrintsWithSheet="0"/>
  </xdr:twoCellAnchor>
  <xdr:twoCellAnchor>
    <xdr:from>
      <xdr:col>2</xdr:col>
      <xdr:colOff>137584</xdr:colOff>
      <xdr:row>3</xdr:row>
      <xdr:rowOff>13547</xdr:rowOff>
    </xdr:from>
    <xdr:to>
      <xdr:col>3</xdr:col>
      <xdr:colOff>473228</xdr:colOff>
      <xdr:row>4</xdr:row>
      <xdr:rowOff>159597</xdr:rowOff>
    </xdr:to>
    <xdr:sp macro="" textlink="" fLocksText="0">
      <xdr:nvSpPr>
        <xdr:cNvPr id="7" name="AutoShape 6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0000000-0008-0000-0500-000007000000}"/>
            </a:ext>
          </a:extLst>
        </xdr:cNvPr>
        <xdr:cNvSpPr>
          <a:spLocks noChangeArrowheads="1"/>
        </xdr:cNvSpPr>
      </xdr:nvSpPr>
      <xdr:spPr bwMode="auto">
        <a:xfrm>
          <a:off x="137584" y="571500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←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</xdr:row>
      <xdr:rowOff>0</xdr:rowOff>
    </xdr:from>
    <xdr:to>
      <xdr:col>2</xdr:col>
      <xdr:colOff>718248</xdr:colOff>
      <xdr:row>7</xdr:row>
      <xdr:rowOff>304800</xdr:rowOff>
    </xdr:to>
    <xdr:sp macro="" textlink="" fLocksText="0">
      <xdr:nvSpPr>
        <xdr:cNvPr id="7170" name="AutoShape 6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600-0000021C0000}"/>
            </a:ext>
          </a:extLst>
        </xdr:cNvPr>
        <xdr:cNvSpPr>
          <a:spLocks noChangeArrowheads="1"/>
        </xdr:cNvSpPr>
      </xdr:nvSpPr>
      <xdr:spPr bwMode="auto">
        <a:xfrm>
          <a:off x="609600" y="1009650"/>
          <a:ext cx="695325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VOLTAR</a:t>
          </a:r>
        </a:p>
      </xdr:txBody>
    </xdr:sp>
    <xdr:clientData fPrintsWithSheet="0"/>
  </xdr:twoCellAnchor>
  <xdr:twoCellAnchor>
    <xdr:from>
      <xdr:col>3</xdr:col>
      <xdr:colOff>548640</xdr:colOff>
      <xdr:row>7</xdr:row>
      <xdr:rowOff>0</xdr:rowOff>
    </xdr:from>
    <xdr:to>
      <xdr:col>3</xdr:col>
      <xdr:colOff>2007789</xdr:colOff>
      <xdr:row>7</xdr:row>
      <xdr:rowOff>304800</xdr:rowOff>
    </xdr:to>
    <xdr:sp macro="[0]!Linhas.AddLinha" textlink="" fLocksText="0">
      <xdr:nvSpPr>
        <xdr:cNvPr id="7171" name="AutoShape 67">
          <a:extLst>
            <a:ext uri="{FF2B5EF4-FFF2-40B4-BE49-F238E27FC236}">
              <a16:creationId xmlns:a16="http://schemas.microsoft.com/office/drawing/2014/main" xmlns="" id="{00000000-0008-0000-0600-0000031C0000}"/>
            </a:ext>
          </a:extLst>
        </xdr:cNvPr>
        <xdr:cNvSpPr>
          <a:spLocks noChangeArrowheads="1"/>
        </xdr:cNvSpPr>
      </xdr:nvSpPr>
      <xdr:spPr bwMode="auto">
        <a:xfrm>
          <a:off x="1990725" y="1009650"/>
          <a:ext cx="1428750" cy="304800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LINHAS</a:t>
          </a:r>
        </a:p>
      </xdr:txBody>
    </xdr:sp>
    <xdr:clientData fPrintsWithSheet="0"/>
  </xdr:twoCellAnchor>
  <xdr:twoCellAnchor>
    <xdr:from>
      <xdr:col>3</xdr:col>
      <xdr:colOff>2074545</xdr:colOff>
      <xdr:row>7</xdr:row>
      <xdr:rowOff>0</xdr:rowOff>
    </xdr:from>
    <xdr:to>
      <xdr:col>5</xdr:col>
      <xdr:colOff>822924</xdr:colOff>
      <xdr:row>7</xdr:row>
      <xdr:rowOff>304800</xdr:rowOff>
    </xdr:to>
    <xdr:sp macro="[0]!Linhas.ExcLinhas" textlink="" fLocksText="0">
      <xdr:nvSpPr>
        <xdr:cNvPr id="7172" name="AutoShape 67">
          <a:extLst>
            <a:ext uri="{FF2B5EF4-FFF2-40B4-BE49-F238E27FC236}">
              <a16:creationId xmlns:a16="http://schemas.microsoft.com/office/drawing/2014/main" xmlns="" id="{00000000-0008-0000-0600-0000041C0000}"/>
            </a:ext>
          </a:extLst>
        </xdr:cNvPr>
        <xdr:cNvSpPr>
          <a:spLocks noChangeArrowheads="1"/>
        </xdr:cNvSpPr>
      </xdr:nvSpPr>
      <xdr:spPr bwMode="auto">
        <a:xfrm>
          <a:off x="3486150" y="1009650"/>
          <a:ext cx="1428750" cy="304800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LINHAS</a:t>
          </a:r>
        </a:p>
      </xdr:txBody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</xdr:row>
      <xdr:rowOff>0</xdr:rowOff>
    </xdr:from>
    <xdr:to>
      <xdr:col>9</xdr:col>
      <xdr:colOff>365760</xdr:colOff>
      <xdr:row>4</xdr:row>
      <xdr:rowOff>167640</xdr:rowOff>
    </xdr:to>
    <xdr:pic>
      <xdr:nvPicPr>
        <xdr:cNvPr id="19188" name="Picture 2">
          <a:extLst>
            <a:ext uri="{FF2B5EF4-FFF2-40B4-BE49-F238E27FC236}">
              <a16:creationId xmlns:a16="http://schemas.microsoft.com/office/drawing/2014/main" xmlns="" id="{00000000-0008-0000-0700-0000F44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0"/>
          <a:ext cx="1851660" cy="3581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6</xdr:col>
      <xdr:colOff>142875</xdr:colOff>
      <xdr:row>3</xdr:row>
      <xdr:rowOff>85725</xdr:rowOff>
    </xdr:from>
    <xdr:to>
      <xdr:col>6</xdr:col>
      <xdr:colOff>729615</xdr:colOff>
      <xdr:row>4</xdr:row>
      <xdr:rowOff>190500</xdr:rowOff>
    </xdr:to>
    <xdr:sp macro="" textlink="" fLocksText="0">
      <xdr:nvSpPr>
        <xdr:cNvPr id="8195" name="AutoShape 6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700-000003200000}"/>
            </a:ext>
          </a:extLst>
        </xdr:cNvPr>
        <xdr:cNvSpPr>
          <a:spLocks noChangeArrowheads="1"/>
        </xdr:cNvSpPr>
      </xdr:nvSpPr>
      <xdr:spPr bwMode="auto">
        <a:xfrm>
          <a:off x="3181350" y="571500"/>
          <a:ext cx="571500" cy="3048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/>
  </xdr:twoCellAnchor>
  <xdr:twoCellAnchor>
    <xdr:from>
      <xdr:col>20</xdr:col>
      <xdr:colOff>104776</xdr:colOff>
      <xdr:row>8</xdr:row>
      <xdr:rowOff>93345</xdr:rowOff>
    </xdr:from>
    <xdr:to>
      <xdr:col>23</xdr:col>
      <xdr:colOff>2956</xdr:colOff>
      <xdr:row>10</xdr:row>
      <xdr:rowOff>76147</xdr:rowOff>
    </xdr:to>
    <xdr:sp macro="" textlink="" fLocksText="0">
      <xdr:nvSpPr>
        <xdr:cNvPr id="8196" name="CRONO.b.preenchEventos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700-000004200000}"/>
            </a:ext>
          </a:extLst>
        </xdr:cNvPr>
        <xdr:cNvSpPr>
          <a:spLocks noChangeArrowheads="1"/>
        </xdr:cNvSpPr>
      </xdr:nvSpPr>
      <xdr:spPr bwMode="auto">
        <a:xfrm>
          <a:off x="11026776" y="1271058"/>
          <a:ext cx="2096558" cy="307975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PREENCHIMENTO POR EVENTOS</a:t>
          </a:r>
        </a:p>
      </xdr:txBody>
    </xdr:sp>
    <xdr:clientData fPrintsWithSheet="0"/>
  </xdr:twoCellAnchor>
  <xdr:twoCellAnchor>
    <xdr:from>
      <xdr:col>7</xdr:col>
      <xdr:colOff>102870</xdr:colOff>
      <xdr:row>8</xdr:row>
      <xdr:rowOff>93345</xdr:rowOff>
    </xdr:from>
    <xdr:to>
      <xdr:col>9</xdr:col>
      <xdr:colOff>76198</xdr:colOff>
      <xdr:row>10</xdr:row>
      <xdr:rowOff>76147</xdr:rowOff>
    </xdr:to>
    <xdr:sp macro="[0]!CRONO.AtualizarLinhas" textlink="" fLocksText="0">
      <xdr:nvSpPr>
        <xdr:cNvPr id="8197" name="AutoShape 67">
          <a:extLst>
            <a:ext uri="{FF2B5EF4-FFF2-40B4-BE49-F238E27FC236}">
              <a16:creationId xmlns:a16="http://schemas.microsoft.com/office/drawing/2014/main" xmlns="" id="{00000000-0008-0000-0700-000005200000}"/>
            </a:ext>
          </a:extLst>
        </xdr:cNvPr>
        <xdr:cNvSpPr>
          <a:spLocks noChangeArrowheads="1"/>
        </xdr:cNvSpPr>
      </xdr:nvSpPr>
      <xdr:spPr bwMode="auto">
        <a:xfrm>
          <a:off x="3981450" y="144780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ATUALIZAR LINHAS</a:t>
          </a:r>
        </a:p>
      </xdr:txBody>
    </xdr:sp>
    <xdr:clientData fPrintsWithSheet="0"/>
  </xdr:twoCellAnchor>
  <xdr:twoCellAnchor>
    <xdr:from>
      <xdr:col>23</xdr:col>
      <xdr:colOff>109008</xdr:colOff>
      <xdr:row>8</xdr:row>
      <xdr:rowOff>93345</xdr:rowOff>
    </xdr:from>
    <xdr:to>
      <xdr:col>25</xdr:col>
      <xdr:colOff>80433</xdr:colOff>
      <xdr:row>10</xdr:row>
      <xdr:rowOff>76147</xdr:rowOff>
    </xdr:to>
    <xdr:sp macro="[0]!incluirpag" textlink="" fLocksText="0">
      <xdr:nvSpPr>
        <xdr:cNvPr id="8198" name="AutoShape 67">
          <a:extLst>
            <a:ext uri="{FF2B5EF4-FFF2-40B4-BE49-F238E27FC236}">
              <a16:creationId xmlns:a16="http://schemas.microsoft.com/office/drawing/2014/main" xmlns="" id="{00000000-0008-0000-0700-000006200000}"/>
            </a:ext>
          </a:extLst>
        </xdr:cNvPr>
        <xdr:cNvSpPr>
          <a:spLocks noChangeArrowheads="1"/>
        </xdr:cNvSpPr>
      </xdr:nvSpPr>
      <xdr:spPr bwMode="auto">
        <a:xfrm>
          <a:off x="13221758" y="1271058"/>
          <a:ext cx="1431925" cy="30797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ADIC. 12 PARCELAS</a:t>
          </a:r>
        </a:p>
      </xdr:txBody>
    </xdr:sp>
    <xdr:clientData fPrintsWithSheet="0"/>
  </xdr:twoCellAnchor>
  <xdr:twoCellAnchor>
    <xdr:from>
      <xdr:col>25</xdr:col>
      <xdr:colOff>137583</xdr:colOff>
      <xdr:row>8</xdr:row>
      <xdr:rowOff>93345</xdr:rowOff>
    </xdr:from>
    <xdr:to>
      <xdr:col>27</xdr:col>
      <xdr:colOff>99483</xdr:colOff>
      <xdr:row>10</xdr:row>
      <xdr:rowOff>76147</xdr:rowOff>
    </xdr:to>
    <xdr:sp macro="[0]!excluirpag" textlink="" fLocksText="0">
      <xdr:nvSpPr>
        <xdr:cNvPr id="8199" name="AutoShape 67">
          <a:extLst>
            <a:ext uri="{FF2B5EF4-FFF2-40B4-BE49-F238E27FC236}">
              <a16:creationId xmlns:a16="http://schemas.microsoft.com/office/drawing/2014/main" xmlns="" id="{00000000-0008-0000-0700-000007200000}"/>
            </a:ext>
          </a:extLst>
        </xdr:cNvPr>
        <xdr:cNvSpPr>
          <a:spLocks noChangeArrowheads="1"/>
        </xdr:cNvSpPr>
      </xdr:nvSpPr>
      <xdr:spPr bwMode="auto">
        <a:xfrm>
          <a:off x="14710833" y="1271058"/>
          <a:ext cx="1422400" cy="30797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EXC. 12 PARCELAS</a:t>
          </a:r>
        </a:p>
      </xdr:txBody>
    </xdr:sp>
    <xdr:clientData fPrintsWithSheet="0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272415</xdr:colOff>
      <xdr:row>10</xdr:row>
      <xdr:rowOff>228600</xdr:rowOff>
    </xdr:from>
    <xdr:to>
      <xdr:col>2</xdr:col>
      <xdr:colOff>417249</xdr:colOff>
      <xdr:row>10</xdr:row>
      <xdr:rowOff>542925</xdr:rowOff>
    </xdr:to>
    <xdr:sp macro="" textlink="" fLocksText="0">
      <xdr:nvSpPr>
        <xdr:cNvPr id="9218" name="AutoShape 6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800-000002240000}"/>
            </a:ext>
          </a:extLst>
        </xdr:cNvPr>
        <xdr:cNvSpPr>
          <a:spLocks noChangeArrowheads="1"/>
        </xdr:cNvSpPr>
      </xdr:nvSpPr>
      <xdr:spPr bwMode="auto">
        <a:xfrm>
          <a:off x="514350" y="1428750"/>
          <a:ext cx="695325" cy="314325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VOLTAR</a:t>
          </a:r>
        </a:p>
      </xdr:txBody>
    </xdr:sp>
    <xdr:clientData/>
  </xdr:twoCellAnchor>
  <xdr:twoCellAnchor>
    <xdr:from>
      <xdr:col>2</xdr:col>
      <xdr:colOff>613410</xdr:colOff>
      <xdr:row>10</xdr:row>
      <xdr:rowOff>238125</xdr:rowOff>
    </xdr:from>
    <xdr:to>
      <xdr:col>2</xdr:col>
      <xdr:colOff>2080159</xdr:colOff>
      <xdr:row>10</xdr:row>
      <xdr:rowOff>542925</xdr:rowOff>
    </xdr:to>
    <xdr:sp macro="[0]!CRONO.AtualizarLinhas" textlink="" fLocksText="0">
      <xdr:nvSpPr>
        <xdr:cNvPr id="9219" name="AutoShape 67">
          <a:extLst>
            <a:ext uri="{FF2B5EF4-FFF2-40B4-BE49-F238E27FC236}">
              <a16:creationId xmlns:a16="http://schemas.microsoft.com/office/drawing/2014/main" xmlns="" id="{00000000-0008-0000-0800-000003240000}"/>
            </a:ext>
          </a:extLst>
        </xdr:cNvPr>
        <xdr:cNvSpPr>
          <a:spLocks noChangeArrowheads="1"/>
        </xdr:cNvSpPr>
      </xdr:nvSpPr>
      <xdr:spPr bwMode="auto">
        <a:xfrm>
          <a:off x="1390650" y="1438275"/>
          <a:ext cx="1428750" cy="304800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ATUALIZAR LINHAS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137160</xdr:colOff>
      <xdr:row>3</xdr:row>
      <xdr:rowOff>182880</xdr:rowOff>
    </xdr:to>
    <xdr:pic>
      <xdr:nvPicPr>
        <xdr:cNvPr id="11144" name="Picture 2">
          <a:extLst>
            <a:ext uri="{FF2B5EF4-FFF2-40B4-BE49-F238E27FC236}">
              <a16:creationId xmlns:a16="http://schemas.microsoft.com/office/drawing/2014/main" xmlns="" id="{00000000-0008-0000-0900-0000882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1859280" cy="381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</xdr:col>
      <xdr:colOff>0</xdr:colOff>
      <xdr:row>7</xdr:row>
      <xdr:rowOff>147108</xdr:rowOff>
    </xdr:from>
    <xdr:to>
      <xdr:col>2</xdr:col>
      <xdr:colOff>28575</xdr:colOff>
      <xdr:row>9</xdr:row>
      <xdr:rowOff>109185</xdr:rowOff>
    </xdr:to>
    <xdr:sp macro="" textlink="" fLocksText="0">
      <xdr:nvSpPr>
        <xdr:cNvPr id="10243" name="AutoShape 6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900-000003280000}"/>
            </a:ext>
          </a:extLst>
        </xdr:cNvPr>
        <xdr:cNvSpPr>
          <a:spLocks noChangeArrowheads="1"/>
        </xdr:cNvSpPr>
      </xdr:nvSpPr>
      <xdr:spPr bwMode="auto">
        <a:xfrm>
          <a:off x="254000" y="1025525"/>
          <a:ext cx="568325" cy="314325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0</xdr:colOff>
          <xdr:row>8</xdr:row>
          <xdr:rowOff>9525</xdr:rowOff>
        </xdr:from>
        <xdr:to>
          <xdr:col>11</xdr:col>
          <xdr:colOff>209550</xdr:colOff>
          <xdr:row>9</xdr:row>
          <xdr:rowOff>0</xdr:rowOff>
        </xdr:to>
        <xdr:sp macro="" textlink="">
          <xdr:nvSpPr>
            <xdr:cNvPr id="10246" name="Botão de rotação 275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xmlns="" id="{00000000-0008-0000-09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xdr:twoCellAnchor>
    <xdr:from>
      <xdr:col>1</xdr:col>
      <xdr:colOff>0</xdr:colOff>
      <xdr:row>10</xdr:row>
      <xdr:rowOff>0</xdr:rowOff>
    </xdr:from>
    <xdr:to>
      <xdr:col>2</xdr:col>
      <xdr:colOff>31751</xdr:colOff>
      <xdr:row>10</xdr:row>
      <xdr:rowOff>302683</xdr:rowOff>
    </xdr:to>
    <xdr:sp macro="" textlink="" fLocksText="0">
      <xdr:nvSpPr>
        <xdr:cNvPr id="5" name="AutoShape 6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900-000005000000}"/>
            </a:ext>
          </a:extLst>
        </xdr:cNvPr>
        <xdr:cNvSpPr>
          <a:spLocks noChangeArrowheads="1"/>
        </xdr:cNvSpPr>
      </xdr:nvSpPr>
      <xdr:spPr bwMode="auto">
        <a:xfrm>
          <a:off x="254000" y="1397000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←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 fPrintsWithSheet="0"/>
  </xdr:twoCellAnchor>
  <xdr:twoCellAnchor>
    <xdr:from>
      <xdr:col>1</xdr:col>
      <xdr:colOff>0</xdr:colOff>
      <xdr:row>10</xdr:row>
      <xdr:rowOff>367453</xdr:rowOff>
    </xdr:from>
    <xdr:to>
      <xdr:col>2</xdr:col>
      <xdr:colOff>31751</xdr:colOff>
      <xdr:row>10</xdr:row>
      <xdr:rowOff>670136</xdr:rowOff>
    </xdr:to>
    <xdr:sp macro="" textlink="" fLocksText="0">
      <xdr:nvSpPr>
        <xdr:cNvPr id="6" name="AutoShape 6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0000000-0008-0000-0900-000006000000}"/>
            </a:ext>
          </a:extLst>
        </xdr:cNvPr>
        <xdr:cNvSpPr>
          <a:spLocks noChangeArrowheads="1"/>
        </xdr:cNvSpPr>
      </xdr:nvSpPr>
      <xdr:spPr bwMode="auto">
        <a:xfrm>
          <a:off x="254000" y="1756833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 fPrintsWithSheet="0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0</xdr:row>
      <xdr:rowOff>0</xdr:rowOff>
    </xdr:from>
    <xdr:to>
      <xdr:col>5</xdr:col>
      <xdr:colOff>114300</xdr:colOff>
      <xdr:row>0</xdr:row>
      <xdr:rowOff>381000</xdr:rowOff>
    </xdr:to>
    <xdr:pic>
      <xdr:nvPicPr>
        <xdr:cNvPr id="23044" name="Picture 2">
          <a:extLst>
            <a:ext uri="{FF2B5EF4-FFF2-40B4-BE49-F238E27FC236}">
              <a16:creationId xmlns:a16="http://schemas.microsoft.com/office/drawing/2014/main" xmlns="" id="{00000000-0008-0000-0A00-0000045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" y="0"/>
          <a:ext cx="1844040" cy="381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13</xdr:col>
      <xdr:colOff>116417</xdr:colOff>
      <xdr:row>7</xdr:row>
      <xdr:rowOff>140970</xdr:rowOff>
    </xdr:from>
    <xdr:to>
      <xdr:col>15</xdr:col>
      <xdr:colOff>2988</xdr:colOff>
      <xdr:row>10</xdr:row>
      <xdr:rowOff>148236</xdr:rowOff>
    </xdr:to>
    <xdr:sp macro="" textlink="" fLocksText="0">
      <xdr:nvSpPr>
        <xdr:cNvPr id="11268" name="AutoShape 317">
          <a:extLst>
            <a:ext uri="{FF2B5EF4-FFF2-40B4-BE49-F238E27FC236}">
              <a16:creationId xmlns:a16="http://schemas.microsoft.com/office/drawing/2014/main" xmlns="" id="{00000000-0008-0000-0A00-0000042C0000}"/>
            </a:ext>
          </a:extLst>
        </xdr:cNvPr>
        <xdr:cNvSpPr>
          <a:spLocks noChangeArrowheads="1"/>
        </xdr:cNvSpPr>
      </xdr:nvSpPr>
      <xdr:spPr bwMode="auto">
        <a:xfrm>
          <a:off x="12096750" y="1361017"/>
          <a:ext cx="2116667" cy="491066"/>
        </a:xfrm>
        <a:prstGeom prst="wedgeRectCallout">
          <a:avLst>
            <a:gd name="adj1" fmla="val 121111"/>
            <a:gd name="adj2" fmla="val 52440"/>
          </a:avLst>
        </a:prstGeom>
        <a:solidFill>
          <a:srgbClr val="FFFF99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2680" rIns="0" bIns="0" anchor="t"/>
        <a:lstStyle/>
        <a:p>
          <a:pPr algn="l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Para inclusão de metas de outras Plan. Mult., digite a descrição e valores manualmente ao lado.</a:t>
          </a:r>
        </a:p>
      </xdr:txBody>
    </xdr:sp>
    <xdr:clientData fPrintsWithSheet="0"/>
  </xdr:twoCellAnchor>
  <xdr:twoCellAnchor>
    <xdr:from>
      <xdr:col>3</xdr:col>
      <xdr:colOff>66675</xdr:colOff>
      <xdr:row>8</xdr:row>
      <xdr:rowOff>9525</xdr:rowOff>
    </xdr:from>
    <xdr:to>
      <xdr:col>4</xdr:col>
      <xdr:colOff>198145</xdr:colOff>
      <xdr:row>10</xdr:row>
      <xdr:rowOff>1059</xdr:rowOff>
    </xdr:to>
    <xdr:sp macro="" textlink="" fLocksText="0">
      <xdr:nvSpPr>
        <xdr:cNvPr id="11269" name="AutoShape 6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A00-0000052C0000}"/>
            </a:ext>
          </a:extLst>
        </xdr:cNvPr>
        <xdr:cNvSpPr>
          <a:spLocks noChangeArrowheads="1"/>
        </xdr:cNvSpPr>
      </xdr:nvSpPr>
      <xdr:spPr bwMode="auto">
        <a:xfrm>
          <a:off x="2066925" y="1419225"/>
          <a:ext cx="571500" cy="314325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 fPrintsWithSheet="0"/>
  </xdr:twoCellAnchor>
  <xdr:twoCellAnchor>
    <xdr:from>
      <xdr:col>4</xdr:col>
      <xdr:colOff>369570</xdr:colOff>
      <xdr:row>8</xdr:row>
      <xdr:rowOff>11430</xdr:rowOff>
    </xdr:from>
    <xdr:to>
      <xdr:col>5</xdr:col>
      <xdr:colOff>558186</xdr:colOff>
      <xdr:row>10</xdr:row>
      <xdr:rowOff>9710</xdr:rowOff>
    </xdr:to>
    <xdr:sp macro="[0]!Linhas.AddLinha" textlink="" fLocksText="0">
      <xdr:nvSpPr>
        <xdr:cNvPr id="11270" name="AutoShape 67">
          <a:extLst>
            <a:ext uri="{FF2B5EF4-FFF2-40B4-BE49-F238E27FC236}">
              <a16:creationId xmlns:a16="http://schemas.microsoft.com/office/drawing/2014/main" xmlns="" id="{00000000-0008-0000-0A00-0000062C0000}"/>
            </a:ext>
          </a:extLst>
        </xdr:cNvPr>
        <xdr:cNvSpPr>
          <a:spLocks noChangeArrowheads="1"/>
        </xdr:cNvSpPr>
      </xdr:nvSpPr>
      <xdr:spPr bwMode="auto">
        <a:xfrm>
          <a:off x="2809875" y="1428750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ADICIONAR LINHAS</a:t>
          </a:r>
        </a:p>
      </xdr:txBody>
    </xdr:sp>
    <xdr:clientData fPrintsWithSheet="0"/>
  </xdr:twoCellAnchor>
  <xdr:twoCellAnchor>
    <xdr:from>
      <xdr:col>5</xdr:col>
      <xdr:colOff>691515</xdr:colOff>
      <xdr:row>8</xdr:row>
      <xdr:rowOff>9525</xdr:rowOff>
    </xdr:from>
    <xdr:to>
      <xdr:col>6</xdr:col>
      <xdr:colOff>198119</xdr:colOff>
      <xdr:row>10</xdr:row>
      <xdr:rowOff>1059</xdr:rowOff>
    </xdr:to>
    <xdr:sp macro="[0]!Linhas.ExcLinhas" textlink="" fLocksText="0">
      <xdr:nvSpPr>
        <xdr:cNvPr id="11271" name="AutoShape 67">
          <a:extLst>
            <a:ext uri="{FF2B5EF4-FFF2-40B4-BE49-F238E27FC236}">
              <a16:creationId xmlns:a16="http://schemas.microsoft.com/office/drawing/2014/main" xmlns="" id="{00000000-0008-0000-0A00-0000072C0000}"/>
            </a:ext>
          </a:extLst>
        </xdr:cNvPr>
        <xdr:cNvSpPr>
          <a:spLocks noChangeArrowheads="1"/>
        </xdr:cNvSpPr>
      </xdr:nvSpPr>
      <xdr:spPr bwMode="auto">
        <a:xfrm>
          <a:off x="4371975" y="1419225"/>
          <a:ext cx="1428750" cy="31432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EXCLUIR LINHAS</a:t>
          </a:r>
        </a:p>
      </xdr:txBody>
    </xdr:sp>
    <xdr:clientData fPrintsWithSheet="0"/>
  </xdr:twoCellAnchor>
  <xdr:twoCellAnchor>
    <xdr:from>
      <xdr:col>7</xdr:col>
      <xdr:colOff>766657</xdr:colOff>
      <xdr:row>8</xdr:row>
      <xdr:rowOff>10583</xdr:rowOff>
    </xdr:from>
    <xdr:to>
      <xdr:col>9</xdr:col>
      <xdr:colOff>463768</xdr:colOff>
      <xdr:row>10</xdr:row>
      <xdr:rowOff>4233</xdr:rowOff>
    </xdr:to>
    <xdr:sp macro="[0]!cpQCItoCR" textlink="" fLocksText="0">
      <xdr:nvSpPr>
        <xdr:cNvPr id="7" name="AutoShape 67">
          <a:extLst>
            <a:ext uri="{FF2B5EF4-FFF2-40B4-BE49-F238E27FC236}">
              <a16:creationId xmlns:a16="http://schemas.microsoft.com/office/drawing/2014/main" xmlns="" id="{00000000-0008-0000-0A00-000007000000}"/>
            </a:ext>
          </a:extLst>
        </xdr:cNvPr>
        <xdr:cNvSpPr>
          <a:spLocks noChangeArrowheads="1"/>
        </xdr:cNvSpPr>
      </xdr:nvSpPr>
      <xdr:spPr bwMode="auto">
        <a:xfrm>
          <a:off x="6985000" y="1397000"/>
          <a:ext cx="1599141" cy="311150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CP QCI = CP CONTRATO</a:t>
          </a:r>
        </a:p>
      </xdr:txBody>
    </xdr:sp>
    <xdr:clientData fPrintsWithSheet="0"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1276350</xdr:colOff>
      <xdr:row>8</xdr:row>
      <xdr:rowOff>57150</xdr:rowOff>
    </xdr:from>
    <xdr:to>
      <xdr:col>12</xdr:col>
      <xdr:colOff>445815</xdr:colOff>
      <xdr:row>10</xdr:row>
      <xdr:rowOff>85725</xdr:rowOff>
    </xdr:to>
    <xdr:sp macro="" textlink="" fLocksText="0">
      <xdr:nvSpPr>
        <xdr:cNvPr id="12293" name="TextBoxArred">
          <a:extLst>
            <a:ext uri="{FF2B5EF4-FFF2-40B4-BE49-F238E27FC236}">
              <a16:creationId xmlns:a16="http://schemas.microsoft.com/office/drawing/2014/main" xmlns="" id="{00000000-0008-0000-0B00-000005300000}"/>
            </a:ext>
          </a:extLst>
        </xdr:cNvPr>
        <xdr:cNvSpPr txBox="1">
          <a:spLocks noChangeArrowheads="1"/>
        </xdr:cNvSpPr>
      </xdr:nvSpPr>
      <xdr:spPr bwMode="auto">
        <a:xfrm flipH="1">
          <a:off x="12411075" y="1314450"/>
          <a:ext cx="2790825" cy="352425"/>
        </a:xfrm>
        <a:prstGeom prst="rect">
          <a:avLst/>
        </a:prstGeom>
        <a:noFill/>
        <a:ln w="6480">
          <a:solidFill>
            <a:srgbClr val="000000"/>
          </a:solidFill>
          <a:miter lim="800000"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2680" rIns="27360" bIns="0" anchor="t"/>
        <a:lstStyle/>
        <a:p>
          <a:pPr algn="ctr" rtl="0">
            <a:defRPr sz="1000"/>
          </a:pPr>
          <a:r>
            <a:rPr lang="pt-BR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Considerar valores arredondados com (0,00)</a:t>
          </a:r>
        </a:p>
      </xdr:txBody>
    </xdr:sp>
    <xdr:clientData fPrintsWithSheet="0"/>
  </xdr:twoCellAnchor>
  <xdr:twoCellAnchor>
    <xdr:from>
      <xdr:col>3</xdr:col>
      <xdr:colOff>95250</xdr:colOff>
      <xdr:row>8</xdr:row>
      <xdr:rowOff>114300</xdr:rowOff>
    </xdr:from>
    <xdr:to>
      <xdr:col>3</xdr:col>
      <xdr:colOff>681990</xdr:colOff>
      <xdr:row>10</xdr:row>
      <xdr:rowOff>104775</xdr:rowOff>
    </xdr:to>
    <xdr:sp macro="" textlink="" fLocksText="0">
      <xdr:nvSpPr>
        <xdr:cNvPr id="12294" name="AutoShape 6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B00-000006300000}"/>
            </a:ext>
          </a:extLst>
        </xdr:cNvPr>
        <xdr:cNvSpPr>
          <a:spLocks noChangeArrowheads="1"/>
        </xdr:cNvSpPr>
      </xdr:nvSpPr>
      <xdr:spPr bwMode="auto">
        <a:xfrm>
          <a:off x="3895725" y="1371600"/>
          <a:ext cx="571500" cy="314325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219075</xdr:colOff>
          <xdr:row>9</xdr:row>
          <xdr:rowOff>47625</xdr:rowOff>
        </xdr:from>
        <xdr:to>
          <xdr:col>10</xdr:col>
          <xdr:colOff>523875</xdr:colOff>
          <xdr:row>10</xdr:row>
          <xdr:rowOff>114300</xdr:rowOff>
        </xdr:to>
        <xdr:sp macro="" textlink="">
          <xdr:nvSpPr>
            <xdr:cNvPr id="12295" name="CaixaArredMed" hidden="1">
              <a:extLst>
                <a:ext uri="{63B3BB69-23CF-44E3-9099-C40C66FF867C}">
                  <a14:compatExt spid="_x0000_s12295"/>
                </a:ext>
                <a:ext uri="{FF2B5EF4-FFF2-40B4-BE49-F238E27FC236}">
                  <a16:creationId xmlns:a16="http://schemas.microsoft.com/office/drawing/2014/main" xmlns="" id="{00000000-0008-0000-0B00-000007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28575</xdr:colOff>
          <xdr:row>6</xdr:row>
          <xdr:rowOff>123825</xdr:rowOff>
        </xdr:from>
        <xdr:to>
          <xdr:col>15</xdr:col>
          <xdr:colOff>266700</xdr:colOff>
          <xdr:row>8</xdr:row>
          <xdr:rowOff>0</xdr:rowOff>
        </xdr:to>
        <xdr:sp macro="" textlink="">
          <xdr:nvSpPr>
            <xdr:cNvPr id="12296" name="Botão de rotação 23" hidden="1">
              <a:extLst>
                <a:ext uri="{63B3BB69-23CF-44E3-9099-C40C66FF867C}">
                  <a14:compatExt spid="_x0000_s12296"/>
                </a:ext>
                <a:ext uri="{FF2B5EF4-FFF2-40B4-BE49-F238E27FC236}">
                  <a16:creationId xmlns:a16="http://schemas.microsoft.com/office/drawing/2014/main" xmlns="" id="{00000000-0008-0000-0B00-000008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xdr:twoCellAnchor>
    <xdr:from>
      <xdr:col>3</xdr:col>
      <xdr:colOff>22860</xdr:colOff>
      <xdr:row>0</xdr:row>
      <xdr:rowOff>15240</xdr:rowOff>
    </xdr:from>
    <xdr:to>
      <xdr:col>4</xdr:col>
      <xdr:colOff>1135380</xdr:colOff>
      <xdr:row>2</xdr:row>
      <xdr:rowOff>22860</xdr:rowOff>
    </xdr:to>
    <xdr:pic>
      <xdr:nvPicPr>
        <xdr:cNvPr id="22083" name="Picture 2">
          <a:extLst>
            <a:ext uri="{FF2B5EF4-FFF2-40B4-BE49-F238E27FC236}">
              <a16:creationId xmlns:a16="http://schemas.microsoft.com/office/drawing/2014/main" xmlns="" id="{00000000-0008-0000-0B00-0000435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15240"/>
          <a:ext cx="1844040" cy="39624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4</xdr:col>
      <xdr:colOff>794385</xdr:colOff>
      <xdr:row>8</xdr:row>
      <xdr:rowOff>112395</xdr:rowOff>
    </xdr:from>
    <xdr:to>
      <xdr:col>4</xdr:col>
      <xdr:colOff>2676525</xdr:colOff>
      <xdr:row>10</xdr:row>
      <xdr:rowOff>95412</xdr:rowOff>
    </xdr:to>
    <xdr:sp macro="[0]!BM.alternaModo" textlink="" fLocksText="0">
      <xdr:nvSpPr>
        <xdr:cNvPr id="12298" name="ShapeModoBM">
          <a:extLst>
            <a:ext uri="{FF2B5EF4-FFF2-40B4-BE49-F238E27FC236}">
              <a16:creationId xmlns:a16="http://schemas.microsoft.com/office/drawing/2014/main" xmlns="" id="{00000000-0008-0000-0B00-00000A300000}"/>
            </a:ext>
          </a:extLst>
        </xdr:cNvPr>
        <xdr:cNvSpPr>
          <a:spLocks noChangeArrowheads="1"/>
        </xdr:cNvSpPr>
      </xdr:nvSpPr>
      <xdr:spPr bwMode="auto">
        <a:xfrm>
          <a:off x="1734608" y="1343025"/>
          <a:ext cx="1828800" cy="307975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Habilitar Modo CAIXA</a:t>
          </a:r>
        </a:p>
      </xdr:txBody>
    </xdr:sp>
    <xdr:clientData fPrintsWithSheet="0"/>
  </xdr:twoCellAnchor>
  <xdr:twoCellAnchor>
    <xdr:from>
      <xdr:col>16</xdr:col>
      <xdr:colOff>0</xdr:colOff>
      <xdr:row>6</xdr:row>
      <xdr:rowOff>42333</xdr:rowOff>
    </xdr:from>
    <xdr:to>
      <xdr:col>16</xdr:col>
      <xdr:colOff>0</xdr:colOff>
      <xdr:row>9</xdr:row>
      <xdr:rowOff>102792</xdr:rowOff>
    </xdr:to>
    <xdr:sp macro="[0]!CopiarMedição" textlink="" fLocksText="0">
      <xdr:nvSpPr>
        <xdr:cNvPr id="8" name="ShapeCopiarMed">
          <a:extLst>
            <a:ext uri="{FF2B5EF4-FFF2-40B4-BE49-F238E27FC236}">
              <a16:creationId xmlns:a16="http://schemas.microsoft.com/office/drawing/2014/main" xmlns="" id="{00000000-0008-0000-0B00-000008000000}"/>
            </a:ext>
          </a:extLst>
        </xdr:cNvPr>
        <xdr:cNvSpPr>
          <a:spLocks noChangeArrowheads="1"/>
        </xdr:cNvSpPr>
      </xdr:nvSpPr>
      <xdr:spPr bwMode="auto">
        <a:xfrm>
          <a:off x="17187333" y="963083"/>
          <a:ext cx="709083" cy="529167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Copiar da Medição</a:t>
          </a:r>
        </a:p>
      </xdr:txBody>
    </xdr:sp>
    <xdr:clientData/>
  </xdr:twoCellAnchor>
  <xdr:twoCellAnchor>
    <xdr:from>
      <xdr:col>4</xdr:col>
      <xdr:colOff>63500</xdr:colOff>
      <xdr:row>8</xdr:row>
      <xdr:rowOff>116417</xdr:rowOff>
    </xdr:from>
    <xdr:to>
      <xdr:col>4</xdr:col>
      <xdr:colOff>650241</xdr:colOff>
      <xdr:row>10</xdr:row>
      <xdr:rowOff>101600</xdr:rowOff>
    </xdr:to>
    <xdr:sp macro="" textlink="" fLocksText="0">
      <xdr:nvSpPr>
        <xdr:cNvPr id="9" name="AutoShape 6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B00-000009000000}"/>
            </a:ext>
          </a:extLst>
        </xdr:cNvPr>
        <xdr:cNvSpPr>
          <a:spLocks noChangeArrowheads="1"/>
        </xdr:cNvSpPr>
      </xdr:nvSpPr>
      <xdr:spPr bwMode="auto">
        <a:xfrm>
          <a:off x="1026583" y="1354667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 fPrintsWithSheet="0"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5</xdr:col>
      <xdr:colOff>1386840</xdr:colOff>
      <xdr:row>0</xdr:row>
      <xdr:rowOff>381000</xdr:rowOff>
    </xdr:to>
    <xdr:pic>
      <xdr:nvPicPr>
        <xdr:cNvPr id="24595" name="Picture 2">
          <a:extLst>
            <a:ext uri="{FF2B5EF4-FFF2-40B4-BE49-F238E27FC236}">
              <a16:creationId xmlns:a16="http://schemas.microsoft.com/office/drawing/2014/main" xmlns="" id="{00000000-0008-0000-0C00-0000136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" y="0"/>
          <a:ext cx="1912620" cy="381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14</xdr:col>
      <xdr:colOff>102870</xdr:colOff>
      <xdr:row>7</xdr:row>
      <xdr:rowOff>160020</xdr:rowOff>
    </xdr:from>
    <xdr:to>
      <xdr:col>24</xdr:col>
      <xdr:colOff>169545</xdr:colOff>
      <xdr:row>10</xdr:row>
      <xdr:rowOff>49546</xdr:rowOff>
    </xdr:to>
    <xdr:sp macro="" textlink="" fLocksText="0">
      <xdr:nvSpPr>
        <xdr:cNvPr id="13317" name="AutoShape 317">
          <a:extLst>
            <a:ext uri="{FF2B5EF4-FFF2-40B4-BE49-F238E27FC236}">
              <a16:creationId xmlns:a16="http://schemas.microsoft.com/office/drawing/2014/main" xmlns="" id="{00000000-0008-0000-0C00-000005340000}"/>
            </a:ext>
          </a:extLst>
        </xdr:cNvPr>
        <xdr:cNvSpPr>
          <a:spLocks noChangeArrowheads="1"/>
        </xdr:cNvSpPr>
      </xdr:nvSpPr>
      <xdr:spPr bwMode="auto">
        <a:xfrm>
          <a:off x="10487025" y="1562100"/>
          <a:ext cx="2724150" cy="390525"/>
        </a:xfrm>
        <a:prstGeom prst="wedgeRectCallout">
          <a:avLst>
            <a:gd name="adj1" fmla="val 72181"/>
            <a:gd name="adj2" fmla="val 58333"/>
          </a:avLst>
        </a:prstGeom>
        <a:solidFill>
          <a:srgbClr val="FFFF99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2680" rIns="0" bIns="0" anchor="t"/>
        <a:lstStyle/>
        <a:p>
          <a:pPr algn="l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Para Metas preenchidas manualmente, digite o valor medido nas colunas à direita.</a:t>
          </a:r>
        </a:p>
      </xdr:txBody>
    </xdr:sp>
    <xdr:clientData fPrintsWithSheet="0"/>
  </xdr:twoCellAnchor>
  <xdr:twoCellAnchor>
    <xdr:from>
      <xdr:col>4</xdr:col>
      <xdr:colOff>85725</xdr:colOff>
      <xdr:row>8</xdr:row>
      <xdr:rowOff>28575</xdr:rowOff>
    </xdr:from>
    <xdr:to>
      <xdr:col>5</xdr:col>
      <xdr:colOff>142875</xdr:colOff>
      <xdr:row>10</xdr:row>
      <xdr:rowOff>11435</xdr:rowOff>
    </xdr:to>
    <xdr:sp macro="" textlink="" fLocksText="0">
      <xdr:nvSpPr>
        <xdr:cNvPr id="13318" name="AutoShape 6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C00-000006340000}"/>
            </a:ext>
          </a:extLst>
        </xdr:cNvPr>
        <xdr:cNvSpPr>
          <a:spLocks noChangeArrowheads="1"/>
        </xdr:cNvSpPr>
      </xdr:nvSpPr>
      <xdr:spPr bwMode="auto">
        <a:xfrm>
          <a:off x="333375" y="1600200"/>
          <a:ext cx="571500" cy="314325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 fPrintsWithSheet="0"/>
  </xdr:twoCellAnchor>
  <xdr:twoCellAnchor>
    <xdr:from>
      <xdr:col>5</xdr:col>
      <xdr:colOff>240453</xdr:colOff>
      <xdr:row>8</xdr:row>
      <xdr:rowOff>31750</xdr:rowOff>
    </xdr:from>
    <xdr:to>
      <xdr:col>5</xdr:col>
      <xdr:colOff>827194</xdr:colOff>
      <xdr:row>10</xdr:row>
      <xdr:rowOff>9447</xdr:rowOff>
    </xdr:to>
    <xdr:sp macro="" textlink="" fLocksText="0">
      <xdr:nvSpPr>
        <xdr:cNvPr id="5" name="AutoShape 6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C00-000005000000}"/>
            </a:ext>
          </a:extLst>
        </xdr:cNvPr>
        <xdr:cNvSpPr>
          <a:spLocks noChangeArrowheads="1"/>
        </xdr:cNvSpPr>
      </xdr:nvSpPr>
      <xdr:spPr bwMode="auto">
        <a:xfrm>
          <a:off x="994833" y="1587500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→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 fPrintsWithSheet="0"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459529</xdr:colOff>
      <xdr:row>1</xdr:row>
      <xdr:rowOff>64559</xdr:rowOff>
    </xdr:from>
    <xdr:to>
      <xdr:col>5</xdr:col>
      <xdr:colOff>486201</xdr:colOff>
      <xdr:row>2</xdr:row>
      <xdr:rowOff>208209</xdr:rowOff>
    </xdr:to>
    <xdr:sp macro="[0]!Plan12.InsereFigura" textlink="" fLocksText="0">
      <xdr:nvSpPr>
        <xdr:cNvPr id="14337" name="ShapeBrasao">
          <a:extLst>
            <a:ext uri="{FF2B5EF4-FFF2-40B4-BE49-F238E27FC236}">
              <a16:creationId xmlns:a16="http://schemas.microsoft.com/office/drawing/2014/main" xmlns="" id="{00000000-0008-0000-0D00-000001380000}"/>
            </a:ext>
          </a:extLst>
        </xdr:cNvPr>
        <xdr:cNvSpPr>
          <a:spLocks noChangeArrowheads="1"/>
        </xdr:cNvSpPr>
      </xdr:nvSpPr>
      <xdr:spPr bwMode="auto">
        <a:xfrm>
          <a:off x="3468159" y="223309"/>
          <a:ext cx="1405467" cy="302400"/>
        </a:xfrm>
        <a:prstGeom prst="roundRect">
          <a:avLst>
            <a:gd name="adj" fmla="val 16667"/>
          </a:avLst>
        </a:prstGeom>
        <a:solidFill>
          <a:srgbClr val="FFCC99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INSERIR BRASÃO</a:t>
          </a:r>
        </a:p>
      </xdr:txBody>
    </xdr:sp>
    <xdr:clientData fPrintsWithSheet="0"/>
  </xdr:twoCellAnchor>
  <xdr:twoCellAnchor>
    <xdr:from>
      <xdr:col>3</xdr:col>
      <xdr:colOff>596265</xdr:colOff>
      <xdr:row>1</xdr:row>
      <xdr:rowOff>66675</xdr:rowOff>
    </xdr:from>
    <xdr:to>
      <xdr:col>3</xdr:col>
      <xdr:colOff>1183005</xdr:colOff>
      <xdr:row>2</xdr:row>
      <xdr:rowOff>210325</xdr:rowOff>
    </xdr:to>
    <xdr:sp macro="" textlink="" fLocksText="0">
      <xdr:nvSpPr>
        <xdr:cNvPr id="14338" name="AutoShape 6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D00-000002380000}"/>
            </a:ext>
          </a:extLst>
        </xdr:cNvPr>
        <xdr:cNvSpPr>
          <a:spLocks noChangeArrowheads="1"/>
        </xdr:cNvSpPr>
      </xdr:nvSpPr>
      <xdr:spPr bwMode="auto">
        <a:xfrm>
          <a:off x="2210858" y="225425"/>
          <a:ext cx="571500" cy="302400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/>
            </a:rPr>
            <a:t>MENU</a:t>
          </a:r>
        </a:p>
      </xdr:txBody>
    </xdr:sp>
    <xdr:clientData fPrintsWithSheet="0"/>
  </xdr:twoCellAnchor>
  <xdr:twoCellAnchor>
    <xdr:from>
      <xdr:col>3</xdr:col>
      <xdr:colOff>1236981</xdr:colOff>
      <xdr:row>1</xdr:row>
      <xdr:rowOff>63499</xdr:rowOff>
    </xdr:from>
    <xdr:to>
      <xdr:col>4</xdr:col>
      <xdr:colOff>399026</xdr:colOff>
      <xdr:row>2</xdr:row>
      <xdr:rowOff>207432</xdr:rowOff>
    </xdr:to>
    <xdr:sp macro="" textlink="" fLocksText="0">
      <xdr:nvSpPr>
        <xdr:cNvPr id="4" name="AutoShape 67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0000000-0008-0000-0D00-000004000000}"/>
            </a:ext>
          </a:extLst>
        </xdr:cNvPr>
        <xdr:cNvSpPr>
          <a:spLocks noChangeArrowheads="1"/>
        </xdr:cNvSpPr>
      </xdr:nvSpPr>
      <xdr:spPr bwMode="auto">
        <a:xfrm>
          <a:off x="2836334" y="222249"/>
          <a:ext cx="571501" cy="302683"/>
        </a:xfrm>
        <a:prstGeom prst="roundRect">
          <a:avLst>
            <a:gd name="adj" fmla="val 16667"/>
          </a:avLst>
        </a:prstGeom>
        <a:solidFill>
          <a:srgbClr val="99CCFF"/>
        </a:solidFill>
        <a:ln w="9360">
          <a:solidFill>
            <a:srgbClr val="80808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360" tIns="27360" rIns="27360" bIns="27360" anchor="ctr"/>
        <a:lstStyle/>
        <a:p>
          <a:pPr algn="ctr" rtl="0">
            <a:defRPr sz="1000"/>
          </a:pPr>
          <a:r>
            <a:rPr lang="pt-BR" sz="1100" b="1" i="0" u="none" strike="noStrike" baseline="0">
              <a:solidFill>
                <a:srgbClr val="000000"/>
              </a:solidFill>
              <a:latin typeface="Calibri" panose="020F0502020204030204" pitchFamily="34" charset="0"/>
            </a:rPr>
            <a:t>←</a:t>
          </a:r>
          <a:endParaRPr lang="pt-BR" sz="11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9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Relationship Id="rId9" Type="http://schemas.openxmlformats.org/officeDocument/2006/relationships/comments" Target="../comments3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trlProp" Target="../ctrlProps/ctrlProp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5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6" Type="http://schemas.openxmlformats.org/officeDocument/2006/relationships/comments" Target="../comments6.xml"/><Relationship Id="rId5" Type="http://schemas.openxmlformats.org/officeDocument/2006/relationships/ctrlProp" Target="../ctrlProps/ctrlProp12.xml"/><Relationship Id="rId4" Type="http://schemas.openxmlformats.org/officeDocument/2006/relationships/ctrlProp" Target="../ctrlProps/ctrlProp1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7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5"/>
  <dimension ref="A1:O25"/>
  <sheetViews>
    <sheetView showGridLines="0" zoomScaleNormal="100" zoomScaleSheetLayoutView="85" workbookViewId="0">
      <selection activeCell="E6" sqref="E6"/>
    </sheetView>
  </sheetViews>
  <sheetFormatPr defaultRowHeight="12.75" x14ac:dyDescent="0.2"/>
  <cols>
    <col min="1" max="1" width="2.85546875" customWidth="1"/>
    <col min="2" max="2" width="5.7109375" customWidth="1"/>
    <col min="3" max="3" width="38.5703125" customWidth="1"/>
    <col min="4" max="4" width="5.7109375" customWidth="1"/>
    <col min="5" max="5" width="38.5703125" customWidth="1"/>
    <col min="6" max="6" width="5.7109375" customWidth="1"/>
    <col min="7" max="7" width="38.5703125" customWidth="1"/>
    <col min="8" max="8" width="5.7109375" customWidth="1"/>
    <col min="9" max="9" width="2.85546875" customWidth="1"/>
    <col min="10" max="10" width="19" customWidth="1"/>
    <col min="11" max="11" width="3" customWidth="1"/>
    <col min="13" max="13" width="1.5703125" customWidth="1"/>
    <col min="14" max="14" width="38.85546875" customWidth="1"/>
  </cols>
  <sheetData>
    <row r="1" spans="1:15" ht="15" customHeight="1" x14ac:dyDescent="0.2">
      <c r="A1" s="454"/>
      <c r="B1" s="454"/>
      <c r="C1" s="454"/>
      <c r="D1" s="454"/>
      <c r="E1" s="454"/>
      <c r="F1" s="454"/>
      <c r="G1" s="454"/>
      <c r="H1" s="454"/>
      <c r="I1" s="454"/>
      <c r="J1" t="s">
        <v>0</v>
      </c>
    </row>
    <row r="2" spans="1:15" ht="22.5" customHeight="1" x14ac:dyDescent="0.2">
      <c r="A2" s="454"/>
      <c r="B2" s="456"/>
      <c r="C2" s="456"/>
      <c r="D2" s="456"/>
      <c r="E2" s="577" t="str">
        <f>CHOOSE(MATCH(Objeto,{"PM","PO"}),"PLANILHA MÚLTIPLA ","PLANILHA ORÇAMENTÁRIA ")&amp; Versao</f>
        <v>PLANILHA MÚLTIPLA v3.0.6</v>
      </c>
      <c r="F2" s="577"/>
      <c r="G2" s="577"/>
      <c r="H2" s="458"/>
      <c r="I2" s="456"/>
      <c r="J2" t="s">
        <v>438</v>
      </c>
    </row>
    <row r="3" spans="1:15" ht="22.5" customHeight="1" x14ac:dyDescent="0.2">
      <c r="A3" s="454"/>
      <c r="B3" s="456"/>
      <c r="C3" s="456"/>
      <c r="D3" s="456"/>
      <c r="E3" s="577"/>
      <c r="F3" s="577"/>
      <c r="G3" s="577"/>
      <c r="H3" s="458"/>
      <c r="I3" s="456"/>
      <c r="O3" s="463">
        <v>1</v>
      </c>
    </row>
    <row r="4" spans="1:15" ht="17.100000000000001" customHeight="1" x14ac:dyDescent="0.2">
      <c r="A4" s="454"/>
      <c r="B4" s="456"/>
      <c r="C4" s="456"/>
      <c r="D4" s="456"/>
      <c r="E4" s="456"/>
      <c r="F4" s="457"/>
      <c r="G4" s="458"/>
      <c r="H4" s="458"/>
      <c r="I4" s="456"/>
      <c r="O4" s="463">
        <v>2</v>
      </c>
    </row>
    <row r="5" spans="1:15" ht="17.100000000000001" customHeight="1" thickBot="1" x14ac:dyDescent="0.25">
      <c r="A5" s="454"/>
      <c r="B5" s="456"/>
      <c r="C5" s="456"/>
      <c r="D5" s="456"/>
      <c r="E5" s="456"/>
      <c r="F5" s="457"/>
      <c r="G5" s="458"/>
      <c r="H5" s="458"/>
      <c r="I5" s="456"/>
      <c r="J5" s="481" t="s">
        <v>407</v>
      </c>
    </row>
    <row r="6" spans="1:15" ht="21" customHeight="1" thickBot="1" x14ac:dyDescent="0.25">
      <c r="A6" s="454"/>
      <c r="B6" s="454"/>
      <c r="C6" s="454"/>
      <c r="D6" s="454"/>
      <c r="E6" s="459" t="s">
        <v>400</v>
      </c>
      <c r="F6" s="455"/>
      <c r="G6" s="459" t="s">
        <v>401</v>
      </c>
      <c r="H6" s="454"/>
      <c r="I6" s="454"/>
      <c r="J6" s="481" t="s">
        <v>1</v>
      </c>
    </row>
    <row r="7" spans="1:15" x14ac:dyDescent="0.2">
      <c r="A7" s="454"/>
      <c r="B7" s="454"/>
      <c r="C7" s="454"/>
      <c r="D7" s="454"/>
      <c r="E7" s="454"/>
      <c r="F7" s="454"/>
      <c r="G7" s="454"/>
      <c r="H7" s="454"/>
      <c r="I7" s="454"/>
      <c r="J7" s="481" t="s">
        <v>364</v>
      </c>
      <c r="K7" s="471"/>
      <c r="L7" s="472"/>
      <c r="M7" s="472"/>
      <c r="N7" s="473"/>
    </row>
    <row r="8" spans="1:15" ht="21" customHeight="1" x14ac:dyDescent="0.2">
      <c r="A8" s="456"/>
      <c r="B8" s="576" t="str">
        <f>IF($O$3&lt;&gt;2,"DOCUMENTAÇÃO DA PROPOSTA","PROPOSTA: Para visualizar/preencher esta seção, altere o TIPO DE ORÇAMENTO para 'Proposto'")</f>
        <v>DOCUMENTAÇÃO DA PROPOSTA</v>
      </c>
      <c r="C8" s="576"/>
      <c r="D8" s="576"/>
      <c r="E8" s="576"/>
      <c r="F8" s="576"/>
      <c r="G8" s="576"/>
      <c r="H8" s="576"/>
      <c r="I8" s="454"/>
      <c r="J8" s="481" t="s">
        <v>4</v>
      </c>
      <c r="K8" s="474"/>
      <c r="L8" s="475" t="s">
        <v>402</v>
      </c>
      <c r="M8" s="475"/>
      <c r="N8" s="476"/>
    </row>
    <row r="9" spans="1:15" ht="13.5" thickBot="1" x14ac:dyDescent="0.25">
      <c r="A9" s="454"/>
      <c r="B9" s="454"/>
      <c r="C9" s="454"/>
      <c r="D9" s="454"/>
      <c r="E9" s="454"/>
      <c r="F9" s="454"/>
      <c r="G9" s="454"/>
      <c r="H9" s="454"/>
      <c r="I9" s="454"/>
      <c r="K9" s="474"/>
      <c r="L9" t="s">
        <v>405</v>
      </c>
      <c r="N9" s="476"/>
    </row>
    <row r="10" spans="1:15" ht="21" customHeight="1" thickBot="1" x14ac:dyDescent="0.25">
      <c r="A10" s="454"/>
      <c r="B10" s="454"/>
      <c r="C10" s="462" t="str">
        <f>IF(TIPOORCAMENTO&lt;&gt;"Proposto","","                    BDI                    ")</f>
        <v xml:space="preserve">                    BDI                    </v>
      </c>
      <c r="D10" s="455"/>
      <c r="E10" s="462" t="str">
        <f>IF(TIPOORCAMENTO&lt;&gt;"Proposto","","             ORÇAMENTO             ")</f>
        <v xml:space="preserve">             ORÇAMENTO             </v>
      </c>
      <c r="F10" s="455"/>
      <c r="G10" s="461" t="str">
        <f>IF(TIPOORCAMENTO&lt;&gt;"Proposto","","MEMÓRIA DE CÁLCULO / PLQ")</f>
        <v>MEMÓRIA DE CÁLCULO / PLQ</v>
      </c>
      <c r="H10" s="454"/>
      <c r="I10" s="454"/>
      <c r="K10" s="474"/>
      <c r="L10" s="5"/>
      <c r="M10" s="3"/>
      <c r="N10" s="477" t="s">
        <v>2</v>
      </c>
    </row>
    <row r="11" spans="1:15" ht="13.5" thickBot="1" x14ac:dyDescent="0.25">
      <c r="A11" s="454"/>
      <c r="B11" s="454"/>
      <c r="C11" s="455"/>
      <c r="D11" s="455"/>
      <c r="E11" s="455"/>
      <c r="F11" s="455"/>
      <c r="G11" s="455"/>
      <c r="H11" s="454"/>
      <c r="I11" s="454"/>
      <c r="K11" s="474"/>
      <c r="N11" s="476"/>
    </row>
    <row r="12" spans="1:15" ht="21" customHeight="1" thickBot="1" x14ac:dyDescent="0.25">
      <c r="A12" s="454"/>
      <c r="B12" s="454"/>
      <c r="C12" s="462" t="str">
        <f>IF(TIPOORCAMENTO&lt;&gt;"Proposto","","                    QCI                    ")</f>
        <v xml:space="preserve">                    QCI                    </v>
      </c>
      <c r="D12" s="455"/>
      <c r="E12" s="460" t="str">
        <f>IF(TIPOORCAMENTO&lt;&gt;"Proposto","","CRONOGRAMA FÍSICO-FINANCEIRO")</f>
        <v>CRONOGRAMA FÍSICO-FINANCEIRO</v>
      </c>
      <c r="F12" s="455"/>
      <c r="G12" s="455"/>
      <c r="H12" s="454"/>
      <c r="I12" s="454"/>
      <c r="K12" s="474"/>
      <c r="L12" s="6"/>
      <c r="M12" s="3"/>
      <c r="N12" s="477" t="s">
        <v>3</v>
      </c>
    </row>
    <row r="13" spans="1:15" x14ac:dyDescent="0.2">
      <c r="A13" s="454"/>
      <c r="B13" s="454"/>
      <c r="C13" s="454"/>
      <c r="D13" s="454"/>
      <c r="E13" s="454"/>
      <c r="F13" s="454"/>
      <c r="G13" s="454"/>
      <c r="H13" s="454"/>
      <c r="I13" s="454"/>
      <c r="K13" s="474"/>
      <c r="N13" s="476"/>
    </row>
    <row r="14" spans="1:15" x14ac:dyDescent="0.2">
      <c r="A14" s="454"/>
      <c r="B14" s="454"/>
      <c r="C14" s="454" t="str">
        <f ca="1">IF(TIPOORCAMENTO&lt;&gt;"Proposto","","Obs: Composições e Cotações devem ser preenchidas diretamente no arquivo Referência "&amp;IF(ISBLANK(Import.DataBase),"mm-aaaa",TEXT(Import.DataBase,"mm-aaaa"))&amp;".xlsm.")</f>
        <v>Obs: Composições e Cotações devem ser preenchidas diretamente no arquivo Referência 02-2025.xlsm.</v>
      </c>
      <c r="D14" s="454"/>
      <c r="E14" s="454"/>
      <c r="F14" s="454"/>
      <c r="G14" s="454"/>
      <c r="H14" s="454"/>
      <c r="I14" s="454"/>
      <c r="K14" s="474"/>
      <c r="N14" s="476"/>
    </row>
    <row r="15" spans="1:15" x14ac:dyDescent="0.2">
      <c r="A15" s="454"/>
      <c r="B15" s="454"/>
      <c r="C15" s="454"/>
      <c r="D15" s="454"/>
      <c r="E15" s="454"/>
      <c r="F15" s="454"/>
      <c r="G15" s="454"/>
      <c r="H15" s="454"/>
      <c r="I15" s="454"/>
      <c r="K15" s="474"/>
      <c r="L15" t="s">
        <v>406</v>
      </c>
      <c r="N15" s="476"/>
    </row>
    <row r="16" spans="1:15" ht="21" customHeight="1" x14ac:dyDescent="0.2">
      <c r="A16" s="454"/>
      <c r="B16" s="576" t="str">
        <f>IF($O$3&lt;&gt;2,"PÓS-LICITADO: Para visualizar/preencher esta seção, altere o TIPO DE ORÇAMENTO para 'Licitado'","RESULTADO DO PROCESSO LICITATÓRIO")</f>
        <v>PÓS-LICITADO: Para visualizar/preencher esta seção, altere o TIPO DE ORÇAMENTO para 'Licitado'</v>
      </c>
      <c r="C16" s="576"/>
      <c r="D16" s="576"/>
      <c r="E16" s="576"/>
      <c r="F16" s="576"/>
      <c r="G16" s="576"/>
      <c r="H16" s="576"/>
      <c r="I16" s="454"/>
      <c r="K16" s="474"/>
      <c r="L16" s="469"/>
      <c r="M16" s="3"/>
      <c r="N16" s="477" t="s">
        <v>403</v>
      </c>
    </row>
    <row r="17" spans="1:14" ht="13.5" thickBot="1" x14ac:dyDescent="0.25">
      <c r="A17" s="454"/>
      <c r="B17" s="454"/>
      <c r="C17" s="454"/>
      <c r="D17" s="454"/>
      <c r="E17" s="454"/>
      <c r="F17" s="454"/>
      <c r="G17" s="454"/>
      <c r="H17" s="454"/>
      <c r="I17" s="454"/>
      <c r="K17" s="474"/>
      <c r="N17" s="476"/>
    </row>
    <row r="18" spans="1:14" ht="21" customHeight="1" thickBot="1" x14ac:dyDescent="0.25">
      <c r="A18" s="454"/>
      <c r="B18" s="454"/>
      <c r="C18" s="465" t="str">
        <f>IF(TIPOORCAMENTO&lt;&gt;"Licitado","","             ORÇAMENTO             ")</f>
        <v/>
      </c>
      <c r="D18" s="455"/>
      <c r="E18" s="465" t="str">
        <f>IF(TIPOORCAMENTO&lt;&gt;"Licitado","","                    QCI                    ")</f>
        <v/>
      </c>
      <c r="F18" s="455"/>
      <c r="G18" s="464" t="str">
        <f>IF(TIPOORCAMENTO&lt;&gt;"Licitado","","CRONOGRAMA FÍSICO-FINANCEIRO")</f>
        <v/>
      </c>
      <c r="H18" s="454"/>
      <c r="I18" s="454"/>
      <c r="K18" s="474"/>
      <c r="L18" s="470"/>
      <c r="M18" s="3"/>
      <c r="N18" s="477" t="s">
        <v>404</v>
      </c>
    </row>
    <row r="19" spans="1:14" x14ac:dyDescent="0.2">
      <c r="A19" s="454"/>
      <c r="B19" s="454"/>
      <c r="C19" s="454"/>
      <c r="D19" s="454"/>
      <c r="E19" s="454"/>
      <c r="F19" s="454"/>
      <c r="G19" s="454"/>
      <c r="H19" s="454"/>
      <c r="I19" s="454"/>
      <c r="K19" s="478"/>
      <c r="L19" s="479"/>
      <c r="M19" s="479"/>
      <c r="N19" s="480"/>
    </row>
    <row r="20" spans="1:14" ht="21" customHeight="1" x14ac:dyDescent="0.2">
      <c r="A20" s="456"/>
      <c r="B20" s="576" t="str">
        <f>IF($O$3&lt;&gt;2,"ACOMPANHAMENTO: Para visualizar/preencher esta seção, altere o TIPO DE ORÇAMENTO para 'Licitado'","ACOMPANHAMENTO DO EMPREENDIMENTO")</f>
        <v>ACOMPANHAMENTO: Para visualizar/preencher esta seção, altere o TIPO DE ORÇAMENTO para 'Licitado'</v>
      </c>
      <c r="C20" s="576"/>
      <c r="D20" s="576"/>
      <c r="E20" s="576"/>
      <c r="F20" s="576"/>
      <c r="G20" s="576"/>
      <c r="H20" s="576"/>
      <c r="I20" s="454"/>
    </row>
    <row r="21" spans="1:14" ht="13.5" thickBot="1" x14ac:dyDescent="0.25">
      <c r="A21" s="454"/>
      <c r="B21" s="454"/>
      <c r="C21" s="454"/>
      <c r="D21" s="454"/>
      <c r="E21" s="454"/>
      <c r="F21" s="454"/>
      <c r="G21" s="454"/>
      <c r="H21" s="454"/>
      <c r="I21" s="454"/>
    </row>
    <row r="22" spans="1:14" ht="21" customHeight="1" thickBot="1" x14ac:dyDescent="0.25">
      <c r="A22" s="454"/>
      <c r="B22" s="454"/>
      <c r="C22" s="466" t="str">
        <f>IF(OR(TIPOORCAMENTO&lt;&gt;"Licitado",ACOMPANHAMENTO&lt;&gt;"PLE"),"","PLAN. DE LEVANT. DE EVENTOS - PLE")</f>
        <v/>
      </c>
      <c r="D22" s="455"/>
      <c r="E22" s="468" t="str">
        <f>IF(TIPOORCAMENTO&lt;&gt;"Licitado","","                    RRE                    ")</f>
        <v/>
      </c>
      <c r="F22" s="455"/>
      <c r="G22" s="467" t="str">
        <f>IF(OR(TIPOORCAMENTO&lt;&gt;"Licitado",ACOMPANHAMENTO&lt;&gt;"BM"),"","  BOLETIM DE MEDIÇÃO - BM  ")</f>
        <v/>
      </c>
      <c r="H22" s="454"/>
      <c r="I22" s="454"/>
    </row>
    <row r="23" spans="1:14" ht="13.5" thickBot="1" x14ac:dyDescent="0.25">
      <c r="A23" s="454"/>
      <c r="B23" s="454"/>
      <c r="C23" s="455"/>
      <c r="D23" s="455"/>
      <c r="E23" s="455"/>
      <c r="F23" s="455"/>
      <c r="G23" s="455"/>
      <c r="H23" s="454"/>
      <c r="I23" s="454"/>
    </row>
    <row r="24" spans="1:14" ht="21" customHeight="1" thickBot="1" x14ac:dyDescent="0.25">
      <c r="A24" s="454"/>
      <c r="B24" s="454"/>
      <c r="C24" s="455"/>
      <c r="D24" s="455"/>
      <c r="E24" s="466" t="str">
        <f>IF(TIPOORCAMENTO&lt;&gt;"Licitado","","OF. DE SOLICITAÇÃO DE DESBLOQUEIO")</f>
        <v/>
      </c>
      <c r="F24" s="455"/>
      <c r="G24" s="455"/>
      <c r="H24" s="454"/>
      <c r="I24" s="454"/>
    </row>
    <row r="25" spans="1:14" x14ac:dyDescent="0.2">
      <c r="A25" s="454"/>
      <c r="B25" s="454"/>
      <c r="C25" s="454"/>
      <c r="D25" s="454"/>
      <c r="E25" s="454"/>
      <c r="F25" s="454"/>
      <c r="G25" s="454"/>
      <c r="H25" s="454"/>
      <c r="I25" s="454"/>
    </row>
  </sheetData>
  <sheetProtection algorithmName="SHA-512" hashValue="ZjipzJCUXfwYqXUF6x0NfqaPBWuvxOmEo4vRftge9kCbaxrpLe9+32CGduu1xfYyUQMng6kGpu9qAuXFc1/wbg==" saltValue="FeCEYnS0C/1FDaKUcwwHFQ==" spinCount="100000" sheet="1" objects="1" scenarios="1" autoFilter="0"/>
  <mergeCells count="4">
    <mergeCell ref="B20:H20"/>
    <mergeCell ref="B8:H8"/>
    <mergeCell ref="E2:G3"/>
    <mergeCell ref="B16:H16"/>
  </mergeCells>
  <phoneticPr fontId="40" type="noConversion"/>
  <conditionalFormatting sqref="C10:G14">
    <cfRule type="expression" dxfId="2711" priority="70" stopIfTrue="1">
      <formula>TIPOORCAMENTO="Licitado"</formula>
    </cfRule>
  </conditionalFormatting>
  <conditionalFormatting sqref="C18:G18 E22:E24">
    <cfRule type="expression" dxfId="2710" priority="71" stopIfTrue="1">
      <formula>TIPOORCAMENTO&lt;&gt;"Licitado"</formula>
    </cfRule>
  </conditionalFormatting>
  <conditionalFormatting sqref="C22">
    <cfRule type="expression" dxfId="2709" priority="73" stopIfTrue="1">
      <formula>OR(TIPOORCAMENTO&lt;&gt;"Licitado",ACOMPANHAMENTO&lt;&gt;"PLE")</formula>
    </cfRule>
  </conditionalFormatting>
  <conditionalFormatting sqref="G22">
    <cfRule type="expression" dxfId="2708" priority="74" stopIfTrue="1">
      <formula>OR(TIPOORCAMENTO&lt;&gt;"Licitado",ACOMPANHAMENTO&lt;&gt;"BM")</formula>
    </cfRule>
  </conditionalFormatting>
  <conditionalFormatting sqref="B16:H16 B20:H20">
    <cfRule type="expression" dxfId="2707" priority="599" stopIfTrue="1">
      <formula>$O$3&lt;&gt;2</formula>
    </cfRule>
  </conditionalFormatting>
  <conditionalFormatting sqref="B8:H8">
    <cfRule type="expression" dxfId="2706" priority="601" stopIfTrue="1">
      <formula>$O$3&lt;&gt;1</formula>
    </cfRule>
  </conditionalFormatting>
  <hyperlinks>
    <hyperlink ref="E6" location="DADOS!E3" display="DADOS DO CONTRATO"/>
    <hyperlink ref="G6" location="Novo!A1" display="NOVIDADES DA VERSÃO"/>
    <hyperlink ref="C10" location="BDI!Q11" display="BDI!Q11"/>
    <hyperlink ref="E10" location="ORÇAMENTO!M13" display="ORÇAMENTO"/>
    <hyperlink ref="G10" location="CÁLCULO!D13" display="MEMÓRIA DE CÁLCULO / PLQ"/>
    <hyperlink ref="E12" location="CRONO!G12" display="CRONOGRAMA FÍSICO-FINANCEIRO"/>
    <hyperlink ref="C18" location="ORÇAMENTO!AM15" display="             ORÇAMENTO             "/>
    <hyperlink ref="E18" location="QCI!D13" display="                    QCI                    "/>
    <hyperlink ref="G18" location="CRONO!G12" display="CRONOGRAMA FÍSICO-FINANCEIRO"/>
    <hyperlink ref="C22" location="PLE!J8" display="PLAN. DE LEVANT. DE EVENTOS - PLE"/>
    <hyperlink ref="E22" location="RRE!E13" display="                    RRE                    "/>
    <hyperlink ref="G22" location="BM!D13" display="BM!D13"/>
    <hyperlink ref="E24" location="Ofício!C6" display="OF. DE SOLICITAÇÃO DE DESBLOQUEIO"/>
    <hyperlink ref="C12" location="QCI!D13" display="QCI!D13"/>
  </hyperlinks>
  <pageMargins left="0.78740157480314998" right="0.78740157480314998" top="0.78740157480314998" bottom="0.78740157480314998" header="5.7086614173228396" footer="0.59055118110236204"/>
  <pageSetup paperSize="9" scale="60" firstPageNumber="0" orientation="portrait" horizontalDpi="300" verticalDpi="300" r:id="rId1"/>
  <headerFooter alignWithMargins="0">
    <oddHeader>&amp;L_</oddHeader>
    <oddFooter>&amp;LPMv3.0.6&amp;R&amp;P / &amp;N</oddFooter>
  </headerFooter>
  <colBreaks count="1" manualBreakCount="1">
    <brk id="9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84" r:id="rId4" name="Group Box 24">
              <controlPr defaultSize="0" autoFill="0" autoPict="0">
                <anchor moveWithCells="1" sizeWithCells="1">
                  <from>
                    <xdr:col>2</xdr:col>
                    <xdr:colOff>1362075</xdr:colOff>
                    <xdr:row>4</xdr:row>
                    <xdr:rowOff>0</xdr:rowOff>
                  </from>
                  <to>
                    <xdr:col>3</xdr:col>
                    <xdr:colOff>19050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54" r:id="rId5" name="Drop Down 94">
              <controlPr defaultSize="0" autoLine="0" autoPict="0">
                <anchor moveWithCells="1" sizeWithCells="1">
                  <from>
                    <xdr:col>2</xdr:col>
                    <xdr:colOff>1485900</xdr:colOff>
                    <xdr:row>4</xdr:row>
                    <xdr:rowOff>161925</xdr:rowOff>
                  </from>
                  <to>
                    <xdr:col>2</xdr:col>
                    <xdr:colOff>2419350</xdr:colOff>
                    <xdr:row>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77" r:id="rId6" name="Group Box 17">
              <controlPr defaultSize="0" autoFill="0" autoPict="0" altText="Tipo de Orçamento          ">
                <anchor moveWithCells="1" sizeWithCells="1">
                  <from>
                    <xdr:col>2</xdr:col>
                    <xdr:colOff>9525</xdr:colOff>
                    <xdr:row>4</xdr:row>
                    <xdr:rowOff>0</xdr:rowOff>
                  </from>
                  <to>
                    <xdr:col>2</xdr:col>
                    <xdr:colOff>1266825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53" r:id="rId7" name="Drop Down 93">
              <controlPr defaultSize="0" autoLine="0" autoPict="0">
                <anchor moveWithCells="1" sizeWithCells="1">
                  <from>
                    <xdr:col>2</xdr:col>
                    <xdr:colOff>133350</xdr:colOff>
                    <xdr:row>4</xdr:row>
                    <xdr:rowOff>161925</xdr:rowOff>
                  </from>
                  <to>
                    <xdr:col>2</xdr:col>
                    <xdr:colOff>1114425</xdr:colOff>
                    <xdr:row>5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2">
    <pageSetUpPr fitToPage="1"/>
  </sheetPr>
  <dimension ref="E1:AR61"/>
  <sheetViews>
    <sheetView showGridLines="0" zoomScale="90" zoomScaleNormal="90" workbookViewId="0">
      <pane ySplit="2" topLeftCell="A3" activePane="bottomLeft" state="frozen"/>
      <selection pane="bottomLeft" activeCell="F20" sqref="F20"/>
    </sheetView>
  </sheetViews>
  <sheetFormatPr defaultRowHeight="12.75" x14ac:dyDescent="0.2"/>
  <cols>
    <col min="5" max="5" width="42.7109375" style="3" customWidth="1"/>
    <col min="6" max="6" width="53.28515625" style="3" customWidth="1"/>
    <col min="10" max="10" width="14.28515625" hidden="1" customWidth="1"/>
    <col min="11" max="13" width="0" hidden="1" customWidth="1"/>
    <col min="14" max="14" width="0" style="7" hidden="1" customWidth="1"/>
    <col min="15" max="44" width="0" hidden="1" customWidth="1"/>
  </cols>
  <sheetData>
    <row r="1" spans="5:44" ht="15.75" customHeight="1" x14ac:dyDescent="0.2">
      <c r="E1" s="8" t="s">
        <v>5</v>
      </c>
      <c r="K1" s="9"/>
      <c r="L1" s="579" t="s">
        <v>6</v>
      </c>
      <c r="M1" s="579"/>
      <c r="N1" s="579"/>
      <c r="O1" s="579"/>
      <c r="P1" s="579"/>
      <c r="Q1" s="579"/>
      <c r="R1" s="579"/>
      <c r="S1" s="579"/>
      <c r="T1" s="579"/>
      <c r="U1" s="579"/>
      <c r="V1" s="579"/>
      <c r="W1" s="579"/>
      <c r="X1" s="579"/>
      <c r="Y1" s="579"/>
      <c r="Z1" s="579"/>
      <c r="AA1" s="579"/>
      <c r="AB1" s="579"/>
      <c r="AC1" s="579"/>
      <c r="AD1" s="579"/>
      <c r="AE1" s="579"/>
      <c r="AF1" s="579"/>
      <c r="AG1" s="579"/>
      <c r="AH1" s="579"/>
      <c r="AI1" s="579"/>
      <c r="AJ1" s="579"/>
      <c r="AK1" s="579"/>
      <c r="AL1" s="579"/>
      <c r="AM1" s="579"/>
      <c r="AN1" s="579"/>
      <c r="AO1" s="579"/>
      <c r="AP1" s="579"/>
      <c r="AQ1" s="579"/>
      <c r="AR1" s="579"/>
    </row>
    <row r="2" spans="5:44" ht="12.75" customHeight="1" x14ac:dyDescent="0.2">
      <c r="E2" s="8"/>
      <c r="J2" s="10" t="s">
        <v>7</v>
      </c>
      <c r="K2" s="11" t="s">
        <v>8</v>
      </c>
      <c r="L2" s="12">
        <f>COUNTA(K:K)-1</f>
        <v>3</v>
      </c>
      <c r="M2" s="11" t="s">
        <v>9</v>
      </c>
      <c r="N2" s="12">
        <f>COUNTA(M:M)-1</f>
        <v>6</v>
      </c>
      <c r="O2" s="11" t="s">
        <v>10</v>
      </c>
      <c r="P2" s="12">
        <f>COUNTA(O:O)-1</f>
        <v>6</v>
      </c>
      <c r="Q2" s="11" t="s">
        <v>11</v>
      </c>
      <c r="R2" s="12">
        <f>COUNTA(Q:Q)-1</f>
        <v>6</v>
      </c>
      <c r="S2" s="11" t="s">
        <v>12</v>
      </c>
      <c r="T2" s="12">
        <f>COUNTA(S:S)-1</f>
        <v>11</v>
      </c>
      <c r="U2" s="11" t="s">
        <v>13</v>
      </c>
      <c r="V2" s="12">
        <f>COUNTA(U:U)-1</f>
        <v>8</v>
      </c>
      <c r="W2" s="11" t="s">
        <v>14</v>
      </c>
      <c r="X2" s="12">
        <f>COUNTA(W:W)-1</f>
        <v>4</v>
      </c>
      <c r="Y2" s="11" t="s">
        <v>15</v>
      </c>
      <c r="Z2" s="12">
        <f>COUNTA(Y:Y)-1</f>
        <v>6</v>
      </c>
      <c r="AA2" s="11" t="s">
        <v>16</v>
      </c>
      <c r="AB2" s="12">
        <f>COUNTA(AA:AA)-1</f>
        <v>2</v>
      </c>
      <c r="AC2" s="11" t="s">
        <v>17</v>
      </c>
      <c r="AD2" s="12">
        <f>COUNTA(AC:AC)-1</f>
        <v>2</v>
      </c>
      <c r="AE2" s="11" t="s">
        <v>18</v>
      </c>
      <c r="AF2" s="12">
        <f>COUNTA(AE:AE)-1</f>
        <v>2</v>
      </c>
      <c r="AG2" s="11" t="s">
        <v>19</v>
      </c>
      <c r="AH2" s="12">
        <f>COUNTA(AG:AG)-1</f>
        <v>1</v>
      </c>
      <c r="AI2" s="11" t="s">
        <v>20</v>
      </c>
      <c r="AJ2" s="12">
        <f>COUNTA(AI:AI)-1</f>
        <v>1</v>
      </c>
      <c r="AK2" s="11" t="s">
        <v>21</v>
      </c>
      <c r="AL2" s="12">
        <f>COUNTA(AK:AK)-1</f>
        <v>1</v>
      </c>
      <c r="AM2" s="11" t="s">
        <v>22</v>
      </c>
      <c r="AN2" s="12">
        <f>COUNTA(AM:AM)-1</f>
        <v>3</v>
      </c>
      <c r="AO2" s="11" t="s">
        <v>23</v>
      </c>
      <c r="AP2" s="12">
        <f>COUNTA(AO:AO)-1</f>
        <v>1</v>
      </c>
      <c r="AQ2" s="11" t="s">
        <v>24</v>
      </c>
      <c r="AR2" s="12">
        <f>COUNTA(AQ:AQ)-1</f>
        <v>4</v>
      </c>
    </row>
    <row r="3" spans="5:44" ht="15" x14ac:dyDescent="0.2">
      <c r="E3" s="578" t="s">
        <v>25</v>
      </c>
      <c r="F3" s="578"/>
      <c r="J3" s="13" t="s">
        <v>8</v>
      </c>
      <c r="K3" t="s">
        <v>26</v>
      </c>
      <c r="L3" s="7" t="s">
        <v>27</v>
      </c>
      <c r="M3" s="13" t="s">
        <v>28</v>
      </c>
      <c r="N3" s="7" t="s">
        <v>29</v>
      </c>
      <c r="O3" t="s">
        <v>30</v>
      </c>
      <c r="P3" s="7" t="s">
        <v>29</v>
      </c>
      <c r="Q3" t="s">
        <v>31</v>
      </c>
      <c r="R3" s="7" t="s">
        <v>32</v>
      </c>
      <c r="S3" t="s">
        <v>33</v>
      </c>
      <c r="T3" s="7" t="s">
        <v>34</v>
      </c>
      <c r="U3" t="s">
        <v>35</v>
      </c>
      <c r="V3" s="7" t="s">
        <v>27</v>
      </c>
      <c r="W3" t="s">
        <v>36</v>
      </c>
      <c r="X3" s="7" t="s">
        <v>27</v>
      </c>
      <c r="Y3" t="s">
        <v>37</v>
      </c>
      <c r="Z3" s="7" t="s">
        <v>27</v>
      </c>
      <c r="AA3" t="s">
        <v>38</v>
      </c>
      <c r="AB3" s="7" t="s">
        <v>29</v>
      </c>
      <c r="AC3" t="s">
        <v>39</v>
      </c>
      <c r="AD3" s="7" t="s">
        <v>29</v>
      </c>
      <c r="AE3" t="s">
        <v>18</v>
      </c>
      <c r="AF3" s="7" t="s">
        <v>29</v>
      </c>
      <c r="AG3" t="s">
        <v>19</v>
      </c>
      <c r="AH3" s="7" t="s">
        <v>27</v>
      </c>
      <c r="AI3" t="s">
        <v>20</v>
      </c>
      <c r="AJ3" s="7" t="s">
        <v>27</v>
      </c>
      <c r="AK3" t="s">
        <v>21</v>
      </c>
      <c r="AL3" s="7" t="s">
        <v>27</v>
      </c>
      <c r="AM3" t="s">
        <v>40</v>
      </c>
      <c r="AN3" s="7" t="s">
        <v>27</v>
      </c>
      <c r="AO3" t="s">
        <v>23</v>
      </c>
      <c r="AP3" s="7" t="s">
        <v>41</v>
      </c>
      <c r="AQ3" t="s">
        <v>42</v>
      </c>
      <c r="AR3" s="7" t="s">
        <v>43</v>
      </c>
    </row>
    <row r="4" spans="5:44" x14ac:dyDescent="0.2">
      <c r="E4" s="14" t="s">
        <v>44</v>
      </c>
      <c r="F4" s="15" t="s">
        <v>409</v>
      </c>
      <c r="J4" s="13" t="s">
        <v>9</v>
      </c>
      <c r="K4" t="s">
        <v>45</v>
      </c>
      <c r="L4" s="7" t="s">
        <v>27</v>
      </c>
      <c r="M4" t="s">
        <v>46</v>
      </c>
      <c r="N4" s="7" t="s">
        <v>29</v>
      </c>
      <c r="O4" t="s">
        <v>47</v>
      </c>
      <c r="P4" s="7" t="s">
        <v>29</v>
      </c>
      <c r="Q4" t="s">
        <v>48</v>
      </c>
      <c r="R4" s="7" t="s">
        <v>32</v>
      </c>
      <c r="S4" t="s">
        <v>49</v>
      </c>
      <c r="T4" s="7" t="s">
        <v>34</v>
      </c>
      <c r="U4" t="s">
        <v>50</v>
      </c>
      <c r="V4" s="7" t="s">
        <v>32</v>
      </c>
      <c r="W4" t="s">
        <v>51</v>
      </c>
      <c r="X4" s="7" t="s">
        <v>27</v>
      </c>
      <c r="Y4" t="s">
        <v>52</v>
      </c>
      <c r="Z4" s="7" t="s">
        <v>53</v>
      </c>
      <c r="AA4" t="s">
        <v>54</v>
      </c>
      <c r="AB4" s="7" t="s">
        <v>29</v>
      </c>
      <c r="AC4" t="s">
        <v>55</v>
      </c>
      <c r="AD4" s="7" t="s">
        <v>29</v>
      </c>
      <c r="AE4" t="s">
        <v>56</v>
      </c>
      <c r="AF4" s="7" t="s">
        <v>29</v>
      </c>
      <c r="AH4" s="7"/>
      <c r="AJ4" s="7"/>
      <c r="AL4" s="7"/>
      <c r="AM4" t="s">
        <v>57</v>
      </c>
      <c r="AN4" s="7" t="s">
        <v>27</v>
      </c>
      <c r="AQ4" t="s">
        <v>58</v>
      </c>
      <c r="AR4" s="7" t="s">
        <v>43</v>
      </c>
    </row>
    <row r="5" spans="5:44" x14ac:dyDescent="0.2">
      <c r="E5" s="16" t="s">
        <v>59</v>
      </c>
      <c r="F5" s="17" t="s">
        <v>884</v>
      </c>
      <c r="J5" s="13" t="s">
        <v>10</v>
      </c>
      <c r="K5" t="s">
        <v>60</v>
      </c>
      <c r="L5" s="7" t="s">
        <v>27</v>
      </c>
      <c r="M5" t="s">
        <v>61</v>
      </c>
      <c r="N5" s="7" t="s">
        <v>29</v>
      </c>
      <c r="O5" t="s">
        <v>62</v>
      </c>
      <c r="P5" s="7" t="s">
        <v>32</v>
      </c>
      <c r="Q5" t="s">
        <v>63</v>
      </c>
      <c r="R5" s="7" t="s">
        <v>32</v>
      </c>
      <c r="S5" t="s">
        <v>64</v>
      </c>
      <c r="T5" s="7" t="s">
        <v>34</v>
      </c>
      <c r="U5" t="s">
        <v>65</v>
      </c>
      <c r="V5" s="7" t="s">
        <v>32</v>
      </c>
      <c r="W5" t="s">
        <v>66</v>
      </c>
      <c r="X5" s="7" t="s">
        <v>32</v>
      </c>
      <c r="Y5" t="s">
        <v>67</v>
      </c>
      <c r="Z5" s="7" t="s">
        <v>53</v>
      </c>
      <c r="AB5" s="7"/>
      <c r="AD5" s="7"/>
      <c r="AF5" s="7"/>
      <c r="AH5" s="7"/>
      <c r="AJ5" s="7"/>
      <c r="AL5" s="7"/>
      <c r="AM5" t="s">
        <v>68</v>
      </c>
      <c r="AN5" s="7" t="s">
        <v>27</v>
      </c>
      <c r="AQ5" t="s">
        <v>69</v>
      </c>
      <c r="AR5" s="7" t="s">
        <v>43</v>
      </c>
    </row>
    <row r="6" spans="5:44" x14ac:dyDescent="0.2">
      <c r="E6" s="16" t="s">
        <v>70</v>
      </c>
      <c r="F6" s="17" t="s">
        <v>883</v>
      </c>
      <c r="J6" s="13" t="s">
        <v>11</v>
      </c>
      <c r="M6" t="s">
        <v>71</v>
      </c>
      <c r="N6" s="7" t="s">
        <v>29</v>
      </c>
      <c r="O6" t="s">
        <v>72</v>
      </c>
      <c r="P6" s="7" t="s">
        <v>29</v>
      </c>
      <c r="Q6" t="s">
        <v>73</v>
      </c>
      <c r="R6" s="7" t="s">
        <v>29</v>
      </c>
      <c r="S6" t="s">
        <v>74</v>
      </c>
      <c r="T6" s="7" t="s">
        <v>32</v>
      </c>
      <c r="U6" t="s">
        <v>75</v>
      </c>
      <c r="V6" s="7" t="s">
        <v>32</v>
      </c>
      <c r="W6" t="s">
        <v>76</v>
      </c>
      <c r="X6" s="7" t="s">
        <v>32</v>
      </c>
      <c r="Y6" t="s">
        <v>77</v>
      </c>
      <c r="Z6" s="7" t="s">
        <v>27</v>
      </c>
      <c r="AQ6" t="s">
        <v>78</v>
      </c>
      <c r="AR6" s="7" t="s">
        <v>43</v>
      </c>
    </row>
    <row r="7" spans="5:44" x14ac:dyDescent="0.2">
      <c r="E7" s="18" t="s">
        <v>79</v>
      </c>
      <c r="F7" s="19" t="s">
        <v>885</v>
      </c>
      <c r="J7" s="13" t="s">
        <v>12</v>
      </c>
      <c r="M7" t="s">
        <v>80</v>
      </c>
      <c r="N7" s="7" t="s">
        <v>29</v>
      </c>
      <c r="O7" t="s">
        <v>81</v>
      </c>
      <c r="P7" s="7" t="s">
        <v>29</v>
      </c>
      <c r="Q7" t="s">
        <v>82</v>
      </c>
      <c r="R7" s="7" t="s">
        <v>53</v>
      </c>
      <c r="S7" t="s">
        <v>83</v>
      </c>
      <c r="T7" s="7" t="s">
        <v>34</v>
      </c>
      <c r="U7" t="s">
        <v>84</v>
      </c>
      <c r="V7" s="7" t="s">
        <v>34</v>
      </c>
      <c r="Y7" t="s">
        <v>85</v>
      </c>
      <c r="Z7" s="7" t="s">
        <v>27</v>
      </c>
    </row>
    <row r="8" spans="5:44" x14ac:dyDescent="0.2">
      <c r="E8" s="18" t="s">
        <v>442</v>
      </c>
      <c r="F8" s="19" t="s">
        <v>886</v>
      </c>
      <c r="J8" s="13" t="s">
        <v>13</v>
      </c>
      <c r="M8" t="s">
        <v>86</v>
      </c>
      <c r="N8" s="7" t="s">
        <v>29</v>
      </c>
      <c r="O8" t="s">
        <v>87</v>
      </c>
      <c r="P8" s="7" t="s">
        <v>29</v>
      </c>
      <c r="Q8" t="s">
        <v>88</v>
      </c>
      <c r="R8" s="7" t="s">
        <v>34</v>
      </c>
      <c r="S8" t="s">
        <v>89</v>
      </c>
      <c r="T8" s="7" t="s">
        <v>34</v>
      </c>
      <c r="U8" t="s">
        <v>90</v>
      </c>
      <c r="V8" s="7" t="s">
        <v>34</v>
      </c>
      <c r="Y8" t="s">
        <v>91</v>
      </c>
      <c r="Z8" s="7" t="s">
        <v>29</v>
      </c>
    </row>
    <row r="9" spans="5:44" x14ac:dyDescent="0.2">
      <c r="E9" s="18" t="str">
        <f>IF(F4="FGTS","Valor de Financiamento Contratado (R$):","Valor do Repasse Contratado (R$):")</f>
        <v>Valor do Repasse Contratado (R$):</v>
      </c>
      <c r="F9" s="20">
        <v>5370972.0300000003</v>
      </c>
      <c r="J9" s="13" t="s">
        <v>14</v>
      </c>
      <c r="S9" t="s">
        <v>92</v>
      </c>
      <c r="T9" s="7" t="s">
        <v>32</v>
      </c>
      <c r="U9" t="s">
        <v>93</v>
      </c>
      <c r="V9" s="7" t="s">
        <v>34</v>
      </c>
    </row>
    <row r="10" spans="5:44" x14ac:dyDescent="0.2">
      <c r="E10" s="18" t="s">
        <v>94</v>
      </c>
      <c r="F10" s="20">
        <v>112471.6</v>
      </c>
      <c r="J10" s="13" t="s">
        <v>15</v>
      </c>
      <c r="S10" t="s">
        <v>95</v>
      </c>
      <c r="T10" s="7" t="s">
        <v>53</v>
      </c>
      <c r="U10" t="s">
        <v>96</v>
      </c>
      <c r="V10" s="7" t="s">
        <v>27</v>
      </c>
    </row>
    <row r="11" spans="5:44" x14ac:dyDescent="0.2">
      <c r="E11" s="18" t="s">
        <v>97</v>
      </c>
      <c r="F11" s="21">
        <v>1E-3</v>
      </c>
      <c r="J11" s="13" t="s">
        <v>16</v>
      </c>
      <c r="S11" t="s">
        <v>98</v>
      </c>
      <c r="T11" s="7" t="s">
        <v>32</v>
      </c>
    </row>
    <row r="12" spans="5:44" x14ac:dyDescent="0.2">
      <c r="E12" s="18" t="s">
        <v>99</v>
      </c>
      <c r="F12" s="20"/>
      <c r="J12" s="13" t="s">
        <v>17</v>
      </c>
      <c r="S12" t="s">
        <v>35</v>
      </c>
      <c r="T12" s="7" t="s">
        <v>27</v>
      </c>
    </row>
    <row r="13" spans="5:44" x14ac:dyDescent="0.2">
      <c r="E13" s="22" t="s">
        <v>100</v>
      </c>
      <c r="F13" s="23">
        <v>0.04</v>
      </c>
      <c r="J13" s="13" t="s">
        <v>18</v>
      </c>
      <c r="S13" t="s">
        <v>101</v>
      </c>
      <c r="T13" s="7" t="s">
        <v>32</v>
      </c>
    </row>
    <row r="14" spans="5:44" x14ac:dyDescent="0.2">
      <c r="F14" s="24"/>
      <c r="J14" s="13" t="s">
        <v>19</v>
      </c>
    </row>
    <row r="15" spans="5:44" ht="15" x14ac:dyDescent="0.2">
      <c r="E15" s="578" t="s">
        <v>102</v>
      </c>
      <c r="F15" s="578"/>
      <c r="J15" s="13" t="s">
        <v>20</v>
      </c>
    </row>
    <row r="16" spans="5:44" ht="25.5" x14ac:dyDescent="0.2">
      <c r="E16" s="25" t="s">
        <v>103</v>
      </c>
      <c r="F16" s="26" t="s">
        <v>888</v>
      </c>
      <c r="J16" s="13" t="s">
        <v>21</v>
      </c>
    </row>
    <row r="17" spans="5:10" ht="38.25" x14ac:dyDescent="0.2">
      <c r="E17" s="18" t="s">
        <v>104</v>
      </c>
      <c r="F17" s="27" t="s">
        <v>887</v>
      </c>
      <c r="J17" s="13" t="s">
        <v>22</v>
      </c>
    </row>
    <row r="18" spans="5:10" x14ac:dyDescent="0.2">
      <c r="E18" s="18" t="s">
        <v>105</v>
      </c>
      <c r="F18" s="28" t="s">
        <v>1023</v>
      </c>
      <c r="J18" s="13" t="s">
        <v>23</v>
      </c>
    </row>
    <row r="19" spans="5:10" x14ac:dyDescent="0.2">
      <c r="E19" s="29" t="s">
        <v>106</v>
      </c>
      <c r="F19" s="30">
        <v>45689</v>
      </c>
      <c r="J19" s="13" t="s">
        <v>24</v>
      </c>
    </row>
    <row r="20" spans="5:10" x14ac:dyDescent="0.2">
      <c r="F20" s="31"/>
      <c r="J20" s="13"/>
    </row>
    <row r="21" spans="5:10" ht="15" x14ac:dyDescent="0.2">
      <c r="E21" s="578" t="s">
        <v>107</v>
      </c>
      <c r="F21" s="578"/>
      <c r="J21" s="13"/>
    </row>
    <row r="22" spans="5:10" x14ac:dyDescent="0.2">
      <c r="E22" s="16" t="s">
        <v>108</v>
      </c>
      <c r="F22" s="32" t="s">
        <v>879</v>
      </c>
    </row>
    <row r="23" spans="5:10" x14ac:dyDescent="0.2">
      <c r="E23" s="18" t="s">
        <v>109</v>
      </c>
      <c r="F23" s="19" t="s">
        <v>880</v>
      </c>
    </row>
    <row r="24" spans="5:10" x14ac:dyDescent="0.2">
      <c r="E24" s="18" t="s">
        <v>110</v>
      </c>
      <c r="F24" s="19" t="s">
        <v>889</v>
      </c>
    </row>
    <row r="25" spans="5:10" x14ac:dyDescent="0.2">
      <c r="E25" s="22" t="s">
        <v>111</v>
      </c>
      <c r="F25" s="33">
        <f ca="1">TODAY()</f>
        <v>45922</v>
      </c>
    </row>
    <row r="27" spans="5:10" ht="15" x14ac:dyDescent="0.2">
      <c r="E27" s="578" t="s">
        <v>112</v>
      </c>
      <c r="F27" s="578"/>
    </row>
    <row r="28" spans="5:10" x14ac:dyDescent="0.2">
      <c r="E28" s="14" t="s">
        <v>108</v>
      </c>
      <c r="F28" s="34" t="s">
        <v>881</v>
      </c>
    </row>
    <row r="29" spans="5:10" x14ac:dyDescent="0.2">
      <c r="E29" s="22" t="s">
        <v>113</v>
      </c>
      <c r="F29" s="35" t="s">
        <v>882</v>
      </c>
    </row>
    <row r="30" spans="5:10" ht="16.5" thickBot="1" x14ac:dyDescent="0.25">
      <c r="E30" s="8"/>
    </row>
    <row r="31" spans="5:10" ht="13.5" thickBot="1" x14ac:dyDescent="0.25">
      <c r="E31" s="573" t="s">
        <v>439</v>
      </c>
      <c r="F31" s="574" t="s">
        <v>440</v>
      </c>
    </row>
    <row r="32" spans="5:10" ht="12.75" customHeight="1" x14ac:dyDescent="0.2">
      <c r="E32" s="8"/>
    </row>
    <row r="33" spans="5:6" ht="12.75" customHeight="1" x14ac:dyDescent="0.2">
      <c r="E33" s="8" t="s">
        <v>114</v>
      </c>
    </row>
    <row r="34" spans="5:6" ht="15.75" x14ac:dyDescent="0.2">
      <c r="E34" s="8"/>
    </row>
    <row r="35" spans="5:6" ht="12.75" customHeight="1" x14ac:dyDescent="0.2">
      <c r="E35" s="578" t="s">
        <v>115</v>
      </c>
      <c r="F35" s="578"/>
    </row>
    <row r="36" spans="5:6" x14ac:dyDescent="0.2">
      <c r="E36" s="14" t="s">
        <v>116</v>
      </c>
      <c r="F36" s="36"/>
    </row>
    <row r="37" spans="5:6" x14ac:dyDescent="0.2">
      <c r="E37" s="16" t="s">
        <v>117</v>
      </c>
      <c r="F37" s="17"/>
    </row>
    <row r="38" spans="5:6" x14ac:dyDescent="0.2">
      <c r="E38" s="18" t="s">
        <v>118</v>
      </c>
      <c r="F38" s="19"/>
    </row>
    <row r="39" spans="5:6" x14ac:dyDescent="0.2">
      <c r="E39" s="18" t="s">
        <v>119</v>
      </c>
      <c r="F39" s="19"/>
    </row>
    <row r="40" spans="5:6" x14ac:dyDescent="0.2">
      <c r="E40" s="18" t="s">
        <v>120</v>
      </c>
      <c r="F40" s="28" t="s">
        <v>409</v>
      </c>
    </row>
    <row r="41" spans="5:6" x14ac:dyDescent="0.2">
      <c r="E41" s="29" t="s">
        <v>121</v>
      </c>
      <c r="F41" s="37"/>
    </row>
    <row r="42" spans="5:6" ht="15.75" x14ac:dyDescent="0.2">
      <c r="E42" s="8"/>
    </row>
    <row r="43" spans="5:6" ht="12.75" customHeight="1" x14ac:dyDescent="0.2">
      <c r="E43" s="8"/>
    </row>
    <row r="44" spans="5:6" ht="12.75" customHeight="1" x14ac:dyDescent="0.2">
      <c r="E44" s="8" t="s">
        <v>122</v>
      </c>
    </row>
    <row r="45" spans="5:6" ht="15.75" x14ac:dyDescent="0.2">
      <c r="E45" s="8"/>
    </row>
    <row r="46" spans="5:6" ht="12.75" customHeight="1" x14ac:dyDescent="0.2">
      <c r="E46" s="578" t="s">
        <v>123</v>
      </c>
      <c r="F46" s="578"/>
    </row>
    <row r="47" spans="5:6" x14ac:dyDescent="0.2">
      <c r="E47" s="14" t="s">
        <v>124</v>
      </c>
      <c r="F47" s="36"/>
    </row>
    <row r="48" spans="5:6" x14ac:dyDescent="0.2">
      <c r="E48" s="29" t="s">
        <v>125</v>
      </c>
      <c r="F48" s="38">
        <f ca="1">TODAY()</f>
        <v>45922</v>
      </c>
    </row>
    <row r="49" spans="5:6" ht="15.75" x14ac:dyDescent="0.2">
      <c r="E49" s="8"/>
    </row>
    <row r="50" spans="5:6" ht="12.75" customHeight="1" x14ac:dyDescent="0.2">
      <c r="E50" s="578" t="s">
        <v>126</v>
      </c>
      <c r="F50" s="578"/>
    </row>
    <row r="51" spans="5:6" x14ac:dyDescent="0.2">
      <c r="E51" s="14" t="s">
        <v>108</v>
      </c>
      <c r="F51" s="39"/>
    </row>
    <row r="52" spans="5:6" x14ac:dyDescent="0.2">
      <c r="E52" s="18" t="s">
        <v>127</v>
      </c>
      <c r="F52" s="19"/>
    </row>
    <row r="53" spans="5:6" x14ac:dyDescent="0.2">
      <c r="E53" s="18" t="s">
        <v>128</v>
      </c>
      <c r="F53" s="19"/>
    </row>
    <row r="54" spans="5:6" x14ac:dyDescent="0.2">
      <c r="E54" s="22" t="s">
        <v>129</v>
      </c>
      <c r="F54" s="40"/>
    </row>
    <row r="55" spans="5:6" x14ac:dyDescent="0.2">
      <c r="F55" s="31"/>
    </row>
    <row r="57" spans="5:6" ht="15.75" x14ac:dyDescent="0.2">
      <c r="E57" s="8" t="s">
        <v>130</v>
      </c>
    </row>
    <row r="58" spans="5:6" ht="16.5" thickBot="1" x14ac:dyDescent="0.25">
      <c r="E58" s="8"/>
    </row>
    <row r="59" spans="5:6" ht="15.75" thickBot="1" x14ac:dyDescent="0.25">
      <c r="E59" s="578" t="s">
        <v>131</v>
      </c>
      <c r="F59" s="578"/>
    </row>
    <row r="60" spans="5:6" x14ac:dyDescent="0.2">
      <c r="E60" s="14" t="s">
        <v>108</v>
      </c>
      <c r="F60" s="39"/>
    </row>
    <row r="61" spans="5:6" ht="13.5" thickBot="1" x14ac:dyDescent="0.25">
      <c r="E61" s="29" t="s">
        <v>132</v>
      </c>
      <c r="F61" s="41"/>
    </row>
  </sheetData>
  <sheetProtection algorithmName="SHA-512" hashValue="qhS/ShjVl0+iA4u/StJPADXZyyqWi5zwH0VBtDEuJX/uBAKcz7JKS5I8lzesfnvIOedvcSZU9CgCLO5EWPt0UQ==" saltValue="rK4r+LATfY57KJ9egRg7Kg==" spinCount="100000" sheet="1" objects="1" scenarios="1" autoFilter="0"/>
  <mergeCells count="9">
    <mergeCell ref="E50:F50"/>
    <mergeCell ref="E59:F59"/>
    <mergeCell ref="L1:AR1"/>
    <mergeCell ref="E3:F3"/>
    <mergeCell ref="E15:F15"/>
    <mergeCell ref="E21:F21"/>
    <mergeCell ref="E27:F27"/>
    <mergeCell ref="E35:F35"/>
    <mergeCell ref="E46:F46"/>
  </mergeCells>
  <phoneticPr fontId="40" type="noConversion"/>
  <conditionalFormatting sqref="E57:F58">
    <cfRule type="expression" dxfId="2705" priority="2" stopIfTrue="1">
      <formula>CAIXA.Modo=FALSE</formula>
    </cfRule>
  </conditionalFormatting>
  <conditionalFormatting sqref="E59:F61">
    <cfRule type="expression" dxfId="2704" priority="3" stopIfTrue="1">
      <formula>CAIXA.Modo=FALSE</formula>
    </cfRule>
  </conditionalFormatting>
  <dataValidations count="7">
    <dataValidation type="date" allowBlank="1" showErrorMessage="1" errorTitle="Dados inválidos" error="Digite somente datas válidas no formato mm/aaaa." sqref="F19 F25 F36 F41 F47:F48">
      <formula1>36526</formula1>
      <formula2>72686</formula2>
    </dataValidation>
    <dataValidation type="list" allowBlank="1" showErrorMessage="1" sqref="F18">
      <formula1>"(SELECIONAR),NÃO SE APLICA,DESONERADO,NÃO DESONERADO"</formula1>
      <formula2>0</formula2>
    </dataValidation>
    <dataValidation type="decimal" allowBlank="1" showErrorMessage="1" error="Digite um valor em percentual._x000a__x000a_Ou seja um valor de 0% (zero) até 100% (cem). " sqref="F11 F13:F14">
      <formula1>0</formula1>
      <formula2>1</formula2>
    </dataValidation>
    <dataValidation type="list" allowBlank="1" showErrorMessage="1" sqref="F4">
      <formula1>"(SELECIONAR),OGU,FGTS"</formula1>
      <formula2>0</formula2>
    </dataValidation>
    <dataValidation type="decimal" operator="greaterThan" allowBlank="1" showErrorMessage="1" error="Digite um valor maior do que 0." sqref="F12">
      <formula1>0</formula1>
      <formula2>0</formula2>
    </dataValidation>
    <dataValidation type="list" allowBlank="1" showErrorMessage="1" sqref="F40">
      <formula1>"(SELECIONAR),INDEFINIDO / NÃO SE APLICA,EMPREITADA POR PREÇO GLOBAL,EMPREITADA POR PREÇO UNITÁRIO,EMPREITADA INTEGRAL,TAREFA,CONTRATAÇÃO INTEGRADA,ADM. DIRETA"</formula1>
      <formula2>0</formula2>
    </dataValidation>
    <dataValidation type="list" allowBlank="1" showErrorMessage="1" sqref="F31">
      <formula1>"Tradicional,TransfereGOV"</formula1>
    </dataValidation>
  </dataValidations>
  <pageMargins left="0.78740157480314998" right="0.78740157480314998" top="0.78740157480314998" bottom="0.78740157480314998" header="5.7086614173228396" footer="0.59055118110236204"/>
  <pageSetup paperSize="9" scale="66" firstPageNumber="0" fitToHeight="0" orientation="portrait" horizontalDpi="300" verticalDpi="300" r:id="rId1"/>
  <headerFooter alignWithMargins="0">
    <oddHeader>&amp;L_</oddHeader>
    <oddFooter>&amp;LPMv3.0.6&amp;R&amp;P / &amp;N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3:E52"/>
  <sheetViews>
    <sheetView showGridLines="0" zoomScale="90" zoomScaleNormal="90" workbookViewId="0">
      <pane ySplit="3" topLeftCell="A4" activePane="bottomLeft" state="frozen"/>
      <selection pane="bottomLeft"/>
    </sheetView>
  </sheetViews>
  <sheetFormatPr defaultRowHeight="12.75" x14ac:dyDescent="0.2"/>
  <cols>
    <col min="1" max="1" width="8.7109375" customWidth="1"/>
    <col min="2" max="2" width="5.7109375" customWidth="1"/>
    <col min="3" max="3" width="3.7109375" customWidth="1"/>
  </cols>
  <sheetData>
    <row r="3" spans="1:4" ht="36.75" customHeight="1" x14ac:dyDescent="0.35">
      <c r="B3" s="42" t="s">
        <v>133</v>
      </c>
    </row>
    <row r="5" spans="1:4" ht="18.75" x14ac:dyDescent="0.3">
      <c r="A5" s="43"/>
      <c r="B5" s="44"/>
      <c r="C5" s="44"/>
      <c r="D5" s="45"/>
    </row>
    <row r="6" spans="1:4" ht="18.75" x14ac:dyDescent="0.3">
      <c r="A6" s="46" t="s">
        <v>134</v>
      </c>
      <c r="B6" s="47"/>
      <c r="C6" s="47"/>
      <c r="D6" s="3"/>
    </row>
    <row r="7" spans="1:4" ht="15" x14ac:dyDescent="0.25">
      <c r="A7" s="4"/>
      <c r="B7" s="48" t="s">
        <v>135</v>
      </c>
      <c r="C7" s="48"/>
      <c r="D7" s="3"/>
    </row>
    <row r="8" spans="1:4" ht="15" x14ac:dyDescent="0.25">
      <c r="A8" s="4"/>
      <c r="B8" s="48"/>
      <c r="C8" s="49" t="str">
        <f>IF(D8&lt;&gt;"","▪","")</f>
        <v>▪</v>
      </c>
      <c r="D8" s="3" t="s">
        <v>136</v>
      </c>
    </row>
    <row r="9" spans="1:4" ht="15" x14ac:dyDescent="0.25">
      <c r="A9" s="4"/>
      <c r="B9" s="48"/>
      <c r="C9" s="49" t="str">
        <f>IF(D9&lt;&gt;"","▪","")</f>
        <v/>
      </c>
      <c r="D9" s="3"/>
    </row>
    <row r="10" spans="1:4" ht="18.75" x14ac:dyDescent="0.3">
      <c r="A10" s="563" t="s">
        <v>412</v>
      </c>
      <c r="B10" s="564"/>
      <c r="C10" s="564"/>
      <c r="D10" s="565"/>
    </row>
    <row r="11" spans="1:4" ht="15" x14ac:dyDescent="0.25">
      <c r="A11" s="4"/>
      <c r="B11" s="48" t="s">
        <v>135</v>
      </c>
      <c r="C11" s="48"/>
      <c r="D11" s="3"/>
    </row>
    <row r="12" spans="1:4" ht="15" x14ac:dyDescent="0.25">
      <c r="A12" s="4"/>
      <c r="B12" s="48"/>
      <c r="C12" s="49" t="str">
        <f>IF(D12&lt;&gt;"","▪","")</f>
        <v>▪</v>
      </c>
      <c r="D12" s="3" t="s">
        <v>415</v>
      </c>
    </row>
    <row r="13" spans="1:4" ht="15" x14ac:dyDescent="0.25">
      <c r="A13" s="4"/>
      <c r="B13" s="48" t="s">
        <v>413</v>
      </c>
      <c r="C13" s="48"/>
      <c r="D13" s="3"/>
    </row>
    <row r="14" spans="1:4" ht="15" x14ac:dyDescent="0.25">
      <c r="A14" s="476"/>
      <c r="B14" s="48"/>
      <c r="C14" s="49" t="str">
        <f>IF(D14&lt;&gt;"","▪","")</f>
        <v>▪</v>
      </c>
      <c r="D14" s="3" t="s">
        <v>416</v>
      </c>
    </row>
    <row r="15" spans="1:4" ht="15" x14ac:dyDescent="0.2">
      <c r="A15" s="476"/>
      <c r="C15" s="49" t="str">
        <f>IF(D15&lt;&gt;"","▪","")</f>
        <v>▪</v>
      </c>
      <c r="D15" s="3" t="s">
        <v>417</v>
      </c>
    </row>
    <row r="16" spans="1:4" x14ac:dyDescent="0.2">
      <c r="A16" s="480"/>
    </row>
    <row r="17" spans="1:4" ht="18.75" x14ac:dyDescent="0.3">
      <c r="A17" s="563" t="s">
        <v>419</v>
      </c>
      <c r="B17" s="564"/>
      <c r="C17" s="564"/>
      <c r="D17" s="565"/>
    </row>
    <row r="18" spans="1:4" ht="15" x14ac:dyDescent="0.25">
      <c r="A18" s="4"/>
      <c r="B18" s="48" t="s">
        <v>135</v>
      </c>
      <c r="C18" s="48"/>
      <c r="D18" s="3"/>
    </row>
    <row r="19" spans="1:4" ht="15" x14ac:dyDescent="0.25">
      <c r="A19" s="4"/>
      <c r="B19" s="48"/>
      <c r="C19" s="49" t="str">
        <f>IF(D19&lt;&gt;"","▪","")</f>
        <v>▪</v>
      </c>
      <c r="D19" s="3" t="s">
        <v>415</v>
      </c>
    </row>
    <row r="20" spans="1:4" ht="15" x14ac:dyDescent="0.25">
      <c r="A20" s="4"/>
      <c r="B20" s="48"/>
      <c r="C20" s="49" t="str">
        <f>IF(D20&lt;&gt;"","▪","")</f>
        <v>▪</v>
      </c>
      <c r="D20" s="3" t="s">
        <v>428</v>
      </c>
    </row>
    <row r="21" spans="1:4" ht="15" x14ac:dyDescent="0.25">
      <c r="A21" s="476"/>
      <c r="B21" s="48" t="s">
        <v>426</v>
      </c>
      <c r="C21" s="48"/>
      <c r="D21" s="3"/>
    </row>
    <row r="22" spans="1:4" ht="15" x14ac:dyDescent="0.25">
      <c r="A22" s="476"/>
      <c r="B22" s="48"/>
      <c r="C22" s="49" t="str">
        <f>IF(D22&lt;&gt;"","▪","")</f>
        <v>▪</v>
      </c>
      <c r="D22" s="3" t="s">
        <v>427</v>
      </c>
    </row>
    <row r="23" spans="1:4" ht="15" x14ac:dyDescent="0.25">
      <c r="A23" s="476"/>
      <c r="B23" s="48" t="s">
        <v>420</v>
      </c>
      <c r="C23" s="48"/>
      <c r="D23" s="3"/>
    </row>
    <row r="24" spans="1:4" ht="15" x14ac:dyDescent="0.25">
      <c r="A24" s="476"/>
      <c r="B24" s="48"/>
      <c r="C24" s="49" t="str">
        <f>IF(D24&lt;&gt;"","▪","")</f>
        <v>▪</v>
      </c>
      <c r="D24" s="3" t="s">
        <v>424</v>
      </c>
    </row>
    <row r="25" spans="1:4" ht="15" x14ac:dyDescent="0.25">
      <c r="A25" s="476"/>
      <c r="B25" s="48" t="s">
        <v>421</v>
      </c>
      <c r="C25" s="48"/>
      <c r="D25" s="3"/>
    </row>
    <row r="26" spans="1:4" ht="15" x14ac:dyDescent="0.25">
      <c r="A26" s="476"/>
      <c r="B26" s="48"/>
      <c r="C26" s="49" t="str">
        <f>IF(D26&lt;&gt;"","▪","")</f>
        <v>▪</v>
      </c>
      <c r="D26" s="3" t="s">
        <v>423</v>
      </c>
    </row>
    <row r="27" spans="1:4" ht="15" x14ac:dyDescent="0.25">
      <c r="A27" s="476"/>
      <c r="B27" s="48" t="s">
        <v>425</v>
      </c>
      <c r="C27" s="48"/>
      <c r="D27" s="3"/>
    </row>
    <row r="28" spans="1:4" ht="15" x14ac:dyDescent="0.25">
      <c r="A28" s="476"/>
      <c r="B28" s="48"/>
      <c r="C28" s="49" t="str">
        <f>IF(D28&lt;&gt;"","▪","")</f>
        <v>▪</v>
      </c>
      <c r="D28" s="3" t="s">
        <v>422</v>
      </c>
    </row>
    <row r="29" spans="1:4" x14ac:dyDescent="0.2">
      <c r="A29" s="480"/>
    </row>
    <row r="30" spans="1:4" ht="18.75" x14ac:dyDescent="0.3">
      <c r="A30" s="563" t="s">
        <v>429</v>
      </c>
      <c r="B30" s="564"/>
      <c r="C30" s="564"/>
      <c r="D30" s="565"/>
    </row>
    <row r="31" spans="1:4" ht="15" x14ac:dyDescent="0.25">
      <c r="A31" s="4"/>
      <c r="B31" s="48" t="s">
        <v>135</v>
      </c>
      <c r="C31" s="48"/>
      <c r="D31" s="3"/>
    </row>
    <row r="32" spans="1:4" ht="15" x14ac:dyDescent="0.25">
      <c r="A32" s="4"/>
      <c r="B32" s="48"/>
      <c r="C32" s="49" t="str">
        <f>IF(D32&lt;&gt;"","▪","")</f>
        <v>▪</v>
      </c>
      <c r="D32" s="3" t="s">
        <v>428</v>
      </c>
    </row>
    <row r="33" spans="1:5" ht="15" x14ac:dyDescent="0.25">
      <c r="A33" s="4"/>
      <c r="B33" s="48" t="s">
        <v>430</v>
      </c>
      <c r="C33" s="49"/>
      <c r="D33" s="3"/>
    </row>
    <row r="34" spans="1:5" ht="15" x14ac:dyDescent="0.25">
      <c r="A34" s="4"/>
      <c r="B34" s="48"/>
      <c r="C34" s="49" t="str">
        <f>IF(D34&lt;&gt;"","▪","")</f>
        <v>▪</v>
      </c>
      <c r="D34" s="3" t="s">
        <v>431</v>
      </c>
    </row>
    <row r="35" spans="1:5" ht="15" x14ac:dyDescent="0.25">
      <c r="A35" s="4"/>
      <c r="B35" s="48"/>
      <c r="C35" s="48"/>
      <c r="D35" s="48"/>
      <c r="E35" s="48"/>
    </row>
    <row r="36" spans="1:5" x14ac:dyDescent="0.2">
      <c r="A36" s="480"/>
    </row>
    <row r="37" spans="1:5" ht="18.75" x14ac:dyDescent="0.3">
      <c r="A37" s="563" t="s">
        <v>432</v>
      </c>
      <c r="B37" s="564"/>
      <c r="C37" s="564"/>
      <c r="D37" s="565"/>
    </row>
    <row r="38" spans="1:5" ht="15" x14ac:dyDescent="0.25">
      <c r="A38" s="4"/>
      <c r="B38" s="48" t="s">
        <v>212</v>
      </c>
      <c r="C38" s="48"/>
      <c r="D38" s="3"/>
    </row>
    <row r="39" spans="1:5" ht="15" x14ac:dyDescent="0.25">
      <c r="A39" s="4"/>
      <c r="B39" s="48"/>
      <c r="C39" s="49" t="str">
        <f>IF(D39&lt;&gt;"","▪","")</f>
        <v>▪</v>
      </c>
      <c r="D39" s="3" t="s">
        <v>433</v>
      </c>
    </row>
    <row r="40" spans="1:5" ht="15" x14ac:dyDescent="0.25">
      <c r="A40" s="4"/>
      <c r="B40" s="48" t="s">
        <v>420</v>
      </c>
      <c r="C40" s="48"/>
      <c r="D40" s="3"/>
    </row>
    <row r="41" spans="1:5" ht="15" x14ac:dyDescent="0.25">
      <c r="A41" s="4"/>
      <c r="B41" s="48"/>
      <c r="C41" s="49" t="str">
        <f>IF(D41&lt;&gt;"","▪","")</f>
        <v>▪</v>
      </c>
      <c r="D41" s="3" t="s">
        <v>434</v>
      </c>
    </row>
    <row r="42" spans="1:5" ht="15" x14ac:dyDescent="0.25">
      <c r="A42" s="4"/>
      <c r="B42" s="48" t="s">
        <v>421</v>
      </c>
      <c r="C42" s="48"/>
      <c r="D42" s="3"/>
      <c r="E42" s="48"/>
    </row>
    <row r="43" spans="1:5" ht="15" x14ac:dyDescent="0.25">
      <c r="A43" s="4"/>
      <c r="B43" s="48"/>
      <c r="C43" s="49" t="str">
        <f>IF(D43&lt;&gt;"","▪","")</f>
        <v>▪</v>
      </c>
      <c r="D43" s="3" t="s">
        <v>435</v>
      </c>
    </row>
    <row r="44" spans="1:5" ht="15" x14ac:dyDescent="0.25">
      <c r="A44" s="4"/>
      <c r="B44" s="48"/>
      <c r="C44" s="48"/>
      <c r="D44" s="48"/>
    </row>
    <row r="45" spans="1:5" ht="18.75" x14ac:dyDescent="0.3">
      <c r="A45" s="563" t="s">
        <v>436</v>
      </c>
      <c r="B45" s="564"/>
      <c r="C45" s="564"/>
      <c r="D45" s="565"/>
    </row>
    <row r="46" spans="1:5" ht="15" x14ac:dyDescent="0.25">
      <c r="A46" s="4"/>
      <c r="B46" s="48" t="s">
        <v>135</v>
      </c>
      <c r="C46" s="48"/>
      <c r="D46" s="3"/>
    </row>
    <row r="47" spans="1:5" ht="15" x14ac:dyDescent="0.25">
      <c r="A47" s="4"/>
      <c r="B47" s="48"/>
      <c r="C47" s="49" t="str">
        <f>IF(D47&lt;&gt;"","▪","")</f>
        <v>▪</v>
      </c>
      <c r="D47" s="3" t="s">
        <v>437</v>
      </c>
    </row>
    <row r="48" spans="1:5" ht="15" x14ac:dyDescent="0.25">
      <c r="A48" s="4"/>
      <c r="B48" s="48"/>
      <c r="C48" s="48"/>
      <c r="D48" s="48"/>
    </row>
    <row r="49" spans="1:4" ht="18.75" x14ac:dyDescent="0.3">
      <c r="A49" s="563" t="s">
        <v>441</v>
      </c>
      <c r="B49" s="564"/>
      <c r="C49" s="564"/>
      <c r="D49" s="565"/>
    </row>
    <row r="50" spans="1:4" ht="15" x14ac:dyDescent="0.25">
      <c r="A50" s="4"/>
      <c r="B50" s="48" t="s">
        <v>135</v>
      </c>
      <c r="C50" s="48"/>
      <c r="D50" s="3"/>
    </row>
    <row r="51" spans="1:4" ht="15" x14ac:dyDescent="0.25">
      <c r="A51" s="4"/>
      <c r="B51" s="48"/>
      <c r="C51" s="49" t="str">
        <f>IF(D51&lt;&gt;"","▪","")</f>
        <v>▪</v>
      </c>
      <c r="D51" s="3" t="s">
        <v>444</v>
      </c>
    </row>
    <row r="52" spans="1:4" ht="15" x14ac:dyDescent="0.25">
      <c r="A52" s="4"/>
      <c r="B52" s="48"/>
      <c r="C52" s="49" t="str">
        <f>IF(D52&lt;&gt;"","▪","")</f>
        <v>▪</v>
      </c>
      <c r="D52" s="3" t="s">
        <v>445</v>
      </c>
    </row>
  </sheetData>
  <sheetProtection algorithmName="SHA-512" hashValue="GC6aTY4P3+MgUUaaLQr7h0CNDYXN8M3ZMYAUt6aL0dD73B0tM8IsJMu1rlkcLSClvINKcCdfIJYgR1tTOZ4AQA==" saltValue="lkrPr3lBUuggvMEOMJPFDg==" spinCount="100000" sheet="1" objects="1" scenarios="1" autoFilter="0"/>
  <phoneticPr fontId="40" type="noConversion"/>
  <pageMargins left="0.78740157480314998" right="0.78740157480314998" top="0.78740157480314998" bottom="0.78740157480314998" header="5.7086614173228396" footer="0.59055118110236204"/>
  <pageSetup paperSize="9" firstPageNumber="0" orientation="portrait" horizontalDpi="300" verticalDpi="300" r:id="rId1"/>
  <headerFooter alignWithMargins="0">
    <oddHeader>&amp;L_</oddHeader>
    <oddFooter>&amp;LPMv3.0.6&amp;R&amp;P /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4">
    <pageSetUpPr fitToPage="1"/>
  </sheetPr>
  <dimension ref="A1:Z146"/>
  <sheetViews>
    <sheetView showGridLines="0" view="pageBreakPreview" zoomScale="85" zoomScaleNormal="55" zoomScaleSheetLayoutView="85" workbookViewId="0">
      <pane ySplit="11" topLeftCell="A15" activePane="bottomLeft" state="frozen"/>
      <selection activeCell="E1" sqref="E1"/>
      <selection pane="bottomLeft" activeCell="S29" sqref="S29"/>
    </sheetView>
  </sheetViews>
  <sheetFormatPr defaultRowHeight="12.75" x14ac:dyDescent="0.2"/>
  <cols>
    <col min="1" max="4" width="5.7109375" style="50" hidden="1" customWidth="1"/>
    <col min="5" max="5" width="11.28515625" style="50" hidden="1" customWidth="1"/>
    <col min="6" max="6" width="11.42578125" style="50" hidden="1" customWidth="1"/>
    <col min="7" max="7" width="11.85546875" style="50" hidden="1" customWidth="1"/>
    <col min="8" max="8" width="10.7109375" customWidth="1"/>
    <col min="9" max="9" width="3.7109375" customWidth="1"/>
    <col min="10" max="15" width="10.7109375" style="50" customWidth="1"/>
    <col min="16" max="16" width="12.85546875" style="50" customWidth="1"/>
    <col min="17" max="19" width="10.7109375" style="50" customWidth="1"/>
  </cols>
  <sheetData>
    <row r="1" spans="1:19" ht="15.75" x14ac:dyDescent="0.25">
      <c r="E1" s="51" t="s">
        <v>137</v>
      </c>
      <c r="F1" s="51" t="s">
        <v>138</v>
      </c>
      <c r="G1" s="51" t="s">
        <v>139</v>
      </c>
      <c r="O1" s="52" t="str">
        <f>"Quadro de Composição do BDI"</f>
        <v>Quadro de Composição do BDI</v>
      </c>
      <c r="R1" s="604" t="s">
        <v>140</v>
      </c>
      <c r="S1" s="604"/>
    </row>
    <row r="2" spans="1:19" x14ac:dyDescent="0.2">
      <c r="A2" s="50" t="s">
        <v>141</v>
      </c>
      <c r="B2" s="54" t="s">
        <v>142</v>
      </c>
      <c r="C2" s="50" t="str">
        <f t="shared" ref="C2:C49" si="0">CONCATENATE(A2,"-",B2)</f>
        <v>Construção e Reforma de Edifícios-AC</v>
      </c>
      <c r="E2" s="55">
        <v>0.03</v>
      </c>
      <c r="F2" s="55">
        <v>0.04</v>
      </c>
      <c r="G2" s="55">
        <v>5.5E-2</v>
      </c>
      <c r="R2" s="605" t="s">
        <v>143</v>
      </c>
      <c r="S2" s="605"/>
    </row>
    <row r="3" spans="1:19" x14ac:dyDescent="0.2">
      <c r="A3" s="50" t="str">
        <f>A2</f>
        <v>Construção e Reforma de Edifícios</v>
      </c>
      <c r="B3" s="54" t="s">
        <v>144</v>
      </c>
      <c r="C3" s="50" t="str">
        <f t="shared" si="0"/>
        <v>Construção e Reforma de Edifícios-SG</v>
      </c>
      <c r="E3" s="55">
        <v>8.0000000000000002E-3</v>
      </c>
      <c r="F3" s="55">
        <v>8.0000000000000002E-3</v>
      </c>
      <c r="G3" s="55">
        <v>0.01</v>
      </c>
    </row>
    <row r="4" spans="1:19" x14ac:dyDescent="0.2">
      <c r="A4" s="50" t="str">
        <f>A3</f>
        <v>Construção e Reforma de Edifícios</v>
      </c>
      <c r="B4" s="54" t="s">
        <v>145</v>
      </c>
      <c r="C4" s="50" t="str">
        <f t="shared" si="0"/>
        <v>Construção e Reforma de Edifícios-R</v>
      </c>
      <c r="E4" s="55">
        <v>9.7000000000000003E-3</v>
      </c>
      <c r="F4" s="55">
        <v>1.2699999999999999E-2</v>
      </c>
      <c r="G4" s="55">
        <v>1.2699999999999999E-2</v>
      </c>
      <c r="J4" s="600" t="s">
        <v>146</v>
      </c>
      <c r="K4" s="600"/>
      <c r="L4" s="600" t="s">
        <v>446</v>
      </c>
      <c r="M4" s="600"/>
      <c r="N4" s="600" t="s">
        <v>147</v>
      </c>
      <c r="O4" s="600"/>
      <c r="P4" s="600"/>
      <c r="Q4" s="600"/>
      <c r="R4" s="600"/>
      <c r="S4" s="600"/>
    </row>
    <row r="5" spans="1:19" ht="12.75" customHeight="1" x14ac:dyDescent="0.2">
      <c r="A5" s="50" t="str">
        <f>A4</f>
        <v>Construção e Reforma de Edifícios</v>
      </c>
      <c r="B5" s="54" t="s">
        <v>148</v>
      </c>
      <c r="C5" s="50" t="str">
        <f t="shared" si="0"/>
        <v>Construção e Reforma de Edifícios-DF</v>
      </c>
      <c r="E5" s="55">
        <v>5.8999999999999999E-3</v>
      </c>
      <c r="F5" s="55">
        <v>1.23E-2</v>
      </c>
      <c r="G5" s="55">
        <v>1.3899999999999999E-2</v>
      </c>
      <c r="J5" s="603" t="str">
        <f>Import.CR</f>
        <v>1094391-68</v>
      </c>
      <c r="K5" s="603"/>
      <c r="L5" s="603" t="str">
        <f>Import.TransfereGOV</f>
        <v xml:space="preserve">960797/2024 </v>
      </c>
      <c r="M5" s="603"/>
      <c r="N5" s="603" t="str">
        <f>Import.Proponente</f>
        <v>Prefeitura Municipal de Pirapora</v>
      </c>
      <c r="O5" s="603"/>
      <c r="P5" s="603"/>
      <c r="Q5" s="603"/>
      <c r="R5" s="603"/>
      <c r="S5" s="603"/>
    </row>
    <row r="6" spans="1:19" x14ac:dyDescent="0.2">
      <c r="A6" s="50" t="str">
        <f>A5</f>
        <v>Construção e Reforma de Edifícios</v>
      </c>
      <c r="B6" s="54" t="s">
        <v>149</v>
      </c>
      <c r="C6" s="50" t="str">
        <f t="shared" si="0"/>
        <v>Construção e Reforma de Edifícios-L</v>
      </c>
      <c r="E6" s="55">
        <v>6.1600000000000002E-2</v>
      </c>
      <c r="F6" s="55">
        <v>7.400000000000001E-2</v>
      </c>
      <c r="G6" s="55">
        <v>8.9600000000000013E-2</v>
      </c>
      <c r="I6" s="593" t="s">
        <v>209</v>
      </c>
      <c r="J6" s="58"/>
      <c r="K6" s="58"/>
      <c r="L6" s="58"/>
      <c r="M6" s="58"/>
      <c r="N6" s="58"/>
      <c r="O6" s="58"/>
      <c r="P6" s="58"/>
      <c r="Q6" s="58"/>
      <c r="R6" s="58"/>
      <c r="S6" s="58"/>
    </row>
    <row r="7" spans="1:19" ht="25.5" x14ac:dyDescent="0.2">
      <c r="A7" s="50" t="str">
        <f>A6</f>
        <v>Construção e Reforma de Edifícios</v>
      </c>
      <c r="B7" s="59" t="s">
        <v>150</v>
      </c>
      <c r="C7" s="50" t="str">
        <f t="shared" si="0"/>
        <v>Construção e Reforma de Edifícios-BDI PAD</v>
      </c>
      <c r="E7" s="55">
        <v>0.2034</v>
      </c>
      <c r="F7" s="55">
        <v>0.22120000000000001</v>
      </c>
      <c r="G7" s="55">
        <v>0.25</v>
      </c>
      <c r="I7" s="593"/>
      <c r="J7" s="600" t="s">
        <v>151</v>
      </c>
      <c r="K7" s="600"/>
      <c r="L7" s="600"/>
      <c r="M7" s="600"/>
      <c r="N7" s="600"/>
      <c r="O7" s="600"/>
      <c r="P7" s="600"/>
      <c r="Q7" s="600"/>
      <c r="R7" s="600"/>
      <c r="S7" s="600"/>
    </row>
    <row r="8" spans="1:19" x14ac:dyDescent="0.2">
      <c r="A8" s="50" t="s">
        <v>152</v>
      </c>
      <c r="B8" s="54" t="s">
        <v>142</v>
      </c>
      <c r="C8" s="50" t="str">
        <f t="shared" si="0"/>
        <v>Construção de Praças Urbanas, Rodovias, Ferrovias e recapeamento e pavimentação de vias urbanas-AC</v>
      </c>
      <c r="E8" s="55">
        <v>3.7999999999999999E-2</v>
      </c>
      <c r="F8" s="55">
        <v>4.0099999999999997E-2</v>
      </c>
      <c r="G8" s="55">
        <v>4.6699999999999998E-2</v>
      </c>
      <c r="I8" s="593"/>
      <c r="J8" s="608" t="str">
        <f>Import.Apelido&amp;" / "&amp;Import.DescLote</f>
        <v>CEMEI Santa Mariana Pirapora/MG. Projeto Padrão FNDE- Creche e Pré Escola Tipo I. / Centro Municipal de Educação Infantil - CEMEI Santa Mariana Pirapora/MG. Projeto Padrão FNDE- Creche e Pré escola Tipo I.</v>
      </c>
      <c r="K8" s="608"/>
      <c r="L8" s="608"/>
      <c r="M8" s="608"/>
      <c r="N8" s="608"/>
      <c r="O8" s="608"/>
      <c r="P8" s="608"/>
      <c r="Q8" s="608"/>
      <c r="R8" s="608"/>
      <c r="S8" s="608"/>
    </row>
    <row r="9" spans="1:19" x14ac:dyDescent="0.2">
      <c r="A9" s="50" t="s">
        <v>152</v>
      </c>
      <c r="B9" s="54" t="s">
        <v>144</v>
      </c>
      <c r="C9" s="50" t="str">
        <f t="shared" si="0"/>
        <v>Construção de Praças Urbanas, Rodovias, Ferrovias e recapeamento e pavimentação de vias urbanas-SG</v>
      </c>
      <c r="E9" s="55">
        <v>3.2000000000000002E-3</v>
      </c>
      <c r="F9" s="55">
        <v>4.0000000000000001E-3</v>
      </c>
      <c r="G9" s="55">
        <v>7.4000000000000003E-3</v>
      </c>
      <c r="I9" s="593"/>
      <c r="J9" s="58"/>
      <c r="K9" s="58"/>
      <c r="L9" s="58"/>
      <c r="M9" s="58"/>
      <c r="N9" s="58"/>
      <c r="O9" s="58"/>
      <c r="P9" s="58"/>
      <c r="Q9" s="58"/>
      <c r="R9" s="58"/>
      <c r="S9" s="58"/>
    </row>
    <row r="10" spans="1:19" ht="12.75" customHeight="1" x14ac:dyDescent="0.2">
      <c r="A10" s="50" t="s">
        <v>152</v>
      </c>
      <c r="B10" s="54" t="s">
        <v>145</v>
      </c>
      <c r="C10" s="50" t="str">
        <f t="shared" si="0"/>
        <v>Construção de Praças Urbanas, Rodovias, Ferrovias e recapeamento e pavimentação de vias urbanas-R</v>
      </c>
      <c r="E10" s="55">
        <v>5.0000000000000001E-3</v>
      </c>
      <c r="F10" s="55">
        <v>5.6000000000000008E-3</v>
      </c>
      <c r="G10" s="55">
        <v>9.7000000000000003E-3</v>
      </c>
      <c r="I10" s="593"/>
      <c r="J10" s="609" t="s">
        <v>153</v>
      </c>
      <c r="K10" s="609"/>
      <c r="L10" s="609"/>
      <c r="M10" s="609"/>
      <c r="N10" s="609"/>
      <c r="O10" s="609"/>
      <c r="P10" s="609"/>
      <c r="Q10" s="609"/>
      <c r="R10" s="607">
        <v>1</v>
      </c>
      <c r="S10" s="607"/>
    </row>
    <row r="11" spans="1:19" ht="12.75" customHeight="1" x14ac:dyDescent="0.2">
      <c r="A11" s="50" t="s">
        <v>152</v>
      </c>
      <c r="B11" s="54" t="s">
        <v>148</v>
      </c>
      <c r="C11" s="50" t="str">
        <f t="shared" si="0"/>
        <v>Construção de Praças Urbanas, Rodovias, Ferrovias e recapeamento e pavimentação de vias urbanas-DF</v>
      </c>
      <c r="E11" s="55">
        <v>1.0200000000000001E-2</v>
      </c>
      <c r="F11" s="55">
        <v>1.11E-2</v>
      </c>
      <c r="G11" s="55">
        <v>1.21E-2</v>
      </c>
      <c r="I11" s="108" t="s">
        <v>217</v>
      </c>
      <c r="J11" s="606" t="s">
        <v>154</v>
      </c>
      <c r="K11" s="606"/>
      <c r="L11" s="606"/>
      <c r="M11" s="606"/>
      <c r="N11" s="606"/>
      <c r="O11" s="606"/>
      <c r="P11" s="606"/>
      <c r="Q11" s="606"/>
      <c r="R11" s="607">
        <v>0.05</v>
      </c>
      <c r="S11" s="607"/>
    </row>
    <row r="12" spans="1:19" x14ac:dyDescent="0.2">
      <c r="A12" s="50" t="s">
        <v>152</v>
      </c>
      <c r="B12" s="54" t="s">
        <v>149</v>
      </c>
      <c r="C12" s="50" t="str">
        <f t="shared" si="0"/>
        <v>Construção de Praças Urbanas, Rodovias, Ferrovias e recapeamento e pavimentação de vias urbanas-L</v>
      </c>
      <c r="E12" s="55">
        <v>6.6400000000000001E-2</v>
      </c>
      <c r="F12" s="55">
        <v>7.2999999999999995E-2</v>
      </c>
      <c r="G12" s="55">
        <v>8.6899999999999991E-2</v>
      </c>
      <c r="I12" t="s">
        <v>246</v>
      </c>
      <c r="J12" s="60"/>
      <c r="K12" s="60"/>
      <c r="L12" s="60"/>
      <c r="M12" s="60"/>
      <c r="N12" s="60"/>
      <c r="O12" s="60"/>
      <c r="P12" s="60"/>
      <c r="Q12" s="60"/>
      <c r="R12" s="60"/>
      <c r="S12" s="60"/>
    </row>
    <row r="13" spans="1:19" ht="25.5" x14ac:dyDescent="0.2">
      <c r="A13" s="50" t="s">
        <v>152</v>
      </c>
      <c r="B13" s="59" t="s">
        <v>150</v>
      </c>
      <c r="C13" s="50" t="str">
        <f t="shared" si="0"/>
        <v>Construção de Praças Urbanas, Rodovias, Ferrovias e recapeamento e pavimentação de vias urbanas-BDI PAD</v>
      </c>
      <c r="E13" s="55">
        <v>0.19600000000000001</v>
      </c>
      <c r="F13" s="55">
        <v>0.2097</v>
      </c>
      <c r="G13" s="55">
        <v>0.24230000000000002</v>
      </c>
      <c r="I13" t="s">
        <v>246</v>
      </c>
    </row>
    <row r="14" spans="1:19" ht="15.75" x14ac:dyDescent="0.25">
      <c r="A14" s="50" t="s">
        <v>155</v>
      </c>
      <c r="B14" s="54" t="s">
        <v>142</v>
      </c>
      <c r="C14" s="50" t="str">
        <f t="shared" si="0"/>
        <v>Construção de Redes de Abastecimento de Água, Coleta de Esgoto-AC</v>
      </c>
      <c r="E14" s="55">
        <v>3.4300000000000004E-2</v>
      </c>
      <c r="F14" s="55">
        <v>4.9299999999999997E-2</v>
      </c>
      <c r="G14" s="55">
        <v>6.7099999999999993E-2</v>
      </c>
      <c r="I14" t="s">
        <v>246</v>
      </c>
      <c r="J14" s="602" t="s">
        <v>156</v>
      </c>
      <c r="K14" s="602"/>
      <c r="L14" s="602"/>
      <c r="M14" s="602"/>
      <c r="N14" s="602"/>
      <c r="O14" s="602"/>
      <c r="P14" s="602"/>
      <c r="Q14" s="602"/>
      <c r="R14" s="602"/>
      <c r="S14" s="602"/>
    </row>
    <row r="15" spans="1:19" x14ac:dyDescent="0.2">
      <c r="A15" s="50" t="str">
        <f>A14</f>
        <v>Construção de Redes de Abastecimento de Água, Coleta de Esgoto</v>
      </c>
      <c r="B15" s="54" t="s">
        <v>144</v>
      </c>
      <c r="C15" s="50" t="str">
        <f t="shared" si="0"/>
        <v>Construção de Redes de Abastecimento de Água, Coleta de Esgoto-SG</v>
      </c>
      <c r="E15" s="55">
        <v>2.8000000000000004E-3</v>
      </c>
      <c r="F15" s="55">
        <v>4.8999999999999998E-3</v>
      </c>
      <c r="G15" s="55">
        <v>7.4999999999999997E-3</v>
      </c>
      <c r="I15" t="s">
        <v>246</v>
      </c>
    </row>
    <row r="16" spans="1:19" x14ac:dyDescent="0.2">
      <c r="A16" s="50" t="str">
        <f>A15</f>
        <v>Construção de Redes de Abastecimento de Água, Coleta de Esgoto</v>
      </c>
      <c r="B16" s="54" t="s">
        <v>145</v>
      </c>
      <c r="C16" s="50" t="str">
        <f t="shared" si="0"/>
        <v>Construção de Redes de Abastecimento de Água, Coleta de Esgoto-R</v>
      </c>
      <c r="E16" s="55">
        <v>0.01</v>
      </c>
      <c r="F16" s="55">
        <v>1.3899999999999999E-2</v>
      </c>
      <c r="G16" s="55">
        <v>1.7399999999999999E-2</v>
      </c>
      <c r="I16" t="s">
        <v>246</v>
      </c>
      <c r="J16" s="600" t="s">
        <v>157</v>
      </c>
      <c r="K16" s="600"/>
      <c r="L16" s="600"/>
      <c r="M16" s="600"/>
      <c r="N16" s="600"/>
      <c r="O16" s="600"/>
      <c r="P16" s="600"/>
      <c r="Q16" s="600"/>
      <c r="R16" s="600"/>
      <c r="S16" s="600"/>
    </row>
    <row r="17" spans="1:26" x14ac:dyDescent="0.2">
      <c r="A17" s="50" t="str">
        <f>A16</f>
        <v>Construção de Redes de Abastecimento de Água, Coleta de Esgoto</v>
      </c>
      <c r="B17" s="54" t="s">
        <v>148</v>
      </c>
      <c r="C17" s="50" t="str">
        <f t="shared" si="0"/>
        <v>Construção de Redes de Abastecimento de Água, Coleta de Esgoto-DF</v>
      </c>
      <c r="E17" s="55">
        <v>9.3999999999999986E-3</v>
      </c>
      <c r="F17" s="55">
        <v>9.8999999999999991E-3</v>
      </c>
      <c r="G17" s="55">
        <v>1.1699999999999999E-2</v>
      </c>
      <c r="I17" t="s">
        <v>246</v>
      </c>
      <c r="J17" s="601" t="s">
        <v>141</v>
      </c>
      <c r="K17" s="601"/>
      <c r="L17" s="601"/>
      <c r="M17" s="601"/>
      <c r="N17" s="601"/>
      <c r="O17" s="601"/>
      <c r="P17" s="601"/>
      <c r="Q17" s="601"/>
      <c r="R17" s="601"/>
      <c r="S17" s="601"/>
    </row>
    <row r="18" spans="1:26" x14ac:dyDescent="0.2">
      <c r="A18" s="50" t="str">
        <f>A17</f>
        <v>Construção de Redes de Abastecimento de Água, Coleta de Esgoto</v>
      </c>
      <c r="B18" s="54" t="s">
        <v>149</v>
      </c>
      <c r="C18" s="50" t="str">
        <f t="shared" si="0"/>
        <v>Construção de Redes de Abastecimento de Água, Coleta de Esgoto-L</v>
      </c>
      <c r="E18" s="55">
        <v>6.7400000000000002E-2</v>
      </c>
      <c r="F18" s="55">
        <v>8.0399999999999985E-2</v>
      </c>
      <c r="G18" s="55">
        <v>9.4E-2</v>
      </c>
      <c r="I18" t="s">
        <v>246</v>
      </c>
    </row>
    <row r="19" spans="1:26" ht="12.75" customHeight="1" x14ac:dyDescent="0.2">
      <c r="A19" s="50" t="str">
        <f>A18</f>
        <v>Construção de Redes de Abastecimento de Água, Coleta de Esgoto</v>
      </c>
      <c r="B19" s="59" t="s">
        <v>150</v>
      </c>
      <c r="C19" s="50" t="str">
        <f t="shared" si="0"/>
        <v>Construção de Redes de Abastecimento de Água, Coleta de Esgoto-BDI PAD</v>
      </c>
      <c r="E19" s="55">
        <v>0.20760000000000001</v>
      </c>
      <c r="F19" s="55">
        <v>0.24179999999999999</v>
      </c>
      <c r="G19" s="55">
        <v>0.26440000000000002</v>
      </c>
      <c r="I19" t="s">
        <v>246</v>
      </c>
      <c r="J19" s="599" t="s">
        <v>158</v>
      </c>
      <c r="K19" s="599"/>
      <c r="L19" s="599"/>
      <c r="M19" s="599"/>
      <c r="N19" s="599"/>
      <c r="O19" s="599"/>
      <c r="P19" s="599"/>
      <c r="Q19" s="599"/>
      <c r="R19" s="599" t="s">
        <v>159</v>
      </c>
      <c r="S19" s="590" t="s">
        <v>160</v>
      </c>
      <c r="U19" s="590" t="s">
        <v>161</v>
      </c>
      <c r="V19" s="590"/>
      <c r="W19" s="590"/>
      <c r="X19" s="598" t="s">
        <v>162</v>
      </c>
      <c r="Y19" s="598" t="s">
        <v>163</v>
      </c>
      <c r="Z19" s="598" t="s">
        <v>164</v>
      </c>
    </row>
    <row r="20" spans="1:26" ht="12.75" customHeight="1" x14ac:dyDescent="0.2">
      <c r="A20" s="50" t="s">
        <v>165</v>
      </c>
      <c r="B20" s="54" t="s">
        <v>142</v>
      </c>
      <c r="C20" s="50" t="str">
        <f t="shared" si="0"/>
        <v>Construção e Manutenção de Estações e Redes de Distribuição de Energia Elétrica-AC</v>
      </c>
      <c r="E20" s="55">
        <v>5.2900000000000003E-2</v>
      </c>
      <c r="F20" s="55">
        <v>5.9200000000000003E-2</v>
      </c>
      <c r="G20" s="55">
        <v>7.9299999999999995E-2</v>
      </c>
      <c r="I20" t="s">
        <v>246</v>
      </c>
      <c r="J20" s="599"/>
      <c r="K20" s="599"/>
      <c r="L20" s="599"/>
      <c r="M20" s="599"/>
      <c r="N20" s="599"/>
      <c r="O20" s="599"/>
      <c r="P20" s="599"/>
      <c r="Q20" s="599"/>
      <c r="R20" s="599"/>
      <c r="S20" s="590"/>
      <c r="U20" s="590"/>
      <c r="V20" s="590"/>
      <c r="W20" s="590"/>
      <c r="X20" s="598"/>
      <c r="Y20" s="598"/>
      <c r="Z20" s="598"/>
    </row>
    <row r="21" spans="1:26" ht="15" customHeight="1" x14ac:dyDescent="0.2">
      <c r="A21" s="50" t="str">
        <f>A20</f>
        <v>Construção e Manutenção de Estações e Redes de Distribuição de Energia Elétrica</v>
      </c>
      <c r="B21" s="54" t="s">
        <v>144</v>
      </c>
      <c r="C21" s="50" t="str">
        <f t="shared" si="0"/>
        <v>Construção e Manutenção de Estações e Redes de Distribuição de Energia Elétrica-SG</v>
      </c>
      <c r="E21" s="55">
        <v>2.5000000000000001E-3</v>
      </c>
      <c r="F21" s="55">
        <v>5.1000000000000004E-3</v>
      </c>
      <c r="G21" s="55">
        <v>5.6000000000000008E-3</v>
      </c>
      <c r="I21" t="s">
        <v>246</v>
      </c>
      <c r="J21" s="588" t="str">
        <f>IF($J$17=$A$146,"Encargos Sociais incidentes sobre a mão de obra","Administração Central")</f>
        <v>Administração Central</v>
      </c>
      <c r="K21" s="588"/>
      <c r="L21" s="588"/>
      <c r="M21" s="588"/>
      <c r="N21" s="588"/>
      <c r="O21" s="588"/>
      <c r="P21" s="588"/>
      <c r="Q21" s="588"/>
      <c r="R21" s="61" t="str">
        <f>IF($J17=$A$146,"K1","AC")</f>
        <v>AC</v>
      </c>
      <c r="S21" s="62">
        <v>0.03</v>
      </c>
      <c r="U21" s="589" t="s">
        <v>166</v>
      </c>
      <c r="V21" s="589"/>
      <c r="W21" s="589"/>
      <c r="X21" s="63">
        <f>VLOOKUP(CONCATENATE(J17,"-",R21),$C$2:$G$136,3,FALSE)</f>
        <v>0.03</v>
      </c>
      <c r="Y21" s="63">
        <f>VLOOKUP(CONCATENATE(J17,"-",R21),$C$2:$G$136,4,FALSE)</f>
        <v>0.04</v>
      </c>
      <c r="Z21" s="63">
        <f>VLOOKUP(CONCATENATE(J17,"-",R21),$C$2:$G$136,5,FALSE)</f>
        <v>5.5E-2</v>
      </c>
    </row>
    <row r="22" spans="1:26" ht="15" customHeight="1" x14ac:dyDescent="0.2">
      <c r="A22" s="50" t="str">
        <f>A21</f>
        <v>Construção e Manutenção de Estações e Redes de Distribuição de Energia Elétrica</v>
      </c>
      <c r="B22" s="54" t="s">
        <v>145</v>
      </c>
      <c r="C22" s="50" t="str">
        <f t="shared" si="0"/>
        <v>Construção e Manutenção de Estações e Redes de Distribuição de Energia Elétrica-R</v>
      </c>
      <c r="E22" s="55">
        <v>0.01</v>
      </c>
      <c r="F22" s="55">
        <v>1.4800000000000001E-2</v>
      </c>
      <c r="G22" s="55">
        <v>1.9699999999999999E-2</v>
      </c>
      <c r="I22" t="s">
        <v>246</v>
      </c>
      <c r="J22" s="588" t="str">
        <f>IF($J$17=$A$146,"Administração Central da empresa ou consultoria - overhead","Seguro e Garantia")</f>
        <v>Seguro e Garantia</v>
      </c>
      <c r="K22" s="588"/>
      <c r="L22" s="588"/>
      <c r="M22" s="588"/>
      <c r="N22" s="588"/>
      <c r="O22" s="588"/>
      <c r="P22" s="588"/>
      <c r="Q22" s="588"/>
      <c r="R22" s="61" t="str">
        <f>IF($J17=$A$146,"K2","SG")</f>
        <v>SG</v>
      </c>
      <c r="S22" s="62">
        <v>8.0000000000000002E-3</v>
      </c>
      <c r="U22" s="589" t="s">
        <v>166</v>
      </c>
      <c r="V22" s="589"/>
      <c r="W22" s="589"/>
      <c r="X22" s="63">
        <f>VLOOKUP(CONCATENATE(J17,"-",R22),$C$2:$G$136,3,FALSE)</f>
        <v>8.0000000000000002E-3</v>
      </c>
      <c r="Y22" s="63">
        <f>VLOOKUP(CONCATENATE(J17,"-",R22),$C$2:$G$136,4,FALSE)</f>
        <v>8.0000000000000002E-3</v>
      </c>
      <c r="Z22" s="63">
        <f>VLOOKUP(CONCATENATE(J17,"-",R22),$C$2:$G$136,5,FALSE)</f>
        <v>0.01</v>
      </c>
    </row>
    <row r="23" spans="1:26" ht="15" customHeight="1" x14ac:dyDescent="0.2">
      <c r="A23" s="50" t="str">
        <f>A22</f>
        <v>Construção e Manutenção de Estações e Redes de Distribuição de Energia Elétrica</v>
      </c>
      <c r="B23" s="54" t="s">
        <v>148</v>
      </c>
      <c r="C23" s="50" t="str">
        <f t="shared" si="0"/>
        <v>Construção e Manutenção de Estações e Redes de Distribuição de Energia Elétrica-DF</v>
      </c>
      <c r="E23" s="55">
        <v>1.01E-2</v>
      </c>
      <c r="F23" s="55">
        <v>1.0700000000000001E-2</v>
      </c>
      <c r="G23" s="55">
        <v>1.11E-2</v>
      </c>
      <c r="I23" t="s">
        <v>246</v>
      </c>
      <c r="J23" s="588" t="str">
        <f>IF($J$17=$A$146,"","Risco")</f>
        <v>Risco</v>
      </c>
      <c r="K23" s="588"/>
      <c r="L23" s="588"/>
      <c r="M23" s="588"/>
      <c r="N23" s="588"/>
      <c r="O23" s="588"/>
      <c r="P23" s="588"/>
      <c r="Q23" s="588"/>
      <c r="R23" s="61" t="str">
        <f>IF($J17=$A$146,"","R")</f>
        <v>R</v>
      </c>
      <c r="S23" s="62">
        <v>9.7000000000000003E-3</v>
      </c>
      <c r="U23" s="589" t="s">
        <v>166</v>
      </c>
      <c r="V23" s="589"/>
      <c r="W23" s="589"/>
      <c r="X23" s="63">
        <f>VLOOKUP(CONCATENATE(J17,"-",R23),$C$2:$G$136,3,FALSE)</f>
        <v>9.7000000000000003E-3</v>
      </c>
      <c r="Y23" s="63">
        <f>VLOOKUP(CONCATENATE(J17,"-",R23),$C$2:$G$136,4,FALSE)</f>
        <v>1.2699999999999999E-2</v>
      </c>
      <c r="Z23" s="63">
        <f>VLOOKUP(CONCATENATE(J17,"-",R23),$C$2:$G$136,5,FALSE)</f>
        <v>1.2699999999999999E-2</v>
      </c>
    </row>
    <row r="24" spans="1:26" ht="15" customHeight="1" x14ac:dyDescent="0.2">
      <c r="A24" s="50" t="str">
        <f>A23</f>
        <v>Construção e Manutenção de Estações e Redes de Distribuição de Energia Elétrica</v>
      </c>
      <c r="B24" s="54" t="s">
        <v>149</v>
      </c>
      <c r="C24" s="50" t="str">
        <f t="shared" si="0"/>
        <v>Construção e Manutenção de Estações e Redes de Distribuição de Energia Elétrica-L</v>
      </c>
      <c r="E24" s="55">
        <v>0.08</v>
      </c>
      <c r="F24" s="55">
        <v>8.3100000000000007E-2</v>
      </c>
      <c r="G24" s="55">
        <v>9.5100000000000004E-2</v>
      </c>
      <c r="I24" t="s">
        <v>246</v>
      </c>
      <c r="J24" s="588" t="str">
        <f>IF($J$17=$A$146,"","Despesas Financeiras")</f>
        <v>Despesas Financeiras</v>
      </c>
      <c r="K24" s="588"/>
      <c r="L24" s="588"/>
      <c r="M24" s="588"/>
      <c r="N24" s="588"/>
      <c r="O24" s="588"/>
      <c r="P24" s="588"/>
      <c r="Q24" s="588"/>
      <c r="R24" s="61" t="str">
        <f>IF($J17=$A$146,"","DF")</f>
        <v>DF</v>
      </c>
      <c r="S24" s="62">
        <v>5.8999999999999999E-3</v>
      </c>
      <c r="U24" s="589" t="s">
        <v>166</v>
      </c>
      <c r="V24" s="589"/>
      <c r="W24" s="589"/>
      <c r="X24" s="63">
        <f>VLOOKUP(CONCATENATE(J17,"-",R24),$C$2:$G$136,3,FALSE)</f>
        <v>5.8999999999999999E-3</v>
      </c>
      <c r="Y24" s="63">
        <f>VLOOKUP(CONCATENATE(J17,"-",R24),$C$2:$G$136,4,FALSE)</f>
        <v>1.23E-2</v>
      </c>
      <c r="Z24" s="63">
        <f>VLOOKUP(CONCATENATE(J17,"-",R24),$C$2:$G$136,5,FALSE)</f>
        <v>1.3899999999999999E-2</v>
      </c>
    </row>
    <row r="25" spans="1:26" ht="15" customHeight="1" x14ac:dyDescent="0.2">
      <c r="A25" s="50" t="str">
        <f>A24</f>
        <v>Construção e Manutenção de Estações e Redes de Distribuição de Energia Elétrica</v>
      </c>
      <c r="B25" s="59" t="s">
        <v>150</v>
      </c>
      <c r="C25" s="50" t="str">
        <f t="shared" si="0"/>
        <v>Construção e Manutenção de Estações e Redes de Distribuição de Energia Elétrica-BDI PAD</v>
      </c>
      <c r="E25" s="55">
        <v>0.24</v>
      </c>
      <c r="F25" s="55">
        <v>0.25840000000000002</v>
      </c>
      <c r="G25" s="55">
        <v>0.27860000000000001</v>
      </c>
      <c r="I25" t="s">
        <v>246</v>
      </c>
      <c r="J25" s="588" t="str">
        <f>IF($J$17=$A$146,"Margem bruta da empresa de consultoria","Lucro")</f>
        <v>Lucro</v>
      </c>
      <c r="K25" s="588"/>
      <c r="L25" s="588"/>
      <c r="M25" s="588"/>
      <c r="N25" s="588"/>
      <c r="O25" s="588"/>
      <c r="P25" s="588"/>
      <c r="Q25" s="588"/>
      <c r="R25" s="61" t="str">
        <f>IF($J17=$A$146,"K3","L")</f>
        <v>L</v>
      </c>
      <c r="S25" s="62">
        <v>6.1600000000000002E-2</v>
      </c>
      <c r="U25" s="589" t="s">
        <v>166</v>
      </c>
      <c r="V25" s="589"/>
      <c r="W25" s="589"/>
      <c r="X25" s="63">
        <f>VLOOKUP(CONCATENATE(J17,"-",R25),$C$2:$G$136,3,FALSE)</f>
        <v>6.1600000000000002E-2</v>
      </c>
      <c r="Y25" s="63">
        <f>VLOOKUP(CONCATENATE(J17,"-",R25),$C$2:$G$136,4,FALSE)</f>
        <v>7.400000000000001E-2</v>
      </c>
      <c r="Z25" s="63">
        <f>VLOOKUP(CONCATENATE(J17,"-",R25),$C$2:$G$136,5,FALSE)</f>
        <v>8.9600000000000013E-2</v>
      </c>
    </row>
    <row r="26" spans="1:26" ht="15" customHeight="1" x14ac:dyDescent="0.2">
      <c r="A26" s="50" t="s">
        <v>167</v>
      </c>
      <c r="B26" s="54" t="s">
        <v>142</v>
      </c>
      <c r="C26" s="50" t="str">
        <f t="shared" si="0"/>
        <v>Obras Portuárias, Marítimas e Fluviais-AC</v>
      </c>
      <c r="E26" s="55">
        <v>0.04</v>
      </c>
      <c r="F26" s="55">
        <v>5.5199999999999999E-2</v>
      </c>
      <c r="G26" s="55">
        <v>7.85E-2</v>
      </c>
      <c r="I26" t="s">
        <v>246</v>
      </c>
      <c r="J26" s="588" t="s">
        <v>168</v>
      </c>
      <c r="K26" s="588"/>
      <c r="L26" s="588"/>
      <c r="M26" s="588"/>
      <c r="N26" s="588"/>
      <c r="O26" s="588"/>
      <c r="P26" s="588"/>
      <c r="Q26" s="588"/>
      <c r="R26" s="61" t="s">
        <v>169</v>
      </c>
      <c r="S26" s="62">
        <v>3.6499999999999998E-2</v>
      </c>
      <c r="U26" s="589" t="s">
        <v>166</v>
      </c>
      <c r="V26" s="589"/>
      <c r="W26" s="589"/>
      <c r="X26" s="63">
        <v>3.6499999999999998E-2</v>
      </c>
      <c r="Y26" s="63">
        <v>3.6499999999999998E-2</v>
      </c>
      <c r="Z26" s="63">
        <v>3.6499999999999998E-2</v>
      </c>
    </row>
    <row r="27" spans="1:26" ht="15" customHeight="1" x14ac:dyDescent="0.2">
      <c r="A27" s="50" t="str">
        <f>A26</f>
        <v>Obras Portuárias, Marítimas e Fluviais</v>
      </c>
      <c r="B27" s="54" t="s">
        <v>144</v>
      </c>
      <c r="C27" s="50" t="str">
        <f t="shared" si="0"/>
        <v>Obras Portuárias, Marítimas e Fluviais-SG</v>
      </c>
      <c r="E27" s="55">
        <v>8.1000000000000013E-3</v>
      </c>
      <c r="F27" s="55">
        <v>1.2199999999999999E-2</v>
      </c>
      <c r="G27" s="55">
        <v>1.9900000000000001E-2</v>
      </c>
      <c r="I27" t="s">
        <v>246</v>
      </c>
      <c r="J27" s="588" t="s">
        <v>170</v>
      </c>
      <c r="K27" s="588"/>
      <c r="L27" s="588"/>
      <c r="M27" s="588"/>
      <c r="N27" s="588"/>
      <c r="O27" s="588"/>
      <c r="P27" s="588"/>
      <c r="Q27" s="588"/>
      <c r="R27" s="61" t="s">
        <v>171</v>
      </c>
      <c r="S27" s="63">
        <f ca="1">IF(AND($J17&lt;&gt;$A$145,COUNTA(OFFSET(S20,1,0,6))&gt;0),$R$11*$R$10,0)</f>
        <v>0.05</v>
      </c>
      <c r="U27" s="589" t="s">
        <v>166</v>
      </c>
      <c r="V27" s="589"/>
      <c r="W27" s="589"/>
      <c r="X27" s="63">
        <v>0</v>
      </c>
      <c r="Y27" s="63">
        <v>2.5000000000000001E-2</v>
      </c>
      <c r="Z27" s="63">
        <v>0.05</v>
      </c>
    </row>
    <row r="28" spans="1:26" ht="15" customHeight="1" x14ac:dyDescent="0.2">
      <c r="A28" s="50" t="str">
        <f>A27</f>
        <v>Obras Portuárias, Marítimas e Fluviais</v>
      </c>
      <c r="B28" s="54" t="s">
        <v>145</v>
      </c>
      <c r="C28" s="50" t="str">
        <f t="shared" si="0"/>
        <v>Obras Portuárias, Marítimas e Fluviais-R</v>
      </c>
      <c r="E28" s="55">
        <v>1.46E-2</v>
      </c>
      <c r="F28" s="55">
        <v>2.3199999999999998E-2</v>
      </c>
      <c r="G28" s="55">
        <v>3.1600000000000003E-2</v>
      </c>
      <c r="I28" t="s">
        <v>246</v>
      </c>
      <c r="J28" s="588" t="s">
        <v>172</v>
      </c>
      <c r="K28" s="588"/>
      <c r="L28" s="588"/>
      <c r="M28" s="588"/>
      <c r="N28" s="588"/>
      <c r="O28" s="588"/>
      <c r="P28" s="588"/>
      <c r="Q28" s="588"/>
      <c r="R28" s="61" t="s">
        <v>173</v>
      </c>
      <c r="S28" s="63">
        <f ca="1">IF(BDI.Opcao&lt;&gt;"Desonerado",0,IF(AND($J17&lt;&gt;$A$145,COUNTA(OFFSET(S20,1,0,6))&gt;0),4.5%,0%))</f>
        <v>0</v>
      </c>
      <c r="U28" s="589" t="s">
        <v>166</v>
      </c>
      <c r="V28" s="589"/>
      <c r="W28" s="589"/>
      <c r="X28" s="64">
        <v>0</v>
      </c>
      <c r="Y28" s="64">
        <v>4.4999999999999998E-2</v>
      </c>
      <c r="Z28" s="64">
        <v>4.4999999999999998E-2</v>
      </c>
    </row>
    <row r="29" spans="1:26" ht="15" customHeight="1" x14ac:dyDescent="0.2">
      <c r="A29" s="50" t="str">
        <f>A28</f>
        <v>Obras Portuárias, Marítimas e Fluviais</v>
      </c>
      <c r="B29" s="54" t="s">
        <v>148</v>
      </c>
      <c r="C29" s="50" t="str">
        <f t="shared" si="0"/>
        <v>Obras Portuárias, Marítimas e Fluviais-DF</v>
      </c>
      <c r="E29" s="55">
        <v>9.3999999999999986E-3</v>
      </c>
      <c r="F29" s="55">
        <v>1.0200000000000001E-2</v>
      </c>
      <c r="G29" s="55">
        <v>1.3300000000000001E-2</v>
      </c>
      <c r="I29" t="s">
        <v>246</v>
      </c>
      <c r="J29" s="588" t="s">
        <v>174</v>
      </c>
      <c r="K29" s="588"/>
      <c r="L29" s="588"/>
      <c r="M29" s="588"/>
      <c r="N29" s="588"/>
      <c r="O29" s="588"/>
      <c r="P29" s="588"/>
      <c r="Q29" s="588"/>
      <c r="R29" s="65" t="s">
        <v>150</v>
      </c>
      <c r="S29" s="63">
        <f ca="1">IF($J17=$A$145,0,ROUND((((1+S21+S22+S23)*(1+S24)*(1+S25)/(1-(S26+S27)))-1),4))</f>
        <v>0.22470000000000001</v>
      </c>
      <c r="U29" s="590" t="str">
        <f ca="1">IF(OR($J$17=$A$146,$J$17=$A$145,AND(S29&gt;=X29,S29&lt;=Z29)),"OK","FORA DO INTERVALO")</f>
        <v>OK</v>
      </c>
      <c r="V29" s="590"/>
      <c r="W29" s="590"/>
      <c r="X29" s="63">
        <f>IF($J17=$A$145,0,VLOOKUP(CONCATENATE($J17,"-",$R29),$C$2:$G$136,3,FALSE))</f>
        <v>0.2034</v>
      </c>
      <c r="Y29" s="63">
        <f>IF($J17=$A$145,0,VLOOKUP(CONCATENATE($J17,"-",$R29),$C$2:$G$136,4,FALSE))</f>
        <v>0.22120000000000001</v>
      </c>
      <c r="Z29" s="63">
        <f>IF($J17=$A$145,0,VLOOKUP(CONCATENATE($J17,"-",$R29),$C$2:$G$136,5,FALSE))</f>
        <v>0.25</v>
      </c>
    </row>
    <row r="30" spans="1:26" ht="15" customHeight="1" x14ac:dyDescent="0.2">
      <c r="A30" s="50" t="str">
        <f>A29</f>
        <v>Obras Portuárias, Marítimas e Fluviais</v>
      </c>
      <c r="B30" s="54" t="s">
        <v>149</v>
      </c>
      <c r="C30" s="50" t="str">
        <f t="shared" si="0"/>
        <v>Obras Portuárias, Marítimas e Fluviais-L</v>
      </c>
      <c r="E30" s="55">
        <v>7.1399999999999991E-2</v>
      </c>
      <c r="F30" s="55">
        <v>8.4000000000000005E-2</v>
      </c>
      <c r="G30" s="55">
        <v>0.1043</v>
      </c>
      <c r="I30" t="s">
        <v>246</v>
      </c>
      <c r="J30" s="591" t="s">
        <v>175</v>
      </c>
      <c r="K30" s="591"/>
      <c r="L30" s="591"/>
      <c r="M30" s="591"/>
      <c r="N30" s="591"/>
      <c r="O30" s="591"/>
      <c r="P30" s="591"/>
      <c r="Q30" s="591"/>
      <c r="R30" s="66" t="s">
        <v>176</v>
      </c>
      <c r="S30" s="67">
        <f ca="1">IF($J17=$A$145,0,ROUND((((1+S21+S22+S23)*(1+S24)*(1+S25)/(1-(S26+S27+S28)))-1),4))</f>
        <v>0.22470000000000001</v>
      </c>
    </row>
    <row r="31" spans="1:26" ht="25.5" x14ac:dyDescent="0.2">
      <c r="A31" s="50" t="str">
        <f>A30</f>
        <v>Obras Portuárias, Marítimas e Fluviais</v>
      </c>
      <c r="B31" s="59" t="s">
        <v>150</v>
      </c>
      <c r="C31" s="50" t="str">
        <f t="shared" si="0"/>
        <v>Obras Portuárias, Marítimas e Fluviais-BDI PAD</v>
      </c>
      <c r="E31" s="55">
        <v>0.22800000000000001</v>
      </c>
      <c r="F31" s="55">
        <v>0.27479999999999999</v>
      </c>
      <c r="G31" s="55">
        <v>0.3095</v>
      </c>
      <c r="I31" t="s">
        <v>246</v>
      </c>
    </row>
    <row r="32" spans="1:26" ht="15.75" x14ac:dyDescent="0.2">
      <c r="A32" s="50" t="s">
        <v>177</v>
      </c>
      <c r="B32" s="54" t="s">
        <v>142</v>
      </c>
      <c r="C32" s="50" t="str">
        <f t="shared" si="0"/>
        <v>Fornecimento de Materiais e Equipamentos (aquisição indireta - em conjunto com licitação de obras)-AC</v>
      </c>
      <c r="E32" s="55">
        <v>1.4999999999999999E-2</v>
      </c>
      <c r="F32" s="55">
        <v>3.4500000000000003E-2</v>
      </c>
      <c r="G32" s="55">
        <v>4.4900000000000002E-2</v>
      </c>
      <c r="I32" t="s">
        <v>246</v>
      </c>
      <c r="J32" s="68" t="str">
        <f ca="1">IF(U29&lt;&gt;"ok","X","")</f>
        <v/>
      </c>
      <c r="K32" s="592" t="str">
        <f ca="1">IF(U29&lt;&gt;"ok","Anexo: Relatório Técnico Circunstanciado justificando a adoção do percentual de cada parcela do BDI.","")</f>
        <v/>
      </c>
      <c r="L32" s="592"/>
      <c r="M32" s="592"/>
      <c r="N32" s="592"/>
      <c r="O32" s="592"/>
      <c r="P32" s="592"/>
      <c r="Q32" s="592"/>
      <c r="R32" s="592"/>
      <c r="S32" s="592"/>
    </row>
    <row r="33" spans="1:19" x14ac:dyDescent="0.2">
      <c r="A33" s="50" t="str">
        <f>A32</f>
        <v>Fornecimento de Materiais e Equipamentos (aquisição indireta - em conjunto com licitação de obras)</v>
      </c>
      <c r="B33" s="54" t="s">
        <v>144</v>
      </c>
      <c r="C33" s="50" t="str">
        <f t="shared" si="0"/>
        <v>Fornecimento de Materiais e Equipamentos (aquisição indireta - em conjunto com licitação de obras)-SG</v>
      </c>
      <c r="E33" s="55">
        <v>3.0000000000000001E-3</v>
      </c>
      <c r="F33" s="55">
        <v>4.7999999999999996E-3</v>
      </c>
      <c r="G33" s="55">
        <v>8.199999999999999E-3</v>
      </c>
      <c r="I33" t="s">
        <v>246</v>
      </c>
    </row>
    <row r="34" spans="1:19" x14ac:dyDescent="0.2">
      <c r="A34" s="50" t="str">
        <f>A33</f>
        <v>Fornecimento de Materiais e Equipamentos (aquisição indireta - em conjunto com licitação de obras)</v>
      </c>
      <c r="B34" s="54" t="s">
        <v>145</v>
      </c>
      <c r="C34" s="50" t="str">
        <f t="shared" si="0"/>
        <v>Fornecimento de Materiais e Equipamentos (aquisição indireta - em conjunto com licitação de obras)-R</v>
      </c>
      <c r="E34" s="55">
        <v>5.6000000000000008E-3</v>
      </c>
      <c r="F34" s="55">
        <v>8.5000000000000006E-3</v>
      </c>
      <c r="G34" s="55">
        <v>8.8999999999999999E-3</v>
      </c>
      <c r="I34" t="s">
        <v>246</v>
      </c>
      <c r="J34" s="594" t="s">
        <v>178</v>
      </c>
      <c r="K34" s="594"/>
      <c r="L34" s="594"/>
      <c r="M34" s="594"/>
      <c r="N34" s="594"/>
      <c r="O34" s="594"/>
      <c r="P34" s="594"/>
      <c r="Q34" s="594"/>
      <c r="R34" s="594"/>
      <c r="S34" s="594"/>
    </row>
    <row r="35" spans="1:19" ht="15.75" x14ac:dyDescent="0.25">
      <c r="A35" s="50" t="str">
        <f>A34</f>
        <v>Fornecimento de Materiais e Equipamentos (aquisição indireta - em conjunto com licitação de obras)</v>
      </c>
      <c r="B35" s="54" t="s">
        <v>148</v>
      </c>
      <c r="C35" s="50" t="str">
        <f t="shared" si="0"/>
        <v>Fornecimento de Materiais e Equipamentos (aquisição indireta - em conjunto com licitação de obras)-DF</v>
      </c>
      <c r="E35" s="55">
        <v>8.5000000000000006E-3</v>
      </c>
      <c r="F35" s="55">
        <v>8.5000000000000006E-3</v>
      </c>
      <c r="G35" s="55">
        <v>1.11E-2</v>
      </c>
      <c r="I35" t="s">
        <v>246</v>
      </c>
      <c r="J35" s="69"/>
      <c r="K35" s="69"/>
      <c r="L35" s="69"/>
      <c r="M35" s="595" t="s">
        <v>179</v>
      </c>
      <c r="N35" s="596" t="str">
        <f>IF($J17=$A$146,"(1+K1+K2)*(1+K3)","(1+AC + S + R + G)*(1 + DF)*(1+L)")</f>
        <v>(1+AC + S + R + G)*(1 + DF)*(1+L)</v>
      </c>
      <c r="O35" s="596"/>
      <c r="P35" s="596"/>
      <c r="Q35" s="597" t="s">
        <v>180</v>
      </c>
      <c r="R35" s="69"/>
      <c r="S35" s="69"/>
    </row>
    <row r="36" spans="1:19" ht="15.75" x14ac:dyDescent="0.2">
      <c r="A36" s="50" t="str">
        <f>A35</f>
        <v>Fornecimento de Materiais e Equipamentos (aquisição indireta - em conjunto com licitação de obras)</v>
      </c>
      <c r="B36" s="54" t="s">
        <v>149</v>
      </c>
      <c r="C36" s="50" t="str">
        <f t="shared" si="0"/>
        <v>Fornecimento de Materiais e Equipamentos (aquisição indireta - em conjunto com licitação de obras)-L</v>
      </c>
      <c r="E36" s="55">
        <v>3.5000000000000003E-2</v>
      </c>
      <c r="F36" s="55">
        <v>5.1100000000000007E-2</v>
      </c>
      <c r="G36" s="55">
        <v>6.2199999999999998E-2</v>
      </c>
      <c r="I36" t="s">
        <v>246</v>
      </c>
      <c r="J36" s="69"/>
      <c r="K36" s="69"/>
      <c r="L36" s="69"/>
      <c r="M36" s="595"/>
      <c r="N36" s="587" t="s">
        <v>181</v>
      </c>
      <c r="O36" s="587"/>
      <c r="P36" s="587"/>
      <c r="Q36" s="597"/>
      <c r="R36" s="69"/>
      <c r="S36" s="69"/>
    </row>
    <row r="37" spans="1:19" ht="15" customHeight="1" x14ac:dyDescent="0.2">
      <c r="A37" s="50" t="str">
        <f>A36</f>
        <v>Fornecimento de Materiais e Equipamentos (aquisição indireta - em conjunto com licitação de obras)</v>
      </c>
      <c r="B37" s="59" t="s">
        <v>150</v>
      </c>
      <c r="C37" s="50" t="str">
        <f t="shared" si="0"/>
        <v>Fornecimento de Materiais e Equipamentos (aquisição indireta - em conjunto com licitação de obras)-BDI PAD</v>
      </c>
      <c r="E37" s="55">
        <v>0.111</v>
      </c>
      <c r="F37" s="55">
        <v>0.14019999999999999</v>
      </c>
      <c r="G37" s="55">
        <v>0.16800000000000001</v>
      </c>
      <c r="I37" t="s">
        <v>246</v>
      </c>
      <c r="J37" s="73"/>
      <c r="K37" s="73"/>
      <c r="L37" s="73"/>
      <c r="M37" s="73"/>
      <c r="N37" s="73"/>
      <c r="O37" s="73"/>
      <c r="P37" s="73"/>
      <c r="Q37" s="73"/>
      <c r="R37" s="73"/>
      <c r="S37" s="73"/>
    </row>
    <row r="38" spans="1:19" ht="50.1" customHeight="1" x14ac:dyDescent="0.2">
      <c r="A38" s="50" t="s">
        <v>182</v>
      </c>
      <c r="B38" s="59" t="s">
        <v>142</v>
      </c>
      <c r="C38" s="50" t="str">
        <f t="shared" si="0"/>
        <v>Fornecimento de Materiais e Equipamentos (aquisição direta)-AC</v>
      </c>
      <c r="E38" s="55" t="s">
        <v>166</v>
      </c>
      <c r="F38" s="55" t="s">
        <v>166</v>
      </c>
      <c r="G38" s="55" t="s">
        <v>166</v>
      </c>
      <c r="I38" t="s">
        <v>246</v>
      </c>
      <c r="J38" s="581" t="str">
        <f>CONCATENATE("Declaro para os devidos fins que, conforme legislação tributária municipal, a base de cálculo deste tipo de obra corresponde à ",$R$10*100,"%, com a respectiva alíquota de ",$R$11*100,"%.")</f>
        <v>Declaro para os devidos fins que, conforme legislação tributária municipal, a base de cálculo deste tipo de obra corresponde à 100%, com a respectiva alíquota de 5%.</v>
      </c>
      <c r="K38" s="581"/>
      <c r="L38" s="581"/>
      <c r="M38" s="581"/>
      <c r="N38" s="581"/>
      <c r="O38" s="581"/>
      <c r="P38" s="581"/>
      <c r="Q38" s="581"/>
      <c r="R38" s="581"/>
      <c r="S38" s="581"/>
    </row>
    <row r="39" spans="1:19" x14ac:dyDescent="0.2">
      <c r="A39" s="50" t="s">
        <v>182</v>
      </c>
      <c r="B39" s="59" t="s">
        <v>144</v>
      </c>
      <c r="C39" s="50" t="str">
        <f t="shared" si="0"/>
        <v>Fornecimento de Materiais e Equipamentos (aquisição direta)-SG</v>
      </c>
      <c r="E39" s="55" t="s">
        <v>166</v>
      </c>
      <c r="F39" s="55" t="s">
        <v>166</v>
      </c>
      <c r="G39" s="55" t="s">
        <v>166</v>
      </c>
      <c r="I39" t="s">
        <v>246</v>
      </c>
    </row>
    <row r="40" spans="1:19" ht="50.1" customHeight="1" x14ac:dyDescent="0.2">
      <c r="A40" s="50" t="s">
        <v>182</v>
      </c>
      <c r="B40" s="59" t="s">
        <v>145</v>
      </c>
      <c r="C40" s="50" t="str">
        <f t="shared" si="0"/>
        <v>Fornecimento de Materiais e Equipamentos (aquisição direta)-R</v>
      </c>
      <c r="E40" s="55" t="s">
        <v>166</v>
      </c>
      <c r="F40" s="55" t="s">
        <v>166</v>
      </c>
      <c r="G40" s="55" t="s">
        <v>166</v>
      </c>
      <c r="I40" t="s">
        <v>246</v>
      </c>
      <c r="J40" s="581" t="str">
        <f ca="1">CONCATENATE("Declaro para os devidos fins que o regime de Contribuição Previdenciária sobre a Receita Bruta adotado para elaboração do orçamento foi ",IF(DESONERACAO="Sim","COM","SEM")," Desoneração, e que esta é a alternativa mais adequada para a Administração Pública.")</f>
        <v>Declaro para os devidos fins que o regime de Contribuição Previdenciária sobre a Receita Bruta adotado para elaboração do orçamento foi SEM Desoneração, e que esta é a alternativa mais adequada para a Administração Pública.</v>
      </c>
      <c r="K40" s="581"/>
      <c r="L40" s="581"/>
      <c r="M40" s="581"/>
      <c r="N40" s="581"/>
      <c r="O40" s="581"/>
      <c r="P40" s="581"/>
      <c r="Q40" s="581"/>
      <c r="R40" s="581"/>
      <c r="S40" s="581"/>
    </row>
    <row r="41" spans="1:19" x14ac:dyDescent="0.2">
      <c r="A41" s="50" t="s">
        <v>182</v>
      </c>
      <c r="B41" s="59" t="s">
        <v>148</v>
      </c>
      <c r="C41" s="50" t="str">
        <f t="shared" si="0"/>
        <v>Fornecimento de Materiais e Equipamentos (aquisição direta)-DF</v>
      </c>
      <c r="E41" s="55" t="s">
        <v>166</v>
      </c>
      <c r="F41" s="55" t="s">
        <v>166</v>
      </c>
      <c r="G41" s="55" t="s">
        <v>166</v>
      </c>
      <c r="I41" t="s">
        <v>246</v>
      </c>
    </row>
    <row r="42" spans="1:19" x14ac:dyDescent="0.2">
      <c r="A42" s="50" t="s">
        <v>182</v>
      </c>
      <c r="B42" s="59" t="s">
        <v>149</v>
      </c>
      <c r="C42" s="50" t="str">
        <f t="shared" si="0"/>
        <v>Fornecimento de Materiais e Equipamentos (aquisição direta)-L</v>
      </c>
      <c r="E42" s="55" t="s">
        <v>166</v>
      </c>
      <c r="F42" s="55" t="s">
        <v>166</v>
      </c>
      <c r="G42" s="55" t="s">
        <v>166</v>
      </c>
      <c r="I42" t="s">
        <v>246</v>
      </c>
      <c r="J42" s="50" t="s">
        <v>187</v>
      </c>
    </row>
    <row r="43" spans="1:19" ht="99.95" customHeight="1" x14ac:dyDescent="0.2">
      <c r="A43" s="50" t="s">
        <v>182</v>
      </c>
      <c r="B43" s="59" t="s">
        <v>150</v>
      </c>
      <c r="C43" s="50" t="str">
        <f t="shared" si="0"/>
        <v>Fornecimento de Materiais e Equipamentos (aquisição direta)-BDI PAD</v>
      </c>
      <c r="E43" s="55" t="s">
        <v>166</v>
      </c>
      <c r="F43" s="55" t="s">
        <v>166</v>
      </c>
      <c r="G43" s="55" t="s">
        <v>166</v>
      </c>
      <c r="I43" t="s">
        <v>246</v>
      </c>
      <c r="J43" s="582"/>
      <c r="K43" s="582"/>
      <c r="L43" s="582"/>
      <c r="M43" s="582"/>
      <c r="N43" s="582"/>
      <c r="O43" s="582"/>
      <c r="P43" s="582"/>
      <c r="Q43" s="582"/>
      <c r="R43" s="582"/>
      <c r="S43" s="582"/>
    </row>
    <row r="44" spans="1:19" x14ac:dyDescent="0.2">
      <c r="A44" s="50" t="s">
        <v>183</v>
      </c>
      <c r="B44" s="54" t="s">
        <v>184</v>
      </c>
      <c r="C44" s="50" t="str">
        <f t="shared" si="0"/>
        <v>Estudos e Projetos, Planos e Gerenciamento e outros correlatos-K1</v>
      </c>
      <c r="E44" s="55" t="s">
        <v>166</v>
      </c>
      <c r="F44" s="55" t="s">
        <v>166</v>
      </c>
      <c r="G44" s="55" t="s">
        <v>166</v>
      </c>
      <c r="I44" t="s">
        <v>246</v>
      </c>
    </row>
    <row r="45" spans="1:19" x14ac:dyDescent="0.2">
      <c r="A45" s="50" t="str">
        <f>A44</f>
        <v>Estudos e Projetos, Planos e Gerenciamento e outros correlatos</v>
      </c>
      <c r="B45" s="54" t="s">
        <v>185</v>
      </c>
      <c r="C45" s="50" t="str">
        <f t="shared" si="0"/>
        <v>Estudos e Projetos, Planos e Gerenciamento e outros correlatos-K2</v>
      </c>
      <c r="E45" s="55" t="s">
        <v>166</v>
      </c>
      <c r="F45" s="55">
        <v>0.2</v>
      </c>
      <c r="G45" s="55" t="s">
        <v>166</v>
      </c>
      <c r="I45" t="s">
        <v>246</v>
      </c>
      <c r="J45" s="583" t="str">
        <f>Import.Município</f>
        <v>Pirapora/MG</v>
      </c>
      <c r="K45" s="583"/>
      <c r="L45" s="583"/>
      <c r="M45" s="583"/>
      <c r="P45" s="584">
        <f ca="1">DADOS!$F$25</f>
        <v>45922</v>
      </c>
      <c r="Q45" s="584"/>
      <c r="R45" s="584"/>
      <c r="S45" s="584"/>
    </row>
    <row r="46" spans="1:19" x14ac:dyDescent="0.2">
      <c r="A46" s="50" t="str">
        <f>A45</f>
        <v>Estudos e Projetos, Planos e Gerenciamento e outros correlatos</v>
      </c>
      <c r="B46" s="54"/>
      <c r="C46" s="50" t="str">
        <f t="shared" si="0"/>
        <v>Estudos e Projetos, Planos e Gerenciamento e outros correlatos-</v>
      </c>
      <c r="E46" s="55" t="s">
        <v>166</v>
      </c>
      <c r="F46" s="55" t="s">
        <v>166</v>
      </c>
      <c r="G46" s="55" t="s">
        <v>166</v>
      </c>
      <c r="I46" t="s">
        <v>246</v>
      </c>
      <c r="J46" s="585" t="s">
        <v>188</v>
      </c>
      <c r="K46" s="585"/>
      <c r="L46" s="585"/>
      <c r="M46" s="585"/>
      <c r="O46" s="74"/>
      <c r="P46" s="75" t="s">
        <v>189</v>
      </c>
      <c r="Q46" s="76"/>
      <c r="R46" s="76"/>
      <c r="S46" s="76"/>
    </row>
    <row r="47" spans="1:19" ht="30" customHeight="1" x14ac:dyDescent="0.2">
      <c r="A47" s="50" t="str">
        <f>A46</f>
        <v>Estudos e Projetos, Planos e Gerenciamento e outros correlatos</v>
      </c>
      <c r="B47" s="54"/>
      <c r="C47" s="50" t="str">
        <f t="shared" si="0"/>
        <v>Estudos e Projetos, Planos e Gerenciamento e outros correlatos-</v>
      </c>
      <c r="E47" s="55" t="s">
        <v>166</v>
      </c>
      <c r="F47" s="55" t="s">
        <v>166</v>
      </c>
      <c r="G47" s="55" t="s">
        <v>166</v>
      </c>
      <c r="I47" t="s">
        <v>246</v>
      </c>
    </row>
    <row r="48" spans="1:19" ht="15" x14ac:dyDescent="0.2">
      <c r="A48" s="50" t="str">
        <f>A47</f>
        <v>Estudos e Projetos, Planos e Gerenciamento e outros correlatos</v>
      </c>
      <c r="B48" s="54" t="s">
        <v>186</v>
      </c>
      <c r="C48" s="50" t="str">
        <f t="shared" si="0"/>
        <v>Estudos e Projetos, Planos e Gerenciamento e outros correlatos-K3</v>
      </c>
      <c r="E48" s="55" t="s">
        <v>166</v>
      </c>
      <c r="F48" s="55">
        <v>0.12</v>
      </c>
      <c r="G48" s="55" t="s">
        <v>166</v>
      </c>
      <c r="I48" t="s">
        <v>246</v>
      </c>
      <c r="J48" s="586"/>
      <c r="K48" s="586"/>
      <c r="L48" s="586"/>
      <c r="M48" s="586"/>
      <c r="N48" s="77"/>
    </row>
    <row r="49" spans="1:26" ht="12.75" customHeight="1" x14ac:dyDescent="0.2">
      <c r="A49" s="50" t="str">
        <f>A48</f>
        <v>Estudos e Projetos, Planos e Gerenciamento e outros correlatos</v>
      </c>
      <c r="B49" s="59" t="s">
        <v>150</v>
      </c>
      <c r="C49" s="50" t="str">
        <f t="shared" si="0"/>
        <v>Estudos e Projetos, Planos e Gerenciamento e outros correlatos-BDI PAD</v>
      </c>
      <c r="E49" s="55" t="s">
        <v>166</v>
      </c>
      <c r="F49" s="55" t="s">
        <v>166</v>
      </c>
      <c r="G49" s="55" t="s">
        <v>166</v>
      </c>
      <c r="I49" t="s">
        <v>246</v>
      </c>
      <c r="J49" s="580" t="s">
        <v>190</v>
      </c>
      <c r="K49" s="580"/>
      <c r="L49" s="580"/>
      <c r="M49" s="580"/>
    </row>
    <row r="50" spans="1:26" ht="14.25" x14ac:dyDescent="0.2">
      <c r="B50" s="59"/>
      <c r="E50" s="55"/>
      <c r="F50" s="55"/>
      <c r="G50" s="55"/>
      <c r="I50" t="s">
        <v>246</v>
      </c>
      <c r="J50" s="78" t="s">
        <v>108</v>
      </c>
      <c r="K50" s="79" t="str">
        <f t="array" ref="K50:K52">Import.RespOrçamento</f>
        <v>Lwan Matheus Costa Souza</v>
      </c>
      <c r="L50" s="80"/>
      <c r="M50" s="80"/>
      <c r="N50" s="77"/>
    </row>
    <row r="51" spans="1:26" ht="14.25" x14ac:dyDescent="0.2">
      <c r="A51"/>
      <c r="B51"/>
      <c r="C51"/>
      <c r="D51"/>
      <c r="E51"/>
      <c r="F51"/>
      <c r="G51"/>
      <c r="I51" t="s">
        <v>246</v>
      </c>
      <c r="J51" s="78" t="s">
        <v>109</v>
      </c>
      <c r="K51" s="79" t="str">
        <v>255.542/D</v>
      </c>
      <c r="L51" s="80"/>
      <c r="M51" s="80"/>
      <c r="N51" s="77"/>
    </row>
    <row r="52" spans="1:26" ht="14.25" x14ac:dyDescent="0.2">
      <c r="A52"/>
      <c r="B52"/>
      <c r="C52"/>
      <c r="D52"/>
      <c r="E52"/>
      <c r="F52"/>
      <c r="G52"/>
      <c r="I52" t="s">
        <v>246</v>
      </c>
      <c r="J52" s="78" t="s">
        <v>110</v>
      </c>
      <c r="K52" s="79" t="str">
        <v>MG20253712585</v>
      </c>
      <c r="L52" s="80"/>
      <c r="M52" s="80"/>
      <c r="N52" s="77"/>
    </row>
    <row r="53" spans="1:26" ht="14.25" x14ac:dyDescent="0.2">
      <c r="A53"/>
      <c r="B53"/>
      <c r="C53"/>
      <c r="D53"/>
      <c r="E53"/>
      <c r="F53"/>
      <c r="G53"/>
      <c r="I53" t="s">
        <v>246</v>
      </c>
      <c r="J53" s="78"/>
      <c r="K53" s="81"/>
      <c r="L53" s="80"/>
      <c r="M53" s="80"/>
      <c r="N53" s="77"/>
    </row>
    <row r="54" spans="1:26" ht="15.75" x14ac:dyDescent="0.25">
      <c r="A54"/>
      <c r="B54"/>
      <c r="C54"/>
      <c r="D54"/>
      <c r="E54"/>
      <c r="F54"/>
      <c r="G54"/>
      <c r="I54" t="str">
        <f ca="1">IF($S$69=0,"","F")</f>
        <v/>
      </c>
      <c r="J54" s="602" t="s">
        <v>191</v>
      </c>
      <c r="K54" s="602"/>
      <c r="L54" s="602"/>
      <c r="M54" s="602"/>
      <c r="N54" s="602"/>
      <c r="O54" s="602"/>
      <c r="P54" s="602"/>
      <c r="Q54" s="602"/>
      <c r="R54" s="602"/>
      <c r="S54" s="602"/>
    </row>
    <row r="55" spans="1:26" x14ac:dyDescent="0.2">
      <c r="A55"/>
      <c r="B55"/>
      <c r="C55"/>
      <c r="D55"/>
      <c r="E55"/>
      <c r="F55"/>
      <c r="G55"/>
      <c r="I55" t="str">
        <f t="shared" ref="I55:I93" ca="1" si="1">IF($S$69=0,"","F")</f>
        <v/>
      </c>
    </row>
    <row r="56" spans="1:26" x14ac:dyDescent="0.2">
      <c r="A56"/>
      <c r="B56"/>
      <c r="C56"/>
      <c r="D56"/>
      <c r="E56"/>
      <c r="F56"/>
      <c r="G56"/>
      <c r="I56" t="str">
        <f t="shared" ca="1" si="1"/>
        <v/>
      </c>
      <c r="J56" s="600" t="s">
        <v>157</v>
      </c>
      <c r="K56" s="600"/>
      <c r="L56" s="600"/>
      <c r="M56" s="600"/>
      <c r="N56" s="600"/>
      <c r="O56" s="600"/>
      <c r="P56" s="600"/>
      <c r="Q56" s="600"/>
      <c r="R56" s="600"/>
      <c r="S56" s="600"/>
    </row>
    <row r="57" spans="1:26" x14ac:dyDescent="0.2">
      <c r="A57"/>
      <c r="B57"/>
      <c r="C57"/>
      <c r="D57"/>
      <c r="E57"/>
      <c r="F57"/>
      <c r="G57"/>
      <c r="I57" t="str">
        <f t="shared" ca="1" si="1"/>
        <v/>
      </c>
      <c r="J57" s="601" t="s">
        <v>409</v>
      </c>
      <c r="K57" s="601"/>
      <c r="L57" s="601"/>
      <c r="M57" s="601"/>
      <c r="N57" s="601"/>
      <c r="O57" s="601"/>
      <c r="P57" s="601"/>
      <c r="Q57" s="601"/>
      <c r="R57" s="601"/>
      <c r="S57" s="601"/>
    </row>
    <row r="58" spans="1:26" x14ac:dyDescent="0.2">
      <c r="A58"/>
      <c r="B58"/>
      <c r="C58"/>
      <c r="D58"/>
      <c r="E58"/>
      <c r="F58"/>
      <c r="G58"/>
      <c r="I58" t="str">
        <f t="shared" ca="1" si="1"/>
        <v/>
      </c>
    </row>
    <row r="59" spans="1:26" ht="12.75" customHeight="1" x14ac:dyDescent="0.2">
      <c r="A59"/>
      <c r="B59"/>
      <c r="C59"/>
      <c r="D59"/>
      <c r="E59"/>
      <c r="F59"/>
      <c r="G59"/>
      <c r="I59" t="str">
        <f t="shared" ca="1" si="1"/>
        <v/>
      </c>
      <c r="J59" s="599" t="s">
        <v>158</v>
      </c>
      <c r="K59" s="599"/>
      <c r="L59" s="599"/>
      <c r="M59" s="599"/>
      <c r="N59" s="599"/>
      <c r="O59" s="599"/>
      <c r="P59" s="599"/>
      <c r="Q59" s="599"/>
      <c r="R59" s="599" t="s">
        <v>159</v>
      </c>
      <c r="S59" s="590" t="s">
        <v>160</v>
      </c>
      <c r="U59" s="590" t="s">
        <v>161</v>
      </c>
      <c r="V59" s="590"/>
      <c r="W59" s="590"/>
      <c r="X59" s="598" t="s">
        <v>162</v>
      </c>
      <c r="Y59" s="598" t="s">
        <v>163</v>
      </c>
      <c r="Z59" s="598" t="s">
        <v>164</v>
      </c>
    </row>
    <row r="60" spans="1:26" ht="12.75" customHeight="1" x14ac:dyDescent="0.2">
      <c r="A60"/>
      <c r="B60"/>
      <c r="C60"/>
      <c r="D60"/>
      <c r="E60"/>
      <c r="F60"/>
      <c r="G60"/>
      <c r="I60" t="str">
        <f t="shared" ca="1" si="1"/>
        <v/>
      </c>
      <c r="J60" s="599"/>
      <c r="K60" s="599"/>
      <c r="L60" s="599"/>
      <c r="M60" s="599"/>
      <c r="N60" s="599"/>
      <c r="O60" s="599"/>
      <c r="P60" s="599"/>
      <c r="Q60" s="599"/>
      <c r="R60" s="599"/>
      <c r="S60" s="590"/>
      <c r="U60" s="590"/>
      <c r="V60" s="590"/>
      <c r="W60" s="590"/>
      <c r="X60" s="598"/>
      <c r="Y60" s="598"/>
      <c r="Z60" s="598"/>
    </row>
    <row r="61" spans="1:26" ht="15" customHeight="1" x14ac:dyDescent="0.2">
      <c r="A61"/>
      <c r="B61"/>
      <c r="C61"/>
      <c r="D61"/>
      <c r="E61"/>
      <c r="F61"/>
      <c r="G61"/>
      <c r="I61" t="str">
        <f t="shared" ca="1" si="1"/>
        <v/>
      </c>
      <c r="J61" s="588" t="str">
        <f>IF($J$17=$A$146,"Encargos Sociais incidentes sobre a mão de obra","Administração Central")</f>
        <v>Administração Central</v>
      </c>
      <c r="K61" s="588"/>
      <c r="L61" s="588"/>
      <c r="M61" s="588"/>
      <c r="N61" s="588"/>
      <c r="O61" s="588"/>
      <c r="P61" s="588"/>
      <c r="Q61" s="588"/>
      <c r="R61" s="61" t="str">
        <f>IF($J57=$A$146,"K1","AC")</f>
        <v>AC</v>
      </c>
      <c r="S61" s="62"/>
      <c r="U61" s="589" t="s">
        <v>166</v>
      </c>
      <c r="V61" s="589"/>
      <c r="W61" s="589"/>
      <c r="X61" s="63" t="e">
        <f>VLOOKUP(CONCATENATE(J57,"-",R61),$C$2:$G$136,3,FALSE)</f>
        <v>#N/A</v>
      </c>
      <c r="Y61" s="63" t="e">
        <f>VLOOKUP(CONCATENATE(J57,"-",R61),$C$2:$G$136,4,FALSE)</f>
        <v>#N/A</v>
      </c>
      <c r="Z61" s="63" t="e">
        <f>VLOOKUP(CONCATENATE(J57,"-",R61),$C$2:$G$136,5,FALSE)</f>
        <v>#N/A</v>
      </c>
    </row>
    <row r="62" spans="1:26" ht="15" customHeight="1" x14ac:dyDescent="0.2">
      <c r="A62"/>
      <c r="B62"/>
      <c r="C62"/>
      <c r="D62"/>
      <c r="E62"/>
      <c r="F62"/>
      <c r="G62"/>
      <c r="I62" t="str">
        <f t="shared" ca="1" si="1"/>
        <v/>
      </c>
      <c r="J62" s="588" t="str">
        <f>IF($J$17=$A$146,"Administração Central da empresa ou consultoria - overhead","Seguro e Garantia")</f>
        <v>Seguro e Garantia</v>
      </c>
      <c r="K62" s="588"/>
      <c r="L62" s="588"/>
      <c r="M62" s="588"/>
      <c r="N62" s="588"/>
      <c r="O62" s="588"/>
      <c r="P62" s="588"/>
      <c r="Q62" s="588"/>
      <c r="R62" s="61" t="str">
        <f>IF($J57=$A$146,"K2","SG")</f>
        <v>SG</v>
      </c>
      <c r="S62" s="62"/>
      <c r="U62" s="589" t="s">
        <v>166</v>
      </c>
      <c r="V62" s="589"/>
      <c r="W62" s="589"/>
      <c r="X62" s="63" t="e">
        <f>VLOOKUP(CONCATENATE(J57,"-",R62),$C$2:$G$136,3,FALSE)</f>
        <v>#N/A</v>
      </c>
      <c r="Y62" s="63" t="e">
        <f>VLOOKUP(CONCATENATE(J57,"-",R62),$C$2:$G$136,4,FALSE)</f>
        <v>#N/A</v>
      </c>
      <c r="Z62" s="63" t="e">
        <f>VLOOKUP(CONCATENATE(J57,"-",R62),$C$2:$G$136,5,FALSE)</f>
        <v>#N/A</v>
      </c>
    </row>
    <row r="63" spans="1:26" ht="15" customHeight="1" x14ac:dyDescent="0.2">
      <c r="A63"/>
      <c r="B63"/>
      <c r="C63"/>
      <c r="D63"/>
      <c r="E63"/>
      <c r="F63"/>
      <c r="G63"/>
      <c r="I63" t="str">
        <f t="shared" ca="1" si="1"/>
        <v/>
      </c>
      <c r="J63" s="588" t="str">
        <f>IF($J$17=$A$146,"","Risco")</f>
        <v>Risco</v>
      </c>
      <c r="K63" s="588"/>
      <c r="L63" s="588"/>
      <c r="M63" s="588"/>
      <c r="N63" s="588"/>
      <c r="O63" s="588"/>
      <c r="P63" s="588"/>
      <c r="Q63" s="588"/>
      <c r="R63" s="61" t="str">
        <f>IF($J57=$A$146,"","R")</f>
        <v>R</v>
      </c>
      <c r="S63" s="62"/>
      <c r="U63" s="589" t="s">
        <v>166</v>
      </c>
      <c r="V63" s="589"/>
      <c r="W63" s="589"/>
      <c r="X63" s="63" t="e">
        <f>VLOOKUP(CONCATENATE(J57,"-",R63),$C$2:$G$136,3,FALSE)</f>
        <v>#N/A</v>
      </c>
      <c r="Y63" s="63" t="e">
        <f>VLOOKUP(CONCATENATE(J57,"-",R63),$C$2:$G$136,4,FALSE)</f>
        <v>#N/A</v>
      </c>
      <c r="Z63" s="63" t="e">
        <f>VLOOKUP(CONCATENATE(J57,"-",R63),$C$2:$G$136,5,FALSE)</f>
        <v>#N/A</v>
      </c>
    </row>
    <row r="64" spans="1:26" ht="15" customHeight="1" x14ac:dyDescent="0.2">
      <c r="A64"/>
      <c r="B64"/>
      <c r="C64"/>
      <c r="D64"/>
      <c r="E64"/>
      <c r="F64"/>
      <c r="G64"/>
      <c r="I64" t="str">
        <f t="shared" ca="1" si="1"/>
        <v/>
      </c>
      <c r="J64" s="588" t="str">
        <f>IF($J$17=$A$146,"","Despesas Financeiras")</f>
        <v>Despesas Financeiras</v>
      </c>
      <c r="K64" s="588"/>
      <c r="L64" s="588"/>
      <c r="M64" s="588"/>
      <c r="N64" s="588"/>
      <c r="O64" s="588"/>
      <c r="P64" s="588"/>
      <c r="Q64" s="588"/>
      <c r="R64" s="61" t="str">
        <f>IF($J57=$A$146,"","DF")</f>
        <v>DF</v>
      </c>
      <c r="S64" s="62"/>
      <c r="U64" s="589" t="s">
        <v>166</v>
      </c>
      <c r="V64" s="589"/>
      <c r="W64" s="589"/>
      <c r="X64" s="63" t="e">
        <f>VLOOKUP(CONCATENATE(J57,"-",R64),$C$2:$G$136,3,FALSE)</f>
        <v>#N/A</v>
      </c>
      <c r="Y64" s="63" t="e">
        <f>VLOOKUP(CONCATENATE(J57,"-",R64),$C$2:$G$136,4,FALSE)</f>
        <v>#N/A</v>
      </c>
      <c r="Z64" s="63" t="e">
        <f>VLOOKUP(CONCATENATE(J57,"-",R64),$C$2:$G$136,5,FALSE)</f>
        <v>#N/A</v>
      </c>
    </row>
    <row r="65" spans="1:26" ht="15" customHeight="1" x14ac:dyDescent="0.2">
      <c r="A65"/>
      <c r="B65"/>
      <c r="C65"/>
      <c r="D65"/>
      <c r="E65"/>
      <c r="F65"/>
      <c r="G65"/>
      <c r="I65" t="str">
        <f t="shared" ca="1" si="1"/>
        <v/>
      </c>
      <c r="J65" s="588" t="str">
        <f>IF($J$17=$A$146,"Margem bruta da empresa de consultoria","Lucro")</f>
        <v>Lucro</v>
      </c>
      <c r="K65" s="588"/>
      <c r="L65" s="588"/>
      <c r="M65" s="588"/>
      <c r="N65" s="588"/>
      <c r="O65" s="588"/>
      <c r="P65" s="588"/>
      <c r="Q65" s="588"/>
      <c r="R65" s="61" t="str">
        <f>IF($J57=$A$146,"K3","L")</f>
        <v>L</v>
      </c>
      <c r="S65" s="62"/>
      <c r="U65" s="589" t="s">
        <v>166</v>
      </c>
      <c r="V65" s="589"/>
      <c r="W65" s="589"/>
      <c r="X65" s="63" t="e">
        <f>VLOOKUP(CONCATENATE(J57,"-",R65),$C$2:$G$136,3,FALSE)</f>
        <v>#N/A</v>
      </c>
      <c r="Y65" s="63" t="e">
        <f>VLOOKUP(CONCATENATE(J57,"-",R65),$C$2:$G$136,4,FALSE)</f>
        <v>#N/A</v>
      </c>
      <c r="Z65" s="63" t="e">
        <f>VLOOKUP(CONCATENATE(J57,"-",R65),$C$2:$G$136,5,FALSE)</f>
        <v>#N/A</v>
      </c>
    </row>
    <row r="66" spans="1:26" ht="15" customHeight="1" x14ac:dyDescent="0.2">
      <c r="A66"/>
      <c r="B66"/>
      <c r="C66"/>
      <c r="D66"/>
      <c r="E66"/>
      <c r="F66"/>
      <c r="G66"/>
      <c r="I66" t="str">
        <f t="shared" ca="1" si="1"/>
        <v/>
      </c>
      <c r="J66" s="588" t="s">
        <v>168</v>
      </c>
      <c r="K66" s="588"/>
      <c r="L66" s="588"/>
      <c r="M66" s="588"/>
      <c r="N66" s="588"/>
      <c r="O66" s="588"/>
      <c r="P66" s="588"/>
      <c r="Q66" s="588"/>
      <c r="R66" s="61" t="s">
        <v>169</v>
      </c>
      <c r="S66" s="62"/>
      <c r="U66" s="589" t="s">
        <v>166</v>
      </c>
      <c r="V66" s="589"/>
      <c r="W66" s="589"/>
      <c r="X66" s="63">
        <v>3.6499999999999998E-2</v>
      </c>
      <c r="Y66" s="63">
        <v>3.6499999999999998E-2</v>
      </c>
      <c r="Z66" s="63">
        <v>3.6499999999999998E-2</v>
      </c>
    </row>
    <row r="67" spans="1:26" ht="15" customHeight="1" x14ac:dyDescent="0.2">
      <c r="A67"/>
      <c r="B67"/>
      <c r="C67"/>
      <c r="D67"/>
      <c r="E67"/>
      <c r="F67"/>
      <c r="G67"/>
      <c r="I67" t="str">
        <f t="shared" ca="1" si="1"/>
        <v/>
      </c>
      <c r="J67" s="588" t="s">
        <v>170</v>
      </c>
      <c r="K67" s="588"/>
      <c r="L67" s="588"/>
      <c r="M67" s="588"/>
      <c r="N67" s="588"/>
      <c r="O67" s="588"/>
      <c r="P67" s="588"/>
      <c r="Q67" s="588"/>
      <c r="R67" s="61" t="s">
        <v>171</v>
      </c>
      <c r="S67" s="63">
        <f ca="1">IF(AND($J57&lt;&gt;$A$145,COUNTA(OFFSET(S60,1,0,6))&gt;0),$R$11*$R$10,0)</f>
        <v>0</v>
      </c>
      <c r="U67" s="589" t="s">
        <v>166</v>
      </c>
      <c r="V67" s="589"/>
      <c r="W67" s="589"/>
      <c r="X67" s="63">
        <v>0</v>
      </c>
      <c r="Y67" s="63">
        <v>2.5000000000000001E-2</v>
      </c>
      <c r="Z67" s="63">
        <v>0.05</v>
      </c>
    </row>
    <row r="68" spans="1:26" ht="15" customHeight="1" x14ac:dyDescent="0.2">
      <c r="A68"/>
      <c r="B68"/>
      <c r="C68"/>
      <c r="D68"/>
      <c r="E68"/>
      <c r="F68"/>
      <c r="G68"/>
      <c r="I68" t="str">
        <f t="shared" ca="1" si="1"/>
        <v/>
      </c>
      <c r="J68" s="588" t="s">
        <v>172</v>
      </c>
      <c r="K68" s="588"/>
      <c r="L68" s="588"/>
      <c r="M68" s="588"/>
      <c r="N68" s="588"/>
      <c r="O68" s="588"/>
      <c r="P68" s="588"/>
      <c r="Q68" s="588"/>
      <c r="R68" s="61" t="s">
        <v>173</v>
      </c>
      <c r="S68" s="63">
        <f ca="1">IF(BDI.Opcao&lt;&gt;"Desonerado",0,IF(AND($J57&lt;&gt;$A$145,COUNTA(OFFSET(S60,1,0,6))&gt;0),4.5%,0%))</f>
        <v>0</v>
      </c>
      <c r="U68" s="589" t="s">
        <v>166</v>
      </c>
      <c r="V68" s="589"/>
      <c r="W68" s="589"/>
      <c r="X68" s="64">
        <v>0</v>
      </c>
      <c r="Y68" s="64">
        <v>4.4999999999999998E-2</v>
      </c>
      <c r="Z68" s="64">
        <v>4.4999999999999998E-2</v>
      </c>
    </row>
    <row r="69" spans="1:26" ht="15" customHeight="1" x14ac:dyDescent="0.2">
      <c r="A69"/>
      <c r="B69"/>
      <c r="C69"/>
      <c r="D69"/>
      <c r="E69"/>
      <c r="F69"/>
      <c r="G69"/>
      <c r="I69" t="str">
        <f t="shared" ca="1" si="1"/>
        <v/>
      </c>
      <c r="J69" s="588" t="s">
        <v>174</v>
      </c>
      <c r="K69" s="588"/>
      <c r="L69" s="588"/>
      <c r="M69" s="588"/>
      <c r="N69" s="588"/>
      <c r="O69" s="588"/>
      <c r="P69" s="588"/>
      <c r="Q69" s="588"/>
      <c r="R69" s="65" t="s">
        <v>150</v>
      </c>
      <c r="S69" s="63">
        <f ca="1">IF($J57=$A$145,0,ROUND((((1+S61+S62+S63)*(1+S64)*(1+S65)/(1-(S66+S67)))-1),4))</f>
        <v>0</v>
      </c>
      <c r="U69" s="590" t="e">
        <f ca="1">IF(OR($J$17=$A$146,$J$17=$A$145,AND(S69&gt;=X69,S69&lt;=Z69)),"OK","FORA DO INTERVALO")</f>
        <v>#N/A</v>
      </c>
      <c r="V69" s="590"/>
      <c r="W69" s="590"/>
      <c r="X69" s="63" t="e">
        <f>IF($J57=$A$145,0,VLOOKUP(CONCATENATE($J57,"-",$R69),$C$2:$G$136,3,FALSE))</f>
        <v>#N/A</v>
      </c>
      <c r="Y69" s="63" t="e">
        <f>IF($J57=$A$145,0,VLOOKUP(CONCATENATE($J57,"-",$R69),$C$2:$G$136,4,FALSE))</f>
        <v>#N/A</v>
      </c>
      <c r="Z69" s="63" t="e">
        <f>IF($J57=$A$145,0,VLOOKUP(CONCATENATE($J57,"-",$R69),$C$2:$G$136,5,FALSE))</f>
        <v>#N/A</v>
      </c>
    </row>
    <row r="70" spans="1:26" ht="15" customHeight="1" x14ac:dyDescent="0.2">
      <c r="A70"/>
      <c r="B70"/>
      <c r="C70"/>
      <c r="D70"/>
      <c r="E70"/>
      <c r="F70"/>
      <c r="G70"/>
      <c r="I70" t="str">
        <f t="shared" ca="1" si="1"/>
        <v/>
      </c>
      <c r="J70" s="591" t="s">
        <v>175</v>
      </c>
      <c r="K70" s="591"/>
      <c r="L70" s="591"/>
      <c r="M70" s="591"/>
      <c r="N70" s="591"/>
      <c r="O70" s="591"/>
      <c r="P70" s="591"/>
      <c r="Q70" s="591"/>
      <c r="R70" s="66" t="s">
        <v>176</v>
      </c>
      <c r="S70" s="67">
        <f ca="1">IF($J57=$A$145,0,ROUND((((1+S61+S62+S63)*(1+S64)*(1+S65)/(1-(S66+S67+S68)))-1),4))</f>
        <v>0</v>
      </c>
    </row>
    <row r="71" spans="1:26" ht="25.5" customHeight="1" x14ac:dyDescent="0.2">
      <c r="A71"/>
      <c r="B71"/>
      <c r="C71"/>
      <c r="D71"/>
      <c r="E71"/>
      <c r="F71"/>
      <c r="G71"/>
      <c r="I71" t="str">
        <f t="shared" ca="1" si="1"/>
        <v/>
      </c>
    </row>
    <row r="72" spans="1:26" ht="15.75" x14ac:dyDescent="0.2">
      <c r="A72"/>
      <c r="B72"/>
      <c r="C72"/>
      <c r="D72"/>
      <c r="E72"/>
      <c r="F72"/>
      <c r="G72"/>
      <c r="I72" t="str">
        <f t="shared" ca="1" si="1"/>
        <v/>
      </c>
      <c r="J72" s="68" t="e">
        <f ca="1">IF(U69&lt;&gt;"ok","X","")</f>
        <v>#N/A</v>
      </c>
      <c r="K72" s="592" t="e">
        <f ca="1">IF(U69&lt;&gt;"ok","Anexo: Relatório Técnico Circunstanciado justificando a adoção do percentual de cada parcela do BDI.","")</f>
        <v>#N/A</v>
      </c>
      <c r="L72" s="592"/>
      <c r="M72" s="592"/>
      <c r="N72" s="592"/>
      <c r="O72" s="592"/>
      <c r="P72" s="592"/>
      <c r="Q72" s="592"/>
      <c r="R72" s="592"/>
      <c r="S72" s="592"/>
    </row>
    <row r="73" spans="1:26" x14ac:dyDescent="0.2">
      <c r="A73"/>
      <c r="B73"/>
      <c r="C73"/>
      <c r="D73"/>
      <c r="E73"/>
      <c r="F73"/>
      <c r="G73"/>
      <c r="I73" t="str">
        <f t="shared" ca="1" si="1"/>
        <v/>
      </c>
    </row>
    <row r="74" spans="1:26" x14ac:dyDescent="0.2">
      <c r="A74"/>
      <c r="B74"/>
      <c r="C74"/>
      <c r="D74"/>
      <c r="E74"/>
      <c r="F74"/>
      <c r="G74"/>
      <c r="I74" t="str">
        <f t="shared" ca="1" si="1"/>
        <v/>
      </c>
      <c r="J74" s="594" t="s">
        <v>178</v>
      </c>
      <c r="K74" s="594"/>
      <c r="L74" s="594"/>
      <c r="M74" s="594"/>
      <c r="N74" s="594"/>
      <c r="O74" s="594"/>
      <c r="P74" s="594"/>
      <c r="Q74" s="594"/>
      <c r="R74" s="594"/>
      <c r="S74" s="594"/>
    </row>
    <row r="75" spans="1:26" ht="15.75" x14ac:dyDescent="0.25">
      <c r="A75"/>
      <c r="B75"/>
      <c r="C75"/>
      <c r="D75"/>
      <c r="E75"/>
      <c r="F75"/>
      <c r="G75"/>
      <c r="I75" t="str">
        <f t="shared" ca="1" si="1"/>
        <v/>
      </c>
      <c r="J75" s="69"/>
      <c r="K75" s="69"/>
      <c r="L75" s="69"/>
      <c r="M75" s="595" t="s">
        <v>179</v>
      </c>
      <c r="N75" s="596" t="str">
        <f>IF($J57=$A$146,"(1+K1+K2)*(1+K3)","(1+AC + S + R + G)*(1 + DF)*(1+L)")</f>
        <v>(1+AC + S + R + G)*(1 + DF)*(1+L)</v>
      </c>
      <c r="O75" s="596"/>
      <c r="P75" s="596"/>
      <c r="Q75" s="597" t="s">
        <v>180</v>
      </c>
      <c r="R75" s="69"/>
      <c r="S75" s="69"/>
    </row>
    <row r="76" spans="1:26" ht="15.75" x14ac:dyDescent="0.2">
      <c r="A76"/>
      <c r="B76"/>
      <c r="C76"/>
      <c r="D76"/>
      <c r="E76"/>
      <c r="F76"/>
      <c r="G76"/>
      <c r="I76" t="str">
        <f t="shared" ca="1" si="1"/>
        <v/>
      </c>
      <c r="J76" s="69"/>
      <c r="K76" s="69"/>
      <c r="L76" s="69"/>
      <c r="M76" s="595"/>
      <c r="N76" s="587" t="s">
        <v>181</v>
      </c>
      <c r="O76" s="587"/>
      <c r="P76" s="587"/>
      <c r="Q76" s="597"/>
      <c r="R76" s="69"/>
      <c r="S76" s="69"/>
    </row>
    <row r="77" spans="1:26" ht="15" customHeight="1" x14ac:dyDescent="0.2">
      <c r="A77"/>
      <c r="B77"/>
      <c r="C77"/>
      <c r="D77"/>
      <c r="E77"/>
      <c r="F77"/>
      <c r="G77"/>
      <c r="I77" t="str">
        <f t="shared" ca="1" si="1"/>
        <v/>
      </c>
      <c r="J77" s="69"/>
      <c r="K77" s="69"/>
      <c r="L77" s="69"/>
      <c r="M77" s="70"/>
      <c r="N77" s="72"/>
      <c r="O77" s="72"/>
      <c r="P77" s="72"/>
      <c r="Q77" s="71"/>
      <c r="R77" s="69"/>
      <c r="S77" s="69"/>
    </row>
    <row r="78" spans="1:26" ht="50.1" customHeight="1" x14ac:dyDescent="0.2">
      <c r="A78"/>
      <c r="B78"/>
      <c r="C78"/>
      <c r="D78"/>
      <c r="E78"/>
      <c r="F78"/>
      <c r="G78"/>
      <c r="I78" t="str">
        <f t="shared" ca="1" si="1"/>
        <v/>
      </c>
      <c r="J78" s="581" t="str">
        <f>CONCATENATE("Declaro para os devidos fins que, conforme legislação tributária municipal, a base de cálculo deste tipo de obra corresponde à ",$R$10*100,"%, com a respectiva alíquota de ",$R$11*100,"%.")</f>
        <v>Declaro para os devidos fins que, conforme legislação tributária municipal, a base de cálculo deste tipo de obra corresponde à 100%, com a respectiva alíquota de 5%.</v>
      </c>
      <c r="K78" s="581"/>
      <c r="L78" s="581"/>
      <c r="M78" s="581"/>
      <c r="N78" s="581"/>
      <c r="O78" s="581"/>
      <c r="P78" s="581"/>
      <c r="Q78" s="581"/>
      <c r="R78" s="581"/>
      <c r="S78" s="581"/>
    </row>
    <row r="79" spans="1:26" x14ac:dyDescent="0.2">
      <c r="A79"/>
      <c r="B79"/>
      <c r="C79"/>
      <c r="D79"/>
      <c r="E79"/>
      <c r="F79"/>
      <c r="G79"/>
      <c r="I79" t="str">
        <f t="shared" ca="1" si="1"/>
        <v/>
      </c>
    </row>
    <row r="80" spans="1:26" ht="50.1" customHeight="1" x14ac:dyDescent="0.2">
      <c r="A80"/>
      <c r="B80"/>
      <c r="C80"/>
      <c r="D80"/>
      <c r="E80"/>
      <c r="F80"/>
      <c r="G80"/>
      <c r="I80" t="str">
        <f t="shared" ca="1" si="1"/>
        <v/>
      </c>
      <c r="J80" s="581" t="str">
        <f ca="1">CONCATENATE("Declaro para os devidos fins que o regime de Contribuição Previdenciária sobre a Receita Bruta adotado para elaboração do orçamento foi ",IF(DESONERACAO="Sim","COM","SEM")," Desoneração, e que esta é a alternativa mais adequada para a Administração Pública.")</f>
        <v>Declaro para os devidos fins que o regime de Contribuição Previdenciária sobre a Receita Bruta adotado para elaboração do orçamento foi SEM Desoneração, e que esta é a alternativa mais adequada para a Administração Pública.</v>
      </c>
      <c r="K80" s="581"/>
      <c r="L80" s="581"/>
      <c r="M80" s="581"/>
      <c r="N80" s="581"/>
      <c r="O80" s="581"/>
      <c r="P80" s="581"/>
      <c r="Q80" s="581"/>
      <c r="R80" s="581"/>
      <c r="S80" s="581"/>
    </row>
    <row r="81" spans="1:19" x14ac:dyDescent="0.2">
      <c r="A81"/>
      <c r="B81"/>
      <c r="C81"/>
      <c r="D81"/>
      <c r="E81"/>
      <c r="F81"/>
      <c r="G81"/>
      <c r="I81" t="str">
        <f t="shared" ca="1" si="1"/>
        <v/>
      </c>
    </row>
    <row r="82" spans="1:19" x14ac:dyDescent="0.2">
      <c r="A82"/>
      <c r="B82"/>
      <c r="C82"/>
      <c r="D82"/>
      <c r="E82"/>
      <c r="F82"/>
      <c r="G82"/>
      <c r="I82" t="str">
        <f t="shared" ca="1" si="1"/>
        <v/>
      </c>
      <c r="J82" s="50" t="s">
        <v>187</v>
      </c>
    </row>
    <row r="83" spans="1:19" ht="99.95" customHeight="1" x14ac:dyDescent="0.2">
      <c r="A83"/>
      <c r="B83"/>
      <c r="C83"/>
      <c r="D83"/>
      <c r="E83"/>
      <c r="F83"/>
      <c r="G83"/>
      <c r="I83" t="str">
        <f t="shared" ca="1" si="1"/>
        <v/>
      </c>
      <c r="J83" s="582"/>
      <c r="K83" s="582"/>
      <c r="L83" s="582"/>
      <c r="M83" s="582"/>
      <c r="N83" s="582"/>
      <c r="O83" s="582"/>
      <c r="P83" s="582"/>
      <c r="Q83" s="582"/>
      <c r="R83" s="582"/>
      <c r="S83" s="582"/>
    </row>
    <row r="84" spans="1:19" x14ac:dyDescent="0.2">
      <c r="A84"/>
      <c r="B84"/>
      <c r="C84"/>
      <c r="D84"/>
      <c r="E84"/>
      <c r="F84"/>
      <c r="G84"/>
      <c r="I84" t="str">
        <f t="shared" ca="1" si="1"/>
        <v/>
      </c>
    </row>
    <row r="85" spans="1:19" x14ac:dyDescent="0.2">
      <c r="A85"/>
      <c r="B85"/>
      <c r="C85"/>
      <c r="D85"/>
      <c r="E85"/>
      <c r="F85"/>
      <c r="G85"/>
      <c r="I85" t="str">
        <f t="shared" ca="1" si="1"/>
        <v/>
      </c>
      <c r="J85" s="583" t="str">
        <f>Import.Município</f>
        <v>Pirapora/MG</v>
      </c>
      <c r="K85" s="583"/>
      <c r="L85" s="583"/>
      <c r="M85" s="583"/>
      <c r="P85" s="584">
        <f ca="1">DADOS!$F$25</f>
        <v>45922</v>
      </c>
      <c r="Q85" s="584"/>
      <c r="R85" s="584"/>
      <c r="S85" s="584"/>
    </row>
    <row r="86" spans="1:19" x14ac:dyDescent="0.2">
      <c r="A86"/>
      <c r="B86"/>
      <c r="C86"/>
      <c r="D86"/>
      <c r="E86"/>
      <c r="F86"/>
      <c r="G86"/>
      <c r="I86" t="str">
        <f t="shared" ca="1" si="1"/>
        <v/>
      </c>
      <c r="J86" s="585" t="s">
        <v>188</v>
      </c>
      <c r="K86" s="585"/>
      <c r="L86" s="585"/>
      <c r="M86" s="585"/>
      <c r="O86" s="74"/>
      <c r="P86" s="75" t="s">
        <v>189</v>
      </c>
      <c r="Q86" s="76"/>
      <c r="R86" s="76"/>
      <c r="S86" s="76"/>
    </row>
    <row r="87" spans="1:19" ht="30" customHeight="1" x14ac:dyDescent="0.2">
      <c r="A87"/>
      <c r="B87"/>
      <c r="C87"/>
      <c r="D87"/>
      <c r="E87"/>
      <c r="F87"/>
      <c r="G87"/>
      <c r="I87" t="str">
        <f t="shared" ca="1" si="1"/>
        <v/>
      </c>
    </row>
    <row r="88" spans="1:19" ht="15" x14ac:dyDescent="0.2">
      <c r="A88"/>
      <c r="B88"/>
      <c r="C88"/>
      <c r="D88"/>
      <c r="E88"/>
      <c r="F88"/>
      <c r="G88"/>
      <c r="I88" t="str">
        <f t="shared" ca="1" si="1"/>
        <v/>
      </c>
      <c r="J88" s="586"/>
      <c r="K88" s="586"/>
      <c r="L88" s="586"/>
      <c r="M88" s="586"/>
      <c r="N88" s="77"/>
    </row>
    <row r="89" spans="1:19" x14ac:dyDescent="0.2">
      <c r="A89"/>
      <c r="B89"/>
      <c r="C89"/>
      <c r="D89"/>
      <c r="E89"/>
      <c r="F89"/>
      <c r="G89"/>
      <c r="I89" t="str">
        <f t="shared" ca="1" si="1"/>
        <v/>
      </c>
      <c r="J89" s="580" t="s">
        <v>190</v>
      </c>
      <c r="K89" s="580"/>
      <c r="L89" s="580"/>
      <c r="M89" s="580"/>
    </row>
    <row r="90" spans="1:19" ht="14.25" x14ac:dyDescent="0.2">
      <c r="A90"/>
      <c r="B90"/>
      <c r="C90"/>
      <c r="D90"/>
      <c r="E90"/>
      <c r="F90"/>
      <c r="G90"/>
      <c r="I90" t="str">
        <f t="shared" ca="1" si="1"/>
        <v/>
      </c>
      <c r="J90" s="78" t="s">
        <v>108</v>
      </c>
      <c r="K90" s="79" t="str">
        <f t="array" ref="K90:K92">Import.RespOrçamento</f>
        <v>Lwan Matheus Costa Souza</v>
      </c>
      <c r="L90" s="80"/>
      <c r="M90" s="80"/>
      <c r="N90" s="77"/>
    </row>
    <row r="91" spans="1:19" ht="14.25" x14ac:dyDescent="0.2">
      <c r="A91"/>
      <c r="B91"/>
      <c r="C91"/>
      <c r="D91"/>
      <c r="E91"/>
      <c r="F91"/>
      <c r="G91"/>
      <c r="I91" t="str">
        <f t="shared" ca="1" si="1"/>
        <v/>
      </c>
      <c r="J91" s="78" t="s">
        <v>109</v>
      </c>
      <c r="K91" s="79" t="str">
        <v>255.542/D</v>
      </c>
      <c r="L91" s="80"/>
      <c r="M91" s="80"/>
      <c r="N91" s="77"/>
    </row>
    <row r="92" spans="1:19" ht="14.25" x14ac:dyDescent="0.2">
      <c r="A92"/>
      <c r="B92"/>
      <c r="C92"/>
      <c r="D92"/>
      <c r="E92"/>
      <c r="F92"/>
      <c r="G92"/>
      <c r="I92" t="str">
        <f t="shared" ca="1" si="1"/>
        <v/>
      </c>
      <c r="J92" s="78" t="s">
        <v>110</v>
      </c>
      <c r="K92" s="79" t="str">
        <v>MG20253712585</v>
      </c>
      <c r="L92" s="80"/>
      <c r="M92" s="80"/>
      <c r="N92" s="77"/>
    </row>
    <row r="93" spans="1:19" ht="14.25" x14ac:dyDescent="0.2">
      <c r="A93"/>
      <c r="B93"/>
      <c r="C93"/>
      <c r="D93"/>
      <c r="E93"/>
      <c r="F93"/>
      <c r="G93"/>
      <c r="I93" t="str">
        <f t="shared" ca="1" si="1"/>
        <v/>
      </c>
      <c r="J93" s="78"/>
      <c r="K93" s="81"/>
      <c r="L93" s="80"/>
      <c r="M93" s="80"/>
      <c r="N93" s="77"/>
    </row>
    <row r="94" spans="1:19" ht="15.75" x14ac:dyDescent="0.25">
      <c r="A94"/>
      <c r="B94"/>
      <c r="C94"/>
      <c r="D94"/>
      <c r="E94"/>
      <c r="F94"/>
      <c r="G94"/>
      <c r="I94" t="str">
        <f ca="1">IF($S$109=0,"","F")</f>
        <v/>
      </c>
      <c r="J94" s="602" t="s">
        <v>192</v>
      </c>
      <c r="K94" s="602"/>
      <c r="L94" s="602"/>
      <c r="M94" s="602"/>
      <c r="N94" s="602"/>
      <c r="O94" s="602"/>
      <c r="P94" s="602"/>
      <c r="Q94" s="602"/>
      <c r="R94" s="602"/>
      <c r="S94" s="602"/>
    </row>
    <row r="95" spans="1:19" x14ac:dyDescent="0.2">
      <c r="A95"/>
      <c r="B95"/>
      <c r="C95"/>
      <c r="D95"/>
      <c r="E95"/>
      <c r="F95"/>
      <c r="G95"/>
      <c r="I95" t="str">
        <f t="shared" ref="I95:I132" ca="1" si="2">IF($S$109=0,"","F")</f>
        <v/>
      </c>
    </row>
    <row r="96" spans="1:19" x14ac:dyDescent="0.2">
      <c r="A96"/>
      <c r="B96"/>
      <c r="C96"/>
      <c r="D96"/>
      <c r="E96"/>
      <c r="F96"/>
      <c r="G96"/>
      <c r="I96" t="str">
        <f t="shared" ca="1" si="2"/>
        <v/>
      </c>
      <c r="J96" s="600" t="s">
        <v>157</v>
      </c>
      <c r="K96" s="600"/>
      <c r="L96" s="600"/>
      <c r="M96" s="600"/>
      <c r="N96" s="600"/>
      <c r="O96" s="600"/>
      <c r="P96" s="600"/>
      <c r="Q96" s="600"/>
      <c r="R96" s="600"/>
      <c r="S96" s="600"/>
    </row>
    <row r="97" spans="1:26" x14ac:dyDescent="0.2">
      <c r="A97"/>
      <c r="B97"/>
      <c r="C97"/>
      <c r="D97"/>
      <c r="E97"/>
      <c r="F97"/>
      <c r="G97"/>
      <c r="I97" t="str">
        <f t="shared" ca="1" si="2"/>
        <v/>
      </c>
      <c r="J97" s="601" t="s">
        <v>409</v>
      </c>
      <c r="K97" s="601"/>
      <c r="L97" s="601"/>
      <c r="M97" s="601"/>
      <c r="N97" s="601"/>
      <c r="O97" s="601"/>
      <c r="P97" s="601"/>
      <c r="Q97" s="601"/>
      <c r="R97" s="601"/>
      <c r="S97" s="601"/>
    </row>
    <row r="98" spans="1:26" x14ac:dyDescent="0.2">
      <c r="A98"/>
      <c r="B98"/>
      <c r="C98"/>
      <c r="D98"/>
      <c r="E98"/>
      <c r="F98"/>
      <c r="G98"/>
      <c r="I98" t="str">
        <f t="shared" ca="1" si="2"/>
        <v/>
      </c>
    </row>
    <row r="99" spans="1:26" ht="12.75" customHeight="1" x14ac:dyDescent="0.2">
      <c r="A99"/>
      <c r="B99"/>
      <c r="C99"/>
      <c r="D99"/>
      <c r="E99"/>
      <c r="F99"/>
      <c r="G99"/>
      <c r="I99" t="str">
        <f t="shared" ca="1" si="2"/>
        <v/>
      </c>
      <c r="J99" s="599" t="s">
        <v>158</v>
      </c>
      <c r="K99" s="599"/>
      <c r="L99" s="599"/>
      <c r="M99" s="599"/>
      <c r="N99" s="599"/>
      <c r="O99" s="599"/>
      <c r="P99" s="599"/>
      <c r="Q99" s="599"/>
      <c r="R99" s="599" t="s">
        <v>159</v>
      </c>
      <c r="S99" s="590" t="s">
        <v>160</v>
      </c>
      <c r="U99" s="590" t="s">
        <v>161</v>
      </c>
      <c r="V99" s="590"/>
      <c r="W99" s="590"/>
      <c r="X99" s="598" t="s">
        <v>162</v>
      </c>
      <c r="Y99" s="598" t="s">
        <v>163</v>
      </c>
      <c r="Z99" s="598" t="s">
        <v>164</v>
      </c>
    </row>
    <row r="100" spans="1:26" ht="12.75" customHeight="1" x14ac:dyDescent="0.2">
      <c r="A100"/>
      <c r="B100"/>
      <c r="C100"/>
      <c r="D100"/>
      <c r="E100"/>
      <c r="F100"/>
      <c r="G100"/>
      <c r="I100" t="str">
        <f t="shared" ca="1" si="2"/>
        <v/>
      </c>
      <c r="J100" s="599"/>
      <c r="K100" s="599"/>
      <c r="L100" s="599"/>
      <c r="M100" s="599"/>
      <c r="N100" s="599"/>
      <c r="O100" s="599"/>
      <c r="P100" s="599"/>
      <c r="Q100" s="599"/>
      <c r="R100" s="599"/>
      <c r="S100" s="590"/>
      <c r="U100" s="590"/>
      <c r="V100" s="590"/>
      <c r="W100" s="590"/>
      <c r="X100" s="598"/>
      <c r="Y100" s="598"/>
      <c r="Z100" s="598"/>
    </row>
    <row r="101" spans="1:26" ht="15" customHeight="1" x14ac:dyDescent="0.2">
      <c r="A101"/>
      <c r="B101"/>
      <c r="C101"/>
      <c r="D101"/>
      <c r="E101"/>
      <c r="F101"/>
      <c r="G101"/>
      <c r="I101" t="str">
        <f t="shared" ca="1" si="2"/>
        <v/>
      </c>
      <c r="J101" s="588" t="str">
        <f>IF($J$17=$A$146,"Encargos Sociais incidentes sobre a mão de obra","Administração Central")</f>
        <v>Administração Central</v>
      </c>
      <c r="K101" s="588"/>
      <c r="L101" s="588"/>
      <c r="M101" s="588"/>
      <c r="N101" s="588"/>
      <c r="O101" s="588"/>
      <c r="P101" s="588"/>
      <c r="Q101" s="588"/>
      <c r="R101" s="61" t="str">
        <f>IF($J97=$A$146,"K1","AC")</f>
        <v>AC</v>
      </c>
      <c r="S101" s="62"/>
      <c r="U101" s="589" t="s">
        <v>166</v>
      </c>
      <c r="V101" s="589"/>
      <c r="W101" s="589"/>
      <c r="X101" s="63" t="e">
        <f>VLOOKUP(CONCATENATE(J97,"-",R101),$C$2:$G$136,3,FALSE)</f>
        <v>#N/A</v>
      </c>
      <c r="Y101" s="63" t="e">
        <f>VLOOKUP(CONCATENATE(J97,"-",R101),$C$2:$G$136,4,FALSE)</f>
        <v>#N/A</v>
      </c>
      <c r="Z101" s="63" t="e">
        <f>VLOOKUP(CONCATENATE(J97,"-",R101),$C$2:$G$136,5,FALSE)</f>
        <v>#N/A</v>
      </c>
    </row>
    <row r="102" spans="1:26" ht="15" customHeight="1" x14ac:dyDescent="0.2">
      <c r="A102"/>
      <c r="B102"/>
      <c r="C102"/>
      <c r="D102"/>
      <c r="E102"/>
      <c r="F102"/>
      <c r="G102"/>
      <c r="I102" t="str">
        <f t="shared" ca="1" si="2"/>
        <v/>
      </c>
      <c r="J102" s="588" t="str">
        <f>IF($J$17=$A$146,"Administração Central da empresa ou consultoria - overhead","Seguro e Garantia")</f>
        <v>Seguro e Garantia</v>
      </c>
      <c r="K102" s="588"/>
      <c r="L102" s="588"/>
      <c r="M102" s="588"/>
      <c r="N102" s="588"/>
      <c r="O102" s="588"/>
      <c r="P102" s="588"/>
      <c r="Q102" s="588"/>
      <c r="R102" s="61" t="str">
        <f>IF($J97=$A$146,"K2","SG")</f>
        <v>SG</v>
      </c>
      <c r="S102" s="62"/>
      <c r="U102" s="589" t="s">
        <v>166</v>
      </c>
      <c r="V102" s="589"/>
      <c r="W102" s="589"/>
      <c r="X102" s="63" t="e">
        <f>VLOOKUP(CONCATENATE(J97,"-",R102),$C$2:$G$136,3,FALSE)</f>
        <v>#N/A</v>
      </c>
      <c r="Y102" s="63" t="e">
        <f>VLOOKUP(CONCATENATE(J97,"-",R102),$C$2:$G$136,4,FALSE)</f>
        <v>#N/A</v>
      </c>
      <c r="Z102" s="63" t="e">
        <f>VLOOKUP(CONCATENATE(J97,"-",R102),$C$2:$G$136,5,FALSE)</f>
        <v>#N/A</v>
      </c>
    </row>
    <row r="103" spans="1:26" ht="15" customHeight="1" x14ac:dyDescent="0.2">
      <c r="A103"/>
      <c r="B103"/>
      <c r="C103"/>
      <c r="D103"/>
      <c r="E103"/>
      <c r="F103"/>
      <c r="G103"/>
      <c r="I103" t="str">
        <f t="shared" ca="1" si="2"/>
        <v/>
      </c>
      <c r="J103" s="588" t="str">
        <f>IF($J$17=$A$146,"","Risco")</f>
        <v>Risco</v>
      </c>
      <c r="K103" s="588"/>
      <c r="L103" s="588"/>
      <c r="M103" s="588"/>
      <c r="N103" s="588"/>
      <c r="O103" s="588"/>
      <c r="P103" s="588"/>
      <c r="Q103" s="588"/>
      <c r="R103" s="61" t="str">
        <f>IF($J97=$A$146,"","R")</f>
        <v>R</v>
      </c>
      <c r="S103" s="62"/>
      <c r="U103" s="589" t="s">
        <v>166</v>
      </c>
      <c r="V103" s="589"/>
      <c r="W103" s="589"/>
      <c r="X103" s="63" t="e">
        <f>VLOOKUP(CONCATENATE(J97,"-",R103),$C$2:$G$136,3,FALSE)</f>
        <v>#N/A</v>
      </c>
      <c r="Y103" s="63" t="e">
        <f>VLOOKUP(CONCATENATE(J97,"-",R103),$C$2:$G$136,4,FALSE)</f>
        <v>#N/A</v>
      </c>
      <c r="Z103" s="63" t="e">
        <f>VLOOKUP(CONCATENATE(J97,"-",R103),$C$2:$G$136,5,FALSE)</f>
        <v>#N/A</v>
      </c>
    </row>
    <row r="104" spans="1:26" ht="15" customHeight="1" x14ac:dyDescent="0.2">
      <c r="A104"/>
      <c r="B104"/>
      <c r="C104"/>
      <c r="D104"/>
      <c r="E104"/>
      <c r="F104"/>
      <c r="G104"/>
      <c r="I104" t="str">
        <f t="shared" ca="1" si="2"/>
        <v/>
      </c>
      <c r="J104" s="588" t="str">
        <f>IF($J$17=$A$146,"","Despesas Financeiras")</f>
        <v>Despesas Financeiras</v>
      </c>
      <c r="K104" s="588"/>
      <c r="L104" s="588"/>
      <c r="M104" s="588"/>
      <c r="N104" s="588"/>
      <c r="O104" s="588"/>
      <c r="P104" s="588"/>
      <c r="Q104" s="588"/>
      <c r="R104" s="61" t="str">
        <f>IF($J97=$A$146,"","DF")</f>
        <v>DF</v>
      </c>
      <c r="S104" s="62"/>
      <c r="U104" s="589" t="s">
        <v>166</v>
      </c>
      <c r="V104" s="589"/>
      <c r="W104" s="589"/>
      <c r="X104" s="63" t="e">
        <f>VLOOKUP(CONCATENATE(J97,"-",R104),$C$2:$G$136,3,FALSE)</f>
        <v>#N/A</v>
      </c>
      <c r="Y104" s="63" t="e">
        <f>VLOOKUP(CONCATENATE(J97,"-",R104),$C$2:$G$136,4,FALSE)</f>
        <v>#N/A</v>
      </c>
      <c r="Z104" s="63" t="e">
        <f>VLOOKUP(CONCATENATE(J97,"-",R104),$C$2:$G$136,5,FALSE)</f>
        <v>#N/A</v>
      </c>
    </row>
    <row r="105" spans="1:26" ht="15" customHeight="1" x14ac:dyDescent="0.2">
      <c r="A105"/>
      <c r="B105"/>
      <c r="C105"/>
      <c r="D105"/>
      <c r="E105"/>
      <c r="F105"/>
      <c r="G105"/>
      <c r="I105" t="str">
        <f t="shared" ca="1" si="2"/>
        <v/>
      </c>
      <c r="J105" s="588" t="str">
        <f>IF($J$17=$A$146,"Margem bruta da empresa de consultoria","Lucro")</f>
        <v>Lucro</v>
      </c>
      <c r="K105" s="588"/>
      <c r="L105" s="588"/>
      <c r="M105" s="588"/>
      <c r="N105" s="588"/>
      <c r="O105" s="588"/>
      <c r="P105" s="588"/>
      <c r="Q105" s="588"/>
      <c r="R105" s="61" t="str">
        <f>IF($J97=$A$146,"K3","L")</f>
        <v>L</v>
      </c>
      <c r="S105" s="62"/>
      <c r="U105" s="589" t="s">
        <v>166</v>
      </c>
      <c r="V105" s="589"/>
      <c r="W105" s="589"/>
      <c r="X105" s="63" t="e">
        <f>VLOOKUP(CONCATENATE(J97,"-",R105),$C$2:$G$136,3,FALSE)</f>
        <v>#N/A</v>
      </c>
      <c r="Y105" s="63" t="e">
        <f>VLOOKUP(CONCATENATE(J97,"-",R105),$C$2:$G$136,4,FALSE)</f>
        <v>#N/A</v>
      </c>
      <c r="Z105" s="63" t="e">
        <f>VLOOKUP(CONCATENATE(J97,"-",R105),$C$2:$G$136,5,FALSE)</f>
        <v>#N/A</v>
      </c>
    </row>
    <row r="106" spans="1:26" ht="15" customHeight="1" x14ac:dyDescent="0.2">
      <c r="A106"/>
      <c r="B106"/>
      <c r="C106"/>
      <c r="D106"/>
      <c r="E106"/>
      <c r="F106"/>
      <c r="G106"/>
      <c r="I106" t="str">
        <f t="shared" ca="1" si="2"/>
        <v/>
      </c>
      <c r="J106" s="588" t="s">
        <v>168</v>
      </c>
      <c r="K106" s="588"/>
      <c r="L106" s="588"/>
      <c r="M106" s="588"/>
      <c r="N106" s="588"/>
      <c r="O106" s="588"/>
      <c r="P106" s="588"/>
      <c r="Q106" s="588"/>
      <c r="R106" s="61" t="s">
        <v>169</v>
      </c>
      <c r="S106" s="62"/>
      <c r="U106" s="589" t="s">
        <v>166</v>
      </c>
      <c r="V106" s="589"/>
      <c r="W106" s="589"/>
      <c r="X106" s="63">
        <v>3.6499999999999998E-2</v>
      </c>
      <c r="Y106" s="63">
        <v>3.6499999999999998E-2</v>
      </c>
      <c r="Z106" s="63">
        <v>3.6499999999999998E-2</v>
      </c>
    </row>
    <row r="107" spans="1:26" ht="15" customHeight="1" x14ac:dyDescent="0.2">
      <c r="A107"/>
      <c r="B107"/>
      <c r="C107"/>
      <c r="D107"/>
      <c r="E107"/>
      <c r="F107"/>
      <c r="G107"/>
      <c r="I107" t="str">
        <f t="shared" ca="1" si="2"/>
        <v/>
      </c>
      <c r="J107" s="588" t="s">
        <v>170</v>
      </c>
      <c r="K107" s="588"/>
      <c r="L107" s="588"/>
      <c r="M107" s="588"/>
      <c r="N107" s="588"/>
      <c r="O107" s="588"/>
      <c r="P107" s="588"/>
      <c r="Q107" s="588"/>
      <c r="R107" s="61" t="s">
        <v>171</v>
      </c>
      <c r="S107" s="63">
        <f ca="1">IF(AND($J97&lt;&gt;$A$145,COUNTA(OFFSET(S100,1,0,6))&gt;0),$R$11*$R$10,0)</f>
        <v>0</v>
      </c>
      <c r="U107" s="589" t="s">
        <v>166</v>
      </c>
      <c r="V107" s="589"/>
      <c r="W107" s="589"/>
      <c r="X107" s="63">
        <v>0</v>
      </c>
      <c r="Y107" s="63">
        <v>2.5000000000000001E-2</v>
      </c>
      <c r="Z107" s="63">
        <v>0.05</v>
      </c>
    </row>
    <row r="108" spans="1:26" ht="15" customHeight="1" x14ac:dyDescent="0.2">
      <c r="A108"/>
      <c r="B108"/>
      <c r="C108"/>
      <c r="D108"/>
      <c r="E108"/>
      <c r="F108"/>
      <c r="G108"/>
      <c r="I108" t="str">
        <f t="shared" ca="1" si="2"/>
        <v/>
      </c>
      <c r="J108" s="588" t="s">
        <v>172</v>
      </c>
      <c r="K108" s="588"/>
      <c r="L108" s="588"/>
      <c r="M108" s="588"/>
      <c r="N108" s="588"/>
      <c r="O108" s="588"/>
      <c r="P108" s="588"/>
      <c r="Q108" s="588"/>
      <c r="R108" s="61" t="s">
        <v>173</v>
      </c>
      <c r="S108" s="63">
        <f ca="1">IF(BDI.Opcao&lt;&gt;"Desonerado",0,IF(AND($J97&lt;&gt;$A$145,COUNTA(OFFSET(S100,1,0,6))&gt;0),4.5%,0%))</f>
        <v>0</v>
      </c>
      <c r="U108" s="589" t="s">
        <v>166</v>
      </c>
      <c r="V108" s="589"/>
      <c r="W108" s="589"/>
      <c r="X108" s="64">
        <v>0</v>
      </c>
      <c r="Y108" s="64">
        <v>4.4999999999999998E-2</v>
      </c>
      <c r="Z108" s="64">
        <v>4.4999999999999998E-2</v>
      </c>
    </row>
    <row r="109" spans="1:26" ht="15" customHeight="1" x14ac:dyDescent="0.2">
      <c r="A109"/>
      <c r="B109"/>
      <c r="C109"/>
      <c r="D109"/>
      <c r="E109"/>
      <c r="F109"/>
      <c r="G109"/>
      <c r="I109" t="str">
        <f t="shared" ca="1" si="2"/>
        <v/>
      </c>
      <c r="J109" s="588" t="s">
        <v>174</v>
      </c>
      <c r="K109" s="588"/>
      <c r="L109" s="588"/>
      <c r="M109" s="588"/>
      <c r="N109" s="588"/>
      <c r="O109" s="588"/>
      <c r="P109" s="588"/>
      <c r="Q109" s="588"/>
      <c r="R109" s="65" t="s">
        <v>150</v>
      </c>
      <c r="S109" s="63">
        <f ca="1">IF($J97=$A$145,0,ROUND((((1+S101+S102+S103)*(1+S104)*(1+S105)/(1-(S106+S107)))-1),4))</f>
        <v>0</v>
      </c>
      <c r="U109" s="590" t="e">
        <f ca="1">IF(OR($J$17=$A$146,$J$17=$A$145,AND(S109&gt;=X109,S109&lt;=Z109)),"OK","FORA DO INTERVALO")</f>
        <v>#N/A</v>
      </c>
      <c r="V109" s="590"/>
      <c r="W109" s="590"/>
      <c r="X109" s="63" t="e">
        <f>IF($J97=$A$145,0,VLOOKUP(CONCATENATE($J97,"-",$R109),$C$2:$G$136,3,FALSE))</f>
        <v>#N/A</v>
      </c>
      <c r="Y109" s="63" t="e">
        <f>IF($J97=$A$145,0,VLOOKUP(CONCATENATE($J97,"-",$R109),$C$2:$G$136,4,FALSE))</f>
        <v>#N/A</v>
      </c>
      <c r="Z109" s="63" t="e">
        <f>IF($J97=$A$145,0,VLOOKUP(CONCATENATE($J97,"-",$R109),$C$2:$G$136,5,FALSE))</f>
        <v>#N/A</v>
      </c>
    </row>
    <row r="110" spans="1:26" ht="15" customHeight="1" x14ac:dyDescent="0.2">
      <c r="A110"/>
      <c r="B110"/>
      <c r="C110"/>
      <c r="D110"/>
      <c r="E110"/>
      <c r="F110"/>
      <c r="G110"/>
      <c r="I110" t="str">
        <f t="shared" ca="1" si="2"/>
        <v/>
      </c>
      <c r="J110" s="591" t="s">
        <v>175</v>
      </c>
      <c r="K110" s="591"/>
      <c r="L110" s="591"/>
      <c r="M110" s="591"/>
      <c r="N110" s="591"/>
      <c r="O110" s="591"/>
      <c r="P110" s="591"/>
      <c r="Q110" s="591"/>
      <c r="R110" s="66" t="s">
        <v>176</v>
      </c>
      <c r="S110" s="67">
        <f ca="1">IF($J97=$A$145,0,ROUND((((1+S101+S102+S103)*(1+S104)*(1+S105)/(1-(S106+S107+S108)))-1),4))</f>
        <v>0</v>
      </c>
    </row>
    <row r="111" spans="1:26" ht="25.5" customHeight="1" x14ac:dyDescent="0.2">
      <c r="A111"/>
      <c r="B111"/>
      <c r="C111"/>
      <c r="D111"/>
      <c r="E111"/>
      <c r="F111"/>
      <c r="G111"/>
      <c r="I111" t="str">
        <f t="shared" ca="1" si="2"/>
        <v/>
      </c>
    </row>
    <row r="112" spans="1:26" ht="15.75" x14ac:dyDescent="0.2">
      <c r="A112"/>
      <c r="B112"/>
      <c r="C112"/>
      <c r="D112"/>
      <c r="E112"/>
      <c r="F112"/>
      <c r="G112"/>
      <c r="I112" t="str">
        <f t="shared" ca="1" si="2"/>
        <v/>
      </c>
      <c r="J112" s="68" t="e">
        <f ca="1">IF(U109&lt;&gt;"ok","X","")</f>
        <v>#N/A</v>
      </c>
      <c r="K112" s="592" t="e">
        <f ca="1">IF(U109&lt;&gt;"ok","Anexo: Relatório Técnico Circunstanciado justificando a adoção do percentual de cada parcela do BDI.","")</f>
        <v>#N/A</v>
      </c>
      <c r="L112" s="592"/>
      <c r="M112" s="592"/>
      <c r="N112" s="592"/>
      <c r="O112" s="592"/>
      <c r="P112" s="592"/>
      <c r="Q112" s="592"/>
      <c r="R112" s="592"/>
      <c r="S112" s="592"/>
    </row>
    <row r="113" spans="1:19" x14ac:dyDescent="0.2">
      <c r="A113"/>
      <c r="B113"/>
      <c r="C113"/>
      <c r="D113"/>
      <c r="E113"/>
      <c r="F113"/>
      <c r="G113"/>
      <c r="I113" t="str">
        <f t="shared" ca="1" si="2"/>
        <v/>
      </c>
    </row>
    <row r="114" spans="1:19" x14ac:dyDescent="0.2">
      <c r="A114"/>
      <c r="B114"/>
      <c r="C114"/>
      <c r="D114"/>
      <c r="E114"/>
      <c r="F114"/>
      <c r="G114"/>
      <c r="I114" t="str">
        <f t="shared" ca="1" si="2"/>
        <v/>
      </c>
      <c r="J114" s="594" t="s">
        <v>178</v>
      </c>
      <c r="K114" s="594"/>
      <c r="L114" s="594"/>
      <c r="M114" s="594"/>
      <c r="N114" s="594"/>
      <c r="O114" s="594"/>
      <c r="P114" s="594"/>
      <c r="Q114" s="594"/>
      <c r="R114" s="594"/>
      <c r="S114" s="594"/>
    </row>
    <row r="115" spans="1:19" ht="15.75" x14ac:dyDescent="0.25">
      <c r="A115"/>
      <c r="B115"/>
      <c r="C115"/>
      <c r="D115"/>
      <c r="E115"/>
      <c r="F115"/>
      <c r="G115"/>
      <c r="I115" t="str">
        <f t="shared" ca="1" si="2"/>
        <v/>
      </c>
      <c r="J115" s="69"/>
      <c r="K115" s="69"/>
      <c r="L115" s="69"/>
      <c r="M115" s="595" t="s">
        <v>179</v>
      </c>
      <c r="N115" s="596" t="str">
        <f>IF($J97=$A$146,"(1+K1+K2)*(1+K3)","(1+AC + S + R + G)*(1 + DF)*(1+L)")</f>
        <v>(1+AC + S + R + G)*(1 + DF)*(1+L)</v>
      </c>
      <c r="O115" s="596"/>
      <c r="P115" s="596"/>
      <c r="Q115" s="597" t="s">
        <v>180</v>
      </c>
      <c r="R115" s="69"/>
      <c r="S115" s="69"/>
    </row>
    <row r="116" spans="1:19" ht="15.75" x14ac:dyDescent="0.2">
      <c r="A116"/>
      <c r="B116"/>
      <c r="C116"/>
      <c r="D116"/>
      <c r="E116"/>
      <c r="F116"/>
      <c r="G116"/>
      <c r="I116" t="str">
        <f t="shared" ca="1" si="2"/>
        <v/>
      </c>
      <c r="J116" s="69"/>
      <c r="K116" s="69"/>
      <c r="L116" s="69"/>
      <c r="M116" s="595"/>
      <c r="N116" s="587" t="s">
        <v>181</v>
      </c>
      <c r="O116" s="587"/>
      <c r="P116" s="587"/>
      <c r="Q116" s="597"/>
      <c r="R116" s="69"/>
      <c r="S116" s="69"/>
    </row>
    <row r="117" spans="1:19" ht="15" customHeight="1" x14ac:dyDescent="0.2">
      <c r="A117"/>
      <c r="B117"/>
      <c r="C117"/>
      <c r="D117"/>
      <c r="E117"/>
      <c r="F117"/>
      <c r="G117"/>
      <c r="I117" t="str">
        <f t="shared" ca="1" si="2"/>
        <v/>
      </c>
      <c r="J117" s="69"/>
      <c r="K117" s="69"/>
      <c r="L117" s="69"/>
      <c r="M117" s="70"/>
      <c r="N117" s="72"/>
      <c r="O117" s="72"/>
      <c r="P117" s="72"/>
      <c r="Q117" s="71"/>
      <c r="R117" s="69"/>
      <c r="S117" s="69"/>
    </row>
    <row r="118" spans="1:19" ht="50.1" customHeight="1" x14ac:dyDescent="0.2">
      <c r="A118"/>
      <c r="B118"/>
      <c r="C118"/>
      <c r="D118"/>
      <c r="E118"/>
      <c r="F118"/>
      <c r="G118"/>
      <c r="I118" t="str">
        <f t="shared" ca="1" si="2"/>
        <v/>
      </c>
      <c r="J118" s="581" t="str">
        <f>CONCATENATE("Declaro para os devidos fins que, conforme legislação tributária municipal, a base de cálculo deste tipo de obra corresponde à ",$R$10*100,"%, com a respectiva alíquota de ",$R$11*100,"%.")</f>
        <v>Declaro para os devidos fins que, conforme legislação tributária municipal, a base de cálculo deste tipo de obra corresponde à 100%, com a respectiva alíquota de 5%.</v>
      </c>
      <c r="K118" s="581"/>
      <c r="L118" s="581"/>
      <c r="M118" s="581"/>
      <c r="N118" s="581"/>
      <c r="O118" s="581"/>
      <c r="P118" s="581"/>
      <c r="Q118" s="581"/>
      <c r="R118" s="581"/>
      <c r="S118" s="581"/>
    </row>
    <row r="119" spans="1:19" x14ac:dyDescent="0.2">
      <c r="A119"/>
      <c r="B119"/>
      <c r="C119"/>
      <c r="D119"/>
      <c r="E119"/>
      <c r="F119"/>
      <c r="G119"/>
      <c r="I119" t="str">
        <f t="shared" ca="1" si="2"/>
        <v/>
      </c>
    </row>
    <row r="120" spans="1:19" ht="50.1" customHeight="1" x14ac:dyDescent="0.2">
      <c r="A120"/>
      <c r="B120"/>
      <c r="C120"/>
      <c r="D120"/>
      <c r="E120"/>
      <c r="F120"/>
      <c r="G120"/>
      <c r="I120" t="str">
        <f t="shared" ca="1" si="2"/>
        <v/>
      </c>
      <c r="J120" s="581" t="str">
        <f ca="1">CONCATENATE("Declaro para os devidos fins que o regime de Contribuição Previdenciária sobre a Receita Bruta adotado para elaboração do orçamento foi ",IF(DESONERACAO="Sim","COM","SEM")," Desoneração, e que esta é a alternativa mais adequada para a Administração Pública.")</f>
        <v>Declaro para os devidos fins que o regime de Contribuição Previdenciária sobre a Receita Bruta adotado para elaboração do orçamento foi SEM Desoneração, e que esta é a alternativa mais adequada para a Administração Pública.</v>
      </c>
      <c r="K120" s="581"/>
      <c r="L120" s="581"/>
      <c r="M120" s="581"/>
      <c r="N120" s="581"/>
      <c r="O120" s="581"/>
      <c r="P120" s="581"/>
      <c r="Q120" s="581"/>
      <c r="R120" s="581"/>
      <c r="S120" s="581"/>
    </row>
    <row r="121" spans="1:19" x14ac:dyDescent="0.2">
      <c r="A121"/>
      <c r="B121"/>
      <c r="C121"/>
      <c r="D121"/>
      <c r="E121"/>
      <c r="F121"/>
      <c r="G121"/>
      <c r="I121" t="str">
        <f t="shared" ca="1" si="2"/>
        <v/>
      </c>
    </row>
    <row r="122" spans="1:19" x14ac:dyDescent="0.2">
      <c r="A122"/>
      <c r="B122"/>
      <c r="C122"/>
      <c r="D122"/>
      <c r="E122"/>
      <c r="F122"/>
      <c r="G122"/>
      <c r="I122" t="str">
        <f t="shared" ca="1" si="2"/>
        <v/>
      </c>
      <c r="J122" s="50" t="s">
        <v>187</v>
      </c>
    </row>
    <row r="123" spans="1:19" ht="110.1" customHeight="1" x14ac:dyDescent="0.2">
      <c r="A123"/>
      <c r="B123"/>
      <c r="C123"/>
      <c r="D123"/>
      <c r="E123"/>
      <c r="F123"/>
      <c r="G123"/>
      <c r="I123" t="str">
        <f t="shared" ca="1" si="2"/>
        <v/>
      </c>
      <c r="J123" s="582"/>
      <c r="K123" s="582"/>
      <c r="L123" s="582"/>
      <c r="M123" s="582"/>
      <c r="N123" s="582"/>
      <c r="O123" s="582"/>
      <c r="P123" s="582"/>
      <c r="Q123" s="582"/>
      <c r="R123" s="582"/>
      <c r="S123" s="582"/>
    </row>
    <row r="124" spans="1:19" x14ac:dyDescent="0.2">
      <c r="A124"/>
      <c r="B124"/>
      <c r="C124"/>
      <c r="D124"/>
      <c r="E124"/>
      <c r="F124"/>
      <c r="G124"/>
      <c r="I124" t="str">
        <f t="shared" ca="1" si="2"/>
        <v/>
      </c>
    </row>
    <row r="125" spans="1:19" x14ac:dyDescent="0.2">
      <c r="A125"/>
      <c r="B125"/>
      <c r="C125"/>
      <c r="D125"/>
      <c r="E125"/>
      <c r="F125"/>
      <c r="G125"/>
      <c r="I125" t="str">
        <f t="shared" ca="1" si="2"/>
        <v/>
      </c>
      <c r="J125" s="583" t="str">
        <f>Import.Município</f>
        <v>Pirapora/MG</v>
      </c>
      <c r="K125" s="583"/>
      <c r="L125" s="583"/>
      <c r="M125" s="583"/>
      <c r="P125" s="584">
        <f ca="1">DADOS!$F$25</f>
        <v>45922</v>
      </c>
      <c r="Q125" s="584"/>
      <c r="R125" s="584"/>
      <c r="S125" s="584"/>
    </row>
    <row r="126" spans="1:19" x14ac:dyDescent="0.2">
      <c r="A126"/>
      <c r="B126"/>
      <c r="C126"/>
      <c r="D126"/>
      <c r="E126"/>
      <c r="F126"/>
      <c r="G126"/>
      <c r="I126" t="str">
        <f t="shared" ca="1" si="2"/>
        <v/>
      </c>
      <c r="J126" s="585" t="s">
        <v>188</v>
      </c>
      <c r="K126" s="585"/>
      <c r="L126" s="585"/>
      <c r="M126" s="585"/>
      <c r="O126" s="74"/>
      <c r="P126" s="75" t="s">
        <v>189</v>
      </c>
      <c r="Q126" s="76"/>
      <c r="R126" s="76"/>
      <c r="S126" s="76"/>
    </row>
    <row r="127" spans="1:19" ht="30" customHeight="1" x14ac:dyDescent="0.2">
      <c r="A127"/>
      <c r="B127"/>
      <c r="C127"/>
      <c r="D127"/>
      <c r="E127"/>
      <c r="F127"/>
      <c r="G127"/>
      <c r="I127" t="str">
        <f t="shared" ca="1" si="2"/>
        <v/>
      </c>
    </row>
    <row r="128" spans="1:19" ht="15" x14ac:dyDescent="0.2">
      <c r="A128"/>
      <c r="B128"/>
      <c r="C128"/>
      <c r="D128"/>
      <c r="E128"/>
      <c r="F128"/>
      <c r="G128"/>
      <c r="I128" t="str">
        <f t="shared" ca="1" si="2"/>
        <v/>
      </c>
      <c r="J128" s="586"/>
      <c r="K128" s="586"/>
      <c r="L128" s="586"/>
      <c r="M128" s="586"/>
      <c r="N128" s="77"/>
    </row>
    <row r="129" spans="1:14" x14ac:dyDescent="0.2">
      <c r="A129"/>
      <c r="B129"/>
      <c r="C129"/>
      <c r="D129"/>
      <c r="E129"/>
      <c r="F129"/>
      <c r="G129"/>
      <c r="I129" t="str">
        <f t="shared" ca="1" si="2"/>
        <v/>
      </c>
      <c r="J129" s="580" t="s">
        <v>190</v>
      </c>
      <c r="K129" s="580"/>
      <c r="L129" s="580"/>
      <c r="M129" s="580"/>
    </row>
    <row r="130" spans="1:14" ht="14.25" x14ac:dyDescent="0.2">
      <c r="A130"/>
      <c r="B130"/>
      <c r="C130"/>
      <c r="D130"/>
      <c r="E130"/>
      <c r="F130"/>
      <c r="G130"/>
      <c r="I130" t="str">
        <f t="shared" ca="1" si="2"/>
        <v/>
      </c>
      <c r="J130" s="78" t="s">
        <v>108</v>
      </c>
      <c r="K130" s="79" t="str">
        <f t="array" ref="K130:K132">Import.RespOrçamento</f>
        <v>Lwan Matheus Costa Souza</v>
      </c>
      <c r="L130" s="80"/>
      <c r="M130" s="80"/>
      <c r="N130" s="77"/>
    </row>
    <row r="131" spans="1:14" ht="14.25" x14ac:dyDescent="0.2">
      <c r="A131"/>
      <c r="B131"/>
      <c r="C131"/>
      <c r="D131"/>
      <c r="E131"/>
      <c r="F131"/>
      <c r="G131"/>
      <c r="I131" t="str">
        <f t="shared" ca="1" si="2"/>
        <v/>
      </c>
      <c r="J131" s="78" t="s">
        <v>109</v>
      </c>
      <c r="K131" s="79" t="str">
        <v>255.542/D</v>
      </c>
      <c r="L131" s="80"/>
      <c r="M131" s="80"/>
      <c r="N131" s="77"/>
    </row>
    <row r="132" spans="1:14" ht="14.25" x14ac:dyDescent="0.2">
      <c r="A132"/>
      <c r="B132"/>
      <c r="C132"/>
      <c r="D132"/>
      <c r="E132"/>
      <c r="F132"/>
      <c r="G132"/>
      <c r="I132" t="str">
        <f t="shared" ca="1" si="2"/>
        <v/>
      </c>
      <c r="J132" s="78" t="s">
        <v>110</v>
      </c>
      <c r="K132" s="79" t="str">
        <v>MG20253712585</v>
      </c>
      <c r="L132" s="80"/>
      <c r="M132" s="80"/>
      <c r="N132" s="77"/>
    </row>
    <row r="133" spans="1:14" x14ac:dyDescent="0.2">
      <c r="A133"/>
      <c r="B133"/>
      <c r="C133"/>
      <c r="D133"/>
      <c r="E133"/>
      <c r="F133"/>
      <c r="G133"/>
    </row>
    <row r="134" spans="1:14" x14ac:dyDescent="0.2">
      <c r="A134"/>
      <c r="B134"/>
      <c r="C134"/>
      <c r="D134"/>
      <c r="E134"/>
      <c r="F134"/>
      <c r="G134"/>
    </row>
    <row r="135" spans="1:14" x14ac:dyDescent="0.2">
      <c r="A135"/>
      <c r="B135"/>
      <c r="C135"/>
      <c r="D135"/>
      <c r="E135"/>
      <c r="F135"/>
      <c r="G135"/>
    </row>
    <row r="136" spans="1:14" x14ac:dyDescent="0.2">
      <c r="A136"/>
      <c r="B136"/>
      <c r="C136"/>
      <c r="D136"/>
      <c r="E136"/>
      <c r="F136"/>
      <c r="G136"/>
    </row>
    <row r="137" spans="1:14" x14ac:dyDescent="0.2">
      <c r="A137"/>
      <c r="B137"/>
      <c r="C137"/>
      <c r="D137"/>
      <c r="E137"/>
      <c r="F137"/>
      <c r="G137"/>
    </row>
    <row r="138" spans="1:14" x14ac:dyDescent="0.2">
      <c r="A138" s="50" t="s">
        <v>409</v>
      </c>
    </row>
    <row r="139" spans="1:14" x14ac:dyDescent="0.2">
      <c r="A139" s="50" t="s">
        <v>141</v>
      </c>
    </row>
    <row r="140" spans="1:14" x14ac:dyDescent="0.2">
      <c r="A140" s="50" t="s">
        <v>152</v>
      </c>
    </row>
    <row r="141" spans="1:14" x14ac:dyDescent="0.2">
      <c r="A141" s="50" t="s">
        <v>155</v>
      </c>
    </row>
    <row r="142" spans="1:14" x14ac:dyDescent="0.2">
      <c r="A142" s="50" t="s">
        <v>165</v>
      </c>
    </row>
    <row r="143" spans="1:14" x14ac:dyDescent="0.2">
      <c r="A143" s="50" t="s">
        <v>167</v>
      </c>
    </row>
    <row r="144" spans="1:14" x14ac:dyDescent="0.2">
      <c r="A144" s="50" t="s">
        <v>177</v>
      </c>
    </row>
    <row r="145" spans="1:1" x14ac:dyDescent="0.2">
      <c r="A145" s="50" t="s">
        <v>182</v>
      </c>
    </row>
    <row r="146" spans="1:1" x14ac:dyDescent="0.2">
      <c r="A146" s="50" t="s">
        <v>183</v>
      </c>
    </row>
  </sheetData>
  <sheetProtection algorithmName="SHA-512" hashValue="KMNwpBBG6J+u9Qp6xRxYYcUBxU0UcvfvF9Hv2H6bR2Xyq/cpGhInf+dYgqe/7BAs3CJ+pzFgqUehauwI1A/kfw==" saltValue="0giPuxVGRKIBmbbTsKjy0Q==" spinCount="100000" sheet="1" objects="1" scenarios="1" autoFilter="0"/>
  <autoFilter ref="I11:I132"/>
  <mergeCells count="144">
    <mergeCell ref="J5:K5"/>
    <mergeCell ref="L5:M5"/>
    <mergeCell ref="N5:S5"/>
    <mergeCell ref="R1:S1"/>
    <mergeCell ref="R2:S2"/>
    <mergeCell ref="J4:K4"/>
    <mergeCell ref="L4:M4"/>
    <mergeCell ref="N4:S4"/>
    <mergeCell ref="J11:Q11"/>
    <mergeCell ref="R11:S11"/>
    <mergeCell ref="J7:S7"/>
    <mergeCell ref="J8:S8"/>
    <mergeCell ref="J10:Q10"/>
    <mergeCell ref="R10:S10"/>
    <mergeCell ref="X19:X20"/>
    <mergeCell ref="Y19:Y20"/>
    <mergeCell ref="J17:S17"/>
    <mergeCell ref="Z19:Z20"/>
    <mergeCell ref="U19:W20"/>
    <mergeCell ref="J19:Q20"/>
    <mergeCell ref="R19:R20"/>
    <mergeCell ref="S19:S20"/>
    <mergeCell ref="J14:S14"/>
    <mergeCell ref="J16:S16"/>
    <mergeCell ref="J23:Q23"/>
    <mergeCell ref="U23:W23"/>
    <mergeCell ref="J21:Q21"/>
    <mergeCell ref="U21:W21"/>
    <mergeCell ref="J22:Q22"/>
    <mergeCell ref="U22:W22"/>
    <mergeCell ref="J25:Q25"/>
    <mergeCell ref="U25:W25"/>
    <mergeCell ref="J26:Q26"/>
    <mergeCell ref="U26:W26"/>
    <mergeCell ref="J27:Q27"/>
    <mergeCell ref="U27:W27"/>
    <mergeCell ref="J28:Q28"/>
    <mergeCell ref="U28:W28"/>
    <mergeCell ref="J24:Q24"/>
    <mergeCell ref="U24:W24"/>
    <mergeCell ref="N36:P36"/>
    <mergeCell ref="J38:S38"/>
    <mergeCell ref="J30:Q30"/>
    <mergeCell ref="K32:S32"/>
    <mergeCell ref="J29:Q29"/>
    <mergeCell ref="U29:W29"/>
    <mergeCell ref="J34:S34"/>
    <mergeCell ref="M35:M36"/>
    <mergeCell ref="J49:M49"/>
    <mergeCell ref="J54:S54"/>
    <mergeCell ref="J45:M45"/>
    <mergeCell ref="P45:S45"/>
    <mergeCell ref="J46:M46"/>
    <mergeCell ref="J48:M48"/>
    <mergeCell ref="N35:P35"/>
    <mergeCell ref="Q35:Q36"/>
    <mergeCell ref="J40:S40"/>
    <mergeCell ref="J43:S43"/>
    <mergeCell ref="Y59:Y60"/>
    <mergeCell ref="Z59:Z60"/>
    <mergeCell ref="J59:Q60"/>
    <mergeCell ref="R59:R60"/>
    <mergeCell ref="S59:S60"/>
    <mergeCell ref="U59:W60"/>
    <mergeCell ref="X59:X60"/>
    <mergeCell ref="J61:Q61"/>
    <mergeCell ref="U61:W61"/>
    <mergeCell ref="J56:S56"/>
    <mergeCell ref="J57:S57"/>
    <mergeCell ref="J64:Q64"/>
    <mergeCell ref="U64:W64"/>
    <mergeCell ref="J62:Q62"/>
    <mergeCell ref="U62:W62"/>
    <mergeCell ref="J63:Q63"/>
    <mergeCell ref="U63:W63"/>
    <mergeCell ref="J65:Q65"/>
    <mergeCell ref="U65:W65"/>
    <mergeCell ref="J66:Q66"/>
    <mergeCell ref="U66:W66"/>
    <mergeCell ref="U67:W67"/>
    <mergeCell ref="J68:Q68"/>
    <mergeCell ref="U68:W68"/>
    <mergeCell ref="J94:S94"/>
    <mergeCell ref="J85:M85"/>
    <mergeCell ref="P85:S85"/>
    <mergeCell ref="J67:Q67"/>
    <mergeCell ref="J78:S78"/>
    <mergeCell ref="J70:Q70"/>
    <mergeCell ref="K72:S72"/>
    <mergeCell ref="J89:M89"/>
    <mergeCell ref="U69:W69"/>
    <mergeCell ref="J86:M86"/>
    <mergeCell ref="J88:M88"/>
    <mergeCell ref="J74:S74"/>
    <mergeCell ref="M75:M76"/>
    <mergeCell ref="J80:S80"/>
    <mergeCell ref="J83:S83"/>
    <mergeCell ref="N76:P76"/>
    <mergeCell ref="N75:P75"/>
    <mergeCell ref="Q75:Q76"/>
    <mergeCell ref="Y99:Y100"/>
    <mergeCell ref="Z99:Z100"/>
    <mergeCell ref="J99:Q100"/>
    <mergeCell ref="R99:R100"/>
    <mergeCell ref="S99:S100"/>
    <mergeCell ref="X99:X100"/>
    <mergeCell ref="J101:Q101"/>
    <mergeCell ref="U101:W101"/>
    <mergeCell ref="J96:S96"/>
    <mergeCell ref="J97:S97"/>
    <mergeCell ref="U99:W100"/>
    <mergeCell ref="U108:W108"/>
    <mergeCell ref="J109:Q109"/>
    <mergeCell ref="U109:W109"/>
    <mergeCell ref="J110:Q110"/>
    <mergeCell ref="K112:S112"/>
    <mergeCell ref="J118:S118"/>
    <mergeCell ref="I6:I10"/>
    <mergeCell ref="J114:S114"/>
    <mergeCell ref="J107:Q107"/>
    <mergeCell ref="M115:M116"/>
    <mergeCell ref="J105:Q105"/>
    <mergeCell ref="J103:Q103"/>
    <mergeCell ref="J69:Q69"/>
    <mergeCell ref="N115:P115"/>
    <mergeCell ref="Q115:Q116"/>
    <mergeCell ref="J102:Q102"/>
    <mergeCell ref="U102:W102"/>
    <mergeCell ref="U105:W105"/>
    <mergeCell ref="J106:Q106"/>
    <mergeCell ref="U106:W106"/>
    <mergeCell ref="J104:Q104"/>
    <mergeCell ref="U104:W104"/>
    <mergeCell ref="U103:W103"/>
    <mergeCell ref="U107:W107"/>
    <mergeCell ref="J129:M129"/>
    <mergeCell ref="J120:S120"/>
    <mergeCell ref="J123:S123"/>
    <mergeCell ref="J125:M125"/>
    <mergeCell ref="P125:S125"/>
    <mergeCell ref="J126:M126"/>
    <mergeCell ref="J128:M128"/>
    <mergeCell ref="N116:P116"/>
    <mergeCell ref="J108:Q108"/>
  </mergeCells>
  <phoneticPr fontId="40" type="noConversion"/>
  <conditionalFormatting sqref="J30:S30 J70:S70 J110:S110">
    <cfRule type="expression" dxfId="2703" priority="2" stopIfTrue="1">
      <formula>DESONERACAO="não"</formula>
    </cfRule>
  </conditionalFormatting>
  <conditionalFormatting sqref="U29:W29 U69:W69 U109:W109">
    <cfRule type="expression" dxfId="2702" priority="3" stopIfTrue="1">
      <formula>AND(U29&lt;&gt;"OK",U29&lt;&gt;"-",U29&lt;&gt;"")</formula>
    </cfRule>
    <cfRule type="cellIs" dxfId="2701" priority="4" stopIfTrue="1" operator="equal">
      <formula>"OK"</formula>
    </cfRule>
  </conditionalFormatting>
  <conditionalFormatting sqref="S29 S69 S109">
    <cfRule type="expression" dxfId="2700" priority="5" stopIfTrue="1">
      <formula>DESONERACAO="não"</formula>
    </cfRule>
  </conditionalFormatting>
  <dataValidations count="6">
    <dataValidation type="decimal" allowBlank="1" showErrorMessage="1" errorTitle="Erro de valores" error="Digite um valor entre 0% e 100%" sqref="S21:S26 S61:S66 S101:S106">
      <formula1>0</formula1>
      <formula2>1</formula2>
    </dataValidation>
    <dataValidation type="decimal" allowBlank="1" showErrorMessage="1" errorTitle="Erro de valores" error="Digite um valor maior do que 0." sqref="S27 S67 S107">
      <formula1>0</formula1>
      <formula2>1</formula2>
    </dataValidation>
    <dataValidation operator="greaterThanOrEqual" allowBlank="1" showErrorMessage="1" errorTitle="Erro de valores" error="Digite um valor igual a 0% ou 2%." sqref="S28 S68 S108">
      <formula1>0</formula1>
      <formula2>0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R11:S11">
      <formula1>0</formula1>
      <formula2>0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R10:S10">
      <formula1>0</formula1>
      <formula2>1</formula2>
    </dataValidation>
    <dataValidation type="list" allowBlank="1" showErrorMessage="1" sqref="J17:S17 J57:S57 J97:S97">
      <formula1>BDI.TipoObra</formula1>
      <formula2>0</formula2>
    </dataValidation>
  </dataValidations>
  <pageMargins left="0.78740157480314998" right="0.78740157480314998" top="0.78740157480314998" bottom="0.78740157480314998" header="5.7086614173228396" footer="0.59055118110236204"/>
  <pageSetup paperSize="9" scale="79" firstPageNumber="0" fitToHeight="0" orientation="portrait" horizontalDpi="300" verticalDpi="300" r:id="rId1"/>
  <headerFooter alignWithMargins="0">
    <oddHeader>&amp;L_</oddHeader>
    <oddFooter>&amp;LPMv3.0.6&amp;R&amp;P / &amp;N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5">
    <pageSetUpPr fitToPage="1"/>
  </sheetPr>
  <dimension ref="A1:AN764"/>
  <sheetViews>
    <sheetView showGridLines="0" tabSelected="1" zoomScale="70" zoomScaleNormal="70" zoomScaleSheetLayoutView="90" workbookViewId="0">
      <pane xSplit="19" ySplit="15" topLeftCell="T39" activePane="bottomRight" state="frozen"/>
      <selection activeCell="L1" sqref="L1"/>
      <selection pane="topRight" activeCell="T1" sqref="T1"/>
      <selection pane="bottomLeft" activeCell="L16" sqref="L16"/>
      <selection pane="bottomRight" activeCell="T41" sqref="T41"/>
    </sheetView>
  </sheetViews>
  <sheetFormatPr defaultRowHeight="12.75" x14ac:dyDescent="0.2"/>
  <cols>
    <col min="1" max="1" width="5.5703125" hidden="1" customWidth="1"/>
    <col min="2" max="2" width="10.42578125" hidden="1" customWidth="1"/>
    <col min="3" max="3" width="5.5703125" hidden="1" customWidth="1"/>
    <col min="4" max="4" width="12.85546875" hidden="1" customWidth="1"/>
    <col min="5" max="5" width="8.7109375" hidden="1" customWidth="1"/>
    <col min="6" max="6" width="12.42578125" hidden="1" customWidth="1"/>
    <col min="7" max="7" width="14.5703125" hidden="1" customWidth="1"/>
    <col min="8" max="8" width="11.28515625" hidden="1" customWidth="1"/>
    <col min="9" max="9" width="13.42578125" hidden="1" customWidth="1"/>
    <col min="10" max="10" width="7.28515625" hidden="1" customWidth="1"/>
    <col min="11" max="11" width="7.5703125" hidden="1" customWidth="1"/>
    <col min="12" max="12" width="3.7109375" customWidth="1"/>
    <col min="13" max="14" width="8.7109375" customWidth="1"/>
    <col min="15" max="15" width="12.7109375" customWidth="1"/>
    <col min="16" max="17" width="15.7109375" customWidth="1"/>
    <col min="18" max="18" width="65.7109375" customWidth="1"/>
    <col min="19" max="19" width="10.7109375" customWidth="1"/>
    <col min="20" max="21" width="14.7109375" customWidth="1"/>
    <col min="22" max="22" width="10.7109375" customWidth="1"/>
    <col min="23" max="23" width="14.7109375" customWidth="1"/>
    <col min="24" max="24" width="15.7109375" customWidth="1"/>
    <col min="25" max="25" width="3.7109375" customWidth="1"/>
    <col min="26" max="26" width="3.7109375" hidden="1" customWidth="1"/>
    <col min="27" max="28" width="14.7109375" hidden="1" customWidth="1"/>
    <col min="29" max="29" width="15.7109375" customWidth="1"/>
    <col min="30" max="31" width="9.140625" hidden="1" customWidth="1"/>
    <col min="32" max="32" width="15.5703125" hidden="1" customWidth="1"/>
    <col min="33" max="33" width="15.7109375" customWidth="1"/>
    <col min="35" max="35" width="1.7109375" customWidth="1"/>
    <col min="36" max="36" width="14.7109375" customWidth="1"/>
    <col min="37" max="37" width="1.7109375" customWidth="1"/>
    <col min="38" max="38" width="14.7109375" customWidth="1"/>
    <col min="39" max="40" width="15.7109375" customWidth="1"/>
  </cols>
  <sheetData>
    <row r="1" spans="1:40" ht="18" x14ac:dyDescent="0.2">
      <c r="M1" s="82"/>
      <c r="N1" s="82"/>
      <c r="R1" s="83" t="s">
        <v>193</v>
      </c>
      <c r="T1" s="83"/>
      <c r="X1" s="53" t="s">
        <v>140</v>
      </c>
      <c r="Y1" s="7"/>
      <c r="Z1" s="7"/>
      <c r="AA1" s="7"/>
      <c r="AB1" s="7"/>
    </row>
    <row r="2" spans="1:40" ht="15" x14ac:dyDescent="0.2">
      <c r="D2" t="s">
        <v>194</v>
      </c>
      <c r="E2" t="s">
        <v>195</v>
      </c>
      <c r="F2" t="s">
        <v>196</v>
      </c>
      <c r="G2" t="s">
        <v>197</v>
      </c>
      <c r="H2" t="s">
        <v>198</v>
      </c>
      <c r="I2" t="s">
        <v>199</v>
      </c>
      <c r="R2" s="84" t="str">
        <f>IF(TIPOORCAMENTO="licitado","Orçamento Licitado","Orçamento Base para Licitação")&amp;" - "&amp;import.recurso</f>
        <v>Orçamento Base para Licitação - (SELECIONAR)</v>
      </c>
      <c r="X2" s="12" t="s">
        <v>143</v>
      </c>
      <c r="Y2" s="85"/>
      <c r="Z2" s="85"/>
      <c r="AA2" s="85"/>
      <c r="AB2" s="85"/>
    </row>
    <row r="3" spans="1:40" x14ac:dyDescent="0.2">
      <c r="H3" s="86"/>
      <c r="R3" s="87"/>
    </row>
    <row r="4" spans="1:40" x14ac:dyDescent="0.2">
      <c r="A4" t="s">
        <v>201</v>
      </c>
      <c r="F4" t="s">
        <v>156</v>
      </c>
      <c r="G4" t="s">
        <v>191</v>
      </c>
      <c r="H4" t="s">
        <v>192</v>
      </c>
      <c r="I4" s="88">
        <v>0</v>
      </c>
      <c r="O4" s="600" t="s">
        <v>146</v>
      </c>
      <c r="P4" s="600"/>
      <c r="Q4" s="89" t="s">
        <v>443</v>
      </c>
      <c r="R4" s="89" t="s">
        <v>147</v>
      </c>
      <c r="S4" s="600" t="s">
        <v>202</v>
      </c>
      <c r="T4" s="600"/>
      <c r="U4" s="600"/>
      <c r="V4" s="600"/>
      <c r="W4" s="600"/>
      <c r="X4" s="600"/>
      <c r="Y4" s="78"/>
      <c r="Z4" s="78"/>
      <c r="AA4" s="78"/>
      <c r="AB4" s="78"/>
    </row>
    <row r="5" spans="1:40" ht="12.75" customHeight="1" x14ac:dyDescent="0.2">
      <c r="A5" s="7">
        <f ca="1">MAX($C$15:$C$747)</f>
        <v>4</v>
      </c>
      <c r="B5" s="7"/>
      <c r="C5" s="7"/>
      <c r="F5" s="88">
        <f ca="1">IF(BDI.Opcao="DESONERADO",BDI!$S$30,BDI!$S$29)</f>
        <v>0.22470000000000001</v>
      </c>
      <c r="G5" s="88">
        <f ca="1">IF(BDI.Opcao="DESONERADO",BDI!$S$70,BDI!$S$69)</f>
        <v>0</v>
      </c>
      <c r="H5" s="88">
        <f ca="1">IF(BDI.Opcao="DESONERADO",BDI!$S$110,BDI!$S$109)</f>
        <v>0</v>
      </c>
      <c r="O5" s="603" t="str">
        <f>Import.CR</f>
        <v>1094391-68</v>
      </c>
      <c r="P5" s="603"/>
      <c r="Q5" s="92" t="str" cm="1">
        <f t="array" ref="Q5">Import.TransfereGOV</f>
        <v xml:space="preserve">960797/2024 </v>
      </c>
      <c r="R5" s="93" t="str">
        <f>Import.Proponente</f>
        <v>Prefeitura Municipal de Pirapora</v>
      </c>
      <c r="S5" s="603" t="str">
        <f>Import.Apelido</f>
        <v>CEMEI Santa Mariana Pirapora/MG. Projeto Padrão FNDE- Creche e Pré Escola Tipo I.</v>
      </c>
      <c r="T5" s="603"/>
      <c r="U5" s="603"/>
      <c r="V5" s="603"/>
      <c r="W5" s="603"/>
      <c r="X5" s="603"/>
      <c r="Y5" s="94"/>
      <c r="Z5" s="94"/>
      <c r="AA5" s="94"/>
      <c r="AB5" s="94"/>
      <c r="AE5" s="610" t="s">
        <v>200</v>
      </c>
      <c r="AF5" s="610"/>
    </row>
    <row r="6" spans="1:40" ht="5.0999999999999996" customHeight="1" x14ac:dyDescent="0.2">
      <c r="A6" s="7"/>
      <c r="B6" s="7"/>
      <c r="C6" s="7"/>
      <c r="H6" s="86"/>
      <c r="O6" s="95"/>
      <c r="P6" s="95"/>
      <c r="Q6" s="96"/>
      <c r="R6" s="96"/>
      <c r="S6" s="95"/>
      <c r="T6" s="95"/>
      <c r="U6" s="95"/>
      <c r="V6" s="95"/>
      <c r="W6" s="95"/>
      <c r="X6" s="95"/>
      <c r="Y6" s="94"/>
      <c r="Z6" s="94"/>
      <c r="AA6" s="94"/>
      <c r="AB6" s="94"/>
      <c r="AC6" s="97"/>
      <c r="AE6" s="90"/>
      <c r="AF6" s="91"/>
    </row>
    <row r="7" spans="1:40" ht="12.75" customHeight="1" x14ac:dyDescent="0.2">
      <c r="H7" s="86"/>
      <c r="O7" s="600" t="s">
        <v>204</v>
      </c>
      <c r="P7" s="600"/>
      <c r="Q7" s="89" t="s">
        <v>205</v>
      </c>
      <c r="R7" s="89" t="str">
        <f>IF(TIPOORCAMENTO="Licitado","NOME DA EMPRESA","DESCRIÇÃO DO LOTE")</f>
        <v>DESCRIÇÃO DO LOTE</v>
      </c>
      <c r="S7" s="611" t="str">
        <f>IF(TIPOORCAMENTO="Licitado","REGIME DE EXECUÇÃO","MUNICÍPIO / UF")</f>
        <v>MUNICÍPIO / UF</v>
      </c>
      <c r="T7" s="611"/>
      <c r="U7" s="611"/>
      <c r="V7" s="99" t="str">
        <f>IF(TIPOORCAMENTO="Licitado","","BDI 1")</f>
        <v>BDI 1</v>
      </c>
      <c r="W7" s="99" t="str">
        <f>IF(TIPOORCAMENTO="Licitado","","BDI 2")</f>
        <v>BDI 2</v>
      </c>
      <c r="X7" s="100" t="str">
        <f>IF(TIPOORCAMENTO="Licitado","Nº CTEF","BDI 3")</f>
        <v>BDI 3</v>
      </c>
      <c r="Y7" s="99"/>
      <c r="Z7" s="99"/>
      <c r="AE7" s="90" t="s">
        <v>203</v>
      </c>
      <c r="AF7" s="91" t="b">
        <v>1</v>
      </c>
      <c r="AJ7" s="614" t="s">
        <v>207</v>
      </c>
      <c r="AL7" s="612" t="s">
        <v>208</v>
      </c>
    </row>
    <row r="8" spans="1:40" ht="12.75" customHeight="1" x14ac:dyDescent="0.2">
      <c r="A8" s="7"/>
      <c r="B8" s="7"/>
      <c r="C8" s="7"/>
      <c r="F8" s="615" t="str">
        <f ca="1">IF(LEN(INFO("release"))&gt;5,"'Referência "&amp;Excel_BuiltIn_Database&amp;".xlsm'#Banco.$a5:$a$65536","'[Referência "&amp;Excel_BuiltIn_Database&amp;".xlsm]Banco'!$a5:$a$65536")</f>
        <v>'[Referência 02-2025.xlsm]Banco'!$a5:$a$65536</v>
      </c>
      <c r="G8" s="615"/>
      <c r="H8" s="615"/>
      <c r="I8" s="615"/>
      <c r="J8" s="615"/>
      <c r="K8" s="615"/>
      <c r="L8" s="593" t="s">
        <v>209</v>
      </c>
      <c r="O8" s="603" t="str">
        <f ca="1">IF(ISERROR(INDIRECT($F$9)),"(N/D: 'Referência "&amp;Excel_BuiltIn_Database&amp;".xlsm)",INDIRECT($F$9))</f>
        <v>(N/D: 'Referência 02-2025.xlsm)</v>
      </c>
      <c r="P8" s="603"/>
      <c r="Q8" s="101" t="str">
        <f ca="1">TEXT(Import.DataBase,"mm-aa")&amp;IF(DESONERACAO="Sim"," (DES.)"," (N DES.)")</f>
        <v>02-25 (N DES.)</v>
      </c>
      <c r="R8" s="93" t="str">
        <f>IF(TIPOORCAMENTO="Licitado",Import.empresa,Import.DescLote)</f>
        <v>Centro Municipal de Educação Infantil - CEMEI Santa Mariana Pirapora/MG. Projeto Padrão FNDE- Creche e Pré escola Tipo I.</v>
      </c>
      <c r="S8" s="616" t="str">
        <f>IF(TIPOORCAMENTO="Licitado",Import.RegimeExecução,Import.Município)</f>
        <v>Pirapora/MG</v>
      </c>
      <c r="T8" s="616"/>
      <c r="U8" s="616"/>
      <c r="V8" s="102" t="str">
        <f ca="1">IF(TIPOORCAMENTO="Licitado","",TEXT(F5,"0,00%"))</f>
        <v>22,47%</v>
      </c>
      <c r="W8" s="102" t="str">
        <f ca="1">IF(TIPOORCAMENTO="Licitado","",TEXT(G5,"0,00%"))</f>
        <v>0,00%</v>
      </c>
      <c r="X8" s="103" t="str">
        <f ca="1">IF(TIPOORCAMENTO="Licitado",Import.CTEF,TEXT(H5,"0,00%"))</f>
        <v>0,00%</v>
      </c>
      <c r="Y8" s="593" t="s">
        <v>210</v>
      </c>
      <c r="Z8" s="593" t="s">
        <v>211</v>
      </c>
      <c r="AA8" s="104"/>
      <c r="AB8" s="104"/>
      <c r="AE8" s="90" t="s">
        <v>206</v>
      </c>
      <c r="AF8" s="91" t="b">
        <v>1</v>
      </c>
      <c r="AJ8" s="614"/>
      <c r="AL8" s="612"/>
    </row>
    <row r="9" spans="1:40" ht="12.75" customHeight="1" x14ac:dyDescent="0.2">
      <c r="F9" s="615" t="str">
        <f ca="1">IF(LEN(INFO("release"))&gt;5,"'Referência "&amp;Excel_BuiltIn_Database&amp;".xlsm'#Banco.$d$3","'[Referência "&amp;Excel_BuiltIn_Database&amp;".xlsm]Banco'!$d$3")</f>
        <v>'[Referência 02-2025.xlsm]Banco'!$d$3</v>
      </c>
      <c r="G9" s="615"/>
      <c r="H9" s="615"/>
      <c r="I9" s="615"/>
      <c r="J9" s="615"/>
      <c r="K9" s="615"/>
      <c r="L9" s="593"/>
      <c r="Y9" s="593"/>
      <c r="Z9" s="593"/>
      <c r="AE9" s="90" t="s">
        <v>212</v>
      </c>
      <c r="AF9" s="91" t="b">
        <v>1</v>
      </c>
      <c r="AJ9" s="614"/>
      <c r="AL9" s="612"/>
    </row>
    <row r="10" spans="1:40" x14ac:dyDescent="0.2">
      <c r="G10" s="86"/>
      <c r="H10" s="86"/>
      <c r="L10" s="593"/>
      <c r="Y10" s="593"/>
      <c r="Z10" s="593"/>
      <c r="AC10" s="105" t="s">
        <v>214</v>
      </c>
      <c r="AE10" s="90" t="s">
        <v>213</v>
      </c>
      <c r="AF10" s="91" t="b">
        <v>1</v>
      </c>
      <c r="AJ10" s="614"/>
      <c r="AL10" s="612"/>
    </row>
    <row r="11" spans="1:40" x14ac:dyDescent="0.2">
      <c r="G11" s="86"/>
      <c r="H11" s="106"/>
      <c r="L11" s="593"/>
      <c r="Y11" s="593"/>
      <c r="Z11" s="593"/>
      <c r="AC11" s="107" t="str">
        <f ca="1">IF(COUNTIF($AC$15:OFFSET($AC$747,-1,0),"DESCRIÇÃO")+COUNTIF($AC$15:OFFSET($AC$747,-1,0),"UNIDADE")+COUNTIF($AC$15:OFFSET($AC$747,-1,0),"SEM VALOR")&gt;0,"NÃO OK","OK")</f>
        <v>OK</v>
      </c>
      <c r="AE11" s="90" t="s">
        <v>215</v>
      </c>
      <c r="AF11" s="91" t="b">
        <v>1</v>
      </c>
      <c r="AJ11" s="614"/>
      <c r="AL11" s="612"/>
    </row>
    <row r="12" spans="1:40" x14ac:dyDescent="0.2">
      <c r="G12" s="86"/>
      <c r="H12" s="86"/>
      <c r="L12" s="593"/>
      <c r="Y12" s="593"/>
      <c r="Z12" s="593"/>
      <c r="AA12" s="613" t="s">
        <v>216</v>
      </c>
      <c r="AB12" s="613"/>
      <c r="AJ12" s="108" t="s">
        <v>217</v>
      </c>
      <c r="AL12" s="551" t="s">
        <v>217</v>
      </c>
    </row>
    <row r="13" spans="1:40" ht="35.1" customHeight="1" x14ac:dyDescent="0.2">
      <c r="A13" s="109" t="s">
        <v>218</v>
      </c>
      <c r="B13" s="109" t="s">
        <v>219</v>
      </c>
      <c r="C13" s="109" t="s">
        <v>220</v>
      </c>
      <c r="D13" s="109" t="s">
        <v>221</v>
      </c>
      <c r="E13" s="109" t="s">
        <v>222</v>
      </c>
      <c r="F13" s="109" t="s">
        <v>223</v>
      </c>
      <c r="G13" s="109" t="s">
        <v>224</v>
      </c>
      <c r="H13" s="109" t="s">
        <v>225</v>
      </c>
      <c r="I13" s="109" t="s">
        <v>226</v>
      </c>
      <c r="J13" s="109" t="s">
        <v>227</v>
      </c>
      <c r="K13" s="109" t="s">
        <v>228</v>
      </c>
      <c r="L13" s="108" t="s">
        <v>217</v>
      </c>
      <c r="M13" s="109" t="s">
        <v>229</v>
      </c>
      <c r="N13" s="110" t="s">
        <v>230</v>
      </c>
      <c r="O13" s="109" t="s">
        <v>231</v>
      </c>
      <c r="P13" s="109" t="s">
        <v>232</v>
      </c>
      <c r="Q13" s="109" t="s">
        <v>233</v>
      </c>
      <c r="R13" s="109" t="s">
        <v>234</v>
      </c>
      <c r="S13" s="111" t="s">
        <v>235</v>
      </c>
      <c r="T13" s="109" t="s">
        <v>203</v>
      </c>
      <c r="U13" s="109" t="str">
        <f>IF(TIPOORCAMENTO="Licitado","","Custo Unitário (sem BDI) (R$)")</f>
        <v>Custo Unitário (sem BDI) (R$)</v>
      </c>
      <c r="V13" s="109" t="str">
        <f>IF(TIPOORCAMENTO="Licitado","","BDI
(%)")</f>
        <v>BDI
(%)</v>
      </c>
      <c r="W13" s="109" t="s">
        <v>236</v>
      </c>
      <c r="X13" s="109" t="s">
        <v>237</v>
      </c>
      <c r="Y13" s="108" t="s">
        <v>217</v>
      </c>
      <c r="Z13" s="108" t="s">
        <v>217</v>
      </c>
      <c r="AA13" s="112" t="s">
        <v>238</v>
      </c>
      <c r="AB13" s="113" t="s">
        <v>239</v>
      </c>
      <c r="AC13" s="109" t="s">
        <v>240</v>
      </c>
      <c r="AD13" s="114" t="s">
        <v>241</v>
      </c>
      <c r="AE13" s="114" t="s">
        <v>242</v>
      </c>
      <c r="AF13" s="114" t="s">
        <v>243</v>
      </c>
      <c r="AG13" s="168" t="s">
        <v>418</v>
      </c>
      <c r="AH13" s="497" t="str">
        <f>IF(TIPOORCAMENTO="LICITADO","Valor BDI Edital","Valor BDI")</f>
        <v>Valor BDI</v>
      </c>
      <c r="AJ13" s="337" t="s">
        <v>203</v>
      </c>
      <c r="AL13" s="337" t="s">
        <v>236</v>
      </c>
      <c r="AM13" s="168" t="s">
        <v>244</v>
      </c>
      <c r="AN13" s="169" t="s">
        <v>414</v>
      </c>
    </row>
    <row r="14" spans="1:40" hidden="1" x14ac:dyDescent="0.2">
      <c r="A14" t="str">
        <f>CHOOSE(1+LOG(1+2*(ORÇAMENTO.Nivel="Meta")+4*(ORÇAMENTO.Nivel="Nível 2")+8*(ORÇAMENTO.Nivel="Nível 3")+16*(ORÇAMENTO.Nivel="Nível 4")+32*(ORÇAMENTO.Nivel="Serviço"),2),0,1,2,3,4,"S")</f>
        <v>S</v>
      </c>
      <c r="B14" t="str">
        <f ca="1">IF(OR(C14="s",C14=0),OFFSET(B14,-1,0),C14)</f>
        <v>Save Nivel</v>
      </c>
      <c r="C14" t="str">
        <f ca="1">IF(OFFSET(C14,-1,0)="L",1,IF(OFFSET(C14,-1,0)=1,2,IF(OR(A14="s",A14=0),"S",IF(AND(OFFSET(C14,-1,0)=2,A14=4),3,IF(AND(OR(OFFSET(C14,-1,0)="s",OFFSET(C14,-1,0)=0),A14&lt;&gt;"s",A14&gt;OFFSET(B14,-1,0)),OFFSET(B14,-1,0),A14)))))</f>
        <v>S</v>
      </c>
      <c r="D14">
        <f ca="1">IF(OR(C14="S",C14=0),0,IF(ISERROR(K14),J14,SMALL(J14:K14,1)))</f>
        <v>0</v>
      </c>
      <c r="E14" t="str">
        <f ca="1">IF($C14=1,OFFSET(E14,-1,0)+MAX(1,COUNTIF(QCI!$A$13:$A$24,OFFSET(ORÇAMENTO!E14,-1,0))),OFFSET(E14,-1,0))</f>
        <v>n1</v>
      </c>
      <c r="F14" t="str">
        <f ca="1">IF($C14=1,0,IF($C14=2,OFFSET(F14,-1,0)+1,OFFSET(F14,-1,0)))</f>
        <v>n2</v>
      </c>
      <c r="G14" t="str">
        <f ca="1">IF(AND($C14&lt;=2,$C14&lt;&gt;0),0,IF($C14=3,OFFSET(G14,-1,0)+1,OFFSET(G14,-1,0)))</f>
        <v>n3</v>
      </c>
      <c r="H14" t="str">
        <f ca="1">IF(AND($C14&lt;=3,$C14&lt;&gt;0),0,IF($C14=4,OFFSET(H14,-1,0)+1,OFFSET(H14,-1,0)))</f>
        <v>n4</v>
      </c>
      <c r="I14" t="str">
        <f ca="1">IF(AND($C14&lt;=4,$C14&lt;&gt;0),0,IF(AND($C14="S",$X14&gt;0),OFFSET(I14,-1,0)+1,OFFSET(I14,-1,0)))</f>
        <v>n5</v>
      </c>
      <c r="J14">
        <f ca="1">IF(OR($C14="S",$C14=0),0,MATCH(0,OFFSET($D14,1,$C14,ROW($C$747)-ROW($C14)),0))</f>
        <v>0</v>
      </c>
      <c r="K14">
        <f ca="1">IF(OR($C14="S",$C14=0),0,MATCH(OFFSET($D14,0,$C14)+IF($C14&lt;&gt;1,1,COUNTIF(QCI!$A$13:$A$24,ORÇAMENTO!E14)),OFFSET($D14,1,$C14,ROW($C$747)-ROW($C14)),0))</f>
        <v>0</v>
      </c>
      <c r="L14" s="116" t="str">
        <f ca="1">IF(OR($X14&gt;0,$C14=1,$C14=2,$C14=3,$C14=4),"F","")</f>
        <v/>
      </c>
      <c r="M14" s="117" t="s">
        <v>199</v>
      </c>
      <c r="N14" s="118" t="str">
        <f ca="1">CHOOSE(1+LOG(1+2*(C14=1)+4*(C14=2)+8*(C14=3)+16*(C14=4)+32*(C14="S"),2),"","Meta","Nível 2","Nível 3","Nível 4","Serviço")</f>
        <v>Serviço</v>
      </c>
      <c r="O14" s="119" t="str">
        <f ca="1">IF(OR($C14=0,$L14=""),"-",CONCATENATE(E14&amp;".",IF(AND($A$5&gt;=2,$C14&gt;=2),F14&amp;".",""),IF(AND($A$5&gt;=3,$C14&gt;=3),G14&amp;".",""),IF(AND($A$5&gt;=4,$C14&gt;=4),H14&amp;".",""),IF($C14="S",I14&amp;".","")))</f>
        <v>-</v>
      </c>
      <c r="P14" s="120" t="s">
        <v>247</v>
      </c>
      <c r="Q14" s="121"/>
      <c r="R14" s="122" t="str">
        <f ca="1">IF($C14="S",REFERENCIA.Descricao,"(digite a descrição aqui)")</f>
        <v>(abra o arquivo 'Referência 02-2025.xlsm)</v>
      </c>
      <c r="S14" s="123" t="str">
        <f ca="1">REFERENCIA.Unidade</f>
        <v>-</v>
      </c>
      <c r="T14" s="124">
        <f ca="1">OFFSET(CÁLCULO!H$15,ROW($T14)-ROW(T$15),0)</f>
        <v>0</v>
      </c>
      <c r="U14" s="125"/>
      <c r="V14" s="126" t="s">
        <v>156</v>
      </c>
      <c r="W14" s="124">
        <f ca="1">IF($C14="S",ROUND(IF(TIPOORCAMENTO="Proposto",ORÇAMENTO.CustoUnitario*(1+$AH14),ORÇAMENTO.PrecoUnitarioLicitado),15-13*$AF$10),0)</f>
        <v>0</v>
      </c>
      <c r="X14" s="127">
        <f ca="1">IF($C14="S",IF(Import.TipoArredondamento&lt;&gt;"TransfereGOV",VTOTAL1,SUM(OFFSET(CÁLCULO!$AA$15,ROW($X14)-ROW($X$15),1):OFFSET(CÁLCULO!$AL$15,ROW($X14)-ROW($X$15),-1))),IF($C14=0,0,ROUND(SomaAgrup,15-13*$AF$11)))</f>
        <v>0</v>
      </c>
      <c r="Y14" s="128" t="s">
        <v>245</v>
      </c>
      <c r="Z14" t="str">
        <f ca="1">IF(AND($C14="S",$X14&gt;0),IF(ISBLANK($Y14),"RA",LEFT($Y14,2)),"")</f>
        <v/>
      </c>
      <c r="AA14" s="129">
        <f ca="1">IF($C14="S",IF($Z14="CP",$X14,IF($Z14="RA",(($X14)*QCI!$AA$3),0)),SomaAgrup)</f>
        <v>0</v>
      </c>
      <c r="AB14" s="130">
        <f ca="1">IF($C14="S",IF($Z14="OU",ROUND($X14,2),0),SomaAgrup)</f>
        <v>0</v>
      </c>
      <c r="AC14" s="131" t="str">
        <f ca="1">IF($N14="","",IF(ORÇAMENTO.Descricao="","DESCRIÇÃO",IF(AND($C14="S",ORÇAMENTO.Unidade=""),"UNIDADE",IF($X14&lt;0,"VALOR NEGATIVO",IF(OR(AND(TIPOORCAMENTO="Proposto",$AG14&lt;&gt;"",$AG14&gt;0,ORÇAMENTO.CustoUnitario&gt;$AG14),AND(TIPOORCAMENTO="LICITADO",ORÇAMENTO.PrecoUnitarioLicitado&gt;$AN14)),"ACIMA REF.","")))))</f>
        <v/>
      </c>
      <c r="AD14" t="str">
        <f ca="1">IF(C14&lt;=CRONO.NivelExibicao,MAX($AD$15:OFFSET(AD14,-1,0))+IF($C14&lt;&gt;1,1,MAX(1,COUNTIF(QCI!$A$13:$A$24,OFFSET($E14,-1,0)))),"")</f>
        <v/>
      </c>
      <c r="AE14" s="7" t="b">
        <f ca="1">IF(AND($C14="S",ORÇAMENTO.CodBarra&lt;&gt;""),IF(ORÇAMENTO.Fonte="",ORÇAMENTO.CodBarra,CONCATENATE(ORÇAMENTO.Fonte," ",ORÇAMENTO.CodBarra)))</f>
        <v>0</v>
      </c>
      <c r="AF14" s="13" t="str">
        <f ca="1">IF(ISERROR(INDIRECT(ORÇAMENTO.BancoRef)),"(abra o arquivo 'Referência "&amp;Excel_BuiltIn_Database&amp;".xlsm)",IF(OR($C14&lt;&gt;"S",ORÇAMENTO.CodBarra=""),"(Sem Código)",IF(ISERROR(MATCH($AE14,INDIRECT(ORÇAMENTO.BancoRef),0)),"(Código não identificado nas referências)",MATCH($AE14,INDIRECT(ORÇAMENTO.BancoRef),0))))</f>
        <v>(abra o arquivo 'Referência 02-2025.xlsm)</v>
      </c>
      <c r="AG14" s="498">
        <f ca="1">ROUND(IF(DESONERACAO="sim",REFERENCIA.Desonerado,REFERENCIA.NaoDesonerado),2)</f>
        <v>0</v>
      </c>
      <c r="AH14" s="499">
        <f ca="1">ROUND(IF(ISNUMBER(ORÇAMENTO.OpcaoBDI),ORÇAMENTO.OpcaoBDI,IF(LEFT(ORÇAMENTO.OpcaoBDI,3)="BDI",HLOOKUP(ORÇAMENTO.OpcaoBDI,$F$4:$H$5,2,FALSE),0)),15-11*$AF$9)</f>
        <v>0.22470000000000001</v>
      </c>
      <c r="AJ14" s="501"/>
      <c r="AL14" s="527"/>
      <c r="AM14" s="381">
        <f t="shared" ref="AM14:AM85" ca="1" si="0">$X14</f>
        <v>0</v>
      </c>
      <c r="AN14" s="566">
        <f ca="1">ROUND(ORÇAMENTO.CustoUnitario*(1+$AH14),2)</f>
        <v>0</v>
      </c>
    </row>
    <row r="15" spans="1:40" x14ac:dyDescent="0.2">
      <c r="A15">
        <v>0</v>
      </c>
      <c r="C15" t="s">
        <v>149</v>
      </c>
      <c r="D15">
        <f ca="1">COUNTA(OFFSET(D15,1,0):D$747)</f>
        <v>731</v>
      </c>
      <c r="E15">
        <v>0</v>
      </c>
      <c r="L15" s="116" t="s">
        <v>246</v>
      </c>
      <c r="M15" s="132" t="str">
        <f>IF(TIPOORCAMENTO="LICITADO","CTEF","LOTE")</f>
        <v>LOTE</v>
      </c>
      <c r="N15" s="132" t="str">
        <f>IF(TIPOORCAMENTO="LICITADO","CTEF","LOTE")</f>
        <v>LOTE</v>
      </c>
      <c r="O15" s="618" t="str">
        <f>Import.DescLote</f>
        <v>Centro Municipal de Educação Infantil - CEMEI Santa Mariana Pirapora/MG. Projeto Padrão FNDE- Creche e Pré escola Tipo I.</v>
      </c>
      <c r="P15" s="618"/>
      <c r="Q15" s="618"/>
      <c r="R15" s="618"/>
      <c r="S15" s="133"/>
      <c r="T15" s="134"/>
      <c r="U15" s="134"/>
      <c r="V15" s="135"/>
      <c r="W15" s="134"/>
      <c r="X15" s="136">
        <f ca="1">SUMIF(OFFSET($C15,1,0,ROW(X747)-ROW(X15)-1),"S",OFFSET(X15,1,0,ROW(X747)-ROW(X15)-1))</f>
        <v>0</v>
      </c>
      <c r="Y15" s="7"/>
      <c r="Z15" t="str">
        <f ca="1">IF(AND($C15="S",$X15&gt;0),LEFT($Y15,2),"")</f>
        <v/>
      </c>
      <c r="AA15" s="496">
        <f ca="1">SUMIF(OFFSET($C15,1,0,ROW(AA747)-ROW(AA15)-1),"S",OFFSET(AA15,1,0,ROW(AA747)-ROW(AA15)-1))</f>
        <v>0</v>
      </c>
      <c r="AB15" s="137">
        <f ca="1">SUMIF(OFFSET($C15,1,0,ROW(AB747)-ROW(AB15)-1),"S",OFFSET(AB15,1,0,ROW(AB747)-ROW(AB15)-1))</f>
        <v>0</v>
      </c>
      <c r="AC15" s="131"/>
      <c r="AG15" s="529"/>
      <c r="AH15" s="530"/>
      <c r="AJ15" s="500"/>
      <c r="AL15" s="528"/>
      <c r="AM15" s="567">
        <f t="shared" ca="1" si="0"/>
        <v>0</v>
      </c>
      <c r="AN15" s="568"/>
    </row>
    <row r="16" spans="1:40" ht="25.5" x14ac:dyDescent="0.2">
      <c r="A16">
        <f t="shared" ref="A16:A83" si="1">CHOOSE(1+LOG(1+2*(ORÇAMENTO.Nivel="Meta")+4*(ORÇAMENTO.Nivel="Nível 2")+8*(ORÇAMENTO.Nivel="Nível 3")+16*(ORÇAMENTO.Nivel="Nível 4")+32*(ORÇAMENTO.Nivel="Serviço"),2),0,1,2,3,4,"S")</f>
        <v>1</v>
      </c>
      <c r="B16">
        <f t="shared" ref="B16:B83" ca="1" si="2">IF(OR(C16="s",C16=0),OFFSET(B16,-1,0),C16)</f>
        <v>1</v>
      </c>
      <c r="C16">
        <f t="shared" ref="C16:C83" ca="1" si="3">IF(OFFSET(C16,-1,0)="L",1,IF(OFFSET(C16,-1,0)=1,2,IF(OR(A16="s",A16=0),"S",IF(AND(OFFSET(C16,-1,0)=2,A16=4),3,IF(AND(OR(OFFSET(C16,-1,0)="s",OFFSET(C16,-1,0)=0),A16&lt;&gt;"s",A16&gt;OFFSET(B16,-1,0)),OFFSET(B16,-1,0),A16)))))</f>
        <v>1</v>
      </c>
      <c r="D16">
        <f t="shared" ref="D16:D83" ca="1" si="4">IF(OR(C16="S",C16=0),0,IF(ISERROR(K16),J16,SMALL(J16:K16,1)))</f>
        <v>731</v>
      </c>
      <c r="E16">
        <f ca="1">IF($C16=1,OFFSET(E16,-1,0)+MAX(1,COUNTIF(QCI!$A$13:$A$24,OFFSET(ORÇAMENTO!E16,-1,0))),OFFSET(E16,-1,0))</f>
        <v>1</v>
      </c>
      <c r="F16">
        <f t="shared" ref="F16:F83" ca="1" si="5">IF($C16=1,0,IF($C16=2,OFFSET(F16,-1,0)+1,OFFSET(F16,-1,0)))</f>
        <v>0</v>
      </c>
      <c r="G16">
        <f t="shared" ref="G16:G83" ca="1" si="6">IF(AND($C16&lt;=2,$C16&lt;&gt;0),0,IF($C16=3,OFFSET(G16,-1,0)+1,OFFSET(G16,-1,0)))</f>
        <v>0</v>
      </c>
      <c r="H16">
        <f t="shared" ref="H16:H83" ca="1" si="7">IF(AND($C16&lt;=3,$C16&lt;&gt;0),0,IF($C16=4,OFFSET(H16,-1,0)+1,OFFSET(H16,-1,0)))</f>
        <v>0</v>
      </c>
      <c r="I16">
        <f t="shared" ref="I16:I83" ca="1" si="8">IF(AND($C16&lt;=4,$C16&lt;&gt;0),0,IF(AND($C16="S",$X16&gt;0),OFFSET(I16,-1,0)+1,OFFSET(I16,-1,0)))</f>
        <v>0</v>
      </c>
      <c r="J16">
        <f t="shared" ref="J16:J79" ca="1" si="9">IF(OR($C16="S",$C16=0),0,MATCH(0,OFFSET($D16,1,$C16,ROW($C$747)-ROW($C16)),0))</f>
        <v>731</v>
      </c>
      <c r="K16" t="e">
        <f ca="1">IF(OR($C16="S",$C16=0),0,MATCH(OFFSET($D16,0,$C16)+IF($C16&lt;&gt;1,1,COUNTIF(QCI!$A$13:$A$24,ORÇAMENTO!E16)),OFFSET($D16,1,$C16,ROW($C$747)-ROW($C16)),0))</f>
        <v>#N/A</v>
      </c>
      <c r="L16" s="116" t="str">
        <f t="shared" ref="L16:L83" ca="1" si="10">IF(OR($X16&gt;0,$C16=1,$C16=2,$C16=3,$C16=4),"F","")</f>
        <v>F</v>
      </c>
      <c r="M16" s="117" t="s">
        <v>195</v>
      </c>
      <c r="N16" s="118" t="str">
        <f t="shared" ref="N16:N83" ca="1" si="11">CHOOSE(1+LOG(1+2*(C16=1)+4*(C16=2)+8*(C16=3)+16*(C16=4)+32*(C16="S"),2),"","Meta","Nível 2","Nível 3","Nível 4","Serviço")</f>
        <v>Meta</v>
      </c>
      <c r="O16" s="119" t="str">
        <f t="shared" ref="O16:O83" ca="1" si="12">IF(OR($C16=0,$L16=""),"-",CONCATENATE(E16&amp;".",IF(AND($A$5&gt;=2,$C16&gt;=2),F16&amp;".",""),IF(AND($A$5&gt;=3,$C16&gt;=3),G16&amp;".",""),IF(AND($A$5&gt;=4,$C16&gt;=4),H16&amp;".",""),IF($C16="S",I16&amp;".","")))</f>
        <v>1.</v>
      </c>
      <c r="P16" s="120" t="s">
        <v>247</v>
      </c>
      <c r="Q16" s="121"/>
      <c r="R16" s="122" t="s">
        <v>888</v>
      </c>
      <c r="S16" s="123" t="str">
        <f ca="1">REFERENCIA.Unidade</f>
        <v>-</v>
      </c>
      <c r="T16" s="124">
        <f ca="1">OFFSET(CÁLCULO!H$15,ROW($T16)-ROW(T$15),0)</f>
        <v>0</v>
      </c>
      <c r="U16" s="125"/>
      <c r="V16" s="126" t="s">
        <v>156</v>
      </c>
      <c r="W16" s="124">
        <f ca="1">IF($C16="S",ROUND(IF(TIPOORCAMENTO="Proposto",ORÇAMENTO.CustoUnitario*(1+$AH16),ORÇAMENTO.PrecoUnitarioLicitado),15-13*$AF$10),0)</f>
        <v>0</v>
      </c>
      <c r="X16" s="127">
        <f ca="1">IF($C16="S",IF(Import.TipoArredondamento&lt;&gt;"TransfereGOV",VTOTAL1,SUM(OFFSET(CÁLCULO!$AA$15,ROW($X16)-ROW($X$15),1):OFFSET(CÁLCULO!$AL$15,ROW($X16)-ROW($X$15),-1))),IF($C16=0,0,ROUND(SomaAgrup,15-13*$AF$11)))</f>
        <v>0</v>
      </c>
      <c r="Y16" s="128" t="s">
        <v>245</v>
      </c>
      <c r="Z16" t="str">
        <f t="shared" ref="Z16:Z83" ca="1" si="13">IF(AND($C16="S",$X16&gt;0),IF(ISBLANK($Y16),"RA",LEFT($Y16,2)),"")</f>
        <v/>
      </c>
      <c r="AA16" s="129">
        <f ca="1">IF($C16="S",IF($Z16="CP",$X16,IF($Z16="RA",(($X16)*QCI!$AA$3),0)),SomaAgrup)</f>
        <v>0</v>
      </c>
      <c r="AB16" s="130">
        <f t="shared" ref="AB16:AB83" ca="1" si="14">IF($C16="S",IF($Z16="OU",ROUND($X16,2),0),SomaAgrup)</f>
        <v>0</v>
      </c>
      <c r="AC16" s="131" t="str">
        <f ca="1">IF($N16="","",IF(ORÇAMENTO.Descricao="","DESCRIÇÃO",IF(AND($C16="S",ORÇAMENTO.Unidade=""),"UNIDADE",IF($X16&lt;0,"VALOR NEGATIVO",IF(OR(AND(TIPOORCAMENTO="Proposto",$AG16&lt;&gt;"",$AG16&gt;0,ORÇAMENTO.CustoUnitario&gt;$AG16),AND(TIPOORCAMENTO="LICITADO",ORÇAMENTO.PrecoUnitarioLicitado&gt;$AN16)),"ACIMA REF.","")))))</f>
        <v/>
      </c>
      <c r="AD16">
        <f ca="1">IF(C16&lt;=CRONO.NivelExibicao,MAX($AD$15:OFFSET(AD16,-1,0))+IF($C16&lt;&gt;1,1,MAX(1,COUNTIF(QCI!$A$13:$A$24,OFFSET($E16,-1,0)))),"")</f>
        <v>1</v>
      </c>
      <c r="AE16" s="7" t="b">
        <f ca="1">IF(AND($C16="S",ORÇAMENTO.CodBarra&lt;&gt;""),IF(ORÇAMENTO.Fonte="",ORÇAMENTO.CodBarra,CONCATENATE(ORÇAMENTO.Fonte," ",ORÇAMENTO.CodBarra)))</f>
        <v>0</v>
      </c>
      <c r="AF16" s="13" t="str">
        <f ca="1">IF(ISERROR(INDIRECT(ORÇAMENTO.BancoRef)),"(abra o arquivo 'Referência "&amp;Excel_BuiltIn_Database&amp;".xlsm)",IF(OR($C16&lt;&gt;"S",ORÇAMENTO.CodBarra=""),"(Sem Código)",IF(ISERROR(MATCH($AE16,INDIRECT(ORÇAMENTO.BancoRef),0)),"(Código não identificado nas referências)",MATCH($AE16,INDIRECT(ORÇAMENTO.BancoRef),0))))</f>
        <v>(abra o arquivo 'Referência 02-2025.xlsm)</v>
      </c>
      <c r="AG16" s="498">
        <f ca="1">ROUND(IF(DESONERACAO="sim",REFERENCIA.Desonerado,REFERENCIA.NaoDesonerado),2)</f>
        <v>0</v>
      </c>
      <c r="AH16" s="499">
        <f t="shared" ref="AH16:AH83" ca="1" si="15">ROUND(IF(ISNUMBER(ORÇAMENTO.OpcaoBDI),ORÇAMENTO.OpcaoBDI,IF(LEFT(ORÇAMENTO.OpcaoBDI,3)="BDI",HLOOKUP(ORÇAMENTO.OpcaoBDI,$F$4:$H$5,2,FALSE),0)),15-11*$AF$9)</f>
        <v>0.22470000000000001</v>
      </c>
      <c r="AJ16" s="501"/>
      <c r="AL16" s="527"/>
      <c r="AM16" s="381">
        <f t="shared" ca="1" si="0"/>
        <v>0</v>
      </c>
      <c r="AN16" s="566">
        <f t="shared" ref="AN16:AN83" ca="1" si="16">ROUND(ORÇAMENTO.CustoUnitario*(1+$AH16),2)</f>
        <v>0</v>
      </c>
    </row>
    <row r="17" spans="1:40" x14ac:dyDescent="0.2">
      <c r="A17">
        <f t="shared" si="1"/>
        <v>2</v>
      </c>
      <c r="B17">
        <f t="shared" ca="1" si="2"/>
        <v>2</v>
      </c>
      <c r="C17">
        <f t="shared" ca="1" si="3"/>
        <v>2</v>
      </c>
      <c r="D17">
        <f t="shared" ca="1" si="4"/>
        <v>10</v>
      </c>
      <c r="E17">
        <f ca="1">IF($C17=1,OFFSET(E17,-1,0)+MAX(1,COUNTIF(QCI!$A$13:$A$24,OFFSET(ORÇAMENTO!E17,-1,0))),OFFSET(E17,-1,0))</f>
        <v>1</v>
      </c>
      <c r="F17">
        <f t="shared" ca="1" si="5"/>
        <v>1</v>
      </c>
      <c r="G17">
        <f t="shared" ca="1" si="6"/>
        <v>0</v>
      </c>
      <c r="H17">
        <f t="shared" ca="1" si="7"/>
        <v>0</v>
      </c>
      <c r="I17">
        <f t="shared" ca="1" si="8"/>
        <v>0</v>
      </c>
      <c r="J17">
        <f t="shared" ca="1" si="9"/>
        <v>730</v>
      </c>
      <c r="K17">
        <f ca="1">IF(OR($C17="S",$C17=0),0,MATCH(OFFSET($D17,0,$C17)+IF($C17&lt;&gt;1,1,COUNTIF(QCI!$A$13:$A$24,ORÇAMENTO!E17)),OFFSET($D17,1,$C17,ROW($C$747)-ROW($C17)),0))</f>
        <v>10</v>
      </c>
      <c r="L17" s="116" t="str">
        <f t="shared" ca="1" si="10"/>
        <v>F</v>
      </c>
      <c r="M17" s="117" t="s">
        <v>196</v>
      </c>
      <c r="N17" s="118" t="str">
        <f t="shared" ca="1" si="11"/>
        <v>Nível 2</v>
      </c>
      <c r="O17" s="119" t="str">
        <f t="shared" ca="1" si="12"/>
        <v>1.1.</v>
      </c>
      <c r="P17" s="120" t="s">
        <v>247</v>
      </c>
      <c r="Q17" s="121"/>
      <c r="R17" s="122" t="str">
        <f ca="1">IF($C17="S",REFERENCIA.Descricao,"SERVIÇOS PRELIMINARES")</f>
        <v>SERVIÇOS PRELIMINARES</v>
      </c>
      <c r="S17" s="123" t="str">
        <f ca="1">REFERENCIA.Unidade</f>
        <v>-</v>
      </c>
      <c r="T17" s="124">
        <f ca="1">OFFSET(CÁLCULO!H$15,ROW($T17)-ROW(T$15),0)</f>
        <v>0</v>
      </c>
      <c r="U17" s="125"/>
      <c r="V17" s="126" t="s">
        <v>156</v>
      </c>
      <c r="W17" s="124">
        <f ca="1">IF($C17="S",ROUND(IF(TIPOORCAMENTO="Proposto",ORÇAMENTO.CustoUnitario*(1+$AH17),ORÇAMENTO.PrecoUnitarioLicitado),15-13*$AF$10),0)</f>
        <v>0</v>
      </c>
      <c r="X17" s="127">
        <f ca="1">IF($C17="S",IF(Import.TipoArredondamento&lt;&gt;"TransfereGOV",VTOTAL1,SUM(OFFSET(CÁLCULO!$AA$15,ROW($X17)-ROW($X$15),1):OFFSET(CÁLCULO!$AL$15,ROW($X17)-ROW($X$15),-1))),IF($C17=0,0,ROUND(SomaAgrup,15-13*$AF$11)))</f>
        <v>0</v>
      </c>
      <c r="Y17" s="128" t="s">
        <v>245</v>
      </c>
      <c r="Z17" t="str">
        <f t="shared" ca="1" si="13"/>
        <v/>
      </c>
      <c r="AA17" s="129">
        <f ca="1">IF($C17="S",IF($Z17="CP",$X17,IF($Z17="RA",(($X17)*QCI!$AA$3),0)),SomaAgrup)</f>
        <v>0</v>
      </c>
      <c r="AB17" s="130">
        <f t="shared" ca="1" si="14"/>
        <v>0</v>
      </c>
      <c r="AC17" s="131" t="str">
        <f ca="1">IF($N17="","",IF(ORÇAMENTO.Descricao="","DESCRIÇÃO",IF(AND($C17="S",ORÇAMENTO.Unidade=""),"UNIDADE",IF($X17&lt;0,"VALOR NEGATIVO",IF(OR(AND(TIPOORCAMENTO="Proposto",$AG17&lt;&gt;"",$AG17&gt;0,ORÇAMENTO.CustoUnitario&gt;$AG17),AND(TIPOORCAMENTO="LICITADO",ORÇAMENTO.PrecoUnitarioLicitado&gt;$AN17)),"ACIMA REF.","")))))</f>
        <v/>
      </c>
      <c r="AD17">
        <f ca="1">IF(C17&lt;=CRONO.NivelExibicao,MAX($AD$15:OFFSET(AD17,-1,0))+IF($C17&lt;&gt;1,1,MAX(1,COUNTIF(QCI!$A$13:$A$24,OFFSET($E17,-1,0)))),"")</f>
        <v>2</v>
      </c>
      <c r="AE17" s="7" t="b">
        <f ca="1">IF(AND($C17="S",ORÇAMENTO.CodBarra&lt;&gt;""),IF(ORÇAMENTO.Fonte="",ORÇAMENTO.CodBarra,CONCATENATE(ORÇAMENTO.Fonte," ",ORÇAMENTO.CodBarra)))</f>
        <v>0</v>
      </c>
      <c r="AF17" s="13" t="str">
        <f ca="1">IF(ISERROR(INDIRECT(ORÇAMENTO.BancoRef)),"(abra o arquivo 'Referência "&amp;Excel_BuiltIn_Database&amp;".xlsm)",IF(OR($C17&lt;&gt;"S",ORÇAMENTO.CodBarra=""),"(Sem Código)",IF(ISERROR(MATCH($AE17,INDIRECT(ORÇAMENTO.BancoRef),0)),"(Código não identificado nas referências)",MATCH($AE17,INDIRECT(ORÇAMENTO.BancoRef),0))))</f>
        <v>(abra o arquivo 'Referência 02-2025.xlsm)</v>
      </c>
      <c r="AG17" s="498">
        <f ca="1">ROUND(IF(DESONERACAO="sim",REFERENCIA.Desonerado,REFERENCIA.NaoDesonerado),2)</f>
        <v>0</v>
      </c>
      <c r="AH17" s="499">
        <f t="shared" ca="1" si="15"/>
        <v>0.22470000000000001</v>
      </c>
      <c r="AJ17" s="501"/>
      <c r="AL17" s="527"/>
      <c r="AM17" s="381">
        <f t="shared" ca="1" si="0"/>
        <v>0</v>
      </c>
      <c r="AN17" s="566">
        <f t="shared" ca="1" si="16"/>
        <v>0</v>
      </c>
    </row>
    <row r="18" spans="1:40" ht="25.5" x14ac:dyDescent="0.2">
      <c r="A18" t="str">
        <f t="shared" si="1"/>
        <v>S</v>
      </c>
      <c r="B18">
        <f t="shared" ca="1" si="2"/>
        <v>2</v>
      </c>
      <c r="C18" t="str">
        <f t="shared" ca="1" si="3"/>
        <v>S</v>
      </c>
      <c r="D18">
        <f t="shared" ca="1" si="4"/>
        <v>0</v>
      </c>
      <c r="E18">
        <f ca="1">IF($C18=1,OFFSET(E18,-1,0)+MAX(1,COUNTIF(QCI!$A$13:$A$24,OFFSET(ORÇAMENTO!E18,-1,0))),OFFSET(E18,-1,0))</f>
        <v>1</v>
      </c>
      <c r="F18">
        <f t="shared" ca="1" si="5"/>
        <v>1</v>
      </c>
      <c r="G18">
        <f t="shared" ca="1" si="6"/>
        <v>0</v>
      </c>
      <c r="H18">
        <f t="shared" ca="1" si="7"/>
        <v>0</v>
      </c>
      <c r="I18">
        <f t="shared" ca="1" si="8"/>
        <v>0</v>
      </c>
      <c r="J18">
        <f t="shared" ca="1" si="9"/>
        <v>0</v>
      </c>
      <c r="K18">
        <f ca="1">IF(OR($C18="S",$C18=0),0,MATCH(OFFSET($D18,0,$C18)+IF($C18&lt;&gt;1,1,COUNTIF(QCI!$A$13:$A$24,ORÇAMENTO!E18)),OFFSET($D18,1,$C18,ROW($C$747)-ROW($C18)),0))</f>
        <v>0</v>
      </c>
      <c r="L18" s="116" t="str">
        <f t="shared" ca="1" si="10"/>
        <v/>
      </c>
      <c r="M18" s="117" t="s">
        <v>199</v>
      </c>
      <c r="N18" s="118" t="str">
        <f t="shared" ca="1" si="11"/>
        <v>Serviço</v>
      </c>
      <c r="O18" s="119" t="str">
        <f t="shared" ca="1" si="12"/>
        <v>-</v>
      </c>
      <c r="P18" s="120" t="s">
        <v>247</v>
      </c>
      <c r="Q18" s="121" t="s">
        <v>448</v>
      </c>
      <c r="R18" s="122" t="str">
        <f ca="1">IF($C18="S",REFERENCIA.Descricao,"(digite a descrição aqui)")</f>
        <v>(abra o arquivo 'Referência 02-2025.xlsm)</v>
      </c>
      <c r="S18" s="123" t="str">
        <f ca="1">REFERENCIA.Unidade</f>
        <v>-</v>
      </c>
      <c r="T18" s="124">
        <f ca="1">OFFSET(CÁLCULO!H$15,ROW($T18)-ROW(T$15),0)</f>
        <v>6.48</v>
      </c>
      <c r="U18" s="125">
        <f ca="1">AG18</f>
        <v>0</v>
      </c>
      <c r="V18" s="126" t="s">
        <v>156</v>
      </c>
      <c r="W18" s="124">
        <f ca="1">IF($C18="S",ROUND(IF(TIPOORCAMENTO="Proposto",ORÇAMENTO.CustoUnitario*(1+$AH18),ORÇAMENTO.PrecoUnitarioLicitado),15-13*$AF$10),0)</f>
        <v>0</v>
      </c>
      <c r="X18" s="127">
        <f ca="1">IF($C18="S",IF(Import.TipoArredondamento&lt;&gt;"TransfereGOV",VTOTAL1,SUM(OFFSET(CÁLCULO!$AA$15,ROW($X18)-ROW($X$15),1):OFFSET(CÁLCULO!$AL$15,ROW($X18)-ROW($X$15),-1))),IF($C18=0,0,ROUND(SomaAgrup,15-13*$AF$11)))</f>
        <v>0</v>
      </c>
      <c r="Y18" s="128" t="s">
        <v>245</v>
      </c>
      <c r="Z18" t="str">
        <f t="shared" ca="1" si="13"/>
        <v/>
      </c>
      <c r="AA18" s="129">
        <f ca="1">IF($C18="S",IF($Z18="CP",$X18,IF($Z18="RA",(($X18)*QCI!$AA$3),0)),SomaAgrup)</f>
        <v>0</v>
      </c>
      <c r="AB18" s="130">
        <f t="shared" ca="1" si="14"/>
        <v>0</v>
      </c>
      <c r="AC18" s="131" t="str">
        <f ca="1">IF($N18="","",IF(ORÇAMENTO.Descricao="","DESCRIÇÃO",IF(AND($C18="S",ORÇAMENTO.Unidade=""),"UNIDADE",IF($X18&lt;0,"VALOR NEGATIVO",IF(OR(AND(TIPOORCAMENTO="Proposto",$AG18&lt;&gt;"",$AG18&gt;0,ORÇAMENTO.CustoUnitario&gt;$AG18),AND(TIPOORCAMENTO="LICITADO",ORÇAMENTO.PrecoUnitarioLicitado&gt;$AN18)),"ACIMA REF.","")))))</f>
        <v/>
      </c>
      <c r="AD18" t="str">
        <f ca="1">IF(C18&lt;=CRONO.NivelExibicao,MAX($AD$15:OFFSET(AD18,-1,0))+IF($C18&lt;&gt;1,1,MAX(1,COUNTIF(QCI!$A$13:$A$24,OFFSET($E18,-1,0)))),"")</f>
        <v/>
      </c>
      <c r="AE18" s="7" t="str">
        <f ca="1">IF(AND($C18="S",ORÇAMENTO.CodBarra&lt;&gt;""),IF(ORÇAMENTO.Fonte="",ORÇAMENTO.CodBarra,CONCATENATE(ORÇAMENTO.Fonte," ",ORÇAMENTO.CodBarra)))</f>
        <v>SINAPI 103689</v>
      </c>
      <c r="AF18" s="13" t="str">
        <f ca="1">IF(ISERROR(INDIRECT(ORÇAMENTO.BancoRef)),"(abra o arquivo 'Referência "&amp;Excel_BuiltIn_Database&amp;".xlsm)",IF(OR($C18&lt;&gt;"S",ORÇAMENTO.CodBarra=""),"(Sem Código)",IF(ISERROR(MATCH($AE18,INDIRECT(ORÇAMENTO.BancoRef),0)),"(Código não identificado nas referências)",MATCH($AE18,INDIRECT(ORÇAMENTO.BancoRef),0))))</f>
        <v>(abra o arquivo 'Referência 02-2025.xlsm)</v>
      </c>
      <c r="AG18" s="498">
        <f ca="1">ROUND(IF(DESONERACAO="sim",REFERENCIA.Desonerado,REFERENCIA.NaoDesonerado),2)</f>
        <v>0</v>
      </c>
      <c r="AH18" s="499">
        <f t="shared" ca="1" si="15"/>
        <v>0.22470000000000001</v>
      </c>
      <c r="AJ18" s="501">
        <v>6.48</v>
      </c>
      <c r="AL18" s="527"/>
      <c r="AM18" s="381">
        <f t="shared" ca="1" si="0"/>
        <v>0</v>
      </c>
      <c r="AN18" s="566">
        <f t="shared" ca="1" si="16"/>
        <v>0</v>
      </c>
    </row>
    <row r="19" spans="1:40" x14ac:dyDescent="0.2">
      <c r="A19" t="str">
        <f t="shared" si="1"/>
        <v>S</v>
      </c>
      <c r="B19">
        <f t="shared" ca="1" si="2"/>
        <v>2</v>
      </c>
      <c r="C19" t="str">
        <f t="shared" ca="1" si="3"/>
        <v>S</v>
      </c>
      <c r="D19">
        <f t="shared" ca="1" si="4"/>
        <v>0</v>
      </c>
      <c r="E19">
        <f ca="1">IF($C19=1,OFFSET(E19,-1,0)+MAX(1,COUNTIF(QCI!$A$13:$A$24,OFFSET(ORÇAMENTO!E19,-1,0))),OFFSET(E19,-1,0))</f>
        <v>1</v>
      </c>
      <c r="F19">
        <f t="shared" ca="1" si="5"/>
        <v>1</v>
      </c>
      <c r="G19">
        <f t="shared" ca="1" si="6"/>
        <v>0</v>
      </c>
      <c r="H19">
        <f t="shared" ca="1" si="7"/>
        <v>0</v>
      </c>
      <c r="I19">
        <f t="shared" ca="1" si="8"/>
        <v>0</v>
      </c>
      <c r="J19">
        <f t="shared" ca="1" si="9"/>
        <v>0</v>
      </c>
      <c r="K19">
        <f ca="1">IF(OR($C19="S",$C19=0),0,MATCH(OFFSET($D19,0,$C19)+IF($C19&lt;&gt;1,1,COUNTIF(QCI!$A$13:$A$24,ORÇAMENTO!E19)),OFFSET($D19,1,$C19,ROW($C$747)-ROW($C19)),0))</f>
        <v>0</v>
      </c>
      <c r="L19" s="116" t="str">
        <f t="shared" ca="1" si="10"/>
        <v/>
      </c>
      <c r="M19" s="117" t="s">
        <v>199</v>
      </c>
      <c r="N19" s="118" t="str">
        <f t="shared" ca="1" si="11"/>
        <v>Serviço</v>
      </c>
      <c r="O19" s="119" t="str">
        <f t="shared" ca="1" si="12"/>
        <v>-</v>
      </c>
      <c r="P19" s="120" t="s">
        <v>247</v>
      </c>
      <c r="Q19" s="121" t="s">
        <v>449</v>
      </c>
      <c r="R19" s="122" t="str">
        <f ca="1">IF($C19="S",REFERENCIA.Descricao,"(digite a descrição aqui)")</f>
        <v>(abra o arquivo 'Referência 02-2025.xlsm)</v>
      </c>
      <c r="S19" s="123" t="str">
        <f ca="1">REFERENCIA.Unidade</f>
        <v>-</v>
      </c>
      <c r="T19" s="124">
        <f ca="1">OFFSET(CÁLCULO!H$15,ROW($T19)-ROW(T$15),0)</f>
        <v>501.6</v>
      </c>
      <c r="U19" s="125">
        <f t="shared" ref="U19:U88" ca="1" si="17">AG19</f>
        <v>0</v>
      </c>
      <c r="V19" s="126" t="s">
        <v>156</v>
      </c>
      <c r="W19" s="124">
        <f ca="1">IF($C19="S",ROUND(IF(TIPOORCAMENTO="Proposto",ORÇAMENTO.CustoUnitario*(1+$AH19),ORÇAMENTO.PrecoUnitarioLicitado),15-13*$AF$10),0)</f>
        <v>0</v>
      </c>
      <c r="X19" s="127">
        <f ca="1">IF($C19="S",IF(Import.TipoArredondamento&lt;&gt;"TransfereGOV",VTOTAL1,SUM(OFFSET(CÁLCULO!$AA$15,ROW($X19)-ROW($X$15),1):OFFSET(CÁLCULO!$AL$15,ROW($X19)-ROW($X$15),-1))),IF($C19=0,0,ROUND(SomaAgrup,15-13*$AF$11)))</f>
        <v>0</v>
      </c>
      <c r="Y19" s="128" t="s">
        <v>245</v>
      </c>
      <c r="Z19" t="str">
        <f t="shared" ca="1" si="13"/>
        <v/>
      </c>
      <c r="AA19" s="129">
        <f ca="1">IF($C19="S",IF($Z19="CP",$X19,IF($Z19="RA",(($X19)*QCI!$AA$3),0)),SomaAgrup)</f>
        <v>0</v>
      </c>
      <c r="AB19" s="130">
        <f t="shared" ca="1" si="14"/>
        <v>0</v>
      </c>
      <c r="AC19" s="131" t="str">
        <f ca="1">IF($N19="","",IF(ORÇAMENTO.Descricao="","DESCRIÇÃO",IF(AND($C19="S",ORÇAMENTO.Unidade=""),"UNIDADE",IF($X19&lt;0,"VALOR NEGATIVO",IF(OR(AND(TIPOORCAMENTO="Proposto",$AG19&lt;&gt;"",$AG19&gt;0,ORÇAMENTO.CustoUnitario&gt;$AG19),AND(TIPOORCAMENTO="LICITADO",ORÇAMENTO.PrecoUnitarioLicitado&gt;$AN19)),"ACIMA REF.","")))))</f>
        <v/>
      </c>
      <c r="AD19" t="str">
        <f ca="1">IF(C19&lt;=CRONO.NivelExibicao,MAX($AD$15:OFFSET(AD19,-1,0))+IF($C19&lt;&gt;1,1,MAX(1,COUNTIF(QCI!$A$13:$A$24,OFFSET($E19,-1,0)))),"")</f>
        <v/>
      </c>
      <c r="AE19" s="7" t="str">
        <f ca="1">IF(AND($C19="S",ORÇAMENTO.CodBarra&lt;&gt;""),IF(ORÇAMENTO.Fonte="",ORÇAMENTO.CodBarra,CONCATENATE(ORÇAMENTO.Fonte," ",ORÇAMENTO.CodBarra)))</f>
        <v>SINAPI 98459</v>
      </c>
      <c r="AF19" s="13" t="str">
        <f ca="1">IF(ISERROR(INDIRECT(ORÇAMENTO.BancoRef)),"(abra o arquivo 'Referência "&amp;Excel_BuiltIn_Database&amp;".xlsm)",IF(OR($C19&lt;&gt;"S",ORÇAMENTO.CodBarra=""),"(Sem Código)",IF(ISERROR(MATCH($AE19,INDIRECT(ORÇAMENTO.BancoRef),0)),"(Código não identificado nas referências)",MATCH($AE19,INDIRECT(ORÇAMENTO.BancoRef),0))))</f>
        <v>(abra o arquivo 'Referência 02-2025.xlsm)</v>
      </c>
      <c r="AG19" s="498">
        <f ca="1">ROUND(IF(DESONERACAO="sim",REFERENCIA.Desonerado,REFERENCIA.NaoDesonerado),2)</f>
        <v>0</v>
      </c>
      <c r="AH19" s="499">
        <f t="shared" ca="1" si="15"/>
        <v>0.22470000000000001</v>
      </c>
      <c r="AJ19" s="501">
        <v>501.6</v>
      </c>
      <c r="AL19" s="527"/>
      <c r="AM19" s="381">
        <f t="shared" ca="1" si="0"/>
        <v>0</v>
      </c>
      <c r="AN19" s="566">
        <f t="shared" ca="1" si="16"/>
        <v>0</v>
      </c>
    </row>
    <row r="20" spans="1:40" ht="38.25" x14ac:dyDescent="0.2">
      <c r="A20" t="str">
        <f t="shared" si="1"/>
        <v>S</v>
      </c>
      <c r="B20">
        <f t="shared" ca="1" si="2"/>
        <v>2</v>
      </c>
      <c r="C20" t="str">
        <f t="shared" ca="1" si="3"/>
        <v>S</v>
      </c>
      <c r="D20">
        <f t="shared" ca="1" si="4"/>
        <v>0</v>
      </c>
      <c r="E20">
        <f ca="1">IF($C20=1,OFFSET(E20,-1,0)+MAX(1,COUNTIF(QCI!$A$13:$A$24,OFFSET(ORÇAMENTO!E20,-1,0))),OFFSET(E20,-1,0))</f>
        <v>1</v>
      </c>
      <c r="F20">
        <f t="shared" ca="1" si="5"/>
        <v>1</v>
      </c>
      <c r="G20">
        <f t="shared" ca="1" si="6"/>
        <v>0</v>
      </c>
      <c r="H20">
        <f t="shared" ca="1" si="7"/>
        <v>0</v>
      </c>
      <c r="I20">
        <f t="shared" ca="1" si="8"/>
        <v>0</v>
      </c>
      <c r="J20">
        <f t="shared" ca="1" si="9"/>
        <v>0</v>
      </c>
      <c r="K20">
        <f ca="1">IF(OR($C20="S",$C20=0),0,MATCH(OFFSET($D20,0,$C20)+IF($C20&lt;&gt;1,1,COUNTIF(QCI!$A$13:$A$24,ORÇAMENTO!E20)),OFFSET($D20,1,$C20,ROW($C$747)-ROW($C20)),0))</f>
        <v>0</v>
      </c>
      <c r="L20" s="116" t="str">
        <f t="shared" ca="1" si="10"/>
        <v/>
      </c>
      <c r="M20" s="117" t="s">
        <v>199</v>
      </c>
      <c r="N20" s="118" t="str">
        <f t="shared" ca="1" si="11"/>
        <v>Serviço</v>
      </c>
      <c r="O20" s="119" t="str">
        <f t="shared" ca="1" si="12"/>
        <v>-</v>
      </c>
      <c r="P20" s="120" t="s">
        <v>247</v>
      </c>
      <c r="Q20" s="121" t="s">
        <v>450</v>
      </c>
      <c r="R20" s="122" t="str">
        <f ca="1">IF($C20="S",REFERENCIA.Descricao,"(digite a descrição aqui)")</f>
        <v>(abra o arquivo 'Referência 02-2025.xlsm)</v>
      </c>
      <c r="S20" s="123" t="str">
        <f ca="1">REFERENCIA.Unidade</f>
        <v>-</v>
      </c>
      <c r="T20" s="124">
        <f ca="1">OFFSET(CÁLCULO!H$15,ROW($T20)-ROW(T$15),0)</f>
        <v>1</v>
      </c>
      <c r="U20" s="125">
        <f t="shared" ca="1" si="17"/>
        <v>0</v>
      </c>
      <c r="V20" s="126" t="s">
        <v>156</v>
      </c>
      <c r="W20" s="124">
        <f ca="1">IF($C20="S",ROUND(IF(TIPOORCAMENTO="Proposto",ORÇAMENTO.CustoUnitario*(1+$AH20),ORÇAMENTO.PrecoUnitarioLicitado),15-13*$AF$10),0)</f>
        <v>0</v>
      </c>
      <c r="X20" s="127">
        <f ca="1">IF($C20="S",IF(Import.TipoArredondamento&lt;&gt;"TransfereGOV",VTOTAL1,SUM(OFFSET(CÁLCULO!$AA$15,ROW($X20)-ROW($X$15),1):OFFSET(CÁLCULO!$AL$15,ROW($X20)-ROW($X$15),-1))),IF($C20=0,0,ROUND(SomaAgrup,15-13*$AF$11)))</f>
        <v>0</v>
      </c>
      <c r="Y20" s="128" t="s">
        <v>245</v>
      </c>
      <c r="Z20" t="str">
        <f t="shared" ca="1" si="13"/>
        <v/>
      </c>
      <c r="AA20" s="129">
        <f ca="1">IF($C20="S",IF($Z20="CP",$X20,IF($Z20="RA",(($X20)*QCI!$AA$3),0)),SomaAgrup)</f>
        <v>0</v>
      </c>
      <c r="AB20" s="130">
        <f t="shared" ca="1" si="14"/>
        <v>0</v>
      </c>
      <c r="AC20" s="131" t="str">
        <f ca="1">IF($N20="","",IF(ORÇAMENTO.Descricao="","DESCRIÇÃO",IF(AND($C20="S",ORÇAMENTO.Unidade=""),"UNIDADE",IF($X20&lt;0,"VALOR NEGATIVO",IF(OR(AND(TIPOORCAMENTO="Proposto",$AG20&lt;&gt;"",$AG20&gt;0,ORÇAMENTO.CustoUnitario&gt;$AG20),AND(TIPOORCAMENTO="LICITADO",ORÇAMENTO.PrecoUnitarioLicitado&gt;$AN20)),"ACIMA REF.","")))))</f>
        <v/>
      </c>
      <c r="AD20" t="str">
        <f ca="1">IF(C20&lt;=CRONO.NivelExibicao,MAX($AD$15:OFFSET(AD20,-1,0))+IF($C20&lt;&gt;1,1,MAX(1,COUNTIF(QCI!$A$13:$A$24,OFFSET($E20,-1,0)))),"")</f>
        <v/>
      </c>
      <c r="AE20" s="7" t="str">
        <f ca="1">IF(AND($C20="S",ORÇAMENTO.CodBarra&lt;&gt;""),IF(ORÇAMENTO.Fonte="",ORÇAMENTO.CodBarra,CONCATENATE(ORÇAMENTO.Fonte," ",ORÇAMENTO.CodBarra)))</f>
        <v>SINAPI 101509</v>
      </c>
      <c r="AF20" s="13" t="str">
        <f ca="1">IF(ISERROR(INDIRECT(ORÇAMENTO.BancoRef)),"(abra o arquivo 'Referência "&amp;Excel_BuiltIn_Database&amp;".xlsm)",IF(OR($C20&lt;&gt;"S",ORÇAMENTO.CodBarra=""),"(Sem Código)",IF(ISERROR(MATCH($AE20,INDIRECT(ORÇAMENTO.BancoRef),0)),"(Código não identificado nas referências)",MATCH($AE20,INDIRECT(ORÇAMENTO.BancoRef),0))))</f>
        <v>(abra o arquivo 'Referência 02-2025.xlsm)</v>
      </c>
      <c r="AG20" s="498">
        <f ca="1">ROUND(IF(DESONERACAO="sim",REFERENCIA.Desonerado,REFERENCIA.NaoDesonerado),2)</f>
        <v>0</v>
      </c>
      <c r="AH20" s="499">
        <f t="shared" ca="1" si="15"/>
        <v>0.22470000000000001</v>
      </c>
      <c r="AJ20" s="501">
        <v>1</v>
      </c>
      <c r="AL20" s="527"/>
      <c r="AM20" s="381">
        <f t="shared" ca="1" si="0"/>
        <v>0</v>
      </c>
      <c r="AN20" s="566">
        <f t="shared" ca="1" si="16"/>
        <v>0</v>
      </c>
    </row>
    <row r="21" spans="1:40" x14ac:dyDescent="0.2">
      <c r="A21" t="str">
        <f t="shared" si="1"/>
        <v>S</v>
      </c>
      <c r="B21">
        <f t="shared" ca="1" si="2"/>
        <v>2</v>
      </c>
      <c r="C21" t="str">
        <f t="shared" ca="1" si="3"/>
        <v>S</v>
      </c>
      <c r="D21">
        <f t="shared" ca="1" si="4"/>
        <v>0</v>
      </c>
      <c r="E21">
        <f ca="1">IF($C21=1,OFFSET(E21,-1,0)+MAX(1,COUNTIF(QCI!$A$13:$A$24,OFFSET(ORÇAMENTO!E21,-1,0))),OFFSET(E21,-1,0))</f>
        <v>1</v>
      </c>
      <c r="F21">
        <f t="shared" ca="1" si="5"/>
        <v>1</v>
      </c>
      <c r="G21">
        <f t="shared" ca="1" si="6"/>
        <v>0</v>
      </c>
      <c r="H21">
        <f t="shared" ca="1" si="7"/>
        <v>0</v>
      </c>
      <c r="I21">
        <f t="shared" ca="1" si="8"/>
        <v>0</v>
      </c>
      <c r="J21">
        <f t="shared" ca="1" si="9"/>
        <v>0</v>
      </c>
      <c r="K21">
        <f ca="1">IF(OR($C21="S",$C21=0),0,MATCH(OFFSET($D21,0,$C21)+IF($C21&lt;&gt;1,1,COUNTIF(QCI!$A$13:$A$24,ORÇAMENTO!E21)),OFFSET($D21,1,$C21,ROW($C$747)-ROW($C21)),0))</f>
        <v>0</v>
      </c>
      <c r="L21" s="116" t="str">
        <f t="shared" ca="1" si="10"/>
        <v/>
      </c>
      <c r="M21" s="117" t="s">
        <v>199</v>
      </c>
      <c r="N21" s="118" t="str">
        <f t="shared" ca="1" si="11"/>
        <v>Serviço</v>
      </c>
      <c r="O21" s="119" t="str">
        <f t="shared" ca="1" si="12"/>
        <v>-</v>
      </c>
      <c r="P21" s="120" t="s">
        <v>712</v>
      </c>
      <c r="Q21" s="121" t="s">
        <v>713</v>
      </c>
      <c r="R21" s="122" t="str">
        <f ca="1">IF($C21="S",REFERENCIA.Descricao,"(digite a descrição aqui)")</f>
        <v>(abra o arquivo 'Referência 02-2025.xlsm)</v>
      </c>
      <c r="S21" s="123" t="str">
        <f ca="1">REFERENCIA.Unidade</f>
        <v>-</v>
      </c>
      <c r="T21" s="124">
        <f ca="1">OFFSET(CÁLCULO!H$15,ROW($T21)-ROW(T$15),0)</f>
        <v>1</v>
      </c>
      <c r="U21" s="125">
        <f t="shared" ca="1" si="17"/>
        <v>0</v>
      </c>
      <c r="V21" s="126" t="s">
        <v>156</v>
      </c>
      <c r="W21" s="124">
        <f ca="1">IF($C21="S",ROUND(IF(TIPOORCAMENTO="Proposto",ORÇAMENTO.CustoUnitario*(1+$AH21),ORÇAMENTO.PrecoUnitarioLicitado),15-13*$AF$10),0)</f>
        <v>0</v>
      </c>
      <c r="X21" s="127">
        <f ca="1">IF($C21="S",IF(Import.TipoArredondamento&lt;&gt;"TransfereGOV",VTOTAL1,SUM(OFFSET(CÁLCULO!$AA$15,ROW($X21)-ROW($X$15),1):OFFSET(CÁLCULO!$AL$15,ROW($X21)-ROW($X$15),-1))),IF($C21=0,0,ROUND(SomaAgrup,15-13*$AF$11)))</f>
        <v>0</v>
      </c>
      <c r="Y21" s="128" t="s">
        <v>245</v>
      </c>
      <c r="Z21" t="str">
        <f t="shared" ca="1" si="13"/>
        <v/>
      </c>
      <c r="AA21" s="129">
        <f ca="1">IF($C21="S",IF($Z21="CP",$X21,IF($Z21="RA",(($X21)*QCI!$AA$3),0)),SomaAgrup)</f>
        <v>0</v>
      </c>
      <c r="AB21" s="130">
        <f t="shared" ca="1" si="14"/>
        <v>0</v>
      </c>
      <c r="AC21" s="131" t="str">
        <f ca="1">IF($N21="","",IF(ORÇAMENTO.Descricao="","DESCRIÇÃO",IF(AND($C21="S",ORÇAMENTO.Unidade=""),"UNIDADE",IF($X21&lt;0,"VALOR NEGATIVO",IF(OR(AND(TIPOORCAMENTO="Proposto",$AG21&lt;&gt;"",$AG21&gt;0,ORÇAMENTO.CustoUnitario&gt;$AG21),AND(TIPOORCAMENTO="LICITADO",ORÇAMENTO.PrecoUnitarioLicitado&gt;$AN21)),"ACIMA REF.","")))))</f>
        <v/>
      </c>
      <c r="AD21" t="str">
        <f ca="1">IF(C21&lt;=CRONO.NivelExibicao,MAX($AD$15:OFFSET(AD21,-1,0))+IF($C21&lt;&gt;1,1,MAX(1,COUNTIF(QCI!$A$13:$A$24,OFFSET($E21,-1,0)))),"")</f>
        <v/>
      </c>
      <c r="AE21" s="7" t="str">
        <f ca="1">IF(AND($C21="S",ORÇAMENTO.CodBarra&lt;&gt;""),IF(ORÇAMENTO.Fonte="",ORÇAMENTO.CodBarra,CONCATENATE(ORÇAMENTO.Fonte," ",ORÇAMENTO.CodBarra)))</f>
        <v>Composição FNDE 03</v>
      </c>
      <c r="AF21" s="13" t="str">
        <f ca="1">IF(ISERROR(INDIRECT(ORÇAMENTO.BancoRef)),"(abra o arquivo 'Referência "&amp;Excel_BuiltIn_Database&amp;".xlsm)",IF(OR($C21&lt;&gt;"S",ORÇAMENTO.CodBarra=""),"(Sem Código)",IF(ISERROR(MATCH($AE21,INDIRECT(ORÇAMENTO.BancoRef),0)),"(Código não identificado nas referências)",MATCH($AE21,INDIRECT(ORÇAMENTO.BancoRef),0))))</f>
        <v>(abra o arquivo 'Referência 02-2025.xlsm)</v>
      </c>
      <c r="AG21" s="498">
        <f ca="1">ROUND(IF(DESONERACAO="sim",REFERENCIA.Desonerado,REFERENCIA.NaoDesonerado),2)</f>
        <v>0</v>
      </c>
      <c r="AH21" s="499">
        <f t="shared" ca="1" si="15"/>
        <v>0.22470000000000001</v>
      </c>
      <c r="AJ21" s="501">
        <v>1</v>
      </c>
      <c r="AL21" s="527"/>
      <c r="AM21" s="381">
        <f t="shared" ca="1" si="0"/>
        <v>0</v>
      </c>
      <c r="AN21" s="566">
        <f t="shared" ca="1" si="16"/>
        <v>0</v>
      </c>
    </row>
    <row r="22" spans="1:40" ht="38.25" x14ac:dyDescent="0.2">
      <c r="A22" t="str">
        <f t="shared" si="1"/>
        <v>S</v>
      </c>
      <c r="B22">
        <f t="shared" ca="1" si="2"/>
        <v>2</v>
      </c>
      <c r="C22" t="str">
        <f t="shared" ca="1" si="3"/>
        <v>S</v>
      </c>
      <c r="D22">
        <f t="shared" ca="1" si="4"/>
        <v>0</v>
      </c>
      <c r="E22">
        <f ca="1">IF($C22=1,OFFSET(E22,-1,0)+MAX(1,COUNTIF(QCI!$A$13:$A$24,OFFSET(ORÇAMENTO!E22,-1,0))),OFFSET(E22,-1,0))</f>
        <v>1</v>
      </c>
      <c r="F22">
        <f t="shared" ca="1" si="5"/>
        <v>1</v>
      </c>
      <c r="G22">
        <f t="shared" ca="1" si="6"/>
        <v>0</v>
      </c>
      <c r="H22">
        <f t="shared" ca="1" si="7"/>
        <v>0</v>
      </c>
      <c r="I22">
        <f t="shared" ca="1" si="8"/>
        <v>0</v>
      </c>
      <c r="J22">
        <f t="shared" ca="1" si="9"/>
        <v>0</v>
      </c>
      <c r="K22">
        <f ca="1">IF(OR($C22="S",$C22=0),0,MATCH(OFFSET($D22,0,$C22)+IF($C22&lt;&gt;1,1,COUNTIF(QCI!$A$13:$A$24,ORÇAMENTO!E22)),OFFSET($D22,1,$C22,ROW($C$747)-ROW($C22)),0))</f>
        <v>0</v>
      </c>
      <c r="L22" s="116" t="str">
        <f t="shared" ca="1" si="10"/>
        <v/>
      </c>
      <c r="M22" s="117" t="s">
        <v>199</v>
      </c>
      <c r="N22" s="118" t="str">
        <f t="shared" ca="1" si="11"/>
        <v>Serviço</v>
      </c>
      <c r="O22" s="119" t="str">
        <f t="shared" ca="1" si="12"/>
        <v>-</v>
      </c>
      <c r="P22" s="120" t="s">
        <v>247</v>
      </c>
      <c r="Q22" s="121" t="s">
        <v>451</v>
      </c>
      <c r="R22" s="122" t="str">
        <f ca="1">IF($C22="S",REFERENCIA.Descricao,"(digite a descrição aqui)")</f>
        <v>(abra o arquivo 'Referência 02-2025.xlsm)</v>
      </c>
      <c r="S22" s="123" t="str">
        <f ca="1">REFERENCIA.Unidade</f>
        <v>-</v>
      </c>
      <c r="T22" s="124">
        <f ca="1">OFFSET(CÁLCULO!H$15,ROW($T22)-ROW(T$15),0)</f>
        <v>254</v>
      </c>
      <c r="U22" s="125">
        <f t="shared" ca="1" si="17"/>
        <v>0</v>
      </c>
      <c r="V22" s="126" t="s">
        <v>156</v>
      </c>
      <c r="W22" s="124">
        <f ca="1">IF($C22="S",ROUND(IF(TIPOORCAMENTO="Proposto",ORÇAMENTO.CustoUnitario*(1+$AH22),ORÇAMENTO.PrecoUnitarioLicitado),15-13*$AF$10),0)</f>
        <v>0</v>
      </c>
      <c r="X22" s="127">
        <f ca="1">IF($C22="S",IF(Import.TipoArredondamento&lt;&gt;"TransfereGOV",VTOTAL1,SUM(OFFSET(CÁLCULO!$AA$15,ROW($X22)-ROW($X$15),1):OFFSET(CÁLCULO!$AL$15,ROW($X22)-ROW($X$15),-1))),IF($C22=0,0,ROUND(SomaAgrup,15-13*$AF$11)))</f>
        <v>0</v>
      </c>
      <c r="Y22" s="128" t="s">
        <v>245</v>
      </c>
      <c r="Z22" t="str">
        <f t="shared" ca="1" si="13"/>
        <v/>
      </c>
      <c r="AA22" s="129">
        <f ca="1">IF($C22="S",IF($Z22="CP",$X22,IF($Z22="RA",(($X22)*QCI!$AA$3),0)),SomaAgrup)</f>
        <v>0</v>
      </c>
      <c r="AB22" s="130">
        <f t="shared" ca="1" si="14"/>
        <v>0</v>
      </c>
      <c r="AC22" s="131" t="str">
        <f ca="1">IF($N22="","",IF(ORÇAMENTO.Descricao="","DESCRIÇÃO",IF(AND($C22="S",ORÇAMENTO.Unidade=""),"UNIDADE",IF($X22&lt;0,"VALOR NEGATIVO",IF(OR(AND(TIPOORCAMENTO="Proposto",$AG22&lt;&gt;"",$AG22&gt;0,ORÇAMENTO.CustoUnitario&gt;$AG22),AND(TIPOORCAMENTO="LICITADO",ORÇAMENTO.PrecoUnitarioLicitado&gt;$AN22)),"ACIMA REF.","")))))</f>
        <v/>
      </c>
      <c r="AD22" t="str">
        <f ca="1">IF(C22&lt;=CRONO.NivelExibicao,MAX($AD$15:OFFSET(AD22,-1,0))+IF($C22&lt;&gt;1,1,MAX(1,COUNTIF(QCI!$A$13:$A$24,OFFSET($E22,-1,0)))),"")</f>
        <v/>
      </c>
      <c r="AE22" s="7" t="str">
        <f ca="1">IF(AND($C22="S",ORÇAMENTO.CodBarra&lt;&gt;""),IF(ORÇAMENTO.Fonte="",ORÇAMENTO.CodBarra,CONCATENATE(ORÇAMENTO.Fonte," ",ORÇAMENTO.CodBarra)))</f>
        <v>SINAPI 99059</v>
      </c>
      <c r="AF22" s="13" t="str">
        <f ca="1">IF(ISERROR(INDIRECT(ORÇAMENTO.BancoRef)),"(abra o arquivo 'Referência "&amp;Excel_BuiltIn_Database&amp;".xlsm)",IF(OR($C22&lt;&gt;"S",ORÇAMENTO.CodBarra=""),"(Sem Código)",IF(ISERROR(MATCH($AE22,INDIRECT(ORÇAMENTO.BancoRef),0)),"(Código não identificado nas referências)",MATCH($AE22,INDIRECT(ORÇAMENTO.BancoRef),0))))</f>
        <v>(abra o arquivo 'Referência 02-2025.xlsm)</v>
      </c>
      <c r="AG22" s="498">
        <f ca="1">ROUND(IF(DESONERACAO="sim",REFERENCIA.Desonerado,REFERENCIA.NaoDesonerado),2)</f>
        <v>0</v>
      </c>
      <c r="AH22" s="499">
        <f t="shared" ca="1" si="15"/>
        <v>0.22470000000000001</v>
      </c>
      <c r="AJ22" s="501">
        <v>254</v>
      </c>
      <c r="AL22" s="527"/>
      <c r="AM22" s="381">
        <f t="shared" ca="1" si="0"/>
        <v>0</v>
      </c>
      <c r="AN22" s="566">
        <f t="shared" ca="1" si="16"/>
        <v>0</v>
      </c>
    </row>
    <row r="23" spans="1:40" x14ac:dyDescent="0.2">
      <c r="A23" t="str">
        <f t="shared" si="1"/>
        <v>S</v>
      </c>
      <c r="B23">
        <f t="shared" ca="1" si="2"/>
        <v>2</v>
      </c>
      <c r="C23" t="str">
        <f t="shared" ca="1" si="3"/>
        <v>S</v>
      </c>
      <c r="D23">
        <f t="shared" ca="1" si="4"/>
        <v>0</v>
      </c>
      <c r="E23">
        <f ca="1">IF($C23=1,OFFSET(E23,-1,0)+MAX(1,COUNTIF(QCI!$A$13:$A$24,OFFSET(ORÇAMENTO!E23,-1,0))),OFFSET(E23,-1,0))</f>
        <v>1</v>
      </c>
      <c r="F23">
        <f t="shared" ca="1" si="5"/>
        <v>1</v>
      </c>
      <c r="G23">
        <f t="shared" ca="1" si="6"/>
        <v>0</v>
      </c>
      <c r="H23">
        <f t="shared" ca="1" si="7"/>
        <v>0</v>
      </c>
      <c r="I23">
        <f t="shared" ca="1" si="8"/>
        <v>0</v>
      </c>
      <c r="J23">
        <f t="shared" ca="1" si="9"/>
        <v>0</v>
      </c>
      <c r="K23">
        <f ca="1">IF(OR($C23="S",$C23=0),0,MATCH(OFFSET($D23,0,$C23)+IF($C23&lt;&gt;1,1,COUNTIF(QCI!$A$13:$A$24,ORÇAMENTO!E23)),OFFSET($D23,1,$C23,ROW($C$747)-ROW($C23)),0))</f>
        <v>0</v>
      </c>
      <c r="L23" s="116" t="str">
        <f t="shared" ca="1" si="10"/>
        <v/>
      </c>
      <c r="M23" s="117" t="s">
        <v>199</v>
      </c>
      <c r="N23" s="118" t="str">
        <f t="shared" ca="1" si="11"/>
        <v>Serviço</v>
      </c>
      <c r="O23" s="119" t="str">
        <f t="shared" ca="1" si="12"/>
        <v>-</v>
      </c>
      <c r="P23" s="120" t="s">
        <v>712</v>
      </c>
      <c r="Q23" s="121" t="s">
        <v>714</v>
      </c>
      <c r="R23" s="122" t="str">
        <f ca="1">IF($C23="S",REFERENCIA.Descricao,"(digite a descrição aqui)")</f>
        <v>(abra o arquivo 'Referência 02-2025.xlsm)</v>
      </c>
      <c r="S23" s="123" t="str">
        <f ca="1">REFERENCIA.Unidade</f>
        <v>-</v>
      </c>
      <c r="T23" s="124">
        <f ca="1">OFFSET(CÁLCULO!H$15,ROW($T23)-ROW(T$15),0)</f>
        <v>1</v>
      </c>
      <c r="U23" s="125">
        <f t="shared" ca="1" si="17"/>
        <v>0</v>
      </c>
      <c r="V23" s="126" t="s">
        <v>156</v>
      </c>
      <c r="W23" s="124">
        <f ca="1">IF($C23="S",ROUND(IF(TIPOORCAMENTO="Proposto",ORÇAMENTO.CustoUnitario*(1+$AH23),ORÇAMENTO.PrecoUnitarioLicitado),15-13*$AF$10),0)</f>
        <v>0</v>
      </c>
      <c r="X23" s="127">
        <f ca="1">IF($C23="S",IF(Import.TipoArredondamento&lt;&gt;"TransfereGOV",VTOTAL1,SUM(OFFSET(CÁLCULO!$AA$15,ROW($X23)-ROW($X$15),1):OFFSET(CÁLCULO!$AL$15,ROW($X23)-ROW($X$15),-1))),IF($C23=0,0,ROUND(SomaAgrup,15-13*$AF$11)))</f>
        <v>0</v>
      </c>
      <c r="Y23" s="128" t="s">
        <v>245</v>
      </c>
      <c r="Z23" t="str">
        <f t="shared" ca="1" si="13"/>
        <v/>
      </c>
      <c r="AA23" s="129">
        <f ca="1">IF($C23="S",IF($Z23="CP",$X23,IF($Z23="RA",(($X23)*QCI!$AA$3),0)),SomaAgrup)</f>
        <v>0</v>
      </c>
      <c r="AB23" s="130">
        <f t="shared" ca="1" si="14"/>
        <v>0</v>
      </c>
      <c r="AC23" s="131" t="str">
        <f ca="1">IF($N23="","",IF(ORÇAMENTO.Descricao="","DESCRIÇÃO",IF(AND($C23="S",ORÇAMENTO.Unidade=""),"UNIDADE",IF($X23&lt;0,"VALOR NEGATIVO",IF(OR(AND(TIPOORCAMENTO="Proposto",$AG23&lt;&gt;"",$AG23&gt;0,ORÇAMENTO.CustoUnitario&gt;$AG23),AND(TIPOORCAMENTO="LICITADO",ORÇAMENTO.PrecoUnitarioLicitado&gt;$AN23)),"ACIMA REF.","")))))</f>
        <v/>
      </c>
      <c r="AD23" t="str">
        <f ca="1">IF(C23&lt;=CRONO.NivelExibicao,MAX($AD$15:OFFSET(AD23,-1,0))+IF($C23&lt;&gt;1,1,MAX(1,COUNTIF(QCI!$A$13:$A$24,OFFSET($E23,-1,0)))),"")</f>
        <v/>
      </c>
      <c r="AE23" s="7" t="str">
        <f ca="1">IF(AND($C23="S",ORÇAMENTO.CodBarra&lt;&gt;""),IF(ORÇAMENTO.Fonte="",ORÇAMENTO.CodBarra,CONCATENATE(ORÇAMENTO.Fonte," ",ORÇAMENTO.CodBarra)))</f>
        <v>Composição FNDE 244</v>
      </c>
      <c r="AF23" s="13" t="str">
        <f ca="1">IF(ISERROR(INDIRECT(ORÇAMENTO.BancoRef)),"(abra o arquivo 'Referência "&amp;Excel_BuiltIn_Database&amp;".xlsm)",IF(OR($C23&lt;&gt;"S",ORÇAMENTO.CodBarra=""),"(Sem Código)",IF(ISERROR(MATCH($AE23,INDIRECT(ORÇAMENTO.BancoRef),0)),"(Código não identificado nas referências)",MATCH($AE23,INDIRECT(ORÇAMENTO.BancoRef),0))))</f>
        <v>(abra o arquivo 'Referência 02-2025.xlsm)</v>
      </c>
      <c r="AG23" s="498">
        <f ca="1">ROUND(IF(DESONERACAO="sim",REFERENCIA.Desonerado,REFERENCIA.NaoDesonerado),2)</f>
        <v>0</v>
      </c>
      <c r="AH23" s="499">
        <f t="shared" ca="1" si="15"/>
        <v>0.22470000000000001</v>
      </c>
      <c r="AJ23" s="501">
        <v>1</v>
      </c>
      <c r="AL23" s="527"/>
      <c r="AM23" s="381">
        <f t="shared" ca="1" si="0"/>
        <v>0</v>
      </c>
      <c r="AN23" s="566">
        <f t="shared" ca="1" si="16"/>
        <v>0</v>
      </c>
    </row>
    <row r="24" spans="1:40" ht="38.25" x14ac:dyDescent="0.2">
      <c r="A24" t="str">
        <f t="shared" si="1"/>
        <v>S</v>
      </c>
      <c r="B24">
        <f t="shared" ca="1" si="2"/>
        <v>2</v>
      </c>
      <c r="C24" t="str">
        <f t="shared" ca="1" si="3"/>
        <v>S</v>
      </c>
      <c r="D24">
        <f t="shared" ca="1" si="4"/>
        <v>0</v>
      </c>
      <c r="E24">
        <f ca="1">IF($C24=1,OFFSET(E24,-1,0)+MAX(1,COUNTIF(QCI!$A$13:$A$24,OFFSET(ORÇAMENTO!E24,-1,0))),OFFSET(E24,-1,0))</f>
        <v>1</v>
      </c>
      <c r="F24">
        <f t="shared" ca="1" si="5"/>
        <v>1</v>
      </c>
      <c r="G24">
        <f t="shared" ca="1" si="6"/>
        <v>0</v>
      </c>
      <c r="H24">
        <f t="shared" ca="1" si="7"/>
        <v>0</v>
      </c>
      <c r="I24">
        <f t="shared" ca="1" si="8"/>
        <v>0</v>
      </c>
      <c r="J24">
        <f t="shared" ca="1" si="9"/>
        <v>0</v>
      </c>
      <c r="K24">
        <f ca="1">IF(OR($C24="S",$C24=0),0,MATCH(OFFSET($D24,0,$C24)+IF($C24&lt;&gt;1,1,COUNTIF(QCI!$A$13:$A$24,ORÇAMENTO!E24)),OFFSET($D24,1,$C24,ROW($C$747)-ROW($C24)),0))</f>
        <v>0</v>
      </c>
      <c r="L24" s="116" t="str">
        <f t="shared" ca="1" si="10"/>
        <v/>
      </c>
      <c r="M24" s="117" t="s">
        <v>199</v>
      </c>
      <c r="N24" s="118" t="str">
        <f t="shared" ca="1" si="11"/>
        <v>Serviço</v>
      </c>
      <c r="O24" s="119" t="str">
        <f t="shared" ca="1" si="12"/>
        <v>-</v>
      </c>
      <c r="P24" s="120" t="s">
        <v>712</v>
      </c>
      <c r="Q24" s="121" t="s">
        <v>1027</v>
      </c>
      <c r="R24" s="122" t="str">
        <f ca="1">IF($C24="S",REFERENCIA.Descricao,"(digite a descrição aqui)")</f>
        <v>(abra o arquivo 'Referência 02-2025.xlsm)</v>
      </c>
      <c r="S24" s="123" t="str">
        <f ca="1">REFERENCIA.Unidade</f>
        <v>-</v>
      </c>
      <c r="T24" s="124">
        <f ca="1">OFFSET(CÁLCULO!H$15,ROW($T24)-ROW(T$15),0)</f>
        <v>10</v>
      </c>
      <c r="U24" s="125">
        <f t="shared" ca="1" si="17"/>
        <v>0</v>
      </c>
      <c r="V24" s="126" t="s">
        <v>156</v>
      </c>
      <c r="W24" s="124">
        <f ca="1">IF($C24="S",ROUND(IF(TIPOORCAMENTO="Proposto",ORÇAMENTO.CustoUnitario*(1+$AH24),ORÇAMENTO.PrecoUnitarioLicitado),15-13*$AF$10),0)</f>
        <v>0</v>
      </c>
      <c r="X24" s="127">
        <f ca="1">IF($C24="S",IF(Import.TipoArredondamento&lt;&gt;"TransfereGOV",VTOTAL1,SUM(OFFSET(CÁLCULO!$AA$15,ROW($X24)-ROW($X$15),1):OFFSET(CÁLCULO!$AL$15,ROW($X24)-ROW($X$15),-1))),IF($C24=0,0,ROUND(SomaAgrup,15-13*$AF$11)))</f>
        <v>0</v>
      </c>
      <c r="Y24" s="128" t="s">
        <v>245</v>
      </c>
      <c r="Z24" t="str">
        <f t="shared" ca="1" si="13"/>
        <v/>
      </c>
      <c r="AA24" s="129">
        <f ca="1">IF($C24="S",IF($Z24="CP",$X24,IF($Z24="RA",(($X24)*QCI!$AA$3),0)),SomaAgrup)</f>
        <v>0</v>
      </c>
      <c r="AB24" s="130">
        <f t="shared" ca="1" si="14"/>
        <v>0</v>
      </c>
      <c r="AC24" s="131" t="str">
        <f ca="1">IF($N24="","",IF(ORÇAMENTO.Descricao="","DESCRIÇÃO",IF(AND($C24="S",ORÇAMENTO.Unidade=""),"UNIDADE",IF($X24&lt;0,"VALOR NEGATIVO",IF(OR(AND(TIPOORCAMENTO="Proposto",$AG24&lt;&gt;"",$AG24&gt;0,ORÇAMENTO.CustoUnitario&gt;$AG24),AND(TIPOORCAMENTO="LICITADO",ORÇAMENTO.PrecoUnitarioLicitado&gt;$AN24)),"ACIMA REF.","")))))</f>
        <v/>
      </c>
      <c r="AD24" t="str">
        <f ca="1">IF(C24&lt;=CRONO.NivelExibicao,MAX($AD$15:OFFSET(AD24,-1,0))+IF($C24&lt;&gt;1,1,MAX(1,COUNTIF(QCI!$A$13:$A$24,OFFSET($E24,-1,0)))),"")</f>
        <v/>
      </c>
      <c r="AE24" s="7" t="str">
        <f ca="1">IF(AND($C24="S",ORÇAMENTO.CodBarra&lt;&gt;""),IF(ORÇAMENTO.Fonte="",ORÇAMENTO.CodBarra,CONCATENATE(ORÇAMENTO.Fonte," ",ORÇAMENTO.CodBarra)))</f>
        <v xml:space="preserve">Composição FNDE 231 </v>
      </c>
      <c r="AF24" s="13" t="str">
        <f ca="1">IF(ISERROR(INDIRECT(ORÇAMENTO.BancoRef)),"(abra o arquivo 'Referência "&amp;Excel_BuiltIn_Database&amp;".xlsm)",IF(OR($C24&lt;&gt;"S",ORÇAMENTO.CodBarra=""),"(Sem Código)",IF(ISERROR(MATCH($AE24,INDIRECT(ORÇAMENTO.BancoRef),0)),"(Código não identificado nas referências)",MATCH($AE24,INDIRECT(ORÇAMENTO.BancoRef),0))))</f>
        <v>(abra o arquivo 'Referência 02-2025.xlsm)</v>
      </c>
      <c r="AG24" s="498">
        <f ca="1">ROUND(IF(DESONERACAO="sim",REFERENCIA.Desonerado,REFERENCIA.NaoDesonerado),2)</f>
        <v>0</v>
      </c>
      <c r="AH24" s="499">
        <f t="shared" ca="1" si="15"/>
        <v>0.22470000000000001</v>
      </c>
      <c r="AJ24" s="501">
        <v>10</v>
      </c>
      <c r="AL24" s="527"/>
      <c r="AM24" s="381">
        <f t="shared" ca="1" si="0"/>
        <v>0</v>
      </c>
      <c r="AN24" s="566">
        <f t="shared" ca="1" si="16"/>
        <v>0</v>
      </c>
    </row>
    <row r="25" spans="1:40" ht="38.25" x14ac:dyDescent="0.2">
      <c r="A25" t="str">
        <f t="shared" si="1"/>
        <v>S</v>
      </c>
      <c r="B25">
        <f t="shared" ca="1" si="2"/>
        <v>2</v>
      </c>
      <c r="C25" t="str">
        <f t="shared" ca="1" si="3"/>
        <v>S</v>
      </c>
      <c r="D25">
        <f t="shared" ca="1" si="4"/>
        <v>0</v>
      </c>
      <c r="E25">
        <f ca="1">IF($C25=1,OFFSET(E25,-1,0)+MAX(1,COUNTIF(QCI!$A$13:$A$24,OFFSET(ORÇAMENTO!E25,-1,0))),OFFSET(E25,-1,0))</f>
        <v>1</v>
      </c>
      <c r="F25">
        <f t="shared" ca="1" si="5"/>
        <v>1</v>
      </c>
      <c r="G25">
        <f t="shared" ca="1" si="6"/>
        <v>0</v>
      </c>
      <c r="H25">
        <f t="shared" ca="1" si="7"/>
        <v>0</v>
      </c>
      <c r="I25">
        <f t="shared" ca="1" si="8"/>
        <v>0</v>
      </c>
      <c r="J25">
        <f t="shared" ca="1" si="9"/>
        <v>0</v>
      </c>
      <c r="K25">
        <f ca="1">IF(OR($C25="S",$C25=0),0,MATCH(OFFSET($D25,0,$C25)+IF($C25&lt;&gt;1,1,COUNTIF(QCI!$A$13:$A$24,ORÇAMENTO!E25)),OFFSET($D25,1,$C25,ROW($C$747)-ROW($C25)),0))</f>
        <v>0</v>
      </c>
      <c r="L25" s="116" t="str">
        <f t="shared" ca="1" si="10"/>
        <v/>
      </c>
      <c r="M25" s="117" t="s">
        <v>199</v>
      </c>
      <c r="N25" s="118" t="str">
        <f t="shared" ca="1" si="11"/>
        <v>Serviço</v>
      </c>
      <c r="O25" s="119" t="str">
        <f t="shared" ca="1" si="12"/>
        <v>-</v>
      </c>
      <c r="P25" s="120" t="s">
        <v>712</v>
      </c>
      <c r="Q25" s="121" t="s">
        <v>715</v>
      </c>
      <c r="R25" s="122" t="str">
        <f ca="1">IF($C25="S",REFERENCIA.Descricao,"(digite a descrição aqui)")</f>
        <v>(abra o arquivo 'Referência 02-2025.xlsm)</v>
      </c>
      <c r="S25" s="123" t="str">
        <f ca="1">REFERENCIA.Unidade</f>
        <v>-</v>
      </c>
      <c r="T25" s="124">
        <f ca="1">OFFSET(CÁLCULO!H$15,ROW($T25)-ROW(T$15),0)</f>
        <v>10</v>
      </c>
      <c r="U25" s="125">
        <f t="shared" ca="1" si="17"/>
        <v>0</v>
      </c>
      <c r="V25" s="126" t="s">
        <v>156</v>
      </c>
      <c r="W25" s="124">
        <f ca="1">IF($C25="S",ROUND(IF(TIPOORCAMENTO="Proposto",ORÇAMENTO.CustoUnitario*(1+$AH25),ORÇAMENTO.PrecoUnitarioLicitado),15-13*$AF$10),0)</f>
        <v>0</v>
      </c>
      <c r="X25" s="127">
        <f ca="1">IF($C25="S",IF(Import.TipoArredondamento&lt;&gt;"TransfereGOV",VTOTAL1,SUM(OFFSET(CÁLCULO!$AA$15,ROW($X25)-ROW($X$15),1):OFFSET(CÁLCULO!$AL$15,ROW($X25)-ROW($X$15),-1))),IF($C25=0,0,ROUND(SomaAgrup,15-13*$AF$11)))</f>
        <v>0</v>
      </c>
      <c r="Y25" s="128" t="s">
        <v>245</v>
      </c>
      <c r="Z25" t="str">
        <f t="shared" ca="1" si="13"/>
        <v/>
      </c>
      <c r="AA25" s="129">
        <f ca="1">IF($C25="S",IF($Z25="CP",$X25,IF($Z25="RA",(($X25)*QCI!$AA$3),0)),SomaAgrup)</f>
        <v>0</v>
      </c>
      <c r="AB25" s="130">
        <f t="shared" ca="1" si="14"/>
        <v>0</v>
      </c>
      <c r="AC25" s="131" t="str">
        <f ca="1">IF($N25="","",IF(ORÇAMENTO.Descricao="","DESCRIÇÃO",IF(AND($C25="S",ORÇAMENTO.Unidade=""),"UNIDADE",IF($X25&lt;0,"VALOR NEGATIVO",IF(OR(AND(TIPOORCAMENTO="Proposto",$AG25&lt;&gt;"",$AG25&gt;0,ORÇAMENTO.CustoUnitario&gt;$AG25),AND(TIPOORCAMENTO="LICITADO",ORÇAMENTO.PrecoUnitarioLicitado&gt;$AN25)),"ACIMA REF.","")))))</f>
        <v/>
      </c>
      <c r="AD25" t="str">
        <f ca="1">IF(C25&lt;=CRONO.NivelExibicao,MAX($AD$15:OFFSET(AD25,-1,0))+IF($C25&lt;&gt;1,1,MAX(1,COUNTIF(QCI!$A$13:$A$24,OFFSET($E25,-1,0)))),"")</f>
        <v/>
      </c>
      <c r="AE25" s="7" t="str">
        <f ca="1">IF(AND($C25="S",ORÇAMENTO.CodBarra&lt;&gt;""),IF(ORÇAMENTO.Fonte="",ORÇAMENTO.CodBarra,CONCATENATE(ORÇAMENTO.Fonte," ",ORÇAMENTO.CodBarra)))</f>
        <v>Composição FNDE 230</v>
      </c>
      <c r="AF25" s="13" t="str">
        <f ca="1">IF(ISERROR(INDIRECT(ORÇAMENTO.BancoRef)),"(abra o arquivo 'Referência "&amp;Excel_BuiltIn_Database&amp;".xlsm)",IF(OR($C25&lt;&gt;"S",ORÇAMENTO.CodBarra=""),"(Sem Código)",IF(ISERROR(MATCH($AE25,INDIRECT(ORÇAMENTO.BancoRef),0)),"(Código não identificado nas referências)",MATCH($AE25,INDIRECT(ORÇAMENTO.BancoRef),0))))</f>
        <v>(abra o arquivo 'Referência 02-2025.xlsm)</v>
      </c>
      <c r="AG25" s="498">
        <f ca="1">ROUND(IF(DESONERACAO="sim",REFERENCIA.Desonerado,REFERENCIA.NaoDesonerado),2)</f>
        <v>0</v>
      </c>
      <c r="AH25" s="499">
        <f t="shared" ca="1" si="15"/>
        <v>0.22470000000000001</v>
      </c>
      <c r="AJ25" s="501">
        <v>10</v>
      </c>
      <c r="AL25" s="527"/>
      <c r="AM25" s="381">
        <f t="shared" ca="1" si="0"/>
        <v>0</v>
      </c>
      <c r="AN25" s="566">
        <f t="shared" ca="1" si="16"/>
        <v>0</v>
      </c>
    </row>
    <row r="26" spans="1:40" ht="38.25" x14ac:dyDescent="0.2">
      <c r="A26" t="str">
        <f t="shared" si="1"/>
        <v>S</v>
      </c>
      <c r="B26">
        <f t="shared" ca="1" si="2"/>
        <v>2</v>
      </c>
      <c r="C26" t="str">
        <f t="shared" ca="1" si="3"/>
        <v>S</v>
      </c>
      <c r="D26">
        <f t="shared" ca="1" si="4"/>
        <v>0</v>
      </c>
      <c r="E26">
        <f ca="1">IF($C26=1,OFFSET(E26,-1,0)+MAX(1,COUNTIF(QCI!$A$13:$A$24,OFFSET(ORÇAMENTO!E26,-1,0))),OFFSET(E26,-1,0))</f>
        <v>1</v>
      </c>
      <c r="F26">
        <f t="shared" ca="1" si="5"/>
        <v>1</v>
      </c>
      <c r="G26">
        <f t="shared" ca="1" si="6"/>
        <v>0</v>
      </c>
      <c r="H26">
        <f t="shared" ca="1" si="7"/>
        <v>0</v>
      </c>
      <c r="I26">
        <f t="shared" ca="1" si="8"/>
        <v>0</v>
      </c>
      <c r="J26">
        <f t="shared" ca="1" si="9"/>
        <v>0</v>
      </c>
      <c r="K26">
        <f ca="1">IF(OR($C26="S",$C26=0),0,MATCH(OFFSET($D26,0,$C26)+IF($C26&lt;&gt;1,1,COUNTIF(QCI!$A$13:$A$24,ORÇAMENTO!E26)),OFFSET($D26,1,$C26,ROW($C$747)-ROW($C26)),0))</f>
        <v>0</v>
      </c>
      <c r="L26" s="116" t="str">
        <f t="shared" ca="1" si="10"/>
        <v/>
      </c>
      <c r="M26" s="117" t="s">
        <v>199</v>
      </c>
      <c r="N26" s="118" t="str">
        <f t="shared" ca="1" si="11"/>
        <v>Serviço</v>
      </c>
      <c r="O26" s="119" t="str">
        <f t="shared" ca="1" si="12"/>
        <v>-</v>
      </c>
      <c r="P26" s="120" t="s">
        <v>712</v>
      </c>
      <c r="Q26" s="121" t="s">
        <v>716</v>
      </c>
      <c r="R26" s="122" t="str">
        <f ca="1">IF($C26="S",REFERENCIA.Descricao,"(digite a descrição aqui)")</f>
        <v>(abra o arquivo 'Referência 02-2025.xlsm)</v>
      </c>
      <c r="S26" s="123" t="str">
        <f ca="1">REFERENCIA.Unidade</f>
        <v>-</v>
      </c>
      <c r="T26" s="124">
        <f ca="1">OFFSET(CÁLCULO!H$15,ROW($T26)-ROW(T$15),0)</f>
        <v>10</v>
      </c>
      <c r="U26" s="125">
        <f t="shared" ca="1" si="17"/>
        <v>0</v>
      </c>
      <c r="V26" s="126" t="s">
        <v>156</v>
      </c>
      <c r="W26" s="124">
        <f ca="1">IF($C26="S",ROUND(IF(TIPOORCAMENTO="Proposto",ORÇAMENTO.CustoUnitario*(1+$AH26),ORÇAMENTO.PrecoUnitarioLicitado),15-13*$AF$10),0)</f>
        <v>0</v>
      </c>
      <c r="X26" s="127">
        <f ca="1">IF($C26="S",IF(Import.TipoArredondamento&lt;&gt;"TransfereGOV",VTOTAL1,SUM(OFFSET(CÁLCULO!$AA$15,ROW($X26)-ROW($X$15),1):OFFSET(CÁLCULO!$AL$15,ROW($X26)-ROW($X$15),-1))),IF($C26=0,0,ROUND(SomaAgrup,15-13*$AF$11)))</f>
        <v>0</v>
      </c>
      <c r="Y26" s="128" t="s">
        <v>245</v>
      </c>
      <c r="Z26" t="str">
        <f t="shared" ca="1" si="13"/>
        <v/>
      </c>
      <c r="AA26" s="129">
        <f ca="1">IF($C26="S",IF($Z26="CP",$X26,IF($Z26="RA",(($X26)*QCI!$AA$3),0)),SomaAgrup)</f>
        <v>0</v>
      </c>
      <c r="AB26" s="130">
        <f t="shared" ca="1" si="14"/>
        <v>0</v>
      </c>
      <c r="AC26" s="131" t="str">
        <f ca="1">IF($N26="","",IF(ORÇAMENTO.Descricao="","DESCRIÇÃO",IF(AND($C26="S",ORÇAMENTO.Unidade=""),"UNIDADE",IF($X26&lt;0,"VALOR NEGATIVO",IF(OR(AND(TIPOORCAMENTO="Proposto",$AG26&lt;&gt;"",$AG26&gt;0,ORÇAMENTO.CustoUnitario&gt;$AG26),AND(TIPOORCAMENTO="LICITADO",ORÇAMENTO.PrecoUnitarioLicitado&gt;$AN26)),"ACIMA REF.","")))))</f>
        <v/>
      </c>
      <c r="AD26" t="str">
        <f ca="1">IF(C26&lt;=CRONO.NivelExibicao,MAX($AD$15:OFFSET(AD26,-1,0))+IF($C26&lt;&gt;1,1,MAX(1,COUNTIF(QCI!$A$13:$A$24,OFFSET($E26,-1,0)))),"")</f>
        <v/>
      </c>
      <c r="AE26" s="7" t="str">
        <f ca="1">IF(AND($C26="S",ORÇAMENTO.CodBarra&lt;&gt;""),IF(ORÇAMENTO.Fonte="",ORÇAMENTO.CodBarra,CONCATENATE(ORÇAMENTO.Fonte," ",ORÇAMENTO.CodBarra)))</f>
        <v>Composição FNDE 232</v>
      </c>
      <c r="AF26" s="13" t="str">
        <f ca="1">IF(ISERROR(INDIRECT(ORÇAMENTO.BancoRef)),"(abra o arquivo 'Referência "&amp;Excel_BuiltIn_Database&amp;".xlsm)",IF(OR($C26&lt;&gt;"S",ORÇAMENTO.CodBarra=""),"(Sem Código)",IF(ISERROR(MATCH($AE26,INDIRECT(ORÇAMENTO.BancoRef),0)),"(Código não identificado nas referências)",MATCH($AE26,INDIRECT(ORÇAMENTO.BancoRef),0))))</f>
        <v>(abra o arquivo 'Referência 02-2025.xlsm)</v>
      </c>
      <c r="AG26" s="498">
        <f ca="1">ROUND(IF(DESONERACAO="sim",REFERENCIA.Desonerado,REFERENCIA.NaoDesonerado),2)</f>
        <v>0</v>
      </c>
      <c r="AH26" s="499">
        <f t="shared" ca="1" si="15"/>
        <v>0.22470000000000001</v>
      </c>
      <c r="AJ26" s="501">
        <v>10</v>
      </c>
      <c r="AL26" s="527"/>
      <c r="AM26" s="381">
        <f t="shared" ca="1" si="0"/>
        <v>0</v>
      </c>
      <c r="AN26" s="566">
        <f t="shared" ca="1" si="16"/>
        <v>0</v>
      </c>
    </row>
    <row r="27" spans="1:40" x14ac:dyDescent="0.2">
      <c r="A27">
        <f t="shared" si="1"/>
        <v>2</v>
      </c>
      <c r="B27">
        <f t="shared" ca="1" si="2"/>
        <v>2</v>
      </c>
      <c r="C27">
        <f t="shared" ca="1" si="3"/>
        <v>2</v>
      </c>
      <c r="D27">
        <f t="shared" ca="1" si="4"/>
        <v>8</v>
      </c>
      <c r="E27">
        <f ca="1">IF($C27=1,OFFSET(E27,-1,0)+MAX(1,COUNTIF(QCI!$A$13:$A$24,OFFSET(ORÇAMENTO!E27,-1,0))),OFFSET(E27,-1,0))</f>
        <v>1</v>
      </c>
      <c r="F27">
        <f t="shared" ca="1" si="5"/>
        <v>2</v>
      </c>
      <c r="G27">
        <f t="shared" ca="1" si="6"/>
        <v>0</v>
      </c>
      <c r="H27">
        <f t="shared" ca="1" si="7"/>
        <v>0</v>
      </c>
      <c r="I27">
        <f t="shared" ca="1" si="8"/>
        <v>0</v>
      </c>
      <c r="J27">
        <f t="shared" ca="1" si="9"/>
        <v>720</v>
      </c>
      <c r="K27">
        <f ca="1">IF(OR($C27="S",$C27=0),0,MATCH(OFFSET($D27,0,$C27)+IF($C27&lt;&gt;1,1,COUNTIF(QCI!$A$13:$A$24,ORÇAMENTO!E27)),OFFSET($D27,1,$C27,ROW($C$747)-ROW($C27)),0))</f>
        <v>8</v>
      </c>
      <c r="L27" s="116" t="str">
        <f t="shared" ca="1" si="10"/>
        <v>F</v>
      </c>
      <c r="M27" s="117" t="s">
        <v>196</v>
      </c>
      <c r="N27" s="118" t="str">
        <f t="shared" ca="1" si="11"/>
        <v>Nível 2</v>
      </c>
      <c r="O27" s="119" t="str">
        <f t="shared" ca="1" si="12"/>
        <v>1.2.</v>
      </c>
      <c r="P27" s="120" t="s">
        <v>247</v>
      </c>
      <c r="Q27" s="121"/>
      <c r="R27" s="122" t="str">
        <f ca="1">IF($C27="S",REFERENCIA.Descricao,"MOVIMENTO DE TERRA PARA FUNDAÇÕES")</f>
        <v>MOVIMENTO DE TERRA PARA FUNDAÇÕES</v>
      </c>
      <c r="S27" s="123" t="str">
        <f ca="1">REFERENCIA.Unidade</f>
        <v>-</v>
      </c>
      <c r="T27" s="124">
        <f ca="1">OFFSET(CÁLCULO!H$15,ROW($T27)-ROW(T$15),0)</f>
        <v>0</v>
      </c>
      <c r="U27" s="125">
        <f t="shared" ca="1" si="17"/>
        <v>0</v>
      </c>
      <c r="V27" s="126" t="s">
        <v>156</v>
      </c>
      <c r="W27" s="124">
        <f ca="1">IF($C27="S",ROUND(IF(TIPOORCAMENTO="Proposto",ORÇAMENTO.CustoUnitario*(1+$AH27),ORÇAMENTO.PrecoUnitarioLicitado),15-13*$AF$10),0)</f>
        <v>0</v>
      </c>
      <c r="X27" s="127">
        <f ca="1">IF($C27="S",IF(Import.TipoArredondamento&lt;&gt;"TransfereGOV",VTOTAL1,SUM(OFFSET(CÁLCULO!$AA$15,ROW($X27)-ROW($X$15),1):OFFSET(CÁLCULO!$AL$15,ROW($X27)-ROW($X$15),-1))),IF($C27=0,0,ROUND(SomaAgrup,15-13*$AF$11)))</f>
        <v>0</v>
      </c>
      <c r="Y27" s="128" t="s">
        <v>245</v>
      </c>
      <c r="Z27" t="str">
        <f t="shared" ca="1" si="13"/>
        <v/>
      </c>
      <c r="AA27" s="129">
        <f ca="1">IF($C27="S",IF($Z27="CP",$X27,IF($Z27="RA",(($X27)*QCI!$AA$3),0)),SomaAgrup)</f>
        <v>0</v>
      </c>
      <c r="AB27" s="130">
        <f t="shared" ca="1" si="14"/>
        <v>0</v>
      </c>
      <c r="AC27" s="131" t="str">
        <f ca="1">IF($N27="","",IF(ORÇAMENTO.Descricao="","DESCRIÇÃO",IF(AND($C27="S",ORÇAMENTO.Unidade=""),"UNIDADE",IF($X27&lt;0,"VALOR NEGATIVO",IF(OR(AND(TIPOORCAMENTO="Proposto",$AG27&lt;&gt;"",$AG27&gt;0,ORÇAMENTO.CustoUnitario&gt;$AG27),AND(TIPOORCAMENTO="LICITADO",ORÇAMENTO.PrecoUnitarioLicitado&gt;$AN27)),"ACIMA REF.","")))))</f>
        <v/>
      </c>
      <c r="AD27">
        <f ca="1">IF(C27&lt;=CRONO.NivelExibicao,MAX($AD$15:OFFSET(AD27,-1,0))+IF($C27&lt;&gt;1,1,MAX(1,COUNTIF(QCI!$A$13:$A$24,OFFSET($E27,-1,0)))),"")</f>
        <v>3</v>
      </c>
      <c r="AE27" s="7" t="b">
        <f ca="1">IF(AND($C27="S",ORÇAMENTO.CodBarra&lt;&gt;""),IF(ORÇAMENTO.Fonte="",ORÇAMENTO.CodBarra,CONCATENATE(ORÇAMENTO.Fonte," ",ORÇAMENTO.CodBarra)))</f>
        <v>0</v>
      </c>
      <c r="AF27" s="13" t="str">
        <f ca="1">IF(ISERROR(INDIRECT(ORÇAMENTO.BancoRef)),"(abra o arquivo 'Referência "&amp;Excel_BuiltIn_Database&amp;".xlsm)",IF(OR($C27&lt;&gt;"S",ORÇAMENTO.CodBarra=""),"(Sem Código)",IF(ISERROR(MATCH($AE27,INDIRECT(ORÇAMENTO.BancoRef),0)),"(Código não identificado nas referências)",MATCH($AE27,INDIRECT(ORÇAMENTO.BancoRef),0))))</f>
        <v>(abra o arquivo 'Referência 02-2025.xlsm)</v>
      </c>
      <c r="AG27" s="498">
        <f ca="1">ROUND(IF(DESONERACAO="sim",REFERENCIA.Desonerado,REFERENCIA.NaoDesonerado),2)</f>
        <v>0</v>
      </c>
      <c r="AH27" s="499">
        <f t="shared" ca="1" si="15"/>
        <v>0.22470000000000001</v>
      </c>
      <c r="AJ27" s="501"/>
      <c r="AL27" s="527"/>
      <c r="AM27" s="381">
        <f t="shared" ca="1" si="0"/>
        <v>0</v>
      </c>
      <c r="AN27" s="566">
        <f t="shared" ca="1" si="16"/>
        <v>0</v>
      </c>
    </row>
    <row r="28" spans="1:40" ht="38.25" x14ac:dyDescent="0.2">
      <c r="A28" t="str">
        <f t="shared" si="1"/>
        <v>S</v>
      </c>
      <c r="B28">
        <f t="shared" ca="1" si="2"/>
        <v>2</v>
      </c>
      <c r="C28" t="str">
        <f t="shared" ca="1" si="3"/>
        <v>S</v>
      </c>
      <c r="D28">
        <f t="shared" ca="1" si="4"/>
        <v>0</v>
      </c>
      <c r="E28">
        <f ca="1">IF($C28=1,OFFSET(E28,-1,0)+MAX(1,COUNTIF(QCI!$A$13:$A$24,OFFSET(ORÇAMENTO!E28,-1,0))),OFFSET(E28,-1,0))</f>
        <v>1</v>
      </c>
      <c r="F28">
        <f t="shared" ca="1" si="5"/>
        <v>2</v>
      </c>
      <c r="G28">
        <f t="shared" ca="1" si="6"/>
        <v>0</v>
      </c>
      <c r="H28">
        <f t="shared" ca="1" si="7"/>
        <v>0</v>
      </c>
      <c r="I28">
        <f t="shared" ca="1" si="8"/>
        <v>0</v>
      </c>
      <c r="J28">
        <f t="shared" ca="1" si="9"/>
        <v>0</v>
      </c>
      <c r="K28">
        <f ca="1">IF(OR($C28="S",$C28=0),0,MATCH(OFFSET($D28,0,$C28)+IF($C28&lt;&gt;1,1,COUNTIF(QCI!$A$13:$A$24,ORÇAMENTO!E28)),OFFSET($D28,1,$C28,ROW($C$747)-ROW($C28)),0))</f>
        <v>0</v>
      </c>
      <c r="L28" s="116" t="str">
        <f t="shared" ca="1" si="10"/>
        <v/>
      </c>
      <c r="M28" s="117" t="s">
        <v>199</v>
      </c>
      <c r="N28" s="118" t="str">
        <f t="shared" ca="1" si="11"/>
        <v>Serviço</v>
      </c>
      <c r="O28" s="119" t="str">
        <f t="shared" ca="1" si="12"/>
        <v>-</v>
      </c>
      <c r="P28" s="120" t="s">
        <v>247</v>
      </c>
      <c r="Q28" s="121" t="s">
        <v>452</v>
      </c>
      <c r="R28" s="122" t="str">
        <f ca="1">IF($C28="S",REFERENCIA.Descricao,"(digite a descrição aqui)")</f>
        <v>(abra o arquivo 'Referência 02-2025.xlsm)</v>
      </c>
      <c r="S28" s="123" t="str">
        <f ca="1">REFERENCIA.Unidade</f>
        <v>-</v>
      </c>
      <c r="T28" s="124">
        <f ca="1">OFFSET(CÁLCULO!H$15,ROW($T28)-ROW(T$15),0)</f>
        <v>2925</v>
      </c>
      <c r="U28" s="125">
        <f t="shared" ca="1" si="17"/>
        <v>0</v>
      </c>
      <c r="V28" s="126" t="s">
        <v>156</v>
      </c>
      <c r="W28" s="124">
        <f ca="1">IF($C28="S",ROUND(IF(TIPOORCAMENTO="Proposto",ORÇAMENTO.CustoUnitario*(1+$AH28),ORÇAMENTO.PrecoUnitarioLicitado),15-13*$AF$10),0)</f>
        <v>0</v>
      </c>
      <c r="X28" s="127">
        <f ca="1">IF($C28="S",IF(Import.TipoArredondamento&lt;&gt;"TransfereGOV",VTOTAL1,SUM(OFFSET(CÁLCULO!$AA$15,ROW($X28)-ROW($X$15),1):OFFSET(CÁLCULO!$AL$15,ROW($X28)-ROW($X$15),-1))),IF($C28=0,0,ROUND(SomaAgrup,15-13*$AF$11)))</f>
        <v>0</v>
      </c>
      <c r="Y28" s="128" t="s">
        <v>245</v>
      </c>
      <c r="Z28" t="str">
        <f t="shared" ca="1" si="13"/>
        <v/>
      </c>
      <c r="AA28" s="129">
        <f ca="1">IF($C28="S",IF($Z28="CP",$X28,IF($Z28="RA",(($X28)*QCI!$AA$3),0)),SomaAgrup)</f>
        <v>0</v>
      </c>
      <c r="AB28" s="130">
        <f t="shared" ca="1" si="14"/>
        <v>0</v>
      </c>
      <c r="AC28" s="131" t="str">
        <f ca="1">IF($N28="","",IF(ORÇAMENTO.Descricao="","DESCRIÇÃO",IF(AND($C28="S",ORÇAMENTO.Unidade=""),"UNIDADE",IF($X28&lt;0,"VALOR NEGATIVO",IF(OR(AND(TIPOORCAMENTO="Proposto",$AG28&lt;&gt;"",$AG28&gt;0,ORÇAMENTO.CustoUnitario&gt;$AG28),AND(TIPOORCAMENTO="LICITADO",ORÇAMENTO.PrecoUnitarioLicitado&gt;$AN28)),"ACIMA REF.","")))))</f>
        <v/>
      </c>
      <c r="AD28" t="str">
        <f ca="1">IF(C28&lt;=CRONO.NivelExibicao,MAX($AD$15:OFFSET(AD28,-1,0))+IF($C28&lt;&gt;1,1,MAX(1,COUNTIF(QCI!$A$13:$A$24,OFFSET($E28,-1,0)))),"")</f>
        <v/>
      </c>
      <c r="AE28" s="7" t="str">
        <f ca="1">IF(AND($C28="S",ORÇAMENTO.CodBarra&lt;&gt;""),IF(ORÇAMENTO.Fonte="",ORÇAMENTO.CodBarra,CONCATENATE(ORÇAMENTO.Fonte," ",ORÇAMENTO.CodBarra)))</f>
        <v>SINAPI 98525</v>
      </c>
      <c r="AF28" s="13" t="str">
        <f ca="1">IF(ISERROR(INDIRECT(ORÇAMENTO.BancoRef)),"(abra o arquivo 'Referência "&amp;Excel_BuiltIn_Database&amp;".xlsm)",IF(OR($C28&lt;&gt;"S",ORÇAMENTO.CodBarra=""),"(Sem Código)",IF(ISERROR(MATCH($AE28,INDIRECT(ORÇAMENTO.BancoRef),0)),"(Código não identificado nas referências)",MATCH($AE28,INDIRECT(ORÇAMENTO.BancoRef),0))))</f>
        <v>(abra o arquivo 'Referência 02-2025.xlsm)</v>
      </c>
      <c r="AG28" s="498">
        <f ca="1">ROUND(IF(DESONERACAO="sim",REFERENCIA.Desonerado,REFERENCIA.NaoDesonerado),2)</f>
        <v>0</v>
      </c>
      <c r="AH28" s="499">
        <f t="shared" ca="1" si="15"/>
        <v>0.22470000000000001</v>
      </c>
      <c r="AJ28" s="501">
        <v>2925</v>
      </c>
      <c r="AL28" s="527"/>
      <c r="AM28" s="381">
        <f t="shared" ca="1" si="0"/>
        <v>0</v>
      </c>
      <c r="AN28" s="566">
        <f t="shared" ca="1" si="16"/>
        <v>0</v>
      </c>
    </row>
    <row r="29" spans="1:40" ht="51" x14ac:dyDescent="0.2">
      <c r="A29" t="str">
        <f t="shared" si="1"/>
        <v>S</v>
      </c>
      <c r="B29">
        <f t="shared" ca="1" si="2"/>
        <v>2</v>
      </c>
      <c r="C29" t="str">
        <f t="shared" ca="1" si="3"/>
        <v>S</v>
      </c>
      <c r="D29">
        <f t="shared" ca="1" si="4"/>
        <v>0</v>
      </c>
      <c r="E29">
        <f ca="1">IF($C29=1,OFFSET(E29,-1,0)+MAX(1,COUNTIF(QCI!$A$13:$A$24,OFFSET(ORÇAMENTO!E29,-1,0))),OFFSET(E29,-1,0))</f>
        <v>1</v>
      </c>
      <c r="F29">
        <f t="shared" ca="1" si="5"/>
        <v>2</v>
      </c>
      <c r="G29">
        <f t="shared" ca="1" si="6"/>
        <v>0</v>
      </c>
      <c r="H29">
        <f t="shared" ca="1" si="7"/>
        <v>0</v>
      </c>
      <c r="I29">
        <f t="shared" ca="1" si="8"/>
        <v>0</v>
      </c>
      <c r="J29">
        <f t="shared" ca="1" si="9"/>
        <v>0</v>
      </c>
      <c r="K29">
        <f ca="1">IF(OR($C29="S",$C29=0),0,MATCH(OFFSET($D29,0,$C29)+IF($C29&lt;&gt;1,1,COUNTIF(QCI!$A$13:$A$24,ORÇAMENTO!E29)),OFFSET($D29,1,$C29,ROW($C$747)-ROW($C29)),0))</f>
        <v>0</v>
      </c>
      <c r="L29" s="116" t="str">
        <f t="shared" ca="1" si="10"/>
        <v/>
      </c>
      <c r="M29" s="117" t="s">
        <v>199</v>
      </c>
      <c r="N29" s="118" t="str">
        <f t="shared" ca="1" si="11"/>
        <v>Serviço</v>
      </c>
      <c r="O29" s="119" t="str">
        <f t="shared" ca="1" si="12"/>
        <v>-</v>
      </c>
      <c r="P29" s="120" t="s">
        <v>247</v>
      </c>
      <c r="Q29" s="121" t="s">
        <v>1024</v>
      </c>
      <c r="R29" s="122" t="str">
        <f ca="1">IF($C29="S",REFERENCIA.Descricao,"(digite a descrição aqui)")</f>
        <v>(abra o arquivo 'Referência 02-2025.xlsm)</v>
      </c>
      <c r="S29" s="123" t="str">
        <f ca="1">REFERENCIA.Unidade</f>
        <v>-</v>
      </c>
      <c r="T29" s="124">
        <f ca="1">OFFSET(CÁLCULO!H$15,ROW($T29)-ROW(T$15),0)</f>
        <v>585</v>
      </c>
      <c r="U29" s="125">
        <f t="shared" ca="1" si="17"/>
        <v>0</v>
      </c>
      <c r="V29" s="126" t="s">
        <v>156</v>
      </c>
      <c r="W29" s="124">
        <f ca="1">IF($C29="S",ROUND(IF(TIPOORCAMENTO="Proposto",ORÇAMENTO.CustoUnitario*(1+$AH29),ORÇAMENTO.PrecoUnitarioLicitado),15-13*$AF$10),0)</f>
        <v>0</v>
      </c>
      <c r="X29" s="127">
        <f ca="1">IF($C29="S",IF(Import.TipoArredondamento&lt;&gt;"TransfereGOV",VTOTAL1,SUM(OFFSET(CÁLCULO!$AA$15,ROW($X29)-ROW($X$15),1):OFFSET(CÁLCULO!$AL$15,ROW($X29)-ROW($X$15),-1))),IF($C29=0,0,ROUND(SomaAgrup,15-13*$AF$11)))</f>
        <v>0</v>
      </c>
      <c r="Y29" s="128" t="s">
        <v>245</v>
      </c>
      <c r="Z29" t="str">
        <f t="shared" ca="1" si="13"/>
        <v/>
      </c>
      <c r="AA29" s="129">
        <f ca="1">IF($C29="S",IF($Z29="CP",$X29,IF($Z29="RA",(($X29)*QCI!$AA$3),0)),SomaAgrup)</f>
        <v>0</v>
      </c>
      <c r="AB29" s="130">
        <f t="shared" ca="1" si="14"/>
        <v>0</v>
      </c>
      <c r="AC29" s="131" t="str">
        <f ca="1">IF($N29="","",IF(ORÇAMENTO.Descricao="","DESCRIÇÃO",IF(AND($C29="S",ORÇAMENTO.Unidade=""),"UNIDADE",IF($X29&lt;0,"VALOR NEGATIVO",IF(OR(AND(TIPOORCAMENTO="Proposto",$AG29&lt;&gt;"",$AG29&gt;0,ORÇAMENTO.CustoUnitario&gt;$AG29),AND(TIPOORCAMENTO="LICITADO",ORÇAMENTO.PrecoUnitarioLicitado&gt;$AN29)),"ACIMA REF.","")))))</f>
        <v/>
      </c>
      <c r="AD29" t="str">
        <f ca="1">IF(C29&lt;=CRONO.NivelExibicao,MAX($AD$15:OFFSET(AD29,-1,0))+IF($C29&lt;&gt;1,1,MAX(1,COUNTIF(QCI!$A$13:$A$24,OFFSET($E29,-1,0)))),"")</f>
        <v/>
      </c>
      <c r="AE29" s="7" t="str">
        <f ca="1">IF(AND($C29="S",ORÇAMENTO.CodBarra&lt;&gt;""),IF(ORÇAMENTO.Fonte="",ORÇAMENTO.CodBarra,CONCATENATE(ORÇAMENTO.Fonte," ",ORÇAMENTO.CodBarra)))</f>
        <v>SINAPI 94304</v>
      </c>
      <c r="AF29" s="13" t="str">
        <f ca="1">IF(ISERROR(INDIRECT(ORÇAMENTO.BancoRef)),"(abra o arquivo 'Referência "&amp;Excel_BuiltIn_Database&amp;".xlsm)",IF(OR($C29&lt;&gt;"S",ORÇAMENTO.CodBarra=""),"(Sem Código)",IF(ISERROR(MATCH($AE29,INDIRECT(ORÇAMENTO.BancoRef),0)),"(Código não identificado nas referências)",MATCH($AE29,INDIRECT(ORÇAMENTO.BancoRef),0))))</f>
        <v>(abra o arquivo 'Referência 02-2025.xlsm)</v>
      </c>
      <c r="AG29" s="498">
        <f ca="1">ROUND(IF(DESONERACAO="sim",REFERENCIA.Desonerado,REFERENCIA.NaoDesonerado),2)</f>
        <v>0</v>
      </c>
      <c r="AH29" s="499">
        <f t="shared" ca="1" si="15"/>
        <v>0.22470000000000001</v>
      </c>
      <c r="AJ29" s="501">
        <v>585</v>
      </c>
      <c r="AL29" s="527"/>
      <c r="AM29" s="381">
        <f t="shared" ca="1" si="0"/>
        <v>0</v>
      </c>
      <c r="AN29" s="566">
        <f t="shared" ca="1" si="16"/>
        <v>0</v>
      </c>
    </row>
    <row r="30" spans="1:40" ht="38.25" x14ac:dyDescent="0.2">
      <c r="A30" t="str">
        <f t="shared" si="1"/>
        <v>S</v>
      </c>
      <c r="B30">
        <f t="shared" ca="1" si="2"/>
        <v>2</v>
      </c>
      <c r="C30" t="str">
        <f t="shared" ca="1" si="3"/>
        <v>S</v>
      </c>
      <c r="D30">
        <f t="shared" ca="1" si="4"/>
        <v>0</v>
      </c>
      <c r="E30">
        <f ca="1">IF($C30=1,OFFSET(E30,-1,0)+MAX(1,COUNTIF(QCI!$A$13:$A$24,OFFSET(ORÇAMENTO!E30,-1,0))),OFFSET(E30,-1,0))</f>
        <v>1</v>
      </c>
      <c r="F30">
        <f t="shared" ca="1" si="5"/>
        <v>2</v>
      </c>
      <c r="G30">
        <f t="shared" ca="1" si="6"/>
        <v>0</v>
      </c>
      <c r="H30">
        <f t="shared" ca="1" si="7"/>
        <v>0</v>
      </c>
      <c r="I30">
        <f t="shared" ca="1" si="8"/>
        <v>0</v>
      </c>
      <c r="J30">
        <f t="shared" ca="1" si="9"/>
        <v>0</v>
      </c>
      <c r="K30">
        <f ca="1">IF(OR($C30="S",$C30=0),0,MATCH(OFFSET($D30,0,$C30)+IF($C30&lt;&gt;1,1,COUNTIF(QCI!$A$13:$A$24,ORÇAMENTO!E30)),OFFSET($D30,1,$C30,ROW($C$747)-ROW($C30)),0))</f>
        <v>0</v>
      </c>
      <c r="L30" s="116" t="str">
        <f t="shared" ca="1" si="10"/>
        <v/>
      </c>
      <c r="M30" s="117" t="s">
        <v>199</v>
      </c>
      <c r="N30" s="118" t="str">
        <f t="shared" ca="1" si="11"/>
        <v>Serviço</v>
      </c>
      <c r="O30" s="119" t="str">
        <f t="shared" ca="1" si="12"/>
        <v>-</v>
      </c>
      <c r="P30" s="120" t="s">
        <v>247</v>
      </c>
      <c r="Q30" s="121" t="s">
        <v>453</v>
      </c>
      <c r="R30" s="122" t="str">
        <f ca="1">IF($C30="S",REFERENCIA.Descricao,"(digite a descrição aqui)")</f>
        <v>(abra o arquivo 'Referência 02-2025.xlsm)</v>
      </c>
      <c r="S30" s="123" t="str">
        <f ca="1">REFERENCIA.Unidade</f>
        <v>-</v>
      </c>
      <c r="T30" s="124">
        <f ca="1">OFFSET(CÁLCULO!H$15,ROW($T30)-ROW(T$15),0)</f>
        <v>457.05</v>
      </c>
      <c r="U30" s="125">
        <f t="shared" ca="1" si="17"/>
        <v>0</v>
      </c>
      <c r="V30" s="126" t="s">
        <v>156</v>
      </c>
      <c r="W30" s="124">
        <f ca="1">IF($C30="S",ROUND(IF(TIPOORCAMENTO="Proposto",ORÇAMENTO.CustoUnitario*(1+$AH30),ORÇAMENTO.PrecoUnitarioLicitado),15-13*$AF$10),0)</f>
        <v>0</v>
      </c>
      <c r="X30" s="127">
        <f ca="1">IF($C30="S",IF(Import.TipoArredondamento&lt;&gt;"TransfereGOV",VTOTAL1,SUM(OFFSET(CÁLCULO!$AA$15,ROW($X30)-ROW($X$15),1):OFFSET(CÁLCULO!$AL$15,ROW($X30)-ROW($X$15),-1))),IF($C30=0,0,ROUND(SomaAgrup,15-13*$AF$11)))</f>
        <v>0</v>
      </c>
      <c r="Y30" s="128" t="s">
        <v>245</v>
      </c>
      <c r="Z30" t="str">
        <f t="shared" ca="1" si="13"/>
        <v/>
      </c>
      <c r="AA30" s="129">
        <f ca="1">IF($C30="S",IF($Z30="CP",$X30,IF($Z30="RA",(($X30)*QCI!$AA$3),0)),SomaAgrup)</f>
        <v>0</v>
      </c>
      <c r="AB30" s="130">
        <f t="shared" ca="1" si="14"/>
        <v>0</v>
      </c>
      <c r="AC30" s="131" t="str">
        <f ca="1">IF($N30="","",IF(ORÇAMENTO.Descricao="","DESCRIÇÃO",IF(AND($C30="S",ORÇAMENTO.Unidade=""),"UNIDADE",IF($X30&lt;0,"VALOR NEGATIVO",IF(OR(AND(TIPOORCAMENTO="Proposto",$AG30&lt;&gt;"",$AG30&gt;0,ORÇAMENTO.CustoUnitario&gt;$AG30),AND(TIPOORCAMENTO="LICITADO",ORÇAMENTO.PrecoUnitarioLicitado&gt;$AN30)),"ACIMA REF.","")))))</f>
        <v/>
      </c>
      <c r="AD30" t="str">
        <f ca="1">IF(C30&lt;=CRONO.NivelExibicao,MAX($AD$15:OFFSET(AD30,-1,0))+IF($C30&lt;&gt;1,1,MAX(1,COUNTIF(QCI!$A$13:$A$24,OFFSET($E30,-1,0)))),"")</f>
        <v/>
      </c>
      <c r="AE30" s="7" t="str">
        <f ca="1">IF(AND($C30="S",ORÇAMENTO.CodBarra&lt;&gt;""),IF(ORÇAMENTO.Fonte="",ORÇAMENTO.CodBarra,CONCATENATE(ORÇAMENTO.Fonte," ",ORÇAMENTO.CodBarra)))</f>
        <v>SINAPI 96521</v>
      </c>
      <c r="AF30" s="13" t="str">
        <f ca="1">IF(ISERROR(INDIRECT(ORÇAMENTO.BancoRef)),"(abra o arquivo 'Referência "&amp;Excel_BuiltIn_Database&amp;".xlsm)",IF(OR($C30&lt;&gt;"S",ORÇAMENTO.CodBarra=""),"(Sem Código)",IF(ISERROR(MATCH($AE30,INDIRECT(ORÇAMENTO.BancoRef),0)),"(Código não identificado nas referências)",MATCH($AE30,INDIRECT(ORÇAMENTO.BancoRef),0))))</f>
        <v>(abra o arquivo 'Referência 02-2025.xlsm)</v>
      </c>
      <c r="AG30" s="498">
        <f ca="1">ROUND(IF(DESONERACAO="sim",REFERENCIA.Desonerado,REFERENCIA.NaoDesonerado),2)</f>
        <v>0</v>
      </c>
      <c r="AH30" s="499">
        <f t="shared" ca="1" si="15"/>
        <v>0.22470000000000001</v>
      </c>
      <c r="AJ30" s="501">
        <v>457.05</v>
      </c>
      <c r="AL30" s="527"/>
      <c r="AM30" s="381">
        <f t="shared" ca="1" si="0"/>
        <v>0</v>
      </c>
      <c r="AN30" s="566">
        <f t="shared" ca="1" si="16"/>
        <v>0</v>
      </c>
    </row>
    <row r="31" spans="1:40" ht="38.25" x14ac:dyDescent="0.2">
      <c r="A31" t="str">
        <f t="shared" si="1"/>
        <v>S</v>
      </c>
      <c r="B31">
        <f t="shared" ca="1" si="2"/>
        <v>2</v>
      </c>
      <c r="C31" t="str">
        <f t="shared" ca="1" si="3"/>
        <v>S</v>
      </c>
      <c r="D31">
        <f t="shared" ca="1" si="4"/>
        <v>0</v>
      </c>
      <c r="E31">
        <f ca="1">IF($C31=1,OFFSET(E31,-1,0)+MAX(1,COUNTIF(QCI!$A$13:$A$24,OFFSET(ORÇAMENTO!E31,-1,0))),OFFSET(E31,-1,0))</f>
        <v>1</v>
      </c>
      <c r="F31">
        <f t="shared" ca="1" si="5"/>
        <v>2</v>
      </c>
      <c r="G31">
        <f t="shared" ca="1" si="6"/>
        <v>0</v>
      </c>
      <c r="H31">
        <f t="shared" ca="1" si="7"/>
        <v>0</v>
      </c>
      <c r="I31">
        <f t="shared" ca="1" si="8"/>
        <v>0</v>
      </c>
      <c r="J31">
        <f t="shared" ca="1" si="9"/>
        <v>0</v>
      </c>
      <c r="K31">
        <f ca="1">IF(OR($C31="S",$C31=0),0,MATCH(OFFSET($D31,0,$C31)+IF($C31&lt;&gt;1,1,COUNTIF(QCI!$A$13:$A$24,ORÇAMENTO!E31)),OFFSET($D31,1,$C31,ROW($C$747)-ROW($C31)),0))</f>
        <v>0</v>
      </c>
      <c r="L31" s="116" t="str">
        <f t="shared" ca="1" si="10"/>
        <v/>
      </c>
      <c r="M31" s="117" t="s">
        <v>199</v>
      </c>
      <c r="N31" s="118" t="str">
        <f t="shared" ca="1" si="11"/>
        <v>Serviço</v>
      </c>
      <c r="O31" s="119" t="str">
        <f t="shared" ca="1" si="12"/>
        <v>-</v>
      </c>
      <c r="P31" s="120" t="s">
        <v>247</v>
      </c>
      <c r="Q31" s="121" t="s">
        <v>454</v>
      </c>
      <c r="R31" s="122" t="str">
        <f ca="1">IF($C31="S",REFERENCIA.Descricao,"(digite a descrição aqui)")</f>
        <v>(abra o arquivo 'Referência 02-2025.xlsm)</v>
      </c>
      <c r="S31" s="123" t="str">
        <f ca="1">REFERENCIA.Unidade</f>
        <v>-</v>
      </c>
      <c r="T31" s="124">
        <f ca="1">OFFSET(CÁLCULO!H$15,ROW($T31)-ROW(T$15),0)</f>
        <v>264.04000000000002</v>
      </c>
      <c r="U31" s="125">
        <f t="shared" ca="1" si="17"/>
        <v>0</v>
      </c>
      <c r="V31" s="126" t="s">
        <v>156</v>
      </c>
      <c r="W31" s="124">
        <f ca="1">IF($C31="S",ROUND(IF(TIPOORCAMENTO="Proposto",ORÇAMENTO.CustoUnitario*(1+$AH31),ORÇAMENTO.PrecoUnitarioLicitado),15-13*$AF$10),0)</f>
        <v>0</v>
      </c>
      <c r="X31" s="127">
        <f ca="1">IF($C31="S",IF(Import.TipoArredondamento&lt;&gt;"TransfereGOV",VTOTAL1,SUM(OFFSET(CÁLCULO!$AA$15,ROW($X31)-ROW($X$15),1):OFFSET(CÁLCULO!$AL$15,ROW($X31)-ROW($X$15),-1))),IF($C31=0,0,ROUND(SomaAgrup,15-13*$AF$11)))</f>
        <v>0</v>
      </c>
      <c r="Y31" s="128" t="s">
        <v>245</v>
      </c>
      <c r="Z31" t="str">
        <f t="shared" ca="1" si="13"/>
        <v/>
      </c>
      <c r="AA31" s="129">
        <f ca="1">IF($C31="S",IF($Z31="CP",$X31,IF($Z31="RA",(($X31)*QCI!$AA$3),0)),SomaAgrup)</f>
        <v>0</v>
      </c>
      <c r="AB31" s="130">
        <f t="shared" ca="1" si="14"/>
        <v>0</v>
      </c>
      <c r="AC31" s="131" t="str">
        <f ca="1">IF($N31="","",IF(ORÇAMENTO.Descricao="","DESCRIÇÃO",IF(AND($C31="S",ORÇAMENTO.Unidade=""),"UNIDADE",IF($X31&lt;0,"VALOR NEGATIVO",IF(OR(AND(TIPOORCAMENTO="Proposto",$AG31&lt;&gt;"",$AG31&gt;0,ORÇAMENTO.CustoUnitario&gt;$AG31),AND(TIPOORCAMENTO="LICITADO",ORÇAMENTO.PrecoUnitarioLicitado&gt;$AN31)),"ACIMA REF.","")))))</f>
        <v/>
      </c>
      <c r="AD31" t="str">
        <f ca="1">IF(C31&lt;=CRONO.NivelExibicao,MAX($AD$15:OFFSET(AD31,-1,0))+IF($C31&lt;&gt;1,1,MAX(1,COUNTIF(QCI!$A$13:$A$24,OFFSET($E31,-1,0)))),"")</f>
        <v/>
      </c>
      <c r="AE31" s="7" t="str">
        <f ca="1">IF(AND($C31="S",ORÇAMENTO.CodBarra&lt;&gt;""),IF(ORÇAMENTO.Fonte="",ORÇAMENTO.CodBarra,CONCATENATE(ORÇAMENTO.Fonte," ",ORÇAMENTO.CodBarra)))</f>
        <v>SINAPI 96525</v>
      </c>
      <c r="AF31" s="13" t="str">
        <f ca="1">IF(ISERROR(INDIRECT(ORÇAMENTO.BancoRef)),"(abra o arquivo 'Referência "&amp;Excel_BuiltIn_Database&amp;".xlsm)",IF(OR($C31&lt;&gt;"S",ORÇAMENTO.CodBarra=""),"(Sem Código)",IF(ISERROR(MATCH($AE31,INDIRECT(ORÇAMENTO.BancoRef),0)),"(Código não identificado nas referências)",MATCH($AE31,INDIRECT(ORÇAMENTO.BancoRef),0))))</f>
        <v>(abra o arquivo 'Referência 02-2025.xlsm)</v>
      </c>
      <c r="AG31" s="498">
        <f ca="1">ROUND(IF(DESONERACAO="sim",REFERENCIA.Desonerado,REFERENCIA.NaoDesonerado),2)</f>
        <v>0</v>
      </c>
      <c r="AH31" s="499">
        <f t="shared" ca="1" si="15"/>
        <v>0.22470000000000001</v>
      </c>
      <c r="AJ31" s="501">
        <v>264.04000000000002</v>
      </c>
      <c r="AL31" s="527"/>
      <c r="AM31" s="381">
        <f t="shared" ca="1" si="0"/>
        <v>0</v>
      </c>
      <c r="AN31" s="566">
        <f t="shared" ca="1" si="16"/>
        <v>0</v>
      </c>
    </row>
    <row r="32" spans="1:40" ht="25.5" x14ac:dyDescent="0.2">
      <c r="A32" t="str">
        <f t="shared" si="1"/>
        <v>S</v>
      </c>
      <c r="B32">
        <f t="shared" ca="1" si="2"/>
        <v>2</v>
      </c>
      <c r="C32" t="str">
        <f t="shared" ca="1" si="3"/>
        <v>S</v>
      </c>
      <c r="D32">
        <f t="shared" ca="1" si="4"/>
        <v>0</v>
      </c>
      <c r="E32">
        <f ca="1">IF($C32=1,OFFSET(E32,-1,0)+MAX(1,COUNTIF(QCI!$A$13:$A$24,OFFSET(ORÇAMENTO!E32,-1,0))),OFFSET(E32,-1,0))</f>
        <v>1</v>
      </c>
      <c r="F32">
        <f t="shared" ca="1" si="5"/>
        <v>2</v>
      </c>
      <c r="G32">
        <f t="shared" ca="1" si="6"/>
        <v>0</v>
      </c>
      <c r="H32">
        <f t="shared" ca="1" si="7"/>
        <v>0</v>
      </c>
      <c r="I32">
        <f t="shared" ca="1" si="8"/>
        <v>0</v>
      </c>
      <c r="J32">
        <f t="shared" ca="1" si="9"/>
        <v>0</v>
      </c>
      <c r="K32">
        <f ca="1">IF(OR($C32="S",$C32=0),0,MATCH(OFFSET($D32,0,$C32)+IF($C32&lt;&gt;1,1,COUNTIF(QCI!$A$13:$A$24,ORÇAMENTO!E32)),OFFSET($D32,1,$C32,ROW($C$747)-ROW($C32)),0))</f>
        <v>0</v>
      </c>
      <c r="L32" s="116" t="str">
        <f t="shared" ca="1" si="10"/>
        <v/>
      </c>
      <c r="M32" s="117" t="s">
        <v>199</v>
      </c>
      <c r="N32" s="118" t="str">
        <f t="shared" ca="1" si="11"/>
        <v>Serviço</v>
      </c>
      <c r="O32" s="119" t="str">
        <f t="shared" ca="1" si="12"/>
        <v>-</v>
      </c>
      <c r="P32" s="120" t="s">
        <v>247</v>
      </c>
      <c r="Q32" s="121" t="s">
        <v>1001</v>
      </c>
      <c r="R32" s="122" t="str">
        <f ca="1">IF($C32="S",REFERENCIA.Descricao,"(digite a descrição aqui)")</f>
        <v>(abra o arquivo 'Referência 02-2025.xlsm)</v>
      </c>
      <c r="S32" s="123" t="str">
        <f ca="1">REFERENCIA.Unidade</f>
        <v>-</v>
      </c>
      <c r="T32" s="124">
        <f ca="1">OFFSET(CÁLCULO!H$15,ROW($T32)-ROW(T$15),0)</f>
        <v>1317.99</v>
      </c>
      <c r="U32" s="125">
        <f t="shared" ca="1" si="17"/>
        <v>0</v>
      </c>
      <c r="V32" s="126" t="s">
        <v>156</v>
      </c>
      <c r="W32" s="124">
        <f ca="1">IF($C32="S",ROUND(IF(TIPOORCAMENTO="Proposto",ORÇAMENTO.CustoUnitario*(1+$AH32),ORÇAMENTO.PrecoUnitarioLicitado),15-13*$AF$10),0)</f>
        <v>0</v>
      </c>
      <c r="X32" s="127">
        <f ca="1">IF($C32="S",IF(Import.TipoArredondamento&lt;&gt;"TransfereGOV",VTOTAL1,SUM(OFFSET(CÁLCULO!$AA$15,ROW($X32)-ROW($X$15),1):OFFSET(CÁLCULO!$AL$15,ROW($X32)-ROW($X$15),-1))),IF($C32=0,0,ROUND(SomaAgrup,15-13*$AF$11)))</f>
        <v>0</v>
      </c>
      <c r="Y32" s="128" t="s">
        <v>245</v>
      </c>
      <c r="Z32" t="str">
        <f t="shared" ca="1" si="13"/>
        <v/>
      </c>
      <c r="AA32" s="129">
        <f ca="1">IF($C32="S",IF($Z32="CP",$X32,IF($Z32="RA",(($X32)*QCI!$AA$3),0)),SomaAgrup)</f>
        <v>0</v>
      </c>
      <c r="AB32" s="130">
        <f t="shared" ca="1" si="14"/>
        <v>0</v>
      </c>
      <c r="AC32" s="131" t="str">
        <f ca="1">IF($N32="","",IF(ORÇAMENTO.Descricao="","DESCRIÇÃO",IF(AND($C32="S",ORÇAMENTO.Unidade=""),"UNIDADE",IF($X32&lt;0,"VALOR NEGATIVO",IF(OR(AND(TIPOORCAMENTO="Proposto",$AG32&lt;&gt;"",$AG32&gt;0,ORÇAMENTO.CustoUnitario&gt;$AG32),AND(TIPOORCAMENTO="LICITADO",ORÇAMENTO.PrecoUnitarioLicitado&gt;$AN32)),"ACIMA REF.","")))))</f>
        <v/>
      </c>
      <c r="AD32" t="str">
        <f ca="1">IF(C32&lt;=CRONO.NivelExibicao,MAX($AD$15:OFFSET(AD32,-1,0))+IF($C32&lt;&gt;1,1,MAX(1,COUNTIF(QCI!$A$13:$A$24,OFFSET($E32,-1,0)))),"")</f>
        <v/>
      </c>
      <c r="AE32" s="7" t="str">
        <f ca="1">IF(AND($C32="S",ORÇAMENTO.CodBarra&lt;&gt;""),IF(ORÇAMENTO.Fonte="",ORÇAMENTO.CodBarra,CONCATENATE(ORÇAMENTO.Fonte," ",ORÇAMENTO.CodBarra)))</f>
        <v>SINAPI 101616</v>
      </c>
      <c r="AF32" s="13" t="str">
        <f ca="1">IF(ISERROR(INDIRECT(ORÇAMENTO.BancoRef)),"(abra o arquivo 'Referência "&amp;Excel_BuiltIn_Database&amp;".xlsm)",IF(OR($C32&lt;&gt;"S",ORÇAMENTO.CodBarra=""),"(Sem Código)",IF(ISERROR(MATCH($AE32,INDIRECT(ORÇAMENTO.BancoRef),0)),"(Código não identificado nas referências)",MATCH($AE32,INDIRECT(ORÇAMENTO.BancoRef),0))))</f>
        <v>(abra o arquivo 'Referência 02-2025.xlsm)</v>
      </c>
      <c r="AG32" s="498">
        <f ca="1">ROUND(IF(DESONERACAO="sim",REFERENCIA.Desonerado,REFERENCIA.NaoDesonerado),2)</f>
        <v>0</v>
      </c>
      <c r="AH32" s="499">
        <f t="shared" ca="1" si="15"/>
        <v>0.22470000000000001</v>
      </c>
      <c r="AJ32" s="501">
        <v>1317.99</v>
      </c>
      <c r="AL32" s="527"/>
      <c r="AM32" s="381">
        <f t="shared" ca="1" si="0"/>
        <v>0</v>
      </c>
      <c r="AN32" s="566">
        <f t="shared" ca="1" si="16"/>
        <v>0</v>
      </c>
    </row>
    <row r="33" spans="1:40" ht="25.5" x14ac:dyDescent="0.2">
      <c r="A33" t="str">
        <f t="shared" si="1"/>
        <v>S</v>
      </c>
      <c r="B33">
        <f t="shared" ca="1" si="2"/>
        <v>2</v>
      </c>
      <c r="C33" t="str">
        <f t="shared" ca="1" si="3"/>
        <v>S</v>
      </c>
      <c r="D33">
        <f t="shared" ca="1" si="4"/>
        <v>0</v>
      </c>
      <c r="E33">
        <f ca="1">IF($C33=1,OFFSET(E33,-1,0)+MAX(1,COUNTIF(QCI!$A$13:$A$24,OFFSET(ORÇAMENTO!E33,-1,0))),OFFSET(E33,-1,0))</f>
        <v>1</v>
      </c>
      <c r="F33">
        <f t="shared" ca="1" si="5"/>
        <v>2</v>
      </c>
      <c r="G33">
        <f t="shared" ca="1" si="6"/>
        <v>0</v>
      </c>
      <c r="H33">
        <f t="shared" ca="1" si="7"/>
        <v>0</v>
      </c>
      <c r="I33">
        <f t="shared" ca="1" si="8"/>
        <v>0</v>
      </c>
      <c r="J33">
        <f t="shared" ca="1" si="9"/>
        <v>0</v>
      </c>
      <c r="K33">
        <f ca="1">IF(OR($C33="S",$C33=0),0,MATCH(OFFSET($D33,0,$C33)+IF($C33&lt;&gt;1,1,COUNTIF(QCI!$A$13:$A$24,ORÇAMENTO!E33)),OFFSET($D33,1,$C33,ROW($C$747)-ROW($C33)),0))</f>
        <v>0</v>
      </c>
      <c r="L33" s="116" t="str">
        <f t="shared" ca="1" si="10"/>
        <v/>
      </c>
      <c r="M33" s="117" t="s">
        <v>199</v>
      </c>
      <c r="N33" s="118" t="str">
        <f t="shared" ca="1" si="11"/>
        <v>Serviço</v>
      </c>
      <c r="O33" s="119" t="str">
        <f t="shared" ca="1" si="12"/>
        <v>-</v>
      </c>
      <c r="P33" s="120" t="s">
        <v>247</v>
      </c>
      <c r="Q33" s="121" t="s">
        <v>1002</v>
      </c>
      <c r="R33" s="122" t="str">
        <f ca="1">IF($C33="S",REFERENCIA.Descricao,"(digite a descrição aqui)")</f>
        <v>(abra o arquivo 'Referência 02-2025.xlsm)</v>
      </c>
      <c r="S33" s="123" t="str">
        <f ca="1">REFERENCIA.Unidade</f>
        <v>-</v>
      </c>
      <c r="T33" s="124">
        <f ca="1">OFFSET(CÁLCULO!H$15,ROW($T33)-ROW(T$15),0)</f>
        <v>619.96</v>
      </c>
      <c r="U33" s="125">
        <f t="shared" ca="1" si="17"/>
        <v>0</v>
      </c>
      <c r="V33" s="126" t="s">
        <v>156</v>
      </c>
      <c r="W33" s="124">
        <f ca="1">IF($C33="S",ROUND(IF(TIPOORCAMENTO="Proposto",ORÇAMENTO.CustoUnitario*(1+$AH33),ORÇAMENTO.PrecoUnitarioLicitado),15-13*$AF$10),0)</f>
        <v>0</v>
      </c>
      <c r="X33" s="127">
        <f ca="1">IF($C33="S",IF(Import.TipoArredondamento&lt;&gt;"TransfereGOV",VTOTAL1,SUM(OFFSET(CÁLCULO!$AA$15,ROW($X33)-ROW($X$15),1):OFFSET(CÁLCULO!$AL$15,ROW($X33)-ROW($X$15),-1))),IF($C33=0,0,ROUND(SomaAgrup,15-13*$AF$11)))</f>
        <v>0</v>
      </c>
      <c r="Y33" s="128" t="s">
        <v>245</v>
      </c>
      <c r="Z33" t="str">
        <f t="shared" ca="1" si="13"/>
        <v/>
      </c>
      <c r="AA33" s="129">
        <f ca="1">IF($C33="S",IF($Z33="CP",$X33,IF($Z33="RA",(($X33)*QCI!$AA$3),0)),SomaAgrup)</f>
        <v>0</v>
      </c>
      <c r="AB33" s="130">
        <f t="shared" ca="1" si="14"/>
        <v>0</v>
      </c>
      <c r="AC33" s="131" t="str">
        <f ca="1">IF($N33="","",IF(ORÇAMENTO.Descricao="","DESCRIÇÃO",IF(AND($C33="S",ORÇAMENTO.Unidade=""),"UNIDADE",IF($X33&lt;0,"VALOR NEGATIVO",IF(OR(AND(TIPOORCAMENTO="Proposto",$AG33&lt;&gt;"",$AG33&gt;0,ORÇAMENTO.CustoUnitario&gt;$AG33),AND(TIPOORCAMENTO="LICITADO",ORÇAMENTO.PrecoUnitarioLicitado&gt;$AN33)),"ACIMA REF.","")))))</f>
        <v/>
      </c>
      <c r="AD33" t="str">
        <f ca="1">IF(C33&lt;=CRONO.NivelExibicao,MAX($AD$15:OFFSET(AD33,-1,0))+IF($C33&lt;&gt;1,1,MAX(1,COUNTIF(QCI!$A$13:$A$24,OFFSET($E33,-1,0)))),"")</f>
        <v/>
      </c>
      <c r="AE33" s="7" t="str">
        <f ca="1">IF(AND($C33="S",ORÇAMENTO.CodBarra&lt;&gt;""),IF(ORÇAMENTO.Fonte="",ORÇAMENTO.CodBarra,CONCATENATE(ORÇAMENTO.Fonte," ",ORÇAMENTO.CodBarra)))</f>
        <v>SINAPI 104740</v>
      </c>
      <c r="AF33" s="13" t="str">
        <f ca="1">IF(ISERROR(INDIRECT(ORÇAMENTO.BancoRef)),"(abra o arquivo 'Referência "&amp;Excel_BuiltIn_Database&amp;".xlsm)",IF(OR($C33&lt;&gt;"S",ORÇAMENTO.CodBarra=""),"(Sem Código)",IF(ISERROR(MATCH($AE33,INDIRECT(ORÇAMENTO.BancoRef),0)),"(Código não identificado nas referências)",MATCH($AE33,INDIRECT(ORÇAMENTO.BancoRef),0))))</f>
        <v>(abra o arquivo 'Referência 02-2025.xlsm)</v>
      </c>
      <c r="AG33" s="498">
        <f ca="1">ROUND(IF(DESONERACAO="sim",REFERENCIA.Desonerado,REFERENCIA.NaoDesonerado),2)</f>
        <v>0</v>
      </c>
      <c r="AH33" s="499">
        <f t="shared" ca="1" si="15"/>
        <v>0.22470000000000001</v>
      </c>
      <c r="AJ33" s="501">
        <v>619.96</v>
      </c>
      <c r="AL33" s="527"/>
      <c r="AM33" s="381">
        <f t="shared" ca="1" si="0"/>
        <v>0</v>
      </c>
      <c r="AN33" s="566">
        <f t="shared" ca="1" si="16"/>
        <v>0</v>
      </c>
    </row>
    <row r="34" spans="1:40" ht="25.5" x14ac:dyDescent="0.2">
      <c r="A34" t="str">
        <f t="shared" si="1"/>
        <v>S</v>
      </c>
      <c r="B34">
        <f t="shared" ca="1" si="2"/>
        <v>2</v>
      </c>
      <c r="C34" t="str">
        <f t="shared" ca="1" si="3"/>
        <v>S</v>
      </c>
      <c r="D34">
        <f t="shared" ca="1" si="4"/>
        <v>0</v>
      </c>
      <c r="E34">
        <f ca="1">IF($C34=1,OFFSET(E34,-1,0)+MAX(1,COUNTIF(QCI!$A$13:$A$24,OFFSET(ORÇAMENTO!E34,-1,0))),OFFSET(E34,-1,0))</f>
        <v>1</v>
      </c>
      <c r="F34">
        <f t="shared" ca="1" si="5"/>
        <v>2</v>
      </c>
      <c r="G34">
        <f t="shared" ca="1" si="6"/>
        <v>0</v>
      </c>
      <c r="H34">
        <f t="shared" ca="1" si="7"/>
        <v>0</v>
      </c>
      <c r="I34">
        <f t="shared" ca="1" si="8"/>
        <v>0</v>
      </c>
      <c r="J34">
        <f t="shared" ca="1" si="9"/>
        <v>0</v>
      </c>
      <c r="K34">
        <f ca="1">IF(OR($C34="S",$C34=0),0,MATCH(OFFSET($D34,0,$C34)+IF($C34&lt;&gt;1,1,COUNTIF(QCI!$A$13:$A$24,ORÇAMENTO!E34)),OFFSET($D34,1,$C34,ROW($C$747)-ROW($C34)),0))</f>
        <v>0</v>
      </c>
      <c r="L34" s="116" t="str">
        <f t="shared" ca="1" si="10"/>
        <v/>
      </c>
      <c r="M34" s="117" t="s">
        <v>199</v>
      </c>
      <c r="N34" s="118" t="str">
        <f t="shared" ca="1" si="11"/>
        <v>Serviço</v>
      </c>
      <c r="O34" s="119" t="str">
        <f t="shared" ca="1" si="12"/>
        <v>-</v>
      </c>
      <c r="P34" s="120" t="s">
        <v>247</v>
      </c>
      <c r="Q34" s="121" t="s">
        <v>1025</v>
      </c>
      <c r="R34" s="122" t="str">
        <f ca="1">IF($C34="S",REFERENCIA.Descricao,"(digite a descrição aqui)")</f>
        <v>(abra o arquivo 'Referência 02-2025.xlsm)</v>
      </c>
      <c r="S34" s="123" t="str">
        <f ca="1">REFERENCIA.Unidade</f>
        <v>-</v>
      </c>
      <c r="T34" s="124">
        <f ca="1">OFFSET(CÁLCULO!H$15,ROW($T34)-ROW(T$15),0)</f>
        <v>247.36</v>
      </c>
      <c r="U34" s="125">
        <f t="shared" ca="1" si="17"/>
        <v>0</v>
      </c>
      <c r="V34" s="126" t="s">
        <v>156</v>
      </c>
      <c r="W34" s="124">
        <f ca="1">IF($C34="S",ROUND(IF(TIPOORCAMENTO="Proposto",ORÇAMENTO.CustoUnitario*(1+$AH34),ORÇAMENTO.PrecoUnitarioLicitado),15-13*$AF$10),0)</f>
        <v>0</v>
      </c>
      <c r="X34" s="127">
        <f ca="1">IF($C34="S",IF(Import.TipoArredondamento&lt;&gt;"TransfereGOV",VTOTAL1,SUM(OFFSET(CÁLCULO!$AA$15,ROW($X34)-ROW($X$15),1):OFFSET(CÁLCULO!$AL$15,ROW($X34)-ROW($X$15),-1))),IF($C34=0,0,ROUND(SomaAgrup,15-13*$AF$11)))</f>
        <v>0</v>
      </c>
      <c r="Y34" s="128" t="s">
        <v>245</v>
      </c>
      <c r="Z34" t="str">
        <f t="shared" ca="1" si="13"/>
        <v/>
      </c>
      <c r="AA34" s="129">
        <f ca="1">IF($C34="S",IF($Z34="CP",$X34,IF($Z34="RA",(($X34)*QCI!$AA$3),0)),SomaAgrup)</f>
        <v>0</v>
      </c>
      <c r="AB34" s="130">
        <f t="shared" ca="1" si="14"/>
        <v>0</v>
      </c>
      <c r="AC34" s="131" t="str">
        <f ca="1">IF($N34="","",IF(ORÇAMENTO.Descricao="","DESCRIÇÃO",IF(AND($C34="S",ORÇAMENTO.Unidade=""),"UNIDADE",IF($X34&lt;0,"VALOR NEGATIVO",IF(OR(AND(TIPOORCAMENTO="Proposto",$AG34&lt;&gt;"",$AG34&gt;0,ORÇAMENTO.CustoUnitario&gt;$AG34),AND(TIPOORCAMENTO="LICITADO",ORÇAMENTO.PrecoUnitarioLicitado&gt;$AN34)),"ACIMA REF.","")))))</f>
        <v/>
      </c>
      <c r="AD34" t="str">
        <f ca="1">IF(C34&lt;=CRONO.NivelExibicao,MAX($AD$15:OFFSET(AD34,-1,0))+IF($C34&lt;&gt;1,1,MAX(1,COUNTIF(QCI!$A$13:$A$24,OFFSET($E34,-1,0)))),"")</f>
        <v/>
      </c>
      <c r="AE34" s="7" t="str">
        <f ca="1">IF(AND($C34="S",ORÇAMENTO.CodBarra&lt;&gt;""),IF(ORÇAMENTO.Fonte="",ORÇAMENTO.CodBarra,CONCATENATE(ORÇAMENTO.Fonte," ",ORÇAMENTO.CodBarra)))</f>
        <v>SINAPI 104738</v>
      </c>
      <c r="AF34" s="13" t="str">
        <f ca="1">IF(ISERROR(INDIRECT(ORÇAMENTO.BancoRef)),"(abra o arquivo 'Referência "&amp;Excel_BuiltIn_Database&amp;".xlsm)",IF(OR($C34&lt;&gt;"S",ORÇAMENTO.CodBarra=""),"(Sem Código)",IF(ISERROR(MATCH($AE34,INDIRECT(ORÇAMENTO.BancoRef),0)),"(Código não identificado nas referências)",MATCH($AE34,INDIRECT(ORÇAMENTO.BancoRef),0))))</f>
        <v>(abra o arquivo 'Referência 02-2025.xlsm)</v>
      </c>
      <c r="AG34" s="498">
        <f ca="1">ROUND(IF(DESONERACAO="sim",REFERENCIA.Desonerado,REFERENCIA.NaoDesonerado),2)</f>
        <v>0</v>
      </c>
      <c r="AH34" s="499">
        <f t="shared" ca="1" si="15"/>
        <v>0.22470000000000001</v>
      </c>
      <c r="AJ34" s="501">
        <v>247.36</v>
      </c>
      <c r="AL34" s="527"/>
      <c r="AM34" s="381">
        <f t="shared" ca="1" si="0"/>
        <v>0</v>
      </c>
      <c r="AN34" s="566">
        <f t="shared" ca="1" si="16"/>
        <v>0</v>
      </c>
    </row>
    <row r="35" spans="1:40" x14ac:dyDescent="0.2">
      <c r="A35">
        <f t="shared" si="1"/>
        <v>2</v>
      </c>
      <c r="B35">
        <f t="shared" ca="1" si="2"/>
        <v>2</v>
      </c>
      <c r="C35">
        <f t="shared" ca="1" si="3"/>
        <v>2</v>
      </c>
      <c r="D35">
        <f t="shared" ca="1" si="4"/>
        <v>24</v>
      </c>
      <c r="E35">
        <f ca="1">IF($C35=1,OFFSET(E35,-1,0)+MAX(1,COUNTIF(QCI!$A$13:$A$24,OFFSET(ORÇAMENTO!E35,-1,0))),OFFSET(E35,-1,0))</f>
        <v>1</v>
      </c>
      <c r="F35">
        <f t="shared" ca="1" si="5"/>
        <v>3</v>
      </c>
      <c r="G35">
        <f t="shared" ca="1" si="6"/>
        <v>0</v>
      </c>
      <c r="H35">
        <f t="shared" ca="1" si="7"/>
        <v>0</v>
      </c>
      <c r="I35">
        <f t="shared" ca="1" si="8"/>
        <v>0</v>
      </c>
      <c r="J35">
        <f t="shared" ca="1" si="9"/>
        <v>712</v>
      </c>
      <c r="K35">
        <f ca="1">IF(OR($C35="S",$C35=0),0,MATCH(OFFSET($D35,0,$C35)+IF($C35&lt;&gt;1,1,COUNTIF(QCI!$A$13:$A$24,ORÇAMENTO!E35)),OFFSET($D35,1,$C35,ROW($C$747)-ROW($C35)),0))</f>
        <v>24</v>
      </c>
      <c r="L35" s="116" t="str">
        <f t="shared" ca="1" si="10"/>
        <v>F</v>
      </c>
      <c r="M35" s="117" t="s">
        <v>196</v>
      </c>
      <c r="N35" s="118" t="str">
        <f t="shared" ca="1" si="11"/>
        <v>Nível 2</v>
      </c>
      <c r="O35" s="119" t="str">
        <f t="shared" ca="1" si="12"/>
        <v>1.3.</v>
      </c>
      <c r="P35" s="120" t="s">
        <v>247</v>
      </c>
      <c r="Q35" s="121"/>
      <c r="R35" s="122" t="str">
        <f ca="1">IF($C35="S",REFERENCIA.Descricao,"FUNDAÇÕES")</f>
        <v>FUNDAÇÕES</v>
      </c>
      <c r="S35" s="123" t="str">
        <f ca="1">REFERENCIA.Unidade</f>
        <v>-</v>
      </c>
      <c r="T35" s="124">
        <f ca="1">OFFSET(CÁLCULO!H$15,ROW($T35)-ROW(T$15),0)</f>
        <v>0</v>
      </c>
      <c r="U35" s="125">
        <f t="shared" ca="1" si="17"/>
        <v>0</v>
      </c>
      <c r="V35" s="126" t="s">
        <v>156</v>
      </c>
      <c r="W35" s="124">
        <f ca="1">IF($C35="S",ROUND(IF(TIPOORCAMENTO="Proposto",ORÇAMENTO.CustoUnitario*(1+$AH35),ORÇAMENTO.PrecoUnitarioLicitado),15-13*$AF$10),0)</f>
        <v>0</v>
      </c>
      <c r="X35" s="127">
        <f ca="1">IF($C35="S",IF(Import.TipoArredondamento&lt;&gt;"TransfereGOV",VTOTAL1,SUM(OFFSET(CÁLCULO!$AA$15,ROW($X35)-ROW($X$15),1):OFFSET(CÁLCULO!$AL$15,ROW($X35)-ROW($X$15),-1))),IF($C35=0,0,ROUND(SomaAgrup,15-13*$AF$11)))</f>
        <v>0</v>
      </c>
      <c r="Y35" s="128" t="s">
        <v>245</v>
      </c>
      <c r="Z35" t="str">
        <f t="shared" ca="1" si="13"/>
        <v/>
      </c>
      <c r="AA35" s="129">
        <f ca="1">IF($C35="S",IF($Z35="CP",$X35,IF($Z35="RA",(($X35)*QCI!$AA$3),0)),SomaAgrup)</f>
        <v>0</v>
      </c>
      <c r="AB35" s="130">
        <f t="shared" ca="1" si="14"/>
        <v>0</v>
      </c>
      <c r="AC35" s="131" t="str">
        <f ca="1">IF($N35="","",IF(ORÇAMENTO.Descricao="","DESCRIÇÃO",IF(AND($C35="S",ORÇAMENTO.Unidade=""),"UNIDADE",IF($X35&lt;0,"VALOR NEGATIVO",IF(OR(AND(TIPOORCAMENTO="Proposto",$AG35&lt;&gt;"",$AG35&gt;0,ORÇAMENTO.CustoUnitario&gt;$AG35),AND(TIPOORCAMENTO="LICITADO",ORÇAMENTO.PrecoUnitarioLicitado&gt;$AN35)),"ACIMA REF.","")))))</f>
        <v/>
      </c>
      <c r="AD35">
        <f ca="1">IF(C35&lt;=CRONO.NivelExibicao,MAX($AD$15:OFFSET(AD35,-1,0))+IF($C35&lt;&gt;1,1,MAX(1,COUNTIF(QCI!$A$13:$A$24,OFFSET($E35,-1,0)))),"")</f>
        <v>4</v>
      </c>
      <c r="AE35" s="7" t="b">
        <f ca="1">IF(AND($C35="S",ORÇAMENTO.CodBarra&lt;&gt;""),IF(ORÇAMENTO.Fonte="",ORÇAMENTO.CodBarra,CONCATENATE(ORÇAMENTO.Fonte," ",ORÇAMENTO.CodBarra)))</f>
        <v>0</v>
      </c>
      <c r="AF35" s="13" t="str">
        <f ca="1">IF(ISERROR(INDIRECT(ORÇAMENTO.BancoRef)),"(abra o arquivo 'Referência "&amp;Excel_BuiltIn_Database&amp;".xlsm)",IF(OR($C35&lt;&gt;"S",ORÇAMENTO.CodBarra=""),"(Sem Código)",IF(ISERROR(MATCH($AE35,INDIRECT(ORÇAMENTO.BancoRef),0)),"(Código não identificado nas referências)",MATCH($AE35,INDIRECT(ORÇAMENTO.BancoRef),0))))</f>
        <v>(abra o arquivo 'Referência 02-2025.xlsm)</v>
      </c>
      <c r="AG35" s="498">
        <f ca="1">ROUND(IF(DESONERACAO="sim",REFERENCIA.Desonerado,REFERENCIA.NaoDesonerado),2)</f>
        <v>0</v>
      </c>
      <c r="AH35" s="499">
        <f t="shared" ca="1" si="15"/>
        <v>0.22470000000000001</v>
      </c>
      <c r="AJ35" s="501"/>
      <c r="AL35" s="527"/>
      <c r="AM35" s="381">
        <f t="shared" ca="1" si="0"/>
        <v>0</v>
      </c>
      <c r="AN35" s="566">
        <f t="shared" ca="1" si="16"/>
        <v>0</v>
      </c>
    </row>
    <row r="36" spans="1:40" x14ac:dyDescent="0.2">
      <c r="A36">
        <f t="shared" si="1"/>
        <v>3</v>
      </c>
      <c r="B36">
        <f t="shared" ca="1" si="2"/>
        <v>3</v>
      </c>
      <c r="C36">
        <f t="shared" ca="1" si="3"/>
        <v>3</v>
      </c>
      <c r="D36">
        <f t="shared" ca="1" si="4"/>
        <v>4</v>
      </c>
      <c r="E36">
        <f ca="1">IF($C36=1,OFFSET(E36,-1,0)+MAX(1,COUNTIF(QCI!$A$13:$A$24,OFFSET(ORÇAMENTO!E36,-1,0))),OFFSET(E36,-1,0))</f>
        <v>1</v>
      </c>
      <c r="F36">
        <f t="shared" ca="1" si="5"/>
        <v>3</v>
      </c>
      <c r="G36">
        <f t="shared" ca="1" si="6"/>
        <v>1</v>
      </c>
      <c r="H36">
        <f t="shared" ca="1" si="7"/>
        <v>0</v>
      </c>
      <c r="I36">
        <f t="shared" ca="1" si="8"/>
        <v>0</v>
      </c>
      <c r="J36">
        <f t="shared" ca="1" si="9"/>
        <v>23</v>
      </c>
      <c r="K36">
        <f ca="1">IF(OR($C36="S",$C36=0),0,MATCH(OFFSET($D36,0,$C36)+IF($C36&lt;&gt;1,1,COUNTIF(QCI!$A$13:$A$24,ORÇAMENTO!E36)),OFFSET($D36,1,$C36,ROW($C$747)-ROW($C36)),0))</f>
        <v>4</v>
      </c>
      <c r="L36" s="116" t="str">
        <f t="shared" ca="1" si="10"/>
        <v>F</v>
      </c>
      <c r="M36" s="117" t="s">
        <v>197</v>
      </c>
      <c r="N36" s="118" t="str">
        <f t="shared" ca="1" si="11"/>
        <v>Nível 3</v>
      </c>
      <c r="O36" s="119" t="str">
        <f t="shared" ca="1" si="12"/>
        <v>1.3.1.</v>
      </c>
      <c r="P36" s="120" t="s">
        <v>247</v>
      </c>
      <c r="Q36" s="121"/>
      <c r="R36" s="122" t="str">
        <f ca="1">IF($C36="S",REFERENCIA.Descricao,"CONCRETO ARMADO PARA FUNDAÇÕES ")</f>
        <v xml:space="preserve">CONCRETO ARMADO PARA FUNDAÇÕES </v>
      </c>
      <c r="S36" s="123" t="str">
        <f ca="1">REFERENCIA.Unidade</f>
        <v>-</v>
      </c>
      <c r="T36" s="124">
        <f ca="1">OFFSET(CÁLCULO!H$15,ROW($T36)-ROW(T$15),0)</f>
        <v>0</v>
      </c>
      <c r="U36" s="125">
        <f t="shared" ca="1" si="17"/>
        <v>0</v>
      </c>
      <c r="V36" s="126" t="s">
        <v>156</v>
      </c>
      <c r="W36" s="124">
        <f ca="1">IF($C36="S",ROUND(IF(TIPOORCAMENTO="Proposto",ORÇAMENTO.CustoUnitario*(1+$AH36),ORÇAMENTO.PrecoUnitarioLicitado),15-13*$AF$10),0)</f>
        <v>0</v>
      </c>
      <c r="X36" s="127">
        <f ca="1">IF($C36="S",IF(Import.TipoArredondamento&lt;&gt;"TransfereGOV",VTOTAL1,SUM(OFFSET(CÁLCULO!$AA$15,ROW($X36)-ROW($X$15),1):OFFSET(CÁLCULO!$AL$15,ROW($X36)-ROW($X$15),-1))),IF($C36=0,0,ROUND(SomaAgrup,15-13*$AF$11)))</f>
        <v>0</v>
      </c>
      <c r="Y36" s="128" t="s">
        <v>245</v>
      </c>
      <c r="Z36" t="str">
        <f t="shared" ca="1" si="13"/>
        <v/>
      </c>
      <c r="AA36" s="129">
        <f ca="1">IF($C36="S",IF($Z36="CP",$X36,IF($Z36="RA",(($X36)*QCI!$AA$3),0)),SomaAgrup)</f>
        <v>0</v>
      </c>
      <c r="AB36" s="130">
        <f t="shared" ca="1" si="14"/>
        <v>0</v>
      </c>
      <c r="AC36" s="131" t="str">
        <f ca="1">IF($N36="","",IF(ORÇAMENTO.Descricao="","DESCRIÇÃO",IF(AND($C36="S",ORÇAMENTO.Unidade=""),"UNIDADE",IF($X36&lt;0,"VALOR NEGATIVO",IF(OR(AND(TIPOORCAMENTO="Proposto",$AG36&lt;&gt;"",$AG36&gt;0,ORÇAMENTO.CustoUnitario&gt;$AG36),AND(TIPOORCAMENTO="LICITADO",ORÇAMENTO.PrecoUnitarioLicitado&gt;$AN36)),"ACIMA REF.","")))))</f>
        <v/>
      </c>
      <c r="AD36" t="str">
        <f ca="1">IF(C36&lt;=CRONO.NivelExibicao,MAX($AD$15:OFFSET(AD36,-1,0))+IF($C36&lt;&gt;1,1,MAX(1,COUNTIF(QCI!$A$13:$A$24,OFFSET($E36,-1,0)))),"")</f>
        <v/>
      </c>
      <c r="AE36" s="7" t="b">
        <f ca="1">IF(AND($C36="S",ORÇAMENTO.CodBarra&lt;&gt;""),IF(ORÇAMENTO.Fonte="",ORÇAMENTO.CodBarra,CONCATENATE(ORÇAMENTO.Fonte," ",ORÇAMENTO.CodBarra)))</f>
        <v>0</v>
      </c>
      <c r="AF36" s="13" t="str">
        <f ca="1">IF(ISERROR(INDIRECT(ORÇAMENTO.BancoRef)),"(abra o arquivo 'Referência "&amp;Excel_BuiltIn_Database&amp;".xlsm)",IF(OR($C36&lt;&gt;"S",ORÇAMENTO.CodBarra=""),"(Sem Código)",IF(ISERROR(MATCH($AE36,INDIRECT(ORÇAMENTO.BancoRef),0)),"(Código não identificado nas referências)",MATCH($AE36,INDIRECT(ORÇAMENTO.BancoRef),0))))</f>
        <v>(abra o arquivo 'Referência 02-2025.xlsm)</v>
      </c>
      <c r="AG36" s="498">
        <f ca="1">ROUND(IF(DESONERACAO="sim",REFERENCIA.Desonerado,REFERENCIA.NaoDesonerado),2)</f>
        <v>0</v>
      </c>
      <c r="AH36" s="499">
        <f t="shared" ca="1" si="15"/>
        <v>0.22470000000000001</v>
      </c>
      <c r="AJ36" s="501"/>
      <c r="AL36" s="527"/>
      <c r="AM36" s="381">
        <f t="shared" ca="1" si="0"/>
        <v>0</v>
      </c>
      <c r="AN36" s="566">
        <f t="shared" ca="1" si="16"/>
        <v>0</v>
      </c>
    </row>
    <row r="37" spans="1:40" ht="38.25" x14ac:dyDescent="0.2">
      <c r="A37" t="str">
        <f t="shared" si="1"/>
        <v>S</v>
      </c>
      <c r="B37">
        <f t="shared" ca="1" si="2"/>
        <v>3</v>
      </c>
      <c r="C37" t="str">
        <f t="shared" ca="1" si="3"/>
        <v>S</v>
      </c>
      <c r="D37">
        <f t="shared" ca="1" si="4"/>
        <v>0</v>
      </c>
      <c r="E37">
        <f ca="1">IF($C37=1,OFFSET(E37,-1,0)+MAX(1,COUNTIF(QCI!$A$13:$A$24,OFFSET(ORÇAMENTO!E37,-1,0))),OFFSET(E37,-1,0))</f>
        <v>1</v>
      </c>
      <c r="F37">
        <f t="shared" ca="1" si="5"/>
        <v>3</v>
      </c>
      <c r="G37">
        <f t="shared" ca="1" si="6"/>
        <v>1</v>
      </c>
      <c r="H37">
        <f t="shared" ca="1" si="7"/>
        <v>0</v>
      </c>
      <c r="I37">
        <f t="shared" ca="1" si="8"/>
        <v>0</v>
      </c>
      <c r="J37">
        <f t="shared" ca="1" si="9"/>
        <v>0</v>
      </c>
      <c r="K37">
        <f ca="1">IF(OR($C37="S",$C37=0),0,MATCH(OFFSET($D37,0,$C37)+IF($C37&lt;&gt;1,1,COUNTIF(QCI!$A$13:$A$24,ORÇAMENTO!E37)),OFFSET($D37,1,$C37,ROW($C$747)-ROW($C37)),0))</f>
        <v>0</v>
      </c>
      <c r="L37" s="116" t="str">
        <f t="shared" ca="1" si="10"/>
        <v/>
      </c>
      <c r="M37" s="117" t="s">
        <v>199</v>
      </c>
      <c r="N37" s="118" t="str">
        <f t="shared" ca="1" si="11"/>
        <v>Serviço</v>
      </c>
      <c r="O37" s="119" t="str">
        <f t="shared" ca="1" si="12"/>
        <v>-</v>
      </c>
      <c r="P37" s="120" t="s">
        <v>712</v>
      </c>
      <c r="Q37" s="121" t="s">
        <v>1028</v>
      </c>
      <c r="R37" s="122" t="str">
        <f ca="1">IF($C37="S",REFERENCIA.Descricao,"(digite a descrição aqui)")</f>
        <v>(abra o arquivo 'Referência 02-2025.xlsm)</v>
      </c>
      <c r="S37" s="123" t="str">
        <f ca="1">REFERENCIA.Unidade</f>
        <v>-</v>
      </c>
      <c r="T37" s="124">
        <f ca="1">OFFSET(CÁLCULO!H$15,ROW($T37)-ROW(T$15),0)</f>
        <v>880</v>
      </c>
      <c r="U37" s="125">
        <f t="shared" ca="1" si="17"/>
        <v>0</v>
      </c>
      <c r="V37" s="126" t="s">
        <v>156</v>
      </c>
      <c r="W37" s="124">
        <f ca="1">IF($C37="S",ROUND(IF(TIPOORCAMENTO="Proposto",ORÇAMENTO.CustoUnitario*(1+$AH37),ORÇAMENTO.PrecoUnitarioLicitado),15-13*$AF$10),0)</f>
        <v>0</v>
      </c>
      <c r="X37" s="127">
        <f ca="1">IF($C37="S",IF(Import.TipoArredondamento&lt;&gt;"TransfereGOV",VTOTAL1,SUM(OFFSET(CÁLCULO!$AA$15,ROW($X37)-ROW($X$15),1):OFFSET(CÁLCULO!$AL$15,ROW($X37)-ROW($X$15),-1))),IF($C37=0,0,ROUND(SomaAgrup,15-13*$AF$11)))</f>
        <v>0</v>
      </c>
      <c r="Y37" s="128" t="s">
        <v>245</v>
      </c>
      <c r="Z37" t="str">
        <f t="shared" ca="1" si="13"/>
        <v/>
      </c>
      <c r="AA37" s="129">
        <f ca="1">IF($C37="S",IF($Z37="CP",$X37,IF($Z37="RA",(($X37)*QCI!$AA$3),0)),SomaAgrup)</f>
        <v>0</v>
      </c>
      <c r="AB37" s="130">
        <f t="shared" ca="1" si="14"/>
        <v>0</v>
      </c>
      <c r="AC37" s="131" t="str">
        <f ca="1">IF($N37="","",IF(ORÇAMENTO.Descricao="","DESCRIÇÃO",IF(AND($C37="S",ORÇAMENTO.Unidade=""),"UNIDADE",IF($X37&lt;0,"VALOR NEGATIVO",IF(OR(AND(TIPOORCAMENTO="Proposto",$AG37&lt;&gt;"",$AG37&gt;0,ORÇAMENTO.CustoUnitario&gt;$AG37),AND(TIPOORCAMENTO="LICITADO",ORÇAMENTO.PrecoUnitarioLicitado&gt;$AN37)),"ACIMA REF.","")))))</f>
        <v/>
      </c>
      <c r="AD37" t="str">
        <f ca="1">IF(C37&lt;=CRONO.NivelExibicao,MAX($AD$15:OFFSET(AD37,-1,0))+IF($C37&lt;&gt;1,1,MAX(1,COUNTIF(QCI!$A$13:$A$24,OFFSET($E37,-1,0)))),"")</f>
        <v/>
      </c>
      <c r="AE37" s="7" t="str">
        <f ca="1">IF(AND($C37="S",ORÇAMENTO.CodBarra&lt;&gt;""),IF(ORÇAMENTO.Fonte="",ORÇAMENTO.CodBarra,CONCATENATE(ORÇAMENTO.Fonte," ",ORÇAMENTO.CodBarra)))</f>
        <v>Composição COMP-EST25</v>
      </c>
      <c r="AF37" s="13" t="str">
        <f ca="1">IF(ISERROR(INDIRECT(ORÇAMENTO.BancoRef)),"(abra o arquivo 'Referência "&amp;Excel_BuiltIn_Database&amp;".xlsm)",IF(OR($C37&lt;&gt;"S",ORÇAMENTO.CodBarra=""),"(Sem Código)",IF(ISERROR(MATCH($AE37,INDIRECT(ORÇAMENTO.BancoRef),0)),"(Código não identificado nas referências)",MATCH($AE37,INDIRECT(ORÇAMENTO.BancoRef),0))))</f>
        <v>(abra o arquivo 'Referência 02-2025.xlsm)</v>
      </c>
      <c r="AG37" s="498">
        <f ca="1">ROUND(IF(DESONERACAO="sim",REFERENCIA.Desonerado,REFERENCIA.NaoDesonerado),2)</f>
        <v>0</v>
      </c>
      <c r="AH37" s="499">
        <f t="shared" ca="1" si="15"/>
        <v>0.22470000000000001</v>
      </c>
      <c r="AJ37" s="501">
        <v>880</v>
      </c>
      <c r="AL37" s="527"/>
      <c r="AM37" s="381">
        <f t="shared" ca="1" si="0"/>
        <v>0</v>
      </c>
      <c r="AN37" s="566">
        <f t="shared" ca="1" si="16"/>
        <v>0</v>
      </c>
    </row>
    <row r="38" spans="1:40" ht="38.25" x14ac:dyDescent="0.2">
      <c r="A38" t="str">
        <f t="shared" si="1"/>
        <v>S</v>
      </c>
      <c r="B38">
        <f t="shared" ca="1" si="2"/>
        <v>3</v>
      </c>
      <c r="C38" t="str">
        <f t="shared" ca="1" si="3"/>
        <v>S</v>
      </c>
      <c r="D38">
        <f t="shared" ca="1" si="4"/>
        <v>0</v>
      </c>
      <c r="E38">
        <f ca="1">IF($C38=1,OFFSET(E38,-1,0)+MAX(1,COUNTIF(QCI!$A$13:$A$24,OFFSET(ORÇAMENTO!E38,-1,0))),OFFSET(E38,-1,0))</f>
        <v>1</v>
      </c>
      <c r="F38">
        <f t="shared" ca="1" si="5"/>
        <v>3</v>
      </c>
      <c r="G38">
        <f t="shared" ca="1" si="6"/>
        <v>1</v>
      </c>
      <c r="H38">
        <f t="shared" ca="1" si="7"/>
        <v>0</v>
      </c>
      <c r="I38">
        <f t="shared" ca="1" si="8"/>
        <v>0</v>
      </c>
      <c r="J38">
        <f t="shared" ca="1" si="9"/>
        <v>0</v>
      </c>
      <c r="K38">
        <f ca="1">IF(OR($C38="S",$C38=0),0,MATCH(OFFSET($D38,0,$C38)+IF($C38&lt;&gt;1,1,COUNTIF(QCI!$A$13:$A$24,ORÇAMENTO!E38)),OFFSET($D38,1,$C38,ROW($C$747)-ROW($C38)),0))</f>
        <v>0</v>
      </c>
      <c r="L38" s="116" t="str">
        <f t="shared" ca="1" si="10"/>
        <v/>
      </c>
      <c r="M38" s="117" t="s">
        <v>199</v>
      </c>
      <c r="N38" s="118" t="str">
        <f t="shared" ca="1" si="11"/>
        <v>Serviço</v>
      </c>
      <c r="O38" s="119" t="str">
        <f t="shared" ca="1" si="12"/>
        <v>-</v>
      </c>
      <c r="P38" s="120" t="s">
        <v>712</v>
      </c>
      <c r="Q38" s="121" t="s">
        <v>1029</v>
      </c>
      <c r="R38" s="122" t="str">
        <f ca="1">IF($C38="S",REFERENCIA.Descricao,"(digite a descrição aqui)")</f>
        <v>(abra o arquivo 'Referência 02-2025.xlsm)</v>
      </c>
      <c r="S38" s="123" t="str">
        <f ca="1">REFERENCIA.Unidade</f>
        <v>-</v>
      </c>
      <c r="T38" s="124">
        <f ca="1">OFFSET(CÁLCULO!H$15,ROW($T38)-ROW(T$15),0)</f>
        <v>448</v>
      </c>
      <c r="U38" s="125">
        <f t="shared" ca="1" si="17"/>
        <v>0</v>
      </c>
      <c r="V38" s="126" t="s">
        <v>156</v>
      </c>
      <c r="W38" s="124">
        <f ca="1">IF($C38="S",ROUND(IF(TIPOORCAMENTO="Proposto",ORÇAMENTO.CustoUnitario*(1+$AH38),ORÇAMENTO.PrecoUnitarioLicitado),15-13*$AF$10),0)</f>
        <v>0</v>
      </c>
      <c r="X38" s="127">
        <f ca="1">IF($C38="S",IF(Import.TipoArredondamento&lt;&gt;"TransfereGOV",VTOTAL1,SUM(OFFSET(CÁLCULO!$AA$15,ROW($X38)-ROW($X$15),1):OFFSET(CÁLCULO!$AL$15,ROW($X38)-ROW($X$15),-1))),IF($C38=0,0,ROUND(SomaAgrup,15-13*$AF$11)))</f>
        <v>0</v>
      </c>
      <c r="Y38" s="128" t="s">
        <v>245</v>
      </c>
      <c r="Z38" t="str">
        <f t="shared" ca="1" si="13"/>
        <v/>
      </c>
      <c r="AA38" s="129">
        <f ca="1">IF($C38="S",IF($Z38="CP",$X38,IF($Z38="RA",(($X38)*QCI!$AA$3),0)),SomaAgrup)</f>
        <v>0</v>
      </c>
      <c r="AB38" s="130">
        <f t="shared" ca="1" si="14"/>
        <v>0</v>
      </c>
      <c r="AC38" s="131" t="str">
        <f ca="1">IF($N38="","",IF(ORÇAMENTO.Descricao="","DESCRIÇÃO",IF(AND($C38="S",ORÇAMENTO.Unidade=""),"UNIDADE",IF($X38&lt;0,"VALOR NEGATIVO",IF(OR(AND(TIPOORCAMENTO="Proposto",$AG38&lt;&gt;"",$AG38&gt;0,ORÇAMENTO.CustoUnitario&gt;$AG38),AND(TIPOORCAMENTO="LICITADO",ORÇAMENTO.PrecoUnitarioLicitado&gt;$AN38)),"ACIMA REF.","")))))</f>
        <v/>
      </c>
      <c r="AD38" t="str">
        <f ca="1">IF(C38&lt;=CRONO.NivelExibicao,MAX($AD$15:OFFSET(AD38,-1,0))+IF($C38&lt;&gt;1,1,MAX(1,COUNTIF(QCI!$A$13:$A$24,OFFSET($E38,-1,0)))),"")</f>
        <v/>
      </c>
      <c r="AE38" s="7" t="str">
        <f ca="1">IF(AND($C38="S",ORÇAMENTO.CodBarra&lt;&gt;""),IF(ORÇAMENTO.Fonte="",ORÇAMENTO.CodBarra,CONCATENATE(ORÇAMENTO.Fonte," ",ORÇAMENTO.CodBarra)))</f>
        <v>Composição COMP-EST40</v>
      </c>
      <c r="AF38" s="13" t="str">
        <f ca="1">IF(ISERROR(INDIRECT(ORÇAMENTO.BancoRef)),"(abra o arquivo 'Referência "&amp;Excel_BuiltIn_Database&amp;".xlsm)",IF(OR($C38&lt;&gt;"S",ORÇAMENTO.CodBarra=""),"(Sem Código)",IF(ISERROR(MATCH($AE38,INDIRECT(ORÇAMENTO.BancoRef),0)),"(Código não identificado nas referências)",MATCH($AE38,INDIRECT(ORÇAMENTO.BancoRef),0))))</f>
        <v>(abra o arquivo 'Referência 02-2025.xlsm)</v>
      </c>
      <c r="AG38" s="498">
        <f ca="1">ROUND(IF(DESONERACAO="sim",REFERENCIA.Desonerado,REFERENCIA.NaoDesonerado),2)</f>
        <v>0</v>
      </c>
      <c r="AH38" s="499">
        <f t="shared" ca="1" si="15"/>
        <v>0.22470000000000001</v>
      </c>
      <c r="AJ38" s="501">
        <v>448</v>
      </c>
      <c r="AL38" s="527"/>
      <c r="AM38" s="381">
        <f t="shared" ca="1" si="0"/>
        <v>0</v>
      </c>
      <c r="AN38" s="566">
        <f t="shared" ca="1" si="16"/>
        <v>0</v>
      </c>
    </row>
    <row r="39" spans="1:40" ht="25.5" x14ac:dyDescent="0.2">
      <c r="A39" t="str">
        <f>CHOOSE(1+LOG(1+2*(ORÇAMENTO.Nivel="Meta")+4*(ORÇAMENTO.Nivel="Nível 2")+8*(ORÇAMENTO.Nivel="Nível 3")+16*(ORÇAMENTO.Nivel="Nível 4")+32*(ORÇAMENTO.Nivel="Serviço"),2),0,1,2,3,4,"S")</f>
        <v>S</v>
      </c>
      <c r="B39">
        <f ca="1">IF(OR(C39="s",C39=0),OFFSET(B39,-1,0),C39)</f>
        <v>3</v>
      </c>
      <c r="C39" t="str">
        <f ca="1">IF(OFFSET(C39,-1,0)="L",1,IF(OFFSET(C39,-1,0)=1,2,IF(OR(A39="s",A39=0),"S",IF(AND(OFFSET(C39,-1,0)=2,A39=4),3,IF(AND(OR(OFFSET(C39,-1,0)="s",OFFSET(C39,-1,0)=0),A39&lt;&gt;"s",A39&gt;OFFSET(B39,-1,0)),OFFSET(B39,-1,0),A39)))))</f>
        <v>S</v>
      </c>
      <c r="D39">
        <f ca="1">IF(OR(C39="S",C39=0),0,IF(ISERROR(K39),J39,SMALL(J39:K39,1)))</f>
        <v>0</v>
      </c>
      <c r="E39">
        <f ca="1">IF($C39=1,OFFSET(E39,-1,0)+MAX(1,COUNTIF(QCI!$A$13:$A$24,OFFSET(ORÇAMENTO!E39,-1,0))),OFFSET(E39,-1,0))</f>
        <v>1</v>
      </c>
      <c r="F39">
        <f ca="1">IF($C39=1,0,IF($C39=2,OFFSET(F39,-1,0)+1,OFFSET(F39,-1,0)))</f>
        <v>3</v>
      </c>
      <c r="G39">
        <f ca="1">IF(AND($C39&lt;=2,$C39&lt;&gt;0),0,IF($C39=3,OFFSET(G39,-1,0)+1,OFFSET(G39,-1,0)))</f>
        <v>1</v>
      </c>
      <c r="H39">
        <f ca="1">IF(AND($C39&lt;=3,$C39&lt;&gt;0),0,IF($C39=4,OFFSET(H39,-1,0)+1,OFFSET(H39,-1,0)))</f>
        <v>0</v>
      </c>
      <c r="I39">
        <f ca="1">IF(AND($C39&lt;=4,$C39&lt;&gt;0),0,IF(AND($C39="S",$X39&gt;0),OFFSET(I39,-1,0)+1,OFFSET(I39,-1,0)))</f>
        <v>0</v>
      </c>
      <c r="J39">
        <f t="shared" ca="1" si="9"/>
        <v>0</v>
      </c>
      <c r="K39">
        <f ca="1">IF(OR($C39="S",$C39=0),0,MATCH(OFFSET($D39,0,$C39)+IF($C39&lt;&gt;1,1,COUNTIF(QCI!$A$13:$A$24,ORÇAMENTO!E39)),OFFSET($D39,1,$C39,ROW($C$747)-ROW($C39)),0))</f>
        <v>0</v>
      </c>
      <c r="L39" s="116" t="str">
        <f ca="1">IF(OR($X39&gt;0,$C39=1,$C39=2,$C39=3,$C39=4),"F","")</f>
        <v/>
      </c>
      <c r="M39" s="117" t="s">
        <v>199</v>
      </c>
      <c r="N39" s="118" t="str">
        <f ca="1">CHOOSE(1+LOG(1+2*(C39=1)+4*(C39=2)+8*(C39=3)+16*(C39=4)+32*(C39="S"),2),"","Meta","Nível 2","Nível 3","Nível 4","Serviço")</f>
        <v>Serviço</v>
      </c>
      <c r="O39" s="119" t="str">
        <f ca="1">IF(OR($C39=0,$L39=""),"-",CONCATENATE(E39&amp;".",IF(AND($A$5&gt;=2,$C39&gt;=2),F39&amp;".",""),IF(AND($A$5&gt;=3,$C39&gt;=3),G39&amp;".",""),IF(AND($A$5&gt;=4,$C39&gt;=4),H39&amp;".",""),IF($C39="S",I39&amp;".","")))</f>
        <v>-</v>
      </c>
      <c r="P39" s="120" t="s">
        <v>247</v>
      </c>
      <c r="Q39" s="121" t="s">
        <v>893</v>
      </c>
      <c r="R39" s="122" t="s">
        <v>892</v>
      </c>
      <c r="S39" s="123" t="str">
        <f ca="1">REFERENCIA.Unidade</f>
        <v>-</v>
      </c>
      <c r="T39" s="124">
        <f ca="1">OFFSET(CÁLCULO!H$15,ROW($T39)-ROW(T$15),0)</f>
        <v>166</v>
      </c>
      <c r="U39" s="125">
        <f t="shared" ca="1" si="17"/>
        <v>0</v>
      </c>
      <c r="V39" s="126" t="s">
        <v>156</v>
      </c>
      <c r="W39" s="124">
        <f ca="1">IF($C39="S",ROUND(IF(TIPOORCAMENTO="Proposto",ORÇAMENTO.CustoUnitario*(1+$AH39),ORÇAMENTO.PrecoUnitarioLicitado),15-13*$AF$10),0)</f>
        <v>0</v>
      </c>
      <c r="X39" s="127">
        <f ca="1">IF($C39="S",IF(Import.TipoArredondamento&lt;&gt;"TransfereGOV",VTOTAL1,SUM(OFFSET(CÁLCULO!$AA$15,ROW($X39)-ROW($X$15),1):OFFSET(CÁLCULO!$AL$15,ROW($X39)-ROW($X$15),-1))),IF($C39=0,0,ROUND(SomaAgrup,15-13*$AF$11)))</f>
        <v>0</v>
      </c>
      <c r="Y39" s="128" t="s">
        <v>245</v>
      </c>
      <c r="Z39" t="str">
        <f ca="1">IF(AND($C39="S",$X39&gt;0),IF(ISBLANK($Y39),"RA",LEFT($Y39,2)),"")</f>
        <v/>
      </c>
      <c r="AA39" s="129">
        <f ca="1">IF($C39="S",IF($Z39="CP",$X39,IF($Z39="RA",(($X39)*QCI!$AA$3),0)),SomaAgrup)</f>
        <v>0</v>
      </c>
      <c r="AB39" s="130">
        <f ca="1">IF($C39="S",IF($Z39="OU",ROUND($X39,2),0),SomaAgrup)</f>
        <v>0</v>
      </c>
      <c r="AC39" s="131" t="str">
        <f ca="1">IF($N39="","",IF(ORÇAMENTO.Descricao="","DESCRIÇÃO",IF(AND($C39="S",ORÇAMENTO.Unidade=""),"UNIDADE",IF($X39&lt;0,"VALOR NEGATIVO",IF(OR(AND(TIPOORCAMENTO="Proposto",$AG39&lt;&gt;"",$AG39&gt;0,ORÇAMENTO.CustoUnitario&gt;$AG39),AND(TIPOORCAMENTO="LICITADO",ORÇAMENTO.PrecoUnitarioLicitado&gt;$AN39)),"ACIMA REF.","")))))</f>
        <v/>
      </c>
      <c r="AD39" t="str">
        <f ca="1">IF(C39&lt;=CRONO.NivelExibicao,MAX($AD$15:OFFSET(AD39,-1,0))+IF($C39&lt;&gt;1,1,MAX(1,COUNTIF(QCI!$A$13:$A$24,OFFSET($E39,-1,0)))),"")</f>
        <v/>
      </c>
      <c r="AE39" s="7" t="str">
        <f ca="1">IF(AND($C39="S",ORÇAMENTO.CodBarra&lt;&gt;""),IF(ORÇAMENTO.Fonte="",ORÇAMENTO.CodBarra,CONCATENATE(ORÇAMENTO.Fonte," ",ORÇAMENTO.CodBarra)))</f>
        <v>SINAPI 95601</v>
      </c>
      <c r="AF39" s="13" t="str">
        <f ca="1">IF(ISERROR(INDIRECT(ORÇAMENTO.BancoRef)),"(abra o arquivo 'Referência "&amp;Excel_BuiltIn_Database&amp;".xlsm)",IF(OR($C39&lt;&gt;"S",ORÇAMENTO.CodBarra=""),"(Sem Código)",IF(ISERROR(MATCH($AE39,INDIRECT(ORÇAMENTO.BancoRef),0)),"(Código não identificado nas referências)",MATCH($AE39,INDIRECT(ORÇAMENTO.BancoRef),0))))</f>
        <v>(abra o arquivo 'Referência 02-2025.xlsm)</v>
      </c>
      <c r="AG39" s="498">
        <f ca="1">ROUND(IF(DESONERACAO="sim",REFERENCIA.Desonerado,REFERENCIA.NaoDesonerado),2)</f>
        <v>0</v>
      </c>
      <c r="AH39" s="499">
        <f ca="1">ROUND(IF(ISNUMBER(ORÇAMENTO.OpcaoBDI),ORÇAMENTO.OpcaoBDI,IF(LEFT(ORÇAMENTO.OpcaoBDI,3)="BDI",HLOOKUP(ORÇAMENTO.OpcaoBDI,$F$4:$H$5,2,FALSE),0)),15-11*$AF$9)</f>
        <v>0.22470000000000001</v>
      </c>
      <c r="AJ39" s="501">
        <v>166</v>
      </c>
      <c r="AL39" s="527"/>
      <c r="AM39" s="381">
        <f t="shared" ca="1" si="0"/>
        <v>0</v>
      </c>
      <c r="AN39" s="566">
        <f ca="1">ROUND(ORÇAMENTO.CustoUnitario*(1+$AH39),2)</f>
        <v>0</v>
      </c>
    </row>
    <row r="40" spans="1:40" x14ac:dyDescent="0.2">
      <c r="A40">
        <f t="shared" si="1"/>
        <v>3</v>
      </c>
      <c r="B40">
        <f t="shared" ca="1" si="2"/>
        <v>3</v>
      </c>
      <c r="C40">
        <f t="shared" ca="1" si="3"/>
        <v>3</v>
      </c>
      <c r="D40">
        <f t="shared" ca="1" si="4"/>
        <v>8</v>
      </c>
      <c r="E40">
        <f ca="1">IF($C40=1,OFFSET(E40,-1,0)+MAX(1,COUNTIF(QCI!$A$13:$A$24,OFFSET(ORÇAMENTO!E40,-1,0))),OFFSET(E40,-1,0))</f>
        <v>1</v>
      </c>
      <c r="F40">
        <f t="shared" ca="1" si="5"/>
        <v>3</v>
      </c>
      <c r="G40">
        <f t="shared" ca="1" si="6"/>
        <v>2</v>
      </c>
      <c r="H40">
        <f t="shared" ca="1" si="7"/>
        <v>0</v>
      </c>
      <c r="I40">
        <f t="shared" ca="1" si="8"/>
        <v>0</v>
      </c>
      <c r="J40">
        <f t="shared" ca="1" si="9"/>
        <v>19</v>
      </c>
      <c r="K40">
        <f ca="1">IF(OR($C40="S",$C40=0),0,MATCH(OFFSET($D40,0,$C40)+IF($C40&lt;&gt;1,1,COUNTIF(QCI!$A$13:$A$24,ORÇAMENTO!E40)),OFFSET($D40,1,$C40,ROW($C$747)-ROW($C40)),0))</f>
        <v>8</v>
      </c>
      <c r="L40" s="116" t="str">
        <f t="shared" ca="1" si="10"/>
        <v>F</v>
      </c>
      <c r="M40" s="117" t="s">
        <v>197</v>
      </c>
      <c r="N40" s="118" t="str">
        <f t="shared" ca="1" si="11"/>
        <v>Nível 3</v>
      </c>
      <c r="O40" s="119" t="str">
        <f t="shared" ca="1" si="12"/>
        <v>1.3.2.</v>
      </c>
      <c r="P40" s="120" t="s">
        <v>247</v>
      </c>
      <c r="Q40" s="121"/>
      <c r="R40" s="122" t="str">
        <f ca="1">IF($C40="S",REFERENCIA.Descricao,"CONCRETO ARMADO PARA SAPATAS")</f>
        <v>CONCRETO ARMADO PARA SAPATAS</v>
      </c>
      <c r="S40" s="123" t="str">
        <f ca="1">REFERENCIA.Unidade</f>
        <v>-</v>
      </c>
      <c r="T40" s="124">
        <f ca="1">OFFSET(CÁLCULO!H$15,ROW($T40)-ROW(T$15),0)</f>
        <v>0</v>
      </c>
      <c r="U40" s="125">
        <f t="shared" ca="1" si="17"/>
        <v>0</v>
      </c>
      <c r="V40" s="126" t="s">
        <v>156</v>
      </c>
      <c r="W40" s="124">
        <f ca="1">IF($C40="S",ROUND(IF(TIPOORCAMENTO="Proposto",ORÇAMENTO.CustoUnitario*(1+$AH40),ORÇAMENTO.PrecoUnitarioLicitado),15-13*$AF$10),0)</f>
        <v>0</v>
      </c>
      <c r="X40" s="127">
        <f ca="1">IF($C40="S",IF(Import.TipoArredondamento&lt;&gt;"TransfereGOV",VTOTAL1,SUM(OFFSET(CÁLCULO!$AA$15,ROW($X40)-ROW($X$15),1):OFFSET(CÁLCULO!$AL$15,ROW($X40)-ROW($X$15),-1))),IF($C40=0,0,ROUND(SomaAgrup,15-13*$AF$11)))</f>
        <v>0</v>
      </c>
      <c r="Y40" s="128" t="s">
        <v>245</v>
      </c>
      <c r="Z40" t="str">
        <f t="shared" ca="1" si="13"/>
        <v/>
      </c>
      <c r="AA40" s="129">
        <f ca="1">IF($C40="S",IF($Z40="CP",$X40,IF($Z40="RA",(($X40)*QCI!$AA$3),0)),SomaAgrup)</f>
        <v>0</v>
      </c>
      <c r="AB40" s="130">
        <f t="shared" ca="1" si="14"/>
        <v>0</v>
      </c>
      <c r="AC40" s="131" t="str">
        <f ca="1">IF($N40="","",IF(ORÇAMENTO.Descricao="","DESCRIÇÃO",IF(AND($C40="S",ORÇAMENTO.Unidade=""),"UNIDADE",IF($X40&lt;0,"VALOR NEGATIVO",IF(OR(AND(TIPOORCAMENTO="Proposto",$AG40&lt;&gt;"",$AG40&gt;0,ORÇAMENTO.CustoUnitario&gt;$AG40),AND(TIPOORCAMENTO="LICITADO",ORÇAMENTO.PrecoUnitarioLicitado&gt;$AN40)),"ACIMA REF.","")))))</f>
        <v/>
      </c>
      <c r="AD40" t="str">
        <f ca="1">IF(C40&lt;=CRONO.NivelExibicao,MAX($AD$15:OFFSET(AD40,-1,0))+IF($C40&lt;&gt;1,1,MAX(1,COUNTIF(QCI!$A$13:$A$24,OFFSET($E40,-1,0)))),"")</f>
        <v/>
      </c>
      <c r="AE40" s="7" t="b">
        <f ca="1">IF(AND($C40="S",ORÇAMENTO.CodBarra&lt;&gt;""),IF(ORÇAMENTO.Fonte="",ORÇAMENTO.CodBarra,CONCATENATE(ORÇAMENTO.Fonte," ",ORÇAMENTO.CodBarra)))</f>
        <v>0</v>
      </c>
      <c r="AF40" s="13" t="str">
        <f ca="1">IF(ISERROR(INDIRECT(ORÇAMENTO.BancoRef)),"(abra o arquivo 'Referência "&amp;Excel_BuiltIn_Database&amp;".xlsm)",IF(OR($C40&lt;&gt;"S",ORÇAMENTO.CodBarra=""),"(Sem Código)",IF(ISERROR(MATCH($AE40,INDIRECT(ORÇAMENTO.BancoRef),0)),"(Código não identificado nas referências)",MATCH($AE40,INDIRECT(ORÇAMENTO.BancoRef),0))))</f>
        <v>(abra o arquivo 'Referência 02-2025.xlsm)</v>
      </c>
      <c r="AG40" s="498">
        <f ca="1">ROUND(IF(DESONERACAO="sim",REFERENCIA.Desonerado,REFERENCIA.NaoDesonerado),2)</f>
        <v>0</v>
      </c>
      <c r="AH40" s="499">
        <f t="shared" ca="1" si="15"/>
        <v>0.22470000000000001</v>
      </c>
      <c r="AJ40" s="501"/>
      <c r="AL40" s="527"/>
      <c r="AM40" s="381">
        <f t="shared" ca="1" si="0"/>
        <v>0</v>
      </c>
      <c r="AN40" s="566">
        <f t="shared" ca="1" si="16"/>
        <v>0</v>
      </c>
    </row>
    <row r="41" spans="1:40" ht="25.5" x14ac:dyDescent="0.2">
      <c r="A41" t="str">
        <f t="shared" si="1"/>
        <v>S</v>
      </c>
      <c r="B41">
        <f t="shared" ca="1" si="2"/>
        <v>3</v>
      </c>
      <c r="C41" t="str">
        <f t="shared" ca="1" si="3"/>
        <v>S</v>
      </c>
      <c r="D41">
        <f t="shared" ca="1" si="4"/>
        <v>0</v>
      </c>
      <c r="E41">
        <f ca="1">IF($C41=1,OFFSET(E41,-1,0)+MAX(1,COUNTIF(QCI!$A$13:$A$24,OFFSET(ORÇAMENTO!E41,-1,0))),OFFSET(E41,-1,0))</f>
        <v>1</v>
      </c>
      <c r="F41">
        <f t="shared" ca="1" si="5"/>
        <v>3</v>
      </c>
      <c r="G41">
        <f t="shared" ca="1" si="6"/>
        <v>2</v>
      </c>
      <c r="H41">
        <f t="shared" ca="1" si="7"/>
        <v>0</v>
      </c>
      <c r="I41">
        <f t="shared" ca="1" si="8"/>
        <v>0</v>
      </c>
      <c r="J41">
        <f t="shared" ca="1" si="9"/>
        <v>0</v>
      </c>
      <c r="K41">
        <f ca="1">IF(OR($C41="S",$C41=0),0,MATCH(OFFSET($D41,0,$C41)+IF($C41&lt;&gt;1,1,COUNTIF(QCI!$A$13:$A$24,ORÇAMENTO!E41)),OFFSET($D41,1,$C41,ROW($C$747)-ROW($C41)),0))</f>
        <v>0</v>
      </c>
      <c r="L41" s="116" t="str">
        <f t="shared" ca="1" si="10"/>
        <v/>
      </c>
      <c r="M41" s="117" t="s">
        <v>199</v>
      </c>
      <c r="N41" s="118" t="str">
        <f t="shared" ca="1" si="11"/>
        <v>Serviço</v>
      </c>
      <c r="O41" s="119" t="str">
        <f t="shared" ca="1" si="12"/>
        <v>-</v>
      </c>
      <c r="P41" s="120" t="s">
        <v>247</v>
      </c>
      <c r="Q41" s="121" t="s">
        <v>1003</v>
      </c>
      <c r="R41" s="122" t="str">
        <f ca="1">IF($C41="S",REFERENCIA.Descricao,"(digite a descrição aqui)")</f>
        <v>(abra o arquivo 'Referência 02-2025.xlsm)</v>
      </c>
      <c r="S41" s="123" t="str">
        <f ca="1">REFERENCIA.Unidade</f>
        <v>-</v>
      </c>
      <c r="T41" s="124">
        <f ca="1">OFFSET(CÁLCULO!H$15,ROW($T41)-ROW(T$15),0)</f>
        <v>1.37</v>
      </c>
      <c r="U41" s="125">
        <f t="shared" ca="1" si="17"/>
        <v>0</v>
      </c>
      <c r="V41" s="126" t="s">
        <v>156</v>
      </c>
      <c r="W41" s="124">
        <f ca="1">IF($C41="S",ROUND(IF(TIPOORCAMENTO="Proposto",ORÇAMENTO.CustoUnitario*(1+$AH41),ORÇAMENTO.PrecoUnitarioLicitado),15-13*$AF$10),0)</f>
        <v>0</v>
      </c>
      <c r="X41" s="127">
        <f ca="1">IF($C41="S",IF(Import.TipoArredondamento&lt;&gt;"TransfereGOV",VTOTAL1,SUM(OFFSET(CÁLCULO!$AA$15,ROW($X41)-ROW($X$15),1):OFFSET(CÁLCULO!$AL$15,ROW($X41)-ROW($X$15),-1))),IF($C41=0,0,ROUND(SomaAgrup,15-13*$AF$11)))</f>
        <v>0</v>
      </c>
      <c r="Y41" s="128" t="s">
        <v>245</v>
      </c>
      <c r="Z41" t="str">
        <f t="shared" ca="1" si="13"/>
        <v/>
      </c>
      <c r="AA41" s="129">
        <f ca="1">IF($C41="S",IF($Z41="CP",$X41,IF($Z41="RA",(($X41)*QCI!$AA$3),0)),SomaAgrup)</f>
        <v>0</v>
      </c>
      <c r="AB41" s="130">
        <f t="shared" ca="1" si="14"/>
        <v>0</v>
      </c>
      <c r="AC41" s="131" t="str">
        <f ca="1">IF($N41="","",IF(ORÇAMENTO.Descricao="","DESCRIÇÃO",IF(AND($C41="S",ORÇAMENTO.Unidade=""),"UNIDADE",IF($X41&lt;0,"VALOR NEGATIVO",IF(OR(AND(TIPOORCAMENTO="Proposto",$AG41&lt;&gt;"",$AG41&gt;0,ORÇAMENTO.CustoUnitario&gt;$AG41),AND(TIPOORCAMENTO="LICITADO",ORÇAMENTO.PrecoUnitarioLicitado&gt;$AN41)),"ACIMA REF.","")))))</f>
        <v/>
      </c>
      <c r="AD41" t="str">
        <f ca="1">IF(C41&lt;=CRONO.NivelExibicao,MAX($AD$15:OFFSET(AD41,-1,0))+IF($C41&lt;&gt;1,1,MAX(1,COUNTIF(QCI!$A$13:$A$24,OFFSET($E41,-1,0)))),"")</f>
        <v/>
      </c>
      <c r="AE41" s="7" t="str">
        <f ca="1">IF(AND($C41="S",ORÇAMENTO.CodBarra&lt;&gt;""),IF(ORÇAMENTO.Fonte="",ORÇAMENTO.CodBarra,CONCATENATE(ORÇAMENTO.Fonte," ",ORÇAMENTO.CodBarra)))</f>
        <v>SINAPI 96621</v>
      </c>
      <c r="AF41" s="13" t="str">
        <f ca="1">IF(ISERROR(INDIRECT(ORÇAMENTO.BancoRef)),"(abra o arquivo 'Referência "&amp;Excel_BuiltIn_Database&amp;".xlsm)",IF(OR($C41&lt;&gt;"S",ORÇAMENTO.CodBarra=""),"(Sem Código)",IF(ISERROR(MATCH($AE41,INDIRECT(ORÇAMENTO.BancoRef),0)),"(Código não identificado nas referências)",MATCH($AE41,INDIRECT(ORÇAMENTO.BancoRef),0))))</f>
        <v>(abra o arquivo 'Referência 02-2025.xlsm)</v>
      </c>
      <c r="AG41" s="498">
        <f ca="1">ROUND(IF(DESONERACAO="sim",REFERENCIA.Desonerado,REFERENCIA.NaoDesonerado),2)</f>
        <v>0</v>
      </c>
      <c r="AH41" s="499">
        <f t="shared" ca="1" si="15"/>
        <v>0.22470000000000001</v>
      </c>
      <c r="AJ41" s="501">
        <v>1.37</v>
      </c>
      <c r="AL41" s="527"/>
      <c r="AM41" s="381">
        <f t="shared" ca="1" si="0"/>
        <v>0</v>
      </c>
      <c r="AN41" s="566">
        <f t="shared" ca="1" si="16"/>
        <v>0</v>
      </c>
    </row>
    <row r="42" spans="1:40" ht="25.5" x14ac:dyDescent="0.2">
      <c r="A42" t="str">
        <f t="shared" si="1"/>
        <v>S</v>
      </c>
      <c r="B42">
        <f t="shared" ca="1" si="2"/>
        <v>3</v>
      </c>
      <c r="C42" t="str">
        <f t="shared" ca="1" si="3"/>
        <v>S</v>
      </c>
      <c r="D42">
        <f t="shared" ca="1" si="4"/>
        <v>0</v>
      </c>
      <c r="E42">
        <f ca="1">IF($C42=1,OFFSET(E42,-1,0)+MAX(1,COUNTIF(QCI!$A$13:$A$24,OFFSET(ORÇAMENTO!E42,-1,0))),OFFSET(E42,-1,0))</f>
        <v>1</v>
      </c>
      <c r="F42">
        <f t="shared" ca="1" si="5"/>
        <v>3</v>
      </c>
      <c r="G42">
        <f t="shared" ca="1" si="6"/>
        <v>2</v>
      </c>
      <c r="H42">
        <f t="shared" ca="1" si="7"/>
        <v>0</v>
      </c>
      <c r="I42">
        <f t="shared" ca="1" si="8"/>
        <v>0</v>
      </c>
      <c r="J42">
        <f t="shared" ca="1" si="9"/>
        <v>0</v>
      </c>
      <c r="K42">
        <f ca="1">IF(OR($C42="S",$C42=0),0,MATCH(OFFSET($D42,0,$C42)+IF($C42&lt;&gt;1,1,COUNTIF(QCI!$A$13:$A$24,ORÇAMENTO!E42)),OFFSET($D42,1,$C42,ROW($C$747)-ROW($C42)),0))</f>
        <v>0</v>
      </c>
      <c r="L42" s="116" t="str">
        <f t="shared" ca="1" si="10"/>
        <v/>
      </c>
      <c r="M42" s="117" t="s">
        <v>199</v>
      </c>
      <c r="N42" s="118" t="str">
        <f t="shared" ca="1" si="11"/>
        <v>Serviço</v>
      </c>
      <c r="O42" s="119" t="str">
        <f t="shared" ca="1" si="12"/>
        <v>-</v>
      </c>
      <c r="P42" s="120" t="s">
        <v>247</v>
      </c>
      <c r="Q42" s="121" t="s">
        <v>455</v>
      </c>
      <c r="R42" s="122" t="str">
        <f ca="1">IF($C42="S",REFERENCIA.Descricao,"(digite a descrição aqui)")</f>
        <v>(abra o arquivo 'Referência 02-2025.xlsm)</v>
      </c>
      <c r="S42" s="123" t="str">
        <f ca="1">REFERENCIA.Unidade</f>
        <v>-</v>
      </c>
      <c r="T42" s="124">
        <f ca="1">OFFSET(CÁLCULO!H$15,ROW($T42)-ROW(T$15),0)</f>
        <v>27.34</v>
      </c>
      <c r="U42" s="125">
        <f t="shared" ca="1" si="17"/>
        <v>0</v>
      </c>
      <c r="V42" s="126" t="s">
        <v>156</v>
      </c>
      <c r="W42" s="124">
        <f ca="1">IF($C42="S",ROUND(IF(TIPOORCAMENTO="Proposto",ORÇAMENTO.CustoUnitario*(1+$AH42),ORÇAMENTO.PrecoUnitarioLicitado),15-13*$AF$10),0)</f>
        <v>0</v>
      </c>
      <c r="X42" s="127">
        <f ca="1">IF($C42="S",IF(Import.TipoArredondamento&lt;&gt;"TransfereGOV",VTOTAL1,SUM(OFFSET(CÁLCULO!$AA$15,ROW($X42)-ROW($X$15),1):OFFSET(CÁLCULO!$AL$15,ROW($X42)-ROW($X$15),-1))),IF($C42=0,0,ROUND(SomaAgrup,15-13*$AF$11)))</f>
        <v>0</v>
      </c>
      <c r="Y42" s="128" t="s">
        <v>245</v>
      </c>
      <c r="Z42" t="str">
        <f t="shared" ca="1" si="13"/>
        <v/>
      </c>
      <c r="AA42" s="129">
        <f ca="1">IF($C42="S",IF($Z42="CP",$X42,IF($Z42="RA",(($X42)*QCI!$AA$3),0)),SomaAgrup)</f>
        <v>0</v>
      </c>
      <c r="AB42" s="130">
        <f t="shared" ca="1" si="14"/>
        <v>0</v>
      </c>
      <c r="AC42" s="131" t="str">
        <f ca="1">IF($N42="","",IF(ORÇAMENTO.Descricao="","DESCRIÇÃO",IF(AND($C42="S",ORÇAMENTO.Unidade=""),"UNIDADE",IF($X42&lt;0,"VALOR NEGATIVO",IF(OR(AND(TIPOORCAMENTO="Proposto",$AG42&lt;&gt;"",$AG42&gt;0,ORÇAMENTO.CustoUnitario&gt;$AG42),AND(TIPOORCAMENTO="LICITADO",ORÇAMENTO.PrecoUnitarioLicitado&gt;$AN42)),"ACIMA REF.","")))))</f>
        <v/>
      </c>
      <c r="AD42" t="str">
        <f ca="1">IF(C42&lt;=CRONO.NivelExibicao,MAX($AD$15:OFFSET(AD42,-1,0))+IF($C42&lt;&gt;1,1,MAX(1,COUNTIF(QCI!$A$13:$A$24,OFFSET($E42,-1,0)))),"")</f>
        <v/>
      </c>
      <c r="AE42" s="7" t="str">
        <f ca="1">IF(AND($C42="S",ORÇAMENTO.CodBarra&lt;&gt;""),IF(ORÇAMENTO.Fonte="",ORÇAMENTO.CodBarra,CONCATENATE(ORÇAMENTO.Fonte," ",ORÇAMENTO.CodBarra)))</f>
        <v>SINAPI 96619</v>
      </c>
      <c r="AF42" s="13" t="str">
        <f ca="1">IF(ISERROR(INDIRECT(ORÇAMENTO.BancoRef)),"(abra o arquivo 'Referência "&amp;Excel_BuiltIn_Database&amp;".xlsm)",IF(OR($C42&lt;&gt;"S",ORÇAMENTO.CodBarra=""),"(Sem Código)",IF(ISERROR(MATCH($AE42,INDIRECT(ORÇAMENTO.BancoRef),0)),"(Código não identificado nas referências)",MATCH($AE42,INDIRECT(ORÇAMENTO.BancoRef),0))))</f>
        <v>(abra o arquivo 'Referência 02-2025.xlsm)</v>
      </c>
      <c r="AG42" s="498">
        <f ca="1">ROUND(IF(DESONERACAO="sim",REFERENCIA.Desonerado,REFERENCIA.NaoDesonerado),2)</f>
        <v>0</v>
      </c>
      <c r="AH42" s="499">
        <f t="shared" ca="1" si="15"/>
        <v>0.22470000000000001</v>
      </c>
      <c r="AJ42" s="501">
        <v>27.34</v>
      </c>
      <c r="AL42" s="527"/>
      <c r="AM42" s="381">
        <f t="shared" ca="1" si="0"/>
        <v>0</v>
      </c>
      <c r="AN42" s="566">
        <f t="shared" ca="1" si="16"/>
        <v>0</v>
      </c>
    </row>
    <row r="43" spans="1:40" ht="38.25" x14ac:dyDescent="0.2">
      <c r="A43" t="str">
        <f t="shared" si="1"/>
        <v>S</v>
      </c>
      <c r="B43">
        <f t="shared" ca="1" si="2"/>
        <v>3</v>
      </c>
      <c r="C43" t="str">
        <f t="shared" ca="1" si="3"/>
        <v>S</v>
      </c>
      <c r="D43">
        <f t="shared" ca="1" si="4"/>
        <v>0</v>
      </c>
      <c r="E43">
        <f ca="1">IF($C43=1,OFFSET(E43,-1,0)+MAX(1,COUNTIF(QCI!$A$13:$A$24,OFFSET(ORÇAMENTO!E43,-1,0))),OFFSET(E43,-1,0))</f>
        <v>1</v>
      </c>
      <c r="F43">
        <f t="shared" ca="1" si="5"/>
        <v>3</v>
      </c>
      <c r="G43">
        <f t="shared" ca="1" si="6"/>
        <v>2</v>
      </c>
      <c r="H43">
        <f t="shared" ca="1" si="7"/>
        <v>0</v>
      </c>
      <c r="I43">
        <f t="shared" ca="1" si="8"/>
        <v>0</v>
      </c>
      <c r="J43">
        <f t="shared" ca="1" si="9"/>
        <v>0</v>
      </c>
      <c r="K43">
        <f ca="1">IF(OR($C43="S",$C43=0),0,MATCH(OFFSET($D43,0,$C43)+IF($C43&lt;&gt;1,1,COUNTIF(QCI!$A$13:$A$24,ORÇAMENTO!E43)),OFFSET($D43,1,$C43,ROW($C$747)-ROW($C43)),0))</f>
        <v>0</v>
      </c>
      <c r="L43" s="116" t="str">
        <f t="shared" ca="1" si="10"/>
        <v/>
      </c>
      <c r="M43" s="117" t="s">
        <v>199</v>
      </c>
      <c r="N43" s="118" t="str">
        <f t="shared" ca="1" si="11"/>
        <v>Serviço</v>
      </c>
      <c r="O43" s="119" t="str">
        <f t="shared" ca="1" si="12"/>
        <v>-</v>
      </c>
      <c r="P43" s="120" t="s">
        <v>247</v>
      </c>
      <c r="Q43" s="121" t="s">
        <v>1004</v>
      </c>
      <c r="R43" s="122" t="str">
        <f ca="1">IF($C43="S",REFERENCIA.Descricao,"(digite a descrição aqui)")</f>
        <v>(abra o arquivo 'Referência 02-2025.xlsm)</v>
      </c>
      <c r="S43" s="123" t="str">
        <f ca="1">REFERENCIA.Unidade</f>
        <v>-</v>
      </c>
      <c r="T43" s="124">
        <f ca="1">OFFSET(CÁLCULO!H$15,ROW($T43)-ROW(T$15),0)</f>
        <v>20.39</v>
      </c>
      <c r="U43" s="125">
        <f t="shared" ca="1" si="17"/>
        <v>0</v>
      </c>
      <c r="V43" s="126" t="s">
        <v>156</v>
      </c>
      <c r="W43" s="124">
        <f ca="1">IF($C43="S",ROUND(IF(TIPOORCAMENTO="Proposto",ORÇAMENTO.CustoUnitario*(1+$AH43),ORÇAMENTO.PrecoUnitarioLicitado),15-13*$AF$10),0)</f>
        <v>0</v>
      </c>
      <c r="X43" s="127">
        <f ca="1">IF($C43="S",IF(Import.TipoArredondamento&lt;&gt;"TransfereGOV",VTOTAL1,SUM(OFFSET(CÁLCULO!$AA$15,ROW($X43)-ROW($X$15),1):OFFSET(CÁLCULO!$AL$15,ROW($X43)-ROW($X$15),-1))),IF($C43=0,0,ROUND(SomaAgrup,15-13*$AF$11)))</f>
        <v>0</v>
      </c>
      <c r="Y43" s="128" t="s">
        <v>245</v>
      </c>
      <c r="Z43" t="str">
        <f t="shared" ca="1" si="13"/>
        <v/>
      </c>
      <c r="AA43" s="129">
        <f ca="1">IF($C43="S",IF($Z43="CP",$X43,IF($Z43="RA",(($X43)*QCI!$AA$3),0)),SomaAgrup)</f>
        <v>0</v>
      </c>
      <c r="AB43" s="130">
        <f t="shared" ca="1" si="14"/>
        <v>0</v>
      </c>
      <c r="AC43" s="131" t="str">
        <f ca="1">IF($N43="","",IF(ORÇAMENTO.Descricao="","DESCRIÇÃO",IF(AND($C43="S",ORÇAMENTO.Unidade=""),"UNIDADE",IF($X43&lt;0,"VALOR NEGATIVO",IF(OR(AND(TIPOORCAMENTO="Proposto",$AG43&lt;&gt;"",$AG43&gt;0,ORÇAMENTO.CustoUnitario&gt;$AG43),AND(TIPOORCAMENTO="LICITADO",ORÇAMENTO.PrecoUnitarioLicitado&gt;$AN43)),"ACIMA REF.","")))))</f>
        <v/>
      </c>
      <c r="AD43" t="str">
        <f ca="1">IF(C43&lt;=CRONO.NivelExibicao,MAX($AD$15:OFFSET(AD43,-1,0))+IF($C43&lt;&gt;1,1,MAX(1,COUNTIF(QCI!$A$13:$A$24,OFFSET($E43,-1,0)))),"")</f>
        <v/>
      </c>
      <c r="AE43" s="7" t="str">
        <f ca="1">IF(AND($C43="S",ORÇAMENTO.CodBarra&lt;&gt;""),IF(ORÇAMENTO.Fonte="",ORÇAMENTO.CodBarra,CONCATENATE(ORÇAMENTO.Fonte," ",ORÇAMENTO.CodBarra)))</f>
        <v>SINAPI 96535</v>
      </c>
      <c r="AF43" s="13" t="str">
        <f ca="1">IF(ISERROR(INDIRECT(ORÇAMENTO.BancoRef)),"(abra o arquivo 'Referência "&amp;Excel_BuiltIn_Database&amp;".xlsm)",IF(OR($C43&lt;&gt;"S",ORÇAMENTO.CodBarra=""),"(Sem Código)",IF(ISERROR(MATCH($AE43,INDIRECT(ORÇAMENTO.BancoRef),0)),"(Código não identificado nas referências)",MATCH($AE43,INDIRECT(ORÇAMENTO.BancoRef),0))))</f>
        <v>(abra o arquivo 'Referência 02-2025.xlsm)</v>
      </c>
      <c r="AG43" s="498">
        <f ca="1">ROUND(IF(DESONERACAO="sim",REFERENCIA.Desonerado,REFERENCIA.NaoDesonerado),2)</f>
        <v>0</v>
      </c>
      <c r="AH43" s="499">
        <f t="shared" ca="1" si="15"/>
        <v>0.22470000000000001</v>
      </c>
      <c r="AJ43" s="501">
        <v>20.39</v>
      </c>
      <c r="AL43" s="527"/>
      <c r="AM43" s="381">
        <f t="shared" ca="1" si="0"/>
        <v>0</v>
      </c>
      <c r="AN43" s="566">
        <f t="shared" ca="1" si="16"/>
        <v>0</v>
      </c>
    </row>
    <row r="44" spans="1:40" ht="25.5" x14ac:dyDescent="0.2">
      <c r="A44" t="str">
        <f t="shared" si="1"/>
        <v>S</v>
      </c>
      <c r="B44">
        <f t="shared" ca="1" si="2"/>
        <v>3</v>
      </c>
      <c r="C44" t="str">
        <f t="shared" ca="1" si="3"/>
        <v>S</v>
      </c>
      <c r="D44">
        <f t="shared" ca="1" si="4"/>
        <v>0</v>
      </c>
      <c r="E44">
        <f ca="1">IF($C44=1,OFFSET(E44,-1,0)+MAX(1,COUNTIF(QCI!$A$13:$A$24,OFFSET(ORÇAMENTO!E44,-1,0))),OFFSET(E44,-1,0))</f>
        <v>1</v>
      </c>
      <c r="F44">
        <f t="shared" ca="1" si="5"/>
        <v>3</v>
      </c>
      <c r="G44">
        <f t="shared" ca="1" si="6"/>
        <v>2</v>
      </c>
      <c r="H44">
        <f t="shared" ca="1" si="7"/>
        <v>0</v>
      </c>
      <c r="I44">
        <f t="shared" ca="1" si="8"/>
        <v>0</v>
      </c>
      <c r="J44">
        <f t="shared" ca="1" si="9"/>
        <v>0</v>
      </c>
      <c r="K44">
        <f ca="1">IF(OR($C44="S",$C44=0),0,MATCH(OFFSET($D44,0,$C44)+IF($C44&lt;&gt;1,1,COUNTIF(QCI!$A$13:$A$24,ORÇAMENTO!E44)),OFFSET($D44,1,$C44,ROW($C$747)-ROW($C44)),0))</f>
        <v>0</v>
      </c>
      <c r="L44" s="116" t="str">
        <f t="shared" ca="1" si="10"/>
        <v/>
      </c>
      <c r="M44" s="117" t="s">
        <v>199</v>
      </c>
      <c r="N44" s="118" t="str">
        <f t="shared" ca="1" si="11"/>
        <v>Serviço</v>
      </c>
      <c r="O44" s="119" t="str">
        <f t="shared" ca="1" si="12"/>
        <v>-</v>
      </c>
      <c r="P44" s="120" t="s">
        <v>247</v>
      </c>
      <c r="Q44" s="121" t="s">
        <v>458</v>
      </c>
      <c r="R44" s="122" t="str">
        <f ca="1">IF($C44="S",REFERENCIA.Descricao,"(digite a descrição aqui)")</f>
        <v>(abra o arquivo 'Referência 02-2025.xlsm)</v>
      </c>
      <c r="S44" s="123" t="str">
        <f ca="1">REFERENCIA.Unidade</f>
        <v>-</v>
      </c>
      <c r="T44" s="124">
        <f ca="1">OFFSET(CÁLCULO!H$15,ROW($T44)-ROW(T$15),0)</f>
        <v>762.7</v>
      </c>
      <c r="U44" s="125">
        <f t="shared" ca="1" si="17"/>
        <v>0</v>
      </c>
      <c r="V44" s="126" t="s">
        <v>156</v>
      </c>
      <c r="W44" s="124">
        <f ca="1">IF($C44="S",ROUND(IF(TIPOORCAMENTO="Proposto",ORÇAMENTO.CustoUnitario*(1+$AH44),ORÇAMENTO.PrecoUnitarioLicitado),15-13*$AF$10),0)</f>
        <v>0</v>
      </c>
      <c r="X44" s="127">
        <f ca="1">IF($C44="S",IF(Import.TipoArredondamento&lt;&gt;"TransfereGOV",VTOTAL1,SUM(OFFSET(CÁLCULO!$AA$15,ROW($X44)-ROW($X$15),1):OFFSET(CÁLCULO!$AL$15,ROW($X44)-ROW($X$15),-1))),IF($C44=0,0,ROUND(SomaAgrup,15-13*$AF$11)))</f>
        <v>0</v>
      </c>
      <c r="Y44" s="128" t="s">
        <v>245</v>
      </c>
      <c r="Z44" t="str">
        <f t="shared" ca="1" si="13"/>
        <v/>
      </c>
      <c r="AA44" s="129">
        <f ca="1">IF($C44="S",IF($Z44="CP",$X44,IF($Z44="RA",(($X44)*QCI!$AA$3),0)),SomaAgrup)</f>
        <v>0</v>
      </c>
      <c r="AB44" s="130">
        <f t="shared" ca="1" si="14"/>
        <v>0</v>
      </c>
      <c r="AC44" s="131" t="str">
        <f ca="1">IF($N44="","",IF(ORÇAMENTO.Descricao="","DESCRIÇÃO",IF(AND($C44="S",ORÇAMENTO.Unidade=""),"UNIDADE",IF($X44&lt;0,"VALOR NEGATIVO",IF(OR(AND(TIPOORCAMENTO="Proposto",$AG44&lt;&gt;"",$AG44&gt;0,ORÇAMENTO.CustoUnitario&gt;$AG44),AND(TIPOORCAMENTO="LICITADO",ORÇAMENTO.PrecoUnitarioLicitado&gt;$AN44)),"ACIMA REF.","")))))</f>
        <v/>
      </c>
      <c r="AD44" t="str">
        <f ca="1">IF(C44&lt;=CRONO.NivelExibicao,MAX($AD$15:OFFSET(AD44,-1,0))+IF($C44&lt;&gt;1,1,MAX(1,COUNTIF(QCI!$A$13:$A$24,OFFSET($E44,-1,0)))),"")</f>
        <v/>
      </c>
      <c r="AE44" s="7" t="str">
        <f ca="1">IF(AND($C44="S",ORÇAMENTO.CodBarra&lt;&gt;""),IF(ORÇAMENTO.Fonte="",ORÇAMENTO.CodBarra,CONCATENATE(ORÇAMENTO.Fonte," ",ORÇAMENTO.CodBarra)))</f>
        <v>SINAPI 104918</v>
      </c>
      <c r="AF44" s="13" t="str">
        <f ca="1">IF(ISERROR(INDIRECT(ORÇAMENTO.BancoRef)),"(abra o arquivo 'Referência "&amp;Excel_BuiltIn_Database&amp;".xlsm)",IF(OR($C44&lt;&gt;"S",ORÇAMENTO.CodBarra=""),"(Sem Código)",IF(ISERROR(MATCH($AE44,INDIRECT(ORÇAMENTO.BancoRef),0)),"(Código não identificado nas referências)",MATCH($AE44,INDIRECT(ORÇAMENTO.BancoRef),0))))</f>
        <v>(abra o arquivo 'Referência 02-2025.xlsm)</v>
      </c>
      <c r="AG44" s="498">
        <f ca="1">ROUND(IF(DESONERACAO="sim",REFERENCIA.Desonerado,REFERENCIA.NaoDesonerado),2)</f>
        <v>0</v>
      </c>
      <c r="AH44" s="499">
        <f t="shared" ca="1" si="15"/>
        <v>0.22470000000000001</v>
      </c>
      <c r="AJ44" s="501">
        <v>762.7</v>
      </c>
      <c r="AL44" s="527"/>
      <c r="AM44" s="381">
        <f t="shared" ca="1" si="0"/>
        <v>0</v>
      </c>
      <c r="AN44" s="566">
        <f t="shared" ca="1" si="16"/>
        <v>0</v>
      </c>
    </row>
    <row r="45" spans="1:40" ht="25.5" x14ac:dyDescent="0.2">
      <c r="A45" t="str">
        <f t="shared" si="1"/>
        <v>S</v>
      </c>
      <c r="B45">
        <f t="shared" ca="1" si="2"/>
        <v>3</v>
      </c>
      <c r="C45" t="str">
        <f t="shared" ca="1" si="3"/>
        <v>S</v>
      </c>
      <c r="D45">
        <f t="shared" ca="1" si="4"/>
        <v>0</v>
      </c>
      <c r="E45">
        <f ca="1">IF($C45=1,OFFSET(E45,-1,0)+MAX(1,COUNTIF(QCI!$A$13:$A$24,OFFSET(ORÇAMENTO!E45,-1,0))),OFFSET(E45,-1,0))</f>
        <v>1</v>
      </c>
      <c r="F45">
        <f t="shared" ca="1" si="5"/>
        <v>3</v>
      </c>
      <c r="G45">
        <f t="shared" ca="1" si="6"/>
        <v>2</v>
      </c>
      <c r="H45">
        <f t="shared" ca="1" si="7"/>
        <v>0</v>
      </c>
      <c r="I45">
        <f t="shared" ca="1" si="8"/>
        <v>0</v>
      </c>
      <c r="J45">
        <f t="shared" ca="1" si="9"/>
        <v>0</v>
      </c>
      <c r="K45">
        <f ca="1">IF(OR($C45="S",$C45=0),0,MATCH(OFFSET($D45,0,$C45)+IF($C45&lt;&gt;1,1,COUNTIF(QCI!$A$13:$A$24,ORÇAMENTO!E45)),OFFSET($D45,1,$C45,ROW($C$747)-ROW($C45)),0))</f>
        <v>0</v>
      </c>
      <c r="L45" s="116" t="str">
        <f t="shared" ca="1" si="10"/>
        <v/>
      </c>
      <c r="M45" s="117" t="s">
        <v>199</v>
      </c>
      <c r="N45" s="118" t="str">
        <f t="shared" ca="1" si="11"/>
        <v>Serviço</v>
      </c>
      <c r="O45" s="119" t="str">
        <f t="shared" ca="1" si="12"/>
        <v>-</v>
      </c>
      <c r="P45" s="120" t="s">
        <v>247</v>
      </c>
      <c r="Q45" s="121" t="s">
        <v>459</v>
      </c>
      <c r="R45" s="122" t="str">
        <f ca="1">IF($C45="S",REFERENCIA.Descricao,"(digite a descrição aqui)")</f>
        <v>(abra o arquivo 'Referência 02-2025.xlsm)</v>
      </c>
      <c r="S45" s="123" t="str">
        <f ca="1">REFERENCIA.Unidade</f>
        <v>-</v>
      </c>
      <c r="T45" s="124">
        <f ca="1">OFFSET(CÁLCULO!H$15,ROW($T45)-ROW(T$15),0)</f>
        <v>54.16</v>
      </c>
      <c r="U45" s="125">
        <f t="shared" ca="1" si="17"/>
        <v>0</v>
      </c>
      <c r="V45" s="126" t="s">
        <v>156</v>
      </c>
      <c r="W45" s="124">
        <f ca="1">IF($C45="S",ROUND(IF(TIPOORCAMENTO="Proposto",ORÇAMENTO.CustoUnitario*(1+$AH45),ORÇAMENTO.PrecoUnitarioLicitado),15-13*$AF$10),0)</f>
        <v>0</v>
      </c>
      <c r="X45" s="127">
        <f ca="1">IF($C45="S",IF(Import.TipoArredondamento&lt;&gt;"TransfereGOV",VTOTAL1,SUM(OFFSET(CÁLCULO!$AA$15,ROW($X45)-ROW($X$15),1):OFFSET(CÁLCULO!$AL$15,ROW($X45)-ROW($X$15),-1))),IF($C45=0,0,ROUND(SomaAgrup,15-13*$AF$11)))</f>
        <v>0</v>
      </c>
      <c r="Y45" s="128" t="s">
        <v>245</v>
      </c>
      <c r="Z45" t="str">
        <f t="shared" ca="1" si="13"/>
        <v/>
      </c>
      <c r="AA45" s="129">
        <f ca="1">IF($C45="S",IF($Z45="CP",$X45,IF($Z45="RA",(($X45)*QCI!$AA$3),0)),SomaAgrup)</f>
        <v>0</v>
      </c>
      <c r="AB45" s="130">
        <f t="shared" ca="1" si="14"/>
        <v>0</v>
      </c>
      <c r="AC45" s="131" t="str">
        <f ca="1">IF($N45="","",IF(ORÇAMENTO.Descricao="","DESCRIÇÃO",IF(AND($C45="S",ORÇAMENTO.Unidade=""),"UNIDADE",IF($X45&lt;0,"VALOR NEGATIVO",IF(OR(AND(TIPOORCAMENTO="Proposto",$AG45&lt;&gt;"",$AG45&gt;0,ORÇAMENTO.CustoUnitario&gt;$AG45),AND(TIPOORCAMENTO="LICITADO",ORÇAMENTO.PrecoUnitarioLicitado&gt;$AN45)),"ACIMA REF.","")))))</f>
        <v/>
      </c>
      <c r="AD45" t="str">
        <f ca="1">IF(C45&lt;=CRONO.NivelExibicao,MAX($AD$15:OFFSET(AD45,-1,0))+IF($C45&lt;&gt;1,1,MAX(1,COUNTIF(QCI!$A$13:$A$24,OFFSET($E45,-1,0)))),"")</f>
        <v/>
      </c>
      <c r="AE45" s="7" t="str">
        <f ca="1">IF(AND($C45="S",ORÇAMENTO.CodBarra&lt;&gt;""),IF(ORÇAMENTO.Fonte="",ORÇAMENTO.CodBarra,CONCATENATE(ORÇAMENTO.Fonte," ",ORÇAMENTO.CodBarra)))</f>
        <v>SINAPI 104919</v>
      </c>
      <c r="AF45" s="13" t="str">
        <f ca="1">IF(ISERROR(INDIRECT(ORÇAMENTO.BancoRef)),"(abra o arquivo 'Referência "&amp;Excel_BuiltIn_Database&amp;".xlsm)",IF(OR($C45&lt;&gt;"S",ORÇAMENTO.CodBarra=""),"(Sem Código)",IF(ISERROR(MATCH($AE45,INDIRECT(ORÇAMENTO.BancoRef),0)),"(Código não identificado nas referências)",MATCH($AE45,INDIRECT(ORÇAMENTO.BancoRef),0))))</f>
        <v>(abra o arquivo 'Referência 02-2025.xlsm)</v>
      </c>
      <c r="AG45" s="498">
        <f ca="1">ROUND(IF(DESONERACAO="sim",REFERENCIA.Desonerado,REFERENCIA.NaoDesonerado),2)</f>
        <v>0</v>
      </c>
      <c r="AH45" s="499">
        <f t="shared" ca="1" si="15"/>
        <v>0.22470000000000001</v>
      </c>
      <c r="AJ45" s="501">
        <v>54.16</v>
      </c>
      <c r="AL45" s="527"/>
      <c r="AM45" s="381">
        <f t="shared" ca="1" si="0"/>
        <v>0</v>
      </c>
      <c r="AN45" s="566">
        <f t="shared" ca="1" si="16"/>
        <v>0</v>
      </c>
    </row>
    <row r="46" spans="1:40" ht="25.5" x14ac:dyDescent="0.2">
      <c r="A46" t="str">
        <f t="shared" si="1"/>
        <v>S</v>
      </c>
      <c r="B46">
        <f t="shared" ca="1" si="2"/>
        <v>3</v>
      </c>
      <c r="C46" t="str">
        <f t="shared" ca="1" si="3"/>
        <v>S</v>
      </c>
      <c r="D46">
        <f t="shared" ca="1" si="4"/>
        <v>0</v>
      </c>
      <c r="E46">
        <f ca="1">IF($C46=1,OFFSET(E46,-1,0)+MAX(1,COUNTIF(QCI!$A$13:$A$24,OFFSET(ORÇAMENTO!E46,-1,0))),OFFSET(E46,-1,0))</f>
        <v>1</v>
      </c>
      <c r="F46">
        <f t="shared" ca="1" si="5"/>
        <v>3</v>
      </c>
      <c r="G46">
        <f t="shared" ca="1" si="6"/>
        <v>2</v>
      </c>
      <c r="H46">
        <f t="shared" ca="1" si="7"/>
        <v>0</v>
      </c>
      <c r="I46">
        <f t="shared" ca="1" si="8"/>
        <v>0</v>
      </c>
      <c r="J46">
        <f t="shared" ca="1" si="9"/>
        <v>0</v>
      </c>
      <c r="K46">
        <f ca="1">IF(OR($C46="S",$C46=0),0,MATCH(OFFSET($D46,0,$C46)+IF($C46&lt;&gt;1,1,COUNTIF(QCI!$A$13:$A$24,ORÇAMENTO!E46)),OFFSET($D46,1,$C46,ROW($C$747)-ROW($C46)),0))</f>
        <v>0</v>
      </c>
      <c r="L46" s="116" t="str">
        <f t="shared" ca="1" si="10"/>
        <v/>
      </c>
      <c r="M46" s="117" t="s">
        <v>199</v>
      </c>
      <c r="N46" s="118" t="str">
        <f t="shared" ca="1" si="11"/>
        <v>Serviço</v>
      </c>
      <c r="O46" s="119" t="str">
        <f t="shared" ca="1" si="12"/>
        <v>-</v>
      </c>
      <c r="P46" s="120" t="s">
        <v>247</v>
      </c>
      <c r="Q46" s="121" t="s">
        <v>1005</v>
      </c>
      <c r="R46" s="122" t="str">
        <f ca="1">IF($C46="S",REFERENCIA.Descricao,"(digite a descrição aqui)")</f>
        <v>(abra o arquivo 'Referência 02-2025.xlsm)</v>
      </c>
      <c r="S46" s="123" t="str">
        <f ca="1">REFERENCIA.Unidade</f>
        <v>-</v>
      </c>
      <c r="T46" s="124">
        <f ca="1">OFFSET(CÁLCULO!H$15,ROW($T46)-ROW(T$15),0)</f>
        <v>16.11</v>
      </c>
      <c r="U46" s="125">
        <f t="shared" ca="1" si="17"/>
        <v>0</v>
      </c>
      <c r="V46" s="126" t="s">
        <v>156</v>
      </c>
      <c r="W46" s="124">
        <f ca="1">IF($C46="S",ROUND(IF(TIPOORCAMENTO="Proposto",ORÇAMENTO.CustoUnitario*(1+$AH46),ORÇAMENTO.PrecoUnitarioLicitado),15-13*$AF$10),0)</f>
        <v>0</v>
      </c>
      <c r="X46" s="127">
        <f ca="1">IF($C46="S",IF(Import.TipoArredondamento&lt;&gt;"TransfereGOV",VTOTAL1,SUM(OFFSET(CÁLCULO!$AA$15,ROW($X46)-ROW($X$15),1):OFFSET(CÁLCULO!$AL$15,ROW($X46)-ROW($X$15),-1))),IF($C46=0,0,ROUND(SomaAgrup,15-13*$AF$11)))</f>
        <v>0</v>
      </c>
      <c r="Y46" s="128" t="s">
        <v>245</v>
      </c>
      <c r="Z46" t="str">
        <f t="shared" ca="1" si="13"/>
        <v/>
      </c>
      <c r="AA46" s="129">
        <f ca="1">IF($C46="S",IF($Z46="CP",$X46,IF($Z46="RA",(($X46)*QCI!$AA$3),0)),SomaAgrup)</f>
        <v>0</v>
      </c>
      <c r="AB46" s="130">
        <f t="shared" ca="1" si="14"/>
        <v>0</v>
      </c>
      <c r="AC46" s="131" t="str">
        <f ca="1">IF($N46="","",IF(ORÇAMENTO.Descricao="","DESCRIÇÃO",IF(AND($C46="S",ORÇAMENTO.Unidade=""),"UNIDADE",IF($X46&lt;0,"VALOR NEGATIVO",IF(OR(AND(TIPOORCAMENTO="Proposto",$AG46&lt;&gt;"",$AG46&gt;0,ORÇAMENTO.CustoUnitario&gt;$AG46),AND(TIPOORCAMENTO="LICITADO",ORÇAMENTO.PrecoUnitarioLicitado&gt;$AN46)),"ACIMA REF.","")))))</f>
        <v/>
      </c>
      <c r="AD46" t="str">
        <f ca="1">IF(C46&lt;=CRONO.NivelExibicao,MAX($AD$15:OFFSET(AD46,-1,0))+IF($C46&lt;&gt;1,1,MAX(1,COUNTIF(QCI!$A$13:$A$24,OFFSET($E46,-1,0)))),"")</f>
        <v/>
      </c>
      <c r="AE46" s="7" t="str">
        <f ca="1">IF(AND($C46="S",ORÇAMENTO.CodBarra&lt;&gt;""),IF(ORÇAMENTO.Fonte="",ORÇAMENTO.CodBarra,CONCATENATE(ORÇAMENTO.Fonte," ",ORÇAMENTO.CodBarra)))</f>
        <v>SINAPI 104916</v>
      </c>
      <c r="AF46" s="13" t="str">
        <f ca="1">IF(ISERROR(INDIRECT(ORÇAMENTO.BancoRef)),"(abra o arquivo 'Referência "&amp;Excel_BuiltIn_Database&amp;".xlsm)",IF(OR($C46&lt;&gt;"S",ORÇAMENTO.CodBarra=""),"(Sem Código)",IF(ISERROR(MATCH($AE46,INDIRECT(ORÇAMENTO.BancoRef),0)),"(Código não identificado nas referências)",MATCH($AE46,INDIRECT(ORÇAMENTO.BancoRef),0))))</f>
        <v>(abra o arquivo 'Referência 02-2025.xlsm)</v>
      </c>
      <c r="AG46" s="498">
        <f ca="1">ROUND(IF(DESONERACAO="sim",REFERENCIA.Desonerado,REFERENCIA.NaoDesonerado),2)</f>
        <v>0</v>
      </c>
      <c r="AH46" s="499">
        <f t="shared" ca="1" si="15"/>
        <v>0.22470000000000001</v>
      </c>
      <c r="AJ46" s="501">
        <v>16.11</v>
      </c>
      <c r="AL46" s="527"/>
      <c r="AM46" s="381">
        <f t="shared" ca="1" si="0"/>
        <v>0</v>
      </c>
      <c r="AN46" s="566">
        <f t="shared" ca="1" si="16"/>
        <v>0</v>
      </c>
    </row>
    <row r="47" spans="1:40" ht="25.5" x14ac:dyDescent="0.2">
      <c r="A47" t="str">
        <f>CHOOSE(1+LOG(1+2*(ORÇAMENTO.Nivel="Meta")+4*(ORÇAMENTO.Nivel="Nível 2")+8*(ORÇAMENTO.Nivel="Nível 3")+16*(ORÇAMENTO.Nivel="Nível 4")+32*(ORÇAMENTO.Nivel="Serviço"),2),0,1,2,3,4,"S")</f>
        <v>S</v>
      </c>
      <c r="B47">
        <f ca="1">IF(OR(C47="s",C47=0),OFFSET(B47,-1,0),C47)</f>
        <v>3</v>
      </c>
      <c r="C47" t="str">
        <f ca="1">IF(OFFSET(C47,-1,0)="L",1,IF(OFFSET(C47,-1,0)=1,2,IF(OR(A47="s",A47=0),"S",IF(AND(OFFSET(C47,-1,0)=2,A47=4),3,IF(AND(OR(OFFSET(C47,-1,0)="s",OFFSET(C47,-1,0)=0),A47&lt;&gt;"s",A47&gt;OFFSET(B47,-1,0)),OFFSET(B47,-1,0),A47)))))</f>
        <v>S</v>
      </c>
      <c r="D47">
        <f ca="1">IF(OR(C47="S",C47=0),0,IF(ISERROR(K47),J47,SMALL(J47:K47,1)))</f>
        <v>0</v>
      </c>
      <c r="E47">
        <f ca="1">IF($C47=1,OFFSET(E47,-1,0)+MAX(1,COUNTIF(QCI!$A$13:$A$24,OFFSET(ORÇAMENTO!E47,-1,0))),OFFSET(E47,-1,0))</f>
        <v>1</v>
      </c>
      <c r="F47">
        <f ca="1">IF($C47=1,0,IF($C47=2,OFFSET(F47,-1,0)+1,OFFSET(F47,-1,0)))</f>
        <v>3</v>
      </c>
      <c r="G47">
        <f ca="1">IF(AND($C47&lt;=2,$C47&lt;&gt;0),0,IF($C47=3,OFFSET(G47,-1,0)+1,OFFSET(G47,-1,0)))</f>
        <v>2</v>
      </c>
      <c r="H47">
        <f ca="1">IF(AND($C47&lt;=3,$C47&lt;&gt;0),0,IF($C47=4,OFFSET(H47,-1,0)+1,OFFSET(H47,-1,0)))</f>
        <v>0</v>
      </c>
      <c r="I47">
        <f ca="1">IF(AND($C47&lt;=4,$C47&lt;&gt;0),0,IF(AND($C47="S",$X47&gt;0),OFFSET(I47,-1,0)+1,OFFSET(I47,-1,0)))</f>
        <v>0</v>
      </c>
      <c r="J47">
        <f t="shared" ca="1" si="9"/>
        <v>0</v>
      </c>
      <c r="K47">
        <f ca="1">IF(OR($C47="S",$C47=0),0,MATCH(OFFSET($D47,0,$C47)+IF($C47&lt;&gt;1,1,COUNTIF(QCI!$A$13:$A$24,ORÇAMENTO!E47)),OFFSET($D47,1,$C47,ROW($C$747)-ROW($C47)),0))</f>
        <v>0</v>
      </c>
      <c r="L47" s="116" t="str">
        <f ca="1">IF(OR($X47&gt;0,$C47=1,$C47=2,$C47=3,$C47=4),"F","")</f>
        <v/>
      </c>
      <c r="M47" s="117" t="s">
        <v>199</v>
      </c>
      <c r="N47" s="118" t="str">
        <f ca="1">CHOOSE(1+LOG(1+2*(C47=1)+4*(C47=2)+8*(C47=3)+16*(C47=4)+32*(C47="S"),2),"","Meta","Nível 2","Nível 3","Nível 4","Serviço")</f>
        <v>Serviço</v>
      </c>
      <c r="O47" s="119" t="str">
        <f ca="1">IF(OR($C47=0,$L47=""),"-",CONCATENATE(E47&amp;".",IF(AND($A$5&gt;=2,$C47&gt;=2),F47&amp;".",""),IF(AND($A$5&gt;=3,$C47&gt;=3),G47&amp;".",""),IF(AND($A$5&gt;=4,$C47&gt;=4),H47&amp;".",""),IF($C47="S",I47&amp;".","")))</f>
        <v>-</v>
      </c>
      <c r="P47" s="120" t="s">
        <v>247</v>
      </c>
      <c r="Q47" s="121" t="s">
        <v>456</v>
      </c>
      <c r="R47" s="122" t="str">
        <f ca="1">IF($C47="S",REFERENCIA.Descricao,"(digite a descrição aqui)")</f>
        <v>(abra o arquivo 'Referência 02-2025.xlsm)</v>
      </c>
      <c r="S47" s="123" t="str">
        <f ca="1">REFERENCIA.Unidade</f>
        <v>-</v>
      </c>
      <c r="T47" s="124">
        <f ca="1">OFFSET(CÁLCULO!H$15,ROW($T47)-ROW(T$15),0)</f>
        <v>3.38</v>
      </c>
      <c r="U47" s="125">
        <f t="shared" ca="1" si="17"/>
        <v>0</v>
      </c>
      <c r="V47" s="126" t="s">
        <v>156</v>
      </c>
      <c r="W47" s="124">
        <f ca="1">IF($C47="S",ROUND(IF(TIPOORCAMENTO="Proposto",ORÇAMENTO.CustoUnitario*(1+$AH47),ORÇAMENTO.PrecoUnitarioLicitado),15-13*$AF$10),0)</f>
        <v>0</v>
      </c>
      <c r="X47" s="127">
        <f ca="1">IF($C47="S",IF(Import.TipoArredondamento&lt;&gt;"TransfereGOV",VTOTAL1,SUM(OFFSET(CÁLCULO!$AA$15,ROW($X47)-ROW($X$15),1):OFFSET(CÁLCULO!$AL$15,ROW($X47)-ROW($X$15),-1))),IF($C47=0,0,ROUND(SomaAgrup,15-13*$AF$11)))</f>
        <v>0</v>
      </c>
      <c r="Y47" s="128" t="s">
        <v>245</v>
      </c>
      <c r="Z47" t="str">
        <f ca="1">IF(AND($C47="S",$X47&gt;0),IF(ISBLANK($Y47),"RA",LEFT($Y47,2)),"")</f>
        <v/>
      </c>
      <c r="AA47" s="129">
        <f ca="1">IF($C47="S",IF($Z47="CP",$X47,IF($Z47="RA",(($X47)*QCI!$AA$3),0)),SomaAgrup)</f>
        <v>0</v>
      </c>
      <c r="AB47" s="130">
        <f ca="1">IF($C47="S",IF($Z47="OU",ROUND($X47,2),0),SomaAgrup)</f>
        <v>0</v>
      </c>
      <c r="AC47" s="131" t="str">
        <f ca="1">IF($N47="","",IF(ORÇAMENTO.Descricao="","DESCRIÇÃO",IF(AND($C47="S",ORÇAMENTO.Unidade=""),"UNIDADE",IF($X47&lt;0,"VALOR NEGATIVO",IF(OR(AND(TIPOORCAMENTO="Proposto",$AG47&lt;&gt;"",$AG47&gt;0,ORÇAMENTO.CustoUnitario&gt;$AG47),AND(TIPOORCAMENTO="LICITADO",ORÇAMENTO.PrecoUnitarioLicitado&gt;$AN47)),"ACIMA REF.","")))))</f>
        <v/>
      </c>
      <c r="AD47" t="str">
        <f ca="1">IF(C47&lt;=CRONO.NivelExibicao,MAX($AD$15:OFFSET(AD47,-1,0))+IF($C47&lt;&gt;1,1,MAX(1,COUNTIF(QCI!$A$13:$A$24,OFFSET($E47,-1,0)))),"")</f>
        <v/>
      </c>
      <c r="AE47" s="7" t="str">
        <f ca="1">IF(AND($C47="S",ORÇAMENTO.CodBarra&lt;&gt;""),IF(ORÇAMENTO.Fonte="",ORÇAMENTO.CodBarra,CONCATENATE(ORÇAMENTO.Fonte," ",ORÇAMENTO.CodBarra)))</f>
        <v>SINAPI 96558</v>
      </c>
      <c r="AF47" s="13" t="str">
        <f ca="1">IF(ISERROR(INDIRECT(ORÇAMENTO.BancoRef)),"(abra o arquivo 'Referência "&amp;Excel_BuiltIn_Database&amp;".xlsm)",IF(OR($C47&lt;&gt;"S",ORÇAMENTO.CodBarra=""),"(Sem Código)",IF(ISERROR(MATCH($AE47,INDIRECT(ORÇAMENTO.BancoRef),0)),"(Código não identificado nas referências)",MATCH($AE47,INDIRECT(ORÇAMENTO.BancoRef),0))))</f>
        <v>(abra o arquivo 'Referência 02-2025.xlsm)</v>
      </c>
      <c r="AG47" s="498">
        <f ca="1">ROUND(IF(DESONERACAO="sim",REFERENCIA.Desonerado,REFERENCIA.NaoDesonerado),2)</f>
        <v>0</v>
      </c>
      <c r="AH47" s="499">
        <f ca="1">ROUND(IF(ISNUMBER(ORÇAMENTO.OpcaoBDI),ORÇAMENTO.OpcaoBDI,IF(LEFT(ORÇAMENTO.OpcaoBDI,3)="BDI",HLOOKUP(ORÇAMENTO.OpcaoBDI,$F$4:$H$5,2,FALSE),0)),15-11*$AF$9)</f>
        <v>0.22470000000000001</v>
      </c>
      <c r="AJ47" s="501">
        <v>3.38</v>
      </c>
      <c r="AL47" s="527"/>
      <c r="AM47" s="381">
        <f t="shared" ca="1" si="0"/>
        <v>0</v>
      </c>
      <c r="AN47" s="566">
        <f ca="1">ROUND(ORÇAMENTO.CustoUnitario*(1+$AH47),2)</f>
        <v>0</v>
      </c>
    </row>
    <row r="48" spans="1:40" x14ac:dyDescent="0.2">
      <c r="A48">
        <f t="shared" si="1"/>
        <v>3</v>
      </c>
      <c r="B48">
        <f t="shared" ca="1" si="2"/>
        <v>3</v>
      </c>
      <c r="C48">
        <f t="shared" ca="1" si="3"/>
        <v>3</v>
      </c>
      <c r="D48">
        <f t="shared" ca="1" si="4"/>
        <v>11</v>
      </c>
      <c r="E48">
        <f ca="1">IF($C48=1,OFFSET(E48,-1,0)+MAX(1,COUNTIF(QCI!$A$13:$A$24,OFFSET(ORÇAMENTO!E48,-1,0))),OFFSET(E48,-1,0))</f>
        <v>1</v>
      </c>
      <c r="F48">
        <f t="shared" ca="1" si="5"/>
        <v>3</v>
      </c>
      <c r="G48">
        <f t="shared" ca="1" si="6"/>
        <v>3</v>
      </c>
      <c r="H48">
        <f t="shared" ca="1" si="7"/>
        <v>0</v>
      </c>
      <c r="I48">
        <f t="shared" ca="1" si="8"/>
        <v>0</v>
      </c>
      <c r="J48">
        <f t="shared" ca="1" si="9"/>
        <v>11</v>
      </c>
      <c r="K48">
        <f ca="1">IF(OR($C48="S",$C48=0),0,MATCH(OFFSET($D48,0,$C48)+IF($C48&lt;&gt;1,1,COUNTIF(QCI!$A$13:$A$24,ORÇAMENTO!E48)),OFFSET($D48,1,$C48,ROW($C$747)-ROW($C48)),0))</f>
        <v>38</v>
      </c>
      <c r="L48" s="116" t="str">
        <f t="shared" ca="1" si="10"/>
        <v>F</v>
      </c>
      <c r="M48" s="117" t="s">
        <v>197</v>
      </c>
      <c r="N48" s="118" t="str">
        <f t="shared" ca="1" si="11"/>
        <v>Nível 3</v>
      </c>
      <c r="O48" s="119" t="str">
        <f t="shared" ca="1" si="12"/>
        <v>1.3.3.</v>
      </c>
      <c r="P48" s="120" t="s">
        <v>247</v>
      </c>
      <c r="Q48" s="121"/>
      <c r="R48" s="122" t="str">
        <f ca="1">IF($C48="S",REFERENCIA.Descricao,"CONCRETO ARMADO PARA BLOCOS")</f>
        <v>CONCRETO ARMADO PARA BLOCOS</v>
      </c>
      <c r="S48" s="123" t="str">
        <f ca="1">REFERENCIA.Unidade</f>
        <v>-</v>
      </c>
      <c r="T48" s="124">
        <f ca="1">OFFSET(CÁLCULO!H$15,ROW($T48)-ROW(T$15),0)</f>
        <v>0</v>
      </c>
      <c r="U48" s="125">
        <f t="shared" ca="1" si="17"/>
        <v>0</v>
      </c>
      <c r="V48" s="126" t="s">
        <v>156</v>
      </c>
      <c r="W48" s="124">
        <f ca="1">IF($C48="S",ROUND(IF(TIPOORCAMENTO="Proposto",ORÇAMENTO.CustoUnitario*(1+$AH48),ORÇAMENTO.PrecoUnitarioLicitado),15-13*$AF$10),0)</f>
        <v>0</v>
      </c>
      <c r="X48" s="127">
        <f ca="1">IF($C48="S",IF(Import.TipoArredondamento&lt;&gt;"TransfereGOV",VTOTAL1,SUM(OFFSET(CÁLCULO!$AA$15,ROW($X48)-ROW($X$15),1):OFFSET(CÁLCULO!$AL$15,ROW($X48)-ROW($X$15),-1))),IF($C48=0,0,ROUND(SomaAgrup,15-13*$AF$11)))</f>
        <v>0</v>
      </c>
      <c r="Y48" s="128" t="s">
        <v>245</v>
      </c>
      <c r="Z48" t="str">
        <f t="shared" ca="1" si="13"/>
        <v/>
      </c>
      <c r="AA48" s="129">
        <f ca="1">IF($C48="S",IF($Z48="CP",$X48,IF($Z48="RA",(($X48)*QCI!$AA$3),0)),SomaAgrup)</f>
        <v>0</v>
      </c>
      <c r="AB48" s="130">
        <f t="shared" ca="1" si="14"/>
        <v>0</v>
      </c>
      <c r="AC48" s="131" t="str">
        <f ca="1">IF($N48="","",IF(ORÇAMENTO.Descricao="","DESCRIÇÃO",IF(AND($C48="S",ORÇAMENTO.Unidade=""),"UNIDADE",IF($X48&lt;0,"VALOR NEGATIVO",IF(OR(AND(TIPOORCAMENTO="Proposto",$AG48&lt;&gt;"",$AG48&gt;0,ORÇAMENTO.CustoUnitario&gt;$AG48),AND(TIPOORCAMENTO="LICITADO",ORÇAMENTO.PrecoUnitarioLicitado&gt;$AN48)),"ACIMA REF.","")))))</f>
        <v/>
      </c>
      <c r="AD48" t="str">
        <f ca="1">IF(C48&lt;=CRONO.NivelExibicao,MAX($AD$15:OFFSET(AD48,-1,0))+IF($C48&lt;&gt;1,1,MAX(1,COUNTIF(QCI!$A$13:$A$24,OFFSET($E48,-1,0)))),"")</f>
        <v/>
      </c>
      <c r="AE48" s="7" t="b">
        <f ca="1">IF(AND($C48="S",ORÇAMENTO.CodBarra&lt;&gt;""),IF(ORÇAMENTO.Fonte="",ORÇAMENTO.CodBarra,CONCATENATE(ORÇAMENTO.Fonte," ",ORÇAMENTO.CodBarra)))</f>
        <v>0</v>
      </c>
      <c r="AF48" s="13" t="str">
        <f ca="1">IF(ISERROR(INDIRECT(ORÇAMENTO.BancoRef)),"(abra o arquivo 'Referência "&amp;Excel_BuiltIn_Database&amp;".xlsm)",IF(OR($C48&lt;&gt;"S",ORÇAMENTO.CodBarra=""),"(Sem Código)",IF(ISERROR(MATCH($AE48,INDIRECT(ORÇAMENTO.BancoRef),0)),"(Código não identificado nas referências)",MATCH($AE48,INDIRECT(ORÇAMENTO.BancoRef),0))))</f>
        <v>(abra o arquivo 'Referência 02-2025.xlsm)</v>
      </c>
      <c r="AG48" s="498">
        <f ca="1">ROUND(IF(DESONERACAO="sim",REFERENCIA.Desonerado,REFERENCIA.NaoDesonerado),2)</f>
        <v>0</v>
      </c>
      <c r="AH48" s="499">
        <f t="shared" ca="1" si="15"/>
        <v>0.22470000000000001</v>
      </c>
      <c r="AJ48" s="501"/>
      <c r="AL48" s="527"/>
      <c r="AM48" s="381">
        <f t="shared" ca="1" si="0"/>
        <v>0</v>
      </c>
      <c r="AN48" s="566">
        <f t="shared" ca="1" si="16"/>
        <v>0</v>
      </c>
    </row>
    <row r="49" spans="1:40" ht="25.5" x14ac:dyDescent="0.2">
      <c r="A49" t="str">
        <f t="shared" si="1"/>
        <v>S</v>
      </c>
      <c r="B49">
        <f t="shared" ca="1" si="2"/>
        <v>3</v>
      </c>
      <c r="C49" t="str">
        <f t="shared" ca="1" si="3"/>
        <v>S</v>
      </c>
      <c r="D49">
        <f t="shared" ca="1" si="4"/>
        <v>0</v>
      </c>
      <c r="E49">
        <f ca="1">IF($C49=1,OFFSET(E49,-1,0)+MAX(1,COUNTIF(QCI!$A$13:$A$24,OFFSET(ORÇAMENTO!E49,-1,0))),OFFSET(E49,-1,0))</f>
        <v>1</v>
      </c>
      <c r="F49">
        <f t="shared" ca="1" si="5"/>
        <v>3</v>
      </c>
      <c r="G49">
        <f t="shared" ca="1" si="6"/>
        <v>3</v>
      </c>
      <c r="H49">
        <f t="shared" ca="1" si="7"/>
        <v>0</v>
      </c>
      <c r="I49">
        <f t="shared" ca="1" si="8"/>
        <v>0</v>
      </c>
      <c r="J49">
        <f t="shared" ca="1" si="9"/>
        <v>0</v>
      </c>
      <c r="K49">
        <f ca="1">IF(OR($C49="S",$C49=0),0,MATCH(OFFSET($D49,0,$C49)+IF($C49&lt;&gt;1,1,COUNTIF(QCI!$A$13:$A$24,ORÇAMENTO!E49)),OFFSET($D49,1,$C49,ROW($C$747)-ROW($C49)),0))</f>
        <v>0</v>
      </c>
      <c r="L49" s="116" t="str">
        <f t="shared" ca="1" si="10"/>
        <v/>
      </c>
      <c r="M49" s="117" t="s">
        <v>199</v>
      </c>
      <c r="N49" s="118" t="str">
        <f t="shared" ca="1" si="11"/>
        <v>Serviço</v>
      </c>
      <c r="O49" s="119" t="str">
        <f t="shared" ca="1" si="12"/>
        <v>-</v>
      </c>
      <c r="P49" s="120" t="s">
        <v>247</v>
      </c>
      <c r="Q49" s="121" t="s">
        <v>1003</v>
      </c>
      <c r="R49" s="122" t="str">
        <f ca="1">IF($C49="S",REFERENCIA.Descricao,"(digite a descrição aqui)")</f>
        <v>(abra o arquivo 'Referência 02-2025.xlsm)</v>
      </c>
      <c r="S49" s="123" t="str">
        <f ca="1">REFERENCIA.Unidade</f>
        <v>-</v>
      </c>
      <c r="T49" s="124">
        <f ca="1">OFFSET(CÁLCULO!H$15,ROW($T49)-ROW(T$15),0)</f>
        <v>20.239999999999998</v>
      </c>
      <c r="U49" s="125">
        <f t="shared" ca="1" si="17"/>
        <v>0</v>
      </c>
      <c r="V49" s="126" t="s">
        <v>156</v>
      </c>
      <c r="W49" s="124">
        <f ca="1">IF($C49="S",ROUND(IF(TIPOORCAMENTO="Proposto",ORÇAMENTO.CustoUnitario*(1+$AH49),ORÇAMENTO.PrecoUnitarioLicitado),15-13*$AF$10),0)</f>
        <v>0</v>
      </c>
      <c r="X49" s="127">
        <f ca="1">IF($C49="S",IF(Import.TipoArredondamento&lt;&gt;"TransfereGOV",VTOTAL1,SUM(OFFSET(CÁLCULO!$AA$15,ROW($X49)-ROW($X$15),1):OFFSET(CÁLCULO!$AL$15,ROW($X49)-ROW($X$15),-1))),IF($C49=0,0,ROUND(SomaAgrup,15-13*$AF$11)))</f>
        <v>0</v>
      </c>
      <c r="Y49" s="128" t="s">
        <v>245</v>
      </c>
      <c r="Z49" t="str">
        <f t="shared" ca="1" si="13"/>
        <v/>
      </c>
      <c r="AA49" s="129">
        <f ca="1">IF($C49="S",IF($Z49="CP",$X49,IF($Z49="RA",(($X49)*QCI!$AA$3),0)),SomaAgrup)</f>
        <v>0</v>
      </c>
      <c r="AB49" s="130">
        <f t="shared" ca="1" si="14"/>
        <v>0</v>
      </c>
      <c r="AC49" s="131" t="str">
        <f ca="1">IF($N49="","",IF(ORÇAMENTO.Descricao="","DESCRIÇÃO",IF(AND($C49="S",ORÇAMENTO.Unidade=""),"UNIDADE",IF($X49&lt;0,"VALOR NEGATIVO",IF(OR(AND(TIPOORCAMENTO="Proposto",$AG49&lt;&gt;"",$AG49&gt;0,ORÇAMENTO.CustoUnitario&gt;$AG49),AND(TIPOORCAMENTO="LICITADO",ORÇAMENTO.PrecoUnitarioLicitado&gt;$AN49)),"ACIMA REF.","")))))</f>
        <v/>
      </c>
      <c r="AD49" t="str">
        <f ca="1">IF(C49&lt;=CRONO.NivelExibicao,MAX($AD$15:OFFSET(AD49,-1,0))+IF($C49&lt;&gt;1,1,MAX(1,COUNTIF(QCI!$A$13:$A$24,OFFSET($E49,-1,0)))),"")</f>
        <v/>
      </c>
      <c r="AE49" s="7" t="str">
        <f ca="1">IF(AND($C49="S",ORÇAMENTO.CodBarra&lt;&gt;""),IF(ORÇAMENTO.Fonte="",ORÇAMENTO.CodBarra,CONCATENATE(ORÇAMENTO.Fonte," ",ORÇAMENTO.CodBarra)))</f>
        <v>SINAPI 96621</v>
      </c>
      <c r="AF49" s="13" t="str">
        <f ca="1">IF(ISERROR(INDIRECT(ORÇAMENTO.BancoRef)),"(abra o arquivo 'Referência "&amp;Excel_BuiltIn_Database&amp;".xlsm)",IF(OR($C49&lt;&gt;"S",ORÇAMENTO.CodBarra=""),"(Sem Código)",IF(ISERROR(MATCH($AE49,INDIRECT(ORÇAMENTO.BancoRef),0)),"(Código não identificado nas referências)",MATCH($AE49,INDIRECT(ORÇAMENTO.BancoRef),0))))</f>
        <v>(abra o arquivo 'Referência 02-2025.xlsm)</v>
      </c>
      <c r="AG49" s="498">
        <f ca="1">ROUND(IF(DESONERACAO="sim",REFERENCIA.Desonerado,REFERENCIA.NaoDesonerado),2)</f>
        <v>0</v>
      </c>
      <c r="AH49" s="499">
        <f t="shared" ca="1" si="15"/>
        <v>0.22470000000000001</v>
      </c>
      <c r="AJ49" s="501">
        <v>20.239999999999998</v>
      </c>
      <c r="AL49" s="527"/>
      <c r="AM49" s="381">
        <f t="shared" ca="1" si="0"/>
        <v>0</v>
      </c>
      <c r="AN49" s="566">
        <f t="shared" ca="1" si="16"/>
        <v>0</v>
      </c>
    </row>
    <row r="50" spans="1:40" ht="25.5" x14ac:dyDescent="0.2">
      <c r="A50" t="str">
        <f t="shared" si="1"/>
        <v>S</v>
      </c>
      <c r="B50">
        <f t="shared" ca="1" si="2"/>
        <v>3</v>
      </c>
      <c r="C50" t="str">
        <f t="shared" ca="1" si="3"/>
        <v>S</v>
      </c>
      <c r="D50">
        <f t="shared" ca="1" si="4"/>
        <v>0</v>
      </c>
      <c r="E50">
        <f ca="1">IF($C50=1,OFFSET(E50,-1,0)+MAX(1,COUNTIF(QCI!$A$13:$A$24,OFFSET(ORÇAMENTO!E50,-1,0))),OFFSET(E50,-1,0))</f>
        <v>1</v>
      </c>
      <c r="F50">
        <f t="shared" ca="1" si="5"/>
        <v>3</v>
      </c>
      <c r="G50">
        <f t="shared" ca="1" si="6"/>
        <v>3</v>
      </c>
      <c r="H50">
        <f t="shared" ca="1" si="7"/>
        <v>0</v>
      </c>
      <c r="I50">
        <f t="shared" ca="1" si="8"/>
        <v>0</v>
      </c>
      <c r="J50">
        <f t="shared" ca="1" si="9"/>
        <v>0</v>
      </c>
      <c r="K50">
        <f ca="1">IF(OR($C50="S",$C50=0),0,MATCH(OFFSET($D50,0,$C50)+IF($C50&lt;&gt;1,1,COUNTIF(QCI!$A$13:$A$24,ORÇAMENTO!E50)),OFFSET($D50,1,$C50,ROW($C$747)-ROW($C50)),0))</f>
        <v>0</v>
      </c>
      <c r="L50" s="116" t="str">
        <f t="shared" ca="1" si="10"/>
        <v/>
      </c>
      <c r="M50" s="117" t="s">
        <v>199</v>
      </c>
      <c r="N50" s="118" t="str">
        <f t="shared" ca="1" si="11"/>
        <v>Serviço</v>
      </c>
      <c r="O50" s="119" t="str">
        <f t="shared" ca="1" si="12"/>
        <v>-</v>
      </c>
      <c r="P50" s="120" t="s">
        <v>247</v>
      </c>
      <c r="Q50" s="121" t="s">
        <v>455</v>
      </c>
      <c r="R50" s="122" t="str">
        <f ca="1">IF($C50="S",REFERENCIA.Descricao,"(digite a descrição aqui)")</f>
        <v>(abra o arquivo 'Referência 02-2025.xlsm)</v>
      </c>
      <c r="S50" s="123" t="str">
        <f ca="1">REFERENCIA.Unidade</f>
        <v>-</v>
      </c>
      <c r="T50" s="124">
        <f ca="1">OFFSET(CÁLCULO!H$15,ROW($T50)-ROW(T$15),0)</f>
        <v>404.84</v>
      </c>
      <c r="U50" s="125">
        <f t="shared" ca="1" si="17"/>
        <v>0</v>
      </c>
      <c r="V50" s="126" t="s">
        <v>156</v>
      </c>
      <c r="W50" s="124">
        <f ca="1">IF($C50="S",ROUND(IF(TIPOORCAMENTO="Proposto",ORÇAMENTO.CustoUnitario*(1+$AH50),ORÇAMENTO.PrecoUnitarioLicitado),15-13*$AF$10),0)</f>
        <v>0</v>
      </c>
      <c r="X50" s="127">
        <f ca="1">IF($C50="S",IF(Import.TipoArredondamento&lt;&gt;"TransfereGOV",VTOTAL1,SUM(OFFSET(CÁLCULO!$AA$15,ROW($X50)-ROW($X$15),1):OFFSET(CÁLCULO!$AL$15,ROW($X50)-ROW($X$15),-1))),IF($C50=0,0,ROUND(SomaAgrup,15-13*$AF$11)))</f>
        <v>0</v>
      </c>
      <c r="Y50" s="128" t="s">
        <v>245</v>
      </c>
      <c r="Z50" t="str">
        <f t="shared" ca="1" si="13"/>
        <v/>
      </c>
      <c r="AA50" s="129">
        <f ca="1">IF($C50="S",IF($Z50="CP",$X50,IF($Z50="RA",(($X50)*QCI!$AA$3),0)),SomaAgrup)</f>
        <v>0</v>
      </c>
      <c r="AB50" s="130">
        <f t="shared" ca="1" si="14"/>
        <v>0</v>
      </c>
      <c r="AC50" s="131" t="str">
        <f ca="1">IF($N50="","",IF(ORÇAMENTO.Descricao="","DESCRIÇÃO",IF(AND($C50="S",ORÇAMENTO.Unidade=""),"UNIDADE",IF($X50&lt;0,"VALOR NEGATIVO",IF(OR(AND(TIPOORCAMENTO="Proposto",$AG50&lt;&gt;"",$AG50&gt;0,ORÇAMENTO.CustoUnitario&gt;$AG50),AND(TIPOORCAMENTO="LICITADO",ORÇAMENTO.PrecoUnitarioLicitado&gt;$AN50)),"ACIMA REF.","")))))</f>
        <v/>
      </c>
      <c r="AD50" t="str">
        <f ca="1">IF(C50&lt;=CRONO.NivelExibicao,MAX($AD$15:OFFSET(AD50,-1,0))+IF($C50&lt;&gt;1,1,MAX(1,COUNTIF(QCI!$A$13:$A$24,OFFSET($E50,-1,0)))),"")</f>
        <v/>
      </c>
      <c r="AE50" s="7" t="str">
        <f ca="1">IF(AND($C50="S",ORÇAMENTO.CodBarra&lt;&gt;""),IF(ORÇAMENTO.Fonte="",ORÇAMENTO.CodBarra,CONCATENATE(ORÇAMENTO.Fonte," ",ORÇAMENTO.CodBarra)))</f>
        <v>SINAPI 96619</v>
      </c>
      <c r="AF50" s="13" t="str">
        <f ca="1">IF(ISERROR(INDIRECT(ORÇAMENTO.BancoRef)),"(abra o arquivo 'Referência "&amp;Excel_BuiltIn_Database&amp;".xlsm)",IF(OR($C50&lt;&gt;"S",ORÇAMENTO.CodBarra=""),"(Sem Código)",IF(ISERROR(MATCH($AE50,INDIRECT(ORÇAMENTO.BancoRef),0)),"(Código não identificado nas referências)",MATCH($AE50,INDIRECT(ORÇAMENTO.BancoRef),0))))</f>
        <v>(abra o arquivo 'Referência 02-2025.xlsm)</v>
      </c>
      <c r="AG50" s="498">
        <f ca="1">ROUND(IF(DESONERACAO="sim",REFERENCIA.Desonerado,REFERENCIA.NaoDesonerado),2)</f>
        <v>0</v>
      </c>
      <c r="AH50" s="499">
        <f t="shared" ca="1" si="15"/>
        <v>0.22470000000000001</v>
      </c>
      <c r="AJ50" s="501">
        <v>404.84</v>
      </c>
      <c r="AL50" s="527"/>
      <c r="AM50" s="381">
        <f t="shared" ca="1" si="0"/>
        <v>0</v>
      </c>
      <c r="AN50" s="566">
        <f t="shared" ca="1" si="16"/>
        <v>0</v>
      </c>
    </row>
    <row r="51" spans="1:40" ht="38.25" x14ac:dyDescent="0.2">
      <c r="A51" t="str">
        <f t="shared" si="1"/>
        <v>S</v>
      </c>
      <c r="B51">
        <f t="shared" ca="1" si="2"/>
        <v>3</v>
      </c>
      <c r="C51" t="str">
        <f t="shared" ca="1" si="3"/>
        <v>S</v>
      </c>
      <c r="D51">
        <f t="shared" ca="1" si="4"/>
        <v>0</v>
      </c>
      <c r="E51">
        <f ca="1">IF($C51=1,OFFSET(E51,-1,0)+MAX(1,COUNTIF(QCI!$A$13:$A$24,OFFSET(ORÇAMENTO!E51,-1,0))),OFFSET(E51,-1,0))</f>
        <v>1</v>
      </c>
      <c r="F51">
        <f t="shared" ca="1" si="5"/>
        <v>3</v>
      </c>
      <c r="G51">
        <f t="shared" ca="1" si="6"/>
        <v>3</v>
      </c>
      <c r="H51">
        <f t="shared" ca="1" si="7"/>
        <v>0</v>
      </c>
      <c r="I51">
        <f t="shared" ca="1" si="8"/>
        <v>0</v>
      </c>
      <c r="J51">
        <f t="shared" ca="1" si="9"/>
        <v>0</v>
      </c>
      <c r="K51">
        <f ca="1">IF(OR($C51="S",$C51=0),0,MATCH(OFFSET($D51,0,$C51)+IF($C51&lt;&gt;1,1,COUNTIF(QCI!$A$13:$A$24,ORÇAMENTO!E51)),OFFSET($D51,1,$C51,ROW($C$747)-ROW($C51)),0))</f>
        <v>0</v>
      </c>
      <c r="L51" s="116" t="str">
        <f t="shared" ca="1" si="10"/>
        <v/>
      </c>
      <c r="M51" s="117" t="s">
        <v>199</v>
      </c>
      <c r="N51" s="118" t="str">
        <f t="shared" ca="1" si="11"/>
        <v>Serviço</v>
      </c>
      <c r="O51" s="119" t="str">
        <f t="shared" ca="1" si="12"/>
        <v>-</v>
      </c>
      <c r="P51" s="120" t="s">
        <v>247</v>
      </c>
      <c r="Q51" s="121" t="s">
        <v>457</v>
      </c>
      <c r="R51" s="122" t="str">
        <f ca="1">IF($C51="S",REFERENCIA.Descricao,"(digite a descrição aqui)")</f>
        <v>(abra o arquivo 'Referência 02-2025.xlsm)</v>
      </c>
      <c r="S51" s="123" t="str">
        <f ca="1">REFERENCIA.Unidade</f>
        <v>-</v>
      </c>
      <c r="T51" s="124">
        <f ca="1">OFFSET(CÁLCULO!H$15,ROW($T51)-ROW(T$15),0)</f>
        <v>311.32</v>
      </c>
      <c r="U51" s="125">
        <f t="shared" ca="1" si="17"/>
        <v>0</v>
      </c>
      <c r="V51" s="126" t="s">
        <v>156</v>
      </c>
      <c r="W51" s="124">
        <f ca="1">IF($C51="S",ROUND(IF(TIPOORCAMENTO="Proposto",ORÇAMENTO.CustoUnitario*(1+$AH51),ORÇAMENTO.PrecoUnitarioLicitado),15-13*$AF$10),0)</f>
        <v>0</v>
      </c>
      <c r="X51" s="127">
        <f ca="1">IF($C51="S",IF(Import.TipoArredondamento&lt;&gt;"TransfereGOV",VTOTAL1,SUM(OFFSET(CÁLCULO!$AA$15,ROW($X51)-ROW($X$15),1):OFFSET(CÁLCULO!$AL$15,ROW($X51)-ROW($X$15),-1))),IF($C51=0,0,ROUND(SomaAgrup,15-13*$AF$11)))</f>
        <v>0</v>
      </c>
      <c r="Y51" s="128" t="s">
        <v>245</v>
      </c>
      <c r="Z51" t="str">
        <f t="shared" ca="1" si="13"/>
        <v/>
      </c>
      <c r="AA51" s="129">
        <f ca="1">IF($C51="S",IF($Z51="CP",$X51,IF($Z51="RA",(($X51)*QCI!$AA$3),0)),SomaAgrup)</f>
        <v>0</v>
      </c>
      <c r="AB51" s="130">
        <f t="shared" ca="1" si="14"/>
        <v>0</v>
      </c>
      <c r="AC51" s="131" t="str">
        <f ca="1">IF($N51="","",IF(ORÇAMENTO.Descricao="","DESCRIÇÃO",IF(AND($C51="S",ORÇAMENTO.Unidade=""),"UNIDADE",IF($X51&lt;0,"VALOR NEGATIVO",IF(OR(AND(TIPOORCAMENTO="Proposto",$AG51&lt;&gt;"",$AG51&gt;0,ORÇAMENTO.CustoUnitario&gt;$AG51),AND(TIPOORCAMENTO="LICITADO",ORÇAMENTO.PrecoUnitarioLicitado&gt;$AN51)),"ACIMA REF.","")))))</f>
        <v/>
      </c>
      <c r="AD51" t="str">
        <f ca="1">IF(C51&lt;=CRONO.NivelExibicao,MAX($AD$15:OFFSET(AD51,-1,0))+IF($C51&lt;&gt;1,1,MAX(1,COUNTIF(QCI!$A$13:$A$24,OFFSET($E51,-1,0)))),"")</f>
        <v/>
      </c>
      <c r="AE51" s="7" t="str">
        <f ca="1">IF(AND($C51="S",ORÇAMENTO.CodBarra&lt;&gt;""),IF(ORÇAMENTO.Fonte="",ORÇAMENTO.CodBarra,CONCATENATE(ORÇAMENTO.Fonte," ",ORÇAMENTO.CodBarra)))</f>
        <v>SINAPI 96534</v>
      </c>
      <c r="AF51" s="13" t="str">
        <f ca="1">IF(ISERROR(INDIRECT(ORÇAMENTO.BancoRef)),"(abra o arquivo 'Referência "&amp;Excel_BuiltIn_Database&amp;".xlsm)",IF(OR($C51&lt;&gt;"S",ORÇAMENTO.CodBarra=""),"(Sem Código)",IF(ISERROR(MATCH($AE51,INDIRECT(ORÇAMENTO.BancoRef),0)),"(Código não identificado nas referências)",MATCH($AE51,INDIRECT(ORÇAMENTO.BancoRef),0))))</f>
        <v>(abra o arquivo 'Referência 02-2025.xlsm)</v>
      </c>
      <c r="AG51" s="498">
        <f ca="1">ROUND(IF(DESONERACAO="sim",REFERENCIA.Desonerado,REFERENCIA.NaoDesonerado),2)</f>
        <v>0</v>
      </c>
      <c r="AH51" s="499">
        <f t="shared" ca="1" si="15"/>
        <v>0.22470000000000001</v>
      </c>
      <c r="AJ51" s="501">
        <v>311.322</v>
      </c>
      <c r="AL51" s="527"/>
      <c r="AM51" s="381">
        <f t="shared" ca="1" si="0"/>
        <v>0</v>
      </c>
      <c r="AN51" s="566">
        <f t="shared" ca="1" si="16"/>
        <v>0</v>
      </c>
    </row>
    <row r="52" spans="1:40" ht="25.5" x14ac:dyDescent="0.2">
      <c r="A52" t="str">
        <f t="shared" si="1"/>
        <v>S</v>
      </c>
      <c r="B52">
        <f t="shared" ca="1" si="2"/>
        <v>3</v>
      </c>
      <c r="C52" t="str">
        <f t="shared" ca="1" si="3"/>
        <v>S</v>
      </c>
      <c r="D52">
        <f t="shared" ca="1" si="4"/>
        <v>0</v>
      </c>
      <c r="E52">
        <f ca="1">IF($C52=1,OFFSET(E52,-1,0)+MAX(1,COUNTIF(QCI!$A$13:$A$24,OFFSET(ORÇAMENTO!E52,-1,0))),OFFSET(E52,-1,0))</f>
        <v>1</v>
      </c>
      <c r="F52">
        <f t="shared" ca="1" si="5"/>
        <v>3</v>
      </c>
      <c r="G52">
        <f t="shared" ca="1" si="6"/>
        <v>3</v>
      </c>
      <c r="H52">
        <f t="shared" ca="1" si="7"/>
        <v>0</v>
      </c>
      <c r="I52">
        <f t="shared" ca="1" si="8"/>
        <v>0</v>
      </c>
      <c r="J52">
        <f t="shared" ca="1" si="9"/>
        <v>0</v>
      </c>
      <c r="K52">
        <f ca="1">IF(OR($C52="S",$C52=0),0,MATCH(OFFSET($D52,0,$C52)+IF($C52&lt;&gt;1,1,COUNTIF(QCI!$A$13:$A$24,ORÇAMENTO!E52)),OFFSET($D52,1,$C52,ROW($C$747)-ROW($C52)),0))</f>
        <v>0</v>
      </c>
      <c r="L52" s="116" t="str">
        <f t="shared" ca="1" si="10"/>
        <v/>
      </c>
      <c r="M52" s="117" t="s">
        <v>199</v>
      </c>
      <c r="N52" s="118" t="str">
        <f t="shared" ca="1" si="11"/>
        <v>Serviço</v>
      </c>
      <c r="O52" s="119" t="str">
        <f t="shared" ca="1" si="12"/>
        <v>-</v>
      </c>
      <c r="P52" s="120" t="s">
        <v>247</v>
      </c>
      <c r="Q52" s="121" t="s">
        <v>462</v>
      </c>
      <c r="R52" s="122" t="str">
        <f ca="1">IF($C52="S",REFERENCIA.Descricao,"(digite a descrição aqui)")</f>
        <v>(abra o arquivo 'Referência 02-2025.xlsm)</v>
      </c>
      <c r="S52" s="123" t="str">
        <f ca="1">REFERENCIA.Unidade</f>
        <v>-</v>
      </c>
      <c r="T52" s="124">
        <f ca="1">OFFSET(CÁLCULO!H$15,ROW($T52)-ROW(T$15),0)</f>
        <v>394.89</v>
      </c>
      <c r="U52" s="125">
        <f t="shared" ca="1" si="17"/>
        <v>0</v>
      </c>
      <c r="V52" s="126" t="s">
        <v>156</v>
      </c>
      <c r="W52" s="124">
        <f ca="1">IF($C52="S",ROUND(IF(TIPOORCAMENTO="Proposto",ORÇAMENTO.CustoUnitario*(1+$AH52),ORÇAMENTO.PrecoUnitarioLicitado),15-13*$AF$10),0)</f>
        <v>0</v>
      </c>
      <c r="X52" s="127">
        <f ca="1">IF($C52="S",IF(Import.TipoArredondamento&lt;&gt;"TransfereGOV",VTOTAL1,SUM(OFFSET(CÁLCULO!$AA$15,ROW($X52)-ROW($X$15),1):OFFSET(CÁLCULO!$AL$15,ROW($X52)-ROW($X$15),-1))),IF($C52=0,0,ROUND(SomaAgrup,15-13*$AF$11)))</f>
        <v>0</v>
      </c>
      <c r="Y52" s="128" t="s">
        <v>245</v>
      </c>
      <c r="Z52" t="str">
        <f t="shared" ca="1" si="13"/>
        <v/>
      </c>
      <c r="AA52" s="129">
        <f ca="1">IF($C52="S",IF($Z52="CP",$X52,IF($Z52="RA",(($X52)*QCI!$AA$3),0)),SomaAgrup)</f>
        <v>0</v>
      </c>
      <c r="AB52" s="130">
        <f t="shared" ca="1" si="14"/>
        <v>0</v>
      </c>
      <c r="AC52" s="131" t="str">
        <f ca="1">IF($N52="","",IF(ORÇAMENTO.Descricao="","DESCRIÇÃO",IF(AND($C52="S",ORÇAMENTO.Unidade=""),"UNIDADE",IF($X52&lt;0,"VALOR NEGATIVO",IF(OR(AND(TIPOORCAMENTO="Proposto",$AG52&lt;&gt;"",$AG52&gt;0,ORÇAMENTO.CustoUnitario&gt;$AG52),AND(TIPOORCAMENTO="LICITADO",ORÇAMENTO.PrecoUnitarioLicitado&gt;$AN52)),"ACIMA REF.","")))))</f>
        <v/>
      </c>
      <c r="AD52" t="str">
        <f ca="1">IF(C52&lt;=CRONO.NivelExibicao,MAX($AD$15:OFFSET(AD52,-1,0))+IF($C52&lt;&gt;1,1,MAX(1,COUNTIF(QCI!$A$13:$A$24,OFFSET($E52,-1,0)))),"")</f>
        <v/>
      </c>
      <c r="AE52" s="7" t="str">
        <f ca="1">IF(AND($C52="S",ORÇAMENTO.CodBarra&lt;&gt;""),IF(ORÇAMENTO.Fonte="",ORÇAMENTO.CodBarra,CONCATENATE(ORÇAMENTO.Fonte," ",ORÇAMENTO.CodBarra)))</f>
        <v>SINAPI 96544</v>
      </c>
      <c r="AF52" s="13" t="str">
        <f ca="1">IF(ISERROR(INDIRECT(ORÇAMENTO.BancoRef)),"(abra o arquivo 'Referência "&amp;Excel_BuiltIn_Database&amp;".xlsm)",IF(OR($C52&lt;&gt;"S",ORÇAMENTO.CodBarra=""),"(Sem Código)",IF(ISERROR(MATCH($AE52,INDIRECT(ORÇAMENTO.BancoRef),0)),"(Código não identificado nas referências)",MATCH($AE52,INDIRECT(ORÇAMENTO.BancoRef),0))))</f>
        <v>(abra o arquivo 'Referência 02-2025.xlsm)</v>
      </c>
      <c r="AG52" s="498">
        <f ca="1">ROUND(IF(DESONERACAO="sim",REFERENCIA.Desonerado,REFERENCIA.NaoDesonerado),2)</f>
        <v>0</v>
      </c>
      <c r="AH52" s="499">
        <f t="shared" ca="1" si="15"/>
        <v>0.22470000000000001</v>
      </c>
      <c r="AJ52" s="501">
        <v>394.89</v>
      </c>
      <c r="AL52" s="527"/>
      <c r="AM52" s="381">
        <f t="shared" ca="1" si="0"/>
        <v>0</v>
      </c>
      <c r="AN52" s="566">
        <f t="shared" ca="1" si="16"/>
        <v>0</v>
      </c>
    </row>
    <row r="53" spans="1:40" ht="25.5" x14ac:dyDescent="0.2">
      <c r="A53" t="str">
        <f t="shared" si="1"/>
        <v>S</v>
      </c>
      <c r="B53">
        <f t="shared" ca="1" si="2"/>
        <v>3</v>
      </c>
      <c r="C53" t="str">
        <f t="shared" ca="1" si="3"/>
        <v>S</v>
      </c>
      <c r="D53">
        <f t="shared" ca="1" si="4"/>
        <v>0</v>
      </c>
      <c r="E53">
        <f ca="1">IF($C53=1,OFFSET(E53,-1,0)+MAX(1,COUNTIF(QCI!$A$13:$A$24,OFFSET(ORÇAMENTO!E53,-1,0))),OFFSET(E53,-1,0))</f>
        <v>1</v>
      </c>
      <c r="F53">
        <f t="shared" ca="1" si="5"/>
        <v>3</v>
      </c>
      <c r="G53">
        <f t="shared" ca="1" si="6"/>
        <v>3</v>
      </c>
      <c r="H53">
        <f t="shared" ca="1" si="7"/>
        <v>0</v>
      </c>
      <c r="I53">
        <f t="shared" ca="1" si="8"/>
        <v>0</v>
      </c>
      <c r="J53">
        <f t="shared" ca="1" si="9"/>
        <v>0</v>
      </c>
      <c r="K53">
        <f ca="1">IF(OR($C53="S",$C53=0),0,MATCH(OFFSET($D53,0,$C53)+IF($C53&lt;&gt;1,1,COUNTIF(QCI!$A$13:$A$24,ORÇAMENTO!E53)),OFFSET($D53,1,$C53,ROW($C$747)-ROW($C53)),0))</f>
        <v>0</v>
      </c>
      <c r="L53" s="116" t="str">
        <f t="shared" ca="1" si="10"/>
        <v/>
      </c>
      <c r="M53" s="117" t="s">
        <v>199</v>
      </c>
      <c r="N53" s="118" t="str">
        <f t="shared" ca="1" si="11"/>
        <v>Serviço</v>
      </c>
      <c r="O53" s="119" t="str">
        <f t="shared" ca="1" si="12"/>
        <v>-</v>
      </c>
      <c r="P53" s="120" t="s">
        <v>247</v>
      </c>
      <c r="Q53" s="121" t="s">
        <v>1026</v>
      </c>
      <c r="R53" s="122" t="str">
        <f ca="1">IF($C53="S",REFERENCIA.Descricao,"(digite a descrição aqui)")</f>
        <v>(abra o arquivo 'Referência 02-2025.xlsm)</v>
      </c>
      <c r="S53" s="123" t="str">
        <f ca="1">REFERENCIA.Unidade</f>
        <v>-</v>
      </c>
      <c r="T53" s="124">
        <f ca="1">OFFSET(CÁLCULO!H$15,ROW($T53)-ROW(T$15),0)</f>
        <v>125.91</v>
      </c>
      <c r="U53" s="125">
        <f t="shared" ca="1" si="17"/>
        <v>0</v>
      </c>
      <c r="V53" s="126" t="s">
        <v>156</v>
      </c>
      <c r="W53" s="124">
        <f ca="1">IF($C53="S",ROUND(IF(TIPOORCAMENTO="Proposto",ORÇAMENTO.CustoUnitario*(1+$AH53),ORÇAMENTO.PrecoUnitarioLicitado),15-13*$AF$10),0)</f>
        <v>0</v>
      </c>
      <c r="X53" s="127">
        <f ca="1">IF($C53="S",IF(Import.TipoArredondamento&lt;&gt;"TransfereGOV",VTOTAL1,SUM(OFFSET(CÁLCULO!$AA$15,ROW($X53)-ROW($X$15),1):OFFSET(CÁLCULO!$AL$15,ROW($X53)-ROW($X$15),-1))),IF($C53=0,0,ROUND(SomaAgrup,15-13*$AF$11)))</f>
        <v>0</v>
      </c>
      <c r="Y53" s="128" t="s">
        <v>245</v>
      </c>
      <c r="Z53" t="str">
        <f t="shared" ca="1" si="13"/>
        <v/>
      </c>
      <c r="AA53" s="129">
        <f ca="1">IF($C53="S",IF($Z53="CP",$X53,IF($Z53="RA",(($X53)*QCI!$AA$3),0)),SomaAgrup)</f>
        <v>0</v>
      </c>
      <c r="AB53" s="130">
        <f t="shared" ca="1" si="14"/>
        <v>0</v>
      </c>
      <c r="AC53" s="131" t="str">
        <f ca="1">IF($N53="","",IF(ORÇAMENTO.Descricao="","DESCRIÇÃO",IF(AND($C53="S",ORÇAMENTO.Unidade=""),"UNIDADE",IF($X53&lt;0,"VALOR NEGATIVO",IF(OR(AND(TIPOORCAMENTO="Proposto",$AG53&lt;&gt;"",$AG53&gt;0,ORÇAMENTO.CustoUnitario&gt;$AG53),AND(TIPOORCAMENTO="LICITADO",ORÇAMENTO.PrecoUnitarioLicitado&gt;$AN53)),"ACIMA REF.","")))))</f>
        <v/>
      </c>
      <c r="AD53" t="str">
        <f ca="1">IF(C53&lt;=CRONO.NivelExibicao,MAX($AD$15:OFFSET(AD53,-1,0))+IF($C53&lt;&gt;1,1,MAX(1,COUNTIF(QCI!$A$13:$A$24,OFFSET($E53,-1,0)))),"")</f>
        <v/>
      </c>
      <c r="AE53" s="7" t="str">
        <f ca="1">IF(AND($C53="S",ORÇAMENTO.CodBarra&lt;&gt;""),IF(ORÇAMENTO.Fonte="",ORÇAMENTO.CodBarra,CONCATENATE(ORÇAMENTO.Fonte," ",ORÇAMENTO.CodBarra)))</f>
        <v>SINAPI 96545</v>
      </c>
      <c r="AF53" s="13" t="str">
        <f ca="1">IF(ISERROR(INDIRECT(ORÇAMENTO.BancoRef)),"(abra o arquivo 'Referência "&amp;Excel_BuiltIn_Database&amp;".xlsm)",IF(OR($C53&lt;&gt;"S",ORÇAMENTO.CodBarra=""),"(Sem Código)",IF(ISERROR(MATCH($AE53,INDIRECT(ORÇAMENTO.BancoRef),0)),"(Código não identificado nas referências)",MATCH($AE53,INDIRECT(ORÇAMENTO.BancoRef),0))))</f>
        <v>(abra o arquivo 'Referência 02-2025.xlsm)</v>
      </c>
      <c r="AG53" s="498">
        <f ca="1">ROUND(IF(DESONERACAO="sim",REFERENCIA.Desonerado,REFERENCIA.NaoDesonerado),2)</f>
        <v>0</v>
      </c>
      <c r="AH53" s="499">
        <f t="shared" ca="1" si="15"/>
        <v>0.22470000000000001</v>
      </c>
      <c r="AJ53" s="501">
        <v>125.91</v>
      </c>
      <c r="AL53" s="527"/>
      <c r="AM53" s="381">
        <f t="shared" ca="1" si="0"/>
        <v>0</v>
      </c>
      <c r="AN53" s="566">
        <f t="shared" ca="1" si="16"/>
        <v>0</v>
      </c>
    </row>
    <row r="54" spans="1:40" ht="25.5" x14ac:dyDescent="0.2">
      <c r="A54" t="str">
        <f t="shared" si="1"/>
        <v>S</v>
      </c>
      <c r="B54">
        <f t="shared" ca="1" si="2"/>
        <v>3</v>
      </c>
      <c r="C54" t="str">
        <f t="shared" ca="1" si="3"/>
        <v>S</v>
      </c>
      <c r="D54">
        <f t="shared" ca="1" si="4"/>
        <v>0</v>
      </c>
      <c r="E54">
        <f ca="1">IF($C54=1,OFFSET(E54,-1,0)+MAX(1,COUNTIF(QCI!$A$13:$A$24,OFFSET(ORÇAMENTO!E54,-1,0))),OFFSET(E54,-1,0))</f>
        <v>1</v>
      </c>
      <c r="F54">
        <f t="shared" ca="1" si="5"/>
        <v>3</v>
      </c>
      <c r="G54">
        <f t="shared" ca="1" si="6"/>
        <v>3</v>
      </c>
      <c r="H54">
        <f t="shared" ca="1" si="7"/>
        <v>0</v>
      </c>
      <c r="I54">
        <f t="shared" ca="1" si="8"/>
        <v>0</v>
      </c>
      <c r="J54">
        <f t="shared" ca="1" si="9"/>
        <v>0</v>
      </c>
      <c r="K54">
        <f ca="1">IF(OR($C54="S",$C54=0),0,MATCH(OFFSET($D54,0,$C54)+IF($C54&lt;&gt;1,1,COUNTIF(QCI!$A$13:$A$24,ORÇAMENTO!E54)),OFFSET($D54,1,$C54,ROW($C$747)-ROW($C54)),0))</f>
        <v>0</v>
      </c>
      <c r="L54" s="116" t="str">
        <f t="shared" ca="1" si="10"/>
        <v/>
      </c>
      <c r="M54" s="117" t="s">
        <v>199</v>
      </c>
      <c r="N54" s="118" t="str">
        <f t="shared" ca="1" si="11"/>
        <v>Serviço</v>
      </c>
      <c r="O54" s="119" t="str">
        <f t="shared" ca="1" si="12"/>
        <v>-</v>
      </c>
      <c r="P54" s="120" t="s">
        <v>247</v>
      </c>
      <c r="Q54" s="121" t="s">
        <v>461</v>
      </c>
      <c r="R54" s="122" t="str">
        <f ca="1">IF($C54="S",REFERENCIA.Descricao,"(digite a descrição aqui)")</f>
        <v>(abra o arquivo 'Referência 02-2025.xlsm)</v>
      </c>
      <c r="S54" s="123" t="str">
        <f ca="1">REFERENCIA.Unidade</f>
        <v>-</v>
      </c>
      <c r="T54" s="124">
        <f ca="1">OFFSET(CÁLCULO!H$15,ROW($T54)-ROW(T$15),0)</f>
        <v>608.95000000000005</v>
      </c>
      <c r="U54" s="125">
        <f t="shared" ca="1" si="17"/>
        <v>0</v>
      </c>
      <c r="V54" s="126" t="s">
        <v>156</v>
      </c>
      <c r="W54" s="124">
        <f ca="1">IF($C54="S",ROUND(IF(TIPOORCAMENTO="Proposto",ORÇAMENTO.CustoUnitario*(1+$AH54),ORÇAMENTO.PrecoUnitarioLicitado),15-13*$AF$10),0)</f>
        <v>0</v>
      </c>
      <c r="X54" s="127">
        <f ca="1">IF($C54="S",IF(Import.TipoArredondamento&lt;&gt;"TransfereGOV",VTOTAL1,SUM(OFFSET(CÁLCULO!$AA$15,ROW($X54)-ROW($X$15),1):OFFSET(CÁLCULO!$AL$15,ROW($X54)-ROW($X$15),-1))),IF($C54=0,0,ROUND(SomaAgrup,15-13*$AF$11)))</f>
        <v>0</v>
      </c>
      <c r="Y54" s="128" t="s">
        <v>245</v>
      </c>
      <c r="Z54" t="str">
        <f t="shared" ca="1" si="13"/>
        <v/>
      </c>
      <c r="AA54" s="129">
        <f ca="1">IF($C54="S",IF($Z54="CP",$X54,IF($Z54="RA",(($X54)*QCI!$AA$3),0)),SomaAgrup)</f>
        <v>0</v>
      </c>
      <c r="AB54" s="130">
        <f t="shared" ca="1" si="14"/>
        <v>0</v>
      </c>
      <c r="AC54" s="131" t="str">
        <f ca="1">IF($N54="","",IF(ORÇAMENTO.Descricao="","DESCRIÇÃO",IF(AND($C54="S",ORÇAMENTO.Unidade=""),"UNIDADE",IF($X54&lt;0,"VALOR NEGATIVO",IF(OR(AND(TIPOORCAMENTO="Proposto",$AG54&lt;&gt;"",$AG54&gt;0,ORÇAMENTO.CustoUnitario&gt;$AG54),AND(TIPOORCAMENTO="LICITADO",ORÇAMENTO.PrecoUnitarioLicitado&gt;$AN54)),"ACIMA REF.","")))))</f>
        <v/>
      </c>
      <c r="AD54" t="str">
        <f ca="1">IF(C54&lt;=CRONO.NivelExibicao,MAX($AD$15:OFFSET(AD54,-1,0))+IF($C54&lt;&gt;1,1,MAX(1,COUNTIF(QCI!$A$13:$A$24,OFFSET($E54,-1,0)))),"")</f>
        <v/>
      </c>
      <c r="AE54" s="7" t="str">
        <f ca="1">IF(AND($C54="S",ORÇAMENTO.CodBarra&lt;&gt;""),IF(ORÇAMENTO.Fonte="",ORÇAMENTO.CodBarra,CONCATENATE(ORÇAMENTO.Fonte," ",ORÇAMENTO.CodBarra)))</f>
        <v>SINAPI 96546</v>
      </c>
      <c r="AF54" s="13" t="str">
        <f ca="1">IF(ISERROR(INDIRECT(ORÇAMENTO.BancoRef)),"(abra o arquivo 'Referência "&amp;Excel_BuiltIn_Database&amp;".xlsm)",IF(OR($C54&lt;&gt;"S",ORÇAMENTO.CodBarra=""),"(Sem Código)",IF(ISERROR(MATCH($AE54,INDIRECT(ORÇAMENTO.BancoRef),0)),"(Código não identificado nas referências)",MATCH($AE54,INDIRECT(ORÇAMENTO.BancoRef),0))))</f>
        <v>(abra o arquivo 'Referência 02-2025.xlsm)</v>
      </c>
      <c r="AG54" s="498">
        <f ca="1">ROUND(IF(DESONERACAO="sim",REFERENCIA.Desonerado,REFERENCIA.NaoDesonerado),2)</f>
        <v>0</v>
      </c>
      <c r="AH54" s="499">
        <f t="shared" ca="1" si="15"/>
        <v>0.22470000000000001</v>
      </c>
      <c r="AJ54" s="501">
        <v>608.95000000000005</v>
      </c>
      <c r="AL54" s="527"/>
      <c r="AM54" s="381">
        <f t="shared" ca="1" si="0"/>
        <v>0</v>
      </c>
      <c r="AN54" s="566">
        <f t="shared" ca="1" si="16"/>
        <v>0</v>
      </c>
    </row>
    <row r="55" spans="1:40" ht="38.25" x14ac:dyDescent="0.2">
      <c r="A55" t="str">
        <f t="shared" si="1"/>
        <v>S</v>
      </c>
      <c r="B55">
        <f t="shared" ca="1" si="2"/>
        <v>3</v>
      </c>
      <c r="C55" t="str">
        <f t="shared" ca="1" si="3"/>
        <v>S</v>
      </c>
      <c r="D55">
        <f t="shared" ca="1" si="4"/>
        <v>0</v>
      </c>
      <c r="E55">
        <f ca="1">IF($C55=1,OFFSET(E55,-1,0)+MAX(1,COUNTIF(QCI!$A$13:$A$24,OFFSET(ORÇAMENTO!E55,-1,0))),OFFSET(E55,-1,0))</f>
        <v>1</v>
      </c>
      <c r="F55">
        <f t="shared" ca="1" si="5"/>
        <v>3</v>
      </c>
      <c r="G55">
        <f t="shared" ca="1" si="6"/>
        <v>3</v>
      </c>
      <c r="H55">
        <f t="shared" ca="1" si="7"/>
        <v>0</v>
      </c>
      <c r="I55">
        <f t="shared" ca="1" si="8"/>
        <v>0</v>
      </c>
      <c r="J55">
        <f t="shared" ca="1" si="9"/>
        <v>0</v>
      </c>
      <c r="K55">
        <f ca="1">IF(OR($C55="S",$C55=0),0,MATCH(OFFSET($D55,0,$C55)+IF($C55&lt;&gt;1,1,COUNTIF(QCI!$A$13:$A$24,ORÇAMENTO!E55)),OFFSET($D55,1,$C55,ROW($C$747)-ROW($C55)),0))</f>
        <v>0</v>
      </c>
      <c r="L55" s="116" t="str">
        <f t="shared" ca="1" si="10"/>
        <v/>
      </c>
      <c r="M55" s="117" t="s">
        <v>199</v>
      </c>
      <c r="N55" s="118" t="str">
        <f t="shared" ca="1" si="11"/>
        <v>Serviço</v>
      </c>
      <c r="O55" s="119" t="str">
        <f t="shared" ca="1" si="12"/>
        <v>-</v>
      </c>
      <c r="P55" s="120" t="s">
        <v>247</v>
      </c>
      <c r="Q55" s="121" t="s">
        <v>464</v>
      </c>
      <c r="R55" s="122" t="str">
        <f ca="1">IF($C55="S",REFERENCIA.Descricao,"(digite a descrição aqui)")</f>
        <v>(abra o arquivo 'Referência 02-2025.xlsm)</v>
      </c>
      <c r="S55" s="123" t="str">
        <f ca="1">REFERENCIA.Unidade</f>
        <v>-</v>
      </c>
      <c r="T55" s="124">
        <f ca="1">OFFSET(CÁLCULO!H$15,ROW($T55)-ROW(T$15),0)</f>
        <v>6.88</v>
      </c>
      <c r="U55" s="125">
        <f t="shared" ca="1" si="17"/>
        <v>0</v>
      </c>
      <c r="V55" s="126" t="s">
        <v>156</v>
      </c>
      <c r="W55" s="124">
        <f ca="1">IF($C55="S",ROUND(IF(TIPOORCAMENTO="Proposto",ORÇAMENTO.CustoUnitario*(1+$AH55),ORÇAMENTO.PrecoUnitarioLicitado),15-13*$AF$10),0)</f>
        <v>0</v>
      </c>
      <c r="X55" s="127">
        <f ca="1">IF($C55="S",IF(Import.TipoArredondamento&lt;&gt;"TransfereGOV",VTOTAL1,SUM(OFFSET(CÁLCULO!$AA$15,ROW($X55)-ROW($X$15),1):OFFSET(CÁLCULO!$AL$15,ROW($X55)-ROW($X$15),-1))),IF($C55=0,0,ROUND(SomaAgrup,15-13*$AF$11)))</f>
        <v>0</v>
      </c>
      <c r="Y55" s="128" t="s">
        <v>245</v>
      </c>
      <c r="Z55" t="str">
        <f t="shared" ca="1" si="13"/>
        <v/>
      </c>
      <c r="AA55" s="129">
        <f ca="1">IF($C55="S",IF($Z55="CP",$X55,IF($Z55="RA",(($X55)*QCI!$AA$3),0)),SomaAgrup)</f>
        <v>0</v>
      </c>
      <c r="AB55" s="130">
        <f t="shared" ca="1" si="14"/>
        <v>0</v>
      </c>
      <c r="AC55" s="131" t="str">
        <f ca="1">IF($N55="","",IF(ORÇAMENTO.Descricao="","DESCRIÇÃO",IF(AND($C55="S",ORÇAMENTO.Unidade=""),"UNIDADE",IF($X55&lt;0,"VALOR NEGATIVO",IF(OR(AND(TIPOORCAMENTO="Proposto",$AG55&lt;&gt;"",$AG55&gt;0,ORÇAMENTO.CustoUnitario&gt;$AG55),AND(TIPOORCAMENTO="LICITADO",ORÇAMENTO.PrecoUnitarioLicitado&gt;$AN55)),"ACIMA REF.","")))))</f>
        <v/>
      </c>
      <c r="AD55" t="str">
        <f ca="1">IF(C55&lt;=CRONO.NivelExibicao,MAX($AD$15:OFFSET(AD55,-1,0))+IF($C55&lt;&gt;1,1,MAX(1,COUNTIF(QCI!$A$13:$A$24,OFFSET($E55,-1,0)))),"")</f>
        <v/>
      </c>
      <c r="AE55" s="7" t="str">
        <f ca="1">IF(AND($C55="S",ORÇAMENTO.CodBarra&lt;&gt;""),IF(ORÇAMENTO.Fonte="",ORÇAMENTO.CodBarra,CONCATENATE(ORÇAMENTO.Fonte," ",ORÇAMENTO.CodBarra)))</f>
        <v>SINAPI 104920</v>
      </c>
      <c r="AF55" s="13" t="str">
        <f ca="1">IF(ISERROR(INDIRECT(ORÇAMENTO.BancoRef)),"(abra o arquivo 'Referência "&amp;Excel_BuiltIn_Database&amp;".xlsm)",IF(OR($C55&lt;&gt;"S",ORÇAMENTO.CodBarra=""),"(Sem Código)",IF(ISERROR(MATCH($AE55,INDIRECT(ORÇAMENTO.BancoRef),0)),"(Código não identificado nas referências)",MATCH($AE55,INDIRECT(ORÇAMENTO.BancoRef),0))))</f>
        <v>(abra o arquivo 'Referência 02-2025.xlsm)</v>
      </c>
      <c r="AG55" s="498">
        <f ca="1">ROUND(IF(DESONERACAO="sim",REFERENCIA.Desonerado,REFERENCIA.NaoDesonerado),2)</f>
        <v>0</v>
      </c>
      <c r="AH55" s="499">
        <f t="shared" ca="1" si="15"/>
        <v>0.22470000000000001</v>
      </c>
      <c r="AJ55" s="501">
        <v>6.88</v>
      </c>
      <c r="AL55" s="527"/>
      <c r="AM55" s="381">
        <f t="shared" ca="1" si="0"/>
        <v>0</v>
      </c>
      <c r="AN55" s="566">
        <f t="shared" ca="1" si="16"/>
        <v>0</v>
      </c>
    </row>
    <row r="56" spans="1:40" ht="38.25" x14ac:dyDescent="0.2">
      <c r="A56" t="str">
        <f t="shared" si="1"/>
        <v>S</v>
      </c>
      <c r="B56">
        <f t="shared" ca="1" si="2"/>
        <v>3</v>
      </c>
      <c r="C56" t="str">
        <f t="shared" ca="1" si="3"/>
        <v>S</v>
      </c>
      <c r="D56">
        <f t="shared" ca="1" si="4"/>
        <v>0</v>
      </c>
      <c r="E56">
        <f ca="1">IF($C56=1,OFFSET(E56,-1,0)+MAX(1,COUNTIF(QCI!$A$13:$A$24,OFFSET(ORÇAMENTO!E56,-1,0))),OFFSET(E56,-1,0))</f>
        <v>1</v>
      </c>
      <c r="F56">
        <f t="shared" ca="1" si="5"/>
        <v>3</v>
      </c>
      <c r="G56">
        <f t="shared" ca="1" si="6"/>
        <v>3</v>
      </c>
      <c r="H56">
        <f t="shared" ca="1" si="7"/>
        <v>0</v>
      </c>
      <c r="I56">
        <f t="shared" ca="1" si="8"/>
        <v>0</v>
      </c>
      <c r="J56">
        <f t="shared" ca="1" si="9"/>
        <v>0</v>
      </c>
      <c r="K56">
        <f ca="1">IF(OR($C56="S",$C56=0),0,MATCH(OFFSET($D56,0,$C56)+IF($C56&lt;&gt;1,1,COUNTIF(QCI!$A$13:$A$24,ORÇAMENTO!E56)),OFFSET($D56,1,$C56,ROW($C$747)-ROW($C56)),0))</f>
        <v>0</v>
      </c>
      <c r="L56" s="116" t="str">
        <f t="shared" ca="1" si="10"/>
        <v/>
      </c>
      <c r="M56" s="117" t="s">
        <v>199</v>
      </c>
      <c r="N56" s="118" t="str">
        <f t="shared" ca="1" si="11"/>
        <v>Serviço</v>
      </c>
      <c r="O56" s="119" t="str">
        <f t="shared" ca="1" si="12"/>
        <v>-</v>
      </c>
      <c r="P56" s="120" t="s">
        <v>247</v>
      </c>
      <c r="Q56" s="121" t="s">
        <v>465</v>
      </c>
      <c r="R56" s="122" t="str">
        <f ca="1">IF($C56="S",REFERENCIA.Descricao,"(digite a descrição aqui)")</f>
        <v>(abra o arquivo 'Referência 02-2025.xlsm)</v>
      </c>
      <c r="S56" s="123" t="str">
        <f ca="1">REFERENCIA.Unidade</f>
        <v>-</v>
      </c>
      <c r="T56" s="124">
        <f ca="1">OFFSET(CÁLCULO!H$15,ROW($T56)-ROW(T$15),0)</f>
        <v>10.130000000000001</v>
      </c>
      <c r="U56" s="125">
        <f t="shared" ca="1" si="17"/>
        <v>0</v>
      </c>
      <c r="V56" s="126" t="s">
        <v>156</v>
      </c>
      <c r="W56" s="124">
        <f ca="1">IF($C56="S",ROUND(IF(TIPOORCAMENTO="Proposto",ORÇAMENTO.CustoUnitario*(1+$AH56),ORÇAMENTO.PrecoUnitarioLicitado),15-13*$AF$10),0)</f>
        <v>0</v>
      </c>
      <c r="X56" s="127">
        <f ca="1">IF($C56="S",IF(Import.TipoArredondamento&lt;&gt;"TransfereGOV",VTOTAL1,SUM(OFFSET(CÁLCULO!$AA$15,ROW($X56)-ROW($X$15),1):OFFSET(CÁLCULO!$AL$15,ROW($X56)-ROW($X$15),-1))),IF($C56=0,0,ROUND(SomaAgrup,15-13*$AF$11)))</f>
        <v>0</v>
      </c>
      <c r="Y56" s="128" t="s">
        <v>245</v>
      </c>
      <c r="Z56" t="str">
        <f t="shared" ca="1" si="13"/>
        <v/>
      </c>
      <c r="AA56" s="129">
        <f ca="1">IF($C56="S",IF($Z56="CP",$X56,IF($Z56="RA",(($X56)*QCI!$AA$3),0)),SomaAgrup)</f>
        <v>0</v>
      </c>
      <c r="AB56" s="130">
        <f t="shared" ca="1" si="14"/>
        <v>0</v>
      </c>
      <c r="AC56" s="131" t="str">
        <f ca="1">IF($N56="","",IF(ORÇAMENTO.Descricao="","DESCRIÇÃO",IF(AND($C56="S",ORÇAMENTO.Unidade=""),"UNIDADE",IF($X56&lt;0,"VALOR NEGATIVO",IF(OR(AND(TIPOORCAMENTO="Proposto",$AG56&lt;&gt;"",$AG56&gt;0,ORÇAMENTO.CustoUnitario&gt;$AG56),AND(TIPOORCAMENTO="LICITADO",ORÇAMENTO.PrecoUnitarioLicitado&gt;$AN56)),"ACIMA REF.","")))))</f>
        <v/>
      </c>
      <c r="AD56" t="str">
        <f ca="1">IF(C56&lt;=CRONO.NivelExibicao,MAX($AD$15:OFFSET(AD56,-1,0))+IF($C56&lt;&gt;1,1,MAX(1,COUNTIF(QCI!$A$13:$A$24,OFFSET($E56,-1,0)))),"")</f>
        <v/>
      </c>
      <c r="AE56" s="7" t="str">
        <f ca="1">IF(AND($C56="S",ORÇAMENTO.CodBarra&lt;&gt;""),IF(ORÇAMENTO.Fonte="",ORÇAMENTO.CodBarra,CONCATENATE(ORÇAMENTO.Fonte," ",ORÇAMENTO.CodBarra)))</f>
        <v>SINAPI 104921</v>
      </c>
      <c r="AF56" s="13" t="str">
        <f ca="1">IF(ISERROR(INDIRECT(ORÇAMENTO.BancoRef)),"(abra o arquivo 'Referência "&amp;Excel_BuiltIn_Database&amp;".xlsm)",IF(OR($C56&lt;&gt;"S",ORÇAMENTO.CodBarra=""),"(Sem Código)",IF(ISERROR(MATCH($AE56,INDIRECT(ORÇAMENTO.BancoRef),0)),"(Código não identificado nas referências)",MATCH($AE56,INDIRECT(ORÇAMENTO.BancoRef),0))))</f>
        <v>(abra o arquivo 'Referência 02-2025.xlsm)</v>
      </c>
      <c r="AG56" s="498">
        <f ca="1">ROUND(IF(DESONERACAO="sim",REFERENCIA.Desonerado,REFERENCIA.NaoDesonerado),2)</f>
        <v>0</v>
      </c>
      <c r="AH56" s="499">
        <f t="shared" ca="1" si="15"/>
        <v>0.22470000000000001</v>
      </c>
      <c r="AJ56" s="501">
        <v>10.130000000000001</v>
      </c>
      <c r="AL56" s="527"/>
      <c r="AM56" s="381">
        <f t="shared" ca="1" si="0"/>
        <v>0</v>
      </c>
      <c r="AN56" s="566">
        <f t="shared" ca="1" si="16"/>
        <v>0</v>
      </c>
    </row>
    <row r="57" spans="1:40" ht="25.5" x14ac:dyDescent="0.2">
      <c r="A57" t="str">
        <f t="shared" si="1"/>
        <v>S</v>
      </c>
      <c r="B57">
        <f t="shared" ca="1" si="2"/>
        <v>3</v>
      </c>
      <c r="C57" t="str">
        <f t="shared" ca="1" si="3"/>
        <v>S</v>
      </c>
      <c r="D57">
        <f t="shared" ca="1" si="4"/>
        <v>0</v>
      </c>
      <c r="E57">
        <f ca="1">IF($C57=1,OFFSET(E57,-1,0)+MAX(1,COUNTIF(QCI!$A$13:$A$24,OFFSET(ORÇAMENTO!E57,-1,0))),OFFSET(E57,-1,0))</f>
        <v>1</v>
      </c>
      <c r="F57">
        <f t="shared" ca="1" si="5"/>
        <v>3</v>
      </c>
      <c r="G57">
        <f t="shared" ca="1" si="6"/>
        <v>3</v>
      </c>
      <c r="H57">
        <f t="shared" ca="1" si="7"/>
        <v>0</v>
      </c>
      <c r="I57">
        <f t="shared" ca="1" si="8"/>
        <v>0</v>
      </c>
      <c r="J57">
        <f t="shared" ca="1" si="9"/>
        <v>0</v>
      </c>
      <c r="K57">
        <f ca="1">IF(OR($C57="S",$C57=0),0,MATCH(OFFSET($D57,0,$C57)+IF($C57&lt;&gt;1,1,COUNTIF(QCI!$A$13:$A$24,ORÇAMENTO!E57)),OFFSET($D57,1,$C57,ROW($C$747)-ROW($C57)),0))</f>
        <v>0</v>
      </c>
      <c r="L57" s="116" t="str">
        <f t="shared" ca="1" si="10"/>
        <v/>
      </c>
      <c r="M57" s="117" t="s">
        <v>199</v>
      </c>
      <c r="N57" s="118" t="str">
        <f t="shared" ca="1" si="11"/>
        <v>Serviço</v>
      </c>
      <c r="O57" s="119" t="str">
        <f t="shared" ca="1" si="12"/>
        <v>-</v>
      </c>
      <c r="P57" s="120" t="s">
        <v>247</v>
      </c>
      <c r="Q57" s="121" t="s">
        <v>463</v>
      </c>
      <c r="R57" s="122" t="str">
        <f ca="1">IF($C57="S",REFERENCIA.Descricao,"(digite a descrição aqui)")</f>
        <v>(abra o arquivo 'Referência 02-2025.xlsm)</v>
      </c>
      <c r="S57" s="123" t="str">
        <f ca="1">REFERENCIA.Unidade</f>
        <v>-</v>
      </c>
      <c r="T57" s="124">
        <f ca="1">OFFSET(CÁLCULO!H$15,ROW($T57)-ROW(T$15),0)</f>
        <v>296.77999999999997</v>
      </c>
      <c r="U57" s="125">
        <f t="shared" ca="1" si="17"/>
        <v>0</v>
      </c>
      <c r="V57" s="126" t="s">
        <v>156</v>
      </c>
      <c r="W57" s="124">
        <f ca="1">IF($C57="S",ROUND(IF(TIPOORCAMENTO="Proposto",ORÇAMENTO.CustoUnitario*(1+$AH57),ORÇAMENTO.PrecoUnitarioLicitado),15-13*$AF$10),0)</f>
        <v>0</v>
      </c>
      <c r="X57" s="127">
        <f ca="1">IF($C57="S",IF(Import.TipoArredondamento&lt;&gt;"TransfereGOV",VTOTAL1,SUM(OFFSET(CÁLCULO!$AA$15,ROW($X57)-ROW($X$15),1):OFFSET(CÁLCULO!$AL$15,ROW($X57)-ROW($X$15),-1))),IF($C57=0,0,ROUND(SomaAgrup,15-13*$AF$11)))</f>
        <v>0</v>
      </c>
      <c r="Y57" s="128" t="s">
        <v>245</v>
      </c>
      <c r="Z57" t="str">
        <f t="shared" ca="1" si="13"/>
        <v/>
      </c>
      <c r="AA57" s="129">
        <f ca="1">IF($C57="S",IF($Z57="CP",$X57,IF($Z57="RA",(($X57)*QCI!$AA$3),0)),SomaAgrup)</f>
        <v>0</v>
      </c>
      <c r="AB57" s="130">
        <f t="shared" ca="1" si="14"/>
        <v>0</v>
      </c>
      <c r="AC57" s="131" t="str">
        <f ca="1">IF($N57="","",IF(ORÇAMENTO.Descricao="","DESCRIÇÃO",IF(AND($C57="S",ORÇAMENTO.Unidade=""),"UNIDADE",IF($X57&lt;0,"VALOR NEGATIVO",IF(OR(AND(TIPOORCAMENTO="Proposto",$AG57&lt;&gt;"",$AG57&gt;0,ORÇAMENTO.CustoUnitario&gt;$AG57),AND(TIPOORCAMENTO="LICITADO",ORÇAMENTO.PrecoUnitarioLicitado&gt;$AN57)),"ACIMA REF.","")))))</f>
        <v/>
      </c>
      <c r="AD57" t="str">
        <f ca="1">IF(C57&lt;=CRONO.NivelExibicao,MAX($AD$15:OFFSET(AD57,-1,0))+IF($C57&lt;&gt;1,1,MAX(1,COUNTIF(QCI!$A$13:$A$24,OFFSET($E57,-1,0)))),"")</f>
        <v/>
      </c>
      <c r="AE57" s="7" t="str">
        <f ca="1">IF(AND($C57="S",ORÇAMENTO.CodBarra&lt;&gt;""),IF(ORÇAMENTO.Fonte="",ORÇAMENTO.CodBarra,CONCATENATE(ORÇAMENTO.Fonte," ",ORÇAMENTO.CodBarra)))</f>
        <v>SINAPI 96543</v>
      </c>
      <c r="AF57" s="13" t="str">
        <f ca="1">IF(ISERROR(INDIRECT(ORÇAMENTO.BancoRef)),"(abra o arquivo 'Referência "&amp;Excel_BuiltIn_Database&amp;".xlsm)",IF(OR($C57&lt;&gt;"S",ORÇAMENTO.CodBarra=""),"(Sem Código)",IF(ISERROR(MATCH($AE57,INDIRECT(ORÇAMENTO.BancoRef),0)),"(Código não identificado nas referências)",MATCH($AE57,INDIRECT(ORÇAMENTO.BancoRef),0))))</f>
        <v>(abra o arquivo 'Referência 02-2025.xlsm)</v>
      </c>
      <c r="AG57" s="498">
        <f ca="1">ROUND(IF(DESONERACAO="sim",REFERENCIA.Desonerado,REFERENCIA.NaoDesonerado),2)</f>
        <v>0</v>
      </c>
      <c r="AH57" s="499">
        <f t="shared" ca="1" si="15"/>
        <v>0.22470000000000001</v>
      </c>
      <c r="AJ57" s="501">
        <v>296.77999999999997</v>
      </c>
      <c r="AL57" s="527"/>
      <c r="AM57" s="381">
        <f t="shared" ca="1" si="0"/>
        <v>0</v>
      </c>
      <c r="AN57" s="566">
        <f t="shared" ca="1" si="16"/>
        <v>0</v>
      </c>
    </row>
    <row r="58" spans="1:40" ht="38.25" x14ac:dyDescent="0.2">
      <c r="A58" t="str">
        <f>CHOOSE(1+LOG(1+2*(ORÇAMENTO.Nivel="Meta")+4*(ORÇAMENTO.Nivel="Nível 2")+8*(ORÇAMENTO.Nivel="Nível 3")+16*(ORÇAMENTO.Nivel="Nível 4")+32*(ORÇAMENTO.Nivel="Serviço"),2),0,1,2,3,4,"S")</f>
        <v>S</v>
      </c>
      <c r="B58">
        <f ca="1">IF(OR(C58="s",C58=0),OFFSET(B58,-1,0),C58)</f>
        <v>3</v>
      </c>
      <c r="C58" t="str">
        <f ca="1">IF(OFFSET(C58,-1,0)="L",1,IF(OFFSET(C58,-1,0)=1,2,IF(OR(A58="s",A58=0),"S",IF(AND(OFFSET(C58,-1,0)=2,A58=4),3,IF(AND(OR(OFFSET(C58,-1,0)="s",OFFSET(C58,-1,0)=0),A58&lt;&gt;"s",A58&gt;OFFSET(B58,-1,0)),OFFSET(B58,-1,0),A58)))))</f>
        <v>S</v>
      </c>
      <c r="D58">
        <f ca="1">IF(OR(C58="S",C58=0),0,IF(ISERROR(K58),J58,SMALL(J58:K58,1)))</f>
        <v>0</v>
      </c>
      <c r="E58">
        <f ca="1">IF($C58=1,OFFSET(E58,-1,0)+MAX(1,COUNTIF(QCI!$A$13:$A$24,OFFSET(ORÇAMENTO!E58,-1,0))),OFFSET(E58,-1,0))</f>
        <v>1</v>
      </c>
      <c r="F58">
        <f ca="1">IF($C58=1,0,IF($C58=2,OFFSET(F58,-1,0)+1,OFFSET(F58,-1,0)))</f>
        <v>3</v>
      </c>
      <c r="G58">
        <f ca="1">IF(AND($C58&lt;=2,$C58&lt;&gt;0),0,IF($C58=3,OFFSET(G58,-1,0)+1,OFFSET(G58,-1,0)))</f>
        <v>3</v>
      </c>
      <c r="H58">
        <f ca="1">IF(AND($C58&lt;=3,$C58&lt;&gt;0),0,IF($C58=4,OFFSET(H58,-1,0)+1,OFFSET(H58,-1,0)))</f>
        <v>0</v>
      </c>
      <c r="I58">
        <f ca="1">IF(AND($C58&lt;=4,$C58&lt;&gt;0),0,IF(AND($C58="S",$X58&gt;0),OFFSET(I58,-1,0)+1,OFFSET(I58,-1,0)))</f>
        <v>0</v>
      </c>
      <c r="J58">
        <f t="shared" ca="1" si="9"/>
        <v>0</v>
      </c>
      <c r="K58">
        <f ca="1">IF(OR($C58="S",$C58=0),0,MATCH(OFFSET($D58,0,$C58)+IF($C58&lt;&gt;1,1,COUNTIF(QCI!$A$13:$A$24,ORÇAMENTO!E58)),OFFSET($D58,1,$C58,ROW($C$747)-ROW($C58)),0))</f>
        <v>0</v>
      </c>
      <c r="L58" s="116" t="str">
        <f ca="1">IF(OR($X58&gt;0,$C58=1,$C58=2,$C58=3,$C58=4),"F","")</f>
        <v/>
      </c>
      <c r="M58" s="117" t="s">
        <v>199</v>
      </c>
      <c r="N58" s="118" t="str">
        <f ca="1">CHOOSE(1+LOG(1+2*(C58=1)+4*(C58=2)+8*(C58=3)+16*(C58=4)+32*(C58="S"),2),"","Meta","Nível 2","Nível 3","Nível 4","Serviço")</f>
        <v>Serviço</v>
      </c>
      <c r="O58" s="119" t="str">
        <f ca="1">IF(OR($C58=0,$L58=""),"-",CONCATENATE(E58&amp;".",IF(AND($A$5&gt;=2,$C58&gt;=2),F58&amp;".",""),IF(AND($A$5&gt;=3,$C58&gt;=3),G58&amp;".",""),IF(AND($A$5&gt;=4,$C58&gt;=4),H58&amp;".",""),IF($C58="S",I58&amp;".","")))</f>
        <v>-</v>
      </c>
      <c r="P58" s="120" t="s">
        <v>247</v>
      </c>
      <c r="Q58" s="121" t="s">
        <v>460</v>
      </c>
      <c r="R58" s="122" t="str">
        <f ca="1">IF($C58="S",REFERENCIA.Descricao,"(digite a descrição aqui)")</f>
        <v>(abra o arquivo 'Referência 02-2025.xlsm)</v>
      </c>
      <c r="S58" s="123" t="str">
        <f ca="1">REFERENCIA.Unidade</f>
        <v>-</v>
      </c>
      <c r="T58" s="124">
        <f ca="1">OFFSET(CÁLCULO!H$15,ROW($T58)-ROW(T$15),0)</f>
        <v>45.14</v>
      </c>
      <c r="U58" s="125">
        <f t="shared" ca="1" si="17"/>
        <v>0</v>
      </c>
      <c r="V58" s="126" t="s">
        <v>156</v>
      </c>
      <c r="W58" s="124">
        <f ca="1">IF($C58="S",ROUND(IF(TIPOORCAMENTO="Proposto",ORÇAMENTO.CustoUnitario*(1+$AH58),ORÇAMENTO.PrecoUnitarioLicitado),15-13*$AF$10),0)</f>
        <v>0</v>
      </c>
      <c r="X58" s="127">
        <f ca="1">IF($C58="S",IF(Import.TipoArredondamento&lt;&gt;"TransfereGOV",VTOTAL1,SUM(OFFSET(CÁLCULO!$AA$15,ROW($X58)-ROW($X$15),1):OFFSET(CÁLCULO!$AL$15,ROW($X58)-ROW($X$15),-1))),IF($C58=0,0,ROUND(SomaAgrup,15-13*$AF$11)))</f>
        <v>0</v>
      </c>
      <c r="Y58" s="128" t="s">
        <v>245</v>
      </c>
      <c r="Z58" t="str">
        <f ca="1">IF(AND($C58="S",$X58&gt;0),IF(ISBLANK($Y58),"RA",LEFT($Y58,2)),"")</f>
        <v/>
      </c>
      <c r="AA58" s="129">
        <f ca="1">IF($C58="S",IF($Z58="CP",$X58,IF($Z58="RA",(($X58)*QCI!$AA$3),0)),SomaAgrup)</f>
        <v>0</v>
      </c>
      <c r="AB58" s="130">
        <f ca="1">IF($C58="S",IF($Z58="OU",ROUND($X58,2),0),SomaAgrup)</f>
        <v>0</v>
      </c>
      <c r="AC58" s="131" t="str">
        <f ca="1">IF($N58="","",IF(ORÇAMENTO.Descricao="","DESCRIÇÃO",IF(AND($C58="S",ORÇAMENTO.Unidade=""),"UNIDADE",IF($X58&lt;0,"VALOR NEGATIVO",IF(OR(AND(TIPOORCAMENTO="Proposto",$AG58&lt;&gt;"",$AG58&gt;0,ORÇAMENTO.CustoUnitario&gt;$AG58),AND(TIPOORCAMENTO="LICITADO",ORÇAMENTO.PrecoUnitarioLicitado&gt;$AN58)),"ACIMA REF.","")))))</f>
        <v/>
      </c>
      <c r="AD58" t="str">
        <f ca="1">IF(C58&lt;=CRONO.NivelExibicao,MAX($AD$15:OFFSET(AD58,-1,0))+IF($C58&lt;&gt;1,1,MAX(1,COUNTIF(QCI!$A$13:$A$24,OFFSET($E58,-1,0)))),"")</f>
        <v/>
      </c>
      <c r="AE58" s="7" t="str">
        <f ca="1">IF(AND($C58="S",ORÇAMENTO.CodBarra&lt;&gt;""),IF(ORÇAMENTO.Fonte="",ORÇAMENTO.CodBarra,CONCATENATE(ORÇAMENTO.Fonte," ",ORÇAMENTO.CodBarra)))</f>
        <v>SINAPI 96557</v>
      </c>
      <c r="AF58" s="13" t="str">
        <f ca="1">IF(ISERROR(INDIRECT(ORÇAMENTO.BancoRef)),"(abra o arquivo 'Referência "&amp;Excel_BuiltIn_Database&amp;".xlsm)",IF(OR($C58&lt;&gt;"S",ORÇAMENTO.CodBarra=""),"(Sem Código)",IF(ISERROR(MATCH($AE58,INDIRECT(ORÇAMENTO.BancoRef),0)),"(Código não identificado nas referências)",MATCH($AE58,INDIRECT(ORÇAMENTO.BancoRef),0))))</f>
        <v>(abra o arquivo 'Referência 02-2025.xlsm)</v>
      </c>
      <c r="AG58" s="498">
        <f ca="1">ROUND(IF(DESONERACAO="sim",REFERENCIA.Desonerado,REFERENCIA.NaoDesonerado),2)</f>
        <v>0</v>
      </c>
      <c r="AH58" s="499">
        <f ca="1">ROUND(IF(ISNUMBER(ORÇAMENTO.OpcaoBDI),ORÇAMENTO.OpcaoBDI,IF(LEFT(ORÇAMENTO.OpcaoBDI,3)="BDI",HLOOKUP(ORÇAMENTO.OpcaoBDI,$F$4:$H$5,2,FALSE),0)),15-11*$AF$9)</f>
        <v>0.22470000000000001</v>
      </c>
      <c r="AJ58" s="501">
        <v>45.14</v>
      </c>
      <c r="AL58" s="527"/>
      <c r="AM58" s="381">
        <f t="shared" ca="1" si="0"/>
        <v>0</v>
      </c>
      <c r="AN58" s="566">
        <f ca="1">ROUND(ORÇAMENTO.CustoUnitario*(1+$AH58),2)</f>
        <v>0</v>
      </c>
    </row>
    <row r="59" spans="1:40" x14ac:dyDescent="0.2">
      <c r="A59">
        <f t="shared" si="1"/>
        <v>2</v>
      </c>
      <c r="B59">
        <f t="shared" ca="1" si="2"/>
        <v>2</v>
      </c>
      <c r="C59">
        <f t="shared" ca="1" si="3"/>
        <v>2</v>
      </c>
      <c r="D59">
        <f t="shared" ca="1" si="4"/>
        <v>46</v>
      </c>
      <c r="E59">
        <f ca="1">IF($C59=1,OFFSET(E59,-1,0)+MAX(1,COUNTIF(QCI!$A$13:$A$24,OFFSET(ORÇAMENTO!E59,-1,0))),OFFSET(E59,-1,0))</f>
        <v>1</v>
      </c>
      <c r="F59">
        <f t="shared" ca="1" si="5"/>
        <v>4</v>
      </c>
      <c r="G59">
        <f t="shared" ca="1" si="6"/>
        <v>0</v>
      </c>
      <c r="H59">
        <f t="shared" ca="1" si="7"/>
        <v>0</v>
      </c>
      <c r="I59">
        <f t="shared" ca="1" si="8"/>
        <v>0</v>
      </c>
      <c r="J59">
        <f t="shared" ca="1" si="9"/>
        <v>688</v>
      </c>
      <c r="K59">
        <f ca="1">IF(OR($C59="S",$C59=0),0,MATCH(OFFSET($D59,0,$C59)+IF($C59&lt;&gt;1,1,COUNTIF(QCI!$A$13:$A$24,ORÇAMENTO!E59)),OFFSET($D59,1,$C59,ROW($C$747)-ROW($C59)),0))</f>
        <v>46</v>
      </c>
      <c r="L59" s="116" t="str">
        <f t="shared" ca="1" si="10"/>
        <v>F</v>
      </c>
      <c r="M59" s="117" t="s">
        <v>196</v>
      </c>
      <c r="N59" s="118" t="str">
        <f t="shared" ca="1" si="11"/>
        <v>Nível 2</v>
      </c>
      <c r="O59" s="119" t="str">
        <f t="shared" ca="1" si="12"/>
        <v>1.4.</v>
      </c>
      <c r="P59" s="120" t="s">
        <v>247</v>
      </c>
      <c r="Q59" s="121"/>
      <c r="R59" s="122" t="str">
        <f ca="1">IF($C59="S",REFERENCIA.Descricao,"SUPERESTRUTURA")</f>
        <v>SUPERESTRUTURA</v>
      </c>
      <c r="S59" s="123" t="str">
        <f ca="1">REFERENCIA.Unidade</f>
        <v>-</v>
      </c>
      <c r="T59" s="124">
        <f ca="1">OFFSET(CÁLCULO!H$15,ROW($T59)-ROW(T$15),0)</f>
        <v>0</v>
      </c>
      <c r="U59" s="125">
        <f t="shared" ca="1" si="17"/>
        <v>0</v>
      </c>
      <c r="V59" s="126" t="s">
        <v>156</v>
      </c>
      <c r="W59" s="124">
        <f ca="1">IF($C59="S",ROUND(IF(TIPOORCAMENTO="Proposto",ORÇAMENTO.CustoUnitario*(1+$AH59),ORÇAMENTO.PrecoUnitarioLicitado),15-13*$AF$10),0)</f>
        <v>0</v>
      </c>
      <c r="X59" s="127">
        <f ca="1">IF($C59="S",IF(Import.TipoArredondamento&lt;&gt;"TransfereGOV",VTOTAL1,SUM(OFFSET(CÁLCULO!$AA$15,ROW($X59)-ROW($X$15),1):OFFSET(CÁLCULO!$AL$15,ROW($X59)-ROW($X$15),-1))),IF($C59=0,0,ROUND(SomaAgrup,15-13*$AF$11)))</f>
        <v>0</v>
      </c>
      <c r="Y59" s="128" t="s">
        <v>245</v>
      </c>
      <c r="Z59" t="str">
        <f t="shared" ca="1" si="13"/>
        <v/>
      </c>
      <c r="AA59" s="129">
        <f ca="1">IF($C59="S",IF($Z59="CP",$X59,IF($Z59="RA",(($X59)*QCI!$AA$3),0)),SomaAgrup)</f>
        <v>0</v>
      </c>
      <c r="AB59" s="130">
        <f t="shared" ca="1" si="14"/>
        <v>0</v>
      </c>
      <c r="AC59" s="131" t="str">
        <f ca="1">IF($N59="","",IF(ORÇAMENTO.Descricao="","DESCRIÇÃO",IF(AND($C59="S",ORÇAMENTO.Unidade=""),"UNIDADE",IF($X59&lt;0,"VALOR NEGATIVO",IF(OR(AND(TIPOORCAMENTO="Proposto",$AG59&lt;&gt;"",$AG59&gt;0,ORÇAMENTO.CustoUnitario&gt;$AG59),AND(TIPOORCAMENTO="LICITADO",ORÇAMENTO.PrecoUnitarioLicitado&gt;$AN59)),"ACIMA REF.","")))))</f>
        <v/>
      </c>
      <c r="AD59">
        <f ca="1">IF(C59&lt;=CRONO.NivelExibicao,MAX($AD$15:OFFSET(AD59,-1,0))+IF($C59&lt;&gt;1,1,MAX(1,COUNTIF(QCI!$A$13:$A$24,OFFSET($E59,-1,0)))),"")</f>
        <v>5</v>
      </c>
      <c r="AE59" s="7" t="b">
        <f ca="1">IF(AND($C59="S",ORÇAMENTO.CodBarra&lt;&gt;""),IF(ORÇAMENTO.Fonte="",ORÇAMENTO.CodBarra,CONCATENATE(ORÇAMENTO.Fonte," ",ORÇAMENTO.CodBarra)))</f>
        <v>0</v>
      </c>
      <c r="AF59" s="13" t="str">
        <f ca="1">IF(ISERROR(INDIRECT(ORÇAMENTO.BancoRef)),"(abra o arquivo 'Referência "&amp;Excel_BuiltIn_Database&amp;".xlsm)",IF(OR($C59&lt;&gt;"S",ORÇAMENTO.CodBarra=""),"(Sem Código)",IF(ISERROR(MATCH($AE59,INDIRECT(ORÇAMENTO.BancoRef),0)),"(Código não identificado nas referências)",MATCH($AE59,INDIRECT(ORÇAMENTO.BancoRef),0))))</f>
        <v>(abra o arquivo 'Referência 02-2025.xlsm)</v>
      </c>
      <c r="AG59" s="498">
        <f ca="1">ROUND(IF(DESONERACAO="sim",REFERENCIA.Desonerado,REFERENCIA.NaoDesonerado),2)</f>
        <v>0</v>
      </c>
      <c r="AH59" s="499">
        <f t="shared" ca="1" si="15"/>
        <v>0.22470000000000001</v>
      </c>
      <c r="AJ59" s="501"/>
      <c r="AL59" s="527"/>
      <c r="AM59" s="381">
        <f t="shared" ca="1" si="0"/>
        <v>0</v>
      </c>
      <c r="AN59" s="566">
        <f t="shared" ca="1" si="16"/>
        <v>0</v>
      </c>
    </row>
    <row r="60" spans="1:40" x14ac:dyDescent="0.2">
      <c r="A60">
        <f t="shared" si="1"/>
        <v>3</v>
      </c>
      <c r="B60">
        <f t="shared" ca="1" si="2"/>
        <v>3</v>
      </c>
      <c r="C60">
        <f t="shared" ca="1" si="3"/>
        <v>3</v>
      </c>
      <c r="D60">
        <f t="shared" ca="1" si="4"/>
        <v>11</v>
      </c>
      <c r="E60">
        <f ca="1">IF($C60=1,OFFSET(E60,-1,0)+MAX(1,COUNTIF(QCI!$A$13:$A$24,OFFSET(ORÇAMENTO!E60,-1,0))),OFFSET(E60,-1,0))</f>
        <v>1</v>
      </c>
      <c r="F60">
        <f t="shared" ca="1" si="5"/>
        <v>4</v>
      </c>
      <c r="G60">
        <f t="shared" ca="1" si="6"/>
        <v>1</v>
      </c>
      <c r="H60">
        <f t="shared" ca="1" si="7"/>
        <v>0</v>
      </c>
      <c r="I60">
        <f t="shared" ca="1" si="8"/>
        <v>0</v>
      </c>
      <c r="J60">
        <f t="shared" ca="1" si="9"/>
        <v>45</v>
      </c>
      <c r="K60">
        <f ca="1">IF(OR($C60="S",$C60=0),0,MATCH(OFFSET($D60,0,$C60)+IF($C60&lt;&gt;1,1,COUNTIF(QCI!$A$13:$A$24,ORÇAMENTO!E60)),OFFSET($D60,1,$C60,ROW($C$747)-ROW($C60)),0))</f>
        <v>11</v>
      </c>
      <c r="L60" s="116" t="str">
        <f t="shared" ca="1" si="10"/>
        <v>F</v>
      </c>
      <c r="M60" s="117" t="s">
        <v>197</v>
      </c>
      <c r="N60" s="118" t="str">
        <f t="shared" ca="1" si="11"/>
        <v>Nível 3</v>
      </c>
      <c r="O60" s="119" t="str">
        <f t="shared" ca="1" si="12"/>
        <v>1.4.1.</v>
      </c>
      <c r="P60" s="120" t="s">
        <v>247</v>
      </c>
      <c r="Q60" s="121"/>
      <c r="R60" s="122" t="s">
        <v>895</v>
      </c>
      <c r="S60" s="123" t="str">
        <f ca="1">REFERENCIA.Unidade</f>
        <v>-</v>
      </c>
      <c r="T60" s="124">
        <f ca="1">OFFSET(CÁLCULO!H$15,ROW($T60)-ROW(T$15),0)</f>
        <v>0</v>
      </c>
      <c r="U60" s="125">
        <f t="shared" ca="1" si="17"/>
        <v>0</v>
      </c>
      <c r="V60" s="126" t="s">
        <v>156</v>
      </c>
      <c r="W60" s="124">
        <f ca="1">IF($C60="S",ROUND(IF(TIPOORCAMENTO="Proposto",ORÇAMENTO.CustoUnitario*(1+$AH60),ORÇAMENTO.PrecoUnitarioLicitado),15-13*$AF$10),0)</f>
        <v>0</v>
      </c>
      <c r="X60" s="127">
        <f ca="1">IF($C60="S",IF(Import.TipoArredondamento&lt;&gt;"TransfereGOV",VTOTAL1,SUM(OFFSET(CÁLCULO!$AA$15,ROW($X60)-ROW($X$15),1):OFFSET(CÁLCULO!$AL$15,ROW($X60)-ROW($X$15),-1))),IF($C60=0,0,ROUND(SomaAgrup,15-13*$AF$11)))</f>
        <v>0</v>
      </c>
      <c r="Y60" s="128" t="s">
        <v>245</v>
      </c>
      <c r="Z60" t="str">
        <f t="shared" ca="1" si="13"/>
        <v/>
      </c>
      <c r="AA60" s="129">
        <f ca="1">IF($C60="S",IF($Z60="CP",$X60,IF($Z60="RA",(($X60)*QCI!$AA$3),0)),SomaAgrup)</f>
        <v>0</v>
      </c>
      <c r="AB60" s="130">
        <f t="shared" ca="1" si="14"/>
        <v>0</v>
      </c>
      <c r="AC60" s="131" t="str">
        <f ca="1">IF($N60="","",IF(ORÇAMENTO.Descricao="","DESCRIÇÃO",IF(AND($C60="S",ORÇAMENTO.Unidade=""),"UNIDADE",IF($X60&lt;0,"VALOR NEGATIVO",IF(OR(AND(TIPOORCAMENTO="Proposto",$AG60&lt;&gt;"",$AG60&gt;0,ORÇAMENTO.CustoUnitario&gt;$AG60),AND(TIPOORCAMENTO="LICITADO",ORÇAMENTO.PrecoUnitarioLicitado&gt;$AN60)),"ACIMA REF.","")))))</f>
        <v/>
      </c>
      <c r="AD60" t="str">
        <f ca="1">IF(C60&lt;=CRONO.NivelExibicao,MAX($AD$15:OFFSET(AD60,-1,0))+IF($C60&lt;&gt;1,1,MAX(1,COUNTIF(QCI!$A$13:$A$24,OFFSET($E60,-1,0)))),"")</f>
        <v/>
      </c>
      <c r="AE60" s="7" t="b">
        <f ca="1">IF(AND($C60="S",ORÇAMENTO.CodBarra&lt;&gt;""),IF(ORÇAMENTO.Fonte="",ORÇAMENTO.CodBarra,CONCATENATE(ORÇAMENTO.Fonte," ",ORÇAMENTO.CodBarra)))</f>
        <v>0</v>
      </c>
      <c r="AF60" s="13" t="str">
        <f ca="1">IF(ISERROR(INDIRECT(ORÇAMENTO.BancoRef)),"(abra o arquivo 'Referência "&amp;Excel_BuiltIn_Database&amp;".xlsm)",IF(OR($C60&lt;&gt;"S",ORÇAMENTO.CodBarra=""),"(Sem Código)",IF(ISERROR(MATCH($AE60,INDIRECT(ORÇAMENTO.BancoRef),0)),"(Código não identificado nas referências)",MATCH($AE60,INDIRECT(ORÇAMENTO.BancoRef),0))))</f>
        <v>(abra o arquivo 'Referência 02-2025.xlsm)</v>
      </c>
      <c r="AG60" s="498">
        <f ca="1">ROUND(IF(DESONERACAO="sim",REFERENCIA.Desonerado,REFERENCIA.NaoDesonerado),2)</f>
        <v>0</v>
      </c>
      <c r="AH60" s="499">
        <f t="shared" ca="1" si="15"/>
        <v>0.22470000000000001</v>
      </c>
      <c r="AJ60" s="501"/>
      <c r="AL60" s="527"/>
      <c r="AM60" s="381">
        <f t="shared" ca="1" si="0"/>
        <v>0</v>
      </c>
      <c r="AN60" s="566">
        <f t="shared" ca="1" si="16"/>
        <v>0</v>
      </c>
    </row>
    <row r="61" spans="1:40" ht="25.5" x14ac:dyDescent="0.2">
      <c r="A61" t="str">
        <f t="shared" si="1"/>
        <v>S</v>
      </c>
      <c r="B61">
        <f t="shared" ca="1" si="2"/>
        <v>3</v>
      </c>
      <c r="C61" t="str">
        <f t="shared" ca="1" si="3"/>
        <v>S</v>
      </c>
      <c r="D61">
        <f t="shared" ca="1" si="4"/>
        <v>0</v>
      </c>
      <c r="E61">
        <f ca="1">IF($C61=1,OFFSET(E61,-1,0)+MAX(1,COUNTIF(QCI!$A$13:$A$24,OFFSET(ORÇAMENTO!E61,-1,0))),OFFSET(E61,-1,0))</f>
        <v>1</v>
      </c>
      <c r="F61">
        <f t="shared" ca="1" si="5"/>
        <v>4</v>
      </c>
      <c r="G61">
        <f t="shared" ca="1" si="6"/>
        <v>1</v>
      </c>
      <c r="H61">
        <f t="shared" ca="1" si="7"/>
        <v>0</v>
      </c>
      <c r="I61">
        <f t="shared" ca="1" si="8"/>
        <v>0</v>
      </c>
      <c r="J61">
        <f t="shared" ca="1" si="9"/>
        <v>0</v>
      </c>
      <c r="K61">
        <f ca="1">IF(OR($C61="S",$C61=0),0,MATCH(OFFSET($D61,0,$C61)+IF($C61&lt;&gt;1,1,COUNTIF(QCI!$A$13:$A$24,ORÇAMENTO!E61)),OFFSET($D61,1,$C61,ROW($C$747)-ROW($C61)),0))</f>
        <v>0</v>
      </c>
      <c r="L61" s="116" t="str">
        <f t="shared" ca="1" si="10"/>
        <v/>
      </c>
      <c r="M61" s="117" t="s">
        <v>199</v>
      </c>
      <c r="N61" s="118" t="str">
        <f t="shared" ca="1" si="11"/>
        <v>Serviço</v>
      </c>
      <c r="O61" s="119" t="str">
        <f t="shared" ca="1" si="12"/>
        <v>-</v>
      </c>
      <c r="P61" s="120" t="s">
        <v>247</v>
      </c>
      <c r="Q61" s="121" t="s">
        <v>1003</v>
      </c>
      <c r="R61" s="122" t="str">
        <f ca="1">IF($C61="S",REFERENCIA.Descricao,"(digite a descrição aqui)")</f>
        <v>(abra o arquivo 'Referência 02-2025.xlsm)</v>
      </c>
      <c r="S61" s="123" t="str">
        <f ca="1">REFERENCIA.Unidade</f>
        <v>-</v>
      </c>
      <c r="T61" s="124">
        <f ca="1">OFFSET(CÁLCULO!H$15,ROW($T61)-ROW(T$15),0)</f>
        <v>43.64</v>
      </c>
      <c r="U61" s="125">
        <f t="shared" ca="1" si="17"/>
        <v>0</v>
      </c>
      <c r="V61" s="126" t="s">
        <v>156</v>
      </c>
      <c r="W61" s="124">
        <f ca="1">IF($C61="S",ROUND(IF(TIPOORCAMENTO="Proposto",ORÇAMENTO.CustoUnitario*(1+$AH61),ORÇAMENTO.PrecoUnitarioLicitado),15-13*$AF$10),0)</f>
        <v>0</v>
      </c>
      <c r="X61" s="127">
        <f ca="1">IF($C61="S",IF(Import.TipoArredondamento&lt;&gt;"TransfereGOV",VTOTAL1,SUM(OFFSET(CÁLCULO!$AA$15,ROW($X61)-ROW($X$15),1):OFFSET(CÁLCULO!$AL$15,ROW($X61)-ROW($X$15),-1))),IF($C61=0,0,ROUND(SomaAgrup,15-13*$AF$11)))</f>
        <v>0</v>
      </c>
      <c r="Y61" s="128" t="s">
        <v>245</v>
      </c>
      <c r="Z61" t="str">
        <f t="shared" ca="1" si="13"/>
        <v/>
      </c>
      <c r="AA61" s="129">
        <f ca="1">IF($C61="S",IF($Z61="CP",$X61,IF($Z61="RA",(($X61)*QCI!$AA$3),0)),SomaAgrup)</f>
        <v>0</v>
      </c>
      <c r="AB61" s="130">
        <f t="shared" ca="1" si="14"/>
        <v>0</v>
      </c>
      <c r="AC61" s="131" t="str">
        <f ca="1">IF($N61="","",IF(ORÇAMENTO.Descricao="","DESCRIÇÃO",IF(AND($C61="S",ORÇAMENTO.Unidade=""),"UNIDADE",IF($X61&lt;0,"VALOR NEGATIVO",IF(OR(AND(TIPOORCAMENTO="Proposto",$AG61&lt;&gt;"",$AG61&gt;0,ORÇAMENTO.CustoUnitario&gt;$AG61),AND(TIPOORCAMENTO="LICITADO",ORÇAMENTO.PrecoUnitarioLicitado&gt;$AN61)),"ACIMA REF.","")))))</f>
        <v/>
      </c>
      <c r="AD61" t="str">
        <f ca="1">IF(C61&lt;=CRONO.NivelExibicao,MAX($AD$15:OFFSET(AD61,-1,0))+IF($C61&lt;&gt;1,1,MAX(1,COUNTIF(QCI!$A$13:$A$24,OFFSET($E61,-1,0)))),"")</f>
        <v/>
      </c>
      <c r="AE61" s="7" t="str">
        <f ca="1">IF(AND($C61="S",ORÇAMENTO.CodBarra&lt;&gt;""),IF(ORÇAMENTO.Fonte="",ORÇAMENTO.CodBarra,CONCATENATE(ORÇAMENTO.Fonte," ",ORÇAMENTO.CodBarra)))</f>
        <v>SINAPI 96621</v>
      </c>
      <c r="AF61" s="13" t="str">
        <f ca="1">IF(ISERROR(INDIRECT(ORÇAMENTO.BancoRef)),"(abra o arquivo 'Referência "&amp;Excel_BuiltIn_Database&amp;".xlsm)",IF(OR($C61&lt;&gt;"S",ORÇAMENTO.CodBarra=""),"(Sem Código)",IF(ISERROR(MATCH($AE61,INDIRECT(ORÇAMENTO.BancoRef),0)),"(Código não identificado nas referências)",MATCH($AE61,INDIRECT(ORÇAMENTO.BancoRef),0))))</f>
        <v>(abra o arquivo 'Referência 02-2025.xlsm)</v>
      </c>
      <c r="AG61" s="498">
        <f ca="1">ROUND(IF(DESONERACAO="sim",REFERENCIA.Desonerado,REFERENCIA.NaoDesonerado),2)</f>
        <v>0</v>
      </c>
      <c r="AH61" s="499">
        <f t="shared" ca="1" si="15"/>
        <v>0.22470000000000001</v>
      </c>
      <c r="AJ61" s="501">
        <v>43.64</v>
      </c>
      <c r="AL61" s="527"/>
      <c r="AM61" s="381">
        <f t="shared" ca="1" si="0"/>
        <v>0</v>
      </c>
      <c r="AN61" s="566">
        <f t="shared" ca="1" si="16"/>
        <v>0</v>
      </c>
    </row>
    <row r="62" spans="1:40" ht="25.5" x14ac:dyDescent="0.2">
      <c r="A62" t="str">
        <f t="shared" si="1"/>
        <v>S</v>
      </c>
      <c r="B62">
        <f t="shared" ca="1" si="2"/>
        <v>3</v>
      </c>
      <c r="C62" t="str">
        <f t="shared" ca="1" si="3"/>
        <v>S</v>
      </c>
      <c r="D62">
        <f t="shared" ca="1" si="4"/>
        <v>0</v>
      </c>
      <c r="E62">
        <f ca="1">IF($C62=1,OFFSET(E62,-1,0)+MAX(1,COUNTIF(QCI!$A$13:$A$24,OFFSET(ORÇAMENTO!E62,-1,0))),OFFSET(E62,-1,0))</f>
        <v>1</v>
      </c>
      <c r="F62">
        <f t="shared" ca="1" si="5"/>
        <v>4</v>
      </c>
      <c r="G62">
        <f t="shared" ca="1" si="6"/>
        <v>1</v>
      </c>
      <c r="H62">
        <f t="shared" ca="1" si="7"/>
        <v>0</v>
      </c>
      <c r="I62">
        <f t="shared" ca="1" si="8"/>
        <v>0</v>
      </c>
      <c r="J62">
        <f t="shared" ca="1" si="9"/>
        <v>0</v>
      </c>
      <c r="K62">
        <f ca="1">IF(OR($C62="S",$C62=0),0,MATCH(OFFSET($D62,0,$C62)+IF($C62&lt;&gt;1,1,COUNTIF(QCI!$A$13:$A$24,ORÇAMENTO!E62)),OFFSET($D62,1,$C62,ROW($C$747)-ROW($C62)),0))</f>
        <v>0</v>
      </c>
      <c r="L62" s="116" t="str">
        <f t="shared" ca="1" si="10"/>
        <v/>
      </c>
      <c r="M62" s="117" t="s">
        <v>199</v>
      </c>
      <c r="N62" s="118" t="str">
        <f t="shared" ca="1" si="11"/>
        <v>Serviço</v>
      </c>
      <c r="O62" s="119" t="str">
        <f t="shared" ca="1" si="12"/>
        <v>-</v>
      </c>
      <c r="P62" s="120" t="s">
        <v>247</v>
      </c>
      <c r="Q62" s="121" t="s">
        <v>455</v>
      </c>
      <c r="R62" s="122" t="str">
        <f ca="1">IF($C62="S",REFERENCIA.Descricao,"(digite a descrição aqui)")</f>
        <v>(abra o arquivo 'Referência 02-2025.xlsm)</v>
      </c>
      <c r="S62" s="123" t="str">
        <f ca="1">REFERENCIA.Unidade</f>
        <v>-</v>
      </c>
      <c r="T62" s="124">
        <f ca="1">OFFSET(CÁLCULO!H$15,ROW($T62)-ROW(T$15),0)</f>
        <v>872.87</v>
      </c>
      <c r="U62" s="125">
        <f t="shared" ca="1" si="17"/>
        <v>0</v>
      </c>
      <c r="V62" s="126" t="s">
        <v>156</v>
      </c>
      <c r="W62" s="124">
        <f ca="1">IF($C62="S",ROUND(IF(TIPOORCAMENTO="Proposto",ORÇAMENTO.CustoUnitario*(1+$AH62),ORÇAMENTO.PrecoUnitarioLicitado),15-13*$AF$10),0)</f>
        <v>0</v>
      </c>
      <c r="X62" s="127">
        <f ca="1">IF($C62="S",IF(Import.TipoArredondamento&lt;&gt;"TransfereGOV",VTOTAL1,SUM(OFFSET(CÁLCULO!$AA$15,ROW($X62)-ROW($X$15),1):OFFSET(CÁLCULO!$AL$15,ROW($X62)-ROW($X$15),-1))),IF($C62=0,0,ROUND(SomaAgrup,15-13*$AF$11)))</f>
        <v>0</v>
      </c>
      <c r="Y62" s="128" t="s">
        <v>245</v>
      </c>
      <c r="Z62" t="str">
        <f t="shared" ca="1" si="13"/>
        <v/>
      </c>
      <c r="AA62" s="129">
        <f ca="1">IF($C62="S",IF($Z62="CP",$X62,IF($Z62="RA",(($X62)*QCI!$AA$3),0)),SomaAgrup)</f>
        <v>0</v>
      </c>
      <c r="AB62" s="130">
        <f t="shared" ca="1" si="14"/>
        <v>0</v>
      </c>
      <c r="AC62" s="131" t="str">
        <f ca="1">IF($N62="","",IF(ORÇAMENTO.Descricao="","DESCRIÇÃO",IF(AND($C62="S",ORÇAMENTO.Unidade=""),"UNIDADE",IF($X62&lt;0,"VALOR NEGATIVO",IF(OR(AND(TIPOORCAMENTO="Proposto",$AG62&lt;&gt;"",$AG62&gt;0,ORÇAMENTO.CustoUnitario&gt;$AG62),AND(TIPOORCAMENTO="LICITADO",ORÇAMENTO.PrecoUnitarioLicitado&gt;$AN62)),"ACIMA REF.","")))))</f>
        <v/>
      </c>
      <c r="AD62" t="str">
        <f ca="1">IF(C62&lt;=CRONO.NivelExibicao,MAX($AD$15:OFFSET(AD62,-1,0))+IF($C62&lt;&gt;1,1,MAX(1,COUNTIF(QCI!$A$13:$A$24,OFFSET($E62,-1,0)))),"")</f>
        <v/>
      </c>
      <c r="AE62" s="7" t="str">
        <f ca="1">IF(AND($C62="S",ORÇAMENTO.CodBarra&lt;&gt;""),IF(ORÇAMENTO.Fonte="",ORÇAMENTO.CodBarra,CONCATENATE(ORÇAMENTO.Fonte," ",ORÇAMENTO.CodBarra)))</f>
        <v>SINAPI 96619</v>
      </c>
      <c r="AF62" s="13" t="str">
        <f ca="1">IF(ISERROR(INDIRECT(ORÇAMENTO.BancoRef)),"(abra o arquivo 'Referência "&amp;Excel_BuiltIn_Database&amp;".xlsm)",IF(OR($C62&lt;&gt;"S",ORÇAMENTO.CodBarra=""),"(Sem Código)",IF(ISERROR(MATCH($AE62,INDIRECT(ORÇAMENTO.BancoRef),0)),"(Código não identificado nas referências)",MATCH($AE62,INDIRECT(ORÇAMENTO.BancoRef),0))))</f>
        <v>(abra o arquivo 'Referência 02-2025.xlsm)</v>
      </c>
      <c r="AG62" s="498">
        <f ca="1">ROUND(IF(DESONERACAO="sim",REFERENCIA.Desonerado,REFERENCIA.NaoDesonerado),2)</f>
        <v>0</v>
      </c>
      <c r="AH62" s="499">
        <f t="shared" ca="1" si="15"/>
        <v>0.22470000000000001</v>
      </c>
      <c r="AJ62" s="501">
        <v>872.87</v>
      </c>
      <c r="AL62" s="527"/>
      <c r="AM62" s="381">
        <f t="shared" ca="1" si="0"/>
        <v>0</v>
      </c>
      <c r="AN62" s="566">
        <f t="shared" ca="1" si="16"/>
        <v>0</v>
      </c>
    </row>
    <row r="63" spans="1:40" ht="38.25" x14ac:dyDescent="0.2">
      <c r="A63" t="str">
        <f t="shared" si="1"/>
        <v>S</v>
      </c>
      <c r="B63">
        <f t="shared" ca="1" si="2"/>
        <v>3</v>
      </c>
      <c r="C63" t="str">
        <f t="shared" ca="1" si="3"/>
        <v>S</v>
      </c>
      <c r="D63">
        <f t="shared" ca="1" si="4"/>
        <v>0</v>
      </c>
      <c r="E63">
        <f ca="1">IF($C63=1,OFFSET(E63,-1,0)+MAX(1,COUNTIF(QCI!$A$13:$A$24,OFFSET(ORÇAMENTO!E63,-1,0))),OFFSET(E63,-1,0))</f>
        <v>1</v>
      </c>
      <c r="F63">
        <f t="shared" ca="1" si="5"/>
        <v>4</v>
      </c>
      <c r="G63">
        <f t="shared" ca="1" si="6"/>
        <v>1</v>
      </c>
      <c r="H63">
        <f t="shared" ca="1" si="7"/>
        <v>0</v>
      </c>
      <c r="I63">
        <f t="shared" ca="1" si="8"/>
        <v>0</v>
      </c>
      <c r="J63">
        <f t="shared" ca="1" si="9"/>
        <v>0</v>
      </c>
      <c r="K63">
        <f ca="1">IF(OR($C63="S",$C63=0),0,MATCH(OFFSET($D63,0,$C63)+IF($C63&lt;&gt;1,1,COUNTIF(QCI!$A$13:$A$24,ORÇAMENTO!E63)),OFFSET($D63,1,$C63,ROW($C$747)-ROW($C63)),0))</f>
        <v>0</v>
      </c>
      <c r="L63" s="116" t="str">
        <f t="shared" ca="1" si="10"/>
        <v/>
      </c>
      <c r="M63" s="117" t="s">
        <v>199</v>
      </c>
      <c r="N63" s="118" t="str">
        <f t="shared" ca="1" si="11"/>
        <v>Serviço</v>
      </c>
      <c r="O63" s="119" t="str">
        <f t="shared" ca="1" si="12"/>
        <v>-</v>
      </c>
      <c r="P63" s="120" t="s">
        <v>247</v>
      </c>
      <c r="Q63" s="121" t="s">
        <v>1006</v>
      </c>
      <c r="R63" s="122" t="str">
        <f ca="1">IF($C63="S",REFERENCIA.Descricao,"(digite a descrição aqui)")</f>
        <v>(abra o arquivo 'Referência 02-2025.xlsm)</v>
      </c>
      <c r="S63" s="123" t="str">
        <f ca="1">REFERENCIA.Unidade</f>
        <v>-</v>
      </c>
      <c r="T63" s="124">
        <f ca="1">OFFSET(CÁLCULO!H$15,ROW($T63)-ROW(T$15),0)</f>
        <v>525.29999999999995</v>
      </c>
      <c r="U63" s="125">
        <f t="shared" ca="1" si="17"/>
        <v>0</v>
      </c>
      <c r="V63" s="126" t="s">
        <v>156</v>
      </c>
      <c r="W63" s="124">
        <f ca="1">IF($C63="S",ROUND(IF(TIPOORCAMENTO="Proposto",ORÇAMENTO.CustoUnitario*(1+$AH63),ORÇAMENTO.PrecoUnitarioLicitado),15-13*$AF$10),0)</f>
        <v>0</v>
      </c>
      <c r="X63" s="127">
        <f ca="1">IF($C63="S",IF(Import.TipoArredondamento&lt;&gt;"TransfereGOV",VTOTAL1,SUM(OFFSET(CÁLCULO!$AA$15,ROW($X63)-ROW($X$15),1):OFFSET(CÁLCULO!$AL$15,ROW($X63)-ROW($X$15),-1))),IF($C63=0,0,ROUND(SomaAgrup,15-13*$AF$11)))</f>
        <v>0</v>
      </c>
      <c r="Y63" s="128" t="s">
        <v>245</v>
      </c>
      <c r="Z63" t="str">
        <f t="shared" ca="1" si="13"/>
        <v/>
      </c>
      <c r="AA63" s="129">
        <f ca="1">IF($C63="S",IF($Z63="CP",$X63,IF($Z63="RA",(($X63)*QCI!$AA$3),0)),SomaAgrup)</f>
        <v>0</v>
      </c>
      <c r="AB63" s="130">
        <f t="shared" ca="1" si="14"/>
        <v>0</v>
      </c>
      <c r="AC63" s="131" t="str">
        <f ca="1">IF($N63="","",IF(ORÇAMENTO.Descricao="","DESCRIÇÃO",IF(AND($C63="S",ORÇAMENTO.Unidade=""),"UNIDADE",IF($X63&lt;0,"VALOR NEGATIVO",IF(OR(AND(TIPOORCAMENTO="Proposto",$AG63&lt;&gt;"",$AG63&gt;0,ORÇAMENTO.CustoUnitario&gt;$AG63),AND(TIPOORCAMENTO="LICITADO",ORÇAMENTO.PrecoUnitarioLicitado&gt;$AN63)),"ACIMA REF.","")))))</f>
        <v/>
      </c>
      <c r="AD63" t="str">
        <f ca="1">IF(C63&lt;=CRONO.NivelExibicao,MAX($AD$15:OFFSET(AD63,-1,0))+IF($C63&lt;&gt;1,1,MAX(1,COUNTIF(QCI!$A$13:$A$24,OFFSET($E63,-1,0)))),"")</f>
        <v/>
      </c>
      <c r="AE63" s="7" t="str">
        <f ca="1">IF(AND($C63="S",ORÇAMENTO.CodBarra&lt;&gt;""),IF(ORÇAMENTO.Fonte="",ORÇAMENTO.CodBarra,CONCATENATE(ORÇAMENTO.Fonte," ",ORÇAMENTO.CodBarra)))</f>
        <v>SINAPI 96536</v>
      </c>
      <c r="AF63" s="13" t="str">
        <f ca="1">IF(ISERROR(INDIRECT(ORÇAMENTO.BancoRef)),"(abra o arquivo 'Referência "&amp;Excel_BuiltIn_Database&amp;".xlsm)",IF(OR($C63&lt;&gt;"S",ORÇAMENTO.CodBarra=""),"(Sem Código)",IF(ISERROR(MATCH($AE63,INDIRECT(ORÇAMENTO.BancoRef),0)),"(Código não identificado nas referências)",MATCH($AE63,INDIRECT(ORÇAMENTO.BancoRef),0))))</f>
        <v>(abra o arquivo 'Referência 02-2025.xlsm)</v>
      </c>
      <c r="AG63" s="498">
        <f ca="1">ROUND(IF(DESONERACAO="sim",REFERENCIA.Desonerado,REFERENCIA.NaoDesonerado),2)</f>
        <v>0</v>
      </c>
      <c r="AH63" s="499">
        <f t="shared" ca="1" si="15"/>
        <v>0.22470000000000001</v>
      </c>
      <c r="AJ63" s="501">
        <v>525.29999999999995</v>
      </c>
      <c r="AL63" s="527"/>
      <c r="AM63" s="381">
        <f t="shared" ca="1" si="0"/>
        <v>0</v>
      </c>
      <c r="AN63" s="566">
        <f t="shared" ca="1" si="16"/>
        <v>0</v>
      </c>
    </row>
    <row r="64" spans="1:40" ht="25.5" x14ac:dyDescent="0.2">
      <c r="A64" t="str">
        <f t="shared" si="1"/>
        <v>S</v>
      </c>
      <c r="B64">
        <f t="shared" ca="1" si="2"/>
        <v>3</v>
      </c>
      <c r="C64" t="str">
        <f t="shared" ca="1" si="3"/>
        <v>S</v>
      </c>
      <c r="D64">
        <f t="shared" ca="1" si="4"/>
        <v>0</v>
      </c>
      <c r="E64">
        <f ca="1">IF($C64=1,OFFSET(E64,-1,0)+MAX(1,COUNTIF(QCI!$A$13:$A$24,OFFSET(ORÇAMENTO!E64,-1,0))),OFFSET(E64,-1,0))</f>
        <v>1</v>
      </c>
      <c r="F64">
        <f t="shared" ca="1" si="5"/>
        <v>4</v>
      </c>
      <c r="G64">
        <f t="shared" ca="1" si="6"/>
        <v>1</v>
      </c>
      <c r="H64">
        <f t="shared" ca="1" si="7"/>
        <v>0</v>
      </c>
      <c r="I64">
        <f t="shared" ca="1" si="8"/>
        <v>0</v>
      </c>
      <c r="J64">
        <f t="shared" ca="1" si="9"/>
        <v>0</v>
      </c>
      <c r="K64">
        <f ca="1">IF(OR($C64="S",$C64=0),0,MATCH(OFFSET($D64,0,$C64)+IF($C64&lt;&gt;1,1,COUNTIF(QCI!$A$13:$A$24,ORÇAMENTO!E64)),OFFSET($D64,1,$C64,ROW($C$747)-ROW($C64)),0))</f>
        <v>0</v>
      </c>
      <c r="L64" s="116" t="str">
        <f t="shared" ca="1" si="10"/>
        <v/>
      </c>
      <c r="M64" s="117" t="s">
        <v>199</v>
      </c>
      <c r="N64" s="118" t="str">
        <f t="shared" ca="1" si="11"/>
        <v>Serviço</v>
      </c>
      <c r="O64" s="119" t="str">
        <f t="shared" ca="1" si="12"/>
        <v>-</v>
      </c>
      <c r="P64" s="120" t="s">
        <v>247</v>
      </c>
      <c r="Q64" s="121" t="s">
        <v>458</v>
      </c>
      <c r="R64" s="122" t="str">
        <f ca="1">IF($C64="S",REFERENCIA.Descricao,"(digite a descrição aqui)")</f>
        <v>(abra o arquivo 'Referência 02-2025.xlsm)</v>
      </c>
      <c r="S64" s="123" t="str">
        <f ca="1">REFERENCIA.Unidade</f>
        <v>-</v>
      </c>
      <c r="T64" s="124">
        <f ca="1">OFFSET(CÁLCULO!H$15,ROW($T64)-ROW(T$15),0)</f>
        <v>589.1</v>
      </c>
      <c r="U64" s="125">
        <f t="shared" ca="1" si="17"/>
        <v>0</v>
      </c>
      <c r="V64" s="126" t="s">
        <v>156</v>
      </c>
      <c r="W64" s="124">
        <f ca="1">IF($C64="S",ROUND(IF(TIPOORCAMENTO="Proposto",ORÇAMENTO.CustoUnitario*(1+$AH64),ORÇAMENTO.PrecoUnitarioLicitado),15-13*$AF$10),0)</f>
        <v>0</v>
      </c>
      <c r="X64" s="127">
        <f ca="1">IF($C64="S",IF(Import.TipoArredondamento&lt;&gt;"TransfereGOV",VTOTAL1,SUM(OFFSET(CÁLCULO!$AA$15,ROW($X64)-ROW($X$15),1):OFFSET(CÁLCULO!$AL$15,ROW($X64)-ROW($X$15),-1))),IF($C64=0,0,ROUND(SomaAgrup,15-13*$AF$11)))</f>
        <v>0</v>
      </c>
      <c r="Y64" s="128" t="s">
        <v>245</v>
      </c>
      <c r="Z64" t="str">
        <f t="shared" ca="1" si="13"/>
        <v/>
      </c>
      <c r="AA64" s="129">
        <f ca="1">IF($C64="S",IF($Z64="CP",$X64,IF($Z64="RA",(($X64)*QCI!$AA$3),0)),SomaAgrup)</f>
        <v>0</v>
      </c>
      <c r="AB64" s="130">
        <f t="shared" ca="1" si="14"/>
        <v>0</v>
      </c>
      <c r="AC64" s="131" t="str">
        <f ca="1">IF($N64="","",IF(ORÇAMENTO.Descricao="","DESCRIÇÃO",IF(AND($C64="S",ORÇAMENTO.Unidade=""),"UNIDADE",IF($X64&lt;0,"VALOR NEGATIVO",IF(OR(AND(TIPOORCAMENTO="Proposto",$AG64&lt;&gt;"",$AG64&gt;0,ORÇAMENTO.CustoUnitario&gt;$AG64),AND(TIPOORCAMENTO="LICITADO",ORÇAMENTO.PrecoUnitarioLicitado&gt;$AN64)),"ACIMA REF.","")))))</f>
        <v/>
      </c>
      <c r="AD64" t="str">
        <f ca="1">IF(C64&lt;=CRONO.NivelExibicao,MAX($AD$15:OFFSET(AD64,-1,0))+IF($C64&lt;&gt;1,1,MAX(1,COUNTIF(QCI!$A$13:$A$24,OFFSET($E64,-1,0)))),"")</f>
        <v/>
      </c>
      <c r="AE64" s="7" t="str">
        <f ca="1">IF(AND($C64="S",ORÇAMENTO.CodBarra&lt;&gt;""),IF(ORÇAMENTO.Fonte="",ORÇAMENTO.CodBarra,CONCATENATE(ORÇAMENTO.Fonte," ",ORÇAMENTO.CodBarra)))</f>
        <v>SINAPI 104918</v>
      </c>
      <c r="AF64" s="13" t="str">
        <f ca="1">IF(ISERROR(INDIRECT(ORÇAMENTO.BancoRef)),"(abra o arquivo 'Referência "&amp;Excel_BuiltIn_Database&amp;".xlsm)",IF(OR($C64&lt;&gt;"S",ORÇAMENTO.CodBarra=""),"(Sem Código)",IF(ISERROR(MATCH($AE64,INDIRECT(ORÇAMENTO.BancoRef),0)),"(Código não identificado nas referências)",MATCH($AE64,INDIRECT(ORÇAMENTO.BancoRef),0))))</f>
        <v>(abra o arquivo 'Referência 02-2025.xlsm)</v>
      </c>
      <c r="AG64" s="498">
        <f ca="1">ROUND(IF(DESONERACAO="sim",REFERENCIA.Desonerado,REFERENCIA.NaoDesonerado),2)</f>
        <v>0</v>
      </c>
      <c r="AH64" s="499">
        <f t="shared" ca="1" si="15"/>
        <v>0.22470000000000001</v>
      </c>
      <c r="AJ64" s="501">
        <v>589.1</v>
      </c>
      <c r="AL64" s="527"/>
      <c r="AM64" s="381">
        <f t="shared" ca="1" si="0"/>
        <v>0</v>
      </c>
      <c r="AN64" s="566">
        <f t="shared" ca="1" si="16"/>
        <v>0</v>
      </c>
    </row>
    <row r="65" spans="1:40" ht="25.5" x14ac:dyDescent="0.2">
      <c r="A65" t="str">
        <f t="shared" si="1"/>
        <v>S</v>
      </c>
      <c r="B65">
        <f t="shared" ca="1" si="2"/>
        <v>3</v>
      </c>
      <c r="C65" t="str">
        <f t="shared" ca="1" si="3"/>
        <v>S</v>
      </c>
      <c r="D65">
        <f t="shared" ca="1" si="4"/>
        <v>0</v>
      </c>
      <c r="E65">
        <f ca="1">IF($C65=1,OFFSET(E65,-1,0)+MAX(1,COUNTIF(QCI!$A$13:$A$24,OFFSET(ORÇAMENTO!E65,-1,0))),OFFSET(E65,-1,0))</f>
        <v>1</v>
      </c>
      <c r="F65">
        <f t="shared" ca="1" si="5"/>
        <v>4</v>
      </c>
      <c r="G65">
        <f t="shared" ca="1" si="6"/>
        <v>1</v>
      </c>
      <c r="H65">
        <f t="shared" ca="1" si="7"/>
        <v>0</v>
      </c>
      <c r="I65">
        <f t="shared" ca="1" si="8"/>
        <v>0</v>
      </c>
      <c r="J65">
        <f t="shared" ca="1" si="9"/>
        <v>0</v>
      </c>
      <c r="K65">
        <f ca="1">IF(OR($C65="S",$C65=0),0,MATCH(OFFSET($D65,0,$C65)+IF($C65&lt;&gt;1,1,COUNTIF(QCI!$A$13:$A$24,ORÇAMENTO!E65)),OFFSET($D65,1,$C65,ROW($C$747)-ROW($C65)),0))</f>
        <v>0</v>
      </c>
      <c r="L65" s="116" t="str">
        <f t="shared" ca="1" si="10"/>
        <v/>
      </c>
      <c r="M65" s="117" t="s">
        <v>199</v>
      </c>
      <c r="N65" s="118" t="str">
        <f t="shared" ca="1" si="11"/>
        <v>Serviço</v>
      </c>
      <c r="O65" s="119" t="str">
        <f t="shared" ca="1" si="12"/>
        <v>-</v>
      </c>
      <c r="P65" s="120" t="s">
        <v>247</v>
      </c>
      <c r="Q65" s="121" t="s">
        <v>459</v>
      </c>
      <c r="R65" s="122" t="str">
        <f ca="1">IF($C65="S",REFERENCIA.Descricao,"(digite a descrição aqui)")</f>
        <v>(abra o arquivo 'Referência 02-2025.xlsm)</v>
      </c>
      <c r="S65" s="123" t="str">
        <f ca="1">REFERENCIA.Unidade</f>
        <v>-</v>
      </c>
      <c r="T65" s="124">
        <f ca="1">OFFSET(CÁLCULO!H$15,ROW($T65)-ROW(T$15),0)</f>
        <v>521.54999999999995</v>
      </c>
      <c r="U65" s="125">
        <f t="shared" ca="1" si="17"/>
        <v>0</v>
      </c>
      <c r="V65" s="126" t="s">
        <v>156</v>
      </c>
      <c r="W65" s="124">
        <f ca="1">IF($C65="S",ROUND(IF(TIPOORCAMENTO="Proposto",ORÇAMENTO.CustoUnitario*(1+$AH65),ORÇAMENTO.PrecoUnitarioLicitado),15-13*$AF$10),0)</f>
        <v>0</v>
      </c>
      <c r="X65" s="127">
        <f ca="1">IF($C65="S",IF(Import.TipoArredondamento&lt;&gt;"TransfereGOV",VTOTAL1,SUM(OFFSET(CÁLCULO!$AA$15,ROW($X65)-ROW($X$15),1):OFFSET(CÁLCULO!$AL$15,ROW($X65)-ROW($X$15),-1))),IF($C65=0,0,ROUND(SomaAgrup,15-13*$AF$11)))</f>
        <v>0</v>
      </c>
      <c r="Y65" s="128" t="s">
        <v>245</v>
      </c>
      <c r="Z65" t="str">
        <f t="shared" ca="1" si="13"/>
        <v/>
      </c>
      <c r="AA65" s="129">
        <f ca="1">IF($C65="S",IF($Z65="CP",$X65,IF($Z65="RA",(($X65)*QCI!$AA$3),0)),SomaAgrup)</f>
        <v>0</v>
      </c>
      <c r="AB65" s="130">
        <f t="shared" ca="1" si="14"/>
        <v>0</v>
      </c>
      <c r="AC65" s="131" t="str">
        <f ca="1">IF($N65="","",IF(ORÇAMENTO.Descricao="","DESCRIÇÃO",IF(AND($C65="S",ORÇAMENTO.Unidade=""),"UNIDADE",IF($X65&lt;0,"VALOR NEGATIVO",IF(OR(AND(TIPOORCAMENTO="Proposto",$AG65&lt;&gt;"",$AG65&gt;0,ORÇAMENTO.CustoUnitario&gt;$AG65),AND(TIPOORCAMENTO="LICITADO",ORÇAMENTO.PrecoUnitarioLicitado&gt;$AN65)),"ACIMA REF.","")))))</f>
        <v/>
      </c>
      <c r="AD65" t="str">
        <f ca="1">IF(C65&lt;=CRONO.NivelExibicao,MAX($AD$15:OFFSET(AD65,-1,0))+IF($C65&lt;&gt;1,1,MAX(1,COUNTIF(QCI!$A$13:$A$24,OFFSET($E65,-1,0)))),"")</f>
        <v/>
      </c>
      <c r="AE65" s="7" t="str">
        <f ca="1">IF(AND($C65="S",ORÇAMENTO.CodBarra&lt;&gt;""),IF(ORÇAMENTO.Fonte="",ORÇAMENTO.CodBarra,CONCATENATE(ORÇAMENTO.Fonte," ",ORÇAMENTO.CodBarra)))</f>
        <v>SINAPI 104919</v>
      </c>
      <c r="AF65" s="13" t="str">
        <f ca="1">IF(ISERROR(INDIRECT(ORÇAMENTO.BancoRef)),"(abra o arquivo 'Referência "&amp;Excel_BuiltIn_Database&amp;".xlsm)",IF(OR($C65&lt;&gt;"S",ORÇAMENTO.CodBarra=""),"(Sem Código)",IF(ISERROR(MATCH($AE65,INDIRECT(ORÇAMENTO.BancoRef),0)),"(Código não identificado nas referências)",MATCH($AE65,INDIRECT(ORÇAMENTO.BancoRef),0))))</f>
        <v>(abra o arquivo 'Referência 02-2025.xlsm)</v>
      </c>
      <c r="AG65" s="498">
        <f ca="1">ROUND(IF(DESONERACAO="sim",REFERENCIA.Desonerado,REFERENCIA.NaoDesonerado),2)</f>
        <v>0</v>
      </c>
      <c r="AH65" s="499">
        <f t="shared" ca="1" si="15"/>
        <v>0.22470000000000001</v>
      </c>
      <c r="AJ65" s="501">
        <v>521.54999999999995</v>
      </c>
      <c r="AL65" s="527"/>
      <c r="AM65" s="381">
        <f t="shared" ca="1" si="0"/>
        <v>0</v>
      </c>
      <c r="AN65" s="566">
        <f t="shared" ca="1" si="16"/>
        <v>0</v>
      </c>
    </row>
    <row r="66" spans="1:40" ht="38.25" x14ac:dyDescent="0.2">
      <c r="A66" t="str">
        <f t="shared" si="1"/>
        <v>S</v>
      </c>
      <c r="B66">
        <f t="shared" ca="1" si="2"/>
        <v>3</v>
      </c>
      <c r="C66" t="str">
        <f t="shared" ca="1" si="3"/>
        <v>S</v>
      </c>
      <c r="D66">
        <f t="shared" ca="1" si="4"/>
        <v>0</v>
      </c>
      <c r="E66">
        <f ca="1">IF($C66=1,OFFSET(E66,-1,0)+MAX(1,COUNTIF(QCI!$A$13:$A$24,OFFSET(ORÇAMENTO!E66,-1,0))),OFFSET(E66,-1,0))</f>
        <v>1</v>
      </c>
      <c r="F66">
        <f t="shared" ca="1" si="5"/>
        <v>4</v>
      </c>
      <c r="G66">
        <f t="shared" ca="1" si="6"/>
        <v>1</v>
      </c>
      <c r="H66">
        <f t="shared" ca="1" si="7"/>
        <v>0</v>
      </c>
      <c r="I66">
        <f t="shared" ca="1" si="8"/>
        <v>0</v>
      </c>
      <c r="J66">
        <f t="shared" ca="1" si="9"/>
        <v>0</v>
      </c>
      <c r="K66">
        <f ca="1">IF(OR($C66="S",$C66=0),0,MATCH(OFFSET($D66,0,$C66)+IF($C66&lt;&gt;1,1,COUNTIF(QCI!$A$13:$A$24,ORÇAMENTO!E66)),OFFSET($D66,1,$C66,ROW($C$747)-ROW($C66)),0))</f>
        <v>0</v>
      </c>
      <c r="L66" s="116" t="str">
        <f t="shared" ca="1" si="10"/>
        <v/>
      </c>
      <c r="M66" s="117" t="s">
        <v>199</v>
      </c>
      <c r="N66" s="118" t="str">
        <f t="shared" ca="1" si="11"/>
        <v>Serviço</v>
      </c>
      <c r="O66" s="119" t="str">
        <f t="shared" ca="1" si="12"/>
        <v>-</v>
      </c>
      <c r="P66" s="120" t="s">
        <v>247</v>
      </c>
      <c r="Q66" s="121" t="s">
        <v>464</v>
      </c>
      <c r="R66" s="122" t="str">
        <f ca="1">IF($C66="S",REFERENCIA.Descricao,"(digite a descrição aqui)")</f>
        <v>(abra o arquivo 'Referência 02-2025.xlsm)</v>
      </c>
      <c r="S66" s="123" t="str">
        <f ca="1">REFERENCIA.Unidade</f>
        <v>-</v>
      </c>
      <c r="T66" s="124">
        <f ca="1">OFFSET(CÁLCULO!H$15,ROW($T66)-ROW(T$15),0)</f>
        <v>1219.83</v>
      </c>
      <c r="U66" s="125">
        <f t="shared" ca="1" si="17"/>
        <v>0</v>
      </c>
      <c r="V66" s="126" t="s">
        <v>156</v>
      </c>
      <c r="W66" s="124">
        <f ca="1">IF($C66="S",ROUND(IF(TIPOORCAMENTO="Proposto",ORÇAMENTO.CustoUnitario*(1+$AH66),ORÇAMENTO.PrecoUnitarioLicitado),15-13*$AF$10),0)</f>
        <v>0</v>
      </c>
      <c r="X66" s="127">
        <f ca="1">IF($C66="S",IF(Import.TipoArredondamento&lt;&gt;"TransfereGOV",VTOTAL1,SUM(OFFSET(CÁLCULO!$AA$15,ROW($X66)-ROW($X$15),1):OFFSET(CÁLCULO!$AL$15,ROW($X66)-ROW($X$15),-1))),IF($C66=0,0,ROUND(SomaAgrup,15-13*$AF$11)))</f>
        <v>0</v>
      </c>
      <c r="Y66" s="128" t="s">
        <v>245</v>
      </c>
      <c r="Z66" t="str">
        <f t="shared" ca="1" si="13"/>
        <v/>
      </c>
      <c r="AA66" s="129">
        <f ca="1">IF($C66="S",IF($Z66="CP",$X66,IF($Z66="RA",(($X66)*QCI!$AA$3),0)),SomaAgrup)</f>
        <v>0</v>
      </c>
      <c r="AB66" s="130">
        <f t="shared" ca="1" si="14"/>
        <v>0</v>
      </c>
      <c r="AC66" s="131" t="str">
        <f ca="1">IF($N66="","",IF(ORÇAMENTO.Descricao="","DESCRIÇÃO",IF(AND($C66="S",ORÇAMENTO.Unidade=""),"UNIDADE",IF($X66&lt;0,"VALOR NEGATIVO",IF(OR(AND(TIPOORCAMENTO="Proposto",$AG66&lt;&gt;"",$AG66&gt;0,ORÇAMENTO.CustoUnitario&gt;$AG66),AND(TIPOORCAMENTO="LICITADO",ORÇAMENTO.PrecoUnitarioLicitado&gt;$AN66)),"ACIMA REF.","")))))</f>
        <v/>
      </c>
      <c r="AD66" t="str">
        <f ca="1">IF(C66&lt;=CRONO.NivelExibicao,MAX($AD$15:OFFSET(AD66,-1,0))+IF($C66&lt;&gt;1,1,MAX(1,COUNTIF(QCI!$A$13:$A$24,OFFSET($E66,-1,0)))),"")</f>
        <v/>
      </c>
      <c r="AE66" s="7" t="str">
        <f ca="1">IF(AND($C66="S",ORÇAMENTO.CodBarra&lt;&gt;""),IF(ORÇAMENTO.Fonte="",ORÇAMENTO.CodBarra,CONCATENATE(ORÇAMENTO.Fonte," ",ORÇAMENTO.CodBarra)))</f>
        <v>SINAPI 104920</v>
      </c>
      <c r="AF66" s="13" t="str">
        <f ca="1">IF(ISERROR(INDIRECT(ORÇAMENTO.BancoRef)),"(abra o arquivo 'Referência "&amp;Excel_BuiltIn_Database&amp;".xlsm)",IF(OR($C66&lt;&gt;"S",ORÇAMENTO.CodBarra=""),"(Sem Código)",IF(ISERROR(MATCH($AE66,INDIRECT(ORÇAMENTO.BancoRef),0)),"(Código não identificado nas referências)",MATCH($AE66,INDIRECT(ORÇAMENTO.BancoRef),0))))</f>
        <v>(abra o arquivo 'Referência 02-2025.xlsm)</v>
      </c>
      <c r="AG66" s="498">
        <f ca="1">ROUND(IF(DESONERACAO="sim",REFERENCIA.Desonerado,REFERENCIA.NaoDesonerado),2)</f>
        <v>0</v>
      </c>
      <c r="AH66" s="499">
        <f t="shared" ca="1" si="15"/>
        <v>0.22470000000000001</v>
      </c>
      <c r="AJ66" s="501">
        <v>1219.83</v>
      </c>
      <c r="AL66" s="527"/>
      <c r="AM66" s="381">
        <f t="shared" ca="1" si="0"/>
        <v>0</v>
      </c>
      <c r="AN66" s="566">
        <f t="shared" ca="1" si="16"/>
        <v>0</v>
      </c>
    </row>
    <row r="67" spans="1:40" ht="38.25" x14ac:dyDescent="0.2">
      <c r="A67" t="str">
        <f t="shared" si="1"/>
        <v>S</v>
      </c>
      <c r="B67">
        <f t="shared" ca="1" si="2"/>
        <v>3</v>
      </c>
      <c r="C67" t="str">
        <f t="shared" ca="1" si="3"/>
        <v>S</v>
      </c>
      <c r="D67">
        <f t="shared" ca="1" si="4"/>
        <v>0</v>
      </c>
      <c r="E67">
        <f ca="1">IF($C67=1,OFFSET(E67,-1,0)+MAX(1,COUNTIF(QCI!$A$13:$A$24,OFFSET(ORÇAMENTO!E67,-1,0))),OFFSET(E67,-1,0))</f>
        <v>1</v>
      </c>
      <c r="F67">
        <f t="shared" ca="1" si="5"/>
        <v>4</v>
      </c>
      <c r="G67">
        <f t="shared" ca="1" si="6"/>
        <v>1</v>
      </c>
      <c r="H67">
        <f t="shared" ca="1" si="7"/>
        <v>0</v>
      </c>
      <c r="I67">
        <f t="shared" ca="1" si="8"/>
        <v>0</v>
      </c>
      <c r="J67">
        <f t="shared" ca="1" si="9"/>
        <v>0</v>
      </c>
      <c r="K67">
        <f ca="1">IF(OR($C67="S",$C67=0),0,MATCH(OFFSET($D67,0,$C67)+IF($C67&lt;&gt;1,1,COUNTIF(QCI!$A$13:$A$24,ORÇAMENTO!E67)),OFFSET($D67,1,$C67,ROW($C$747)-ROW($C67)),0))</f>
        <v>0</v>
      </c>
      <c r="L67" s="116" t="str">
        <f t="shared" ca="1" si="10"/>
        <v/>
      </c>
      <c r="M67" s="117" t="s">
        <v>199</v>
      </c>
      <c r="N67" s="118" t="str">
        <f t="shared" ca="1" si="11"/>
        <v>Serviço</v>
      </c>
      <c r="O67" s="119" t="str">
        <f t="shared" ca="1" si="12"/>
        <v>-</v>
      </c>
      <c r="P67" s="120" t="s">
        <v>247</v>
      </c>
      <c r="Q67" s="121" t="s">
        <v>465</v>
      </c>
      <c r="R67" s="122" t="str">
        <f ca="1">IF($C67="S",REFERENCIA.Descricao,"(digite a descrição aqui)")</f>
        <v>(abra o arquivo 'Referência 02-2025.xlsm)</v>
      </c>
      <c r="S67" s="123" t="str">
        <f ca="1">REFERENCIA.Unidade</f>
        <v>-</v>
      </c>
      <c r="T67" s="124">
        <f ca="1">OFFSET(CÁLCULO!H$15,ROW($T67)-ROW(T$15),0)</f>
        <v>171.64</v>
      </c>
      <c r="U67" s="125">
        <f t="shared" ca="1" si="17"/>
        <v>0</v>
      </c>
      <c r="V67" s="126" t="s">
        <v>156</v>
      </c>
      <c r="W67" s="124">
        <f ca="1">IF($C67="S",ROUND(IF(TIPOORCAMENTO="Proposto",ORÇAMENTO.CustoUnitario*(1+$AH67),ORÇAMENTO.PrecoUnitarioLicitado),15-13*$AF$10),0)</f>
        <v>0</v>
      </c>
      <c r="X67" s="127">
        <f ca="1">IF($C67="S",IF(Import.TipoArredondamento&lt;&gt;"TransfereGOV",VTOTAL1,SUM(OFFSET(CÁLCULO!$AA$15,ROW($X67)-ROW($X$15),1):OFFSET(CÁLCULO!$AL$15,ROW($X67)-ROW($X$15),-1))),IF($C67=0,0,ROUND(SomaAgrup,15-13*$AF$11)))</f>
        <v>0</v>
      </c>
      <c r="Y67" s="128" t="s">
        <v>245</v>
      </c>
      <c r="Z67" t="str">
        <f t="shared" ca="1" si="13"/>
        <v/>
      </c>
      <c r="AA67" s="129">
        <f ca="1">IF($C67="S",IF($Z67="CP",$X67,IF($Z67="RA",(($X67)*QCI!$AA$3),0)),SomaAgrup)</f>
        <v>0</v>
      </c>
      <c r="AB67" s="130">
        <f t="shared" ca="1" si="14"/>
        <v>0</v>
      </c>
      <c r="AC67" s="131" t="str">
        <f ca="1">IF($N67="","",IF(ORÇAMENTO.Descricao="","DESCRIÇÃO",IF(AND($C67="S",ORÇAMENTO.Unidade=""),"UNIDADE",IF($X67&lt;0,"VALOR NEGATIVO",IF(OR(AND(TIPOORCAMENTO="Proposto",$AG67&lt;&gt;"",$AG67&gt;0,ORÇAMENTO.CustoUnitario&gt;$AG67),AND(TIPOORCAMENTO="LICITADO",ORÇAMENTO.PrecoUnitarioLicitado&gt;$AN67)),"ACIMA REF.","")))))</f>
        <v/>
      </c>
      <c r="AD67" t="str">
        <f ca="1">IF(C67&lt;=CRONO.NivelExibicao,MAX($AD$15:OFFSET(AD67,-1,0))+IF($C67&lt;&gt;1,1,MAX(1,COUNTIF(QCI!$A$13:$A$24,OFFSET($E67,-1,0)))),"")</f>
        <v/>
      </c>
      <c r="AE67" s="7" t="str">
        <f ca="1">IF(AND($C67="S",ORÇAMENTO.CodBarra&lt;&gt;""),IF(ORÇAMENTO.Fonte="",ORÇAMENTO.CodBarra,CONCATENATE(ORÇAMENTO.Fonte," ",ORÇAMENTO.CodBarra)))</f>
        <v>SINAPI 104921</v>
      </c>
      <c r="AF67" s="13" t="str">
        <f ca="1">IF(ISERROR(INDIRECT(ORÇAMENTO.BancoRef)),"(abra o arquivo 'Referência "&amp;Excel_BuiltIn_Database&amp;".xlsm)",IF(OR($C67&lt;&gt;"S",ORÇAMENTO.CodBarra=""),"(Sem Código)",IF(ISERROR(MATCH($AE67,INDIRECT(ORÇAMENTO.BancoRef),0)),"(Código não identificado nas referências)",MATCH($AE67,INDIRECT(ORÇAMENTO.BancoRef),0))))</f>
        <v>(abra o arquivo 'Referência 02-2025.xlsm)</v>
      </c>
      <c r="AG67" s="498">
        <f ca="1">ROUND(IF(DESONERACAO="sim",REFERENCIA.Desonerado,REFERENCIA.NaoDesonerado),2)</f>
        <v>0</v>
      </c>
      <c r="AH67" s="499">
        <f t="shared" ca="1" si="15"/>
        <v>0.22470000000000001</v>
      </c>
      <c r="AJ67" s="501">
        <v>171.64</v>
      </c>
      <c r="AL67" s="527"/>
      <c r="AM67" s="381">
        <f t="shared" ca="1" si="0"/>
        <v>0</v>
      </c>
      <c r="AN67" s="566">
        <f t="shared" ca="1" si="16"/>
        <v>0</v>
      </c>
    </row>
    <row r="68" spans="1:40" ht="25.5" x14ac:dyDescent="0.2">
      <c r="A68" t="str">
        <f t="shared" si="1"/>
        <v>S</v>
      </c>
      <c r="B68">
        <f t="shared" ca="1" si="2"/>
        <v>3</v>
      </c>
      <c r="C68" t="str">
        <f t="shared" ca="1" si="3"/>
        <v>S</v>
      </c>
      <c r="D68">
        <f t="shared" ca="1" si="4"/>
        <v>0</v>
      </c>
      <c r="E68">
        <f ca="1">IF($C68=1,OFFSET(E68,-1,0)+MAX(1,COUNTIF(QCI!$A$13:$A$24,OFFSET(ORÇAMENTO!E68,-1,0))),OFFSET(E68,-1,0))</f>
        <v>1</v>
      </c>
      <c r="F68">
        <f t="shared" ca="1" si="5"/>
        <v>4</v>
      </c>
      <c r="G68">
        <f t="shared" ca="1" si="6"/>
        <v>1</v>
      </c>
      <c r="H68">
        <f t="shared" ca="1" si="7"/>
        <v>0</v>
      </c>
      <c r="I68">
        <f t="shared" ca="1" si="8"/>
        <v>0</v>
      </c>
      <c r="J68">
        <f t="shared" ca="1" si="9"/>
        <v>0</v>
      </c>
      <c r="K68">
        <f ca="1">IF(OR($C68="S",$C68=0),0,MATCH(OFFSET($D68,0,$C68)+IF($C68&lt;&gt;1,1,COUNTIF(QCI!$A$13:$A$24,ORÇAMENTO!E68)),OFFSET($D68,1,$C68,ROW($C$747)-ROW($C68)),0))</f>
        <v>0</v>
      </c>
      <c r="L68" s="116" t="str">
        <f t="shared" ca="1" si="10"/>
        <v/>
      </c>
      <c r="M68" s="117" t="s">
        <v>199</v>
      </c>
      <c r="N68" s="118" t="str">
        <f t="shared" ca="1" si="11"/>
        <v>Serviço</v>
      </c>
      <c r="O68" s="119" t="str">
        <f t="shared" ca="1" si="12"/>
        <v>-</v>
      </c>
      <c r="P68" s="120" t="s">
        <v>247</v>
      </c>
      <c r="Q68" s="121" t="s">
        <v>466</v>
      </c>
      <c r="R68" s="122" t="str">
        <f ca="1">IF($C68="S",REFERENCIA.Descricao,"(digite a descrição aqui)")</f>
        <v>(abra o arquivo 'Referência 02-2025.xlsm)</v>
      </c>
      <c r="S68" s="123" t="str">
        <f ca="1">REFERENCIA.Unidade</f>
        <v>-</v>
      </c>
      <c r="T68" s="124">
        <f ca="1">OFFSET(CÁLCULO!H$15,ROW($T68)-ROW(T$15),0)</f>
        <v>32.950000000000003</v>
      </c>
      <c r="U68" s="125">
        <f t="shared" ca="1" si="17"/>
        <v>0</v>
      </c>
      <c r="V68" s="126" t="s">
        <v>156</v>
      </c>
      <c r="W68" s="124">
        <f ca="1">IF($C68="S",ROUND(IF(TIPOORCAMENTO="Proposto",ORÇAMENTO.CustoUnitario*(1+$AH68),ORÇAMENTO.PrecoUnitarioLicitado),15-13*$AF$10),0)</f>
        <v>0</v>
      </c>
      <c r="X68" s="127">
        <f ca="1">IF($C68="S",IF(Import.TipoArredondamento&lt;&gt;"TransfereGOV",VTOTAL1,SUM(OFFSET(CÁLCULO!$AA$15,ROW($X68)-ROW($X$15),1):OFFSET(CÁLCULO!$AL$15,ROW($X68)-ROW($X$15),-1))),IF($C68=0,0,ROUND(SomaAgrup,15-13*$AF$11)))</f>
        <v>0</v>
      </c>
      <c r="Y68" s="128" t="s">
        <v>245</v>
      </c>
      <c r="Z68" t="str">
        <f t="shared" ca="1" si="13"/>
        <v/>
      </c>
      <c r="AA68" s="129">
        <f ca="1">IF($C68="S",IF($Z68="CP",$X68,IF($Z68="RA",(($X68)*QCI!$AA$3),0)),SomaAgrup)</f>
        <v>0</v>
      </c>
      <c r="AB68" s="130">
        <f t="shared" ca="1" si="14"/>
        <v>0</v>
      </c>
      <c r="AC68" s="131" t="str">
        <f ca="1">IF($N68="","",IF(ORÇAMENTO.Descricao="","DESCRIÇÃO",IF(AND($C68="S",ORÇAMENTO.Unidade=""),"UNIDADE",IF($X68&lt;0,"VALOR NEGATIVO",IF(OR(AND(TIPOORCAMENTO="Proposto",$AG68&lt;&gt;"",$AG68&gt;0,ORÇAMENTO.CustoUnitario&gt;$AG68),AND(TIPOORCAMENTO="LICITADO",ORÇAMENTO.PrecoUnitarioLicitado&gt;$AN68)),"ACIMA REF.","")))))</f>
        <v/>
      </c>
      <c r="AD68" t="str">
        <f ca="1">IF(C68&lt;=CRONO.NivelExibicao,MAX($AD$15:OFFSET(AD68,-1,0))+IF($C68&lt;&gt;1,1,MAX(1,COUNTIF(QCI!$A$13:$A$24,OFFSET($E68,-1,0)))),"")</f>
        <v/>
      </c>
      <c r="AE68" s="7" t="str">
        <f ca="1">IF(AND($C68="S",ORÇAMENTO.CodBarra&lt;&gt;""),IF(ORÇAMENTO.Fonte="",ORÇAMENTO.CodBarra,CONCATENATE(ORÇAMENTO.Fonte," ",ORÇAMENTO.CodBarra)))</f>
        <v>SINAPI 104922</v>
      </c>
      <c r="AF68" s="13" t="str">
        <f ca="1">IF(ISERROR(INDIRECT(ORÇAMENTO.BancoRef)),"(abra o arquivo 'Referência "&amp;Excel_BuiltIn_Database&amp;".xlsm)",IF(OR($C68&lt;&gt;"S",ORÇAMENTO.CodBarra=""),"(Sem Código)",IF(ISERROR(MATCH($AE68,INDIRECT(ORÇAMENTO.BancoRef),0)),"(Código não identificado nas referências)",MATCH($AE68,INDIRECT(ORÇAMENTO.BancoRef),0))))</f>
        <v>(abra o arquivo 'Referência 02-2025.xlsm)</v>
      </c>
      <c r="AG68" s="498">
        <f ca="1">ROUND(IF(DESONERACAO="sim",REFERENCIA.Desonerado,REFERENCIA.NaoDesonerado),2)</f>
        <v>0</v>
      </c>
      <c r="AH68" s="499">
        <f t="shared" ca="1" si="15"/>
        <v>0.22470000000000001</v>
      </c>
      <c r="AJ68" s="501">
        <v>32.950000000000003</v>
      </c>
      <c r="AL68" s="527"/>
      <c r="AM68" s="381">
        <f t="shared" ca="1" si="0"/>
        <v>0</v>
      </c>
      <c r="AN68" s="566">
        <f t="shared" ca="1" si="16"/>
        <v>0</v>
      </c>
    </row>
    <row r="69" spans="1:40" ht="25.5" x14ac:dyDescent="0.2">
      <c r="A69" t="str">
        <f t="shared" si="1"/>
        <v>S</v>
      </c>
      <c r="B69">
        <f t="shared" ca="1" si="2"/>
        <v>3</v>
      </c>
      <c r="C69" t="str">
        <f t="shared" ca="1" si="3"/>
        <v>S</v>
      </c>
      <c r="D69">
        <f t="shared" ca="1" si="4"/>
        <v>0</v>
      </c>
      <c r="E69">
        <f ca="1">IF($C69=1,OFFSET(E69,-1,0)+MAX(1,COUNTIF(QCI!$A$13:$A$24,OFFSET(ORÇAMENTO!E69,-1,0))),OFFSET(E69,-1,0))</f>
        <v>1</v>
      </c>
      <c r="F69">
        <f t="shared" ca="1" si="5"/>
        <v>4</v>
      </c>
      <c r="G69">
        <f t="shared" ca="1" si="6"/>
        <v>1</v>
      </c>
      <c r="H69">
        <f t="shared" ca="1" si="7"/>
        <v>0</v>
      </c>
      <c r="I69">
        <f t="shared" ca="1" si="8"/>
        <v>0</v>
      </c>
      <c r="J69">
        <f t="shared" ca="1" si="9"/>
        <v>0</v>
      </c>
      <c r="K69">
        <f ca="1">IF(OR($C69="S",$C69=0),0,MATCH(OFFSET($D69,0,$C69)+IF($C69&lt;&gt;1,1,COUNTIF(QCI!$A$13:$A$24,ORÇAMENTO!E69)),OFFSET($D69,1,$C69,ROW($C$747)-ROW($C69)),0))</f>
        <v>0</v>
      </c>
      <c r="L69" s="116" t="str">
        <f t="shared" ca="1" si="10"/>
        <v/>
      </c>
      <c r="M69" s="117" t="s">
        <v>199</v>
      </c>
      <c r="N69" s="118" t="str">
        <f t="shared" ca="1" si="11"/>
        <v>Serviço</v>
      </c>
      <c r="O69" s="119" t="str">
        <f t="shared" ca="1" si="12"/>
        <v>-</v>
      </c>
      <c r="P69" s="120" t="s">
        <v>247</v>
      </c>
      <c r="Q69" s="121" t="s">
        <v>1005</v>
      </c>
      <c r="R69" s="122" t="str">
        <f ca="1">IF($C69="S",REFERENCIA.Descricao,"(digite a descrição aqui)")</f>
        <v>(abra o arquivo 'Referência 02-2025.xlsm)</v>
      </c>
      <c r="S69" s="123" t="str">
        <f ca="1">REFERENCIA.Unidade</f>
        <v>-</v>
      </c>
      <c r="T69" s="124">
        <f ca="1">OFFSET(CÁLCULO!H$15,ROW($T69)-ROW(T$15),0)</f>
        <v>795.26</v>
      </c>
      <c r="U69" s="125">
        <f t="shared" ca="1" si="17"/>
        <v>0</v>
      </c>
      <c r="V69" s="126" t="s">
        <v>156</v>
      </c>
      <c r="W69" s="124">
        <f ca="1">IF($C69="S",ROUND(IF(TIPOORCAMENTO="Proposto",ORÇAMENTO.CustoUnitario*(1+$AH69),ORÇAMENTO.PrecoUnitarioLicitado),15-13*$AF$10),0)</f>
        <v>0</v>
      </c>
      <c r="X69" s="127">
        <f ca="1">IF($C69="S",IF(Import.TipoArredondamento&lt;&gt;"TransfereGOV",VTOTAL1,SUM(OFFSET(CÁLCULO!$AA$15,ROW($X69)-ROW($X$15),1):OFFSET(CÁLCULO!$AL$15,ROW($X69)-ROW($X$15),-1))),IF($C69=0,0,ROUND(SomaAgrup,15-13*$AF$11)))</f>
        <v>0</v>
      </c>
      <c r="Y69" s="128" t="s">
        <v>245</v>
      </c>
      <c r="Z69" t="str">
        <f t="shared" ca="1" si="13"/>
        <v/>
      </c>
      <c r="AA69" s="129">
        <f ca="1">IF($C69="S",IF($Z69="CP",$X69,IF($Z69="RA",(($X69)*QCI!$AA$3),0)),SomaAgrup)</f>
        <v>0</v>
      </c>
      <c r="AB69" s="130">
        <f t="shared" ca="1" si="14"/>
        <v>0</v>
      </c>
      <c r="AC69" s="131" t="str">
        <f ca="1">IF($N69="","",IF(ORÇAMENTO.Descricao="","DESCRIÇÃO",IF(AND($C69="S",ORÇAMENTO.Unidade=""),"UNIDADE",IF($X69&lt;0,"VALOR NEGATIVO",IF(OR(AND(TIPOORCAMENTO="Proposto",$AG69&lt;&gt;"",$AG69&gt;0,ORÇAMENTO.CustoUnitario&gt;$AG69),AND(TIPOORCAMENTO="LICITADO",ORÇAMENTO.PrecoUnitarioLicitado&gt;$AN69)),"ACIMA REF.","")))))</f>
        <v/>
      </c>
      <c r="AD69" t="str">
        <f ca="1">IF(C69&lt;=CRONO.NivelExibicao,MAX($AD$15:OFFSET(AD69,-1,0))+IF($C69&lt;&gt;1,1,MAX(1,COUNTIF(QCI!$A$13:$A$24,OFFSET($E69,-1,0)))),"")</f>
        <v/>
      </c>
      <c r="AE69" s="7" t="str">
        <f ca="1">IF(AND($C69="S",ORÇAMENTO.CodBarra&lt;&gt;""),IF(ORÇAMENTO.Fonte="",ORÇAMENTO.CodBarra,CONCATENATE(ORÇAMENTO.Fonte," ",ORÇAMENTO.CodBarra)))</f>
        <v>SINAPI 104916</v>
      </c>
      <c r="AF69" s="13" t="str">
        <f ca="1">IF(ISERROR(INDIRECT(ORÇAMENTO.BancoRef)),"(abra o arquivo 'Referência "&amp;Excel_BuiltIn_Database&amp;".xlsm)",IF(OR($C69&lt;&gt;"S",ORÇAMENTO.CodBarra=""),"(Sem Código)",IF(ISERROR(MATCH($AE69,INDIRECT(ORÇAMENTO.BancoRef),0)),"(Código não identificado nas referências)",MATCH($AE69,INDIRECT(ORÇAMENTO.BancoRef),0))))</f>
        <v>(abra o arquivo 'Referência 02-2025.xlsm)</v>
      </c>
      <c r="AG69" s="498">
        <f ca="1">ROUND(IF(DESONERACAO="sim",REFERENCIA.Desonerado,REFERENCIA.NaoDesonerado),2)</f>
        <v>0</v>
      </c>
      <c r="AH69" s="499">
        <f t="shared" ca="1" si="15"/>
        <v>0.22470000000000001</v>
      </c>
      <c r="AJ69" s="501">
        <v>795.26</v>
      </c>
      <c r="AL69" s="527"/>
      <c r="AM69" s="381">
        <f t="shared" ca="1" si="0"/>
        <v>0</v>
      </c>
      <c r="AN69" s="566">
        <f t="shared" ca="1" si="16"/>
        <v>0</v>
      </c>
    </row>
    <row r="70" spans="1:40" ht="38.25" x14ac:dyDescent="0.2">
      <c r="A70" t="str">
        <f t="shared" si="1"/>
        <v>S</v>
      </c>
      <c r="B70">
        <f t="shared" ca="1" si="2"/>
        <v>3</v>
      </c>
      <c r="C70" t="str">
        <f t="shared" ca="1" si="3"/>
        <v>S</v>
      </c>
      <c r="D70">
        <f t="shared" ca="1" si="4"/>
        <v>0</v>
      </c>
      <c r="E70">
        <f ca="1">IF($C70=1,OFFSET(E70,-1,0)+MAX(1,COUNTIF(QCI!$A$13:$A$24,OFFSET(ORÇAMENTO!E70,-1,0))),OFFSET(E70,-1,0))</f>
        <v>1</v>
      </c>
      <c r="F70">
        <f t="shared" ca="1" si="5"/>
        <v>4</v>
      </c>
      <c r="G70">
        <f t="shared" ca="1" si="6"/>
        <v>1</v>
      </c>
      <c r="H70">
        <f t="shared" ca="1" si="7"/>
        <v>0</v>
      </c>
      <c r="I70">
        <f t="shared" ca="1" si="8"/>
        <v>0</v>
      </c>
      <c r="J70">
        <f t="shared" ca="1" si="9"/>
        <v>0</v>
      </c>
      <c r="K70">
        <f ca="1">IF(OR($C70="S",$C70=0),0,MATCH(OFFSET($D70,0,$C70)+IF($C70&lt;&gt;1,1,COUNTIF(QCI!$A$13:$A$24,ORÇAMENTO!E70)),OFFSET($D70,1,$C70,ROW($C$747)-ROW($C70)),0))</f>
        <v>0</v>
      </c>
      <c r="L70" s="116" t="str">
        <f t="shared" ca="1" si="10"/>
        <v/>
      </c>
      <c r="M70" s="117" t="s">
        <v>199</v>
      </c>
      <c r="N70" s="118" t="str">
        <f t="shared" ca="1" si="11"/>
        <v>Serviço</v>
      </c>
      <c r="O70" s="119" t="str">
        <f t="shared" ca="1" si="12"/>
        <v>-</v>
      </c>
      <c r="P70" s="120" t="s">
        <v>247</v>
      </c>
      <c r="Q70" s="121" t="s">
        <v>460</v>
      </c>
      <c r="R70" s="122" t="str">
        <f ca="1">IF($C70="S",REFERENCIA.Descricao,"(digite a descrição aqui)")</f>
        <v>(abra o arquivo 'Referência 02-2025.xlsm)</v>
      </c>
      <c r="S70" s="123" t="str">
        <f ca="1">REFERENCIA.Unidade</f>
        <v>-</v>
      </c>
      <c r="T70" s="124">
        <f ca="1">OFFSET(CÁLCULO!H$15,ROW($T70)-ROW(T$15),0)</f>
        <v>51.33</v>
      </c>
      <c r="U70" s="125">
        <f t="shared" ca="1" si="17"/>
        <v>0</v>
      </c>
      <c r="V70" s="126" t="s">
        <v>156</v>
      </c>
      <c r="W70" s="124">
        <f ca="1">IF($C70="S",ROUND(IF(TIPOORCAMENTO="Proposto",ORÇAMENTO.CustoUnitario*(1+$AH70),ORÇAMENTO.PrecoUnitarioLicitado),15-13*$AF$10),0)</f>
        <v>0</v>
      </c>
      <c r="X70" s="127">
        <f ca="1">IF($C70="S",IF(Import.TipoArredondamento&lt;&gt;"TransfereGOV",VTOTAL1,SUM(OFFSET(CÁLCULO!$AA$15,ROW($X70)-ROW($X$15),1):OFFSET(CÁLCULO!$AL$15,ROW($X70)-ROW($X$15),-1))),IF($C70=0,0,ROUND(SomaAgrup,15-13*$AF$11)))</f>
        <v>0</v>
      </c>
      <c r="Y70" s="128" t="s">
        <v>245</v>
      </c>
      <c r="Z70" t="str">
        <f t="shared" ca="1" si="13"/>
        <v/>
      </c>
      <c r="AA70" s="129">
        <f ca="1">IF($C70="S",IF($Z70="CP",$X70,IF($Z70="RA",(($X70)*QCI!$AA$3),0)),SomaAgrup)</f>
        <v>0</v>
      </c>
      <c r="AB70" s="130">
        <f t="shared" ca="1" si="14"/>
        <v>0</v>
      </c>
      <c r="AC70" s="131" t="str">
        <f ca="1">IF($N70="","",IF(ORÇAMENTO.Descricao="","DESCRIÇÃO",IF(AND($C70="S",ORÇAMENTO.Unidade=""),"UNIDADE",IF($X70&lt;0,"VALOR NEGATIVO",IF(OR(AND(TIPOORCAMENTO="Proposto",$AG70&lt;&gt;"",$AG70&gt;0,ORÇAMENTO.CustoUnitario&gt;$AG70),AND(TIPOORCAMENTO="LICITADO",ORÇAMENTO.PrecoUnitarioLicitado&gt;$AN70)),"ACIMA REF.","")))))</f>
        <v/>
      </c>
      <c r="AD70" t="str">
        <f ca="1">IF(C70&lt;=CRONO.NivelExibicao,MAX($AD$15:OFFSET(AD70,-1,0))+IF($C70&lt;&gt;1,1,MAX(1,COUNTIF(QCI!$A$13:$A$24,OFFSET($E70,-1,0)))),"")</f>
        <v/>
      </c>
      <c r="AE70" s="7" t="str">
        <f ca="1">IF(AND($C70="S",ORÇAMENTO.CodBarra&lt;&gt;""),IF(ORÇAMENTO.Fonte="",ORÇAMENTO.CodBarra,CONCATENATE(ORÇAMENTO.Fonte," ",ORÇAMENTO.CodBarra)))</f>
        <v>SINAPI 96557</v>
      </c>
      <c r="AF70" s="13" t="str">
        <f ca="1">IF(ISERROR(INDIRECT(ORÇAMENTO.BancoRef)),"(abra o arquivo 'Referência "&amp;Excel_BuiltIn_Database&amp;".xlsm)",IF(OR($C70&lt;&gt;"S",ORÇAMENTO.CodBarra=""),"(Sem Código)",IF(ISERROR(MATCH($AE70,INDIRECT(ORÇAMENTO.BancoRef),0)),"(Código não identificado nas referências)",MATCH($AE70,INDIRECT(ORÇAMENTO.BancoRef),0))))</f>
        <v>(abra o arquivo 'Referência 02-2025.xlsm)</v>
      </c>
      <c r="AG70" s="498">
        <f ca="1">ROUND(IF(DESONERACAO="sim",REFERENCIA.Desonerado,REFERENCIA.NaoDesonerado),2)</f>
        <v>0</v>
      </c>
      <c r="AH70" s="499">
        <f t="shared" ca="1" si="15"/>
        <v>0.22470000000000001</v>
      </c>
      <c r="AJ70" s="501">
        <v>51.33</v>
      </c>
      <c r="AL70" s="527"/>
      <c r="AM70" s="381">
        <f t="shared" ca="1" si="0"/>
        <v>0</v>
      </c>
      <c r="AN70" s="566">
        <f t="shared" ca="1" si="16"/>
        <v>0</v>
      </c>
    </row>
    <row r="71" spans="1:40" x14ac:dyDescent="0.2">
      <c r="A71">
        <f t="shared" si="1"/>
        <v>3</v>
      </c>
      <c r="B71">
        <f t="shared" ca="1" si="2"/>
        <v>3</v>
      </c>
      <c r="C71">
        <f t="shared" ca="1" si="3"/>
        <v>3</v>
      </c>
      <c r="D71">
        <f t="shared" ca="1" si="4"/>
        <v>7</v>
      </c>
      <c r="E71">
        <f ca="1">IF($C71=1,OFFSET(E71,-1,0)+MAX(1,COUNTIF(QCI!$A$13:$A$24,OFFSET(ORÇAMENTO!E71,-1,0))),OFFSET(E71,-1,0))</f>
        <v>1</v>
      </c>
      <c r="F71">
        <f t="shared" ca="1" si="5"/>
        <v>4</v>
      </c>
      <c r="G71">
        <f t="shared" ca="1" si="6"/>
        <v>2</v>
      </c>
      <c r="H71">
        <f t="shared" ca="1" si="7"/>
        <v>0</v>
      </c>
      <c r="I71">
        <f t="shared" ca="1" si="8"/>
        <v>0</v>
      </c>
      <c r="J71">
        <f t="shared" ca="1" si="9"/>
        <v>34</v>
      </c>
      <c r="K71">
        <f ca="1">IF(OR($C71="S",$C71=0),0,MATCH(OFFSET($D71,0,$C71)+IF($C71&lt;&gt;1,1,COUNTIF(QCI!$A$13:$A$24,ORÇAMENTO!E71)),OFFSET($D71,1,$C71,ROW($C$747)-ROW($C71)),0))</f>
        <v>7</v>
      </c>
      <c r="L71" s="116" t="str">
        <f t="shared" ca="1" si="10"/>
        <v>F</v>
      </c>
      <c r="M71" s="117" t="s">
        <v>197</v>
      </c>
      <c r="N71" s="118" t="str">
        <f t="shared" ca="1" si="11"/>
        <v>Nível 3</v>
      </c>
      <c r="O71" s="119" t="str">
        <f t="shared" ca="1" si="12"/>
        <v>1.4.2.</v>
      </c>
      <c r="P71" s="120" t="s">
        <v>247</v>
      </c>
      <c r="Q71" s="121"/>
      <c r="R71" s="122" t="s">
        <v>894</v>
      </c>
      <c r="S71" s="123" t="str">
        <f ca="1">REFERENCIA.Unidade</f>
        <v>-</v>
      </c>
      <c r="T71" s="124">
        <f ca="1">OFFSET(CÁLCULO!H$15,ROW($T71)-ROW(T$15),0)</f>
        <v>0</v>
      </c>
      <c r="U71" s="125">
        <f t="shared" ca="1" si="17"/>
        <v>0</v>
      </c>
      <c r="V71" s="126" t="s">
        <v>156</v>
      </c>
      <c r="W71" s="124">
        <f ca="1">IF($C71="S",ROUND(IF(TIPOORCAMENTO="Proposto",ORÇAMENTO.CustoUnitario*(1+$AH71),ORÇAMENTO.PrecoUnitarioLicitado),15-13*$AF$10),0)</f>
        <v>0</v>
      </c>
      <c r="X71" s="127">
        <f ca="1">IF($C71="S",IF(Import.TipoArredondamento&lt;&gt;"TransfereGOV",VTOTAL1,SUM(OFFSET(CÁLCULO!$AA$15,ROW($X71)-ROW($X$15),1):OFFSET(CÁLCULO!$AL$15,ROW($X71)-ROW($X$15),-1))),IF($C71=0,0,ROUND(SomaAgrup,15-13*$AF$11)))</f>
        <v>0</v>
      </c>
      <c r="Y71" s="128" t="s">
        <v>245</v>
      </c>
      <c r="Z71" t="str">
        <f t="shared" ca="1" si="13"/>
        <v/>
      </c>
      <c r="AA71" s="129">
        <f ca="1">IF($C71="S",IF($Z71="CP",$X71,IF($Z71="RA",(($X71)*QCI!$AA$3),0)),SomaAgrup)</f>
        <v>0</v>
      </c>
      <c r="AB71" s="130">
        <f t="shared" ca="1" si="14"/>
        <v>0</v>
      </c>
      <c r="AC71" s="131" t="str">
        <f ca="1">IF($N71="","",IF(ORÇAMENTO.Descricao="","DESCRIÇÃO",IF(AND($C71="S",ORÇAMENTO.Unidade=""),"UNIDADE",IF($X71&lt;0,"VALOR NEGATIVO",IF(OR(AND(TIPOORCAMENTO="Proposto",$AG71&lt;&gt;"",$AG71&gt;0,ORÇAMENTO.CustoUnitario&gt;$AG71),AND(TIPOORCAMENTO="LICITADO",ORÇAMENTO.PrecoUnitarioLicitado&gt;$AN71)),"ACIMA REF.","")))))</f>
        <v/>
      </c>
      <c r="AD71" t="str">
        <f ca="1">IF(C71&lt;=CRONO.NivelExibicao,MAX($AD$15:OFFSET(AD71,-1,0))+IF($C71&lt;&gt;1,1,MAX(1,COUNTIF(QCI!$A$13:$A$24,OFFSET($E71,-1,0)))),"")</f>
        <v/>
      </c>
      <c r="AE71" s="7" t="b">
        <f ca="1">IF(AND($C71="S",ORÇAMENTO.CodBarra&lt;&gt;""),IF(ORÇAMENTO.Fonte="",ORÇAMENTO.CodBarra,CONCATENATE(ORÇAMENTO.Fonte," ",ORÇAMENTO.CodBarra)))</f>
        <v>0</v>
      </c>
      <c r="AF71" s="13" t="str">
        <f ca="1">IF(ISERROR(INDIRECT(ORÇAMENTO.BancoRef)),"(abra o arquivo 'Referência "&amp;Excel_BuiltIn_Database&amp;".xlsm)",IF(OR($C71&lt;&gt;"S",ORÇAMENTO.CodBarra=""),"(Sem Código)",IF(ISERROR(MATCH($AE71,INDIRECT(ORÇAMENTO.BancoRef),0)),"(Código não identificado nas referências)",MATCH($AE71,INDIRECT(ORÇAMENTO.BancoRef),0))))</f>
        <v>(abra o arquivo 'Referência 02-2025.xlsm)</v>
      </c>
      <c r="AG71" s="498">
        <f ca="1">ROUND(IF(DESONERACAO="sim",REFERENCIA.Desonerado,REFERENCIA.NaoDesonerado),2)</f>
        <v>0</v>
      </c>
      <c r="AH71" s="499">
        <f t="shared" ca="1" si="15"/>
        <v>0.22470000000000001</v>
      </c>
      <c r="AJ71" s="501">
        <v>51.33</v>
      </c>
      <c r="AL71" s="527"/>
      <c r="AM71" s="381">
        <f t="shared" ca="1" si="0"/>
        <v>0</v>
      </c>
      <c r="AN71" s="566">
        <f t="shared" ca="1" si="16"/>
        <v>0</v>
      </c>
    </row>
    <row r="72" spans="1:40" ht="51" x14ac:dyDescent="0.2">
      <c r="A72" t="str">
        <f t="shared" si="1"/>
        <v>S</v>
      </c>
      <c r="B72">
        <f t="shared" ca="1" si="2"/>
        <v>3</v>
      </c>
      <c r="C72" t="str">
        <f t="shared" ca="1" si="3"/>
        <v>S</v>
      </c>
      <c r="D72">
        <f t="shared" ca="1" si="4"/>
        <v>0</v>
      </c>
      <c r="E72">
        <f ca="1">IF($C72=1,OFFSET(E72,-1,0)+MAX(1,COUNTIF(QCI!$A$13:$A$24,OFFSET(ORÇAMENTO!E72,-1,0))),OFFSET(E72,-1,0))</f>
        <v>1</v>
      </c>
      <c r="F72">
        <f t="shared" ca="1" si="5"/>
        <v>4</v>
      </c>
      <c r="G72">
        <f t="shared" ca="1" si="6"/>
        <v>2</v>
      </c>
      <c r="H72">
        <f t="shared" ca="1" si="7"/>
        <v>0</v>
      </c>
      <c r="I72">
        <f t="shared" ca="1" si="8"/>
        <v>0</v>
      </c>
      <c r="J72">
        <f t="shared" ca="1" si="9"/>
        <v>0</v>
      </c>
      <c r="K72">
        <f ca="1">IF(OR($C72="S",$C72=0),0,MATCH(OFFSET($D72,0,$C72)+IF($C72&lt;&gt;1,1,COUNTIF(QCI!$A$13:$A$24,ORÇAMENTO!E72)),OFFSET($D72,1,$C72,ROW($C$747)-ROW($C72)),0))</f>
        <v>0</v>
      </c>
      <c r="L72" s="116" t="str">
        <f t="shared" ca="1" si="10"/>
        <v/>
      </c>
      <c r="M72" s="117" t="s">
        <v>199</v>
      </c>
      <c r="N72" s="118" t="str">
        <f t="shared" ca="1" si="11"/>
        <v>Serviço</v>
      </c>
      <c r="O72" s="119" t="str">
        <f t="shared" ca="1" si="12"/>
        <v>-</v>
      </c>
      <c r="P72" s="120" t="s">
        <v>247</v>
      </c>
      <c r="Q72" s="121" t="s">
        <v>467</v>
      </c>
      <c r="R72" s="122" t="str">
        <f ca="1">IF($C72="S",REFERENCIA.Descricao,"(digite a descrição aqui)")</f>
        <v>(abra o arquivo 'Referência 02-2025.xlsm)</v>
      </c>
      <c r="S72" s="123" t="str">
        <f ca="1">REFERENCIA.Unidade</f>
        <v>-</v>
      </c>
      <c r="T72" s="124">
        <f ca="1">OFFSET(CÁLCULO!H$15,ROW($T72)-ROW(T$15),0)</f>
        <v>581.21</v>
      </c>
      <c r="U72" s="125">
        <f t="shared" ca="1" si="17"/>
        <v>0</v>
      </c>
      <c r="V72" s="126" t="s">
        <v>156</v>
      </c>
      <c r="W72" s="124">
        <f ca="1">IF($C72="S",ROUND(IF(TIPOORCAMENTO="Proposto",ORÇAMENTO.CustoUnitario*(1+$AH72),ORÇAMENTO.PrecoUnitarioLicitado),15-13*$AF$10),0)</f>
        <v>0</v>
      </c>
      <c r="X72" s="127">
        <f ca="1">IF($C72="S",IF(Import.TipoArredondamento&lt;&gt;"TransfereGOV",VTOTAL1,SUM(OFFSET(CÁLCULO!$AA$15,ROW($X72)-ROW($X$15),1):OFFSET(CÁLCULO!$AL$15,ROW($X72)-ROW($X$15),-1))),IF($C72=0,0,ROUND(SomaAgrup,15-13*$AF$11)))</f>
        <v>0</v>
      </c>
      <c r="Y72" s="128" t="s">
        <v>245</v>
      </c>
      <c r="Z72" t="str">
        <f t="shared" ca="1" si="13"/>
        <v/>
      </c>
      <c r="AA72" s="129">
        <f ca="1">IF($C72="S",IF($Z72="CP",$X72,IF($Z72="RA",(($X72)*QCI!$AA$3),0)),SomaAgrup)</f>
        <v>0</v>
      </c>
      <c r="AB72" s="130">
        <f t="shared" ca="1" si="14"/>
        <v>0</v>
      </c>
      <c r="AC72" s="131" t="str">
        <f ca="1">IF($N72="","",IF(ORÇAMENTO.Descricao="","DESCRIÇÃO",IF(AND($C72="S",ORÇAMENTO.Unidade=""),"UNIDADE",IF($X72&lt;0,"VALOR NEGATIVO",IF(OR(AND(TIPOORCAMENTO="Proposto",$AG72&lt;&gt;"",$AG72&gt;0,ORÇAMENTO.CustoUnitario&gt;$AG72),AND(TIPOORCAMENTO="LICITADO",ORÇAMENTO.PrecoUnitarioLicitado&gt;$AN72)),"ACIMA REF.","")))))</f>
        <v/>
      </c>
      <c r="AD72" t="str">
        <f ca="1">IF(C72&lt;=CRONO.NivelExibicao,MAX($AD$15:OFFSET(AD72,-1,0))+IF($C72&lt;&gt;1,1,MAX(1,COUNTIF(QCI!$A$13:$A$24,OFFSET($E72,-1,0)))),"")</f>
        <v/>
      </c>
      <c r="AE72" s="7" t="str">
        <f ca="1">IF(AND($C72="S",ORÇAMENTO.CodBarra&lt;&gt;""),IF(ORÇAMENTO.Fonte="",ORÇAMENTO.CodBarra,CONCATENATE(ORÇAMENTO.Fonte," ",ORÇAMENTO.CodBarra)))</f>
        <v>SINAPI 92443</v>
      </c>
      <c r="AF72" s="13" t="str">
        <f ca="1">IF(ISERROR(INDIRECT(ORÇAMENTO.BancoRef)),"(abra o arquivo 'Referência "&amp;Excel_BuiltIn_Database&amp;".xlsm)",IF(OR($C72&lt;&gt;"S",ORÇAMENTO.CodBarra=""),"(Sem Código)",IF(ISERROR(MATCH($AE72,INDIRECT(ORÇAMENTO.BancoRef),0)),"(Código não identificado nas referências)",MATCH($AE72,INDIRECT(ORÇAMENTO.BancoRef),0))))</f>
        <v>(abra o arquivo 'Referência 02-2025.xlsm)</v>
      </c>
      <c r="AG72" s="498">
        <f ca="1">ROUND(IF(DESONERACAO="sim",REFERENCIA.Desonerado,REFERENCIA.NaoDesonerado),2)</f>
        <v>0</v>
      </c>
      <c r="AH72" s="499">
        <f t="shared" ca="1" si="15"/>
        <v>0.22470000000000001</v>
      </c>
      <c r="AJ72" s="501">
        <v>581.21</v>
      </c>
      <c r="AL72" s="527"/>
      <c r="AM72" s="381">
        <f t="shared" ca="1" si="0"/>
        <v>0</v>
      </c>
      <c r="AN72" s="566">
        <f t="shared" ca="1" si="16"/>
        <v>0</v>
      </c>
    </row>
    <row r="73" spans="1:40" ht="38.25" x14ac:dyDescent="0.2">
      <c r="A73" t="str">
        <f t="shared" si="1"/>
        <v>S</v>
      </c>
      <c r="B73">
        <f t="shared" ca="1" si="2"/>
        <v>3</v>
      </c>
      <c r="C73" t="str">
        <f t="shared" ca="1" si="3"/>
        <v>S</v>
      </c>
      <c r="D73">
        <f t="shared" ca="1" si="4"/>
        <v>0</v>
      </c>
      <c r="E73">
        <f ca="1">IF($C73=1,OFFSET(E73,-1,0)+MAX(1,COUNTIF(QCI!$A$13:$A$24,OFFSET(ORÇAMENTO!E73,-1,0))),OFFSET(E73,-1,0))</f>
        <v>1</v>
      </c>
      <c r="F73">
        <f t="shared" ca="1" si="5"/>
        <v>4</v>
      </c>
      <c r="G73">
        <f t="shared" ca="1" si="6"/>
        <v>2</v>
      </c>
      <c r="H73">
        <f t="shared" ca="1" si="7"/>
        <v>0</v>
      </c>
      <c r="I73">
        <f t="shared" ca="1" si="8"/>
        <v>0</v>
      </c>
      <c r="J73">
        <f t="shared" ca="1" si="9"/>
        <v>0</v>
      </c>
      <c r="K73">
        <f ca="1">IF(OR($C73="S",$C73=0),0,MATCH(OFFSET($D73,0,$C73)+IF($C73&lt;&gt;1,1,COUNTIF(QCI!$A$13:$A$24,ORÇAMENTO!E73)),OFFSET($D73,1,$C73,ROW($C$747)-ROW($C73)),0))</f>
        <v>0</v>
      </c>
      <c r="L73" s="116" t="str">
        <f t="shared" ca="1" si="10"/>
        <v/>
      </c>
      <c r="M73" s="117" t="s">
        <v>199</v>
      </c>
      <c r="N73" s="118" t="str">
        <f t="shared" ca="1" si="11"/>
        <v>Serviço</v>
      </c>
      <c r="O73" s="119" t="str">
        <f t="shared" ca="1" si="12"/>
        <v>-</v>
      </c>
      <c r="P73" s="120" t="s">
        <v>247</v>
      </c>
      <c r="Q73" s="121" t="s">
        <v>468</v>
      </c>
      <c r="R73" s="122" t="str">
        <f ca="1">IF($C73="S",REFERENCIA.Descricao,"(digite a descrição aqui)")</f>
        <v>(abra o arquivo 'Referência 02-2025.xlsm)</v>
      </c>
      <c r="S73" s="123" t="str">
        <f ca="1">REFERENCIA.Unidade</f>
        <v>-</v>
      </c>
      <c r="T73" s="124">
        <f ca="1">OFFSET(CÁLCULO!H$15,ROW($T73)-ROW(T$15),0)</f>
        <v>1755.23</v>
      </c>
      <c r="U73" s="125">
        <f t="shared" ca="1" si="17"/>
        <v>0</v>
      </c>
      <c r="V73" s="126" t="s">
        <v>156</v>
      </c>
      <c r="W73" s="124">
        <f ca="1">IF($C73="S",ROUND(IF(TIPOORCAMENTO="Proposto",ORÇAMENTO.CustoUnitario*(1+$AH73),ORÇAMENTO.PrecoUnitarioLicitado),15-13*$AF$10),0)</f>
        <v>0</v>
      </c>
      <c r="X73" s="127">
        <f ca="1">IF($C73="S",IF(Import.TipoArredondamento&lt;&gt;"TransfereGOV",VTOTAL1,SUM(OFFSET(CÁLCULO!$AA$15,ROW($X73)-ROW($X$15),1):OFFSET(CÁLCULO!$AL$15,ROW($X73)-ROW($X$15),-1))),IF($C73=0,0,ROUND(SomaAgrup,15-13*$AF$11)))</f>
        <v>0</v>
      </c>
      <c r="Y73" s="128" t="s">
        <v>245</v>
      </c>
      <c r="Z73" t="str">
        <f t="shared" ca="1" si="13"/>
        <v/>
      </c>
      <c r="AA73" s="129">
        <f ca="1">IF($C73="S",IF($Z73="CP",$X73,IF($Z73="RA",(($X73)*QCI!$AA$3),0)),SomaAgrup)</f>
        <v>0</v>
      </c>
      <c r="AB73" s="130">
        <f t="shared" ca="1" si="14"/>
        <v>0</v>
      </c>
      <c r="AC73" s="131" t="str">
        <f ca="1">IF($N73="","",IF(ORÇAMENTO.Descricao="","DESCRIÇÃO",IF(AND($C73="S",ORÇAMENTO.Unidade=""),"UNIDADE",IF($X73&lt;0,"VALOR NEGATIVO",IF(OR(AND(TIPOORCAMENTO="Proposto",$AG73&lt;&gt;"",$AG73&gt;0,ORÇAMENTO.CustoUnitario&gt;$AG73),AND(TIPOORCAMENTO="LICITADO",ORÇAMENTO.PrecoUnitarioLicitado&gt;$AN73)),"ACIMA REF.","")))))</f>
        <v/>
      </c>
      <c r="AD73" t="str">
        <f ca="1">IF(C73&lt;=CRONO.NivelExibicao,MAX($AD$15:OFFSET(AD73,-1,0))+IF($C73&lt;&gt;1,1,MAX(1,COUNTIF(QCI!$A$13:$A$24,OFFSET($E73,-1,0)))),"")</f>
        <v/>
      </c>
      <c r="AE73" s="7" t="str">
        <f ca="1">IF(AND($C73="S",ORÇAMENTO.CodBarra&lt;&gt;""),IF(ORÇAMENTO.Fonte="",ORÇAMENTO.CodBarra,CONCATENATE(ORÇAMENTO.Fonte," ",ORÇAMENTO.CodBarra)))</f>
        <v>SINAPI 92762</v>
      </c>
      <c r="AF73" s="13" t="str">
        <f ca="1">IF(ISERROR(INDIRECT(ORÇAMENTO.BancoRef)),"(abra o arquivo 'Referência "&amp;Excel_BuiltIn_Database&amp;".xlsm)",IF(OR($C73&lt;&gt;"S",ORÇAMENTO.CodBarra=""),"(Sem Código)",IF(ISERROR(MATCH($AE73,INDIRECT(ORÇAMENTO.BancoRef),0)),"(Código não identificado nas referências)",MATCH($AE73,INDIRECT(ORÇAMENTO.BancoRef),0))))</f>
        <v>(abra o arquivo 'Referência 02-2025.xlsm)</v>
      </c>
      <c r="AG73" s="498">
        <f ca="1">ROUND(IF(DESONERACAO="sim",REFERENCIA.Desonerado,REFERENCIA.NaoDesonerado),2)</f>
        <v>0</v>
      </c>
      <c r="AH73" s="499">
        <f t="shared" ca="1" si="15"/>
        <v>0.22470000000000001</v>
      </c>
      <c r="AJ73" s="501">
        <v>1755.23</v>
      </c>
      <c r="AL73" s="527"/>
      <c r="AM73" s="381">
        <f t="shared" ca="1" si="0"/>
        <v>0</v>
      </c>
      <c r="AN73" s="566">
        <f t="shared" ca="1" si="16"/>
        <v>0</v>
      </c>
    </row>
    <row r="74" spans="1:40" ht="38.25" x14ac:dyDescent="0.2">
      <c r="A74" t="str">
        <f t="shared" si="1"/>
        <v>S</v>
      </c>
      <c r="B74">
        <f t="shared" ca="1" si="2"/>
        <v>3</v>
      </c>
      <c r="C74" t="str">
        <f t="shared" ca="1" si="3"/>
        <v>S</v>
      </c>
      <c r="D74">
        <f t="shared" ca="1" si="4"/>
        <v>0</v>
      </c>
      <c r="E74">
        <f ca="1">IF($C74=1,OFFSET(E74,-1,0)+MAX(1,COUNTIF(QCI!$A$13:$A$24,OFFSET(ORÇAMENTO!E74,-1,0))),OFFSET(E74,-1,0))</f>
        <v>1</v>
      </c>
      <c r="F74">
        <f t="shared" ca="1" si="5"/>
        <v>4</v>
      </c>
      <c r="G74">
        <f t="shared" ca="1" si="6"/>
        <v>2</v>
      </c>
      <c r="H74">
        <f t="shared" ca="1" si="7"/>
        <v>0</v>
      </c>
      <c r="I74">
        <f t="shared" ca="1" si="8"/>
        <v>0</v>
      </c>
      <c r="J74">
        <f t="shared" ca="1" si="9"/>
        <v>0</v>
      </c>
      <c r="K74">
        <f ca="1">IF(OR($C74="S",$C74=0),0,MATCH(OFFSET($D74,0,$C74)+IF($C74&lt;&gt;1,1,COUNTIF(QCI!$A$13:$A$24,ORÇAMENTO!E74)),OFFSET($D74,1,$C74,ROW($C$747)-ROW($C74)),0))</f>
        <v>0</v>
      </c>
      <c r="L74" s="116" t="str">
        <f t="shared" ca="1" si="10"/>
        <v/>
      </c>
      <c r="M74" s="117" t="s">
        <v>199</v>
      </c>
      <c r="N74" s="118" t="str">
        <f t="shared" ca="1" si="11"/>
        <v>Serviço</v>
      </c>
      <c r="O74" s="119" t="str">
        <f t="shared" ca="1" si="12"/>
        <v>-</v>
      </c>
      <c r="P74" s="120" t="s">
        <v>247</v>
      </c>
      <c r="Q74" s="121" t="s">
        <v>469</v>
      </c>
      <c r="R74" s="122" t="str">
        <f ca="1">IF($C74="S",REFERENCIA.Descricao,"(digite a descrição aqui)")</f>
        <v>(abra o arquivo 'Referência 02-2025.xlsm)</v>
      </c>
      <c r="S74" s="123" t="str">
        <f ca="1">REFERENCIA.Unidade</f>
        <v>-</v>
      </c>
      <c r="T74" s="124">
        <f ca="1">OFFSET(CÁLCULO!H$15,ROW($T74)-ROW(T$15),0)</f>
        <v>41.25</v>
      </c>
      <c r="U74" s="125">
        <f t="shared" ca="1" si="17"/>
        <v>0</v>
      </c>
      <c r="V74" s="126" t="s">
        <v>156</v>
      </c>
      <c r="W74" s="124">
        <f ca="1">IF($C74="S",ROUND(IF(TIPOORCAMENTO="Proposto",ORÇAMENTO.CustoUnitario*(1+$AH74),ORÇAMENTO.PrecoUnitarioLicitado),15-13*$AF$10),0)</f>
        <v>0</v>
      </c>
      <c r="X74" s="127">
        <f ca="1">IF($C74="S",IF(Import.TipoArredondamento&lt;&gt;"TransfereGOV",VTOTAL1,SUM(OFFSET(CÁLCULO!$AA$15,ROW($X74)-ROW($X$15),1):OFFSET(CÁLCULO!$AL$15,ROW($X74)-ROW($X$15),-1))),IF($C74=0,0,ROUND(SomaAgrup,15-13*$AF$11)))</f>
        <v>0</v>
      </c>
      <c r="Y74" s="128" t="s">
        <v>245</v>
      </c>
      <c r="Z74" t="str">
        <f t="shared" ca="1" si="13"/>
        <v/>
      </c>
      <c r="AA74" s="129">
        <f ca="1">IF($C74="S",IF($Z74="CP",$X74,IF($Z74="RA",(($X74)*QCI!$AA$3),0)),SomaAgrup)</f>
        <v>0</v>
      </c>
      <c r="AB74" s="130">
        <f t="shared" ca="1" si="14"/>
        <v>0</v>
      </c>
      <c r="AC74" s="131" t="str">
        <f ca="1">IF($N74="","",IF(ORÇAMENTO.Descricao="","DESCRIÇÃO",IF(AND($C74="S",ORÇAMENTO.Unidade=""),"UNIDADE",IF($X74&lt;0,"VALOR NEGATIVO",IF(OR(AND(TIPOORCAMENTO="Proposto",$AG74&lt;&gt;"",$AG74&gt;0,ORÇAMENTO.CustoUnitario&gt;$AG74),AND(TIPOORCAMENTO="LICITADO",ORÇAMENTO.PrecoUnitarioLicitado&gt;$AN74)),"ACIMA REF.","")))))</f>
        <v/>
      </c>
      <c r="AD74" t="str">
        <f ca="1">IF(C74&lt;=CRONO.NivelExibicao,MAX($AD$15:OFFSET(AD74,-1,0))+IF($C74&lt;&gt;1,1,MAX(1,COUNTIF(QCI!$A$13:$A$24,OFFSET($E74,-1,0)))),"")</f>
        <v/>
      </c>
      <c r="AE74" s="7" t="str">
        <f ca="1">IF(AND($C74="S",ORÇAMENTO.CodBarra&lt;&gt;""),IF(ORÇAMENTO.Fonte="",ORÇAMENTO.CodBarra,CONCATENATE(ORÇAMENTO.Fonte," ",ORÇAMENTO.CodBarra)))</f>
        <v>SINAPI 92763</v>
      </c>
      <c r="AF74" s="13" t="str">
        <f ca="1">IF(ISERROR(INDIRECT(ORÇAMENTO.BancoRef)),"(abra o arquivo 'Referência "&amp;Excel_BuiltIn_Database&amp;".xlsm)",IF(OR($C74&lt;&gt;"S",ORÇAMENTO.CodBarra=""),"(Sem Código)",IF(ISERROR(MATCH($AE74,INDIRECT(ORÇAMENTO.BancoRef),0)),"(Código não identificado nas referências)",MATCH($AE74,INDIRECT(ORÇAMENTO.BancoRef),0))))</f>
        <v>(abra o arquivo 'Referência 02-2025.xlsm)</v>
      </c>
      <c r="AG74" s="498">
        <f ca="1">ROUND(IF(DESONERACAO="sim",REFERENCIA.Desonerado,REFERENCIA.NaoDesonerado),2)</f>
        <v>0</v>
      </c>
      <c r="AH74" s="499">
        <f t="shared" ca="1" si="15"/>
        <v>0.22470000000000001</v>
      </c>
      <c r="AJ74" s="501">
        <v>41.25</v>
      </c>
      <c r="AL74" s="527"/>
      <c r="AM74" s="381">
        <f t="shared" ca="1" si="0"/>
        <v>0</v>
      </c>
      <c r="AN74" s="566">
        <f t="shared" ca="1" si="16"/>
        <v>0</v>
      </c>
    </row>
    <row r="75" spans="1:40" ht="38.25" x14ac:dyDescent="0.2">
      <c r="A75" t="str">
        <f t="shared" si="1"/>
        <v>S</v>
      </c>
      <c r="B75">
        <f t="shared" ca="1" si="2"/>
        <v>3</v>
      </c>
      <c r="C75" t="str">
        <f t="shared" ca="1" si="3"/>
        <v>S</v>
      </c>
      <c r="D75">
        <f t="shared" ca="1" si="4"/>
        <v>0</v>
      </c>
      <c r="E75">
        <f ca="1">IF($C75=1,OFFSET(E75,-1,0)+MAX(1,COUNTIF(QCI!$A$13:$A$24,OFFSET(ORÇAMENTO!E75,-1,0))),OFFSET(E75,-1,0))</f>
        <v>1</v>
      </c>
      <c r="F75">
        <f t="shared" ca="1" si="5"/>
        <v>4</v>
      </c>
      <c r="G75">
        <f t="shared" ca="1" si="6"/>
        <v>2</v>
      </c>
      <c r="H75">
        <f t="shared" ca="1" si="7"/>
        <v>0</v>
      </c>
      <c r="I75">
        <f t="shared" ca="1" si="8"/>
        <v>0</v>
      </c>
      <c r="J75">
        <f t="shared" ca="1" si="9"/>
        <v>0</v>
      </c>
      <c r="K75">
        <f ca="1">IF(OR($C75="S",$C75=0),0,MATCH(OFFSET($D75,0,$C75)+IF($C75&lt;&gt;1,1,COUNTIF(QCI!$A$13:$A$24,ORÇAMENTO!E75)),OFFSET($D75,1,$C75,ROW($C$747)-ROW($C75)),0))</f>
        <v>0</v>
      </c>
      <c r="L75" s="116" t="str">
        <f t="shared" ca="1" si="10"/>
        <v/>
      </c>
      <c r="M75" s="117" t="s">
        <v>199</v>
      </c>
      <c r="N75" s="118" t="str">
        <f t="shared" ca="1" si="11"/>
        <v>Serviço</v>
      </c>
      <c r="O75" s="119" t="str">
        <f t="shared" ca="1" si="12"/>
        <v>-</v>
      </c>
      <c r="P75" s="120" t="s">
        <v>247</v>
      </c>
      <c r="Q75" s="121" t="s">
        <v>472</v>
      </c>
      <c r="R75" s="122" t="str">
        <f ca="1">IF($C75="S",REFERENCIA.Descricao,"(digite a descrição aqui)")</f>
        <v>(abra o arquivo 'Referência 02-2025.xlsm)</v>
      </c>
      <c r="S75" s="123" t="str">
        <f ca="1">REFERENCIA.Unidade</f>
        <v>-</v>
      </c>
      <c r="T75" s="124">
        <f ca="1">OFFSET(CÁLCULO!H$15,ROW($T75)-ROW(T$15),0)</f>
        <v>13.26</v>
      </c>
      <c r="U75" s="125">
        <f t="shared" ca="1" si="17"/>
        <v>0</v>
      </c>
      <c r="V75" s="126" t="s">
        <v>156</v>
      </c>
      <c r="W75" s="124">
        <f ca="1">IF($C75="S",ROUND(IF(TIPOORCAMENTO="Proposto",ORÇAMENTO.CustoUnitario*(1+$AH75),ORÇAMENTO.PrecoUnitarioLicitado),15-13*$AF$10),0)</f>
        <v>0</v>
      </c>
      <c r="X75" s="127">
        <f ca="1">IF($C75="S",IF(Import.TipoArredondamento&lt;&gt;"TransfereGOV",VTOTAL1,SUM(OFFSET(CÁLCULO!$AA$15,ROW($X75)-ROW($X$15),1):OFFSET(CÁLCULO!$AL$15,ROW($X75)-ROW($X$15),-1))),IF($C75=0,0,ROUND(SomaAgrup,15-13*$AF$11)))</f>
        <v>0</v>
      </c>
      <c r="Y75" s="128" t="s">
        <v>245</v>
      </c>
      <c r="Z75" t="str">
        <f t="shared" ca="1" si="13"/>
        <v/>
      </c>
      <c r="AA75" s="129">
        <f ca="1">IF($C75="S",IF($Z75="CP",$X75,IF($Z75="RA",(($X75)*QCI!$AA$3),0)),SomaAgrup)</f>
        <v>0</v>
      </c>
      <c r="AB75" s="130">
        <f t="shared" ca="1" si="14"/>
        <v>0</v>
      </c>
      <c r="AC75" s="131" t="str">
        <f ca="1">IF($N75="","",IF(ORÇAMENTO.Descricao="","DESCRIÇÃO",IF(AND($C75="S",ORÇAMENTO.Unidade=""),"UNIDADE",IF($X75&lt;0,"VALOR NEGATIVO",IF(OR(AND(TIPOORCAMENTO="Proposto",$AG75&lt;&gt;"",$AG75&gt;0,ORÇAMENTO.CustoUnitario&gt;$AG75),AND(TIPOORCAMENTO="LICITADO",ORÇAMENTO.PrecoUnitarioLicitado&gt;$AN75)),"ACIMA REF.","")))))</f>
        <v/>
      </c>
      <c r="AD75" t="str">
        <f ca="1">IF(C75&lt;=CRONO.NivelExibicao,MAX($AD$15:OFFSET(AD75,-1,0))+IF($C75&lt;&gt;1,1,MAX(1,COUNTIF(QCI!$A$13:$A$24,OFFSET($E75,-1,0)))),"")</f>
        <v/>
      </c>
      <c r="AE75" s="7" t="str">
        <f ca="1">IF(AND($C75="S",ORÇAMENTO.CodBarra&lt;&gt;""),IF(ORÇAMENTO.Fonte="",ORÇAMENTO.CodBarra,CONCATENATE(ORÇAMENTO.Fonte," ",ORÇAMENTO.CodBarra)))</f>
        <v>SINAPI 92764</v>
      </c>
      <c r="AF75" s="13" t="str">
        <f ca="1">IF(ISERROR(INDIRECT(ORÇAMENTO.BancoRef)),"(abra o arquivo 'Referência "&amp;Excel_BuiltIn_Database&amp;".xlsm)",IF(OR($C75&lt;&gt;"S",ORÇAMENTO.CodBarra=""),"(Sem Código)",IF(ISERROR(MATCH($AE75,INDIRECT(ORÇAMENTO.BancoRef),0)),"(Código não identificado nas referências)",MATCH($AE75,INDIRECT(ORÇAMENTO.BancoRef),0))))</f>
        <v>(abra o arquivo 'Referência 02-2025.xlsm)</v>
      </c>
      <c r="AG75" s="498">
        <f ca="1">ROUND(IF(DESONERACAO="sim",REFERENCIA.Desonerado,REFERENCIA.NaoDesonerado),2)</f>
        <v>0</v>
      </c>
      <c r="AH75" s="499">
        <f t="shared" ca="1" si="15"/>
        <v>0.22470000000000001</v>
      </c>
      <c r="AJ75" s="501">
        <v>13.26</v>
      </c>
      <c r="AL75" s="527"/>
      <c r="AM75" s="381">
        <f t="shared" ca="1" si="0"/>
        <v>0</v>
      </c>
      <c r="AN75" s="566">
        <f t="shared" ca="1" si="16"/>
        <v>0</v>
      </c>
    </row>
    <row r="76" spans="1:40" ht="38.25" x14ac:dyDescent="0.2">
      <c r="A76" t="str">
        <f t="shared" si="1"/>
        <v>S</v>
      </c>
      <c r="B76">
        <f t="shared" ca="1" si="2"/>
        <v>3</v>
      </c>
      <c r="C76" t="str">
        <f t="shared" ca="1" si="3"/>
        <v>S</v>
      </c>
      <c r="D76">
        <f t="shared" ca="1" si="4"/>
        <v>0</v>
      </c>
      <c r="E76">
        <f ca="1">IF($C76=1,OFFSET(E76,-1,0)+MAX(1,COUNTIF(QCI!$A$13:$A$24,OFFSET(ORÇAMENTO!E76,-1,0))),OFFSET(E76,-1,0))</f>
        <v>1</v>
      </c>
      <c r="F76">
        <f t="shared" ca="1" si="5"/>
        <v>4</v>
      </c>
      <c r="G76">
        <f t="shared" ca="1" si="6"/>
        <v>2</v>
      </c>
      <c r="H76">
        <f t="shared" ca="1" si="7"/>
        <v>0</v>
      </c>
      <c r="I76">
        <f t="shared" ca="1" si="8"/>
        <v>0</v>
      </c>
      <c r="J76">
        <f t="shared" ca="1" si="9"/>
        <v>0</v>
      </c>
      <c r="K76">
        <f ca="1">IF(OR($C76="S",$C76=0),0,MATCH(OFFSET($D76,0,$C76)+IF($C76&lt;&gt;1,1,COUNTIF(QCI!$A$13:$A$24,ORÇAMENTO!E76)),OFFSET($D76,1,$C76,ROW($C$747)-ROW($C76)),0))</f>
        <v>0</v>
      </c>
      <c r="L76" s="116" t="str">
        <f t="shared" ca="1" si="10"/>
        <v/>
      </c>
      <c r="M76" s="117" t="s">
        <v>199</v>
      </c>
      <c r="N76" s="118" t="str">
        <f t="shared" ca="1" si="11"/>
        <v>Serviço</v>
      </c>
      <c r="O76" s="119" t="str">
        <f t="shared" ca="1" si="12"/>
        <v>-</v>
      </c>
      <c r="P76" s="120" t="s">
        <v>247</v>
      </c>
      <c r="Q76" s="121" t="s">
        <v>470</v>
      </c>
      <c r="R76" s="122" t="str">
        <f ca="1">IF($C76="S",REFERENCIA.Descricao,"(digite a descrição aqui)")</f>
        <v>(abra o arquivo 'Referência 02-2025.xlsm)</v>
      </c>
      <c r="S76" s="123" t="str">
        <f ca="1">REFERENCIA.Unidade</f>
        <v>-</v>
      </c>
      <c r="T76" s="124">
        <f ca="1">OFFSET(CÁLCULO!H$15,ROW($T76)-ROW(T$15),0)</f>
        <v>803.5</v>
      </c>
      <c r="U76" s="125">
        <f t="shared" ca="1" si="17"/>
        <v>0</v>
      </c>
      <c r="V76" s="126" t="s">
        <v>156</v>
      </c>
      <c r="W76" s="124">
        <f ca="1">IF($C76="S",ROUND(IF(TIPOORCAMENTO="Proposto",ORÇAMENTO.CustoUnitario*(1+$AH76),ORÇAMENTO.PrecoUnitarioLicitado),15-13*$AF$10),0)</f>
        <v>0</v>
      </c>
      <c r="X76" s="127">
        <f ca="1">IF($C76="S",IF(Import.TipoArredondamento&lt;&gt;"TransfereGOV",VTOTAL1,SUM(OFFSET(CÁLCULO!$AA$15,ROW($X76)-ROW($X$15),1):OFFSET(CÁLCULO!$AL$15,ROW($X76)-ROW($X$15),-1))),IF($C76=0,0,ROUND(SomaAgrup,15-13*$AF$11)))</f>
        <v>0</v>
      </c>
      <c r="Y76" s="128" t="s">
        <v>245</v>
      </c>
      <c r="Z76" t="str">
        <f t="shared" ca="1" si="13"/>
        <v/>
      </c>
      <c r="AA76" s="129">
        <f ca="1">IF($C76="S",IF($Z76="CP",$X76,IF($Z76="RA",(($X76)*QCI!$AA$3),0)),SomaAgrup)</f>
        <v>0</v>
      </c>
      <c r="AB76" s="130">
        <f t="shared" ca="1" si="14"/>
        <v>0</v>
      </c>
      <c r="AC76" s="131" t="str">
        <f ca="1">IF($N76="","",IF(ORÇAMENTO.Descricao="","DESCRIÇÃO",IF(AND($C76="S",ORÇAMENTO.Unidade=""),"UNIDADE",IF($X76&lt;0,"VALOR NEGATIVO",IF(OR(AND(TIPOORCAMENTO="Proposto",$AG76&lt;&gt;"",$AG76&gt;0,ORÇAMENTO.CustoUnitario&gt;$AG76),AND(TIPOORCAMENTO="LICITADO",ORÇAMENTO.PrecoUnitarioLicitado&gt;$AN76)),"ACIMA REF.","")))))</f>
        <v/>
      </c>
      <c r="AD76" t="str">
        <f ca="1">IF(C76&lt;=CRONO.NivelExibicao,MAX($AD$15:OFFSET(AD76,-1,0))+IF($C76&lt;&gt;1,1,MAX(1,COUNTIF(QCI!$A$13:$A$24,OFFSET($E76,-1,0)))),"")</f>
        <v/>
      </c>
      <c r="AE76" s="7" t="str">
        <f ca="1">IF(AND($C76="S",ORÇAMENTO.CodBarra&lt;&gt;""),IF(ORÇAMENTO.Fonte="",ORÇAMENTO.CodBarra,CONCATENATE(ORÇAMENTO.Fonte," ",ORÇAMENTO.CodBarra)))</f>
        <v>SINAPI 92759</v>
      </c>
      <c r="AF76" s="13" t="str">
        <f ca="1">IF(ISERROR(INDIRECT(ORÇAMENTO.BancoRef)),"(abra o arquivo 'Referência "&amp;Excel_BuiltIn_Database&amp;".xlsm)",IF(OR($C76&lt;&gt;"S",ORÇAMENTO.CodBarra=""),"(Sem Código)",IF(ISERROR(MATCH($AE76,INDIRECT(ORÇAMENTO.BancoRef),0)),"(Código não identificado nas referências)",MATCH($AE76,INDIRECT(ORÇAMENTO.BancoRef),0))))</f>
        <v>(abra o arquivo 'Referência 02-2025.xlsm)</v>
      </c>
      <c r="AG76" s="498">
        <f ca="1">ROUND(IF(DESONERACAO="sim",REFERENCIA.Desonerado,REFERENCIA.NaoDesonerado),2)</f>
        <v>0</v>
      </c>
      <c r="AH76" s="499">
        <f t="shared" ca="1" si="15"/>
        <v>0.22470000000000001</v>
      </c>
      <c r="AJ76" s="501">
        <v>803.5</v>
      </c>
      <c r="AL76" s="527"/>
      <c r="AM76" s="381">
        <f t="shared" ca="1" si="0"/>
        <v>0</v>
      </c>
      <c r="AN76" s="566">
        <f t="shared" ca="1" si="16"/>
        <v>0</v>
      </c>
    </row>
    <row r="77" spans="1:40" ht="25.5" x14ac:dyDescent="0.2">
      <c r="A77" t="str">
        <f t="shared" si="1"/>
        <v>S</v>
      </c>
      <c r="B77">
        <f t="shared" ca="1" si="2"/>
        <v>3</v>
      </c>
      <c r="C77" t="str">
        <f t="shared" ca="1" si="3"/>
        <v>S</v>
      </c>
      <c r="D77">
        <f t="shared" ca="1" si="4"/>
        <v>0</v>
      </c>
      <c r="E77">
        <f ca="1">IF($C77=1,OFFSET(E77,-1,0)+MAX(1,COUNTIF(QCI!$A$13:$A$24,OFFSET(ORÇAMENTO!E77,-1,0))),OFFSET(E77,-1,0))</f>
        <v>1</v>
      </c>
      <c r="F77">
        <f t="shared" ca="1" si="5"/>
        <v>4</v>
      </c>
      <c r="G77">
        <f t="shared" ca="1" si="6"/>
        <v>2</v>
      </c>
      <c r="H77">
        <f t="shared" ca="1" si="7"/>
        <v>0</v>
      </c>
      <c r="I77">
        <f t="shared" ca="1" si="8"/>
        <v>0</v>
      </c>
      <c r="J77">
        <f t="shared" ca="1" si="9"/>
        <v>0</v>
      </c>
      <c r="K77">
        <f ca="1">IF(OR($C77="S",$C77=0),0,MATCH(OFFSET($D77,0,$C77)+IF($C77&lt;&gt;1,1,COUNTIF(QCI!$A$13:$A$24,ORÇAMENTO!E77)),OFFSET($D77,1,$C77,ROW($C$747)-ROW($C77)),0))</f>
        <v>0</v>
      </c>
      <c r="L77" s="116" t="str">
        <f t="shared" ca="1" si="10"/>
        <v/>
      </c>
      <c r="M77" s="117" t="s">
        <v>199</v>
      </c>
      <c r="N77" s="118" t="str">
        <f t="shared" ca="1" si="11"/>
        <v>Serviço</v>
      </c>
      <c r="O77" s="119" t="str">
        <f t="shared" ca="1" si="12"/>
        <v>-</v>
      </c>
      <c r="P77" s="120" t="s">
        <v>712</v>
      </c>
      <c r="Q77" s="121" t="s">
        <v>896</v>
      </c>
      <c r="R77" s="122" t="str">
        <f ca="1">IF($C77="S",REFERENCIA.Descricao,"(digite a descrição aqui)")</f>
        <v>(abra o arquivo 'Referência 02-2025.xlsm)</v>
      </c>
      <c r="S77" s="123" t="str">
        <f ca="1">REFERENCIA.Unidade</f>
        <v>-</v>
      </c>
      <c r="T77" s="124">
        <f ca="1">OFFSET(CÁLCULO!H$15,ROW($T77)-ROW(T$15),0)</f>
        <v>29.2</v>
      </c>
      <c r="U77" s="125">
        <f t="shared" ca="1" si="17"/>
        <v>0</v>
      </c>
      <c r="V77" s="126" t="s">
        <v>156</v>
      </c>
      <c r="W77" s="124">
        <f ca="1">IF($C77="S",ROUND(IF(TIPOORCAMENTO="Proposto",ORÇAMENTO.CustoUnitario*(1+$AH77),ORÇAMENTO.PrecoUnitarioLicitado),15-13*$AF$10),0)</f>
        <v>0</v>
      </c>
      <c r="X77" s="127">
        <f ca="1">IF($C77="S",IF(Import.TipoArredondamento&lt;&gt;"TransfereGOV",VTOTAL1,SUM(OFFSET(CÁLCULO!$AA$15,ROW($X77)-ROW($X$15),1):OFFSET(CÁLCULO!$AL$15,ROW($X77)-ROW($X$15),-1))),IF($C77=0,0,ROUND(SomaAgrup,15-13*$AF$11)))</f>
        <v>0</v>
      </c>
      <c r="Y77" s="128" t="s">
        <v>245</v>
      </c>
      <c r="Z77" t="str">
        <f t="shared" ca="1" si="13"/>
        <v/>
      </c>
      <c r="AA77" s="129">
        <f ca="1">IF($C77="S",IF($Z77="CP",$X77,IF($Z77="RA",(($X77)*QCI!$AA$3),0)),SomaAgrup)</f>
        <v>0</v>
      </c>
      <c r="AB77" s="130">
        <f t="shared" ca="1" si="14"/>
        <v>0</v>
      </c>
      <c r="AC77" s="131" t="str">
        <f ca="1">IF($N77="","",IF(ORÇAMENTO.Descricao="","DESCRIÇÃO",IF(AND($C77="S",ORÇAMENTO.Unidade=""),"UNIDADE",IF($X77&lt;0,"VALOR NEGATIVO",IF(OR(AND(TIPOORCAMENTO="Proposto",$AG77&lt;&gt;"",$AG77&gt;0,ORÇAMENTO.CustoUnitario&gt;$AG77),AND(TIPOORCAMENTO="LICITADO",ORÇAMENTO.PrecoUnitarioLicitado&gt;$AN77)),"ACIMA REF.","")))))</f>
        <v/>
      </c>
      <c r="AD77" t="str">
        <f ca="1">IF(C77&lt;=CRONO.NivelExibicao,MAX($AD$15:OFFSET(AD77,-1,0))+IF($C77&lt;&gt;1,1,MAX(1,COUNTIF(QCI!$A$13:$A$24,OFFSET($E77,-1,0)))),"")</f>
        <v/>
      </c>
      <c r="AE77" s="7" t="str">
        <f ca="1">IF(AND($C77="S",ORÇAMENTO.CodBarra&lt;&gt;""),IF(ORÇAMENTO.Fonte="",ORÇAMENTO.CodBarra,CONCATENATE(ORÇAMENTO.Fonte," ",ORÇAMENTO.CodBarra)))</f>
        <v>Composição FNDE 239</v>
      </c>
      <c r="AF77" s="13" t="str">
        <f ca="1">IF(ISERROR(INDIRECT(ORÇAMENTO.BancoRef)),"(abra o arquivo 'Referência "&amp;Excel_BuiltIn_Database&amp;".xlsm)",IF(OR($C77&lt;&gt;"S",ORÇAMENTO.CodBarra=""),"(Sem Código)",IF(ISERROR(MATCH($AE77,INDIRECT(ORÇAMENTO.BancoRef),0)),"(Código não identificado nas referências)",MATCH($AE77,INDIRECT(ORÇAMENTO.BancoRef),0))))</f>
        <v>(abra o arquivo 'Referência 02-2025.xlsm)</v>
      </c>
      <c r="AG77" s="498">
        <f ca="1">ROUND(IF(DESONERACAO="sim",REFERENCIA.Desonerado,REFERENCIA.NaoDesonerado),2)</f>
        <v>0</v>
      </c>
      <c r="AH77" s="499">
        <f t="shared" ca="1" si="15"/>
        <v>0.22470000000000001</v>
      </c>
      <c r="AJ77" s="501">
        <v>29.2</v>
      </c>
      <c r="AL77" s="527"/>
      <c r="AM77" s="381">
        <f t="shared" ca="1" si="0"/>
        <v>0</v>
      </c>
      <c r="AN77" s="566">
        <f t="shared" ca="1" si="16"/>
        <v>0</v>
      </c>
    </row>
    <row r="78" spans="1:40" x14ac:dyDescent="0.2">
      <c r="A78">
        <f t="shared" si="1"/>
        <v>3</v>
      </c>
      <c r="B78">
        <f t="shared" ca="1" si="2"/>
        <v>3</v>
      </c>
      <c r="C78">
        <f t="shared" ca="1" si="3"/>
        <v>3</v>
      </c>
      <c r="D78">
        <f t="shared" ca="1" si="4"/>
        <v>8</v>
      </c>
      <c r="E78">
        <f ca="1">IF($C78=1,OFFSET(E78,-1,0)+MAX(1,COUNTIF(QCI!$A$13:$A$24,OFFSET(ORÇAMENTO!E78,-1,0))),OFFSET(E78,-1,0))</f>
        <v>1</v>
      </c>
      <c r="F78">
        <f t="shared" ca="1" si="5"/>
        <v>4</v>
      </c>
      <c r="G78">
        <f t="shared" ca="1" si="6"/>
        <v>3</v>
      </c>
      <c r="H78">
        <f t="shared" ca="1" si="7"/>
        <v>0</v>
      </c>
      <c r="I78">
        <f t="shared" ca="1" si="8"/>
        <v>0</v>
      </c>
      <c r="J78">
        <f t="shared" ca="1" si="9"/>
        <v>27</v>
      </c>
      <c r="K78">
        <f ca="1">IF(OR($C78="S",$C78=0),0,MATCH(OFFSET($D78,0,$C78)+IF($C78&lt;&gt;1,1,COUNTIF(QCI!$A$13:$A$24,ORÇAMENTO!E78)),OFFSET($D78,1,$C78,ROW($C$747)-ROW($C78)),0))</f>
        <v>8</v>
      </c>
      <c r="L78" s="116" t="str">
        <f t="shared" ca="1" si="10"/>
        <v>F</v>
      </c>
      <c r="M78" s="117" t="s">
        <v>197</v>
      </c>
      <c r="N78" s="118" t="str">
        <f t="shared" ca="1" si="11"/>
        <v>Nível 3</v>
      </c>
      <c r="O78" s="119" t="str">
        <f t="shared" ca="1" si="12"/>
        <v>1.4.3.</v>
      </c>
      <c r="P78" s="120" t="s">
        <v>247</v>
      </c>
      <c r="Q78" s="121"/>
      <c r="R78" s="122" t="str">
        <f ca="1">IF($C78="S",REFERENCIA.Descricao,"CONCRETO ARMADO PARA VERGAS")</f>
        <v>CONCRETO ARMADO PARA VERGAS</v>
      </c>
      <c r="S78" s="123" t="str">
        <f ca="1">REFERENCIA.Unidade</f>
        <v>-</v>
      </c>
      <c r="T78" s="124">
        <f ca="1">OFFSET(CÁLCULO!H$15,ROW($T78)-ROW(T$15),0)</f>
        <v>0</v>
      </c>
      <c r="U78" s="125">
        <f t="shared" ca="1" si="17"/>
        <v>0</v>
      </c>
      <c r="V78" s="126" t="s">
        <v>156</v>
      </c>
      <c r="W78" s="124">
        <f ca="1">IF($C78="S",ROUND(IF(TIPOORCAMENTO="Proposto",ORÇAMENTO.CustoUnitario*(1+$AH78),ORÇAMENTO.PrecoUnitarioLicitado),15-13*$AF$10),0)</f>
        <v>0</v>
      </c>
      <c r="X78" s="127">
        <f ca="1">IF($C78="S",IF(Import.TipoArredondamento&lt;&gt;"TransfereGOV",VTOTAL1,SUM(OFFSET(CÁLCULO!$AA$15,ROW($X78)-ROW($X$15),1):OFFSET(CÁLCULO!$AL$15,ROW($X78)-ROW($X$15),-1))),IF($C78=0,0,ROUND(SomaAgrup,15-13*$AF$11)))</f>
        <v>0</v>
      </c>
      <c r="Y78" s="128" t="s">
        <v>245</v>
      </c>
      <c r="Z78" t="str">
        <f t="shared" ca="1" si="13"/>
        <v/>
      </c>
      <c r="AA78" s="129">
        <f ca="1">IF($C78="S",IF($Z78="CP",$X78,IF($Z78="RA",(($X78)*QCI!$AA$3),0)),SomaAgrup)</f>
        <v>0</v>
      </c>
      <c r="AB78" s="130">
        <f t="shared" ca="1" si="14"/>
        <v>0</v>
      </c>
      <c r="AC78" s="131" t="str">
        <f ca="1">IF($N78="","",IF(ORÇAMENTO.Descricao="","DESCRIÇÃO",IF(AND($C78="S",ORÇAMENTO.Unidade=""),"UNIDADE",IF($X78&lt;0,"VALOR NEGATIVO",IF(OR(AND(TIPOORCAMENTO="Proposto",$AG78&lt;&gt;"",$AG78&gt;0,ORÇAMENTO.CustoUnitario&gt;$AG78),AND(TIPOORCAMENTO="LICITADO",ORÇAMENTO.PrecoUnitarioLicitado&gt;$AN78)),"ACIMA REF.","")))))</f>
        <v/>
      </c>
      <c r="AD78" t="str">
        <f ca="1">IF(C78&lt;=CRONO.NivelExibicao,MAX($AD$15:OFFSET(AD78,-1,0))+IF($C78&lt;&gt;1,1,MAX(1,COUNTIF(QCI!$A$13:$A$24,OFFSET($E78,-1,0)))),"")</f>
        <v/>
      </c>
      <c r="AE78" s="7" t="b">
        <f ca="1">IF(AND($C78="S",ORÇAMENTO.CodBarra&lt;&gt;""),IF(ORÇAMENTO.Fonte="",ORÇAMENTO.CodBarra,CONCATENATE(ORÇAMENTO.Fonte," ",ORÇAMENTO.CodBarra)))</f>
        <v>0</v>
      </c>
      <c r="AF78" s="13" t="str">
        <f ca="1">IF(ISERROR(INDIRECT(ORÇAMENTO.BancoRef)),"(abra o arquivo 'Referência "&amp;Excel_BuiltIn_Database&amp;".xlsm)",IF(OR($C78&lt;&gt;"S",ORÇAMENTO.CodBarra=""),"(Sem Código)",IF(ISERROR(MATCH($AE78,INDIRECT(ORÇAMENTO.BancoRef),0)),"(Código não identificado nas referências)",MATCH($AE78,INDIRECT(ORÇAMENTO.BancoRef),0))))</f>
        <v>(abra o arquivo 'Referência 02-2025.xlsm)</v>
      </c>
      <c r="AG78" s="498">
        <f ca="1">ROUND(IF(DESONERACAO="sim",REFERENCIA.Desonerado,REFERENCIA.NaoDesonerado),2)</f>
        <v>0</v>
      </c>
      <c r="AH78" s="499">
        <f t="shared" ca="1" si="15"/>
        <v>0.22470000000000001</v>
      </c>
      <c r="AJ78" s="501"/>
      <c r="AL78" s="527"/>
      <c r="AM78" s="381">
        <f t="shared" ca="1" si="0"/>
        <v>0</v>
      </c>
      <c r="AN78" s="566">
        <f t="shared" ca="1" si="16"/>
        <v>0</v>
      </c>
    </row>
    <row r="79" spans="1:40" ht="38.25" x14ac:dyDescent="0.2">
      <c r="A79" t="str">
        <f t="shared" si="1"/>
        <v>S</v>
      </c>
      <c r="B79">
        <f t="shared" ca="1" si="2"/>
        <v>3</v>
      </c>
      <c r="C79" t="str">
        <f t="shared" ca="1" si="3"/>
        <v>S</v>
      </c>
      <c r="D79">
        <f t="shared" ca="1" si="4"/>
        <v>0</v>
      </c>
      <c r="E79">
        <f ca="1">IF($C79=1,OFFSET(E79,-1,0)+MAX(1,COUNTIF(QCI!$A$13:$A$24,OFFSET(ORÇAMENTO!E79,-1,0))),OFFSET(E79,-1,0))</f>
        <v>1</v>
      </c>
      <c r="F79">
        <f t="shared" ca="1" si="5"/>
        <v>4</v>
      </c>
      <c r="G79">
        <f t="shared" ca="1" si="6"/>
        <v>3</v>
      </c>
      <c r="H79">
        <f t="shared" ca="1" si="7"/>
        <v>0</v>
      </c>
      <c r="I79">
        <f t="shared" ca="1" si="8"/>
        <v>0</v>
      </c>
      <c r="J79">
        <f t="shared" ca="1" si="9"/>
        <v>0</v>
      </c>
      <c r="K79">
        <f ca="1">IF(OR($C79="S",$C79=0),0,MATCH(OFFSET($D79,0,$C79)+IF($C79&lt;&gt;1,1,COUNTIF(QCI!$A$13:$A$24,ORÇAMENTO!E79)),OFFSET($D79,1,$C79,ROW($C$747)-ROW($C79)),0))</f>
        <v>0</v>
      </c>
      <c r="L79" s="116" t="str">
        <f t="shared" ca="1" si="10"/>
        <v/>
      </c>
      <c r="M79" s="117" t="s">
        <v>199</v>
      </c>
      <c r="N79" s="118" t="str">
        <f t="shared" ca="1" si="11"/>
        <v>Serviço</v>
      </c>
      <c r="O79" s="119" t="str">
        <f t="shared" ca="1" si="12"/>
        <v>-</v>
      </c>
      <c r="P79" s="120" t="s">
        <v>247</v>
      </c>
      <c r="Q79" s="121" t="s">
        <v>897</v>
      </c>
      <c r="R79" s="122" t="str">
        <f ca="1">IF($C79="S",REFERENCIA.Descricao,"(digite a descrição aqui)")</f>
        <v>(abra o arquivo 'Referência 02-2025.xlsm)</v>
      </c>
      <c r="S79" s="123" t="str">
        <f ca="1">REFERENCIA.Unidade</f>
        <v>-</v>
      </c>
      <c r="T79" s="124">
        <f ca="1">OFFSET(CÁLCULO!H$15,ROW($T79)-ROW(T$15),0)</f>
        <v>800.94</v>
      </c>
      <c r="U79" s="125">
        <f t="shared" ca="1" si="17"/>
        <v>0</v>
      </c>
      <c r="V79" s="126" t="s">
        <v>156</v>
      </c>
      <c r="W79" s="124">
        <f ca="1">IF($C79="S",ROUND(IF(TIPOORCAMENTO="Proposto",ORÇAMENTO.CustoUnitario*(1+$AH79),ORÇAMENTO.PrecoUnitarioLicitado),15-13*$AF$10),0)</f>
        <v>0</v>
      </c>
      <c r="X79" s="127">
        <f ca="1">IF($C79="S",IF(Import.TipoArredondamento&lt;&gt;"TransfereGOV",VTOTAL1,SUM(OFFSET(CÁLCULO!$AA$15,ROW($X79)-ROW($X$15),1):OFFSET(CÁLCULO!$AL$15,ROW($X79)-ROW($X$15),-1))),IF($C79=0,0,ROUND(SomaAgrup,15-13*$AF$11)))</f>
        <v>0</v>
      </c>
      <c r="Y79" s="128" t="s">
        <v>245</v>
      </c>
      <c r="Z79" t="str">
        <f t="shared" ca="1" si="13"/>
        <v/>
      </c>
      <c r="AA79" s="129">
        <f ca="1">IF($C79="S",IF($Z79="CP",$X79,IF($Z79="RA",(($X79)*QCI!$AA$3),0)),SomaAgrup)</f>
        <v>0</v>
      </c>
      <c r="AB79" s="130">
        <f t="shared" ca="1" si="14"/>
        <v>0</v>
      </c>
      <c r="AC79" s="131" t="str">
        <f ca="1">IF($N79="","",IF(ORÇAMENTO.Descricao="","DESCRIÇÃO",IF(AND($C79="S",ORÇAMENTO.Unidade=""),"UNIDADE",IF($X79&lt;0,"VALOR NEGATIVO",IF(OR(AND(TIPOORCAMENTO="Proposto",$AG79&lt;&gt;"",$AG79&gt;0,ORÇAMENTO.CustoUnitario&gt;$AG79),AND(TIPOORCAMENTO="LICITADO",ORÇAMENTO.PrecoUnitarioLicitado&gt;$AN79)),"ACIMA REF.","")))))</f>
        <v/>
      </c>
      <c r="AD79" t="str">
        <f ca="1">IF(C79&lt;=CRONO.NivelExibicao,MAX($AD$15:OFFSET(AD79,-1,0))+IF($C79&lt;&gt;1,1,MAX(1,COUNTIF(QCI!$A$13:$A$24,OFFSET($E79,-1,0)))),"")</f>
        <v/>
      </c>
      <c r="AE79" s="7" t="str">
        <f ca="1">IF(AND($C79="S",ORÇAMENTO.CodBarra&lt;&gt;""),IF(ORÇAMENTO.Fonte="",ORÇAMENTO.CodBarra,CONCATENATE(ORÇAMENTO.Fonte," ",ORÇAMENTO.CodBarra)))</f>
        <v>SINAPI 92479</v>
      </c>
      <c r="AF79" s="13" t="str">
        <f ca="1">IF(ISERROR(INDIRECT(ORÇAMENTO.BancoRef)),"(abra o arquivo 'Referência "&amp;Excel_BuiltIn_Database&amp;".xlsm)",IF(OR($C79&lt;&gt;"S",ORÇAMENTO.CodBarra=""),"(Sem Código)",IF(ISERROR(MATCH($AE79,INDIRECT(ORÇAMENTO.BancoRef),0)),"(Código não identificado nas referências)",MATCH($AE79,INDIRECT(ORÇAMENTO.BancoRef),0))))</f>
        <v>(abra o arquivo 'Referência 02-2025.xlsm)</v>
      </c>
      <c r="AG79" s="498">
        <f ca="1">ROUND(IF(DESONERACAO="sim",REFERENCIA.Desonerado,REFERENCIA.NaoDesonerado),2)</f>
        <v>0</v>
      </c>
      <c r="AH79" s="499">
        <f t="shared" ca="1" si="15"/>
        <v>0.22470000000000001</v>
      </c>
      <c r="AJ79" s="501">
        <v>800.94</v>
      </c>
      <c r="AL79" s="527"/>
      <c r="AM79" s="381">
        <f t="shared" ca="1" si="0"/>
        <v>0</v>
      </c>
      <c r="AN79" s="566">
        <f t="shared" ca="1" si="16"/>
        <v>0</v>
      </c>
    </row>
    <row r="80" spans="1:40" ht="38.25" x14ac:dyDescent="0.2">
      <c r="A80" t="str">
        <f t="shared" si="1"/>
        <v>S</v>
      </c>
      <c r="B80">
        <f t="shared" ca="1" si="2"/>
        <v>3</v>
      </c>
      <c r="C80" t="str">
        <f t="shared" ca="1" si="3"/>
        <v>S</v>
      </c>
      <c r="D80">
        <f t="shared" ca="1" si="4"/>
        <v>0</v>
      </c>
      <c r="E80">
        <f ca="1">IF($C80=1,OFFSET(E80,-1,0)+MAX(1,COUNTIF(QCI!$A$13:$A$24,OFFSET(ORÇAMENTO!E80,-1,0))),OFFSET(E80,-1,0))</f>
        <v>1</v>
      </c>
      <c r="F80">
        <f t="shared" ca="1" si="5"/>
        <v>4</v>
      </c>
      <c r="G80">
        <f t="shared" ca="1" si="6"/>
        <v>3</v>
      </c>
      <c r="H80">
        <f t="shared" ca="1" si="7"/>
        <v>0</v>
      </c>
      <c r="I80">
        <f t="shared" ca="1" si="8"/>
        <v>0</v>
      </c>
      <c r="J80">
        <f t="shared" ref="J80:J143" ca="1" si="18">IF(OR($C80="S",$C80=0),0,MATCH(0,OFFSET($D80,1,$C80,ROW($C$747)-ROW($C80)),0))</f>
        <v>0</v>
      </c>
      <c r="K80">
        <f ca="1">IF(OR($C80="S",$C80=0),0,MATCH(OFFSET($D80,0,$C80)+IF($C80&lt;&gt;1,1,COUNTIF(QCI!$A$13:$A$24,ORÇAMENTO!E80)),OFFSET($D80,1,$C80,ROW($C$747)-ROW($C80)),0))</f>
        <v>0</v>
      </c>
      <c r="L80" s="116" t="str">
        <f t="shared" ca="1" si="10"/>
        <v/>
      </c>
      <c r="M80" s="117" t="s">
        <v>199</v>
      </c>
      <c r="N80" s="118" t="str">
        <f t="shared" ca="1" si="11"/>
        <v>Serviço</v>
      </c>
      <c r="O80" s="119" t="str">
        <f t="shared" ca="1" si="12"/>
        <v>-</v>
      </c>
      <c r="P80" s="120" t="s">
        <v>247</v>
      </c>
      <c r="Q80" s="121" t="s">
        <v>471</v>
      </c>
      <c r="R80" s="122" t="str">
        <f ca="1">IF($C80="S",REFERENCIA.Descricao,"(digite a descrição aqui)")</f>
        <v>(abra o arquivo 'Referência 02-2025.xlsm)</v>
      </c>
      <c r="S80" s="123" t="str">
        <f ca="1">REFERENCIA.Unidade</f>
        <v>-</v>
      </c>
      <c r="T80" s="124">
        <f ca="1">OFFSET(CÁLCULO!H$15,ROW($T80)-ROW(T$15),0)</f>
        <v>958.05</v>
      </c>
      <c r="U80" s="125">
        <f t="shared" ca="1" si="17"/>
        <v>0</v>
      </c>
      <c r="V80" s="126" t="s">
        <v>156</v>
      </c>
      <c r="W80" s="124">
        <f ca="1">IF($C80="S",ROUND(IF(TIPOORCAMENTO="Proposto",ORÇAMENTO.CustoUnitario*(1+$AH80),ORÇAMENTO.PrecoUnitarioLicitado),15-13*$AF$10),0)</f>
        <v>0</v>
      </c>
      <c r="X80" s="127">
        <f ca="1">IF($C80="S",IF(Import.TipoArredondamento&lt;&gt;"TransfereGOV",VTOTAL1,SUM(OFFSET(CÁLCULO!$AA$15,ROW($X80)-ROW($X$15),1):OFFSET(CÁLCULO!$AL$15,ROW($X80)-ROW($X$15),-1))),IF($C80=0,0,ROUND(SomaAgrup,15-13*$AF$11)))</f>
        <v>0</v>
      </c>
      <c r="Y80" s="128" t="s">
        <v>245</v>
      </c>
      <c r="Z80" t="str">
        <f t="shared" ca="1" si="13"/>
        <v/>
      </c>
      <c r="AA80" s="129">
        <f ca="1">IF($C80="S",IF($Z80="CP",$X80,IF($Z80="RA",(($X80)*QCI!$AA$3),0)),SomaAgrup)</f>
        <v>0</v>
      </c>
      <c r="AB80" s="130">
        <f t="shared" ca="1" si="14"/>
        <v>0</v>
      </c>
      <c r="AC80" s="131" t="str">
        <f ca="1">IF($N80="","",IF(ORÇAMENTO.Descricao="","DESCRIÇÃO",IF(AND($C80="S",ORÇAMENTO.Unidade=""),"UNIDADE",IF($X80&lt;0,"VALOR NEGATIVO",IF(OR(AND(TIPOORCAMENTO="Proposto",$AG80&lt;&gt;"",$AG80&gt;0,ORÇAMENTO.CustoUnitario&gt;$AG80),AND(TIPOORCAMENTO="LICITADO",ORÇAMENTO.PrecoUnitarioLicitado&gt;$AN80)),"ACIMA REF.","")))))</f>
        <v/>
      </c>
      <c r="AD80" t="str">
        <f ca="1">IF(C80&lt;=CRONO.NivelExibicao,MAX($AD$15:OFFSET(AD80,-1,0))+IF($C80&lt;&gt;1,1,MAX(1,COUNTIF(QCI!$A$13:$A$24,OFFSET($E80,-1,0)))),"")</f>
        <v/>
      </c>
      <c r="AE80" s="7" t="str">
        <f ca="1">IF(AND($C80="S",ORÇAMENTO.CodBarra&lt;&gt;""),IF(ORÇAMENTO.Fonte="",ORÇAMENTO.CodBarra,CONCATENATE(ORÇAMENTO.Fonte," ",ORÇAMENTO.CodBarra)))</f>
        <v>SINAPI 92761</v>
      </c>
      <c r="AF80" s="13" t="str">
        <f ca="1">IF(ISERROR(INDIRECT(ORÇAMENTO.BancoRef)),"(abra o arquivo 'Referência "&amp;Excel_BuiltIn_Database&amp;".xlsm)",IF(OR($C80&lt;&gt;"S",ORÇAMENTO.CodBarra=""),"(Sem Código)",IF(ISERROR(MATCH($AE80,INDIRECT(ORÇAMENTO.BancoRef),0)),"(Código não identificado nas referências)",MATCH($AE80,INDIRECT(ORÇAMENTO.BancoRef),0))))</f>
        <v>(abra o arquivo 'Referência 02-2025.xlsm)</v>
      </c>
      <c r="AG80" s="498">
        <f ca="1">ROUND(IF(DESONERACAO="sim",REFERENCIA.Desonerado,REFERENCIA.NaoDesonerado),2)</f>
        <v>0</v>
      </c>
      <c r="AH80" s="499">
        <f t="shared" ca="1" si="15"/>
        <v>0.22470000000000001</v>
      </c>
      <c r="AJ80" s="501">
        <v>958.05</v>
      </c>
      <c r="AL80" s="527"/>
      <c r="AM80" s="381">
        <f t="shared" ca="1" si="0"/>
        <v>0</v>
      </c>
      <c r="AN80" s="566">
        <f t="shared" ca="1" si="16"/>
        <v>0</v>
      </c>
    </row>
    <row r="81" spans="1:40" ht="38.25" x14ac:dyDescent="0.2">
      <c r="A81" t="str">
        <f t="shared" si="1"/>
        <v>S</v>
      </c>
      <c r="B81">
        <f t="shared" ca="1" si="2"/>
        <v>3</v>
      </c>
      <c r="C81" t="str">
        <f t="shared" ca="1" si="3"/>
        <v>S</v>
      </c>
      <c r="D81">
        <f t="shared" ca="1" si="4"/>
        <v>0</v>
      </c>
      <c r="E81">
        <f ca="1">IF($C81=1,OFFSET(E81,-1,0)+MAX(1,COUNTIF(QCI!$A$13:$A$24,OFFSET(ORÇAMENTO!E81,-1,0))),OFFSET(E81,-1,0))</f>
        <v>1</v>
      </c>
      <c r="F81">
        <f t="shared" ca="1" si="5"/>
        <v>4</v>
      </c>
      <c r="G81">
        <f t="shared" ca="1" si="6"/>
        <v>3</v>
      </c>
      <c r="H81">
        <f t="shared" ca="1" si="7"/>
        <v>0</v>
      </c>
      <c r="I81">
        <f t="shared" ca="1" si="8"/>
        <v>0</v>
      </c>
      <c r="J81">
        <f t="shared" ca="1" si="18"/>
        <v>0</v>
      </c>
      <c r="K81">
        <f ca="1">IF(OR($C81="S",$C81=0),0,MATCH(OFFSET($D81,0,$C81)+IF($C81&lt;&gt;1,1,COUNTIF(QCI!$A$13:$A$24,ORÇAMENTO!E81)),OFFSET($D81,1,$C81,ROW($C$747)-ROW($C81)),0))</f>
        <v>0</v>
      </c>
      <c r="L81" s="116" t="str">
        <f t="shared" ca="1" si="10"/>
        <v/>
      </c>
      <c r="M81" s="117" t="s">
        <v>199</v>
      </c>
      <c r="N81" s="118" t="str">
        <f t="shared" ca="1" si="11"/>
        <v>Serviço</v>
      </c>
      <c r="O81" s="119" t="str">
        <f t="shared" ca="1" si="12"/>
        <v>-</v>
      </c>
      <c r="P81" s="120" t="s">
        <v>247</v>
      </c>
      <c r="Q81" s="121" t="s">
        <v>468</v>
      </c>
      <c r="R81" s="122" t="str">
        <f ca="1">IF($C81="S",REFERENCIA.Descricao,"(digite a descrição aqui)")</f>
        <v>(abra o arquivo 'Referência 02-2025.xlsm)</v>
      </c>
      <c r="S81" s="123" t="str">
        <f ca="1">REFERENCIA.Unidade</f>
        <v>-</v>
      </c>
      <c r="T81" s="124">
        <f ca="1">OFFSET(CÁLCULO!H$15,ROW($T81)-ROW(T$15),0)</f>
        <v>939.81</v>
      </c>
      <c r="U81" s="125">
        <f t="shared" ca="1" si="17"/>
        <v>0</v>
      </c>
      <c r="V81" s="126" t="s">
        <v>156</v>
      </c>
      <c r="W81" s="124">
        <f ca="1">IF($C81="S",ROUND(IF(TIPOORCAMENTO="Proposto",ORÇAMENTO.CustoUnitario*(1+$AH81),ORÇAMENTO.PrecoUnitarioLicitado),15-13*$AF$10),0)</f>
        <v>0</v>
      </c>
      <c r="X81" s="127">
        <f ca="1">IF($C81="S",IF(Import.TipoArredondamento&lt;&gt;"TransfereGOV",VTOTAL1,SUM(OFFSET(CÁLCULO!$AA$15,ROW($X81)-ROW($X$15),1):OFFSET(CÁLCULO!$AL$15,ROW($X81)-ROW($X$15),-1))),IF($C81=0,0,ROUND(SomaAgrup,15-13*$AF$11)))</f>
        <v>0</v>
      </c>
      <c r="Y81" s="128" t="s">
        <v>245</v>
      </c>
      <c r="Z81" t="str">
        <f t="shared" ca="1" si="13"/>
        <v/>
      </c>
      <c r="AA81" s="129">
        <f ca="1">IF($C81="S",IF($Z81="CP",$X81,IF($Z81="RA",(($X81)*QCI!$AA$3),0)),SomaAgrup)</f>
        <v>0</v>
      </c>
      <c r="AB81" s="130">
        <f t="shared" ca="1" si="14"/>
        <v>0</v>
      </c>
      <c r="AC81" s="131" t="str">
        <f ca="1">IF($N81="","",IF(ORÇAMENTO.Descricao="","DESCRIÇÃO",IF(AND($C81="S",ORÇAMENTO.Unidade=""),"UNIDADE",IF($X81&lt;0,"VALOR NEGATIVO",IF(OR(AND(TIPOORCAMENTO="Proposto",$AG81&lt;&gt;"",$AG81&gt;0,ORÇAMENTO.CustoUnitario&gt;$AG81),AND(TIPOORCAMENTO="LICITADO",ORÇAMENTO.PrecoUnitarioLicitado&gt;$AN81)),"ACIMA REF.","")))))</f>
        <v/>
      </c>
      <c r="AD81" t="str">
        <f ca="1">IF(C81&lt;=CRONO.NivelExibicao,MAX($AD$15:OFFSET(AD81,-1,0))+IF($C81&lt;&gt;1,1,MAX(1,COUNTIF(QCI!$A$13:$A$24,OFFSET($E81,-1,0)))),"")</f>
        <v/>
      </c>
      <c r="AE81" s="7" t="str">
        <f ca="1">IF(AND($C81="S",ORÇAMENTO.CodBarra&lt;&gt;""),IF(ORÇAMENTO.Fonte="",ORÇAMENTO.CodBarra,CONCATENATE(ORÇAMENTO.Fonte," ",ORÇAMENTO.CodBarra)))</f>
        <v>SINAPI 92762</v>
      </c>
      <c r="AF81" s="13" t="str">
        <f ca="1">IF(ISERROR(INDIRECT(ORÇAMENTO.BancoRef)),"(abra o arquivo 'Referência "&amp;Excel_BuiltIn_Database&amp;".xlsm)",IF(OR($C81&lt;&gt;"S",ORÇAMENTO.CodBarra=""),"(Sem Código)",IF(ISERROR(MATCH($AE81,INDIRECT(ORÇAMENTO.BancoRef),0)),"(Código não identificado nas referências)",MATCH($AE81,INDIRECT(ORÇAMENTO.BancoRef),0))))</f>
        <v>(abra o arquivo 'Referência 02-2025.xlsm)</v>
      </c>
      <c r="AG81" s="498">
        <f ca="1">ROUND(IF(DESONERACAO="sim",REFERENCIA.Desonerado,REFERENCIA.NaoDesonerado),2)</f>
        <v>0</v>
      </c>
      <c r="AH81" s="499">
        <f t="shared" ca="1" si="15"/>
        <v>0.22470000000000001</v>
      </c>
      <c r="AJ81" s="501">
        <v>939.81</v>
      </c>
      <c r="AL81" s="527"/>
      <c r="AM81" s="381">
        <f t="shared" ca="1" si="0"/>
        <v>0</v>
      </c>
      <c r="AN81" s="566">
        <f t="shared" ca="1" si="16"/>
        <v>0</v>
      </c>
    </row>
    <row r="82" spans="1:40" ht="38.25" x14ac:dyDescent="0.2">
      <c r="A82" t="str">
        <f t="shared" si="1"/>
        <v>S</v>
      </c>
      <c r="B82">
        <f t="shared" ca="1" si="2"/>
        <v>3</v>
      </c>
      <c r="C82" t="str">
        <f t="shared" ca="1" si="3"/>
        <v>S</v>
      </c>
      <c r="D82">
        <f t="shared" ca="1" si="4"/>
        <v>0</v>
      </c>
      <c r="E82">
        <f ca="1">IF($C82=1,OFFSET(E82,-1,0)+MAX(1,COUNTIF(QCI!$A$13:$A$24,OFFSET(ORÇAMENTO!E82,-1,0))),OFFSET(E82,-1,0))</f>
        <v>1</v>
      </c>
      <c r="F82">
        <f t="shared" ca="1" si="5"/>
        <v>4</v>
      </c>
      <c r="G82">
        <f t="shared" ca="1" si="6"/>
        <v>3</v>
      </c>
      <c r="H82">
        <f t="shared" ca="1" si="7"/>
        <v>0</v>
      </c>
      <c r="I82">
        <f t="shared" ca="1" si="8"/>
        <v>0</v>
      </c>
      <c r="J82">
        <f t="shared" ca="1" si="18"/>
        <v>0</v>
      </c>
      <c r="K82">
        <f ca="1">IF(OR($C82="S",$C82=0),0,MATCH(OFFSET($D82,0,$C82)+IF($C82&lt;&gt;1,1,COUNTIF(QCI!$A$13:$A$24,ORÇAMENTO!E82)),OFFSET($D82,1,$C82,ROW($C$747)-ROW($C82)),0))</f>
        <v>0</v>
      </c>
      <c r="L82" s="116" t="str">
        <f t="shared" ca="1" si="10"/>
        <v/>
      </c>
      <c r="M82" s="117" t="s">
        <v>199</v>
      </c>
      <c r="N82" s="118" t="str">
        <f t="shared" ca="1" si="11"/>
        <v>Serviço</v>
      </c>
      <c r="O82" s="119" t="str">
        <f t="shared" ca="1" si="12"/>
        <v>-</v>
      </c>
      <c r="P82" s="120" t="s">
        <v>247</v>
      </c>
      <c r="Q82" s="121" t="s">
        <v>469</v>
      </c>
      <c r="R82" s="122" t="str">
        <f ca="1">IF($C82="S",REFERENCIA.Descricao,"(digite a descrição aqui)")</f>
        <v>(abra o arquivo 'Referência 02-2025.xlsm)</v>
      </c>
      <c r="S82" s="123" t="str">
        <f ca="1">REFERENCIA.Unidade</f>
        <v>-</v>
      </c>
      <c r="T82" s="124">
        <f ca="1">OFFSET(CÁLCULO!H$15,ROW($T82)-ROW(T$15),0)</f>
        <v>164.31</v>
      </c>
      <c r="U82" s="125">
        <f t="shared" ca="1" si="17"/>
        <v>0</v>
      </c>
      <c r="V82" s="126" t="s">
        <v>156</v>
      </c>
      <c r="W82" s="124">
        <f ca="1">IF($C82="S",ROUND(IF(TIPOORCAMENTO="Proposto",ORÇAMENTO.CustoUnitario*(1+$AH82),ORÇAMENTO.PrecoUnitarioLicitado),15-13*$AF$10),0)</f>
        <v>0</v>
      </c>
      <c r="X82" s="127">
        <f ca="1">IF($C82="S",IF(Import.TipoArredondamento&lt;&gt;"TransfereGOV",VTOTAL1,SUM(OFFSET(CÁLCULO!$AA$15,ROW($X82)-ROW($X$15),1):OFFSET(CÁLCULO!$AL$15,ROW($X82)-ROW($X$15),-1))),IF($C82=0,0,ROUND(SomaAgrup,15-13*$AF$11)))</f>
        <v>0</v>
      </c>
      <c r="Y82" s="128" t="s">
        <v>245</v>
      </c>
      <c r="Z82" t="str">
        <f t="shared" ca="1" si="13"/>
        <v/>
      </c>
      <c r="AA82" s="129">
        <f ca="1">IF($C82="S",IF($Z82="CP",$X82,IF($Z82="RA",(($X82)*QCI!$AA$3),0)),SomaAgrup)</f>
        <v>0</v>
      </c>
      <c r="AB82" s="130">
        <f t="shared" ca="1" si="14"/>
        <v>0</v>
      </c>
      <c r="AC82" s="131" t="str">
        <f ca="1">IF($N82="","",IF(ORÇAMENTO.Descricao="","DESCRIÇÃO",IF(AND($C82="S",ORÇAMENTO.Unidade=""),"UNIDADE",IF($X82&lt;0,"VALOR NEGATIVO",IF(OR(AND(TIPOORCAMENTO="Proposto",$AG82&lt;&gt;"",$AG82&gt;0,ORÇAMENTO.CustoUnitario&gt;$AG82),AND(TIPOORCAMENTO="LICITADO",ORÇAMENTO.PrecoUnitarioLicitado&gt;$AN82)),"ACIMA REF.","")))))</f>
        <v/>
      </c>
      <c r="AD82" t="str">
        <f ca="1">IF(C82&lt;=CRONO.NivelExibicao,MAX($AD$15:OFFSET(AD82,-1,0))+IF($C82&lt;&gt;1,1,MAX(1,COUNTIF(QCI!$A$13:$A$24,OFFSET($E82,-1,0)))),"")</f>
        <v/>
      </c>
      <c r="AE82" s="7" t="str">
        <f ca="1">IF(AND($C82="S",ORÇAMENTO.CodBarra&lt;&gt;""),IF(ORÇAMENTO.Fonte="",ORÇAMENTO.CodBarra,CONCATENATE(ORÇAMENTO.Fonte," ",ORÇAMENTO.CodBarra)))</f>
        <v>SINAPI 92763</v>
      </c>
      <c r="AF82" s="13" t="str">
        <f ca="1">IF(ISERROR(INDIRECT(ORÇAMENTO.BancoRef)),"(abra o arquivo 'Referência "&amp;Excel_BuiltIn_Database&amp;".xlsm)",IF(OR($C82&lt;&gt;"S",ORÇAMENTO.CodBarra=""),"(Sem Código)",IF(ISERROR(MATCH($AE82,INDIRECT(ORÇAMENTO.BancoRef),0)),"(Código não identificado nas referências)",MATCH($AE82,INDIRECT(ORÇAMENTO.BancoRef),0))))</f>
        <v>(abra o arquivo 'Referência 02-2025.xlsm)</v>
      </c>
      <c r="AG82" s="498">
        <f ca="1">ROUND(IF(DESONERACAO="sim",REFERENCIA.Desonerado,REFERENCIA.NaoDesonerado),2)</f>
        <v>0</v>
      </c>
      <c r="AH82" s="499">
        <f t="shared" ca="1" si="15"/>
        <v>0.22470000000000001</v>
      </c>
      <c r="AJ82" s="501">
        <v>164.31</v>
      </c>
      <c r="AL82" s="527"/>
      <c r="AM82" s="381">
        <f t="shared" ref="AM82" ca="1" si="19">$X82</f>
        <v>0</v>
      </c>
      <c r="AN82" s="566">
        <f t="shared" ca="1" si="16"/>
        <v>0</v>
      </c>
    </row>
    <row r="83" spans="1:40" ht="38.25" x14ac:dyDescent="0.2">
      <c r="A83" t="str">
        <f t="shared" si="1"/>
        <v>S</v>
      </c>
      <c r="B83">
        <f t="shared" ca="1" si="2"/>
        <v>3</v>
      </c>
      <c r="C83" t="str">
        <f t="shared" ca="1" si="3"/>
        <v>S</v>
      </c>
      <c r="D83">
        <f t="shared" ca="1" si="4"/>
        <v>0</v>
      </c>
      <c r="E83">
        <f ca="1">IF($C83=1,OFFSET(E83,-1,0)+MAX(1,COUNTIF(QCI!$A$13:$A$24,OFFSET(ORÇAMENTO!E83,-1,0))),OFFSET(E83,-1,0))</f>
        <v>1</v>
      </c>
      <c r="F83">
        <f t="shared" ca="1" si="5"/>
        <v>4</v>
      </c>
      <c r="G83">
        <f t="shared" ca="1" si="6"/>
        <v>3</v>
      </c>
      <c r="H83">
        <f t="shared" ca="1" si="7"/>
        <v>0</v>
      </c>
      <c r="I83">
        <f t="shared" ca="1" si="8"/>
        <v>0</v>
      </c>
      <c r="J83">
        <f t="shared" ca="1" si="18"/>
        <v>0</v>
      </c>
      <c r="K83">
        <f ca="1">IF(OR($C83="S",$C83=0),0,MATCH(OFFSET($D83,0,$C83)+IF($C83&lt;&gt;1,1,COUNTIF(QCI!$A$13:$A$24,ORÇAMENTO!E83)),OFFSET($D83,1,$C83,ROW($C$747)-ROW($C83)),0))</f>
        <v>0</v>
      </c>
      <c r="L83" s="116" t="str">
        <f t="shared" ca="1" si="10"/>
        <v/>
      </c>
      <c r="M83" s="117" t="s">
        <v>199</v>
      </c>
      <c r="N83" s="118" t="str">
        <f t="shared" ca="1" si="11"/>
        <v>Serviço</v>
      </c>
      <c r="O83" s="119" t="str">
        <f t="shared" ca="1" si="12"/>
        <v>-</v>
      </c>
      <c r="P83" s="120" t="s">
        <v>247</v>
      </c>
      <c r="Q83" s="121" t="s">
        <v>472</v>
      </c>
      <c r="R83" s="122" t="str">
        <f ca="1">IF($C83="S",REFERENCIA.Descricao,"(digite a descrição aqui)")</f>
        <v>(abra o arquivo 'Referência 02-2025.xlsm)</v>
      </c>
      <c r="S83" s="123" t="str">
        <f ca="1">REFERENCIA.Unidade</f>
        <v>-</v>
      </c>
      <c r="T83" s="124">
        <f ca="1">OFFSET(CÁLCULO!H$15,ROW($T83)-ROW(T$15),0)</f>
        <v>143.35</v>
      </c>
      <c r="U83" s="125">
        <f t="shared" ca="1" si="17"/>
        <v>0</v>
      </c>
      <c r="V83" s="126" t="s">
        <v>156</v>
      </c>
      <c r="W83" s="124">
        <f ca="1">IF($C83="S",ROUND(IF(TIPOORCAMENTO="Proposto",ORÇAMENTO.CustoUnitario*(1+$AH83),ORÇAMENTO.PrecoUnitarioLicitado),15-13*$AF$10),0)</f>
        <v>0</v>
      </c>
      <c r="X83" s="127">
        <f ca="1">IF($C83="S",IF(Import.TipoArredondamento&lt;&gt;"TransfereGOV",VTOTAL1,SUM(OFFSET(CÁLCULO!$AA$15,ROW($X83)-ROW($X$15),1):OFFSET(CÁLCULO!$AL$15,ROW($X83)-ROW($X$15),-1))),IF($C83=0,0,ROUND(SomaAgrup,15-13*$AF$11)))</f>
        <v>0</v>
      </c>
      <c r="Y83" s="128" t="s">
        <v>245</v>
      </c>
      <c r="Z83" t="str">
        <f t="shared" ca="1" si="13"/>
        <v/>
      </c>
      <c r="AA83" s="129">
        <f ca="1">IF($C83="S",IF($Z83="CP",$X83,IF($Z83="RA",(($X83)*QCI!$AA$3),0)),SomaAgrup)</f>
        <v>0</v>
      </c>
      <c r="AB83" s="130">
        <f t="shared" ca="1" si="14"/>
        <v>0</v>
      </c>
      <c r="AC83" s="131" t="str">
        <f ca="1">IF($N83="","",IF(ORÇAMENTO.Descricao="","DESCRIÇÃO",IF(AND($C83="S",ORÇAMENTO.Unidade=""),"UNIDADE",IF($X83&lt;0,"VALOR NEGATIVO",IF(OR(AND(TIPOORCAMENTO="Proposto",$AG83&lt;&gt;"",$AG83&gt;0,ORÇAMENTO.CustoUnitario&gt;$AG83),AND(TIPOORCAMENTO="LICITADO",ORÇAMENTO.PrecoUnitarioLicitado&gt;$AN83)),"ACIMA REF.","")))))</f>
        <v/>
      </c>
      <c r="AD83" t="str">
        <f ca="1">IF(C83&lt;=CRONO.NivelExibicao,MAX($AD$15:OFFSET(AD83,-1,0))+IF($C83&lt;&gt;1,1,MAX(1,COUNTIF(QCI!$A$13:$A$24,OFFSET($E83,-1,0)))),"")</f>
        <v/>
      </c>
      <c r="AE83" s="7" t="str">
        <f ca="1">IF(AND($C83="S",ORÇAMENTO.CodBarra&lt;&gt;""),IF(ORÇAMENTO.Fonte="",ORÇAMENTO.CodBarra,CONCATENATE(ORÇAMENTO.Fonte," ",ORÇAMENTO.CodBarra)))</f>
        <v>SINAPI 92764</v>
      </c>
      <c r="AF83" s="13" t="str">
        <f ca="1">IF(ISERROR(INDIRECT(ORÇAMENTO.BancoRef)),"(abra o arquivo 'Referência "&amp;Excel_BuiltIn_Database&amp;".xlsm)",IF(OR($C83&lt;&gt;"S",ORÇAMENTO.CodBarra=""),"(Sem Código)",IF(ISERROR(MATCH($AE83,INDIRECT(ORÇAMENTO.BancoRef),0)),"(Código não identificado nas referências)",MATCH($AE83,INDIRECT(ORÇAMENTO.BancoRef),0))))</f>
        <v>(abra o arquivo 'Referência 02-2025.xlsm)</v>
      </c>
      <c r="AG83" s="498">
        <f ca="1">ROUND(IF(DESONERACAO="sim",REFERENCIA.Desonerado,REFERENCIA.NaoDesonerado),2)</f>
        <v>0</v>
      </c>
      <c r="AH83" s="499">
        <f t="shared" ca="1" si="15"/>
        <v>0.22470000000000001</v>
      </c>
      <c r="AJ83" s="501">
        <v>143.35</v>
      </c>
      <c r="AL83" s="527"/>
      <c r="AM83" s="381">
        <f t="shared" ca="1" si="0"/>
        <v>0</v>
      </c>
      <c r="AN83" s="566">
        <f t="shared" ca="1" si="16"/>
        <v>0</v>
      </c>
    </row>
    <row r="84" spans="1:40" ht="38.25" x14ac:dyDescent="0.2">
      <c r="A84" t="str">
        <f t="shared" ref="A84:A150" si="20">CHOOSE(1+LOG(1+2*(ORÇAMENTO.Nivel="Meta")+4*(ORÇAMENTO.Nivel="Nível 2")+8*(ORÇAMENTO.Nivel="Nível 3")+16*(ORÇAMENTO.Nivel="Nível 4")+32*(ORÇAMENTO.Nivel="Serviço"),2),0,1,2,3,4,"S")</f>
        <v>S</v>
      </c>
      <c r="B84">
        <f t="shared" ref="B84:B150" ca="1" si="21">IF(OR(C84="s",C84=0),OFFSET(B84,-1,0),C84)</f>
        <v>3</v>
      </c>
      <c r="C84" t="str">
        <f t="shared" ref="C84:C150" ca="1" si="22">IF(OFFSET(C84,-1,0)="L",1,IF(OFFSET(C84,-1,0)=1,2,IF(OR(A84="s",A84=0),"S",IF(AND(OFFSET(C84,-1,0)=2,A84=4),3,IF(AND(OR(OFFSET(C84,-1,0)="s",OFFSET(C84,-1,0)=0),A84&lt;&gt;"s",A84&gt;OFFSET(B84,-1,0)),OFFSET(B84,-1,0),A84)))))</f>
        <v>S</v>
      </c>
      <c r="D84">
        <f t="shared" ref="D84:D150" ca="1" si="23">IF(OR(C84="S",C84=0),0,IF(ISERROR(K84),J84,SMALL(J84:K84,1)))</f>
        <v>0</v>
      </c>
      <c r="E84">
        <f ca="1">IF($C84=1,OFFSET(E84,-1,0)+MAX(1,COUNTIF(QCI!$A$13:$A$24,OFFSET(ORÇAMENTO!E84,-1,0))),OFFSET(E84,-1,0))</f>
        <v>1</v>
      </c>
      <c r="F84">
        <f t="shared" ref="F84:F150" ca="1" si="24">IF($C84=1,0,IF($C84=2,OFFSET(F84,-1,0)+1,OFFSET(F84,-1,0)))</f>
        <v>4</v>
      </c>
      <c r="G84">
        <f t="shared" ref="G84:G150" ca="1" si="25">IF(AND($C84&lt;=2,$C84&lt;&gt;0),0,IF($C84=3,OFFSET(G84,-1,0)+1,OFFSET(G84,-1,0)))</f>
        <v>3</v>
      </c>
      <c r="H84">
        <f t="shared" ref="H84:H150" ca="1" si="26">IF(AND($C84&lt;=3,$C84&lt;&gt;0),0,IF($C84=4,OFFSET(H84,-1,0)+1,OFFSET(H84,-1,0)))</f>
        <v>0</v>
      </c>
      <c r="I84">
        <f t="shared" ref="I84:I150" ca="1" si="27">IF(AND($C84&lt;=4,$C84&lt;&gt;0),0,IF(AND($C84="S",$X84&gt;0),OFFSET(I84,-1,0)+1,OFFSET(I84,-1,0)))</f>
        <v>0</v>
      </c>
      <c r="J84">
        <f t="shared" ca="1" si="18"/>
        <v>0</v>
      </c>
      <c r="K84">
        <f ca="1">IF(OR($C84="S",$C84=0),0,MATCH(OFFSET($D84,0,$C84)+IF($C84&lt;&gt;1,1,COUNTIF(QCI!$A$13:$A$24,ORÇAMENTO!E84)),OFFSET($D84,1,$C84,ROW($C$747)-ROW($C84)),0))</f>
        <v>0</v>
      </c>
      <c r="L84" s="116" t="str">
        <f t="shared" ref="L84:L150" ca="1" si="28">IF(OR($X84&gt;0,$C84=1,$C84=2,$C84=3,$C84=4),"F","")</f>
        <v/>
      </c>
      <c r="M84" s="117" t="s">
        <v>199</v>
      </c>
      <c r="N84" s="118" t="str">
        <f t="shared" ref="N84:N150" ca="1" si="29">CHOOSE(1+LOG(1+2*(C84=1)+4*(C84=2)+8*(C84=3)+16*(C84=4)+32*(C84="S"),2),"","Meta","Nível 2","Nível 3","Nível 4","Serviço")</f>
        <v>Serviço</v>
      </c>
      <c r="O84" s="119" t="str">
        <f t="shared" ref="O84:O150" ca="1" si="30">IF(OR($C84=0,$L84=""),"-",CONCATENATE(E84&amp;".",IF(AND($A$5&gt;=2,$C84&gt;=2),F84&amp;".",""),IF(AND($A$5&gt;=3,$C84&gt;=3),G84&amp;".",""),IF(AND($A$5&gt;=4,$C84&gt;=4),H84&amp;".",""),IF($C84="S",I84&amp;".","")))</f>
        <v>-</v>
      </c>
      <c r="P84" s="120" t="s">
        <v>247</v>
      </c>
      <c r="Q84" s="121" t="s">
        <v>470</v>
      </c>
      <c r="R84" s="122" t="str">
        <f ca="1">IF($C84="S",REFERENCIA.Descricao,"(digite a descrição aqui)")</f>
        <v>(abra o arquivo 'Referência 02-2025.xlsm)</v>
      </c>
      <c r="S84" s="123" t="str">
        <f ca="1">REFERENCIA.Unidade</f>
        <v>-</v>
      </c>
      <c r="T84" s="124">
        <f ca="1">OFFSET(CÁLCULO!H$15,ROW($T84)-ROW(T$15),0)</f>
        <v>713.59</v>
      </c>
      <c r="U84" s="125">
        <f t="shared" ca="1" si="17"/>
        <v>0</v>
      </c>
      <c r="V84" s="126" t="s">
        <v>156</v>
      </c>
      <c r="W84" s="124">
        <f ca="1">IF($C84="S",ROUND(IF(TIPOORCAMENTO="Proposto",ORÇAMENTO.CustoUnitario*(1+$AH84),ORÇAMENTO.PrecoUnitarioLicitado),15-13*$AF$10),0)</f>
        <v>0</v>
      </c>
      <c r="X84" s="127">
        <f ca="1">IF($C84="S",IF(Import.TipoArredondamento&lt;&gt;"TransfereGOV",VTOTAL1,SUM(OFFSET(CÁLCULO!$AA$15,ROW($X84)-ROW($X$15),1):OFFSET(CÁLCULO!$AL$15,ROW($X84)-ROW($X$15),-1))),IF($C84=0,0,ROUND(SomaAgrup,15-13*$AF$11)))</f>
        <v>0</v>
      </c>
      <c r="Y84" s="128" t="s">
        <v>245</v>
      </c>
      <c r="Z84" t="str">
        <f t="shared" ref="Z84:Z150" ca="1" si="31">IF(AND($C84="S",$X84&gt;0),IF(ISBLANK($Y84),"RA",LEFT($Y84,2)),"")</f>
        <v/>
      </c>
      <c r="AA84" s="129">
        <f ca="1">IF($C84="S",IF($Z84="CP",$X84,IF($Z84="RA",(($X84)*QCI!$AA$3),0)),SomaAgrup)</f>
        <v>0</v>
      </c>
      <c r="AB84" s="130">
        <f t="shared" ref="AB84:AB150" ca="1" si="32">IF($C84="S",IF($Z84="OU",ROUND($X84,2),0),SomaAgrup)</f>
        <v>0</v>
      </c>
      <c r="AC84" s="131" t="str">
        <f ca="1">IF($N84="","",IF(ORÇAMENTO.Descricao="","DESCRIÇÃO",IF(AND($C84="S",ORÇAMENTO.Unidade=""),"UNIDADE",IF($X84&lt;0,"VALOR NEGATIVO",IF(OR(AND(TIPOORCAMENTO="Proposto",$AG84&lt;&gt;"",$AG84&gt;0,ORÇAMENTO.CustoUnitario&gt;$AG84),AND(TIPOORCAMENTO="LICITADO",ORÇAMENTO.PrecoUnitarioLicitado&gt;$AN84)),"ACIMA REF.","")))))</f>
        <v/>
      </c>
      <c r="AD84" t="str">
        <f ca="1">IF(C84&lt;=CRONO.NivelExibicao,MAX($AD$15:OFFSET(AD84,-1,0))+IF($C84&lt;&gt;1,1,MAX(1,COUNTIF(QCI!$A$13:$A$24,OFFSET($E84,-1,0)))),"")</f>
        <v/>
      </c>
      <c r="AE84" s="7" t="str">
        <f ca="1">IF(AND($C84="S",ORÇAMENTO.CodBarra&lt;&gt;""),IF(ORÇAMENTO.Fonte="",ORÇAMENTO.CodBarra,CONCATENATE(ORÇAMENTO.Fonte," ",ORÇAMENTO.CodBarra)))</f>
        <v>SINAPI 92759</v>
      </c>
      <c r="AF84" s="13" t="str">
        <f ca="1">IF(ISERROR(INDIRECT(ORÇAMENTO.BancoRef)),"(abra o arquivo 'Referência "&amp;Excel_BuiltIn_Database&amp;".xlsm)",IF(OR($C84&lt;&gt;"S",ORÇAMENTO.CodBarra=""),"(Sem Código)",IF(ISERROR(MATCH($AE84,INDIRECT(ORÇAMENTO.BancoRef),0)),"(Código não identificado nas referências)",MATCH($AE84,INDIRECT(ORÇAMENTO.BancoRef),0))))</f>
        <v>(abra o arquivo 'Referência 02-2025.xlsm)</v>
      </c>
      <c r="AG84" s="498">
        <f ca="1">ROUND(IF(DESONERACAO="sim",REFERENCIA.Desonerado,REFERENCIA.NaoDesonerado),2)</f>
        <v>0</v>
      </c>
      <c r="AH84" s="499">
        <f t="shared" ref="AH84:AH150" ca="1" si="33">ROUND(IF(ISNUMBER(ORÇAMENTO.OpcaoBDI),ORÇAMENTO.OpcaoBDI,IF(LEFT(ORÇAMENTO.OpcaoBDI,3)="BDI",HLOOKUP(ORÇAMENTO.OpcaoBDI,$F$4:$H$5,2,FALSE),0)),15-11*$AF$9)</f>
        <v>0.22470000000000001</v>
      </c>
      <c r="AJ84" s="501">
        <v>713.59</v>
      </c>
      <c r="AL84" s="527"/>
      <c r="AM84" s="381">
        <f t="shared" ref="AM84:AM150" ca="1" si="34">$X84</f>
        <v>0</v>
      </c>
      <c r="AN84" s="566">
        <f t="shared" ref="AN84:AN150" ca="1" si="35">ROUND(ORÇAMENTO.CustoUnitario*(1+$AH84),2)</f>
        <v>0</v>
      </c>
    </row>
    <row r="85" spans="1:40" ht="38.25" x14ac:dyDescent="0.2">
      <c r="A85" t="str">
        <f>CHOOSE(1+LOG(1+2*(ORÇAMENTO.Nivel="Meta")+4*(ORÇAMENTO.Nivel="Nível 2")+8*(ORÇAMENTO.Nivel="Nível 3")+16*(ORÇAMENTO.Nivel="Nível 4")+32*(ORÇAMENTO.Nivel="Serviço"),2),0,1,2,3,4,"S")</f>
        <v>S</v>
      </c>
      <c r="B85">
        <f ca="1">IF(OR(C85="s",C85=0),OFFSET(B85,-1,0),C85)</f>
        <v>3</v>
      </c>
      <c r="C85" t="str">
        <f ca="1">IF(OFFSET(C85,-1,0)="L",1,IF(OFFSET(C85,-1,0)=1,2,IF(OR(A85="s",A85=0),"S",IF(AND(OFFSET(C85,-1,0)=2,A85=4),3,IF(AND(OR(OFFSET(C85,-1,0)="s",OFFSET(C85,-1,0)=0),A85&lt;&gt;"s",A85&gt;OFFSET(B85,-1,0)),OFFSET(B85,-1,0),A85)))))</f>
        <v>S</v>
      </c>
      <c r="D85">
        <f ca="1">IF(OR(C85="S",C85=0),0,IF(ISERROR(K85),J85,SMALL(J85:K85,1)))</f>
        <v>0</v>
      </c>
      <c r="E85">
        <f ca="1">IF($C85=1,OFFSET(E85,-1,0)+MAX(1,COUNTIF(QCI!$A$13:$A$24,OFFSET(ORÇAMENTO!E85,-1,0))),OFFSET(E85,-1,0))</f>
        <v>1</v>
      </c>
      <c r="F85">
        <f ca="1">IF($C85=1,0,IF($C85=2,OFFSET(F85,-1,0)+1,OFFSET(F85,-1,0)))</f>
        <v>4</v>
      </c>
      <c r="G85">
        <f ca="1">IF(AND($C85&lt;=2,$C85&lt;&gt;0),0,IF($C85=3,OFFSET(G85,-1,0)+1,OFFSET(G85,-1,0)))</f>
        <v>3</v>
      </c>
      <c r="H85">
        <f ca="1">IF(AND($C85&lt;=3,$C85&lt;&gt;0),0,IF($C85=4,OFFSET(H85,-1,0)+1,OFFSET(H85,-1,0)))</f>
        <v>0</v>
      </c>
      <c r="I85">
        <f ca="1">IF(AND($C85&lt;=4,$C85&lt;&gt;0),0,IF(AND($C85="S",$X85&gt;0),OFFSET(I85,-1,0)+1,OFFSET(I85,-1,0)))</f>
        <v>0</v>
      </c>
      <c r="J85">
        <f t="shared" ca="1" si="18"/>
        <v>0</v>
      </c>
      <c r="K85">
        <f ca="1">IF(OR($C85="S",$C85=0),0,MATCH(OFFSET($D85,0,$C85)+IF($C85&lt;&gt;1,1,COUNTIF(QCI!$A$13:$A$24,ORÇAMENTO!E85)),OFFSET($D85,1,$C85,ROW($C$747)-ROW($C85)),0))</f>
        <v>0</v>
      </c>
      <c r="L85" s="116" t="str">
        <f ca="1">IF(OR($X85&gt;0,$C85=1,$C85=2,$C85=3,$C85=4),"F","")</f>
        <v/>
      </c>
      <c r="M85" s="117" t="s">
        <v>199</v>
      </c>
      <c r="N85" s="118" t="str">
        <f ca="1">CHOOSE(1+LOG(1+2*(C85=1)+4*(C85=2)+8*(C85=3)+16*(C85=4)+32*(C85="S"),2),"","Meta","Nível 2","Nível 3","Nível 4","Serviço")</f>
        <v>Serviço</v>
      </c>
      <c r="O85" s="119" t="str">
        <f ca="1">IF(OR($C85=0,$L85=""),"-",CONCATENATE(E85&amp;".",IF(AND($A$5&gt;=2,$C85&gt;=2),F85&amp;".",""),IF(AND($A$5&gt;=3,$C85&gt;=3),G85&amp;".",""),IF(AND($A$5&gt;=4,$C85&gt;=4),H85&amp;".",""),IF($C85="S",I85&amp;".","")))</f>
        <v>-</v>
      </c>
      <c r="P85" s="120" t="s">
        <v>712</v>
      </c>
      <c r="Q85" s="121" t="s">
        <v>898</v>
      </c>
      <c r="R85" s="122" t="str">
        <f ca="1">IF($C85="S",REFERENCIA.Descricao,"(digite a descrição aqui)")</f>
        <v>(abra o arquivo 'Referência 02-2025.xlsm)</v>
      </c>
      <c r="S85" s="123" t="str">
        <f ca="1">REFERENCIA.Unidade</f>
        <v>-</v>
      </c>
      <c r="T85" s="124">
        <f ca="1">OFFSET(CÁLCULO!H$15,ROW($T85)-ROW(T$15),0)</f>
        <v>46.77</v>
      </c>
      <c r="U85" s="125">
        <f t="shared" ca="1" si="17"/>
        <v>0</v>
      </c>
      <c r="V85" s="126" t="s">
        <v>156</v>
      </c>
      <c r="W85" s="124">
        <f ca="1">IF($C85="S",ROUND(IF(TIPOORCAMENTO="Proposto",ORÇAMENTO.CustoUnitario*(1+$AH85),ORÇAMENTO.PrecoUnitarioLicitado),15-13*$AF$10),0)</f>
        <v>0</v>
      </c>
      <c r="X85" s="127">
        <f ca="1">IF($C85="S",IF(Import.TipoArredondamento&lt;&gt;"TransfereGOV",VTOTAL1,SUM(OFFSET(CÁLCULO!$AA$15,ROW($X85)-ROW($X$15),1):OFFSET(CÁLCULO!$AL$15,ROW($X85)-ROW($X$15),-1))),IF($C85=0,0,ROUND(SomaAgrup,15-13*$AF$11)))</f>
        <v>0</v>
      </c>
      <c r="Y85" s="128" t="s">
        <v>245</v>
      </c>
      <c r="Z85" t="str">
        <f ca="1">IF(AND($C85="S",$X85&gt;0),IF(ISBLANK($Y85),"RA",LEFT($Y85,2)),"")</f>
        <v/>
      </c>
      <c r="AA85" s="129">
        <f ca="1">IF($C85="S",IF($Z85="CP",$X85,IF($Z85="RA",(($X85)*QCI!$AA$3),0)),SomaAgrup)</f>
        <v>0</v>
      </c>
      <c r="AB85" s="130">
        <f ca="1">IF($C85="S",IF($Z85="OU",ROUND($X85,2),0),SomaAgrup)</f>
        <v>0</v>
      </c>
      <c r="AC85" s="131" t="str">
        <f ca="1">IF($N85="","",IF(ORÇAMENTO.Descricao="","DESCRIÇÃO",IF(AND($C85="S",ORÇAMENTO.Unidade=""),"UNIDADE",IF($X85&lt;0,"VALOR NEGATIVO",IF(OR(AND(TIPOORCAMENTO="Proposto",$AG85&lt;&gt;"",$AG85&gt;0,ORÇAMENTO.CustoUnitario&gt;$AG85),AND(TIPOORCAMENTO="LICITADO",ORÇAMENTO.PrecoUnitarioLicitado&gt;$AN85)),"ACIMA REF.","")))))</f>
        <v/>
      </c>
      <c r="AD85" t="str">
        <f ca="1">IF(C85&lt;=CRONO.NivelExibicao,MAX($AD$15:OFFSET(AD85,-1,0))+IF($C85&lt;&gt;1,1,MAX(1,COUNTIF(QCI!$A$13:$A$24,OFFSET($E85,-1,0)))),"")</f>
        <v/>
      </c>
      <c r="AE85" s="7" t="str">
        <f ca="1">IF(AND($C85="S",ORÇAMENTO.CodBarra&lt;&gt;""),IF(ORÇAMENTO.Fonte="",ORÇAMENTO.CodBarra,CONCATENATE(ORÇAMENTO.Fonte," ",ORÇAMENTO.CodBarra)))</f>
        <v>Composição FNDE 240</v>
      </c>
      <c r="AF85" s="13" t="str">
        <f ca="1">IF(ISERROR(INDIRECT(ORÇAMENTO.BancoRef)),"(abra o arquivo 'Referência "&amp;Excel_BuiltIn_Database&amp;".xlsm)",IF(OR($C85&lt;&gt;"S",ORÇAMENTO.CodBarra=""),"(Sem Código)",IF(ISERROR(MATCH($AE85,INDIRECT(ORÇAMENTO.BancoRef),0)),"(Código não identificado nas referências)",MATCH($AE85,INDIRECT(ORÇAMENTO.BancoRef),0))))</f>
        <v>(abra o arquivo 'Referência 02-2025.xlsm)</v>
      </c>
      <c r="AG85" s="498">
        <f ca="1">ROUND(IF(DESONERACAO="sim",REFERENCIA.Desonerado,REFERENCIA.NaoDesonerado),2)</f>
        <v>0</v>
      </c>
      <c r="AH85" s="499">
        <f ca="1">ROUND(IF(ISNUMBER(ORÇAMENTO.OpcaoBDI),ORÇAMENTO.OpcaoBDI,IF(LEFT(ORÇAMENTO.OpcaoBDI,3)="BDI",HLOOKUP(ORÇAMENTO.OpcaoBDI,$F$4:$H$5,2,FALSE),0)),15-11*$AF$9)</f>
        <v>0.22470000000000001</v>
      </c>
      <c r="AJ85" s="501">
        <v>46.77</v>
      </c>
      <c r="AL85" s="527"/>
      <c r="AM85" s="381">
        <f t="shared" ca="1" si="0"/>
        <v>0</v>
      </c>
      <c r="AN85" s="566">
        <f ca="1">ROUND(ORÇAMENTO.CustoUnitario*(1+$AH85),2)</f>
        <v>0</v>
      </c>
    </row>
    <row r="86" spans="1:40" x14ac:dyDescent="0.2">
      <c r="A86">
        <f t="shared" si="20"/>
        <v>3</v>
      </c>
      <c r="B86">
        <f t="shared" ca="1" si="21"/>
        <v>3</v>
      </c>
      <c r="C86">
        <f t="shared" ca="1" si="22"/>
        <v>3</v>
      </c>
      <c r="D86">
        <f t="shared" ca="1" si="23"/>
        <v>9</v>
      </c>
      <c r="E86">
        <f ca="1">IF($C86=1,OFFSET(E86,-1,0)+MAX(1,COUNTIF(QCI!$A$13:$A$24,OFFSET(ORÇAMENTO!E86,-1,0))),OFFSET(E86,-1,0))</f>
        <v>1</v>
      </c>
      <c r="F86">
        <f t="shared" ca="1" si="24"/>
        <v>4</v>
      </c>
      <c r="G86">
        <f t="shared" ca="1" si="25"/>
        <v>4</v>
      </c>
      <c r="H86">
        <f t="shared" ca="1" si="26"/>
        <v>0</v>
      </c>
      <c r="I86">
        <f t="shared" ca="1" si="27"/>
        <v>0</v>
      </c>
      <c r="J86">
        <f t="shared" ca="1" si="18"/>
        <v>19</v>
      </c>
      <c r="K86">
        <f ca="1">IF(OR($C86="S",$C86=0),0,MATCH(OFFSET($D86,0,$C86)+IF($C86&lt;&gt;1,1,COUNTIF(QCI!$A$13:$A$24,ORÇAMENTO!E86)),OFFSET($D86,1,$C86,ROW($C$747)-ROW($C86)),0))</f>
        <v>9</v>
      </c>
      <c r="L86" s="116" t="str">
        <f t="shared" ca="1" si="28"/>
        <v>F</v>
      </c>
      <c r="M86" s="117" t="s">
        <v>197</v>
      </c>
      <c r="N86" s="118" t="str">
        <f t="shared" ca="1" si="29"/>
        <v>Nível 3</v>
      </c>
      <c r="O86" s="119" t="str">
        <f t="shared" ca="1" si="30"/>
        <v>1.4.4.</v>
      </c>
      <c r="P86" s="120" t="s">
        <v>247</v>
      </c>
      <c r="Q86" s="121"/>
      <c r="R86" s="122" t="str">
        <f ca="1">IF($C86="S",REFERENCIA.Descricao,"CONCRETO ARMADO - LAJE")</f>
        <v>CONCRETO ARMADO - LAJE</v>
      </c>
      <c r="S86" s="123" t="str">
        <f ca="1">REFERENCIA.Unidade</f>
        <v>-</v>
      </c>
      <c r="T86" s="124">
        <f ca="1">OFFSET(CÁLCULO!H$15,ROW($T86)-ROW(T$15),0)</f>
        <v>0</v>
      </c>
      <c r="U86" s="125">
        <f t="shared" ca="1" si="17"/>
        <v>0</v>
      </c>
      <c r="V86" s="126" t="s">
        <v>156</v>
      </c>
      <c r="W86" s="124">
        <f ca="1">IF($C86="S",ROUND(IF(TIPOORCAMENTO="Proposto",ORÇAMENTO.CustoUnitario*(1+$AH86),ORÇAMENTO.PrecoUnitarioLicitado),15-13*$AF$10),0)</f>
        <v>0</v>
      </c>
      <c r="X86" s="127">
        <f ca="1">IF($C86="S",IF(Import.TipoArredondamento&lt;&gt;"TransfereGOV",VTOTAL1,SUM(OFFSET(CÁLCULO!$AA$15,ROW($X86)-ROW($X$15),1):OFFSET(CÁLCULO!$AL$15,ROW($X86)-ROW($X$15),-1))),IF($C86=0,0,ROUND(SomaAgrup,15-13*$AF$11)))</f>
        <v>0</v>
      </c>
      <c r="Y86" s="128" t="s">
        <v>245</v>
      </c>
      <c r="Z86" t="str">
        <f t="shared" ca="1" si="31"/>
        <v/>
      </c>
      <c r="AA86" s="129">
        <f ca="1">IF($C86="S",IF($Z86="CP",$X86,IF($Z86="RA",(($X86)*QCI!$AA$3),0)),SomaAgrup)</f>
        <v>0</v>
      </c>
      <c r="AB86" s="130">
        <f t="shared" ca="1" si="32"/>
        <v>0</v>
      </c>
      <c r="AC86" s="131" t="str">
        <f ca="1">IF($N86="","",IF(ORÇAMENTO.Descricao="","DESCRIÇÃO",IF(AND($C86="S",ORÇAMENTO.Unidade=""),"UNIDADE",IF($X86&lt;0,"VALOR NEGATIVO",IF(OR(AND(TIPOORCAMENTO="Proposto",$AG86&lt;&gt;"",$AG86&gt;0,ORÇAMENTO.CustoUnitario&gt;$AG86),AND(TIPOORCAMENTO="LICITADO",ORÇAMENTO.PrecoUnitarioLicitado&gt;$AN86)),"ACIMA REF.","")))))</f>
        <v/>
      </c>
      <c r="AD86" t="str">
        <f ca="1">IF(C86&lt;=CRONO.NivelExibicao,MAX($AD$15:OFFSET(AD86,-1,0))+IF($C86&lt;&gt;1,1,MAX(1,COUNTIF(QCI!$A$13:$A$24,OFFSET($E86,-1,0)))),"")</f>
        <v/>
      </c>
      <c r="AE86" s="7" t="b">
        <f ca="1">IF(AND($C86="S",ORÇAMENTO.CodBarra&lt;&gt;""),IF(ORÇAMENTO.Fonte="",ORÇAMENTO.CodBarra,CONCATENATE(ORÇAMENTO.Fonte," ",ORÇAMENTO.CodBarra)))</f>
        <v>0</v>
      </c>
      <c r="AF86" s="13" t="str">
        <f ca="1">IF(ISERROR(INDIRECT(ORÇAMENTO.BancoRef)),"(abra o arquivo 'Referência "&amp;Excel_BuiltIn_Database&amp;".xlsm)",IF(OR($C86&lt;&gt;"S",ORÇAMENTO.CodBarra=""),"(Sem Código)",IF(ISERROR(MATCH($AE86,INDIRECT(ORÇAMENTO.BancoRef),0)),"(Código não identificado nas referências)",MATCH($AE86,INDIRECT(ORÇAMENTO.BancoRef),0))))</f>
        <v>(abra o arquivo 'Referência 02-2025.xlsm)</v>
      </c>
      <c r="AG86" s="498">
        <f ca="1">ROUND(IF(DESONERACAO="sim",REFERENCIA.Desonerado,REFERENCIA.NaoDesonerado),2)</f>
        <v>0</v>
      </c>
      <c r="AH86" s="499">
        <f t="shared" ca="1" si="33"/>
        <v>0.22470000000000001</v>
      </c>
      <c r="AJ86" s="501"/>
      <c r="AL86" s="527"/>
      <c r="AM86" s="381">
        <f t="shared" ca="1" si="34"/>
        <v>0</v>
      </c>
      <c r="AN86" s="566">
        <f t="shared" ca="1" si="35"/>
        <v>0</v>
      </c>
    </row>
    <row r="87" spans="1:40" x14ac:dyDescent="0.2">
      <c r="A87">
        <f>CHOOSE(1+LOG(1+2*(ORÇAMENTO.Nivel="Meta")+4*(ORÇAMENTO.Nivel="Nível 2")+8*(ORÇAMENTO.Nivel="Nível 3")+16*(ORÇAMENTO.Nivel="Nível 4")+32*(ORÇAMENTO.Nivel="Serviço"),2),0,1,2,3,4,"S")</f>
        <v>4</v>
      </c>
      <c r="B87">
        <f ca="1">IF(OR(C87="s",C87=0),OFFSET(B87,-1,0),C87)</f>
        <v>4</v>
      </c>
      <c r="C87">
        <f ca="1">IF(OFFSET(C87,-1,0)="L",1,IF(OFFSET(C87,-1,0)=1,2,IF(OR(A87="s",A87=0),"S",IF(AND(OFFSET(C87,-1,0)=2,A87=4),3,IF(AND(OR(OFFSET(C87,-1,0)="s",OFFSET(C87,-1,0)=0),A87&lt;&gt;"s",A87&gt;OFFSET(B87,-1,0)),OFFSET(B87,-1,0),A87)))))</f>
        <v>4</v>
      </c>
      <c r="D87">
        <f ca="1">IF(OR(C87="S",C87=0),0,IF(ISERROR(K87),J87,SMALL(J87:K87,1)))</f>
        <v>8</v>
      </c>
      <c r="E87">
        <f ca="1">IF($C87=1,OFFSET(E87,-1,0)+MAX(1,COUNTIF(QCI!$A$13:$A$24,OFFSET(ORÇAMENTO!E87,-1,0))),OFFSET(E87,-1,0))</f>
        <v>1</v>
      </c>
      <c r="F87">
        <f ca="1">IF($C87=1,0,IF($C87=2,OFFSET(F87,-1,0)+1,OFFSET(F87,-1,0)))</f>
        <v>4</v>
      </c>
      <c r="G87">
        <f ca="1">IF(AND($C87&lt;=2,$C87&lt;&gt;0),0,IF($C87=3,OFFSET(G87,-1,0)+1,OFFSET(G87,-1,0)))</f>
        <v>4</v>
      </c>
      <c r="H87">
        <f ca="1">IF(AND($C87&lt;=3,$C87&lt;&gt;0),0,IF($C87=4,OFFSET(H87,-1,0)+1,OFFSET(H87,-1,0)))</f>
        <v>1</v>
      </c>
      <c r="I87">
        <f ca="1">IF(AND($C87&lt;=4,$C87&lt;&gt;0),0,IF(AND($C87="S",$X87&gt;0),OFFSET(I87,-1,0)+1,OFFSET(I87,-1,0)))</f>
        <v>0</v>
      </c>
      <c r="J87">
        <f t="shared" ca="1" si="18"/>
        <v>8</v>
      </c>
      <c r="K87">
        <f ca="1">IF(OR($C87="S",$C87=0),0,MATCH(OFFSET($D87,0,$C87)+IF($C87&lt;&gt;1,1,COUNTIF(QCI!$A$13:$A$24,ORÇAMENTO!E87)),OFFSET($D87,1,$C87,ROW($C$747)-ROW($C87)),0))</f>
        <v>631</v>
      </c>
      <c r="L87" s="116" t="str">
        <f ca="1">IF(OR($X87&gt;0,$C87=1,$C87=2,$C87=3,$C87=4),"F","")</f>
        <v>F</v>
      </c>
      <c r="M87" s="117" t="s">
        <v>198</v>
      </c>
      <c r="N87" s="118" t="str">
        <f ca="1">CHOOSE(1+LOG(1+2*(C87=1)+4*(C87=2)+8*(C87=3)+16*(C87=4)+32*(C87="S"),2),"","Meta","Nível 2","Nível 3","Nível 4","Serviço")</f>
        <v>Nível 4</v>
      </c>
      <c r="O87" s="119" t="str">
        <f ca="1">IF(OR($C87=0,$L87=""),"-",CONCATENATE(E87&amp;".",IF(AND($A$5&gt;=2,$C87&gt;=2),F87&amp;".",""),IF(AND($A$5&gt;=3,$C87&gt;=3),G87&amp;".",""),IF(AND($A$5&gt;=4,$C87&gt;=4),H87&amp;".",""),IF($C87="S",I87&amp;".","")))</f>
        <v>1.4.4.1.</v>
      </c>
      <c r="P87" s="120" t="s">
        <v>247</v>
      </c>
      <c r="Q87" s="121"/>
      <c r="R87" s="122" t="s">
        <v>899</v>
      </c>
      <c r="S87" s="123" t="str">
        <f ca="1">REFERENCIA.Unidade</f>
        <v>-</v>
      </c>
      <c r="T87" s="124">
        <f ca="1">OFFSET(CÁLCULO!H$15,ROW($T87)-ROW(T$15),0)</f>
        <v>0</v>
      </c>
      <c r="U87" s="125"/>
      <c r="V87" s="126" t="s">
        <v>156</v>
      </c>
      <c r="W87" s="124">
        <f ca="1">IF($C87="S",ROUND(IF(TIPOORCAMENTO="Proposto",ORÇAMENTO.CustoUnitario*(1+$AH87),ORÇAMENTO.PrecoUnitarioLicitado),15-13*$AF$10),0)</f>
        <v>0</v>
      </c>
      <c r="X87" s="127">
        <f ca="1">IF($C87="S",IF(Import.TipoArredondamento&lt;&gt;"TransfereGOV",VTOTAL1,SUM(OFFSET(CÁLCULO!$AA$15,ROW($X87)-ROW($X$15),1):OFFSET(CÁLCULO!$AL$15,ROW($X87)-ROW($X$15),-1))),IF($C87=0,0,ROUND(SomaAgrup,15-13*$AF$11)))</f>
        <v>0</v>
      </c>
      <c r="Y87" s="128" t="s">
        <v>245</v>
      </c>
      <c r="Z87" t="str">
        <f ca="1">IF(AND($C87="S",$X87&gt;0),IF(ISBLANK($Y87),"RA",LEFT($Y87,2)),"")</f>
        <v/>
      </c>
      <c r="AA87" s="129">
        <f ca="1">IF($C87="S",IF($Z87="CP",$X87,IF($Z87="RA",(($X87)*QCI!$AA$3),0)),SomaAgrup)</f>
        <v>0</v>
      </c>
      <c r="AB87" s="130">
        <f ca="1">IF($C87="S",IF($Z87="OU",ROUND($X87,2),0),SomaAgrup)</f>
        <v>0</v>
      </c>
      <c r="AC87" s="131" t="str">
        <f ca="1">IF($N87="","",IF(ORÇAMENTO.Descricao="","DESCRIÇÃO",IF(AND($C87="S",ORÇAMENTO.Unidade=""),"UNIDADE",IF($X87&lt;0,"VALOR NEGATIVO",IF(OR(AND(TIPOORCAMENTO="Proposto",$AG87&lt;&gt;"",$AG87&gt;0,ORÇAMENTO.CustoUnitario&gt;$AG87),AND(TIPOORCAMENTO="LICITADO",ORÇAMENTO.PrecoUnitarioLicitado&gt;$AN87)),"ACIMA REF.","")))))</f>
        <v/>
      </c>
      <c r="AD87" t="str">
        <f ca="1">IF(C87&lt;=CRONO.NivelExibicao,MAX($AD$15:OFFSET(AD87,-1,0))+IF($C87&lt;&gt;1,1,MAX(1,COUNTIF(QCI!$A$13:$A$24,OFFSET($E87,-1,0)))),"")</f>
        <v/>
      </c>
      <c r="AE87" s="7" t="b">
        <f ca="1">IF(AND($C87="S",ORÇAMENTO.CodBarra&lt;&gt;""),IF(ORÇAMENTO.Fonte="",ORÇAMENTO.CodBarra,CONCATENATE(ORÇAMENTO.Fonte," ",ORÇAMENTO.CodBarra)))</f>
        <v>0</v>
      </c>
      <c r="AF87" s="13" t="str">
        <f ca="1">IF(ISERROR(INDIRECT(ORÇAMENTO.BancoRef)),"(abra o arquivo 'Referência "&amp;Excel_BuiltIn_Database&amp;".xlsm)",IF(OR($C87&lt;&gt;"S",ORÇAMENTO.CodBarra=""),"(Sem Código)",IF(ISERROR(MATCH($AE87,INDIRECT(ORÇAMENTO.BancoRef),0)),"(Código não identificado nas referências)",MATCH($AE87,INDIRECT(ORÇAMENTO.BancoRef),0))))</f>
        <v>(abra o arquivo 'Referência 02-2025.xlsm)</v>
      </c>
      <c r="AG87" s="498">
        <f ca="1">ROUND(IF(DESONERACAO="sim",REFERENCIA.Desonerado,REFERENCIA.NaoDesonerado),2)</f>
        <v>0</v>
      </c>
      <c r="AH87" s="499">
        <f ca="1">ROUND(IF(ISNUMBER(ORÇAMENTO.OpcaoBDI),ORÇAMENTO.OpcaoBDI,IF(LEFT(ORÇAMENTO.OpcaoBDI,3)="BDI",HLOOKUP(ORÇAMENTO.OpcaoBDI,$F$4:$H$5,2,FALSE),0)),15-11*$AF$9)</f>
        <v>0.22470000000000001</v>
      </c>
      <c r="AJ87" s="501"/>
      <c r="AL87" s="527"/>
      <c r="AM87" s="381">
        <f t="shared" ca="1" si="34"/>
        <v>0</v>
      </c>
      <c r="AN87" s="566">
        <f ca="1">ROUND(ORÇAMENTO.CustoUnitario*(1+$AH87),2)</f>
        <v>0</v>
      </c>
    </row>
    <row r="88" spans="1:40" ht="38.25" x14ac:dyDescent="0.2">
      <c r="A88" t="str">
        <f t="shared" si="20"/>
        <v>S</v>
      </c>
      <c r="B88">
        <f t="shared" ca="1" si="21"/>
        <v>4</v>
      </c>
      <c r="C88" t="str">
        <f t="shared" ca="1" si="22"/>
        <v>S</v>
      </c>
      <c r="D88">
        <f t="shared" ca="1" si="23"/>
        <v>0</v>
      </c>
      <c r="E88">
        <f ca="1">IF($C88=1,OFFSET(E88,-1,0)+MAX(1,COUNTIF(QCI!$A$13:$A$24,OFFSET(ORÇAMENTO!E88,-1,0))),OFFSET(E88,-1,0))</f>
        <v>1</v>
      </c>
      <c r="F88">
        <f t="shared" ca="1" si="24"/>
        <v>4</v>
      </c>
      <c r="G88">
        <f t="shared" ca="1" si="25"/>
        <v>4</v>
      </c>
      <c r="H88">
        <f t="shared" ca="1" si="26"/>
        <v>1</v>
      </c>
      <c r="I88">
        <f t="shared" ca="1" si="27"/>
        <v>0</v>
      </c>
      <c r="J88">
        <f t="shared" ca="1" si="18"/>
        <v>0</v>
      </c>
      <c r="K88">
        <f ca="1">IF(OR($C88="S",$C88=0),0,MATCH(OFFSET($D88,0,$C88)+IF($C88&lt;&gt;1,1,COUNTIF(QCI!$A$13:$A$24,ORÇAMENTO!E88)),OFFSET($D88,1,$C88,ROW($C$747)-ROW($C88)),0))</f>
        <v>0</v>
      </c>
      <c r="L88" s="116" t="str">
        <f t="shared" ca="1" si="28"/>
        <v/>
      </c>
      <c r="M88" s="117" t="s">
        <v>199</v>
      </c>
      <c r="N88" s="118" t="str">
        <f t="shared" ca="1" si="29"/>
        <v>Serviço</v>
      </c>
      <c r="O88" s="119" t="str">
        <f t="shared" ca="1" si="30"/>
        <v>-</v>
      </c>
      <c r="P88" s="120" t="s">
        <v>247</v>
      </c>
      <c r="Q88" s="121" t="s">
        <v>475</v>
      </c>
      <c r="R88" s="122" t="str">
        <f ca="1">IF($C88="S",REFERENCIA.Descricao,"(digite a descrição aqui)")</f>
        <v>(abra o arquivo 'Referência 02-2025.xlsm)</v>
      </c>
      <c r="S88" s="123" t="str">
        <f ca="1">REFERENCIA.Unidade</f>
        <v>-</v>
      </c>
      <c r="T88" s="124">
        <f ca="1">OFFSET(CÁLCULO!H$15,ROW($T88)-ROW(T$15),0)</f>
        <v>12.94</v>
      </c>
      <c r="U88" s="125">
        <f t="shared" ca="1" si="17"/>
        <v>0</v>
      </c>
      <c r="V88" s="126" t="s">
        <v>156</v>
      </c>
      <c r="W88" s="124">
        <f ca="1">IF($C88="S",ROUND(IF(TIPOORCAMENTO="Proposto",ORÇAMENTO.CustoUnitario*(1+$AH88),ORÇAMENTO.PrecoUnitarioLicitado),15-13*$AF$10),0)</f>
        <v>0</v>
      </c>
      <c r="X88" s="127">
        <f ca="1">IF($C88="S",IF(Import.TipoArredondamento&lt;&gt;"TransfereGOV",VTOTAL1,SUM(OFFSET(CÁLCULO!$AA$15,ROW($X88)-ROW($X$15),1):OFFSET(CÁLCULO!$AL$15,ROW($X88)-ROW($X$15),-1))),IF($C88=0,0,ROUND(SomaAgrup,15-13*$AF$11)))</f>
        <v>0</v>
      </c>
      <c r="Y88" s="128" t="s">
        <v>245</v>
      </c>
      <c r="Z88" t="str">
        <f t="shared" ca="1" si="31"/>
        <v/>
      </c>
      <c r="AA88" s="129">
        <f ca="1">IF($C88="S",IF($Z88="CP",$X88,IF($Z88="RA",(($X88)*QCI!$AA$3),0)),SomaAgrup)</f>
        <v>0</v>
      </c>
      <c r="AB88" s="130">
        <f t="shared" ca="1" si="32"/>
        <v>0</v>
      </c>
      <c r="AC88" s="131" t="str">
        <f ca="1">IF($N88="","",IF(ORÇAMENTO.Descricao="","DESCRIÇÃO",IF(AND($C88="S",ORÇAMENTO.Unidade=""),"UNIDADE",IF($X88&lt;0,"VALOR NEGATIVO",IF(OR(AND(TIPOORCAMENTO="Proposto",$AG88&lt;&gt;"",$AG88&gt;0,ORÇAMENTO.CustoUnitario&gt;$AG88),AND(TIPOORCAMENTO="LICITADO",ORÇAMENTO.PrecoUnitarioLicitado&gt;$AN88)),"ACIMA REF.","")))))</f>
        <v/>
      </c>
      <c r="AD88" t="str">
        <f ca="1">IF(C88&lt;=CRONO.NivelExibicao,MAX($AD$15:OFFSET(AD88,-1,0))+IF($C88&lt;&gt;1,1,MAX(1,COUNTIF(QCI!$A$13:$A$24,OFFSET($E88,-1,0)))),"")</f>
        <v/>
      </c>
      <c r="AE88" s="7" t="str">
        <f ca="1">IF(AND($C88="S",ORÇAMENTO.CodBarra&lt;&gt;""),IF(ORÇAMENTO.Fonte="",ORÇAMENTO.CodBarra,CONCATENATE(ORÇAMENTO.Fonte," ",ORÇAMENTO.CodBarra)))</f>
        <v>SINAPI 97083</v>
      </c>
      <c r="AF88" s="13" t="str">
        <f ca="1">IF(ISERROR(INDIRECT(ORÇAMENTO.BancoRef)),"(abra o arquivo 'Referência "&amp;Excel_BuiltIn_Database&amp;".xlsm)",IF(OR($C88&lt;&gt;"S",ORÇAMENTO.CodBarra=""),"(Sem Código)",IF(ISERROR(MATCH($AE88,INDIRECT(ORÇAMENTO.BancoRef),0)),"(Código não identificado nas referências)",MATCH($AE88,INDIRECT(ORÇAMENTO.BancoRef),0))))</f>
        <v>(abra o arquivo 'Referência 02-2025.xlsm)</v>
      </c>
      <c r="AG88" s="498">
        <f ca="1">ROUND(IF(DESONERACAO="sim",REFERENCIA.Desonerado,REFERENCIA.NaoDesonerado),2)</f>
        <v>0</v>
      </c>
      <c r="AH88" s="499">
        <f t="shared" ca="1" si="33"/>
        <v>0.22470000000000001</v>
      </c>
      <c r="AJ88" s="501">
        <v>12.94</v>
      </c>
      <c r="AL88" s="527"/>
      <c r="AM88" s="381">
        <f t="shared" ca="1" si="34"/>
        <v>0</v>
      </c>
      <c r="AN88" s="566">
        <f t="shared" ca="1" si="35"/>
        <v>0</v>
      </c>
    </row>
    <row r="89" spans="1:40" ht="38.25" x14ac:dyDescent="0.2">
      <c r="A89" t="str">
        <f t="shared" si="20"/>
        <v>S</v>
      </c>
      <c r="B89">
        <f t="shared" ca="1" si="21"/>
        <v>4</v>
      </c>
      <c r="C89" t="str">
        <f t="shared" ca="1" si="22"/>
        <v>S</v>
      </c>
      <c r="D89">
        <f t="shared" ca="1" si="23"/>
        <v>0</v>
      </c>
      <c r="E89">
        <f ca="1">IF($C89=1,OFFSET(E89,-1,0)+MAX(1,COUNTIF(QCI!$A$13:$A$24,OFFSET(ORÇAMENTO!E89,-1,0))),OFFSET(E89,-1,0))</f>
        <v>1</v>
      </c>
      <c r="F89">
        <f t="shared" ca="1" si="24"/>
        <v>4</v>
      </c>
      <c r="G89">
        <f t="shared" ca="1" si="25"/>
        <v>4</v>
      </c>
      <c r="H89">
        <f t="shared" ca="1" si="26"/>
        <v>1</v>
      </c>
      <c r="I89">
        <f t="shared" ca="1" si="27"/>
        <v>0</v>
      </c>
      <c r="J89">
        <f t="shared" ca="1" si="18"/>
        <v>0</v>
      </c>
      <c r="K89">
        <f ca="1">IF(OR($C89="S",$C89=0),0,MATCH(OFFSET($D89,0,$C89)+IF($C89&lt;&gt;1,1,COUNTIF(QCI!$A$13:$A$24,ORÇAMENTO!E89)),OFFSET($D89,1,$C89,ROW($C$747)-ROW($C89)),0))</f>
        <v>0</v>
      </c>
      <c r="L89" s="116" t="str">
        <f t="shared" ca="1" si="28"/>
        <v/>
      </c>
      <c r="M89" s="117" t="s">
        <v>199</v>
      </c>
      <c r="N89" s="118" t="str">
        <f t="shared" ca="1" si="29"/>
        <v>Serviço</v>
      </c>
      <c r="O89" s="119" t="str">
        <f t="shared" ca="1" si="30"/>
        <v>-</v>
      </c>
      <c r="P89" s="120" t="s">
        <v>247</v>
      </c>
      <c r="Q89" s="121" t="s">
        <v>900</v>
      </c>
      <c r="R89" s="122" t="str">
        <f ca="1">IF($C89="S",REFERENCIA.Descricao,"(digite a descrição aqui)")</f>
        <v>(abra o arquivo 'Referência 02-2025.xlsm)</v>
      </c>
      <c r="S89" s="123" t="str">
        <f ca="1">REFERENCIA.Unidade</f>
        <v>-</v>
      </c>
      <c r="T89" s="124">
        <f ca="1">OFFSET(CÁLCULO!H$15,ROW($T89)-ROW(T$15),0)</f>
        <v>0.65</v>
      </c>
      <c r="U89" s="125">
        <f t="shared" ref="U89:U153" ca="1" si="36">AG89</f>
        <v>0</v>
      </c>
      <c r="V89" s="126" t="s">
        <v>156</v>
      </c>
      <c r="W89" s="124">
        <f ca="1">IF($C89="S",ROUND(IF(TIPOORCAMENTO="Proposto",ORÇAMENTO.CustoUnitario*(1+$AH89),ORÇAMENTO.PrecoUnitarioLicitado),15-13*$AF$10),0)</f>
        <v>0</v>
      </c>
      <c r="X89" s="127">
        <f ca="1">IF($C89="S",IF(Import.TipoArredondamento&lt;&gt;"TransfereGOV",VTOTAL1,SUM(OFFSET(CÁLCULO!$AA$15,ROW($X89)-ROW($X$15),1):OFFSET(CÁLCULO!$AL$15,ROW($X89)-ROW($X$15),-1))),IF($C89=0,0,ROUND(SomaAgrup,15-13*$AF$11)))</f>
        <v>0</v>
      </c>
      <c r="Y89" s="128" t="s">
        <v>245</v>
      </c>
      <c r="Z89" t="str">
        <f t="shared" ca="1" si="31"/>
        <v/>
      </c>
      <c r="AA89" s="129">
        <f ca="1">IF($C89="S",IF($Z89="CP",$X89,IF($Z89="RA",(($X89)*QCI!$AA$3),0)),SomaAgrup)</f>
        <v>0</v>
      </c>
      <c r="AB89" s="130">
        <f t="shared" ca="1" si="32"/>
        <v>0</v>
      </c>
      <c r="AC89" s="131" t="str">
        <f ca="1">IF($N89="","",IF(ORÇAMENTO.Descricao="","DESCRIÇÃO",IF(AND($C89="S",ORÇAMENTO.Unidade=""),"UNIDADE",IF($X89&lt;0,"VALOR NEGATIVO",IF(OR(AND(TIPOORCAMENTO="Proposto",$AG89&lt;&gt;"",$AG89&gt;0,ORÇAMENTO.CustoUnitario&gt;$AG89),AND(TIPOORCAMENTO="LICITADO",ORÇAMENTO.PrecoUnitarioLicitado&gt;$AN89)),"ACIMA REF.","")))))</f>
        <v/>
      </c>
      <c r="AD89" t="str">
        <f ca="1">IF(C89&lt;=CRONO.NivelExibicao,MAX($AD$15:OFFSET(AD89,-1,0))+IF($C89&lt;&gt;1,1,MAX(1,COUNTIF(QCI!$A$13:$A$24,OFFSET($E89,-1,0)))),"")</f>
        <v/>
      </c>
      <c r="AE89" s="7" t="str">
        <f ca="1">IF(AND($C89="S",ORÇAMENTO.CodBarra&lt;&gt;""),IF(ORÇAMENTO.Fonte="",ORÇAMENTO.CodBarra,CONCATENATE(ORÇAMENTO.Fonte," ",ORÇAMENTO.CodBarra)))</f>
        <v>SINAPI 96624</v>
      </c>
      <c r="AF89" s="13" t="str">
        <f ca="1">IF(ISERROR(INDIRECT(ORÇAMENTO.BancoRef)),"(abra o arquivo 'Referência "&amp;Excel_BuiltIn_Database&amp;".xlsm)",IF(OR($C89&lt;&gt;"S",ORÇAMENTO.CodBarra=""),"(Sem Código)",IF(ISERROR(MATCH($AE89,INDIRECT(ORÇAMENTO.BancoRef),0)),"(Código não identificado nas referências)",MATCH($AE89,INDIRECT(ORÇAMENTO.BancoRef),0))))</f>
        <v>(abra o arquivo 'Referência 02-2025.xlsm)</v>
      </c>
      <c r="AG89" s="498">
        <f ca="1">ROUND(IF(DESONERACAO="sim",REFERENCIA.Desonerado,REFERENCIA.NaoDesonerado),2)</f>
        <v>0</v>
      </c>
      <c r="AH89" s="499">
        <f t="shared" ca="1" si="33"/>
        <v>0.22470000000000001</v>
      </c>
      <c r="AJ89" s="501">
        <v>0.65</v>
      </c>
      <c r="AL89" s="527"/>
      <c r="AM89" s="381">
        <f t="shared" ca="1" si="34"/>
        <v>0</v>
      </c>
      <c r="AN89" s="566">
        <f t="shared" ca="1" si="35"/>
        <v>0</v>
      </c>
    </row>
    <row r="90" spans="1:40" ht="25.5" x14ac:dyDescent="0.2">
      <c r="A90" t="str">
        <f t="shared" si="20"/>
        <v>S</v>
      </c>
      <c r="B90">
        <f t="shared" ca="1" si="21"/>
        <v>4</v>
      </c>
      <c r="C90" t="str">
        <f t="shared" ca="1" si="22"/>
        <v>S</v>
      </c>
      <c r="D90">
        <f t="shared" ca="1" si="23"/>
        <v>0</v>
      </c>
      <c r="E90">
        <f ca="1">IF($C90=1,OFFSET(E90,-1,0)+MAX(1,COUNTIF(QCI!$A$13:$A$24,OFFSET(ORÇAMENTO!E90,-1,0))),OFFSET(E90,-1,0))</f>
        <v>1</v>
      </c>
      <c r="F90">
        <f t="shared" ca="1" si="24"/>
        <v>4</v>
      </c>
      <c r="G90">
        <f t="shared" ca="1" si="25"/>
        <v>4</v>
      </c>
      <c r="H90">
        <f t="shared" ca="1" si="26"/>
        <v>1</v>
      </c>
      <c r="I90">
        <f t="shared" ca="1" si="27"/>
        <v>0</v>
      </c>
      <c r="J90">
        <f t="shared" ca="1" si="18"/>
        <v>0</v>
      </c>
      <c r="K90">
        <f ca="1">IF(OR($C90="S",$C90=0),0,MATCH(OFFSET($D90,0,$C90)+IF($C90&lt;&gt;1,1,COUNTIF(QCI!$A$13:$A$24,ORÇAMENTO!E90)),OFFSET($D90,1,$C90,ROW($C$747)-ROW($C90)),0))</f>
        <v>0</v>
      </c>
      <c r="L90" s="116" t="str">
        <f t="shared" ca="1" si="28"/>
        <v/>
      </c>
      <c r="M90" s="117" t="s">
        <v>199</v>
      </c>
      <c r="N90" s="118" t="str">
        <f t="shared" ca="1" si="29"/>
        <v>Serviço</v>
      </c>
      <c r="O90" s="119" t="str">
        <f t="shared" ca="1" si="30"/>
        <v>-</v>
      </c>
      <c r="P90" s="120" t="s">
        <v>247</v>
      </c>
      <c r="Q90" s="121" t="s">
        <v>476</v>
      </c>
      <c r="R90" s="122" t="str">
        <f ca="1">IF($C90="S",REFERENCIA.Descricao,"(digite a descrição aqui)")</f>
        <v>(abra o arquivo 'Referência 02-2025.xlsm)</v>
      </c>
      <c r="S90" s="123" t="str">
        <f ca="1">REFERENCIA.Unidade</f>
        <v>-</v>
      </c>
      <c r="T90" s="124">
        <f ca="1">OFFSET(CÁLCULO!H$15,ROW($T90)-ROW(T$15),0)</f>
        <v>12.94</v>
      </c>
      <c r="U90" s="125">
        <f t="shared" ca="1" si="36"/>
        <v>0</v>
      </c>
      <c r="V90" s="126" t="s">
        <v>156</v>
      </c>
      <c r="W90" s="124">
        <f ca="1">IF($C90="S",ROUND(IF(TIPOORCAMENTO="Proposto",ORÇAMENTO.CustoUnitario*(1+$AH90),ORÇAMENTO.PrecoUnitarioLicitado),15-13*$AF$10),0)</f>
        <v>0</v>
      </c>
      <c r="X90" s="127">
        <f ca="1">IF($C90="S",IF(Import.TipoArredondamento&lt;&gt;"TransfereGOV",VTOTAL1,SUM(OFFSET(CÁLCULO!$AA$15,ROW($X90)-ROW($X$15),1):OFFSET(CÁLCULO!$AL$15,ROW($X90)-ROW($X$15),-1))),IF($C90=0,0,ROUND(SomaAgrup,15-13*$AF$11)))</f>
        <v>0</v>
      </c>
      <c r="Y90" s="128" t="s">
        <v>245</v>
      </c>
      <c r="Z90" t="str">
        <f t="shared" ca="1" si="31"/>
        <v/>
      </c>
      <c r="AA90" s="129">
        <f ca="1">IF($C90="S",IF($Z90="CP",$X90,IF($Z90="RA",(($X90)*QCI!$AA$3),0)),SomaAgrup)</f>
        <v>0</v>
      </c>
      <c r="AB90" s="130">
        <f t="shared" ca="1" si="32"/>
        <v>0</v>
      </c>
      <c r="AC90" s="131" t="str">
        <f ca="1">IF($N90="","",IF(ORÇAMENTO.Descricao="","DESCRIÇÃO",IF(AND($C90="S",ORÇAMENTO.Unidade=""),"UNIDADE",IF($X90&lt;0,"VALOR NEGATIVO",IF(OR(AND(TIPOORCAMENTO="Proposto",$AG90&lt;&gt;"",$AG90&gt;0,ORÇAMENTO.CustoUnitario&gt;$AG90),AND(TIPOORCAMENTO="LICITADO",ORÇAMENTO.PrecoUnitarioLicitado&gt;$AN90)),"ACIMA REF.","")))))</f>
        <v/>
      </c>
      <c r="AD90" t="str">
        <f ca="1">IF(C90&lt;=CRONO.NivelExibicao,MAX($AD$15:OFFSET(AD90,-1,0))+IF($C90&lt;&gt;1,1,MAX(1,COUNTIF(QCI!$A$13:$A$24,OFFSET($E90,-1,0)))),"")</f>
        <v/>
      </c>
      <c r="AE90" s="7" t="str">
        <f ca="1">IF(AND($C90="S",ORÇAMENTO.CodBarra&lt;&gt;""),IF(ORÇAMENTO.Fonte="",ORÇAMENTO.CodBarra,CONCATENATE(ORÇAMENTO.Fonte," ",ORÇAMENTO.CodBarra)))</f>
        <v>SINAPI 97087</v>
      </c>
      <c r="AF90" s="13" t="str">
        <f ca="1">IF(ISERROR(INDIRECT(ORÇAMENTO.BancoRef)),"(abra o arquivo 'Referência "&amp;Excel_BuiltIn_Database&amp;".xlsm)",IF(OR($C90&lt;&gt;"S",ORÇAMENTO.CodBarra=""),"(Sem Código)",IF(ISERROR(MATCH($AE90,INDIRECT(ORÇAMENTO.BancoRef),0)),"(Código não identificado nas referências)",MATCH($AE90,INDIRECT(ORÇAMENTO.BancoRef),0))))</f>
        <v>(abra o arquivo 'Referência 02-2025.xlsm)</v>
      </c>
      <c r="AG90" s="498">
        <f ca="1">ROUND(IF(DESONERACAO="sim",REFERENCIA.Desonerado,REFERENCIA.NaoDesonerado),2)</f>
        <v>0</v>
      </c>
      <c r="AH90" s="499">
        <f t="shared" ca="1" si="33"/>
        <v>0.22470000000000001</v>
      </c>
      <c r="AJ90" s="501">
        <v>12.94</v>
      </c>
      <c r="AL90" s="527"/>
      <c r="AM90" s="381">
        <f t="shared" ca="1" si="34"/>
        <v>0</v>
      </c>
      <c r="AN90" s="566">
        <f t="shared" ca="1" si="35"/>
        <v>0</v>
      </c>
    </row>
    <row r="91" spans="1:40" ht="38.25" x14ac:dyDescent="0.2">
      <c r="A91" t="str">
        <f t="shared" si="20"/>
        <v>S</v>
      </c>
      <c r="B91">
        <f t="shared" ca="1" si="21"/>
        <v>4</v>
      </c>
      <c r="C91" t="str">
        <f t="shared" ca="1" si="22"/>
        <v>S</v>
      </c>
      <c r="D91">
        <f t="shared" ca="1" si="23"/>
        <v>0</v>
      </c>
      <c r="E91">
        <f ca="1">IF($C91=1,OFFSET(E91,-1,0)+MAX(1,COUNTIF(QCI!$A$13:$A$24,OFFSET(ORÇAMENTO!E91,-1,0))),OFFSET(E91,-1,0))</f>
        <v>1</v>
      </c>
      <c r="F91">
        <f t="shared" ca="1" si="24"/>
        <v>4</v>
      </c>
      <c r="G91">
        <f t="shared" ca="1" si="25"/>
        <v>4</v>
      </c>
      <c r="H91">
        <f t="shared" ca="1" si="26"/>
        <v>1</v>
      </c>
      <c r="I91">
        <f t="shared" ca="1" si="27"/>
        <v>0</v>
      </c>
      <c r="J91">
        <f t="shared" ca="1" si="18"/>
        <v>0</v>
      </c>
      <c r="K91">
        <f ca="1">IF(OR($C91="S",$C91=0),0,MATCH(OFFSET($D91,0,$C91)+IF($C91&lt;&gt;1,1,COUNTIF(QCI!$A$13:$A$24,ORÇAMENTO!E91)),OFFSET($D91,1,$C91,ROW($C$747)-ROW($C91)),0))</f>
        <v>0</v>
      </c>
      <c r="L91" s="116" t="str">
        <f t="shared" ca="1" si="28"/>
        <v/>
      </c>
      <c r="M91" s="117" t="s">
        <v>199</v>
      </c>
      <c r="N91" s="118" t="str">
        <f t="shared" ca="1" si="29"/>
        <v>Serviço</v>
      </c>
      <c r="O91" s="119" t="str">
        <f t="shared" ca="1" si="30"/>
        <v>-</v>
      </c>
      <c r="P91" s="120" t="s">
        <v>247</v>
      </c>
      <c r="Q91" s="121" t="s">
        <v>901</v>
      </c>
      <c r="R91" s="122" t="str">
        <f ca="1">IF($C91="S",REFERENCIA.Descricao,"(digite a descrição aqui)")</f>
        <v>(abra o arquivo 'Referência 02-2025.xlsm)</v>
      </c>
      <c r="S91" s="123" t="str">
        <f ca="1">REFERENCIA.Unidade</f>
        <v>-</v>
      </c>
      <c r="T91" s="124">
        <f ca="1">OFFSET(CÁLCULO!H$15,ROW($T91)-ROW(T$15),0)</f>
        <v>3.3</v>
      </c>
      <c r="U91" s="125">
        <f t="shared" ca="1" si="36"/>
        <v>0</v>
      </c>
      <c r="V91" s="126" t="s">
        <v>156</v>
      </c>
      <c r="W91" s="124">
        <f ca="1">IF($C91="S",ROUND(IF(TIPOORCAMENTO="Proposto",ORÇAMENTO.CustoUnitario*(1+$AH91),ORÇAMENTO.PrecoUnitarioLicitado),15-13*$AF$10),0)</f>
        <v>0</v>
      </c>
      <c r="X91" s="127">
        <f ca="1">IF($C91="S",IF(Import.TipoArredondamento&lt;&gt;"TransfereGOV",VTOTAL1,SUM(OFFSET(CÁLCULO!$AA$15,ROW($X91)-ROW($X$15),1):OFFSET(CÁLCULO!$AL$15,ROW($X91)-ROW($X$15),-1))),IF($C91=0,0,ROUND(SomaAgrup,15-13*$AF$11)))</f>
        <v>0</v>
      </c>
      <c r="Y91" s="128" t="s">
        <v>245</v>
      </c>
      <c r="Z91" t="str">
        <f t="shared" ca="1" si="31"/>
        <v/>
      </c>
      <c r="AA91" s="129">
        <f ca="1">IF($C91="S",IF($Z91="CP",$X91,IF($Z91="RA",(($X91)*QCI!$AA$3),0)),SomaAgrup)</f>
        <v>0</v>
      </c>
      <c r="AB91" s="130">
        <f t="shared" ca="1" si="32"/>
        <v>0</v>
      </c>
      <c r="AC91" s="131" t="str">
        <f ca="1">IF($N91="","",IF(ORÇAMENTO.Descricao="","DESCRIÇÃO",IF(AND($C91="S",ORÇAMENTO.Unidade=""),"UNIDADE",IF($X91&lt;0,"VALOR NEGATIVO",IF(OR(AND(TIPOORCAMENTO="Proposto",$AG91&lt;&gt;"",$AG91&gt;0,ORÇAMENTO.CustoUnitario&gt;$AG91),AND(TIPOORCAMENTO="LICITADO",ORÇAMENTO.PrecoUnitarioLicitado&gt;$AN91)),"ACIMA REF.","")))))</f>
        <v/>
      </c>
      <c r="AD91" t="str">
        <f ca="1">IF(C91&lt;=CRONO.NivelExibicao,MAX($AD$15:OFFSET(AD91,-1,0))+IF($C91&lt;&gt;1,1,MAX(1,COUNTIF(QCI!$A$13:$A$24,OFFSET($E91,-1,0)))),"")</f>
        <v/>
      </c>
      <c r="AE91" s="7" t="str">
        <f ca="1">IF(AND($C91="S",ORÇAMENTO.CodBarra&lt;&gt;""),IF(ORÇAMENTO.Fonte="",ORÇAMENTO.CodBarra,CONCATENATE(ORÇAMENTO.Fonte," ",ORÇAMENTO.CodBarra)))</f>
        <v>SINAPI 97086</v>
      </c>
      <c r="AF91" s="13" t="str">
        <f ca="1">IF(ISERROR(INDIRECT(ORÇAMENTO.BancoRef)),"(abra o arquivo 'Referência "&amp;Excel_BuiltIn_Database&amp;".xlsm)",IF(OR($C91&lt;&gt;"S",ORÇAMENTO.CodBarra=""),"(Sem Código)",IF(ISERROR(MATCH($AE91,INDIRECT(ORÇAMENTO.BancoRef),0)),"(Código não identificado nas referências)",MATCH($AE91,INDIRECT(ORÇAMENTO.BancoRef),0))))</f>
        <v>(abra o arquivo 'Referência 02-2025.xlsm)</v>
      </c>
      <c r="AG91" s="498">
        <f ca="1">ROUND(IF(DESONERACAO="sim",REFERENCIA.Desonerado,REFERENCIA.NaoDesonerado),2)</f>
        <v>0</v>
      </c>
      <c r="AH91" s="499">
        <f t="shared" ca="1" si="33"/>
        <v>0.22470000000000001</v>
      </c>
      <c r="AJ91" s="501">
        <v>3.3</v>
      </c>
      <c r="AL91" s="527"/>
      <c r="AM91" s="381">
        <f t="shared" ca="1" si="34"/>
        <v>0</v>
      </c>
      <c r="AN91" s="566">
        <f t="shared" ca="1" si="35"/>
        <v>0</v>
      </c>
    </row>
    <row r="92" spans="1:40" ht="25.5" x14ac:dyDescent="0.2">
      <c r="A92" t="str">
        <f t="shared" si="20"/>
        <v>S</v>
      </c>
      <c r="B92">
        <f t="shared" ca="1" si="21"/>
        <v>4</v>
      </c>
      <c r="C92" t="str">
        <f t="shared" ca="1" si="22"/>
        <v>S</v>
      </c>
      <c r="D92">
        <f t="shared" ca="1" si="23"/>
        <v>0</v>
      </c>
      <c r="E92">
        <f ca="1">IF($C92=1,OFFSET(E92,-1,0)+MAX(1,COUNTIF(QCI!$A$13:$A$24,OFFSET(ORÇAMENTO!E92,-1,0))),OFFSET(E92,-1,0))</f>
        <v>1</v>
      </c>
      <c r="F92">
        <f t="shared" ca="1" si="24"/>
        <v>4</v>
      </c>
      <c r="G92">
        <f t="shared" ca="1" si="25"/>
        <v>4</v>
      </c>
      <c r="H92">
        <f t="shared" ca="1" si="26"/>
        <v>1</v>
      </c>
      <c r="I92">
        <f t="shared" ca="1" si="27"/>
        <v>0</v>
      </c>
      <c r="J92">
        <f t="shared" ca="1" si="18"/>
        <v>0</v>
      </c>
      <c r="K92">
        <f ca="1">IF(OR($C92="S",$C92=0),0,MATCH(OFFSET($D92,0,$C92)+IF($C92&lt;&gt;1,1,COUNTIF(QCI!$A$13:$A$24,ORÇAMENTO!E92)),OFFSET($D92,1,$C92,ROW($C$747)-ROW($C92)),0))</f>
        <v>0</v>
      </c>
      <c r="L92" s="116" t="str">
        <f t="shared" ca="1" si="28"/>
        <v/>
      </c>
      <c r="M92" s="117" t="s">
        <v>199</v>
      </c>
      <c r="N92" s="118" t="str">
        <f t="shared" ca="1" si="29"/>
        <v>Serviço</v>
      </c>
      <c r="O92" s="119" t="str">
        <f t="shared" ca="1" si="30"/>
        <v>-</v>
      </c>
      <c r="P92" s="120" t="s">
        <v>247</v>
      </c>
      <c r="Q92" s="121" t="s">
        <v>902</v>
      </c>
      <c r="R92" s="122" t="str">
        <f ca="1">IF($C92="S",REFERENCIA.Descricao,"(digite a descrição aqui)")</f>
        <v>(abra o arquivo 'Referência 02-2025.xlsm)</v>
      </c>
      <c r="S92" s="123" t="str">
        <f ca="1">REFERENCIA.Unidade</f>
        <v>-</v>
      </c>
      <c r="T92" s="124">
        <f ca="1">OFFSET(CÁLCULO!H$15,ROW($T92)-ROW(T$15),0)</f>
        <v>15.96</v>
      </c>
      <c r="U92" s="125">
        <f t="shared" ca="1" si="36"/>
        <v>0</v>
      </c>
      <c r="V92" s="126" t="s">
        <v>156</v>
      </c>
      <c r="W92" s="124">
        <f ca="1">IF($C92="S",ROUND(IF(TIPOORCAMENTO="Proposto",ORÇAMENTO.CustoUnitario*(1+$AH92),ORÇAMENTO.PrecoUnitarioLicitado),15-13*$AF$10),0)</f>
        <v>0</v>
      </c>
      <c r="X92" s="127">
        <f ca="1">IF($C92="S",IF(Import.TipoArredondamento&lt;&gt;"TransfereGOV",VTOTAL1,SUM(OFFSET(CÁLCULO!$AA$15,ROW($X92)-ROW($X$15),1):OFFSET(CÁLCULO!$AL$15,ROW($X92)-ROW($X$15),-1))),IF($C92=0,0,ROUND(SomaAgrup,15-13*$AF$11)))</f>
        <v>0</v>
      </c>
      <c r="Y92" s="128" t="s">
        <v>245</v>
      </c>
      <c r="Z92" t="str">
        <f t="shared" ca="1" si="31"/>
        <v/>
      </c>
      <c r="AA92" s="129">
        <f ca="1">IF($C92="S",IF($Z92="CP",$X92,IF($Z92="RA",(($X92)*QCI!$AA$3),0)),SomaAgrup)</f>
        <v>0</v>
      </c>
      <c r="AB92" s="130">
        <f t="shared" ca="1" si="32"/>
        <v>0</v>
      </c>
      <c r="AC92" s="131" t="str">
        <f ca="1">IF($N92="","",IF(ORÇAMENTO.Descricao="","DESCRIÇÃO",IF(AND($C92="S",ORÇAMENTO.Unidade=""),"UNIDADE",IF($X92&lt;0,"VALOR NEGATIVO",IF(OR(AND(TIPOORCAMENTO="Proposto",$AG92&lt;&gt;"",$AG92&gt;0,ORÇAMENTO.CustoUnitario&gt;$AG92),AND(TIPOORCAMENTO="LICITADO",ORÇAMENTO.PrecoUnitarioLicitado&gt;$AN92)),"ACIMA REF.","")))))</f>
        <v/>
      </c>
      <c r="AD92" t="str">
        <f ca="1">IF(C92&lt;=CRONO.NivelExibicao,MAX($AD$15:OFFSET(AD92,-1,0))+IF($C92&lt;&gt;1,1,MAX(1,COUNTIF(QCI!$A$13:$A$24,OFFSET($E92,-1,0)))),"")</f>
        <v/>
      </c>
      <c r="AE92" s="7" t="str">
        <f ca="1">IF(AND($C92="S",ORÇAMENTO.CodBarra&lt;&gt;""),IF(ORÇAMENTO.Fonte="",ORÇAMENTO.CodBarra,CONCATENATE(ORÇAMENTO.Fonte," ",ORÇAMENTO.CodBarra)))</f>
        <v>SINAPI 97091</v>
      </c>
      <c r="AF92" s="13" t="str">
        <f ca="1">IF(ISERROR(INDIRECT(ORÇAMENTO.BancoRef)),"(abra o arquivo 'Referência "&amp;Excel_BuiltIn_Database&amp;".xlsm)",IF(OR($C92&lt;&gt;"S",ORÇAMENTO.CodBarra=""),"(Sem Código)",IF(ISERROR(MATCH($AE92,INDIRECT(ORÇAMENTO.BancoRef),0)),"(Código não identificado nas referências)",MATCH($AE92,INDIRECT(ORÇAMENTO.BancoRef),0))))</f>
        <v>(abra o arquivo 'Referência 02-2025.xlsm)</v>
      </c>
      <c r="AG92" s="498">
        <f ca="1">ROUND(IF(DESONERACAO="sim",REFERENCIA.Desonerado,REFERENCIA.NaoDesonerado),2)</f>
        <v>0</v>
      </c>
      <c r="AH92" s="499">
        <f t="shared" ca="1" si="33"/>
        <v>0.22470000000000001</v>
      </c>
      <c r="AJ92" s="501">
        <v>15.96</v>
      </c>
      <c r="AL92" s="527"/>
      <c r="AM92" s="381">
        <f t="shared" ca="1" si="34"/>
        <v>0</v>
      </c>
      <c r="AN92" s="566">
        <f t="shared" ca="1" si="35"/>
        <v>0</v>
      </c>
    </row>
    <row r="93" spans="1:40" ht="38.25" x14ac:dyDescent="0.2">
      <c r="A93" t="str">
        <f t="shared" si="20"/>
        <v>S</v>
      </c>
      <c r="B93">
        <f t="shared" ca="1" si="21"/>
        <v>4</v>
      </c>
      <c r="C93" t="str">
        <f t="shared" ca="1" si="22"/>
        <v>S</v>
      </c>
      <c r="D93">
        <f t="shared" ca="1" si="23"/>
        <v>0</v>
      </c>
      <c r="E93">
        <f ca="1">IF($C93=1,OFFSET(E93,-1,0)+MAX(1,COUNTIF(QCI!$A$13:$A$24,OFFSET(ORÇAMENTO!E93,-1,0))),OFFSET(E93,-1,0))</f>
        <v>1</v>
      </c>
      <c r="F93">
        <f t="shared" ca="1" si="24"/>
        <v>4</v>
      </c>
      <c r="G93">
        <f t="shared" ca="1" si="25"/>
        <v>4</v>
      </c>
      <c r="H93">
        <f t="shared" ca="1" si="26"/>
        <v>1</v>
      </c>
      <c r="I93">
        <f t="shared" ca="1" si="27"/>
        <v>0</v>
      </c>
      <c r="J93">
        <f t="shared" ca="1" si="18"/>
        <v>0</v>
      </c>
      <c r="K93">
        <f ca="1">IF(OR($C93="S",$C93=0),0,MATCH(OFFSET($D93,0,$C93)+IF($C93&lt;&gt;1,1,COUNTIF(QCI!$A$13:$A$24,ORÇAMENTO!E93)),OFFSET($D93,1,$C93,ROW($C$747)-ROW($C93)),0))</f>
        <v>0</v>
      </c>
      <c r="L93" s="116" t="str">
        <f t="shared" ca="1" si="28"/>
        <v/>
      </c>
      <c r="M93" s="117" t="s">
        <v>199</v>
      </c>
      <c r="N93" s="118" t="str">
        <f t="shared" ca="1" si="29"/>
        <v>Serviço</v>
      </c>
      <c r="O93" s="119" t="str">
        <f t="shared" ca="1" si="30"/>
        <v>-</v>
      </c>
      <c r="P93" s="120" t="s">
        <v>247</v>
      </c>
      <c r="Q93" s="121" t="s">
        <v>903</v>
      </c>
      <c r="R93" s="122" t="str">
        <f ca="1">IF($C93="S",REFERENCIA.Descricao,"(digite a descrição aqui)")</f>
        <v>(abra o arquivo 'Referência 02-2025.xlsm)</v>
      </c>
      <c r="S93" s="123" t="str">
        <f ca="1">REFERENCIA.Unidade</f>
        <v>-</v>
      </c>
      <c r="T93" s="124">
        <f ca="1">OFFSET(CÁLCULO!H$15,ROW($T93)-ROW(T$15),0)</f>
        <v>1.27</v>
      </c>
      <c r="U93" s="125">
        <f t="shared" ca="1" si="36"/>
        <v>0</v>
      </c>
      <c r="V93" s="126" t="s">
        <v>156</v>
      </c>
      <c r="W93" s="124">
        <f ca="1">IF($C93="S",ROUND(IF(TIPOORCAMENTO="Proposto",ORÇAMENTO.CustoUnitario*(1+$AH93),ORÇAMENTO.PrecoUnitarioLicitado),15-13*$AF$10),0)</f>
        <v>0</v>
      </c>
      <c r="X93" s="127">
        <f ca="1">IF($C93="S",IF(Import.TipoArredondamento&lt;&gt;"TransfereGOV",VTOTAL1,SUM(OFFSET(CÁLCULO!$AA$15,ROW($X93)-ROW($X$15),1):OFFSET(CÁLCULO!$AL$15,ROW($X93)-ROW($X$15),-1))),IF($C93=0,0,ROUND(SomaAgrup,15-13*$AF$11)))</f>
        <v>0</v>
      </c>
      <c r="Y93" s="128" t="s">
        <v>245</v>
      </c>
      <c r="Z93" t="str">
        <f t="shared" ca="1" si="31"/>
        <v/>
      </c>
      <c r="AA93" s="129">
        <f ca="1">IF($C93="S",IF($Z93="CP",$X93,IF($Z93="RA",(($X93)*QCI!$AA$3),0)),SomaAgrup)</f>
        <v>0</v>
      </c>
      <c r="AB93" s="130">
        <f t="shared" ca="1" si="32"/>
        <v>0</v>
      </c>
      <c r="AC93" s="131" t="str">
        <f ca="1">IF($N93="","",IF(ORÇAMENTO.Descricao="","DESCRIÇÃO",IF(AND($C93="S",ORÇAMENTO.Unidade=""),"UNIDADE",IF($X93&lt;0,"VALOR NEGATIVO",IF(OR(AND(TIPOORCAMENTO="Proposto",$AG93&lt;&gt;"",$AG93&gt;0,ORÇAMENTO.CustoUnitario&gt;$AG93),AND(TIPOORCAMENTO="LICITADO",ORÇAMENTO.PrecoUnitarioLicitado&gt;$AN93)),"ACIMA REF.","")))))</f>
        <v/>
      </c>
      <c r="AD93" t="str">
        <f ca="1">IF(C93&lt;=CRONO.NivelExibicao,MAX($AD$15:OFFSET(AD93,-1,0))+IF($C93&lt;&gt;1,1,MAX(1,COUNTIF(QCI!$A$13:$A$24,OFFSET($E93,-1,0)))),"")</f>
        <v/>
      </c>
      <c r="AE93" s="7" t="str">
        <f ca="1">IF(AND($C93="S",ORÇAMENTO.CodBarra&lt;&gt;""),IF(ORÇAMENTO.Fonte="",ORÇAMENTO.CodBarra,CONCATENATE(ORÇAMENTO.Fonte," ",ORÇAMENTO.CodBarra)))</f>
        <v>SINAPI 97096</v>
      </c>
      <c r="AF93" s="13" t="str">
        <f ca="1">IF(ISERROR(INDIRECT(ORÇAMENTO.BancoRef)),"(abra o arquivo 'Referência "&amp;Excel_BuiltIn_Database&amp;".xlsm)",IF(OR($C93&lt;&gt;"S",ORÇAMENTO.CodBarra=""),"(Sem Código)",IF(ISERROR(MATCH($AE93,INDIRECT(ORÇAMENTO.BancoRef),0)),"(Código não identificado nas referências)",MATCH($AE93,INDIRECT(ORÇAMENTO.BancoRef),0))))</f>
        <v>(abra o arquivo 'Referência 02-2025.xlsm)</v>
      </c>
      <c r="AG93" s="498">
        <f ca="1">ROUND(IF(DESONERACAO="sim",REFERENCIA.Desonerado,REFERENCIA.NaoDesonerado),2)</f>
        <v>0</v>
      </c>
      <c r="AH93" s="499">
        <f t="shared" ca="1" si="33"/>
        <v>0.22470000000000001</v>
      </c>
      <c r="AJ93" s="501">
        <v>1.27</v>
      </c>
      <c r="AL93" s="527"/>
      <c r="AM93" s="381">
        <f t="shared" ca="1" si="34"/>
        <v>0</v>
      </c>
      <c r="AN93" s="566">
        <f t="shared" ca="1" si="35"/>
        <v>0</v>
      </c>
    </row>
    <row r="94" spans="1:40" ht="25.5" x14ac:dyDescent="0.2">
      <c r="A94" t="str">
        <f t="shared" si="20"/>
        <v>S</v>
      </c>
      <c r="B94">
        <f t="shared" ca="1" si="21"/>
        <v>4</v>
      </c>
      <c r="C94" t="str">
        <f t="shared" ca="1" si="22"/>
        <v>S</v>
      </c>
      <c r="D94">
        <f t="shared" ca="1" si="23"/>
        <v>0</v>
      </c>
      <c r="E94">
        <f ca="1">IF($C94=1,OFFSET(E94,-1,0)+MAX(1,COUNTIF(QCI!$A$13:$A$24,OFFSET(ORÇAMENTO!E94,-1,0))),OFFSET(E94,-1,0))</f>
        <v>1</v>
      </c>
      <c r="F94">
        <f t="shared" ca="1" si="24"/>
        <v>4</v>
      </c>
      <c r="G94">
        <f t="shared" ca="1" si="25"/>
        <v>4</v>
      </c>
      <c r="H94">
        <f t="shared" ca="1" si="26"/>
        <v>1</v>
      </c>
      <c r="I94">
        <f t="shared" ca="1" si="27"/>
        <v>0</v>
      </c>
      <c r="J94">
        <f t="shared" ca="1" si="18"/>
        <v>0</v>
      </c>
      <c r="K94">
        <f ca="1">IF(OR($C94="S",$C94=0),0,MATCH(OFFSET($D94,0,$C94)+IF($C94&lt;&gt;1,1,COUNTIF(QCI!$A$13:$A$24,ORÇAMENTO!E94)),OFFSET($D94,1,$C94,ROW($C$747)-ROW($C94)),0))</f>
        <v>0</v>
      </c>
      <c r="L94" s="116" t="str">
        <f t="shared" ca="1" si="28"/>
        <v/>
      </c>
      <c r="M94" s="117" t="s">
        <v>199</v>
      </c>
      <c r="N94" s="118" t="str">
        <f t="shared" ca="1" si="29"/>
        <v>Serviço</v>
      </c>
      <c r="O94" s="119" t="str">
        <f t="shared" ca="1" si="30"/>
        <v>-</v>
      </c>
      <c r="P94" s="120" t="s">
        <v>247</v>
      </c>
      <c r="Q94" s="121" t="s">
        <v>904</v>
      </c>
      <c r="R94" s="122" t="str">
        <f ca="1">IF($C94="S",REFERENCIA.Descricao,"(digite a descrição aqui)")</f>
        <v>(abra o arquivo 'Referência 02-2025.xlsm)</v>
      </c>
      <c r="S94" s="123" t="str">
        <f ca="1">REFERENCIA.Unidade</f>
        <v>-</v>
      </c>
      <c r="T94" s="124">
        <f ca="1">OFFSET(CÁLCULO!H$15,ROW($T94)-ROW(T$15),0)</f>
        <v>37.090000000000003</v>
      </c>
      <c r="U94" s="125">
        <f t="shared" ca="1" si="36"/>
        <v>0</v>
      </c>
      <c r="V94" s="126" t="s">
        <v>156</v>
      </c>
      <c r="W94" s="124">
        <f ca="1">IF($C94="S",ROUND(IF(TIPOORCAMENTO="Proposto",ORÇAMENTO.CustoUnitario*(1+$AH94),ORÇAMENTO.PrecoUnitarioLicitado),15-13*$AF$10),0)</f>
        <v>0</v>
      </c>
      <c r="X94" s="127">
        <f ca="1">IF($C94="S",IF(Import.TipoArredondamento&lt;&gt;"TransfereGOV",VTOTAL1,SUM(OFFSET(CÁLCULO!$AA$15,ROW($X94)-ROW($X$15),1):OFFSET(CÁLCULO!$AL$15,ROW($X94)-ROW($X$15),-1))),IF($C94=0,0,ROUND(SomaAgrup,15-13*$AF$11)))</f>
        <v>0</v>
      </c>
      <c r="Y94" s="128" t="s">
        <v>245</v>
      </c>
      <c r="Z94" t="str">
        <f t="shared" ca="1" si="31"/>
        <v/>
      </c>
      <c r="AA94" s="129">
        <f ca="1">IF($C94="S",IF($Z94="CP",$X94,IF($Z94="RA",(($X94)*QCI!$AA$3),0)),SomaAgrup)</f>
        <v>0</v>
      </c>
      <c r="AB94" s="130">
        <f t="shared" ca="1" si="32"/>
        <v>0</v>
      </c>
      <c r="AC94" s="131" t="str">
        <f ca="1">IF($N94="","",IF(ORÇAMENTO.Descricao="","DESCRIÇÃO",IF(AND($C94="S",ORÇAMENTO.Unidade=""),"UNIDADE",IF($X94&lt;0,"VALOR NEGATIVO",IF(OR(AND(TIPOORCAMENTO="Proposto",$AG94&lt;&gt;"",$AG94&gt;0,ORÇAMENTO.CustoUnitario&gt;$AG94),AND(TIPOORCAMENTO="LICITADO",ORÇAMENTO.PrecoUnitarioLicitado&gt;$AN94)),"ACIMA REF.","")))))</f>
        <v/>
      </c>
      <c r="AD94" t="str">
        <f ca="1">IF(C94&lt;=CRONO.NivelExibicao,MAX($AD$15:OFFSET(AD94,-1,0))+IF($C94&lt;&gt;1,1,MAX(1,COUNTIF(QCI!$A$13:$A$24,OFFSET($E94,-1,0)))),"")</f>
        <v/>
      </c>
      <c r="AE94" s="7" t="str">
        <f ca="1">IF(AND($C94="S",ORÇAMENTO.CodBarra&lt;&gt;""),IF(ORÇAMENTO.Fonte="",ORÇAMENTO.CodBarra,CONCATENATE(ORÇAMENTO.Fonte," ",ORÇAMENTO.CodBarra)))</f>
        <v>SINAPI 97097</v>
      </c>
      <c r="AF94" s="13" t="str">
        <f ca="1">IF(ISERROR(INDIRECT(ORÇAMENTO.BancoRef)),"(abra o arquivo 'Referência "&amp;Excel_BuiltIn_Database&amp;".xlsm)",IF(OR($C94&lt;&gt;"S",ORÇAMENTO.CodBarra=""),"(Sem Código)",IF(ISERROR(MATCH($AE94,INDIRECT(ORÇAMENTO.BancoRef),0)),"(Código não identificado nas referências)",MATCH($AE94,INDIRECT(ORÇAMENTO.BancoRef),0))))</f>
        <v>(abra o arquivo 'Referência 02-2025.xlsm)</v>
      </c>
      <c r="AG94" s="498">
        <f ca="1">ROUND(IF(DESONERACAO="sim",REFERENCIA.Desonerado,REFERENCIA.NaoDesonerado),2)</f>
        <v>0</v>
      </c>
      <c r="AH94" s="499">
        <f t="shared" ca="1" si="33"/>
        <v>0.22470000000000001</v>
      </c>
      <c r="AJ94" s="501">
        <v>37.090000000000003</v>
      </c>
      <c r="AL94" s="527"/>
      <c r="AM94" s="381">
        <f t="shared" ca="1" si="34"/>
        <v>0</v>
      </c>
      <c r="AN94" s="566">
        <f t="shared" ca="1" si="35"/>
        <v>0</v>
      </c>
    </row>
    <row r="95" spans="1:40" x14ac:dyDescent="0.2">
      <c r="A95">
        <f t="shared" si="20"/>
        <v>3</v>
      </c>
      <c r="B95">
        <f t="shared" ca="1" si="21"/>
        <v>3</v>
      </c>
      <c r="C95">
        <f t="shared" ca="1" si="22"/>
        <v>3</v>
      </c>
      <c r="D95">
        <f t="shared" ca="1" si="23"/>
        <v>5</v>
      </c>
      <c r="E95">
        <f ca="1">IF($C95=1,OFFSET(E95,-1,0)+MAX(1,COUNTIF(QCI!$A$13:$A$24,OFFSET(ORÇAMENTO!E95,-1,0))),OFFSET(E95,-1,0))</f>
        <v>1</v>
      </c>
      <c r="F95">
        <f t="shared" ca="1" si="24"/>
        <v>4</v>
      </c>
      <c r="G95">
        <f t="shared" ca="1" si="25"/>
        <v>5</v>
      </c>
      <c r="H95">
        <f t="shared" ca="1" si="26"/>
        <v>0</v>
      </c>
      <c r="I95">
        <f t="shared" ca="1" si="27"/>
        <v>0</v>
      </c>
      <c r="J95">
        <f t="shared" ca="1" si="18"/>
        <v>10</v>
      </c>
      <c r="K95">
        <f ca="1">IF(OR($C95="S",$C95=0),0,MATCH(OFFSET($D95,0,$C95)+IF($C95&lt;&gt;1,1,COUNTIF(QCI!$A$13:$A$24,ORÇAMENTO!E95)),OFFSET($D95,1,$C95,ROW($C$747)-ROW($C95)),0))</f>
        <v>5</v>
      </c>
      <c r="L95" s="116" t="str">
        <f t="shared" ca="1" si="28"/>
        <v>F</v>
      </c>
      <c r="M95" s="117" t="s">
        <v>197</v>
      </c>
      <c r="N95" s="118" t="str">
        <f t="shared" ca="1" si="29"/>
        <v>Nível 3</v>
      </c>
      <c r="O95" s="119" t="str">
        <f t="shared" ca="1" si="30"/>
        <v>1.4.5.</v>
      </c>
      <c r="P95" s="120" t="s">
        <v>247</v>
      </c>
      <c r="Q95" s="121"/>
      <c r="R95" s="122" t="s">
        <v>905</v>
      </c>
      <c r="S95" s="123" t="str">
        <f ca="1">REFERENCIA.Unidade</f>
        <v>-</v>
      </c>
      <c r="T95" s="124">
        <f ca="1">OFFSET(CÁLCULO!H$15,ROW($T95)-ROW(T$15),0)</f>
        <v>0</v>
      </c>
      <c r="U95" s="125">
        <f t="shared" ca="1" si="36"/>
        <v>0</v>
      </c>
      <c r="V95" s="126" t="s">
        <v>156</v>
      </c>
      <c r="W95" s="124">
        <f ca="1">IF($C95="S",ROUND(IF(TIPOORCAMENTO="Proposto",ORÇAMENTO.CustoUnitario*(1+$AH95),ORÇAMENTO.PrecoUnitarioLicitado),15-13*$AF$10),0)</f>
        <v>0</v>
      </c>
      <c r="X95" s="127">
        <f ca="1">IF($C95="S",IF(Import.TipoArredondamento&lt;&gt;"TransfereGOV",VTOTAL1,SUM(OFFSET(CÁLCULO!$AA$15,ROW($X95)-ROW($X$15),1):OFFSET(CÁLCULO!$AL$15,ROW($X95)-ROW($X$15),-1))),IF($C95=0,0,ROUND(SomaAgrup,15-13*$AF$11)))</f>
        <v>0</v>
      </c>
      <c r="Y95" s="128" t="s">
        <v>245</v>
      </c>
      <c r="Z95" t="str">
        <f t="shared" ca="1" si="31"/>
        <v/>
      </c>
      <c r="AA95" s="129">
        <f ca="1">IF($C95="S",IF($Z95="CP",$X95,IF($Z95="RA",(($X95)*QCI!$AA$3),0)),SomaAgrup)</f>
        <v>0</v>
      </c>
      <c r="AB95" s="130">
        <f t="shared" ca="1" si="32"/>
        <v>0</v>
      </c>
      <c r="AC95" s="131" t="str">
        <f ca="1">IF($N95="","",IF(ORÇAMENTO.Descricao="","DESCRIÇÃO",IF(AND($C95="S",ORÇAMENTO.Unidade=""),"UNIDADE",IF($X95&lt;0,"VALOR NEGATIVO",IF(OR(AND(TIPOORCAMENTO="Proposto",$AG95&lt;&gt;"",$AG95&gt;0,ORÇAMENTO.CustoUnitario&gt;$AG95),AND(TIPOORCAMENTO="LICITADO",ORÇAMENTO.PrecoUnitarioLicitado&gt;$AN95)),"ACIMA REF.","")))))</f>
        <v/>
      </c>
      <c r="AD95" t="str">
        <f ca="1">IF(C95&lt;=CRONO.NivelExibicao,MAX($AD$15:OFFSET(AD95,-1,0))+IF($C95&lt;&gt;1,1,MAX(1,COUNTIF(QCI!$A$13:$A$24,OFFSET($E95,-1,0)))),"")</f>
        <v/>
      </c>
      <c r="AE95" s="7" t="b">
        <f ca="1">IF(AND($C95="S",ORÇAMENTO.CodBarra&lt;&gt;""),IF(ORÇAMENTO.Fonte="",ORÇAMENTO.CodBarra,CONCATENATE(ORÇAMENTO.Fonte," ",ORÇAMENTO.CodBarra)))</f>
        <v>0</v>
      </c>
      <c r="AF95" s="13" t="str">
        <f ca="1">IF(ISERROR(INDIRECT(ORÇAMENTO.BancoRef)),"(abra o arquivo 'Referência "&amp;Excel_BuiltIn_Database&amp;".xlsm)",IF(OR($C95&lt;&gt;"S",ORÇAMENTO.CodBarra=""),"(Sem Código)",IF(ISERROR(MATCH($AE95,INDIRECT(ORÇAMENTO.BancoRef),0)),"(Código não identificado nas referências)",MATCH($AE95,INDIRECT(ORÇAMENTO.BancoRef),0))))</f>
        <v>(abra o arquivo 'Referência 02-2025.xlsm)</v>
      </c>
      <c r="AG95" s="498">
        <f ca="1">ROUND(IF(DESONERACAO="sim",REFERENCIA.Desonerado,REFERENCIA.NaoDesonerado),2)</f>
        <v>0</v>
      </c>
      <c r="AH95" s="499">
        <f t="shared" ca="1" si="33"/>
        <v>0.22470000000000001</v>
      </c>
      <c r="AJ95" s="501"/>
      <c r="AL95" s="527"/>
      <c r="AM95" s="381">
        <f t="shared" ca="1" si="34"/>
        <v>0</v>
      </c>
      <c r="AN95" s="566">
        <f t="shared" ca="1" si="35"/>
        <v>0</v>
      </c>
    </row>
    <row r="96" spans="1:40" ht="38.25" x14ac:dyDescent="0.2">
      <c r="A96" t="str">
        <f t="shared" si="20"/>
        <v>S</v>
      </c>
      <c r="B96">
        <f t="shared" ca="1" si="21"/>
        <v>3</v>
      </c>
      <c r="C96" t="str">
        <f t="shared" ca="1" si="22"/>
        <v>S</v>
      </c>
      <c r="D96">
        <f t="shared" ca="1" si="23"/>
        <v>0</v>
      </c>
      <c r="E96">
        <f ca="1">IF($C96=1,OFFSET(E96,-1,0)+MAX(1,COUNTIF(QCI!$A$13:$A$24,OFFSET(ORÇAMENTO!E96,-1,0))),OFFSET(E96,-1,0))</f>
        <v>1</v>
      </c>
      <c r="F96">
        <f t="shared" ca="1" si="24"/>
        <v>4</v>
      </c>
      <c r="G96">
        <f t="shared" ca="1" si="25"/>
        <v>5</v>
      </c>
      <c r="H96">
        <f t="shared" ca="1" si="26"/>
        <v>0</v>
      </c>
      <c r="I96">
        <f t="shared" ca="1" si="27"/>
        <v>0</v>
      </c>
      <c r="J96">
        <f t="shared" ca="1" si="18"/>
        <v>0</v>
      </c>
      <c r="K96">
        <f ca="1">IF(OR($C96="S",$C96=0),0,MATCH(OFFSET($D96,0,$C96)+IF($C96&lt;&gt;1,1,COUNTIF(QCI!$A$13:$A$24,ORÇAMENTO!E96)),OFFSET($D96,1,$C96,ROW($C$747)-ROW($C96)),0))</f>
        <v>0</v>
      </c>
      <c r="L96" s="116" t="str">
        <f t="shared" ca="1" si="28"/>
        <v/>
      </c>
      <c r="M96" s="117" t="s">
        <v>199</v>
      </c>
      <c r="N96" s="118" t="str">
        <f t="shared" ca="1" si="29"/>
        <v>Serviço</v>
      </c>
      <c r="O96" s="119" t="str">
        <f t="shared" ca="1" si="30"/>
        <v>-</v>
      </c>
      <c r="P96" s="120" t="s">
        <v>247</v>
      </c>
      <c r="Q96" s="121" t="s">
        <v>906</v>
      </c>
      <c r="R96" s="122" t="str">
        <f ca="1">IF($C96="S",REFERENCIA.Descricao,"(digite a descrição aqui)")</f>
        <v>(abra o arquivo 'Referência 02-2025.xlsm)</v>
      </c>
      <c r="S96" s="123" t="str">
        <f ca="1">REFERENCIA.Unidade</f>
        <v>-</v>
      </c>
      <c r="T96" s="124">
        <f ca="1">OFFSET(CÁLCULO!H$15,ROW($T96)-ROW(T$15),0)</f>
        <v>15.15</v>
      </c>
      <c r="U96" s="125">
        <f t="shared" ca="1" si="36"/>
        <v>0</v>
      </c>
      <c r="V96" s="126" t="s">
        <v>156</v>
      </c>
      <c r="W96" s="124">
        <f ca="1">IF($C96="S",ROUND(IF(TIPOORCAMENTO="Proposto",ORÇAMENTO.CustoUnitario*(1+$AH96),ORÇAMENTO.PrecoUnitarioLicitado),15-13*$AF$10),0)</f>
        <v>0</v>
      </c>
      <c r="X96" s="127">
        <f ca="1">IF($C96="S",IF(Import.TipoArredondamento&lt;&gt;"TransfereGOV",VTOTAL1,SUM(OFFSET(CÁLCULO!$AA$15,ROW($X96)-ROW($X$15),1):OFFSET(CÁLCULO!$AL$15,ROW($X96)-ROW($X$15),-1))),IF($C96=0,0,ROUND(SomaAgrup,15-13*$AF$11)))</f>
        <v>0</v>
      </c>
      <c r="Y96" s="128" t="s">
        <v>245</v>
      </c>
      <c r="Z96" t="str">
        <f t="shared" ca="1" si="31"/>
        <v/>
      </c>
      <c r="AA96" s="129">
        <f ca="1">IF($C96="S",IF($Z96="CP",$X96,IF($Z96="RA",(($X96)*QCI!$AA$3),0)),SomaAgrup)</f>
        <v>0</v>
      </c>
      <c r="AB96" s="130">
        <f t="shared" ca="1" si="32"/>
        <v>0</v>
      </c>
      <c r="AC96" s="131" t="str">
        <f ca="1">IF($N96="","",IF(ORÇAMENTO.Descricao="","DESCRIÇÃO",IF(AND($C96="S",ORÇAMENTO.Unidade=""),"UNIDADE",IF($X96&lt;0,"VALOR NEGATIVO",IF(OR(AND(TIPOORCAMENTO="Proposto",$AG96&lt;&gt;"",$AG96&gt;0,ORÇAMENTO.CustoUnitario&gt;$AG96),AND(TIPOORCAMENTO="LICITADO",ORÇAMENTO.PrecoUnitarioLicitado&gt;$AN96)),"ACIMA REF.","")))))</f>
        <v/>
      </c>
      <c r="AD96" t="str">
        <f ca="1">IF(C96&lt;=CRONO.NivelExibicao,MAX($AD$15:OFFSET(AD96,-1,0))+IF($C96&lt;&gt;1,1,MAX(1,COUNTIF(QCI!$A$13:$A$24,OFFSET($E96,-1,0)))),"")</f>
        <v/>
      </c>
      <c r="AE96" s="7" t="str">
        <f ca="1">IF(AND($C96="S",ORÇAMENTO.CodBarra&lt;&gt;""),IF(ORÇAMENTO.Fonte="",ORÇAMENTO.CodBarra,CONCATENATE(ORÇAMENTO.Fonte," ",ORÇAMENTO.CodBarra)))</f>
        <v>SINAPI 92538</v>
      </c>
      <c r="AF96" s="13" t="str">
        <f ca="1">IF(ISERROR(INDIRECT(ORÇAMENTO.BancoRef)),"(abra o arquivo 'Referência "&amp;Excel_BuiltIn_Database&amp;".xlsm)",IF(OR($C96&lt;&gt;"S",ORÇAMENTO.CodBarra=""),"(Sem Código)",IF(ISERROR(MATCH($AE96,INDIRECT(ORÇAMENTO.BancoRef),0)),"(Código não identificado nas referências)",MATCH($AE96,INDIRECT(ORÇAMENTO.BancoRef),0))))</f>
        <v>(abra o arquivo 'Referência 02-2025.xlsm)</v>
      </c>
      <c r="AG96" s="498">
        <f ca="1">ROUND(IF(DESONERACAO="sim",REFERENCIA.Desonerado,REFERENCIA.NaoDesonerado),2)</f>
        <v>0</v>
      </c>
      <c r="AH96" s="499">
        <f t="shared" ca="1" si="33"/>
        <v>0.22470000000000001</v>
      </c>
      <c r="AJ96" s="501">
        <v>15.15</v>
      </c>
      <c r="AL96" s="527"/>
      <c r="AM96" s="381">
        <f t="shared" ca="1" si="34"/>
        <v>0</v>
      </c>
      <c r="AN96" s="566">
        <f t="shared" ca="1" si="35"/>
        <v>0</v>
      </c>
    </row>
    <row r="97" spans="1:40" ht="38.25" x14ac:dyDescent="0.2">
      <c r="A97" t="str">
        <f t="shared" si="20"/>
        <v>S</v>
      </c>
      <c r="B97">
        <f t="shared" ca="1" si="21"/>
        <v>3</v>
      </c>
      <c r="C97" t="str">
        <f t="shared" ca="1" si="22"/>
        <v>S</v>
      </c>
      <c r="D97">
        <f t="shared" ca="1" si="23"/>
        <v>0</v>
      </c>
      <c r="E97">
        <f ca="1">IF($C97=1,OFFSET(E97,-1,0)+MAX(1,COUNTIF(QCI!$A$13:$A$24,OFFSET(ORÇAMENTO!E97,-1,0))),OFFSET(E97,-1,0))</f>
        <v>1</v>
      </c>
      <c r="F97">
        <f t="shared" ca="1" si="24"/>
        <v>4</v>
      </c>
      <c r="G97">
        <f t="shared" ca="1" si="25"/>
        <v>5</v>
      </c>
      <c r="H97">
        <f t="shared" ca="1" si="26"/>
        <v>0</v>
      </c>
      <c r="I97">
        <f t="shared" ca="1" si="27"/>
        <v>0</v>
      </c>
      <c r="J97">
        <f t="shared" ca="1" si="18"/>
        <v>0</v>
      </c>
      <c r="K97">
        <f ca="1">IF(OR($C97="S",$C97=0),0,MATCH(OFFSET($D97,0,$C97)+IF($C97&lt;&gt;1,1,COUNTIF(QCI!$A$13:$A$24,ORÇAMENTO!E97)),OFFSET($D97,1,$C97,ROW($C$747)-ROW($C97)),0))</f>
        <v>0</v>
      </c>
      <c r="L97" s="116" t="str">
        <f t="shared" ca="1" si="28"/>
        <v/>
      </c>
      <c r="M97" s="117" t="s">
        <v>199</v>
      </c>
      <c r="N97" s="118" t="str">
        <f t="shared" ca="1" si="29"/>
        <v>Serviço</v>
      </c>
      <c r="O97" s="119" t="str">
        <f t="shared" ca="1" si="30"/>
        <v>-</v>
      </c>
      <c r="P97" s="120" t="s">
        <v>247</v>
      </c>
      <c r="Q97" s="121" t="s">
        <v>473</v>
      </c>
      <c r="R97" s="122" t="str">
        <f ca="1">IF($C97="S",REFERENCIA.Descricao,"(digite a descrição aqui)")</f>
        <v>(abra o arquivo 'Referência 02-2025.xlsm)</v>
      </c>
      <c r="S97" s="123" t="str">
        <f ca="1">REFERENCIA.Unidade</f>
        <v>-</v>
      </c>
      <c r="T97" s="124">
        <f ca="1">OFFSET(CÁLCULO!H$15,ROW($T97)-ROW(T$15),0)</f>
        <v>8.18</v>
      </c>
      <c r="U97" s="125">
        <f t="shared" ca="1" si="36"/>
        <v>0</v>
      </c>
      <c r="V97" s="126" t="s">
        <v>156</v>
      </c>
      <c r="W97" s="124">
        <f ca="1">IF($C97="S",ROUND(IF(TIPOORCAMENTO="Proposto",ORÇAMENTO.CustoUnitario*(1+$AH97),ORÇAMENTO.PrecoUnitarioLicitado),15-13*$AF$10),0)</f>
        <v>0</v>
      </c>
      <c r="X97" s="127">
        <f ca="1">IF($C97="S",IF(Import.TipoArredondamento&lt;&gt;"TransfereGOV",VTOTAL1,SUM(OFFSET(CÁLCULO!$AA$15,ROW($X97)-ROW($X$15),1):OFFSET(CÁLCULO!$AL$15,ROW($X97)-ROW($X$15),-1))),IF($C97=0,0,ROUND(SomaAgrup,15-13*$AF$11)))</f>
        <v>0</v>
      </c>
      <c r="Y97" s="128" t="s">
        <v>245</v>
      </c>
      <c r="Z97" t="str">
        <f t="shared" ca="1" si="31"/>
        <v/>
      </c>
      <c r="AA97" s="129">
        <f ca="1">IF($C97="S",IF($Z97="CP",$X97,IF($Z97="RA",(($X97)*QCI!$AA$3),0)),SomaAgrup)</f>
        <v>0</v>
      </c>
      <c r="AB97" s="130">
        <f t="shared" ca="1" si="32"/>
        <v>0</v>
      </c>
      <c r="AC97" s="131" t="str">
        <f ca="1">IF($N97="","",IF(ORÇAMENTO.Descricao="","DESCRIÇÃO",IF(AND($C97="S",ORÇAMENTO.Unidade=""),"UNIDADE",IF($X97&lt;0,"VALOR NEGATIVO",IF(OR(AND(TIPOORCAMENTO="Proposto",$AG97&lt;&gt;"",$AG97&gt;0,ORÇAMENTO.CustoUnitario&gt;$AG97),AND(TIPOORCAMENTO="LICITADO",ORÇAMENTO.PrecoUnitarioLicitado&gt;$AN97)),"ACIMA REF.","")))))</f>
        <v/>
      </c>
      <c r="AD97" t="str">
        <f ca="1">IF(C97&lt;=CRONO.NivelExibicao,MAX($AD$15:OFFSET(AD97,-1,0))+IF($C97&lt;&gt;1,1,MAX(1,COUNTIF(QCI!$A$13:$A$24,OFFSET($E97,-1,0)))),"")</f>
        <v/>
      </c>
      <c r="AE97" s="7" t="str">
        <f ca="1">IF(AND($C97="S",ORÇAMENTO.CodBarra&lt;&gt;""),IF(ORÇAMENTO.Fonte="",ORÇAMENTO.CodBarra,CONCATENATE(ORÇAMENTO.Fonte," ",ORÇAMENTO.CodBarra)))</f>
        <v>SINAPI 92769</v>
      </c>
      <c r="AF97" s="13" t="str">
        <f ca="1">IF(ISERROR(INDIRECT(ORÇAMENTO.BancoRef)),"(abra o arquivo 'Referência "&amp;Excel_BuiltIn_Database&amp;".xlsm)",IF(OR($C97&lt;&gt;"S",ORÇAMENTO.CodBarra=""),"(Sem Código)",IF(ISERROR(MATCH($AE97,INDIRECT(ORÇAMENTO.BancoRef),0)),"(Código não identificado nas referências)",MATCH($AE97,INDIRECT(ORÇAMENTO.BancoRef),0))))</f>
        <v>(abra o arquivo 'Referência 02-2025.xlsm)</v>
      </c>
      <c r="AG97" s="498">
        <f ca="1">ROUND(IF(DESONERACAO="sim",REFERENCIA.Desonerado,REFERENCIA.NaoDesonerado),2)</f>
        <v>0</v>
      </c>
      <c r="AH97" s="499">
        <f t="shared" ca="1" si="33"/>
        <v>0.22470000000000001</v>
      </c>
      <c r="AJ97" s="501">
        <v>8.18</v>
      </c>
      <c r="AL97" s="527"/>
      <c r="AM97" s="381">
        <f t="shared" ca="1" si="34"/>
        <v>0</v>
      </c>
      <c r="AN97" s="566">
        <f t="shared" ca="1" si="35"/>
        <v>0</v>
      </c>
    </row>
    <row r="98" spans="1:40" ht="38.25" x14ac:dyDescent="0.2">
      <c r="A98" t="str">
        <f t="shared" si="20"/>
        <v>S</v>
      </c>
      <c r="B98">
        <f t="shared" ca="1" si="21"/>
        <v>3</v>
      </c>
      <c r="C98" t="str">
        <f t="shared" ca="1" si="22"/>
        <v>S</v>
      </c>
      <c r="D98">
        <f t="shared" ca="1" si="23"/>
        <v>0</v>
      </c>
      <c r="E98">
        <f ca="1">IF($C98=1,OFFSET(E98,-1,0)+MAX(1,COUNTIF(QCI!$A$13:$A$24,OFFSET(ORÇAMENTO!E98,-1,0))),OFFSET(E98,-1,0))</f>
        <v>1</v>
      </c>
      <c r="F98">
        <f t="shared" ca="1" si="24"/>
        <v>4</v>
      </c>
      <c r="G98">
        <f t="shared" ca="1" si="25"/>
        <v>5</v>
      </c>
      <c r="H98">
        <f t="shared" ca="1" si="26"/>
        <v>0</v>
      </c>
      <c r="I98">
        <f t="shared" ca="1" si="27"/>
        <v>0</v>
      </c>
      <c r="J98">
        <f t="shared" ca="1" si="18"/>
        <v>0</v>
      </c>
      <c r="K98">
        <f ca="1">IF(OR($C98="S",$C98=0),0,MATCH(OFFSET($D98,0,$C98)+IF($C98&lt;&gt;1,1,COUNTIF(QCI!$A$13:$A$24,ORÇAMENTO!E98)),OFFSET($D98,1,$C98,ROW($C$747)-ROW($C98)),0))</f>
        <v>0</v>
      </c>
      <c r="L98" s="116" t="str">
        <f t="shared" ca="1" si="28"/>
        <v/>
      </c>
      <c r="M98" s="117" t="s">
        <v>199</v>
      </c>
      <c r="N98" s="118" t="str">
        <f t="shared" ca="1" si="29"/>
        <v>Serviço</v>
      </c>
      <c r="O98" s="119" t="str">
        <f t="shared" ca="1" si="30"/>
        <v>-</v>
      </c>
      <c r="P98" s="120" t="s">
        <v>247</v>
      </c>
      <c r="Q98" s="121" t="s">
        <v>474</v>
      </c>
      <c r="R98" s="122" t="str">
        <f ca="1">IF($C98="S",REFERENCIA.Descricao,"(digite a descrição aqui)")</f>
        <v>(abra o arquivo 'Referência 02-2025.xlsm)</v>
      </c>
      <c r="S98" s="123" t="str">
        <f ca="1">REFERENCIA.Unidade</f>
        <v>-</v>
      </c>
      <c r="T98" s="124">
        <f ca="1">OFFSET(CÁLCULO!H$15,ROW($T98)-ROW(T$15),0)</f>
        <v>13.31</v>
      </c>
      <c r="U98" s="125">
        <f t="shared" ca="1" si="36"/>
        <v>0</v>
      </c>
      <c r="V98" s="126" t="s">
        <v>156</v>
      </c>
      <c r="W98" s="124">
        <f ca="1">IF($C98="S",ROUND(IF(TIPOORCAMENTO="Proposto",ORÇAMENTO.CustoUnitario*(1+$AH98),ORÇAMENTO.PrecoUnitarioLicitado),15-13*$AF$10),0)</f>
        <v>0</v>
      </c>
      <c r="X98" s="127">
        <f ca="1">IF($C98="S",IF(Import.TipoArredondamento&lt;&gt;"TransfereGOV",VTOTAL1,SUM(OFFSET(CÁLCULO!$AA$15,ROW($X98)-ROW($X$15),1):OFFSET(CÁLCULO!$AL$15,ROW($X98)-ROW($X$15),-1))),IF($C98=0,0,ROUND(SomaAgrup,15-13*$AF$11)))</f>
        <v>0</v>
      </c>
      <c r="Y98" s="128" t="s">
        <v>245</v>
      </c>
      <c r="Z98" t="str">
        <f t="shared" ca="1" si="31"/>
        <v/>
      </c>
      <c r="AA98" s="129">
        <f ca="1">IF($C98="S",IF($Z98="CP",$X98,IF($Z98="RA",(($X98)*QCI!$AA$3),0)),SomaAgrup)</f>
        <v>0</v>
      </c>
      <c r="AB98" s="130">
        <f t="shared" ca="1" si="32"/>
        <v>0</v>
      </c>
      <c r="AC98" s="131" t="str">
        <f ca="1">IF($N98="","",IF(ORÇAMENTO.Descricao="","DESCRIÇÃO",IF(AND($C98="S",ORÇAMENTO.Unidade=""),"UNIDADE",IF($X98&lt;0,"VALOR NEGATIVO",IF(OR(AND(TIPOORCAMENTO="Proposto",$AG98&lt;&gt;"",$AG98&gt;0,ORÇAMENTO.CustoUnitario&gt;$AG98),AND(TIPOORCAMENTO="LICITADO",ORÇAMENTO.PrecoUnitarioLicitado&gt;$AN98)),"ACIMA REF.","")))))</f>
        <v/>
      </c>
      <c r="AD98" t="str">
        <f ca="1">IF(C98&lt;=CRONO.NivelExibicao,MAX($AD$15:OFFSET(AD98,-1,0))+IF($C98&lt;&gt;1,1,MAX(1,COUNTIF(QCI!$A$13:$A$24,OFFSET($E98,-1,0)))),"")</f>
        <v/>
      </c>
      <c r="AE98" s="7" t="str">
        <f ca="1">IF(AND($C98="S",ORÇAMENTO.CodBarra&lt;&gt;""),IF(ORÇAMENTO.Fonte="",ORÇAMENTO.CodBarra,CONCATENATE(ORÇAMENTO.Fonte," ",ORÇAMENTO.CodBarra)))</f>
        <v>SINAPI 92770</v>
      </c>
      <c r="AF98" s="13" t="str">
        <f ca="1">IF(ISERROR(INDIRECT(ORÇAMENTO.BancoRef)),"(abra o arquivo 'Referência "&amp;Excel_BuiltIn_Database&amp;".xlsm)",IF(OR($C98&lt;&gt;"S",ORÇAMENTO.CodBarra=""),"(Sem Código)",IF(ISERROR(MATCH($AE98,INDIRECT(ORÇAMENTO.BancoRef),0)),"(Código não identificado nas referências)",MATCH($AE98,INDIRECT(ORÇAMENTO.BancoRef),0))))</f>
        <v>(abra o arquivo 'Referência 02-2025.xlsm)</v>
      </c>
      <c r="AG98" s="498">
        <f ca="1">ROUND(IF(DESONERACAO="sim",REFERENCIA.Desonerado,REFERENCIA.NaoDesonerado),2)</f>
        <v>0</v>
      </c>
      <c r="AH98" s="499">
        <f t="shared" ca="1" si="33"/>
        <v>0.22470000000000001</v>
      </c>
      <c r="AJ98" s="501">
        <v>13.31</v>
      </c>
      <c r="AL98" s="527"/>
      <c r="AM98" s="381">
        <f t="shared" ca="1" si="34"/>
        <v>0</v>
      </c>
      <c r="AN98" s="566">
        <f t="shared" ca="1" si="35"/>
        <v>0</v>
      </c>
    </row>
    <row r="99" spans="1:40" ht="38.25" x14ac:dyDescent="0.2">
      <c r="A99" t="str">
        <f t="shared" si="20"/>
        <v>S</v>
      </c>
      <c r="B99">
        <f t="shared" ca="1" si="21"/>
        <v>3</v>
      </c>
      <c r="C99" t="str">
        <f t="shared" ca="1" si="22"/>
        <v>S</v>
      </c>
      <c r="D99">
        <f t="shared" ca="1" si="23"/>
        <v>0</v>
      </c>
      <c r="E99">
        <f ca="1">IF($C99=1,OFFSET(E99,-1,0)+MAX(1,COUNTIF(QCI!$A$13:$A$24,OFFSET(ORÇAMENTO!E99,-1,0))),OFFSET(E99,-1,0))</f>
        <v>1</v>
      </c>
      <c r="F99">
        <f t="shared" ca="1" si="24"/>
        <v>4</v>
      </c>
      <c r="G99">
        <f t="shared" ca="1" si="25"/>
        <v>5</v>
      </c>
      <c r="H99">
        <f t="shared" ca="1" si="26"/>
        <v>0</v>
      </c>
      <c r="I99">
        <f t="shared" ca="1" si="27"/>
        <v>0</v>
      </c>
      <c r="J99">
        <f t="shared" ca="1" si="18"/>
        <v>0</v>
      </c>
      <c r="K99">
        <f ca="1">IF(OR($C99="S",$C99=0),0,MATCH(OFFSET($D99,0,$C99)+IF($C99&lt;&gt;1,1,COUNTIF(QCI!$A$13:$A$24,ORÇAMENTO!E99)),OFFSET($D99,1,$C99,ROW($C$747)-ROW($C99)),0))</f>
        <v>0</v>
      </c>
      <c r="L99" s="116" t="str">
        <f t="shared" ca="1" si="28"/>
        <v/>
      </c>
      <c r="M99" s="117" t="s">
        <v>199</v>
      </c>
      <c r="N99" s="118" t="str">
        <f t="shared" ca="1" si="29"/>
        <v>Serviço</v>
      </c>
      <c r="O99" s="119" t="str">
        <f t="shared" ca="1" si="30"/>
        <v>-</v>
      </c>
      <c r="P99" s="120" t="s">
        <v>712</v>
      </c>
      <c r="Q99" s="121" t="s">
        <v>898</v>
      </c>
      <c r="R99" s="122" t="str">
        <f ca="1">IF($C99="S",REFERENCIA.Descricao,"(digite a descrição aqui)")</f>
        <v>(abra o arquivo 'Referência 02-2025.xlsm)</v>
      </c>
      <c r="S99" s="123" t="str">
        <f ca="1">REFERENCIA.Unidade</f>
        <v>-</v>
      </c>
      <c r="T99" s="124">
        <f ca="1">OFFSET(CÁLCULO!H$15,ROW($T99)-ROW(T$15),0)</f>
        <v>1.69</v>
      </c>
      <c r="U99" s="125">
        <f t="shared" ca="1" si="36"/>
        <v>0</v>
      </c>
      <c r="V99" s="126" t="s">
        <v>156</v>
      </c>
      <c r="W99" s="124">
        <f ca="1">IF($C99="S",ROUND(IF(TIPOORCAMENTO="Proposto",ORÇAMENTO.CustoUnitario*(1+$AH99),ORÇAMENTO.PrecoUnitarioLicitado),15-13*$AF$10),0)</f>
        <v>0</v>
      </c>
      <c r="X99" s="127">
        <f ca="1">IF($C99="S",IF(Import.TipoArredondamento&lt;&gt;"TransfereGOV",VTOTAL1,SUM(OFFSET(CÁLCULO!$AA$15,ROW($X99)-ROW($X$15),1):OFFSET(CÁLCULO!$AL$15,ROW($X99)-ROW($X$15),-1))),IF($C99=0,0,ROUND(SomaAgrup,15-13*$AF$11)))</f>
        <v>0</v>
      </c>
      <c r="Y99" s="128" t="s">
        <v>245</v>
      </c>
      <c r="Z99" t="str">
        <f t="shared" ca="1" si="31"/>
        <v/>
      </c>
      <c r="AA99" s="129">
        <f ca="1">IF($C99="S",IF($Z99="CP",$X99,IF($Z99="RA",(($X99)*QCI!$AA$3),0)),SomaAgrup)</f>
        <v>0</v>
      </c>
      <c r="AB99" s="130">
        <f t="shared" ca="1" si="32"/>
        <v>0</v>
      </c>
      <c r="AC99" s="131" t="str">
        <f ca="1">IF($N99="","",IF(ORÇAMENTO.Descricao="","DESCRIÇÃO",IF(AND($C99="S",ORÇAMENTO.Unidade=""),"UNIDADE",IF($X99&lt;0,"VALOR NEGATIVO",IF(OR(AND(TIPOORCAMENTO="Proposto",$AG99&lt;&gt;"",$AG99&gt;0,ORÇAMENTO.CustoUnitario&gt;$AG99),AND(TIPOORCAMENTO="LICITADO",ORÇAMENTO.PrecoUnitarioLicitado&gt;$AN99)),"ACIMA REF.","")))))</f>
        <v/>
      </c>
      <c r="AD99" t="str">
        <f ca="1">IF(C99&lt;=CRONO.NivelExibicao,MAX($AD$15:OFFSET(AD99,-1,0))+IF($C99&lt;&gt;1,1,MAX(1,COUNTIF(QCI!$A$13:$A$24,OFFSET($E99,-1,0)))),"")</f>
        <v/>
      </c>
      <c r="AE99" s="7" t="str">
        <f ca="1">IF(AND($C99="S",ORÇAMENTO.CodBarra&lt;&gt;""),IF(ORÇAMENTO.Fonte="",ORÇAMENTO.CodBarra,CONCATENATE(ORÇAMENTO.Fonte," ",ORÇAMENTO.CodBarra)))</f>
        <v>Composição FNDE 240</v>
      </c>
      <c r="AF99" s="13" t="str">
        <f ca="1">IF(ISERROR(INDIRECT(ORÇAMENTO.BancoRef)),"(abra o arquivo 'Referência "&amp;Excel_BuiltIn_Database&amp;".xlsm)",IF(OR($C99&lt;&gt;"S",ORÇAMENTO.CodBarra=""),"(Sem Código)",IF(ISERROR(MATCH($AE99,INDIRECT(ORÇAMENTO.BancoRef),0)),"(Código não identificado nas referências)",MATCH($AE99,INDIRECT(ORÇAMENTO.BancoRef),0))))</f>
        <v>(abra o arquivo 'Referência 02-2025.xlsm)</v>
      </c>
      <c r="AG99" s="498">
        <f ca="1">ROUND(IF(DESONERACAO="sim",REFERENCIA.Desonerado,REFERENCIA.NaoDesonerado),2)</f>
        <v>0</v>
      </c>
      <c r="AH99" s="499">
        <f t="shared" ca="1" si="33"/>
        <v>0.22470000000000001</v>
      </c>
      <c r="AJ99" s="501">
        <v>1.69</v>
      </c>
      <c r="AL99" s="527"/>
      <c r="AM99" s="381">
        <f t="shared" ca="1" si="34"/>
        <v>0</v>
      </c>
      <c r="AN99" s="566">
        <f t="shared" ca="1" si="35"/>
        <v>0</v>
      </c>
    </row>
    <row r="100" spans="1:40" x14ac:dyDescent="0.2">
      <c r="A100">
        <f t="shared" si="20"/>
        <v>3</v>
      </c>
      <c r="B100">
        <f t="shared" ca="1" si="21"/>
        <v>3</v>
      </c>
      <c r="C100">
        <f t="shared" ca="1" si="22"/>
        <v>3</v>
      </c>
      <c r="D100">
        <f t="shared" ca="1" si="23"/>
        <v>5</v>
      </c>
      <c r="E100">
        <f ca="1">IF($C100=1,OFFSET(E100,-1,0)+MAX(1,COUNTIF(QCI!$A$13:$A$24,OFFSET(ORÇAMENTO!E100,-1,0))),OFFSET(E100,-1,0))</f>
        <v>1</v>
      </c>
      <c r="F100">
        <f t="shared" ca="1" si="24"/>
        <v>4</v>
      </c>
      <c r="G100">
        <f t="shared" ca="1" si="25"/>
        <v>6</v>
      </c>
      <c r="H100">
        <f t="shared" ca="1" si="26"/>
        <v>0</v>
      </c>
      <c r="I100">
        <f t="shared" ca="1" si="27"/>
        <v>0</v>
      </c>
      <c r="J100">
        <f t="shared" ca="1" si="18"/>
        <v>5</v>
      </c>
      <c r="K100">
        <f ca="1">IF(OR($C100="S",$C100=0),0,MATCH(OFFSET($D100,0,$C100)+IF($C100&lt;&gt;1,1,COUNTIF(QCI!$A$13:$A$24,ORÇAMENTO!E100)),OFFSET($D100,1,$C100,ROW($C$747)-ROW($C100)),0))</f>
        <v>452</v>
      </c>
      <c r="L100" s="116" t="str">
        <f t="shared" ca="1" si="28"/>
        <v>F</v>
      </c>
      <c r="M100" s="117" t="s">
        <v>197</v>
      </c>
      <c r="N100" s="118" t="str">
        <f t="shared" ca="1" si="29"/>
        <v>Nível 3</v>
      </c>
      <c r="O100" s="119" t="str">
        <f t="shared" ca="1" si="30"/>
        <v>1.4.6.</v>
      </c>
      <c r="P100" s="120" t="s">
        <v>247</v>
      </c>
      <c r="Q100" s="121"/>
      <c r="R100" s="122" t="str">
        <f ca="1">IF($C100="S",REFERENCIA.Descricao,"ESTRUTURA METÁLICA")</f>
        <v>ESTRUTURA METÁLICA</v>
      </c>
      <c r="S100" s="123" t="str">
        <f ca="1">REFERENCIA.Unidade</f>
        <v>-</v>
      </c>
      <c r="T100" s="124">
        <f ca="1">OFFSET(CÁLCULO!H$15,ROW($T100)-ROW(T$15),0)</f>
        <v>0</v>
      </c>
      <c r="U100" s="125">
        <f t="shared" ca="1" si="36"/>
        <v>0</v>
      </c>
      <c r="V100" s="126" t="s">
        <v>156</v>
      </c>
      <c r="W100" s="124">
        <f ca="1">IF($C100="S",ROUND(IF(TIPOORCAMENTO="Proposto",ORÇAMENTO.CustoUnitario*(1+$AH100),ORÇAMENTO.PrecoUnitarioLicitado),15-13*$AF$10),0)</f>
        <v>0</v>
      </c>
      <c r="X100" s="127">
        <f ca="1">IF($C100="S",IF(Import.TipoArredondamento&lt;&gt;"TransfereGOV",VTOTAL1,SUM(OFFSET(CÁLCULO!$AA$15,ROW($X100)-ROW($X$15),1):OFFSET(CÁLCULO!$AL$15,ROW($X100)-ROW($X$15),-1))),IF($C100=0,0,ROUND(SomaAgrup,15-13*$AF$11)))</f>
        <v>0</v>
      </c>
      <c r="Y100" s="128" t="s">
        <v>245</v>
      </c>
      <c r="Z100" t="str">
        <f t="shared" ca="1" si="31"/>
        <v/>
      </c>
      <c r="AA100" s="129">
        <f ca="1">IF($C100="S",IF($Z100="CP",$X100,IF($Z100="RA",(($X100)*QCI!$AA$3),0)),SomaAgrup)</f>
        <v>0</v>
      </c>
      <c r="AB100" s="130">
        <f t="shared" ca="1" si="32"/>
        <v>0</v>
      </c>
      <c r="AC100" s="131" t="str">
        <f ca="1">IF($N100="","",IF(ORÇAMENTO.Descricao="","DESCRIÇÃO",IF(AND($C100="S",ORÇAMENTO.Unidade=""),"UNIDADE",IF($X100&lt;0,"VALOR NEGATIVO",IF(OR(AND(TIPOORCAMENTO="Proposto",$AG100&lt;&gt;"",$AG100&gt;0,ORÇAMENTO.CustoUnitario&gt;$AG100),AND(TIPOORCAMENTO="LICITADO",ORÇAMENTO.PrecoUnitarioLicitado&gt;$AN100)),"ACIMA REF.","")))))</f>
        <v/>
      </c>
      <c r="AD100" t="str">
        <f ca="1">IF(C100&lt;=CRONO.NivelExibicao,MAX($AD$15:OFFSET(AD100,-1,0))+IF($C100&lt;&gt;1,1,MAX(1,COUNTIF(QCI!$A$13:$A$24,OFFSET($E100,-1,0)))),"")</f>
        <v/>
      </c>
      <c r="AE100" s="7" t="b">
        <f ca="1">IF(AND($C100="S",ORÇAMENTO.CodBarra&lt;&gt;""),IF(ORÇAMENTO.Fonte="",ORÇAMENTO.CodBarra,CONCATENATE(ORÇAMENTO.Fonte," ",ORÇAMENTO.CodBarra)))</f>
        <v>0</v>
      </c>
      <c r="AF100" s="13" t="str">
        <f ca="1">IF(ISERROR(INDIRECT(ORÇAMENTO.BancoRef)),"(abra o arquivo 'Referência "&amp;Excel_BuiltIn_Database&amp;".xlsm)",IF(OR($C100&lt;&gt;"S",ORÇAMENTO.CodBarra=""),"(Sem Código)",IF(ISERROR(MATCH($AE100,INDIRECT(ORÇAMENTO.BancoRef),0)),"(Código não identificado nas referências)",MATCH($AE100,INDIRECT(ORÇAMENTO.BancoRef),0))))</f>
        <v>(abra o arquivo 'Referência 02-2025.xlsm)</v>
      </c>
      <c r="AG100" s="498">
        <f ca="1">ROUND(IF(DESONERACAO="sim",REFERENCIA.Desonerado,REFERENCIA.NaoDesonerado),2)</f>
        <v>0</v>
      </c>
      <c r="AH100" s="499">
        <f t="shared" ca="1" si="33"/>
        <v>0.22470000000000001</v>
      </c>
      <c r="AJ100" s="501"/>
      <c r="AL100" s="527"/>
      <c r="AM100" s="381">
        <f t="shared" ca="1" si="34"/>
        <v>0</v>
      </c>
      <c r="AN100" s="566">
        <f t="shared" ca="1" si="35"/>
        <v>0</v>
      </c>
    </row>
    <row r="101" spans="1:40" ht="38.25" x14ac:dyDescent="0.2">
      <c r="A101" t="str">
        <f t="shared" si="20"/>
        <v>S</v>
      </c>
      <c r="B101">
        <f t="shared" ca="1" si="21"/>
        <v>3</v>
      </c>
      <c r="C101" t="str">
        <f t="shared" ca="1" si="22"/>
        <v>S</v>
      </c>
      <c r="D101">
        <f t="shared" ca="1" si="23"/>
        <v>0</v>
      </c>
      <c r="E101">
        <f ca="1">IF($C101=1,OFFSET(E101,-1,0)+MAX(1,COUNTIF(QCI!$A$13:$A$24,OFFSET(ORÇAMENTO!E101,-1,0))),OFFSET(E101,-1,0))</f>
        <v>1</v>
      </c>
      <c r="F101">
        <f t="shared" ca="1" si="24"/>
        <v>4</v>
      </c>
      <c r="G101">
        <f t="shared" ca="1" si="25"/>
        <v>6</v>
      </c>
      <c r="H101">
        <f t="shared" ca="1" si="26"/>
        <v>0</v>
      </c>
      <c r="I101">
        <f t="shared" ca="1" si="27"/>
        <v>0</v>
      </c>
      <c r="J101">
        <f t="shared" ca="1" si="18"/>
        <v>0</v>
      </c>
      <c r="K101">
        <f ca="1">IF(OR($C101="S",$C101=0),0,MATCH(OFFSET($D101,0,$C101)+IF($C101&lt;&gt;1,1,COUNTIF(QCI!$A$13:$A$24,ORÇAMENTO!E101)),OFFSET($D101,1,$C101,ROW($C$747)-ROW($C101)),0))</f>
        <v>0</v>
      </c>
      <c r="L101" s="116" t="str">
        <f t="shared" ca="1" si="28"/>
        <v/>
      </c>
      <c r="M101" s="117" t="s">
        <v>199</v>
      </c>
      <c r="N101" s="118" t="str">
        <f t="shared" ca="1" si="29"/>
        <v>Serviço</v>
      </c>
      <c r="O101" s="119" t="str">
        <f t="shared" ca="1" si="30"/>
        <v>-</v>
      </c>
      <c r="P101" s="120" t="s">
        <v>712</v>
      </c>
      <c r="Q101" s="121" t="s">
        <v>907</v>
      </c>
      <c r="R101" s="122" t="str">
        <f ca="1">IF($C101="S",REFERENCIA.Descricao,"(digite a descrição aqui)")</f>
        <v>(abra o arquivo 'Referência 02-2025.xlsm)</v>
      </c>
      <c r="S101" s="123" t="str">
        <f ca="1">REFERENCIA.Unidade</f>
        <v>-</v>
      </c>
      <c r="T101" s="124">
        <f ca="1">OFFSET(CÁLCULO!H$15,ROW($T101)-ROW(T$15),0)</f>
        <v>19006</v>
      </c>
      <c r="U101" s="125">
        <f t="shared" ca="1" si="36"/>
        <v>0</v>
      </c>
      <c r="V101" s="126" t="s">
        <v>156</v>
      </c>
      <c r="W101" s="124">
        <f ca="1">IF($C101="S",ROUND(IF(TIPOORCAMENTO="Proposto",ORÇAMENTO.CustoUnitario*(1+$AH101),ORÇAMENTO.PrecoUnitarioLicitado),15-13*$AF$10),0)</f>
        <v>0</v>
      </c>
      <c r="X101" s="127">
        <f ca="1">IF($C101="S",IF(Import.TipoArredondamento&lt;&gt;"TransfereGOV",VTOTAL1,SUM(OFFSET(CÁLCULO!$AA$15,ROW($X101)-ROW($X$15),1):OFFSET(CÁLCULO!$AL$15,ROW($X101)-ROW($X$15),-1))),IF($C101=0,0,ROUND(SomaAgrup,15-13*$AF$11)))</f>
        <v>0</v>
      </c>
      <c r="Y101" s="128" t="s">
        <v>245</v>
      </c>
      <c r="Z101" t="str">
        <f t="shared" ca="1" si="31"/>
        <v/>
      </c>
      <c r="AA101" s="129">
        <f ca="1">IF($C101="S",IF($Z101="CP",$X101,IF($Z101="RA",(($X101)*QCI!$AA$3),0)),SomaAgrup)</f>
        <v>0</v>
      </c>
      <c r="AB101" s="130">
        <f t="shared" ca="1" si="32"/>
        <v>0</v>
      </c>
      <c r="AC101" s="131" t="str">
        <f ca="1">IF($N101="","",IF(ORÇAMENTO.Descricao="","DESCRIÇÃO",IF(AND($C101="S",ORÇAMENTO.Unidade=""),"UNIDADE",IF($X101&lt;0,"VALOR NEGATIVO",IF(OR(AND(TIPOORCAMENTO="Proposto",$AG101&lt;&gt;"",$AG101&gt;0,ORÇAMENTO.CustoUnitario&gt;$AG101),AND(TIPOORCAMENTO="LICITADO",ORÇAMENTO.PrecoUnitarioLicitado&gt;$AN101)),"ACIMA REF.","")))))</f>
        <v/>
      </c>
      <c r="AD101" t="str">
        <f ca="1">IF(C101&lt;=CRONO.NivelExibicao,MAX($AD$15:OFFSET(AD101,-1,0))+IF($C101&lt;&gt;1,1,MAX(1,COUNTIF(QCI!$A$13:$A$24,OFFSET($E101,-1,0)))),"")</f>
        <v/>
      </c>
      <c r="AE101" s="7" t="str">
        <f ca="1">IF(AND($C101="S",ORÇAMENTO.CodBarra&lt;&gt;""),IF(ORÇAMENTO.Fonte="",ORÇAMENTO.CodBarra,CONCATENATE(ORÇAMENTO.Fonte," ",ORÇAMENTO.CodBarra)))</f>
        <v>Composição FNDE 607</v>
      </c>
      <c r="AF101" s="13" t="str">
        <f ca="1">IF(ISERROR(INDIRECT(ORÇAMENTO.BancoRef)),"(abra o arquivo 'Referência "&amp;Excel_BuiltIn_Database&amp;".xlsm)",IF(OR($C101&lt;&gt;"S",ORÇAMENTO.CodBarra=""),"(Sem Código)",IF(ISERROR(MATCH($AE101,INDIRECT(ORÇAMENTO.BancoRef),0)),"(Código não identificado nas referências)",MATCH($AE101,INDIRECT(ORÇAMENTO.BancoRef),0))))</f>
        <v>(abra o arquivo 'Referência 02-2025.xlsm)</v>
      </c>
      <c r="AG101" s="498">
        <f ca="1">ROUND(IF(DESONERACAO="sim",REFERENCIA.Desonerado,REFERENCIA.NaoDesonerado),2)</f>
        <v>0</v>
      </c>
      <c r="AH101" s="499">
        <f t="shared" ca="1" si="33"/>
        <v>0.22470000000000001</v>
      </c>
      <c r="AJ101" s="501">
        <v>19006</v>
      </c>
      <c r="AL101" s="527"/>
      <c r="AM101" s="381">
        <f t="shared" ca="1" si="34"/>
        <v>0</v>
      </c>
      <c r="AN101" s="566">
        <f t="shared" ca="1" si="35"/>
        <v>0</v>
      </c>
    </row>
    <row r="102" spans="1:40" ht="38.25" x14ac:dyDescent="0.2">
      <c r="A102" t="str">
        <f t="shared" si="20"/>
        <v>S</v>
      </c>
      <c r="B102">
        <f t="shared" ca="1" si="21"/>
        <v>3</v>
      </c>
      <c r="C102" t="str">
        <f t="shared" ca="1" si="22"/>
        <v>S</v>
      </c>
      <c r="D102">
        <f t="shared" ca="1" si="23"/>
        <v>0</v>
      </c>
      <c r="E102">
        <f ca="1">IF($C102=1,OFFSET(E102,-1,0)+MAX(1,COUNTIF(QCI!$A$13:$A$24,OFFSET(ORÇAMENTO!E102,-1,0))),OFFSET(E102,-1,0))</f>
        <v>1</v>
      </c>
      <c r="F102">
        <f t="shared" ca="1" si="24"/>
        <v>4</v>
      </c>
      <c r="G102">
        <f t="shared" ca="1" si="25"/>
        <v>6</v>
      </c>
      <c r="H102">
        <f t="shared" ca="1" si="26"/>
        <v>0</v>
      </c>
      <c r="I102">
        <f t="shared" ca="1" si="27"/>
        <v>0</v>
      </c>
      <c r="J102">
        <f t="shared" ca="1" si="18"/>
        <v>0</v>
      </c>
      <c r="K102">
        <f ca="1">IF(OR($C102="S",$C102=0),0,MATCH(OFFSET($D102,0,$C102)+IF($C102&lt;&gt;1,1,COUNTIF(QCI!$A$13:$A$24,ORÇAMENTO!E102)),OFFSET($D102,1,$C102,ROW($C$747)-ROW($C102)),0))</f>
        <v>0</v>
      </c>
      <c r="L102" s="116" t="str">
        <f t="shared" ca="1" si="28"/>
        <v/>
      </c>
      <c r="M102" s="117" t="s">
        <v>199</v>
      </c>
      <c r="N102" s="118" t="str">
        <f t="shared" ca="1" si="29"/>
        <v>Serviço</v>
      </c>
      <c r="O102" s="119" t="str">
        <f t="shared" ca="1" si="30"/>
        <v>-</v>
      </c>
      <c r="P102" s="120" t="s">
        <v>247</v>
      </c>
      <c r="Q102" s="121" t="s">
        <v>908</v>
      </c>
      <c r="R102" s="122" t="str">
        <f ca="1">IF($C102="S",REFERENCIA.Descricao,"(digite a descrição aqui)")</f>
        <v>(abra o arquivo 'Referência 02-2025.xlsm)</v>
      </c>
      <c r="S102" s="123" t="str">
        <f ca="1">REFERENCIA.Unidade</f>
        <v>-</v>
      </c>
      <c r="T102" s="124">
        <f ca="1">OFFSET(CÁLCULO!H$15,ROW($T102)-ROW(T$15),0)</f>
        <v>1611.6</v>
      </c>
      <c r="U102" s="125">
        <f t="shared" ca="1" si="36"/>
        <v>0</v>
      </c>
      <c r="V102" s="126" t="s">
        <v>156</v>
      </c>
      <c r="W102" s="124">
        <f ca="1">IF($C102="S",ROUND(IF(TIPOORCAMENTO="Proposto",ORÇAMENTO.CustoUnitario*(1+$AH102),ORÇAMENTO.PrecoUnitarioLicitado),15-13*$AF$10),0)</f>
        <v>0</v>
      </c>
      <c r="X102" s="127">
        <f ca="1">IF($C102="S",IF(Import.TipoArredondamento&lt;&gt;"TransfereGOV",VTOTAL1,SUM(OFFSET(CÁLCULO!$AA$15,ROW($X102)-ROW($X$15),1):OFFSET(CÁLCULO!$AL$15,ROW($X102)-ROW($X$15),-1))),IF($C102=0,0,ROUND(SomaAgrup,15-13*$AF$11)))</f>
        <v>0</v>
      </c>
      <c r="Y102" s="128" t="s">
        <v>245</v>
      </c>
      <c r="Z102" t="str">
        <f t="shared" ca="1" si="31"/>
        <v/>
      </c>
      <c r="AA102" s="129">
        <f ca="1">IF($C102="S",IF($Z102="CP",$X102,IF($Z102="RA",(($X102)*QCI!$AA$3),0)),SomaAgrup)</f>
        <v>0</v>
      </c>
      <c r="AB102" s="130">
        <f t="shared" ca="1" si="32"/>
        <v>0</v>
      </c>
      <c r="AC102" s="131" t="str">
        <f ca="1">IF($N102="","",IF(ORÇAMENTO.Descricao="","DESCRIÇÃO",IF(AND($C102="S",ORÇAMENTO.Unidade=""),"UNIDADE",IF($X102&lt;0,"VALOR NEGATIVO",IF(OR(AND(TIPOORCAMENTO="Proposto",$AG102&lt;&gt;"",$AG102&gt;0,ORÇAMENTO.CustoUnitario&gt;$AG102),AND(TIPOORCAMENTO="LICITADO",ORÇAMENTO.PrecoUnitarioLicitado&gt;$AN102)),"ACIMA REF.","")))))</f>
        <v/>
      </c>
      <c r="AD102" t="str">
        <f ca="1">IF(C102&lt;=CRONO.NivelExibicao,MAX($AD$15:OFFSET(AD102,-1,0))+IF($C102&lt;&gt;1,1,MAX(1,COUNTIF(QCI!$A$13:$A$24,OFFSET($E102,-1,0)))),"")</f>
        <v/>
      </c>
      <c r="AE102" s="7" t="str">
        <f ca="1">IF(AND($C102="S",ORÇAMENTO.CodBarra&lt;&gt;""),IF(ORÇAMENTO.Fonte="",ORÇAMENTO.CodBarra,CONCATENATE(ORÇAMENTO.Fonte," ",ORÇAMENTO.CodBarra)))</f>
        <v>SINAPI 100723</v>
      </c>
      <c r="AF102" s="13" t="str">
        <f ca="1">IF(ISERROR(INDIRECT(ORÇAMENTO.BancoRef)),"(abra o arquivo 'Referência "&amp;Excel_BuiltIn_Database&amp;".xlsm)",IF(OR($C102&lt;&gt;"S",ORÇAMENTO.CodBarra=""),"(Sem Código)",IF(ISERROR(MATCH($AE102,INDIRECT(ORÇAMENTO.BancoRef),0)),"(Código não identificado nas referências)",MATCH($AE102,INDIRECT(ORÇAMENTO.BancoRef),0))))</f>
        <v>(abra o arquivo 'Referência 02-2025.xlsm)</v>
      </c>
      <c r="AG102" s="498">
        <f ca="1">ROUND(IF(DESONERACAO="sim",REFERENCIA.Desonerado,REFERENCIA.NaoDesonerado),2)</f>
        <v>0</v>
      </c>
      <c r="AH102" s="499">
        <f t="shared" ca="1" si="33"/>
        <v>0.22470000000000001</v>
      </c>
      <c r="AJ102" s="501">
        <v>1611.6</v>
      </c>
      <c r="AL102" s="527"/>
      <c r="AM102" s="381">
        <f t="shared" ca="1" si="34"/>
        <v>0</v>
      </c>
      <c r="AN102" s="566">
        <f t="shared" ca="1" si="35"/>
        <v>0</v>
      </c>
    </row>
    <row r="103" spans="1:40" ht="38.25" x14ac:dyDescent="0.2">
      <c r="A103" t="str">
        <f t="shared" si="20"/>
        <v>S</v>
      </c>
      <c r="B103">
        <f t="shared" ca="1" si="21"/>
        <v>3</v>
      </c>
      <c r="C103" t="str">
        <f t="shared" ca="1" si="22"/>
        <v>S</v>
      </c>
      <c r="D103">
        <f t="shared" ca="1" si="23"/>
        <v>0</v>
      </c>
      <c r="E103">
        <f ca="1">IF($C103=1,OFFSET(E103,-1,0)+MAX(1,COUNTIF(QCI!$A$13:$A$24,OFFSET(ORÇAMENTO!E103,-1,0))),OFFSET(E103,-1,0))</f>
        <v>1</v>
      </c>
      <c r="F103">
        <f t="shared" ca="1" si="24"/>
        <v>4</v>
      </c>
      <c r="G103">
        <f t="shared" ca="1" si="25"/>
        <v>6</v>
      </c>
      <c r="H103">
        <f t="shared" ca="1" si="26"/>
        <v>0</v>
      </c>
      <c r="I103">
        <f t="shared" ca="1" si="27"/>
        <v>0</v>
      </c>
      <c r="J103">
        <f t="shared" ca="1" si="18"/>
        <v>0</v>
      </c>
      <c r="K103">
        <f ca="1">IF(OR($C103="S",$C103=0),0,MATCH(OFFSET($D103,0,$C103)+IF($C103&lt;&gt;1,1,COUNTIF(QCI!$A$13:$A$24,ORÇAMENTO!E103)),OFFSET($D103,1,$C103,ROW($C$747)-ROW($C103)),0))</f>
        <v>0</v>
      </c>
      <c r="L103" s="116" t="str">
        <f t="shared" ca="1" si="28"/>
        <v/>
      </c>
      <c r="M103" s="117" t="s">
        <v>199</v>
      </c>
      <c r="N103" s="118" t="str">
        <f t="shared" ca="1" si="29"/>
        <v>Serviço</v>
      </c>
      <c r="O103" s="119" t="str">
        <f t="shared" ca="1" si="30"/>
        <v>-</v>
      </c>
      <c r="P103" s="120" t="s">
        <v>247</v>
      </c>
      <c r="Q103" s="121" t="s">
        <v>909</v>
      </c>
      <c r="R103" s="122" t="str">
        <f ca="1">IF($C103="S",REFERENCIA.Descricao,"(digite a descrição aqui)")</f>
        <v>(abra o arquivo 'Referência 02-2025.xlsm)</v>
      </c>
      <c r="S103" s="123" t="str">
        <f ca="1">REFERENCIA.Unidade</f>
        <v>-</v>
      </c>
      <c r="T103" s="124">
        <f ca="1">OFFSET(CÁLCULO!H$15,ROW($T103)-ROW(T$15),0)</f>
        <v>227.7</v>
      </c>
      <c r="U103" s="125">
        <f t="shared" ca="1" si="36"/>
        <v>0</v>
      </c>
      <c r="V103" s="126" t="s">
        <v>156</v>
      </c>
      <c r="W103" s="124">
        <f ca="1">IF($C103="S",ROUND(IF(TIPOORCAMENTO="Proposto",ORÇAMENTO.CustoUnitario*(1+$AH103),ORÇAMENTO.PrecoUnitarioLicitado),15-13*$AF$10),0)</f>
        <v>0</v>
      </c>
      <c r="X103" s="127">
        <f ca="1">IF($C103="S",IF(Import.TipoArredondamento&lt;&gt;"TransfereGOV",VTOTAL1,SUM(OFFSET(CÁLCULO!$AA$15,ROW($X103)-ROW($X$15),1):OFFSET(CÁLCULO!$AL$15,ROW($X103)-ROW($X$15),-1))),IF($C103=0,0,ROUND(SomaAgrup,15-13*$AF$11)))</f>
        <v>0</v>
      </c>
      <c r="Y103" s="128" t="s">
        <v>245</v>
      </c>
      <c r="Z103" t="str">
        <f t="shared" ca="1" si="31"/>
        <v/>
      </c>
      <c r="AA103" s="129">
        <f ca="1">IF($C103="S",IF($Z103="CP",$X103,IF($Z103="RA",(($X103)*QCI!$AA$3),0)),SomaAgrup)</f>
        <v>0</v>
      </c>
      <c r="AB103" s="130">
        <f t="shared" ca="1" si="32"/>
        <v>0</v>
      </c>
      <c r="AC103" s="131" t="str">
        <f ca="1">IF($N103="","",IF(ORÇAMENTO.Descricao="","DESCRIÇÃO",IF(AND($C103="S",ORÇAMENTO.Unidade=""),"UNIDADE",IF($X103&lt;0,"VALOR NEGATIVO",IF(OR(AND(TIPOORCAMENTO="Proposto",$AG103&lt;&gt;"",$AG103&gt;0,ORÇAMENTO.CustoUnitario&gt;$AG103),AND(TIPOORCAMENTO="LICITADO",ORÇAMENTO.PrecoUnitarioLicitado&gt;$AN103)),"ACIMA REF.","")))))</f>
        <v/>
      </c>
      <c r="AD103" t="str">
        <f ca="1">IF(C103&lt;=CRONO.NivelExibicao,MAX($AD$15:OFFSET(AD103,-1,0))+IF($C103&lt;&gt;1,1,MAX(1,COUNTIF(QCI!$A$13:$A$24,OFFSET($E103,-1,0)))),"")</f>
        <v/>
      </c>
      <c r="AE103" s="7" t="str">
        <f ca="1">IF(AND($C103="S",ORÇAMENTO.CodBarra&lt;&gt;""),IF(ORÇAMENTO.Fonte="",ORÇAMENTO.CodBarra,CONCATENATE(ORÇAMENTO.Fonte," ",ORÇAMENTO.CodBarra)))</f>
        <v>SINAPI 100719</v>
      </c>
      <c r="AF103" s="13" t="str">
        <f ca="1">IF(ISERROR(INDIRECT(ORÇAMENTO.BancoRef)),"(abra o arquivo 'Referência "&amp;Excel_BuiltIn_Database&amp;".xlsm)",IF(OR($C103&lt;&gt;"S",ORÇAMENTO.CodBarra=""),"(Sem Código)",IF(ISERROR(MATCH($AE103,INDIRECT(ORÇAMENTO.BancoRef),0)),"(Código não identificado nas referências)",MATCH($AE103,INDIRECT(ORÇAMENTO.BancoRef),0))))</f>
        <v>(abra o arquivo 'Referência 02-2025.xlsm)</v>
      </c>
      <c r="AG103" s="498">
        <f ca="1">ROUND(IF(DESONERACAO="sim",REFERENCIA.Desonerado,REFERENCIA.NaoDesonerado),2)</f>
        <v>0</v>
      </c>
      <c r="AH103" s="499">
        <f t="shared" ca="1" si="33"/>
        <v>0.22470000000000001</v>
      </c>
      <c r="AJ103" s="501">
        <v>227.7</v>
      </c>
      <c r="AL103" s="527"/>
      <c r="AM103" s="381">
        <f t="shared" ca="1" si="34"/>
        <v>0</v>
      </c>
      <c r="AN103" s="566">
        <f t="shared" ca="1" si="35"/>
        <v>0</v>
      </c>
    </row>
    <row r="104" spans="1:40" ht="38.25" x14ac:dyDescent="0.2">
      <c r="A104" t="str">
        <f t="shared" si="20"/>
        <v>S</v>
      </c>
      <c r="B104">
        <f t="shared" ca="1" si="21"/>
        <v>3</v>
      </c>
      <c r="C104" t="str">
        <f t="shared" ca="1" si="22"/>
        <v>S</v>
      </c>
      <c r="D104">
        <f t="shared" ca="1" si="23"/>
        <v>0</v>
      </c>
      <c r="E104">
        <f ca="1">IF($C104=1,OFFSET(E104,-1,0)+MAX(1,COUNTIF(QCI!$A$13:$A$24,OFFSET(ORÇAMENTO!E104,-1,0))),OFFSET(E104,-1,0))</f>
        <v>1</v>
      </c>
      <c r="F104">
        <f t="shared" ca="1" si="24"/>
        <v>4</v>
      </c>
      <c r="G104">
        <f t="shared" ca="1" si="25"/>
        <v>6</v>
      </c>
      <c r="H104">
        <f t="shared" ca="1" si="26"/>
        <v>0</v>
      </c>
      <c r="I104">
        <f t="shared" ca="1" si="27"/>
        <v>0</v>
      </c>
      <c r="J104">
        <f t="shared" ca="1" si="18"/>
        <v>0</v>
      </c>
      <c r="K104">
        <f ca="1">IF(OR($C104="S",$C104=0),0,MATCH(OFFSET($D104,0,$C104)+IF($C104&lt;&gt;1,1,COUNTIF(QCI!$A$13:$A$24,ORÇAMENTO!E104)),OFFSET($D104,1,$C104,ROW($C$747)-ROW($C104)),0))</f>
        <v>0</v>
      </c>
      <c r="L104" s="116" t="str">
        <f t="shared" ca="1" si="28"/>
        <v/>
      </c>
      <c r="M104" s="117" t="s">
        <v>199</v>
      </c>
      <c r="N104" s="118" t="str">
        <f t="shared" ca="1" si="29"/>
        <v>Serviço</v>
      </c>
      <c r="O104" s="119" t="str">
        <f t="shared" ca="1" si="30"/>
        <v>-</v>
      </c>
      <c r="P104" s="120" t="s">
        <v>247</v>
      </c>
      <c r="Q104" s="121" t="s">
        <v>910</v>
      </c>
      <c r="R104" s="122" t="str">
        <f ca="1">IF($C104="S",REFERENCIA.Descricao,"(digite a descrição aqui)")</f>
        <v>(abra o arquivo 'Referência 02-2025.xlsm)</v>
      </c>
      <c r="S104" s="123" t="str">
        <f ca="1">REFERENCIA.Unidade</f>
        <v>-</v>
      </c>
      <c r="T104" s="124">
        <f ca="1">OFFSET(CÁLCULO!H$15,ROW($T104)-ROW(T$15),0)</f>
        <v>227.7</v>
      </c>
      <c r="U104" s="125">
        <f t="shared" ca="1" si="36"/>
        <v>0</v>
      </c>
      <c r="V104" s="126" t="s">
        <v>156</v>
      </c>
      <c r="W104" s="124">
        <f ca="1">IF($C104="S",ROUND(IF(TIPOORCAMENTO="Proposto",ORÇAMENTO.CustoUnitario*(1+$AH104),ORÇAMENTO.PrecoUnitarioLicitado),15-13*$AF$10),0)</f>
        <v>0</v>
      </c>
      <c r="X104" s="127">
        <f ca="1">IF($C104="S",IF(Import.TipoArredondamento&lt;&gt;"TransfereGOV",VTOTAL1,SUM(OFFSET(CÁLCULO!$AA$15,ROW($X104)-ROW($X$15),1):OFFSET(CÁLCULO!$AL$15,ROW($X104)-ROW($X$15),-1))),IF($C104=0,0,ROUND(SomaAgrup,15-13*$AF$11)))</f>
        <v>0</v>
      </c>
      <c r="Y104" s="128" t="s">
        <v>245</v>
      </c>
      <c r="Z104" t="str">
        <f t="shared" ca="1" si="31"/>
        <v/>
      </c>
      <c r="AA104" s="129">
        <f ca="1">IF($C104="S",IF($Z104="CP",$X104,IF($Z104="RA",(($X104)*QCI!$AA$3),0)),SomaAgrup)</f>
        <v>0</v>
      </c>
      <c r="AB104" s="130">
        <f t="shared" ca="1" si="32"/>
        <v>0</v>
      </c>
      <c r="AC104" s="131" t="str">
        <f ca="1">IF($N104="","",IF(ORÇAMENTO.Descricao="","DESCRIÇÃO",IF(AND($C104="S",ORÇAMENTO.Unidade=""),"UNIDADE",IF($X104&lt;0,"VALOR NEGATIVO",IF(OR(AND(TIPOORCAMENTO="Proposto",$AG104&lt;&gt;"",$AG104&gt;0,ORÇAMENTO.CustoUnitario&gt;$AG104),AND(TIPOORCAMENTO="LICITADO",ORÇAMENTO.PrecoUnitarioLicitado&gt;$AN104)),"ACIMA REF.","")))))</f>
        <v/>
      </c>
      <c r="AD104" t="str">
        <f ca="1">IF(C104&lt;=CRONO.NivelExibicao,MAX($AD$15:OFFSET(AD104,-1,0))+IF($C104&lt;&gt;1,1,MAX(1,COUNTIF(QCI!$A$13:$A$24,OFFSET($E104,-1,0)))),"")</f>
        <v/>
      </c>
      <c r="AE104" s="7" t="str">
        <f ca="1">IF(AND($C104="S",ORÇAMENTO.CodBarra&lt;&gt;""),IF(ORÇAMENTO.Fonte="",ORÇAMENTO.CodBarra,CONCATENATE(ORÇAMENTO.Fonte," ",ORÇAMENTO.CodBarra)))</f>
        <v>SINAPI 100739</v>
      </c>
      <c r="AF104" s="13" t="str">
        <f ca="1">IF(ISERROR(INDIRECT(ORÇAMENTO.BancoRef)),"(abra o arquivo 'Referência "&amp;Excel_BuiltIn_Database&amp;".xlsm)",IF(OR($C104&lt;&gt;"S",ORÇAMENTO.CodBarra=""),"(Sem Código)",IF(ISERROR(MATCH($AE104,INDIRECT(ORÇAMENTO.BancoRef),0)),"(Código não identificado nas referências)",MATCH($AE104,INDIRECT(ORÇAMENTO.BancoRef),0))))</f>
        <v>(abra o arquivo 'Referência 02-2025.xlsm)</v>
      </c>
      <c r="AG104" s="498">
        <f ca="1">ROUND(IF(DESONERACAO="sim",REFERENCIA.Desonerado,REFERENCIA.NaoDesonerado),2)</f>
        <v>0</v>
      </c>
      <c r="AH104" s="499">
        <f t="shared" ca="1" si="33"/>
        <v>0.22470000000000001</v>
      </c>
      <c r="AJ104" s="501">
        <v>227.7</v>
      </c>
      <c r="AL104" s="527"/>
      <c r="AM104" s="381">
        <f t="shared" ca="1" si="34"/>
        <v>0</v>
      </c>
      <c r="AN104" s="566">
        <f t="shared" ca="1" si="35"/>
        <v>0</v>
      </c>
    </row>
    <row r="105" spans="1:40" x14ac:dyDescent="0.2">
      <c r="A105">
        <f t="shared" si="20"/>
        <v>2</v>
      </c>
      <c r="B105">
        <f t="shared" ca="1" si="21"/>
        <v>2</v>
      </c>
      <c r="C105">
        <f t="shared" ca="1" si="22"/>
        <v>2</v>
      </c>
      <c r="D105">
        <f t="shared" ca="1" si="23"/>
        <v>18</v>
      </c>
      <c r="E105">
        <f ca="1">IF($C105=1,OFFSET(E105,-1,0)+MAX(1,COUNTIF(QCI!$A$13:$A$24,OFFSET(ORÇAMENTO!E105,-1,0))),OFFSET(E105,-1,0))</f>
        <v>1</v>
      </c>
      <c r="F105">
        <f t="shared" ca="1" si="24"/>
        <v>5</v>
      </c>
      <c r="G105">
        <f t="shared" ca="1" si="25"/>
        <v>0</v>
      </c>
      <c r="H105">
        <f t="shared" ca="1" si="26"/>
        <v>0</v>
      </c>
      <c r="I105">
        <f t="shared" ca="1" si="27"/>
        <v>0</v>
      </c>
      <c r="J105">
        <f t="shared" ca="1" si="18"/>
        <v>642</v>
      </c>
      <c r="K105">
        <f ca="1">IF(OR($C105="S",$C105=0),0,MATCH(OFFSET($D105,0,$C105)+IF($C105&lt;&gt;1,1,COUNTIF(QCI!$A$13:$A$24,ORÇAMENTO!E105)),OFFSET($D105,1,$C105,ROW($C$747)-ROW($C105)),0))</f>
        <v>18</v>
      </c>
      <c r="L105" s="116" t="str">
        <f t="shared" ca="1" si="28"/>
        <v>F</v>
      </c>
      <c r="M105" s="117" t="s">
        <v>196</v>
      </c>
      <c r="N105" s="118" t="str">
        <f t="shared" ca="1" si="29"/>
        <v>Nível 2</v>
      </c>
      <c r="O105" s="119" t="str">
        <f t="shared" ca="1" si="30"/>
        <v>1.5.</v>
      </c>
      <c r="P105" s="120" t="s">
        <v>247</v>
      </c>
      <c r="Q105" s="121"/>
      <c r="R105" s="122" t="str">
        <f ca="1">IF($C105="S",REFERENCIA.Descricao,"SISTEMA DE VEDAÇÃO VERTICAL")</f>
        <v>SISTEMA DE VEDAÇÃO VERTICAL</v>
      </c>
      <c r="S105" s="123" t="str">
        <f ca="1">REFERENCIA.Unidade</f>
        <v>-</v>
      </c>
      <c r="T105" s="124">
        <f ca="1">OFFSET(CÁLCULO!H$15,ROW($T105)-ROW(T$15),0)</f>
        <v>0</v>
      </c>
      <c r="U105" s="125">
        <f t="shared" ca="1" si="36"/>
        <v>0</v>
      </c>
      <c r="V105" s="126" t="s">
        <v>156</v>
      </c>
      <c r="W105" s="124">
        <f ca="1">IF($C105="S",ROUND(IF(TIPOORCAMENTO="Proposto",ORÇAMENTO.CustoUnitario*(1+$AH105),ORÇAMENTO.PrecoUnitarioLicitado),15-13*$AF$10),0)</f>
        <v>0</v>
      </c>
      <c r="X105" s="127">
        <f ca="1">IF($C105="S",IF(Import.TipoArredondamento&lt;&gt;"TransfereGOV",VTOTAL1,SUM(OFFSET(CÁLCULO!$AA$15,ROW($X105)-ROW($X$15),1):OFFSET(CÁLCULO!$AL$15,ROW($X105)-ROW($X$15),-1))),IF($C105=0,0,ROUND(SomaAgrup,15-13*$AF$11)))</f>
        <v>0</v>
      </c>
      <c r="Y105" s="128" t="s">
        <v>245</v>
      </c>
      <c r="Z105" t="str">
        <f t="shared" ca="1" si="31"/>
        <v/>
      </c>
      <c r="AA105" s="129">
        <f ca="1">IF($C105="S",IF($Z105="CP",$X105,IF($Z105="RA",(($X105)*QCI!$AA$3),0)),SomaAgrup)</f>
        <v>0</v>
      </c>
      <c r="AB105" s="130">
        <f t="shared" ca="1" si="32"/>
        <v>0</v>
      </c>
      <c r="AC105" s="131" t="str">
        <f ca="1">IF($N105="","",IF(ORÇAMENTO.Descricao="","DESCRIÇÃO",IF(AND($C105="S",ORÇAMENTO.Unidade=""),"UNIDADE",IF($X105&lt;0,"VALOR NEGATIVO",IF(OR(AND(TIPOORCAMENTO="Proposto",$AG105&lt;&gt;"",$AG105&gt;0,ORÇAMENTO.CustoUnitario&gt;$AG105),AND(TIPOORCAMENTO="LICITADO",ORÇAMENTO.PrecoUnitarioLicitado&gt;$AN105)),"ACIMA REF.","")))))</f>
        <v/>
      </c>
      <c r="AD105">
        <f ca="1">IF(C105&lt;=CRONO.NivelExibicao,MAX($AD$15:OFFSET(AD105,-1,0))+IF($C105&lt;&gt;1,1,MAX(1,COUNTIF(QCI!$A$13:$A$24,OFFSET($E105,-1,0)))),"")</f>
        <v>6</v>
      </c>
      <c r="AE105" s="7" t="b">
        <f ca="1">IF(AND($C105="S",ORÇAMENTO.CodBarra&lt;&gt;""),IF(ORÇAMENTO.Fonte="",ORÇAMENTO.CodBarra,CONCATENATE(ORÇAMENTO.Fonte," ",ORÇAMENTO.CodBarra)))</f>
        <v>0</v>
      </c>
      <c r="AF105" s="13" t="str">
        <f ca="1">IF(ISERROR(INDIRECT(ORÇAMENTO.BancoRef)),"(abra o arquivo 'Referência "&amp;Excel_BuiltIn_Database&amp;".xlsm)",IF(OR($C105&lt;&gt;"S",ORÇAMENTO.CodBarra=""),"(Sem Código)",IF(ISERROR(MATCH($AE105,INDIRECT(ORÇAMENTO.BancoRef),0)),"(Código não identificado nas referências)",MATCH($AE105,INDIRECT(ORÇAMENTO.BancoRef),0))))</f>
        <v>(abra o arquivo 'Referência 02-2025.xlsm)</v>
      </c>
      <c r="AG105" s="498">
        <f ca="1">ROUND(IF(DESONERACAO="sim",REFERENCIA.Desonerado,REFERENCIA.NaoDesonerado),2)</f>
        <v>0</v>
      </c>
      <c r="AH105" s="499">
        <f t="shared" ca="1" si="33"/>
        <v>0.22470000000000001</v>
      </c>
      <c r="AJ105" s="501"/>
      <c r="AL105" s="527"/>
      <c r="AM105" s="381">
        <f t="shared" ca="1" si="34"/>
        <v>0</v>
      </c>
      <c r="AN105" s="566">
        <f t="shared" ca="1" si="35"/>
        <v>0</v>
      </c>
    </row>
    <row r="106" spans="1:40" x14ac:dyDescent="0.2">
      <c r="A106">
        <f t="shared" si="20"/>
        <v>3</v>
      </c>
      <c r="B106">
        <f t="shared" ca="1" si="21"/>
        <v>3</v>
      </c>
      <c r="C106">
        <f t="shared" ca="1" si="22"/>
        <v>3</v>
      </c>
      <c r="D106">
        <f t="shared" ca="1" si="23"/>
        <v>2</v>
      </c>
      <c r="E106">
        <f ca="1">IF($C106=1,OFFSET(E106,-1,0)+MAX(1,COUNTIF(QCI!$A$13:$A$24,OFFSET(ORÇAMENTO!E106,-1,0))),OFFSET(E106,-1,0))</f>
        <v>1</v>
      </c>
      <c r="F106">
        <f t="shared" ca="1" si="24"/>
        <v>5</v>
      </c>
      <c r="G106">
        <f t="shared" ca="1" si="25"/>
        <v>1</v>
      </c>
      <c r="H106">
        <f t="shared" ca="1" si="26"/>
        <v>0</v>
      </c>
      <c r="I106">
        <f t="shared" ca="1" si="27"/>
        <v>0</v>
      </c>
      <c r="J106">
        <f t="shared" ca="1" si="18"/>
        <v>17</v>
      </c>
      <c r="K106">
        <f ca="1">IF(OR($C106="S",$C106=0),0,MATCH(OFFSET($D106,0,$C106)+IF($C106&lt;&gt;1,1,COUNTIF(QCI!$A$13:$A$24,ORÇAMENTO!E106)),OFFSET($D106,1,$C106,ROW($C$747)-ROW($C106)),0))</f>
        <v>2</v>
      </c>
      <c r="L106" s="116" t="str">
        <f t="shared" ca="1" si="28"/>
        <v>F</v>
      </c>
      <c r="M106" s="117" t="s">
        <v>197</v>
      </c>
      <c r="N106" s="118" t="str">
        <f t="shared" ca="1" si="29"/>
        <v>Nível 3</v>
      </c>
      <c r="O106" s="119" t="str">
        <f t="shared" ca="1" si="30"/>
        <v>1.5.1.</v>
      </c>
      <c r="P106" s="120" t="s">
        <v>247</v>
      </c>
      <c r="Q106" s="121"/>
      <c r="R106" s="122" t="str">
        <f ca="1">IF($C106="S",REFERENCIA.Descricao,"ELEMENTOS VAZADOS")</f>
        <v>ELEMENTOS VAZADOS</v>
      </c>
      <c r="S106" s="123" t="str">
        <f ca="1">REFERENCIA.Unidade</f>
        <v>-</v>
      </c>
      <c r="T106" s="124">
        <f ca="1">OFFSET(CÁLCULO!H$15,ROW($T106)-ROW(T$15),0)</f>
        <v>0</v>
      </c>
      <c r="U106" s="125">
        <f t="shared" ca="1" si="36"/>
        <v>0</v>
      </c>
      <c r="V106" s="126" t="s">
        <v>156</v>
      </c>
      <c r="W106" s="124">
        <f ca="1">IF($C106="S",ROUND(IF(TIPOORCAMENTO="Proposto",ORÇAMENTO.CustoUnitario*(1+$AH106),ORÇAMENTO.PrecoUnitarioLicitado),15-13*$AF$10),0)</f>
        <v>0</v>
      </c>
      <c r="X106" s="127">
        <f ca="1">IF($C106="S",IF(Import.TipoArredondamento&lt;&gt;"TransfereGOV",VTOTAL1,SUM(OFFSET(CÁLCULO!$AA$15,ROW($X106)-ROW($X$15),1):OFFSET(CÁLCULO!$AL$15,ROW($X106)-ROW($X$15),-1))),IF($C106=0,0,ROUND(SomaAgrup,15-13*$AF$11)))</f>
        <v>0</v>
      </c>
      <c r="Y106" s="128" t="s">
        <v>245</v>
      </c>
      <c r="Z106" t="str">
        <f t="shared" ca="1" si="31"/>
        <v/>
      </c>
      <c r="AA106" s="129">
        <f ca="1">IF($C106="S",IF($Z106="CP",$X106,IF($Z106="RA",(($X106)*QCI!$AA$3),0)),SomaAgrup)</f>
        <v>0</v>
      </c>
      <c r="AB106" s="130">
        <f t="shared" ca="1" si="32"/>
        <v>0</v>
      </c>
      <c r="AC106" s="131" t="str">
        <f ca="1">IF($N106="","",IF(ORÇAMENTO.Descricao="","DESCRIÇÃO",IF(AND($C106="S",ORÇAMENTO.Unidade=""),"UNIDADE",IF($X106&lt;0,"VALOR NEGATIVO",IF(OR(AND(TIPOORCAMENTO="Proposto",$AG106&lt;&gt;"",$AG106&gt;0,ORÇAMENTO.CustoUnitario&gt;$AG106),AND(TIPOORCAMENTO="LICITADO",ORÇAMENTO.PrecoUnitarioLicitado&gt;$AN106)),"ACIMA REF.","")))))</f>
        <v/>
      </c>
      <c r="AD106" t="str">
        <f ca="1">IF(C106&lt;=CRONO.NivelExibicao,MAX($AD$15:OFFSET(AD106,-1,0))+IF($C106&lt;&gt;1,1,MAX(1,COUNTIF(QCI!$A$13:$A$24,OFFSET($E106,-1,0)))),"")</f>
        <v/>
      </c>
      <c r="AE106" s="7" t="b">
        <f ca="1">IF(AND($C106="S",ORÇAMENTO.CodBarra&lt;&gt;""),IF(ORÇAMENTO.Fonte="",ORÇAMENTO.CodBarra,CONCATENATE(ORÇAMENTO.Fonte," ",ORÇAMENTO.CodBarra)))</f>
        <v>0</v>
      </c>
      <c r="AF106" s="13" t="str">
        <f ca="1">IF(ISERROR(INDIRECT(ORÇAMENTO.BancoRef)),"(abra o arquivo 'Referência "&amp;Excel_BuiltIn_Database&amp;".xlsm)",IF(OR($C106&lt;&gt;"S",ORÇAMENTO.CodBarra=""),"(Sem Código)",IF(ISERROR(MATCH($AE106,INDIRECT(ORÇAMENTO.BancoRef),0)),"(Código não identificado nas referências)",MATCH($AE106,INDIRECT(ORÇAMENTO.BancoRef),0))))</f>
        <v>(abra o arquivo 'Referência 02-2025.xlsm)</v>
      </c>
      <c r="AG106" s="498">
        <f ca="1">ROUND(IF(DESONERACAO="sim",REFERENCIA.Desonerado,REFERENCIA.NaoDesonerado),2)</f>
        <v>0</v>
      </c>
      <c r="AH106" s="499">
        <f t="shared" ca="1" si="33"/>
        <v>0.22470000000000001</v>
      </c>
      <c r="AJ106" s="501"/>
      <c r="AL106" s="527"/>
      <c r="AM106" s="381">
        <f t="shared" ca="1" si="34"/>
        <v>0</v>
      </c>
      <c r="AN106" s="566">
        <f t="shared" ca="1" si="35"/>
        <v>0</v>
      </c>
    </row>
    <row r="107" spans="1:40" ht="38.25" x14ac:dyDescent="0.2">
      <c r="A107" t="str">
        <f t="shared" si="20"/>
        <v>S</v>
      </c>
      <c r="B107">
        <f t="shared" ca="1" si="21"/>
        <v>3</v>
      </c>
      <c r="C107" t="str">
        <f t="shared" ca="1" si="22"/>
        <v>S</v>
      </c>
      <c r="D107">
        <f t="shared" ca="1" si="23"/>
        <v>0</v>
      </c>
      <c r="E107">
        <f ca="1">IF($C107=1,OFFSET(E107,-1,0)+MAX(1,COUNTIF(QCI!$A$13:$A$24,OFFSET(ORÇAMENTO!E107,-1,0))),OFFSET(E107,-1,0))</f>
        <v>1</v>
      </c>
      <c r="F107">
        <f t="shared" ca="1" si="24"/>
        <v>5</v>
      </c>
      <c r="G107">
        <f t="shared" ca="1" si="25"/>
        <v>1</v>
      </c>
      <c r="H107">
        <f t="shared" ca="1" si="26"/>
        <v>0</v>
      </c>
      <c r="I107">
        <f t="shared" ca="1" si="27"/>
        <v>0</v>
      </c>
      <c r="J107">
        <f t="shared" ca="1" si="18"/>
        <v>0</v>
      </c>
      <c r="K107">
        <f ca="1">IF(OR($C107="S",$C107=0),0,MATCH(OFFSET($D107,0,$C107)+IF($C107&lt;&gt;1,1,COUNTIF(QCI!$A$13:$A$24,ORÇAMENTO!E107)),OFFSET($D107,1,$C107,ROW($C$747)-ROW($C107)),0))</f>
        <v>0</v>
      </c>
      <c r="L107" s="116" t="str">
        <f t="shared" ca="1" si="28"/>
        <v/>
      </c>
      <c r="M107" s="117" t="s">
        <v>199</v>
      </c>
      <c r="N107" s="118" t="str">
        <f t="shared" ca="1" si="29"/>
        <v>Serviço</v>
      </c>
      <c r="O107" s="119" t="str">
        <f t="shared" ca="1" si="30"/>
        <v>-</v>
      </c>
      <c r="P107" s="120" t="s">
        <v>247</v>
      </c>
      <c r="Q107" s="121" t="s">
        <v>477</v>
      </c>
      <c r="R107" s="122" t="str">
        <f ca="1">IF($C107="S",REFERENCIA.Descricao,"(digite a descrição aqui)")</f>
        <v>(abra o arquivo 'Referência 02-2025.xlsm)</v>
      </c>
      <c r="S107" s="123" t="str">
        <f ca="1">REFERENCIA.Unidade</f>
        <v>-</v>
      </c>
      <c r="T107" s="124">
        <f ca="1">OFFSET(CÁLCULO!H$15,ROW($T107)-ROW(T$15),0)</f>
        <v>4.8</v>
      </c>
      <c r="U107" s="125">
        <f t="shared" ca="1" si="36"/>
        <v>0</v>
      </c>
      <c r="V107" s="126" t="s">
        <v>156</v>
      </c>
      <c r="W107" s="124">
        <f ca="1">IF($C107="S",ROUND(IF(TIPOORCAMENTO="Proposto",ORÇAMENTO.CustoUnitario*(1+$AH107),ORÇAMENTO.PrecoUnitarioLicitado),15-13*$AF$10),0)</f>
        <v>0</v>
      </c>
      <c r="X107" s="127">
        <f ca="1">IF($C107="S",IF(Import.TipoArredondamento&lt;&gt;"TransfereGOV",VTOTAL1,SUM(OFFSET(CÁLCULO!$AA$15,ROW($X107)-ROW($X$15),1):OFFSET(CÁLCULO!$AL$15,ROW($X107)-ROW($X$15),-1))),IF($C107=0,0,ROUND(SomaAgrup,15-13*$AF$11)))</f>
        <v>0</v>
      </c>
      <c r="Y107" s="128" t="s">
        <v>245</v>
      </c>
      <c r="Z107" t="str">
        <f t="shared" ca="1" si="31"/>
        <v/>
      </c>
      <c r="AA107" s="129">
        <f ca="1">IF($C107="S",IF($Z107="CP",$X107,IF($Z107="RA",(($X107)*QCI!$AA$3),0)),SomaAgrup)</f>
        <v>0</v>
      </c>
      <c r="AB107" s="130">
        <f t="shared" ca="1" si="32"/>
        <v>0</v>
      </c>
      <c r="AC107" s="131" t="str">
        <f ca="1">IF($N107="","",IF(ORÇAMENTO.Descricao="","DESCRIÇÃO",IF(AND($C107="S",ORÇAMENTO.Unidade=""),"UNIDADE",IF($X107&lt;0,"VALOR NEGATIVO",IF(OR(AND(TIPOORCAMENTO="Proposto",$AG107&lt;&gt;"",$AG107&gt;0,ORÇAMENTO.CustoUnitario&gt;$AG107),AND(TIPOORCAMENTO="LICITADO",ORÇAMENTO.PrecoUnitarioLicitado&gt;$AN107)),"ACIMA REF.","")))))</f>
        <v/>
      </c>
      <c r="AD107" t="str">
        <f ca="1">IF(C107&lt;=CRONO.NivelExibicao,MAX($AD$15:OFFSET(AD107,-1,0))+IF($C107&lt;&gt;1,1,MAX(1,COUNTIF(QCI!$A$13:$A$24,OFFSET($E107,-1,0)))),"")</f>
        <v/>
      </c>
      <c r="AE107" s="7" t="str">
        <f ca="1">IF(AND($C107="S",ORÇAMENTO.CodBarra&lt;&gt;""),IF(ORÇAMENTO.Fonte="",ORÇAMENTO.CodBarra,CONCATENATE(ORÇAMENTO.Fonte," ",ORÇAMENTO.CodBarra)))</f>
        <v>SINAPI 101161</v>
      </c>
      <c r="AF107" s="13" t="str">
        <f ca="1">IF(ISERROR(INDIRECT(ORÇAMENTO.BancoRef)),"(abra o arquivo 'Referência "&amp;Excel_BuiltIn_Database&amp;".xlsm)",IF(OR($C107&lt;&gt;"S",ORÇAMENTO.CodBarra=""),"(Sem Código)",IF(ISERROR(MATCH($AE107,INDIRECT(ORÇAMENTO.BancoRef),0)),"(Código não identificado nas referências)",MATCH($AE107,INDIRECT(ORÇAMENTO.BancoRef),0))))</f>
        <v>(abra o arquivo 'Referência 02-2025.xlsm)</v>
      </c>
      <c r="AG107" s="498">
        <f ca="1">ROUND(IF(DESONERACAO="sim",REFERENCIA.Desonerado,REFERENCIA.NaoDesonerado),2)</f>
        <v>0</v>
      </c>
      <c r="AH107" s="499">
        <f t="shared" ca="1" si="33"/>
        <v>0.22470000000000001</v>
      </c>
      <c r="AJ107" s="501">
        <v>4.8</v>
      </c>
      <c r="AL107" s="527"/>
      <c r="AM107" s="381">
        <f t="shared" ca="1" si="34"/>
        <v>0</v>
      </c>
      <c r="AN107" s="566">
        <f t="shared" ca="1" si="35"/>
        <v>0</v>
      </c>
    </row>
    <row r="108" spans="1:40" x14ac:dyDescent="0.2">
      <c r="A108">
        <f t="shared" si="20"/>
        <v>3</v>
      </c>
      <c r="B108">
        <f t="shared" ca="1" si="21"/>
        <v>3</v>
      </c>
      <c r="C108">
        <f t="shared" ca="1" si="22"/>
        <v>3</v>
      </c>
      <c r="D108">
        <f t="shared" ca="1" si="23"/>
        <v>6</v>
      </c>
      <c r="E108">
        <f ca="1">IF($C108=1,OFFSET(E108,-1,0)+MAX(1,COUNTIF(QCI!$A$13:$A$24,OFFSET(ORÇAMENTO!E108,-1,0))),OFFSET(E108,-1,0))</f>
        <v>1</v>
      </c>
      <c r="F108">
        <f t="shared" ca="1" si="24"/>
        <v>5</v>
      </c>
      <c r="G108">
        <f t="shared" ca="1" si="25"/>
        <v>2</v>
      </c>
      <c r="H108">
        <f t="shared" ca="1" si="26"/>
        <v>0</v>
      </c>
      <c r="I108">
        <f t="shared" ca="1" si="27"/>
        <v>0</v>
      </c>
      <c r="J108">
        <f t="shared" ca="1" si="18"/>
        <v>15</v>
      </c>
      <c r="K108">
        <f ca="1">IF(OR($C108="S",$C108=0),0,MATCH(OFFSET($D108,0,$C108)+IF($C108&lt;&gt;1,1,COUNTIF(QCI!$A$13:$A$24,ORÇAMENTO!E108)),OFFSET($D108,1,$C108,ROW($C$747)-ROW($C108)),0))</f>
        <v>6</v>
      </c>
      <c r="L108" s="116" t="str">
        <f t="shared" ca="1" si="28"/>
        <v>F</v>
      </c>
      <c r="M108" s="117" t="s">
        <v>197</v>
      </c>
      <c r="N108" s="118" t="str">
        <f t="shared" ca="1" si="29"/>
        <v>Nível 3</v>
      </c>
      <c r="O108" s="119" t="str">
        <f t="shared" ca="1" si="30"/>
        <v>1.5.2.</v>
      </c>
      <c r="P108" s="120" t="s">
        <v>247</v>
      </c>
      <c r="Q108" s="121"/>
      <c r="R108" s="122" t="str">
        <f ca="1">IF($C108="S",REFERENCIA.Descricao,"ALVENARIA DE VEDAÇÃO")</f>
        <v>ALVENARIA DE VEDAÇÃO</v>
      </c>
      <c r="S108" s="123" t="str">
        <f ca="1">REFERENCIA.Unidade</f>
        <v>-</v>
      </c>
      <c r="T108" s="124">
        <f ca="1">OFFSET(CÁLCULO!H$15,ROW($T108)-ROW(T$15),0)</f>
        <v>0</v>
      </c>
      <c r="U108" s="125">
        <f t="shared" ca="1" si="36"/>
        <v>0</v>
      </c>
      <c r="V108" s="126" t="s">
        <v>156</v>
      </c>
      <c r="W108" s="124">
        <f ca="1">IF($C108="S",ROUND(IF(TIPOORCAMENTO="Proposto",ORÇAMENTO.CustoUnitario*(1+$AH108),ORÇAMENTO.PrecoUnitarioLicitado),15-13*$AF$10),0)</f>
        <v>0</v>
      </c>
      <c r="X108" s="127">
        <f ca="1">IF($C108="S",IF(Import.TipoArredondamento&lt;&gt;"TransfereGOV",VTOTAL1,SUM(OFFSET(CÁLCULO!$AA$15,ROW($X108)-ROW($X$15),1):OFFSET(CÁLCULO!$AL$15,ROW($X108)-ROW($X$15),-1))),IF($C108=0,0,ROUND(SomaAgrup,15-13*$AF$11)))</f>
        <v>0</v>
      </c>
      <c r="Y108" s="128" t="s">
        <v>245</v>
      </c>
      <c r="Z108" t="str">
        <f t="shared" ca="1" si="31"/>
        <v/>
      </c>
      <c r="AA108" s="129">
        <f ca="1">IF($C108="S",IF($Z108="CP",$X108,IF($Z108="RA",(($X108)*QCI!$AA$3),0)),SomaAgrup)</f>
        <v>0</v>
      </c>
      <c r="AB108" s="130">
        <f t="shared" ca="1" si="32"/>
        <v>0</v>
      </c>
      <c r="AC108" s="131" t="str">
        <f ca="1">IF($N108="","",IF(ORÇAMENTO.Descricao="","DESCRIÇÃO",IF(AND($C108="S",ORÇAMENTO.Unidade=""),"UNIDADE",IF($X108&lt;0,"VALOR NEGATIVO",IF(OR(AND(TIPOORCAMENTO="Proposto",$AG108&lt;&gt;"",$AG108&gt;0,ORÇAMENTO.CustoUnitario&gt;$AG108),AND(TIPOORCAMENTO="LICITADO",ORÇAMENTO.PrecoUnitarioLicitado&gt;$AN108)),"ACIMA REF.","")))))</f>
        <v/>
      </c>
      <c r="AD108" t="str">
        <f ca="1">IF(C108&lt;=CRONO.NivelExibicao,MAX($AD$15:OFFSET(AD108,-1,0))+IF($C108&lt;&gt;1,1,MAX(1,COUNTIF(QCI!$A$13:$A$24,OFFSET($E108,-1,0)))),"")</f>
        <v/>
      </c>
      <c r="AE108" s="7" t="b">
        <f ca="1">IF(AND($C108="S",ORÇAMENTO.CodBarra&lt;&gt;""),IF(ORÇAMENTO.Fonte="",ORÇAMENTO.CodBarra,CONCATENATE(ORÇAMENTO.Fonte," ",ORÇAMENTO.CodBarra)))</f>
        <v>0</v>
      </c>
      <c r="AF108" s="13" t="str">
        <f ca="1">IF(ISERROR(INDIRECT(ORÇAMENTO.BancoRef)),"(abra o arquivo 'Referência "&amp;Excel_BuiltIn_Database&amp;".xlsm)",IF(OR($C108&lt;&gt;"S",ORÇAMENTO.CodBarra=""),"(Sem Código)",IF(ISERROR(MATCH($AE108,INDIRECT(ORÇAMENTO.BancoRef),0)),"(Código não identificado nas referências)",MATCH($AE108,INDIRECT(ORÇAMENTO.BancoRef),0))))</f>
        <v>(abra o arquivo 'Referência 02-2025.xlsm)</v>
      </c>
      <c r="AG108" s="498">
        <f ca="1">ROUND(IF(DESONERACAO="sim",REFERENCIA.Desonerado,REFERENCIA.NaoDesonerado),2)</f>
        <v>0</v>
      </c>
      <c r="AH108" s="499">
        <f t="shared" ca="1" si="33"/>
        <v>0.22470000000000001</v>
      </c>
      <c r="AJ108" s="501"/>
      <c r="AL108" s="527"/>
      <c r="AM108" s="381">
        <f t="shared" ca="1" si="34"/>
        <v>0</v>
      </c>
      <c r="AN108" s="566">
        <f t="shared" ca="1" si="35"/>
        <v>0</v>
      </c>
    </row>
    <row r="109" spans="1:40" ht="38.25" x14ac:dyDescent="0.2">
      <c r="A109" t="str">
        <f t="shared" si="20"/>
        <v>S</v>
      </c>
      <c r="B109">
        <f t="shared" ca="1" si="21"/>
        <v>3</v>
      </c>
      <c r="C109" t="str">
        <f t="shared" ca="1" si="22"/>
        <v>S</v>
      </c>
      <c r="D109">
        <f t="shared" ca="1" si="23"/>
        <v>0</v>
      </c>
      <c r="E109">
        <f ca="1">IF($C109=1,OFFSET(E109,-1,0)+MAX(1,COUNTIF(QCI!$A$13:$A$24,OFFSET(ORÇAMENTO!E109,-1,0))),OFFSET(E109,-1,0))</f>
        <v>1</v>
      </c>
      <c r="F109">
        <f t="shared" ca="1" si="24"/>
        <v>5</v>
      </c>
      <c r="G109">
        <f t="shared" ca="1" si="25"/>
        <v>2</v>
      </c>
      <c r="H109">
        <f t="shared" ca="1" si="26"/>
        <v>0</v>
      </c>
      <c r="I109">
        <f t="shared" ca="1" si="27"/>
        <v>0</v>
      </c>
      <c r="J109">
        <f t="shared" ca="1" si="18"/>
        <v>0</v>
      </c>
      <c r="K109">
        <f ca="1">IF(OR($C109="S",$C109=0),0,MATCH(OFFSET($D109,0,$C109)+IF($C109&lt;&gt;1,1,COUNTIF(QCI!$A$13:$A$24,ORÇAMENTO!E109)),OFFSET($D109,1,$C109,ROW($C$747)-ROW($C109)),0))</f>
        <v>0</v>
      </c>
      <c r="L109" s="116" t="str">
        <f t="shared" ca="1" si="28"/>
        <v/>
      </c>
      <c r="M109" s="117" t="s">
        <v>199</v>
      </c>
      <c r="N109" s="118" t="str">
        <f t="shared" ca="1" si="29"/>
        <v>Serviço</v>
      </c>
      <c r="O109" s="119" t="str">
        <f t="shared" ca="1" si="30"/>
        <v>-</v>
      </c>
      <c r="P109" s="120" t="s">
        <v>247</v>
      </c>
      <c r="Q109" s="121" t="s">
        <v>478</v>
      </c>
      <c r="R109" s="122" t="str">
        <f ca="1">IF($C109="S",REFERENCIA.Descricao,"(digite a descrição aqui)")</f>
        <v>(abra o arquivo 'Referência 02-2025.xlsm)</v>
      </c>
      <c r="S109" s="123" t="str">
        <f ca="1">REFERENCIA.Unidade</f>
        <v>-</v>
      </c>
      <c r="T109" s="124">
        <f ca="1">OFFSET(CÁLCULO!H$15,ROW($T109)-ROW(T$15),0)</f>
        <v>823.51</v>
      </c>
      <c r="U109" s="125">
        <f t="shared" ca="1" si="36"/>
        <v>0</v>
      </c>
      <c r="V109" s="126" t="s">
        <v>156</v>
      </c>
      <c r="W109" s="124">
        <f ca="1">IF($C109="S",ROUND(IF(TIPOORCAMENTO="Proposto",ORÇAMENTO.CustoUnitario*(1+$AH109),ORÇAMENTO.PrecoUnitarioLicitado),15-13*$AF$10),0)</f>
        <v>0</v>
      </c>
      <c r="X109" s="127">
        <f ca="1">IF($C109="S",IF(Import.TipoArredondamento&lt;&gt;"TransfereGOV",VTOTAL1,SUM(OFFSET(CÁLCULO!$AA$15,ROW($X109)-ROW($X$15),1):OFFSET(CÁLCULO!$AL$15,ROW($X109)-ROW($X$15),-1))),IF($C109=0,0,ROUND(SomaAgrup,15-13*$AF$11)))</f>
        <v>0</v>
      </c>
      <c r="Y109" s="128" t="s">
        <v>245</v>
      </c>
      <c r="Z109" t="str">
        <f t="shared" ca="1" si="31"/>
        <v/>
      </c>
      <c r="AA109" s="129">
        <f ca="1">IF($C109="S",IF($Z109="CP",$X109,IF($Z109="RA",(($X109)*QCI!$AA$3),0)),SomaAgrup)</f>
        <v>0</v>
      </c>
      <c r="AB109" s="130">
        <f t="shared" ca="1" si="32"/>
        <v>0</v>
      </c>
      <c r="AC109" s="131" t="str">
        <f ca="1">IF($N109="","",IF(ORÇAMENTO.Descricao="","DESCRIÇÃO",IF(AND($C109="S",ORÇAMENTO.Unidade=""),"UNIDADE",IF($X109&lt;0,"VALOR NEGATIVO",IF(OR(AND(TIPOORCAMENTO="Proposto",$AG109&lt;&gt;"",$AG109&gt;0,ORÇAMENTO.CustoUnitario&gt;$AG109),AND(TIPOORCAMENTO="LICITADO",ORÇAMENTO.PrecoUnitarioLicitado&gt;$AN109)),"ACIMA REF.","")))))</f>
        <v/>
      </c>
      <c r="AD109" t="str">
        <f ca="1">IF(C109&lt;=CRONO.NivelExibicao,MAX($AD$15:OFFSET(AD109,-1,0))+IF($C109&lt;&gt;1,1,MAX(1,COUNTIF(QCI!$A$13:$A$24,OFFSET($E109,-1,0)))),"")</f>
        <v/>
      </c>
      <c r="AE109" s="7" t="str">
        <f ca="1">IF(AND($C109="S",ORÇAMENTO.CodBarra&lt;&gt;""),IF(ORÇAMENTO.Fonte="",ORÇAMENTO.CodBarra,CONCATENATE(ORÇAMENTO.Fonte," ",ORÇAMENTO.CodBarra)))</f>
        <v>SINAPI 103324</v>
      </c>
      <c r="AF109" s="13" t="str">
        <f ca="1">IF(ISERROR(INDIRECT(ORÇAMENTO.BancoRef)),"(abra o arquivo 'Referência "&amp;Excel_BuiltIn_Database&amp;".xlsm)",IF(OR($C109&lt;&gt;"S",ORÇAMENTO.CodBarra=""),"(Sem Código)",IF(ISERROR(MATCH($AE109,INDIRECT(ORÇAMENTO.BancoRef),0)),"(Código não identificado nas referências)",MATCH($AE109,INDIRECT(ORÇAMENTO.BancoRef),0))))</f>
        <v>(abra o arquivo 'Referência 02-2025.xlsm)</v>
      </c>
      <c r="AG109" s="498">
        <f ca="1">ROUND(IF(DESONERACAO="sim",REFERENCIA.Desonerado,REFERENCIA.NaoDesonerado),2)</f>
        <v>0</v>
      </c>
      <c r="AH109" s="499">
        <f t="shared" ca="1" si="33"/>
        <v>0.22470000000000001</v>
      </c>
      <c r="AJ109" s="501">
        <v>823.51</v>
      </c>
      <c r="AL109" s="527"/>
      <c r="AM109" s="381">
        <f t="shared" ca="1" si="34"/>
        <v>0</v>
      </c>
      <c r="AN109" s="566">
        <f t="shared" ca="1" si="35"/>
        <v>0</v>
      </c>
    </row>
    <row r="110" spans="1:40" ht="38.25" x14ac:dyDescent="0.2">
      <c r="A110" t="str">
        <f t="shared" si="20"/>
        <v>S</v>
      </c>
      <c r="B110">
        <f t="shared" ca="1" si="21"/>
        <v>3</v>
      </c>
      <c r="C110" t="str">
        <f t="shared" ca="1" si="22"/>
        <v>S</v>
      </c>
      <c r="D110">
        <f t="shared" ca="1" si="23"/>
        <v>0</v>
      </c>
      <c r="E110">
        <f ca="1">IF($C110=1,OFFSET(E110,-1,0)+MAX(1,COUNTIF(QCI!$A$13:$A$24,OFFSET(ORÇAMENTO!E110,-1,0))),OFFSET(E110,-1,0))</f>
        <v>1</v>
      </c>
      <c r="F110">
        <f t="shared" ca="1" si="24"/>
        <v>5</v>
      </c>
      <c r="G110">
        <f t="shared" ca="1" si="25"/>
        <v>2</v>
      </c>
      <c r="H110">
        <f t="shared" ca="1" si="26"/>
        <v>0</v>
      </c>
      <c r="I110">
        <f t="shared" ca="1" si="27"/>
        <v>0</v>
      </c>
      <c r="J110">
        <f t="shared" ca="1" si="18"/>
        <v>0</v>
      </c>
      <c r="K110">
        <f ca="1">IF(OR($C110="S",$C110=0),0,MATCH(OFFSET($D110,0,$C110)+IF($C110&lt;&gt;1,1,COUNTIF(QCI!$A$13:$A$24,ORÇAMENTO!E110)),OFFSET($D110,1,$C110,ROW($C$747)-ROW($C110)),0))</f>
        <v>0</v>
      </c>
      <c r="L110" s="116" t="str">
        <f t="shared" ca="1" si="28"/>
        <v/>
      </c>
      <c r="M110" s="117" t="s">
        <v>199</v>
      </c>
      <c r="N110" s="118" t="str">
        <f t="shared" ca="1" si="29"/>
        <v>Serviço</v>
      </c>
      <c r="O110" s="119" t="str">
        <f t="shared" ca="1" si="30"/>
        <v>-</v>
      </c>
      <c r="P110" s="120" t="s">
        <v>247</v>
      </c>
      <c r="Q110" s="121" t="s">
        <v>479</v>
      </c>
      <c r="R110" s="122" t="str">
        <f ca="1">IF($C110="S",REFERENCIA.Descricao,"(digite a descrição aqui)")</f>
        <v>(abra o arquivo 'Referência 02-2025.xlsm)</v>
      </c>
      <c r="S110" s="123" t="str">
        <f ca="1">REFERENCIA.Unidade</f>
        <v>-</v>
      </c>
      <c r="T110" s="124">
        <f ca="1">OFFSET(CÁLCULO!H$15,ROW($T110)-ROW(T$15),0)</f>
        <v>933.85</v>
      </c>
      <c r="U110" s="125">
        <f t="shared" ca="1" si="36"/>
        <v>0</v>
      </c>
      <c r="V110" s="126" t="s">
        <v>156</v>
      </c>
      <c r="W110" s="124">
        <f ca="1">IF($C110="S",ROUND(IF(TIPOORCAMENTO="Proposto",ORÇAMENTO.CustoUnitario*(1+$AH110),ORÇAMENTO.PrecoUnitarioLicitado),15-13*$AF$10),0)</f>
        <v>0</v>
      </c>
      <c r="X110" s="127">
        <f ca="1">IF($C110="S",IF(Import.TipoArredondamento&lt;&gt;"TransfereGOV",VTOTAL1,SUM(OFFSET(CÁLCULO!$AA$15,ROW($X110)-ROW($X$15),1):OFFSET(CÁLCULO!$AL$15,ROW($X110)-ROW($X$15),-1))),IF($C110=0,0,ROUND(SomaAgrup,15-13*$AF$11)))</f>
        <v>0</v>
      </c>
      <c r="Y110" s="128" t="s">
        <v>245</v>
      </c>
      <c r="Z110" t="str">
        <f t="shared" ca="1" si="31"/>
        <v/>
      </c>
      <c r="AA110" s="129">
        <f ca="1">IF($C110="S",IF($Z110="CP",$X110,IF($Z110="RA",(($X110)*QCI!$AA$3),0)),SomaAgrup)</f>
        <v>0</v>
      </c>
      <c r="AB110" s="130">
        <f t="shared" ca="1" si="32"/>
        <v>0</v>
      </c>
      <c r="AC110" s="131" t="str">
        <f ca="1">IF($N110="","",IF(ORÇAMENTO.Descricao="","DESCRIÇÃO",IF(AND($C110="S",ORÇAMENTO.Unidade=""),"UNIDADE",IF($X110&lt;0,"VALOR NEGATIVO",IF(OR(AND(TIPOORCAMENTO="Proposto",$AG110&lt;&gt;"",$AG110&gt;0,ORÇAMENTO.CustoUnitario&gt;$AG110),AND(TIPOORCAMENTO="LICITADO",ORÇAMENTO.PrecoUnitarioLicitado&gt;$AN110)),"ACIMA REF.","")))))</f>
        <v/>
      </c>
      <c r="AD110" t="str">
        <f ca="1">IF(C110&lt;=CRONO.NivelExibicao,MAX($AD$15:OFFSET(AD110,-1,0))+IF($C110&lt;&gt;1,1,MAX(1,COUNTIF(QCI!$A$13:$A$24,OFFSET($E110,-1,0)))),"")</f>
        <v/>
      </c>
      <c r="AE110" s="7" t="str">
        <f ca="1">IF(AND($C110="S",ORÇAMENTO.CodBarra&lt;&gt;""),IF(ORÇAMENTO.Fonte="",ORÇAMENTO.CodBarra,CONCATENATE(ORÇAMENTO.Fonte," ",ORÇAMENTO.CodBarra)))</f>
        <v>SINAPI 103322</v>
      </c>
      <c r="AF110" s="13" t="str">
        <f ca="1">IF(ISERROR(INDIRECT(ORÇAMENTO.BancoRef)),"(abra o arquivo 'Referência "&amp;Excel_BuiltIn_Database&amp;".xlsm)",IF(OR($C110&lt;&gt;"S",ORÇAMENTO.CodBarra=""),"(Sem Código)",IF(ISERROR(MATCH($AE110,INDIRECT(ORÇAMENTO.BancoRef),0)),"(Código não identificado nas referências)",MATCH($AE110,INDIRECT(ORÇAMENTO.BancoRef),0))))</f>
        <v>(abra o arquivo 'Referência 02-2025.xlsm)</v>
      </c>
      <c r="AG110" s="498">
        <f ca="1">ROUND(IF(DESONERACAO="sim",REFERENCIA.Desonerado,REFERENCIA.NaoDesonerado),2)</f>
        <v>0</v>
      </c>
      <c r="AH110" s="499">
        <f t="shared" ca="1" si="33"/>
        <v>0.22470000000000001</v>
      </c>
      <c r="AJ110" s="501">
        <v>933.85</v>
      </c>
      <c r="AL110" s="527"/>
      <c r="AM110" s="381">
        <f t="shared" ca="1" si="34"/>
        <v>0</v>
      </c>
      <c r="AN110" s="566">
        <f t="shared" ca="1" si="35"/>
        <v>0</v>
      </c>
    </row>
    <row r="111" spans="1:40" ht="38.25" x14ac:dyDescent="0.2">
      <c r="A111" t="str">
        <f t="shared" si="20"/>
        <v>S</v>
      </c>
      <c r="B111">
        <f t="shared" ca="1" si="21"/>
        <v>3</v>
      </c>
      <c r="C111" t="str">
        <f t="shared" ca="1" si="22"/>
        <v>S</v>
      </c>
      <c r="D111">
        <f t="shared" ca="1" si="23"/>
        <v>0</v>
      </c>
      <c r="E111">
        <f ca="1">IF($C111=1,OFFSET(E111,-1,0)+MAX(1,COUNTIF(QCI!$A$13:$A$24,OFFSET(ORÇAMENTO!E111,-1,0))),OFFSET(E111,-1,0))</f>
        <v>1</v>
      </c>
      <c r="F111">
        <f t="shared" ca="1" si="24"/>
        <v>5</v>
      </c>
      <c r="G111">
        <f t="shared" ca="1" si="25"/>
        <v>2</v>
      </c>
      <c r="H111">
        <f t="shared" ca="1" si="26"/>
        <v>0</v>
      </c>
      <c r="I111">
        <f t="shared" ca="1" si="27"/>
        <v>0</v>
      </c>
      <c r="J111">
        <f t="shared" ca="1" si="18"/>
        <v>0</v>
      </c>
      <c r="K111">
        <f ca="1">IF(OR($C111="S",$C111=0),0,MATCH(OFFSET($D111,0,$C111)+IF($C111&lt;&gt;1,1,COUNTIF(QCI!$A$13:$A$24,ORÇAMENTO!E111)),OFFSET($D111,1,$C111,ROW($C$747)-ROW($C111)),0))</f>
        <v>0</v>
      </c>
      <c r="L111" s="116" t="str">
        <f t="shared" ca="1" si="28"/>
        <v/>
      </c>
      <c r="M111" s="117" t="s">
        <v>199</v>
      </c>
      <c r="N111" s="118" t="str">
        <f t="shared" ca="1" si="29"/>
        <v>Serviço</v>
      </c>
      <c r="O111" s="119" t="str">
        <f t="shared" ca="1" si="30"/>
        <v>-</v>
      </c>
      <c r="P111" s="120" t="s">
        <v>247</v>
      </c>
      <c r="Q111" s="121" t="s">
        <v>480</v>
      </c>
      <c r="R111" s="122" t="str">
        <f ca="1">IF($C111="S",REFERENCIA.Descricao,"(digite a descrição aqui)")</f>
        <v>(abra o arquivo 'Referência 02-2025.xlsm)</v>
      </c>
      <c r="S111" s="123" t="str">
        <f ca="1">REFERENCIA.Unidade</f>
        <v>-</v>
      </c>
      <c r="T111" s="124">
        <f ca="1">OFFSET(CÁLCULO!H$15,ROW($T111)-ROW(T$15),0)</f>
        <v>17.16</v>
      </c>
      <c r="U111" s="125">
        <f t="shared" ca="1" si="36"/>
        <v>0</v>
      </c>
      <c r="V111" s="126" t="s">
        <v>156</v>
      </c>
      <c r="W111" s="124">
        <f ca="1">IF($C111="S",ROUND(IF(TIPOORCAMENTO="Proposto",ORÇAMENTO.CustoUnitario*(1+$AH111),ORÇAMENTO.PrecoUnitarioLicitado),15-13*$AF$10),0)</f>
        <v>0</v>
      </c>
      <c r="X111" s="127">
        <f ca="1">IF($C111="S",IF(Import.TipoArredondamento&lt;&gt;"TransfereGOV",VTOTAL1,SUM(OFFSET(CÁLCULO!$AA$15,ROW($X111)-ROW($X$15),1):OFFSET(CÁLCULO!$AL$15,ROW($X111)-ROW($X$15),-1))),IF($C111=0,0,ROUND(SomaAgrup,15-13*$AF$11)))</f>
        <v>0</v>
      </c>
      <c r="Y111" s="128" t="s">
        <v>245</v>
      </c>
      <c r="Z111" t="str">
        <f t="shared" ca="1" si="31"/>
        <v/>
      </c>
      <c r="AA111" s="129">
        <f ca="1">IF($C111="S",IF($Z111="CP",$X111,IF($Z111="RA",(($X111)*QCI!$AA$3),0)),SomaAgrup)</f>
        <v>0</v>
      </c>
      <c r="AB111" s="130">
        <f t="shared" ca="1" si="32"/>
        <v>0</v>
      </c>
      <c r="AC111" s="131" t="str">
        <f ca="1">IF($N111="","",IF(ORÇAMENTO.Descricao="","DESCRIÇÃO",IF(AND($C111="S",ORÇAMENTO.Unidade=""),"UNIDADE",IF($X111&lt;0,"VALOR NEGATIVO",IF(OR(AND(TIPOORCAMENTO="Proposto",$AG111&lt;&gt;"",$AG111&gt;0,ORÇAMENTO.CustoUnitario&gt;$AG111),AND(TIPOORCAMENTO="LICITADO",ORÇAMENTO.PrecoUnitarioLicitado&gt;$AN111)),"ACIMA REF.","")))))</f>
        <v/>
      </c>
      <c r="AD111" t="str">
        <f ca="1">IF(C111&lt;=CRONO.NivelExibicao,MAX($AD$15:OFFSET(AD111,-1,0))+IF($C111&lt;&gt;1,1,MAX(1,COUNTIF(QCI!$A$13:$A$24,OFFSET($E111,-1,0)))),"")</f>
        <v/>
      </c>
      <c r="AE111" s="7" t="str">
        <f ca="1">IF(AND($C111="S",ORÇAMENTO.CodBarra&lt;&gt;""),IF(ORÇAMENTO.Fonte="",ORÇAMENTO.CodBarra,CONCATENATE(ORÇAMENTO.Fonte," ",ORÇAMENTO.CodBarra)))</f>
        <v>SINAPI 103328</v>
      </c>
      <c r="AF111" s="13" t="str">
        <f ca="1">IF(ISERROR(INDIRECT(ORÇAMENTO.BancoRef)),"(abra o arquivo 'Referência "&amp;Excel_BuiltIn_Database&amp;".xlsm)",IF(OR($C111&lt;&gt;"S",ORÇAMENTO.CodBarra=""),"(Sem Código)",IF(ISERROR(MATCH($AE111,INDIRECT(ORÇAMENTO.BancoRef),0)),"(Código não identificado nas referências)",MATCH($AE111,INDIRECT(ORÇAMENTO.BancoRef),0))))</f>
        <v>(abra o arquivo 'Referência 02-2025.xlsm)</v>
      </c>
      <c r="AG111" s="498">
        <f ca="1">ROUND(IF(DESONERACAO="sim",REFERENCIA.Desonerado,REFERENCIA.NaoDesonerado),2)</f>
        <v>0</v>
      </c>
      <c r="AH111" s="499">
        <f t="shared" ca="1" si="33"/>
        <v>0.22470000000000001</v>
      </c>
      <c r="AJ111" s="501">
        <v>17.16</v>
      </c>
      <c r="AL111" s="527"/>
      <c r="AM111" s="381">
        <f t="shared" ca="1" si="34"/>
        <v>0</v>
      </c>
      <c r="AN111" s="566">
        <f t="shared" ca="1" si="35"/>
        <v>0</v>
      </c>
    </row>
    <row r="112" spans="1:40" ht="25.5" x14ac:dyDescent="0.2">
      <c r="A112" t="str">
        <f t="shared" si="20"/>
        <v>S</v>
      </c>
      <c r="B112">
        <f t="shared" ca="1" si="21"/>
        <v>3</v>
      </c>
      <c r="C112" t="str">
        <f t="shared" ca="1" si="22"/>
        <v>S</v>
      </c>
      <c r="D112">
        <f t="shared" ca="1" si="23"/>
        <v>0</v>
      </c>
      <c r="E112">
        <f ca="1">IF($C112=1,OFFSET(E112,-1,0)+MAX(1,COUNTIF(QCI!$A$13:$A$24,OFFSET(ORÇAMENTO!E112,-1,0))),OFFSET(E112,-1,0))</f>
        <v>1</v>
      </c>
      <c r="F112">
        <f t="shared" ca="1" si="24"/>
        <v>5</v>
      </c>
      <c r="G112">
        <f t="shared" ca="1" si="25"/>
        <v>2</v>
      </c>
      <c r="H112">
        <f t="shared" ca="1" si="26"/>
        <v>0</v>
      </c>
      <c r="I112">
        <f t="shared" ca="1" si="27"/>
        <v>0</v>
      </c>
      <c r="J112">
        <f t="shared" ca="1" si="18"/>
        <v>0</v>
      </c>
      <c r="K112">
        <f ca="1">IF(OR($C112="S",$C112=0),0,MATCH(OFFSET($D112,0,$C112)+IF($C112&lt;&gt;1,1,COUNTIF(QCI!$A$13:$A$24,ORÇAMENTO!E112)),OFFSET($D112,1,$C112,ROW($C$747)-ROW($C112)),0))</f>
        <v>0</v>
      </c>
      <c r="L112" s="116" t="str">
        <f t="shared" ca="1" si="28"/>
        <v/>
      </c>
      <c r="M112" s="117" t="s">
        <v>199</v>
      </c>
      <c r="N112" s="118" t="str">
        <f t="shared" ca="1" si="29"/>
        <v>Serviço</v>
      </c>
      <c r="O112" s="119" t="str">
        <f t="shared" ca="1" si="30"/>
        <v>-</v>
      </c>
      <c r="P112" s="120" t="s">
        <v>247</v>
      </c>
      <c r="Q112" s="121" t="s">
        <v>878</v>
      </c>
      <c r="R112" s="122" t="str">
        <f ca="1">IF($C112="S",REFERENCIA.Descricao,"(digite a descrição aqui)")</f>
        <v>(abra o arquivo 'Referência 02-2025.xlsm)</v>
      </c>
      <c r="S112" s="123" t="str">
        <f ca="1">REFERENCIA.Unidade</f>
        <v>-</v>
      </c>
      <c r="T112" s="124">
        <f ca="1">OFFSET(CÁLCULO!H$15,ROW($T112)-ROW(T$15),0)</f>
        <v>639.94000000000005</v>
      </c>
      <c r="U112" s="125">
        <f t="shared" ca="1" si="36"/>
        <v>0</v>
      </c>
      <c r="V112" s="126" t="s">
        <v>156</v>
      </c>
      <c r="W112" s="124">
        <f ca="1">IF($C112="S",ROUND(IF(TIPOORCAMENTO="Proposto",ORÇAMENTO.CustoUnitario*(1+$AH112),ORÇAMENTO.PrecoUnitarioLicitado),15-13*$AF$10),0)</f>
        <v>0</v>
      </c>
      <c r="X112" s="127">
        <f ca="1">IF($C112="S",IF(Import.TipoArredondamento&lt;&gt;"TransfereGOV",VTOTAL1,SUM(OFFSET(CÁLCULO!$AA$15,ROW($X112)-ROW($X$15),1):OFFSET(CÁLCULO!$AL$15,ROW($X112)-ROW($X$15),-1))),IF($C112=0,0,ROUND(SomaAgrup,15-13*$AF$11)))</f>
        <v>0</v>
      </c>
      <c r="Y112" s="128" t="s">
        <v>245</v>
      </c>
      <c r="Z112" t="str">
        <f t="shared" ca="1" si="31"/>
        <v/>
      </c>
      <c r="AA112" s="129">
        <f ca="1">IF($C112="S",IF($Z112="CP",$X112,IF($Z112="RA",(($X112)*QCI!$AA$3),0)),SomaAgrup)</f>
        <v>0</v>
      </c>
      <c r="AB112" s="130">
        <f t="shared" ca="1" si="32"/>
        <v>0</v>
      </c>
      <c r="AC112" s="131" t="str">
        <f ca="1">IF($N112="","",IF(ORÇAMENTO.Descricao="","DESCRIÇÃO",IF(AND($C112="S",ORÇAMENTO.Unidade=""),"UNIDADE",IF($X112&lt;0,"VALOR NEGATIVO",IF(OR(AND(TIPOORCAMENTO="Proposto",$AG112&lt;&gt;"",$AG112&gt;0,ORÇAMENTO.CustoUnitario&gt;$AG112),AND(TIPOORCAMENTO="LICITADO",ORÇAMENTO.PrecoUnitarioLicitado&gt;$AN112)),"ACIMA REF.","")))))</f>
        <v/>
      </c>
      <c r="AD112" t="str">
        <f ca="1">IF(C112&lt;=CRONO.NivelExibicao,MAX($AD$15:OFFSET(AD112,-1,0))+IF($C112&lt;&gt;1,1,MAX(1,COUNTIF(QCI!$A$13:$A$24,OFFSET($E112,-1,0)))),"")</f>
        <v/>
      </c>
      <c r="AE112" s="7" t="str">
        <f ca="1">IF(AND($C112="S",ORÇAMENTO.CodBarra&lt;&gt;""),IF(ORÇAMENTO.Fonte="",ORÇAMENTO.CodBarra,CONCATENATE(ORÇAMENTO.Fonte," ",ORÇAMENTO.CodBarra)))</f>
        <v>SINAPI 93200</v>
      </c>
      <c r="AF112" s="13" t="str">
        <f ca="1">IF(ISERROR(INDIRECT(ORÇAMENTO.BancoRef)),"(abra o arquivo 'Referência "&amp;Excel_BuiltIn_Database&amp;".xlsm)",IF(OR($C112&lt;&gt;"S",ORÇAMENTO.CodBarra=""),"(Sem Código)",IF(ISERROR(MATCH($AE112,INDIRECT(ORÇAMENTO.BancoRef),0)),"(Código não identificado nas referências)",MATCH($AE112,INDIRECT(ORÇAMENTO.BancoRef),0))))</f>
        <v>(abra o arquivo 'Referência 02-2025.xlsm)</v>
      </c>
      <c r="AG112" s="498">
        <f ca="1">ROUND(IF(DESONERACAO="sim",REFERENCIA.Desonerado,REFERENCIA.NaoDesonerado),2)</f>
        <v>0</v>
      </c>
      <c r="AH112" s="499">
        <f t="shared" ca="1" si="33"/>
        <v>0.22470000000000001</v>
      </c>
      <c r="AJ112" s="501">
        <v>639.94000000000005</v>
      </c>
      <c r="AL112" s="527"/>
      <c r="AM112" s="381">
        <f t="shared" ca="1" si="34"/>
        <v>0</v>
      </c>
      <c r="AN112" s="566">
        <f t="shared" ca="1" si="35"/>
        <v>0</v>
      </c>
    </row>
    <row r="113" spans="1:40" ht="38.25" x14ac:dyDescent="0.2">
      <c r="A113" t="str">
        <f t="shared" si="20"/>
        <v>S</v>
      </c>
      <c r="B113">
        <f t="shared" ca="1" si="21"/>
        <v>3</v>
      </c>
      <c r="C113" t="str">
        <f t="shared" ca="1" si="22"/>
        <v>S</v>
      </c>
      <c r="D113">
        <f t="shared" ca="1" si="23"/>
        <v>0</v>
      </c>
      <c r="E113">
        <f ca="1">IF($C113=1,OFFSET(E113,-1,0)+MAX(1,COUNTIF(QCI!$A$13:$A$24,OFFSET(ORÇAMENTO!E113,-1,0))),OFFSET(E113,-1,0))</f>
        <v>1</v>
      </c>
      <c r="F113">
        <f t="shared" ca="1" si="24"/>
        <v>5</v>
      </c>
      <c r="G113">
        <f t="shared" ca="1" si="25"/>
        <v>2</v>
      </c>
      <c r="H113">
        <f t="shared" ca="1" si="26"/>
        <v>0</v>
      </c>
      <c r="I113">
        <f t="shared" ca="1" si="27"/>
        <v>0</v>
      </c>
      <c r="J113">
        <f t="shared" ca="1" si="18"/>
        <v>0</v>
      </c>
      <c r="K113">
        <f ca="1">IF(OR($C113="S",$C113=0),0,MATCH(OFFSET($D113,0,$C113)+IF($C113&lt;&gt;1,1,COUNTIF(QCI!$A$13:$A$24,ORÇAMENTO!E113)),OFFSET($D113,1,$C113,ROW($C$747)-ROW($C113)),0))</f>
        <v>0</v>
      </c>
      <c r="L113" s="116" t="str">
        <f t="shared" ca="1" si="28"/>
        <v/>
      </c>
      <c r="M113" s="117" t="s">
        <v>199</v>
      </c>
      <c r="N113" s="118" t="str">
        <f t="shared" ca="1" si="29"/>
        <v>Serviço</v>
      </c>
      <c r="O113" s="119" t="str">
        <f t="shared" ca="1" si="30"/>
        <v>-</v>
      </c>
      <c r="P113" s="120" t="s">
        <v>247</v>
      </c>
      <c r="Q113" s="121" t="s">
        <v>481</v>
      </c>
      <c r="R113" s="122" t="str">
        <f ca="1">IF($C113="S",REFERENCIA.Descricao,"(digite a descrição aqui)")</f>
        <v>(abra o arquivo 'Referência 02-2025.xlsm)</v>
      </c>
      <c r="S113" s="123" t="str">
        <f ca="1">REFERENCIA.Unidade</f>
        <v>-</v>
      </c>
      <c r="T113" s="124">
        <f ca="1">OFFSET(CÁLCULO!H$15,ROW($T113)-ROW(T$15),0)</f>
        <v>14.71</v>
      </c>
      <c r="U113" s="125">
        <f t="shared" ca="1" si="36"/>
        <v>0</v>
      </c>
      <c r="V113" s="126" t="s">
        <v>156</v>
      </c>
      <c r="W113" s="124">
        <f ca="1">IF($C113="S",ROUND(IF(TIPOORCAMENTO="Proposto",ORÇAMENTO.CustoUnitario*(1+$AH113),ORÇAMENTO.PrecoUnitarioLicitado),15-13*$AF$10),0)</f>
        <v>0</v>
      </c>
      <c r="X113" s="127">
        <f ca="1">IF($C113="S",IF(Import.TipoArredondamento&lt;&gt;"TransfereGOV",VTOTAL1,SUM(OFFSET(CÁLCULO!$AA$15,ROW($X113)-ROW($X$15),1):OFFSET(CÁLCULO!$AL$15,ROW($X113)-ROW($X$15),-1))),IF($C113=0,0,ROUND(SomaAgrup,15-13*$AF$11)))</f>
        <v>0</v>
      </c>
      <c r="Y113" s="128" t="s">
        <v>245</v>
      </c>
      <c r="Z113" t="str">
        <f t="shared" ca="1" si="31"/>
        <v/>
      </c>
      <c r="AA113" s="129">
        <f ca="1">IF($C113="S",IF($Z113="CP",$X113,IF($Z113="RA",(($X113)*QCI!$AA$3),0)),SomaAgrup)</f>
        <v>0</v>
      </c>
      <c r="AB113" s="130">
        <f t="shared" ca="1" si="32"/>
        <v>0</v>
      </c>
      <c r="AC113" s="131" t="str">
        <f ca="1">IF($N113="","",IF(ORÇAMENTO.Descricao="","DESCRIÇÃO",IF(AND($C113="S",ORÇAMENTO.Unidade=""),"UNIDADE",IF($X113&lt;0,"VALOR NEGATIVO",IF(OR(AND(TIPOORCAMENTO="Proposto",$AG113&lt;&gt;"",$AG113&gt;0,ORÇAMENTO.CustoUnitario&gt;$AG113),AND(TIPOORCAMENTO="LICITADO",ORÇAMENTO.PrecoUnitarioLicitado&gt;$AN113)),"ACIMA REF.","")))))</f>
        <v/>
      </c>
      <c r="AD113" t="str">
        <f ca="1">IF(C113&lt;=CRONO.NivelExibicao,MAX($AD$15:OFFSET(AD113,-1,0))+IF($C113&lt;&gt;1,1,MAX(1,COUNTIF(QCI!$A$13:$A$24,OFFSET($E113,-1,0)))),"")</f>
        <v/>
      </c>
      <c r="AE113" s="7" t="str">
        <f ca="1">IF(AND($C113="S",ORÇAMENTO.CodBarra&lt;&gt;""),IF(ORÇAMENTO.Fonte="",ORÇAMENTO.CodBarra,CONCATENATE(ORÇAMENTO.Fonte," ",ORÇAMENTO.CodBarra)))</f>
        <v>SINAPI 101159</v>
      </c>
      <c r="AF113" s="13" t="str">
        <f ca="1">IF(ISERROR(INDIRECT(ORÇAMENTO.BancoRef)),"(abra o arquivo 'Referência "&amp;Excel_BuiltIn_Database&amp;".xlsm)",IF(OR($C113&lt;&gt;"S",ORÇAMENTO.CodBarra=""),"(Sem Código)",IF(ISERROR(MATCH($AE113,INDIRECT(ORÇAMENTO.BancoRef),0)),"(Código não identificado nas referências)",MATCH($AE113,INDIRECT(ORÇAMENTO.BancoRef),0))))</f>
        <v>(abra o arquivo 'Referência 02-2025.xlsm)</v>
      </c>
      <c r="AG113" s="498">
        <f ca="1">ROUND(IF(DESONERACAO="sim",REFERENCIA.Desonerado,REFERENCIA.NaoDesonerado),2)</f>
        <v>0</v>
      </c>
      <c r="AH113" s="499">
        <f t="shared" ca="1" si="33"/>
        <v>0.22470000000000001</v>
      </c>
      <c r="AJ113" s="501">
        <v>14.71</v>
      </c>
      <c r="AL113" s="527"/>
      <c r="AM113" s="381">
        <f t="shared" ca="1" si="34"/>
        <v>0</v>
      </c>
      <c r="AN113" s="566">
        <f t="shared" ca="1" si="35"/>
        <v>0</v>
      </c>
    </row>
    <row r="114" spans="1:40" x14ac:dyDescent="0.2">
      <c r="A114">
        <f t="shared" si="20"/>
        <v>3</v>
      </c>
      <c r="B114">
        <f t="shared" ca="1" si="21"/>
        <v>3</v>
      </c>
      <c r="C114">
        <f t="shared" ca="1" si="22"/>
        <v>3</v>
      </c>
      <c r="D114">
        <f t="shared" ca="1" si="23"/>
        <v>5</v>
      </c>
      <c r="E114">
        <f ca="1">IF($C114=1,OFFSET(E114,-1,0)+MAX(1,COUNTIF(QCI!$A$13:$A$24,OFFSET(ORÇAMENTO!E114,-1,0))),OFFSET(E114,-1,0))</f>
        <v>1</v>
      </c>
      <c r="F114">
        <f t="shared" ca="1" si="24"/>
        <v>5</v>
      </c>
      <c r="G114">
        <f t="shared" ca="1" si="25"/>
        <v>3</v>
      </c>
      <c r="H114">
        <f t="shared" ca="1" si="26"/>
        <v>0</v>
      </c>
      <c r="I114">
        <f t="shared" ca="1" si="27"/>
        <v>0</v>
      </c>
      <c r="J114">
        <f t="shared" ca="1" si="18"/>
        <v>9</v>
      </c>
      <c r="K114">
        <f ca="1">IF(OR($C114="S",$C114=0),0,MATCH(OFFSET($D114,0,$C114)+IF($C114&lt;&gt;1,1,COUNTIF(QCI!$A$13:$A$24,ORÇAMENTO!E114)),OFFSET($D114,1,$C114,ROW($C$747)-ROW($C114)),0))</f>
        <v>5</v>
      </c>
      <c r="L114" s="116" t="str">
        <f t="shared" ca="1" si="28"/>
        <v>F</v>
      </c>
      <c r="M114" s="117" t="s">
        <v>197</v>
      </c>
      <c r="N114" s="118" t="str">
        <f t="shared" ca="1" si="29"/>
        <v>Nível 3</v>
      </c>
      <c r="O114" s="119" t="str">
        <f t="shared" ca="1" si="30"/>
        <v>1.5.3.</v>
      </c>
      <c r="P114" s="120" t="s">
        <v>247</v>
      </c>
      <c r="Q114" s="121"/>
      <c r="R114" s="122" t="s">
        <v>1017</v>
      </c>
      <c r="S114" s="123" t="str">
        <f ca="1">REFERENCIA.Unidade</f>
        <v>-</v>
      </c>
      <c r="T114" s="124">
        <f ca="1">OFFSET(CÁLCULO!H$15,ROW($T114)-ROW(T$15),0)</f>
        <v>0</v>
      </c>
      <c r="U114" s="125">
        <f t="shared" ca="1" si="36"/>
        <v>0</v>
      </c>
      <c r="V114" s="126" t="s">
        <v>156</v>
      </c>
      <c r="W114" s="124">
        <f ca="1">IF($C114="S",ROUND(IF(TIPOORCAMENTO="Proposto",ORÇAMENTO.CustoUnitario*(1+$AH114),ORÇAMENTO.PrecoUnitarioLicitado),15-13*$AF$10),0)</f>
        <v>0</v>
      </c>
      <c r="X114" s="127">
        <f ca="1">IF($C114="S",IF(Import.TipoArredondamento&lt;&gt;"TransfereGOV",VTOTAL1,SUM(OFFSET(CÁLCULO!$AA$15,ROW($X114)-ROW($X$15),1):OFFSET(CÁLCULO!$AL$15,ROW($X114)-ROW($X$15),-1))),IF($C114=0,0,ROUND(SomaAgrup,15-13*$AF$11)))</f>
        <v>0</v>
      </c>
      <c r="Y114" s="128" t="s">
        <v>245</v>
      </c>
      <c r="Z114" t="str">
        <f t="shared" ca="1" si="31"/>
        <v/>
      </c>
      <c r="AA114" s="129">
        <f ca="1">IF($C114="S",IF($Z114="CP",$X114,IF($Z114="RA",(($X114)*QCI!$AA$3),0)),SomaAgrup)</f>
        <v>0</v>
      </c>
      <c r="AB114" s="130">
        <f t="shared" ca="1" si="32"/>
        <v>0</v>
      </c>
      <c r="AC114" s="131" t="str">
        <f ca="1">IF($N114="","",IF(ORÇAMENTO.Descricao="","DESCRIÇÃO",IF(AND($C114="S",ORÇAMENTO.Unidade=""),"UNIDADE",IF($X114&lt;0,"VALOR NEGATIVO",IF(OR(AND(TIPOORCAMENTO="Proposto",$AG114&lt;&gt;"",$AG114&gt;0,ORÇAMENTO.CustoUnitario&gt;$AG114),AND(TIPOORCAMENTO="LICITADO",ORÇAMENTO.PrecoUnitarioLicitado&gt;$AN114)),"ACIMA REF.","")))))</f>
        <v/>
      </c>
      <c r="AD114" t="str">
        <f ca="1">IF(C114&lt;=CRONO.NivelExibicao,MAX($AD$15:OFFSET(AD114,-1,0))+IF($C114&lt;&gt;1,1,MAX(1,COUNTIF(QCI!$A$13:$A$24,OFFSET($E114,-1,0)))),"")</f>
        <v/>
      </c>
      <c r="AE114" s="7" t="b">
        <f ca="1">IF(AND($C114="S",ORÇAMENTO.CodBarra&lt;&gt;""),IF(ORÇAMENTO.Fonte="",ORÇAMENTO.CodBarra,CONCATENATE(ORÇAMENTO.Fonte," ",ORÇAMENTO.CodBarra)))</f>
        <v>0</v>
      </c>
      <c r="AF114" s="13" t="str">
        <f ca="1">IF(ISERROR(INDIRECT(ORÇAMENTO.BancoRef)),"(abra o arquivo 'Referência "&amp;Excel_BuiltIn_Database&amp;".xlsm)",IF(OR($C114&lt;&gt;"S",ORÇAMENTO.CodBarra=""),"(Sem Código)",IF(ISERROR(MATCH($AE114,INDIRECT(ORÇAMENTO.BancoRef),0)),"(Código não identificado nas referências)",MATCH($AE114,INDIRECT(ORÇAMENTO.BancoRef),0))))</f>
        <v>(abra o arquivo 'Referência 02-2025.xlsm)</v>
      </c>
      <c r="AG114" s="498">
        <f ca="1">ROUND(IF(DESONERACAO="sim",REFERENCIA.Desonerado,REFERENCIA.NaoDesonerado),2)</f>
        <v>0</v>
      </c>
      <c r="AH114" s="499">
        <f t="shared" ca="1" si="33"/>
        <v>0.22470000000000001</v>
      </c>
      <c r="AJ114" s="501"/>
      <c r="AL114" s="527"/>
      <c r="AM114" s="381">
        <f t="shared" ca="1" si="34"/>
        <v>0</v>
      </c>
      <c r="AN114" s="566">
        <f t="shared" ca="1" si="35"/>
        <v>0</v>
      </c>
    </row>
    <row r="115" spans="1:40" ht="25.5" x14ac:dyDescent="0.2">
      <c r="A115" t="str">
        <f t="shared" si="20"/>
        <v>S</v>
      </c>
      <c r="B115">
        <f t="shared" ca="1" si="21"/>
        <v>3</v>
      </c>
      <c r="C115" t="str">
        <f t="shared" ca="1" si="22"/>
        <v>S</v>
      </c>
      <c r="D115">
        <f t="shared" ca="1" si="23"/>
        <v>0</v>
      </c>
      <c r="E115">
        <f ca="1">IF($C115=1,OFFSET(E115,-1,0)+MAX(1,COUNTIF(QCI!$A$13:$A$24,OFFSET(ORÇAMENTO!E115,-1,0))),OFFSET(E115,-1,0))</f>
        <v>1</v>
      </c>
      <c r="F115">
        <f t="shared" ca="1" si="24"/>
        <v>5</v>
      </c>
      <c r="G115">
        <f t="shared" ca="1" si="25"/>
        <v>3</v>
      </c>
      <c r="H115">
        <f t="shared" ca="1" si="26"/>
        <v>0</v>
      </c>
      <c r="I115">
        <f t="shared" ca="1" si="27"/>
        <v>0</v>
      </c>
      <c r="J115">
        <f t="shared" ca="1" si="18"/>
        <v>0</v>
      </c>
      <c r="K115">
        <f ca="1">IF(OR($C115="S",$C115=0),0,MATCH(OFFSET($D115,0,$C115)+IF($C115&lt;&gt;1,1,COUNTIF(QCI!$A$13:$A$24,ORÇAMENTO!E115)),OFFSET($D115,1,$C115,ROW($C$747)-ROW($C115)),0))</f>
        <v>0</v>
      </c>
      <c r="L115" s="116" t="str">
        <f t="shared" ca="1" si="28"/>
        <v/>
      </c>
      <c r="M115" s="117" t="s">
        <v>199</v>
      </c>
      <c r="N115" s="118" t="str">
        <f t="shared" ca="1" si="29"/>
        <v>Serviço</v>
      </c>
      <c r="O115" s="119" t="str">
        <f t="shared" ca="1" si="30"/>
        <v>-</v>
      </c>
      <c r="P115" s="120" t="s">
        <v>247</v>
      </c>
      <c r="Q115" s="121" t="s">
        <v>911</v>
      </c>
      <c r="R115" s="122" t="str">
        <f ca="1">IF($C115="S",REFERENCIA.Descricao,"(digite a descrição aqui)")</f>
        <v>(abra o arquivo 'Referência 02-2025.xlsm)</v>
      </c>
      <c r="S115" s="123" t="str">
        <f ca="1">REFERENCIA.Unidade</f>
        <v>-</v>
      </c>
      <c r="T115" s="124">
        <f ca="1">OFFSET(CÁLCULO!H$15,ROW($T115)-ROW(T$15),0)</f>
        <v>72.94</v>
      </c>
      <c r="U115" s="125">
        <f t="shared" ca="1" si="36"/>
        <v>0</v>
      </c>
      <c r="V115" s="126" t="s">
        <v>156</v>
      </c>
      <c r="W115" s="124">
        <f ca="1">IF($C115="S",ROUND(IF(TIPOORCAMENTO="Proposto",ORÇAMENTO.CustoUnitario*(1+$AH115),ORÇAMENTO.PrecoUnitarioLicitado),15-13*$AF$10),0)</f>
        <v>0</v>
      </c>
      <c r="X115" s="127">
        <f ca="1">IF($C115="S",IF(Import.TipoArredondamento&lt;&gt;"TransfereGOV",VTOTAL1,SUM(OFFSET(CÁLCULO!$AA$15,ROW($X115)-ROW($X$15),1):OFFSET(CÁLCULO!$AL$15,ROW($X115)-ROW($X$15),-1))),IF($C115=0,0,ROUND(SomaAgrup,15-13*$AF$11)))</f>
        <v>0</v>
      </c>
      <c r="Y115" s="128" t="s">
        <v>245</v>
      </c>
      <c r="Z115" t="str">
        <f t="shared" ca="1" si="31"/>
        <v/>
      </c>
      <c r="AA115" s="129">
        <f ca="1">IF($C115="S",IF($Z115="CP",$X115,IF($Z115="RA",(($X115)*QCI!$AA$3),0)),SomaAgrup)</f>
        <v>0</v>
      </c>
      <c r="AB115" s="130">
        <f t="shared" ca="1" si="32"/>
        <v>0</v>
      </c>
      <c r="AC115" s="131" t="str">
        <f ca="1">IF($N115="","",IF(ORÇAMENTO.Descricao="","DESCRIÇÃO",IF(AND($C115="S",ORÇAMENTO.Unidade=""),"UNIDADE",IF($X115&lt;0,"VALOR NEGATIVO",IF(OR(AND(TIPOORCAMENTO="Proposto",$AG115&lt;&gt;"",$AG115&gt;0,ORÇAMENTO.CustoUnitario&gt;$AG115),AND(TIPOORCAMENTO="LICITADO",ORÇAMENTO.PrecoUnitarioLicitado&gt;$AN115)),"ACIMA REF.","")))))</f>
        <v/>
      </c>
      <c r="AD115" t="str">
        <f ca="1">IF(C115&lt;=CRONO.NivelExibicao,MAX($AD$15:OFFSET(AD115,-1,0))+IF($C115&lt;&gt;1,1,MAX(1,COUNTIF(QCI!$A$13:$A$24,OFFSET($E115,-1,0)))),"")</f>
        <v/>
      </c>
      <c r="AE115" s="7" t="str">
        <f ca="1">IF(AND($C115="S",ORÇAMENTO.CodBarra&lt;&gt;""),IF(ORÇAMENTO.Fonte="",ORÇAMENTO.CodBarra,CONCATENATE(ORÇAMENTO.Fonte," ",ORÇAMENTO.CodBarra)))</f>
        <v>SINAPI 105024</v>
      </c>
      <c r="AF115" s="13" t="str">
        <f ca="1">IF(ISERROR(INDIRECT(ORÇAMENTO.BancoRef)),"(abra o arquivo 'Referência "&amp;Excel_BuiltIn_Database&amp;".xlsm)",IF(OR($C115&lt;&gt;"S",ORÇAMENTO.CodBarra=""),"(Sem Código)",IF(ISERROR(MATCH($AE115,INDIRECT(ORÇAMENTO.BancoRef),0)),"(Código não identificado nas referências)",MATCH($AE115,INDIRECT(ORÇAMENTO.BancoRef),0))))</f>
        <v>(abra o arquivo 'Referência 02-2025.xlsm)</v>
      </c>
      <c r="AG115" s="498">
        <f ca="1">ROUND(IF(DESONERACAO="sim",REFERENCIA.Desonerado,REFERENCIA.NaoDesonerado),2)</f>
        <v>0</v>
      </c>
      <c r="AH115" s="499">
        <f t="shared" ca="1" si="33"/>
        <v>0.22470000000000001</v>
      </c>
      <c r="AJ115" s="501">
        <v>72.94</v>
      </c>
      <c r="AL115" s="527"/>
      <c r="AM115" s="381">
        <f t="shared" ca="1" si="34"/>
        <v>0</v>
      </c>
      <c r="AN115" s="566">
        <f t="shared" ca="1" si="35"/>
        <v>0</v>
      </c>
    </row>
    <row r="116" spans="1:40" ht="25.5" x14ac:dyDescent="0.2">
      <c r="A116" t="str">
        <f t="shared" si="20"/>
        <v>S</v>
      </c>
      <c r="B116">
        <f t="shared" ca="1" si="21"/>
        <v>3</v>
      </c>
      <c r="C116" t="str">
        <f t="shared" ca="1" si="22"/>
        <v>S</v>
      </c>
      <c r="D116">
        <f t="shared" ca="1" si="23"/>
        <v>0</v>
      </c>
      <c r="E116">
        <f ca="1">IF($C116=1,OFFSET(E116,-1,0)+MAX(1,COUNTIF(QCI!$A$13:$A$24,OFFSET(ORÇAMENTO!E116,-1,0))),OFFSET(E116,-1,0))</f>
        <v>1</v>
      </c>
      <c r="F116">
        <f t="shared" ca="1" si="24"/>
        <v>5</v>
      </c>
      <c r="G116">
        <f t="shared" ca="1" si="25"/>
        <v>3</v>
      </c>
      <c r="H116">
        <f t="shared" ca="1" si="26"/>
        <v>0</v>
      </c>
      <c r="I116">
        <f t="shared" ca="1" si="27"/>
        <v>0</v>
      </c>
      <c r="J116">
        <f t="shared" ca="1" si="18"/>
        <v>0</v>
      </c>
      <c r="K116">
        <f ca="1">IF(OR($C116="S",$C116=0),0,MATCH(OFFSET($D116,0,$C116)+IF($C116&lt;&gt;1,1,COUNTIF(QCI!$A$13:$A$24,ORÇAMENTO!E116)),OFFSET($D116,1,$C116,ROW($C$747)-ROW($C116)),0))</f>
        <v>0</v>
      </c>
      <c r="L116" s="116" t="str">
        <f t="shared" ca="1" si="28"/>
        <v/>
      </c>
      <c r="M116" s="117" t="s">
        <v>199</v>
      </c>
      <c r="N116" s="118" t="str">
        <f t="shared" ca="1" si="29"/>
        <v>Serviço</v>
      </c>
      <c r="O116" s="119" t="str">
        <f t="shared" ca="1" si="30"/>
        <v>-</v>
      </c>
      <c r="P116" s="120" t="s">
        <v>247</v>
      </c>
      <c r="Q116" s="121" t="s">
        <v>912</v>
      </c>
      <c r="R116" s="122" t="str">
        <f ca="1">IF($C116="S",REFERENCIA.Descricao,"(digite a descrição aqui)")</f>
        <v>(abra o arquivo 'Referência 02-2025.xlsm)</v>
      </c>
      <c r="S116" s="123" t="str">
        <f ca="1">REFERENCIA.Unidade</f>
        <v>-</v>
      </c>
      <c r="T116" s="124">
        <f ca="1">OFFSET(CÁLCULO!H$15,ROW($T116)-ROW(T$15),0)</f>
        <v>2.9</v>
      </c>
      <c r="U116" s="125">
        <f t="shared" ca="1" si="36"/>
        <v>0</v>
      </c>
      <c r="V116" s="126" t="s">
        <v>156</v>
      </c>
      <c r="W116" s="124">
        <f ca="1">IF($C116="S",ROUND(IF(TIPOORCAMENTO="Proposto",ORÇAMENTO.CustoUnitario*(1+$AH116),ORÇAMENTO.PrecoUnitarioLicitado),15-13*$AF$10),0)</f>
        <v>0</v>
      </c>
      <c r="X116" s="127">
        <f ca="1">IF($C116="S",IF(Import.TipoArredondamento&lt;&gt;"TransfereGOV",VTOTAL1,SUM(OFFSET(CÁLCULO!$AA$15,ROW($X116)-ROW($X$15),1):OFFSET(CÁLCULO!$AL$15,ROW($X116)-ROW($X$15),-1))),IF($C116=0,0,ROUND(SomaAgrup,15-13*$AF$11)))</f>
        <v>0</v>
      </c>
      <c r="Y116" s="128" t="s">
        <v>245</v>
      </c>
      <c r="Z116" t="str">
        <f t="shared" ca="1" si="31"/>
        <v/>
      </c>
      <c r="AA116" s="129">
        <f ca="1">IF($C116="S",IF($Z116="CP",$X116,IF($Z116="RA",(($X116)*QCI!$AA$3),0)),SomaAgrup)</f>
        <v>0</v>
      </c>
      <c r="AB116" s="130">
        <f t="shared" ca="1" si="32"/>
        <v>0</v>
      </c>
      <c r="AC116" s="131" t="str">
        <f ca="1">IF($N116="","",IF(ORÇAMENTO.Descricao="","DESCRIÇÃO",IF(AND($C116="S",ORÇAMENTO.Unidade=""),"UNIDADE",IF($X116&lt;0,"VALOR NEGATIVO",IF(OR(AND(TIPOORCAMENTO="Proposto",$AG116&lt;&gt;"",$AG116&gt;0,ORÇAMENTO.CustoUnitario&gt;$AG116),AND(TIPOORCAMENTO="LICITADO",ORÇAMENTO.PrecoUnitarioLicitado&gt;$AN116)),"ACIMA REF.","")))))</f>
        <v/>
      </c>
      <c r="AD116" t="str">
        <f ca="1">IF(C116&lt;=CRONO.NivelExibicao,MAX($AD$15:OFFSET(AD116,-1,0))+IF($C116&lt;&gt;1,1,MAX(1,COUNTIF(QCI!$A$13:$A$24,OFFSET($E116,-1,0)))),"")</f>
        <v/>
      </c>
      <c r="AE116" s="7" t="str">
        <f ca="1">IF(AND($C116="S",ORÇAMENTO.CodBarra&lt;&gt;""),IF(ORÇAMENTO.Fonte="",ORÇAMENTO.CodBarra,CONCATENATE(ORÇAMENTO.Fonte," ",ORÇAMENTO.CodBarra)))</f>
        <v>SINAPI 105023</v>
      </c>
      <c r="AF116" s="13" t="str">
        <f ca="1">IF(ISERROR(INDIRECT(ORÇAMENTO.BancoRef)),"(abra o arquivo 'Referência "&amp;Excel_BuiltIn_Database&amp;".xlsm)",IF(OR($C116&lt;&gt;"S",ORÇAMENTO.CodBarra=""),"(Sem Código)",IF(ISERROR(MATCH($AE116,INDIRECT(ORÇAMENTO.BancoRef),0)),"(Código não identificado nas referências)",MATCH($AE116,INDIRECT(ORÇAMENTO.BancoRef),0))))</f>
        <v>(abra o arquivo 'Referência 02-2025.xlsm)</v>
      </c>
      <c r="AG116" s="498">
        <f ca="1">ROUND(IF(DESONERACAO="sim",REFERENCIA.Desonerado,REFERENCIA.NaoDesonerado),2)</f>
        <v>0</v>
      </c>
      <c r="AH116" s="499">
        <f t="shared" ca="1" si="33"/>
        <v>0.22470000000000001</v>
      </c>
      <c r="AJ116" s="501">
        <v>2.9</v>
      </c>
      <c r="AL116" s="527"/>
      <c r="AM116" s="381">
        <f t="shared" ca="1" si="34"/>
        <v>0</v>
      </c>
      <c r="AN116" s="566">
        <f t="shared" ca="1" si="35"/>
        <v>0</v>
      </c>
    </row>
    <row r="117" spans="1:40" ht="25.5" x14ac:dyDescent="0.2">
      <c r="A117" t="str">
        <f t="shared" si="20"/>
        <v>S</v>
      </c>
      <c r="B117">
        <f t="shared" ca="1" si="21"/>
        <v>3</v>
      </c>
      <c r="C117" t="str">
        <f t="shared" ca="1" si="22"/>
        <v>S</v>
      </c>
      <c r="D117">
        <f t="shared" ca="1" si="23"/>
        <v>0</v>
      </c>
      <c r="E117">
        <f ca="1">IF($C117=1,OFFSET(E117,-1,0)+MAX(1,COUNTIF(QCI!$A$13:$A$24,OFFSET(ORÇAMENTO!E117,-1,0))),OFFSET(E117,-1,0))</f>
        <v>1</v>
      </c>
      <c r="F117">
        <f t="shared" ca="1" si="24"/>
        <v>5</v>
      </c>
      <c r="G117">
        <f t="shared" ca="1" si="25"/>
        <v>3</v>
      </c>
      <c r="H117">
        <f t="shared" ca="1" si="26"/>
        <v>0</v>
      </c>
      <c r="I117">
        <f t="shared" ca="1" si="27"/>
        <v>0</v>
      </c>
      <c r="J117">
        <f t="shared" ca="1" si="18"/>
        <v>0</v>
      </c>
      <c r="K117">
        <f ca="1">IF(OR($C117="S",$C117=0),0,MATCH(OFFSET($D117,0,$C117)+IF($C117&lt;&gt;1,1,COUNTIF(QCI!$A$13:$A$24,ORÇAMENTO!E117)),OFFSET($D117,1,$C117,ROW($C$747)-ROW($C117)),0))</f>
        <v>0</v>
      </c>
      <c r="L117" s="116" t="str">
        <f t="shared" ca="1" si="28"/>
        <v/>
      </c>
      <c r="M117" s="117" t="s">
        <v>199</v>
      </c>
      <c r="N117" s="118" t="str">
        <f t="shared" ca="1" si="29"/>
        <v>Serviço</v>
      </c>
      <c r="O117" s="119" t="str">
        <f t="shared" ca="1" si="30"/>
        <v>-</v>
      </c>
      <c r="P117" s="120" t="s">
        <v>247</v>
      </c>
      <c r="Q117" s="121" t="s">
        <v>913</v>
      </c>
      <c r="R117" s="122" t="str">
        <f ca="1">IF($C117="S",REFERENCIA.Descricao,"(digite a descrição aqui)")</f>
        <v>(abra o arquivo 'Referência 02-2025.xlsm)</v>
      </c>
      <c r="S117" s="123" t="str">
        <f ca="1">REFERENCIA.Unidade</f>
        <v>-</v>
      </c>
      <c r="T117" s="124">
        <f ca="1">OFFSET(CÁLCULO!H$15,ROW($T117)-ROW(T$15),0)</f>
        <v>85.5</v>
      </c>
      <c r="U117" s="125">
        <f t="shared" ca="1" si="36"/>
        <v>0</v>
      </c>
      <c r="V117" s="126" t="s">
        <v>156</v>
      </c>
      <c r="W117" s="124">
        <f ca="1">IF($C117="S",ROUND(IF(TIPOORCAMENTO="Proposto",ORÇAMENTO.CustoUnitario*(1+$AH117),ORÇAMENTO.PrecoUnitarioLicitado),15-13*$AF$10),0)</f>
        <v>0</v>
      </c>
      <c r="X117" s="127">
        <f ca="1">IF($C117="S",IF(Import.TipoArredondamento&lt;&gt;"TransfereGOV",VTOTAL1,SUM(OFFSET(CÁLCULO!$AA$15,ROW($X117)-ROW($X$15),1):OFFSET(CÁLCULO!$AL$15,ROW($X117)-ROW($X$15),-1))),IF($C117=0,0,ROUND(SomaAgrup,15-13*$AF$11)))</f>
        <v>0</v>
      </c>
      <c r="Y117" s="128" t="s">
        <v>245</v>
      </c>
      <c r="Z117" t="str">
        <f t="shared" ca="1" si="31"/>
        <v/>
      </c>
      <c r="AA117" s="129">
        <f ca="1">IF($C117="S",IF($Z117="CP",$X117,IF($Z117="RA",(($X117)*QCI!$AA$3),0)),SomaAgrup)</f>
        <v>0</v>
      </c>
      <c r="AB117" s="130">
        <f t="shared" ca="1" si="32"/>
        <v>0</v>
      </c>
      <c r="AC117" s="131" t="str">
        <f ca="1">IF($N117="","",IF(ORÇAMENTO.Descricao="","DESCRIÇÃO",IF(AND($C117="S",ORÇAMENTO.Unidade=""),"UNIDADE",IF($X117&lt;0,"VALOR NEGATIVO",IF(OR(AND(TIPOORCAMENTO="Proposto",$AG117&lt;&gt;"",$AG117&gt;0,ORÇAMENTO.CustoUnitario&gt;$AG117),AND(TIPOORCAMENTO="LICITADO",ORÇAMENTO.PrecoUnitarioLicitado&gt;$AN117)),"ACIMA REF.","")))))</f>
        <v/>
      </c>
      <c r="AD117" t="str">
        <f ca="1">IF(C117&lt;=CRONO.NivelExibicao,MAX($AD$15:OFFSET(AD117,-1,0))+IF($C117&lt;&gt;1,1,MAX(1,COUNTIF(QCI!$A$13:$A$24,OFFSET($E117,-1,0)))),"")</f>
        <v/>
      </c>
      <c r="AE117" s="7" t="str">
        <f ca="1">IF(AND($C117="S",ORÇAMENTO.CodBarra&lt;&gt;""),IF(ORÇAMENTO.Fonte="",ORÇAMENTO.CodBarra,CONCATENATE(ORÇAMENTO.Fonte," ",ORÇAMENTO.CodBarra)))</f>
        <v>SINAPI 105030</v>
      </c>
      <c r="AF117" s="13" t="str">
        <f ca="1">IF(ISERROR(INDIRECT(ORÇAMENTO.BancoRef)),"(abra o arquivo 'Referência "&amp;Excel_BuiltIn_Database&amp;".xlsm)",IF(OR($C117&lt;&gt;"S",ORÇAMENTO.CodBarra=""),"(Sem Código)",IF(ISERROR(MATCH($AE117,INDIRECT(ORÇAMENTO.BancoRef),0)),"(Código não identificado nas referências)",MATCH($AE117,INDIRECT(ORÇAMENTO.BancoRef),0))))</f>
        <v>(abra o arquivo 'Referência 02-2025.xlsm)</v>
      </c>
      <c r="AG117" s="498">
        <f ca="1">ROUND(IF(DESONERACAO="sim",REFERENCIA.Desonerado,REFERENCIA.NaoDesonerado),2)</f>
        <v>0</v>
      </c>
      <c r="AH117" s="499">
        <f t="shared" ca="1" si="33"/>
        <v>0.22470000000000001</v>
      </c>
      <c r="AJ117" s="501">
        <v>85.5</v>
      </c>
      <c r="AL117" s="527"/>
      <c r="AM117" s="381">
        <f t="shared" ca="1" si="34"/>
        <v>0</v>
      </c>
      <c r="AN117" s="566">
        <f t="shared" ca="1" si="35"/>
        <v>0</v>
      </c>
    </row>
    <row r="118" spans="1:40" ht="25.5" x14ac:dyDescent="0.2">
      <c r="A118" t="str">
        <f t="shared" si="20"/>
        <v>S</v>
      </c>
      <c r="B118">
        <f t="shared" ca="1" si="21"/>
        <v>3</v>
      </c>
      <c r="C118" t="str">
        <f t="shared" ca="1" si="22"/>
        <v>S</v>
      </c>
      <c r="D118">
        <f t="shared" ca="1" si="23"/>
        <v>0</v>
      </c>
      <c r="E118">
        <f ca="1">IF($C118=1,OFFSET(E118,-1,0)+MAX(1,COUNTIF(QCI!$A$13:$A$24,OFFSET(ORÇAMENTO!E118,-1,0))),OFFSET(E118,-1,0))</f>
        <v>1</v>
      </c>
      <c r="F118">
        <f t="shared" ca="1" si="24"/>
        <v>5</v>
      </c>
      <c r="G118">
        <f t="shared" ca="1" si="25"/>
        <v>3</v>
      </c>
      <c r="H118">
        <f t="shared" ca="1" si="26"/>
        <v>0</v>
      </c>
      <c r="I118">
        <f t="shared" ca="1" si="27"/>
        <v>0</v>
      </c>
      <c r="J118">
        <f t="shared" ca="1" si="18"/>
        <v>0</v>
      </c>
      <c r="K118">
        <f ca="1">IF(OR($C118="S",$C118=0),0,MATCH(OFFSET($D118,0,$C118)+IF($C118&lt;&gt;1,1,COUNTIF(QCI!$A$13:$A$24,ORÇAMENTO!E118)),OFFSET($D118,1,$C118,ROW($C$747)-ROW($C118)),0))</f>
        <v>0</v>
      </c>
      <c r="L118" s="116" t="str">
        <f t="shared" ca="1" si="28"/>
        <v/>
      </c>
      <c r="M118" s="117" t="s">
        <v>199</v>
      </c>
      <c r="N118" s="118" t="str">
        <f t="shared" ca="1" si="29"/>
        <v>Serviço</v>
      </c>
      <c r="O118" s="119" t="str">
        <f t="shared" ca="1" si="30"/>
        <v>-</v>
      </c>
      <c r="P118" s="120" t="s">
        <v>247</v>
      </c>
      <c r="Q118" s="121" t="s">
        <v>914</v>
      </c>
      <c r="R118" s="122" t="str">
        <f ca="1">IF($C118="S",REFERENCIA.Descricao,"(digite a descrição aqui)")</f>
        <v>(abra o arquivo 'Referência 02-2025.xlsm)</v>
      </c>
      <c r="S118" s="123" t="str">
        <f ca="1">REFERENCIA.Unidade</f>
        <v>-</v>
      </c>
      <c r="T118" s="124">
        <f ca="1">OFFSET(CÁLCULO!H$15,ROW($T118)-ROW(T$15),0)</f>
        <v>71.3</v>
      </c>
      <c r="U118" s="125">
        <f t="shared" ca="1" si="36"/>
        <v>0</v>
      </c>
      <c r="V118" s="126" t="s">
        <v>156</v>
      </c>
      <c r="W118" s="124">
        <f ca="1">IF($C118="S",ROUND(IF(TIPOORCAMENTO="Proposto",ORÇAMENTO.CustoUnitario*(1+$AH118),ORÇAMENTO.PrecoUnitarioLicitado),15-13*$AF$10),0)</f>
        <v>0</v>
      </c>
      <c r="X118" s="127">
        <f ca="1">IF($C118="S",IF(Import.TipoArredondamento&lt;&gt;"TransfereGOV",VTOTAL1,SUM(OFFSET(CÁLCULO!$AA$15,ROW($X118)-ROW($X$15),1):OFFSET(CÁLCULO!$AL$15,ROW($X118)-ROW($X$15),-1))),IF($C118=0,0,ROUND(SomaAgrup,15-13*$AF$11)))</f>
        <v>0</v>
      </c>
      <c r="Y118" s="128" t="s">
        <v>245</v>
      </c>
      <c r="Z118" t="str">
        <f t="shared" ca="1" si="31"/>
        <v/>
      </c>
      <c r="AA118" s="129">
        <f ca="1">IF($C118="S",IF($Z118="CP",$X118,IF($Z118="RA",(($X118)*QCI!$AA$3),0)),SomaAgrup)</f>
        <v>0</v>
      </c>
      <c r="AB118" s="130">
        <f t="shared" ca="1" si="32"/>
        <v>0</v>
      </c>
      <c r="AC118" s="131" t="str">
        <f ca="1">IF($N118="","",IF(ORÇAMENTO.Descricao="","DESCRIÇÃO",IF(AND($C118="S",ORÇAMENTO.Unidade=""),"UNIDADE",IF($X118&lt;0,"VALOR NEGATIVO",IF(OR(AND(TIPOORCAMENTO="Proposto",$AG118&lt;&gt;"",$AG118&gt;0,ORÇAMENTO.CustoUnitario&gt;$AG118),AND(TIPOORCAMENTO="LICITADO",ORÇAMENTO.PrecoUnitarioLicitado&gt;$AN118)),"ACIMA REF.","")))))</f>
        <v/>
      </c>
      <c r="AD118" t="str">
        <f ca="1">IF(C118&lt;=CRONO.NivelExibicao,MAX($AD$15:OFFSET(AD118,-1,0))+IF($C118&lt;&gt;1,1,MAX(1,COUNTIF(QCI!$A$13:$A$24,OFFSET($E118,-1,0)))),"")</f>
        <v/>
      </c>
      <c r="AE118" s="7" t="str">
        <f ca="1">IF(AND($C118="S",ORÇAMENTO.CodBarra&lt;&gt;""),IF(ORÇAMENTO.Fonte="",ORÇAMENTO.CodBarra,CONCATENATE(ORÇAMENTO.Fonte," ",ORÇAMENTO.CodBarra)))</f>
        <v>SINAPI 105029</v>
      </c>
      <c r="AF118" s="13" t="str">
        <f ca="1">IF(ISERROR(INDIRECT(ORÇAMENTO.BancoRef)),"(abra o arquivo 'Referência "&amp;Excel_BuiltIn_Database&amp;".xlsm)",IF(OR($C118&lt;&gt;"S",ORÇAMENTO.CodBarra=""),"(Sem Código)",IF(ISERROR(MATCH($AE118,INDIRECT(ORÇAMENTO.BancoRef),0)),"(Código não identificado nas referências)",MATCH($AE118,INDIRECT(ORÇAMENTO.BancoRef),0))))</f>
        <v>(abra o arquivo 'Referência 02-2025.xlsm)</v>
      </c>
      <c r="AG118" s="498">
        <f ca="1">ROUND(IF(DESONERACAO="sim",REFERENCIA.Desonerado,REFERENCIA.NaoDesonerado),2)</f>
        <v>0</v>
      </c>
      <c r="AH118" s="499">
        <f t="shared" ca="1" si="33"/>
        <v>0.22470000000000001</v>
      </c>
      <c r="AJ118" s="501">
        <v>71.3</v>
      </c>
      <c r="AL118" s="527"/>
      <c r="AM118" s="381">
        <f t="shared" ca="1" si="34"/>
        <v>0</v>
      </c>
      <c r="AN118" s="566">
        <f t="shared" ca="1" si="35"/>
        <v>0</v>
      </c>
    </row>
    <row r="119" spans="1:40" x14ac:dyDescent="0.2">
      <c r="A119">
        <f t="shared" si="20"/>
        <v>3</v>
      </c>
      <c r="B119">
        <f t="shared" ca="1" si="21"/>
        <v>3</v>
      </c>
      <c r="C119">
        <f t="shared" ca="1" si="22"/>
        <v>3</v>
      </c>
      <c r="D119">
        <f t="shared" ca="1" si="23"/>
        <v>4</v>
      </c>
      <c r="E119">
        <f ca="1">IF($C119=1,OFFSET(E119,-1,0)+MAX(1,COUNTIF(QCI!$A$13:$A$24,OFFSET(ORÇAMENTO!E119,-1,0))),OFFSET(E119,-1,0))</f>
        <v>1</v>
      </c>
      <c r="F119">
        <f t="shared" ca="1" si="24"/>
        <v>5</v>
      </c>
      <c r="G119">
        <f t="shared" ca="1" si="25"/>
        <v>4</v>
      </c>
      <c r="H119">
        <f t="shared" ca="1" si="26"/>
        <v>0</v>
      </c>
      <c r="I119">
        <f t="shared" ca="1" si="27"/>
        <v>0</v>
      </c>
      <c r="J119">
        <f t="shared" ca="1" si="18"/>
        <v>4</v>
      </c>
      <c r="K119">
        <f ca="1">IF(OR($C119="S",$C119=0),0,MATCH(OFFSET($D119,0,$C119)+IF($C119&lt;&gt;1,1,COUNTIF(QCI!$A$13:$A$24,ORÇAMENTO!E119)),OFFSET($D119,1,$C119,ROW($C$747)-ROW($C119)),0))</f>
        <v>43</v>
      </c>
      <c r="L119" s="116" t="str">
        <f t="shared" ca="1" si="28"/>
        <v>F</v>
      </c>
      <c r="M119" s="117" t="s">
        <v>197</v>
      </c>
      <c r="N119" s="118" t="str">
        <f t="shared" ca="1" si="29"/>
        <v>Nível 3</v>
      </c>
      <c r="O119" s="119" t="str">
        <f t="shared" ca="1" si="30"/>
        <v>1.5.4.</v>
      </c>
      <c r="P119" s="120" t="s">
        <v>247</v>
      </c>
      <c r="Q119" s="121"/>
      <c r="R119" s="122" t="str">
        <f ca="1">IF($C119="S",REFERENCIA.Descricao,"DIVISÓRIAS")</f>
        <v>DIVISÓRIAS</v>
      </c>
      <c r="S119" s="123" t="str">
        <f ca="1">REFERENCIA.Unidade</f>
        <v>-</v>
      </c>
      <c r="T119" s="124">
        <f ca="1">OFFSET(CÁLCULO!H$15,ROW($T119)-ROW(T$15),0)</f>
        <v>0</v>
      </c>
      <c r="U119" s="125">
        <f t="shared" ca="1" si="36"/>
        <v>0</v>
      </c>
      <c r="V119" s="126" t="s">
        <v>156</v>
      </c>
      <c r="W119" s="124">
        <f ca="1">IF($C119="S",ROUND(IF(TIPOORCAMENTO="Proposto",ORÇAMENTO.CustoUnitario*(1+$AH119),ORÇAMENTO.PrecoUnitarioLicitado),15-13*$AF$10),0)</f>
        <v>0</v>
      </c>
      <c r="X119" s="127">
        <f ca="1">IF($C119="S",IF(Import.TipoArredondamento&lt;&gt;"TransfereGOV",VTOTAL1,SUM(OFFSET(CÁLCULO!$AA$15,ROW($X119)-ROW($X$15),1):OFFSET(CÁLCULO!$AL$15,ROW($X119)-ROW($X$15),-1))),IF($C119=0,0,ROUND(SomaAgrup,15-13*$AF$11)))</f>
        <v>0</v>
      </c>
      <c r="Y119" s="128" t="s">
        <v>245</v>
      </c>
      <c r="Z119" t="str">
        <f t="shared" ca="1" si="31"/>
        <v/>
      </c>
      <c r="AA119" s="129">
        <f ca="1">IF($C119="S",IF($Z119="CP",$X119,IF($Z119="RA",(($X119)*QCI!$AA$3),0)),SomaAgrup)</f>
        <v>0</v>
      </c>
      <c r="AB119" s="130">
        <f t="shared" ca="1" si="32"/>
        <v>0</v>
      </c>
      <c r="AC119" s="131" t="str">
        <f ca="1">IF($N119="","",IF(ORÇAMENTO.Descricao="","DESCRIÇÃO",IF(AND($C119="S",ORÇAMENTO.Unidade=""),"UNIDADE",IF($X119&lt;0,"VALOR NEGATIVO",IF(OR(AND(TIPOORCAMENTO="Proposto",$AG119&lt;&gt;"",$AG119&gt;0,ORÇAMENTO.CustoUnitario&gt;$AG119),AND(TIPOORCAMENTO="LICITADO",ORÇAMENTO.PrecoUnitarioLicitado&gt;$AN119)),"ACIMA REF.","")))))</f>
        <v/>
      </c>
      <c r="AD119" t="str">
        <f ca="1">IF(C119&lt;=CRONO.NivelExibicao,MAX($AD$15:OFFSET(AD119,-1,0))+IF($C119&lt;&gt;1,1,MAX(1,COUNTIF(QCI!$A$13:$A$24,OFFSET($E119,-1,0)))),"")</f>
        <v/>
      </c>
      <c r="AE119" s="7" t="b">
        <f ca="1">IF(AND($C119="S",ORÇAMENTO.CodBarra&lt;&gt;""),IF(ORÇAMENTO.Fonte="",ORÇAMENTO.CodBarra,CONCATENATE(ORÇAMENTO.Fonte," ",ORÇAMENTO.CodBarra)))</f>
        <v>0</v>
      </c>
      <c r="AF119" s="13" t="str">
        <f ca="1">IF(ISERROR(INDIRECT(ORÇAMENTO.BancoRef)),"(abra o arquivo 'Referência "&amp;Excel_BuiltIn_Database&amp;".xlsm)",IF(OR($C119&lt;&gt;"S",ORÇAMENTO.CodBarra=""),"(Sem Código)",IF(ISERROR(MATCH($AE119,INDIRECT(ORÇAMENTO.BancoRef),0)),"(Código não identificado nas referências)",MATCH($AE119,INDIRECT(ORÇAMENTO.BancoRef),0))))</f>
        <v>(abra o arquivo 'Referência 02-2025.xlsm)</v>
      </c>
      <c r="AG119" s="498">
        <f ca="1">ROUND(IF(DESONERACAO="sim",REFERENCIA.Desonerado,REFERENCIA.NaoDesonerado),2)</f>
        <v>0</v>
      </c>
      <c r="AH119" s="499">
        <f t="shared" ca="1" si="33"/>
        <v>0.22470000000000001</v>
      </c>
      <c r="AJ119" s="501"/>
      <c r="AL119" s="527"/>
      <c r="AM119" s="381">
        <f t="shared" ca="1" si="34"/>
        <v>0</v>
      </c>
      <c r="AN119" s="566">
        <f t="shared" ca="1" si="35"/>
        <v>0</v>
      </c>
    </row>
    <row r="120" spans="1:40" ht="38.25" x14ac:dyDescent="0.2">
      <c r="A120" t="str">
        <f t="shared" si="20"/>
        <v>S</v>
      </c>
      <c r="B120">
        <f t="shared" ca="1" si="21"/>
        <v>3</v>
      </c>
      <c r="C120" t="str">
        <f t="shared" ca="1" si="22"/>
        <v>S</v>
      </c>
      <c r="D120">
        <f t="shared" ca="1" si="23"/>
        <v>0</v>
      </c>
      <c r="E120">
        <f ca="1">IF($C120=1,OFFSET(E120,-1,0)+MAX(1,COUNTIF(QCI!$A$13:$A$24,OFFSET(ORÇAMENTO!E120,-1,0))),OFFSET(E120,-1,0))</f>
        <v>1</v>
      </c>
      <c r="F120">
        <f t="shared" ca="1" si="24"/>
        <v>5</v>
      </c>
      <c r="G120">
        <f t="shared" ca="1" si="25"/>
        <v>4</v>
      </c>
      <c r="H120">
        <f t="shared" ca="1" si="26"/>
        <v>0</v>
      </c>
      <c r="I120">
        <f t="shared" ca="1" si="27"/>
        <v>0</v>
      </c>
      <c r="J120">
        <f t="shared" ca="1" si="18"/>
        <v>0</v>
      </c>
      <c r="K120">
        <f ca="1">IF(OR($C120="S",$C120=0),0,MATCH(OFFSET($D120,0,$C120)+IF($C120&lt;&gt;1,1,COUNTIF(QCI!$A$13:$A$24,ORÇAMENTO!E120)),OFFSET($D120,1,$C120,ROW($C$747)-ROW($C120)),0))</f>
        <v>0</v>
      </c>
      <c r="L120" s="116" t="str">
        <f t="shared" ca="1" si="28"/>
        <v/>
      </c>
      <c r="M120" s="117" t="s">
        <v>199</v>
      </c>
      <c r="N120" s="118" t="str">
        <f t="shared" ca="1" si="29"/>
        <v>Serviço</v>
      </c>
      <c r="O120" s="119" t="str">
        <f t="shared" ca="1" si="30"/>
        <v>-</v>
      </c>
      <c r="P120" s="120" t="s">
        <v>247</v>
      </c>
      <c r="Q120" s="121" t="s">
        <v>482</v>
      </c>
      <c r="R120" s="122" t="str">
        <f ca="1">IF($C120="S",REFERENCIA.Descricao,"(digite a descrição aqui)")</f>
        <v>(abra o arquivo 'Referência 02-2025.xlsm)</v>
      </c>
      <c r="S120" s="123" t="str">
        <f ca="1">REFERENCIA.Unidade</f>
        <v>-</v>
      </c>
      <c r="T120" s="124">
        <f ca="1">OFFSET(CÁLCULO!H$15,ROW($T120)-ROW(T$15),0)</f>
        <v>14.36</v>
      </c>
      <c r="U120" s="125">
        <f t="shared" ca="1" si="36"/>
        <v>0</v>
      </c>
      <c r="V120" s="126" t="s">
        <v>156</v>
      </c>
      <c r="W120" s="124">
        <f ca="1">IF($C120="S",ROUND(IF(TIPOORCAMENTO="Proposto",ORÇAMENTO.CustoUnitario*(1+$AH120),ORÇAMENTO.PrecoUnitarioLicitado),15-13*$AF$10),0)</f>
        <v>0</v>
      </c>
      <c r="X120" s="127">
        <f ca="1">IF($C120="S",IF(Import.TipoArredondamento&lt;&gt;"TransfereGOV",VTOTAL1,SUM(OFFSET(CÁLCULO!$AA$15,ROW($X120)-ROW($X$15),1):OFFSET(CÁLCULO!$AL$15,ROW($X120)-ROW($X$15),-1))),IF($C120=0,0,ROUND(SomaAgrup,15-13*$AF$11)))</f>
        <v>0</v>
      </c>
      <c r="Y120" s="128" t="s">
        <v>245</v>
      </c>
      <c r="Z120" t="str">
        <f t="shared" ca="1" si="31"/>
        <v/>
      </c>
      <c r="AA120" s="129">
        <f ca="1">IF($C120="S",IF($Z120="CP",$X120,IF($Z120="RA",(($X120)*QCI!$AA$3),0)),SomaAgrup)</f>
        <v>0</v>
      </c>
      <c r="AB120" s="130">
        <f t="shared" ca="1" si="32"/>
        <v>0</v>
      </c>
      <c r="AC120" s="131" t="str">
        <f ca="1">IF($N120="","",IF(ORÇAMENTO.Descricao="","DESCRIÇÃO",IF(AND($C120="S",ORÇAMENTO.Unidade=""),"UNIDADE",IF($X120&lt;0,"VALOR NEGATIVO",IF(OR(AND(TIPOORCAMENTO="Proposto",$AG120&lt;&gt;"",$AG120&gt;0,ORÇAMENTO.CustoUnitario&gt;$AG120),AND(TIPOORCAMENTO="LICITADO",ORÇAMENTO.PrecoUnitarioLicitado&gt;$AN120)),"ACIMA REF.","")))))</f>
        <v/>
      </c>
      <c r="AD120" t="str">
        <f ca="1">IF(C120&lt;=CRONO.NivelExibicao,MAX($AD$15:OFFSET(AD120,-1,0))+IF($C120&lt;&gt;1,1,MAX(1,COUNTIF(QCI!$A$13:$A$24,OFFSET($E120,-1,0)))),"")</f>
        <v/>
      </c>
      <c r="AE120" s="7" t="str">
        <f ca="1">IF(AND($C120="S",ORÇAMENTO.CodBarra&lt;&gt;""),IF(ORÇAMENTO.Fonte="",ORÇAMENTO.CodBarra,CONCATENATE(ORÇAMENTO.Fonte," ",ORÇAMENTO.CodBarra)))</f>
        <v>SINAPI 102253</v>
      </c>
      <c r="AF120" s="13" t="str">
        <f ca="1">IF(ISERROR(INDIRECT(ORÇAMENTO.BancoRef)),"(abra o arquivo 'Referência "&amp;Excel_BuiltIn_Database&amp;".xlsm)",IF(OR($C120&lt;&gt;"S",ORÇAMENTO.CodBarra=""),"(Sem Código)",IF(ISERROR(MATCH($AE120,INDIRECT(ORÇAMENTO.BancoRef),0)),"(Código não identificado nas referências)",MATCH($AE120,INDIRECT(ORÇAMENTO.BancoRef),0))))</f>
        <v>(abra o arquivo 'Referência 02-2025.xlsm)</v>
      </c>
      <c r="AG120" s="498">
        <f ca="1">ROUND(IF(DESONERACAO="sim",REFERENCIA.Desonerado,REFERENCIA.NaoDesonerado),2)</f>
        <v>0</v>
      </c>
      <c r="AH120" s="499">
        <f t="shared" ca="1" si="33"/>
        <v>0.22470000000000001</v>
      </c>
      <c r="AJ120" s="501">
        <v>14.36</v>
      </c>
      <c r="AL120" s="527"/>
      <c r="AM120" s="381">
        <f t="shared" ca="1" si="34"/>
        <v>0</v>
      </c>
      <c r="AN120" s="566">
        <f t="shared" ca="1" si="35"/>
        <v>0</v>
      </c>
    </row>
    <row r="121" spans="1:40" ht="25.5" x14ac:dyDescent="0.2">
      <c r="A121" t="str">
        <f t="shared" si="20"/>
        <v>S</v>
      </c>
      <c r="B121">
        <f t="shared" ca="1" si="21"/>
        <v>3</v>
      </c>
      <c r="C121" t="str">
        <f t="shared" ca="1" si="22"/>
        <v>S</v>
      </c>
      <c r="D121">
        <f t="shared" ca="1" si="23"/>
        <v>0</v>
      </c>
      <c r="E121">
        <f ca="1">IF($C121=1,OFFSET(E121,-1,0)+MAX(1,COUNTIF(QCI!$A$13:$A$24,OFFSET(ORÇAMENTO!E121,-1,0))),OFFSET(E121,-1,0))</f>
        <v>1</v>
      </c>
      <c r="F121">
        <f t="shared" ca="1" si="24"/>
        <v>5</v>
      </c>
      <c r="G121">
        <f t="shared" ca="1" si="25"/>
        <v>4</v>
      </c>
      <c r="H121">
        <f t="shared" ca="1" si="26"/>
        <v>0</v>
      </c>
      <c r="I121">
        <f t="shared" ca="1" si="27"/>
        <v>0</v>
      </c>
      <c r="J121">
        <f t="shared" ca="1" si="18"/>
        <v>0</v>
      </c>
      <c r="K121">
        <f ca="1">IF(OR($C121="S",$C121=0),0,MATCH(OFFSET($D121,0,$C121)+IF($C121&lt;&gt;1,1,COUNTIF(QCI!$A$13:$A$24,ORÇAMENTO!E121)),OFFSET($D121,1,$C121,ROW($C$747)-ROW($C121)),0))</f>
        <v>0</v>
      </c>
      <c r="L121" s="116" t="str">
        <f t="shared" ca="1" si="28"/>
        <v/>
      </c>
      <c r="M121" s="117" t="s">
        <v>199</v>
      </c>
      <c r="N121" s="118" t="str">
        <f t="shared" ca="1" si="29"/>
        <v>Serviço</v>
      </c>
      <c r="O121" s="119" t="str">
        <f t="shared" ca="1" si="30"/>
        <v>-</v>
      </c>
      <c r="P121" s="120" t="s">
        <v>247</v>
      </c>
      <c r="Q121" s="121" t="s">
        <v>877</v>
      </c>
      <c r="R121" s="122" t="str">
        <f ca="1">IF($C121="S",REFERENCIA.Descricao,"(digite a descrição aqui)")</f>
        <v>(abra o arquivo 'Referência 02-2025.xlsm)</v>
      </c>
      <c r="S121" s="123" t="str">
        <f ca="1">REFERENCIA.Unidade</f>
        <v>-</v>
      </c>
      <c r="T121" s="124">
        <f ca="1">OFFSET(CÁLCULO!H$15,ROW($T121)-ROW(T$15),0)</f>
        <v>5.94</v>
      </c>
      <c r="U121" s="125">
        <f t="shared" ca="1" si="36"/>
        <v>0</v>
      </c>
      <c r="V121" s="126" t="s">
        <v>156</v>
      </c>
      <c r="W121" s="124">
        <f ca="1">IF($C121="S",ROUND(IF(TIPOORCAMENTO="Proposto",ORÇAMENTO.CustoUnitario*(1+$AH121),ORÇAMENTO.PrecoUnitarioLicitado),15-13*$AF$10),0)</f>
        <v>0</v>
      </c>
      <c r="X121" s="127">
        <f ca="1">IF($C121="S",IF(Import.TipoArredondamento&lt;&gt;"TransfereGOV",VTOTAL1,SUM(OFFSET(CÁLCULO!$AA$15,ROW($X121)-ROW($X$15),1):OFFSET(CÁLCULO!$AL$15,ROW($X121)-ROW($X$15),-1))),IF($C121=0,0,ROUND(SomaAgrup,15-13*$AF$11)))</f>
        <v>0</v>
      </c>
      <c r="Y121" s="128" t="s">
        <v>245</v>
      </c>
      <c r="Z121" t="str">
        <f t="shared" ca="1" si="31"/>
        <v/>
      </c>
      <c r="AA121" s="129">
        <f ca="1">IF($C121="S",IF($Z121="CP",$X121,IF($Z121="RA",(($X121)*QCI!$AA$3),0)),SomaAgrup)</f>
        <v>0</v>
      </c>
      <c r="AB121" s="130">
        <f t="shared" ca="1" si="32"/>
        <v>0</v>
      </c>
      <c r="AC121" s="131" t="str">
        <f ca="1">IF($N121="","",IF(ORÇAMENTO.Descricao="","DESCRIÇÃO",IF(AND($C121="S",ORÇAMENTO.Unidade=""),"UNIDADE",IF($X121&lt;0,"VALOR NEGATIVO",IF(OR(AND(TIPOORCAMENTO="Proposto",$AG121&lt;&gt;"",$AG121&gt;0,ORÇAMENTO.CustoUnitario&gt;$AG121),AND(TIPOORCAMENTO="LICITADO",ORÇAMENTO.PrecoUnitarioLicitado&gt;$AN121)),"ACIMA REF.","")))))</f>
        <v/>
      </c>
      <c r="AD121" t="str">
        <f ca="1">IF(C121&lt;=CRONO.NivelExibicao,MAX($AD$15:OFFSET(AD121,-1,0))+IF($C121&lt;&gt;1,1,MAX(1,COUNTIF(QCI!$A$13:$A$24,OFFSET($E121,-1,0)))),"")</f>
        <v/>
      </c>
      <c r="AE121" s="7" t="str">
        <f ca="1">IF(AND($C121="S",ORÇAMENTO.CodBarra&lt;&gt;""),IF(ORÇAMENTO.Fonte="",ORÇAMENTO.CodBarra,CONCATENATE(ORÇAMENTO.Fonte," ",ORÇAMENTO.CodBarra)))</f>
        <v>SINAPI 102181</v>
      </c>
      <c r="AF121" s="13" t="str">
        <f ca="1">IF(ISERROR(INDIRECT(ORÇAMENTO.BancoRef)),"(abra o arquivo 'Referência "&amp;Excel_BuiltIn_Database&amp;".xlsm)",IF(OR($C121&lt;&gt;"S",ORÇAMENTO.CodBarra=""),"(Sem Código)",IF(ISERROR(MATCH($AE121,INDIRECT(ORÇAMENTO.BancoRef),0)),"(Código não identificado nas referências)",MATCH($AE121,INDIRECT(ORÇAMENTO.BancoRef),0))))</f>
        <v>(abra o arquivo 'Referência 02-2025.xlsm)</v>
      </c>
      <c r="AG121" s="498">
        <f ca="1">ROUND(IF(DESONERACAO="sim",REFERENCIA.Desonerado,REFERENCIA.NaoDesonerado),2)</f>
        <v>0</v>
      </c>
      <c r="AH121" s="499">
        <f t="shared" ca="1" si="33"/>
        <v>0.22470000000000001</v>
      </c>
      <c r="AJ121" s="501">
        <v>5.94</v>
      </c>
      <c r="AL121" s="527"/>
      <c r="AM121" s="381">
        <f t="shared" ca="1" si="34"/>
        <v>0</v>
      </c>
      <c r="AN121" s="566">
        <f t="shared" ca="1" si="35"/>
        <v>0</v>
      </c>
    </row>
    <row r="122" spans="1:40" ht="25.5" x14ac:dyDescent="0.2">
      <c r="A122" t="str">
        <f t="shared" si="20"/>
        <v>S</v>
      </c>
      <c r="B122">
        <f t="shared" ca="1" si="21"/>
        <v>3</v>
      </c>
      <c r="C122" t="str">
        <f t="shared" ca="1" si="22"/>
        <v>S</v>
      </c>
      <c r="D122">
        <f t="shared" ca="1" si="23"/>
        <v>0</v>
      </c>
      <c r="E122">
        <f ca="1">IF($C122=1,OFFSET(E122,-1,0)+MAX(1,COUNTIF(QCI!$A$13:$A$24,OFFSET(ORÇAMENTO!E122,-1,0))),OFFSET(E122,-1,0))</f>
        <v>1</v>
      </c>
      <c r="F122">
        <f t="shared" ca="1" si="24"/>
        <v>5</v>
      </c>
      <c r="G122">
        <f t="shared" ca="1" si="25"/>
        <v>4</v>
      </c>
      <c r="H122">
        <f t="shared" ca="1" si="26"/>
        <v>0</v>
      </c>
      <c r="I122">
        <f t="shared" ca="1" si="27"/>
        <v>0</v>
      </c>
      <c r="J122">
        <f t="shared" ca="1" si="18"/>
        <v>0</v>
      </c>
      <c r="K122">
        <f ca="1">IF(OR($C122="S",$C122=0),0,MATCH(OFFSET($D122,0,$C122)+IF($C122&lt;&gt;1,1,COUNTIF(QCI!$A$13:$A$24,ORÇAMENTO!E122)),OFFSET($D122,1,$C122,ROW($C$747)-ROW($C122)),0))</f>
        <v>0</v>
      </c>
      <c r="L122" s="116" t="str">
        <f t="shared" ca="1" si="28"/>
        <v/>
      </c>
      <c r="M122" s="117" t="s">
        <v>199</v>
      </c>
      <c r="N122" s="118" t="str">
        <f t="shared" ca="1" si="29"/>
        <v>Serviço</v>
      </c>
      <c r="O122" s="119" t="str">
        <f t="shared" ca="1" si="30"/>
        <v>-</v>
      </c>
      <c r="P122" s="120" t="s">
        <v>247</v>
      </c>
      <c r="Q122" s="121" t="s">
        <v>483</v>
      </c>
      <c r="R122" s="122" t="str">
        <f ca="1">IF($C122="S",REFERENCIA.Descricao,"(digite a descrição aqui)")</f>
        <v>(abra o arquivo 'Referência 02-2025.xlsm)</v>
      </c>
      <c r="S122" s="123" t="str">
        <f ca="1">REFERENCIA.Unidade</f>
        <v>-</v>
      </c>
      <c r="T122" s="124">
        <f ca="1">OFFSET(CÁLCULO!H$15,ROW($T122)-ROW(T$15),0)</f>
        <v>5.38</v>
      </c>
      <c r="U122" s="125">
        <f t="shared" ca="1" si="36"/>
        <v>0</v>
      </c>
      <c r="V122" s="126" t="s">
        <v>156</v>
      </c>
      <c r="W122" s="124">
        <f ca="1">IF($C122="S",ROUND(IF(TIPOORCAMENTO="Proposto",ORÇAMENTO.CustoUnitario*(1+$AH122),ORÇAMENTO.PrecoUnitarioLicitado),15-13*$AF$10),0)</f>
        <v>0</v>
      </c>
      <c r="X122" s="127">
        <f ca="1">IF($C122="S",IF(Import.TipoArredondamento&lt;&gt;"TransfereGOV",VTOTAL1,SUM(OFFSET(CÁLCULO!$AA$15,ROW($X122)-ROW($X$15),1):OFFSET(CÁLCULO!$AL$15,ROW($X122)-ROW($X$15),-1))),IF($C122=0,0,ROUND(SomaAgrup,15-13*$AF$11)))</f>
        <v>0</v>
      </c>
      <c r="Y122" s="128" t="s">
        <v>245</v>
      </c>
      <c r="Z122" t="str">
        <f t="shared" ca="1" si="31"/>
        <v/>
      </c>
      <c r="AA122" s="129">
        <f ca="1">IF($C122="S",IF($Z122="CP",$X122,IF($Z122="RA",(($X122)*QCI!$AA$3),0)),SomaAgrup)</f>
        <v>0</v>
      </c>
      <c r="AB122" s="130">
        <f t="shared" ca="1" si="32"/>
        <v>0</v>
      </c>
      <c r="AC122" s="131" t="str">
        <f ca="1">IF($N122="","",IF(ORÇAMENTO.Descricao="","DESCRIÇÃO",IF(AND($C122="S",ORÇAMENTO.Unidade=""),"UNIDADE",IF($X122&lt;0,"VALOR NEGATIVO",IF(OR(AND(TIPOORCAMENTO="Proposto",$AG122&lt;&gt;"",$AG122&gt;0,ORÇAMENTO.CustoUnitario&gt;$AG122),AND(TIPOORCAMENTO="LICITADO",ORÇAMENTO.PrecoUnitarioLicitado&gt;$AN122)),"ACIMA REF.","")))))</f>
        <v/>
      </c>
      <c r="AD122" t="str">
        <f ca="1">IF(C122&lt;=CRONO.NivelExibicao,MAX($AD$15:OFFSET(AD122,-1,0))+IF($C122&lt;&gt;1,1,MAX(1,COUNTIF(QCI!$A$13:$A$24,OFFSET($E122,-1,0)))),"")</f>
        <v/>
      </c>
      <c r="AE122" s="7" t="str">
        <f ca="1">IF(AND($C122="S",ORÇAMENTO.CodBarra&lt;&gt;""),IF(ORÇAMENTO.Fonte="",ORÇAMENTO.CodBarra,CONCATENATE(ORÇAMENTO.Fonte," ",ORÇAMENTO.CodBarra)))</f>
        <v>SINAPI 102235</v>
      </c>
      <c r="AF122" s="13" t="str">
        <f ca="1">IF(ISERROR(INDIRECT(ORÇAMENTO.BancoRef)),"(abra o arquivo 'Referência "&amp;Excel_BuiltIn_Database&amp;".xlsm)",IF(OR($C122&lt;&gt;"S",ORÇAMENTO.CodBarra=""),"(Sem Código)",IF(ISERROR(MATCH($AE122,INDIRECT(ORÇAMENTO.BancoRef),0)),"(Código não identificado nas referências)",MATCH($AE122,INDIRECT(ORÇAMENTO.BancoRef),0))))</f>
        <v>(abra o arquivo 'Referência 02-2025.xlsm)</v>
      </c>
      <c r="AG122" s="498">
        <f ca="1">ROUND(IF(DESONERACAO="sim",REFERENCIA.Desonerado,REFERENCIA.NaoDesonerado),2)</f>
        <v>0</v>
      </c>
      <c r="AH122" s="499">
        <f t="shared" ca="1" si="33"/>
        <v>0.22470000000000001</v>
      </c>
      <c r="AJ122" s="501">
        <v>5.38</v>
      </c>
      <c r="AL122" s="527"/>
      <c r="AM122" s="381">
        <f t="shared" ca="1" si="34"/>
        <v>0</v>
      </c>
      <c r="AN122" s="566">
        <f t="shared" ca="1" si="35"/>
        <v>0</v>
      </c>
    </row>
    <row r="123" spans="1:40" x14ac:dyDescent="0.2">
      <c r="A123">
        <f t="shared" si="20"/>
        <v>2</v>
      </c>
      <c r="B123">
        <f t="shared" ca="1" si="21"/>
        <v>2</v>
      </c>
      <c r="C123">
        <f t="shared" ca="1" si="22"/>
        <v>2</v>
      </c>
      <c r="D123">
        <f t="shared" ca="1" si="23"/>
        <v>54</v>
      </c>
      <c r="E123">
        <f ca="1">IF($C123=1,OFFSET(E123,-1,0)+MAX(1,COUNTIF(QCI!$A$13:$A$24,OFFSET(ORÇAMENTO!E123,-1,0))),OFFSET(E123,-1,0))</f>
        <v>1</v>
      </c>
      <c r="F123">
        <f t="shared" ca="1" si="24"/>
        <v>6</v>
      </c>
      <c r="G123">
        <f t="shared" ca="1" si="25"/>
        <v>0</v>
      </c>
      <c r="H123">
        <f t="shared" ca="1" si="26"/>
        <v>0</v>
      </c>
      <c r="I123">
        <f t="shared" ca="1" si="27"/>
        <v>0</v>
      </c>
      <c r="J123">
        <f t="shared" ca="1" si="18"/>
        <v>624</v>
      </c>
      <c r="K123">
        <f ca="1">IF(OR($C123="S",$C123=0),0,MATCH(OFFSET($D123,0,$C123)+IF($C123&lt;&gt;1,1,COUNTIF(QCI!$A$13:$A$24,ORÇAMENTO!E123)),OFFSET($D123,1,$C123,ROW($C$747)-ROW($C123)),0))</f>
        <v>54</v>
      </c>
      <c r="L123" s="116" t="str">
        <f t="shared" ca="1" si="28"/>
        <v>F</v>
      </c>
      <c r="M123" s="117" t="s">
        <v>196</v>
      </c>
      <c r="N123" s="118" t="str">
        <f t="shared" ca="1" si="29"/>
        <v>Nível 2</v>
      </c>
      <c r="O123" s="119" t="str">
        <f t="shared" ca="1" si="30"/>
        <v>1.6.</v>
      </c>
      <c r="P123" s="120" t="s">
        <v>247</v>
      </c>
      <c r="Q123" s="121"/>
      <c r="R123" s="122" t="str">
        <f ca="1">IF($C123="S",REFERENCIA.Descricao,"ESQUADRIAS")</f>
        <v>ESQUADRIAS</v>
      </c>
      <c r="S123" s="123" t="str">
        <f ca="1">REFERENCIA.Unidade</f>
        <v>-</v>
      </c>
      <c r="T123" s="124">
        <f ca="1">OFFSET(CÁLCULO!H$15,ROW($T123)-ROW(T$15),0)</f>
        <v>0</v>
      </c>
      <c r="U123" s="125">
        <f t="shared" ca="1" si="36"/>
        <v>0</v>
      </c>
      <c r="V123" s="126" t="s">
        <v>156</v>
      </c>
      <c r="W123" s="124">
        <f ca="1">IF($C123="S",ROUND(IF(TIPOORCAMENTO="Proposto",ORÇAMENTO.CustoUnitario*(1+$AH123),ORÇAMENTO.PrecoUnitarioLicitado),15-13*$AF$10),0)</f>
        <v>0</v>
      </c>
      <c r="X123" s="127">
        <f ca="1">IF($C123="S",IF(Import.TipoArredondamento&lt;&gt;"TransfereGOV",VTOTAL1,SUM(OFFSET(CÁLCULO!$AA$15,ROW($X123)-ROW($X$15),1):OFFSET(CÁLCULO!$AL$15,ROW($X123)-ROW($X$15),-1))),IF($C123=0,0,ROUND(SomaAgrup,15-13*$AF$11)))</f>
        <v>0</v>
      </c>
      <c r="Y123" s="128" t="s">
        <v>245</v>
      </c>
      <c r="Z123" t="str">
        <f t="shared" ca="1" si="31"/>
        <v/>
      </c>
      <c r="AA123" s="129">
        <f ca="1">IF($C123="S",IF($Z123="CP",$X123,IF($Z123="RA",(($X123)*QCI!$AA$3),0)),SomaAgrup)</f>
        <v>0</v>
      </c>
      <c r="AB123" s="130">
        <f t="shared" ca="1" si="32"/>
        <v>0</v>
      </c>
      <c r="AC123" s="131" t="str">
        <f ca="1">IF($N123="","",IF(ORÇAMENTO.Descricao="","DESCRIÇÃO",IF(AND($C123="S",ORÇAMENTO.Unidade=""),"UNIDADE",IF($X123&lt;0,"VALOR NEGATIVO",IF(OR(AND(TIPOORCAMENTO="Proposto",$AG123&lt;&gt;"",$AG123&gt;0,ORÇAMENTO.CustoUnitario&gt;$AG123),AND(TIPOORCAMENTO="LICITADO",ORÇAMENTO.PrecoUnitarioLicitado&gt;$AN123)),"ACIMA REF.","")))))</f>
        <v/>
      </c>
      <c r="AD123">
        <f ca="1">IF(C123&lt;=CRONO.NivelExibicao,MAX($AD$15:OFFSET(AD123,-1,0))+IF($C123&lt;&gt;1,1,MAX(1,COUNTIF(QCI!$A$13:$A$24,OFFSET($E123,-1,0)))),"")</f>
        <v>7</v>
      </c>
      <c r="AE123" s="7" t="b">
        <f ca="1">IF(AND($C123="S",ORÇAMENTO.CodBarra&lt;&gt;""),IF(ORÇAMENTO.Fonte="",ORÇAMENTO.CodBarra,CONCATENATE(ORÇAMENTO.Fonte," ",ORÇAMENTO.CodBarra)))</f>
        <v>0</v>
      </c>
      <c r="AF123" s="13" t="str">
        <f ca="1">IF(ISERROR(INDIRECT(ORÇAMENTO.BancoRef)),"(abra o arquivo 'Referência "&amp;Excel_BuiltIn_Database&amp;".xlsm)",IF(OR($C123&lt;&gt;"S",ORÇAMENTO.CodBarra=""),"(Sem Código)",IF(ISERROR(MATCH($AE123,INDIRECT(ORÇAMENTO.BancoRef),0)),"(Código não identificado nas referências)",MATCH($AE123,INDIRECT(ORÇAMENTO.BancoRef),0))))</f>
        <v>(abra o arquivo 'Referência 02-2025.xlsm)</v>
      </c>
      <c r="AG123" s="498">
        <f ca="1">ROUND(IF(DESONERACAO="sim",REFERENCIA.Desonerado,REFERENCIA.NaoDesonerado),2)</f>
        <v>0</v>
      </c>
      <c r="AH123" s="499">
        <f t="shared" ca="1" si="33"/>
        <v>0.22470000000000001</v>
      </c>
      <c r="AJ123" s="501"/>
      <c r="AL123" s="527"/>
      <c r="AM123" s="381">
        <f t="shared" ca="1" si="34"/>
        <v>0</v>
      </c>
      <c r="AN123" s="566">
        <f t="shared" ca="1" si="35"/>
        <v>0</v>
      </c>
    </row>
    <row r="124" spans="1:40" x14ac:dyDescent="0.2">
      <c r="A124">
        <f t="shared" si="20"/>
        <v>3</v>
      </c>
      <c r="B124">
        <f t="shared" ca="1" si="21"/>
        <v>3</v>
      </c>
      <c r="C124">
        <f t="shared" ca="1" si="22"/>
        <v>3</v>
      </c>
      <c r="D124">
        <f t="shared" ca="1" si="23"/>
        <v>7</v>
      </c>
      <c r="E124">
        <f ca="1">IF($C124=1,OFFSET(E124,-1,0)+MAX(1,COUNTIF(QCI!$A$13:$A$24,OFFSET(ORÇAMENTO!E124,-1,0))),OFFSET(E124,-1,0))</f>
        <v>1</v>
      </c>
      <c r="F124">
        <f t="shared" ca="1" si="24"/>
        <v>6</v>
      </c>
      <c r="G124">
        <f t="shared" ca="1" si="25"/>
        <v>1</v>
      </c>
      <c r="H124">
        <f t="shared" ca="1" si="26"/>
        <v>0</v>
      </c>
      <c r="I124">
        <f t="shared" ca="1" si="27"/>
        <v>0</v>
      </c>
      <c r="J124">
        <f t="shared" ca="1" si="18"/>
        <v>53</v>
      </c>
      <c r="K124">
        <f ca="1">IF(OR($C124="S",$C124=0),0,MATCH(OFFSET($D124,0,$C124)+IF($C124&lt;&gt;1,1,COUNTIF(QCI!$A$13:$A$24,ORÇAMENTO!E124)),OFFSET($D124,1,$C124,ROW($C$747)-ROW($C124)),0))</f>
        <v>7</v>
      </c>
      <c r="L124" s="116" t="str">
        <f t="shared" ca="1" si="28"/>
        <v>F</v>
      </c>
      <c r="M124" s="117" t="s">
        <v>197</v>
      </c>
      <c r="N124" s="118" t="str">
        <f t="shared" ca="1" si="29"/>
        <v>Nível 3</v>
      </c>
      <c r="O124" s="119" t="str">
        <f t="shared" ca="1" si="30"/>
        <v>1.6.1.</v>
      </c>
      <c r="P124" s="120" t="s">
        <v>247</v>
      </c>
      <c r="Q124" s="121"/>
      <c r="R124" s="122" t="str">
        <f ca="1">IF($C124="S",REFERENCIA.Descricao,"PORTAS DE MADEIRA")</f>
        <v>PORTAS DE MADEIRA</v>
      </c>
      <c r="S124" s="123" t="str">
        <f ca="1">REFERENCIA.Unidade</f>
        <v>-</v>
      </c>
      <c r="T124" s="124">
        <f ca="1">OFFSET(CÁLCULO!H$15,ROW($T124)-ROW(T$15),0)</f>
        <v>0</v>
      </c>
      <c r="U124" s="125">
        <f t="shared" ca="1" si="36"/>
        <v>0</v>
      </c>
      <c r="V124" s="126" t="s">
        <v>156</v>
      </c>
      <c r="W124" s="124">
        <f ca="1">IF($C124="S",ROUND(IF(TIPOORCAMENTO="Proposto",ORÇAMENTO.CustoUnitario*(1+$AH124),ORÇAMENTO.PrecoUnitarioLicitado),15-13*$AF$10),0)</f>
        <v>0</v>
      </c>
      <c r="X124" s="127">
        <f ca="1">IF($C124="S",IF(Import.TipoArredondamento&lt;&gt;"TransfereGOV",VTOTAL1,SUM(OFFSET(CÁLCULO!$AA$15,ROW($X124)-ROW($X$15),1):OFFSET(CÁLCULO!$AL$15,ROW($X124)-ROW($X$15),-1))),IF($C124=0,0,ROUND(SomaAgrup,15-13*$AF$11)))</f>
        <v>0</v>
      </c>
      <c r="Y124" s="128" t="s">
        <v>245</v>
      </c>
      <c r="Z124" t="str">
        <f t="shared" ca="1" si="31"/>
        <v/>
      </c>
      <c r="AA124" s="129">
        <f ca="1">IF($C124="S",IF($Z124="CP",$X124,IF($Z124="RA",(($X124)*QCI!$AA$3),0)),SomaAgrup)</f>
        <v>0</v>
      </c>
      <c r="AB124" s="130">
        <f t="shared" ca="1" si="32"/>
        <v>0</v>
      </c>
      <c r="AC124" s="131" t="str">
        <f ca="1">IF($N124="","",IF(ORÇAMENTO.Descricao="","DESCRIÇÃO",IF(AND($C124="S",ORÇAMENTO.Unidade=""),"UNIDADE",IF($X124&lt;0,"VALOR NEGATIVO",IF(OR(AND(TIPOORCAMENTO="Proposto",$AG124&lt;&gt;"",$AG124&gt;0,ORÇAMENTO.CustoUnitario&gt;$AG124),AND(TIPOORCAMENTO="LICITADO",ORÇAMENTO.PrecoUnitarioLicitado&gt;$AN124)),"ACIMA REF.","")))))</f>
        <v/>
      </c>
      <c r="AD124" t="str">
        <f ca="1">IF(C124&lt;=CRONO.NivelExibicao,MAX($AD$15:OFFSET(AD124,-1,0))+IF($C124&lt;&gt;1,1,MAX(1,COUNTIF(QCI!$A$13:$A$24,OFFSET($E124,-1,0)))),"")</f>
        <v/>
      </c>
      <c r="AE124" s="7" t="b">
        <f ca="1">IF(AND($C124="S",ORÇAMENTO.CodBarra&lt;&gt;""),IF(ORÇAMENTO.Fonte="",ORÇAMENTO.CodBarra,CONCATENATE(ORÇAMENTO.Fonte," ",ORÇAMENTO.CodBarra)))</f>
        <v>0</v>
      </c>
      <c r="AF124" s="13" t="str">
        <f ca="1">IF(ISERROR(INDIRECT(ORÇAMENTO.BancoRef)),"(abra o arquivo 'Referência "&amp;Excel_BuiltIn_Database&amp;".xlsm)",IF(OR($C124&lt;&gt;"S",ORÇAMENTO.CodBarra=""),"(Sem Código)",IF(ISERROR(MATCH($AE124,INDIRECT(ORÇAMENTO.BancoRef),0)),"(Código não identificado nas referências)",MATCH($AE124,INDIRECT(ORÇAMENTO.BancoRef),0))))</f>
        <v>(abra o arquivo 'Referência 02-2025.xlsm)</v>
      </c>
      <c r="AG124" s="498">
        <f ca="1">ROUND(IF(DESONERACAO="sim",REFERENCIA.Desonerado,REFERENCIA.NaoDesonerado),2)</f>
        <v>0</v>
      </c>
      <c r="AH124" s="499">
        <f t="shared" ca="1" si="33"/>
        <v>0.22470000000000001</v>
      </c>
      <c r="AJ124" s="501"/>
      <c r="AL124" s="527"/>
      <c r="AM124" s="381">
        <f t="shared" ca="1" si="34"/>
        <v>0</v>
      </c>
      <c r="AN124" s="566">
        <f t="shared" ca="1" si="35"/>
        <v>0</v>
      </c>
    </row>
    <row r="125" spans="1:40" ht="63.75" x14ac:dyDescent="0.2">
      <c r="A125" t="str">
        <f t="shared" si="20"/>
        <v>S</v>
      </c>
      <c r="B125">
        <f t="shared" ca="1" si="21"/>
        <v>3</v>
      </c>
      <c r="C125" t="str">
        <f t="shared" ca="1" si="22"/>
        <v>S</v>
      </c>
      <c r="D125">
        <f t="shared" ca="1" si="23"/>
        <v>0</v>
      </c>
      <c r="E125">
        <f ca="1">IF($C125=1,OFFSET(E125,-1,0)+MAX(1,COUNTIF(QCI!$A$13:$A$24,OFFSET(ORÇAMENTO!E125,-1,0))),OFFSET(E125,-1,0))</f>
        <v>1</v>
      </c>
      <c r="F125">
        <f t="shared" ca="1" si="24"/>
        <v>6</v>
      </c>
      <c r="G125">
        <f t="shared" ca="1" si="25"/>
        <v>1</v>
      </c>
      <c r="H125">
        <f t="shared" ca="1" si="26"/>
        <v>0</v>
      </c>
      <c r="I125">
        <f t="shared" ca="1" si="27"/>
        <v>0</v>
      </c>
      <c r="J125">
        <f t="shared" ca="1" si="18"/>
        <v>0</v>
      </c>
      <c r="K125">
        <f ca="1">IF(OR($C125="S",$C125=0),0,MATCH(OFFSET($D125,0,$C125)+IF($C125&lt;&gt;1,1,COUNTIF(QCI!$A$13:$A$24,ORÇAMENTO!E125)),OFFSET($D125,1,$C125,ROW($C$747)-ROW($C125)),0))</f>
        <v>0</v>
      </c>
      <c r="L125" s="116" t="str">
        <f t="shared" ca="1" si="28"/>
        <v/>
      </c>
      <c r="M125" s="117" t="s">
        <v>199</v>
      </c>
      <c r="N125" s="118" t="str">
        <f t="shared" ca="1" si="29"/>
        <v>Serviço</v>
      </c>
      <c r="O125" s="119" t="str">
        <f t="shared" ca="1" si="30"/>
        <v>-</v>
      </c>
      <c r="P125" s="120" t="s">
        <v>712</v>
      </c>
      <c r="Q125" s="121" t="s">
        <v>717</v>
      </c>
      <c r="R125" s="122" t="str">
        <f ca="1">IF($C125="S",REFERENCIA.Descricao,"(digite a descrição aqui)")</f>
        <v>(abra o arquivo 'Referência 02-2025.xlsm)</v>
      </c>
      <c r="S125" s="123" t="str">
        <f ca="1">REFERENCIA.Unidade</f>
        <v>-</v>
      </c>
      <c r="T125" s="124">
        <f ca="1">OFFSET(CÁLCULO!H$15,ROW($T125)-ROW(T$15),0)</f>
        <v>17</v>
      </c>
      <c r="U125" s="125">
        <f t="shared" ca="1" si="36"/>
        <v>0</v>
      </c>
      <c r="V125" s="126" t="s">
        <v>156</v>
      </c>
      <c r="W125" s="124">
        <f ca="1">IF($C125="S",ROUND(IF(TIPOORCAMENTO="Proposto",ORÇAMENTO.CustoUnitario*(1+$AH125),ORÇAMENTO.PrecoUnitarioLicitado),15-13*$AF$10),0)</f>
        <v>0</v>
      </c>
      <c r="X125" s="127">
        <f ca="1">IF($C125="S",IF(Import.TipoArredondamento&lt;&gt;"TransfereGOV",VTOTAL1,SUM(OFFSET(CÁLCULO!$AA$15,ROW($X125)-ROW($X$15),1):OFFSET(CÁLCULO!$AL$15,ROW($X125)-ROW($X$15),-1))),IF($C125=0,0,ROUND(SomaAgrup,15-13*$AF$11)))</f>
        <v>0</v>
      </c>
      <c r="Y125" s="128" t="s">
        <v>245</v>
      </c>
      <c r="Z125" t="str">
        <f t="shared" ca="1" si="31"/>
        <v/>
      </c>
      <c r="AA125" s="129">
        <f ca="1">IF($C125="S",IF($Z125="CP",$X125,IF($Z125="RA",(($X125)*QCI!$AA$3),0)),SomaAgrup)</f>
        <v>0</v>
      </c>
      <c r="AB125" s="130">
        <f t="shared" ca="1" si="32"/>
        <v>0</v>
      </c>
      <c r="AC125" s="131" t="str">
        <f ca="1">IF($N125="","",IF(ORÇAMENTO.Descricao="","DESCRIÇÃO",IF(AND($C125="S",ORÇAMENTO.Unidade=""),"UNIDADE",IF($X125&lt;0,"VALOR NEGATIVO",IF(OR(AND(TIPOORCAMENTO="Proposto",$AG125&lt;&gt;"",$AG125&gt;0,ORÇAMENTO.CustoUnitario&gt;$AG125),AND(TIPOORCAMENTO="LICITADO",ORÇAMENTO.PrecoUnitarioLicitado&gt;$AN125)),"ACIMA REF.","")))))</f>
        <v/>
      </c>
      <c r="AD125" t="str">
        <f ca="1">IF(C125&lt;=CRONO.NivelExibicao,MAX($AD$15:OFFSET(AD125,-1,0))+IF($C125&lt;&gt;1,1,MAX(1,COUNTIF(QCI!$A$13:$A$24,OFFSET($E125,-1,0)))),"")</f>
        <v/>
      </c>
      <c r="AE125" s="7" t="str">
        <f ca="1">IF(AND($C125="S",ORÇAMENTO.CodBarra&lt;&gt;""),IF(ORÇAMENTO.Fonte="",ORÇAMENTO.CodBarra,CONCATENATE(ORÇAMENTO.Fonte," ",ORÇAMENTO.CodBarra)))</f>
        <v>Composição FNDE 243</v>
      </c>
      <c r="AF125" s="13" t="str">
        <f ca="1">IF(ISERROR(INDIRECT(ORÇAMENTO.BancoRef)),"(abra o arquivo 'Referência "&amp;Excel_BuiltIn_Database&amp;".xlsm)",IF(OR($C125&lt;&gt;"S",ORÇAMENTO.CodBarra=""),"(Sem Código)",IF(ISERROR(MATCH($AE125,INDIRECT(ORÇAMENTO.BancoRef),0)),"(Código não identificado nas referências)",MATCH($AE125,INDIRECT(ORÇAMENTO.BancoRef),0))))</f>
        <v>(abra o arquivo 'Referência 02-2025.xlsm)</v>
      </c>
      <c r="AG125" s="498">
        <f ca="1">ROUND(IF(DESONERACAO="sim",REFERENCIA.Desonerado,REFERENCIA.NaoDesonerado),2)</f>
        <v>0</v>
      </c>
      <c r="AH125" s="499">
        <f t="shared" ca="1" si="33"/>
        <v>0.22470000000000001</v>
      </c>
      <c r="AJ125" s="501">
        <v>17</v>
      </c>
      <c r="AL125" s="527"/>
      <c r="AM125" s="381">
        <f t="shared" ca="1" si="34"/>
        <v>0</v>
      </c>
      <c r="AN125" s="566">
        <f t="shared" ca="1" si="35"/>
        <v>0</v>
      </c>
    </row>
    <row r="126" spans="1:40" ht="51" x14ac:dyDescent="0.2">
      <c r="A126" t="str">
        <f t="shared" si="20"/>
        <v>S</v>
      </c>
      <c r="B126">
        <f t="shared" ca="1" si="21"/>
        <v>3</v>
      </c>
      <c r="C126" t="str">
        <f t="shared" ca="1" si="22"/>
        <v>S</v>
      </c>
      <c r="D126">
        <f t="shared" ca="1" si="23"/>
        <v>0</v>
      </c>
      <c r="E126">
        <f ca="1">IF($C126=1,OFFSET(E126,-1,0)+MAX(1,COUNTIF(QCI!$A$13:$A$24,OFFSET(ORÇAMENTO!E126,-1,0))),OFFSET(E126,-1,0))</f>
        <v>1</v>
      </c>
      <c r="F126">
        <f t="shared" ca="1" si="24"/>
        <v>6</v>
      </c>
      <c r="G126">
        <f t="shared" ca="1" si="25"/>
        <v>1</v>
      </c>
      <c r="H126">
        <f t="shared" ca="1" si="26"/>
        <v>0</v>
      </c>
      <c r="I126">
        <f t="shared" ca="1" si="27"/>
        <v>0</v>
      </c>
      <c r="J126">
        <f t="shared" ca="1" si="18"/>
        <v>0</v>
      </c>
      <c r="K126">
        <f ca="1">IF(OR($C126="S",$C126=0),0,MATCH(OFFSET($D126,0,$C126)+IF($C126&lt;&gt;1,1,COUNTIF(QCI!$A$13:$A$24,ORÇAMENTO!E126)),OFFSET($D126,1,$C126,ROW($C$747)-ROW($C126)),0))</f>
        <v>0</v>
      </c>
      <c r="L126" s="116" t="str">
        <f t="shared" ca="1" si="28"/>
        <v/>
      </c>
      <c r="M126" s="117" t="s">
        <v>199</v>
      </c>
      <c r="N126" s="118" t="str">
        <f t="shared" ca="1" si="29"/>
        <v>Serviço</v>
      </c>
      <c r="O126" s="119" t="str">
        <f t="shared" ca="1" si="30"/>
        <v>-</v>
      </c>
      <c r="P126" s="120" t="s">
        <v>712</v>
      </c>
      <c r="Q126" s="121" t="s">
        <v>718</v>
      </c>
      <c r="R126" s="122" t="str">
        <f ca="1">IF($C126="S",REFERENCIA.Descricao,"(digite a descrição aqui)")</f>
        <v>(abra o arquivo 'Referência 02-2025.xlsm)</v>
      </c>
      <c r="S126" s="123" t="str">
        <f ca="1">REFERENCIA.Unidade</f>
        <v>-</v>
      </c>
      <c r="T126" s="124">
        <f ca="1">OFFSET(CÁLCULO!H$15,ROW($T126)-ROW(T$15),0)</f>
        <v>2</v>
      </c>
      <c r="U126" s="125">
        <f t="shared" ca="1" si="36"/>
        <v>0</v>
      </c>
      <c r="V126" s="126" t="s">
        <v>156</v>
      </c>
      <c r="W126" s="124">
        <f ca="1">IF($C126="S",ROUND(IF(TIPOORCAMENTO="Proposto",ORÇAMENTO.CustoUnitario*(1+$AH126),ORÇAMENTO.PrecoUnitarioLicitado),15-13*$AF$10),0)</f>
        <v>0</v>
      </c>
      <c r="X126" s="127">
        <f ca="1">IF($C126="S",IF(Import.TipoArredondamento&lt;&gt;"TransfereGOV",VTOTAL1,SUM(OFFSET(CÁLCULO!$AA$15,ROW($X126)-ROW($X$15),1):OFFSET(CÁLCULO!$AL$15,ROW($X126)-ROW($X$15),-1))),IF($C126=0,0,ROUND(SomaAgrup,15-13*$AF$11)))</f>
        <v>0</v>
      </c>
      <c r="Y126" s="128" t="s">
        <v>245</v>
      </c>
      <c r="Z126" t="str">
        <f t="shared" ca="1" si="31"/>
        <v/>
      </c>
      <c r="AA126" s="129">
        <f ca="1">IF($C126="S",IF($Z126="CP",$X126,IF($Z126="RA",(($X126)*QCI!$AA$3),0)),SomaAgrup)</f>
        <v>0</v>
      </c>
      <c r="AB126" s="130">
        <f t="shared" ca="1" si="32"/>
        <v>0</v>
      </c>
      <c r="AC126" s="131" t="str">
        <f ca="1">IF($N126="","",IF(ORÇAMENTO.Descricao="","DESCRIÇÃO",IF(AND($C126="S",ORÇAMENTO.Unidade=""),"UNIDADE",IF($X126&lt;0,"VALOR NEGATIVO",IF(OR(AND(TIPOORCAMENTO="Proposto",$AG126&lt;&gt;"",$AG126&gt;0,ORÇAMENTO.CustoUnitario&gt;$AG126),AND(TIPOORCAMENTO="LICITADO",ORÇAMENTO.PrecoUnitarioLicitado&gt;$AN126)),"ACIMA REF.","")))))</f>
        <v/>
      </c>
      <c r="AD126" t="str">
        <f ca="1">IF(C126&lt;=CRONO.NivelExibicao,MAX($AD$15:OFFSET(AD126,-1,0))+IF($C126&lt;&gt;1,1,MAX(1,COUNTIF(QCI!$A$13:$A$24,OFFSET($E126,-1,0)))),"")</f>
        <v/>
      </c>
      <c r="AE126" s="7" t="str">
        <f ca="1">IF(AND($C126="S",ORÇAMENTO.CodBarra&lt;&gt;""),IF(ORÇAMENTO.Fonte="",ORÇAMENTO.CodBarra,CONCATENATE(ORÇAMENTO.Fonte," ",ORÇAMENTO.CodBarra)))</f>
        <v>Composição FNDE 247</v>
      </c>
      <c r="AF126" s="13" t="str">
        <f ca="1">IF(ISERROR(INDIRECT(ORÇAMENTO.BancoRef)),"(abra o arquivo 'Referência "&amp;Excel_BuiltIn_Database&amp;".xlsm)",IF(OR($C126&lt;&gt;"S",ORÇAMENTO.CodBarra=""),"(Sem Código)",IF(ISERROR(MATCH($AE126,INDIRECT(ORÇAMENTO.BancoRef),0)),"(Código não identificado nas referências)",MATCH($AE126,INDIRECT(ORÇAMENTO.BancoRef),0))))</f>
        <v>(abra o arquivo 'Referência 02-2025.xlsm)</v>
      </c>
      <c r="AG126" s="498">
        <f ca="1">ROUND(IF(DESONERACAO="sim",REFERENCIA.Desonerado,REFERENCIA.NaoDesonerado),2)</f>
        <v>0</v>
      </c>
      <c r="AH126" s="499">
        <f t="shared" ca="1" si="33"/>
        <v>0.22470000000000001</v>
      </c>
      <c r="AJ126" s="501">
        <v>2</v>
      </c>
      <c r="AL126" s="527"/>
      <c r="AM126" s="381">
        <f t="shared" ca="1" si="34"/>
        <v>0</v>
      </c>
      <c r="AN126" s="566">
        <f t="shared" ca="1" si="35"/>
        <v>0</v>
      </c>
    </row>
    <row r="127" spans="1:40" ht="63.75" x14ac:dyDescent="0.2">
      <c r="A127" t="str">
        <f t="shared" si="20"/>
        <v>S</v>
      </c>
      <c r="B127">
        <f t="shared" ca="1" si="21"/>
        <v>3</v>
      </c>
      <c r="C127" t="str">
        <f t="shared" ca="1" si="22"/>
        <v>S</v>
      </c>
      <c r="D127">
        <f t="shared" ca="1" si="23"/>
        <v>0</v>
      </c>
      <c r="E127">
        <f ca="1">IF($C127=1,OFFSET(E127,-1,0)+MAX(1,COUNTIF(QCI!$A$13:$A$24,OFFSET(ORÇAMENTO!E127,-1,0))),OFFSET(E127,-1,0))</f>
        <v>1</v>
      </c>
      <c r="F127">
        <f t="shared" ca="1" si="24"/>
        <v>6</v>
      </c>
      <c r="G127">
        <f t="shared" ca="1" si="25"/>
        <v>1</v>
      </c>
      <c r="H127">
        <f t="shared" ca="1" si="26"/>
        <v>0</v>
      </c>
      <c r="I127">
        <f t="shared" ca="1" si="27"/>
        <v>0</v>
      </c>
      <c r="J127">
        <f t="shared" ca="1" si="18"/>
        <v>0</v>
      </c>
      <c r="K127">
        <f ca="1">IF(OR($C127="S",$C127=0),0,MATCH(OFFSET($D127,0,$C127)+IF($C127&lt;&gt;1,1,COUNTIF(QCI!$A$13:$A$24,ORÇAMENTO!E127)),OFFSET($D127,1,$C127,ROW($C$747)-ROW($C127)),0))</f>
        <v>0</v>
      </c>
      <c r="L127" s="116" t="str">
        <f t="shared" ca="1" si="28"/>
        <v/>
      </c>
      <c r="M127" s="117" t="s">
        <v>199</v>
      </c>
      <c r="N127" s="118" t="str">
        <f t="shared" ca="1" si="29"/>
        <v>Serviço</v>
      </c>
      <c r="O127" s="119" t="str">
        <f t="shared" ca="1" si="30"/>
        <v>-</v>
      </c>
      <c r="P127" s="120" t="s">
        <v>712</v>
      </c>
      <c r="Q127" s="121" t="s">
        <v>719</v>
      </c>
      <c r="R127" s="122" t="str">
        <f ca="1">IF($C127="S",REFERENCIA.Descricao,"(digite a descrição aqui)")</f>
        <v>(abra o arquivo 'Referência 02-2025.xlsm)</v>
      </c>
      <c r="S127" s="123" t="str">
        <f ca="1">REFERENCIA.Unidade</f>
        <v>-</v>
      </c>
      <c r="T127" s="124">
        <f ca="1">OFFSET(CÁLCULO!H$15,ROW($T127)-ROW(T$15),0)</f>
        <v>4</v>
      </c>
      <c r="U127" s="125">
        <f t="shared" ca="1" si="36"/>
        <v>0</v>
      </c>
      <c r="V127" s="126" t="s">
        <v>156</v>
      </c>
      <c r="W127" s="124">
        <f ca="1">IF($C127="S",ROUND(IF(TIPOORCAMENTO="Proposto",ORÇAMENTO.CustoUnitario*(1+$AH127),ORÇAMENTO.PrecoUnitarioLicitado),15-13*$AF$10),0)</f>
        <v>0</v>
      </c>
      <c r="X127" s="127">
        <f ca="1">IF($C127="S",IF(Import.TipoArredondamento&lt;&gt;"TransfereGOV",VTOTAL1,SUM(OFFSET(CÁLCULO!$AA$15,ROW($X127)-ROW($X$15),1):OFFSET(CÁLCULO!$AL$15,ROW($X127)-ROW($X$15),-1))),IF($C127=0,0,ROUND(SomaAgrup,15-13*$AF$11)))</f>
        <v>0</v>
      </c>
      <c r="Y127" s="128" t="s">
        <v>245</v>
      </c>
      <c r="Z127" t="str">
        <f t="shared" ca="1" si="31"/>
        <v/>
      </c>
      <c r="AA127" s="129">
        <f ca="1">IF($C127="S",IF($Z127="CP",$X127,IF($Z127="RA",(($X127)*QCI!$AA$3),0)),SomaAgrup)</f>
        <v>0</v>
      </c>
      <c r="AB127" s="130">
        <f t="shared" ca="1" si="32"/>
        <v>0</v>
      </c>
      <c r="AC127" s="131" t="str">
        <f ca="1">IF($N127="","",IF(ORÇAMENTO.Descricao="","DESCRIÇÃO",IF(AND($C127="S",ORÇAMENTO.Unidade=""),"UNIDADE",IF($X127&lt;0,"VALOR NEGATIVO",IF(OR(AND(TIPOORCAMENTO="Proposto",$AG127&lt;&gt;"",$AG127&gt;0,ORÇAMENTO.CustoUnitario&gt;$AG127),AND(TIPOORCAMENTO="LICITADO",ORÇAMENTO.PrecoUnitarioLicitado&gt;$AN127)),"ACIMA REF.","")))))</f>
        <v/>
      </c>
      <c r="AD127" t="str">
        <f ca="1">IF(C127&lt;=CRONO.NivelExibicao,MAX($AD$15:OFFSET(AD127,-1,0))+IF($C127&lt;&gt;1,1,MAX(1,COUNTIF(QCI!$A$13:$A$24,OFFSET($E127,-1,0)))),"")</f>
        <v/>
      </c>
      <c r="AE127" s="7" t="str">
        <f ca="1">IF(AND($C127="S",ORÇAMENTO.CodBarra&lt;&gt;""),IF(ORÇAMENTO.Fonte="",ORÇAMENTO.CodBarra,CONCATENATE(ORÇAMENTO.Fonte," ",ORÇAMENTO.CodBarra)))</f>
        <v>Composição FNDE 246</v>
      </c>
      <c r="AF127" s="13" t="str">
        <f ca="1">IF(ISERROR(INDIRECT(ORÇAMENTO.BancoRef)),"(abra o arquivo 'Referência "&amp;Excel_BuiltIn_Database&amp;".xlsm)",IF(OR($C127&lt;&gt;"S",ORÇAMENTO.CodBarra=""),"(Sem Código)",IF(ISERROR(MATCH($AE127,INDIRECT(ORÇAMENTO.BancoRef),0)),"(Código não identificado nas referências)",MATCH($AE127,INDIRECT(ORÇAMENTO.BancoRef),0))))</f>
        <v>(abra o arquivo 'Referência 02-2025.xlsm)</v>
      </c>
      <c r="AG127" s="498">
        <f ca="1">ROUND(IF(DESONERACAO="sim",REFERENCIA.Desonerado,REFERENCIA.NaoDesonerado),2)</f>
        <v>0</v>
      </c>
      <c r="AH127" s="499">
        <f t="shared" ca="1" si="33"/>
        <v>0.22470000000000001</v>
      </c>
      <c r="AJ127" s="501">
        <v>4</v>
      </c>
      <c r="AL127" s="527"/>
      <c r="AM127" s="381">
        <f t="shared" ca="1" si="34"/>
        <v>0</v>
      </c>
      <c r="AN127" s="566">
        <f t="shared" ca="1" si="35"/>
        <v>0</v>
      </c>
    </row>
    <row r="128" spans="1:40" ht="63.75" x14ac:dyDescent="0.2">
      <c r="A128" t="str">
        <f t="shared" si="20"/>
        <v>S</v>
      </c>
      <c r="B128">
        <f t="shared" ca="1" si="21"/>
        <v>3</v>
      </c>
      <c r="C128" t="str">
        <f t="shared" ca="1" si="22"/>
        <v>S</v>
      </c>
      <c r="D128">
        <f t="shared" ca="1" si="23"/>
        <v>0</v>
      </c>
      <c r="E128">
        <f ca="1">IF($C128=1,OFFSET(E128,-1,0)+MAX(1,COUNTIF(QCI!$A$13:$A$24,OFFSET(ORÇAMENTO!E128,-1,0))),OFFSET(E128,-1,0))</f>
        <v>1</v>
      </c>
      <c r="F128">
        <f t="shared" ca="1" si="24"/>
        <v>6</v>
      </c>
      <c r="G128">
        <f t="shared" ca="1" si="25"/>
        <v>1</v>
      </c>
      <c r="H128">
        <f t="shared" ca="1" si="26"/>
        <v>0</v>
      </c>
      <c r="I128">
        <f t="shared" ca="1" si="27"/>
        <v>0</v>
      </c>
      <c r="J128">
        <f t="shared" ca="1" si="18"/>
        <v>0</v>
      </c>
      <c r="K128">
        <f ca="1">IF(OR($C128="S",$C128=0),0,MATCH(OFFSET($D128,0,$C128)+IF($C128&lt;&gt;1,1,COUNTIF(QCI!$A$13:$A$24,ORÇAMENTO!E128)),OFFSET($D128,1,$C128,ROW($C$747)-ROW($C128)),0))</f>
        <v>0</v>
      </c>
      <c r="L128" s="116" t="str">
        <f t="shared" ca="1" si="28"/>
        <v/>
      </c>
      <c r="M128" s="117" t="s">
        <v>199</v>
      </c>
      <c r="N128" s="118" t="str">
        <f t="shared" ca="1" si="29"/>
        <v>Serviço</v>
      </c>
      <c r="O128" s="119" t="str">
        <f t="shared" ca="1" si="30"/>
        <v>-</v>
      </c>
      <c r="P128" s="120" t="s">
        <v>712</v>
      </c>
      <c r="Q128" s="121" t="s">
        <v>720</v>
      </c>
      <c r="R128" s="122" t="str">
        <f ca="1">IF($C128="S",REFERENCIA.Descricao,"(digite a descrição aqui)")</f>
        <v>(abra o arquivo 'Referência 02-2025.xlsm)</v>
      </c>
      <c r="S128" s="123" t="str">
        <f ca="1">REFERENCIA.Unidade</f>
        <v>-</v>
      </c>
      <c r="T128" s="124">
        <f ca="1">OFFSET(CÁLCULO!H$15,ROW($T128)-ROW(T$15),0)</f>
        <v>10</v>
      </c>
      <c r="U128" s="125">
        <f t="shared" ca="1" si="36"/>
        <v>0</v>
      </c>
      <c r="V128" s="126" t="s">
        <v>156</v>
      </c>
      <c r="W128" s="124">
        <f ca="1">IF($C128="S",ROUND(IF(TIPOORCAMENTO="Proposto",ORÇAMENTO.CustoUnitario*(1+$AH128),ORÇAMENTO.PrecoUnitarioLicitado),15-13*$AF$10),0)</f>
        <v>0</v>
      </c>
      <c r="X128" s="127">
        <f ca="1">IF($C128="S",IF(Import.TipoArredondamento&lt;&gt;"TransfereGOV",VTOTAL1,SUM(OFFSET(CÁLCULO!$AA$15,ROW($X128)-ROW($X$15),1):OFFSET(CÁLCULO!$AL$15,ROW($X128)-ROW($X$15),-1))),IF($C128=0,0,ROUND(SomaAgrup,15-13*$AF$11)))</f>
        <v>0</v>
      </c>
      <c r="Y128" s="128" t="s">
        <v>245</v>
      </c>
      <c r="Z128" t="str">
        <f t="shared" ca="1" si="31"/>
        <v/>
      </c>
      <c r="AA128" s="129">
        <f ca="1">IF($C128="S",IF($Z128="CP",$X128,IF($Z128="RA",(($X128)*QCI!$AA$3),0)),SomaAgrup)</f>
        <v>0</v>
      </c>
      <c r="AB128" s="130">
        <f t="shared" ca="1" si="32"/>
        <v>0</v>
      </c>
      <c r="AC128" s="131" t="str">
        <f ca="1">IF($N128="","",IF(ORÇAMENTO.Descricao="","DESCRIÇÃO",IF(AND($C128="S",ORÇAMENTO.Unidade=""),"UNIDADE",IF($X128&lt;0,"VALOR NEGATIVO",IF(OR(AND(TIPOORCAMENTO="Proposto",$AG128&lt;&gt;"",$AG128&gt;0,ORÇAMENTO.CustoUnitario&gt;$AG128),AND(TIPOORCAMENTO="LICITADO",ORÇAMENTO.PrecoUnitarioLicitado&gt;$AN128)),"ACIMA REF.","")))))</f>
        <v/>
      </c>
      <c r="AD128" t="str">
        <f ca="1">IF(C128&lt;=CRONO.NivelExibicao,MAX($AD$15:OFFSET(AD128,-1,0))+IF($C128&lt;&gt;1,1,MAX(1,COUNTIF(QCI!$A$13:$A$24,OFFSET($E128,-1,0)))),"")</f>
        <v/>
      </c>
      <c r="AE128" s="7" t="str">
        <f ca="1">IF(AND($C128="S",ORÇAMENTO.CodBarra&lt;&gt;""),IF(ORÇAMENTO.Fonte="",ORÇAMENTO.CodBarra,CONCATENATE(ORÇAMENTO.Fonte," ",ORÇAMENTO.CodBarra)))</f>
        <v>Composição FNDE 248</v>
      </c>
      <c r="AF128" s="13" t="str">
        <f ca="1">IF(ISERROR(INDIRECT(ORÇAMENTO.BancoRef)),"(abra o arquivo 'Referência "&amp;Excel_BuiltIn_Database&amp;".xlsm)",IF(OR($C128&lt;&gt;"S",ORÇAMENTO.CodBarra=""),"(Sem Código)",IF(ISERROR(MATCH($AE128,INDIRECT(ORÇAMENTO.BancoRef),0)),"(Código não identificado nas referências)",MATCH($AE128,INDIRECT(ORÇAMENTO.BancoRef),0))))</f>
        <v>(abra o arquivo 'Referência 02-2025.xlsm)</v>
      </c>
      <c r="AG128" s="498">
        <f ca="1">ROUND(IF(DESONERACAO="sim",REFERENCIA.Desonerado,REFERENCIA.NaoDesonerado),2)</f>
        <v>0</v>
      </c>
      <c r="AH128" s="499">
        <f t="shared" ca="1" si="33"/>
        <v>0.22470000000000001</v>
      </c>
      <c r="AJ128" s="501">
        <v>10</v>
      </c>
      <c r="AL128" s="527"/>
      <c r="AM128" s="381">
        <f t="shared" ca="1" si="34"/>
        <v>0</v>
      </c>
      <c r="AN128" s="566">
        <f t="shared" ca="1" si="35"/>
        <v>0</v>
      </c>
    </row>
    <row r="129" spans="1:40" ht="38.25" x14ac:dyDescent="0.2">
      <c r="A129" t="str">
        <f t="shared" si="20"/>
        <v>S</v>
      </c>
      <c r="B129">
        <f t="shared" ca="1" si="21"/>
        <v>3</v>
      </c>
      <c r="C129" t="str">
        <f t="shared" ca="1" si="22"/>
        <v>S</v>
      </c>
      <c r="D129">
        <f t="shared" ca="1" si="23"/>
        <v>0</v>
      </c>
      <c r="E129">
        <f ca="1">IF($C129=1,OFFSET(E129,-1,0)+MAX(1,COUNTIF(QCI!$A$13:$A$24,OFFSET(ORÇAMENTO!E129,-1,0))),OFFSET(E129,-1,0))</f>
        <v>1</v>
      </c>
      <c r="F129">
        <f t="shared" ca="1" si="24"/>
        <v>6</v>
      </c>
      <c r="G129">
        <f t="shared" ca="1" si="25"/>
        <v>1</v>
      </c>
      <c r="H129">
        <f t="shared" ca="1" si="26"/>
        <v>0</v>
      </c>
      <c r="I129">
        <f t="shared" ca="1" si="27"/>
        <v>0</v>
      </c>
      <c r="J129">
        <f t="shared" ca="1" si="18"/>
        <v>0</v>
      </c>
      <c r="K129">
        <f ca="1">IF(OR($C129="S",$C129=0),0,MATCH(OFFSET($D129,0,$C129)+IF($C129&lt;&gt;1,1,COUNTIF(QCI!$A$13:$A$24,ORÇAMENTO!E129)),OFFSET($D129,1,$C129,ROW($C$747)-ROW($C129)),0))</f>
        <v>0</v>
      </c>
      <c r="L129" s="116" t="str">
        <f t="shared" ca="1" si="28"/>
        <v/>
      </c>
      <c r="M129" s="117" t="s">
        <v>199</v>
      </c>
      <c r="N129" s="118" t="str">
        <f t="shared" ca="1" si="29"/>
        <v>Serviço</v>
      </c>
      <c r="O129" s="119" t="str">
        <f t="shared" ca="1" si="30"/>
        <v>-</v>
      </c>
      <c r="P129" s="120" t="s">
        <v>712</v>
      </c>
      <c r="Q129" s="121" t="s">
        <v>721</v>
      </c>
      <c r="R129" s="122" t="str">
        <f ca="1">IF($C129="S",REFERENCIA.Descricao,"(digite a descrição aqui)")</f>
        <v>(abra o arquivo 'Referência 02-2025.xlsm)</v>
      </c>
      <c r="S129" s="123" t="str">
        <f ca="1">REFERENCIA.Unidade</f>
        <v>-</v>
      </c>
      <c r="T129" s="124">
        <f ca="1">OFFSET(CÁLCULO!H$15,ROW($T129)-ROW(T$15),0)</f>
        <v>8</v>
      </c>
      <c r="U129" s="125">
        <f t="shared" ca="1" si="36"/>
        <v>0</v>
      </c>
      <c r="V129" s="126" t="s">
        <v>156</v>
      </c>
      <c r="W129" s="124">
        <f ca="1">IF($C129="S",ROUND(IF(TIPOORCAMENTO="Proposto",ORÇAMENTO.CustoUnitario*(1+$AH129),ORÇAMENTO.PrecoUnitarioLicitado),15-13*$AF$10),0)</f>
        <v>0</v>
      </c>
      <c r="X129" s="127">
        <f ca="1">IF($C129="S",IF(Import.TipoArredondamento&lt;&gt;"TransfereGOV",VTOTAL1,SUM(OFFSET(CÁLCULO!$AA$15,ROW($X129)-ROW($X$15),1):OFFSET(CÁLCULO!$AL$15,ROW($X129)-ROW($X$15),-1))),IF($C129=0,0,ROUND(SomaAgrup,15-13*$AF$11)))</f>
        <v>0</v>
      </c>
      <c r="Y129" s="128" t="s">
        <v>245</v>
      </c>
      <c r="Z129" t="str">
        <f t="shared" ca="1" si="31"/>
        <v/>
      </c>
      <c r="AA129" s="129">
        <f ca="1">IF($C129="S",IF($Z129="CP",$X129,IF($Z129="RA",(($X129)*QCI!$AA$3),0)),SomaAgrup)</f>
        <v>0</v>
      </c>
      <c r="AB129" s="130">
        <f t="shared" ca="1" si="32"/>
        <v>0</v>
      </c>
      <c r="AC129" s="131" t="str">
        <f ca="1">IF($N129="","",IF(ORÇAMENTO.Descricao="","DESCRIÇÃO",IF(AND($C129="S",ORÇAMENTO.Unidade=""),"UNIDADE",IF($X129&lt;0,"VALOR NEGATIVO",IF(OR(AND(TIPOORCAMENTO="Proposto",$AG129&lt;&gt;"",$AG129&gt;0,ORÇAMENTO.CustoUnitario&gt;$AG129),AND(TIPOORCAMENTO="LICITADO",ORÇAMENTO.PrecoUnitarioLicitado&gt;$AN129)),"ACIMA REF.","")))))</f>
        <v/>
      </c>
      <c r="AD129" t="str">
        <f ca="1">IF(C129&lt;=CRONO.NivelExibicao,MAX($AD$15:OFFSET(AD129,-1,0))+IF($C129&lt;&gt;1,1,MAX(1,COUNTIF(QCI!$A$13:$A$24,OFFSET($E129,-1,0)))),"")</f>
        <v/>
      </c>
      <c r="AE129" s="7" t="str">
        <f ca="1">IF(AND($C129="S",ORÇAMENTO.CodBarra&lt;&gt;""),IF(ORÇAMENTO.Fonte="",ORÇAMENTO.CodBarra,CONCATENATE(ORÇAMENTO.Fonte," ",ORÇAMENTO.CodBarra)))</f>
        <v>Composição FNDE 249</v>
      </c>
      <c r="AF129" s="13" t="str">
        <f ca="1">IF(ISERROR(INDIRECT(ORÇAMENTO.BancoRef)),"(abra o arquivo 'Referência "&amp;Excel_BuiltIn_Database&amp;".xlsm)",IF(OR($C129&lt;&gt;"S",ORÇAMENTO.CodBarra=""),"(Sem Código)",IF(ISERROR(MATCH($AE129,INDIRECT(ORÇAMENTO.BancoRef),0)),"(Código não identificado nas referências)",MATCH($AE129,INDIRECT(ORÇAMENTO.BancoRef),0))))</f>
        <v>(abra o arquivo 'Referência 02-2025.xlsm)</v>
      </c>
      <c r="AG129" s="498">
        <f ca="1">ROUND(IF(DESONERACAO="sim",REFERENCIA.Desonerado,REFERENCIA.NaoDesonerado),2)</f>
        <v>0</v>
      </c>
      <c r="AH129" s="499">
        <f t="shared" ca="1" si="33"/>
        <v>0.22470000000000001</v>
      </c>
      <c r="AJ129" s="501">
        <v>8</v>
      </c>
      <c r="AL129" s="527"/>
      <c r="AM129" s="381">
        <f t="shared" ca="1" si="34"/>
        <v>0</v>
      </c>
      <c r="AN129" s="566">
        <f t="shared" ca="1" si="35"/>
        <v>0</v>
      </c>
    </row>
    <row r="130" spans="1:40" ht="25.5" x14ac:dyDescent="0.2">
      <c r="A130" t="str">
        <f t="shared" si="20"/>
        <v>S</v>
      </c>
      <c r="B130">
        <f t="shared" ca="1" si="21"/>
        <v>3</v>
      </c>
      <c r="C130" t="str">
        <f t="shared" ca="1" si="22"/>
        <v>S</v>
      </c>
      <c r="D130">
        <f t="shared" ca="1" si="23"/>
        <v>0</v>
      </c>
      <c r="E130">
        <f ca="1">IF($C130=1,OFFSET(E130,-1,0)+MAX(1,COUNTIF(QCI!$A$13:$A$24,OFFSET(ORÇAMENTO!E130,-1,0))),OFFSET(E130,-1,0))</f>
        <v>1</v>
      </c>
      <c r="F130">
        <f t="shared" ca="1" si="24"/>
        <v>6</v>
      </c>
      <c r="G130">
        <f t="shared" ca="1" si="25"/>
        <v>1</v>
      </c>
      <c r="H130">
        <f t="shared" ca="1" si="26"/>
        <v>0</v>
      </c>
      <c r="I130">
        <f t="shared" ca="1" si="27"/>
        <v>0</v>
      </c>
      <c r="J130">
        <f t="shared" ca="1" si="18"/>
        <v>0</v>
      </c>
      <c r="K130">
        <f ca="1">IF(OR($C130="S",$C130=0),0,MATCH(OFFSET($D130,0,$C130)+IF($C130&lt;&gt;1,1,COUNTIF(QCI!$A$13:$A$24,ORÇAMENTO!E130)),OFFSET($D130,1,$C130,ROW($C$747)-ROW($C130)),0))</f>
        <v>0</v>
      </c>
      <c r="L130" s="116" t="str">
        <f t="shared" ca="1" si="28"/>
        <v/>
      </c>
      <c r="M130" s="117" t="s">
        <v>199</v>
      </c>
      <c r="N130" s="118" t="str">
        <f t="shared" ca="1" si="29"/>
        <v>Serviço</v>
      </c>
      <c r="O130" s="119" t="str">
        <f t="shared" ca="1" si="30"/>
        <v>-</v>
      </c>
      <c r="P130" s="120" t="s">
        <v>712</v>
      </c>
      <c r="Q130" s="121" t="s">
        <v>722</v>
      </c>
      <c r="R130" s="122" t="str">
        <f ca="1">IF($C130="S",REFERENCIA.Descricao,"(digite a descrição aqui)")</f>
        <v>(abra o arquivo 'Referência 02-2025.xlsm)</v>
      </c>
      <c r="S130" s="123" t="str">
        <f ca="1">REFERENCIA.Unidade</f>
        <v>-</v>
      </c>
      <c r="T130" s="124">
        <f ca="1">OFFSET(CÁLCULO!H$15,ROW($T130)-ROW(T$15),0)</f>
        <v>2.2999999999999998</v>
      </c>
      <c r="U130" s="125">
        <f t="shared" ca="1" si="36"/>
        <v>0</v>
      </c>
      <c r="V130" s="126" t="s">
        <v>156</v>
      </c>
      <c r="W130" s="124">
        <f ca="1">IF($C130="S",ROUND(IF(TIPOORCAMENTO="Proposto",ORÇAMENTO.CustoUnitario*(1+$AH130),ORÇAMENTO.PrecoUnitarioLicitado),15-13*$AF$10),0)</f>
        <v>0</v>
      </c>
      <c r="X130" s="127">
        <f ca="1">IF($C130="S",IF(Import.TipoArredondamento&lt;&gt;"TransfereGOV",VTOTAL1,SUM(OFFSET(CÁLCULO!$AA$15,ROW($X130)-ROW($X$15),1):OFFSET(CÁLCULO!$AL$15,ROW($X130)-ROW($X$15),-1))),IF($C130=0,0,ROUND(SomaAgrup,15-13*$AF$11)))</f>
        <v>0</v>
      </c>
      <c r="Y130" s="128" t="s">
        <v>245</v>
      </c>
      <c r="Z130" t="str">
        <f t="shared" ca="1" si="31"/>
        <v/>
      </c>
      <c r="AA130" s="129">
        <f ca="1">IF($C130="S",IF($Z130="CP",$X130,IF($Z130="RA",(($X130)*QCI!$AA$3),0)),SomaAgrup)</f>
        <v>0</v>
      </c>
      <c r="AB130" s="130">
        <f t="shared" ca="1" si="32"/>
        <v>0</v>
      </c>
      <c r="AC130" s="131" t="str">
        <f ca="1">IF($N130="","",IF(ORÇAMENTO.Descricao="","DESCRIÇÃO",IF(AND($C130="S",ORÇAMENTO.Unidade=""),"UNIDADE",IF($X130&lt;0,"VALOR NEGATIVO",IF(OR(AND(TIPOORCAMENTO="Proposto",$AG130&lt;&gt;"",$AG130&gt;0,ORÇAMENTO.CustoUnitario&gt;$AG130),AND(TIPOORCAMENTO="LICITADO",ORÇAMENTO.PrecoUnitarioLicitado&gt;$AN130)),"ACIMA REF.","")))))</f>
        <v/>
      </c>
      <c r="AD130" t="str">
        <f ca="1">IF(C130&lt;=CRONO.NivelExibicao,MAX($AD$15:OFFSET(AD130,-1,0))+IF($C130&lt;&gt;1,1,MAX(1,COUNTIF(QCI!$A$13:$A$24,OFFSET($E130,-1,0)))),"")</f>
        <v/>
      </c>
      <c r="AE130" s="7" t="str">
        <f ca="1">IF(AND($C130="S",ORÇAMENTO.CodBarra&lt;&gt;""),IF(ORÇAMENTO.Fonte="",ORÇAMENTO.CodBarra,CONCATENATE(ORÇAMENTO.Fonte," ",ORÇAMENTO.CodBarra)))</f>
        <v>Composição FNDE 250</v>
      </c>
      <c r="AF130" s="13" t="str">
        <f ca="1">IF(ISERROR(INDIRECT(ORÇAMENTO.BancoRef)),"(abra o arquivo 'Referência "&amp;Excel_BuiltIn_Database&amp;".xlsm)",IF(OR($C130&lt;&gt;"S",ORÇAMENTO.CodBarra=""),"(Sem Código)",IF(ISERROR(MATCH($AE130,INDIRECT(ORÇAMENTO.BancoRef),0)),"(Código não identificado nas referências)",MATCH($AE130,INDIRECT(ORÇAMENTO.BancoRef),0))))</f>
        <v>(abra o arquivo 'Referência 02-2025.xlsm)</v>
      </c>
      <c r="AG130" s="498">
        <f ca="1">ROUND(IF(DESONERACAO="sim",REFERENCIA.Desonerado,REFERENCIA.NaoDesonerado),2)</f>
        <v>0</v>
      </c>
      <c r="AH130" s="499">
        <f t="shared" ca="1" si="33"/>
        <v>0.22470000000000001</v>
      </c>
      <c r="AJ130" s="501">
        <v>2.2999999999999998</v>
      </c>
      <c r="AL130" s="527"/>
      <c r="AM130" s="381">
        <f t="shared" ca="1" si="34"/>
        <v>0</v>
      </c>
      <c r="AN130" s="566">
        <f t="shared" ca="1" si="35"/>
        <v>0</v>
      </c>
    </row>
    <row r="131" spans="1:40" x14ac:dyDescent="0.2">
      <c r="A131">
        <f t="shared" si="20"/>
        <v>3</v>
      </c>
      <c r="B131">
        <f t="shared" ca="1" si="21"/>
        <v>3</v>
      </c>
      <c r="C131">
        <f t="shared" ca="1" si="22"/>
        <v>3</v>
      </c>
      <c r="D131">
        <f t="shared" ca="1" si="23"/>
        <v>5</v>
      </c>
      <c r="E131">
        <f ca="1">IF($C131=1,OFFSET(E131,-1,0)+MAX(1,COUNTIF(QCI!$A$13:$A$24,OFFSET(ORÇAMENTO!E131,-1,0))),OFFSET(E131,-1,0))</f>
        <v>1</v>
      </c>
      <c r="F131">
        <f t="shared" ca="1" si="24"/>
        <v>6</v>
      </c>
      <c r="G131">
        <f t="shared" ca="1" si="25"/>
        <v>2</v>
      </c>
      <c r="H131">
        <f t="shared" ca="1" si="26"/>
        <v>0</v>
      </c>
      <c r="I131">
        <f t="shared" ca="1" si="27"/>
        <v>0</v>
      </c>
      <c r="J131">
        <f t="shared" ca="1" si="18"/>
        <v>46</v>
      </c>
      <c r="K131">
        <f ca="1">IF(OR($C131="S",$C131=0),0,MATCH(OFFSET($D131,0,$C131)+IF($C131&lt;&gt;1,1,COUNTIF(QCI!$A$13:$A$24,ORÇAMENTO!E131)),OFFSET($D131,1,$C131,ROW($C$747)-ROW($C131)),0))</f>
        <v>5</v>
      </c>
      <c r="L131" s="116" t="str">
        <f t="shared" ca="1" si="28"/>
        <v>F</v>
      </c>
      <c r="M131" s="117" t="s">
        <v>197</v>
      </c>
      <c r="N131" s="118" t="str">
        <f t="shared" ca="1" si="29"/>
        <v>Nível 3</v>
      </c>
      <c r="O131" s="119" t="str">
        <f t="shared" ca="1" si="30"/>
        <v>1.6.2.</v>
      </c>
      <c r="P131" s="120" t="s">
        <v>247</v>
      </c>
      <c r="Q131" s="121"/>
      <c r="R131" s="122" t="str">
        <f ca="1">IF($C131="S",REFERENCIA.Descricao,"FERRAGENS E ACESSÓRIOS")</f>
        <v>FERRAGENS E ACESSÓRIOS</v>
      </c>
      <c r="S131" s="123" t="str">
        <f ca="1">REFERENCIA.Unidade</f>
        <v>-</v>
      </c>
      <c r="T131" s="124">
        <f ca="1">OFFSET(CÁLCULO!H$15,ROW($T131)-ROW(T$15),0)</f>
        <v>0</v>
      </c>
      <c r="U131" s="125">
        <f t="shared" ca="1" si="36"/>
        <v>0</v>
      </c>
      <c r="V131" s="126" t="s">
        <v>156</v>
      </c>
      <c r="W131" s="124">
        <f ca="1">IF($C131="S",ROUND(IF(TIPOORCAMENTO="Proposto",ORÇAMENTO.CustoUnitario*(1+$AH131),ORÇAMENTO.PrecoUnitarioLicitado),15-13*$AF$10),0)</f>
        <v>0</v>
      </c>
      <c r="X131" s="127">
        <f ca="1">IF($C131="S",IF(Import.TipoArredondamento&lt;&gt;"TransfereGOV",VTOTAL1,SUM(OFFSET(CÁLCULO!$AA$15,ROW($X131)-ROW($X$15),1):OFFSET(CÁLCULO!$AL$15,ROW($X131)-ROW($X$15),-1))),IF($C131=0,0,ROUND(SomaAgrup,15-13*$AF$11)))</f>
        <v>0</v>
      </c>
      <c r="Y131" s="128" t="s">
        <v>245</v>
      </c>
      <c r="Z131" t="str">
        <f t="shared" ca="1" si="31"/>
        <v/>
      </c>
      <c r="AA131" s="129">
        <f ca="1">IF($C131="S",IF($Z131="CP",$X131,IF($Z131="RA",(($X131)*QCI!$AA$3),0)),SomaAgrup)</f>
        <v>0</v>
      </c>
      <c r="AB131" s="130">
        <f t="shared" ca="1" si="32"/>
        <v>0</v>
      </c>
      <c r="AC131" s="131" t="str">
        <f ca="1">IF($N131="","",IF(ORÇAMENTO.Descricao="","DESCRIÇÃO",IF(AND($C131="S",ORÇAMENTO.Unidade=""),"UNIDADE",IF($X131&lt;0,"VALOR NEGATIVO",IF(OR(AND(TIPOORCAMENTO="Proposto",$AG131&lt;&gt;"",$AG131&gt;0,ORÇAMENTO.CustoUnitario&gt;$AG131),AND(TIPOORCAMENTO="LICITADO",ORÇAMENTO.PrecoUnitarioLicitado&gt;$AN131)),"ACIMA REF.","")))))</f>
        <v/>
      </c>
      <c r="AD131" t="str">
        <f ca="1">IF(C131&lt;=CRONO.NivelExibicao,MAX($AD$15:OFFSET(AD131,-1,0))+IF($C131&lt;&gt;1,1,MAX(1,COUNTIF(QCI!$A$13:$A$24,OFFSET($E131,-1,0)))),"")</f>
        <v/>
      </c>
      <c r="AE131" s="7" t="b">
        <f ca="1">IF(AND($C131="S",ORÇAMENTO.CodBarra&lt;&gt;""),IF(ORÇAMENTO.Fonte="",ORÇAMENTO.CodBarra,CONCATENATE(ORÇAMENTO.Fonte," ",ORÇAMENTO.CodBarra)))</f>
        <v>0</v>
      </c>
      <c r="AF131" s="13" t="str">
        <f ca="1">IF(ISERROR(INDIRECT(ORÇAMENTO.BancoRef)),"(abra o arquivo 'Referência "&amp;Excel_BuiltIn_Database&amp;".xlsm)",IF(OR($C131&lt;&gt;"S",ORÇAMENTO.CodBarra=""),"(Sem Código)",IF(ISERROR(MATCH($AE131,INDIRECT(ORÇAMENTO.BancoRef),0)),"(Código não identificado nas referências)",MATCH($AE131,INDIRECT(ORÇAMENTO.BancoRef),0))))</f>
        <v>(abra o arquivo 'Referência 02-2025.xlsm)</v>
      </c>
      <c r="AG131" s="498">
        <f ca="1">ROUND(IF(DESONERACAO="sim",REFERENCIA.Desonerado,REFERENCIA.NaoDesonerado),2)</f>
        <v>0</v>
      </c>
      <c r="AH131" s="499">
        <f t="shared" ca="1" si="33"/>
        <v>0.22470000000000001</v>
      </c>
      <c r="AJ131" s="501"/>
      <c r="AL131" s="527"/>
      <c r="AM131" s="381">
        <f t="shared" ca="1" si="34"/>
        <v>0</v>
      </c>
      <c r="AN131" s="566">
        <f t="shared" ca="1" si="35"/>
        <v>0</v>
      </c>
    </row>
    <row r="132" spans="1:40" ht="25.5" x14ac:dyDescent="0.2">
      <c r="A132" t="str">
        <f t="shared" si="20"/>
        <v>S</v>
      </c>
      <c r="B132">
        <f t="shared" ca="1" si="21"/>
        <v>3</v>
      </c>
      <c r="C132" t="str">
        <f t="shared" ca="1" si="22"/>
        <v>S</v>
      </c>
      <c r="D132">
        <f t="shared" ca="1" si="23"/>
        <v>0</v>
      </c>
      <c r="E132">
        <f ca="1">IF($C132=1,OFFSET(E132,-1,0)+MAX(1,COUNTIF(QCI!$A$13:$A$24,OFFSET(ORÇAMENTO!E132,-1,0))),OFFSET(E132,-1,0))</f>
        <v>1</v>
      </c>
      <c r="F132">
        <f t="shared" ca="1" si="24"/>
        <v>6</v>
      </c>
      <c r="G132">
        <f t="shared" ca="1" si="25"/>
        <v>2</v>
      </c>
      <c r="H132">
        <f t="shared" ca="1" si="26"/>
        <v>0</v>
      </c>
      <c r="I132">
        <f t="shared" ca="1" si="27"/>
        <v>0</v>
      </c>
      <c r="J132">
        <f t="shared" ca="1" si="18"/>
        <v>0</v>
      </c>
      <c r="K132">
        <f ca="1">IF(OR($C132="S",$C132=0),0,MATCH(OFFSET($D132,0,$C132)+IF($C132&lt;&gt;1,1,COUNTIF(QCI!$A$13:$A$24,ORÇAMENTO!E132)),OFFSET($D132,1,$C132,ROW($C$747)-ROW($C132)),0))</f>
        <v>0</v>
      </c>
      <c r="L132" s="116" t="str">
        <f t="shared" ca="1" si="28"/>
        <v/>
      </c>
      <c r="M132" s="117" t="s">
        <v>199</v>
      </c>
      <c r="N132" s="118" t="str">
        <f t="shared" ca="1" si="29"/>
        <v>Serviço</v>
      </c>
      <c r="O132" s="119" t="str">
        <f t="shared" ca="1" si="30"/>
        <v>-</v>
      </c>
      <c r="P132" s="120" t="s">
        <v>247</v>
      </c>
      <c r="Q132" s="121" t="s">
        <v>484</v>
      </c>
      <c r="R132" s="122" t="str">
        <f ca="1">IF($C132="S",REFERENCIA.Descricao,"(digite a descrição aqui)")</f>
        <v>(abra o arquivo 'Referência 02-2025.xlsm)</v>
      </c>
      <c r="S132" s="123" t="str">
        <f ca="1">REFERENCIA.Unidade</f>
        <v>-</v>
      </c>
      <c r="T132" s="124">
        <f ca="1">OFFSET(CÁLCULO!H$15,ROW($T132)-ROW(T$15),0)</f>
        <v>8</v>
      </c>
      <c r="U132" s="125">
        <f t="shared" ca="1" si="36"/>
        <v>0</v>
      </c>
      <c r="V132" s="126" t="s">
        <v>156</v>
      </c>
      <c r="W132" s="124">
        <f ca="1">IF($C132="S",ROUND(IF(TIPOORCAMENTO="Proposto",ORÇAMENTO.CustoUnitario*(1+$AH132),ORÇAMENTO.PrecoUnitarioLicitado),15-13*$AF$10),0)</f>
        <v>0</v>
      </c>
      <c r="X132" s="127">
        <f ca="1">IF($C132="S",IF(Import.TipoArredondamento&lt;&gt;"TransfereGOV",VTOTAL1,SUM(OFFSET(CÁLCULO!$AA$15,ROW($X132)-ROW($X$15),1):OFFSET(CÁLCULO!$AL$15,ROW($X132)-ROW($X$15),-1))),IF($C132=0,0,ROUND(SomaAgrup,15-13*$AF$11)))</f>
        <v>0</v>
      </c>
      <c r="Y132" s="128" t="s">
        <v>245</v>
      </c>
      <c r="Z132" t="str">
        <f t="shared" ca="1" si="31"/>
        <v/>
      </c>
      <c r="AA132" s="129">
        <f ca="1">IF($C132="S",IF($Z132="CP",$X132,IF($Z132="RA",(($X132)*QCI!$AA$3),0)),SomaAgrup)</f>
        <v>0</v>
      </c>
      <c r="AB132" s="130">
        <f t="shared" ca="1" si="32"/>
        <v>0</v>
      </c>
      <c r="AC132" s="131" t="str">
        <f ca="1">IF($N132="","",IF(ORÇAMENTO.Descricao="","DESCRIÇÃO",IF(AND($C132="S",ORÇAMENTO.Unidade=""),"UNIDADE",IF($X132&lt;0,"VALOR NEGATIVO",IF(OR(AND(TIPOORCAMENTO="Proposto",$AG132&lt;&gt;"",$AG132&gt;0,ORÇAMENTO.CustoUnitario&gt;$AG132),AND(TIPOORCAMENTO="LICITADO",ORÇAMENTO.PrecoUnitarioLicitado&gt;$AN132)),"ACIMA REF.","")))))</f>
        <v/>
      </c>
      <c r="AD132" t="str">
        <f ca="1">IF(C132&lt;=CRONO.NivelExibicao,MAX($AD$15:OFFSET(AD132,-1,0))+IF($C132&lt;&gt;1,1,MAX(1,COUNTIF(QCI!$A$13:$A$24,OFFSET($E132,-1,0)))),"")</f>
        <v/>
      </c>
      <c r="AE132" s="7" t="str">
        <f ca="1">IF(AND($C132="S",ORÇAMENTO.CodBarra&lt;&gt;""),IF(ORÇAMENTO.Fonte="",ORÇAMENTO.CodBarra,CONCATENATE(ORÇAMENTO.Fonte," ",ORÇAMENTO.CodBarra)))</f>
        <v>SINAPI 100705</v>
      </c>
      <c r="AF132" s="13" t="str">
        <f ca="1">IF(ISERROR(INDIRECT(ORÇAMENTO.BancoRef)),"(abra o arquivo 'Referência "&amp;Excel_BuiltIn_Database&amp;".xlsm)",IF(OR($C132&lt;&gt;"S",ORÇAMENTO.CodBarra=""),"(Sem Código)",IF(ISERROR(MATCH($AE132,INDIRECT(ORÇAMENTO.BancoRef),0)),"(Código não identificado nas referências)",MATCH($AE132,INDIRECT(ORÇAMENTO.BancoRef),0))))</f>
        <v>(abra o arquivo 'Referência 02-2025.xlsm)</v>
      </c>
      <c r="AG132" s="498">
        <f ca="1">ROUND(IF(DESONERACAO="sim",REFERENCIA.Desonerado,REFERENCIA.NaoDesonerado),2)</f>
        <v>0</v>
      </c>
      <c r="AH132" s="499">
        <f t="shared" ca="1" si="33"/>
        <v>0.22470000000000001</v>
      </c>
      <c r="AJ132" s="501">
        <v>8</v>
      </c>
      <c r="AL132" s="527"/>
      <c r="AM132" s="381">
        <f t="shared" ca="1" si="34"/>
        <v>0</v>
      </c>
      <c r="AN132" s="566">
        <f t="shared" ca="1" si="35"/>
        <v>0</v>
      </c>
    </row>
    <row r="133" spans="1:40" ht="38.25" x14ac:dyDescent="0.2">
      <c r="A133" t="str">
        <f t="shared" si="20"/>
        <v>S</v>
      </c>
      <c r="B133">
        <f t="shared" ca="1" si="21"/>
        <v>3</v>
      </c>
      <c r="C133" t="str">
        <f t="shared" ca="1" si="22"/>
        <v>S</v>
      </c>
      <c r="D133">
        <f t="shared" ca="1" si="23"/>
        <v>0</v>
      </c>
      <c r="E133">
        <f ca="1">IF($C133=1,OFFSET(E133,-1,0)+MAX(1,COUNTIF(QCI!$A$13:$A$24,OFFSET(ORÇAMENTO!E133,-1,0))),OFFSET(E133,-1,0))</f>
        <v>1</v>
      </c>
      <c r="F133">
        <f t="shared" ca="1" si="24"/>
        <v>6</v>
      </c>
      <c r="G133">
        <f t="shared" ca="1" si="25"/>
        <v>2</v>
      </c>
      <c r="H133">
        <f t="shared" ca="1" si="26"/>
        <v>0</v>
      </c>
      <c r="I133">
        <f t="shared" ca="1" si="27"/>
        <v>0</v>
      </c>
      <c r="J133">
        <f t="shared" ca="1" si="18"/>
        <v>0</v>
      </c>
      <c r="K133">
        <f ca="1">IF(OR($C133="S",$C133=0),0,MATCH(OFFSET($D133,0,$C133)+IF($C133&lt;&gt;1,1,COUNTIF(QCI!$A$13:$A$24,ORÇAMENTO!E133)),OFFSET($D133,1,$C133,ROW($C$747)-ROW($C133)),0))</f>
        <v>0</v>
      </c>
      <c r="L133" s="116" t="str">
        <f t="shared" ca="1" si="28"/>
        <v/>
      </c>
      <c r="M133" s="117" t="s">
        <v>199</v>
      </c>
      <c r="N133" s="118" t="str">
        <f t="shared" ca="1" si="29"/>
        <v>Serviço</v>
      </c>
      <c r="O133" s="119" t="str">
        <f t="shared" ca="1" si="30"/>
        <v>-</v>
      </c>
      <c r="P133" s="120" t="s">
        <v>247</v>
      </c>
      <c r="Q133" s="121" t="s">
        <v>485</v>
      </c>
      <c r="R133" s="122" t="str">
        <f ca="1">IF($C133="S",REFERENCIA.Descricao,"(digite a descrição aqui)")</f>
        <v>(abra o arquivo 'Referência 02-2025.xlsm)</v>
      </c>
      <c r="S133" s="123" t="str">
        <f ca="1">REFERENCIA.Unidade</f>
        <v>-</v>
      </c>
      <c r="T133" s="124">
        <f ca="1">OFFSET(CÁLCULO!H$15,ROW($T133)-ROW(T$15),0)</f>
        <v>4</v>
      </c>
      <c r="U133" s="125">
        <f t="shared" ca="1" si="36"/>
        <v>0</v>
      </c>
      <c r="V133" s="126" t="s">
        <v>156</v>
      </c>
      <c r="W133" s="124">
        <f ca="1">IF($C133="S",ROUND(IF(TIPOORCAMENTO="Proposto",ORÇAMENTO.CustoUnitario*(1+$AH133),ORÇAMENTO.PrecoUnitarioLicitado),15-13*$AF$10),0)</f>
        <v>0</v>
      </c>
      <c r="X133" s="127">
        <f ca="1">IF($C133="S",IF(Import.TipoArredondamento&lt;&gt;"TransfereGOV",VTOTAL1,SUM(OFFSET(CÁLCULO!$AA$15,ROW($X133)-ROW($X$15),1):OFFSET(CÁLCULO!$AL$15,ROW($X133)-ROW($X$15),-1))),IF($C133=0,0,ROUND(SomaAgrup,15-13*$AF$11)))</f>
        <v>0</v>
      </c>
      <c r="Y133" s="128" t="s">
        <v>245</v>
      </c>
      <c r="Z133" t="str">
        <f t="shared" ca="1" si="31"/>
        <v/>
      </c>
      <c r="AA133" s="129">
        <f ca="1">IF($C133="S",IF($Z133="CP",$X133,IF($Z133="RA",(($X133)*QCI!$AA$3),0)),SomaAgrup)</f>
        <v>0</v>
      </c>
      <c r="AB133" s="130">
        <f t="shared" ca="1" si="32"/>
        <v>0</v>
      </c>
      <c r="AC133" s="131" t="str">
        <f ca="1">IF($N133="","",IF(ORÇAMENTO.Descricao="","DESCRIÇÃO",IF(AND($C133="S",ORÇAMENTO.Unidade=""),"UNIDADE",IF($X133&lt;0,"VALOR NEGATIVO",IF(OR(AND(TIPOORCAMENTO="Proposto",$AG133&lt;&gt;"",$AG133&gt;0,ORÇAMENTO.CustoUnitario&gt;$AG133),AND(TIPOORCAMENTO="LICITADO",ORÇAMENTO.PrecoUnitarioLicitado&gt;$AN133)),"ACIMA REF.","")))))</f>
        <v/>
      </c>
      <c r="AD133" t="str">
        <f ca="1">IF(C133&lt;=CRONO.NivelExibicao,MAX($AD$15:OFFSET(AD133,-1,0))+IF($C133&lt;&gt;1,1,MAX(1,COUNTIF(QCI!$A$13:$A$24,OFFSET($E133,-1,0)))),"")</f>
        <v/>
      </c>
      <c r="AE133" s="7" t="str">
        <f ca="1">IF(AND($C133="S",ORÇAMENTO.CodBarra&lt;&gt;""),IF(ORÇAMENTO.Fonte="",ORÇAMENTO.CodBarra,CONCATENATE(ORÇAMENTO.Fonte," ",ORÇAMENTO.CodBarra)))</f>
        <v>SINAPI 100866</v>
      </c>
      <c r="AF133" s="13" t="str">
        <f ca="1">IF(ISERROR(INDIRECT(ORÇAMENTO.BancoRef)),"(abra o arquivo 'Referência "&amp;Excel_BuiltIn_Database&amp;".xlsm)",IF(OR($C133&lt;&gt;"S",ORÇAMENTO.CodBarra=""),"(Sem Código)",IF(ISERROR(MATCH($AE133,INDIRECT(ORÇAMENTO.BancoRef),0)),"(Código não identificado nas referências)",MATCH($AE133,INDIRECT(ORÇAMENTO.BancoRef),0))))</f>
        <v>(abra o arquivo 'Referência 02-2025.xlsm)</v>
      </c>
      <c r="AG133" s="498">
        <f ca="1">ROUND(IF(DESONERACAO="sim",REFERENCIA.Desonerado,REFERENCIA.NaoDesonerado),2)</f>
        <v>0</v>
      </c>
      <c r="AH133" s="499">
        <f t="shared" ca="1" si="33"/>
        <v>0.22470000000000001</v>
      </c>
      <c r="AJ133" s="501">
        <v>4</v>
      </c>
      <c r="AL133" s="527"/>
      <c r="AM133" s="381">
        <f t="shared" ca="1" si="34"/>
        <v>0</v>
      </c>
      <c r="AN133" s="566">
        <f t="shared" ca="1" si="35"/>
        <v>0</v>
      </c>
    </row>
    <row r="134" spans="1:40" ht="25.5" x14ac:dyDescent="0.2">
      <c r="A134" t="str">
        <f t="shared" si="20"/>
        <v>S</v>
      </c>
      <c r="B134">
        <f t="shared" ca="1" si="21"/>
        <v>3</v>
      </c>
      <c r="C134" t="str">
        <f t="shared" ca="1" si="22"/>
        <v>S</v>
      </c>
      <c r="D134">
        <f t="shared" ca="1" si="23"/>
        <v>0</v>
      </c>
      <c r="E134">
        <f ca="1">IF($C134=1,OFFSET(E134,-1,0)+MAX(1,COUNTIF(QCI!$A$13:$A$24,OFFSET(ORÇAMENTO!E134,-1,0))),OFFSET(E134,-1,0))</f>
        <v>1</v>
      </c>
      <c r="F134">
        <f t="shared" ca="1" si="24"/>
        <v>6</v>
      </c>
      <c r="G134">
        <f t="shared" ca="1" si="25"/>
        <v>2</v>
      </c>
      <c r="H134">
        <f t="shared" ca="1" si="26"/>
        <v>0</v>
      </c>
      <c r="I134">
        <f t="shared" ca="1" si="27"/>
        <v>0</v>
      </c>
      <c r="J134">
        <f t="shared" ca="1" si="18"/>
        <v>0</v>
      </c>
      <c r="K134">
        <f ca="1">IF(OR($C134="S",$C134=0),0,MATCH(OFFSET($D134,0,$C134)+IF($C134&lt;&gt;1,1,COUNTIF(QCI!$A$13:$A$24,ORÇAMENTO!E134)),OFFSET($D134,1,$C134,ROW($C$747)-ROW($C134)),0))</f>
        <v>0</v>
      </c>
      <c r="L134" s="116" t="str">
        <f t="shared" ca="1" si="28"/>
        <v/>
      </c>
      <c r="M134" s="117" t="s">
        <v>199</v>
      </c>
      <c r="N134" s="118" t="str">
        <f t="shared" ca="1" si="29"/>
        <v>Serviço</v>
      </c>
      <c r="O134" s="119" t="str">
        <f t="shared" ca="1" si="30"/>
        <v>-</v>
      </c>
      <c r="P134" s="120" t="s">
        <v>712</v>
      </c>
      <c r="Q134" s="121" t="s">
        <v>723</v>
      </c>
      <c r="R134" s="122" t="str">
        <f ca="1">IF($C134="S",REFERENCIA.Descricao,"(digite a descrição aqui)")</f>
        <v>(abra o arquivo 'Referência 02-2025.xlsm)</v>
      </c>
      <c r="S134" s="123" t="str">
        <f ca="1">REFERENCIA.Unidade</f>
        <v>-</v>
      </c>
      <c r="T134" s="124">
        <f ca="1">OFFSET(CÁLCULO!H$15,ROW($T134)-ROW(T$15),0)</f>
        <v>19.84</v>
      </c>
      <c r="U134" s="125">
        <f t="shared" ca="1" si="36"/>
        <v>0</v>
      </c>
      <c r="V134" s="126" t="s">
        <v>156</v>
      </c>
      <c r="W134" s="124">
        <f ca="1">IF($C134="S",ROUND(IF(TIPOORCAMENTO="Proposto",ORÇAMENTO.CustoUnitario*(1+$AH134),ORÇAMENTO.PrecoUnitarioLicitado),15-13*$AF$10),0)</f>
        <v>0</v>
      </c>
      <c r="X134" s="127">
        <f ca="1">IF($C134="S",IF(Import.TipoArredondamento&lt;&gt;"TransfereGOV",VTOTAL1,SUM(OFFSET(CÁLCULO!$AA$15,ROW($X134)-ROW($X$15),1):OFFSET(CÁLCULO!$AL$15,ROW($X134)-ROW($X$15),-1))),IF($C134=0,0,ROUND(SomaAgrup,15-13*$AF$11)))</f>
        <v>0</v>
      </c>
      <c r="Y134" s="128" t="s">
        <v>245</v>
      </c>
      <c r="Z134" t="str">
        <f t="shared" ca="1" si="31"/>
        <v/>
      </c>
      <c r="AA134" s="129">
        <f ca="1">IF($C134="S",IF($Z134="CP",$X134,IF($Z134="RA",(($X134)*QCI!$AA$3),0)),SomaAgrup)</f>
        <v>0</v>
      </c>
      <c r="AB134" s="130">
        <f t="shared" ca="1" si="32"/>
        <v>0</v>
      </c>
      <c r="AC134" s="131" t="str">
        <f ca="1">IF($N134="","",IF(ORÇAMENTO.Descricao="","DESCRIÇÃO",IF(AND($C134="S",ORÇAMENTO.Unidade=""),"UNIDADE",IF($X134&lt;0,"VALOR NEGATIVO",IF(OR(AND(TIPOORCAMENTO="Proposto",$AG134&lt;&gt;"",$AG134&gt;0,ORÇAMENTO.CustoUnitario&gt;$AG134),AND(TIPOORCAMENTO="LICITADO",ORÇAMENTO.PrecoUnitarioLicitado&gt;$AN134)),"ACIMA REF.","")))))</f>
        <v/>
      </c>
      <c r="AD134" t="str">
        <f ca="1">IF(C134&lt;=CRONO.NivelExibicao,MAX($AD$15:OFFSET(AD134,-1,0))+IF($C134&lt;&gt;1,1,MAX(1,COUNTIF(QCI!$A$13:$A$24,OFFSET($E134,-1,0)))),"")</f>
        <v/>
      </c>
      <c r="AE134" s="7" t="str">
        <f ca="1">IF(AND($C134="S",ORÇAMENTO.CodBarra&lt;&gt;""),IF(ORÇAMENTO.Fonte="",ORÇAMENTO.CodBarra,CONCATENATE(ORÇAMENTO.Fonte," ",ORÇAMENTO.CodBarra)))</f>
        <v>Composição FNDE 04</v>
      </c>
      <c r="AF134" s="13" t="str">
        <f ca="1">IF(ISERROR(INDIRECT(ORÇAMENTO.BancoRef)),"(abra o arquivo 'Referência "&amp;Excel_BuiltIn_Database&amp;".xlsm)",IF(OR($C134&lt;&gt;"S",ORÇAMENTO.CodBarra=""),"(Sem Código)",IF(ISERROR(MATCH($AE134,INDIRECT(ORÇAMENTO.BancoRef),0)),"(Código não identificado nas referências)",MATCH($AE134,INDIRECT(ORÇAMENTO.BancoRef),0))))</f>
        <v>(abra o arquivo 'Referência 02-2025.xlsm)</v>
      </c>
      <c r="AG134" s="498">
        <f ca="1">ROUND(IF(DESONERACAO="sim",REFERENCIA.Desonerado,REFERENCIA.NaoDesonerado),2)</f>
        <v>0</v>
      </c>
      <c r="AH134" s="499">
        <f t="shared" ca="1" si="33"/>
        <v>0.22470000000000001</v>
      </c>
      <c r="AJ134" s="501">
        <v>19.84</v>
      </c>
      <c r="AL134" s="527"/>
      <c r="AM134" s="381">
        <f t="shared" ca="1" si="34"/>
        <v>0</v>
      </c>
      <c r="AN134" s="566">
        <f t="shared" ca="1" si="35"/>
        <v>0</v>
      </c>
    </row>
    <row r="135" spans="1:40" ht="25.5" x14ac:dyDescent="0.2">
      <c r="A135" t="str">
        <f t="shared" si="20"/>
        <v>S</v>
      </c>
      <c r="B135">
        <f t="shared" ca="1" si="21"/>
        <v>3</v>
      </c>
      <c r="C135" t="str">
        <f t="shared" ca="1" si="22"/>
        <v>S</v>
      </c>
      <c r="D135">
        <f t="shared" ca="1" si="23"/>
        <v>0</v>
      </c>
      <c r="E135">
        <f ca="1">IF($C135=1,OFFSET(E135,-1,0)+MAX(1,COUNTIF(QCI!$A$13:$A$24,OFFSET(ORÇAMENTO!E135,-1,0))),OFFSET(E135,-1,0))</f>
        <v>1</v>
      </c>
      <c r="F135">
        <f t="shared" ca="1" si="24"/>
        <v>6</v>
      </c>
      <c r="G135">
        <f t="shared" ca="1" si="25"/>
        <v>2</v>
      </c>
      <c r="H135">
        <f t="shared" ca="1" si="26"/>
        <v>0</v>
      </c>
      <c r="I135">
        <f t="shared" ca="1" si="27"/>
        <v>0</v>
      </c>
      <c r="J135">
        <f t="shared" ca="1" si="18"/>
        <v>0</v>
      </c>
      <c r="K135">
        <f ca="1">IF(OR($C135="S",$C135=0),0,MATCH(OFFSET($D135,0,$C135)+IF($C135&lt;&gt;1,1,COUNTIF(QCI!$A$13:$A$24,ORÇAMENTO!E135)),OFFSET($D135,1,$C135,ROW($C$747)-ROW($C135)),0))</f>
        <v>0</v>
      </c>
      <c r="L135" s="116" t="str">
        <f t="shared" ca="1" si="28"/>
        <v/>
      </c>
      <c r="M135" s="117" t="s">
        <v>199</v>
      </c>
      <c r="N135" s="118" t="str">
        <f t="shared" ca="1" si="29"/>
        <v>Serviço</v>
      </c>
      <c r="O135" s="119" t="str">
        <f t="shared" ca="1" si="30"/>
        <v>-</v>
      </c>
      <c r="P135" s="120" t="s">
        <v>247</v>
      </c>
      <c r="Q135" s="121" t="s">
        <v>486</v>
      </c>
      <c r="R135" s="122" t="str">
        <f ca="1">IF($C135="S",REFERENCIA.Descricao,"(digite a descrição aqui)")</f>
        <v>(abra o arquivo 'Referência 02-2025.xlsm)</v>
      </c>
      <c r="S135" s="123" t="str">
        <f ca="1">REFERENCIA.Unidade</f>
        <v>-</v>
      </c>
      <c r="T135" s="124">
        <f ca="1">OFFSET(CÁLCULO!H$15,ROW($T135)-ROW(T$15),0)</f>
        <v>205.25</v>
      </c>
      <c r="U135" s="125">
        <f t="shared" ca="1" si="36"/>
        <v>0</v>
      </c>
      <c r="V135" s="126" t="s">
        <v>156</v>
      </c>
      <c r="W135" s="124">
        <f ca="1">IF($C135="S",ROUND(IF(TIPOORCAMENTO="Proposto",ORÇAMENTO.CustoUnitario*(1+$AH135),ORÇAMENTO.PrecoUnitarioLicitado),15-13*$AF$10),0)</f>
        <v>0</v>
      </c>
      <c r="X135" s="127">
        <f ca="1">IF($C135="S",IF(Import.TipoArredondamento&lt;&gt;"TransfereGOV",VTOTAL1,SUM(OFFSET(CÁLCULO!$AA$15,ROW($X135)-ROW($X$15),1):OFFSET(CÁLCULO!$AL$15,ROW($X135)-ROW($X$15),-1))),IF($C135=0,0,ROUND(SomaAgrup,15-13*$AF$11)))</f>
        <v>0</v>
      </c>
      <c r="Y135" s="128" t="s">
        <v>245</v>
      </c>
      <c r="Z135" t="str">
        <f t="shared" ca="1" si="31"/>
        <v/>
      </c>
      <c r="AA135" s="129">
        <f ca="1">IF($C135="S",IF($Z135="CP",$X135,IF($Z135="RA",(($X135)*QCI!$AA$3),0)),SomaAgrup)</f>
        <v>0</v>
      </c>
      <c r="AB135" s="130">
        <f t="shared" ca="1" si="32"/>
        <v>0</v>
      </c>
      <c r="AC135" s="131" t="str">
        <f ca="1">IF($N135="","",IF(ORÇAMENTO.Descricao="","DESCRIÇÃO",IF(AND($C135="S",ORÇAMENTO.Unidade=""),"UNIDADE",IF($X135&lt;0,"VALOR NEGATIVO",IF(OR(AND(TIPOORCAMENTO="Proposto",$AG135&lt;&gt;"",$AG135&gt;0,ORÇAMENTO.CustoUnitario&gt;$AG135),AND(TIPOORCAMENTO="LICITADO",ORÇAMENTO.PrecoUnitarioLicitado&gt;$AN135)),"ACIMA REF.","")))))</f>
        <v/>
      </c>
      <c r="AD135" t="str">
        <f ca="1">IF(C135&lt;=CRONO.NivelExibicao,MAX($AD$15:OFFSET(AD135,-1,0))+IF($C135&lt;&gt;1,1,MAX(1,COUNTIF(QCI!$A$13:$A$24,OFFSET($E135,-1,0)))),"")</f>
        <v/>
      </c>
      <c r="AE135" s="7" t="str">
        <f ca="1">IF(AND($C135="S",ORÇAMENTO.CodBarra&lt;&gt;""),IF(ORÇAMENTO.Fonte="",ORÇAMENTO.CodBarra,CONCATENATE(ORÇAMENTO.Fonte," ",ORÇAMENTO.CodBarra)))</f>
        <v>SINAPI 102219</v>
      </c>
      <c r="AF135" s="13" t="str">
        <f ca="1">IF(ISERROR(INDIRECT(ORÇAMENTO.BancoRef)),"(abra o arquivo 'Referência "&amp;Excel_BuiltIn_Database&amp;".xlsm)",IF(OR($C135&lt;&gt;"S",ORÇAMENTO.CodBarra=""),"(Sem Código)",IF(ISERROR(MATCH($AE135,INDIRECT(ORÇAMENTO.BancoRef),0)),"(Código não identificado nas referências)",MATCH($AE135,INDIRECT(ORÇAMENTO.BancoRef),0))))</f>
        <v>(abra o arquivo 'Referência 02-2025.xlsm)</v>
      </c>
      <c r="AG135" s="498">
        <f ca="1">ROUND(IF(DESONERACAO="sim",REFERENCIA.Desonerado,REFERENCIA.NaoDesonerado),2)</f>
        <v>0</v>
      </c>
      <c r="AH135" s="499">
        <f t="shared" ca="1" si="33"/>
        <v>0.22470000000000001</v>
      </c>
      <c r="AJ135" s="501">
        <v>205.25</v>
      </c>
      <c r="AL135" s="527"/>
      <c r="AM135" s="381">
        <f t="shared" ca="1" si="34"/>
        <v>0</v>
      </c>
      <c r="AN135" s="566">
        <f t="shared" ca="1" si="35"/>
        <v>0</v>
      </c>
    </row>
    <row r="136" spans="1:40" x14ac:dyDescent="0.2">
      <c r="A136">
        <f t="shared" si="20"/>
        <v>3</v>
      </c>
      <c r="B136">
        <f t="shared" ca="1" si="21"/>
        <v>3</v>
      </c>
      <c r="C136">
        <f t="shared" ca="1" si="22"/>
        <v>3</v>
      </c>
      <c r="D136">
        <f t="shared" ca="1" si="23"/>
        <v>8</v>
      </c>
      <c r="E136">
        <f ca="1">IF($C136=1,OFFSET(E136,-1,0)+MAX(1,COUNTIF(QCI!$A$13:$A$24,OFFSET(ORÇAMENTO!E136,-1,0))),OFFSET(E136,-1,0))</f>
        <v>1</v>
      </c>
      <c r="F136">
        <f t="shared" ca="1" si="24"/>
        <v>6</v>
      </c>
      <c r="G136">
        <f t="shared" ca="1" si="25"/>
        <v>3</v>
      </c>
      <c r="H136">
        <f t="shared" ca="1" si="26"/>
        <v>0</v>
      </c>
      <c r="I136">
        <f t="shared" ca="1" si="27"/>
        <v>0</v>
      </c>
      <c r="J136">
        <f t="shared" ca="1" si="18"/>
        <v>41</v>
      </c>
      <c r="K136">
        <f ca="1">IF(OR($C136="S",$C136=0),0,MATCH(OFFSET($D136,0,$C136)+IF($C136&lt;&gt;1,1,COUNTIF(QCI!$A$13:$A$24,ORÇAMENTO!E136)),OFFSET($D136,1,$C136,ROW($C$747)-ROW($C136)),0))</f>
        <v>8</v>
      </c>
      <c r="L136" s="116" t="str">
        <f t="shared" ca="1" si="28"/>
        <v>F</v>
      </c>
      <c r="M136" s="117" t="s">
        <v>197</v>
      </c>
      <c r="N136" s="118" t="str">
        <f t="shared" ca="1" si="29"/>
        <v>Nível 3</v>
      </c>
      <c r="O136" s="119" t="str">
        <f t="shared" ca="1" si="30"/>
        <v>1.6.3.</v>
      </c>
      <c r="P136" s="120" t="s">
        <v>247</v>
      </c>
      <c r="Q136" s="121"/>
      <c r="R136" s="122" t="str">
        <f ca="1">IF($C136="S",REFERENCIA.Descricao,"PORTAS EM ALUMÍNIO")</f>
        <v>PORTAS EM ALUMÍNIO</v>
      </c>
      <c r="S136" s="123" t="str">
        <f ca="1">REFERENCIA.Unidade</f>
        <v>-</v>
      </c>
      <c r="T136" s="124">
        <f ca="1">OFFSET(CÁLCULO!H$15,ROW($T136)-ROW(T$15),0)</f>
        <v>0</v>
      </c>
      <c r="U136" s="125">
        <f t="shared" ca="1" si="36"/>
        <v>0</v>
      </c>
      <c r="V136" s="126" t="s">
        <v>156</v>
      </c>
      <c r="W136" s="124">
        <f ca="1">IF($C136="S",ROUND(IF(TIPOORCAMENTO="Proposto",ORÇAMENTO.CustoUnitario*(1+$AH136),ORÇAMENTO.PrecoUnitarioLicitado),15-13*$AF$10),0)</f>
        <v>0</v>
      </c>
      <c r="X136" s="127">
        <f ca="1">IF($C136="S",IF(Import.TipoArredondamento&lt;&gt;"TransfereGOV",VTOTAL1,SUM(OFFSET(CÁLCULO!$AA$15,ROW($X136)-ROW($X$15),1):OFFSET(CÁLCULO!$AL$15,ROW($X136)-ROW($X$15),-1))),IF($C136=0,0,ROUND(SomaAgrup,15-13*$AF$11)))</f>
        <v>0</v>
      </c>
      <c r="Y136" s="128" t="s">
        <v>245</v>
      </c>
      <c r="Z136" t="str">
        <f t="shared" ca="1" si="31"/>
        <v/>
      </c>
      <c r="AA136" s="129">
        <f ca="1">IF($C136="S",IF($Z136="CP",$X136,IF($Z136="RA",(($X136)*QCI!$AA$3),0)),SomaAgrup)</f>
        <v>0</v>
      </c>
      <c r="AB136" s="130">
        <f t="shared" ca="1" si="32"/>
        <v>0</v>
      </c>
      <c r="AC136" s="131" t="str">
        <f ca="1">IF($N136="","",IF(ORÇAMENTO.Descricao="","DESCRIÇÃO",IF(AND($C136="S",ORÇAMENTO.Unidade=""),"UNIDADE",IF($X136&lt;0,"VALOR NEGATIVO",IF(OR(AND(TIPOORCAMENTO="Proposto",$AG136&lt;&gt;"",$AG136&gt;0,ORÇAMENTO.CustoUnitario&gt;$AG136),AND(TIPOORCAMENTO="LICITADO",ORÇAMENTO.PrecoUnitarioLicitado&gt;$AN136)),"ACIMA REF.","")))))</f>
        <v/>
      </c>
      <c r="AD136" t="str">
        <f ca="1">IF(C136&lt;=CRONO.NivelExibicao,MAX($AD$15:OFFSET(AD136,-1,0))+IF($C136&lt;&gt;1,1,MAX(1,COUNTIF(QCI!$A$13:$A$24,OFFSET($E136,-1,0)))),"")</f>
        <v/>
      </c>
      <c r="AE136" s="7" t="b">
        <f ca="1">IF(AND($C136="S",ORÇAMENTO.CodBarra&lt;&gt;""),IF(ORÇAMENTO.Fonte="",ORÇAMENTO.CodBarra,CONCATENATE(ORÇAMENTO.Fonte," ",ORÇAMENTO.CodBarra)))</f>
        <v>0</v>
      </c>
      <c r="AF136" s="13" t="str">
        <f ca="1">IF(ISERROR(INDIRECT(ORÇAMENTO.BancoRef)),"(abra o arquivo 'Referência "&amp;Excel_BuiltIn_Database&amp;".xlsm)",IF(OR($C136&lt;&gt;"S",ORÇAMENTO.CodBarra=""),"(Sem Código)",IF(ISERROR(MATCH($AE136,INDIRECT(ORÇAMENTO.BancoRef),0)),"(Código não identificado nas referências)",MATCH($AE136,INDIRECT(ORÇAMENTO.BancoRef),0))))</f>
        <v>(abra o arquivo 'Referência 02-2025.xlsm)</v>
      </c>
      <c r="AG136" s="498">
        <f ca="1">ROUND(IF(DESONERACAO="sim",REFERENCIA.Desonerado,REFERENCIA.NaoDesonerado),2)</f>
        <v>0</v>
      </c>
      <c r="AH136" s="499">
        <f t="shared" ca="1" si="33"/>
        <v>0.22470000000000001</v>
      </c>
      <c r="AJ136" s="501"/>
      <c r="AL136" s="527"/>
      <c r="AM136" s="381">
        <f t="shared" ca="1" si="34"/>
        <v>0</v>
      </c>
      <c r="AN136" s="566">
        <f t="shared" ca="1" si="35"/>
        <v>0</v>
      </c>
    </row>
    <row r="137" spans="1:40" ht="38.25" x14ac:dyDescent="0.2">
      <c r="A137" t="str">
        <f t="shared" si="20"/>
        <v>S</v>
      </c>
      <c r="B137">
        <f t="shared" ca="1" si="21"/>
        <v>3</v>
      </c>
      <c r="C137" t="str">
        <f t="shared" ca="1" si="22"/>
        <v>S</v>
      </c>
      <c r="D137">
        <f t="shared" ca="1" si="23"/>
        <v>0</v>
      </c>
      <c r="E137">
        <f ca="1">IF($C137=1,OFFSET(E137,-1,0)+MAX(1,COUNTIF(QCI!$A$13:$A$24,OFFSET(ORÇAMENTO!E137,-1,0))),OFFSET(E137,-1,0))</f>
        <v>1</v>
      </c>
      <c r="F137">
        <f t="shared" ca="1" si="24"/>
        <v>6</v>
      </c>
      <c r="G137">
        <f t="shared" ca="1" si="25"/>
        <v>3</v>
      </c>
      <c r="H137">
        <f t="shared" ca="1" si="26"/>
        <v>0</v>
      </c>
      <c r="I137">
        <f t="shared" ca="1" si="27"/>
        <v>0</v>
      </c>
      <c r="J137">
        <f t="shared" ca="1" si="18"/>
        <v>0</v>
      </c>
      <c r="K137">
        <f ca="1">IF(OR($C137="S",$C137=0),0,MATCH(OFFSET($D137,0,$C137)+IF($C137&lt;&gt;1,1,COUNTIF(QCI!$A$13:$A$24,ORÇAMENTO!E137)),OFFSET($D137,1,$C137,ROW($C$747)-ROW($C137)),0))</f>
        <v>0</v>
      </c>
      <c r="L137" s="116" t="str">
        <f t="shared" ca="1" si="28"/>
        <v/>
      </c>
      <c r="M137" s="117" t="s">
        <v>199</v>
      </c>
      <c r="N137" s="118" t="str">
        <f t="shared" ca="1" si="29"/>
        <v>Serviço</v>
      </c>
      <c r="O137" s="119" t="str">
        <f t="shared" ca="1" si="30"/>
        <v>-</v>
      </c>
      <c r="P137" s="120" t="s">
        <v>712</v>
      </c>
      <c r="Q137" s="121" t="s">
        <v>724</v>
      </c>
      <c r="R137" s="122" t="str">
        <f ca="1">IF($C137="S",REFERENCIA.Descricao,"(digite a descrição aqui)")</f>
        <v>(abra o arquivo 'Referência 02-2025.xlsm)</v>
      </c>
      <c r="S137" s="123" t="str">
        <f ca="1">REFERENCIA.Unidade</f>
        <v>-</v>
      </c>
      <c r="T137" s="124">
        <f ca="1">OFFSET(CÁLCULO!H$15,ROW($T137)-ROW(T$15),0)</f>
        <v>1</v>
      </c>
      <c r="U137" s="125">
        <f t="shared" ca="1" si="36"/>
        <v>0</v>
      </c>
      <c r="V137" s="126" t="s">
        <v>156</v>
      </c>
      <c r="W137" s="124">
        <f ca="1">IF($C137="S",ROUND(IF(TIPOORCAMENTO="Proposto",ORÇAMENTO.CustoUnitario*(1+$AH137),ORÇAMENTO.PrecoUnitarioLicitado),15-13*$AF$10),0)</f>
        <v>0</v>
      </c>
      <c r="X137" s="127">
        <f ca="1">IF($C137="S",IF(Import.TipoArredondamento&lt;&gt;"TransfereGOV",VTOTAL1,SUM(OFFSET(CÁLCULO!$AA$15,ROW($X137)-ROW($X$15),1):OFFSET(CÁLCULO!$AL$15,ROW($X137)-ROW($X$15),-1))),IF($C137=0,0,ROUND(SomaAgrup,15-13*$AF$11)))</f>
        <v>0</v>
      </c>
      <c r="Y137" s="128" t="s">
        <v>245</v>
      </c>
      <c r="Z137" t="str">
        <f t="shared" ca="1" si="31"/>
        <v/>
      </c>
      <c r="AA137" s="129">
        <f ca="1">IF($C137="S",IF($Z137="CP",$X137,IF($Z137="RA",(($X137)*QCI!$AA$3),0)),SomaAgrup)</f>
        <v>0</v>
      </c>
      <c r="AB137" s="130">
        <f t="shared" ca="1" si="32"/>
        <v>0</v>
      </c>
      <c r="AC137" s="131" t="str">
        <f ca="1">IF($N137="","",IF(ORÇAMENTO.Descricao="","DESCRIÇÃO",IF(AND($C137="S",ORÇAMENTO.Unidade=""),"UNIDADE",IF($X137&lt;0,"VALOR NEGATIVO",IF(OR(AND(TIPOORCAMENTO="Proposto",$AG137&lt;&gt;"",$AG137&gt;0,ORÇAMENTO.CustoUnitario&gt;$AG137),AND(TIPOORCAMENTO="LICITADO",ORÇAMENTO.PrecoUnitarioLicitado&gt;$AN137)),"ACIMA REF.","")))))</f>
        <v/>
      </c>
      <c r="AD137" t="str">
        <f ca="1">IF(C137&lt;=CRONO.NivelExibicao,MAX($AD$15:OFFSET(AD137,-1,0))+IF($C137&lt;&gt;1,1,MAX(1,COUNTIF(QCI!$A$13:$A$24,OFFSET($E137,-1,0)))),"")</f>
        <v/>
      </c>
      <c r="AE137" s="7" t="str">
        <f ca="1">IF(AND($C137="S",ORÇAMENTO.CodBarra&lt;&gt;""),IF(ORÇAMENTO.Fonte="",ORÇAMENTO.CodBarra,CONCATENATE(ORÇAMENTO.Fonte," ",ORÇAMENTO.CodBarra)))</f>
        <v>Composição FNDE 251</v>
      </c>
      <c r="AF137" s="13" t="str">
        <f ca="1">IF(ISERROR(INDIRECT(ORÇAMENTO.BancoRef)),"(abra o arquivo 'Referência "&amp;Excel_BuiltIn_Database&amp;".xlsm)",IF(OR($C137&lt;&gt;"S",ORÇAMENTO.CodBarra=""),"(Sem Código)",IF(ISERROR(MATCH($AE137,INDIRECT(ORÇAMENTO.BancoRef),0)),"(Código não identificado nas referências)",MATCH($AE137,INDIRECT(ORÇAMENTO.BancoRef),0))))</f>
        <v>(abra o arquivo 'Referência 02-2025.xlsm)</v>
      </c>
      <c r="AG137" s="498">
        <f ca="1">ROUND(IF(DESONERACAO="sim",REFERENCIA.Desonerado,REFERENCIA.NaoDesonerado),2)</f>
        <v>0</v>
      </c>
      <c r="AH137" s="499">
        <f t="shared" ca="1" si="33"/>
        <v>0.22470000000000001</v>
      </c>
      <c r="AJ137" s="501">
        <v>1</v>
      </c>
      <c r="AL137" s="527"/>
      <c r="AM137" s="381">
        <f t="shared" ca="1" si="34"/>
        <v>0</v>
      </c>
      <c r="AN137" s="566">
        <f t="shared" ca="1" si="35"/>
        <v>0</v>
      </c>
    </row>
    <row r="138" spans="1:40" ht="51" x14ac:dyDescent="0.2">
      <c r="A138" t="str">
        <f t="shared" si="20"/>
        <v>S</v>
      </c>
      <c r="B138">
        <f t="shared" ca="1" si="21"/>
        <v>3</v>
      </c>
      <c r="C138" t="str">
        <f t="shared" ca="1" si="22"/>
        <v>S</v>
      </c>
      <c r="D138">
        <f t="shared" ca="1" si="23"/>
        <v>0</v>
      </c>
      <c r="E138">
        <f ca="1">IF($C138=1,OFFSET(E138,-1,0)+MAX(1,COUNTIF(QCI!$A$13:$A$24,OFFSET(ORÇAMENTO!E138,-1,0))),OFFSET(E138,-1,0))</f>
        <v>1</v>
      </c>
      <c r="F138">
        <f t="shared" ca="1" si="24"/>
        <v>6</v>
      </c>
      <c r="G138">
        <f t="shared" ca="1" si="25"/>
        <v>3</v>
      </c>
      <c r="H138">
        <f t="shared" ca="1" si="26"/>
        <v>0</v>
      </c>
      <c r="I138">
        <f t="shared" ca="1" si="27"/>
        <v>0</v>
      </c>
      <c r="J138">
        <f t="shared" ca="1" si="18"/>
        <v>0</v>
      </c>
      <c r="K138">
        <f ca="1">IF(OR($C138="S",$C138=0),0,MATCH(OFFSET($D138,0,$C138)+IF($C138&lt;&gt;1,1,COUNTIF(QCI!$A$13:$A$24,ORÇAMENTO!E138)),OFFSET($D138,1,$C138,ROW($C$747)-ROW($C138)),0))</f>
        <v>0</v>
      </c>
      <c r="L138" s="116" t="str">
        <f t="shared" ca="1" si="28"/>
        <v/>
      </c>
      <c r="M138" s="117" t="s">
        <v>199</v>
      </c>
      <c r="N138" s="118" t="str">
        <f t="shared" ca="1" si="29"/>
        <v>Serviço</v>
      </c>
      <c r="O138" s="119" t="str">
        <f t="shared" ca="1" si="30"/>
        <v>-</v>
      </c>
      <c r="P138" s="120" t="s">
        <v>712</v>
      </c>
      <c r="Q138" s="121" t="s">
        <v>726</v>
      </c>
      <c r="R138" s="122" t="str">
        <f ca="1">IF($C138="S",REFERENCIA.Descricao,"(digite a descrição aqui)")</f>
        <v>(abra o arquivo 'Referência 02-2025.xlsm)</v>
      </c>
      <c r="S138" s="123" t="str">
        <f ca="1">REFERENCIA.Unidade</f>
        <v>-</v>
      </c>
      <c r="T138" s="124">
        <f ca="1">OFFSET(CÁLCULO!H$15,ROW($T138)-ROW(T$15),0)</f>
        <v>1.68</v>
      </c>
      <c r="U138" s="125">
        <f t="shared" ca="1" si="36"/>
        <v>0</v>
      </c>
      <c r="V138" s="126" t="s">
        <v>156</v>
      </c>
      <c r="W138" s="124">
        <f ca="1">IF($C138="S",ROUND(IF(TIPOORCAMENTO="Proposto",ORÇAMENTO.CustoUnitario*(1+$AH138),ORÇAMENTO.PrecoUnitarioLicitado),15-13*$AF$10),0)</f>
        <v>0</v>
      </c>
      <c r="X138" s="127">
        <f ca="1">IF($C138="S",IF(Import.TipoArredondamento&lt;&gt;"TransfereGOV",VTOTAL1,SUM(OFFSET(CÁLCULO!$AA$15,ROW($X138)-ROW($X$15),1):OFFSET(CÁLCULO!$AL$15,ROW($X138)-ROW($X$15),-1))),IF($C138=0,0,ROUND(SomaAgrup,15-13*$AF$11)))</f>
        <v>0</v>
      </c>
      <c r="Y138" s="128" t="s">
        <v>245</v>
      </c>
      <c r="Z138" t="str">
        <f t="shared" ca="1" si="31"/>
        <v/>
      </c>
      <c r="AA138" s="129">
        <f ca="1">IF($C138="S",IF($Z138="CP",$X138,IF($Z138="RA",(($X138)*QCI!$AA$3),0)),SomaAgrup)</f>
        <v>0</v>
      </c>
      <c r="AB138" s="130">
        <f t="shared" ca="1" si="32"/>
        <v>0</v>
      </c>
      <c r="AC138" s="131" t="str">
        <f ca="1">IF($N138="","",IF(ORÇAMENTO.Descricao="","DESCRIÇÃO",IF(AND($C138="S",ORÇAMENTO.Unidade=""),"UNIDADE",IF($X138&lt;0,"VALOR NEGATIVO",IF(OR(AND(TIPOORCAMENTO="Proposto",$AG138&lt;&gt;"",$AG138&gt;0,ORÇAMENTO.CustoUnitario&gt;$AG138),AND(TIPOORCAMENTO="LICITADO",ORÇAMENTO.PrecoUnitarioLicitado&gt;$AN138)),"ACIMA REF.","")))))</f>
        <v/>
      </c>
      <c r="AD138" t="str">
        <f ca="1">IF(C138&lt;=CRONO.NivelExibicao,MAX($AD$15:OFFSET(AD138,-1,0))+IF($C138&lt;&gt;1,1,MAX(1,COUNTIF(QCI!$A$13:$A$24,OFFSET($E138,-1,0)))),"")</f>
        <v/>
      </c>
      <c r="AE138" s="7" t="str">
        <f ca="1">IF(AND($C138="S",ORÇAMENTO.CodBarra&lt;&gt;""),IF(ORÇAMENTO.Fonte="",ORÇAMENTO.CodBarra,CONCATENATE(ORÇAMENTO.Fonte," ",ORÇAMENTO.CodBarra)))</f>
        <v xml:space="preserve">Composição FNDE 252  </v>
      </c>
      <c r="AF138" s="13" t="str">
        <f ca="1">IF(ISERROR(INDIRECT(ORÇAMENTO.BancoRef)),"(abra o arquivo 'Referência "&amp;Excel_BuiltIn_Database&amp;".xlsm)",IF(OR($C138&lt;&gt;"S",ORÇAMENTO.CodBarra=""),"(Sem Código)",IF(ISERROR(MATCH($AE138,INDIRECT(ORÇAMENTO.BancoRef),0)),"(Código não identificado nas referências)",MATCH($AE138,INDIRECT(ORÇAMENTO.BancoRef),0))))</f>
        <v>(abra o arquivo 'Referência 02-2025.xlsm)</v>
      </c>
      <c r="AG138" s="498">
        <f ca="1">ROUND(IF(DESONERACAO="sim",REFERENCIA.Desonerado,REFERENCIA.NaoDesonerado),2)</f>
        <v>0</v>
      </c>
      <c r="AH138" s="499">
        <f t="shared" ca="1" si="33"/>
        <v>0.22470000000000001</v>
      </c>
      <c r="AJ138" s="501">
        <v>1.68</v>
      </c>
      <c r="AL138" s="527"/>
      <c r="AM138" s="381">
        <f t="shared" ca="1" si="34"/>
        <v>0</v>
      </c>
      <c r="AN138" s="566">
        <f t="shared" ca="1" si="35"/>
        <v>0</v>
      </c>
    </row>
    <row r="139" spans="1:40" ht="51" x14ac:dyDescent="0.2">
      <c r="A139" t="str">
        <f t="shared" si="20"/>
        <v>S</v>
      </c>
      <c r="B139">
        <f t="shared" ca="1" si="21"/>
        <v>3</v>
      </c>
      <c r="C139" t="str">
        <f t="shared" ca="1" si="22"/>
        <v>S</v>
      </c>
      <c r="D139">
        <f t="shared" ca="1" si="23"/>
        <v>0</v>
      </c>
      <c r="E139">
        <f ca="1">IF($C139=1,OFFSET(E139,-1,0)+MAX(1,COUNTIF(QCI!$A$13:$A$24,OFFSET(ORÇAMENTO!E139,-1,0))),OFFSET(E139,-1,0))</f>
        <v>1</v>
      </c>
      <c r="F139">
        <f t="shared" ca="1" si="24"/>
        <v>6</v>
      </c>
      <c r="G139">
        <f t="shared" ca="1" si="25"/>
        <v>3</v>
      </c>
      <c r="H139">
        <f t="shared" ca="1" si="26"/>
        <v>0</v>
      </c>
      <c r="I139">
        <f t="shared" ca="1" si="27"/>
        <v>0</v>
      </c>
      <c r="J139">
        <f t="shared" ca="1" si="18"/>
        <v>0</v>
      </c>
      <c r="K139">
        <f ca="1">IF(OR($C139="S",$C139=0),0,MATCH(OFFSET($D139,0,$C139)+IF($C139&lt;&gt;1,1,COUNTIF(QCI!$A$13:$A$24,ORÇAMENTO!E139)),OFFSET($D139,1,$C139,ROW($C$747)-ROW($C139)),0))</f>
        <v>0</v>
      </c>
      <c r="L139" s="116" t="str">
        <f t="shared" ca="1" si="28"/>
        <v/>
      </c>
      <c r="M139" s="117" t="s">
        <v>199</v>
      </c>
      <c r="N139" s="118" t="str">
        <f t="shared" ca="1" si="29"/>
        <v>Serviço</v>
      </c>
      <c r="O139" s="119" t="str">
        <f t="shared" ca="1" si="30"/>
        <v>-</v>
      </c>
      <c r="P139" s="120" t="s">
        <v>712</v>
      </c>
      <c r="Q139" s="121" t="s">
        <v>725</v>
      </c>
      <c r="R139" s="122" t="str">
        <f ca="1">IF($C139="S",REFERENCIA.Descricao,"(digite a descrição aqui)")</f>
        <v>(abra o arquivo 'Referência 02-2025.xlsm)</v>
      </c>
      <c r="S139" s="123" t="str">
        <f ca="1">REFERENCIA.Unidade</f>
        <v>-</v>
      </c>
      <c r="T139" s="124">
        <f ca="1">OFFSET(CÁLCULO!H$15,ROW($T139)-ROW(T$15),0)</f>
        <v>6.72</v>
      </c>
      <c r="U139" s="125">
        <f t="shared" ca="1" si="36"/>
        <v>0</v>
      </c>
      <c r="V139" s="126" t="s">
        <v>156</v>
      </c>
      <c r="W139" s="124">
        <f ca="1">IF($C139="S",ROUND(IF(TIPOORCAMENTO="Proposto",ORÇAMENTO.CustoUnitario*(1+$AH139),ORÇAMENTO.PrecoUnitarioLicitado),15-13*$AF$10),0)</f>
        <v>0</v>
      </c>
      <c r="X139" s="127">
        <f ca="1">IF($C139="S",IF(Import.TipoArredondamento&lt;&gt;"TransfereGOV",VTOTAL1,SUM(OFFSET(CÁLCULO!$AA$15,ROW($X139)-ROW($X$15),1):OFFSET(CÁLCULO!$AL$15,ROW($X139)-ROW($X$15),-1))),IF($C139=0,0,ROUND(SomaAgrup,15-13*$AF$11)))</f>
        <v>0</v>
      </c>
      <c r="Y139" s="128" t="s">
        <v>245</v>
      </c>
      <c r="Z139" t="str">
        <f t="shared" ca="1" si="31"/>
        <v/>
      </c>
      <c r="AA139" s="129">
        <f ca="1">IF($C139="S",IF($Z139="CP",$X139,IF($Z139="RA",(($X139)*QCI!$AA$3),0)),SomaAgrup)</f>
        <v>0</v>
      </c>
      <c r="AB139" s="130">
        <f t="shared" ca="1" si="32"/>
        <v>0</v>
      </c>
      <c r="AC139" s="131" t="str">
        <f ca="1">IF($N139="","",IF(ORÇAMENTO.Descricao="","DESCRIÇÃO",IF(AND($C139="S",ORÇAMENTO.Unidade=""),"UNIDADE",IF($X139&lt;0,"VALOR NEGATIVO",IF(OR(AND(TIPOORCAMENTO="Proposto",$AG139&lt;&gt;"",$AG139&gt;0,ORÇAMENTO.CustoUnitario&gt;$AG139),AND(TIPOORCAMENTO="LICITADO",ORÇAMENTO.PrecoUnitarioLicitado&gt;$AN139)),"ACIMA REF.","")))))</f>
        <v/>
      </c>
      <c r="AD139" t="str">
        <f ca="1">IF(C139&lt;=CRONO.NivelExibicao,MAX($AD$15:OFFSET(AD139,-1,0))+IF($C139&lt;&gt;1,1,MAX(1,COUNTIF(QCI!$A$13:$A$24,OFFSET($E139,-1,0)))),"")</f>
        <v/>
      </c>
      <c r="AE139" s="7" t="str">
        <f ca="1">IF(AND($C139="S",ORÇAMENTO.CodBarra&lt;&gt;""),IF(ORÇAMENTO.Fonte="",ORÇAMENTO.CodBarra,CONCATENATE(ORÇAMENTO.Fonte," ",ORÇAMENTO.CodBarra)))</f>
        <v>Composição FNDE 253</v>
      </c>
      <c r="AF139" s="13" t="str">
        <f ca="1">IF(ISERROR(INDIRECT(ORÇAMENTO.BancoRef)),"(abra o arquivo 'Referência "&amp;Excel_BuiltIn_Database&amp;".xlsm)",IF(OR($C139&lt;&gt;"S",ORÇAMENTO.CodBarra=""),"(Sem Código)",IF(ISERROR(MATCH($AE139,INDIRECT(ORÇAMENTO.BancoRef),0)),"(Código não identificado nas referências)",MATCH($AE139,INDIRECT(ORÇAMENTO.BancoRef),0))))</f>
        <v>(abra o arquivo 'Referência 02-2025.xlsm)</v>
      </c>
      <c r="AG139" s="498">
        <f ca="1">ROUND(IF(DESONERACAO="sim",REFERENCIA.Desonerado,REFERENCIA.NaoDesonerado),2)</f>
        <v>0</v>
      </c>
      <c r="AH139" s="499">
        <f t="shared" ca="1" si="33"/>
        <v>0.22470000000000001</v>
      </c>
      <c r="AJ139" s="501">
        <v>6.72</v>
      </c>
      <c r="AL139" s="527"/>
      <c r="AM139" s="381">
        <f t="shared" ca="1" si="34"/>
        <v>0</v>
      </c>
      <c r="AN139" s="566">
        <f t="shared" ca="1" si="35"/>
        <v>0</v>
      </c>
    </row>
    <row r="140" spans="1:40" ht="51" x14ac:dyDescent="0.2">
      <c r="A140" t="str">
        <f t="shared" si="20"/>
        <v>S</v>
      </c>
      <c r="B140">
        <f t="shared" ca="1" si="21"/>
        <v>3</v>
      </c>
      <c r="C140" t="str">
        <f t="shared" ca="1" si="22"/>
        <v>S</v>
      </c>
      <c r="D140">
        <f t="shared" ca="1" si="23"/>
        <v>0</v>
      </c>
      <c r="E140">
        <f ca="1">IF($C140=1,OFFSET(E140,-1,0)+MAX(1,COUNTIF(QCI!$A$13:$A$24,OFFSET(ORÇAMENTO!E140,-1,0))),OFFSET(E140,-1,0))</f>
        <v>1</v>
      </c>
      <c r="F140">
        <f t="shared" ca="1" si="24"/>
        <v>6</v>
      </c>
      <c r="G140">
        <f t="shared" ca="1" si="25"/>
        <v>3</v>
      </c>
      <c r="H140">
        <f t="shared" ca="1" si="26"/>
        <v>0</v>
      </c>
      <c r="I140">
        <f t="shared" ca="1" si="27"/>
        <v>0</v>
      </c>
      <c r="J140">
        <f t="shared" ca="1" si="18"/>
        <v>0</v>
      </c>
      <c r="K140">
        <f ca="1">IF(OR($C140="S",$C140=0),0,MATCH(OFFSET($D140,0,$C140)+IF($C140&lt;&gt;1,1,COUNTIF(QCI!$A$13:$A$24,ORÇAMENTO!E140)),OFFSET($D140,1,$C140,ROW($C$747)-ROW($C140)),0))</f>
        <v>0</v>
      </c>
      <c r="L140" s="116" t="str">
        <f t="shared" ca="1" si="28"/>
        <v/>
      </c>
      <c r="M140" s="117" t="s">
        <v>199</v>
      </c>
      <c r="N140" s="118" t="str">
        <f t="shared" ca="1" si="29"/>
        <v>Serviço</v>
      </c>
      <c r="O140" s="119" t="str">
        <f t="shared" ca="1" si="30"/>
        <v>-</v>
      </c>
      <c r="P140" s="120" t="s">
        <v>712</v>
      </c>
      <c r="Q140" s="121" t="s">
        <v>727</v>
      </c>
      <c r="R140" s="122" t="str">
        <f ca="1">IF($C140="S",REFERENCIA.Descricao,"(digite a descrição aqui)")</f>
        <v>(abra o arquivo 'Referência 02-2025.xlsm)</v>
      </c>
      <c r="S140" s="123" t="str">
        <f ca="1">REFERENCIA.Unidade</f>
        <v>-</v>
      </c>
      <c r="T140" s="124">
        <f ca="1">OFFSET(CÁLCULO!H$15,ROW($T140)-ROW(T$15),0)</f>
        <v>143.1</v>
      </c>
      <c r="U140" s="125">
        <f t="shared" ca="1" si="36"/>
        <v>0</v>
      </c>
      <c r="V140" s="126" t="s">
        <v>156</v>
      </c>
      <c r="W140" s="124">
        <f ca="1">IF($C140="S",ROUND(IF(TIPOORCAMENTO="Proposto",ORÇAMENTO.CustoUnitario*(1+$AH140),ORÇAMENTO.PrecoUnitarioLicitado),15-13*$AF$10),0)</f>
        <v>0</v>
      </c>
      <c r="X140" s="127">
        <f ca="1">IF($C140="S",IF(Import.TipoArredondamento&lt;&gt;"TransfereGOV",VTOTAL1,SUM(OFFSET(CÁLCULO!$AA$15,ROW($X140)-ROW($X$15),1):OFFSET(CÁLCULO!$AL$15,ROW($X140)-ROW($X$15),-1))),IF($C140=0,0,ROUND(SomaAgrup,15-13*$AF$11)))</f>
        <v>0</v>
      </c>
      <c r="Y140" s="128" t="s">
        <v>245</v>
      </c>
      <c r="Z140" t="str">
        <f t="shared" ca="1" si="31"/>
        <v/>
      </c>
      <c r="AA140" s="129">
        <f ca="1">IF($C140="S",IF($Z140="CP",$X140,IF($Z140="RA",(($X140)*QCI!$AA$3),0)),SomaAgrup)</f>
        <v>0</v>
      </c>
      <c r="AB140" s="130">
        <f t="shared" ca="1" si="32"/>
        <v>0</v>
      </c>
      <c r="AC140" s="131" t="str">
        <f ca="1">IF($N140="","",IF(ORÇAMENTO.Descricao="","DESCRIÇÃO",IF(AND($C140="S",ORÇAMENTO.Unidade=""),"UNIDADE",IF($X140&lt;0,"VALOR NEGATIVO",IF(OR(AND(TIPOORCAMENTO="Proposto",$AG140&lt;&gt;"",$AG140&gt;0,ORÇAMENTO.CustoUnitario&gt;$AG140),AND(TIPOORCAMENTO="LICITADO",ORÇAMENTO.PrecoUnitarioLicitado&gt;$AN140)),"ACIMA REF.","")))))</f>
        <v/>
      </c>
      <c r="AD140" t="str">
        <f ca="1">IF(C140&lt;=CRONO.NivelExibicao,MAX($AD$15:OFFSET(AD140,-1,0))+IF($C140&lt;&gt;1,1,MAX(1,COUNTIF(QCI!$A$13:$A$24,OFFSET($E140,-1,0)))),"")</f>
        <v/>
      </c>
      <c r="AE140" s="7" t="str">
        <f ca="1">IF(AND($C140="S",ORÇAMENTO.CodBarra&lt;&gt;""),IF(ORÇAMENTO.Fonte="",ORÇAMENTO.CodBarra,CONCATENATE(ORÇAMENTO.Fonte," ",ORÇAMENTO.CodBarra)))</f>
        <v xml:space="preserve">Composição FNDE 254 </v>
      </c>
      <c r="AF140" s="13" t="str">
        <f ca="1">IF(ISERROR(INDIRECT(ORÇAMENTO.BancoRef)),"(abra o arquivo 'Referência "&amp;Excel_BuiltIn_Database&amp;".xlsm)",IF(OR($C140&lt;&gt;"S",ORÇAMENTO.CodBarra=""),"(Sem Código)",IF(ISERROR(MATCH($AE140,INDIRECT(ORÇAMENTO.BancoRef),0)),"(Código não identificado nas referências)",MATCH($AE140,INDIRECT(ORÇAMENTO.BancoRef),0))))</f>
        <v>(abra o arquivo 'Referência 02-2025.xlsm)</v>
      </c>
      <c r="AG140" s="498">
        <f ca="1">ROUND(IF(DESONERACAO="sim",REFERENCIA.Desonerado,REFERENCIA.NaoDesonerado),2)</f>
        <v>0</v>
      </c>
      <c r="AH140" s="499">
        <f t="shared" ca="1" si="33"/>
        <v>0.22470000000000001</v>
      </c>
      <c r="AJ140" s="501">
        <v>143.1</v>
      </c>
      <c r="AL140" s="527"/>
      <c r="AM140" s="381">
        <f t="shared" ca="1" si="34"/>
        <v>0</v>
      </c>
      <c r="AN140" s="566">
        <f t="shared" ca="1" si="35"/>
        <v>0</v>
      </c>
    </row>
    <row r="141" spans="1:40" ht="51" x14ac:dyDescent="0.2">
      <c r="A141" t="str">
        <f t="shared" si="20"/>
        <v>S</v>
      </c>
      <c r="B141">
        <f t="shared" ca="1" si="21"/>
        <v>3</v>
      </c>
      <c r="C141" t="str">
        <f t="shared" ca="1" si="22"/>
        <v>S</v>
      </c>
      <c r="D141">
        <f t="shared" ca="1" si="23"/>
        <v>0</v>
      </c>
      <c r="E141">
        <f ca="1">IF($C141=1,OFFSET(E141,-1,0)+MAX(1,COUNTIF(QCI!$A$13:$A$24,OFFSET(ORÇAMENTO!E141,-1,0))),OFFSET(E141,-1,0))</f>
        <v>1</v>
      </c>
      <c r="F141">
        <f t="shared" ca="1" si="24"/>
        <v>6</v>
      </c>
      <c r="G141">
        <f t="shared" ca="1" si="25"/>
        <v>3</v>
      </c>
      <c r="H141">
        <f t="shared" ca="1" si="26"/>
        <v>0</v>
      </c>
      <c r="I141">
        <f t="shared" ca="1" si="27"/>
        <v>0</v>
      </c>
      <c r="J141">
        <f t="shared" ca="1" si="18"/>
        <v>0</v>
      </c>
      <c r="K141">
        <f ca="1">IF(OR($C141="S",$C141=0),0,MATCH(OFFSET($D141,0,$C141)+IF($C141&lt;&gt;1,1,COUNTIF(QCI!$A$13:$A$24,ORÇAMENTO!E141)),OFFSET($D141,1,$C141,ROW($C$747)-ROW($C141)),0))</f>
        <v>0</v>
      </c>
      <c r="L141" s="116" t="str">
        <f t="shared" ca="1" si="28"/>
        <v/>
      </c>
      <c r="M141" s="117" t="s">
        <v>199</v>
      </c>
      <c r="N141" s="118" t="str">
        <f t="shared" ca="1" si="29"/>
        <v>Serviço</v>
      </c>
      <c r="O141" s="119" t="str">
        <f t="shared" ca="1" si="30"/>
        <v>-</v>
      </c>
      <c r="P141" s="120" t="s">
        <v>712</v>
      </c>
      <c r="Q141" s="121" t="s">
        <v>728</v>
      </c>
      <c r="R141" s="122" t="str">
        <f ca="1">IF($C141="S",REFERENCIA.Descricao,"(digite a descrição aqui)")</f>
        <v>(abra o arquivo 'Referência 02-2025.xlsm)</v>
      </c>
      <c r="S141" s="123" t="str">
        <f ca="1">REFERENCIA.Unidade</f>
        <v>-</v>
      </c>
      <c r="T141" s="124">
        <f ca="1">OFFSET(CÁLCULO!H$15,ROW($T141)-ROW(T$15),0)</f>
        <v>5.04</v>
      </c>
      <c r="U141" s="125">
        <f t="shared" ca="1" si="36"/>
        <v>0</v>
      </c>
      <c r="V141" s="126" t="s">
        <v>156</v>
      </c>
      <c r="W141" s="124">
        <f ca="1">IF($C141="S",ROUND(IF(TIPOORCAMENTO="Proposto",ORÇAMENTO.CustoUnitario*(1+$AH141),ORÇAMENTO.PrecoUnitarioLicitado),15-13*$AF$10),0)</f>
        <v>0</v>
      </c>
      <c r="X141" s="127">
        <f ca="1">IF($C141="S",IF(Import.TipoArredondamento&lt;&gt;"TransfereGOV",VTOTAL1,SUM(OFFSET(CÁLCULO!$AA$15,ROW($X141)-ROW($X$15),1):OFFSET(CÁLCULO!$AL$15,ROW($X141)-ROW($X$15),-1))),IF($C141=0,0,ROUND(SomaAgrup,15-13*$AF$11)))</f>
        <v>0</v>
      </c>
      <c r="Y141" s="128" t="s">
        <v>245</v>
      </c>
      <c r="Z141" t="str">
        <f t="shared" ca="1" si="31"/>
        <v/>
      </c>
      <c r="AA141" s="129">
        <f ca="1">IF($C141="S",IF($Z141="CP",$X141,IF($Z141="RA",(($X141)*QCI!$AA$3),0)),SomaAgrup)</f>
        <v>0</v>
      </c>
      <c r="AB141" s="130">
        <f t="shared" ca="1" si="32"/>
        <v>0</v>
      </c>
      <c r="AC141" s="131" t="str">
        <f ca="1">IF($N141="","",IF(ORÇAMENTO.Descricao="","DESCRIÇÃO",IF(AND($C141="S",ORÇAMENTO.Unidade=""),"UNIDADE",IF($X141&lt;0,"VALOR NEGATIVO",IF(OR(AND(TIPOORCAMENTO="Proposto",$AG141&lt;&gt;"",$AG141&gt;0,ORÇAMENTO.CustoUnitario&gt;$AG141),AND(TIPOORCAMENTO="LICITADO",ORÇAMENTO.PrecoUnitarioLicitado&gt;$AN141)),"ACIMA REF.","")))))</f>
        <v/>
      </c>
      <c r="AD141" t="str">
        <f ca="1">IF(C141&lt;=CRONO.NivelExibicao,MAX($AD$15:OFFSET(AD141,-1,0))+IF($C141&lt;&gt;1,1,MAX(1,COUNTIF(QCI!$A$13:$A$24,OFFSET($E141,-1,0)))),"")</f>
        <v/>
      </c>
      <c r="AE141" s="7" t="str">
        <f ca="1">IF(AND($C141="S",ORÇAMENTO.CodBarra&lt;&gt;""),IF(ORÇAMENTO.Fonte="",ORÇAMENTO.CodBarra,CONCATENATE(ORÇAMENTO.Fonte," ",ORÇAMENTO.CodBarra)))</f>
        <v xml:space="preserve">Composição FNDE 255 </v>
      </c>
      <c r="AF141" s="13" t="str">
        <f ca="1">IF(ISERROR(INDIRECT(ORÇAMENTO.BancoRef)),"(abra o arquivo 'Referência "&amp;Excel_BuiltIn_Database&amp;".xlsm)",IF(OR($C141&lt;&gt;"S",ORÇAMENTO.CodBarra=""),"(Sem Código)",IF(ISERROR(MATCH($AE141,INDIRECT(ORÇAMENTO.BancoRef),0)),"(Código não identificado nas referências)",MATCH($AE141,INDIRECT(ORÇAMENTO.BancoRef),0))))</f>
        <v>(abra o arquivo 'Referência 02-2025.xlsm)</v>
      </c>
      <c r="AG141" s="498">
        <f ca="1">ROUND(IF(DESONERACAO="sim",REFERENCIA.Desonerado,REFERENCIA.NaoDesonerado),2)</f>
        <v>0</v>
      </c>
      <c r="AH141" s="499">
        <f t="shared" ca="1" si="33"/>
        <v>0.22470000000000001</v>
      </c>
      <c r="AJ141" s="501">
        <v>5.04</v>
      </c>
      <c r="AL141" s="527"/>
      <c r="AM141" s="381">
        <f t="shared" ca="1" si="34"/>
        <v>0</v>
      </c>
      <c r="AN141" s="566">
        <f t="shared" ca="1" si="35"/>
        <v>0</v>
      </c>
    </row>
    <row r="142" spans="1:40" ht="51" x14ac:dyDescent="0.2">
      <c r="A142" t="str">
        <f t="shared" si="20"/>
        <v>S</v>
      </c>
      <c r="B142">
        <f t="shared" ca="1" si="21"/>
        <v>3</v>
      </c>
      <c r="C142" t="str">
        <f t="shared" ca="1" si="22"/>
        <v>S</v>
      </c>
      <c r="D142">
        <f t="shared" ca="1" si="23"/>
        <v>0</v>
      </c>
      <c r="E142">
        <f ca="1">IF($C142=1,OFFSET(E142,-1,0)+MAX(1,COUNTIF(QCI!$A$13:$A$24,OFFSET(ORÇAMENTO!E142,-1,0))),OFFSET(E142,-1,0))</f>
        <v>1</v>
      </c>
      <c r="F142">
        <f t="shared" ca="1" si="24"/>
        <v>6</v>
      </c>
      <c r="G142">
        <f t="shared" ca="1" si="25"/>
        <v>3</v>
      </c>
      <c r="H142">
        <f t="shared" ca="1" si="26"/>
        <v>0</v>
      </c>
      <c r="I142">
        <f t="shared" ca="1" si="27"/>
        <v>0</v>
      </c>
      <c r="J142">
        <f t="shared" ca="1" si="18"/>
        <v>0</v>
      </c>
      <c r="K142">
        <f ca="1">IF(OR($C142="S",$C142=0),0,MATCH(OFFSET($D142,0,$C142)+IF($C142&lt;&gt;1,1,COUNTIF(QCI!$A$13:$A$24,ORÇAMENTO!E142)),OFFSET($D142,1,$C142,ROW($C$747)-ROW($C142)),0))</f>
        <v>0</v>
      </c>
      <c r="L142" s="116" t="str">
        <f t="shared" ca="1" si="28"/>
        <v/>
      </c>
      <c r="M142" s="117" t="s">
        <v>199</v>
      </c>
      <c r="N142" s="118" t="str">
        <f t="shared" ca="1" si="29"/>
        <v>Serviço</v>
      </c>
      <c r="O142" s="119" t="str">
        <f t="shared" ca="1" si="30"/>
        <v>-</v>
      </c>
      <c r="P142" s="120" t="s">
        <v>712</v>
      </c>
      <c r="Q142" s="121" t="s">
        <v>729</v>
      </c>
      <c r="R142" s="122" t="str">
        <f ca="1">IF($C142="S",REFERENCIA.Descricao,"(digite a descrição aqui)")</f>
        <v>(abra o arquivo 'Referência 02-2025.xlsm)</v>
      </c>
      <c r="S142" s="123" t="str">
        <f ca="1">REFERENCIA.Unidade</f>
        <v>-</v>
      </c>
      <c r="T142" s="124">
        <f ca="1">OFFSET(CÁLCULO!H$15,ROW($T142)-ROW(T$15),0)</f>
        <v>7.48</v>
      </c>
      <c r="U142" s="125">
        <f t="shared" ca="1" si="36"/>
        <v>0</v>
      </c>
      <c r="V142" s="126" t="s">
        <v>156</v>
      </c>
      <c r="W142" s="124">
        <f ca="1">IF($C142="S",ROUND(IF(TIPOORCAMENTO="Proposto",ORÇAMENTO.CustoUnitario*(1+$AH142),ORÇAMENTO.PrecoUnitarioLicitado),15-13*$AF$10),0)</f>
        <v>0</v>
      </c>
      <c r="X142" s="127">
        <f ca="1">IF($C142="S",IF(Import.TipoArredondamento&lt;&gt;"TransfereGOV",VTOTAL1,SUM(OFFSET(CÁLCULO!$AA$15,ROW($X142)-ROW($X$15),1):OFFSET(CÁLCULO!$AL$15,ROW($X142)-ROW($X$15),-1))),IF($C142=0,0,ROUND(SomaAgrup,15-13*$AF$11)))</f>
        <v>0</v>
      </c>
      <c r="Y142" s="128" t="s">
        <v>245</v>
      </c>
      <c r="Z142" t="str">
        <f t="shared" ca="1" si="31"/>
        <v/>
      </c>
      <c r="AA142" s="129">
        <f ca="1">IF($C142="S",IF($Z142="CP",$X142,IF($Z142="RA",(($X142)*QCI!$AA$3),0)),SomaAgrup)</f>
        <v>0</v>
      </c>
      <c r="AB142" s="130">
        <f t="shared" ca="1" si="32"/>
        <v>0</v>
      </c>
      <c r="AC142" s="131" t="str">
        <f ca="1">IF($N142="","",IF(ORÇAMENTO.Descricao="","DESCRIÇÃO",IF(AND($C142="S",ORÇAMENTO.Unidade=""),"UNIDADE",IF($X142&lt;0,"VALOR NEGATIVO",IF(OR(AND(TIPOORCAMENTO="Proposto",$AG142&lt;&gt;"",$AG142&gt;0,ORÇAMENTO.CustoUnitario&gt;$AG142),AND(TIPOORCAMENTO="LICITADO",ORÇAMENTO.PrecoUnitarioLicitado&gt;$AN142)),"ACIMA REF.","")))))</f>
        <v/>
      </c>
      <c r="AD142" t="str">
        <f ca="1">IF(C142&lt;=CRONO.NivelExibicao,MAX($AD$15:OFFSET(AD142,-1,0))+IF($C142&lt;&gt;1,1,MAX(1,COUNTIF(QCI!$A$13:$A$24,OFFSET($E142,-1,0)))),"")</f>
        <v/>
      </c>
      <c r="AE142" s="7" t="str">
        <f ca="1">IF(AND($C142="S",ORÇAMENTO.CodBarra&lt;&gt;""),IF(ORÇAMENTO.Fonte="",ORÇAMENTO.CodBarra,CONCATENATE(ORÇAMENTO.Fonte," ",ORÇAMENTO.CodBarra)))</f>
        <v xml:space="preserve">Composição FNDE 256 </v>
      </c>
      <c r="AF142" s="13" t="str">
        <f ca="1">IF(ISERROR(INDIRECT(ORÇAMENTO.BancoRef)),"(abra o arquivo 'Referência "&amp;Excel_BuiltIn_Database&amp;".xlsm)",IF(OR($C142&lt;&gt;"S",ORÇAMENTO.CodBarra=""),"(Sem Código)",IF(ISERROR(MATCH($AE142,INDIRECT(ORÇAMENTO.BancoRef),0)),"(Código não identificado nas referências)",MATCH($AE142,INDIRECT(ORÇAMENTO.BancoRef),0))))</f>
        <v>(abra o arquivo 'Referência 02-2025.xlsm)</v>
      </c>
      <c r="AG142" s="498">
        <f ca="1">ROUND(IF(DESONERACAO="sim",REFERENCIA.Desonerado,REFERENCIA.NaoDesonerado),2)</f>
        <v>0</v>
      </c>
      <c r="AH142" s="499">
        <f t="shared" ca="1" si="33"/>
        <v>0.22470000000000001</v>
      </c>
      <c r="AJ142" s="501">
        <v>7.48</v>
      </c>
      <c r="AL142" s="527"/>
      <c r="AM142" s="381">
        <f t="shared" ca="1" si="34"/>
        <v>0</v>
      </c>
      <c r="AN142" s="566">
        <f t="shared" ca="1" si="35"/>
        <v>0</v>
      </c>
    </row>
    <row r="143" spans="1:40" ht="63.75" x14ac:dyDescent="0.2">
      <c r="A143" t="str">
        <f t="shared" si="20"/>
        <v>S</v>
      </c>
      <c r="B143">
        <f t="shared" ca="1" si="21"/>
        <v>3</v>
      </c>
      <c r="C143" t="str">
        <f t="shared" ca="1" si="22"/>
        <v>S</v>
      </c>
      <c r="D143">
        <f t="shared" ca="1" si="23"/>
        <v>0</v>
      </c>
      <c r="E143">
        <f ca="1">IF($C143=1,OFFSET(E143,-1,0)+MAX(1,COUNTIF(QCI!$A$13:$A$24,OFFSET(ORÇAMENTO!E143,-1,0))),OFFSET(E143,-1,0))</f>
        <v>1</v>
      </c>
      <c r="F143">
        <f t="shared" ca="1" si="24"/>
        <v>6</v>
      </c>
      <c r="G143">
        <f t="shared" ca="1" si="25"/>
        <v>3</v>
      </c>
      <c r="H143">
        <f t="shared" ca="1" si="26"/>
        <v>0</v>
      </c>
      <c r="I143">
        <f t="shared" ca="1" si="27"/>
        <v>0</v>
      </c>
      <c r="J143">
        <f t="shared" ca="1" si="18"/>
        <v>0</v>
      </c>
      <c r="K143">
        <f ca="1">IF(OR($C143="S",$C143=0),0,MATCH(OFFSET($D143,0,$C143)+IF($C143&lt;&gt;1,1,COUNTIF(QCI!$A$13:$A$24,ORÇAMENTO!E143)),OFFSET($D143,1,$C143,ROW($C$747)-ROW($C143)),0))</f>
        <v>0</v>
      </c>
      <c r="L143" s="116" t="str">
        <f t="shared" ca="1" si="28"/>
        <v/>
      </c>
      <c r="M143" s="117" t="s">
        <v>199</v>
      </c>
      <c r="N143" s="118" t="str">
        <f t="shared" ca="1" si="29"/>
        <v>Serviço</v>
      </c>
      <c r="O143" s="119" t="str">
        <f t="shared" ca="1" si="30"/>
        <v>-</v>
      </c>
      <c r="P143" s="120" t="s">
        <v>712</v>
      </c>
      <c r="Q143" s="121" t="s">
        <v>730</v>
      </c>
      <c r="R143" s="122" t="str">
        <f ca="1">IF($C143="S",REFERENCIA.Descricao,"(digite a descrição aqui)")</f>
        <v>(abra o arquivo 'Referência 02-2025.xlsm)</v>
      </c>
      <c r="S143" s="123" t="str">
        <f ca="1">REFERENCIA.Unidade</f>
        <v>-</v>
      </c>
      <c r="T143" s="124">
        <f ca="1">OFFSET(CÁLCULO!H$15,ROW($T143)-ROW(T$15),0)</f>
        <v>5.25</v>
      </c>
      <c r="U143" s="125">
        <f t="shared" ca="1" si="36"/>
        <v>0</v>
      </c>
      <c r="V143" s="126" t="s">
        <v>156</v>
      </c>
      <c r="W143" s="124">
        <f ca="1">IF($C143="S",ROUND(IF(TIPOORCAMENTO="Proposto",ORÇAMENTO.CustoUnitario*(1+$AH143),ORÇAMENTO.PrecoUnitarioLicitado),15-13*$AF$10),0)</f>
        <v>0</v>
      </c>
      <c r="X143" s="127">
        <f ca="1">IF($C143="S",IF(Import.TipoArredondamento&lt;&gt;"TransfereGOV",VTOTAL1,SUM(OFFSET(CÁLCULO!$AA$15,ROW($X143)-ROW($X$15),1):OFFSET(CÁLCULO!$AL$15,ROW($X143)-ROW($X$15),-1))),IF($C143=0,0,ROUND(SomaAgrup,15-13*$AF$11)))</f>
        <v>0</v>
      </c>
      <c r="Y143" s="128" t="s">
        <v>245</v>
      </c>
      <c r="Z143" t="str">
        <f t="shared" ca="1" si="31"/>
        <v/>
      </c>
      <c r="AA143" s="129">
        <f ca="1">IF($C143="S",IF($Z143="CP",$X143,IF($Z143="RA",(($X143)*QCI!$AA$3),0)),SomaAgrup)</f>
        <v>0</v>
      </c>
      <c r="AB143" s="130">
        <f t="shared" ca="1" si="32"/>
        <v>0</v>
      </c>
      <c r="AC143" s="131" t="str">
        <f ca="1">IF($N143="","",IF(ORÇAMENTO.Descricao="","DESCRIÇÃO",IF(AND($C143="S",ORÇAMENTO.Unidade=""),"UNIDADE",IF($X143&lt;0,"VALOR NEGATIVO",IF(OR(AND(TIPOORCAMENTO="Proposto",$AG143&lt;&gt;"",$AG143&gt;0,ORÇAMENTO.CustoUnitario&gt;$AG143),AND(TIPOORCAMENTO="LICITADO",ORÇAMENTO.PrecoUnitarioLicitado&gt;$AN143)),"ACIMA REF.","")))))</f>
        <v/>
      </c>
      <c r="AD143" t="str">
        <f ca="1">IF(C143&lt;=CRONO.NivelExibicao,MAX($AD$15:OFFSET(AD143,-1,0))+IF($C143&lt;&gt;1,1,MAX(1,COUNTIF(QCI!$A$13:$A$24,OFFSET($E143,-1,0)))),"")</f>
        <v/>
      </c>
      <c r="AE143" s="7" t="str">
        <f ca="1">IF(AND($C143="S",ORÇAMENTO.CodBarra&lt;&gt;""),IF(ORÇAMENTO.Fonte="",ORÇAMENTO.CodBarra,CONCATENATE(ORÇAMENTO.Fonte," ",ORÇAMENTO.CodBarra)))</f>
        <v xml:space="preserve">Composição FNDE 257 </v>
      </c>
      <c r="AF143" s="13" t="str">
        <f ca="1">IF(ISERROR(INDIRECT(ORÇAMENTO.BancoRef)),"(abra o arquivo 'Referência "&amp;Excel_BuiltIn_Database&amp;".xlsm)",IF(OR($C143&lt;&gt;"S",ORÇAMENTO.CodBarra=""),"(Sem Código)",IF(ISERROR(MATCH($AE143,INDIRECT(ORÇAMENTO.BancoRef),0)),"(Código não identificado nas referências)",MATCH($AE143,INDIRECT(ORÇAMENTO.BancoRef),0))))</f>
        <v>(abra o arquivo 'Referência 02-2025.xlsm)</v>
      </c>
      <c r="AG143" s="498">
        <f ca="1">ROUND(IF(DESONERACAO="sim",REFERENCIA.Desonerado,REFERENCIA.NaoDesonerado),2)</f>
        <v>0</v>
      </c>
      <c r="AH143" s="499">
        <f t="shared" ca="1" si="33"/>
        <v>0.22470000000000001</v>
      </c>
      <c r="AJ143" s="501">
        <v>5.25</v>
      </c>
      <c r="AL143" s="527"/>
      <c r="AM143" s="381">
        <f t="shared" ca="1" si="34"/>
        <v>0</v>
      </c>
      <c r="AN143" s="566">
        <f t="shared" ca="1" si="35"/>
        <v>0</v>
      </c>
    </row>
    <row r="144" spans="1:40" x14ac:dyDescent="0.2">
      <c r="A144">
        <f t="shared" si="20"/>
        <v>3</v>
      </c>
      <c r="B144">
        <f t="shared" ca="1" si="21"/>
        <v>3</v>
      </c>
      <c r="C144">
        <f t="shared" ca="1" si="22"/>
        <v>3</v>
      </c>
      <c r="D144">
        <f t="shared" ca="1" si="23"/>
        <v>18</v>
      </c>
      <c r="E144">
        <f ca="1">IF($C144=1,OFFSET(E144,-1,0)+MAX(1,COUNTIF(QCI!$A$13:$A$24,OFFSET(ORÇAMENTO!E144,-1,0))),OFFSET(E144,-1,0))</f>
        <v>1</v>
      </c>
      <c r="F144">
        <f t="shared" ca="1" si="24"/>
        <v>6</v>
      </c>
      <c r="G144">
        <f t="shared" ca="1" si="25"/>
        <v>4</v>
      </c>
      <c r="H144">
        <f t="shared" ca="1" si="26"/>
        <v>0</v>
      </c>
      <c r="I144">
        <f t="shared" ca="1" si="27"/>
        <v>0</v>
      </c>
      <c r="J144">
        <f t="shared" ref="J144:J207" ca="1" si="37">IF(OR($C144="S",$C144=0),0,MATCH(0,OFFSET($D144,1,$C144,ROW($C$747)-ROW($C144)),0))</f>
        <v>33</v>
      </c>
      <c r="K144">
        <f ca="1">IF(OR($C144="S",$C144=0),0,MATCH(OFFSET($D144,0,$C144)+IF($C144&lt;&gt;1,1,COUNTIF(QCI!$A$13:$A$24,ORÇAMENTO!E144)),OFFSET($D144,1,$C144,ROW($C$747)-ROW($C144)),0))</f>
        <v>18</v>
      </c>
      <c r="L144" s="116" t="str">
        <f t="shared" ca="1" si="28"/>
        <v>F</v>
      </c>
      <c r="M144" s="117" t="s">
        <v>197</v>
      </c>
      <c r="N144" s="118" t="str">
        <f t="shared" ca="1" si="29"/>
        <v>Nível 3</v>
      </c>
      <c r="O144" s="119" t="str">
        <f t="shared" ca="1" si="30"/>
        <v>1.6.4.</v>
      </c>
      <c r="P144" s="120" t="s">
        <v>247</v>
      </c>
      <c r="Q144" s="121"/>
      <c r="R144" s="122" t="str">
        <f ca="1">IF($C144="S",REFERENCIA.Descricao,"JANELAS EM ALUMÍNIO")</f>
        <v>JANELAS EM ALUMÍNIO</v>
      </c>
      <c r="S144" s="123" t="str">
        <f ca="1">REFERENCIA.Unidade</f>
        <v>-</v>
      </c>
      <c r="T144" s="124">
        <f ca="1">OFFSET(CÁLCULO!H$15,ROW($T144)-ROW(T$15),0)</f>
        <v>0</v>
      </c>
      <c r="U144" s="125">
        <f t="shared" ca="1" si="36"/>
        <v>0</v>
      </c>
      <c r="V144" s="126" t="s">
        <v>156</v>
      </c>
      <c r="W144" s="124">
        <f ca="1">IF($C144="S",ROUND(IF(TIPOORCAMENTO="Proposto",ORÇAMENTO.CustoUnitario*(1+$AH144),ORÇAMENTO.PrecoUnitarioLicitado),15-13*$AF$10),0)</f>
        <v>0</v>
      </c>
      <c r="X144" s="127">
        <f ca="1">IF($C144="S",IF(Import.TipoArredondamento&lt;&gt;"TransfereGOV",VTOTAL1,SUM(OFFSET(CÁLCULO!$AA$15,ROW($X144)-ROW($X$15),1):OFFSET(CÁLCULO!$AL$15,ROW($X144)-ROW($X$15),-1))),IF($C144=0,0,ROUND(SomaAgrup,15-13*$AF$11)))</f>
        <v>0</v>
      </c>
      <c r="Y144" s="128" t="s">
        <v>245</v>
      </c>
      <c r="Z144" t="str">
        <f t="shared" ca="1" si="31"/>
        <v/>
      </c>
      <c r="AA144" s="129">
        <f ca="1">IF($C144="S",IF($Z144="CP",$X144,IF($Z144="RA",(($X144)*QCI!$AA$3),0)),SomaAgrup)</f>
        <v>0</v>
      </c>
      <c r="AB144" s="130">
        <f t="shared" ca="1" si="32"/>
        <v>0</v>
      </c>
      <c r="AC144" s="131" t="str">
        <f ca="1">IF($N144="","",IF(ORÇAMENTO.Descricao="","DESCRIÇÃO",IF(AND($C144="S",ORÇAMENTO.Unidade=""),"UNIDADE",IF($X144&lt;0,"VALOR NEGATIVO",IF(OR(AND(TIPOORCAMENTO="Proposto",$AG144&lt;&gt;"",$AG144&gt;0,ORÇAMENTO.CustoUnitario&gt;$AG144),AND(TIPOORCAMENTO="LICITADO",ORÇAMENTO.PrecoUnitarioLicitado&gt;$AN144)),"ACIMA REF.","")))))</f>
        <v/>
      </c>
      <c r="AD144" t="str">
        <f ca="1">IF(C144&lt;=CRONO.NivelExibicao,MAX($AD$15:OFFSET(AD144,-1,0))+IF($C144&lt;&gt;1,1,MAX(1,COUNTIF(QCI!$A$13:$A$24,OFFSET($E144,-1,0)))),"")</f>
        <v/>
      </c>
      <c r="AE144" s="7" t="b">
        <f ca="1">IF(AND($C144="S",ORÇAMENTO.CodBarra&lt;&gt;""),IF(ORÇAMENTO.Fonte="",ORÇAMENTO.CodBarra,CONCATENATE(ORÇAMENTO.Fonte," ",ORÇAMENTO.CodBarra)))</f>
        <v>0</v>
      </c>
      <c r="AF144" s="13" t="str">
        <f ca="1">IF(ISERROR(INDIRECT(ORÇAMENTO.BancoRef)),"(abra o arquivo 'Referência "&amp;Excel_BuiltIn_Database&amp;".xlsm)",IF(OR($C144&lt;&gt;"S",ORÇAMENTO.CodBarra=""),"(Sem Código)",IF(ISERROR(MATCH($AE144,INDIRECT(ORÇAMENTO.BancoRef),0)),"(Código não identificado nas referências)",MATCH($AE144,INDIRECT(ORÇAMENTO.BancoRef),0))))</f>
        <v>(abra o arquivo 'Referência 02-2025.xlsm)</v>
      </c>
      <c r="AG144" s="498">
        <f ca="1">ROUND(IF(DESONERACAO="sim",REFERENCIA.Desonerado,REFERENCIA.NaoDesonerado),2)</f>
        <v>0</v>
      </c>
      <c r="AH144" s="499">
        <f t="shared" ca="1" si="33"/>
        <v>0.22470000000000001</v>
      </c>
      <c r="AJ144" s="501"/>
      <c r="AL144" s="527"/>
      <c r="AM144" s="381">
        <f t="shared" ca="1" si="34"/>
        <v>0</v>
      </c>
      <c r="AN144" s="566">
        <f t="shared" ca="1" si="35"/>
        <v>0</v>
      </c>
    </row>
    <row r="145" spans="1:40" ht="51" x14ac:dyDescent="0.2">
      <c r="A145" t="str">
        <f t="shared" si="20"/>
        <v>S</v>
      </c>
      <c r="B145">
        <f t="shared" ca="1" si="21"/>
        <v>3</v>
      </c>
      <c r="C145" t="str">
        <f t="shared" ca="1" si="22"/>
        <v>S</v>
      </c>
      <c r="D145">
        <f t="shared" ca="1" si="23"/>
        <v>0</v>
      </c>
      <c r="E145">
        <f ca="1">IF($C145=1,OFFSET(E145,-1,0)+MAX(1,COUNTIF(QCI!$A$13:$A$24,OFFSET(ORÇAMENTO!E145,-1,0))),OFFSET(E145,-1,0))</f>
        <v>1</v>
      </c>
      <c r="F145">
        <f t="shared" ca="1" si="24"/>
        <v>6</v>
      </c>
      <c r="G145">
        <f t="shared" ca="1" si="25"/>
        <v>4</v>
      </c>
      <c r="H145">
        <f t="shared" ca="1" si="26"/>
        <v>0</v>
      </c>
      <c r="I145">
        <f t="shared" ca="1" si="27"/>
        <v>0</v>
      </c>
      <c r="J145">
        <f t="shared" ca="1" si="37"/>
        <v>0</v>
      </c>
      <c r="K145">
        <f ca="1">IF(OR($C145="S",$C145=0),0,MATCH(OFFSET($D145,0,$C145)+IF($C145&lt;&gt;1,1,COUNTIF(QCI!$A$13:$A$24,ORÇAMENTO!E145)),OFFSET($D145,1,$C145,ROW($C$747)-ROW($C145)),0))</f>
        <v>0</v>
      </c>
      <c r="L145" s="116" t="str">
        <f t="shared" ca="1" si="28"/>
        <v/>
      </c>
      <c r="M145" s="117" t="s">
        <v>199</v>
      </c>
      <c r="N145" s="118" t="str">
        <f t="shared" ca="1" si="29"/>
        <v>Serviço</v>
      </c>
      <c r="O145" s="119" t="str">
        <f t="shared" ca="1" si="30"/>
        <v>-</v>
      </c>
      <c r="P145" s="120" t="s">
        <v>712</v>
      </c>
      <c r="Q145" s="121" t="s">
        <v>740</v>
      </c>
      <c r="R145" s="122" t="str">
        <f ca="1">IF($C145="S",REFERENCIA.Descricao,"(digite a descrição aqui)")</f>
        <v>(abra o arquivo 'Referência 02-2025.xlsm)</v>
      </c>
      <c r="S145" s="123" t="str">
        <f ca="1">REFERENCIA.Unidade</f>
        <v>-</v>
      </c>
      <c r="T145" s="124">
        <f ca="1">OFFSET(CÁLCULO!H$15,ROW($T145)-ROW(T$15),0)</f>
        <v>0.88</v>
      </c>
      <c r="U145" s="125">
        <f t="shared" ca="1" si="36"/>
        <v>0</v>
      </c>
      <c r="V145" s="126" t="s">
        <v>156</v>
      </c>
      <c r="W145" s="124">
        <f ca="1">IF($C145="S",ROUND(IF(TIPOORCAMENTO="Proposto",ORÇAMENTO.CustoUnitario*(1+$AH145),ORÇAMENTO.PrecoUnitarioLicitado),15-13*$AF$10),0)</f>
        <v>0</v>
      </c>
      <c r="X145" s="127">
        <f ca="1">IF($C145="S",IF(Import.TipoArredondamento&lt;&gt;"TransfereGOV",VTOTAL1,SUM(OFFSET(CÁLCULO!$AA$15,ROW($X145)-ROW($X$15),1):OFFSET(CÁLCULO!$AL$15,ROW($X145)-ROW($X$15),-1))),IF($C145=0,0,ROUND(SomaAgrup,15-13*$AF$11)))</f>
        <v>0</v>
      </c>
      <c r="Y145" s="128" t="s">
        <v>245</v>
      </c>
      <c r="Z145" t="str">
        <f t="shared" ca="1" si="31"/>
        <v/>
      </c>
      <c r="AA145" s="129">
        <f ca="1">IF($C145="S",IF($Z145="CP",$X145,IF($Z145="RA",(($X145)*QCI!$AA$3),0)),SomaAgrup)</f>
        <v>0</v>
      </c>
      <c r="AB145" s="130">
        <f t="shared" ca="1" si="32"/>
        <v>0</v>
      </c>
      <c r="AC145" s="131" t="str">
        <f ca="1">IF($N145="","",IF(ORÇAMENTO.Descricao="","DESCRIÇÃO",IF(AND($C145="S",ORÇAMENTO.Unidade=""),"UNIDADE",IF($X145&lt;0,"VALOR NEGATIVO",IF(OR(AND(TIPOORCAMENTO="Proposto",$AG145&lt;&gt;"",$AG145&gt;0,ORÇAMENTO.CustoUnitario&gt;$AG145),AND(TIPOORCAMENTO="LICITADO",ORÇAMENTO.PrecoUnitarioLicitado&gt;$AN145)),"ACIMA REF.","")))))</f>
        <v/>
      </c>
      <c r="AD145" t="str">
        <f ca="1">IF(C145&lt;=CRONO.NivelExibicao,MAX($AD$15:OFFSET(AD145,-1,0))+IF($C145&lt;&gt;1,1,MAX(1,COUNTIF(QCI!$A$13:$A$24,OFFSET($E145,-1,0)))),"")</f>
        <v/>
      </c>
      <c r="AE145" s="7" t="str">
        <f ca="1">IF(AND($C145="S",ORÇAMENTO.CodBarra&lt;&gt;""),IF(ORÇAMENTO.Fonte="",ORÇAMENTO.CodBarra,CONCATENATE(ORÇAMENTO.Fonte," ",ORÇAMENTO.CodBarra)))</f>
        <v xml:space="preserve">Composição FNDE 258 </v>
      </c>
      <c r="AF145" s="13" t="str">
        <f ca="1">IF(ISERROR(INDIRECT(ORÇAMENTO.BancoRef)),"(abra o arquivo 'Referência "&amp;Excel_BuiltIn_Database&amp;".xlsm)",IF(OR($C145&lt;&gt;"S",ORÇAMENTO.CodBarra=""),"(Sem Código)",IF(ISERROR(MATCH($AE145,INDIRECT(ORÇAMENTO.BancoRef),0)),"(Código não identificado nas referências)",MATCH($AE145,INDIRECT(ORÇAMENTO.BancoRef),0))))</f>
        <v>(abra o arquivo 'Referência 02-2025.xlsm)</v>
      </c>
      <c r="AG145" s="498">
        <f ca="1">ROUND(IF(DESONERACAO="sim",REFERENCIA.Desonerado,REFERENCIA.NaoDesonerado),2)</f>
        <v>0</v>
      </c>
      <c r="AH145" s="499">
        <f t="shared" ca="1" si="33"/>
        <v>0.22470000000000001</v>
      </c>
      <c r="AJ145" s="501">
        <v>0.88</v>
      </c>
      <c r="AL145" s="527"/>
      <c r="AM145" s="381">
        <f t="shared" ca="1" si="34"/>
        <v>0</v>
      </c>
      <c r="AN145" s="566">
        <f t="shared" ca="1" si="35"/>
        <v>0</v>
      </c>
    </row>
    <row r="146" spans="1:40" ht="51" x14ac:dyDescent="0.2">
      <c r="A146" t="str">
        <f t="shared" si="20"/>
        <v>S</v>
      </c>
      <c r="B146">
        <f t="shared" ca="1" si="21"/>
        <v>3</v>
      </c>
      <c r="C146" t="str">
        <f t="shared" ca="1" si="22"/>
        <v>S</v>
      </c>
      <c r="D146">
        <f t="shared" ca="1" si="23"/>
        <v>0</v>
      </c>
      <c r="E146">
        <f ca="1">IF($C146=1,OFFSET(E146,-1,0)+MAX(1,COUNTIF(QCI!$A$13:$A$24,OFFSET(ORÇAMENTO!E146,-1,0))),OFFSET(E146,-1,0))</f>
        <v>1</v>
      </c>
      <c r="F146">
        <f t="shared" ca="1" si="24"/>
        <v>6</v>
      </c>
      <c r="G146">
        <f t="shared" ca="1" si="25"/>
        <v>4</v>
      </c>
      <c r="H146">
        <f t="shared" ca="1" si="26"/>
        <v>0</v>
      </c>
      <c r="I146">
        <f t="shared" ca="1" si="27"/>
        <v>0</v>
      </c>
      <c r="J146">
        <f t="shared" ca="1" si="37"/>
        <v>0</v>
      </c>
      <c r="K146">
        <f ca="1">IF(OR($C146="S",$C146=0),0,MATCH(OFFSET($D146,0,$C146)+IF($C146&lt;&gt;1,1,COUNTIF(QCI!$A$13:$A$24,ORÇAMENTO!E146)),OFFSET($D146,1,$C146,ROW($C$747)-ROW($C146)),0))</f>
        <v>0</v>
      </c>
      <c r="L146" s="116" t="str">
        <f t="shared" ca="1" si="28"/>
        <v/>
      </c>
      <c r="M146" s="117" t="s">
        <v>199</v>
      </c>
      <c r="N146" s="118" t="str">
        <f t="shared" ca="1" si="29"/>
        <v>Serviço</v>
      </c>
      <c r="O146" s="119" t="str">
        <f t="shared" ca="1" si="30"/>
        <v>-</v>
      </c>
      <c r="P146" s="120" t="s">
        <v>712</v>
      </c>
      <c r="Q146" s="121" t="s">
        <v>731</v>
      </c>
      <c r="R146" s="122" t="str">
        <f ca="1">IF($C146="S",REFERENCIA.Descricao,"(digite a descrição aqui)")</f>
        <v>(abra o arquivo 'Referência 02-2025.xlsm)</v>
      </c>
      <c r="S146" s="123" t="str">
        <f ca="1">REFERENCIA.Unidade</f>
        <v>-</v>
      </c>
      <c r="T146" s="124">
        <f ca="1">OFFSET(CÁLCULO!H$15,ROW($T146)-ROW(T$15),0)</f>
        <v>1.6</v>
      </c>
      <c r="U146" s="125">
        <f t="shared" ca="1" si="36"/>
        <v>0</v>
      </c>
      <c r="V146" s="126" t="s">
        <v>156</v>
      </c>
      <c r="W146" s="124">
        <f ca="1">IF($C146="S",ROUND(IF(TIPOORCAMENTO="Proposto",ORÇAMENTO.CustoUnitario*(1+$AH146),ORÇAMENTO.PrecoUnitarioLicitado),15-13*$AF$10),0)</f>
        <v>0</v>
      </c>
      <c r="X146" s="127">
        <f ca="1">IF($C146="S",IF(Import.TipoArredondamento&lt;&gt;"TransfereGOV",VTOTAL1,SUM(OFFSET(CÁLCULO!$AA$15,ROW($X146)-ROW($X$15),1):OFFSET(CÁLCULO!$AL$15,ROW($X146)-ROW($X$15),-1))),IF($C146=0,0,ROUND(SomaAgrup,15-13*$AF$11)))</f>
        <v>0</v>
      </c>
      <c r="Y146" s="128" t="s">
        <v>245</v>
      </c>
      <c r="Z146" t="str">
        <f t="shared" ca="1" si="31"/>
        <v/>
      </c>
      <c r="AA146" s="129">
        <f ca="1">IF($C146="S",IF($Z146="CP",$X146,IF($Z146="RA",(($X146)*QCI!$AA$3),0)),SomaAgrup)</f>
        <v>0</v>
      </c>
      <c r="AB146" s="130">
        <f t="shared" ca="1" si="32"/>
        <v>0</v>
      </c>
      <c r="AC146" s="131" t="str">
        <f ca="1">IF($N146="","",IF(ORÇAMENTO.Descricao="","DESCRIÇÃO",IF(AND($C146="S",ORÇAMENTO.Unidade=""),"UNIDADE",IF($X146&lt;0,"VALOR NEGATIVO",IF(OR(AND(TIPOORCAMENTO="Proposto",$AG146&lt;&gt;"",$AG146&gt;0,ORÇAMENTO.CustoUnitario&gt;$AG146),AND(TIPOORCAMENTO="LICITADO",ORÇAMENTO.PrecoUnitarioLicitado&gt;$AN146)),"ACIMA REF.","")))))</f>
        <v/>
      </c>
      <c r="AD146" t="str">
        <f ca="1">IF(C146&lt;=CRONO.NivelExibicao,MAX($AD$15:OFFSET(AD146,-1,0))+IF($C146&lt;&gt;1,1,MAX(1,COUNTIF(QCI!$A$13:$A$24,OFFSET($E146,-1,0)))),"")</f>
        <v/>
      </c>
      <c r="AE146" s="7" t="str">
        <f ca="1">IF(AND($C146="S",ORÇAMENTO.CodBarra&lt;&gt;""),IF(ORÇAMENTO.Fonte="",ORÇAMENTO.CodBarra,CONCATENATE(ORÇAMENTO.Fonte," ",ORÇAMENTO.CodBarra)))</f>
        <v>Composição FNDE 259</v>
      </c>
      <c r="AF146" s="13" t="str">
        <f ca="1">IF(ISERROR(INDIRECT(ORÇAMENTO.BancoRef)),"(abra o arquivo 'Referência "&amp;Excel_BuiltIn_Database&amp;".xlsm)",IF(OR($C146&lt;&gt;"S",ORÇAMENTO.CodBarra=""),"(Sem Código)",IF(ISERROR(MATCH($AE146,INDIRECT(ORÇAMENTO.BancoRef),0)),"(Código não identificado nas referências)",MATCH($AE146,INDIRECT(ORÇAMENTO.BancoRef),0))))</f>
        <v>(abra o arquivo 'Referência 02-2025.xlsm)</v>
      </c>
      <c r="AG146" s="498">
        <f ca="1">ROUND(IF(DESONERACAO="sim",REFERENCIA.Desonerado,REFERENCIA.NaoDesonerado),2)</f>
        <v>0</v>
      </c>
      <c r="AH146" s="499">
        <f t="shared" ca="1" si="33"/>
        <v>0.22470000000000001</v>
      </c>
      <c r="AJ146" s="501">
        <v>1.6</v>
      </c>
      <c r="AL146" s="527"/>
      <c r="AM146" s="381">
        <f t="shared" ca="1" si="34"/>
        <v>0</v>
      </c>
      <c r="AN146" s="566">
        <f t="shared" ca="1" si="35"/>
        <v>0</v>
      </c>
    </row>
    <row r="147" spans="1:40" ht="38.25" x14ac:dyDescent="0.2">
      <c r="A147" t="str">
        <f t="shared" si="20"/>
        <v>S</v>
      </c>
      <c r="B147">
        <f t="shared" ca="1" si="21"/>
        <v>3</v>
      </c>
      <c r="C147" t="str">
        <f t="shared" ca="1" si="22"/>
        <v>S</v>
      </c>
      <c r="D147">
        <f t="shared" ca="1" si="23"/>
        <v>0</v>
      </c>
      <c r="E147">
        <f ca="1">IF($C147=1,OFFSET(E147,-1,0)+MAX(1,COUNTIF(QCI!$A$13:$A$24,OFFSET(ORÇAMENTO!E147,-1,0))),OFFSET(E147,-1,0))</f>
        <v>1</v>
      </c>
      <c r="F147">
        <f t="shared" ca="1" si="24"/>
        <v>6</v>
      </c>
      <c r="G147">
        <f t="shared" ca="1" si="25"/>
        <v>4</v>
      </c>
      <c r="H147">
        <f t="shared" ca="1" si="26"/>
        <v>0</v>
      </c>
      <c r="I147">
        <f t="shared" ca="1" si="27"/>
        <v>0</v>
      </c>
      <c r="J147">
        <f t="shared" ca="1" si="37"/>
        <v>0</v>
      </c>
      <c r="K147">
        <f ca="1">IF(OR($C147="S",$C147=0),0,MATCH(OFFSET($D147,0,$C147)+IF($C147&lt;&gt;1,1,COUNTIF(QCI!$A$13:$A$24,ORÇAMENTO!E147)),OFFSET($D147,1,$C147,ROW($C$747)-ROW($C147)),0))</f>
        <v>0</v>
      </c>
      <c r="L147" s="116" t="str">
        <f t="shared" ca="1" si="28"/>
        <v/>
      </c>
      <c r="M147" s="117" t="s">
        <v>199</v>
      </c>
      <c r="N147" s="118" t="str">
        <f t="shared" ca="1" si="29"/>
        <v>Serviço</v>
      </c>
      <c r="O147" s="119" t="str">
        <f t="shared" ca="1" si="30"/>
        <v>-</v>
      </c>
      <c r="P147" s="120" t="s">
        <v>712</v>
      </c>
      <c r="Q147" s="121" t="s">
        <v>732</v>
      </c>
      <c r="R147" s="122" t="str">
        <f ca="1">IF($C147="S",REFERENCIA.Descricao,"(digite a descrição aqui)")</f>
        <v>(abra o arquivo 'Referência 02-2025.xlsm)</v>
      </c>
      <c r="S147" s="123" t="str">
        <f ca="1">REFERENCIA.Unidade</f>
        <v>-</v>
      </c>
      <c r="T147" s="124">
        <f ca="1">OFFSET(CÁLCULO!H$15,ROW($T147)-ROW(T$15),0)</f>
        <v>3.22</v>
      </c>
      <c r="U147" s="125">
        <f t="shared" ca="1" si="36"/>
        <v>0</v>
      </c>
      <c r="V147" s="126" t="s">
        <v>156</v>
      </c>
      <c r="W147" s="124">
        <f ca="1">IF($C147="S",ROUND(IF(TIPOORCAMENTO="Proposto",ORÇAMENTO.CustoUnitario*(1+$AH147),ORÇAMENTO.PrecoUnitarioLicitado),15-13*$AF$10),0)</f>
        <v>0</v>
      </c>
      <c r="X147" s="127">
        <f ca="1">IF($C147="S",IF(Import.TipoArredondamento&lt;&gt;"TransfereGOV",VTOTAL1,SUM(OFFSET(CÁLCULO!$AA$15,ROW($X147)-ROW($X$15),1):OFFSET(CÁLCULO!$AL$15,ROW($X147)-ROW($X$15),-1))),IF($C147=0,0,ROUND(SomaAgrup,15-13*$AF$11)))</f>
        <v>0</v>
      </c>
      <c r="Y147" s="128" t="s">
        <v>245</v>
      </c>
      <c r="Z147" t="str">
        <f t="shared" ca="1" si="31"/>
        <v/>
      </c>
      <c r="AA147" s="129">
        <f ca="1">IF($C147="S",IF($Z147="CP",$X147,IF($Z147="RA",(($X147)*QCI!$AA$3),0)),SomaAgrup)</f>
        <v>0</v>
      </c>
      <c r="AB147" s="130">
        <f t="shared" ca="1" si="32"/>
        <v>0</v>
      </c>
      <c r="AC147" s="131" t="str">
        <f ca="1">IF($N147="","",IF(ORÇAMENTO.Descricao="","DESCRIÇÃO",IF(AND($C147="S",ORÇAMENTO.Unidade=""),"UNIDADE",IF($X147&lt;0,"VALOR NEGATIVO",IF(OR(AND(TIPOORCAMENTO="Proposto",$AG147&lt;&gt;"",$AG147&gt;0,ORÇAMENTO.CustoUnitario&gt;$AG147),AND(TIPOORCAMENTO="LICITADO",ORÇAMENTO.PrecoUnitarioLicitado&gt;$AN147)),"ACIMA REF.","")))))</f>
        <v/>
      </c>
      <c r="AD147" t="str">
        <f ca="1">IF(C147&lt;=CRONO.NivelExibicao,MAX($AD$15:OFFSET(AD147,-1,0))+IF($C147&lt;&gt;1,1,MAX(1,COUNTIF(QCI!$A$13:$A$24,OFFSET($E147,-1,0)))),"")</f>
        <v/>
      </c>
      <c r="AE147" s="7" t="str">
        <f ca="1">IF(AND($C147="S",ORÇAMENTO.CodBarra&lt;&gt;""),IF(ORÇAMENTO.Fonte="",ORÇAMENTO.CodBarra,CONCATENATE(ORÇAMENTO.Fonte," ",ORÇAMENTO.CodBarra)))</f>
        <v>Composição FNDE 275</v>
      </c>
      <c r="AF147" s="13" t="str">
        <f ca="1">IF(ISERROR(INDIRECT(ORÇAMENTO.BancoRef)),"(abra o arquivo 'Referência "&amp;Excel_BuiltIn_Database&amp;".xlsm)",IF(OR($C147&lt;&gt;"S",ORÇAMENTO.CodBarra=""),"(Sem Código)",IF(ISERROR(MATCH($AE147,INDIRECT(ORÇAMENTO.BancoRef),0)),"(Código não identificado nas referências)",MATCH($AE147,INDIRECT(ORÇAMENTO.BancoRef),0))))</f>
        <v>(abra o arquivo 'Referência 02-2025.xlsm)</v>
      </c>
      <c r="AG147" s="498">
        <f ca="1">ROUND(IF(DESONERACAO="sim",REFERENCIA.Desonerado,REFERENCIA.NaoDesonerado),2)</f>
        <v>0</v>
      </c>
      <c r="AH147" s="499">
        <f t="shared" ca="1" si="33"/>
        <v>0.22470000000000001</v>
      </c>
      <c r="AJ147" s="501">
        <v>3.22</v>
      </c>
      <c r="AL147" s="527"/>
      <c r="AM147" s="381">
        <f t="shared" ca="1" si="34"/>
        <v>0</v>
      </c>
      <c r="AN147" s="566">
        <f t="shared" ca="1" si="35"/>
        <v>0</v>
      </c>
    </row>
    <row r="148" spans="1:40" ht="51" x14ac:dyDescent="0.2">
      <c r="A148" t="str">
        <f t="shared" si="20"/>
        <v>S</v>
      </c>
      <c r="B148">
        <f t="shared" ca="1" si="21"/>
        <v>3</v>
      </c>
      <c r="C148" t="str">
        <f t="shared" ca="1" si="22"/>
        <v>S</v>
      </c>
      <c r="D148">
        <f t="shared" ca="1" si="23"/>
        <v>0</v>
      </c>
      <c r="E148">
        <f ca="1">IF($C148=1,OFFSET(E148,-1,0)+MAX(1,COUNTIF(QCI!$A$13:$A$24,OFFSET(ORÇAMENTO!E148,-1,0))),OFFSET(E148,-1,0))</f>
        <v>1</v>
      </c>
      <c r="F148">
        <f t="shared" ca="1" si="24"/>
        <v>6</v>
      </c>
      <c r="G148">
        <f t="shared" ca="1" si="25"/>
        <v>4</v>
      </c>
      <c r="H148">
        <f t="shared" ca="1" si="26"/>
        <v>0</v>
      </c>
      <c r="I148">
        <f t="shared" ca="1" si="27"/>
        <v>0</v>
      </c>
      <c r="J148">
        <f t="shared" ca="1" si="37"/>
        <v>0</v>
      </c>
      <c r="K148">
        <f ca="1">IF(OR($C148="S",$C148=0),0,MATCH(OFFSET($D148,0,$C148)+IF($C148&lt;&gt;1,1,COUNTIF(QCI!$A$13:$A$24,ORÇAMENTO!E148)),OFFSET($D148,1,$C148,ROW($C$747)-ROW($C148)),0))</f>
        <v>0</v>
      </c>
      <c r="L148" s="116" t="str">
        <f t="shared" ca="1" si="28"/>
        <v/>
      </c>
      <c r="M148" s="117" t="s">
        <v>199</v>
      </c>
      <c r="N148" s="118" t="str">
        <f t="shared" ca="1" si="29"/>
        <v>Serviço</v>
      </c>
      <c r="O148" s="119" t="str">
        <f t="shared" ca="1" si="30"/>
        <v>-</v>
      </c>
      <c r="P148" s="120" t="s">
        <v>712</v>
      </c>
      <c r="Q148" s="121" t="s">
        <v>741</v>
      </c>
      <c r="R148" s="122" t="str">
        <f ca="1">IF($C148="S",REFERENCIA.Descricao,"(digite a descrição aqui)")</f>
        <v>(abra o arquivo 'Referência 02-2025.xlsm)</v>
      </c>
      <c r="S148" s="123" t="str">
        <f ca="1">REFERENCIA.Unidade</f>
        <v>-</v>
      </c>
      <c r="T148" s="124">
        <f ca="1">OFFSET(CÁLCULO!H$15,ROW($T148)-ROW(T$15),0)</f>
        <v>2.0299999999999998</v>
      </c>
      <c r="U148" s="125">
        <f t="shared" ca="1" si="36"/>
        <v>0</v>
      </c>
      <c r="V148" s="126" t="s">
        <v>156</v>
      </c>
      <c r="W148" s="124">
        <f ca="1">IF($C148="S",ROUND(IF(TIPOORCAMENTO="Proposto",ORÇAMENTO.CustoUnitario*(1+$AH148),ORÇAMENTO.PrecoUnitarioLicitado),15-13*$AF$10),0)</f>
        <v>0</v>
      </c>
      <c r="X148" s="127">
        <f ca="1">IF($C148="S",IF(Import.TipoArredondamento&lt;&gt;"TransfereGOV",VTOTAL1,SUM(OFFSET(CÁLCULO!$AA$15,ROW($X148)-ROW($X$15),1):OFFSET(CÁLCULO!$AL$15,ROW($X148)-ROW($X$15),-1))),IF($C148=0,0,ROUND(SomaAgrup,15-13*$AF$11)))</f>
        <v>0</v>
      </c>
      <c r="Y148" s="128" t="s">
        <v>245</v>
      </c>
      <c r="Z148" t="str">
        <f t="shared" ca="1" si="31"/>
        <v/>
      </c>
      <c r="AA148" s="129">
        <f ca="1">IF($C148="S",IF($Z148="CP",$X148,IF($Z148="RA",(($X148)*QCI!$AA$3),0)),SomaAgrup)</f>
        <v>0</v>
      </c>
      <c r="AB148" s="130">
        <f t="shared" ca="1" si="32"/>
        <v>0</v>
      </c>
      <c r="AC148" s="131" t="str">
        <f ca="1">IF($N148="","",IF(ORÇAMENTO.Descricao="","DESCRIÇÃO",IF(AND($C148="S",ORÇAMENTO.Unidade=""),"UNIDADE",IF($X148&lt;0,"VALOR NEGATIVO",IF(OR(AND(TIPOORCAMENTO="Proposto",$AG148&lt;&gt;"",$AG148&gt;0,ORÇAMENTO.CustoUnitario&gt;$AG148),AND(TIPOORCAMENTO="LICITADO",ORÇAMENTO.PrecoUnitarioLicitado&gt;$AN148)),"ACIMA REF.","")))))</f>
        <v/>
      </c>
      <c r="AD148" t="str">
        <f ca="1">IF(C148&lt;=CRONO.NivelExibicao,MAX($AD$15:OFFSET(AD148,-1,0))+IF($C148&lt;&gt;1,1,MAX(1,COUNTIF(QCI!$A$13:$A$24,OFFSET($E148,-1,0)))),"")</f>
        <v/>
      </c>
      <c r="AE148" s="7" t="str">
        <f ca="1">IF(AND($C148="S",ORÇAMENTO.CodBarra&lt;&gt;""),IF(ORÇAMENTO.Fonte="",ORÇAMENTO.CodBarra,CONCATENATE(ORÇAMENTO.Fonte," ",ORÇAMENTO.CodBarra)))</f>
        <v xml:space="preserve">Composição FNDE 262 </v>
      </c>
      <c r="AF148" s="13" t="str">
        <f ca="1">IF(ISERROR(INDIRECT(ORÇAMENTO.BancoRef)),"(abra o arquivo 'Referência "&amp;Excel_BuiltIn_Database&amp;".xlsm)",IF(OR($C148&lt;&gt;"S",ORÇAMENTO.CodBarra=""),"(Sem Código)",IF(ISERROR(MATCH($AE148,INDIRECT(ORÇAMENTO.BancoRef),0)),"(Código não identificado nas referências)",MATCH($AE148,INDIRECT(ORÇAMENTO.BancoRef),0))))</f>
        <v>(abra o arquivo 'Referência 02-2025.xlsm)</v>
      </c>
      <c r="AG148" s="498">
        <f ca="1">ROUND(IF(DESONERACAO="sim",REFERENCIA.Desonerado,REFERENCIA.NaoDesonerado),2)</f>
        <v>0</v>
      </c>
      <c r="AH148" s="499">
        <f t="shared" ca="1" si="33"/>
        <v>0.22470000000000001</v>
      </c>
      <c r="AJ148" s="501">
        <v>2.0299999999999998</v>
      </c>
      <c r="AL148" s="527"/>
      <c r="AM148" s="381">
        <f t="shared" ca="1" si="34"/>
        <v>0</v>
      </c>
      <c r="AN148" s="566">
        <f t="shared" ca="1" si="35"/>
        <v>0</v>
      </c>
    </row>
    <row r="149" spans="1:40" ht="51" x14ac:dyDescent="0.2">
      <c r="A149" t="str">
        <f t="shared" si="20"/>
        <v>S</v>
      </c>
      <c r="B149">
        <f t="shared" ca="1" si="21"/>
        <v>3</v>
      </c>
      <c r="C149" t="str">
        <f t="shared" ca="1" si="22"/>
        <v>S</v>
      </c>
      <c r="D149">
        <f t="shared" ca="1" si="23"/>
        <v>0</v>
      </c>
      <c r="E149">
        <f ca="1">IF($C149=1,OFFSET(E149,-1,0)+MAX(1,COUNTIF(QCI!$A$13:$A$24,OFFSET(ORÇAMENTO!E149,-1,0))),OFFSET(E149,-1,0))</f>
        <v>1</v>
      </c>
      <c r="F149">
        <f t="shared" ca="1" si="24"/>
        <v>6</v>
      </c>
      <c r="G149">
        <f t="shared" ca="1" si="25"/>
        <v>4</v>
      </c>
      <c r="H149">
        <f t="shared" ca="1" si="26"/>
        <v>0</v>
      </c>
      <c r="I149">
        <f t="shared" ca="1" si="27"/>
        <v>0</v>
      </c>
      <c r="J149">
        <f t="shared" ca="1" si="37"/>
        <v>0</v>
      </c>
      <c r="K149">
        <f ca="1">IF(OR($C149="S",$C149=0),0,MATCH(OFFSET($D149,0,$C149)+IF($C149&lt;&gt;1,1,COUNTIF(QCI!$A$13:$A$24,ORÇAMENTO!E149)),OFFSET($D149,1,$C149,ROW($C$747)-ROW($C149)),0))</f>
        <v>0</v>
      </c>
      <c r="L149" s="116" t="str">
        <f t="shared" ca="1" si="28"/>
        <v/>
      </c>
      <c r="M149" s="117" t="s">
        <v>199</v>
      </c>
      <c r="N149" s="118" t="str">
        <f t="shared" ca="1" si="29"/>
        <v>Serviço</v>
      </c>
      <c r="O149" s="119" t="str">
        <f t="shared" ca="1" si="30"/>
        <v>-</v>
      </c>
      <c r="P149" s="120" t="s">
        <v>712</v>
      </c>
      <c r="Q149" s="121" t="s">
        <v>733</v>
      </c>
      <c r="R149" s="122" t="str">
        <f ca="1">IF($C149="S",REFERENCIA.Descricao,"(digite a descrição aqui)")</f>
        <v>(abra o arquivo 'Referência 02-2025.xlsm)</v>
      </c>
      <c r="S149" s="123" t="str">
        <f ca="1">REFERENCIA.Unidade</f>
        <v>-</v>
      </c>
      <c r="T149" s="124">
        <f ca="1">OFFSET(CÁLCULO!H$15,ROW($T149)-ROW(T$15),0)</f>
        <v>2.56</v>
      </c>
      <c r="U149" s="125">
        <f t="shared" ca="1" si="36"/>
        <v>0</v>
      </c>
      <c r="V149" s="126" t="s">
        <v>156</v>
      </c>
      <c r="W149" s="124">
        <f ca="1">IF($C149="S",ROUND(IF(TIPOORCAMENTO="Proposto",ORÇAMENTO.CustoUnitario*(1+$AH149),ORÇAMENTO.PrecoUnitarioLicitado),15-13*$AF$10),0)</f>
        <v>0</v>
      </c>
      <c r="X149" s="127">
        <f ca="1">IF($C149="S",IF(Import.TipoArredondamento&lt;&gt;"TransfereGOV",VTOTAL1,SUM(OFFSET(CÁLCULO!$AA$15,ROW($X149)-ROW($X$15),1):OFFSET(CÁLCULO!$AL$15,ROW($X149)-ROW($X$15),-1))),IF($C149=0,0,ROUND(SomaAgrup,15-13*$AF$11)))</f>
        <v>0</v>
      </c>
      <c r="Y149" s="128" t="s">
        <v>245</v>
      </c>
      <c r="Z149" t="str">
        <f t="shared" ca="1" si="31"/>
        <v/>
      </c>
      <c r="AA149" s="129">
        <f ca="1">IF($C149="S",IF($Z149="CP",$X149,IF($Z149="RA",(($X149)*QCI!$AA$3),0)),SomaAgrup)</f>
        <v>0</v>
      </c>
      <c r="AB149" s="130">
        <f t="shared" ca="1" si="32"/>
        <v>0</v>
      </c>
      <c r="AC149" s="131" t="str">
        <f ca="1">IF($N149="","",IF(ORÇAMENTO.Descricao="","DESCRIÇÃO",IF(AND($C149="S",ORÇAMENTO.Unidade=""),"UNIDADE",IF($X149&lt;0,"VALOR NEGATIVO",IF(OR(AND(TIPOORCAMENTO="Proposto",$AG149&lt;&gt;"",$AG149&gt;0,ORÇAMENTO.CustoUnitario&gt;$AG149),AND(TIPOORCAMENTO="LICITADO",ORÇAMENTO.PrecoUnitarioLicitado&gt;$AN149)),"ACIMA REF.","")))))</f>
        <v/>
      </c>
      <c r="AD149" t="str">
        <f ca="1">IF(C149&lt;=CRONO.NivelExibicao,MAX($AD$15:OFFSET(AD149,-1,0))+IF($C149&lt;&gt;1,1,MAX(1,COUNTIF(QCI!$A$13:$A$24,OFFSET($E149,-1,0)))),"")</f>
        <v/>
      </c>
      <c r="AE149" s="7" t="str">
        <f ca="1">IF(AND($C149="S",ORÇAMENTO.CodBarra&lt;&gt;""),IF(ORÇAMENTO.Fonte="",ORÇAMENTO.CodBarra,CONCATENATE(ORÇAMENTO.Fonte," ",ORÇAMENTO.CodBarra)))</f>
        <v>Composição FNDE 276</v>
      </c>
      <c r="AF149" s="13" t="str">
        <f ca="1">IF(ISERROR(INDIRECT(ORÇAMENTO.BancoRef)),"(abra o arquivo 'Referência "&amp;Excel_BuiltIn_Database&amp;".xlsm)",IF(OR($C149&lt;&gt;"S",ORÇAMENTO.CodBarra=""),"(Sem Código)",IF(ISERROR(MATCH($AE149,INDIRECT(ORÇAMENTO.BancoRef),0)),"(Código não identificado nas referências)",MATCH($AE149,INDIRECT(ORÇAMENTO.BancoRef),0))))</f>
        <v>(abra o arquivo 'Referência 02-2025.xlsm)</v>
      </c>
      <c r="AG149" s="498">
        <f ca="1">ROUND(IF(DESONERACAO="sim",REFERENCIA.Desonerado,REFERENCIA.NaoDesonerado),2)</f>
        <v>0</v>
      </c>
      <c r="AH149" s="499">
        <f t="shared" ca="1" si="33"/>
        <v>0.22470000000000001</v>
      </c>
      <c r="AJ149" s="501">
        <v>2.56</v>
      </c>
      <c r="AL149" s="527"/>
      <c r="AM149" s="381">
        <f t="shared" ca="1" si="34"/>
        <v>0</v>
      </c>
      <c r="AN149" s="566">
        <f t="shared" ca="1" si="35"/>
        <v>0</v>
      </c>
    </row>
    <row r="150" spans="1:40" ht="38.25" x14ac:dyDescent="0.2">
      <c r="A150" t="str">
        <f t="shared" si="20"/>
        <v>S</v>
      </c>
      <c r="B150">
        <f t="shared" ca="1" si="21"/>
        <v>3</v>
      </c>
      <c r="C150" t="str">
        <f t="shared" ca="1" si="22"/>
        <v>S</v>
      </c>
      <c r="D150">
        <f t="shared" ca="1" si="23"/>
        <v>0</v>
      </c>
      <c r="E150">
        <f ca="1">IF($C150=1,OFFSET(E150,-1,0)+MAX(1,COUNTIF(QCI!$A$13:$A$24,OFFSET(ORÇAMENTO!E150,-1,0))),OFFSET(E150,-1,0))</f>
        <v>1</v>
      </c>
      <c r="F150">
        <f t="shared" ca="1" si="24"/>
        <v>6</v>
      </c>
      <c r="G150">
        <f t="shared" ca="1" si="25"/>
        <v>4</v>
      </c>
      <c r="H150">
        <f t="shared" ca="1" si="26"/>
        <v>0</v>
      </c>
      <c r="I150">
        <f t="shared" ca="1" si="27"/>
        <v>0</v>
      </c>
      <c r="J150">
        <f t="shared" ca="1" si="37"/>
        <v>0</v>
      </c>
      <c r="K150">
        <f ca="1">IF(OR($C150="S",$C150=0),0,MATCH(OFFSET($D150,0,$C150)+IF($C150&lt;&gt;1,1,COUNTIF(QCI!$A$13:$A$24,ORÇAMENTO!E150)),OFFSET($D150,1,$C150,ROW($C$747)-ROW($C150)),0))</f>
        <v>0</v>
      </c>
      <c r="L150" s="116" t="str">
        <f t="shared" ca="1" si="28"/>
        <v/>
      </c>
      <c r="M150" s="117" t="s">
        <v>199</v>
      </c>
      <c r="N150" s="118" t="str">
        <f t="shared" ca="1" si="29"/>
        <v>Serviço</v>
      </c>
      <c r="O150" s="119" t="str">
        <f t="shared" ca="1" si="30"/>
        <v>-</v>
      </c>
      <c r="P150" s="120" t="s">
        <v>712</v>
      </c>
      <c r="Q150" s="121" t="s">
        <v>742</v>
      </c>
      <c r="R150" s="122" t="str">
        <f ca="1">IF($C150="S",REFERENCIA.Descricao,"(digite a descrição aqui)")</f>
        <v>(abra o arquivo 'Referência 02-2025.xlsm)</v>
      </c>
      <c r="S150" s="123" t="str">
        <f ca="1">REFERENCIA.Unidade</f>
        <v>-</v>
      </c>
      <c r="T150" s="124">
        <f ca="1">OFFSET(CÁLCULO!H$15,ROW($T150)-ROW(T$15),0)</f>
        <v>2.1</v>
      </c>
      <c r="U150" s="125">
        <f t="shared" ca="1" si="36"/>
        <v>0</v>
      </c>
      <c r="V150" s="126" t="s">
        <v>156</v>
      </c>
      <c r="W150" s="124">
        <f ca="1">IF($C150="S",ROUND(IF(TIPOORCAMENTO="Proposto",ORÇAMENTO.CustoUnitario*(1+$AH150),ORÇAMENTO.PrecoUnitarioLicitado),15-13*$AF$10),0)</f>
        <v>0</v>
      </c>
      <c r="X150" s="127">
        <f ca="1">IF($C150="S",IF(Import.TipoArredondamento&lt;&gt;"TransfereGOV",VTOTAL1,SUM(OFFSET(CÁLCULO!$AA$15,ROW($X150)-ROW($X$15),1):OFFSET(CÁLCULO!$AL$15,ROW($X150)-ROW($X$15),-1))),IF($C150=0,0,ROUND(SomaAgrup,15-13*$AF$11)))</f>
        <v>0</v>
      </c>
      <c r="Y150" s="128" t="s">
        <v>245</v>
      </c>
      <c r="Z150" t="str">
        <f t="shared" ca="1" si="31"/>
        <v/>
      </c>
      <c r="AA150" s="129">
        <f ca="1">IF($C150="S",IF($Z150="CP",$X150,IF($Z150="RA",(($X150)*QCI!$AA$3),0)),SomaAgrup)</f>
        <v>0</v>
      </c>
      <c r="AB150" s="130">
        <f t="shared" ca="1" si="32"/>
        <v>0</v>
      </c>
      <c r="AC150" s="131" t="str">
        <f ca="1">IF($N150="","",IF(ORÇAMENTO.Descricao="","DESCRIÇÃO",IF(AND($C150="S",ORÇAMENTO.Unidade=""),"UNIDADE",IF($X150&lt;0,"VALOR NEGATIVO",IF(OR(AND(TIPOORCAMENTO="Proposto",$AG150&lt;&gt;"",$AG150&gt;0,ORÇAMENTO.CustoUnitario&gt;$AG150),AND(TIPOORCAMENTO="LICITADO",ORÇAMENTO.PrecoUnitarioLicitado&gt;$AN150)),"ACIMA REF.","")))))</f>
        <v/>
      </c>
      <c r="AD150" t="str">
        <f ca="1">IF(C150&lt;=CRONO.NivelExibicao,MAX($AD$15:OFFSET(AD150,-1,0))+IF($C150&lt;&gt;1,1,MAX(1,COUNTIF(QCI!$A$13:$A$24,OFFSET($E150,-1,0)))),"")</f>
        <v/>
      </c>
      <c r="AE150" s="7" t="str">
        <f ca="1">IF(AND($C150="S",ORÇAMENTO.CodBarra&lt;&gt;""),IF(ORÇAMENTO.Fonte="",ORÇAMENTO.CodBarra,CONCATENATE(ORÇAMENTO.Fonte," ",ORÇAMENTO.CodBarra)))</f>
        <v xml:space="preserve">Composição FNDE 263 </v>
      </c>
      <c r="AF150" s="13" t="str">
        <f ca="1">IF(ISERROR(INDIRECT(ORÇAMENTO.BancoRef)),"(abra o arquivo 'Referência "&amp;Excel_BuiltIn_Database&amp;".xlsm)",IF(OR($C150&lt;&gt;"S",ORÇAMENTO.CodBarra=""),"(Sem Código)",IF(ISERROR(MATCH($AE150,INDIRECT(ORÇAMENTO.BancoRef),0)),"(Código não identificado nas referências)",MATCH($AE150,INDIRECT(ORÇAMENTO.BancoRef),0))))</f>
        <v>(abra o arquivo 'Referência 02-2025.xlsm)</v>
      </c>
      <c r="AG150" s="498">
        <f ca="1">ROUND(IF(DESONERACAO="sim",REFERENCIA.Desonerado,REFERENCIA.NaoDesonerado),2)</f>
        <v>0</v>
      </c>
      <c r="AH150" s="499">
        <f t="shared" ca="1" si="33"/>
        <v>0.22470000000000001</v>
      </c>
      <c r="AJ150" s="501">
        <v>2.1</v>
      </c>
      <c r="AL150" s="527"/>
      <c r="AM150" s="381">
        <f t="shared" ca="1" si="34"/>
        <v>0</v>
      </c>
      <c r="AN150" s="566">
        <f t="shared" ca="1" si="35"/>
        <v>0</v>
      </c>
    </row>
    <row r="151" spans="1:40" ht="38.25" x14ac:dyDescent="0.2">
      <c r="A151" t="str">
        <f t="shared" ref="A151:A217" si="38">CHOOSE(1+LOG(1+2*(ORÇAMENTO.Nivel="Meta")+4*(ORÇAMENTO.Nivel="Nível 2")+8*(ORÇAMENTO.Nivel="Nível 3")+16*(ORÇAMENTO.Nivel="Nível 4")+32*(ORÇAMENTO.Nivel="Serviço"),2),0,1,2,3,4,"S")</f>
        <v>S</v>
      </c>
      <c r="B151">
        <f t="shared" ref="B151:B217" ca="1" si="39">IF(OR(C151="s",C151=0),OFFSET(B151,-1,0),C151)</f>
        <v>3</v>
      </c>
      <c r="C151" t="str">
        <f t="shared" ref="C151:C217" ca="1" si="40">IF(OFFSET(C151,-1,0)="L",1,IF(OFFSET(C151,-1,0)=1,2,IF(OR(A151="s",A151=0),"S",IF(AND(OFFSET(C151,-1,0)=2,A151=4),3,IF(AND(OR(OFFSET(C151,-1,0)="s",OFFSET(C151,-1,0)=0),A151&lt;&gt;"s",A151&gt;OFFSET(B151,-1,0)),OFFSET(B151,-1,0),A151)))))</f>
        <v>S</v>
      </c>
      <c r="D151">
        <f t="shared" ref="D151:D217" ca="1" si="41">IF(OR(C151="S",C151=0),0,IF(ISERROR(K151),J151,SMALL(J151:K151,1)))</f>
        <v>0</v>
      </c>
      <c r="E151">
        <f ca="1">IF($C151=1,OFFSET(E151,-1,0)+MAX(1,COUNTIF(QCI!$A$13:$A$24,OFFSET(ORÇAMENTO!E151,-1,0))),OFFSET(E151,-1,0))</f>
        <v>1</v>
      </c>
      <c r="F151">
        <f t="shared" ref="F151:F217" ca="1" si="42">IF($C151=1,0,IF($C151=2,OFFSET(F151,-1,0)+1,OFFSET(F151,-1,0)))</f>
        <v>6</v>
      </c>
      <c r="G151">
        <f t="shared" ref="G151:G217" ca="1" si="43">IF(AND($C151&lt;=2,$C151&lt;&gt;0),0,IF($C151=3,OFFSET(G151,-1,0)+1,OFFSET(G151,-1,0)))</f>
        <v>4</v>
      </c>
      <c r="H151">
        <f t="shared" ref="H151:H217" ca="1" si="44">IF(AND($C151&lt;=3,$C151&lt;&gt;0),0,IF($C151=4,OFFSET(H151,-1,0)+1,OFFSET(H151,-1,0)))</f>
        <v>0</v>
      </c>
      <c r="I151">
        <f t="shared" ref="I151:I217" ca="1" si="45">IF(AND($C151&lt;=4,$C151&lt;&gt;0),0,IF(AND($C151="S",$X151&gt;0),OFFSET(I151,-1,0)+1,OFFSET(I151,-1,0)))</f>
        <v>0</v>
      </c>
      <c r="J151">
        <f t="shared" ca="1" si="37"/>
        <v>0</v>
      </c>
      <c r="K151">
        <f ca="1">IF(OR($C151="S",$C151=0),0,MATCH(OFFSET($D151,0,$C151)+IF($C151&lt;&gt;1,1,COUNTIF(QCI!$A$13:$A$24,ORÇAMENTO!E151)),OFFSET($D151,1,$C151,ROW($C$747)-ROW($C151)),0))</f>
        <v>0</v>
      </c>
      <c r="L151" s="116" t="str">
        <f t="shared" ref="L151:L217" ca="1" si="46">IF(OR($X151&gt;0,$C151=1,$C151=2,$C151=3,$C151=4),"F","")</f>
        <v/>
      </c>
      <c r="M151" s="117" t="s">
        <v>199</v>
      </c>
      <c r="N151" s="118" t="str">
        <f t="shared" ref="N151:N217" ca="1" si="47">CHOOSE(1+LOG(1+2*(C151=1)+4*(C151=2)+8*(C151=3)+16*(C151=4)+32*(C151="S"),2),"","Meta","Nível 2","Nível 3","Nível 4","Serviço")</f>
        <v>Serviço</v>
      </c>
      <c r="O151" s="119" t="str">
        <f t="shared" ref="O151:O217" ca="1" si="48">IF(OR($C151=0,$L151=""),"-",CONCATENATE(E151&amp;".",IF(AND($A$5&gt;=2,$C151&gt;=2),F151&amp;".",""),IF(AND($A$5&gt;=3,$C151&gt;=3),G151&amp;".",""),IF(AND($A$5&gt;=4,$C151&gt;=4),H151&amp;".",""),IF($C151="S",I151&amp;".","")))</f>
        <v>-</v>
      </c>
      <c r="P151" s="120" t="s">
        <v>712</v>
      </c>
      <c r="Q151" s="121" t="s">
        <v>734</v>
      </c>
      <c r="R151" s="122" t="str">
        <f ca="1">IF($C151="S",REFERENCIA.Descricao,"(digite a descrição aqui)")</f>
        <v>(abra o arquivo 'Referência 02-2025.xlsm)</v>
      </c>
      <c r="S151" s="123" t="str">
        <f ca="1">REFERENCIA.Unidade</f>
        <v>-</v>
      </c>
      <c r="T151" s="124">
        <f ca="1">OFFSET(CÁLCULO!H$15,ROW($T151)-ROW(T$15),0)</f>
        <v>11.03</v>
      </c>
      <c r="U151" s="125">
        <f t="shared" ca="1" si="36"/>
        <v>0</v>
      </c>
      <c r="V151" s="126" t="s">
        <v>156</v>
      </c>
      <c r="W151" s="124">
        <f ca="1">IF($C151="S",ROUND(IF(TIPOORCAMENTO="Proposto",ORÇAMENTO.CustoUnitario*(1+$AH151),ORÇAMENTO.PrecoUnitarioLicitado),15-13*$AF$10),0)</f>
        <v>0</v>
      </c>
      <c r="X151" s="127">
        <f ca="1">IF($C151="S",IF(Import.TipoArredondamento&lt;&gt;"TransfereGOV",VTOTAL1,SUM(OFFSET(CÁLCULO!$AA$15,ROW($X151)-ROW($X$15),1):OFFSET(CÁLCULO!$AL$15,ROW($X151)-ROW($X$15),-1))),IF($C151=0,0,ROUND(SomaAgrup,15-13*$AF$11)))</f>
        <v>0</v>
      </c>
      <c r="Y151" s="128" t="s">
        <v>245</v>
      </c>
      <c r="Z151" t="str">
        <f t="shared" ref="Z151:Z217" ca="1" si="49">IF(AND($C151="S",$X151&gt;0),IF(ISBLANK($Y151),"RA",LEFT($Y151,2)),"")</f>
        <v/>
      </c>
      <c r="AA151" s="129">
        <f ca="1">IF($C151="S",IF($Z151="CP",$X151,IF($Z151="RA",(($X151)*QCI!$AA$3),0)),SomaAgrup)</f>
        <v>0</v>
      </c>
      <c r="AB151" s="130">
        <f t="shared" ref="AB151:AB217" ca="1" si="50">IF($C151="S",IF($Z151="OU",ROUND($X151,2),0),SomaAgrup)</f>
        <v>0</v>
      </c>
      <c r="AC151" s="131" t="str">
        <f ca="1">IF($N151="","",IF(ORÇAMENTO.Descricao="","DESCRIÇÃO",IF(AND($C151="S",ORÇAMENTO.Unidade=""),"UNIDADE",IF($X151&lt;0,"VALOR NEGATIVO",IF(OR(AND(TIPOORCAMENTO="Proposto",$AG151&lt;&gt;"",$AG151&gt;0,ORÇAMENTO.CustoUnitario&gt;$AG151),AND(TIPOORCAMENTO="LICITADO",ORÇAMENTO.PrecoUnitarioLicitado&gt;$AN151)),"ACIMA REF.","")))))</f>
        <v/>
      </c>
      <c r="AD151" t="str">
        <f ca="1">IF(C151&lt;=CRONO.NivelExibicao,MAX($AD$15:OFFSET(AD151,-1,0))+IF($C151&lt;&gt;1,1,MAX(1,COUNTIF(QCI!$A$13:$A$24,OFFSET($E151,-1,0)))),"")</f>
        <v/>
      </c>
      <c r="AE151" s="7" t="str">
        <f ca="1">IF(AND($C151="S",ORÇAMENTO.CodBarra&lt;&gt;""),IF(ORÇAMENTO.Fonte="",ORÇAMENTO.CodBarra,CONCATENATE(ORÇAMENTO.Fonte," ",ORÇAMENTO.CodBarra)))</f>
        <v>Composição FNDE 264</v>
      </c>
      <c r="AF151" s="13" t="str">
        <f ca="1">IF(ISERROR(INDIRECT(ORÇAMENTO.BancoRef)),"(abra o arquivo 'Referência "&amp;Excel_BuiltIn_Database&amp;".xlsm)",IF(OR($C151&lt;&gt;"S",ORÇAMENTO.CodBarra=""),"(Sem Código)",IF(ISERROR(MATCH($AE151,INDIRECT(ORÇAMENTO.BancoRef),0)),"(Código não identificado nas referências)",MATCH($AE151,INDIRECT(ORÇAMENTO.BancoRef),0))))</f>
        <v>(abra o arquivo 'Referência 02-2025.xlsm)</v>
      </c>
      <c r="AG151" s="498">
        <f ca="1">ROUND(IF(DESONERACAO="sim",REFERENCIA.Desonerado,REFERENCIA.NaoDesonerado),2)</f>
        <v>0</v>
      </c>
      <c r="AH151" s="499">
        <f t="shared" ref="AH151:AH217" ca="1" si="51">ROUND(IF(ISNUMBER(ORÇAMENTO.OpcaoBDI),ORÇAMENTO.OpcaoBDI,IF(LEFT(ORÇAMENTO.OpcaoBDI,3)="BDI",HLOOKUP(ORÇAMENTO.OpcaoBDI,$F$4:$H$5,2,FALSE),0)),15-11*$AF$9)</f>
        <v>0.22470000000000001</v>
      </c>
      <c r="AJ151" s="501">
        <v>11.03</v>
      </c>
      <c r="AL151" s="527"/>
      <c r="AM151" s="381">
        <f t="shared" ref="AM151:AM217" ca="1" si="52">$X151</f>
        <v>0</v>
      </c>
      <c r="AN151" s="566">
        <f t="shared" ref="AN151:AN217" ca="1" si="53">ROUND(ORÇAMENTO.CustoUnitario*(1+$AH151),2)</f>
        <v>0</v>
      </c>
    </row>
    <row r="152" spans="1:40" ht="38.25" x14ac:dyDescent="0.2">
      <c r="A152" t="str">
        <f t="shared" si="38"/>
        <v>S</v>
      </c>
      <c r="B152">
        <f t="shared" ca="1" si="39"/>
        <v>3</v>
      </c>
      <c r="C152" t="str">
        <f t="shared" ca="1" si="40"/>
        <v>S</v>
      </c>
      <c r="D152">
        <f t="shared" ca="1" si="41"/>
        <v>0</v>
      </c>
      <c r="E152">
        <f ca="1">IF($C152=1,OFFSET(E152,-1,0)+MAX(1,COUNTIF(QCI!$A$13:$A$24,OFFSET(ORÇAMENTO!E152,-1,0))),OFFSET(E152,-1,0))</f>
        <v>1</v>
      </c>
      <c r="F152">
        <f t="shared" ca="1" si="42"/>
        <v>6</v>
      </c>
      <c r="G152">
        <f t="shared" ca="1" si="43"/>
        <v>4</v>
      </c>
      <c r="H152">
        <f t="shared" ca="1" si="44"/>
        <v>0</v>
      </c>
      <c r="I152">
        <f t="shared" ca="1" si="45"/>
        <v>0</v>
      </c>
      <c r="J152">
        <f t="shared" ca="1" si="37"/>
        <v>0</v>
      </c>
      <c r="K152">
        <f ca="1">IF(OR($C152="S",$C152=0),0,MATCH(OFFSET($D152,0,$C152)+IF($C152&lt;&gt;1,1,COUNTIF(QCI!$A$13:$A$24,ORÇAMENTO!E152)),OFFSET($D152,1,$C152,ROW($C$747)-ROW($C152)),0))</f>
        <v>0</v>
      </c>
      <c r="L152" s="116" t="str">
        <f t="shared" ca="1" si="46"/>
        <v/>
      </c>
      <c r="M152" s="117" t="s">
        <v>199</v>
      </c>
      <c r="N152" s="118" t="str">
        <f t="shared" ca="1" si="47"/>
        <v>Serviço</v>
      </c>
      <c r="O152" s="119" t="str">
        <f t="shared" ca="1" si="48"/>
        <v>-</v>
      </c>
      <c r="P152" s="120" t="s">
        <v>712</v>
      </c>
      <c r="Q152" s="121" t="s">
        <v>735</v>
      </c>
      <c r="R152" s="122" t="str">
        <f ca="1">IF($C152="S",REFERENCIA.Descricao,"(digite a descrição aqui)")</f>
        <v>(abra o arquivo 'Referência 02-2025.xlsm)</v>
      </c>
      <c r="S152" s="123" t="str">
        <f ca="1">REFERENCIA.Unidade</f>
        <v>-</v>
      </c>
      <c r="T152" s="124">
        <f ca="1">OFFSET(CÁLCULO!H$15,ROW($T152)-ROW(T$15),0)</f>
        <v>6.3</v>
      </c>
      <c r="U152" s="125">
        <f t="shared" ca="1" si="36"/>
        <v>0</v>
      </c>
      <c r="V152" s="126" t="s">
        <v>156</v>
      </c>
      <c r="W152" s="124">
        <f ca="1">IF($C152="S",ROUND(IF(TIPOORCAMENTO="Proposto",ORÇAMENTO.CustoUnitario*(1+$AH152),ORÇAMENTO.PrecoUnitarioLicitado),15-13*$AF$10),0)</f>
        <v>0</v>
      </c>
      <c r="X152" s="127">
        <f ca="1">IF($C152="S",IF(Import.TipoArredondamento&lt;&gt;"TransfereGOV",VTOTAL1,SUM(OFFSET(CÁLCULO!$AA$15,ROW($X152)-ROW($X$15),1):OFFSET(CÁLCULO!$AL$15,ROW($X152)-ROW($X$15),-1))),IF($C152=0,0,ROUND(SomaAgrup,15-13*$AF$11)))</f>
        <v>0</v>
      </c>
      <c r="Y152" s="128" t="s">
        <v>245</v>
      </c>
      <c r="Z152" t="str">
        <f t="shared" ca="1" si="49"/>
        <v/>
      </c>
      <c r="AA152" s="129">
        <f ca="1">IF($C152="S",IF($Z152="CP",$X152,IF($Z152="RA",(($X152)*QCI!$AA$3),0)),SomaAgrup)</f>
        <v>0</v>
      </c>
      <c r="AB152" s="130">
        <f t="shared" ca="1" si="50"/>
        <v>0</v>
      </c>
      <c r="AC152" s="131" t="str">
        <f ca="1">IF($N152="","",IF(ORÇAMENTO.Descricao="","DESCRIÇÃO",IF(AND($C152="S",ORÇAMENTO.Unidade=""),"UNIDADE",IF($X152&lt;0,"VALOR NEGATIVO",IF(OR(AND(TIPOORCAMENTO="Proposto",$AG152&lt;&gt;"",$AG152&gt;0,ORÇAMENTO.CustoUnitario&gt;$AG152),AND(TIPOORCAMENTO="LICITADO",ORÇAMENTO.PrecoUnitarioLicitado&gt;$AN152)),"ACIMA REF.","")))))</f>
        <v/>
      </c>
      <c r="AD152" t="str">
        <f ca="1">IF(C152&lt;=CRONO.NivelExibicao,MAX($AD$15:OFFSET(AD152,-1,0))+IF($C152&lt;&gt;1,1,MAX(1,COUNTIF(QCI!$A$13:$A$24,OFFSET($E152,-1,0)))),"")</f>
        <v/>
      </c>
      <c r="AE152" s="7" t="str">
        <f ca="1">IF(AND($C152="S",ORÇAMENTO.CodBarra&lt;&gt;""),IF(ORÇAMENTO.Fonte="",ORÇAMENTO.CodBarra,CONCATENATE(ORÇAMENTO.Fonte," ",ORÇAMENTO.CodBarra)))</f>
        <v>Composição FNDE 268</v>
      </c>
      <c r="AF152" s="13" t="str">
        <f ca="1">IF(ISERROR(INDIRECT(ORÇAMENTO.BancoRef)),"(abra o arquivo 'Referência "&amp;Excel_BuiltIn_Database&amp;".xlsm)",IF(OR($C152&lt;&gt;"S",ORÇAMENTO.CodBarra=""),"(Sem Código)",IF(ISERROR(MATCH($AE152,INDIRECT(ORÇAMENTO.BancoRef),0)),"(Código não identificado nas referências)",MATCH($AE152,INDIRECT(ORÇAMENTO.BancoRef),0))))</f>
        <v>(abra o arquivo 'Referência 02-2025.xlsm)</v>
      </c>
      <c r="AG152" s="498">
        <f ca="1">ROUND(IF(DESONERACAO="sim",REFERENCIA.Desonerado,REFERENCIA.NaoDesonerado),2)</f>
        <v>0</v>
      </c>
      <c r="AH152" s="499">
        <f t="shared" ca="1" si="51"/>
        <v>0.22470000000000001</v>
      </c>
      <c r="AJ152" s="501">
        <v>6.3</v>
      </c>
      <c r="AL152" s="527"/>
      <c r="AM152" s="381">
        <f t="shared" ca="1" si="52"/>
        <v>0</v>
      </c>
      <c r="AN152" s="566">
        <f t="shared" ca="1" si="53"/>
        <v>0</v>
      </c>
    </row>
    <row r="153" spans="1:40" ht="38.25" x14ac:dyDescent="0.2">
      <c r="A153" t="str">
        <f t="shared" si="38"/>
        <v>S</v>
      </c>
      <c r="B153">
        <f t="shared" ca="1" si="39"/>
        <v>3</v>
      </c>
      <c r="C153" t="str">
        <f t="shared" ca="1" si="40"/>
        <v>S</v>
      </c>
      <c r="D153">
        <f t="shared" ca="1" si="41"/>
        <v>0</v>
      </c>
      <c r="E153">
        <f ca="1">IF($C153=1,OFFSET(E153,-1,0)+MAX(1,COUNTIF(QCI!$A$13:$A$24,OFFSET(ORÇAMENTO!E153,-1,0))),OFFSET(E153,-1,0))</f>
        <v>1</v>
      </c>
      <c r="F153">
        <f t="shared" ca="1" si="42"/>
        <v>6</v>
      </c>
      <c r="G153">
        <f t="shared" ca="1" si="43"/>
        <v>4</v>
      </c>
      <c r="H153">
        <f t="shared" ca="1" si="44"/>
        <v>0</v>
      </c>
      <c r="I153">
        <f t="shared" ca="1" si="45"/>
        <v>0</v>
      </c>
      <c r="J153">
        <f t="shared" ca="1" si="37"/>
        <v>0</v>
      </c>
      <c r="K153">
        <f ca="1">IF(OR($C153="S",$C153=0),0,MATCH(OFFSET($D153,0,$C153)+IF($C153&lt;&gt;1,1,COUNTIF(QCI!$A$13:$A$24,ORÇAMENTO!E153)),OFFSET($D153,1,$C153,ROW($C$747)-ROW($C153)),0))</f>
        <v>0</v>
      </c>
      <c r="L153" s="116" t="str">
        <f t="shared" ca="1" si="46"/>
        <v/>
      </c>
      <c r="M153" s="117" t="s">
        <v>199</v>
      </c>
      <c r="N153" s="118" t="str">
        <f t="shared" ca="1" si="47"/>
        <v>Serviço</v>
      </c>
      <c r="O153" s="119" t="str">
        <f t="shared" ca="1" si="48"/>
        <v>-</v>
      </c>
      <c r="P153" s="120" t="s">
        <v>712</v>
      </c>
      <c r="Q153" s="121" t="s">
        <v>736</v>
      </c>
      <c r="R153" s="122" t="str">
        <f ca="1">IF($C153="S",REFERENCIA.Descricao,"(digite a descrição aqui)")</f>
        <v>(abra o arquivo 'Referência 02-2025.xlsm)</v>
      </c>
      <c r="S153" s="123" t="str">
        <f ca="1">REFERENCIA.Unidade</f>
        <v>-</v>
      </c>
      <c r="T153" s="124">
        <f ca="1">OFFSET(CÁLCULO!H$15,ROW($T153)-ROW(T$15),0)</f>
        <v>18.899999999999999</v>
      </c>
      <c r="U153" s="125">
        <f t="shared" ca="1" si="36"/>
        <v>0</v>
      </c>
      <c r="V153" s="126" t="s">
        <v>156</v>
      </c>
      <c r="W153" s="124">
        <f ca="1">IF($C153="S",ROUND(IF(TIPOORCAMENTO="Proposto",ORÇAMENTO.CustoUnitario*(1+$AH153),ORÇAMENTO.PrecoUnitarioLicitado),15-13*$AF$10),0)</f>
        <v>0</v>
      </c>
      <c r="X153" s="127">
        <f ca="1">IF($C153="S",IF(Import.TipoArredondamento&lt;&gt;"TransfereGOV",VTOTAL1,SUM(OFFSET(CÁLCULO!$AA$15,ROW($X153)-ROW($X$15),1):OFFSET(CÁLCULO!$AL$15,ROW($X153)-ROW($X$15),-1))),IF($C153=0,0,ROUND(SomaAgrup,15-13*$AF$11)))</f>
        <v>0</v>
      </c>
      <c r="Y153" s="128" t="s">
        <v>245</v>
      </c>
      <c r="Z153" t="str">
        <f t="shared" ca="1" si="49"/>
        <v/>
      </c>
      <c r="AA153" s="129">
        <f ca="1">IF($C153="S",IF($Z153="CP",$X153,IF($Z153="RA",(($X153)*QCI!$AA$3),0)),SomaAgrup)</f>
        <v>0</v>
      </c>
      <c r="AB153" s="130">
        <f t="shared" ca="1" si="50"/>
        <v>0</v>
      </c>
      <c r="AC153" s="131" t="str">
        <f ca="1">IF($N153="","",IF(ORÇAMENTO.Descricao="","DESCRIÇÃO",IF(AND($C153="S",ORÇAMENTO.Unidade=""),"UNIDADE",IF($X153&lt;0,"VALOR NEGATIVO",IF(OR(AND(TIPOORCAMENTO="Proposto",$AG153&lt;&gt;"",$AG153&gt;0,ORÇAMENTO.CustoUnitario&gt;$AG153),AND(TIPOORCAMENTO="LICITADO",ORÇAMENTO.PrecoUnitarioLicitado&gt;$AN153)),"ACIMA REF.","")))))</f>
        <v/>
      </c>
      <c r="AD153" t="str">
        <f ca="1">IF(C153&lt;=CRONO.NivelExibicao,MAX($AD$15:OFFSET(AD153,-1,0))+IF($C153&lt;&gt;1,1,MAX(1,COUNTIF(QCI!$A$13:$A$24,OFFSET($E153,-1,0)))),"")</f>
        <v/>
      </c>
      <c r="AE153" s="7" t="str">
        <f ca="1">IF(AND($C153="S",ORÇAMENTO.CodBarra&lt;&gt;""),IF(ORÇAMENTO.Fonte="",ORÇAMENTO.CodBarra,CONCATENATE(ORÇAMENTO.Fonte," ",ORÇAMENTO.CodBarra)))</f>
        <v>Composição FNDE 265</v>
      </c>
      <c r="AF153" s="13" t="str">
        <f ca="1">IF(ISERROR(INDIRECT(ORÇAMENTO.BancoRef)),"(abra o arquivo 'Referência "&amp;Excel_BuiltIn_Database&amp;".xlsm)",IF(OR($C153&lt;&gt;"S",ORÇAMENTO.CodBarra=""),"(Sem Código)",IF(ISERROR(MATCH($AE153,INDIRECT(ORÇAMENTO.BancoRef),0)),"(Código não identificado nas referências)",MATCH($AE153,INDIRECT(ORÇAMENTO.BancoRef),0))))</f>
        <v>(abra o arquivo 'Referência 02-2025.xlsm)</v>
      </c>
      <c r="AG153" s="498">
        <f ca="1">ROUND(IF(DESONERACAO="sim",REFERENCIA.Desonerado,REFERENCIA.NaoDesonerado),2)</f>
        <v>0</v>
      </c>
      <c r="AH153" s="499">
        <f t="shared" ca="1" si="51"/>
        <v>0.22470000000000001</v>
      </c>
      <c r="AJ153" s="501">
        <v>18.899999999999999</v>
      </c>
      <c r="AL153" s="527"/>
      <c r="AM153" s="381">
        <f t="shared" ca="1" si="52"/>
        <v>0</v>
      </c>
      <c r="AN153" s="566">
        <f t="shared" ca="1" si="53"/>
        <v>0</v>
      </c>
    </row>
    <row r="154" spans="1:40" ht="38.25" x14ac:dyDescent="0.2">
      <c r="A154" t="str">
        <f t="shared" si="38"/>
        <v>S</v>
      </c>
      <c r="B154">
        <f t="shared" ca="1" si="39"/>
        <v>3</v>
      </c>
      <c r="C154" t="str">
        <f t="shared" ca="1" si="40"/>
        <v>S</v>
      </c>
      <c r="D154">
        <f t="shared" ca="1" si="41"/>
        <v>0</v>
      </c>
      <c r="E154">
        <f ca="1">IF($C154=1,OFFSET(E154,-1,0)+MAX(1,COUNTIF(QCI!$A$13:$A$24,OFFSET(ORÇAMENTO!E154,-1,0))),OFFSET(E154,-1,0))</f>
        <v>1</v>
      </c>
      <c r="F154">
        <f t="shared" ca="1" si="42"/>
        <v>6</v>
      </c>
      <c r="G154">
        <f t="shared" ca="1" si="43"/>
        <v>4</v>
      </c>
      <c r="H154">
        <f t="shared" ca="1" si="44"/>
        <v>0</v>
      </c>
      <c r="I154">
        <f t="shared" ca="1" si="45"/>
        <v>0</v>
      </c>
      <c r="J154">
        <f t="shared" ca="1" si="37"/>
        <v>0</v>
      </c>
      <c r="K154">
        <f ca="1">IF(OR($C154="S",$C154=0),0,MATCH(OFFSET($D154,0,$C154)+IF($C154&lt;&gt;1,1,COUNTIF(QCI!$A$13:$A$24,ORÇAMENTO!E154)),OFFSET($D154,1,$C154,ROW($C$747)-ROW($C154)),0))</f>
        <v>0</v>
      </c>
      <c r="L154" s="116" t="str">
        <f t="shared" ca="1" si="46"/>
        <v/>
      </c>
      <c r="M154" s="117" t="s">
        <v>199</v>
      </c>
      <c r="N154" s="118" t="str">
        <f t="shared" ca="1" si="47"/>
        <v>Serviço</v>
      </c>
      <c r="O154" s="119" t="str">
        <f t="shared" ca="1" si="48"/>
        <v>-</v>
      </c>
      <c r="P154" s="120" t="s">
        <v>712</v>
      </c>
      <c r="Q154" s="121" t="s">
        <v>743</v>
      </c>
      <c r="R154" s="122" t="str">
        <f ca="1">IF($C154="S",REFERENCIA.Descricao,"(digite a descrição aqui)")</f>
        <v>(abra o arquivo 'Referência 02-2025.xlsm)</v>
      </c>
      <c r="S154" s="123" t="str">
        <f ca="1">REFERENCIA.Unidade</f>
        <v>-</v>
      </c>
      <c r="T154" s="124">
        <f ca="1">OFFSET(CÁLCULO!H$15,ROW($T154)-ROW(T$15),0)</f>
        <v>2.1</v>
      </c>
      <c r="U154" s="125">
        <f t="shared" ref="U154:U220" ca="1" si="54">AG154</f>
        <v>0</v>
      </c>
      <c r="V154" s="126" t="s">
        <v>156</v>
      </c>
      <c r="W154" s="124">
        <f ca="1">IF($C154="S",ROUND(IF(TIPOORCAMENTO="Proposto",ORÇAMENTO.CustoUnitario*(1+$AH154),ORÇAMENTO.PrecoUnitarioLicitado),15-13*$AF$10),0)</f>
        <v>0</v>
      </c>
      <c r="X154" s="127">
        <f ca="1">IF($C154="S",IF(Import.TipoArredondamento&lt;&gt;"TransfereGOV",VTOTAL1,SUM(OFFSET(CÁLCULO!$AA$15,ROW($X154)-ROW($X$15),1):OFFSET(CÁLCULO!$AL$15,ROW($X154)-ROW($X$15),-1))),IF($C154=0,0,ROUND(SomaAgrup,15-13*$AF$11)))</f>
        <v>0</v>
      </c>
      <c r="Y154" s="128" t="s">
        <v>245</v>
      </c>
      <c r="Z154" t="str">
        <f t="shared" ca="1" si="49"/>
        <v/>
      </c>
      <c r="AA154" s="129">
        <f ca="1">IF($C154="S",IF($Z154="CP",$X154,IF($Z154="RA",(($X154)*QCI!$AA$3),0)),SomaAgrup)</f>
        <v>0</v>
      </c>
      <c r="AB154" s="130">
        <f t="shared" ca="1" si="50"/>
        <v>0</v>
      </c>
      <c r="AC154" s="131" t="str">
        <f ca="1">IF($N154="","",IF(ORÇAMENTO.Descricao="","DESCRIÇÃO",IF(AND($C154="S",ORÇAMENTO.Unidade=""),"UNIDADE",IF($X154&lt;0,"VALOR NEGATIVO",IF(OR(AND(TIPOORCAMENTO="Proposto",$AG154&lt;&gt;"",$AG154&gt;0,ORÇAMENTO.CustoUnitario&gt;$AG154),AND(TIPOORCAMENTO="LICITADO",ORÇAMENTO.PrecoUnitarioLicitado&gt;$AN154)),"ACIMA REF.","")))))</f>
        <v/>
      </c>
      <c r="AD154" t="str">
        <f ca="1">IF(C154&lt;=CRONO.NivelExibicao,MAX($AD$15:OFFSET(AD154,-1,0))+IF($C154&lt;&gt;1,1,MAX(1,COUNTIF(QCI!$A$13:$A$24,OFFSET($E154,-1,0)))),"")</f>
        <v/>
      </c>
      <c r="AE154" s="7" t="str">
        <f ca="1">IF(AND($C154="S",ORÇAMENTO.CodBarra&lt;&gt;""),IF(ORÇAMENTO.Fonte="",ORÇAMENTO.CodBarra,CONCATENATE(ORÇAMENTO.Fonte," ",ORÇAMENTO.CodBarra)))</f>
        <v xml:space="preserve">Composição FNDE 269 </v>
      </c>
      <c r="AF154" s="13" t="str">
        <f ca="1">IF(ISERROR(INDIRECT(ORÇAMENTO.BancoRef)),"(abra o arquivo 'Referência "&amp;Excel_BuiltIn_Database&amp;".xlsm)",IF(OR($C154&lt;&gt;"S",ORÇAMENTO.CodBarra=""),"(Sem Código)",IF(ISERROR(MATCH($AE154,INDIRECT(ORÇAMENTO.BancoRef),0)),"(Código não identificado nas referências)",MATCH($AE154,INDIRECT(ORÇAMENTO.BancoRef),0))))</f>
        <v>(abra o arquivo 'Referência 02-2025.xlsm)</v>
      </c>
      <c r="AG154" s="498">
        <f ca="1">ROUND(IF(DESONERACAO="sim",REFERENCIA.Desonerado,REFERENCIA.NaoDesonerado),2)</f>
        <v>0</v>
      </c>
      <c r="AH154" s="499">
        <f t="shared" ca="1" si="51"/>
        <v>0.22470000000000001</v>
      </c>
      <c r="AJ154" s="501">
        <v>2.1</v>
      </c>
      <c r="AL154" s="527"/>
      <c r="AM154" s="381">
        <f t="shared" ca="1" si="52"/>
        <v>0</v>
      </c>
      <c r="AN154" s="566">
        <f t="shared" ca="1" si="53"/>
        <v>0</v>
      </c>
    </row>
    <row r="155" spans="1:40" ht="38.25" x14ac:dyDescent="0.2">
      <c r="A155" t="str">
        <f t="shared" si="38"/>
        <v>S</v>
      </c>
      <c r="B155">
        <f t="shared" ca="1" si="39"/>
        <v>3</v>
      </c>
      <c r="C155" t="str">
        <f t="shared" ca="1" si="40"/>
        <v>S</v>
      </c>
      <c r="D155">
        <f t="shared" ca="1" si="41"/>
        <v>0</v>
      </c>
      <c r="E155">
        <f ca="1">IF($C155=1,OFFSET(E155,-1,0)+MAX(1,COUNTIF(QCI!$A$13:$A$24,OFFSET(ORÇAMENTO!E155,-1,0))),OFFSET(E155,-1,0))</f>
        <v>1</v>
      </c>
      <c r="F155">
        <f t="shared" ca="1" si="42"/>
        <v>6</v>
      </c>
      <c r="G155">
        <f t="shared" ca="1" si="43"/>
        <v>4</v>
      </c>
      <c r="H155">
        <f t="shared" ca="1" si="44"/>
        <v>0</v>
      </c>
      <c r="I155">
        <f t="shared" ca="1" si="45"/>
        <v>0</v>
      </c>
      <c r="J155">
        <f t="shared" ca="1" si="37"/>
        <v>0</v>
      </c>
      <c r="K155">
        <f ca="1">IF(OR($C155="S",$C155=0),0,MATCH(OFFSET($D155,0,$C155)+IF($C155&lt;&gt;1,1,COUNTIF(QCI!$A$13:$A$24,ORÇAMENTO!E155)),OFFSET($D155,1,$C155,ROW($C$747)-ROW($C155)),0))</f>
        <v>0</v>
      </c>
      <c r="L155" s="116" t="str">
        <f t="shared" ca="1" si="46"/>
        <v/>
      </c>
      <c r="M155" s="117" t="s">
        <v>199</v>
      </c>
      <c r="N155" s="118" t="str">
        <f t="shared" ca="1" si="47"/>
        <v>Serviço</v>
      </c>
      <c r="O155" s="119" t="str">
        <f t="shared" ca="1" si="48"/>
        <v>-</v>
      </c>
      <c r="P155" s="120" t="s">
        <v>712</v>
      </c>
      <c r="Q155" s="121" t="s">
        <v>744</v>
      </c>
      <c r="R155" s="122" t="str">
        <f ca="1">IF($C155="S",REFERENCIA.Descricao,"(digite a descrição aqui)")</f>
        <v>(abra o arquivo 'Referência 02-2025.xlsm)</v>
      </c>
      <c r="S155" s="123" t="str">
        <f ca="1">REFERENCIA.Unidade</f>
        <v>-</v>
      </c>
      <c r="T155" s="124">
        <f ca="1">OFFSET(CÁLCULO!H$15,ROW($T155)-ROW(T$15),0)</f>
        <v>6.3</v>
      </c>
      <c r="U155" s="125">
        <f t="shared" ca="1" si="54"/>
        <v>0</v>
      </c>
      <c r="V155" s="126" t="s">
        <v>156</v>
      </c>
      <c r="W155" s="124">
        <f ca="1">IF($C155="S",ROUND(IF(TIPOORCAMENTO="Proposto",ORÇAMENTO.CustoUnitario*(1+$AH155),ORÇAMENTO.PrecoUnitarioLicitado),15-13*$AF$10),0)</f>
        <v>0</v>
      </c>
      <c r="X155" s="127">
        <f ca="1">IF($C155="S",IF(Import.TipoArredondamento&lt;&gt;"TransfereGOV",VTOTAL1,SUM(OFFSET(CÁLCULO!$AA$15,ROW($X155)-ROW($X$15),1):OFFSET(CÁLCULO!$AL$15,ROW($X155)-ROW($X$15),-1))),IF($C155=0,0,ROUND(SomaAgrup,15-13*$AF$11)))</f>
        <v>0</v>
      </c>
      <c r="Y155" s="128" t="s">
        <v>245</v>
      </c>
      <c r="Z155" t="str">
        <f t="shared" ca="1" si="49"/>
        <v/>
      </c>
      <c r="AA155" s="129">
        <f ca="1">IF($C155="S",IF($Z155="CP",$X155,IF($Z155="RA",(($X155)*QCI!$AA$3),0)),SomaAgrup)</f>
        <v>0</v>
      </c>
      <c r="AB155" s="130">
        <f t="shared" ca="1" si="50"/>
        <v>0</v>
      </c>
      <c r="AC155" s="131" t="str">
        <f ca="1">IF($N155="","",IF(ORÇAMENTO.Descricao="","DESCRIÇÃO",IF(AND($C155="S",ORÇAMENTO.Unidade=""),"UNIDADE",IF($X155&lt;0,"VALOR NEGATIVO",IF(OR(AND(TIPOORCAMENTO="Proposto",$AG155&lt;&gt;"",$AG155&gt;0,ORÇAMENTO.CustoUnitario&gt;$AG155),AND(TIPOORCAMENTO="LICITADO",ORÇAMENTO.PrecoUnitarioLicitado&gt;$AN155)),"ACIMA REF.","")))))</f>
        <v/>
      </c>
      <c r="AD155" t="str">
        <f ca="1">IF(C155&lt;=CRONO.NivelExibicao,MAX($AD$15:OFFSET(AD155,-1,0))+IF($C155&lt;&gt;1,1,MAX(1,COUNTIF(QCI!$A$13:$A$24,OFFSET($E155,-1,0)))),"")</f>
        <v/>
      </c>
      <c r="AE155" s="7" t="str">
        <f ca="1">IF(AND($C155="S",ORÇAMENTO.CodBarra&lt;&gt;""),IF(ORÇAMENTO.Fonte="",ORÇAMENTO.CodBarra,CONCATENATE(ORÇAMENTO.Fonte," ",ORÇAMENTO.CodBarra)))</f>
        <v xml:space="preserve">Composição FNDE 270 </v>
      </c>
      <c r="AF155" s="13" t="str">
        <f ca="1">IF(ISERROR(INDIRECT(ORÇAMENTO.BancoRef)),"(abra o arquivo 'Referência "&amp;Excel_BuiltIn_Database&amp;".xlsm)",IF(OR($C155&lt;&gt;"S",ORÇAMENTO.CodBarra=""),"(Sem Código)",IF(ISERROR(MATCH($AE155,INDIRECT(ORÇAMENTO.BancoRef),0)),"(Código não identificado nas referências)",MATCH($AE155,INDIRECT(ORÇAMENTO.BancoRef),0))))</f>
        <v>(abra o arquivo 'Referência 02-2025.xlsm)</v>
      </c>
      <c r="AG155" s="498">
        <f ca="1">ROUND(IF(DESONERACAO="sim",REFERENCIA.Desonerado,REFERENCIA.NaoDesonerado),2)</f>
        <v>0</v>
      </c>
      <c r="AH155" s="499">
        <f t="shared" ca="1" si="51"/>
        <v>0.22470000000000001</v>
      </c>
      <c r="AJ155" s="501">
        <v>6.3</v>
      </c>
      <c r="AL155" s="527"/>
      <c r="AM155" s="381">
        <f t="shared" ca="1" si="52"/>
        <v>0</v>
      </c>
      <c r="AN155" s="566">
        <f t="shared" ca="1" si="53"/>
        <v>0</v>
      </c>
    </row>
    <row r="156" spans="1:40" ht="38.25" x14ac:dyDescent="0.2">
      <c r="A156" t="str">
        <f t="shared" si="38"/>
        <v>S</v>
      </c>
      <c r="B156">
        <f t="shared" ca="1" si="39"/>
        <v>3</v>
      </c>
      <c r="C156" t="str">
        <f t="shared" ca="1" si="40"/>
        <v>S</v>
      </c>
      <c r="D156">
        <f t="shared" ca="1" si="41"/>
        <v>0</v>
      </c>
      <c r="E156">
        <f ca="1">IF($C156=1,OFFSET(E156,-1,0)+MAX(1,COUNTIF(QCI!$A$13:$A$24,OFFSET(ORÇAMENTO!E156,-1,0))),OFFSET(E156,-1,0))</f>
        <v>1</v>
      </c>
      <c r="F156">
        <f t="shared" ca="1" si="42"/>
        <v>6</v>
      </c>
      <c r="G156">
        <f t="shared" ca="1" si="43"/>
        <v>4</v>
      </c>
      <c r="H156">
        <f t="shared" ca="1" si="44"/>
        <v>0</v>
      </c>
      <c r="I156">
        <f t="shared" ca="1" si="45"/>
        <v>0</v>
      </c>
      <c r="J156">
        <f t="shared" ca="1" si="37"/>
        <v>0</v>
      </c>
      <c r="K156">
        <f ca="1">IF(OR($C156="S",$C156=0),0,MATCH(OFFSET($D156,0,$C156)+IF($C156&lt;&gt;1,1,COUNTIF(QCI!$A$13:$A$24,ORÇAMENTO!E156)),OFFSET($D156,1,$C156,ROW($C$747)-ROW($C156)),0))</f>
        <v>0</v>
      </c>
      <c r="L156" s="116" t="str">
        <f t="shared" ca="1" si="46"/>
        <v/>
      </c>
      <c r="M156" s="117" t="s">
        <v>199</v>
      </c>
      <c r="N156" s="118" t="str">
        <f t="shared" ca="1" si="47"/>
        <v>Serviço</v>
      </c>
      <c r="O156" s="119" t="str">
        <f t="shared" ca="1" si="48"/>
        <v>-</v>
      </c>
      <c r="P156" s="120" t="s">
        <v>712</v>
      </c>
      <c r="Q156" s="121" t="s">
        <v>737</v>
      </c>
      <c r="R156" s="122" t="str">
        <f ca="1">IF($C156="S",REFERENCIA.Descricao,"(digite a descrição aqui)")</f>
        <v>(abra o arquivo 'Referência 02-2025.xlsm)</v>
      </c>
      <c r="S156" s="123" t="str">
        <f ca="1">REFERENCIA.Unidade</f>
        <v>-</v>
      </c>
      <c r="T156" s="124">
        <f ca="1">OFFSET(CÁLCULO!H$15,ROW($T156)-ROW(T$15),0)</f>
        <v>8.4</v>
      </c>
      <c r="U156" s="125">
        <f t="shared" ca="1" si="54"/>
        <v>0</v>
      </c>
      <c r="V156" s="126" t="s">
        <v>156</v>
      </c>
      <c r="W156" s="124">
        <f ca="1">IF($C156="S",ROUND(IF(TIPOORCAMENTO="Proposto",ORÇAMENTO.CustoUnitario*(1+$AH156),ORÇAMENTO.PrecoUnitarioLicitado),15-13*$AF$10),0)</f>
        <v>0</v>
      </c>
      <c r="X156" s="127">
        <f ca="1">IF($C156="S",IF(Import.TipoArredondamento&lt;&gt;"TransfereGOV",VTOTAL1,SUM(OFFSET(CÁLCULO!$AA$15,ROW($X156)-ROW($X$15),1):OFFSET(CÁLCULO!$AL$15,ROW($X156)-ROW($X$15),-1))),IF($C156=0,0,ROUND(SomaAgrup,15-13*$AF$11)))</f>
        <v>0</v>
      </c>
      <c r="Y156" s="128" t="s">
        <v>245</v>
      </c>
      <c r="Z156" t="str">
        <f t="shared" ca="1" si="49"/>
        <v/>
      </c>
      <c r="AA156" s="129">
        <f ca="1">IF($C156="S",IF($Z156="CP",$X156,IF($Z156="RA",(($X156)*QCI!$AA$3),0)),SomaAgrup)</f>
        <v>0</v>
      </c>
      <c r="AB156" s="130">
        <f t="shared" ca="1" si="50"/>
        <v>0</v>
      </c>
      <c r="AC156" s="131" t="str">
        <f ca="1">IF($N156="","",IF(ORÇAMENTO.Descricao="","DESCRIÇÃO",IF(AND($C156="S",ORÇAMENTO.Unidade=""),"UNIDADE",IF($X156&lt;0,"VALOR NEGATIVO",IF(OR(AND(TIPOORCAMENTO="Proposto",$AG156&lt;&gt;"",$AG156&gt;0,ORÇAMENTO.CustoUnitario&gt;$AG156),AND(TIPOORCAMENTO="LICITADO",ORÇAMENTO.PrecoUnitarioLicitado&gt;$AN156)),"ACIMA REF.","")))))</f>
        <v/>
      </c>
      <c r="AD156" t="str">
        <f ca="1">IF(C156&lt;=CRONO.NivelExibicao,MAX($AD$15:OFFSET(AD156,-1,0))+IF($C156&lt;&gt;1,1,MAX(1,COUNTIF(QCI!$A$13:$A$24,OFFSET($E156,-1,0)))),"")</f>
        <v/>
      </c>
      <c r="AE156" s="7" t="str">
        <f ca="1">IF(AND($C156="S",ORÇAMENTO.CodBarra&lt;&gt;""),IF(ORÇAMENTO.Fonte="",ORÇAMENTO.CodBarra,CONCATENATE(ORÇAMENTO.Fonte," ",ORÇAMENTO.CodBarra)))</f>
        <v>Composição FNDE 271</v>
      </c>
      <c r="AF156" s="13" t="str">
        <f ca="1">IF(ISERROR(INDIRECT(ORÇAMENTO.BancoRef)),"(abra o arquivo 'Referência "&amp;Excel_BuiltIn_Database&amp;".xlsm)",IF(OR($C156&lt;&gt;"S",ORÇAMENTO.CodBarra=""),"(Sem Código)",IF(ISERROR(MATCH($AE156,INDIRECT(ORÇAMENTO.BancoRef),0)),"(Código não identificado nas referências)",MATCH($AE156,INDIRECT(ORÇAMENTO.BancoRef),0))))</f>
        <v>(abra o arquivo 'Referência 02-2025.xlsm)</v>
      </c>
      <c r="AG156" s="498">
        <f ca="1">ROUND(IF(DESONERACAO="sim",REFERENCIA.Desonerado,REFERENCIA.NaoDesonerado),2)</f>
        <v>0</v>
      </c>
      <c r="AH156" s="499">
        <f t="shared" ca="1" si="51"/>
        <v>0.22470000000000001</v>
      </c>
      <c r="AJ156" s="501">
        <v>8.4</v>
      </c>
      <c r="AL156" s="527"/>
      <c r="AM156" s="381">
        <f t="shared" ca="1" si="52"/>
        <v>0</v>
      </c>
      <c r="AN156" s="566">
        <f t="shared" ca="1" si="53"/>
        <v>0</v>
      </c>
    </row>
    <row r="157" spans="1:40" ht="38.25" x14ac:dyDescent="0.2">
      <c r="A157" t="str">
        <f t="shared" si="38"/>
        <v>S</v>
      </c>
      <c r="B157">
        <f t="shared" ca="1" si="39"/>
        <v>3</v>
      </c>
      <c r="C157" t="str">
        <f t="shared" ca="1" si="40"/>
        <v>S</v>
      </c>
      <c r="D157">
        <f t="shared" ca="1" si="41"/>
        <v>0</v>
      </c>
      <c r="E157">
        <f ca="1">IF($C157=1,OFFSET(E157,-1,0)+MAX(1,COUNTIF(QCI!$A$13:$A$24,OFFSET(ORÇAMENTO!E157,-1,0))),OFFSET(E157,-1,0))</f>
        <v>1</v>
      </c>
      <c r="F157">
        <f t="shared" ca="1" si="42"/>
        <v>6</v>
      </c>
      <c r="G157">
        <f t="shared" ca="1" si="43"/>
        <v>4</v>
      </c>
      <c r="H157">
        <f t="shared" ca="1" si="44"/>
        <v>0</v>
      </c>
      <c r="I157">
        <f t="shared" ca="1" si="45"/>
        <v>0</v>
      </c>
      <c r="J157">
        <f t="shared" ca="1" si="37"/>
        <v>0</v>
      </c>
      <c r="K157">
        <f ca="1">IF(OR($C157="S",$C157=0),0,MATCH(OFFSET($D157,0,$C157)+IF($C157&lt;&gt;1,1,COUNTIF(QCI!$A$13:$A$24,ORÇAMENTO!E157)),OFFSET($D157,1,$C157,ROW($C$747)-ROW($C157)),0))</f>
        <v>0</v>
      </c>
      <c r="L157" s="116" t="str">
        <f t="shared" ca="1" si="46"/>
        <v/>
      </c>
      <c r="M157" s="117" t="s">
        <v>199</v>
      </c>
      <c r="N157" s="118" t="str">
        <f t="shared" ca="1" si="47"/>
        <v>Serviço</v>
      </c>
      <c r="O157" s="119" t="str">
        <f t="shared" ca="1" si="48"/>
        <v>-</v>
      </c>
      <c r="P157" s="120" t="s">
        <v>712</v>
      </c>
      <c r="Q157" s="121" t="s">
        <v>745</v>
      </c>
      <c r="R157" s="122" t="str">
        <f ca="1">IF($C157="S",REFERENCIA.Descricao,"(digite a descrição aqui)")</f>
        <v>(abra o arquivo 'Referência 02-2025.xlsm)</v>
      </c>
      <c r="S157" s="123" t="str">
        <f ca="1">REFERENCIA.Unidade</f>
        <v>-</v>
      </c>
      <c r="T157" s="124">
        <f ca="1">OFFSET(CÁLCULO!H$15,ROW($T157)-ROW(T$15),0)</f>
        <v>12.6</v>
      </c>
      <c r="U157" s="125">
        <f t="shared" ca="1" si="54"/>
        <v>0</v>
      </c>
      <c r="V157" s="126" t="s">
        <v>156</v>
      </c>
      <c r="W157" s="124">
        <f ca="1">IF($C157="S",ROUND(IF(TIPOORCAMENTO="Proposto",ORÇAMENTO.CustoUnitario*(1+$AH157),ORÇAMENTO.PrecoUnitarioLicitado),15-13*$AF$10),0)</f>
        <v>0</v>
      </c>
      <c r="X157" s="127">
        <f ca="1">IF($C157="S",IF(Import.TipoArredondamento&lt;&gt;"TransfereGOV",VTOTAL1,SUM(OFFSET(CÁLCULO!$AA$15,ROW($X157)-ROW($X$15),1):OFFSET(CÁLCULO!$AL$15,ROW($X157)-ROW($X$15),-1))),IF($C157=0,0,ROUND(SomaAgrup,15-13*$AF$11)))</f>
        <v>0</v>
      </c>
      <c r="Y157" s="128" t="s">
        <v>245</v>
      </c>
      <c r="Z157" t="str">
        <f t="shared" ca="1" si="49"/>
        <v/>
      </c>
      <c r="AA157" s="129">
        <f ca="1">IF($C157="S",IF($Z157="CP",$X157,IF($Z157="RA",(($X157)*QCI!$AA$3),0)),SomaAgrup)</f>
        <v>0</v>
      </c>
      <c r="AB157" s="130">
        <f t="shared" ca="1" si="50"/>
        <v>0</v>
      </c>
      <c r="AC157" s="131" t="str">
        <f ca="1">IF($N157="","",IF(ORÇAMENTO.Descricao="","DESCRIÇÃO",IF(AND($C157="S",ORÇAMENTO.Unidade=""),"UNIDADE",IF($X157&lt;0,"VALOR NEGATIVO",IF(OR(AND(TIPOORCAMENTO="Proposto",$AG157&lt;&gt;"",$AG157&gt;0,ORÇAMENTO.CustoUnitario&gt;$AG157),AND(TIPOORCAMENTO="LICITADO",ORÇAMENTO.PrecoUnitarioLicitado&gt;$AN157)),"ACIMA REF.","")))))</f>
        <v/>
      </c>
      <c r="AD157" t="str">
        <f ca="1">IF(C157&lt;=CRONO.NivelExibicao,MAX($AD$15:OFFSET(AD157,-1,0))+IF($C157&lt;&gt;1,1,MAX(1,COUNTIF(QCI!$A$13:$A$24,OFFSET($E157,-1,0)))),"")</f>
        <v/>
      </c>
      <c r="AE157" s="7" t="str">
        <f ca="1">IF(AND($C157="S",ORÇAMENTO.CodBarra&lt;&gt;""),IF(ORÇAMENTO.Fonte="",ORÇAMENTO.CodBarra,CONCATENATE(ORÇAMENTO.Fonte," ",ORÇAMENTO.CodBarra)))</f>
        <v xml:space="preserve">Composição FNDE 272 </v>
      </c>
      <c r="AF157" s="13" t="str">
        <f ca="1">IF(ISERROR(INDIRECT(ORÇAMENTO.BancoRef)),"(abra o arquivo 'Referência "&amp;Excel_BuiltIn_Database&amp;".xlsm)",IF(OR($C157&lt;&gt;"S",ORÇAMENTO.CodBarra=""),"(Sem Código)",IF(ISERROR(MATCH($AE157,INDIRECT(ORÇAMENTO.BancoRef),0)),"(Código não identificado nas referências)",MATCH($AE157,INDIRECT(ORÇAMENTO.BancoRef),0))))</f>
        <v>(abra o arquivo 'Referência 02-2025.xlsm)</v>
      </c>
      <c r="AG157" s="498">
        <f ca="1">ROUND(IF(DESONERACAO="sim",REFERENCIA.Desonerado,REFERENCIA.NaoDesonerado),2)</f>
        <v>0</v>
      </c>
      <c r="AH157" s="499">
        <f t="shared" ca="1" si="51"/>
        <v>0.22470000000000001</v>
      </c>
      <c r="AJ157" s="501">
        <v>12.6</v>
      </c>
      <c r="AL157" s="527"/>
      <c r="AM157" s="381">
        <f t="shared" ca="1" si="52"/>
        <v>0</v>
      </c>
      <c r="AN157" s="566">
        <f t="shared" ca="1" si="53"/>
        <v>0</v>
      </c>
    </row>
    <row r="158" spans="1:40" ht="38.25" x14ac:dyDescent="0.2">
      <c r="A158" t="str">
        <f t="shared" si="38"/>
        <v>S</v>
      </c>
      <c r="B158">
        <f t="shared" ca="1" si="39"/>
        <v>3</v>
      </c>
      <c r="C158" t="str">
        <f t="shared" ca="1" si="40"/>
        <v>S</v>
      </c>
      <c r="D158">
        <f t="shared" ca="1" si="41"/>
        <v>0</v>
      </c>
      <c r="E158">
        <f ca="1">IF($C158=1,OFFSET(E158,-1,0)+MAX(1,COUNTIF(QCI!$A$13:$A$24,OFFSET(ORÇAMENTO!E158,-1,0))),OFFSET(E158,-1,0))</f>
        <v>1</v>
      </c>
      <c r="F158">
        <f t="shared" ca="1" si="42"/>
        <v>6</v>
      </c>
      <c r="G158">
        <f t="shared" ca="1" si="43"/>
        <v>4</v>
      </c>
      <c r="H158">
        <f t="shared" ca="1" si="44"/>
        <v>0</v>
      </c>
      <c r="I158">
        <f t="shared" ca="1" si="45"/>
        <v>0</v>
      </c>
      <c r="J158">
        <f t="shared" ca="1" si="37"/>
        <v>0</v>
      </c>
      <c r="K158">
        <f ca="1">IF(OR($C158="S",$C158=0),0,MATCH(OFFSET($D158,0,$C158)+IF($C158&lt;&gt;1,1,COUNTIF(QCI!$A$13:$A$24,ORÇAMENTO!E158)),OFFSET($D158,1,$C158,ROW($C$747)-ROW($C158)),0))</f>
        <v>0</v>
      </c>
      <c r="L158" s="116" t="str">
        <f t="shared" ca="1" si="46"/>
        <v/>
      </c>
      <c r="M158" s="117" t="s">
        <v>199</v>
      </c>
      <c r="N158" s="118" t="str">
        <f t="shared" ca="1" si="47"/>
        <v>Serviço</v>
      </c>
      <c r="O158" s="119" t="str">
        <f t="shared" ca="1" si="48"/>
        <v>-</v>
      </c>
      <c r="P158" s="120" t="s">
        <v>712</v>
      </c>
      <c r="Q158" s="121" t="s">
        <v>746</v>
      </c>
      <c r="R158" s="122" t="str">
        <f ca="1">IF($C158="S",REFERENCIA.Descricao,"(digite a descrição aqui)")</f>
        <v>(abra o arquivo 'Referência 02-2025.xlsm)</v>
      </c>
      <c r="S158" s="123" t="str">
        <f ca="1">REFERENCIA.Unidade</f>
        <v>-</v>
      </c>
      <c r="T158" s="124">
        <f ca="1">OFFSET(CÁLCULO!H$15,ROW($T158)-ROW(T$15),0)</f>
        <v>33.6</v>
      </c>
      <c r="U158" s="125">
        <f t="shared" ca="1" si="54"/>
        <v>0</v>
      </c>
      <c r="V158" s="126" t="s">
        <v>156</v>
      </c>
      <c r="W158" s="124">
        <f ca="1">IF($C158="S",ROUND(IF(TIPOORCAMENTO="Proposto",ORÇAMENTO.CustoUnitario*(1+$AH158),ORÇAMENTO.PrecoUnitarioLicitado),15-13*$AF$10),0)</f>
        <v>0</v>
      </c>
      <c r="X158" s="127">
        <f ca="1">IF($C158="S",IF(Import.TipoArredondamento&lt;&gt;"TransfereGOV",VTOTAL1,SUM(OFFSET(CÁLCULO!$AA$15,ROW($X158)-ROW($X$15),1):OFFSET(CÁLCULO!$AL$15,ROW($X158)-ROW($X$15),-1))),IF($C158=0,0,ROUND(SomaAgrup,15-13*$AF$11)))</f>
        <v>0</v>
      </c>
      <c r="Y158" s="128" t="s">
        <v>245</v>
      </c>
      <c r="Z158" t="str">
        <f t="shared" ca="1" si="49"/>
        <v/>
      </c>
      <c r="AA158" s="129">
        <f ca="1">IF($C158="S",IF($Z158="CP",$X158,IF($Z158="RA",(($X158)*QCI!$AA$3),0)),SomaAgrup)</f>
        <v>0</v>
      </c>
      <c r="AB158" s="130">
        <f t="shared" ca="1" si="50"/>
        <v>0</v>
      </c>
      <c r="AC158" s="131" t="str">
        <f ca="1">IF($N158="","",IF(ORÇAMENTO.Descricao="","DESCRIÇÃO",IF(AND($C158="S",ORÇAMENTO.Unidade=""),"UNIDADE",IF($X158&lt;0,"VALOR NEGATIVO",IF(OR(AND(TIPOORCAMENTO="Proposto",$AG158&lt;&gt;"",$AG158&gt;0,ORÇAMENTO.CustoUnitario&gt;$AG158),AND(TIPOORCAMENTO="LICITADO",ORÇAMENTO.PrecoUnitarioLicitado&gt;$AN158)),"ACIMA REF.","")))))</f>
        <v/>
      </c>
      <c r="AD158" t="str">
        <f ca="1">IF(C158&lt;=CRONO.NivelExibicao,MAX($AD$15:OFFSET(AD158,-1,0))+IF($C158&lt;&gt;1,1,MAX(1,COUNTIF(QCI!$A$13:$A$24,OFFSET($E158,-1,0)))),"")</f>
        <v/>
      </c>
      <c r="AE158" s="7" t="str">
        <f ca="1">IF(AND($C158="S",ORÇAMENTO.CodBarra&lt;&gt;""),IF(ORÇAMENTO.Fonte="",ORÇAMENTO.CodBarra,CONCATENATE(ORÇAMENTO.Fonte," ",ORÇAMENTO.CodBarra)))</f>
        <v xml:space="preserve">Composição FNDE 273 </v>
      </c>
      <c r="AF158" s="13" t="str">
        <f ca="1">IF(ISERROR(INDIRECT(ORÇAMENTO.BancoRef)),"(abra o arquivo 'Referência "&amp;Excel_BuiltIn_Database&amp;".xlsm)",IF(OR($C158&lt;&gt;"S",ORÇAMENTO.CodBarra=""),"(Sem Código)",IF(ISERROR(MATCH($AE158,INDIRECT(ORÇAMENTO.BancoRef),0)),"(Código não identificado nas referências)",MATCH($AE158,INDIRECT(ORÇAMENTO.BancoRef),0))))</f>
        <v>(abra o arquivo 'Referência 02-2025.xlsm)</v>
      </c>
      <c r="AG158" s="498">
        <f ca="1">ROUND(IF(DESONERACAO="sim",REFERENCIA.Desonerado,REFERENCIA.NaoDesonerado),2)</f>
        <v>0</v>
      </c>
      <c r="AH158" s="499">
        <f t="shared" ca="1" si="51"/>
        <v>0.22470000000000001</v>
      </c>
      <c r="AJ158" s="501">
        <v>33.6</v>
      </c>
      <c r="AL158" s="527"/>
      <c r="AM158" s="381">
        <f t="shared" ca="1" si="52"/>
        <v>0</v>
      </c>
      <c r="AN158" s="566">
        <f t="shared" ca="1" si="53"/>
        <v>0</v>
      </c>
    </row>
    <row r="159" spans="1:40" ht="38.25" x14ac:dyDescent="0.2">
      <c r="A159" t="str">
        <f t="shared" si="38"/>
        <v>S</v>
      </c>
      <c r="B159">
        <f t="shared" ca="1" si="39"/>
        <v>3</v>
      </c>
      <c r="C159" t="str">
        <f t="shared" ca="1" si="40"/>
        <v>S</v>
      </c>
      <c r="D159">
        <f t="shared" ca="1" si="41"/>
        <v>0</v>
      </c>
      <c r="E159">
        <f ca="1">IF($C159=1,OFFSET(E159,-1,0)+MAX(1,COUNTIF(QCI!$A$13:$A$24,OFFSET(ORÇAMENTO!E159,-1,0))),OFFSET(E159,-1,0))</f>
        <v>1</v>
      </c>
      <c r="F159">
        <f t="shared" ca="1" si="42"/>
        <v>6</v>
      </c>
      <c r="G159">
        <f t="shared" ca="1" si="43"/>
        <v>4</v>
      </c>
      <c r="H159">
        <f t="shared" ca="1" si="44"/>
        <v>0</v>
      </c>
      <c r="I159">
        <f t="shared" ca="1" si="45"/>
        <v>0</v>
      </c>
      <c r="J159">
        <f t="shared" ca="1" si="37"/>
        <v>0</v>
      </c>
      <c r="K159">
        <f ca="1">IF(OR($C159="S",$C159=0),0,MATCH(OFFSET($D159,0,$C159)+IF($C159&lt;&gt;1,1,COUNTIF(QCI!$A$13:$A$24,ORÇAMENTO!E159)),OFFSET($D159,1,$C159,ROW($C$747)-ROW($C159)),0))</f>
        <v>0</v>
      </c>
      <c r="L159" s="116" t="str">
        <f t="shared" ca="1" si="46"/>
        <v/>
      </c>
      <c r="M159" s="117" t="s">
        <v>199</v>
      </c>
      <c r="N159" s="118" t="str">
        <f t="shared" ca="1" si="47"/>
        <v>Serviço</v>
      </c>
      <c r="O159" s="119" t="str">
        <f t="shared" ca="1" si="48"/>
        <v>-</v>
      </c>
      <c r="P159" s="120" t="s">
        <v>712</v>
      </c>
      <c r="Q159" s="121" t="s">
        <v>738</v>
      </c>
      <c r="R159" s="122" t="str">
        <f ca="1">IF($C159="S",REFERENCIA.Descricao,"(digite a descrição aqui)")</f>
        <v>(abra o arquivo 'Referência 02-2025.xlsm)</v>
      </c>
      <c r="S159" s="123" t="str">
        <f ca="1">REFERENCIA.Unidade</f>
        <v>-</v>
      </c>
      <c r="T159" s="124">
        <f ca="1">OFFSET(CÁLCULO!H$15,ROW($T159)-ROW(T$15),0)</f>
        <v>16.8</v>
      </c>
      <c r="U159" s="125">
        <f t="shared" ca="1" si="54"/>
        <v>0</v>
      </c>
      <c r="V159" s="126" t="s">
        <v>156</v>
      </c>
      <c r="W159" s="124">
        <f ca="1">IF($C159="S",ROUND(IF(TIPOORCAMENTO="Proposto",ORÇAMENTO.CustoUnitario*(1+$AH159),ORÇAMENTO.PrecoUnitarioLicitado),15-13*$AF$10),0)</f>
        <v>0</v>
      </c>
      <c r="X159" s="127">
        <f ca="1">IF($C159="S",IF(Import.TipoArredondamento&lt;&gt;"TransfereGOV",VTOTAL1,SUM(OFFSET(CÁLCULO!$AA$15,ROW($X159)-ROW($X$15),1):OFFSET(CÁLCULO!$AL$15,ROW($X159)-ROW($X$15),-1))),IF($C159=0,0,ROUND(SomaAgrup,15-13*$AF$11)))</f>
        <v>0</v>
      </c>
      <c r="Y159" s="128" t="s">
        <v>245</v>
      </c>
      <c r="Z159" t="str">
        <f t="shared" ca="1" si="49"/>
        <v/>
      </c>
      <c r="AA159" s="129">
        <f ca="1">IF($C159="S",IF($Z159="CP",$X159,IF($Z159="RA",(($X159)*QCI!$AA$3),0)),SomaAgrup)</f>
        <v>0</v>
      </c>
      <c r="AB159" s="130">
        <f t="shared" ca="1" si="50"/>
        <v>0</v>
      </c>
      <c r="AC159" s="131" t="str">
        <f ca="1">IF($N159="","",IF(ORÇAMENTO.Descricao="","DESCRIÇÃO",IF(AND($C159="S",ORÇAMENTO.Unidade=""),"UNIDADE",IF($X159&lt;0,"VALOR NEGATIVO",IF(OR(AND(TIPOORCAMENTO="Proposto",$AG159&lt;&gt;"",$AG159&gt;0,ORÇAMENTO.CustoUnitario&gt;$AG159),AND(TIPOORCAMENTO="LICITADO",ORÇAMENTO.PrecoUnitarioLicitado&gt;$AN159)),"ACIMA REF.","")))))</f>
        <v/>
      </c>
      <c r="AD159" t="str">
        <f ca="1">IF(C159&lt;=CRONO.NivelExibicao,MAX($AD$15:OFFSET(AD159,-1,0))+IF($C159&lt;&gt;1,1,MAX(1,COUNTIF(QCI!$A$13:$A$24,OFFSET($E159,-1,0)))),"")</f>
        <v/>
      </c>
      <c r="AE159" s="7" t="str">
        <f ca="1">IF(AND($C159="S",ORÇAMENTO.CodBarra&lt;&gt;""),IF(ORÇAMENTO.Fonte="",ORÇAMENTO.CodBarra,CONCATENATE(ORÇAMENTO.Fonte," ",ORÇAMENTO.CodBarra)))</f>
        <v>Composição FNDE 274</v>
      </c>
      <c r="AF159" s="13" t="str">
        <f ca="1">IF(ISERROR(INDIRECT(ORÇAMENTO.BancoRef)),"(abra o arquivo 'Referência "&amp;Excel_BuiltIn_Database&amp;".xlsm)",IF(OR($C159&lt;&gt;"S",ORÇAMENTO.CodBarra=""),"(Sem Código)",IF(ISERROR(MATCH($AE159,INDIRECT(ORÇAMENTO.BancoRef),0)),"(Código não identificado nas referências)",MATCH($AE159,INDIRECT(ORÇAMENTO.BancoRef),0))))</f>
        <v>(abra o arquivo 'Referência 02-2025.xlsm)</v>
      </c>
      <c r="AG159" s="498">
        <f ca="1">ROUND(IF(DESONERACAO="sim",REFERENCIA.Desonerado,REFERENCIA.NaoDesonerado),2)</f>
        <v>0</v>
      </c>
      <c r="AH159" s="499">
        <f t="shared" ca="1" si="51"/>
        <v>0.22470000000000001</v>
      </c>
      <c r="AJ159" s="501">
        <v>16.8</v>
      </c>
      <c r="AL159" s="527"/>
      <c r="AM159" s="381">
        <f t="shared" ca="1" si="52"/>
        <v>0</v>
      </c>
      <c r="AN159" s="566">
        <f t="shared" ca="1" si="53"/>
        <v>0</v>
      </c>
    </row>
    <row r="160" spans="1:40" ht="38.25" x14ac:dyDescent="0.2">
      <c r="A160" t="str">
        <f t="shared" si="38"/>
        <v>S</v>
      </c>
      <c r="B160">
        <f t="shared" ca="1" si="39"/>
        <v>3</v>
      </c>
      <c r="C160" t="str">
        <f t="shared" ca="1" si="40"/>
        <v>S</v>
      </c>
      <c r="D160">
        <f t="shared" ca="1" si="41"/>
        <v>0</v>
      </c>
      <c r="E160">
        <f ca="1">IF($C160=1,OFFSET(E160,-1,0)+MAX(1,COUNTIF(QCI!$A$13:$A$24,OFFSET(ORÇAMENTO!E160,-1,0))),OFFSET(E160,-1,0))</f>
        <v>1</v>
      </c>
      <c r="F160">
        <f t="shared" ca="1" si="42"/>
        <v>6</v>
      </c>
      <c r="G160">
        <f t="shared" ca="1" si="43"/>
        <v>4</v>
      </c>
      <c r="H160">
        <f t="shared" ca="1" si="44"/>
        <v>0</v>
      </c>
      <c r="I160">
        <f t="shared" ca="1" si="45"/>
        <v>0</v>
      </c>
      <c r="J160">
        <f t="shared" ca="1" si="37"/>
        <v>0</v>
      </c>
      <c r="K160">
        <f ca="1">IF(OR($C160="S",$C160=0),0,MATCH(OFFSET($D160,0,$C160)+IF($C160&lt;&gt;1,1,COUNTIF(QCI!$A$13:$A$24,ORÇAMENTO!E160)),OFFSET($D160,1,$C160,ROW($C$747)-ROW($C160)),0))</f>
        <v>0</v>
      </c>
      <c r="L160" s="116" t="str">
        <f t="shared" ca="1" si="46"/>
        <v/>
      </c>
      <c r="M160" s="117" t="s">
        <v>199</v>
      </c>
      <c r="N160" s="118" t="str">
        <f t="shared" ca="1" si="47"/>
        <v>Serviço</v>
      </c>
      <c r="O160" s="119" t="str">
        <f t="shared" ca="1" si="48"/>
        <v>-</v>
      </c>
      <c r="P160" s="120" t="s">
        <v>712</v>
      </c>
      <c r="Q160" s="121" t="s">
        <v>739</v>
      </c>
      <c r="R160" s="122" t="str">
        <f ca="1">IF($C160="S",REFERENCIA.Descricao,"(digite a descrição aqui)")</f>
        <v>(abra o arquivo 'Referência 02-2025.xlsm)</v>
      </c>
      <c r="S160" s="123" t="str">
        <f ca="1">REFERENCIA.Unidade</f>
        <v>-</v>
      </c>
      <c r="T160" s="124">
        <f ca="1">OFFSET(CÁLCULO!H$15,ROW($T160)-ROW(T$15),0)</f>
        <v>5.44</v>
      </c>
      <c r="U160" s="125">
        <f t="shared" ca="1" si="54"/>
        <v>0</v>
      </c>
      <c r="V160" s="126" t="s">
        <v>156</v>
      </c>
      <c r="W160" s="124">
        <f ca="1">IF($C160="S",ROUND(IF(TIPOORCAMENTO="Proposto",ORÇAMENTO.CustoUnitario*(1+$AH160),ORÇAMENTO.PrecoUnitarioLicitado),15-13*$AF$10),0)</f>
        <v>0</v>
      </c>
      <c r="X160" s="127">
        <f ca="1">IF($C160="S",IF(Import.TipoArredondamento&lt;&gt;"TransfereGOV",VTOTAL1,SUM(OFFSET(CÁLCULO!$AA$15,ROW($X160)-ROW($X$15),1):OFFSET(CÁLCULO!$AL$15,ROW($X160)-ROW($X$15),-1))),IF($C160=0,0,ROUND(SomaAgrup,15-13*$AF$11)))</f>
        <v>0</v>
      </c>
      <c r="Y160" s="128" t="s">
        <v>245</v>
      </c>
      <c r="Z160" t="str">
        <f t="shared" ca="1" si="49"/>
        <v/>
      </c>
      <c r="AA160" s="129">
        <f ca="1">IF($C160="S",IF($Z160="CP",$X160,IF($Z160="RA",(($X160)*QCI!$AA$3),0)),SomaAgrup)</f>
        <v>0</v>
      </c>
      <c r="AB160" s="130">
        <f t="shared" ca="1" si="50"/>
        <v>0</v>
      </c>
      <c r="AC160" s="131" t="str">
        <f ca="1">IF($N160="","",IF(ORÇAMENTO.Descricao="","DESCRIÇÃO",IF(AND($C160="S",ORÇAMENTO.Unidade=""),"UNIDADE",IF($X160&lt;0,"VALOR NEGATIVO",IF(OR(AND(TIPOORCAMENTO="Proposto",$AG160&lt;&gt;"",$AG160&gt;0,ORÇAMENTO.CustoUnitario&gt;$AG160),AND(TIPOORCAMENTO="LICITADO",ORÇAMENTO.PrecoUnitarioLicitado&gt;$AN160)),"ACIMA REF.","")))))</f>
        <v/>
      </c>
      <c r="AD160" t="str">
        <f ca="1">IF(C160&lt;=CRONO.NivelExibicao,MAX($AD$15:OFFSET(AD160,-1,0))+IF($C160&lt;&gt;1,1,MAX(1,COUNTIF(QCI!$A$13:$A$24,OFFSET($E160,-1,0)))),"")</f>
        <v/>
      </c>
      <c r="AE160" s="7" t="str">
        <f ca="1">IF(AND($C160="S",ORÇAMENTO.CodBarra&lt;&gt;""),IF(ORÇAMENTO.Fonte="",ORÇAMENTO.CodBarra,CONCATENATE(ORÇAMENTO.Fonte," ",ORÇAMENTO.CodBarra)))</f>
        <v>Composição FNDE 277</v>
      </c>
      <c r="AF160" s="13" t="str">
        <f ca="1">IF(ISERROR(INDIRECT(ORÇAMENTO.BancoRef)),"(abra o arquivo 'Referência "&amp;Excel_BuiltIn_Database&amp;".xlsm)",IF(OR($C160&lt;&gt;"S",ORÇAMENTO.CodBarra=""),"(Sem Código)",IF(ISERROR(MATCH($AE160,INDIRECT(ORÇAMENTO.BancoRef),0)),"(Código não identificado nas referências)",MATCH($AE160,INDIRECT(ORÇAMENTO.BancoRef),0))))</f>
        <v>(abra o arquivo 'Referência 02-2025.xlsm)</v>
      </c>
      <c r="AG160" s="498">
        <f ca="1">ROUND(IF(DESONERACAO="sim",REFERENCIA.Desonerado,REFERENCIA.NaoDesonerado),2)</f>
        <v>0</v>
      </c>
      <c r="AH160" s="499">
        <f t="shared" ca="1" si="51"/>
        <v>0.22470000000000001</v>
      </c>
      <c r="AJ160" s="501">
        <v>5.44</v>
      </c>
      <c r="AL160" s="527"/>
      <c r="AM160" s="381">
        <f t="shared" ca="1" si="52"/>
        <v>0</v>
      </c>
      <c r="AN160" s="566">
        <f t="shared" ca="1" si="53"/>
        <v>0</v>
      </c>
    </row>
    <row r="161" spans="1:40" ht="25.5" x14ac:dyDescent="0.2">
      <c r="A161" t="str">
        <f t="shared" si="38"/>
        <v>S</v>
      </c>
      <c r="B161">
        <f t="shared" ca="1" si="39"/>
        <v>3</v>
      </c>
      <c r="C161" t="str">
        <f t="shared" ca="1" si="40"/>
        <v>S</v>
      </c>
      <c r="D161">
        <f t="shared" ca="1" si="41"/>
        <v>0</v>
      </c>
      <c r="E161">
        <f ca="1">IF($C161=1,OFFSET(E161,-1,0)+MAX(1,COUNTIF(QCI!$A$13:$A$24,OFFSET(ORÇAMENTO!E161,-1,0))),OFFSET(E161,-1,0))</f>
        <v>1</v>
      </c>
      <c r="F161">
        <f t="shared" ca="1" si="42"/>
        <v>6</v>
      </c>
      <c r="G161">
        <f t="shared" ca="1" si="43"/>
        <v>4</v>
      </c>
      <c r="H161">
        <f t="shared" ca="1" si="44"/>
        <v>0</v>
      </c>
      <c r="I161">
        <f t="shared" ca="1" si="45"/>
        <v>0</v>
      </c>
      <c r="J161">
        <f t="shared" ca="1" si="37"/>
        <v>0</v>
      </c>
      <c r="K161">
        <f ca="1">IF(OR($C161="S",$C161=0),0,MATCH(OFFSET($D161,0,$C161)+IF($C161&lt;&gt;1,1,COUNTIF(QCI!$A$13:$A$24,ORÇAMENTO!E161)),OFFSET($D161,1,$C161,ROW($C$747)-ROW($C161)),0))</f>
        <v>0</v>
      </c>
      <c r="L161" s="116" t="str">
        <f t="shared" ca="1" si="46"/>
        <v/>
      </c>
      <c r="M161" s="117" t="s">
        <v>199</v>
      </c>
      <c r="N161" s="118" t="str">
        <f t="shared" ca="1" si="47"/>
        <v>Serviço</v>
      </c>
      <c r="O161" s="119" t="str">
        <f t="shared" ca="1" si="48"/>
        <v>-</v>
      </c>
      <c r="P161" s="120" t="s">
        <v>712</v>
      </c>
      <c r="Q161" s="121" t="s">
        <v>747</v>
      </c>
      <c r="R161" s="122" t="str">
        <f ca="1">IF($C161="S",REFERENCIA.Descricao,"(digite a descrição aqui)")</f>
        <v>(abra o arquivo 'Referência 02-2025.xlsm)</v>
      </c>
      <c r="S161" s="123" t="str">
        <f ca="1">REFERENCIA.Unidade</f>
        <v>-</v>
      </c>
      <c r="T161" s="124">
        <f ca="1">OFFSET(CÁLCULO!H$15,ROW($T161)-ROW(T$15),0)</f>
        <v>28.24</v>
      </c>
      <c r="U161" s="125">
        <f t="shared" ca="1" si="54"/>
        <v>0</v>
      </c>
      <c r="V161" s="126" t="s">
        <v>156</v>
      </c>
      <c r="W161" s="124">
        <f ca="1">IF($C161="S",ROUND(IF(TIPOORCAMENTO="Proposto",ORÇAMENTO.CustoUnitario*(1+$AH161),ORÇAMENTO.PrecoUnitarioLicitado),15-13*$AF$10),0)</f>
        <v>0</v>
      </c>
      <c r="X161" s="127">
        <f ca="1">IF($C161="S",IF(Import.TipoArredondamento&lt;&gt;"TransfereGOV",VTOTAL1,SUM(OFFSET(CÁLCULO!$AA$15,ROW($X161)-ROW($X$15),1):OFFSET(CÁLCULO!$AL$15,ROW($X161)-ROW($X$15),-1))),IF($C161=0,0,ROUND(SomaAgrup,15-13*$AF$11)))</f>
        <v>0</v>
      </c>
      <c r="Y161" s="128" t="s">
        <v>245</v>
      </c>
      <c r="Z161" t="str">
        <f t="shared" ca="1" si="49"/>
        <v/>
      </c>
      <c r="AA161" s="129">
        <f ca="1">IF($C161="S",IF($Z161="CP",$X161,IF($Z161="RA",(($X161)*QCI!$AA$3),0)),SomaAgrup)</f>
        <v>0</v>
      </c>
      <c r="AB161" s="130">
        <f t="shared" ca="1" si="50"/>
        <v>0</v>
      </c>
      <c r="AC161" s="131" t="str">
        <f ca="1">IF($N161="","",IF(ORÇAMENTO.Descricao="","DESCRIÇÃO",IF(AND($C161="S",ORÇAMENTO.Unidade=""),"UNIDADE",IF($X161&lt;0,"VALOR NEGATIVO",IF(OR(AND(TIPOORCAMENTO="Proposto",$AG161&lt;&gt;"",$AG161&gt;0,ORÇAMENTO.CustoUnitario&gt;$AG161),AND(TIPOORCAMENTO="LICITADO",ORÇAMENTO.PrecoUnitarioLicitado&gt;$AN161)),"ACIMA REF.","")))))</f>
        <v/>
      </c>
      <c r="AD161" t="str">
        <f ca="1">IF(C161&lt;=CRONO.NivelExibicao,MAX($AD$15:OFFSET(AD161,-1,0))+IF($C161&lt;&gt;1,1,MAX(1,COUNTIF(QCI!$A$13:$A$24,OFFSET($E161,-1,0)))),"")</f>
        <v/>
      </c>
      <c r="AE161" s="7" t="str">
        <f ca="1">IF(AND($C161="S",ORÇAMENTO.CodBarra&lt;&gt;""),IF(ORÇAMENTO.Fonte="",ORÇAMENTO.CodBarra,CONCATENATE(ORÇAMENTO.Fonte," ",ORÇAMENTO.CodBarra)))</f>
        <v xml:space="preserve">Composição FNDE 05 </v>
      </c>
      <c r="AF161" s="13" t="str">
        <f ca="1">IF(ISERROR(INDIRECT(ORÇAMENTO.BancoRef)),"(abra o arquivo 'Referência "&amp;Excel_BuiltIn_Database&amp;".xlsm)",IF(OR($C161&lt;&gt;"S",ORÇAMENTO.CodBarra=""),"(Sem Código)",IF(ISERROR(MATCH($AE161,INDIRECT(ORÇAMENTO.BancoRef),0)),"(Código não identificado nas referências)",MATCH($AE161,INDIRECT(ORÇAMENTO.BancoRef),0))))</f>
        <v>(abra o arquivo 'Referência 02-2025.xlsm)</v>
      </c>
      <c r="AG161" s="498">
        <f ca="1">ROUND(IF(DESONERACAO="sim",REFERENCIA.Desonerado,REFERENCIA.NaoDesonerado),2)</f>
        <v>0</v>
      </c>
      <c r="AH161" s="499">
        <f t="shared" ca="1" si="51"/>
        <v>0.22470000000000001</v>
      </c>
      <c r="AJ161" s="501">
        <v>28.24</v>
      </c>
      <c r="AL161" s="527"/>
      <c r="AM161" s="381">
        <f t="shared" ca="1" si="52"/>
        <v>0</v>
      </c>
      <c r="AN161" s="566">
        <f t="shared" ca="1" si="53"/>
        <v>0</v>
      </c>
    </row>
    <row r="162" spans="1:40" x14ac:dyDescent="0.2">
      <c r="A162">
        <f t="shared" si="38"/>
        <v>3</v>
      </c>
      <c r="B162">
        <f t="shared" ca="1" si="39"/>
        <v>3</v>
      </c>
      <c r="C162">
        <f t="shared" ca="1" si="40"/>
        <v>3</v>
      </c>
      <c r="D162">
        <f t="shared" ca="1" si="41"/>
        <v>3</v>
      </c>
      <c r="E162">
        <f ca="1">IF($C162=1,OFFSET(E162,-1,0)+MAX(1,COUNTIF(QCI!$A$13:$A$24,OFFSET(ORÇAMENTO!E162,-1,0))),OFFSET(E162,-1,0))</f>
        <v>1</v>
      </c>
      <c r="F162">
        <f t="shared" ca="1" si="42"/>
        <v>6</v>
      </c>
      <c r="G162">
        <f t="shared" ca="1" si="43"/>
        <v>5</v>
      </c>
      <c r="H162">
        <f t="shared" ca="1" si="44"/>
        <v>0</v>
      </c>
      <c r="I162">
        <f t="shared" ca="1" si="45"/>
        <v>0</v>
      </c>
      <c r="J162">
        <f t="shared" ca="1" si="37"/>
        <v>15</v>
      </c>
      <c r="K162">
        <f ca="1">IF(OR($C162="S",$C162=0),0,MATCH(OFFSET($D162,0,$C162)+IF($C162&lt;&gt;1,1,COUNTIF(QCI!$A$13:$A$24,ORÇAMENTO!E162)),OFFSET($D162,1,$C162,ROW($C$747)-ROW($C162)),0))</f>
        <v>3</v>
      </c>
      <c r="L162" s="116" t="str">
        <f t="shared" ca="1" si="46"/>
        <v>F</v>
      </c>
      <c r="M162" s="117" t="s">
        <v>197</v>
      </c>
      <c r="N162" s="118" t="str">
        <f t="shared" ca="1" si="47"/>
        <v>Nível 3</v>
      </c>
      <c r="O162" s="119" t="str">
        <f t="shared" ca="1" si="48"/>
        <v>1.6.5.</v>
      </c>
      <c r="P162" s="120" t="s">
        <v>247</v>
      </c>
      <c r="Q162" s="121"/>
      <c r="R162" s="122" t="str">
        <f ca="1">IF($C162="S",REFERENCIA.Descricao,"PORTAS DE VIDRO")</f>
        <v>PORTAS DE VIDRO</v>
      </c>
      <c r="S162" s="123" t="str">
        <f ca="1">REFERENCIA.Unidade</f>
        <v>-</v>
      </c>
      <c r="T162" s="124">
        <f ca="1">OFFSET(CÁLCULO!H$15,ROW($T162)-ROW(T$15),0)</f>
        <v>0</v>
      </c>
      <c r="U162" s="125">
        <f t="shared" ca="1" si="54"/>
        <v>0</v>
      </c>
      <c r="V162" s="126" t="s">
        <v>156</v>
      </c>
      <c r="W162" s="124">
        <f ca="1">IF($C162="S",ROUND(IF(TIPOORCAMENTO="Proposto",ORÇAMENTO.CustoUnitario*(1+$AH162),ORÇAMENTO.PrecoUnitarioLicitado),15-13*$AF$10),0)</f>
        <v>0</v>
      </c>
      <c r="X162" s="127">
        <f ca="1">IF($C162="S",IF(Import.TipoArredondamento&lt;&gt;"TransfereGOV",VTOTAL1,SUM(OFFSET(CÁLCULO!$AA$15,ROW($X162)-ROW($X$15),1):OFFSET(CÁLCULO!$AL$15,ROW($X162)-ROW($X$15),-1))),IF($C162=0,0,ROUND(SomaAgrup,15-13*$AF$11)))</f>
        <v>0</v>
      </c>
      <c r="Y162" s="128" t="s">
        <v>245</v>
      </c>
      <c r="Z162" t="str">
        <f t="shared" ca="1" si="49"/>
        <v/>
      </c>
      <c r="AA162" s="129">
        <f ca="1">IF($C162="S",IF($Z162="CP",$X162,IF($Z162="RA",(($X162)*QCI!$AA$3),0)),SomaAgrup)</f>
        <v>0</v>
      </c>
      <c r="AB162" s="130">
        <f t="shared" ca="1" si="50"/>
        <v>0</v>
      </c>
      <c r="AC162" s="131" t="str">
        <f ca="1">IF($N162="","",IF(ORÇAMENTO.Descricao="","DESCRIÇÃO",IF(AND($C162="S",ORÇAMENTO.Unidade=""),"UNIDADE",IF($X162&lt;0,"VALOR NEGATIVO",IF(OR(AND(TIPOORCAMENTO="Proposto",$AG162&lt;&gt;"",$AG162&gt;0,ORÇAMENTO.CustoUnitario&gt;$AG162),AND(TIPOORCAMENTO="LICITADO",ORÇAMENTO.PrecoUnitarioLicitado&gt;$AN162)),"ACIMA REF.","")))))</f>
        <v/>
      </c>
      <c r="AD162" t="str">
        <f ca="1">IF(C162&lt;=CRONO.NivelExibicao,MAX($AD$15:OFFSET(AD162,-1,0))+IF($C162&lt;&gt;1,1,MAX(1,COUNTIF(QCI!$A$13:$A$24,OFFSET($E162,-1,0)))),"")</f>
        <v/>
      </c>
      <c r="AE162" s="7" t="b">
        <f ca="1">IF(AND($C162="S",ORÇAMENTO.CodBarra&lt;&gt;""),IF(ORÇAMENTO.Fonte="",ORÇAMENTO.CodBarra,CONCATENATE(ORÇAMENTO.Fonte," ",ORÇAMENTO.CodBarra)))</f>
        <v>0</v>
      </c>
      <c r="AF162" s="13" t="str">
        <f ca="1">IF(ISERROR(INDIRECT(ORÇAMENTO.BancoRef)),"(abra o arquivo 'Referência "&amp;Excel_BuiltIn_Database&amp;".xlsm)",IF(OR($C162&lt;&gt;"S",ORÇAMENTO.CodBarra=""),"(Sem Código)",IF(ISERROR(MATCH($AE162,INDIRECT(ORÇAMENTO.BancoRef),0)),"(Código não identificado nas referências)",MATCH($AE162,INDIRECT(ORÇAMENTO.BancoRef),0))))</f>
        <v>(abra o arquivo 'Referência 02-2025.xlsm)</v>
      </c>
      <c r="AG162" s="498">
        <f ca="1">ROUND(IF(DESONERACAO="sim",REFERENCIA.Desonerado,REFERENCIA.NaoDesonerado),2)</f>
        <v>0</v>
      </c>
      <c r="AH162" s="499">
        <f t="shared" ca="1" si="51"/>
        <v>0.22470000000000001</v>
      </c>
      <c r="AJ162" s="501"/>
      <c r="AL162" s="527"/>
      <c r="AM162" s="381">
        <f t="shared" ca="1" si="52"/>
        <v>0</v>
      </c>
      <c r="AN162" s="566">
        <f t="shared" ca="1" si="53"/>
        <v>0</v>
      </c>
    </row>
    <row r="163" spans="1:40" ht="25.5" x14ac:dyDescent="0.2">
      <c r="A163" t="str">
        <f t="shared" si="38"/>
        <v>S</v>
      </c>
      <c r="B163">
        <f t="shared" ca="1" si="39"/>
        <v>3</v>
      </c>
      <c r="C163" t="str">
        <f t="shared" ca="1" si="40"/>
        <v>S</v>
      </c>
      <c r="D163">
        <f t="shared" ca="1" si="41"/>
        <v>0</v>
      </c>
      <c r="E163">
        <f ca="1">IF($C163=1,OFFSET(E163,-1,0)+MAX(1,COUNTIF(QCI!$A$13:$A$24,OFFSET(ORÇAMENTO!E163,-1,0))),OFFSET(E163,-1,0))</f>
        <v>1</v>
      </c>
      <c r="F163">
        <f t="shared" ca="1" si="42"/>
        <v>6</v>
      </c>
      <c r="G163">
        <f t="shared" ca="1" si="43"/>
        <v>5</v>
      </c>
      <c r="H163">
        <f t="shared" ca="1" si="44"/>
        <v>0</v>
      </c>
      <c r="I163">
        <f t="shared" ca="1" si="45"/>
        <v>0</v>
      </c>
      <c r="J163">
        <f t="shared" ca="1" si="37"/>
        <v>0</v>
      </c>
      <c r="K163">
        <f ca="1">IF(OR($C163="S",$C163=0),0,MATCH(OFFSET($D163,0,$C163)+IF($C163&lt;&gt;1,1,COUNTIF(QCI!$A$13:$A$24,ORÇAMENTO!E163)),OFFSET($D163,1,$C163,ROW($C$747)-ROW($C163)),0))</f>
        <v>0</v>
      </c>
      <c r="L163" s="116" t="str">
        <f t="shared" ca="1" si="46"/>
        <v/>
      </c>
      <c r="M163" s="117" t="s">
        <v>199</v>
      </c>
      <c r="N163" s="118" t="str">
        <f t="shared" ca="1" si="47"/>
        <v>Serviço</v>
      </c>
      <c r="O163" s="119" t="str">
        <f t="shared" ca="1" si="48"/>
        <v>-</v>
      </c>
      <c r="P163" s="120" t="s">
        <v>712</v>
      </c>
      <c r="Q163" s="121" t="s">
        <v>749</v>
      </c>
      <c r="R163" s="122" t="str">
        <f ca="1">IF($C163="S",REFERENCIA.Descricao,"(digite a descrição aqui)")</f>
        <v>(abra o arquivo 'Referência 02-2025.xlsm)</v>
      </c>
      <c r="S163" s="123" t="str">
        <f ca="1">REFERENCIA.Unidade</f>
        <v>-</v>
      </c>
      <c r="T163" s="124">
        <f ca="1">OFFSET(CÁLCULO!H$15,ROW($T163)-ROW(T$15),0)</f>
        <v>8.51</v>
      </c>
      <c r="U163" s="125">
        <f t="shared" ca="1" si="54"/>
        <v>0</v>
      </c>
      <c r="V163" s="126" t="s">
        <v>156</v>
      </c>
      <c r="W163" s="124">
        <f ca="1">IF($C163="S",ROUND(IF(TIPOORCAMENTO="Proposto",ORÇAMENTO.CustoUnitario*(1+$AH163),ORÇAMENTO.PrecoUnitarioLicitado),15-13*$AF$10),0)</f>
        <v>0</v>
      </c>
      <c r="X163" s="127">
        <f ca="1">IF($C163="S",IF(Import.TipoArredondamento&lt;&gt;"TransfereGOV",VTOTAL1,SUM(OFFSET(CÁLCULO!$AA$15,ROW($X163)-ROW($X$15),1):OFFSET(CÁLCULO!$AL$15,ROW($X163)-ROW($X$15),-1))),IF($C163=0,0,ROUND(SomaAgrup,15-13*$AF$11)))</f>
        <v>0</v>
      </c>
      <c r="Y163" s="128" t="s">
        <v>245</v>
      </c>
      <c r="Z163" t="str">
        <f t="shared" ca="1" si="49"/>
        <v/>
      </c>
      <c r="AA163" s="129">
        <f ca="1">IF($C163="S",IF($Z163="CP",$X163,IF($Z163="RA",(($X163)*QCI!$AA$3),0)),SomaAgrup)</f>
        <v>0</v>
      </c>
      <c r="AB163" s="130">
        <f t="shared" ca="1" si="50"/>
        <v>0</v>
      </c>
      <c r="AC163" s="131" t="str">
        <f ca="1">IF($N163="","",IF(ORÇAMENTO.Descricao="","DESCRIÇÃO",IF(AND($C163="S",ORÇAMENTO.Unidade=""),"UNIDADE",IF($X163&lt;0,"VALOR NEGATIVO",IF(OR(AND(TIPOORCAMENTO="Proposto",$AG163&lt;&gt;"",$AG163&gt;0,ORÇAMENTO.CustoUnitario&gt;$AG163),AND(TIPOORCAMENTO="LICITADO",ORÇAMENTO.PrecoUnitarioLicitado&gt;$AN163)),"ACIMA REF.","")))))</f>
        <v/>
      </c>
      <c r="AD163" t="str">
        <f ca="1">IF(C163&lt;=CRONO.NivelExibicao,MAX($AD$15:OFFSET(AD163,-1,0))+IF($C163&lt;&gt;1,1,MAX(1,COUNTIF(QCI!$A$13:$A$24,OFFSET($E163,-1,0)))),"")</f>
        <v/>
      </c>
      <c r="AE163" s="7" t="str">
        <f ca="1">IF(AND($C163="S",ORÇAMENTO.CodBarra&lt;&gt;""),IF(ORÇAMENTO.Fonte="",ORÇAMENTO.CodBarra,CONCATENATE(ORÇAMENTO.Fonte," ",ORÇAMENTO.CodBarra)))</f>
        <v xml:space="preserve">Composição FNDE 279 </v>
      </c>
      <c r="AF163" s="13" t="str">
        <f ca="1">IF(ISERROR(INDIRECT(ORÇAMENTO.BancoRef)),"(abra o arquivo 'Referência "&amp;Excel_BuiltIn_Database&amp;".xlsm)",IF(OR($C163&lt;&gt;"S",ORÇAMENTO.CodBarra=""),"(Sem Código)",IF(ISERROR(MATCH($AE163,INDIRECT(ORÇAMENTO.BancoRef),0)),"(Código não identificado nas referências)",MATCH($AE163,INDIRECT(ORÇAMENTO.BancoRef),0))))</f>
        <v>(abra o arquivo 'Referência 02-2025.xlsm)</v>
      </c>
      <c r="AG163" s="498">
        <f ca="1">ROUND(IF(DESONERACAO="sim",REFERENCIA.Desonerado,REFERENCIA.NaoDesonerado),2)</f>
        <v>0</v>
      </c>
      <c r="AH163" s="499">
        <f t="shared" ca="1" si="51"/>
        <v>0.22470000000000001</v>
      </c>
      <c r="AJ163" s="501">
        <v>8.51</v>
      </c>
      <c r="AL163" s="527"/>
      <c r="AM163" s="381">
        <f t="shared" ca="1" si="52"/>
        <v>0</v>
      </c>
      <c r="AN163" s="566">
        <f t="shared" ca="1" si="53"/>
        <v>0</v>
      </c>
    </row>
    <row r="164" spans="1:40" ht="38.25" x14ac:dyDescent="0.2">
      <c r="A164" t="str">
        <f t="shared" si="38"/>
        <v>S</v>
      </c>
      <c r="B164">
        <f t="shared" ca="1" si="39"/>
        <v>3</v>
      </c>
      <c r="C164" t="str">
        <f t="shared" ca="1" si="40"/>
        <v>S</v>
      </c>
      <c r="D164">
        <f t="shared" ca="1" si="41"/>
        <v>0</v>
      </c>
      <c r="E164">
        <f ca="1">IF($C164=1,OFFSET(E164,-1,0)+MAX(1,COUNTIF(QCI!$A$13:$A$24,OFFSET(ORÇAMENTO!E164,-1,0))),OFFSET(E164,-1,0))</f>
        <v>1</v>
      </c>
      <c r="F164">
        <f t="shared" ca="1" si="42"/>
        <v>6</v>
      </c>
      <c r="G164">
        <f t="shared" ca="1" si="43"/>
        <v>5</v>
      </c>
      <c r="H164">
        <f t="shared" ca="1" si="44"/>
        <v>0</v>
      </c>
      <c r="I164">
        <f t="shared" ca="1" si="45"/>
        <v>0</v>
      </c>
      <c r="J164">
        <f t="shared" ca="1" si="37"/>
        <v>0</v>
      </c>
      <c r="K164">
        <f ca="1">IF(OR($C164="S",$C164=0),0,MATCH(OFFSET($D164,0,$C164)+IF($C164&lt;&gt;1,1,COUNTIF(QCI!$A$13:$A$24,ORÇAMENTO!E164)),OFFSET($D164,1,$C164,ROW($C$747)-ROW($C164)),0))</f>
        <v>0</v>
      </c>
      <c r="L164" s="116" t="str">
        <f t="shared" ca="1" si="46"/>
        <v/>
      </c>
      <c r="M164" s="117" t="s">
        <v>199</v>
      </c>
      <c r="N164" s="118" t="str">
        <f t="shared" ca="1" si="47"/>
        <v>Serviço</v>
      </c>
      <c r="O164" s="119" t="str">
        <f t="shared" ca="1" si="48"/>
        <v>-</v>
      </c>
      <c r="P164" s="120" t="s">
        <v>712</v>
      </c>
      <c r="Q164" s="121" t="s">
        <v>748</v>
      </c>
      <c r="R164" s="122" t="str">
        <f ca="1">IF($C164="S",REFERENCIA.Descricao,"(digite a descrição aqui)")</f>
        <v>(abra o arquivo 'Referência 02-2025.xlsm)</v>
      </c>
      <c r="S164" s="123" t="str">
        <f ca="1">REFERENCIA.Unidade</f>
        <v>-</v>
      </c>
      <c r="T164" s="124">
        <f ca="1">OFFSET(CÁLCULO!H$15,ROW($T164)-ROW(T$15),0)</f>
        <v>7.55</v>
      </c>
      <c r="U164" s="125">
        <f t="shared" ca="1" si="54"/>
        <v>0</v>
      </c>
      <c r="V164" s="126" t="s">
        <v>156</v>
      </c>
      <c r="W164" s="124">
        <f ca="1">IF($C164="S",ROUND(IF(TIPOORCAMENTO="Proposto",ORÇAMENTO.CustoUnitario*(1+$AH164),ORÇAMENTO.PrecoUnitarioLicitado),15-13*$AF$10),0)</f>
        <v>0</v>
      </c>
      <c r="X164" s="127">
        <f ca="1">IF($C164="S",IF(Import.TipoArredondamento&lt;&gt;"TransfereGOV",VTOTAL1,SUM(OFFSET(CÁLCULO!$AA$15,ROW($X164)-ROW($X$15),1):OFFSET(CÁLCULO!$AL$15,ROW($X164)-ROW($X$15),-1))),IF($C164=0,0,ROUND(SomaAgrup,15-13*$AF$11)))</f>
        <v>0</v>
      </c>
      <c r="Y164" s="128" t="s">
        <v>245</v>
      </c>
      <c r="Z164" t="str">
        <f t="shared" ca="1" si="49"/>
        <v/>
      </c>
      <c r="AA164" s="129">
        <f ca="1">IF($C164="S",IF($Z164="CP",$X164,IF($Z164="RA",(($X164)*QCI!$AA$3),0)),SomaAgrup)</f>
        <v>0</v>
      </c>
      <c r="AB164" s="130">
        <f t="shared" ca="1" si="50"/>
        <v>0</v>
      </c>
      <c r="AC164" s="131" t="str">
        <f ca="1">IF($N164="","",IF(ORÇAMENTO.Descricao="","DESCRIÇÃO",IF(AND($C164="S",ORÇAMENTO.Unidade=""),"UNIDADE",IF($X164&lt;0,"VALOR NEGATIVO",IF(OR(AND(TIPOORCAMENTO="Proposto",$AG164&lt;&gt;"",$AG164&gt;0,ORÇAMENTO.CustoUnitario&gt;$AG164),AND(TIPOORCAMENTO="LICITADO",ORÇAMENTO.PrecoUnitarioLicitado&gt;$AN164)),"ACIMA REF.","")))))</f>
        <v/>
      </c>
      <c r="AD164" t="str">
        <f ca="1">IF(C164&lt;=CRONO.NivelExibicao,MAX($AD$15:OFFSET(AD164,-1,0))+IF($C164&lt;&gt;1,1,MAX(1,COUNTIF(QCI!$A$13:$A$24,OFFSET($E164,-1,0)))),"")</f>
        <v/>
      </c>
      <c r="AE164" s="7" t="str">
        <f ca="1">IF(AND($C164="S",ORÇAMENTO.CodBarra&lt;&gt;""),IF(ORÇAMENTO.Fonte="",ORÇAMENTO.CodBarra,CONCATENATE(ORÇAMENTO.Fonte," ",ORÇAMENTO.CodBarra)))</f>
        <v>Composição FNDE 278</v>
      </c>
      <c r="AF164" s="13" t="str">
        <f ca="1">IF(ISERROR(INDIRECT(ORÇAMENTO.BancoRef)),"(abra o arquivo 'Referência "&amp;Excel_BuiltIn_Database&amp;".xlsm)",IF(OR($C164&lt;&gt;"S",ORÇAMENTO.CodBarra=""),"(Sem Código)",IF(ISERROR(MATCH($AE164,INDIRECT(ORÇAMENTO.BancoRef),0)),"(Código não identificado nas referências)",MATCH($AE164,INDIRECT(ORÇAMENTO.BancoRef),0))))</f>
        <v>(abra o arquivo 'Referência 02-2025.xlsm)</v>
      </c>
      <c r="AG164" s="498">
        <f ca="1">ROUND(IF(DESONERACAO="sim",REFERENCIA.Desonerado,REFERENCIA.NaoDesonerado),2)</f>
        <v>0</v>
      </c>
      <c r="AH164" s="499">
        <f t="shared" ca="1" si="51"/>
        <v>0.22470000000000001</v>
      </c>
      <c r="AJ164" s="501">
        <v>7.55</v>
      </c>
      <c r="AL164" s="527"/>
      <c r="AM164" s="381">
        <f t="shared" ca="1" si="52"/>
        <v>0</v>
      </c>
      <c r="AN164" s="566">
        <f t="shared" ca="1" si="53"/>
        <v>0</v>
      </c>
    </row>
    <row r="165" spans="1:40" x14ac:dyDescent="0.2">
      <c r="A165">
        <f t="shared" si="38"/>
        <v>3</v>
      </c>
      <c r="B165">
        <f t="shared" ca="1" si="39"/>
        <v>3</v>
      </c>
      <c r="C165">
        <f t="shared" ca="1" si="40"/>
        <v>3</v>
      </c>
      <c r="D165">
        <f t="shared" ca="1" si="41"/>
        <v>12</v>
      </c>
      <c r="E165">
        <f ca="1">IF($C165=1,OFFSET(E165,-1,0)+MAX(1,COUNTIF(QCI!$A$13:$A$24,OFFSET(ORÇAMENTO!E165,-1,0))),OFFSET(E165,-1,0))</f>
        <v>1</v>
      </c>
      <c r="F165">
        <f t="shared" ca="1" si="42"/>
        <v>6</v>
      </c>
      <c r="G165">
        <f t="shared" ca="1" si="43"/>
        <v>6</v>
      </c>
      <c r="H165">
        <f t="shared" ca="1" si="44"/>
        <v>0</v>
      </c>
      <c r="I165">
        <f t="shared" ca="1" si="45"/>
        <v>0</v>
      </c>
      <c r="J165">
        <f t="shared" ca="1" si="37"/>
        <v>12</v>
      </c>
      <c r="K165">
        <f ca="1">IF(OR($C165="S",$C165=0),0,MATCH(OFFSET($D165,0,$C165)+IF($C165&lt;&gt;1,1,COUNTIF(QCI!$A$13:$A$24,ORÇAMENTO!E165)),OFFSET($D165,1,$C165,ROW($C$747)-ROW($C165)),0))</f>
        <v>387</v>
      </c>
      <c r="L165" s="116" t="str">
        <f t="shared" ca="1" si="46"/>
        <v>F</v>
      </c>
      <c r="M165" s="117" t="s">
        <v>197</v>
      </c>
      <c r="N165" s="118" t="str">
        <f t="shared" ca="1" si="47"/>
        <v>Nível 3</v>
      </c>
      <c r="O165" s="119" t="str">
        <f t="shared" ca="1" si="48"/>
        <v>1.6.6.</v>
      </c>
      <c r="P165" s="120" t="s">
        <v>247</v>
      </c>
      <c r="Q165" s="121"/>
      <c r="R165" s="122" t="str">
        <f ca="1">IF($C165="S",REFERENCIA.Descricao,"ESQUADRIA GERAL")</f>
        <v>ESQUADRIA GERAL</v>
      </c>
      <c r="S165" s="123" t="str">
        <f ca="1">REFERENCIA.Unidade</f>
        <v>-</v>
      </c>
      <c r="T165" s="124">
        <f ca="1">OFFSET(CÁLCULO!H$15,ROW($T165)-ROW(T$15),0)</f>
        <v>0</v>
      </c>
      <c r="U165" s="125">
        <f t="shared" ca="1" si="54"/>
        <v>0</v>
      </c>
      <c r="V165" s="126" t="s">
        <v>156</v>
      </c>
      <c r="W165" s="124">
        <f ca="1">IF($C165="S",ROUND(IF(TIPOORCAMENTO="Proposto",ORÇAMENTO.CustoUnitario*(1+$AH165),ORÇAMENTO.PrecoUnitarioLicitado),15-13*$AF$10),0)</f>
        <v>0</v>
      </c>
      <c r="X165" s="127">
        <f ca="1">IF($C165="S",IF(Import.TipoArredondamento&lt;&gt;"TransfereGOV",VTOTAL1,SUM(OFFSET(CÁLCULO!$AA$15,ROW($X165)-ROW($X$15),1):OFFSET(CÁLCULO!$AL$15,ROW($X165)-ROW($X$15),-1))),IF($C165=0,0,ROUND(SomaAgrup,15-13*$AF$11)))</f>
        <v>0</v>
      </c>
      <c r="Y165" s="128" t="s">
        <v>245</v>
      </c>
      <c r="Z165" t="str">
        <f t="shared" ca="1" si="49"/>
        <v/>
      </c>
      <c r="AA165" s="129">
        <f ca="1">IF($C165="S",IF($Z165="CP",$X165,IF($Z165="RA",(($X165)*QCI!$AA$3),0)),SomaAgrup)</f>
        <v>0</v>
      </c>
      <c r="AB165" s="130">
        <f t="shared" ca="1" si="50"/>
        <v>0</v>
      </c>
      <c r="AC165" s="131" t="str">
        <f ca="1">IF($N165="","",IF(ORÇAMENTO.Descricao="","DESCRIÇÃO",IF(AND($C165="S",ORÇAMENTO.Unidade=""),"UNIDADE",IF($X165&lt;0,"VALOR NEGATIVO",IF(OR(AND(TIPOORCAMENTO="Proposto",$AG165&lt;&gt;"",$AG165&gt;0,ORÇAMENTO.CustoUnitario&gt;$AG165),AND(TIPOORCAMENTO="LICITADO",ORÇAMENTO.PrecoUnitarioLicitado&gt;$AN165)),"ACIMA REF.","")))))</f>
        <v/>
      </c>
      <c r="AD165" t="str">
        <f ca="1">IF(C165&lt;=CRONO.NivelExibicao,MAX($AD$15:OFFSET(AD165,-1,0))+IF($C165&lt;&gt;1,1,MAX(1,COUNTIF(QCI!$A$13:$A$24,OFFSET($E165,-1,0)))),"")</f>
        <v/>
      </c>
      <c r="AE165" s="7" t="b">
        <f ca="1">IF(AND($C165="S",ORÇAMENTO.CodBarra&lt;&gt;""),IF(ORÇAMENTO.Fonte="",ORÇAMENTO.CodBarra,CONCATENATE(ORÇAMENTO.Fonte," ",ORÇAMENTO.CodBarra)))</f>
        <v>0</v>
      </c>
      <c r="AF165" s="13" t="str">
        <f ca="1">IF(ISERROR(INDIRECT(ORÇAMENTO.BancoRef)),"(abra o arquivo 'Referência "&amp;Excel_BuiltIn_Database&amp;".xlsm)",IF(OR($C165&lt;&gt;"S",ORÇAMENTO.CodBarra=""),"(Sem Código)",IF(ISERROR(MATCH($AE165,INDIRECT(ORÇAMENTO.BancoRef),0)),"(Código não identificado nas referências)",MATCH($AE165,INDIRECT(ORÇAMENTO.BancoRef),0))))</f>
        <v>(abra o arquivo 'Referência 02-2025.xlsm)</v>
      </c>
      <c r="AG165" s="498">
        <f ca="1">ROUND(IF(DESONERACAO="sim",REFERENCIA.Desonerado,REFERENCIA.NaoDesonerado),2)</f>
        <v>0</v>
      </c>
      <c r="AH165" s="499">
        <f t="shared" ca="1" si="51"/>
        <v>0.22470000000000001</v>
      </c>
      <c r="AJ165" s="501"/>
      <c r="AL165" s="527"/>
      <c r="AM165" s="381">
        <f t="shared" ca="1" si="52"/>
        <v>0</v>
      </c>
      <c r="AN165" s="566">
        <f t="shared" ca="1" si="53"/>
        <v>0</v>
      </c>
    </row>
    <row r="166" spans="1:40" ht="38.25" x14ac:dyDescent="0.2">
      <c r="A166" t="str">
        <f t="shared" si="38"/>
        <v>S</v>
      </c>
      <c r="B166">
        <f t="shared" ca="1" si="39"/>
        <v>3</v>
      </c>
      <c r="C166" t="str">
        <f t="shared" ca="1" si="40"/>
        <v>S</v>
      </c>
      <c r="D166">
        <f t="shared" ca="1" si="41"/>
        <v>0</v>
      </c>
      <c r="E166">
        <f ca="1">IF($C166=1,OFFSET(E166,-1,0)+MAX(1,COUNTIF(QCI!$A$13:$A$24,OFFSET(ORÇAMENTO!E166,-1,0))),OFFSET(E166,-1,0))</f>
        <v>1</v>
      </c>
      <c r="F166">
        <f t="shared" ca="1" si="42"/>
        <v>6</v>
      </c>
      <c r="G166">
        <f t="shared" ca="1" si="43"/>
        <v>6</v>
      </c>
      <c r="H166">
        <f t="shared" ca="1" si="44"/>
        <v>0</v>
      </c>
      <c r="I166">
        <f t="shared" ca="1" si="45"/>
        <v>0</v>
      </c>
      <c r="J166">
        <f t="shared" ca="1" si="37"/>
        <v>0</v>
      </c>
      <c r="K166">
        <f ca="1">IF(OR($C166="S",$C166=0),0,MATCH(OFFSET($D166,0,$C166)+IF($C166&lt;&gt;1,1,COUNTIF(QCI!$A$13:$A$24,ORÇAMENTO!E166)),OFFSET($D166,1,$C166,ROW($C$747)-ROW($C166)),0))</f>
        <v>0</v>
      </c>
      <c r="L166" s="116" t="str">
        <f t="shared" ca="1" si="46"/>
        <v/>
      </c>
      <c r="M166" s="117" t="s">
        <v>199</v>
      </c>
      <c r="N166" s="118" t="str">
        <f t="shared" ca="1" si="47"/>
        <v>Serviço</v>
      </c>
      <c r="O166" s="119" t="str">
        <f t="shared" ca="1" si="48"/>
        <v>-</v>
      </c>
      <c r="P166" s="120" t="s">
        <v>712</v>
      </c>
      <c r="Q166" s="121" t="s">
        <v>750</v>
      </c>
      <c r="R166" s="122" t="str">
        <f ca="1">IF($C166="S",REFERENCIA.Descricao,"(digite a descrição aqui)")</f>
        <v>(abra o arquivo 'Referência 02-2025.xlsm)</v>
      </c>
      <c r="S166" s="123" t="str">
        <f ca="1">REFERENCIA.Unidade</f>
        <v>-</v>
      </c>
      <c r="T166" s="124">
        <f ca="1">OFFSET(CÁLCULO!H$15,ROW($T166)-ROW(T$15),0)</f>
        <v>3.08</v>
      </c>
      <c r="U166" s="125">
        <f t="shared" ca="1" si="54"/>
        <v>0</v>
      </c>
      <c r="V166" s="126" t="s">
        <v>156</v>
      </c>
      <c r="W166" s="124">
        <f ca="1">IF($C166="S",ROUND(IF(TIPOORCAMENTO="Proposto",ORÇAMENTO.CustoUnitario*(1+$AH166),ORÇAMENTO.PrecoUnitarioLicitado),15-13*$AF$10),0)</f>
        <v>0</v>
      </c>
      <c r="X166" s="127">
        <f ca="1">IF($C166="S",IF(Import.TipoArredondamento&lt;&gt;"TransfereGOV",VTOTAL1,SUM(OFFSET(CÁLCULO!$AA$15,ROW($X166)-ROW($X$15),1):OFFSET(CÁLCULO!$AL$15,ROW($X166)-ROW($X$15),-1))),IF($C166=0,0,ROUND(SomaAgrup,15-13*$AF$11)))</f>
        <v>0</v>
      </c>
      <c r="Y166" s="128" t="s">
        <v>245</v>
      </c>
      <c r="Z166" t="str">
        <f t="shared" ca="1" si="49"/>
        <v/>
      </c>
      <c r="AA166" s="129">
        <f ca="1">IF($C166="S",IF($Z166="CP",$X166,IF($Z166="RA",(($X166)*QCI!$AA$3),0)),SomaAgrup)</f>
        <v>0</v>
      </c>
      <c r="AB166" s="130">
        <f t="shared" ca="1" si="50"/>
        <v>0</v>
      </c>
      <c r="AC166" s="131" t="str">
        <f ca="1">IF($N166="","",IF(ORÇAMENTO.Descricao="","DESCRIÇÃO",IF(AND($C166="S",ORÇAMENTO.Unidade=""),"UNIDADE",IF($X166&lt;0,"VALOR NEGATIVO",IF(OR(AND(TIPOORCAMENTO="Proposto",$AG166&lt;&gt;"",$AG166&gt;0,ORÇAMENTO.CustoUnitario&gt;$AG166),AND(TIPOORCAMENTO="LICITADO",ORÇAMENTO.PrecoUnitarioLicitado&gt;$AN166)),"ACIMA REF.","")))))</f>
        <v/>
      </c>
      <c r="AD166" t="str">
        <f ca="1">IF(C166&lt;=CRONO.NivelExibicao,MAX($AD$15:OFFSET(AD166,-1,0))+IF($C166&lt;&gt;1,1,MAX(1,COUNTIF(QCI!$A$13:$A$24,OFFSET($E166,-1,0)))),"")</f>
        <v/>
      </c>
      <c r="AE166" s="7" t="str">
        <f ca="1">IF(AND($C166="S",ORÇAMENTO.CodBarra&lt;&gt;""),IF(ORÇAMENTO.Fonte="",ORÇAMENTO.CodBarra,CONCATENATE(ORÇAMENTO.Fonte," ",ORÇAMENTO.CodBarra)))</f>
        <v>Composição FNDE 280</v>
      </c>
      <c r="AF166" s="13" t="str">
        <f ca="1">IF(ISERROR(INDIRECT(ORÇAMENTO.BancoRef)),"(abra o arquivo 'Referência "&amp;Excel_BuiltIn_Database&amp;".xlsm)",IF(OR($C166&lt;&gt;"S",ORÇAMENTO.CodBarra=""),"(Sem Código)",IF(ISERROR(MATCH($AE166,INDIRECT(ORÇAMENTO.BancoRef),0)),"(Código não identificado nas referências)",MATCH($AE166,INDIRECT(ORÇAMENTO.BancoRef),0))))</f>
        <v>(abra o arquivo 'Referência 02-2025.xlsm)</v>
      </c>
      <c r="AG166" s="498">
        <f ca="1">ROUND(IF(DESONERACAO="sim",REFERENCIA.Desonerado,REFERENCIA.NaoDesonerado),2)</f>
        <v>0</v>
      </c>
      <c r="AH166" s="499">
        <f t="shared" ca="1" si="51"/>
        <v>0.22470000000000001</v>
      </c>
      <c r="AJ166" s="501">
        <v>3.08</v>
      </c>
      <c r="AL166" s="527"/>
      <c r="AM166" s="381">
        <f t="shared" ca="1" si="52"/>
        <v>0</v>
      </c>
      <c r="AN166" s="566">
        <f t="shared" ca="1" si="53"/>
        <v>0</v>
      </c>
    </row>
    <row r="167" spans="1:40" ht="38.25" x14ac:dyDescent="0.2">
      <c r="A167" t="str">
        <f t="shared" si="38"/>
        <v>S</v>
      </c>
      <c r="B167">
        <f t="shared" ca="1" si="39"/>
        <v>3</v>
      </c>
      <c r="C167" t="str">
        <f t="shared" ca="1" si="40"/>
        <v>S</v>
      </c>
      <c r="D167">
        <f t="shared" ca="1" si="41"/>
        <v>0</v>
      </c>
      <c r="E167">
        <f ca="1">IF($C167=1,OFFSET(E167,-1,0)+MAX(1,COUNTIF(QCI!$A$13:$A$24,OFFSET(ORÇAMENTO!E167,-1,0))),OFFSET(E167,-1,0))</f>
        <v>1</v>
      </c>
      <c r="F167">
        <f t="shared" ca="1" si="42"/>
        <v>6</v>
      </c>
      <c r="G167">
        <f t="shared" ca="1" si="43"/>
        <v>6</v>
      </c>
      <c r="H167">
        <f t="shared" ca="1" si="44"/>
        <v>0</v>
      </c>
      <c r="I167">
        <f t="shared" ca="1" si="45"/>
        <v>0</v>
      </c>
      <c r="J167">
        <f t="shared" ca="1" si="37"/>
        <v>0</v>
      </c>
      <c r="K167">
        <f ca="1">IF(OR($C167="S",$C167=0),0,MATCH(OFFSET($D167,0,$C167)+IF($C167&lt;&gt;1,1,COUNTIF(QCI!$A$13:$A$24,ORÇAMENTO!E167)),OFFSET($D167,1,$C167,ROW($C$747)-ROW($C167)),0))</f>
        <v>0</v>
      </c>
      <c r="L167" s="116" t="str">
        <f t="shared" ca="1" si="46"/>
        <v/>
      </c>
      <c r="M167" s="117" t="s">
        <v>199</v>
      </c>
      <c r="N167" s="118" t="str">
        <f t="shared" ca="1" si="47"/>
        <v>Serviço</v>
      </c>
      <c r="O167" s="119" t="str">
        <f t="shared" ca="1" si="48"/>
        <v>-</v>
      </c>
      <c r="P167" s="120" t="s">
        <v>712</v>
      </c>
      <c r="Q167" s="121" t="s">
        <v>751</v>
      </c>
      <c r="R167" s="122" t="str">
        <f ca="1">IF($C167="S",REFERENCIA.Descricao,"(digite a descrição aqui)")</f>
        <v>(abra o arquivo 'Referência 02-2025.xlsm)</v>
      </c>
      <c r="S167" s="123" t="str">
        <f ca="1">REFERENCIA.Unidade</f>
        <v>-</v>
      </c>
      <c r="T167" s="124">
        <f ca="1">OFFSET(CÁLCULO!H$15,ROW($T167)-ROW(T$15),0)</f>
        <v>7.35</v>
      </c>
      <c r="U167" s="125">
        <f t="shared" ca="1" si="54"/>
        <v>0</v>
      </c>
      <c r="V167" s="126" t="s">
        <v>156</v>
      </c>
      <c r="W167" s="124">
        <f ca="1">IF($C167="S",ROUND(IF(TIPOORCAMENTO="Proposto",ORÇAMENTO.CustoUnitario*(1+$AH167),ORÇAMENTO.PrecoUnitarioLicitado),15-13*$AF$10),0)</f>
        <v>0</v>
      </c>
      <c r="X167" s="127">
        <f ca="1">IF($C167="S",IF(Import.TipoArredondamento&lt;&gt;"TransfereGOV",VTOTAL1,SUM(OFFSET(CÁLCULO!$AA$15,ROW($X167)-ROW($X$15),1):OFFSET(CÁLCULO!$AL$15,ROW($X167)-ROW($X$15),-1))),IF($C167=0,0,ROUND(SomaAgrup,15-13*$AF$11)))</f>
        <v>0</v>
      </c>
      <c r="Y167" s="128" t="s">
        <v>245</v>
      </c>
      <c r="Z167" t="str">
        <f t="shared" ca="1" si="49"/>
        <v/>
      </c>
      <c r="AA167" s="129">
        <f ca="1">IF($C167="S",IF($Z167="CP",$X167,IF($Z167="RA",(($X167)*QCI!$AA$3),0)),SomaAgrup)</f>
        <v>0</v>
      </c>
      <c r="AB167" s="130">
        <f t="shared" ca="1" si="50"/>
        <v>0</v>
      </c>
      <c r="AC167" s="131" t="str">
        <f ca="1">IF($N167="","",IF(ORÇAMENTO.Descricao="","DESCRIÇÃO",IF(AND($C167="S",ORÇAMENTO.Unidade=""),"UNIDADE",IF($X167&lt;0,"VALOR NEGATIVO",IF(OR(AND(TIPOORCAMENTO="Proposto",$AG167&lt;&gt;"",$AG167&gt;0,ORÇAMENTO.CustoUnitario&gt;$AG167),AND(TIPOORCAMENTO="LICITADO",ORÇAMENTO.PrecoUnitarioLicitado&gt;$AN167)),"ACIMA REF.","")))))</f>
        <v/>
      </c>
      <c r="AD167" t="str">
        <f ca="1">IF(C167&lt;=CRONO.NivelExibicao,MAX($AD$15:OFFSET(AD167,-1,0))+IF($C167&lt;&gt;1,1,MAX(1,COUNTIF(QCI!$A$13:$A$24,OFFSET($E167,-1,0)))),"")</f>
        <v/>
      </c>
      <c r="AE167" s="7" t="str">
        <f ca="1">IF(AND($C167="S",ORÇAMENTO.CodBarra&lt;&gt;""),IF(ORÇAMENTO.Fonte="",ORÇAMENTO.CodBarra,CONCATENATE(ORÇAMENTO.Fonte," ",ORÇAMENTO.CodBarra)))</f>
        <v>Composição FNDE 08</v>
      </c>
      <c r="AF167" s="13" t="str">
        <f ca="1">IF(ISERROR(INDIRECT(ORÇAMENTO.BancoRef)),"(abra o arquivo 'Referência "&amp;Excel_BuiltIn_Database&amp;".xlsm)",IF(OR($C167&lt;&gt;"S",ORÇAMENTO.CodBarra=""),"(Sem Código)",IF(ISERROR(MATCH($AE167,INDIRECT(ORÇAMENTO.BancoRef),0)),"(Código não identificado nas referências)",MATCH($AE167,INDIRECT(ORÇAMENTO.BancoRef),0))))</f>
        <v>(abra o arquivo 'Referência 02-2025.xlsm)</v>
      </c>
      <c r="AG167" s="498">
        <f ca="1">ROUND(IF(DESONERACAO="sim",REFERENCIA.Desonerado,REFERENCIA.NaoDesonerado),2)</f>
        <v>0</v>
      </c>
      <c r="AH167" s="499">
        <f t="shared" ca="1" si="51"/>
        <v>0.22470000000000001</v>
      </c>
      <c r="AJ167" s="501">
        <v>7.35</v>
      </c>
      <c r="AL167" s="527"/>
      <c r="AM167" s="381">
        <f t="shared" ca="1" si="52"/>
        <v>0</v>
      </c>
      <c r="AN167" s="566">
        <f t="shared" ca="1" si="53"/>
        <v>0</v>
      </c>
    </row>
    <row r="168" spans="1:40" ht="25.5" x14ac:dyDescent="0.2">
      <c r="A168" t="str">
        <f t="shared" si="38"/>
        <v>S</v>
      </c>
      <c r="B168">
        <f t="shared" ca="1" si="39"/>
        <v>3</v>
      </c>
      <c r="C168" t="str">
        <f t="shared" ca="1" si="40"/>
        <v>S</v>
      </c>
      <c r="D168">
        <f t="shared" ca="1" si="41"/>
        <v>0</v>
      </c>
      <c r="E168">
        <f ca="1">IF($C168=1,OFFSET(E168,-1,0)+MAX(1,COUNTIF(QCI!$A$13:$A$24,OFFSET(ORÇAMENTO!E168,-1,0))),OFFSET(E168,-1,0))</f>
        <v>1</v>
      </c>
      <c r="F168">
        <f t="shared" ca="1" si="42"/>
        <v>6</v>
      </c>
      <c r="G168">
        <f t="shared" ca="1" si="43"/>
        <v>6</v>
      </c>
      <c r="H168">
        <f t="shared" ca="1" si="44"/>
        <v>0</v>
      </c>
      <c r="I168">
        <f t="shared" ca="1" si="45"/>
        <v>0</v>
      </c>
      <c r="J168">
        <f t="shared" ca="1" si="37"/>
        <v>0</v>
      </c>
      <c r="K168">
        <f ca="1">IF(OR($C168="S",$C168=0),0,MATCH(OFFSET($D168,0,$C168)+IF($C168&lt;&gt;1,1,COUNTIF(QCI!$A$13:$A$24,ORÇAMENTO!E168)),OFFSET($D168,1,$C168,ROW($C$747)-ROW($C168)),0))</f>
        <v>0</v>
      </c>
      <c r="L168" s="116" t="str">
        <f t="shared" ca="1" si="46"/>
        <v/>
      </c>
      <c r="M168" s="117" t="s">
        <v>199</v>
      </c>
      <c r="N168" s="118" t="str">
        <f t="shared" ca="1" si="47"/>
        <v>Serviço</v>
      </c>
      <c r="O168" s="119" t="str">
        <f t="shared" ca="1" si="48"/>
        <v>-</v>
      </c>
      <c r="P168" s="120" t="s">
        <v>712</v>
      </c>
      <c r="Q168" s="121" t="s">
        <v>752</v>
      </c>
      <c r="R168" s="122" t="str">
        <f ca="1">IF($C168="S",REFERENCIA.Descricao,"(digite a descrição aqui)")</f>
        <v>(abra o arquivo 'Referência 02-2025.xlsm)</v>
      </c>
      <c r="S168" s="123" t="str">
        <f ca="1">REFERENCIA.Unidade</f>
        <v>-</v>
      </c>
      <c r="T168" s="124">
        <f ca="1">OFFSET(CÁLCULO!H$15,ROW($T168)-ROW(T$15),0)</f>
        <v>72.819999999999993</v>
      </c>
      <c r="U168" s="125">
        <f t="shared" ca="1" si="54"/>
        <v>0</v>
      </c>
      <c r="V168" s="126" t="s">
        <v>156</v>
      </c>
      <c r="W168" s="124">
        <f ca="1">IF($C168="S",ROUND(IF(TIPOORCAMENTO="Proposto",ORÇAMENTO.CustoUnitario*(1+$AH168),ORÇAMENTO.PrecoUnitarioLicitado),15-13*$AF$10),0)</f>
        <v>0</v>
      </c>
      <c r="X168" s="127">
        <f ca="1">IF($C168="S",IF(Import.TipoArredondamento&lt;&gt;"TransfereGOV",VTOTAL1,SUM(OFFSET(CÁLCULO!$AA$15,ROW($X168)-ROW($X$15),1):OFFSET(CÁLCULO!$AL$15,ROW($X168)-ROW($X$15),-1))),IF($C168=0,0,ROUND(SomaAgrup,15-13*$AF$11)))</f>
        <v>0</v>
      </c>
      <c r="Y168" s="128" t="s">
        <v>245</v>
      </c>
      <c r="Z168" t="str">
        <f t="shared" ca="1" si="49"/>
        <v/>
      </c>
      <c r="AA168" s="129">
        <f ca="1">IF($C168="S",IF($Z168="CP",$X168,IF($Z168="RA",(($X168)*QCI!$AA$3),0)),SomaAgrup)</f>
        <v>0</v>
      </c>
      <c r="AB168" s="130">
        <f t="shared" ca="1" si="50"/>
        <v>0</v>
      </c>
      <c r="AC168" s="131" t="str">
        <f ca="1">IF($N168="","",IF(ORÇAMENTO.Descricao="","DESCRIÇÃO",IF(AND($C168="S",ORÇAMENTO.Unidade=""),"UNIDADE",IF($X168&lt;0,"VALOR NEGATIVO",IF(OR(AND(TIPOORCAMENTO="Proposto",$AG168&lt;&gt;"",$AG168&gt;0,ORÇAMENTO.CustoUnitario&gt;$AG168),AND(TIPOORCAMENTO="LICITADO",ORÇAMENTO.PrecoUnitarioLicitado&gt;$AN168)),"ACIMA REF.","")))))</f>
        <v/>
      </c>
      <c r="AD168" t="str">
        <f ca="1">IF(C168&lt;=CRONO.NivelExibicao,MAX($AD$15:OFFSET(AD168,-1,0))+IF($C168&lt;&gt;1,1,MAX(1,COUNTIF(QCI!$A$13:$A$24,OFFSET($E168,-1,0)))),"")</f>
        <v/>
      </c>
      <c r="AE168" s="7" t="str">
        <f ca="1">IF(AND($C168="S",ORÇAMENTO.CodBarra&lt;&gt;""),IF(ORÇAMENTO.Fonte="",ORÇAMENTO.CodBarra,CONCATENATE(ORÇAMENTO.Fonte," ",ORÇAMENTO.CodBarra)))</f>
        <v>Composição FNDE 281</v>
      </c>
      <c r="AF168" s="13" t="str">
        <f ca="1">IF(ISERROR(INDIRECT(ORÇAMENTO.BancoRef)),"(abra o arquivo 'Referência "&amp;Excel_BuiltIn_Database&amp;".xlsm)",IF(OR($C168&lt;&gt;"S",ORÇAMENTO.CodBarra=""),"(Sem Código)",IF(ISERROR(MATCH($AE168,INDIRECT(ORÇAMENTO.BancoRef),0)),"(Código não identificado nas referências)",MATCH($AE168,INDIRECT(ORÇAMENTO.BancoRef),0))))</f>
        <v>(abra o arquivo 'Referência 02-2025.xlsm)</v>
      </c>
      <c r="AG168" s="498">
        <f ca="1">ROUND(IF(DESONERACAO="sim",REFERENCIA.Desonerado,REFERENCIA.NaoDesonerado),2)</f>
        <v>0</v>
      </c>
      <c r="AH168" s="499">
        <f t="shared" ca="1" si="51"/>
        <v>0.22470000000000001</v>
      </c>
      <c r="AJ168" s="501">
        <v>72.819999999999993</v>
      </c>
      <c r="AL168" s="527"/>
      <c r="AM168" s="381">
        <f t="shared" ca="1" si="52"/>
        <v>0</v>
      </c>
      <c r="AN168" s="566">
        <f t="shared" ca="1" si="53"/>
        <v>0</v>
      </c>
    </row>
    <row r="169" spans="1:40" ht="25.5" x14ac:dyDescent="0.2">
      <c r="A169" t="str">
        <f t="shared" si="38"/>
        <v>S</v>
      </c>
      <c r="B169">
        <f t="shared" ca="1" si="39"/>
        <v>3</v>
      </c>
      <c r="C169" t="str">
        <f t="shared" ca="1" si="40"/>
        <v>S</v>
      </c>
      <c r="D169">
        <f t="shared" ca="1" si="41"/>
        <v>0</v>
      </c>
      <c r="E169">
        <f ca="1">IF($C169=1,OFFSET(E169,-1,0)+MAX(1,COUNTIF(QCI!$A$13:$A$24,OFFSET(ORÇAMENTO!E169,-1,0))),OFFSET(E169,-1,0))</f>
        <v>1</v>
      </c>
      <c r="F169">
        <f t="shared" ca="1" si="42"/>
        <v>6</v>
      </c>
      <c r="G169">
        <f t="shared" ca="1" si="43"/>
        <v>6</v>
      </c>
      <c r="H169">
        <f t="shared" ca="1" si="44"/>
        <v>0</v>
      </c>
      <c r="I169">
        <f t="shared" ca="1" si="45"/>
        <v>0</v>
      </c>
      <c r="J169">
        <f t="shared" ca="1" si="37"/>
        <v>0</v>
      </c>
      <c r="K169">
        <f ca="1">IF(OR($C169="S",$C169=0),0,MATCH(OFFSET($D169,0,$C169)+IF($C169&lt;&gt;1,1,COUNTIF(QCI!$A$13:$A$24,ORÇAMENTO!E169)),OFFSET($D169,1,$C169,ROW($C$747)-ROW($C169)),0))</f>
        <v>0</v>
      </c>
      <c r="L169" s="116" t="str">
        <f t="shared" ca="1" si="46"/>
        <v/>
      </c>
      <c r="M169" s="117" t="s">
        <v>199</v>
      </c>
      <c r="N169" s="118" t="str">
        <f t="shared" ca="1" si="47"/>
        <v>Serviço</v>
      </c>
      <c r="O169" s="119" t="str">
        <f t="shared" ca="1" si="48"/>
        <v>-</v>
      </c>
      <c r="P169" s="120" t="s">
        <v>712</v>
      </c>
      <c r="Q169" s="121" t="s">
        <v>753</v>
      </c>
      <c r="R169" s="122" t="str">
        <f ca="1">IF($C169="S",REFERENCIA.Descricao,"(digite a descrição aqui)")</f>
        <v>(abra o arquivo 'Referência 02-2025.xlsm)</v>
      </c>
      <c r="S169" s="123" t="str">
        <f ca="1">REFERENCIA.Unidade</f>
        <v>-</v>
      </c>
      <c r="T169" s="124">
        <f ca="1">OFFSET(CÁLCULO!H$15,ROW($T169)-ROW(T$15),0)</f>
        <v>50.85</v>
      </c>
      <c r="U169" s="125">
        <f t="shared" ca="1" si="54"/>
        <v>0</v>
      </c>
      <c r="V169" s="126" t="s">
        <v>156</v>
      </c>
      <c r="W169" s="124">
        <f ca="1">IF($C169="S",ROUND(IF(TIPOORCAMENTO="Proposto",ORÇAMENTO.CustoUnitario*(1+$AH169),ORÇAMENTO.PrecoUnitarioLicitado),15-13*$AF$10),0)</f>
        <v>0</v>
      </c>
      <c r="X169" s="127">
        <f ca="1">IF($C169="S",IF(Import.TipoArredondamento&lt;&gt;"TransfereGOV",VTOTAL1,SUM(OFFSET(CÁLCULO!$AA$15,ROW($X169)-ROW($X$15),1):OFFSET(CÁLCULO!$AL$15,ROW($X169)-ROW($X$15),-1))),IF($C169=0,0,ROUND(SomaAgrup,15-13*$AF$11)))</f>
        <v>0</v>
      </c>
      <c r="Y169" s="128" t="s">
        <v>245</v>
      </c>
      <c r="Z169" t="str">
        <f t="shared" ca="1" si="49"/>
        <v/>
      </c>
      <c r="AA169" s="129">
        <f ca="1">IF($C169="S",IF($Z169="CP",$X169,IF($Z169="RA",(($X169)*QCI!$AA$3),0)),SomaAgrup)</f>
        <v>0</v>
      </c>
      <c r="AB169" s="130">
        <f t="shared" ca="1" si="50"/>
        <v>0</v>
      </c>
      <c r="AC169" s="131" t="str">
        <f ca="1">IF($N169="","",IF(ORÇAMENTO.Descricao="","DESCRIÇÃO",IF(AND($C169="S",ORÇAMENTO.Unidade=""),"UNIDADE",IF($X169&lt;0,"VALOR NEGATIVO",IF(OR(AND(TIPOORCAMENTO="Proposto",$AG169&lt;&gt;"",$AG169&gt;0,ORÇAMENTO.CustoUnitario&gt;$AG169),AND(TIPOORCAMENTO="LICITADO",ORÇAMENTO.PrecoUnitarioLicitado&gt;$AN169)),"ACIMA REF.","")))))</f>
        <v/>
      </c>
      <c r="AD169" t="str">
        <f ca="1">IF(C169&lt;=CRONO.NivelExibicao,MAX($AD$15:OFFSET(AD169,-1,0))+IF($C169&lt;&gt;1,1,MAX(1,COUNTIF(QCI!$A$13:$A$24,OFFSET($E169,-1,0)))),"")</f>
        <v/>
      </c>
      <c r="AE169" s="7" t="str">
        <f ca="1">IF(AND($C169="S",ORÇAMENTO.CodBarra&lt;&gt;""),IF(ORÇAMENTO.Fonte="",ORÇAMENTO.CodBarra,CONCATENATE(ORÇAMENTO.Fonte," ",ORÇAMENTO.CodBarra)))</f>
        <v>Composição FNDE 282</v>
      </c>
      <c r="AF169" s="13" t="str">
        <f ca="1">IF(ISERROR(INDIRECT(ORÇAMENTO.BancoRef)),"(abra o arquivo 'Referência "&amp;Excel_BuiltIn_Database&amp;".xlsm)",IF(OR($C169&lt;&gt;"S",ORÇAMENTO.CodBarra=""),"(Sem Código)",IF(ISERROR(MATCH($AE169,INDIRECT(ORÇAMENTO.BancoRef),0)),"(Código não identificado nas referências)",MATCH($AE169,INDIRECT(ORÇAMENTO.BancoRef),0))))</f>
        <v>(abra o arquivo 'Referência 02-2025.xlsm)</v>
      </c>
      <c r="AG169" s="498">
        <f ca="1">ROUND(IF(DESONERACAO="sim",REFERENCIA.Desonerado,REFERENCIA.NaoDesonerado),2)</f>
        <v>0</v>
      </c>
      <c r="AH169" s="499">
        <f t="shared" ca="1" si="51"/>
        <v>0.22470000000000001</v>
      </c>
      <c r="AJ169" s="501">
        <v>50.85</v>
      </c>
      <c r="AL169" s="527"/>
      <c r="AM169" s="381">
        <f t="shared" ca="1" si="52"/>
        <v>0</v>
      </c>
      <c r="AN169" s="566">
        <f t="shared" ca="1" si="53"/>
        <v>0</v>
      </c>
    </row>
    <row r="170" spans="1:40" ht="25.5" x14ac:dyDescent="0.2">
      <c r="A170" t="str">
        <f t="shared" si="38"/>
        <v>S</v>
      </c>
      <c r="B170">
        <f t="shared" ca="1" si="39"/>
        <v>3</v>
      </c>
      <c r="C170" t="str">
        <f t="shared" ca="1" si="40"/>
        <v>S</v>
      </c>
      <c r="D170">
        <f t="shared" ca="1" si="41"/>
        <v>0</v>
      </c>
      <c r="E170">
        <f ca="1">IF($C170=1,OFFSET(E170,-1,0)+MAX(1,COUNTIF(QCI!$A$13:$A$24,OFFSET(ORÇAMENTO!E170,-1,0))),OFFSET(E170,-1,0))</f>
        <v>1</v>
      </c>
      <c r="F170">
        <f t="shared" ca="1" si="42"/>
        <v>6</v>
      </c>
      <c r="G170">
        <f t="shared" ca="1" si="43"/>
        <v>6</v>
      </c>
      <c r="H170">
        <f t="shared" ca="1" si="44"/>
        <v>0</v>
      </c>
      <c r="I170">
        <f t="shared" ca="1" si="45"/>
        <v>0</v>
      </c>
      <c r="J170">
        <f t="shared" ca="1" si="37"/>
        <v>0</v>
      </c>
      <c r="K170">
        <f ca="1">IF(OR($C170="S",$C170=0),0,MATCH(OFFSET($D170,0,$C170)+IF($C170&lt;&gt;1,1,COUNTIF(QCI!$A$13:$A$24,ORÇAMENTO!E170)),OFFSET($D170,1,$C170,ROW($C$747)-ROW($C170)),0))</f>
        <v>0</v>
      </c>
      <c r="L170" s="116" t="str">
        <f t="shared" ca="1" si="46"/>
        <v/>
      </c>
      <c r="M170" s="117" t="s">
        <v>199</v>
      </c>
      <c r="N170" s="118" t="str">
        <f t="shared" ca="1" si="47"/>
        <v>Serviço</v>
      </c>
      <c r="O170" s="119" t="str">
        <f t="shared" ca="1" si="48"/>
        <v>-</v>
      </c>
      <c r="P170" s="120" t="s">
        <v>712</v>
      </c>
      <c r="Q170" s="121" t="s">
        <v>759</v>
      </c>
      <c r="R170" s="122" t="str">
        <f ca="1">IF($C170="S",REFERENCIA.Descricao,"(digite a descrição aqui)")</f>
        <v>(abra o arquivo 'Referência 02-2025.xlsm)</v>
      </c>
      <c r="S170" s="123" t="str">
        <f ca="1">REFERENCIA.Unidade</f>
        <v>-</v>
      </c>
      <c r="T170" s="124">
        <f ca="1">OFFSET(CÁLCULO!H$15,ROW($T170)-ROW(T$15),0)</f>
        <v>33.96</v>
      </c>
      <c r="U170" s="125">
        <f t="shared" ca="1" si="54"/>
        <v>0</v>
      </c>
      <c r="V170" s="126" t="s">
        <v>156</v>
      </c>
      <c r="W170" s="124">
        <f ca="1">IF($C170="S",ROUND(IF(TIPOORCAMENTO="Proposto",ORÇAMENTO.CustoUnitario*(1+$AH170),ORÇAMENTO.PrecoUnitarioLicitado),15-13*$AF$10),0)</f>
        <v>0</v>
      </c>
      <c r="X170" s="127">
        <f ca="1">IF($C170="S",IF(Import.TipoArredondamento&lt;&gt;"TransfereGOV",VTOTAL1,SUM(OFFSET(CÁLCULO!$AA$15,ROW($X170)-ROW($X$15),1):OFFSET(CÁLCULO!$AL$15,ROW($X170)-ROW($X$15),-1))),IF($C170=0,0,ROUND(SomaAgrup,15-13*$AF$11)))</f>
        <v>0</v>
      </c>
      <c r="Y170" s="128" t="s">
        <v>245</v>
      </c>
      <c r="Z170" t="str">
        <f t="shared" ca="1" si="49"/>
        <v/>
      </c>
      <c r="AA170" s="129">
        <f ca="1">IF($C170="S",IF($Z170="CP",$X170,IF($Z170="RA",(($X170)*QCI!$AA$3),0)),SomaAgrup)</f>
        <v>0</v>
      </c>
      <c r="AB170" s="130">
        <f t="shared" ca="1" si="50"/>
        <v>0</v>
      </c>
      <c r="AC170" s="131" t="str">
        <f ca="1">IF($N170="","",IF(ORÇAMENTO.Descricao="","DESCRIÇÃO",IF(AND($C170="S",ORÇAMENTO.Unidade=""),"UNIDADE",IF($X170&lt;0,"VALOR NEGATIVO",IF(OR(AND(TIPOORCAMENTO="Proposto",$AG170&lt;&gt;"",$AG170&gt;0,ORÇAMENTO.CustoUnitario&gt;$AG170),AND(TIPOORCAMENTO="LICITADO",ORÇAMENTO.PrecoUnitarioLicitado&gt;$AN170)),"ACIMA REF.","")))))</f>
        <v/>
      </c>
      <c r="AD170" t="str">
        <f ca="1">IF(C170&lt;=CRONO.NivelExibicao,MAX($AD$15:OFFSET(AD170,-1,0))+IF($C170&lt;&gt;1,1,MAX(1,COUNTIF(QCI!$A$13:$A$24,OFFSET($E170,-1,0)))),"")</f>
        <v/>
      </c>
      <c r="AE170" s="7" t="str">
        <f ca="1">IF(AND($C170="S",ORÇAMENTO.CodBarra&lt;&gt;""),IF(ORÇAMENTO.Fonte="",ORÇAMENTO.CodBarra,CONCATENATE(ORÇAMENTO.Fonte," ",ORÇAMENTO.CodBarra)))</f>
        <v xml:space="preserve">Composição FNDE 60 </v>
      </c>
      <c r="AF170" s="13" t="str">
        <f ca="1">IF(ISERROR(INDIRECT(ORÇAMENTO.BancoRef)),"(abra o arquivo 'Referência "&amp;Excel_BuiltIn_Database&amp;".xlsm)",IF(OR($C170&lt;&gt;"S",ORÇAMENTO.CodBarra=""),"(Sem Código)",IF(ISERROR(MATCH($AE170,INDIRECT(ORÇAMENTO.BancoRef),0)),"(Código não identificado nas referências)",MATCH($AE170,INDIRECT(ORÇAMENTO.BancoRef),0))))</f>
        <v>(abra o arquivo 'Referência 02-2025.xlsm)</v>
      </c>
      <c r="AG170" s="498">
        <f ca="1">ROUND(IF(DESONERACAO="sim",REFERENCIA.Desonerado,REFERENCIA.NaoDesonerado),2)</f>
        <v>0</v>
      </c>
      <c r="AH170" s="499">
        <f t="shared" ca="1" si="51"/>
        <v>0.22470000000000001</v>
      </c>
      <c r="AJ170" s="501">
        <v>33.96</v>
      </c>
      <c r="AL170" s="527"/>
      <c r="AM170" s="381">
        <f t="shared" ca="1" si="52"/>
        <v>0</v>
      </c>
      <c r="AN170" s="566">
        <f t="shared" ca="1" si="53"/>
        <v>0</v>
      </c>
    </row>
    <row r="171" spans="1:40" x14ac:dyDescent="0.2">
      <c r="A171" t="str">
        <f t="shared" si="38"/>
        <v>S</v>
      </c>
      <c r="B171">
        <f t="shared" ca="1" si="39"/>
        <v>3</v>
      </c>
      <c r="C171" t="str">
        <f t="shared" ca="1" si="40"/>
        <v>S</v>
      </c>
      <c r="D171">
        <f t="shared" ca="1" si="41"/>
        <v>0</v>
      </c>
      <c r="E171">
        <f ca="1">IF($C171=1,OFFSET(E171,-1,0)+MAX(1,COUNTIF(QCI!$A$13:$A$24,OFFSET(ORÇAMENTO!E171,-1,0))),OFFSET(E171,-1,0))</f>
        <v>1</v>
      </c>
      <c r="F171">
        <f t="shared" ca="1" si="42"/>
        <v>6</v>
      </c>
      <c r="G171">
        <f t="shared" ca="1" si="43"/>
        <v>6</v>
      </c>
      <c r="H171">
        <f t="shared" ca="1" si="44"/>
        <v>0</v>
      </c>
      <c r="I171">
        <f t="shared" ca="1" si="45"/>
        <v>0</v>
      </c>
      <c r="J171">
        <f t="shared" ca="1" si="37"/>
        <v>0</v>
      </c>
      <c r="K171">
        <f ca="1">IF(OR($C171="S",$C171=0),0,MATCH(OFFSET($D171,0,$C171)+IF($C171&lt;&gt;1,1,COUNTIF(QCI!$A$13:$A$24,ORÇAMENTO!E171)),OFFSET($D171,1,$C171,ROW($C$747)-ROW($C171)),0))</f>
        <v>0</v>
      </c>
      <c r="L171" s="116" t="str">
        <f t="shared" ca="1" si="46"/>
        <v/>
      </c>
      <c r="M171" s="117" t="s">
        <v>199</v>
      </c>
      <c r="N171" s="118" t="str">
        <f t="shared" ca="1" si="47"/>
        <v>Serviço</v>
      </c>
      <c r="O171" s="119" t="str">
        <f t="shared" ca="1" si="48"/>
        <v>-</v>
      </c>
      <c r="P171" s="120" t="s">
        <v>712</v>
      </c>
      <c r="Q171" s="121" t="s">
        <v>754</v>
      </c>
      <c r="R171" s="122" t="str">
        <f ca="1">IF($C171="S",REFERENCIA.Descricao,"(digite a descrição aqui)")</f>
        <v>(abra o arquivo 'Referência 02-2025.xlsm)</v>
      </c>
      <c r="S171" s="123" t="str">
        <f ca="1">REFERENCIA.Unidade</f>
        <v>-</v>
      </c>
      <c r="T171" s="124">
        <f ca="1">OFFSET(CÁLCULO!H$15,ROW($T171)-ROW(T$15),0)</f>
        <v>81.3</v>
      </c>
      <c r="U171" s="125">
        <f t="shared" ca="1" si="54"/>
        <v>0</v>
      </c>
      <c r="V171" s="126" t="s">
        <v>156</v>
      </c>
      <c r="W171" s="124">
        <f ca="1">IF($C171="S",ROUND(IF(TIPOORCAMENTO="Proposto",ORÇAMENTO.CustoUnitario*(1+$AH171),ORÇAMENTO.PrecoUnitarioLicitado),15-13*$AF$10),0)</f>
        <v>0</v>
      </c>
      <c r="X171" s="127">
        <f ca="1">IF($C171="S",IF(Import.TipoArredondamento&lt;&gt;"TransfereGOV",VTOTAL1,SUM(OFFSET(CÁLCULO!$AA$15,ROW($X171)-ROW($X$15),1):OFFSET(CÁLCULO!$AL$15,ROW($X171)-ROW($X$15),-1))),IF($C171=0,0,ROUND(SomaAgrup,15-13*$AF$11)))</f>
        <v>0</v>
      </c>
      <c r="Y171" s="128" t="s">
        <v>245</v>
      </c>
      <c r="Z171" t="str">
        <f t="shared" ca="1" si="49"/>
        <v/>
      </c>
      <c r="AA171" s="129">
        <f ca="1">IF($C171="S",IF($Z171="CP",$X171,IF($Z171="RA",(($X171)*QCI!$AA$3),0)),SomaAgrup)</f>
        <v>0</v>
      </c>
      <c r="AB171" s="130">
        <f t="shared" ca="1" si="50"/>
        <v>0</v>
      </c>
      <c r="AC171" s="131" t="str">
        <f ca="1">IF($N171="","",IF(ORÇAMENTO.Descricao="","DESCRIÇÃO",IF(AND($C171="S",ORÇAMENTO.Unidade=""),"UNIDADE",IF($X171&lt;0,"VALOR NEGATIVO",IF(OR(AND(TIPOORCAMENTO="Proposto",$AG171&lt;&gt;"",$AG171&gt;0,ORÇAMENTO.CustoUnitario&gt;$AG171),AND(TIPOORCAMENTO="LICITADO",ORÇAMENTO.PrecoUnitarioLicitado&gt;$AN171)),"ACIMA REF.","")))))</f>
        <v/>
      </c>
      <c r="AD171" t="str">
        <f ca="1">IF(C171&lt;=CRONO.NivelExibicao,MAX($AD$15:OFFSET(AD171,-1,0))+IF($C171&lt;&gt;1,1,MAX(1,COUNTIF(QCI!$A$13:$A$24,OFFSET($E171,-1,0)))),"")</f>
        <v/>
      </c>
      <c r="AE171" s="7" t="str">
        <f ca="1">IF(AND($C171="S",ORÇAMENTO.CodBarra&lt;&gt;""),IF(ORÇAMENTO.Fonte="",ORÇAMENTO.CodBarra,CONCATENATE(ORÇAMENTO.Fonte," ",ORÇAMENTO.CodBarra)))</f>
        <v>Composição FNDE 283</v>
      </c>
      <c r="AF171" s="13" t="str">
        <f ca="1">IF(ISERROR(INDIRECT(ORÇAMENTO.BancoRef)),"(abra o arquivo 'Referência "&amp;Excel_BuiltIn_Database&amp;".xlsm)",IF(OR($C171&lt;&gt;"S",ORÇAMENTO.CodBarra=""),"(Sem Código)",IF(ISERROR(MATCH($AE171,INDIRECT(ORÇAMENTO.BancoRef),0)),"(Código não identificado nas referências)",MATCH($AE171,INDIRECT(ORÇAMENTO.BancoRef),0))))</f>
        <v>(abra o arquivo 'Referência 02-2025.xlsm)</v>
      </c>
      <c r="AG171" s="498">
        <f ca="1">ROUND(IF(DESONERACAO="sim",REFERENCIA.Desonerado,REFERENCIA.NaoDesonerado),2)</f>
        <v>0</v>
      </c>
      <c r="AH171" s="499">
        <f t="shared" ca="1" si="51"/>
        <v>0.22470000000000001</v>
      </c>
      <c r="AJ171" s="501">
        <v>81.3</v>
      </c>
      <c r="AL171" s="527"/>
      <c r="AM171" s="381">
        <f t="shared" ca="1" si="52"/>
        <v>0</v>
      </c>
      <c r="AN171" s="566">
        <f t="shared" ca="1" si="53"/>
        <v>0</v>
      </c>
    </row>
    <row r="172" spans="1:40" ht="51" x14ac:dyDescent="0.2">
      <c r="A172" t="str">
        <f t="shared" si="38"/>
        <v>S</v>
      </c>
      <c r="B172">
        <f t="shared" ca="1" si="39"/>
        <v>3</v>
      </c>
      <c r="C172" t="str">
        <f t="shared" ca="1" si="40"/>
        <v>S</v>
      </c>
      <c r="D172">
        <f t="shared" ca="1" si="41"/>
        <v>0</v>
      </c>
      <c r="E172">
        <f ca="1">IF($C172=1,OFFSET(E172,-1,0)+MAX(1,COUNTIF(QCI!$A$13:$A$24,OFFSET(ORÇAMENTO!E172,-1,0))),OFFSET(E172,-1,0))</f>
        <v>1</v>
      </c>
      <c r="F172">
        <f t="shared" ca="1" si="42"/>
        <v>6</v>
      </c>
      <c r="G172">
        <f t="shared" ca="1" si="43"/>
        <v>6</v>
      </c>
      <c r="H172">
        <f t="shared" ca="1" si="44"/>
        <v>0</v>
      </c>
      <c r="I172">
        <f t="shared" ca="1" si="45"/>
        <v>0</v>
      </c>
      <c r="J172">
        <f t="shared" ca="1" si="37"/>
        <v>0</v>
      </c>
      <c r="K172">
        <f ca="1">IF(OR($C172="S",$C172=0),0,MATCH(OFFSET($D172,0,$C172)+IF($C172&lt;&gt;1,1,COUNTIF(QCI!$A$13:$A$24,ORÇAMENTO!E172)),OFFSET($D172,1,$C172,ROW($C$747)-ROW($C172)),0))</f>
        <v>0</v>
      </c>
      <c r="L172" s="116" t="str">
        <f t="shared" ca="1" si="46"/>
        <v/>
      </c>
      <c r="M172" s="117" t="s">
        <v>199</v>
      </c>
      <c r="N172" s="118" t="str">
        <f t="shared" ca="1" si="47"/>
        <v>Serviço</v>
      </c>
      <c r="O172" s="119" t="str">
        <f t="shared" ca="1" si="48"/>
        <v>-</v>
      </c>
      <c r="P172" s="120" t="s">
        <v>712</v>
      </c>
      <c r="Q172" s="121" t="s">
        <v>755</v>
      </c>
      <c r="R172" s="122" t="str">
        <f ca="1">IF($C172="S",REFERENCIA.Descricao,"(digite a descrição aqui)")</f>
        <v>(abra o arquivo 'Referência 02-2025.xlsm)</v>
      </c>
      <c r="S172" s="123" t="str">
        <f ca="1">REFERENCIA.Unidade</f>
        <v>-</v>
      </c>
      <c r="T172" s="124">
        <f ca="1">OFFSET(CÁLCULO!H$15,ROW($T172)-ROW(T$15),0)</f>
        <v>7.77</v>
      </c>
      <c r="U172" s="125">
        <f t="shared" ca="1" si="54"/>
        <v>0</v>
      </c>
      <c r="V172" s="126" t="s">
        <v>156</v>
      </c>
      <c r="W172" s="124">
        <f ca="1">IF($C172="S",ROUND(IF(TIPOORCAMENTO="Proposto",ORÇAMENTO.CustoUnitario*(1+$AH172),ORÇAMENTO.PrecoUnitarioLicitado),15-13*$AF$10),0)</f>
        <v>0</v>
      </c>
      <c r="X172" s="127">
        <f ca="1">IF($C172="S",IF(Import.TipoArredondamento&lt;&gt;"TransfereGOV",VTOTAL1,SUM(OFFSET(CÁLCULO!$AA$15,ROW($X172)-ROW($X$15),1):OFFSET(CÁLCULO!$AL$15,ROW($X172)-ROW($X$15),-1))),IF($C172=0,0,ROUND(SomaAgrup,15-13*$AF$11)))</f>
        <v>0</v>
      </c>
      <c r="Y172" s="128" t="s">
        <v>245</v>
      </c>
      <c r="Z172" t="str">
        <f t="shared" ca="1" si="49"/>
        <v/>
      </c>
      <c r="AA172" s="129">
        <f ca="1">IF($C172="S",IF($Z172="CP",$X172,IF($Z172="RA",(($X172)*QCI!$AA$3),0)),SomaAgrup)</f>
        <v>0</v>
      </c>
      <c r="AB172" s="130">
        <f t="shared" ca="1" si="50"/>
        <v>0</v>
      </c>
      <c r="AC172" s="131" t="str">
        <f ca="1">IF($N172="","",IF(ORÇAMENTO.Descricao="","DESCRIÇÃO",IF(AND($C172="S",ORÇAMENTO.Unidade=""),"UNIDADE",IF($X172&lt;0,"VALOR NEGATIVO",IF(OR(AND(TIPOORCAMENTO="Proposto",$AG172&lt;&gt;"",$AG172&gt;0,ORÇAMENTO.CustoUnitario&gt;$AG172),AND(TIPOORCAMENTO="LICITADO",ORÇAMENTO.PrecoUnitarioLicitado&gt;$AN172)),"ACIMA REF.","")))))</f>
        <v/>
      </c>
      <c r="AD172" t="str">
        <f ca="1">IF(C172&lt;=CRONO.NivelExibicao,MAX($AD$15:OFFSET(AD172,-1,0))+IF($C172&lt;&gt;1,1,MAX(1,COUNTIF(QCI!$A$13:$A$24,OFFSET($E172,-1,0)))),"")</f>
        <v/>
      </c>
      <c r="AE172" s="7" t="str">
        <f ca="1">IF(AND($C172="S",ORÇAMENTO.CodBarra&lt;&gt;""),IF(ORÇAMENTO.Fonte="",ORÇAMENTO.CodBarra,CONCATENATE(ORÇAMENTO.Fonte," ",ORÇAMENTO.CodBarra)))</f>
        <v>Composição FNDE 284</v>
      </c>
      <c r="AF172" s="13" t="str">
        <f ca="1">IF(ISERROR(INDIRECT(ORÇAMENTO.BancoRef)),"(abra o arquivo 'Referência "&amp;Excel_BuiltIn_Database&amp;".xlsm)",IF(OR($C172&lt;&gt;"S",ORÇAMENTO.CodBarra=""),"(Sem Código)",IF(ISERROR(MATCH($AE172,INDIRECT(ORÇAMENTO.BancoRef),0)),"(Código não identificado nas referências)",MATCH($AE172,INDIRECT(ORÇAMENTO.BancoRef),0))))</f>
        <v>(abra o arquivo 'Referência 02-2025.xlsm)</v>
      </c>
      <c r="AG172" s="498">
        <f ca="1">ROUND(IF(DESONERACAO="sim",REFERENCIA.Desonerado,REFERENCIA.NaoDesonerado),2)</f>
        <v>0</v>
      </c>
      <c r="AH172" s="499">
        <f t="shared" ca="1" si="51"/>
        <v>0.22470000000000001</v>
      </c>
      <c r="AJ172" s="501">
        <v>7.77</v>
      </c>
      <c r="AL172" s="527"/>
      <c r="AM172" s="381">
        <f t="shared" ca="1" si="52"/>
        <v>0</v>
      </c>
      <c r="AN172" s="566">
        <f t="shared" ca="1" si="53"/>
        <v>0</v>
      </c>
    </row>
    <row r="173" spans="1:40" ht="51" x14ac:dyDescent="0.2">
      <c r="A173" t="str">
        <f t="shared" si="38"/>
        <v>S</v>
      </c>
      <c r="B173">
        <f t="shared" ca="1" si="39"/>
        <v>3</v>
      </c>
      <c r="C173" t="str">
        <f t="shared" ca="1" si="40"/>
        <v>S</v>
      </c>
      <c r="D173">
        <f t="shared" ca="1" si="41"/>
        <v>0</v>
      </c>
      <c r="E173">
        <f ca="1">IF($C173=1,OFFSET(E173,-1,0)+MAX(1,COUNTIF(QCI!$A$13:$A$24,OFFSET(ORÇAMENTO!E173,-1,0))),OFFSET(E173,-1,0))</f>
        <v>1</v>
      </c>
      <c r="F173">
        <f t="shared" ca="1" si="42"/>
        <v>6</v>
      </c>
      <c r="G173">
        <f t="shared" ca="1" si="43"/>
        <v>6</v>
      </c>
      <c r="H173">
        <f t="shared" ca="1" si="44"/>
        <v>0</v>
      </c>
      <c r="I173">
        <f t="shared" ca="1" si="45"/>
        <v>0</v>
      </c>
      <c r="J173">
        <f t="shared" ca="1" si="37"/>
        <v>0</v>
      </c>
      <c r="K173">
        <f ca="1">IF(OR($C173="S",$C173=0),0,MATCH(OFFSET($D173,0,$C173)+IF($C173&lt;&gt;1,1,COUNTIF(QCI!$A$13:$A$24,ORÇAMENTO!E173)),OFFSET($D173,1,$C173,ROW($C$747)-ROW($C173)),0))</f>
        <v>0</v>
      </c>
      <c r="L173" s="116" t="str">
        <f t="shared" ca="1" si="46"/>
        <v/>
      </c>
      <c r="M173" s="117" t="s">
        <v>199</v>
      </c>
      <c r="N173" s="118" t="str">
        <f t="shared" ca="1" si="47"/>
        <v>Serviço</v>
      </c>
      <c r="O173" s="119" t="str">
        <f t="shared" ca="1" si="48"/>
        <v>-</v>
      </c>
      <c r="P173" s="120" t="s">
        <v>712</v>
      </c>
      <c r="Q173" s="121" t="s">
        <v>756</v>
      </c>
      <c r="R173" s="122" t="str">
        <f ca="1">IF($C173="S",REFERENCIA.Descricao,"(digite a descrição aqui)")</f>
        <v>(abra o arquivo 'Referência 02-2025.xlsm)</v>
      </c>
      <c r="S173" s="123" t="str">
        <f ca="1">REFERENCIA.Unidade</f>
        <v>-</v>
      </c>
      <c r="T173" s="124">
        <f ca="1">OFFSET(CÁLCULO!H$15,ROW($T173)-ROW(T$15),0)</f>
        <v>5.6</v>
      </c>
      <c r="U173" s="125">
        <f t="shared" ca="1" si="54"/>
        <v>0</v>
      </c>
      <c r="V173" s="126" t="s">
        <v>156</v>
      </c>
      <c r="W173" s="124">
        <f ca="1">IF($C173="S",ROUND(IF(TIPOORCAMENTO="Proposto",ORÇAMENTO.CustoUnitario*(1+$AH173),ORÇAMENTO.PrecoUnitarioLicitado),15-13*$AF$10),0)</f>
        <v>0</v>
      </c>
      <c r="X173" s="127">
        <f ca="1">IF($C173="S",IF(Import.TipoArredondamento&lt;&gt;"TransfereGOV",VTOTAL1,SUM(OFFSET(CÁLCULO!$AA$15,ROW($X173)-ROW($X$15),1):OFFSET(CÁLCULO!$AL$15,ROW($X173)-ROW($X$15),-1))),IF($C173=0,0,ROUND(SomaAgrup,15-13*$AF$11)))</f>
        <v>0</v>
      </c>
      <c r="Y173" s="128" t="s">
        <v>245</v>
      </c>
      <c r="Z173" t="str">
        <f t="shared" ca="1" si="49"/>
        <v/>
      </c>
      <c r="AA173" s="129">
        <f ca="1">IF($C173="S",IF($Z173="CP",$X173,IF($Z173="RA",(($X173)*QCI!$AA$3),0)),SomaAgrup)</f>
        <v>0</v>
      </c>
      <c r="AB173" s="130">
        <f t="shared" ca="1" si="50"/>
        <v>0</v>
      </c>
      <c r="AC173" s="131" t="str">
        <f ca="1">IF($N173="","",IF(ORÇAMENTO.Descricao="","DESCRIÇÃO",IF(AND($C173="S",ORÇAMENTO.Unidade=""),"UNIDADE",IF($X173&lt;0,"VALOR NEGATIVO",IF(OR(AND(TIPOORCAMENTO="Proposto",$AG173&lt;&gt;"",$AG173&gt;0,ORÇAMENTO.CustoUnitario&gt;$AG173),AND(TIPOORCAMENTO="LICITADO",ORÇAMENTO.PrecoUnitarioLicitado&gt;$AN173)),"ACIMA REF.","")))))</f>
        <v/>
      </c>
      <c r="AD173" t="str">
        <f ca="1">IF(C173&lt;=CRONO.NivelExibicao,MAX($AD$15:OFFSET(AD173,-1,0))+IF($C173&lt;&gt;1,1,MAX(1,COUNTIF(QCI!$A$13:$A$24,OFFSET($E173,-1,0)))),"")</f>
        <v/>
      </c>
      <c r="AE173" s="7" t="str">
        <f ca="1">IF(AND($C173="S",ORÇAMENTO.CodBarra&lt;&gt;""),IF(ORÇAMENTO.Fonte="",ORÇAMENTO.CodBarra,CONCATENATE(ORÇAMENTO.Fonte," ",ORÇAMENTO.CodBarra)))</f>
        <v>Composição FNDE 285</v>
      </c>
      <c r="AF173" s="13" t="str">
        <f ca="1">IF(ISERROR(INDIRECT(ORÇAMENTO.BancoRef)),"(abra o arquivo 'Referência "&amp;Excel_BuiltIn_Database&amp;".xlsm)",IF(OR($C173&lt;&gt;"S",ORÇAMENTO.CodBarra=""),"(Sem Código)",IF(ISERROR(MATCH($AE173,INDIRECT(ORÇAMENTO.BancoRef),0)),"(Código não identificado nas referências)",MATCH($AE173,INDIRECT(ORÇAMENTO.BancoRef),0))))</f>
        <v>(abra o arquivo 'Referência 02-2025.xlsm)</v>
      </c>
      <c r="AG173" s="498">
        <f ca="1">ROUND(IF(DESONERACAO="sim",REFERENCIA.Desonerado,REFERENCIA.NaoDesonerado),2)</f>
        <v>0</v>
      </c>
      <c r="AH173" s="499">
        <f t="shared" ca="1" si="51"/>
        <v>0.22470000000000001</v>
      </c>
      <c r="AJ173" s="501">
        <v>5.6</v>
      </c>
      <c r="AL173" s="527"/>
      <c r="AM173" s="381">
        <f t="shared" ca="1" si="52"/>
        <v>0</v>
      </c>
      <c r="AN173" s="566">
        <f t="shared" ca="1" si="53"/>
        <v>0</v>
      </c>
    </row>
    <row r="174" spans="1:40" ht="51" x14ac:dyDescent="0.2">
      <c r="A174" t="str">
        <f t="shared" si="38"/>
        <v>S</v>
      </c>
      <c r="B174">
        <f t="shared" ca="1" si="39"/>
        <v>3</v>
      </c>
      <c r="C174" t="str">
        <f t="shared" ca="1" si="40"/>
        <v>S</v>
      </c>
      <c r="D174">
        <f t="shared" ca="1" si="41"/>
        <v>0</v>
      </c>
      <c r="E174">
        <f ca="1">IF($C174=1,OFFSET(E174,-1,0)+MAX(1,COUNTIF(QCI!$A$13:$A$24,OFFSET(ORÇAMENTO!E174,-1,0))),OFFSET(E174,-1,0))</f>
        <v>1</v>
      </c>
      <c r="F174">
        <f t="shared" ca="1" si="42"/>
        <v>6</v>
      </c>
      <c r="G174">
        <f t="shared" ca="1" si="43"/>
        <v>6</v>
      </c>
      <c r="H174">
        <f t="shared" ca="1" si="44"/>
        <v>0</v>
      </c>
      <c r="I174">
        <f t="shared" ca="1" si="45"/>
        <v>0</v>
      </c>
      <c r="J174">
        <f t="shared" ca="1" si="37"/>
        <v>0</v>
      </c>
      <c r="K174">
        <f ca="1">IF(OR($C174="S",$C174=0),0,MATCH(OFFSET($D174,0,$C174)+IF($C174&lt;&gt;1,1,COUNTIF(QCI!$A$13:$A$24,ORÇAMENTO!E174)),OFFSET($D174,1,$C174,ROW($C$747)-ROW($C174)),0))</f>
        <v>0</v>
      </c>
      <c r="L174" s="116" t="str">
        <f t="shared" ca="1" si="46"/>
        <v/>
      </c>
      <c r="M174" s="117" t="s">
        <v>199</v>
      </c>
      <c r="N174" s="118" t="str">
        <f t="shared" ca="1" si="47"/>
        <v>Serviço</v>
      </c>
      <c r="O174" s="119" t="str">
        <f t="shared" ca="1" si="48"/>
        <v>-</v>
      </c>
      <c r="P174" s="120" t="s">
        <v>712</v>
      </c>
      <c r="Q174" s="121" t="s">
        <v>757</v>
      </c>
      <c r="R174" s="122" t="str">
        <f ca="1">IF($C174="S",REFERENCIA.Descricao,"(digite a descrição aqui)")</f>
        <v>(abra o arquivo 'Referência 02-2025.xlsm)</v>
      </c>
      <c r="S174" s="123" t="str">
        <f ca="1">REFERENCIA.Unidade</f>
        <v>-</v>
      </c>
      <c r="T174" s="124">
        <f ca="1">OFFSET(CÁLCULO!H$15,ROW($T174)-ROW(T$15),0)</f>
        <v>2.4</v>
      </c>
      <c r="U174" s="125">
        <f t="shared" ca="1" si="54"/>
        <v>0</v>
      </c>
      <c r="V174" s="126" t="s">
        <v>156</v>
      </c>
      <c r="W174" s="124">
        <f ca="1">IF($C174="S",ROUND(IF(TIPOORCAMENTO="Proposto",ORÇAMENTO.CustoUnitario*(1+$AH174),ORÇAMENTO.PrecoUnitarioLicitado),15-13*$AF$10),0)</f>
        <v>0</v>
      </c>
      <c r="X174" s="127">
        <f ca="1">IF($C174="S",IF(Import.TipoArredondamento&lt;&gt;"TransfereGOV",VTOTAL1,SUM(OFFSET(CÁLCULO!$AA$15,ROW($X174)-ROW($X$15),1):OFFSET(CÁLCULO!$AL$15,ROW($X174)-ROW($X$15),-1))),IF($C174=0,0,ROUND(SomaAgrup,15-13*$AF$11)))</f>
        <v>0</v>
      </c>
      <c r="Y174" s="128" t="s">
        <v>245</v>
      </c>
      <c r="Z174" t="str">
        <f t="shared" ca="1" si="49"/>
        <v/>
      </c>
      <c r="AA174" s="129">
        <f ca="1">IF($C174="S",IF($Z174="CP",$X174,IF($Z174="RA",(($X174)*QCI!$AA$3),0)),SomaAgrup)</f>
        <v>0</v>
      </c>
      <c r="AB174" s="130">
        <f t="shared" ca="1" si="50"/>
        <v>0</v>
      </c>
      <c r="AC174" s="131" t="str">
        <f ca="1">IF($N174="","",IF(ORÇAMENTO.Descricao="","DESCRIÇÃO",IF(AND($C174="S",ORÇAMENTO.Unidade=""),"UNIDADE",IF($X174&lt;0,"VALOR NEGATIVO",IF(OR(AND(TIPOORCAMENTO="Proposto",$AG174&lt;&gt;"",$AG174&gt;0,ORÇAMENTO.CustoUnitario&gt;$AG174),AND(TIPOORCAMENTO="LICITADO",ORÇAMENTO.PrecoUnitarioLicitado&gt;$AN174)),"ACIMA REF.","")))))</f>
        <v/>
      </c>
      <c r="AD174" t="str">
        <f ca="1">IF(C174&lt;=CRONO.NivelExibicao,MAX($AD$15:OFFSET(AD174,-1,0))+IF($C174&lt;&gt;1,1,MAX(1,COUNTIF(QCI!$A$13:$A$24,OFFSET($E174,-1,0)))),"")</f>
        <v/>
      </c>
      <c r="AE174" s="7" t="str">
        <f ca="1">IF(AND($C174="S",ORÇAMENTO.CodBarra&lt;&gt;""),IF(ORÇAMENTO.Fonte="",ORÇAMENTO.CodBarra,CONCATENATE(ORÇAMENTO.Fonte," ",ORÇAMENTO.CodBarra)))</f>
        <v>Composição FNDE 286</v>
      </c>
      <c r="AF174" s="13" t="str">
        <f ca="1">IF(ISERROR(INDIRECT(ORÇAMENTO.BancoRef)),"(abra o arquivo 'Referência "&amp;Excel_BuiltIn_Database&amp;".xlsm)",IF(OR($C174&lt;&gt;"S",ORÇAMENTO.CodBarra=""),"(Sem Código)",IF(ISERROR(MATCH($AE174,INDIRECT(ORÇAMENTO.BancoRef),0)),"(Código não identificado nas referências)",MATCH($AE174,INDIRECT(ORÇAMENTO.BancoRef),0))))</f>
        <v>(abra o arquivo 'Referência 02-2025.xlsm)</v>
      </c>
      <c r="AG174" s="498">
        <f ca="1">ROUND(IF(DESONERACAO="sim",REFERENCIA.Desonerado,REFERENCIA.NaoDesonerado),2)</f>
        <v>0</v>
      </c>
      <c r="AH174" s="499">
        <f t="shared" ca="1" si="51"/>
        <v>0.22470000000000001</v>
      </c>
      <c r="AJ174" s="501">
        <v>2.4</v>
      </c>
      <c r="AL174" s="527"/>
      <c r="AM174" s="381">
        <f t="shared" ca="1" si="52"/>
        <v>0</v>
      </c>
      <c r="AN174" s="566">
        <f t="shared" ca="1" si="53"/>
        <v>0</v>
      </c>
    </row>
    <row r="175" spans="1:40" ht="51" x14ac:dyDescent="0.2">
      <c r="A175" t="str">
        <f t="shared" si="38"/>
        <v>S</v>
      </c>
      <c r="B175">
        <f t="shared" ca="1" si="39"/>
        <v>3</v>
      </c>
      <c r="C175" t="str">
        <f t="shared" ca="1" si="40"/>
        <v>S</v>
      </c>
      <c r="D175">
        <f t="shared" ca="1" si="41"/>
        <v>0</v>
      </c>
      <c r="E175">
        <f ca="1">IF($C175=1,OFFSET(E175,-1,0)+MAX(1,COUNTIF(QCI!$A$13:$A$24,OFFSET(ORÇAMENTO!E175,-1,0))),OFFSET(E175,-1,0))</f>
        <v>1</v>
      </c>
      <c r="F175">
        <f t="shared" ca="1" si="42"/>
        <v>6</v>
      </c>
      <c r="G175">
        <f t="shared" ca="1" si="43"/>
        <v>6</v>
      </c>
      <c r="H175">
        <f t="shared" ca="1" si="44"/>
        <v>0</v>
      </c>
      <c r="I175">
        <f t="shared" ca="1" si="45"/>
        <v>0</v>
      </c>
      <c r="J175">
        <f t="shared" ca="1" si="37"/>
        <v>0</v>
      </c>
      <c r="K175">
        <f ca="1">IF(OR($C175="S",$C175=0),0,MATCH(OFFSET($D175,0,$C175)+IF($C175&lt;&gt;1,1,COUNTIF(QCI!$A$13:$A$24,ORÇAMENTO!E175)),OFFSET($D175,1,$C175,ROW($C$747)-ROW($C175)),0))</f>
        <v>0</v>
      </c>
      <c r="L175" s="116" t="str">
        <f t="shared" ca="1" si="46"/>
        <v/>
      </c>
      <c r="M175" s="117" t="s">
        <v>199</v>
      </c>
      <c r="N175" s="118" t="str">
        <f t="shared" ca="1" si="47"/>
        <v>Serviço</v>
      </c>
      <c r="O175" s="119" t="str">
        <f t="shared" ca="1" si="48"/>
        <v>-</v>
      </c>
      <c r="P175" s="120" t="s">
        <v>712</v>
      </c>
      <c r="Q175" s="121" t="s">
        <v>758</v>
      </c>
      <c r="R175" s="122" t="str">
        <f ca="1">IF($C175="S",REFERENCIA.Descricao,"(digite a descrição aqui)")</f>
        <v>(abra o arquivo 'Referência 02-2025.xlsm)</v>
      </c>
      <c r="S175" s="123" t="str">
        <f ca="1">REFERENCIA.Unidade</f>
        <v>-</v>
      </c>
      <c r="T175" s="124">
        <f ca="1">OFFSET(CÁLCULO!H$15,ROW($T175)-ROW(T$15),0)</f>
        <v>2.2000000000000002</v>
      </c>
      <c r="U175" s="125">
        <f t="shared" ca="1" si="54"/>
        <v>0</v>
      </c>
      <c r="V175" s="126" t="s">
        <v>156</v>
      </c>
      <c r="W175" s="124">
        <f ca="1">IF($C175="S",ROUND(IF(TIPOORCAMENTO="Proposto",ORÇAMENTO.CustoUnitario*(1+$AH175),ORÇAMENTO.PrecoUnitarioLicitado),15-13*$AF$10),0)</f>
        <v>0</v>
      </c>
      <c r="X175" s="127">
        <f ca="1">IF($C175="S",IF(Import.TipoArredondamento&lt;&gt;"TransfereGOV",VTOTAL1,SUM(OFFSET(CÁLCULO!$AA$15,ROW($X175)-ROW($X$15),1):OFFSET(CÁLCULO!$AL$15,ROW($X175)-ROW($X$15),-1))),IF($C175=0,0,ROUND(SomaAgrup,15-13*$AF$11)))</f>
        <v>0</v>
      </c>
      <c r="Y175" s="128" t="s">
        <v>245</v>
      </c>
      <c r="Z175" t="str">
        <f t="shared" ca="1" si="49"/>
        <v/>
      </c>
      <c r="AA175" s="129">
        <f ca="1">IF($C175="S",IF($Z175="CP",$X175,IF($Z175="RA",(($X175)*QCI!$AA$3),0)),SomaAgrup)</f>
        <v>0</v>
      </c>
      <c r="AB175" s="130">
        <f t="shared" ca="1" si="50"/>
        <v>0</v>
      </c>
      <c r="AC175" s="131" t="str">
        <f ca="1">IF($N175="","",IF(ORÇAMENTO.Descricao="","DESCRIÇÃO",IF(AND($C175="S",ORÇAMENTO.Unidade=""),"UNIDADE",IF($X175&lt;0,"VALOR NEGATIVO",IF(OR(AND(TIPOORCAMENTO="Proposto",$AG175&lt;&gt;"",$AG175&gt;0,ORÇAMENTO.CustoUnitario&gt;$AG175),AND(TIPOORCAMENTO="LICITADO",ORÇAMENTO.PrecoUnitarioLicitado&gt;$AN175)),"ACIMA REF.","")))))</f>
        <v/>
      </c>
      <c r="AD175" t="str">
        <f ca="1">IF(C175&lt;=CRONO.NivelExibicao,MAX($AD$15:OFFSET(AD175,-1,0))+IF($C175&lt;&gt;1,1,MAX(1,COUNTIF(QCI!$A$13:$A$24,OFFSET($E175,-1,0)))),"")</f>
        <v/>
      </c>
      <c r="AE175" s="7" t="str">
        <f ca="1">IF(AND($C175="S",ORÇAMENTO.CodBarra&lt;&gt;""),IF(ORÇAMENTO.Fonte="",ORÇAMENTO.CodBarra,CONCATENATE(ORÇAMENTO.Fonte," ",ORÇAMENTO.CodBarra)))</f>
        <v>Composição FNDE 287</v>
      </c>
      <c r="AF175" s="13" t="str">
        <f ca="1">IF(ISERROR(INDIRECT(ORÇAMENTO.BancoRef)),"(abra o arquivo 'Referência "&amp;Excel_BuiltIn_Database&amp;".xlsm)",IF(OR($C175&lt;&gt;"S",ORÇAMENTO.CodBarra=""),"(Sem Código)",IF(ISERROR(MATCH($AE175,INDIRECT(ORÇAMENTO.BancoRef),0)),"(Código não identificado nas referências)",MATCH($AE175,INDIRECT(ORÇAMENTO.BancoRef),0))))</f>
        <v>(abra o arquivo 'Referência 02-2025.xlsm)</v>
      </c>
      <c r="AG175" s="498">
        <f ca="1">ROUND(IF(DESONERACAO="sim",REFERENCIA.Desonerado,REFERENCIA.NaoDesonerado),2)</f>
        <v>0</v>
      </c>
      <c r="AH175" s="499">
        <f t="shared" ca="1" si="51"/>
        <v>0.22470000000000001</v>
      </c>
      <c r="AJ175" s="501">
        <v>2.2000000000000002</v>
      </c>
      <c r="AL175" s="527"/>
      <c r="AM175" s="381">
        <f t="shared" ca="1" si="52"/>
        <v>0</v>
      </c>
      <c r="AN175" s="566">
        <f t="shared" ca="1" si="53"/>
        <v>0</v>
      </c>
    </row>
    <row r="176" spans="1:40" ht="38.25" x14ac:dyDescent="0.2">
      <c r="A176" t="str">
        <f t="shared" si="38"/>
        <v>S</v>
      </c>
      <c r="B176">
        <f t="shared" ca="1" si="39"/>
        <v>3</v>
      </c>
      <c r="C176" t="str">
        <f t="shared" ca="1" si="40"/>
        <v>S</v>
      </c>
      <c r="D176">
        <f t="shared" ca="1" si="41"/>
        <v>0</v>
      </c>
      <c r="E176">
        <f ca="1">IF($C176=1,OFFSET(E176,-1,0)+MAX(1,COUNTIF(QCI!$A$13:$A$24,OFFSET(ORÇAMENTO!E176,-1,0))),OFFSET(E176,-1,0))</f>
        <v>1</v>
      </c>
      <c r="F176">
        <f t="shared" ca="1" si="42"/>
        <v>6</v>
      </c>
      <c r="G176">
        <f t="shared" ca="1" si="43"/>
        <v>6</v>
      </c>
      <c r="H176">
        <f t="shared" ca="1" si="44"/>
        <v>0</v>
      </c>
      <c r="I176">
        <f t="shared" ca="1" si="45"/>
        <v>0</v>
      </c>
      <c r="J176">
        <f t="shared" ca="1" si="37"/>
        <v>0</v>
      </c>
      <c r="K176">
        <f ca="1">IF(OR($C176="S",$C176=0),0,MATCH(OFFSET($D176,0,$C176)+IF($C176&lt;&gt;1,1,COUNTIF(QCI!$A$13:$A$24,ORÇAMENTO!E176)),OFFSET($D176,1,$C176,ROW($C$747)-ROW($C176)),0))</f>
        <v>0</v>
      </c>
      <c r="L176" s="116" t="str">
        <f t="shared" ca="1" si="46"/>
        <v/>
      </c>
      <c r="M176" s="117" t="s">
        <v>199</v>
      </c>
      <c r="N176" s="118" t="str">
        <f t="shared" ca="1" si="47"/>
        <v>Serviço</v>
      </c>
      <c r="O176" s="119" t="str">
        <f t="shared" ca="1" si="48"/>
        <v>-</v>
      </c>
      <c r="P176" s="120" t="s">
        <v>712</v>
      </c>
      <c r="Q176" s="121" t="s">
        <v>760</v>
      </c>
      <c r="R176" s="122" t="str">
        <f ca="1">IF($C176="S",REFERENCIA.Descricao,"(digite a descrição aqui)")</f>
        <v>(abra o arquivo 'Referência 02-2025.xlsm)</v>
      </c>
      <c r="S176" s="123" t="str">
        <f ca="1">REFERENCIA.Unidade</f>
        <v>-</v>
      </c>
      <c r="T176" s="124">
        <f ca="1">OFFSET(CÁLCULO!H$15,ROW($T176)-ROW(T$15),0)</f>
        <v>15.93</v>
      </c>
      <c r="U176" s="125">
        <f t="shared" ca="1" si="54"/>
        <v>0</v>
      </c>
      <c r="V176" s="126" t="s">
        <v>156</v>
      </c>
      <c r="W176" s="124">
        <f ca="1">IF($C176="S",ROUND(IF(TIPOORCAMENTO="Proposto",ORÇAMENTO.CustoUnitario*(1+$AH176),ORÇAMENTO.PrecoUnitarioLicitado),15-13*$AF$10),0)</f>
        <v>0</v>
      </c>
      <c r="X176" s="127">
        <f ca="1">IF($C176="S",IF(Import.TipoArredondamento&lt;&gt;"TransfereGOV",VTOTAL1,SUM(OFFSET(CÁLCULO!$AA$15,ROW($X176)-ROW($X$15),1):OFFSET(CÁLCULO!$AL$15,ROW($X176)-ROW($X$15),-1))),IF($C176=0,0,ROUND(SomaAgrup,15-13*$AF$11)))</f>
        <v>0</v>
      </c>
      <c r="Y176" s="128" t="s">
        <v>245</v>
      </c>
      <c r="Z176" t="str">
        <f t="shared" ca="1" si="49"/>
        <v/>
      </c>
      <c r="AA176" s="129">
        <f ca="1">IF($C176="S",IF($Z176="CP",$X176,IF($Z176="RA",(($X176)*QCI!$AA$3),0)),SomaAgrup)</f>
        <v>0</v>
      </c>
      <c r="AB176" s="130">
        <f t="shared" ca="1" si="50"/>
        <v>0</v>
      </c>
      <c r="AC176" s="131" t="str">
        <f ca="1">IF($N176="","",IF(ORÇAMENTO.Descricao="","DESCRIÇÃO",IF(AND($C176="S",ORÇAMENTO.Unidade=""),"UNIDADE",IF($X176&lt;0,"VALOR NEGATIVO",IF(OR(AND(TIPOORCAMENTO="Proposto",$AG176&lt;&gt;"",$AG176&gt;0,ORÇAMENTO.CustoUnitario&gt;$AG176),AND(TIPOORCAMENTO="LICITADO",ORÇAMENTO.PrecoUnitarioLicitado&gt;$AN176)),"ACIMA REF.","")))))</f>
        <v/>
      </c>
      <c r="AD176" t="str">
        <f ca="1">IF(C176&lt;=CRONO.NivelExibicao,MAX($AD$15:OFFSET(AD176,-1,0))+IF($C176&lt;&gt;1,1,MAX(1,COUNTIF(QCI!$A$13:$A$24,OFFSET($E176,-1,0)))),"")</f>
        <v/>
      </c>
      <c r="AE176" s="7" t="str">
        <f ca="1">IF(AND($C176="S",ORÇAMENTO.CodBarra&lt;&gt;""),IF(ORÇAMENTO.Fonte="",ORÇAMENTO.CodBarra,CONCATENATE(ORÇAMENTO.Fonte," ",ORÇAMENTO.CodBarra)))</f>
        <v xml:space="preserve">Composição FNDE 120 </v>
      </c>
      <c r="AF176" s="13" t="str">
        <f ca="1">IF(ISERROR(INDIRECT(ORÇAMENTO.BancoRef)),"(abra o arquivo 'Referência "&amp;Excel_BuiltIn_Database&amp;".xlsm)",IF(OR($C176&lt;&gt;"S",ORÇAMENTO.CodBarra=""),"(Sem Código)",IF(ISERROR(MATCH($AE176,INDIRECT(ORÇAMENTO.BancoRef),0)),"(Código não identificado nas referências)",MATCH($AE176,INDIRECT(ORÇAMENTO.BancoRef),0))))</f>
        <v>(abra o arquivo 'Referência 02-2025.xlsm)</v>
      </c>
      <c r="AG176" s="498">
        <f ca="1">ROUND(IF(DESONERACAO="sim",REFERENCIA.Desonerado,REFERENCIA.NaoDesonerado),2)</f>
        <v>0</v>
      </c>
      <c r="AH176" s="499">
        <f t="shared" ca="1" si="51"/>
        <v>0.22470000000000001</v>
      </c>
      <c r="AJ176" s="501">
        <v>15.93</v>
      </c>
      <c r="AL176" s="527"/>
      <c r="AM176" s="381">
        <f t="shared" ca="1" si="52"/>
        <v>0</v>
      </c>
      <c r="AN176" s="566">
        <f t="shared" ca="1" si="53"/>
        <v>0</v>
      </c>
    </row>
    <row r="177" spans="1:40" x14ac:dyDescent="0.2">
      <c r="A177">
        <f t="shared" si="38"/>
        <v>2</v>
      </c>
      <c r="B177">
        <f t="shared" ca="1" si="39"/>
        <v>2</v>
      </c>
      <c r="C177">
        <f t="shared" ca="1" si="40"/>
        <v>2</v>
      </c>
      <c r="D177">
        <f t="shared" ca="1" si="41"/>
        <v>7</v>
      </c>
      <c r="E177">
        <f ca="1">IF($C177=1,OFFSET(E177,-1,0)+MAX(1,COUNTIF(QCI!$A$13:$A$24,OFFSET(ORÇAMENTO!E177,-1,0))),OFFSET(E177,-1,0))</f>
        <v>1</v>
      </c>
      <c r="F177">
        <f t="shared" ca="1" si="42"/>
        <v>7</v>
      </c>
      <c r="G177">
        <f t="shared" ca="1" si="43"/>
        <v>0</v>
      </c>
      <c r="H177">
        <f t="shared" ca="1" si="44"/>
        <v>0</v>
      </c>
      <c r="I177">
        <f t="shared" ca="1" si="45"/>
        <v>0</v>
      </c>
      <c r="J177">
        <f t="shared" ca="1" si="37"/>
        <v>570</v>
      </c>
      <c r="K177">
        <f ca="1">IF(OR($C177="S",$C177=0),0,MATCH(OFFSET($D177,0,$C177)+IF($C177&lt;&gt;1,1,COUNTIF(QCI!$A$13:$A$24,ORÇAMENTO!E177)),OFFSET($D177,1,$C177,ROW($C$747)-ROW($C177)),0))</f>
        <v>7</v>
      </c>
      <c r="L177" s="116" t="str">
        <f t="shared" ca="1" si="46"/>
        <v>F</v>
      </c>
      <c r="M177" s="117" t="s">
        <v>196</v>
      </c>
      <c r="N177" s="118" t="str">
        <f t="shared" ca="1" si="47"/>
        <v>Nível 2</v>
      </c>
      <c r="O177" s="119" t="str">
        <f t="shared" ca="1" si="48"/>
        <v>1.7.</v>
      </c>
      <c r="P177" s="120" t="s">
        <v>247</v>
      </c>
      <c r="Q177" s="121"/>
      <c r="R177" s="122" t="str">
        <f ca="1">IF($C177="S",REFERENCIA.Descricao,"SISTEMAS DE COBERTURA")</f>
        <v>SISTEMAS DE COBERTURA</v>
      </c>
      <c r="S177" s="123" t="str">
        <f ca="1">REFERENCIA.Unidade</f>
        <v>-</v>
      </c>
      <c r="T177" s="124">
        <f ca="1">OFFSET(CÁLCULO!H$15,ROW($T177)-ROW(T$15),0)</f>
        <v>0</v>
      </c>
      <c r="U177" s="125">
        <f t="shared" ca="1" si="54"/>
        <v>0</v>
      </c>
      <c r="V177" s="126" t="s">
        <v>156</v>
      </c>
      <c r="W177" s="124">
        <f ca="1">IF($C177="S",ROUND(IF(TIPOORCAMENTO="Proposto",ORÇAMENTO.CustoUnitario*(1+$AH177),ORÇAMENTO.PrecoUnitarioLicitado),15-13*$AF$10),0)</f>
        <v>0</v>
      </c>
      <c r="X177" s="127">
        <f ca="1">IF($C177="S",IF(Import.TipoArredondamento&lt;&gt;"TransfereGOV",VTOTAL1,SUM(OFFSET(CÁLCULO!$AA$15,ROW($X177)-ROW($X$15),1):OFFSET(CÁLCULO!$AL$15,ROW($X177)-ROW($X$15),-1))),IF($C177=0,0,ROUND(SomaAgrup,15-13*$AF$11)))</f>
        <v>0</v>
      </c>
      <c r="Y177" s="128" t="s">
        <v>245</v>
      </c>
      <c r="Z177" t="str">
        <f t="shared" ca="1" si="49"/>
        <v/>
      </c>
      <c r="AA177" s="129">
        <f ca="1">IF($C177="S",IF($Z177="CP",$X177,IF($Z177="RA",(($X177)*QCI!$AA$3),0)),SomaAgrup)</f>
        <v>0</v>
      </c>
      <c r="AB177" s="130">
        <f t="shared" ca="1" si="50"/>
        <v>0</v>
      </c>
      <c r="AC177" s="131" t="str">
        <f ca="1">IF($N177="","",IF(ORÇAMENTO.Descricao="","DESCRIÇÃO",IF(AND($C177="S",ORÇAMENTO.Unidade=""),"UNIDADE",IF($X177&lt;0,"VALOR NEGATIVO",IF(OR(AND(TIPOORCAMENTO="Proposto",$AG177&lt;&gt;"",$AG177&gt;0,ORÇAMENTO.CustoUnitario&gt;$AG177),AND(TIPOORCAMENTO="LICITADO",ORÇAMENTO.PrecoUnitarioLicitado&gt;$AN177)),"ACIMA REF.","")))))</f>
        <v/>
      </c>
      <c r="AD177">
        <f ca="1">IF(C177&lt;=CRONO.NivelExibicao,MAX($AD$15:OFFSET(AD177,-1,0))+IF($C177&lt;&gt;1,1,MAX(1,COUNTIF(QCI!$A$13:$A$24,OFFSET($E177,-1,0)))),"")</f>
        <v>8</v>
      </c>
      <c r="AE177" s="7" t="b">
        <f ca="1">IF(AND($C177="S",ORÇAMENTO.CodBarra&lt;&gt;""),IF(ORÇAMENTO.Fonte="",ORÇAMENTO.CodBarra,CONCATENATE(ORÇAMENTO.Fonte," ",ORÇAMENTO.CodBarra)))</f>
        <v>0</v>
      </c>
      <c r="AF177" s="13" t="str">
        <f ca="1">IF(ISERROR(INDIRECT(ORÇAMENTO.BancoRef)),"(abra o arquivo 'Referência "&amp;Excel_BuiltIn_Database&amp;".xlsm)",IF(OR($C177&lt;&gt;"S",ORÇAMENTO.CodBarra=""),"(Sem Código)",IF(ISERROR(MATCH($AE177,INDIRECT(ORÇAMENTO.BancoRef),0)),"(Código não identificado nas referências)",MATCH($AE177,INDIRECT(ORÇAMENTO.BancoRef),0))))</f>
        <v>(abra o arquivo 'Referência 02-2025.xlsm)</v>
      </c>
      <c r="AG177" s="498">
        <f ca="1">ROUND(IF(DESONERACAO="sim",REFERENCIA.Desonerado,REFERENCIA.NaoDesonerado),2)</f>
        <v>0</v>
      </c>
      <c r="AH177" s="499">
        <f t="shared" ca="1" si="51"/>
        <v>0.22470000000000001</v>
      </c>
      <c r="AJ177" s="501"/>
      <c r="AL177" s="527"/>
      <c r="AM177" s="381">
        <f t="shared" ca="1" si="52"/>
        <v>0</v>
      </c>
      <c r="AN177" s="566">
        <f t="shared" ca="1" si="53"/>
        <v>0</v>
      </c>
    </row>
    <row r="178" spans="1:40" ht="63.75" x14ac:dyDescent="0.2">
      <c r="A178" t="str">
        <f t="shared" si="38"/>
        <v>S</v>
      </c>
      <c r="B178">
        <f t="shared" ca="1" si="39"/>
        <v>2</v>
      </c>
      <c r="C178" t="str">
        <f t="shared" ca="1" si="40"/>
        <v>S</v>
      </c>
      <c r="D178">
        <f t="shared" ca="1" si="41"/>
        <v>0</v>
      </c>
      <c r="E178">
        <f ca="1">IF($C178=1,OFFSET(E178,-1,0)+MAX(1,COUNTIF(QCI!$A$13:$A$24,OFFSET(ORÇAMENTO!E178,-1,0))),OFFSET(E178,-1,0))</f>
        <v>1</v>
      </c>
      <c r="F178">
        <f t="shared" ca="1" si="42"/>
        <v>7</v>
      </c>
      <c r="G178">
        <f t="shared" ca="1" si="43"/>
        <v>0</v>
      </c>
      <c r="H178">
        <f t="shared" ca="1" si="44"/>
        <v>0</v>
      </c>
      <c r="I178">
        <f t="shared" ca="1" si="45"/>
        <v>0</v>
      </c>
      <c r="J178">
        <f t="shared" ca="1" si="37"/>
        <v>0</v>
      </c>
      <c r="K178">
        <f ca="1">IF(OR($C178="S",$C178=0),0,MATCH(OFFSET($D178,0,$C178)+IF($C178&lt;&gt;1,1,COUNTIF(QCI!$A$13:$A$24,ORÇAMENTO!E178)),OFFSET($D178,1,$C178,ROW($C$747)-ROW($C178)),0))</f>
        <v>0</v>
      </c>
      <c r="L178" s="116" t="str">
        <f t="shared" ca="1" si="46"/>
        <v/>
      </c>
      <c r="M178" s="117" t="s">
        <v>199</v>
      </c>
      <c r="N178" s="118" t="str">
        <f t="shared" ca="1" si="47"/>
        <v>Serviço</v>
      </c>
      <c r="O178" s="119" t="str">
        <f t="shared" ca="1" si="48"/>
        <v>-</v>
      </c>
      <c r="P178" s="120" t="s">
        <v>712</v>
      </c>
      <c r="Q178" s="121" t="s">
        <v>761</v>
      </c>
      <c r="R178" s="122" t="str">
        <f ca="1">IF($C178="S",REFERENCIA.Descricao,"(digite a descrição aqui)")</f>
        <v>(abra o arquivo 'Referência 02-2025.xlsm)</v>
      </c>
      <c r="S178" s="123" t="str">
        <f ca="1">REFERENCIA.Unidade</f>
        <v>-</v>
      </c>
      <c r="T178" s="124">
        <f ca="1">OFFSET(CÁLCULO!H$15,ROW($T178)-ROW(T$15),0)</f>
        <v>1441</v>
      </c>
      <c r="U178" s="125">
        <f t="shared" ca="1" si="54"/>
        <v>0</v>
      </c>
      <c r="V178" s="126" t="s">
        <v>156</v>
      </c>
      <c r="W178" s="124">
        <f ca="1">IF($C178="S",ROUND(IF(TIPOORCAMENTO="Proposto",ORÇAMENTO.CustoUnitario*(1+$AH178),ORÇAMENTO.PrecoUnitarioLicitado),15-13*$AF$10),0)</f>
        <v>0</v>
      </c>
      <c r="X178" s="127">
        <f ca="1">IF($C178="S",IF(Import.TipoArredondamento&lt;&gt;"TransfereGOV",VTOTAL1,SUM(OFFSET(CÁLCULO!$AA$15,ROW($X178)-ROW($X$15),1):OFFSET(CÁLCULO!$AL$15,ROW($X178)-ROW($X$15),-1))),IF($C178=0,0,ROUND(SomaAgrup,15-13*$AF$11)))</f>
        <v>0</v>
      </c>
      <c r="Y178" s="128" t="s">
        <v>245</v>
      </c>
      <c r="Z178" t="str">
        <f t="shared" ca="1" si="49"/>
        <v/>
      </c>
      <c r="AA178" s="129">
        <f ca="1">IF($C178="S",IF($Z178="CP",$X178,IF($Z178="RA",(($X178)*QCI!$AA$3),0)),SomaAgrup)</f>
        <v>0</v>
      </c>
      <c r="AB178" s="130">
        <f t="shared" ca="1" si="50"/>
        <v>0</v>
      </c>
      <c r="AC178" s="131" t="str">
        <f ca="1">IF($N178="","",IF(ORÇAMENTO.Descricao="","DESCRIÇÃO",IF(AND($C178="S",ORÇAMENTO.Unidade=""),"UNIDADE",IF($X178&lt;0,"VALOR NEGATIVO",IF(OR(AND(TIPOORCAMENTO="Proposto",$AG178&lt;&gt;"",$AG178&gt;0,ORÇAMENTO.CustoUnitario&gt;$AG178),AND(TIPOORCAMENTO="LICITADO",ORÇAMENTO.PrecoUnitarioLicitado&gt;$AN178)),"ACIMA REF.","")))))</f>
        <v/>
      </c>
      <c r="AD178" t="str">
        <f ca="1">IF(C178&lt;=CRONO.NivelExibicao,MAX($AD$15:OFFSET(AD178,-1,0))+IF($C178&lt;&gt;1,1,MAX(1,COUNTIF(QCI!$A$13:$A$24,OFFSET($E178,-1,0)))),"")</f>
        <v/>
      </c>
      <c r="AE178" s="7" t="str">
        <f ca="1">IF(AND($C178="S",ORÇAMENTO.CodBarra&lt;&gt;""),IF(ORÇAMENTO.Fonte="",ORÇAMENTO.CodBarra,CONCATENATE(ORÇAMENTO.Fonte," ",ORÇAMENTO.CodBarra)))</f>
        <v xml:space="preserve">Composição FNDE 20 </v>
      </c>
      <c r="AF178" s="13" t="str">
        <f ca="1">IF(ISERROR(INDIRECT(ORÇAMENTO.BancoRef)),"(abra o arquivo 'Referência "&amp;Excel_BuiltIn_Database&amp;".xlsm)",IF(OR($C178&lt;&gt;"S",ORÇAMENTO.CodBarra=""),"(Sem Código)",IF(ISERROR(MATCH($AE178,INDIRECT(ORÇAMENTO.BancoRef),0)),"(Código não identificado nas referências)",MATCH($AE178,INDIRECT(ORÇAMENTO.BancoRef),0))))</f>
        <v>(abra o arquivo 'Referência 02-2025.xlsm)</v>
      </c>
      <c r="AG178" s="498">
        <f ca="1">ROUND(IF(DESONERACAO="sim",REFERENCIA.Desonerado,REFERENCIA.NaoDesonerado),2)</f>
        <v>0</v>
      </c>
      <c r="AH178" s="499">
        <f t="shared" ca="1" si="51"/>
        <v>0.22470000000000001</v>
      </c>
      <c r="AJ178" s="501">
        <v>1441</v>
      </c>
      <c r="AL178" s="527"/>
      <c r="AM178" s="381">
        <f t="shared" ca="1" si="52"/>
        <v>0</v>
      </c>
      <c r="AN178" s="566">
        <f t="shared" ca="1" si="53"/>
        <v>0</v>
      </c>
    </row>
    <row r="179" spans="1:40" ht="38.25" x14ac:dyDescent="0.2">
      <c r="A179" t="str">
        <f t="shared" si="38"/>
        <v>S</v>
      </c>
      <c r="B179">
        <f t="shared" ca="1" si="39"/>
        <v>2</v>
      </c>
      <c r="C179" t="str">
        <f t="shared" ca="1" si="40"/>
        <v>S</v>
      </c>
      <c r="D179">
        <f t="shared" ca="1" si="41"/>
        <v>0</v>
      </c>
      <c r="E179">
        <f ca="1">IF($C179=1,OFFSET(E179,-1,0)+MAX(1,COUNTIF(QCI!$A$13:$A$24,OFFSET(ORÇAMENTO!E179,-1,0))),OFFSET(E179,-1,0))</f>
        <v>1</v>
      </c>
      <c r="F179">
        <f t="shared" ca="1" si="42"/>
        <v>7</v>
      </c>
      <c r="G179">
        <f t="shared" ca="1" si="43"/>
        <v>0</v>
      </c>
      <c r="H179">
        <f t="shared" ca="1" si="44"/>
        <v>0</v>
      </c>
      <c r="I179">
        <f t="shared" ca="1" si="45"/>
        <v>0</v>
      </c>
      <c r="J179">
        <f t="shared" ca="1" si="37"/>
        <v>0</v>
      </c>
      <c r="K179">
        <f ca="1">IF(OR($C179="S",$C179=0),0,MATCH(OFFSET($D179,0,$C179)+IF($C179&lt;&gt;1,1,COUNTIF(QCI!$A$13:$A$24,ORÇAMENTO!E179)),OFFSET($D179,1,$C179,ROW($C$747)-ROW($C179)),0))</f>
        <v>0</v>
      </c>
      <c r="L179" s="116" t="str">
        <f t="shared" ca="1" si="46"/>
        <v/>
      </c>
      <c r="M179" s="117" t="s">
        <v>199</v>
      </c>
      <c r="N179" s="118" t="str">
        <f t="shared" ca="1" si="47"/>
        <v>Serviço</v>
      </c>
      <c r="O179" s="119" t="str">
        <f t="shared" ca="1" si="48"/>
        <v>-</v>
      </c>
      <c r="P179" s="120" t="s">
        <v>247</v>
      </c>
      <c r="Q179" s="121" t="s">
        <v>487</v>
      </c>
      <c r="R179" s="122" t="str">
        <f ca="1">IF($C179="S",REFERENCIA.Descricao,"(digite a descrição aqui)")</f>
        <v>(abra o arquivo 'Referência 02-2025.xlsm)</v>
      </c>
      <c r="S179" s="123" t="str">
        <f ca="1">REFERENCIA.Unidade</f>
        <v>-</v>
      </c>
      <c r="T179" s="124">
        <f ca="1">OFFSET(CÁLCULO!H$15,ROW($T179)-ROW(T$15),0)</f>
        <v>34.409999999999997</v>
      </c>
      <c r="U179" s="125">
        <f t="shared" ca="1" si="54"/>
        <v>0</v>
      </c>
      <c r="V179" s="126" t="s">
        <v>156</v>
      </c>
      <c r="W179" s="124">
        <f ca="1">IF($C179="S",ROUND(IF(TIPOORCAMENTO="Proposto",ORÇAMENTO.CustoUnitario*(1+$AH179),ORÇAMENTO.PrecoUnitarioLicitado),15-13*$AF$10),0)</f>
        <v>0</v>
      </c>
      <c r="X179" s="127">
        <f ca="1">IF($C179="S",IF(Import.TipoArredondamento&lt;&gt;"TransfereGOV",VTOTAL1,SUM(OFFSET(CÁLCULO!$AA$15,ROW($X179)-ROW($X$15),1):OFFSET(CÁLCULO!$AL$15,ROW($X179)-ROW($X$15),-1))),IF($C179=0,0,ROUND(SomaAgrup,15-13*$AF$11)))</f>
        <v>0</v>
      </c>
      <c r="Y179" s="128" t="s">
        <v>245</v>
      </c>
      <c r="Z179" t="str">
        <f t="shared" ca="1" si="49"/>
        <v/>
      </c>
      <c r="AA179" s="129">
        <f ca="1">IF($C179="S",IF($Z179="CP",$X179,IF($Z179="RA",(($X179)*QCI!$AA$3),0)),SomaAgrup)</f>
        <v>0</v>
      </c>
      <c r="AB179" s="130">
        <f t="shared" ca="1" si="50"/>
        <v>0</v>
      </c>
      <c r="AC179" s="131" t="str">
        <f ca="1">IF($N179="","",IF(ORÇAMENTO.Descricao="","DESCRIÇÃO",IF(AND($C179="S",ORÇAMENTO.Unidade=""),"UNIDADE",IF($X179&lt;0,"VALOR NEGATIVO",IF(OR(AND(TIPOORCAMENTO="Proposto",$AG179&lt;&gt;"",$AG179&gt;0,ORÇAMENTO.CustoUnitario&gt;$AG179),AND(TIPOORCAMENTO="LICITADO",ORÇAMENTO.PrecoUnitarioLicitado&gt;$AN179)),"ACIMA REF.","")))))</f>
        <v/>
      </c>
      <c r="AD179" t="str">
        <f ca="1">IF(C179&lt;=CRONO.NivelExibicao,MAX($AD$15:OFFSET(AD179,-1,0))+IF($C179&lt;&gt;1,1,MAX(1,COUNTIF(QCI!$A$13:$A$24,OFFSET($E179,-1,0)))),"")</f>
        <v/>
      </c>
      <c r="AE179" s="7" t="str">
        <f ca="1">IF(AND($C179="S",ORÇAMENTO.CodBarra&lt;&gt;""),IF(ORÇAMENTO.Fonte="",ORÇAMENTO.CodBarra,CONCATENATE(ORÇAMENTO.Fonte," ",ORÇAMENTO.CodBarra)))</f>
        <v>SINAPI 94228</v>
      </c>
      <c r="AF179" s="13" t="str">
        <f ca="1">IF(ISERROR(INDIRECT(ORÇAMENTO.BancoRef)),"(abra o arquivo 'Referência "&amp;Excel_BuiltIn_Database&amp;".xlsm)",IF(OR($C179&lt;&gt;"S",ORÇAMENTO.CodBarra=""),"(Sem Código)",IF(ISERROR(MATCH($AE179,INDIRECT(ORÇAMENTO.BancoRef),0)),"(Código não identificado nas referências)",MATCH($AE179,INDIRECT(ORÇAMENTO.BancoRef),0))))</f>
        <v>(abra o arquivo 'Referência 02-2025.xlsm)</v>
      </c>
      <c r="AG179" s="498">
        <f ca="1">ROUND(IF(DESONERACAO="sim",REFERENCIA.Desonerado,REFERENCIA.NaoDesonerado),2)</f>
        <v>0</v>
      </c>
      <c r="AH179" s="499">
        <f t="shared" ca="1" si="51"/>
        <v>0.22470000000000001</v>
      </c>
      <c r="AJ179" s="501">
        <v>34.409999999999997</v>
      </c>
      <c r="AL179" s="527"/>
      <c r="AM179" s="381">
        <f t="shared" ca="1" si="52"/>
        <v>0</v>
      </c>
      <c r="AN179" s="566">
        <f t="shared" ca="1" si="53"/>
        <v>0</v>
      </c>
    </row>
    <row r="180" spans="1:40" ht="38.25" x14ac:dyDescent="0.2">
      <c r="A180" t="str">
        <f t="shared" si="38"/>
        <v>S</v>
      </c>
      <c r="B180">
        <f t="shared" ca="1" si="39"/>
        <v>2</v>
      </c>
      <c r="C180" t="str">
        <f t="shared" ca="1" si="40"/>
        <v>S</v>
      </c>
      <c r="D180">
        <f t="shared" ca="1" si="41"/>
        <v>0</v>
      </c>
      <c r="E180">
        <f ca="1">IF($C180=1,OFFSET(E180,-1,0)+MAX(1,COUNTIF(QCI!$A$13:$A$24,OFFSET(ORÇAMENTO!E180,-1,0))),OFFSET(E180,-1,0))</f>
        <v>1</v>
      </c>
      <c r="F180">
        <f t="shared" ca="1" si="42"/>
        <v>7</v>
      </c>
      <c r="G180">
        <f t="shared" ca="1" si="43"/>
        <v>0</v>
      </c>
      <c r="H180">
        <f t="shared" ca="1" si="44"/>
        <v>0</v>
      </c>
      <c r="I180">
        <f t="shared" ca="1" si="45"/>
        <v>0</v>
      </c>
      <c r="J180">
        <f t="shared" ca="1" si="37"/>
        <v>0</v>
      </c>
      <c r="K180">
        <f ca="1">IF(OR($C180="S",$C180=0),0,MATCH(OFFSET($D180,0,$C180)+IF($C180&lt;&gt;1,1,COUNTIF(QCI!$A$13:$A$24,ORÇAMENTO!E180)),OFFSET($D180,1,$C180,ROW($C$747)-ROW($C180)),0))</f>
        <v>0</v>
      </c>
      <c r="L180" s="116" t="str">
        <f t="shared" ca="1" si="46"/>
        <v/>
      </c>
      <c r="M180" s="117" t="s">
        <v>199</v>
      </c>
      <c r="N180" s="118" t="str">
        <f t="shared" ca="1" si="47"/>
        <v>Serviço</v>
      </c>
      <c r="O180" s="119" t="str">
        <f t="shared" ca="1" si="48"/>
        <v>-</v>
      </c>
      <c r="P180" s="120" t="s">
        <v>247</v>
      </c>
      <c r="Q180" s="121" t="s">
        <v>488</v>
      </c>
      <c r="R180" s="122" t="str">
        <f ca="1">IF($C180="S",REFERENCIA.Descricao,"(digite a descrição aqui)")</f>
        <v>(abra o arquivo 'Referência 02-2025.xlsm)</v>
      </c>
      <c r="S180" s="123" t="str">
        <f ca="1">REFERENCIA.Unidade</f>
        <v>-</v>
      </c>
      <c r="T180" s="124">
        <f ca="1">OFFSET(CÁLCULO!H$15,ROW($T180)-ROW(T$15),0)</f>
        <v>154.5</v>
      </c>
      <c r="U180" s="125">
        <f t="shared" ca="1" si="54"/>
        <v>0</v>
      </c>
      <c r="V180" s="126" t="s">
        <v>156</v>
      </c>
      <c r="W180" s="124">
        <f ca="1">IF($C180="S",ROUND(IF(TIPOORCAMENTO="Proposto",ORÇAMENTO.CustoUnitario*(1+$AH180),ORÇAMENTO.PrecoUnitarioLicitado),15-13*$AF$10),0)</f>
        <v>0</v>
      </c>
      <c r="X180" s="127">
        <f ca="1">IF($C180="S",IF(Import.TipoArredondamento&lt;&gt;"TransfereGOV",VTOTAL1,SUM(OFFSET(CÁLCULO!$AA$15,ROW($X180)-ROW($X$15),1):OFFSET(CÁLCULO!$AL$15,ROW($X180)-ROW($X$15),-1))),IF($C180=0,0,ROUND(SomaAgrup,15-13*$AF$11)))</f>
        <v>0</v>
      </c>
      <c r="Y180" s="128" t="s">
        <v>245</v>
      </c>
      <c r="Z180" t="str">
        <f t="shared" ca="1" si="49"/>
        <v/>
      </c>
      <c r="AA180" s="129">
        <f ca="1">IF($C180="S",IF($Z180="CP",$X180,IF($Z180="RA",(($X180)*QCI!$AA$3),0)),SomaAgrup)</f>
        <v>0</v>
      </c>
      <c r="AB180" s="130">
        <f t="shared" ca="1" si="50"/>
        <v>0</v>
      </c>
      <c r="AC180" s="131" t="str">
        <f ca="1">IF($N180="","",IF(ORÇAMENTO.Descricao="","DESCRIÇÃO",IF(AND($C180="S",ORÇAMENTO.Unidade=""),"UNIDADE",IF($X180&lt;0,"VALOR NEGATIVO",IF(OR(AND(TIPOORCAMENTO="Proposto",$AG180&lt;&gt;"",$AG180&gt;0,ORÇAMENTO.CustoUnitario&gt;$AG180),AND(TIPOORCAMENTO="LICITADO",ORÇAMENTO.PrecoUnitarioLicitado&gt;$AN180)),"ACIMA REF.","")))))</f>
        <v/>
      </c>
      <c r="AD180" t="str">
        <f ca="1">IF(C180&lt;=CRONO.NivelExibicao,MAX($AD$15:OFFSET(AD180,-1,0))+IF($C180&lt;&gt;1,1,MAX(1,COUNTIF(QCI!$A$13:$A$24,OFFSET($E180,-1,0)))),"")</f>
        <v/>
      </c>
      <c r="AE180" s="7" t="str">
        <f ca="1">IF(AND($C180="S",ORÇAMENTO.CodBarra&lt;&gt;""),IF(ORÇAMENTO.Fonte="",ORÇAMENTO.CodBarra,CONCATENATE(ORÇAMENTO.Fonte," ",ORÇAMENTO.CodBarra)))</f>
        <v>SINAPI 94229</v>
      </c>
      <c r="AF180" s="13" t="str">
        <f ca="1">IF(ISERROR(INDIRECT(ORÇAMENTO.BancoRef)),"(abra o arquivo 'Referência "&amp;Excel_BuiltIn_Database&amp;".xlsm)",IF(OR($C180&lt;&gt;"S",ORÇAMENTO.CodBarra=""),"(Sem Código)",IF(ISERROR(MATCH($AE180,INDIRECT(ORÇAMENTO.BancoRef),0)),"(Código não identificado nas referências)",MATCH($AE180,INDIRECT(ORÇAMENTO.BancoRef),0))))</f>
        <v>(abra o arquivo 'Referência 02-2025.xlsm)</v>
      </c>
      <c r="AG180" s="498">
        <f ca="1">ROUND(IF(DESONERACAO="sim",REFERENCIA.Desonerado,REFERENCIA.NaoDesonerado),2)</f>
        <v>0</v>
      </c>
      <c r="AH180" s="499">
        <f t="shared" ca="1" si="51"/>
        <v>0.22470000000000001</v>
      </c>
      <c r="AJ180" s="501">
        <v>154.5</v>
      </c>
      <c r="AL180" s="527"/>
      <c r="AM180" s="381">
        <f t="shared" ca="1" si="52"/>
        <v>0</v>
      </c>
      <c r="AN180" s="566">
        <f t="shared" ca="1" si="53"/>
        <v>0</v>
      </c>
    </row>
    <row r="181" spans="1:40" ht="25.5" x14ac:dyDescent="0.2">
      <c r="A181" t="str">
        <f t="shared" si="38"/>
        <v>S</v>
      </c>
      <c r="B181">
        <f t="shared" ca="1" si="39"/>
        <v>2</v>
      </c>
      <c r="C181" t="str">
        <f t="shared" ca="1" si="40"/>
        <v>S</v>
      </c>
      <c r="D181">
        <f t="shared" ca="1" si="41"/>
        <v>0</v>
      </c>
      <c r="E181">
        <f ca="1">IF($C181=1,OFFSET(E181,-1,0)+MAX(1,COUNTIF(QCI!$A$13:$A$24,OFFSET(ORÇAMENTO!E181,-1,0))),OFFSET(E181,-1,0))</f>
        <v>1</v>
      </c>
      <c r="F181">
        <f t="shared" ca="1" si="42"/>
        <v>7</v>
      </c>
      <c r="G181">
        <f t="shared" ca="1" si="43"/>
        <v>0</v>
      </c>
      <c r="H181">
        <f t="shared" ca="1" si="44"/>
        <v>0</v>
      </c>
      <c r="I181">
        <f t="shared" ca="1" si="45"/>
        <v>0</v>
      </c>
      <c r="J181">
        <f t="shared" ca="1" si="37"/>
        <v>0</v>
      </c>
      <c r="K181">
        <f ca="1">IF(OR($C181="S",$C181=0),0,MATCH(OFFSET($D181,0,$C181)+IF($C181&lt;&gt;1,1,COUNTIF(QCI!$A$13:$A$24,ORÇAMENTO!E181)),OFFSET($D181,1,$C181,ROW($C$747)-ROW($C181)),0))</f>
        <v>0</v>
      </c>
      <c r="L181" s="116" t="str">
        <f t="shared" ca="1" si="46"/>
        <v/>
      </c>
      <c r="M181" s="117" t="s">
        <v>199</v>
      </c>
      <c r="N181" s="118" t="str">
        <f t="shared" ca="1" si="47"/>
        <v>Serviço</v>
      </c>
      <c r="O181" s="119" t="str">
        <f t="shared" ca="1" si="48"/>
        <v>-</v>
      </c>
      <c r="P181" s="120" t="s">
        <v>712</v>
      </c>
      <c r="Q181" s="121" t="s">
        <v>762</v>
      </c>
      <c r="R181" s="122" t="str">
        <f ca="1">IF($C181="S",REFERENCIA.Descricao,"(digite a descrição aqui)")</f>
        <v>(abra o arquivo 'Referência 02-2025.xlsm)</v>
      </c>
      <c r="S181" s="123" t="str">
        <f ca="1">REFERENCIA.Unidade</f>
        <v>-</v>
      </c>
      <c r="T181" s="124">
        <f ca="1">OFFSET(CÁLCULO!H$15,ROW($T181)-ROW(T$15),0)</f>
        <v>86.02</v>
      </c>
      <c r="U181" s="125">
        <f t="shared" ca="1" si="54"/>
        <v>0</v>
      </c>
      <c r="V181" s="126" t="s">
        <v>156</v>
      </c>
      <c r="W181" s="124">
        <f ca="1">IF($C181="S",ROUND(IF(TIPOORCAMENTO="Proposto",ORÇAMENTO.CustoUnitario*(1+$AH181),ORÇAMENTO.PrecoUnitarioLicitado),15-13*$AF$10),0)</f>
        <v>0</v>
      </c>
      <c r="X181" s="127">
        <f ca="1">IF($C181="S",IF(Import.TipoArredondamento&lt;&gt;"TransfereGOV",VTOTAL1,SUM(OFFSET(CÁLCULO!$AA$15,ROW($X181)-ROW($X$15),1):OFFSET(CÁLCULO!$AL$15,ROW($X181)-ROW($X$15),-1))),IF($C181=0,0,ROUND(SomaAgrup,15-13*$AF$11)))</f>
        <v>0</v>
      </c>
      <c r="Y181" s="128" t="s">
        <v>245</v>
      </c>
      <c r="Z181" t="str">
        <f t="shared" ca="1" si="49"/>
        <v/>
      </c>
      <c r="AA181" s="129">
        <f ca="1">IF($C181="S",IF($Z181="CP",$X181,IF($Z181="RA",(($X181)*QCI!$AA$3),0)),SomaAgrup)</f>
        <v>0</v>
      </c>
      <c r="AB181" s="130">
        <f t="shared" ca="1" si="50"/>
        <v>0</v>
      </c>
      <c r="AC181" s="131" t="str">
        <f ca="1">IF($N181="","",IF(ORÇAMENTO.Descricao="","DESCRIÇÃO",IF(AND($C181="S",ORÇAMENTO.Unidade=""),"UNIDADE",IF($X181&lt;0,"VALOR NEGATIVO",IF(OR(AND(TIPOORCAMENTO="Proposto",$AG181&lt;&gt;"",$AG181&gt;0,ORÇAMENTO.CustoUnitario&gt;$AG181),AND(TIPOORCAMENTO="LICITADO",ORÇAMENTO.PrecoUnitarioLicitado&gt;$AN181)),"ACIMA REF.","")))))</f>
        <v/>
      </c>
      <c r="AD181" t="str">
        <f ca="1">IF(C181&lt;=CRONO.NivelExibicao,MAX($AD$15:OFFSET(AD181,-1,0))+IF($C181&lt;&gt;1,1,MAX(1,COUNTIF(QCI!$A$13:$A$24,OFFSET($E181,-1,0)))),"")</f>
        <v/>
      </c>
      <c r="AE181" s="7" t="str">
        <f ca="1">IF(AND($C181="S",ORÇAMENTO.CodBarra&lt;&gt;""),IF(ORÇAMENTO.Fonte="",ORÇAMENTO.CodBarra,CONCATENATE(ORÇAMENTO.Fonte," ",ORÇAMENTO.CodBarra)))</f>
        <v xml:space="preserve">Composição FNDE 65 </v>
      </c>
      <c r="AF181" s="13" t="str">
        <f ca="1">IF(ISERROR(INDIRECT(ORÇAMENTO.BancoRef)),"(abra o arquivo 'Referência "&amp;Excel_BuiltIn_Database&amp;".xlsm)",IF(OR($C181&lt;&gt;"S",ORÇAMENTO.CodBarra=""),"(Sem Código)",IF(ISERROR(MATCH($AE181,INDIRECT(ORÇAMENTO.BancoRef),0)),"(Código não identificado nas referências)",MATCH($AE181,INDIRECT(ORÇAMENTO.BancoRef),0))))</f>
        <v>(abra o arquivo 'Referência 02-2025.xlsm)</v>
      </c>
      <c r="AG181" s="498">
        <f ca="1">ROUND(IF(DESONERACAO="sim",REFERENCIA.Desonerado,REFERENCIA.NaoDesonerado),2)</f>
        <v>0</v>
      </c>
      <c r="AH181" s="499">
        <f t="shared" ca="1" si="51"/>
        <v>0.22470000000000001</v>
      </c>
      <c r="AJ181" s="501">
        <v>86.02</v>
      </c>
      <c r="AL181" s="527"/>
      <c r="AM181" s="381">
        <f t="shared" ca="1" si="52"/>
        <v>0</v>
      </c>
      <c r="AN181" s="566">
        <f t="shared" ca="1" si="53"/>
        <v>0</v>
      </c>
    </row>
    <row r="182" spans="1:40" ht="25.5" x14ac:dyDescent="0.2">
      <c r="A182" t="str">
        <f t="shared" si="38"/>
        <v>S</v>
      </c>
      <c r="B182">
        <f t="shared" ca="1" si="39"/>
        <v>2</v>
      </c>
      <c r="C182" t="str">
        <f t="shared" ca="1" si="40"/>
        <v>S</v>
      </c>
      <c r="D182">
        <f t="shared" ca="1" si="41"/>
        <v>0</v>
      </c>
      <c r="E182">
        <f ca="1">IF($C182=1,OFFSET(E182,-1,0)+MAX(1,COUNTIF(QCI!$A$13:$A$24,OFFSET(ORÇAMENTO!E182,-1,0))),OFFSET(E182,-1,0))</f>
        <v>1</v>
      </c>
      <c r="F182">
        <f t="shared" ca="1" si="42"/>
        <v>7</v>
      </c>
      <c r="G182">
        <f t="shared" ca="1" si="43"/>
        <v>0</v>
      </c>
      <c r="H182">
        <f t="shared" ca="1" si="44"/>
        <v>0</v>
      </c>
      <c r="I182">
        <f t="shared" ca="1" si="45"/>
        <v>0</v>
      </c>
      <c r="J182">
        <f t="shared" ca="1" si="37"/>
        <v>0</v>
      </c>
      <c r="K182">
        <f ca="1">IF(OR($C182="S",$C182=0),0,MATCH(OFFSET($D182,0,$C182)+IF($C182&lt;&gt;1,1,COUNTIF(QCI!$A$13:$A$24,ORÇAMENTO!E182)),OFFSET($D182,1,$C182,ROW($C$747)-ROW($C182)),0))</f>
        <v>0</v>
      </c>
      <c r="L182" s="116" t="str">
        <f t="shared" ca="1" si="46"/>
        <v/>
      </c>
      <c r="M182" s="117" t="s">
        <v>199</v>
      </c>
      <c r="N182" s="118" t="str">
        <f t="shared" ca="1" si="47"/>
        <v>Serviço</v>
      </c>
      <c r="O182" s="119" t="str">
        <f t="shared" ca="1" si="48"/>
        <v>-</v>
      </c>
      <c r="P182" s="120" t="s">
        <v>247</v>
      </c>
      <c r="Q182" s="121" t="s">
        <v>489</v>
      </c>
      <c r="R182" s="122" t="str">
        <f ca="1">IF($C182="S",REFERENCIA.Descricao,"(digite a descrição aqui)")</f>
        <v>(abra o arquivo 'Referência 02-2025.xlsm)</v>
      </c>
      <c r="S182" s="123" t="str">
        <f ca="1">REFERENCIA.Unidade</f>
        <v>-</v>
      </c>
      <c r="T182" s="124">
        <f ca="1">OFFSET(CÁLCULO!H$15,ROW($T182)-ROW(T$15),0)</f>
        <v>311.35000000000002</v>
      </c>
      <c r="U182" s="125">
        <f t="shared" ca="1" si="54"/>
        <v>0</v>
      </c>
      <c r="V182" s="126" t="s">
        <v>156</v>
      </c>
      <c r="W182" s="124">
        <f ca="1">IF($C182="S",ROUND(IF(TIPOORCAMENTO="Proposto",ORÇAMENTO.CustoUnitario*(1+$AH182),ORÇAMENTO.PrecoUnitarioLicitado),15-13*$AF$10),0)</f>
        <v>0</v>
      </c>
      <c r="X182" s="127">
        <f ca="1">IF($C182="S",IF(Import.TipoArredondamento&lt;&gt;"TransfereGOV",VTOTAL1,SUM(OFFSET(CÁLCULO!$AA$15,ROW($X182)-ROW($X$15),1):OFFSET(CÁLCULO!$AL$15,ROW($X182)-ROW($X$15),-1))),IF($C182=0,0,ROUND(SomaAgrup,15-13*$AF$11)))</f>
        <v>0</v>
      </c>
      <c r="Y182" s="128" t="s">
        <v>245</v>
      </c>
      <c r="Z182" t="str">
        <f t="shared" ca="1" si="49"/>
        <v/>
      </c>
      <c r="AA182" s="129">
        <f ca="1">IF($C182="S",IF($Z182="CP",$X182,IF($Z182="RA",(($X182)*QCI!$AA$3),0)),SomaAgrup)</f>
        <v>0</v>
      </c>
      <c r="AB182" s="130">
        <f t="shared" ca="1" si="50"/>
        <v>0</v>
      </c>
      <c r="AC182" s="131" t="str">
        <f ca="1">IF($N182="","",IF(ORÇAMENTO.Descricao="","DESCRIÇÃO",IF(AND($C182="S",ORÇAMENTO.Unidade=""),"UNIDADE",IF($X182&lt;0,"VALOR NEGATIVO",IF(OR(AND(TIPOORCAMENTO="Proposto",$AG182&lt;&gt;"",$AG182&gt;0,ORÇAMENTO.CustoUnitario&gt;$AG182),AND(TIPOORCAMENTO="LICITADO",ORÇAMENTO.PrecoUnitarioLicitado&gt;$AN182)),"ACIMA REF.","")))))</f>
        <v/>
      </c>
      <c r="AD182" t="str">
        <f ca="1">IF(C182&lt;=CRONO.NivelExibicao,MAX($AD$15:OFFSET(AD182,-1,0))+IF($C182&lt;&gt;1,1,MAX(1,COUNTIF(QCI!$A$13:$A$24,OFFSET($E182,-1,0)))),"")</f>
        <v/>
      </c>
      <c r="AE182" s="7" t="str">
        <f ca="1">IF(AND($C182="S",ORÇAMENTO.CodBarra&lt;&gt;""),IF(ORÇAMENTO.Fonte="",ORÇAMENTO.CodBarra,CONCATENATE(ORÇAMENTO.Fonte," ",ORÇAMENTO.CodBarra)))</f>
        <v>SINAPI 100327</v>
      </c>
      <c r="AF182" s="13" t="str">
        <f ca="1">IF(ISERROR(INDIRECT(ORÇAMENTO.BancoRef)),"(abra o arquivo 'Referência "&amp;Excel_BuiltIn_Database&amp;".xlsm)",IF(OR($C182&lt;&gt;"S",ORÇAMENTO.CodBarra=""),"(Sem Código)",IF(ISERROR(MATCH($AE182,INDIRECT(ORÇAMENTO.BancoRef),0)),"(Código não identificado nas referências)",MATCH($AE182,INDIRECT(ORÇAMENTO.BancoRef),0))))</f>
        <v>(abra o arquivo 'Referência 02-2025.xlsm)</v>
      </c>
      <c r="AG182" s="498">
        <f ca="1">ROUND(IF(DESONERACAO="sim",REFERENCIA.Desonerado,REFERENCIA.NaoDesonerado),2)</f>
        <v>0</v>
      </c>
      <c r="AH182" s="499">
        <f t="shared" ca="1" si="51"/>
        <v>0.22470000000000001</v>
      </c>
      <c r="AJ182" s="501">
        <v>311.35000000000002</v>
      </c>
      <c r="AL182" s="527"/>
      <c r="AM182" s="381">
        <f t="shared" ca="1" si="52"/>
        <v>0</v>
      </c>
      <c r="AN182" s="566">
        <f t="shared" ca="1" si="53"/>
        <v>0</v>
      </c>
    </row>
    <row r="183" spans="1:40" x14ac:dyDescent="0.2">
      <c r="A183" t="str">
        <f t="shared" si="38"/>
        <v>S</v>
      </c>
      <c r="B183">
        <f t="shared" ca="1" si="39"/>
        <v>2</v>
      </c>
      <c r="C183" t="str">
        <f t="shared" ca="1" si="40"/>
        <v>S</v>
      </c>
      <c r="D183">
        <f t="shared" ca="1" si="41"/>
        <v>0</v>
      </c>
      <c r="E183">
        <f ca="1">IF($C183=1,OFFSET(E183,-1,0)+MAX(1,COUNTIF(QCI!$A$13:$A$24,OFFSET(ORÇAMENTO!E183,-1,0))),OFFSET(E183,-1,0))</f>
        <v>1</v>
      </c>
      <c r="F183">
        <f t="shared" ca="1" si="42"/>
        <v>7</v>
      </c>
      <c r="G183">
        <f t="shared" ca="1" si="43"/>
        <v>0</v>
      </c>
      <c r="H183">
        <f t="shared" ca="1" si="44"/>
        <v>0</v>
      </c>
      <c r="I183">
        <f t="shared" ca="1" si="45"/>
        <v>0</v>
      </c>
      <c r="J183">
        <f t="shared" ca="1" si="37"/>
        <v>0</v>
      </c>
      <c r="K183">
        <f ca="1">IF(OR($C183="S",$C183=0),0,MATCH(OFFSET($D183,0,$C183)+IF($C183&lt;&gt;1,1,COUNTIF(QCI!$A$13:$A$24,ORÇAMENTO!E183)),OFFSET($D183,1,$C183,ROW($C$747)-ROW($C183)),0))</f>
        <v>0</v>
      </c>
      <c r="L183" s="116" t="str">
        <f t="shared" ca="1" si="46"/>
        <v/>
      </c>
      <c r="M183" s="117" t="s">
        <v>199</v>
      </c>
      <c r="N183" s="118" t="str">
        <f t="shared" ca="1" si="47"/>
        <v>Serviço</v>
      </c>
      <c r="O183" s="119" t="str">
        <f t="shared" ca="1" si="48"/>
        <v>-</v>
      </c>
      <c r="P183" s="120" t="s">
        <v>247</v>
      </c>
      <c r="Q183" s="121" t="s">
        <v>490</v>
      </c>
      <c r="R183" s="122" t="str">
        <f ca="1">IF($C183="S",REFERENCIA.Descricao,"(digite a descrição aqui)")</f>
        <v>(abra o arquivo 'Referência 02-2025.xlsm)</v>
      </c>
      <c r="S183" s="123" t="str">
        <f ca="1">REFERENCIA.Unidade</f>
        <v>-</v>
      </c>
      <c r="T183" s="124">
        <f ca="1">OFFSET(CÁLCULO!H$15,ROW($T183)-ROW(T$15),0)</f>
        <v>214.7</v>
      </c>
      <c r="U183" s="125">
        <f t="shared" ca="1" si="54"/>
        <v>0</v>
      </c>
      <c r="V183" s="126" t="s">
        <v>156</v>
      </c>
      <c r="W183" s="124">
        <f ca="1">IF($C183="S",ROUND(IF(TIPOORCAMENTO="Proposto",ORÇAMENTO.CustoUnitario*(1+$AH183),ORÇAMENTO.PrecoUnitarioLicitado),15-13*$AF$10),0)</f>
        <v>0</v>
      </c>
      <c r="X183" s="127">
        <f ca="1">IF($C183="S",IF(Import.TipoArredondamento&lt;&gt;"TransfereGOV",VTOTAL1,SUM(OFFSET(CÁLCULO!$AA$15,ROW($X183)-ROW($X$15),1):OFFSET(CÁLCULO!$AL$15,ROW($X183)-ROW($X$15),-1))),IF($C183=0,0,ROUND(SomaAgrup,15-13*$AF$11)))</f>
        <v>0</v>
      </c>
      <c r="Y183" s="128" t="s">
        <v>245</v>
      </c>
      <c r="Z183" t="str">
        <f t="shared" ca="1" si="49"/>
        <v/>
      </c>
      <c r="AA183" s="129">
        <f ca="1">IF($C183="S",IF($Z183="CP",$X183,IF($Z183="RA",(($X183)*QCI!$AA$3),0)),SomaAgrup)</f>
        <v>0</v>
      </c>
      <c r="AB183" s="130">
        <f t="shared" ca="1" si="50"/>
        <v>0</v>
      </c>
      <c r="AC183" s="131" t="str">
        <f ca="1">IF($N183="","",IF(ORÇAMENTO.Descricao="","DESCRIÇÃO",IF(AND($C183="S",ORÇAMENTO.Unidade=""),"UNIDADE",IF($X183&lt;0,"VALOR NEGATIVO",IF(OR(AND(TIPOORCAMENTO="Proposto",$AG183&lt;&gt;"",$AG183&gt;0,ORÇAMENTO.CustoUnitario&gt;$AG183),AND(TIPOORCAMENTO="LICITADO",ORÇAMENTO.PrecoUnitarioLicitado&gt;$AN183)),"ACIMA REF.","")))))</f>
        <v/>
      </c>
      <c r="AD183" t="str">
        <f ca="1">IF(C183&lt;=CRONO.NivelExibicao,MAX($AD$15:OFFSET(AD183,-1,0))+IF($C183&lt;&gt;1,1,MAX(1,COUNTIF(QCI!$A$13:$A$24,OFFSET($E183,-1,0)))),"")</f>
        <v/>
      </c>
      <c r="AE183" s="7" t="str">
        <f ca="1">IF(AND($C183="S",ORÇAMENTO.CodBarra&lt;&gt;""),IF(ORÇAMENTO.Fonte="",ORÇAMENTO.CodBarra,CONCATENATE(ORÇAMENTO.Fonte," ",ORÇAMENTO.CodBarra)))</f>
        <v>SINAPI 101979</v>
      </c>
      <c r="AF183" s="13" t="str">
        <f ca="1">IF(ISERROR(INDIRECT(ORÇAMENTO.BancoRef)),"(abra o arquivo 'Referência "&amp;Excel_BuiltIn_Database&amp;".xlsm)",IF(OR($C183&lt;&gt;"S",ORÇAMENTO.CodBarra=""),"(Sem Código)",IF(ISERROR(MATCH($AE183,INDIRECT(ORÇAMENTO.BancoRef),0)),"(Código não identificado nas referências)",MATCH($AE183,INDIRECT(ORÇAMENTO.BancoRef),0))))</f>
        <v>(abra o arquivo 'Referência 02-2025.xlsm)</v>
      </c>
      <c r="AG183" s="498">
        <f ca="1">ROUND(IF(DESONERACAO="sim",REFERENCIA.Desonerado,REFERENCIA.NaoDesonerado),2)</f>
        <v>0</v>
      </c>
      <c r="AH183" s="499">
        <f t="shared" ca="1" si="51"/>
        <v>0.22470000000000001</v>
      </c>
      <c r="AJ183" s="501">
        <v>214.7</v>
      </c>
      <c r="AL183" s="527"/>
      <c r="AM183" s="381">
        <f t="shared" ca="1" si="52"/>
        <v>0</v>
      </c>
      <c r="AN183" s="566">
        <f t="shared" ca="1" si="53"/>
        <v>0</v>
      </c>
    </row>
    <row r="184" spans="1:40" x14ac:dyDescent="0.2">
      <c r="A184">
        <f t="shared" si="38"/>
        <v>2</v>
      </c>
      <c r="B184">
        <f t="shared" ca="1" si="39"/>
        <v>2</v>
      </c>
      <c r="C184">
        <f t="shared" ca="1" si="40"/>
        <v>2</v>
      </c>
      <c r="D184">
        <f t="shared" ca="1" si="41"/>
        <v>6</v>
      </c>
      <c r="E184">
        <f ca="1">IF($C184=1,OFFSET(E184,-1,0)+MAX(1,COUNTIF(QCI!$A$13:$A$24,OFFSET(ORÇAMENTO!E184,-1,0))),OFFSET(E184,-1,0))</f>
        <v>1</v>
      </c>
      <c r="F184">
        <f t="shared" ca="1" si="42"/>
        <v>8</v>
      </c>
      <c r="G184">
        <f t="shared" ca="1" si="43"/>
        <v>0</v>
      </c>
      <c r="H184">
        <f t="shared" ca="1" si="44"/>
        <v>0</v>
      </c>
      <c r="I184">
        <f t="shared" ca="1" si="45"/>
        <v>0</v>
      </c>
      <c r="J184">
        <f t="shared" ca="1" si="37"/>
        <v>563</v>
      </c>
      <c r="K184">
        <f ca="1">IF(OR($C184="S",$C184=0),0,MATCH(OFFSET($D184,0,$C184)+IF($C184&lt;&gt;1,1,COUNTIF(QCI!$A$13:$A$24,ORÇAMENTO!E184)),OFFSET($D184,1,$C184,ROW($C$747)-ROW($C184)),0))</f>
        <v>6</v>
      </c>
      <c r="L184" s="116" t="str">
        <f t="shared" ca="1" si="46"/>
        <v>F</v>
      </c>
      <c r="M184" s="117" t="s">
        <v>196</v>
      </c>
      <c r="N184" s="118" t="str">
        <f t="shared" ca="1" si="47"/>
        <v>Nível 2</v>
      </c>
      <c r="O184" s="119" t="str">
        <f t="shared" ca="1" si="48"/>
        <v>1.8.</v>
      </c>
      <c r="P184" s="120" t="s">
        <v>247</v>
      </c>
      <c r="Q184" s="121"/>
      <c r="R184" s="122" t="str">
        <f ca="1">IF($C184="S",REFERENCIA.Descricao,"IMPERMEABILIZAÇÃO")</f>
        <v>IMPERMEABILIZAÇÃO</v>
      </c>
      <c r="S184" s="123" t="str">
        <f ca="1">REFERENCIA.Unidade</f>
        <v>-</v>
      </c>
      <c r="T184" s="124">
        <f ca="1">OFFSET(CÁLCULO!H$15,ROW($T184)-ROW(T$15),0)</f>
        <v>0</v>
      </c>
      <c r="U184" s="125">
        <f t="shared" ca="1" si="54"/>
        <v>0</v>
      </c>
      <c r="V184" s="126" t="s">
        <v>156</v>
      </c>
      <c r="W184" s="124">
        <f ca="1">IF($C184="S",ROUND(IF(TIPOORCAMENTO="Proposto",ORÇAMENTO.CustoUnitario*(1+$AH184),ORÇAMENTO.PrecoUnitarioLicitado),15-13*$AF$10),0)</f>
        <v>0</v>
      </c>
      <c r="X184" s="127">
        <f ca="1">IF($C184="S",IF(Import.TipoArredondamento&lt;&gt;"TransfereGOV",VTOTAL1,SUM(OFFSET(CÁLCULO!$AA$15,ROW($X184)-ROW($X$15),1):OFFSET(CÁLCULO!$AL$15,ROW($X184)-ROW($X$15),-1))),IF($C184=0,0,ROUND(SomaAgrup,15-13*$AF$11)))</f>
        <v>0</v>
      </c>
      <c r="Y184" s="128" t="s">
        <v>245</v>
      </c>
      <c r="Z184" t="str">
        <f t="shared" ca="1" si="49"/>
        <v/>
      </c>
      <c r="AA184" s="129">
        <f ca="1">IF($C184="S",IF($Z184="CP",$X184,IF($Z184="RA",(($X184)*QCI!$AA$3),0)),SomaAgrup)</f>
        <v>0</v>
      </c>
      <c r="AB184" s="130">
        <f t="shared" ca="1" si="50"/>
        <v>0</v>
      </c>
      <c r="AC184" s="131" t="str">
        <f ca="1">IF($N184="","",IF(ORÇAMENTO.Descricao="","DESCRIÇÃO",IF(AND($C184="S",ORÇAMENTO.Unidade=""),"UNIDADE",IF($X184&lt;0,"VALOR NEGATIVO",IF(OR(AND(TIPOORCAMENTO="Proposto",$AG184&lt;&gt;"",$AG184&gt;0,ORÇAMENTO.CustoUnitario&gt;$AG184),AND(TIPOORCAMENTO="LICITADO",ORÇAMENTO.PrecoUnitarioLicitado&gt;$AN184)),"ACIMA REF.","")))))</f>
        <v/>
      </c>
      <c r="AD184">
        <f ca="1">IF(C184&lt;=CRONO.NivelExibicao,MAX($AD$15:OFFSET(AD184,-1,0))+IF($C184&lt;&gt;1,1,MAX(1,COUNTIF(QCI!$A$13:$A$24,OFFSET($E184,-1,0)))),"")</f>
        <v>9</v>
      </c>
      <c r="AE184" s="7" t="b">
        <f ca="1">IF(AND($C184="S",ORÇAMENTO.CodBarra&lt;&gt;""),IF(ORÇAMENTO.Fonte="",ORÇAMENTO.CodBarra,CONCATENATE(ORÇAMENTO.Fonte," ",ORÇAMENTO.CodBarra)))</f>
        <v>0</v>
      </c>
      <c r="AF184" s="13" t="str">
        <f ca="1">IF(ISERROR(INDIRECT(ORÇAMENTO.BancoRef)),"(abra o arquivo 'Referência "&amp;Excel_BuiltIn_Database&amp;".xlsm)",IF(OR($C184&lt;&gt;"S",ORÇAMENTO.CodBarra=""),"(Sem Código)",IF(ISERROR(MATCH($AE184,INDIRECT(ORÇAMENTO.BancoRef),0)),"(Código não identificado nas referências)",MATCH($AE184,INDIRECT(ORÇAMENTO.BancoRef),0))))</f>
        <v>(abra o arquivo 'Referência 02-2025.xlsm)</v>
      </c>
      <c r="AG184" s="498">
        <f ca="1">ROUND(IF(DESONERACAO="sim",REFERENCIA.Desonerado,REFERENCIA.NaoDesonerado),2)</f>
        <v>0</v>
      </c>
      <c r="AH184" s="499">
        <f t="shared" ca="1" si="51"/>
        <v>0.22470000000000001</v>
      </c>
      <c r="AJ184" s="501"/>
      <c r="AL184" s="527"/>
      <c r="AM184" s="381">
        <f t="shared" ca="1" si="52"/>
        <v>0</v>
      </c>
      <c r="AN184" s="566">
        <f t="shared" ca="1" si="53"/>
        <v>0</v>
      </c>
    </row>
    <row r="185" spans="1:40" ht="25.5" x14ac:dyDescent="0.2">
      <c r="A185" t="str">
        <f t="shared" si="38"/>
        <v>S</v>
      </c>
      <c r="B185">
        <f t="shared" ca="1" si="39"/>
        <v>2</v>
      </c>
      <c r="C185" t="str">
        <f t="shared" ca="1" si="40"/>
        <v>S</v>
      </c>
      <c r="D185">
        <f t="shared" ca="1" si="41"/>
        <v>0</v>
      </c>
      <c r="E185">
        <f ca="1">IF($C185=1,OFFSET(E185,-1,0)+MAX(1,COUNTIF(QCI!$A$13:$A$24,OFFSET(ORÇAMENTO!E185,-1,0))),OFFSET(E185,-1,0))</f>
        <v>1</v>
      </c>
      <c r="F185">
        <f t="shared" ca="1" si="42"/>
        <v>8</v>
      </c>
      <c r="G185">
        <f t="shared" ca="1" si="43"/>
        <v>0</v>
      </c>
      <c r="H185">
        <f t="shared" ca="1" si="44"/>
        <v>0</v>
      </c>
      <c r="I185">
        <f t="shared" ca="1" si="45"/>
        <v>0</v>
      </c>
      <c r="J185">
        <f t="shared" ca="1" si="37"/>
        <v>0</v>
      </c>
      <c r="K185">
        <f ca="1">IF(OR($C185="S",$C185=0),0,MATCH(OFFSET($D185,0,$C185)+IF($C185&lt;&gt;1,1,COUNTIF(QCI!$A$13:$A$24,ORÇAMENTO!E185)),OFFSET($D185,1,$C185,ROW($C$747)-ROW($C185)),0))</f>
        <v>0</v>
      </c>
      <c r="L185" s="116" t="str">
        <f t="shared" ca="1" si="46"/>
        <v/>
      </c>
      <c r="M185" s="117" t="s">
        <v>199</v>
      </c>
      <c r="N185" s="118" t="str">
        <f t="shared" ca="1" si="47"/>
        <v>Serviço</v>
      </c>
      <c r="O185" s="119" t="str">
        <f t="shared" ca="1" si="48"/>
        <v>-</v>
      </c>
      <c r="P185" s="120" t="s">
        <v>712</v>
      </c>
      <c r="Q185" s="121" t="s">
        <v>763</v>
      </c>
      <c r="R185" s="122" t="str">
        <f ca="1">IF($C185="S",REFERENCIA.Descricao,"(digite a descrição aqui)")</f>
        <v>(abra o arquivo 'Referência 02-2025.xlsm)</v>
      </c>
      <c r="S185" s="123" t="str">
        <f ca="1">REFERENCIA.Unidade</f>
        <v>-</v>
      </c>
      <c r="T185" s="124">
        <f ca="1">OFFSET(CÁLCULO!H$15,ROW($T185)-ROW(T$15),0)</f>
        <v>696.69</v>
      </c>
      <c r="U185" s="125">
        <f t="shared" ca="1" si="54"/>
        <v>0</v>
      </c>
      <c r="V185" s="126" t="s">
        <v>156</v>
      </c>
      <c r="W185" s="124">
        <f ca="1">IF($C185="S",ROUND(IF(TIPOORCAMENTO="Proposto",ORÇAMENTO.CustoUnitario*(1+$AH185),ORÇAMENTO.PrecoUnitarioLicitado),15-13*$AF$10),0)</f>
        <v>0</v>
      </c>
      <c r="X185" s="127">
        <f ca="1">IF($C185="S",IF(Import.TipoArredondamento&lt;&gt;"TransfereGOV",VTOTAL1,SUM(OFFSET(CÁLCULO!$AA$15,ROW($X185)-ROW($X$15),1):OFFSET(CÁLCULO!$AL$15,ROW($X185)-ROW($X$15),-1))),IF($C185=0,0,ROUND(SomaAgrup,15-13*$AF$11)))</f>
        <v>0</v>
      </c>
      <c r="Y185" s="128" t="s">
        <v>245</v>
      </c>
      <c r="Z185" t="str">
        <f t="shared" ca="1" si="49"/>
        <v/>
      </c>
      <c r="AA185" s="129">
        <f ca="1">IF($C185="S",IF($Z185="CP",$X185,IF($Z185="RA",(($X185)*QCI!$AA$3),0)),SomaAgrup)</f>
        <v>0</v>
      </c>
      <c r="AB185" s="130">
        <f t="shared" ca="1" si="50"/>
        <v>0</v>
      </c>
      <c r="AC185" s="131" t="str">
        <f ca="1">IF($N185="","",IF(ORÇAMENTO.Descricao="","DESCRIÇÃO",IF(AND($C185="S",ORÇAMENTO.Unidade=""),"UNIDADE",IF($X185&lt;0,"VALOR NEGATIVO",IF(OR(AND(TIPOORCAMENTO="Proposto",$AG185&lt;&gt;"",$AG185&gt;0,ORÇAMENTO.CustoUnitario&gt;$AG185),AND(TIPOORCAMENTO="LICITADO",ORÇAMENTO.PrecoUnitarioLicitado&gt;$AN185)),"ACIMA REF.","")))))</f>
        <v/>
      </c>
      <c r="AD185" t="str">
        <f ca="1">IF(C185&lt;=CRONO.NivelExibicao,MAX($AD$15:OFFSET(AD185,-1,0))+IF($C185&lt;&gt;1,1,MAX(1,COUNTIF(QCI!$A$13:$A$24,OFFSET($E185,-1,0)))),"")</f>
        <v/>
      </c>
      <c r="AE185" s="7" t="str">
        <f ca="1">IF(AND($C185="S",ORÇAMENTO.CodBarra&lt;&gt;""),IF(ORÇAMENTO.Fonte="",ORÇAMENTO.CodBarra,CONCATENATE(ORÇAMENTO.Fonte," ",ORÇAMENTO.CodBarra)))</f>
        <v>Composição FNDE 172</v>
      </c>
      <c r="AF185" s="13" t="str">
        <f ca="1">IF(ISERROR(INDIRECT(ORÇAMENTO.BancoRef)),"(abra o arquivo 'Referência "&amp;Excel_BuiltIn_Database&amp;".xlsm)",IF(OR($C185&lt;&gt;"S",ORÇAMENTO.CodBarra=""),"(Sem Código)",IF(ISERROR(MATCH($AE185,INDIRECT(ORÇAMENTO.BancoRef),0)),"(Código não identificado nas referências)",MATCH($AE185,INDIRECT(ORÇAMENTO.BancoRef),0))))</f>
        <v>(abra o arquivo 'Referência 02-2025.xlsm)</v>
      </c>
      <c r="AG185" s="498">
        <f ca="1">ROUND(IF(DESONERACAO="sim",REFERENCIA.Desonerado,REFERENCIA.NaoDesonerado),2)</f>
        <v>0</v>
      </c>
      <c r="AH185" s="499">
        <f t="shared" ca="1" si="51"/>
        <v>0.22470000000000001</v>
      </c>
      <c r="AJ185" s="501">
        <v>696.69</v>
      </c>
      <c r="AL185" s="527"/>
      <c r="AM185" s="381">
        <f t="shared" ca="1" si="52"/>
        <v>0</v>
      </c>
      <c r="AN185" s="566">
        <f t="shared" ca="1" si="53"/>
        <v>0</v>
      </c>
    </row>
    <row r="186" spans="1:40" ht="25.5" x14ac:dyDescent="0.2">
      <c r="A186" t="str">
        <f t="shared" si="38"/>
        <v>S</v>
      </c>
      <c r="B186">
        <f t="shared" ca="1" si="39"/>
        <v>2</v>
      </c>
      <c r="C186" t="str">
        <f t="shared" ca="1" si="40"/>
        <v>S</v>
      </c>
      <c r="D186">
        <f t="shared" ca="1" si="41"/>
        <v>0</v>
      </c>
      <c r="E186">
        <f ca="1">IF($C186=1,OFFSET(E186,-1,0)+MAX(1,COUNTIF(QCI!$A$13:$A$24,OFFSET(ORÇAMENTO!E186,-1,0))),OFFSET(E186,-1,0))</f>
        <v>1</v>
      </c>
      <c r="F186">
        <f t="shared" ca="1" si="42"/>
        <v>8</v>
      </c>
      <c r="G186">
        <f t="shared" ca="1" si="43"/>
        <v>0</v>
      </c>
      <c r="H186">
        <f t="shared" ca="1" si="44"/>
        <v>0</v>
      </c>
      <c r="I186">
        <f t="shared" ca="1" si="45"/>
        <v>0</v>
      </c>
      <c r="J186">
        <f t="shared" ca="1" si="37"/>
        <v>0</v>
      </c>
      <c r="K186">
        <f ca="1">IF(OR($C186="S",$C186=0),0,MATCH(OFFSET($D186,0,$C186)+IF($C186&lt;&gt;1,1,COUNTIF(QCI!$A$13:$A$24,ORÇAMENTO!E186)),OFFSET($D186,1,$C186,ROW($C$747)-ROW($C186)),0))</f>
        <v>0</v>
      </c>
      <c r="L186" s="116" t="str">
        <f t="shared" ca="1" si="46"/>
        <v/>
      </c>
      <c r="M186" s="117" t="s">
        <v>199</v>
      </c>
      <c r="N186" s="118" t="str">
        <f t="shared" ca="1" si="47"/>
        <v>Serviço</v>
      </c>
      <c r="O186" s="119" t="str">
        <f t="shared" ca="1" si="48"/>
        <v>-</v>
      </c>
      <c r="P186" s="120" t="s">
        <v>712</v>
      </c>
      <c r="Q186" s="121" t="s">
        <v>765</v>
      </c>
      <c r="R186" s="122" t="str">
        <f ca="1">IF($C186="S",REFERENCIA.Descricao,"(digite a descrição aqui)")</f>
        <v>(abra o arquivo 'Referência 02-2025.xlsm)</v>
      </c>
      <c r="S186" s="123" t="str">
        <f ca="1">REFERENCIA.Unidade</f>
        <v>-</v>
      </c>
      <c r="T186" s="124">
        <f ca="1">OFFSET(CÁLCULO!H$15,ROW($T186)-ROW(T$15),0)</f>
        <v>11.75</v>
      </c>
      <c r="U186" s="125">
        <f t="shared" ca="1" si="54"/>
        <v>0</v>
      </c>
      <c r="V186" s="126" t="s">
        <v>156</v>
      </c>
      <c r="W186" s="124">
        <f ca="1">IF($C186="S",ROUND(IF(TIPOORCAMENTO="Proposto",ORÇAMENTO.CustoUnitario*(1+$AH186),ORÇAMENTO.PrecoUnitarioLicitado),15-13*$AF$10),0)</f>
        <v>0</v>
      </c>
      <c r="X186" s="127">
        <f ca="1">IF($C186="S",IF(Import.TipoArredondamento&lt;&gt;"TransfereGOV",VTOTAL1,SUM(OFFSET(CÁLCULO!$AA$15,ROW($X186)-ROW($X$15),1):OFFSET(CÁLCULO!$AL$15,ROW($X186)-ROW($X$15),-1))),IF($C186=0,0,ROUND(SomaAgrup,15-13*$AF$11)))</f>
        <v>0</v>
      </c>
      <c r="Y186" s="128" t="s">
        <v>245</v>
      </c>
      <c r="Z186" t="str">
        <f t="shared" ca="1" si="49"/>
        <v/>
      </c>
      <c r="AA186" s="129">
        <f ca="1">IF($C186="S",IF($Z186="CP",$X186,IF($Z186="RA",(($X186)*QCI!$AA$3),0)),SomaAgrup)</f>
        <v>0</v>
      </c>
      <c r="AB186" s="130">
        <f t="shared" ca="1" si="50"/>
        <v>0</v>
      </c>
      <c r="AC186" s="131" t="str">
        <f ca="1">IF($N186="","",IF(ORÇAMENTO.Descricao="","DESCRIÇÃO",IF(AND($C186="S",ORÇAMENTO.Unidade=""),"UNIDADE",IF($X186&lt;0,"VALOR NEGATIVO",IF(OR(AND(TIPOORCAMENTO="Proposto",$AG186&lt;&gt;"",$AG186&gt;0,ORÇAMENTO.CustoUnitario&gt;$AG186),AND(TIPOORCAMENTO="LICITADO",ORÇAMENTO.PrecoUnitarioLicitado&gt;$AN186)),"ACIMA REF.","")))))</f>
        <v/>
      </c>
      <c r="AD186" t="str">
        <f ca="1">IF(C186&lt;=CRONO.NivelExibicao,MAX($AD$15:OFFSET(AD186,-1,0))+IF($C186&lt;&gt;1,1,MAX(1,COUNTIF(QCI!$A$13:$A$24,OFFSET($E186,-1,0)))),"")</f>
        <v/>
      </c>
      <c r="AE186" s="7" t="str">
        <f ca="1">IF(AND($C186="S",ORÇAMENTO.CodBarra&lt;&gt;""),IF(ORÇAMENTO.Fonte="",ORÇAMENTO.CodBarra,CONCATENATE(ORÇAMENTO.Fonte," ",ORÇAMENTO.CodBarra)))</f>
        <v xml:space="preserve">Composição FNDE 173 </v>
      </c>
      <c r="AF186" s="13" t="str">
        <f ca="1">IF(ISERROR(INDIRECT(ORÇAMENTO.BancoRef)),"(abra o arquivo 'Referência "&amp;Excel_BuiltIn_Database&amp;".xlsm)",IF(OR($C186&lt;&gt;"S",ORÇAMENTO.CodBarra=""),"(Sem Código)",IF(ISERROR(MATCH($AE186,INDIRECT(ORÇAMENTO.BancoRef),0)),"(Código não identificado nas referências)",MATCH($AE186,INDIRECT(ORÇAMENTO.BancoRef),0))))</f>
        <v>(abra o arquivo 'Referência 02-2025.xlsm)</v>
      </c>
      <c r="AG186" s="498">
        <f ca="1">ROUND(IF(DESONERACAO="sim",REFERENCIA.Desonerado,REFERENCIA.NaoDesonerado),2)</f>
        <v>0</v>
      </c>
      <c r="AH186" s="499">
        <f t="shared" ca="1" si="51"/>
        <v>0.22470000000000001</v>
      </c>
      <c r="AJ186" s="501">
        <v>11.75</v>
      </c>
      <c r="AL186" s="527"/>
      <c r="AM186" s="381">
        <f t="shared" ca="1" si="52"/>
        <v>0</v>
      </c>
      <c r="AN186" s="566">
        <f t="shared" ca="1" si="53"/>
        <v>0</v>
      </c>
    </row>
    <row r="187" spans="1:40" ht="25.5" x14ac:dyDescent="0.2">
      <c r="A187" t="str">
        <f t="shared" si="38"/>
        <v>S</v>
      </c>
      <c r="B187">
        <f t="shared" ca="1" si="39"/>
        <v>2</v>
      </c>
      <c r="C187" t="str">
        <f t="shared" ca="1" si="40"/>
        <v>S</v>
      </c>
      <c r="D187">
        <f t="shared" ca="1" si="41"/>
        <v>0</v>
      </c>
      <c r="E187">
        <f ca="1">IF($C187=1,OFFSET(E187,-1,0)+MAX(1,COUNTIF(QCI!$A$13:$A$24,OFFSET(ORÇAMENTO!E187,-1,0))),OFFSET(E187,-1,0))</f>
        <v>1</v>
      </c>
      <c r="F187">
        <f t="shared" ca="1" si="42"/>
        <v>8</v>
      </c>
      <c r="G187">
        <f t="shared" ca="1" si="43"/>
        <v>0</v>
      </c>
      <c r="H187">
        <f t="shared" ca="1" si="44"/>
        <v>0</v>
      </c>
      <c r="I187">
        <f t="shared" ca="1" si="45"/>
        <v>0</v>
      </c>
      <c r="J187">
        <f t="shared" ca="1" si="37"/>
        <v>0</v>
      </c>
      <c r="K187">
        <f ca="1">IF(OR($C187="S",$C187=0),0,MATCH(OFFSET($D187,0,$C187)+IF($C187&lt;&gt;1,1,COUNTIF(QCI!$A$13:$A$24,ORÇAMENTO!E187)),OFFSET($D187,1,$C187,ROW($C$747)-ROW($C187)),0))</f>
        <v>0</v>
      </c>
      <c r="L187" s="116" t="str">
        <f t="shared" ca="1" si="46"/>
        <v/>
      </c>
      <c r="M187" s="117" t="s">
        <v>199</v>
      </c>
      <c r="N187" s="118" t="str">
        <f t="shared" ca="1" si="47"/>
        <v>Serviço</v>
      </c>
      <c r="O187" s="119" t="str">
        <f t="shared" ca="1" si="48"/>
        <v>-</v>
      </c>
      <c r="P187" s="120" t="s">
        <v>712</v>
      </c>
      <c r="Q187" s="121" t="s">
        <v>766</v>
      </c>
      <c r="R187" s="122" t="str">
        <f ca="1">IF($C187="S",REFERENCIA.Descricao,"(digite a descrição aqui)")</f>
        <v>(abra o arquivo 'Referência 02-2025.xlsm)</v>
      </c>
      <c r="S187" s="123" t="str">
        <f ca="1">REFERENCIA.Unidade</f>
        <v>-</v>
      </c>
      <c r="T187" s="124">
        <f ca="1">OFFSET(CÁLCULO!H$15,ROW($T187)-ROW(T$15),0)</f>
        <v>206.93</v>
      </c>
      <c r="U187" s="125">
        <f t="shared" ca="1" si="54"/>
        <v>0</v>
      </c>
      <c r="V187" s="126" t="s">
        <v>156</v>
      </c>
      <c r="W187" s="124">
        <f ca="1">IF($C187="S",ROUND(IF(TIPOORCAMENTO="Proposto",ORÇAMENTO.CustoUnitario*(1+$AH187),ORÇAMENTO.PrecoUnitarioLicitado),15-13*$AF$10),0)</f>
        <v>0</v>
      </c>
      <c r="X187" s="127">
        <f ca="1">IF($C187="S",IF(Import.TipoArredondamento&lt;&gt;"TransfereGOV",VTOTAL1,SUM(OFFSET(CÁLCULO!$AA$15,ROW($X187)-ROW($X$15),1):OFFSET(CÁLCULO!$AL$15,ROW($X187)-ROW($X$15),-1))),IF($C187=0,0,ROUND(SomaAgrup,15-13*$AF$11)))</f>
        <v>0</v>
      </c>
      <c r="Y187" s="128" t="s">
        <v>245</v>
      </c>
      <c r="Z187" t="str">
        <f t="shared" ca="1" si="49"/>
        <v/>
      </c>
      <c r="AA187" s="129">
        <f ca="1">IF($C187="S",IF($Z187="CP",$X187,IF($Z187="RA",(($X187)*QCI!$AA$3),0)),SomaAgrup)</f>
        <v>0</v>
      </c>
      <c r="AB187" s="130">
        <f t="shared" ca="1" si="50"/>
        <v>0</v>
      </c>
      <c r="AC187" s="131" t="str">
        <f ca="1">IF($N187="","",IF(ORÇAMENTO.Descricao="","DESCRIÇÃO",IF(AND($C187="S",ORÇAMENTO.Unidade=""),"UNIDADE",IF($X187&lt;0,"VALOR NEGATIVO",IF(OR(AND(TIPOORCAMENTO="Proposto",$AG187&lt;&gt;"",$AG187&gt;0,ORÇAMENTO.CustoUnitario&gt;$AG187),AND(TIPOORCAMENTO="LICITADO",ORÇAMENTO.PrecoUnitarioLicitado&gt;$AN187)),"ACIMA REF.","")))))</f>
        <v/>
      </c>
      <c r="AD187" t="str">
        <f ca="1">IF(C187&lt;=CRONO.NivelExibicao,MAX($AD$15:OFFSET(AD187,-1,0))+IF($C187&lt;&gt;1,1,MAX(1,COUNTIF(QCI!$A$13:$A$24,OFFSET($E187,-1,0)))),"")</f>
        <v/>
      </c>
      <c r="AE187" s="7" t="str">
        <f ca="1">IF(AND($C187="S",ORÇAMENTO.CodBarra&lt;&gt;""),IF(ORÇAMENTO.Fonte="",ORÇAMENTO.CodBarra,CONCATENATE(ORÇAMENTO.Fonte," ",ORÇAMENTO.CodBarra)))</f>
        <v xml:space="preserve">Composição FNDE 174 </v>
      </c>
      <c r="AF187" s="13" t="str">
        <f ca="1">IF(ISERROR(INDIRECT(ORÇAMENTO.BancoRef)),"(abra o arquivo 'Referência "&amp;Excel_BuiltIn_Database&amp;".xlsm)",IF(OR($C187&lt;&gt;"S",ORÇAMENTO.CodBarra=""),"(Sem Código)",IF(ISERROR(MATCH($AE187,INDIRECT(ORÇAMENTO.BancoRef),0)),"(Código não identificado nas referências)",MATCH($AE187,INDIRECT(ORÇAMENTO.BancoRef),0))))</f>
        <v>(abra o arquivo 'Referência 02-2025.xlsm)</v>
      </c>
      <c r="AG187" s="498">
        <f ca="1">ROUND(IF(DESONERACAO="sim",REFERENCIA.Desonerado,REFERENCIA.NaoDesonerado),2)</f>
        <v>0</v>
      </c>
      <c r="AH187" s="499">
        <f t="shared" ca="1" si="51"/>
        <v>0.22470000000000001</v>
      </c>
      <c r="AJ187" s="501">
        <v>206.93</v>
      </c>
      <c r="AL187" s="527"/>
      <c r="AM187" s="381">
        <f t="shared" ca="1" si="52"/>
        <v>0</v>
      </c>
      <c r="AN187" s="566">
        <f t="shared" ca="1" si="53"/>
        <v>0</v>
      </c>
    </row>
    <row r="188" spans="1:40" ht="25.5" x14ac:dyDescent="0.2">
      <c r="A188" t="str">
        <f t="shared" si="38"/>
        <v>S</v>
      </c>
      <c r="B188">
        <f t="shared" ca="1" si="39"/>
        <v>2</v>
      </c>
      <c r="C188" t="str">
        <f t="shared" ca="1" si="40"/>
        <v>S</v>
      </c>
      <c r="D188">
        <f t="shared" ca="1" si="41"/>
        <v>0</v>
      </c>
      <c r="E188">
        <f ca="1">IF($C188=1,OFFSET(E188,-1,0)+MAX(1,COUNTIF(QCI!$A$13:$A$24,OFFSET(ORÇAMENTO!E188,-1,0))),OFFSET(E188,-1,0))</f>
        <v>1</v>
      </c>
      <c r="F188">
        <f t="shared" ca="1" si="42"/>
        <v>8</v>
      </c>
      <c r="G188">
        <f t="shared" ca="1" si="43"/>
        <v>0</v>
      </c>
      <c r="H188">
        <f t="shared" ca="1" si="44"/>
        <v>0</v>
      </c>
      <c r="I188">
        <f t="shared" ca="1" si="45"/>
        <v>0</v>
      </c>
      <c r="J188">
        <f t="shared" ca="1" si="37"/>
        <v>0</v>
      </c>
      <c r="K188">
        <f ca="1">IF(OR($C188="S",$C188=0),0,MATCH(OFFSET($D188,0,$C188)+IF($C188&lt;&gt;1,1,COUNTIF(QCI!$A$13:$A$24,ORÇAMENTO!E188)),OFFSET($D188,1,$C188,ROW($C$747)-ROW($C188)),0))</f>
        <v>0</v>
      </c>
      <c r="L188" s="116" t="str">
        <f t="shared" ca="1" si="46"/>
        <v/>
      </c>
      <c r="M188" s="117" t="s">
        <v>199</v>
      </c>
      <c r="N188" s="118" t="str">
        <f t="shared" ca="1" si="47"/>
        <v>Serviço</v>
      </c>
      <c r="O188" s="119" t="str">
        <f t="shared" ca="1" si="48"/>
        <v>-</v>
      </c>
      <c r="P188" s="120" t="s">
        <v>712</v>
      </c>
      <c r="Q188" s="121" t="s">
        <v>764</v>
      </c>
      <c r="R188" s="122" t="str">
        <f ca="1">IF($C188="S",REFERENCIA.Descricao,"(digite a descrição aqui)")</f>
        <v>(abra o arquivo 'Referência 02-2025.xlsm)</v>
      </c>
      <c r="S188" s="123" t="str">
        <f ca="1">REFERENCIA.Unidade</f>
        <v>-</v>
      </c>
      <c r="T188" s="124">
        <f ca="1">OFFSET(CÁLCULO!H$15,ROW($T188)-ROW(T$15),0)</f>
        <v>50.17</v>
      </c>
      <c r="U188" s="125">
        <f t="shared" ca="1" si="54"/>
        <v>0</v>
      </c>
      <c r="V188" s="126" t="s">
        <v>156</v>
      </c>
      <c r="W188" s="124">
        <f ca="1">IF($C188="S",ROUND(IF(TIPOORCAMENTO="Proposto",ORÇAMENTO.CustoUnitario*(1+$AH188),ORÇAMENTO.PrecoUnitarioLicitado),15-13*$AF$10),0)</f>
        <v>0</v>
      </c>
      <c r="X188" s="127">
        <f ca="1">IF($C188="S",IF(Import.TipoArredondamento&lt;&gt;"TransfereGOV",VTOTAL1,SUM(OFFSET(CÁLCULO!$AA$15,ROW($X188)-ROW($X$15),1):OFFSET(CÁLCULO!$AL$15,ROW($X188)-ROW($X$15),-1))),IF($C188=0,0,ROUND(SomaAgrup,15-13*$AF$11)))</f>
        <v>0</v>
      </c>
      <c r="Y188" s="128" t="s">
        <v>245</v>
      </c>
      <c r="Z188" t="str">
        <f t="shared" ca="1" si="49"/>
        <v/>
      </c>
      <c r="AA188" s="129">
        <f ca="1">IF($C188="S",IF($Z188="CP",$X188,IF($Z188="RA",(($X188)*QCI!$AA$3),0)),SomaAgrup)</f>
        <v>0</v>
      </c>
      <c r="AB188" s="130">
        <f t="shared" ca="1" si="50"/>
        <v>0</v>
      </c>
      <c r="AC188" s="131" t="str">
        <f ca="1">IF($N188="","",IF(ORÇAMENTO.Descricao="","DESCRIÇÃO",IF(AND($C188="S",ORÇAMENTO.Unidade=""),"UNIDADE",IF($X188&lt;0,"VALOR NEGATIVO",IF(OR(AND(TIPOORCAMENTO="Proposto",$AG188&lt;&gt;"",$AG188&gt;0,ORÇAMENTO.CustoUnitario&gt;$AG188),AND(TIPOORCAMENTO="LICITADO",ORÇAMENTO.PrecoUnitarioLicitado&gt;$AN188)),"ACIMA REF.","")))))</f>
        <v/>
      </c>
      <c r="AD188" t="str">
        <f ca="1">IF(C188&lt;=CRONO.NivelExibicao,MAX($AD$15:OFFSET(AD188,-1,0))+IF($C188&lt;&gt;1,1,MAX(1,COUNTIF(QCI!$A$13:$A$24,OFFSET($E188,-1,0)))),"")</f>
        <v/>
      </c>
      <c r="AE188" s="7" t="str">
        <f ca="1">IF(AND($C188="S",ORÇAMENTO.CodBarra&lt;&gt;""),IF(ORÇAMENTO.Fonte="",ORÇAMENTO.CodBarra,CONCATENATE(ORÇAMENTO.Fonte," ",ORÇAMENTO.CodBarra)))</f>
        <v>Composição FNDE 175</v>
      </c>
      <c r="AF188" s="13" t="str">
        <f ca="1">IF(ISERROR(INDIRECT(ORÇAMENTO.BancoRef)),"(abra o arquivo 'Referência "&amp;Excel_BuiltIn_Database&amp;".xlsm)",IF(OR($C188&lt;&gt;"S",ORÇAMENTO.CodBarra=""),"(Sem Código)",IF(ISERROR(MATCH($AE188,INDIRECT(ORÇAMENTO.BancoRef),0)),"(Código não identificado nas referências)",MATCH($AE188,INDIRECT(ORÇAMENTO.BancoRef),0))))</f>
        <v>(abra o arquivo 'Referência 02-2025.xlsm)</v>
      </c>
      <c r="AG188" s="498">
        <f ca="1">ROUND(IF(DESONERACAO="sim",REFERENCIA.Desonerado,REFERENCIA.NaoDesonerado),2)</f>
        <v>0</v>
      </c>
      <c r="AH188" s="499">
        <f t="shared" ca="1" si="51"/>
        <v>0.22470000000000001</v>
      </c>
      <c r="AJ188" s="501">
        <v>50.17</v>
      </c>
      <c r="AL188" s="527"/>
      <c r="AM188" s="381">
        <f t="shared" ca="1" si="52"/>
        <v>0</v>
      </c>
      <c r="AN188" s="566">
        <f t="shared" ca="1" si="53"/>
        <v>0</v>
      </c>
    </row>
    <row r="189" spans="1:40" ht="25.5" x14ac:dyDescent="0.2">
      <c r="A189" t="str">
        <f t="shared" si="38"/>
        <v>S</v>
      </c>
      <c r="B189">
        <f t="shared" ca="1" si="39"/>
        <v>2</v>
      </c>
      <c r="C189" t="str">
        <f t="shared" ca="1" si="40"/>
        <v>S</v>
      </c>
      <c r="D189">
        <f t="shared" ca="1" si="41"/>
        <v>0</v>
      </c>
      <c r="E189">
        <f ca="1">IF($C189=1,OFFSET(E189,-1,0)+MAX(1,COUNTIF(QCI!$A$13:$A$24,OFFSET(ORÇAMENTO!E189,-1,0))),OFFSET(E189,-1,0))</f>
        <v>1</v>
      </c>
      <c r="F189">
        <f t="shared" ca="1" si="42"/>
        <v>8</v>
      </c>
      <c r="G189">
        <f t="shared" ca="1" si="43"/>
        <v>0</v>
      </c>
      <c r="H189">
        <f t="shared" ca="1" si="44"/>
        <v>0</v>
      </c>
      <c r="I189">
        <f t="shared" ca="1" si="45"/>
        <v>0</v>
      </c>
      <c r="J189">
        <f t="shared" ca="1" si="37"/>
        <v>0</v>
      </c>
      <c r="K189">
        <f ca="1">IF(OR($C189="S",$C189=0),0,MATCH(OFFSET($D189,0,$C189)+IF($C189&lt;&gt;1,1,COUNTIF(QCI!$A$13:$A$24,ORÇAMENTO!E189)),OFFSET($D189,1,$C189,ROW($C$747)-ROW($C189)),0))</f>
        <v>0</v>
      </c>
      <c r="L189" s="116" t="str">
        <f t="shared" ca="1" si="46"/>
        <v/>
      </c>
      <c r="M189" s="117" t="s">
        <v>199</v>
      </c>
      <c r="N189" s="118" t="str">
        <f t="shared" ca="1" si="47"/>
        <v>Serviço</v>
      </c>
      <c r="O189" s="119" t="str">
        <f t="shared" ca="1" si="48"/>
        <v>-</v>
      </c>
      <c r="P189" s="120" t="s">
        <v>247</v>
      </c>
      <c r="Q189" s="121" t="s">
        <v>491</v>
      </c>
      <c r="R189" s="122" t="str">
        <f ca="1">IF($C189="S",REFERENCIA.Descricao,"(digite a descrição aqui)")</f>
        <v>(abra o arquivo 'Referência 02-2025.xlsm)</v>
      </c>
      <c r="S189" s="123" t="str">
        <f ca="1">REFERENCIA.Unidade</f>
        <v>-</v>
      </c>
      <c r="T189" s="124">
        <f ca="1">OFFSET(CÁLCULO!H$15,ROW($T189)-ROW(T$15),0)</f>
        <v>11.75</v>
      </c>
      <c r="U189" s="125">
        <f t="shared" ca="1" si="54"/>
        <v>0</v>
      </c>
      <c r="V189" s="126" t="s">
        <v>156</v>
      </c>
      <c r="W189" s="124">
        <f ca="1">IF($C189="S",ROUND(IF(TIPOORCAMENTO="Proposto",ORÇAMENTO.CustoUnitario*(1+$AH189),ORÇAMENTO.PrecoUnitarioLicitado),15-13*$AF$10),0)</f>
        <v>0</v>
      </c>
      <c r="X189" s="127">
        <f ca="1">IF($C189="S",IF(Import.TipoArredondamento&lt;&gt;"TransfereGOV",VTOTAL1,SUM(OFFSET(CÁLCULO!$AA$15,ROW($X189)-ROW($X$15),1):OFFSET(CÁLCULO!$AL$15,ROW($X189)-ROW($X$15),-1))),IF($C189=0,0,ROUND(SomaAgrup,15-13*$AF$11)))</f>
        <v>0</v>
      </c>
      <c r="Y189" s="128" t="s">
        <v>245</v>
      </c>
      <c r="Z189" t="str">
        <f t="shared" ca="1" si="49"/>
        <v/>
      </c>
      <c r="AA189" s="129">
        <f ca="1">IF($C189="S",IF($Z189="CP",$X189,IF($Z189="RA",(($X189)*QCI!$AA$3),0)),SomaAgrup)</f>
        <v>0</v>
      </c>
      <c r="AB189" s="130">
        <f t="shared" ca="1" si="50"/>
        <v>0</v>
      </c>
      <c r="AC189" s="131" t="str">
        <f ca="1">IF($N189="","",IF(ORÇAMENTO.Descricao="","DESCRIÇÃO",IF(AND($C189="S",ORÇAMENTO.Unidade=""),"UNIDADE",IF($X189&lt;0,"VALOR NEGATIVO",IF(OR(AND(TIPOORCAMENTO="Proposto",$AG189&lt;&gt;"",$AG189&gt;0,ORÇAMENTO.CustoUnitario&gt;$AG189),AND(TIPOORCAMENTO="LICITADO",ORÇAMENTO.PrecoUnitarioLicitado&gt;$AN189)),"ACIMA REF.","")))))</f>
        <v/>
      </c>
      <c r="AD189" t="str">
        <f ca="1">IF(C189&lt;=CRONO.NivelExibicao,MAX($AD$15:OFFSET(AD189,-1,0))+IF($C189&lt;&gt;1,1,MAX(1,COUNTIF(QCI!$A$13:$A$24,OFFSET($E189,-1,0)))),"")</f>
        <v/>
      </c>
      <c r="AE189" s="7" t="str">
        <f ca="1">IF(AND($C189="S",ORÇAMENTO.CodBarra&lt;&gt;""),IF(ORÇAMENTO.Fonte="",ORÇAMENTO.CodBarra,CONCATENATE(ORÇAMENTO.Fonte," ",ORÇAMENTO.CodBarra)))</f>
        <v>SINAPI 98565</v>
      </c>
      <c r="AF189" s="13" t="str">
        <f ca="1">IF(ISERROR(INDIRECT(ORÇAMENTO.BancoRef)),"(abra o arquivo 'Referência "&amp;Excel_BuiltIn_Database&amp;".xlsm)",IF(OR($C189&lt;&gt;"S",ORÇAMENTO.CodBarra=""),"(Sem Código)",IF(ISERROR(MATCH($AE189,INDIRECT(ORÇAMENTO.BancoRef),0)),"(Código não identificado nas referências)",MATCH($AE189,INDIRECT(ORÇAMENTO.BancoRef),0))))</f>
        <v>(abra o arquivo 'Referência 02-2025.xlsm)</v>
      </c>
      <c r="AG189" s="498">
        <f ca="1">ROUND(IF(DESONERACAO="sim",REFERENCIA.Desonerado,REFERENCIA.NaoDesonerado),2)</f>
        <v>0</v>
      </c>
      <c r="AH189" s="499">
        <f t="shared" ca="1" si="51"/>
        <v>0.22470000000000001</v>
      </c>
      <c r="AJ189" s="501">
        <v>11.75</v>
      </c>
      <c r="AL189" s="527"/>
      <c r="AM189" s="381">
        <f t="shared" ca="1" si="52"/>
        <v>0</v>
      </c>
      <c r="AN189" s="566">
        <f t="shared" ca="1" si="53"/>
        <v>0</v>
      </c>
    </row>
    <row r="190" spans="1:40" x14ac:dyDescent="0.2">
      <c r="A190">
        <f t="shared" si="38"/>
        <v>2</v>
      </c>
      <c r="B190">
        <f t="shared" ca="1" si="39"/>
        <v>2</v>
      </c>
      <c r="C190">
        <f t="shared" ca="1" si="40"/>
        <v>2</v>
      </c>
      <c r="D190">
        <f t="shared" ca="1" si="41"/>
        <v>16</v>
      </c>
      <c r="E190">
        <f ca="1">IF($C190=1,OFFSET(E190,-1,0)+MAX(1,COUNTIF(QCI!$A$13:$A$24,OFFSET(ORÇAMENTO!E190,-1,0))),OFFSET(E190,-1,0))</f>
        <v>1</v>
      </c>
      <c r="F190">
        <f t="shared" ca="1" si="42"/>
        <v>9</v>
      </c>
      <c r="G190">
        <f t="shared" ca="1" si="43"/>
        <v>0</v>
      </c>
      <c r="H190">
        <f t="shared" ca="1" si="44"/>
        <v>0</v>
      </c>
      <c r="I190">
        <f t="shared" ca="1" si="45"/>
        <v>0</v>
      </c>
      <c r="J190">
        <f t="shared" ca="1" si="37"/>
        <v>557</v>
      </c>
      <c r="K190">
        <f ca="1">IF(OR($C190="S",$C190=0),0,MATCH(OFFSET($D190,0,$C190)+IF($C190&lt;&gt;1,1,COUNTIF(QCI!$A$13:$A$24,ORÇAMENTO!E190)),OFFSET($D190,1,$C190,ROW($C$747)-ROW($C190)),0))</f>
        <v>16</v>
      </c>
      <c r="L190" s="116" t="str">
        <f t="shared" ca="1" si="46"/>
        <v>F</v>
      </c>
      <c r="M190" s="117" t="s">
        <v>196</v>
      </c>
      <c r="N190" s="118" t="str">
        <f t="shared" ca="1" si="47"/>
        <v>Nível 2</v>
      </c>
      <c r="O190" s="119" t="str">
        <f t="shared" ca="1" si="48"/>
        <v>1.9.</v>
      </c>
      <c r="P190" s="120" t="s">
        <v>247</v>
      </c>
      <c r="Q190" s="121"/>
      <c r="R190" s="122" t="str">
        <f ca="1">IF($C190="S",REFERENCIA.Descricao,"REVESTIMENTOS INTERNO E EXTERNO")</f>
        <v>REVESTIMENTOS INTERNO E EXTERNO</v>
      </c>
      <c r="S190" s="123" t="str">
        <f ca="1">REFERENCIA.Unidade</f>
        <v>-</v>
      </c>
      <c r="T190" s="124">
        <f ca="1">OFFSET(CÁLCULO!H$15,ROW($T190)-ROW(T$15),0)</f>
        <v>0</v>
      </c>
      <c r="U190" s="125">
        <f t="shared" ca="1" si="54"/>
        <v>0</v>
      </c>
      <c r="V190" s="126" t="s">
        <v>156</v>
      </c>
      <c r="W190" s="124">
        <f ca="1">IF($C190="S",ROUND(IF(TIPOORCAMENTO="Proposto",ORÇAMENTO.CustoUnitario*(1+$AH190),ORÇAMENTO.PrecoUnitarioLicitado),15-13*$AF$10),0)</f>
        <v>0</v>
      </c>
      <c r="X190" s="127">
        <f ca="1">IF($C190="S",IF(Import.TipoArredondamento&lt;&gt;"TransfereGOV",VTOTAL1,SUM(OFFSET(CÁLCULO!$AA$15,ROW($X190)-ROW($X$15),1):OFFSET(CÁLCULO!$AL$15,ROW($X190)-ROW($X$15),-1))),IF($C190=0,0,ROUND(SomaAgrup,15-13*$AF$11)))</f>
        <v>0</v>
      </c>
      <c r="Y190" s="128" t="s">
        <v>245</v>
      </c>
      <c r="Z190" t="str">
        <f t="shared" ca="1" si="49"/>
        <v/>
      </c>
      <c r="AA190" s="129">
        <f ca="1">IF($C190="S",IF($Z190="CP",$X190,IF($Z190="RA",(($X190)*QCI!$AA$3),0)),SomaAgrup)</f>
        <v>0</v>
      </c>
      <c r="AB190" s="130">
        <f t="shared" ca="1" si="50"/>
        <v>0</v>
      </c>
      <c r="AC190" s="131" t="str">
        <f ca="1">IF($N190="","",IF(ORÇAMENTO.Descricao="","DESCRIÇÃO",IF(AND($C190="S",ORÇAMENTO.Unidade=""),"UNIDADE",IF($X190&lt;0,"VALOR NEGATIVO",IF(OR(AND(TIPOORCAMENTO="Proposto",$AG190&lt;&gt;"",$AG190&gt;0,ORÇAMENTO.CustoUnitario&gt;$AG190),AND(TIPOORCAMENTO="LICITADO",ORÇAMENTO.PrecoUnitarioLicitado&gt;$AN190)),"ACIMA REF.","")))))</f>
        <v/>
      </c>
      <c r="AD190">
        <f ca="1">IF(C190&lt;=CRONO.NivelExibicao,MAX($AD$15:OFFSET(AD190,-1,0))+IF($C190&lt;&gt;1,1,MAX(1,COUNTIF(QCI!$A$13:$A$24,OFFSET($E190,-1,0)))),"")</f>
        <v>10</v>
      </c>
      <c r="AE190" s="7" t="b">
        <f ca="1">IF(AND($C190="S",ORÇAMENTO.CodBarra&lt;&gt;""),IF(ORÇAMENTO.Fonte="",ORÇAMENTO.CodBarra,CONCATENATE(ORÇAMENTO.Fonte," ",ORÇAMENTO.CodBarra)))</f>
        <v>0</v>
      </c>
      <c r="AF190" s="13" t="str">
        <f ca="1">IF(ISERROR(INDIRECT(ORÇAMENTO.BancoRef)),"(abra o arquivo 'Referência "&amp;Excel_BuiltIn_Database&amp;".xlsm)",IF(OR($C190&lt;&gt;"S",ORÇAMENTO.CodBarra=""),"(Sem Código)",IF(ISERROR(MATCH($AE190,INDIRECT(ORÇAMENTO.BancoRef),0)),"(Código não identificado nas referências)",MATCH($AE190,INDIRECT(ORÇAMENTO.BancoRef),0))))</f>
        <v>(abra o arquivo 'Referência 02-2025.xlsm)</v>
      </c>
      <c r="AG190" s="498">
        <f ca="1">ROUND(IF(DESONERACAO="sim",REFERENCIA.Desonerado,REFERENCIA.NaoDesonerado),2)</f>
        <v>0</v>
      </c>
      <c r="AH190" s="499">
        <f t="shared" ca="1" si="51"/>
        <v>0.22470000000000001</v>
      </c>
      <c r="AJ190" s="501"/>
      <c r="AL190" s="527"/>
      <c r="AM190" s="381">
        <f t="shared" ca="1" si="52"/>
        <v>0</v>
      </c>
      <c r="AN190" s="566">
        <f t="shared" ca="1" si="53"/>
        <v>0</v>
      </c>
    </row>
    <row r="191" spans="1:40" x14ac:dyDescent="0.2">
      <c r="A191">
        <f t="shared" si="38"/>
        <v>3</v>
      </c>
      <c r="B191">
        <f t="shared" ca="1" si="39"/>
        <v>3</v>
      </c>
      <c r="C191">
        <f t="shared" ca="1" si="40"/>
        <v>3</v>
      </c>
      <c r="D191">
        <f t="shared" ca="1" si="41"/>
        <v>15</v>
      </c>
      <c r="E191">
        <f ca="1">IF($C191=1,OFFSET(E191,-1,0)+MAX(1,COUNTIF(QCI!$A$13:$A$24,OFFSET(ORÇAMENTO!E191,-1,0))),OFFSET(E191,-1,0))</f>
        <v>1</v>
      </c>
      <c r="F191">
        <f t="shared" ca="1" si="42"/>
        <v>9</v>
      </c>
      <c r="G191">
        <f t="shared" ca="1" si="43"/>
        <v>1</v>
      </c>
      <c r="H191">
        <f t="shared" ca="1" si="44"/>
        <v>0</v>
      </c>
      <c r="I191">
        <f t="shared" ca="1" si="45"/>
        <v>0</v>
      </c>
      <c r="J191">
        <f t="shared" ca="1" si="37"/>
        <v>15</v>
      </c>
      <c r="K191">
        <f ca="1">IF(OR($C191="S",$C191=0),0,MATCH(OFFSET($D191,0,$C191)+IF($C191&lt;&gt;1,1,COUNTIF(QCI!$A$13:$A$24,ORÇAMENTO!E191)),OFFSET($D191,1,$C191,ROW($C$747)-ROW($C191)),0))</f>
        <v>22</v>
      </c>
      <c r="L191" s="116" t="str">
        <f t="shared" ca="1" si="46"/>
        <v>F</v>
      </c>
      <c r="M191" s="117" t="s">
        <v>197</v>
      </c>
      <c r="N191" s="118" t="str">
        <f t="shared" ca="1" si="47"/>
        <v>Nível 3</v>
      </c>
      <c r="O191" s="119" t="str">
        <f t="shared" ca="1" si="48"/>
        <v>1.9.1.</v>
      </c>
      <c r="P191" s="120" t="s">
        <v>247</v>
      </c>
      <c r="Q191" s="121"/>
      <c r="R191" s="122" t="str">
        <f ca="1">IF($C191="S",REFERENCIA.Descricao,"EDIFICAÇÃO")</f>
        <v>EDIFICAÇÃO</v>
      </c>
      <c r="S191" s="123" t="str">
        <f ca="1">REFERENCIA.Unidade</f>
        <v>-</v>
      </c>
      <c r="T191" s="124">
        <f ca="1">OFFSET(CÁLCULO!H$15,ROW($T191)-ROW(T$15),0)</f>
        <v>0</v>
      </c>
      <c r="U191" s="125">
        <f t="shared" ca="1" si="54"/>
        <v>0</v>
      </c>
      <c r="V191" s="126" t="s">
        <v>156</v>
      </c>
      <c r="W191" s="124">
        <f ca="1">IF($C191="S",ROUND(IF(TIPOORCAMENTO="Proposto",ORÇAMENTO.CustoUnitario*(1+$AH191),ORÇAMENTO.PrecoUnitarioLicitado),15-13*$AF$10),0)</f>
        <v>0</v>
      </c>
      <c r="X191" s="127">
        <f ca="1">IF($C191="S",IF(Import.TipoArredondamento&lt;&gt;"TransfereGOV",VTOTAL1,SUM(OFFSET(CÁLCULO!$AA$15,ROW($X191)-ROW($X$15),1):OFFSET(CÁLCULO!$AL$15,ROW($X191)-ROW($X$15),-1))),IF($C191=0,0,ROUND(SomaAgrup,15-13*$AF$11)))</f>
        <v>0</v>
      </c>
      <c r="Y191" s="128" t="s">
        <v>245</v>
      </c>
      <c r="Z191" t="str">
        <f t="shared" ca="1" si="49"/>
        <v/>
      </c>
      <c r="AA191" s="129">
        <f ca="1">IF($C191="S",IF($Z191="CP",$X191,IF($Z191="RA",(($X191)*QCI!$AA$3),0)),SomaAgrup)</f>
        <v>0</v>
      </c>
      <c r="AB191" s="130">
        <f t="shared" ca="1" si="50"/>
        <v>0</v>
      </c>
      <c r="AC191" s="131" t="str">
        <f ca="1">IF($N191="","",IF(ORÇAMENTO.Descricao="","DESCRIÇÃO",IF(AND($C191="S",ORÇAMENTO.Unidade=""),"UNIDADE",IF($X191&lt;0,"VALOR NEGATIVO",IF(OR(AND(TIPOORCAMENTO="Proposto",$AG191&lt;&gt;"",$AG191&gt;0,ORÇAMENTO.CustoUnitario&gt;$AG191),AND(TIPOORCAMENTO="LICITADO",ORÇAMENTO.PrecoUnitarioLicitado&gt;$AN191)),"ACIMA REF.","")))))</f>
        <v/>
      </c>
      <c r="AD191" t="str">
        <f ca="1">IF(C191&lt;=CRONO.NivelExibicao,MAX($AD$15:OFFSET(AD191,-1,0))+IF($C191&lt;&gt;1,1,MAX(1,COUNTIF(QCI!$A$13:$A$24,OFFSET($E191,-1,0)))),"")</f>
        <v/>
      </c>
      <c r="AE191" s="7" t="b">
        <f ca="1">IF(AND($C191="S",ORÇAMENTO.CodBarra&lt;&gt;""),IF(ORÇAMENTO.Fonte="",ORÇAMENTO.CodBarra,CONCATENATE(ORÇAMENTO.Fonte," ",ORÇAMENTO.CodBarra)))</f>
        <v>0</v>
      </c>
      <c r="AF191" s="13" t="str">
        <f ca="1">IF(ISERROR(INDIRECT(ORÇAMENTO.BancoRef)),"(abra o arquivo 'Referência "&amp;Excel_BuiltIn_Database&amp;".xlsm)",IF(OR($C191&lt;&gt;"S",ORÇAMENTO.CodBarra=""),"(Sem Código)",IF(ISERROR(MATCH($AE191,INDIRECT(ORÇAMENTO.BancoRef),0)),"(Código não identificado nas referências)",MATCH($AE191,INDIRECT(ORÇAMENTO.BancoRef),0))))</f>
        <v>(abra o arquivo 'Referência 02-2025.xlsm)</v>
      </c>
      <c r="AG191" s="498">
        <f ca="1">ROUND(IF(DESONERACAO="sim",REFERENCIA.Desonerado,REFERENCIA.NaoDesonerado),2)</f>
        <v>0</v>
      </c>
      <c r="AH191" s="499">
        <f t="shared" ca="1" si="51"/>
        <v>0.22470000000000001</v>
      </c>
      <c r="AJ191" s="501"/>
      <c r="AL191" s="527"/>
      <c r="AM191" s="381">
        <f t="shared" ca="1" si="52"/>
        <v>0</v>
      </c>
      <c r="AN191" s="566">
        <f t="shared" ca="1" si="53"/>
        <v>0</v>
      </c>
    </row>
    <row r="192" spans="1:40" ht="51" x14ac:dyDescent="0.2">
      <c r="A192" t="str">
        <f t="shared" si="38"/>
        <v>S</v>
      </c>
      <c r="B192">
        <f t="shared" ca="1" si="39"/>
        <v>3</v>
      </c>
      <c r="C192" t="str">
        <f t="shared" ca="1" si="40"/>
        <v>S</v>
      </c>
      <c r="D192">
        <f t="shared" ca="1" si="41"/>
        <v>0</v>
      </c>
      <c r="E192">
        <f ca="1">IF($C192=1,OFFSET(E192,-1,0)+MAX(1,COUNTIF(QCI!$A$13:$A$24,OFFSET(ORÇAMENTO!E192,-1,0))),OFFSET(E192,-1,0))</f>
        <v>1</v>
      </c>
      <c r="F192">
        <f t="shared" ca="1" si="42"/>
        <v>9</v>
      </c>
      <c r="G192">
        <f t="shared" ca="1" si="43"/>
        <v>1</v>
      </c>
      <c r="H192">
        <f t="shared" ca="1" si="44"/>
        <v>0</v>
      </c>
      <c r="I192">
        <f t="shared" ca="1" si="45"/>
        <v>0</v>
      </c>
      <c r="J192">
        <f t="shared" ca="1" si="37"/>
        <v>0</v>
      </c>
      <c r="K192">
        <f ca="1">IF(OR($C192="S",$C192=0),0,MATCH(OFFSET($D192,0,$C192)+IF($C192&lt;&gt;1,1,COUNTIF(QCI!$A$13:$A$24,ORÇAMENTO!E192)),OFFSET($D192,1,$C192,ROW($C$747)-ROW($C192)),0))</f>
        <v>0</v>
      </c>
      <c r="L192" s="116" t="str">
        <f t="shared" ca="1" si="46"/>
        <v/>
      </c>
      <c r="M192" s="117" t="s">
        <v>199</v>
      </c>
      <c r="N192" s="118" t="str">
        <f t="shared" ca="1" si="47"/>
        <v>Serviço</v>
      </c>
      <c r="O192" s="119" t="str">
        <f t="shared" ca="1" si="48"/>
        <v>-</v>
      </c>
      <c r="P192" s="120" t="s">
        <v>247</v>
      </c>
      <c r="Q192" s="121" t="s">
        <v>915</v>
      </c>
      <c r="R192" s="122" t="str">
        <f ca="1">IF($C192="S",REFERENCIA.Descricao,"(digite a descrição aqui)")</f>
        <v>(abra o arquivo 'Referência 02-2025.xlsm)</v>
      </c>
      <c r="S192" s="123" t="str">
        <f ca="1">REFERENCIA.Unidade</f>
        <v>-</v>
      </c>
      <c r="T192" s="124">
        <f ca="1">OFFSET(CÁLCULO!H$15,ROW($T192)-ROW(T$15),0)</f>
        <v>1432.82</v>
      </c>
      <c r="U192" s="125">
        <f t="shared" ca="1" si="54"/>
        <v>0</v>
      </c>
      <c r="V192" s="126" t="s">
        <v>156</v>
      </c>
      <c r="W192" s="124">
        <f ca="1">IF($C192="S",ROUND(IF(TIPOORCAMENTO="Proposto",ORÇAMENTO.CustoUnitario*(1+$AH192),ORÇAMENTO.PrecoUnitarioLicitado),15-13*$AF$10),0)</f>
        <v>0</v>
      </c>
      <c r="X192" s="127">
        <f ca="1">IF($C192="S",IF(Import.TipoArredondamento&lt;&gt;"TransfereGOV",VTOTAL1,SUM(OFFSET(CÁLCULO!$AA$15,ROW($X192)-ROW($X$15),1):OFFSET(CÁLCULO!$AL$15,ROW($X192)-ROW($X$15),-1))),IF($C192=0,0,ROUND(SomaAgrup,15-13*$AF$11)))</f>
        <v>0</v>
      </c>
      <c r="Y192" s="128" t="s">
        <v>245</v>
      </c>
      <c r="Z192" t="str">
        <f t="shared" ca="1" si="49"/>
        <v/>
      </c>
      <c r="AA192" s="129">
        <f ca="1">IF($C192="S",IF($Z192="CP",$X192,IF($Z192="RA",(($X192)*QCI!$AA$3),0)),SomaAgrup)</f>
        <v>0</v>
      </c>
      <c r="AB192" s="130">
        <f t="shared" ca="1" si="50"/>
        <v>0</v>
      </c>
      <c r="AC192" s="131" t="str">
        <f ca="1">IF($N192="","",IF(ORÇAMENTO.Descricao="","DESCRIÇÃO",IF(AND($C192="S",ORÇAMENTO.Unidade=""),"UNIDADE",IF($X192&lt;0,"VALOR NEGATIVO",IF(OR(AND(TIPOORCAMENTO="Proposto",$AG192&lt;&gt;"",$AG192&gt;0,ORÇAMENTO.CustoUnitario&gt;$AG192),AND(TIPOORCAMENTO="LICITADO",ORÇAMENTO.PrecoUnitarioLicitado&gt;$AN192)),"ACIMA REF.","")))))</f>
        <v/>
      </c>
      <c r="AD192" t="str">
        <f ca="1">IF(C192&lt;=CRONO.NivelExibicao,MAX($AD$15:OFFSET(AD192,-1,0))+IF($C192&lt;&gt;1,1,MAX(1,COUNTIF(QCI!$A$13:$A$24,OFFSET($E192,-1,0)))),"")</f>
        <v/>
      </c>
      <c r="AE192" s="7" t="str">
        <f ca="1">IF(AND($C192="S",ORÇAMENTO.CodBarra&lt;&gt;""),IF(ORÇAMENTO.Fonte="",ORÇAMENTO.CodBarra,CONCATENATE(ORÇAMENTO.Fonte," ",ORÇAMENTO.CodBarra)))</f>
        <v>SINAPI 87905</v>
      </c>
      <c r="AF192" s="13" t="str">
        <f ca="1">IF(ISERROR(INDIRECT(ORÇAMENTO.BancoRef)),"(abra o arquivo 'Referência "&amp;Excel_BuiltIn_Database&amp;".xlsm)",IF(OR($C192&lt;&gt;"S",ORÇAMENTO.CodBarra=""),"(Sem Código)",IF(ISERROR(MATCH($AE192,INDIRECT(ORÇAMENTO.BancoRef),0)),"(Código não identificado nas referências)",MATCH($AE192,INDIRECT(ORÇAMENTO.BancoRef),0))))</f>
        <v>(abra o arquivo 'Referência 02-2025.xlsm)</v>
      </c>
      <c r="AG192" s="498">
        <f ca="1">ROUND(IF(DESONERACAO="sim",REFERENCIA.Desonerado,REFERENCIA.NaoDesonerado),2)</f>
        <v>0</v>
      </c>
      <c r="AH192" s="499">
        <f t="shared" ca="1" si="51"/>
        <v>0.22470000000000001</v>
      </c>
      <c r="AJ192" s="501">
        <v>1432.82</v>
      </c>
      <c r="AL192" s="527"/>
      <c r="AM192" s="381">
        <f t="shared" ca="1" si="52"/>
        <v>0</v>
      </c>
      <c r="AN192" s="566">
        <f t="shared" ca="1" si="53"/>
        <v>0</v>
      </c>
    </row>
    <row r="193" spans="1:40" ht="38.25" x14ac:dyDescent="0.2">
      <c r="A193" t="str">
        <f t="shared" si="38"/>
        <v>S</v>
      </c>
      <c r="B193">
        <f t="shared" ca="1" si="39"/>
        <v>3</v>
      </c>
      <c r="C193" t="str">
        <f t="shared" ca="1" si="40"/>
        <v>S</v>
      </c>
      <c r="D193">
        <f t="shared" ca="1" si="41"/>
        <v>0</v>
      </c>
      <c r="E193">
        <f ca="1">IF($C193=1,OFFSET(E193,-1,0)+MAX(1,COUNTIF(QCI!$A$13:$A$24,OFFSET(ORÇAMENTO!E193,-1,0))),OFFSET(E193,-1,0))</f>
        <v>1</v>
      </c>
      <c r="F193">
        <f t="shared" ca="1" si="42"/>
        <v>9</v>
      </c>
      <c r="G193">
        <f t="shared" ca="1" si="43"/>
        <v>1</v>
      </c>
      <c r="H193">
        <f t="shared" ca="1" si="44"/>
        <v>0</v>
      </c>
      <c r="I193">
        <f t="shared" ca="1" si="45"/>
        <v>0</v>
      </c>
      <c r="J193">
        <f t="shared" ca="1" si="37"/>
        <v>0</v>
      </c>
      <c r="K193">
        <f ca="1">IF(OR($C193="S",$C193=0),0,MATCH(OFFSET($D193,0,$C193)+IF($C193&lt;&gt;1,1,COUNTIF(QCI!$A$13:$A$24,ORÇAMENTO!E193)),OFFSET($D193,1,$C193,ROW($C$747)-ROW($C193)),0))</f>
        <v>0</v>
      </c>
      <c r="L193" s="116" t="str">
        <f t="shared" ca="1" si="46"/>
        <v/>
      </c>
      <c r="M193" s="117" t="s">
        <v>199</v>
      </c>
      <c r="N193" s="118" t="str">
        <f t="shared" ca="1" si="47"/>
        <v>Serviço</v>
      </c>
      <c r="O193" s="119" t="str">
        <f t="shared" ca="1" si="48"/>
        <v>-</v>
      </c>
      <c r="P193" s="120" t="s">
        <v>247</v>
      </c>
      <c r="Q193" s="121" t="s">
        <v>916</v>
      </c>
      <c r="R193" s="122" t="str">
        <f ca="1">IF($C193="S",REFERENCIA.Descricao,"(digite a descrição aqui)")</f>
        <v>(abra o arquivo 'Referência 02-2025.xlsm)</v>
      </c>
      <c r="S193" s="123" t="str">
        <f ca="1">REFERENCIA.Unidade</f>
        <v>-</v>
      </c>
      <c r="T193" s="124">
        <f ca="1">OFFSET(CÁLCULO!H$15,ROW($T193)-ROW(T$15),0)</f>
        <v>2430.19</v>
      </c>
      <c r="U193" s="125">
        <f t="shared" ca="1" si="54"/>
        <v>0</v>
      </c>
      <c r="V193" s="126" t="s">
        <v>156</v>
      </c>
      <c r="W193" s="124">
        <f ca="1">IF($C193="S",ROUND(IF(TIPOORCAMENTO="Proposto",ORÇAMENTO.CustoUnitario*(1+$AH193),ORÇAMENTO.PrecoUnitarioLicitado),15-13*$AF$10),0)</f>
        <v>0</v>
      </c>
      <c r="X193" s="127">
        <f ca="1">IF($C193="S",IF(Import.TipoArredondamento&lt;&gt;"TransfereGOV",VTOTAL1,SUM(OFFSET(CÁLCULO!$AA$15,ROW($X193)-ROW($X$15),1):OFFSET(CÁLCULO!$AL$15,ROW($X193)-ROW($X$15),-1))),IF($C193=0,0,ROUND(SomaAgrup,15-13*$AF$11)))</f>
        <v>0</v>
      </c>
      <c r="Y193" s="128" t="s">
        <v>245</v>
      </c>
      <c r="Z193" t="str">
        <f t="shared" ca="1" si="49"/>
        <v/>
      </c>
      <c r="AA193" s="129">
        <f ca="1">IF($C193="S",IF($Z193="CP",$X193,IF($Z193="RA",(($X193)*QCI!$AA$3),0)),SomaAgrup)</f>
        <v>0</v>
      </c>
      <c r="AB193" s="130">
        <f t="shared" ca="1" si="50"/>
        <v>0</v>
      </c>
      <c r="AC193" s="131" t="str">
        <f ca="1">IF($N193="","",IF(ORÇAMENTO.Descricao="","DESCRIÇÃO",IF(AND($C193="S",ORÇAMENTO.Unidade=""),"UNIDADE",IF($X193&lt;0,"VALOR NEGATIVO",IF(OR(AND(TIPOORCAMENTO="Proposto",$AG193&lt;&gt;"",$AG193&gt;0,ORÇAMENTO.CustoUnitario&gt;$AG193),AND(TIPOORCAMENTO="LICITADO",ORÇAMENTO.PrecoUnitarioLicitado&gt;$AN193)),"ACIMA REF.","")))))</f>
        <v/>
      </c>
      <c r="AD193" t="str">
        <f ca="1">IF(C193&lt;=CRONO.NivelExibicao,MAX($AD$15:OFFSET(AD193,-1,0))+IF($C193&lt;&gt;1,1,MAX(1,COUNTIF(QCI!$A$13:$A$24,OFFSET($E193,-1,0)))),"")</f>
        <v/>
      </c>
      <c r="AE193" s="7" t="str">
        <f ca="1">IF(AND($C193="S",ORÇAMENTO.CodBarra&lt;&gt;""),IF(ORÇAMENTO.Fonte="",ORÇAMENTO.CodBarra,CONCATENATE(ORÇAMENTO.Fonte," ",ORÇAMENTO.CodBarra)))</f>
        <v>SINAPI 87879</v>
      </c>
      <c r="AF193" s="13" t="str">
        <f ca="1">IF(ISERROR(INDIRECT(ORÇAMENTO.BancoRef)),"(abra o arquivo 'Referência "&amp;Excel_BuiltIn_Database&amp;".xlsm)",IF(OR($C193&lt;&gt;"S",ORÇAMENTO.CodBarra=""),"(Sem Código)",IF(ISERROR(MATCH($AE193,INDIRECT(ORÇAMENTO.BancoRef),0)),"(Código não identificado nas referências)",MATCH($AE193,INDIRECT(ORÇAMENTO.BancoRef),0))))</f>
        <v>(abra o arquivo 'Referência 02-2025.xlsm)</v>
      </c>
      <c r="AG193" s="498">
        <f ca="1">ROUND(IF(DESONERACAO="sim",REFERENCIA.Desonerado,REFERENCIA.NaoDesonerado),2)</f>
        <v>0</v>
      </c>
      <c r="AH193" s="499">
        <f t="shared" ca="1" si="51"/>
        <v>0.22470000000000001</v>
      </c>
      <c r="AJ193" s="501">
        <v>2430.19</v>
      </c>
      <c r="AL193" s="527"/>
      <c r="AM193" s="381">
        <f t="shared" ca="1" si="52"/>
        <v>0</v>
      </c>
      <c r="AN193" s="566">
        <f t="shared" ca="1" si="53"/>
        <v>0</v>
      </c>
    </row>
    <row r="194" spans="1:40" ht="51" x14ac:dyDescent="0.2">
      <c r="A194" t="str">
        <f t="shared" si="38"/>
        <v>S</v>
      </c>
      <c r="B194">
        <f t="shared" ca="1" si="39"/>
        <v>3</v>
      </c>
      <c r="C194" t="str">
        <f t="shared" ca="1" si="40"/>
        <v>S</v>
      </c>
      <c r="D194">
        <f t="shared" ca="1" si="41"/>
        <v>0</v>
      </c>
      <c r="E194">
        <f ca="1">IF($C194=1,OFFSET(E194,-1,0)+MAX(1,COUNTIF(QCI!$A$13:$A$24,OFFSET(ORÇAMENTO!E194,-1,0))),OFFSET(E194,-1,0))</f>
        <v>1</v>
      </c>
      <c r="F194">
        <f t="shared" ca="1" si="42"/>
        <v>9</v>
      </c>
      <c r="G194">
        <f t="shared" ca="1" si="43"/>
        <v>1</v>
      </c>
      <c r="H194">
        <f t="shared" ca="1" si="44"/>
        <v>0</v>
      </c>
      <c r="I194">
        <f t="shared" ca="1" si="45"/>
        <v>0</v>
      </c>
      <c r="J194">
        <f t="shared" ca="1" si="37"/>
        <v>0</v>
      </c>
      <c r="K194">
        <f ca="1">IF(OR($C194="S",$C194=0),0,MATCH(OFFSET($D194,0,$C194)+IF($C194&lt;&gt;1,1,COUNTIF(QCI!$A$13:$A$24,ORÇAMENTO!E194)),OFFSET($D194,1,$C194,ROW($C$747)-ROW($C194)),0))</f>
        <v>0</v>
      </c>
      <c r="L194" s="116" t="str">
        <f t="shared" ca="1" si="46"/>
        <v/>
      </c>
      <c r="M194" s="117" t="s">
        <v>199</v>
      </c>
      <c r="N194" s="118" t="str">
        <f t="shared" ca="1" si="47"/>
        <v>Serviço</v>
      </c>
      <c r="O194" s="119" t="str">
        <f t="shared" ca="1" si="48"/>
        <v>-</v>
      </c>
      <c r="P194" s="120" t="s">
        <v>247</v>
      </c>
      <c r="Q194" s="121" t="s">
        <v>917</v>
      </c>
      <c r="R194" s="122" t="str">
        <f ca="1">IF($C194="S",REFERENCIA.Descricao,"(digite a descrição aqui)")</f>
        <v>(abra o arquivo 'Referência 02-2025.xlsm)</v>
      </c>
      <c r="S194" s="123" t="str">
        <f ca="1">REFERENCIA.Unidade</f>
        <v>-</v>
      </c>
      <c r="T194" s="124">
        <f ca="1">OFFSET(CÁLCULO!H$15,ROW($T194)-ROW(T$15),0)</f>
        <v>1433.98</v>
      </c>
      <c r="U194" s="125">
        <f t="shared" ca="1" si="54"/>
        <v>0</v>
      </c>
      <c r="V194" s="126" t="s">
        <v>156</v>
      </c>
      <c r="W194" s="124">
        <f ca="1">IF($C194="S",ROUND(IF(TIPOORCAMENTO="Proposto",ORÇAMENTO.CustoUnitario*(1+$AH194),ORÇAMENTO.PrecoUnitarioLicitado),15-13*$AF$10),0)</f>
        <v>0</v>
      </c>
      <c r="X194" s="127">
        <f ca="1">IF($C194="S",IF(Import.TipoArredondamento&lt;&gt;"TransfereGOV",VTOTAL1,SUM(OFFSET(CÁLCULO!$AA$15,ROW($X194)-ROW($X$15),1):OFFSET(CÁLCULO!$AL$15,ROW($X194)-ROW($X$15),-1))),IF($C194=0,0,ROUND(SomaAgrup,15-13*$AF$11)))</f>
        <v>0</v>
      </c>
      <c r="Y194" s="128" t="s">
        <v>245</v>
      </c>
      <c r="Z194" t="str">
        <f t="shared" ca="1" si="49"/>
        <v/>
      </c>
      <c r="AA194" s="129">
        <f ca="1">IF($C194="S",IF($Z194="CP",$X194,IF($Z194="RA",(($X194)*QCI!$AA$3),0)),SomaAgrup)</f>
        <v>0</v>
      </c>
      <c r="AB194" s="130">
        <f t="shared" ca="1" si="50"/>
        <v>0</v>
      </c>
      <c r="AC194" s="131" t="str">
        <f ca="1">IF($N194="","",IF(ORÇAMENTO.Descricao="","DESCRIÇÃO",IF(AND($C194="S",ORÇAMENTO.Unidade=""),"UNIDADE",IF($X194&lt;0,"VALOR NEGATIVO",IF(OR(AND(TIPOORCAMENTO="Proposto",$AG194&lt;&gt;"",$AG194&gt;0,ORÇAMENTO.CustoUnitario&gt;$AG194),AND(TIPOORCAMENTO="LICITADO",ORÇAMENTO.PrecoUnitarioLicitado&gt;$AN194)),"ACIMA REF.","")))))</f>
        <v/>
      </c>
      <c r="AD194" t="str">
        <f ca="1">IF(C194&lt;=CRONO.NivelExibicao,MAX($AD$15:OFFSET(AD194,-1,0))+IF($C194&lt;&gt;1,1,MAX(1,COUNTIF(QCI!$A$13:$A$24,OFFSET($E194,-1,0)))),"")</f>
        <v/>
      </c>
      <c r="AE194" s="7" t="str">
        <f ca="1">IF(AND($C194="S",ORÇAMENTO.CodBarra&lt;&gt;""),IF(ORÇAMENTO.Fonte="",ORÇAMENTO.CodBarra,CONCATENATE(ORÇAMENTO.Fonte," ",ORÇAMENTO.CodBarra)))</f>
        <v>SINAPI 87775</v>
      </c>
      <c r="AF194" s="13" t="str">
        <f ca="1">IF(ISERROR(INDIRECT(ORÇAMENTO.BancoRef)),"(abra o arquivo 'Referência "&amp;Excel_BuiltIn_Database&amp;".xlsm)",IF(OR($C194&lt;&gt;"S",ORÇAMENTO.CodBarra=""),"(Sem Código)",IF(ISERROR(MATCH($AE194,INDIRECT(ORÇAMENTO.BancoRef),0)),"(Código não identificado nas referências)",MATCH($AE194,INDIRECT(ORÇAMENTO.BancoRef),0))))</f>
        <v>(abra o arquivo 'Referência 02-2025.xlsm)</v>
      </c>
      <c r="AG194" s="498">
        <f ca="1">ROUND(IF(DESONERACAO="sim",REFERENCIA.Desonerado,REFERENCIA.NaoDesonerado),2)</f>
        <v>0</v>
      </c>
      <c r="AH194" s="499">
        <f t="shared" ca="1" si="51"/>
        <v>0.22470000000000001</v>
      </c>
      <c r="AJ194" s="501">
        <v>1433.98</v>
      </c>
      <c r="AL194" s="527"/>
      <c r="AM194" s="381">
        <f t="shared" ca="1" si="52"/>
        <v>0</v>
      </c>
      <c r="AN194" s="566">
        <f t="shared" ca="1" si="53"/>
        <v>0</v>
      </c>
    </row>
    <row r="195" spans="1:40" ht="51" x14ac:dyDescent="0.2">
      <c r="A195" t="str">
        <f t="shared" si="38"/>
        <v>S</v>
      </c>
      <c r="B195">
        <f t="shared" ca="1" si="39"/>
        <v>3</v>
      </c>
      <c r="C195" t="str">
        <f t="shared" ca="1" si="40"/>
        <v>S</v>
      </c>
      <c r="D195">
        <f t="shared" ca="1" si="41"/>
        <v>0</v>
      </c>
      <c r="E195">
        <f ca="1">IF($C195=1,OFFSET(E195,-1,0)+MAX(1,COUNTIF(QCI!$A$13:$A$24,OFFSET(ORÇAMENTO!E195,-1,0))),OFFSET(E195,-1,0))</f>
        <v>1</v>
      </c>
      <c r="F195">
        <f t="shared" ca="1" si="42"/>
        <v>9</v>
      </c>
      <c r="G195">
        <f t="shared" ca="1" si="43"/>
        <v>1</v>
      </c>
      <c r="H195">
        <f t="shared" ca="1" si="44"/>
        <v>0</v>
      </c>
      <c r="I195">
        <f t="shared" ca="1" si="45"/>
        <v>0</v>
      </c>
      <c r="J195">
        <f t="shared" ca="1" si="37"/>
        <v>0</v>
      </c>
      <c r="K195">
        <f ca="1">IF(OR($C195="S",$C195=0),0,MATCH(OFFSET($D195,0,$C195)+IF($C195&lt;&gt;1,1,COUNTIF(QCI!$A$13:$A$24,ORÇAMENTO!E195)),OFFSET($D195,1,$C195,ROW($C$747)-ROW($C195)),0))</f>
        <v>0</v>
      </c>
      <c r="L195" s="116" t="str">
        <f t="shared" ca="1" si="46"/>
        <v/>
      </c>
      <c r="M195" s="117" t="s">
        <v>199</v>
      </c>
      <c r="N195" s="118" t="str">
        <f t="shared" ca="1" si="47"/>
        <v>Serviço</v>
      </c>
      <c r="O195" s="119" t="str">
        <f t="shared" ca="1" si="48"/>
        <v>-</v>
      </c>
      <c r="P195" s="120" t="s">
        <v>247</v>
      </c>
      <c r="Q195" s="121" t="s">
        <v>918</v>
      </c>
      <c r="R195" s="122" t="str">
        <f ca="1">IF($C195="S",REFERENCIA.Descricao,"(digite a descrição aqui)")</f>
        <v>(abra o arquivo 'Referência 02-2025.xlsm)</v>
      </c>
      <c r="S195" s="123" t="str">
        <f ca="1">REFERENCIA.Unidade</f>
        <v>-</v>
      </c>
      <c r="T195" s="124">
        <f ca="1">OFFSET(CÁLCULO!H$15,ROW($T195)-ROW(T$15),0)</f>
        <v>1411.77</v>
      </c>
      <c r="U195" s="125">
        <f t="shared" ca="1" si="54"/>
        <v>0</v>
      </c>
      <c r="V195" s="126" t="s">
        <v>156</v>
      </c>
      <c r="W195" s="124">
        <f ca="1">IF($C195="S",ROUND(IF(TIPOORCAMENTO="Proposto",ORÇAMENTO.CustoUnitario*(1+$AH195),ORÇAMENTO.PrecoUnitarioLicitado),15-13*$AF$10),0)</f>
        <v>0</v>
      </c>
      <c r="X195" s="127">
        <f ca="1">IF($C195="S",IF(Import.TipoArredondamento&lt;&gt;"TransfereGOV",VTOTAL1,SUM(OFFSET(CÁLCULO!$AA$15,ROW($X195)-ROW($X$15),1):OFFSET(CÁLCULO!$AL$15,ROW($X195)-ROW($X$15),-1))),IF($C195=0,0,ROUND(SomaAgrup,15-13*$AF$11)))</f>
        <v>0</v>
      </c>
      <c r="Y195" s="128" t="s">
        <v>245</v>
      </c>
      <c r="Z195" t="str">
        <f t="shared" ca="1" si="49"/>
        <v/>
      </c>
      <c r="AA195" s="129">
        <f ca="1">IF($C195="S",IF($Z195="CP",$X195,IF($Z195="RA",(($X195)*QCI!$AA$3),0)),SomaAgrup)</f>
        <v>0</v>
      </c>
      <c r="AB195" s="130">
        <f t="shared" ca="1" si="50"/>
        <v>0</v>
      </c>
      <c r="AC195" s="131" t="str">
        <f ca="1">IF($N195="","",IF(ORÇAMENTO.Descricao="","DESCRIÇÃO",IF(AND($C195="S",ORÇAMENTO.Unidade=""),"UNIDADE",IF($X195&lt;0,"VALOR NEGATIVO",IF(OR(AND(TIPOORCAMENTO="Proposto",$AG195&lt;&gt;"",$AG195&gt;0,ORÇAMENTO.CustoUnitario&gt;$AG195),AND(TIPOORCAMENTO="LICITADO",ORÇAMENTO.PrecoUnitarioLicitado&gt;$AN195)),"ACIMA REF.","")))))</f>
        <v/>
      </c>
      <c r="AD195" t="str">
        <f ca="1">IF(C195&lt;=CRONO.NivelExibicao,MAX($AD$15:OFFSET(AD195,-1,0))+IF($C195&lt;&gt;1,1,MAX(1,COUNTIF(QCI!$A$13:$A$24,OFFSET($E195,-1,0)))),"")</f>
        <v/>
      </c>
      <c r="AE195" s="7" t="str">
        <f ca="1">IF(AND($C195="S",ORÇAMENTO.CodBarra&lt;&gt;""),IF(ORÇAMENTO.Fonte="",ORÇAMENTO.CodBarra,CONCATENATE(ORÇAMENTO.Fonte," ",ORÇAMENTO.CodBarra)))</f>
        <v>SINAPI 87531</v>
      </c>
      <c r="AF195" s="13" t="str">
        <f ca="1">IF(ISERROR(INDIRECT(ORÇAMENTO.BancoRef)),"(abra o arquivo 'Referência "&amp;Excel_BuiltIn_Database&amp;".xlsm)",IF(OR($C195&lt;&gt;"S",ORÇAMENTO.CodBarra=""),"(Sem Código)",IF(ISERROR(MATCH($AE195,INDIRECT(ORÇAMENTO.BancoRef),0)),"(Código não identificado nas referências)",MATCH($AE195,INDIRECT(ORÇAMENTO.BancoRef),0))))</f>
        <v>(abra o arquivo 'Referência 02-2025.xlsm)</v>
      </c>
      <c r="AG195" s="498">
        <f ca="1">ROUND(IF(DESONERACAO="sim",REFERENCIA.Desonerado,REFERENCIA.NaoDesonerado),2)</f>
        <v>0</v>
      </c>
      <c r="AH195" s="499">
        <f t="shared" ca="1" si="51"/>
        <v>0.22470000000000001</v>
      </c>
      <c r="AJ195" s="501">
        <v>1411.77</v>
      </c>
      <c r="AL195" s="527"/>
      <c r="AM195" s="381">
        <f t="shared" ca="1" si="52"/>
        <v>0</v>
      </c>
      <c r="AN195" s="566">
        <f t="shared" ca="1" si="53"/>
        <v>0</v>
      </c>
    </row>
    <row r="196" spans="1:40" ht="38.25" x14ac:dyDescent="0.2">
      <c r="A196" t="str">
        <f t="shared" si="38"/>
        <v>S</v>
      </c>
      <c r="B196">
        <f t="shared" ca="1" si="39"/>
        <v>3</v>
      </c>
      <c r="C196" t="str">
        <f t="shared" ca="1" si="40"/>
        <v>S</v>
      </c>
      <c r="D196">
        <f t="shared" ca="1" si="41"/>
        <v>0</v>
      </c>
      <c r="E196">
        <f ca="1">IF($C196=1,OFFSET(E196,-1,0)+MAX(1,COUNTIF(QCI!$A$13:$A$24,OFFSET(ORÇAMENTO!E196,-1,0))),OFFSET(E196,-1,0))</f>
        <v>1</v>
      </c>
      <c r="F196">
        <f t="shared" ca="1" si="42"/>
        <v>9</v>
      </c>
      <c r="G196">
        <f t="shared" ca="1" si="43"/>
        <v>1</v>
      </c>
      <c r="H196">
        <f t="shared" ca="1" si="44"/>
        <v>0</v>
      </c>
      <c r="I196">
        <f t="shared" ca="1" si="45"/>
        <v>0</v>
      </c>
      <c r="J196">
        <f t="shared" ca="1" si="37"/>
        <v>0</v>
      </c>
      <c r="K196">
        <f ca="1">IF(OR($C196="S",$C196=0),0,MATCH(OFFSET($D196,0,$C196)+IF($C196&lt;&gt;1,1,COUNTIF(QCI!$A$13:$A$24,ORÇAMENTO!E196)),OFFSET($D196,1,$C196,ROW($C$747)-ROW($C196)),0))</f>
        <v>0</v>
      </c>
      <c r="L196" s="116" t="str">
        <f t="shared" ca="1" si="46"/>
        <v/>
      </c>
      <c r="M196" s="117" t="s">
        <v>199</v>
      </c>
      <c r="N196" s="118" t="str">
        <f t="shared" ca="1" si="47"/>
        <v>Serviço</v>
      </c>
      <c r="O196" s="119" t="str">
        <f t="shared" ca="1" si="48"/>
        <v>-</v>
      </c>
      <c r="P196" s="120" t="s">
        <v>247</v>
      </c>
      <c r="Q196" s="121" t="s">
        <v>919</v>
      </c>
      <c r="R196" s="122" t="str">
        <f ca="1">IF($C196="S",REFERENCIA.Descricao,"(digite a descrição aqui)")</f>
        <v>(abra o arquivo 'Referência 02-2025.xlsm)</v>
      </c>
      <c r="S196" s="123" t="str">
        <f ca="1">REFERENCIA.Unidade</f>
        <v>-</v>
      </c>
      <c r="T196" s="124">
        <f ca="1">OFFSET(CÁLCULO!H$15,ROW($T196)-ROW(T$15),0)</f>
        <v>1574.15</v>
      </c>
      <c r="U196" s="125">
        <f t="shared" ca="1" si="54"/>
        <v>0</v>
      </c>
      <c r="V196" s="126" t="s">
        <v>156</v>
      </c>
      <c r="W196" s="124">
        <f ca="1">IF($C196="S",ROUND(IF(TIPOORCAMENTO="Proposto",ORÇAMENTO.CustoUnitario*(1+$AH196),ORÇAMENTO.PrecoUnitarioLicitado),15-13*$AF$10),0)</f>
        <v>0</v>
      </c>
      <c r="X196" s="127">
        <f ca="1">IF($C196="S",IF(Import.TipoArredondamento&lt;&gt;"TransfereGOV",VTOTAL1,SUM(OFFSET(CÁLCULO!$AA$15,ROW($X196)-ROW($X$15),1):OFFSET(CÁLCULO!$AL$15,ROW($X196)-ROW($X$15),-1))),IF($C196=0,0,ROUND(SomaAgrup,15-13*$AF$11)))</f>
        <v>0</v>
      </c>
      <c r="Y196" s="128" t="s">
        <v>245</v>
      </c>
      <c r="Z196" t="str">
        <f t="shared" ca="1" si="49"/>
        <v/>
      </c>
      <c r="AA196" s="129">
        <f ca="1">IF($C196="S",IF($Z196="CP",$X196,IF($Z196="RA",(($X196)*QCI!$AA$3),0)),SomaAgrup)</f>
        <v>0</v>
      </c>
      <c r="AB196" s="130">
        <f t="shared" ca="1" si="50"/>
        <v>0</v>
      </c>
      <c r="AC196" s="131" t="str">
        <f ca="1">IF($N196="","",IF(ORÇAMENTO.Descricao="","DESCRIÇÃO",IF(AND($C196="S",ORÇAMENTO.Unidade=""),"UNIDADE",IF($X196&lt;0,"VALOR NEGATIVO",IF(OR(AND(TIPOORCAMENTO="Proposto",$AG196&lt;&gt;"",$AG196&gt;0,ORÇAMENTO.CustoUnitario&gt;$AG196),AND(TIPOORCAMENTO="LICITADO",ORÇAMENTO.PrecoUnitarioLicitado&gt;$AN196)),"ACIMA REF.","")))))</f>
        <v/>
      </c>
      <c r="AD196" t="str">
        <f ca="1">IF(C196&lt;=CRONO.NivelExibicao,MAX($AD$15:OFFSET(AD196,-1,0))+IF($C196&lt;&gt;1,1,MAX(1,COUNTIF(QCI!$A$13:$A$24,OFFSET($E196,-1,0)))),"")</f>
        <v/>
      </c>
      <c r="AE196" s="7" t="str">
        <f ca="1">IF(AND($C196="S",ORÇAMENTO.CodBarra&lt;&gt;""),IF(ORÇAMENTO.Fonte="",ORÇAMENTO.CodBarra,CONCATENATE(ORÇAMENTO.Fonte," ",ORÇAMENTO.CodBarra)))</f>
        <v>SINAPI 104958</v>
      </c>
      <c r="AF196" s="13" t="str">
        <f ca="1">IF(ISERROR(INDIRECT(ORÇAMENTO.BancoRef)),"(abra o arquivo 'Referência "&amp;Excel_BuiltIn_Database&amp;".xlsm)",IF(OR($C196&lt;&gt;"S",ORÇAMENTO.CodBarra=""),"(Sem Código)",IF(ISERROR(MATCH($AE196,INDIRECT(ORÇAMENTO.BancoRef),0)),"(Código não identificado nas referências)",MATCH($AE196,INDIRECT(ORÇAMENTO.BancoRef),0))))</f>
        <v>(abra o arquivo 'Referência 02-2025.xlsm)</v>
      </c>
      <c r="AG196" s="498">
        <f ca="1">ROUND(IF(DESONERACAO="sim",REFERENCIA.Desonerado,REFERENCIA.NaoDesonerado),2)</f>
        <v>0</v>
      </c>
      <c r="AH196" s="499">
        <f t="shared" ca="1" si="51"/>
        <v>0.22470000000000001</v>
      </c>
      <c r="AJ196" s="501">
        <v>1574.15</v>
      </c>
      <c r="AL196" s="527"/>
      <c r="AM196" s="381">
        <f t="shared" ca="1" si="52"/>
        <v>0</v>
      </c>
      <c r="AN196" s="566">
        <f t="shared" ca="1" si="53"/>
        <v>0</v>
      </c>
    </row>
    <row r="197" spans="1:40" ht="38.25" x14ac:dyDescent="0.2">
      <c r="A197" t="str">
        <f t="shared" si="38"/>
        <v>S</v>
      </c>
      <c r="B197">
        <f t="shared" ca="1" si="39"/>
        <v>3</v>
      </c>
      <c r="C197" t="str">
        <f t="shared" ca="1" si="40"/>
        <v>S</v>
      </c>
      <c r="D197">
        <f t="shared" ca="1" si="41"/>
        <v>0</v>
      </c>
      <c r="E197">
        <f ca="1">IF($C197=1,OFFSET(E197,-1,0)+MAX(1,COUNTIF(QCI!$A$13:$A$24,OFFSET(ORÇAMENTO!E197,-1,0))),OFFSET(E197,-1,0))</f>
        <v>1</v>
      </c>
      <c r="F197">
        <f t="shared" ca="1" si="42"/>
        <v>9</v>
      </c>
      <c r="G197">
        <f t="shared" ca="1" si="43"/>
        <v>1</v>
      </c>
      <c r="H197">
        <f t="shared" ca="1" si="44"/>
        <v>0</v>
      </c>
      <c r="I197">
        <f t="shared" ca="1" si="45"/>
        <v>0</v>
      </c>
      <c r="J197">
        <f t="shared" ca="1" si="37"/>
        <v>0</v>
      </c>
      <c r="K197">
        <f ca="1">IF(OR($C197="S",$C197=0),0,MATCH(OFFSET($D197,0,$C197)+IF($C197&lt;&gt;1,1,COUNTIF(QCI!$A$13:$A$24,ORÇAMENTO!E197)),OFFSET($D197,1,$C197,ROW($C$747)-ROW($C197)),0))</f>
        <v>0</v>
      </c>
      <c r="L197" s="116" t="str">
        <f t="shared" ca="1" si="46"/>
        <v/>
      </c>
      <c r="M197" s="117" t="s">
        <v>199</v>
      </c>
      <c r="N197" s="118" t="str">
        <f t="shared" ca="1" si="47"/>
        <v>Serviço</v>
      </c>
      <c r="O197" s="119" t="str">
        <f t="shared" ca="1" si="48"/>
        <v>-</v>
      </c>
      <c r="P197" s="120" t="s">
        <v>247</v>
      </c>
      <c r="Q197" s="121" t="s">
        <v>492</v>
      </c>
      <c r="R197" s="122" t="str">
        <f ca="1">IF($C197="S",REFERENCIA.Descricao,"(digite a descrição aqui)")</f>
        <v>(abra o arquivo 'Referência 02-2025.xlsm)</v>
      </c>
      <c r="S197" s="123" t="str">
        <f ca="1">REFERENCIA.Unidade</f>
        <v>-</v>
      </c>
      <c r="T197" s="124">
        <f ca="1">OFFSET(CÁLCULO!H$15,ROW($T197)-ROW(T$15),0)</f>
        <v>660.81</v>
      </c>
      <c r="U197" s="125">
        <f t="shared" ca="1" si="54"/>
        <v>0</v>
      </c>
      <c r="V197" s="126" t="s">
        <v>156</v>
      </c>
      <c r="W197" s="124">
        <f ca="1">IF($C197="S",ROUND(IF(TIPOORCAMENTO="Proposto",ORÇAMENTO.CustoUnitario*(1+$AH197),ORÇAMENTO.PrecoUnitarioLicitado),15-13*$AF$10),0)</f>
        <v>0</v>
      </c>
      <c r="X197" s="127">
        <f ca="1">IF($C197="S",IF(Import.TipoArredondamento&lt;&gt;"TransfereGOV",VTOTAL1,SUM(OFFSET(CÁLCULO!$AA$15,ROW($X197)-ROW($X$15),1):OFFSET(CÁLCULO!$AL$15,ROW($X197)-ROW($X$15),-1))),IF($C197=0,0,ROUND(SomaAgrup,15-13*$AF$11)))</f>
        <v>0</v>
      </c>
      <c r="Y197" s="128" t="s">
        <v>245</v>
      </c>
      <c r="Z197" t="str">
        <f t="shared" ca="1" si="49"/>
        <v/>
      </c>
      <c r="AA197" s="129">
        <f ca="1">IF($C197="S",IF($Z197="CP",$X197,IF($Z197="RA",(($X197)*QCI!$AA$3),0)),SomaAgrup)</f>
        <v>0</v>
      </c>
      <c r="AB197" s="130">
        <f t="shared" ca="1" si="50"/>
        <v>0</v>
      </c>
      <c r="AC197" s="131" t="str">
        <f ca="1">IF($N197="","",IF(ORÇAMENTO.Descricao="","DESCRIÇÃO",IF(AND($C197="S",ORÇAMENTO.Unidade=""),"UNIDADE",IF($X197&lt;0,"VALOR NEGATIVO",IF(OR(AND(TIPOORCAMENTO="Proposto",$AG197&lt;&gt;"",$AG197&gt;0,ORÇAMENTO.CustoUnitario&gt;$AG197),AND(TIPOORCAMENTO="LICITADO",ORÇAMENTO.PrecoUnitarioLicitado&gt;$AN197)),"ACIMA REF.","")))))</f>
        <v/>
      </c>
      <c r="AD197" t="str">
        <f ca="1">IF(C197&lt;=CRONO.NivelExibicao,MAX($AD$15:OFFSET(AD197,-1,0))+IF($C197&lt;&gt;1,1,MAX(1,COUNTIF(QCI!$A$13:$A$24,OFFSET($E197,-1,0)))),"")</f>
        <v/>
      </c>
      <c r="AE197" s="7" t="str">
        <f ca="1">IF(AND($C197="S",ORÇAMENTO.CodBarra&lt;&gt;""),IF(ORÇAMENTO.Fonte="",ORÇAMENTO.CodBarra,CONCATENATE(ORÇAMENTO.Fonte," ",ORÇAMENTO.CodBarra)))</f>
        <v>SINAPI 87273</v>
      </c>
      <c r="AF197" s="13" t="str">
        <f ca="1">IF(ISERROR(INDIRECT(ORÇAMENTO.BancoRef)),"(abra o arquivo 'Referência "&amp;Excel_BuiltIn_Database&amp;".xlsm)",IF(OR($C197&lt;&gt;"S",ORÇAMENTO.CodBarra=""),"(Sem Código)",IF(ISERROR(MATCH($AE197,INDIRECT(ORÇAMENTO.BancoRef),0)),"(Código não identificado nas referências)",MATCH($AE197,INDIRECT(ORÇAMENTO.BancoRef),0))))</f>
        <v>(abra o arquivo 'Referência 02-2025.xlsm)</v>
      </c>
      <c r="AG197" s="498">
        <f ca="1">ROUND(IF(DESONERACAO="sim",REFERENCIA.Desonerado,REFERENCIA.NaoDesonerado),2)</f>
        <v>0</v>
      </c>
      <c r="AH197" s="499">
        <f t="shared" ca="1" si="51"/>
        <v>0.22470000000000001</v>
      </c>
      <c r="AJ197" s="501">
        <v>660.81</v>
      </c>
      <c r="AL197" s="527"/>
      <c r="AM197" s="381">
        <f t="shared" ca="1" si="52"/>
        <v>0</v>
      </c>
      <c r="AN197" s="566">
        <f t="shared" ca="1" si="53"/>
        <v>0</v>
      </c>
    </row>
    <row r="198" spans="1:40" ht="38.25" x14ac:dyDescent="0.2">
      <c r="A198" t="str">
        <f t="shared" si="38"/>
        <v>S</v>
      </c>
      <c r="B198">
        <f t="shared" ca="1" si="39"/>
        <v>3</v>
      </c>
      <c r="C198" t="str">
        <f t="shared" ca="1" si="40"/>
        <v>S</v>
      </c>
      <c r="D198">
        <f t="shared" ca="1" si="41"/>
        <v>0</v>
      </c>
      <c r="E198">
        <f ca="1">IF($C198=1,OFFSET(E198,-1,0)+MAX(1,COUNTIF(QCI!$A$13:$A$24,OFFSET(ORÇAMENTO!E198,-1,0))),OFFSET(E198,-1,0))</f>
        <v>1</v>
      </c>
      <c r="F198">
        <f t="shared" ca="1" si="42"/>
        <v>9</v>
      </c>
      <c r="G198">
        <f t="shared" ca="1" si="43"/>
        <v>1</v>
      </c>
      <c r="H198">
        <f t="shared" ca="1" si="44"/>
        <v>0</v>
      </c>
      <c r="I198">
        <f t="shared" ca="1" si="45"/>
        <v>0</v>
      </c>
      <c r="J198">
        <f t="shared" ca="1" si="37"/>
        <v>0</v>
      </c>
      <c r="K198">
        <f ca="1">IF(OR($C198="S",$C198=0),0,MATCH(OFFSET($D198,0,$C198)+IF($C198&lt;&gt;1,1,COUNTIF(QCI!$A$13:$A$24,ORÇAMENTO!E198)),OFFSET($D198,1,$C198,ROW($C$747)-ROW($C198)),0))</f>
        <v>0</v>
      </c>
      <c r="L198" s="116" t="str">
        <f t="shared" ca="1" si="46"/>
        <v/>
      </c>
      <c r="M198" s="117" t="s">
        <v>199</v>
      </c>
      <c r="N198" s="118" t="str">
        <f t="shared" ca="1" si="47"/>
        <v>Serviço</v>
      </c>
      <c r="O198" s="119" t="str">
        <f t="shared" ca="1" si="48"/>
        <v>-</v>
      </c>
      <c r="P198" s="120" t="s">
        <v>712</v>
      </c>
      <c r="Q198" s="121" t="s">
        <v>767</v>
      </c>
      <c r="R198" s="122" t="str">
        <f ca="1">IF($C198="S",REFERENCIA.Descricao,"(digite a descrição aqui)")</f>
        <v>(abra o arquivo 'Referência 02-2025.xlsm)</v>
      </c>
      <c r="S198" s="123" t="str">
        <f ca="1">REFERENCIA.Unidade</f>
        <v>-</v>
      </c>
      <c r="T198" s="124">
        <f ca="1">OFFSET(CÁLCULO!H$15,ROW($T198)-ROW(T$15),0)</f>
        <v>139.66999999999999</v>
      </c>
      <c r="U198" s="125">
        <f t="shared" ca="1" si="54"/>
        <v>0</v>
      </c>
      <c r="V198" s="126" t="s">
        <v>156</v>
      </c>
      <c r="W198" s="124">
        <f ca="1">IF($C198="S",ROUND(IF(TIPOORCAMENTO="Proposto",ORÇAMENTO.CustoUnitario*(1+$AH198),ORÇAMENTO.PrecoUnitarioLicitado),15-13*$AF$10),0)</f>
        <v>0</v>
      </c>
      <c r="X198" s="127">
        <f ca="1">IF($C198="S",IF(Import.TipoArredondamento&lt;&gt;"TransfereGOV",VTOTAL1,SUM(OFFSET(CÁLCULO!$AA$15,ROW($X198)-ROW($X$15),1):OFFSET(CÁLCULO!$AL$15,ROW($X198)-ROW($X$15),-1))),IF($C198=0,0,ROUND(SomaAgrup,15-13*$AF$11)))</f>
        <v>0</v>
      </c>
      <c r="Y198" s="128" t="s">
        <v>245</v>
      </c>
      <c r="Z198" t="str">
        <f t="shared" ca="1" si="49"/>
        <v/>
      </c>
      <c r="AA198" s="129">
        <f ca="1">IF($C198="S",IF($Z198="CP",$X198,IF($Z198="RA",(($X198)*QCI!$AA$3),0)),SomaAgrup)</f>
        <v>0</v>
      </c>
      <c r="AB198" s="130">
        <f t="shared" ca="1" si="50"/>
        <v>0</v>
      </c>
      <c r="AC198" s="131" t="str">
        <f ca="1">IF($N198="","",IF(ORÇAMENTO.Descricao="","DESCRIÇÃO",IF(AND($C198="S",ORÇAMENTO.Unidade=""),"UNIDADE",IF($X198&lt;0,"VALOR NEGATIVO",IF(OR(AND(TIPOORCAMENTO="Proposto",$AG198&lt;&gt;"",$AG198&gt;0,ORÇAMENTO.CustoUnitario&gt;$AG198),AND(TIPOORCAMENTO="LICITADO",ORÇAMENTO.PrecoUnitarioLicitado&gt;$AN198)),"ACIMA REF.","")))))</f>
        <v/>
      </c>
      <c r="AD198" t="str">
        <f ca="1">IF(C198&lt;=CRONO.NivelExibicao,MAX($AD$15:OFFSET(AD198,-1,0))+IF($C198&lt;&gt;1,1,MAX(1,COUNTIF(QCI!$A$13:$A$24,OFFSET($E198,-1,0)))),"")</f>
        <v/>
      </c>
      <c r="AE198" s="7" t="str">
        <f ca="1">IF(AND($C198="S",ORÇAMENTO.CodBarra&lt;&gt;""),IF(ORÇAMENTO.Fonte="",ORÇAMENTO.CodBarra,CONCATENATE(ORÇAMENTO.Fonte," ",ORÇAMENTO.CodBarra)))</f>
        <v>Composição FNDE 293</v>
      </c>
      <c r="AF198" s="13" t="str">
        <f ca="1">IF(ISERROR(INDIRECT(ORÇAMENTO.BancoRef)),"(abra o arquivo 'Referência "&amp;Excel_BuiltIn_Database&amp;".xlsm)",IF(OR($C198&lt;&gt;"S",ORÇAMENTO.CodBarra=""),"(Sem Código)",IF(ISERROR(MATCH($AE198,INDIRECT(ORÇAMENTO.BancoRef),0)),"(Código não identificado nas referências)",MATCH($AE198,INDIRECT(ORÇAMENTO.BancoRef),0))))</f>
        <v>(abra o arquivo 'Referência 02-2025.xlsm)</v>
      </c>
      <c r="AG198" s="498">
        <f ca="1">ROUND(IF(DESONERACAO="sim",REFERENCIA.Desonerado,REFERENCIA.NaoDesonerado),2)</f>
        <v>0</v>
      </c>
      <c r="AH198" s="499">
        <f t="shared" ca="1" si="51"/>
        <v>0.22470000000000001</v>
      </c>
      <c r="AJ198" s="501">
        <v>139.66999999999999</v>
      </c>
      <c r="AL198" s="527"/>
      <c r="AM198" s="381">
        <f t="shared" ca="1" si="52"/>
        <v>0</v>
      </c>
      <c r="AN198" s="566">
        <f t="shared" ca="1" si="53"/>
        <v>0</v>
      </c>
    </row>
    <row r="199" spans="1:40" ht="38.25" x14ac:dyDescent="0.2">
      <c r="A199" t="str">
        <f t="shared" si="38"/>
        <v>S</v>
      </c>
      <c r="B199">
        <f t="shared" ca="1" si="39"/>
        <v>3</v>
      </c>
      <c r="C199" t="str">
        <f t="shared" ca="1" si="40"/>
        <v>S</v>
      </c>
      <c r="D199">
        <f t="shared" ca="1" si="41"/>
        <v>0</v>
      </c>
      <c r="E199">
        <f ca="1">IF($C199=1,OFFSET(E199,-1,0)+MAX(1,COUNTIF(QCI!$A$13:$A$24,OFFSET(ORÇAMENTO!E199,-1,0))),OFFSET(E199,-1,0))</f>
        <v>1</v>
      </c>
      <c r="F199">
        <f t="shared" ca="1" si="42"/>
        <v>9</v>
      </c>
      <c r="G199">
        <f t="shared" ca="1" si="43"/>
        <v>1</v>
      </c>
      <c r="H199">
        <f t="shared" ca="1" si="44"/>
        <v>0</v>
      </c>
      <c r="I199">
        <f t="shared" ca="1" si="45"/>
        <v>0</v>
      </c>
      <c r="J199">
        <f t="shared" ca="1" si="37"/>
        <v>0</v>
      </c>
      <c r="K199">
        <f ca="1">IF(OR($C199="S",$C199=0),0,MATCH(OFFSET($D199,0,$C199)+IF($C199&lt;&gt;1,1,COUNTIF(QCI!$A$13:$A$24,ORÇAMENTO!E199)),OFFSET($D199,1,$C199,ROW($C$747)-ROW($C199)),0))</f>
        <v>0</v>
      </c>
      <c r="L199" s="116" t="str">
        <f t="shared" ca="1" si="46"/>
        <v/>
      </c>
      <c r="M199" s="117" t="s">
        <v>199</v>
      </c>
      <c r="N199" s="118" t="str">
        <f t="shared" ca="1" si="47"/>
        <v>Serviço</v>
      </c>
      <c r="O199" s="119" t="str">
        <f t="shared" ca="1" si="48"/>
        <v>-</v>
      </c>
      <c r="P199" s="120" t="s">
        <v>712</v>
      </c>
      <c r="Q199" s="121" t="s">
        <v>768</v>
      </c>
      <c r="R199" s="122" t="str">
        <f ca="1">IF($C199="S",REFERENCIA.Descricao,"(digite a descrição aqui)")</f>
        <v>(abra o arquivo 'Referência 02-2025.xlsm)</v>
      </c>
      <c r="S199" s="123" t="str">
        <f ca="1">REFERENCIA.Unidade</f>
        <v>-</v>
      </c>
      <c r="T199" s="124">
        <f ca="1">OFFSET(CÁLCULO!H$15,ROW($T199)-ROW(T$15),0)</f>
        <v>8.4600000000000009</v>
      </c>
      <c r="U199" s="125">
        <f t="shared" ca="1" si="54"/>
        <v>0</v>
      </c>
      <c r="V199" s="126" t="s">
        <v>156</v>
      </c>
      <c r="W199" s="124">
        <f ca="1">IF($C199="S",ROUND(IF(TIPOORCAMENTO="Proposto",ORÇAMENTO.CustoUnitario*(1+$AH199),ORÇAMENTO.PrecoUnitarioLicitado),15-13*$AF$10),0)</f>
        <v>0</v>
      </c>
      <c r="X199" s="127">
        <f ca="1">IF($C199="S",IF(Import.TipoArredondamento&lt;&gt;"TransfereGOV",VTOTAL1,SUM(OFFSET(CÁLCULO!$AA$15,ROW($X199)-ROW($X$15),1):OFFSET(CÁLCULO!$AL$15,ROW($X199)-ROW($X$15),-1))),IF($C199=0,0,ROUND(SomaAgrup,15-13*$AF$11)))</f>
        <v>0</v>
      </c>
      <c r="Y199" s="128" t="s">
        <v>245</v>
      </c>
      <c r="Z199" t="str">
        <f t="shared" ca="1" si="49"/>
        <v/>
      </c>
      <c r="AA199" s="129">
        <f ca="1">IF($C199="S",IF($Z199="CP",$X199,IF($Z199="RA",(($X199)*QCI!$AA$3),0)),SomaAgrup)</f>
        <v>0</v>
      </c>
      <c r="AB199" s="130">
        <f t="shared" ca="1" si="50"/>
        <v>0</v>
      </c>
      <c r="AC199" s="131" t="str">
        <f ca="1">IF($N199="","",IF(ORÇAMENTO.Descricao="","DESCRIÇÃO",IF(AND($C199="S",ORÇAMENTO.Unidade=""),"UNIDADE",IF($X199&lt;0,"VALOR NEGATIVO",IF(OR(AND(TIPOORCAMENTO="Proposto",$AG199&lt;&gt;"",$AG199&gt;0,ORÇAMENTO.CustoUnitario&gt;$AG199),AND(TIPOORCAMENTO="LICITADO",ORÇAMENTO.PrecoUnitarioLicitado&gt;$AN199)),"ACIMA REF.","")))))</f>
        <v/>
      </c>
      <c r="AD199" t="str">
        <f ca="1">IF(C199&lt;=CRONO.NivelExibicao,MAX($AD$15:OFFSET(AD199,-1,0))+IF($C199&lt;&gt;1,1,MAX(1,COUNTIF(QCI!$A$13:$A$24,OFFSET($E199,-1,0)))),"")</f>
        <v/>
      </c>
      <c r="AE199" s="7" t="str">
        <f ca="1">IF(AND($C199="S",ORÇAMENTO.CodBarra&lt;&gt;""),IF(ORÇAMENTO.Fonte="",ORÇAMENTO.CodBarra,CONCATENATE(ORÇAMENTO.Fonte," ",ORÇAMENTO.CodBarra)))</f>
        <v>Composição FNDE 294</v>
      </c>
      <c r="AF199" s="13" t="str">
        <f ca="1">IF(ISERROR(INDIRECT(ORÇAMENTO.BancoRef)),"(abra o arquivo 'Referência "&amp;Excel_BuiltIn_Database&amp;".xlsm)",IF(OR($C199&lt;&gt;"S",ORÇAMENTO.CodBarra=""),"(Sem Código)",IF(ISERROR(MATCH($AE199,INDIRECT(ORÇAMENTO.BancoRef),0)),"(Código não identificado nas referências)",MATCH($AE199,INDIRECT(ORÇAMENTO.BancoRef),0))))</f>
        <v>(abra o arquivo 'Referência 02-2025.xlsm)</v>
      </c>
      <c r="AG199" s="498">
        <f ca="1">ROUND(IF(DESONERACAO="sim",REFERENCIA.Desonerado,REFERENCIA.NaoDesonerado),2)</f>
        <v>0</v>
      </c>
      <c r="AH199" s="499">
        <f t="shared" ca="1" si="51"/>
        <v>0.22470000000000001</v>
      </c>
      <c r="AJ199" s="501">
        <v>8.4600000000000009</v>
      </c>
      <c r="AL199" s="527"/>
      <c r="AM199" s="381">
        <f t="shared" ca="1" si="52"/>
        <v>0</v>
      </c>
      <c r="AN199" s="566">
        <f t="shared" ca="1" si="53"/>
        <v>0</v>
      </c>
    </row>
    <row r="200" spans="1:40" ht="38.25" x14ac:dyDescent="0.2">
      <c r="A200" t="str">
        <f t="shared" si="38"/>
        <v>S</v>
      </c>
      <c r="B200">
        <f t="shared" ca="1" si="39"/>
        <v>3</v>
      </c>
      <c r="C200" t="str">
        <f t="shared" ca="1" si="40"/>
        <v>S</v>
      </c>
      <c r="D200">
        <f t="shared" ca="1" si="41"/>
        <v>0</v>
      </c>
      <c r="E200">
        <f ca="1">IF($C200=1,OFFSET(E200,-1,0)+MAX(1,COUNTIF(QCI!$A$13:$A$24,OFFSET(ORÇAMENTO!E200,-1,0))),OFFSET(E200,-1,0))</f>
        <v>1</v>
      </c>
      <c r="F200">
        <f t="shared" ca="1" si="42"/>
        <v>9</v>
      </c>
      <c r="G200">
        <f t="shared" ca="1" si="43"/>
        <v>1</v>
      </c>
      <c r="H200">
        <f t="shared" ca="1" si="44"/>
        <v>0</v>
      </c>
      <c r="I200">
        <f t="shared" ca="1" si="45"/>
        <v>0</v>
      </c>
      <c r="J200">
        <f t="shared" ca="1" si="37"/>
        <v>0</v>
      </c>
      <c r="K200">
        <f ca="1">IF(OR($C200="S",$C200=0),0,MATCH(OFFSET($D200,0,$C200)+IF($C200&lt;&gt;1,1,COUNTIF(QCI!$A$13:$A$24,ORÇAMENTO!E200)),OFFSET($D200,1,$C200,ROW($C$747)-ROW($C200)),0))</f>
        <v>0</v>
      </c>
      <c r="L200" s="116" t="str">
        <f t="shared" ca="1" si="46"/>
        <v/>
      </c>
      <c r="M200" s="117" t="s">
        <v>199</v>
      </c>
      <c r="N200" s="118" t="str">
        <f t="shared" ca="1" si="47"/>
        <v>Serviço</v>
      </c>
      <c r="O200" s="119" t="str">
        <f t="shared" ca="1" si="48"/>
        <v>-</v>
      </c>
      <c r="P200" s="120" t="s">
        <v>712</v>
      </c>
      <c r="Q200" s="121" t="s">
        <v>769</v>
      </c>
      <c r="R200" s="122" t="str">
        <f ca="1">IF($C200="S",REFERENCIA.Descricao,"(digite a descrição aqui)")</f>
        <v>(abra o arquivo 'Referência 02-2025.xlsm)</v>
      </c>
      <c r="S200" s="123" t="str">
        <f ca="1">REFERENCIA.Unidade</f>
        <v>-</v>
      </c>
      <c r="T200" s="124">
        <f ca="1">OFFSET(CÁLCULO!H$15,ROW($T200)-ROW(T$15),0)</f>
        <v>15.01</v>
      </c>
      <c r="U200" s="125">
        <f t="shared" ca="1" si="54"/>
        <v>0</v>
      </c>
      <c r="V200" s="126" t="s">
        <v>156</v>
      </c>
      <c r="W200" s="124">
        <f ca="1">IF($C200="S",ROUND(IF(TIPOORCAMENTO="Proposto",ORÇAMENTO.CustoUnitario*(1+$AH200),ORÇAMENTO.PrecoUnitarioLicitado),15-13*$AF$10),0)</f>
        <v>0</v>
      </c>
      <c r="X200" s="127">
        <f ca="1">IF($C200="S",IF(Import.TipoArredondamento&lt;&gt;"TransfereGOV",VTOTAL1,SUM(OFFSET(CÁLCULO!$AA$15,ROW($X200)-ROW($X$15),1):OFFSET(CÁLCULO!$AL$15,ROW($X200)-ROW($X$15),-1))),IF($C200=0,0,ROUND(SomaAgrup,15-13*$AF$11)))</f>
        <v>0</v>
      </c>
      <c r="Y200" s="128" t="s">
        <v>245</v>
      </c>
      <c r="Z200" t="str">
        <f t="shared" ca="1" si="49"/>
        <v/>
      </c>
      <c r="AA200" s="129">
        <f ca="1">IF($C200="S",IF($Z200="CP",$X200,IF($Z200="RA",(($X200)*QCI!$AA$3),0)),SomaAgrup)</f>
        <v>0</v>
      </c>
      <c r="AB200" s="130">
        <f t="shared" ca="1" si="50"/>
        <v>0</v>
      </c>
      <c r="AC200" s="131" t="str">
        <f ca="1">IF($N200="","",IF(ORÇAMENTO.Descricao="","DESCRIÇÃO",IF(AND($C200="S",ORÇAMENTO.Unidade=""),"UNIDADE",IF($X200&lt;0,"VALOR NEGATIVO",IF(OR(AND(TIPOORCAMENTO="Proposto",$AG200&lt;&gt;"",$AG200&gt;0,ORÇAMENTO.CustoUnitario&gt;$AG200),AND(TIPOORCAMENTO="LICITADO",ORÇAMENTO.PrecoUnitarioLicitado&gt;$AN200)),"ACIMA REF.","")))))</f>
        <v/>
      </c>
      <c r="AD200" t="str">
        <f ca="1">IF(C200&lt;=CRONO.NivelExibicao,MAX($AD$15:OFFSET(AD200,-1,0))+IF($C200&lt;&gt;1,1,MAX(1,COUNTIF(QCI!$A$13:$A$24,OFFSET($E200,-1,0)))),"")</f>
        <v/>
      </c>
      <c r="AE200" s="7" t="str">
        <f ca="1">IF(AND($C200="S",ORÇAMENTO.CodBarra&lt;&gt;""),IF(ORÇAMENTO.Fonte="",ORÇAMENTO.CodBarra,CONCATENATE(ORÇAMENTO.Fonte," ",ORÇAMENTO.CodBarra)))</f>
        <v>Composição FNDE 295</v>
      </c>
      <c r="AF200" s="13" t="str">
        <f ca="1">IF(ISERROR(INDIRECT(ORÇAMENTO.BancoRef)),"(abra o arquivo 'Referência "&amp;Excel_BuiltIn_Database&amp;".xlsm)",IF(OR($C200&lt;&gt;"S",ORÇAMENTO.CodBarra=""),"(Sem Código)",IF(ISERROR(MATCH($AE200,INDIRECT(ORÇAMENTO.BancoRef),0)),"(Código não identificado nas referências)",MATCH($AE200,INDIRECT(ORÇAMENTO.BancoRef),0))))</f>
        <v>(abra o arquivo 'Referência 02-2025.xlsm)</v>
      </c>
      <c r="AG200" s="498">
        <f ca="1">ROUND(IF(DESONERACAO="sim",REFERENCIA.Desonerado,REFERENCIA.NaoDesonerado),2)</f>
        <v>0</v>
      </c>
      <c r="AH200" s="499">
        <f t="shared" ca="1" si="51"/>
        <v>0.22470000000000001</v>
      </c>
      <c r="AJ200" s="501">
        <v>15.01</v>
      </c>
      <c r="AL200" s="527"/>
      <c r="AM200" s="381">
        <f t="shared" ca="1" si="52"/>
        <v>0</v>
      </c>
      <c r="AN200" s="566">
        <f t="shared" ca="1" si="53"/>
        <v>0</v>
      </c>
    </row>
    <row r="201" spans="1:40" ht="38.25" x14ac:dyDescent="0.2">
      <c r="A201" t="str">
        <f t="shared" si="38"/>
        <v>S</v>
      </c>
      <c r="B201">
        <f t="shared" ca="1" si="39"/>
        <v>3</v>
      </c>
      <c r="C201" t="str">
        <f t="shared" ca="1" si="40"/>
        <v>S</v>
      </c>
      <c r="D201">
        <f t="shared" ca="1" si="41"/>
        <v>0</v>
      </c>
      <c r="E201">
        <f ca="1">IF($C201=1,OFFSET(E201,-1,0)+MAX(1,COUNTIF(QCI!$A$13:$A$24,OFFSET(ORÇAMENTO!E201,-1,0))),OFFSET(E201,-1,0))</f>
        <v>1</v>
      </c>
      <c r="F201">
        <f t="shared" ca="1" si="42"/>
        <v>9</v>
      </c>
      <c r="G201">
        <f t="shared" ca="1" si="43"/>
        <v>1</v>
      </c>
      <c r="H201">
        <f t="shared" ca="1" si="44"/>
        <v>0</v>
      </c>
      <c r="I201">
        <f t="shared" ca="1" si="45"/>
        <v>0</v>
      </c>
      <c r="J201">
        <f t="shared" ca="1" si="37"/>
        <v>0</v>
      </c>
      <c r="K201">
        <f ca="1">IF(OR($C201="S",$C201=0),0,MATCH(OFFSET($D201,0,$C201)+IF($C201&lt;&gt;1,1,COUNTIF(QCI!$A$13:$A$24,ORÇAMENTO!E201)),OFFSET($D201,1,$C201,ROW($C$747)-ROW($C201)),0))</f>
        <v>0</v>
      </c>
      <c r="L201" s="116" t="str">
        <f t="shared" ca="1" si="46"/>
        <v/>
      </c>
      <c r="M201" s="117" t="s">
        <v>199</v>
      </c>
      <c r="N201" s="118" t="str">
        <f t="shared" ca="1" si="47"/>
        <v>Serviço</v>
      </c>
      <c r="O201" s="119" t="str">
        <f t="shared" ca="1" si="48"/>
        <v>-</v>
      </c>
      <c r="P201" s="120" t="s">
        <v>712</v>
      </c>
      <c r="Q201" s="121" t="s">
        <v>770</v>
      </c>
      <c r="R201" s="122" t="str">
        <f ca="1">IF($C201="S",REFERENCIA.Descricao,"(digite a descrição aqui)")</f>
        <v>(abra o arquivo 'Referência 02-2025.xlsm)</v>
      </c>
      <c r="S201" s="123" t="str">
        <f ca="1">REFERENCIA.Unidade</f>
        <v>-</v>
      </c>
      <c r="T201" s="124">
        <f ca="1">OFFSET(CÁLCULO!H$15,ROW($T201)-ROW(T$15),0)</f>
        <v>8.75</v>
      </c>
      <c r="U201" s="125">
        <f t="shared" ca="1" si="54"/>
        <v>0</v>
      </c>
      <c r="V201" s="126" t="s">
        <v>156</v>
      </c>
      <c r="W201" s="124">
        <f ca="1">IF($C201="S",ROUND(IF(TIPOORCAMENTO="Proposto",ORÇAMENTO.CustoUnitario*(1+$AH201),ORÇAMENTO.PrecoUnitarioLicitado),15-13*$AF$10),0)</f>
        <v>0</v>
      </c>
      <c r="X201" s="127">
        <f ca="1">IF($C201="S",IF(Import.TipoArredondamento&lt;&gt;"TransfereGOV",VTOTAL1,SUM(OFFSET(CÁLCULO!$AA$15,ROW($X201)-ROW($X$15),1):OFFSET(CÁLCULO!$AL$15,ROW($X201)-ROW($X$15),-1))),IF($C201=0,0,ROUND(SomaAgrup,15-13*$AF$11)))</f>
        <v>0</v>
      </c>
      <c r="Y201" s="128" t="s">
        <v>245</v>
      </c>
      <c r="Z201" t="str">
        <f t="shared" ca="1" si="49"/>
        <v/>
      </c>
      <c r="AA201" s="129">
        <f ca="1">IF($C201="S",IF($Z201="CP",$X201,IF($Z201="RA",(($X201)*QCI!$AA$3),0)),SomaAgrup)</f>
        <v>0</v>
      </c>
      <c r="AB201" s="130">
        <f t="shared" ca="1" si="50"/>
        <v>0</v>
      </c>
      <c r="AC201" s="131" t="str">
        <f ca="1">IF($N201="","",IF(ORÇAMENTO.Descricao="","DESCRIÇÃO",IF(AND($C201="S",ORÇAMENTO.Unidade=""),"UNIDADE",IF($X201&lt;0,"VALOR NEGATIVO",IF(OR(AND(TIPOORCAMENTO="Proposto",$AG201&lt;&gt;"",$AG201&gt;0,ORÇAMENTO.CustoUnitario&gt;$AG201),AND(TIPOORCAMENTO="LICITADO",ORÇAMENTO.PrecoUnitarioLicitado&gt;$AN201)),"ACIMA REF.","")))))</f>
        <v/>
      </c>
      <c r="AD201" t="str">
        <f ca="1">IF(C201&lt;=CRONO.NivelExibicao,MAX($AD$15:OFFSET(AD201,-1,0))+IF($C201&lt;&gt;1,1,MAX(1,COUNTIF(QCI!$A$13:$A$24,OFFSET($E201,-1,0)))),"")</f>
        <v/>
      </c>
      <c r="AE201" s="7" t="str">
        <f ca="1">IF(AND($C201="S",ORÇAMENTO.CodBarra&lt;&gt;""),IF(ORÇAMENTO.Fonte="",ORÇAMENTO.CodBarra,CONCATENATE(ORÇAMENTO.Fonte," ",ORÇAMENTO.CodBarra)))</f>
        <v>Composição FNDE 296</v>
      </c>
      <c r="AF201" s="13" t="str">
        <f ca="1">IF(ISERROR(INDIRECT(ORÇAMENTO.BancoRef)),"(abra o arquivo 'Referência "&amp;Excel_BuiltIn_Database&amp;".xlsm)",IF(OR($C201&lt;&gt;"S",ORÇAMENTO.CodBarra=""),"(Sem Código)",IF(ISERROR(MATCH($AE201,INDIRECT(ORÇAMENTO.BancoRef),0)),"(Código não identificado nas referências)",MATCH($AE201,INDIRECT(ORÇAMENTO.BancoRef),0))))</f>
        <v>(abra o arquivo 'Referência 02-2025.xlsm)</v>
      </c>
      <c r="AG201" s="498">
        <f ca="1">ROUND(IF(DESONERACAO="sim",REFERENCIA.Desonerado,REFERENCIA.NaoDesonerado),2)</f>
        <v>0</v>
      </c>
      <c r="AH201" s="499">
        <f t="shared" ca="1" si="51"/>
        <v>0.22470000000000001</v>
      </c>
      <c r="AJ201" s="501">
        <v>8.75</v>
      </c>
      <c r="AL201" s="527"/>
      <c r="AM201" s="381">
        <f t="shared" ca="1" si="52"/>
        <v>0</v>
      </c>
      <c r="AN201" s="566">
        <f t="shared" ca="1" si="53"/>
        <v>0</v>
      </c>
    </row>
    <row r="202" spans="1:40" x14ac:dyDescent="0.2">
      <c r="A202" t="str">
        <f t="shared" si="38"/>
        <v>S</v>
      </c>
      <c r="B202">
        <f t="shared" ca="1" si="39"/>
        <v>3</v>
      </c>
      <c r="C202" t="str">
        <f t="shared" ca="1" si="40"/>
        <v>S</v>
      </c>
      <c r="D202">
        <f t="shared" ca="1" si="41"/>
        <v>0</v>
      </c>
      <c r="E202">
        <f ca="1">IF($C202=1,OFFSET(E202,-1,0)+MAX(1,COUNTIF(QCI!$A$13:$A$24,OFFSET(ORÇAMENTO!E202,-1,0))),OFFSET(E202,-1,0))</f>
        <v>1</v>
      </c>
      <c r="F202">
        <f t="shared" ca="1" si="42"/>
        <v>9</v>
      </c>
      <c r="G202">
        <f t="shared" ca="1" si="43"/>
        <v>1</v>
      </c>
      <c r="H202">
        <f t="shared" ca="1" si="44"/>
        <v>0</v>
      </c>
      <c r="I202">
        <f t="shared" ca="1" si="45"/>
        <v>0</v>
      </c>
      <c r="J202">
        <f t="shared" ca="1" si="37"/>
        <v>0</v>
      </c>
      <c r="K202">
        <f ca="1">IF(OR($C202="S",$C202=0),0,MATCH(OFFSET($D202,0,$C202)+IF($C202&lt;&gt;1,1,COUNTIF(QCI!$A$13:$A$24,ORÇAMENTO!E202)),OFFSET($D202,1,$C202,ROW($C$747)-ROW($C202)),0))</f>
        <v>0</v>
      </c>
      <c r="L202" s="116" t="str">
        <f t="shared" ca="1" si="46"/>
        <v/>
      </c>
      <c r="M202" s="117" t="s">
        <v>199</v>
      </c>
      <c r="N202" s="118" t="str">
        <f t="shared" ca="1" si="47"/>
        <v>Serviço</v>
      </c>
      <c r="O202" s="119" t="str">
        <f t="shared" ca="1" si="48"/>
        <v>-</v>
      </c>
      <c r="P202" s="120" t="s">
        <v>712</v>
      </c>
      <c r="Q202" s="121" t="s">
        <v>771</v>
      </c>
      <c r="R202" s="122" t="str">
        <f ca="1">IF($C202="S",REFERENCIA.Descricao,"(digite a descrição aqui)")</f>
        <v>(abra o arquivo 'Referência 02-2025.xlsm)</v>
      </c>
      <c r="S202" s="123" t="str">
        <f ca="1">REFERENCIA.Unidade</f>
        <v>-</v>
      </c>
      <c r="T202" s="124">
        <f ca="1">OFFSET(CÁLCULO!H$15,ROW($T202)-ROW(T$15),0)</f>
        <v>218.4</v>
      </c>
      <c r="U202" s="125">
        <f t="shared" ca="1" si="54"/>
        <v>0</v>
      </c>
      <c r="V202" s="126" t="s">
        <v>156</v>
      </c>
      <c r="W202" s="124">
        <f ca="1">IF($C202="S",ROUND(IF(TIPOORCAMENTO="Proposto",ORÇAMENTO.CustoUnitario*(1+$AH202),ORÇAMENTO.PrecoUnitarioLicitado),15-13*$AF$10),0)</f>
        <v>0</v>
      </c>
      <c r="X202" s="127">
        <f ca="1">IF($C202="S",IF(Import.TipoArredondamento&lt;&gt;"TransfereGOV",VTOTAL1,SUM(OFFSET(CÁLCULO!$AA$15,ROW($X202)-ROW($X$15),1):OFFSET(CÁLCULO!$AL$15,ROW($X202)-ROW($X$15),-1))),IF($C202=0,0,ROUND(SomaAgrup,15-13*$AF$11)))</f>
        <v>0</v>
      </c>
      <c r="Y202" s="128" t="s">
        <v>245</v>
      </c>
      <c r="Z202" t="str">
        <f t="shared" ca="1" si="49"/>
        <v/>
      </c>
      <c r="AA202" s="129">
        <f ca="1">IF($C202="S",IF($Z202="CP",$X202,IF($Z202="RA",(($X202)*QCI!$AA$3),0)),SomaAgrup)</f>
        <v>0</v>
      </c>
      <c r="AB202" s="130">
        <f t="shared" ca="1" si="50"/>
        <v>0</v>
      </c>
      <c r="AC202" s="131" t="str">
        <f ca="1">IF($N202="","",IF(ORÇAMENTO.Descricao="","DESCRIÇÃO",IF(AND($C202="S",ORÇAMENTO.Unidade=""),"UNIDADE",IF($X202&lt;0,"VALOR NEGATIVO",IF(OR(AND(TIPOORCAMENTO="Proposto",$AG202&lt;&gt;"",$AG202&gt;0,ORÇAMENTO.CustoUnitario&gt;$AG202),AND(TIPOORCAMENTO="LICITADO",ORÇAMENTO.PrecoUnitarioLicitado&gt;$AN202)),"ACIMA REF.","")))))</f>
        <v/>
      </c>
      <c r="AD202" t="str">
        <f ca="1">IF(C202&lt;=CRONO.NivelExibicao,MAX($AD$15:OFFSET(AD202,-1,0))+IF($C202&lt;&gt;1,1,MAX(1,COUNTIF(QCI!$A$13:$A$24,OFFSET($E202,-1,0)))),"")</f>
        <v/>
      </c>
      <c r="AE202" s="7" t="str">
        <f ca="1">IF(AND($C202="S",ORÇAMENTO.CodBarra&lt;&gt;""),IF(ORÇAMENTO.Fonte="",ORÇAMENTO.CodBarra,CONCATENATE(ORÇAMENTO.Fonte," ",ORÇAMENTO.CodBarra)))</f>
        <v>Composição FNDE 245</v>
      </c>
      <c r="AF202" s="13" t="str">
        <f ca="1">IF(ISERROR(INDIRECT(ORÇAMENTO.BancoRef)),"(abra o arquivo 'Referência "&amp;Excel_BuiltIn_Database&amp;".xlsm)",IF(OR($C202&lt;&gt;"S",ORÇAMENTO.CodBarra=""),"(Sem Código)",IF(ISERROR(MATCH($AE202,INDIRECT(ORÇAMENTO.BancoRef),0)),"(Código não identificado nas referências)",MATCH($AE202,INDIRECT(ORÇAMENTO.BancoRef),0))))</f>
        <v>(abra o arquivo 'Referência 02-2025.xlsm)</v>
      </c>
      <c r="AG202" s="498">
        <f ca="1">ROUND(IF(DESONERACAO="sim",REFERENCIA.Desonerado,REFERENCIA.NaoDesonerado),2)</f>
        <v>0</v>
      </c>
      <c r="AH202" s="499">
        <f t="shared" ca="1" si="51"/>
        <v>0.22470000000000001</v>
      </c>
      <c r="AJ202" s="501">
        <v>218.4</v>
      </c>
      <c r="AL202" s="527"/>
      <c r="AM202" s="381">
        <f t="shared" ca="1" si="52"/>
        <v>0</v>
      </c>
      <c r="AN202" s="566">
        <f t="shared" ca="1" si="53"/>
        <v>0</v>
      </c>
    </row>
    <row r="203" spans="1:40" x14ac:dyDescent="0.2">
      <c r="A203" t="str">
        <f t="shared" si="38"/>
        <v>S</v>
      </c>
      <c r="B203">
        <f t="shared" ca="1" si="39"/>
        <v>3</v>
      </c>
      <c r="C203" t="str">
        <f t="shared" ca="1" si="40"/>
        <v>S</v>
      </c>
      <c r="D203">
        <f t="shared" ca="1" si="41"/>
        <v>0</v>
      </c>
      <c r="E203">
        <f ca="1">IF($C203=1,OFFSET(E203,-1,0)+MAX(1,COUNTIF(QCI!$A$13:$A$24,OFFSET(ORÇAMENTO!E203,-1,0))),OFFSET(E203,-1,0))</f>
        <v>1</v>
      </c>
      <c r="F203">
        <f t="shared" ca="1" si="42"/>
        <v>9</v>
      </c>
      <c r="G203">
        <f t="shared" ca="1" si="43"/>
        <v>1</v>
      </c>
      <c r="H203">
        <f t="shared" ca="1" si="44"/>
        <v>0</v>
      </c>
      <c r="I203">
        <f t="shared" ca="1" si="45"/>
        <v>0</v>
      </c>
      <c r="J203">
        <f t="shared" ca="1" si="37"/>
        <v>0</v>
      </c>
      <c r="K203">
        <f ca="1">IF(OR($C203="S",$C203=0),0,MATCH(OFFSET($D203,0,$C203)+IF($C203&lt;&gt;1,1,COUNTIF(QCI!$A$13:$A$24,ORÇAMENTO!E203)),OFFSET($D203,1,$C203,ROW($C$747)-ROW($C203)),0))</f>
        <v>0</v>
      </c>
      <c r="L203" s="116" t="str">
        <f t="shared" ca="1" si="46"/>
        <v/>
      </c>
      <c r="M203" s="117" t="s">
        <v>199</v>
      </c>
      <c r="N203" s="118" t="str">
        <f t="shared" ca="1" si="47"/>
        <v>Serviço</v>
      </c>
      <c r="O203" s="119" t="str">
        <f t="shared" ca="1" si="48"/>
        <v>-</v>
      </c>
      <c r="P203" s="120" t="s">
        <v>712</v>
      </c>
      <c r="Q203" s="121" t="s">
        <v>772</v>
      </c>
      <c r="R203" s="122" t="str">
        <f ca="1">IF($C203="S",REFERENCIA.Descricao,"(digite a descrição aqui)")</f>
        <v>(abra o arquivo 'Referência 02-2025.xlsm)</v>
      </c>
      <c r="S203" s="123" t="str">
        <f ca="1">REFERENCIA.Unidade</f>
        <v>-</v>
      </c>
      <c r="T203" s="124">
        <f ca="1">OFFSET(CÁLCULO!H$15,ROW($T203)-ROW(T$15),0)</f>
        <v>69.45</v>
      </c>
      <c r="U203" s="125">
        <f t="shared" ca="1" si="54"/>
        <v>0</v>
      </c>
      <c r="V203" s="126" t="s">
        <v>156</v>
      </c>
      <c r="W203" s="124">
        <f ca="1">IF($C203="S",ROUND(IF(TIPOORCAMENTO="Proposto",ORÇAMENTO.CustoUnitario*(1+$AH203),ORÇAMENTO.PrecoUnitarioLicitado),15-13*$AF$10),0)</f>
        <v>0</v>
      </c>
      <c r="X203" s="127">
        <f ca="1">IF($C203="S",IF(Import.TipoArredondamento&lt;&gt;"TransfereGOV",VTOTAL1,SUM(OFFSET(CÁLCULO!$AA$15,ROW($X203)-ROW($X$15),1):OFFSET(CÁLCULO!$AL$15,ROW($X203)-ROW($X$15),-1))),IF($C203=0,0,ROUND(SomaAgrup,15-13*$AF$11)))</f>
        <v>0</v>
      </c>
      <c r="Y203" s="128" t="s">
        <v>245</v>
      </c>
      <c r="Z203" t="str">
        <f t="shared" ca="1" si="49"/>
        <v/>
      </c>
      <c r="AA203" s="129">
        <f ca="1">IF($C203="S",IF($Z203="CP",$X203,IF($Z203="RA",(($X203)*QCI!$AA$3),0)),SomaAgrup)</f>
        <v>0</v>
      </c>
      <c r="AB203" s="130">
        <f t="shared" ca="1" si="50"/>
        <v>0</v>
      </c>
      <c r="AC203" s="131" t="str">
        <f ca="1">IF($N203="","",IF(ORÇAMENTO.Descricao="","DESCRIÇÃO",IF(AND($C203="S",ORÇAMENTO.Unidade=""),"UNIDADE",IF($X203&lt;0,"VALOR NEGATIVO",IF(OR(AND(TIPOORCAMENTO="Proposto",$AG203&lt;&gt;"",$AG203&gt;0,ORÇAMENTO.CustoUnitario&gt;$AG203),AND(TIPOORCAMENTO="LICITADO",ORÇAMENTO.PrecoUnitarioLicitado&gt;$AN203)),"ACIMA REF.","")))))</f>
        <v/>
      </c>
      <c r="AD203" t="str">
        <f ca="1">IF(C203&lt;=CRONO.NivelExibicao,MAX($AD$15:OFFSET(AD203,-1,0))+IF($C203&lt;&gt;1,1,MAX(1,COUNTIF(QCI!$A$13:$A$24,OFFSET($E203,-1,0)))),"")</f>
        <v/>
      </c>
      <c r="AE203" s="7" t="str">
        <f ca="1">IF(AND($C203="S",ORÇAMENTO.CodBarra&lt;&gt;""),IF(ORÇAMENTO.Fonte="",ORÇAMENTO.CodBarra,CONCATENATE(ORÇAMENTO.Fonte," ",ORÇAMENTO.CodBarra)))</f>
        <v>Composição FNDE 37</v>
      </c>
      <c r="AF203" s="13" t="str">
        <f ca="1">IF(ISERROR(INDIRECT(ORÇAMENTO.BancoRef)),"(abra o arquivo 'Referência "&amp;Excel_BuiltIn_Database&amp;".xlsm)",IF(OR($C203&lt;&gt;"S",ORÇAMENTO.CodBarra=""),"(Sem Código)",IF(ISERROR(MATCH($AE203,INDIRECT(ORÇAMENTO.BancoRef),0)),"(Código não identificado nas referências)",MATCH($AE203,INDIRECT(ORÇAMENTO.BancoRef),0))))</f>
        <v>(abra o arquivo 'Referência 02-2025.xlsm)</v>
      </c>
      <c r="AG203" s="498">
        <f ca="1">ROUND(IF(DESONERACAO="sim",REFERENCIA.Desonerado,REFERENCIA.NaoDesonerado),2)</f>
        <v>0</v>
      </c>
      <c r="AH203" s="499">
        <f t="shared" ca="1" si="51"/>
        <v>0.22470000000000001</v>
      </c>
      <c r="AJ203" s="501">
        <v>69.45</v>
      </c>
      <c r="AL203" s="527"/>
      <c r="AM203" s="381">
        <f t="shared" ca="1" si="52"/>
        <v>0</v>
      </c>
      <c r="AN203" s="566">
        <f t="shared" ca="1" si="53"/>
        <v>0</v>
      </c>
    </row>
    <row r="204" spans="1:40" ht="25.5" x14ac:dyDescent="0.2">
      <c r="A204" t="str">
        <f t="shared" si="38"/>
        <v>S</v>
      </c>
      <c r="B204">
        <f t="shared" ca="1" si="39"/>
        <v>3</v>
      </c>
      <c r="C204" t="str">
        <f t="shared" ca="1" si="40"/>
        <v>S</v>
      </c>
      <c r="D204">
        <f t="shared" ca="1" si="41"/>
        <v>0</v>
      </c>
      <c r="E204">
        <f ca="1">IF($C204=1,OFFSET(E204,-1,0)+MAX(1,COUNTIF(QCI!$A$13:$A$24,OFFSET(ORÇAMENTO!E204,-1,0))),OFFSET(E204,-1,0))</f>
        <v>1</v>
      </c>
      <c r="F204">
        <f t="shared" ca="1" si="42"/>
        <v>9</v>
      </c>
      <c r="G204">
        <f t="shared" ca="1" si="43"/>
        <v>1</v>
      </c>
      <c r="H204">
        <f t="shared" ca="1" si="44"/>
        <v>0</v>
      </c>
      <c r="I204">
        <f t="shared" ca="1" si="45"/>
        <v>0</v>
      </c>
      <c r="J204">
        <f t="shared" ca="1" si="37"/>
        <v>0</v>
      </c>
      <c r="K204">
        <f ca="1">IF(OR($C204="S",$C204=0),0,MATCH(OFFSET($D204,0,$C204)+IF($C204&lt;&gt;1,1,COUNTIF(QCI!$A$13:$A$24,ORÇAMENTO!E204)),OFFSET($D204,1,$C204,ROW($C$747)-ROW($C204)),0))</f>
        <v>0</v>
      </c>
      <c r="L204" s="116" t="str">
        <f t="shared" ca="1" si="46"/>
        <v/>
      </c>
      <c r="M204" s="117" t="s">
        <v>199</v>
      </c>
      <c r="N204" s="118" t="str">
        <f t="shared" ca="1" si="47"/>
        <v>Serviço</v>
      </c>
      <c r="O204" s="119" t="str">
        <f t="shared" ca="1" si="48"/>
        <v>-</v>
      </c>
      <c r="P204" s="120" t="s">
        <v>247</v>
      </c>
      <c r="Q204" s="121" t="s">
        <v>493</v>
      </c>
      <c r="R204" s="122" t="str">
        <f ca="1">IF($C204="S",REFERENCIA.Descricao,"(digite a descrição aqui)")</f>
        <v>(abra o arquivo 'Referência 02-2025.xlsm)</v>
      </c>
      <c r="S204" s="123" t="str">
        <f ca="1">REFERENCIA.Unidade</f>
        <v>-</v>
      </c>
      <c r="T204" s="124">
        <f ca="1">OFFSET(CÁLCULO!H$15,ROW($T204)-ROW(T$15),0)</f>
        <v>471.12</v>
      </c>
      <c r="U204" s="125">
        <f t="shared" ca="1" si="54"/>
        <v>0</v>
      </c>
      <c r="V204" s="126" t="s">
        <v>156</v>
      </c>
      <c r="W204" s="124">
        <f ca="1">IF($C204="S",ROUND(IF(TIPOORCAMENTO="Proposto",ORÇAMENTO.CustoUnitario*(1+$AH204),ORÇAMENTO.PrecoUnitarioLicitado),15-13*$AF$10),0)</f>
        <v>0</v>
      </c>
      <c r="X204" s="127">
        <f ca="1">IF($C204="S",IF(Import.TipoArredondamento&lt;&gt;"TransfereGOV",VTOTAL1,SUM(OFFSET(CÁLCULO!$AA$15,ROW($X204)-ROW($X$15),1):OFFSET(CÁLCULO!$AL$15,ROW($X204)-ROW($X$15),-1))),IF($C204=0,0,ROUND(SomaAgrup,15-13*$AF$11)))</f>
        <v>0</v>
      </c>
      <c r="Y204" s="128" t="s">
        <v>245</v>
      </c>
      <c r="Z204" t="str">
        <f t="shared" ca="1" si="49"/>
        <v/>
      </c>
      <c r="AA204" s="129">
        <f ca="1">IF($C204="S",IF($Z204="CP",$X204,IF($Z204="RA",(($X204)*QCI!$AA$3),0)),SomaAgrup)</f>
        <v>0</v>
      </c>
      <c r="AB204" s="130">
        <f t="shared" ca="1" si="50"/>
        <v>0</v>
      </c>
      <c r="AC204" s="131" t="str">
        <f ca="1">IF($N204="","",IF(ORÇAMENTO.Descricao="","DESCRIÇÃO",IF(AND($C204="S",ORÇAMENTO.Unidade=""),"UNIDADE",IF($X204&lt;0,"VALOR NEGATIVO",IF(OR(AND(TIPOORCAMENTO="Proposto",$AG204&lt;&gt;"",$AG204&gt;0,ORÇAMENTO.CustoUnitario&gt;$AG204),AND(TIPOORCAMENTO="LICITADO",ORÇAMENTO.PrecoUnitarioLicitado&gt;$AN204)),"ACIMA REF.","")))))</f>
        <v/>
      </c>
      <c r="AD204" t="str">
        <f ca="1">IF(C204&lt;=CRONO.NivelExibicao,MAX($AD$15:OFFSET(AD204,-1,0))+IF($C204&lt;&gt;1,1,MAX(1,COUNTIF(QCI!$A$13:$A$24,OFFSET($E204,-1,0)))),"")</f>
        <v/>
      </c>
      <c r="AE204" s="7" t="str">
        <f ca="1">IF(AND($C204="S",ORÇAMENTO.CodBarra&lt;&gt;""),IF(ORÇAMENTO.Fonte="",ORÇAMENTO.CodBarra,CONCATENATE(ORÇAMENTO.Fonte," ",ORÇAMENTO.CodBarra)))</f>
        <v>SINAPI 96114</v>
      </c>
      <c r="AF204" s="13" t="str">
        <f ca="1">IF(ISERROR(INDIRECT(ORÇAMENTO.BancoRef)),"(abra o arquivo 'Referência "&amp;Excel_BuiltIn_Database&amp;".xlsm)",IF(OR($C204&lt;&gt;"S",ORÇAMENTO.CodBarra=""),"(Sem Código)",IF(ISERROR(MATCH($AE204,INDIRECT(ORÇAMENTO.BancoRef),0)),"(Código não identificado nas referências)",MATCH($AE204,INDIRECT(ORÇAMENTO.BancoRef),0))))</f>
        <v>(abra o arquivo 'Referência 02-2025.xlsm)</v>
      </c>
      <c r="AG204" s="498">
        <f ca="1">ROUND(IF(DESONERACAO="sim",REFERENCIA.Desonerado,REFERENCIA.NaoDesonerado),2)</f>
        <v>0</v>
      </c>
      <c r="AH204" s="499">
        <f t="shared" ca="1" si="51"/>
        <v>0.22470000000000001</v>
      </c>
      <c r="AJ204" s="501">
        <v>471.12</v>
      </c>
      <c r="AL204" s="527"/>
      <c r="AM204" s="381">
        <f t="shared" ca="1" si="52"/>
        <v>0</v>
      </c>
      <c r="AN204" s="566">
        <f t="shared" ca="1" si="53"/>
        <v>0</v>
      </c>
    </row>
    <row r="205" spans="1:40" ht="38.25" x14ac:dyDescent="0.2">
      <c r="A205" t="str">
        <f t="shared" si="38"/>
        <v>S</v>
      </c>
      <c r="B205">
        <f t="shared" ca="1" si="39"/>
        <v>3</v>
      </c>
      <c r="C205" t="str">
        <f t="shared" ca="1" si="40"/>
        <v>S</v>
      </c>
      <c r="D205">
        <f t="shared" ca="1" si="41"/>
        <v>0</v>
      </c>
      <c r="E205">
        <f ca="1">IF($C205=1,OFFSET(E205,-1,0)+MAX(1,COUNTIF(QCI!$A$13:$A$24,OFFSET(ORÇAMENTO!E205,-1,0))),OFFSET(E205,-1,0))</f>
        <v>1</v>
      </c>
      <c r="F205">
        <f t="shared" ca="1" si="42"/>
        <v>9</v>
      </c>
      <c r="G205">
        <f t="shared" ca="1" si="43"/>
        <v>1</v>
      </c>
      <c r="H205">
        <f t="shared" ca="1" si="44"/>
        <v>0</v>
      </c>
      <c r="I205">
        <f t="shared" ca="1" si="45"/>
        <v>0</v>
      </c>
      <c r="J205">
        <f t="shared" ca="1" si="37"/>
        <v>0</v>
      </c>
      <c r="K205">
        <f ca="1">IF(OR($C205="S",$C205=0),0,MATCH(OFFSET($D205,0,$C205)+IF($C205&lt;&gt;1,1,COUNTIF(QCI!$A$13:$A$24,ORÇAMENTO!E205)),OFFSET($D205,1,$C205,ROW($C$747)-ROW($C205)),0))</f>
        <v>0</v>
      </c>
      <c r="L205" s="116" t="str">
        <f t="shared" ca="1" si="46"/>
        <v/>
      </c>
      <c r="M205" s="117" t="s">
        <v>199</v>
      </c>
      <c r="N205" s="118" t="str">
        <f t="shared" ca="1" si="47"/>
        <v>Serviço</v>
      </c>
      <c r="O205" s="119" t="str">
        <f t="shared" ca="1" si="48"/>
        <v>-</v>
      </c>
      <c r="P205" s="120" t="s">
        <v>712</v>
      </c>
      <c r="Q205" s="121" t="s">
        <v>773</v>
      </c>
      <c r="R205" s="122" t="str">
        <f ca="1">IF($C205="S",REFERENCIA.Descricao,"(digite a descrição aqui)")</f>
        <v>(abra o arquivo 'Referência 02-2025.xlsm)</v>
      </c>
      <c r="S205" s="123" t="str">
        <f ca="1">REFERENCIA.Unidade</f>
        <v>-</v>
      </c>
      <c r="T205" s="124">
        <f ca="1">OFFSET(CÁLCULO!H$15,ROW($T205)-ROW(T$15),0)</f>
        <v>734.55</v>
      </c>
      <c r="U205" s="125">
        <f t="shared" ca="1" si="54"/>
        <v>0</v>
      </c>
      <c r="V205" s="126" t="s">
        <v>156</v>
      </c>
      <c r="W205" s="124">
        <f ca="1">IF($C205="S",ROUND(IF(TIPOORCAMENTO="Proposto",ORÇAMENTO.CustoUnitario*(1+$AH205),ORÇAMENTO.PrecoUnitarioLicitado),15-13*$AF$10),0)</f>
        <v>0</v>
      </c>
      <c r="X205" s="127">
        <f ca="1">IF($C205="S",IF(Import.TipoArredondamento&lt;&gt;"TransfereGOV",VTOTAL1,SUM(OFFSET(CÁLCULO!$AA$15,ROW($X205)-ROW($X$15),1):OFFSET(CÁLCULO!$AL$15,ROW($X205)-ROW($X$15),-1))),IF($C205=0,0,ROUND(SomaAgrup,15-13*$AF$11)))</f>
        <v>0</v>
      </c>
      <c r="Y205" s="128" t="s">
        <v>245</v>
      </c>
      <c r="Z205" t="str">
        <f t="shared" ca="1" si="49"/>
        <v/>
      </c>
      <c r="AA205" s="129">
        <f ca="1">IF($C205="S",IF($Z205="CP",$X205,IF($Z205="RA",(($X205)*QCI!$AA$3),0)),SomaAgrup)</f>
        <v>0</v>
      </c>
      <c r="AB205" s="130">
        <f t="shared" ca="1" si="50"/>
        <v>0</v>
      </c>
      <c r="AC205" s="131" t="str">
        <f ca="1">IF($N205="","",IF(ORÇAMENTO.Descricao="","DESCRIÇÃO",IF(AND($C205="S",ORÇAMENTO.Unidade=""),"UNIDADE",IF($X205&lt;0,"VALOR NEGATIVO",IF(OR(AND(TIPOORCAMENTO="Proposto",$AG205&lt;&gt;"",$AG205&gt;0,ORÇAMENTO.CustoUnitario&gt;$AG205),AND(TIPOORCAMENTO="LICITADO",ORÇAMENTO.PrecoUnitarioLicitado&gt;$AN205)),"ACIMA REF.","")))))</f>
        <v/>
      </c>
      <c r="AD205" t="str">
        <f ca="1">IF(C205&lt;=CRONO.NivelExibicao,MAX($AD$15:OFFSET(AD205,-1,0))+IF($C205&lt;&gt;1,1,MAX(1,COUNTIF(QCI!$A$13:$A$24,OFFSET($E205,-1,0)))),"")</f>
        <v/>
      </c>
      <c r="AE205" s="7" t="str">
        <f ca="1">IF(AND($C205="S",ORÇAMENTO.CodBarra&lt;&gt;""),IF(ORÇAMENTO.Fonte="",ORÇAMENTO.CodBarra,CONCATENATE(ORÇAMENTO.Fonte," ",ORÇAMENTO.CodBarra)))</f>
        <v>Composição FNDE 18</v>
      </c>
      <c r="AF205" s="13" t="str">
        <f ca="1">IF(ISERROR(INDIRECT(ORÇAMENTO.BancoRef)),"(abra o arquivo 'Referência "&amp;Excel_BuiltIn_Database&amp;".xlsm)",IF(OR($C205&lt;&gt;"S",ORÇAMENTO.CodBarra=""),"(Sem Código)",IF(ISERROR(MATCH($AE205,INDIRECT(ORÇAMENTO.BancoRef),0)),"(Código não identificado nas referências)",MATCH($AE205,INDIRECT(ORÇAMENTO.BancoRef),0))))</f>
        <v>(abra o arquivo 'Referência 02-2025.xlsm)</v>
      </c>
      <c r="AG205" s="498">
        <f ca="1">ROUND(IF(DESONERACAO="sim",REFERENCIA.Desonerado,REFERENCIA.NaoDesonerado),2)</f>
        <v>0</v>
      </c>
      <c r="AH205" s="499">
        <f t="shared" ca="1" si="51"/>
        <v>0.22470000000000001</v>
      </c>
      <c r="AJ205" s="501">
        <v>734.55</v>
      </c>
      <c r="AL205" s="527"/>
      <c r="AM205" s="381">
        <f t="shared" ca="1" si="52"/>
        <v>0</v>
      </c>
      <c r="AN205" s="566">
        <f t="shared" ca="1" si="53"/>
        <v>0</v>
      </c>
    </row>
    <row r="206" spans="1:40" x14ac:dyDescent="0.2">
      <c r="A206">
        <f t="shared" si="38"/>
        <v>2</v>
      </c>
      <c r="B206">
        <f t="shared" ca="1" si="39"/>
        <v>2</v>
      </c>
      <c r="C206">
        <f t="shared" ca="1" si="40"/>
        <v>2</v>
      </c>
      <c r="D206">
        <f t="shared" ca="1" si="41"/>
        <v>34</v>
      </c>
      <c r="E206">
        <f ca="1">IF($C206=1,OFFSET(E206,-1,0)+MAX(1,COUNTIF(QCI!$A$13:$A$24,OFFSET(ORÇAMENTO!E206,-1,0))),OFFSET(E206,-1,0))</f>
        <v>1</v>
      </c>
      <c r="F206">
        <f t="shared" ca="1" si="42"/>
        <v>10</v>
      </c>
      <c r="G206">
        <f t="shared" ca="1" si="43"/>
        <v>0</v>
      </c>
      <c r="H206">
        <f t="shared" ca="1" si="44"/>
        <v>0</v>
      </c>
      <c r="I206">
        <f t="shared" ca="1" si="45"/>
        <v>0</v>
      </c>
      <c r="J206">
        <f t="shared" ca="1" si="37"/>
        <v>541</v>
      </c>
      <c r="K206">
        <f ca="1">IF(OR($C206="S",$C206=0),0,MATCH(OFFSET($D206,0,$C206)+IF($C206&lt;&gt;1,1,COUNTIF(QCI!$A$13:$A$24,ORÇAMENTO!E206)),OFFSET($D206,1,$C206,ROW($C$747)-ROW($C206)),0))</f>
        <v>34</v>
      </c>
      <c r="L206" s="116" t="str">
        <f t="shared" ca="1" si="46"/>
        <v>F</v>
      </c>
      <c r="M206" s="117" t="s">
        <v>196</v>
      </c>
      <c r="N206" s="118" t="str">
        <f t="shared" ca="1" si="47"/>
        <v>Nível 2</v>
      </c>
      <c r="O206" s="119" t="str">
        <f t="shared" ca="1" si="48"/>
        <v>1.10.</v>
      </c>
      <c r="P206" s="120" t="s">
        <v>247</v>
      </c>
      <c r="Q206" s="121"/>
      <c r="R206" s="122" t="str">
        <f ca="1">IF($C206="S",REFERENCIA.Descricao,"SISTEMAS DE PISOS")</f>
        <v>SISTEMAS DE PISOS</v>
      </c>
      <c r="S206" s="123" t="str">
        <f ca="1">REFERENCIA.Unidade</f>
        <v>-</v>
      </c>
      <c r="T206" s="124">
        <f ca="1">OFFSET(CÁLCULO!H$15,ROW($T206)-ROW(T$15),0)</f>
        <v>0</v>
      </c>
      <c r="U206" s="125">
        <f t="shared" ca="1" si="54"/>
        <v>0</v>
      </c>
      <c r="V206" s="126" t="s">
        <v>156</v>
      </c>
      <c r="W206" s="124">
        <f ca="1">IF($C206="S",ROUND(IF(TIPOORCAMENTO="Proposto",ORÇAMENTO.CustoUnitario*(1+$AH206),ORÇAMENTO.PrecoUnitarioLicitado),15-13*$AF$10),0)</f>
        <v>0</v>
      </c>
      <c r="X206" s="127">
        <f ca="1">IF($C206="S",IF(Import.TipoArredondamento&lt;&gt;"TransfereGOV",VTOTAL1,SUM(OFFSET(CÁLCULO!$AA$15,ROW($X206)-ROW($X$15),1):OFFSET(CÁLCULO!$AL$15,ROW($X206)-ROW($X$15),-1))),IF($C206=0,0,ROUND(SomaAgrup,15-13*$AF$11)))</f>
        <v>0</v>
      </c>
      <c r="Y206" s="128" t="s">
        <v>245</v>
      </c>
      <c r="Z206" t="str">
        <f t="shared" ca="1" si="49"/>
        <v/>
      </c>
      <c r="AA206" s="129">
        <f ca="1">IF($C206="S",IF($Z206="CP",$X206,IF($Z206="RA",(($X206)*QCI!$AA$3),0)),SomaAgrup)</f>
        <v>0</v>
      </c>
      <c r="AB206" s="130">
        <f t="shared" ca="1" si="50"/>
        <v>0</v>
      </c>
      <c r="AC206" s="131" t="str">
        <f ca="1">IF($N206="","",IF(ORÇAMENTO.Descricao="","DESCRIÇÃO",IF(AND($C206="S",ORÇAMENTO.Unidade=""),"UNIDADE",IF($X206&lt;0,"VALOR NEGATIVO",IF(OR(AND(TIPOORCAMENTO="Proposto",$AG206&lt;&gt;"",$AG206&gt;0,ORÇAMENTO.CustoUnitario&gt;$AG206),AND(TIPOORCAMENTO="LICITADO",ORÇAMENTO.PrecoUnitarioLicitado&gt;$AN206)),"ACIMA REF.","")))))</f>
        <v/>
      </c>
      <c r="AD206">
        <f ca="1">IF(C206&lt;=CRONO.NivelExibicao,MAX($AD$15:OFFSET(AD206,-1,0))+IF($C206&lt;&gt;1,1,MAX(1,COUNTIF(QCI!$A$13:$A$24,OFFSET($E206,-1,0)))),"")</f>
        <v>11</v>
      </c>
      <c r="AE206" s="7" t="b">
        <f ca="1">IF(AND($C206="S",ORÇAMENTO.CodBarra&lt;&gt;""),IF(ORÇAMENTO.Fonte="",ORÇAMENTO.CodBarra,CONCATENATE(ORÇAMENTO.Fonte," ",ORÇAMENTO.CodBarra)))</f>
        <v>0</v>
      </c>
      <c r="AF206" s="13" t="str">
        <f ca="1">IF(ISERROR(INDIRECT(ORÇAMENTO.BancoRef)),"(abra o arquivo 'Referência "&amp;Excel_BuiltIn_Database&amp;".xlsm)",IF(OR($C206&lt;&gt;"S",ORÇAMENTO.CodBarra=""),"(Sem Código)",IF(ISERROR(MATCH($AE206,INDIRECT(ORÇAMENTO.BancoRef),0)),"(Código não identificado nas referências)",MATCH($AE206,INDIRECT(ORÇAMENTO.BancoRef),0))))</f>
        <v>(abra o arquivo 'Referência 02-2025.xlsm)</v>
      </c>
      <c r="AG206" s="498">
        <f ca="1">ROUND(IF(DESONERACAO="sim",REFERENCIA.Desonerado,REFERENCIA.NaoDesonerado),2)</f>
        <v>0</v>
      </c>
      <c r="AH206" s="499">
        <f t="shared" ca="1" si="51"/>
        <v>0.22470000000000001</v>
      </c>
      <c r="AJ206" s="501"/>
      <c r="AL206" s="527"/>
      <c r="AM206" s="381">
        <f t="shared" ca="1" si="52"/>
        <v>0</v>
      </c>
      <c r="AN206" s="566">
        <f t="shared" ca="1" si="53"/>
        <v>0</v>
      </c>
    </row>
    <row r="207" spans="1:40" x14ac:dyDescent="0.2">
      <c r="A207">
        <f t="shared" si="38"/>
        <v>3</v>
      </c>
      <c r="B207">
        <f t="shared" ca="1" si="39"/>
        <v>3</v>
      </c>
      <c r="C207">
        <f t="shared" ca="1" si="40"/>
        <v>3</v>
      </c>
      <c r="D207">
        <f t="shared" ca="1" si="41"/>
        <v>6</v>
      </c>
      <c r="E207">
        <f ca="1">IF($C207=1,OFFSET(E207,-1,0)+MAX(1,COUNTIF(QCI!$A$13:$A$24,OFFSET(ORÇAMENTO!E207,-1,0))),OFFSET(E207,-1,0))</f>
        <v>1</v>
      </c>
      <c r="F207">
        <f t="shared" ca="1" si="42"/>
        <v>10</v>
      </c>
      <c r="G207">
        <f t="shared" ca="1" si="43"/>
        <v>1</v>
      </c>
      <c r="H207">
        <f t="shared" ca="1" si="44"/>
        <v>0</v>
      </c>
      <c r="I207">
        <f t="shared" ca="1" si="45"/>
        <v>0</v>
      </c>
      <c r="J207">
        <f t="shared" ca="1" si="37"/>
        <v>33</v>
      </c>
      <c r="K207">
        <f ca="1">IF(OR($C207="S",$C207=0),0,MATCH(OFFSET($D207,0,$C207)+IF($C207&lt;&gt;1,1,COUNTIF(QCI!$A$13:$A$24,ORÇAMENTO!E207)),OFFSET($D207,1,$C207,ROW($C$747)-ROW($C207)),0))</f>
        <v>6</v>
      </c>
      <c r="L207" s="116" t="str">
        <f t="shared" ca="1" si="46"/>
        <v>F</v>
      </c>
      <c r="M207" s="117" t="s">
        <v>197</v>
      </c>
      <c r="N207" s="118" t="str">
        <f t="shared" ca="1" si="47"/>
        <v>Nível 3</v>
      </c>
      <c r="O207" s="119" t="str">
        <f t="shared" ca="1" si="48"/>
        <v>1.10.1.</v>
      </c>
      <c r="P207" s="120" t="s">
        <v>247</v>
      </c>
      <c r="Q207" s="121"/>
      <c r="R207" s="122" t="s">
        <v>920</v>
      </c>
      <c r="S207" s="123" t="str">
        <f ca="1">REFERENCIA.Unidade</f>
        <v>-</v>
      </c>
      <c r="T207" s="124">
        <f ca="1">OFFSET(CÁLCULO!H$15,ROW($T207)-ROW(T$15),0)</f>
        <v>0</v>
      </c>
      <c r="U207" s="125">
        <f t="shared" ca="1" si="54"/>
        <v>0</v>
      </c>
      <c r="V207" s="126" t="s">
        <v>156</v>
      </c>
      <c r="W207" s="124">
        <f ca="1">IF($C207="S",ROUND(IF(TIPOORCAMENTO="Proposto",ORÇAMENTO.CustoUnitario*(1+$AH207),ORÇAMENTO.PrecoUnitarioLicitado),15-13*$AF$10),0)</f>
        <v>0</v>
      </c>
      <c r="X207" s="127">
        <f ca="1">IF($C207="S",IF(Import.TipoArredondamento&lt;&gt;"TransfereGOV",VTOTAL1,SUM(OFFSET(CÁLCULO!$AA$15,ROW($X207)-ROW($X$15),1):OFFSET(CÁLCULO!$AL$15,ROW($X207)-ROW($X$15),-1))),IF($C207=0,0,ROUND(SomaAgrup,15-13*$AF$11)))</f>
        <v>0</v>
      </c>
      <c r="Y207" s="128" t="s">
        <v>245</v>
      </c>
      <c r="Z207" t="str">
        <f t="shared" ca="1" si="49"/>
        <v/>
      </c>
      <c r="AA207" s="129">
        <f ca="1">IF($C207="S",IF($Z207="CP",$X207,IF($Z207="RA",(($X207)*QCI!$AA$3),0)),SomaAgrup)</f>
        <v>0</v>
      </c>
      <c r="AB207" s="130">
        <f t="shared" ca="1" si="50"/>
        <v>0</v>
      </c>
      <c r="AC207" s="131" t="str">
        <f ca="1">IF($N207="","",IF(ORÇAMENTO.Descricao="","DESCRIÇÃO",IF(AND($C207="S",ORÇAMENTO.Unidade=""),"UNIDADE",IF($X207&lt;0,"VALOR NEGATIVO",IF(OR(AND(TIPOORCAMENTO="Proposto",$AG207&lt;&gt;"",$AG207&gt;0,ORÇAMENTO.CustoUnitario&gt;$AG207),AND(TIPOORCAMENTO="LICITADO",ORÇAMENTO.PrecoUnitarioLicitado&gt;$AN207)),"ACIMA REF.","")))))</f>
        <v/>
      </c>
      <c r="AD207" t="str">
        <f ca="1">IF(C207&lt;=CRONO.NivelExibicao,MAX($AD$15:OFFSET(AD207,-1,0))+IF($C207&lt;&gt;1,1,MAX(1,COUNTIF(QCI!$A$13:$A$24,OFFSET($E207,-1,0)))),"")</f>
        <v/>
      </c>
      <c r="AE207" s="7" t="b">
        <f ca="1">IF(AND($C207="S",ORÇAMENTO.CodBarra&lt;&gt;""),IF(ORÇAMENTO.Fonte="",ORÇAMENTO.CodBarra,CONCATENATE(ORÇAMENTO.Fonte," ",ORÇAMENTO.CodBarra)))</f>
        <v>0</v>
      </c>
      <c r="AF207" s="13" t="str">
        <f ca="1">IF(ISERROR(INDIRECT(ORÇAMENTO.BancoRef)),"(abra o arquivo 'Referência "&amp;Excel_BuiltIn_Database&amp;".xlsm)",IF(OR($C207&lt;&gt;"S",ORÇAMENTO.CodBarra=""),"(Sem Código)",IF(ISERROR(MATCH($AE207,INDIRECT(ORÇAMENTO.BancoRef),0)),"(Código não identificado nas referências)",MATCH($AE207,INDIRECT(ORÇAMENTO.BancoRef),0))))</f>
        <v>(abra o arquivo 'Referência 02-2025.xlsm)</v>
      </c>
      <c r="AG207" s="498">
        <f ca="1">ROUND(IF(DESONERACAO="sim",REFERENCIA.Desonerado,REFERENCIA.NaoDesonerado),2)</f>
        <v>0</v>
      </c>
      <c r="AH207" s="499">
        <f t="shared" ca="1" si="51"/>
        <v>0.22470000000000001</v>
      </c>
      <c r="AJ207" s="501"/>
      <c r="AL207" s="527"/>
      <c r="AM207" s="381">
        <f t="shared" ca="1" si="52"/>
        <v>0</v>
      </c>
      <c r="AN207" s="566">
        <f t="shared" ca="1" si="53"/>
        <v>0</v>
      </c>
    </row>
    <row r="208" spans="1:40" ht="38.25" x14ac:dyDescent="0.2">
      <c r="A208" t="str">
        <f t="shared" si="38"/>
        <v>S</v>
      </c>
      <c r="B208">
        <f t="shared" ca="1" si="39"/>
        <v>3</v>
      </c>
      <c r="C208" t="str">
        <f t="shared" ca="1" si="40"/>
        <v>S</v>
      </c>
      <c r="D208">
        <f t="shared" ca="1" si="41"/>
        <v>0</v>
      </c>
      <c r="E208">
        <f ca="1">IF($C208=1,OFFSET(E208,-1,0)+MAX(1,COUNTIF(QCI!$A$13:$A$24,OFFSET(ORÇAMENTO!E208,-1,0))),OFFSET(E208,-1,0))</f>
        <v>1</v>
      </c>
      <c r="F208">
        <f t="shared" ca="1" si="42"/>
        <v>10</v>
      </c>
      <c r="G208">
        <f t="shared" ca="1" si="43"/>
        <v>1</v>
      </c>
      <c r="H208">
        <f t="shared" ca="1" si="44"/>
        <v>0</v>
      </c>
      <c r="I208">
        <f t="shared" ca="1" si="45"/>
        <v>0</v>
      </c>
      <c r="J208">
        <f t="shared" ref="J208:J271" ca="1" si="55">IF(OR($C208="S",$C208=0),0,MATCH(0,OFFSET($D208,1,$C208,ROW($C$747)-ROW($C208)),0))</f>
        <v>0</v>
      </c>
      <c r="K208">
        <f ca="1">IF(OR($C208="S",$C208=0),0,MATCH(OFFSET($D208,0,$C208)+IF($C208&lt;&gt;1,1,COUNTIF(QCI!$A$13:$A$24,ORÇAMENTO!E208)),OFFSET($D208,1,$C208,ROW($C$747)-ROW($C208)),0))</f>
        <v>0</v>
      </c>
      <c r="L208" s="116" t="str">
        <f t="shared" ca="1" si="46"/>
        <v/>
      </c>
      <c r="M208" s="117" t="s">
        <v>199</v>
      </c>
      <c r="N208" s="118" t="str">
        <f t="shared" ca="1" si="47"/>
        <v>Serviço</v>
      </c>
      <c r="O208" s="119" t="str">
        <f t="shared" ca="1" si="48"/>
        <v>-</v>
      </c>
      <c r="P208" s="120" t="s">
        <v>247</v>
      </c>
      <c r="Q208" s="121" t="s">
        <v>475</v>
      </c>
      <c r="R208" s="122" t="str">
        <f ca="1">IF($C208="S",REFERENCIA.Descricao,"(digite a descrição aqui)")</f>
        <v>(abra o arquivo 'Referência 02-2025.xlsm)</v>
      </c>
      <c r="S208" s="123" t="str">
        <f ca="1">REFERENCIA.Unidade</f>
        <v>-</v>
      </c>
      <c r="T208" s="124">
        <f ca="1">OFFSET(CÁLCULO!H$15,ROW($T208)-ROW(T$15),0)</f>
        <v>1349.85</v>
      </c>
      <c r="U208" s="125">
        <f t="shared" ca="1" si="54"/>
        <v>0</v>
      </c>
      <c r="V208" s="126" t="s">
        <v>156</v>
      </c>
      <c r="W208" s="124">
        <f ca="1">IF($C208="S",ROUND(IF(TIPOORCAMENTO="Proposto",ORÇAMENTO.CustoUnitario*(1+$AH208),ORÇAMENTO.PrecoUnitarioLicitado),15-13*$AF$10),0)</f>
        <v>0</v>
      </c>
      <c r="X208" s="127">
        <f ca="1">IF($C208="S",IF(Import.TipoArredondamento&lt;&gt;"TransfereGOV",VTOTAL1,SUM(OFFSET(CÁLCULO!$AA$15,ROW($X208)-ROW($X$15),1):OFFSET(CÁLCULO!$AL$15,ROW($X208)-ROW($X$15),-1))),IF($C208=0,0,ROUND(SomaAgrup,15-13*$AF$11)))</f>
        <v>0</v>
      </c>
      <c r="Y208" s="128" t="s">
        <v>245</v>
      </c>
      <c r="Z208" t="str">
        <f t="shared" ca="1" si="49"/>
        <v/>
      </c>
      <c r="AA208" s="129">
        <f ca="1">IF($C208="S",IF($Z208="CP",$X208,IF($Z208="RA",(($X208)*QCI!$AA$3),0)),SomaAgrup)</f>
        <v>0</v>
      </c>
      <c r="AB208" s="130">
        <f t="shared" ca="1" si="50"/>
        <v>0</v>
      </c>
      <c r="AC208" s="131" t="str">
        <f ca="1">IF($N208="","",IF(ORÇAMENTO.Descricao="","DESCRIÇÃO",IF(AND($C208="S",ORÇAMENTO.Unidade=""),"UNIDADE",IF($X208&lt;0,"VALOR NEGATIVO",IF(OR(AND(TIPOORCAMENTO="Proposto",$AG208&lt;&gt;"",$AG208&gt;0,ORÇAMENTO.CustoUnitario&gt;$AG208),AND(TIPOORCAMENTO="LICITADO",ORÇAMENTO.PrecoUnitarioLicitado&gt;$AN208)),"ACIMA REF.","")))))</f>
        <v/>
      </c>
      <c r="AD208" t="str">
        <f ca="1">IF(C208&lt;=CRONO.NivelExibicao,MAX($AD$15:OFFSET(AD208,-1,0))+IF($C208&lt;&gt;1,1,MAX(1,COUNTIF(QCI!$A$13:$A$24,OFFSET($E208,-1,0)))),"")</f>
        <v/>
      </c>
      <c r="AE208" s="7" t="str">
        <f ca="1">IF(AND($C208="S",ORÇAMENTO.CodBarra&lt;&gt;""),IF(ORÇAMENTO.Fonte="",ORÇAMENTO.CodBarra,CONCATENATE(ORÇAMENTO.Fonte," ",ORÇAMENTO.CodBarra)))</f>
        <v>SINAPI 97083</v>
      </c>
      <c r="AF208" s="13" t="str">
        <f ca="1">IF(ISERROR(INDIRECT(ORÇAMENTO.BancoRef)),"(abra o arquivo 'Referência "&amp;Excel_BuiltIn_Database&amp;".xlsm)",IF(OR($C208&lt;&gt;"S",ORÇAMENTO.CodBarra=""),"(Sem Código)",IF(ISERROR(MATCH($AE208,INDIRECT(ORÇAMENTO.BancoRef),0)),"(Código não identificado nas referências)",MATCH($AE208,INDIRECT(ORÇAMENTO.BancoRef),0))))</f>
        <v>(abra o arquivo 'Referência 02-2025.xlsm)</v>
      </c>
      <c r="AG208" s="498">
        <f ca="1">ROUND(IF(DESONERACAO="sim",REFERENCIA.Desonerado,REFERENCIA.NaoDesonerado),2)</f>
        <v>0</v>
      </c>
      <c r="AH208" s="499">
        <f t="shared" ca="1" si="51"/>
        <v>0.22470000000000001</v>
      </c>
      <c r="AJ208" s="501">
        <v>1349.85</v>
      </c>
      <c r="AL208" s="527"/>
      <c r="AM208" s="381">
        <f t="shared" ca="1" si="52"/>
        <v>0</v>
      </c>
      <c r="AN208" s="566">
        <f t="shared" ca="1" si="53"/>
        <v>0</v>
      </c>
    </row>
    <row r="209" spans="1:40" ht="38.25" x14ac:dyDescent="0.2">
      <c r="A209" t="str">
        <f t="shared" si="38"/>
        <v>S</v>
      </c>
      <c r="B209">
        <f t="shared" ca="1" si="39"/>
        <v>3</v>
      </c>
      <c r="C209" t="str">
        <f t="shared" ca="1" si="40"/>
        <v>S</v>
      </c>
      <c r="D209">
        <f t="shared" ca="1" si="41"/>
        <v>0</v>
      </c>
      <c r="E209">
        <f ca="1">IF($C209=1,OFFSET(E209,-1,0)+MAX(1,COUNTIF(QCI!$A$13:$A$24,OFFSET(ORÇAMENTO!E209,-1,0))),OFFSET(E209,-1,0))</f>
        <v>1</v>
      </c>
      <c r="F209">
        <f t="shared" ca="1" si="42"/>
        <v>10</v>
      </c>
      <c r="G209">
        <f t="shared" ca="1" si="43"/>
        <v>1</v>
      </c>
      <c r="H209">
        <f t="shared" ca="1" si="44"/>
        <v>0</v>
      </c>
      <c r="I209">
        <f t="shared" ca="1" si="45"/>
        <v>0</v>
      </c>
      <c r="J209">
        <f t="shared" ca="1" si="55"/>
        <v>0</v>
      </c>
      <c r="K209">
        <f ca="1">IF(OR($C209="S",$C209=0),0,MATCH(OFFSET($D209,0,$C209)+IF($C209&lt;&gt;1,1,COUNTIF(QCI!$A$13:$A$24,ORÇAMENTO!E209)),OFFSET($D209,1,$C209,ROW($C$747)-ROW($C209)),0))</f>
        <v>0</v>
      </c>
      <c r="L209" s="116" t="str">
        <f t="shared" ca="1" si="46"/>
        <v/>
      </c>
      <c r="M209" s="117" t="s">
        <v>199</v>
      </c>
      <c r="N209" s="118" t="str">
        <f t="shared" ca="1" si="47"/>
        <v>Serviço</v>
      </c>
      <c r="O209" s="119" t="str">
        <f t="shared" ca="1" si="48"/>
        <v>-</v>
      </c>
      <c r="P209" s="120" t="s">
        <v>247</v>
      </c>
      <c r="Q209" s="121" t="s">
        <v>900</v>
      </c>
      <c r="R209" s="122" t="str">
        <f ca="1">IF($C209="S",REFERENCIA.Descricao,"(digite a descrição aqui)")</f>
        <v>(abra o arquivo 'Referência 02-2025.xlsm)</v>
      </c>
      <c r="S209" s="123" t="str">
        <f ca="1">REFERENCIA.Unidade</f>
        <v>-</v>
      </c>
      <c r="T209" s="124">
        <f ca="1">OFFSET(CÁLCULO!H$15,ROW($T209)-ROW(T$15),0)</f>
        <v>134.97999999999999</v>
      </c>
      <c r="U209" s="125">
        <f t="shared" ca="1" si="54"/>
        <v>0</v>
      </c>
      <c r="V209" s="126" t="s">
        <v>156</v>
      </c>
      <c r="W209" s="124">
        <f ca="1">IF($C209="S",ROUND(IF(TIPOORCAMENTO="Proposto",ORÇAMENTO.CustoUnitario*(1+$AH209),ORÇAMENTO.PrecoUnitarioLicitado),15-13*$AF$10),0)</f>
        <v>0</v>
      </c>
      <c r="X209" s="127">
        <f ca="1">IF($C209="S",IF(Import.TipoArredondamento&lt;&gt;"TransfereGOV",VTOTAL1,SUM(OFFSET(CÁLCULO!$AA$15,ROW($X209)-ROW($X$15),1):OFFSET(CÁLCULO!$AL$15,ROW($X209)-ROW($X$15),-1))),IF($C209=0,0,ROUND(SomaAgrup,15-13*$AF$11)))</f>
        <v>0</v>
      </c>
      <c r="Y209" s="128" t="s">
        <v>245</v>
      </c>
      <c r="Z209" t="str">
        <f t="shared" ca="1" si="49"/>
        <v/>
      </c>
      <c r="AA209" s="129">
        <f ca="1">IF($C209="S",IF($Z209="CP",$X209,IF($Z209="RA",(($X209)*QCI!$AA$3),0)),SomaAgrup)</f>
        <v>0</v>
      </c>
      <c r="AB209" s="130">
        <f t="shared" ca="1" si="50"/>
        <v>0</v>
      </c>
      <c r="AC209" s="131" t="str">
        <f ca="1">IF($N209="","",IF(ORÇAMENTO.Descricao="","DESCRIÇÃO",IF(AND($C209="S",ORÇAMENTO.Unidade=""),"UNIDADE",IF($X209&lt;0,"VALOR NEGATIVO",IF(OR(AND(TIPOORCAMENTO="Proposto",$AG209&lt;&gt;"",$AG209&gt;0,ORÇAMENTO.CustoUnitario&gt;$AG209),AND(TIPOORCAMENTO="LICITADO",ORÇAMENTO.PrecoUnitarioLicitado&gt;$AN209)),"ACIMA REF.","")))))</f>
        <v/>
      </c>
      <c r="AD209" t="str">
        <f ca="1">IF(C209&lt;=CRONO.NivelExibicao,MAX($AD$15:OFFSET(AD209,-1,0))+IF($C209&lt;&gt;1,1,MAX(1,COUNTIF(QCI!$A$13:$A$24,OFFSET($E209,-1,0)))),"")</f>
        <v/>
      </c>
      <c r="AE209" s="7" t="str">
        <f ca="1">IF(AND($C209="S",ORÇAMENTO.CodBarra&lt;&gt;""),IF(ORÇAMENTO.Fonte="",ORÇAMENTO.CodBarra,CONCATENATE(ORÇAMENTO.Fonte," ",ORÇAMENTO.CodBarra)))</f>
        <v>SINAPI 96624</v>
      </c>
      <c r="AF209" s="13" t="str">
        <f ca="1">IF(ISERROR(INDIRECT(ORÇAMENTO.BancoRef)),"(abra o arquivo 'Referência "&amp;Excel_BuiltIn_Database&amp;".xlsm)",IF(OR($C209&lt;&gt;"S",ORÇAMENTO.CodBarra=""),"(Sem Código)",IF(ISERROR(MATCH($AE209,INDIRECT(ORÇAMENTO.BancoRef),0)),"(Código não identificado nas referências)",MATCH($AE209,INDIRECT(ORÇAMENTO.BancoRef),0))))</f>
        <v>(abra o arquivo 'Referência 02-2025.xlsm)</v>
      </c>
      <c r="AG209" s="498">
        <f ca="1">ROUND(IF(DESONERACAO="sim",REFERENCIA.Desonerado,REFERENCIA.NaoDesonerado),2)</f>
        <v>0</v>
      </c>
      <c r="AH209" s="499">
        <f t="shared" ca="1" si="51"/>
        <v>0.22470000000000001</v>
      </c>
      <c r="AJ209" s="501">
        <v>134.97999999999999</v>
      </c>
      <c r="AL209" s="527"/>
      <c r="AM209" s="381">
        <f t="shared" ca="1" si="52"/>
        <v>0</v>
      </c>
      <c r="AN209" s="566">
        <f t="shared" ca="1" si="53"/>
        <v>0</v>
      </c>
    </row>
    <row r="210" spans="1:40" ht="25.5" x14ac:dyDescent="0.2">
      <c r="A210" t="str">
        <f t="shared" si="38"/>
        <v>S</v>
      </c>
      <c r="B210">
        <f t="shared" ca="1" si="39"/>
        <v>3</v>
      </c>
      <c r="C210" t="str">
        <f t="shared" ca="1" si="40"/>
        <v>S</v>
      </c>
      <c r="D210">
        <f t="shared" ca="1" si="41"/>
        <v>0</v>
      </c>
      <c r="E210">
        <f ca="1">IF($C210=1,OFFSET(E210,-1,0)+MAX(1,COUNTIF(QCI!$A$13:$A$24,OFFSET(ORÇAMENTO!E210,-1,0))),OFFSET(E210,-1,0))</f>
        <v>1</v>
      </c>
      <c r="F210">
        <f t="shared" ca="1" si="42"/>
        <v>10</v>
      </c>
      <c r="G210">
        <f t="shared" ca="1" si="43"/>
        <v>1</v>
      </c>
      <c r="H210">
        <f t="shared" ca="1" si="44"/>
        <v>0</v>
      </c>
      <c r="I210">
        <f t="shared" ca="1" si="45"/>
        <v>0</v>
      </c>
      <c r="J210">
        <f t="shared" ca="1" si="55"/>
        <v>0</v>
      </c>
      <c r="K210">
        <f ca="1">IF(OR($C210="S",$C210=0),0,MATCH(OFFSET($D210,0,$C210)+IF($C210&lt;&gt;1,1,COUNTIF(QCI!$A$13:$A$24,ORÇAMENTO!E210)),OFFSET($D210,1,$C210,ROW($C$747)-ROW($C210)),0))</f>
        <v>0</v>
      </c>
      <c r="L210" s="116" t="str">
        <f t="shared" ca="1" si="46"/>
        <v/>
      </c>
      <c r="M210" s="117" t="s">
        <v>199</v>
      </c>
      <c r="N210" s="118" t="str">
        <f t="shared" ca="1" si="47"/>
        <v>Serviço</v>
      </c>
      <c r="O210" s="119" t="str">
        <f t="shared" ca="1" si="48"/>
        <v>-</v>
      </c>
      <c r="P210" s="120" t="s">
        <v>247</v>
      </c>
      <c r="Q210" s="121" t="s">
        <v>476</v>
      </c>
      <c r="R210" s="122" t="str">
        <f ca="1">IF($C210="S",REFERENCIA.Descricao,"(digite a descrição aqui)")</f>
        <v>(abra o arquivo 'Referência 02-2025.xlsm)</v>
      </c>
      <c r="S210" s="123" t="str">
        <f ca="1">REFERENCIA.Unidade</f>
        <v>-</v>
      </c>
      <c r="T210" s="124">
        <f ca="1">OFFSET(CÁLCULO!H$15,ROW($T210)-ROW(T$15),0)</f>
        <v>1349.85</v>
      </c>
      <c r="U210" s="125">
        <f t="shared" ca="1" si="54"/>
        <v>0</v>
      </c>
      <c r="V210" s="126" t="s">
        <v>156</v>
      </c>
      <c r="W210" s="124">
        <f ca="1">IF($C210="S",ROUND(IF(TIPOORCAMENTO="Proposto",ORÇAMENTO.CustoUnitario*(1+$AH210),ORÇAMENTO.PrecoUnitarioLicitado),15-13*$AF$10),0)</f>
        <v>0</v>
      </c>
      <c r="X210" s="127">
        <f ca="1">IF($C210="S",IF(Import.TipoArredondamento&lt;&gt;"TransfereGOV",VTOTAL1,SUM(OFFSET(CÁLCULO!$AA$15,ROW($X210)-ROW($X$15),1):OFFSET(CÁLCULO!$AL$15,ROW($X210)-ROW($X$15),-1))),IF($C210=0,0,ROUND(SomaAgrup,15-13*$AF$11)))</f>
        <v>0</v>
      </c>
      <c r="Y210" s="128" t="s">
        <v>245</v>
      </c>
      <c r="Z210" t="str">
        <f t="shared" ca="1" si="49"/>
        <v/>
      </c>
      <c r="AA210" s="129">
        <f ca="1">IF($C210="S",IF($Z210="CP",$X210,IF($Z210="RA",(($X210)*QCI!$AA$3),0)),SomaAgrup)</f>
        <v>0</v>
      </c>
      <c r="AB210" s="130">
        <f t="shared" ca="1" si="50"/>
        <v>0</v>
      </c>
      <c r="AC210" s="131" t="str">
        <f ca="1">IF($N210="","",IF(ORÇAMENTO.Descricao="","DESCRIÇÃO",IF(AND($C210="S",ORÇAMENTO.Unidade=""),"UNIDADE",IF($X210&lt;0,"VALOR NEGATIVO",IF(OR(AND(TIPOORCAMENTO="Proposto",$AG210&lt;&gt;"",$AG210&gt;0,ORÇAMENTO.CustoUnitario&gt;$AG210),AND(TIPOORCAMENTO="LICITADO",ORÇAMENTO.PrecoUnitarioLicitado&gt;$AN210)),"ACIMA REF.","")))))</f>
        <v/>
      </c>
      <c r="AD210" t="str">
        <f ca="1">IF(C210&lt;=CRONO.NivelExibicao,MAX($AD$15:OFFSET(AD210,-1,0))+IF($C210&lt;&gt;1,1,MAX(1,COUNTIF(QCI!$A$13:$A$24,OFFSET($E210,-1,0)))),"")</f>
        <v/>
      </c>
      <c r="AE210" s="7" t="str">
        <f ca="1">IF(AND($C210="S",ORÇAMENTO.CodBarra&lt;&gt;""),IF(ORÇAMENTO.Fonte="",ORÇAMENTO.CodBarra,CONCATENATE(ORÇAMENTO.Fonte," ",ORÇAMENTO.CodBarra)))</f>
        <v>SINAPI 97087</v>
      </c>
      <c r="AF210" s="13" t="str">
        <f ca="1">IF(ISERROR(INDIRECT(ORÇAMENTO.BancoRef)),"(abra o arquivo 'Referência "&amp;Excel_BuiltIn_Database&amp;".xlsm)",IF(OR($C210&lt;&gt;"S",ORÇAMENTO.CodBarra=""),"(Sem Código)",IF(ISERROR(MATCH($AE210,INDIRECT(ORÇAMENTO.BancoRef),0)),"(Código não identificado nas referências)",MATCH($AE210,INDIRECT(ORÇAMENTO.BancoRef),0))))</f>
        <v>(abra o arquivo 'Referência 02-2025.xlsm)</v>
      </c>
      <c r="AG210" s="498">
        <f ca="1">ROUND(IF(DESONERACAO="sim",REFERENCIA.Desonerado,REFERENCIA.NaoDesonerado),2)</f>
        <v>0</v>
      </c>
      <c r="AH210" s="499">
        <f t="shared" ca="1" si="51"/>
        <v>0.22470000000000001</v>
      </c>
      <c r="AJ210" s="501">
        <v>1349.85</v>
      </c>
      <c r="AL210" s="527"/>
      <c r="AM210" s="381">
        <f t="shared" ca="1" si="52"/>
        <v>0</v>
      </c>
      <c r="AN210" s="566">
        <f t="shared" ca="1" si="53"/>
        <v>0</v>
      </c>
    </row>
    <row r="211" spans="1:40" ht="25.5" x14ac:dyDescent="0.2">
      <c r="A211" t="str">
        <f t="shared" si="38"/>
        <v>S</v>
      </c>
      <c r="B211">
        <f t="shared" ca="1" si="39"/>
        <v>3</v>
      </c>
      <c r="C211" t="str">
        <f t="shared" ca="1" si="40"/>
        <v>S</v>
      </c>
      <c r="D211">
        <f t="shared" ca="1" si="41"/>
        <v>0</v>
      </c>
      <c r="E211">
        <f ca="1">IF($C211=1,OFFSET(E211,-1,0)+MAX(1,COUNTIF(QCI!$A$13:$A$24,OFFSET(ORÇAMENTO!E211,-1,0))),OFFSET(E211,-1,0))</f>
        <v>1</v>
      </c>
      <c r="F211">
        <f t="shared" ca="1" si="42"/>
        <v>10</v>
      </c>
      <c r="G211">
        <f t="shared" ca="1" si="43"/>
        <v>1</v>
      </c>
      <c r="H211">
        <f t="shared" ca="1" si="44"/>
        <v>0</v>
      </c>
      <c r="I211">
        <f t="shared" ca="1" si="45"/>
        <v>0</v>
      </c>
      <c r="J211">
        <f t="shared" ca="1" si="55"/>
        <v>0</v>
      </c>
      <c r="K211">
        <f ca="1">IF(OR($C211="S",$C211=0),0,MATCH(OFFSET($D211,0,$C211)+IF($C211&lt;&gt;1,1,COUNTIF(QCI!$A$13:$A$24,ORÇAMENTO!E211)),OFFSET($D211,1,$C211,ROW($C$747)-ROW($C211)),0))</f>
        <v>0</v>
      </c>
      <c r="L211" s="116" t="str">
        <f t="shared" ca="1" si="46"/>
        <v/>
      </c>
      <c r="M211" s="117" t="s">
        <v>199</v>
      </c>
      <c r="N211" s="118" t="str">
        <f t="shared" ca="1" si="47"/>
        <v>Serviço</v>
      </c>
      <c r="O211" s="119" t="str">
        <f t="shared" ca="1" si="48"/>
        <v>-</v>
      </c>
      <c r="P211" s="120" t="s">
        <v>247</v>
      </c>
      <c r="Q211" s="121" t="s">
        <v>921</v>
      </c>
      <c r="R211" s="122" t="str">
        <f ca="1">IF($C211="S",REFERENCIA.Descricao,"(digite a descrição aqui)")</f>
        <v>(abra o arquivo 'Referência 02-2025.xlsm)</v>
      </c>
      <c r="S211" s="123" t="str">
        <f ca="1">REFERENCIA.Unidade</f>
        <v>-</v>
      </c>
      <c r="T211" s="124">
        <f ca="1">OFFSET(CÁLCULO!H$15,ROW($T211)-ROW(T$15),0)</f>
        <v>1997.78</v>
      </c>
      <c r="U211" s="125">
        <f t="shared" ca="1" si="54"/>
        <v>0</v>
      </c>
      <c r="V211" s="126" t="s">
        <v>156</v>
      </c>
      <c r="W211" s="124">
        <f ca="1">IF($C211="S",ROUND(IF(TIPOORCAMENTO="Proposto",ORÇAMENTO.CustoUnitario*(1+$AH211),ORÇAMENTO.PrecoUnitarioLicitado),15-13*$AF$10),0)</f>
        <v>0</v>
      </c>
      <c r="X211" s="127">
        <f ca="1">IF($C211="S",IF(Import.TipoArredondamento&lt;&gt;"TransfereGOV",VTOTAL1,SUM(OFFSET(CÁLCULO!$AA$15,ROW($X211)-ROW($X$15),1):OFFSET(CÁLCULO!$AL$15,ROW($X211)-ROW($X$15),-1))),IF($C211=0,0,ROUND(SomaAgrup,15-13*$AF$11)))</f>
        <v>0</v>
      </c>
      <c r="Y211" s="128" t="s">
        <v>245</v>
      </c>
      <c r="Z211" t="str">
        <f t="shared" ca="1" si="49"/>
        <v/>
      </c>
      <c r="AA211" s="129">
        <f ca="1">IF($C211="S",IF($Z211="CP",$X211,IF($Z211="RA",(($X211)*QCI!$AA$3),0)),SomaAgrup)</f>
        <v>0</v>
      </c>
      <c r="AB211" s="130">
        <f t="shared" ca="1" si="50"/>
        <v>0</v>
      </c>
      <c r="AC211" s="131" t="str">
        <f ca="1">IF($N211="","",IF(ORÇAMENTO.Descricao="","DESCRIÇÃO",IF(AND($C211="S",ORÇAMENTO.Unidade=""),"UNIDADE",IF($X211&lt;0,"VALOR NEGATIVO",IF(OR(AND(TIPOORCAMENTO="Proposto",$AG211&lt;&gt;"",$AG211&gt;0,ORÇAMENTO.CustoUnitario&gt;$AG211),AND(TIPOORCAMENTO="LICITADO",ORÇAMENTO.PrecoUnitarioLicitado&gt;$AN211)),"ACIMA REF.","")))))</f>
        <v/>
      </c>
      <c r="AD211" t="str">
        <f ca="1">IF(C211&lt;=CRONO.NivelExibicao,MAX($AD$15:OFFSET(AD211,-1,0))+IF($C211&lt;&gt;1,1,MAX(1,COUNTIF(QCI!$A$13:$A$24,OFFSET($E211,-1,0)))),"")</f>
        <v/>
      </c>
      <c r="AE211" s="7" t="str">
        <f ca="1">IF(AND($C211="S",ORÇAMENTO.CodBarra&lt;&gt;""),IF(ORÇAMENTO.Fonte="",ORÇAMENTO.CodBarra,CONCATENATE(ORÇAMENTO.Fonte," ",ORÇAMENTO.CodBarra)))</f>
        <v>SINAPI 97088</v>
      </c>
      <c r="AF211" s="13" t="str">
        <f ca="1">IF(ISERROR(INDIRECT(ORÇAMENTO.BancoRef)),"(abra o arquivo 'Referência "&amp;Excel_BuiltIn_Database&amp;".xlsm)",IF(OR($C211&lt;&gt;"S",ORÇAMENTO.CodBarra=""),"(Sem Código)",IF(ISERROR(MATCH($AE211,INDIRECT(ORÇAMENTO.BancoRef),0)),"(Código não identificado nas referências)",MATCH($AE211,INDIRECT(ORÇAMENTO.BancoRef),0))))</f>
        <v>(abra o arquivo 'Referência 02-2025.xlsm)</v>
      </c>
      <c r="AG211" s="498">
        <f ca="1">ROUND(IF(DESONERACAO="sim",REFERENCIA.Desonerado,REFERENCIA.NaoDesonerado),2)</f>
        <v>0</v>
      </c>
      <c r="AH211" s="499">
        <f t="shared" ca="1" si="51"/>
        <v>0.22470000000000001</v>
      </c>
      <c r="AJ211" s="501">
        <v>1997.78</v>
      </c>
      <c r="AL211" s="527"/>
      <c r="AM211" s="381">
        <f t="shared" ca="1" si="52"/>
        <v>0</v>
      </c>
      <c r="AN211" s="566">
        <f t="shared" ca="1" si="53"/>
        <v>0</v>
      </c>
    </row>
    <row r="212" spans="1:40" ht="38.25" x14ac:dyDescent="0.2">
      <c r="A212" t="str">
        <f t="shared" si="38"/>
        <v>S</v>
      </c>
      <c r="B212">
        <f t="shared" ca="1" si="39"/>
        <v>3</v>
      </c>
      <c r="C212" t="str">
        <f t="shared" ca="1" si="40"/>
        <v>S</v>
      </c>
      <c r="D212">
        <f t="shared" ca="1" si="41"/>
        <v>0</v>
      </c>
      <c r="E212">
        <f ca="1">IF($C212=1,OFFSET(E212,-1,0)+MAX(1,COUNTIF(QCI!$A$13:$A$24,OFFSET(ORÇAMENTO!E212,-1,0))),OFFSET(E212,-1,0))</f>
        <v>1</v>
      </c>
      <c r="F212">
        <f t="shared" ca="1" si="42"/>
        <v>10</v>
      </c>
      <c r="G212">
        <f t="shared" ca="1" si="43"/>
        <v>1</v>
      </c>
      <c r="H212">
        <f t="shared" ca="1" si="44"/>
        <v>0</v>
      </c>
      <c r="I212">
        <f t="shared" ca="1" si="45"/>
        <v>0</v>
      </c>
      <c r="J212">
        <f t="shared" ca="1" si="55"/>
        <v>0</v>
      </c>
      <c r="K212">
        <f ca="1">IF(OR($C212="S",$C212=0),0,MATCH(OFFSET($D212,0,$C212)+IF($C212&lt;&gt;1,1,COUNTIF(QCI!$A$13:$A$24,ORÇAMENTO!E212)),OFFSET($D212,1,$C212,ROW($C$747)-ROW($C212)),0))</f>
        <v>0</v>
      </c>
      <c r="L212" s="116" t="str">
        <f t="shared" ca="1" si="46"/>
        <v/>
      </c>
      <c r="M212" s="117" t="s">
        <v>199</v>
      </c>
      <c r="N212" s="118" t="str">
        <f t="shared" ca="1" si="47"/>
        <v>Serviço</v>
      </c>
      <c r="O212" s="119" t="str">
        <f t="shared" ca="1" si="48"/>
        <v>-</v>
      </c>
      <c r="P212" s="120" t="s">
        <v>247</v>
      </c>
      <c r="Q212" s="121" t="s">
        <v>903</v>
      </c>
      <c r="R212" s="122" t="str">
        <f ca="1">IF($C212="S",REFERENCIA.Descricao,"(digite a descrição aqui)")</f>
        <v>(abra o arquivo 'Referência 02-2025.xlsm)</v>
      </c>
      <c r="S212" s="123" t="str">
        <f ca="1">REFERENCIA.Unidade</f>
        <v>-</v>
      </c>
      <c r="T212" s="124">
        <f ca="1">OFFSET(CÁLCULO!H$15,ROW($T212)-ROW(T$15),0)</f>
        <v>108.7</v>
      </c>
      <c r="U212" s="125">
        <f t="shared" ca="1" si="54"/>
        <v>0</v>
      </c>
      <c r="V212" s="126" t="s">
        <v>156</v>
      </c>
      <c r="W212" s="124">
        <f ca="1">IF($C212="S",ROUND(IF(TIPOORCAMENTO="Proposto",ORÇAMENTO.CustoUnitario*(1+$AH212),ORÇAMENTO.PrecoUnitarioLicitado),15-13*$AF$10),0)</f>
        <v>0</v>
      </c>
      <c r="X212" s="127">
        <f ca="1">IF($C212="S",IF(Import.TipoArredondamento&lt;&gt;"TransfereGOV",VTOTAL1,SUM(OFFSET(CÁLCULO!$AA$15,ROW($X212)-ROW($X$15),1):OFFSET(CÁLCULO!$AL$15,ROW($X212)-ROW($X$15),-1))),IF($C212=0,0,ROUND(SomaAgrup,15-13*$AF$11)))</f>
        <v>0</v>
      </c>
      <c r="Y212" s="128" t="s">
        <v>245</v>
      </c>
      <c r="Z212" t="str">
        <f t="shared" ca="1" si="49"/>
        <v/>
      </c>
      <c r="AA212" s="129">
        <f ca="1">IF($C212="S",IF($Z212="CP",$X212,IF($Z212="RA",(($X212)*QCI!$AA$3),0)),SomaAgrup)</f>
        <v>0</v>
      </c>
      <c r="AB212" s="130">
        <f t="shared" ca="1" si="50"/>
        <v>0</v>
      </c>
      <c r="AC212" s="131" t="str">
        <f ca="1">IF($N212="","",IF(ORÇAMENTO.Descricao="","DESCRIÇÃO",IF(AND($C212="S",ORÇAMENTO.Unidade=""),"UNIDADE",IF($X212&lt;0,"VALOR NEGATIVO",IF(OR(AND(TIPOORCAMENTO="Proposto",$AG212&lt;&gt;"",$AG212&gt;0,ORÇAMENTO.CustoUnitario&gt;$AG212),AND(TIPOORCAMENTO="LICITADO",ORÇAMENTO.PrecoUnitarioLicitado&gt;$AN212)),"ACIMA REF.","")))))</f>
        <v/>
      </c>
      <c r="AD212" t="str">
        <f ca="1">IF(C212&lt;=CRONO.NivelExibicao,MAX($AD$15:OFFSET(AD212,-1,0))+IF($C212&lt;&gt;1,1,MAX(1,COUNTIF(QCI!$A$13:$A$24,OFFSET($E212,-1,0)))),"")</f>
        <v/>
      </c>
      <c r="AE212" s="7" t="str">
        <f ca="1">IF(AND($C212="S",ORÇAMENTO.CodBarra&lt;&gt;""),IF(ORÇAMENTO.Fonte="",ORÇAMENTO.CodBarra,CONCATENATE(ORÇAMENTO.Fonte," ",ORÇAMENTO.CodBarra)))</f>
        <v>SINAPI 97096</v>
      </c>
      <c r="AF212" s="13" t="str">
        <f ca="1">IF(ISERROR(INDIRECT(ORÇAMENTO.BancoRef)),"(abra o arquivo 'Referência "&amp;Excel_BuiltIn_Database&amp;".xlsm)",IF(OR($C212&lt;&gt;"S",ORÇAMENTO.CodBarra=""),"(Sem Código)",IF(ISERROR(MATCH($AE212,INDIRECT(ORÇAMENTO.BancoRef),0)),"(Código não identificado nas referências)",MATCH($AE212,INDIRECT(ORÇAMENTO.BancoRef),0))))</f>
        <v>(abra o arquivo 'Referência 02-2025.xlsm)</v>
      </c>
      <c r="AG212" s="498">
        <f ca="1">ROUND(IF(DESONERACAO="sim",REFERENCIA.Desonerado,REFERENCIA.NaoDesonerado),2)</f>
        <v>0</v>
      </c>
      <c r="AH212" s="499">
        <f t="shared" ca="1" si="51"/>
        <v>0.22470000000000001</v>
      </c>
      <c r="AJ212" s="501">
        <v>108.7</v>
      </c>
      <c r="AL212" s="527"/>
      <c r="AM212" s="381">
        <f t="shared" ca="1" si="52"/>
        <v>0</v>
      </c>
      <c r="AN212" s="566">
        <f t="shared" ca="1" si="53"/>
        <v>0</v>
      </c>
    </row>
    <row r="213" spans="1:40" x14ac:dyDescent="0.2">
      <c r="A213">
        <f t="shared" si="38"/>
        <v>3</v>
      </c>
      <c r="B213">
        <f t="shared" ca="1" si="39"/>
        <v>3</v>
      </c>
      <c r="C213">
        <f t="shared" ca="1" si="40"/>
        <v>3</v>
      </c>
      <c r="D213">
        <f t="shared" ca="1" si="41"/>
        <v>14</v>
      </c>
      <c r="E213">
        <f ca="1">IF($C213=1,OFFSET(E213,-1,0)+MAX(1,COUNTIF(QCI!$A$13:$A$24,OFFSET(ORÇAMENTO!E213,-1,0))),OFFSET(E213,-1,0))</f>
        <v>1</v>
      </c>
      <c r="F213">
        <f t="shared" ca="1" si="42"/>
        <v>10</v>
      </c>
      <c r="G213">
        <f t="shared" ca="1" si="43"/>
        <v>2</v>
      </c>
      <c r="H213">
        <f t="shared" ca="1" si="44"/>
        <v>0</v>
      </c>
      <c r="I213">
        <f t="shared" ca="1" si="45"/>
        <v>0</v>
      </c>
      <c r="J213">
        <f t="shared" ca="1" si="55"/>
        <v>27</v>
      </c>
      <c r="K213">
        <f ca="1">IF(OR($C213="S",$C213=0),0,MATCH(OFFSET($D213,0,$C213)+IF($C213&lt;&gt;1,1,COUNTIF(QCI!$A$13:$A$24,ORÇAMENTO!E213)),OFFSET($D213,1,$C213,ROW($C$747)-ROW($C213)),0))</f>
        <v>14</v>
      </c>
      <c r="L213" s="116" t="str">
        <f t="shared" ca="1" si="46"/>
        <v>F</v>
      </c>
      <c r="M213" s="117" t="s">
        <v>197</v>
      </c>
      <c r="N213" s="118" t="str">
        <f t="shared" ca="1" si="47"/>
        <v>Nível 3</v>
      </c>
      <c r="O213" s="119" t="str">
        <f t="shared" ca="1" si="48"/>
        <v>1.10.2.</v>
      </c>
      <c r="P213" s="120" t="s">
        <v>247</v>
      </c>
      <c r="Q213" s="121"/>
      <c r="R213" s="122" t="s">
        <v>922</v>
      </c>
      <c r="S213" s="123" t="str">
        <f ca="1">REFERENCIA.Unidade</f>
        <v>-</v>
      </c>
      <c r="T213" s="124">
        <f ca="1">OFFSET(CÁLCULO!H$15,ROW($T213)-ROW(T$15),0)</f>
        <v>0</v>
      </c>
      <c r="U213" s="125">
        <f t="shared" ca="1" si="54"/>
        <v>0</v>
      </c>
      <c r="V213" s="126" t="s">
        <v>156</v>
      </c>
      <c r="W213" s="124">
        <f ca="1">IF($C213="S",ROUND(IF(TIPOORCAMENTO="Proposto",ORÇAMENTO.CustoUnitario*(1+$AH213),ORÇAMENTO.PrecoUnitarioLicitado),15-13*$AF$10),0)</f>
        <v>0</v>
      </c>
      <c r="X213" s="127">
        <f ca="1">IF($C213="S",IF(Import.TipoArredondamento&lt;&gt;"TransfereGOV",VTOTAL1,SUM(OFFSET(CÁLCULO!$AA$15,ROW($X213)-ROW($X$15),1):OFFSET(CÁLCULO!$AL$15,ROW($X213)-ROW($X$15),-1))),IF($C213=0,0,ROUND(SomaAgrup,15-13*$AF$11)))</f>
        <v>0</v>
      </c>
      <c r="Y213" s="128" t="s">
        <v>245</v>
      </c>
      <c r="Z213" t="str">
        <f t="shared" ca="1" si="49"/>
        <v/>
      </c>
      <c r="AA213" s="129">
        <f ca="1">IF($C213="S",IF($Z213="CP",$X213,IF($Z213="RA",(($X213)*QCI!$AA$3),0)),SomaAgrup)</f>
        <v>0</v>
      </c>
      <c r="AB213" s="130">
        <f t="shared" ca="1" si="50"/>
        <v>0</v>
      </c>
      <c r="AC213" s="131" t="str">
        <f ca="1">IF($N213="","",IF(ORÇAMENTO.Descricao="","DESCRIÇÃO",IF(AND($C213="S",ORÇAMENTO.Unidade=""),"UNIDADE",IF($X213&lt;0,"VALOR NEGATIVO",IF(OR(AND(TIPOORCAMENTO="Proposto",$AG213&lt;&gt;"",$AG213&gt;0,ORÇAMENTO.CustoUnitario&gt;$AG213),AND(TIPOORCAMENTO="LICITADO",ORÇAMENTO.PrecoUnitarioLicitado&gt;$AN213)),"ACIMA REF.","")))))</f>
        <v/>
      </c>
      <c r="AD213" t="str">
        <f ca="1">IF(C213&lt;=CRONO.NivelExibicao,MAX($AD$15:OFFSET(AD213,-1,0))+IF($C213&lt;&gt;1,1,MAX(1,COUNTIF(QCI!$A$13:$A$24,OFFSET($E213,-1,0)))),"")</f>
        <v/>
      </c>
      <c r="AE213" s="7" t="b">
        <f ca="1">IF(AND($C213="S",ORÇAMENTO.CodBarra&lt;&gt;""),IF(ORÇAMENTO.Fonte="",ORÇAMENTO.CodBarra,CONCATENATE(ORÇAMENTO.Fonte," ",ORÇAMENTO.CodBarra)))</f>
        <v>0</v>
      </c>
      <c r="AF213" s="13" t="str">
        <f ca="1">IF(ISERROR(INDIRECT(ORÇAMENTO.BancoRef)),"(abra o arquivo 'Referência "&amp;Excel_BuiltIn_Database&amp;".xlsm)",IF(OR($C213&lt;&gt;"S",ORÇAMENTO.CodBarra=""),"(Sem Código)",IF(ISERROR(MATCH($AE213,INDIRECT(ORÇAMENTO.BancoRef),0)),"(Código não identificado nas referências)",MATCH($AE213,INDIRECT(ORÇAMENTO.BancoRef),0))))</f>
        <v>(abra o arquivo 'Referência 02-2025.xlsm)</v>
      </c>
      <c r="AG213" s="498">
        <f ca="1">ROUND(IF(DESONERACAO="sim",REFERENCIA.Desonerado,REFERENCIA.NaoDesonerado),2)</f>
        <v>0</v>
      </c>
      <c r="AH213" s="499">
        <f t="shared" ca="1" si="51"/>
        <v>0.22470000000000001</v>
      </c>
      <c r="AJ213" s="501"/>
      <c r="AL213" s="527"/>
      <c r="AM213" s="381">
        <f t="shared" ca="1" si="52"/>
        <v>0</v>
      </c>
      <c r="AN213" s="566">
        <f t="shared" ca="1" si="53"/>
        <v>0</v>
      </c>
    </row>
    <row r="214" spans="1:40" ht="51" x14ac:dyDescent="0.2">
      <c r="A214" t="str">
        <f t="shared" si="38"/>
        <v>S</v>
      </c>
      <c r="B214">
        <f t="shared" ca="1" si="39"/>
        <v>3</v>
      </c>
      <c r="C214" t="str">
        <f t="shared" ca="1" si="40"/>
        <v>S</v>
      </c>
      <c r="D214">
        <f t="shared" ca="1" si="41"/>
        <v>0</v>
      </c>
      <c r="E214">
        <f ca="1">IF($C214=1,OFFSET(E214,-1,0)+MAX(1,COUNTIF(QCI!$A$13:$A$24,OFFSET(ORÇAMENTO!E214,-1,0))),OFFSET(E214,-1,0))</f>
        <v>1</v>
      </c>
      <c r="F214">
        <f t="shared" ca="1" si="42"/>
        <v>10</v>
      </c>
      <c r="G214">
        <f t="shared" ca="1" si="43"/>
        <v>2</v>
      </c>
      <c r="H214">
        <f t="shared" ca="1" si="44"/>
        <v>0</v>
      </c>
      <c r="I214">
        <f t="shared" ca="1" si="45"/>
        <v>0</v>
      </c>
      <c r="J214">
        <f t="shared" ca="1" si="55"/>
        <v>0</v>
      </c>
      <c r="K214">
        <f ca="1">IF(OR($C214="S",$C214=0),0,MATCH(OFFSET($D214,0,$C214)+IF($C214&lt;&gt;1,1,COUNTIF(QCI!$A$13:$A$24,ORÇAMENTO!E214)),OFFSET($D214,1,$C214,ROW($C$747)-ROW($C214)),0))</f>
        <v>0</v>
      </c>
      <c r="L214" s="116" t="str">
        <f t="shared" ca="1" si="46"/>
        <v/>
      </c>
      <c r="M214" s="117" t="s">
        <v>199</v>
      </c>
      <c r="N214" s="118" t="str">
        <f t="shared" ca="1" si="47"/>
        <v>Serviço</v>
      </c>
      <c r="O214" s="119" t="str">
        <f t="shared" ca="1" si="48"/>
        <v>-</v>
      </c>
      <c r="P214" s="120" t="s">
        <v>247</v>
      </c>
      <c r="Q214" s="121" t="s">
        <v>923</v>
      </c>
      <c r="R214" s="122" t="str">
        <f ca="1">IF($C214="S",REFERENCIA.Descricao,"(digite a descrição aqui)")</f>
        <v>(abra o arquivo 'Referência 02-2025.xlsm)</v>
      </c>
      <c r="S214" s="123" t="str">
        <f ca="1">REFERENCIA.Unidade</f>
        <v>-</v>
      </c>
      <c r="T214" s="124">
        <f ca="1">OFFSET(CÁLCULO!H$15,ROW($T214)-ROW(T$15),0)</f>
        <v>766.78</v>
      </c>
      <c r="U214" s="125">
        <f t="shared" ca="1" si="54"/>
        <v>0</v>
      </c>
      <c r="V214" s="126" t="s">
        <v>156</v>
      </c>
      <c r="W214" s="124">
        <f ca="1">IF($C214="S",ROUND(IF(TIPOORCAMENTO="Proposto",ORÇAMENTO.CustoUnitario*(1+$AH214),ORÇAMENTO.PrecoUnitarioLicitado),15-13*$AF$10),0)</f>
        <v>0</v>
      </c>
      <c r="X214" s="127">
        <f ca="1">IF($C214="S",IF(Import.TipoArredondamento&lt;&gt;"TransfereGOV",VTOTAL1,SUM(OFFSET(CÁLCULO!$AA$15,ROW($X214)-ROW($X$15),1):OFFSET(CÁLCULO!$AL$15,ROW($X214)-ROW($X$15),-1))),IF($C214=0,0,ROUND(SomaAgrup,15-13*$AF$11)))</f>
        <v>0</v>
      </c>
      <c r="Y214" s="128" t="s">
        <v>245</v>
      </c>
      <c r="Z214" t="str">
        <f t="shared" ca="1" si="49"/>
        <v/>
      </c>
      <c r="AA214" s="129">
        <f ca="1">IF($C214="S",IF($Z214="CP",$X214,IF($Z214="RA",(($X214)*QCI!$AA$3),0)),SomaAgrup)</f>
        <v>0</v>
      </c>
      <c r="AB214" s="130">
        <f t="shared" ca="1" si="50"/>
        <v>0</v>
      </c>
      <c r="AC214" s="131" t="str">
        <f ca="1">IF($N214="","",IF(ORÇAMENTO.Descricao="","DESCRIÇÃO",IF(AND($C214="S",ORÇAMENTO.Unidade=""),"UNIDADE",IF($X214&lt;0,"VALOR NEGATIVO",IF(OR(AND(TIPOORCAMENTO="Proposto",$AG214&lt;&gt;"",$AG214&gt;0,ORÇAMENTO.CustoUnitario&gt;$AG214),AND(TIPOORCAMENTO="LICITADO",ORÇAMENTO.PrecoUnitarioLicitado&gt;$AN214)),"ACIMA REF.","")))))</f>
        <v/>
      </c>
      <c r="AD214" t="str">
        <f ca="1">IF(C214&lt;=CRONO.NivelExibicao,MAX($AD$15:OFFSET(AD214,-1,0))+IF($C214&lt;&gt;1,1,MAX(1,COUNTIF(QCI!$A$13:$A$24,OFFSET($E214,-1,0)))),"")</f>
        <v/>
      </c>
      <c r="AE214" s="7" t="str">
        <f ca="1">IF(AND($C214="S",ORÇAMENTO.CodBarra&lt;&gt;""),IF(ORÇAMENTO.Fonte="",ORÇAMENTO.CodBarra,CONCATENATE(ORÇAMENTO.Fonte," ",ORÇAMENTO.CodBarra)))</f>
        <v>SINAPI 87630</v>
      </c>
      <c r="AF214" s="13" t="str">
        <f ca="1">IF(ISERROR(INDIRECT(ORÇAMENTO.BancoRef)),"(abra o arquivo 'Referência "&amp;Excel_BuiltIn_Database&amp;".xlsm)",IF(OR($C214&lt;&gt;"S",ORÇAMENTO.CodBarra=""),"(Sem Código)",IF(ISERROR(MATCH($AE214,INDIRECT(ORÇAMENTO.BancoRef),0)),"(Código não identificado nas referências)",MATCH($AE214,INDIRECT(ORÇAMENTO.BancoRef),0))))</f>
        <v>(abra o arquivo 'Referência 02-2025.xlsm)</v>
      </c>
      <c r="AG214" s="498">
        <f ca="1">ROUND(IF(DESONERACAO="sim",REFERENCIA.Desonerado,REFERENCIA.NaoDesonerado),2)</f>
        <v>0</v>
      </c>
      <c r="AH214" s="499">
        <f t="shared" ca="1" si="51"/>
        <v>0.22470000000000001</v>
      </c>
      <c r="AJ214" s="501">
        <v>766.78</v>
      </c>
      <c r="AL214" s="527"/>
      <c r="AM214" s="381">
        <f t="shared" ca="1" si="52"/>
        <v>0</v>
      </c>
      <c r="AN214" s="566">
        <f t="shared" ca="1" si="53"/>
        <v>0</v>
      </c>
    </row>
    <row r="215" spans="1:40" ht="51" x14ac:dyDescent="0.2">
      <c r="A215" t="str">
        <f t="shared" si="38"/>
        <v>S</v>
      </c>
      <c r="B215">
        <f t="shared" ca="1" si="39"/>
        <v>3</v>
      </c>
      <c r="C215" t="str">
        <f t="shared" ca="1" si="40"/>
        <v>S</v>
      </c>
      <c r="D215">
        <f t="shared" ca="1" si="41"/>
        <v>0</v>
      </c>
      <c r="E215">
        <f ca="1">IF($C215=1,OFFSET(E215,-1,0)+MAX(1,COUNTIF(QCI!$A$13:$A$24,OFFSET(ORÇAMENTO!E215,-1,0))),OFFSET(E215,-1,0))</f>
        <v>1</v>
      </c>
      <c r="F215">
        <f t="shared" ca="1" si="42"/>
        <v>10</v>
      </c>
      <c r="G215">
        <f t="shared" ca="1" si="43"/>
        <v>2</v>
      </c>
      <c r="H215">
        <f t="shared" ca="1" si="44"/>
        <v>0</v>
      </c>
      <c r="I215">
        <f t="shared" ca="1" si="45"/>
        <v>0</v>
      </c>
      <c r="J215">
        <f t="shared" ca="1" si="55"/>
        <v>0</v>
      </c>
      <c r="K215">
        <f ca="1">IF(OR($C215="S",$C215=0),0,MATCH(OFFSET($D215,0,$C215)+IF($C215&lt;&gt;1,1,COUNTIF(QCI!$A$13:$A$24,ORÇAMENTO!E215)),OFFSET($D215,1,$C215,ROW($C$747)-ROW($C215)),0))</f>
        <v>0</v>
      </c>
      <c r="L215" s="116" t="str">
        <f t="shared" ca="1" si="46"/>
        <v/>
      </c>
      <c r="M215" s="117" t="s">
        <v>199</v>
      </c>
      <c r="N215" s="118" t="str">
        <f t="shared" ca="1" si="47"/>
        <v>Serviço</v>
      </c>
      <c r="O215" s="119" t="str">
        <f t="shared" ca="1" si="48"/>
        <v>-</v>
      </c>
      <c r="P215" s="120" t="s">
        <v>247</v>
      </c>
      <c r="Q215" s="121" t="s">
        <v>924</v>
      </c>
      <c r="R215" s="122" t="str">
        <f ca="1">IF($C215="S",REFERENCIA.Descricao,"(digite a descrição aqui)")</f>
        <v>(abra o arquivo 'Referência 02-2025.xlsm)</v>
      </c>
      <c r="S215" s="123" t="str">
        <f ca="1">REFERENCIA.Unidade</f>
        <v>-</v>
      </c>
      <c r="T215" s="124">
        <f ca="1">OFFSET(CÁLCULO!H$15,ROW($T215)-ROW(T$15),0)</f>
        <v>618.91</v>
      </c>
      <c r="U215" s="125">
        <f t="shared" ca="1" si="54"/>
        <v>0</v>
      </c>
      <c r="V215" s="126" t="s">
        <v>156</v>
      </c>
      <c r="W215" s="124">
        <f ca="1">IF($C215="S",ROUND(IF(TIPOORCAMENTO="Proposto",ORÇAMENTO.CustoUnitario*(1+$AH215),ORÇAMENTO.PrecoUnitarioLicitado),15-13*$AF$10),0)</f>
        <v>0</v>
      </c>
      <c r="X215" s="127">
        <f ca="1">IF($C215="S",IF(Import.TipoArredondamento&lt;&gt;"TransfereGOV",VTOTAL1,SUM(OFFSET(CÁLCULO!$AA$15,ROW($X215)-ROW($X$15),1):OFFSET(CÁLCULO!$AL$15,ROW($X215)-ROW($X$15),-1))),IF($C215=0,0,ROUND(SomaAgrup,15-13*$AF$11)))</f>
        <v>0</v>
      </c>
      <c r="Y215" s="128" t="s">
        <v>245</v>
      </c>
      <c r="Z215" t="str">
        <f t="shared" ca="1" si="49"/>
        <v/>
      </c>
      <c r="AA215" s="129">
        <f ca="1">IF($C215="S",IF($Z215="CP",$X215,IF($Z215="RA",(($X215)*QCI!$AA$3),0)),SomaAgrup)</f>
        <v>0</v>
      </c>
      <c r="AB215" s="130">
        <f t="shared" ca="1" si="50"/>
        <v>0</v>
      </c>
      <c r="AC215" s="131" t="str">
        <f ca="1">IF($N215="","",IF(ORÇAMENTO.Descricao="","DESCRIÇÃO",IF(AND($C215="S",ORÇAMENTO.Unidade=""),"UNIDADE",IF($X215&lt;0,"VALOR NEGATIVO",IF(OR(AND(TIPOORCAMENTO="Proposto",$AG215&lt;&gt;"",$AG215&gt;0,ORÇAMENTO.CustoUnitario&gt;$AG215),AND(TIPOORCAMENTO="LICITADO",ORÇAMENTO.PrecoUnitarioLicitado&gt;$AN215)),"ACIMA REF.","")))))</f>
        <v/>
      </c>
      <c r="AD215" t="str">
        <f ca="1">IF(C215&lt;=CRONO.NivelExibicao,MAX($AD$15:OFFSET(AD215,-1,0))+IF($C215&lt;&gt;1,1,MAX(1,COUNTIF(QCI!$A$13:$A$24,OFFSET($E215,-1,0)))),"")</f>
        <v/>
      </c>
      <c r="AE215" s="7" t="str">
        <f ca="1">IF(AND($C215="S",ORÇAMENTO.CodBarra&lt;&gt;""),IF(ORÇAMENTO.Fonte="",ORÇAMENTO.CodBarra,CONCATENATE(ORÇAMENTO.Fonte," ",ORÇAMENTO.CodBarra)))</f>
        <v>SINAPI 87745</v>
      </c>
      <c r="AF215" s="13" t="str">
        <f ca="1">IF(ISERROR(INDIRECT(ORÇAMENTO.BancoRef)),"(abra o arquivo 'Referência "&amp;Excel_BuiltIn_Database&amp;".xlsm)",IF(OR($C215&lt;&gt;"S",ORÇAMENTO.CodBarra=""),"(Sem Código)",IF(ISERROR(MATCH($AE215,INDIRECT(ORÇAMENTO.BancoRef),0)),"(Código não identificado nas referências)",MATCH($AE215,INDIRECT(ORÇAMENTO.BancoRef),0))))</f>
        <v>(abra o arquivo 'Referência 02-2025.xlsm)</v>
      </c>
      <c r="AG215" s="498">
        <f ca="1">ROUND(IF(DESONERACAO="sim",REFERENCIA.Desonerado,REFERENCIA.NaoDesonerado),2)</f>
        <v>0</v>
      </c>
      <c r="AH215" s="499">
        <f t="shared" ca="1" si="51"/>
        <v>0.22470000000000001</v>
      </c>
      <c r="AJ215" s="501">
        <v>618.91</v>
      </c>
      <c r="AL215" s="527"/>
      <c r="AM215" s="381">
        <f t="shared" ca="1" si="52"/>
        <v>0</v>
      </c>
      <c r="AN215" s="566">
        <f t="shared" ca="1" si="53"/>
        <v>0</v>
      </c>
    </row>
    <row r="216" spans="1:40" ht="63.75" x14ac:dyDescent="0.2">
      <c r="A216" t="str">
        <f t="shared" si="38"/>
        <v>S</v>
      </c>
      <c r="B216">
        <f t="shared" ca="1" si="39"/>
        <v>3</v>
      </c>
      <c r="C216" t="str">
        <f t="shared" ca="1" si="40"/>
        <v>S</v>
      </c>
      <c r="D216">
        <f t="shared" ca="1" si="41"/>
        <v>0</v>
      </c>
      <c r="E216">
        <f ca="1">IF($C216=1,OFFSET(E216,-1,0)+MAX(1,COUNTIF(QCI!$A$13:$A$24,OFFSET(ORÇAMENTO!E216,-1,0))),OFFSET(E216,-1,0))</f>
        <v>1</v>
      </c>
      <c r="F216">
        <f t="shared" ca="1" si="42"/>
        <v>10</v>
      </c>
      <c r="G216">
        <f t="shared" ca="1" si="43"/>
        <v>2</v>
      </c>
      <c r="H216">
        <f t="shared" ca="1" si="44"/>
        <v>0</v>
      </c>
      <c r="I216">
        <f t="shared" ca="1" si="45"/>
        <v>0</v>
      </c>
      <c r="J216">
        <f t="shared" ca="1" si="55"/>
        <v>0</v>
      </c>
      <c r="K216">
        <f ca="1">IF(OR($C216="S",$C216=0),0,MATCH(OFFSET($D216,0,$C216)+IF($C216&lt;&gt;1,1,COUNTIF(QCI!$A$13:$A$24,ORÇAMENTO!E216)),OFFSET($D216,1,$C216,ROW($C$747)-ROW($C216)),0))</f>
        <v>0</v>
      </c>
      <c r="L216" s="116" t="str">
        <f t="shared" ca="1" si="46"/>
        <v/>
      </c>
      <c r="M216" s="117" t="s">
        <v>199</v>
      </c>
      <c r="N216" s="118" t="str">
        <f t="shared" ca="1" si="47"/>
        <v>Serviço</v>
      </c>
      <c r="O216" s="119" t="str">
        <f t="shared" ca="1" si="48"/>
        <v>-</v>
      </c>
      <c r="P216" s="120" t="s">
        <v>247</v>
      </c>
      <c r="Q216" s="121" t="s">
        <v>494</v>
      </c>
      <c r="R216" s="122" t="str">
        <f ca="1">IF($C216="S",REFERENCIA.Descricao,"(digite a descrição aqui)")</f>
        <v>(abra o arquivo 'Referência 02-2025.xlsm)</v>
      </c>
      <c r="S216" s="123" t="str">
        <f ca="1">REFERENCIA.Unidade</f>
        <v>-</v>
      </c>
      <c r="T216" s="124">
        <f ca="1">OFFSET(CÁLCULO!H$15,ROW($T216)-ROW(T$15),0)</f>
        <v>412.53</v>
      </c>
      <c r="U216" s="125">
        <f t="shared" ca="1" si="54"/>
        <v>0</v>
      </c>
      <c r="V216" s="126" t="s">
        <v>156</v>
      </c>
      <c r="W216" s="124">
        <f ca="1">IF($C216="S",ROUND(IF(TIPOORCAMENTO="Proposto",ORÇAMENTO.CustoUnitario*(1+$AH216),ORÇAMENTO.PrecoUnitarioLicitado),15-13*$AF$10),0)</f>
        <v>0</v>
      </c>
      <c r="X216" s="127">
        <f ca="1">IF($C216="S",IF(Import.TipoArredondamento&lt;&gt;"TransfereGOV",VTOTAL1,SUM(OFFSET(CÁLCULO!$AA$15,ROW($X216)-ROW($X$15),1):OFFSET(CÁLCULO!$AL$15,ROW($X216)-ROW($X$15),-1))),IF($C216=0,0,ROUND(SomaAgrup,15-13*$AF$11)))</f>
        <v>0</v>
      </c>
      <c r="Y216" s="128" t="s">
        <v>245</v>
      </c>
      <c r="Z216" t="str">
        <f t="shared" ca="1" si="49"/>
        <v/>
      </c>
      <c r="AA216" s="129">
        <f ca="1">IF($C216="S",IF($Z216="CP",$X216,IF($Z216="RA",(($X216)*QCI!$AA$3),0)),SomaAgrup)</f>
        <v>0</v>
      </c>
      <c r="AB216" s="130">
        <f t="shared" ca="1" si="50"/>
        <v>0</v>
      </c>
      <c r="AC216" s="131" t="str">
        <f ca="1">IF($N216="","",IF(ORÇAMENTO.Descricao="","DESCRIÇÃO",IF(AND($C216="S",ORÇAMENTO.Unidade=""),"UNIDADE",IF($X216&lt;0,"VALOR NEGATIVO",IF(OR(AND(TIPOORCAMENTO="Proposto",$AG216&lt;&gt;"",$AG216&gt;0,ORÇAMENTO.CustoUnitario&gt;$AG216),AND(TIPOORCAMENTO="LICITADO",ORÇAMENTO.PrecoUnitarioLicitado&gt;$AN216)),"ACIMA REF.","")))))</f>
        <v/>
      </c>
      <c r="AD216" t="str">
        <f ca="1">IF(C216&lt;=CRONO.NivelExibicao,MAX($AD$15:OFFSET(AD216,-1,0))+IF($C216&lt;&gt;1,1,MAX(1,COUNTIF(QCI!$A$13:$A$24,OFFSET($E216,-1,0)))),"")</f>
        <v/>
      </c>
      <c r="AE216" s="7" t="str">
        <f ca="1">IF(AND($C216="S",ORÇAMENTO.CodBarra&lt;&gt;""),IF(ORÇAMENTO.Fonte="",ORÇAMENTO.CodBarra,CONCATENATE(ORÇAMENTO.Fonte," ",ORÇAMENTO.CodBarra)))</f>
        <v>SINAPI 104162</v>
      </c>
      <c r="AF216" s="13" t="str">
        <f ca="1">IF(ISERROR(INDIRECT(ORÇAMENTO.BancoRef)),"(abra o arquivo 'Referência "&amp;Excel_BuiltIn_Database&amp;".xlsm)",IF(OR($C216&lt;&gt;"S",ORÇAMENTO.CodBarra=""),"(Sem Código)",IF(ISERROR(MATCH($AE216,INDIRECT(ORÇAMENTO.BancoRef),0)),"(Código não identificado nas referências)",MATCH($AE216,INDIRECT(ORÇAMENTO.BancoRef),0))))</f>
        <v>(abra o arquivo 'Referência 02-2025.xlsm)</v>
      </c>
      <c r="AG216" s="498">
        <f ca="1">ROUND(IF(DESONERACAO="sim",REFERENCIA.Desonerado,REFERENCIA.NaoDesonerado),2)</f>
        <v>0</v>
      </c>
      <c r="AH216" s="499">
        <f t="shared" ca="1" si="51"/>
        <v>0.22470000000000001</v>
      </c>
      <c r="AJ216" s="501">
        <v>412.53</v>
      </c>
      <c r="AL216" s="527"/>
      <c r="AM216" s="381">
        <f t="shared" ca="1" si="52"/>
        <v>0</v>
      </c>
      <c r="AN216" s="566">
        <f t="shared" ca="1" si="53"/>
        <v>0</v>
      </c>
    </row>
    <row r="217" spans="1:40" ht="38.25" x14ac:dyDescent="0.2">
      <c r="A217" t="str">
        <f t="shared" si="38"/>
        <v>S</v>
      </c>
      <c r="B217">
        <f t="shared" ca="1" si="39"/>
        <v>3</v>
      </c>
      <c r="C217" t="str">
        <f t="shared" ca="1" si="40"/>
        <v>S</v>
      </c>
      <c r="D217">
        <f t="shared" ca="1" si="41"/>
        <v>0</v>
      </c>
      <c r="E217">
        <f ca="1">IF($C217=1,OFFSET(E217,-1,0)+MAX(1,COUNTIF(QCI!$A$13:$A$24,OFFSET(ORÇAMENTO!E217,-1,0))),OFFSET(E217,-1,0))</f>
        <v>1</v>
      </c>
      <c r="F217">
        <f t="shared" ca="1" si="42"/>
        <v>10</v>
      </c>
      <c r="G217">
        <f t="shared" ca="1" si="43"/>
        <v>2</v>
      </c>
      <c r="H217">
        <f t="shared" ca="1" si="44"/>
        <v>0</v>
      </c>
      <c r="I217">
        <f t="shared" ca="1" si="45"/>
        <v>0</v>
      </c>
      <c r="J217">
        <f t="shared" ca="1" si="55"/>
        <v>0</v>
      </c>
      <c r="K217">
        <f ca="1">IF(OR($C217="S",$C217=0),0,MATCH(OFFSET($D217,0,$C217)+IF($C217&lt;&gt;1,1,COUNTIF(QCI!$A$13:$A$24,ORÇAMENTO!E217)),OFFSET($D217,1,$C217,ROW($C$747)-ROW($C217)),0))</f>
        <v>0</v>
      </c>
      <c r="L217" s="116" t="str">
        <f t="shared" ca="1" si="46"/>
        <v/>
      </c>
      <c r="M217" s="117" t="s">
        <v>199</v>
      </c>
      <c r="N217" s="118" t="str">
        <f t="shared" ca="1" si="47"/>
        <v>Serviço</v>
      </c>
      <c r="O217" s="119" t="str">
        <f t="shared" ca="1" si="48"/>
        <v>-</v>
      </c>
      <c r="P217" s="120" t="s">
        <v>247</v>
      </c>
      <c r="Q217" s="121" t="s">
        <v>495</v>
      </c>
      <c r="R217" s="122" t="str">
        <f ca="1">IF($C217="S",REFERENCIA.Descricao,"(digite a descrição aqui)")</f>
        <v>(abra o arquivo 'Referência 02-2025.xlsm)</v>
      </c>
      <c r="S217" s="123" t="str">
        <f ca="1">REFERENCIA.Unidade</f>
        <v>-</v>
      </c>
      <c r="T217" s="124">
        <f ca="1">OFFSET(CÁLCULO!H$15,ROW($T217)-ROW(T$15),0)</f>
        <v>348</v>
      </c>
      <c r="U217" s="125">
        <f t="shared" ca="1" si="54"/>
        <v>0</v>
      </c>
      <c r="V217" s="126" t="s">
        <v>156</v>
      </c>
      <c r="W217" s="124">
        <f ca="1">IF($C217="S",ROUND(IF(TIPOORCAMENTO="Proposto",ORÇAMENTO.CustoUnitario*(1+$AH217),ORÇAMENTO.PrecoUnitarioLicitado),15-13*$AF$10),0)</f>
        <v>0</v>
      </c>
      <c r="X217" s="127">
        <f ca="1">IF($C217="S",IF(Import.TipoArredondamento&lt;&gt;"TransfereGOV",VTOTAL1,SUM(OFFSET(CÁLCULO!$AA$15,ROW($X217)-ROW($X$15),1):OFFSET(CÁLCULO!$AL$15,ROW($X217)-ROW($X$15),-1))),IF($C217=0,0,ROUND(SomaAgrup,15-13*$AF$11)))</f>
        <v>0</v>
      </c>
      <c r="Y217" s="128" t="s">
        <v>245</v>
      </c>
      <c r="Z217" t="str">
        <f t="shared" ca="1" si="49"/>
        <v/>
      </c>
      <c r="AA217" s="129">
        <f ca="1">IF($C217="S",IF($Z217="CP",$X217,IF($Z217="RA",(($X217)*QCI!$AA$3),0)),SomaAgrup)</f>
        <v>0</v>
      </c>
      <c r="AB217" s="130">
        <f t="shared" ca="1" si="50"/>
        <v>0</v>
      </c>
      <c r="AC217" s="131" t="str">
        <f ca="1">IF($N217="","",IF(ORÇAMENTO.Descricao="","DESCRIÇÃO",IF(AND($C217="S",ORÇAMENTO.Unidade=""),"UNIDADE",IF($X217&lt;0,"VALOR NEGATIVO",IF(OR(AND(TIPOORCAMENTO="Proposto",$AG217&lt;&gt;"",$AG217&gt;0,ORÇAMENTO.CustoUnitario&gt;$AG217),AND(TIPOORCAMENTO="LICITADO",ORÇAMENTO.PrecoUnitarioLicitado&gt;$AN217)),"ACIMA REF.","")))))</f>
        <v/>
      </c>
      <c r="AD217" t="str">
        <f ca="1">IF(C217&lt;=CRONO.NivelExibicao,MAX($AD$15:OFFSET(AD217,-1,0))+IF($C217&lt;&gt;1,1,MAX(1,COUNTIF(QCI!$A$13:$A$24,OFFSET($E217,-1,0)))),"")</f>
        <v/>
      </c>
      <c r="AE217" s="7" t="str">
        <f ca="1">IF(AND($C217="S",ORÇAMENTO.CodBarra&lt;&gt;""),IF(ORÇAMENTO.Fonte="",ORÇAMENTO.CodBarra,CONCATENATE(ORÇAMENTO.Fonte," ",ORÇAMENTO.CodBarra)))</f>
        <v>SINAPI 87257</v>
      </c>
      <c r="AF217" s="13" t="str">
        <f ca="1">IF(ISERROR(INDIRECT(ORÇAMENTO.BancoRef)),"(abra o arquivo 'Referência "&amp;Excel_BuiltIn_Database&amp;".xlsm)",IF(OR($C217&lt;&gt;"S",ORÇAMENTO.CodBarra=""),"(Sem Código)",IF(ISERROR(MATCH($AE217,INDIRECT(ORÇAMENTO.BancoRef),0)),"(Código não identificado nas referências)",MATCH($AE217,INDIRECT(ORÇAMENTO.BancoRef),0))))</f>
        <v>(abra o arquivo 'Referência 02-2025.xlsm)</v>
      </c>
      <c r="AG217" s="498">
        <f ca="1">ROUND(IF(DESONERACAO="sim",REFERENCIA.Desonerado,REFERENCIA.NaoDesonerado),2)</f>
        <v>0</v>
      </c>
      <c r="AH217" s="499">
        <f t="shared" ca="1" si="51"/>
        <v>0.22470000000000001</v>
      </c>
      <c r="AJ217" s="501">
        <v>348</v>
      </c>
      <c r="AL217" s="527"/>
      <c r="AM217" s="381">
        <f t="shared" ca="1" si="52"/>
        <v>0</v>
      </c>
      <c r="AN217" s="566">
        <f t="shared" ca="1" si="53"/>
        <v>0</v>
      </c>
    </row>
    <row r="218" spans="1:40" ht="38.25" x14ac:dyDescent="0.2">
      <c r="A218" t="str">
        <f t="shared" ref="A218:A522" si="56">CHOOSE(1+LOG(1+2*(ORÇAMENTO.Nivel="Meta")+4*(ORÇAMENTO.Nivel="Nível 2")+8*(ORÇAMENTO.Nivel="Nível 3")+16*(ORÇAMENTO.Nivel="Nível 4")+32*(ORÇAMENTO.Nivel="Serviço"),2),0,1,2,3,4,"S")</f>
        <v>S</v>
      </c>
      <c r="B218">
        <f t="shared" ref="B218:B522" ca="1" si="57">IF(OR(C218="s",C218=0),OFFSET(B218,-1,0),C218)</f>
        <v>3</v>
      </c>
      <c r="C218" t="str">
        <f t="shared" ref="C218:C522" ca="1" si="58">IF(OFFSET(C218,-1,0)="L",1,IF(OFFSET(C218,-1,0)=1,2,IF(OR(A218="s",A218=0),"S",IF(AND(OFFSET(C218,-1,0)=2,A218=4),3,IF(AND(OR(OFFSET(C218,-1,0)="s",OFFSET(C218,-1,0)=0),A218&lt;&gt;"s",A218&gt;OFFSET(B218,-1,0)),OFFSET(B218,-1,0),A218)))))</f>
        <v>S</v>
      </c>
      <c r="D218">
        <f t="shared" ref="D218:D522" ca="1" si="59">IF(OR(C218="S",C218=0),0,IF(ISERROR(K218),J218,SMALL(J218:K218,1)))</f>
        <v>0</v>
      </c>
      <c r="E218">
        <f ca="1">IF($C218=1,OFFSET(E218,-1,0)+MAX(1,COUNTIF(QCI!$A$13:$A$24,OFFSET(ORÇAMENTO!E218,-1,0))),OFFSET(E218,-1,0))</f>
        <v>1</v>
      </c>
      <c r="F218">
        <f t="shared" ref="F218:F522" ca="1" si="60">IF($C218=1,0,IF($C218=2,OFFSET(F218,-1,0)+1,OFFSET(F218,-1,0)))</f>
        <v>10</v>
      </c>
      <c r="G218">
        <f t="shared" ref="G218:G522" ca="1" si="61">IF(AND($C218&lt;=2,$C218&lt;&gt;0),0,IF($C218=3,OFFSET(G218,-1,0)+1,OFFSET(G218,-1,0)))</f>
        <v>2</v>
      </c>
      <c r="H218">
        <f t="shared" ref="H218:H522" ca="1" si="62">IF(AND($C218&lt;=3,$C218&lt;&gt;0),0,IF($C218=4,OFFSET(H218,-1,0)+1,OFFSET(H218,-1,0)))</f>
        <v>0</v>
      </c>
      <c r="I218">
        <f t="shared" ref="I218:I522" ca="1" si="63">IF(AND($C218&lt;=4,$C218&lt;&gt;0),0,IF(AND($C218="S",$X218&gt;0),OFFSET(I218,-1,0)+1,OFFSET(I218,-1,0)))</f>
        <v>0</v>
      </c>
      <c r="J218">
        <f t="shared" ca="1" si="55"/>
        <v>0</v>
      </c>
      <c r="K218">
        <f ca="1">IF(OR($C218="S",$C218=0),0,MATCH(OFFSET($D218,0,$C218)+IF($C218&lt;&gt;1,1,COUNTIF(QCI!$A$13:$A$24,ORÇAMENTO!E218)),OFFSET($D218,1,$C218,ROW($C$747)-ROW($C218)),0))</f>
        <v>0</v>
      </c>
      <c r="L218" s="116" t="str">
        <f t="shared" ref="L218:L522" ca="1" si="64">IF(OR($X218&gt;0,$C218=1,$C218=2,$C218=3,$C218=4),"F","")</f>
        <v/>
      </c>
      <c r="M218" s="117" t="s">
        <v>199</v>
      </c>
      <c r="N218" s="118" t="str">
        <f t="shared" ref="N218:N522" ca="1" si="65">CHOOSE(1+LOG(1+2*(C218=1)+4*(C218=2)+8*(C218=3)+16*(C218=4)+32*(C218="S"),2),"","Meta","Nível 2","Nível 3","Nível 4","Serviço")</f>
        <v>Serviço</v>
      </c>
      <c r="O218" s="119" t="str">
        <f t="shared" ref="O218:O522" ca="1" si="66">IF(OR($C218=0,$L218=""),"-",CONCATENATE(E218&amp;".",IF(AND($A$5&gt;=2,$C218&gt;=2),F218&amp;".",""),IF(AND($A$5&gt;=3,$C218&gt;=3),G218&amp;".",""),IF(AND($A$5&gt;=4,$C218&gt;=4),H218&amp;".",""),IF($C218="S",I218&amp;".","")))</f>
        <v>-</v>
      </c>
      <c r="P218" s="120" t="s">
        <v>247</v>
      </c>
      <c r="Q218" s="121" t="s">
        <v>496</v>
      </c>
      <c r="R218" s="122" t="str">
        <f ca="1">IF($C218="S",REFERENCIA.Descricao,"(digite a descrição aqui)")</f>
        <v>(abra o arquivo 'Referência 02-2025.xlsm)</v>
      </c>
      <c r="S218" s="123" t="str">
        <f ca="1">REFERENCIA.Unidade</f>
        <v>-</v>
      </c>
      <c r="T218" s="124">
        <f ca="1">OFFSET(CÁLCULO!H$15,ROW($T218)-ROW(T$15),0)</f>
        <v>235.9</v>
      </c>
      <c r="U218" s="125">
        <f t="shared" ca="1" si="54"/>
        <v>0</v>
      </c>
      <c r="V218" s="126" t="s">
        <v>156</v>
      </c>
      <c r="W218" s="124">
        <f ca="1">IF($C218="S",ROUND(IF(TIPOORCAMENTO="Proposto",ORÇAMENTO.CustoUnitario*(1+$AH218),ORÇAMENTO.PrecoUnitarioLicitado),15-13*$AF$10),0)</f>
        <v>0</v>
      </c>
      <c r="X218" s="127">
        <f ca="1">IF($C218="S",IF(Import.TipoArredondamento&lt;&gt;"TransfereGOV",VTOTAL1,SUM(OFFSET(CÁLCULO!$AA$15,ROW($X218)-ROW($X$15),1):OFFSET(CÁLCULO!$AL$15,ROW($X218)-ROW($X$15),-1))),IF($C218=0,0,ROUND(SomaAgrup,15-13*$AF$11)))</f>
        <v>0</v>
      </c>
      <c r="Y218" s="128" t="s">
        <v>245</v>
      </c>
      <c r="Z218" t="str">
        <f t="shared" ref="Z218:Z522" ca="1" si="67">IF(AND($C218="S",$X218&gt;0),IF(ISBLANK($Y218),"RA",LEFT($Y218,2)),"")</f>
        <v/>
      </c>
      <c r="AA218" s="129">
        <f ca="1">IF($C218="S",IF($Z218="CP",$X218,IF($Z218="RA",(($X218)*QCI!$AA$3),0)),SomaAgrup)</f>
        <v>0</v>
      </c>
      <c r="AB218" s="130">
        <f t="shared" ref="AB218:AB522" ca="1" si="68">IF($C218="S",IF($Z218="OU",ROUND($X218,2),0),SomaAgrup)</f>
        <v>0</v>
      </c>
      <c r="AC218" s="131" t="str">
        <f ca="1">IF($N218="","",IF(ORÇAMENTO.Descricao="","DESCRIÇÃO",IF(AND($C218="S",ORÇAMENTO.Unidade=""),"UNIDADE",IF($X218&lt;0,"VALOR NEGATIVO",IF(OR(AND(TIPOORCAMENTO="Proposto",$AG218&lt;&gt;"",$AG218&gt;0,ORÇAMENTO.CustoUnitario&gt;$AG218),AND(TIPOORCAMENTO="LICITADO",ORÇAMENTO.PrecoUnitarioLicitado&gt;$AN218)),"ACIMA REF.","")))))</f>
        <v/>
      </c>
      <c r="AD218" t="str">
        <f ca="1">IF(C218&lt;=CRONO.NivelExibicao,MAX($AD$15:OFFSET(AD218,-1,0))+IF($C218&lt;&gt;1,1,MAX(1,COUNTIF(QCI!$A$13:$A$24,OFFSET($E218,-1,0)))),"")</f>
        <v/>
      </c>
      <c r="AE218" s="7" t="str">
        <f ca="1">IF(AND($C218="S",ORÇAMENTO.CodBarra&lt;&gt;""),IF(ORÇAMENTO.Fonte="",ORÇAMENTO.CodBarra,CONCATENATE(ORÇAMENTO.Fonte," ",ORÇAMENTO.CodBarra)))</f>
        <v>SINAPI 87251</v>
      </c>
      <c r="AF218" s="13" t="str">
        <f ca="1">IF(ISERROR(INDIRECT(ORÇAMENTO.BancoRef)),"(abra o arquivo 'Referência "&amp;Excel_BuiltIn_Database&amp;".xlsm)",IF(OR($C218&lt;&gt;"S",ORÇAMENTO.CodBarra=""),"(Sem Código)",IF(ISERROR(MATCH($AE218,INDIRECT(ORÇAMENTO.BancoRef),0)),"(Código não identificado nas referências)",MATCH($AE218,INDIRECT(ORÇAMENTO.BancoRef),0))))</f>
        <v>(abra o arquivo 'Referência 02-2025.xlsm)</v>
      </c>
      <c r="AG218" s="498">
        <f ca="1">ROUND(IF(DESONERACAO="sim",REFERENCIA.Desonerado,REFERENCIA.NaoDesonerado),2)</f>
        <v>0</v>
      </c>
      <c r="AH218" s="499">
        <f t="shared" ref="AH218:AH522" ca="1" si="69">ROUND(IF(ISNUMBER(ORÇAMENTO.OpcaoBDI),ORÇAMENTO.OpcaoBDI,IF(LEFT(ORÇAMENTO.OpcaoBDI,3)="BDI",HLOOKUP(ORÇAMENTO.OpcaoBDI,$F$4:$H$5,2,FALSE),0)),15-11*$AF$9)</f>
        <v>0.22470000000000001</v>
      </c>
      <c r="AJ218" s="501">
        <v>235.9</v>
      </c>
      <c r="AL218" s="527"/>
      <c r="AM218" s="381">
        <f t="shared" ref="AM218:AM522" ca="1" si="70">$X218</f>
        <v>0</v>
      </c>
      <c r="AN218" s="566">
        <f t="shared" ref="AN218:AN522" ca="1" si="71">ROUND(ORÇAMENTO.CustoUnitario*(1+$AH218),2)</f>
        <v>0</v>
      </c>
    </row>
    <row r="219" spans="1:40" ht="25.5" x14ac:dyDescent="0.2">
      <c r="A219" t="str">
        <f t="shared" si="56"/>
        <v>S</v>
      </c>
      <c r="B219">
        <f t="shared" ca="1" si="57"/>
        <v>3</v>
      </c>
      <c r="C219" t="str">
        <f t="shared" ca="1" si="58"/>
        <v>S</v>
      </c>
      <c r="D219">
        <f t="shared" ca="1" si="59"/>
        <v>0</v>
      </c>
      <c r="E219">
        <f ca="1">IF($C219=1,OFFSET(E219,-1,0)+MAX(1,COUNTIF(QCI!$A$13:$A$24,OFFSET(ORÇAMENTO!E219,-1,0))),OFFSET(E219,-1,0))</f>
        <v>1</v>
      </c>
      <c r="F219">
        <f t="shared" ca="1" si="60"/>
        <v>10</v>
      </c>
      <c r="G219">
        <f t="shared" ca="1" si="61"/>
        <v>2</v>
      </c>
      <c r="H219">
        <f t="shared" ca="1" si="62"/>
        <v>0</v>
      </c>
      <c r="I219">
        <f t="shared" ca="1" si="63"/>
        <v>0</v>
      </c>
      <c r="J219">
        <f t="shared" ca="1" si="55"/>
        <v>0</v>
      </c>
      <c r="K219">
        <f ca="1">IF(OR($C219="S",$C219=0),0,MATCH(OFFSET($D219,0,$C219)+IF($C219&lt;&gt;1,1,COUNTIF(QCI!$A$13:$A$24,ORÇAMENTO!E219)),OFFSET($D219,1,$C219,ROW($C$747)-ROW($C219)),0))</f>
        <v>0</v>
      </c>
      <c r="L219" s="116" t="str">
        <f t="shared" ca="1" si="64"/>
        <v/>
      </c>
      <c r="M219" s="117" t="s">
        <v>199</v>
      </c>
      <c r="N219" s="118" t="str">
        <f t="shared" ca="1" si="65"/>
        <v>Serviço</v>
      </c>
      <c r="O219" s="119" t="str">
        <f t="shared" ca="1" si="66"/>
        <v>-</v>
      </c>
      <c r="P219" s="120" t="s">
        <v>712</v>
      </c>
      <c r="Q219" s="121" t="s">
        <v>776</v>
      </c>
      <c r="R219" s="122" t="str">
        <f ca="1">IF($C219="S",REFERENCIA.Descricao,"(digite a descrição aqui)")</f>
        <v>(abra o arquivo 'Referência 02-2025.xlsm)</v>
      </c>
      <c r="S219" s="123" t="str">
        <f ca="1">REFERENCIA.Unidade</f>
        <v>-</v>
      </c>
      <c r="T219" s="124">
        <f ca="1">OFFSET(CÁLCULO!H$15,ROW($T219)-ROW(T$15),0)</f>
        <v>398.28</v>
      </c>
      <c r="U219" s="125">
        <f t="shared" ca="1" si="54"/>
        <v>0</v>
      </c>
      <c r="V219" s="126" t="s">
        <v>156</v>
      </c>
      <c r="W219" s="124">
        <f ca="1">IF($C219="S",ROUND(IF(TIPOORCAMENTO="Proposto",ORÇAMENTO.CustoUnitario*(1+$AH219),ORÇAMENTO.PrecoUnitarioLicitado),15-13*$AF$10),0)</f>
        <v>0</v>
      </c>
      <c r="X219" s="127">
        <f ca="1">IF($C219="S",IF(Import.TipoArredondamento&lt;&gt;"TransfereGOV",VTOTAL1,SUM(OFFSET(CÁLCULO!$AA$15,ROW($X219)-ROW($X$15),1):OFFSET(CÁLCULO!$AL$15,ROW($X219)-ROW($X$15),-1))),IF($C219=0,0,ROUND(SomaAgrup,15-13*$AF$11)))</f>
        <v>0</v>
      </c>
      <c r="Y219" s="128" t="s">
        <v>245</v>
      </c>
      <c r="Z219" t="str">
        <f t="shared" ca="1" si="67"/>
        <v/>
      </c>
      <c r="AA219" s="129">
        <f ca="1">IF($C219="S",IF($Z219="CP",$X219,IF($Z219="RA",(($X219)*QCI!$AA$3),0)),SomaAgrup)</f>
        <v>0</v>
      </c>
      <c r="AB219" s="130">
        <f t="shared" ca="1" si="68"/>
        <v>0</v>
      </c>
      <c r="AC219" s="131" t="str">
        <f ca="1">IF($N219="","",IF(ORÇAMENTO.Descricao="","DESCRIÇÃO",IF(AND($C219="S",ORÇAMENTO.Unidade=""),"UNIDADE",IF($X219&lt;0,"VALOR NEGATIVO",IF(OR(AND(TIPOORCAMENTO="Proposto",$AG219&lt;&gt;"",$AG219&gt;0,ORÇAMENTO.CustoUnitario&gt;$AG219),AND(TIPOORCAMENTO="LICITADO",ORÇAMENTO.PrecoUnitarioLicitado&gt;$AN219)),"ACIMA REF.","")))))</f>
        <v/>
      </c>
      <c r="AD219" t="str">
        <f ca="1">IF(C219&lt;=CRONO.NivelExibicao,MAX($AD$15:OFFSET(AD219,-1,0))+IF($C219&lt;&gt;1,1,MAX(1,COUNTIF(QCI!$A$13:$A$24,OFFSET($E219,-1,0)))),"")</f>
        <v/>
      </c>
      <c r="AE219" s="7" t="str">
        <f ca="1">IF(AND($C219="S",ORÇAMENTO.CodBarra&lt;&gt;""),IF(ORÇAMENTO.Fonte="",ORÇAMENTO.CodBarra,CONCATENATE(ORÇAMENTO.Fonte," ",ORÇAMENTO.CodBarra)))</f>
        <v>Composição FNDE 09</v>
      </c>
      <c r="AF219" s="13" t="str">
        <f ca="1">IF(ISERROR(INDIRECT(ORÇAMENTO.BancoRef)),"(abra o arquivo 'Referência "&amp;Excel_BuiltIn_Database&amp;".xlsm)",IF(OR($C219&lt;&gt;"S",ORÇAMENTO.CodBarra=""),"(Sem Código)",IF(ISERROR(MATCH($AE219,INDIRECT(ORÇAMENTO.BancoRef),0)),"(Código não identificado nas referências)",MATCH($AE219,INDIRECT(ORÇAMENTO.BancoRef),0))))</f>
        <v>(abra o arquivo 'Referência 02-2025.xlsm)</v>
      </c>
      <c r="AG219" s="498">
        <f ca="1">ROUND(IF(DESONERACAO="sim",REFERENCIA.Desonerado,REFERENCIA.NaoDesonerado),2)</f>
        <v>0</v>
      </c>
      <c r="AH219" s="499">
        <f t="shared" ca="1" si="69"/>
        <v>0.22470000000000001</v>
      </c>
      <c r="AJ219" s="501">
        <v>398.28</v>
      </c>
      <c r="AL219" s="527"/>
      <c r="AM219" s="381">
        <f t="shared" ca="1" si="70"/>
        <v>0</v>
      </c>
      <c r="AN219" s="566">
        <f t="shared" ca="1" si="71"/>
        <v>0</v>
      </c>
    </row>
    <row r="220" spans="1:40" ht="25.5" x14ac:dyDescent="0.2">
      <c r="A220" t="str">
        <f t="shared" si="56"/>
        <v>S</v>
      </c>
      <c r="B220">
        <f t="shared" ca="1" si="57"/>
        <v>3</v>
      </c>
      <c r="C220" t="str">
        <f t="shared" ca="1" si="58"/>
        <v>S</v>
      </c>
      <c r="D220">
        <f t="shared" ca="1" si="59"/>
        <v>0</v>
      </c>
      <c r="E220">
        <f ca="1">IF($C220=1,OFFSET(E220,-1,0)+MAX(1,COUNTIF(QCI!$A$13:$A$24,OFFSET(ORÇAMENTO!E220,-1,0))),OFFSET(E220,-1,0))</f>
        <v>1</v>
      </c>
      <c r="F220">
        <f t="shared" ca="1" si="60"/>
        <v>10</v>
      </c>
      <c r="G220">
        <f t="shared" ca="1" si="61"/>
        <v>2</v>
      </c>
      <c r="H220">
        <f t="shared" ca="1" si="62"/>
        <v>0</v>
      </c>
      <c r="I220">
        <f t="shared" ca="1" si="63"/>
        <v>0</v>
      </c>
      <c r="J220">
        <f t="shared" ca="1" si="55"/>
        <v>0</v>
      </c>
      <c r="K220">
        <f ca="1">IF(OR($C220="S",$C220=0),0,MATCH(OFFSET($D220,0,$C220)+IF($C220&lt;&gt;1,1,COUNTIF(QCI!$A$13:$A$24,ORÇAMENTO!E220)),OFFSET($D220,1,$C220,ROW($C$747)-ROW($C220)),0))</f>
        <v>0</v>
      </c>
      <c r="L220" s="116" t="str">
        <f t="shared" ca="1" si="64"/>
        <v/>
      </c>
      <c r="M220" s="117" t="s">
        <v>199</v>
      </c>
      <c r="N220" s="118" t="str">
        <f t="shared" ca="1" si="65"/>
        <v>Serviço</v>
      </c>
      <c r="O220" s="119" t="str">
        <f t="shared" ca="1" si="66"/>
        <v>-</v>
      </c>
      <c r="P220" s="120" t="s">
        <v>712</v>
      </c>
      <c r="Q220" s="121" t="s">
        <v>777</v>
      </c>
      <c r="R220" s="122" t="str">
        <f ca="1">IF($C220="S",REFERENCIA.Descricao,"(digite a descrição aqui)")</f>
        <v>(abra o arquivo 'Referência 02-2025.xlsm)</v>
      </c>
      <c r="S220" s="123" t="str">
        <f ca="1">REFERENCIA.Unidade</f>
        <v>-</v>
      </c>
      <c r="T220" s="124">
        <f ca="1">OFFSET(CÁLCULO!H$15,ROW($T220)-ROW(T$15),0)</f>
        <v>32.9</v>
      </c>
      <c r="U220" s="125">
        <f t="shared" ca="1" si="54"/>
        <v>0</v>
      </c>
      <c r="V220" s="126" t="s">
        <v>156</v>
      </c>
      <c r="W220" s="124">
        <f ca="1">IF($C220="S",ROUND(IF(TIPOORCAMENTO="Proposto",ORÇAMENTO.CustoUnitario*(1+$AH220),ORÇAMENTO.PrecoUnitarioLicitado),15-13*$AF$10),0)</f>
        <v>0</v>
      </c>
      <c r="X220" s="127">
        <f ca="1">IF($C220="S",IF(Import.TipoArredondamento&lt;&gt;"TransfereGOV",VTOTAL1,SUM(OFFSET(CÁLCULO!$AA$15,ROW($X220)-ROW($X$15),1):OFFSET(CÁLCULO!$AL$15,ROW($X220)-ROW($X$15),-1))),IF($C220=0,0,ROUND(SomaAgrup,15-13*$AF$11)))</f>
        <v>0</v>
      </c>
      <c r="Y220" s="128" t="s">
        <v>245</v>
      </c>
      <c r="Z220" t="str">
        <f t="shared" ca="1" si="67"/>
        <v/>
      </c>
      <c r="AA220" s="129">
        <f ca="1">IF($C220="S",IF($Z220="CP",$X220,IF($Z220="RA",(($X220)*QCI!$AA$3),0)),SomaAgrup)</f>
        <v>0</v>
      </c>
      <c r="AB220" s="130">
        <f t="shared" ca="1" si="68"/>
        <v>0</v>
      </c>
      <c r="AC220" s="131" t="str">
        <f ca="1">IF($N220="","",IF(ORÇAMENTO.Descricao="","DESCRIÇÃO",IF(AND($C220="S",ORÇAMENTO.Unidade=""),"UNIDADE",IF($X220&lt;0,"VALOR NEGATIVO",IF(OR(AND(TIPOORCAMENTO="Proposto",$AG220&lt;&gt;"",$AG220&gt;0,ORÇAMENTO.CustoUnitario&gt;$AG220),AND(TIPOORCAMENTO="LICITADO",ORÇAMENTO.PrecoUnitarioLicitado&gt;$AN220)),"ACIMA REF.","")))))</f>
        <v/>
      </c>
      <c r="AD220" t="str">
        <f ca="1">IF(C220&lt;=CRONO.NivelExibicao,MAX($AD$15:OFFSET(AD220,-1,0))+IF($C220&lt;&gt;1,1,MAX(1,COUNTIF(QCI!$A$13:$A$24,OFFSET($E220,-1,0)))),"")</f>
        <v/>
      </c>
      <c r="AE220" s="7" t="str">
        <f ca="1">IF(AND($C220="S",ORÇAMENTO.CodBarra&lt;&gt;""),IF(ORÇAMENTO.Fonte="",ORÇAMENTO.CodBarra,CONCATENATE(ORÇAMENTO.Fonte," ",ORÇAMENTO.CodBarra)))</f>
        <v>Composição FNDE 298</v>
      </c>
      <c r="AF220" s="13" t="str">
        <f ca="1">IF(ISERROR(INDIRECT(ORÇAMENTO.BancoRef)),"(abra o arquivo 'Referência "&amp;Excel_BuiltIn_Database&amp;".xlsm)",IF(OR($C220&lt;&gt;"S",ORÇAMENTO.CodBarra=""),"(Sem Código)",IF(ISERROR(MATCH($AE220,INDIRECT(ORÇAMENTO.BancoRef),0)),"(Código não identificado nas referências)",MATCH($AE220,INDIRECT(ORÇAMENTO.BancoRef),0))))</f>
        <v>(abra o arquivo 'Referência 02-2025.xlsm)</v>
      </c>
      <c r="AG220" s="498">
        <f ca="1">ROUND(IF(DESONERACAO="sim",REFERENCIA.Desonerado,REFERENCIA.NaoDesonerado),2)</f>
        <v>0</v>
      </c>
      <c r="AH220" s="499">
        <f t="shared" ca="1" si="69"/>
        <v>0.22470000000000001</v>
      </c>
      <c r="AJ220" s="501">
        <v>32.9</v>
      </c>
      <c r="AL220" s="527"/>
      <c r="AM220" s="381">
        <f t="shared" ca="1" si="70"/>
        <v>0</v>
      </c>
      <c r="AN220" s="566">
        <f t="shared" ca="1" si="71"/>
        <v>0</v>
      </c>
    </row>
    <row r="221" spans="1:40" ht="25.5" x14ac:dyDescent="0.2">
      <c r="A221" t="str">
        <f t="shared" si="56"/>
        <v>S</v>
      </c>
      <c r="B221">
        <f t="shared" ca="1" si="57"/>
        <v>3</v>
      </c>
      <c r="C221" t="str">
        <f t="shared" ca="1" si="58"/>
        <v>S</v>
      </c>
      <c r="D221">
        <f t="shared" ca="1" si="59"/>
        <v>0</v>
      </c>
      <c r="E221">
        <f ca="1">IF($C221=1,OFFSET(E221,-1,0)+MAX(1,COUNTIF(QCI!$A$13:$A$24,OFFSET(ORÇAMENTO!E221,-1,0))),OFFSET(E221,-1,0))</f>
        <v>1</v>
      </c>
      <c r="F221">
        <f t="shared" ca="1" si="60"/>
        <v>10</v>
      </c>
      <c r="G221">
        <f t="shared" ca="1" si="61"/>
        <v>2</v>
      </c>
      <c r="H221">
        <f t="shared" ca="1" si="62"/>
        <v>0</v>
      </c>
      <c r="I221">
        <f t="shared" ca="1" si="63"/>
        <v>0</v>
      </c>
      <c r="J221">
        <f t="shared" ca="1" si="55"/>
        <v>0</v>
      </c>
      <c r="K221">
        <f ca="1">IF(OR($C221="S",$C221=0),0,MATCH(OFFSET($D221,0,$C221)+IF($C221&lt;&gt;1,1,COUNTIF(QCI!$A$13:$A$24,ORÇAMENTO!E221)),OFFSET($D221,1,$C221,ROW($C$747)-ROW($C221)),0))</f>
        <v>0</v>
      </c>
      <c r="L221" s="116" t="str">
        <f t="shared" ca="1" si="64"/>
        <v/>
      </c>
      <c r="M221" s="117" t="s">
        <v>199</v>
      </c>
      <c r="N221" s="118" t="str">
        <f t="shared" ca="1" si="65"/>
        <v>Serviço</v>
      </c>
      <c r="O221" s="119" t="str">
        <f t="shared" ca="1" si="66"/>
        <v>-</v>
      </c>
      <c r="P221" s="120" t="s">
        <v>712</v>
      </c>
      <c r="Q221" s="121" t="s">
        <v>1010</v>
      </c>
      <c r="R221" s="122" t="str">
        <f ca="1">IF($C221="S",REFERENCIA.Descricao,"(digite a descrição aqui)")</f>
        <v>(abra o arquivo 'Referência 02-2025.xlsm)</v>
      </c>
      <c r="S221" s="123" t="str">
        <f ca="1">REFERENCIA.Unidade</f>
        <v>-</v>
      </c>
      <c r="T221" s="124">
        <f ca="1">OFFSET(CÁLCULO!H$15,ROW($T221)-ROW(T$15),0)</f>
        <v>115.08</v>
      </c>
      <c r="U221" s="125">
        <f t="shared" ref="U221:U287" ca="1" si="72">AG221</f>
        <v>0</v>
      </c>
      <c r="V221" s="126" t="s">
        <v>156</v>
      </c>
      <c r="W221" s="124">
        <f ca="1">IF($C221="S",ROUND(IF(TIPOORCAMENTO="Proposto",ORÇAMENTO.CustoUnitario*(1+$AH221),ORÇAMENTO.PrecoUnitarioLicitado),15-13*$AF$10),0)</f>
        <v>0</v>
      </c>
      <c r="X221" s="127">
        <f ca="1">IF($C221="S",IF(Import.TipoArredondamento&lt;&gt;"TransfereGOV",VTOTAL1,SUM(OFFSET(CÁLCULO!$AA$15,ROW($X221)-ROW($X$15),1):OFFSET(CÁLCULO!$AL$15,ROW($X221)-ROW($X$15),-1))),IF($C221=0,0,ROUND(SomaAgrup,15-13*$AF$11)))</f>
        <v>0</v>
      </c>
      <c r="Y221" s="128" t="s">
        <v>245</v>
      </c>
      <c r="Z221" t="str">
        <f t="shared" ca="1" si="67"/>
        <v/>
      </c>
      <c r="AA221" s="129">
        <f ca="1">IF($C221="S",IF($Z221="CP",$X221,IF($Z221="RA",(($X221)*QCI!$AA$3),0)),SomaAgrup)</f>
        <v>0</v>
      </c>
      <c r="AB221" s="130">
        <f t="shared" ca="1" si="68"/>
        <v>0</v>
      </c>
      <c r="AC221" s="131" t="str">
        <f ca="1">IF($N221="","",IF(ORÇAMENTO.Descricao="","DESCRIÇÃO",IF(AND($C221="S",ORÇAMENTO.Unidade=""),"UNIDADE",IF($X221&lt;0,"VALOR NEGATIVO",IF(OR(AND(TIPOORCAMENTO="Proposto",$AG221&lt;&gt;"",$AG221&gt;0,ORÇAMENTO.CustoUnitario&gt;$AG221),AND(TIPOORCAMENTO="LICITADO",ORÇAMENTO.PrecoUnitarioLicitado&gt;$AN221)),"ACIMA REF.","")))))</f>
        <v/>
      </c>
      <c r="AD221" t="str">
        <f ca="1">IF(C221&lt;=CRONO.NivelExibicao,MAX($AD$15:OFFSET(AD221,-1,0))+IF($C221&lt;&gt;1,1,MAX(1,COUNTIF(QCI!$A$13:$A$24,OFFSET($E221,-1,0)))),"")</f>
        <v/>
      </c>
      <c r="AE221" s="7" t="str">
        <f ca="1">IF(AND($C221="S",ORÇAMENTO.CodBarra&lt;&gt;""),IF(ORÇAMENTO.Fonte="",ORÇAMENTO.CodBarra,CONCATENATE(ORÇAMENTO.Fonte," ",ORÇAMENTO.CodBarra)))</f>
        <v xml:space="preserve">Composição FNDE 297 </v>
      </c>
      <c r="AF221" s="13" t="str">
        <f ca="1">IF(ISERROR(INDIRECT(ORÇAMENTO.BancoRef)),"(abra o arquivo 'Referência "&amp;Excel_BuiltIn_Database&amp;".xlsm)",IF(OR($C221&lt;&gt;"S",ORÇAMENTO.CodBarra=""),"(Sem Código)",IF(ISERROR(MATCH($AE221,INDIRECT(ORÇAMENTO.BancoRef),0)),"(Código não identificado nas referências)",MATCH($AE221,INDIRECT(ORÇAMENTO.BancoRef),0))))</f>
        <v>(abra o arquivo 'Referência 02-2025.xlsm)</v>
      </c>
      <c r="AG221" s="498">
        <f ca="1">ROUND(IF(DESONERACAO="sim",REFERENCIA.Desonerado,REFERENCIA.NaoDesonerado),2)</f>
        <v>0</v>
      </c>
      <c r="AH221" s="499">
        <f t="shared" ca="1" si="69"/>
        <v>0.22470000000000001</v>
      </c>
      <c r="AJ221" s="501">
        <v>115.08</v>
      </c>
      <c r="AL221" s="527"/>
      <c r="AM221" s="381">
        <f t="shared" ca="1" si="70"/>
        <v>0</v>
      </c>
      <c r="AN221" s="566">
        <f t="shared" ca="1" si="71"/>
        <v>0</v>
      </c>
    </row>
    <row r="222" spans="1:40" ht="25.5" x14ac:dyDescent="0.2">
      <c r="A222" t="str">
        <f t="shared" si="56"/>
        <v>S</v>
      </c>
      <c r="B222">
        <f t="shared" ca="1" si="57"/>
        <v>3</v>
      </c>
      <c r="C222" t="str">
        <f t="shared" ca="1" si="58"/>
        <v>S</v>
      </c>
      <c r="D222">
        <f t="shared" ca="1" si="59"/>
        <v>0</v>
      </c>
      <c r="E222">
        <f ca="1">IF($C222=1,OFFSET(E222,-1,0)+MAX(1,COUNTIF(QCI!$A$13:$A$24,OFFSET(ORÇAMENTO!E222,-1,0))),OFFSET(E222,-1,0))</f>
        <v>1</v>
      </c>
      <c r="F222">
        <f t="shared" ca="1" si="60"/>
        <v>10</v>
      </c>
      <c r="G222">
        <f t="shared" ca="1" si="61"/>
        <v>2</v>
      </c>
      <c r="H222">
        <f t="shared" ca="1" si="62"/>
        <v>0</v>
      </c>
      <c r="I222">
        <f t="shared" ca="1" si="63"/>
        <v>0</v>
      </c>
      <c r="J222">
        <f t="shared" ca="1" si="55"/>
        <v>0</v>
      </c>
      <c r="K222">
        <f ca="1">IF(OR($C222="S",$C222=0),0,MATCH(OFFSET($D222,0,$C222)+IF($C222&lt;&gt;1,1,COUNTIF(QCI!$A$13:$A$24,ORÇAMENTO!E222)),OFFSET($D222,1,$C222,ROW($C$747)-ROW($C222)),0))</f>
        <v>0</v>
      </c>
      <c r="L222" s="116" t="str">
        <f t="shared" ca="1" si="64"/>
        <v/>
      </c>
      <c r="M222" s="117" t="s">
        <v>199</v>
      </c>
      <c r="N222" s="118" t="str">
        <f t="shared" ca="1" si="65"/>
        <v>Serviço</v>
      </c>
      <c r="O222" s="119" t="str">
        <f t="shared" ca="1" si="66"/>
        <v>-</v>
      </c>
      <c r="P222" s="120" t="s">
        <v>712</v>
      </c>
      <c r="Q222" s="121" t="s">
        <v>778</v>
      </c>
      <c r="R222" s="122" t="str">
        <f ca="1">IF($C222="S",REFERENCIA.Descricao,"(digite a descrição aqui)")</f>
        <v>(abra o arquivo 'Referência 02-2025.xlsm)</v>
      </c>
      <c r="S222" s="123" t="str">
        <f ca="1">REFERENCIA.Unidade</f>
        <v>-</v>
      </c>
      <c r="T222" s="124">
        <f ca="1">OFFSET(CÁLCULO!H$15,ROW($T222)-ROW(T$15),0)</f>
        <v>30.19</v>
      </c>
      <c r="U222" s="125">
        <f t="shared" ca="1" si="72"/>
        <v>0</v>
      </c>
      <c r="V222" s="126" t="s">
        <v>156</v>
      </c>
      <c r="W222" s="124">
        <f ca="1">IF($C222="S",ROUND(IF(TIPOORCAMENTO="Proposto",ORÇAMENTO.CustoUnitario*(1+$AH222),ORÇAMENTO.PrecoUnitarioLicitado),15-13*$AF$10),0)</f>
        <v>0</v>
      </c>
      <c r="X222" s="127">
        <f ca="1">IF($C222="S",IF(Import.TipoArredondamento&lt;&gt;"TransfereGOV",VTOTAL1,SUM(OFFSET(CÁLCULO!$AA$15,ROW($X222)-ROW($X$15),1):OFFSET(CÁLCULO!$AL$15,ROW($X222)-ROW($X$15),-1))),IF($C222=0,0,ROUND(SomaAgrup,15-13*$AF$11)))</f>
        <v>0</v>
      </c>
      <c r="Y222" s="128" t="s">
        <v>245</v>
      </c>
      <c r="Z222" t="str">
        <f t="shared" ca="1" si="67"/>
        <v/>
      </c>
      <c r="AA222" s="129">
        <f ca="1">IF($C222="S",IF($Z222="CP",$X222,IF($Z222="RA",(($X222)*QCI!$AA$3),0)),SomaAgrup)</f>
        <v>0</v>
      </c>
      <c r="AB222" s="130">
        <f t="shared" ca="1" si="68"/>
        <v>0</v>
      </c>
      <c r="AC222" s="131" t="str">
        <f ca="1">IF($N222="","",IF(ORÇAMENTO.Descricao="","DESCRIÇÃO",IF(AND($C222="S",ORÇAMENTO.Unidade=""),"UNIDADE",IF($X222&lt;0,"VALOR NEGATIVO",IF(OR(AND(TIPOORCAMENTO="Proposto",$AG222&lt;&gt;"",$AG222&gt;0,ORÇAMENTO.CustoUnitario&gt;$AG222),AND(TIPOORCAMENTO="LICITADO",ORÇAMENTO.PrecoUnitarioLicitado&gt;$AN222)),"ACIMA REF.","")))))</f>
        <v/>
      </c>
      <c r="AD222" t="str">
        <f ca="1">IF(C222&lt;=CRONO.NivelExibicao,MAX($AD$15:OFFSET(AD222,-1,0))+IF($C222&lt;&gt;1,1,MAX(1,COUNTIF(QCI!$A$13:$A$24,OFFSET($E222,-1,0)))),"")</f>
        <v/>
      </c>
      <c r="AE222" s="7" t="str">
        <f ca="1">IF(AND($C222="S",ORÇAMENTO.CodBarra&lt;&gt;""),IF(ORÇAMENTO.Fonte="",ORÇAMENTO.CodBarra,CONCATENATE(ORÇAMENTO.Fonte," ",ORÇAMENTO.CodBarra)))</f>
        <v>Composição FNDE 299</v>
      </c>
      <c r="AF222" s="13" t="str">
        <f ca="1">IF(ISERROR(INDIRECT(ORÇAMENTO.BancoRef)),"(abra o arquivo 'Referência "&amp;Excel_BuiltIn_Database&amp;".xlsm)",IF(OR($C222&lt;&gt;"S",ORÇAMENTO.CodBarra=""),"(Sem Código)",IF(ISERROR(MATCH($AE222,INDIRECT(ORÇAMENTO.BancoRef),0)),"(Código não identificado nas referências)",MATCH($AE222,INDIRECT(ORÇAMENTO.BancoRef),0))))</f>
        <v>(abra o arquivo 'Referência 02-2025.xlsm)</v>
      </c>
      <c r="AG222" s="498">
        <f ca="1">ROUND(IF(DESONERACAO="sim",REFERENCIA.Desonerado,REFERENCIA.NaoDesonerado),2)</f>
        <v>0</v>
      </c>
      <c r="AH222" s="499">
        <f t="shared" ca="1" si="69"/>
        <v>0.22470000000000001</v>
      </c>
      <c r="AJ222" s="501">
        <v>30.19</v>
      </c>
      <c r="AL222" s="527"/>
      <c r="AM222" s="381">
        <f t="shared" ca="1" si="70"/>
        <v>0</v>
      </c>
      <c r="AN222" s="566">
        <f t="shared" ca="1" si="71"/>
        <v>0</v>
      </c>
    </row>
    <row r="223" spans="1:40" ht="25.5" x14ac:dyDescent="0.2">
      <c r="A223" t="str">
        <f t="shared" si="56"/>
        <v>S</v>
      </c>
      <c r="B223">
        <f t="shared" ca="1" si="57"/>
        <v>3</v>
      </c>
      <c r="C223" t="str">
        <f t="shared" ca="1" si="58"/>
        <v>S</v>
      </c>
      <c r="D223">
        <f t="shared" ca="1" si="59"/>
        <v>0</v>
      </c>
      <c r="E223">
        <f ca="1">IF($C223=1,OFFSET(E223,-1,0)+MAX(1,COUNTIF(QCI!$A$13:$A$24,OFFSET(ORÇAMENTO!E223,-1,0))),OFFSET(E223,-1,0))</f>
        <v>1</v>
      </c>
      <c r="F223">
        <f t="shared" ca="1" si="60"/>
        <v>10</v>
      </c>
      <c r="G223">
        <f t="shared" ca="1" si="61"/>
        <v>2</v>
      </c>
      <c r="H223">
        <f t="shared" ca="1" si="62"/>
        <v>0</v>
      </c>
      <c r="I223">
        <f t="shared" ca="1" si="63"/>
        <v>0</v>
      </c>
      <c r="J223">
        <f t="shared" ca="1" si="55"/>
        <v>0</v>
      </c>
      <c r="K223">
        <f ca="1">IF(OR($C223="S",$C223=0),0,MATCH(OFFSET($D223,0,$C223)+IF($C223&lt;&gt;1,1,COUNTIF(QCI!$A$13:$A$24,ORÇAMENTO!E223)),OFFSET($D223,1,$C223,ROW($C$747)-ROW($C223)),0))</f>
        <v>0</v>
      </c>
      <c r="L223" s="116" t="str">
        <f t="shared" ca="1" si="64"/>
        <v/>
      </c>
      <c r="M223" s="117" t="s">
        <v>199</v>
      </c>
      <c r="N223" s="118" t="str">
        <f t="shared" ca="1" si="65"/>
        <v>Serviço</v>
      </c>
      <c r="O223" s="119" t="str">
        <f t="shared" ca="1" si="66"/>
        <v>-</v>
      </c>
      <c r="P223" s="120" t="s">
        <v>712</v>
      </c>
      <c r="Q223" s="121" t="s">
        <v>779</v>
      </c>
      <c r="R223" s="122" t="str">
        <f ca="1">IF($C223="S",REFERENCIA.Descricao,"(digite a descrição aqui)")</f>
        <v>(abra o arquivo 'Referência 02-2025.xlsm)</v>
      </c>
      <c r="S223" s="123" t="str">
        <f ca="1">REFERENCIA.Unidade</f>
        <v>-</v>
      </c>
      <c r="T223" s="124">
        <f ca="1">OFFSET(CÁLCULO!H$15,ROW($T223)-ROW(T$15),0)</f>
        <v>220.11</v>
      </c>
      <c r="U223" s="125">
        <f t="shared" ca="1" si="72"/>
        <v>0</v>
      </c>
      <c r="V223" s="126" t="s">
        <v>156</v>
      </c>
      <c r="W223" s="124">
        <f ca="1">IF($C223="S",ROUND(IF(TIPOORCAMENTO="Proposto",ORÇAMENTO.CustoUnitario*(1+$AH223),ORÇAMENTO.PrecoUnitarioLicitado),15-13*$AF$10),0)</f>
        <v>0</v>
      </c>
      <c r="X223" s="127">
        <f ca="1">IF($C223="S",IF(Import.TipoArredondamento&lt;&gt;"TransfereGOV",VTOTAL1,SUM(OFFSET(CÁLCULO!$AA$15,ROW($X223)-ROW($X$15),1):OFFSET(CÁLCULO!$AL$15,ROW($X223)-ROW($X$15),-1))),IF($C223=0,0,ROUND(SomaAgrup,15-13*$AF$11)))</f>
        <v>0</v>
      </c>
      <c r="Y223" s="128" t="s">
        <v>245</v>
      </c>
      <c r="Z223" t="str">
        <f t="shared" ca="1" si="67"/>
        <v/>
      </c>
      <c r="AA223" s="129">
        <f ca="1">IF($C223="S",IF($Z223="CP",$X223,IF($Z223="RA",(($X223)*QCI!$AA$3),0)),SomaAgrup)</f>
        <v>0</v>
      </c>
      <c r="AB223" s="130">
        <f t="shared" ca="1" si="68"/>
        <v>0</v>
      </c>
      <c r="AC223" s="131" t="str">
        <f ca="1">IF($N223="","",IF(ORÇAMENTO.Descricao="","DESCRIÇÃO",IF(AND($C223="S",ORÇAMENTO.Unidade=""),"UNIDADE",IF($X223&lt;0,"VALOR NEGATIVO",IF(OR(AND(TIPOORCAMENTO="Proposto",$AG223&lt;&gt;"",$AG223&gt;0,ORÇAMENTO.CustoUnitario&gt;$AG223),AND(TIPOORCAMENTO="LICITADO",ORÇAMENTO.PrecoUnitarioLicitado&gt;$AN223)),"ACIMA REF.","")))))</f>
        <v/>
      </c>
      <c r="AD223" t="str">
        <f ca="1">IF(C223&lt;=CRONO.NivelExibicao,MAX($AD$15:OFFSET(AD223,-1,0))+IF($C223&lt;&gt;1,1,MAX(1,COUNTIF(QCI!$A$13:$A$24,OFFSET($E223,-1,0)))),"")</f>
        <v/>
      </c>
      <c r="AE223" s="7" t="str">
        <f ca="1">IF(AND($C223="S",ORÇAMENTO.CodBarra&lt;&gt;""),IF(ORÇAMENTO.Fonte="",ORÇAMENTO.CodBarra,CONCATENATE(ORÇAMENTO.Fonte," ",ORÇAMENTO.CodBarra)))</f>
        <v>Composição FNDE 300</v>
      </c>
      <c r="AF223" s="13" t="str">
        <f ca="1">IF(ISERROR(INDIRECT(ORÇAMENTO.BancoRef)),"(abra o arquivo 'Referência "&amp;Excel_BuiltIn_Database&amp;".xlsm)",IF(OR($C223&lt;&gt;"S",ORÇAMENTO.CodBarra=""),"(Sem Código)",IF(ISERROR(MATCH($AE223,INDIRECT(ORÇAMENTO.BancoRef),0)),"(Código não identificado nas referências)",MATCH($AE223,INDIRECT(ORÇAMENTO.BancoRef),0))))</f>
        <v>(abra o arquivo 'Referência 02-2025.xlsm)</v>
      </c>
      <c r="AG223" s="498">
        <f ca="1">ROUND(IF(DESONERACAO="sim",REFERENCIA.Desonerado,REFERENCIA.NaoDesonerado),2)</f>
        <v>0</v>
      </c>
      <c r="AH223" s="499">
        <f t="shared" ca="1" si="69"/>
        <v>0.22470000000000001</v>
      </c>
      <c r="AJ223" s="501">
        <v>220.11</v>
      </c>
      <c r="AL223" s="527"/>
      <c r="AM223" s="381">
        <f t="shared" ca="1" si="70"/>
        <v>0</v>
      </c>
      <c r="AN223" s="566">
        <f t="shared" ca="1" si="71"/>
        <v>0</v>
      </c>
    </row>
    <row r="224" spans="1:40" ht="25.5" x14ac:dyDescent="0.2">
      <c r="A224" t="str">
        <f t="shared" si="56"/>
        <v>S</v>
      </c>
      <c r="B224">
        <f t="shared" ca="1" si="57"/>
        <v>3</v>
      </c>
      <c r="C224" t="str">
        <f t="shared" ca="1" si="58"/>
        <v>S</v>
      </c>
      <c r="D224">
        <f t="shared" ca="1" si="59"/>
        <v>0</v>
      </c>
      <c r="E224">
        <f ca="1">IF($C224=1,OFFSET(E224,-1,0)+MAX(1,COUNTIF(QCI!$A$13:$A$24,OFFSET(ORÇAMENTO!E224,-1,0))),OFFSET(E224,-1,0))</f>
        <v>1</v>
      </c>
      <c r="F224">
        <f t="shared" ca="1" si="60"/>
        <v>10</v>
      </c>
      <c r="G224">
        <f t="shared" ca="1" si="61"/>
        <v>2</v>
      </c>
      <c r="H224">
        <f t="shared" ca="1" si="62"/>
        <v>0</v>
      </c>
      <c r="I224">
        <f t="shared" ca="1" si="63"/>
        <v>0</v>
      </c>
      <c r="J224">
        <f t="shared" ca="1" si="55"/>
        <v>0</v>
      </c>
      <c r="K224">
        <f ca="1">IF(OR($C224="S",$C224=0),0,MATCH(OFFSET($D224,0,$C224)+IF($C224&lt;&gt;1,1,COUNTIF(QCI!$A$13:$A$24,ORÇAMENTO!E224)),OFFSET($D224,1,$C224,ROW($C$747)-ROW($C224)),0))</f>
        <v>0</v>
      </c>
      <c r="L224" s="116" t="str">
        <f t="shared" ca="1" si="64"/>
        <v/>
      </c>
      <c r="M224" s="117" t="s">
        <v>199</v>
      </c>
      <c r="N224" s="118" t="str">
        <f t="shared" ca="1" si="65"/>
        <v>Serviço</v>
      </c>
      <c r="O224" s="119" t="str">
        <f t="shared" ca="1" si="66"/>
        <v>-</v>
      </c>
      <c r="P224" s="120" t="s">
        <v>247</v>
      </c>
      <c r="Q224" s="121" t="s">
        <v>497</v>
      </c>
      <c r="R224" s="122" t="str">
        <f ca="1">IF($C224="S",REFERENCIA.Descricao,"(digite a descrição aqui)")</f>
        <v>(abra o arquivo 'Referência 02-2025.xlsm)</v>
      </c>
      <c r="S224" s="123" t="str">
        <f ca="1">REFERENCIA.Unidade</f>
        <v>-</v>
      </c>
      <c r="T224" s="124">
        <f ca="1">OFFSET(CÁLCULO!H$15,ROW($T224)-ROW(T$15),0)</f>
        <v>74.13</v>
      </c>
      <c r="U224" s="125">
        <f t="shared" ca="1" si="72"/>
        <v>0</v>
      </c>
      <c r="V224" s="126" t="s">
        <v>156</v>
      </c>
      <c r="W224" s="124">
        <f ca="1">IF($C224="S",ROUND(IF(TIPOORCAMENTO="Proposto",ORÇAMENTO.CustoUnitario*(1+$AH224),ORÇAMENTO.PrecoUnitarioLicitado),15-13*$AF$10),0)</f>
        <v>0</v>
      </c>
      <c r="X224" s="127">
        <f ca="1">IF($C224="S",IF(Import.TipoArredondamento&lt;&gt;"TransfereGOV",VTOTAL1,SUM(OFFSET(CÁLCULO!$AA$15,ROW($X224)-ROW($X$15),1):OFFSET(CÁLCULO!$AL$15,ROW($X224)-ROW($X$15),-1))),IF($C224=0,0,ROUND(SomaAgrup,15-13*$AF$11)))</f>
        <v>0</v>
      </c>
      <c r="Y224" s="128" t="s">
        <v>245</v>
      </c>
      <c r="Z224" t="str">
        <f t="shared" ca="1" si="67"/>
        <v/>
      </c>
      <c r="AA224" s="129">
        <f ca="1">IF($C224="S",IF($Z224="CP",$X224,IF($Z224="RA",(($X224)*QCI!$AA$3),0)),SomaAgrup)</f>
        <v>0</v>
      </c>
      <c r="AB224" s="130">
        <f t="shared" ca="1" si="68"/>
        <v>0</v>
      </c>
      <c r="AC224" s="131" t="str">
        <f ca="1">IF($N224="","",IF(ORÇAMENTO.Descricao="","DESCRIÇÃO",IF(AND($C224="S",ORÇAMENTO.Unidade=""),"UNIDADE",IF($X224&lt;0,"VALOR NEGATIVO",IF(OR(AND(TIPOORCAMENTO="Proposto",$AG224&lt;&gt;"",$AG224&gt;0,ORÇAMENTO.CustoUnitario&gt;$AG224),AND(TIPOORCAMENTO="LICITADO",ORÇAMENTO.PrecoUnitarioLicitado&gt;$AN224)),"ACIMA REF.","")))))</f>
        <v/>
      </c>
      <c r="AD224" t="str">
        <f ca="1">IF(C224&lt;=CRONO.NivelExibicao,MAX($AD$15:OFFSET(AD224,-1,0))+IF($C224&lt;&gt;1,1,MAX(1,COUNTIF(QCI!$A$13:$A$24,OFFSET($E224,-1,0)))),"")</f>
        <v/>
      </c>
      <c r="AE224" s="7" t="str">
        <f ca="1">IF(AND($C224="S",ORÇAMENTO.CodBarra&lt;&gt;""),IF(ORÇAMENTO.Fonte="",ORÇAMENTO.CodBarra,CONCATENATE(ORÇAMENTO.Fonte," ",ORÇAMENTO.CodBarra)))</f>
        <v>SINAPI 88650</v>
      </c>
      <c r="AF224" s="13" t="str">
        <f ca="1">IF(ISERROR(INDIRECT(ORÇAMENTO.BancoRef)),"(abra o arquivo 'Referência "&amp;Excel_BuiltIn_Database&amp;".xlsm)",IF(OR($C224&lt;&gt;"S",ORÇAMENTO.CodBarra=""),"(Sem Código)",IF(ISERROR(MATCH($AE224,INDIRECT(ORÇAMENTO.BancoRef),0)),"(Código não identificado nas referências)",MATCH($AE224,INDIRECT(ORÇAMENTO.BancoRef),0))))</f>
        <v>(abra o arquivo 'Referência 02-2025.xlsm)</v>
      </c>
      <c r="AG224" s="498">
        <f ca="1">ROUND(IF(DESONERACAO="sim",REFERENCIA.Desonerado,REFERENCIA.NaoDesonerado),2)</f>
        <v>0</v>
      </c>
      <c r="AH224" s="499">
        <f t="shared" ca="1" si="69"/>
        <v>0.22470000000000001</v>
      </c>
      <c r="AJ224" s="501">
        <v>74.13</v>
      </c>
      <c r="AL224" s="527"/>
      <c r="AM224" s="381">
        <f t="shared" ca="1" si="70"/>
        <v>0</v>
      </c>
      <c r="AN224" s="566">
        <f t="shared" ca="1" si="71"/>
        <v>0</v>
      </c>
    </row>
    <row r="225" spans="1:40" x14ac:dyDescent="0.2">
      <c r="A225" t="str">
        <f t="shared" si="56"/>
        <v>S</v>
      </c>
      <c r="B225">
        <f t="shared" ca="1" si="57"/>
        <v>3</v>
      </c>
      <c r="C225" t="str">
        <f t="shared" ca="1" si="58"/>
        <v>S</v>
      </c>
      <c r="D225">
        <f t="shared" ca="1" si="59"/>
        <v>0</v>
      </c>
      <c r="E225">
        <f ca="1">IF($C225=1,OFFSET(E225,-1,0)+MAX(1,COUNTIF(QCI!$A$13:$A$24,OFFSET(ORÇAMENTO!E225,-1,0))),OFFSET(E225,-1,0))</f>
        <v>1</v>
      </c>
      <c r="F225">
        <f t="shared" ca="1" si="60"/>
        <v>10</v>
      </c>
      <c r="G225">
        <f t="shared" ca="1" si="61"/>
        <v>2</v>
      </c>
      <c r="H225">
        <f t="shared" ca="1" si="62"/>
        <v>0</v>
      </c>
      <c r="I225">
        <f t="shared" ca="1" si="63"/>
        <v>0</v>
      </c>
      <c r="J225">
        <f t="shared" ca="1" si="55"/>
        <v>0</v>
      </c>
      <c r="K225">
        <f ca="1">IF(OR($C225="S",$C225=0),0,MATCH(OFFSET($D225,0,$C225)+IF($C225&lt;&gt;1,1,COUNTIF(QCI!$A$13:$A$24,ORÇAMENTO!E225)),OFFSET($D225,1,$C225,ROW($C$747)-ROW($C225)),0))</f>
        <v>0</v>
      </c>
      <c r="L225" s="116" t="str">
        <f t="shared" ca="1" si="64"/>
        <v/>
      </c>
      <c r="M225" s="117" t="s">
        <v>199</v>
      </c>
      <c r="N225" s="118" t="str">
        <f t="shared" ca="1" si="65"/>
        <v>Serviço</v>
      </c>
      <c r="O225" s="119" t="str">
        <f t="shared" ca="1" si="66"/>
        <v>-</v>
      </c>
      <c r="P225" s="120" t="s">
        <v>247</v>
      </c>
      <c r="Q225" s="121" t="s">
        <v>498</v>
      </c>
      <c r="R225" s="122" t="str">
        <f ca="1">IF($C225="S",REFERENCIA.Descricao,"(digite a descrição aqui)")</f>
        <v>(abra o arquivo 'Referência 02-2025.xlsm)</v>
      </c>
      <c r="S225" s="123" t="str">
        <f ca="1">REFERENCIA.Unidade</f>
        <v>-</v>
      </c>
      <c r="T225" s="124">
        <f ca="1">OFFSET(CÁLCULO!H$15,ROW($T225)-ROW(T$15),0)</f>
        <v>199.86</v>
      </c>
      <c r="U225" s="125">
        <f t="shared" ca="1" si="72"/>
        <v>0</v>
      </c>
      <c r="V225" s="126" t="s">
        <v>156</v>
      </c>
      <c r="W225" s="124">
        <f ca="1">IF($C225="S",ROUND(IF(TIPOORCAMENTO="Proposto",ORÇAMENTO.CustoUnitario*(1+$AH225),ORÇAMENTO.PrecoUnitarioLicitado),15-13*$AF$10),0)</f>
        <v>0</v>
      </c>
      <c r="X225" s="127">
        <f ca="1">IF($C225="S",IF(Import.TipoArredondamento&lt;&gt;"TransfereGOV",VTOTAL1,SUM(OFFSET(CÁLCULO!$AA$15,ROW($X225)-ROW($X$15),1):OFFSET(CÁLCULO!$AL$15,ROW($X225)-ROW($X$15),-1))),IF($C225=0,0,ROUND(SomaAgrup,15-13*$AF$11)))</f>
        <v>0</v>
      </c>
      <c r="Y225" s="128" t="s">
        <v>245</v>
      </c>
      <c r="Z225" t="str">
        <f t="shared" ca="1" si="67"/>
        <v/>
      </c>
      <c r="AA225" s="129">
        <f ca="1">IF($C225="S",IF($Z225="CP",$X225,IF($Z225="RA",(($X225)*QCI!$AA$3),0)),SomaAgrup)</f>
        <v>0</v>
      </c>
      <c r="AB225" s="130">
        <f t="shared" ca="1" si="68"/>
        <v>0</v>
      </c>
      <c r="AC225" s="131" t="str">
        <f ca="1">IF($N225="","",IF(ORÇAMENTO.Descricao="","DESCRIÇÃO",IF(AND($C225="S",ORÇAMENTO.Unidade=""),"UNIDADE",IF($X225&lt;0,"VALOR NEGATIVO",IF(OR(AND(TIPOORCAMENTO="Proposto",$AG225&lt;&gt;"",$AG225&gt;0,ORÇAMENTO.CustoUnitario&gt;$AG225),AND(TIPOORCAMENTO="LICITADO",ORÇAMENTO.PrecoUnitarioLicitado&gt;$AN225)),"ACIMA REF.","")))))</f>
        <v/>
      </c>
      <c r="AD225" t="str">
        <f ca="1">IF(C225&lt;=CRONO.NivelExibicao,MAX($AD$15:OFFSET(AD225,-1,0))+IF($C225&lt;&gt;1,1,MAX(1,COUNTIF(QCI!$A$13:$A$24,OFFSET($E225,-1,0)))),"")</f>
        <v/>
      </c>
      <c r="AE225" s="7" t="str">
        <f ca="1">IF(AND($C225="S",ORÇAMENTO.CodBarra&lt;&gt;""),IF(ORÇAMENTO.Fonte="",ORÇAMENTO.CodBarra,CONCATENATE(ORÇAMENTO.Fonte," ",ORÇAMENTO.CodBarra)))</f>
        <v>SINAPI 98688</v>
      </c>
      <c r="AF225" s="13" t="str">
        <f ca="1">IF(ISERROR(INDIRECT(ORÇAMENTO.BancoRef)),"(abra o arquivo 'Referência "&amp;Excel_BuiltIn_Database&amp;".xlsm)",IF(OR($C225&lt;&gt;"S",ORÇAMENTO.CodBarra=""),"(Sem Código)",IF(ISERROR(MATCH($AE225,INDIRECT(ORÇAMENTO.BancoRef),0)),"(Código não identificado nas referências)",MATCH($AE225,INDIRECT(ORÇAMENTO.BancoRef),0))))</f>
        <v>(abra o arquivo 'Referência 02-2025.xlsm)</v>
      </c>
      <c r="AG225" s="498">
        <f ca="1">ROUND(IF(DESONERACAO="sim",REFERENCIA.Desonerado,REFERENCIA.NaoDesonerado),2)</f>
        <v>0</v>
      </c>
      <c r="AH225" s="499">
        <f t="shared" ca="1" si="69"/>
        <v>0.22470000000000001</v>
      </c>
      <c r="AJ225" s="501">
        <v>199.86</v>
      </c>
      <c r="AL225" s="527"/>
      <c r="AM225" s="381">
        <f t="shared" ca="1" si="70"/>
        <v>0</v>
      </c>
      <c r="AN225" s="566">
        <f t="shared" ca="1" si="71"/>
        <v>0</v>
      </c>
    </row>
    <row r="226" spans="1:40" ht="25.5" x14ac:dyDescent="0.2">
      <c r="A226" t="str">
        <f>CHOOSE(1+LOG(1+2*(ORÇAMENTO.Nivel="Meta")+4*(ORÇAMENTO.Nivel="Nível 2")+8*(ORÇAMENTO.Nivel="Nível 3")+16*(ORÇAMENTO.Nivel="Nível 4")+32*(ORÇAMENTO.Nivel="Serviço"),2),0,1,2,3,4,"S")</f>
        <v>S</v>
      </c>
      <c r="B226">
        <f ca="1">IF(OR(C226="s",C226=0),OFFSET(B226,-1,0),C226)</f>
        <v>3</v>
      </c>
      <c r="C226" t="str">
        <f ca="1">IF(OFFSET(C226,-1,0)="L",1,IF(OFFSET(C226,-1,0)=1,2,IF(OR(A226="s",A226=0),"S",IF(AND(OFFSET(C226,-1,0)=2,A226=4),3,IF(AND(OR(OFFSET(C226,-1,0)="s",OFFSET(C226,-1,0)=0),A226&lt;&gt;"s",A226&gt;OFFSET(B226,-1,0)),OFFSET(B226,-1,0),A226)))))</f>
        <v>S</v>
      </c>
      <c r="D226">
        <f ca="1">IF(OR(C226="S",C226=0),0,IF(ISERROR(K226),J226,SMALL(J226:K226,1)))</f>
        <v>0</v>
      </c>
      <c r="E226">
        <f ca="1">IF($C226=1,OFFSET(E226,-1,0)+MAX(1,COUNTIF(QCI!$A$13:$A$24,OFFSET(ORÇAMENTO!E226,-1,0))),OFFSET(E226,-1,0))</f>
        <v>1</v>
      </c>
      <c r="F226">
        <f ca="1">IF($C226=1,0,IF($C226=2,OFFSET(F226,-1,0)+1,OFFSET(F226,-1,0)))</f>
        <v>10</v>
      </c>
      <c r="G226">
        <f ca="1">IF(AND($C226&lt;=2,$C226&lt;&gt;0),0,IF($C226=3,OFFSET(G226,-1,0)+1,OFFSET(G226,-1,0)))</f>
        <v>2</v>
      </c>
      <c r="H226">
        <f ca="1">IF(AND($C226&lt;=3,$C226&lt;&gt;0),0,IF($C226=4,OFFSET(H226,-1,0)+1,OFFSET(H226,-1,0)))</f>
        <v>0</v>
      </c>
      <c r="I226">
        <f ca="1">IF(AND($C226&lt;=4,$C226&lt;&gt;0),0,IF(AND($C226="S",$X226&gt;0),OFFSET(I226,-1,0)+1,OFFSET(I226,-1,0)))</f>
        <v>0</v>
      </c>
      <c r="J226">
        <f t="shared" ca="1" si="55"/>
        <v>0</v>
      </c>
      <c r="K226">
        <f ca="1">IF(OR($C226="S",$C226=0),0,MATCH(OFFSET($D226,0,$C226)+IF($C226&lt;&gt;1,1,COUNTIF(QCI!$A$13:$A$24,ORÇAMENTO!E226)),OFFSET($D226,1,$C226,ROW($C$747)-ROW($C226)),0))</f>
        <v>0</v>
      </c>
      <c r="L226" s="116" t="str">
        <f ca="1">IF(OR($X226&gt;0,$C226=1,$C226=2,$C226=3,$C226=4),"F","")</f>
        <v/>
      </c>
      <c r="M226" s="117" t="s">
        <v>199</v>
      </c>
      <c r="N226" s="118" t="str">
        <f ca="1">CHOOSE(1+LOG(1+2*(C226=1)+4*(C226=2)+8*(C226=3)+16*(C226=4)+32*(C226="S"),2),"","Meta","Nível 2","Nível 3","Nível 4","Serviço")</f>
        <v>Serviço</v>
      </c>
      <c r="O226" s="119" t="str">
        <f ca="1">IF(OR($C226=0,$L226=""),"-",CONCATENATE(E226&amp;".",IF(AND($A$5&gt;=2,$C226&gt;=2),F226&amp;".",""),IF(AND($A$5&gt;=3,$C226&gt;=3),G226&amp;".",""),IF(AND($A$5&gt;=4,$C226&gt;=4),H226&amp;".",""),IF($C226="S",I226&amp;".","")))</f>
        <v>-</v>
      </c>
      <c r="P226" s="120" t="s">
        <v>247</v>
      </c>
      <c r="Q226" s="121" t="s">
        <v>499</v>
      </c>
      <c r="R226" s="122" t="str">
        <f ca="1">IF($C226="S",REFERENCIA.Descricao,"(digite a descrição aqui)")</f>
        <v>(abra o arquivo 'Referência 02-2025.xlsm)</v>
      </c>
      <c r="S226" s="123" t="str">
        <f ca="1">REFERENCIA.Unidade</f>
        <v>-</v>
      </c>
      <c r="T226" s="124">
        <f ca="1">OFFSET(CÁLCULO!H$15,ROW($T226)-ROW(T$15),0)</f>
        <v>107.69</v>
      </c>
      <c r="U226" s="125">
        <f t="shared" ca="1" si="72"/>
        <v>0</v>
      </c>
      <c r="V226" s="126" t="s">
        <v>156</v>
      </c>
      <c r="W226" s="124">
        <f ca="1">IF($C226="S",ROUND(IF(TIPOORCAMENTO="Proposto",ORÇAMENTO.CustoUnitario*(1+$AH226),ORÇAMENTO.PrecoUnitarioLicitado),15-13*$AF$10),0)</f>
        <v>0</v>
      </c>
      <c r="X226" s="127">
        <f ca="1">IF($C226="S",IF(Import.TipoArredondamento&lt;&gt;"TransfereGOV",VTOTAL1,SUM(OFFSET(CÁLCULO!$AA$15,ROW($X226)-ROW($X$15),1):OFFSET(CÁLCULO!$AL$15,ROW($X226)-ROW($X$15),-1))),IF($C226=0,0,ROUND(SomaAgrup,15-13*$AF$11)))</f>
        <v>0</v>
      </c>
      <c r="Y226" s="128" t="s">
        <v>245</v>
      </c>
      <c r="Z226" t="str">
        <f ca="1">IF(AND($C226="S",$X226&gt;0),IF(ISBLANK($Y226),"RA",LEFT($Y226,2)),"")</f>
        <v/>
      </c>
      <c r="AA226" s="129">
        <f ca="1">IF($C226="S",IF($Z226="CP",$X226,IF($Z226="RA",(($X226)*QCI!$AA$3),0)),SomaAgrup)</f>
        <v>0</v>
      </c>
      <c r="AB226" s="130">
        <f ca="1">IF($C226="S",IF($Z226="OU",ROUND($X226,2),0),SomaAgrup)</f>
        <v>0</v>
      </c>
      <c r="AC226" s="131" t="str">
        <f ca="1">IF($N226="","",IF(ORÇAMENTO.Descricao="","DESCRIÇÃO",IF(AND($C226="S",ORÇAMENTO.Unidade=""),"UNIDADE",IF($X226&lt;0,"VALOR NEGATIVO",IF(OR(AND(TIPOORCAMENTO="Proposto",$AG226&lt;&gt;"",$AG226&gt;0,ORÇAMENTO.CustoUnitario&gt;$AG226),AND(TIPOORCAMENTO="LICITADO",ORÇAMENTO.PrecoUnitarioLicitado&gt;$AN226)),"ACIMA REF.","")))))</f>
        <v/>
      </c>
      <c r="AD226" t="str">
        <f ca="1">IF(C226&lt;=CRONO.NivelExibicao,MAX($AD$15:OFFSET(AD226,-1,0))+IF($C226&lt;&gt;1,1,MAX(1,COUNTIF(QCI!$A$13:$A$24,OFFSET($E226,-1,0)))),"")</f>
        <v/>
      </c>
      <c r="AE226" s="7" t="str">
        <f ca="1">IF(AND($C226="S",ORÇAMENTO.CodBarra&lt;&gt;""),IF(ORÇAMENTO.Fonte="",ORÇAMENTO.CodBarra,CONCATENATE(ORÇAMENTO.Fonte," ",ORÇAMENTO.CodBarra)))</f>
        <v>SINAPI 98689</v>
      </c>
      <c r="AF226" s="13" t="str">
        <f ca="1">IF(ISERROR(INDIRECT(ORÇAMENTO.BancoRef)),"(abra o arquivo 'Referência "&amp;Excel_BuiltIn_Database&amp;".xlsm)",IF(OR($C226&lt;&gt;"S",ORÇAMENTO.CodBarra=""),"(Sem Código)",IF(ISERROR(MATCH($AE226,INDIRECT(ORÇAMENTO.BancoRef),0)),"(Código não identificado nas referências)",MATCH($AE226,INDIRECT(ORÇAMENTO.BancoRef),0))))</f>
        <v>(abra o arquivo 'Referência 02-2025.xlsm)</v>
      </c>
      <c r="AG226" s="498">
        <f ca="1">ROUND(IF(DESONERACAO="sim",REFERENCIA.Desonerado,REFERENCIA.NaoDesonerado),2)</f>
        <v>0</v>
      </c>
      <c r="AH226" s="499">
        <f ca="1">ROUND(IF(ISNUMBER(ORÇAMENTO.OpcaoBDI),ORÇAMENTO.OpcaoBDI,IF(LEFT(ORÇAMENTO.OpcaoBDI,3)="BDI",HLOOKUP(ORÇAMENTO.OpcaoBDI,$F$4:$H$5,2,FALSE),0)),15-11*$AF$9)</f>
        <v>0.22470000000000001</v>
      </c>
      <c r="AJ226" s="501">
        <v>107.69</v>
      </c>
      <c r="AL226" s="527"/>
      <c r="AM226" s="381">
        <f t="shared" ca="1" si="70"/>
        <v>0</v>
      </c>
      <c r="AN226" s="566">
        <f ca="1">ROUND(ORÇAMENTO.CustoUnitario*(1+$AH226),2)</f>
        <v>0</v>
      </c>
    </row>
    <row r="227" spans="1:40" x14ac:dyDescent="0.2">
      <c r="A227">
        <f t="shared" si="56"/>
        <v>3</v>
      </c>
      <c r="B227">
        <f t="shared" ca="1" si="57"/>
        <v>3</v>
      </c>
      <c r="C227">
        <f t="shared" ca="1" si="58"/>
        <v>3</v>
      </c>
      <c r="D227">
        <f t="shared" ca="1" si="59"/>
        <v>9</v>
      </c>
      <c r="E227">
        <f ca="1">IF($C227=1,OFFSET(E227,-1,0)+MAX(1,COUNTIF(QCI!$A$13:$A$24,OFFSET(ORÇAMENTO!E227,-1,0))),OFFSET(E227,-1,0))</f>
        <v>1</v>
      </c>
      <c r="F227">
        <f t="shared" ca="1" si="60"/>
        <v>10</v>
      </c>
      <c r="G227">
        <f t="shared" ca="1" si="61"/>
        <v>3</v>
      </c>
      <c r="H227">
        <f t="shared" ca="1" si="62"/>
        <v>0</v>
      </c>
      <c r="I227">
        <f t="shared" ca="1" si="63"/>
        <v>0</v>
      </c>
      <c r="J227">
        <f t="shared" ca="1" si="55"/>
        <v>13</v>
      </c>
      <c r="K227">
        <f ca="1">IF(OR($C227="S",$C227=0),0,MATCH(OFFSET($D227,0,$C227)+IF($C227&lt;&gt;1,1,COUNTIF(QCI!$A$13:$A$24,ORÇAMENTO!E227)),OFFSET($D227,1,$C227,ROW($C$747)-ROW($C227)),0))</f>
        <v>9</v>
      </c>
      <c r="L227" s="116" t="str">
        <f t="shared" ca="1" si="64"/>
        <v>F</v>
      </c>
      <c r="M227" s="117" t="s">
        <v>197</v>
      </c>
      <c r="N227" s="118" t="str">
        <f t="shared" ca="1" si="65"/>
        <v>Nível 3</v>
      </c>
      <c r="O227" s="119" t="str">
        <f t="shared" ca="1" si="66"/>
        <v>1.10.3.</v>
      </c>
      <c r="P227" s="120" t="s">
        <v>247</v>
      </c>
      <c r="Q227" s="121"/>
      <c r="R227" s="122" t="str">
        <f ca="1">IF($C227="S",REFERENCIA.Descricao,"PAVIMENTAÇÃO EXTERNA")</f>
        <v>PAVIMENTAÇÃO EXTERNA</v>
      </c>
      <c r="S227" s="123" t="str">
        <f ca="1">REFERENCIA.Unidade</f>
        <v>-</v>
      </c>
      <c r="T227" s="124">
        <f ca="1">OFFSET(CÁLCULO!H$15,ROW($T227)-ROW(T$15),0)</f>
        <v>0</v>
      </c>
      <c r="U227" s="125">
        <f t="shared" ca="1" si="72"/>
        <v>0</v>
      </c>
      <c r="V227" s="126" t="s">
        <v>156</v>
      </c>
      <c r="W227" s="124">
        <f ca="1">IF($C227="S",ROUND(IF(TIPOORCAMENTO="Proposto",ORÇAMENTO.CustoUnitario*(1+$AH227),ORÇAMENTO.PrecoUnitarioLicitado),15-13*$AF$10),0)</f>
        <v>0</v>
      </c>
      <c r="X227" s="127">
        <f ca="1">IF($C227="S",IF(Import.TipoArredondamento&lt;&gt;"TransfereGOV",VTOTAL1,SUM(OFFSET(CÁLCULO!$AA$15,ROW($X227)-ROW($X$15),1):OFFSET(CÁLCULO!$AL$15,ROW($X227)-ROW($X$15),-1))),IF($C227=0,0,ROUND(SomaAgrup,15-13*$AF$11)))</f>
        <v>0</v>
      </c>
      <c r="Y227" s="128" t="s">
        <v>245</v>
      </c>
      <c r="Z227" t="str">
        <f t="shared" ca="1" si="67"/>
        <v/>
      </c>
      <c r="AA227" s="129">
        <f ca="1">IF($C227="S",IF($Z227="CP",$X227,IF($Z227="RA",(($X227)*QCI!$AA$3),0)),SomaAgrup)</f>
        <v>0</v>
      </c>
      <c r="AB227" s="130">
        <f t="shared" ca="1" si="68"/>
        <v>0</v>
      </c>
      <c r="AC227" s="131" t="str">
        <f ca="1">IF($N227="","",IF(ORÇAMENTO.Descricao="","DESCRIÇÃO",IF(AND($C227="S",ORÇAMENTO.Unidade=""),"UNIDADE",IF($X227&lt;0,"VALOR NEGATIVO",IF(OR(AND(TIPOORCAMENTO="Proposto",$AG227&lt;&gt;"",$AG227&gt;0,ORÇAMENTO.CustoUnitario&gt;$AG227),AND(TIPOORCAMENTO="LICITADO",ORÇAMENTO.PrecoUnitarioLicitado&gt;$AN227)),"ACIMA REF.","")))))</f>
        <v/>
      </c>
      <c r="AD227" t="str">
        <f ca="1">IF(C227&lt;=CRONO.NivelExibicao,MAX($AD$15:OFFSET(AD227,-1,0))+IF($C227&lt;&gt;1,1,MAX(1,COUNTIF(QCI!$A$13:$A$24,OFFSET($E227,-1,0)))),"")</f>
        <v/>
      </c>
      <c r="AE227" s="7" t="b">
        <f ca="1">IF(AND($C227="S",ORÇAMENTO.CodBarra&lt;&gt;""),IF(ORÇAMENTO.Fonte="",ORÇAMENTO.CodBarra,CONCATENATE(ORÇAMENTO.Fonte," ",ORÇAMENTO.CodBarra)))</f>
        <v>0</v>
      </c>
      <c r="AF227" s="13" t="str">
        <f ca="1">IF(ISERROR(INDIRECT(ORÇAMENTO.BancoRef)),"(abra o arquivo 'Referência "&amp;Excel_BuiltIn_Database&amp;".xlsm)",IF(OR($C227&lt;&gt;"S",ORÇAMENTO.CodBarra=""),"(Sem Código)",IF(ISERROR(MATCH($AE227,INDIRECT(ORÇAMENTO.BancoRef),0)),"(Código não identificado nas referências)",MATCH($AE227,INDIRECT(ORÇAMENTO.BancoRef),0))))</f>
        <v>(abra o arquivo 'Referência 02-2025.xlsm)</v>
      </c>
      <c r="AG227" s="498">
        <f ca="1">ROUND(IF(DESONERACAO="sim",REFERENCIA.Desonerado,REFERENCIA.NaoDesonerado),2)</f>
        <v>0</v>
      </c>
      <c r="AH227" s="499">
        <f t="shared" ca="1" si="69"/>
        <v>0.22470000000000001</v>
      </c>
      <c r="AJ227" s="501"/>
      <c r="AL227" s="527"/>
      <c r="AM227" s="381">
        <f t="shared" ca="1" si="70"/>
        <v>0</v>
      </c>
      <c r="AN227" s="566">
        <f t="shared" ca="1" si="71"/>
        <v>0</v>
      </c>
    </row>
    <row r="228" spans="1:40" ht="25.5" x14ac:dyDescent="0.2">
      <c r="A228" t="str">
        <f t="shared" si="56"/>
        <v>S</v>
      </c>
      <c r="B228">
        <f t="shared" ca="1" si="57"/>
        <v>3</v>
      </c>
      <c r="C228" t="str">
        <f t="shared" ca="1" si="58"/>
        <v>S</v>
      </c>
      <c r="D228">
        <f t="shared" ca="1" si="59"/>
        <v>0</v>
      </c>
      <c r="E228">
        <f ca="1">IF($C228=1,OFFSET(E228,-1,0)+MAX(1,COUNTIF(QCI!$A$13:$A$24,OFFSET(ORÇAMENTO!E228,-1,0))),OFFSET(E228,-1,0))</f>
        <v>1</v>
      </c>
      <c r="F228">
        <f t="shared" ca="1" si="60"/>
        <v>10</v>
      </c>
      <c r="G228">
        <f t="shared" ca="1" si="61"/>
        <v>3</v>
      </c>
      <c r="H228">
        <f t="shared" ca="1" si="62"/>
        <v>0</v>
      </c>
      <c r="I228">
        <f t="shared" ca="1" si="63"/>
        <v>0</v>
      </c>
      <c r="J228">
        <f t="shared" ca="1" si="55"/>
        <v>0</v>
      </c>
      <c r="K228">
        <f ca="1">IF(OR($C228="S",$C228=0),0,MATCH(OFFSET($D228,0,$C228)+IF($C228&lt;&gt;1,1,COUNTIF(QCI!$A$13:$A$24,ORÇAMENTO!E228)),OFFSET($D228,1,$C228,ROW($C$747)-ROW($C228)),0))</f>
        <v>0</v>
      </c>
      <c r="L228" s="116" t="str">
        <f t="shared" ca="1" si="64"/>
        <v/>
      </c>
      <c r="M228" s="117" t="s">
        <v>199</v>
      </c>
      <c r="N228" s="118" t="str">
        <f t="shared" ca="1" si="65"/>
        <v>Serviço</v>
      </c>
      <c r="O228" s="119" t="str">
        <f t="shared" ca="1" si="66"/>
        <v>-</v>
      </c>
      <c r="P228" s="120" t="s">
        <v>247</v>
      </c>
      <c r="Q228" s="121" t="s">
        <v>925</v>
      </c>
      <c r="R228" s="122" t="str">
        <f ca="1">IF($C228="S",REFERENCIA.Descricao,"(digite a descrição aqui)")</f>
        <v>(abra o arquivo 'Referência 02-2025.xlsm)</v>
      </c>
      <c r="S228" s="123" t="str">
        <f ca="1">REFERENCIA.Unidade</f>
        <v>-</v>
      </c>
      <c r="T228" s="124">
        <f ca="1">OFFSET(CÁLCULO!H$15,ROW($T228)-ROW(T$15),0)</f>
        <v>84</v>
      </c>
      <c r="U228" s="125">
        <f t="shared" ca="1" si="72"/>
        <v>0</v>
      </c>
      <c r="V228" s="126" t="s">
        <v>156</v>
      </c>
      <c r="W228" s="124">
        <f ca="1">IF($C228="S",ROUND(IF(TIPOORCAMENTO="Proposto",ORÇAMENTO.CustoUnitario*(1+$AH228),ORÇAMENTO.PrecoUnitarioLicitado),15-13*$AF$10),0)</f>
        <v>0</v>
      </c>
      <c r="X228" s="127">
        <f ca="1">IF($C228="S",IF(Import.TipoArredondamento&lt;&gt;"TransfereGOV",VTOTAL1,SUM(OFFSET(CÁLCULO!$AA$15,ROW($X228)-ROW($X$15),1):OFFSET(CÁLCULO!$AL$15,ROW($X228)-ROW($X$15),-1))),IF($C228=0,0,ROUND(SomaAgrup,15-13*$AF$11)))</f>
        <v>0</v>
      </c>
      <c r="Y228" s="128" t="s">
        <v>245</v>
      </c>
      <c r="Z228" t="str">
        <f t="shared" ca="1" si="67"/>
        <v/>
      </c>
      <c r="AA228" s="129">
        <f ca="1">IF($C228="S",IF($Z228="CP",$X228,IF($Z228="RA",(($X228)*QCI!$AA$3),0)),SomaAgrup)</f>
        <v>0</v>
      </c>
      <c r="AB228" s="130">
        <f t="shared" ca="1" si="68"/>
        <v>0</v>
      </c>
      <c r="AC228" s="131" t="str">
        <f ca="1">IF($N228="","",IF(ORÇAMENTO.Descricao="","DESCRIÇÃO",IF(AND($C228="S",ORÇAMENTO.Unidade=""),"UNIDADE",IF($X228&lt;0,"VALOR NEGATIVO",IF(OR(AND(TIPOORCAMENTO="Proposto",$AG228&lt;&gt;"",$AG228&gt;0,ORÇAMENTO.CustoUnitario&gt;$AG228),AND(TIPOORCAMENTO="LICITADO",ORÇAMENTO.PrecoUnitarioLicitado&gt;$AN228)),"ACIMA REF.","")))))</f>
        <v/>
      </c>
      <c r="AD228" t="str">
        <f ca="1">IF(C228&lt;=CRONO.NivelExibicao,MAX($AD$15:OFFSET(AD228,-1,0))+IF($C228&lt;&gt;1,1,MAX(1,COUNTIF(QCI!$A$13:$A$24,OFFSET($E228,-1,0)))),"")</f>
        <v/>
      </c>
      <c r="AE228" s="7" t="str">
        <f ca="1">IF(AND($C228="S",ORÇAMENTO.CodBarra&lt;&gt;""),IF(ORÇAMENTO.Fonte="",ORÇAMENTO.CodBarra,CONCATENATE(ORÇAMENTO.Fonte," ",ORÇAMENTO.CodBarra)))</f>
        <v>SINAPI 92400</v>
      </c>
      <c r="AF228" s="13" t="str">
        <f ca="1">IF(ISERROR(INDIRECT(ORÇAMENTO.BancoRef)),"(abra o arquivo 'Referência "&amp;Excel_BuiltIn_Database&amp;".xlsm)",IF(OR($C228&lt;&gt;"S",ORÇAMENTO.CodBarra=""),"(Sem Código)",IF(ISERROR(MATCH($AE228,INDIRECT(ORÇAMENTO.BancoRef),0)),"(Código não identificado nas referências)",MATCH($AE228,INDIRECT(ORÇAMENTO.BancoRef),0))))</f>
        <v>(abra o arquivo 'Referência 02-2025.xlsm)</v>
      </c>
      <c r="AG228" s="498">
        <f ca="1">ROUND(IF(DESONERACAO="sim",REFERENCIA.Desonerado,REFERENCIA.NaoDesonerado),2)</f>
        <v>0</v>
      </c>
      <c r="AH228" s="499">
        <f t="shared" ca="1" si="69"/>
        <v>0.22470000000000001</v>
      </c>
      <c r="AJ228" s="501">
        <v>84</v>
      </c>
      <c r="AL228" s="527"/>
      <c r="AM228" s="381">
        <f t="shared" ca="1" si="70"/>
        <v>0</v>
      </c>
      <c r="AN228" s="566">
        <f t="shared" ca="1" si="71"/>
        <v>0</v>
      </c>
    </row>
    <row r="229" spans="1:40" ht="25.5" x14ac:dyDescent="0.2">
      <c r="A229" t="str">
        <f t="shared" si="56"/>
        <v>S</v>
      </c>
      <c r="B229">
        <f t="shared" ca="1" si="57"/>
        <v>3</v>
      </c>
      <c r="C229" t="str">
        <f t="shared" ca="1" si="58"/>
        <v>S</v>
      </c>
      <c r="D229">
        <f t="shared" ca="1" si="59"/>
        <v>0</v>
      </c>
      <c r="E229">
        <f ca="1">IF($C229=1,OFFSET(E229,-1,0)+MAX(1,COUNTIF(QCI!$A$13:$A$24,OFFSET(ORÇAMENTO!E229,-1,0))),OFFSET(E229,-1,0))</f>
        <v>1</v>
      </c>
      <c r="F229">
        <f t="shared" ca="1" si="60"/>
        <v>10</v>
      </c>
      <c r="G229">
        <f t="shared" ca="1" si="61"/>
        <v>3</v>
      </c>
      <c r="H229">
        <f t="shared" ca="1" si="62"/>
        <v>0</v>
      </c>
      <c r="I229">
        <f t="shared" ca="1" si="63"/>
        <v>0</v>
      </c>
      <c r="J229">
        <f t="shared" ca="1" si="55"/>
        <v>0</v>
      </c>
      <c r="K229">
        <f ca="1">IF(OR($C229="S",$C229=0),0,MATCH(OFFSET($D229,0,$C229)+IF($C229&lt;&gt;1,1,COUNTIF(QCI!$A$13:$A$24,ORÇAMENTO!E229)),OFFSET($D229,1,$C229,ROW($C$747)-ROW($C229)),0))</f>
        <v>0</v>
      </c>
      <c r="L229" s="116" t="str">
        <f t="shared" ca="1" si="64"/>
        <v/>
      </c>
      <c r="M229" s="117" t="s">
        <v>199</v>
      </c>
      <c r="N229" s="118" t="str">
        <f t="shared" ca="1" si="65"/>
        <v>Serviço</v>
      </c>
      <c r="O229" s="119" t="str">
        <f t="shared" ca="1" si="66"/>
        <v>-</v>
      </c>
      <c r="P229" s="120" t="s">
        <v>712</v>
      </c>
      <c r="Q229" s="121" t="s">
        <v>926</v>
      </c>
      <c r="R229" s="122" t="str">
        <f ca="1">IF($C229="S",REFERENCIA.Descricao,"(digite a descrição aqui)")</f>
        <v>(abra o arquivo 'Referência 02-2025.xlsm)</v>
      </c>
      <c r="S229" s="123" t="str">
        <f ca="1">REFERENCIA.Unidade</f>
        <v>-</v>
      </c>
      <c r="T229" s="124">
        <f ca="1">OFFSET(CÁLCULO!H$15,ROW($T229)-ROW(T$15),0)</f>
        <v>21</v>
      </c>
      <c r="U229" s="125">
        <f t="shared" ca="1" si="72"/>
        <v>0</v>
      </c>
      <c r="V229" s="126" t="s">
        <v>156</v>
      </c>
      <c r="W229" s="124">
        <f ca="1">IF($C229="S",ROUND(IF(TIPOORCAMENTO="Proposto",ORÇAMENTO.CustoUnitario*(1+$AH229),ORÇAMENTO.PrecoUnitarioLicitado),15-13*$AF$10),0)</f>
        <v>0</v>
      </c>
      <c r="X229" s="127">
        <f ca="1">IF($C229="S",IF(Import.TipoArredondamento&lt;&gt;"TransfereGOV",VTOTAL1,SUM(OFFSET(CÁLCULO!$AA$15,ROW($X229)-ROW($X$15),1):OFFSET(CÁLCULO!$AL$15,ROW($X229)-ROW($X$15),-1))),IF($C229=0,0,ROUND(SomaAgrup,15-13*$AF$11)))</f>
        <v>0</v>
      </c>
      <c r="Y229" s="128" t="s">
        <v>245</v>
      </c>
      <c r="Z229" t="str">
        <f t="shared" ca="1" si="67"/>
        <v/>
      </c>
      <c r="AA229" s="129">
        <f ca="1">IF($C229="S",IF($Z229="CP",$X229,IF($Z229="RA",(($X229)*QCI!$AA$3),0)),SomaAgrup)</f>
        <v>0</v>
      </c>
      <c r="AB229" s="130">
        <f t="shared" ca="1" si="68"/>
        <v>0</v>
      </c>
      <c r="AC229" s="131" t="str">
        <f ca="1">IF($N229="","",IF(ORÇAMENTO.Descricao="","DESCRIÇÃO",IF(AND($C229="S",ORÇAMENTO.Unidade=""),"UNIDADE",IF($X229&lt;0,"VALOR NEGATIVO",IF(OR(AND(TIPOORCAMENTO="Proposto",$AG229&lt;&gt;"",$AG229&gt;0,ORÇAMENTO.CustoUnitario&gt;$AG229),AND(TIPOORCAMENTO="LICITADO",ORÇAMENTO.PrecoUnitarioLicitado&gt;$AN229)),"ACIMA REF.","")))))</f>
        <v/>
      </c>
      <c r="AD229" t="str">
        <f ca="1">IF(C229&lt;=CRONO.NivelExibicao,MAX($AD$15:OFFSET(AD229,-1,0))+IF($C229&lt;&gt;1,1,MAX(1,COUNTIF(QCI!$A$13:$A$24,OFFSET($E229,-1,0)))),"")</f>
        <v/>
      </c>
      <c r="AE229" s="7" t="str">
        <f ca="1">IF(AND($C229="S",ORÇAMENTO.CodBarra&lt;&gt;""),IF(ORÇAMENTO.Fonte="",ORÇAMENTO.CodBarra,CONCATENATE(ORÇAMENTO.Fonte," ",ORÇAMENTO.CodBarra)))</f>
        <v>Composição FNDE 400</v>
      </c>
      <c r="AF229" s="13" t="str">
        <f ca="1">IF(ISERROR(INDIRECT(ORÇAMENTO.BancoRef)),"(abra o arquivo 'Referência "&amp;Excel_BuiltIn_Database&amp;".xlsm)",IF(OR($C229&lt;&gt;"S",ORÇAMENTO.CodBarra=""),"(Sem Código)",IF(ISERROR(MATCH($AE229,INDIRECT(ORÇAMENTO.BancoRef),0)),"(Código não identificado nas referências)",MATCH($AE229,INDIRECT(ORÇAMENTO.BancoRef),0))))</f>
        <v>(abra o arquivo 'Referência 02-2025.xlsm)</v>
      </c>
      <c r="AG229" s="498">
        <f ca="1">ROUND(IF(DESONERACAO="sim",REFERENCIA.Desonerado,REFERENCIA.NaoDesonerado),2)</f>
        <v>0</v>
      </c>
      <c r="AH229" s="499">
        <f t="shared" ca="1" si="69"/>
        <v>0.22470000000000001</v>
      </c>
      <c r="AJ229" s="501">
        <v>21</v>
      </c>
      <c r="AL229" s="527"/>
      <c r="AM229" s="381">
        <f t="shared" ca="1" si="70"/>
        <v>0</v>
      </c>
      <c r="AN229" s="566">
        <f t="shared" ca="1" si="71"/>
        <v>0</v>
      </c>
    </row>
    <row r="230" spans="1:40" ht="25.5" x14ac:dyDescent="0.2">
      <c r="A230" t="str">
        <f t="shared" si="56"/>
        <v>S</v>
      </c>
      <c r="B230">
        <f t="shared" ca="1" si="57"/>
        <v>3</v>
      </c>
      <c r="C230" t="str">
        <f t="shared" ca="1" si="58"/>
        <v>S</v>
      </c>
      <c r="D230">
        <f t="shared" ca="1" si="59"/>
        <v>0</v>
      </c>
      <c r="E230">
        <f ca="1">IF($C230=1,OFFSET(E230,-1,0)+MAX(1,COUNTIF(QCI!$A$13:$A$24,OFFSET(ORÇAMENTO!E230,-1,0))),OFFSET(E230,-1,0))</f>
        <v>1</v>
      </c>
      <c r="F230">
        <f t="shared" ca="1" si="60"/>
        <v>10</v>
      </c>
      <c r="G230">
        <f t="shared" ca="1" si="61"/>
        <v>3</v>
      </c>
      <c r="H230">
        <f t="shared" ca="1" si="62"/>
        <v>0</v>
      </c>
      <c r="I230">
        <f t="shared" ca="1" si="63"/>
        <v>0</v>
      </c>
      <c r="J230">
        <f t="shared" ca="1" si="55"/>
        <v>0</v>
      </c>
      <c r="K230">
        <f ca="1">IF(OR($C230="S",$C230=0),0,MATCH(OFFSET($D230,0,$C230)+IF($C230&lt;&gt;1,1,COUNTIF(QCI!$A$13:$A$24,ORÇAMENTO!E230)),OFFSET($D230,1,$C230,ROW($C$747)-ROW($C230)),0))</f>
        <v>0</v>
      </c>
      <c r="L230" s="116" t="str">
        <f t="shared" ca="1" si="64"/>
        <v/>
      </c>
      <c r="M230" s="117" t="s">
        <v>199</v>
      </c>
      <c r="N230" s="118" t="str">
        <f t="shared" ca="1" si="65"/>
        <v>Serviço</v>
      </c>
      <c r="O230" s="119" t="str">
        <f t="shared" ca="1" si="66"/>
        <v>-</v>
      </c>
      <c r="P230" s="120" t="s">
        <v>712</v>
      </c>
      <c r="Q230" s="121" t="s">
        <v>927</v>
      </c>
      <c r="R230" s="122" t="str">
        <f ca="1">IF($C230="S",REFERENCIA.Descricao,"(digite a descrição aqui)")</f>
        <v>(abra o arquivo 'Referência 02-2025.xlsm)</v>
      </c>
      <c r="S230" s="123" t="str">
        <f ca="1">REFERENCIA.Unidade</f>
        <v>-</v>
      </c>
      <c r="T230" s="124">
        <f ca="1">OFFSET(CÁLCULO!H$15,ROW($T230)-ROW(T$15),0)</f>
        <v>38.76</v>
      </c>
      <c r="U230" s="125">
        <f t="shared" ca="1" si="72"/>
        <v>0</v>
      </c>
      <c r="V230" s="126" t="s">
        <v>156</v>
      </c>
      <c r="W230" s="124">
        <f ca="1">IF($C230="S",ROUND(IF(TIPOORCAMENTO="Proposto",ORÇAMENTO.CustoUnitario*(1+$AH230),ORÇAMENTO.PrecoUnitarioLicitado),15-13*$AF$10),0)</f>
        <v>0</v>
      </c>
      <c r="X230" s="127">
        <f ca="1">IF($C230="S",IF(Import.TipoArredondamento&lt;&gt;"TransfereGOV",VTOTAL1,SUM(OFFSET(CÁLCULO!$AA$15,ROW($X230)-ROW($X$15),1):OFFSET(CÁLCULO!$AL$15,ROW($X230)-ROW($X$15),-1))),IF($C230=0,0,ROUND(SomaAgrup,15-13*$AF$11)))</f>
        <v>0</v>
      </c>
      <c r="Y230" s="128" t="s">
        <v>245</v>
      </c>
      <c r="Z230" t="str">
        <f t="shared" ca="1" si="67"/>
        <v/>
      </c>
      <c r="AA230" s="129">
        <f ca="1">IF($C230="S",IF($Z230="CP",$X230,IF($Z230="RA",(($X230)*QCI!$AA$3),0)),SomaAgrup)</f>
        <v>0</v>
      </c>
      <c r="AB230" s="130">
        <f t="shared" ca="1" si="68"/>
        <v>0</v>
      </c>
      <c r="AC230" s="131" t="str">
        <f ca="1">IF($N230="","",IF(ORÇAMENTO.Descricao="","DESCRIÇÃO",IF(AND($C230="S",ORÇAMENTO.Unidade=""),"UNIDADE",IF($X230&lt;0,"VALOR NEGATIVO",IF(OR(AND(TIPOORCAMENTO="Proposto",$AG230&lt;&gt;"",$AG230&gt;0,ORÇAMENTO.CustoUnitario&gt;$AG230),AND(TIPOORCAMENTO="LICITADO",ORÇAMENTO.PrecoUnitarioLicitado&gt;$AN230)),"ACIMA REF.","")))))</f>
        <v/>
      </c>
      <c r="AD230" t="str">
        <f ca="1">IF(C230&lt;=CRONO.NivelExibicao,MAX($AD$15:OFFSET(AD230,-1,0))+IF($C230&lt;&gt;1,1,MAX(1,COUNTIF(QCI!$A$13:$A$24,OFFSET($E230,-1,0)))),"")</f>
        <v/>
      </c>
      <c r="AE230" s="7" t="str">
        <f ca="1">IF(AND($C230="S",ORÇAMENTO.CodBarra&lt;&gt;""),IF(ORÇAMENTO.Fonte="",ORÇAMENTO.CodBarra,CONCATENATE(ORÇAMENTO.Fonte," ",ORÇAMENTO.CodBarra)))</f>
        <v>Composição FNDE 401</v>
      </c>
      <c r="AF230" s="13" t="str">
        <f ca="1">IF(ISERROR(INDIRECT(ORÇAMENTO.BancoRef)),"(abra o arquivo 'Referência "&amp;Excel_BuiltIn_Database&amp;".xlsm)",IF(OR($C230&lt;&gt;"S",ORÇAMENTO.CodBarra=""),"(Sem Código)",IF(ISERROR(MATCH($AE230,INDIRECT(ORÇAMENTO.BancoRef),0)),"(Código não identificado nas referências)",MATCH($AE230,INDIRECT(ORÇAMENTO.BancoRef),0))))</f>
        <v>(abra o arquivo 'Referência 02-2025.xlsm)</v>
      </c>
      <c r="AG230" s="498">
        <f ca="1">ROUND(IF(DESONERACAO="sim",REFERENCIA.Desonerado,REFERENCIA.NaoDesonerado),2)</f>
        <v>0</v>
      </c>
      <c r="AH230" s="499">
        <f t="shared" ca="1" si="69"/>
        <v>0.22470000000000001</v>
      </c>
      <c r="AJ230" s="501">
        <v>38.76</v>
      </c>
      <c r="AL230" s="527"/>
      <c r="AM230" s="381">
        <f t="shared" ca="1" si="70"/>
        <v>0</v>
      </c>
      <c r="AN230" s="566">
        <f t="shared" ca="1" si="71"/>
        <v>0</v>
      </c>
    </row>
    <row r="231" spans="1:40" ht="25.5" x14ac:dyDescent="0.2">
      <c r="A231" t="str">
        <f t="shared" si="56"/>
        <v>S</v>
      </c>
      <c r="B231">
        <f t="shared" ca="1" si="57"/>
        <v>3</v>
      </c>
      <c r="C231" t="str">
        <f t="shared" ca="1" si="58"/>
        <v>S</v>
      </c>
      <c r="D231">
        <f t="shared" ca="1" si="59"/>
        <v>0</v>
      </c>
      <c r="E231">
        <f ca="1">IF($C231=1,OFFSET(E231,-1,0)+MAX(1,COUNTIF(QCI!$A$13:$A$24,OFFSET(ORÇAMENTO!E231,-1,0))),OFFSET(E231,-1,0))</f>
        <v>1</v>
      </c>
      <c r="F231">
        <f t="shared" ca="1" si="60"/>
        <v>10</v>
      </c>
      <c r="G231">
        <f t="shared" ca="1" si="61"/>
        <v>3</v>
      </c>
      <c r="H231">
        <f t="shared" ca="1" si="62"/>
        <v>0</v>
      </c>
      <c r="I231">
        <f t="shared" ca="1" si="63"/>
        <v>0</v>
      </c>
      <c r="J231">
        <f t="shared" ca="1" si="55"/>
        <v>0</v>
      </c>
      <c r="K231">
        <f ca="1">IF(OR($C231="S",$C231=0),0,MATCH(OFFSET($D231,0,$C231)+IF($C231&lt;&gt;1,1,COUNTIF(QCI!$A$13:$A$24,ORÇAMENTO!E231)),OFFSET($D231,1,$C231,ROW($C$747)-ROW($C231)),0))</f>
        <v>0</v>
      </c>
      <c r="L231" s="116" t="str">
        <f t="shared" ca="1" si="64"/>
        <v/>
      </c>
      <c r="M231" s="117" t="s">
        <v>199</v>
      </c>
      <c r="N231" s="118" t="str">
        <f t="shared" ca="1" si="65"/>
        <v>Serviço</v>
      </c>
      <c r="O231" s="119" t="str">
        <f t="shared" ca="1" si="66"/>
        <v>-</v>
      </c>
      <c r="P231" s="120" t="s">
        <v>712</v>
      </c>
      <c r="Q231" s="121" t="s">
        <v>780</v>
      </c>
      <c r="R231" s="122" t="str">
        <f ca="1">IF($C231="S",REFERENCIA.Descricao,"(digite a descrição aqui)")</f>
        <v>(abra o arquivo 'Referência 02-2025.xlsm)</v>
      </c>
      <c r="S231" s="123" t="str">
        <f ca="1">REFERENCIA.Unidade</f>
        <v>-</v>
      </c>
      <c r="T231" s="124">
        <f ca="1">OFFSET(CÁLCULO!H$15,ROW($T231)-ROW(T$15),0)</f>
        <v>3.44</v>
      </c>
      <c r="U231" s="125">
        <f t="shared" ca="1" si="72"/>
        <v>0</v>
      </c>
      <c r="V231" s="126" t="s">
        <v>156</v>
      </c>
      <c r="W231" s="124">
        <f ca="1">IF($C231="S",ROUND(IF(TIPOORCAMENTO="Proposto",ORÇAMENTO.CustoUnitario*(1+$AH231),ORÇAMENTO.PrecoUnitarioLicitado),15-13*$AF$10),0)</f>
        <v>0</v>
      </c>
      <c r="X231" s="127">
        <f ca="1">IF($C231="S",IF(Import.TipoArredondamento&lt;&gt;"TransfereGOV",VTOTAL1,SUM(OFFSET(CÁLCULO!$AA$15,ROW($X231)-ROW($X$15),1):OFFSET(CÁLCULO!$AL$15,ROW($X231)-ROW($X$15),-1))),IF($C231=0,0,ROUND(SomaAgrup,15-13*$AF$11)))</f>
        <v>0</v>
      </c>
      <c r="Y231" s="128" t="s">
        <v>245</v>
      </c>
      <c r="Z231" t="str">
        <f t="shared" ca="1" si="67"/>
        <v/>
      </c>
      <c r="AA231" s="129">
        <f ca="1">IF($C231="S",IF($Z231="CP",$X231,IF($Z231="RA",(($X231)*QCI!$AA$3),0)),SomaAgrup)</f>
        <v>0</v>
      </c>
      <c r="AB231" s="130">
        <f t="shared" ca="1" si="68"/>
        <v>0</v>
      </c>
      <c r="AC231" s="131" t="str">
        <f ca="1">IF($N231="","",IF(ORÇAMENTO.Descricao="","DESCRIÇÃO",IF(AND($C231="S",ORÇAMENTO.Unidade=""),"UNIDADE",IF($X231&lt;0,"VALOR NEGATIVO",IF(OR(AND(TIPOORCAMENTO="Proposto",$AG231&lt;&gt;"",$AG231&gt;0,ORÇAMENTO.CustoUnitario&gt;$AG231),AND(TIPOORCAMENTO="LICITADO",ORÇAMENTO.PrecoUnitarioLicitado&gt;$AN231)),"ACIMA REF.","")))))</f>
        <v/>
      </c>
      <c r="AD231" t="str">
        <f ca="1">IF(C231&lt;=CRONO.NivelExibicao,MAX($AD$15:OFFSET(AD231,-1,0))+IF($C231&lt;&gt;1,1,MAX(1,COUNTIF(QCI!$A$13:$A$24,OFFSET($E231,-1,0)))),"")</f>
        <v/>
      </c>
      <c r="AE231" s="7" t="str">
        <f ca="1">IF(AND($C231="S",ORÇAMENTO.CodBarra&lt;&gt;""),IF(ORÇAMENTO.Fonte="",ORÇAMENTO.CodBarra,CONCATENATE(ORÇAMENTO.Fonte," ",ORÇAMENTO.CodBarra)))</f>
        <v>Composição FNDE 190</v>
      </c>
      <c r="AF231" s="13" t="str">
        <f ca="1">IF(ISERROR(INDIRECT(ORÇAMENTO.BancoRef)),"(abra o arquivo 'Referência "&amp;Excel_BuiltIn_Database&amp;".xlsm)",IF(OR($C231&lt;&gt;"S",ORÇAMENTO.CodBarra=""),"(Sem Código)",IF(ISERROR(MATCH($AE231,INDIRECT(ORÇAMENTO.BancoRef),0)),"(Código não identificado nas referências)",MATCH($AE231,INDIRECT(ORÇAMENTO.BancoRef),0))))</f>
        <v>(abra o arquivo 'Referência 02-2025.xlsm)</v>
      </c>
      <c r="AG231" s="498">
        <f ca="1">ROUND(IF(DESONERACAO="sim",REFERENCIA.Desonerado,REFERENCIA.NaoDesonerado),2)</f>
        <v>0</v>
      </c>
      <c r="AH231" s="499">
        <f t="shared" ca="1" si="69"/>
        <v>0.22470000000000001</v>
      </c>
      <c r="AJ231" s="501">
        <v>3.44</v>
      </c>
      <c r="AL231" s="527"/>
      <c r="AM231" s="381">
        <f t="shared" ca="1" si="70"/>
        <v>0</v>
      </c>
      <c r="AN231" s="566">
        <f t="shared" ca="1" si="71"/>
        <v>0</v>
      </c>
    </row>
    <row r="232" spans="1:40" x14ac:dyDescent="0.2">
      <c r="A232" t="str">
        <f t="shared" si="56"/>
        <v>S</v>
      </c>
      <c r="B232">
        <f t="shared" ca="1" si="57"/>
        <v>3</v>
      </c>
      <c r="C232" t="str">
        <f t="shared" ca="1" si="58"/>
        <v>S</v>
      </c>
      <c r="D232">
        <f t="shared" ca="1" si="59"/>
        <v>0</v>
      </c>
      <c r="E232">
        <f ca="1">IF($C232=1,OFFSET(E232,-1,0)+MAX(1,COUNTIF(QCI!$A$13:$A$24,OFFSET(ORÇAMENTO!E232,-1,0))),OFFSET(E232,-1,0))</f>
        <v>1</v>
      </c>
      <c r="F232">
        <f t="shared" ca="1" si="60"/>
        <v>10</v>
      </c>
      <c r="G232">
        <f t="shared" ca="1" si="61"/>
        <v>3</v>
      </c>
      <c r="H232">
        <f t="shared" ca="1" si="62"/>
        <v>0</v>
      </c>
      <c r="I232">
        <f t="shared" ca="1" si="63"/>
        <v>0</v>
      </c>
      <c r="J232">
        <f t="shared" ca="1" si="55"/>
        <v>0</v>
      </c>
      <c r="K232">
        <f ca="1">IF(OR($C232="S",$C232=0),0,MATCH(OFFSET($D232,0,$C232)+IF($C232&lt;&gt;1,1,COUNTIF(QCI!$A$13:$A$24,ORÇAMENTO!E232)),OFFSET($D232,1,$C232,ROW($C$747)-ROW($C232)),0))</f>
        <v>0</v>
      </c>
      <c r="L232" s="116" t="str">
        <f t="shared" ca="1" si="64"/>
        <v/>
      </c>
      <c r="M232" s="117" t="s">
        <v>199</v>
      </c>
      <c r="N232" s="118" t="str">
        <f t="shared" ca="1" si="65"/>
        <v>Serviço</v>
      </c>
      <c r="O232" s="119" t="str">
        <f t="shared" ca="1" si="66"/>
        <v>-</v>
      </c>
      <c r="P232" s="120" t="s">
        <v>712</v>
      </c>
      <c r="Q232" s="121" t="s">
        <v>928</v>
      </c>
      <c r="R232" s="122" t="str">
        <f ca="1">IF($C232="S",REFERENCIA.Descricao,"(digite a descrição aqui)")</f>
        <v>(abra o arquivo 'Referência 02-2025.xlsm)</v>
      </c>
      <c r="S232" s="123" t="str">
        <f ca="1">REFERENCIA.Unidade</f>
        <v>-</v>
      </c>
      <c r="T232" s="124">
        <f ca="1">OFFSET(CÁLCULO!H$15,ROW($T232)-ROW(T$15),0)</f>
        <v>26.04</v>
      </c>
      <c r="U232" s="125">
        <f t="shared" ca="1" si="72"/>
        <v>0</v>
      </c>
      <c r="V232" s="126" t="s">
        <v>156</v>
      </c>
      <c r="W232" s="124">
        <f ca="1">IF($C232="S",ROUND(IF(TIPOORCAMENTO="Proposto",ORÇAMENTO.CustoUnitario*(1+$AH232),ORÇAMENTO.PrecoUnitarioLicitado),15-13*$AF$10),0)</f>
        <v>0</v>
      </c>
      <c r="X232" s="127">
        <f ca="1">IF($C232="S",IF(Import.TipoArredondamento&lt;&gt;"TransfereGOV",VTOTAL1,SUM(OFFSET(CÁLCULO!$AA$15,ROW($X232)-ROW($X$15),1):OFFSET(CÁLCULO!$AL$15,ROW($X232)-ROW($X$15),-1))),IF($C232=0,0,ROUND(SomaAgrup,15-13*$AF$11)))</f>
        <v>0</v>
      </c>
      <c r="Y232" s="128" t="s">
        <v>245</v>
      </c>
      <c r="Z232" t="str">
        <f t="shared" ca="1" si="67"/>
        <v/>
      </c>
      <c r="AA232" s="129">
        <f ca="1">IF($C232="S",IF($Z232="CP",$X232,IF($Z232="RA",(($X232)*QCI!$AA$3),0)),SomaAgrup)</f>
        <v>0</v>
      </c>
      <c r="AB232" s="130">
        <f t="shared" ca="1" si="68"/>
        <v>0</v>
      </c>
      <c r="AC232" s="131" t="str">
        <f ca="1">IF($N232="","",IF(ORÇAMENTO.Descricao="","DESCRIÇÃO",IF(AND($C232="S",ORÇAMENTO.Unidade=""),"UNIDADE",IF($X232&lt;0,"VALOR NEGATIVO",IF(OR(AND(TIPOORCAMENTO="Proposto",$AG232&lt;&gt;"",$AG232&gt;0,ORÇAMENTO.CustoUnitario&gt;$AG232),AND(TIPOORCAMENTO="LICITADO",ORÇAMENTO.PrecoUnitarioLicitado&gt;$AN232)),"ACIMA REF.","")))))</f>
        <v/>
      </c>
      <c r="AD232" t="str">
        <f ca="1">IF(C232&lt;=CRONO.NivelExibicao,MAX($AD$15:OFFSET(AD232,-1,0))+IF($C232&lt;&gt;1,1,MAX(1,COUNTIF(QCI!$A$13:$A$24,OFFSET($E232,-1,0)))),"")</f>
        <v/>
      </c>
      <c r="AE232" s="7" t="str">
        <f ca="1">IF(AND($C232="S",ORÇAMENTO.CodBarra&lt;&gt;""),IF(ORÇAMENTO.Fonte="",ORÇAMENTO.CodBarra,CONCATENATE(ORÇAMENTO.Fonte," ",ORÇAMENTO.CodBarra)))</f>
        <v>Composição FNDE 10</v>
      </c>
      <c r="AF232" s="13" t="str">
        <f ca="1">IF(ISERROR(INDIRECT(ORÇAMENTO.BancoRef)),"(abra o arquivo 'Referência "&amp;Excel_BuiltIn_Database&amp;".xlsm)",IF(OR($C232&lt;&gt;"S",ORÇAMENTO.CodBarra=""),"(Sem Código)",IF(ISERROR(MATCH($AE232,INDIRECT(ORÇAMENTO.BancoRef),0)),"(Código não identificado nas referências)",MATCH($AE232,INDIRECT(ORÇAMENTO.BancoRef),0))))</f>
        <v>(abra o arquivo 'Referência 02-2025.xlsm)</v>
      </c>
      <c r="AG232" s="498">
        <f ca="1">ROUND(IF(DESONERACAO="sim",REFERENCIA.Desonerado,REFERENCIA.NaoDesonerado),2)</f>
        <v>0</v>
      </c>
      <c r="AH232" s="499">
        <f t="shared" ca="1" si="69"/>
        <v>0.22470000000000001</v>
      </c>
      <c r="AJ232" s="501">
        <v>26.04</v>
      </c>
      <c r="AL232" s="527"/>
      <c r="AM232" s="381">
        <f t="shared" ca="1" si="70"/>
        <v>0</v>
      </c>
      <c r="AN232" s="566">
        <f t="shared" ca="1" si="71"/>
        <v>0</v>
      </c>
    </row>
    <row r="233" spans="1:40" x14ac:dyDescent="0.2">
      <c r="A233" t="str">
        <f t="shared" si="56"/>
        <v>S</v>
      </c>
      <c r="B233">
        <f t="shared" ca="1" si="57"/>
        <v>3</v>
      </c>
      <c r="C233" t="str">
        <f t="shared" ca="1" si="58"/>
        <v>S</v>
      </c>
      <c r="D233">
        <f t="shared" ca="1" si="59"/>
        <v>0</v>
      </c>
      <c r="E233">
        <f ca="1">IF($C233=1,OFFSET(E233,-1,0)+MAX(1,COUNTIF(QCI!$A$13:$A$24,OFFSET(ORÇAMENTO!E233,-1,0))),OFFSET(E233,-1,0))</f>
        <v>1</v>
      </c>
      <c r="F233">
        <f t="shared" ca="1" si="60"/>
        <v>10</v>
      </c>
      <c r="G233">
        <f t="shared" ca="1" si="61"/>
        <v>3</v>
      </c>
      <c r="H233">
        <f t="shared" ca="1" si="62"/>
        <v>0</v>
      </c>
      <c r="I233">
        <f t="shared" ca="1" si="63"/>
        <v>0</v>
      </c>
      <c r="J233">
        <f t="shared" ca="1" si="55"/>
        <v>0</v>
      </c>
      <c r="K233">
        <f ca="1">IF(OR($C233="S",$C233=0),0,MATCH(OFFSET($D233,0,$C233)+IF($C233&lt;&gt;1,1,COUNTIF(QCI!$A$13:$A$24,ORÇAMENTO!E233)),OFFSET($D233,1,$C233,ROW($C$747)-ROW($C233)),0))</f>
        <v>0</v>
      </c>
      <c r="L233" s="116" t="str">
        <f t="shared" ca="1" si="64"/>
        <v/>
      </c>
      <c r="M233" s="117" t="s">
        <v>199</v>
      </c>
      <c r="N233" s="118" t="str">
        <f t="shared" ca="1" si="65"/>
        <v>Serviço</v>
      </c>
      <c r="O233" s="119" t="str">
        <f t="shared" ca="1" si="66"/>
        <v>-</v>
      </c>
      <c r="P233" s="120" t="s">
        <v>247</v>
      </c>
      <c r="Q233" s="121" t="s">
        <v>500</v>
      </c>
      <c r="R233" s="122" t="str">
        <f ca="1">IF($C233="S",REFERENCIA.Descricao,"(digite a descrição aqui)")</f>
        <v>(abra o arquivo 'Referência 02-2025.xlsm)</v>
      </c>
      <c r="S233" s="123" t="str">
        <f ca="1">REFERENCIA.Unidade</f>
        <v>-</v>
      </c>
      <c r="T233" s="124">
        <f ca="1">OFFSET(CÁLCULO!H$15,ROW($T233)-ROW(T$15),0)</f>
        <v>726.76</v>
      </c>
      <c r="U233" s="125">
        <f t="shared" ca="1" si="72"/>
        <v>0</v>
      </c>
      <c r="V233" s="126" t="s">
        <v>156</v>
      </c>
      <c r="W233" s="124">
        <f ca="1">IF($C233="S",ROUND(IF(TIPOORCAMENTO="Proposto",ORÇAMENTO.CustoUnitario*(1+$AH233),ORÇAMENTO.PrecoUnitarioLicitado),15-13*$AF$10),0)</f>
        <v>0</v>
      </c>
      <c r="X233" s="127">
        <f ca="1">IF($C233="S",IF(Import.TipoArredondamento&lt;&gt;"TransfereGOV",VTOTAL1,SUM(OFFSET(CÁLCULO!$AA$15,ROW($X233)-ROW($X$15),1):OFFSET(CÁLCULO!$AL$15,ROW($X233)-ROW($X$15),-1))),IF($C233=0,0,ROUND(SomaAgrup,15-13*$AF$11)))</f>
        <v>0</v>
      </c>
      <c r="Y233" s="128" t="s">
        <v>245</v>
      </c>
      <c r="Z233" t="str">
        <f t="shared" ca="1" si="67"/>
        <v/>
      </c>
      <c r="AA233" s="129">
        <f ca="1">IF($C233="S",IF($Z233="CP",$X233,IF($Z233="RA",(($X233)*QCI!$AA$3),0)),SomaAgrup)</f>
        <v>0</v>
      </c>
      <c r="AB233" s="130">
        <f t="shared" ca="1" si="68"/>
        <v>0</v>
      </c>
      <c r="AC233" s="131" t="str">
        <f ca="1">IF($N233="","",IF(ORÇAMENTO.Descricao="","DESCRIÇÃO",IF(AND($C233="S",ORÇAMENTO.Unidade=""),"UNIDADE",IF($X233&lt;0,"VALOR NEGATIVO",IF(OR(AND(TIPOORCAMENTO="Proposto",$AG233&lt;&gt;"",$AG233&gt;0,ORÇAMENTO.CustoUnitario&gt;$AG233),AND(TIPOORCAMENTO="LICITADO",ORÇAMENTO.PrecoUnitarioLicitado&gt;$AN233)),"ACIMA REF.","")))))</f>
        <v/>
      </c>
      <c r="AD233" t="str">
        <f ca="1">IF(C233&lt;=CRONO.NivelExibicao,MAX($AD$15:OFFSET(AD233,-1,0))+IF($C233&lt;&gt;1,1,MAX(1,COUNTIF(QCI!$A$13:$A$24,OFFSET($E233,-1,0)))),"")</f>
        <v/>
      </c>
      <c r="AE233" s="7" t="str">
        <f ca="1">IF(AND($C233="S",ORÇAMENTO.CodBarra&lt;&gt;""),IF(ORÇAMENTO.Fonte="",ORÇAMENTO.CodBarra,CONCATENATE(ORÇAMENTO.Fonte," ",ORÇAMENTO.CodBarra)))</f>
        <v>SINAPI 98504</v>
      </c>
      <c r="AF233" s="13" t="str">
        <f ca="1">IF(ISERROR(INDIRECT(ORÇAMENTO.BancoRef)),"(abra o arquivo 'Referência "&amp;Excel_BuiltIn_Database&amp;".xlsm)",IF(OR($C233&lt;&gt;"S",ORÇAMENTO.CodBarra=""),"(Sem Código)",IF(ISERROR(MATCH($AE233,INDIRECT(ORÇAMENTO.BancoRef),0)),"(Código não identificado nas referências)",MATCH($AE233,INDIRECT(ORÇAMENTO.BancoRef),0))))</f>
        <v>(abra o arquivo 'Referência 02-2025.xlsm)</v>
      </c>
      <c r="AG233" s="498">
        <f ca="1">ROUND(IF(DESONERACAO="sim",REFERENCIA.Desonerado,REFERENCIA.NaoDesonerado),2)</f>
        <v>0</v>
      </c>
      <c r="AH233" s="499">
        <f t="shared" ca="1" si="69"/>
        <v>0.22470000000000001</v>
      </c>
      <c r="AJ233" s="501">
        <v>726.76</v>
      </c>
      <c r="AL233" s="527"/>
      <c r="AM233" s="381">
        <f t="shared" ca="1" si="70"/>
        <v>0</v>
      </c>
      <c r="AN233" s="566">
        <f t="shared" ca="1" si="71"/>
        <v>0</v>
      </c>
    </row>
    <row r="234" spans="1:40" x14ac:dyDescent="0.2">
      <c r="A234" t="str">
        <f t="shared" si="56"/>
        <v>S</v>
      </c>
      <c r="B234">
        <f t="shared" ca="1" si="57"/>
        <v>3</v>
      </c>
      <c r="C234" t="str">
        <f t="shared" ca="1" si="58"/>
        <v>S</v>
      </c>
      <c r="D234">
        <f t="shared" ca="1" si="59"/>
        <v>0</v>
      </c>
      <c r="E234">
        <f ca="1">IF($C234=1,OFFSET(E234,-1,0)+MAX(1,COUNTIF(QCI!$A$13:$A$24,OFFSET(ORÇAMENTO!E234,-1,0))),OFFSET(E234,-1,0))</f>
        <v>1</v>
      </c>
      <c r="F234">
        <f t="shared" ca="1" si="60"/>
        <v>10</v>
      </c>
      <c r="G234">
        <f t="shared" ca="1" si="61"/>
        <v>3</v>
      </c>
      <c r="H234">
        <f t="shared" ca="1" si="62"/>
        <v>0</v>
      </c>
      <c r="I234">
        <f t="shared" ca="1" si="63"/>
        <v>0</v>
      </c>
      <c r="J234">
        <f t="shared" ca="1" si="55"/>
        <v>0</v>
      </c>
      <c r="K234">
        <f ca="1">IF(OR($C234="S",$C234=0),0,MATCH(OFFSET($D234,0,$C234)+IF($C234&lt;&gt;1,1,COUNTIF(QCI!$A$13:$A$24,ORÇAMENTO!E234)),OFFSET($D234,1,$C234,ROW($C$747)-ROW($C234)),0))</f>
        <v>0</v>
      </c>
      <c r="L234" s="116" t="str">
        <f t="shared" ca="1" si="64"/>
        <v/>
      </c>
      <c r="M234" s="117" t="s">
        <v>199</v>
      </c>
      <c r="N234" s="118" t="str">
        <f t="shared" ca="1" si="65"/>
        <v>Serviço</v>
      </c>
      <c r="O234" s="119" t="str">
        <f t="shared" ca="1" si="66"/>
        <v>-</v>
      </c>
      <c r="P234" s="120" t="s">
        <v>712</v>
      </c>
      <c r="Q234" s="121" t="s">
        <v>781</v>
      </c>
      <c r="R234" s="122" t="str">
        <f ca="1">IF($C234="S",REFERENCIA.Descricao,"(digite a descrição aqui)")</f>
        <v>(abra o arquivo 'Referência 02-2025.xlsm)</v>
      </c>
      <c r="S234" s="123" t="str">
        <f ca="1">REFERENCIA.Unidade</f>
        <v>-</v>
      </c>
      <c r="T234" s="124">
        <f ca="1">OFFSET(CÁLCULO!H$15,ROW($T234)-ROW(T$15),0)</f>
        <v>6.88</v>
      </c>
      <c r="U234" s="125">
        <f t="shared" ca="1" si="72"/>
        <v>0</v>
      </c>
      <c r="V234" s="126" t="s">
        <v>156</v>
      </c>
      <c r="W234" s="124">
        <f ca="1">IF($C234="S",ROUND(IF(TIPOORCAMENTO="Proposto",ORÇAMENTO.CustoUnitario*(1+$AH234),ORÇAMENTO.PrecoUnitarioLicitado),15-13*$AF$10),0)</f>
        <v>0</v>
      </c>
      <c r="X234" s="127">
        <f ca="1">IF($C234="S",IF(Import.TipoArredondamento&lt;&gt;"TransfereGOV",VTOTAL1,SUM(OFFSET(CÁLCULO!$AA$15,ROW($X234)-ROW($X$15),1):OFFSET(CÁLCULO!$AL$15,ROW($X234)-ROW($X$15),-1))),IF($C234=0,0,ROUND(SomaAgrup,15-13*$AF$11)))</f>
        <v>0</v>
      </c>
      <c r="Y234" s="128" t="s">
        <v>245</v>
      </c>
      <c r="Z234" t="str">
        <f t="shared" ca="1" si="67"/>
        <v/>
      </c>
      <c r="AA234" s="129">
        <f ca="1">IF($C234="S",IF($Z234="CP",$X234,IF($Z234="RA",(($X234)*QCI!$AA$3),0)),SomaAgrup)</f>
        <v>0</v>
      </c>
      <c r="AB234" s="130">
        <f t="shared" ca="1" si="68"/>
        <v>0</v>
      </c>
      <c r="AC234" s="131" t="str">
        <f ca="1">IF($N234="","",IF(ORÇAMENTO.Descricao="","DESCRIÇÃO",IF(AND($C234="S",ORÇAMENTO.Unidade=""),"UNIDADE",IF($X234&lt;0,"VALOR NEGATIVO",IF(OR(AND(TIPOORCAMENTO="Proposto",$AG234&lt;&gt;"",$AG234&gt;0,ORÇAMENTO.CustoUnitario&gt;$AG234),AND(TIPOORCAMENTO="LICITADO",ORÇAMENTO.PrecoUnitarioLicitado&gt;$AN234)),"ACIMA REF.","")))))</f>
        <v/>
      </c>
      <c r="AD234" t="str">
        <f ca="1">IF(C234&lt;=CRONO.NivelExibicao,MAX($AD$15:OFFSET(AD234,-1,0))+IF($C234&lt;&gt;1,1,MAX(1,COUNTIF(QCI!$A$13:$A$24,OFFSET($E234,-1,0)))),"")</f>
        <v/>
      </c>
      <c r="AE234" s="7" t="str">
        <f ca="1">IF(AND($C234="S",ORÇAMENTO.CodBarra&lt;&gt;""),IF(ORÇAMENTO.Fonte="",ORÇAMENTO.CodBarra,CONCATENATE(ORÇAMENTO.Fonte," ",ORÇAMENTO.CodBarra)))</f>
        <v>Composição FNDE 38</v>
      </c>
      <c r="AF234" s="13" t="str">
        <f ca="1">IF(ISERROR(INDIRECT(ORÇAMENTO.BancoRef)),"(abra o arquivo 'Referência "&amp;Excel_BuiltIn_Database&amp;".xlsm)",IF(OR($C234&lt;&gt;"S",ORÇAMENTO.CodBarra=""),"(Sem Código)",IF(ISERROR(MATCH($AE234,INDIRECT(ORÇAMENTO.BancoRef),0)),"(Código não identificado nas referências)",MATCH($AE234,INDIRECT(ORÇAMENTO.BancoRef),0))))</f>
        <v>(abra o arquivo 'Referência 02-2025.xlsm)</v>
      </c>
      <c r="AG234" s="498">
        <f ca="1">ROUND(IF(DESONERACAO="sim",REFERENCIA.Desonerado,REFERENCIA.NaoDesonerado),2)</f>
        <v>0</v>
      </c>
      <c r="AH234" s="499">
        <f t="shared" ca="1" si="69"/>
        <v>0.22470000000000001</v>
      </c>
      <c r="AJ234" s="501">
        <v>6.88</v>
      </c>
      <c r="AL234" s="527"/>
      <c r="AM234" s="381">
        <f t="shared" ca="1" si="70"/>
        <v>0</v>
      </c>
      <c r="AN234" s="566">
        <f t="shared" ca="1" si="71"/>
        <v>0</v>
      </c>
    </row>
    <row r="235" spans="1:40" ht="25.5" x14ac:dyDescent="0.2">
      <c r="A235" t="str">
        <f t="shared" si="56"/>
        <v>S</v>
      </c>
      <c r="B235">
        <f t="shared" ca="1" si="57"/>
        <v>3</v>
      </c>
      <c r="C235" t="str">
        <f t="shared" ca="1" si="58"/>
        <v>S</v>
      </c>
      <c r="D235">
        <f t="shared" ca="1" si="59"/>
        <v>0</v>
      </c>
      <c r="E235">
        <f ca="1">IF($C235=1,OFFSET(E235,-1,0)+MAX(1,COUNTIF(QCI!$A$13:$A$24,OFFSET(ORÇAMENTO!E235,-1,0))),OFFSET(E235,-1,0))</f>
        <v>1</v>
      </c>
      <c r="F235">
        <f t="shared" ca="1" si="60"/>
        <v>10</v>
      </c>
      <c r="G235">
        <f t="shared" ca="1" si="61"/>
        <v>3</v>
      </c>
      <c r="H235">
        <f t="shared" ca="1" si="62"/>
        <v>0</v>
      </c>
      <c r="I235">
        <f t="shared" ca="1" si="63"/>
        <v>0</v>
      </c>
      <c r="J235">
        <f t="shared" ca="1" si="55"/>
        <v>0</v>
      </c>
      <c r="K235">
        <f ca="1">IF(OR($C235="S",$C235=0),0,MATCH(OFFSET($D235,0,$C235)+IF($C235&lt;&gt;1,1,COUNTIF(QCI!$A$13:$A$24,ORÇAMENTO!E235)),OFFSET($D235,1,$C235,ROW($C$747)-ROW($C235)),0))</f>
        <v>0</v>
      </c>
      <c r="L235" s="116" t="str">
        <f t="shared" ca="1" si="64"/>
        <v/>
      </c>
      <c r="M235" s="117" t="s">
        <v>199</v>
      </c>
      <c r="N235" s="118" t="str">
        <f t="shared" ca="1" si="65"/>
        <v>Serviço</v>
      </c>
      <c r="O235" s="119" t="str">
        <f t="shared" ca="1" si="66"/>
        <v>-</v>
      </c>
      <c r="P235" s="120" t="s">
        <v>247</v>
      </c>
      <c r="Q235" s="121" t="s">
        <v>904</v>
      </c>
      <c r="R235" s="122" t="str">
        <f ca="1">IF($C235="S",REFERENCIA.Descricao,"(digite a descrição aqui)")</f>
        <v>(abra o arquivo 'Referência 02-2025.xlsm)</v>
      </c>
      <c r="S235" s="123" t="str">
        <f ca="1">REFERENCIA.Unidade</f>
        <v>-</v>
      </c>
      <c r="T235" s="124">
        <f ca="1">OFFSET(CÁLCULO!H$15,ROW($T235)-ROW(T$15),0)</f>
        <v>7.25</v>
      </c>
      <c r="U235" s="125">
        <f t="shared" ca="1" si="72"/>
        <v>0</v>
      </c>
      <c r="V235" s="126" t="s">
        <v>156</v>
      </c>
      <c r="W235" s="124">
        <f ca="1">IF($C235="S",ROUND(IF(TIPOORCAMENTO="Proposto",ORÇAMENTO.CustoUnitario*(1+$AH235),ORÇAMENTO.PrecoUnitarioLicitado),15-13*$AF$10),0)</f>
        <v>0</v>
      </c>
      <c r="X235" s="127">
        <f ca="1">IF($C235="S",IF(Import.TipoArredondamento&lt;&gt;"TransfereGOV",VTOTAL1,SUM(OFFSET(CÁLCULO!$AA$15,ROW($X235)-ROW($X$15),1):OFFSET(CÁLCULO!$AL$15,ROW($X235)-ROW($X$15),-1))),IF($C235=0,0,ROUND(SomaAgrup,15-13*$AF$11)))</f>
        <v>0</v>
      </c>
      <c r="Y235" s="128" t="s">
        <v>245</v>
      </c>
      <c r="Z235" t="str">
        <f t="shared" ca="1" si="67"/>
        <v/>
      </c>
      <c r="AA235" s="129">
        <f ca="1">IF($C235="S",IF($Z235="CP",$X235,IF($Z235="RA",(($X235)*QCI!$AA$3),0)),SomaAgrup)</f>
        <v>0</v>
      </c>
      <c r="AB235" s="130">
        <f t="shared" ca="1" si="68"/>
        <v>0</v>
      </c>
      <c r="AC235" s="131" t="str">
        <f ca="1">IF($N235="","",IF(ORÇAMENTO.Descricao="","DESCRIÇÃO",IF(AND($C235="S",ORÇAMENTO.Unidade=""),"UNIDADE",IF($X235&lt;0,"VALOR NEGATIVO",IF(OR(AND(TIPOORCAMENTO="Proposto",$AG235&lt;&gt;"",$AG235&gt;0,ORÇAMENTO.CustoUnitario&gt;$AG235),AND(TIPOORCAMENTO="LICITADO",ORÇAMENTO.PrecoUnitarioLicitado&gt;$AN235)),"ACIMA REF.","")))))</f>
        <v/>
      </c>
      <c r="AD235" t="str">
        <f ca="1">IF(C235&lt;=CRONO.NivelExibicao,MAX($AD$15:OFFSET(AD235,-1,0))+IF($C235&lt;&gt;1,1,MAX(1,COUNTIF(QCI!$A$13:$A$24,OFFSET($E235,-1,0)))),"")</f>
        <v/>
      </c>
      <c r="AE235" s="7" t="str">
        <f ca="1">IF(AND($C235="S",ORÇAMENTO.CodBarra&lt;&gt;""),IF(ORÇAMENTO.Fonte="",ORÇAMENTO.CodBarra,CONCATENATE(ORÇAMENTO.Fonte," ",ORÇAMENTO.CodBarra)))</f>
        <v>SINAPI 97097</v>
      </c>
      <c r="AF235" s="13" t="str">
        <f ca="1">IF(ISERROR(INDIRECT(ORÇAMENTO.BancoRef)),"(abra o arquivo 'Referência "&amp;Excel_BuiltIn_Database&amp;".xlsm)",IF(OR($C235&lt;&gt;"S",ORÇAMENTO.CodBarra=""),"(Sem Código)",IF(ISERROR(MATCH($AE235,INDIRECT(ORÇAMENTO.BancoRef),0)),"(Código não identificado nas referências)",MATCH($AE235,INDIRECT(ORÇAMENTO.BancoRef),0))))</f>
        <v>(abra o arquivo 'Referência 02-2025.xlsm)</v>
      </c>
      <c r="AG235" s="498">
        <f ca="1">ROUND(IF(DESONERACAO="sim",REFERENCIA.Desonerado,REFERENCIA.NaoDesonerado),2)</f>
        <v>0</v>
      </c>
      <c r="AH235" s="499">
        <f t="shared" ca="1" si="69"/>
        <v>0.22470000000000001</v>
      </c>
      <c r="AJ235" s="501">
        <v>7.25</v>
      </c>
      <c r="AL235" s="527"/>
      <c r="AM235" s="381">
        <f t="shared" ca="1" si="70"/>
        <v>0</v>
      </c>
      <c r="AN235" s="566">
        <f t="shared" ca="1" si="71"/>
        <v>0</v>
      </c>
    </row>
    <row r="236" spans="1:40" x14ac:dyDescent="0.2">
      <c r="A236">
        <f t="shared" si="56"/>
        <v>3</v>
      </c>
      <c r="B236">
        <f t="shared" ca="1" si="57"/>
        <v>3</v>
      </c>
      <c r="C236">
        <f t="shared" ca="1" si="58"/>
        <v>3</v>
      </c>
      <c r="D236">
        <f t="shared" ca="1" si="59"/>
        <v>4</v>
      </c>
      <c r="E236">
        <f ca="1">IF($C236=1,OFFSET(E236,-1,0)+MAX(1,COUNTIF(QCI!$A$13:$A$24,OFFSET(ORÇAMENTO!E236,-1,0))),OFFSET(E236,-1,0))</f>
        <v>1</v>
      </c>
      <c r="F236">
        <f t="shared" ca="1" si="60"/>
        <v>10</v>
      </c>
      <c r="G236">
        <f t="shared" ca="1" si="61"/>
        <v>4</v>
      </c>
      <c r="H236">
        <f t="shared" ca="1" si="62"/>
        <v>0</v>
      </c>
      <c r="I236">
        <f t="shared" ca="1" si="63"/>
        <v>0</v>
      </c>
      <c r="J236">
        <f t="shared" ca="1" si="55"/>
        <v>4</v>
      </c>
      <c r="K236">
        <f ca="1">IF(OR($C236="S",$C236=0),0,MATCH(OFFSET($D236,0,$C236)+IF($C236&lt;&gt;1,1,COUNTIF(QCI!$A$13:$A$24,ORÇAMENTO!E236)),OFFSET($D236,1,$C236,ROW($C$747)-ROW($C236)),0))</f>
        <v>247</v>
      </c>
      <c r="L236" s="116" t="str">
        <f t="shared" ca="1" si="64"/>
        <v>F</v>
      </c>
      <c r="M236" s="117" t="s">
        <v>197</v>
      </c>
      <c r="N236" s="118" t="str">
        <f t="shared" ca="1" si="65"/>
        <v>Nível 3</v>
      </c>
      <c r="O236" s="119" t="str">
        <f t="shared" ca="1" si="66"/>
        <v>1.10.4.</v>
      </c>
      <c r="P236" s="120" t="s">
        <v>247</v>
      </c>
      <c r="Q236" s="121"/>
      <c r="R236" s="122" t="s">
        <v>929</v>
      </c>
      <c r="S236" s="123" t="str">
        <f ca="1">REFERENCIA.Unidade</f>
        <v>-</v>
      </c>
      <c r="T236" s="124">
        <f ca="1">OFFSET(CÁLCULO!H$15,ROW($T236)-ROW(T$15),0)</f>
        <v>0</v>
      </c>
      <c r="U236" s="125">
        <f t="shared" ca="1" si="72"/>
        <v>0</v>
      </c>
      <c r="V236" s="126" t="s">
        <v>156</v>
      </c>
      <c r="W236" s="124">
        <f ca="1">IF($C236="S",ROUND(IF(TIPOORCAMENTO="Proposto",ORÇAMENTO.CustoUnitario*(1+$AH236),ORÇAMENTO.PrecoUnitarioLicitado),15-13*$AF$10),0)</f>
        <v>0</v>
      </c>
      <c r="X236" s="127">
        <f ca="1">IF($C236="S",IF(Import.TipoArredondamento&lt;&gt;"TransfereGOV",VTOTAL1,SUM(OFFSET(CÁLCULO!$AA$15,ROW($X236)-ROW($X$15),1):OFFSET(CÁLCULO!$AL$15,ROW($X236)-ROW($X$15),-1))),IF($C236=0,0,ROUND(SomaAgrup,15-13*$AF$11)))</f>
        <v>0</v>
      </c>
      <c r="Y236" s="128" t="s">
        <v>245</v>
      </c>
      <c r="Z236" t="str">
        <f t="shared" ca="1" si="67"/>
        <v/>
      </c>
      <c r="AA236" s="129">
        <f ca="1">IF($C236="S",IF($Z236="CP",$X236,IF($Z236="RA",(($X236)*QCI!$AA$3),0)),SomaAgrup)</f>
        <v>0</v>
      </c>
      <c r="AB236" s="130">
        <f t="shared" ca="1" si="68"/>
        <v>0</v>
      </c>
      <c r="AC236" s="131" t="str">
        <f ca="1">IF($N236="","",IF(ORÇAMENTO.Descricao="","DESCRIÇÃO",IF(AND($C236="S",ORÇAMENTO.Unidade=""),"UNIDADE",IF($X236&lt;0,"VALOR NEGATIVO",IF(OR(AND(TIPOORCAMENTO="Proposto",$AG236&lt;&gt;"",$AG236&gt;0,ORÇAMENTO.CustoUnitario&gt;$AG236),AND(TIPOORCAMENTO="LICITADO",ORÇAMENTO.PrecoUnitarioLicitado&gt;$AN236)),"ACIMA REF.","")))))</f>
        <v/>
      </c>
      <c r="AD236" t="str">
        <f ca="1">IF(C236&lt;=CRONO.NivelExibicao,MAX($AD$15:OFFSET(AD236,-1,0))+IF($C236&lt;&gt;1,1,MAX(1,COUNTIF(QCI!$A$13:$A$24,OFFSET($E236,-1,0)))),"")</f>
        <v/>
      </c>
      <c r="AE236" s="7" t="b">
        <f ca="1">IF(AND($C236="S",ORÇAMENTO.CodBarra&lt;&gt;""),IF(ORÇAMENTO.Fonte="",ORÇAMENTO.CodBarra,CONCATENATE(ORÇAMENTO.Fonte," ",ORÇAMENTO.CodBarra)))</f>
        <v>0</v>
      </c>
      <c r="AF236" s="13" t="str">
        <f ca="1">IF(ISERROR(INDIRECT(ORÇAMENTO.BancoRef)),"(abra o arquivo 'Referência "&amp;Excel_BuiltIn_Database&amp;".xlsm)",IF(OR($C236&lt;&gt;"S",ORÇAMENTO.CodBarra=""),"(Sem Código)",IF(ISERROR(MATCH($AE236,INDIRECT(ORÇAMENTO.BancoRef),0)),"(Código não identificado nas referências)",MATCH($AE236,INDIRECT(ORÇAMENTO.BancoRef),0))))</f>
        <v>(abra o arquivo 'Referência 02-2025.xlsm)</v>
      </c>
      <c r="AG236" s="498">
        <f ca="1">ROUND(IF(DESONERACAO="sim",REFERENCIA.Desonerado,REFERENCIA.NaoDesonerado),2)</f>
        <v>0</v>
      </c>
      <c r="AH236" s="499">
        <f t="shared" ca="1" si="69"/>
        <v>0.22470000000000001</v>
      </c>
      <c r="AJ236" s="501"/>
      <c r="AL236" s="527"/>
      <c r="AM236" s="381">
        <f t="shared" ca="1" si="70"/>
        <v>0</v>
      </c>
      <c r="AN236" s="566">
        <f t="shared" ca="1" si="71"/>
        <v>0</v>
      </c>
    </row>
    <row r="237" spans="1:40" ht="38.25" x14ac:dyDescent="0.2">
      <c r="A237" t="str">
        <f t="shared" si="56"/>
        <v>S</v>
      </c>
      <c r="B237">
        <f t="shared" ca="1" si="57"/>
        <v>3</v>
      </c>
      <c r="C237" t="str">
        <f t="shared" ca="1" si="58"/>
        <v>S</v>
      </c>
      <c r="D237">
        <f t="shared" ca="1" si="59"/>
        <v>0</v>
      </c>
      <c r="E237">
        <f ca="1">IF($C237=1,OFFSET(E237,-1,0)+MAX(1,COUNTIF(QCI!$A$13:$A$24,OFFSET(ORÇAMENTO!E237,-1,0))),OFFSET(E237,-1,0))</f>
        <v>1</v>
      </c>
      <c r="F237">
        <f t="shared" ca="1" si="60"/>
        <v>10</v>
      </c>
      <c r="G237">
        <f t="shared" ca="1" si="61"/>
        <v>4</v>
      </c>
      <c r="H237">
        <f t="shared" ca="1" si="62"/>
        <v>0</v>
      </c>
      <c r="I237">
        <f t="shared" ca="1" si="63"/>
        <v>0</v>
      </c>
      <c r="J237">
        <f t="shared" ca="1" si="55"/>
        <v>0</v>
      </c>
      <c r="K237">
        <f ca="1">IF(OR($C237="S",$C237=0),0,MATCH(OFFSET($D237,0,$C237)+IF($C237&lt;&gt;1,1,COUNTIF(QCI!$A$13:$A$24,ORÇAMENTO!E237)),OFFSET($D237,1,$C237,ROW($C$747)-ROW($C237)),0))</f>
        <v>0</v>
      </c>
      <c r="L237" s="116" t="str">
        <f t="shared" ca="1" si="64"/>
        <v/>
      </c>
      <c r="M237" s="117" t="s">
        <v>199</v>
      </c>
      <c r="N237" s="118" t="str">
        <f t="shared" ca="1" si="65"/>
        <v>Serviço</v>
      </c>
      <c r="O237" s="119" t="str">
        <f t="shared" ca="1" si="66"/>
        <v>-</v>
      </c>
      <c r="P237" s="120" t="s">
        <v>247</v>
      </c>
      <c r="Q237" s="121" t="s">
        <v>475</v>
      </c>
      <c r="R237" s="122" t="str">
        <f ca="1">IF($C237="S",REFERENCIA.Descricao,"(digite a descrição aqui)")</f>
        <v>(abra o arquivo 'Referência 02-2025.xlsm)</v>
      </c>
      <c r="S237" s="123" t="str">
        <f ca="1">REFERENCIA.Unidade</f>
        <v>-</v>
      </c>
      <c r="T237" s="124">
        <f ca="1">OFFSET(CÁLCULO!H$15,ROW($T237)-ROW(T$15),0)</f>
        <v>591.02</v>
      </c>
      <c r="U237" s="125">
        <f t="shared" ca="1" si="72"/>
        <v>0</v>
      </c>
      <c r="V237" s="126" t="s">
        <v>156</v>
      </c>
      <c r="W237" s="124">
        <f ca="1">IF($C237="S",ROUND(IF(TIPOORCAMENTO="Proposto",ORÇAMENTO.CustoUnitario*(1+$AH237),ORÇAMENTO.PrecoUnitarioLicitado),15-13*$AF$10),0)</f>
        <v>0</v>
      </c>
      <c r="X237" s="127">
        <f ca="1">IF($C237="S",IF(Import.TipoArredondamento&lt;&gt;"TransfereGOV",VTOTAL1,SUM(OFFSET(CÁLCULO!$AA$15,ROW($X237)-ROW($X$15),1):OFFSET(CÁLCULO!$AL$15,ROW($X237)-ROW($X$15),-1))),IF($C237=0,0,ROUND(SomaAgrup,15-13*$AF$11)))</f>
        <v>0</v>
      </c>
      <c r="Y237" s="128" t="s">
        <v>245</v>
      </c>
      <c r="Z237" t="str">
        <f t="shared" ca="1" si="67"/>
        <v/>
      </c>
      <c r="AA237" s="129">
        <f ca="1">IF($C237="S",IF($Z237="CP",$X237,IF($Z237="RA",(($X237)*QCI!$AA$3),0)),SomaAgrup)</f>
        <v>0</v>
      </c>
      <c r="AB237" s="130">
        <f t="shared" ca="1" si="68"/>
        <v>0</v>
      </c>
      <c r="AC237" s="131" t="str">
        <f ca="1">IF($N237="","",IF(ORÇAMENTO.Descricao="","DESCRIÇÃO",IF(AND($C237="S",ORÇAMENTO.Unidade=""),"UNIDADE",IF($X237&lt;0,"VALOR NEGATIVO",IF(OR(AND(TIPOORCAMENTO="Proposto",$AG237&lt;&gt;"",$AG237&gt;0,ORÇAMENTO.CustoUnitario&gt;$AG237),AND(TIPOORCAMENTO="LICITADO",ORÇAMENTO.PrecoUnitarioLicitado&gt;$AN237)),"ACIMA REF.","")))))</f>
        <v/>
      </c>
      <c r="AD237" t="str">
        <f ca="1">IF(C237&lt;=CRONO.NivelExibicao,MAX($AD$15:OFFSET(AD237,-1,0))+IF($C237&lt;&gt;1,1,MAX(1,COUNTIF(QCI!$A$13:$A$24,OFFSET($E237,-1,0)))),"")</f>
        <v/>
      </c>
      <c r="AE237" s="7" t="str">
        <f ca="1">IF(AND($C237="S",ORÇAMENTO.CodBarra&lt;&gt;""),IF(ORÇAMENTO.Fonte="",ORÇAMENTO.CodBarra,CONCATENATE(ORÇAMENTO.Fonte," ",ORÇAMENTO.CodBarra)))</f>
        <v>SINAPI 97083</v>
      </c>
      <c r="AF237" s="13" t="str">
        <f ca="1">IF(ISERROR(INDIRECT(ORÇAMENTO.BancoRef)),"(abra o arquivo 'Referência "&amp;Excel_BuiltIn_Database&amp;".xlsm)",IF(OR($C237&lt;&gt;"S",ORÇAMENTO.CodBarra=""),"(Sem Código)",IF(ISERROR(MATCH($AE237,INDIRECT(ORÇAMENTO.BancoRef),0)),"(Código não identificado nas referências)",MATCH($AE237,INDIRECT(ORÇAMENTO.BancoRef),0))))</f>
        <v>(abra o arquivo 'Referência 02-2025.xlsm)</v>
      </c>
      <c r="AG237" s="498">
        <f ca="1">ROUND(IF(DESONERACAO="sim",REFERENCIA.Desonerado,REFERENCIA.NaoDesonerado),2)</f>
        <v>0</v>
      </c>
      <c r="AH237" s="499">
        <f t="shared" ca="1" si="69"/>
        <v>0.22470000000000001</v>
      </c>
      <c r="AJ237" s="501">
        <v>591.02</v>
      </c>
      <c r="AL237" s="527"/>
      <c r="AM237" s="381">
        <f t="shared" ref="AM237:AM239" ca="1" si="73">$X237</f>
        <v>0</v>
      </c>
      <c r="AN237" s="566">
        <f t="shared" ca="1" si="71"/>
        <v>0</v>
      </c>
    </row>
    <row r="238" spans="1:40" ht="38.25" x14ac:dyDescent="0.2">
      <c r="A238" t="str">
        <f>CHOOSE(1+LOG(1+2*(ORÇAMENTO.Nivel="Meta")+4*(ORÇAMENTO.Nivel="Nível 2")+8*(ORÇAMENTO.Nivel="Nível 3")+16*(ORÇAMENTO.Nivel="Nível 4")+32*(ORÇAMENTO.Nivel="Serviço"),2),0,1,2,3,4,"S")</f>
        <v>S</v>
      </c>
      <c r="B238">
        <f t="shared" ref="B238:B239" ca="1" si="74">IF(OR(C238="s",C238=0),OFFSET(B238,-1,0),C238)</f>
        <v>3</v>
      </c>
      <c r="C238" t="str">
        <f t="shared" ref="C238:C239" ca="1" si="75">IF(OFFSET(C238,-1,0)="L",1,IF(OFFSET(C238,-1,0)=1,2,IF(OR(A238="s",A238=0),"S",IF(AND(OFFSET(C238,-1,0)=2,A238=4),3,IF(AND(OR(OFFSET(C238,-1,0)="s",OFFSET(C238,-1,0)=0),A238&lt;&gt;"s",A238&gt;OFFSET(B238,-1,0)),OFFSET(B238,-1,0),A238)))))</f>
        <v>S</v>
      </c>
      <c r="D238">
        <f t="shared" ref="D238:D239" ca="1" si="76">IF(OR(C238="S",C238=0),0,IF(ISERROR(K238),J238,SMALL(J238:K238,1)))</f>
        <v>0</v>
      </c>
      <c r="E238">
        <f ca="1">IF($C238=1,OFFSET(E238,-1,0)+MAX(1,COUNTIF(QCI!$A$13:$A$24,OFFSET(ORÇAMENTO!E238,-1,0))),OFFSET(E238,-1,0))</f>
        <v>1</v>
      </c>
      <c r="F238">
        <f t="shared" ref="F238:F239" ca="1" si="77">IF($C238=1,0,IF($C238=2,OFFSET(F238,-1,0)+1,OFFSET(F238,-1,0)))</f>
        <v>10</v>
      </c>
      <c r="G238">
        <f t="shared" ref="G238:G239" ca="1" si="78">IF(AND($C238&lt;=2,$C238&lt;&gt;0),0,IF($C238=3,OFFSET(G238,-1,0)+1,OFFSET(G238,-1,0)))</f>
        <v>4</v>
      </c>
      <c r="H238">
        <f t="shared" ref="H238:H239" ca="1" si="79">IF(AND($C238&lt;=3,$C238&lt;&gt;0),0,IF($C238=4,OFFSET(H238,-1,0)+1,OFFSET(H238,-1,0)))</f>
        <v>0</v>
      </c>
      <c r="I238">
        <f t="shared" ref="I238:I239" ca="1" si="80">IF(AND($C238&lt;=4,$C238&lt;&gt;0),0,IF(AND($C238="S",$X238&gt;0),OFFSET(I238,-1,0)+1,OFFSET(I238,-1,0)))</f>
        <v>0</v>
      </c>
      <c r="J238">
        <f t="shared" ca="1" si="55"/>
        <v>0</v>
      </c>
      <c r="K238">
        <f ca="1">IF(OR($C238="S",$C238=0),0,MATCH(OFFSET($D238,0,$C238)+IF($C238&lt;&gt;1,1,COUNTIF(QCI!$A$13:$A$24,ORÇAMENTO!E238)),OFFSET($D238,1,$C238,ROW($C$747)-ROW($C238)),0))</f>
        <v>0</v>
      </c>
      <c r="L238" s="116" t="str">
        <f t="shared" ref="L238:L239" ca="1" si="81">IF(OR($X238&gt;0,$C238=1,$C238=2,$C238=3,$C238=4),"F","")</f>
        <v/>
      </c>
      <c r="M238" s="117" t="s">
        <v>199</v>
      </c>
      <c r="N238" s="118" t="str">
        <f t="shared" ref="N238:N239" ca="1" si="82">CHOOSE(1+LOG(1+2*(C238=1)+4*(C238=2)+8*(C238=3)+16*(C238=4)+32*(C238="S"),2),"","Meta","Nível 2","Nível 3","Nível 4","Serviço")</f>
        <v>Serviço</v>
      </c>
      <c r="O238" s="119" t="str">
        <f t="shared" ref="O238:O239" ca="1" si="83">IF(OR($C238=0,$L238=""),"-",CONCATENATE(E238&amp;".",IF(AND($A$5&gt;=2,$C238&gt;=2),F238&amp;".",""),IF(AND($A$5&gt;=3,$C238&gt;=3),G238&amp;".",""),IF(AND($A$5&gt;=4,$C238&gt;=4),H238&amp;".",""),IF($C238="S",I238&amp;".","")))</f>
        <v>-</v>
      </c>
      <c r="P238" s="120" t="s">
        <v>247</v>
      </c>
      <c r="Q238" s="121" t="s">
        <v>900</v>
      </c>
      <c r="R238" s="122" t="str">
        <f ca="1">IF($C238="S",REFERENCIA.Descricao,"(digite a descrição aqui)")</f>
        <v>(abra o arquivo 'Referência 02-2025.xlsm)</v>
      </c>
      <c r="S238" s="123" t="str">
        <f ca="1">REFERENCIA.Unidade</f>
        <v>-</v>
      </c>
      <c r="T238" s="124">
        <f ca="1">OFFSET(CÁLCULO!H$15,ROW($T238)-ROW(T$15),0)</f>
        <v>51.53</v>
      </c>
      <c r="U238" s="125">
        <f t="shared" ca="1" si="72"/>
        <v>0</v>
      </c>
      <c r="V238" s="126" t="s">
        <v>156</v>
      </c>
      <c r="W238" s="124">
        <f ca="1">IF($C238="S",ROUND(IF(TIPOORCAMENTO="Proposto",ORÇAMENTO.CustoUnitario*(1+$AH238),ORÇAMENTO.PrecoUnitarioLicitado),15-13*$AF$10),0)</f>
        <v>0</v>
      </c>
      <c r="X238" s="127">
        <f ca="1">IF($C238="S",IF(Import.TipoArredondamento&lt;&gt;"TransfereGOV",VTOTAL1,SUM(OFFSET(CÁLCULO!$AA$15,ROW($X238)-ROW($X$15),1):OFFSET(CÁLCULO!$AL$15,ROW($X238)-ROW($X$15),-1))),IF($C238=0,0,ROUND(SomaAgrup,15-13*$AF$11)))</f>
        <v>0</v>
      </c>
      <c r="Y238" s="128" t="s">
        <v>245</v>
      </c>
      <c r="Z238" t="str">
        <f t="shared" ref="Z238:Z239" ca="1" si="84">IF(AND($C238="S",$X238&gt;0),IF(ISBLANK($Y238),"RA",LEFT($Y238,2)),"")</f>
        <v/>
      </c>
      <c r="AA238" s="129">
        <f ca="1">IF($C238="S",IF($Z238="CP",$X238,IF($Z238="RA",(($X238)*QCI!$AA$3),0)),SomaAgrup)</f>
        <v>0</v>
      </c>
      <c r="AB238" s="130">
        <f ca="1">IF($C238="S",IF($Z238="OU",ROUND($X238,2),0),SomaAgrup)</f>
        <v>0</v>
      </c>
      <c r="AC238" s="131" t="str">
        <f ca="1">IF($N238="","",IF(ORÇAMENTO.Descricao="","DESCRIÇÃO",IF(AND($C238="S",ORÇAMENTO.Unidade=""),"UNIDADE",IF($X238&lt;0,"VALOR NEGATIVO",IF(OR(AND(TIPOORCAMENTO="Proposto",$AG238&lt;&gt;"",$AG238&gt;0,ORÇAMENTO.CustoUnitario&gt;$AG238),AND(TIPOORCAMENTO="LICITADO",ORÇAMENTO.PrecoUnitarioLicitado&gt;$AN238)),"ACIMA REF.","")))))</f>
        <v/>
      </c>
      <c r="AD238" t="str">
        <f ca="1">IF(C238&lt;=CRONO.NivelExibicao,MAX($AD$15:OFFSET(AD238,-1,0))+IF($C238&lt;&gt;1,1,MAX(1,COUNTIF(QCI!$A$13:$A$24,OFFSET($E238,-1,0)))),"")</f>
        <v/>
      </c>
      <c r="AE238" s="7" t="str">
        <f ca="1">IF(AND($C238="S",ORÇAMENTO.CodBarra&lt;&gt;""),IF(ORÇAMENTO.Fonte="",ORÇAMENTO.CodBarra,CONCATENATE(ORÇAMENTO.Fonte," ",ORÇAMENTO.CodBarra)))</f>
        <v>SINAPI 96624</v>
      </c>
      <c r="AF238" s="13" t="str">
        <f ca="1">IF(ISERROR(INDIRECT(ORÇAMENTO.BancoRef)),"(abra o arquivo 'Referência "&amp;Excel_BuiltIn_Database&amp;".xlsm)",IF(OR($C238&lt;&gt;"S",ORÇAMENTO.CodBarra=""),"(Sem Código)",IF(ISERROR(MATCH($AE238,INDIRECT(ORÇAMENTO.BancoRef),0)),"(Código não identificado nas referências)",MATCH($AE238,INDIRECT(ORÇAMENTO.BancoRef),0))))</f>
        <v>(abra o arquivo 'Referência 02-2025.xlsm)</v>
      </c>
      <c r="AG238" s="498">
        <f ca="1">ROUND(IF(DESONERACAO="sim",REFERENCIA.Desonerado,REFERENCIA.NaoDesonerado),2)</f>
        <v>0</v>
      </c>
      <c r="AH238" s="499">
        <f ca="1">ROUND(IF(ISNUMBER(ORÇAMENTO.OpcaoBDI),ORÇAMENTO.OpcaoBDI,IF(LEFT(ORÇAMENTO.OpcaoBDI,3)="BDI",HLOOKUP(ORÇAMENTO.OpcaoBDI,$F$4:$H$5,2,FALSE),0)),15-11*$AF$9)</f>
        <v>0.22470000000000001</v>
      </c>
      <c r="AJ238" s="501">
        <v>51.53</v>
      </c>
      <c r="AL238" s="527"/>
      <c r="AM238" s="381">
        <f t="shared" ca="1" si="73"/>
        <v>0</v>
      </c>
      <c r="AN238" s="566">
        <f ca="1">ROUND(ORÇAMENTO.CustoUnitario*(1+$AH238),2)</f>
        <v>0</v>
      </c>
    </row>
    <row r="239" spans="1:40" ht="38.25" x14ac:dyDescent="0.2">
      <c r="A239" t="str">
        <f>CHOOSE(1+LOG(1+2*(ORÇAMENTO.Nivel="Meta")+4*(ORÇAMENTO.Nivel="Nível 2")+8*(ORÇAMENTO.Nivel="Nível 3")+16*(ORÇAMENTO.Nivel="Nível 4")+32*(ORÇAMENTO.Nivel="Serviço"),2),0,1,2,3,4,"S")</f>
        <v>S</v>
      </c>
      <c r="B239">
        <f t="shared" ca="1" si="74"/>
        <v>3</v>
      </c>
      <c r="C239" t="str">
        <f t="shared" ca="1" si="75"/>
        <v>S</v>
      </c>
      <c r="D239">
        <f t="shared" ca="1" si="76"/>
        <v>0</v>
      </c>
      <c r="E239">
        <f ca="1">IF($C239=1,OFFSET(E239,-1,0)+MAX(1,COUNTIF(QCI!$A$13:$A$24,OFFSET(ORÇAMENTO!E239,-1,0))),OFFSET(E239,-1,0))</f>
        <v>1</v>
      </c>
      <c r="F239">
        <f t="shared" ca="1" si="77"/>
        <v>10</v>
      </c>
      <c r="G239">
        <f t="shared" ca="1" si="78"/>
        <v>4</v>
      </c>
      <c r="H239">
        <f t="shared" ca="1" si="79"/>
        <v>0</v>
      </c>
      <c r="I239">
        <f t="shared" ca="1" si="80"/>
        <v>0</v>
      </c>
      <c r="J239">
        <f t="shared" ca="1" si="55"/>
        <v>0</v>
      </c>
      <c r="K239">
        <f ca="1">IF(OR($C239="S",$C239=0),0,MATCH(OFFSET($D239,0,$C239)+IF($C239&lt;&gt;1,1,COUNTIF(QCI!$A$13:$A$24,ORÇAMENTO!E239)),OFFSET($D239,1,$C239,ROW($C$747)-ROW($C239)),0))</f>
        <v>0</v>
      </c>
      <c r="L239" s="116" t="str">
        <f t="shared" ca="1" si="81"/>
        <v/>
      </c>
      <c r="M239" s="117" t="s">
        <v>199</v>
      </c>
      <c r="N239" s="118" t="str">
        <f t="shared" ca="1" si="82"/>
        <v>Serviço</v>
      </c>
      <c r="O239" s="119" t="str">
        <f t="shared" ca="1" si="83"/>
        <v>-</v>
      </c>
      <c r="P239" s="120" t="s">
        <v>247</v>
      </c>
      <c r="Q239" s="121" t="s">
        <v>930</v>
      </c>
      <c r="R239" s="122" t="str">
        <f ca="1">IF($C239="S",REFERENCIA.Descricao,"(digite a descrição aqui)")</f>
        <v>(abra o arquivo 'Referência 02-2025.xlsm)</v>
      </c>
      <c r="S239" s="123" t="str">
        <f ca="1">REFERENCIA.Unidade</f>
        <v>-</v>
      </c>
      <c r="T239" s="124">
        <f ca="1">OFFSET(CÁLCULO!H$15,ROW($T239)-ROW(T$15),0)</f>
        <v>431.61</v>
      </c>
      <c r="U239" s="125">
        <f t="shared" ca="1" si="72"/>
        <v>0</v>
      </c>
      <c r="V239" s="126" t="s">
        <v>156</v>
      </c>
      <c r="W239" s="124">
        <f ca="1">IF($C239="S",ROUND(IF(TIPOORCAMENTO="Proposto",ORÇAMENTO.CustoUnitario*(1+$AH239),ORÇAMENTO.PrecoUnitarioLicitado),15-13*$AF$10),0)</f>
        <v>0</v>
      </c>
      <c r="X239" s="127">
        <f ca="1">IF($C239="S",IF(Import.TipoArredondamento&lt;&gt;"TransfereGOV",VTOTAL1,SUM(OFFSET(CÁLCULO!$AA$15,ROW($X239)-ROW($X$15),1):OFFSET(CÁLCULO!$AL$15,ROW($X239)-ROW($X$15),-1))),IF($C239=0,0,ROUND(SomaAgrup,15-13*$AF$11)))</f>
        <v>0</v>
      </c>
      <c r="Y239" s="128" t="s">
        <v>245</v>
      </c>
      <c r="Z239" t="str">
        <f t="shared" ca="1" si="84"/>
        <v/>
      </c>
      <c r="AA239" s="129">
        <f ca="1">IF($C239="S",IF($Z239="CP",$X239,IF($Z239="RA",(($X239)*QCI!$AA$3),0)),SomaAgrup)</f>
        <v>0</v>
      </c>
      <c r="AB239" s="130">
        <f ca="1">IF($C239="S",IF($Z239="OU",ROUND($X239,2),0),SomaAgrup)</f>
        <v>0</v>
      </c>
      <c r="AC239" s="131" t="str">
        <f ca="1">IF($N239="","",IF(ORÇAMENTO.Descricao="","DESCRIÇÃO",IF(AND($C239="S",ORÇAMENTO.Unidade=""),"UNIDADE",IF($X239&lt;0,"VALOR NEGATIVO",IF(OR(AND(TIPOORCAMENTO="Proposto",$AG239&lt;&gt;"",$AG239&gt;0,ORÇAMENTO.CustoUnitario&gt;$AG239),AND(TIPOORCAMENTO="LICITADO",ORÇAMENTO.PrecoUnitarioLicitado&gt;$AN239)),"ACIMA REF.","")))))</f>
        <v/>
      </c>
      <c r="AD239" t="str">
        <f ca="1">IF(C239&lt;=CRONO.NivelExibicao,MAX($AD$15:OFFSET(AD239,-1,0))+IF($C239&lt;&gt;1,1,MAX(1,COUNTIF(QCI!$A$13:$A$24,OFFSET($E239,-1,0)))),"")</f>
        <v/>
      </c>
      <c r="AE239" s="7" t="str">
        <f ca="1">IF(AND($C239="S",ORÇAMENTO.CodBarra&lt;&gt;""),IF(ORÇAMENTO.Fonte="",ORÇAMENTO.CodBarra,CONCATENATE(ORÇAMENTO.Fonte," ",ORÇAMENTO.CodBarra)))</f>
        <v>SINAPI 94994</v>
      </c>
      <c r="AF239" s="13" t="str">
        <f ca="1">IF(ISERROR(INDIRECT(ORÇAMENTO.BancoRef)),"(abra o arquivo 'Referência "&amp;Excel_BuiltIn_Database&amp;".xlsm)",IF(OR($C239&lt;&gt;"S",ORÇAMENTO.CodBarra=""),"(Sem Código)",IF(ISERROR(MATCH($AE239,INDIRECT(ORÇAMENTO.BancoRef),0)),"(Código não identificado nas referências)",MATCH($AE239,INDIRECT(ORÇAMENTO.BancoRef),0))))</f>
        <v>(abra o arquivo 'Referência 02-2025.xlsm)</v>
      </c>
      <c r="AG239" s="498">
        <f ca="1">ROUND(IF(DESONERACAO="sim",REFERENCIA.Desonerado,REFERENCIA.NaoDesonerado),2)</f>
        <v>0</v>
      </c>
      <c r="AH239" s="499">
        <f ca="1">ROUND(IF(ISNUMBER(ORÇAMENTO.OpcaoBDI),ORÇAMENTO.OpcaoBDI,IF(LEFT(ORÇAMENTO.OpcaoBDI,3)="BDI",HLOOKUP(ORÇAMENTO.OpcaoBDI,$F$4:$H$5,2,FALSE),0)),15-11*$AF$9)</f>
        <v>0.22470000000000001</v>
      </c>
      <c r="AJ239" s="501">
        <v>431.61</v>
      </c>
      <c r="AL239" s="527"/>
      <c r="AM239" s="381">
        <f t="shared" ca="1" si="73"/>
        <v>0</v>
      </c>
      <c r="AN239" s="566">
        <f ca="1">ROUND(ORÇAMENTO.CustoUnitario*(1+$AH239),2)</f>
        <v>0</v>
      </c>
    </row>
    <row r="240" spans="1:40" x14ac:dyDescent="0.2">
      <c r="A240">
        <f t="shared" si="56"/>
        <v>2</v>
      </c>
      <c r="B240">
        <f t="shared" ca="1" si="57"/>
        <v>2</v>
      </c>
      <c r="C240">
        <f t="shared" ca="1" si="58"/>
        <v>2</v>
      </c>
      <c r="D240">
        <f t="shared" ca="1" si="59"/>
        <v>26</v>
      </c>
      <c r="E240">
        <f ca="1">IF($C240=1,OFFSET(E240,-1,0)+MAX(1,COUNTIF(QCI!$A$13:$A$24,OFFSET(ORÇAMENTO!E240,-1,0))),OFFSET(E240,-1,0))</f>
        <v>1</v>
      </c>
      <c r="F240">
        <f t="shared" ca="1" si="60"/>
        <v>11</v>
      </c>
      <c r="G240">
        <f t="shared" ca="1" si="61"/>
        <v>0</v>
      </c>
      <c r="H240">
        <f t="shared" ca="1" si="62"/>
        <v>0</v>
      </c>
      <c r="I240">
        <f t="shared" ca="1" si="63"/>
        <v>0</v>
      </c>
      <c r="J240">
        <f t="shared" ca="1" si="55"/>
        <v>507</v>
      </c>
      <c r="K240">
        <f ca="1">IF(OR($C240="S",$C240=0),0,MATCH(OFFSET($D240,0,$C240)+IF($C240&lt;&gt;1,1,COUNTIF(QCI!$A$13:$A$24,ORÇAMENTO!E240)),OFFSET($D240,1,$C240,ROW($C$747)-ROW($C240)),0))</f>
        <v>26</v>
      </c>
      <c r="L240" s="116" t="str">
        <f t="shared" ca="1" si="64"/>
        <v>F</v>
      </c>
      <c r="M240" s="117" t="s">
        <v>196</v>
      </c>
      <c r="N240" s="118" t="str">
        <f t="shared" ca="1" si="65"/>
        <v>Nível 2</v>
      </c>
      <c r="O240" s="119" t="str">
        <f t="shared" ca="1" si="66"/>
        <v>1.11.</v>
      </c>
      <c r="P240" s="120" t="s">
        <v>247</v>
      </c>
      <c r="Q240" s="121"/>
      <c r="R240" s="122" t="str">
        <f ca="1">IF($C240="S",REFERENCIA.Descricao,"PINTURAS E ACABAMENTOS")</f>
        <v>PINTURAS E ACABAMENTOS</v>
      </c>
      <c r="S240" s="123" t="str">
        <f ca="1">REFERENCIA.Unidade</f>
        <v>-</v>
      </c>
      <c r="T240" s="124">
        <f ca="1">OFFSET(CÁLCULO!H$15,ROW($T240)-ROW(T$15),0)</f>
        <v>0</v>
      </c>
      <c r="U240" s="125">
        <f t="shared" ca="1" si="72"/>
        <v>0</v>
      </c>
      <c r="V240" s="126" t="s">
        <v>156</v>
      </c>
      <c r="W240" s="124">
        <f ca="1">IF($C240="S",ROUND(IF(TIPOORCAMENTO="Proposto",ORÇAMENTO.CustoUnitario*(1+$AH240),ORÇAMENTO.PrecoUnitarioLicitado),15-13*$AF$10),0)</f>
        <v>0</v>
      </c>
      <c r="X240" s="127">
        <f ca="1">IF($C240="S",IF(Import.TipoArredondamento&lt;&gt;"TransfereGOV",VTOTAL1,SUM(OFFSET(CÁLCULO!$AA$15,ROW($X240)-ROW($X$15),1):OFFSET(CÁLCULO!$AL$15,ROW($X240)-ROW($X$15),-1))),IF($C240=0,0,ROUND(SomaAgrup,15-13*$AF$11)))</f>
        <v>0</v>
      </c>
      <c r="Y240" s="128" t="s">
        <v>245</v>
      </c>
      <c r="Z240" t="str">
        <f t="shared" ca="1" si="67"/>
        <v/>
      </c>
      <c r="AA240" s="129">
        <f ca="1">IF($C240="S",IF($Z240="CP",$X240,IF($Z240="RA",(($X240)*QCI!$AA$3),0)),SomaAgrup)</f>
        <v>0</v>
      </c>
      <c r="AB240" s="130">
        <f t="shared" ca="1" si="68"/>
        <v>0</v>
      </c>
      <c r="AC240" s="131" t="str">
        <f ca="1">IF($N240="","",IF(ORÇAMENTO.Descricao="","DESCRIÇÃO",IF(AND($C240="S",ORÇAMENTO.Unidade=""),"UNIDADE",IF($X240&lt;0,"VALOR NEGATIVO",IF(OR(AND(TIPOORCAMENTO="Proposto",$AG240&lt;&gt;"",$AG240&gt;0,ORÇAMENTO.CustoUnitario&gt;$AG240),AND(TIPOORCAMENTO="LICITADO",ORÇAMENTO.PrecoUnitarioLicitado&gt;$AN240)),"ACIMA REF.","")))))</f>
        <v/>
      </c>
      <c r="AD240">
        <f ca="1">IF(C240&lt;=CRONO.NivelExibicao,MAX($AD$15:OFFSET(AD240,-1,0))+IF($C240&lt;&gt;1,1,MAX(1,COUNTIF(QCI!$A$13:$A$24,OFFSET($E240,-1,0)))),"")</f>
        <v>12</v>
      </c>
      <c r="AE240" s="7" t="b">
        <f ca="1">IF(AND($C240="S",ORÇAMENTO.CodBarra&lt;&gt;""),IF(ORÇAMENTO.Fonte="",ORÇAMENTO.CodBarra,CONCATENATE(ORÇAMENTO.Fonte," ",ORÇAMENTO.CodBarra)))</f>
        <v>0</v>
      </c>
      <c r="AF240" s="13" t="str">
        <f ca="1">IF(ISERROR(INDIRECT(ORÇAMENTO.BancoRef)),"(abra o arquivo 'Referência "&amp;Excel_BuiltIn_Database&amp;".xlsm)",IF(OR($C240&lt;&gt;"S",ORÇAMENTO.CodBarra=""),"(Sem Código)",IF(ISERROR(MATCH($AE240,INDIRECT(ORÇAMENTO.BancoRef),0)),"(Código não identificado nas referências)",MATCH($AE240,INDIRECT(ORÇAMENTO.BancoRef),0))))</f>
        <v>(abra o arquivo 'Referência 02-2025.xlsm)</v>
      </c>
      <c r="AG240" s="498">
        <f ca="1">ROUND(IF(DESONERACAO="sim",REFERENCIA.Desonerado,REFERENCIA.NaoDesonerado),2)</f>
        <v>0</v>
      </c>
      <c r="AH240" s="499">
        <f t="shared" ca="1" si="69"/>
        <v>0.22470000000000001</v>
      </c>
      <c r="AJ240" s="501"/>
      <c r="AL240" s="527"/>
      <c r="AM240" s="381">
        <f t="shared" ca="1" si="70"/>
        <v>0</v>
      </c>
      <c r="AN240" s="566">
        <f t="shared" ca="1" si="71"/>
        <v>0</v>
      </c>
    </row>
    <row r="241" spans="1:40" x14ac:dyDescent="0.2">
      <c r="A241">
        <f t="shared" si="56"/>
        <v>3</v>
      </c>
      <c r="B241">
        <f t="shared" ca="1" si="57"/>
        <v>3</v>
      </c>
      <c r="C241">
        <f t="shared" ca="1" si="58"/>
        <v>3</v>
      </c>
      <c r="D241">
        <f t="shared" ca="1" si="59"/>
        <v>10</v>
      </c>
      <c r="E241">
        <f ca="1">IF($C241=1,OFFSET(E241,-1,0)+MAX(1,COUNTIF(QCI!$A$13:$A$24,OFFSET(ORÇAMENTO!E241,-1,0))),OFFSET(E241,-1,0))</f>
        <v>1</v>
      </c>
      <c r="F241">
        <f t="shared" ca="1" si="60"/>
        <v>11</v>
      </c>
      <c r="G241">
        <f t="shared" ca="1" si="61"/>
        <v>1</v>
      </c>
      <c r="H241">
        <f t="shared" ca="1" si="62"/>
        <v>0</v>
      </c>
      <c r="I241">
        <f t="shared" ca="1" si="63"/>
        <v>0</v>
      </c>
      <c r="J241">
        <f t="shared" ca="1" si="55"/>
        <v>25</v>
      </c>
      <c r="K241">
        <f ca="1">IF(OR($C241="S",$C241=0),0,MATCH(OFFSET($D241,0,$C241)+IF($C241&lt;&gt;1,1,COUNTIF(QCI!$A$13:$A$24,ORÇAMENTO!E241)),OFFSET($D241,1,$C241,ROW($C$747)-ROW($C241)),0))</f>
        <v>10</v>
      </c>
      <c r="L241" s="116" t="str">
        <f t="shared" ca="1" si="64"/>
        <v>F</v>
      </c>
      <c r="M241" s="117" t="s">
        <v>197</v>
      </c>
      <c r="N241" s="118" t="str">
        <f t="shared" ca="1" si="65"/>
        <v>Nível 3</v>
      </c>
      <c r="O241" s="119" t="str">
        <f t="shared" ca="1" si="66"/>
        <v>1.11.1.</v>
      </c>
      <c r="P241" s="120" t="s">
        <v>247</v>
      </c>
      <c r="Q241" s="121"/>
      <c r="R241" s="122" t="str">
        <f ca="1">IF($C241="S",REFERENCIA.Descricao,"PINTURA PAREDES")</f>
        <v>PINTURA PAREDES</v>
      </c>
      <c r="S241" s="123" t="str">
        <f ca="1">REFERENCIA.Unidade</f>
        <v>-</v>
      </c>
      <c r="T241" s="124">
        <f ca="1">OFFSET(CÁLCULO!H$15,ROW($T241)-ROW(T$15),0)</f>
        <v>0</v>
      </c>
      <c r="U241" s="125">
        <f t="shared" ca="1" si="72"/>
        <v>0</v>
      </c>
      <c r="V241" s="126" t="s">
        <v>156</v>
      </c>
      <c r="W241" s="124">
        <f ca="1">IF($C241="S",ROUND(IF(TIPOORCAMENTO="Proposto",ORÇAMENTO.CustoUnitario*(1+$AH241),ORÇAMENTO.PrecoUnitarioLicitado),15-13*$AF$10),0)</f>
        <v>0</v>
      </c>
      <c r="X241" s="127">
        <f ca="1">IF($C241="S",IF(Import.TipoArredondamento&lt;&gt;"TransfereGOV",VTOTAL1,SUM(OFFSET(CÁLCULO!$AA$15,ROW($X241)-ROW($X$15),1):OFFSET(CÁLCULO!$AL$15,ROW($X241)-ROW($X$15),-1))),IF($C241=0,0,ROUND(SomaAgrup,15-13*$AF$11)))</f>
        <v>0</v>
      </c>
      <c r="Y241" s="128" t="s">
        <v>245</v>
      </c>
      <c r="Z241" t="str">
        <f t="shared" ca="1" si="67"/>
        <v/>
      </c>
      <c r="AA241" s="129">
        <f ca="1">IF($C241="S",IF($Z241="CP",$X241,IF($Z241="RA",(($X241)*QCI!$AA$3),0)),SomaAgrup)</f>
        <v>0</v>
      </c>
      <c r="AB241" s="130">
        <f t="shared" ca="1" si="68"/>
        <v>0</v>
      </c>
      <c r="AC241" s="131" t="str">
        <f ca="1">IF($N241="","",IF(ORÇAMENTO.Descricao="","DESCRIÇÃO",IF(AND($C241="S",ORÇAMENTO.Unidade=""),"UNIDADE",IF($X241&lt;0,"VALOR NEGATIVO",IF(OR(AND(TIPOORCAMENTO="Proposto",$AG241&lt;&gt;"",$AG241&gt;0,ORÇAMENTO.CustoUnitario&gt;$AG241),AND(TIPOORCAMENTO="LICITADO",ORÇAMENTO.PrecoUnitarioLicitado&gt;$AN241)),"ACIMA REF.","")))))</f>
        <v/>
      </c>
      <c r="AD241" t="str">
        <f ca="1">IF(C241&lt;=CRONO.NivelExibicao,MAX($AD$15:OFFSET(AD241,-1,0))+IF($C241&lt;&gt;1,1,MAX(1,COUNTIF(QCI!$A$13:$A$24,OFFSET($E241,-1,0)))),"")</f>
        <v/>
      </c>
      <c r="AE241" s="7" t="b">
        <f ca="1">IF(AND($C241="S",ORÇAMENTO.CodBarra&lt;&gt;""),IF(ORÇAMENTO.Fonte="",ORÇAMENTO.CodBarra,CONCATENATE(ORÇAMENTO.Fonte," ",ORÇAMENTO.CodBarra)))</f>
        <v>0</v>
      </c>
      <c r="AF241" s="13" t="str">
        <f ca="1">IF(ISERROR(INDIRECT(ORÇAMENTO.BancoRef)),"(abra o arquivo 'Referência "&amp;Excel_BuiltIn_Database&amp;".xlsm)",IF(OR($C241&lt;&gt;"S",ORÇAMENTO.CodBarra=""),"(Sem Código)",IF(ISERROR(MATCH($AE241,INDIRECT(ORÇAMENTO.BancoRef),0)),"(Código não identificado nas referências)",MATCH($AE241,INDIRECT(ORÇAMENTO.BancoRef),0))))</f>
        <v>(abra o arquivo 'Referência 02-2025.xlsm)</v>
      </c>
      <c r="AG241" s="498">
        <f ca="1">ROUND(IF(DESONERACAO="sim",REFERENCIA.Desonerado,REFERENCIA.NaoDesonerado),2)</f>
        <v>0</v>
      </c>
      <c r="AH241" s="499">
        <f t="shared" ca="1" si="69"/>
        <v>0.22470000000000001</v>
      </c>
      <c r="AJ241" s="501"/>
      <c r="AL241" s="527"/>
      <c r="AM241" s="381">
        <f t="shared" ca="1" si="70"/>
        <v>0</v>
      </c>
      <c r="AN241" s="566">
        <f t="shared" ca="1" si="71"/>
        <v>0</v>
      </c>
    </row>
    <row r="242" spans="1:40" ht="25.5" x14ac:dyDescent="0.2">
      <c r="A242" t="str">
        <f t="shared" si="56"/>
        <v>S</v>
      </c>
      <c r="B242">
        <f t="shared" ca="1" si="57"/>
        <v>3</v>
      </c>
      <c r="C242" t="str">
        <f t="shared" ca="1" si="58"/>
        <v>S</v>
      </c>
      <c r="D242">
        <f t="shared" ca="1" si="59"/>
        <v>0</v>
      </c>
      <c r="E242">
        <f ca="1">IF($C242=1,OFFSET(E242,-1,0)+MAX(1,COUNTIF(QCI!$A$13:$A$24,OFFSET(ORÇAMENTO!E242,-1,0))),OFFSET(E242,-1,0))</f>
        <v>1</v>
      </c>
      <c r="F242">
        <f t="shared" ca="1" si="60"/>
        <v>11</v>
      </c>
      <c r="G242">
        <f t="shared" ca="1" si="61"/>
        <v>1</v>
      </c>
      <c r="H242">
        <f t="shared" ca="1" si="62"/>
        <v>0</v>
      </c>
      <c r="I242">
        <f t="shared" ca="1" si="63"/>
        <v>0</v>
      </c>
      <c r="J242">
        <f t="shared" ca="1" si="55"/>
        <v>0</v>
      </c>
      <c r="K242">
        <f ca="1">IF(OR($C242="S",$C242=0),0,MATCH(OFFSET($D242,0,$C242)+IF($C242&lt;&gt;1,1,COUNTIF(QCI!$A$13:$A$24,ORÇAMENTO!E242)),OFFSET($D242,1,$C242,ROW($C$747)-ROW($C242)),0))</f>
        <v>0</v>
      </c>
      <c r="L242" s="116" t="str">
        <f t="shared" ca="1" si="64"/>
        <v/>
      </c>
      <c r="M242" s="117" t="s">
        <v>199</v>
      </c>
      <c r="N242" s="118" t="str">
        <f t="shared" ca="1" si="65"/>
        <v>Serviço</v>
      </c>
      <c r="O242" s="119" t="str">
        <f t="shared" ca="1" si="66"/>
        <v>-</v>
      </c>
      <c r="P242" s="120" t="s">
        <v>247</v>
      </c>
      <c r="Q242" s="121" t="s">
        <v>501</v>
      </c>
      <c r="R242" s="122" t="str">
        <f ca="1">IF($C242="S",REFERENCIA.Descricao,"(digite a descrição aqui)")</f>
        <v>(abra o arquivo 'Referência 02-2025.xlsm)</v>
      </c>
      <c r="S242" s="123" t="str">
        <f ca="1">REFERENCIA.Unidade</f>
        <v>-</v>
      </c>
      <c r="T242" s="124">
        <f ca="1">OFFSET(CÁLCULO!H$15,ROW($T242)-ROW(T$15),0)</f>
        <v>1380.6</v>
      </c>
      <c r="U242" s="125">
        <f t="shared" ca="1" si="72"/>
        <v>0</v>
      </c>
      <c r="V242" s="126" t="s">
        <v>156</v>
      </c>
      <c r="W242" s="124">
        <f ca="1">IF($C242="S",ROUND(IF(TIPOORCAMENTO="Proposto",ORÇAMENTO.CustoUnitario*(1+$AH242),ORÇAMENTO.PrecoUnitarioLicitado),15-13*$AF$10),0)</f>
        <v>0</v>
      </c>
      <c r="X242" s="127">
        <f ca="1">IF($C242="S",IF(Import.TipoArredondamento&lt;&gt;"TransfereGOV",VTOTAL1,SUM(OFFSET(CÁLCULO!$AA$15,ROW($X242)-ROW($X$15),1):OFFSET(CÁLCULO!$AL$15,ROW($X242)-ROW($X$15),-1))),IF($C242=0,0,ROUND(SomaAgrup,15-13*$AF$11)))</f>
        <v>0</v>
      </c>
      <c r="Y242" s="128" t="s">
        <v>245</v>
      </c>
      <c r="Z242" t="str">
        <f t="shared" ca="1" si="67"/>
        <v/>
      </c>
      <c r="AA242" s="129">
        <f ca="1">IF($C242="S",IF($Z242="CP",$X242,IF($Z242="RA",(($X242)*QCI!$AA$3),0)),SomaAgrup)</f>
        <v>0</v>
      </c>
      <c r="AB242" s="130">
        <f t="shared" ca="1" si="68"/>
        <v>0</v>
      </c>
      <c r="AC242" s="131" t="str">
        <f ca="1">IF($N242="","",IF(ORÇAMENTO.Descricao="","DESCRIÇÃO",IF(AND($C242="S",ORÇAMENTO.Unidade=""),"UNIDADE",IF($X242&lt;0,"VALOR NEGATIVO",IF(OR(AND(TIPOORCAMENTO="Proposto",$AG242&lt;&gt;"",$AG242&gt;0,ORÇAMENTO.CustoUnitario&gt;$AG242),AND(TIPOORCAMENTO="LICITADO",ORÇAMENTO.PrecoUnitarioLicitado&gt;$AN242)),"ACIMA REF.","")))))</f>
        <v/>
      </c>
      <c r="AD242" t="str">
        <f ca="1">IF(C242&lt;=CRONO.NivelExibicao,MAX($AD$15:OFFSET(AD242,-1,0))+IF($C242&lt;&gt;1,1,MAX(1,COUNTIF(QCI!$A$13:$A$24,OFFSET($E242,-1,0)))),"")</f>
        <v/>
      </c>
      <c r="AE242" s="7" t="str">
        <f ca="1">IF(AND($C242="S",ORÇAMENTO.CodBarra&lt;&gt;""),IF(ORÇAMENTO.Fonte="",ORÇAMENTO.CodBarra,CONCATENATE(ORÇAMENTO.Fonte," ",ORÇAMENTO.CodBarra)))</f>
        <v>SINAPI 88497</v>
      </c>
      <c r="AF242" s="13" t="str">
        <f ca="1">IF(ISERROR(INDIRECT(ORÇAMENTO.BancoRef)),"(abra o arquivo 'Referência "&amp;Excel_BuiltIn_Database&amp;".xlsm)",IF(OR($C242&lt;&gt;"S",ORÇAMENTO.CodBarra=""),"(Sem Código)",IF(ISERROR(MATCH($AE242,INDIRECT(ORÇAMENTO.BancoRef),0)),"(Código não identificado nas referências)",MATCH($AE242,INDIRECT(ORÇAMENTO.BancoRef),0))))</f>
        <v>(abra o arquivo 'Referência 02-2025.xlsm)</v>
      </c>
      <c r="AG242" s="498">
        <f ca="1">ROUND(IF(DESONERACAO="sim",REFERENCIA.Desonerado,REFERENCIA.NaoDesonerado),2)</f>
        <v>0</v>
      </c>
      <c r="AH242" s="499">
        <f t="shared" ca="1" si="69"/>
        <v>0.22470000000000001</v>
      </c>
      <c r="AJ242" s="501">
        <v>1380.6</v>
      </c>
      <c r="AL242" s="527"/>
      <c r="AM242" s="381">
        <f t="shared" ca="1" si="70"/>
        <v>0</v>
      </c>
      <c r="AN242" s="566">
        <f t="shared" ca="1" si="71"/>
        <v>0</v>
      </c>
    </row>
    <row r="243" spans="1:40" ht="25.5" x14ac:dyDescent="0.2">
      <c r="A243" t="str">
        <f t="shared" si="56"/>
        <v>S</v>
      </c>
      <c r="B243">
        <f t="shared" ca="1" si="57"/>
        <v>3</v>
      </c>
      <c r="C243" t="str">
        <f t="shared" ca="1" si="58"/>
        <v>S</v>
      </c>
      <c r="D243">
        <f t="shared" ca="1" si="59"/>
        <v>0</v>
      </c>
      <c r="E243">
        <f ca="1">IF($C243=1,OFFSET(E243,-1,0)+MAX(1,COUNTIF(QCI!$A$13:$A$24,OFFSET(ORÇAMENTO!E243,-1,0))),OFFSET(E243,-1,0))</f>
        <v>1</v>
      </c>
      <c r="F243">
        <f t="shared" ca="1" si="60"/>
        <v>11</v>
      </c>
      <c r="G243">
        <f t="shared" ca="1" si="61"/>
        <v>1</v>
      </c>
      <c r="H243">
        <f t="shared" ca="1" si="62"/>
        <v>0</v>
      </c>
      <c r="I243">
        <f t="shared" ca="1" si="63"/>
        <v>0</v>
      </c>
      <c r="J243">
        <f t="shared" ca="1" si="55"/>
        <v>0</v>
      </c>
      <c r="K243">
        <f ca="1">IF(OR($C243="S",$C243=0),0,MATCH(OFFSET($D243,0,$C243)+IF($C243&lt;&gt;1,1,COUNTIF(QCI!$A$13:$A$24,ORÇAMENTO!E243)),OFFSET($D243,1,$C243,ROW($C$747)-ROW($C243)),0))</f>
        <v>0</v>
      </c>
      <c r="L243" s="116" t="str">
        <f t="shared" ca="1" si="64"/>
        <v/>
      </c>
      <c r="M243" s="117" t="s">
        <v>199</v>
      </c>
      <c r="N243" s="118" t="str">
        <f t="shared" ca="1" si="65"/>
        <v>Serviço</v>
      </c>
      <c r="O243" s="119" t="str">
        <f t="shared" ca="1" si="66"/>
        <v>-</v>
      </c>
      <c r="P243" s="120" t="s">
        <v>247</v>
      </c>
      <c r="Q243" s="121" t="s">
        <v>931</v>
      </c>
      <c r="R243" s="122" t="str">
        <f ca="1">IF($C243="S",REFERENCIA.Descricao,"(digite a descrição aqui)")</f>
        <v>(abra o arquivo 'Referência 02-2025.xlsm)</v>
      </c>
      <c r="S243" s="123" t="str">
        <f ca="1">REFERENCIA.Unidade</f>
        <v>-</v>
      </c>
      <c r="T243" s="124">
        <f ca="1">OFFSET(CÁLCULO!H$15,ROW($T243)-ROW(T$15),0)</f>
        <v>1360.44</v>
      </c>
      <c r="U243" s="125">
        <f t="shared" ca="1" si="72"/>
        <v>0</v>
      </c>
      <c r="V243" s="126" t="s">
        <v>156</v>
      </c>
      <c r="W243" s="124">
        <f ca="1">IF($C243="S",ROUND(IF(TIPOORCAMENTO="Proposto",ORÇAMENTO.CustoUnitario*(1+$AH243),ORÇAMENTO.PrecoUnitarioLicitado),15-13*$AF$10),0)</f>
        <v>0</v>
      </c>
      <c r="X243" s="127">
        <f ca="1">IF($C243="S",IF(Import.TipoArredondamento&lt;&gt;"TransfereGOV",VTOTAL1,SUM(OFFSET(CÁLCULO!$AA$15,ROW($X243)-ROW($X$15),1):OFFSET(CÁLCULO!$AL$15,ROW($X243)-ROW($X$15),-1))),IF($C243=0,0,ROUND(SomaAgrup,15-13*$AF$11)))</f>
        <v>0</v>
      </c>
      <c r="Y243" s="128" t="s">
        <v>245</v>
      </c>
      <c r="Z243" t="str">
        <f t="shared" ca="1" si="67"/>
        <v/>
      </c>
      <c r="AA243" s="129">
        <f ca="1">IF($C243="S",IF($Z243="CP",$X243,IF($Z243="RA",(($X243)*QCI!$AA$3),0)),SomaAgrup)</f>
        <v>0</v>
      </c>
      <c r="AB243" s="130">
        <f t="shared" ca="1" si="68"/>
        <v>0</v>
      </c>
      <c r="AC243" s="131" t="str">
        <f ca="1">IF($N243="","",IF(ORÇAMENTO.Descricao="","DESCRIÇÃO",IF(AND($C243="S",ORÇAMENTO.Unidade=""),"UNIDADE",IF($X243&lt;0,"VALOR NEGATIVO",IF(OR(AND(TIPOORCAMENTO="Proposto",$AG243&lt;&gt;"",$AG243&gt;0,ORÇAMENTO.CustoUnitario&gt;$AG243),AND(TIPOORCAMENTO="LICITADO",ORÇAMENTO.PrecoUnitarioLicitado&gt;$AN243)),"ACIMA REF.","")))))</f>
        <v/>
      </c>
      <c r="AD243" t="str">
        <f ca="1">IF(C243&lt;=CRONO.NivelExibicao,MAX($AD$15:OFFSET(AD243,-1,0))+IF($C243&lt;&gt;1,1,MAX(1,COUNTIF(QCI!$A$13:$A$24,OFFSET($E243,-1,0)))),"")</f>
        <v/>
      </c>
      <c r="AE243" s="7" t="str">
        <f ca="1">IF(AND($C243="S",ORÇAMENTO.CodBarra&lt;&gt;""),IF(ORÇAMENTO.Fonte="",ORÇAMENTO.CodBarra,CONCATENATE(ORÇAMENTO.Fonte," ",ORÇAMENTO.CodBarra)))</f>
        <v>SINAPI 96135</v>
      </c>
      <c r="AF243" s="13" t="str">
        <f ca="1">IF(ISERROR(INDIRECT(ORÇAMENTO.BancoRef)),"(abra o arquivo 'Referência "&amp;Excel_BuiltIn_Database&amp;".xlsm)",IF(OR($C243&lt;&gt;"S",ORÇAMENTO.CodBarra=""),"(Sem Código)",IF(ISERROR(MATCH($AE243,INDIRECT(ORÇAMENTO.BancoRef),0)),"(Código não identificado nas referências)",MATCH($AE243,INDIRECT(ORÇAMENTO.BancoRef),0))))</f>
        <v>(abra o arquivo 'Referência 02-2025.xlsm)</v>
      </c>
      <c r="AG243" s="498">
        <f ca="1">ROUND(IF(DESONERACAO="sim",REFERENCIA.Desonerado,REFERENCIA.NaoDesonerado),2)</f>
        <v>0</v>
      </c>
      <c r="AH243" s="499">
        <f t="shared" ca="1" si="69"/>
        <v>0.22470000000000001</v>
      </c>
      <c r="AJ243" s="501">
        <v>1360.44</v>
      </c>
      <c r="AL243" s="527"/>
      <c r="AM243" s="381">
        <f t="shared" ca="1" si="70"/>
        <v>0</v>
      </c>
      <c r="AN243" s="566">
        <f t="shared" ca="1" si="71"/>
        <v>0</v>
      </c>
    </row>
    <row r="244" spans="1:40" ht="25.5" x14ac:dyDescent="0.2">
      <c r="A244" t="str">
        <f t="shared" si="56"/>
        <v>S</v>
      </c>
      <c r="B244">
        <f t="shared" ca="1" si="57"/>
        <v>3</v>
      </c>
      <c r="C244" t="str">
        <f t="shared" ca="1" si="58"/>
        <v>S</v>
      </c>
      <c r="D244">
        <f t="shared" ca="1" si="59"/>
        <v>0</v>
      </c>
      <c r="E244">
        <f ca="1">IF($C244=1,OFFSET(E244,-1,0)+MAX(1,COUNTIF(QCI!$A$13:$A$24,OFFSET(ORÇAMENTO!E244,-1,0))),OFFSET(E244,-1,0))</f>
        <v>1</v>
      </c>
      <c r="F244">
        <f t="shared" ca="1" si="60"/>
        <v>11</v>
      </c>
      <c r="G244">
        <f t="shared" ca="1" si="61"/>
        <v>1</v>
      </c>
      <c r="H244">
        <f t="shared" ca="1" si="62"/>
        <v>0</v>
      </c>
      <c r="I244">
        <f t="shared" ca="1" si="63"/>
        <v>0</v>
      </c>
      <c r="J244">
        <f t="shared" ca="1" si="55"/>
        <v>0</v>
      </c>
      <c r="K244">
        <f ca="1">IF(OR($C244="S",$C244=0),0,MATCH(OFFSET($D244,0,$C244)+IF($C244&lt;&gt;1,1,COUNTIF(QCI!$A$13:$A$24,ORÇAMENTO!E244)),OFFSET($D244,1,$C244,ROW($C$747)-ROW($C244)),0))</f>
        <v>0</v>
      </c>
      <c r="L244" s="116" t="str">
        <f t="shared" ca="1" si="64"/>
        <v/>
      </c>
      <c r="M244" s="117" t="s">
        <v>199</v>
      </c>
      <c r="N244" s="118" t="str">
        <f t="shared" ca="1" si="65"/>
        <v>Serviço</v>
      </c>
      <c r="O244" s="119" t="str">
        <f t="shared" ca="1" si="66"/>
        <v>-</v>
      </c>
      <c r="P244" s="120" t="s">
        <v>712</v>
      </c>
      <c r="Q244" s="121" t="s">
        <v>782</v>
      </c>
      <c r="R244" s="122" t="str">
        <f ca="1">IF($C244="S",REFERENCIA.Descricao,"(digite a descrição aqui)")</f>
        <v>(abra o arquivo 'Referência 02-2025.xlsm)</v>
      </c>
      <c r="S244" s="123" t="str">
        <f ca="1">REFERENCIA.Unidade</f>
        <v>-</v>
      </c>
      <c r="T244" s="124">
        <f ca="1">OFFSET(CÁLCULO!H$15,ROW($T244)-ROW(T$15),0)</f>
        <v>2203.5700000000002</v>
      </c>
      <c r="U244" s="125">
        <f t="shared" ca="1" si="72"/>
        <v>0</v>
      </c>
      <c r="V244" s="126" t="s">
        <v>156</v>
      </c>
      <c r="W244" s="124">
        <f ca="1">IF($C244="S",ROUND(IF(TIPOORCAMENTO="Proposto",ORÇAMENTO.CustoUnitario*(1+$AH244),ORÇAMENTO.PrecoUnitarioLicitado),15-13*$AF$10),0)</f>
        <v>0</v>
      </c>
      <c r="X244" s="127">
        <f ca="1">IF($C244="S",IF(Import.TipoArredondamento&lt;&gt;"TransfereGOV",VTOTAL1,SUM(OFFSET(CÁLCULO!$AA$15,ROW($X244)-ROW($X$15),1):OFFSET(CÁLCULO!$AL$15,ROW($X244)-ROW($X$15),-1))),IF($C244=0,0,ROUND(SomaAgrup,15-13*$AF$11)))</f>
        <v>0</v>
      </c>
      <c r="Y244" s="128" t="s">
        <v>245</v>
      </c>
      <c r="Z244" t="str">
        <f t="shared" ca="1" si="67"/>
        <v/>
      </c>
      <c r="AA244" s="129">
        <f ca="1">IF($C244="S",IF($Z244="CP",$X244,IF($Z244="RA",(($X244)*QCI!$AA$3),0)),SomaAgrup)</f>
        <v>0</v>
      </c>
      <c r="AB244" s="130">
        <f t="shared" ca="1" si="68"/>
        <v>0</v>
      </c>
      <c r="AC244" s="131" t="str">
        <f ca="1">IF($N244="","",IF(ORÇAMENTO.Descricao="","DESCRIÇÃO",IF(AND($C244="S",ORÇAMENTO.Unidade=""),"UNIDADE",IF($X244&lt;0,"VALOR NEGATIVO",IF(OR(AND(TIPOORCAMENTO="Proposto",$AG244&lt;&gt;"",$AG244&gt;0,ORÇAMENTO.CustoUnitario&gt;$AG244),AND(TIPOORCAMENTO="LICITADO",ORÇAMENTO.PrecoUnitarioLicitado&gt;$AN244)),"ACIMA REF.","")))))</f>
        <v/>
      </c>
      <c r="AD244" t="str">
        <f ca="1">IF(C244&lt;=CRONO.NivelExibicao,MAX($AD$15:OFFSET(AD244,-1,0))+IF($C244&lt;&gt;1,1,MAX(1,COUNTIF(QCI!$A$13:$A$24,OFFSET($E244,-1,0)))),"")</f>
        <v/>
      </c>
      <c r="AE244" s="7" t="str">
        <f ca="1">IF(AND($C244="S",ORÇAMENTO.CodBarra&lt;&gt;""),IF(ORÇAMENTO.Fonte="",ORÇAMENTO.CodBarra,CONCATENATE(ORÇAMENTO.Fonte," ",ORÇAMENTO.CodBarra)))</f>
        <v>Composição FNDE 402</v>
      </c>
      <c r="AF244" s="13" t="str">
        <f ca="1">IF(ISERROR(INDIRECT(ORÇAMENTO.BancoRef)),"(abra o arquivo 'Referência "&amp;Excel_BuiltIn_Database&amp;".xlsm)",IF(OR($C244&lt;&gt;"S",ORÇAMENTO.CodBarra=""),"(Sem Código)",IF(ISERROR(MATCH($AE244,INDIRECT(ORÇAMENTO.BancoRef),0)),"(Código não identificado nas referências)",MATCH($AE244,INDIRECT(ORÇAMENTO.BancoRef),0))))</f>
        <v>(abra o arquivo 'Referência 02-2025.xlsm)</v>
      </c>
      <c r="AG244" s="498">
        <f ca="1">ROUND(IF(DESONERACAO="sim",REFERENCIA.Desonerado,REFERENCIA.NaoDesonerado),2)</f>
        <v>0</v>
      </c>
      <c r="AH244" s="499">
        <f t="shared" ca="1" si="69"/>
        <v>0.22470000000000001</v>
      </c>
      <c r="AJ244" s="501">
        <v>2203.5700000000002</v>
      </c>
      <c r="AL244" s="527"/>
      <c r="AM244" s="381">
        <f t="shared" ca="1" si="70"/>
        <v>0</v>
      </c>
      <c r="AN244" s="566">
        <f t="shared" ca="1" si="71"/>
        <v>0</v>
      </c>
    </row>
    <row r="245" spans="1:40" ht="25.5" x14ac:dyDescent="0.2">
      <c r="A245" t="str">
        <f t="shared" si="56"/>
        <v>S</v>
      </c>
      <c r="B245">
        <f t="shared" ca="1" si="57"/>
        <v>3</v>
      </c>
      <c r="C245" t="str">
        <f t="shared" ca="1" si="58"/>
        <v>S</v>
      </c>
      <c r="D245">
        <f t="shared" ca="1" si="59"/>
        <v>0</v>
      </c>
      <c r="E245">
        <f ca="1">IF($C245=1,OFFSET(E245,-1,0)+MAX(1,COUNTIF(QCI!$A$13:$A$24,OFFSET(ORÇAMENTO!E245,-1,0))),OFFSET(E245,-1,0))</f>
        <v>1</v>
      </c>
      <c r="F245">
        <f t="shared" ca="1" si="60"/>
        <v>11</v>
      </c>
      <c r="G245">
        <f t="shared" ca="1" si="61"/>
        <v>1</v>
      </c>
      <c r="H245">
        <f t="shared" ca="1" si="62"/>
        <v>0</v>
      </c>
      <c r="I245">
        <f t="shared" ca="1" si="63"/>
        <v>0</v>
      </c>
      <c r="J245">
        <f t="shared" ca="1" si="55"/>
        <v>0</v>
      </c>
      <c r="K245">
        <f ca="1">IF(OR($C245="S",$C245=0),0,MATCH(OFFSET($D245,0,$C245)+IF($C245&lt;&gt;1,1,COUNTIF(QCI!$A$13:$A$24,ORÇAMENTO!E245)),OFFSET($D245,1,$C245,ROW($C$747)-ROW($C245)),0))</f>
        <v>0</v>
      </c>
      <c r="L245" s="116" t="str">
        <f t="shared" ca="1" si="64"/>
        <v/>
      </c>
      <c r="M245" s="117" t="s">
        <v>199</v>
      </c>
      <c r="N245" s="118" t="str">
        <f t="shared" ca="1" si="65"/>
        <v>Serviço</v>
      </c>
      <c r="O245" s="119" t="str">
        <f t="shared" ca="1" si="66"/>
        <v>-</v>
      </c>
      <c r="P245" s="120" t="s">
        <v>712</v>
      </c>
      <c r="Q245" s="121" t="s">
        <v>1011</v>
      </c>
      <c r="R245" s="122" t="str">
        <f ca="1">IF($C245="S",REFERENCIA.Descricao,"(digite a descrição aqui)")</f>
        <v>(abra o arquivo 'Referência 02-2025.xlsm)</v>
      </c>
      <c r="S245" s="123" t="str">
        <f ca="1">REFERENCIA.Unidade</f>
        <v>-</v>
      </c>
      <c r="T245" s="124">
        <f ca="1">OFFSET(CÁLCULO!H$15,ROW($T245)-ROW(T$15),0)</f>
        <v>15.55</v>
      </c>
      <c r="U245" s="125">
        <f t="shared" ca="1" si="72"/>
        <v>0</v>
      </c>
      <c r="V245" s="126" t="s">
        <v>156</v>
      </c>
      <c r="W245" s="124">
        <f ca="1">IF($C245="S",ROUND(IF(TIPOORCAMENTO="Proposto",ORÇAMENTO.CustoUnitario*(1+$AH245),ORÇAMENTO.PrecoUnitarioLicitado),15-13*$AF$10),0)</f>
        <v>0</v>
      </c>
      <c r="X245" s="127">
        <f ca="1">IF($C245="S",IF(Import.TipoArredondamento&lt;&gt;"TransfereGOV",VTOTAL1,SUM(OFFSET(CÁLCULO!$AA$15,ROW($X245)-ROW($X$15),1):OFFSET(CÁLCULO!$AL$15,ROW($X245)-ROW($X$15),-1))),IF($C245=0,0,ROUND(SomaAgrup,15-13*$AF$11)))</f>
        <v>0</v>
      </c>
      <c r="Y245" s="128" t="s">
        <v>245</v>
      </c>
      <c r="Z245" t="str">
        <f t="shared" ca="1" si="67"/>
        <v/>
      </c>
      <c r="AA245" s="129">
        <f ca="1">IF($C245="S",IF($Z245="CP",$X245,IF($Z245="RA",(($X245)*QCI!$AA$3),0)),SomaAgrup)</f>
        <v>0</v>
      </c>
      <c r="AB245" s="130">
        <f t="shared" ca="1" si="68"/>
        <v>0</v>
      </c>
      <c r="AC245" s="131" t="str">
        <f ca="1">IF($N245="","",IF(ORÇAMENTO.Descricao="","DESCRIÇÃO",IF(AND($C245="S",ORÇAMENTO.Unidade=""),"UNIDADE",IF($X245&lt;0,"VALOR NEGATIVO",IF(OR(AND(TIPOORCAMENTO="Proposto",$AG245&lt;&gt;"",$AG245&gt;0,ORÇAMENTO.CustoUnitario&gt;$AG245),AND(TIPOORCAMENTO="LICITADO",ORÇAMENTO.PrecoUnitarioLicitado&gt;$AN245)),"ACIMA REF.","")))))</f>
        <v/>
      </c>
      <c r="AD245" t="str">
        <f ca="1">IF(C245&lt;=CRONO.NivelExibicao,MAX($AD$15:OFFSET(AD245,-1,0))+IF($C245&lt;&gt;1,1,MAX(1,COUNTIF(QCI!$A$13:$A$24,OFFSET($E245,-1,0)))),"")</f>
        <v/>
      </c>
      <c r="AE245" s="7" t="str">
        <f ca="1">IF(AND($C245="S",ORÇAMENTO.CodBarra&lt;&gt;""),IF(ORÇAMENTO.Fonte="",ORÇAMENTO.CodBarra,CONCATENATE(ORÇAMENTO.Fonte," ",ORÇAMENTO.CodBarra)))</f>
        <v xml:space="preserve">Composição FNDE 403 </v>
      </c>
      <c r="AF245" s="13" t="str">
        <f ca="1">IF(ISERROR(INDIRECT(ORÇAMENTO.BancoRef)),"(abra o arquivo 'Referência "&amp;Excel_BuiltIn_Database&amp;".xlsm)",IF(OR($C245&lt;&gt;"S",ORÇAMENTO.CodBarra=""),"(Sem Código)",IF(ISERROR(MATCH($AE245,INDIRECT(ORÇAMENTO.BancoRef),0)),"(Código não identificado nas referências)",MATCH($AE245,INDIRECT(ORÇAMENTO.BancoRef),0))))</f>
        <v>(abra o arquivo 'Referência 02-2025.xlsm)</v>
      </c>
      <c r="AG245" s="498">
        <f ca="1">ROUND(IF(DESONERACAO="sim",REFERENCIA.Desonerado,REFERENCIA.NaoDesonerado),2)</f>
        <v>0</v>
      </c>
      <c r="AH245" s="499">
        <f t="shared" ca="1" si="69"/>
        <v>0.22470000000000001</v>
      </c>
      <c r="AJ245" s="501">
        <v>15.55</v>
      </c>
      <c r="AL245" s="527"/>
      <c r="AM245" s="381">
        <f t="shared" ca="1" si="70"/>
        <v>0</v>
      </c>
      <c r="AN245" s="566">
        <f t="shared" ca="1" si="71"/>
        <v>0</v>
      </c>
    </row>
    <row r="246" spans="1:40" ht="25.5" x14ac:dyDescent="0.2">
      <c r="A246" t="str">
        <f t="shared" si="56"/>
        <v>S</v>
      </c>
      <c r="B246">
        <f t="shared" ca="1" si="57"/>
        <v>3</v>
      </c>
      <c r="C246" t="str">
        <f t="shared" ca="1" si="58"/>
        <v>S</v>
      </c>
      <c r="D246">
        <f t="shared" ca="1" si="59"/>
        <v>0</v>
      </c>
      <c r="E246">
        <f ca="1">IF($C246=1,OFFSET(E246,-1,0)+MAX(1,COUNTIF(QCI!$A$13:$A$24,OFFSET(ORÇAMENTO!E246,-1,0))),OFFSET(E246,-1,0))</f>
        <v>1</v>
      </c>
      <c r="F246">
        <f t="shared" ca="1" si="60"/>
        <v>11</v>
      </c>
      <c r="G246">
        <f t="shared" ca="1" si="61"/>
        <v>1</v>
      </c>
      <c r="H246">
        <f t="shared" ca="1" si="62"/>
        <v>0</v>
      </c>
      <c r="I246">
        <f t="shared" ca="1" si="63"/>
        <v>0</v>
      </c>
      <c r="J246">
        <f t="shared" ca="1" si="55"/>
        <v>0</v>
      </c>
      <c r="K246">
        <f ca="1">IF(OR($C246="S",$C246=0),0,MATCH(OFFSET($D246,0,$C246)+IF($C246&lt;&gt;1,1,COUNTIF(QCI!$A$13:$A$24,ORÇAMENTO!E246)),OFFSET($D246,1,$C246,ROW($C$747)-ROW($C246)),0))</f>
        <v>0</v>
      </c>
      <c r="L246" s="116" t="str">
        <f t="shared" ca="1" si="64"/>
        <v/>
      </c>
      <c r="M246" s="117" t="s">
        <v>199</v>
      </c>
      <c r="N246" s="118" t="str">
        <f t="shared" ca="1" si="65"/>
        <v>Serviço</v>
      </c>
      <c r="O246" s="119" t="str">
        <f t="shared" ca="1" si="66"/>
        <v>-</v>
      </c>
      <c r="P246" s="120" t="s">
        <v>712</v>
      </c>
      <c r="Q246" s="121" t="s">
        <v>783</v>
      </c>
      <c r="R246" s="122" t="str">
        <f ca="1">IF($C246="S",REFERENCIA.Descricao,"(digite a descrição aqui)")</f>
        <v>(abra o arquivo 'Referência 02-2025.xlsm)</v>
      </c>
      <c r="S246" s="123" t="str">
        <f ca="1">REFERENCIA.Unidade</f>
        <v>-</v>
      </c>
      <c r="T246" s="124">
        <f ca="1">OFFSET(CÁLCULO!H$15,ROW($T246)-ROW(T$15),0)</f>
        <v>454.59</v>
      </c>
      <c r="U246" s="125">
        <f t="shared" ca="1" si="72"/>
        <v>0</v>
      </c>
      <c r="V246" s="126" t="s">
        <v>156</v>
      </c>
      <c r="W246" s="124">
        <f ca="1">IF($C246="S",ROUND(IF(TIPOORCAMENTO="Proposto",ORÇAMENTO.CustoUnitario*(1+$AH246),ORÇAMENTO.PrecoUnitarioLicitado),15-13*$AF$10),0)</f>
        <v>0</v>
      </c>
      <c r="X246" s="127">
        <f ca="1">IF($C246="S",IF(Import.TipoArredondamento&lt;&gt;"TransfereGOV",VTOTAL1,SUM(OFFSET(CÁLCULO!$AA$15,ROW($X246)-ROW($X$15),1):OFFSET(CÁLCULO!$AL$15,ROW($X246)-ROW($X$15),-1))),IF($C246=0,0,ROUND(SomaAgrup,15-13*$AF$11)))</f>
        <v>0</v>
      </c>
      <c r="Y246" s="128" t="s">
        <v>245</v>
      </c>
      <c r="Z246" t="str">
        <f t="shared" ca="1" si="67"/>
        <v/>
      </c>
      <c r="AA246" s="129">
        <f ca="1">IF($C246="S",IF($Z246="CP",$X246,IF($Z246="RA",(($X246)*QCI!$AA$3),0)),SomaAgrup)</f>
        <v>0</v>
      </c>
      <c r="AB246" s="130">
        <f t="shared" ca="1" si="68"/>
        <v>0</v>
      </c>
      <c r="AC246" s="131" t="str">
        <f ca="1">IF($N246="","",IF(ORÇAMENTO.Descricao="","DESCRIÇÃO",IF(AND($C246="S",ORÇAMENTO.Unidade=""),"UNIDADE",IF($X246&lt;0,"VALOR NEGATIVO",IF(OR(AND(TIPOORCAMENTO="Proposto",$AG246&lt;&gt;"",$AG246&gt;0,ORÇAMENTO.CustoUnitario&gt;$AG246),AND(TIPOORCAMENTO="LICITADO",ORÇAMENTO.PrecoUnitarioLicitado&gt;$AN246)),"ACIMA REF.","")))))</f>
        <v/>
      </c>
      <c r="AD246" t="str">
        <f ca="1">IF(C246&lt;=CRONO.NivelExibicao,MAX($AD$15:OFFSET(AD246,-1,0))+IF($C246&lt;&gt;1,1,MAX(1,COUNTIF(QCI!$A$13:$A$24,OFFSET($E246,-1,0)))),"")</f>
        <v/>
      </c>
      <c r="AE246" s="7" t="str">
        <f ca="1">IF(AND($C246="S",ORÇAMENTO.CodBarra&lt;&gt;""),IF(ORÇAMENTO.Fonte="",ORÇAMENTO.CodBarra,CONCATENATE(ORÇAMENTO.Fonte," ",ORÇAMENTO.CodBarra)))</f>
        <v>Composição FNDE 404</v>
      </c>
      <c r="AF246" s="13" t="str">
        <f ca="1">IF(ISERROR(INDIRECT(ORÇAMENTO.BancoRef)),"(abra o arquivo 'Referência "&amp;Excel_BuiltIn_Database&amp;".xlsm)",IF(OR($C246&lt;&gt;"S",ORÇAMENTO.CodBarra=""),"(Sem Código)",IF(ISERROR(MATCH($AE246,INDIRECT(ORÇAMENTO.BancoRef),0)),"(Código não identificado nas referências)",MATCH($AE246,INDIRECT(ORÇAMENTO.BancoRef),0))))</f>
        <v>(abra o arquivo 'Referência 02-2025.xlsm)</v>
      </c>
      <c r="AG246" s="498">
        <f ca="1">ROUND(IF(DESONERACAO="sim",REFERENCIA.Desonerado,REFERENCIA.NaoDesonerado),2)</f>
        <v>0</v>
      </c>
      <c r="AH246" s="499">
        <f t="shared" ca="1" si="69"/>
        <v>0.22470000000000001</v>
      </c>
      <c r="AJ246" s="501">
        <v>454.59</v>
      </c>
      <c r="AL246" s="527"/>
      <c r="AM246" s="381">
        <f t="shared" ca="1" si="70"/>
        <v>0</v>
      </c>
      <c r="AN246" s="566">
        <f t="shared" ca="1" si="71"/>
        <v>0</v>
      </c>
    </row>
    <row r="247" spans="1:40" ht="25.5" x14ac:dyDescent="0.2">
      <c r="A247" t="str">
        <f t="shared" si="56"/>
        <v>S</v>
      </c>
      <c r="B247">
        <f t="shared" ca="1" si="57"/>
        <v>3</v>
      </c>
      <c r="C247" t="str">
        <f t="shared" ca="1" si="58"/>
        <v>S</v>
      </c>
      <c r="D247">
        <f t="shared" ca="1" si="59"/>
        <v>0</v>
      </c>
      <c r="E247">
        <f ca="1">IF($C247=1,OFFSET(E247,-1,0)+MAX(1,COUNTIF(QCI!$A$13:$A$24,OFFSET(ORÇAMENTO!E247,-1,0))),OFFSET(E247,-1,0))</f>
        <v>1</v>
      </c>
      <c r="F247">
        <f t="shared" ca="1" si="60"/>
        <v>11</v>
      </c>
      <c r="G247">
        <f t="shared" ca="1" si="61"/>
        <v>1</v>
      </c>
      <c r="H247">
        <f t="shared" ca="1" si="62"/>
        <v>0</v>
      </c>
      <c r="I247">
        <f t="shared" ca="1" si="63"/>
        <v>0</v>
      </c>
      <c r="J247">
        <f t="shared" ca="1" si="55"/>
        <v>0</v>
      </c>
      <c r="K247">
        <f ca="1">IF(OR($C247="S",$C247=0),0,MATCH(OFFSET($D247,0,$C247)+IF($C247&lt;&gt;1,1,COUNTIF(QCI!$A$13:$A$24,ORÇAMENTO!E247)),OFFSET($D247,1,$C247,ROW($C$747)-ROW($C247)),0))</f>
        <v>0</v>
      </c>
      <c r="L247" s="116" t="str">
        <f t="shared" ca="1" si="64"/>
        <v/>
      </c>
      <c r="M247" s="117" t="s">
        <v>199</v>
      </c>
      <c r="N247" s="118" t="str">
        <f t="shared" ca="1" si="65"/>
        <v>Serviço</v>
      </c>
      <c r="O247" s="119" t="str">
        <f t="shared" ca="1" si="66"/>
        <v>-</v>
      </c>
      <c r="P247" s="120" t="s">
        <v>712</v>
      </c>
      <c r="Q247" s="121" t="s">
        <v>784</v>
      </c>
      <c r="R247" s="122" t="str">
        <f ca="1">IF($C247="S",REFERENCIA.Descricao,"(digite a descrição aqui)")</f>
        <v>(abra o arquivo 'Referência 02-2025.xlsm)</v>
      </c>
      <c r="S247" s="123" t="str">
        <f ca="1">REFERENCIA.Unidade</f>
        <v>-</v>
      </c>
      <c r="T247" s="124">
        <f ca="1">OFFSET(CÁLCULO!H$15,ROW($T247)-ROW(T$15),0)</f>
        <v>154.44</v>
      </c>
      <c r="U247" s="125">
        <f t="shared" ca="1" si="72"/>
        <v>0</v>
      </c>
      <c r="V247" s="126" t="s">
        <v>156</v>
      </c>
      <c r="W247" s="124">
        <f ca="1">IF($C247="S",ROUND(IF(TIPOORCAMENTO="Proposto",ORÇAMENTO.CustoUnitario*(1+$AH247),ORÇAMENTO.PrecoUnitarioLicitado),15-13*$AF$10),0)</f>
        <v>0</v>
      </c>
      <c r="X247" s="127">
        <f ca="1">IF($C247="S",IF(Import.TipoArredondamento&lt;&gt;"TransfereGOV",VTOTAL1,SUM(OFFSET(CÁLCULO!$AA$15,ROW($X247)-ROW($X$15),1):OFFSET(CÁLCULO!$AL$15,ROW($X247)-ROW($X$15),-1))),IF($C247=0,0,ROUND(SomaAgrup,15-13*$AF$11)))</f>
        <v>0</v>
      </c>
      <c r="Y247" s="128" t="s">
        <v>245</v>
      </c>
      <c r="Z247" t="str">
        <f t="shared" ca="1" si="67"/>
        <v/>
      </c>
      <c r="AA247" s="129">
        <f ca="1">IF($C247="S",IF($Z247="CP",$X247,IF($Z247="RA",(($X247)*QCI!$AA$3),0)),SomaAgrup)</f>
        <v>0</v>
      </c>
      <c r="AB247" s="130">
        <f t="shared" ca="1" si="68"/>
        <v>0</v>
      </c>
      <c r="AC247" s="131" t="str">
        <f ca="1">IF($N247="","",IF(ORÇAMENTO.Descricao="","DESCRIÇÃO",IF(AND($C247="S",ORÇAMENTO.Unidade=""),"UNIDADE",IF($X247&lt;0,"VALOR NEGATIVO",IF(OR(AND(TIPOORCAMENTO="Proposto",$AG247&lt;&gt;"",$AG247&gt;0,ORÇAMENTO.CustoUnitario&gt;$AG247),AND(TIPOORCAMENTO="LICITADO",ORÇAMENTO.PrecoUnitarioLicitado&gt;$AN247)),"ACIMA REF.","")))))</f>
        <v/>
      </c>
      <c r="AD247" t="str">
        <f ca="1">IF(C247&lt;=CRONO.NivelExibicao,MAX($AD$15:OFFSET(AD247,-1,0))+IF($C247&lt;&gt;1,1,MAX(1,COUNTIF(QCI!$A$13:$A$24,OFFSET($E247,-1,0)))),"")</f>
        <v/>
      </c>
      <c r="AE247" s="7" t="str">
        <f ca="1">IF(AND($C247="S",ORÇAMENTO.CodBarra&lt;&gt;""),IF(ORÇAMENTO.Fonte="",ORÇAMENTO.CodBarra,CONCATENATE(ORÇAMENTO.Fonte," ",ORÇAMENTO.CodBarra)))</f>
        <v>Composição FNDE 405</v>
      </c>
      <c r="AF247" s="13" t="str">
        <f ca="1">IF(ISERROR(INDIRECT(ORÇAMENTO.BancoRef)),"(abra o arquivo 'Referência "&amp;Excel_BuiltIn_Database&amp;".xlsm)",IF(OR($C247&lt;&gt;"S",ORÇAMENTO.CodBarra=""),"(Sem Código)",IF(ISERROR(MATCH($AE247,INDIRECT(ORÇAMENTO.BancoRef),0)),"(Código não identificado nas referências)",MATCH($AE247,INDIRECT(ORÇAMENTO.BancoRef),0))))</f>
        <v>(abra o arquivo 'Referência 02-2025.xlsm)</v>
      </c>
      <c r="AG247" s="498">
        <f ca="1">ROUND(IF(DESONERACAO="sim",REFERENCIA.Desonerado,REFERENCIA.NaoDesonerado),2)</f>
        <v>0</v>
      </c>
      <c r="AH247" s="499">
        <f t="shared" ca="1" si="69"/>
        <v>0.22470000000000001</v>
      </c>
      <c r="AJ247" s="501">
        <v>154.44</v>
      </c>
      <c r="AL247" s="527"/>
      <c r="AM247" s="381">
        <f t="shared" ca="1" si="70"/>
        <v>0</v>
      </c>
      <c r="AN247" s="566">
        <f t="shared" ca="1" si="71"/>
        <v>0</v>
      </c>
    </row>
    <row r="248" spans="1:40" ht="25.5" x14ac:dyDescent="0.2">
      <c r="A248" t="str">
        <f t="shared" si="56"/>
        <v>S</v>
      </c>
      <c r="B248">
        <f t="shared" ca="1" si="57"/>
        <v>3</v>
      </c>
      <c r="C248" t="str">
        <f t="shared" ca="1" si="58"/>
        <v>S</v>
      </c>
      <c r="D248">
        <f t="shared" ca="1" si="59"/>
        <v>0</v>
      </c>
      <c r="E248">
        <f ca="1">IF($C248=1,OFFSET(E248,-1,0)+MAX(1,COUNTIF(QCI!$A$13:$A$24,OFFSET(ORÇAMENTO!E248,-1,0))),OFFSET(E248,-1,0))</f>
        <v>1</v>
      </c>
      <c r="F248">
        <f t="shared" ca="1" si="60"/>
        <v>11</v>
      </c>
      <c r="G248">
        <f t="shared" ca="1" si="61"/>
        <v>1</v>
      </c>
      <c r="H248">
        <f t="shared" ca="1" si="62"/>
        <v>0</v>
      </c>
      <c r="I248">
        <f t="shared" ca="1" si="63"/>
        <v>0</v>
      </c>
      <c r="J248">
        <f t="shared" ca="1" si="55"/>
        <v>0</v>
      </c>
      <c r="K248">
        <f ca="1">IF(OR($C248="S",$C248=0),0,MATCH(OFFSET($D248,0,$C248)+IF($C248&lt;&gt;1,1,COUNTIF(QCI!$A$13:$A$24,ORÇAMENTO!E248)),OFFSET($D248,1,$C248,ROW($C$747)-ROW($C248)),0))</f>
        <v>0</v>
      </c>
      <c r="L248" s="116" t="str">
        <f t="shared" ca="1" si="64"/>
        <v/>
      </c>
      <c r="M248" s="117" t="s">
        <v>199</v>
      </c>
      <c r="N248" s="118" t="str">
        <f t="shared" ca="1" si="65"/>
        <v>Serviço</v>
      </c>
      <c r="O248" s="119" t="str">
        <f t="shared" ca="1" si="66"/>
        <v>-</v>
      </c>
      <c r="P248" s="120" t="s">
        <v>712</v>
      </c>
      <c r="Q248" s="121" t="s">
        <v>785</v>
      </c>
      <c r="R248" s="122" t="str">
        <f ca="1">IF($C248="S",REFERENCIA.Descricao,"(digite a descrição aqui)")</f>
        <v>(abra o arquivo 'Referência 02-2025.xlsm)</v>
      </c>
      <c r="S248" s="123" t="str">
        <f ca="1">REFERENCIA.Unidade</f>
        <v>-</v>
      </c>
      <c r="T248" s="124">
        <f ca="1">OFFSET(CÁLCULO!H$15,ROW($T248)-ROW(T$15),0)</f>
        <v>98.15</v>
      </c>
      <c r="U248" s="125">
        <f t="shared" ca="1" si="72"/>
        <v>0</v>
      </c>
      <c r="V248" s="126" t="s">
        <v>156</v>
      </c>
      <c r="W248" s="124">
        <f ca="1">IF($C248="S",ROUND(IF(TIPOORCAMENTO="Proposto",ORÇAMENTO.CustoUnitario*(1+$AH248),ORÇAMENTO.PrecoUnitarioLicitado),15-13*$AF$10),0)</f>
        <v>0</v>
      </c>
      <c r="X248" s="127">
        <f ca="1">IF($C248="S",IF(Import.TipoArredondamento&lt;&gt;"TransfereGOV",VTOTAL1,SUM(OFFSET(CÁLCULO!$AA$15,ROW($X248)-ROW($X$15),1):OFFSET(CÁLCULO!$AL$15,ROW($X248)-ROW($X$15),-1))),IF($C248=0,0,ROUND(SomaAgrup,15-13*$AF$11)))</f>
        <v>0</v>
      </c>
      <c r="Y248" s="128" t="s">
        <v>245</v>
      </c>
      <c r="Z248" t="str">
        <f t="shared" ca="1" si="67"/>
        <v/>
      </c>
      <c r="AA248" s="129">
        <f ca="1">IF($C248="S",IF($Z248="CP",$X248,IF($Z248="RA",(($X248)*QCI!$AA$3),0)),SomaAgrup)</f>
        <v>0</v>
      </c>
      <c r="AB248" s="130">
        <f t="shared" ca="1" si="68"/>
        <v>0</v>
      </c>
      <c r="AC248" s="131" t="str">
        <f ca="1">IF($N248="","",IF(ORÇAMENTO.Descricao="","DESCRIÇÃO",IF(AND($C248="S",ORÇAMENTO.Unidade=""),"UNIDADE",IF($X248&lt;0,"VALOR NEGATIVO",IF(OR(AND(TIPOORCAMENTO="Proposto",$AG248&lt;&gt;"",$AG248&gt;0,ORÇAMENTO.CustoUnitario&gt;$AG248),AND(TIPOORCAMENTO="LICITADO",ORÇAMENTO.PrecoUnitarioLicitado&gt;$AN248)),"ACIMA REF.","")))))</f>
        <v/>
      </c>
      <c r="AD248" t="str">
        <f ca="1">IF(C248&lt;=CRONO.NivelExibicao,MAX($AD$15:OFFSET(AD248,-1,0))+IF($C248&lt;&gt;1,1,MAX(1,COUNTIF(QCI!$A$13:$A$24,OFFSET($E248,-1,0)))),"")</f>
        <v/>
      </c>
      <c r="AE248" s="7" t="str">
        <f ca="1">IF(AND($C248="S",ORÇAMENTO.CodBarra&lt;&gt;""),IF(ORÇAMENTO.Fonte="",ORÇAMENTO.CodBarra,CONCATENATE(ORÇAMENTO.Fonte," ",ORÇAMENTO.CodBarra)))</f>
        <v>Composição FNDE 35</v>
      </c>
      <c r="AF248" s="13" t="str">
        <f ca="1">IF(ISERROR(INDIRECT(ORÇAMENTO.BancoRef)),"(abra o arquivo 'Referência "&amp;Excel_BuiltIn_Database&amp;".xlsm)",IF(OR($C248&lt;&gt;"S",ORÇAMENTO.CodBarra=""),"(Sem Código)",IF(ISERROR(MATCH($AE248,INDIRECT(ORÇAMENTO.BancoRef),0)),"(Código não identificado nas referências)",MATCH($AE248,INDIRECT(ORÇAMENTO.BancoRef),0))))</f>
        <v>(abra o arquivo 'Referência 02-2025.xlsm)</v>
      </c>
      <c r="AG248" s="498">
        <f ca="1">ROUND(IF(DESONERACAO="sim",REFERENCIA.Desonerado,REFERENCIA.NaoDesonerado),2)</f>
        <v>0</v>
      </c>
      <c r="AH248" s="499">
        <f t="shared" ca="1" si="69"/>
        <v>0.22470000000000001</v>
      </c>
      <c r="AJ248" s="501">
        <v>98.15</v>
      </c>
      <c r="AL248" s="527"/>
      <c r="AM248" s="381">
        <f t="shared" ca="1" si="70"/>
        <v>0</v>
      </c>
      <c r="AN248" s="566">
        <f t="shared" ca="1" si="71"/>
        <v>0</v>
      </c>
    </row>
    <row r="249" spans="1:40" ht="25.5" x14ac:dyDescent="0.2">
      <c r="A249" t="str">
        <f t="shared" si="56"/>
        <v>S</v>
      </c>
      <c r="B249">
        <f t="shared" ca="1" si="57"/>
        <v>3</v>
      </c>
      <c r="C249" t="str">
        <f t="shared" ca="1" si="58"/>
        <v>S</v>
      </c>
      <c r="D249">
        <f t="shared" ca="1" si="59"/>
        <v>0</v>
      </c>
      <c r="E249">
        <f ca="1">IF($C249=1,OFFSET(E249,-1,0)+MAX(1,COUNTIF(QCI!$A$13:$A$24,OFFSET(ORÇAMENTO!E249,-1,0))),OFFSET(E249,-1,0))</f>
        <v>1</v>
      </c>
      <c r="F249">
        <f t="shared" ca="1" si="60"/>
        <v>11</v>
      </c>
      <c r="G249">
        <f t="shared" ca="1" si="61"/>
        <v>1</v>
      </c>
      <c r="H249">
        <f t="shared" ca="1" si="62"/>
        <v>0</v>
      </c>
      <c r="I249">
        <f t="shared" ca="1" si="63"/>
        <v>0</v>
      </c>
      <c r="J249">
        <f t="shared" ca="1" si="55"/>
        <v>0</v>
      </c>
      <c r="K249">
        <f ca="1">IF(OR($C249="S",$C249=0),0,MATCH(OFFSET($D249,0,$C249)+IF($C249&lt;&gt;1,1,COUNTIF(QCI!$A$13:$A$24,ORÇAMENTO!E249)),OFFSET($D249,1,$C249,ROW($C$747)-ROW($C249)),0))</f>
        <v>0</v>
      </c>
      <c r="L249" s="116" t="str">
        <f t="shared" ca="1" si="64"/>
        <v/>
      </c>
      <c r="M249" s="117" t="s">
        <v>199</v>
      </c>
      <c r="N249" s="118" t="str">
        <f t="shared" ca="1" si="65"/>
        <v>Serviço</v>
      </c>
      <c r="O249" s="119" t="str">
        <f t="shared" ca="1" si="66"/>
        <v>-</v>
      </c>
      <c r="P249" s="120" t="s">
        <v>712</v>
      </c>
      <c r="Q249" s="121" t="s">
        <v>786</v>
      </c>
      <c r="R249" s="122" t="str">
        <f ca="1">IF($C249="S",REFERENCIA.Descricao,"(digite a descrição aqui)")</f>
        <v>(abra o arquivo 'Referência 02-2025.xlsm)</v>
      </c>
      <c r="S249" s="123" t="str">
        <f ca="1">REFERENCIA.Unidade</f>
        <v>-</v>
      </c>
      <c r="T249" s="124">
        <f ca="1">OFFSET(CÁLCULO!H$15,ROW($T249)-ROW(T$15),0)</f>
        <v>84.65</v>
      </c>
      <c r="U249" s="125">
        <f t="shared" ca="1" si="72"/>
        <v>0</v>
      </c>
      <c r="V249" s="126" t="s">
        <v>156</v>
      </c>
      <c r="W249" s="124">
        <f ca="1">IF($C249="S",ROUND(IF(TIPOORCAMENTO="Proposto",ORÇAMENTO.CustoUnitario*(1+$AH249),ORÇAMENTO.PrecoUnitarioLicitado),15-13*$AF$10),0)</f>
        <v>0</v>
      </c>
      <c r="X249" s="127">
        <f ca="1">IF($C249="S",IF(Import.TipoArredondamento&lt;&gt;"TransfereGOV",VTOTAL1,SUM(OFFSET(CÁLCULO!$AA$15,ROW($X249)-ROW($X$15),1):OFFSET(CÁLCULO!$AL$15,ROW($X249)-ROW($X$15),-1))),IF($C249=0,0,ROUND(SomaAgrup,15-13*$AF$11)))</f>
        <v>0</v>
      </c>
      <c r="Y249" s="128" t="s">
        <v>245</v>
      </c>
      <c r="Z249" t="str">
        <f t="shared" ca="1" si="67"/>
        <v/>
      </c>
      <c r="AA249" s="129">
        <f ca="1">IF($C249="S",IF($Z249="CP",$X249,IF($Z249="RA",(($X249)*QCI!$AA$3),0)),SomaAgrup)</f>
        <v>0</v>
      </c>
      <c r="AB249" s="130">
        <f t="shared" ca="1" si="68"/>
        <v>0</v>
      </c>
      <c r="AC249" s="131" t="str">
        <f ca="1">IF($N249="","",IF(ORÇAMENTO.Descricao="","DESCRIÇÃO",IF(AND($C249="S",ORÇAMENTO.Unidade=""),"UNIDADE",IF($X249&lt;0,"VALOR NEGATIVO",IF(OR(AND(TIPOORCAMENTO="Proposto",$AG249&lt;&gt;"",$AG249&gt;0,ORÇAMENTO.CustoUnitario&gt;$AG249),AND(TIPOORCAMENTO="LICITADO",ORÇAMENTO.PrecoUnitarioLicitado&gt;$AN249)),"ACIMA REF.","")))))</f>
        <v/>
      </c>
      <c r="AD249" t="str">
        <f ca="1">IF(C249&lt;=CRONO.NivelExibicao,MAX($AD$15:OFFSET(AD249,-1,0))+IF($C249&lt;&gt;1,1,MAX(1,COUNTIF(QCI!$A$13:$A$24,OFFSET($E249,-1,0)))),"")</f>
        <v/>
      </c>
      <c r="AE249" s="7" t="str">
        <f ca="1">IF(AND($C249="S",ORÇAMENTO.CodBarra&lt;&gt;""),IF(ORÇAMENTO.Fonte="",ORÇAMENTO.CodBarra,CONCATENATE(ORÇAMENTO.Fonte," ",ORÇAMENTO.CodBarra)))</f>
        <v>Composição FNDE 36</v>
      </c>
      <c r="AF249" s="13" t="str">
        <f ca="1">IF(ISERROR(INDIRECT(ORÇAMENTO.BancoRef)),"(abra o arquivo 'Referência "&amp;Excel_BuiltIn_Database&amp;".xlsm)",IF(OR($C249&lt;&gt;"S",ORÇAMENTO.CodBarra=""),"(Sem Código)",IF(ISERROR(MATCH($AE249,INDIRECT(ORÇAMENTO.BancoRef),0)),"(Código não identificado nas referências)",MATCH($AE249,INDIRECT(ORÇAMENTO.BancoRef),0))))</f>
        <v>(abra o arquivo 'Referência 02-2025.xlsm)</v>
      </c>
      <c r="AG249" s="498">
        <f ca="1">ROUND(IF(DESONERACAO="sim",REFERENCIA.Desonerado,REFERENCIA.NaoDesonerado),2)</f>
        <v>0</v>
      </c>
      <c r="AH249" s="499">
        <f t="shared" ca="1" si="69"/>
        <v>0.22470000000000001</v>
      </c>
      <c r="AJ249" s="501">
        <v>84.65</v>
      </c>
      <c r="AL249" s="527"/>
      <c r="AM249" s="381">
        <f t="shared" ca="1" si="70"/>
        <v>0</v>
      </c>
      <c r="AN249" s="566">
        <f t="shared" ca="1" si="71"/>
        <v>0</v>
      </c>
    </row>
    <row r="250" spans="1:40" ht="25.5" x14ac:dyDescent="0.2">
      <c r="A250" t="str">
        <f>CHOOSE(1+LOG(1+2*(ORÇAMENTO.Nivel="Meta")+4*(ORÇAMENTO.Nivel="Nível 2")+8*(ORÇAMENTO.Nivel="Nível 3")+16*(ORÇAMENTO.Nivel="Nível 4")+32*(ORÇAMENTO.Nivel="Serviço"),2),0,1,2,3,4,"S")</f>
        <v>S</v>
      </c>
      <c r="B250">
        <f ca="1">IF(OR(C250="s",C250=0),OFFSET(B250,-1,0),C250)</f>
        <v>3</v>
      </c>
      <c r="C250" t="str">
        <f ca="1">IF(OFFSET(C250,-1,0)="L",1,IF(OFFSET(C250,-1,0)=1,2,IF(OR(A250="s",A250=0),"S",IF(AND(OFFSET(C250,-1,0)=2,A250=4),3,IF(AND(OR(OFFSET(C250,-1,0)="s",OFFSET(C250,-1,0)=0),A250&lt;&gt;"s",A250&gt;OFFSET(B250,-1,0)),OFFSET(B250,-1,0),A250)))))</f>
        <v>S</v>
      </c>
      <c r="D250">
        <f ca="1">IF(OR(C250="S",C250=0),0,IF(ISERROR(K250),J250,SMALL(J250:K250,1)))</f>
        <v>0</v>
      </c>
      <c r="E250">
        <f ca="1">IF($C250=1,OFFSET(E250,-1,0)+MAX(1,COUNTIF(QCI!$A$13:$A$24,OFFSET(ORÇAMENTO!E250,-1,0))),OFFSET(E250,-1,0))</f>
        <v>1</v>
      </c>
      <c r="F250">
        <f ca="1">IF($C250=1,0,IF($C250=2,OFFSET(F250,-1,0)+1,OFFSET(F250,-1,0)))</f>
        <v>11</v>
      </c>
      <c r="G250">
        <f ca="1">IF(AND($C250&lt;=2,$C250&lt;&gt;0),0,IF($C250=3,OFFSET(G250,-1,0)+1,OFFSET(G250,-1,0)))</f>
        <v>1</v>
      </c>
      <c r="H250">
        <f ca="1">IF(AND($C250&lt;=3,$C250&lt;&gt;0),0,IF($C250=4,OFFSET(H250,-1,0)+1,OFFSET(H250,-1,0)))</f>
        <v>0</v>
      </c>
      <c r="I250">
        <f ca="1">IF(AND($C250&lt;=4,$C250&lt;&gt;0),0,IF(AND($C250="S",$X250&gt;0),OFFSET(I250,-1,0)+1,OFFSET(I250,-1,0)))</f>
        <v>0</v>
      </c>
      <c r="J250">
        <f t="shared" ca="1" si="55"/>
        <v>0</v>
      </c>
      <c r="K250">
        <f ca="1">IF(OR($C250="S",$C250=0),0,MATCH(OFFSET($D250,0,$C250)+IF($C250&lt;&gt;1,1,COUNTIF(QCI!$A$13:$A$24,ORÇAMENTO!E250)),OFFSET($D250,1,$C250,ROW($C$747)-ROW($C250)),0))</f>
        <v>0</v>
      </c>
      <c r="L250" s="116" t="str">
        <f ca="1">IF(OR($X250&gt;0,$C250=1,$C250=2,$C250=3,$C250=4),"F","")</f>
        <v/>
      </c>
      <c r="M250" s="117" t="s">
        <v>199</v>
      </c>
      <c r="N250" s="118" t="str">
        <f ca="1">CHOOSE(1+LOG(1+2*(C250=1)+4*(C250=2)+8*(C250=3)+16*(C250=4)+32*(C250="S"),2),"","Meta","Nível 2","Nível 3","Nível 4","Serviço")</f>
        <v>Serviço</v>
      </c>
      <c r="O250" s="119" t="str">
        <f ca="1">IF(OR($C250=0,$L250=""),"-",CONCATENATE(E250&amp;".",IF(AND($A$5&gt;=2,$C250&gt;=2),F250&amp;".",""),IF(AND($A$5&gt;=3,$C250&gt;=3),G250&amp;".",""),IF(AND($A$5&gt;=4,$C250&gt;=4),H250&amp;".",""),IF($C250="S",I250&amp;".","")))</f>
        <v>-</v>
      </c>
      <c r="P250" s="120" t="s">
        <v>712</v>
      </c>
      <c r="Q250" s="121" t="s">
        <v>787</v>
      </c>
      <c r="R250" s="122" t="str">
        <f ca="1">IF($C250="S",REFERENCIA.Descricao,"(digite a descrição aqui)")</f>
        <v>(abra o arquivo 'Referência 02-2025.xlsm)</v>
      </c>
      <c r="S250" s="123" t="str">
        <f ca="1">REFERENCIA.Unidade</f>
        <v>-</v>
      </c>
      <c r="T250" s="124">
        <f ca="1">OFFSET(CÁLCULO!H$15,ROW($T250)-ROW(T$15),0)</f>
        <v>15.3</v>
      </c>
      <c r="U250" s="125">
        <f t="shared" ca="1" si="72"/>
        <v>0</v>
      </c>
      <c r="V250" s="126" t="s">
        <v>156</v>
      </c>
      <c r="W250" s="124">
        <f ca="1">IF($C250="S",ROUND(IF(TIPOORCAMENTO="Proposto",ORÇAMENTO.CustoUnitario*(1+$AH250),ORÇAMENTO.PrecoUnitarioLicitado),15-13*$AF$10),0)</f>
        <v>0</v>
      </c>
      <c r="X250" s="127">
        <f ca="1">IF($C250="S",IF(Import.TipoArredondamento&lt;&gt;"TransfereGOV",VTOTAL1,SUM(OFFSET(CÁLCULO!$AA$15,ROW($X250)-ROW($X$15),1):OFFSET(CÁLCULO!$AL$15,ROW($X250)-ROW($X$15),-1))),IF($C250=0,0,ROUND(SomaAgrup,15-13*$AF$11)))</f>
        <v>0</v>
      </c>
      <c r="Y250" s="128" t="s">
        <v>245</v>
      </c>
      <c r="Z250" t="str">
        <f ca="1">IF(AND($C250="S",$X250&gt;0),IF(ISBLANK($Y250),"RA",LEFT($Y250,2)),"")</f>
        <v/>
      </c>
      <c r="AA250" s="129">
        <f ca="1">IF($C250="S",IF($Z250="CP",$X250,IF($Z250="RA",(($X250)*QCI!$AA$3),0)),SomaAgrup)</f>
        <v>0</v>
      </c>
      <c r="AB250" s="130">
        <f ca="1">IF($C250="S",IF($Z250="OU",ROUND($X250,2),0),SomaAgrup)</f>
        <v>0</v>
      </c>
      <c r="AC250" s="131" t="str">
        <f ca="1">IF($N250="","",IF(ORÇAMENTO.Descricao="","DESCRIÇÃO",IF(AND($C250="S",ORÇAMENTO.Unidade=""),"UNIDADE",IF($X250&lt;0,"VALOR NEGATIVO",IF(OR(AND(TIPOORCAMENTO="Proposto",$AG250&lt;&gt;"",$AG250&gt;0,ORÇAMENTO.CustoUnitario&gt;$AG250),AND(TIPOORCAMENTO="LICITADO",ORÇAMENTO.PrecoUnitarioLicitado&gt;$AN250)),"ACIMA REF.","")))))</f>
        <v/>
      </c>
      <c r="AD250" t="str">
        <f ca="1">IF(C250&lt;=CRONO.NivelExibicao,MAX($AD$15:OFFSET(AD250,-1,0))+IF($C250&lt;&gt;1,1,MAX(1,COUNTIF(QCI!$A$13:$A$24,OFFSET($E250,-1,0)))),"")</f>
        <v/>
      </c>
      <c r="AE250" s="7" t="str">
        <f ca="1">IF(AND($C250="S",ORÇAMENTO.CodBarra&lt;&gt;""),IF(ORÇAMENTO.Fonte="",ORÇAMENTO.CodBarra,CONCATENATE(ORÇAMENTO.Fonte," ",ORÇAMENTO.CodBarra)))</f>
        <v>Composição FNDE 201</v>
      </c>
      <c r="AF250" s="13" t="str">
        <f ca="1">IF(ISERROR(INDIRECT(ORÇAMENTO.BancoRef)),"(abra o arquivo 'Referência "&amp;Excel_BuiltIn_Database&amp;".xlsm)",IF(OR($C250&lt;&gt;"S",ORÇAMENTO.CodBarra=""),"(Sem Código)",IF(ISERROR(MATCH($AE250,INDIRECT(ORÇAMENTO.BancoRef),0)),"(Código não identificado nas referências)",MATCH($AE250,INDIRECT(ORÇAMENTO.BancoRef),0))))</f>
        <v>(abra o arquivo 'Referência 02-2025.xlsm)</v>
      </c>
      <c r="AG250" s="498">
        <f ca="1">ROUND(IF(DESONERACAO="sim",REFERENCIA.Desonerado,REFERENCIA.NaoDesonerado),2)</f>
        <v>0</v>
      </c>
      <c r="AH250" s="499">
        <f ca="1">ROUND(IF(ISNUMBER(ORÇAMENTO.OpcaoBDI),ORÇAMENTO.OpcaoBDI,IF(LEFT(ORÇAMENTO.OpcaoBDI,3)="BDI",HLOOKUP(ORÇAMENTO.OpcaoBDI,$F$4:$H$5,2,FALSE),0)),15-11*$AF$9)</f>
        <v>0.22470000000000001</v>
      </c>
      <c r="AJ250" s="501">
        <v>15.3</v>
      </c>
      <c r="AL250" s="527"/>
      <c r="AM250" s="381">
        <f t="shared" ref="AM250" ca="1" si="85">$X250</f>
        <v>0</v>
      </c>
      <c r="AN250" s="566">
        <f ca="1">ROUND(ORÇAMENTO.CustoUnitario*(1+$AH250),2)</f>
        <v>0</v>
      </c>
    </row>
    <row r="251" spans="1:40" x14ac:dyDescent="0.2">
      <c r="A251">
        <f t="shared" si="56"/>
        <v>3</v>
      </c>
      <c r="B251">
        <f t="shared" ca="1" si="57"/>
        <v>3</v>
      </c>
      <c r="C251">
        <f t="shared" ca="1" si="58"/>
        <v>3</v>
      </c>
      <c r="D251">
        <f t="shared" ca="1" si="59"/>
        <v>3</v>
      </c>
      <c r="E251">
        <f ca="1">IF($C251=1,OFFSET(E251,-1,0)+MAX(1,COUNTIF(QCI!$A$13:$A$24,OFFSET(ORÇAMENTO!E251,-1,0))),OFFSET(E251,-1,0))</f>
        <v>1</v>
      </c>
      <c r="F251">
        <f t="shared" ca="1" si="60"/>
        <v>11</v>
      </c>
      <c r="G251">
        <f t="shared" ca="1" si="61"/>
        <v>2</v>
      </c>
      <c r="H251">
        <f t="shared" ca="1" si="62"/>
        <v>0</v>
      </c>
      <c r="I251">
        <f t="shared" ca="1" si="63"/>
        <v>0</v>
      </c>
      <c r="J251">
        <f t="shared" ca="1" si="55"/>
        <v>15</v>
      </c>
      <c r="K251">
        <f ca="1">IF(OR($C251="S",$C251=0),0,MATCH(OFFSET($D251,0,$C251)+IF($C251&lt;&gt;1,1,COUNTIF(QCI!$A$13:$A$24,ORÇAMENTO!E251)),OFFSET($D251,1,$C251,ROW($C$747)-ROW($C251)),0))</f>
        <v>3</v>
      </c>
      <c r="L251" s="116" t="str">
        <f t="shared" ca="1" si="64"/>
        <v>F</v>
      </c>
      <c r="M251" s="117" t="s">
        <v>197</v>
      </c>
      <c r="N251" s="118" t="str">
        <f t="shared" ca="1" si="65"/>
        <v>Nível 3</v>
      </c>
      <c r="O251" s="119" t="str">
        <f t="shared" ca="1" si="66"/>
        <v>1.11.2.</v>
      </c>
      <c r="P251" s="120" t="s">
        <v>247</v>
      </c>
      <c r="Q251" s="121"/>
      <c r="R251" s="122" t="str">
        <f ca="1">IF($C251="S",REFERENCIA.Descricao,"PINTURA DE FORROS")</f>
        <v>PINTURA DE FORROS</v>
      </c>
      <c r="S251" s="123" t="str">
        <f ca="1">REFERENCIA.Unidade</f>
        <v>-</v>
      </c>
      <c r="T251" s="124">
        <f ca="1">OFFSET(CÁLCULO!H$15,ROW($T251)-ROW(T$15),0)</f>
        <v>0</v>
      </c>
      <c r="U251" s="125">
        <f t="shared" ca="1" si="72"/>
        <v>0</v>
      </c>
      <c r="V251" s="126" t="s">
        <v>156</v>
      </c>
      <c r="W251" s="124">
        <f ca="1">IF($C251="S",ROUND(IF(TIPOORCAMENTO="Proposto",ORÇAMENTO.CustoUnitario*(1+$AH251),ORÇAMENTO.PrecoUnitarioLicitado),15-13*$AF$10),0)</f>
        <v>0</v>
      </c>
      <c r="X251" s="127">
        <f ca="1">IF($C251="S",IF(Import.TipoArredondamento&lt;&gt;"TransfereGOV",VTOTAL1,SUM(OFFSET(CÁLCULO!$AA$15,ROW($X251)-ROW($X$15),1):OFFSET(CÁLCULO!$AL$15,ROW($X251)-ROW($X$15),-1))),IF($C251=0,0,ROUND(SomaAgrup,15-13*$AF$11)))</f>
        <v>0</v>
      </c>
      <c r="Y251" s="128" t="s">
        <v>245</v>
      </c>
      <c r="Z251" t="str">
        <f t="shared" ca="1" si="67"/>
        <v/>
      </c>
      <c r="AA251" s="129">
        <f ca="1">IF($C251="S",IF($Z251="CP",$X251,IF($Z251="RA",(($X251)*QCI!$AA$3),0)),SomaAgrup)</f>
        <v>0</v>
      </c>
      <c r="AB251" s="130">
        <f t="shared" ca="1" si="68"/>
        <v>0</v>
      </c>
      <c r="AC251" s="131" t="str">
        <f ca="1">IF($N251="","",IF(ORÇAMENTO.Descricao="","DESCRIÇÃO",IF(AND($C251="S",ORÇAMENTO.Unidade=""),"UNIDADE",IF($X251&lt;0,"VALOR NEGATIVO",IF(OR(AND(TIPOORCAMENTO="Proposto",$AG251&lt;&gt;"",$AG251&gt;0,ORÇAMENTO.CustoUnitario&gt;$AG251),AND(TIPOORCAMENTO="LICITADO",ORÇAMENTO.PrecoUnitarioLicitado&gt;$AN251)),"ACIMA REF.","")))))</f>
        <v/>
      </c>
      <c r="AD251" t="str">
        <f ca="1">IF(C251&lt;=CRONO.NivelExibicao,MAX($AD$15:OFFSET(AD251,-1,0))+IF($C251&lt;&gt;1,1,MAX(1,COUNTIF(QCI!$A$13:$A$24,OFFSET($E251,-1,0)))),"")</f>
        <v/>
      </c>
      <c r="AE251" s="7" t="b">
        <f ca="1">IF(AND($C251="S",ORÇAMENTO.CodBarra&lt;&gt;""),IF(ORÇAMENTO.Fonte="",ORÇAMENTO.CodBarra,CONCATENATE(ORÇAMENTO.Fonte," ",ORÇAMENTO.CodBarra)))</f>
        <v>0</v>
      </c>
      <c r="AF251" s="13" t="str">
        <f ca="1">IF(ISERROR(INDIRECT(ORÇAMENTO.BancoRef)),"(abra o arquivo 'Referência "&amp;Excel_BuiltIn_Database&amp;".xlsm)",IF(OR($C251&lt;&gt;"S",ORÇAMENTO.CodBarra=""),"(Sem Código)",IF(ISERROR(MATCH($AE251,INDIRECT(ORÇAMENTO.BancoRef),0)),"(Código não identificado nas referências)",MATCH($AE251,INDIRECT(ORÇAMENTO.BancoRef),0))))</f>
        <v>(abra o arquivo 'Referência 02-2025.xlsm)</v>
      </c>
      <c r="AG251" s="498">
        <f ca="1">ROUND(IF(DESONERACAO="sim",REFERENCIA.Desonerado,REFERENCIA.NaoDesonerado),2)</f>
        <v>0</v>
      </c>
      <c r="AH251" s="499">
        <f t="shared" ca="1" si="69"/>
        <v>0.22470000000000001</v>
      </c>
      <c r="AJ251" s="501"/>
      <c r="AL251" s="527"/>
      <c r="AM251" s="381">
        <f t="shared" ca="1" si="70"/>
        <v>0</v>
      </c>
      <c r="AN251" s="566">
        <f t="shared" ca="1" si="71"/>
        <v>0</v>
      </c>
    </row>
    <row r="252" spans="1:40" ht="25.5" x14ac:dyDescent="0.2">
      <c r="A252" t="str">
        <f t="shared" si="56"/>
        <v>S</v>
      </c>
      <c r="B252">
        <f t="shared" ca="1" si="57"/>
        <v>3</v>
      </c>
      <c r="C252" t="str">
        <f t="shared" ca="1" si="58"/>
        <v>S</v>
      </c>
      <c r="D252">
        <f t="shared" ca="1" si="59"/>
        <v>0</v>
      </c>
      <c r="E252">
        <f ca="1">IF($C252=1,OFFSET(E252,-1,0)+MAX(1,COUNTIF(QCI!$A$13:$A$24,OFFSET(ORÇAMENTO!E252,-1,0))),OFFSET(E252,-1,0))</f>
        <v>1</v>
      </c>
      <c r="F252">
        <f t="shared" ca="1" si="60"/>
        <v>11</v>
      </c>
      <c r="G252">
        <f t="shared" ca="1" si="61"/>
        <v>2</v>
      </c>
      <c r="H252">
        <f t="shared" ca="1" si="62"/>
        <v>0</v>
      </c>
      <c r="I252">
        <f t="shared" ca="1" si="63"/>
        <v>0</v>
      </c>
      <c r="J252">
        <f t="shared" ca="1" si="55"/>
        <v>0</v>
      </c>
      <c r="K252">
        <f ca="1">IF(OR($C252="S",$C252=0),0,MATCH(OFFSET($D252,0,$C252)+IF($C252&lt;&gt;1,1,COUNTIF(QCI!$A$13:$A$24,ORÇAMENTO!E252)),OFFSET($D252,1,$C252,ROW($C$747)-ROW($C252)),0))</f>
        <v>0</v>
      </c>
      <c r="L252" s="116" t="str">
        <f t="shared" ca="1" si="64"/>
        <v/>
      </c>
      <c r="M252" s="117" t="s">
        <v>199</v>
      </c>
      <c r="N252" s="118" t="str">
        <f t="shared" ca="1" si="65"/>
        <v>Serviço</v>
      </c>
      <c r="O252" s="119" t="str">
        <f t="shared" ca="1" si="66"/>
        <v>-</v>
      </c>
      <c r="P252" s="120" t="s">
        <v>247</v>
      </c>
      <c r="Q252" s="121" t="s">
        <v>502</v>
      </c>
      <c r="R252" s="122" t="str">
        <f ca="1">IF($C252="S",REFERENCIA.Descricao,"(digite a descrição aqui)")</f>
        <v>(abra o arquivo 'Referência 02-2025.xlsm)</v>
      </c>
      <c r="S252" s="123" t="str">
        <f ca="1">REFERENCIA.Unidade</f>
        <v>-</v>
      </c>
      <c r="T252" s="124">
        <f ca="1">OFFSET(CÁLCULO!H$15,ROW($T252)-ROW(T$15),0)</f>
        <v>481.05</v>
      </c>
      <c r="U252" s="125">
        <f t="shared" ca="1" si="72"/>
        <v>0</v>
      </c>
      <c r="V252" s="126" t="s">
        <v>156</v>
      </c>
      <c r="W252" s="124">
        <f ca="1">IF($C252="S",ROUND(IF(TIPOORCAMENTO="Proposto",ORÇAMENTO.CustoUnitario*(1+$AH252),ORÇAMENTO.PrecoUnitarioLicitado),15-13*$AF$10),0)</f>
        <v>0</v>
      </c>
      <c r="X252" s="127">
        <f ca="1">IF($C252="S",IF(Import.TipoArredondamento&lt;&gt;"TransfereGOV",VTOTAL1,SUM(OFFSET(CÁLCULO!$AA$15,ROW($X252)-ROW($X$15),1):OFFSET(CÁLCULO!$AL$15,ROW($X252)-ROW($X$15),-1))),IF($C252=0,0,ROUND(SomaAgrup,15-13*$AF$11)))</f>
        <v>0</v>
      </c>
      <c r="Y252" s="128" t="s">
        <v>245</v>
      </c>
      <c r="Z252" t="str">
        <f t="shared" ca="1" si="67"/>
        <v/>
      </c>
      <c r="AA252" s="129">
        <f ca="1">IF($C252="S",IF($Z252="CP",$X252,IF($Z252="RA",(($X252)*QCI!$AA$3),0)),SomaAgrup)</f>
        <v>0</v>
      </c>
      <c r="AB252" s="130">
        <f t="shared" ca="1" si="68"/>
        <v>0</v>
      </c>
      <c r="AC252" s="131" t="str">
        <f ca="1">IF($N252="","",IF(ORÇAMENTO.Descricao="","DESCRIÇÃO",IF(AND($C252="S",ORÇAMENTO.Unidade=""),"UNIDADE",IF($X252&lt;0,"VALOR NEGATIVO",IF(OR(AND(TIPOORCAMENTO="Proposto",$AG252&lt;&gt;"",$AG252&gt;0,ORÇAMENTO.CustoUnitario&gt;$AG252),AND(TIPOORCAMENTO="LICITADO",ORÇAMENTO.PrecoUnitarioLicitado&gt;$AN252)),"ACIMA REF.","")))))</f>
        <v/>
      </c>
      <c r="AD252" t="str">
        <f ca="1">IF(C252&lt;=CRONO.NivelExibicao,MAX($AD$15:OFFSET(AD252,-1,0))+IF($C252&lt;&gt;1,1,MAX(1,COUNTIF(QCI!$A$13:$A$24,OFFSET($E252,-1,0)))),"")</f>
        <v/>
      </c>
      <c r="AE252" s="7" t="str">
        <f ca="1">IF(AND($C252="S",ORÇAMENTO.CodBarra&lt;&gt;""),IF(ORÇAMENTO.Fonte="",ORÇAMENTO.CodBarra,CONCATENATE(ORÇAMENTO.Fonte," ",ORÇAMENTO.CodBarra)))</f>
        <v>SINAPI 88494</v>
      </c>
      <c r="AF252" s="13" t="str">
        <f ca="1">IF(ISERROR(INDIRECT(ORÇAMENTO.BancoRef)),"(abra o arquivo 'Referência "&amp;Excel_BuiltIn_Database&amp;".xlsm)",IF(OR($C252&lt;&gt;"S",ORÇAMENTO.CodBarra=""),"(Sem Código)",IF(ISERROR(MATCH($AE252,INDIRECT(ORÇAMENTO.BancoRef),0)),"(Código não identificado nas referências)",MATCH($AE252,INDIRECT(ORÇAMENTO.BancoRef),0))))</f>
        <v>(abra o arquivo 'Referência 02-2025.xlsm)</v>
      </c>
      <c r="AG252" s="498">
        <f ca="1">ROUND(IF(DESONERACAO="sim",REFERENCIA.Desonerado,REFERENCIA.NaoDesonerado),2)</f>
        <v>0</v>
      </c>
      <c r="AH252" s="499">
        <f t="shared" ca="1" si="69"/>
        <v>0.22470000000000001</v>
      </c>
      <c r="AJ252" s="501">
        <v>481.05</v>
      </c>
      <c r="AL252" s="527"/>
      <c r="AM252" s="381">
        <f t="shared" ca="1" si="70"/>
        <v>0</v>
      </c>
      <c r="AN252" s="566">
        <f t="shared" ca="1" si="71"/>
        <v>0</v>
      </c>
    </row>
    <row r="253" spans="1:40" ht="25.5" x14ac:dyDescent="0.2">
      <c r="A253" t="str">
        <f t="shared" si="56"/>
        <v>S</v>
      </c>
      <c r="B253">
        <f t="shared" ca="1" si="57"/>
        <v>3</v>
      </c>
      <c r="C253" t="str">
        <f t="shared" ca="1" si="58"/>
        <v>S</v>
      </c>
      <c r="D253">
        <f t="shared" ca="1" si="59"/>
        <v>0</v>
      </c>
      <c r="E253">
        <f ca="1">IF($C253=1,OFFSET(E253,-1,0)+MAX(1,COUNTIF(QCI!$A$13:$A$24,OFFSET(ORÇAMENTO!E253,-1,0))),OFFSET(E253,-1,0))</f>
        <v>1</v>
      </c>
      <c r="F253">
        <f t="shared" ca="1" si="60"/>
        <v>11</v>
      </c>
      <c r="G253">
        <f t="shared" ca="1" si="61"/>
        <v>2</v>
      </c>
      <c r="H253">
        <f t="shared" ca="1" si="62"/>
        <v>0</v>
      </c>
      <c r="I253">
        <f t="shared" ca="1" si="63"/>
        <v>0</v>
      </c>
      <c r="J253">
        <f t="shared" ca="1" si="55"/>
        <v>0</v>
      </c>
      <c r="K253">
        <f ca="1">IF(OR($C253="S",$C253=0),0,MATCH(OFFSET($D253,0,$C253)+IF($C253&lt;&gt;1,1,COUNTIF(QCI!$A$13:$A$24,ORÇAMENTO!E253)),OFFSET($D253,1,$C253,ROW($C$747)-ROW($C253)),0))</f>
        <v>0</v>
      </c>
      <c r="L253" s="116" t="str">
        <f t="shared" ca="1" si="64"/>
        <v/>
      </c>
      <c r="M253" s="117" t="s">
        <v>199</v>
      </c>
      <c r="N253" s="118" t="str">
        <f t="shared" ca="1" si="65"/>
        <v>Serviço</v>
      </c>
      <c r="O253" s="119" t="str">
        <f t="shared" ca="1" si="66"/>
        <v>-</v>
      </c>
      <c r="P253" s="120" t="s">
        <v>247</v>
      </c>
      <c r="Q253" s="121" t="s">
        <v>503</v>
      </c>
      <c r="R253" s="122" t="str">
        <f ca="1">IF($C253="S",REFERENCIA.Descricao,"(digite a descrição aqui)")</f>
        <v>(abra o arquivo 'Referência 02-2025.xlsm)</v>
      </c>
      <c r="S253" s="123" t="str">
        <f ca="1">REFERENCIA.Unidade</f>
        <v>-</v>
      </c>
      <c r="T253" s="124">
        <f ca="1">OFFSET(CÁLCULO!H$15,ROW($T253)-ROW(T$15),0)</f>
        <v>481.05</v>
      </c>
      <c r="U253" s="125">
        <f t="shared" ca="1" si="72"/>
        <v>0</v>
      </c>
      <c r="V253" s="126" t="s">
        <v>156</v>
      </c>
      <c r="W253" s="124">
        <f ca="1">IF($C253="S",ROUND(IF(TIPOORCAMENTO="Proposto",ORÇAMENTO.CustoUnitario*(1+$AH253),ORÇAMENTO.PrecoUnitarioLicitado),15-13*$AF$10),0)</f>
        <v>0</v>
      </c>
      <c r="X253" s="127">
        <f ca="1">IF($C253="S",IF(Import.TipoArredondamento&lt;&gt;"TransfereGOV",VTOTAL1,SUM(OFFSET(CÁLCULO!$AA$15,ROW($X253)-ROW($X$15),1):OFFSET(CÁLCULO!$AL$15,ROW($X253)-ROW($X$15),-1))),IF($C253=0,0,ROUND(SomaAgrup,15-13*$AF$11)))</f>
        <v>0</v>
      </c>
      <c r="Y253" s="128" t="s">
        <v>245</v>
      </c>
      <c r="Z253" t="str">
        <f t="shared" ca="1" si="67"/>
        <v/>
      </c>
      <c r="AA253" s="129">
        <f ca="1">IF($C253="S",IF($Z253="CP",$X253,IF($Z253="RA",(($X253)*QCI!$AA$3),0)),SomaAgrup)</f>
        <v>0</v>
      </c>
      <c r="AB253" s="130">
        <f t="shared" ca="1" si="68"/>
        <v>0</v>
      </c>
      <c r="AC253" s="131" t="str">
        <f ca="1">IF($N253="","",IF(ORÇAMENTO.Descricao="","DESCRIÇÃO",IF(AND($C253="S",ORÇAMENTO.Unidade=""),"UNIDADE",IF($X253&lt;0,"VALOR NEGATIVO",IF(OR(AND(TIPOORCAMENTO="Proposto",$AG253&lt;&gt;"",$AG253&gt;0,ORÇAMENTO.CustoUnitario&gt;$AG253),AND(TIPOORCAMENTO="LICITADO",ORÇAMENTO.PrecoUnitarioLicitado&gt;$AN253)),"ACIMA REF.","")))))</f>
        <v/>
      </c>
      <c r="AD253" t="str">
        <f ca="1">IF(C253&lt;=CRONO.NivelExibicao,MAX($AD$15:OFFSET(AD253,-1,0))+IF($C253&lt;&gt;1,1,MAX(1,COUNTIF(QCI!$A$13:$A$24,OFFSET($E253,-1,0)))),"")</f>
        <v/>
      </c>
      <c r="AE253" s="7" t="str">
        <f ca="1">IF(AND($C253="S",ORÇAMENTO.CodBarra&lt;&gt;""),IF(ORÇAMENTO.Fonte="",ORÇAMENTO.CodBarra,CONCATENATE(ORÇAMENTO.Fonte," ",ORÇAMENTO.CodBarra)))</f>
        <v>SINAPI 88488</v>
      </c>
      <c r="AF253" s="13" t="str">
        <f ca="1">IF(ISERROR(INDIRECT(ORÇAMENTO.BancoRef)),"(abra o arquivo 'Referência "&amp;Excel_BuiltIn_Database&amp;".xlsm)",IF(OR($C253&lt;&gt;"S",ORÇAMENTO.CodBarra=""),"(Sem Código)",IF(ISERROR(MATCH($AE253,INDIRECT(ORÇAMENTO.BancoRef),0)),"(Código não identificado nas referências)",MATCH($AE253,INDIRECT(ORÇAMENTO.BancoRef),0))))</f>
        <v>(abra o arquivo 'Referência 02-2025.xlsm)</v>
      </c>
      <c r="AG253" s="498">
        <f ca="1">ROUND(IF(DESONERACAO="sim",REFERENCIA.Desonerado,REFERENCIA.NaoDesonerado),2)</f>
        <v>0</v>
      </c>
      <c r="AH253" s="499">
        <f t="shared" ca="1" si="69"/>
        <v>0.22470000000000001</v>
      </c>
      <c r="AJ253" s="501">
        <v>481.05</v>
      </c>
      <c r="AL253" s="527"/>
      <c r="AM253" s="381">
        <f t="shared" ca="1" si="70"/>
        <v>0</v>
      </c>
      <c r="AN253" s="566">
        <f t="shared" ca="1" si="71"/>
        <v>0</v>
      </c>
    </row>
    <row r="254" spans="1:40" x14ac:dyDescent="0.2">
      <c r="A254">
        <f t="shared" si="56"/>
        <v>3</v>
      </c>
      <c r="B254">
        <f t="shared" ca="1" si="57"/>
        <v>3</v>
      </c>
      <c r="C254">
        <f t="shared" ca="1" si="58"/>
        <v>3</v>
      </c>
      <c r="D254">
        <f t="shared" ca="1" si="59"/>
        <v>4</v>
      </c>
      <c r="E254">
        <f ca="1">IF($C254=1,OFFSET(E254,-1,0)+MAX(1,COUNTIF(QCI!$A$13:$A$24,OFFSET(ORÇAMENTO!E254,-1,0))),OFFSET(E254,-1,0))</f>
        <v>1</v>
      </c>
      <c r="F254">
        <f t="shared" ca="1" si="60"/>
        <v>11</v>
      </c>
      <c r="G254">
        <f t="shared" ca="1" si="61"/>
        <v>3</v>
      </c>
      <c r="H254">
        <f t="shared" ca="1" si="62"/>
        <v>0</v>
      </c>
      <c r="I254">
        <f t="shared" ca="1" si="63"/>
        <v>0</v>
      </c>
      <c r="J254">
        <f t="shared" ca="1" si="55"/>
        <v>12</v>
      </c>
      <c r="K254">
        <f ca="1">IF(OR($C254="S",$C254=0),0,MATCH(OFFSET($D254,0,$C254)+IF($C254&lt;&gt;1,1,COUNTIF(QCI!$A$13:$A$24,ORÇAMENTO!E254)),OFFSET($D254,1,$C254,ROW($C$747)-ROW($C254)),0))</f>
        <v>4</v>
      </c>
      <c r="L254" s="116" t="str">
        <f t="shared" ca="1" si="64"/>
        <v>F</v>
      </c>
      <c r="M254" s="117" t="s">
        <v>197</v>
      </c>
      <c r="N254" s="118" t="str">
        <f t="shared" ca="1" si="65"/>
        <v>Nível 3</v>
      </c>
      <c r="O254" s="119" t="str">
        <f t="shared" ca="1" si="66"/>
        <v>1.11.3.</v>
      </c>
      <c r="P254" s="120" t="s">
        <v>247</v>
      </c>
      <c r="Q254" s="121"/>
      <c r="R254" s="122" t="str">
        <f ca="1">IF($C254="S",REFERENCIA.Descricao,"PISO - ESTACIONAMENTO")</f>
        <v>PISO - ESTACIONAMENTO</v>
      </c>
      <c r="S254" s="123" t="str">
        <f ca="1">REFERENCIA.Unidade</f>
        <v>-</v>
      </c>
      <c r="T254" s="124">
        <f ca="1">OFFSET(CÁLCULO!H$15,ROW($T254)-ROW(T$15),0)</f>
        <v>0</v>
      </c>
      <c r="U254" s="125">
        <f t="shared" ca="1" si="72"/>
        <v>0</v>
      </c>
      <c r="V254" s="126" t="s">
        <v>156</v>
      </c>
      <c r="W254" s="124">
        <f ca="1">IF($C254="S",ROUND(IF(TIPOORCAMENTO="Proposto",ORÇAMENTO.CustoUnitario*(1+$AH254),ORÇAMENTO.PrecoUnitarioLicitado),15-13*$AF$10),0)</f>
        <v>0</v>
      </c>
      <c r="X254" s="127">
        <f ca="1">IF($C254="S",IF(Import.TipoArredondamento&lt;&gt;"TransfereGOV",VTOTAL1,SUM(OFFSET(CÁLCULO!$AA$15,ROW($X254)-ROW($X$15),1):OFFSET(CÁLCULO!$AL$15,ROW($X254)-ROW($X$15),-1))),IF($C254=0,0,ROUND(SomaAgrup,15-13*$AF$11)))</f>
        <v>0</v>
      </c>
      <c r="Y254" s="128" t="s">
        <v>245</v>
      </c>
      <c r="Z254" t="str">
        <f t="shared" ca="1" si="67"/>
        <v/>
      </c>
      <c r="AA254" s="129">
        <f ca="1">IF($C254="S",IF($Z254="CP",$X254,IF($Z254="RA",(($X254)*QCI!$AA$3),0)),SomaAgrup)</f>
        <v>0</v>
      </c>
      <c r="AB254" s="130">
        <f t="shared" ca="1" si="68"/>
        <v>0</v>
      </c>
      <c r="AC254" s="131" t="str">
        <f ca="1">IF($N254="","",IF(ORÇAMENTO.Descricao="","DESCRIÇÃO",IF(AND($C254="S",ORÇAMENTO.Unidade=""),"UNIDADE",IF($X254&lt;0,"VALOR NEGATIVO",IF(OR(AND(TIPOORCAMENTO="Proposto",$AG254&lt;&gt;"",$AG254&gt;0,ORÇAMENTO.CustoUnitario&gt;$AG254),AND(TIPOORCAMENTO="LICITADO",ORÇAMENTO.PrecoUnitarioLicitado&gt;$AN254)),"ACIMA REF.","")))))</f>
        <v/>
      </c>
      <c r="AD254" t="str">
        <f ca="1">IF(C254&lt;=CRONO.NivelExibicao,MAX($AD$15:OFFSET(AD254,-1,0))+IF($C254&lt;&gt;1,1,MAX(1,COUNTIF(QCI!$A$13:$A$24,OFFSET($E254,-1,0)))),"")</f>
        <v/>
      </c>
      <c r="AE254" s="7" t="b">
        <f ca="1">IF(AND($C254="S",ORÇAMENTO.CodBarra&lt;&gt;""),IF(ORÇAMENTO.Fonte="",ORÇAMENTO.CodBarra,CONCATENATE(ORÇAMENTO.Fonte," ",ORÇAMENTO.CodBarra)))</f>
        <v>0</v>
      </c>
      <c r="AF254" s="13" t="str">
        <f ca="1">IF(ISERROR(INDIRECT(ORÇAMENTO.BancoRef)),"(abra o arquivo 'Referência "&amp;Excel_BuiltIn_Database&amp;".xlsm)",IF(OR($C254&lt;&gt;"S",ORÇAMENTO.CodBarra=""),"(Sem Código)",IF(ISERROR(MATCH($AE254,INDIRECT(ORÇAMENTO.BancoRef),0)),"(Código não identificado nas referências)",MATCH($AE254,INDIRECT(ORÇAMENTO.BancoRef),0))))</f>
        <v>(abra o arquivo 'Referência 02-2025.xlsm)</v>
      </c>
      <c r="AG254" s="498">
        <f ca="1">ROUND(IF(DESONERACAO="sim",REFERENCIA.Desonerado,REFERENCIA.NaoDesonerado),2)</f>
        <v>0</v>
      </c>
      <c r="AH254" s="499">
        <f t="shared" ca="1" si="69"/>
        <v>0.22470000000000001</v>
      </c>
      <c r="AJ254" s="501"/>
      <c r="AL254" s="527"/>
      <c r="AM254" s="381">
        <f t="shared" ca="1" si="70"/>
        <v>0</v>
      </c>
      <c r="AN254" s="566">
        <f t="shared" ca="1" si="71"/>
        <v>0</v>
      </c>
    </row>
    <row r="255" spans="1:40" ht="25.5" x14ac:dyDescent="0.2">
      <c r="A255" t="str">
        <f t="shared" si="56"/>
        <v>S</v>
      </c>
      <c r="B255">
        <f t="shared" ca="1" si="57"/>
        <v>3</v>
      </c>
      <c r="C255" t="str">
        <f t="shared" ca="1" si="58"/>
        <v>S</v>
      </c>
      <c r="D255">
        <f t="shared" ca="1" si="59"/>
        <v>0</v>
      </c>
      <c r="E255">
        <f ca="1">IF($C255=1,OFFSET(E255,-1,0)+MAX(1,COUNTIF(QCI!$A$13:$A$24,OFFSET(ORÇAMENTO!E255,-1,0))),OFFSET(E255,-1,0))</f>
        <v>1</v>
      </c>
      <c r="F255">
        <f t="shared" ca="1" si="60"/>
        <v>11</v>
      </c>
      <c r="G255">
        <f t="shared" ca="1" si="61"/>
        <v>3</v>
      </c>
      <c r="H255">
        <f t="shared" ca="1" si="62"/>
        <v>0</v>
      </c>
      <c r="I255">
        <f t="shared" ca="1" si="63"/>
        <v>0</v>
      </c>
      <c r="J255">
        <f t="shared" ca="1" si="55"/>
        <v>0</v>
      </c>
      <c r="K255">
        <f ca="1">IF(OR($C255="S",$C255=0),0,MATCH(OFFSET($D255,0,$C255)+IF($C255&lt;&gt;1,1,COUNTIF(QCI!$A$13:$A$24,ORÇAMENTO!E255)),OFFSET($D255,1,$C255,ROW($C$747)-ROW($C255)),0))</f>
        <v>0</v>
      </c>
      <c r="L255" s="116" t="str">
        <f t="shared" ca="1" si="64"/>
        <v/>
      </c>
      <c r="M255" s="117" t="s">
        <v>199</v>
      </c>
      <c r="N255" s="118" t="str">
        <f t="shared" ca="1" si="65"/>
        <v>Serviço</v>
      </c>
      <c r="O255" s="119" t="str">
        <f t="shared" ca="1" si="66"/>
        <v>-</v>
      </c>
      <c r="P255" s="120" t="s">
        <v>712</v>
      </c>
      <c r="Q255" s="121" t="s">
        <v>788</v>
      </c>
      <c r="R255" s="122" t="str">
        <f ca="1">IF($C255="S",REFERENCIA.Descricao,"(digite a descrição aqui)")</f>
        <v>(abra o arquivo 'Referência 02-2025.xlsm)</v>
      </c>
      <c r="S255" s="123" t="str">
        <f ca="1">REFERENCIA.Unidade</f>
        <v>-</v>
      </c>
      <c r="T255" s="124">
        <f ca="1">OFFSET(CÁLCULO!H$15,ROW($T255)-ROW(T$15),0)</f>
        <v>3.32</v>
      </c>
      <c r="U255" s="125">
        <f t="shared" ca="1" si="72"/>
        <v>0</v>
      </c>
      <c r="V255" s="126" t="s">
        <v>156</v>
      </c>
      <c r="W255" s="124">
        <f ca="1">IF($C255="S",ROUND(IF(TIPOORCAMENTO="Proposto",ORÇAMENTO.CustoUnitario*(1+$AH255),ORÇAMENTO.PrecoUnitarioLicitado),15-13*$AF$10),0)</f>
        <v>0</v>
      </c>
      <c r="X255" s="127">
        <f ca="1">IF($C255="S",IF(Import.TipoArredondamento&lt;&gt;"TransfereGOV",VTOTAL1,SUM(OFFSET(CÁLCULO!$AA$15,ROW($X255)-ROW($X$15),1):OFFSET(CÁLCULO!$AL$15,ROW($X255)-ROW($X$15),-1))),IF($C255=0,0,ROUND(SomaAgrup,15-13*$AF$11)))</f>
        <v>0</v>
      </c>
      <c r="Y255" s="128" t="s">
        <v>245</v>
      </c>
      <c r="Z255" t="str">
        <f t="shared" ca="1" si="67"/>
        <v/>
      </c>
      <c r="AA255" s="129">
        <f ca="1">IF($C255="S",IF($Z255="CP",$X255,IF($Z255="RA",(($X255)*QCI!$AA$3),0)),SomaAgrup)</f>
        <v>0</v>
      </c>
      <c r="AB255" s="130">
        <f t="shared" ca="1" si="68"/>
        <v>0</v>
      </c>
      <c r="AC255" s="131" t="str">
        <f ca="1">IF($N255="","",IF(ORÇAMENTO.Descricao="","DESCRIÇÃO",IF(AND($C255="S",ORÇAMENTO.Unidade=""),"UNIDADE",IF($X255&lt;0,"VALOR NEGATIVO",IF(OR(AND(TIPOORCAMENTO="Proposto",$AG255&lt;&gt;"",$AG255&gt;0,ORÇAMENTO.CustoUnitario&gt;$AG255),AND(TIPOORCAMENTO="LICITADO",ORÇAMENTO.PrecoUnitarioLicitado&gt;$AN255)),"ACIMA REF.","")))))</f>
        <v/>
      </c>
      <c r="AD255" t="str">
        <f ca="1">IF(C255&lt;=CRONO.NivelExibicao,MAX($AD$15:OFFSET(AD255,-1,0))+IF($C255&lt;&gt;1,1,MAX(1,COUNTIF(QCI!$A$13:$A$24,OFFSET($E255,-1,0)))),"")</f>
        <v/>
      </c>
      <c r="AE255" s="7" t="str">
        <f ca="1">IF(AND($C255="S",ORÇAMENTO.CodBarra&lt;&gt;""),IF(ORÇAMENTO.Fonte="",ORÇAMENTO.CodBarra,CONCATENATE(ORÇAMENTO.Fonte," ",ORÇAMENTO.CodBarra)))</f>
        <v>Composição FNDE 406</v>
      </c>
      <c r="AF255" s="13" t="str">
        <f ca="1">IF(ISERROR(INDIRECT(ORÇAMENTO.BancoRef)),"(abra o arquivo 'Referência "&amp;Excel_BuiltIn_Database&amp;".xlsm)",IF(OR($C255&lt;&gt;"S",ORÇAMENTO.CodBarra=""),"(Sem Código)",IF(ISERROR(MATCH($AE255,INDIRECT(ORÇAMENTO.BancoRef),0)),"(Código não identificado nas referências)",MATCH($AE255,INDIRECT(ORÇAMENTO.BancoRef),0))))</f>
        <v>(abra o arquivo 'Referência 02-2025.xlsm)</v>
      </c>
      <c r="AG255" s="498">
        <f ca="1">ROUND(IF(DESONERACAO="sim",REFERENCIA.Desonerado,REFERENCIA.NaoDesonerado),2)</f>
        <v>0</v>
      </c>
      <c r="AH255" s="499">
        <f t="shared" ca="1" si="69"/>
        <v>0.22470000000000001</v>
      </c>
      <c r="AJ255" s="501">
        <v>3.32</v>
      </c>
      <c r="AL255" s="527"/>
      <c r="AM255" s="381">
        <f t="shared" ca="1" si="70"/>
        <v>0</v>
      </c>
      <c r="AN255" s="566">
        <f t="shared" ca="1" si="71"/>
        <v>0</v>
      </c>
    </row>
    <row r="256" spans="1:40" ht="25.5" x14ac:dyDescent="0.2">
      <c r="A256" t="str">
        <f t="shared" si="56"/>
        <v>S</v>
      </c>
      <c r="B256">
        <f t="shared" ca="1" si="57"/>
        <v>3</v>
      </c>
      <c r="C256" t="str">
        <f t="shared" ca="1" si="58"/>
        <v>S</v>
      </c>
      <c r="D256">
        <f t="shared" ca="1" si="59"/>
        <v>0</v>
      </c>
      <c r="E256">
        <f ca="1">IF($C256=1,OFFSET(E256,-1,0)+MAX(1,COUNTIF(QCI!$A$13:$A$24,OFFSET(ORÇAMENTO!E256,-1,0))),OFFSET(E256,-1,0))</f>
        <v>1</v>
      </c>
      <c r="F256">
        <f t="shared" ca="1" si="60"/>
        <v>11</v>
      </c>
      <c r="G256">
        <f t="shared" ca="1" si="61"/>
        <v>3</v>
      </c>
      <c r="H256">
        <f t="shared" ca="1" si="62"/>
        <v>0</v>
      </c>
      <c r="I256">
        <f t="shared" ca="1" si="63"/>
        <v>0</v>
      </c>
      <c r="J256">
        <f t="shared" ca="1" si="55"/>
        <v>0</v>
      </c>
      <c r="K256">
        <f ca="1">IF(OR($C256="S",$C256=0),0,MATCH(OFFSET($D256,0,$C256)+IF($C256&lt;&gt;1,1,COUNTIF(QCI!$A$13:$A$24,ORÇAMENTO!E256)),OFFSET($D256,1,$C256,ROW($C$747)-ROW($C256)),0))</f>
        <v>0</v>
      </c>
      <c r="L256" s="116" t="str">
        <f t="shared" ca="1" si="64"/>
        <v/>
      </c>
      <c r="M256" s="117" t="s">
        <v>199</v>
      </c>
      <c r="N256" s="118" t="str">
        <f t="shared" ca="1" si="65"/>
        <v>Serviço</v>
      </c>
      <c r="O256" s="119" t="str">
        <f t="shared" ca="1" si="66"/>
        <v>-</v>
      </c>
      <c r="P256" s="120" t="s">
        <v>712</v>
      </c>
      <c r="Q256" s="121" t="s">
        <v>789</v>
      </c>
      <c r="R256" s="122" t="str">
        <f ca="1">IF($C256="S",REFERENCIA.Descricao,"(digite a descrição aqui)")</f>
        <v>(abra o arquivo 'Referência 02-2025.xlsm)</v>
      </c>
      <c r="S256" s="123" t="str">
        <f ca="1">REFERENCIA.Unidade</f>
        <v>-</v>
      </c>
      <c r="T256" s="124">
        <f ca="1">OFFSET(CÁLCULO!H$15,ROW($T256)-ROW(T$15),0)</f>
        <v>2.4900000000000002</v>
      </c>
      <c r="U256" s="125">
        <f t="shared" ca="1" si="72"/>
        <v>0</v>
      </c>
      <c r="V256" s="126" t="s">
        <v>156</v>
      </c>
      <c r="W256" s="124">
        <f ca="1">IF($C256="S",ROUND(IF(TIPOORCAMENTO="Proposto",ORÇAMENTO.CustoUnitario*(1+$AH256),ORÇAMENTO.PrecoUnitarioLicitado),15-13*$AF$10),0)</f>
        <v>0</v>
      </c>
      <c r="X256" s="127">
        <f ca="1">IF($C256="S",IF(Import.TipoArredondamento&lt;&gt;"TransfereGOV",VTOTAL1,SUM(OFFSET(CÁLCULO!$AA$15,ROW($X256)-ROW($X$15),1):OFFSET(CÁLCULO!$AL$15,ROW($X256)-ROW($X$15),-1))),IF($C256=0,0,ROUND(SomaAgrup,15-13*$AF$11)))</f>
        <v>0</v>
      </c>
      <c r="Y256" s="128" t="s">
        <v>245</v>
      </c>
      <c r="Z256" t="str">
        <f t="shared" ca="1" si="67"/>
        <v/>
      </c>
      <c r="AA256" s="129">
        <f ca="1">IF($C256="S",IF($Z256="CP",$X256,IF($Z256="RA",(($X256)*QCI!$AA$3),0)),SomaAgrup)</f>
        <v>0</v>
      </c>
      <c r="AB256" s="130">
        <f t="shared" ca="1" si="68"/>
        <v>0</v>
      </c>
      <c r="AC256" s="131" t="str">
        <f ca="1">IF($N256="","",IF(ORÇAMENTO.Descricao="","DESCRIÇÃO",IF(AND($C256="S",ORÇAMENTO.Unidade=""),"UNIDADE",IF($X256&lt;0,"VALOR NEGATIVO",IF(OR(AND(TIPOORCAMENTO="Proposto",$AG256&lt;&gt;"",$AG256&gt;0,ORÇAMENTO.CustoUnitario&gt;$AG256),AND(TIPOORCAMENTO="LICITADO",ORÇAMENTO.PrecoUnitarioLicitado&gt;$AN256)),"ACIMA REF.","")))))</f>
        <v/>
      </c>
      <c r="AD256" t="str">
        <f ca="1">IF(C256&lt;=CRONO.NivelExibicao,MAX($AD$15:OFFSET(AD256,-1,0))+IF($C256&lt;&gt;1,1,MAX(1,COUNTIF(QCI!$A$13:$A$24,OFFSET($E256,-1,0)))),"")</f>
        <v/>
      </c>
      <c r="AE256" s="7" t="str">
        <f ca="1">IF(AND($C256="S",ORÇAMENTO.CodBarra&lt;&gt;""),IF(ORÇAMENTO.Fonte="",ORÇAMENTO.CodBarra,CONCATENATE(ORÇAMENTO.Fonte," ",ORÇAMENTO.CodBarra)))</f>
        <v>Composição FNDE 407</v>
      </c>
      <c r="AF256" s="13" t="str">
        <f ca="1">IF(ISERROR(INDIRECT(ORÇAMENTO.BancoRef)),"(abra o arquivo 'Referência "&amp;Excel_BuiltIn_Database&amp;".xlsm)",IF(OR($C256&lt;&gt;"S",ORÇAMENTO.CodBarra=""),"(Sem Código)",IF(ISERROR(MATCH($AE256,INDIRECT(ORÇAMENTO.BancoRef),0)),"(Código não identificado nas referências)",MATCH($AE256,INDIRECT(ORÇAMENTO.BancoRef),0))))</f>
        <v>(abra o arquivo 'Referência 02-2025.xlsm)</v>
      </c>
      <c r="AG256" s="498">
        <f ca="1">ROUND(IF(DESONERACAO="sim",REFERENCIA.Desonerado,REFERENCIA.NaoDesonerado),2)</f>
        <v>0</v>
      </c>
      <c r="AH256" s="499">
        <f t="shared" ca="1" si="69"/>
        <v>0.22470000000000001</v>
      </c>
      <c r="AJ256" s="501">
        <v>2.4900000000000002</v>
      </c>
      <c r="AL256" s="527"/>
      <c r="AM256" s="381">
        <f t="shared" ca="1" si="70"/>
        <v>0</v>
      </c>
      <c r="AN256" s="566">
        <f t="shared" ca="1" si="71"/>
        <v>0</v>
      </c>
    </row>
    <row r="257" spans="1:40" ht="25.5" x14ac:dyDescent="0.2">
      <c r="A257" t="str">
        <f t="shared" si="56"/>
        <v>S</v>
      </c>
      <c r="B257">
        <f t="shared" ca="1" si="57"/>
        <v>3</v>
      </c>
      <c r="C257" t="str">
        <f t="shared" ca="1" si="58"/>
        <v>S</v>
      </c>
      <c r="D257">
        <f t="shared" ca="1" si="59"/>
        <v>0</v>
      </c>
      <c r="E257">
        <f ca="1">IF($C257=1,OFFSET(E257,-1,0)+MAX(1,COUNTIF(QCI!$A$13:$A$24,OFFSET(ORÇAMENTO!E257,-1,0))),OFFSET(E257,-1,0))</f>
        <v>1</v>
      </c>
      <c r="F257">
        <f t="shared" ca="1" si="60"/>
        <v>11</v>
      </c>
      <c r="G257">
        <f t="shared" ca="1" si="61"/>
        <v>3</v>
      </c>
      <c r="H257">
        <f t="shared" ca="1" si="62"/>
        <v>0</v>
      </c>
      <c r="I257">
        <f t="shared" ca="1" si="63"/>
        <v>0</v>
      </c>
      <c r="J257">
        <f t="shared" ca="1" si="55"/>
        <v>0</v>
      </c>
      <c r="K257">
        <f ca="1">IF(OR($C257="S",$C257=0),0,MATCH(OFFSET($D257,0,$C257)+IF($C257&lt;&gt;1,1,COUNTIF(QCI!$A$13:$A$24,ORÇAMENTO!E257)),OFFSET($D257,1,$C257,ROW($C$747)-ROW($C257)),0))</f>
        <v>0</v>
      </c>
      <c r="L257" s="116" t="str">
        <f t="shared" ca="1" si="64"/>
        <v/>
      </c>
      <c r="M257" s="117" t="s">
        <v>199</v>
      </c>
      <c r="N257" s="118" t="str">
        <f t="shared" ca="1" si="65"/>
        <v>Serviço</v>
      </c>
      <c r="O257" s="119" t="str">
        <f t="shared" ca="1" si="66"/>
        <v>-</v>
      </c>
      <c r="P257" s="120" t="s">
        <v>712</v>
      </c>
      <c r="Q257" s="121" t="s">
        <v>790</v>
      </c>
      <c r="R257" s="122" t="str">
        <f ca="1">IF($C257="S",REFERENCIA.Descricao,"(digite a descrição aqui)")</f>
        <v>(abra o arquivo 'Referência 02-2025.xlsm)</v>
      </c>
      <c r="S257" s="123" t="str">
        <f ca="1">REFERENCIA.Unidade</f>
        <v>-</v>
      </c>
      <c r="T257" s="124">
        <f ca="1">OFFSET(CÁLCULO!H$15,ROW($T257)-ROW(T$15),0)</f>
        <v>2.65</v>
      </c>
      <c r="U257" s="125">
        <f t="shared" ca="1" si="72"/>
        <v>0</v>
      </c>
      <c r="V257" s="126" t="s">
        <v>156</v>
      </c>
      <c r="W257" s="124">
        <f ca="1">IF($C257="S",ROUND(IF(TIPOORCAMENTO="Proposto",ORÇAMENTO.CustoUnitario*(1+$AH257),ORÇAMENTO.PrecoUnitarioLicitado),15-13*$AF$10),0)</f>
        <v>0</v>
      </c>
      <c r="X257" s="127">
        <f ca="1">IF($C257="S",IF(Import.TipoArredondamento&lt;&gt;"TransfereGOV",VTOTAL1,SUM(OFFSET(CÁLCULO!$AA$15,ROW($X257)-ROW($X$15),1):OFFSET(CÁLCULO!$AL$15,ROW($X257)-ROW($X$15),-1))),IF($C257=0,0,ROUND(SomaAgrup,15-13*$AF$11)))</f>
        <v>0</v>
      </c>
      <c r="Y257" s="128" t="s">
        <v>245</v>
      </c>
      <c r="Z257" t="str">
        <f t="shared" ca="1" si="67"/>
        <v/>
      </c>
      <c r="AA257" s="129">
        <f ca="1">IF($C257="S",IF($Z257="CP",$X257,IF($Z257="RA",(($X257)*QCI!$AA$3),0)),SomaAgrup)</f>
        <v>0</v>
      </c>
      <c r="AB257" s="130">
        <f t="shared" ca="1" si="68"/>
        <v>0</v>
      </c>
      <c r="AC257" s="131" t="str">
        <f ca="1">IF($N257="","",IF(ORÇAMENTO.Descricao="","DESCRIÇÃO",IF(AND($C257="S",ORÇAMENTO.Unidade=""),"UNIDADE",IF($X257&lt;0,"VALOR NEGATIVO",IF(OR(AND(TIPOORCAMENTO="Proposto",$AG257&lt;&gt;"",$AG257&gt;0,ORÇAMENTO.CustoUnitario&gt;$AG257),AND(TIPOORCAMENTO="LICITADO",ORÇAMENTO.PrecoUnitarioLicitado&gt;$AN257)),"ACIMA REF.","")))))</f>
        <v/>
      </c>
      <c r="AD257" t="str">
        <f ca="1">IF(C257&lt;=CRONO.NivelExibicao,MAX($AD$15:OFFSET(AD257,-1,0))+IF($C257&lt;&gt;1,1,MAX(1,COUNTIF(QCI!$A$13:$A$24,OFFSET($E257,-1,0)))),"")</f>
        <v/>
      </c>
      <c r="AE257" s="7" t="str">
        <f ca="1">IF(AND($C257="S",ORÇAMENTO.CodBarra&lt;&gt;""),IF(ORÇAMENTO.Fonte="",ORÇAMENTO.CodBarra,CONCATENATE(ORÇAMENTO.Fonte," ",ORÇAMENTO.CodBarra)))</f>
        <v>Composição FNDE 409</v>
      </c>
      <c r="AF257" s="13" t="str">
        <f ca="1">IF(ISERROR(INDIRECT(ORÇAMENTO.BancoRef)),"(abra o arquivo 'Referência "&amp;Excel_BuiltIn_Database&amp;".xlsm)",IF(OR($C257&lt;&gt;"S",ORÇAMENTO.CodBarra=""),"(Sem Código)",IF(ISERROR(MATCH($AE257,INDIRECT(ORÇAMENTO.BancoRef),0)),"(Código não identificado nas referências)",MATCH($AE257,INDIRECT(ORÇAMENTO.BancoRef),0))))</f>
        <v>(abra o arquivo 'Referência 02-2025.xlsm)</v>
      </c>
      <c r="AG257" s="498">
        <f ca="1">ROUND(IF(DESONERACAO="sim",REFERENCIA.Desonerado,REFERENCIA.NaoDesonerado),2)</f>
        <v>0</v>
      </c>
      <c r="AH257" s="499">
        <f t="shared" ca="1" si="69"/>
        <v>0.22470000000000001</v>
      </c>
      <c r="AJ257" s="501">
        <v>2.65</v>
      </c>
      <c r="AL257" s="527"/>
      <c r="AM257" s="381">
        <f t="shared" ca="1" si="70"/>
        <v>0</v>
      </c>
      <c r="AN257" s="566">
        <f t="shared" ca="1" si="71"/>
        <v>0</v>
      </c>
    </row>
    <row r="258" spans="1:40" x14ac:dyDescent="0.2">
      <c r="A258">
        <f t="shared" si="56"/>
        <v>3</v>
      </c>
      <c r="B258">
        <f t="shared" ca="1" si="57"/>
        <v>3</v>
      </c>
      <c r="C258">
        <f t="shared" ca="1" si="58"/>
        <v>3</v>
      </c>
      <c r="D258">
        <f t="shared" ca="1" si="59"/>
        <v>8</v>
      </c>
      <c r="E258">
        <f ca="1">IF($C258=1,OFFSET(E258,-1,0)+MAX(1,COUNTIF(QCI!$A$13:$A$24,OFFSET(ORÇAMENTO!E258,-1,0))),OFFSET(E258,-1,0))</f>
        <v>1</v>
      </c>
      <c r="F258">
        <f t="shared" ca="1" si="60"/>
        <v>11</v>
      </c>
      <c r="G258">
        <f t="shared" ca="1" si="61"/>
        <v>4</v>
      </c>
      <c r="H258">
        <f t="shared" ca="1" si="62"/>
        <v>0</v>
      </c>
      <c r="I258">
        <f t="shared" ca="1" si="63"/>
        <v>0</v>
      </c>
      <c r="J258">
        <f t="shared" ca="1" si="55"/>
        <v>8</v>
      </c>
      <c r="K258">
        <f ca="1">IF(OR($C258="S",$C258=0),0,MATCH(OFFSET($D258,0,$C258)+IF($C258&lt;&gt;1,1,COUNTIF(QCI!$A$13:$A$24,ORÇAMENTO!E258)),OFFSET($D258,1,$C258,ROW($C$747)-ROW($C258)),0))</f>
        <v>225</v>
      </c>
      <c r="L258" s="116" t="str">
        <f t="shared" ca="1" si="64"/>
        <v>F</v>
      </c>
      <c r="M258" s="117" t="s">
        <v>197</v>
      </c>
      <c r="N258" s="118" t="str">
        <f t="shared" ca="1" si="65"/>
        <v>Nível 3</v>
      </c>
      <c r="O258" s="119" t="str">
        <f t="shared" ca="1" si="66"/>
        <v>1.11.4.</v>
      </c>
      <c r="P258" s="120" t="s">
        <v>247</v>
      </c>
      <c r="Q258" s="121"/>
      <c r="R258" s="122" t="str">
        <f ca="1">IF($C258="S",REFERENCIA.Descricao,"PISO PLAYGROUND")</f>
        <v>PISO PLAYGROUND</v>
      </c>
      <c r="S258" s="123" t="str">
        <f ca="1">REFERENCIA.Unidade</f>
        <v>-</v>
      </c>
      <c r="T258" s="124">
        <f ca="1">OFFSET(CÁLCULO!H$15,ROW($T258)-ROW(T$15),0)</f>
        <v>0</v>
      </c>
      <c r="U258" s="125">
        <f t="shared" ca="1" si="72"/>
        <v>0</v>
      </c>
      <c r="V258" s="126" t="s">
        <v>156</v>
      </c>
      <c r="W258" s="124">
        <f ca="1">IF($C258="S",ROUND(IF(TIPOORCAMENTO="Proposto",ORÇAMENTO.CustoUnitario*(1+$AH258),ORÇAMENTO.PrecoUnitarioLicitado),15-13*$AF$10),0)</f>
        <v>0</v>
      </c>
      <c r="X258" s="127">
        <f ca="1">IF($C258="S",IF(Import.TipoArredondamento&lt;&gt;"TransfereGOV",VTOTAL1,SUM(OFFSET(CÁLCULO!$AA$15,ROW($X258)-ROW($X$15),1):OFFSET(CÁLCULO!$AL$15,ROW($X258)-ROW($X$15),-1))),IF($C258=0,0,ROUND(SomaAgrup,15-13*$AF$11)))</f>
        <v>0</v>
      </c>
      <c r="Y258" s="128" t="s">
        <v>245</v>
      </c>
      <c r="Z258" t="str">
        <f t="shared" ca="1" si="67"/>
        <v/>
      </c>
      <c r="AA258" s="129">
        <f ca="1">IF($C258="S",IF($Z258="CP",$X258,IF($Z258="RA",(($X258)*QCI!$AA$3),0)),SomaAgrup)</f>
        <v>0</v>
      </c>
      <c r="AB258" s="130">
        <f t="shared" ca="1" si="68"/>
        <v>0</v>
      </c>
      <c r="AC258" s="131" t="str">
        <f ca="1">IF($N258="","",IF(ORÇAMENTO.Descricao="","DESCRIÇÃO",IF(AND($C258="S",ORÇAMENTO.Unidade=""),"UNIDADE",IF($X258&lt;0,"VALOR NEGATIVO",IF(OR(AND(TIPOORCAMENTO="Proposto",$AG258&lt;&gt;"",$AG258&gt;0,ORÇAMENTO.CustoUnitario&gt;$AG258),AND(TIPOORCAMENTO="LICITADO",ORÇAMENTO.PrecoUnitarioLicitado&gt;$AN258)),"ACIMA REF.","")))))</f>
        <v/>
      </c>
      <c r="AD258" t="str">
        <f ca="1">IF(C258&lt;=CRONO.NivelExibicao,MAX($AD$15:OFFSET(AD258,-1,0))+IF($C258&lt;&gt;1,1,MAX(1,COUNTIF(QCI!$A$13:$A$24,OFFSET($E258,-1,0)))),"")</f>
        <v/>
      </c>
      <c r="AE258" s="7" t="b">
        <f ca="1">IF(AND($C258="S",ORÇAMENTO.CodBarra&lt;&gt;""),IF(ORÇAMENTO.Fonte="",ORÇAMENTO.CodBarra,CONCATENATE(ORÇAMENTO.Fonte," ",ORÇAMENTO.CodBarra)))</f>
        <v>0</v>
      </c>
      <c r="AF258" s="13" t="str">
        <f ca="1">IF(ISERROR(INDIRECT(ORÇAMENTO.BancoRef)),"(abra o arquivo 'Referência "&amp;Excel_BuiltIn_Database&amp;".xlsm)",IF(OR($C258&lt;&gt;"S",ORÇAMENTO.CodBarra=""),"(Sem Código)",IF(ISERROR(MATCH($AE258,INDIRECT(ORÇAMENTO.BancoRef),0)),"(Código não identificado nas referências)",MATCH($AE258,INDIRECT(ORÇAMENTO.BancoRef),0))))</f>
        <v>(abra o arquivo 'Referência 02-2025.xlsm)</v>
      </c>
      <c r="AG258" s="498">
        <f ca="1">ROUND(IF(DESONERACAO="sim",REFERENCIA.Desonerado,REFERENCIA.NaoDesonerado),2)</f>
        <v>0</v>
      </c>
      <c r="AH258" s="499">
        <f t="shared" ca="1" si="69"/>
        <v>0.22470000000000001</v>
      </c>
      <c r="AJ258" s="501"/>
      <c r="AL258" s="527"/>
      <c r="AM258" s="381">
        <f t="shared" ca="1" si="70"/>
        <v>0</v>
      </c>
      <c r="AN258" s="566">
        <f t="shared" ca="1" si="71"/>
        <v>0</v>
      </c>
    </row>
    <row r="259" spans="1:40" ht="25.5" x14ac:dyDescent="0.2">
      <c r="A259" t="str">
        <f t="shared" si="56"/>
        <v>S</v>
      </c>
      <c r="B259">
        <f t="shared" ca="1" si="57"/>
        <v>3</v>
      </c>
      <c r="C259" t="str">
        <f t="shared" ca="1" si="58"/>
        <v>S</v>
      </c>
      <c r="D259">
        <f t="shared" ca="1" si="59"/>
        <v>0</v>
      </c>
      <c r="E259">
        <f ca="1">IF($C259=1,OFFSET(E259,-1,0)+MAX(1,COUNTIF(QCI!$A$13:$A$24,OFFSET(ORÇAMENTO!E259,-1,0))),OFFSET(E259,-1,0))</f>
        <v>1</v>
      </c>
      <c r="F259">
        <f t="shared" ca="1" si="60"/>
        <v>11</v>
      </c>
      <c r="G259">
        <f t="shared" ca="1" si="61"/>
        <v>4</v>
      </c>
      <c r="H259">
        <f t="shared" ca="1" si="62"/>
        <v>0</v>
      </c>
      <c r="I259">
        <f t="shared" ca="1" si="63"/>
        <v>0</v>
      </c>
      <c r="J259">
        <f t="shared" ca="1" si="55"/>
        <v>0</v>
      </c>
      <c r="K259">
        <f ca="1">IF(OR($C259="S",$C259=0),0,MATCH(OFFSET($D259,0,$C259)+IF($C259&lt;&gt;1,1,COUNTIF(QCI!$A$13:$A$24,ORÇAMENTO!E259)),OFFSET($D259,1,$C259,ROW($C$747)-ROW($C259)),0))</f>
        <v>0</v>
      </c>
      <c r="L259" s="116" t="str">
        <f t="shared" ca="1" si="64"/>
        <v/>
      </c>
      <c r="M259" s="117" t="s">
        <v>199</v>
      </c>
      <c r="N259" s="118" t="str">
        <f t="shared" ca="1" si="65"/>
        <v>Serviço</v>
      </c>
      <c r="O259" s="119" t="str">
        <f t="shared" ca="1" si="66"/>
        <v>-</v>
      </c>
      <c r="P259" s="120" t="s">
        <v>712</v>
      </c>
      <c r="Q259" s="121" t="s">
        <v>788</v>
      </c>
      <c r="R259" s="122" t="str">
        <f ca="1">IF($C259="S",REFERENCIA.Descricao,"(digite a descrição aqui)")</f>
        <v>(abra o arquivo 'Referência 02-2025.xlsm)</v>
      </c>
      <c r="S259" s="123" t="str">
        <f ca="1">REFERENCIA.Unidade</f>
        <v>-</v>
      </c>
      <c r="T259" s="124">
        <f ca="1">OFFSET(CÁLCULO!H$15,ROW($T259)-ROW(T$15),0)</f>
        <v>3.96</v>
      </c>
      <c r="U259" s="125">
        <f t="shared" ca="1" si="72"/>
        <v>0</v>
      </c>
      <c r="V259" s="126" t="s">
        <v>156</v>
      </c>
      <c r="W259" s="124">
        <f ca="1">IF($C259="S",ROUND(IF(TIPOORCAMENTO="Proposto",ORÇAMENTO.CustoUnitario*(1+$AH259),ORÇAMENTO.PrecoUnitarioLicitado),15-13*$AF$10),0)</f>
        <v>0</v>
      </c>
      <c r="X259" s="127">
        <f ca="1">IF($C259="S",IF(Import.TipoArredondamento&lt;&gt;"TransfereGOV",VTOTAL1,SUM(OFFSET(CÁLCULO!$AA$15,ROW($X259)-ROW($X$15),1):OFFSET(CÁLCULO!$AL$15,ROW($X259)-ROW($X$15),-1))),IF($C259=0,0,ROUND(SomaAgrup,15-13*$AF$11)))</f>
        <v>0</v>
      </c>
      <c r="Y259" s="128" t="s">
        <v>245</v>
      </c>
      <c r="Z259" t="str">
        <f t="shared" ca="1" si="67"/>
        <v/>
      </c>
      <c r="AA259" s="129">
        <f ca="1">IF($C259="S",IF($Z259="CP",$X259,IF($Z259="RA",(($X259)*QCI!$AA$3),0)),SomaAgrup)</f>
        <v>0</v>
      </c>
      <c r="AB259" s="130">
        <f t="shared" ca="1" si="68"/>
        <v>0</v>
      </c>
      <c r="AC259" s="131" t="str">
        <f ca="1">IF($N259="","",IF(ORÇAMENTO.Descricao="","DESCRIÇÃO",IF(AND($C259="S",ORÇAMENTO.Unidade=""),"UNIDADE",IF($X259&lt;0,"VALOR NEGATIVO",IF(OR(AND(TIPOORCAMENTO="Proposto",$AG259&lt;&gt;"",$AG259&gt;0,ORÇAMENTO.CustoUnitario&gt;$AG259),AND(TIPOORCAMENTO="LICITADO",ORÇAMENTO.PrecoUnitarioLicitado&gt;$AN259)),"ACIMA REF.","")))))</f>
        <v/>
      </c>
      <c r="AD259" t="str">
        <f ca="1">IF(C259&lt;=CRONO.NivelExibicao,MAX($AD$15:OFFSET(AD259,-1,0))+IF($C259&lt;&gt;1,1,MAX(1,COUNTIF(QCI!$A$13:$A$24,OFFSET($E259,-1,0)))),"")</f>
        <v/>
      </c>
      <c r="AE259" s="7" t="str">
        <f ca="1">IF(AND($C259="S",ORÇAMENTO.CodBarra&lt;&gt;""),IF(ORÇAMENTO.Fonte="",ORÇAMENTO.CodBarra,CONCATENATE(ORÇAMENTO.Fonte," ",ORÇAMENTO.CodBarra)))</f>
        <v>Composição FNDE 406</v>
      </c>
      <c r="AF259" s="13" t="str">
        <f ca="1">IF(ISERROR(INDIRECT(ORÇAMENTO.BancoRef)),"(abra o arquivo 'Referência "&amp;Excel_BuiltIn_Database&amp;".xlsm)",IF(OR($C259&lt;&gt;"S",ORÇAMENTO.CodBarra=""),"(Sem Código)",IF(ISERROR(MATCH($AE259,INDIRECT(ORÇAMENTO.BancoRef),0)),"(Código não identificado nas referências)",MATCH($AE259,INDIRECT(ORÇAMENTO.BancoRef),0))))</f>
        <v>(abra o arquivo 'Referência 02-2025.xlsm)</v>
      </c>
      <c r="AG259" s="498">
        <f ca="1">ROUND(IF(DESONERACAO="sim",REFERENCIA.Desonerado,REFERENCIA.NaoDesonerado),2)</f>
        <v>0</v>
      </c>
      <c r="AH259" s="499">
        <f t="shared" ca="1" si="69"/>
        <v>0.22470000000000001</v>
      </c>
      <c r="AJ259" s="501">
        <v>3.96</v>
      </c>
      <c r="AL259" s="527"/>
      <c r="AM259" s="381">
        <f t="shared" ca="1" si="70"/>
        <v>0</v>
      </c>
      <c r="AN259" s="566">
        <f t="shared" ca="1" si="71"/>
        <v>0</v>
      </c>
    </row>
    <row r="260" spans="1:40" ht="25.5" x14ac:dyDescent="0.2">
      <c r="A260" t="str">
        <f t="shared" si="56"/>
        <v>S</v>
      </c>
      <c r="B260">
        <f t="shared" ca="1" si="57"/>
        <v>3</v>
      </c>
      <c r="C260" t="str">
        <f t="shared" ca="1" si="58"/>
        <v>S</v>
      </c>
      <c r="D260">
        <f t="shared" ca="1" si="59"/>
        <v>0</v>
      </c>
      <c r="E260">
        <f ca="1">IF($C260=1,OFFSET(E260,-1,0)+MAX(1,COUNTIF(QCI!$A$13:$A$24,OFFSET(ORÇAMENTO!E260,-1,0))),OFFSET(E260,-1,0))</f>
        <v>1</v>
      </c>
      <c r="F260">
        <f t="shared" ca="1" si="60"/>
        <v>11</v>
      </c>
      <c r="G260">
        <f t="shared" ca="1" si="61"/>
        <v>4</v>
      </c>
      <c r="H260">
        <f t="shared" ca="1" si="62"/>
        <v>0</v>
      </c>
      <c r="I260">
        <f t="shared" ca="1" si="63"/>
        <v>0</v>
      </c>
      <c r="J260">
        <f t="shared" ca="1" si="55"/>
        <v>0</v>
      </c>
      <c r="K260">
        <f ca="1">IF(OR($C260="S",$C260=0),0,MATCH(OFFSET($D260,0,$C260)+IF($C260&lt;&gt;1,1,COUNTIF(QCI!$A$13:$A$24,ORÇAMENTO!E260)),OFFSET($D260,1,$C260,ROW($C$747)-ROW($C260)),0))</f>
        <v>0</v>
      </c>
      <c r="L260" s="116" t="str">
        <f t="shared" ca="1" si="64"/>
        <v/>
      </c>
      <c r="M260" s="117" t="s">
        <v>199</v>
      </c>
      <c r="N260" s="118" t="str">
        <f t="shared" ca="1" si="65"/>
        <v>Serviço</v>
      </c>
      <c r="O260" s="119" t="str">
        <f t="shared" ca="1" si="66"/>
        <v>-</v>
      </c>
      <c r="P260" s="120" t="s">
        <v>712</v>
      </c>
      <c r="Q260" s="121" t="s">
        <v>789</v>
      </c>
      <c r="R260" s="122" t="str">
        <f ca="1">IF($C260="S",REFERENCIA.Descricao,"(digite a descrição aqui)")</f>
        <v>(abra o arquivo 'Referência 02-2025.xlsm)</v>
      </c>
      <c r="S260" s="123" t="str">
        <f ca="1">REFERENCIA.Unidade</f>
        <v>-</v>
      </c>
      <c r="T260" s="124">
        <f ca="1">OFFSET(CÁLCULO!H$15,ROW($T260)-ROW(T$15),0)</f>
        <v>3.23</v>
      </c>
      <c r="U260" s="125">
        <f t="shared" ca="1" si="72"/>
        <v>0</v>
      </c>
      <c r="V260" s="126" t="s">
        <v>156</v>
      </c>
      <c r="W260" s="124">
        <f ca="1">IF($C260="S",ROUND(IF(TIPOORCAMENTO="Proposto",ORÇAMENTO.CustoUnitario*(1+$AH260),ORÇAMENTO.PrecoUnitarioLicitado),15-13*$AF$10),0)</f>
        <v>0</v>
      </c>
      <c r="X260" s="127">
        <f ca="1">IF($C260="S",IF(Import.TipoArredondamento&lt;&gt;"TransfereGOV",VTOTAL1,SUM(OFFSET(CÁLCULO!$AA$15,ROW($X260)-ROW($X$15),1):OFFSET(CÁLCULO!$AL$15,ROW($X260)-ROW($X$15),-1))),IF($C260=0,0,ROUND(SomaAgrup,15-13*$AF$11)))</f>
        <v>0</v>
      </c>
      <c r="Y260" s="128" t="s">
        <v>245</v>
      </c>
      <c r="Z260" t="str">
        <f t="shared" ca="1" si="67"/>
        <v/>
      </c>
      <c r="AA260" s="129">
        <f ca="1">IF($C260="S",IF($Z260="CP",$X260,IF($Z260="RA",(($X260)*QCI!$AA$3),0)),SomaAgrup)</f>
        <v>0</v>
      </c>
      <c r="AB260" s="130">
        <f t="shared" ca="1" si="68"/>
        <v>0</v>
      </c>
      <c r="AC260" s="131" t="str">
        <f ca="1">IF($N260="","",IF(ORÇAMENTO.Descricao="","DESCRIÇÃO",IF(AND($C260="S",ORÇAMENTO.Unidade=""),"UNIDADE",IF($X260&lt;0,"VALOR NEGATIVO",IF(OR(AND(TIPOORCAMENTO="Proposto",$AG260&lt;&gt;"",$AG260&gt;0,ORÇAMENTO.CustoUnitario&gt;$AG260),AND(TIPOORCAMENTO="LICITADO",ORÇAMENTO.PrecoUnitarioLicitado&gt;$AN260)),"ACIMA REF.","")))))</f>
        <v/>
      </c>
      <c r="AD260" t="str">
        <f ca="1">IF(C260&lt;=CRONO.NivelExibicao,MAX($AD$15:OFFSET(AD260,-1,0))+IF($C260&lt;&gt;1,1,MAX(1,COUNTIF(QCI!$A$13:$A$24,OFFSET($E260,-1,0)))),"")</f>
        <v/>
      </c>
      <c r="AE260" s="7" t="str">
        <f ca="1">IF(AND($C260="S",ORÇAMENTO.CodBarra&lt;&gt;""),IF(ORÇAMENTO.Fonte="",ORÇAMENTO.CodBarra,CONCATENATE(ORÇAMENTO.Fonte," ",ORÇAMENTO.CodBarra)))</f>
        <v>Composição FNDE 407</v>
      </c>
      <c r="AF260" s="13" t="str">
        <f ca="1">IF(ISERROR(INDIRECT(ORÇAMENTO.BancoRef)),"(abra o arquivo 'Referência "&amp;Excel_BuiltIn_Database&amp;".xlsm)",IF(OR($C260&lt;&gt;"S",ORÇAMENTO.CodBarra=""),"(Sem Código)",IF(ISERROR(MATCH($AE260,INDIRECT(ORÇAMENTO.BancoRef),0)),"(Código não identificado nas referências)",MATCH($AE260,INDIRECT(ORÇAMENTO.BancoRef),0))))</f>
        <v>(abra o arquivo 'Referência 02-2025.xlsm)</v>
      </c>
      <c r="AG260" s="498">
        <f ca="1">ROUND(IF(DESONERACAO="sim",REFERENCIA.Desonerado,REFERENCIA.NaoDesonerado),2)</f>
        <v>0</v>
      </c>
      <c r="AH260" s="499">
        <f t="shared" ca="1" si="69"/>
        <v>0.22470000000000001</v>
      </c>
      <c r="AJ260" s="501">
        <v>3.23</v>
      </c>
      <c r="AL260" s="527"/>
      <c r="AM260" s="381">
        <f t="shared" ca="1" si="70"/>
        <v>0</v>
      </c>
      <c r="AN260" s="566">
        <f t="shared" ca="1" si="71"/>
        <v>0</v>
      </c>
    </row>
    <row r="261" spans="1:40" ht="25.5" x14ac:dyDescent="0.2">
      <c r="A261" t="str">
        <f t="shared" si="56"/>
        <v>S</v>
      </c>
      <c r="B261">
        <f t="shared" ca="1" si="57"/>
        <v>3</v>
      </c>
      <c r="C261" t="str">
        <f t="shared" ca="1" si="58"/>
        <v>S</v>
      </c>
      <c r="D261">
        <f t="shared" ca="1" si="59"/>
        <v>0</v>
      </c>
      <c r="E261">
        <f ca="1">IF($C261=1,OFFSET(E261,-1,0)+MAX(1,COUNTIF(QCI!$A$13:$A$24,OFFSET(ORÇAMENTO!E261,-1,0))),OFFSET(E261,-1,0))</f>
        <v>1</v>
      </c>
      <c r="F261">
        <f t="shared" ca="1" si="60"/>
        <v>11</v>
      </c>
      <c r="G261">
        <f t="shared" ca="1" si="61"/>
        <v>4</v>
      </c>
      <c r="H261">
        <f t="shared" ca="1" si="62"/>
        <v>0</v>
      </c>
      <c r="I261">
        <f t="shared" ca="1" si="63"/>
        <v>0</v>
      </c>
      <c r="J261">
        <f t="shared" ca="1" si="55"/>
        <v>0</v>
      </c>
      <c r="K261">
        <f ca="1">IF(OR($C261="S",$C261=0),0,MATCH(OFFSET($D261,0,$C261)+IF($C261&lt;&gt;1,1,COUNTIF(QCI!$A$13:$A$24,ORÇAMENTO!E261)),OFFSET($D261,1,$C261,ROW($C$747)-ROW($C261)),0))</f>
        <v>0</v>
      </c>
      <c r="L261" s="116" t="str">
        <f t="shared" ca="1" si="64"/>
        <v/>
      </c>
      <c r="M261" s="117" t="s">
        <v>199</v>
      </c>
      <c r="N261" s="118" t="str">
        <f t="shared" ca="1" si="65"/>
        <v>Serviço</v>
      </c>
      <c r="O261" s="119" t="str">
        <f t="shared" ca="1" si="66"/>
        <v>-</v>
      </c>
      <c r="P261" s="120" t="s">
        <v>712</v>
      </c>
      <c r="Q261" s="121" t="s">
        <v>790</v>
      </c>
      <c r="R261" s="122" t="str">
        <f ca="1">IF($C261="S",REFERENCIA.Descricao,"(digite a descrição aqui)")</f>
        <v>(abra o arquivo 'Referência 02-2025.xlsm)</v>
      </c>
      <c r="S261" s="123" t="str">
        <f ca="1">REFERENCIA.Unidade</f>
        <v>-</v>
      </c>
      <c r="T261" s="124">
        <f ca="1">OFFSET(CÁLCULO!H$15,ROW($T261)-ROW(T$15),0)</f>
        <v>1.72</v>
      </c>
      <c r="U261" s="125">
        <f t="shared" ca="1" si="72"/>
        <v>0</v>
      </c>
      <c r="V261" s="126" t="s">
        <v>156</v>
      </c>
      <c r="W261" s="124">
        <f ca="1">IF($C261="S",ROUND(IF(TIPOORCAMENTO="Proposto",ORÇAMENTO.CustoUnitario*(1+$AH261),ORÇAMENTO.PrecoUnitarioLicitado),15-13*$AF$10),0)</f>
        <v>0</v>
      </c>
      <c r="X261" s="127">
        <f ca="1">IF($C261="S",IF(Import.TipoArredondamento&lt;&gt;"TransfereGOV",VTOTAL1,SUM(OFFSET(CÁLCULO!$AA$15,ROW($X261)-ROW($X$15),1):OFFSET(CÁLCULO!$AL$15,ROW($X261)-ROW($X$15),-1))),IF($C261=0,0,ROUND(SomaAgrup,15-13*$AF$11)))</f>
        <v>0</v>
      </c>
      <c r="Y261" s="128" t="s">
        <v>245</v>
      </c>
      <c r="Z261" t="str">
        <f t="shared" ca="1" si="67"/>
        <v/>
      </c>
      <c r="AA261" s="129">
        <f ca="1">IF($C261="S",IF($Z261="CP",$X261,IF($Z261="RA",(($X261)*QCI!$AA$3),0)),SomaAgrup)</f>
        <v>0</v>
      </c>
      <c r="AB261" s="130">
        <f t="shared" ca="1" si="68"/>
        <v>0</v>
      </c>
      <c r="AC261" s="131" t="str">
        <f ca="1">IF($N261="","",IF(ORÇAMENTO.Descricao="","DESCRIÇÃO",IF(AND($C261="S",ORÇAMENTO.Unidade=""),"UNIDADE",IF($X261&lt;0,"VALOR NEGATIVO",IF(OR(AND(TIPOORCAMENTO="Proposto",$AG261&lt;&gt;"",$AG261&gt;0,ORÇAMENTO.CustoUnitario&gt;$AG261),AND(TIPOORCAMENTO="LICITADO",ORÇAMENTO.PrecoUnitarioLicitado&gt;$AN261)),"ACIMA REF.","")))))</f>
        <v/>
      </c>
      <c r="AD261" t="str">
        <f ca="1">IF(C261&lt;=CRONO.NivelExibicao,MAX($AD$15:OFFSET(AD261,-1,0))+IF($C261&lt;&gt;1,1,MAX(1,COUNTIF(QCI!$A$13:$A$24,OFFSET($E261,-1,0)))),"")</f>
        <v/>
      </c>
      <c r="AE261" s="7" t="str">
        <f ca="1">IF(AND($C261="S",ORÇAMENTO.CodBarra&lt;&gt;""),IF(ORÇAMENTO.Fonte="",ORÇAMENTO.CodBarra,CONCATENATE(ORÇAMENTO.Fonte," ",ORÇAMENTO.CodBarra)))</f>
        <v>Composição FNDE 409</v>
      </c>
      <c r="AF261" s="13" t="str">
        <f ca="1">IF(ISERROR(INDIRECT(ORÇAMENTO.BancoRef)),"(abra o arquivo 'Referência "&amp;Excel_BuiltIn_Database&amp;".xlsm)",IF(OR($C261&lt;&gt;"S",ORÇAMENTO.CodBarra=""),"(Sem Código)",IF(ISERROR(MATCH($AE261,INDIRECT(ORÇAMENTO.BancoRef),0)),"(Código não identificado nas referências)",MATCH($AE261,INDIRECT(ORÇAMENTO.BancoRef),0))))</f>
        <v>(abra o arquivo 'Referência 02-2025.xlsm)</v>
      </c>
      <c r="AG261" s="498">
        <f ca="1">ROUND(IF(DESONERACAO="sim",REFERENCIA.Desonerado,REFERENCIA.NaoDesonerado),2)</f>
        <v>0</v>
      </c>
      <c r="AH261" s="499">
        <f t="shared" ca="1" si="69"/>
        <v>0.22470000000000001</v>
      </c>
      <c r="AJ261" s="501">
        <v>1.72</v>
      </c>
      <c r="AL261" s="527"/>
      <c r="AM261" s="381">
        <f t="shared" ca="1" si="70"/>
        <v>0</v>
      </c>
      <c r="AN261" s="566">
        <f t="shared" ca="1" si="71"/>
        <v>0</v>
      </c>
    </row>
    <row r="262" spans="1:40" ht="25.5" x14ac:dyDescent="0.2">
      <c r="A262" t="str">
        <f t="shared" si="56"/>
        <v>S</v>
      </c>
      <c r="B262">
        <f t="shared" ca="1" si="57"/>
        <v>3</v>
      </c>
      <c r="C262" t="str">
        <f t="shared" ca="1" si="58"/>
        <v>S</v>
      </c>
      <c r="D262">
        <f t="shared" ca="1" si="59"/>
        <v>0</v>
      </c>
      <c r="E262">
        <f ca="1">IF($C262=1,OFFSET(E262,-1,0)+MAX(1,COUNTIF(QCI!$A$13:$A$24,OFFSET(ORÇAMENTO!E262,-1,0))),OFFSET(E262,-1,0))</f>
        <v>1</v>
      </c>
      <c r="F262">
        <f t="shared" ca="1" si="60"/>
        <v>11</v>
      </c>
      <c r="G262">
        <f t="shared" ca="1" si="61"/>
        <v>4</v>
      </c>
      <c r="H262">
        <f t="shared" ca="1" si="62"/>
        <v>0</v>
      </c>
      <c r="I262">
        <f t="shared" ca="1" si="63"/>
        <v>0</v>
      </c>
      <c r="J262">
        <f t="shared" ca="1" si="55"/>
        <v>0</v>
      </c>
      <c r="K262">
        <f ca="1">IF(OR($C262="S",$C262=0),0,MATCH(OFFSET($D262,0,$C262)+IF($C262&lt;&gt;1,1,COUNTIF(QCI!$A$13:$A$24,ORÇAMENTO!E262)),OFFSET($D262,1,$C262,ROW($C$747)-ROW($C262)),0))</f>
        <v>0</v>
      </c>
      <c r="L262" s="116" t="str">
        <f t="shared" ca="1" si="64"/>
        <v/>
      </c>
      <c r="M262" s="117" t="s">
        <v>199</v>
      </c>
      <c r="N262" s="118" t="str">
        <f t="shared" ca="1" si="65"/>
        <v>Serviço</v>
      </c>
      <c r="O262" s="119" t="str">
        <f t="shared" ca="1" si="66"/>
        <v>-</v>
      </c>
      <c r="P262" s="120" t="s">
        <v>712</v>
      </c>
      <c r="Q262" s="121" t="s">
        <v>790</v>
      </c>
      <c r="R262" s="122" t="str">
        <f ca="1">IF($C262="S",REFERENCIA.Descricao,"(digite a descrição aqui)")</f>
        <v>(abra o arquivo 'Referência 02-2025.xlsm)</v>
      </c>
      <c r="S262" s="123" t="str">
        <f ca="1">REFERENCIA.Unidade</f>
        <v>-</v>
      </c>
      <c r="T262" s="124">
        <f ca="1">OFFSET(CÁLCULO!H$15,ROW($T262)-ROW(T$15),0)</f>
        <v>10.49</v>
      </c>
      <c r="U262" s="125">
        <f t="shared" ca="1" si="72"/>
        <v>0</v>
      </c>
      <c r="V262" s="126" t="s">
        <v>156</v>
      </c>
      <c r="W262" s="124">
        <f ca="1">IF($C262="S",ROUND(IF(TIPOORCAMENTO="Proposto",ORÇAMENTO.CustoUnitario*(1+$AH262),ORÇAMENTO.PrecoUnitarioLicitado),15-13*$AF$10),0)</f>
        <v>0</v>
      </c>
      <c r="X262" s="127">
        <f ca="1">IF($C262="S",IF(Import.TipoArredondamento&lt;&gt;"TransfereGOV",VTOTAL1,SUM(OFFSET(CÁLCULO!$AA$15,ROW($X262)-ROW($X$15),1):OFFSET(CÁLCULO!$AL$15,ROW($X262)-ROW($X$15),-1))),IF($C262=0,0,ROUND(SomaAgrup,15-13*$AF$11)))</f>
        <v>0</v>
      </c>
      <c r="Y262" s="128" t="s">
        <v>245</v>
      </c>
      <c r="Z262" t="str">
        <f t="shared" ca="1" si="67"/>
        <v/>
      </c>
      <c r="AA262" s="129">
        <f ca="1">IF($C262="S",IF($Z262="CP",$X262,IF($Z262="RA",(($X262)*QCI!$AA$3),0)),SomaAgrup)</f>
        <v>0</v>
      </c>
      <c r="AB262" s="130">
        <f t="shared" ca="1" si="68"/>
        <v>0</v>
      </c>
      <c r="AC262" s="131" t="str">
        <f ca="1">IF($N262="","",IF(ORÇAMENTO.Descricao="","DESCRIÇÃO",IF(AND($C262="S",ORÇAMENTO.Unidade=""),"UNIDADE",IF($X262&lt;0,"VALOR NEGATIVO",IF(OR(AND(TIPOORCAMENTO="Proposto",$AG262&lt;&gt;"",$AG262&gt;0,ORÇAMENTO.CustoUnitario&gt;$AG262),AND(TIPOORCAMENTO="LICITADO",ORÇAMENTO.PrecoUnitarioLicitado&gt;$AN262)),"ACIMA REF.","")))))</f>
        <v/>
      </c>
      <c r="AD262" t="str">
        <f ca="1">IF(C262&lt;=CRONO.NivelExibicao,MAX($AD$15:OFFSET(AD262,-1,0))+IF($C262&lt;&gt;1,1,MAX(1,COUNTIF(QCI!$A$13:$A$24,OFFSET($E262,-1,0)))),"")</f>
        <v/>
      </c>
      <c r="AE262" s="7" t="str">
        <f ca="1">IF(AND($C262="S",ORÇAMENTO.CodBarra&lt;&gt;""),IF(ORÇAMENTO.Fonte="",ORÇAMENTO.CodBarra,CONCATENATE(ORÇAMENTO.Fonte," ",ORÇAMENTO.CodBarra)))</f>
        <v>Composição FNDE 409</v>
      </c>
      <c r="AF262" s="13" t="str">
        <f ca="1">IF(ISERROR(INDIRECT(ORÇAMENTO.BancoRef)),"(abra o arquivo 'Referência "&amp;Excel_BuiltIn_Database&amp;".xlsm)",IF(OR($C262&lt;&gt;"S",ORÇAMENTO.CodBarra=""),"(Sem Código)",IF(ISERROR(MATCH($AE262,INDIRECT(ORÇAMENTO.BancoRef),0)),"(Código não identificado nas referências)",MATCH($AE262,INDIRECT(ORÇAMENTO.BancoRef),0))))</f>
        <v>(abra o arquivo 'Referência 02-2025.xlsm)</v>
      </c>
      <c r="AG262" s="498">
        <f ca="1">ROUND(IF(DESONERACAO="sim",REFERENCIA.Desonerado,REFERENCIA.NaoDesonerado),2)</f>
        <v>0</v>
      </c>
      <c r="AH262" s="499">
        <f t="shared" ca="1" si="69"/>
        <v>0.22470000000000001</v>
      </c>
      <c r="AJ262" s="501">
        <v>10.49</v>
      </c>
      <c r="AL262" s="527"/>
      <c r="AM262" s="381">
        <f t="shared" ca="1" si="70"/>
        <v>0</v>
      </c>
      <c r="AN262" s="566">
        <f t="shared" ca="1" si="71"/>
        <v>0</v>
      </c>
    </row>
    <row r="263" spans="1:40" ht="25.5" x14ac:dyDescent="0.2">
      <c r="A263" t="str">
        <f t="shared" si="56"/>
        <v>S</v>
      </c>
      <c r="B263">
        <f t="shared" ca="1" si="57"/>
        <v>3</v>
      </c>
      <c r="C263" t="str">
        <f t="shared" ca="1" si="58"/>
        <v>S</v>
      </c>
      <c r="D263">
        <f t="shared" ca="1" si="59"/>
        <v>0</v>
      </c>
      <c r="E263">
        <f ca="1">IF($C263=1,OFFSET(E263,-1,0)+MAX(1,COUNTIF(QCI!$A$13:$A$24,OFFSET(ORÇAMENTO!E263,-1,0))),OFFSET(E263,-1,0))</f>
        <v>1</v>
      </c>
      <c r="F263">
        <f t="shared" ca="1" si="60"/>
        <v>11</v>
      </c>
      <c r="G263">
        <f t="shared" ca="1" si="61"/>
        <v>4</v>
      </c>
      <c r="H263">
        <f t="shared" ca="1" si="62"/>
        <v>0</v>
      </c>
      <c r="I263">
        <f t="shared" ca="1" si="63"/>
        <v>0</v>
      </c>
      <c r="J263">
        <f t="shared" ca="1" si="55"/>
        <v>0</v>
      </c>
      <c r="K263">
        <f ca="1">IF(OR($C263="S",$C263=0),0,MATCH(OFFSET($D263,0,$C263)+IF($C263&lt;&gt;1,1,COUNTIF(QCI!$A$13:$A$24,ORÇAMENTO!E263)),OFFSET($D263,1,$C263,ROW($C$747)-ROW($C263)),0))</f>
        <v>0</v>
      </c>
      <c r="L263" s="116" t="str">
        <f t="shared" ca="1" si="64"/>
        <v/>
      </c>
      <c r="M263" s="117" t="s">
        <v>199</v>
      </c>
      <c r="N263" s="118" t="str">
        <f t="shared" ca="1" si="65"/>
        <v>Serviço</v>
      </c>
      <c r="O263" s="119" t="str">
        <f t="shared" ca="1" si="66"/>
        <v>-</v>
      </c>
      <c r="P263" s="120" t="s">
        <v>712</v>
      </c>
      <c r="Q263" s="121" t="s">
        <v>791</v>
      </c>
      <c r="R263" s="122" t="str">
        <f ca="1">IF($C263="S",REFERENCIA.Descricao,"(digite a descrição aqui)")</f>
        <v>(abra o arquivo 'Referência 02-2025.xlsm)</v>
      </c>
      <c r="S263" s="123" t="str">
        <f ca="1">REFERENCIA.Unidade</f>
        <v>-</v>
      </c>
      <c r="T263" s="124">
        <f ca="1">OFFSET(CÁLCULO!H$15,ROW($T263)-ROW(T$15),0)</f>
        <v>2.2999999999999998</v>
      </c>
      <c r="U263" s="125">
        <f t="shared" ca="1" si="72"/>
        <v>0</v>
      </c>
      <c r="V263" s="126" t="s">
        <v>156</v>
      </c>
      <c r="W263" s="124">
        <f ca="1">IF($C263="S",ROUND(IF(TIPOORCAMENTO="Proposto",ORÇAMENTO.CustoUnitario*(1+$AH263),ORÇAMENTO.PrecoUnitarioLicitado),15-13*$AF$10),0)</f>
        <v>0</v>
      </c>
      <c r="X263" s="127">
        <f ca="1">IF($C263="S",IF(Import.TipoArredondamento&lt;&gt;"TransfereGOV",VTOTAL1,SUM(OFFSET(CÁLCULO!$AA$15,ROW($X263)-ROW($X$15),1):OFFSET(CÁLCULO!$AL$15,ROW($X263)-ROW($X$15),-1))),IF($C263=0,0,ROUND(SomaAgrup,15-13*$AF$11)))</f>
        <v>0</v>
      </c>
      <c r="Y263" s="128" t="s">
        <v>245</v>
      </c>
      <c r="Z263" t="str">
        <f t="shared" ca="1" si="67"/>
        <v/>
      </c>
      <c r="AA263" s="129">
        <f ca="1">IF($C263="S",IF($Z263="CP",$X263,IF($Z263="RA",(($X263)*QCI!$AA$3),0)),SomaAgrup)</f>
        <v>0</v>
      </c>
      <c r="AB263" s="130">
        <f t="shared" ca="1" si="68"/>
        <v>0</v>
      </c>
      <c r="AC263" s="131" t="str">
        <f ca="1">IF($N263="","",IF(ORÇAMENTO.Descricao="","DESCRIÇÃO",IF(AND($C263="S",ORÇAMENTO.Unidade=""),"UNIDADE",IF($X263&lt;0,"VALOR NEGATIVO",IF(OR(AND(TIPOORCAMENTO="Proposto",$AG263&lt;&gt;"",$AG263&gt;0,ORÇAMENTO.CustoUnitario&gt;$AG263),AND(TIPOORCAMENTO="LICITADO",ORÇAMENTO.PrecoUnitarioLicitado&gt;$AN263)),"ACIMA REF.","")))))</f>
        <v/>
      </c>
      <c r="AD263" t="str">
        <f ca="1">IF(C263&lt;=CRONO.NivelExibicao,MAX($AD$15:OFFSET(AD263,-1,0))+IF($C263&lt;&gt;1,1,MAX(1,COUNTIF(QCI!$A$13:$A$24,OFFSET($E263,-1,0)))),"")</f>
        <v/>
      </c>
      <c r="AE263" s="7" t="str">
        <f ca="1">IF(AND($C263="S",ORÇAMENTO.CodBarra&lt;&gt;""),IF(ORÇAMENTO.Fonte="",ORÇAMENTO.CodBarra,CONCATENATE(ORÇAMENTO.Fonte," ",ORÇAMENTO.CodBarra)))</f>
        <v>Composição FNDE 410</v>
      </c>
      <c r="AF263" s="13" t="str">
        <f ca="1">IF(ISERROR(INDIRECT(ORÇAMENTO.BancoRef)),"(abra o arquivo 'Referência "&amp;Excel_BuiltIn_Database&amp;".xlsm)",IF(OR($C263&lt;&gt;"S",ORÇAMENTO.CodBarra=""),"(Sem Código)",IF(ISERROR(MATCH($AE263,INDIRECT(ORÇAMENTO.BancoRef),0)),"(Código não identificado nas referências)",MATCH($AE263,INDIRECT(ORÇAMENTO.BancoRef),0))))</f>
        <v>(abra o arquivo 'Referência 02-2025.xlsm)</v>
      </c>
      <c r="AG263" s="498">
        <f ca="1">ROUND(IF(DESONERACAO="sim",REFERENCIA.Desonerado,REFERENCIA.NaoDesonerado),2)</f>
        <v>0</v>
      </c>
      <c r="AH263" s="499">
        <f t="shared" ca="1" si="69"/>
        <v>0.22470000000000001</v>
      </c>
      <c r="AJ263" s="501">
        <v>2.2999999999999998</v>
      </c>
      <c r="AL263" s="527"/>
      <c r="AM263" s="381">
        <f t="shared" ca="1" si="70"/>
        <v>0</v>
      </c>
      <c r="AN263" s="566">
        <f t="shared" ca="1" si="71"/>
        <v>0</v>
      </c>
    </row>
    <row r="264" spans="1:40" ht="25.5" x14ac:dyDescent="0.2">
      <c r="A264" t="str">
        <f t="shared" si="56"/>
        <v>S</v>
      </c>
      <c r="B264">
        <f t="shared" ca="1" si="57"/>
        <v>3</v>
      </c>
      <c r="C264" t="str">
        <f t="shared" ca="1" si="58"/>
        <v>S</v>
      </c>
      <c r="D264">
        <f t="shared" ca="1" si="59"/>
        <v>0</v>
      </c>
      <c r="E264">
        <f ca="1">IF($C264=1,OFFSET(E264,-1,0)+MAX(1,COUNTIF(QCI!$A$13:$A$24,OFFSET(ORÇAMENTO!E264,-1,0))),OFFSET(E264,-1,0))</f>
        <v>1</v>
      </c>
      <c r="F264">
        <f t="shared" ca="1" si="60"/>
        <v>11</v>
      </c>
      <c r="G264">
        <f t="shared" ca="1" si="61"/>
        <v>4</v>
      </c>
      <c r="H264">
        <f t="shared" ca="1" si="62"/>
        <v>0</v>
      </c>
      <c r="I264">
        <f t="shared" ca="1" si="63"/>
        <v>0</v>
      </c>
      <c r="J264">
        <f t="shared" ca="1" si="55"/>
        <v>0</v>
      </c>
      <c r="K264">
        <f ca="1">IF(OR($C264="S",$C264=0),0,MATCH(OFFSET($D264,0,$C264)+IF($C264&lt;&gt;1,1,COUNTIF(QCI!$A$13:$A$24,ORÇAMENTO!E264)),OFFSET($D264,1,$C264,ROW($C$747)-ROW($C264)),0))</f>
        <v>0</v>
      </c>
      <c r="L264" s="116" t="str">
        <f t="shared" ca="1" si="64"/>
        <v/>
      </c>
      <c r="M264" s="117" t="s">
        <v>199</v>
      </c>
      <c r="N264" s="118" t="str">
        <f t="shared" ca="1" si="65"/>
        <v>Serviço</v>
      </c>
      <c r="O264" s="119" t="str">
        <f t="shared" ca="1" si="66"/>
        <v>-</v>
      </c>
      <c r="P264" s="120" t="s">
        <v>712</v>
      </c>
      <c r="Q264" s="121" t="s">
        <v>792</v>
      </c>
      <c r="R264" s="122" t="str">
        <f ca="1">IF($C264="S",REFERENCIA.Descricao,"(digite a descrição aqui)")</f>
        <v>(abra o arquivo 'Referência 02-2025.xlsm)</v>
      </c>
      <c r="S264" s="123" t="str">
        <f ca="1">REFERENCIA.Unidade</f>
        <v>-</v>
      </c>
      <c r="T264" s="124">
        <f ca="1">OFFSET(CÁLCULO!H$15,ROW($T264)-ROW(T$15),0)</f>
        <v>1.7</v>
      </c>
      <c r="U264" s="125">
        <f t="shared" ca="1" si="72"/>
        <v>0</v>
      </c>
      <c r="V264" s="126" t="s">
        <v>156</v>
      </c>
      <c r="W264" s="124">
        <f ca="1">IF($C264="S",ROUND(IF(TIPOORCAMENTO="Proposto",ORÇAMENTO.CustoUnitario*(1+$AH264),ORÇAMENTO.PrecoUnitarioLicitado),15-13*$AF$10),0)</f>
        <v>0</v>
      </c>
      <c r="X264" s="127">
        <f ca="1">IF($C264="S",IF(Import.TipoArredondamento&lt;&gt;"TransfereGOV",VTOTAL1,SUM(OFFSET(CÁLCULO!$AA$15,ROW($X264)-ROW($X$15),1):OFFSET(CÁLCULO!$AL$15,ROW($X264)-ROW($X$15),-1))),IF($C264=0,0,ROUND(SomaAgrup,15-13*$AF$11)))</f>
        <v>0</v>
      </c>
      <c r="Y264" s="128" t="s">
        <v>245</v>
      </c>
      <c r="Z264" t="str">
        <f t="shared" ca="1" si="67"/>
        <v/>
      </c>
      <c r="AA264" s="129">
        <f ca="1">IF($C264="S",IF($Z264="CP",$X264,IF($Z264="RA",(($X264)*QCI!$AA$3),0)),SomaAgrup)</f>
        <v>0</v>
      </c>
      <c r="AB264" s="130">
        <f t="shared" ca="1" si="68"/>
        <v>0</v>
      </c>
      <c r="AC264" s="131" t="str">
        <f ca="1">IF($N264="","",IF(ORÇAMENTO.Descricao="","DESCRIÇÃO",IF(AND($C264="S",ORÇAMENTO.Unidade=""),"UNIDADE",IF($X264&lt;0,"VALOR NEGATIVO",IF(OR(AND(TIPOORCAMENTO="Proposto",$AG264&lt;&gt;"",$AG264&gt;0,ORÇAMENTO.CustoUnitario&gt;$AG264),AND(TIPOORCAMENTO="LICITADO",ORÇAMENTO.PrecoUnitarioLicitado&gt;$AN264)),"ACIMA REF.","")))))</f>
        <v/>
      </c>
      <c r="AD264" t="str">
        <f ca="1">IF(C264&lt;=CRONO.NivelExibicao,MAX($AD$15:OFFSET(AD264,-1,0))+IF($C264&lt;&gt;1,1,MAX(1,COUNTIF(QCI!$A$13:$A$24,OFFSET($E264,-1,0)))),"")</f>
        <v/>
      </c>
      <c r="AE264" s="7" t="str">
        <f ca="1">IF(AND($C264="S",ORÇAMENTO.CodBarra&lt;&gt;""),IF(ORÇAMENTO.Fonte="",ORÇAMENTO.CodBarra,CONCATENATE(ORÇAMENTO.Fonte," ",ORÇAMENTO.CodBarra)))</f>
        <v>Composição FNDE 411</v>
      </c>
      <c r="AF264" s="13" t="str">
        <f ca="1">IF(ISERROR(INDIRECT(ORÇAMENTO.BancoRef)),"(abra o arquivo 'Referência "&amp;Excel_BuiltIn_Database&amp;".xlsm)",IF(OR($C264&lt;&gt;"S",ORÇAMENTO.CodBarra=""),"(Sem Código)",IF(ISERROR(MATCH($AE264,INDIRECT(ORÇAMENTO.BancoRef),0)),"(Código não identificado nas referências)",MATCH($AE264,INDIRECT(ORÇAMENTO.BancoRef),0))))</f>
        <v>(abra o arquivo 'Referência 02-2025.xlsm)</v>
      </c>
      <c r="AG264" s="498">
        <f ca="1">ROUND(IF(DESONERACAO="sim",REFERENCIA.Desonerado,REFERENCIA.NaoDesonerado),2)</f>
        <v>0</v>
      </c>
      <c r="AH264" s="499">
        <f t="shared" ca="1" si="69"/>
        <v>0.22470000000000001</v>
      </c>
      <c r="AJ264" s="501">
        <v>1.7</v>
      </c>
      <c r="AL264" s="527"/>
      <c r="AM264" s="381">
        <f t="shared" ca="1" si="70"/>
        <v>0</v>
      </c>
      <c r="AN264" s="566">
        <f t="shared" ca="1" si="71"/>
        <v>0</v>
      </c>
    </row>
    <row r="265" spans="1:40" ht="25.5" x14ac:dyDescent="0.2">
      <c r="A265" t="str">
        <f t="shared" si="56"/>
        <v>S</v>
      </c>
      <c r="B265">
        <f t="shared" ca="1" si="57"/>
        <v>3</v>
      </c>
      <c r="C265" t="str">
        <f t="shared" ca="1" si="58"/>
        <v>S</v>
      </c>
      <c r="D265">
        <f t="shared" ca="1" si="59"/>
        <v>0</v>
      </c>
      <c r="E265">
        <f ca="1">IF($C265=1,OFFSET(E265,-1,0)+MAX(1,COUNTIF(QCI!$A$13:$A$24,OFFSET(ORÇAMENTO!E265,-1,0))),OFFSET(E265,-1,0))</f>
        <v>1</v>
      </c>
      <c r="F265">
        <f t="shared" ca="1" si="60"/>
        <v>11</v>
      </c>
      <c r="G265">
        <f t="shared" ca="1" si="61"/>
        <v>4</v>
      </c>
      <c r="H265">
        <f t="shared" ca="1" si="62"/>
        <v>0</v>
      </c>
      <c r="I265">
        <f t="shared" ca="1" si="63"/>
        <v>0</v>
      </c>
      <c r="J265">
        <f t="shared" ca="1" si="55"/>
        <v>0</v>
      </c>
      <c r="K265">
        <f ca="1">IF(OR($C265="S",$C265=0),0,MATCH(OFFSET($D265,0,$C265)+IF($C265&lt;&gt;1,1,COUNTIF(QCI!$A$13:$A$24,ORÇAMENTO!E265)),OFFSET($D265,1,$C265,ROW($C$747)-ROW($C265)),0))</f>
        <v>0</v>
      </c>
      <c r="L265" s="116" t="str">
        <f t="shared" ca="1" si="64"/>
        <v/>
      </c>
      <c r="M265" s="117" t="s">
        <v>199</v>
      </c>
      <c r="N265" s="118" t="str">
        <f t="shared" ca="1" si="65"/>
        <v>Serviço</v>
      </c>
      <c r="O265" s="119" t="str">
        <f t="shared" ca="1" si="66"/>
        <v>-</v>
      </c>
      <c r="P265" s="120" t="s">
        <v>712</v>
      </c>
      <c r="Q265" s="121" t="s">
        <v>793</v>
      </c>
      <c r="R265" s="122" t="str">
        <f ca="1">IF($C265="S",REFERENCIA.Descricao,"(digite a descrição aqui)")</f>
        <v>(abra o arquivo 'Referência 02-2025.xlsm)</v>
      </c>
      <c r="S265" s="123" t="str">
        <f ca="1">REFERENCIA.Unidade</f>
        <v>-</v>
      </c>
      <c r="T265" s="124">
        <f ca="1">OFFSET(CÁLCULO!H$15,ROW($T265)-ROW(T$15),0)</f>
        <v>0.49</v>
      </c>
      <c r="U265" s="125">
        <f t="shared" ca="1" si="72"/>
        <v>0</v>
      </c>
      <c r="V265" s="126" t="s">
        <v>156</v>
      </c>
      <c r="W265" s="124">
        <f ca="1">IF($C265="S",ROUND(IF(TIPOORCAMENTO="Proposto",ORÇAMENTO.CustoUnitario*(1+$AH265),ORÇAMENTO.PrecoUnitarioLicitado),15-13*$AF$10),0)</f>
        <v>0</v>
      </c>
      <c r="X265" s="127">
        <f ca="1">IF($C265="S",IF(Import.TipoArredondamento&lt;&gt;"TransfereGOV",VTOTAL1,SUM(OFFSET(CÁLCULO!$AA$15,ROW($X265)-ROW($X$15),1):OFFSET(CÁLCULO!$AL$15,ROW($X265)-ROW($X$15),-1))),IF($C265=0,0,ROUND(SomaAgrup,15-13*$AF$11)))</f>
        <v>0</v>
      </c>
      <c r="Y265" s="128" t="s">
        <v>245</v>
      </c>
      <c r="Z265" t="str">
        <f t="shared" ca="1" si="67"/>
        <v/>
      </c>
      <c r="AA265" s="129">
        <f ca="1">IF($C265="S",IF($Z265="CP",$X265,IF($Z265="RA",(($X265)*QCI!$AA$3),0)),SomaAgrup)</f>
        <v>0</v>
      </c>
      <c r="AB265" s="130">
        <f t="shared" ca="1" si="68"/>
        <v>0</v>
      </c>
      <c r="AC265" s="131" t="str">
        <f ca="1">IF($N265="","",IF(ORÇAMENTO.Descricao="","DESCRIÇÃO",IF(AND($C265="S",ORÇAMENTO.Unidade=""),"UNIDADE",IF($X265&lt;0,"VALOR NEGATIVO",IF(OR(AND(TIPOORCAMENTO="Proposto",$AG265&lt;&gt;"",$AG265&gt;0,ORÇAMENTO.CustoUnitario&gt;$AG265),AND(TIPOORCAMENTO="LICITADO",ORÇAMENTO.PrecoUnitarioLicitado&gt;$AN265)),"ACIMA REF.","")))))</f>
        <v/>
      </c>
      <c r="AD265" t="str">
        <f ca="1">IF(C265&lt;=CRONO.NivelExibicao,MAX($AD$15:OFFSET(AD265,-1,0))+IF($C265&lt;&gt;1,1,MAX(1,COUNTIF(QCI!$A$13:$A$24,OFFSET($E265,-1,0)))),"")</f>
        <v/>
      </c>
      <c r="AE265" s="7" t="str">
        <f ca="1">IF(AND($C265="S",ORÇAMENTO.CodBarra&lt;&gt;""),IF(ORÇAMENTO.Fonte="",ORÇAMENTO.CodBarra,CONCATENATE(ORÇAMENTO.Fonte," ",ORÇAMENTO.CodBarra)))</f>
        <v>Composição FNDE 412</v>
      </c>
      <c r="AF265" s="13" t="str">
        <f ca="1">IF(ISERROR(INDIRECT(ORÇAMENTO.BancoRef)),"(abra o arquivo 'Referência "&amp;Excel_BuiltIn_Database&amp;".xlsm)",IF(OR($C265&lt;&gt;"S",ORÇAMENTO.CodBarra=""),"(Sem Código)",IF(ISERROR(MATCH($AE265,INDIRECT(ORÇAMENTO.BancoRef),0)),"(Código não identificado nas referências)",MATCH($AE265,INDIRECT(ORÇAMENTO.BancoRef),0))))</f>
        <v>(abra o arquivo 'Referência 02-2025.xlsm)</v>
      </c>
      <c r="AG265" s="498">
        <f ca="1">ROUND(IF(DESONERACAO="sim",REFERENCIA.Desonerado,REFERENCIA.NaoDesonerado),2)</f>
        <v>0</v>
      </c>
      <c r="AH265" s="499">
        <f t="shared" ca="1" si="69"/>
        <v>0.22470000000000001</v>
      </c>
      <c r="AJ265" s="501">
        <v>0.49</v>
      </c>
      <c r="AL265" s="527"/>
      <c r="AM265" s="381">
        <f t="shared" ca="1" si="70"/>
        <v>0</v>
      </c>
      <c r="AN265" s="566">
        <f t="shared" ca="1" si="71"/>
        <v>0</v>
      </c>
    </row>
    <row r="266" spans="1:40" x14ac:dyDescent="0.2">
      <c r="A266">
        <f t="shared" si="56"/>
        <v>2</v>
      </c>
      <c r="B266">
        <f t="shared" ca="1" si="57"/>
        <v>2</v>
      </c>
      <c r="C266">
        <f t="shared" ca="1" si="58"/>
        <v>2</v>
      </c>
      <c r="D266">
        <f t="shared" ca="1" si="59"/>
        <v>51</v>
      </c>
      <c r="E266">
        <f ca="1">IF($C266=1,OFFSET(E266,-1,0)+MAX(1,COUNTIF(QCI!$A$13:$A$24,OFFSET(ORÇAMENTO!E266,-1,0))),OFFSET(E266,-1,0))</f>
        <v>1</v>
      </c>
      <c r="F266">
        <f t="shared" ca="1" si="60"/>
        <v>12</v>
      </c>
      <c r="G266">
        <f t="shared" ca="1" si="61"/>
        <v>0</v>
      </c>
      <c r="H266">
        <f t="shared" ca="1" si="62"/>
        <v>0</v>
      </c>
      <c r="I266">
        <f t="shared" ca="1" si="63"/>
        <v>0</v>
      </c>
      <c r="J266">
        <f t="shared" ca="1" si="55"/>
        <v>481</v>
      </c>
      <c r="K266">
        <f ca="1">IF(OR($C266="S",$C266=0),0,MATCH(OFFSET($D266,0,$C266)+IF($C266&lt;&gt;1,1,COUNTIF(QCI!$A$13:$A$24,ORÇAMENTO!E266)),OFFSET($D266,1,$C266,ROW($C$747)-ROW($C266)),0))</f>
        <v>51</v>
      </c>
      <c r="L266" s="116" t="str">
        <f t="shared" ca="1" si="64"/>
        <v>F</v>
      </c>
      <c r="M266" s="117" t="s">
        <v>196</v>
      </c>
      <c r="N266" s="118" t="str">
        <f t="shared" ca="1" si="65"/>
        <v>Nível 2</v>
      </c>
      <c r="O266" s="119" t="str">
        <f t="shared" ca="1" si="66"/>
        <v>1.12.</v>
      </c>
      <c r="P266" s="120" t="s">
        <v>247</v>
      </c>
      <c r="Q266" s="121"/>
      <c r="R266" s="122" t="str">
        <f ca="1">IF($C266="S",REFERENCIA.Descricao,"INSTALAÇÃO HIDRÁULICA")</f>
        <v>INSTALAÇÃO HIDRÁULICA</v>
      </c>
      <c r="S266" s="123" t="str">
        <f ca="1">REFERENCIA.Unidade</f>
        <v>-</v>
      </c>
      <c r="T266" s="124">
        <f ca="1">OFFSET(CÁLCULO!H$15,ROW($T266)-ROW(T$15),0)</f>
        <v>0</v>
      </c>
      <c r="U266" s="125">
        <f t="shared" ca="1" si="72"/>
        <v>0</v>
      </c>
      <c r="V266" s="126" t="s">
        <v>156</v>
      </c>
      <c r="W266" s="124">
        <f ca="1">IF($C266="S",ROUND(IF(TIPOORCAMENTO="Proposto",ORÇAMENTO.CustoUnitario*(1+$AH266),ORÇAMENTO.PrecoUnitarioLicitado),15-13*$AF$10),0)</f>
        <v>0</v>
      </c>
      <c r="X266" s="127">
        <f ca="1">IF($C266="S",IF(Import.TipoArredondamento&lt;&gt;"TransfereGOV",VTOTAL1,SUM(OFFSET(CÁLCULO!$AA$15,ROW($X266)-ROW($X$15),1):OFFSET(CÁLCULO!$AL$15,ROW($X266)-ROW($X$15),-1))),IF($C266=0,0,ROUND(SomaAgrup,15-13*$AF$11)))</f>
        <v>0</v>
      </c>
      <c r="Y266" s="128" t="s">
        <v>245</v>
      </c>
      <c r="Z266" t="str">
        <f t="shared" ca="1" si="67"/>
        <v/>
      </c>
      <c r="AA266" s="129">
        <f ca="1">IF($C266="S",IF($Z266="CP",$X266,IF($Z266="RA",(($X266)*QCI!$AA$3),0)),SomaAgrup)</f>
        <v>0</v>
      </c>
      <c r="AB266" s="130">
        <f t="shared" ca="1" si="68"/>
        <v>0</v>
      </c>
      <c r="AC266" s="131" t="str">
        <f ca="1">IF($N266="","",IF(ORÇAMENTO.Descricao="","DESCRIÇÃO",IF(AND($C266="S",ORÇAMENTO.Unidade=""),"UNIDADE",IF($X266&lt;0,"VALOR NEGATIVO",IF(OR(AND(TIPOORCAMENTO="Proposto",$AG266&lt;&gt;"",$AG266&gt;0,ORÇAMENTO.CustoUnitario&gt;$AG266),AND(TIPOORCAMENTO="LICITADO",ORÇAMENTO.PrecoUnitarioLicitado&gt;$AN266)),"ACIMA REF.","")))))</f>
        <v/>
      </c>
      <c r="AD266">
        <f ca="1">IF(C266&lt;=CRONO.NivelExibicao,MAX($AD$15:OFFSET(AD266,-1,0))+IF($C266&lt;&gt;1,1,MAX(1,COUNTIF(QCI!$A$13:$A$24,OFFSET($E266,-1,0)))),"")</f>
        <v>13</v>
      </c>
      <c r="AE266" s="7" t="b">
        <f ca="1">IF(AND($C266="S",ORÇAMENTO.CodBarra&lt;&gt;""),IF(ORÇAMENTO.Fonte="",ORÇAMENTO.CodBarra,CONCATENATE(ORÇAMENTO.Fonte," ",ORÇAMENTO.CodBarra)))</f>
        <v>0</v>
      </c>
      <c r="AF266" s="13" t="str">
        <f ca="1">IF(ISERROR(INDIRECT(ORÇAMENTO.BancoRef)),"(abra o arquivo 'Referência "&amp;Excel_BuiltIn_Database&amp;".xlsm)",IF(OR($C266&lt;&gt;"S",ORÇAMENTO.CodBarra=""),"(Sem Código)",IF(ISERROR(MATCH($AE266,INDIRECT(ORÇAMENTO.BancoRef),0)),"(Código não identificado nas referências)",MATCH($AE266,INDIRECT(ORÇAMENTO.BancoRef),0))))</f>
        <v>(abra o arquivo 'Referência 02-2025.xlsm)</v>
      </c>
      <c r="AG266" s="498">
        <f ca="1">ROUND(IF(DESONERACAO="sim",REFERENCIA.Desonerado,REFERENCIA.NaoDesonerado),2)</f>
        <v>0</v>
      </c>
      <c r="AH266" s="499">
        <f t="shared" ca="1" si="69"/>
        <v>0.22470000000000001</v>
      </c>
      <c r="AJ266" s="501"/>
      <c r="AL266" s="527"/>
      <c r="AM266" s="381">
        <f t="shared" ca="1" si="70"/>
        <v>0</v>
      </c>
      <c r="AN266" s="566">
        <f t="shared" ca="1" si="71"/>
        <v>0</v>
      </c>
    </row>
    <row r="267" spans="1:40" x14ac:dyDescent="0.2">
      <c r="A267">
        <f t="shared" si="56"/>
        <v>3</v>
      </c>
      <c r="B267">
        <f t="shared" ca="1" si="57"/>
        <v>3</v>
      </c>
      <c r="C267">
        <f t="shared" ca="1" si="58"/>
        <v>3</v>
      </c>
      <c r="D267">
        <f t="shared" ca="1" si="59"/>
        <v>39</v>
      </c>
      <c r="E267">
        <f ca="1">IF($C267=1,OFFSET(E267,-1,0)+MAX(1,COUNTIF(QCI!$A$13:$A$24,OFFSET(ORÇAMENTO!E267,-1,0))),OFFSET(E267,-1,0))</f>
        <v>1</v>
      </c>
      <c r="F267">
        <f t="shared" ca="1" si="60"/>
        <v>12</v>
      </c>
      <c r="G267">
        <f t="shared" ca="1" si="61"/>
        <v>1</v>
      </c>
      <c r="H267">
        <f t="shared" ca="1" si="62"/>
        <v>0</v>
      </c>
      <c r="I267">
        <f t="shared" ca="1" si="63"/>
        <v>0</v>
      </c>
      <c r="J267">
        <f t="shared" ca="1" si="55"/>
        <v>50</v>
      </c>
      <c r="K267">
        <f ca="1">IF(OR($C267="S",$C267=0),0,MATCH(OFFSET($D267,0,$C267)+IF($C267&lt;&gt;1,1,COUNTIF(QCI!$A$13:$A$24,ORÇAMENTO!E267)),OFFSET($D267,1,$C267,ROW($C$747)-ROW($C267)),0))</f>
        <v>39</v>
      </c>
      <c r="L267" s="116" t="str">
        <f t="shared" ca="1" si="64"/>
        <v>F</v>
      </c>
      <c r="M267" s="117" t="s">
        <v>197</v>
      </c>
      <c r="N267" s="118" t="str">
        <f t="shared" ca="1" si="65"/>
        <v>Nível 3</v>
      </c>
      <c r="O267" s="119" t="str">
        <f t="shared" ca="1" si="66"/>
        <v>1.12.1.</v>
      </c>
      <c r="P267" s="120" t="s">
        <v>247</v>
      </c>
      <c r="Q267" s="121"/>
      <c r="R267" s="122" t="str">
        <f ca="1">IF($C267="S",REFERENCIA.Descricao,"TUBULAÇÕES E CONEXÕES DE PVC RÍGIDO")</f>
        <v>TUBULAÇÕES E CONEXÕES DE PVC RÍGIDO</v>
      </c>
      <c r="S267" s="123" t="str">
        <f ca="1">REFERENCIA.Unidade</f>
        <v>-</v>
      </c>
      <c r="T267" s="124">
        <f ca="1">OFFSET(CÁLCULO!H$15,ROW($T267)-ROW(T$15),0)</f>
        <v>0</v>
      </c>
      <c r="U267" s="125">
        <f t="shared" ca="1" si="72"/>
        <v>0</v>
      </c>
      <c r="V267" s="126" t="s">
        <v>156</v>
      </c>
      <c r="W267" s="124">
        <f ca="1">IF($C267="S",ROUND(IF(TIPOORCAMENTO="Proposto",ORÇAMENTO.CustoUnitario*(1+$AH267),ORÇAMENTO.PrecoUnitarioLicitado),15-13*$AF$10),0)</f>
        <v>0</v>
      </c>
      <c r="X267" s="127">
        <f ca="1">IF($C267="S",IF(Import.TipoArredondamento&lt;&gt;"TransfereGOV",VTOTAL1,SUM(OFFSET(CÁLCULO!$AA$15,ROW($X267)-ROW($X$15),1):OFFSET(CÁLCULO!$AL$15,ROW($X267)-ROW($X$15),-1))),IF($C267=0,0,ROUND(SomaAgrup,15-13*$AF$11)))</f>
        <v>0</v>
      </c>
      <c r="Y267" s="128" t="s">
        <v>245</v>
      </c>
      <c r="Z267" t="str">
        <f t="shared" ca="1" si="67"/>
        <v/>
      </c>
      <c r="AA267" s="129">
        <f ca="1">IF($C267="S",IF($Z267="CP",$X267,IF($Z267="RA",(($X267)*QCI!$AA$3),0)),SomaAgrup)</f>
        <v>0</v>
      </c>
      <c r="AB267" s="130">
        <f t="shared" ca="1" si="68"/>
        <v>0</v>
      </c>
      <c r="AC267" s="131" t="str">
        <f ca="1">IF($N267="","",IF(ORÇAMENTO.Descricao="","DESCRIÇÃO",IF(AND($C267="S",ORÇAMENTO.Unidade=""),"UNIDADE",IF($X267&lt;0,"VALOR NEGATIVO",IF(OR(AND(TIPOORCAMENTO="Proposto",$AG267&lt;&gt;"",$AG267&gt;0,ORÇAMENTO.CustoUnitario&gt;$AG267),AND(TIPOORCAMENTO="LICITADO",ORÇAMENTO.PrecoUnitarioLicitado&gt;$AN267)),"ACIMA REF.","")))))</f>
        <v/>
      </c>
      <c r="AD267" t="str">
        <f ca="1">IF(C267&lt;=CRONO.NivelExibicao,MAX($AD$15:OFFSET(AD267,-1,0))+IF($C267&lt;&gt;1,1,MAX(1,COUNTIF(QCI!$A$13:$A$24,OFFSET($E267,-1,0)))),"")</f>
        <v/>
      </c>
      <c r="AE267" s="7" t="b">
        <f ca="1">IF(AND($C267="S",ORÇAMENTO.CodBarra&lt;&gt;""),IF(ORÇAMENTO.Fonte="",ORÇAMENTO.CodBarra,CONCATENATE(ORÇAMENTO.Fonte," ",ORÇAMENTO.CodBarra)))</f>
        <v>0</v>
      </c>
      <c r="AF267" s="13" t="str">
        <f ca="1">IF(ISERROR(INDIRECT(ORÇAMENTO.BancoRef)),"(abra o arquivo 'Referência "&amp;Excel_BuiltIn_Database&amp;".xlsm)",IF(OR($C267&lt;&gt;"S",ORÇAMENTO.CodBarra=""),"(Sem Código)",IF(ISERROR(MATCH($AE267,INDIRECT(ORÇAMENTO.BancoRef),0)),"(Código não identificado nas referências)",MATCH($AE267,INDIRECT(ORÇAMENTO.BancoRef),0))))</f>
        <v>(abra o arquivo 'Referência 02-2025.xlsm)</v>
      </c>
      <c r="AG267" s="498">
        <f ca="1">ROUND(IF(DESONERACAO="sim",REFERENCIA.Desonerado,REFERENCIA.NaoDesonerado),2)</f>
        <v>0</v>
      </c>
      <c r="AH267" s="499">
        <f t="shared" ca="1" si="69"/>
        <v>0.22470000000000001</v>
      </c>
      <c r="AJ267" s="501"/>
      <c r="AL267" s="527"/>
      <c r="AM267" s="381">
        <f t="shared" ca="1" si="70"/>
        <v>0</v>
      </c>
      <c r="AN267" s="566">
        <f t="shared" ca="1" si="71"/>
        <v>0</v>
      </c>
    </row>
    <row r="268" spans="1:40" ht="25.5" x14ac:dyDescent="0.2">
      <c r="A268" t="str">
        <f t="shared" si="56"/>
        <v>S</v>
      </c>
      <c r="B268">
        <f t="shared" ca="1" si="57"/>
        <v>3</v>
      </c>
      <c r="C268" t="str">
        <f t="shared" ca="1" si="58"/>
        <v>S</v>
      </c>
      <c r="D268">
        <f t="shared" ca="1" si="59"/>
        <v>0</v>
      </c>
      <c r="E268">
        <f ca="1">IF($C268=1,OFFSET(E268,-1,0)+MAX(1,COUNTIF(QCI!$A$13:$A$24,OFFSET(ORÇAMENTO!E268,-1,0))),OFFSET(E268,-1,0))</f>
        <v>1</v>
      </c>
      <c r="F268">
        <f t="shared" ca="1" si="60"/>
        <v>12</v>
      </c>
      <c r="G268">
        <f t="shared" ca="1" si="61"/>
        <v>1</v>
      </c>
      <c r="H268">
        <f t="shared" ca="1" si="62"/>
        <v>0</v>
      </c>
      <c r="I268">
        <f t="shared" ca="1" si="63"/>
        <v>0</v>
      </c>
      <c r="J268">
        <f t="shared" ca="1" si="55"/>
        <v>0</v>
      </c>
      <c r="K268">
        <f ca="1">IF(OR($C268="S",$C268=0),0,MATCH(OFFSET($D268,0,$C268)+IF($C268&lt;&gt;1,1,COUNTIF(QCI!$A$13:$A$24,ORÇAMENTO!E268)),OFFSET($D268,1,$C268,ROW($C$747)-ROW($C268)),0))</f>
        <v>0</v>
      </c>
      <c r="L268" s="116" t="str">
        <f t="shared" ca="1" si="64"/>
        <v/>
      </c>
      <c r="M268" s="117" t="s">
        <v>199</v>
      </c>
      <c r="N268" s="118" t="str">
        <f t="shared" ca="1" si="65"/>
        <v>Serviço</v>
      </c>
      <c r="O268" s="119" t="str">
        <f t="shared" ca="1" si="66"/>
        <v>-</v>
      </c>
      <c r="P268" s="120" t="s">
        <v>247</v>
      </c>
      <c r="Q268" s="121" t="s">
        <v>504</v>
      </c>
      <c r="R268" s="122" t="str">
        <f ca="1">IF($C268="S",REFERENCIA.Descricao,"(digite a descrição aqui)")</f>
        <v>(abra o arquivo 'Referência 02-2025.xlsm)</v>
      </c>
      <c r="S268" s="123" t="str">
        <f ca="1">REFERENCIA.Unidade</f>
        <v>-</v>
      </c>
      <c r="T268" s="124">
        <f ca="1">OFFSET(CÁLCULO!H$15,ROW($T268)-ROW(T$15),0)</f>
        <v>407.4</v>
      </c>
      <c r="U268" s="125">
        <f t="shared" ca="1" si="72"/>
        <v>0</v>
      </c>
      <c r="V268" s="126" t="s">
        <v>156</v>
      </c>
      <c r="W268" s="124">
        <f ca="1">IF($C268="S",ROUND(IF(TIPOORCAMENTO="Proposto",ORÇAMENTO.CustoUnitario*(1+$AH268),ORÇAMENTO.PrecoUnitarioLicitado),15-13*$AF$10),0)</f>
        <v>0</v>
      </c>
      <c r="X268" s="127">
        <f ca="1">IF($C268="S",IF(Import.TipoArredondamento&lt;&gt;"TransfereGOV",VTOTAL1,SUM(OFFSET(CÁLCULO!$AA$15,ROW($X268)-ROW($X$15),1):OFFSET(CÁLCULO!$AL$15,ROW($X268)-ROW($X$15),-1))),IF($C268=0,0,ROUND(SomaAgrup,15-13*$AF$11)))</f>
        <v>0</v>
      </c>
      <c r="Y268" s="128" t="s">
        <v>245</v>
      </c>
      <c r="Z268" t="str">
        <f t="shared" ca="1" si="67"/>
        <v/>
      </c>
      <c r="AA268" s="129">
        <f ca="1">IF($C268="S",IF($Z268="CP",$X268,IF($Z268="RA",(($X268)*QCI!$AA$3),0)),SomaAgrup)</f>
        <v>0</v>
      </c>
      <c r="AB268" s="130">
        <f t="shared" ca="1" si="68"/>
        <v>0</v>
      </c>
      <c r="AC268" s="131" t="str">
        <f ca="1">IF($N268="","",IF(ORÇAMENTO.Descricao="","DESCRIÇÃO",IF(AND($C268="S",ORÇAMENTO.Unidade=""),"UNIDADE",IF($X268&lt;0,"VALOR NEGATIVO",IF(OR(AND(TIPOORCAMENTO="Proposto",$AG268&lt;&gt;"",$AG268&gt;0,ORÇAMENTO.CustoUnitario&gt;$AG268),AND(TIPOORCAMENTO="LICITADO",ORÇAMENTO.PrecoUnitarioLicitado&gt;$AN268)),"ACIMA REF.","")))))</f>
        <v/>
      </c>
      <c r="AD268" t="str">
        <f ca="1">IF(C268&lt;=CRONO.NivelExibicao,MAX($AD$15:OFFSET(AD268,-1,0))+IF($C268&lt;&gt;1,1,MAX(1,COUNTIF(QCI!$A$13:$A$24,OFFSET($E268,-1,0)))),"")</f>
        <v/>
      </c>
      <c r="AE268" s="7" t="str">
        <f ca="1">IF(AND($C268="S",ORÇAMENTO.CodBarra&lt;&gt;""),IF(ORÇAMENTO.Fonte="",ORÇAMENTO.CodBarra,CONCATENATE(ORÇAMENTO.Fonte," ",ORÇAMENTO.CodBarra)))</f>
        <v>SINAPI 89356</v>
      </c>
      <c r="AF268" s="13" t="str">
        <f ca="1">IF(ISERROR(INDIRECT(ORÇAMENTO.BancoRef)),"(abra o arquivo 'Referência "&amp;Excel_BuiltIn_Database&amp;".xlsm)",IF(OR($C268&lt;&gt;"S",ORÇAMENTO.CodBarra=""),"(Sem Código)",IF(ISERROR(MATCH($AE268,INDIRECT(ORÇAMENTO.BancoRef),0)),"(Código não identificado nas referências)",MATCH($AE268,INDIRECT(ORÇAMENTO.BancoRef),0))))</f>
        <v>(abra o arquivo 'Referência 02-2025.xlsm)</v>
      </c>
      <c r="AG268" s="498">
        <f ca="1">ROUND(IF(DESONERACAO="sim",REFERENCIA.Desonerado,REFERENCIA.NaoDesonerado),2)</f>
        <v>0</v>
      </c>
      <c r="AH268" s="499">
        <f t="shared" ca="1" si="69"/>
        <v>0.22470000000000001</v>
      </c>
      <c r="AJ268" s="501">
        <v>407.4</v>
      </c>
      <c r="AL268" s="527"/>
      <c r="AM268" s="381">
        <f t="shared" ca="1" si="70"/>
        <v>0</v>
      </c>
      <c r="AN268" s="566">
        <f t="shared" ca="1" si="71"/>
        <v>0</v>
      </c>
    </row>
    <row r="269" spans="1:40" ht="38.25" x14ac:dyDescent="0.2">
      <c r="A269" t="str">
        <f t="shared" si="56"/>
        <v>S</v>
      </c>
      <c r="B269">
        <f t="shared" ca="1" si="57"/>
        <v>3</v>
      </c>
      <c r="C269" t="str">
        <f t="shared" ca="1" si="58"/>
        <v>S</v>
      </c>
      <c r="D269">
        <f t="shared" ca="1" si="59"/>
        <v>0</v>
      </c>
      <c r="E269">
        <f ca="1">IF($C269=1,OFFSET(E269,-1,0)+MAX(1,COUNTIF(QCI!$A$13:$A$24,OFFSET(ORÇAMENTO!E269,-1,0))),OFFSET(E269,-1,0))</f>
        <v>1</v>
      </c>
      <c r="F269">
        <f t="shared" ca="1" si="60"/>
        <v>12</v>
      </c>
      <c r="G269">
        <f t="shared" ca="1" si="61"/>
        <v>1</v>
      </c>
      <c r="H269">
        <f t="shared" ca="1" si="62"/>
        <v>0</v>
      </c>
      <c r="I269">
        <f t="shared" ca="1" si="63"/>
        <v>0</v>
      </c>
      <c r="J269">
        <f t="shared" ca="1" si="55"/>
        <v>0</v>
      </c>
      <c r="K269">
        <f ca="1">IF(OR($C269="S",$C269=0),0,MATCH(OFFSET($D269,0,$C269)+IF($C269&lt;&gt;1,1,COUNTIF(QCI!$A$13:$A$24,ORÇAMENTO!E269)),OFFSET($D269,1,$C269,ROW($C$747)-ROW($C269)),0))</f>
        <v>0</v>
      </c>
      <c r="L269" s="116" t="str">
        <f t="shared" ca="1" si="64"/>
        <v/>
      </c>
      <c r="M269" s="117" t="s">
        <v>199</v>
      </c>
      <c r="N269" s="118" t="str">
        <f t="shared" ca="1" si="65"/>
        <v>Serviço</v>
      </c>
      <c r="O269" s="119" t="str">
        <f t="shared" ca="1" si="66"/>
        <v>-</v>
      </c>
      <c r="P269" s="120" t="s">
        <v>247</v>
      </c>
      <c r="Q269" s="121" t="s">
        <v>505</v>
      </c>
      <c r="R269" s="122" t="str">
        <f ca="1">IF($C269="S",REFERENCIA.Descricao,"(digite a descrição aqui)")</f>
        <v>(abra o arquivo 'Referência 02-2025.xlsm)</v>
      </c>
      <c r="S269" s="123" t="str">
        <f ca="1">REFERENCIA.Unidade</f>
        <v>-</v>
      </c>
      <c r="T269" s="124">
        <f ca="1">OFFSET(CÁLCULO!H$15,ROW($T269)-ROW(T$15),0)</f>
        <v>15.5</v>
      </c>
      <c r="U269" s="125">
        <f t="shared" ca="1" si="72"/>
        <v>0</v>
      </c>
      <c r="V269" s="126" t="s">
        <v>156</v>
      </c>
      <c r="W269" s="124">
        <f ca="1">IF($C269="S",ROUND(IF(TIPOORCAMENTO="Proposto",ORÇAMENTO.CustoUnitario*(1+$AH269),ORÇAMENTO.PrecoUnitarioLicitado),15-13*$AF$10),0)</f>
        <v>0</v>
      </c>
      <c r="X269" s="127">
        <f ca="1">IF($C269="S",IF(Import.TipoArredondamento&lt;&gt;"TransfereGOV",VTOTAL1,SUM(OFFSET(CÁLCULO!$AA$15,ROW($X269)-ROW($X$15),1):OFFSET(CÁLCULO!$AL$15,ROW($X269)-ROW($X$15),-1))),IF($C269=0,0,ROUND(SomaAgrup,15-13*$AF$11)))</f>
        <v>0</v>
      </c>
      <c r="Y269" s="128" t="s">
        <v>245</v>
      </c>
      <c r="Z269" t="str">
        <f t="shared" ca="1" si="67"/>
        <v/>
      </c>
      <c r="AA269" s="129">
        <f ca="1">IF($C269="S",IF($Z269="CP",$X269,IF($Z269="RA",(($X269)*QCI!$AA$3),0)),SomaAgrup)</f>
        <v>0</v>
      </c>
      <c r="AB269" s="130">
        <f t="shared" ca="1" si="68"/>
        <v>0</v>
      </c>
      <c r="AC269" s="131" t="str">
        <f ca="1">IF($N269="","",IF(ORÇAMENTO.Descricao="","DESCRIÇÃO",IF(AND($C269="S",ORÇAMENTO.Unidade=""),"UNIDADE",IF($X269&lt;0,"VALOR NEGATIVO",IF(OR(AND(TIPOORCAMENTO="Proposto",$AG269&lt;&gt;"",$AG269&gt;0,ORÇAMENTO.CustoUnitario&gt;$AG269),AND(TIPOORCAMENTO="LICITADO",ORÇAMENTO.PrecoUnitarioLicitado&gt;$AN269)),"ACIMA REF.","")))))</f>
        <v/>
      </c>
      <c r="AD269" t="str">
        <f ca="1">IF(C269&lt;=CRONO.NivelExibicao,MAX($AD$15:OFFSET(AD269,-1,0))+IF($C269&lt;&gt;1,1,MAX(1,COUNTIF(QCI!$A$13:$A$24,OFFSET($E269,-1,0)))),"")</f>
        <v/>
      </c>
      <c r="AE269" s="7" t="str">
        <f ca="1">IF(AND($C269="S",ORÇAMENTO.CodBarra&lt;&gt;""),IF(ORÇAMENTO.Fonte="",ORÇAMENTO.CodBarra,CONCATENATE(ORÇAMENTO.Fonte," ",ORÇAMENTO.CodBarra)))</f>
        <v>SINAPI 103978</v>
      </c>
      <c r="AF269" s="13" t="str">
        <f ca="1">IF(ISERROR(INDIRECT(ORÇAMENTO.BancoRef)),"(abra o arquivo 'Referência "&amp;Excel_BuiltIn_Database&amp;".xlsm)",IF(OR($C269&lt;&gt;"S",ORÇAMENTO.CodBarra=""),"(Sem Código)",IF(ISERROR(MATCH($AE269,INDIRECT(ORÇAMENTO.BancoRef),0)),"(Código não identificado nas referências)",MATCH($AE269,INDIRECT(ORÇAMENTO.BancoRef),0))))</f>
        <v>(abra o arquivo 'Referência 02-2025.xlsm)</v>
      </c>
      <c r="AG269" s="498">
        <f ca="1">ROUND(IF(DESONERACAO="sim",REFERENCIA.Desonerado,REFERENCIA.NaoDesonerado),2)</f>
        <v>0</v>
      </c>
      <c r="AH269" s="499">
        <f t="shared" ca="1" si="69"/>
        <v>0.22470000000000001</v>
      </c>
      <c r="AJ269" s="501">
        <v>15.5</v>
      </c>
      <c r="AL269" s="527"/>
      <c r="AM269" s="381">
        <f t="shared" ca="1" si="70"/>
        <v>0</v>
      </c>
      <c r="AN269" s="566">
        <f t="shared" ca="1" si="71"/>
        <v>0</v>
      </c>
    </row>
    <row r="270" spans="1:40" ht="38.25" x14ac:dyDescent="0.2">
      <c r="A270" t="str">
        <f t="shared" si="56"/>
        <v>S</v>
      </c>
      <c r="B270">
        <f t="shared" ca="1" si="57"/>
        <v>3</v>
      </c>
      <c r="C270" t="str">
        <f t="shared" ca="1" si="58"/>
        <v>S</v>
      </c>
      <c r="D270">
        <f t="shared" ca="1" si="59"/>
        <v>0</v>
      </c>
      <c r="E270">
        <f ca="1">IF($C270=1,OFFSET(E270,-1,0)+MAX(1,COUNTIF(QCI!$A$13:$A$24,OFFSET(ORÇAMENTO!E270,-1,0))),OFFSET(E270,-1,0))</f>
        <v>1</v>
      </c>
      <c r="F270">
        <f t="shared" ca="1" si="60"/>
        <v>12</v>
      </c>
      <c r="G270">
        <f t="shared" ca="1" si="61"/>
        <v>1</v>
      </c>
      <c r="H270">
        <f t="shared" ca="1" si="62"/>
        <v>0</v>
      </c>
      <c r="I270">
        <f t="shared" ca="1" si="63"/>
        <v>0</v>
      </c>
      <c r="J270">
        <f t="shared" ca="1" si="55"/>
        <v>0</v>
      </c>
      <c r="K270">
        <f ca="1">IF(OR($C270="S",$C270=0),0,MATCH(OFFSET($D270,0,$C270)+IF($C270&lt;&gt;1,1,COUNTIF(QCI!$A$13:$A$24,ORÇAMENTO!E270)),OFFSET($D270,1,$C270,ROW($C$747)-ROW($C270)),0))</f>
        <v>0</v>
      </c>
      <c r="L270" s="116" t="str">
        <f t="shared" ca="1" si="64"/>
        <v/>
      </c>
      <c r="M270" s="117" t="s">
        <v>199</v>
      </c>
      <c r="N270" s="118" t="str">
        <f t="shared" ca="1" si="65"/>
        <v>Serviço</v>
      </c>
      <c r="O270" s="119" t="str">
        <f t="shared" ca="1" si="66"/>
        <v>-</v>
      </c>
      <c r="P270" s="120" t="s">
        <v>247</v>
      </c>
      <c r="Q270" s="121" t="s">
        <v>506</v>
      </c>
      <c r="R270" s="122" t="str">
        <f ca="1">IF($C270="S",REFERENCIA.Descricao,"(digite a descrição aqui)")</f>
        <v>(abra o arquivo 'Referência 02-2025.xlsm)</v>
      </c>
      <c r="S270" s="123" t="str">
        <f ca="1">REFERENCIA.Unidade</f>
        <v>-</v>
      </c>
      <c r="T270" s="124">
        <f ca="1">OFFSET(CÁLCULO!H$15,ROW($T270)-ROW(T$15),0)</f>
        <v>51.5</v>
      </c>
      <c r="U270" s="125">
        <f t="shared" ca="1" si="72"/>
        <v>0</v>
      </c>
      <c r="V270" s="126" t="s">
        <v>156</v>
      </c>
      <c r="W270" s="124">
        <f ca="1">IF($C270="S",ROUND(IF(TIPOORCAMENTO="Proposto",ORÇAMENTO.CustoUnitario*(1+$AH270),ORÇAMENTO.PrecoUnitarioLicitado),15-13*$AF$10),0)</f>
        <v>0</v>
      </c>
      <c r="X270" s="127">
        <f ca="1">IF($C270="S",IF(Import.TipoArredondamento&lt;&gt;"TransfereGOV",VTOTAL1,SUM(OFFSET(CÁLCULO!$AA$15,ROW($X270)-ROW($X$15),1):OFFSET(CÁLCULO!$AL$15,ROW($X270)-ROW($X$15),-1))),IF($C270=0,0,ROUND(SomaAgrup,15-13*$AF$11)))</f>
        <v>0</v>
      </c>
      <c r="Y270" s="128" t="s">
        <v>245</v>
      </c>
      <c r="Z270" t="str">
        <f t="shared" ca="1" si="67"/>
        <v/>
      </c>
      <c r="AA270" s="129">
        <f ca="1">IF($C270="S",IF($Z270="CP",$X270,IF($Z270="RA",(($X270)*QCI!$AA$3),0)),SomaAgrup)</f>
        <v>0</v>
      </c>
      <c r="AB270" s="130">
        <f t="shared" ca="1" si="68"/>
        <v>0</v>
      </c>
      <c r="AC270" s="131" t="str">
        <f ca="1">IF($N270="","",IF(ORÇAMENTO.Descricao="","DESCRIÇÃO",IF(AND($C270="S",ORÇAMENTO.Unidade=""),"UNIDADE",IF($X270&lt;0,"VALOR NEGATIVO",IF(OR(AND(TIPOORCAMENTO="Proposto",$AG270&lt;&gt;"",$AG270&gt;0,ORÇAMENTO.CustoUnitario&gt;$AG270),AND(TIPOORCAMENTO="LICITADO",ORÇAMENTO.PrecoUnitarioLicitado&gt;$AN270)),"ACIMA REF.","")))))</f>
        <v/>
      </c>
      <c r="AD270" t="str">
        <f ca="1">IF(C270&lt;=CRONO.NivelExibicao,MAX($AD$15:OFFSET(AD270,-1,0))+IF($C270&lt;&gt;1,1,MAX(1,COUNTIF(QCI!$A$13:$A$24,OFFSET($E270,-1,0)))),"")</f>
        <v/>
      </c>
      <c r="AE270" s="7" t="str">
        <f ca="1">IF(AND($C270="S",ORÇAMENTO.CodBarra&lt;&gt;""),IF(ORÇAMENTO.Fonte="",ORÇAMENTO.CodBarra,CONCATENATE(ORÇAMENTO.Fonte," ",ORÇAMENTO.CodBarra)))</f>
        <v>SINAPI 103979</v>
      </c>
      <c r="AF270" s="13" t="str">
        <f ca="1">IF(ISERROR(INDIRECT(ORÇAMENTO.BancoRef)),"(abra o arquivo 'Referência "&amp;Excel_BuiltIn_Database&amp;".xlsm)",IF(OR($C270&lt;&gt;"S",ORÇAMENTO.CodBarra=""),"(Sem Código)",IF(ISERROR(MATCH($AE270,INDIRECT(ORÇAMENTO.BancoRef),0)),"(Código não identificado nas referências)",MATCH($AE270,INDIRECT(ORÇAMENTO.BancoRef),0))))</f>
        <v>(abra o arquivo 'Referência 02-2025.xlsm)</v>
      </c>
      <c r="AG270" s="498">
        <f ca="1">ROUND(IF(DESONERACAO="sim",REFERENCIA.Desonerado,REFERENCIA.NaoDesonerado),2)</f>
        <v>0</v>
      </c>
      <c r="AH270" s="499">
        <f t="shared" ca="1" si="69"/>
        <v>0.22470000000000001</v>
      </c>
      <c r="AJ270" s="501">
        <v>51.5</v>
      </c>
      <c r="AL270" s="527"/>
      <c r="AM270" s="381">
        <f t="shared" ca="1" si="70"/>
        <v>0</v>
      </c>
      <c r="AN270" s="566">
        <f t="shared" ca="1" si="71"/>
        <v>0</v>
      </c>
    </row>
    <row r="271" spans="1:40" ht="25.5" x14ac:dyDescent="0.2">
      <c r="A271" t="str">
        <f t="shared" si="56"/>
        <v>S</v>
      </c>
      <c r="B271">
        <f t="shared" ca="1" si="57"/>
        <v>3</v>
      </c>
      <c r="C271" t="str">
        <f t="shared" ca="1" si="58"/>
        <v>S</v>
      </c>
      <c r="D271">
        <f t="shared" ca="1" si="59"/>
        <v>0</v>
      </c>
      <c r="E271">
        <f ca="1">IF($C271=1,OFFSET(E271,-1,0)+MAX(1,COUNTIF(QCI!$A$13:$A$24,OFFSET(ORÇAMENTO!E271,-1,0))),OFFSET(E271,-1,0))</f>
        <v>1</v>
      </c>
      <c r="F271">
        <f t="shared" ca="1" si="60"/>
        <v>12</v>
      </c>
      <c r="G271">
        <f t="shared" ca="1" si="61"/>
        <v>1</v>
      </c>
      <c r="H271">
        <f t="shared" ca="1" si="62"/>
        <v>0</v>
      </c>
      <c r="I271">
        <f t="shared" ca="1" si="63"/>
        <v>0</v>
      </c>
      <c r="J271">
        <f t="shared" ca="1" si="55"/>
        <v>0</v>
      </c>
      <c r="K271">
        <f ca="1">IF(OR($C271="S",$C271=0),0,MATCH(OFFSET($D271,0,$C271)+IF($C271&lt;&gt;1,1,COUNTIF(QCI!$A$13:$A$24,ORÇAMENTO!E271)),OFFSET($D271,1,$C271,ROW($C$747)-ROW($C271)),0))</f>
        <v>0</v>
      </c>
      <c r="L271" s="116" t="str">
        <f t="shared" ca="1" si="64"/>
        <v/>
      </c>
      <c r="M271" s="117" t="s">
        <v>199</v>
      </c>
      <c r="N271" s="118" t="str">
        <f t="shared" ca="1" si="65"/>
        <v>Serviço</v>
      </c>
      <c r="O271" s="119" t="str">
        <f t="shared" ca="1" si="66"/>
        <v>-</v>
      </c>
      <c r="P271" s="120" t="s">
        <v>247</v>
      </c>
      <c r="Q271" s="121" t="s">
        <v>507</v>
      </c>
      <c r="R271" s="122" t="str">
        <f ca="1">IF($C271="S",REFERENCIA.Descricao,"(digite a descrição aqui)")</f>
        <v>(abra o arquivo 'Referência 02-2025.xlsm)</v>
      </c>
      <c r="S271" s="123" t="str">
        <f ca="1">REFERENCIA.Unidade</f>
        <v>-</v>
      </c>
      <c r="T271" s="124">
        <f ca="1">OFFSET(CÁLCULO!H$15,ROW($T271)-ROW(T$15),0)</f>
        <v>44.5</v>
      </c>
      <c r="U271" s="125">
        <f t="shared" ca="1" si="72"/>
        <v>0</v>
      </c>
      <c r="V271" s="126" t="s">
        <v>156</v>
      </c>
      <c r="W271" s="124">
        <f ca="1">IF($C271="S",ROUND(IF(TIPOORCAMENTO="Proposto",ORÇAMENTO.CustoUnitario*(1+$AH271),ORÇAMENTO.PrecoUnitarioLicitado),15-13*$AF$10),0)</f>
        <v>0</v>
      </c>
      <c r="X271" s="127">
        <f ca="1">IF($C271="S",IF(Import.TipoArredondamento&lt;&gt;"TransfereGOV",VTOTAL1,SUM(OFFSET(CÁLCULO!$AA$15,ROW($X271)-ROW($X$15),1):OFFSET(CÁLCULO!$AL$15,ROW($X271)-ROW($X$15),-1))),IF($C271=0,0,ROUND(SomaAgrup,15-13*$AF$11)))</f>
        <v>0</v>
      </c>
      <c r="Y271" s="128" t="s">
        <v>245</v>
      </c>
      <c r="Z271" t="str">
        <f t="shared" ca="1" si="67"/>
        <v/>
      </c>
      <c r="AA271" s="129">
        <f ca="1">IF($C271="S",IF($Z271="CP",$X271,IF($Z271="RA",(($X271)*QCI!$AA$3),0)),SomaAgrup)</f>
        <v>0</v>
      </c>
      <c r="AB271" s="130">
        <f t="shared" ca="1" si="68"/>
        <v>0</v>
      </c>
      <c r="AC271" s="131" t="str">
        <f ca="1">IF($N271="","",IF(ORÇAMENTO.Descricao="","DESCRIÇÃO",IF(AND($C271="S",ORÇAMENTO.Unidade=""),"UNIDADE",IF($X271&lt;0,"VALOR NEGATIVO",IF(OR(AND(TIPOORCAMENTO="Proposto",$AG271&lt;&gt;"",$AG271&gt;0,ORÇAMENTO.CustoUnitario&gt;$AG271),AND(TIPOORCAMENTO="LICITADO",ORÇAMENTO.PrecoUnitarioLicitado&gt;$AN271)),"ACIMA REF.","")))))</f>
        <v/>
      </c>
      <c r="AD271" t="str">
        <f ca="1">IF(C271&lt;=CRONO.NivelExibicao,MAX($AD$15:OFFSET(AD271,-1,0))+IF($C271&lt;&gt;1,1,MAX(1,COUNTIF(QCI!$A$13:$A$24,OFFSET($E271,-1,0)))),"")</f>
        <v/>
      </c>
      <c r="AE271" s="7" t="str">
        <f ca="1">IF(AND($C271="S",ORÇAMENTO.CodBarra&lt;&gt;""),IF(ORÇAMENTO.Fonte="",ORÇAMENTO.CodBarra,CONCATENATE(ORÇAMENTO.Fonte," ",ORÇAMENTO.CodBarra)))</f>
        <v>SINAPI 89450</v>
      </c>
      <c r="AF271" s="13" t="str">
        <f ca="1">IF(ISERROR(INDIRECT(ORÇAMENTO.BancoRef)),"(abra o arquivo 'Referência "&amp;Excel_BuiltIn_Database&amp;".xlsm)",IF(OR($C271&lt;&gt;"S",ORÇAMENTO.CodBarra=""),"(Sem Código)",IF(ISERROR(MATCH($AE271,INDIRECT(ORÇAMENTO.BancoRef),0)),"(Código não identificado nas referências)",MATCH($AE271,INDIRECT(ORÇAMENTO.BancoRef),0))))</f>
        <v>(abra o arquivo 'Referência 02-2025.xlsm)</v>
      </c>
      <c r="AG271" s="498">
        <f ca="1">ROUND(IF(DESONERACAO="sim",REFERENCIA.Desonerado,REFERENCIA.NaoDesonerado),2)</f>
        <v>0</v>
      </c>
      <c r="AH271" s="499">
        <f t="shared" ca="1" si="69"/>
        <v>0.22470000000000001</v>
      </c>
      <c r="AJ271" s="501">
        <v>44.5</v>
      </c>
      <c r="AL271" s="527"/>
      <c r="AM271" s="381">
        <f t="shared" ca="1" si="70"/>
        <v>0</v>
      </c>
      <c r="AN271" s="566">
        <f t="shared" ca="1" si="71"/>
        <v>0</v>
      </c>
    </row>
    <row r="272" spans="1:40" ht="25.5" x14ac:dyDescent="0.2">
      <c r="A272" t="str">
        <f t="shared" si="56"/>
        <v>S</v>
      </c>
      <c r="B272">
        <f t="shared" ca="1" si="57"/>
        <v>3</v>
      </c>
      <c r="C272" t="str">
        <f t="shared" ca="1" si="58"/>
        <v>S</v>
      </c>
      <c r="D272">
        <f t="shared" ca="1" si="59"/>
        <v>0</v>
      </c>
      <c r="E272">
        <f ca="1">IF($C272=1,OFFSET(E272,-1,0)+MAX(1,COUNTIF(QCI!$A$13:$A$24,OFFSET(ORÇAMENTO!E272,-1,0))),OFFSET(E272,-1,0))</f>
        <v>1</v>
      </c>
      <c r="F272">
        <f t="shared" ca="1" si="60"/>
        <v>12</v>
      </c>
      <c r="G272">
        <f t="shared" ca="1" si="61"/>
        <v>1</v>
      </c>
      <c r="H272">
        <f t="shared" ca="1" si="62"/>
        <v>0</v>
      </c>
      <c r="I272">
        <f t="shared" ca="1" si="63"/>
        <v>0</v>
      </c>
      <c r="J272">
        <f t="shared" ref="J272:J335" ca="1" si="86">IF(OR($C272="S",$C272=0),0,MATCH(0,OFFSET($D272,1,$C272,ROW($C$747)-ROW($C272)),0))</f>
        <v>0</v>
      </c>
      <c r="K272">
        <f ca="1">IF(OR($C272="S",$C272=0),0,MATCH(OFFSET($D272,0,$C272)+IF($C272&lt;&gt;1,1,COUNTIF(QCI!$A$13:$A$24,ORÇAMENTO!E272)),OFFSET($D272,1,$C272,ROW($C$747)-ROW($C272)),0))</f>
        <v>0</v>
      </c>
      <c r="L272" s="116" t="str">
        <f t="shared" ca="1" si="64"/>
        <v/>
      </c>
      <c r="M272" s="117" t="s">
        <v>199</v>
      </c>
      <c r="N272" s="118" t="str">
        <f t="shared" ca="1" si="65"/>
        <v>Serviço</v>
      </c>
      <c r="O272" s="119" t="str">
        <f t="shared" ca="1" si="66"/>
        <v>-</v>
      </c>
      <c r="P272" s="120" t="s">
        <v>247</v>
      </c>
      <c r="Q272" s="121" t="s">
        <v>508</v>
      </c>
      <c r="R272" s="122" t="str">
        <f ca="1">IF($C272="S",REFERENCIA.Descricao,"(digite a descrição aqui)")</f>
        <v>(abra o arquivo 'Referência 02-2025.xlsm)</v>
      </c>
      <c r="S272" s="123" t="str">
        <f ca="1">REFERENCIA.Unidade</f>
        <v>-</v>
      </c>
      <c r="T272" s="124">
        <f ca="1">OFFSET(CÁLCULO!H$15,ROW($T272)-ROW(T$15),0)</f>
        <v>316.7</v>
      </c>
      <c r="U272" s="125">
        <f t="shared" ca="1" si="72"/>
        <v>0</v>
      </c>
      <c r="V272" s="126" t="s">
        <v>156</v>
      </c>
      <c r="W272" s="124">
        <f ca="1">IF($C272="S",ROUND(IF(TIPOORCAMENTO="Proposto",ORÇAMENTO.CustoUnitario*(1+$AH272),ORÇAMENTO.PrecoUnitarioLicitado),15-13*$AF$10),0)</f>
        <v>0</v>
      </c>
      <c r="X272" s="127">
        <f ca="1">IF($C272="S",IF(Import.TipoArredondamento&lt;&gt;"TransfereGOV",VTOTAL1,SUM(OFFSET(CÁLCULO!$AA$15,ROW($X272)-ROW($X$15),1):OFFSET(CÁLCULO!$AL$15,ROW($X272)-ROW($X$15),-1))),IF($C272=0,0,ROUND(SomaAgrup,15-13*$AF$11)))</f>
        <v>0</v>
      </c>
      <c r="Y272" s="128" t="s">
        <v>245</v>
      </c>
      <c r="Z272" t="str">
        <f t="shared" ca="1" si="67"/>
        <v/>
      </c>
      <c r="AA272" s="129">
        <f ca="1">IF($C272="S",IF($Z272="CP",$X272,IF($Z272="RA",(($X272)*QCI!$AA$3),0)),SomaAgrup)</f>
        <v>0</v>
      </c>
      <c r="AB272" s="130">
        <f t="shared" ca="1" si="68"/>
        <v>0</v>
      </c>
      <c r="AC272" s="131" t="str">
        <f ca="1">IF($N272="","",IF(ORÇAMENTO.Descricao="","DESCRIÇÃO",IF(AND($C272="S",ORÇAMENTO.Unidade=""),"UNIDADE",IF($X272&lt;0,"VALOR NEGATIVO",IF(OR(AND(TIPOORCAMENTO="Proposto",$AG272&lt;&gt;"",$AG272&gt;0,ORÇAMENTO.CustoUnitario&gt;$AG272),AND(TIPOORCAMENTO="LICITADO",ORÇAMENTO.PrecoUnitarioLicitado&gt;$AN272)),"ACIMA REF.","")))))</f>
        <v/>
      </c>
      <c r="AD272" t="str">
        <f ca="1">IF(C272&lt;=CRONO.NivelExibicao,MAX($AD$15:OFFSET(AD272,-1,0))+IF($C272&lt;&gt;1,1,MAX(1,COUNTIF(QCI!$A$13:$A$24,OFFSET($E272,-1,0)))),"")</f>
        <v/>
      </c>
      <c r="AE272" s="7" t="str">
        <f ca="1">IF(AND($C272="S",ORÇAMENTO.CodBarra&lt;&gt;""),IF(ORÇAMENTO.Fonte="",ORÇAMENTO.CodBarra,CONCATENATE(ORÇAMENTO.Fonte," ",ORÇAMENTO.CodBarra)))</f>
        <v>SINAPI 89452</v>
      </c>
      <c r="AF272" s="13" t="str">
        <f ca="1">IF(ISERROR(INDIRECT(ORÇAMENTO.BancoRef)),"(abra o arquivo 'Referência "&amp;Excel_BuiltIn_Database&amp;".xlsm)",IF(OR($C272&lt;&gt;"S",ORÇAMENTO.CodBarra=""),"(Sem Código)",IF(ISERROR(MATCH($AE272,INDIRECT(ORÇAMENTO.BancoRef),0)),"(Código não identificado nas referências)",MATCH($AE272,INDIRECT(ORÇAMENTO.BancoRef),0))))</f>
        <v>(abra o arquivo 'Referência 02-2025.xlsm)</v>
      </c>
      <c r="AG272" s="498">
        <f ca="1">ROUND(IF(DESONERACAO="sim",REFERENCIA.Desonerado,REFERENCIA.NaoDesonerado),2)</f>
        <v>0</v>
      </c>
      <c r="AH272" s="499">
        <f t="shared" ca="1" si="69"/>
        <v>0.22470000000000001</v>
      </c>
      <c r="AJ272" s="501">
        <v>316.7</v>
      </c>
      <c r="AL272" s="527"/>
      <c r="AM272" s="381">
        <f t="shared" ca="1" si="70"/>
        <v>0</v>
      </c>
      <c r="AN272" s="566">
        <f t="shared" ca="1" si="71"/>
        <v>0</v>
      </c>
    </row>
    <row r="273" spans="1:40" ht="25.5" x14ac:dyDescent="0.2">
      <c r="A273" t="str">
        <f t="shared" si="56"/>
        <v>S</v>
      </c>
      <c r="B273">
        <f t="shared" ca="1" si="57"/>
        <v>3</v>
      </c>
      <c r="C273" t="str">
        <f t="shared" ca="1" si="58"/>
        <v>S</v>
      </c>
      <c r="D273">
        <f t="shared" ca="1" si="59"/>
        <v>0</v>
      </c>
      <c r="E273">
        <f ca="1">IF($C273=1,OFFSET(E273,-1,0)+MAX(1,COUNTIF(QCI!$A$13:$A$24,OFFSET(ORÇAMENTO!E273,-1,0))),OFFSET(E273,-1,0))</f>
        <v>1</v>
      </c>
      <c r="F273">
        <f t="shared" ca="1" si="60"/>
        <v>12</v>
      </c>
      <c r="G273">
        <f t="shared" ca="1" si="61"/>
        <v>1</v>
      </c>
      <c r="H273">
        <f t="shared" ca="1" si="62"/>
        <v>0</v>
      </c>
      <c r="I273">
        <f t="shared" ca="1" si="63"/>
        <v>0</v>
      </c>
      <c r="J273">
        <f t="shared" ca="1" si="86"/>
        <v>0</v>
      </c>
      <c r="K273">
        <f ca="1">IF(OR($C273="S",$C273=0),0,MATCH(OFFSET($D273,0,$C273)+IF($C273&lt;&gt;1,1,COUNTIF(QCI!$A$13:$A$24,ORÇAMENTO!E273)),OFFSET($D273,1,$C273,ROW($C$747)-ROW($C273)),0))</f>
        <v>0</v>
      </c>
      <c r="L273" s="116" t="str">
        <f t="shared" ca="1" si="64"/>
        <v/>
      </c>
      <c r="M273" s="117" t="s">
        <v>199</v>
      </c>
      <c r="N273" s="118" t="str">
        <f t="shared" ca="1" si="65"/>
        <v>Serviço</v>
      </c>
      <c r="O273" s="119" t="str">
        <f t="shared" ca="1" si="66"/>
        <v>-</v>
      </c>
      <c r="P273" s="120" t="s">
        <v>712</v>
      </c>
      <c r="Q273" s="121" t="s">
        <v>795</v>
      </c>
      <c r="R273" s="122" t="str">
        <f ca="1">IF($C273="S",REFERENCIA.Descricao,"(digite a descrição aqui)")</f>
        <v>(abra o arquivo 'Referência 02-2025.xlsm)</v>
      </c>
      <c r="S273" s="123" t="str">
        <f ca="1">REFERENCIA.Unidade</f>
        <v>-</v>
      </c>
      <c r="T273" s="124">
        <f ca="1">OFFSET(CÁLCULO!H$15,ROW($T273)-ROW(T$15),0)</f>
        <v>24</v>
      </c>
      <c r="U273" s="125">
        <f t="shared" ca="1" si="72"/>
        <v>0</v>
      </c>
      <c r="V273" s="126" t="s">
        <v>156</v>
      </c>
      <c r="W273" s="124">
        <f ca="1">IF($C273="S",ROUND(IF(TIPOORCAMENTO="Proposto",ORÇAMENTO.CustoUnitario*(1+$AH273),ORÇAMENTO.PrecoUnitarioLicitado),15-13*$AF$10),0)</f>
        <v>0</v>
      </c>
      <c r="X273" s="127">
        <f ca="1">IF($C273="S",IF(Import.TipoArredondamento&lt;&gt;"TransfereGOV",VTOTAL1,SUM(OFFSET(CÁLCULO!$AA$15,ROW($X273)-ROW($X$15),1):OFFSET(CÁLCULO!$AL$15,ROW($X273)-ROW($X$15),-1))),IF($C273=0,0,ROUND(SomaAgrup,15-13*$AF$11)))</f>
        <v>0</v>
      </c>
      <c r="Y273" s="128" t="s">
        <v>245</v>
      </c>
      <c r="Z273" t="str">
        <f t="shared" ca="1" si="67"/>
        <v/>
      </c>
      <c r="AA273" s="129">
        <f ca="1">IF($C273="S",IF($Z273="CP",$X273,IF($Z273="RA",(($X273)*QCI!$AA$3),0)),SomaAgrup)</f>
        <v>0</v>
      </c>
      <c r="AB273" s="130">
        <f t="shared" ca="1" si="68"/>
        <v>0</v>
      </c>
      <c r="AC273" s="131" t="str">
        <f ca="1">IF($N273="","",IF(ORÇAMENTO.Descricao="","DESCRIÇÃO",IF(AND($C273="S",ORÇAMENTO.Unidade=""),"UNIDADE",IF($X273&lt;0,"VALOR NEGATIVO",IF(OR(AND(TIPOORCAMENTO="Proposto",$AG273&lt;&gt;"",$AG273&gt;0,ORÇAMENTO.CustoUnitario&gt;$AG273),AND(TIPOORCAMENTO="LICITADO",ORÇAMENTO.PrecoUnitarioLicitado&gt;$AN273)),"ACIMA REF.","")))))</f>
        <v/>
      </c>
      <c r="AD273" t="str">
        <f ca="1">IF(C273&lt;=CRONO.NivelExibicao,MAX($AD$15:OFFSET(AD273,-1,0))+IF($C273&lt;&gt;1,1,MAX(1,COUNTIF(QCI!$A$13:$A$24,OFFSET($E273,-1,0)))),"")</f>
        <v/>
      </c>
      <c r="AE273" s="7" t="str">
        <f ca="1">IF(AND($C273="S",ORÇAMENTO.CodBarra&lt;&gt;""),IF(ORÇAMENTO.Fonte="",ORÇAMENTO.CodBarra,CONCATENATE(ORÇAMENTO.Fonte," ",ORÇAMENTO.CodBarra)))</f>
        <v>Composição FNDE 119</v>
      </c>
      <c r="AF273" s="13" t="str">
        <f ca="1">IF(ISERROR(INDIRECT(ORÇAMENTO.BancoRef)),"(abra o arquivo 'Referência "&amp;Excel_BuiltIn_Database&amp;".xlsm)",IF(OR($C273&lt;&gt;"S",ORÇAMENTO.CodBarra=""),"(Sem Código)",IF(ISERROR(MATCH($AE273,INDIRECT(ORÇAMENTO.BancoRef),0)),"(Código não identificado nas referências)",MATCH($AE273,INDIRECT(ORÇAMENTO.BancoRef),0))))</f>
        <v>(abra o arquivo 'Referência 02-2025.xlsm)</v>
      </c>
      <c r="AG273" s="498">
        <f ca="1">ROUND(IF(DESONERACAO="sim",REFERENCIA.Desonerado,REFERENCIA.NaoDesonerado),2)</f>
        <v>0</v>
      </c>
      <c r="AH273" s="499">
        <f t="shared" ca="1" si="69"/>
        <v>0.22470000000000001</v>
      </c>
      <c r="AJ273" s="501">
        <v>24</v>
      </c>
      <c r="AL273" s="527"/>
      <c r="AM273" s="381">
        <f t="shared" ca="1" si="70"/>
        <v>0</v>
      </c>
      <c r="AN273" s="566">
        <f t="shared" ca="1" si="71"/>
        <v>0</v>
      </c>
    </row>
    <row r="274" spans="1:40" ht="38.25" x14ac:dyDescent="0.2">
      <c r="A274" t="str">
        <f t="shared" si="56"/>
        <v>S</v>
      </c>
      <c r="B274">
        <f t="shared" ca="1" si="57"/>
        <v>3</v>
      </c>
      <c r="C274" t="str">
        <f t="shared" ca="1" si="58"/>
        <v>S</v>
      </c>
      <c r="D274">
        <f t="shared" ca="1" si="59"/>
        <v>0</v>
      </c>
      <c r="E274">
        <f ca="1">IF($C274=1,OFFSET(E274,-1,0)+MAX(1,COUNTIF(QCI!$A$13:$A$24,OFFSET(ORÇAMENTO!E274,-1,0))),OFFSET(E274,-1,0))</f>
        <v>1</v>
      </c>
      <c r="F274">
        <f t="shared" ca="1" si="60"/>
        <v>12</v>
      </c>
      <c r="G274">
        <f t="shared" ca="1" si="61"/>
        <v>1</v>
      </c>
      <c r="H274">
        <f t="shared" ca="1" si="62"/>
        <v>0</v>
      </c>
      <c r="I274">
        <f t="shared" ca="1" si="63"/>
        <v>0</v>
      </c>
      <c r="J274">
        <f t="shared" ca="1" si="86"/>
        <v>0</v>
      </c>
      <c r="K274">
        <f ca="1">IF(OR($C274="S",$C274=0),0,MATCH(OFFSET($D274,0,$C274)+IF($C274&lt;&gt;1,1,COUNTIF(QCI!$A$13:$A$24,ORÇAMENTO!E274)),OFFSET($D274,1,$C274,ROW($C$747)-ROW($C274)),0))</f>
        <v>0</v>
      </c>
      <c r="L274" s="116" t="str">
        <f t="shared" ca="1" si="64"/>
        <v/>
      </c>
      <c r="M274" s="117" t="s">
        <v>199</v>
      </c>
      <c r="N274" s="118" t="str">
        <f t="shared" ca="1" si="65"/>
        <v>Serviço</v>
      </c>
      <c r="O274" s="119" t="str">
        <f t="shared" ca="1" si="66"/>
        <v>-</v>
      </c>
      <c r="P274" s="120" t="s">
        <v>247</v>
      </c>
      <c r="Q274" s="121" t="s">
        <v>509</v>
      </c>
      <c r="R274" s="122" t="str">
        <f ca="1">IF($C274="S",REFERENCIA.Descricao,"(digite a descrição aqui)")</f>
        <v>(abra o arquivo 'Referência 02-2025.xlsm)</v>
      </c>
      <c r="S274" s="123" t="str">
        <f ca="1">REFERENCIA.Unidade</f>
        <v>-</v>
      </c>
      <c r="T274" s="124">
        <f ca="1">OFFSET(CÁLCULO!H$15,ROW($T274)-ROW(T$15),0)</f>
        <v>83</v>
      </c>
      <c r="U274" s="125">
        <f t="shared" ca="1" si="72"/>
        <v>0</v>
      </c>
      <c r="V274" s="126" t="s">
        <v>156</v>
      </c>
      <c r="W274" s="124">
        <f ca="1">IF($C274="S",ROUND(IF(TIPOORCAMENTO="Proposto",ORÇAMENTO.CustoUnitario*(1+$AH274),ORÇAMENTO.PrecoUnitarioLicitado),15-13*$AF$10),0)</f>
        <v>0</v>
      </c>
      <c r="X274" s="127">
        <f ca="1">IF($C274="S",IF(Import.TipoArredondamento&lt;&gt;"TransfereGOV",VTOTAL1,SUM(OFFSET(CÁLCULO!$AA$15,ROW($X274)-ROW($X$15),1):OFFSET(CÁLCULO!$AL$15,ROW($X274)-ROW($X$15),-1))),IF($C274=0,0,ROUND(SomaAgrup,15-13*$AF$11)))</f>
        <v>0</v>
      </c>
      <c r="Y274" s="128" t="s">
        <v>245</v>
      </c>
      <c r="Z274" t="str">
        <f t="shared" ca="1" si="67"/>
        <v/>
      </c>
      <c r="AA274" s="129">
        <f ca="1">IF($C274="S",IF($Z274="CP",$X274,IF($Z274="RA",(($X274)*QCI!$AA$3),0)),SomaAgrup)</f>
        <v>0</v>
      </c>
      <c r="AB274" s="130">
        <f t="shared" ca="1" si="68"/>
        <v>0</v>
      </c>
      <c r="AC274" s="131" t="str">
        <f ca="1">IF($N274="","",IF(ORÇAMENTO.Descricao="","DESCRIÇÃO",IF(AND($C274="S",ORÇAMENTO.Unidade=""),"UNIDADE",IF($X274&lt;0,"VALOR NEGATIVO",IF(OR(AND(TIPOORCAMENTO="Proposto",$AG274&lt;&gt;"",$AG274&gt;0,ORÇAMENTO.CustoUnitario&gt;$AG274),AND(TIPOORCAMENTO="LICITADO",ORÇAMENTO.PrecoUnitarioLicitado&gt;$AN274)),"ACIMA REF.","")))))</f>
        <v/>
      </c>
      <c r="AD274" t="str">
        <f ca="1">IF(C274&lt;=CRONO.NivelExibicao,MAX($AD$15:OFFSET(AD274,-1,0))+IF($C274&lt;&gt;1,1,MAX(1,COUNTIF(QCI!$A$13:$A$24,OFFSET($E274,-1,0)))),"")</f>
        <v/>
      </c>
      <c r="AE274" s="7" t="str">
        <f ca="1">IF(AND($C274="S",ORÇAMENTO.CodBarra&lt;&gt;""),IF(ORÇAMENTO.Fonte="",ORÇAMENTO.CodBarra,CONCATENATE(ORÇAMENTO.Fonte," ",ORÇAMENTO.CodBarra)))</f>
        <v>SINAPI 89429</v>
      </c>
      <c r="AF274" s="13" t="str">
        <f ca="1">IF(ISERROR(INDIRECT(ORÇAMENTO.BancoRef)),"(abra o arquivo 'Referência "&amp;Excel_BuiltIn_Database&amp;".xlsm)",IF(OR($C274&lt;&gt;"S",ORÇAMENTO.CodBarra=""),"(Sem Código)",IF(ISERROR(MATCH($AE274,INDIRECT(ORÇAMENTO.BancoRef),0)),"(Código não identificado nas referências)",MATCH($AE274,INDIRECT(ORÇAMENTO.BancoRef),0))))</f>
        <v>(abra o arquivo 'Referência 02-2025.xlsm)</v>
      </c>
      <c r="AG274" s="498">
        <f ca="1">ROUND(IF(DESONERACAO="sim",REFERENCIA.Desonerado,REFERENCIA.NaoDesonerado),2)</f>
        <v>0</v>
      </c>
      <c r="AH274" s="499">
        <f t="shared" ca="1" si="69"/>
        <v>0.22470000000000001</v>
      </c>
      <c r="AJ274" s="501">
        <v>83</v>
      </c>
      <c r="AL274" s="527"/>
      <c r="AM274" s="381">
        <f t="shared" ca="1" si="70"/>
        <v>0</v>
      </c>
      <c r="AN274" s="566">
        <f t="shared" ca="1" si="71"/>
        <v>0</v>
      </c>
    </row>
    <row r="275" spans="1:40" ht="38.25" x14ac:dyDescent="0.2">
      <c r="A275" t="str">
        <f t="shared" si="56"/>
        <v>S</v>
      </c>
      <c r="B275">
        <f t="shared" ca="1" si="57"/>
        <v>3</v>
      </c>
      <c r="C275" t="str">
        <f t="shared" ca="1" si="58"/>
        <v>S</v>
      </c>
      <c r="D275">
        <f t="shared" ca="1" si="59"/>
        <v>0</v>
      </c>
      <c r="E275">
        <f ca="1">IF($C275=1,OFFSET(E275,-1,0)+MAX(1,COUNTIF(QCI!$A$13:$A$24,OFFSET(ORÇAMENTO!E275,-1,0))),OFFSET(E275,-1,0))</f>
        <v>1</v>
      </c>
      <c r="F275">
        <f t="shared" ca="1" si="60"/>
        <v>12</v>
      </c>
      <c r="G275">
        <f t="shared" ca="1" si="61"/>
        <v>1</v>
      </c>
      <c r="H275">
        <f t="shared" ca="1" si="62"/>
        <v>0</v>
      </c>
      <c r="I275">
        <f t="shared" ca="1" si="63"/>
        <v>0</v>
      </c>
      <c r="J275">
        <f t="shared" ca="1" si="86"/>
        <v>0</v>
      </c>
      <c r="K275">
        <f ca="1">IF(OR($C275="S",$C275=0),0,MATCH(OFFSET($D275,0,$C275)+IF($C275&lt;&gt;1,1,COUNTIF(QCI!$A$13:$A$24,ORÇAMENTO!E275)),OFFSET($D275,1,$C275,ROW($C$747)-ROW($C275)),0))</f>
        <v>0</v>
      </c>
      <c r="L275" s="116" t="str">
        <f t="shared" ca="1" si="64"/>
        <v/>
      </c>
      <c r="M275" s="117" t="s">
        <v>199</v>
      </c>
      <c r="N275" s="118" t="str">
        <f t="shared" ca="1" si="65"/>
        <v>Serviço</v>
      </c>
      <c r="O275" s="119" t="str">
        <f t="shared" ca="1" si="66"/>
        <v>-</v>
      </c>
      <c r="P275" s="120" t="s">
        <v>247</v>
      </c>
      <c r="Q275" s="121" t="s">
        <v>510</v>
      </c>
      <c r="R275" s="122" t="str">
        <f ca="1">IF($C275="S",REFERENCIA.Descricao,"(digite a descrição aqui)")</f>
        <v>(abra o arquivo 'Referência 02-2025.xlsm)</v>
      </c>
      <c r="S275" s="123" t="str">
        <f ca="1">REFERENCIA.Unidade</f>
        <v>-</v>
      </c>
      <c r="T275" s="124">
        <f ca="1">OFFSET(CÁLCULO!H$15,ROW($T275)-ROW(T$15),0)</f>
        <v>2</v>
      </c>
      <c r="U275" s="125">
        <f t="shared" ca="1" si="72"/>
        <v>0</v>
      </c>
      <c r="V275" s="126" t="s">
        <v>156</v>
      </c>
      <c r="W275" s="124">
        <f ca="1">IF($C275="S",ROUND(IF(TIPOORCAMENTO="Proposto",ORÇAMENTO.CustoUnitario*(1+$AH275),ORÇAMENTO.PrecoUnitarioLicitado),15-13*$AF$10),0)</f>
        <v>0</v>
      </c>
      <c r="X275" s="127">
        <f ca="1">IF($C275="S",IF(Import.TipoArredondamento&lt;&gt;"TransfereGOV",VTOTAL1,SUM(OFFSET(CÁLCULO!$AA$15,ROW($X275)-ROW($X$15),1):OFFSET(CÁLCULO!$AL$15,ROW($X275)-ROW($X$15),-1))),IF($C275=0,0,ROUND(SomaAgrup,15-13*$AF$11)))</f>
        <v>0</v>
      </c>
      <c r="Y275" s="128" t="s">
        <v>245</v>
      </c>
      <c r="Z275" t="str">
        <f t="shared" ca="1" si="67"/>
        <v/>
      </c>
      <c r="AA275" s="129">
        <f ca="1">IF($C275="S",IF($Z275="CP",$X275,IF($Z275="RA",(($X275)*QCI!$AA$3),0)),SomaAgrup)</f>
        <v>0</v>
      </c>
      <c r="AB275" s="130">
        <f t="shared" ca="1" si="68"/>
        <v>0</v>
      </c>
      <c r="AC275" s="131" t="str">
        <f ca="1">IF($N275="","",IF(ORÇAMENTO.Descricao="","DESCRIÇÃO",IF(AND($C275="S",ORÇAMENTO.Unidade=""),"UNIDADE",IF($X275&lt;0,"VALOR NEGATIVO",IF(OR(AND(TIPOORCAMENTO="Proposto",$AG275&lt;&gt;"",$AG275&gt;0,ORÇAMENTO.CustoUnitario&gt;$AG275),AND(TIPOORCAMENTO="LICITADO",ORÇAMENTO.PrecoUnitarioLicitado&gt;$AN275)),"ACIMA REF.","")))))</f>
        <v/>
      </c>
      <c r="AD275" t="str">
        <f ca="1">IF(C275&lt;=CRONO.NivelExibicao,MAX($AD$15:OFFSET(AD275,-1,0))+IF($C275&lt;&gt;1,1,MAX(1,COUNTIF(QCI!$A$13:$A$24,OFFSET($E275,-1,0)))),"")</f>
        <v/>
      </c>
      <c r="AE275" s="7" t="str">
        <f ca="1">IF(AND($C275="S",ORÇAMENTO.CodBarra&lt;&gt;""),IF(ORÇAMENTO.Fonte="",ORÇAMENTO.CodBarra,CONCATENATE(ORÇAMENTO.Fonte," ",ORÇAMENTO.CodBarra)))</f>
        <v>SINAPI 94660</v>
      </c>
      <c r="AF275" s="13" t="str">
        <f ca="1">IF(ISERROR(INDIRECT(ORÇAMENTO.BancoRef)),"(abra o arquivo 'Referência "&amp;Excel_BuiltIn_Database&amp;".xlsm)",IF(OR($C275&lt;&gt;"S",ORÇAMENTO.CodBarra=""),"(Sem Código)",IF(ISERROR(MATCH($AE275,INDIRECT(ORÇAMENTO.BancoRef),0)),"(Código não identificado nas referências)",MATCH($AE275,INDIRECT(ORÇAMENTO.BancoRef),0))))</f>
        <v>(abra o arquivo 'Referência 02-2025.xlsm)</v>
      </c>
      <c r="AG275" s="498">
        <f ca="1">ROUND(IF(DESONERACAO="sim",REFERENCIA.Desonerado,REFERENCIA.NaoDesonerado),2)</f>
        <v>0</v>
      </c>
      <c r="AH275" s="499">
        <f t="shared" ca="1" si="69"/>
        <v>0.22470000000000001</v>
      </c>
      <c r="AJ275" s="501">
        <v>2</v>
      </c>
      <c r="AL275" s="527"/>
      <c r="AM275" s="381">
        <f t="shared" ca="1" si="70"/>
        <v>0</v>
      </c>
      <c r="AN275" s="566">
        <f t="shared" ca="1" si="71"/>
        <v>0</v>
      </c>
    </row>
    <row r="276" spans="1:40" ht="51" x14ac:dyDescent="0.2">
      <c r="A276" t="str">
        <f t="shared" si="56"/>
        <v>S</v>
      </c>
      <c r="B276">
        <f t="shared" ca="1" si="57"/>
        <v>3</v>
      </c>
      <c r="C276" t="str">
        <f t="shared" ca="1" si="58"/>
        <v>S</v>
      </c>
      <c r="D276">
        <f t="shared" ca="1" si="59"/>
        <v>0</v>
      </c>
      <c r="E276">
        <f ca="1">IF($C276=1,OFFSET(E276,-1,0)+MAX(1,COUNTIF(QCI!$A$13:$A$24,OFFSET(ORÇAMENTO!E276,-1,0))),OFFSET(E276,-1,0))</f>
        <v>1</v>
      </c>
      <c r="F276">
        <f t="shared" ca="1" si="60"/>
        <v>12</v>
      </c>
      <c r="G276">
        <f t="shared" ca="1" si="61"/>
        <v>1</v>
      </c>
      <c r="H276">
        <f t="shared" ca="1" si="62"/>
        <v>0</v>
      </c>
      <c r="I276">
        <f t="shared" ca="1" si="63"/>
        <v>0</v>
      </c>
      <c r="J276">
        <f t="shared" ca="1" si="86"/>
        <v>0</v>
      </c>
      <c r="K276">
        <f ca="1">IF(OR($C276="S",$C276=0),0,MATCH(OFFSET($D276,0,$C276)+IF($C276&lt;&gt;1,1,COUNTIF(QCI!$A$13:$A$24,ORÇAMENTO!E276)),OFFSET($D276,1,$C276,ROW($C$747)-ROW($C276)),0))</f>
        <v>0</v>
      </c>
      <c r="L276" s="116" t="str">
        <f t="shared" ca="1" si="64"/>
        <v/>
      </c>
      <c r="M276" s="117" t="s">
        <v>199</v>
      </c>
      <c r="N276" s="118" t="str">
        <f t="shared" ca="1" si="65"/>
        <v>Serviço</v>
      </c>
      <c r="O276" s="119" t="str">
        <f t="shared" ca="1" si="66"/>
        <v>-</v>
      </c>
      <c r="P276" s="120" t="s">
        <v>247</v>
      </c>
      <c r="Q276" s="121" t="s">
        <v>511</v>
      </c>
      <c r="R276" s="122" t="str">
        <f ca="1">IF($C276="S",REFERENCIA.Descricao,"(digite a descrição aqui)")</f>
        <v>(abra o arquivo 'Referência 02-2025.xlsm)</v>
      </c>
      <c r="S276" s="123" t="str">
        <f ca="1">REFERENCIA.Unidade</f>
        <v>-</v>
      </c>
      <c r="T276" s="124">
        <f ca="1">OFFSET(CÁLCULO!H$15,ROW($T276)-ROW(T$15),0)</f>
        <v>56</v>
      </c>
      <c r="U276" s="125">
        <f t="shared" ca="1" si="72"/>
        <v>0</v>
      </c>
      <c r="V276" s="126" t="s">
        <v>156</v>
      </c>
      <c r="W276" s="124">
        <f ca="1">IF($C276="S",ROUND(IF(TIPOORCAMENTO="Proposto",ORÇAMENTO.CustoUnitario*(1+$AH276),ORÇAMENTO.PrecoUnitarioLicitado),15-13*$AF$10),0)</f>
        <v>0</v>
      </c>
      <c r="X276" s="127">
        <f ca="1">IF($C276="S",IF(Import.TipoArredondamento&lt;&gt;"TransfereGOV",VTOTAL1,SUM(OFFSET(CÁLCULO!$AA$15,ROW($X276)-ROW($X$15),1):OFFSET(CÁLCULO!$AL$15,ROW($X276)-ROW($X$15),-1))),IF($C276=0,0,ROUND(SomaAgrup,15-13*$AF$11)))</f>
        <v>0</v>
      </c>
      <c r="Y276" s="128" t="s">
        <v>245</v>
      </c>
      <c r="Z276" t="str">
        <f t="shared" ca="1" si="67"/>
        <v/>
      </c>
      <c r="AA276" s="129">
        <f ca="1">IF($C276="S",IF($Z276="CP",$X276,IF($Z276="RA",(($X276)*QCI!$AA$3),0)),SomaAgrup)</f>
        <v>0</v>
      </c>
      <c r="AB276" s="130">
        <f t="shared" ca="1" si="68"/>
        <v>0</v>
      </c>
      <c r="AC276" s="131" t="str">
        <f ca="1">IF($N276="","",IF(ORÇAMENTO.Descricao="","DESCRIÇÃO",IF(AND($C276="S",ORÇAMENTO.Unidade=""),"UNIDADE",IF($X276&lt;0,"VALOR NEGATIVO",IF(OR(AND(TIPOORCAMENTO="Proposto",$AG276&lt;&gt;"",$AG276&gt;0,ORÇAMENTO.CustoUnitario&gt;$AG276),AND(TIPOORCAMENTO="LICITADO",ORÇAMENTO.PrecoUnitarioLicitado&gt;$AN276)),"ACIMA REF.","")))))</f>
        <v/>
      </c>
      <c r="AD276" t="str">
        <f ca="1">IF(C276&lt;=CRONO.NivelExibicao,MAX($AD$15:OFFSET(AD276,-1,0))+IF($C276&lt;&gt;1,1,MAX(1,COUNTIF(QCI!$A$13:$A$24,OFFSET($E276,-1,0)))),"")</f>
        <v/>
      </c>
      <c r="AE276" s="7" t="str">
        <f ca="1">IF(AND($C276="S",ORÇAMENTO.CodBarra&lt;&gt;""),IF(ORÇAMENTO.Fonte="",ORÇAMENTO.CodBarra,CONCATENATE(ORÇAMENTO.Fonte," ",ORÇAMENTO.CodBarra)))</f>
        <v>SINAPI 104001</v>
      </c>
      <c r="AF276" s="13" t="str">
        <f ca="1">IF(ISERROR(INDIRECT(ORÇAMENTO.BancoRef)),"(abra o arquivo 'Referência "&amp;Excel_BuiltIn_Database&amp;".xlsm)",IF(OR($C276&lt;&gt;"S",ORÇAMENTO.CodBarra=""),"(Sem Código)",IF(ISERROR(MATCH($AE276,INDIRECT(ORÇAMENTO.BancoRef),0)),"(Código não identificado nas referências)",MATCH($AE276,INDIRECT(ORÇAMENTO.BancoRef),0))))</f>
        <v>(abra o arquivo 'Referência 02-2025.xlsm)</v>
      </c>
      <c r="AG276" s="498">
        <f ca="1">ROUND(IF(DESONERACAO="sim",REFERENCIA.Desonerado,REFERENCIA.NaoDesonerado),2)</f>
        <v>0</v>
      </c>
      <c r="AH276" s="499">
        <f t="shared" ca="1" si="69"/>
        <v>0.22470000000000001</v>
      </c>
      <c r="AJ276" s="501">
        <v>56</v>
      </c>
      <c r="AL276" s="527"/>
      <c r="AM276" s="381">
        <f t="shared" ca="1" si="70"/>
        <v>0</v>
      </c>
      <c r="AN276" s="566">
        <f t="shared" ca="1" si="71"/>
        <v>0</v>
      </c>
    </row>
    <row r="277" spans="1:40" ht="38.25" x14ac:dyDescent="0.2">
      <c r="A277" t="str">
        <f t="shared" si="56"/>
        <v>S</v>
      </c>
      <c r="B277">
        <f t="shared" ca="1" si="57"/>
        <v>3</v>
      </c>
      <c r="C277" t="str">
        <f t="shared" ca="1" si="58"/>
        <v>S</v>
      </c>
      <c r="D277">
        <f t="shared" ca="1" si="59"/>
        <v>0</v>
      </c>
      <c r="E277">
        <f ca="1">IF($C277=1,OFFSET(E277,-1,0)+MAX(1,COUNTIF(QCI!$A$13:$A$24,OFFSET(ORÇAMENTO!E277,-1,0))),OFFSET(E277,-1,0))</f>
        <v>1</v>
      </c>
      <c r="F277">
        <f t="shared" ca="1" si="60"/>
        <v>12</v>
      </c>
      <c r="G277">
        <f t="shared" ca="1" si="61"/>
        <v>1</v>
      </c>
      <c r="H277">
        <f t="shared" ca="1" si="62"/>
        <v>0</v>
      </c>
      <c r="I277">
        <f t="shared" ca="1" si="63"/>
        <v>0</v>
      </c>
      <c r="J277">
        <f t="shared" ca="1" si="86"/>
        <v>0</v>
      </c>
      <c r="K277">
        <f ca="1">IF(OR($C277="S",$C277=0),0,MATCH(OFFSET($D277,0,$C277)+IF($C277&lt;&gt;1,1,COUNTIF(QCI!$A$13:$A$24,ORÇAMENTO!E277)),OFFSET($D277,1,$C277,ROW($C$747)-ROW($C277)),0))</f>
        <v>0</v>
      </c>
      <c r="L277" s="116" t="str">
        <f t="shared" ca="1" si="64"/>
        <v/>
      </c>
      <c r="M277" s="117" t="s">
        <v>199</v>
      </c>
      <c r="N277" s="118" t="str">
        <f t="shared" ca="1" si="65"/>
        <v>Serviço</v>
      </c>
      <c r="O277" s="119" t="str">
        <f t="shared" ca="1" si="66"/>
        <v>-</v>
      </c>
      <c r="P277" s="120" t="s">
        <v>247</v>
      </c>
      <c r="Q277" s="121" t="s">
        <v>512</v>
      </c>
      <c r="R277" s="122" t="str">
        <f ca="1">IF($C277="S",REFERENCIA.Descricao,"(digite a descrição aqui)")</f>
        <v>(abra o arquivo 'Referência 02-2025.xlsm)</v>
      </c>
      <c r="S277" s="123" t="str">
        <f ca="1">REFERENCIA.Unidade</f>
        <v>-</v>
      </c>
      <c r="T277" s="124">
        <f ca="1">OFFSET(CÁLCULO!H$15,ROW($T277)-ROW(T$15),0)</f>
        <v>16</v>
      </c>
      <c r="U277" s="125">
        <f t="shared" ca="1" si="72"/>
        <v>0</v>
      </c>
      <c r="V277" s="126" t="s">
        <v>156</v>
      </c>
      <c r="W277" s="124">
        <f ca="1">IF($C277="S",ROUND(IF(TIPOORCAMENTO="Proposto",ORÇAMENTO.CustoUnitario*(1+$AH277),ORÇAMENTO.PrecoUnitarioLicitado),15-13*$AF$10),0)</f>
        <v>0</v>
      </c>
      <c r="X277" s="127">
        <f ca="1">IF($C277="S",IF(Import.TipoArredondamento&lt;&gt;"TransfereGOV",VTOTAL1,SUM(OFFSET(CÁLCULO!$AA$15,ROW($X277)-ROW($X$15),1):OFFSET(CÁLCULO!$AL$15,ROW($X277)-ROW($X$15),-1))),IF($C277=0,0,ROUND(SomaAgrup,15-13*$AF$11)))</f>
        <v>0</v>
      </c>
      <c r="Y277" s="128" t="s">
        <v>245</v>
      </c>
      <c r="Z277" t="str">
        <f t="shared" ca="1" si="67"/>
        <v/>
      </c>
      <c r="AA277" s="129">
        <f ca="1">IF($C277="S",IF($Z277="CP",$X277,IF($Z277="RA",(($X277)*QCI!$AA$3),0)),SomaAgrup)</f>
        <v>0</v>
      </c>
      <c r="AB277" s="130">
        <f t="shared" ca="1" si="68"/>
        <v>0</v>
      </c>
      <c r="AC277" s="131" t="str">
        <f ca="1">IF($N277="","",IF(ORÇAMENTO.Descricao="","DESCRIÇÃO",IF(AND($C277="S",ORÇAMENTO.Unidade=""),"UNIDADE",IF($X277&lt;0,"VALOR NEGATIVO",IF(OR(AND(TIPOORCAMENTO="Proposto",$AG277&lt;&gt;"",$AG277&gt;0,ORÇAMENTO.CustoUnitario&gt;$AG277),AND(TIPOORCAMENTO="LICITADO",ORÇAMENTO.PrecoUnitarioLicitado&gt;$AN277)),"ACIMA REF.","")))))</f>
        <v/>
      </c>
      <c r="AD277" t="str">
        <f ca="1">IF(C277&lt;=CRONO.NivelExibicao,MAX($AD$15:OFFSET(AD277,-1,0))+IF($C277&lt;&gt;1,1,MAX(1,COUNTIF(QCI!$A$13:$A$24,OFFSET($E277,-1,0)))),"")</f>
        <v/>
      </c>
      <c r="AE277" s="7" t="str">
        <f ca="1">IF(AND($C277="S",ORÇAMENTO.CodBarra&lt;&gt;""),IF(ORÇAMENTO.Fonte="",ORÇAMENTO.CodBarra,CONCATENATE(ORÇAMENTO.Fonte," ",ORÇAMENTO.CodBarra)))</f>
        <v>SINAPI 89616</v>
      </c>
      <c r="AF277" s="13" t="str">
        <f ca="1">IF(ISERROR(INDIRECT(ORÇAMENTO.BancoRef)),"(abra o arquivo 'Referência "&amp;Excel_BuiltIn_Database&amp;".xlsm)",IF(OR($C277&lt;&gt;"S",ORÇAMENTO.CodBarra=""),"(Sem Código)",IF(ISERROR(MATCH($AE277,INDIRECT(ORÇAMENTO.BancoRef),0)),"(Código não identificado nas referências)",MATCH($AE277,INDIRECT(ORÇAMENTO.BancoRef),0))))</f>
        <v>(abra o arquivo 'Referência 02-2025.xlsm)</v>
      </c>
      <c r="AG277" s="498">
        <f ca="1">ROUND(IF(DESONERACAO="sim",REFERENCIA.Desonerado,REFERENCIA.NaoDesonerado),2)</f>
        <v>0</v>
      </c>
      <c r="AH277" s="499">
        <f t="shared" ca="1" si="69"/>
        <v>0.22470000000000001</v>
      </c>
      <c r="AJ277" s="501">
        <v>16</v>
      </c>
      <c r="AL277" s="527"/>
      <c r="AM277" s="381">
        <f t="shared" ca="1" si="70"/>
        <v>0</v>
      </c>
      <c r="AN277" s="566">
        <f t="shared" ca="1" si="71"/>
        <v>0</v>
      </c>
    </row>
    <row r="278" spans="1:40" ht="38.25" x14ac:dyDescent="0.2">
      <c r="A278" t="str">
        <f t="shared" si="56"/>
        <v>S</v>
      </c>
      <c r="B278">
        <f t="shared" ca="1" si="57"/>
        <v>3</v>
      </c>
      <c r="C278" t="str">
        <f t="shared" ca="1" si="58"/>
        <v>S</v>
      </c>
      <c r="D278">
        <f t="shared" ca="1" si="59"/>
        <v>0</v>
      </c>
      <c r="E278">
        <f ca="1">IF($C278=1,OFFSET(E278,-1,0)+MAX(1,COUNTIF(QCI!$A$13:$A$24,OFFSET(ORÇAMENTO!E278,-1,0))),OFFSET(E278,-1,0))</f>
        <v>1</v>
      </c>
      <c r="F278">
        <f t="shared" ca="1" si="60"/>
        <v>12</v>
      </c>
      <c r="G278">
        <f t="shared" ca="1" si="61"/>
        <v>1</v>
      </c>
      <c r="H278">
        <f t="shared" ca="1" si="62"/>
        <v>0</v>
      </c>
      <c r="I278">
        <f t="shared" ca="1" si="63"/>
        <v>0</v>
      </c>
      <c r="J278">
        <f t="shared" ca="1" si="86"/>
        <v>0</v>
      </c>
      <c r="K278">
        <f ca="1">IF(OR($C278="S",$C278=0),0,MATCH(OFFSET($D278,0,$C278)+IF($C278&lt;&gt;1,1,COUNTIF(QCI!$A$13:$A$24,ORÇAMENTO!E278)),OFFSET($D278,1,$C278,ROW($C$747)-ROW($C278)),0))</f>
        <v>0</v>
      </c>
      <c r="L278" s="116" t="str">
        <f t="shared" ca="1" si="64"/>
        <v/>
      </c>
      <c r="M278" s="117" t="s">
        <v>199</v>
      </c>
      <c r="N278" s="118" t="str">
        <f t="shared" ca="1" si="65"/>
        <v>Serviço</v>
      </c>
      <c r="O278" s="119" t="str">
        <f t="shared" ca="1" si="66"/>
        <v>-</v>
      </c>
      <c r="P278" s="120" t="s">
        <v>247</v>
      </c>
      <c r="Q278" s="121" t="s">
        <v>513</v>
      </c>
      <c r="R278" s="122" t="str">
        <f ca="1">IF($C278="S",REFERENCIA.Descricao,"(digite a descrição aqui)")</f>
        <v>(abra o arquivo 'Referência 02-2025.xlsm)</v>
      </c>
      <c r="S278" s="123" t="str">
        <f ca="1">REFERENCIA.Unidade</f>
        <v>-</v>
      </c>
      <c r="T278" s="124">
        <f ca="1">OFFSET(CÁLCULO!H$15,ROW($T278)-ROW(T$15),0)</f>
        <v>16</v>
      </c>
      <c r="U278" s="125">
        <f t="shared" ca="1" si="72"/>
        <v>0</v>
      </c>
      <c r="V278" s="126" t="s">
        <v>156</v>
      </c>
      <c r="W278" s="124">
        <f ca="1">IF($C278="S",ROUND(IF(TIPOORCAMENTO="Proposto",ORÇAMENTO.CustoUnitario*(1+$AH278),ORÇAMENTO.PrecoUnitarioLicitado),15-13*$AF$10),0)</f>
        <v>0</v>
      </c>
      <c r="X278" s="127">
        <f ca="1">IF($C278="S",IF(Import.TipoArredondamento&lt;&gt;"TransfereGOV",VTOTAL1,SUM(OFFSET(CÁLCULO!$AA$15,ROW($X278)-ROW($X$15),1):OFFSET(CÁLCULO!$AL$15,ROW($X278)-ROW($X$15),-1))),IF($C278=0,0,ROUND(SomaAgrup,15-13*$AF$11)))</f>
        <v>0</v>
      </c>
      <c r="Y278" s="128" t="s">
        <v>245</v>
      </c>
      <c r="Z278" t="str">
        <f t="shared" ca="1" si="67"/>
        <v/>
      </c>
      <c r="AA278" s="129">
        <f ca="1">IF($C278="S",IF($Z278="CP",$X278,IF($Z278="RA",(($X278)*QCI!$AA$3),0)),SomaAgrup)</f>
        <v>0</v>
      </c>
      <c r="AB278" s="130">
        <f t="shared" ca="1" si="68"/>
        <v>0</v>
      </c>
      <c r="AC278" s="131" t="str">
        <f ca="1">IF($N278="","",IF(ORÇAMENTO.Descricao="","DESCRIÇÃO",IF(AND($C278="S",ORÇAMENTO.Unidade=""),"UNIDADE",IF($X278&lt;0,"VALOR NEGATIVO",IF(OR(AND(TIPOORCAMENTO="Proposto",$AG278&lt;&gt;"",$AG278&gt;0,ORÇAMENTO.CustoUnitario&gt;$AG278),AND(TIPOORCAMENTO="LICITADO",ORÇAMENTO.PrecoUnitarioLicitado&gt;$AN278)),"ACIMA REF.","")))))</f>
        <v/>
      </c>
      <c r="AD278" t="str">
        <f ca="1">IF(C278&lt;=CRONO.NivelExibicao,MAX($AD$15:OFFSET(AD278,-1,0))+IF($C278&lt;&gt;1,1,MAX(1,COUNTIF(QCI!$A$13:$A$24,OFFSET($E278,-1,0)))),"")</f>
        <v/>
      </c>
      <c r="AE278" s="7" t="str">
        <f ca="1">IF(AND($C278="S",ORÇAMENTO.CodBarra&lt;&gt;""),IF(ORÇAMENTO.Fonte="",ORÇAMENTO.CodBarra,CONCATENATE(ORÇAMENTO.Fonte," ",ORÇAMENTO.CodBarra)))</f>
        <v>SINAPI 103959</v>
      </c>
      <c r="AF278" s="13" t="str">
        <f ca="1">IF(ISERROR(INDIRECT(ORÇAMENTO.BancoRef)),"(abra o arquivo 'Referência "&amp;Excel_BuiltIn_Database&amp;".xlsm)",IF(OR($C278&lt;&gt;"S",ORÇAMENTO.CodBarra=""),"(Sem Código)",IF(ISERROR(MATCH($AE278,INDIRECT(ORÇAMENTO.BancoRef),0)),"(Código não identificado nas referências)",MATCH($AE278,INDIRECT(ORÇAMENTO.BancoRef),0))))</f>
        <v>(abra o arquivo 'Referência 02-2025.xlsm)</v>
      </c>
      <c r="AG278" s="498">
        <f ca="1">ROUND(IF(DESONERACAO="sim",REFERENCIA.Desonerado,REFERENCIA.NaoDesonerado),2)</f>
        <v>0</v>
      </c>
      <c r="AH278" s="499">
        <f t="shared" ca="1" si="69"/>
        <v>0.22470000000000001</v>
      </c>
      <c r="AJ278" s="501">
        <v>16</v>
      </c>
      <c r="AL278" s="527"/>
      <c r="AM278" s="381">
        <f t="shared" ca="1" si="70"/>
        <v>0</v>
      </c>
      <c r="AN278" s="566">
        <f t="shared" ca="1" si="71"/>
        <v>0</v>
      </c>
    </row>
    <row r="279" spans="1:40" ht="38.25" x14ac:dyDescent="0.2">
      <c r="A279" t="str">
        <f t="shared" si="56"/>
        <v>S</v>
      </c>
      <c r="B279">
        <f t="shared" ca="1" si="57"/>
        <v>3</v>
      </c>
      <c r="C279" t="str">
        <f t="shared" ca="1" si="58"/>
        <v>S</v>
      </c>
      <c r="D279">
        <f t="shared" ca="1" si="59"/>
        <v>0</v>
      </c>
      <c r="E279">
        <f ca="1">IF($C279=1,OFFSET(E279,-1,0)+MAX(1,COUNTIF(QCI!$A$13:$A$24,OFFSET(ORÇAMENTO!E279,-1,0))),OFFSET(E279,-1,0))</f>
        <v>1</v>
      </c>
      <c r="F279">
        <f t="shared" ca="1" si="60"/>
        <v>12</v>
      </c>
      <c r="G279">
        <f t="shared" ca="1" si="61"/>
        <v>1</v>
      </c>
      <c r="H279">
        <f t="shared" ca="1" si="62"/>
        <v>0</v>
      </c>
      <c r="I279">
        <f t="shared" ca="1" si="63"/>
        <v>0</v>
      </c>
      <c r="J279">
        <f t="shared" ca="1" si="86"/>
        <v>0</v>
      </c>
      <c r="K279">
        <f ca="1">IF(OR($C279="S",$C279=0),0,MATCH(OFFSET($D279,0,$C279)+IF($C279&lt;&gt;1,1,COUNTIF(QCI!$A$13:$A$24,ORÇAMENTO!E279)),OFFSET($D279,1,$C279,ROW($C$747)-ROW($C279)),0))</f>
        <v>0</v>
      </c>
      <c r="L279" s="116" t="str">
        <f t="shared" ca="1" si="64"/>
        <v/>
      </c>
      <c r="M279" s="117" t="s">
        <v>199</v>
      </c>
      <c r="N279" s="118" t="str">
        <f t="shared" ca="1" si="65"/>
        <v>Serviço</v>
      </c>
      <c r="O279" s="119" t="str">
        <f t="shared" ca="1" si="66"/>
        <v>-</v>
      </c>
      <c r="P279" s="120" t="s">
        <v>247</v>
      </c>
      <c r="Q279" s="121" t="s">
        <v>514</v>
      </c>
      <c r="R279" s="122" t="str">
        <f ca="1">IF($C279="S",REFERENCIA.Descricao,"(digite a descrição aqui)")</f>
        <v>(abra o arquivo 'Referência 02-2025.xlsm)</v>
      </c>
      <c r="S279" s="123" t="str">
        <f ca="1">REFERENCIA.Unidade</f>
        <v>-</v>
      </c>
      <c r="T279" s="124">
        <f ca="1">OFFSET(CÁLCULO!H$15,ROW($T279)-ROW(T$15),0)</f>
        <v>38</v>
      </c>
      <c r="U279" s="125">
        <f t="shared" ca="1" si="72"/>
        <v>0</v>
      </c>
      <c r="V279" s="126" t="s">
        <v>156</v>
      </c>
      <c r="W279" s="124">
        <f ca="1">IF($C279="S",ROUND(IF(TIPOORCAMENTO="Proposto",ORÇAMENTO.CustoUnitario*(1+$AH279),ORÇAMENTO.PrecoUnitarioLicitado),15-13*$AF$10),0)</f>
        <v>0</v>
      </c>
      <c r="X279" s="127">
        <f ca="1">IF($C279="S",IF(Import.TipoArredondamento&lt;&gt;"TransfereGOV",VTOTAL1,SUM(OFFSET(CÁLCULO!$AA$15,ROW($X279)-ROW($X$15),1):OFFSET(CÁLCULO!$AL$15,ROW($X279)-ROW($X$15),-1))),IF($C279=0,0,ROUND(SomaAgrup,15-13*$AF$11)))</f>
        <v>0</v>
      </c>
      <c r="Y279" s="128" t="s">
        <v>245</v>
      </c>
      <c r="Z279" t="str">
        <f t="shared" ca="1" si="67"/>
        <v/>
      </c>
      <c r="AA279" s="129">
        <f ca="1">IF($C279="S",IF($Z279="CP",$X279,IF($Z279="RA",(($X279)*QCI!$AA$3),0)),SomaAgrup)</f>
        <v>0</v>
      </c>
      <c r="AB279" s="130">
        <f t="shared" ca="1" si="68"/>
        <v>0</v>
      </c>
      <c r="AC279" s="131" t="str">
        <f ca="1">IF($N279="","",IF(ORÇAMENTO.Descricao="","DESCRIÇÃO",IF(AND($C279="S",ORÇAMENTO.Unidade=""),"UNIDADE",IF($X279&lt;0,"VALOR NEGATIVO",IF(OR(AND(TIPOORCAMENTO="Proposto",$AG279&lt;&gt;"",$AG279&gt;0,ORÇAMENTO.CustoUnitario&gt;$AG279),AND(TIPOORCAMENTO="LICITADO",ORÇAMENTO.PrecoUnitarioLicitado&gt;$AN279)),"ACIMA REF.","")))))</f>
        <v/>
      </c>
      <c r="AD279" t="str">
        <f ca="1">IF(C279&lt;=CRONO.NivelExibicao,MAX($AD$15:OFFSET(AD279,-1,0))+IF($C279&lt;&gt;1,1,MAX(1,COUNTIF(QCI!$A$13:$A$24,OFFSET($E279,-1,0)))),"")</f>
        <v/>
      </c>
      <c r="AE279" s="7" t="str">
        <f ca="1">IF(AND($C279="S",ORÇAMENTO.CodBarra&lt;&gt;""),IF(ORÇAMENTO.Fonte="",ORÇAMENTO.CodBarra,CONCATENATE(ORÇAMENTO.Fonte," ",ORÇAMENTO.CodBarra)))</f>
        <v>SINAPI 103968</v>
      </c>
      <c r="AF279" s="13" t="str">
        <f ca="1">IF(ISERROR(INDIRECT(ORÇAMENTO.BancoRef)),"(abra o arquivo 'Referência "&amp;Excel_BuiltIn_Database&amp;".xlsm)",IF(OR($C279&lt;&gt;"S",ORÇAMENTO.CodBarra=""),"(Sem Código)",IF(ISERROR(MATCH($AE279,INDIRECT(ORÇAMENTO.BancoRef),0)),"(Código não identificado nas referências)",MATCH($AE279,INDIRECT(ORÇAMENTO.BancoRef),0))))</f>
        <v>(abra o arquivo 'Referência 02-2025.xlsm)</v>
      </c>
      <c r="AG279" s="498">
        <f ca="1">ROUND(IF(DESONERACAO="sim",REFERENCIA.Desonerado,REFERENCIA.NaoDesonerado),2)</f>
        <v>0</v>
      </c>
      <c r="AH279" s="499">
        <f t="shared" ca="1" si="69"/>
        <v>0.22470000000000001</v>
      </c>
      <c r="AJ279" s="501">
        <v>38</v>
      </c>
      <c r="AL279" s="527"/>
      <c r="AM279" s="381">
        <f t="shared" ca="1" si="70"/>
        <v>0</v>
      </c>
      <c r="AN279" s="566">
        <f t="shared" ca="1" si="71"/>
        <v>0</v>
      </c>
    </row>
    <row r="280" spans="1:40" ht="38.25" x14ac:dyDescent="0.2">
      <c r="A280" t="str">
        <f t="shared" si="56"/>
        <v>S</v>
      </c>
      <c r="B280">
        <f t="shared" ca="1" si="57"/>
        <v>3</v>
      </c>
      <c r="C280" t="str">
        <f t="shared" ca="1" si="58"/>
        <v>S</v>
      </c>
      <c r="D280">
        <f t="shared" ca="1" si="59"/>
        <v>0</v>
      </c>
      <c r="E280">
        <f ca="1">IF($C280=1,OFFSET(E280,-1,0)+MAX(1,COUNTIF(QCI!$A$13:$A$24,OFFSET(ORÇAMENTO!E280,-1,0))),OFFSET(E280,-1,0))</f>
        <v>1</v>
      </c>
      <c r="F280">
        <f t="shared" ca="1" si="60"/>
        <v>12</v>
      </c>
      <c r="G280">
        <f t="shared" ca="1" si="61"/>
        <v>1</v>
      </c>
      <c r="H280">
        <f t="shared" ca="1" si="62"/>
        <v>0</v>
      </c>
      <c r="I280">
        <f t="shared" ca="1" si="63"/>
        <v>0</v>
      </c>
      <c r="J280">
        <f t="shared" ca="1" si="86"/>
        <v>0</v>
      </c>
      <c r="K280">
        <f ca="1">IF(OR($C280="S",$C280=0),0,MATCH(OFFSET($D280,0,$C280)+IF($C280&lt;&gt;1,1,COUNTIF(QCI!$A$13:$A$24,ORÇAMENTO!E280)),OFFSET($D280,1,$C280,ROW($C$747)-ROW($C280)),0))</f>
        <v>0</v>
      </c>
      <c r="L280" s="116" t="str">
        <f t="shared" ca="1" si="64"/>
        <v/>
      </c>
      <c r="M280" s="117" t="s">
        <v>199</v>
      </c>
      <c r="N280" s="118" t="str">
        <f t="shared" ca="1" si="65"/>
        <v>Serviço</v>
      </c>
      <c r="O280" s="119" t="str">
        <f t="shared" ca="1" si="66"/>
        <v>-</v>
      </c>
      <c r="P280" s="120" t="s">
        <v>712</v>
      </c>
      <c r="Q280" s="121" t="s">
        <v>794</v>
      </c>
      <c r="R280" s="122" t="str">
        <f ca="1">IF($C280="S",REFERENCIA.Descricao,"(digite a descrição aqui)")</f>
        <v>(abra o arquivo 'Referência 02-2025.xlsm)</v>
      </c>
      <c r="S280" s="123" t="str">
        <f ca="1">REFERENCIA.Unidade</f>
        <v>-</v>
      </c>
      <c r="T280" s="124">
        <f ca="1">OFFSET(CÁLCULO!H$15,ROW($T280)-ROW(T$15),0)</f>
        <v>18</v>
      </c>
      <c r="U280" s="125">
        <f t="shared" ca="1" si="72"/>
        <v>0</v>
      </c>
      <c r="V280" s="126" t="s">
        <v>156</v>
      </c>
      <c r="W280" s="124">
        <f ca="1">IF($C280="S",ROUND(IF(TIPOORCAMENTO="Proposto",ORÇAMENTO.CustoUnitario*(1+$AH280),ORÇAMENTO.PrecoUnitarioLicitado),15-13*$AF$10),0)</f>
        <v>0</v>
      </c>
      <c r="X280" s="127">
        <f ca="1">IF($C280="S",IF(Import.TipoArredondamento&lt;&gt;"TransfereGOV",VTOTAL1,SUM(OFFSET(CÁLCULO!$AA$15,ROW($X280)-ROW($X$15),1):OFFSET(CÁLCULO!$AL$15,ROW($X280)-ROW($X$15),-1))),IF($C280=0,0,ROUND(SomaAgrup,15-13*$AF$11)))</f>
        <v>0</v>
      </c>
      <c r="Y280" s="128" t="s">
        <v>245</v>
      </c>
      <c r="Z280" t="str">
        <f t="shared" ca="1" si="67"/>
        <v/>
      </c>
      <c r="AA280" s="129">
        <f ca="1">IF($C280="S",IF($Z280="CP",$X280,IF($Z280="RA",(($X280)*QCI!$AA$3),0)),SomaAgrup)</f>
        <v>0</v>
      </c>
      <c r="AB280" s="130">
        <f t="shared" ca="1" si="68"/>
        <v>0</v>
      </c>
      <c r="AC280" s="131" t="str">
        <f ca="1">IF($N280="","",IF(ORÇAMENTO.Descricao="","DESCRIÇÃO",IF(AND($C280="S",ORÇAMENTO.Unidade=""),"UNIDADE",IF($X280&lt;0,"VALOR NEGATIVO",IF(OR(AND(TIPOORCAMENTO="Proposto",$AG280&lt;&gt;"",$AG280&gt;0,ORÇAMENTO.CustoUnitario&gt;$AG280),AND(TIPOORCAMENTO="LICITADO",ORÇAMENTO.PrecoUnitarioLicitado&gt;$AN280)),"ACIMA REF.","")))))</f>
        <v/>
      </c>
      <c r="AD280" t="str">
        <f ca="1">IF(C280&lt;=CRONO.NivelExibicao,MAX($AD$15:OFFSET(AD280,-1,0))+IF($C280&lt;&gt;1,1,MAX(1,COUNTIF(QCI!$A$13:$A$24,OFFSET($E280,-1,0)))),"")</f>
        <v/>
      </c>
      <c r="AE280" s="7" t="str">
        <f ca="1">IF(AND($C280="S",ORÇAMENTO.CodBarra&lt;&gt;""),IF(ORÇAMENTO.Fonte="",ORÇAMENTO.CodBarra,CONCATENATE(ORÇAMENTO.Fonte," ",ORÇAMENTO.CodBarra)))</f>
        <v>Composição FNDE 413</v>
      </c>
      <c r="AF280" s="13" t="str">
        <f ca="1">IF(ISERROR(INDIRECT(ORÇAMENTO.BancoRef)),"(abra o arquivo 'Referência "&amp;Excel_BuiltIn_Database&amp;".xlsm)",IF(OR($C280&lt;&gt;"S",ORÇAMENTO.CodBarra=""),"(Sem Código)",IF(ISERROR(MATCH($AE280,INDIRECT(ORÇAMENTO.BancoRef),0)),"(Código não identificado nas referências)",MATCH($AE280,INDIRECT(ORÇAMENTO.BancoRef),0))))</f>
        <v>(abra o arquivo 'Referência 02-2025.xlsm)</v>
      </c>
      <c r="AG280" s="498">
        <f ca="1">ROUND(IF(DESONERACAO="sim",REFERENCIA.Desonerado,REFERENCIA.NaoDesonerado),2)</f>
        <v>0</v>
      </c>
      <c r="AH280" s="499">
        <f t="shared" ca="1" si="69"/>
        <v>0.22470000000000001</v>
      </c>
      <c r="AJ280" s="501">
        <v>18</v>
      </c>
      <c r="AL280" s="527"/>
      <c r="AM280" s="381">
        <f t="shared" ca="1" si="70"/>
        <v>0</v>
      </c>
      <c r="AN280" s="566">
        <f t="shared" ca="1" si="71"/>
        <v>0</v>
      </c>
    </row>
    <row r="281" spans="1:40" ht="25.5" x14ac:dyDescent="0.2">
      <c r="A281" t="str">
        <f t="shared" si="56"/>
        <v>S</v>
      </c>
      <c r="B281">
        <f t="shared" ca="1" si="57"/>
        <v>3</v>
      </c>
      <c r="C281" t="str">
        <f t="shared" ca="1" si="58"/>
        <v>S</v>
      </c>
      <c r="D281">
        <f t="shared" ca="1" si="59"/>
        <v>0</v>
      </c>
      <c r="E281">
        <f ca="1">IF($C281=1,OFFSET(E281,-1,0)+MAX(1,COUNTIF(QCI!$A$13:$A$24,OFFSET(ORÇAMENTO!E281,-1,0))),OFFSET(E281,-1,0))</f>
        <v>1</v>
      </c>
      <c r="F281">
        <f t="shared" ca="1" si="60"/>
        <v>12</v>
      </c>
      <c r="G281">
        <f t="shared" ca="1" si="61"/>
        <v>1</v>
      </c>
      <c r="H281">
        <f t="shared" ca="1" si="62"/>
        <v>0</v>
      </c>
      <c r="I281">
        <f t="shared" ca="1" si="63"/>
        <v>0</v>
      </c>
      <c r="J281">
        <f t="shared" ca="1" si="86"/>
        <v>0</v>
      </c>
      <c r="K281">
        <f ca="1">IF(OR($C281="S",$C281=0),0,MATCH(OFFSET($D281,0,$C281)+IF($C281&lt;&gt;1,1,COUNTIF(QCI!$A$13:$A$24,ORÇAMENTO!E281)),OFFSET($D281,1,$C281,ROW($C$747)-ROW($C281)),0))</f>
        <v>0</v>
      </c>
      <c r="L281" s="116" t="str">
        <f t="shared" ca="1" si="64"/>
        <v/>
      </c>
      <c r="M281" s="117" t="s">
        <v>199</v>
      </c>
      <c r="N281" s="118" t="str">
        <f t="shared" ca="1" si="65"/>
        <v>Serviço</v>
      </c>
      <c r="O281" s="119" t="str">
        <f t="shared" ca="1" si="66"/>
        <v>-</v>
      </c>
      <c r="P281" s="120" t="s">
        <v>247</v>
      </c>
      <c r="Q281" s="121" t="s">
        <v>535</v>
      </c>
      <c r="R281" s="122" t="str">
        <f ca="1">IF($C281="S",REFERENCIA.Descricao,"(digite a descrição aqui)")</f>
        <v>(abra o arquivo 'Referência 02-2025.xlsm)</v>
      </c>
      <c r="S281" s="123" t="str">
        <f ca="1">REFERENCIA.Unidade</f>
        <v>-</v>
      </c>
      <c r="T281" s="124">
        <f ca="1">OFFSET(CÁLCULO!H$15,ROW($T281)-ROW(T$15),0)</f>
        <v>1</v>
      </c>
      <c r="U281" s="125">
        <f t="shared" ca="1" si="72"/>
        <v>0</v>
      </c>
      <c r="V281" s="126" t="s">
        <v>156</v>
      </c>
      <c r="W281" s="124">
        <f ca="1">IF($C281="S",ROUND(IF(TIPOORCAMENTO="Proposto",ORÇAMENTO.CustoUnitario*(1+$AH281),ORÇAMENTO.PrecoUnitarioLicitado),15-13*$AF$10),0)</f>
        <v>0</v>
      </c>
      <c r="X281" s="127">
        <f ca="1">IF($C281="S",IF(Import.TipoArredondamento&lt;&gt;"TransfereGOV",VTOTAL1,SUM(OFFSET(CÁLCULO!$AA$15,ROW($X281)-ROW($X$15),1):OFFSET(CÁLCULO!$AL$15,ROW($X281)-ROW($X$15),-1))),IF($C281=0,0,ROUND(SomaAgrup,15-13*$AF$11)))</f>
        <v>0</v>
      </c>
      <c r="Y281" s="128" t="s">
        <v>245</v>
      </c>
      <c r="Z281" t="str">
        <f t="shared" ca="1" si="67"/>
        <v/>
      </c>
      <c r="AA281" s="129">
        <f ca="1">IF($C281="S",IF($Z281="CP",$X281,IF($Z281="RA",(($X281)*QCI!$AA$3),0)),SomaAgrup)</f>
        <v>0</v>
      </c>
      <c r="AB281" s="130">
        <f t="shared" ca="1" si="68"/>
        <v>0</v>
      </c>
      <c r="AC281" s="131" t="str">
        <f ca="1">IF($N281="","",IF(ORÇAMENTO.Descricao="","DESCRIÇÃO",IF(AND($C281="S",ORÇAMENTO.Unidade=""),"UNIDADE",IF($X281&lt;0,"VALOR NEGATIVO",IF(OR(AND(TIPOORCAMENTO="Proposto",$AG281&lt;&gt;"",$AG281&gt;0,ORÇAMENTO.CustoUnitario&gt;$AG281),AND(TIPOORCAMENTO="LICITADO",ORÇAMENTO.PrecoUnitarioLicitado&gt;$AN281)),"ACIMA REF.","")))))</f>
        <v/>
      </c>
      <c r="AD281" t="str">
        <f ca="1">IF(C281&lt;=CRONO.NivelExibicao,MAX($AD$15:OFFSET(AD281,-1,0))+IF($C281&lt;&gt;1,1,MAX(1,COUNTIF(QCI!$A$13:$A$24,OFFSET($E281,-1,0)))),"")</f>
        <v/>
      </c>
      <c r="AE281" s="7" t="str">
        <f ca="1">IF(AND($C281="S",ORÇAMENTO.CodBarra&lt;&gt;""),IF(ORÇAMENTO.Fonte="",ORÇAMENTO.CodBarra,CONCATENATE(ORÇAMENTO.Fonte," ",ORÇAMENTO.CodBarra)))</f>
        <v>SINAPI 104034</v>
      </c>
      <c r="AF281" s="13" t="str">
        <f ca="1">IF(ISERROR(INDIRECT(ORÇAMENTO.BancoRef)),"(abra o arquivo 'Referência "&amp;Excel_BuiltIn_Database&amp;".xlsm)",IF(OR($C281&lt;&gt;"S",ORÇAMENTO.CodBarra=""),"(Sem Código)",IF(ISERROR(MATCH($AE281,INDIRECT(ORÇAMENTO.BancoRef),0)),"(Código não identificado nas referências)",MATCH($AE281,INDIRECT(ORÇAMENTO.BancoRef),0))))</f>
        <v>(abra o arquivo 'Referência 02-2025.xlsm)</v>
      </c>
      <c r="AG281" s="498">
        <f ca="1">ROUND(IF(DESONERACAO="sim",REFERENCIA.Desonerado,REFERENCIA.NaoDesonerado),2)</f>
        <v>0</v>
      </c>
      <c r="AH281" s="499">
        <f t="shared" ca="1" si="69"/>
        <v>0.22470000000000001</v>
      </c>
      <c r="AJ281" s="501">
        <v>1</v>
      </c>
      <c r="AL281" s="527"/>
      <c r="AM281" s="381">
        <f t="shared" ca="1" si="70"/>
        <v>0</v>
      </c>
      <c r="AN281" s="566">
        <f t="shared" ca="1" si="71"/>
        <v>0</v>
      </c>
    </row>
    <row r="282" spans="1:40" ht="38.25" x14ac:dyDescent="0.2">
      <c r="A282" t="str">
        <f t="shared" si="56"/>
        <v>S</v>
      </c>
      <c r="B282">
        <f t="shared" ca="1" si="57"/>
        <v>3</v>
      </c>
      <c r="C282" t="str">
        <f t="shared" ca="1" si="58"/>
        <v>S</v>
      </c>
      <c r="D282">
        <f t="shared" ca="1" si="59"/>
        <v>0</v>
      </c>
      <c r="E282">
        <f ca="1">IF($C282=1,OFFSET(E282,-1,0)+MAX(1,COUNTIF(QCI!$A$13:$A$24,OFFSET(ORÇAMENTO!E282,-1,0))),OFFSET(E282,-1,0))</f>
        <v>1</v>
      </c>
      <c r="F282">
        <f t="shared" ca="1" si="60"/>
        <v>12</v>
      </c>
      <c r="G282">
        <f t="shared" ca="1" si="61"/>
        <v>1</v>
      </c>
      <c r="H282">
        <f t="shared" ca="1" si="62"/>
        <v>0</v>
      </c>
      <c r="I282">
        <f t="shared" ca="1" si="63"/>
        <v>0</v>
      </c>
      <c r="J282">
        <f t="shared" ca="1" si="86"/>
        <v>0</v>
      </c>
      <c r="K282">
        <f ca="1">IF(OR($C282="S",$C282=0),0,MATCH(OFFSET($D282,0,$C282)+IF($C282&lt;&gt;1,1,COUNTIF(QCI!$A$13:$A$24,ORÇAMENTO!E282)),OFFSET($D282,1,$C282,ROW($C$747)-ROW($C282)),0))</f>
        <v>0</v>
      </c>
      <c r="L282" s="116" t="str">
        <f t="shared" ca="1" si="64"/>
        <v/>
      </c>
      <c r="M282" s="117" t="s">
        <v>199</v>
      </c>
      <c r="N282" s="118" t="str">
        <f t="shared" ca="1" si="65"/>
        <v>Serviço</v>
      </c>
      <c r="O282" s="119" t="str">
        <f t="shared" ca="1" si="66"/>
        <v>-</v>
      </c>
      <c r="P282" s="120" t="s">
        <v>247</v>
      </c>
      <c r="Q282" s="121" t="s">
        <v>515</v>
      </c>
      <c r="R282" s="122" t="str">
        <f ca="1">IF($C282="S",REFERENCIA.Descricao,"(digite a descrição aqui)")</f>
        <v>(abra o arquivo 'Referência 02-2025.xlsm)</v>
      </c>
      <c r="S282" s="123" t="str">
        <f ca="1">REFERENCIA.Unidade</f>
        <v>-</v>
      </c>
      <c r="T282" s="124">
        <f ca="1">OFFSET(CÁLCULO!H$15,ROW($T282)-ROW(T$15),0)</f>
        <v>25</v>
      </c>
      <c r="U282" s="125">
        <f t="shared" ca="1" si="72"/>
        <v>0</v>
      </c>
      <c r="V282" s="126" t="s">
        <v>156</v>
      </c>
      <c r="W282" s="124">
        <f ca="1">IF($C282="S",ROUND(IF(TIPOORCAMENTO="Proposto",ORÇAMENTO.CustoUnitario*(1+$AH282),ORÇAMENTO.PrecoUnitarioLicitado),15-13*$AF$10),0)</f>
        <v>0</v>
      </c>
      <c r="X282" s="127">
        <f ca="1">IF($C282="S",IF(Import.TipoArredondamento&lt;&gt;"TransfereGOV",VTOTAL1,SUM(OFFSET(CÁLCULO!$AA$15,ROW($X282)-ROW($X$15),1):OFFSET(CÁLCULO!$AL$15,ROW($X282)-ROW($X$15),-1))),IF($C282=0,0,ROUND(SomaAgrup,15-13*$AF$11)))</f>
        <v>0</v>
      </c>
      <c r="Y282" s="128" t="s">
        <v>245</v>
      </c>
      <c r="Z282" t="str">
        <f t="shared" ca="1" si="67"/>
        <v/>
      </c>
      <c r="AA282" s="129">
        <f ca="1">IF($C282="S",IF($Z282="CP",$X282,IF($Z282="RA",(($X282)*QCI!$AA$3),0)),SomaAgrup)</f>
        <v>0</v>
      </c>
      <c r="AB282" s="130">
        <f t="shared" ca="1" si="68"/>
        <v>0</v>
      </c>
      <c r="AC282" s="131" t="str">
        <f ca="1">IF($N282="","",IF(ORÇAMENTO.Descricao="","DESCRIÇÃO",IF(AND($C282="S",ORÇAMENTO.Unidade=""),"UNIDADE",IF($X282&lt;0,"VALOR NEGATIVO",IF(OR(AND(TIPOORCAMENTO="Proposto",$AG282&lt;&gt;"",$AG282&gt;0,ORÇAMENTO.CustoUnitario&gt;$AG282),AND(TIPOORCAMENTO="LICITADO",ORÇAMENTO.PrecoUnitarioLicitado&gt;$AN282)),"ACIMA REF.","")))))</f>
        <v/>
      </c>
      <c r="AD282" t="str">
        <f ca="1">IF(C282&lt;=CRONO.NivelExibicao,MAX($AD$15:OFFSET(AD282,-1,0))+IF($C282&lt;&gt;1,1,MAX(1,COUNTIF(QCI!$A$13:$A$24,OFFSET($E282,-1,0)))),"")</f>
        <v/>
      </c>
      <c r="AE282" s="7" t="str">
        <f ca="1">IF(AND($C282="S",ORÇAMENTO.CodBarra&lt;&gt;""),IF(ORÇAMENTO.Fonte="",ORÇAMENTO.CodBarra,CONCATENATE(ORÇAMENTO.Fonte," ",ORÇAMENTO.CodBarra)))</f>
        <v>SINAPI 103986</v>
      </c>
      <c r="AF282" s="13" t="str">
        <f ca="1">IF(ISERROR(INDIRECT(ORÇAMENTO.BancoRef)),"(abra o arquivo 'Referência "&amp;Excel_BuiltIn_Database&amp;".xlsm)",IF(OR($C282&lt;&gt;"S",ORÇAMENTO.CodBarra=""),"(Sem Código)",IF(ISERROR(MATCH($AE282,INDIRECT(ORÇAMENTO.BancoRef),0)),"(Código não identificado nas referências)",MATCH($AE282,INDIRECT(ORÇAMENTO.BancoRef),0))))</f>
        <v>(abra o arquivo 'Referência 02-2025.xlsm)</v>
      </c>
      <c r="AG282" s="498">
        <f ca="1">ROUND(IF(DESONERACAO="sim",REFERENCIA.Desonerado,REFERENCIA.NaoDesonerado),2)</f>
        <v>0</v>
      </c>
      <c r="AH282" s="499">
        <f t="shared" ca="1" si="69"/>
        <v>0.22470000000000001</v>
      </c>
      <c r="AJ282" s="501">
        <v>25</v>
      </c>
      <c r="AL282" s="527"/>
      <c r="AM282" s="381">
        <f t="shared" ca="1" si="70"/>
        <v>0</v>
      </c>
      <c r="AN282" s="566">
        <f t="shared" ca="1" si="71"/>
        <v>0</v>
      </c>
    </row>
    <row r="283" spans="1:40" ht="38.25" x14ac:dyDescent="0.2">
      <c r="A283" t="str">
        <f t="shared" si="56"/>
        <v>S</v>
      </c>
      <c r="B283">
        <f t="shared" ca="1" si="57"/>
        <v>3</v>
      </c>
      <c r="C283" t="str">
        <f t="shared" ca="1" si="58"/>
        <v>S</v>
      </c>
      <c r="D283">
        <f t="shared" ca="1" si="59"/>
        <v>0</v>
      </c>
      <c r="E283">
        <f ca="1">IF($C283=1,OFFSET(E283,-1,0)+MAX(1,COUNTIF(QCI!$A$13:$A$24,OFFSET(ORÇAMENTO!E283,-1,0))),OFFSET(E283,-1,0))</f>
        <v>1</v>
      </c>
      <c r="F283">
        <f t="shared" ca="1" si="60"/>
        <v>12</v>
      </c>
      <c r="G283">
        <f t="shared" ca="1" si="61"/>
        <v>1</v>
      </c>
      <c r="H283">
        <f t="shared" ca="1" si="62"/>
        <v>0</v>
      </c>
      <c r="I283">
        <f t="shared" ca="1" si="63"/>
        <v>0</v>
      </c>
      <c r="J283">
        <f t="shared" ca="1" si="86"/>
        <v>0</v>
      </c>
      <c r="K283">
        <f ca="1">IF(OR($C283="S",$C283=0),0,MATCH(OFFSET($D283,0,$C283)+IF($C283&lt;&gt;1,1,COUNTIF(QCI!$A$13:$A$24,ORÇAMENTO!E283)),OFFSET($D283,1,$C283,ROW($C$747)-ROW($C283)),0))</f>
        <v>0</v>
      </c>
      <c r="L283" s="116" t="str">
        <f t="shared" ca="1" si="64"/>
        <v/>
      </c>
      <c r="M283" s="117" t="s">
        <v>199</v>
      </c>
      <c r="N283" s="118" t="str">
        <f t="shared" ca="1" si="65"/>
        <v>Serviço</v>
      </c>
      <c r="O283" s="119" t="str">
        <f t="shared" ca="1" si="66"/>
        <v>-</v>
      </c>
      <c r="P283" s="120" t="s">
        <v>247</v>
      </c>
      <c r="Q283" s="121" t="s">
        <v>516</v>
      </c>
      <c r="R283" s="122" t="str">
        <f ca="1">IF($C283="S",REFERENCIA.Descricao,"(digite a descrição aqui)")</f>
        <v>(abra o arquivo 'Referência 02-2025.xlsm)</v>
      </c>
      <c r="S283" s="123" t="str">
        <f ca="1">REFERENCIA.Unidade</f>
        <v>-</v>
      </c>
      <c r="T283" s="124">
        <f ca="1">OFFSET(CÁLCULO!H$15,ROW($T283)-ROW(T$15),0)</f>
        <v>216</v>
      </c>
      <c r="U283" s="125">
        <f t="shared" ca="1" si="72"/>
        <v>0</v>
      </c>
      <c r="V283" s="126" t="s">
        <v>156</v>
      </c>
      <c r="W283" s="124">
        <f ca="1">IF($C283="S",ROUND(IF(TIPOORCAMENTO="Proposto",ORÇAMENTO.CustoUnitario*(1+$AH283),ORÇAMENTO.PrecoUnitarioLicitado),15-13*$AF$10),0)</f>
        <v>0</v>
      </c>
      <c r="X283" s="127">
        <f ca="1">IF($C283="S",IF(Import.TipoArredondamento&lt;&gt;"TransfereGOV",VTOTAL1,SUM(OFFSET(CÁLCULO!$AA$15,ROW($X283)-ROW($X$15),1):OFFSET(CÁLCULO!$AL$15,ROW($X283)-ROW($X$15),-1))),IF($C283=0,0,ROUND(SomaAgrup,15-13*$AF$11)))</f>
        <v>0</v>
      </c>
      <c r="Y283" s="128" t="s">
        <v>245</v>
      </c>
      <c r="Z283" t="str">
        <f t="shared" ca="1" si="67"/>
        <v/>
      </c>
      <c r="AA283" s="129">
        <f ca="1">IF($C283="S",IF($Z283="CP",$X283,IF($Z283="RA",(($X283)*QCI!$AA$3),0)),SomaAgrup)</f>
        <v>0</v>
      </c>
      <c r="AB283" s="130">
        <f t="shared" ca="1" si="68"/>
        <v>0</v>
      </c>
      <c r="AC283" s="131" t="str">
        <f ca="1">IF($N283="","",IF(ORÇAMENTO.Descricao="","DESCRIÇÃO",IF(AND($C283="S",ORÇAMENTO.Unidade=""),"UNIDADE",IF($X283&lt;0,"VALOR NEGATIVO",IF(OR(AND(TIPOORCAMENTO="Proposto",$AG283&lt;&gt;"",$AG283&gt;0,ORÇAMENTO.CustoUnitario&gt;$AG283),AND(TIPOORCAMENTO="LICITADO",ORÇAMENTO.PrecoUnitarioLicitado&gt;$AN283)),"ACIMA REF.","")))))</f>
        <v/>
      </c>
      <c r="AD283" t="str">
        <f ca="1">IF(C283&lt;=CRONO.NivelExibicao,MAX($AD$15:OFFSET(AD283,-1,0))+IF($C283&lt;&gt;1,1,MAX(1,COUNTIF(QCI!$A$13:$A$24,OFFSET($E283,-1,0)))),"")</f>
        <v/>
      </c>
      <c r="AE283" s="7" t="str">
        <f ca="1">IF(AND($C283="S",ORÇAMENTO.CodBarra&lt;&gt;""),IF(ORÇAMENTO.Fonte="",ORÇAMENTO.CodBarra,CONCATENATE(ORÇAMENTO.Fonte," ",ORÇAMENTO.CodBarra)))</f>
        <v>SINAPI 89408</v>
      </c>
      <c r="AF283" s="13" t="str">
        <f ca="1">IF(ISERROR(INDIRECT(ORÇAMENTO.BancoRef)),"(abra o arquivo 'Referência "&amp;Excel_BuiltIn_Database&amp;".xlsm)",IF(OR($C283&lt;&gt;"S",ORÇAMENTO.CodBarra=""),"(Sem Código)",IF(ISERROR(MATCH($AE283,INDIRECT(ORÇAMENTO.BancoRef),0)),"(Código não identificado nas referências)",MATCH($AE283,INDIRECT(ORÇAMENTO.BancoRef),0))))</f>
        <v>(abra o arquivo 'Referência 02-2025.xlsm)</v>
      </c>
      <c r="AG283" s="498">
        <f ca="1">ROUND(IF(DESONERACAO="sim",REFERENCIA.Desonerado,REFERENCIA.NaoDesonerado),2)</f>
        <v>0</v>
      </c>
      <c r="AH283" s="499">
        <f t="shared" ca="1" si="69"/>
        <v>0.22470000000000001</v>
      </c>
      <c r="AJ283" s="501">
        <v>216</v>
      </c>
      <c r="AL283" s="527"/>
      <c r="AM283" s="381">
        <f t="shared" ca="1" si="70"/>
        <v>0</v>
      </c>
      <c r="AN283" s="566">
        <f t="shared" ca="1" si="71"/>
        <v>0</v>
      </c>
    </row>
    <row r="284" spans="1:40" ht="38.25" x14ac:dyDescent="0.2">
      <c r="A284" t="str">
        <f t="shared" si="56"/>
        <v>S</v>
      </c>
      <c r="B284">
        <f t="shared" ca="1" si="57"/>
        <v>3</v>
      </c>
      <c r="C284" t="str">
        <f t="shared" ca="1" si="58"/>
        <v>S</v>
      </c>
      <c r="D284">
        <f t="shared" ca="1" si="59"/>
        <v>0</v>
      </c>
      <c r="E284">
        <f ca="1">IF($C284=1,OFFSET(E284,-1,0)+MAX(1,COUNTIF(QCI!$A$13:$A$24,OFFSET(ORÇAMENTO!E284,-1,0))),OFFSET(E284,-1,0))</f>
        <v>1</v>
      </c>
      <c r="F284">
        <f t="shared" ca="1" si="60"/>
        <v>12</v>
      </c>
      <c r="G284">
        <f t="shared" ca="1" si="61"/>
        <v>1</v>
      </c>
      <c r="H284">
        <f t="shared" ca="1" si="62"/>
        <v>0</v>
      </c>
      <c r="I284">
        <f t="shared" ca="1" si="63"/>
        <v>0</v>
      </c>
      <c r="J284">
        <f t="shared" ca="1" si="86"/>
        <v>0</v>
      </c>
      <c r="K284">
        <f ca="1">IF(OR($C284="S",$C284=0),0,MATCH(OFFSET($D284,0,$C284)+IF($C284&lt;&gt;1,1,COUNTIF(QCI!$A$13:$A$24,ORÇAMENTO!E284)),OFFSET($D284,1,$C284,ROW($C$747)-ROW($C284)),0))</f>
        <v>0</v>
      </c>
      <c r="L284" s="116" t="str">
        <f t="shared" ca="1" si="64"/>
        <v/>
      </c>
      <c r="M284" s="117" t="s">
        <v>199</v>
      </c>
      <c r="N284" s="118" t="str">
        <f t="shared" ca="1" si="65"/>
        <v>Serviço</v>
      </c>
      <c r="O284" s="119" t="str">
        <f t="shared" ca="1" si="66"/>
        <v>-</v>
      </c>
      <c r="P284" s="120" t="s">
        <v>247</v>
      </c>
      <c r="Q284" s="121" t="s">
        <v>517</v>
      </c>
      <c r="R284" s="122" t="str">
        <f ca="1">IF($C284="S",REFERENCIA.Descricao,"(digite a descrição aqui)")</f>
        <v>(abra o arquivo 'Referência 02-2025.xlsm)</v>
      </c>
      <c r="S284" s="123" t="str">
        <f ca="1">REFERENCIA.Unidade</f>
        <v>-</v>
      </c>
      <c r="T284" s="124">
        <f ca="1">OFFSET(CÁLCULO!H$15,ROW($T284)-ROW(T$15),0)</f>
        <v>2</v>
      </c>
      <c r="U284" s="125">
        <f t="shared" ca="1" si="72"/>
        <v>0</v>
      </c>
      <c r="V284" s="126" t="s">
        <v>156</v>
      </c>
      <c r="W284" s="124">
        <f ca="1">IF($C284="S",ROUND(IF(TIPOORCAMENTO="Proposto",ORÇAMENTO.CustoUnitario*(1+$AH284),ORÇAMENTO.PrecoUnitarioLicitado),15-13*$AF$10),0)</f>
        <v>0</v>
      </c>
      <c r="X284" s="127">
        <f ca="1">IF($C284="S",IF(Import.TipoArredondamento&lt;&gt;"TransfereGOV",VTOTAL1,SUM(OFFSET(CÁLCULO!$AA$15,ROW($X284)-ROW($X$15),1):OFFSET(CÁLCULO!$AL$15,ROW($X284)-ROW($X$15),-1))),IF($C284=0,0,ROUND(SomaAgrup,15-13*$AF$11)))</f>
        <v>0</v>
      </c>
      <c r="Y284" s="128" t="s">
        <v>245</v>
      </c>
      <c r="Z284" t="str">
        <f t="shared" ca="1" si="67"/>
        <v/>
      </c>
      <c r="AA284" s="129">
        <f ca="1">IF($C284="S",IF($Z284="CP",$X284,IF($Z284="RA",(($X284)*QCI!$AA$3),0)),SomaAgrup)</f>
        <v>0</v>
      </c>
      <c r="AB284" s="130">
        <f t="shared" ca="1" si="68"/>
        <v>0</v>
      </c>
      <c r="AC284" s="131" t="str">
        <f ca="1">IF($N284="","",IF(ORÇAMENTO.Descricao="","DESCRIÇÃO",IF(AND($C284="S",ORÇAMENTO.Unidade=""),"UNIDADE",IF($X284&lt;0,"VALOR NEGATIVO",IF(OR(AND(TIPOORCAMENTO="Proposto",$AG284&lt;&gt;"",$AG284&gt;0,ORÇAMENTO.CustoUnitario&gt;$AG284),AND(TIPOORCAMENTO="LICITADO",ORÇAMENTO.PrecoUnitarioLicitado&gt;$AN284)),"ACIMA REF.","")))))</f>
        <v/>
      </c>
      <c r="AD284" t="str">
        <f ca="1">IF(C284&lt;=CRONO.NivelExibicao,MAX($AD$15:OFFSET(AD284,-1,0))+IF($C284&lt;&gt;1,1,MAX(1,COUNTIF(QCI!$A$13:$A$24,OFFSET($E284,-1,0)))),"")</f>
        <v/>
      </c>
      <c r="AE284" s="7" t="str">
        <f ca="1">IF(AND($C284="S",ORÇAMENTO.CodBarra&lt;&gt;""),IF(ORÇAMENTO.Fonte="",ORÇAMENTO.CodBarra,CONCATENATE(ORÇAMENTO.Fonte," ",ORÇAMENTO.CodBarra)))</f>
        <v>SINAPI 103980</v>
      </c>
      <c r="AF284" s="13" t="str">
        <f ca="1">IF(ISERROR(INDIRECT(ORÇAMENTO.BancoRef)),"(abra o arquivo 'Referência "&amp;Excel_BuiltIn_Database&amp;".xlsm)",IF(OR($C284&lt;&gt;"S",ORÇAMENTO.CodBarra=""),"(Sem Código)",IF(ISERROR(MATCH($AE284,INDIRECT(ORÇAMENTO.BancoRef),0)),"(Código não identificado nas referências)",MATCH($AE284,INDIRECT(ORÇAMENTO.BancoRef),0))))</f>
        <v>(abra o arquivo 'Referência 02-2025.xlsm)</v>
      </c>
      <c r="AG284" s="498">
        <f ca="1">ROUND(IF(DESONERACAO="sim",REFERENCIA.Desonerado,REFERENCIA.NaoDesonerado),2)</f>
        <v>0</v>
      </c>
      <c r="AH284" s="499">
        <f t="shared" ca="1" si="69"/>
        <v>0.22470000000000001</v>
      </c>
      <c r="AJ284" s="501">
        <v>2</v>
      </c>
      <c r="AL284" s="527"/>
      <c r="AM284" s="381">
        <f t="shared" ca="1" si="70"/>
        <v>0</v>
      </c>
      <c r="AN284" s="566">
        <f t="shared" ca="1" si="71"/>
        <v>0</v>
      </c>
    </row>
    <row r="285" spans="1:40" ht="38.25" x14ac:dyDescent="0.2">
      <c r="A285" t="str">
        <f t="shared" si="56"/>
        <v>S</v>
      </c>
      <c r="B285">
        <f t="shared" ca="1" si="57"/>
        <v>3</v>
      </c>
      <c r="C285" t="str">
        <f t="shared" ca="1" si="58"/>
        <v>S</v>
      </c>
      <c r="D285">
        <f t="shared" ca="1" si="59"/>
        <v>0</v>
      </c>
      <c r="E285">
        <f ca="1">IF($C285=1,OFFSET(E285,-1,0)+MAX(1,COUNTIF(QCI!$A$13:$A$24,OFFSET(ORÇAMENTO!E285,-1,0))),OFFSET(E285,-1,0))</f>
        <v>1</v>
      </c>
      <c r="F285">
        <f t="shared" ca="1" si="60"/>
        <v>12</v>
      </c>
      <c r="G285">
        <f t="shared" ca="1" si="61"/>
        <v>1</v>
      </c>
      <c r="H285">
        <f t="shared" ca="1" si="62"/>
        <v>0</v>
      </c>
      <c r="I285">
        <f t="shared" ca="1" si="63"/>
        <v>0</v>
      </c>
      <c r="J285">
        <f t="shared" ca="1" si="86"/>
        <v>0</v>
      </c>
      <c r="K285">
        <f ca="1">IF(OR($C285="S",$C285=0),0,MATCH(OFFSET($D285,0,$C285)+IF($C285&lt;&gt;1,1,COUNTIF(QCI!$A$13:$A$24,ORÇAMENTO!E285)),OFFSET($D285,1,$C285,ROW($C$747)-ROW($C285)),0))</f>
        <v>0</v>
      </c>
      <c r="L285" s="116" t="str">
        <f t="shared" ca="1" si="64"/>
        <v/>
      </c>
      <c r="M285" s="117" t="s">
        <v>199</v>
      </c>
      <c r="N285" s="118" t="str">
        <f t="shared" ca="1" si="65"/>
        <v>Serviço</v>
      </c>
      <c r="O285" s="119" t="str">
        <f t="shared" ca="1" si="66"/>
        <v>-</v>
      </c>
      <c r="P285" s="120" t="s">
        <v>247</v>
      </c>
      <c r="Q285" s="121" t="s">
        <v>518</v>
      </c>
      <c r="R285" s="122" t="str">
        <f ca="1">IF($C285="S",REFERENCIA.Descricao,"(digite a descrição aqui)")</f>
        <v>(abra o arquivo 'Referência 02-2025.xlsm)</v>
      </c>
      <c r="S285" s="123" t="str">
        <f ca="1">REFERENCIA.Unidade</f>
        <v>-</v>
      </c>
      <c r="T285" s="124">
        <f ca="1">OFFSET(CÁLCULO!H$15,ROW($T285)-ROW(T$15),0)</f>
        <v>5</v>
      </c>
      <c r="U285" s="125">
        <f t="shared" ca="1" si="72"/>
        <v>0</v>
      </c>
      <c r="V285" s="126" t="s">
        <v>156</v>
      </c>
      <c r="W285" s="124">
        <f ca="1">IF($C285="S",ROUND(IF(TIPOORCAMENTO="Proposto",ORÇAMENTO.CustoUnitario*(1+$AH285),ORÇAMENTO.PrecoUnitarioLicitado),15-13*$AF$10),0)</f>
        <v>0</v>
      </c>
      <c r="X285" s="127">
        <f ca="1">IF($C285="S",IF(Import.TipoArredondamento&lt;&gt;"TransfereGOV",VTOTAL1,SUM(OFFSET(CÁLCULO!$AA$15,ROW($X285)-ROW($X$15),1):OFFSET(CÁLCULO!$AL$15,ROW($X285)-ROW($X$15),-1))),IF($C285=0,0,ROUND(SomaAgrup,15-13*$AF$11)))</f>
        <v>0</v>
      </c>
      <c r="Y285" s="128" t="s">
        <v>245</v>
      </c>
      <c r="Z285" t="str">
        <f t="shared" ca="1" si="67"/>
        <v/>
      </c>
      <c r="AA285" s="129">
        <f ca="1">IF($C285="S",IF($Z285="CP",$X285,IF($Z285="RA",(($X285)*QCI!$AA$3),0)),SomaAgrup)</f>
        <v>0</v>
      </c>
      <c r="AB285" s="130">
        <f t="shared" ca="1" si="68"/>
        <v>0</v>
      </c>
      <c r="AC285" s="131" t="str">
        <f ca="1">IF($N285="","",IF(ORÇAMENTO.Descricao="","DESCRIÇÃO",IF(AND($C285="S",ORÇAMENTO.Unidade=""),"UNIDADE",IF($X285&lt;0,"VALOR NEGATIVO",IF(OR(AND(TIPOORCAMENTO="Proposto",$AG285&lt;&gt;"",$AG285&gt;0,ORÇAMENTO.CustoUnitario&gt;$AG285),AND(TIPOORCAMENTO="LICITADO",ORÇAMENTO.PrecoUnitarioLicitado&gt;$AN285)),"ACIMA REF.","")))))</f>
        <v/>
      </c>
      <c r="AD285" t="str">
        <f ca="1">IF(C285&lt;=CRONO.NivelExibicao,MAX($AD$15:OFFSET(AD285,-1,0))+IF($C285&lt;&gt;1,1,MAX(1,COUNTIF(QCI!$A$13:$A$24,OFFSET($E285,-1,0)))),"")</f>
        <v/>
      </c>
      <c r="AE285" s="7" t="str">
        <f ca="1">IF(AND($C285="S",ORÇAMENTO.CodBarra&lt;&gt;""),IF(ORÇAMENTO.Fonte="",ORÇAMENTO.CodBarra,CONCATENATE(ORÇAMENTO.Fonte," ",ORÇAMENTO.CodBarra)))</f>
        <v>SINAPI 103984</v>
      </c>
      <c r="AF285" s="13" t="str">
        <f ca="1">IF(ISERROR(INDIRECT(ORÇAMENTO.BancoRef)),"(abra o arquivo 'Referência "&amp;Excel_BuiltIn_Database&amp;".xlsm)",IF(OR($C285&lt;&gt;"S",ORÇAMENTO.CodBarra=""),"(Sem Código)",IF(ISERROR(MATCH($AE285,INDIRECT(ORÇAMENTO.BancoRef),0)),"(Código não identificado nas referências)",MATCH($AE285,INDIRECT(ORÇAMENTO.BancoRef),0))))</f>
        <v>(abra o arquivo 'Referência 02-2025.xlsm)</v>
      </c>
      <c r="AG285" s="498">
        <f ca="1">ROUND(IF(DESONERACAO="sim",REFERENCIA.Desonerado,REFERENCIA.NaoDesonerado),2)</f>
        <v>0</v>
      </c>
      <c r="AH285" s="499">
        <f t="shared" ca="1" si="69"/>
        <v>0.22470000000000001</v>
      </c>
      <c r="AJ285" s="501">
        <v>5</v>
      </c>
      <c r="AL285" s="527"/>
      <c r="AM285" s="381">
        <f t="shared" ca="1" si="70"/>
        <v>0</v>
      </c>
      <c r="AN285" s="566">
        <f t="shared" ca="1" si="71"/>
        <v>0</v>
      </c>
    </row>
    <row r="286" spans="1:40" ht="25.5" x14ac:dyDescent="0.2">
      <c r="A286" t="str">
        <f t="shared" si="56"/>
        <v>S</v>
      </c>
      <c r="B286">
        <f t="shared" ca="1" si="57"/>
        <v>3</v>
      </c>
      <c r="C286" t="str">
        <f t="shared" ca="1" si="58"/>
        <v>S</v>
      </c>
      <c r="D286">
        <f t="shared" ca="1" si="59"/>
        <v>0</v>
      </c>
      <c r="E286">
        <f ca="1">IF($C286=1,OFFSET(E286,-1,0)+MAX(1,COUNTIF(QCI!$A$13:$A$24,OFFSET(ORÇAMENTO!E286,-1,0))),OFFSET(E286,-1,0))</f>
        <v>1</v>
      </c>
      <c r="F286">
        <f t="shared" ca="1" si="60"/>
        <v>12</v>
      </c>
      <c r="G286">
        <f t="shared" ca="1" si="61"/>
        <v>1</v>
      </c>
      <c r="H286">
        <f t="shared" ca="1" si="62"/>
        <v>0</v>
      </c>
      <c r="I286">
        <f t="shared" ca="1" si="63"/>
        <v>0</v>
      </c>
      <c r="J286">
        <f t="shared" ca="1" si="86"/>
        <v>0</v>
      </c>
      <c r="K286">
        <f ca="1">IF(OR($C286="S",$C286=0),0,MATCH(OFFSET($D286,0,$C286)+IF($C286&lt;&gt;1,1,COUNTIF(QCI!$A$13:$A$24,ORÇAMENTO!E286)),OFFSET($D286,1,$C286,ROW($C$747)-ROW($C286)),0))</f>
        <v>0</v>
      </c>
      <c r="L286" s="116" t="str">
        <f t="shared" ca="1" si="64"/>
        <v/>
      </c>
      <c r="M286" s="117" t="s">
        <v>199</v>
      </c>
      <c r="N286" s="118" t="str">
        <f t="shared" ca="1" si="65"/>
        <v>Serviço</v>
      </c>
      <c r="O286" s="119" t="str">
        <f t="shared" ca="1" si="66"/>
        <v>-</v>
      </c>
      <c r="P286" s="120" t="s">
        <v>247</v>
      </c>
      <c r="Q286" s="121" t="s">
        <v>519</v>
      </c>
      <c r="R286" s="122" t="str">
        <f ca="1">IF($C286="S",REFERENCIA.Descricao,"(digite a descrição aqui)")</f>
        <v>(abra o arquivo 'Referência 02-2025.xlsm)</v>
      </c>
      <c r="S286" s="123" t="str">
        <f ca="1">REFERENCIA.Unidade</f>
        <v>-</v>
      </c>
      <c r="T286" s="124">
        <f ca="1">OFFSET(CÁLCULO!H$15,ROW($T286)-ROW(T$15),0)</f>
        <v>1</v>
      </c>
      <c r="U286" s="125">
        <f t="shared" ca="1" si="72"/>
        <v>0</v>
      </c>
      <c r="V286" s="126" t="s">
        <v>156</v>
      </c>
      <c r="W286" s="124">
        <f ca="1">IF($C286="S",ROUND(IF(TIPOORCAMENTO="Proposto",ORÇAMENTO.CustoUnitario*(1+$AH286),ORÇAMENTO.PrecoUnitarioLicitado),15-13*$AF$10),0)</f>
        <v>0</v>
      </c>
      <c r="X286" s="127">
        <f ca="1">IF($C286="S",IF(Import.TipoArredondamento&lt;&gt;"TransfereGOV",VTOTAL1,SUM(OFFSET(CÁLCULO!$AA$15,ROW($X286)-ROW($X$15),1):OFFSET(CÁLCULO!$AL$15,ROW($X286)-ROW($X$15),-1))),IF($C286=0,0,ROUND(SomaAgrup,15-13*$AF$11)))</f>
        <v>0</v>
      </c>
      <c r="Y286" s="128" t="s">
        <v>245</v>
      </c>
      <c r="Z286" t="str">
        <f t="shared" ca="1" si="67"/>
        <v/>
      </c>
      <c r="AA286" s="129">
        <f ca="1">IF($C286="S",IF($Z286="CP",$X286,IF($Z286="RA",(($X286)*QCI!$AA$3),0)),SomaAgrup)</f>
        <v>0</v>
      </c>
      <c r="AB286" s="130">
        <f t="shared" ca="1" si="68"/>
        <v>0</v>
      </c>
      <c r="AC286" s="131" t="str">
        <f ca="1">IF($N286="","",IF(ORÇAMENTO.Descricao="","DESCRIÇÃO",IF(AND($C286="S",ORÇAMENTO.Unidade=""),"UNIDADE",IF($X286&lt;0,"VALOR NEGATIVO",IF(OR(AND(TIPOORCAMENTO="Proposto",$AG286&lt;&gt;"",$AG286&gt;0,ORÇAMENTO.CustoUnitario&gt;$AG286),AND(TIPOORCAMENTO="LICITADO",ORÇAMENTO.PrecoUnitarioLicitado&gt;$AN286)),"ACIMA REF.","")))))</f>
        <v/>
      </c>
      <c r="AD286" t="str">
        <f ca="1">IF(C286&lt;=CRONO.NivelExibicao,MAX($AD$15:OFFSET(AD286,-1,0))+IF($C286&lt;&gt;1,1,MAX(1,COUNTIF(QCI!$A$13:$A$24,OFFSET($E286,-1,0)))),"")</f>
        <v/>
      </c>
      <c r="AE286" s="7" t="str">
        <f ca="1">IF(AND($C286="S",ORÇAMENTO.CodBarra&lt;&gt;""),IF(ORÇAMENTO.Fonte="",ORÇAMENTO.CodBarra,CONCATENATE(ORÇAMENTO.Fonte," ",ORÇAMENTO.CodBarra)))</f>
        <v>SINAPI 89505</v>
      </c>
      <c r="AF286" s="13" t="str">
        <f ca="1">IF(ISERROR(INDIRECT(ORÇAMENTO.BancoRef)),"(abra o arquivo 'Referência "&amp;Excel_BuiltIn_Database&amp;".xlsm)",IF(OR($C286&lt;&gt;"S",ORÇAMENTO.CodBarra=""),"(Sem Código)",IF(ISERROR(MATCH($AE286,INDIRECT(ORÇAMENTO.BancoRef),0)),"(Código não identificado nas referências)",MATCH($AE286,INDIRECT(ORÇAMENTO.BancoRef),0))))</f>
        <v>(abra o arquivo 'Referência 02-2025.xlsm)</v>
      </c>
      <c r="AG286" s="498">
        <f ca="1">ROUND(IF(DESONERACAO="sim",REFERENCIA.Desonerado,REFERENCIA.NaoDesonerado),2)</f>
        <v>0</v>
      </c>
      <c r="AH286" s="499">
        <f t="shared" ca="1" si="69"/>
        <v>0.22470000000000001</v>
      </c>
      <c r="AJ286" s="501">
        <v>1</v>
      </c>
      <c r="AL286" s="527"/>
      <c r="AM286" s="381">
        <f t="shared" ca="1" si="70"/>
        <v>0</v>
      </c>
      <c r="AN286" s="566">
        <f t="shared" ca="1" si="71"/>
        <v>0</v>
      </c>
    </row>
    <row r="287" spans="1:40" ht="25.5" x14ac:dyDescent="0.2">
      <c r="A287" t="str">
        <f t="shared" si="56"/>
        <v>S</v>
      </c>
      <c r="B287">
        <f t="shared" ca="1" si="57"/>
        <v>3</v>
      </c>
      <c r="C287" t="str">
        <f t="shared" ca="1" si="58"/>
        <v>S</v>
      </c>
      <c r="D287">
        <f t="shared" ca="1" si="59"/>
        <v>0</v>
      </c>
      <c r="E287">
        <f ca="1">IF($C287=1,OFFSET(E287,-1,0)+MAX(1,COUNTIF(QCI!$A$13:$A$24,OFFSET(ORÇAMENTO!E287,-1,0))),OFFSET(E287,-1,0))</f>
        <v>1</v>
      </c>
      <c r="F287">
        <f t="shared" ca="1" si="60"/>
        <v>12</v>
      </c>
      <c r="G287">
        <f t="shared" ca="1" si="61"/>
        <v>1</v>
      </c>
      <c r="H287">
        <f t="shared" ca="1" si="62"/>
        <v>0</v>
      </c>
      <c r="I287">
        <f t="shared" ca="1" si="63"/>
        <v>0</v>
      </c>
      <c r="J287">
        <f t="shared" ca="1" si="86"/>
        <v>0</v>
      </c>
      <c r="K287">
        <f ca="1">IF(OR($C287="S",$C287=0),0,MATCH(OFFSET($D287,0,$C287)+IF($C287&lt;&gt;1,1,COUNTIF(QCI!$A$13:$A$24,ORÇAMENTO!E287)),OFFSET($D287,1,$C287,ROW($C$747)-ROW($C287)),0))</f>
        <v>0</v>
      </c>
      <c r="L287" s="116" t="str">
        <f t="shared" ca="1" si="64"/>
        <v/>
      </c>
      <c r="M287" s="117" t="s">
        <v>199</v>
      </c>
      <c r="N287" s="118" t="str">
        <f t="shared" ca="1" si="65"/>
        <v>Serviço</v>
      </c>
      <c r="O287" s="119" t="str">
        <f t="shared" ca="1" si="66"/>
        <v>-</v>
      </c>
      <c r="P287" s="120" t="s">
        <v>247</v>
      </c>
      <c r="Q287" s="121" t="s">
        <v>520</v>
      </c>
      <c r="R287" s="122" t="str">
        <f ca="1">IF($C287="S",REFERENCIA.Descricao,"(digite a descrição aqui)")</f>
        <v>(abra o arquivo 'Referência 02-2025.xlsm)</v>
      </c>
      <c r="S287" s="123" t="str">
        <f ca="1">REFERENCIA.Unidade</f>
        <v>-</v>
      </c>
      <c r="T287" s="124">
        <f ca="1">OFFSET(CÁLCULO!H$15,ROW($T287)-ROW(T$15),0)</f>
        <v>45</v>
      </c>
      <c r="U287" s="125">
        <f t="shared" ca="1" si="72"/>
        <v>0</v>
      </c>
      <c r="V287" s="126" t="s">
        <v>156</v>
      </c>
      <c r="W287" s="124">
        <f ca="1">IF($C287="S",ROUND(IF(TIPOORCAMENTO="Proposto",ORÇAMENTO.CustoUnitario*(1+$AH287),ORÇAMENTO.PrecoUnitarioLicitado),15-13*$AF$10),0)</f>
        <v>0</v>
      </c>
      <c r="X287" s="127">
        <f ca="1">IF($C287="S",IF(Import.TipoArredondamento&lt;&gt;"TransfereGOV",VTOTAL1,SUM(OFFSET(CÁLCULO!$AA$15,ROW($X287)-ROW($X$15),1):OFFSET(CÁLCULO!$AL$15,ROW($X287)-ROW($X$15),-1))),IF($C287=0,0,ROUND(SomaAgrup,15-13*$AF$11)))</f>
        <v>0</v>
      </c>
      <c r="Y287" s="128" t="s">
        <v>245</v>
      </c>
      <c r="Z287" t="str">
        <f t="shared" ca="1" si="67"/>
        <v/>
      </c>
      <c r="AA287" s="129">
        <f ca="1">IF($C287="S",IF($Z287="CP",$X287,IF($Z287="RA",(($X287)*QCI!$AA$3),0)),SomaAgrup)</f>
        <v>0</v>
      </c>
      <c r="AB287" s="130">
        <f t="shared" ca="1" si="68"/>
        <v>0</v>
      </c>
      <c r="AC287" s="131" t="str">
        <f ca="1">IF($N287="","",IF(ORÇAMENTO.Descricao="","DESCRIÇÃO",IF(AND($C287="S",ORÇAMENTO.Unidade=""),"UNIDADE",IF($X287&lt;0,"VALOR NEGATIVO",IF(OR(AND(TIPOORCAMENTO="Proposto",$AG287&lt;&gt;"",$AG287&gt;0,ORÇAMENTO.CustoUnitario&gt;$AG287),AND(TIPOORCAMENTO="LICITADO",ORÇAMENTO.PrecoUnitarioLicitado&gt;$AN287)),"ACIMA REF.","")))))</f>
        <v/>
      </c>
      <c r="AD287" t="str">
        <f ca="1">IF(C287&lt;=CRONO.NivelExibicao,MAX($AD$15:OFFSET(AD287,-1,0))+IF($C287&lt;&gt;1,1,MAX(1,COUNTIF(QCI!$A$13:$A$24,OFFSET($E287,-1,0)))),"")</f>
        <v/>
      </c>
      <c r="AE287" s="7" t="str">
        <f ca="1">IF(AND($C287="S",ORÇAMENTO.CodBarra&lt;&gt;""),IF(ORÇAMENTO.Fonte="",ORÇAMENTO.CodBarra,CONCATENATE(ORÇAMENTO.Fonte," ",ORÇAMENTO.CodBarra)))</f>
        <v>SINAPI 89521</v>
      </c>
      <c r="AF287" s="13" t="str">
        <f ca="1">IF(ISERROR(INDIRECT(ORÇAMENTO.BancoRef)),"(abra o arquivo 'Referência "&amp;Excel_BuiltIn_Database&amp;".xlsm)",IF(OR($C287&lt;&gt;"S",ORÇAMENTO.CodBarra=""),"(Sem Código)",IF(ISERROR(MATCH($AE287,INDIRECT(ORÇAMENTO.BancoRef),0)),"(Código não identificado nas referências)",MATCH($AE287,INDIRECT(ORÇAMENTO.BancoRef),0))))</f>
        <v>(abra o arquivo 'Referência 02-2025.xlsm)</v>
      </c>
      <c r="AG287" s="498">
        <f ca="1">ROUND(IF(DESONERACAO="sim",REFERENCIA.Desonerado,REFERENCIA.NaoDesonerado),2)</f>
        <v>0</v>
      </c>
      <c r="AH287" s="499">
        <f t="shared" ca="1" si="69"/>
        <v>0.22470000000000001</v>
      </c>
      <c r="AJ287" s="501">
        <v>45</v>
      </c>
      <c r="AL287" s="527"/>
      <c r="AM287" s="381">
        <f t="shared" ca="1" si="70"/>
        <v>0</v>
      </c>
      <c r="AN287" s="566">
        <f t="shared" ca="1" si="71"/>
        <v>0</v>
      </c>
    </row>
    <row r="288" spans="1:40" ht="25.5" x14ac:dyDescent="0.2">
      <c r="A288" t="str">
        <f t="shared" si="56"/>
        <v>S</v>
      </c>
      <c r="B288">
        <f t="shared" ca="1" si="57"/>
        <v>3</v>
      </c>
      <c r="C288" t="str">
        <f t="shared" ca="1" si="58"/>
        <v>S</v>
      </c>
      <c r="D288">
        <f t="shared" ca="1" si="59"/>
        <v>0</v>
      </c>
      <c r="E288">
        <f ca="1">IF($C288=1,OFFSET(E288,-1,0)+MAX(1,COUNTIF(QCI!$A$13:$A$24,OFFSET(ORÇAMENTO!E288,-1,0))),OFFSET(E288,-1,0))</f>
        <v>1</v>
      </c>
      <c r="F288">
        <f t="shared" ca="1" si="60"/>
        <v>12</v>
      </c>
      <c r="G288">
        <f t="shared" ca="1" si="61"/>
        <v>1</v>
      </c>
      <c r="H288">
        <f t="shared" ca="1" si="62"/>
        <v>0</v>
      </c>
      <c r="I288">
        <f t="shared" ca="1" si="63"/>
        <v>0</v>
      </c>
      <c r="J288">
        <f t="shared" ca="1" si="86"/>
        <v>0</v>
      </c>
      <c r="K288">
        <f ca="1">IF(OR($C288="S",$C288=0),0,MATCH(OFFSET($D288,0,$C288)+IF($C288&lt;&gt;1,1,COUNTIF(QCI!$A$13:$A$24,ORÇAMENTO!E288)),OFFSET($D288,1,$C288,ROW($C$747)-ROW($C288)),0))</f>
        <v>0</v>
      </c>
      <c r="L288" s="116" t="str">
        <f t="shared" ca="1" si="64"/>
        <v/>
      </c>
      <c r="M288" s="117" t="s">
        <v>199</v>
      </c>
      <c r="N288" s="118" t="str">
        <f t="shared" ca="1" si="65"/>
        <v>Serviço</v>
      </c>
      <c r="O288" s="119" t="str">
        <f t="shared" ca="1" si="66"/>
        <v>-</v>
      </c>
      <c r="P288" s="120" t="s">
        <v>712</v>
      </c>
      <c r="Q288" s="121" t="s">
        <v>796</v>
      </c>
      <c r="R288" s="122" t="str">
        <f ca="1">IF($C288="S",REFERENCIA.Descricao,"(digite a descrição aqui)")</f>
        <v>(abra o arquivo 'Referência 02-2025.xlsm)</v>
      </c>
      <c r="S288" s="123" t="str">
        <f ca="1">REFERENCIA.Unidade</f>
        <v>-</v>
      </c>
      <c r="T288" s="124">
        <f ca="1">OFFSET(CÁLCULO!H$15,ROW($T288)-ROW(T$15),0)</f>
        <v>4</v>
      </c>
      <c r="U288" s="125">
        <f t="shared" ref="U288:U351" ca="1" si="87">AG288</f>
        <v>0</v>
      </c>
      <c r="V288" s="126" t="s">
        <v>156</v>
      </c>
      <c r="W288" s="124">
        <f ca="1">IF($C288="S",ROUND(IF(TIPOORCAMENTO="Proposto",ORÇAMENTO.CustoUnitario*(1+$AH288),ORÇAMENTO.PrecoUnitarioLicitado),15-13*$AF$10),0)</f>
        <v>0</v>
      </c>
      <c r="X288" s="127">
        <f ca="1">IF($C288="S",IF(Import.TipoArredondamento&lt;&gt;"TransfereGOV",VTOTAL1,SUM(OFFSET(CÁLCULO!$AA$15,ROW($X288)-ROW($X$15),1):OFFSET(CÁLCULO!$AL$15,ROW($X288)-ROW($X$15),-1))),IF($C288=0,0,ROUND(SomaAgrup,15-13*$AF$11)))</f>
        <v>0</v>
      </c>
      <c r="Y288" s="128" t="s">
        <v>245</v>
      </c>
      <c r="Z288" t="str">
        <f t="shared" ca="1" si="67"/>
        <v/>
      </c>
      <c r="AA288" s="129">
        <f ca="1">IF($C288="S",IF($Z288="CP",$X288,IF($Z288="RA",(($X288)*QCI!$AA$3),0)),SomaAgrup)</f>
        <v>0</v>
      </c>
      <c r="AB288" s="130">
        <f t="shared" ca="1" si="68"/>
        <v>0</v>
      </c>
      <c r="AC288" s="131" t="str">
        <f ca="1">IF($N288="","",IF(ORÇAMENTO.Descricao="","DESCRIÇÃO",IF(AND($C288="S",ORÇAMENTO.Unidade=""),"UNIDADE",IF($X288&lt;0,"VALOR NEGATIVO",IF(OR(AND(TIPOORCAMENTO="Proposto",$AG288&lt;&gt;"",$AG288&gt;0,ORÇAMENTO.CustoUnitario&gt;$AG288),AND(TIPOORCAMENTO="LICITADO",ORÇAMENTO.PrecoUnitarioLicitado&gt;$AN288)),"ACIMA REF.","")))))</f>
        <v/>
      </c>
      <c r="AD288" t="str">
        <f ca="1">IF(C288&lt;=CRONO.NivelExibicao,MAX($AD$15:OFFSET(AD288,-1,0))+IF($C288&lt;&gt;1,1,MAX(1,COUNTIF(QCI!$A$13:$A$24,OFFSET($E288,-1,0)))),"")</f>
        <v/>
      </c>
      <c r="AE288" s="7" t="str">
        <f ca="1">IF(AND($C288="S",ORÇAMENTO.CodBarra&lt;&gt;""),IF(ORÇAMENTO.Fonte="",ORÇAMENTO.CodBarra,CONCATENATE(ORÇAMENTO.Fonte," ",ORÇAMENTO.CodBarra)))</f>
        <v>Composição FNDE 415</v>
      </c>
      <c r="AF288" s="13" t="str">
        <f ca="1">IF(ISERROR(INDIRECT(ORÇAMENTO.BancoRef)),"(abra o arquivo 'Referência "&amp;Excel_BuiltIn_Database&amp;".xlsm)",IF(OR($C288&lt;&gt;"S",ORÇAMENTO.CodBarra=""),"(Sem Código)",IF(ISERROR(MATCH($AE288,INDIRECT(ORÇAMENTO.BancoRef),0)),"(Código não identificado nas referências)",MATCH($AE288,INDIRECT(ORÇAMENTO.BancoRef),0))))</f>
        <v>(abra o arquivo 'Referência 02-2025.xlsm)</v>
      </c>
      <c r="AG288" s="498">
        <f ca="1">ROUND(IF(DESONERACAO="sim",REFERENCIA.Desonerado,REFERENCIA.NaoDesonerado),2)</f>
        <v>0</v>
      </c>
      <c r="AH288" s="499">
        <f t="shared" ca="1" si="69"/>
        <v>0.22470000000000001</v>
      </c>
      <c r="AJ288" s="501">
        <v>4</v>
      </c>
      <c r="AL288" s="527"/>
      <c r="AM288" s="381">
        <f t="shared" ca="1" si="70"/>
        <v>0</v>
      </c>
      <c r="AN288" s="566">
        <f t="shared" ca="1" si="71"/>
        <v>0</v>
      </c>
    </row>
    <row r="289" spans="1:40" ht="38.25" x14ac:dyDescent="0.2">
      <c r="A289" t="str">
        <f t="shared" si="56"/>
        <v>S</v>
      </c>
      <c r="B289">
        <f t="shared" ca="1" si="57"/>
        <v>3</v>
      </c>
      <c r="C289" t="str">
        <f t="shared" ca="1" si="58"/>
        <v>S</v>
      </c>
      <c r="D289">
        <f t="shared" ca="1" si="59"/>
        <v>0</v>
      </c>
      <c r="E289">
        <f ca="1">IF($C289=1,OFFSET(E289,-1,0)+MAX(1,COUNTIF(QCI!$A$13:$A$24,OFFSET(ORÇAMENTO!E289,-1,0))),OFFSET(E289,-1,0))</f>
        <v>1</v>
      </c>
      <c r="F289">
        <f t="shared" ca="1" si="60"/>
        <v>12</v>
      </c>
      <c r="G289">
        <f t="shared" ca="1" si="61"/>
        <v>1</v>
      </c>
      <c r="H289">
        <f t="shared" ca="1" si="62"/>
        <v>0</v>
      </c>
      <c r="I289">
        <f t="shared" ca="1" si="63"/>
        <v>0</v>
      </c>
      <c r="J289">
        <f t="shared" ca="1" si="86"/>
        <v>0</v>
      </c>
      <c r="K289">
        <f ca="1">IF(OR($C289="S",$C289=0),0,MATCH(OFFSET($D289,0,$C289)+IF($C289&lt;&gt;1,1,COUNTIF(QCI!$A$13:$A$24,ORÇAMENTO!E289)),OFFSET($D289,1,$C289,ROW($C$747)-ROW($C289)),0))</f>
        <v>0</v>
      </c>
      <c r="L289" s="116" t="str">
        <f t="shared" ca="1" si="64"/>
        <v/>
      </c>
      <c r="M289" s="117" t="s">
        <v>199</v>
      </c>
      <c r="N289" s="118" t="str">
        <f t="shared" ca="1" si="65"/>
        <v>Serviço</v>
      </c>
      <c r="O289" s="119" t="str">
        <f t="shared" ca="1" si="66"/>
        <v>-</v>
      </c>
      <c r="P289" s="120" t="s">
        <v>247</v>
      </c>
      <c r="Q289" s="121" t="s">
        <v>522</v>
      </c>
      <c r="R289" s="122" t="str">
        <f ca="1">IF($C289="S",REFERENCIA.Descricao,"(digite a descrição aqui)")</f>
        <v>(abra o arquivo 'Referência 02-2025.xlsm)</v>
      </c>
      <c r="S289" s="123" t="str">
        <f ca="1">REFERENCIA.Unidade</f>
        <v>-</v>
      </c>
      <c r="T289" s="124">
        <f ca="1">OFFSET(CÁLCULO!H$15,ROW($T289)-ROW(T$15),0)</f>
        <v>2</v>
      </c>
      <c r="U289" s="125">
        <f t="shared" ca="1" si="87"/>
        <v>0</v>
      </c>
      <c r="V289" s="126" t="s">
        <v>156</v>
      </c>
      <c r="W289" s="124">
        <f ca="1">IF($C289="S",ROUND(IF(TIPOORCAMENTO="Proposto",ORÇAMENTO.CustoUnitario*(1+$AH289),ORÇAMENTO.PrecoUnitarioLicitado),15-13*$AF$10),0)</f>
        <v>0</v>
      </c>
      <c r="X289" s="127">
        <f ca="1">IF($C289="S",IF(Import.TipoArredondamento&lt;&gt;"TransfereGOV",VTOTAL1,SUM(OFFSET(CÁLCULO!$AA$15,ROW($X289)-ROW($X$15),1):OFFSET(CÁLCULO!$AL$15,ROW($X289)-ROW($X$15),-1))),IF($C289=0,0,ROUND(SomaAgrup,15-13*$AF$11)))</f>
        <v>0</v>
      </c>
      <c r="Y289" s="128" t="s">
        <v>245</v>
      </c>
      <c r="Z289" t="str">
        <f t="shared" ca="1" si="67"/>
        <v/>
      </c>
      <c r="AA289" s="129">
        <f ca="1">IF($C289="S",IF($Z289="CP",$X289,IF($Z289="RA",(($X289)*QCI!$AA$3),0)),SomaAgrup)</f>
        <v>0</v>
      </c>
      <c r="AB289" s="130">
        <f t="shared" ca="1" si="68"/>
        <v>0</v>
      </c>
      <c r="AC289" s="131" t="str">
        <f ca="1">IF($N289="","",IF(ORÇAMENTO.Descricao="","DESCRIÇÃO",IF(AND($C289="S",ORÇAMENTO.Unidade=""),"UNIDADE",IF($X289&lt;0,"VALOR NEGATIVO",IF(OR(AND(TIPOORCAMENTO="Proposto",$AG289&lt;&gt;"",$AG289&gt;0,ORÇAMENTO.CustoUnitario&gt;$AG289),AND(TIPOORCAMENTO="LICITADO",ORÇAMENTO.PrecoUnitarioLicitado&gt;$AN289)),"ACIMA REF.","")))))</f>
        <v/>
      </c>
      <c r="AD289" t="str">
        <f ca="1">IF(C289&lt;=CRONO.NivelExibicao,MAX($AD$15:OFFSET(AD289,-1,0))+IF($C289&lt;&gt;1,1,MAX(1,COUNTIF(QCI!$A$13:$A$24,OFFSET($E289,-1,0)))),"")</f>
        <v/>
      </c>
      <c r="AE289" s="7" t="str">
        <f ca="1">IF(AND($C289="S",ORÇAMENTO.CodBarra&lt;&gt;""),IF(ORÇAMENTO.Fonte="",ORÇAMENTO.CodBarra,CONCATENATE(ORÇAMENTO.Fonte," ",ORÇAMENTO.CodBarra)))</f>
        <v>SINAPI 89409</v>
      </c>
      <c r="AF289" s="13" t="str">
        <f ca="1">IF(ISERROR(INDIRECT(ORÇAMENTO.BancoRef)),"(abra o arquivo 'Referência "&amp;Excel_BuiltIn_Database&amp;".xlsm)",IF(OR($C289&lt;&gt;"S",ORÇAMENTO.CodBarra=""),"(Sem Código)",IF(ISERROR(MATCH($AE289,INDIRECT(ORÇAMENTO.BancoRef),0)),"(Código não identificado nas referências)",MATCH($AE289,INDIRECT(ORÇAMENTO.BancoRef),0))))</f>
        <v>(abra o arquivo 'Referência 02-2025.xlsm)</v>
      </c>
      <c r="AG289" s="498">
        <f ca="1">ROUND(IF(DESONERACAO="sim",REFERENCIA.Desonerado,REFERENCIA.NaoDesonerado),2)</f>
        <v>0</v>
      </c>
      <c r="AH289" s="499">
        <f t="shared" ca="1" si="69"/>
        <v>0.22470000000000001</v>
      </c>
      <c r="AJ289" s="501">
        <v>2</v>
      </c>
      <c r="AL289" s="527"/>
      <c r="AM289" s="381">
        <f t="shared" ca="1" si="70"/>
        <v>0</v>
      </c>
      <c r="AN289" s="566">
        <f t="shared" ca="1" si="71"/>
        <v>0</v>
      </c>
    </row>
    <row r="290" spans="1:40" ht="38.25" x14ac:dyDescent="0.2">
      <c r="A290" t="str">
        <f t="shared" si="56"/>
        <v>S</v>
      </c>
      <c r="B290">
        <f t="shared" ca="1" si="57"/>
        <v>3</v>
      </c>
      <c r="C290" t="str">
        <f t="shared" ca="1" si="58"/>
        <v>S</v>
      </c>
      <c r="D290">
        <f t="shared" ca="1" si="59"/>
        <v>0</v>
      </c>
      <c r="E290">
        <f ca="1">IF($C290=1,OFFSET(E290,-1,0)+MAX(1,COUNTIF(QCI!$A$13:$A$24,OFFSET(ORÇAMENTO!E290,-1,0))),OFFSET(E290,-1,0))</f>
        <v>1</v>
      </c>
      <c r="F290">
        <f t="shared" ca="1" si="60"/>
        <v>12</v>
      </c>
      <c r="G290">
        <f t="shared" ca="1" si="61"/>
        <v>1</v>
      </c>
      <c r="H290">
        <f t="shared" ca="1" si="62"/>
        <v>0</v>
      </c>
      <c r="I290">
        <f t="shared" ca="1" si="63"/>
        <v>0</v>
      </c>
      <c r="J290">
        <f t="shared" ca="1" si="86"/>
        <v>0</v>
      </c>
      <c r="K290">
        <f ca="1">IF(OR($C290="S",$C290=0),0,MATCH(OFFSET($D290,0,$C290)+IF($C290&lt;&gt;1,1,COUNTIF(QCI!$A$13:$A$24,ORÇAMENTO!E290)),OFFSET($D290,1,$C290,ROW($C$747)-ROW($C290)),0))</f>
        <v>0</v>
      </c>
      <c r="L290" s="116" t="str">
        <f t="shared" ca="1" si="64"/>
        <v/>
      </c>
      <c r="M290" s="117" t="s">
        <v>199</v>
      </c>
      <c r="N290" s="118" t="str">
        <f t="shared" ca="1" si="65"/>
        <v>Serviço</v>
      </c>
      <c r="O290" s="119" t="str">
        <f t="shared" ca="1" si="66"/>
        <v>-</v>
      </c>
      <c r="P290" s="120" t="s">
        <v>247</v>
      </c>
      <c r="Q290" s="121" t="s">
        <v>521</v>
      </c>
      <c r="R290" s="122" t="str">
        <f ca="1">IF($C290="S",REFERENCIA.Descricao,"(digite a descrição aqui)")</f>
        <v>(abra o arquivo 'Referência 02-2025.xlsm)</v>
      </c>
      <c r="S290" s="123" t="str">
        <f ca="1">REFERENCIA.Unidade</f>
        <v>-</v>
      </c>
      <c r="T290" s="124">
        <f ca="1">OFFSET(CÁLCULO!H$15,ROW($T290)-ROW(T$15),0)</f>
        <v>1</v>
      </c>
      <c r="U290" s="125">
        <f t="shared" ca="1" si="87"/>
        <v>0</v>
      </c>
      <c r="V290" s="126" t="s">
        <v>156</v>
      </c>
      <c r="W290" s="124">
        <f ca="1">IF($C290="S",ROUND(IF(TIPOORCAMENTO="Proposto",ORÇAMENTO.CustoUnitario*(1+$AH290),ORÇAMENTO.PrecoUnitarioLicitado),15-13*$AF$10),0)</f>
        <v>0</v>
      </c>
      <c r="X290" s="127">
        <f ca="1">IF($C290="S",IF(Import.TipoArredondamento&lt;&gt;"TransfereGOV",VTOTAL1,SUM(OFFSET(CÁLCULO!$AA$15,ROW($X290)-ROW($X$15),1):OFFSET(CÁLCULO!$AL$15,ROW($X290)-ROW($X$15),-1))),IF($C290=0,0,ROUND(SomaAgrup,15-13*$AF$11)))</f>
        <v>0</v>
      </c>
      <c r="Y290" s="128" t="s">
        <v>245</v>
      </c>
      <c r="Z290" t="str">
        <f t="shared" ca="1" si="67"/>
        <v/>
      </c>
      <c r="AA290" s="129">
        <f ca="1">IF($C290="S",IF($Z290="CP",$X290,IF($Z290="RA",(($X290)*QCI!$AA$3),0)),SomaAgrup)</f>
        <v>0</v>
      </c>
      <c r="AB290" s="130">
        <f t="shared" ca="1" si="68"/>
        <v>0</v>
      </c>
      <c r="AC290" s="131" t="str">
        <f ca="1">IF($N290="","",IF(ORÇAMENTO.Descricao="","DESCRIÇÃO",IF(AND($C290="S",ORÇAMENTO.Unidade=""),"UNIDADE",IF($X290&lt;0,"VALOR NEGATIVO",IF(OR(AND(TIPOORCAMENTO="Proposto",$AG290&lt;&gt;"",$AG290&gt;0,ORÇAMENTO.CustoUnitario&gt;$AG290),AND(TIPOORCAMENTO="LICITADO",ORÇAMENTO.PrecoUnitarioLicitado&gt;$AN290)),"ACIMA REF.","")))))</f>
        <v/>
      </c>
      <c r="AD290" t="str">
        <f ca="1">IF(C290&lt;=CRONO.NivelExibicao,MAX($AD$15:OFFSET(AD290,-1,0))+IF($C290&lt;&gt;1,1,MAX(1,COUNTIF(QCI!$A$13:$A$24,OFFSET($E290,-1,0)))),"")</f>
        <v/>
      </c>
      <c r="AE290" s="7" t="str">
        <f ca="1">IF(AND($C290="S",ORÇAMENTO.CodBarra&lt;&gt;""),IF(ORÇAMENTO.Fonte="",ORÇAMENTO.CodBarra,CONCATENATE(ORÇAMENTO.Fonte," ",ORÇAMENTO.CodBarra)))</f>
        <v>SINAPI 103981</v>
      </c>
      <c r="AF290" s="13" t="str">
        <f ca="1">IF(ISERROR(INDIRECT(ORÇAMENTO.BancoRef)),"(abra o arquivo 'Referência "&amp;Excel_BuiltIn_Database&amp;".xlsm)",IF(OR($C290&lt;&gt;"S",ORÇAMENTO.CodBarra=""),"(Sem Código)",IF(ISERROR(MATCH($AE290,INDIRECT(ORÇAMENTO.BancoRef),0)),"(Código não identificado nas referências)",MATCH($AE290,INDIRECT(ORÇAMENTO.BancoRef),0))))</f>
        <v>(abra o arquivo 'Referência 02-2025.xlsm)</v>
      </c>
      <c r="AG290" s="498">
        <f ca="1">ROUND(IF(DESONERACAO="sim",REFERENCIA.Desonerado,REFERENCIA.NaoDesonerado),2)</f>
        <v>0</v>
      </c>
      <c r="AH290" s="499">
        <f t="shared" ca="1" si="69"/>
        <v>0.22470000000000001</v>
      </c>
      <c r="AJ290" s="501">
        <v>1</v>
      </c>
      <c r="AL290" s="527"/>
      <c r="AM290" s="381">
        <f t="shared" ca="1" si="70"/>
        <v>0</v>
      </c>
      <c r="AN290" s="566">
        <f t="shared" ca="1" si="71"/>
        <v>0</v>
      </c>
    </row>
    <row r="291" spans="1:40" ht="38.25" x14ac:dyDescent="0.2">
      <c r="A291" t="str">
        <f t="shared" si="56"/>
        <v>S</v>
      </c>
      <c r="B291">
        <f t="shared" ca="1" si="57"/>
        <v>3</v>
      </c>
      <c r="C291" t="str">
        <f t="shared" ca="1" si="58"/>
        <v>S</v>
      </c>
      <c r="D291">
        <f t="shared" ca="1" si="59"/>
        <v>0</v>
      </c>
      <c r="E291">
        <f ca="1">IF($C291=1,OFFSET(E291,-1,0)+MAX(1,COUNTIF(QCI!$A$13:$A$24,OFFSET(ORÇAMENTO!E291,-1,0))),OFFSET(E291,-1,0))</f>
        <v>1</v>
      </c>
      <c r="F291">
        <f t="shared" ca="1" si="60"/>
        <v>12</v>
      </c>
      <c r="G291">
        <f t="shared" ca="1" si="61"/>
        <v>1</v>
      </c>
      <c r="H291">
        <f t="shared" ca="1" si="62"/>
        <v>0</v>
      </c>
      <c r="I291">
        <f t="shared" ca="1" si="63"/>
        <v>0</v>
      </c>
      <c r="J291">
        <f t="shared" ca="1" si="86"/>
        <v>0</v>
      </c>
      <c r="K291">
        <f ca="1">IF(OR($C291="S",$C291=0),0,MATCH(OFFSET($D291,0,$C291)+IF($C291&lt;&gt;1,1,COUNTIF(QCI!$A$13:$A$24,ORÇAMENTO!E291)),OFFSET($D291,1,$C291,ROW($C$747)-ROW($C291)),0))</f>
        <v>0</v>
      </c>
      <c r="L291" s="116" t="str">
        <f t="shared" ca="1" si="64"/>
        <v/>
      </c>
      <c r="M291" s="117" t="s">
        <v>199</v>
      </c>
      <c r="N291" s="118" t="str">
        <f t="shared" ca="1" si="65"/>
        <v>Serviço</v>
      </c>
      <c r="O291" s="119" t="str">
        <f t="shared" ca="1" si="66"/>
        <v>-</v>
      </c>
      <c r="P291" s="120" t="s">
        <v>247</v>
      </c>
      <c r="Q291" s="121" t="s">
        <v>533</v>
      </c>
      <c r="R291" s="122" t="str">
        <f ca="1">IF($C291="S",REFERENCIA.Descricao,"(digite a descrição aqui)")</f>
        <v>(abra o arquivo 'Referência 02-2025.xlsm)</v>
      </c>
      <c r="S291" s="123" t="str">
        <f ca="1">REFERENCIA.Unidade</f>
        <v>-</v>
      </c>
      <c r="T291" s="124">
        <f ca="1">OFFSET(CÁLCULO!H$15,ROW($T291)-ROW(T$15),0)</f>
        <v>38</v>
      </c>
      <c r="U291" s="125">
        <f t="shared" ca="1" si="87"/>
        <v>0</v>
      </c>
      <c r="V291" s="126" t="s">
        <v>156</v>
      </c>
      <c r="W291" s="124">
        <f ca="1">IF($C291="S",ROUND(IF(TIPOORCAMENTO="Proposto",ORÇAMENTO.CustoUnitario*(1+$AH291),ORÇAMENTO.PrecoUnitarioLicitado),15-13*$AF$10),0)</f>
        <v>0</v>
      </c>
      <c r="X291" s="127">
        <f ca="1">IF($C291="S",IF(Import.TipoArredondamento&lt;&gt;"TransfereGOV",VTOTAL1,SUM(OFFSET(CÁLCULO!$AA$15,ROW($X291)-ROW($X$15),1):OFFSET(CÁLCULO!$AL$15,ROW($X291)-ROW($X$15),-1))),IF($C291=0,0,ROUND(SomaAgrup,15-13*$AF$11)))</f>
        <v>0</v>
      </c>
      <c r="Y291" s="128" t="s">
        <v>245</v>
      </c>
      <c r="Z291" t="str">
        <f t="shared" ca="1" si="67"/>
        <v/>
      </c>
      <c r="AA291" s="129">
        <f ca="1">IF($C291="S",IF($Z291="CP",$X291,IF($Z291="RA",(($X291)*QCI!$AA$3),0)),SomaAgrup)</f>
        <v>0</v>
      </c>
      <c r="AB291" s="130">
        <f t="shared" ca="1" si="68"/>
        <v>0</v>
      </c>
      <c r="AC291" s="131" t="str">
        <f ca="1">IF($N291="","",IF(ORÇAMENTO.Descricao="","DESCRIÇÃO",IF(AND($C291="S",ORÇAMENTO.Unidade=""),"UNIDADE",IF($X291&lt;0,"VALOR NEGATIVO",IF(OR(AND(TIPOORCAMENTO="Proposto",$AG291&lt;&gt;"",$AG291&gt;0,ORÇAMENTO.CustoUnitario&gt;$AG291),AND(TIPOORCAMENTO="LICITADO",ORÇAMENTO.PrecoUnitarioLicitado&gt;$AN291)),"ACIMA REF.","")))))</f>
        <v/>
      </c>
      <c r="AD291" t="str">
        <f ca="1">IF(C291&lt;=CRONO.NivelExibicao,MAX($AD$15:OFFSET(AD291,-1,0))+IF($C291&lt;&gt;1,1,MAX(1,COUNTIF(QCI!$A$13:$A$24,OFFSET($E291,-1,0)))),"")</f>
        <v/>
      </c>
      <c r="AE291" s="7" t="str">
        <f ca="1">IF(AND($C291="S",ORÇAMENTO.CodBarra&lt;&gt;""),IF(ORÇAMENTO.Fonte="",ORÇAMENTO.CodBarra,CONCATENATE(ORÇAMENTO.Fonte," ",ORÇAMENTO.CodBarra)))</f>
        <v>SINAPI 89366</v>
      </c>
      <c r="AF291" s="13" t="str">
        <f ca="1">IF(ISERROR(INDIRECT(ORÇAMENTO.BancoRef)),"(abra o arquivo 'Referência "&amp;Excel_BuiltIn_Database&amp;".xlsm)",IF(OR($C291&lt;&gt;"S",ORÇAMENTO.CodBarra=""),"(Sem Código)",IF(ISERROR(MATCH($AE291,INDIRECT(ORÇAMENTO.BancoRef),0)),"(Código não identificado nas referências)",MATCH($AE291,INDIRECT(ORÇAMENTO.BancoRef),0))))</f>
        <v>(abra o arquivo 'Referência 02-2025.xlsm)</v>
      </c>
      <c r="AG291" s="498">
        <f ca="1">ROUND(IF(DESONERACAO="sim",REFERENCIA.Desonerado,REFERENCIA.NaoDesonerado),2)</f>
        <v>0</v>
      </c>
      <c r="AH291" s="499">
        <f t="shared" ca="1" si="69"/>
        <v>0.22470000000000001</v>
      </c>
      <c r="AJ291" s="501">
        <v>38</v>
      </c>
      <c r="AL291" s="527"/>
      <c r="AM291" s="381">
        <f t="shared" ca="1" si="70"/>
        <v>0</v>
      </c>
      <c r="AN291" s="566">
        <f t="shared" ca="1" si="71"/>
        <v>0</v>
      </c>
    </row>
    <row r="292" spans="1:40" ht="38.25" x14ac:dyDescent="0.2">
      <c r="A292" t="str">
        <f t="shared" si="56"/>
        <v>S</v>
      </c>
      <c r="B292">
        <f t="shared" ca="1" si="57"/>
        <v>3</v>
      </c>
      <c r="C292" t="str">
        <f t="shared" ca="1" si="58"/>
        <v>S</v>
      </c>
      <c r="D292">
        <f t="shared" ca="1" si="59"/>
        <v>0</v>
      </c>
      <c r="E292">
        <f ca="1">IF($C292=1,OFFSET(E292,-1,0)+MAX(1,COUNTIF(QCI!$A$13:$A$24,OFFSET(ORÇAMENTO!E292,-1,0))),OFFSET(E292,-1,0))</f>
        <v>1</v>
      </c>
      <c r="F292">
        <f t="shared" ca="1" si="60"/>
        <v>12</v>
      </c>
      <c r="G292">
        <f t="shared" ca="1" si="61"/>
        <v>1</v>
      </c>
      <c r="H292">
        <f t="shared" ca="1" si="62"/>
        <v>0</v>
      </c>
      <c r="I292">
        <f t="shared" ca="1" si="63"/>
        <v>0</v>
      </c>
      <c r="J292">
        <f t="shared" ca="1" si="86"/>
        <v>0</v>
      </c>
      <c r="K292">
        <f ca="1">IF(OR($C292="S",$C292=0),0,MATCH(OFFSET($D292,0,$C292)+IF($C292&lt;&gt;1,1,COUNTIF(QCI!$A$13:$A$24,ORÇAMENTO!E292)),OFFSET($D292,1,$C292,ROW($C$747)-ROW($C292)),0))</f>
        <v>0</v>
      </c>
      <c r="L292" s="116" t="str">
        <f t="shared" ca="1" si="64"/>
        <v/>
      </c>
      <c r="M292" s="117" t="s">
        <v>199</v>
      </c>
      <c r="N292" s="118" t="str">
        <f t="shared" ca="1" si="65"/>
        <v>Serviço</v>
      </c>
      <c r="O292" s="119" t="str">
        <f t="shared" ca="1" si="66"/>
        <v>-</v>
      </c>
      <c r="P292" s="120" t="s">
        <v>247</v>
      </c>
      <c r="Q292" s="121" t="s">
        <v>534</v>
      </c>
      <c r="R292" s="122" t="str">
        <f ca="1">IF($C292="S",REFERENCIA.Descricao,"(digite a descrição aqui)")</f>
        <v>(abra o arquivo 'Referência 02-2025.xlsm)</v>
      </c>
      <c r="S292" s="123" t="str">
        <f ca="1">REFERENCIA.Unidade</f>
        <v>-</v>
      </c>
      <c r="T292" s="124">
        <f ca="1">OFFSET(CÁLCULO!H$15,ROW($T292)-ROW(T$15),0)</f>
        <v>83</v>
      </c>
      <c r="U292" s="125">
        <f t="shared" ca="1" si="87"/>
        <v>0</v>
      </c>
      <c r="V292" s="126" t="s">
        <v>156</v>
      </c>
      <c r="W292" s="124">
        <f ca="1">IF($C292="S",ROUND(IF(TIPOORCAMENTO="Proposto",ORÇAMENTO.CustoUnitario*(1+$AH292),ORÇAMENTO.PrecoUnitarioLicitado),15-13*$AF$10),0)</f>
        <v>0</v>
      </c>
      <c r="X292" s="127">
        <f ca="1">IF($C292="S",IF(Import.TipoArredondamento&lt;&gt;"TransfereGOV",VTOTAL1,SUM(OFFSET(CÁLCULO!$AA$15,ROW($X292)-ROW($X$15),1):OFFSET(CÁLCULO!$AL$15,ROW($X292)-ROW($X$15),-1))),IF($C292=0,0,ROUND(SomaAgrup,15-13*$AF$11)))</f>
        <v>0</v>
      </c>
      <c r="Y292" s="128" t="s">
        <v>245</v>
      </c>
      <c r="Z292" t="str">
        <f t="shared" ca="1" si="67"/>
        <v/>
      </c>
      <c r="AA292" s="129">
        <f ca="1">IF($C292="S",IF($Z292="CP",$X292,IF($Z292="RA",(($X292)*QCI!$AA$3),0)),SomaAgrup)</f>
        <v>0</v>
      </c>
      <c r="AB292" s="130">
        <f t="shared" ca="1" si="68"/>
        <v>0</v>
      </c>
      <c r="AC292" s="131" t="str">
        <f ca="1">IF($N292="","",IF(ORÇAMENTO.Descricao="","DESCRIÇÃO",IF(AND($C292="S",ORÇAMENTO.Unidade=""),"UNIDADE",IF($X292&lt;0,"VALOR NEGATIVO",IF(OR(AND(TIPOORCAMENTO="Proposto",$AG292&lt;&gt;"",$AG292&gt;0,ORÇAMENTO.CustoUnitario&gt;$AG292),AND(TIPOORCAMENTO="LICITADO",ORÇAMENTO.PrecoUnitarioLicitado&gt;$AN292)),"ACIMA REF.","")))))</f>
        <v/>
      </c>
      <c r="AD292" t="str">
        <f ca="1">IF(C292&lt;=CRONO.NivelExibicao,MAX($AD$15:OFFSET(AD292,-1,0))+IF($C292&lt;&gt;1,1,MAX(1,COUNTIF(QCI!$A$13:$A$24,OFFSET($E292,-1,0)))),"")</f>
        <v/>
      </c>
      <c r="AE292" s="7" t="str">
        <f ca="1">IF(AND($C292="S",ORÇAMENTO.CodBarra&lt;&gt;""),IF(ORÇAMENTO.Fonte="",ORÇAMENTO.CodBarra,CONCATENATE(ORÇAMENTO.Fonte," ",ORÇAMENTO.CodBarra)))</f>
        <v>SINAPI 90373</v>
      </c>
      <c r="AF292" s="13" t="str">
        <f ca="1">IF(ISERROR(INDIRECT(ORÇAMENTO.BancoRef)),"(abra o arquivo 'Referência "&amp;Excel_BuiltIn_Database&amp;".xlsm)",IF(OR($C292&lt;&gt;"S",ORÇAMENTO.CodBarra=""),"(Sem Código)",IF(ISERROR(MATCH($AE292,INDIRECT(ORÇAMENTO.BancoRef),0)),"(Código não identificado nas referências)",MATCH($AE292,INDIRECT(ORÇAMENTO.BancoRef),0))))</f>
        <v>(abra o arquivo 'Referência 02-2025.xlsm)</v>
      </c>
      <c r="AG292" s="498">
        <f ca="1">ROUND(IF(DESONERACAO="sim",REFERENCIA.Desonerado,REFERENCIA.NaoDesonerado),2)</f>
        <v>0</v>
      </c>
      <c r="AH292" s="499">
        <f t="shared" ca="1" si="69"/>
        <v>0.22470000000000001</v>
      </c>
      <c r="AJ292" s="501">
        <v>83</v>
      </c>
      <c r="AL292" s="527"/>
      <c r="AM292" s="381">
        <f t="shared" ca="1" si="70"/>
        <v>0</v>
      </c>
      <c r="AN292" s="566">
        <f t="shared" ca="1" si="71"/>
        <v>0</v>
      </c>
    </row>
    <row r="293" spans="1:40" ht="38.25" x14ac:dyDescent="0.2">
      <c r="A293" t="str">
        <f t="shared" si="56"/>
        <v>S</v>
      </c>
      <c r="B293">
        <f t="shared" ca="1" si="57"/>
        <v>3</v>
      </c>
      <c r="C293" t="str">
        <f t="shared" ca="1" si="58"/>
        <v>S</v>
      </c>
      <c r="D293">
        <f t="shared" ca="1" si="59"/>
        <v>0</v>
      </c>
      <c r="E293">
        <f ca="1">IF($C293=1,OFFSET(E293,-1,0)+MAX(1,COUNTIF(QCI!$A$13:$A$24,OFFSET(ORÇAMENTO!E293,-1,0))),OFFSET(E293,-1,0))</f>
        <v>1</v>
      </c>
      <c r="F293">
        <f t="shared" ca="1" si="60"/>
        <v>12</v>
      </c>
      <c r="G293">
        <f t="shared" ca="1" si="61"/>
        <v>1</v>
      </c>
      <c r="H293">
        <f t="shared" ca="1" si="62"/>
        <v>0</v>
      </c>
      <c r="I293">
        <f t="shared" ca="1" si="63"/>
        <v>0</v>
      </c>
      <c r="J293">
        <f t="shared" ca="1" si="86"/>
        <v>0</v>
      </c>
      <c r="K293">
        <f ca="1">IF(OR($C293="S",$C293=0),0,MATCH(OFFSET($D293,0,$C293)+IF($C293&lt;&gt;1,1,COUNTIF(QCI!$A$13:$A$24,ORÇAMENTO!E293)),OFFSET($D293,1,$C293,ROW($C$747)-ROW($C293)),0))</f>
        <v>0</v>
      </c>
      <c r="L293" s="116" t="str">
        <f t="shared" ca="1" si="64"/>
        <v/>
      </c>
      <c r="M293" s="117" t="s">
        <v>199</v>
      </c>
      <c r="N293" s="118" t="str">
        <f t="shared" ca="1" si="65"/>
        <v>Serviço</v>
      </c>
      <c r="O293" s="119" t="str">
        <f t="shared" ca="1" si="66"/>
        <v>-</v>
      </c>
      <c r="P293" s="120" t="s">
        <v>247</v>
      </c>
      <c r="Q293" s="121" t="s">
        <v>523</v>
      </c>
      <c r="R293" s="122" t="str">
        <f ca="1">IF($C293="S",REFERENCIA.Descricao,"(digite a descrição aqui)")</f>
        <v>(abra o arquivo 'Referência 02-2025.xlsm)</v>
      </c>
      <c r="S293" s="123" t="str">
        <f ca="1">REFERENCIA.Unidade</f>
        <v>-</v>
      </c>
      <c r="T293" s="124">
        <f ca="1">OFFSET(CÁLCULO!H$15,ROW($T293)-ROW(T$15),0)</f>
        <v>40</v>
      </c>
      <c r="U293" s="125">
        <f t="shared" ca="1" si="87"/>
        <v>0</v>
      </c>
      <c r="V293" s="126" t="s">
        <v>156</v>
      </c>
      <c r="W293" s="124">
        <f ca="1">IF($C293="S",ROUND(IF(TIPOORCAMENTO="Proposto",ORÇAMENTO.CustoUnitario*(1+$AH293),ORÇAMENTO.PrecoUnitarioLicitado),15-13*$AF$10),0)</f>
        <v>0</v>
      </c>
      <c r="X293" s="127">
        <f ca="1">IF($C293="S",IF(Import.TipoArredondamento&lt;&gt;"TransfereGOV",VTOTAL1,SUM(OFFSET(CÁLCULO!$AA$15,ROW($X293)-ROW($X$15),1):OFFSET(CÁLCULO!$AL$15,ROW($X293)-ROW($X$15),-1))),IF($C293=0,0,ROUND(SomaAgrup,15-13*$AF$11)))</f>
        <v>0</v>
      </c>
      <c r="Y293" s="128" t="s">
        <v>245</v>
      </c>
      <c r="Z293" t="str">
        <f t="shared" ca="1" si="67"/>
        <v/>
      </c>
      <c r="AA293" s="129">
        <f ca="1">IF($C293="S",IF($Z293="CP",$X293,IF($Z293="RA",(($X293)*QCI!$AA$3),0)),SomaAgrup)</f>
        <v>0</v>
      </c>
      <c r="AB293" s="130">
        <f t="shared" ca="1" si="68"/>
        <v>0</v>
      </c>
      <c r="AC293" s="131" t="str">
        <f ca="1">IF($N293="","",IF(ORÇAMENTO.Descricao="","DESCRIÇÃO",IF(AND($C293="S",ORÇAMENTO.Unidade=""),"UNIDADE",IF($X293&lt;0,"VALOR NEGATIVO",IF(OR(AND(TIPOORCAMENTO="Proposto",$AG293&lt;&gt;"",$AG293&gt;0,ORÇAMENTO.CustoUnitario&gt;$AG293),AND(TIPOORCAMENTO="LICITADO",ORÇAMENTO.PrecoUnitarioLicitado&gt;$AN293)),"ACIMA REF.","")))))</f>
        <v/>
      </c>
      <c r="AD293" t="str">
        <f ca="1">IF(C293&lt;=CRONO.NivelExibicao,MAX($AD$15:OFFSET(AD293,-1,0))+IF($C293&lt;&gt;1,1,MAX(1,COUNTIF(QCI!$A$13:$A$24,OFFSET($E293,-1,0)))),"")</f>
        <v/>
      </c>
      <c r="AE293" s="7" t="str">
        <f ca="1">IF(AND($C293="S",ORÇAMENTO.CodBarra&lt;&gt;""),IF(ORÇAMENTO.Fonte="",ORÇAMENTO.CodBarra,CONCATENATE(ORÇAMENTO.Fonte," ",ORÇAMENTO.CodBarra)))</f>
        <v>SINAPI 89424</v>
      </c>
      <c r="AF293" s="13" t="str">
        <f ca="1">IF(ISERROR(INDIRECT(ORÇAMENTO.BancoRef)),"(abra o arquivo 'Referência "&amp;Excel_BuiltIn_Database&amp;".xlsm)",IF(OR($C293&lt;&gt;"S",ORÇAMENTO.CodBarra=""),"(Sem Código)",IF(ISERROR(MATCH($AE293,INDIRECT(ORÇAMENTO.BancoRef),0)),"(Código não identificado nas referências)",MATCH($AE293,INDIRECT(ORÇAMENTO.BancoRef),0))))</f>
        <v>(abra o arquivo 'Referência 02-2025.xlsm)</v>
      </c>
      <c r="AG293" s="498">
        <f ca="1">ROUND(IF(DESONERACAO="sim",REFERENCIA.Desonerado,REFERENCIA.NaoDesonerado),2)</f>
        <v>0</v>
      </c>
      <c r="AH293" s="499">
        <f t="shared" ca="1" si="69"/>
        <v>0.22470000000000001</v>
      </c>
      <c r="AJ293" s="501">
        <v>40</v>
      </c>
      <c r="AL293" s="527"/>
      <c r="AM293" s="381">
        <f t="shared" ca="1" si="70"/>
        <v>0</v>
      </c>
      <c r="AN293" s="566">
        <f t="shared" ca="1" si="71"/>
        <v>0</v>
      </c>
    </row>
    <row r="294" spans="1:40" ht="38.25" x14ac:dyDescent="0.2">
      <c r="A294" t="str">
        <f t="shared" si="56"/>
        <v>S</v>
      </c>
      <c r="B294">
        <f t="shared" ca="1" si="57"/>
        <v>3</v>
      </c>
      <c r="C294" t="str">
        <f t="shared" ca="1" si="58"/>
        <v>S</v>
      </c>
      <c r="D294">
        <f t="shared" ca="1" si="59"/>
        <v>0</v>
      </c>
      <c r="E294">
        <f ca="1">IF($C294=1,OFFSET(E294,-1,0)+MAX(1,COUNTIF(QCI!$A$13:$A$24,OFFSET(ORÇAMENTO!E294,-1,0))),OFFSET(E294,-1,0))</f>
        <v>1</v>
      </c>
      <c r="F294">
        <f t="shared" ca="1" si="60"/>
        <v>12</v>
      </c>
      <c r="G294">
        <f t="shared" ca="1" si="61"/>
        <v>1</v>
      </c>
      <c r="H294">
        <f t="shared" ca="1" si="62"/>
        <v>0</v>
      </c>
      <c r="I294">
        <f t="shared" ca="1" si="63"/>
        <v>0</v>
      </c>
      <c r="J294">
        <f t="shared" ca="1" si="86"/>
        <v>0</v>
      </c>
      <c r="K294">
        <f ca="1">IF(OR($C294="S",$C294=0),0,MATCH(OFFSET($D294,0,$C294)+IF($C294&lt;&gt;1,1,COUNTIF(QCI!$A$13:$A$24,ORÇAMENTO!E294)),OFFSET($D294,1,$C294,ROW($C$747)-ROW($C294)),0))</f>
        <v>0</v>
      </c>
      <c r="L294" s="116" t="str">
        <f t="shared" ca="1" si="64"/>
        <v/>
      </c>
      <c r="M294" s="117" t="s">
        <v>199</v>
      </c>
      <c r="N294" s="118" t="str">
        <f t="shared" ca="1" si="65"/>
        <v>Serviço</v>
      </c>
      <c r="O294" s="119" t="str">
        <f t="shared" ca="1" si="66"/>
        <v>-</v>
      </c>
      <c r="P294" s="120" t="s">
        <v>247</v>
      </c>
      <c r="Q294" s="121" t="s">
        <v>524</v>
      </c>
      <c r="R294" s="122" t="str">
        <f ca="1">IF($C294="S",REFERENCIA.Descricao,"(digite a descrição aqui)")</f>
        <v>(abra o arquivo 'Referência 02-2025.xlsm)</v>
      </c>
      <c r="S294" s="123" t="str">
        <f ca="1">REFERENCIA.Unidade</f>
        <v>-</v>
      </c>
      <c r="T294" s="124">
        <f ca="1">OFFSET(CÁLCULO!H$15,ROW($T294)-ROW(T$15),0)</f>
        <v>16</v>
      </c>
      <c r="U294" s="125">
        <f t="shared" ca="1" si="87"/>
        <v>0</v>
      </c>
      <c r="V294" s="126" t="s">
        <v>156</v>
      </c>
      <c r="W294" s="124">
        <f ca="1">IF($C294="S",ROUND(IF(TIPOORCAMENTO="Proposto",ORÇAMENTO.CustoUnitario*(1+$AH294),ORÇAMENTO.PrecoUnitarioLicitado),15-13*$AF$10),0)</f>
        <v>0</v>
      </c>
      <c r="X294" s="127">
        <f ca="1">IF($C294="S",IF(Import.TipoArredondamento&lt;&gt;"TransfereGOV",VTOTAL1,SUM(OFFSET(CÁLCULO!$AA$15,ROW($X294)-ROW($X$15),1):OFFSET(CÁLCULO!$AL$15,ROW($X294)-ROW($X$15),-1))),IF($C294=0,0,ROUND(SomaAgrup,15-13*$AF$11)))</f>
        <v>0</v>
      </c>
      <c r="Y294" s="128" t="s">
        <v>245</v>
      </c>
      <c r="Z294" t="str">
        <f t="shared" ca="1" si="67"/>
        <v/>
      </c>
      <c r="AA294" s="129">
        <f ca="1">IF($C294="S",IF($Z294="CP",$X294,IF($Z294="RA",(($X294)*QCI!$AA$3),0)),SomaAgrup)</f>
        <v>0</v>
      </c>
      <c r="AB294" s="130">
        <f t="shared" ca="1" si="68"/>
        <v>0</v>
      </c>
      <c r="AC294" s="131" t="str">
        <f ca="1">IF($N294="","",IF(ORÇAMENTO.Descricao="","DESCRIÇÃO",IF(AND($C294="S",ORÇAMENTO.Unidade=""),"UNIDADE",IF($X294&lt;0,"VALOR NEGATIVO",IF(OR(AND(TIPOORCAMENTO="Proposto",$AG294&lt;&gt;"",$AG294&gt;0,ORÇAMENTO.CustoUnitario&gt;$AG294),AND(TIPOORCAMENTO="LICITADO",ORÇAMENTO.PrecoUnitarioLicitado&gt;$AN294)),"ACIMA REF.","")))))</f>
        <v/>
      </c>
      <c r="AD294" t="str">
        <f ca="1">IF(C294&lt;=CRONO.NivelExibicao,MAX($AD$15:OFFSET(AD294,-1,0))+IF($C294&lt;&gt;1,1,MAX(1,COUNTIF(QCI!$A$13:$A$24,OFFSET($E294,-1,0)))),"")</f>
        <v/>
      </c>
      <c r="AE294" s="7" t="str">
        <f ca="1">IF(AND($C294="S",ORÇAMENTO.CodBarra&lt;&gt;""),IF(ORÇAMENTO.Fonte="",ORÇAMENTO.CodBarra,CONCATENATE(ORÇAMENTO.Fonte," ",ORÇAMENTO.CodBarra)))</f>
        <v>SINAPI 103995</v>
      </c>
      <c r="AF294" s="13" t="str">
        <f ca="1">IF(ISERROR(INDIRECT(ORÇAMENTO.BancoRef)),"(abra o arquivo 'Referência "&amp;Excel_BuiltIn_Database&amp;".xlsm)",IF(OR($C294&lt;&gt;"S",ORÇAMENTO.CodBarra=""),"(Sem Código)",IF(ISERROR(MATCH($AE294,INDIRECT(ORÇAMENTO.BancoRef),0)),"(Código não identificado nas referências)",MATCH($AE294,INDIRECT(ORÇAMENTO.BancoRef),0))))</f>
        <v>(abra o arquivo 'Referência 02-2025.xlsm)</v>
      </c>
      <c r="AG294" s="498">
        <f ca="1">ROUND(IF(DESONERACAO="sim",REFERENCIA.Desonerado,REFERENCIA.NaoDesonerado),2)</f>
        <v>0</v>
      </c>
      <c r="AH294" s="499">
        <f t="shared" ca="1" si="69"/>
        <v>0.22470000000000001</v>
      </c>
      <c r="AJ294" s="501">
        <v>16</v>
      </c>
      <c r="AL294" s="527"/>
      <c r="AM294" s="381">
        <f t="shared" ca="1" si="70"/>
        <v>0</v>
      </c>
      <c r="AN294" s="566">
        <f t="shared" ca="1" si="71"/>
        <v>0</v>
      </c>
    </row>
    <row r="295" spans="1:40" ht="25.5" x14ac:dyDescent="0.2">
      <c r="A295" t="str">
        <f t="shared" si="56"/>
        <v>S</v>
      </c>
      <c r="B295">
        <f t="shared" ca="1" si="57"/>
        <v>3</v>
      </c>
      <c r="C295" t="str">
        <f t="shared" ca="1" si="58"/>
        <v>S</v>
      </c>
      <c r="D295">
        <f t="shared" ca="1" si="59"/>
        <v>0</v>
      </c>
      <c r="E295">
        <f ca="1">IF($C295=1,OFFSET(E295,-1,0)+MAX(1,COUNTIF(QCI!$A$13:$A$24,OFFSET(ORÇAMENTO!E295,-1,0))),OFFSET(E295,-1,0))</f>
        <v>1</v>
      </c>
      <c r="F295">
        <f t="shared" ca="1" si="60"/>
        <v>12</v>
      </c>
      <c r="G295">
        <f t="shared" ca="1" si="61"/>
        <v>1</v>
      </c>
      <c r="H295">
        <f t="shared" ca="1" si="62"/>
        <v>0</v>
      </c>
      <c r="I295">
        <f t="shared" ca="1" si="63"/>
        <v>0</v>
      </c>
      <c r="J295">
        <f t="shared" ca="1" si="86"/>
        <v>0</v>
      </c>
      <c r="K295">
        <f ca="1">IF(OR($C295="S",$C295=0),0,MATCH(OFFSET($D295,0,$C295)+IF($C295&lt;&gt;1,1,COUNTIF(QCI!$A$13:$A$24,ORÇAMENTO!E295)),OFFSET($D295,1,$C295,ROW($C$747)-ROW($C295)),0))</f>
        <v>0</v>
      </c>
      <c r="L295" s="116" t="str">
        <f t="shared" ca="1" si="64"/>
        <v/>
      </c>
      <c r="M295" s="117" t="s">
        <v>199</v>
      </c>
      <c r="N295" s="118" t="str">
        <f t="shared" ca="1" si="65"/>
        <v>Serviço</v>
      </c>
      <c r="O295" s="119" t="str">
        <f t="shared" ca="1" si="66"/>
        <v>-</v>
      </c>
      <c r="P295" s="120" t="s">
        <v>247</v>
      </c>
      <c r="Q295" s="121" t="s">
        <v>932</v>
      </c>
      <c r="R295" s="122" t="str">
        <f ca="1">IF($C295="S",REFERENCIA.Descricao,"(digite a descrição aqui)")</f>
        <v>(abra o arquivo 'Referência 02-2025.xlsm)</v>
      </c>
      <c r="S295" s="123" t="str">
        <f ca="1">REFERENCIA.Unidade</f>
        <v>-</v>
      </c>
      <c r="T295" s="124">
        <f ca="1">OFFSET(CÁLCULO!H$15,ROW($T295)-ROW(T$15),0)</f>
        <v>53</v>
      </c>
      <c r="U295" s="125">
        <f t="shared" ca="1" si="87"/>
        <v>0</v>
      </c>
      <c r="V295" s="126" t="s">
        <v>156</v>
      </c>
      <c r="W295" s="124">
        <f ca="1">IF($C295="S",ROUND(IF(TIPOORCAMENTO="Proposto",ORÇAMENTO.CustoUnitario*(1+$AH295),ORÇAMENTO.PrecoUnitarioLicitado),15-13*$AF$10),0)</f>
        <v>0</v>
      </c>
      <c r="X295" s="127">
        <f ca="1">IF($C295="S",IF(Import.TipoArredondamento&lt;&gt;"TransfereGOV",VTOTAL1,SUM(OFFSET(CÁLCULO!$AA$15,ROW($X295)-ROW($X$15),1):OFFSET(CÁLCULO!$AL$15,ROW($X295)-ROW($X$15),-1))),IF($C295=0,0,ROUND(SomaAgrup,15-13*$AF$11)))</f>
        <v>0</v>
      </c>
      <c r="Y295" s="128" t="s">
        <v>245</v>
      </c>
      <c r="Z295" t="str">
        <f t="shared" ca="1" si="67"/>
        <v/>
      </c>
      <c r="AA295" s="129">
        <f ca="1">IF($C295="S",IF($Z295="CP",$X295,IF($Z295="RA",(($X295)*QCI!$AA$3),0)),SomaAgrup)</f>
        <v>0</v>
      </c>
      <c r="AB295" s="130">
        <f t="shared" ca="1" si="68"/>
        <v>0</v>
      </c>
      <c r="AC295" s="131" t="str">
        <f ca="1">IF($N295="","",IF(ORÇAMENTO.Descricao="","DESCRIÇÃO",IF(AND($C295="S",ORÇAMENTO.Unidade=""),"UNIDADE",IF($X295&lt;0,"VALOR NEGATIVO",IF(OR(AND(TIPOORCAMENTO="Proposto",$AG295&lt;&gt;"",$AG295&gt;0,ORÇAMENTO.CustoUnitario&gt;$AG295),AND(TIPOORCAMENTO="LICITADO",ORÇAMENTO.PrecoUnitarioLicitado&gt;$AN295)),"ACIMA REF.","")))))</f>
        <v/>
      </c>
      <c r="AD295" t="str">
        <f ca="1">IF(C295&lt;=CRONO.NivelExibicao,MAX($AD$15:OFFSET(AD295,-1,0))+IF($C295&lt;&gt;1,1,MAX(1,COUNTIF(QCI!$A$13:$A$24,OFFSET($E295,-1,0)))),"")</f>
        <v/>
      </c>
      <c r="AE295" s="7" t="str">
        <f ca="1">IF(AND($C295="S",ORÇAMENTO.CodBarra&lt;&gt;""),IF(ORÇAMENTO.Fonte="",ORÇAMENTO.CodBarra,CONCATENATE(ORÇAMENTO.Fonte," ",ORÇAMENTO.CodBarra)))</f>
        <v>SINAPI 89597</v>
      </c>
      <c r="AF295" s="13" t="str">
        <f ca="1">IF(ISERROR(INDIRECT(ORÇAMENTO.BancoRef)),"(abra o arquivo 'Referência "&amp;Excel_BuiltIn_Database&amp;".xlsm)",IF(OR($C295&lt;&gt;"S",ORÇAMENTO.CodBarra=""),"(Sem Código)",IF(ISERROR(MATCH($AE295,INDIRECT(ORÇAMENTO.BancoRef),0)),"(Código não identificado nas referências)",MATCH($AE295,INDIRECT(ORÇAMENTO.BancoRef),0))))</f>
        <v>(abra o arquivo 'Referência 02-2025.xlsm)</v>
      </c>
      <c r="AG295" s="498">
        <f ca="1">ROUND(IF(DESONERACAO="sim",REFERENCIA.Desonerado,REFERENCIA.NaoDesonerado),2)</f>
        <v>0</v>
      </c>
      <c r="AH295" s="499">
        <f t="shared" ca="1" si="69"/>
        <v>0.22470000000000001</v>
      </c>
      <c r="AJ295" s="501">
        <v>53</v>
      </c>
      <c r="AL295" s="527"/>
      <c r="AM295" s="381">
        <f t="shared" ca="1" si="70"/>
        <v>0</v>
      </c>
      <c r="AN295" s="566">
        <f t="shared" ca="1" si="71"/>
        <v>0</v>
      </c>
    </row>
    <row r="296" spans="1:40" ht="38.25" x14ac:dyDescent="0.2">
      <c r="A296" t="str">
        <f t="shared" si="56"/>
        <v>S</v>
      </c>
      <c r="B296">
        <f t="shared" ca="1" si="57"/>
        <v>3</v>
      </c>
      <c r="C296" t="str">
        <f t="shared" ca="1" si="58"/>
        <v>S</v>
      </c>
      <c r="D296">
        <f t="shared" ca="1" si="59"/>
        <v>0</v>
      </c>
      <c r="E296">
        <f ca="1">IF($C296=1,OFFSET(E296,-1,0)+MAX(1,COUNTIF(QCI!$A$13:$A$24,OFFSET(ORÇAMENTO!E296,-1,0))),OFFSET(E296,-1,0))</f>
        <v>1</v>
      </c>
      <c r="F296">
        <f t="shared" ca="1" si="60"/>
        <v>12</v>
      </c>
      <c r="G296">
        <f t="shared" ca="1" si="61"/>
        <v>1</v>
      </c>
      <c r="H296">
        <f t="shared" ca="1" si="62"/>
        <v>0</v>
      </c>
      <c r="I296">
        <f t="shared" ca="1" si="63"/>
        <v>0</v>
      </c>
      <c r="J296">
        <f t="shared" ca="1" si="86"/>
        <v>0</v>
      </c>
      <c r="K296">
        <f ca="1">IF(OR($C296="S",$C296=0),0,MATCH(OFFSET($D296,0,$C296)+IF($C296&lt;&gt;1,1,COUNTIF(QCI!$A$13:$A$24,ORÇAMENTO!E296)),OFFSET($D296,1,$C296,ROW($C$747)-ROW($C296)),0))</f>
        <v>0</v>
      </c>
      <c r="L296" s="116" t="str">
        <f t="shared" ca="1" si="64"/>
        <v/>
      </c>
      <c r="M296" s="117" t="s">
        <v>199</v>
      </c>
      <c r="N296" s="118" t="str">
        <f t="shared" ca="1" si="65"/>
        <v>Serviço</v>
      </c>
      <c r="O296" s="119" t="str">
        <f t="shared" ca="1" si="66"/>
        <v>-</v>
      </c>
      <c r="P296" s="120" t="s">
        <v>247</v>
      </c>
      <c r="Q296" s="121" t="s">
        <v>933</v>
      </c>
      <c r="R296" s="122" t="str">
        <f ca="1">IF($C296="S",REFERENCIA.Descricao,"(digite a descrição aqui)")</f>
        <v>(abra o arquivo 'Referência 02-2025.xlsm)</v>
      </c>
      <c r="S296" s="123" t="str">
        <f ca="1">REFERENCIA.Unidade</f>
        <v>-</v>
      </c>
      <c r="T296" s="124">
        <f ca="1">OFFSET(CÁLCULO!H$15,ROW($T296)-ROW(T$15),0)</f>
        <v>3</v>
      </c>
      <c r="U296" s="125">
        <f t="shared" ca="1" si="87"/>
        <v>0</v>
      </c>
      <c r="V296" s="126" t="s">
        <v>156</v>
      </c>
      <c r="W296" s="124">
        <f ca="1">IF($C296="S",ROUND(IF(TIPOORCAMENTO="Proposto",ORÇAMENTO.CustoUnitario*(1+$AH296),ORÇAMENTO.PrecoUnitarioLicitado),15-13*$AF$10),0)</f>
        <v>0</v>
      </c>
      <c r="X296" s="127">
        <f ca="1">IF($C296="S",IF(Import.TipoArredondamento&lt;&gt;"TransfereGOV",VTOTAL1,SUM(OFFSET(CÁLCULO!$AA$15,ROW($X296)-ROW($X$15),1):OFFSET(CÁLCULO!$AL$15,ROW($X296)-ROW($X$15),-1))),IF($C296=0,0,ROUND(SomaAgrup,15-13*$AF$11)))</f>
        <v>0</v>
      </c>
      <c r="Y296" s="128" t="s">
        <v>245</v>
      </c>
      <c r="Z296" t="str">
        <f t="shared" ca="1" si="67"/>
        <v/>
      </c>
      <c r="AA296" s="129">
        <f ca="1">IF($C296="S",IF($Z296="CP",$X296,IF($Z296="RA",(($X296)*QCI!$AA$3),0)),SomaAgrup)</f>
        <v>0</v>
      </c>
      <c r="AB296" s="130">
        <f t="shared" ca="1" si="68"/>
        <v>0</v>
      </c>
      <c r="AC296" s="131" t="str">
        <f ca="1">IF($N296="","",IF(ORÇAMENTO.Descricao="","DESCRIÇÃO",IF(AND($C296="S",ORÇAMENTO.Unidade=""),"UNIDADE",IF($X296&lt;0,"VALOR NEGATIVO",IF(OR(AND(TIPOORCAMENTO="Proposto",$AG296&lt;&gt;"",$AG296&gt;0,ORÇAMENTO.CustoUnitario&gt;$AG296),AND(TIPOORCAMENTO="LICITADO",ORÇAMENTO.PrecoUnitarioLicitado&gt;$AN296)),"ACIMA REF.","")))))</f>
        <v/>
      </c>
      <c r="AD296" t="str">
        <f ca="1">IF(C296&lt;=CRONO.NivelExibicao,MAX($AD$15:OFFSET(AD296,-1,0))+IF($C296&lt;&gt;1,1,MAX(1,COUNTIF(QCI!$A$13:$A$24,OFFSET($E296,-1,0)))),"")</f>
        <v/>
      </c>
      <c r="AE296" s="7" t="str">
        <f ca="1">IF(AND($C296="S",ORÇAMENTO.CodBarra&lt;&gt;""),IF(ORÇAMENTO.Fonte="",ORÇAMENTO.CodBarra,CONCATENATE(ORÇAMENTO.Fonte," ",ORÇAMENTO.CodBarra)))</f>
        <v>SINAPI 89385</v>
      </c>
      <c r="AF296" s="13" t="str">
        <f ca="1">IF(ISERROR(INDIRECT(ORÇAMENTO.BancoRef)),"(abra o arquivo 'Referência "&amp;Excel_BuiltIn_Database&amp;".xlsm)",IF(OR($C296&lt;&gt;"S",ORÇAMENTO.CodBarra=""),"(Sem Código)",IF(ISERROR(MATCH($AE296,INDIRECT(ORÇAMENTO.BancoRef),0)),"(Código não identificado nas referências)",MATCH($AE296,INDIRECT(ORÇAMENTO.BancoRef),0))))</f>
        <v>(abra o arquivo 'Referência 02-2025.xlsm)</v>
      </c>
      <c r="AG296" s="498">
        <f ca="1">ROUND(IF(DESONERACAO="sim",REFERENCIA.Desonerado,REFERENCIA.NaoDesonerado),2)</f>
        <v>0</v>
      </c>
      <c r="AH296" s="499">
        <f t="shared" ca="1" si="69"/>
        <v>0.22470000000000001</v>
      </c>
      <c r="AJ296" s="501">
        <v>3</v>
      </c>
      <c r="AL296" s="527"/>
      <c r="AM296" s="381">
        <f t="shared" ca="1" si="70"/>
        <v>0</v>
      </c>
      <c r="AN296" s="566">
        <f t="shared" ca="1" si="71"/>
        <v>0</v>
      </c>
    </row>
    <row r="297" spans="1:40" ht="25.5" x14ac:dyDescent="0.2">
      <c r="A297" t="str">
        <f t="shared" si="56"/>
        <v>S</v>
      </c>
      <c r="B297">
        <f t="shared" ca="1" si="57"/>
        <v>3</v>
      </c>
      <c r="C297" t="str">
        <f t="shared" ca="1" si="58"/>
        <v>S</v>
      </c>
      <c r="D297">
        <f t="shared" ca="1" si="59"/>
        <v>0</v>
      </c>
      <c r="E297">
        <f ca="1">IF($C297=1,OFFSET(E297,-1,0)+MAX(1,COUNTIF(QCI!$A$13:$A$24,OFFSET(ORÇAMENTO!E297,-1,0))),OFFSET(E297,-1,0))</f>
        <v>1</v>
      </c>
      <c r="F297">
        <f t="shared" ca="1" si="60"/>
        <v>12</v>
      </c>
      <c r="G297">
        <f t="shared" ca="1" si="61"/>
        <v>1</v>
      </c>
      <c r="H297">
        <f t="shared" ca="1" si="62"/>
        <v>0</v>
      </c>
      <c r="I297">
        <f t="shared" ca="1" si="63"/>
        <v>0</v>
      </c>
      <c r="J297">
        <f t="shared" ca="1" si="86"/>
        <v>0</v>
      </c>
      <c r="K297">
        <f ca="1">IF(OR($C297="S",$C297=0),0,MATCH(OFFSET($D297,0,$C297)+IF($C297&lt;&gt;1,1,COUNTIF(QCI!$A$13:$A$24,ORÇAMENTO!E297)),OFFSET($D297,1,$C297,ROW($C$747)-ROW($C297)),0))</f>
        <v>0</v>
      </c>
      <c r="L297" s="116" t="str">
        <f t="shared" ca="1" si="64"/>
        <v/>
      </c>
      <c r="M297" s="117" t="s">
        <v>199</v>
      </c>
      <c r="N297" s="118" t="str">
        <f t="shared" ca="1" si="65"/>
        <v>Serviço</v>
      </c>
      <c r="O297" s="119" t="str">
        <f t="shared" ca="1" si="66"/>
        <v>-</v>
      </c>
      <c r="P297" s="120" t="s">
        <v>247</v>
      </c>
      <c r="Q297" s="121" t="s">
        <v>934</v>
      </c>
      <c r="R297" s="122" t="str">
        <f ca="1">IF($C297="S",REFERENCIA.Descricao,"(digite a descrição aqui)")</f>
        <v>(abra o arquivo 'Referência 02-2025.xlsm)</v>
      </c>
      <c r="S297" s="123" t="str">
        <f ca="1">REFERENCIA.Unidade</f>
        <v>-</v>
      </c>
      <c r="T297" s="124">
        <f ca="1">OFFSET(CÁLCULO!H$15,ROW($T297)-ROW(T$15),0)</f>
        <v>15</v>
      </c>
      <c r="U297" s="125">
        <f t="shared" ca="1" si="87"/>
        <v>0</v>
      </c>
      <c r="V297" s="126" t="s">
        <v>156</v>
      </c>
      <c r="W297" s="124">
        <f ca="1">IF($C297="S",ROUND(IF(TIPOORCAMENTO="Proposto",ORÇAMENTO.CustoUnitario*(1+$AH297),ORÇAMENTO.PrecoUnitarioLicitado),15-13*$AF$10),0)</f>
        <v>0</v>
      </c>
      <c r="X297" s="127">
        <f ca="1">IF($C297="S",IF(Import.TipoArredondamento&lt;&gt;"TransfereGOV",VTOTAL1,SUM(OFFSET(CÁLCULO!$AA$15,ROW($X297)-ROW($X$15),1):OFFSET(CÁLCULO!$AL$15,ROW($X297)-ROW($X$15),-1))),IF($C297=0,0,ROUND(SomaAgrup,15-13*$AF$11)))</f>
        <v>0</v>
      </c>
      <c r="Y297" s="128" t="s">
        <v>245</v>
      </c>
      <c r="Z297" t="str">
        <f t="shared" ca="1" si="67"/>
        <v/>
      </c>
      <c r="AA297" s="129">
        <f ca="1">IF($C297="S",IF($Z297="CP",$X297,IF($Z297="RA",(($X297)*QCI!$AA$3),0)),SomaAgrup)</f>
        <v>0</v>
      </c>
      <c r="AB297" s="130">
        <f t="shared" ca="1" si="68"/>
        <v>0</v>
      </c>
      <c r="AC297" s="131" t="str">
        <f ca="1">IF($N297="","",IF(ORÇAMENTO.Descricao="","DESCRIÇÃO",IF(AND($C297="S",ORÇAMENTO.Unidade=""),"UNIDADE",IF($X297&lt;0,"VALOR NEGATIVO",IF(OR(AND(TIPOORCAMENTO="Proposto",$AG297&lt;&gt;"",$AG297&gt;0,ORÇAMENTO.CustoUnitario&gt;$AG297),AND(TIPOORCAMENTO="LICITADO",ORÇAMENTO.PrecoUnitarioLicitado&gt;$AN297)),"ACIMA REF.","")))))</f>
        <v/>
      </c>
      <c r="AD297" t="str">
        <f ca="1">IF(C297&lt;=CRONO.NivelExibicao,MAX($AD$15:OFFSET(AD297,-1,0))+IF($C297&lt;&gt;1,1,MAX(1,COUNTIF(QCI!$A$13:$A$24,OFFSET($E297,-1,0)))),"")</f>
        <v/>
      </c>
      <c r="AE297" s="7" t="str">
        <f ca="1">IF(AND($C297="S",ORÇAMENTO.CodBarra&lt;&gt;""),IF(ORÇAMENTO.Fonte="",ORÇAMENTO.CodBarra,CONCATENATE(ORÇAMENTO.Fonte," ",ORÇAMENTO.CodBarra)))</f>
        <v>SINAPI 89614</v>
      </c>
      <c r="AF297" s="13" t="str">
        <f ca="1">IF(ISERROR(INDIRECT(ORÇAMENTO.BancoRef)),"(abra o arquivo 'Referência "&amp;Excel_BuiltIn_Database&amp;".xlsm)",IF(OR($C297&lt;&gt;"S",ORÇAMENTO.CodBarra=""),"(Sem Código)",IF(ISERROR(MATCH($AE297,INDIRECT(ORÇAMENTO.BancoRef),0)),"(Código não identificado nas referências)",MATCH($AE297,INDIRECT(ORÇAMENTO.BancoRef),0))))</f>
        <v>(abra o arquivo 'Referência 02-2025.xlsm)</v>
      </c>
      <c r="AG297" s="498">
        <f ca="1">ROUND(IF(DESONERACAO="sim",REFERENCIA.Desonerado,REFERENCIA.NaoDesonerado),2)</f>
        <v>0</v>
      </c>
      <c r="AH297" s="499">
        <f t="shared" ca="1" si="69"/>
        <v>0.22470000000000001</v>
      </c>
      <c r="AJ297" s="501">
        <v>15</v>
      </c>
      <c r="AL297" s="527"/>
      <c r="AM297" s="381">
        <f t="shared" ca="1" si="70"/>
        <v>0</v>
      </c>
      <c r="AN297" s="566">
        <f t="shared" ca="1" si="71"/>
        <v>0</v>
      </c>
    </row>
    <row r="298" spans="1:40" ht="38.25" x14ac:dyDescent="0.2">
      <c r="A298" t="str">
        <f t="shared" si="56"/>
        <v>S</v>
      </c>
      <c r="B298">
        <f t="shared" ca="1" si="57"/>
        <v>3</v>
      </c>
      <c r="C298" t="str">
        <f t="shared" ca="1" si="58"/>
        <v>S</v>
      </c>
      <c r="D298">
        <f t="shared" ca="1" si="59"/>
        <v>0</v>
      </c>
      <c r="E298">
        <f ca="1">IF($C298=1,OFFSET(E298,-1,0)+MAX(1,COUNTIF(QCI!$A$13:$A$24,OFFSET(ORÇAMENTO!E298,-1,0))),OFFSET(E298,-1,0))</f>
        <v>1</v>
      </c>
      <c r="F298">
        <f t="shared" ca="1" si="60"/>
        <v>12</v>
      </c>
      <c r="G298">
        <f t="shared" ca="1" si="61"/>
        <v>1</v>
      </c>
      <c r="H298">
        <f t="shared" ca="1" si="62"/>
        <v>0</v>
      </c>
      <c r="I298">
        <f t="shared" ca="1" si="63"/>
        <v>0</v>
      </c>
      <c r="J298">
        <f t="shared" ca="1" si="86"/>
        <v>0</v>
      </c>
      <c r="K298">
        <f ca="1">IF(OR($C298="S",$C298=0),0,MATCH(OFFSET($D298,0,$C298)+IF($C298&lt;&gt;1,1,COUNTIF(QCI!$A$13:$A$24,ORÇAMENTO!E298)),OFFSET($D298,1,$C298,ROW($C$747)-ROW($C298)),0))</f>
        <v>0</v>
      </c>
      <c r="L298" s="116" t="str">
        <f t="shared" ca="1" si="64"/>
        <v/>
      </c>
      <c r="M298" s="117" t="s">
        <v>199</v>
      </c>
      <c r="N298" s="118" t="str">
        <f t="shared" ca="1" si="65"/>
        <v>Serviço</v>
      </c>
      <c r="O298" s="119" t="str">
        <f t="shared" ca="1" si="66"/>
        <v>-</v>
      </c>
      <c r="P298" s="120" t="s">
        <v>247</v>
      </c>
      <c r="Q298" s="121" t="s">
        <v>525</v>
      </c>
      <c r="R298" s="122" t="str">
        <f ca="1">IF($C298="S",REFERENCIA.Descricao,"(digite a descrição aqui)")</f>
        <v>(abra o arquivo 'Referência 02-2025.xlsm)</v>
      </c>
      <c r="S298" s="123" t="str">
        <f ca="1">REFERENCIA.Unidade</f>
        <v>-</v>
      </c>
      <c r="T298" s="124">
        <f ca="1">OFFSET(CÁLCULO!H$15,ROW($T298)-ROW(T$15),0)</f>
        <v>64</v>
      </c>
      <c r="U298" s="125">
        <f t="shared" ca="1" si="87"/>
        <v>0</v>
      </c>
      <c r="V298" s="126" t="s">
        <v>156</v>
      </c>
      <c r="W298" s="124">
        <f ca="1">IF($C298="S",ROUND(IF(TIPOORCAMENTO="Proposto",ORÇAMENTO.CustoUnitario*(1+$AH298),ORÇAMENTO.PrecoUnitarioLicitado),15-13*$AF$10),0)</f>
        <v>0</v>
      </c>
      <c r="X298" s="127">
        <f ca="1">IF($C298="S",IF(Import.TipoArredondamento&lt;&gt;"TransfereGOV",VTOTAL1,SUM(OFFSET(CÁLCULO!$AA$15,ROW($X298)-ROW($X$15),1):OFFSET(CÁLCULO!$AL$15,ROW($X298)-ROW($X$15),-1))),IF($C298=0,0,ROUND(SomaAgrup,15-13*$AF$11)))</f>
        <v>0</v>
      </c>
      <c r="Y298" s="128" t="s">
        <v>245</v>
      </c>
      <c r="Z298" t="str">
        <f t="shared" ca="1" si="67"/>
        <v/>
      </c>
      <c r="AA298" s="129">
        <f ca="1">IF($C298="S",IF($Z298="CP",$X298,IF($Z298="RA",(($X298)*QCI!$AA$3),0)),SomaAgrup)</f>
        <v>0</v>
      </c>
      <c r="AB298" s="130">
        <f t="shared" ca="1" si="68"/>
        <v>0</v>
      </c>
      <c r="AC298" s="131" t="str">
        <f ca="1">IF($N298="","",IF(ORÇAMENTO.Descricao="","DESCRIÇÃO",IF(AND($C298="S",ORÇAMENTO.Unidade=""),"UNIDADE",IF($X298&lt;0,"VALOR NEGATIVO",IF(OR(AND(TIPOORCAMENTO="Proposto",$AG298&lt;&gt;"",$AG298&gt;0,ORÇAMENTO.CustoUnitario&gt;$AG298),AND(TIPOORCAMENTO="LICITADO",ORÇAMENTO.PrecoUnitarioLicitado&gt;$AN298)),"ACIMA REF.","")))))</f>
        <v/>
      </c>
      <c r="AD298" t="str">
        <f ca="1">IF(C298&lt;=CRONO.NivelExibicao,MAX($AD$15:OFFSET(AD298,-1,0))+IF($C298&lt;&gt;1,1,MAX(1,COUNTIF(QCI!$A$13:$A$24,OFFSET($E298,-1,0)))),"")</f>
        <v/>
      </c>
      <c r="AE298" s="7" t="str">
        <f ca="1">IF(AND($C298="S",ORÇAMENTO.CodBarra&lt;&gt;""),IF(ORÇAMENTO.Fonte="",ORÇAMENTO.CodBarra,CONCATENATE(ORÇAMENTO.Fonte," ",ORÇAMENTO.CodBarra)))</f>
        <v>SINAPI 89440</v>
      </c>
      <c r="AF298" s="13" t="str">
        <f ca="1">IF(ISERROR(INDIRECT(ORÇAMENTO.BancoRef)),"(abra o arquivo 'Referência "&amp;Excel_BuiltIn_Database&amp;".xlsm)",IF(OR($C298&lt;&gt;"S",ORÇAMENTO.CodBarra=""),"(Sem Código)",IF(ISERROR(MATCH($AE298,INDIRECT(ORÇAMENTO.BancoRef),0)),"(Código não identificado nas referências)",MATCH($AE298,INDIRECT(ORÇAMENTO.BancoRef),0))))</f>
        <v>(abra o arquivo 'Referência 02-2025.xlsm)</v>
      </c>
      <c r="AG298" s="498">
        <f ca="1">ROUND(IF(DESONERACAO="sim",REFERENCIA.Desonerado,REFERENCIA.NaoDesonerado),2)</f>
        <v>0</v>
      </c>
      <c r="AH298" s="499">
        <f t="shared" ca="1" si="69"/>
        <v>0.22470000000000001</v>
      </c>
      <c r="AJ298" s="501">
        <v>64</v>
      </c>
      <c r="AL298" s="527"/>
      <c r="AM298" s="381">
        <f t="shared" ca="1" si="70"/>
        <v>0</v>
      </c>
      <c r="AN298" s="566">
        <f t="shared" ca="1" si="71"/>
        <v>0</v>
      </c>
    </row>
    <row r="299" spans="1:40" ht="38.25" x14ac:dyDescent="0.2">
      <c r="A299" t="str">
        <f t="shared" si="56"/>
        <v>S</v>
      </c>
      <c r="B299">
        <f t="shared" ca="1" si="57"/>
        <v>3</v>
      </c>
      <c r="C299" t="str">
        <f t="shared" ca="1" si="58"/>
        <v>S</v>
      </c>
      <c r="D299">
        <f t="shared" ca="1" si="59"/>
        <v>0</v>
      </c>
      <c r="E299">
        <f ca="1">IF($C299=1,OFFSET(E299,-1,0)+MAX(1,COUNTIF(QCI!$A$13:$A$24,OFFSET(ORÇAMENTO!E299,-1,0))),OFFSET(E299,-1,0))</f>
        <v>1</v>
      </c>
      <c r="F299">
        <f t="shared" ca="1" si="60"/>
        <v>12</v>
      </c>
      <c r="G299">
        <f t="shared" ca="1" si="61"/>
        <v>1</v>
      </c>
      <c r="H299">
        <f t="shared" ca="1" si="62"/>
        <v>0</v>
      </c>
      <c r="I299">
        <f t="shared" ca="1" si="63"/>
        <v>0</v>
      </c>
      <c r="J299">
        <f t="shared" ca="1" si="86"/>
        <v>0</v>
      </c>
      <c r="K299">
        <f ca="1">IF(OR($C299="S",$C299=0),0,MATCH(OFFSET($D299,0,$C299)+IF($C299&lt;&gt;1,1,COUNTIF(QCI!$A$13:$A$24,ORÇAMENTO!E299)),OFFSET($D299,1,$C299,ROW($C$747)-ROW($C299)),0))</f>
        <v>0</v>
      </c>
      <c r="L299" s="116" t="str">
        <f t="shared" ca="1" si="64"/>
        <v/>
      </c>
      <c r="M299" s="117" t="s">
        <v>199</v>
      </c>
      <c r="N299" s="118" t="str">
        <f t="shared" ca="1" si="65"/>
        <v>Serviço</v>
      </c>
      <c r="O299" s="119" t="str">
        <f t="shared" ca="1" si="66"/>
        <v>-</v>
      </c>
      <c r="P299" s="120" t="s">
        <v>247</v>
      </c>
      <c r="Q299" s="121" t="s">
        <v>531</v>
      </c>
      <c r="R299" s="122" t="str">
        <f ca="1">IF($C299="S",REFERENCIA.Descricao,"(digite a descrição aqui)")</f>
        <v>(abra o arquivo 'Referência 02-2025.xlsm)</v>
      </c>
      <c r="S299" s="123" t="str">
        <f ca="1">REFERENCIA.Unidade</f>
        <v>-</v>
      </c>
      <c r="T299" s="124">
        <f ca="1">OFFSET(CÁLCULO!H$15,ROW($T299)-ROW(T$15),0)</f>
        <v>1</v>
      </c>
      <c r="U299" s="125">
        <f t="shared" ca="1" si="87"/>
        <v>0</v>
      </c>
      <c r="V299" s="126" t="s">
        <v>156</v>
      </c>
      <c r="W299" s="124">
        <f ca="1">IF($C299="S",ROUND(IF(TIPOORCAMENTO="Proposto",ORÇAMENTO.CustoUnitario*(1+$AH299),ORÇAMENTO.PrecoUnitarioLicitado),15-13*$AF$10),0)</f>
        <v>0</v>
      </c>
      <c r="X299" s="127">
        <f ca="1">IF($C299="S",IF(Import.TipoArredondamento&lt;&gt;"TransfereGOV",VTOTAL1,SUM(OFFSET(CÁLCULO!$AA$15,ROW($X299)-ROW($X$15),1):OFFSET(CÁLCULO!$AL$15,ROW($X299)-ROW($X$15),-1))),IF($C299=0,0,ROUND(SomaAgrup,15-13*$AF$11)))</f>
        <v>0</v>
      </c>
      <c r="Y299" s="128" t="s">
        <v>245</v>
      </c>
      <c r="Z299" t="str">
        <f t="shared" ca="1" si="67"/>
        <v/>
      </c>
      <c r="AA299" s="129">
        <f ca="1">IF($C299="S",IF($Z299="CP",$X299,IF($Z299="RA",(($X299)*QCI!$AA$3),0)),SomaAgrup)</f>
        <v>0</v>
      </c>
      <c r="AB299" s="130">
        <f t="shared" ca="1" si="68"/>
        <v>0</v>
      </c>
      <c r="AC299" s="131" t="str">
        <f ca="1">IF($N299="","",IF(ORÇAMENTO.Descricao="","DESCRIÇÃO",IF(AND($C299="S",ORÇAMENTO.Unidade=""),"UNIDADE",IF($X299&lt;0,"VALOR NEGATIVO",IF(OR(AND(TIPOORCAMENTO="Proposto",$AG299&lt;&gt;"",$AG299&gt;0,ORÇAMENTO.CustoUnitario&gt;$AG299),AND(TIPOORCAMENTO="LICITADO",ORÇAMENTO.PrecoUnitarioLicitado&gt;$AN299)),"ACIMA REF.","")))))</f>
        <v/>
      </c>
      <c r="AD299" t="str">
        <f ca="1">IF(C299&lt;=CRONO.NivelExibicao,MAX($AD$15:OFFSET(AD299,-1,0))+IF($C299&lt;&gt;1,1,MAX(1,COUNTIF(QCI!$A$13:$A$24,OFFSET($E299,-1,0)))),"")</f>
        <v/>
      </c>
      <c r="AE299" s="7" t="str">
        <f ca="1">IF(AND($C299="S",ORÇAMENTO.CodBarra&lt;&gt;""),IF(ORÇAMENTO.Fonte="",ORÇAMENTO.CodBarra,CONCATENATE(ORÇAMENTO.Fonte," ",ORÇAMENTO.CodBarra)))</f>
        <v>SINAPI 104011</v>
      </c>
      <c r="AF299" s="13" t="str">
        <f ca="1">IF(ISERROR(INDIRECT(ORÇAMENTO.BancoRef)),"(abra o arquivo 'Referência "&amp;Excel_BuiltIn_Database&amp;".xlsm)",IF(OR($C299&lt;&gt;"S",ORÇAMENTO.CodBarra=""),"(Sem Código)",IF(ISERROR(MATCH($AE299,INDIRECT(ORÇAMENTO.BancoRef),0)),"(Código não identificado nas referências)",MATCH($AE299,INDIRECT(ORÇAMENTO.BancoRef),0))))</f>
        <v>(abra o arquivo 'Referência 02-2025.xlsm)</v>
      </c>
      <c r="AG299" s="498">
        <f ca="1">ROUND(IF(DESONERACAO="sim",REFERENCIA.Desonerado,REFERENCIA.NaoDesonerado),2)</f>
        <v>0</v>
      </c>
      <c r="AH299" s="499">
        <f t="shared" ca="1" si="69"/>
        <v>0.22470000000000001</v>
      </c>
      <c r="AJ299" s="501">
        <v>1</v>
      </c>
      <c r="AL299" s="527"/>
      <c r="AM299" s="381">
        <f t="shared" ca="1" si="70"/>
        <v>0</v>
      </c>
      <c r="AN299" s="566">
        <f t="shared" ca="1" si="71"/>
        <v>0</v>
      </c>
    </row>
    <row r="300" spans="1:40" ht="38.25" x14ac:dyDescent="0.2">
      <c r="A300" t="str">
        <f t="shared" si="56"/>
        <v>S</v>
      </c>
      <c r="B300">
        <f t="shared" ca="1" si="57"/>
        <v>3</v>
      </c>
      <c r="C300" t="str">
        <f t="shared" ca="1" si="58"/>
        <v>S</v>
      </c>
      <c r="D300">
        <f t="shared" ca="1" si="59"/>
        <v>0</v>
      </c>
      <c r="E300">
        <f ca="1">IF($C300=1,OFFSET(E300,-1,0)+MAX(1,COUNTIF(QCI!$A$13:$A$24,OFFSET(ORÇAMENTO!E300,-1,0))),OFFSET(E300,-1,0))</f>
        <v>1</v>
      </c>
      <c r="F300">
        <f t="shared" ca="1" si="60"/>
        <v>12</v>
      </c>
      <c r="G300">
        <f t="shared" ca="1" si="61"/>
        <v>1</v>
      </c>
      <c r="H300">
        <f t="shared" ca="1" si="62"/>
        <v>0</v>
      </c>
      <c r="I300">
        <f t="shared" ca="1" si="63"/>
        <v>0</v>
      </c>
      <c r="J300">
        <f t="shared" ca="1" si="86"/>
        <v>0</v>
      </c>
      <c r="K300">
        <f ca="1">IF(OR($C300="S",$C300=0),0,MATCH(OFFSET($D300,0,$C300)+IF($C300&lt;&gt;1,1,COUNTIF(QCI!$A$13:$A$24,ORÇAMENTO!E300)),OFFSET($D300,1,$C300,ROW($C$747)-ROW($C300)),0))</f>
        <v>0</v>
      </c>
      <c r="L300" s="116" t="str">
        <f t="shared" ca="1" si="64"/>
        <v/>
      </c>
      <c r="M300" s="117" t="s">
        <v>199</v>
      </c>
      <c r="N300" s="118" t="str">
        <f t="shared" ca="1" si="65"/>
        <v>Serviço</v>
      </c>
      <c r="O300" s="119" t="str">
        <f t="shared" ca="1" si="66"/>
        <v>-</v>
      </c>
      <c r="P300" s="120" t="s">
        <v>247</v>
      </c>
      <c r="Q300" s="121" t="s">
        <v>526</v>
      </c>
      <c r="R300" s="122" t="str">
        <f ca="1">IF($C300="S",REFERENCIA.Descricao,"(digite a descrição aqui)")</f>
        <v>(abra o arquivo 'Referência 02-2025.xlsm)</v>
      </c>
      <c r="S300" s="123" t="str">
        <f ca="1">REFERENCIA.Unidade</f>
        <v>-</v>
      </c>
      <c r="T300" s="124">
        <f ca="1">OFFSET(CÁLCULO!H$15,ROW($T300)-ROW(T$15),0)</f>
        <v>8</v>
      </c>
      <c r="U300" s="125">
        <f t="shared" ca="1" si="87"/>
        <v>0</v>
      </c>
      <c r="V300" s="126" t="s">
        <v>156</v>
      </c>
      <c r="W300" s="124">
        <f ca="1">IF($C300="S",ROUND(IF(TIPOORCAMENTO="Proposto",ORÇAMENTO.CustoUnitario*(1+$AH300),ORÇAMENTO.PrecoUnitarioLicitado),15-13*$AF$10),0)</f>
        <v>0</v>
      </c>
      <c r="X300" s="127">
        <f ca="1">IF($C300="S",IF(Import.TipoArredondamento&lt;&gt;"TransfereGOV",VTOTAL1,SUM(OFFSET(CÁLCULO!$AA$15,ROW($X300)-ROW($X$15),1):OFFSET(CÁLCULO!$AL$15,ROW($X300)-ROW($X$15),-1))),IF($C300=0,0,ROUND(SomaAgrup,15-13*$AF$11)))</f>
        <v>0</v>
      </c>
      <c r="Y300" s="128" t="s">
        <v>245</v>
      </c>
      <c r="Z300" t="str">
        <f t="shared" ca="1" si="67"/>
        <v/>
      </c>
      <c r="AA300" s="129">
        <f ca="1">IF($C300="S",IF($Z300="CP",$X300,IF($Z300="RA",(($X300)*QCI!$AA$3),0)),SomaAgrup)</f>
        <v>0</v>
      </c>
      <c r="AB300" s="130">
        <f t="shared" ca="1" si="68"/>
        <v>0</v>
      </c>
      <c r="AC300" s="131" t="str">
        <f ca="1">IF($N300="","",IF(ORÇAMENTO.Descricao="","DESCRIÇÃO",IF(AND($C300="S",ORÇAMENTO.Unidade=""),"UNIDADE",IF($X300&lt;0,"VALOR NEGATIVO",IF(OR(AND(TIPOORCAMENTO="Proposto",$AG300&lt;&gt;"",$AG300&gt;0,ORÇAMENTO.CustoUnitario&gt;$AG300),AND(TIPOORCAMENTO="LICITADO",ORÇAMENTO.PrecoUnitarioLicitado&gt;$AN300)),"ACIMA REF.","")))))</f>
        <v/>
      </c>
      <c r="AD300" t="str">
        <f ca="1">IF(C300&lt;=CRONO.NivelExibicao,MAX($AD$15:OFFSET(AD300,-1,0))+IF($C300&lt;&gt;1,1,MAX(1,COUNTIF(QCI!$A$13:$A$24,OFFSET($E300,-1,0)))),"")</f>
        <v/>
      </c>
      <c r="AE300" s="7" t="str">
        <f ca="1">IF(AND($C300="S",ORÇAMENTO.CodBarra&lt;&gt;""),IF(ORÇAMENTO.Fonte="",ORÇAMENTO.CodBarra,CONCATENATE(ORÇAMENTO.Fonte," ",ORÇAMENTO.CodBarra)))</f>
        <v>SINAPI 104004</v>
      </c>
      <c r="AF300" s="13" t="str">
        <f ca="1">IF(ISERROR(INDIRECT(ORÇAMENTO.BancoRef)),"(abra o arquivo 'Referência "&amp;Excel_BuiltIn_Database&amp;".xlsm)",IF(OR($C300&lt;&gt;"S",ORÇAMENTO.CodBarra=""),"(Sem Código)",IF(ISERROR(MATCH($AE300,INDIRECT(ORÇAMENTO.BancoRef),0)),"(Código não identificado nas referências)",MATCH($AE300,INDIRECT(ORÇAMENTO.BancoRef),0))))</f>
        <v>(abra o arquivo 'Referência 02-2025.xlsm)</v>
      </c>
      <c r="AG300" s="498">
        <f ca="1">ROUND(IF(DESONERACAO="sim",REFERENCIA.Desonerado,REFERENCIA.NaoDesonerado),2)</f>
        <v>0</v>
      </c>
      <c r="AH300" s="499">
        <f t="shared" ca="1" si="69"/>
        <v>0.22470000000000001</v>
      </c>
      <c r="AJ300" s="501">
        <v>8</v>
      </c>
      <c r="AL300" s="527"/>
      <c r="AM300" s="381">
        <f t="shared" ca="1" si="70"/>
        <v>0</v>
      </c>
      <c r="AN300" s="566">
        <f t="shared" ca="1" si="71"/>
        <v>0</v>
      </c>
    </row>
    <row r="301" spans="1:40" ht="25.5" x14ac:dyDescent="0.2">
      <c r="A301" t="str">
        <f t="shared" si="56"/>
        <v>S</v>
      </c>
      <c r="B301">
        <f t="shared" ca="1" si="57"/>
        <v>3</v>
      </c>
      <c r="C301" t="str">
        <f t="shared" ca="1" si="58"/>
        <v>S</v>
      </c>
      <c r="D301">
        <f t="shared" ca="1" si="59"/>
        <v>0</v>
      </c>
      <c r="E301">
        <f ca="1">IF($C301=1,OFFSET(E301,-1,0)+MAX(1,COUNTIF(QCI!$A$13:$A$24,OFFSET(ORÇAMENTO!E301,-1,0))),OFFSET(E301,-1,0))</f>
        <v>1</v>
      </c>
      <c r="F301">
        <f t="shared" ca="1" si="60"/>
        <v>12</v>
      </c>
      <c r="G301">
        <f t="shared" ca="1" si="61"/>
        <v>1</v>
      </c>
      <c r="H301">
        <f t="shared" ca="1" si="62"/>
        <v>0</v>
      </c>
      <c r="I301">
        <f t="shared" ca="1" si="63"/>
        <v>0</v>
      </c>
      <c r="J301">
        <f t="shared" ca="1" si="86"/>
        <v>0</v>
      </c>
      <c r="K301">
        <f ca="1">IF(OR($C301="S",$C301=0),0,MATCH(OFFSET($D301,0,$C301)+IF($C301&lt;&gt;1,1,COUNTIF(QCI!$A$13:$A$24,ORÇAMENTO!E301)),OFFSET($D301,1,$C301,ROW($C$747)-ROW($C301)),0))</f>
        <v>0</v>
      </c>
      <c r="L301" s="116" t="str">
        <f t="shared" ca="1" si="64"/>
        <v/>
      </c>
      <c r="M301" s="117" t="s">
        <v>199</v>
      </c>
      <c r="N301" s="118" t="str">
        <f t="shared" ca="1" si="65"/>
        <v>Serviço</v>
      </c>
      <c r="O301" s="119" t="str">
        <f t="shared" ca="1" si="66"/>
        <v>-</v>
      </c>
      <c r="P301" s="120" t="s">
        <v>247</v>
      </c>
      <c r="Q301" s="121" t="s">
        <v>527</v>
      </c>
      <c r="R301" s="122" t="str">
        <f ca="1">IF($C301="S",REFERENCIA.Descricao,"(digite a descrição aqui)")</f>
        <v>(abra o arquivo 'Referência 02-2025.xlsm)</v>
      </c>
      <c r="S301" s="123" t="str">
        <f ca="1">REFERENCIA.Unidade</f>
        <v>-</v>
      </c>
      <c r="T301" s="124">
        <f ca="1">OFFSET(CÁLCULO!H$15,ROW($T301)-ROW(T$15),0)</f>
        <v>3</v>
      </c>
      <c r="U301" s="125">
        <f t="shared" ca="1" si="87"/>
        <v>0</v>
      </c>
      <c r="V301" s="126" t="s">
        <v>156</v>
      </c>
      <c r="W301" s="124">
        <f ca="1">IF($C301="S",ROUND(IF(TIPOORCAMENTO="Proposto",ORÇAMENTO.CustoUnitario*(1+$AH301),ORÇAMENTO.PrecoUnitarioLicitado),15-13*$AF$10),0)</f>
        <v>0</v>
      </c>
      <c r="X301" s="127">
        <f ca="1">IF($C301="S",IF(Import.TipoArredondamento&lt;&gt;"TransfereGOV",VTOTAL1,SUM(OFFSET(CÁLCULO!$AA$15,ROW($X301)-ROW($X$15),1):OFFSET(CÁLCULO!$AL$15,ROW($X301)-ROW($X$15),-1))),IF($C301=0,0,ROUND(SomaAgrup,15-13*$AF$11)))</f>
        <v>0</v>
      </c>
      <c r="Y301" s="128" t="s">
        <v>245</v>
      </c>
      <c r="Z301" t="str">
        <f t="shared" ca="1" si="67"/>
        <v/>
      </c>
      <c r="AA301" s="129">
        <f ca="1">IF($C301="S",IF($Z301="CP",$X301,IF($Z301="RA",(($X301)*QCI!$AA$3),0)),SomaAgrup)</f>
        <v>0</v>
      </c>
      <c r="AB301" s="130">
        <f t="shared" ca="1" si="68"/>
        <v>0</v>
      </c>
      <c r="AC301" s="131" t="str">
        <f ca="1">IF($N301="","",IF(ORÇAMENTO.Descricao="","DESCRIÇÃO",IF(AND($C301="S",ORÇAMENTO.Unidade=""),"UNIDADE",IF($X301&lt;0,"VALOR NEGATIVO",IF(OR(AND(TIPOORCAMENTO="Proposto",$AG301&lt;&gt;"",$AG301&gt;0,ORÇAMENTO.CustoUnitario&gt;$AG301),AND(TIPOORCAMENTO="LICITADO",ORÇAMENTO.PrecoUnitarioLicitado&gt;$AN301)),"ACIMA REF.","")))))</f>
        <v/>
      </c>
      <c r="AD301" t="str">
        <f ca="1">IF(C301&lt;=CRONO.NivelExibicao,MAX($AD$15:OFFSET(AD301,-1,0))+IF($C301&lt;&gt;1,1,MAX(1,COUNTIF(QCI!$A$13:$A$24,OFFSET($E301,-1,0)))),"")</f>
        <v/>
      </c>
      <c r="AE301" s="7" t="str">
        <f ca="1">IF(AND($C301="S",ORÇAMENTO.CodBarra&lt;&gt;""),IF(ORÇAMENTO.Fonte="",ORÇAMENTO.CodBarra,CONCATENATE(ORÇAMENTO.Fonte," ",ORÇAMENTO.CodBarra)))</f>
        <v>SINAPI 89628</v>
      </c>
      <c r="AF301" s="13" t="str">
        <f ca="1">IF(ISERROR(INDIRECT(ORÇAMENTO.BancoRef)),"(abra o arquivo 'Referência "&amp;Excel_BuiltIn_Database&amp;".xlsm)",IF(OR($C301&lt;&gt;"S",ORÇAMENTO.CodBarra=""),"(Sem Código)",IF(ISERROR(MATCH($AE301,INDIRECT(ORÇAMENTO.BancoRef),0)),"(Código não identificado nas referências)",MATCH($AE301,INDIRECT(ORÇAMENTO.BancoRef),0))))</f>
        <v>(abra o arquivo 'Referência 02-2025.xlsm)</v>
      </c>
      <c r="AG301" s="498">
        <f ca="1">ROUND(IF(DESONERACAO="sim",REFERENCIA.Desonerado,REFERENCIA.NaoDesonerado),2)</f>
        <v>0</v>
      </c>
      <c r="AH301" s="499">
        <f t="shared" ca="1" si="69"/>
        <v>0.22470000000000001</v>
      </c>
      <c r="AJ301" s="501">
        <v>3</v>
      </c>
      <c r="AL301" s="527"/>
      <c r="AM301" s="381">
        <f t="shared" ca="1" si="70"/>
        <v>0</v>
      </c>
      <c r="AN301" s="566">
        <f t="shared" ca="1" si="71"/>
        <v>0</v>
      </c>
    </row>
    <row r="302" spans="1:40" ht="25.5" x14ac:dyDescent="0.2">
      <c r="A302" t="str">
        <f t="shared" si="56"/>
        <v>S</v>
      </c>
      <c r="B302">
        <f t="shared" ca="1" si="57"/>
        <v>3</v>
      </c>
      <c r="C302" t="str">
        <f t="shared" ca="1" si="58"/>
        <v>S</v>
      </c>
      <c r="D302">
        <f t="shared" ca="1" si="59"/>
        <v>0</v>
      </c>
      <c r="E302">
        <f ca="1">IF($C302=1,OFFSET(E302,-1,0)+MAX(1,COUNTIF(QCI!$A$13:$A$24,OFFSET(ORÇAMENTO!E302,-1,0))),OFFSET(E302,-1,0))</f>
        <v>1</v>
      </c>
      <c r="F302">
        <f t="shared" ca="1" si="60"/>
        <v>12</v>
      </c>
      <c r="G302">
        <f t="shared" ca="1" si="61"/>
        <v>1</v>
      </c>
      <c r="H302">
        <f t="shared" ca="1" si="62"/>
        <v>0</v>
      </c>
      <c r="I302">
        <f t="shared" ca="1" si="63"/>
        <v>0</v>
      </c>
      <c r="J302">
        <f t="shared" ca="1" si="86"/>
        <v>0</v>
      </c>
      <c r="K302">
        <f ca="1">IF(OR($C302="S",$C302=0),0,MATCH(OFFSET($D302,0,$C302)+IF($C302&lt;&gt;1,1,COUNTIF(QCI!$A$13:$A$24,ORÇAMENTO!E302)),OFFSET($D302,1,$C302,ROW($C$747)-ROW($C302)),0))</f>
        <v>0</v>
      </c>
      <c r="L302" s="116" t="str">
        <f t="shared" ca="1" si="64"/>
        <v/>
      </c>
      <c r="M302" s="117" t="s">
        <v>199</v>
      </c>
      <c r="N302" s="118" t="str">
        <f t="shared" ca="1" si="65"/>
        <v>Serviço</v>
      </c>
      <c r="O302" s="119" t="str">
        <f t="shared" ca="1" si="66"/>
        <v>-</v>
      </c>
      <c r="P302" s="120" t="s">
        <v>247</v>
      </c>
      <c r="Q302" s="121" t="s">
        <v>528</v>
      </c>
      <c r="R302" s="122" t="str">
        <f ca="1">IF($C302="S",REFERENCIA.Descricao,"(digite a descrição aqui)")</f>
        <v>(abra o arquivo 'Referência 02-2025.xlsm)</v>
      </c>
      <c r="S302" s="123" t="str">
        <f ca="1">REFERENCIA.Unidade</f>
        <v>-</v>
      </c>
      <c r="T302" s="124">
        <f ca="1">OFFSET(CÁLCULO!H$15,ROW($T302)-ROW(T$15),0)</f>
        <v>18</v>
      </c>
      <c r="U302" s="125">
        <f t="shared" ca="1" si="87"/>
        <v>0</v>
      </c>
      <c r="V302" s="126" t="s">
        <v>156</v>
      </c>
      <c r="W302" s="124">
        <f ca="1">IF($C302="S",ROUND(IF(TIPOORCAMENTO="Proposto",ORÇAMENTO.CustoUnitario*(1+$AH302),ORÇAMENTO.PrecoUnitarioLicitado),15-13*$AF$10),0)</f>
        <v>0</v>
      </c>
      <c r="X302" s="127">
        <f ca="1">IF($C302="S",IF(Import.TipoArredondamento&lt;&gt;"TransfereGOV",VTOTAL1,SUM(OFFSET(CÁLCULO!$AA$15,ROW($X302)-ROW($X$15),1):OFFSET(CÁLCULO!$AL$15,ROW($X302)-ROW($X$15),-1))),IF($C302=0,0,ROUND(SomaAgrup,15-13*$AF$11)))</f>
        <v>0</v>
      </c>
      <c r="Y302" s="128" t="s">
        <v>245</v>
      </c>
      <c r="Z302" t="str">
        <f t="shared" ca="1" si="67"/>
        <v/>
      </c>
      <c r="AA302" s="129">
        <f ca="1">IF($C302="S",IF($Z302="CP",$X302,IF($Z302="RA",(($X302)*QCI!$AA$3),0)),SomaAgrup)</f>
        <v>0</v>
      </c>
      <c r="AB302" s="130">
        <f t="shared" ca="1" si="68"/>
        <v>0</v>
      </c>
      <c r="AC302" s="131" t="str">
        <f ca="1">IF($N302="","",IF(ORÇAMENTO.Descricao="","DESCRIÇÃO",IF(AND($C302="S",ORÇAMENTO.Unidade=""),"UNIDADE",IF($X302&lt;0,"VALOR NEGATIVO",IF(OR(AND(TIPOORCAMENTO="Proposto",$AG302&lt;&gt;"",$AG302&gt;0,ORÇAMENTO.CustoUnitario&gt;$AG302),AND(TIPOORCAMENTO="LICITADO",ORÇAMENTO.PrecoUnitarioLicitado&gt;$AN302)),"ACIMA REF.","")))))</f>
        <v/>
      </c>
      <c r="AD302" t="str">
        <f ca="1">IF(C302&lt;=CRONO.NivelExibicao,MAX($AD$15:OFFSET(AD302,-1,0))+IF($C302&lt;&gt;1,1,MAX(1,COUNTIF(QCI!$A$13:$A$24,OFFSET($E302,-1,0)))),"")</f>
        <v/>
      </c>
      <c r="AE302" s="7" t="str">
        <f ca="1">IF(AND($C302="S",ORÇAMENTO.CodBarra&lt;&gt;""),IF(ORÇAMENTO.Fonte="",ORÇAMENTO.CodBarra,CONCATENATE(ORÇAMENTO.Fonte," ",ORÇAMENTO.CodBarra)))</f>
        <v>SINAPI 89631</v>
      </c>
      <c r="AF302" s="13" t="str">
        <f ca="1">IF(ISERROR(INDIRECT(ORÇAMENTO.BancoRef)),"(abra o arquivo 'Referência "&amp;Excel_BuiltIn_Database&amp;".xlsm)",IF(OR($C302&lt;&gt;"S",ORÇAMENTO.CodBarra=""),"(Sem Código)",IF(ISERROR(MATCH($AE302,INDIRECT(ORÇAMENTO.BancoRef),0)),"(Código não identificado nas referências)",MATCH($AE302,INDIRECT(ORÇAMENTO.BancoRef),0))))</f>
        <v>(abra o arquivo 'Referência 02-2025.xlsm)</v>
      </c>
      <c r="AG302" s="498">
        <f ca="1">ROUND(IF(DESONERACAO="sim",REFERENCIA.Desonerado,REFERENCIA.NaoDesonerado),2)</f>
        <v>0</v>
      </c>
      <c r="AH302" s="499">
        <f t="shared" ca="1" si="69"/>
        <v>0.22470000000000001</v>
      </c>
      <c r="AJ302" s="501">
        <v>18</v>
      </c>
      <c r="AL302" s="527"/>
      <c r="AM302" s="381">
        <f t="shared" ca="1" si="70"/>
        <v>0</v>
      </c>
      <c r="AN302" s="566">
        <f t="shared" ca="1" si="71"/>
        <v>0</v>
      </c>
    </row>
    <row r="303" spans="1:40" ht="25.5" x14ac:dyDescent="0.2">
      <c r="A303" t="str">
        <f t="shared" si="56"/>
        <v>S</v>
      </c>
      <c r="B303">
        <f t="shared" ca="1" si="57"/>
        <v>3</v>
      </c>
      <c r="C303" t="str">
        <f t="shared" ca="1" si="58"/>
        <v>S</v>
      </c>
      <c r="D303">
        <f t="shared" ca="1" si="59"/>
        <v>0</v>
      </c>
      <c r="E303">
        <f ca="1">IF($C303=1,OFFSET(E303,-1,0)+MAX(1,COUNTIF(QCI!$A$13:$A$24,OFFSET(ORÇAMENTO!E303,-1,0))),OFFSET(E303,-1,0))</f>
        <v>1</v>
      </c>
      <c r="F303">
        <f t="shared" ca="1" si="60"/>
        <v>12</v>
      </c>
      <c r="G303">
        <f t="shared" ca="1" si="61"/>
        <v>1</v>
      </c>
      <c r="H303">
        <f t="shared" ca="1" si="62"/>
        <v>0</v>
      </c>
      <c r="I303">
        <f t="shared" ca="1" si="63"/>
        <v>0</v>
      </c>
      <c r="J303">
        <f t="shared" ca="1" si="86"/>
        <v>0</v>
      </c>
      <c r="K303">
        <f ca="1">IF(OR($C303="S",$C303=0),0,MATCH(OFFSET($D303,0,$C303)+IF($C303&lt;&gt;1,1,COUNTIF(QCI!$A$13:$A$24,ORÇAMENTO!E303)),OFFSET($D303,1,$C303,ROW($C$747)-ROW($C303)),0))</f>
        <v>0</v>
      </c>
      <c r="L303" s="116" t="str">
        <f t="shared" ca="1" si="64"/>
        <v/>
      </c>
      <c r="M303" s="117" t="s">
        <v>199</v>
      </c>
      <c r="N303" s="118" t="str">
        <f t="shared" ca="1" si="65"/>
        <v>Serviço</v>
      </c>
      <c r="O303" s="119" t="str">
        <f t="shared" ca="1" si="66"/>
        <v>-</v>
      </c>
      <c r="P303" s="120" t="s">
        <v>247</v>
      </c>
      <c r="Q303" s="121" t="s">
        <v>529</v>
      </c>
      <c r="R303" s="122" t="str">
        <f ca="1">IF($C303="S",REFERENCIA.Descricao,"(digite a descrição aqui)")</f>
        <v>(abra o arquivo 'Referência 02-2025.xlsm)</v>
      </c>
      <c r="S303" s="123" t="str">
        <f ca="1">REFERENCIA.Unidade</f>
        <v>-</v>
      </c>
      <c r="T303" s="124">
        <f ca="1">OFFSET(CÁLCULO!H$15,ROW($T303)-ROW(T$15),0)</f>
        <v>19</v>
      </c>
      <c r="U303" s="125">
        <f t="shared" ca="1" si="87"/>
        <v>0</v>
      </c>
      <c r="V303" s="126" t="s">
        <v>156</v>
      </c>
      <c r="W303" s="124">
        <f ca="1">IF($C303="S",ROUND(IF(TIPOORCAMENTO="Proposto",ORÇAMENTO.CustoUnitario*(1+$AH303),ORÇAMENTO.PrecoUnitarioLicitado),15-13*$AF$10),0)</f>
        <v>0</v>
      </c>
      <c r="X303" s="127">
        <f ca="1">IF($C303="S",IF(Import.TipoArredondamento&lt;&gt;"TransfereGOV",VTOTAL1,SUM(OFFSET(CÁLCULO!$AA$15,ROW($X303)-ROW($X$15),1):OFFSET(CÁLCULO!$AL$15,ROW($X303)-ROW($X$15),-1))),IF($C303=0,0,ROUND(SomaAgrup,15-13*$AF$11)))</f>
        <v>0</v>
      </c>
      <c r="Y303" s="128" t="s">
        <v>245</v>
      </c>
      <c r="Z303" t="str">
        <f t="shared" ca="1" si="67"/>
        <v/>
      </c>
      <c r="AA303" s="129">
        <f ca="1">IF($C303="S",IF($Z303="CP",$X303,IF($Z303="RA",(($X303)*QCI!$AA$3),0)),SomaAgrup)</f>
        <v>0</v>
      </c>
      <c r="AB303" s="130">
        <f t="shared" ca="1" si="68"/>
        <v>0</v>
      </c>
      <c r="AC303" s="131" t="str">
        <f ca="1">IF($N303="","",IF(ORÇAMENTO.Descricao="","DESCRIÇÃO",IF(AND($C303="S",ORÇAMENTO.Unidade=""),"UNIDADE",IF($X303&lt;0,"VALOR NEGATIVO",IF(OR(AND(TIPOORCAMENTO="Proposto",$AG303&lt;&gt;"",$AG303&gt;0,ORÇAMENTO.CustoUnitario&gt;$AG303),AND(TIPOORCAMENTO="LICITADO",ORÇAMENTO.PrecoUnitarioLicitado&gt;$AN303)),"ACIMA REF.","")))))</f>
        <v/>
      </c>
      <c r="AD303" t="str">
        <f ca="1">IF(C303&lt;=CRONO.NivelExibicao,MAX($AD$15:OFFSET(AD303,-1,0))+IF($C303&lt;&gt;1,1,MAX(1,COUNTIF(QCI!$A$13:$A$24,OFFSET($E303,-1,0)))),"")</f>
        <v/>
      </c>
      <c r="AE303" s="7" t="str">
        <f ca="1">IF(AND($C303="S",ORÇAMENTO.CodBarra&lt;&gt;""),IF(ORÇAMENTO.Fonte="",ORÇAMENTO.CodBarra,CONCATENATE(ORÇAMENTO.Fonte," ",ORÇAMENTO.CodBarra)))</f>
        <v>SINAPI 89627</v>
      </c>
      <c r="AF303" s="13" t="str">
        <f ca="1">IF(ISERROR(INDIRECT(ORÇAMENTO.BancoRef)),"(abra o arquivo 'Referência "&amp;Excel_BuiltIn_Database&amp;".xlsm)",IF(OR($C303&lt;&gt;"S",ORÇAMENTO.CodBarra=""),"(Sem Código)",IF(ISERROR(MATCH($AE303,INDIRECT(ORÇAMENTO.BancoRef),0)),"(Código não identificado nas referências)",MATCH($AE303,INDIRECT(ORÇAMENTO.BancoRef),0))))</f>
        <v>(abra o arquivo 'Referência 02-2025.xlsm)</v>
      </c>
      <c r="AG303" s="498">
        <f ca="1">ROUND(IF(DESONERACAO="sim",REFERENCIA.Desonerado,REFERENCIA.NaoDesonerado),2)</f>
        <v>0</v>
      </c>
      <c r="AH303" s="499">
        <f t="shared" ca="1" si="69"/>
        <v>0.22470000000000001</v>
      </c>
      <c r="AJ303" s="501">
        <v>19</v>
      </c>
      <c r="AL303" s="527"/>
      <c r="AM303" s="381">
        <f t="shared" ca="1" si="70"/>
        <v>0</v>
      </c>
      <c r="AN303" s="566">
        <f t="shared" ca="1" si="71"/>
        <v>0</v>
      </c>
    </row>
    <row r="304" spans="1:40" ht="25.5" x14ac:dyDescent="0.2">
      <c r="A304" t="str">
        <f t="shared" si="56"/>
        <v>S</v>
      </c>
      <c r="B304">
        <f t="shared" ca="1" si="57"/>
        <v>3</v>
      </c>
      <c r="C304" t="str">
        <f t="shared" ca="1" si="58"/>
        <v>S</v>
      </c>
      <c r="D304">
        <f t="shared" ca="1" si="59"/>
        <v>0</v>
      </c>
      <c r="E304">
        <f ca="1">IF($C304=1,OFFSET(E304,-1,0)+MAX(1,COUNTIF(QCI!$A$13:$A$24,OFFSET(ORÇAMENTO!E304,-1,0))),OFFSET(E304,-1,0))</f>
        <v>1</v>
      </c>
      <c r="F304">
        <f t="shared" ca="1" si="60"/>
        <v>12</v>
      </c>
      <c r="G304">
        <f t="shared" ca="1" si="61"/>
        <v>1</v>
      </c>
      <c r="H304">
        <f t="shared" ca="1" si="62"/>
        <v>0</v>
      </c>
      <c r="I304">
        <f t="shared" ca="1" si="63"/>
        <v>0</v>
      </c>
      <c r="J304">
        <f t="shared" ca="1" si="86"/>
        <v>0</v>
      </c>
      <c r="K304">
        <f ca="1">IF(OR($C304="S",$C304=0),0,MATCH(OFFSET($D304,0,$C304)+IF($C304&lt;&gt;1,1,COUNTIF(QCI!$A$13:$A$24,ORÇAMENTO!E304)),OFFSET($D304,1,$C304,ROW($C$747)-ROW($C304)),0))</f>
        <v>0</v>
      </c>
      <c r="L304" s="116" t="str">
        <f t="shared" ca="1" si="64"/>
        <v/>
      </c>
      <c r="M304" s="117" t="s">
        <v>199</v>
      </c>
      <c r="N304" s="118" t="str">
        <f t="shared" ca="1" si="65"/>
        <v>Serviço</v>
      </c>
      <c r="O304" s="119" t="str">
        <f t="shared" ca="1" si="66"/>
        <v>-</v>
      </c>
      <c r="P304" s="120" t="s">
        <v>247</v>
      </c>
      <c r="Q304" s="121" t="s">
        <v>530</v>
      </c>
      <c r="R304" s="122" t="str">
        <f ca="1">IF($C304="S",REFERENCIA.Descricao,"(digite a descrição aqui)")</f>
        <v>(abra o arquivo 'Referência 02-2025.xlsm)</v>
      </c>
      <c r="S304" s="123" t="str">
        <f ca="1">REFERENCIA.Unidade</f>
        <v>-</v>
      </c>
      <c r="T304" s="124">
        <f ca="1">OFFSET(CÁLCULO!H$15,ROW($T304)-ROW(T$15),0)</f>
        <v>33</v>
      </c>
      <c r="U304" s="125">
        <f t="shared" ca="1" si="87"/>
        <v>0</v>
      </c>
      <c r="V304" s="126" t="s">
        <v>156</v>
      </c>
      <c r="W304" s="124">
        <f ca="1">IF($C304="S",ROUND(IF(TIPOORCAMENTO="Proposto",ORÇAMENTO.CustoUnitario*(1+$AH304),ORÇAMENTO.PrecoUnitarioLicitado),15-13*$AF$10),0)</f>
        <v>0</v>
      </c>
      <c r="X304" s="127">
        <f ca="1">IF($C304="S",IF(Import.TipoArredondamento&lt;&gt;"TransfereGOV",VTOTAL1,SUM(OFFSET(CÁLCULO!$AA$15,ROW($X304)-ROW($X$15),1):OFFSET(CÁLCULO!$AL$15,ROW($X304)-ROW($X$15),-1))),IF($C304=0,0,ROUND(SomaAgrup,15-13*$AF$11)))</f>
        <v>0</v>
      </c>
      <c r="Y304" s="128" t="s">
        <v>245</v>
      </c>
      <c r="Z304" t="str">
        <f t="shared" ca="1" si="67"/>
        <v/>
      </c>
      <c r="AA304" s="129">
        <f ca="1">IF($C304="S",IF($Z304="CP",$X304,IF($Z304="RA",(($X304)*QCI!$AA$3),0)),SomaAgrup)</f>
        <v>0</v>
      </c>
      <c r="AB304" s="130">
        <f t="shared" ca="1" si="68"/>
        <v>0</v>
      </c>
      <c r="AC304" s="131" t="str">
        <f ca="1">IF($N304="","",IF(ORÇAMENTO.Descricao="","DESCRIÇÃO",IF(AND($C304="S",ORÇAMENTO.Unidade=""),"UNIDADE",IF($X304&lt;0,"VALOR NEGATIVO",IF(OR(AND(TIPOORCAMENTO="Proposto",$AG304&lt;&gt;"",$AG304&gt;0,ORÇAMENTO.CustoUnitario&gt;$AG304),AND(TIPOORCAMENTO="LICITADO",ORÇAMENTO.PrecoUnitarioLicitado&gt;$AN304)),"ACIMA REF.","")))))</f>
        <v/>
      </c>
      <c r="AD304" t="str">
        <f ca="1">IF(C304&lt;=CRONO.NivelExibicao,MAX($AD$15:OFFSET(AD304,-1,0))+IF($C304&lt;&gt;1,1,MAX(1,COUNTIF(QCI!$A$13:$A$24,OFFSET($E304,-1,0)))),"")</f>
        <v/>
      </c>
      <c r="AE304" s="7" t="str">
        <f ca="1">IF(AND($C304="S",ORÇAMENTO.CodBarra&lt;&gt;""),IF(ORÇAMENTO.Fonte="",ORÇAMENTO.CodBarra,CONCATENATE(ORÇAMENTO.Fonte," ",ORÇAMENTO.CodBarra)))</f>
        <v>SINAPI 89632</v>
      </c>
      <c r="AF304" s="13" t="str">
        <f ca="1">IF(ISERROR(INDIRECT(ORÇAMENTO.BancoRef)),"(abra o arquivo 'Referência "&amp;Excel_BuiltIn_Database&amp;".xlsm)",IF(OR($C304&lt;&gt;"S",ORÇAMENTO.CodBarra=""),"(Sem Código)",IF(ISERROR(MATCH($AE304,INDIRECT(ORÇAMENTO.BancoRef),0)),"(Código não identificado nas referências)",MATCH($AE304,INDIRECT(ORÇAMENTO.BancoRef),0))))</f>
        <v>(abra o arquivo 'Referência 02-2025.xlsm)</v>
      </c>
      <c r="AG304" s="498">
        <f ca="1">ROUND(IF(DESONERACAO="sim",REFERENCIA.Desonerado,REFERENCIA.NaoDesonerado),2)</f>
        <v>0</v>
      </c>
      <c r="AH304" s="499">
        <f t="shared" ca="1" si="69"/>
        <v>0.22470000000000001</v>
      </c>
      <c r="AJ304" s="501">
        <v>33</v>
      </c>
      <c r="AL304" s="527"/>
      <c r="AM304" s="381">
        <f t="shared" ca="1" si="70"/>
        <v>0</v>
      </c>
      <c r="AN304" s="566">
        <f t="shared" ca="1" si="71"/>
        <v>0</v>
      </c>
    </row>
    <row r="305" spans="1:40" ht="38.25" x14ac:dyDescent="0.2">
      <c r="A305" t="str">
        <f>CHOOSE(1+LOG(1+2*(ORÇAMENTO.Nivel="Meta")+4*(ORÇAMENTO.Nivel="Nível 2")+8*(ORÇAMENTO.Nivel="Nível 3")+16*(ORÇAMENTO.Nivel="Nível 4")+32*(ORÇAMENTO.Nivel="Serviço"),2),0,1,2,3,4,"S")</f>
        <v>S</v>
      </c>
      <c r="B305">
        <f ca="1">IF(OR(C305="s",C305=0),OFFSET(B305,-1,0),C305)</f>
        <v>3</v>
      </c>
      <c r="C305" t="str">
        <f ca="1">IF(OFFSET(C305,-1,0)="L",1,IF(OFFSET(C305,-1,0)=1,2,IF(OR(A305="s",A305=0),"S",IF(AND(OFFSET(C305,-1,0)=2,A305=4),3,IF(AND(OR(OFFSET(C305,-1,0)="s",OFFSET(C305,-1,0)=0),A305&lt;&gt;"s",A305&gt;OFFSET(B305,-1,0)),OFFSET(B305,-1,0),A305)))))</f>
        <v>S</v>
      </c>
      <c r="D305">
        <f ca="1">IF(OR(C305="S",C305=0),0,IF(ISERROR(K305),J305,SMALL(J305:K305,1)))</f>
        <v>0</v>
      </c>
      <c r="E305">
        <f ca="1">IF($C305=1,OFFSET(E305,-1,0)+MAX(1,COUNTIF(QCI!$A$13:$A$24,OFFSET(ORÇAMENTO!E305,-1,0))),OFFSET(E305,-1,0))</f>
        <v>1</v>
      </c>
      <c r="F305">
        <f ca="1">IF($C305=1,0,IF($C305=2,OFFSET(F305,-1,0)+1,OFFSET(F305,-1,0)))</f>
        <v>12</v>
      </c>
      <c r="G305">
        <f ca="1">IF(AND($C305&lt;=2,$C305&lt;&gt;0),0,IF($C305=3,OFFSET(G305,-1,0)+1,OFFSET(G305,-1,0)))</f>
        <v>1</v>
      </c>
      <c r="H305">
        <f ca="1">IF(AND($C305&lt;=3,$C305&lt;&gt;0),0,IF($C305=4,OFFSET(H305,-1,0)+1,OFFSET(H305,-1,0)))</f>
        <v>0</v>
      </c>
      <c r="I305">
        <f ca="1">IF(AND($C305&lt;=4,$C305&lt;&gt;0),0,IF(AND($C305="S",$X305&gt;0),OFFSET(I305,-1,0)+1,OFFSET(I305,-1,0)))</f>
        <v>0</v>
      </c>
      <c r="J305">
        <f t="shared" ca="1" si="86"/>
        <v>0</v>
      </c>
      <c r="K305">
        <f ca="1">IF(OR($C305="S",$C305=0),0,MATCH(OFFSET($D305,0,$C305)+IF($C305&lt;&gt;1,1,COUNTIF(QCI!$A$13:$A$24,ORÇAMENTO!E305)),OFFSET($D305,1,$C305,ROW($C$747)-ROW($C305)),0))</f>
        <v>0</v>
      </c>
      <c r="L305" s="116" t="str">
        <f ca="1">IF(OR($X305&gt;0,$C305=1,$C305=2,$C305=3,$C305=4),"F","")</f>
        <v/>
      </c>
      <c r="M305" s="117" t="s">
        <v>199</v>
      </c>
      <c r="N305" s="118" t="str">
        <f ca="1">CHOOSE(1+LOG(1+2*(C305=1)+4*(C305=2)+8*(C305=3)+16*(C305=4)+32*(C305="S"),2),"","Meta","Nível 2","Nível 3","Nível 4","Serviço")</f>
        <v>Serviço</v>
      </c>
      <c r="O305" s="119" t="str">
        <f ca="1">IF(OR($C305=0,$L305=""),"-",CONCATENATE(E305&amp;".",IF(AND($A$5&gt;=2,$C305&gt;=2),F305&amp;".",""),IF(AND($A$5&gt;=3,$C305&gt;=3),G305&amp;".",""),IF(AND($A$5&gt;=4,$C305&gt;=4),H305&amp;".",""),IF($C305="S",I305&amp;".","")))</f>
        <v>-</v>
      </c>
      <c r="P305" s="120" t="s">
        <v>247</v>
      </c>
      <c r="Q305" s="121" t="s">
        <v>532</v>
      </c>
      <c r="R305" s="122" t="str">
        <f ca="1">IF($C305="S",REFERENCIA.Descricao,"(digite a descrição aqui)")</f>
        <v>(abra o arquivo 'Referência 02-2025.xlsm)</v>
      </c>
      <c r="S305" s="123" t="str">
        <f ca="1">REFERENCIA.Unidade</f>
        <v>-</v>
      </c>
      <c r="T305" s="124">
        <f ca="1">OFFSET(CÁLCULO!H$15,ROW($T305)-ROW(T$15),0)</f>
        <v>4</v>
      </c>
      <c r="U305" s="125">
        <f t="shared" ca="1" si="87"/>
        <v>0</v>
      </c>
      <c r="V305" s="126" t="s">
        <v>156</v>
      </c>
      <c r="W305" s="124">
        <f ca="1">IF($C305="S",ROUND(IF(TIPOORCAMENTO="Proposto",ORÇAMENTO.CustoUnitario*(1+$AH305),ORÇAMENTO.PrecoUnitarioLicitado),15-13*$AF$10),0)</f>
        <v>0</v>
      </c>
      <c r="X305" s="127">
        <f ca="1">IF($C305="S",IF(Import.TipoArredondamento&lt;&gt;"TransfereGOV",VTOTAL1,SUM(OFFSET(CÁLCULO!$AA$15,ROW($X305)-ROW($X$15),1):OFFSET(CÁLCULO!$AL$15,ROW($X305)-ROW($X$15),-1))),IF($C305=0,0,ROUND(SomaAgrup,15-13*$AF$11)))</f>
        <v>0</v>
      </c>
      <c r="Y305" s="128" t="s">
        <v>245</v>
      </c>
      <c r="Z305" t="str">
        <f ca="1">IF(AND($C305="S",$X305&gt;0),IF(ISBLANK($Y305),"RA",LEFT($Y305,2)),"")</f>
        <v/>
      </c>
      <c r="AA305" s="129">
        <f ca="1">IF($C305="S",IF($Z305="CP",$X305,IF($Z305="RA",(($X305)*QCI!$AA$3),0)),SomaAgrup)</f>
        <v>0</v>
      </c>
      <c r="AB305" s="130">
        <f ca="1">IF($C305="S",IF($Z305="OU",ROUND($X305,2),0),SomaAgrup)</f>
        <v>0</v>
      </c>
      <c r="AC305" s="131" t="str">
        <f ca="1">IF($N305="","",IF(ORÇAMENTO.Descricao="","DESCRIÇÃO",IF(AND($C305="S",ORÇAMENTO.Unidade=""),"UNIDADE",IF($X305&lt;0,"VALOR NEGATIVO",IF(OR(AND(TIPOORCAMENTO="Proposto",$AG305&lt;&gt;"",$AG305&gt;0,ORÇAMENTO.CustoUnitario&gt;$AG305),AND(TIPOORCAMENTO="LICITADO",ORÇAMENTO.PrecoUnitarioLicitado&gt;$AN305)),"ACIMA REF.","")))))</f>
        <v/>
      </c>
      <c r="AD305" t="str">
        <f ca="1">IF(C305&lt;=CRONO.NivelExibicao,MAX($AD$15:OFFSET(AD305,-1,0))+IF($C305&lt;&gt;1,1,MAX(1,COUNTIF(QCI!$A$13:$A$24,OFFSET($E305,-1,0)))),"")</f>
        <v/>
      </c>
      <c r="AE305" s="7" t="str">
        <f ca="1">IF(AND($C305="S",ORÇAMENTO.CodBarra&lt;&gt;""),IF(ORÇAMENTO.Fonte="",ORÇAMENTO.CodBarra,CONCATENATE(ORÇAMENTO.Fonte," ",ORÇAMENTO.CodBarra)))</f>
        <v>SINAPI 89396</v>
      </c>
      <c r="AF305" s="13" t="str">
        <f ca="1">IF(ISERROR(INDIRECT(ORÇAMENTO.BancoRef)),"(abra o arquivo 'Referência "&amp;Excel_BuiltIn_Database&amp;".xlsm)",IF(OR($C305&lt;&gt;"S",ORÇAMENTO.CodBarra=""),"(Sem Código)",IF(ISERROR(MATCH($AE305,INDIRECT(ORÇAMENTO.BancoRef),0)),"(Código não identificado nas referências)",MATCH($AE305,INDIRECT(ORÇAMENTO.BancoRef),0))))</f>
        <v>(abra o arquivo 'Referência 02-2025.xlsm)</v>
      </c>
      <c r="AG305" s="498">
        <f ca="1">ROUND(IF(DESONERACAO="sim",REFERENCIA.Desonerado,REFERENCIA.NaoDesonerado),2)</f>
        <v>0</v>
      </c>
      <c r="AH305" s="499">
        <f ca="1">ROUND(IF(ISNUMBER(ORÇAMENTO.OpcaoBDI),ORÇAMENTO.OpcaoBDI,IF(LEFT(ORÇAMENTO.OpcaoBDI,3)="BDI",HLOOKUP(ORÇAMENTO.OpcaoBDI,$F$4:$H$5,2,FALSE),0)),15-11*$AF$9)</f>
        <v>0.22470000000000001</v>
      </c>
      <c r="AJ305" s="501">
        <v>4</v>
      </c>
      <c r="AL305" s="527"/>
      <c r="AM305" s="381">
        <f t="shared" ref="AM305" ca="1" si="88">$X305</f>
        <v>0</v>
      </c>
      <c r="AN305" s="566">
        <f ca="1">ROUND(ORÇAMENTO.CustoUnitario*(1+$AH305),2)</f>
        <v>0</v>
      </c>
    </row>
    <row r="306" spans="1:40" x14ac:dyDescent="0.2">
      <c r="A306">
        <f t="shared" si="56"/>
        <v>3</v>
      </c>
      <c r="B306">
        <f t="shared" ca="1" si="57"/>
        <v>3</v>
      </c>
      <c r="C306">
        <f t="shared" ca="1" si="58"/>
        <v>3</v>
      </c>
      <c r="D306">
        <f t="shared" ca="1" si="59"/>
        <v>9</v>
      </c>
      <c r="E306">
        <f ca="1">IF($C306=1,OFFSET(E306,-1,0)+MAX(1,COUNTIF(QCI!$A$13:$A$24,OFFSET(ORÇAMENTO!E306,-1,0))),OFFSET(E306,-1,0))</f>
        <v>1</v>
      </c>
      <c r="F306">
        <f t="shared" ca="1" si="60"/>
        <v>12</v>
      </c>
      <c r="G306">
        <f t="shared" ca="1" si="61"/>
        <v>2</v>
      </c>
      <c r="H306">
        <f t="shared" ca="1" si="62"/>
        <v>0</v>
      </c>
      <c r="I306">
        <f t="shared" ca="1" si="63"/>
        <v>0</v>
      </c>
      <c r="J306">
        <f t="shared" ca="1" si="86"/>
        <v>11</v>
      </c>
      <c r="K306">
        <f ca="1">IF(OR($C306="S",$C306=0),0,MATCH(OFFSET($D306,0,$C306)+IF($C306&lt;&gt;1,1,COUNTIF(QCI!$A$13:$A$24,ORÇAMENTO!E306)),OFFSET($D306,1,$C306,ROW($C$747)-ROW($C306)),0))</f>
        <v>9</v>
      </c>
      <c r="L306" s="116" t="str">
        <f t="shared" ca="1" si="64"/>
        <v>F</v>
      </c>
      <c r="M306" s="117" t="s">
        <v>197</v>
      </c>
      <c r="N306" s="118" t="str">
        <f t="shared" ca="1" si="65"/>
        <v>Nível 3</v>
      </c>
      <c r="O306" s="119" t="str">
        <f t="shared" ca="1" si="66"/>
        <v>1.12.2.</v>
      </c>
      <c r="P306" s="120" t="s">
        <v>247</v>
      </c>
      <c r="Q306" s="121"/>
      <c r="R306" s="122" t="str">
        <f ca="1">IF($C306="S",REFERENCIA.Descricao,"TUBULAÇÕES E CONEXÕES - METAIS")</f>
        <v>TUBULAÇÕES E CONEXÕES - METAIS</v>
      </c>
      <c r="S306" s="123" t="str">
        <f ca="1">REFERENCIA.Unidade</f>
        <v>-</v>
      </c>
      <c r="T306" s="124">
        <f ca="1">OFFSET(CÁLCULO!H$15,ROW($T306)-ROW(T$15),0)</f>
        <v>0</v>
      </c>
      <c r="U306" s="125">
        <f t="shared" ca="1" si="87"/>
        <v>0</v>
      </c>
      <c r="V306" s="126" t="s">
        <v>156</v>
      </c>
      <c r="W306" s="124">
        <f ca="1">IF($C306="S",ROUND(IF(TIPOORCAMENTO="Proposto",ORÇAMENTO.CustoUnitario*(1+$AH306),ORÇAMENTO.PrecoUnitarioLicitado),15-13*$AF$10),0)</f>
        <v>0</v>
      </c>
      <c r="X306" s="127">
        <f ca="1">IF($C306="S",IF(Import.TipoArredondamento&lt;&gt;"TransfereGOV",VTOTAL1,SUM(OFFSET(CÁLCULO!$AA$15,ROW($X306)-ROW($X$15),1):OFFSET(CÁLCULO!$AL$15,ROW($X306)-ROW($X$15),-1))),IF($C306=0,0,ROUND(SomaAgrup,15-13*$AF$11)))</f>
        <v>0</v>
      </c>
      <c r="Y306" s="128" t="s">
        <v>245</v>
      </c>
      <c r="Z306" t="str">
        <f t="shared" ca="1" si="67"/>
        <v/>
      </c>
      <c r="AA306" s="129">
        <f ca="1">IF($C306="S",IF($Z306="CP",$X306,IF($Z306="RA",(($X306)*QCI!$AA$3),0)),SomaAgrup)</f>
        <v>0</v>
      </c>
      <c r="AB306" s="130">
        <f t="shared" ca="1" si="68"/>
        <v>0</v>
      </c>
      <c r="AC306" s="131" t="str">
        <f ca="1">IF($N306="","",IF(ORÇAMENTO.Descricao="","DESCRIÇÃO",IF(AND($C306="S",ORÇAMENTO.Unidade=""),"UNIDADE",IF($X306&lt;0,"VALOR NEGATIVO",IF(OR(AND(TIPOORCAMENTO="Proposto",$AG306&lt;&gt;"",$AG306&gt;0,ORÇAMENTO.CustoUnitario&gt;$AG306),AND(TIPOORCAMENTO="LICITADO",ORÇAMENTO.PrecoUnitarioLicitado&gt;$AN306)),"ACIMA REF.","")))))</f>
        <v/>
      </c>
      <c r="AD306" t="str">
        <f ca="1">IF(C306&lt;=CRONO.NivelExibicao,MAX($AD$15:OFFSET(AD306,-1,0))+IF($C306&lt;&gt;1,1,MAX(1,COUNTIF(QCI!$A$13:$A$24,OFFSET($E306,-1,0)))),"")</f>
        <v/>
      </c>
      <c r="AE306" s="7" t="b">
        <f ca="1">IF(AND($C306="S",ORÇAMENTO.CodBarra&lt;&gt;""),IF(ORÇAMENTO.Fonte="",ORÇAMENTO.CodBarra,CONCATENATE(ORÇAMENTO.Fonte," ",ORÇAMENTO.CodBarra)))</f>
        <v>0</v>
      </c>
      <c r="AF306" s="13" t="str">
        <f ca="1">IF(ISERROR(INDIRECT(ORÇAMENTO.BancoRef)),"(abra o arquivo 'Referência "&amp;Excel_BuiltIn_Database&amp;".xlsm)",IF(OR($C306&lt;&gt;"S",ORÇAMENTO.CodBarra=""),"(Sem Código)",IF(ISERROR(MATCH($AE306,INDIRECT(ORÇAMENTO.BancoRef),0)),"(Código não identificado nas referências)",MATCH($AE306,INDIRECT(ORÇAMENTO.BancoRef),0))))</f>
        <v>(abra o arquivo 'Referência 02-2025.xlsm)</v>
      </c>
      <c r="AG306" s="498">
        <f ca="1">ROUND(IF(DESONERACAO="sim",REFERENCIA.Desonerado,REFERENCIA.NaoDesonerado),2)</f>
        <v>0</v>
      </c>
      <c r="AH306" s="499">
        <f t="shared" ca="1" si="69"/>
        <v>0.22470000000000001</v>
      </c>
      <c r="AJ306" s="501"/>
      <c r="AL306" s="527"/>
      <c r="AM306" s="381">
        <f t="shared" ca="1" si="70"/>
        <v>0</v>
      </c>
      <c r="AN306" s="566">
        <f t="shared" ca="1" si="71"/>
        <v>0</v>
      </c>
    </row>
    <row r="307" spans="1:40" ht="25.5" x14ac:dyDescent="0.2">
      <c r="A307" t="str">
        <f t="shared" si="56"/>
        <v>S</v>
      </c>
      <c r="B307">
        <f t="shared" ca="1" si="57"/>
        <v>3</v>
      </c>
      <c r="C307" t="str">
        <f t="shared" ca="1" si="58"/>
        <v>S</v>
      </c>
      <c r="D307">
        <f t="shared" ca="1" si="59"/>
        <v>0</v>
      </c>
      <c r="E307">
        <f ca="1">IF($C307=1,OFFSET(E307,-1,0)+MAX(1,COUNTIF(QCI!$A$13:$A$24,OFFSET(ORÇAMENTO!E307,-1,0))),OFFSET(E307,-1,0))</f>
        <v>1</v>
      </c>
      <c r="F307">
        <f t="shared" ca="1" si="60"/>
        <v>12</v>
      </c>
      <c r="G307">
        <f t="shared" ca="1" si="61"/>
        <v>2</v>
      </c>
      <c r="H307">
        <f t="shared" ca="1" si="62"/>
        <v>0</v>
      </c>
      <c r="I307">
        <f t="shared" ca="1" si="63"/>
        <v>0</v>
      </c>
      <c r="J307">
        <f t="shared" ca="1" si="86"/>
        <v>0</v>
      </c>
      <c r="K307">
        <f ca="1">IF(OR($C307="S",$C307=0),0,MATCH(OFFSET($D307,0,$C307)+IF($C307&lt;&gt;1,1,COUNTIF(QCI!$A$13:$A$24,ORÇAMENTO!E307)),OFFSET($D307,1,$C307,ROW($C$747)-ROW($C307)),0))</f>
        <v>0</v>
      </c>
      <c r="L307" s="116" t="str">
        <f t="shared" ca="1" si="64"/>
        <v/>
      </c>
      <c r="M307" s="117" t="s">
        <v>199</v>
      </c>
      <c r="N307" s="118" t="str">
        <f t="shared" ca="1" si="65"/>
        <v>Serviço</v>
      </c>
      <c r="O307" s="119" t="str">
        <f t="shared" ca="1" si="66"/>
        <v>-</v>
      </c>
      <c r="P307" s="120" t="s">
        <v>247</v>
      </c>
      <c r="Q307" s="121" t="s">
        <v>536</v>
      </c>
      <c r="R307" s="122" t="str">
        <f ca="1">IF($C307="S",REFERENCIA.Descricao,"(digite a descrição aqui)")</f>
        <v>(abra o arquivo 'Referência 02-2025.xlsm)</v>
      </c>
      <c r="S307" s="123" t="str">
        <f ca="1">REFERENCIA.Unidade</f>
        <v>-</v>
      </c>
      <c r="T307" s="124">
        <f ca="1">OFFSET(CÁLCULO!H$15,ROW($T307)-ROW(T$15),0)</f>
        <v>8</v>
      </c>
      <c r="U307" s="125">
        <f t="shared" ca="1" si="87"/>
        <v>0</v>
      </c>
      <c r="V307" s="126" t="s">
        <v>156</v>
      </c>
      <c r="W307" s="124">
        <f ca="1">IF($C307="S",ROUND(IF(TIPOORCAMENTO="Proposto",ORÇAMENTO.CustoUnitario*(1+$AH307),ORÇAMENTO.PrecoUnitarioLicitado),15-13*$AF$10),0)</f>
        <v>0</v>
      </c>
      <c r="X307" s="127">
        <f ca="1">IF($C307="S",IF(Import.TipoArredondamento&lt;&gt;"TransfereGOV",VTOTAL1,SUM(OFFSET(CÁLCULO!$AA$15,ROW($X307)-ROW($X$15),1):OFFSET(CÁLCULO!$AL$15,ROW($X307)-ROW($X$15),-1))),IF($C307=0,0,ROUND(SomaAgrup,15-13*$AF$11)))</f>
        <v>0</v>
      </c>
      <c r="Y307" s="128" t="s">
        <v>245</v>
      </c>
      <c r="Z307" t="str">
        <f t="shared" ca="1" si="67"/>
        <v/>
      </c>
      <c r="AA307" s="129">
        <f ca="1">IF($C307="S",IF($Z307="CP",$X307,IF($Z307="RA",(($X307)*QCI!$AA$3),0)),SomaAgrup)</f>
        <v>0</v>
      </c>
      <c r="AB307" s="130">
        <f t="shared" ca="1" si="68"/>
        <v>0</v>
      </c>
      <c r="AC307" s="131" t="str">
        <f ca="1">IF($N307="","",IF(ORÇAMENTO.Descricao="","DESCRIÇÃO",IF(AND($C307="S",ORÇAMENTO.Unidade=""),"UNIDADE",IF($X307&lt;0,"VALOR NEGATIVO",IF(OR(AND(TIPOORCAMENTO="Proposto",$AG307&lt;&gt;"",$AG307&gt;0,ORÇAMENTO.CustoUnitario&gt;$AG307),AND(TIPOORCAMENTO="LICITADO",ORÇAMENTO.PrecoUnitarioLicitado&gt;$AN307)),"ACIMA REF.","")))))</f>
        <v/>
      </c>
      <c r="AD307" t="str">
        <f ca="1">IF(C307&lt;=CRONO.NivelExibicao,MAX($AD$15:OFFSET(AD307,-1,0))+IF($C307&lt;&gt;1,1,MAX(1,COUNTIF(QCI!$A$13:$A$24,OFFSET($E307,-1,0)))),"")</f>
        <v/>
      </c>
      <c r="AE307" s="7" t="str">
        <f ca="1">IF(AND($C307="S",ORÇAMENTO.CodBarra&lt;&gt;""),IF(ORÇAMENTO.Fonte="",ORÇAMENTO.CodBarra,CONCATENATE(ORÇAMENTO.Fonte," ",ORÇAMENTO.CodBarra)))</f>
        <v>SINAPI 94500</v>
      </c>
      <c r="AF307" s="13" t="str">
        <f ca="1">IF(ISERROR(INDIRECT(ORÇAMENTO.BancoRef)),"(abra o arquivo 'Referência "&amp;Excel_BuiltIn_Database&amp;".xlsm)",IF(OR($C307&lt;&gt;"S",ORÇAMENTO.CodBarra=""),"(Sem Código)",IF(ISERROR(MATCH($AE307,INDIRECT(ORÇAMENTO.BancoRef),0)),"(Código não identificado nas referências)",MATCH($AE307,INDIRECT(ORÇAMENTO.BancoRef),0))))</f>
        <v>(abra o arquivo 'Referência 02-2025.xlsm)</v>
      </c>
      <c r="AG307" s="498">
        <f ca="1">ROUND(IF(DESONERACAO="sim",REFERENCIA.Desonerado,REFERENCIA.NaoDesonerado),2)</f>
        <v>0</v>
      </c>
      <c r="AH307" s="499">
        <f t="shared" ca="1" si="69"/>
        <v>0.22470000000000001</v>
      </c>
      <c r="AJ307" s="501">
        <v>8</v>
      </c>
      <c r="AL307" s="527"/>
      <c r="AM307" s="381">
        <f t="shared" ca="1" si="70"/>
        <v>0</v>
      </c>
      <c r="AN307" s="566">
        <f t="shared" ca="1" si="71"/>
        <v>0</v>
      </c>
    </row>
    <row r="308" spans="1:40" ht="38.25" x14ac:dyDescent="0.2">
      <c r="A308" t="str">
        <f t="shared" si="56"/>
        <v>S</v>
      </c>
      <c r="B308">
        <f t="shared" ca="1" si="57"/>
        <v>3</v>
      </c>
      <c r="C308" t="str">
        <f t="shared" ca="1" si="58"/>
        <v>S</v>
      </c>
      <c r="D308">
        <f t="shared" ca="1" si="59"/>
        <v>0</v>
      </c>
      <c r="E308">
        <f ca="1">IF($C308=1,OFFSET(E308,-1,0)+MAX(1,COUNTIF(QCI!$A$13:$A$24,OFFSET(ORÇAMENTO!E308,-1,0))),OFFSET(E308,-1,0))</f>
        <v>1</v>
      </c>
      <c r="F308">
        <f t="shared" ca="1" si="60"/>
        <v>12</v>
      </c>
      <c r="G308">
        <f t="shared" ca="1" si="61"/>
        <v>2</v>
      </c>
      <c r="H308">
        <f t="shared" ca="1" si="62"/>
        <v>0</v>
      </c>
      <c r="I308">
        <f t="shared" ca="1" si="63"/>
        <v>0</v>
      </c>
      <c r="J308">
        <f t="shared" ca="1" si="86"/>
        <v>0</v>
      </c>
      <c r="K308">
        <f ca="1">IF(OR($C308="S",$C308=0),0,MATCH(OFFSET($D308,0,$C308)+IF($C308&lt;&gt;1,1,COUNTIF(QCI!$A$13:$A$24,ORÇAMENTO!E308)),OFFSET($D308,1,$C308,ROW($C$747)-ROW($C308)),0))</f>
        <v>0</v>
      </c>
      <c r="L308" s="116" t="str">
        <f t="shared" ca="1" si="64"/>
        <v/>
      </c>
      <c r="M308" s="117" t="s">
        <v>199</v>
      </c>
      <c r="N308" s="118" t="str">
        <f t="shared" ca="1" si="65"/>
        <v>Serviço</v>
      </c>
      <c r="O308" s="119" t="str">
        <f t="shared" ca="1" si="66"/>
        <v>-</v>
      </c>
      <c r="P308" s="120" t="s">
        <v>247</v>
      </c>
      <c r="Q308" s="121" t="s">
        <v>537</v>
      </c>
      <c r="R308" s="122" t="str">
        <f ca="1">IF($C308="S",REFERENCIA.Descricao,"(digite a descrição aqui)")</f>
        <v>(abra o arquivo 'Referência 02-2025.xlsm)</v>
      </c>
      <c r="S308" s="123" t="str">
        <f ca="1">REFERENCIA.Unidade</f>
        <v>-</v>
      </c>
      <c r="T308" s="124">
        <f ca="1">OFFSET(CÁLCULO!H$15,ROW($T308)-ROW(T$15),0)</f>
        <v>16</v>
      </c>
      <c r="U308" s="125">
        <f t="shared" ca="1" si="87"/>
        <v>0</v>
      </c>
      <c r="V308" s="126" t="s">
        <v>156</v>
      </c>
      <c r="W308" s="124">
        <f ca="1">IF($C308="S",ROUND(IF(TIPOORCAMENTO="Proposto",ORÇAMENTO.CustoUnitario*(1+$AH308),ORÇAMENTO.PrecoUnitarioLicitado),15-13*$AF$10),0)</f>
        <v>0</v>
      </c>
      <c r="X308" s="127">
        <f ca="1">IF($C308="S",IF(Import.TipoArredondamento&lt;&gt;"TransfereGOV",VTOTAL1,SUM(OFFSET(CÁLCULO!$AA$15,ROW($X308)-ROW($X$15),1):OFFSET(CÁLCULO!$AL$15,ROW($X308)-ROW($X$15),-1))),IF($C308=0,0,ROUND(SomaAgrup,15-13*$AF$11)))</f>
        <v>0</v>
      </c>
      <c r="Y308" s="128" t="s">
        <v>245</v>
      </c>
      <c r="Z308" t="str">
        <f t="shared" ca="1" si="67"/>
        <v/>
      </c>
      <c r="AA308" s="129">
        <f ca="1">IF($C308="S",IF($Z308="CP",$X308,IF($Z308="RA",(($X308)*QCI!$AA$3),0)),SomaAgrup)</f>
        <v>0</v>
      </c>
      <c r="AB308" s="130">
        <f t="shared" ca="1" si="68"/>
        <v>0</v>
      </c>
      <c r="AC308" s="131" t="str">
        <f ca="1">IF($N308="","",IF(ORÇAMENTO.Descricao="","DESCRIÇÃO",IF(AND($C308="S",ORÇAMENTO.Unidade=""),"UNIDADE",IF($X308&lt;0,"VALOR NEGATIVO",IF(OR(AND(TIPOORCAMENTO="Proposto",$AG308&lt;&gt;"",$AG308&gt;0,ORÇAMENTO.CustoUnitario&gt;$AG308),AND(TIPOORCAMENTO="LICITADO",ORÇAMENTO.PrecoUnitarioLicitado&gt;$AN308)),"ACIMA REF.","")))))</f>
        <v/>
      </c>
      <c r="AD308" t="str">
        <f ca="1">IF(C308&lt;=CRONO.NivelExibicao,MAX($AD$15:OFFSET(AD308,-1,0))+IF($C308&lt;&gt;1,1,MAX(1,COUNTIF(QCI!$A$13:$A$24,OFFSET($E308,-1,0)))),"")</f>
        <v/>
      </c>
      <c r="AE308" s="7" t="str">
        <f ca="1">IF(AND($C308="S",ORÇAMENTO.CodBarra&lt;&gt;""),IF(ORÇAMENTO.Fonte="",ORÇAMENTO.CodBarra,CONCATENATE(ORÇAMENTO.Fonte," ",ORÇAMENTO.CodBarra)))</f>
        <v>SINAPI 94794</v>
      </c>
      <c r="AF308" s="13" t="str">
        <f ca="1">IF(ISERROR(INDIRECT(ORÇAMENTO.BancoRef)),"(abra o arquivo 'Referência "&amp;Excel_BuiltIn_Database&amp;".xlsm)",IF(OR($C308&lt;&gt;"S",ORÇAMENTO.CodBarra=""),"(Sem Código)",IF(ISERROR(MATCH($AE308,INDIRECT(ORÇAMENTO.BancoRef),0)),"(Código não identificado nas referências)",MATCH($AE308,INDIRECT(ORÇAMENTO.BancoRef),0))))</f>
        <v>(abra o arquivo 'Referência 02-2025.xlsm)</v>
      </c>
      <c r="AG308" s="498">
        <f ca="1">ROUND(IF(DESONERACAO="sim",REFERENCIA.Desonerado,REFERENCIA.NaoDesonerado),2)</f>
        <v>0</v>
      </c>
      <c r="AH308" s="499">
        <f t="shared" ca="1" si="69"/>
        <v>0.22470000000000001</v>
      </c>
      <c r="AJ308" s="501">
        <v>16</v>
      </c>
      <c r="AL308" s="527"/>
      <c r="AM308" s="381">
        <f t="shared" ca="1" si="70"/>
        <v>0</v>
      </c>
      <c r="AN308" s="566">
        <f t="shared" ca="1" si="71"/>
        <v>0</v>
      </c>
    </row>
    <row r="309" spans="1:40" ht="38.25" x14ac:dyDescent="0.2">
      <c r="A309" t="str">
        <f t="shared" si="56"/>
        <v>S</v>
      </c>
      <c r="B309">
        <f t="shared" ca="1" si="57"/>
        <v>3</v>
      </c>
      <c r="C309" t="str">
        <f t="shared" ca="1" si="58"/>
        <v>S</v>
      </c>
      <c r="D309">
        <f t="shared" ca="1" si="59"/>
        <v>0</v>
      </c>
      <c r="E309">
        <f ca="1">IF($C309=1,OFFSET(E309,-1,0)+MAX(1,COUNTIF(QCI!$A$13:$A$24,OFFSET(ORÇAMENTO!E309,-1,0))),OFFSET(E309,-1,0))</f>
        <v>1</v>
      </c>
      <c r="F309">
        <f t="shared" ca="1" si="60"/>
        <v>12</v>
      </c>
      <c r="G309">
        <f t="shared" ca="1" si="61"/>
        <v>2</v>
      </c>
      <c r="H309">
        <f t="shared" ca="1" si="62"/>
        <v>0</v>
      </c>
      <c r="I309">
        <f t="shared" ca="1" si="63"/>
        <v>0</v>
      </c>
      <c r="J309">
        <f t="shared" ca="1" si="86"/>
        <v>0</v>
      </c>
      <c r="K309">
        <f ca="1">IF(OR($C309="S",$C309=0),0,MATCH(OFFSET($D309,0,$C309)+IF($C309&lt;&gt;1,1,COUNTIF(QCI!$A$13:$A$24,ORÇAMENTO!E309)),OFFSET($D309,1,$C309,ROW($C$747)-ROW($C309)),0))</f>
        <v>0</v>
      </c>
      <c r="L309" s="116" t="str">
        <f t="shared" ca="1" si="64"/>
        <v/>
      </c>
      <c r="M309" s="117" t="s">
        <v>199</v>
      </c>
      <c r="N309" s="118" t="str">
        <f t="shared" ca="1" si="65"/>
        <v>Serviço</v>
      </c>
      <c r="O309" s="119" t="str">
        <f t="shared" ca="1" si="66"/>
        <v>-</v>
      </c>
      <c r="P309" s="120" t="s">
        <v>247</v>
      </c>
      <c r="Q309" s="121" t="s">
        <v>538</v>
      </c>
      <c r="R309" s="122" t="str">
        <f ca="1">IF($C309="S",REFERENCIA.Descricao,"(digite a descrição aqui)")</f>
        <v>(abra o arquivo 'Referência 02-2025.xlsm)</v>
      </c>
      <c r="S309" s="123" t="str">
        <f ca="1">REFERENCIA.Unidade</f>
        <v>-</v>
      </c>
      <c r="T309" s="124">
        <f ca="1">OFFSET(CÁLCULO!H$15,ROW($T309)-ROW(T$15),0)</f>
        <v>39</v>
      </c>
      <c r="U309" s="125">
        <f t="shared" ca="1" si="87"/>
        <v>0</v>
      </c>
      <c r="V309" s="126" t="s">
        <v>156</v>
      </c>
      <c r="W309" s="124">
        <f ca="1">IF($C309="S",ROUND(IF(TIPOORCAMENTO="Proposto",ORÇAMENTO.CustoUnitario*(1+$AH309),ORÇAMENTO.PrecoUnitarioLicitado),15-13*$AF$10),0)</f>
        <v>0</v>
      </c>
      <c r="X309" s="127">
        <f ca="1">IF($C309="S",IF(Import.TipoArredondamento&lt;&gt;"TransfereGOV",VTOTAL1,SUM(OFFSET(CÁLCULO!$AA$15,ROW($X309)-ROW($X$15),1):OFFSET(CÁLCULO!$AL$15,ROW($X309)-ROW($X$15),-1))),IF($C309=0,0,ROUND(SomaAgrup,15-13*$AF$11)))</f>
        <v>0</v>
      </c>
      <c r="Y309" s="128" t="s">
        <v>245</v>
      </c>
      <c r="Z309" t="str">
        <f t="shared" ca="1" si="67"/>
        <v/>
      </c>
      <c r="AA309" s="129">
        <f ca="1">IF($C309="S",IF($Z309="CP",$X309,IF($Z309="RA",(($X309)*QCI!$AA$3),0)),SomaAgrup)</f>
        <v>0</v>
      </c>
      <c r="AB309" s="130">
        <f t="shared" ca="1" si="68"/>
        <v>0</v>
      </c>
      <c r="AC309" s="131" t="str">
        <f ca="1">IF($N309="","",IF(ORÇAMENTO.Descricao="","DESCRIÇÃO",IF(AND($C309="S",ORÇAMENTO.Unidade=""),"UNIDADE",IF($X309&lt;0,"VALOR NEGATIVO",IF(OR(AND(TIPOORCAMENTO="Proposto",$AG309&lt;&gt;"",$AG309&gt;0,ORÇAMENTO.CustoUnitario&gt;$AG309),AND(TIPOORCAMENTO="LICITADO",ORÇAMENTO.PrecoUnitarioLicitado&gt;$AN309)),"ACIMA REF.","")))))</f>
        <v/>
      </c>
      <c r="AD309" t="str">
        <f ca="1">IF(C309&lt;=CRONO.NivelExibicao,MAX($AD$15:OFFSET(AD309,-1,0))+IF($C309&lt;&gt;1,1,MAX(1,COUNTIF(QCI!$A$13:$A$24,OFFSET($E309,-1,0)))),"")</f>
        <v/>
      </c>
      <c r="AE309" s="7" t="str">
        <f ca="1">IF(AND($C309="S",ORÇAMENTO.CodBarra&lt;&gt;""),IF(ORÇAMENTO.Fonte="",ORÇAMENTO.CodBarra,CONCATENATE(ORÇAMENTO.Fonte," ",ORÇAMENTO.CodBarra)))</f>
        <v>SINAPI 89987</v>
      </c>
      <c r="AF309" s="13" t="str">
        <f ca="1">IF(ISERROR(INDIRECT(ORÇAMENTO.BancoRef)),"(abra o arquivo 'Referência "&amp;Excel_BuiltIn_Database&amp;".xlsm)",IF(OR($C309&lt;&gt;"S",ORÇAMENTO.CodBarra=""),"(Sem Código)",IF(ISERROR(MATCH($AE309,INDIRECT(ORÇAMENTO.BancoRef),0)),"(Código não identificado nas referências)",MATCH($AE309,INDIRECT(ORÇAMENTO.BancoRef),0))))</f>
        <v>(abra o arquivo 'Referência 02-2025.xlsm)</v>
      </c>
      <c r="AG309" s="498">
        <f ca="1">ROUND(IF(DESONERACAO="sim",REFERENCIA.Desonerado,REFERENCIA.NaoDesonerado),2)</f>
        <v>0</v>
      </c>
      <c r="AH309" s="499">
        <f t="shared" ca="1" si="69"/>
        <v>0.22470000000000001</v>
      </c>
      <c r="AJ309" s="501">
        <v>39</v>
      </c>
      <c r="AL309" s="527"/>
      <c r="AM309" s="381">
        <f t="shared" ca="1" si="70"/>
        <v>0</v>
      </c>
      <c r="AN309" s="566">
        <f t="shared" ca="1" si="71"/>
        <v>0</v>
      </c>
    </row>
    <row r="310" spans="1:40" ht="38.25" x14ac:dyDescent="0.2">
      <c r="A310" t="str">
        <f t="shared" si="56"/>
        <v>S</v>
      </c>
      <c r="B310">
        <f t="shared" ca="1" si="57"/>
        <v>3</v>
      </c>
      <c r="C310" t="str">
        <f t="shared" ca="1" si="58"/>
        <v>S</v>
      </c>
      <c r="D310">
        <f t="shared" ca="1" si="59"/>
        <v>0</v>
      </c>
      <c r="E310">
        <f ca="1">IF($C310=1,OFFSET(E310,-1,0)+MAX(1,COUNTIF(QCI!$A$13:$A$24,OFFSET(ORÇAMENTO!E310,-1,0))),OFFSET(E310,-1,0))</f>
        <v>1</v>
      </c>
      <c r="F310">
        <f t="shared" ca="1" si="60"/>
        <v>12</v>
      </c>
      <c r="G310">
        <f t="shared" ca="1" si="61"/>
        <v>2</v>
      </c>
      <c r="H310">
        <f t="shared" ca="1" si="62"/>
        <v>0</v>
      </c>
      <c r="I310">
        <f t="shared" ca="1" si="63"/>
        <v>0</v>
      </c>
      <c r="J310">
        <f t="shared" ca="1" si="86"/>
        <v>0</v>
      </c>
      <c r="K310">
        <f ca="1">IF(OR($C310="S",$C310=0),0,MATCH(OFFSET($D310,0,$C310)+IF($C310&lt;&gt;1,1,COUNTIF(QCI!$A$13:$A$24,ORÇAMENTO!E310)),OFFSET($D310,1,$C310,ROW($C$747)-ROW($C310)),0))</f>
        <v>0</v>
      </c>
      <c r="L310" s="116" t="str">
        <f t="shared" ca="1" si="64"/>
        <v/>
      </c>
      <c r="M310" s="117" t="s">
        <v>199</v>
      </c>
      <c r="N310" s="118" t="str">
        <f t="shared" ca="1" si="65"/>
        <v>Serviço</v>
      </c>
      <c r="O310" s="119" t="str">
        <f t="shared" ca="1" si="66"/>
        <v>-</v>
      </c>
      <c r="P310" s="120" t="s">
        <v>247</v>
      </c>
      <c r="Q310" s="121" t="s">
        <v>539</v>
      </c>
      <c r="R310" s="122" t="str">
        <f ca="1">IF($C310="S",REFERENCIA.Descricao,"(digite a descrição aqui)")</f>
        <v>(abra o arquivo 'Referência 02-2025.xlsm)</v>
      </c>
      <c r="S310" s="123" t="str">
        <f ca="1">REFERENCIA.Unidade</f>
        <v>-</v>
      </c>
      <c r="T310" s="124">
        <f ca="1">OFFSET(CÁLCULO!H$15,ROW($T310)-ROW(T$15),0)</f>
        <v>13</v>
      </c>
      <c r="U310" s="125">
        <f t="shared" ca="1" si="87"/>
        <v>0</v>
      </c>
      <c r="V310" s="126" t="s">
        <v>156</v>
      </c>
      <c r="W310" s="124">
        <f ca="1">IF($C310="S",ROUND(IF(TIPOORCAMENTO="Proposto",ORÇAMENTO.CustoUnitario*(1+$AH310),ORÇAMENTO.PrecoUnitarioLicitado),15-13*$AF$10),0)</f>
        <v>0</v>
      </c>
      <c r="X310" s="127">
        <f ca="1">IF($C310="S",IF(Import.TipoArredondamento&lt;&gt;"TransfereGOV",VTOTAL1,SUM(OFFSET(CÁLCULO!$AA$15,ROW($X310)-ROW($X$15),1):OFFSET(CÁLCULO!$AL$15,ROW($X310)-ROW($X$15),-1))),IF($C310=0,0,ROUND(SomaAgrup,15-13*$AF$11)))</f>
        <v>0</v>
      </c>
      <c r="Y310" s="128" t="s">
        <v>245</v>
      </c>
      <c r="Z310" t="str">
        <f t="shared" ca="1" si="67"/>
        <v/>
      </c>
      <c r="AA310" s="129">
        <f ca="1">IF($C310="S",IF($Z310="CP",$X310,IF($Z310="RA",(($X310)*QCI!$AA$3),0)),SomaAgrup)</f>
        <v>0</v>
      </c>
      <c r="AB310" s="130">
        <f t="shared" ca="1" si="68"/>
        <v>0</v>
      </c>
      <c r="AC310" s="131" t="str">
        <f ca="1">IF($N310="","",IF(ORÇAMENTO.Descricao="","DESCRIÇÃO",IF(AND($C310="S",ORÇAMENTO.Unidade=""),"UNIDADE",IF($X310&lt;0,"VALOR NEGATIVO",IF(OR(AND(TIPOORCAMENTO="Proposto",$AG310&lt;&gt;"",$AG310&gt;0,ORÇAMENTO.CustoUnitario&gt;$AG310),AND(TIPOORCAMENTO="LICITADO",ORÇAMENTO.PrecoUnitarioLicitado&gt;$AN310)),"ACIMA REF.","")))))</f>
        <v/>
      </c>
      <c r="AD310" t="str">
        <f ca="1">IF(C310&lt;=CRONO.NivelExibicao,MAX($AD$15:OFFSET(AD310,-1,0))+IF($C310&lt;&gt;1,1,MAX(1,COUNTIF(QCI!$A$13:$A$24,OFFSET($E310,-1,0)))),"")</f>
        <v/>
      </c>
      <c r="AE310" s="7" t="str">
        <f ca="1">IF(AND($C310="S",ORÇAMENTO.CodBarra&lt;&gt;""),IF(ORÇAMENTO.Fonte="",ORÇAMENTO.CodBarra,CONCATENATE(ORÇAMENTO.Fonte," ",ORÇAMENTO.CodBarra)))</f>
        <v>SINAPI 89985</v>
      </c>
      <c r="AF310" s="13" t="str">
        <f ca="1">IF(ISERROR(INDIRECT(ORÇAMENTO.BancoRef)),"(abra o arquivo 'Referência "&amp;Excel_BuiltIn_Database&amp;".xlsm)",IF(OR($C310&lt;&gt;"S",ORÇAMENTO.CodBarra=""),"(Sem Código)",IF(ISERROR(MATCH($AE310,INDIRECT(ORÇAMENTO.BancoRef),0)),"(Código não identificado nas referências)",MATCH($AE310,INDIRECT(ORÇAMENTO.BancoRef),0))))</f>
        <v>(abra o arquivo 'Referência 02-2025.xlsm)</v>
      </c>
      <c r="AG310" s="498">
        <f ca="1">ROUND(IF(DESONERACAO="sim",REFERENCIA.Desonerado,REFERENCIA.NaoDesonerado),2)</f>
        <v>0</v>
      </c>
      <c r="AH310" s="499">
        <f t="shared" ca="1" si="69"/>
        <v>0.22470000000000001</v>
      </c>
      <c r="AJ310" s="501">
        <v>13</v>
      </c>
      <c r="AL310" s="527"/>
      <c r="AM310" s="381">
        <f t="shared" ca="1" si="70"/>
        <v>0</v>
      </c>
      <c r="AN310" s="566">
        <f t="shared" ca="1" si="71"/>
        <v>0</v>
      </c>
    </row>
    <row r="311" spans="1:40" ht="25.5" x14ac:dyDescent="0.2">
      <c r="A311" t="str">
        <f t="shared" si="56"/>
        <v>S</v>
      </c>
      <c r="B311">
        <f t="shared" ca="1" si="57"/>
        <v>3</v>
      </c>
      <c r="C311" t="str">
        <f t="shared" ca="1" si="58"/>
        <v>S</v>
      </c>
      <c r="D311">
        <f t="shared" ca="1" si="59"/>
        <v>0</v>
      </c>
      <c r="E311">
        <f ca="1">IF($C311=1,OFFSET(E311,-1,0)+MAX(1,COUNTIF(QCI!$A$13:$A$24,OFFSET(ORÇAMENTO!E311,-1,0))),OFFSET(E311,-1,0))</f>
        <v>1</v>
      </c>
      <c r="F311">
        <f t="shared" ca="1" si="60"/>
        <v>12</v>
      </c>
      <c r="G311">
        <f t="shared" ca="1" si="61"/>
        <v>2</v>
      </c>
      <c r="H311">
        <f t="shared" ca="1" si="62"/>
        <v>0</v>
      </c>
      <c r="I311">
        <f t="shared" ca="1" si="63"/>
        <v>0</v>
      </c>
      <c r="J311">
        <f t="shared" ca="1" si="86"/>
        <v>0</v>
      </c>
      <c r="K311">
        <f ca="1">IF(OR($C311="S",$C311=0),0,MATCH(OFFSET($D311,0,$C311)+IF($C311&lt;&gt;1,1,COUNTIF(QCI!$A$13:$A$24,ORÇAMENTO!E311)),OFFSET($D311,1,$C311,ROW($C$747)-ROW($C311)),0))</f>
        <v>0</v>
      </c>
      <c r="L311" s="116" t="str">
        <f t="shared" ca="1" si="64"/>
        <v/>
      </c>
      <c r="M311" s="117" t="s">
        <v>199</v>
      </c>
      <c r="N311" s="118" t="str">
        <f t="shared" ca="1" si="65"/>
        <v>Serviço</v>
      </c>
      <c r="O311" s="119" t="str">
        <f t="shared" ca="1" si="66"/>
        <v>-</v>
      </c>
      <c r="P311" s="120" t="s">
        <v>247</v>
      </c>
      <c r="Q311" s="121" t="s">
        <v>540</v>
      </c>
      <c r="R311" s="122" t="str">
        <f ca="1">IF($C311="S",REFERENCIA.Descricao,"(digite a descrição aqui)")</f>
        <v>(abra o arquivo 'Referência 02-2025.xlsm)</v>
      </c>
      <c r="S311" s="123" t="str">
        <f ca="1">REFERENCIA.Unidade</f>
        <v>-</v>
      </c>
      <c r="T311" s="124">
        <f ca="1">OFFSET(CÁLCULO!H$15,ROW($T311)-ROW(T$15),0)</f>
        <v>1</v>
      </c>
      <c r="U311" s="125">
        <f t="shared" ca="1" si="87"/>
        <v>0</v>
      </c>
      <c r="V311" s="126" t="s">
        <v>156</v>
      </c>
      <c r="W311" s="124">
        <f ca="1">IF($C311="S",ROUND(IF(TIPOORCAMENTO="Proposto",ORÇAMENTO.CustoUnitario*(1+$AH311),ORÇAMENTO.PrecoUnitarioLicitado),15-13*$AF$10),0)</f>
        <v>0</v>
      </c>
      <c r="X311" s="127">
        <f ca="1">IF($C311="S",IF(Import.TipoArredondamento&lt;&gt;"TransfereGOV",VTOTAL1,SUM(OFFSET(CÁLCULO!$AA$15,ROW($X311)-ROW($X$15),1):OFFSET(CÁLCULO!$AL$15,ROW($X311)-ROW($X$15),-1))),IF($C311=0,0,ROUND(SomaAgrup,15-13*$AF$11)))</f>
        <v>0</v>
      </c>
      <c r="Y311" s="128" t="s">
        <v>245</v>
      </c>
      <c r="Z311" t="str">
        <f t="shared" ca="1" si="67"/>
        <v/>
      </c>
      <c r="AA311" s="129">
        <f ca="1">IF($C311="S",IF($Z311="CP",$X311,IF($Z311="RA",(($X311)*QCI!$AA$3),0)),SomaAgrup)</f>
        <v>0</v>
      </c>
      <c r="AB311" s="130">
        <f t="shared" ca="1" si="68"/>
        <v>0</v>
      </c>
      <c r="AC311" s="131" t="str">
        <f ca="1">IF($N311="","",IF(ORÇAMENTO.Descricao="","DESCRIÇÃO",IF(AND($C311="S",ORÇAMENTO.Unidade=""),"UNIDADE",IF($X311&lt;0,"VALOR NEGATIVO",IF(OR(AND(TIPOORCAMENTO="Proposto",$AG311&lt;&gt;"",$AG311&gt;0,ORÇAMENTO.CustoUnitario&gt;$AG311),AND(TIPOORCAMENTO="LICITADO",ORÇAMENTO.PrecoUnitarioLicitado&gt;$AN311)),"ACIMA REF.","")))))</f>
        <v/>
      </c>
      <c r="AD311" t="str">
        <f ca="1">IF(C311&lt;=CRONO.NivelExibicao,MAX($AD$15:OFFSET(AD311,-1,0))+IF($C311&lt;&gt;1,1,MAX(1,COUNTIF(QCI!$A$13:$A$24,OFFSET($E311,-1,0)))),"")</f>
        <v/>
      </c>
      <c r="AE311" s="7" t="str">
        <f ca="1">IF(AND($C311="S",ORÇAMENTO.CodBarra&lt;&gt;""),IF(ORÇAMENTO.Fonte="",ORÇAMENTO.CodBarra,CONCATENATE(ORÇAMENTO.Fonte," ",ORÇAMENTO.CodBarra)))</f>
        <v>SINAPI 103042</v>
      </c>
      <c r="AF311" s="13" t="str">
        <f ca="1">IF(ISERROR(INDIRECT(ORÇAMENTO.BancoRef)),"(abra o arquivo 'Referência "&amp;Excel_BuiltIn_Database&amp;".xlsm)",IF(OR($C311&lt;&gt;"S",ORÇAMENTO.CodBarra=""),"(Sem Código)",IF(ISERROR(MATCH($AE311,INDIRECT(ORÇAMENTO.BancoRef),0)),"(Código não identificado nas referências)",MATCH($AE311,INDIRECT(ORÇAMENTO.BancoRef),0))))</f>
        <v>(abra o arquivo 'Referência 02-2025.xlsm)</v>
      </c>
      <c r="AG311" s="498">
        <f ca="1">ROUND(IF(DESONERACAO="sim",REFERENCIA.Desonerado,REFERENCIA.NaoDesonerado),2)</f>
        <v>0</v>
      </c>
      <c r="AH311" s="499">
        <f t="shared" ca="1" si="69"/>
        <v>0.22470000000000001</v>
      </c>
      <c r="AJ311" s="501">
        <v>1</v>
      </c>
      <c r="AL311" s="527"/>
      <c r="AM311" s="381">
        <f t="shared" ca="1" si="70"/>
        <v>0</v>
      </c>
      <c r="AN311" s="566">
        <f t="shared" ca="1" si="71"/>
        <v>0</v>
      </c>
    </row>
    <row r="312" spans="1:40" ht="25.5" x14ac:dyDescent="0.2">
      <c r="A312" t="str">
        <f t="shared" si="56"/>
        <v>S</v>
      </c>
      <c r="B312">
        <f t="shared" ca="1" si="57"/>
        <v>3</v>
      </c>
      <c r="C312" t="str">
        <f t="shared" ca="1" si="58"/>
        <v>S</v>
      </c>
      <c r="D312">
        <f t="shared" ca="1" si="59"/>
        <v>0</v>
      </c>
      <c r="E312">
        <f ca="1">IF($C312=1,OFFSET(E312,-1,0)+MAX(1,COUNTIF(QCI!$A$13:$A$24,OFFSET(ORÇAMENTO!E312,-1,0))),OFFSET(E312,-1,0))</f>
        <v>1</v>
      </c>
      <c r="F312">
        <f t="shared" ca="1" si="60"/>
        <v>12</v>
      </c>
      <c r="G312">
        <f t="shared" ca="1" si="61"/>
        <v>2</v>
      </c>
      <c r="H312">
        <f t="shared" ca="1" si="62"/>
        <v>0</v>
      </c>
      <c r="I312">
        <f t="shared" ca="1" si="63"/>
        <v>0</v>
      </c>
      <c r="J312">
        <f t="shared" ca="1" si="86"/>
        <v>0</v>
      </c>
      <c r="K312">
        <f ca="1">IF(OR($C312="S",$C312=0),0,MATCH(OFFSET($D312,0,$C312)+IF($C312&lt;&gt;1,1,COUNTIF(QCI!$A$13:$A$24,ORÇAMENTO!E312)),OFFSET($D312,1,$C312,ROW($C$747)-ROW($C312)),0))</f>
        <v>0</v>
      </c>
      <c r="L312" s="116" t="str">
        <f t="shared" ca="1" si="64"/>
        <v/>
      </c>
      <c r="M312" s="117" t="s">
        <v>199</v>
      </c>
      <c r="N312" s="118" t="str">
        <f t="shared" ca="1" si="65"/>
        <v>Serviço</v>
      </c>
      <c r="O312" s="119" t="str">
        <f t="shared" ca="1" si="66"/>
        <v>-</v>
      </c>
      <c r="P312" s="120" t="s">
        <v>247</v>
      </c>
      <c r="Q312" s="121" t="s">
        <v>541</v>
      </c>
      <c r="R312" s="122" t="str">
        <f ca="1">IF($C312="S",REFERENCIA.Descricao,"(digite a descrição aqui)")</f>
        <v>(abra o arquivo 'Referência 02-2025.xlsm)</v>
      </c>
      <c r="S312" s="123" t="str">
        <f ca="1">REFERENCIA.Unidade</f>
        <v>-</v>
      </c>
      <c r="T312" s="124">
        <f ca="1">OFFSET(CÁLCULO!H$15,ROW($T312)-ROW(T$15),0)</f>
        <v>1</v>
      </c>
      <c r="U312" s="125">
        <f t="shared" ca="1" si="87"/>
        <v>0</v>
      </c>
      <c r="V312" s="126" t="s">
        <v>156</v>
      </c>
      <c r="W312" s="124">
        <f ca="1">IF($C312="S",ROUND(IF(TIPOORCAMENTO="Proposto",ORÇAMENTO.CustoUnitario*(1+$AH312),ORÇAMENTO.PrecoUnitarioLicitado),15-13*$AF$10),0)</f>
        <v>0</v>
      </c>
      <c r="X312" s="127">
        <f ca="1">IF($C312="S",IF(Import.TipoArredondamento&lt;&gt;"TransfereGOV",VTOTAL1,SUM(OFFSET(CÁLCULO!$AA$15,ROW($X312)-ROW($X$15),1):OFFSET(CÁLCULO!$AL$15,ROW($X312)-ROW($X$15),-1))),IF($C312=0,0,ROUND(SomaAgrup,15-13*$AF$11)))</f>
        <v>0</v>
      </c>
      <c r="Y312" s="128" t="s">
        <v>245</v>
      </c>
      <c r="Z312" t="str">
        <f t="shared" ca="1" si="67"/>
        <v/>
      </c>
      <c r="AA312" s="129">
        <f ca="1">IF($C312="S",IF($Z312="CP",$X312,IF($Z312="RA",(($X312)*QCI!$AA$3),0)),SomaAgrup)</f>
        <v>0</v>
      </c>
      <c r="AB312" s="130">
        <f t="shared" ca="1" si="68"/>
        <v>0</v>
      </c>
      <c r="AC312" s="131" t="str">
        <f ca="1">IF($N312="","",IF(ORÇAMENTO.Descricao="","DESCRIÇÃO",IF(AND($C312="S",ORÇAMENTO.Unidade=""),"UNIDADE",IF($X312&lt;0,"VALOR NEGATIVO",IF(OR(AND(TIPOORCAMENTO="Proposto",$AG312&lt;&gt;"",$AG312&gt;0,ORÇAMENTO.CustoUnitario&gt;$AG312),AND(TIPOORCAMENTO="LICITADO",ORÇAMENTO.PrecoUnitarioLicitado&gt;$AN312)),"ACIMA REF.","")))))</f>
        <v/>
      </c>
      <c r="AD312" t="str">
        <f ca="1">IF(C312&lt;=CRONO.NivelExibicao,MAX($AD$15:OFFSET(AD312,-1,0))+IF($C312&lt;&gt;1,1,MAX(1,COUNTIF(QCI!$A$13:$A$24,OFFSET($E312,-1,0)))),"")</f>
        <v/>
      </c>
      <c r="AE312" s="7" t="str">
        <f ca="1">IF(AND($C312="S",ORÇAMENTO.CodBarra&lt;&gt;""),IF(ORÇAMENTO.Fonte="",ORÇAMENTO.CodBarra,CONCATENATE(ORÇAMENTO.Fonte," ",ORÇAMENTO.CodBarra)))</f>
        <v>SINAPI 90371</v>
      </c>
      <c r="AF312" s="13" t="str">
        <f ca="1">IF(ISERROR(INDIRECT(ORÇAMENTO.BancoRef)),"(abra o arquivo 'Referência "&amp;Excel_BuiltIn_Database&amp;".xlsm)",IF(OR($C312&lt;&gt;"S",ORÇAMENTO.CodBarra=""),"(Sem Código)",IF(ISERROR(MATCH($AE312,INDIRECT(ORÇAMENTO.BancoRef),0)),"(Código não identificado nas referências)",MATCH($AE312,INDIRECT(ORÇAMENTO.BancoRef),0))))</f>
        <v>(abra o arquivo 'Referência 02-2025.xlsm)</v>
      </c>
      <c r="AG312" s="498">
        <f ca="1">ROUND(IF(DESONERACAO="sim",REFERENCIA.Desonerado,REFERENCIA.NaoDesonerado),2)</f>
        <v>0</v>
      </c>
      <c r="AH312" s="499">
        <f t="shared" ca="1" si="69"/>
        <v>0.22470000000000001</v>
      </c>
      <c r="AJ312" s="501">
        <v>1</v>
      </c>
      <c r="AL312" s="527"/>
      <c r="AM312" s="381">
        <f t="shared" ca="1" si="70"/>
        <v>0</v>
      </c>
      <c r="AN312" s="566">
        <f t="shared" ca="1" si="71"/>
        <v>0</v>
      </c>
    </row>
    <row r="313" spans="1:40" ht="25.5" x14ac:dyDescent="0.2">
      <c r="A313" t="str">
        <f t="shared" si="56"/>
        <v>S</v>
      </c>
      <c r="B313">
        <f t="shared" ca="1" si="57"/>
        <v>3</v>
      </c>
      <c r="C313" t="str">
        <f t="shared" ca="1" si="58"/>
        <v>S</v>
      </c>
      <c r="D313">
        <f t="shared" ca="1" si="59"/>
        <v>0</v>
      </c>
      <c r="E313">
        <f ca="1">IF($C313=1,OFFSET(E313,-1,0)+MAX(1,COUNTIF(QCI!$A$13:$A$24,OFFSET(ORÇAMENTO!E313,-1,0))),OFFSET(E313,-1,0))</f>
        <v>1</v>
      </c>
      <c r="F313">
        <f t="shared" ca="1" si="60"/>
        <v>12</v>
      </c>
      <c r="G313">
        <f t="shared" ca="1" si="61"/>
        <v>2</v>
      </c>
      <c r="H313">
        <f t="shared" ca="1" si="62"/>
        <v>0</v>
      </c>
      <c r="I313">
        <f t="shared" ca="1" si="63"/>
        <v>0</v>
      </c>
      <c r="J313">
        <f t="shared" ca="1" si="86"/>
        <v>0</v>
      </c>
      <c r="K313">
        <f ca="1">IF(OR($C313="S",$C313=0),0,MATCH(OFFSET($D313,0,$C313)+IF($C313&lt;&gt;1,1,COUNTIF(QCI!$A$13:$A$24,ORÇAMENTO!E313)),OFFSET($D313,1,$C313,ROW($C$747)-ROW($C313)),0))</f>
        <v>0</v>
      </c>
      <c r="L313" s="116" t="str">
        <f t="shared" ca="1" si="64"/>
        <v/>
      </c>
      <c r="M313" s="117" t="s">
        <v>199</v>
      </c>
      <c r="N313" s="118" t="str">
        <f t="shared" ca="1" si="65"/>
        <v>Serviço</v>
      </c>
      <c r="O313" s="119" t="str">
        <f t="shared" ca="1" si="66"/>
        <v>-</v>
      </c>
      <c r="P313" s="120" t="s">
        <v>247</v>
      </c>
      <c r="Q313" s="121" t="s">
        <v>542</v>
      </c>
      <c r="R313" s="122" t="str">
        <f ca="1">IF($C313="S",REFERENCIA.Descricao,"(digite a descrição aqui)")</f>
        <v>(abra o arquivo 'Referência 02-2025.xlsm)</v>
      </c>
      <c r="S313" s="123" t="str">
        <f ca="1">REFERENCIA.Unidade</f>
        <v>-</v>
      </c>
      <c r="T313" s="124">
        <f ca="1">OFFSET(CÁLCULO!H$15,ROW($T313)-ROW(T$15),0)</f>
        <v>1</v>
      </c>
      <c r="U313" s="125">
        <f t="shared" ca="1" si="87"/>
        <v>0</v>
      </c>
      <c r="V313" s="126" t="s">
        <v>156</v>
      </c>
      <c r="W313" s="124">
        <f ca="1">IF($C313="S",ROUND(IF(TIPOORCAMENTO="Proposto",ORÇAMENTO.CustoUnitario*(1+$AH313),ORÇAMENTO.PrecoUnitarioLicitado),15-13*$AF$10),0)</f>
        <v>0</v>
      </c>
      <c r="X313" s="127">
        <f ca="1">IF($C313="S",IF(Import.TipoArredondamento&lt;&gt;"TransfereGOV",VTOTAL1,SUM(OFFSET(CÁLCULO!$AA$15,ROW($X313)-ROW($X$15),1):OFFSET(CÁLCULO!$AL$15,ROW($X313)-ROW($X$15),-1))),IF($C313=0,0,ROUND(SomaAgrup,15-13*$AF$11)))</f>
        <v>0</v>
      </c>
      <c r="Y313" s="128" t="s">
        <v>245</v>
      </c>
      <c r="Z313" t="str">
        <f t="shared" ca="1" si="67"/>
        <v/>
      </c>
      <c r="AA313" s="129">
        <f ca="1">IF($C313="S",IF($Z313="CP",$X313,IF($Z313="RA",(($X313)*QCI!$AA$3),0)),SomaAgrup)</f>
        <v>0</v>
      </c>
      <c r="AB313" s="130">
        <f t="shared" ca="1" si="68"/>
        <v>0</v>
      </c>
      <c r="AC313" s="131" t="str">
        <f ca="1">IF($N313="","",IF(ORÇAMENTO.Descricao="","DESCRIÇÃO",IF(AND($C313="S",ORÇAMENTO.Unidade=""),"UNIDADE",IF($X313&lt;0,"VALOR NEGATIVO",IF(OR(AND(TIPOORCAMENTO="Proposto",$AG313&lt;&gt;"",$AG313&gt;0,ORÇAMENTO.CustoUnitario&gt;$AG313),AND(TIPOORCAMENTO="LICITADO",ORÇAMENTO.PrecoUnitarioLicitado&gt;$AN313)),"ACIMA REF.","")))))</f>
        <v/>
      </c>
      <c r="AD313" t="str">
        <f ca="1">IF(C313&lt;=CRONO.NivelExibicao,MAX($AD$15:OFFSET(AD313,-1,0))+IF($C313&lt;&gt;1,1,MAX(1,COUNTIF(QCI!$A$13:$A$24,OFFSET($E313,-1,0)))),"")</f>
        <v/>
      </c>
      <c r="AE313" s="7" t="str">
        <f ca="1">IF(AND($C313="S",ORÇAMENTO.CodBarra&lt;&gt;""),IF(ORÇAMENTO.Fonte="",ORÇAMENTO.CodBarra,CONCATENATE(ORÇAMENTO.Fonte," ",ORÇAMENTO.CodBarra)))</f>
        <v>SINAPI 94496</v>
      </c>
      <c r="AF313" s="13" t="str">
        <f ca="1">IF(ISERROR(INDIRECT(ORÇAMENTO.BancoRef)),"(abra o arquivo 'Referência "&amp;Excel_BuiltIn_Database&amp;".xlsm)",IF(OR($C313&lt;&gt;"S",ORÇAMENTO.CodBarra=""),"(Sem Código)",IF(ISERROR(MATCH($AE313,INDIRECT(ORÇAMENTO.BancoRef),0)),"(Código não identificado nas referências)",MATCH($AE313,INDIRECT(ORÇAMENTO.BancoRef),0))))</f>
        <v>(abra o arquivo 'Referência 02-2025.xlsm)</v>
      </c>
      <c r="AG313" s="498">
        <f ca="1">ROUND(IF(DESONERACAO="sim",REFERENCIA.Desonerado,REFERENCIA.NaoDesonerado),2)</f>
        <v>0</v>
      </c>
      <c r="AH313" s="499">
        <f t="shared" ca="1" si="69"/>
        <v>0.22470000000000001</v>
      </c>
      <c r="AJ313" s="501">
        <v>1</v>
      </c>
      <c r="AL313" s="527"/>
      <c r="AM313" s="381">
        <f t="shared" ca="1" si="70"/>
        <v>0</v>
      </c>
      <c r="AN313" s="566">
        <f t="shared" ca="1" si="71"/>
        <v>0</v>
      </c>
    </row>
    <row r="314" spans="1:40" ht="38.25" x14ac:dyDescent="0.2">
      <c r="A314" t="str">
        <f>CHOOSE(1+LOG(1+2*(ORÇAMENTO.Nivel="Meta")+4*(ORÇAMENTO.Nivel="Nível 2")+8*(ORÇAMENTO.Nivel="Nível 3")+16*(ORÇAMENTO.Nivel="Nível 4")+32*(ORÇAMENTO.Nivel="Serviço"),2),0,1,2,3,4,"S")</f>
        <v>S</v>
      </c>
      <c r="B314">
        <f ca="1">IF(OR(C314="s",C314=0),OFFSET(B314,-1,0),C314)</f>
        <v>3</v>
      </c>
      <c r="C314" t="str">
        <f ca="1">IF(OFFSET(C314,-1,0)="L",1,IF(OFFSET(C314,-1,0)=1,2,IF(OR(A314="s",A314=0),"S",IF(AND(OFFSET(C314,-1,0)=2,A314=4),3,IF(AND(OR(OFFSET(C314,-1,0)="s",OFFSET(C314,-1,0)=0),A314&lt;&gt;"s",A314&gt;OFFSET(B314,-1,0)),OFFSET(B314,-1,0),A314)))))</f>
        <v>S</v>
      </c>
      <c r="D314">
        <f ca="1">IF(OR(C314="S",C314=0),0,IF(ISERROR(K314),J314,SMALL(J314:K314,1)))</f>
        <v>0</v>
      </c>
      <c r="E314">
        <f ca="1">IF($C314=1,OFFSET(E314,-1,0)+MAX(1,COUNTIF(QCI!$A$13:$A$24,OFFSET(ORÇAMENTO!E314,-1,0))),OFFSET(E314,-1,0))</f>
        <v>1</v>
      </c>
      <c r="F314">
        <f ca="1">IF($C314=1,0,IF($C314=2,OFFSET(F314,-1,0)+1,OFFSET(F314,-1,0)))</f>
        <v>12</v>
      </c>
      <c r="G314">
        <f ca="1">IF(AND($C314&lt;=2,$C314&lt;&gt;0),0,IF($C314=3,OFFSET(G314,-1,0)+1,OFFSET(G314,-1,0)))</f>
        <v>2</v>
      </c>
      <c r="H314">
        <f ca="1">IF(AND($C314&lt;=3,$C314&lt;&gt;0),0,IF($C314=4,OFFSET(H314,-1,0)+1,OFFSET(H314,-1,0)))</f>
        <v>0</v>
      </c>
      <c r="I314">
        <f ca="1">IF(AND($C314&lt;=4,$C314&lt;&gt;0),0,IF(AND($C314="S",$X314&gt;0),OFFSET(I314,-1,0)+1,OFFSET(I314,-1,0)))</f>
        <v>0</v>
      </c>
      <c r="J314">
        <f t="shared" ca="1" si="86"/>
        <v>0</v>
      </c>
      <c r="K314">
        <f ca="1">IF(OR($C314="S",$C314=0),0,MATCH(OFFSET($D314,0,$C314)+IF($C314&lt;&gt;1,1,COUNTIF(QCI!$A$13:$A$24,ORÇAMENTO!E314)),OFFSET($D314,1,$C314,ROW($C$747)-ROW($C314)),0))</f>
        <v>0</v>
      </c>
      <c r="L314" s="116" t="str">
        <f ca="1">IF(OR($X314&gt;0,$C314=1,$C314=2,$C314=3,$C314=4),"F","")</f>
        <v/>
      </c>
      <c r="M314" s="117" t="s">
        <v>199</v>
      </c>
      <c r="N314" s="118" t="str">
        <f ca="1">CHOOSE(1+LOG(1+2*(C314=1)+4*(C314=2)+8*(C314=3)+16*(C314=4)+32*(C314="S"),2),"","Meta","Nível 2","Nível 3","Nível 4","Serviço")</f>
        <v>Serviço</v>
      </c>
      <c r="O314" s="119" t="str">
        <f ca="1">IF(OR($C314=0,$L314=""),"-",CONCATENATE(E314&amp;".",IF(AND($A$5&gt;=2,$C314&gt;=2),F314&amp;".",""),IF(AND($A$5&gt;=3,$C314&gt;=3),G314&amp;".",""),IF(AND($A$5&gt;=4,$C314&gt;=4),H314&amp;".",""),IF($C314="S",I314&amp;".","")))</f>
        <v>-</v>
      </c>
      <c r="P314" s="120" t="s">
        <v>712</v>
      </c>
      <c r="Q314" s="121" t="s">
        <v>812</v>
      </c>
      <c r="R314" s="122" t="str">
        <f ca="1">IF($C314="S",REFERENCIA.Descricao,"(digite a descrição aqui)")</f>
        <v>(abra o arquivo 'Referência 02-2025.xlsm)</v>
      </c>
      <c r="S314" s="123" t="str">
        <f ca="1">REFERENCIA.Unidade</f>
        <v>-</v>
      </c>
      <c r="T314" s="124">
        <f ca="1">OFFSET(CÁLCULO!H$15,ROW($T314)-ROW(T$15),0)</f>
        <v>24</v>
      </c>
      <c r="U314" s="125">
        <f t="shared" ca="1" si="87"/>
        <v>0</v>
      </c>
      <c r="V314" s="126" t="s">
        <v>156</v>
      </c>
      <c r="W314" s="124">
        <f ca="1">IF($C314="S",ROUND(IF(TIPOORCAMENTO="Proposto",ORÇAMENTO.CustoUnitario*(1+$AH314),ORÇAMENTO.PrecoUnitarioLicitado),15-13*$AF$10),0)</f>
        <v>0</v>
      </c>
      <c r="X314" s="127">
        <f ca="1">IF($C314="S",IF(Import.TipoArredondamento&lt;&gt;"TransfereGOV",VTOTAL1,SUM(OFFSET(CÁLCULO!$AA$15,ROW($X314)-ROW($X$15),1):OFFSET(CÁLCULO!$AL$15,ROW($X314)-ROW($X$15),-1))),IF($C314=0,0,ROUND(SomaAgrup,15-13*$AF$11)))</f>
        <v>0</v>
      </c>
      <c r="Y314" s="128" t="s">
        <v>245</v>
      </c>
      <c r="Z314" t="str">
        <f ca="1">IF(AND($C314="S",$X314&gt;0),IF(ISBLANK($Y314),"RA",LEFT($Y314,2)),"")</f>
        <v/>
      </c>
      <c r="AA314" s="129">
        <f ca="1">IF($C314="S",IF($Z314="CP",$X314,IF($Z314="RA",(($X314)*QCI!$AA$3),0)),SomaAgrup)</f>
        <v>0</v>
      </c>
      <c r="AB314" s="130">
        <f ca="1">IF($C314="S",IF($Z314="OU",ROUND($X314,2),0),SomaAgrup)</f>
        <v>0</v>
      </c>
      <c r="AC314" s="131" t="str">
        <f ca="1">IF($N314="","",IF(ORÇAMENTO.Descricao="","DESCRIÇÃO",IF(AND($C314="S",ORÇAMENTO.Unidade=""),"UNIDADE",IF($X314&lt;0,"VALOR NEGATIVO",IF(OR(AND(TIPOORCAMENTO="Proposto",$AG314&lt;&gt;"",$AG314&gt;0,ORÇAMENTO.CustoUnitario&gt;$AG314),AND(TIPOORCAMENTO="LICITADO",ORÇAMENTO.PrecoUnitarioLicitado&gt;$AN314)),"ACIMA REF.","")))))</f>
        <v/>
      </c>
      <c r="AD314" t="str">
        <f ca="1">IF(C314&lt;=CRONO.NivelExibicao,MAX($AD$15:OFFSET(AD314,-1,0))+IF($C314&lt;&gt;1,1,MAX(1,COUNTIF(QCI!$A$13:$A$24,OFFSET($E314,-1,0)))),"")</f>
        <v/>
      </c>
      <c r="AE314" s="7" t="str">
        <f ca="1">IF(AND($C314="S",ORÇAMENTO.CodBarra&lt;&gt;""),IF(ORÇAMENTO.Fonte="",ORÇAMENTO.CodBarra,CONCATENATE(ORÇAMENTO.Fonte," ",ORÇAMENTO.CodBarra)))</f>
        <v>Composição FNDE 215</v>
      </c>
      <c r="AF314" s="13" t="str">
        <f ca="1">IF(ISERROR(INDIRECT(ORÇAMENTO.BancoRef)),"(abra o arquivo 'Referência "&amp;Excel_BuiltIn_Database&amp;".xlsm)",IF(OR($C314&lt;&gt;"S",ORÇAMENTO.CodBarra=""),"(Sem Código)",IF(ISERROR(MATCH($AE314,INDIRECT(ORÇAMENTO.BancoRef),0)),"(Código não identificado nas referências)",MATCH($AE314,INDIRECT(ORÇAMENTO.BancoRef),0))))</f>
        <v>(abra o arquivo 'Referência 02-2025.xlsm)</v>
      </c>
      <c r="AG314" s="498">
        <f ca="1">ROUND(IF(DESONERACAO="sim",REFERENCIA.Desonerado,REFERENCIA.NaoDesonerado),2)</f>
        <v>0</v>
      </c>
      <c r="AH314" s="499">
        <f ca="1">ROUND(IF(ISNUMBER(ORÇAMENTO.OpcaoBDI),ORÇAMENTO.OpcaoBDI,IF(LEFT(ORÇAMENTO.OpcaoBDI,3)="BDI",HLOOKUP(ORÇAMENTO.OpcaoBDI,$F$4:$H$5,2,FALSE),0)),15-11*$AF$9)</f>
        <v>0.22470000000000001</v>
      </c>
      <c r="AJ314" s="501">
        <v>24</v>
      </c>
      <c r="AL314" s="527"/>
      <c r="AM314" s="381">
        <f t="shared" ref="AM314" ca="1" si="89">$X314</f>
        <v>0</v>
      </c>
      <c r="AN314" s="566">
        <f ca="1">ROUND(ORÇAMENTO.CustoUnitario*(1+$AH314),2)</f>
        <v>0</v>
      </c>
    </row>
    <row r="315" spans="1:40" x14ac:dyDescent="0.2">
      <c r="A315">
        <f t="shared" si="56"/>
        <v>3</v>
      </c>
      <c r="B315">
        <f t="shared" ca="1" si="57"/>
        <v>3</v>
      </c>
      <c r="C315">
        <f t="shared" ca="1" si="58"/>
        <v>3</v>
      </c>
      <c r="D315">
        <f t="shared" ca="1" si="59"/>
        <v>2</v>
      </c>
      <c r="E315">
        <f ca="1">IF($C315=1,OFFSET(E315,-1,0)+MAX(1,COUNTIF(QCI!$A$13:$A$24,OFFSET(ORÇAMENTO!E315,-1,0))),OFFSET(E315,-1,0))</f>
        <v>1</v>
      </c>
      <c r="F315">
        <f t="shared" ca="1" si="60"/>
        <v>12</v>
      </c>
      <c r="G315">
        <f t="shared" ca="1" si="61"/>
        <v>3</v>
      </c>
      <c r="H315">
        <f t="shared" ca="1" si="62"/>
        <v>0</v>
      </c>
      <c r="I315">
        <f t="shared" ca="1" si="63"/>
        <v>0</v>
      </c>
      <c r="J315">
        <f t="shared" ca="1" si="86"/>
        <v>2</v>
      </c>
      <c r="K315">
        <f ca="1">IF(OR($C315="S",$C315=0),0,MATCH(OFFSET($D315,0,$C315)+IF($C315&lt;&gt;1,1,COUNTIF(QCI!$A$13:$A$24,ORÇAMENTO!E315)),OFFSET($D315,1,$C315,ROW($C$747)-ROW($C315)),0))</f>
        <v>64</v>
      </c>
      <c r="L315" s="116" t="str">
        <f t="shared" ca="1" si="64"/>
        <v>F</v>
      </c>
      <c r="M315" s="117" t="s">
        <v>197</v>
      </c>
      <c r="N315" s="118" t="str">
        <f t="shared" ca="1" si="65"/>
        <v>Nível 3</v>
      </c>
      <c r="O315" s="119" t="str">
        <f t="shared" ca="1" si="66"/>
        <v>1.12.3.</v>
      </c>
      <c r="P315" s="120" t="s">
        <v>247</v>
      </c>
      <c r="Q315" s="121"/>
      <c r="R315" s="122" t="s">
        <v>935</v>
      </c>
      <c r="S315" s="123" t="str">
        <f ca="1">REFERENCIA.Unidade</f>
        <v>-</v>
      </c>
      <c r="T315" s="124">
        <f ca="1">OFFSET(CÁLCULO!H$15,ROW($T315)-ROW(T$15),0)</f>
        <v>0</v>
      </c>
      <c r="U315" s="125">
        <f t="shared" ca="1" si="87"/>
        <v>0</v>
      </c>
      <c r="V315" s="126" t="s">
        <v>156</v>
      </c>
      <c r="W315" s="124">
        <f ca="1">IF($C315="S",ROUND(IF(TIPOORCAMENTO="Proposto",ORÇAMENTO.CustoUnitario*(1+$AH315),ORÇAMENTO.PrecoUnitarioLicitado),15-13*$AF$10),0)</f>
        <v>0</v>
      </c>
      <c r="X315" s="127">
        <f ca="1">IF($C315="S",IF(Import.TipoArredondamento&lt;&gt;"TransfereGOV",VTOTAL1,SUM(OFFSET(CÁLCULO!$AA$15,ROW($X315)-ROW($X$15),1):OFFSET(CÁLCULO!$AL$15,ROW($X315)-ROW($X$15),-1))),IF($C315=0,0,ROUND(SomaAgrup,15-13*$AF$11)))</f>
        <v>0</v>
      </c>
      <c r="Y315" s="128" t="s">
        <v>245</v>
      </c>
      <c r="Z315" t="str">
        <f t="shared" ca="1" si="67"/>
        <v/>
      </c>
      <c r="AA315" s="129">
        <f ca="1">IF($C315="S",IF($Z315="CP",$X315,IF($Z315="RA",(($X315)*QCI!$AA$3),0)),SomaAgrup)</f>
        <v>0</v>
      </c>
      <c r="AB315" s="130">
        <f t="shared" ca="1" si="68"/>
        <v>0</v>
      </c>
      <c r="AC315" s="131" t="str">
        <f ca="1">IF($N315="","",IF(ORÇAMENTO.Descricao="","DESCRIÇÃO",IF(AND($C315="S",ORÇAMENTO.Unidade=""),"UNIDADE",IF($X315&lt;0,"VALOR NEGATIVO",IF(OR(AND(TIPOORCAMENTO="Proposto",$AG315&lt;&gt;"",$AG315&gt;0,ORÇAMENTO.CustoUnitario&gt;$AG315),AND(TIPOORCAMENTO="LICITADO",ORÇAMENTO.PrecoUnitarioLicitado&gt;$AN315)),"ACIMA REF.","")))))</f>
        <v/>
      </c>
      <c r="AD315" t="str">
        <f ca="1">IF(C315&lt;=CRONO.NivelExibicao,MAX($AD$15:OFFSET(AD315,-1,0))+IF($C315&lt;&gt;1,1,MAX(1,COUNTIF(QCI!$A$13:$A$24,OFFSET($E315,-1,0)))),"")</f>
        <v/>
      </c>
      <c r="AE315" s="7" t="b">
        <f ca="1">IF(AND($C315="S",ORÇAMENTO.CodBarra&lt;&gt;""),IF(ORÇAMENTO.Fonte="",ORÇAMENTO.CodBarra,CONCATENATE(ORÇAMENTO.Fonte," ",ORÇAMENTO.CodBarra)))</f>
        <v>0</v>
      </c>
      <c r="AF315" s="13" t="str">
        <f ca="1">IF(ISERROR(INDIRECT(ORÇAMENTO.BancoRef)),"(abra o arquivo 'Referência "&amp;Excel_BuiltIn_Database&amp;".xlsm)",IF(OR($C315&lt;&gt;"S",ORÇAMENTO.CodBarra=""),"(Sem Código)",IF(ISERROR(MATCH($AE315,INDIRECT(ORÇAMENTO.BancoRef),0)),"(Código não identificado nas referências)",MATCH($AE315,INDIRECT(ORÇAMENTO.BancoRef),0))))</f>
        <v>(abra o arquivo 'Referência 02-2025.xlsm)</v>
      </c>
      <c r="AG315" s="498">
        <f ca="1">ROUND(IF(DESONERACAO="sim",REFERENCIA.Desonerado,REFERENCIA.NaoDesonerado),2)</f>
        <v>0</v>
      </c>
      <c r="AH315" s="499">
        <f t="shared" ca="1" si="69"/>
        <v>0.22470000000000001</v>
      </c>
      <c r="AJ315" s="501"/>
      <c r="AL315" s="527"/>
      <c r="AM315" s="381">
        <f t="shared" ca="1" si="70"/>
        <v>0</v>
      </c>
      <c r="AN315" s="566">
        <f t="shared" ca="1" si="71"/>
        <v>0</v>
      </c>
    </row>
    <row r="316" spans="1:40" ht="25.5" x14ac:dyDescent="0.2">
      <c r="A316" t="str">
        <f t="shared" si="56"/>
        <v>S</v>
      </c>
      <c r="B316">
        <f t="shared" ca="1" si="57"/>
        <v>3</v>
      </c>
      <c r="C316" t="str">
        <f t="shared" ca="1" si="58"/>
        <v>S</v>
      </c>
      <c r="D316">
        <f t="shared" ca="1" si="59"/>
        <v>0</v>
      </c>
      <c r="E316">
        <f ca="1">IF($C316=1,OFFSET(E316,-1,0)+MAX(1,COUNTIF(QCI!$A$13:$A$24,OFFSET(ORÇAMENTO!E316,-1,0))),OFFSET(E316,-1,0))</f>
        <v>1</v>
      </c>
      <c r="F316">
        <f t="shared" ca="1" si="60"/>
        <v>12</v>
      </c>
      <c r="G316">
        <f t="shared" ca="1" si="61"/>
        <v>3</v>
      </c>
      <c r="H316">
        <f t="shared" ca="1" si="62"/>
        <v>0</v>
      </c>
      <c r="I316">
        <f t="shared" ca="1" si="63"/>
        <v>0</v>
      </c>
      <c r="J316">
        <f t="shared" ca="1" si="86"/>
        <v>0</v>
      </c>
      <c r="K316">
        <f ca="1">IF(OR($C316="S",$C316=0),0,MATCH(OFFSET($D316,0,$C316)+IF($C316&lt;&gt;1,1,COUNTIF(QCI!$A$13:$A$24,ORÇAMENTO!E316)),OFFSET($D316,1,$C316,ROW($C$747)-ROW($C316)),0))</f>
        <v>0</v>
      </c>
      <c r="L316" s="116" t="str">
        <f t="shared" ca="1" si="64"/>
        <v/>
      </c>
      <c r="M316" s="117" t="s">
        <v>199</v>
      </c>
      <c r="N316" s="118" t="str">
        <f t="shared" ca="1" si="65"/>
        <v>Serviço</v>
      </c>
      <c r="O316" s="119" t="str">
        <f t="shared" ca="1" si="66"/>
        <v>-</v>
      </c>
      <c r="P316" s="120" t="s">
        <v>712</v>
      </c>
      <c r="Q316" s="121" t="s">
        <v>936</v>
      </c>
      <c r="R316" s="122" t="str">
        <f ca="1">IF($C316="S",REFERENCIA.Descricao,"(digite a descrição aqui)")</f>
        <v>(abra o arquivo 'Referência 02-2025.xlsm)</v>
      </c>
      <c r="S316" s="123" t="str">
        <f ca="1">REFERENCIA.Unidade</f>
        <v>-</v>
      </c>
      <c r="T316" s="124">
        <f ca="1">OFFSET(CÁLCULO!H$15,ROW($T316)-ROW(T$15),0)</f>
        <v>1</v>
      </c>
      <c r="U316" s="125">
        <f t="shared" ca="1" si="87"/>
        <v>0</v>
      </c>
      <c r="V316" s="126" t="s">
        <v>156</v>
      </c>
      <c r="W316" s="124">
        <f ca="1">IF($C316="S",ROUND(IF(TIPOORCAMENTO="Proposto",ORÇAMENTO.CustoUnitario*(1+$AH316),ORÇAMENTO.PrecoUnitarioLicitado),15-13*$AF$10),0)</f>
        <v>0</v>
      </c>
      <c r="X316" s="127">
        <f ca="1">IF($C316="S",IF(Import.TipoArredondamento&lt;&gt;"TransfereGOV",VTOTAL1,SUM(OFFSET(CÁLCULO!$AA$15,ROW($X316)-ROW($X$15),1):OFFSET(CÁLCULO!$AL$15,ROW($X316)-ROW($X$15),-1))),IF($C316=0,0,ROUND(SomaAgrup,15-13*$AF$11)))</f>
        <v>0</v>
      </c>
      <c r="Y316" s="128" t="s">
        <v>245</v>
      </c>
      <c r="Z316" t="str">
        <f t="shared" ca="1" si="67"/>
        <v/>
      </c>
      <c r="AA316" s="129">
        <f ca="1">IF($C316="S",IF($Z316="CP",$X316,IF($Z316="RA",(($X316)*QCI!$AA$3),0)),SomaAgrup)</f>
        <v>0</v>
      </c>
      <c r="AB316" s="130">
        <f t="shared" ca="1" si="68"/>
        <v>0</v>
      </c>
      <c r="AC316" s="131" t="str">
        <f ca="1">IF($N316="","",IF(ORÇAMENTO.Descricao="","DESCRIÇÃO",IF(AND($C316="S",ORÇAMENTO.Unidade=""),"UNIDADE",IF($X316&lt;0,"VALOR NEGATIVO",IF(OR(AND(TIPOORCAMENTO="Proposto",$AG316&lt;&gt;"",$AG316&gt;0,ORÇAMENTO.CustoUnitario&gt;$AG316),AND(TIPOORCAMENTO="LICITADO",ORÇAMENTO.PrecoUnitarioLicitado&gt;$AN316)),"ACIMA REF.","")))))</f>
        <v/>
      </c>
      <c r="AD316" t="str">
        <f ca="1">IF(C316&lt;=CRONO.NivelExibicao,MAX($AD$15:OFFSET(AD316,-1,0))+IF($C316&lt;&gt;1,1,MAX(1,COUNTIF(QCI!$A$13:$A$24,OFFSET($E316,-1,0)))),"")</f>
        <v/>
      </c>
      <c r="AE316" s="7" t="str">
        <f ca="1">IF(AND($C316="S",ORÇAMENTO.CodBarra&lt;&gt;""),IF(ORÇAMENTO.Fonte="",ORÇAMENTO.CodBarra,CONCATENATE(ORÇAMENTO.Fonte," ",ORÇAMENTO.CodBarra)))</f>
        <v>Composição FNDE 471</v>
      </c>
      <c r="AF316" s="13" t="str">
        <f ca="1">IF(ISERROR(INDIRECT(ORÇAMENTO.BancoRef)),"(abra o arquivo 'Referência "&amp;Excel_BuiltIn_Database&amp;".xlsm)",IF(OR($C316&lt;&gt;"S",ORÇAMENTO.CodBarra=""),"(Sem Código)",IF(ISERROR(MATCH($AE316,INDIRECT(ORÇAMENTO.BancoRef),0)),"(Código não identificado nas referências)",MATCH($AE316,INDIRECT(ORÇAMENTO.BancoRef),0))))</f>
        <v>(abra o arquivo 'Referência 02-2025.xlsm)</v>
      </c>
      <c r="AG316" s="498">
        <f ca="1">ROUND(IF(DESONERACAO="sim",REFERENCIA.Desonerado,REFERENCIA.NaoDesonerado),2)</f>
        <v>0</v>
      </c>
      <c r="AH316" s="499">
        <f t="shared" ca="1" si="69"/>
        <v>0.22470000000000001</v>
      </c>
      <c r="AJ316" s="501">
        <v>1</v>
      </c>
      <c r="AL316" s="527"/>
      <c r="AM316" s="381">
        <f t="shared" ca="1" si="70"/>
        <v>0</v>
      </c>
      <c r="AN316" s="566">
        <f t="shared" ca="1" si="71"/>
        <v>0</v>
      </c>
    </row>
    <row r="317" spans="1:40" x14ac:dyDescent="0.2">
      <c r="A317">
        <f t="shared" si="56"/>
        <v>2</v>
      </c>
      <c r="B317">
        <f t="shared" ca="1" si="57"/>
        <v>2</v>
      </c>
      <c r="C317">
        <f t="shared" ca="1" si="58"/>
        <v>2</v>
      </c>
      <c r="D317">
        <f t="shared" ca="1" si="59"/>
        <v>23</v>
      </c>
      <c r="E317">
        <f ca="1">IF($C317=1,OFFSET(E317,-1,0)+MAX(1,COUNTIF(QCI!$A$13:$A$24,OFFSET(ORÇAMENTO!E317,-1,0))),OFFSET(E317,-1,0))</f>
        <v>1</v>
      </c>
      <c r="F317">
        <f t="shared" ca="1" si="60"/>
        <v>13</v>
      </c>
      <c r="G317">
        <f t="shared" ca="1" si="61"/>
        <v>0</v>
      </c>
      <c r="H317">
        <f t="shared" ca="1" si="62"/>
        <v>0</v>
      </c>
      <c r="I317">
        <f t="shared" ca="1" si="63"/>
        <v>0</v>
      </c>
      <c r="J317">
        <f t="shared" ca="1" si="86"/>
        <v>430</v>
      </c>
      <c r="K317">
        <f ca="1">IF(OR($C317="S",$C317=0),0,MATCH(OFFSET($D317,0,$C317)+IF($C317&lt;&gt;1,1,COUNTIF(QCI!$A$13:$A$24,ORÇAMENTO!E317)),OFFSET($D317,1,$C317,ROW($C$747)-ROW($C317)),0))</f>
        <v>23</v>
      </c>
      <c r="L317" s="116" t="str">
        <f t="shared" ca="1" si="64"/>
        <v>F</v>
      </c>
      <c r="M317" s="117" t="s">
        <v>196</v>
      </c>
      <c r="N317" s="118" t="str">
        <f t="shared" ca="1" si="65"/>
        <v>Nível 2</v>
      </c>
      <c r="O317" s="119" t="str">
        <f t="shared" ca="1" si="66"/>
        <v>1.13.</v>
      </c>
      <c r="P317" s="120" t="s">
        <v>247</v>
      </c>
      <c r="Q317" s="121"/>
      <c r="R317" s="122" t="str">
        <f ca="1">IF($C317="S",REFERENCIA.Descricao,"DRENAGEM DE ÁGUAS PLUVIAIS")</f>
        <v>DRENAGEM DE ÁGUAS PLUVIAIS</v>
      </c>
      <c r="S317" s="123" t="str">
        <f ca="1">REFERENCIA.Unidade</f>
        <v>-</v>
      </c>
      <c r="T317" s="124">
        <f ca="1">OFFSET(CÁLCULO!H$15,ROW($T317)-ROW(T$15),0)</f>
        <v>0</v>
      </c>
      <c r="U317" s="125">
        <f t="shared" ca="1" si="87"/>
        <v>0</v>
      </c>
      <c r="V317" s="126" t="s">
        <v>156</v>
      </c>
      <c r="W317" s="124">
        <f ca="1">IF($C317="S",ROUND(IF(TIPOORCAMENTO="Proposto",ORÇAMENTO.CustoUnitario*(1+$AH317),ORÇAMENTO.PrecoUnitarioLicitado),15-13*$AF$10),0)</f>
        <v>0</v>
      </c>
      <c r="X317" s="127">
        <f ca="1">IF($C317="S",IF(Import.TipoArredondamento&lt;&gt;"TransfereGOV",VTOTAL1,SUM(OFFSET(CÁLCULO!$AA$15,ROW($X317)-ROW($X$15),1):OFFSET(CÁLCULO!$AL$15,ROW($X317)-ROW($X$15),-1))),IF($C317=0,0,ROUND(SomaAgrup,15-13*$AF$11)))</f>
        <v>0</v>
      </c>
      <c r="Y317" s="128" t="s">
        <v>245</v>
      </c>
      <c r="Z317" t="str">
        <f t="shared" ca="1" si="67"/>
        <v/>
      </c>
      <c r="AA317" s="129">
        <f ca="1">IF($C317="S",IF($Z317="CP",$X317,IF($Z317="RA",(($X317)*QCI!$AA$3),0)),SomaAgrup)</f>
        <v>0</v>
      </c>
      <c r="AB317" s="130">
        <f t="shared" ca="1" si="68"/>
        <v>0</v>
      </c>
      <c r="AC317" s="131" t="str">
        <f ca="1">IF($N317="","",IF(ORÇAMENTO.Descricao="","DESCRIÇÃO",IF(AND($C317="S",ORÇAMENTO.Unidade=""),"UNIDADE",IF($X317&lt;0,"VALOR NEGATIVO",IF(OR(AND(TIPOORCAMENTO="Proposto",$AG317&lt;&gt;"",$AG317&gt;0,ORÇAMENTO.CustoUnitario&gt;$AG317),AND(TIPOORCAMENTO="LICITADO",ORÇAMENTO.PrecoUnitarioLicitado&gt;$AN317)),"ACIMA REF.","")))))</f>
        <v/>
      </c>
      <c r="AD317">
        <f ca="1">IF(C317&lt;=CRONO.NivelExibicao,MAX($AD$15:OFFSET(AD317,-1,0))+IF($C317&lt;&gt;1,1,MAX(1,COUNTIF(QCI!$A$13:$A$24,OFFSET($E317,-1,0)))),"")</f>
        <v>14</v>
      </c>
      <c r="AE317" s="7" t="b">
        <f ca="1">IF(AND($C317="S",ORÇAMENTO.CodBarra&lt;&gt;""),IF(ORÇAMENTO.Fonte="",ORÇAMENTO.CodBarra,CONCATENATE(ORÇAMENTO.Fonte," ",ORÇAMENTO.CodBarra)))</f>
        <v>0</v>
      </c>
      <c r="AF317" s="13" t="str">
        <f ca="1">IF(ISERROR(INDIRECT(ORÇAMENTO.BancoRef)),"(abra o arquivo 'Referência "&amp;Excel_BuiltIn_Database&amp;".xlsm)",IF(OR($C317&lt;&gt;"S",ORÇAMENTO.CodBarra=""),"(Sem Código)",IF(ISERROR(MATCH($AE317,INDIRECT(ORÇAMENTO.BancoRef),0)),"(Código não identificado nas referências)",MATCH($AE317,INDIRECT(ORÇAMENTO.BancoRef),0))))</f>
        <v>(abra o arquivo 'Referência 02-2025.xlsm)</v>
      </c>
      <c r="AG317" s="498">
        <f ca="1">ROUND(IF(DESONERACAO="sim",REFERENCIA.Desonerado,REFERENCIA.NaoDesonerado),2)</f>
        <v>0</v>
      </c>
      <c r="AH317" s="499">
        <f t="shared" ca="1" si="69"/>
        <v>0.22470000000000001</v>
      </c>
      <c r="AJ317" s="501"/>
      <c r="AL317" s="527"/>
      <c r="AM317" s="381">
        <f t="shared" ca="1" si="70"/>
        <v>0</v>
      </c>
      <c r="AN317" s="566">
        <f t="shared" ca="1" si="71"/>
        <v>0</v>
      </c>
    </row>
    <row r="318" spans="1:40" x14ac:dyDescent="0.2">
      <c r="A318">
        <f t="shared" si="56"/>
        <v>3</v>
      </c>
      <c r="B318">
        <f t="shared" ca="1" si="57"/>
        <v>3</v>
      </c>
      <c r="C318">
        <f t="shared" ca="1" si="58"/>
        <v>3</v>
      </c>
      <c r="D318">
        <f t="shared" ca="1" si="59"/>
        <v>16</v>
      </c>
      <c r="E318">
        <f ca="1">IF($C318=1,OFFSET(E318,-1,0)+MAX(1,COUNTIF(QCI!$A$13:$A$24,OFFSET(ORÇAMENTO!E318,-1,0))),OFFSET(E318,-1,0))</f>
        <v>1</v>
      </c>
      <c r="F318">
        <f t="shared" ca="1" si="60"/>
        <v>13</v>
      </c>
      <c r="G318">
        <f t="shared" ca="1" si="61"/>
        <v>1</v>
      </c>
      <c r="H318">
        <f t="shared" ca="1" si="62"/>
        <v>0</v>
      </c>
      <c r="I318">
        <f t="shared" ca="1" si="63"/>
        <v>0</v>
      </c>
      <c r="J318">
        <f t="shared" ca="1" si="86"/>
        <v>22</v>
      </c>
      <c r="K318">
        <f ca="1">IF(OR($C318="S",$C318=0),0,MATCH(OFFSET($D318,0,$C318)+IF($C318&lt;&gt;1,1,COUNTIF(QCI!$A$13:$A$24,ORÇAMENTO!E318)),OFFSET($D318,1,$C318,ROW($C$747)-ROW($C318)),0))</f>
        <v>16</v>
      </c>
      <c r="L318" s="116" t="str">
        <f t="shared" ca="1" si="64"/>
        <v>F</v>
      </c>
      <c r="M318" s="117" t="s">
        <v>197</v>
      </c>
      <c r="N318" s="118" t="str">
        <f t="shared" ca="1" si="65"/>
        <v>Nível 3</v>
      </c>
      <c r="O318" s="119" t="str">
        <f t="shared" ca="1" si="66"/>
        <v>1.13.1.</v>
      </c>
      <c r="P318" s="120" t="s">
        <v>247</v>
      </c>
      <c r="Q318" s="121"/>
      <c r="R318" s="122" t="str">
        <f ca="1">IF($C318="S",REFERENCIA.Descricao,"TUBULAÇÕES E CONEXÕES DE PVC")</f>
        <v>TUBULAÇÕES E CONEXÕES DE PVC</v>
      </c>
      <c r="S318" s="123" t="str">
        <f ca="1">REFERENCIA.Unidade</f>
        <v>-</v>
      </c>
      <c r="T318" s="124">
        <f ca="1">OFFSET(CÁLCULO!H$15,ROW($T318)-ROW(T$15),0)</f>
        <v>0</v>
      </c>
      <c r="U318" s="125">
        <f t="shared" ca="1" si="87"/>
        <v>0</v>
      </c>
      <c r="V318" s="126" t="s">
        <v>156</v>
      </c>
      <c r="W318" s="124">
        <f ca="1">IF($C318="S",ROUND(IF(TIPOORCAMENTO="Proposto",ORÇAMENTO.CustoUnitario*(1+$AH318),ORÇAMENTO.PrecoUnitarioLicitado),15-13*$AF$10),0)</f>
        <v>0</v>
      </c>
      <c r="X318" s="127">
        <f ca="1">IF($C318="S",IF(Import.TipoArredondamento&lt;&gt;"TransfereGOV",VTOTAL1,SUM(OFFSET(CÁLCULO!$AA$15,ROW($X318)-ROW($X$15),1):OFFSET(CÁLCULO!$AL$15,ROW($X318)-ROW($X$15),-1))),IF($C318=0,0,ROUND(SomaAgrup,15-13*$AF$11)))</f>
        <v>0</v>
      </c>
      <c r="Y318" s="128" t="s">
        <v>245</v>
      </c>
      <c r="Z318" t="str">
        <f t="shared" ca="1" si="67"/>
        <v/>
      </c>
      <c r="AA318" s="129">
        <f ca="1">IF($C318="S",IF($Z318="CP",$X318,IF($Z318="RA",(($X318)*QCI!$AA$3),0)),SomaAgrup)</f>
        <v>0</v>
      </c>
      <c r="AB318" s="130">
        <f t="shared" ca="1" si="68"/>
        <v>0</v>
      </c>
      <c r="AC318" s="131" t="str">
        <f ca="1">IF($N318="","",IF(ORÇAMENTO.Descricao="","DESCRIÇÃO",IF(AND($C318="S",ORÇAMENTO.Unidade=""),"UNIDADE",IF($X318&lt;0,"VALOR NEGATIVO",IF(OR(AND(TIPOORCAMENTO="Proposto",$AG318&lt;&gt;"",$AG318&gt;0,ORÇAMENTO.CustoUnitario&gt;$AG318),AND(TIPOORCAMENTO="LICITADO",ORÇAMENTO.PrecoUnitarioLicitado&gt;$AN318)),"ACIMA REF.","")))))</f>
        <v/>
      </c>
      <c r="AD318" t="str">
        <f ca="1">IF(C318&lt;=CRONO.NivelExibicao,MAX($AD$15:OFFSET(AD318,-1,0))+IF($C318&lt;&gt;1,1,MAX(1,COUNTIF(QCI!$A$13:$A$24,OFFSET($E318,-1,0)))),"")</f>
        <v/>
      </c>
      <c r="AE318" s="7" t="b">
        <f ca="1">IF(AND($C318="S",ORÇAMENTO.CodBarra&lt;&gt;""),IF(ORÇAMENTO.Fonte="",ORÇAMENTO.CodBarra,CONCATENATE(ORÇAMENTO.Fonte," ",ORÇAMENTO.CodBarra)))</f>
        <v>0</v>
      </c>
      <c r="AF318" s="13" t="str">
        <f ca="1">IF(ISERROR(INDIRECT(ORÇAMENTO.BancoRef)),"(abra o arquivo 'Referência "&amp;Excel_BuiltIn_Database&amp;".xlsm)",IF(OR($C318&lt;&gt;"S",ORÇAMENTO.CodBarra=""),"(Sem Código)",IF(ISERROR(MATCH($AE318,INDIRECT(ORÇAMENTO.BancoRef),0)),"(Código não identificado nas referências)",MATCH($AE318,INDIRECT(ORÇAMENTO.BancoRef),0))))</f>
        <v>(abra o arquivo 'Referência 02-2025.xlsm)</v>
      </c>
      <c r="AG318" s="498">
        <f ca="1">ROUND(IF(DESONERACAO="sim",REFERENCIA.Desonerado,REFERENCIA.NaoDesonerado),2)</f>
        <v>0</v>
      </c>
      <c r="AH318" s="499">
        <f t="shared" ca="1" si="69"/>
        <v>0.22470000000000001</v>
      </c>
      <c r="AJ318" s="501"/>
      <c r="AL318" s="527"/>
      <c r="AM318" s="381">
        <f t="shared" ca="1" si="70"/>
        <v>0</v>
      </c>
      <c r="AN318" s="566">
        <f t="shared" ca="1" si="71"/>
        <v>0</v>
      </c>
    </row>
    <row r="319" spans="1:40" ht="38.25" x14ac:dyDescent="0.2">
      <c r="A319" t="str">
        <f t="shared" si="56"/>
        <v>S</v>
      </c>
      <c r="B319">
        <f t="shared" ca="1" si="57"/>
        <v>3</v>
      </c>
      <c r="C319" t="str">
        <f t="shared" ca="1" si="58"/>
        <v>S</v>
      </c>
      <c r="D319">
        <f t="shared" ca="1" si="59"/>
        <v>0</v>
      </c>
      <c r="E319">
        <f ca="1">IF($C319=1,OFFSET(E319,-1,0)+MAX(1,COUNTIF(QCI!$A$13:$A$24,OFFSET(ORÇAMENTO!E319,-1,0))),OFFSET(E319,-1,0))</f>
        <v>1</v>
      </c>
      <c r="F319">
        <f t="shared" ca="1" si="60"/>
        <v>13</v>
      </c>
      <c r="G319">
        <f t="shared" ca="1" si="61"/>
        <v>1</v>
      </c>
      <c r="H319">
        <f t="shared" ca="1" si="62"/>
        <v>0</v>
      </c>
      <c r="I319">
        <f t="shared" ca="1" si="63"/>
        <v>0</v>
      </c>
      <c r="J319">
        <f t="shared" ca="1" si="86"/>
        <v>0</v>
      </c>
      <c r="K319">
        <f ca="1">IF(OR($C319="S",$C319=0),0,MATCH(OFFSET($D319,0,$C319)+IF($C319&lt;&gt;1,1,COUNTIF(QCI!$A$13:$A$24,ORÇAMENTO!E319)),OFFSET($D319,1,$C319,ROW($C$747)-ROW($C319)),0))</f>
        <v>0</v>
      </c>
      <c r="L319" s="116" t="str">
        <f t="shared" ca="1" si="64"/>
        <v/>
      </c>
      <c r="M319" s="117" t="s">
        <v>199</v>
      </c>
      <c r="N319" s="118" t="str">
        <f t="shared" ca="1" si="65"/>
        <v>Serviço</v>
      </c>
      <c r="O319" s="119" t="str">
        <f t="shared" ca="1" si="66"/>
        <v>-</v>
      </c>
      <c r="P319" s="120" t="s">
        <v>247</v>
      </c>
      <c r="Q319" s="121" t="s">
        <v>543</v>
      </c>
      <c r="R319" s="122" t="str">
        <f ca="1">IF($C319="S",REFERENCIA.Descricao,"(digite a descrição aqui)")</f>
        <v>(abra o arquivo 'Referência 02-2025.xlsm)</v>
      </c>
      <c r="S319" s="123" t="str">
        <f ca="1">REFERENCIA.Unidade</f>
        <v>-</v>
      </c>
      <c r="T319" s="124">
        <f ca="1">OFFSET(CÁLCULO!H$15,ROW($T319)-ROW(T$15),0)</f>
        <v>163</v>
      </c>
      <c r="U319" s="125">
        <f t="shared" ca="1" si="87"/>
        <v>0</v>
      </c>
      <c r="V319" s="126" t="s">
        <v>156</v>
      </c>
      <c r="W319" s="124">
        <f ca="1">IF($C319="S",ROUND(IF(TIPOORCAMENTO="Proposto",ORÇAMENTO.CustoUnitario*(1+$AH319),ORÇAMENTO.PrecoUnitarioLicitado),15-13*$AF$10),0)</f>
        <v>0</v>
      </c>
      <c r="X319" s="127">
        <f ca="1">IF($C319="S",IF(Import.TipoArredondamento&lt;&gt;"TransfereGOV",VTOTAL1,SUM(OFFSET(CÁLCULO!$AA$15,ROW($X319)-ROW($X$15),1):OFFSET(CÁLCULO!$AL$15,ROW($X319)-ROW($X$15),-1))),IF($C319=0,0,ROUND(SomaAgrup,15-13*$AF$11)))</f>
        <v>0</v>
      </c>
      <c r="Y319" s="128" t="s">
        <v>245</v>
      </c>
      <c r="Z319" t="str">
        <f t="shared" ca="1" si="67"/>
        <v/>
      </c>
      <c r="AA319" s="129">
        <f ca="1">IF($C319="S",IF($Z319="CP",$X319,IF($Z319="RA",(($X319)*QCI!$AA$3),0)),SomaAgrup)</f>
        <v>0</v>
      </c>
      <c r="AB319" s="130">
        <f t="shared" ca="1" si="68"/>
        <v>0</v>
      </c>
      <c r="AC319" s="131" t="str">
        <f ca="1">IF($N319="","",IF(ORÇAMENTO.Descricao="","DESCRIÇÃO",IF(AND($C319="S",ORÇAMENTO.Unidade=""),"UNIDADE",IF($X319&lt;0,"VALOR NEGATIVO",IF(OR(AND(TIPOORCAMENTO="Proposto",$AG319&lt;&gt;"",$AG319&gt;0,ORÇAMENTO.CustoUnitario&gt;$AG319),AND(TIPOORCAMENTO="LICITADO",ORÇAMENTO.PrecoUnitarioLicitado&gt;$AN319)),"ACIMA REF.","")))))</f>
        <v/>
      </c>
      <c r="AD319" t="str">
        <f ca="1">IF(C319&lt;=CRONO.NivelExibicao,MAX($AD$15:OFFSET(AD319,-1,0))+IF($C319&lt;&gt;1,1,MAX(1,COUNTIF(QCI!$A$13:$A$24,OFFSET($E319,-1,0)))),"")</f>
        <v/>
      </c>
      <c r="AE319" s="7" t="str">
        <f ca="1">IF(AND($C319="S",ORÇAMENTO.CodBarra&lt;&gt;""),IF(ORÇAMENTO.Fonte="",ORÇAMENTO.CodBarra,CONCATENATE(ORÇAMENTO.Fonte," ",ORÇAMENTO.CodBarra)))</f>
        <v>SINAPI 89578</v>
      </c>
      <c r="AF319" s="13" t="str">
        <f ca="1">IF(ISERROR(INDIRECT(ORÇAMENTO.BancoRef)),"(abra o arquivo 'Referência "&amp;Excel_BuiltIn_Database&amp;".xlsm)",IF(OR($C319&lt;&gt;"S",ORÇAMENTO.CodBarra=""),"(Sem Código)",IF(ISERROR(MATCH($AE319,INDIRECT(ORÇAMENTO.BancoRef),0)),"(Código não identificado nas referências)",MATCH($AE319,INDIRECT(ORÇAMENTO.BancoRef),0))))</f>
        <v>(abra o arquivo 'Referência 02-2025.xlsm)</v>
      </c>
      <c r="AG319" s="498">
        <f ca="1">ROUND(IF(DESONERACAO="sim",REFERENCIA.Desonerado,REFERENCIA.NaoDesonerado),2)</f>
        <v>0</v>
      </c>
      <c r="AH319" s="499">
        <f t="shared" ca="1" si="69"/>
        <v>0.22470000000000001</v>
      </c>
      <c r="AJ319" s="501">
        <v>163</v>
      </c>
      <c r="AL319" s="527"/>
      <c r="AM319" s="381">
        <f t="shared" ca="1" si="70"/>
        <v>0</v>
      </c>
      <c r="AN319" s="566">
        <f t="shared" ca="1" si="71"/>
        <v>0</v>
      </c>
    </row>
    <row r="320" spans="1:40" ht="38.25" x14ac:dyDescent="0.2">
      <c r="A320" t="str">
        <f t="shared" si="56"/>
        <v>S</v>
      </c>
      <c r="B320">
        <f t="shared" ca="1" si="57"/>
        <v>3</v>
      </c>
      <c r="C320" t="str">
        <f t="shared" ca="1" si="58"/>
        <v>S</v>
      </c>
      <c r="D320">
        <f t="shared" ca="1" si="59"/>
        <v>0</v>
      </c>
      <c r="E320">
        <f ca="1">IF($C320=1,OFFSET(E320,-1,0)+MAX(1,COUNTIF(QCI!$A$13:$A$24,OFFSET(ORÇAMENTO!E320,-1,0))),OFFSET(E320,-1,0))</f>
        <v>1</v>
      </c>
      <c r="F320">
        <f t="shared" ca="1" si="60"/>
        <v>13</v>
      </c>
      <c r="G320">
        <f t="shared" ca="1" si="61"/>
        <v>1</v>
      </c>
      <c r="H320">
        <f t="shared" ca="1" si="62"/>
        <v>0</v>
      </c>
      <c r="I320">
        <f t="shared" ca="1" si="63"/>
        <v>0</v>
      </c>
      <c r="J320">
        <f t="shared" ca="1" si="86"/>
        <v>0</v>
      </c>
      <c r="K320">
        <f ca="1">IF(OR($C320="S",$C320=0),0,MATCH(OFFSET($D320,0,$C320)+IF($C320&lt;&gt;1,1,COUNTIF(QCI!$A$13:$A$24,ORÇAMENTO!E320)),OFFSET($D320,1,$C320,ROW($C$747)-ROW($C320)),0))</f>
        <v>0</v>
      </c>
      <c r="L320" s="116" t="str">
        <f t="shared" ca="1" si="64"/>
        <v/>
      </c>
      <c r="M320" s="117" t="s">
        <v>199</v>
      </c>
      <c r="N320" s="118" t="str">
        <f t="shared" ca="1" si="65"/>
        <v>Serviço</v>
      </c>
      <c r="O320" s="119" t="str">
        <f t="shared" ca="1" si="66"/>
        <v>-</v>
      </c>
      <c r="P320" s="120" t="s">
        <v>247</v>
      </c>
      <c r="Q320" s="121" t="s">
        <v>544</v>
      </c>
      <c r="R320" s="122" t="str">
        <f ca="1">IF($C320="S",REFERENCIA.Descricao,"(digite a descrição aqui)")</f>
        <v>(abra o arquivo 'Referência 02-2025.xlsm)</v>
      </c>
      <c r="S320" s="123" t="str">
        <f ca="1">REFERENCIA.Unidade</f>
        <v>-</v>
      </c>
      <c r="T320" s="124">
        <f ca="1">OFFSET(CÁLCULO!H$15,ROW($T320)-ROW(T$15),0)</f>
        <v>65.7</v>
      </c>
      <c r="U320" s="125">
        <f t="shared" ca="1" si="87"/>
        <v>0</v>
      </c>
      <c r="V320" s="126" t="s">
        <v>156</v>
      </c>
      <c r="W320" s="124">
        <f ca="1">IF($C320="S",ROUND(IF(TIPOORCAMENTO="Proposto",ORÇAMENTO.CustoUnitario*(1+$AH320),ORÇAMENTO.PrecoUnitarioLicitado),15-13*$AF$10),0)</f>
        <v>0</v>
      </c>
      <c r="X320" s="127">
        <f ca="1">IF($C320="S",IF(Import.TipoArredondamento&lt;&gt;"TransfereGOV",VTOTAL1,SUM(OFFSET(CÁLCULO!$AA$15,ROW($X320)-ROW($X$15),1):OFFSET(CÁLCULO!$AL$15,ROW($X320)-ROW($X$15),-1))),IF($C320=0,0,ROUND(SomaAgrup,15-13*$AF$11)))</f>
        <v>0</v>
      </c>
      <c r="Y320" s="128" t="s">
        <v>245</v>
      </c>
      <c r="Z320" t="str">
        <f t="shared" ca="1" si="67"/>
        <v/>
      </c>
      <c r="AA320" s="129">
        <f ca="1">IF($C320="S",IF($Z320="CP",$X320,IF($Z320="RA",(($X320)*QCI!$AA$3),0)),SomaAgrup)</f>
        <v>0</v>
      </c>
      <c r="AB320" s="130">
        <f t="shared" ca="1" si="68"/>
        <v>0</v>
      </c>
      <c r="AC320" s="131" t="str">
        <f ca="1">IF($N320="","",IF(ORÇAMENTO.Descricao="","DESCRIÇÃO",IF(AND($C320="S",ORÇAMENTO.Unidade=""),"UNIDADE",IF($X320&lt;0,"VALOR NEGATIVO",IF(OR(AND(TIPOORCAMENTO="Proposto",$AG320&lt;&gt;"",$AG320&gt;0,ORÇAMENTO.CustoUnitario&gt;$AG320),AND(TIPOORCAMENTO="LICITADO",ORÇAMENTO.PrecoUnitarioLicitado&gt;$AN320)),"ACIMA REF.","")))))</f>
        <v/>
      </c>
      <c r="AD320" t="str">
        <f ca="1">IF(C320&lt;=CRONO.NivelExibicao,MAX($AD$15:OFFSET(AD320,-1,0))+IF($C320&lt;&gt;1,1,MAX(1,COUNTIF(QCI!$A$13:$A$24,OFFSET($E320,-1,0)))),"")</f>
        <v/>
      </c>
      <c r="AE320" s="7" t="str">
        <f ca="1">IF(AND($C320="S",ORÇAMENTO.CodBarra&lt;&gt;""),IF(ORÇAMENTO.Fonte="",ORÇAMENTO.CodBarra,CONCATENATE(ORÇAMENTO.Fonte," ",ORÇAMENTO.CodBarra)))</f>
        <v>SINAPI 89580</v>
      </c>
      <c r="AF320" s="13" t="str">
        <f ca="1">IF(ISERROR(INDIRECT(ORÇAMENTO.BancoRef)),"(abra o arquivo 'Referência "&amp;Excel_BuiltIn_Database&amp;".xlsm)",IF(OR($C320&lt;&gt;"S",ORÇAMENTO.CodBarra=""),"(Sem Código)",IF(ISERROR(MATCH($AE320,INDIRECT(ORÇAMENTO.BancoRef),0)),"(Código não identificado nas referências)",MATCH($AE320,INDIRECT(ORÇAMENTO.BancoRef),0))))</f>
        <v>(abra o arquivo 'Referência 02-2025.xlsm)</v>
      </c>
      <c r="AG320" s="498">
        <f ca="1">ROUND(IF(DESONERACAO="sim",REFERENCIA.Desonerado,REFERENCIA.NaoDesonerado),2)</f>
        <v>0</v>
      </c>
      <c r="AH320" s="499">
        <f t="shared" ca="1" si="69"/>
        <v>0.22470000000000001</v>
      </c>
      <c r="AJ320" s="501">
        <v>65.7</v>
      </c>
      <c r="AL320" s="527"/>
      <c r="AM320" s="381">
        <f t="shared" ca="1" si="70"/>
        <v>0</v>
      </c>
      <c r="AN320" s="566">
        <f t="shared" ca="1" si="71"/>
        <v>0</v>
      </c>
    </row>
    <row r="321" spans="1:40" ht="38.25" x14ac:dyDescent="0.2">
      <c r="A321" t="str">
        <f t="shared" si="56"/>
        <v>S</v>
      </c>
      <c r="B321">
        <f t="shared" ca="1" si="57"/>
        <v>3</v>
      </c>
      <c r="C321" t="str">
        <f t="shared" ca="1" si="58"/>
        <v>S</v>
      </c>
      <c r="D321">
        <f t="shared" ca="1" si="59"/>
        <v>0</v>
      </c>
      <c r="E321">
        <f ca="1">IF($C321=1,OFFSET(E321,-1,0)+MAX(1,COUNTIF(QCI!$A$13:$A$24,OFFSET(ORÇAMENTO!E321,-1,0))),OFFSET(E321,-1,0))</f>
        <v>1</v>
      </c>
      <c r="F321">
        <f t="shared" ca="1" si="60"/>
        <v>13</v>
      </c>
      <c r="G321">
        <f t="shared" ca="1" si="61"/>
        <v>1</v>
      </c>
      <c r="H321">
        <f t="shared" ca="1" si="62"/>
        <v>0</v>
      </c>
      <c r="I321">
        <f t="shared" ca="1" si="63"/>
        <v>0</v>
      </c>
      <c r="J321">
        <f t="shared" ca="1" si="86"/>
        <v>0</v>
      </c>
      <c r="K321">
        <f ca="1">IF(OR($C321="S",$C321=0),0,MATCH(OFFSET($D321,0,$C321)+IF($C321&lt;&gt;1,1,COUNTIF(QCI!$A$13:$A$24,ORÇAMENTO!E321)),OFFSET($D321,1,$C321,ROW($C$747)-ROW($C321)),0))</f>
        <v>0</v>
      </c>
      <c r="L321" s="116" t="str">
        <f t="shared" ca="1" si="64"/>
        <v/>
      </c>
      <c r="M321" s="117" t="s">
        <v>199</v>
      </c>
      <c r="N321" s="118" t="str">
        <f t="shared" ca="1" si="65"/>
        <v>Serviço</v>
      </c>
      <c r="O321" s="119" t="str">
        <f t="shared" ca="1" si="66"/>
        <v>-</v>
      </c>
      <c r="P321" s="120" t="s">
        <v>247</v>
      </c>
      <c r="Q321" s="121" t="s">
        <v>545</v>
      </c>
      <c r="R321" s="122" t="str">
        <f ca="1">IF($C321="S",REFERENCIA.Descricao,"(digite a descrição aqui)")</f>
        <v>(abra o arquivo 'Referência 02-2025.xlsm)</v>
      </c>
      <c r="S321" s="123" t="str">
        <f ca="1">REFERENCIA.Unidade</f>
        <v>-</v>
      </c>
      <c r="T321" s="124">
        <f ca="1">OFFSET(CÁLCULO!H$15,ROW($T321)-ROW(T$15),0)</f>
        <v>39.700000000000003</v>
      </c>
      <c r="U321" s="125">
        <f t="shared" ca="1" si="87"/>
        <v>0</v>
      </c>
      <c r="V321" s="126" t="s">
        <v>156</v>
      </c>
      <c r="W321" s="124">
        <f ca="1">IF($C321="S",ROUND(IF(TIPOORCAMENTO="Proposto",ORÇAMENTO.CustoUnitario*(1+$AH321),ORÇAMENTO.PrecoUnitarioLicitado),15-13*$AF$10),0)</f>
        <v>0</v>
      </c>
      <c r="X321" s="127">
        <f ca="1">IF($C321="S",IF(Import.TipoArredondamento&lt;&gt;"TransfereGOV",VTOTAL1,SUM(OFFSET(CÁLCULO!$AA$15,ROW($X321)-ROW($X$15),1):OFFSET(CÁLCULO!$AL$15,ROW($X321)-ROW($X$15),-1))),IF($C321=0,0,ROUND(SomaAgrup,15-13*$AF$11)))</f>
        <v>0</v>
      </c>
      <c r="Y321" s="128" t="s">
        <v>245</v>
      </c>
      <c r="Z321" t="str">
        <f t="shared" ca="1" si="67"/>
        <v/>
      </c>
      <c r="AA321" s="129">
        <f ca="1">IF($C321="S",IF($Z321="CP",$X321,IF($Z321="RA",(($X321)*QCI!$AA$3),0)),SomaAgrup)</f>
        <v>0</v>
      </c>
      <c r="AB321" s="130">
        <f t="shared" ca="1" si="68"/>
        <v>0</v>
      </c>
      <c r="AC321" s="131" t="str">
        <f ca="1">IF($N321="","",IF(ORÇAMENTO.Descricao="","DESCRIÇÃO",IF(AND($C321="S",ORÇAMENTO.Unidade=""),"UNIDADE",IF($X321&lt;0,"VALOR NEGATIVO",IF(OR(AND(TIPOORCAMENTO="Proposto",$AG321&lt;&gt;"",$AG321&gt;0,ORÇAMENTO.CustoUnitario&gt;$AG321),AND(TIPOORCAMENTO="LICITADO",ORÇAMENTO.PrecoUnitarioLicitado&gt;$AN321)),"ACIMA REF.","")))))</f>
        <v/>
      </c>
      <c r="AD321" t="str">
        <f ca="1">IF(C321&lt;=CRONO.NivelExibicao,MAX($AD$15:OFFSET(AD321,-1,0))+IF($C321&lt;&gt;1,1,MAX(1,COUNTIF(QCI!$A$13:$A$24,OFFSET($E321,-1,0)))),"")</f>
        <v/>
      </c>
      <c r="AE321" s="7" t="str">
        <f ca="1">IF(AND($C321="S",ORÇAMENTO.CodBarra&lt;&gt;""),IF(ORÇAMENTO.Fonte="",ORÇAMENTO.CodBarra,CONCATENATE(ORÇAMENTO.Fonte," ",ORÇAMENTO.CodBarra)))</f>
        <v>SINAPI 90702</v>
      </c>
      <c r="AF321" s="13" t="str">
        <f ca="1">IF(ISERROR(INDIRECT(ORÇAMENTO.BancoRef)),"(abra o arquivo 'Referência "&amp;Excel_BuiltIn_Database&amp;".xlsm)",IF(OR($C321&lt;&gt;"S",ORÇAMENTO.CodBarra=""),"(Sem Código)",IF(ISERROR(MATCH($AE321,INDIRECT(ORÇAMENTO.BancoRef),0)),"(Código não identificado nas referências)",MATCH($AE321,INDIRECT(ORÇAMENTO.BancoRef),0))))</f>
        <v>(abra o arquivo 'Referência 02-2025.xlsm)</v>
      </c>
      <c r="AG321" s="498">
        <f ca="1">ROUND(IF(DESONERACAO="sim",REFERENCIA.Desonerado,REFERENCIA.NaoDesonerado),2)</f>
        <v>0</v>
      </c>
      <c r="AH321" s="499">
        <f t="shared" ca="1" si="69"/>
        <v>0.22470000000000001</v>
      </c>
      <c r="AJ321" s="501">
        <v>39.700000000000003</v>
      </c>
      <c r="AL321" s="527"/>
      <c r="AM321" s="381">
        <f t="shared" ca="1" si="70"/>
        <v>0</v>
      </c>
      <c r="AN321" s="566">
        <f t="shared" ca="1" si="71"/>
        <v>0</v>
      </c>
    </row>
    <row r="322" spans="1:40" ht="38.25" x14ac:dyDescent="0.2">
      <c r="A322" t="str">
        <f t="shared" si="56"/>
        <v>S</v>
      </c>
      <c r="B322">
        <f t="shared" ca="1" si="57"/>
        <v>3</v>
      </c>
      <c r="C322" t="str">
        <f t="shared" ca="1" si="58"/>
        <v>S</v>
      </c>
      <c r="D322">
        <f t="shared" ca="1" si="59"/>
        <v>0</v>
      </c>
      <c r="E322">
        <f ca="1">IF($C322=1,OFFSET(E322,-1,0)+MAX(1,COUNTIF(QCI!$A$13:$A$24,OFFSET(ORÇAMENTO!E322,-1,0))),OFFSET(E322,-1,0))</f>
        <v>1</v>
      </c>
      <c r="F322">
        <f t="shared" ca="1" si="60"/>
        <v>13</v>
      </c>
      <c r="G322">
        <f t="shared" ca="1" si="61"/>
        <v>1</v>
      </c>
      <c r="H322">
        <f t="shared" ca="1" si="62"/>
        <v>0</v>
      </c>
      <c r="I322">
        <f t="shared" ca="1" si="63"/>
        <v>0</v>
      </c>
      <c r="J322">
        <f t="shared" ca="1" si="86"/>
        <v>0</v>
      </c>
      <c r="K322">
        <f ca="1">IF(OR($C322="S",$C322=0),0,MATCH(OFFSET($D322,0,$C322)+IF($C322&lt;&gt;1,1,COUNTIF(QCI!$A$13:$A$24,ORÇAMENTO!E322)),OFFSET($D322,1,$C322,ROW($C$747)-ROW($C322)),0))</f>
        <v>0</v>
      </c>
      <c r="L322" s="116" t="str">
        <f t="shared" ca="1" si="64"/>
        <v/>
      </c>
      <c r="M322" s="117" t="s">
        <v>199</v>
      </c>
      <c r="N322" s="118" t="str">
        <f t="shared" ca="1" si="65"/>
        <v>Serviço</v>
      </c>
      <c r="O322" s="119" t="str">
        <f t="shared" ca="1" si="66"/>
        <v>-</v>
      </c>
      <c r="P322" s="120" t="s">
        <v>247</v>
      </c>
      <c r="Q322" s="121" t="s">
        <v>546</v>
      </c>
      <c r="R322" s="122" t="str">
        <f ca="1">IF($C322="S",REFERENCIA.Descricao,"(digite a descrição aqui)")</f>
        <v>(abra o arquivo 'Referência 02-2025.xlsm)</v>
      </c>
      <c r="S322" s="123" t="str">
        <f ca="1">REFERENCIA.Unidade</f>
        <v>-</v>
      </c>
      <c r="T322" s="124">
        <f ca="1">OFFSET(CÁLCULO!H$15,ROW($T322)-ROW(T$15),0)</f>
        <v>62.8</v>
      </c>
      <c r="U322" s="125">
        <f t="shared" ca="1" si="87"/>
        <v>0</v>
      </c>
      <c r="V322" s="126" t="s">
        <v>156</v>
      </c>
      <c r="W322" s="124">
        <f ca="1">IF($C322="S",ROUND(IF(TIPOORCAMENTO="Proposto",ORÇAMENTO.CustoUnitario*(1+$AH322),ORÇAMENTO.PrecoUnitarioLicitado),15-13*$AF$10),0)</f>
        <v>0</v>
      </c>
      <c r="X322" s="127">
        <f ca="1">IF($C322="S",IF(Import.TipoArredondamento&lt;&gt;"TransfereGOV",VTOTAL1,SUM(OFFSET(CÁLCULO!$AA$15,ROW($X322)-ROW($X$15),1):OFFSET(CÁLCULO!$AL$15,ROW($X322)-ROW($X$15),-1))),IF($C322=0,0,ROUND(SomaAgrup,15-13*$AF$11)))</f>
        <v>0</v>
      </c>
      <c r="Y322" s="128" t="s">
        <v>245</v>
      </c>
      <c r="Z322" t="str">
        <f t="shared" ca="1" si="67"/>
        <v/>
      </c>
      <c r="AA322" s="129">
        <f ca="1">IF($C322="S",IF($Z322="CP",$X322,IF($Z322="RA",(($X322)*QCI!$AA$3),0)),SomaAgrup)</f>
        <v>0</v>
      </c>
      <c r="AB322" s="130">
        <f t="shared" ca="1" si="68"/>
        <v>0</v>
      </c>
      <c r="AC322" s="131" t="str">
        <f ca="1">IF($N322="","",IF(ORÇAMENTO.Descricao="","DESCRIÇÃO",IF(AND($C322="S",ORÇAMENTO.Unidade=""),"UNIDADE",IF($X322&lt;0,"VALOR NEGATIVO",IF(OR(AND(TIPOORCAMENTO="Proposto",$AG322&lt;&gt;"",$AG322&gt;0,ORÇAMENTO.CustoUnitario&gt;$AG322),AND(TIPOORCAMENTO="LICITADO",ORÇAMENTO.PrecoUnitarioLicitado&gt;$AN322)),"ACIMA REF.","")))))</f>
        <v/>
      </c>
      <c r="AD322" t="str">
        <f ca="1">IF(C322&lt;=CRONO.NivelExibicao,MAX($AD$15:OFFSET(AD322,-1,0))+IF($C322&lt;&gt;1,1,MAX(1,COUNTIF(QCI!$A$13:$A$24,OFFSET($E322,-1,0)))),"")</f>
        <v/>
      </c>
      <c r="AE322" s="7" t="str">
        <f ca="1">IF(AND($C322="S",ORÇAMENTO.CodBarra&lt;&gt;""),IF(ORÇAMENTO.Fonte="",ORÇAMENTO.CodBarra,CONCATENATE(ORÇAMENTO.Fonte," ",ORÇAMENTO.CodBarra)))</f>
        <v>SINAPI 90703</v>
      </c>
      <c r="AF322" s="13" t="str">
        <f ca="1">IF(ISERROR(INDIRECT(ORÇAMENTO.BancoRef)),"(abra o arquivo 'Referência "&amp;Excel_BuiltIn_Database&amp;".xlsm)",IF(OR($C322&lt;&gt;"S",ORÇAMENTO.CodBarra=""),"(Sem Código)",IF(ISERROR(MATCH($AE322,INDIRECT(ORÇAMENTO.BancoRef),0)),"(Código não identificado nas referências)",MATCH($AE322,INDIRECT(ORÇAMENTO.BancoRef),0))))</f>
        <v>(abra o arquivo 'Referência 02-2025.xlsm)</v>
      </c>
      <c r="AG322" s="498">
        <f ca="1">ROUND(IF(DESONERACAO="sim",REFERENCIA.Desonerado,REFERENCIA.NaoDesonerado),2)</f>
        <v>0</v>
      </c>
      <c r="AH322" s="499">
        <f t="shared" ca="1" si="69"/>
        <v>0.22470000000000001</v>
      </c>
      <c r="AJ322" s="501">
        <v>62.8</v>
      </c>
      <c r="AL322" s="527"/>
      <c r="AM322" s="381">
        <f t="shared" ca="1" si="70"/>
        <v>0</v>
      </c>
      <c r="AN322" s="566">
        <f t="shared" ca="1" si="71"/>
        <v>0</v>
      </c>
    </row>
    <row r="323" spans="1:40" ht="25.5" x14ac:dyDescent="0.2">
      <c r="A323" t="str">
        <f t="shared" si="56"/>
        <v>S</v>
      </c>
      <c r="B323">
        <f t="shared" ca="1" si="57"/>
        <v>3</v>
      </c>
      <c r="C323" t="str">
        <f t="shared" ca="1" si="58"/>
        <v>S</v>
      </c>
      <c r="D323">
        <f t="shared" ca="1" si="59"/>
        <v>0</v>
      </c>
      <c r="E323">
        <f ca="1">IF($C323=1,OFFSET(E323,-1,0)+MAX(1,COUNTIF(QCI!$A$13:$A$24,OFFSET(ORÇAMENTO!E323,-1,0))),OFFSET(E323,-1,0))</f>
        <v>1</v>
      </c>
      <c r="F323">
        <f t="shared" ca="1" si="60"/>
        <v>13</v>
      </c>
      <c r="G323">
        <f t="shared" ca="1" si="61"/>
        <v>1</v>
      </c>
      <c r="H323">
        <f t="shared" ca="1" si="62"/>
        <v>0</v>
      </c>
      <c r="I323">
        <f t="shared" ca="1" si="63"/>
        <v>0</v>
      </c>
      <c r="J323">
        <f t="shared" ca="1" si="86"/>
        <v>0</v>
      </c>
      <c r="K323">
        <f ca="1">IF(OR($C323="S",$C323=0),0,MATCH(OFFSET($D323,0,$C323)+IF($C323&lt;&gt;1,1,COUNTIF(QCI!$A$13:$A$24,ORÇAMENTO!E323)),OFFSET($D323,1,$C323,ROW($C$747)-ROW($C323)),0))</f>
        <v>0</v>
      </c>
      <c r="L323" s="116" t="str">
        <f t="shared" ca="1" si="64"/>
        <v/>
      </c>
      <c r="M323" s="117" t="s">
        <v>199</v>
      </c>
      <c r="N323" s="118" t="str">
        <f t="shared" ca="1" si="65"/>
        <v>Serviço</v>
      </c>
      <c r="O323" s="119" t="str">
        <f t="shared" ca="1" si="66"/>
        <v>-</v>
      </c>
      <c r="P323" s="120" t="s">
        <v>247</v>
      </c>
      <c r="Q323" s="121" t="s">
        <v>547</v>
      </c>
      <c r="R323" s="122" t="str">
        <f ca="1">IF($C323="S",REFERENCIA.Descricao,"(digite a descrição aqui)")</f>
        <v>(abra o arquivo 'Referência 02-2025.xlsm)</v>
      </c>
      <c r="S323" s="123" t="str">
        <f ca="1">REFERENCIA.Unidade</f>
        <v>-</v>
      </c>
      <c r="T323" s="124">
        <f ca="1">OFFSET(CÁLCULO!H$15,ROW($T323)-ROW(T$15),0)</f>
        <v>32.4</v>
      </c>
      <c r="U323" s="125">
        <f t="shared" ca="1" si="87"/>
        <v>0</v>
      </c>
      <c r="V323" s="126" t="s">
        <v>156</v>
      </c>
      <c r="W323" s="124">
        <f ca="1">IF($C323="S",ROUND(IF(TIPOORCAMENTO="Proposto",ORÇAMENTO.CustoUnitario*(1+$AH323),ORÇAMENTO.PrecoUnitarioLicitado),15-13*$AF$10),0)</f>
        <v>0</v>
      </c>
      <c r="X323" s="127">
        <f ca="1">IF($C323="S",IF(Import.TipoArredondamento&lt;&gt;"TransfereGOV",VTOTAL1,SUM(OFFSET(CÁLCULO!$AA$15,ROW($X323)-ROW($X$15),1):OFFSET(CÁLCULO!$AL$15,ROW($X323)-ROW($X$15),-1))),IF($C323=0,0,ROUND(SomaAgrup,15-13*$AF$11)))</f>
        <v>0</v>
      </c>
      <c r="Y323" s="128" t="s">
        <v>245</v>
      </c>
      <c r="Z323" t="str">
        <f t="shared" ca="1" si="67"/>
        <v/>
      </c>
      <c r="AA323" s="129">
        <f ca="1">IF($C323="S",IF($Z323="CP",$X323,IF($Z323="RA",(($X323)*QCI!$AA$3),0)),SomaAgrup)</f>
        <v>0</v>
      </c>
      <c r="AB323" s="130">
        <f t="shared" ca="1" si="68"/>
        <v>0</v>
      </c>
      <c r="AC323" s="131" t="str">
        <f ca="1">IF($N323="","",IF(ORÇAMENTO.Descricao="","DESCRIÇÃO",IF(AND($C323="S",ORÇAMENTO.Unidade=""),"UNIDADE",IF($X323&lt;0,"VALOR NEGATIVO",IF(OR(AND(TIPOORCAMENTO="Proposto",$AG323&lt;&gt;"",$AG323&gt;0,ORÇAMENTO.CustoUnitario&gt;$AG323),AND(TIPOORCAMENTO="LICITADO",ORÇAMENTO.PrecoUnitarioLicitado&gt;$AN323)),"ACIMA REF.","")))))</f>
        <v/>
      </c>
      <c r="AD323" t="str">
        <f ca="1">IF(C323&lt;=CRONO.NivelExibicao,MAX($AD$15:OFFSET(AD323,-1,0))+IF($C323&lt;&gt;1,1,MAX(1,COUNTIF(QCI!$A$13:$A$24,OFFSET($E323,-1,0)))),"")</f>
        <v/>
      </c>
      <c r="AE323" s="7" t="str">
        <f ca="1">IF(AND($C323="S",ORÇAMENTO.CodBarra&lt;&gt;""),IF(ORÇAMENTO.Fonte="",ORÇAMENTO.CodBarra,CONCATENATE(ORÇAMENTO.Fonte," ",ORÇAMENTO.CodBarra)))</f>
        <v>SINAPI 89509</v>
      </c>
      <c r="AF323" s="13" t="str">
        <f ca="1">IF(ISERROR(INDIRECT(ORÇAMENTO.BancoRef)),"(abra o arquivo 'Referência "&amp;Excel_BuiltIn_Database&amp;".xlsm)",IF(OR($C323&lt;&gt;"S",ORÇAMENTO.CodBarra=""),"(Sem Código)",IF(ISERROR(MATCH($AE323,INDIRECT(ORÇAMENTO.BancoRef),0)),"(Código não identificado nas referências)",MATCH($AE323,INDIRECT(ORÇAMENTO.BancoRef),0))))</f>
        <v>(abra o arquivo 'Referência 02-2025.xlsm)</v>
      </c>
      <c r="AG323" s="498">
        <f ca="1">ROUND(IF(DESONERACAO="sim",REFERENCIA.Desonerado,REFERENCIA.NaoDesonerado),2)</f>
        <v>0</v>
      </c>
      <c r="AH323" s="499">
        <f t="shared" ca="1" si="69"/>
        <v>0.22470000000000001</v>
      </c>
      <c r="AJ323" s="501">
        <v>32.4</v>
      </c>
      <c r="AL323" s="527"/>
      <c r="AM323" s="381">
        <f t="shared" ca="1" si="70"/>
        <v>0</v>
      </c>
      <c r="AN323" s="566">
        <f t="shared" ca="1" si="71"/>
        <v>0</v>
      </c>
    </row>
    <row r="324" spans="1:40" ht="38.25" x14ac:dyDescent="0.2">
      <c r="A324" t="str">
        <f t="shared" si="56"/>
        <v>S</v>
      </c>
      <c r="B324">
        <f t="shared" ca="1" si="57"/>
        <v>3</v>
      </c>
      <c r="C324" t="str">
        <f t="shared" ca="1" si="58"/>
        <v>S</v>
      </c>
      <c r="D324">
        <f t="shared" ca="1" si="59"/>
        <v>0</v>
      </c>
      <c r="E324">
        <f ca="1">IF($C324=1,OFFSET(E324,-1,0)+MAX(1,COUNTIF(QCI!$A$13:$A$24,OFFSET(ORÇAMENTO!E324,-1,0))),OFFSET(E324,-1,0))</f>
        <v>1</v>
      </c>
      <c r="F324">
        <f t="shared" ca="1" si="60"/>
        <v>13</v>
      </c>
      <c r="G324">
        <f t="shared" ca="1" si="61"/>
        <v>1</v>
      </c>
      <c r="H324">
        <f t="shared" ca="1" si="62"/>
        <v>0</v>
      </c>
      <c r="I324">
        <f t="shared" ca="1" si="63"/>
        <v>0</v>
      </c>
      <c r="J324">
        <f t="shared" ca="1" si="86"/>
        <v>0</v>
      </c>
      <c r="K324">
        <f ca="1">IF(OR($C324="S",$C324=0),0,MATCH(OFFSET($D324,0,$C324)+IF($C324&lt;&gt;1,1,COUNTIF(QCI!$A$13:$A$24,ORÇAMENTO!E324)),OFFSET($D324,1,$C324,ROW($C$747)-ROW($C324)),0))</f>
        <v>0</v>
      </c>
      <c r="L324" s="116" t="str">
        <f t="shared" ca="1" si="64"/>
        <v/>
      </c>
      <c r="M324" s="117" t="s">
        <v>199</v>
      </c>
      <c r="N324" s="118" t="str">
        <f t="shared" ca="1" si="65"/>
        <v>Serviço</v>
      </c>
      <c r="O324" s="119" t="str">
        <f t="shared" ca="1" si="66"/>
        <v>-</v>
      </c>
      <c r="P324" s="120" t="s">
        <v>247</v>
      </c>
      <c r="Q324" s="121" t="s">
        <v>548</v>
      </c>
      <c r="R324" s="122" t="str">
        <f ca="1">IF($C324="S",REFERENCIA.Descricao,"(digite a descrição aqui)")</f>
        <v>(abra o arquivo 'Referência 02-2025.xlsm)</v>
      </c>
      <c r="S324" s="123" t="str">
        <f ca="1">REFERENCIA.Unidade</f>
        <v>-</v>
      </c>
      <c r="T324" s="124">
        <f ca="1">OFFSET(CÁLCULO!H$15,ROW($T324)-ROW(T$15),0)</f>
        <v>6</v>
      </c>
      <c r="U324" s="125">
        <f t="shared" ca="1" si="87"/>
        <v>0</v>
      </c>
      <c r="V324" s="126" t="s">
        <v>156</v>
      </c>
      <c r="W324" s="124">
        <f ca="1">IF($C324="S",ROUND(IF(TIPOORCAMENTO="Proposto",ORÇAMENTO.CustoUnitario*(1+$AH324),ORÇAMENTO.PrecoUnitarioLicitado),15-13*$AF$10),0)</f>
        <v>0</v>
      </c>
      <c r="X324" s="127">
        <f ca="1">IF($C324="S",IF(Import.TipoArredondamento&lt;&gt;"TransfereGOV",VTOTAL1,SUM(OFFSET(CÁLCULO!$AA$15,ROW($X324)-ROW($X$15),1):OFFSET(CÁLCULO!$AL$15,ROW($X324)-ROW($X$15),-1))),IF($C324=0,0,ROUND(SomaAgrup,15-13*$AF$11)))</f>
        <v>0</v>
      </c>
      <c r="Y324" s="128" t="s">
        <v>245</v>
      </c>
      <c r="Z324" t="str">
        <f t="shared" ca="1" si="67"/>
        <v/>
      </c>
      <c r="AA324" s="129">
        <f ca="1">IF($C324="S",IF($Z324="CP",$X324,IF($Z324="RA",(($X324)*QCI!$AA$3),0)),SomaAgrup)</f>
        <v>0</v>
      </c>
      <c r="AB324" s="130">
        <f t="shared" ca="1" si="68"/>
        <v>0</v>
      </c>
      <c r="AC324" s="131" t="str">
        <f ca="1">IF($N324="","",IF(ORÇAMENTO.Descricao="","DESCRIÇÃO",IF(AND($C324="S",ORÇAMENTO.Unidade=""),"UNIDADE",IF($X324&lt;0,"VALOR NEGATIVO",IF(OR(AND(TIPOORCAMENTO="Proposto",$AG324&lt;&gt;"",$AG324&gt;0,ORÇAMENTO.CustoUnitario&gt;$AG324),AND(TIPOORCAMENTO="LICITADO",ORÇAMENTO.PrecoUnitarioLicitado&gt;$AN324)),"ACIMA REF.","")))))</f>
        <v/>
      </c>
      <c r="AD324" t="str">
        <f ca="1">IF(C324&lt;=CRONO.NivelExibicao,MAX($AD$15:OFFSET(AD324,-1,0))+IF($C324&lt;&gt;1,1,MAX(1,COUNTIF(QCI!$A$13:$A$24,OFFSET($E324,-1,0)))),"")</f>
        <v/>
      </c>
      <c r="AE324" s="7" t="str">
        <f ca="1">IF(AND($C324="S",ORÇAMENTO.CodBarra&lt;&gt;""),IF(ORÇAMENTO.Fonte="",ORÇAMENTO.CodBarra,CONCATENATE(ORÇAMENTO.Fonte," ",ORÇAMENTO.CodBarra)))</f>
        <v>SINAPI 89571</v>
      </c>
      <c r="AF324" s="13" t="str">
        <f ca="1">IF(ISERROR(INDIRECT(ORÇAMENTO.BancoRef)),"(abra o arquivo 'Referência "&amp;Excel_BuiltIn_Database&amp;".xlsm)",IF(OR($C324&lt;&gt;"S",ORÇAMENTO.CodBarra=""),"(Sem Código)",IF(ISERROR(MATCH($AE324,INDIRECT(ORÇAMENTO.BancoRef),0)),"(Código não identificado nas referências)",MATCH($AE324,INDIRECT(ORÇAMENTO.BancoRef),0))))</f>
        <v>(abra o arquivo 'Referência 02-2025.xlsm)</v>
      </c>
      <c r="AG324" s="498">
        <f ca="1">ROUND(IF(DESONERACAO="sim",REFERENCIA.Desonerado,REFERENCIA.NaoDesonerado),2)</f>
        <v>0</v>
      </c>
      <c r="AH324" s="499">
        <f t="shared" ca="1" si="69"/>
        <v>0.22470000000000001</v>
      </c>
      <c r="AJ324" s="501">
        <v>6</v>
      </c>
      <c r="AL324" s="527"/>
      <c r="AM324" s="381">
        <f t="shared" ca="1" si="70"/>
        <v>0</v>
      </c>
      <c r="AN324" s="566">
        <f t="shared" ca="1" si="71"/>
        <v>0</v>
      </c>
    </row>
    <row r="325" spans="1:40" ht="38.25" x14ac:dyDescent="0.2">
      <c r="A325" t="str">
        <f t="shared" si="56"/>
        <v>S</v>
      </c>
      <c r="B325">
        <f t="shared" ca="1" si="57"/>
        <v>3</v>
      </c>
      <c r="C325" t="str">
        <f t="shared" ca="1" si="58"/>
        <v>S</v>
      </c>
      <c r="D325">
        <f t="shared" ca="1" si="59"/>
        <v>0</v>
      </c>
      <c r="E325">
        <f ca="1">IF($C325=1,OFFSET(E325,-1,0)+MAX(1,COUNTIF(QCI!$A$13:$A$24,OFFSET(ORÇAMENTO!E325,-1,0))),OFFSET(E325,-1,0))</f>
        <v>1</v>
      </c>
      <c r="F325">
        <f t="shared" ca="1" si="60"/>
        <v>13</v>
      </c>
      <c r="G325">
        <f t="shared" ca="1" si="61"/>
        <v>1</v>
      </c>
      <c r="H325">
        <f t="shared" ca="1" si="62"/>
        <v>0</v>
      </c>
      <c r="I325">
        <f t="shared" ca="1" si="63"/>
        <v>0</v>
      </c>
      <c r="J325">
        <f t="shared" ca="1" si="86"/>
        <v>0</v>
      </c>
      <c r="K325">
        <f ca="1">IF(OR($C325="S",$C325=0),0,MATCH(OFFSET($D325,0,$C325)+IF($C325&lt;&gt;1,1,COUNTIF(QCI!$A$13:$A$24,ORÇAMENTO!E325)),OFFSET($D325,1,$C325,ROW($C$747)-ROW($C325)),0))</f>
        <v>0</v>
      </c>
      <c r="L325" s="116" t="str">
        <f t="shared" ca="1" si="64"/>
        <v/>
      </c>
      <c r="M325" s="117" t="s">
        <v>199</v>
      </c>
      <c r="N325" s="118" t="str">
        <f t="shared" ca="1" si="65"/>
        <v>Serviço</v>
      </c>
      <c r="O325" s="119" t="str">
        <f t="shared" ca="1" si="66"/>
        <v>-</v>
      </c>
      <c r="P325" s="120" t="s">
        <v>247</v>
      </c>
      <c r="Q325" s="121" t="s">
        <v>554</v>
      </c>
      <c r="R325" s="122" t="str">
        <f ca="1">IF($C325="S",REFERENCIA.Descricao,"(digite a descrição aqui)")</f>
        <v>(abra o arquivo 'Referência 02-2025.xlsm)</v>
      </c>
      <c r="S325" s="123" t="str">
        <f ca="1">REFERENCIA.Unidade</f>
        <v>-</v>
      </c>
      <c r="T325" s="124">
        <f ca="1">OFFSET(CÁLCULO!H$15,ROW($T325)-ROW(T$15),0)</f>
        <v>6</v>
      </c>
      <c r="U325" s="125">
        <f t="shared" ca="1" si="87"/>
        <v>0</v>
      </c>
      <c r="V325" s="126" t="s">
        <v>156</v>
      </c>
      <c r="W325" s="124">
        <f ca="1">IF($C325="S",ROUND(IF(TIPOORCAMENTO="Proposto",ORÇAMENTO.CustoUnitario*(1+$AH325),ORÇAMENTO.PrecoUnitarioLicitado),15-13*$AF$10),0)</f>
        <v>0</v>
      </c>
      <c r="X325" s="127">
        <f ca="1">IF($C325="S",IF(Import.TipoArredondamento&lt;&gt;"TransfereGOV",VTOTAL1,SUM(OFFSET(CÁLCULO!$AA$15,ROW($X325)-ROW($X$15),1):OFFSET(CÁLCULO!$AL$15,ROW($X325)-ROW($X$15),-1))),IF($C325=0,0,ROUND(SomaAgrup,15-13*$AF$11)))</f>
        <v>0</v>
      </c>
      <c r="Y325" s="128" t="s">
        <v>245</v>
      </c>
      <c r="Z325" t="str">
        <f t="shared" ca="1" si="67"/>
        <v/>
      </c>
      <c r="AA325" s="129">
        <f ca="1">IF($C325="S",IF($Z325="CP",$X325,IF($Z325="RA",(($X325)*QCI!$AA$3),0)),SomaAgrup)</f>
        <v>0</v>
      </c>
      <c r="AB325" s="130">
        <f t="shared" ca="1" si="68"/>
        <v>0</v>
      </c>
      <c r="AC325" s="131" t="str">
        <f ca="1">IF($N325="","",IF(ORÇAMENTO.Descricao="","DESCRIÇÃO",IF(AND($C325="S",ORÇAMENTO.Unidade=""),"UNIDADE",IF($X325&lt;0,"VALOR NEGATIVO",IF(OR(AND(TIPOORCAMENTO="Proposto",$AG325&lt;&gt;"",$AG325&gt;0,ORÇAMENTO.CustoUnitario&gt;$AG325),AND(TIPOORCAMENTO="LICITADO",ORÇAMENTO.PrecoUnitarioLicitado&gt;$AN325)),"ACIMA REF.","")))))</f>
        <v/>
      </c>
      <c r="AD325" t="str">
        <f ca="1">IF(C325&lt;=CRONO.NivelExibicao,MAX($AD$15:OFFSET(AD325,-1,0))+IF($C325&lt;&gt;1,1,MAX(1,COUNTIF(QCI!$A$13:$A$24,OFFSET($E325,-1,0)))),"")</f>
        <v/>
      </c>
      <c r="AE325" s="7" t="str">
        <f ca="1">IF(AND($C325="S",ORÇAMENTO.CodBarra&lt;&gt;""),IF(ORÇAMENTO.Fonte="",ORÇAMENTO.CodBarra,CONCATENATE(ORÇAMENTO.Fonte," ",ORÇAMENTO.CodBarra)))</f>
        <v>SINAPI 104178</v>
      </c>
      <c r="AF325" s="13" t="str">
        <f ca="1">IF(ISERROR(INDIRECT(ORÇAMENTO.BancoRef)),"(abra o arquivo 'Referência "&amp;Excel_BuiltIn_Database&amp;".xlsm)",IF(OR($C325&lt;&gt;"S",ORÇAMENTO.CodBarra=""),"(Sem Código)",IF(ISERROR(MATCH($AE325,INDIRECT(ORÇAMENTO.BancoRef),0)),"(Código não identificado nas referências)",MATCH($AE325,INDIRECT(ORÇAMENTO.BancoRef),0))))</f>
        <v>(abra o arquivo 'Referência 02-2025.xlsm)</v>
      </c>
      <c r="AG325" s="498">
        <f ca="1">ROUND(IF(DESONERACAO="sim",REFERENCIA.Desonerado,REFERENCIA.NaoDesonerado),2)</f>
        <v>0</v>
      </c>
      <c r="AH325" s="499">
        <f t="shared" ca="1" si="69"/>
        <v>0.22470000000000001</v>
      </c>
      <c r="AJ325" s="501">
        <v>6</v>
      </c>
      <c r="AL325" s="527"/>
      <c r="AM325" s="381">
        <f t="shared" ca="1" si="70"/>
        <v>0</v>
      </c>
      <c r="AN325" s="566">
        <f t="shared" ca="1" si="71"/>
        <v>0</v>
      </c>
    </row>
    <row r="326" spans="1:40" ht="38.25" x14ac:dyDescent="0.2">
      <c r="A326" t="str">
        <f t="shared" si="56"/>
        <v>S</v>
      </c>
      <c r="B326">
        <f t="shared" ca="1" si="57"/>
        <v>3</v>
      </c>
      <c r="C326" t="str">
        <f t="shared" ca="1" si="58"/>
        <v>S</v>
      </c>
      <c r="D326">
        <f t="shared" ca="1" si="59"/>
        <v>0</v>
      </c>
      <c r="E326">
        <f ca="1">IF($C326=1,OFFSET(E326,-1,0)+MAX(1,COUNTIF(QCI!$A$13:$A$24,OFFSET(ORÇAMENTO!E326,-1,0))),OFFSET(E326,-1,0))</f>
        <v>1</v>
      </c>
      <c r="F326">
        <f t="shared" ca="1" si="60"/>
        <v>13</v>
      </c>
      <c r="G326">
        <f t="shared" ca="1" si="61"/>
        <v>1</v>
      </c>
      <c r="H326">
        <f t="shared" ca="1" si="62"/>
        <v>0</v>
      </c>
      <c r="I326">
        <f t="shared" ca="1" si="63"/>
        <v>0</v>
      </c>
      <c r="J326">
        <f t="shared" ca="1" si="86"/>
        <v>0</v>
      </c>
      <c r="K326">
        <f ca="1">IF(OR($C326="S",$C326=0),0,MATCH(OFFSET($D326,0,$C326)+IF($C326&lt;&gt;1,1,COUNTIF(QCI!$A$13:$A$24,ORÇAMENTO!E326)),OFFSET($D326,1,$C326,ROW($C$747)-ROW($C326)),0))</f>
        <v>0</v>
      </c>
      <c r="L326" s="116" t="str">
        <f t="shared" ca="1" si="64"/>
        <v/>
      </c>
      <c r="M326" s="117" t="s">
        <v>199</v>
      </c>
      <c r="N326" s="118" t="str">
        <f t="shared" ca="1" si="65"/>
        <v>Serviço</v>
      </c>
      <c r="O326" s="119" t="str">
        <f t="shared" ca="1" si="66"/>
        <v>-</v>
      </c>
      <c r="P326" s="120" t="s">
        <v>712</v>
      </c>
      <c r="Q326" s="121" t="s">
        <v>801</v>
      </c>
      <c r="R326" s="122" t="s">
        <v>1012</v>
      </c>
      <c r="S326" s="123" t="str">
        <f ca="1">REFERENCIA.Unidade</f>
        <v>-</v>
      </c>
      <c r="T326" s="124">
        <f ca="1">OFFSET(CÁLCULO!H$15,ROW($T326)-ROW(T$15),0)</f>
        <v>2</v>
      </c>
      <c r="U326" s="125">
        <f t="shared" ca="1" si="87"/>
        <v>0</v>
      </c>
      <c r="V326" s="126" t="s">
        <v>156</v>
      </c>
      <c r="W326" s="124">
        <f ca="1">IF($C326="S",ROUND(IF(TIPOORCAMENTO="Proposto",ORÇAMENTO.CustoUnitario*(1+$AH326),ORÇAMENTO.PrecoUnitarioLicitado),15-13*$AF$10),0)</f>
        <v>0</v>
      </c>
      <c r="X326" s="127">
        <f ca="1">IF($C326="S",IF(Import.TipoArredondamento&lt;&gt;"TransfereGOV",VTOTAL1,SUM(OFFSET(CÁLCULO!$AA$15,ROW($X326)-ROW($X$15),1):OFFSET(CÁLCULO!$AL$15,ROW($X326)-ROW($X$15),-1))),IF($C326=0,0,ROUND(SomaAgrup,15-13*$AF$11)))</f>
        <v>0</v>
      </c>
      <c r="Y326" s="128" t="s">
        <v>245</v>
      </c>
      <c r="Z326" t="str">
        <f t="shared" ca="1" si="67"/>
        <v/>
      </c>
      <c r="AA326" s="129">
        <f ca="1">IF($C326="S",IF($Z326="CP",$X326,IF($Z326="RA",(($X326)*QCI!$AA$3),0)),SomaAgrup)</f>
        <v>0</v>
      </c>
      <c r="AB326" s="130">
        <f t="shared" ca="1" si="68"/>
        <v>0</v>
      </c>
      <c r="AC326" s="131" t="str">
        <f ca="1">IF($N326="","",IF(ORÇAMENTO.Descricao="","DESCRIÇÃO",IF(AND($C326="S",ORÇAMENTO.Unidade=""),"UNIDADE",IF($X326&lt;0,"VALOR NEGATIVO",IF(OR(AND(TIPOORCAMENTO="Proposto",$AG326&lt;&gt;"",$AG326&gt;0,ORÇAMENTO.CustoUnitario&gt;$AG326),AND(TIPOORCAMENTO="LICITADO",ORÇAMENTO.PrecoUnitarioLicitado&gt;$AN326)),"ACIMA REF.","")))))</f>
        <v/>
      </c>
      <c r="AD326" t="str">
        <f ca="1">IF(C326&lt;=CRONO.NivelExibicao,MAX($AD$15:OFFSET(AD326,-1,0))+IF($C326&lt;&gt;1,1,MAX(1,COUNTIF(QCI!$A$13:$A$24,OFFSET($E326,-1,0)))),"")</f>
        <v/>
      </c>
      <c r="AE326" s="7" t="str">
        <f ca="1">IF(AND($C326="S",ORÇAMENTO.CodBarra&lt;&gt;""),IF(ORÇAMENTO.Fonte="",ORÇAMENTO.CodBarra,CONCATENATE(ORÇAMENTO.Fonte," ",ORÇAMENTO.CodBarra)))</f>
        <v>Composição FNDE 30</v>
      </c>
      <c r="AF326" s="13" t="str">
        <f ca="1">IF(ISERROR(INDIRECT(ORÇAMENTO.BancoRef)),"(abra o arquivo 'Referência "&amp;Excel_BuiltIn_Database&amp;".xlsm)",IF(OR($C326&lt;&gt;"S",ORÇAMENTO.CodBarra=""),"(Sem Código)",IF(ISERROR(MATCH($AE326,INDIRECT(ORÇAMENTO.BancoRef),0)),"(Código não identificado nas referências)",MATCH($AE326,INDIRECT(ORÇAMENTO.BancoRef),0))))</f>
        <v>(abra o arquivo 'Referência 02-2025.xlsm)</v>
      </c>
      <c r="AG326" s="498">
        <f ca="1">ROUND(IF(DESONERACAO="sim",REFERENCIA.Desonerado,REFERENCIA.NaoDesonerado),2)</f>
        <v>0</v>
      </c>
      <c r="AH326" s="499">
        <f t="shared" ca="1" si="69"/>
        <v>0.22470000000000001</v>
      </c>
      <c r="AJ326" s="501">
        <v>2</v>
      </c>
      <c r="AL326" s="527"/>
      <c r="AM326" s="381">
        <f t="shared" ca="1" si="70"/>
        <v>0</v>
      </c>
      <c r="AN326" s="566">
        <f t="shared" ca="1" si="71"/>
        <v>0</v>
      </c>
    </row>
    <row r="327" spans="1:40" ht="38.25" x14ac:dyDescent="0.2">
      <c r="A327" t="str">
        <f t="shared" si="56"/>
        <v>S</v>
      </c>
      <c r="B327">
        <f t="shared" ca="1" si="57"/>
        <v>3</v>
      </c>
      <c r="C327" t="str">
        <f t="shared" ca="1" si="58"/>
        <v>S</v>
      </c>
      <c r="D327">
        <f t="shared" ca="1" si="59"/>
        <v>0</v>
      </c>
      <c r="E327">
        <f ca="1">IF($C327=1,OFFSET(E327,-1,0)+MAX(1,COUNTIF(QCI!$A$13:$A$24,OFFSET(ORÇAMENTO!E327,-1,0))),OFFSET(E327,-1,0))</f>
        <v>1</v>
      </c>
      <c r="F327">
        <f t="shared" ca="1" si="60"/>
        <v>13</v>
      </c>
      <c r="G327">
        <f t="shared" ca="1" si="61"/>
        <v>1</v>
      </c>
      <c r="H327">
        <f t="shared" ca="1" si="62"/>
        <v>0</v>
      </c>
      <c r="I327">
        <f t="shared" ca="1" si="63"/>
        <v>0</v>
      </c>
      <c r="J327">
        <f t="shared" ca="1" si="86"/>
        <v>0</v>
      </c>
      <c r="K327">
        <f ca="1">IF(OR($C327="S",$C327=0),0,MATCH(OFFSET($D327,0,$C327)+IF($C327&lt;&gt;1,1,COUNTIF(QCI!$A$13:$A$24,ORÇAMENTO!E327)),OFFSET($D327,1,$C327,ROW($C$747)-ROW($C327)),0))</f>
        <v>0</v>
      </c>
      <c r="L327" s="116" t="str">
        <f t="shared" ca="1" si="64"/>
        <v/>
      </c>
      <c r="M327" s="117" t="s">
        <v>199</v>
      </c>
      <c r="N327" s="118" t="str">
        <f t="shared" ca="1" si="65"/>
        <v>Serviço</v>
      </c>
      <c r="O327" s="119" t="str">
        <f t="shared" ca="1" si="66"/>
        <v>-</v>
      </c>
      <c r="P327" s="120" t="s">
        <v>247</v>
      </c>
      <c r="Q327" s="121" t="s">
        <v>549</v>
      </c>
      <c r="R327" s="122" t="str">
        <f ca="1">IF($C327="S",REFERENCIA.Descricao,"(digite a descrição aqui)")</f>
        <v>(abra o arquivo 'Referência 02-2025.xlsm)</v>
      </c>
      <c r="S327" s="123" t="str">
        <f ca="1">REFERENCIA.Unidade</f>
        <v>-</v>
      </c>
      <c r="T327" s="124">
        <f ca="1">OFFSET(CÁLCULO!H$15,ROW($T327)-ROW(T$15),0)</f>
        <v>16</v>
      </c>
      <c r="U327" s="125">
        <f t="shared" ca="1" si="87"/>
        <v>0</v>
      </c>
      <c r="V327" s="126" t="s">
        <v>156</v>
      </c>
      <c r="W327" s="124">
        <f ca="1">IF($C327="S",ROUND(IF(TIPOORCAMENTO="Proposto",ORÇAMENTO.CustoUnitario*(1+$AH327),ORÇAMENTO.PrecoUnitarioLicitado),15-13*$AF$10),0)</f>
        <v>0</v>
      </c>
      <c r="X327" s="127">
        <f ca="1">IF($C327="S",IF(Import.TipoArredondamento&lt;&gt;"TransfereGOV",VTOTAL1,SUM(OFFSET(CÁLCULO!$AA$15,ROW($X327)-ROW($X$15),1):OFFSET(CÁLCULO!$AL$15,ROW($X327)-ROW($X$15),-1))),IF($C327=0,0,ROUND(SomaAgrup,15-13*$AF$11)))</f>
        <v>0</v>
      </c>
      <c r="Y327" s="128" t="s">
        <v>245</v>
      </c>
      <c r="Z327" t="str">
        <f t="shared" ca="1" si="67"/>
        <v/>
      </c>
      <c r="AA327" s="129">
        <f ca="1">IF($C327="S",IF($Z327="CP",$X327,IF($Z327="RA",(($X327)*QCI!$AA$3),0)),SomaAgrup)</f>
        <v>0</v>
      </c>
      <c r="AB327" s="130">
        <f t="shared" ca="1" si="68"/>
        <v>0</v>
      </c>
      <c r="AC327" s="131" t="str">
        <f ca="1">IF($N327="","",IF(ORÇAMENTO.Descricao="","DESCRIÇÃO",IF(AND($C327="S",ORÇAMENTO.Unidade=""),"UNIDADE",IF($X327&lt;0,"VALOR NEGATIVO",IF(OR(AND(TIPOORCAMENTO="Proposto",$AG327&lt;&gt;"",$AG327&gt;0,ORÇAMENTO.CustoUnitario&gt;$AG327),AND(TIPOORCAMENTO="LICITADO",ORÇAMENTO.PrecoUnitarioLicitado&gt;$AN327)),"ACIMA REF.","")))))</f>
        <v/>
      </c>
      <c r="AD327" t="str">
        <f ca="1">IF(C327&lt;=CRONO.NivelExibicao,MAX($AD$15:OFFSET(AD327,-1,0))+IF($C327&lt;&gt;1,1,MAX(1,COUNTIF(QCI!$A$13:$A$24,OFFSET($E327,-1,0)))),"")</f>
        <v/>
      </c>
      <c r="AE327" s="7" t="str">
        <f ca="1">IF(AND($C327="S",ORÇAMENTO.CodBarra&lt;&gt;""),IF(ORÇAMENTO.Fonte="",ORÇAMENTO.CodBarra,CONCATENATE(ORÇAMENTO.Fonte," ",ORÇAMENTO.CodBarra)))</f>
        <v>SINAPI 89585</v>
      </c>
      <c r="AF327" s="13" t="str">
        <f ca="1">IF(ISERROR(INDIRECT(ORÇAMENTO.BancoRef)),"(abra o arquivo 'Referência "&amp;Excel_BuiltIn_Database&amp;".xlsm)",IF(OR($C327&lt;&gt;"S",ORÇAMENTO.CodBarra=""),"(Sem Código)",IF(ISERROR(MATCH($AE327,INDIRECT(ORÇAMENTO.BancoRef),0)),"(Código não identificado nas referências)",MATCH($AE327,INDIRECT(ORÇAMENTO.BancoRef),0))))</f>
        <v>(abra o arquivo 'Referência 02-2025.xlsm)</v>
      </c>
      <c r="AG327" s="498">
        <f ca="1">ROUND(IF(DESONERACAO="sim",REFERENCIA.Desonerado,REFERENCIA.NaoDesonerado),2)</f>
        <v>0</v>
      </c>
      <c r="AH327" s="499">
        <f t="shared" ca="1" si="69"/>
        <v>0.22470000000000001</v>
      </c>
      <c r="AJ327" s="501">
        <v>16</v>
      </c>
      <c r="AL327" s="527"/>
      <c r="AM327" s="381">
        <f t="shared" ca="1" si="70"/>
        <v>0</v>
      </c>
      <c r="AN327" s="566">
        <f t="shared" ca="1" si="71"/>
        <v>0</v>
      </c>
    </row>
    <row r="328" spans="1:40" ht="38.25" x14ac:dyDescent="0.2">
      <c r="A328" t="str">
        <f t="shared" si="56"/>
        <v>S</v>
      </c>
      <c r="B328">
        <f t="shared" ca="1" si="57"/>
        <v>3</v>
      </c>
      <c r="C328" t="str">
        <f t="shared" ca="1" si="58"/>
        <v>S</v>
      </c>
      <c r="D328">
        <f t="shared" ca="1" si="59"/>
        <v>0</v>
      </c>
      <c r="E328">
        <f ca="1">IF($C328=1,OFFSET(E328,-1,0)+MAX(1,COUNTIF(QCI!$A$13:$A$24,OFFSET(ORÇAMENTO!E328,-1,0))),OFFSET(E328,-1,0))</f>
        <v>1</v>
      </c>
      <c r="F328">
        <f t="shared" ca="1" si="60"/>
        <v>13</v>
      </c>
      <c r="G328">
        <f t="shared" ca="1" si="61"/>
        <v>1</v>
      </c>
      <c r="H328">
        <f t="shared" ca="1" si="62"/>
        <v>0</v>
      </c>
      <c r="I328">
        <f t="shared" ca="1" si="63"/>
        <v>0</v>
      </c>
      <c r="J328">
        <f t="shared" ca="1" si="86"/>
        <v>0</v>
      </c>
      <c r="K328">
        <f ca="1">IF(OR($C328="S",$C328=0),0,MATCH(OFFSET($D328,0,$C328)+IF($C328&lt;&gt;1,1,COUNTIF(QCI!$A$13:$A$24,ORÇAMENTO!E328)),OFFSET($D328,1,$C328,ROW($C$747)-ROW($C328)),0))</f>
        <v>0</v>
      </c>
      <c r="L328" s="116" t="str">
        <f t="shared" ca="1" si="64"/>
        <v/>
      </c>
      <c r="M328" s="117" t="s">
        <v>199</v>
      </c>
      <c r="N328" s="118" t="str">
        <f t="shared" ca="1" si="65"/>
        <v>Serviço</v>
      </c>
      <c r="O328" s="119" t="str">
        <f t="shared" ca="1" si="66"/>
        <v>-</v>
      </c>
      <c r="P328" s="120" t="s">
        <v>247</v>
      </c>
      <c r="Q328" s="121" t="s">
        <v>550</v>
      </c>
      <c r="R328" s="122" t="str">
        <f ca="1">IF($C328="S",REFERENCIA.Descricao,"(digite a descrição aqui)")</f>
        <v>(abra o arquivo 'Referência 02-2025.xlsm)</v>
      </c>
      <c r="S328" s="123" t="str">
        <f ca="1">REFERENCIA.Unidade</f>
        <v>-</v>
      </c>
      <c r="T328" s="124">
        <f ca="1">OFFSET(CÁLCULO!H$15,ROW($T328)-ROW(T$15),0)</f>
        <v>2</v>
      </c>
      <c r="U328" s="125">
        <f t="shared" ca="1" si="87"/>
        <v>0</v>
      </c>
      <c r="V328" s="126" t="s">
        <v>156</v>
      </c>
      <c r="W328" s="124">
        <f ca="1">IF($C328="S",ROUND(IF(TIPOORCAMENTO="Proposto",ORÇAMENTO.CustoUnitario*(1+$AH328),ORÇAMENTO.PrecoUnitarioLicitado),15-13*$AF$10),0)</f>
        <v>0</v>
      </c>
      <c r="X328" s="127">
        <f ca="1">IF($C328="S",IF(Import.TipoArredondamento&lt;&gt;"TransfereGOV",VTOTAL1,SUM(OFFSET(CÁLCULO!$AA$15,ROW($X328)-ROW($X$15),1):OFFSET(CÁLCULO!$AL$15,ROW($X328)-ROW($X$15),-1))),IF($C328=0,0,ROUND(SomaAgrup,15-13*$AF$11)))</f>
        <v>0</v>
      </c>
      <c r="Y328" s="128" t="s">
        <v>245</v>
      </c>
      <c r="Z328" t="str">
        <f t="shared" ca="1" si="67"/>
        <v/>
      </c>
      <c r="AA328" s="129">
        <f ca="1">IF($C328="S",IF($Z328="CP",$X328,IF($Z328="RA",(($X328)*QCI!$AA$3),0)),SomaAgrup)</f>
        <v>0</v>
      </c>
      <c r="AB328" s="130">
        <f t="shared" ca="1" si="68"/>
        <v>0</v>
      </c>
      <c r="AC328" s="131" t="str">
        <f ca="1">IF($N328="","",IF(ORÇAMENTO.Descricao="","DESCRIÇÃO",IF(AND($C328="S",ORÇAMENTO.Unidade=""),"UNIDADE",IF($X328&lt;0,"VALOR NEGATIVO",IF(OR(AND(TIPOORCAMENTO="Proposto",$AG328&lt;&gt;"",$AG328&gt;0,ORÇAMENTO.CustoUnitario&gt;$AG328),AND(TIPOORCAMENTO="LICITADO",ORÇAMENTO.PrecoUnitarioLicitado&gt;$AN328)),"ACIMA REF.","")))))</f>
        <v/>
      </c>
      <c r="AD328" t="str">
        <f ca="1">IF(C328&lt;=CRONO.NivelExibicao,MAX($AD$15:OFFSET(AD328,-1,0))+IF($C328&lt;&gt;1,1,MAX(1,COUNTIF(QCI!$A$13:$A$24,OFFSET($E328,-1,0)))),"")</f>
        <v/>
      </c>
      <c r="AE328" s="7" t="str">
        <f ca="1">IF(AND($C328="S",ORÇAMENTO.CodBarra&lt;&gt;""),IF(ORÇAMENTO.Fonte="",ORÇAMENTO.CodBarra,CONCATENATE(ORÇAMENTO.Fonte," ",ORÇAMENTO.CodBarra)))</f>
        <v>SINAPI 89520</v>
      </c>
      <c r="AF328" s="13" t="str">
        <f ca="1">IF(ISERROR(INDIRECT(ORÇAMENTO.BancoRef)),"(abra o arquivo 'Referência "&amp;Excel_BuiltIn_Database&amp;".xlsm)",IF(OR($C328&lt;&gt;"S",ORÇAMENTO.CodBarra=""),"(Sem Código)",IF(ISERROR(MATCH($AE328,INDIRECT(ORÇAMENTO.BancoRef),0)),"(Código não identificado nas referências)",MATCH($AE328,INDIRECT(ORÇAMENTO.BancoRef),0))))</f>
        <v>(abra o arquivo 'Referência 02-2025.xlsm)</v>
      </c>
      <c r="AG328" s="498">
        <f ca="1">ROUND(IF(DESONERACAO="sim",REFERENCIA.Desonerado,REFERENCIA.NaoDesonerado),2)</f>
        <v>0</v>
      </c>
      <c r="AH328" s="499">
        <f t="shared" ca="1" si="69"/>
        <v>0.22470000000000001</v>
      </c>
      <c r="AJ328" s="501">
        <v>2</v>
      </c>
      <c r="AL328" s="527"/>
      <c r="AM328" s="381">
        <f t="shared" ca="1" si="70"/>
        <v>0</v>
      </c>
      <c r="AN328" s="566">
        <f t="shared" ca="1" si="71"/>
        <v>0</v>
      </c>
    </row>
    <row r="329" spans="1:40" ht="38.25" x14ac:dyDescent="0.2">
      <c r="A329" t="str">
        <f t="shared" si="56"/>
        <v>S</v>
      </c>
      <c r="B329">
        <f t="shared" ca="1" si="57"/>
        <v>3</v>
      </c>
      <c r="C329" t="str">
        <f t="shared" ca="1" si="58"/>
        <v>S</v>
      </c>
      <c r="D329">
        <f t="shared" ca="1" si="59"/>
        <v>0</v>
      </c>
      <c r="E329">
        <f ca="1">IF($C329=1,OFFSET(E329,-1,0)+MAX(1,COUNTIF(QCI!$A$13:$A$24,OFFSET(ORÇAMENTO!E329,-1,0))),OFFSET(E329,-1,0))</f>
        <v>1</v>
      </c>
      <c r="F329">
        <f t="shared" ca="1" si="60"/>
        <v>13</v>
      </c>
      <c r="G329">
        <f t="shared" ca="1" si="61"/>
        <v>1</v>
      </c>
      <c r="H329">
        <f t="shared" ca="1" si="62"/>
        <v>0</v>
      </c>
      <c r="I329">
        <f t="shared" ca="1" si="63"/>
        <v>0</v>
      </c>
      <c r="J329">
        <f t="shared" ca="1" si="86"/>
        <v>0</v>
      </c>
      <c r="K329">
        <f ca="1">IF(OR($C329="S",$C329=0),0,MATCH(OFFSET($D329,0,$C329)+IF($C329&lt;&gt;1,1,COUNTIF(QCI!$A$13:$A$24,ORÇAMENTO!E329)),OFFSET($D329,1,$C329,ROW($C$747)-ROW($C329)),0))</f>
        <v>0</v>
      </c>
      <c r="L329" s="116" t="str">
        <f t="shared" ca="1" si="64"/>
        <v/>
      </c>
      <c r="M329" s="117" t="s">
        <v>199</v>
      </c>
      <c r="N329" s="118" t="str">
        <f t="shared" ca="1" si="65"/>
        <v>Serviço</v>
      </c>
      <c r="O329" s="119" t="str">
        <f t="shared" ca="1" si="66"/>
        <v>-</v>
      </c>
      <c r="P329" s="120" t="s">
        <v>247</v>
      </c>
      <c r="Q329" s="121" t="s">
        <v>551</v>
      </c>
      <c r="R329" s="122" t="str">
        <f ca="1">IF($C329="S",REFERENCIA.Descricao,"(digite a descrição aqui)")</f>
        <v>(abra o arquivo 'Referência 02-2025.xlsm)</v>
      </c>
      <c r="S329" s="123" t="str">
        <f ca="1">REFERENCIA.Unidade</f>
        <v>-</v>
      </c>
      <c r="T329" s="124">
        <f ca="1">OFFSET(CÁLCULO!H$15,ROW($T329)-ROW(T$15),0)</f>
        <v>48</v>
      </c>
      <c r="U329" s="125">
        <f t="shared" ca="1" si="87"/>
        <v>0</v>
      </c>
      <c r="V329" s="126" t="s">
        <v>156</v>
      </c>
      <c r="W329" s="124">
        <f ca="1">IF($C329="S",ROUND(IF(TIPOORCAMENTO="Proposto",ORÇAMENTO.CustoUnitario*(1+$AH329),ORÇAMENTO.PrecoUnitarioLicitado),15-13*$AF$10),0)</f>
        <v>0</v>
      </c>
      <c r="X329" s="127">
        <f ca="1">IF($C329="S",IF(Import.TipoArredondamento&lt;&gt;"TransfereGOV",VTOTAL1,SUM(OFFSET(CÁLCULO!$AA$15,ROW($X329)-ROW($X$15),1):OFFSET(CÁLCULO!$AL$15,ROW($X329)-ROW($X$15),-1))),IF($C329=0,0,ROUND(SomaAgrup,15-13*$AF$11)))</f>
        <v>0</v>
      </c>
      <c r="Y329" s="128" t="s">
        <v>245</v>
      </c>
      <c r="Z329" t="str">
        <f t="shared" ca="1" si="67"/>
        <v/>
      </c>
      <c r="AA329" s="129">
        <f ca="1">IF($C329="S",IF($Z329="CP",$X329,IF($Z329="RA",(($X329)*QCI!$AA$3),0)),SomaAgrup)</f>
        <v>0</v>
      </c>
      <c r="AB329" s="130">
        <f t="shared" ca="1" si="68"/>
        <v>0</v>
      </c>
      <c r="AC329" s="131" t="str">
        <f ca="1">IF($N329="","",IF(ORÇAMENTO.Descricao="","DESCRIÇÃO",IF(AND($C329="S",ORÇAMENTO.Unidade=""),"UNIDADE",IF($X329&lt;0,"VALOR NEGATIVO",IF(OR(AND(TIPOORCAMENTO="Proposto",$AG329&lt;&gt;"",$AG329&gt;0,ORÇAMENTO.CustoUnitario&gt;$AG329),AND(TIPOORCAMENTO="LICITADO",ORÇAMENTO.PrecoUnitarioLicitado&gt;$AN329)),"ACIMA REF.","")))))</f>
        <v/>
      </c>
      <c r="AD329" t="str">
        <f ca="1">IF(C329&lt;=CRONO.NivelExibicao,MAX($AD$15:OFFSET(AD329,-1,0))+IF($C329&lt;&gt;1,1,MAX(1,COUNTIF(QCI!$A$13:$A$24,OFFSET($E329,-1,0)))),"")</f>
        <v/>
      </c>
      <c r="AE329" s="7" t="str">
        <f ca="1">IF(AND($C329="S",ORÇAMENTO.CodBarra&lt;&gt;""),IF(ORÇAMENTO.Fonte="",ORÇAMENTO.CodBarra,CONCATENATE(ORÇAMENTO.Fonte," ",ORÇAMENTO.CodBarra)))</f>
        <v>SINAPI 89584</v>
      </c>
      <c r="AF329" s="13" t="str">
        <f ca="1">IF(ISERROR(INDIRECT(ORÇAMENTO.BancoRef)),"(abra o arquivo 'Referência "&amp;Excel_BuiltIn_Database&amp;".xlsm)",IF(OR($C329&lt;&gt;"S",ORÇAMENTO.CodBarra=""),"(Sem Código)",IF(ISERROR(MATCH($AE329,INDIRECT(ORÇAMENTO.BancoRef),0)),"(Código não identificado nas referências)",MATCH($AE329,INDIRECT(ORÇAMENTO.BancoRef),0))))</f>
        <v>(abra o arquivo 'Referência 02-2025.xlsm)</v>
      </c>
      <c r="AG329" s="498">
        <f ca="1">ROUND(IF(DESONERACAO="sim",REFERENCIA.Desonerado,REFERENCIA.NaoDesonerado),2)</f>
        <v>0</v>
      </c>
      <c r="AH329" s="499">
        <f t="shared" ca="1" si="69"/>
        <v>0.22470000000000001</v>
      </c>
      <c r="AJ329" s="501">
        <v>48</v>
      </c>
      <c r="AL329" s="527"/>
      <c r="AM329" s="381">
        <f t="shared" ca="1" si="70"/>
        <v>0</v>
      </c>
      <c r="AN329" s="566">
        <f t="shared" ca="1" si="71"/>
        <v>0</v>
      </c>
    </row>
    <row r="330" spans="1:40" ht="51" x14ac:dyDescent="0.2">
      <c r="A330" t="str">
        <f t="shared" si="56"/>
        <v>S</v>
      </c>
      <c r="B330">
        <f t="shared" ca="1" si="57"/>
        <v>3</v>
      </c>
      <c r="C330" t="str">
        <f t="shared" ca="1" si="58"/>
        <v>S</v>
      </c>
      <c r="D330">
        <f t="shared" ca="1" si="59"/>
        <v>0</v>
      </c>
      <c r="E330">
        <f ca="1">IF($C330=1,OFFSET(E330,-1,0)+MAX(1,COUNTIF(QCI!$A$13:$A$24,OFFSET(ORÇAMENTO!E330,-1,0))),OFFSET(E330,-1,0))</f>
        <v>1</v>
      </c>
      <c r="F330">
        <f t="shared" ca="1" si="60"/>
        <v>13</v>
      </c>
      <c r="G330">
        <f t="shared" ca="1" si="61"/>
        <v>1</v>
      </c>
      <c r="H330">
        <f t="shared" ca="1" si="62"/>
        <v>0</v>
      </c>
      <c r="I330">
        <f t="shared" ca="1" si="63"/>
        <v>0</v>
      </c>
      <c r="J330">
        <f t="shared" ca="1" si="86"/>
        <v>0</v>
      </c>
      <c r="K330">
        <f ca="1">IF(OR($C330="S",$C330=0),0,MATCH(OFFSET($D330,0,$C330)+IF($C330&lt;&gt;1,1,COUNTIF(QCI!$A$13:$A$24,ORÇAMENTO!E330)),OFFSET($D330,1,$C330,ROW($C$747)-ROW($C330)),0))</f>
        <v>0</v>
      </c>
      <c r="L330" s="116" t="str">
        <f t="shared" ca="1" si="64"/>
        <v/>
      </c>
      <c r="M330" s="117" t="s">
        <v>199</v>
      </c>
      <c r="N330" s="118" t="str">
        <f t="shared" ca="1" si="65"/>
        <v>Serviço</v>
      </c>
      <c r="O330" s="119" t="str">
        <f t="shared" ca="1" si="66"/>
        <v>-</v>
      </c>
      <c r="P330" s="120" t="s">
        <v>247</v>
      </c>
      <c r="Q330" s="121" t="s">
        <v>552</v>
      </c>
      <c r="R330" s="122" t="str">
        <f ca="1">IF($C330="S",REFERENCIA.Descricao,"(digite a descrição aqui)")</f>
        <v>(abra o arquivo 'Referência 02-2025.xlsm)</v>
      </c>
      <c r="S330" s="123" t="str">
        <f ca="1">REFERENCIA.Unidade</f>
        <v>-</v>
      </c>
      <c r="T330" s="124">
        <f ca="1">OFFSET(CÁLCULO!H$15,ROW($T330)-ROW(T$15),0)</f>
        <v>1</v>
      </c>
      <c r="U330" s="125">
        <f t="shared" ca="1" si="87"/>
        <v>0</v>
      </c>
      <c r="V330" s="126" t="s">
        <v>156</v>
      </c>
      <c r="W330" s="124">
        <f ca="1">IF($C330="S",ROUND(IF(TIPOORCAMENTO="Proposto",ORÇAMENTO.CustoUnitario*(1+$AH330),ORÇAMENTO.PrecoUnitarioLicitado),15-13*$AF$10),0)</f>
        <v>0</v>
      </c>
      <c r="X330" s="127">
        <f ca="1">IF($C330="S",IF(Import.TipoArredondamento&lt;&gt;"TransfereGOV",VTOTAL1,SUM(OFFSET(CÁLCULO!$AA$15,ROW($X330)-ROW($X$15),1):OFFSET(CÁLCULO!$AL$15,ROW($X330)-ROW($X$15),-1))),IF($C330=0,0,ROUND(SomaAgrup,15-13*$AF$11)))</f>
        <v>0</v>
      </c>
      <c r="Y330" s="128" t="s">
        <v>245</v>
      </c>
      <c r="Z330" t="str">
        <f t="shared" ca="1" si="67"/>
        <v/>
      </c>
      <c r="AA330" s="129">
        <f ca="1">IF($C330="S",IF($Z330="CP",$X330,IF($Z330="RA",(($X330)*QCI!$AA$3),0)),SomaAgrup)</f>
        <v>0</v>
      </c>
      <c r="AB330" s="130">
        <f t="shared" ca="1" si="68"/>
        <v>0</v>
      </c>
      <c r="AC330" s="131" t="str">
        <f ca="1">IF($N330="","",IF(ORÇAMENTO.Descricao="","DESCRIÇÃO",IF(AND($C330="S",ORÇAMENTO.Unidade=""),"UNIDADE",IF($X330&lt;0,"VALOR NEGATIVO",IF(OR(AND(TIPOORCAMENTO="Proposto",$AG330&lt;&gt;"",$AG330&gt;0,ORÇAMENTO.CustoUnitario&gt;$AG330),AND(TIPOORCAMENTO="LICITADO",ORÇAMENTO.PrecoUnitarioLicitado&gt;$AN330)),"ACIMA REF.","")))))</f>
        <v/>
      </c>
      <c r="AD330" t="str">
        <f ca="1">IF(C330&lt;=CRONO.NivelExibicao,MAX($AD$15:OFFSET(AD330,-1,0))+IF($C330&lt;&gt;1,1,MAX(1,COUNTIF(QCI!$A$13:$A$24,OFFSET($E330,-1,0)))),"")</f>
        <v/>
      </c>
      <c r="AE330" s="7" t="str">
        <f ca="1">IF(AND($C330="S",ORÇAMENTO.CodBarra&lt;&gt;""),IF(ORÇAMENTO.Fonte="",ORÇAMENTO.CodBarra,CONCATENATE(ORÇAMENTO.Fonte," ",ORÇAMENTO.CodBarra)))</f>
        <v>SINAPI 104345</v>
      </c>
      <c r="AF330" s="13" t="str">
        <f ca="1">IF(ISERROR(INDIRECT(ORÇAMENTO.BancoRef)),"(abra o arquivo 'Referência "&amp;Excel_BuiltIn_Database&amp;".xlsm)",IF(OR($C330&lt;&gt;"S",ORÇAMENTO.CodBarra=""),"(Sem Código)",IF(ISERROR(MATCH($AE330,INDIRECT(ORÇAMENTO.BancoRef),0)),"(Código não identificado nas referências)",MATCH($AE330,INDIRECT(ORÇAMENTO.BancoRef),0))))</f>
        <v>(abra o arquivo 'Referência 02-2025.xlsm)</v>
      </c>
      <c r="AG330" s="498">
        <f ca="1">ROUND(IF(DESONERACAO="sim",REFERENCIA.Desonerado,REFERENCIA.NaoDesonerado),2)</f>
        <v>0</v>
      </c>
      <c r="AH330" s="499">
        <f t="shared" ca="1" si="69"/>
        <v>0.22470000000000001</v>
      </c>
      <c r="AJ330" s="501">
        <v>1</v>
      </c>
      <c r="AL330" s="527"/>
      <c r="AM330" s="381">
        <f t="shared" ca="1" si="70"/>
        <v>0</v>
      </c>
      <c r="AN330" s="566">
        <f t="shared" ca="1" si="71"/>
        <v>0</v>
      </c>
    </row>
    <row r="331" spans="1:40" ht="38.25" x14ac:dyDescent="0.2">
      <c r="A331" t="str">
        <f t="shared" si="56"/>
        <v>S</v>
      </c>
      <c r="B331">
        <f t="shared" ca="1" si="57"/>
        <v>3</v>
      </c>
      <c r="C331" t="str">
        <f t="shared" ca="1" si="58"/>
        <v>S</v>
      </c>
      <c r="D331">
        <f t="shared" ca="1" si="59"/>
        <v>0</v>
      </c>
      <c r="E331">
        <f ca="1">IF($C331=1,OFFSET(E331,-1,0)+MAX(1,COUNTIF(QCI!$A$13:$A$24,OFFSET(ORÇAMENTO!E331,-1,0))),OFFSET(E331,-1,0))</f>
        <v>1</v>
      </c>
      <c r="F331">
        <f t="shared" ca="1" si="60"/>
        <v>13</v>
      </c>
      <c r="G331">
        <f t="shared" ca="1" si="61"/>
        <v>1</v>
      </c>
      <c r="H331">
        <f t="shared" ca="1" si="62"/>
        <v>0</v>
      </c>
      <c r="I331">
        <f t="shared" ca="1" si="63"/>
        <v>0</v>
      </c>
      <c r="J331">
        <f t="shared" ca="1" si="86"/>
        <v>0</v>
      </c>
      <c r="K331">
        <f ca="1">IF(OR($C331="S",$C331=0),0,MATCH(OFFSET($D331,0,$C331)+IF($C331&lt;&gt;1,1,COUNTIF(QCI!$A$13:$A$24,ORÇAMENTO!E331)),OFFSET($D331,1,$C331,ROW($C$747)-ROW($C331)),0))</f>
        <v>0</v>
      </c>
      <c r="L331" s="116" t="str">
        <f t="shared" ca="1" si="64"/>
        <v/>
      </c>
      <c r="M331" s="117" t="s">
        <v>199</v>
      </c>
      <c r="N331" s="118" t="str">
        <f t="shared" ca="1" si="65"/>
        <v>Serviço</v>
      </c>
      <c r="O331" s="119" t="str">
        <f t="shared" ca="1" si="66"/>
        <v>-</v>
      </c>
      <c r="P331" s="120" t="s">
        <v>712</v>
      </c>
      <c r="Q331" s="121" t="s">
        <v>799</v>
      </c>
      <c r="R331" s="122" t="str">
        <f ca="1">IF($C331="S",REFERENCIA.Descricao,"(digite a descrição aqui)")</f>
        <v>(abra o arquivo 'Referência 02-2025.xlsm)</v>
      </c>
      <c r="S331" s="123" t="str">
        <f ca="1">REFERENCIA.Unidade</f>
        <v>-</v>
      </c>
      <c r="T331" s="124">
        <f ca="1">OFFSET(CÁLCULO!H$15,ROW($T331)-ROW(T$15),0)</f>
        <v>3</v>
      </c>
      <c r="U331" s="125">
        <f t="shared" ca="1" si="87"/>
        <v>0</v>
      </c>
      <c r="V331" s="126" t="s">
        <v>156</v>
      </c>
      <c r="W331" s="124">
        <f ca="1">IF($C331="S",ROUND(IF(TIPOORCAMENTO="Proposto",ORÇAMENTO.CustoUnitario*(1+$AH331),ORÇAMENTO.PrecoUnitarioLicitado),15-13*$AF$10),0)</f>
        <v>0</v>
      </c>
      <c r="X331" s="127">
        <f ca="1">IF($C331="S",IF(Import.TipoArredondamento&lt;&gt;"TransfereGOV",VTOTAL1,SUM(OFFSET(CÁLCULO!$AA$15,ROW($X331)-ROW($X$15),1):OFFSET(CÁLCULO!$AL$15,ROW($X331)-ROW($X$15),-1))),IF($C331=0,0,ROUND(SomaAgrup,15-13*$AF$11)))</f>
        <v>0</v>
      </c>
      <c r="Y331" s="128" t="s">
        <v>245</v>
      </c>
      <c r="Z331" t="str">
        <f t="shared" ca="1" si="67"/>
        <v/>
      </c>
      <c r="AA331" s="129">
        <f ca="1">IF($C331="S",IF($Z331="CP",$X331,IF($Z331="RA",(($X331)*QCI!$AA$3),0)),SomaAgrup)</f>
        <v>0</v>
      </c>
      <c r="AB331" s="130">
        <f t="shared" ca="1" si="68"/>
        <v>0</v>
      </c>
      <c r="AC331" s="131" t="str">
        <f ca="1">IF($N331="","",IF(ORÇAMENTO.Descricao="","DESCRIÇÃO",IF(AND($C331="S",ORÇAMENTO.Unidade=""),"UNIDADE",IF($X331&lt;0,"VALOR NEGATIVO",IF(OR(AND(TIPOORCAMENTO="Proposto",$AG331&lt;&gt;"",$AG331&gt;0,ORÇAMENTO.CustoUnitario&gt;$AG331),AND(TIPOORCAMENTO="LICITADO",ORÇAMENTO.PrecoUnitarioLicitado&gt;$AN331)),"ACIMA REF.","")))))</f>
        <v/>
      </c>
      <c r="AD331" t="str">
        <f ca="1">IF(C331&lt;=CRONO.NivelExibicao,MAX($AD$15:OFFSET(AD331,-1,0))+IF($C331&lt;&gt;1,1,MAX(1,COUNTIF(QCI!$A$13:$A$24,OFFSET($E331,-1,0)))),"")</f>
        <v/>
      </c>
      <c r="AE331" s="7" t="str">
        <f ca="1">IF(AND($C331="S",ORÇAMENTO.CodBarra&lt;&gt;""),IF(ORÇAMENTO.Fonte="",ORÇAMENTO.CodBarra,CONCATENATE(ORÇAMENTO.Fonte," ",ORÇAMENTO.CodBarra)))</f>
        <v>Composição FNDE 416</v>
      </c>
      <c r="AF331" s="13" t="str">
        <f ca="1">IF(ISERROR(INDIRECT(ORÇAMENTO.BancoRef)),"(abra o arquivo 'Referência "&amp;Excel_BuiltIn_Database&amp;".xlsm)",IF(OR($C331&lt;&gt;"S",ORÇAMENTO.CodBarra=""),"(Sem Código)",IF(ISERROR(MATCH($AE331,INDIRECT(ORÇAMENTO.BancoRef),0)),"(Código não identificado nas referências)",MATCH($AE331,INDIRECT(ORÇAMENTO.BancoRef),0))))</f>
        <v>(abra o arquivo 'Referência 02-2025.xlsm)</v>
      </c>
      <c r="AG331" s="498">
        <f ca="1">ROUND(IF(DESONERACAO="sim",REFERENCIA.Desonerado,REFERENCIA.NaoDesonerado),2)</f>
        <v>0</v>
      </c>
      <c r="AH331" s="499">
        <f t="shared" ca="1" si="69"/>
        <v>0.22470000000000001</v>
      </c>
      <c r="AJ331" s="501">
        <v>3</v>
      </c>
      <c r="AL331" s="527"/>
      <c r="AM331" s="381">
        <f t="shared" ca="1" si="70"/>
        <v>0</v>
      </c>
      <c r="AN331" s="566">
        <f t="shared" ca="1" si="71"/>
        <v>0</v>
      </c>
    </row>
    <row r="332" spans="1:40" ht="38.25" x14ac:dyDescent="0.2">
      <c r="A332" t="str">
        <f t="shared" si="56"/>
        <v>S</v>
      </c>
      <c r="B332">
        <f t="shared" ca="1" si="57"/>
        <v>3</v>
      </c>
      <c r="C332" t="str">
        <f t="shared" ca="1" si="58"/>
        <v>S</v>
      </c>
      <c r="D332">
        <f t="shared" ca="1" si="59"/>
        <v>0</v>
      </c>
      <c r="E332">
        <f ca="1">IF($C332=1,OFFSET(E332,-1,0)+MAX(1,COUNTIF(QCI!$A$13:$A$24,OFFSET(ORÇAMENTO!E332,-1,0))),OFFSET(E332,-1,0))</f>
        <v>1</v>
      </c>
      <c r="F332">
        <f t="shared" ca="1" si="60"/>
        <v>13</v>
      </c>
      <c r="G332">
        <f t="shared" ca="1" si="61"/>
        <v>1</v>
      </c>
      <c r="H332">
        <f t="shared" ca="1" si="62"/>
        <v>0</v>
      </c>
      <c r="I332">
        <f t="shared" ca="1" si="63"/>
        <v>0</v>
      </c>
      <c r="J332">
        <f t="shared" ca="1" si="86"/>
        <v>0</v>
      </c>
      <c r="K332">
        <f ca="1">IF(OR($C332="S",$C332=0),0,MATCH(OFFSET($D332,0,$C332)+IF($C332&lt;&gt;1,1,COUNTIF(QCI!$A$13:$A$24,ORÇAMENTO!E332)),OFFSET($D332,1,$C332,ROW($C$747)-ROW($C332)),0))</f>
        <v>0</v>
      </c>
      <c r="L332" s="116" t="str">
        <f t="shared" ca="1" si="64"/>
        <v/>
      </c>
      <c r="M332" s="117" t="s">
        <v>199</v>
      </c>
      <c r="N332" s="118" t="str">
        <f t="shared" ca="1" si="65"/>
        <v>Serviço</v>
      </c>
      <c r="O332" s="119" t="str">
        <f t="shared" ca="1" si="66"/>
        <v>-</v>
      </c>
      <c r="P332" s="120" t="s">
        <v>712</v>
      </c>
      <c r="Q332" s="121" t="s">
        <v>800</v>
      </c>
      <c r="R332" s="122" t="str">
        <f ca="1">IF($C332="S",REFERENCIA.Descricao,"(digite a descrição aqui)")</f>
        <v>(abra o arquivo 'Referência 02-2025.xlsm)</v>
      </c>
      <c r="S332" s="123" t="str">
        <f ca="1">REFERENCIA.Unidade</f>
        <v>-</v>
      </c>
      <c r="T332" s="124">
        <f ca="1">OFFSET(CÁLCULO!H$15,ROW($T332)-ROW(T$15),0)</f>
        <v>2</v>
      </c>
      <c r="U332" s="125">
        <f t="shared" ca="1" si="87"/>
        <v>0</v>
      </c>
      <c r="V332" s="126" t="s">
        <v>156</v>
      </c>
      <c r="W332" s="124">
        <f ca="1">IF($C332="S",ROUND(IF(TIPOORCAMENTO="Proposto",ORÇAMENTO.CustoUnitario*(1+$AH332),ORÇAMENTO.PrecoUnitarioLicitado),15-13*$AF$10),0)</f>
        <v>0</v>
      </c>
      <c r="X332" s="127">
        <f ca="1">IF($C332="S",IF(Import.TipoArredondamento&lt;&gt;"TransfereGOV",VTOTAL1,SUM(OFFSET(CÁLCULO!$AA$15,ROW($X332)-ROW($X$15),1):OFFSET(CÁLCULO!$AL$15,ROW($X332)-ROW($X$15),-1))),IF($C332=0,0,ROUND(SomaAgrup,15-13*$AF$11)))</f>
        <v>0</v>
      </c>
      <c r="Y332" s="128" t="s">
        <v>245</v>
      </c>
      <c r="Z332" t="str">
        <f t="shared" ca="1" si="67"/>
        <v/>
      </c>
      <c r="AA332" s="129">
        <f ca="1">IF($C332="S",IF($Z332="CP",$X332,IF($Z332="RA",(($X332)*QCI!$AA$3),0)),SomaAgrup)</f>
        <v>0</v>
      </c>
      <c r="AB332" s="130">
        <f t="shared" ca="1" si="68"/>
        <v>0</v>
      </c>
      <c r="AC332" s="131" t="str">
        <f ca="1">IF($N332="","",IF(ORÇAMENTO.Descricao="","DESCRIÇÃO",IF(AND($C332="S",ORÇAMENTO.Unidade=""),"UNIDADE",IF($X332&lt;0,"VALOR NEGATIVO",IF(OR(AND(TIPOORCAMENTO="Proposto",$AG332&lt;&gt;"",$AG332&gt;0,ORÇAMENTO.CustoUnitario&gt;$AG332),AND(TIPOORCAMENTO="LICITADO",ORÇAMENTO.PrecoUnitarioLicitado&gt;$AN332)),"ACIMA REF.","")))))</f>
        <v/>
      </c>
      <c r="AD332" t="str">
        <f ca="1">IF(C332&lt;=CRONO.NivelExibicao,MAX($AD$15:OFFSET(AD332,-1,0))+IF($C332&lt;&gt;1,1,MAX(1,COUNTIF(QCI!$A$13:$A$24,OFFSET($E332,-1,0)))),"")</f>
        <v/>
      </c>
      <c r="AE332" s="7" t="str">
        <f ca="1">IF(AND($C332="S",ORÇAMENTO.CodBarra&lt;&gt;""),IF(ORÇAMENTO.Fonte="",ORÇAMENTO.CodBarra,CONCATENATE(ORÇAMENTO.Fonte," ",ORÇAMENTO.CodBarra)))</f>
        <v>Composição FNDE 421</v>
      </c>
      <c r="AF332" s="13" t="str">
        <f ca="1">IF(ISERROR(INDIRECT(ORÇAMENTO.BancoRef)),"(abra o arquivo 'Referência "&amp;Excel_BuiltIn_Database&amp;".xlsm)",IF(OR($C332&lt;&gt;"S",ORÇAMENTO.CodBarra=""),"(Sem Código)",IF(ISERROR(MATCH($AE332,INDIRECT(ORÇAMENTO.BancoRef),0)),"(Código não identificado nas referências)",MATCH($AE332,INDIRECT(ORÇAMENTO.BancoRef),0))))</f>
        <v>(abra o arquivo 'Referência 02-2025.xlsm)</v>
      </c>
      <c r="AG332" s="498">
        <f ca="1">ROUND(IF(DESONERACAO="sim",REFERENCIA.Desonerado,REFERENCIA.NaoDesonerado),2)</f>
        <v>0</v>
      </c>
      <c r="AH332" s="499">
        <f t="shared" ca="1" si="69"/>
        <v>0.22470000000000001</v>
      </c>
      <c r="AJ332" s="501">
        <v>2</v>
      </c>
      <c r="AL332" s="527"/>
      <c r="AM332" s="381">
        <f t="shared" ca="1" si="70"/>
        <v>0</v>
      </c>
      <c r="AN332" s="566">
        <f t="shared" ca="1" si="71"/>
        <v>0</v>
      </c>
    </row>
    <row r="333" spans="1:40" ht="38.25" x14ac:dyDescent="0.2">
      <c r="A333" t="str">
        <f t="shared" si="56"/>
        <v>S</v>
      </c>
      <c r="B333">
        <f t="shared" ca="1" si="57"/>
        <v>3</v>
      </c>
      <c r="C333" t="str">
        <f t="shared" ca="1" si="58"/>
        <v>S</v>
      </c>
      <c r="D333">
        <f t="shared" ca="1" si="59"/>
        <v>0</v>
      </c>
      <c r="E333">
        <f ca="1">IF($C333=1,OFFSET(E333,-1,0)+MAX(1,COUNTIF(QCI!$A$13:$A$24,OFFSET(ORÇAMENTO!E333,-1,0))),OFFSET(E333,-1,0))</f>
        <v>1</v>
      </c>
      <c r="F333">
        <f t="shared" ca="1" si="60"/>
        <v>13</v>
      </c>
      <c r="G333">
        <f t="shared" ca="1" si="61"/>
        <v>1</v>
      </c>
      <c r="H333">
        <f t="shared" ca="1" si="62"/>
        <v>0</v>
      </c>
      <c r="I333">
        <f t="shared" ca="1" si="63"/>
        <v>0</v>
      </c>
      <c r="J333">
        <f t="shared" ca="1" si="86"/>
        <v>0</v>
      </c>
      <c r="K333">
        <f ca="1">IF(OR($C333="S",$C333=0),0,MATCH(OFFSET($D333,0,$C333)+IF($C333&lt;&gt;1,1,COUNTIF(QCI!$A$13:$A$24,ORÇAMENTO!E333)),OFFSET($D333,1,$C333,ROW($C$747)-ROW($C333)),0))</f>
        <v>0</v>
      </c>
      <c r="L333" s="116" t="str">
        <f t="shared" ca="1" si="64"/>
        <v/>
      </c>
      <c r="M333" s="117" t="s">
        <v>199</v>
      </c>
      <c r="N333" s="118" t="str">
        <f t="shared" ca="1" si="65"/>
        <v>Serviço</v>
      </c>
      <c r="O333" s="119" t="str">
        <f t="shared" ca="1" si="66"/>
        <v>-</v>
      </c>
      <c r="P333" s="120" t="s">
        <v>247</v>
      </c>
      <c r="Q333" s="121" t="s">
        <v>553</v>
      </c>
      <c r="R333" s="122" t="str">
        <f ca="1">IF($C333="S",REFERENCIA.Descricao,"(digite a descrição aqui)")</f>
        <v>(abra o arquivo 'Referência 02-2025.xlsm)</v>
      </c>
      <c r="S333" s="123" t="str">
        <f ca="1">REFERENCIA.Unidade</f>
        <v>-</v>
      </c>
      <c r="T333" s="124">
        <f ca="1">OFFSET(CÁLCULO!H$15,ROW($T333)-ROW(T$15),0)</f>
        <v>2</v>
      </c>
      <c r="U333" s="125">
        <f t="shared" ca="1" si="87"/>
        <v>0</v>
      </c>
      <c r="V333" s="126" t="s">
        <v>156</v>
      </c>
      <c r="W333" s="124">
        <f ca="1">IF($C333="S",ROUND(IF(TIPOORCAMENTO="Proposto",ORÇAMENTO.CustoUnitario*(1+$AH333),ORÇAMENTO.PrecoUnitarioLicitado),15-13*$AF$10),0)</f>
        <v>0</v>
      </c>
      <c r="X333" s="127">
        <f ca="1">IF($C333="S",IF(Import.TipoArredondamento&lt;&gt;"TransfereGOV",VTOTAL1,SUM(OFFSET(CÁLCULO!$AA$15,ROW($X333)-ROW($X$15),1):OFFSET(CÁLCULO!$AL$15,ROW($X333)-ROW($X$15),-1))),IF($C333=0,0,ROUND(SomaAgrup,15-13*$AF$11)))</f>
        <v>0</v>
      </c>
      <c r="Y333" s="128" t="s">
        <v>245</v>
      </c>
      <c r="Z333" t="str">
        <f t="shared" ca="1" si="67"/>
        <v/>
      </c>
      <c r="AA333" s="129">
        <f ca="1">IF($C333="S",IF($Z333="CP",$X333,IF($Z333="RA",(($X333)*QCI!$AA$3),0)),SomaAgrup)</f>
        <v>0</v>
      </c>
      <c r="AB333" s="130">
        <f t="shared" ca="1" si="68"/>
        <v>0</v>
      </c>
      <c r="AC333" s="131" t="str">
        <f ca="1">IF($N333="","",IF(ORÇAMENTO.Descricao="","DESCRIÇÃO",IF(AND($C333="S",ORÇAMENTO.Unidade=""),"UNIDADE",IF($X333&lt;0,"VALOR NEGATIVO",IF(OR(AND(TIPOORCAMENTO="Proposto",$AG333&lt;&gt;"",$AG333&gt;0,ORÇAMENTO.CustoUnitario&gt;$AG333),AND(TIPOORCAMENTO="LICITADO",ORÇAMENTO.PrecoUnitarioLicitado&gt;$AN333)),"ACIMA REF.","")))))</f>
        <v/>
      </c>
      <c r="AD333" t="str">
        <f ca="1">IF(C333&lt;=CRONO.NivelExibicao,MAX($AD$15:OFFSET(AD333,-1,0))+IF($C333&lt;&gt;1,1,MAX(1,COUNTIF(QCI!$A$13:$A$24,OFFSET($E333,-1,0)))),"")</f>
        <v/>
      </c>
      <c r="AE333" s="7" t="str">
        <f ca="1">IF(AND($C333="S",ORÇAMENTO.CodBarra&lt;&gt;""),IF(ORÇAMENTO.Fonte="",ORÇAMENTO.CodBarra,CONCATENATE(ORÇAMENTO.Fonte," ",ORÇAMENTO.CodBarra)))</f>
        <v>SINAPI 89549</v>
      </c>
      <c r="AF333" s="13" t="str">
        <f ca="1">IF(ISERROR(INDIRECT(ORÇAMENTO.BancoRef)),"(abra o arquivo 'Referência "&amp;Excel_BuiltIn_Database&amp;".xlsm)",IF(OR($C333&lt;&gt;"S",ORÇAMENTO.CodBarra=""),"(Sem Código)",IF(ISERROR(MATCH($AE333,INDIRECT(ORÇAMENTO.BancoRef),0)),"(Código não identificado nas referências)",MATCH($AE333,INDIRECT(ORÇAMENTO.BancoRef),0))))</f>
        <v>(abra o arquivo 'Referência 02-2025.xlsm)</v>
      </c>
      <c r="AG333" s="498">
        <f ca="1">ROUND(IF(DESONERACAO="sim",REFERENCIA.Desonerado,REFERENCIA.NaoDesonerado),2)</f>
        <v>0</v>
      </c>
      <c r="AH333" s="499">
        <f t="shared" ca="1" si="69"/>
        <v>0.22470000000000001</v>
      </c>
      <c r="AJ333" s="501">
        <v>2</v>
      </c>
      <c r="AL333" s="527"/>
      <c r="AM333" s="381">
        <f t="shared" ca="1" si="70"/>
        <v>0</v>
      </c>
      <c r="AN333" s="566">
        <f t="shared" ca="1" si="71"/>
        <v>0</v>
      </c>
    </row>
    <row r="334" spans="1:40" x14ac:dyDescent="0.2">
      <c r="A334">
        <f t="shared" si="56"/>
        <v>3</v>
      </c>
      <c r="B334">
        <f t="shared" ca="1" si="57"/>
        <v>3</v>
      </c>
      <c r="C334">
        <f t="shared" ca="1" si="58"/>
        <v>3</v>
      </c>
      <c r="D334">
        <f t="shared" ca="1" si="59"/>
        <v>3</v>
      </c>
      <c r="E334">
        <f ca="1">IF($C334=1,OFFSET(E334,-1,0)+MAX(1,COUNTIF(QCI!$A$13:$A$24,OFFSET(ORÇAMENTO!E334,-1,0))),OFFSET(E334,-1,0))</f>
        <v>1</v>
      </c>
      <c r="F334">
        <f t="shared" ca="1" si="60"/>
        <v>13</v>
      </c>
      <c r="G334">
        <f t="shared" ca="1" si="61"/>
        <v>2</v>
      </c>
      <c r="H334">
        <f t="shared" ca="1" si="62"/>
        <v>0</v>
      </c>
      <c r="I334">
        <f t="shared" ca="1" si="63"/>
        <v>0</v>
      </c>
      <c r="J334">
        <f t="shared" ca="1" si="86"/>
        <v>6</v>
      </c>
      <c r="K334">
        <f ca="1">IF(OR($C334="S",$C334=0),0,MATCH(OFFSET($D334,0,$C334)+IF($C334&lt;&gt;1,1,COUNTIF(QCI!$A$13:$A$24,ORÇAMENTO!E334)),OFFSET($D334,1,$C334,ROW($C$747)-ROW($C334)),0))</f>
        <v>3</v>
      </c>
      <c r="L334" s="116" t="str">
        <f t="shared" ca="1" si="64"/>
        <v>F</v>
      </c>
      <c r="M334" s="117" t="s">
        <v>197</v>
      </c>
      <c r="N334" s="118" t="str">
        <f t="shared" ca="1" si="65"/>
        <v>Nível 3</v>
      </c>
      <c r="O334" s="119" t="str">
        <f t="shared" ca="1" si="66"/>
        <v>1.13.2.</v>
      </c>
      <c r="P334" s="120" t="s">
        <v>247</v>
      </c>
      <c r="Q334" s="121"/>
      <c r="R334" s="122" t="str">
        <f ca="1">IF($C334="S",REFERENCIA.Descricao,"ACESSÓRIOS")</f>
        <v>ACESSÓRIOS</v>
      </c>
      <c r="S334" s="123" t="str">
        <f ca="1">REFERENCIA.Unidade</f>
        <v>-</v>
      </c>
      <c r="T334" s="124">
        <f ca="1">OFFSET(CÁLCULO!H$15,ROW($T334)-ROW(T$15),0)</f>
        <v>0</v>
      </c>
      <c r="U334" s="125">
        <f t="shared" ca="1" si="87"/>
        <v>0</v>
      </c>
      <c r="V334" s="126" t="s">
        <v>156</v>
      </c>
      <c r="W334" s="124">
        <f ca="1">IF($C334="S",ROUND(IF(TIPOORCAMENTO="Proposto",ORÇAMENTO.CustoUnitario*(1+$AH334),ORÇAMENTO.PrecoUnitarioLicitado),15-13*$AF$10),0)</f>
        <v>0</v>
      </c>
      <c r="X334" s="127">
        <f ca="1">IF($C334="S",IF(Import.TipoArredondamento&lt;&gt;"TransfereGOV",VTOTAL1,SUM(OFFSET(CÁLCULO!$AA$15,ROW($X334)-ROW($X$15),1):OFFSET(CÁLCULO!$AL$15,ROW($X334)-ROW($X$15),-1))),IF($C334=0,0,ROUND(SomaAgrup,15-13*$AF$11)))</f>
        <v>0</v>
      </c>
      <c r="Y334" s="128" t="s">
        <v>245</v>
      </c>
      <c r="Z334" t="str">
        <f t="shared" ca="1" si="67"/>
        <v/>
      </c>
      <c r="AA334" s="129">
        <f ca="1">IF($C334="S",IF($Z334="CP",$X334,IF($Z334="RA",(($X334)*QCI!$AA$3),0)),SomaAgrup)</f>
        <v>0</v>
      </c>
      <c r="AB334" s="130">
        <f t="shared" ca="1" si="68"/>
        <v>0</v>
      </c>
      <c r="AC334" s="131" t="str">
        <f ca="1">IF($N334="","",IF(ORÇAMENTO.Descricao="","DESCRIÇÃO",IF(AND($C334="S",ORÇAMENTO.Unidade=""),"UNIDADE",IF($X334&lt;0,"VALOR NEGATIVO",IF(OR(AND(TIPOORCAMENTO="Proposto",$AG334&lt;&gt;"",$AG334&gt;0,ORÇAMENTO.CustoUnitario&gt;$AG334),AND(TIPOORCAMENTO="LICITADO",ORÇAMENTO.PrecoUnitarioLicitado&gt;$AN334)),"ACIMA REF.","")))))</f>
        <v/>
      </c>
      <c r="AD334" t="str">
        <f ca="1">IF(C334&lt;=CRONO.NivelExibicao,MAX($AD$15:OFFSET(AD334,-1,0))+IF($C334&lt;&gt;1,1,MAX(1,COUNTIF(QCI!$A$13:$A$24,OFFSET($E334,-1,0)))),"")</f>
        <v/>
      </c>
      <c r="AE334" s="7" t="b">
        <f ca="1">IF(AND($C334="S",ORÇAMENTO.CodBarra&lt;&gt;""),IF(ORÇAMENTO.Fonte="",ORÇAMENTO.CodBarra,CONCATENATE(ORÇAMENTO.Fonte," ",ORÇAMENTO.CodBarra)))</f>
        <v>0</v>
      </c>
      <c r="AF334" s="13" t="str">
        <f ca="1">IF(ISERROR(INDIRECT(ORÇAMENTO.BancoRef)),"(abra o arquivo 'Referência "&amp;Excel_BuiltIn_Database&amp;".xlsm)",IF(OR($C334&lt;&gt;"S",ORÇAMENTO.CodBarra=""),"(Sem Código)",IF(ISERROR(MATCH($AE334,INDIRECT(ORÇAMENTO.BancoRef),0)),"(Código não identificado nas referências)",MATCH($AE334,INDIRECT(ORÇAMENTO.BancoRef),0))))</f>
        <v>(abra o arquivo 'Referência 02-2025.xlsm)</v>
      </c>
      <c r="AG334" s="498">
        <f ca="1">ROUND(IF(DESONERACAO="sim",REFERENCIA.Desonerado,REFERENCIA.NaoDesonerado),2)</f>
        <v>0</v>
      </c>
      <c r="AH334" s="499">
        <f t="shared" ca="1" si="69"/>
        <v>0.22470000000000001</v>
      </c>
      <c r="AJ334" s="501"/>
      <c r="AL334" s="527"/>
      <c r="AM334" s="381">
        <f t="shared" ca="1" si="70"/>
        <v>0</v>
      </c>
      <c r="AN334" s="566">
        <f t="shared" ca="1" si="71"/>
        <v>0</v>
      </c>
    </row>
    <row r="335" spans="1:40" ht="38.25" x14ac:dyDescent="0.2">
      <c r="A335" t="str">
        <f t="shared" si="56"/>
        <v>S</v>
      </c>
      <c r="B335">
        <f t="shared" ca="1" si="57"/>
        <v>3</v>
      </c>
      <c r="C335" t="str">
        <f t="shared" ca="1" si="58"/>
        <v>S</v>
      </c>
      <c r="D335">
        <f t="shared" ca="1" si="59"/>
        <v>0</v>
      </c>
      <c r="E335">
        <f ca="1">IF($C335=1,OFFSET(E335,-1,0)+MAX(1,COUNTIF(QCI!$A$13:$A$24,OFFSET(ORÇAMENTO!E335,-1,0))),OFFSET(E335,-1,0))</f>
        <v>1</v>
      </c>
      <c r="F335">
        <f t="shared" ca="1" si="60"/>
        <v>13</v>
      </c>
      <c r="G335">
        <f t="shared" ca="1" si="61"/>
        <v>2</v>
      </c>
      <c r="H335">
        <f t="shared" ca="1" si="62"/>
        <v>0</v>
      </c>
      <c r="I335">
        <f t="shared" ca="1" si="63"/>
        <v>0</v>
      </c>
      <c r="J335">
        <f t="shared" ca="1" si="86"/>
        <v>0</v>
      </c>
      <c r="K335">
        <f ca="1">IF(OR($C335="S",$C335=0),0,MATCH(OFFSET($D335,0,$C335)+IF($C335&lt;&gt;1,1,COUNTIF(QCI!$A$13:$A$24,ORÇAMENTO!E335)),OFFSET($D335,1,$C335,ROW($C$747)-ROW($C335)),0))</f>
        <v>0</v>
      </c>
      <c r="L335" s="116" t="str">
        <f t="shared" ca="1" si="64"/>
        <v/>
      </c>
      <c r="M335" s="117" t="s">
        <v>199</v>
      </c>
      <c r="N335" s="118" t="str">
        <f t="shared" ca="1" si="65"/>
        <v>Serviço</v>
      </c>
      <c r="O335" s="119" t="str">
        <f t="shared" ca="1" si="66"/>
        <v>-</v>
      </c>
      <c r="P335" s="120" t="s">
        <v>247</v>
      </c>
      <c r="Q335" s="121" t="s">
        <v>555</v>
      </c>
      <c r="R335" s="122" t="str">
        <f ca="1">IF($C335="S",REFERENCIA.Descricao,"(digite a descrição aqui)")</f>
        <v>(abra o arquivo 'Referência 02-2025.xlsm)</v>
      </c>
      <c r="S335" s="123" t="str">
        <f ca="1">REFERENCIA.Unidade</f>
        <v>-</v>
      </c>
      <c r="T335" s="124">
        <f ca="1">OFFSET(CÁLCULO!H$15,ROW($T335)-ROW(T$15),0)</f>
        <v>13</v>
      </c>
      <c r="U335" s="125">
        <f t="shared" ca="1" si="87"/>
        <v>0</v>
      </c>
      <c r="V335" s="126" t="s">
        <v>156</v>
      </c>
      <c r="W335" s="124">
        <f ca="1">IF($C335="S",ROUND(IF(TIPOORCAMENTO="Proposto",ORÇAMENTO.CustoUnitario*(1+$AH335),ORÇAMENTO.PrecoUnitarioLicitado),15-13*$AF$10),0)</f>
        <v>0</v>
      </c>
      <c r="X335" s="127">
        <f ca="1">IF($C335="S",IF(Import.TipoArredondamento&lt;&gt;"TransfereGOV",VTOTAL1,SUM(OFFSET(CÁLCULO!$AA$15,ROW($X335)-ROW($X$15),1):OFFSET(CÁLCULO!$AL$15,ROW($X335)-ROW($X$15),-1))),IF($C335=0,0,ROUND(SomaAgrup,15-13*$AF$11)))</f>
        <v>0</v>
      </c>
      <c r="Y335" s="128" t="s">
        <v>245</v>
      </c>
      <c r="Z335" t="str">
        <f t="shared" ca="1" si="67"/>
        <v/>
      </c>
      <c r="AA335" s="129">
        <f ca="1">IF($C335="S",IF($Z335="CP",$X335,IF($Z335="RA",(($X335)*QCI!$AA$3),0)),SomaAgrup)</f>
        <v>0</v>
      </c>
      <c r="AB335" s="130">
        <f t="shared" ca="1" si="68"/>
        <v>0</v>
      </c>
      <c r="AC335" s="131" t="str">
        <f ca="1">IF($N335="","",IF(ORÇAMENTO.Descricao="","DESCRIÇÃO",IF(AND($C335="S",ORÇAMENTO.Unidade=""),"UNIDADE",IF($X335&lt;0,"VALOR NEGATIVO",IF(OR(AND(TIPOORCAMENTO="Proposto",$AG335&lt;&gt;"",$AG335&gt;0,ORÇAMENTO.CustoUnitario&gt;$AG335),AND(TIPOORCAMENTO="LICITADO",ORÇAMENTO.PrecoUnitarioLicitado&gt;$AN335)),"ACIMA REF.","")))))</f>
        <v/>
      </c>
      <c r="AD335" t="str">
        <f ca="1">IF(C335&lt;=CRONO.NivelExibicao,MAX($AD$15:OFFSET(AD335,-1,0))+IF($C335&lt;&gt;1,1,MAX(1,COUNTIF(QCI!$A$13:$A$24,OFFSET($E335,-1,0)))),"")</f>
        <v/>
      </c>
      <c r="AE335" s="7" t="str">
        <f ca="1">IF(AND($C335="S",ORÇAMENTO.CodBarra&lt;&gt;""),IF(ORÇAMENTO.Fonte="",ORÇAMENTO.CodBarra,CONCATENATE(ORÇAMENTO.Fonte," ",ORÇAMENTO.CodBarra)))</f>
        <v>SINAPI 99253</v>
      </c>
      <c r="AF335" s="13" t="str">
        <f ca="1">IF(ISERROR(INDIRECT(ORÇAMENTO.BancoRef)),"(abra o arquivo 'Referência "&amp;Excel_BuiltIn_Database&amp;".xlsm)",IF(OR($C335&lt;&gt;"S",ORÇAMENTO.CodBarra=""),"(Sem Código)",IF(ISERROR(MATCH($AE335,INDIRECT(ORÇAMENTO.BancoRef),0)),"(Código não identificado nas referências)",MATCH($AE335,INDIRECT(ORÇAMENTO.BancoRef),0))))</f>
        <v>(abra o arquivo 'Referência 02-2025.xlsm)</v>
      </c>
      <c r="AG335" s="498">
        <f ca="1">ROUND(IF(DESONERACAO="sim",REFERENCIA.Desonerado,REFERENCIA.NaoDesonerado),2)</f>
        <v>0</v>
      </c>
      <c r="AH335" s="499">
        <f t="shared" ca="1" si="69"/>
        <v>0.22470000000000001</v>
      </c>
      <c r="AJ335" s="501">
        <v>13</v>
      </c>
      <c r="AL335" s="527"/>
      <c r="AM335" s="381">
        <f t="shared" ca="1" si="70"/>
        <v>0</v>
      </c>
      <c r="AN335" s="566">
        <f t="shared" ca="1" si="71"/>
        <v>0</v>
      </c>
    </row>
    <row r="336" spans="1:40" ht="38.25" x14ac:dyDescent="0.2">
      <c r="A336" t="str">
        <f t="shared" si="56"/>
        <v>S</v>
      </c>
      <c r="B336">
        <f t="shared" ca="1" si="57"/>
        <v>3</v>
      </c>
      <c r="C336" t="str">
        <f t="shared" ca="1" si="58"/>
        <v>S</v>
      </c>
      <c r="D336">
        <f t="shared" ca="1" si="59"/>
        <v>0</v>
      </c>
      <c r="E336">
        <f ca="1">IF($C336=1,OFFSET(E336,-1,0)+MAX(1,COUNTIF(QCI!$A$13:$A$24,OFFSET(ORÇAMENTO!E336,-1,0))),OFFSET(E336,-1,0))</f>
        <v>1</v>
      </c>
      <c r="F336">
        <f t="shared" ca="1" si="60"/>
        <v>13</v>
      </c>
      <c r="G336">
        <f t="shared" ca="1" si="61"/>
        <v>2</v>
      </c>
      <c r="H336">
        <f t="shared" ca="1" si="62"/>
        <v>0</v>
      </c>
      <c r="I336">
        <f t="shared" ca="1" si="63"/>
        <v>0</v>
      </c>
      <c r="J336">
        <f t="shared" ref="J336:J392" ca="1" si="90">IF(OR($C336="S",$C336=0),0,MATCH(0,OFFSET($D336,1,$C336,ROW($C$747)-ROW($C336)),0))</f>
        <v>0</v>
      </c>
      <c r="K336">
        <f ca="1">IF(OR($C336="S",$C336=0),0,MATCH(OFFSET($D336,0,$C336)+IF($C336&lt;&gt;1,1,COUNTIF(QCI!$A$13:$A$24,ORÇAMENTO!E336)),OFFSET($D336,1,$C336,ROW($C$747)-ROW($C336)),0))</f>
        <v>0</v>
      </c>
      <c r="L336" s="116" t="str">
        <f t="shared" ca="1" si="64"/>
        <v/>
      </c>
      <c r="M336" s="117" t="s">
        <v>199</v>
      </c>
      <c r="N336" s="118" t="str">
        <f t="shared" ca="1" si="65"/>
        <v>Serviço</v>
      </c>
      <c r="O336" s="119" t="str">
        <f t="shared" ca="1" si="66"/>
        <v>-</v>
      </c>
      <c r="P336" s="120" t="s">
        <v>247</v>
      </c>
      <c r="Q336" s="121" t="s">
        <v>556</v>
      </c>
      <c r="R336" s="122" t="str">
        <f ca="1">IF($C336="S",REFERENCIA.Descricao,"(digite a descrição aqui)")</f>
        <v>(abra o arquivo 'Referência 02-2025.xlsm)</v>
      </c>
      <c r="S336" s="123" t="str">
        <f ca="1">REFERENCIA.Unidade</f>
        <v>-</v>
      </c>
      <c r="T336" s="124">
        <f ca="1">OFFSET(CÁLCULO!H$15,ROW($T336)-ROW(T$15),0)</f>
        <v>11</v>
      </c>
      <c r="U336" s="125">
        <f t="shared" ca="1" si="87"/>
        <v>0</v>
      </c>
      <c r="V336" s="126" t="s">
        <v>156</v>
      </c>
      <c r="W336" s="124">
        <f ca="1">IF($C336="S",ROUND(IF(TIPOORCAMENTO="Proposto",ORÇAMENTO.CustoUnitario*(1+$AH336),ORÇAMENTO.PrecoUnitarioLicitado),15-13*$AF$10),0)</f>
        <v>0</v>
      </c>
      <c r="X336" s="127">
        <f ca="1">IF($C336="S",IF(Import.TipoArredondamento&lt;&gt;"TransfereGOV",VTOTAL1,SUM(OFFSET(CÁLCULO!$AA$15,ROW($X336)-ROW($X$15),1):OFFSET(CÁLCULO!$AL$15,ROW($X336)-ROW($X$15),-1))),IF($C336=0,0,ROUND(SomaAgrup,15-13*$AF$11)))</f>
        <v>0</v>
      </c>
      <c r="Y336" s="128" t="s">
        <v>245</v>
      </c>
      <c r="Z336" t="str">
        <f t="shared" ca="1" si="67"/>
        <v/>
      </c>
      <c r="AA336" s="129">
        <f ca="1">IF($C336="S",IF($Z336="CP",$X336,IF($Z336="RA",(($X336)*QCI!$AA$3),0)),SomaAgrup)</f>
        <v>0</v>
      </c>
      <c r="AB336" s="130">
        <f t="shared" ca="1" si="68"/>
        <v>0</v>
      </c>
      <c r="AC336" s="131" t="str">
        <f ca="1">IF($N336="","",IF(ORÇAMENTO.Descricao="","DESCRIÇÃO",IF(AND($C336="S",ORÇAMENTO.Unidade=""),"UNIDADE",IF($X336&lt;0,"VALOR NEGATIVO",IF(OR(AND(TIPOORCAMENTO="Proposto",$AG336&lt;&gt;"",$AG336&gt;0,ORÇAMENTO.CustoUnitario&gt;$AG336),AND(TIPOORCAMENTO="LICITADO",ORÇAMENTO.PrecoUnitarioLicitado&gt;$AN336)),"ACIMA REF.","")))))</f>
        <v/>
      </c>
      <c r="AD336" t="str">
        <f ca="1">IF(C336&lt;=CRONO.NivelExibicao,MAX($AD$15:OFFSET(AD336,-1,0))+IF($C336&lt;&gt;1,1,MAX(1,COUNTIF(QCI!$A$13:$A$24,OFFSET($E336,-1,0)))),"")</f>
        <v/>
      </c>
      <c r="AE336" s="7" t="str">
        <f ca="1">IF(AND($C336="S",ORÇAMENTO.CodBarra&lt;&gt;""),IF(ORÇAMENTO.Fonte="",ORÇAMENTO.CodBarra,CONCATENATE(ORÇAMENTO.Fonte," ",ORÇAMENTO.CodBarra)))</f>
        <v>SINAPI 89482</v>
      </c>
      <c r="AF336" s="13" t="str">
        <f ca="1">IF(ISERROR(INDIRECT(ORÇAMENTO.BancoRef)),"(abra o arquivo 'Referência "&amp;Excel_BuiltIn_Database&amp;".xlsm)",IF(OR($C336&lt;&gt;"S",ORÇAMENTO.CodBarra=""),"(Sem Código)",IF(ISERROR(MATCH($AE336,INDIRECT(ORÇAMENTO.BancoRef),0)),"(Código não identificado nas referências)",MATCH($AE336,INDIRECT(ORÇAMENTO.BancoRef),0))))</f>
        <v>(abra o arquivo 'Referência 02-2025.xlsm)</v>
      </c>
      <c r="AG336" s="498">
        <f ca="1">ROUND(IF(DESONERACAO="sim",REFERENCIA.Desonerado,REFERENCIA.NaoDesonerado),2)</f>
        <v>0</v>
      </c>
      <c r="AH336" s="499">
        <f t="shared" ca="1" si="69"/>
        <v>0.22470000000000001</v>
      </c>
      <c r="AJ336" s="501">
        <v>11</v>
      </c>
      <c r="AL336" s="527"/>
      <c r="AM336" s="381">
        <f t="shared" ca="1" si="70"/>
        <v>0</v>
      </c>
      <c r="AN336" s="566">
        <f t="shared" ca="1" si="71"/>
        <v>0</v>
      </c>
    </row>
    <row r="337" spans="1:40" x14ac:dyDescent="0.2">
      <c r="A337">
        <f t="shared" si="56"/>
        <v>3</v>
      </c>
      <c r="B337">
        <f t="shared" ca="1" si="57"/>
        <v>3</v>
      </c>
      <c r="C337">
        <f t="shared" ca="1" si="58"/>
        <v>3</v>
      </c>
      <c r="D337">
        <f t="shared" ca="1" si="59"/>
        <v>3</v>
      </c>
      <c r="E337">
        <f ca="1">IF($C337=1,OFFSET(E337,-1,0)+MAX(1,COUNTIF(QCI!$A$13:$A$24,OFFSET(ORÇAMENTO!E337,-1,0))),OFFSET(E337,-1,0))</f>
        <v>1</v>
      </c>
      <c r="F337">
        <f t="shared" ca="1" si="60"/>
        <v>13</v>
      </c>
      <c r="G337">
        <f t="shared" ca="1" si="61"/>
        <v>3</v>
      </c>
      <c r="H337">
        <f t="shared" ca="1" si="62"/>
        <v>0</v>
      </c>
      <c r="I337">
        <f t="shared" ca="1" si="63"/>
        <v>0</v>
      </c>
      <c r="J337">
        <f t="shared" ca="1" si="90"/>
        <v>3</v>
      </c>
      <c r="K337">
        <f ca="1">IF(OR($C337="S",$C337=0),0,MATCH(OFFSET($D337,0,$C337)+IF($C337&lt;&gt;1,1,COUNTIF(QCI!$A$13:$A$24,ORÇAMENTO!E337)),OFFSET($D337,1,$C337,ROW($C$747)-ROW($C337)),0))</f>
        <v>42</v>
      </c>
      <c r="L337" s="116" t="str">
        <f t="shared" ca="1" si="64"/>
        <v>F</v>
      </c>
      <c r="M337" s="117" t="s">
        <v>197</v>
      </c>
      <c r="N337" s="118" t="str">
        <f t="shared" ca="1" si="65"/>
        <v>Nível 3</v>
      </c>
      <c r="O337" s="119" t="str">
        <f t="shared" ca="1" si="66"/>
        <v>1.13.3.</v>
      </c>
      <c r="P337" s="120" t="s">
        <v>247</v>
      </c>
      <c r="Q337" s="121"/>
      <c r="R337" s="122" t="s">
        <v>1013</v>
      </c>
      <c r="S337" s="123" t="str">
        <f ca="1">REFERENCIA.Unidade</f>
        <v>-</v>
      </c>
      <c r="T337" s="124">
        <f ca="1">OFFSET(CÁLCULO!H$15,ROW($T337)-ROW(T$15),0)</f>
        <v>0</v>
      </c>
      <c r="U337" s="125">
        <f t="shared" ca="1" si="87"/>
        <v>0</v>
      </c>
      <c r="V337" s="126" t="s">
        <v>156</v>
      </c>
      <c r="W337" s="124">
        <f ca="1">IF($C337="S",ROUND(IF(TIPOORCAMENTO="Proposto",ORÇAMENTO.CustoUnitario*(1+$AH337),ORÇAMENTO.PrecoUnitarioLicitado),15-13*$AF$10),0)</f>
        <v>0</v>
      </c>
      <c r="X337" s="127">
        <f ca="1">IF($C337="S",IF(Import.TipoArredondamento&lt;&gt;"TransfereGOV",VTOTAL1,SUM(OFFSET(CÁLCULO!$AA$15,ROW($X337)-ROW($X$15),1):OFFSET(CÁLCULO!$AL$15,ROW($X337)-ROW($X$15),-1))),IF($C337=0,0,ROUND(SomaAgrup,15-13*$AF$11)))</f>
        <v>0</v>
      </c>
      <c r="Y337" s="128" t="s">
        <v>245</v>
      </c>
      <c r="Z337" t="str">
        <f t="shared" ca="1" si="67"/>
        <v/>
      </c>
      <c r="AA337" s="129">
        <f ca="1">IF($C337="S",IF($Z337="CP",$X337,IF($Z337="RA",(($X337)*QCI!$AA$3),0)),SomaAgrup)</f>
        <v>0</v>
      </c>
      <c r="AB337" s="130">
        <f t="shared" ca="1" si="68"/>
        <v>0</v>
      </c>
      <c r="AC337" s="131" t="str">
        <f ca="1">IF($N337="","",IF(ORÇAMENTO.Descricao="","DESCRIÇÃO",IF(AND($C337="S",ORÇAMENTO.Unidade=""),"UNIDADE",IF($X337&lt;0,"VALOR NEGATIVO",IF(OR(AND(TIPOORCAMENTO="Proposto",$AG337&lt;&gt;"",$AG337&gt;0,ORÇAMENTO.CustoUnitario&gt;$AG337),AND(TIPOORCAMENTO="LICITADO",ORÇAMENTO.PrecoUnitarioLicitado&gt;$AN337)),"ACIMA REF.","")))))</f>
        <v/>
      </c>
      <c r="AD337" t="str">
        <f ca="1">IF(C337&lt;=CRONO.NivelExibicao,MAX($AD$15:OFFSET(AD337,-1,0))+IF($C337&lt;&gt;1,1,MAX(1,COUNTIF(QCI!$A$13:$A$24,OFFSET($E337,-1,0)))),"")</f>
        <v/>
      </c>
      <c r="AE337" s="7" t="b">
        <f ca="1">IF(AND($C337="S",ORÇAMENTO.CodBarra&lt;&gt;""),IF(ORÇAMENTO.Fonte="",ORÇAMENTO.CodBarra,CONCATENATE(ORÇAMENTO.Fonte," ",ORÇAMENTO.CodBarra)))</f>
        <v>0</v>
      </c>
      <c r="AF337" s="13" t="str">
        <f ca="1">IF(ISERROR(INDIRECT(ORÇAMENTO.BancoRef)),"(abra o arquivo 'Referência "&amp;Excel_BuiltIn_Database&amp;".xlsm)",IF(OR($C337&lt;&gt;"S",ORÇAMENTO.CodBarra=""),"(Sem Código)",IF(ISERROR(MATCH($AE337,INDIRECT(ORÇAMENTO.BancoRef),0)),"(Código não identificado nas referências)",MATCH($AE337,INDIRECT(ORÇAMENTO.BancoRef),0))))</f>
        <v>(abra o arquivo 'Referência 02-2025.xlsm)</v>
      </c>
      <c r="AG337" s="498">
        <f ca="1">ROUND(IF(DESONERACAO="sim",REFERENCIA.Desonerado,REFERENCIA.NaoDesonerado),2)</f>
        <v>0</v>
      </c>
      <c r="AH337" s="499">
        <f t="shared" ca="1" si="69"/>
        <v>0.22470000000000001</v>
      </c>
      <c r="AJ337" s="501"/>
      <c r="AL337" s="527"/>
      <c r="AM337" s="381">
        <f t="shared" ca="1" si="70"/>
        <v>0</v>
      </c>
      <c r="AN337" s="566">
        <f t="shared" ca="1" si="71"/>
        <v>0</v>
      </c>
    </row>
    <row r="338" spans="1:40" x14ac:dyDescent="0.2">
      <c r="A338" t="str">
        <f t="shared" si="56"/>
        <v>S</v>
      </c>
      <c r="B338">
        <f t="shared" ca="1" si="57"/>
        <v>3</v>
      </c>
      <c r="C338" t="str">
        <f t="shared" ca="1" si="58"/>
        <v>S</v>
      </c>
      <c r="D338">
        <f t="shared" ca="1" si="59"/>
        <v>0</v>
      </c>
      <c r="E338">
        <f ca="1">IF($C338=1,OFFSET(E338,-1,0)+MAX(1,COUNTIF(QCI!$A$13:$A$24,OFFSET(ORÇAMENTO!E338,-1,0))),OFFSET(E338,-1,0))</f>
        <v>1</v>
      </c>
      <c r="F338">
        <f t="shared" ca="1" si="60"/>
        <v>13</v>
      </c>
      <c r="G338">
        <f t="shared" ca="1" si="61"/>
        <v>3</v>
      </c>
      <c r="H338">
        <f t="shared" ca="1" si="62"/>
        <v>0</v>
      </c>
      <c r="I338">
        <f t="shared" ca="1" si="63"/>
        <v>0</v>
      </c>
      <c r="J338">
        <f t="shared" ca="1" si="90"/>
        <v>0</v>
      </c>
      <c r="K338">
        <f ca="1">IF(OR($C338="S",$C338=0),0,MATCH(OFFSET($D338,0,$C338)+IF($C338&lt;&gt;1,1,COUNTIF(QCI!$A$13:$A$24,ORÇAMENTO!E338)),OFFSET($D338,1,$C338,ROW($C$747)-ROW($C338)),0))</f>
        <v>0</v>
      </c>
      <c r="L338" s="116" t="str">
        <f t="shared" ca="1" si="64"/>
        <v/>
      </c>
      <c r="M338" s="117" t="s">
        <v>199</v>
      </c>
      <c r="N338" s="118" t="str">
        <f t="shared" ca="1" si="65"/>
        <v>Serviço</v>
      </c>
      <c r="O338" s="119" t="str">
        <f t="shared" ca="1" si="66"/>
        <v>-</v>
      </c>
      <c r="P338" s="120" t="s">
        <v>712</v>
      </c>
      <c r="Q338" s="121" t="s">
        <v>797</v>
      </c>
      <c r="R338" s="122" t="str">
        <f ca="1">IF($C338="S",REFERENCIA.Descricao,"(digite a descrição aqui)")</f>
        <v>(abra o arquivo 'Referência 02-2025.xlsm)</v>
      </c>
      <c r="S338" s="123" t="str">
        <f ca="1">REFERENCIA.Unidade</f>
        <v>-</v>
      </c>
      <c r="T338" s="124">
        <f ca="1">OFFSET(CÁLCULO!H$15,ROW($T338)-ROW(T$15),0)</f>
        <v>6</v>
      </c>
      <c r="U338" s="125">
        <f t="shared" ca="1" si="87"/>
        <v>0</v>
      </c>
      <c r="V338" s="126" t="s">
        <v>156</v>
      </c>
      <c r="W338" s="124">
        <f ca="1">IF($C338="S",ROUND(IF(TIPOORCAMENTO="Proposto",ORÇAMENTO.CustoUnitario*(1+$AH338),ORÇAMENTO.PrecoUnitarioLicitado),15-13*$AF$10),0)</f>
        <v>0</v>
      </c>
      <c r="X338" s="127">
        <f ca="1">IF($C338="S",IF(Import.TipoArredondamento&lt;&gt;"TransfereGOV",VTOTAL1,SUM(OFFSET(CÁLCULO!$AA$15,ROW($X338)-ROW($X$15),1):OFFSET(CÁLCULO!$AL$15,ROW($X338)-ROW($X$15),-1))),IF($C338=0,0,ROUND(SomaAgrup,15-13*$AF$11)))</f>
        <v>0</v>
      </c>
      <c r="Y338" s="128" t="s">
        <v>245</v>
      </c>
      <c r="Z338" t="str">
        <f t="shared" ca="1" si="67"/>
        <v/>
      </c>
      <c r="AA338" s="129">
        <f ca="1">IF($C338="S",IF($Z338="CP",$X338,IF($Z338="RA",(($X338)*QCI!$AA$3),0)),SomaAgrup)</f>
        <v>0</v>
      </c>
      <c r="AB338" s="130">
        <f t="shared" ca="1" si="68"/>
        <v>0</v>
      </c>
      <c r="AC338" s="131" t="str">
        <f ca="1">IF($N338="","",IF(ORÇAMENTO.Descricao="","DESCRIÇÃO",IF(AND($C338="S",ORÇAMENTO.Unidade=""),"UNIDADE",IF($X338&lt;0,"VALOR NEGATIVO",IF(OR(AND(TIPOORCAMENTO="Proposto",$AG338&lt;&gt;"",$AG338&gt;0,ORÇAMENTO.CustoUnitario&gt;$AG338),AND(TIPOORCAMENTO="LICITADO",ORÇAMENTO.PrecoUnitarioLicitado&gt;$AN338)),"ACIMA REF.","")))))</f>
        <v/>
      </c>
      <c r="AD338" t="str">
        <f ca="1">IF(C338&lt;=CRONO.NivelExibicao,MAX($AD$15:OFFSET(AD338,-1,0))+IF($C338&lt;&gt;1,1,MAX(1,COUNTIF(QCI!$A$13:$A$24,OFFSET($E338,-1,0)))),"")</f>
        <v/>
      </c>
      <c r="AE338" s="7" t="str">
        <f ca="1">IF(AND($C338="S",ORÇAMENTO.CodBarra&lt;&gt;""),IF(ORÇAMENTO.Fonte="",ORÇAMENTO.CodBarra,CONCATENATE(ORÇAMENTO.Fonte," ",ORÇAMENTO.CodBarra)))</f>
        <v>Composição FNDE 78</v>
      </c>
      <c r="AF338" s="13" t="str">
        <f ca="1">IF(ISERROR(INDIRECT(ORÇAMENTO.BancoRef)),"(abra o arquivo 'Referência "&amp;Excel_BuiltIn_Database&amp;".xlsm)",IF(OR($C338&lt;&gt;"S",ORÇAMENTO.CodBarra=""),"(Sem Código)",IF(ISERROR(MATCH($AE338,INDIRECT(ORÇAMENTO.BancoRef),0)),"(Código não identificado nas referências)",MATCH($AE338,INDIRECT(ORÇAMENTO.BancoRef),0))))</f>
        <v>(abra o arquivo 'Referência 02-2025.xlsm)</v>
      </c>
      <c r="AG338" s="498">
        <f ca="1">ROUND(IF(DESONERACAO="sim",REFERENCIA.Desonerado,REFERENCIA.NaoDesonerado),2)</f>
        <v>0</v>
      </c>
      <c r="AH338" s="499">
        <f t="shared" ca="1" si="69"/>
        <v>0.22470000000000001</v>
      </c>
      <c r="AJ338" s="501">
        <v>6</v>
      </c>
      <c r="AL338" s="527"/>
      <c r="AM338" s="381">
        <f t="shared" ca="1" si="70"/>
        <v>0</v>
      </c>
      <c r="AN338" s="566">
        <f t="shared" ca="1" si="71"/>
        <v>0</v>
      </c>
    </row>
    <row r="339" spans="1:40" x14ac:dyDescent="0.2">
      <c r="A339" t="str">
        <f t="shared" si="56"/>
        <v>S</v>
      </c>
      <c r="B339">
        <f t="shared" ca="1" si="57"/>
        <v>3</v>
      </c>
      <c r="C339" t="str">
        <f t="shared" ca="1" si="58"/>
        <v>S</v>
      </c>
      <c r="D339">
        <f t="shared" ca="1" si="59"/>
        <v>0</v>
      </c>
      <c r="E339">
        <f ca="1">IF($C339=1,OFFSET(E339,-1,0)+MAX(1,COUNTIF(QCI!$A$13:$A$24,OFFSET(ORÇAMENTO!E339,-1,0))),OFFSET(E339,-1,0))</f>
        <v>1</v>
      </c>
      <c r="F339">
        <f t="shared" ca="1" si="60"/>
        <v>13</v>
      </c>
      <c r="G339">
        <f t="shared" ca="1" si="61"/>
        <v>3</v>
      </c>
      <c r="H339">
        <f t="shared" ca="1" si="62"/>
        <v>0</v>
      </c>
      <c r="I339">
        <f t="shared" ca="1" si="63"/>
        <v>0</v>
      </c>
      <c r="J339">
        <f t="shared" ca="1" si="90"/>
        <v>0</v>
      </c>
      <c r="K339">
        <f ca="1">IF(OR($C339="S",$C339=0),0,MATCH(OFFSET($D339,0,$C339)+IF($C339&lt;&gt;1,1,COUNTIF(QCI!$A$13:$A$24,ORÇAMENTO!E339)),OFFSET($D339,1,$C339,ROW($C$747)-ROW($C339)),0))</f>
        <v>0</v>
      </c>
      <c r="L339" s="116" t="str">
        <f t="shared" ca="1" si="64"/>
        <v/>
      </c>
      <c r="M339" s="117" t="s">
        <v>199</v>
      </c>
      <c r="N339" s="118" t="str">
        <f t="shared" ca="1" si="65"/>
        <v>Serviço</v>
      </c>
      <c r="O339" s="119" t="str">
        <f t="shared" ca="1" si="66"/>
        <v>-</v>
      </c>
      <c r="P339" s="120" t="s">
        <v>712</v>
      </c>
      <c r="Q339" s="121" t="s">
        <v>798</v>
      </c>
      <c r="R339" s="122" t="str">
        <f ca="1">IF($C339="S",REFERENCIA.Descricao,"(digite a descrição aqui)")</f>
        <v>(abra o arquivo 'Referência 02-2025.xlsm)</v>
      </c>
      <c r="S339" s="123" t="str">
        <f ca="1">REFERENCIA.Unidade</f>
        <v>-</v>
      </c>
      <c r="T339" s="124">
        <f ca="1">OFFSET(CÁLCULO!H$15,ROW($T339)-ROW(T$15),0)</f>
        <v>6</v>
      </c>
      <c r="U339" s="125">
        <f t="shared" ca="1" si="87"/>
        <v>0</v>
      </c>
      <c r="V339" s="126" t="s">
        <v>156</v>
      </c>
      <c r="W339" s="124">
        <f ca="1">IF($C339="S",ROUND(IF(TIPOORCAMENTO="Proposto",ORÇAMENTO.CustoUnitario*(1+$AH339),ORÇAMENTO.PrecoUnitarioLicitado),15-13*$AF$10),0)</f>
        <v>0</v>
      </c>
      <c r="X339" s="127">
        <f ca="1">IF($C339="S",IF(Import.TipoArredondamento&lt;&gt;"TransfereGOV",VTOTAL1,SUM(OFFSET(CÁLCULO!$AA$15,ROW($X339)-ROW($X$15),1):OFFSET(CÁLCULO!$AL$15,ROW($X339)-ROW($X$15),-1))),IF($C339=0,0,ROUND(SomaAgrup,15-13*$AF$11)))</f>
        <v>0</v>
      </c>
      <c r="Y339" s="128" t="s">
        <v>245</v>
      </c>
      <c r="Z339" t="str">
        <f t="shared" ca="1" si="67"/>
        <v/>
      </c>
      <c r="AA339" s="129">
        <f ca="1">IF($C339="S",IF($Z339="CP",$X339,IF($Z339="RA",(($X339)*QCI!$AA$3),0)),SomaAgrup)</f>
        <v>0</v>
      </c>
      <c r="AB339" s="130">
        <f t="shared" ca="1" si="68"/>
        <v>0</v>
      </c>
      <c r="AC339" s="131" t="str">
        <f ca="1">IF($N339="","",IF(ORÇAMENTO.Descricao="","DESCRIÇÃO",IF(AND($C339="S",ORÇAMENTO.Unidade=""),"UNIDADE",IF($X339&lt;0,"VALOR NEGATIVO",IF(OR(AND(TIPOORCAMENTO="Proposto",$AG339&lt;&gt;"",$AG339&gt;0,ORÇAMENTO.CustoUnitario&gt;$AG339),AND(TIPOORCAMENTO="LICITADO",ORÇAMENTO.PrecoUnitarioLicitado&gt;$AN339)),"ACIMA REF.","")))))</f>
        <v/>
      </c>
      <c r="AD339" t="str">
        <f ca="1">IF(C339&lt;=CRONO.NivelExibicao,MAX($AD$15:OFFSET(AD339,-1,0))+IF($C339&lt;&gt;1,1,MAX(1,COUNTIF(QCI!$A$13:$A$24,OFFSET($E339,-1,0)))),"")</f>
        <v/>
      </c>
      <c r="AE339" s="7" t="str">
        <f ca="1">IF(AND($C339="S",ORÇAMENTO.CodBarra&lt;&gt;""),IF(ORÇAMENTO.Fonte="",ORÇAMENTO.CodBarra,CONCATENATE(ORÇAMENTO.Fonte," ",ORÇAMENTO.CodBarra)))</f>
        <v>Composição FNDE 79</v>
      </c>
      <c r="AF339" s="13" t="str">
        <f ca="1">IF(ISERROR(INDIRECT(ORÇAMENTO.BancoRef)),"(abra o arquivo 'Referência "&amp;Excel_BuiltIn_Database&amp;".xlsm)",IF(OR($C339&lt;&gt;"S",ORÇAMENTO.CodBarra=""),"(Sem Código)",IF(ISERROR(MATCH($AE339,INDIRECT(ORÇAMENTO.BancoRef),0)),"(Código não identificado nas referências)",MATCH($AE339,INDIRECT(ORÇAMENTO.BancoRef),0))))</f>
        <v>(abra o arquivo 'Referência 02-2025.xlsm)</v>
      </c>
      <c r="AG339" s="498">
        <f ca="1">ROUND(IF(DESONERACAO="sim",REFERENCIA.Desonerado,REFERENCIA.NaoDesonerado),2)</f>
        <v>0</v>
      </c>
      <c r="AH339" s="499">
        <f t="shared" ca="1" si="69"/>
        <v>0.22470000000000001</v>
      </c>
      <c r="AJ339" s="501">
        <v>6</v>
      </c>
      <c r="AL339" s="527"/>
      <c r="AM339" s="381">
        <f t="shared" ca="1" si="70"/>
        <v>0</v>
      </c>
      <c r="AN339" s="566">
        <f t="shared" ca="1" si="71"/>
        <v>0</v>
      </c>
    </row>
    <row r="340" spans="1:40" x14ac:dyDescent="0.2">
      <c r="A340">
        <f t="shared" si="56"/>
        <v>2</v>
      </c>
      <c r="B340">
        <f t="shared" ca="1" si="57"/>
        <v>2</v>
      </c>
      <c r="C340">
        <f t="shared" ca="1" si="58"/>
        <v>2</v>
      </c>
      <c r="D340">
        <f t="shared" ca="1" si="59"/>
        <v>51</v>
      </c>
      <c r="E340">
        <f ca="1">IF($C340=1,OFFSET(E340,-1,0)+MAX(1,COUNTIF(QCI!$A$13:$A$24,OFFSET(ORÇAMENTO!E340,-1,0))),OFFSET(E340,-1,0))</f>
        <v>1</v>
      </c>
      <c r="F340">
        <f t="shared" ca="1" si="60"/>
        <v>14</v>
      </c>
      <c r="G340">
        <f t="shared" ca="1" si="61"/>
        <v>0</v>
      </c>
      <c r="H340">
        <f t="shared" ca="1" si="62"/>
        <v>0</v>
      </c>
      <c r="I340">
        <f t="shared" ca="1" si="63"/>
        <v>0</v>
      </c>
      <c r="J340">
        <f t="shared" ca="1" si="90"/>
        <v>407</v>
      </c>
      <c r="K340">
        <f ca="1">IF(OR($C340="S",$C340=0),0,MATCH(OFFSET($D340,0,$C340)+IF($C340&lt;&gt;1,1,COUNTIF(QCI!$A$13:$A$24,ORÇAMENTO!E340)),OFFSET($D340,1,$C340,ROW($C$747)-ROW($C340)),0))</f>
        <v>51</v>
      </c>
      <c r="L340" s="116" t="str">
        <f t="shared" ca="1" si="64"/>
        <v>F</v>
      </c>
      <c r="M340" s="117" t="s">
        <v>196</v>
      </c>
      <c r="N340" s="118" t="str">
        <f t="shared" ca="1" si="65"/>
        <v>Nível 2</v>
      </c>
      <c r="O340" s="119" t="str">
        <f t="shared" ca="1" si="66"/>
        <v>1.14.</v>
      </c>
      <c r="P340" s="120" t="s">
        <v>247</v>
      </c>
      <c r="Q340" s="121"/>
      <c r="R340" s="122" t="s">
        <v>937</v>
      </c>
      <c r="S340" s="123" t="str">
        <f ca="1">REFERENCIA.Unidade</f>
        <v>-</v>
      </c>
      <c r="T340" s="124">
        <f ca="1">OFFSET(CÁLCULO!H$15,ROW($T340)-ROW(T$15),0)</f>
        <v>0</v>
      </c>
      <c r="U340" s="125">
        <f t="shared" ca="1" si="87"/>
        <v>0</v>
      </c>
      <c r="V340" s="126" t="s">
        <v>156</v>
      </c>
      <c r="W340" s="124">
        <f ca="1">IF($C340="S",ROUND(IF(TIPOORCAMENTO="Proposto",ORÇAMENTO.CustoUnitario*(1+$AH340),ORÇAMENTO.PrecoUnitarioLicitado),15-13*$AF$10),0)</f>
        <v>0</v>
      </c>
      <c r="X340" s="127">
        <f ca="1">IF($C340="S",IF(Import.TipoArredondamento&lt;&gt;"TransfereGOV",VTOTAL1,SUM(OFFSET(CÁLCULO!$AA$15,ROW($X340)-ROW($X$15),1):OFFSET(CÁLCULO!$AL$15,ROW($X340)-ROW($X$15),-1))),IF($C340=0,0,ROUND(SomaAgrup,15-13*$AF$11)))</f>
        <v>0</v>
      </c>
      <c r="Y340" s="128" t="s">
        <v>245</v>
      </c>
      <c r="Z340" t="str">
        <f t="shared" ca="1" si="67"/>
        <v/>
      </c>
      <c r="AA340" s="129">
        <f ca="1">IF($C340="S",IF($Z340="CP",$X340,IF($Z340="RA",(($X340)*QCI!$AA$3),0)),SomaAgrup)</f>
        <v>0</v>
      </c>
      <c r="AB340" s="130">
        <f t="shared" ca="1" si="68"/>
        <v>0</v>
      </c>
      <c r="AC340" s="131" t="str">
        <f ca="1">IF($N340="","",IF(ORÇAMENTO.Descricao="","DESCRIÇÃO",IF(AND($C340="S",ORÇAMENTO.Unidade=""),"UNIDADE",IF($X340&lt;0,"VALOR NEGATIVO",IF(OR(AND(TIPOORCAMENTO="Proposto",$AG340&lt;&gt;"",$AG340&gt;0,ORÇAMENTO.CustoUnitario&gt;$AG340),AND(TIPOORCAMENTO="LICITADO",ORÇAMENTO.PrecoUnitarioLicitado&gt;$AN340)),"ACIMA REF.","")))))</f>
        <v/>
      </c>
      <c r="AD340">
        <f ca="1">IF(C340&lt;=CRONO.NivelExibicao,MAX($AD$15:OFFSET(AD340,-1,0))+IF($C340&lt;&gt;1,1,MAX(1,COUNTIF(QCI!$A$13:$A$24,OFFSET($E340,-1,0)))),"")</f>
        <v>15</v>
      </c>
      <c r="AE340" s="7" t="b">
        <f ca="1">IF(AND($C340="S",ORÇAMENTO.CodBarra&lt;&gt;""),IF(ORÇAMENTO.Fonte="",ORÇAMENTO.CodBarra,CONCATENATE(ORÇAMENTO.Fonte," ",ORÇAMENTO.CodBarra)))</f>
        <v>0</v>
      </c>
      <c r="AF340" s="13" t="str">
        <f ca="1">IF(ISERROR(INDIRECT(ORÇAMENTO.BancoRef)),"(abra o arquivo 'Referência "&amp;Excel_BuiltIn_Database&amp;".xlsm)",IF(OR($C340&lt;&gt;"S",ORÇAMENTO.CodBarra=""),"(Sem Código)",IF(ISERROR(MATCH($AE340,INDIRECT(ORÇAMENTO.BancoRef),0)),"(Código não identificado nas referências)",MATCH($AE340,INDIRECT(ORÇAMENTO.BancoRef),0))))</f>
        <v>(abra o arquivo 'Referência 02-2025.xlsm)</v>
      </c>
      <c r="AG340" s="498">
        <f ca="1">ROUND(IF(DESONERACAO="sim",REFERENCIA.Desonerado,REFERENCIA.NaoDesonerado),2)</f>
        <v>0</v>
      </c>
      <c r="AH340" s="499">
        <f t="shared" ca="1" si="69"/>
        <v>0.22470000000000001</v>
      </c>
      <c r="AJ340" s="501"/>
      <c r="AL340" s="527"/>
      <c r="AM340" s="381">
        <f t="shared" ca="1" si="70"/>
        <v>0</v>
      </c>
      <c r="AN340" s="566">
        <f t="shared" ca="1" si="71"/>
        <v>0</v>
      </c>
    </row>
    <row r="341" spans="1:40" x14ac:dyDescent="0.2">
      <c r="A341">
        <f t="shared" si="56"/>
        <v>3</v>
      </c>
      <c r="B341">
        <f t="shared" ca="1" si="57"/>
        <v>3</v>
      </c>
      <c r="C341">
        <f t="shared" ca="1" si="58"/>
        <v>3</v>
      </c>
      <c r="D341">
        <f t="shared" ca="1" si="59"/>
        <v>28</v>
      </c>
      <c r="E341">
        <f ca="1">IF($C341=1,OFFSET(E341,-1,0)+MAX(1,COUNTIF(QCI!$A$13:$A$24,OFFSET(ORÇAMENTO!E341,-1,0))),OFFSET(E341,-1,0))</f>
        <v>1</v>
      </c>
      <c r="F341">
        <f t="shared" ca="1" si="60"/>
        <v>14</v>
      </c>
      <c r="G341">
        <f t="shared" ca="1" si="61"/>
        <v>1</v>
      </c>
      <c r="H341">
        <f t="shared" ca="1" si="62"/>
        <v>0</v>
      </c>
      <c r="I341">
        <f t="shared" ca="1" si="63"/>
        <v>0</v>
      </c>
      <c r="J341">
        <f t="shared" ca="1" si="90"/>
        <v>50</v>
      </c>
      <c r="K341">
        <f ca="1">IF(OR($C341="S",$C341=0),0,MATCH(OFFSET($D341,0,$C341)+IF($C341&lt;&gt;1,1,COUNTIF(QCI!$A$13:$A$24,ORÇAMENTO!E341)),OFFSET($D341,1,$C341,ROW($C$747)-ROW($C341)),0))</f>
        <v>28</v>
      </c>
      <c r="L341" s="116" t="str">
        <f t="shared" ca="1" si="64"/>
        <v>F</v>
      </c>
      <c r="M341" s="117" t="s">
        <v>197</v>
      </c>
      <c r="N341" s="118" t="str">
        <f t="shared" ca="1" si="65"/>
        <v>Nível 3</v>
      </c>
      <c r="O341" s="119" t="str">
        <f t="shared" ca="1" si="66"/>
        <v>1.14.1.</v>
      </c>
      <c r="P341" s="120" t="s">
        <v>247</v>
      </c>
      <c r="Q341" s="121"/>
      <c r="R341" s="122" t="str">
        <f ca="1">IF($C341="S",REFERENCIA.Descricao,"TUBULAÇÕES E CONEXÕES")</f>
        <v>TUBULAÇÕES E CONEXÕES</v>
      </c>
      <c r="S341" s="123" t="str">
        <f ca="1">REFERENCIA.Unidade</f>
        <v>-</v>
      </c>
      <c r="T341" s="124">
        <f ca="1">OFFSET(CÁLCULO!H$15,ROW($T341)-ROW(T$15),0)</f>
        <v>0</v>
      </c>
      <c r="U341" s="125">
        <f t="shared" ca="1" si="87"/>
        <v>0</v>
      </c>
      <c r="V341" s="126" t="s">
        <v>156</v>
      </c>
      <c r="W341" s="124">
        <f ca="1">IF($C341="S",ROUND(IF(TIPOORCAMENTO="Proposto",ORÇAMENTO.CustoUnitario*(1+$AH341),ORÇAMENTO.PrecoUnitarioLicitado),15-13*$AF$10),0)</f>
        <v>0</v>
      </c>
      <c r="X341" s="127">
        <f ca="1">IF($C341="S",IF(Import.TipoArredondamento&lt;&gt;"TransfereGOV",VTOTAL1,SUM(OFFSET(CÁLCULO!$AA$15,ROW($X341)-ROW($X$15),1):OFFSET(CÁLCULO!$AL$15,ROW($X341)-ROW($X$15),-1))),IF($C341=0,0,ROUND(SomaAgrup,15-13*$AF$11)))</f>
        <v>0</v>
      </c>
      <c r="Y341" s="128" t="s">
        <v>245</v>
      </c>
      <c r="Z341" t="str">
        <f t="shared" ca="1" si="67"/>
        <v/>
      </c>
      <c r="AA341" s="129">
        <f ca="1">IF($C341="S",IF($Z341="CP",$X341,IF($Z341="RA",(($X341)*QCI!$AA$3),0)),SomaAgrup)</f>
        <v>0</v>
      </c>
      <c r="AB341" s="130">
        <f t="shared" ca="1" si="68"/>
        <v>0</v>
      </c>
      <c r="AC341" s="131" t="str">
        <f ca="1">IF($N341="","",IF(ORÇAMENTO.Descricao="","DESCRIÇÃO",IF(AND($C341="S",ORÇAMENTO.Unidade=""),"UNIDADE",IF($X341&lt;0,"VALOR NEGATIVO",IF(OR(AND(TIPOORCAMENTO="Proposto",$AG341&lt;&gt;"",$AG341&gt;0,ORÇAMENTO.CustoUnitario&gt;$AG341),AND(TIPOORCAMENTO="LICITADO",ORÇAMENTO.PrecoUnitarioLicitado&gt;$AN341)),"ACIMA REF.","")))))</f>
        <v/>
      </c>
      <c r="AD341" t="str">
        <f ca="1">IF(C341&lt;=CRONO.NivelExibicao,MAX($AD$15:OFFSET(AD341,-1,0))+IF($C341&lt;&gt;1,1,MAX(1,COUNTIF(QCI!$A$13:$A$24,OFFSET($E341,-1,0)))),"")</f>
        <v/>
      </c>
      <c r="AE341" s="7" t="b">
        <f ca="1">IF(AND($C341="S",ORÇAMENTO.CodBarra&lt;&gt;""),IF(ORÇAMENTO.Fonte="",ORÇAMENTO.CodBarra,CONCATENATE(ORÇAMENTO.Fonte," ",ORÇAMENTO.CodBarra)))</f>
        <v>0</v>
      </c>
      <c r="AF341" s="13" t="str">
        <f ca="1">IF(ISERROR(INDIRECT(ORÇAMENTO.BancoRef)),"(abra o arquivo 'Referência "&amp;Excel_BuiltIn_Database&amp;".xlsm)",IF(OR($C341&lt;&gt;"S",ORÇAMENTO.CodBarra=""),"(Sem Código)",IF(ISERROR(MATCH($AE341,INDIRECT(ORÇAMENTO.BancoRef),0)),"(Código não identificado nas referências)",MATCH($AE341,INDIRECT(ORÇAMENTO.BancoRef),0))))</f>
        <v>(abra o arquivo 'Referência 02-2025.xlsm)</v>
      </c>
      <c r="AG341" s="498">
        <f ca="1">ROUND(IF(DESONERACAO="sim",REFERENCIA.Desonerado,REFERENCIA.NaoDesonerado),2)</f>
        <v>0</v>
      </c>
      <c r="AH341" s="499">
        <f t="shared" ca="1" si="69"/>
        <v>0.22470000000000001</v>
      </c>
      <c r="AJ341" s="501"/>
      <c r="AL341" s="527"/>
      <c r="AM341" s="381">
        <f t="shared" ca="1" si="70"/>
        <v>0</v>
      </c>
      <c r="AN341" s="566">
        <f t="shared" ca="1" si="71"/>
        <v>0</v>
      </c>
    </row>
    <row r="342" spans="1:40" ht="38.25" x14ac:dyDescent="0.2">
      <c r="A342" t="str">
        <f t="shared" si="56"/>
        <v>S</v>
      </c>
      <c r="B342">
        <f t="shared" ca="1" si="57"/>
        <v>3</v>
      </c>
      <c r="C342" t="str">
        <f t="shared" ca="1" si="58"/>
        <v>S</v>
      </c>
      <c r="D342">
        <f t="shared" ca="1" si="59"/>
        <v>0</v>
      </c>
      <c r="E342">
        <f ca="1">IF($C342=1,OFFSET(E342,-1,0)+MAX(1,COUNTIF(QCI!$A$13:$A$24,OFFSET(ORÇAMENTO!E342,-1,0))),OFFSET(E342,-1,0))</f>
        <v>1</v>
      </c>
      <c r="F342">
        <f t="shared" ca="1" si="60"/>
        <v>14</v>
      </c>
      <c r="G342">
        <f t="shared" ca="1" si="61"/>
        <v>1</v>
      </c>
      <c r="H342">
        <f t="shared" ca="1" si="62"/>
        <v>0</v>
      </c>
      <c r="I342">
        <f t="shared" ca="1" si="63"/>
        <v>0</v>
      </c>
      <c r="J342">
        <f t="shared" ca="1" si="90"/>
        <v>0</v>
      </c>
      <c r="K342">
        <f ca="1">IF(OR($C342="S",$C342=0),0,MATCH(OFFSET($D342,0,$C342)+IF($C342&lt;&gt;1,1,COUNTIF(QCI!$A$13:$A$24,ORÇAMENTO!E342)),OFFSET($D342,1,$C342,ROW($C$747)-ROW($C342)),0))</f>
        <v>0</v>
      </c>
      <c r="L342" s="116" t="str">
        <f t="shared" ca="1" si="64"/>
        <v/>
      </c>
      <c r="M342" s="117" t="s">
        <v>199</v>
      </c>
      <c r="N342" s="118" t="str">
        <f t="shared" ca="1" si="65"/>
        <v>Serviço</v>
      </c>
      <c r="O342" s="119" t="str">
        <f t="shared" ca="1" si="66"/>
        <v>-</v>
      </c>
      <c r="P342" s="120" t="s">
        <v>247</v>
      </c>
      <c r="Q342" s="121" t="s">
        <v>557</v>
      </c>
      <c r="R342" s="122" t="str">
        <f ca="1">IF($C342="S",REFERENCIA.Descricao,"(digite a descrição aqui)")</f>
        <v>(abra o arquivo 'Referência 02-2025.xlsm)</v>
      </c>
      <c r="S342" s="123" t="str">
        <f ca="1">REFERENCIA.Unidade</f>
        <v>-</v>
      </c>
      <c r="T342" s="124">
        <f ca="1">OFFSET(CÁLCULO!H$15,ROW($T342)-ROW(T$15),0)</f>
        <v>88.7</v>
      </c>
      <c r="U342" s="125">
        <f t="shared" ca="1" si="87"/>
        <v>0</v>
      </c>
      <c r="V342" s="126" t="s">
        <v>156</v>
      </c>
      <c r="W342" s="124">
        <f ca="1">IF($C342="S",ROUND(IF(TIPOORCAMENTO="Proposto",ORÇAMENTO.CustoUnitario*(1+$AH342),ORÇAMENTO.PrecoUnitarioLicitado),15-13*$AF$10),0)</f>
        <v>0</v>
      </c>
      <c r="X342" s="127">
        <f ca="1">IF($C342="S",IF(Import.TipoArredondamento&lt;&gt;"TransfereGOV",VTOTAL1,SUM(OFFSET(CÁLCULO!$AA$15,ROW($X342)-ROW($X$15),1):OFFSET(CÁLCULO!$AL$15,ROW($X342)-ROW($X$15),-1))),IF($C342=0,0,ROUND(SomaAgrup,15-13*$AF$11)))</f>
        <v>0</v>
      </c>
      <c r="Y342" s="128" t="s">
        <v>245</v>
      </c>
      <c r="Z342" t="str">
        <f t="shared" ca="1" si="67"/>
        <v/>
      </c>
      <c r="AA342" s="129">
        <f ca="1">IF($C342="S",IF($Z342="CP",$X342,IF($Z342="RA",(($X342)*QCI!$AA$3),0)),SomaAgrup)</f>
        <v>0</v>
      </c>
      <c r="AB342" s="130">
        <f t="shared" ca="1" si="68"/>
        <v>0</v>
      </c>
      <c r="AC342" s="131" t="str">
        <f ca="1">IF($N342="","",IF(ORÇAMENTO.Descricao="","DESCRIÇÃO",IF(AND($C342="S",ORÇAMENTO.Unidade=""),"UNIDADE",IF($X342&lt;0,"VALOR NEGATIVO",IF(OR(AND(TIPOORCAMENTO="Proposto",$AG342&lt;&gt;"",$AG342&gt;0,ORÇAMENTO.CustoUnitario&gt;$AG342),AND(TIPOORCAMENTO="LICITADO",ORÇAMENTO.PrecoUnitarioLicitado&gt;$AN342)),"ACIMA REF.","")))))</f>
        <v/>
      </c>
      <c r="AD342" t="str">
        <f ca="1">IF(C342&lt;=CRONO.NivelExibicao,MAX($AD$15:OFFSET(AD342,-1,0))+IF($C342&lt;&gt;1,1,MAX(1,COUNTIF(QCI!$A$13:$A$24,OFFSET($E342,-1,0)))),"")</f>
        <v/>
      </c>
      <c r="AE342" s="7" t="str">
        <f ca="1">IF(AND($C342="S",ORÇAMENTO.CodBarra&lt;&gt;""),IF(ORÇAMENTO.Fonte="",ORÇAMENTO.CodBarra,CONCATENATE(ORÇAMENTO.Fonte," ",ORÇAMENTO.CodBarra)))</f>
        <v>SINAPI 89711</v>
      </c>
      <c r="AF342" s="13" t="str">
        <f ca="1">IF(ISERROR(INDIRECT(ORÇAMENTO.BancoRef)),"(abra o arquivo 'Referência "&amp;Excel_BuiltIn_Database&amp;".xlsm)",IF(OR($C342&lt;&gt;"S",ORÇAMENTO.CodBarra=""),"(Sem Código)",IF(ISERROR(MATCH($AE342,INDIRECT(ORÇAMENTO.BancoRef),0)),"(Código não identificado nas referências)",MATCH($AE342,INDIRECT(ORÇAMENTO.BancoRef),0))))</f>
        <v>(abra o arquivo 'Referência 02-2025.xlsm)</v>
      </c>
      <c r="AG342" s="498">
        <f ca="1">ROUND(IF(DESONERACAO="sim",REFERENCIA.Desonerado,REFERENCIA.NaoDesonerado),2)</f>
        <v>0</v>
      </c>
      <c r="AH342" s="499">
        <f t="shared" ca="1" si="69"/>
        <v>0.22470000000000001</v>
      </c>
      <c r="AJ342" s="501">
        <v>88.7</v>
      </c>
      <c r="AL342" s="527"/>
      <c r="AM342" s="381">
        <f t="shared" ca="1" si="70"/>
        <v>0</v>
      </c>
      <c r="AN342" s="566">
        <f t="shared" ca="1" si="71"/>
        <v>0</v>
      </c>
    </row>
    <row r="343" spans="1:40" ht="38.25" x14ac:dyDescent="0.2">
      <c r="A343" t="str">
        <f t="shared" si="56"/>
        <v>S</v>
      </c>
      <c r="B343">
        <f t="shared" ca="1" si="57"/>
        <v>3</v>
      </c>
      <c r="C343" t="str">
        <f t="shared" ca="1" si="58"/>
        <v>S</v>
      </c>
      <c r="D343">
        <f t="shared" ca="1" si="59"/>
        <v>0</v>
      </c>
      <c r="E343">
        <f ca="1">IF($C343=1,OFFSET(E343,-1,0)+MAX(1,COUNTIF(QCI!$A$13:$A$24,OFFSET(ORÇAMENTO!E343,-1,0))),OFFSET(E343,-1,0))</f>
        <v>1</v>
      </c>
      <c r="F343">
        <f t="shared" ca="1" si="60"/>
        <v>14</v>
      </c>
      <c r="G343">
        <f t="shared" ca="1" si="61"/>
        <v>1</v>
      </c>
      <c r="H343">
        <f t="shared" ca="1" si="62"/>
        <v>0</v>
      </c>
      <c r="I343">
        <f t="shared" ca="1" si="63"/>
        <v>0</v>
      </c>
      <c r="J343">
        <f t="shared" ca="1" si="90"/>
        <v>0</v>
      </c>
      <c r="K343">
        <f ca="1">IF(OR($C343="S",$C343=0),0,MATCH(OFFSET($D343,0,$C343)+IF($C343&lt;&gt;1,1,COUNTIF(QCI!$A$13:$A$24,ORÇAMENTO!E343)),OFFSET($D343,1,$C343,ROW($C$747)-ROW($C343)),0))</f>
        <v>0</v>
      </c>
      <c r="L343" s="116" t="str">
        <f t="shared" ca="1" si="64"/>
        <v/>
      </c>
      <c r="M343" s="117" t="s">
        <v>199</v>
      </c>
      <c r="N343" s="118" t="str">
        <f t="shared" ca="1" si="65"/>
        <v>Serviço</v>
      </c>
      <c r="O343" s="119" t="str">
        <f t="shared" ca="1" si="66"/>
        <v>-</v>
      </c>
      <c r="P343" s="120" t="s">
        <v>247</v>
      </c>
      <c r="Q343" s="121" t="s">
        <v>558</v>
      </c>
      <c r="R343" s="122" t="str">
        <f ca="1">IF($C343="S",REFERENCIA.Descricao,"(digite a descrição aqui)")</f>
        <v>(abra o arquivo 'Referência 02-2025.xlsm)</v>
      </c>
      <c r="S343" s="123" t="str">
        <f ca="1">REFERENCIA.Unidade</f>
        <v>-</v>
      </c>
      <c r="T343" s="124">
        <f ca="1">OFFSET(CÁLCULO!H$15,ROW($T343)-ROW(T$15),0)</f>
        <v>207.2</v>
      </c>
      <c r="U343" s="125">
        <f t="shared" ca="1" si="87"/>
        <v>0</v>
      </c>
      <c r="V343" s="126" t="s">
        <v>156</v>
      </c>
      <c r="W343" s="124">
        <f ca="1">IF($C343="S",ROUND(IF(TIPOORCAMENTO="Proposto",ORÇAMENTO.CustoUnitario*(1+$AH343),ORÇAMENTO.PrecoUnitarioLicitado),15-13*$AF$10),0)</f>
        <v>0</v>
      </c>
      <c r="X343" s="127">
        <f ca="1">IF($C343="S",IF(Import.TipoArredondamento&lt;&gt;"TransfereGOV",VTOTAL1,SUM(OFFSET(CÁLCULO!$AA$15,ROW($X343)-ROW($X$15),1):OFFSET(CÁLCULO!$AL$15,ROW($X343)-ROW($X$15),-1))),IF($C343=0,0,ROUND(SomaAgrup,15-13*$AF$11)))</f>
        <v>0</v>
      </c>
      <c r="Y343" s="128" t="s">
        <v>245</v>
      </c>
      <c r="Z343" t="str">
        <f t="shared" ca="1" si="67"/>
        <v/>
      </c>
      <c r="AA343" s="129">
        <f ca="1">IF($C343="S",IF($Z343="CP",$X343,IF($Z343="RA",(($X343)*QCI!$AA$3),0)),SomaAgrup)</f>
        <v>0</v>
      </c>
      <c r="AB343" s="130">
        <f t="shared" ca="1" si="68"/>
        <v>0</v>
      </c>
      <c r="AC343" s="131" t="str">
        <f ca="1">IF($N343="","",IF(ORÇAMENTO.Descricao="","DESCRIÇÃO",IF(AND($C343="S",ORÇAMENTO.Unidade=""),"UNIDADE",IF($X343&lt;0,"VALOR NEGATIVO",IF(OR(AND(TIPOORCAMENTO="Proposto",$AG343&lt;&gt;"",$AG343&gt;0,ORÇAMENTO.CustoUnitario&gt;$AG343),AND(TIPOORCAMENTO="LICITADO",ORÇAMENTO.PrecoUnitarioLicitado&gt;$AN343)),"ACIMA REF.","")))))</f>
        <v/>
      </c>
      <c r="AD343" t="str">
        <f ca="1">IF(C343&lt;=CRONO.NivelExibicao,MAX($AD$15:OFFSET(AD343,-1,0))+IF($C343&lt;&gt;1,1,MAX(1,COUNTIF(QCI!$A$13:$A$24,OFFSET($E343,-1,0)))),"")</f>
        <v/>
      </c>
      <c r="AE343" s="7" t="str">
        <f ca="1">IF(AND($C343="S",ORÇAMENTO.CodBarra&lt;&gt;""),IF(ORÇAMENTO.Fonte="",ORÇAMENTO.CodBarra,CONCATENATE(ORÇAMENTO.Fonte," ",ORÇAMENTO.CodBarra)))</f>
        <v>SINAPI 89712</v>
      </c>
      <c r="AF343" s="13" t="str">
        <f ca="1">IF(ISERROR(INDIRECT(ORÇAMENTO.BancoRef)),"(abra o arquivo 'Referência "&amp;Excel_BuiltIn_Database&amp;".xlsm)",IF(OR($C343&lt;&gt;"S",ORÇAMENTO.CodBarra=""),"(Sem Código)",IF(ISERROR(MATCH($AE343,INDIRECT(ORÇAMENTO.BancoRef),0)),"(Código não identificado nas referências)",MATCH($AE343,INDIRECT(ORÇAMENTO.BancoRef),0))))</f>
        <v>(abra o arquivo 'Referência 02-2025.xlsm)</v>
      </c>
      <c r="AG343" s="498">
        <f ca="1">ROUND(IF(DESONERACAO="sim",REFERENCIA.Desonerado,REFERENCIA.NaoDesonerado),2)</f>
        <v>0</v>
      </c>
      <c r="AH343" s="499">
        <f t="shared" ca="1" si="69"/>
        <v>0.22470000000000001</v>
      </c>
      <c r="AJ343" s="501">
        <v>207.2</v>
      </c>
      <c r="AL343" s="527"/>
      <c r="AM343" s="381">
        <f t="shared" ca="1" si="70"/>
        <v>0</v>
      </c>
      <c r="AN343" s="566">
        <f t="shared" ca="1" si="71"/>
        <v>0</v>
      </c>
    </row>
    <row r="344" spans="1:40" ht="38.25" x14ac:dyDescent="0.2">
      <c r="A344" t="str">
        <f t="shared" si="56"/>
        <v>S</v>
      </c>
      <c r="B344">
        <f t="shared" ca="1" si="57"/>
        <v>3</v>
      </c>
      <c r="C344" t="str">
        <f t="shared" ca="1" si="58"/>
        <v>S</v>
      </c>
      <c r="D344">
        <f t="shared" ca="1" si="59"/>
        <v>0</v>
      </c>
      <c r="E344">
        <f ca="1">IF($C344=1,OFFSET(E344,-1,0)+MAX(1,COUNTIF(QCI!$A$13:$A$24,OFFSET(ORÇAMENTO!E344,-1,0))),OFFSET(E344,-1,0))</f>
        <v>1</v>
      </c>
      <c r="F344">
        <f t="shared" ca="1" si="60"/>
        <v>14</v>
      </c>
      <c r="G344">
        <f t="shared" ca="1" si="61"/>
        <v>1</v>
      </c>
      <c r="H344">
        <f t="shared" ca="1" si="62"/>
        <v>0</v>
      </c>
      <c r="I344">
        <f t="shared" ca="1" si="63"/>
        <v>0</v>
      </c>
      <c r="J344">
        <f t="shared" ca="1" si="90"/>
        <v>0</v>
      </c>
      <c r="K344">
        <f ca="1">IF(OR($C344="S",$C344=0),0,MATCH(OFFSET($D344,0,$C344)+IF($C344&lt;&gt;1,1,COUNTIF(QCI!$A$13:$A$24,ORÇAMENTO!E344)),OFFSET($D344,1,$C344,ROW($C$747)-ROW($C344)),0))</f>
        <v>0</v>
      </c>
      <c r="L344" s="116" t="str">
        <f t="shared" ca="1" si="64"/>
        <v/>
      </c>
      <c r="M344" s="117" t="s">
        <v>199</v>
      </c>
      <c r="N344" s="118" t="str">
        <f t="shared" ca="1" si="65"/>
        <v>Serviço</v>
      </c>
      <c r="O344" s="119" t="str">
        <f t="shared" ca="1" si="66"/>
        <v>-</v>
      </c>
      <c r="P344" s="120" t="s">
        <v>247</v>
      </c>
      <c r="Q344" s="121" t="s">
        <v>559</v>
      </c>
      <c r="R344" s="122" t="str">
        <f ca="1">IF($C344="S",REFERENCIA.Descricao,"(digite a descrição aqui)")</f>
        <v>(abra o arquivo 'Referência 02-2025.xlsm)</v>
      </c>
      <c r="S344" s="123" t="str">
        <f ca="1">REFERENCIA.Unidade</f>
        <v>-</v>
      </c>
      <c r="T344" s="124">
        <f ca="1">OFFSET(CÁLCULO!H$15,ROW($T344)-ROW(T$15),0)</f>
        <v>21.1</v>
      </c>
      <c r="U344" s="125">
        <f t="shared" ca="1" si="87"/>
        <v>0</v>
      </c>
      <c r="V344" s="126" t="s">
        <v>156</v>
      </c>
      <c r="W344" s="124">
        <f ca="1">IF($C344="S",ROUND(IF(TIPOORCAMENTO="Proposto",ORÇAMENTO.CustoUnitario*(1+$AH344),ORÇAMENTO.PrecoUnitarioLicitado),15-13*$AF$10),0)</f>
        <v>0</v>
      </c>
      <c r="X344" s="127">
        <f ca="1">IF($C344="S",IF(Import.TipoArredondamento&lt;&gt;"TransfereGOV",VTOTAL1,SUM(OFFSET(CÁLCULO!$AA$15,ROW($X344)-ROW($X$15),1):OFFSET(CÁLCULO!$AL$15,ROW($X344)-ROW($X$15),-1))),IF($C344=0,0,ROUND(SomaAgrup,15-13*$AF$11)))</f>
        <v>0</v>
      </c>
      <c r="Y344" s="128" t="s">
        <v>245</v>
      </c>
      <c r="Z344" t="str">
        <f t="shared" ca="1" si="67"/>
        <v/>
      </c>
      <c r="AA344" s="129">
        <f ca="1">IF($C344="S",IF($Z344="CP",$X344,IF($Z344="RA",(($X344)*QCI!$AA$3),0)),SomaAgrup)</f>
        <v>0</v>
      </c>
      <c r="AB344" s="130">
        <f t="shared" ca="1" si="68"/>
        <v>0</v>
      </c>
      <c r="AC344" s="131" t="str">
        <f ca="1">IF($N344="","",IF(ORÇAMENTO.Descricao="","DESCRIÇÃO",IF(AND($C344="S",ORÇAMENTO.Unidade=""),"UNIDADE",IF($X344&lt;0,"VALOR NEGATIVO",IF(OR(AND(TIPOORCAMENTO="Proposto",$AG344&lt;&gt;"",$AG344&gt;0,ORÇAMENTO.CustoUnitario&gt;$AG344),AND(TIPOORCAMENTO="LICITADO",ORÇAMENTO.PrecoUnitarioLicitado&gt;$AN344)),"ACIMA REF.","")))))</f>
        <v/>
      </c>
      <c r="AD344" t="str">
        <f ca="1">IF(C344&lt;=CRONO.NivelExibicao,MAX($AD$15:OFFSET(AD344,-1,0))+IF($C344&lt;&gt;1,1,MAX(1,COUNTIF(QCI!$A$13:$A$24,OFFSET($E344,-1,0)))),"")</f>
        <v/>
      </c>
      <c r="AE344" s="7" t="str">
        <f ca="1">IF(AND($C344="S",ORÇAMENTO.CodBarra&lt;&gt;""),IF(ORÇAMENTO.Fonte="",ORÇAMENTO.CodBarra,CONCATENATE(ORÇAMENTO.Fonte," ",ORÇAMENTO.CodBarra)))</f>
        <v>SINAPI 89713</v>
      </c>
      <c r="AF344" s="13" t="str">
        <f ca="1">IF(ISERROR(INDIRECT(ORÇAMENTO.BancoRef)),"(abra o arquivo 'Referência "&amp;Excel_BuiltIn_Database&amp;".xlsm)",IF(OR($C344&lt;&gt;"S",ORÇAMENTO.CodBarra=""),"(Sem Código)",IF(ISERROR(MATCH($AE344,INDIRECT(ORÇAMENTO.BancoRef),0)),"(Código não identificado nas referências)",MATCH($AE344,INDIRECT(ORÇAMENTO.BancoRef),0))))</f>
        <v>(abra o arquivo 'Referência 02-2025.xlsm)</v>
      </c>
      <c r="AG344" s="498">
        <f ca="1">ROUND(IF(DESONERACAO="sim",REFERENCIA.Desonerado,REFERENCIA.NaoDesonerado),2)</f>
        <v>0</v>
      </c>
      <c r="AH344" s="499">
        <f t="shared" ca="1" si="69"/>
        <v>0.22470000000000001</v>
      </c>
      <c r="AJ344" s="501">
        <v>21.1</v>
      </c>
      <c r="AL344" s="527"/>
      <c r="AM344" s="381">
        <f t="shared" ca="1" si="70"/>
        <v>0</v>
      </c>
      <c r="AN344" s="566">
        <f t="shared" ca="1" si="71"/>
        <v>0</v>
      </c>
    </row>
    <row r="345" spans="1:40" ht="38.25" x14ac:dyDescent="0.2">
      <c r="A345" t="str">
        <f t="shared" si="56"/>
        <v>S</v>
      </c>
      <c r="B345">
        <f t="shared" ca="1" si="57"/>
        <v>3</v>
      </c>
      <c r="C345" t="str">
        <f t="shared" ca="1" si="58"/>
        <v>S</v>
      </c>
      <c r="D345">
        <f t="shared" ca="1" si="59"/>
        <v>0</v>
      </c>
      <c r="E345">
        <f ca="1">IF($C345=1,OFFSET(E345,-1,0)+MAX(1,COUNTIF(QCI!$A$13:$A$24,OFFSET(ORÇAMENTO!E345,-1,0))),OFFSET(E345,-1,0))</f>
        <v>1</v>
      </c>
      <c r="F345">
        <f t="shared" ca="1" si="60"/>
        <v>14</v>
      </c>
      <c r="G345">
        <f t="shared" ca="1" si="61"/>
        <v>1</v>
      </c>
      <c r="H345">
        <f t="shared" ca="1" si="62"/>
        <v>0</v>
      </c>
      <c r="I345">
        <f t="shared" ca="1" si="63"/>
        <v>0</v>
      </c>
      <c r="J345">
        <f t="shared" ca="1" si="90"/>
        <v>0</v>
      </c>
      <c r="K345">
        <f ca="1">IF(OR($C345="S",$C345=0),0,MATCH(OFFSET($D345,0,$C345)+IF($C345&lt;&gt;1,1,COUNTIF(QCI!$A$13:$A$24,ORÇAMENTO!E345)),OFFSET($D345,1,$C345,ROW($C$747)-ROW($C345)),0))</f>
        <v>0</v>
      </c>
      <c r="L345" s="116" t="str">
        <f t="shared" ca="1" si="64"/>
        <v/>
      </c>
      <c r="M345" s="117" t="s">
        <v>199</v>
      </c>
      <c r="N345" s="118" t="str">
        <f t="shared" ca="1" si="65"/>
        <v>Serviço</v>
      </c>
      <c r="O345" s="119" t="str">
        <f t="shared" ca="1" si="66"/>
        <v>-</v>
      </c>
      <c r="P345" s="120" t="s">
        <v>247</v>
      </c>
      <c r="Q345" s="121" t="s">
        <v>560</v>
      </c>
      <c r="R345" s="122" t="str">
        <f ca="1">IF($C345="S",REFERENCIA.Descricao,"(digite a descrição aqui)")</f>
        <v>(abra o arquivo 'Referência 02-2025.xlsm)</v>
      </c>
      <c r="S345" s="123" t="str">
        <f ca="1">REFERENCIA.Unidade</f>
        <v>-</v>
      </c>
      <c r="T345" s="124">
        <f ca="1">OFFSET(CÁLCULO!H$15,ROW($T345)-ROW(T$15),0)</f>
        <v>252.1</v>
      </c>
      <c r="U345" s="125">
        <f t="shared" ca="1" si="87"/>
        <v>0</v>
      </c>
      <c r="V345" s="126" t="s">
        <v>156</v>
      </c>
      <c r="W345" s="124">
        <f ca="1">IF($C345="S",ROUND(IF(TIPOORCAMENTO="Proposto",ORÇAMENTO.CustoUnitario*(1+$AH345),ORÇAMENTO.PrecoUnitarioLicitado),15-13*$AF$10),0)</f>
        <v>0</v>
      </c>
      <c r="X345" s="127">
        <f ca="1">IF($C345="S",IF(Import.TipoArredondamento&lt;&gt;"TransfereGOV",VTOTAL1,SUM(OFFSET(CÁLCULO!$AA$15,ROW($X345)-ROW($X$15),1):OFFSET(CÁLCULO!$AL$15,ROW($X345)-ROW($X$15),-1))),IF($C345=0,0,ROUND(SomaAgrup,15-13*$AF$11)))</f>
        <v>0</v>
      </c>
      <c r="Y345" s="128" t="s">
        <v>245</v>
      </c>
      <c r="Z345" t="str">
        <f t="shared" ca="1" si="67"/>
        <v/>
      </c>
      <c r="AA345" s="129">
        <f ca="1">IF($C345="S",IF($Z345="CP",$X345,IF($Z345="RA",(($X345)*QCI!$AA$3),0)),SomaAgrup)</f>
        <v>0</v>
      </c>
      <c r="AB345" s="130">
        <f t="shared" ca="1" si="68"/>
        <v>0</v>
      </c>
      <c r="AC345" s="131" t="str">
        <f ca="1">IF($N345="","",IF(ORÇAMENTO.Descricao="","DESCRIÇÃO",IF(AND($C345="S",ORÇAMENTO.Unidade=""),"UNIDADE",IF($X345&lt;0,"VALOR NEGATIVO",IF(OR(AND(TIPOORCAMENTO="Proposto",$AG345&lt;&gt;"",$AG345&gt;0,ORÇAMENTO.CustoUnitario&gt;$AG345),AND(TIPOORCAMENTO="LICITADO",ORÇAMENTO.PrecoUnitarioLicitado&gt;$AN345)),"ACIMA REF.","")))))</f>
        <v/>
      </c>
      <c r="AD345" t="str">
        <f ca="1">IF(C345&lt;=CRONO.NivelExibicao,MAX($AD$15:OFFSET(AD345,-1,0))+IF($C345&lt;&gt;1,1,MAX(1,COUNTIF(QCI!$A$13:$A$24,OFFSET($E345,-1,0)))),"")</f>
        <v/>
      </c>
      <c r="AE345" s="7" t="str">
        <f ca="1">IF(AND($C345="S",ORÇAMENTO.CodBarra&lt;&gt;""),IF(ORÇAMENTO.Fonte="",ORÇAMENTO.CodBarra,CONCATENATE(ORÇAMENTO.Fonte," ",ORÇAMENTO.CodBarra)))</f>
        <v>SINAPI 89714</v>
      </c>
      <c r="AF345" s="13" t="str">
        <f ca="1">IF(ISERROR(INDIRECT(ORÇAMENTO.BancoRef)),"(abra o arquivo 'Referência "&amp;Excel_BuiltIn_Database&amp;".xlsm)",IF(OR($C345&lt;&gt;"S",ORÇAMENTO.CodBarra=""),"(Sem Código)",IF(ISERROR(MATCH($AE345,INDIRECT(ORÇAMENTO.BancoRef),0)),"(Código não identificado nas referências)",MATCH($AE345,INDIRECT(ORÇAMENTO.BancoRef),0))))</f>
        <v>(abra o arquivo 'Referência 02-2025.xlsm)</v>
      </c>
      <c r="AG345" s="498">
        <f ca="1">ROUND(IF(DESONERACAO="sim",REFERENCIA.Desonerado,REFERENCIA.NaoDesonerado),2)</f>
        <v>0</v>
      </c>
      <c r="AH345" s="499">
        <f t="shared" ca="1" si="69"/>
        <v>0.22470000000000001</v>
      </c>
      <c r="AJ345" s="501">
        <v>252.1</v>
      </c>
      <c r="AL345" s="527"/>
      <c r="AM345" s="381">
        <f t="shared" ca="1" si="70"/>
        <v>0</v>
      </c>
      <c r="AN345" s="566">
        <f t="shared" ca="1" si="71"/>
        <v>0</v>
      </c>
    </row>
    <row r="346" spans="1:40" ht="38.25" x14ac:dyDescent="0.2">
      <c r="A346" t="str">
        <f t="shared" si="56"/>
        <v>S</v>
      </c>
      <c r="B346">
        <f t="shared" ca="1" si="57"/>
        <v>3</v>
      </c>
      <c r="C346" t="str">
        <f t="shared" ca="1" si="58"/>
        <v>S</v>
      </c>
      <c r="D346">
        <f t="shared" ca="1" si="59"/>
        <v>0</v>
      </c>
      <c r="E346">
        <f ca="1">IF($C346=1,OFFSET(E346,-1,0)+MAX(1,COUNTIF(QCI!$A$13:$A$24,OFFSET(ORÇAMENTO!E346,-1,0))),OFFSET(E346,-1,0))</f>
        <v>1</v>
      </c>
      <c r="F346">
        <f t="shared" ca="1" si="60"/>
        <v>14</v>
      </c>
      <c r="G346">
        <f t="shared" ca="1" si="61"/>
        <v>1</v>
      </c>
      <c r="H346">
        <f t="shared" ca="1" si="62"/>
        <v>0</v>
      </c>
      <c r="I346">
        <f t="shared" ca="1" si="63"/>
        <v>0</v>
      </c>
      <c r="J346">
        <f t="shared" ca="1" si="90"/>
        <v>0</v>
      </c>
      <c r="K346">
        <f ca="1">IF(OR($C346="S",$C346=0),0,MATCH(OFFSET($D346,0,$C346)+IF($C346&lt;&gt;1,1,COUNTIF(QCI!$A$13:$A$24,ORÇAMENTO!E346)),OFFSET($D346,1,$C346,ROW($C$747)-ROW($C346)),0))</f>
        <v>0</v>
      </c>
      <c r="L346" s="116" t="str">
        <f t="shared" ca="1" si="64"/>
        <v/>
      </c>
      <c r="M346" s="117" t="s">
        <v>199</v>
      </c>
      <c r="N346" s="118" t="str">
        <f t="shared" ca="1" si="65"/>
        <v>Serviço</v>
      </c>
      <c r="O346" s="119" t="str">
        <f t="shared" ca="1" si="66"/>
        <v>-</v>
      </c>
      <c r="P346" s="120" t="s">
        <v>247</v>
      </c>
      <c r="Q346" s="121" t="s">
        <v>561</v>
      </c>
      <c r="R346" s="122" t="str">
        <f ca="1">IF($C346="S",REFERENCIA.Descricao,"(digite a descrição aqui)")</f>
        <v>(abra o arquivo 'Referência 02-2025.xlsm)</v>
      </c>
      <c r="S346" s="123" t="str">
        <f ca="1">REFERENCIA.Unidade</f>
        <v>-</v>
      </c>
      <c r="T346" s="124">
        <f ca="1">OFFSET(CÁLCULO!H$15,ROW($T346)-ROW(T$15),0)</f>
        <v>39</v>
      </c>
      <c r="U346" s="125">
        <f t="shared" ca="1" si="87"/>
        <v>0</v>
      </c>
      <c r="V346" s="126" t="s">
        <v>156</v>
      </c>
      <c r="W346" s="124">
        <f ca="1">IF($C346="S",ROUND(IF(TIPOORCAMENTO="Proposto",ORÇAMENTO.CustoUnitario*(1+$AH346),ORÇAMENTO.PrecoUnitarioLicitado),15-13*$AF$10),0)</f>
        <v>0</v>
      </c>
      <c r="X346" s="127">
        <f ca="1">IF($C346="S",IF(Import.TipoArredondamento&lt;&gt;"TransfereGOV",VTOTAL1,SUM(OFFSET(CÁLCULO!$AA$15,ROW($X346)-ROW($X$15),1):OFFSET(CÁLCULO!$AL$15,ROW($X346)-ROW($X$15),-1))),IF($C346=0,0,ROUND(SomaAgrup,15-13*$AF$11)))</f>
        <v>0</v>
      </c>
      <c r="Y346" s="128" t="s">
        <v>245</v>
      </c>
      <c r="Z346" t="str">
        <f t="shared" ca="1" si="67"/>
        <v/>
      </c>
      <c r="AA346" s="129">
        <f ca="1">IF($C346="S",IF($Z346="CP",$X346,IF($Z346="RA",(($X346)*QCI!$AA$3),0)),SomaAgrup)</f>
        <v>0</v>
      </c>
      <c r="AB346" s="130">
        <f t="shared" ca="1" si="68"/>
        <v>0</v>
      </c>
      <c r="AC346" s="131" t="str">
        <f ca="1">IF($N346="","",IF(ORÇAMENTO.Descricao="","DESCRIÇÃO",IF(AND($C346="S",ORÇAMENTO.Unidade=""),"UNIDADE",IF($X346&lt;0,"VALOR NEGATIVO",IF(OR(AND(TIPOORCAMENTO="Proposto",$AG346&lt;&gt;"",$AG346&gt;0,ORÇAMENTO.CustoUnitario&gt;$AG346),AND(TIPOORCAMENTO="LICITADO",ORÇAMENTO.PrecoUnitarioLicitado&gt;$AN346)),"ACIMA REF.","")))))</f>
        <v/>
      </c>
      <c r="AD346" t="str">
        <f ca="1">IF(C346&lt;=CRONO.NivelExibicao,MAX($AD$15:OFFSET(AD346,-1,0))+IF($C346&lt;&gt;1,1,MAX(1,COUNTIF(QCI!$A$13:$A$24,OFFSET($E346,-1,0)))),"")</f>
        <v/>
      </c>
      <c r="AE346" s="7" t="str">
        <f ca="1">IF(AND($C346="S",ORÇAMENTO.CodBarra&lt;&gt;""),IF(ORÇAMENTO.Fonte="",ORÇAMENTO.CodBarra,CONCATENATE(ORÇAMENTO.Fonte," ",ORÇAMENTO.CodBarra)))</f>
        <v>SINAPI 89849</v>
      </c>
      <c r="AF346" s="13" t="str">
        <f ca="1">IF(ISERROR(INDIRECT(ORÇAMENTO.BancoRef)),"(abra o arquivo 'Referência "&amp;Excel_BuiltIn_Database&amp;".xlsm)",IF(OR($C346&lt;&gt;"S",ORÇAMENTO.CodBarra=""),"(Sem Código)",IF(ISERROR(MATCH($AE346,INDIRECT(ORÇAMENTO.BancoRef),0)),"(Código não identificado nas referências)",MATCH($AE346,INDIRECT(ORÇAMENTO.BancoRef),0))))</f>
        <v>(abra o arquivo 'Referência 02-2025.xlsm)</v>
      </c>
      <c r="AG346" s="498">
        <f ca="1">ROUND(IF(DESONERACAO="sim",REFERENCIA.Desonerado,REFERENCIA.NaoDesonerado),2)</f>
        <v>0</v>
      </c>
      <c r="AH346" s="499">
        <f t="shared" ca="1" si="69"/>
        <v>0.22470000000000001</v>
      </c>
      <c r="AJ346" s="501">
        <v>39</v>
      </c>
      <c r="AL346" s="527"/>
      <c r="AM346" s="381">
        <f t="shared" ca="1" si="70"/>
        <v>0</v>
      </c>
      <c r="AN346" s="566">
        <f t="shared" ca="1" si="71"/>
        <v>0</v>
      </c>
    </row>
    <row r="347" spans="1:40" ht="51" x14ac:dyDescent="0.2">
      <c r="A347" t="str">
        <f t="shared" si="56"/>
        <v>S</v>
      </c>
      <c r="B347">
        <f t="shared" ca="1" si="57"/>
        <v>3</v>
      </c>
      <c r="C347" t="str">
        <f t="shared" ca="1" si="58"/>
        <v>S</v>
      </c>
      <c r="D347">
        <f t="shared" ca="1" si="59"/>
        <v>0</v>
      </c>
      <c r="E347">
        <f ca="1">IF($C347=1,OFFSET(E347,-1,0)+MAX(1,COUNTIF(QCI!$A$13:$A$24,OFFSET(ORÇAMENTO!E347,-1,0))),OFFSET(E347,-1,0))</f>
        <v>1</v>
      </c>
      <c r="F347">
        <f t="shared" ca="1" si="60"/>
        <v>14</v>
      </c>
      <c r="G347">
        <f t="shared" ca="1" si="61"/>
        <v>1</v>
      </c>
      <c r="H347">
        <f t="shared" ca="1" si="62"/>
        <v>0</v>
      </c>
      <c r="I347">
        <f t="shared" ca="1" si="63"/>
        <v>0</v>
      </c>
      <c r="J347">
        <f t="shared" ca="1" si="90"/>
        <v>0</v>
      </c>
      <c r="K347">
        <f ca="1">IF(OR($C347="S",$C347=0),0,MATCH(OFFSET($D347,0,$C347)+IF($C347&lt;&gt;1,1,COUNTIF(QCI!$A$13:$A$24,ORÇAMENTO!E347)),OFFSET($D347,1,$C347,ROW($C$747)-ROW($C347)),0))</f>
        <v>0</v>
      </c>
      <c r="L347" s="116" t="str">
        <f t="shared" ca="1" si="64"/>
        <v/>
      </c>
      <c r="M347" s="117" t="s">
        <v>199</v>
      </c>
      <c r="N347" s="118" t="str">
        <f t="shared" ca="1" si="65"/>
        <v>Serviço</v>
      </c>
      <c r="O347" s="119" t="str">
        <f t="shared" ca="1" si="66"/>
        <v>-</v>
      </c>
      <c r="P347" s="120" t="s">
        <v>247</v>
      </c>
      <c r="Q347" s="121" t="s">
        <v>570</v>
      </c>
      <c r="R347" s="122" t="str">
        <f ca="1">IF($C347="S",REFERENCIA.Descricao,"(digite a descrição aqui)")</f>
        <v>(abra o arquivo 'Referência 02-2025.xlsm)</v>
      </c>
      <c r="S347" s="123" t="str">
        <f ca="1">REFERENCIA.Unidade</f>
        <v>-</v>
      </c>
      <c r="T347" s="124">
        <f ca="1">OFFSET(CÁLCULO!H$15,ROW($T347)-ROW(T$15),0)</f>
        <v>24</v>
      </c>
      <c r="U347" s="125">
        <f t="shared" ca="1" si="87"/>
        <v>0</v>
      </c>
      <c r="V347" s="126" t="s">
        <v>156</v>
      </c>
      <c r="W347" s="124">
        <f ca="1">IF($C347="S",ROUND(IF(TIPOORCAMENTO="Proposto",ORÇAMENTO.CustoUnitario*(1+$AH347),ORÇAMENTO.PrecoUnitarioLicitado),15-13*$AF$10),0)</f>
        <v>0</v>
      </c>
      <c r="X347" s="127">
        <f ca="1">IF($C347="S",IF(Import.TipoArredondamento&lt;&gt;"TransfereGOV",VTOTAL1,SUM(OFFSET(CÁLCULO!$AA$15,ROW($X347)-ROW($X$15),1):OFFSET(CÁLCULO!$AL$15,ROW($X347)-ROW($X$15),-1))),IF($C347=0,0,ROUND(SomaAgrup,15-13*$AF$11)))</f>
        <v>0</v>
      </c>
      <c r="Y347" s="128" t="s">
        <v>245</v>
      </c>
      <c r="Z347" t="str">
        <f t="shared" ca="1" si="67"/>
        <v/>
      </c>
      <c r="AA347" s="129">
        <f ca="1">IF($C347="S",IF($Z347="CP",$X347,IF($Z347="RA",(($X347)*QCI!$AA$3),0)),SomaAgrup)</f>
        <v>0</v>
      </c>
      <c r="AB347" s="130">
        <f t="shared" ca="1" si="68"/>
        <v>0</v>
      </c>
      <c r="AC347" s="131" t="str">
        <f ca="1">IF($N347="","",IF(ORÇAMENTO.Descricao="","DESCRIÇÃO",IF(AND($C347="S",ORÇAMENTO.Unidade=""),"UNIDADE",IF($X347&lt;0,"VALOR NEGATIVO",IF(OR(AND(TIPOORCAMENTO="Proposto",$AG347&lt;&gt;"",$AG347&gt;0,ORÇAMENTO.CustoUnitario&gt;$AG347),AND(TIPOORCAMENTO="LICITADO",ORÇAMENTO.PrecoUnitarioLicitado&gt;$AN347)),"ACIMA REF.","")))))</f>
        <v/>
      </c>
      <c r="AD347" t="str">
        <f ca="1">IF(C347&lt;=CRONO.NivelExibicao,MAX($AD$15:OFFSET(AD347,-1,0))+IF($C347&lt;&gt;1,1,MAX(1,COUNTIF(QCI!$A$13:$A$24,OFFSET($E347,-1,0)))),"")</f>
        <v/>
      </c>
      <c r="AE347" s="7" t="str">
        <f ca="1">IF(AND($C347="S",ORÇAMENTO.CodBarra&lt;&gt;""),IF(ORÇAMENTO.Fonte="",ORÇAMENTO.CodBarra,CONCATENATE(ORÇAMENTO.Fonte," ",ORÇAMENTO.CodBarra)))</f>
        <v>SINAPI 104341</v>
      </c>
      <c r="AF347" s="13" t="str">
        <f ca="1">IF(ISERROR(INDIRECT(ORÇAMENTO.BancoRef)),"(abra o arquivo 'Referência "&amp;Excel_BuiltIn_Database&amp;".xlsm)",IF(OR($C347&lt;&gt;"S",ORÇAMENTO.CodBarra=""),"(Sem Código)",IF(ISERROR(MATCH($AE347,INDIRECT(ORÇAMENTO.BancoRef),0)),"(Código não identificado nas referências)",MATCH($AE347,INDIRECT(ORÇAMENTO.BancoRef),0))))</f>
        <v>(abra o arquivo 'Referência 02-2025.xlsm)</v>
      </c>
      <c r="AG347" s="498">
        <f ca="1">ROUND(IF(DESONERACAO="sim",REFERENCIA.Desonerado,REFERENCIA.NaoDesonerado),2)</f>
        <v>0</v>
      </c>
      <c r="AH347" s="499">
        <f t="shared" ca="1" si="69"/>
        <v>0.22470000000000001</v>
      </c>
      <c r="AJ347" s="501">
        <v>24</v>
      </c>
      <c r="AL347" s="527"/>
      <c r="AM347" s="381">
        <f t="shared" ca="1" si="70"/>
        <v>0</v>
      </c>
      <c r="AN347" s="566">
        <f t="shared" ca="1" si="71"/>
        <v>0</v>
      </c>
    </row>
    <row r="348" spans="1:40" ht="38.25" x14ac:dyDescent="0.2">
      <c r="A348" t="str">
        <f t="shared" si="56"/>
        <v>S</v>
      </c>
      <c r="B348">
        <f t="shared" ca="1" si="57"/>
        <v>3</v>
      </c>
      <c r="C348" t="str">
        <f t="shared" ca="1" si="58"/>
        <v>S</v>
      </c>
      <c r="D348">
        <f t="shared" ca="1" si="59"/>
        <v>0</v>
      </c>
      <c r="E348">
        <f ca="1">IF($C348=1,OFFSET(E348,-1,0)+MAX(1,COUNTIF(QCI!$A$13:$A$24,OFFSET(ORÇAMENTO!E348,-1,0))),OFFSET(E348,-1,0))</f>
        <v>1</v>
      </c>
      <c r="F348">
        <f t="shared" ca="1" si="60"/>
        <v>14</v>
      </c>
      <c r="G348">
        <f t="shared" ca="1" si="61"/>
        <v>1</v>
      </c>
      <c r="H348">
        <f t="shared" ca="1" si="62"/>
        <v>0</v>
      </c>
      <c r="I348">
        <f t="shared" ca="1" si="63"/>
        <v>0</v>
      </c>
      <c r="J348">
        <f t="shared" ca="1" si="90"/>
        <v>0</v>
      </c>
      <c r="K348">
        <f ca="1">IF(OR($C348="S",$C348=0),0,MATCH(OFFSET($D348,0,$C348)+IF($C348&lt;&gt;1,1,COUNTIF(QCI!$A$13:$A$24,ORÇAMENTO!E348)),OFFSET($D348,1,$C348,ROW($C$747)-ROW($C348)),0))</f>
        <v>0</v>
      </c>
      <c r="L348" s="116" t="str">
        <f t="shared" ca="1" si="64"/>
        <v/>
      </c>
      <c r="M348" s="117" t="s">
        <v>199</v>
      </c>
      <c r="N348" s="118" t="str">
        <f t="shared" ca="1" si="65"/>
        <v>Serviço</v>
      </c>
      <c r="O348" s="119" t="str">
        <f t="shared" ca="1" si="66"/>
        <v>-</v>
      </c>
      <c r="P348" s="120" t="s">
        <v>247</v>
      </c>
      <c r="Q348" s="121" t="s">
        <v>572</v>
      </c>
      <c r="R348" s="122" t="str">
        <f ca="1">IF($C348="S",REFERENCIA.Descricao,"(digite a descrição aqui)")</f>
        <v>(abra o arquivo 'Referência 02-2025.xlsm)</v>
      </c>
      <c r="S348" s="123" t="str">
        <f ca="1">REFERENCIA.Unidade</f>
        <v>-</v>
      </c>
      <c r="T348" s="124">
        <f ca="1">OFFSET(CÁLCULO!H$15,ROW($T348)-ROW(T$15),0)</f>
        <v>74</v>
      </c>
      <c r="U348" s="125">
        <f t="shared" ca="1" si="87"/>
        <v>0</v>
      </c>
      <c r="V348" s="126" t="s">
        <v>156</v>
      </c>
      <c r="W348" s="124">
        <f ca="1">IF($C348="S",ROUND(IF(TIPOORCAMENTO="Proposto",ORÇAMENTO.CustoUnitario*(1+$AH348),ORÇAMENTO.PrecoUnitarioLicitado),15-13*$AF$10),0)</f>
        <v>0</v>
      </c>
      <c r="X348" s="127">
        <f ca="1">IF($C348="S",IF(Import.TipoArredondamento&lt;&gt;"TransfereGOV",VTOTAL1,SUM(OFFSET(CÁLCULO!$AA$15,ROW($X348)-ROW($X$15),1):OFFSET(CÁLCULO!$AL$15,ROW($X348)-ROW($X$15),-1))),IF($C348=0,0,ROUND(SomaAgrup,15-13*$AF$11)))</f>
        <v>0</v>
      </c>
      <c r="Y348" s="128" t="s">
        <v>245</v>
      </c>
      <c r="Z348" t="str">
        <f t="shared" ca="1" si="67"/>
        <v/>
      </c>
      <c r="AA348" s="129">
        <f ca="1">IF($C348="S",IF($Z348="CP",$X348,IF($Z348="RA",(($X348)*QCI!$AA$3),0)),SomaAgrup)</f>
        <v>0</v>
      </c>
      <c r="AB348" s="130">
        <f t="shared" ca="1" si="68"/>
        <v>0</v>
      </c>
      <c r="AC348" s="131" t="str">
        <f ca="1">IF($N348="","",IF(ORÇAMENTO.Descricao="","DESCRIÇÃO",IF(AND($C348="S",ORÇAMENTO.Unidade=""),"UNIDADE",IF($X348&lt;0,"VALOR NEGATIVO",IF(OR(AND(TIPOORCAMENTO="Proposto",$AG348&lt;&gt;"",$AG348&gt;0,ORÇAMENTO.CustoUnitario&gt;$AG348),AND(TIPOORCAMENTO="LICITADO",ORÇAMENTO.PrecoUnitarioLicitado&gt;$AN348)),"ACIMA REF.","")))))</f>
        <v/>
      </c>
      <c r="AD348" t="str">
        <f ca="1">IF(C348&lt;=CRONO.NivelExibicao,MAX($AD$15:OFFSET(AD348,-1,0))+IF($C348&lt;&gt;1,1,MAX(1,COUNTIF(QCI!$A$13:$A$24,OFFSET($E348,-1,0)))),"")</f>
        <v/>
      </c>
      <c r="AE348" s="7" t="str">
        <f ca="1">IF(AND($C348="S",ORÇAMENTO.CodBarra&lt;&gt;""),IF(ORÇAMENTO.Fonte="",ORÇAMENTO.CodBarra,CONCATENATE(ORÇAMENTO.Fonte," ",ORÇAMENTO.CodBarra)))</f>
        <v>SINAPI 89728</v>
      </c>
      <c r="AF348" s="13" t="str">
        <f ca="1">IF(ISERROR(INDIRECT(ORÇAMENTO.BancoRef)),"(abra o arquivo 'Referência "&amp;Excel_BuiltIn_Database&amp;".xlsm)",IF(OR($C348&lt;&gt;"S",ORÇAMENTO.CodBarra=""),"(Sem Código)",IF(ISERROR(MATCH($AE348,INDIRECT(ORÇAMENTO.BancoRef),0)),"(Código não identificado nas referências)",MATCH($AE348,INDIRECT(ORÇAMENTO.BancoRef),0))))</f>
        <v>(abra o arquivo 'Referência 02-2025.xlsm)</v>
      </c>
      <c r="AG348" s="498">
        <f ca="1">ROUND(IF(DESONERACAO="sim",REFERENCIA.Desonerado,REFERENCIA.NaoDesonerado),2)</f>
        <v>0</v>
      </c>
      <c r="AH348" s="499">
        <f t="shared" ca="1" si="69"/>
        <v>0.22470000000000001</v>
      </c>
      <c r="AJ348" s="501">
        <v>74</v>
      </c>
      <c r="AL348" s="527"/>
      <c r="AM348" s="381">
        <f t="shared" ca="1" si="70"/>
        <v>0</v>
      </c>
      <c r="AN348" s="566">
        <f t="shared" ca="1" si="71"/>
        <v>0</v>
      </c>
    </row>
    <row r="349" spans="1:40" ht="38.25" x14ac:dyDescent="0.2">
      <c r="A349" t="str">
        <f t="shared" si="56"/>
        <v>S</v>
      </c>
      <c r="B349">
        <f t="shared" ca="1" si="57"/>
        <v>3</v>
      </c>
      <c r="C349" t="str">
        <f t="shared" ca="1" si="58"/>
        <v>S</v>
      </c>
      <c r="D349">
        <f t="shared" ca="1" si="59"/>
        <v>0</v>
      </c>
      <c r="E349">
        <f ca="1">IF($C349=1,OFFSET(E349,-1,0)+MAX(1,COUNTIF(QCI!$A$13:$A$24,OFFSET(ORÇAMENTO!E349,-1,0))),OFFSET(E349,-1,0))</f>
        <v>1</v>
      </c>
      <c r="F349">
        <f t="shared" ca="1" si="60"/>
        <v>14</v>
      </c>
      <c r="G349">
        <f t="shared" ca="1" si="61"/>
        <v>1</v>
      </c>
      <c r="H349">
        <f t="shared" ca="1" si="62"/>
        <v>0</v>
      </c>
      <c r="I349">
        <f t="shared" ca="1" si="63"/>
        <v>0</v>
      </c>
      <c r="J349">
        <f t="shared" ca="1" si="90"/>
        <v>0</v>
      </c>
      <c r="K349">
        <f ca="1">IF(OR($C349="S",$C349=0),0,MATCH(OFFSET($D349,0,$C349)+IF($C349&lt;&gt;1,1,COUNTIF(QCI!$A$13:$A$24,ORÇAMENTO!E349)),OFFSET($D349,1,$C349,ROW($C$747)-ROW($C349)),0))</f>
        <v>0</v>
      </c>
      <c r="L349" s="116" t="str">
        <f t="shared" ca="1" si="64"/>
        <v/>
      </c>
      <c r="M349" s="117" t="s">
        <v>199</v>
      </c>
      <c r="N349" s="118" t="str">
        <f t="shared" ca="1" si="65"/>
        <v>Serviço</v>
      </c>
      <c r="O349" s="119" t="str">
        <f t="shared" ca="1" si="66"/>
        <v>-</v>
      </c>
      <c r="P349" s="120" t="s">
        <v>247</v>
      </c>
      <c r="Q349" s="121" t="s">
        <v>573</v>
      </c>
      <c r="R349" s="122" t="str">
        <f ca="1">IF($C349="S",REFERENCIA.Descricao,"(digite a descrição aqui)")</f>
        <v>(abra o arquivo 'Referência 02-2025.xlsm)</v>
      </c>
      <c r="S349" s="123" t="str">
        <f ca="1">REFERENCIA.Unidade</f>
        <v>-</v>
      </c>
      <c r="T349" s="124">
        <f ca="1">OFFSET(CÁLCULO!H$15,ROW($T349)-ROW(T$15),0)</f>
        <v>8</v>
      </c>
      <c r="U349" s="125">
        <f t="shared" ca="1" si="87"/>
        <v>0</v>
      </c>
      <c r="V349" s="126" t="s">
        <v>156</v>
      </c>
      <c r="W349" s="124">
        <f ca="1">IF($C349="S",ROUND(IF(TIPOORCAMENTO="Proposto",ORÇAMENTO.CustoUnitario*(1+$AH349),ORÇAMENTO.PrecoUnitarioLicitado),15-13*$AF$10),0)</f>
        <v>0</v>
      </c>
      <c r="X349" s="127">
        <f ca="1">IF($C349="S",IF(Import.TipoArredondamento&lt;&gt;"TransfereGOV",VTOTAL1,SUM(OFFSET(CÁLCULO!$AA$15,ROW($X349)-ROW($X$15),1):OFFSET(CÁLCULO!$AL$15,ROW($X349)-ROW($X$15),-1))),IF($C349=0,0,ROUND(SomaAgrup,15-13*$AF$11)))</f>
        <v>0</v>
      </c>
      <c r="Y349" s="128" t="s">
        <v>245</v>
      </c>
      <c r="Z349" t="str">
        <f t="shared" ca="1" si="67"/>
        <v/>
      </c>
      <c r="AA349" s="129">
        <f ca="1">IF($C349="S",IF($Z349="CP",$X349,IF($Z349="RA",(($X349)*QCI!$AA$3),0)),SomaAgrup)</f>
        <v>0</v>
      </c>
      <c r="AB349" s="130">
        <f t="shared" ca="1" si="68"/>
        <v>0</v>
      </c>
      <c r="AC349" s="131" t="str">
        <f ca="1">IF($N349="","",IF(ORÇAMENTO.Descricao="","DESCRIÇÃO",IF(AND($C349="S",ORÇAMENTO.Unidade=""),"UNIDADE",IF($X349&lt;0,"VALOR NEGATIVO",IF(OR(AND(TIPOORCAMENTO="Proposto",$AG349&lt;&gt;"",$AG349&gt;0,ORÇAMENTO.CustoUnitario&gt;$AG349),AND(TIPOORCAMENTO="LICITADO",ORÇAMENTO.PrecoUnitarioLicitado&gt;$AN349)),"ACIMA REF.","")))))</f>
        <v/>
      </c>
      <c r="AD349" t="str">
        <f ca="1">IF(C349&lt;=CRONO.NivelExibicao,MAX($AD$15:OFFSET(AD349,-1,0))+IF($C349&lt;&gt;1,1,MAX(1,COUNTIF(QCI!$A$13:$A$24,OFFSET($E349,-1,0)))),"")</f>
        <v/>
      </c>
      <c r="AE349" s="7" t="str">
        <f ca="1">IF(AND($C349="S",ORÇAMENTO.CodBarra&lt;&gt;""),IF(ORÇAMENTO.Fonte="",ORÇAMENTO.CodBarra,CONCATENATE(ORÇAMENTO.Fonte," ",ORÇAMENTO.CodBarra)))</f>
        <v>SINAPI 89803</v>
      </c>
      <c r="AF349" s="13" t="str">
        <f ca="1">IF(ISERROR(INDIRECT(ORÇAMENTO.BancoRef)),"(abra o arquivo 'Referência "&amp;Excel_BuiltIn_Database&amp;".xlsm)",IF(OR($C349&lt;&gt;"S",ORÇAMENTO.CodBarra=""),"(Sem Código)",IF(ISERROR(MATCH($AE349,INDIRECT(ORÇAMENTO.BancoRef),0)),"(Código não identificado nas referências)",MATCH($AE349,INDIRECT(ORÇAMENTO.BancoRef),0))))</f>
        <v>(abra o arquivo 'Referência 02-2025.xlsm)</v>
      </c>
      <c r="AG349" s="498">
        <f ca="1">ROUND(IF(DESONERACAO="sim",REFERENCIA.Desonerado,REFERENCIA.NaoDesonerado),2)</f>
        <v>0</v>
      </c>
      <c r="AH349" s="499">
        <f t="shared" ca="1" si="69"/>
        <v>0.22470000000000001</v>
      </c>
      <c r="AJ349" s="501">
        <v>8</v>
      </c>
      <c r="AL349" s="527"/>
      <c r="AM349" s="381">
        <f t="shared" ca="1" si="70"/>
        <v>0</v>
      </c>
      <c r="AN349" s="566">
        <f t="shared" ca="1" si="71"/>
        <v>0</v>
      </c>
    </row>
    <row r="350" spans="1:40" ht="38.25" x14ac:dyDescent="0.2">
      <c r="A350" t="str">
        <f t="shared" si="56"/>
        <v>S</v>
      </c>
      <c r="B350">
        <f t="shared" ca="1" si="57"/>
        <v>3</v>
      </c>
      <c r="C350" t="str">
        <f t="shared" ca="1" si="58"/>
        <v>S</v>
      </c>
      <c r="D350">
        <f t="shared" ca="1" si="59"/>
        <v>0</v>
      </c>
      <c r="E350">
        <f ca="1">IF($C350=1,OFFSET(E350,-1,0)+MAX(1,COUNTIF(QCI!$A$13:$A$24,OFFSET(ORÇAMENTO!E350,-1,0))),OFFSET(E350,-1,0))</f>
        <v>1</v>
      </c>
      <c r="F350">
        <f t="shared" ca="1" si="60"/>
        <v>14</v>
      </c>
      <c r="G350">
        <f t="shared" ca="1" si="61"/>
        <v>1</v>
      </c>
      <c r="H350">
        <f t="shared" ca="1" si="62"/>
        <v>0</v>
      </c>
      <c r="I350">
        <f t="shared" ca="1" si="63"/>
        <v>0</v>
      </c>
      <c r="J350">
        <f t="shared" ca="1" si="90"/>
        <v>0</v>
      </c>
      <c r="K350">
        <f ca="1">IF(OR($C350="S",$C350=0),0,MATCH(OFFSET($D350,0,$C350)+IF($C350&lt;&gt;1,1,COUNTIF(QCI!$A$13:$A$24,ORÇAMENTO!E350)),OFFSET($D350,1,$C350,ROW($C$747)-ROW($C350)),0))</f>
        <v>0</v>
      </c>
      <c r="L350" s="116" t="str">
        <f t="shared" ca="1" si="64"/>
        <v/>
      </c>
      <c r="M350" s="117" t="s">
        <v>199</v>
      </c>
      <c r="N350" s="118" t="str">
        <f t="shared" ca="1" si="65"/>
        <v>Serviço</v>
      </c>
      <c r="O350" s="119" t="str">
        <f t="shared" ca="1" si="66"/>
        <v>-</v>
      </c>
      <c r="P350" s="120" t="s">
        <v>247</v>
      </c>
      <c r="Q350" s="121" t="s">
        <v>571</v>
      </c>
      <c r="R350" s="122" t="str">
        <f ca="1">IF($C350="S",REFERENCIA.Descricao,"(digite a descrição aqui)")</f>
        <v>(abra o arquivo 'Referência 02-2025.xlsm)</v>
      </c>
      <c r="S350" s="123" t="str">
        <f ca="1">REFERENCIA.Unidade</f>
        <v>-</v>
      </c>
      <c r="T350" s="124">
        <f ca="1">OFFSET(CÁLCULO!H$15,ROW($T350)-ROW(T$15),0)</f>
        <v>24</v>
      </c>
      <c r="U350" s="125">
        <f t="shared" ca="1" si="87"/>
        <v>0</v>
      </c>
      <c r="V350" s="126" t="s">
        <v>156</v>
      </c>
      <c r="W350" s="124">
        <f ca="1">IF($C350="S",ROUND(IF(TIPOORCAMENTO="Proposto",ORÇAMENTO.CustoUnitario*(1+$AH350),ORÇAMENTO.PrecoUnitarioLicitado),15-13*$AF$10),0)</f>
        <v>0</v>
      </c>
      <c r="X350" s="127">
        <f ca="1">IF($C350="S",IF(Import.TipoArredondamento&lt;&gt;"TransfereGOV",VTOTAL1,SUM(OFFSET(CÁLCULO!$AA$15,ROW($X350)-ROW($X$15),1):OFFSET(CÁLCULO!$AL$15,ROW($X350)-ROW($X$15),-1))),IF($C350=0,0,ROUND(SomaAgrup,15-13*$AF$11)))</f>
        <v>0</v>
      </c>
      <c r="Y350" s="128" t="s">
        <v>245</v>
      </c>
      <c r="Z350" t="str">
        <f t="shared" ca="1" si="67"/>
        <v/>
      </c>
      <c r="AA350" s="129">
        <f ca="1">IF($C350="S",IF($Z350="CP",$X350,IF($Z350="RA",(($X350)*QCI!$AA$3),0)),SomaAgrup)</f>
        <v>0</v>
      </c>
      <c r="AB350" s="130">
        <f t="shared" ca="1" si="68"/>
        <v>0</v>
      </c>
      <c r="AC350" s="131" t="str">
        <f ca="1">IF($N350="","",IF(ORÇAMENTO.Descricao="","DESCRIÇÃO",IF(AND($C350="S",ORÇAMENTO.Unidade=""),"UNIDADE",IF($X350&lt;0,"VALOR NEGATIVO",IF(OR(AND(TIPOORCAMENTO="Proposto",$AG350&lt;&gt;"",$AG350&gt;0,ORÇAMENTO.CustoUnitario&gt;$AG350),AND(TIPOORCAMENTO="LICITADO",ORÇAMENTO.PrecoUnitarioLicitado&gt;$AN350)),"ACIMA REF.","")))))</f>
        <v/>
      </c>
      <c r="AD350" t="str">
        <f ca="1">IF(C350&lt;=CRONO.NivelExibicao,MAX($AD$15:OFFSET(AD350,-1,0))+IF($C350&lt;&gt;1,1,MAX(1,COUNTIF(QCI!$A$13:$A$24,OFFSET($E350,-1,0)))),"")</f>
        <v/>
      </c>
      <c r="AE350" s="7" t="str">
        <f ca="1">IF(AND($C350="S",ORÇAMENTO.CodBarra&lt;&gt;""),IF(ORÇAMENTO.Fonte="",ORÇAMENTO.CodBarra,CONCATENATE(ORÇAMENTO.Fonte," ",ORÇAMENTO.CodBarra)))</f>
        <v>SINAPI 89748</v>
      </c>
      <c r="AF350" s="13" t="str">
        <f ca="1">IF(ISERROR(INDIRECT(ORÇAMENTO.BancoRef)),"(abra o arquivo 'Referência "&amp;Excel_BuiltIn_Database&amp;".xlsm)",IF(OR($C350&lt;&gt;"S",ORÇAMENTO.CodBarra=""),"(Sem Código)",IF(ISERROR(MATCH($AE350,INDIRECT(ORÇAMENTO.BancoRef),0)),"(Código não identificado nas referências)",MATCH($AE350,INDIRECT(ORÇAMENTO.BancoRef),0))))</f>
        <v>(abra o arquivo 'Referência 02-2025.xlsm)</v>
      </c>
      <c r="AG350" s="498">
        <f ca="1">ROUND(IF(DESONERACAO="sim",REFERENCIA.Desonerado,REFERENCIA.NaoDesonerado),2)</f>
        <v>0</v>
      </c>
      <c r="AH350" s="499">
        <f t="shared" ca="1" si="69"/>
        <v>0.22470000000000001</v>
      </c>
      <c r="AJ350" s="501">
        <v>24</v>
      </c>
      <c r="AL350" s="527"/>
      <c r="AM350" s="381">
        <f t="shared" ca="1" si="70"/>
        <v>0</v>
      </c>
      <c r="AN350" s="566">
        <f t="shared" ca="1" si="71"/>
        <v>0</v>
      </c>
    </row>
    <row r="351" spans="1:40" ht="38.25" x14ac:dyDescent="0.2">
      <c r="A351" t="str">
        <f t="shared" si="56"/>
        <v>S</v>
      </c>
      <c r="B351">
        <f t="shared" ca="1" si="57"/>
        <v>3</v>
      </c>
      <c r="C351" t="str">
        <f t="shared" ca="1" si="58"/>
        <v>S</v>
      </c>
      <c r="D351">
        <f t="shared" ca="1" si="59"/>
        <v>0</v>
      </c>
      <c r="E351">
        <f ca="1">IF($C351=1,OFFSET(E351,-1,0)+MAX(1,COUNTIF(QCI!$A$13:$A$24,OFFSET(ORÇAMENTO!E351,-1,0))),OFFSET(E351,-1,0))</f>
        <v>1</v>
      </c>
      <c r="F351">
        <f t="shared" ca="1" si="60"/>
        <v>14</v>
      </c>
      <c r="G351">
        <f t="shared" ca="1" si="61"/>
        <v>1</v>
      </c>
      <c r="H351">
        <f t="shared" ca="1" si="62"/>
        <v>0</v>
      </c>
      <c r="I351">
        <f t="shared" ca="1" si="63"/>
        <v>0</v>
      </c>
      <c r="J351">
        <f t="shared" ca="1" si="90"/>
        <v>0</v>
      </c>
      <c r="K351">
        <f ca="1">IF(OR($C351="S",$C351=0),0,MATCH(OFFSET($D351,0,$C351)+IF($C351&lt;&gt;1,1,COUNTIF(QCI!$A$13:$A$24,ORÇAMENTO!E351)),OFFSET($D351,1,$C351,ROW($C$747)-ROW($C351)),0))</f>
        <v>0</v>
      </c>
      <c r="L351" s="116" t="str">
        <f t="shared" ca="1" si="64"/>
        <v/>
      </c>
      <c r="M351" s="117" t="s">
        <v>199</v>
      </c>
      <c r="N351" s="118" t="str">
        <f t="shared" ca="1" si="65"/>
        <v>Serviço</v>
      </c>
      <c r="O351" s="119" t="str">
        <f t="shared" ca="1" si="66"/>
        <v>-</v>
      </c>
      <c r="P351" s="120" t="s">
        <v>712</v>
      </c>
      <c r="Q351" s="121" t="s">
        <v>802</v>
      </c>
      <c r="R351" s="122" t="str">
        <f ca="1">IF($C351="S",REFERENCIA.Descricao,"(digite a descrição aqui)")</f>
        <v>(abra o arquivo 'Referência 02-2025.xlsm)</v>
      </c>
      <c r="S351" s="123" t="str">
        <f ca="1">REFERENCIA.Unidade</f>
        <v>-</v>
      </c>
      <c r="T351" s="124">
        <f ca="1">OFFSET(CÁLCULO!H$15,ROW($T351)-ROW(T$15),0)</f>
        <v>3</v>
      </c>
      <c r="U351" s="125">
        <f t="shared" ca="1" si="87"/>
        <v>0</v>
      </c>
      <c r="V351" s="126" t="s">
        <v>156</v>
      </c>
      <c r="W351" s="124">
        <f ca="1">IF($C351="S",ROUND(IF(TIPOORCAMENTO="Proposto",ORÇAMENTO.CustoUnitario*(1+$AH351),ORÇAMENTO.PrecoUnitarioLicitado),15-13*$AF$10),0)</f>
        <v>0</v>
      </c>
      <c r="X351" s="127">
        <f ca="1">IF($C351="S",IF(Import.TipoArredondamento&lt;&gt;"TransfereGOV",VTOTAL1,SUM(OFFSET(CÁLCULO!$AA$15,ROW($X351)-ROW($X$15),1):OFFSET(CÁLCULO!$AL$15,ROW($X351)-ROW($X$15),-1))),IF($C351=0,0,ROUND(SomaAgrup,15-13*$AF$11)))</f>
        <v>0</v>
      </c>
      <c r="Y351" s="128" t="s">
        <v>245</v>
      </c>
      <c r="Z351" t="str">
        <f t="shared" ca="1" si="67"/>
        <v/>
      </c>
      <c r="AA351" s="129">
        <f ca="1">IF($C351="S",IF($Z351="CP",$X351,IF($Z351="RA",(($X351)*QCI!$AA$3),0)),SomaAgrup)</f>
        <v>0</v>
      </c>
      <c r="AB351" s="130">
        <f t="shared" ca="1" si="68"/>
        <v>0</v>
      </c>
      <c r="AC351" s="131" t="str">
        <f ca="1">IF($N351="","",IF(ORÇAMENTO.Descricao="","DESCRIÇÃO",IF(AND($C351="S",ORÇAMENTO.Unidade=""),"UNIDADE",IF($X351&lt;0,"VALOR NEGATIVO",IF(OR(AND(TIPOORCAMENTO="Proposto",$AG351&lt;&gt;"",$AG351&gt;0,ORÇAMENTO.CustoUnitario&gt;$AG351),AND(TIPOORCAMENTO="LICITADO",ORÇAMENTO.PrecoUnitarioLicitado&gt;$AN351)),"ACIMA REF.","")))))</f>
        <v/>
      </c>
      <c r="AD351" t="str">
        <f ca="1">IF(C351&lt;=CRONO.NivelExibicao,MAX($AD$15:OFFSET(AD351,-1,0))+IF($C351&lt;&gt;1,1,MAX(1,COUNTIF(QCI!$A$13:$A$24,OFFSET($E351,-1,0)))),"")</f>
        <v/>
      </c>
      <c r="AE351" s="7" t="str">
        <f ca="1">IF(AND($C351="S",ORÇAMENTO.CodBarra&lt;&gt;""),IF(ORÇAMENTO.Fonte="",ORÇAMENTO.CodBarra,CONCATENATE(ORÇAMENTO.Fonte," ",ORÇAMENTO.CodBarra)))</f>
        <v>Composição FNDE 417</v>
      </c>
      <c r="AF351" s="13" t="str">
        <f ca="1">IF(ISERROR(INDIRECT(ORÇAMENTO.BancoRef)),"(abra o arquivo 'Referência "&amp;Excel_BuiltIn_Database&amp;".xlsm)",IF(OR($C351&lt;&gt;"S",ORÇAMENTO.CodBarra=""),"(Sem Código)",IF(ISERROR(MATCH($AE351,INDIRECT(ORÇAMENTO.BancoRef),0)),"(Código não identificado nas referências)",MATCH($AE351,INDIRECT(ORÇAMENTO.BancoRef),0))))</f>
        <v>(abra o arquivo 'Referência 02-2025.xlsm)</v>
      </c>
      <c r="AG351" s="498">
        <f ca="1">ROUND(IF(DESONERACAO="sim",REFERENCIA.Desonerado,REFERENCIA.NaoDesonerado),2)</f>
        <v>0</v>
      </c>
      <c r="AH351" s="499">
        <f t="shared" ca="1" si="69"/>
        <v>0.22470000000000001</v>
      </c>
      <c r="AJ351" s="501">
        <v>3</v>
      </c>
      <c r="AL351" s="527"/>
      <c r="AM351" s="381">
        <f t="shared" ca="1" si="70"/>
        <v>0</v>
      </c>
      <c r="AN351" s="566">
        <f t="shared" ca="1" si="71"/>
        <v>0</v>
      </c>
    </row>
    <row r="352" spans="1:40" ht="25.5" x14ac:dyDescent="0.2">
      <c r="A352" t="str">
        <f t="shared" si="56"/>
        <v>S</v>
      </c>
      <c r="B352">
        <f t="shared" ca="1" si="57"/>
        <v>3</v>
      </c>
      <c r="C352" t="str">
        <f t="shared" ca="1" si="58"/>
        <v>S</v>
      </c>
      <c r="D352">
        <f t="shared" ca="1" si="59"/>
        <v>0</v>
      </c>
      <c r="E352">
        <f ca="1">IF($C352=1,OFFSET(E352,-1,0)+MAX(1,COUNTIF(QCI!$A$13:$A$24,OFFSET(ORÇAMENTO!E352,-1,0))),OFFSET(E352,-1,0))</f>
        <v>1</v>
      </c>
      <c r="F352">
        <f t="shared" ca="1" si="60"/>
        <v>14</v>
      </c>
      <c r="G352">
        <f t="shared" ca="1" si="61"/>
        <v>1</v>
      </c>
      <c r="H352">
        <f t="shared" ca="1" si="62"/>
        <v>0</v>
      </c>
      <c r="I352">
        <f t="shared" ca="1" si="63"/>
        <v>0</v>
      </c>
      <c r="J352">
        <f t="shared" ca="1" si="90"/>
        <v>0</v>
      </c>
      <c r="K352">
        <f ca="1">IF(OR($C352="S",$C352=0),0,MATCH(OFFSET($D352,0,$C352)+IF($C352&lt;&gt;1,1,COUNTIF(QCI!$A$13:$A$24,ORÇAMENTO!E352)),OFFSET($D352,1,$C352,ROW($C$747)-ROW($C352)),0))</f>
        <v>0</v>
      </c>
      <c r="L352" s="116" t="str">
        <f t="shared" ca="1" si="64"/>
        <v/>
      </c>
      <c r="M352" s="117" t="s">
        <v>199</v>
      </c>
      <c r="N352" s="118" t="str">
        <f t="shared" ca="1" si="65"/>
        <v>Serviço</v>
      </c>
      <c r="O352" s="119" t="str">
        <f t="shared" ca="1" si="66"/>
        <v>-</v>
      </c>
      <c r="P352" s="120" t="s">
        <v>247</v>
      </c>
      <c r="Q352" s="121" t="s">
        <v>574</v>
      </c>
      <c r="R352" s="122" t="str">
        <f ca="1">IF($C352="S",REFERENCIA.Descricao,"(digite a descrição aqui)")</f>
        <v>(abra o arquivo 'Referência 02-2025.xlsm)</v>
      </c>
      <c r="S352" s="123" t="str">
        <f ca="1">REFERENCIA.Unidade</f>
        <v>-</v>
      </c>
      <c r="T352" s="124">
        <f ca="1">OFFSET(CÁLCULO!H$15,ROW($T352)-ROW(T$15),0)</f>
        <v>5</v>
      </c>
      <c r="U352" s="125">
        <f t="shared" ref="U352:U419" ca="1" si="91">AG352</f>
        <v>0</v>
      </c>
      <c r="V352" s="126" t="s">
        <v>156</v>
      </c>
      <c r="W352" s="124">
        <f ca="1">IF($C352="S",ROUND(IF(TIPOORCAMENTO="Proposto",ORÇAMENTO.CustoUnitario*(1+$AH352),ORÇAMENTO.PrecoUnitarioLicitado),15-13*$AF$10),0)</f>
        <v>0</v>
      </c>
      <c r="X352" s="127">
        <f ca="1">IF($C352="S",IF(Import.TipoArredondamento&lt;&gt;"TransfereGOV",VTOTAL1,SUM(OFFSET(CÁLCULO!$AA$15,ROW($X352)-ROW($X$15),1):OFFSET(CÁLCULO!$AL$15,ROW($X352)-ROW($X$15),-1))),IF($C352=0,0,ROUND(SomaAgrup,15-13*$AF$11)))</f>
        <v>0</v>
      </c>
      <c r="Y352" s="128" t="s">
        <v>245</v>
      </c>
      <c r="Z352" t="str">
        <f t="shared" ca="1" si="67"/>
        <v/>
      </c>
      <c r="AA352" s="129">
        <f ca="1">IF($C352="S",IF($Z352="CP",$X352,IF($Z352="RA",(($X352)*QCI!$AA$3),0)),SomaAgrup)</f>
        <v>0</v>
      </c>
      <c r="AB352" s="130">
        <f t="shared" ca="1" si="68"/>
        <v>0</v>
      </c>
      <c r="AC352" s="131" t="str">
        <f ca="1">IF($N352="","",IF(ORÇAMENTO.Descricao="","DESCRIÇÃO",IF(AND($C352="S",ORÇAMENTO.Unidade=""),"UNIDADE",IF($X352&lt;0,"VALOR NEGATIVO",IF(OR(AND(TIPOORCAMENTO="Proposto",$AG352&lt;&gt;"",$AG352&gt;0,ORÇAMENTO.CustoUnitario&gt;$AG352),AND(TIPOORCAMENTO="LICITADO",ORÇAMENTO.PrecoUnitarioLicitado&gt;$AN352)),"ACIMA REF.","")))))</f>
        <v/>
      </c>
      <c r="AD352" t="str">
        <f ca="1">IF(C352&lt;=CRONO.NivelExibicao,MAX($AD$15:OFFSET(AD352,-1,0))+IF($C352&lt;&gt;1,1,MAX(1,COUNTIF(QCI!$A$13:$A$24,OFFSET($E352,-1,0)))),"")</f>
        <v/>
      </c>
      <c r="AE352" s="7" t="str">
        <f ca="1">IF(AND($C352="S",ORÇAMENTO.CodBarra&lt;&gt;""),IF(ORÇAMENTO.Fonte="",ORÇAMENTO.CodBarra,CONCATENATE(ORÇAMENTO.Fonte," ",ORÇAMENTO.CodBarra)))</f>
        <v>SINAPI 104063</v>
      </c>
      <c r="AF352" s="13" t="str">
        <f ca="1">IF(ISERROR(INDIRECT(ORÇAMENTO.BancoRef)),"(abra o arquivo 'Referência "&amp;Excel_BuiltIn_Database&amp;".xlsm)",IF(OR($C352&lt;&gt;"S",ORÇAMENTO.CodBarra=""),"(Sem Código)",IF(ISERROR(MATCH($AE352,INDIRECT(ORÇAMENTO.BancoRef),0)),"(Código não identificado nas referências)",MATCH($AE352,INDIRECT(ORÇAMENTO.BancoRef),0))))</f>
        <v>(abra o arquivo 'Referência 02-2025.xlsm)</v>
      </c>
      <c r="AG352" s="498">
        <f ca="1">ROUND(IF(DESONERACAO="sim",REFERENCIA.Desonerado,REFERENCIA.NaoDesonerado),2)</f>
        <v>0</v>
      </c>
      <c r="AH352" s="499">
        <f t="shared" ca="1" si="69"/>
        <v>0.22470000000000001</v>
      </c>
      <c r="AJ352" s="501">
        <v>5</v>
      </c>
      <c r="AL352" s="527"/>
      <c r="AM352" s="381">
        <f t="shared" ca="1" si="70"/>
        <v>0</v>
      </c>
      <c r="AN352" s="566">
        <f t="shared" ca="1" si="71"/>
        <v>0</v>
      </c>
    </row>
    <row r="353" spans="1:40" ht="38.25" x14ac:dyDescent="0.2">
      <c r="A353" t="str">
        <f t="shared" si="56"/>
        <v>S</v>
      </c>
      <c r="B353">
        <f t="shared" ca="1" si="57"/>
        <v>3</v>
      </c>
      <c r="C353" t="str">
        <f t="shared" ca="1" si="58"/>
        <v>S</v>
      </c>
      <c r="D353">
        <f t="shared" ca="1" si="59"/>
        <v>0</v>
      </c>
      <c r="E353">
        <f ca="1">IF($C353=1,OFFSET(E353,-1,0)+MAX(1,COUNTIF(QCI!$A$13:$A$24,OFFSET(ORÇAMENTO!E353,-1,0))),OFFSET(E353,-1,0))</f>
        <v>1</v>
      </c>
      <c r="F353">
        <f t="shared" ca="1" si="60"/>
        <v>14</v>
      </c>
      <c r="G353">
        <f t="shared" ca="1" si="61"/>
        <v>1</v>
      </c>
      <c r="H353">
        <f t="shared" ca="1" si="62"/>
        <v>0</v>
      </c>
      <c r="I353">
        <f t="shared" ca="1" si="63"/>
        <v>0</v>
      </c>
      <c r="J353">
        <f t="shared" ca="1" si="90"/>
        <v>0</v>
      </c>
      <c r="K353">
        <f ca="1">IF(OR($C353="S",$C353=0),0,MATCH(OFFSET($D353,0,$C353)+IF($C353&lt;&gt;1,1,COUNTIF(QCI!$A$13:$A$24,ORÇAMENTO!E353)),OFFSET($D353,1,$C353,ROW($C$747)-ROW($C353)),0))</f>
        <v>0</v>
      </c>
      <c r="L353" s="116" t="str">
        <f t="shared" ca="1" si="64"/>
        <v/>
      </c>
      <c r="M353" s="117" t="s">
        <v>199</v>
      </c>
      <c r="N353" s="118" t="str">
        <f t="shared" ca="1" si="65"/>
        <v>Serviço</v>
      </c>
      <c r="O353" s="119" t="str">
        <f t="shared" ca="1" si="66"/>
        <v>-</v>
      </c>
      <c r="P353" s="120" t="s">
        <v>712</v>
      </c>
      <c r="Q353" s="121" t="s">
        <v>938</v>
      </c>
      <c r="R353" s="122" t="str">
        <f ca="1">IF($C353="S",REFERENCIA.Descricao,"(digite a descrição aqui)")</f>
        <v>(abra o arquivo 'Referência 02-2025.xlsm)</v>
      </c>
      <c r="S353" s="123" t="str">
        <f ca="1">REFERENCIA.Unidade</f>
        <v>-</v>
      </c>
      <c r="T353" s="124">
        <f ca="1">OFFSET(CÁLCULO!H$15,ROW($T353)-ROW(T$15),0)</f>
        <v>4</v>
      </c>
      <c r="U353" s="125">
        <f t="shared" ca="1" si="91"/>
        <v>0</v>
      </c>
      <c r="V353" s="126" t="s">
        <v>156</v>
      </c>
      <c r="W353" s="124">
        <f ca="1">IF($C353="S",ROUND(IF(TIPOORCAMENTO="Proposto",ORÇAMENTO.CustoUnitario*(1+$AH353),ORÇAMENTO.PrecoUnitarioLicitado),15-13*$AF$10),0)</f>
        <v>0</v>
      </c>
      <c r="X353" s="127">
        <f ca="1">IF($C353="S",IF(Import.TipoArredondamento&lt;&gt;"TransfereGOV",VTOTAL1,SUM(OFFSET(CÁLCULO!$AA$15,ROW($X353)-ROW($X$15),1):OFFSET(CÁLCULO!$AL$15,ROW($X353)-ROW($X$15),-1))),IF($C353=0,0,ROUND(SomaAgrup,15-13*$AF$11)))</f>
        <v>0</v>
      </c>
      <c r="Y353" s="128" t="s">
        <v>245</v>
      </c>
      <c r="Z353" t="str">
        <f t="shared" ca="1" si="67"/>
        <v/>
      </c>
      <c r="AA353" s="129">
        <f ca="1">IF($C353="S",IF($Z353="CP",$X353,IF($Z353="RA",(($X353)*QCI!$AA$3),0)),SomaAgrup)</f>
        <v>0</v>
      </c>
      <c r="AB353" s="130">
        <f t="shared" ca="1" si="68"/>
        <v>0</v>
      </c>
      <c r="AC353" s="131" t="str">
        <f ca="1">IF($N353="","",IF(ORÇAMENTO.Descricao="","DESCRIÇÃO",IF(AND($C353="S",ORÇAMENTO.Unidade=""),"UNIDADE",IF($X353&lt;0,"VALOR NEGATIVO",IF(OR(AND(TIPOORCAMENTO="Proposto",$AG353&lt;&gt;"",$AG353&gt;0,ORÇAMENTO.CustoUnitario&gt;$AG353),AND(TIPOORCAMENTO="LICITADO",ORÇAMENTO.PrecoUnitarioLicitado&gt;$AN353)),"ACIMA REF.","")))))</f>
        <v/>
      </c>
      <c r="AD353" t="str">
        <f ca="1">IF(C353&lt;=CRONO.NivelExibicao,MAX($AD$15:OFFSET(AD353,-1,0))+IF($C353&lt;&gt;1,1,MAX(1,COUNTIF(QCI!$A$13:$A$24,OFFSET($E353,-1,0)))),"")</f>
        <v/>
      </c>
      <c r="AE353" s="7" t="str">
        <f ca="1">IF(AND($C353="S",ORÇAMENTO.CodBarra&lt;&gt;""),IF(ORÇAMENTO.Fonte="",ORÇAMENTO.CodBarra,CONCATENATE(ORÇAMENTO.Fonte," ",ORÇAMENTO.CodBarra)))</f>
        <v>Composição FNDE 420</v>
      </c>
      <c r="AF353" s="13" t="str">
        <f ca="1">IF(ISERROR(INDIRECT(ORÇAMENTO.BancoRef)),"(abra o arquivo 'Referência "&amp;Excel_BuiltIn_Database&amp;".xlsm)",IF(OR($C353&lt;&gt;"S",ORÇAMENTO.CodBarra=""),"(Sem Código)",IF(ISERROR(MATCH($AE353,INDIRECT(ORÇAMENTO.BancoRef),0)),"(Código não identificado nas referências)",MATCH($AE353,INDIRECT(ORÇAMENTO.BancoRef),0))))</f>
        <v>(abra o arquivo 'Referência 02-2025.xlsm)</v>
      </c>
      <c r="AG353" s="498">
        <f ca="1">ROUND(IF(DESONERACAO="sim",REFERENCIA.Desonerado,REFERENCIA.NaoDesonerado),2)</f>
        <v>0</v>
      </c>
      <c r="AH353" s="499">
        <f t="shared" ca="1" si="69"/>
        <v>0.22470000000000001</v>
      </c>
      <c r="AJ353" s="501">
        <v>4</v>
      </c>
      <c r="AL353" s="527"/>
      <c r="AM353" s="381">
        <f t="shared" ca="1" si="70"/>
        <v>0</v>
      </c>
      <c r="AN353" s="566">
        <f t="shared" ca="1" si="71"/>
        <v>0</v>
      </c>
    </row>
    <row r="354" spans="1:40" ht="38.25" x14ac:dyDescent="0.2">
      <c r="A354" t="str">
        <f t="shared" si="56"/>
        <v>S</v>
      </c>
      <c r="B354">
        <f t="shared" ca="1" si="57"/>
        <v>3</v>
      </c>
      <c r="C354" t="str">
        <f t="shared" ca="1" si="58"/>
        <v>S</v>
      </c>
      <c r="D354">
        <f t="shared" ca="1" si="59"/>
        <v>0</v>
      </c>
      <c r="E354">
        <f ca="1">IF($C354=1,OFFSET(E354,-1,0)+MAX(1,COUNTIF(QCI!$A$13:$A$24,OFFSET(ORÇAMENTO!E354,-1,0))),OFFSET(E354,-1,0))</f>
        <v>1</v>
      </c>
      <c r="F354">
        <f t="shared" ca="1" si="60"/>
        <v>14</v>
      </c>
      <c r="G354">
        <f t="shared" ca="1" si="61"/>
        <v>1</v>
      </c>
      <c r="H354">
        <f t="shared" ca="1" si="62"/>
        <v>0</v>
      </c>
      <c r="I354">
        <f t="shared" ca="1" si="63"/>
        <v>0</v>
      </c>
      <c r="J354">
        <f t="shared" ca="1" si="90"/>
        <v>0</v>
      </c>
      <c r="K354">
        <f ca="1">IF(OR($C354="S",$C354=0),0,MATCH(OFFSET($D354,0,$C354)+IF($C354&lt;&gt;1,1,COUNTIF(QCI!$A$13:$A$24,ORÇAMENTO!E354)),OFFSET($D354,1,$C354,ROW($C$747)-ROW($C354)),0))</f>
        <v>0</v>
      </c>
      <c r="L354" s="116" t="str">
        <f t="shared" ca="1" si="64"/>
        <v/>
      </c>
      <c r="M354" s="117" t="s">
        <v>199</v>
      </c>
      <c r="N354" s="118" t="str">
        <f t="shared" ca="1" si="65"/>
        <v>Serviço</v>
      </c>
      <c r="O354" s="119" t="str">
        <f t="shared" ca="1" si="66"/>
        <v>-</v>
      </c>
      <c r="P354" s="120" t="s">
        <v>247</v>
      </c>
      <c r="Q354" s="121" t="s">
        <v>562</v>
      </c>
      <c r="R354" s="122" t="str">
        <f ca="1">IF($C354="S",REFERENCIA.Descricao,"(digite a descrição aqui)")</f>
        <v>(abra o arquivo 'Referência 02-2025.xlsm)</v>
      </c>
      <c r="S354" s="123" t="str">
        <f ca="1">REFERENCIA.Unidade</f>
        <v>-</v>
      </c>
      <c r="T354" s="124">
        <f ca="1">OFFSET(CÁLCULO!H$15,ROW($T354)-ROW(T$15),0)</f>
        <v>40</v>
      </c>
      <c r="U354" s="125">
        <f t="shared" ca="1" si="91"/>
        <v>0</v>
      </c>
      <c r="V354" s="126" t="s">
        <v>156</v>
      </c>
      <c r="W354" s="124">
        <f ca="1">IF($C354="S",ROUND(IF(TIPOORCAMENTO="Proposto",ORÇAMENTO.CustoUnitario*(1+$AH354),ORÇAMENTO.PrecoUnitarioLicitado),15-13*$AF$10),0)</f>
        <v>0</v>
      </c>
      <c r="X354" s="127">
        <f ca="1">IF($C354="S",IF(Import.TipoArredondamento&lt;&gt;"TransfereGOV",VTOTAL1,SUM(OFFSET(CÁLCULO!$AA$15,ROW($X354)-ROW($X$15),1):OFFSET(CÁLCULO!$AL$15,ROW($X354)-ROW($X$15),-1))),IF($C354=0,0,ROUND(SomaAgrup,15-13*$AF$11)))</f>
        <v>0</v>
      </c>
      <c r="Y354" s="128" t="s">
        <v>245</v>
      </c>
      <c r="Z354" t="str">
        <f t="shared" ca="1" si="67"/>
        <v/>
      </c>
      <c r="AA354" s="129">
        <f ca="1">IF($C354="S",IF($Z354="CP",$X354,IF($Z354="RA",(($X354)*QCI!$AA$3),0)),SomaAgrup)</f>
        <v>0</v>
      </c>
      <c r="AB354" s="130">
        <f t="shared" ca="1" si="68"/>
        <v>0</v>
      </c>
      <c r="AC354" s="131" t="str">
        <f ca="1">IF($N354="","",IF(ORÇAMENTO.Descricao="","DESCRIÇÃO",IF(AND($C354="S",ORÇAMENTO.Unidade=""),"UNIDADE",IF($X354&lt;0,"VALOR NEGATIVO",IF(OR(AND(TIPOORCAMENTO="Proposto",$AG354&lt;&gt;"",$AG354&gt;0,ORÇAMENTO.CustoUnitario&gt;$AG354),AND(TIPOORCAMENTO="LICITADO",ORÇAMENTO.PrecoUnitarioLicitado&gt;$AN354)),"ACIMA REF.","")))))</f>
        <v/>
      </c>
      <c r="AD354" t="str">
        <f ca="1">IF(C354&lt;=CRONO.NivelExibicao,MAX($AD$15:OFFSET(AD354,-1,0))+IF($C354&lt;&gt;1,1,MAX(1,COUNTIF(QCI!$A$13:$A$24,OFFSET($E354,-1,0)))),"")</f>
        <v/>
      </c>
      <c r="AE354" s="7" t="str">
        <f ca="1">IF(AND($C354="S",ORÇAMENTO.CodBarra&lt;&gt;""),IF(ORÇAMENTO.Fonte="",ORÇAMENTO.CodBarra,CONCATENATE(ORÇAMENTO.Fonte," ",ORÇAMENTO.CodBarra)))</f>
        <v>SINAPI 89726</v>
      </c>
      <c r="AF354" s="13" t="str">
        <f ca="1">IF(ISERROR(INDIRECT(ORÇAMENTO.BancoRef)),"(abra o arquivo 'Referência "&amp;Excel_BuiltIn_Database&amp;".xlsm)",IF(OR($C354&lt;&gt;"S",ORÇAMENTO.CodBarra=""),"(Sem Código)",IF(ISERROR(MATCH($AE354,INDIRECT(ORÇAMENTO.BancoRef),0)),"(Código não identificado nas referências)",MATCH($AE354,INDIRECT(ORÇAMENTO.BancoRef),0))))</f>
        <v>(abra o arquivo 'Referência 02-2025.xlsm)</v>
      </c>
      <c r="AG354" s="498">
        <f ca="1">ROUND(IF(DESONERACAO="sim",REFERENCIA.Desonerado,REFERENCIA.NaoDesonerado),2)</f>
        <v>0</v>
      </c>
      <c r="AH354" s="499">
        <f t="shared" ca="1" si="69"/>
        <v>0.22470000000000001</v>
      </c>
      <c r="AJ354" s="501">
        <v>40</v>
      </c>
      <c r="AL354" s="527"/>
      <c r="AM354" s="381">
        <f t="shared" ca="1" si="70"/>
        <v>0</v>
      </c>
      <c r="AN354" s="566">
        <f t="shared" ca="1" si="71"/>
        <v>0</v>
      </c>
    </row>
    <row r="355" spans="1:40" ht="38.25" x14ac:dyDescent="0.2">
      <c r="A355" t="str">
        <f t="shared" si="56"/>
        <v>S</v>
      </c>
      <c r="B355">
        <f t="shared" ca="1" si="57"/>
        <v>3</v>
      </c>
      <c r="C355" t="str">
        <f t="shared" ca="1" si="58"/>
        <v>S</v>
      </c>
      <c r="D355">
        <f t="shared" ca="1" si="59"/>
        <v>0</v>
      </c>
      <c r="E355">
        <f ca="1">IF($C355=1,OFFSET(E355,-1,0)+MAX(1,COUNTIF(QCI!$A$13:$A$24,OFFSET(ORÇAMENTO!E355,-1,0))),OFFSET(E355,-1,0))</f>
        <v>1</v>
      </c>
      <c r="F355">
        <f t="shared" ca="1" si="60"/>
        <v>14</v>
      </c>
      <c r="G355">
        <f t="shared" ca="1" si="61"/>
        <v>1</v>
      </c>
      <c r="H355">
        <f t="shared" ca="1" si="62"/>
        <v>0</v>
      </c>
      <c r="I355">
        <f t="shared" ca="1" si="63"/>
        <v>0</v>
      </c>
      <c r="J355">
        <f t="shared" ca="1" si="90"/>
        <v>0</v>
      </c>
      <c r="K355">
        <f ca="1">IF(OR($C355="S",$C355=0),0,MATCH(OFFSET($D355,0,$C355)+IF($C355&lt;&gt;1,1,COUNTIF(QCI!$A$13:$A$24,ORÇAMENTO!E355)),OFFSET($D355,1,$C355,ROW($C$747)-ROW($C355)),0))</f>
        <v>0</v>
      </c>
      <c r="L355" s="116" t="str">
        <f t="shared" ca="1" si="64"/>
        <v/>
      </c>
      <c r="M355" s="117" t="s">
        <v>199</v>
      </c>
      <c r="N355" s="118" t="str">
        <f t="shared" ca="1" si="65"/>
        <v>Serviço</v>
      </c>
      <c r="O355" s="119" t="str">
        <f t="shared" ca="1" si="66"/>
        <v>-</v>
      </c>
      <c r="P355" s="120" t="s">
        <v>247</v>
      </c>
      <c r="Q355" s="121" t="s">
        <v>563</v>
      </c>
      <c r="R355" s="122" t="str">
        <f ca="1">IF($C355="S",REFERENCIA.Descricao,"(digite a descrição aqui)")</f>
        <v>(abra o arquivo 'Referência 02-2025.xlsm)</v>
      </c>
      <c r="S355" s="123" t="str">
        <f ca="1">REFERENCIA.Unidade</f>
        <v>-</v>
      </c>
      <c r="T355" s="124">
        <f ca="1">OFFSET(CÁLCULO!H$15,ROW($T355)-ROW(T$15),0)</f>
        <v>60</v>
      </c>
      <c r="U355" s="125">
        <f t="shared" ca="1" si="91"/>
        <v>0</v>
      </c>
      <c r="V355" s="126" t="s">
        <v>156</v>
      </c>
      <c r="W355" s="124">
        <f ca="1">IF($C355="S",ROUND(IF(TIPOORCAMENTO="Proposto",ORÇAMENTO.CustoUnitario*(1+$AH355),ORÇAMENTO.PrecoUnitarioLicitado),15-13*$AF$10),0)</f>
        <v>0</v>
      </c>
      <c r="X355" s="127">
        <f ca="1">IF($C355="S",IF(Import.TipoArredondamento&lt;&gt;"TransfereGOV",VTOTAL1,SUM(OFFSET(CÁLCULO!$AA$15,ROW($X355)-ROW($X$15),1):OFFSET(CÁLCULO!$AL$15,ROW($X355)-ROW($X$15),-1))),IF($C355=0,0,ROUND(SomaAgrup,15-13*$AF$11)))</f>
        <v>0</v>
      </c>
      <c r="Y355" s="128" t="s">
        <v>245</v>
      </c>
      <c r="Z355" t="str">
        <f t="shared" ca="1" si="67"/>
        <v/>
      </c>
      <c r="AA355" s="129">
        <f ca="1">IF($C355="S",IF($Z355="CP",$X355,IF($Z355="RA",(($X355)*QCI!$AA$3),0)),SomaAgrup)</f>
        <v>0</v>
      </c>
      <c r="AB355" s="130">
        <f t="shared" ca="1" si="68"/>
        <v>0</v>
      </c>
      <c r="AC355" s="131" t="str">
        <f ca="1">IF($N355="","",IF(ORÇAMENTO.Descricao="","DESCRIÇÃO",IF(AND($C355="S",ORÇAMENTO.Unidade=""),"UNIDADE",IF($X355&lt;0,"VALOR NEGATIVO",IF(OR(AND(TIPOORCAMENTO="Proposto",$AG355&lt;&gt;"",$AG355&gt;0,ORÇAMENTO.CustoUnitario&gt;$AG355),AND(TIPOORCAMENTO="LICITADO",ORÇAMENTO.PrecoUnitarioLicitado&gt;$AN355)),"ACIMA REF.","")))))</f>
        <v/>
      </c>
      <c r="AD355" t="str">
        <f ca="1">IF(C355&lt;=CRONO.NivelExibicao,MAX($AD$15:OFFSET(AD355,-1,0))+IF($C355&lt;&gt;1,1,MAX(1,COUNTIF(QCI!$A$13:$A$24,OFFSET($E355,-1,0)))),"")</f>
        <v/>
      </c>
      <c r="AE355" s="7" t="str">
        <f ca="1">IF(AND($C355="S",ORÇAMENTO.CodBarra&lt;&gt;""),IF(ORÇAMENTO.Fonte="",ORÇAMENTO.CodBarra,CONCATENATE(ORÇAMENTO.Fonte," ",ORÇAMENTO.CodBarra)))</f>
        <v>SINAPI 89732</v>
      </c>
      <c r="AF355" s="13" t="str">
        <f ca="1">IF(ISERROR(INDIRECT(ORÇAMENTO.BancoRef)),"(abra o arquivo 'Referência "&amp;Excel_BuiltIn_Database&amp;".xlsm)",IF(OR($C355&lt;&gt;"S",ORÇAMENTO.CodBarra=""),"(Sem Código)",IF(ISERROR(MATCH($AE355,INDIRECT(ORÇAMENTO.BancoRef),0)),"(Código não identificado nas referências)",MATCH($AE355,INDIRECT(ORÇAMENTO.BancoRef),0))))</f>
        <v>(abra o arquivo 'Referência 02-2025.xlsm)</v>
      </c>
      <c r="AG355" s="498">
        <f ca="1">ROUND(IF(DESONERACAO="sim",REFERENCIA.Desonerado,REFERENCIA.NaoDesonerado),2)</f>
        <v>0</v>
      </c>
      <c r="AH355" s="499">
        <f t="shared" ca="1" si="69"/>
        <v>0.22470000000000001</v>
      </c>
      <c r="AJ355" s="501">
        <v>60</v>
      </c>
      <c r="AL355" s="527"/>
      <c r="AM355" s="381">
        <f t="shared" ca="1" si="70"/>
        <v>0</v>
      </c>
      <c r="AN355" s="566">
        <f t="shared" ca="1" si="71"/>
        <v>0</v>
      </c>
    </row>
    <row r="356" spans="1:40" ht="38.25" x14ac:dyDescent="0.2">
      <c r="A356" t="str">
        <f t="shared" si="56"/>
        <v>S</v>
      </c>
      <c r="B356">
        <f t="shared" ca="1" si="57"/>
        <v>3</v>
      </c>
      <c r="C356" t="str">
        <f t="shared" ca="1" si="58"/>
        <v>S</v>
      </c>
      <c r="D356">
        <f t="shared" ca="1" si="59"/>
        <v>0</v>
      </c>
      <c r="E356">
        <f ca="1">IF($C356=1,OFFSET(E356,-1,0)+MAX(1,COUNTIF(QCI!$A$13:$A$24,OFFSET(ORÇAMENTO!E356,-1,0))),OFFSET(E356,-1,0))</f>
        <v>1</v>
      </c>
      <c r="F356">
        <f t="shared" ca="1" si="60"/>
        <v>14</v>
      </c>
      <c r="G356">
        <f t="shared" ca="1" si="61"/>
        <v>1</v>
      </c>
      <c r="H356">
        <f t="shared" ca="1" si="62"/>
        <v>0</v>
      </c>
      <c r="I356">
        <f t="shared" ca="1" si="63"/>
        <v>0</v>
      </c>
      <c r="J356">
        <f t="shared" ca="1" si="90"/>
        <v>0</v>
      </c>
      <c r="K356">
        <f ca="1">IF(OR($C356="S",$C356=0),0,MATCH(OFFSET($D356,0,$C356)+IF($C356&lt;&gt;1,1,COUNTIF(QCI!$A$13:$A$24,ORÇAMENTO!E356)),OFFSET($D356,1,$C356,ROW($C$747)-ROW($C356)),0))</f>
        <v>0</v>
      </c>
      <c r="L356" s="116" t="str">
        <f t="shared" ca="1" si="64"/>
        <v/>
      </c>
      <c r="M356" s="117" t="s">
        <v>199</v>
      </c>
      <c r="N356" s="118" t="str">
        <f t="shared" ca="1" si="65"/>
        <v>Serviço</v>
      </c>
      <c r="O356" s="119" t="str">
        <f t="shared" ca="1" si="66"/>
        <v>-</v>
      </c>
      <c r="P356" s="120" t="s">
        <v>247</v>
      </c>
      <c r="Q356" s="121" t="s">
        <v>564</v>
      </c>
      <c r="R356" s="122" t="str">
        <f ca="1">IF($C356="S",REFERENCIA.Descricao,"(digite a descrição aqui)")</f>
        <v>(abra o arquivo 'Referência 02-2025.xlsm)</v>
      </c>
      <c r="S356" s="123" t="str">
        <f ca="1">REFERENCIA.Unidade</f>
        <v>-</v>
      </c>
      <c r="T356" s="124">
        <f ca="1">OFFSET(CÁLCULO!H$15,ROW($T356)-ROW(T$15),0)</f>
        <v>4</v>
      </c>
      <c r="U356" s="125">
        <f t="shared" ca="1" si="91"/>
        <v>0</v>
      </c>
      <c r="V356" s="126" t="s">
        <v>156</v>
      </c>
      <c r="W356" s="124">
        <f ca="1">IF($C356="S",ROUND(IF(TIPOORCAMENTO="Proposto",ORÇAMENTO.CustoUnitario*(1+$AH356),ORÇAMENTO.PrecoUnitarioLicitado),15-13*$AF$10),0)</f>
        <v>0</v>
      </c>
      <c r="X356" s="127">
        <f ca="1">IF($C356="S",IF(Import.TipoArredondamento&lt;&gt;"TransfereGOV",VTOTAL1,SUM(OFFSET(CÁLCULO!$AA$15,ROW($X356)-ROW($X$15),1):OFFSET(CÁLCULO!$AL$15,ROW($X356)-ROW($X$15),-1))),IF($C356=0,0,ROUND(SomaAgrup,15-13*$AF$11)))</f>
        <v>0</v>
      </c>
      <c r="Y356" s="128" t="s">
        <v>245</v>
      </c>
      <c r="Z356" t="str">
        <f t="shared" ca="1" si="67"/>
        <v/>
      </c>
      <c r="AA356" s="129">
        <f ca="1">IF($C356="S",IF($Z356="CP",$X356,IF($Z356="RA",(($X356)*QCI!$AA$3),0)),SomaAgrup)</f>
        <v>0</v>
      </c>
      <c r="AB356" s="130">
        <f t="shared" ca="1" si="68"/>
        <v>0</v>
      </c>
      <c r="AC356" s="131" t="str">
        <f ca="1">IF($N356="","",IF(ORÇAMENTO.Descricao="","DESCRIÇÃO",IF(AND($C356="S",ORÇAMENTO.Unidade=""),"UNIDADE",IF($X356&lt;0,"VALOR NEGATIVO",IF(OR(AND(TIPOORCAMENTO="Proposto",$AG356&lt;&gt;"",$AG356&gt;0,ORÇAMENTO.CustoUnitario&gt;$AG356),AND(TIPOORCAMENTO="LICITADO",ORÇAMENTO.PrecoUnitarioLicitado&gt;$AN356)),"ACIMA REF.","")))))</f>
        <v/>
      </c>
      <c r="AD356" t="str">
        <f ca="1">IF(C356&lt;=CRONO.NivelExibicao,MAX($AD$15:OFFSET(AD356,-1,0))+IF($C356&lt;&gt;1,1,MAX(1,COUNTIF(QCI!$A$13:$A$24,OFFSET($E356,-1,0)))),"")</f>
        <v/>
      </c>
      <c r="AE356" s="7" t="str">
        <f ca="1">IF(AND($C356="S",ORÇAMENTO.CodBarra&lt;&gt;""),IF(ORÇAMENTO.Fonte="",ORÇAMENTO.CodBarra,CONCATENATE(ORÇAMENTO.Fonte," ",ORÇAMENTO.CodBarra)))</f>
        <v>SINAPI 89739</v>
      </c>
      <c r="AF356" s="13" t="str">
        <f ca="1">IF(ISERROR(INDIRECT(ORÇAMENTO.BancoRef)),"(abra o arquivo 'Referência "&amp;Excel_BuiltIn_Database&amp;".xlsm)",IF(OR($C356&lt;&gt;"S",ORÇAMENTO.CodBarra=""),"(Sem Código)",IF(ISERROR(MATCH($AE356,INDIRECT(ORÇAMENTO.BancoRef),0)),"(Código não identificado nas referências)",MATCH($AE356,INDIRECT(ORÇAMENTO.BancoRef),0))))</f>
        <v>(abra o arquivo 'Referência 02-2025.xlsm)</v>
      </c>
      <c r="AG356" s="498">
        <f ca="1">ROUND(IF(DESONERACAO="sim",REFERENCIA.Desonerado,REFERENCIA.NaoDesonerado),2)</f>
        <v>0</v>
      </c>
      <c r="AH356" s="499">
        <f t="shared" ca="1" si="69"/>
        <v>0.22470000000000001</v>
      </c>
      <c r="AJ356" s="501">
        <v>4</v>
      </c>
      <c r="AL356" s="527"/>
      <c r="AM356" s="381">
        <f t="shared" ca="1" si="70"/>
        <v>0</v>
      </c>
      <c r="AN356" s="566">
        <f t="shared" ca="1" si="71"/>
        <v>0</v>
      </c>
    </row>
    <row r="357" spans="1:40" ht="38.25" x14ac:dyDescent="0.2">
      <c r="A357" t="str">
        <f t="shared" si="56"/>
        <v>S</v>
      </c>
      <c r="B357">
        <f t="shared" ca="1" si="57"/>
        <v>3</v>
      </c>
      <c r="C357" t="str">
        <f t="shared" ca="1" si="58"/>
        <v>S</v>
      </c>
      <c r="D357">
        <f t="shared" ca="1" si="59"/>
        <v>0</v>
      </c>
      <c r="E357">
        <f ca="1">IF($C357=1,OFFSET(E357,-1,0)+MAX(1,COUNTIF(QCI!$A$13:$A$24,OFFSET(ORÇAMENTO!E357,-1,0))),OFFSET(E357,-1,0))</f>
        <v>1</v>
      </c>
      <c r="F357">
        <f t="shared" ca="1" si="60"/>
        <v>14</v>
      </c>
      <c r="G357">
        <f t="shared" ca="1" si="61"/>
        <v>1</v>
      </c>
      <c r="H357">
        <f t="shared" ca="1" si="62"/>
        <v>0</v>
      </c>
      <c r="I357">
        <f t="shared" ca="1" si="63"/>
        <v>0</v>
      </c>
      <c r="J357">
        <f t="shared" ca="1" si="90"/>
        <v>0</v>
      </c>
      <c r="K357">
        <f ca="1">IF(OR($C357="S",$C357=0),0,MATCH(OFFSET($D357,0,$C357)+IF($C357&lt;&gt;1,1,COUNTIF(QCI!$A$13:$A$24,ORÇAMENTO!E357)),OFFSET($D357,1,$C357,ROW($C$747)-ROW($C357)),0))</f>
        <v>0</v>
      </c>
      <c r="L357" s="116" t="str">
        <f t="shared" ca="1" si="64"/>
        <v/>
      </c>
      <c r="M357" s="117" t="s">
        <v>199</v>
      </c>
      <c r="N357" s="118" t="str">
        <f t="shared" ca="1" si="65"/>
        <v>Serviço</v>
      </c>
      <c r="O357" s="119" t="str">
        <f t="shared" ca="1" si="66"/>
        <v>-</v>
      </c>
      <c r="P357" s="120" t="s">
        <v>247</v>
      </c>
      <c r="Q357" s="121" t="s">
        <v>565</v>
      </c>
      <c r="R357" s="122" t="str">
        <f ca="1">IF($C357="S",REFERENCIA.Descricao,"(digite a descrição aqui)")</f>
        <v>(abra o arquivo 'Referência 02-2025.xlsm)</v>
      </c>
      <c r="S357" s="123" t="str">
        <f ca="1">REFERENCIA.Unidade</f>
        <v>-</v>
      </c>
      <c r="T357" s="124">
        <f ca="1">OFFSET(CÁLCULO!H$15,ROW($T357)-ROW(T$15),0)</f>
        <v>7</v>
      </c>
      <c r="U357" s="125">
        <f t="shared" ca="1" si="91"/>
        <v>0</v>
      </c>
      <c r="V357" s="126" t="s">
        <v>156</v>
      </c>
      <c r="W357" s="124">
        <f ca="1">IF($C357="S",ROUND(IF(TIPOORCAMENTO="Proposto",ORÇAMENTO.CustoUnitario*(1+$AH357),ORÇAMENTO.PrecoUnitarioLicitado),15-13*$AF$10),0)</f>
        <v>0</v>
      </c>
      <c r="X357" s="127">
        <f ca="1">IF($C357="S",IF(Import.TipoArredondamento&lt;&gt;"TransfereGOV",VTOTAL1,SUM(OFFSET(CÁLCULO!$AA$15,ROW($X357)-ROW($X$15),1):OFFSET(CÁLCULO!$AL$15,ROW($X357)-ROW($X$15),-1))),IF($C357=0,0,ROUND(SomaAgrup,15-13*$AF$11)))</f>
        <v>0</v>
      </c>
      <c r="Y357" s="128" t="s">
        <v>245</v>
      </c>
      <c r="Z357" t="str">
        <f t="shared" ca="1" si="67"/>
        <v/>
      </c>
      <c r="AA357" s="129">
        <f ca="1">IF($C357="S",IF($Z357="CP",$X357,IF($Z357="RA",(($X357)*QCI!$AA$3),0)),SomaAgrup)</f>
        <v>0</v>
      </c>
      <c r="AB357" s="130">
        <f t="shared" ca="1" si="68"/>
        <v>0</v>
      </c>
      <c r="AC357" s="131" t="str">
        <f ca="1">IF($N357="","",IF(ORÇAMENTO.Descricao="","DESCRIÇÃO",IF(AND($C357="S",ORÇAMENTO.Unidade=""),"UNIDADE",IF($X357&lt;0,"VALOR NEGATIVO",IF(OR(AND(TIPOORCAMENTO="Proposto",$AG357&lt;&gt;"",$AG357&gt;0,ORÇAMENTO.CustoUnitario&gt;$AG357),AND(TIPOORCAMENTO="LICITADO",ORÇAMENTO.PrecoUnitarioLicitado&gt;$AN357)),"ACIMA REF.","")))))</f>
        <v/>
      </c>
      <c r="AD357" t="str">
        <f ca="1">IF(C357&lt;=CRONO.NivelExibicao,MAX($AD$15:OFFSET(AD357,-1,0))+IF($C357&lt;&gt;1,1,MAX(1,COUNTIF(QCI!$A$13:$A$24,OFFSET($E357,-1,0)))),"")</f>
        <v/>
      </c>
      <c r="AE357" s="7" t="str">
        <f ca="1">IF(AND($C357="S",ORÇAMENTO.CodBarra&lt;&gt;""),IF(ORÇAMENTO.Fonte="",ORÇAMENTO.CodBarra,CONCATENATE(ORÇAMENTO.Fonte," ",ORÇAMENTO.CodBarra)))</f>
        <v>SINAPI 89746</v>
      </c>
      <c r="AF357" s="13" t="str">
        <f ca="1">IF(ISERROR(INDIRECT(ORÇAMENTO.BancoRef)),"(abra o arquivo 'Referência "&amp;Excel_BuiltIn_Database&amp;".xlsm)",IF(OR($C357&lt;&gt;"S",ORÇAMENTO.CodBarra=""),"(Sem Código)",IF(ISERROR(MATCH($AE357,INDIRECT(ORÇAMENTO.BancoRef),0)),"(Código não identificado nas referências)",MATCH($AE357,INDIRECT(ORÇAMENTO.BancoRef),0))))</f>
        <v>(abra o arquivo 'Referência 02-2025.xlsm)</v>
      </c>
      <c r="AG357" s="498">
        <f ca="1">ROUND(IF(DESONERACAO="sim",REFERENCIA.Desonerado,REFERENCIA.NaoDesonerado),2)</f>
        <v>0</v>
      </c>
      <c r="AH357" s="499">
        <f t="shared" ca="1" si="69"/>
        <v>0.22470000000000001</v>
      </c>
      <c r="AJ357" s="501">
        <v>7</v>
      </c>
      <c r="AL357" s="527"/>
      <c r="AM357" s="381">
        <f t="shared" ca="1" si="70"/>
        <v>0</v>
      </c>
      <c r="AN357" s="566">
        <f t="shared" ca="1" si="71"/>
        <v>0</v>
      </c>
    </row>
    <row r="358" spans="1:40" ht="38.25" x14ac:dyDescent="0.2">
      <c r="A358" t="str">
        <f t="shared" si="56"/>
        <v>S</v>
      </c>
      <c r="B358">
        <f t="shared" ca="1" si="57"/>
        <v>3</v>
      </c>
      <c r="C358" t="str">
        <f t="shared" ca="1" si="58"/>
        <v>S</v>
      </c>
      <c r="D358">
        <f t="shared" ca="1" si="59"/>
        <v>0</v>
      </c>
      <c r="E358">
        <f ca="1">IF($C358=1,OFFSET(E358,-1,0)+MAX(1,COUNTIF(QCI!$A$13:$A$24,OFFSET(ORÇAMENTO!E358,-1,0))),OFFSET(E358,-1,0))</f>
        <v>1</v>
      </c>
      <c r="F358">
        <f t="shared" ca="1" si="60"/>
        <v>14</v>
      </c>
      <c r="G358">
        <f t="shared" ca="1" si="61"/>
        <v>1</v>
      </c>
      <c r="H358">
        <f t="shared" ca="1" si="62"/>
        <v>0</v>
      </c>
      <c r="I358">
        <f t="shared" ca="1" si="63"/>
        <v>0</v>
      </c>
      <c r="J358">
        <f t="shared" ca="1" si="90"/>
        <v>0</v>
      </c>
      <c r="K358">
        <f ca="1">IF(OR($C358="S",$C358=0),0,MATCH(OFFSET($D358,0,$C358)+IF($C358&lt;&gt;1,1,COUNTIF(QCI!$A$13:$A$24,ORÇAMENTO!E358)),OFFSET($D358,1,$C358,ROW($C$747)-ROW($C358)),0))</f>
        <v>0</v>
      </c>
      <c r="L358" s="116" t="str">
        <f t="shared" ca="1" si="64"/>
        <v/>
      </c>
      <c r="M358" s="117" t="s">
        <v>199</v>
      </c>
      <c r="N358" s="118" t="str">
        <f t="shared" ca="1" si="65"/>
        <v>Serviço</v>
      </c>
      <c r="O358" s="119" t="str">
        <f t="shared" ca="1" si="66"/>
        <v>-</v>
      </c>
      <c r="P358" s="120" t="s">
        <v>247</v>
      </c>
      <c r="Q358" s="121" t="s">
        <v>566</v>
      </c>
      <c r="R358" s="122" t="str">
        <f ca="1">IF($C358="S",REFERENCIA.Descricao,"(digite a descrição aqui)")</f>
        <v>(abra o arquivo 'Referência 02-2025.xlsm)</v>
      </c>
      <c r="S358" s="123" t="str">
        <f ca="1">REFERENCIA.Unidade</f>
        <v>-</v>
      </c>
      <c r="T358" s="124">
        <f ca="1">OFFSET(CÁLCULO!H$15,ROW($T358)-ROW(T$15),0)</f>
        <v>3</v>
      </c>
      <c r="U358" s="125">
        <f t="shared" ca="1" si="91"/>
        <v>0</v>
      </c>
      <c r="V358" s="126" t="s">
        <v>156</v>
      </c>
      <c r="W358" s="124">
        <f ca="1">IF($C358="S",ROUND(IF(TIPOORCAMENTO="Proposto",ORÇAMENTO.CustoUnitario*(1+$AH358),ORÇAMENTO.PrecoUnitarioLicitado),15-13*$AF$10),0)</f>
        <v>0</v>
      </c>
      <c r="X358" s="127">
        <f ca="1">IF($C358="S",IF(Import.TipoArredondamento&lt;&gt;"TransfereGOV",VTOTAL1,SUM(OFFSET(CÁLCULO!$AA$15,ROW($X358)-ROW($X$15),1):OFFSET(CÁLCULO!$AL$15,ROW($X358)-ROW($X$15),-1))),IF($C358=0,0,ROUND(SomaAgrup,15-13*$AF$11)))</f>
        <v>0</v>
      </c>
      <c r="Y358" s="128" t="s">
        <v>245</v>
      </c>
      <c r="Z358" t="str">
        <f t="shared" ca="1" si="67"/>
        <v/>
      </c>
      <c r="AA358" s="129">
        <f ca="1">IF($C358="S",IF($Z358="CP",$X358,IF($Z358="RA",(($X358)*QCI!$AA$3),0)),SomaAgrup)</f>
        <v>0</v>
      </c>
      <c r="AB358" s="130">
        <f t="shared" ca="1" si="68"/>
        <v>0</v>
      </c>
      <c r="AC358" s="131" t="str">
        <f ca="1">IF($N358="","",IF(ORÇAMENTO.Descricao="","DESCRIÇÃO",IF(AND($C358="S",ORÇAMENTO.Unidade=""),"UNIDADE",IF($X358&lt;0,"VALOR NEGATIVO",IF(OR(AND(TIPOORCAMENTO="Proposto",$AG358&lt;&gt;"",$AG358&gt;0,ORÇAMENTO.CustoUnitario&gt;$AG358),AND(TIPOORCAMENTO="LICITADO",ORÇAMENTO.PrecoUnitarioLicitado&gt;$AN358)),"ACIMA REF.","")))))</f>
        <v/>
      </c>
      <c r="AD358" t="str">
        <f ca="1">IF(C358&lt;=CRONO.NivelExibicao,MAX($AD$15:OFFSET(AD358,-1,0))+IF($C358&lt;&gt;1,1,MAX(1,COUNTIF(QCI!$A$13:$A$24,OFFSET($E358,-1,0)))),"")</f>
        <v/>
      </c>
      <c r="AE358" s="7" t="str">
        <f ca="1">IF(AND($C358="S",ORÇAMENTO.CodBarra&lt;&gt;""),IF(ORÇAMENTO.Fonte="",ORÇAMENTO.CodBarra,CONCATENATE(ORÇAMENTO.Fonte," ",ORÇAMENTO.CodBarra)))</f>
        <v>SINAPI 89855</v>
      </c>
      <c r="AF358" s="13" t="str">
        <f ca="1">IF(ISERROR(INDIRECT(ORÇAMENTO.BancoRef)),"(abra o arquivo 'Referência "&amp;Excel_BuiltIn_Database&amp;".xlsm)",IF(OR($C358&lt;&gt;"S",ORÇAMENTO.CodBarra=""),"(Sem Código)",IF(ISERROR(MATCH($AE358,INDIRECT(ORÇAMENTO.BancoRef),0)),"(Código não identificado nas referências)",MATCH($AE358,INDIRECT(ORÇAMENTO.BancoRef),0))))</f>
        <v>(abra o arquivo 'Referência 02-2025.xlsm)</v>
      </c>
      <c r="AG358" s="498">
        <f ca="1">ROUND(IF(DESONERACAO="sim",REFERENCIA.Desonerado,REFERENCIA.NaoDesonerado),2)</f>
        <v>0</v>
      </c>
      <c r="AH358" s="499">
        <f t="shared" ca="1" si="69"/>
        <v>0.22470000000000001</v>
      </c>
      <c r="AJ358" s="501">
        <v>3</v>
      </c>
      <c r="AL358" s="527"/>
      <c r="AM358" s="381">
        <f t="shared" ca="1" si="70"/>
        <v>0</v>
      </c>
      <c r="AN358" s="566">
        <f t="shared" ca="1" si="71"/>
        <v>0</v>
      </c>
    </row>
    <row r="359" spans="1:40" ht="38.25" x14ac:dyDescent="0.2">
      <c r="A359" t="str">
        <f t="shared" si="56"/>
        <v>S</v>
      </c>
      <c r="B359">
        <f t="shared" ca="1" si="57"/>
        <v>3</v>
      </c>
      <c r="C359" t="str">
        <f t="shared" ca="1" si="58"/>
        <v>S</v>
      </c>
      <c r="D359">
        <f t="shared" ca="1" si="59"/>
        <v>0</v>
      </c>
      <c r="E359">
        <f ca="1">IF($C359=1,OFFSET(E359,-1,0)+MAX(1,COUNTIF(QCI!$A$13:$A$24,OFFSET(ORÇAMENTO!E359,-1,0))),OFFSET(E359,-1,0))</f>
        <v>1</v>
      </c>
      <c r="F359">
        <f t="shared" ca="1" si="60"/>
        <v>14</v>
      </c>
      <c r="G359">
        <f t="shared" ca="1" si="61"/>
        <v>1</v>
      </c>
      <c r="H359">
        <f t="shared" ca="1" si="62"/>
        <v>0</v>
      </c>
      <c r="I359">
        <f t="shared" ca="1" si="63"/>
        <v>0</v>
      </c>
      <c r="J359">
        <f t="shared" ca="1" si="90"/>
        <v>0</v>
      </c>
      <c r="K359">
        <f ca="1">IF(OR($C359="S",$C359=0),0,MATCH(OFFSET($D359,0,$C359)+IF($C359&lt;&gt;1,1,COUNTIF(QCI!$A$13:$A$24,ORÇAMENTO!E359)),OFFSET($D359,1,$C359,ROW($C$747)-ROW($C359)),0))</f>
        <v>0</v>
      </c>
      <c r="L359" s="116" t="str">
        <f t="shared" ca="1" si="64"/>
        <v/>
      </c>
      <c r="M359" s="117" t="s">
        <v>199</v>
      </c>
      <c r="N359" s="118" t="str">
        <f t="shared" ca="1" si="65"/>
        <v>Serviço</v>
      </c>
      <c r="O359" s="119" t="str">
        <f t="shared" ca="1" si="66"/>
        <v>-</v>
      </c>
      <c r="P359" s="120" t="s">
        <v>247</v>
      </c>
      <c r="Q359" s="121" t="s">
        <v>569</v>
      </c>
      <c r="R359" s="122" t="str">
        <f ca="1">IF($C359="S",REFERENCIA.Descricao,"(digite a descrição aqui)")</f>
        <v>(abra o arquivo 'Referência 02-2025.xlsm)</v>
      </c>
      <c r="S359" s="123" t="str">
        <f ca="1">REFERENCIA.Unidade</f>
        <v>-</v>
      </c>
      <c r="T359" s="124">
        <f ca="1">OFFSET(CÁLCULO!H$15,ROW($T359)-ROW(T$15),0)</f>
        <v>46</v>
      </c>
      <c r="U359" s="125">
        <f t="shared" ca="1" si="91"/>
        <v>0</v>
      </c>
      <c r="V359" s="126" t="s">
        <v>156</v>
      </c>
      <c r="W359" s="124">
        <f ca="1">IF($C359="S",ROUND(IF(TIPOORCAMENTO="Proposto",ORÇAMENTO.CustoUnitario*(1+$AH359),ORÇAMENTO.PrecoUnitarioLicitado),15-13*$AF$10),0)</f>
        <v>0</v>
      </c>
      <c r="X359" s="127">
        <f ca="1">IF($C359="S",IF(Import.TipoArredondamento&lt;&gt;"TransfereGOV",VTOTAL1,SUM(OFFSET(CÁLCULO!$AA$15,ROW($X359)-ROW($X$15),1):OFFSET(CÁLCULO!$AL$15,ROW($X359)-ROW($X$15),-1))),IF($C359=0,0,ROUND(SomaAgrup,15-13*$AF$11)))</f>
        <v>0</v>
      </c>
      <c r="Y359" s="128" t="s">
        <v>245</v>
      </c>
      <c r="Z359" t="str">
        <f t="shared" ca="1" si="67"/>
        <v/>
      </c>
      <c r="AA359" s="129">
        <f ca="1">IF($C359="S",IF($Z359="CP",$X359,IF($Z359="RA",(($X359)*QCI!$AA$3),0)),SomaAgrup)</f>
        <v>0</v>
      </c>
      <c r="AB359" s="130">
        <f t="shared" ca="1" si="68"/>
        <v>0</v>
      </c>
      <c r="AC359" s="131" t="str">
        <f ca="1">IF($N359="","",IF(ORÇAMENTO.Descricao="","DESCRIÇÃO",IF(AND($C359="S",ORÇAMENTO.Unidade=""),"UNIDADE",IF($X359&lt;0,"VALOR NEGATIVO",IF(OR(AND(TIPOORCAMENTO="Proposto",$AG359&lt;&gt;"",$AG359&gt;0,ORÇAMENTO.CustoUnitario&gt;$AG359),AND(TIPOORCAMENTO="LICITADO",ORÇAMENTO.PrecoUnitarioLicitado&gt;$AN359)),"ACIMA REF.","")))))</f>
        <v/>
      </c>
      <c r="AD359" t="str">
        <f ca="1">IF(C359&lt;=CRONO.NivelExibicao,MAX($AD$15:OFFSET(AD359,-1,0))+IF($C359&lt;&gt;1,1,MAX(1,COUNTIF(QCI!$A$13:$A$24,OFFSET($E359,-1,0)))),"")</f>
        <v/>
      </c>
      <c r="AE359" s="7" t="str">
        <f ca="1">IF(AND($C359="S",ORÇAMENTO.CodBarra&lt;&gt;""),IF(ORÇAMENTO.Fonte="",ORÇAMENTO.CodBarra,CONCATENATE(ORÇAMENTO.Fonte," ",ORÇAMENTO.CodBarra)))</f>
        <v>SINAPI 89724</v>
      </c>
      <c r="AF359" s="13" t="str">
        <f ca="1">IF(ISERROR(INDIRECT(ORÇAMENTO.BancoRef)),"(abra o arquivo 'Referência "&amp;Excel_BuiltIn_Database&amp;".xlsm)",IF(OR($C359&lt;&gt;"S",ORÇAMENTO.CodBarra=""),"(Sem Código)",IF(ISERROR(MATCH($AE359,INDIRECT(ORÇAMENTO.BancoRef),0)),"(Código não identificado nas referências)",MATCH($AE359,INDIRECT(ORÇAMENTO.BancoRef),0))))</f>
        <v>(abra o arquivo 'Referência 02-2025.xlsm)</v>
      </c>
      <c r="AG359" s="498">
        <f ca="1">ROUND(IF(DESONERACAO="sim",REFERENCIA.Desonerado,REFERENCIA.NaoDesonerado),2)</f>
        <v>0</v>
      </c>
      <c r="AH359" s="499">
        <f t="shared" ca="1" si="69"/>
        <v>0.22470000000000001</v>
      </c>
      <c r="AJ359" s="501">
        <v>46</v>
      </c>
      <c r="AL359" s="527"/>
      <c r="AM359" s="381">
        <f t="shared" ca="1" si="70"/>
        <v>0</v>
      </c>
      <c r="AN359" s="566">
        <f t="shared" ca="1" si="71"/>
        <v>0</v>
      </c>
    </row>
    <row r="360" spans="1:40" ht="38.25" x14ac:dyDescent="0.2">
      <c r="A360" t="str">
        <f t="shared" si="56"/>
        <v>S</v>
      </c>
      <c r="B360">
        <f t="shared" ca="1" si="57"/>
        <v>3</v>
      </c>
      <c r="C360" t="str">
        <f t="shared" ca="1" si="58"/>
        <v>S</v>
      </c>
      <c r="D360">
        <f t="shared" ca="1" si="59"/>
        <v>0</v>
      </c>
      <c r="E360">
        <f ca="1">IF($C360=1,OFFSET(E360,-1,0)+MAX(1,COUNTIF(QCI!$A$13:$A$24,OFFSET(ORÇAMENTO!E360,-1,0))),OFFSET(E360,-1,0))</f>
        <v>1</v>
      </c>
      <c r="F360">
        <f t="shared" ca="1" si="60"/>
        <v>14</v>
      </c>
      <c r="G360">
        <f t="shared" ca="1" si="61"/>
        <v>1</v>
      </c>
      <c r="H360">
        <f t="shared" ca="1" si="62"/>
        <v>0</v>
      </c>
      <c r="I360">
        <f t="shared" ca="1" si="63"/>
        <v>0</v>
      </c>
      <c r="J360">
        <f t="shared" ca="1" si="90"/>
        <v>0</v>
      </c>
      <c r="K360">
        <f ca="1">IF(OR($C360="S",$C360=0),0,MATCH(OFFSET($D360,0,$C360)+IF($C360&lt;&gt;1,1,COUNTIF(QCI!$A$13:$A$24,ORÇAMENTO!E360)),OFFSET($D360,1,$C360,ROW($C$747)-ROW($C360)),0))</f>
        <v>0</v>
      </c>
      <c r="L360" s="116" t="str">
        <f t="shared" ca="1" si="64"/>
        <v/>
      </c>
      <c r="M360" s="117" t="s">
        <v>199</v>
      </c>
      <c r="N360" s="118" t="str">
        <f t="shared" ca="1" si="65"/>
        <v>Serviço</v>
      </c>
      <c r="O360" s="119" t="str">
        <f t="shared" ca="1" si="66"/>
        <v>-</v>
      </c>
      <c r="P360" s="120" t="s">
        <v>247</v>
      </c>
      <c r="Q360" s="121" t="s">
        <v>568</v>
      </c>
      <c r="R360" s="122" t="str">
        <f ca="1">IF($C360="S",REFERENCIA.Descricao,"(digite a descrição aqui)")</f>
        <v>(abra o arquivo 'Referência 02-2025.xlsm)</v>
      </c>
      <c r="S360" s="123" t="str">
        <f ca="1">REFERENCIA.Unidade</f>
        <v>-</v>
      </c>
      <c r="T360" s="124">
        <f ca="1">OFFSET(CÁLCULO!H$15,ROW($T360)-ROW(T$15),0)</f>
        <v>51</v>
      </c>
      <c r="U360" s="125">
        <f t="shared" ca="1" si="91"/>
        <v>0</v>
      </c>
      <c r="V360" s="126" t="s">
        <v>156</v>
      </c>
      <c r="W360" s="124">
        <f ca="1">IF($C360="S",ROUND(IF(TIPOORCAMENTO="Proposto",ORÇAMENTO.CustoUnitario*(1+$AH360),ORÇAMENTO.PrecoUnitarioLicitado),15-13*$AF$10),0)</f>
        <v>0</v>
      </c>
      <c r="X360" s="127">
        <f ca="1">IF($C360="S",IF(Import.TipoArredondamento&lt;&gt;"TransfereGOV",VTOTAL1,SUM(OFFSET(CÁLCULO!$AA$15,ROW($X360)-ROW($X$15),1):OFFSET(CÁLCULO!$AL$15,ROW($X360)-ROW($X$15),-1))),IF($C360=0,0,ROUND(SomaAgrup,15-13*$AF$11)))</f>
        <v>0</v>
      </c>
      <c r="Y360" s="128" t="s">
        <v>245</v>
      </c>
      <c r="Z360" t="str">
        <f t="shared" ca="1" si="67"/>
        <v/>
      </c>
      <c r="AA360" s="129">
        <f ca="1">IF($C360="S",IF($Z360="CP",$X360,IF($Z360="RA",(($X360)*QCI!$AA$3),0)),SomaAgrup)</f>
        <v>0</v>
      </c>
      <c r="AB360" s="130">
        <f t="shared" ca="1" si="68"/>
        <v>0</v>
      </c>
      <c r="AC360" s="131" t="str">
        <f ca="1">IF($N360="","",IF(ORÇAMENTO.Descricao="","DESCRIÇÃO",IF(AND($C360="S",ORÇAMENTO.Unidade=""),"UNIDADE",IF($X360&lt;0,"VALOR NEGATIVO",IF(OR(AND(TIPOORCAMENTO="Proposto",$AG360&lt;&gt;"",$AG360&gt;0,ORÇAMENTO.CustoUnitario&gt;$AG360),AND(TIPOORCAMENTO="LICITADO",ORÇAMENTO.PrecoUnitarioLicitado&gt;$AN360)),"ACIMA REF.","")))))</f>
        <v/>
      </c>
      <c r="AD360" t="str">
        <f ca="1">IF(C360&lt;=CRONO.NivelExibicao,MAX($AD$15:OFFSET(AD360,-1,0))+IF($C360&lt;&gt;1,1,MAX(1,COUNTIF(QCI!$A$13:$A$24,OFFSET($E360,-1,0)))),"")</f>
        <v/>
      </c>
      <c r="AE360" s="7" t="str">
        <f ca="1">IF(AND($C360="S",ORÇAMENTO.CodBarra&lt;&gt;""),IF(ORÇAMENTO.Fonte="",ORÇAMENTO.CodBarra,CONCATENATE(ORÇAMENTO.Fonte," ",ORÇAMENTO.CodBarra)))</f>
        <v>SINAPI 89731</v>
      </c>
      <c r="AF360" s="13" t="str">
        <f ca="1">IF(ISERROR(INDIRECT(ORÇAMENTO.BancoRef)),"(abra o arquivo 'Referência "&amp;Excel_BuiltIn_Database&amp;".xlsm)",IF(OR($C360&lt;&gt;"S",ORÇAMENTO.CodBarra=""),"(Sem Código)",IF(ISERROR(MATCH($AE360,INDIRECT(ORÇAMENTO.BancoRef),0)),"(Código não identificado nas referências)",MATCH($AE360,INDIRECT(ORÇAMENTO.BancoRef),0))))</f>
        <v>(abra o arquivo 'Referência 02-2025.xlsm)</v>
      </c>
      <c r="AG360" s="498">
        <f ca="1">ROUND(IF(DESONERACAO="sim",REFERENCIA.Desonerado,REFERENCIA.NaoDesonerado),2)</f>
        <v>0</v>
      </c>
      <c r="AH360" s="499">
        <f t="shared" ca="1" si="69"/>
        <v>0.22470000000000001</v>
      </c>
      <c r="AJ360" s="501">
        <v>51</v>
      </c>
      <c r="AL360" s="527"/>
      <c r="AM360" s="381">
        <f t="shared" ca="1" si="70"/>
        <v>0</v>
      </c>
      <c r="AN360" s="566">
        <f t="shared" ca="1" si="71"/>
        <v>0</v>
      </c>
    </row>
    <row r="361" spans="1:40" ht="38.25" x14ac:dyDescent="0.2">
      <c r="A361" t="str">
        <f t="shared" si="56"/>
        <v>S</v>
      </c>
      <c r="B361">
        <f t="shared" ca="1" si="57"/>
        <v>3</v>
      </c>
      <c r="C361" t="str">
        <f t="shared" ca="1" si="58"/>
        <v>S</v>
      </c>
      <c r="D361">
        <f t="shared" ca="1" si="59"/>
        <v>0</v>
      </c>
      <c r="E361">
        <f ca="1">IF($C361=1,OFFSET(E361,-1,0)+MAX(1,COUNTIF(QCI!$A$13:$A$24,OFFSET(ORÇAMENTO!E361,-1,0))),OFFSET(E361,-1,0))</f>
        <v>1</v>
      </c>
      <c r="F361">
        <f t="shared" ca="1" si="60"/>
        <v>14</v>
      </c>
      <c r="G361">
        <f t="shared" ca="1" si="61"/>
        <v>1</v>
      </c>
      <c r="H361">
        <f t="shared" ca="1" si="62"/>
        <v>0</v>
      </c>
      <c r="I361">
        <f t="shared" ca="1" si="63"/>
        <v>0</v>
      </c>
      <c r="J361">
        <f t="shared" ca="1" si="90"/>
        <v>0</v>
      </c>
      <c r="K361">
        <f ca="1">IF(OR($C361="S",$C361=0),0,MATCH(OFFSET($D361,0,$C361)+IF($C361&lt;&gt;1,1,COUNTIF(QCI!$A$13:$A$24,ORÇAMENTO!E361)),OFFSET($D361,1,$C361,ROW($C$747)-ROW($C361)),0))</f>
        <v>0</v>
      </c>
      <c r="L361" s="116" t="str">
        <f t="shared" ca="1" si="64"/>
        <v/>
      </c>
      <c r="M361" s="117" t="s">
        <v>199</v>
      </c>
      <c r="N361" s="118" t="str">
        <f t="shared" ca="1" si="65"/>
        <v>Serviço</v>
      </c>
      <c r="O361" s="119" t="str">
        <f t="shared" ca="1" si="66"/>
        <v>-</v>
      </c>
      <c r="P361" s="120" t="s">
        <v>247</v>
      </c>
      <c r="Q361" s="121" t="s">
        <v>567</v>
      </c>
      <c r="R361" s="122" t="str">
        <f ca="1">IF($C361="S",REFERENCIA.Descricao,"(digite a descrição aqui)")</f>
        <v>(abra o arquivo 'Referência 02-2025.xlsm)</v>
      </c>
      <c r="S361" s="123" t="str">
        <f ca="1">REFERENCIA.Unidade</f>
        <v>-</v>
      </c>
      <c r="T361" s="124">
        <f ca="1">OFFSET(CÁLCULO!H$15,ROW($T361)-ROW(T$15),0)</f>
        <v>15</v>
      </c>
      <c r="U361" s="125">
        <f t="shared" ca="1" si="91"/>
        <v>0</v>
      </c>
      <c r="V361" s="126" t="s">
        <v>156</v>
      </c>
      <c r="W361" s="124">
        <f ca="1">IF($C361="S",ROUND(IF(TIPOORCAMENTO="Proposto",ORÇAMENTO.CustoUnitario*(1+$AH361),ORÇAMENTO.PrecoUnitarioLicitado),15-13*$AF$10),0)</f>
        <v>0</v>
      </c>
      <c r="X361" s="127">
        <f ca="1">IF($C361="S",IF(Import.TipoArredondamento&lt;&gt;"TransfereGOV",VTOTAL1,SUM(OFFSET(CÁLCULO!$AA$15,ROW($X361)-ROW($X$15),1):OFFSET(CÁLCULO!$AL$15,ROW($X361)-ROW($X$15),-1))),IF($C361=0,0,ROUND(SomaAgrup,15-13*$AF$11)))</f>
        <v>0</v>
      </c>
      <c r="Y361" s="128" t="s">
        <v>245</v>
      </c>
      <c r="Z361" t="str">
        <f t="shared" ca="1" si="67"/>
        <v/>
      </c>
      <c r="AA361" s="129">
        <f ca="1">IF($C361="S",IF($Z361="CP",$X361,IF($Z361="RA",(($X361)*QCI!$AA$3),0)),SomaAgrup)</f>
        <v>0</v>
      </c>
      <c r="AB361" s="130">
        <f t="shared" ca="1" si="68"/>
        <v>0</v>
      </c>
      <c r="AC361" s="131" t="str">
        <f ca="1">IF($N361="","",IF(ORÇAMENTO.Descricao="","DESCRIÇÃO",IF(AND($C361="S",ORÇAMENTO.Unidade=""),"UNIDADE",IF($X361&lt;0,"VALOR NEGATIVO",IF(OR(AND(TIPOORCAMENTO="Proposto",$AG361&lt;&gt;"",$AG361&gt;0,ORÇAMENTO.CustoUnitario&gt;$AG361),AND(TIPOORCAMENTO="LICITADO",ORÇAMENTO.PrecoUnitarioLicitado&gt;$AN361)),"ACIMA REF.","")))))</f>
        <v/>
      </c>
      <c r="AD361" t="str">
        <f ca="1">IF(C361&lt;=CRONO.NivelExibicao,MAX($AD$15:OFFSET(AD361,-1,0))+IF($C361&lt;&gt;1,1,MAX(1,COUNTIF(QCI!$A$13:$A$24,OFFSET($E361,-1,0)))),"")</f>
        <v/>
      </c>
      <c r="AE361" s="7" t="str">
        <f ca="1">IF(AND($C361="S",ORÇAMENTO.CodBarra&lt;&gt;""),IF(ORÇAMENTO.Fonte="",ORÇAMENTO.CodBarra,CONCATENATE(ORÇAMENTO.Fonte," ",ORÇAMENTO.CodBarra)))</f>
        <v>SINAPI 89744</v>
      </c>
      <c r="AF361" s="13" t="str">
        <f ca="1">IF(ISERROR(INDIRECT(ORÇAMENTO.BancoRef)),"(abra o arquivo 'Referência "&amp;Excel_BuiltIn_Database&amp;".xlsm)",IF(OR($C361&lt;&gt;"S",ORÇAMENTO.CodBarra=""),"(Sem Código)",IF(ISERROR(MATCH($AE361,INDIRECT(ORÇAMENTO.BancoRef),0)),"(Código não identificado nas referências)",MATCH($AE361,INDIRECT(ORÇAMENTO.BancoRef),0))))</f>
        <v>(abra o arquivo 'Referência 02-2025.xlsm)</v>
      </c>
      <c r="AG361" s="498">
        <f ca="1">ROUND(IF(DESONERACAO="sim",REFERENCIA.Desonerado,REFERENCIA.NaoDesonerado),2)</f>
        <v>0</v>
      </c>
      <c r="AH361" s="499">
        <f t="shared" ca="1" si="69"/>
        <v>0.22470000000000001</v>
      </c>
      <c r="AJ361" s="501">
        <v>15</v>
      </c>
      <c r="AL361" s="527"/>
      <c r="AM361" s="381">
        <f t="shared" ca="1" si="70"/>
        <v>0</v>
      </c>
      <c r="AN361" s="566">
        <f t="shared" ca="1" si="71"/>
        <v>0</v>
      </c>
    </row>
    <row r="362" spans="1:40" ht="38.25" x14ac:dyDescent="0.2">
      <c r="A362" t="str">
        <f t="shared" si="56"/>
        <v>S</v>
      </c>
      <c r="B362">
        <f t="shared" ca="1" si="57"/>
        <v>3</v>
      </c>
      <c r="C362" t="str">
        <f t="shared" ca="1" si="58"/>
        <v>S</v>
      </c>
      <c r="D362">
        <f t="shared" ca="1" si="59"/>
        <v>0</v>
      </c>
      <c r="E362">
        <f ca="1">IF($C362=1,OFFSET(E362,-1,0)+MAX(1,COUNTIF(QCI!$A$13:$A$24,OFFSET(ORÇAMENTO!E362,-1,0))),OFFSET(E362,-1,0))</f>
        <v>1</v>
      </c>
      <c r="F362">
        <f t="shared" ca="1" si="60"/>
        <v>14</v>
      </c>
      <c r="G362">
        <f t="shared" ca="1" si="61"/>
        <v>1</v>
      </c>
      <c r="H362">
        <f t="shared" ca="1" si="62"/>
        <v>0</v>
      </c>
      <c r="I362">
        <f t="shared" ca="1" si="63"/>
        <v>0</v>
      </c>
      <c r="J362">
        <f t="shared" ca="1" si="90"/>
        <v>0</v>
      </c>
      <c r="K362">
        <f ca="1">IF(OR($C362="S",$C362=0),0,MATCH(OFFSET($D362,0,$C362)+IF($C362&lt;&gt;1,1,COUNTIF(QCI!$A$13:$A$24,ORÇAMENTO!E362)),OFFSET($D362,1,$C362,ROW($C$747)-ROW($C362)),0))</f>
        <v>0</v>
      </c>
      <c r="L362" s="116" t="str">
        <f t="shared" ca="1" si="64"/>
        <v/>
      </c>
      <c r="M362" s="117" t="s">
        <v>199</v>
      </c>
      <c r="N362" s="118" t="str">
        <f t="shared" ca="1" si="65"/>
        <v>Serviço</v>
      </c>
      <c r="O362" s="119" t="str">
        <f t="shared" ca="1" si="66"/>
        <v>-</v>
      </c>
      <c r="P362" s="120" t="s">
        <v>247</v>
      </c>
      <c r="Q362" s="121" t="s">
        <v>575</v>
      </c>
      <c r="R362" s="122" t="str">
        <f ca="1">IF($C362="S",REFERENCIA.Descricao,"(digite a descrição aqui)")</f>
        <v>(abra o arquivo 'Referência 02-2025.xlsm)</v>
      </c>
      <c r="S362" s="123" t="str">
        <f ca="1">REFERENCIA.Unidade</f>
        <v>-</v>
      </c>
      <c r="T362" s="124">
        <f ca="1">OFFSET(CÁLCULO!H$15,ROW($T362)-ROW(T$15),0)</f>
        <v>13</v>
      </c>
      <c r="U362" s="125">
        <f t="shared" ca="1" si="91"/>
        <v>0</v>
      </c>
      <c r="V362" s="126" t="s">
        <v>156</v>
      </c>
      <c r="W362" s="124">
        <f ca="1">IF($C362="S",ROUND(IF(TIPOORCAMENTO="Proposto",ORÇAMENTO.CustoUnitario*(1+$AH362),ORÇAMENTO.PrecoUnitarioLicitado),15-13*$AF$10),0)</f>
        <v>0</v>
      </c>
      <c r="X362" s="127">
        <f ca="1">IF($C362="S",IF(Import.TipoArredondamento&lt;&gt;"TransfereGOV",VTOTAL1,SUM(OFFSET(CÁLCULO!$AA$15,ROW($X362)-ROW($X$15),1):OFFSET(CÁLCULO!$AL$15,ROW($X362)-ROW($X$15),-1))),IF($C362=0,0,ROUND(SomaAgrup,15-13*$AF$11)))</f>
        <v>0</v>
      </c>
      <c r="Y362" s="128" t="s">
        <v>245</v>
      </c>
      <c r="Z362" t="str">
        <f t="shared" ca="1" si="67"/>
        <v/>
      </c>
      <c r="AA362" s="129">
        <f ca="1">IF($C362="S",IF($Z362="CP",$X362,IF($Z362="RA",(($X362)*QCI!$AA$3),0)),SomaAgrup)</f>
        <v>0</v>
      </c>
      <c r="AB362" s="130">
        <f t="shared" ca="1" si="68"/>
        <v>0</v>
      </c>
      <c r="AC362" s="131" t="str">
        <f ca="1">IF($N362="","",IF(ORÇAMENTO.Descricao="","DESCRIÇÃO",IF(AND($C362="S",ORÇAMENTO.Unidade=""),"UNIDADE",IF($X362&lt;0,"VALOR NEGATIVO",IF(OR(AND(TIPOORCAMENTO="Proposto",$AG362&lt;&gt;"",$AG362&gt;0,ORÇAMENTO.CustoUnitario&gt;$AG362),AND(TIPOORCAMENTO="LICITADO",ORÇAMENTO.PrecoUnitarioLicitado&gt;$AN362)),"ACIMA REF.","")))))</f>
        <v/>
      </c>
      <c r="AD362" t="str">
        <f ca="1">IF(C362&lt;=CRONO.NivelExibicao,MAX($AD$15:OFFSET(AD362,-1,0))+IF($C362&lt;&gt;1,1,MAX(1,COUNTIF(QCI!$A$13:$A$24,OFFSET($E362,-1,0)))),"")</f>
        <v/>
      </c>
      <c r="AE362" s="7" t="str">
        <f ca="1">IF(AND($C362="S",ORÇAMENTO.CodBarra&lt;&gt;""),IF(ORÇAMENTO.Fonte="",ORÇAMENTO.CodBarra,CONCATENATE(ORÇAMENTO.Fonte," ",ORÇAMENTO.CodBarra)))</f>
        <v>SINAPI 89834</v>
      </c>
      <c r="AF362" s="13" t="str">
        <f ca="1">IF(ISERROR(INDIRECT(ORÇAMENTO.BancoRef)),"(abra o arquivo 'Referência "&amp;Excel_BuiltIn_Database&amp;".xlsm)",IF(OR($C362&lt;&gt;"S",ORÇAMENTO.CodBarra=""),"(Sem Código)",IF(ISERROR(MATCH($AE362,INDIRECT(ORÇAMENTO.BancoRef),0)),"(Código não identificado nas referências)",MATCH($AE362,INDIRECT(ORÇAMENTO.BancoRef),0))))</f>
        <v>(abra o arquivo 'Referência 02-2025.xlsm)</v>
      </c>
      <c r="AG362" s="498">
        <f ca="1">ROUND(IF(DESONERACAO="sim",REFERENCIA.Desonerado,REFERENCIA.NaoDesonerado),2)</f>
        <v>0</v>
      </c>
      <c r="AH362" s="499">
        <f t="shared" ca="1" si="69"/>
        <v>0.22470000000000001</v>
      </c>
      <c r="AJ362" s="501">
        <v>13</v>
      </c>
      <c r="AL362" s="527"/>
      <c r="AM362" s="381">
        <f t="shared" ca="1" si="70"/>
        <v>0</v>
      </c>
      <c r="AN362" s="566">
        <f t="shared" ca="1" si="71"/>
        <v>0</v>
      </c>
    </row>
    <row r="363" spans="1:40" ht="38.25" x14ac:dyDescent="0.2">
      <c r="A363" t="str">
        <f t="shared" si="56"/>
        <v>S</v>
      </c>
      <c r="B363">
        <f t="shared" ca="1" si="57"/>
        <v>3</v>
      </c>
      <c r="C363" t="str">
        <f t="shared" ca="1" si="58"/>
        <v>S</v>
      </c>
      <c r="D363">
        <f t="shared" ca="1" si="59"/>
        <v>0</v>
      </c>
      <c r="E363">
        <f ca="1">IF($C363=1,OFFSET(E363,-1,0)+MAX(1,COUNTIF(QCI!$A$13:$A$24,OFFSET(ORÇAMENTO!E363,-1,0))),OFFSET(E363,-1,0))</f>
        <v>1</v>
      </c>
      <c r="F363">
        <f t="shared" ca="1" si="60"/>
        <v>14</v>
      </c>
      <c r="G363">
        <f t="shared" ca="1" si="61"/>
        <v>1</v>
      </c>
      <c r="H363">
        <f t="shared" ca="1" si="62"/>
        <v>0</v>
      </c>
      <c r="I363">
        <f t="shared" ca="1" si="63"/>
        <v>0</v>
      </c>
      <c r="J363">
        <f t="shared" ca="1" si="90"/>
        <v>0</v>
      </c>
      <c r="K363">
        <f ca="1">IF(OR($C363="S",$C363=0),0,MATCH(OFFSET($D363,0,$C363)+IF($C363&lt;&gt;1,1,COUNTIF(QCI!$A$13:$A$24,ORÇAMENTO!E363)),OFFSET($D363,1,$C363,ROW($C$747)-ROW($C363)),0))</f>
        <v>0</v>
      </c>
      <c r="L363" s="116" t="str">
        <f t="shared" ca="1" si="64"/>
        <v/>
      </c>
      <c r="M363" s="117" t="s">
        <v>199</v>
      </c>
      <c r="N363" s="118" t="str">
        <f t="shared" ca="1" si="65"/>
        <v>Serviço</v>
      </c>
      <c r="O363" s="119" t="str">
        <f t="shared" ca="1" si="66"/>
        <v>-</v>
      </c>
      <c r="P363" s="120" t="s">
        <v>247</v>
      </c>
      <c r="Q363" s="121" t="s">
        <v>576</v>
      </c>
      <c r="R363" s="122" t="str">
        <f ca="1">IF($C363="S",REFERENCIA.Descricao,"(digite a descrição aqui)")</f>
        <v>(abra o arquivo 'Referência 02-2025.xlsm)</v>
      </c>
      <c r="S363" s="123" t="str">
        <f ca="1">REFERENCIA.Unidade</f>
        <v>-</v>
      </c>
      <c r="T363" s="124">
        <f ca="1">OFFSET(CÁLCULO!H$15,ROW($T363)-ROW(T$15),0)</f>
        <v>21</v>
      </c>
      <c r="U363" s="125">
        <f t="shared" ca="1" si="91"/>
        <v>0</v>
      </c>
      <c r="V363" s="126" t="s">
        <v>156</v>
      </c>
      <c r="W363" s="124">
        <f ca="1">IF($C363="S",ROUND(IF(TIPOORCAMENTO="Proposto",ORÇAMENTO.CustoUnitario*(1+$AH363),ORÇAMENTO.PrecoUnitarioLicitado),15-13*$AF$10),0)</f>
        <v>0</v>
      </c>
      <c r="X363" s="127">
        <f ca="1">IF($C363="S",IF(Import.TipoArredondamento&lt;&gt;"TransfereGOV",VTOTAL1,SUM(OFFSET(CÁLCULO!$AA$15,ROW($X363)-ROW($X$15),1):OFFSET(CÁLCULO!$AL$15,ROW($X363)-ROW($X$15),-1))),IF($C363=0,0,ROUND(SomaAgrup,15-13*$AF$11)))</f>
        <v>0</v>
      </c>
      <c r="Y363" s="128" t="s">
        <v>245</v>
      </c>
      <c r="Z363" t="str">
        <f t="shared" ca="1" si="67"/>
        <v/>
      </c>
      <c r="AA363" s="129">
        <f ca="1">IF($C363="S",IF($Z363="CP",$X363,IF($Z363="RA",(($X363)*QCI!$AA$3),0)),SomaAgrup)</f>
        <v>0</v>
      </c>
      <c r="AB363" s="130">
        <f t="shared" ca="1" si="68"/>
        <v>0</v>
      </c>
      <c r="AC363" s="131" t="str">
        <f ca="1">IF($N363="","",IF(ORÇAMENTO.Descricao="","DESCRIÇÃO",IF(AND($C363="S",ORÇAMENTO.Unidade=""),"UNIDADE",IF($X363&lt;0,"VALOR NEGATIVO",IF(OR(AND(TIPOORCAMENTO="Proposto",$AG363&lt;&gt;"",$AG363&gt;0,ORÇAMENTO.CustoUnitario&gt;$AG363),AND(TIPOORCAMENTO="LICITADO",ORÇAMENTO.PrecoUnitarioLicitado&gt;$AN363)),"ACIMA REF.","")))))</f>
        <v/>
      </c>
      <c r="AD363" t="str">
        <f ca="1">IF(C363&lt;=CRONO.NivelExibicao,MAX($AD$15:OFFSET(AD363,-1,0))+IF($C363&lt;&gt;1,1,MAX(1,COUNTIF(QCI!$A$13:$A$24,OFFSET($E363,-1,0)))),"")</f>
        <v/>
      </c>
      <c r="AE363" s="7" t="str">
        <f ca="1">IF(AND($C363="S",ORÇAMENTO.CodBarra&lt;&gt;""),IF(ORÇAMENTO.Fonte="",ORÇAMENTO.CodBarra,CONCATENATE(ORÇAMENTO.Fonte," ",ORÇAMENTO.CodBarra)))</f>
        <v>SINAPI 89827</v>
      </c>
      <c r="AF363" s="13" t="str">
        <f ca="1">IF(ISERROR(INDIRECT(ORÇAMENTO.BancoRef)),"(abra o arquivo 'Referência "&amp;Excel_BuiltIn_Database&amp;".xlsm)",IF(OR($C363&lt;&gt;"S",ORÇAMENTO.CodBarra=""),"(Sem Código)",IF(ISERROR(MATCH($AE363,INDIRECT(ORÇAMENTO.BancoRef),0)),"(Código não identificado nas referências)",MATCH($AE363,INDIRECT(ORÇAMENTO.BancoRef),0))))</f>
        <v>(abra o arquivo 'Referência 02-2025.xlsm)</v>
      </c>
      <c r="AG363" s="498">
        <f ca="1">ROUND(IF(DESONERACAO="sim",REFERENCIA.Desonerado,REFERENCIA.NaoDesonerado),2)</f>
        <v>0</v>
      </c>
      <c r="AH363" s="499">
        <f t="shared" ca="1" si="69"/>
        <v>0.22470000000000001</v>
      </c>
      <c r="AJ363" s="501">
        <v>21</v>
      </c>
      <c r="AL363" s="527"/>
      <c r="AM363" s="381">
        <f t="shared" ca="1" si="70"/>
        <v>0</v>
      </c>
      <c r="AN363" s="566">
        <f t="shared" ca="1" si="71"/>
        <v>0</v>
      </c>
    </row>
    <row r="364" spans="1:40" ht="38.25" x14ac:dyDescent="0.2">
      <c r="A364" t="str">
        <f t="shared" si="56"/>
        <v>S</v>
      </c>
      <c r="B364">
        <f t="shared" ca="1" si="57"/>
        <v>3</v>
      </c>
      <c r="C364" t="str">
        <f t="shared" ca="1" si="58"/>
        <v>S</v>
      </c>
      <c r="D364">
        <f t="shared" ca="1" si="59"/>
        <v>0</v>
      </c>
      <c r="E364">
        <f ca="1">IF($C364=1,OFFSET(E364,-1,0)+MAX(1,COUNTIF(QCI!$A$13:$A$24,OFFSET(ORÇAMENTO!E364,-1,0))),OFFSET(E364,-1,0))</f>
        <v>1</v>
      </c>
      <c r="F364">
        <f t="shared" ca="1" si="60"/>
        <v>14</v>
      </c>
      <c r="G364">
        <f t="shared" ca="1" si="61"/>
        <v>1</v>
      </c>
      <c r="H364">
        <f t="shared" ca="1" si="62"/>
        <v>0</v>
      </c>
      <c r="I364">
        <f t="shared" ca="1" si="63"/>
        <v>0</v>
      </c>
      <c r="J364">
        <f t="shared" ca="1" si="90"/>
        <v>0</v>
      </c>
      <c r="K364">
        <f ca="1">IF(OR($C364="S",$C364=0),0,MATCH(OFFSET($D364,0,$C364)+IF($C364&lt;&gt;1,1,COUNTIF(QCI!$A$13:$A$24,ORÇAMENTO!E364)),OFFSET($D364,1,$C364,ROW($C$747)-ROW($C364)),0))</f>
        <v>0</v>
      </c>
      <c r="L364" s="116" t="str">
        <f t="shared" ca="1" si="64"/>
        <v/>
      </c>
      <c r="M364" s="117" t="s">
        <v>199</v>
      </c>
      <c r="N364" s="118" t="str">
        <f t="shared" ca="1" si="65"/>
        <v>Serviço</v>
      </c>
      <c r="O364" s="119" t="str">
        <f t="shared" ca="1" si="66"/>
        <v>-</v>
      </c>
      <c r="P364" s="120" t="s">
        <v>247</v>
      </c>
      <c r="Q364" s="121" t="s">
        <v>577</v>
      </c>
      <c r="R364" s="122" t="str">
        <f ca="1">IF($C364="S",REFERENCIA.Descricao,"(digite a descrição aqui)")</f>
        <v>(abra o arquivo 'Referência 02-2025.xlsm)</v>
      </c>
      <c r="S364" s="123" t="str">
        <f ca="1">REFERENCIA.Unidade</f>
        <v>-</v>
      </c>
      <c r="T364" s="124">
        <f ca="1">OFFSET(CÁLCULO!H$15,ROW($T364)-ROW(T$15),0)</f>
        <v>9</v>
      </c>
      <c r="U364" s="125">
        <f t="shared" ca="1" si="91"/>
        <v>0</v>
      </c>
      <c r="V364" s="126" t="s">
        <v>156</v>
      </c>
      <c r="W364" s="124">
        <f ca="1">IF($C364="S",ROUND(IF(TIPOORCAMENTO="Proposto",ORÇAMENTO.CustoUnitario*(1+$AH364),ORÇAMENTO.PrecoUnitarioLicitado),15-13*$AF$10),0)</f>
        <v>0</v>
      </c>
      <c r="X364" s="127">
        <f ca="1">IF($C364="S",IF(Import.TipoArredondamento&lt;&gt;"TransfereGOV",VTOTAL1,SUM(OFFSET(CÁLCULO!$AA$15,ROW($X364)-ROW($X$15),1):OFFSET(CÁLCULO!$AL$15,ROW($X364)-ROW($X$15),-1))),IF($C364=0,0,ROUND(SomaAgrup,15-13*$AF$11)))</f>
        <v>0</v>
      </c>
      <c r="Y364" s="128" t="s">
        <v>245</v>
      </c>
      <c r="Z364" t="str">
        <f t="shared" ca="1" si="67"/>
        <v/>
      </c>
      <c r="AA364" s="129">
        <f ca="1">IF($C364="S",IF($Z364="CP",$X364,IF($Z364="RA",(($X364)*QCI!$AA$3),0)),SomaAgrup)</f>
        <v>0</v>
      </c>
      <c r="AB364" s="130">
        <f t="shared" ca="1" si="68"/>
        <v>0</v>
      </c>
      <c r="AC364" s="131" t="str">
        <f ca="1">IF($N364="","",IF(ORÇAMENTO.Descricao="","DESCRIÇÃO",IF(AND($C364="S",ORÇAMENTO.Unidade=""),"UNIDADE",IF($X364&lt;0,"VALOR NEGATIVO",IF(OR(AND(TIPOORCAMENTO="Proposto",$AG364&lt;&gt;"",$AG364&gt;0,ORÇAMENTO.CustoUnitario&gt;$AG364),AND(TIPOORCAMENTO="LICITADO",ORÇAMENTO.PrecoUnitarioLicitado&gt;$AN364)),"ACIMA REF.","")))))</f>
        <v/>
      </c>
      <c r="AD364" t="str">
        <f ca="1">IF(C364&lt;=CRONO.NivelExibicao,MAX($AD$15:OFFSET(AD364,-1,0))+IF($C364&lt;&gt;1,1,MAX(1,COUNTIF(QCI!$A$13:$A$24,OFFSET($E364,-1,0)))),"")</f>
        <v/>
      </c>
      <c r="AE364" s="7" t="str">
        <f ca="1">IF(AND($C364="S",ORÇAMENTO.CodBarra&lt;&gt;""),IF(ORÇAMENTO.Fonte="",ORÇAMENTO.CodBarra,CONCATENATE(ORÇAMENTO.Fonte," ",ORÇAMENTO.CodBarra)))</f>
        <v>SINAPI 89783</v>
      </c>
      <c r="AF364" s="13" t="str">
        <f ca="1">IF(ISERROR(INDIRECT(ORÇAMENTO.BancoRef)),"(abra o arquivo 'Referência "&amp;Excel_BuiltIn_Database&amp;".xlsm)",IF(OR($C364&lt;&gt;"S",ORÇAMENTO.CodBarra=""),"(Sem Código)",IF(ISERROR(MATCH($AE364,INDIRECT(ORÇAMENTO.BancoRef),0)),"(Código não identificado nas referências)",MATCH($AE364,INDIRECT(ORÇAMENTO.BancoRef),0))))</f>
        <v>(abra o arquivo 'Referência 02-2025.xlsm)</v>
      </c>
      <c r="AG364" s="498">
        <f ca="1">ROUND(IF(DESONERACAO="sim",REFERENCIA.Desonerado,REFERENCIA.NaoDesonerado),2)</f>
        <v>0</v>
      </c>
      <c r="AH364" s="499">
        <f t="shared" ca="1" si="69"/>
        <v>0.22470000000000001</v>
      </c>
      <c r="AJ364" s="501">
        <v>9</v>
      </c>
      <c r="AL364" s="527"/>
      <c r="AM364" s="381">
        <f t="shared" ca="1" si="70"/>
        <v>0</v>
      </c>
      <c r="AN364" s="566">
        <f t="shared" ca="1" si="71"/>
        <v>0</v>
      </c>
    </row>
    <row r="365" spans="1:40" ht="38.25" x14ac:dyDescent="0.2">
      <c r="A365" t="str">
        <f t="shared" si="56"/>
        <v>S</v>
      </c>
      <c r="B365">
        <f t="shared" ca="1" si="57"/>
        <v>3</v>
      </c>
      <c r="C365" t="str">
        <f t="shared" ca="1" si="58"/>
        <v>S</v>
      </c>
      <c r="D365">
        <f t="shared" ca="1" si="59"/>
        <v>0</v>
      </c>
      <c r="E365">
        <f ca="1">IF($C365=1,OFFSET(E365,-1,0)+MAX(1,COUNTIF(QCI!$A$13:$A$24,OFFSET(ORÇAMENTO!E365,-1,0))),OFFSET(E365,-1,0))</f>
        <v>1</v>
      </c>
      <c r="F365">
        <f t="shared" ca="1" si="60"/>
        <v>14</v>
      </c>
      <c r="G365">
        <f t="shared" ca="1" si="61"/>
        <v>1</v>
      </c>
      <c r="H365">
        <f t="shared" ca="1" si="62"/>
        <v>0</v>
      </c>
      <c r="I365">
        <f t="shared" ca="1" si="63"/>
        <v>0</v>
      </c>
      <c r="J365">
        <f t="shared" ca="1" si="90"/>
        <v>0</v>
      </c>
      <c r="K365">
        <f ca="1">IF(OR($C365="S",$C365=0),0,MATCH(OFFSET($D365,0,$C365)+IF($C365&lt;&gt;1,1,COUNTIF(QCI!$A$13:$A$24,ORÇAMENTO!E365)),OFFSET($D365,1,$C365,ROW($C$747)-ROW($C365)),0))</f>
        <v>0</v>
      </c>
      <c r="L365" s="116" t="str">
        <f t="shared" ca="1" si="64"/>
        <v/>
      </c>
      <c r="M365" s="117" t="s">
        <v>199</v>
      </c>
      <c r="N365" s="118" t="str">
        <f t="shared" ca="1" si="65"/>
        <v>Serviço</v>
      </c>
      <c r="O365" s="119" t="str">
        <f t="shared" ca="1" si="66"/>
        <v>-</v>
      </c>
      <c r="P365" s="120" t="s">
        <v>247</v>
      </c>
      <c r="Q365" s="121" t="s">
        <v>578</v>
      </c>
      <c r="R365" s="122" t="str">
        <f ca="1">IF($C365="S",REFERENCIA.Descricao,"(digite a descrição aqui)")</f>
        <v>(abra o arquivo 'Referência 02-2025.xlsm)</v>
      </c>
      <c r="S365" s="123" t="str">
        <f ca="1">REFERENCIA.Unidade</f>
        <v>-</v>
      </c>
      <c r="T365" s="124">
        <f ca="1">OFFSET(CÁLCULO!H$15,ROW($T365)-ROW(T$15),0)</f>
        <v>6</v>
      </c>
      <c r="U365" s="125">
        <f t="shared" ca="1" si="91"/>
        <v>0</v>
      </c>
      <c r="V365" s="126" t="s">
        <v>156</v>
      </c>
      <c r="W365" s="124">
        <f ca="1">IF($C365="S",ROUND(IF(TIPOORCAMENTO="Proposto",ORÇAMENTO.CustoUnitario*(1+$AH365),ORÇAMENTO.PrecoUnitarioLicitado),15-13*$AF$10),0)</f>
        <v>0</v>
      </c>
      <c r="X365" s="127">
        <f ca="1">IF($C365="S",IF(Import.TipoArredondamento&lt;&gt;"TransfereGOV",VTOTAL1,SUM(OFFSET(CÁLCULO!$AA$15,ROW($X365)-ROW($X$15),1):OFFSET(CÁLCULO!$AL$15,ROW($X365)-ROW($X$15),-1))),IF($C365=0,0,ROUND(SomaAgrup,15-13*$AF$11)))</f>
        <v>0</v>
      </c>
      <c r="Y365" s="128" t="s">
        <v>245</v>
      </c>
      <c r="Z365" t="str">
        <f t="shared" ca="1" si="67"/>
        <v/>
      </c>
      <c r="AA365" s="129">
        <f ca="1">IF($C365="S",IF($Z365="CP",$X365,IF($Z365="RA",(($X365)*QCI!$AA$3),0)),SomaAgrup)</f>
        <v>0</v>
      </c>
      <c r="AB365" s="130">
        <f t="shared" ca="1" si="68"/>
        <v>0</v>
      </c>
      <c r="AC365" s="131" t="str">
        <f ca="1">IF($N365="","",IF(ORÇAMENTO.Descricao="","DESCRIÇÃO",IF(AND($C365="S",ORÇAMENTO.Unidade=""),"UNIDADE",IF($X365&lt;0,"VALOR NEGATIVO",IF(OR(AND(TIPOORCAMENTO="Proposto",$AG365&lt;&gt;"",$AG365&gt;0,ORÇAMENTO.CustoUnitario&gt;$AG365),AND(TIPOORCAMENTO="LICITADO",ORÇAMENTO.PrecoUnitarioLicitado&gt;$AN365)),"ACIMA REF.","")))))</f>
        <v/>
      </c>
      <c r="AD365" t="str">
        <f ca="1">IF(C365&lt;=CRONO.NivelExibicao,MAX($AD$15:OFFSET(AD365,-1,0))+IF($C365&lt;&gt;1,1,MAX(1,COUNTIF(QCI!$A$13:$A$24,OFFSET($E365,-1,0)))),"")</f>
        <v/>
      </c>
      <c r="AE365" s="7" t="str">
        <f ca="1">IF(AND($C365="S",ORÇAMENTO.CodBarra&lt;&gt;""),IF(ORÇAMENTO.Fonte="",ORÇAMENTO.CodBarra,CONCATENATE(ORÇAMENTO.Fonte," ",ORÇAMENTO.CodBarra)))</f>
        <v>SINAPI 89569</v>
      </c>
      <c r="AF365" s="13" t="str">
        <f ca="1">IF(ISERROR(INDIRECT(ORÇAMENTO.BancoRef)),"(abra o arquivo 'Referência "&amp;Excel_BuiltIn_Database&amp;".xlsm)",IF(OR($C365&lt;&gt;"S",ORÇAMENTO.CodBarra=""),"(Sem Código)",IF(ISERROR(MATCH($AE365,INDIRECT(ORÇAMENTO.BancoRef),0)),"(Código não identificado nas referências)",MATCH($AE365,INDIRECT(ORÇAMENTO.BancoRef),0))))</f>
        <v>(abra o arquivo 'Referência 02-2025.xlsm)</v>
      </c>
      <c r="AG365" s="498">
        <f ca="1">ROUND(IF(DESONERACAO="sim",REFERENCIA.Desonerado,REFERENCIA.NaoDesonerado),2)</f>
        <v>0</v>
      </c>
      <c r="AH365" s="499">
        <f t="shared" ca="1" si="69"/>
        <v>0.22470000000000001</v>
      </c>
      <c r="AJ365" s="501">
        <v>6</v>
      </c>
      <c r="AL365" s="527"/>
      <c r="AM365" s="381">
        <f t="shared" ca="1" si="70"/>
        <v>0</v>
      </c>
      <c r="AN365" s="566">
        <f t="shared" ca="1" si="71"/>
        <v>0</v>
      </c>
    </row>
    <row r="366" spans="1:40" ht="38.25" x14ac:dyDescent="0.2">
      <c r="A366" t="str">
        <f t="shared" si="56"/>
        <v>S</v>
      </c>
      <c r="B366">
        <f t="shared" ca="1" si="57"/>
        <v>3</v>
      </c>
      <c r="C366" t="str">
        <f t="shared" ca="1" si="58"/>
        <v>S</v>
      </c>
      <c r="D366">
        <f t="shared" ca="1" si="59"/>
        <v>0</v>
      </c>
      <c r="E366">
        <f ca="1">IF($C366=1,OFFSET(E366,-1,0)+MAX(1,COUNTIF(QCI!$A$13:$A$24,OFFSET(ORÇAMENTO!E366,-1,0))),OFFSET(E366,-1,0))</f>
        <v>1</v>
      </c>
      <c r="F366">
        <f t="shared" ca="1" si="60"/>
        <v>14</v>
      </c>
      <c r="G366">
        <f t="shared" ca="1" si="61"/>
        <v>1</v>
      </c>
      <c r="H366">
        <f t="shared" ca="1" si="62"/>
        <v>0</v>
      </c>
      <c r="I366">
        <f t="shared" ca="1" si="63"/>
        <v>0</v>
      </c>
      <c r="J366">
        <f t="shared" ca="1" si="90"/>
        <v>0</v>
      </c>
      <c r="K366">
        <f ca="1">IF(OR($C366="S",$C366=0),0,MATCH(OFFSET($D366,0,$C366)+IF($C366&lt;&gt;1,1,COUNTIF(QCI!$A$13:$A$24,ORÇAMENTO!E366)),OFFSET($D366,1,$C366,ROW($C$747)-ROW($C366)),0))</f>
        <v>0</v>
      </c>
      <c r="L366" s="116" t="str">
        <f t="shared" ca="1" si="64"/>
        <v/>
      </c>
      <c r="M366" s="117" t="s">
        <v>199</v>
      </c>
      <c r="N366" s="118" t="str">
        <f t="shared" ca="1" si="65"/>
        <v>Serviço</v>
      </c>
      <c r="O366" s="119" t="str">
        <f t="shared" ca="1" si="66"/>
        <v>-</v>
      </c>
      <c r="P366" s="120" t="s">
        <v>712</v>
      </c>
      <c r="Q366" s="121" t="s">
        <v>803</v>
      </c>
      <c r="R366" s="122" t="str">
        <f ca="1">IF($C366="S",REFERENCIA.Descricao,"(digite a descrição aqui)")</f>
        <v>(abra o arquivo 'Referência 02-2025.xlsm)</v>
      </c>
      <c r="S366" s="123" t="str">
        <f ca="1">REFERENCIA.Unidade</f>
        <v>-</v>
      </c>
      <c r="T366" s="124">
        <f ca="1">OFFSET(CÁLCULO!H$15,ROW($T366)-ROW(T$15),0)</f>
        <v>16</v>
      </c>
      <c r="U366" s="125">
        <f t="shared" ca="1" si="91"/>
        <v>0</v>
      </c>
      <c r="V366" s="126" t="s">
        <v>156</v>
      </c>
      <c r="W366" s="124">
        <f ca="1">IF($C366="S",ROUND(IF(TIPOORCAMENTO="Proposto",ORÇAMENTO.CustoUnitario*(1+$AH366),ORÇAMENTO.PrecoUnitarioLicitado),15-13*$AF$10),0)</f>
        <v>0</v>
      </c>
      <c r="X366" s="127">
        <f ca="1">IF($C366="S",IF(Import.TipoArredondamento&lt;&gt;"TransfereGOV",VTOTAL1,SUM(OFFSET(CÁLCULO!$AA$15,ROW($X366)-ROW($X$15),1):OFFSET(CÁLCULO!$AL$15,ROW($X366)-ROW($X$15),-1))),IF($C366=0,0,ROUND(SomaAgrup,15-13*$AF$11)))</f>
        <v>0</v>
      </c>
      <c r="Y366" s="128" t="s">
        <v>245</v>
      </c>
      <c r="Z366" t="str">
        <f t="shared" ca="1" si="67"/>
        <v/>
      </c>
      <c r="AA366" s="129">
        <f ca="1">IF($C366="S",IF($Z366="CP",$X366,IF($Z366="RA",(($X366)*QCI!$AA$3),0)),SomaAgrup)</f>
        <v>0</v>
      </c>
      <c r="AB366" s="130">
        <f t="shared" ca="1" si="68"/>
        <v>0</v>
      </c>
      <c r="AC366" s="131" t="str">
        <f ca="1">IF($N366="","",IF(ORÇAMENTO.Descricao="","DESCRIÇÃO",IF(AND($C366="S",ORÇAMENTO.Unidade=""),"UNIDADE",IF($X366&lt;0,"VALOR NEGATIVO",IF(OR(AND(TIPOORCAMENTO="Proposto",$AG366&lt;&gt;"",$AG366&gt;0,ORÇAMENTO.CustoUnitario&gt;$AG366),AND(TIPOORCAMENTO="LICITADO",ORÇAMENTO.PrecoUnitarioLicitado&gt;$AN366)),"ACIMA REF.","")))))</f>
        <v/>
      </c>
      <c r="AD366" t="str">
        <f ca="1">IF(C366&lt;=CRONO.NivelExibicao,MAX($AD$15:OFFSET(AD366,-1,0))+IF($C366&lt;&gt;1,1,MAX(1,COUNTIF(QCI!$A$13:$A$24,OFFSET($E366,-1,0)))),"")</f>
        <v/>
      </c>
      <c r="AE366" s="7" t="str">
        <f ca="1">IF(AND($C366="S",ORÇAMENTO.CodBarra&lt;&gt;""),IF(ORÇAMENTO.Fonte="",ORÇAMENTO.CodBarra,CONCATENATE(ORÇAMENTO.Fonte," ",ORÇAMENTO.CodBarra)))</f>
        <v>Composição FNDE 418</v>
      </c>
      <c r="AF366" s="13" t="str">
        <f ca="1">IF(ISERROR(INDIRECT(ORÇAMENTO.BancoRef)),"(abra o arquivo 'Referência "&amp;Excel_BuiltIn_Database&amp;".xlsm)",IF(OR($C366&lt;&gt;"S",ORÇAMENTO.CodBarra=""),"(Sem Código)",IF(ISERROR(MATCH($AE366,INDIRECT(ORÇAMENTO.BancoRef),0)),"(Código não identificado nas referências)",MATCH($AE366,INDIRECT(ORÇAMENTO.BancoRef),0))))</f>
        <v>(abra o arquivo 'Referência 02-2025.xlsm)</v>
      </c>
      <c r="AG366" s="498">
        <f ca="1">ROUND(IF(DESONERACAO="sim",REFERENCIA.Desonerado,REFERENCIA.NaoDesonerado),2)</f>
        <v>0</v>
      </c>
      <c r="AH366" s="499">
        <f t="shared" ca="1" si="69"/>
        <v>0.22470000000000001</v>
      </c>
      <c r="AJ366" s="501">
        <v>16</v>
      </c>
      <c r="AL366" s="527"/>
      <c r="AM366" s="381">
        <f t="shared" ca="1" si="70"/>
        <v>0</v>
      </c>
      <c r="AN366" s="566">
        <f t="shared" ca="1" si="71"/>
        <v>0</v>
      </c>
    </row>
    <row r="367" spans="1:40" ht="38.25" x14ac:dyDescent="0.2">
      <c r="A367" t="str">
        <f t="shared" si="56"/>
        <v>S</v>
      </c>
      <c r="B367">
        <f t="shared" ca="1" si="57"/>
        <v>3</v>
      </c>
      <c r="C367" t="str">
        <f t="shared" ca="1" si="58"/>
        <v>S</v>
      </c>
      <c r="D367">
        <f t="shared" ca="1" si="59"/>
        <v>0</v>
      </c>
      <c r="E367">
        <f ca="1">IF($C367=1,OFFSET(E367,-1,0)+MAX(1,COUNTIF(QCI!$A$13:$A$24,OFFSET(ORÇAMENTO!E367,-1,0))),OFFSET(E367,-1,0))</f>
        <v>1</v>
      </c>
      <c r="F367">
        <f t="shared" ca="1" si="60"/>
        <v>14</v>
      </c>
      <c r="G367">
        <f t="shared" ca="1" si="61"/>
        <v>1</v>
      </c>
      <c r="H367">
        <f t="shared" ca="1" si="62"/>
        <v>0</v>
      </c>
      <c r="I367">
        <f t="shared" ca="1" si="63"/>
        <v>0</v>
      </c>
      <c r="J367">
        <f t="shared" ca="1" si="90"/>
        <v>0</v>
      </c>
      <c r="K367">
        <f ca="1">IF(OR($C367="S",$C367=0),0,MATCH(OFFSET($D367,0,$C367)+IF($C367&lt;&gt;1,1,COUNTIF(QCI!$A$13:$A$24,ORÇAMENTO!E367)),OFFSET($D367,1,$C367,ROW($C$747)-ROW($C367)),0))</f>
        <v>0</v>
      </c>
      <c r="L367" s="116" t="str">
        <f t="shared" ca="1" si="64"/>
        <v/>
      </c>
      <c r="M367" s="117" t="s">
        <v>199</v>
      </c>
      <c r="N367" s="118" t="str">
        <f t="shared" ca="1" si="65"/>
        <v>Serviço</v>
      </c>
      <c r="O367" s="119" t="str">
        <f t="shared" ca="1" si="66"/>
        <v>-</v>
      </c>
      <c r="P367" s="120" t="s">
        <v>712</v>
      </c>
      <c r="Q367" s="121" t="s">
        <v>804</v>
      </c>
      <c r="R367" s="122" t="str">
        <f ca="1">IF($C367="S",REFERENCIA.Descricao,"(digite a descrição aqui)")</f>
        <v>(abra o arquivo 'Referência 02-2025.xlsm)</v>
      </c>
      <c r="S367" s="123" t="str">
        <f ca="1">REFERENCIA.Unidade</f>
        <v>-</v>
      </c>
      <c r="T367" s="124">
        <f ca="1">OFFSET(CÁLCULO!H$15,ROW($T367)-ROW(T$15),0)</f>
        <v>2</v>
      </c>
      <c r="U367" s="125">
        <f t="shared" ca="1" si="91"/>
        <v>0</v>
      </c>
      <c r="V367" s="126" t="s">
        <v>156</v>
      </c>
      <c r="W367" s="124">
        <f ca="1">IF($C367="S",ROUND(IF(TIPOORCAMENTO="Proposto",ORÇAMENTO.CustoUnitario*(1+$AH367),ORÇAMENTO.PrecoUnitarioLicitado),15-13*$AF$10),0)</f>
        <v>0</v>
      </c>
      <c r="X367" s="127">
        <f ca="1">IF($C367="S",IF(Import.TipoArredondamento&lt;&gt;"TransfereGOV",VTOTAL1,SUM(OFFSET(CÁLCULO!$AA$15,ROW($X367)-ROW($X$15),1):OFFSET(CÁLCULO!$AL$15,ROW($X367)-ROW($X$15),-1))),IF($C367=0,0,ROUND(SomaAgrup,15-13*$AF$11)))</f>
        <v>0</v>
      </c>
      <c r="Y367" s="128" t="s">
        <v>245</v>
      </c>
      <c r="Z367" t="str">
        <f t="shared" ca="1" si="67"/>
        <v/>
      </c>
      <c r="AA367" s="129">
        <f ca="1">IF($C367="S",IF($Z367="CP",$X367,IF($Z367="RA",(($X367)*QCI!$AA$3),0)),SomaAgrup)</f>
        <v>0</v>
      </c>
      <c r="AB367" s="130">
        <f t="shared" ca="1" si="68"/>
        <v>0</v>
      </c>
      <c r="AC367" s="131" t="str">
        <f ca="1">IF($N367="","",IF(ORÇAMENTO.Descricao="","DESCRIÇÃO",IF(AND($C367="S",ORÇAMENTO.Unidade=""),"UNIDADE",IF($X367&lt;0,"VALOR NEGATIVO",IF(OR(AND(TIPOORCAMENTO="Proposto",$AG367&lt;&gt;"",$AG367&gt;0,ORÇAMENTO.CustoUnitario&gt;$AG367),AND(TIPOORCAMENTO="LICITADO",ORÇAMENTO.PrecoUnitarioLicitado&gt;$AN367)),"ACIMA REF.","")))))</f>
        <v/>
      </c>
      <c r="AD367" t="str">
        <f ca="1">IF(C367&lt;=CRONO.NivelExibicao,MAX($AD$15:OFFSET(AD367,-1,0))+IF($C367&lt;&gt;1,1,MAX(1,COUNTIF(QCI!$A$13:$A$24,OFFSET($E367,-1,0)))),"")</f>
        <v/>
      </c>
      <c r="AE367" s="7" t="str">
        <f ca="1">IF(AND($C367="S",ORÇAMENTO.CodBarra&lt;&gt;""),IF(ORÇAMENTO.Fonte="",ORÇAMENTO.CodBarra,CONCATENATE(ORÇAMENTO.Fonte," ",ORÇAMENTO.CodBarra)))</f>
        <v>Composição FNDE 419</v>
      </c>
      <c r="AF367" s="13" t="str">
        <f ca="1">IF(ISERROR(INDIRECT(ORÇAMENTO.BancoRef)),"(abra o arquivo 'Referência "&amp;Excel_BuiltIn_Database&amp;".xlsm)",IF(OR($C367&lt;&gt;"S",ORÇAMENTO.CodBarra=""),"(Sem Código)",IF(ISERROR(MATCH($AE367,INDIRECT(ORÇAMENTO.BancoRef),0)),"(Código não identificado nas referências)",MATCH($AE367,INDIRECT(ORÇAMENTO.BancoRef),0))))</f>
        <v>(abra o arquivo 'Referência 02-2025.xlsm)</v>
      </c>
      <c r="AG367" s="498">
        <f ca="1">ROUND(IF(DESONERACAO="sim",REFERENCIA.Desonerado,REFERENCIA.NaoDesonerado),2)</f>
        <v>0</v>
      </c>
      <c r="AH367" s="499">
        <f t="shared" ca="1" si="69"/>
        <v>0.22470000000000001</v>
      </c>
      <c r="AJ367" s="501">
        <v>2</v>
      </c>
      <c r="AL367" s="527"/>
      <c r="AM367" s="381">
        <f t="shared" ca="1" si="70"/>
        <v>0</v>
      </c>
      <c r="AN367" s="566">
        <f t="shared" ca="1" si="71"/>
        <v>0</v>
      </c>
    </row>
    <row r="368" spans="1:40" ht="38.25" x14ac:dyDescent="0.2">
      <c r="A368" t="str">
        <f t="shared" si="56"/>
        <v>S</v>
      </c>
      <c r="B368">
        <f t="shared" ca="1" si="57"/>
        <v>3</v>
      </c>
      <c r="C368" t="str">
        <f t="shared" ca="1" si="58"/>
        <v>S</v>
      </c>
      <c r="D368">
        <f t="shared" ca="1" si="59"/>
        <v>0</v>
      </c>
      <c r="E368">
        <f ca="1">IF($C368=1,OFFSET(E368,-1,0)+MAX(1,COUNTIF(QCI!$A$13:$A$24,OFFSET(ORÇAMENTO!E368,-1,0))),OFFSET(E368,-1,0))</f>
        <v>1</v>
      </c>
      <c r="F368">
        <f t="shared" ca="1" si="60"/>
        <v>14</v>
      </c>
      <c r="G368">
        <f t="shared" ca="1" si="61"/>
        <v>1</v>
      </c>
      <c r="H368">
        <f t="shared" ca="1" si="62"/>
        <v>0</v>
      </c>
      <c r="I368">
        <f t="shared" ca="1" si="63"/>
        <v>0</v>
      </c>
      <c r="J368">
        <f t="shared" ca="1" si="90"/>
        <v>0</v>
      </c>
      <c r="K368">
        <f ca="1">IF(OR($C368="S",$C368=0),0,MATCH(OFFSET($D368,0,$C368)+IF($C368&lt;&gt;1,1,COUNTIF(QCI!$A$13:$A$24,ORÇAMENTO!E368)),OFFSET($D368,1,$C368,ROW($C$747)-ROW($C368)),0))</f>
        <v>0</v>
      </c>
      <c r="L368" s="116" t="str">
        <f t="shared" ca="1" si="64"/>
        <v/>
      </c>
      <c r="M368" s="117" t="s">
        <v>199</v>
      </c>
      <c r="N368" s="118" t="str">
        <f t="shared" ca="1" si="65"/>
        <v>Serviço</v>
      </c>
      <c r="O368" s="119" t="str">
        <f t="shared" ca="1" si="66"/>
        <v>-</v>
      </c>
      <c r="P368" s="120" t="s">
        <v>247</v>
      </c>
      <c r="Q368" s="121" t="s">
        <v>553</v>
      </c>
      <c r="R368" s="122" t="str">
        <f ca="1">IF($C368="S",REFERENCIA.Descricao,"(digite a descrição aqui)")</f>
        <v>(abra o arquivo 'Referência 02-2025.xlsm)</v>
      </c>
      <c r="S368" s="123" t="str">
        <f ca="1">REFERENCIA.Unidade</f>
        <v>-</v>
      </c>
      <c r="T368" s="124">
        <f ca="1">OFFSET(CÁLCULO!H$15,ROW($T368)-ROW(T$15),0)</f>
        <v>1</v>
      </c>
      <c r="U368" s="125">
        <f t="shared" ca="1" si="91"/>
        <v>0</v>
      </c>
      <c r="V368" s="126" t="s">
        <v>156</v>
      </c>
      <c r="W368" s="124">
        <f ca="1">IF($C368="S",ROUND(IF(TIPOORCAMENTO="Proposto",ORÇAMENTO.CustoUnitario*(1+$AH368),ORÇAMENTO.PrecoUnitarioLicitado),15-13*$AF$10),0)</f>
        <v>0</v>
      </c>
      <c r="X368" s="127">
        <f ca="1">IF($C368="S",IF(Import.TipoArredondamento&lt;&gt;"TransfereGOV",VTOTAL1,SUM(OFFSET(CÁLCULO!$AA$15,ROW($X368)-ROW($X$15),1):OFFSET(CÁLCULO!$AL$15,ROW($X368)-ROW($X$15),-1))),IF($C368=0,0,ROUND(SomaAgrup,15-13*$AF$11)))</f>
        <v>0</v>
      </c>
      <c r="Y368" s="128" t="s">
        <v>245</v>
      </c>
      <c r="Z368" t="str">
        <f t="shared" ca="1" si="67"/>
        <v/>
      </c>
      <c r="AA368" s="129">
        <f ca="1">IF($C368="S",IF($Z368="CP",$X368,IF($Z368="RA",(($X368)*QCI!$AA$3),0)),SomaAgrup)</f>
        <v>0</v>
      </c>
      <c r="AB368" s="130">
        <f t="shared" ca="1" si="68"/>
        <v>0</v>
      </c>
      <c r="AC368" s="131" t="str">
        <f ca="1">IF($N368="","",IF(ORÇAMENTO.Descricao="","DESCRIÇÃO",IF(AND($C368="S",ORÇAMENTO.Unidade=""),"UNIDADE",IF($X368&lt;0,"VALOR NEGATIVO",IF(OR(AND(TIPOORCAMENTO="Proposto",$AG368&lt;&gt;"",$AG368&gt;0,ORÇAMENTO.CustoUnitario&gt;$AG368),AND(TIPOORCAMENTO="LICITADO",ORÇAMENTO.PrecoUnitarioLicitado&gt;$AN368)),"ACIMA REF.","")))))</f>
        <v/>
      </c>
      <c r="AD368" t="str">
        <f ca="1">IF(C368&lt;=CRONO.NivelExibicao,MAX($AD$15:OFFSET(AD368,-1,0))+IF($C368&lt;&gt;1,1,MAX(1,COUNTIF(QCI!$A$13:$A$24,OFFSET($E368,-1,0)))),"")</f>
        <v/>
      </c>
      <c r="AE368" s="7" t="str">
        <f ca="1">IF(AND($C368="S",ORÇAMENTO.CodBarra&lt;&gt;""),IF(ORÇAMENTO.Fonte="",ORÇAMENTO.CodBarra,CONCATENATE(ORÇAMENTO.Fonte," ",ORÇAMENTO.CodBarra)))</f>
        <v>SINAPI 89549</v>
      </c>
      <c r="AF368" s="13" t="str">
        <f ca="1">IF(ISERROR(INDIRECT(ORÇAMENTO.BancoRef)),"(abra o arquivo 'Referência "&amp;Excel_BuiltIn_Database&amp;".xlsm)",IF(OR($C368&lt;&gt;"S",ORÇAMENTO.CodBarra=""),"(Sem Código)",IF(ISERROR(MATCH($AE368,INDIRECT(ORÇAMENTO.BancoRef),0)),"(Código não identificado nas referências)",MATCH($AE368,INDIRECT(ORÇAMENTO.BancoRef),0))))</f>
        <v>(abra o arquivo 'Referência 02-2025.xlsm)</v>
      </c>
      <c r="AG368" s="498">
        <f ca="1">ROUND(IF(DESONERACAO="sim",REFERENCIA.Desonerado,REFERENCIA.NaoDesonerado),2)</f>
        <v>0</v>
      </c>
      <c r="AH368" s="499">
        <f t="shared" ca="1" si="69"/>
        <v>0.22470000000000001</v>
      </c>
      <c r="AJ368" s="501">
        <v>1</v>
      </c>
      <c r="AL368" s="527"/>
      <c r="AM368" s="381">
        <f t="shared" ca="1" si="70"/>
        <v>0</v>
      </c>
      <c r="AN368" s="566">
        <f t="shared" ca="1" si="71"/>
        <v>0</v>
      </c>
    </row>
    <row r="369" spans="1:40" x14ac:dyDescent="0.2">
      <c r="A369">
        <f t="shared" si="56"/>
        <v>3</v>
      </c>
      <c r="B369">
        <f t="shared" ca="1" si="57"/>
        <v>3</v>
      </c>
      <c r="C369">
        <f t="shared" ca="1" si="58"/>
        <v>3</v>
      </c>
      <c r="D369">
        <f t="shared" ca="1" si="59"/>
        <v>6</v>
      </c>
      <c r="E369">
        <f ca="1">IF($C369=1,OFFSET(E369,-1,0)+MAX(1,COUNTIF(QCI!$A$13:$A$24,OFFSET(ORÇAMENTO!E369,-1,0))),OFFSET(E369,-1,0))</f>
        <v>1</v>
      </c>
      <c r="F369">
        <f t="shared" ca="1" si="60"/>
        <v>14</v>
      </c>
      <c r="G369">
        <f t="shared" ca="1" si="61"/>
        <v>2</v>
      </c>
      <c r="H369">
        <f t="shared" ca="1" si="62"/>
        <v>0</v>
      </c>
      <c r="I369">
        <f t="shared" ca="1" si="63"/>
        <v>0</v>
      </c>
      <c r="J369">
        <f t="shared" ca="1" si="90"/>
        <v>22</v>
      </c>
      <c r="K369">
        <f ca="1">IF(OR($C369="S",$C369=0),0,MATCH(OFFSET($D369,0,$C369)+IF($C369&lt;&gt;1,1,COUNTIF(QCI!$A$13:$A$24,ORÇAMENTO!E369)),OFFSET($D369,1,$C369,ROW($C$747)-ROW($C369)),0))</f>
        <v>6</v>
      </c>
      <c r="L369" s="116" t="str">
        <f t="shared" ca="1" si="64"/>
        <v>F</v>
      </c>
      <c r="M369" s="117" t="s">
        <v>197</v>
      </c>
      <c r="N369" s="118" t="str">
        <f t="shared" ca="1" si="65"/>
        <v>Nível 3</v>
      </c>
      <c r="O369" s="119" t="str">
        <f t="shared" ca="1" si="66"/>
        <v>1.14.2.</v>
      </c>
      <c r="P369" s="120" t="s">
        <v>247</v>
      </c>
      <c r="Q369" s="121"/>
      <c r="R369" s="122" t="s">
        <v>1014</v>
      </c>
      <c r="S369" s="123" t="str">
        <f ca="1">REFERENCIA.Unidade</f>
        <v>-</v>
      </c>
      <c r="T369" s="124">
        <f ca="1">OFFSET(CÁLCULO!H$15,ROW($T369)-ROW(T$15),0)</f>
        <v>0</v>
      </c>
      <c r="U369" s="125">
        <f t="shared" ca="1" si="91"/>
        <v>0</v>
      </c>
      <c r="V369" s="126" t="s">
        <v>156</v>
      </c>
      <c r="W369" s="124">
        <f ca="1">IF($C369="S",ROUND(IF(TIPOORCAMENTO="Proposto",ORÇAMENTO.CustoUnitario*(1+$AH369),ORÇAMENTO.PrecoUnitarioLicitado),15-13*$AF$10),0)</f>
        <v>0</v>
      </c>
      <c r="X369" s="127">
        <f ca="1">IF($C369="S",IF(Import.TipoArredondamento&lt;&gt;"TransfereGOV",VTOTAL1,SUM(OFFSET(CÁLCULO!$AA$15,ROW($X369)-ROW($X$15),1):OFFSET(CÁLCULO!$AL$15,ROW($X369)-ROW($X$15),-1))),IF($C369=0,0,ROUND(SomaAgrup,15-13*$AF$11)))</f>
        <v>0</v>
      </c>
      <c r="Y369" s="128" t="s">
        <v>245</v>
      </c>
      <c r="Z369" t="str">
        <f t="shared" ca="1" si="67"/>
        <v/>
      </c>
      <c r="AA369" s="129">
        <f ca="1">IF($C369="S",IF($Z369="CP",$X369,IF($Z369="RA",(($X369)*QCI!$AA$3),0)),SomaAgrup)</f>
        <v>0</v>
      </c>
      <c r="AB369" s="130">
        <f t="shared" ca="1" si="68"/>
        <v>0</v>
      </c>
      <c r="AC369" s="131" t="str">
        <f ca="1">IF($N369="","",IF(ORÇAMENTO.Descricao="","DESCRIÇÃO",IF(AND($C369="S",ORÇAMENTO.Unidade=""),"UNIDADE",IF($X369&lt;0,"VALOR NEGATIVO",IF(OR(AND(TIPOORCAMENTO="Proposto",$AG369&lt;&gt;"",$AG369&gt;0,ORÇAMENTO.CustoUnitario&gt;$AG369),AND(TIPOORCAMENTO="LICITADO",ORÇAMENTO.PrecoUnitarioLicitado&gt;$AN369)),"ACIMA REF.","")))))</f>
        <v/>
      </c>
      <c r="AD369" t="str">
        <f ca="1">IF(C369&lt;=CRONO.NivelExibicao,MAX($AD$15:OFFSET(AD369,-1,0))+IF($C369&lt;&gt;1,1,MAX(1,COUNTIF(QCI!$A$13:$A$24,OFFSET($E369,-1,0)))),"")</f>
        <v/>
      </c>
      <c r="AE369" s="7" t="b">
        <f ca="1">IF(AND($C369="S",ORÇAMENTO.CodBarra&lt;&gt;""),IF(ORÇAMENTO.Fonte="",ORÇAMENTO.CodBarra,CONCATENATE(ORÇAMENTO.Fonte," ",ORÇAMENTO.CodBarra)))</f>
        <v>0</v>
      </c>
      <c r="AF369" s="13" t="str">
        <f ca="1">IF(ISERROR(INDIRECT(ORÇAMENTO.BancoRef)),"(abra o arquivo 'Referência "&amp;Excel_BuiltIn_Database&amp;".xlsm)",IF(OR($C369&lt;&gt;"S",ORÇAMENTO.CodBarra=""),"(Sem Código)",IF(ISERROR(MATCH($AE369,INDIRECT(ORÇAMENTO.BancoRef),0)),"(Código não identificado nas referências)",MATCH($AE369,INDIRECT(ORÇAMENTO.BancoRef),0))))</f>
        <v>(abra o arquivo 'Referência 02-2025.xlsm)</v>
      </c>
      <c r="AG369" s="498">
        <f ca="1">ROUND(IF(DESONERACAO="sim",REFERENCIA.Desonerado,REFERENCIA.NaoDesonerado),2)</f>
        <v>0</v>
      </c>
      <c r="AH369" s="499">
        <f t="shared" ca="1" si="69"/>
        <v>0.22470000000000001</v>
      </c>
      <c r="AJ369" s="501"/>
      <c r="AL369" s="527"/>
      <c r="AM369" s="381">
        <f t="shared" ca="1" si="70"/>
        <v>0</v>
      </c>
      <c r="AN369" s="566">
        <f t="shared" ca="1" si="71"/>
        <v>0</v>
      </c>
    </row>
    <row r="370" spans="1:40" ht="38.25" x14ac:dyDescent="0.2">
      <c r="A370" t="str">
        <f t="shared" si="56"/>
        <v>S</v>
      </c>
      <c r="B370">
        <f t="shared" ca="1" si="57"/>
        <v>3</v>
      </c>
      <c r="C370" t="str">
        <f t="shared" ca="1" si="58"/>
        <v>S</v>
      </c>
      <c r="D370">
        <f t="shared" ca="1" si="59"/>
        <v>0</v>
      </c>
      <c r="E370">
        <f ca="1">IF($C370=1,OFFSET(E370,-1,0)+MAX(1,COUNTIF(QCI!$A$13:$A$24,OFFSET(ORÇAMENTO!E370,-1,0))),OFFSET(E370,-1,0))</f>
        <v>1</v>
      </c>
      <c r="F370">
        <f t="shared" ca="1" si="60"/>
        <v>14</v>
      </c>
      <c r="G370">
        <f t="shared" ca="1" si="61"/>
        <v>2</v>
      </c>
      <c r="H370">
        <f t="shared" ca="1" si="62"/>
        <v>0</v>
      </c>
      <c r="I370">
        <f t="shared" ca="1" si="63"/>
        <v>0</v>
      </c>
      <c r="J370">
        <f t="shared" ca="1" si="90"/>
        <v>0</v>
      </c>
      <c r="K370">
        <f ca="1">IF(OR($C370="S",$C370=0),0,MATCH(OFFSET($D370,0,$C370)+IF($C370&lt;&gt;1,1,COUNTIF(QCI!$A$13:$A$24,ORÇAMENTO!E370)),OFFSET($D370,1,$C370,ROW($C$747)-ROW($C370)),0))</f>
        <v>0</v>
      </c>
      <c r="L370" s="116" t="str">
        <f t="shared" ca="1" si="64"/>
        <v/>
      </c>
      <c r="M370" s="117" t="s">
        <v>199</v>
      </c>
      <c r="N370" s="118" t="str">
        <f t="shared" ca="1" si="65"/>
        <v>Serviço</v>
      </c>
      <c r="O370" s="119" t="str">
        <f t="shared" ca="1" si="66"/>
        <v>-</v>
      </c>
      <c r="P370" s="120" t="s">
        <v>247</v>
      </c>
      <c r="Q370" s="121" t="s">
        <v>555</v>
      </c>
      <c r="R370" s="122" t="str">
        <f ca="1">IF($C370="S",REFERENCIA.Descricao,"(digite a descrição aqui)")</f>
        <v>(abra o arquivo 'Referência 02-2025.xlsm)</v>
      </c>
      <c r="S370" s="123" t="str">
        <f ca="1">REFERENCIA.Unidade</f>
        <v>-</v>
      </c>
      <c r="T370" s="124">
        <f ca="1">OFFSET(CÁLCULO!H$15,ROW($T370)-ROW(T$15),0)</f>
        <v>17</v>
      </c>
      <c r="U370" s="125">
        <f t="shared" ca="1" si="91"/>
        <v>0</v>
      </c>
      <c r="V370" s="126" t="s">
        <v>156</v>
      </c>
      <c r="W370" s="124">
        <f ca="1">IF($C370="S",ROUND(IF(TIPOORCAMENTO="Proposto",ORÇAMENTO.CustoUnitario*(1+$AH370),ORÇAMENTO.PrecoUnitarioLicitado),15-13*$AF$10),0)</f>
        <v>0</v>
      </c>
      <c r="X370" s="127">
        <f ca="1">IF($C370="S",IF(Import.TipoArredondamento&lt;&gt;"TransfereGOV",VTOTAL1,SUM(OFFSET(CÁLCULO!$AA$15,ROW($X370)-ROW($X$15),1):OFFSET(CÁLCULO!$AL$15,ROW($X370)-ROW($X$15),-1))),IF($C370=0,0,ROUND(SomaAgrup,15-13*$AF$11)))</f>
        <v>0</v>
      </c>
      <c r="Y370" s="128" t="s">
        <v>245</v>
      </c>
      <c r="Z370" t="str">
        <f t="shared" ca="1" si="67"/>
        <v/>
      </c>
      <c r="AA370" s="129">
        <f ca="1">IF($C370="S",IF($Z370="CP",$X370,IF($Z370="RA",(($X370)*QCI!$AA$3),0)),SomaAgrup)</f>
        <v>0</v>
      </c>
      <c r="AB370" s="130">
        <f t="shared" ca="1" si="68"/>
        <v>0</v>
      </c>
      <c r="AC370" s="131" t="str">
        <f ca="1">IF($N370="","",IF(ORÇAMENTO.Descricao="","DESCRIÇÃO",IF(AND($C370="S",ORÇAMENTO.Unidade=""),"UNIDADE",IF($X370&lt;0,"VALOR NEGATIVO",IF(OR(AND(TIPOORCAMENTO="Proposto",$AG370&lt;&gt;"",$AG370&gt;0,ORÇAMENTO.CustoUnitario&gt;$AG370),AND(TIPOORCAMENTO="LICITADO",ORÇAMENTO.PrecoUnitarioLicitado&gt;$AN370)),"ACIMA REF.","")))))</f>
        <v/>
      </c>
      <c r="AD370" t="str">
        <f ca="1">IF(C370&lt;=CRONO.NivelExibicao,MAX($AD$15:OFFSET(AD370,-1,0))+IF($C370&lt;&gt;1,1,MAX(1,COUNTIF(QCI!$A$13:$A$24,OFFSET($E370,-1,0)))),"")</f>
        <v/>
      </c>
      <c r="AE370" s="7" t="str">
        <f ca="1">IF(AND($C370="S",ORÇAMENTO.CodBarra&lt;&gt;""),IF(ORÇAMENTO.Fonte="",ORÇAMENTO.CodBarra,CONCATENATE(ORÇAMENTO.Fonte," ",ORÇAMENTO.CodBarra)))</f>
        <v>SINAPI 99253</v>
      </c>
      <c r="AF370" s="13" t="str">
        <f ca="1">IF(ISERROR(INDIRECT(ORÇAMENTO.BancoRef)),"(abra o arquivo 'Referência "&amp;Excel_BuiltIn_Database&amp;".xlsm)",IF(OR($C370&lt;&gt;"S",ORÇAMENTO.CodBarra=""),"(Sem Código)",IF(ISERROR(MATCH($AE370,INDIRECT(ORÇAMENTO.BancoRef),0)),"(Código não identificado nas referências)",MATCH($AE370,INDIRECT(ORÇAMENTO.BancoRef),0))))</f>
        <v>(abra o arquivo 'Referência 02-2025.xlsm)</v>
      </c>
      <c r="AG370" s="498">
        <f ca="1">ROUND(IF(DESONERACAO="sim",REFERENCIA.Desonerado,REFERENCIA.NaoDesonerado),2)</f>
        <v>0</v>
      </c>
      <c r="AH370" s="499">
        <f t="shared" ca="1" si="69"/>
        <v>0.22470000000000001</v>
      </c>
      <c r="AJ370" s="501">
        <v>17</v>
      </c>
      <c r="AL370" s="527"/>
      <c r="AM370" s="381">
        <f t="shared" ca="1" si="70"/>
        <v>0</v>
      </c>
      <c r="AN370" s="566">
        <f t="shared" ca="1" si="71"/>
        <v>0</v>
      </c>
    </row>
    <row r="371" spans="1:40" ht="38.25" x14ac:dyDescent="0.2">
      <c r="A371" t="str">
        <f t="shared" si="56"/>
        <v>S</v>
      </c>
      <c r="B371">
        <f t="shared" ca="1" si="57"/>
        <v>3</v>
      </c>
      <c r="C371" t="str">
        <f t="shared" ca="1" si="58"/>
        <v>S</v>
      </c>
      <c r="D371">
        <f t="shared" ca="1" si="59"/>
        <v>0</v>
      </c>
      <c r="E371">
        <f ca="1">IF($C371=1,OFFSET(E371,-1,0)+MAX(1,COUNTIF(QCI!$A$13:$A$24,OFFSET(ORÇAMENTO!E371,-1,0))),OFFSET(E371,-1,0))</f>
        <v>1</v>
      </c>
      <c r="F371">
        <f t="shared" ca="1" si="60"/>
        <v>14</v>
      </c>
      <c r="G371">
        <f t="shared" ca="1" si="61"/>
        <v>2</v>
      </c>
      <c r="H371">
        <f t="shared" ca="1" si="62"/>
        <v>0</v>
      </c>
      <c r="I371">
        <f t="shared" ca="1" si="63"/>
        <v>0</v>
      </c>
      <c r="J371">
        <f t="shared" ca="1" si="90"/>
        <v>0</v>
      </c>
      <c r="K371">
        <f ca="1">IF(OR($C371="S",$C371=0),0,MATCH(OFFSET($D371,0,$C371)+IF($C371&lt;&gt;1,1,COUNTIF(QCI!$A$13:$A$24,ORÇAMENTO!E371)),OFFSET($D371,1,$C371,ROW($C$747)-ROW($C371)),0))</f>
        <v>0</v>
      </c>
      <c r="L371" s="116" t="str">
        <f t="shared" ca="1" si="64"/>
        <v/>
      </c>
      <c r="M371" s="117" t="s">
        <v>199</v>
      </c>
      <c r="N371" s="118" t="str">
        <f t="shared" ca="1" si="65"/>
        <v>Serviço</v>
      </c>
      <c r="O371" s="119" t="str">
        <f t="shared" ca="1" si="66"/>
        <v>-</v>
      </c>
      <c r="P371" s="120" t="s">
        <v>247</v>
      </c>
      <c r="Q371" s="121" t="s">
        <v>611</v>
      </c>
      <c r="R371" s="122" t="str">
        <f ca="1">IF($C371="S",REFERENCIA.Descricao,"(digite a descrição aqui)")</f>
        <v>(abra o arquivo 'Referência 02-2025.xlsm)</v>
      </c>
      <c r="S371" s="123" t="str">
        <f ca="1">REFERENCIA.Unidade</f>
        <v>-</v>
      </c>
      <c r="T371" s="124">
        <f ca="1">OFFSET(CÁLCULO!H$15,ROW($T371)-ROW(T$15),0)</f>
        <v>17</v>
      </c>
      <c r="U371" s="125">
        <f t="shared" ca="1" si="91"/>
        <v>0</v>
      </c>
      <c r="V371" s="126" t="s">
        <v>156</v>
      </c>
      <c r="W371" s="124">
        <f ca="1">IF($C371="S",ROUND(IF(TIPOORCAMENTO="Proposto",ORÇAMENTO.CustoUnitario*(1+$AH371),ORÇAMENTO.PrecoUnitarioLicitado),15-13*$AF$10),0)</f>
        <v>0</v>
      </c>
      <c r="X371" s="127">
        <f ca="1">IF($C371="S",IF(Import.TipoArredondamento&lt;&gt;"TransfereGOV",VTOTAL1,SUM(OFFSET(CÁLCULO!$AA$15,ROW($X371)-ROW($X$15),1):OFFSET(CÁLCULO!$AL$15,ROW($X371)-ROW($X$15),-1))),IF($C371=0,0,ROUND(SomaAgrup,15-13*$AF$11)))</f>
        <v>0</v>
      </c>
      <c r="Y371" s="128" t="s">
        <v>245</v>
      </c>
      <c r="Z371" t="str">
        <f t="shared" ca="1" si="67"/>
        <v/>
      </c>
      <c r="AA371" s="129">
        <f ca="1">IF($C371="S",IF($Z371="CP",$X371,IF($Z371="RA",(($X371)*QCI!$AA$3),0)),SomaAgrup)</f>
        <v>0</v>
      </c>
      <c r="AB371" s="130">
        <f t="shared" ca="1" si="68"/>
        <v>0</v>
      </c>
      <c r="AC371" s="131" t="str">
        <f ca="1">IF($N371="","",IF(ORÇAMENTO.Descricao="","DESCRIÇÃO",IF(AND($C371="S",ORÇAMENTO.Unidade=""),"UNIDADE",IF($X371&lt;0,"VALOR NEGATIVO",IF(OR(AND(TIPOORCAMENTO="Proposto",$AG371&lt;&gt;"",$AG371&gt;0,ORÇAMENTO.CustoUnitario&gt;$AG371),AND(TIPOORCAMENTO="LICITADO",ORÇAMENTO.PrecoUnitarioLicitado&gt;$AN371)),"ACIMA REF.","")))))</f>
        <v/>
      </c>
      <c r="AD371" t="str">
        <f ca="1">IF(C371&lt;=CRONO.NivelExibicao,MAX($AD$15:OFFSET(AD371,-1,0))+IF($C371&lt;&gt;1,1,MAX(1,COUNTIF(QCI!$A$13:$A$24,OFFSET($E371,-1,0)))),"")</f>
        <v/>
      </c>
      <c r="AE371" s="7" t="str">
        <f ca="1">IF(AND($C371="S",ORÇAMENTO.CodBarra&lt;&gt;""),IF(ORÇAMENTO.Fonte="",ORÇAMENTO.CodBarra,CONCATENATE(ORÇAMENTO.Fonte," ",ORÇAMENTO.CodBarra)))</f>
        <v>SINAPI 104328</v>
      </c>
      <c r="AF371" s="13" t="str">
        <f ca="1">IF(ISERROR(INDIRECT(ORÇAMENTO.BancoRef)),"(abra o arquivo 'Referência "&amp;Excel_BuiltIn_Database&amp;".xlsm)",IF(OR($C371&lt;&gt;"S",ORÇAMENTO.CodBarra=""),"(Sem Código)",IF(ISERROR(MATCH($AE371,INDIRECT(ORÇAMENTO.BancoRef),0)),"(Código não identificado nas referências)",MATCH($AE371,INDIRECT(ORÇAMENTO.BancoRef),0))))</f>
        <v>(abra o arquivo 'Referência 02-2025.xlsm)</v>
      </c>
      <c r="AG371" s="498">
        <f ca="1">ROUND(IF(DESONERACAO="sim",REFERENCIA.Desonerado,REFERENCIA.NaoDesonerado),2)</f>
        <v>0</v>
      </c>
      <c r="AH371" s="499">
        <f t="shared" ca="1" si="69"/>
        <v>0.22470000000000001</v>
      </c>
      <c r="AJ371" s="501">
        <v>17</v>
      </c>
      <c r="AL371" s="527"/>
      <c r="AM371" s="381">
        <f t="shared" ca="1" si="70"/>
        <v>0</v>
      </c>
      <c r="AN371" s="566">
        <f t="shared" ca="1" si="71"/>
        <v>0</v>
      </c>
    </row>
    <row r="372" spans="1:40" ht="38.25" x14ac:dyDescent="0.2">
      <c r="A372" t="str">
        <f t="shared" si="56"/>
        <v>S</v>
      </c>
      <c r="B372">
        <f t="shared" ca="1" si="57"/>
        <v>3</v>
      </c>
      <c r="C372" t="str">
        <f t="shared" ca="1" si="58"/>
        <v>S</v>
      </c>
      <c r="D372">
        <f t="shared" ca="1" si="59"/>
        <v>0</v>
      </c>
      <c r="E372">
        <f ca="1">IF($C372=1,OFFSET(E372,-1,0)+MAX(1,COUNTIF(QCI!$A$13:$A$24,OFFSET(ORÇAMENTO!E372,-1,0))),OFFSET(E372,-1,0))</f>
        <v>1</v>
      </c>
      <c r="F372">
        <f t="shared" ca="1" si="60"/>
        <v>14</v>
      </c>
      <c r="G372">
        <f t="shared" ca="1" si="61"/>
        <v>2</v>
      </c>
      <c r="H372">
        <f t="shared" ca="1" si="62"/>
        <v>0</v>
      </c>
      <c r="I372">
        <f t="shared" ca="1" si="63"/>
        <v>0</v>
      </c>
      <c r="J372">
        <f t="shared" ca="1" si="90"/>
        <v>0</v>
      </c>
      <c r="K372">
        <f ca="1">IF(OR($C372="S",$C372=0),0,MATCH(OFFSET($D372,0,$C372)+IF($C372&lt;&gt;1,1,COUNTIF(QCI!$A$13:$A$24,ORÇAMENTO!E372)),OFFSET($D372,1,$C372,ROW($C$747)-ROW($C372)),0))</f>
        <v>0</v>
      </c>
      <c r="L372" s="116" t="str">
        <f t="shared" ca="1" si="64"/>
        <v/>
      </c>
      <c r="M372" s="117" t="s">
        <v>199</v>
      </c>
      <c r="N372" s="118" t="str">
        <f t="shared" ca="1" si="65"/>
        <v>Serviço</v>
      </c>
      <c r="O372" s="119" t="str">
        <f t="shared" ca="1" si="66"/>
        <v>-</v>
      </c>
      <c r="P372" s="120" t="s">
        <v>247</v>
      </c>
      <c r="Q372" s="121" t="s">
        <v>612</v>
      </c>
      <c r="R372" s="122" t="str">
        <f ca="1">IF($C372="S",REFERENCIA.Descricao,"(digite a descrição aqui)")</f>
        <v>(abra o arquivo 'Referência 02-2025.xlsm)</v>
      </c>
      <c r="S372" s="123" t="str">
        <f ca="1">REFERENCIA.Unidade</f>
        <v>-</v>
      </c>
      <c r="T372" s="124">
        <f ca="1">OFFSET(CÁLCULO!H$15,ROW($T372)-ROW(T$15),0)</f>
        <v>6</v>
      </c>
      <c r="U372" s="125">
        <f t="shared" ca="1" si="91"/>
        <v>0</v>
      </c>
      <c r="V372" s="126" t="s">
        <v>156</v>
      </c>
      <c r="W372" s="124">
        <f ca="1">IF($C372="S",ROUND(IF(TIPOORCAMENTO="Proposto",ORÇAMENTO.CustoUnitario*(1+$AH372),ORÇAMENTO.PrecoUnitarioLicitado),15-13*$AF$10),0)</f>
        <v>0</v>
      </c>
      <c r="X372" s="127">
        <f ca="1">IF($C372="S",IF(Import.TipoArredondamento&lt;&gt;"TransfereGOV",VTOTAL1,SUM(OFFSET(CÁLCULO!$AA$15,ROW($X372)-ROW($X$15),1):OFFSET(CÁLCULO!$AL$15,ROW($X372)-ROW($X$15),-1))),IF($C372=0,0,ROUND(SomaAgrup,15-13*$AF$11)))</f>
        <v>0</v>
      </c>
      <c r="Y372" s="128" t="s">
        <v>245</v>
      </c>
      <c r="Z372" t="str">
        <f t="shared" ca="1" si="67"/>
        <v/>
      </c>
      <c r="AA372" s="129">
        <f ca="1">IF($C372="S",IF($Z372="CP",$X372,IF($Z372="RA",(($X372)*QCI!$AA$3),0)),SomaAgrup)</f>
        <v>0</v>
      </c>
      <c r="AB372" s="130">
        <f t="shared" ca="1" si="68"/>
        <v>0</v>
      </c>
      <c r="AC372" s="131" t="str">
        <f ca="1">IF($N372="","",IF(ORÇAMENTO.Descricao="","DESCRIÇÃO",IF(AND($C372="S",ORÇAMENTO.Unidade=""),"UNIDADE",IF($X372&lt;0,"VALOR NEGATIVO",IF(OR(AND(TIPOORCAMENTO="Proposto",$AG372&lt;&gt;"",$AG372&gt;0,ORÇAMENTO.CustoUnitario&gt;$AG372),AND(TIPOORCAMENTO="LICITADO",ORÇAMENTO.PrecoUnitarioLicitado&gt;$AN372)),"ACIMA REF.","")))))</f>
        <v/>
      </c>
      <c r="AD372" t="str">
        <f ca="1">IF(C372&lt;=CRONO.NivelExibicao,MAX($AD$15:OFFSET(AD372,-1,0))+IF($C372&lt;&gt;1,1,MAX(1,COUNTIF(QCI!$A$13:$A$24,OFFSET($E372,-1,0)))),"")</f>
        <v/>
      </c>
      <c r="AE372" s="7" t="str">
        <f ca="1">IF(AND($C372="S",ORÇAMENTO.CodBarra&lt;&gt;""),IF(ORÇAMENTO.Fonte="",ORÇAMENTO.CodBarra,CONCATENATE(ORÇAMENTO.Fonte," ",ORÇAMENTO.CodBarra)))</f>
        <v>SINAPI 89708</v>
      </c>
      <c r="AF372" s="13" t="str">
        <f ca="1">IF(ISERROR(INDIRECT(ORÇAMENTO.BancoRef)),"(abra o arquivo 'Referência "&amp;Excel_BuiltIn_Database&amp;".xlsm)",IF(OR($C372&lt;&gt;"S",ORÇAMENTO.CodBarra=""),"(Sem Código)",IF(ISERROR(MATCH($AE372,INDIRECT(ORÇAMENTO.BancoRef),0)),"(Código não identificado nas referências)",MATCH($AE372,INDIRECT(ORÇAMENTO.BancoRef),0))))</f>
        <v>(abra o arquivo 'Referência 02-2025.xlsm)</v>
      </c>
      <c r="AG372" s="498">
        <f ca="1">ROUND(IF(DESONERACAO="sim",REFERENCIA.Desonerado,REFERENCIA.NaoDesonerado),2)</f>
        <v>0</v>
      </c>
      <c r="AH372" s="499">
        <f t="shared" ca="1" si="69"/>
        <v>0.22470000000000001</v>
      </c>
      <c r="AJ372" s="501">
        <v>6</v>
      </c>
      <c r="AL372" s="527"/>
      <c r="AM372" s="381">
        <f t="shared" ca="1" si="70"/>
        <v>0</v>
      </c>
      <c r="AN372" s="566">
        <f t="shared" ca="1" si="71"/>
        <v>0</v>
      </c>
    </row>
    <row r="373" spans="1:40" ht="38.25" x14ac:dyDescent="0.2">
      <c r="A373" t="str">
        <f t="shared" ref="A373:A378" si="92">CHOOSE(1+LOG(1+2*(ORÇAMENTO.Nivel="Meta")+4*(ORÇAMENTO.Nivel="Nível 2")+8*(ORÇAMENTO.Nivel="Nível 3")+16*(ORÇAMENTO.Nivel="Nível 4")+32*(ORÇAMENTO.Nivel="Serviço"),2),0,1,2,3,4,"S")</f>
        <v>S</v>
      </c>
      <c r="B373">
        <f t="shared" ref="B373:B377" ca="1" si="93">IF(OR(C373="s",C373=0),OFFSET(B373,-1,0),C373)</f>
        <v>3</v>
      </c>
      <c r="C373" t="str">
        <f t="shared" ref="C373:C377" ca="1" si="94">IF(OFFSET(C373,-1,0)="L",1,IF(OFFSET(C373,-1,0)=1,2,IF(OR(A373="s",A373=0),"S",IF(AND(OFFSET(C373,-1,0)=2,A373=4),3,IF(AND(OR(OFFSET(C373,-1,0)="s",OFFSET(C373,-1,0)=0),A373&lt;&gt;"s",A373&gt;OFFSET(B373,-1,0)),OFFSET(B373,-1,0),A373)))))</f>
        <v>S</v>
      </c>
      <c r="D373">
        <f t="shared" ref="D373:D377" ca="1" si="95">IF(OR(C373="S",C373=0),0,IF(ISERROR(K373),J373,SMALL(J373:K373,1)))</f>
        <v>0</v>
      </c>
      <c r="E373">
        <f ca="1">IF($C373=1,OFFSET(E373,-1,0)+MAX(1,COUNTIF(QCI!$A$13:$A$24,OFFSET(ORÇAMENTO!E373,-1,0))),OFFSET(E373,-1,0))</f>
        <v>1</v>
      </c>
      <c r="F373">
        <f t="shared" ref="F373:F377" ca="1" si="96">IF($C373=1,0,IF($C373=2,OFFSET(F373,-1,0)+1,OFFSET(F373,-1,0)))</f>
        <v>14</v>
      </c>
      <c r="G373">
        <f t="shared" ref="G373:G377" ca="1" si="97">IF(AND($C373&lt;=2,$C373&lt;&gt;0),0,IF($C373=3,OFFSET(G373,-1,0)+1,OFFSET(G373,-1,0)))</f>
        <v>2</v>
      </c>
      <c r="H373">
        <f t="shared" ref="H373:H377" ca="1" si="98">IF(AND($C373&lt;=3,$C373&lt;&gt;0),0,IF($C373=4,OFFSET(H373,-1,0)+1,OFFSET(H373,-1,0)))</f>
        <v>0</v>
      </c>
      <c r="I373">
        <f t="shared" ref="I373:I377" ca="1" si="99">IF(AND($C373&lt;=4,$C373&lt;&gt;0),0,IF(AND($C373="S",$X373&gt;0),OFFSET(I373,-1,0)+1,OFFSET(I373,-1,0)))</f>
        <v>0</v>
      </c>
      <c r="J373">
        <f t="shared" ca="1" si="90"/>
        <v>0</v>
      </c>
      <c r="K373">
        <f ca="1">IF(OR($C373="S",$C373=0),0,MATCH(OFFSET($D373,0,$C373)+IF($C373&lt;&gt;1,1,COUNTIF(QCI!$A$13:$A$24,ORÇAMENTO!E373)),OFFSET($D373,1,$C373,ROW($C$747)-ROW($C373)),0))</f>
        <v>0</v>
      </c>
      <c r="L373" s="116" t="str">
        <f t="shared" ref="L373:L377" ca="1" si="100">IF(OR($X373&gt;0,$C373=1,$C373=2,$C373=3,$C373=4),"F","")</f>
        <v/>
      </c>
      <c r="M373" s="117" t="s">
        <v>199</v>
      </c>
      <c r="N373" s="118" t="str">
        <f t="shared" ref="N373:N377" ca="1" si="101">CHOOSE(1+LOG(1+2*(C373=1)+4*(C373=2)+8*(C373=3)+16*(C373=4)+32*(C373="S"),2),"","Meta","Nível 2","Nível 3","Nível 4","Serviço")</f>
        <v>Serviço</v>
      </c>
      <c r="O373" s="119" t="str">
        <f t="shared" ref="O373:O377" ca="1" si="102">IF(OR($C373=0,$L373=""),"-",CONCATENATE(E373&amp;".",IF(AND($A$5&gt;=2,$C373&gt;=2),F373&amp;".",""),IF(AND($A$5&gt;=3,$C373&gt;=3),G373&amp;".",""),IF(AND($A$5&gt;=4,$C373&gt;=4),H373&amp;".",""),IF($C373="S",I373&amp;".","")))</f>
        <v>-</v>
      </c>
      <c r="P373" s="120" t="s">
        <v>247</v>
      </c>
      <c r="Q373" s="121" t="s">
        <v>579</v>
      </c>
      <c r="R373" s="122" t="str">
        <f ca="1">IF($C373="S",REFERENCIA.Descricao,"(digite a descrição aqui)")</f>
        <v>(abra o arquivo 'Referência 02-2025.xlsm)</v>
      </c>
      <c r="S373" s="123" t="str">
        <f ca="1">REFERENCIA.Unidade</f>
        <v>-</v>
      </c>
      <c r="T373" s="124">
        <f ca="1">OFFSET(CÁLCULO!H$15,ROW($T373)-ROW(T$15),0)</f>
        <v>28</v>
      </c>
      <c r="U373" s="125">
        <f t="shared" ca="1" si="91"/>
        <v>0</v>
      </c>
      <c r="V373" s="126" t="s">
        <v>156</v>
      </c>
      <c r="W373" s="124">
        <f ca="1">IF($C373="S",ROUND(IF(TIPOORCAMENTO="Proposto",ORÇAMENTO.CustoUnitario*(1+$AH373),ORÇAMENTO.PrecoUnitarioLicitado),15-13*$AF$10),0)</f>
        <v>0</v>
      </c>
      <c r="X373" s="127">
        <f ca="1">IF($C373="S",IF(Import.TipoArredondamento&lt;&gt;"TransfereGOV",VTOTAL1,SUM(OFFSET(CÁLCULO!$AA$15,ROW($X373)-ROW($X$15),1):OFFSET(CÁLCULO!$AL$15,ROW($X373)-ROW($X$15),-1))),IF($C373=0,0,ROUND(SomaAgrup,15-13*$AF$11)))</f>
        <v>0</v>
      </c>
      <c r="Y373" s="128" t="s">
        <v>245</v>
      </c>
      <c r="Z373" t="str">
        <f t="shared" ref="Z373:Z377" ca="1" si="103">IF(AND($C373="S",$X373&gt;0),IF(ISBLANK($Y373),"RA",LEFT($Y373,2)),"")</f>
        <v/>
      </c>
      <c r="AA373" s="129">
        <f ca="1">IF($C373="S",IF($Z373="CP",$X373,IF($Z373="RA",(($X373)*QCI!$AA$3),0)),SomaAgrup)</f>
        <v>0</v>
      </c>
      <c r="AB373" s="130">
        <f t="shared" ref="AB373:AB378" ca="1" si="104">IF($C373="S",IF($Z373="OU",ROUND($X373,2),0),SomaAgrup)</f>
        <v>0</v>
      </c>
      <c r="AC373" s="131" t="str">
        <f ca="1">IF($N373="","",IF(ORÇAMENTO.Descricao="","DESCRIÇÃO",IF(AND($C373="S",ORÇAMENTO.Unidade=""),"UNIDADE",IF($X373&lt;0,"VALOR NEGATIVO",IF(OR(AND(TIPOORCAMENTO="Proposto",$AG373&lt;&gt;"",$AG373&gt;0,ORÇAMENTO.CustoUnitario&gt;$AG373),AND(TIPOORCAMENTO="LICITADO",ORÇAMENTO.PrecoUnitarioLicitado&gt;$AN373)),"ACIMA REF.","")))))</f>
        <v/>
      </c>
      <c r="AD373" t="str">
        <f ca="1">IF(C373&lt;=CRONO.NivelExibicao,MAX($AD$15:OFFSET(AD373,-1,0))+IF($C373&lt;&gt;1,1,MAX(1,COUNTIF(QCI!$A$13:$A$24,OFFSET($E373,-1,0)))),"")</f>
        <v/>
      </c>
      <c r="AE373" s="7" t="str">
        <f ca="1">IF(AND($C373="S",ORÇAMENTO.CodBarra&lt;&gt;""),IF(ORÇAMENTO.Fonte="",ORÇAMENTO.CodBarra,CONCATENATE(ORÇAMENTO.Fonte," ",ORÇAMENTO.CodBarra)))</f>
        <v>SINAPI 89495</v>
      </c>
      <c r="AF373" s="13" t="str">
        <f ca="1">IF(ISERROR(INDIRECT(ORÇAMENTO.BancoRef)),"(abra o arquivo 'Referência "&amp;Excel_BuiltIn_Database&amp;".xlsm)",IF(OR($C373&lt;&gt;"S",ORÇAMENTO.CodBarra=""),"(Sem Código)",IF(ISERROR(MATCH($AE373,INDIRECT(ORÇAMENTO.BancoRef),0)),"(Código não identificado nas referências)",MATCH($AE373,INDIRECT(ORÇAMENTO.BancoRef),0))))</f>
        <v>(abra o arquivo 'Referência 02-2025.xlsm)</v>
      </c>
      <c r="AG373" s="498">
        <f ca="1">ROUND(IF(DESONERACAO="sim",REFERENCIA.Desonerado,REFERENCIA.NaoDesonerado),2)</f>
        <v>0</v>
      </c>
      <c r="AH373" s="499">
        <f t="shared" ref="AH373:AH378" ca="1" si="105">ROUND(IF(ISNUMBER(ORÇAMENTO.OpcaoBDI),ORÇAMENTO.OpcaoBDI,IF(LEFT(ORÇAMENTO.OpcaoBDI,3)="BDI",HLOOKUP(ORÇAMENTO.OpcaoBDI,$F$4:$H$5,2,FALSE),0)),15-11*$AF$9)</f>
        <v>0.22470000000000001</v>
      </c>
      <c r="AJ373" s="501">
        <v>28</v>
      </c>
      <c r="AL373" s="527"/>
      <c r="AM373" s="381">
        <f t="shared" ref="AM373:AM378" ca="1" si="106">$X373</f>
        <v>0</v>
      </c>
      <c r="AN373" s="566">
        <f t="shared" ref="AN373:AN378" ca="1" si="107">ROUND(ORÇAMENTO.CustoUnitario*(1+$AH373),2)</f>
        <v>0</v>
      </c>
    </row>
    <row r="374" spans="1:40" ht="38.25" x14ac:dyDescent="0.2">
      <c r="A374" t="str">
        <f t="shared" si="92"/>
        <v>S</v>
      </c>
      <c r="B374">
        <f t="shared" ca="1" si="93"/>
        <v>3</v>
      </c>
      <c r="C374" t="str">
        <f t="shared" ca="1" si="94"/>
        <v>S</v>
      </c>
      <c r="D374">
        <f t="shared" ca="1" si="95"/>
        <v>0</v>
      </c>
      <c r="E374">
        <f ca="1">IF($C374=1,OFFSET(E374,-1,0)+MAX(1,COUNTIF(QCI!$A$13:$A$24,OFFSET(ORÇAMENTO!E374,-1,0))),OFFSET(E374,-1,0))</f>
        <v>1</v>
      </c>
      <c r="F374">
        <f t="shared" ca="1" si="96"/>
        <v>14</v>
      </c>
      <c r="G374">
        <f t="shared" ca="1" si="97"/>
        <v>2</v>
      </c>
      <c r="H374">
        <f t="shared" ca="1" si="98"/>
        <v>0</v>
      </c>
      <c r="I374">
        <f t="shared" ca="1" si="99"/>
        <v>0</v>
      </c>
      <c r="J374">
        <f t="shared" ca="1" si="90"/>
        <v>0</v>
      </c>
      <c r="K374">
        <f ca="1">IF(OR($C374="S",$C374=0),0,MATCH(OFFSET($D374,0,$C374)+IF($C374&lt;&gt;1,1,COUNTIF(QCI!$A$13:$A$24,ORÇAMENTO!E374)),OFFSET($D374,1,$C374,ROW($C$747)-ROW($C374)),0))</f>
        <v>0</v>
      </c>
      <c r="L374" s="116" t="str">
        <f t="shared" ca="1" si="100"/>
        <v/>
      </c>
      <c r="M374" s="117" t="s">
        <v>199</v>
      </c>
      <c r="N374" s="118" t="str">
        <f t="shared" ca="1" si="101"/>
        <v>Serviço</v>
      </c>
      <c r="O374" s="119" t="str">
        <f t="shared" ca="1" si="102"/>
        <v>-</v>
      </c>
      <c r="P374" s="120" t="s">
        <v>247</v>
      </c>
      <c r="Q374" s="121" t="s">
        <v>939</v>
      </c>
      <c r="R374" s="122" t="str">
        <f ca="1">IF($C374="S",REFERENCIA.Descricao,"(digite a descrição aqui)")</f>
        <v>(abra o arquivo 'Referência 02-2025.xlsm)</v>
      </c>
      <c r="S374" s="123" t="str">
        <f ca="1">REFERENCIA.Unidade</f>
        <v>-</v>
      </c>
      <c r="T374" s="124">
        <f ca="1">OFFSET(CÁLCULO!H$15,ROW($T374)-ROW(T$15),0)</f>
        <v>7</v>
      </c>
      <c r="U374" s="125">
        <f t="shared" ca="1" si="91"/>
        <v>0</v>
      </c>
      <c r="V374" s="126" t="s">
        <v>156</v>
      </c>
      <c r="W374" s="124">
        <f ca="1">IF($C374="S",ROUND(IF(TIPOORCAMENTO="Proposto",ORÇAMENTO.CustoUnitario*(1+$AH374),ORÇAMENTO.PrecoUnitarioLicitado),15-13*$AF$10),0)</f>
        <v>0</v>
      </c>
      <c r="X374" s="127">
        <f ca="1">IF($C374="S",IF(Import.TipoArredondamento&lt;&gt;"TransfereGOV",VTOTAL1,SUM(OFFSET(CÁLCULO!$AA$15,ROW($X374)-ROW($X$15),1):OFFSET(CÁLCULO!$AL$15,ROW($X374)-ROW($X$15),-1))),IF($C374=0,0,ROUND(SomaAgrup,15-13*$AF$11)))</f>
        <v>0</v>
      </c>
      <c r="Y374" s="128" t="s">
        <v>245</v>
      </c>
      <c r="Z374" t="str">
        <f t="shared" ca="1" si="103"/>
        <v/>
      </c>
      <c r="AA374" s="129">
        <f ca="1">IF($C374="S",IF($Z374="CP",$X374,IF($Z374="RA",(($X374)*QCI!$AA$3),0)),SomaAgrup)</f>
        <v>0</v>
      </c>
      <c r="AB374" s="130">
        <f t="shared" ca="1" si="104"/>
        <v>0</v>
      </c>
      <c r="AC374" s="131" t="str">
        <f ca="1">IF($N374="","",IF(ORÇAMENTO.Descricao="","DESCRIÇÃO",IF(AND($C374="S",ORÇAMENTO.Unidade=""),"UNIDADE",IF($X374&lt;0,"VALOR NEGATIVO",IF(OR(AND(TIPOORCAMENTO="Proposto",$AG374&lt;&gt;"",$AG374&gt;0,ORÇAMENTO.CustoUnitario&gt;$AG374),AND(TIPOORCAMENTO="LICITADO",ORÇAMENTO.PrecoUnitarioLicitado&gt;$AN374)),"ACIMA REF.","")))))</f>
        <v/>
      </c>
      <c r="AD374" t="str">
        <f ca="1">IF(C374&lt;=CRONO.NivelExibicao,MAX($AD$15:OFFSET(AD374,-1,0))+IF($C374&lt;&gt;1,1,MAX(1,COUNTIF(QCI!$A$13:$A$24,OFFSET($E374,-1,0)))),"")</f>
        <v/>
      </c>
      <c r="AE374" s="7" t="str">
        <f ca="1">IF(AND($C374="S",ORÇAMENTO.CodBarra&lt;&gt;""),IF(ORÇAMENTO.Fonte="",ORÇAMENTO.CodBarra,CONCATENATE(ORÇAMENTO.Fonte," ",ORÇAMENTO.CodBarra)))</f>
        <v>SINAPI 98107</v>
      </c>
      <c r="AF374" s="13" t="str">
        <f ca="1">IF(ISERROR(INDIRECT(ORÇAMENTO.BancoRef)),"(abra o arquivo 'Referência "&amp;Excel_BuiltIn_Database&amp;".xlsm)",IF(OR($C374&lt;&gt;"S",ORÇAMENTO.CodBarra=""),"(Sem Código)",IF(ISERROR(MATCH($AE374,INDIRECT(ORÇAMENTO.BancoRef),0)),"(Código não identificado nas referências)",MATCH($AE374,INDIRECT(ORÇAMENTO.BancoRef),0))))</f>
        <v>(abra o arquivo 'Referência 02-2025.xlsm)</v>
      </c>
      <c r="AG374" s="498">
        <f ca="1">ROUND(IF(DESONERACAO="sim",REFERENCIA.Desonerado,REFERENCIA.NaoDesonerado),2)</f>
        <v>0</v>
      </c>
      <c r="AH374" s="499">
        <f t="shared" ca="1" si="105"/>
        <v>0.22470000000000001</v>
      </c>
      <c r="AJ374" s="501">
        <v>7</v>
      </c>
      <c r="AL374" s="527"/>
      <c r="AM374" s="381">
        <f t="shared" ca="1" si="106"/>
        <v>0</v>
      </c>
      <c r="AN374" s="566">
        <f t="shared" ca="1" si="107"/>
        <v>0</v>
      </c>
    </row>
    <row r="375" spans="1:40" x14ac:dyDescent="0.2">
      <c r="A375">
        <f t="shared" si="92"/>
        <v>3</v>
      </c>
      <c r="B375">
        <f t="shared" ca="1" si="93"/>
        <v>3</v>
      </c>
      <c r="C375">
        <f t="shared" ca="1" si="94"/>
        <v>3</v>
      </c>
      <c r="D375">
        <f t="shared" ca="1" si="95"/>
        <v>4</v>
      </c>
      <c r="E375">
        <f ca="1">IF($C375=1,OFFSET(E375,-1,0)+MAX(1,COUNTIF(QCI!$A$13:$A$24,OFFSET(ORÇAMENTO!E375,-1,0))),OFFSET(E375,-1,0))</f>
        <v>1</v>
      </c>
      <c r="F375">
        <f t="shared" ca="1" si="96"/>
        <v>14</v>
      </c>
      <c r="G375">
        <f t="shared" ca="1" si="97"/>
        <v>3</v>
      </c>
      <c r="H375">
        <f t="shared" ca="1" si="98"/>
        <v>0</v>
      </c>
      <c r="I375">
        <f t="shared" ca="1" si="99"/>
        <v>0</v>
      </c>
      <c r="J375">
        <f t="shared" ca="1" si="90"/>
        <v>16</v>
      </c>
      <c r="K375">
        <f ca="1">IF(OR($C375="S",$C375=0),0,MATCH(OFFSET($D375,0,$C375)+IF($C375&lt;&gt;1,1,COUNTIF(QCI!$A$13:$A$24,ORÇAMENTO!E375)),OFFSET($D375,1,$C375,ROW($C$747)-ROW($C375)),0))</f>
        <v>4</v>
      </c>
      <c r="L375" s="116" t="str">
        <f t="shared" ca="1" si="100"/>
        <v>F</v>
      </c>
      <c r="M375" s="117" t="s">
        <v>197</v>
      </c>
      <c r="N375" s="118" t="str">
        <f t="shared" ca="1" si="101"/>
        <v>Nível 3</v>
      </c>
      <c r="O375" s="119" t="str">
        <f t="shared" ca="1" si="102"/>
        <v>1.14.3.</v>
      </c>
      <c r="P375" s="120" t="s">
        <v>247</v>
      </c>
      <c r="Q375" s="121"/>
      <c r="R375" s="122" t="s">
        <v>1015</v>
      </c>
      <c r="S375" s="123" t="str">
        <f ca="1">REFERENCIA.Unidade</f>
        <v>-</v>
      </c>
      <c r="T375" s="124">
        <f ca="1">OFFSET(CÁLCULO!H$15,ROW($T375)-ROW(T$15),0)</f>
        <v>0</v>
      </c>
      <c r="U375" s="125">
        <f t="shared" ca="1" si="91"/>
        <v>0</v>
      </c>
      <c r="V375" s="126" t="s">
        <v>156</v>
      </c>
      <c r="W375" s="124">
        <f ca="1">IF($C375="S",ROUND(IF(TIPOORCAMENTO="Proposto",ORÇAMENTO.CustoUnitario*(1+$AH375),ORÇAMENTO.PrecoUnitarioLicitado),15-13*$AF$10),0)</f>
        <v>0</v>
      </c>
      <c r="X375" s="127">
        <f ca="1">IF($C375="S",IF(Import.TipoArredondamento&lt;&gt;"TransfereGOV",VTOTAL1,SUM(OFFSET(CÁLCULO!$AA$15,ROW($X375)-ROW($X$15),1):OFFSET(CÁLCULO!$AL$15,ROW($X375)-ROW($X$15),-1))),IF($C375=0,0,ROUND(SomaAgrup,15-13*$AF$11)))</f>
        <v>0</v>
      </c>
      <c r="Y375" s="128" t="s">
        <v>245</v>
      </c>
      <c r="Z375" t="str">
        <f t="shared" ca="1" si="103"/>
        <v/>
      </c>
      <c r="AA375" s="129">
        <f ca="1">IF($C375="S",IF($Z375="CP",$X375,IF($Z375="RA",(($X375)*QCI!$AA$3),0)),SomaAgrup)</f>
        <v>0</v>
      </c>
      <c r="AB375" s="130">
        <f t="shared" ca="1" si="104"/>
        <v>0</v>
      </c>
      <c r="AC375" s="131" t="str">
        <f ca="1">IF($N375="","",IF(ORÇAMENTO.Descricao="","DESCRIÇÃO",IF(AND($C375="S",ORÇAMENTO.Unidade=""),"UNIDADE",IF($X375&lt;0,"VALOR NEGATIVO",IF(OR(AND(TIPOORCAMENTO="Proposto",$AG375&lt;&gt;"",$AG375&gt;0,ORÇAMENTO.CustoUnitario&gt;$AG375),AND(TIPOORCAMENTO="LICITADO",ORÇAMENTO.PrecoUnitarioLicitado&gt;$AN375)),"ACIMA REF.","")))))</f>
        <v/>
      </c>
      <c r="AD375" t="str">
        <f ca="1">IF(C375&lt;=CRONO.NivelExibicao,MAX($AD$15:OFFSET(AD375,-1,0))+IF($C375&lt;&gt;1,1,MAX(1,COUNTIF(QCI!$A$13:$A$24,OFFSET($E375,-1,0)))),"")</f>
        <v/>
      </c>
      <c r="AE375" s="7" t="b">
        <f ca="1">IF(AND($C375="S",ORÇAMENTO.CodBarra&lt;&gt;""),IF(ORÇAMENTO.Fonte="",ORÇAMENTO.CodBarra,CONCATENATE(ORÇAMENTO.Fonte," ",ORÇAMENTO.CodBarra)))</f>
        <v>0</v>
      </c>
      <c r="AF375" s="13" t="str">
        <f ca="1">IF(ISERROR(INDIRECT(ORÇAMENTO.BancoRef)),"(abra o arquivo 'Referência "&amp;Excel_BuiltIn_Database&amp;".xlsm)",IF(OR($C375&lt;&gt;"S",ORÇAMENTO.CodBarra=""),"(Sem Código)",IF(ISERROR(MATCH($AE375,INDIRECT(ORÇAMENTO.BancoRef),0)),"(Código não identificado nas referências)",MATCH($AE375,INDIRECT(ORÇAMENTO.BancoRef),0))))</f>
        <v>(abra o arquivo 'Referência 02-2025.xlsm)</v>
      </c>
      <c r="AG375" s="498">
        <f ca="1">ROUND(IF(DESONERACAO="sim",REFERENCIA.Desonerado,REFERENCIA.NaoDesonerado),2)</f>
        <v>0</v>
      </c>
      <c r="AH375" s="499">
        <f t="shared" ca="1" si="105"/>
        <v>0.22470000000000001</v>
      </c>
      <c r="AJ375" s="501"/>
      <c r="AL375" s="527"/>
      <c r="AM375" s="381">
        <f t="shared" ca="1" si="106"/>
        <v>0</v>
      </c>
      <c r="AN375" s="566">
        <f t="shared" ca="1" si="107"/>
        <v>0</v>
      </c>
    </row>
    <row r="376" spans="1:40" ht="38.25" x14ac:dyDescent="0.2">
      <c r="A376" t="str">
        <f t="shared" si="92"/>
        <v>S</v>
      </c>
      <c r="B376">
        <f t="shared" ca="1" si="93"/>
        <v>3</v>
      </c>
      <c r="C376" t="str">
        <f t="shared" ca="1" si="94"/>
        <v>S</v>
      </c>
      <c r="D376">
        <f t="shared" ca="1" si="95"/>
        <v>0</v>
      </c>
      <c r="E376">
        <f ca="1">IF($C376=1,OFFSET(E376,-1,0)+MAX(1,COUNTIF(QCI!$A$13:$A$24,OFFSET(ORÇAMENTO!E376,-1,0))),OFFSET(E376,-1,0))</f>
        <v>1</v>
      </c>
      <c r="F376">
        <f t="shared" ca="1" si="96"/>
        <v>14</v>
      </c>
      <c r="G376">
        <f t="shared" ca="1" si="97"/>
        <v>3</v>
      </c>
      <c r="H376">
        <f t="shared" ca="1" si="98"/>
        <v>0</v>
      </c>
      <c r="I376">
        <f t="shared" ca="1" si="99"/>
        <v>0</v>
      </c>
      <c r="J376">
        <f t="shared" ca="1" si="90"/>
        <v>0</v>
      </c>
      <c r="K376">
        <f ca="1">IF(OR($C376="S",$C376=0),0,MATCH(OFFSET($D376,0,$C376)+IF($C376&lt;&gt;1,1,COUNTIF(QCI!$A$13:$A$24,ORÇAMENTO!E376)),OFFSET($D376,1,$C376,ROW($C$747)-ROW($C376)),0))</f>
        <v>0</v>
      </c>
      <c r="L376" s="116" t="str">
        <f t="shared" ca="1" si="100"/>
        <v/>
      </c>
      <c r="M376" s="117" t="s">
        <v>199</v>
      </c>
      <c r="N376" s="118" t="str">
        <f t="shared" ca="1" si="101"/>
        <v>Serviço</v>
      </c>
      <c r="O376" s="119" t="str">
        <f t="shared" ca="1" si="102"/>
        <v>-</v>
      </c>
      <c r="P376" s="120" t="s">
        <v>247</v>
      </c>
      <c r="Q376" s="121" t="s">
        <v>580</v>
      </c>
      <c r="R376" s="122" t="str">
        <f ca="1">IF($C376="S",REFERENCIA.Descricao,"(digite a descrição aqui)")</f>
        <v>(abra o arquivo 'Referência 02-2025.xlsm)</v>
      </c>
      <c r="S376" s="123" t="str">
        <f ca="1">REFERENCIA.Unidade</f>
        <v>-</v>
      </c>
      <c r="T376" s="124">
        <f ca="1">OFFSET(CÁLCULO!H$15,ROW($T376)-ROW(T$15),0)</f>
        <v>1</v>
      </c>
      <c r="U376" s="125">
        <f t="shared" ca="1" si="91"/>
        <v>0</v>
      </c>
      <c r="V376" s="126" t="s">
        <v>156</v>
      </c>
      <c r="W376" s="124">
        <f ca="1">IF($C376="S",ROUND(IF(TIPOORCAMENTO="Proposto",ORÇAMENTO.CustoUnitario*(1+$AH376),ORÇAMENTO.PrecoUnitarioLicitado),15-13*$AF$10),0)</f>
        <v>0</v>
      </c>
      <c r="X376" s="127">
        <f ca="1">IF($C376="S",IF(Import.TipoArredondamento&lt;&gt;"TransfereGOV",VTOTAL1,SUM(OFFSET(CÁLCULO!$AA$15,ROW($X376)-ROW($X$15),1):OFFSET(CÁLCULO!$AL$15,ROW($X376)-ROW($X$15),-1))),IF($C376=0,0,ROUND(SomaAgrup,15-13*$AF$11)))</f>
        <v>0</v>
      </c>
      <c r="Y376" s="128" t="s">
        <v>245</v>
      </c>
      <c r="Z376" t="str">
        <f t="shared" ca="1" si="103"/>
        <v/>
      </c>
      <c r="AA376" s="129">
        <f ca="1">IF($C376="S",IF($Z376="CP",$X376,IF($Z376="RA",(($X376)*QCI!$AA$3),0)),SomaAgrup)</f>
        <v>0</v>
      </c>
      <c r="AB376" s="130">
        <f t="shared" ca="1" si="104"/>
        <v>0</v>
      </c>
      <c r="AC376" s="131" t="str">
        <f ca="1">IF($N376="","",IF(ORÇAMENTO.Descricao="","DESCRIÇÃO",IF(AND($C376="S",ORÇAMENTO.Unidade=""),"UNIDADE",IF($X376&lt;0,"VALOR NEGATIVO",IF(OR(AND(TIPOORCAMENTO="Proposto",$AG376&lt;&gt;"",$AG376&gt;0,ORÇAMENTO.CustoUnitario&gt;$AG376),AND(TIPOORCAMENTO="LICITADO",ORÇAMENTO.PrecoUnitarioLicitado&gt;$AN376)),"ACIMA REF.","")))))</f>
        <v/>
      </c>
      <c r="AD376" t="str">
        <f ca="1">IF(C376&lt;=CRONO.NivelExibicao,MAX($AD$15:OFFSET(AD376,-1,0))+IF($C376&lt;&gt;1,1,MAX(1,COUNTIF(QCI!$A$13:$A$24,OFFSET($E376,-1,0)))),"")</f>
        <v/>
      </c>
      <c r="AE376" s="7" t="str">
        <f ca="1">IF(AND($C376="S",ORÇAMENTO.CodBarra&lt;&gt;""),IF(ORÇAMENTO.Fonte="",ORÇAMENTO.CodBarra,CONCATENATE(ORÇAMENTO.Fonte," ",ORÇAMENTO.CodBarra)))</f>
        <v>SINAPI 98087</v>
      </c>
      <c r="AF376" s="13" t="str">
        <f ca="1">IF(ISERROR(INDIRECT(ORÇAMENTO.BancoRef)),"(abra o arquivo 'Referência "&amp;Excel_BuiltIn_Database&amp;".xlsm)",IF(OR($C376&lt;&gt;"S",ORÇAMENTO.CodBarra=""),"(Sem Código)",IF(ISERROR(MATCH($AE376,INDIRECT(ORÇAMENTO.BancoRef),0)),"(Código não identificado nas referências)",MATCH($AE376,INDIRECT(ORÇAMENTO.BancoRef),0))))</f>
        <v>(abra o arquivo 'Referência 02-2025.xlsm)</v>
      </c>
      <c r="AG376" s="498">
        <f ca="1">ROUND(IF(DESONERACAO="sim",REFERENCIA.Desonerado,REFERENCIA.NaoDesonerado),2)</f>
        <v>0</v>
      </c>
      <c r="AH376" s="499">
        <f t="shared" ca="1" si="105"/>
        <v>0.22470000000000001</v>
      </c>
      <c r="AJ376" s="501">
        <v>1</v>
      </c>
      <c r="AL376" s="527"/>
      <c r="AM376" s="381">
        <f t="shared" ca="1" si="106"/>
        <v>0</v>
      </c>
      <c r="AN376" s="566">
        <f t="shared" ca="1" si="107"/>
        <v>0</v>
      </c>
    </row>
    <row r="377" spans="1:40" ht="38.25" x14ac:dyDescent="0.2">
      <c r="A377" t="str">
        <f t="shared" si="92"/>
        <v>S</v>
      </c>
      <c r="B377">
        <f t="shared" ca="1" si="93"/>
        <v>3</v>
      </c>
      <c r="C377" t="str">
        <f t="shared" ca="1" si="94"/>
        <v>S</v>
      </c>
      <c r="D377">
        <f t="shared" ca="1" si="95"/>
        <v>0</v>
      </c>
      <c r="E377">
        <f ca="1">IF($C377=1,OFFSET(E377,-1,0)+MAX(1,COUNTIF(QCI!$A$13:$A$24,OFFSET(ORÇAMENTO!E377,-1,0))),OFFSET(E377,-1,0))</f>
        <v>1</v>
      </c>
      <c r="F377">
        <f t="shared" ca="1" si="96"/>
        <v>14</v>
      </c>
      <c r="G377">
        <f t="shared" ca="1" si="97"/>
        <v>3</v>
      </c>
      <c r="H377">
        <f t="shared" ca="1" si="98"/>
        <v>0</v>
      </c>
      <c r="I377">
        <f t="shared" ca="1" si="99"/>
        <v>0</v>
      </c>
      <c r="J377">
        <f t="shared" ca="1" si="90"/>
        <v>0</v>
      </c>
      <c r="K377">
        <f ca="1">IF(OR($C377="S",$C377=0),0,MATCH(OFFSET($D377,0,$C377)+IF($C377&lt;&gt;1,1,COUNTIF(QCI!$A$13:$A$24,ORÇAMENTO!E377)),OFFSET($D377,1,$C377,ROW($C$747)-ROW($C377)),0))</f>
        <v>0</v>
      </c>
      <c r="L377" s="116" t="str">
        <f t="shared" ca="1" si="100"/>
        <v/>
      </c>
      <c r="M377" s="117" t="s">
        <v>199</v>
      </c>
      <c r="N377" s="118" t="str">
        <f t="shared" ca="1" si="101"/>
        <v>Serviço</v>
      </c>
      <c r="O377" s="119" t="str">
        <f t="shared" ca="1" si="102"/>
        <v>-</v>
      </c>
      <c r="P377" s="120" t="s">
        <v>247</v>
      </c>
      <c r="Q377" s="121" t="s">
        <v>581</v>
      </c>
      <c r="R377" s="122" t="str">
        <f ca="1">IF($C377="S",REFERENCIA.Descricao,"(digite a descrição aqui)")</f>
        <v>(abra o arquivo 'Referência 02-2025.xlsm)</v>
      </c>
      <c r="S377" s="123" t="str">
        <f ca="1">REFERENCIA.Unidade</f>
        <v>-</v>
      </c>
      <c r="T377" s="124">
        <f ca="1">OFFSET(CÁLCULO!H$15,ROW($T377)-ROW(T$15),0)</f>
        <v>1</v>
      </c>
      <c r="U377" s="125">
        <f t="shared" ca="1" si="91"/>
        <v>0</v>
      </c>
      <c r="V377" s="126" t="s">
        <v>156</v>
      </c>
      <c r="W377" s="124">
        <f ca="1">IF($C377="S",ROUND(IF(TIPOORCAMENTO="Proposto",ORÇAMENTO.CustoUnitario*(1+$AH377),ORÇAMENTO.PrecoUnitarioLicitado),15-13*$AF$10),0)</f>
        <v>0</v>
      </c>
      <c r="X377" s="127">
        <f ca="1">IF($C377="S",IF(Import.TipoArredondamento&lt;&gt;"TransfereGOV",VTOTAL1,SUM(OFFSET(CÁLCULO!$AA$15,ROW($X377)-ROW($X$15),1):OFFSET(CÁLCULO!$AL$15,ROW($X377)-ROW($X$15),-1))),IF($C377=0,0,ROUND(SomaAgrup,15-13*$AF$11)))</f>
        <v>0</v>
      </c>
      <c r="Y377" s="128" t="s">
        <v>245</v>
      </c>
      <c r="Z377" t="str">
        <f t="shared" ca="1" si="103"/>
        <v/>
      </c>
      <c r="AA377" s="129">
        <f ca="1">IF($C377="S",IF($Z377="CP",$X377,IF($Z377="RA",(($X377)*QCI!$AA$3),0)),SomaAgrup)</f>
        <v>0</v>
      </c>
      <c r="AB377" s="130">
        <f t="shared" ca="1" si="104"/>
        <v>0</v>
      </c>
      <c r="AC377" s="131" t="str">
        <f ca="1">IF($N377="","",IF(ORÇAMENTO.Descricao="","DESCRIÇÃO",IF(AND($C377="S",ORÇAMENTO.Unidade=""),"UNIDADE",IF($X377&lt;0,"VALOR NEGATIVO",IF(OR(AND(TIPOORCAMENTO="Proposto",$AG377&lt;&gt;"",$AG377&gt;0,ORÇAMENTO.CustoUnitario&gt;$AG377),AND(TIPOORCAMENTO="LICITADO",ORÇAMENTO.PrecoUnitarioLicitado&gt;$AN377)),"ACIMA REF.","")))))</f>
        <v/>
      </c>
      <c r="AD377" t="str">
        <f ca="1">IF(C377&lt;=CRONO.NivelExibicao,MAX($AD$15:OFFSET(AD377,-1,0))+IF($C377&lt;&gt;1,1,MAX(1,COUNTIF(QCI!$A$13:$A$24,OFFSET($E377,-1,0)))),"")</f>
        <v/>
      </c>
      <c r="AE377" s="7" t="str">
        <f ca="1">IF(AND($C377="S",ORÇAMENTO.CodBarra&lt;&gt;""),IF(ORÇAMENTO.Fonte="",ORÇAMENTO.CodBarra,CONCATENATE(ORÇAMENTO.Fonte," ",ORÇAMENTO.CodBarra)))</f>
        <v>SINAPI 98065</v>
      </c>
      <c r="AF377" s="13" t="str">
        <f ca="1">IF(ISERROR(INDIRECT(ORÇAMENTO.BancoRef)),"(abra o arquivo 'Referência "&amp;Excel_BuiltIn_Database&amp;".xlsm)",IF(OR($C377&lt;&gt;"S",ORÇAMENTO.CodBarra=""),"(Sem Código)",IF(ISERROR(MATCH($AE377,INDIRECT(ORÇAMENTO.BancoRef),0)),"(Código não identificado nas referências)",MATCH($AE377,INDIRECT(ORÇAMENTO.BancoRef),0))))</f>
        <v>(abra o arquivo 'Referência 02-2025.xlsm)</v>
      </c>
      <c r="AG377" s="498">
        <f ca="1">ROUND(IF(DESONERACAO="sim",REFERENCIA.Desonerado,REFERENCIA.NaoDesonerado),2)</f>
        <v>0</v>
      </c>
      <c r="AH377" s="499">
        <f t="shared" ca="1" si="105"/>
        <v>0.22470000000000001</v>
      </c>
      <c r="AJ377" s="501">
        <v>1</v>
      </c>
      <c r="AL377" s="527"/>
      <c r="AM377" s="381">
        <f t="shared" ca="1" si="106"/>
        <v>0</v>
      </c>
      <c r="AN377" s="566">
        <f t="shared" ca="1" si="107"/>
        <v>0</v>
      </c>
    </row>
    <row r="378" spans="1:40" ht="38.25" x14ac:dyDescent="0.2">
      <c r="A378" t="str">
        <f t="shared" si="92"/>
        <v>S</v>
      </c>
      <c r="B378">
        <f ca="1">IF(OR(C378="s",C378=0),OFFSET(B378,-1,0),C378)</f>
        <v>3</v>
      </c>
      <c r="C378" t="str">
        <f ca="1">IF(OFFSET(C378,-1,0)="L",1,IF(OFFSET(C378,-1,0)=1,2,IF(OR(A378="s",A378=0),"S",IF(AND(OFFSET(C378,-1,0)=2,A378=4),3,IF(AND(OR(OFFSET(C378,-1,0)="s",OFFSET(C378,-1,0)=0),A378&lt;&gt;"s",A378&gt;OFFSET(B378,-1,0)),OFFSET(B378,-1,0),A378)))))</f>
        <v>S</v>
      </c>
      <c r="D378">
        <f ca="1">IF(OR(C378="S",C378=0),0,IF(ISERROR(K378),J378,SMALL(J378:K378,1)))</f>
        <v>0</v>
      </c>
      <c r="E378">
        <f ca="1">IF($C378=1,OFFSET(E378,-1,0)+MAX(1,COUNTIF(QCI!$A$13:$A$24,OFFSET(ORÇAMENTO!E378,-1,0))),OFFSET(E378,-1,0))</f>
        <v>1</v>
      </c>
      <c r="F378">
        <f ca="1">IF($C378=1,0,IF($C378=2,OFFSET(F378,-1,0)+1,OFFSET(F378,-1,0)))</f>
        <v>14</v>
      </c>
      <c r="G378">
        <f ca="1">IF(AND($C378&lt;=2,$C378&lt;&gt;0),0,IF($C378=3,OFFSET(G378,-1,0)+1,OFFSET(G378,-1,0)))</f>
        <v>3</v>
      </c>
      <c r="H378">
        <f ca="1">IF(AND($C378&lt;=3,$C378&lt;&gt;0),0,IF($C378=4,OFFSET(H378,-1,0)+1,OFFSET(H378,-1,0)))</f>
        <v>0</v>
      </c>
      <c r="I378">
        <f ca="1">IF(AND($C378&lt;=4,$C378&lt;&gt;0),0,IF(AND($C378="S",$X378&gt;0),OFFSET(I378,-1,0)+1,OFFSET(I378,-1,0)))</f>
        <v>0</v>
      </c>
      <c r="J378">
        <f t="shared" ca="1" si="90"/>
        <v>0</v>
      </c>
      <c r="K378">
        <f ca="1">IF(OR($C378="S",$C378=0),0,MATCH(OFFSET($D378,0,$C378)+IF($C378&lt;&gt;1,1,COUNTIF(QCI!$A$13:$A$24,ORÇAMENTO!E378)),OFFSET($D378,1,$C378,ROW($C$747)-ROW($C378)),0))</f>
        <v>0</v>
      </c>
      <c r="L378" s="116" t="str">
        <f ca="1">IF(OR($X378&gt;0,$C378=1,$C378=2,$C378=3,$C378=4),"F","")</f>
        <v/>
      </c>
      <c r="M378" s="117" t="s">
        <v>199</v>
      </c>
      <c r="N378" s="118" t="str">
        <f ca="1">CHOOSE(1+LOG(1+2*(C378=1)+4*(C378=2)+8*(C378=3)+16*(C378=4)+32*(C378="S"),2),"","Meta","Nível 2","Nível 3","Nível 4","Serviço")</f>
        <v>Serviço</v>
      </c>
      <c r="O378" s="119" t="str">
        <f ca="1">IF(OR($C378=0,$L378=""),"-",CONCATENATE(E378&amp;".",IF(AND($A$5&gt;=2,$C378&gt;=2),F378&amp;".",""),IF(AND($A$5&gt;=3,$C378&gt;=3),G378&amp;".",""),IF(AND($A$5&gt;=4,$C378&gt;=4),H378&amp;".",""),IF($C378="S",I378&amp;".","")))</f>
        <v>-</v>
      </c>
      <c r="P378" s="120" t="s">
        <v>247</v>
      </c>
      <c r="Q378" s="121" t="s">
        <v>582</v>
      </c>
      <c r="R378" s="122" t="str">
        <f ca="1">IF($C378="S",REFERENCIA.Descricao,"(digite a descrição aqui)")</f>
        <v>(abra o arquivo 'Referência 02-2025.xlsm)</v>
      </c>
      <c r="S378" s="123" t="str">
        <f ca="1">REFERENCIA.Unidade</f>
        <v>-</v>
      </c>
      <c r="T378" s="124">
        <f ca="1">OFFSET(CÁLCULO!H$15,ROW($T378)-ROW(T$15),0)</f>
        <v>1</v>
      </c>
      <c r="U378" s="125">
        <f t="shared" ca="1" si="91"/>
        <v>0</v>
      </c>
      <c r="V378" s="126" t="s">
        <v>156</v>
      </c>
      <c r="W378" s="124">
        <f ca="1">IF($C378="S",ROUND(IF(TIPOORCAMENTO="Proposto",ORÇAMENTO.CustoUnitario*(1+$AH378),ORÇAMENTO.PrecoUnitarioLicitado),15-13*$AF$10),0)</f>
        <v>0</v>
      </c>
      <c r="X378" s="127">
        <f ca="1">IF($C378="S",IF(Import.TipoArredondamento&lt;&gt;"TransfereGOV",VTOTAL1,SUM(OFFSET(CÁLCULO!$AA$15,ROW($X378)-ROW($X$15),1):OFFSET(CÁLCULO!$AL$15,ROW($X378)-ROW($X$15),-1))),IF($C378=0,0,ROUND(SomaAgrup,15-13*$AF$11)))</f>
        <v>0</v>
      </c>
      <c r="Y378" s="128" t="s">
        <v>245</v>
      </c>
      <c r="Z378" t="str">
        <f ca="1">IF(AND($C378="S",$X378&gt;0),IF(ISBLANK($Y378),"RA",LEFT($Y378,2)),"")</f>
        <v/>
      </c>
      <c r="AA378" s="129">
        <f ca="1">IF($C378="S",IF($Z378="CP",$X378,IF($Z378="RA",(($X378)*QCI!$AA$3),0)),SomaAgrup)</f>
        <v>0</v>
      </c>
      <c r="AB378" s="130">
        <f t="shared" ca="1" si="104"/>
        <v>0</v>
      </c>
      <c r="AC378" s="131" t="str">
        <f ca="1">IF($N378="","",IF(ORÇAMENTO.Descricao="","DESCRIÇÃO",IF(AND($C378="S",ORÇAMENTO.Unidade=""),"UNIDADE",IF($X378&lt;0,"VALOR NEGATIVO",IF(OR(AND(TIPOORCAMENTO="Proposto",$AG378&lt;&gt;"",$AG378&gt;0,ORÇAMENTO.CustoUnitario&gt;$AG378),AND(TIPOORCAMENTO="LICITADO",ORÇAMENTO.PrecoUnitarioLicitado&gt;$AN378)),"ACIMA REF.","")))))</f>
        <v/>
      </c>
      <c r="AD378" t="str">
        <f ca="1">IF(C378&lt;=CRONO.NivelExibicao,MAX($AD$15:OFFSET(AD378,-1,0))+IF($C378&lt;&gt;1,1,MAX(1,COUNTIF(QCI!$A$13:$A$24,OFFSET($E378,-1,0)))),"")</f>
        <v/>
      </c>
      <c r="AE378" s="7" t="str">
        <f ca="1">IF(AND($C378="S",ORÇAMENTO.CodBarra&lt;&gt;""),IF(ORÇAMENTO.Fonte="",ORÇAMENTO.CodBarra,CONCATENATE(ORÇAMENTO.Fonte," ",ORÇAMENTO.CodBarra)))</f>
        <v>SINAPI 98090</v>
      </c>
      <c r="AF378" s="13" t="str">
        <f ca="1">IF(ISERROR(INDIRECT(ORÇAMENTO.BancoRef)),"(abra o arquivo 'Referência "&amp;Excel_BuiltIn_Database&amp;".xlsm)",IF(OR($C378&lt;&gt;"S",ORÇAMENTO.CodBarra=""),"(Sem Código)",IF(ISERROR(MATCH($AE378,INDIRECT(ORÇAMENTO.BancoRef),0)),"(Código não identificado nas referências)",MATCH($AE378,INDIRECT(ORÇAMENTO.BancoRef),0))))</f>
        <v>(abra o arquivo 'Referência 02-2025.xlsm)</v>
      </c>
      <c r="AG378" s="498">
        <f ca="1">ROUND(IF(DESONERACAO="sim",REFERENCIA.Desonerado,REFERENCIA.NaoDesonerado),2)</f>
        <v>0</v>
      </c>
      <c r="AH378" s="499">
        <f t="shared" ca="1" si="105"/>
        <v>0.22470000000000001</v>
      </c>
      <c r="AJ378" s="501">
        <v>1</v>
      </c>
      <c r="AL378" s="527"/>
      <c r="AM378" s="381">
        <f t="shared" ca="1" si="106"/>
        <v>0</v>
      </c>
      <c r="AN378" s="566">
        <f t="shared" ca="1" si="107"/>
        <v>0</v>
      </c>
    </row>
    <row r="379" spans="1:40" x14ac:dyDescent="0.2">
      <c r="A379">
        <f t="shared" si="56"/>
        <v>3</v>
      </c>
      <c r="B379">
        <f t="shared" ca="1" si="57"/>
        <v>3</v>
      </c>
      <c r="C379">
        <f t="shared" ca="1" si="58"/>
        <v>3</v>
      </c>
      <c r="D379">
        <f t="shared" ca="1" si="59"/>
        <v>12</v>
      </c>
      <c r="E379">
        <f ca="1">IF($C379=1,OFFSET(E379,-1,0)+MAX(1,COUNTIF(QCI!$A$13:$A$24,OFFSET(ORÇAMENTO!E379,-1,0))),OFFSET(E379,-1,0))</f>
        <v>1</v>
      </c>
      <c r="F379">
        <f t="shared" ca="1" si="60"/>
        <v>14</v>
      </c>
      <c r="G379">
        <f t="shared" ca="1" si="61"/>
        <v>4</v>
      </c>
      <c r="H379">
        <f t="shared" ca="1" si="62"/>
        <v>0</v>
      </c>
      <c r="I379">
        <f t="shared" ca="1" si="63"/>
        <v>0</v>
      </c>
      <c r="J379">
        <f t="shared" ca="1" si="90"/>
        <v>12</v>
      </c>
      <c r="K379">
        <f ca="1">IF(OR($C379="S",$C379=0),0,MATCH(OFFSET($D379,0,$C379)+IF($C379&lt;&gt;1,1,COUNTIF(QCI!$A$13:$A$24,ORÇAMENTO!E379)),OFFSET($D379,1,$C379,ROW($C$747)-ROW($C379)),0))</f>
        <v>104</v>
      </c>
      <c r="L379" s="116" t="str">
        <f t="shared" ca="1" si="64"/>
        <v>F</v>
      </c>
      <c r="M379" s="117" t="s">
        <v>197</v>
      </c>
      <c r="N379" s="118" t="str">
        <f t="shared" ca="1" si="65"/>
        <v>Nível 3</v>
      </c>
      <c r="O379" s="119" t="str">
        <f t="shared" ca="1" si="66"/>
        <v>1.14.4.</v>
      </c>
      <c r="P379" s="120" t="s">
        <v>247</v>
      </c>
      <c r="Q379" s="121"/>
      <c r="R379" s="122" t="str">
        <f ca="1">IF($C379="S",REFERENCIA.Descricao,"VENTILAÇÃO")</f>
        <v>VENTILAÇÃO</v>
      </c>
      <c r="S379" s="123" t="str">
        <f ca="1">REFERENCIA.Unidade</f>
        <v>-</v>
      </c>
      <c r="T379" s="124">
        <f ca="1">OFFSET(CÁLCULO!H$15,ROW($T379)-ROW(T$15),0)</f>
        <v>0</v>
      </c>
      <c r="U379" s="125">
        <f t="shared" ca="1" si="91"/>
        <v>0</v>
      </c>
      <c r="V379" s="126" t="s">
        <v>156</v>
      </c>
      <c r="W379" s="124">
        <f ca="1">IF($C379="S",ROUND(IF(TIPOORCAMENTO="Proposto",ORÇAMENTO.CustoUnitario*(1+$AH379),ORÇAMENTO.PrecoUnitarioLicitado),15-13*$AF$10),0)</f>
        <v>0</v>
      </c>
      <c r="X379" s="127">
        <f ca="1">IF($C379="S",IF(Import.TipoArredondamento&lt;&gt;"TransfereGOV",VTOTAL1,SUM(OFFSET(CÁLCULO!$AA$15,ROW($X379)-ROW($X$15),1):OFFSET(CÁLCULO!$AL$15,ROW($X379)-ROW($X$15),-1))),IF($C379=0,0,ROUND(SomaAgrup,15-13*$AF$11)))</f>
        <v>0</v>
      </c>
      <c r="Y379" s="128" t="s">
        <v>245</v>
      </c>
      <c r="Z379" t="str">
        <f t="shared" ca="1" si="67"/>
        <v/>
      </c>
      <c r="AA379" s="129">
        <f ca="1">IF($C379="S",IF($Z379="CP",$X379,IF($Z379="RA",(($X379)*QCI!$AA$3),0)),SomaAgrup)</f>
        <v>0</v>
      </c>
      <c r="AB379" s="130">
        <f t="shared" ca="1" si="68"/>
        <v>0</v>
      </c>
      <c r="AC379" s="131" t="str">
        <f ca="1">IF($N379="","",IF(ORÇAMENTO.Descricao="","DESCRIÇÃO",IF(AND($C379="S",ORÇAMENTO.Unidade=""),"UNIDADE",IF($X379&lt;0,"VALOR NEGATIVO",IF(OR(AND(TIPOORCAMENTO="Proposto",$AG379&lt;&gt;"",$AG379&gt;0,ORÇAMENTO.CustoUnitario&gt;$AG379),AND(TIPOORCAMENTO="LICITADO",ORÇAMENTO.PrecoUnitarioLicitado&gt;$AN379)),"ACIMA REF.","")))))</f>
        <v/>
      </c>
      <c r="AD379" t="str">
        <f ca="1">IF(C379&lt;=CRONO.NivelExibicao,MAX($AD$15:OFFSET(AD379,-1,0))+IF($C379&lt;&gt;1,1,MAX(1,COUNTIF(QCI!$A$13:$A$24,OFFSET($E379,-1,0)))),"")</f>
        <v/>
      </c>
      <c r="AE379" s="7" t="b">
        <f ca="1">IF(AND($C379="S",ORÇAMENTO.CodBarra&lt;&gt;""),IF(ORÇAMENTO.Fonte="",ORÇAMENTO.CodBarra,CONCATENATE(ORÇAMENTO.Fonte," ",ORÇAMENTO.CodBarra)))</f>
        <v>0</v>
      </c>
      <c r="AF379" s="13" t="str">
        <f ca="1">IF(ISERROR(INDIRECT(ORÇAMENTO.BancoRef)),"(abra o arquivo 'Referência "&amp;Excel_BuiltIn_Database&amp;".xlsm)",IF(OR($C379&lt;&gt;"S",ORÇAMENTO.CodBarra=""),"(Sem Código)",IF(ISERROR(MATCH($AE379,INDIRECT(ORÇAMENTO.BancoRef),0)),"(Código não identificado nas referências)",MATCH($AE379,INDIRECT(ORÇAMENTO.BancoRef),0))))</f>
        <v>(abra o arquivo 'Referência 02-2025.xlsm)</v>
      </c>
      <c r="AG379" s="498">
        <f ca="1">ROUND(IF(DESONERACAO="sim",REFERENCIA.Desonerado,REFERENCIA.NaoDesonerado),2)</f>
        <v>0</v>
      </c>
      <c r="AH379" s="499">
        <f t="shared" ca="1" si="69"/>
        <v>0.22470000000000001</v>
      </c>
      <c r="AJ379" s="501"/>
      <c r="AL379" s="527"/>
      <c r="AM379" s="381">
        <f t="shared" ca="1" si="70"/>
        <v>0</v>
      </c>
      <c r="AN379" s="566">
        <f t="shared" ca="1" si="71"/>
        <v>0</v>
      </c>
    </row>
    <row r="380" spans="1:40" ht="38.25" x14ac:dyDescent="0.2">
      <c r="A380" t="str">
        <f t="shared" si="56"/>
        <v>S</v>
      </c>
      <c r="B380">
        <f t="shared" ca="1" si="57"/>
        <v>3</v>
      </c>
      <c r="C380" t="str">
        <f t="shared" ca="1" si="58"/>
        <v>S</v>
      </c>
      <c r="D380">
        <f t="shared" ca="1" si="59"/>
        <v>0</v>
      </c>
      <c r="E380">
        <f ca="1">IF($C380=1,OFFSET(E380,-1,0)+MAX(1,COUNTIF(QCI!$A$13:$A$24,OFFSET(ORÇAMENTO!E380,-1,0))),OFFSET(E380,-1,0))</f>
        <v>1</v>
      </c>
      <c r="F380">
        <f t="shared" ca="1" si="60"/>
        <v>14</v>
      </c>
      <c r="G380">
        <f t="shared" ca="1" si="61"/>
        <v>4</v>
      </c>
      <c r="H380">
        <f t="shared" ca="1" si="62"/>
        <v>0</v>
      </c>
      <c r="I380">
        <f t="shared" ca="1" si="63"/>
        <v>0</v>
      </c>
      <c r="J380">
        <f t="shared" ca="1" si="90"/>
        <v>0</v>
      </c>
      <c r="K380">
        <f ca="1">IF(OR($C380="S",$C380=0),0,MATCH(OFFSET($D380,0,$C380)+IF($C380&lt;&gt;1,1,COUNTIF(QCI!$A$13:$A$24,ORÇAMENTO!E380)),OFFSET($D380,1,$C380,ROW($C$747)-ROW($C380)),0))</f>
        <v>0</v>
      </c>
      <c r="L380" s="116" t="str">
        <f t="shared" ca="1" si="64"/>
        <v/>
      </c>
      <c r="M380" s="117" t="s">
        <v>199</v>
      </c>
      <c r="N380" s="118" t="str">
        <f t="shared" ca="1" si="65"/>
        <v>Serviço</v>
      </c>
      <c r="O380" s="119" t="str">
        <f t="shared" ca="1" si="66"/>
        <v>-</v>
      </c>
      <c r="P380" s="120" t="s">
        <v>247</v>
      </c>
      <c r="Q380" s="121" t="s">
        <v>563</v>
      </c>
      <c r="R380" s="122" t="str">
        <f ca="1">IF($C380="S",REFERENCIA.Descricao,"(digite a descrição aqui)")</f>
        <v>(abra o arquivo 'Referência 02-2025.xlsm)</v>
      </c>
      <c r="S380" s="123" t="str">
        <f ca="1">REFERENCIA.Unidade</f>
        <v>-</v>
      </c>
      <c r="T380" s="124">
        <f ca="1">OFFSET(CÁLCULO!H$15,ROW($T380)-ROW(T$15),0)</f>
        <v>46</v>
      </c>
      <c r="U380" s="125">
        <f t="shared" ca="1" si="91"/>
        <v>0</v>
      </c>
      <c r="V380" s="126" t="s">
        <v>156</v>
      </c>
      <c r="W380" s="124">
        <f ca="1">IF($C380="S",ROUND(IF(TIPOORCAMENTO="Proposto",ORÇAMENTO.CustoUnitario*(1+$AH380),ORÇAMENTO.PrecoUnitarioLicitado),15-13*$AF$10),0)</f>
        <v>0</v>
      </c>
      <c r="X380" s="127">
        <f ca="1">IF($C380="S",IF(Import.TipoArredondamento&lt;&gt;"TransfereGOV",VTOTAL1,SUM(OFFSET(CÁLCULO!$AA$15,ROW($X380)-ROW($X$15),1):OFFSET(CÁLCULO!$AL$15,ROW($X380)-ROW($X$15),-1))),IF($C380=0,0,ROUND(SomaAgrup,15-13*$AF$11)))</f>
        <v>0</v>
      </c>
      <c r="Y380" s="128" t="s">
        <v>245</v>
      </c>
      <c r="Z380" t="str">
        <f t="shared" ca="1" si="67"/>
        <v/>
      </c>
      <c r="AA380" s="129">
        <f ca="1">IF($C380="S",IF($Z380="CP",$X380,IF($Z380="RA",(($X380)*QCI!$AA$3),0)),SomaAgrup)</f>
        <v>0</v>
      </c>
      <c r="AB380" s="130">
        <f t="shared" ca="1" si="68"/>
        <v>0</v>
      </c>
      <c r="AC380" s="131" t="str">
        <f ca="1">IF($N380="","",IF(ORÇAMENTO.Descricao="","DESCRIÇÃO",IF(AND($C380="S",ORÇAMENTO.Unidade=""),"UNIDADE",IF($X380&lt;0,"VALOR NEGATIVO",IF(OR(AND(TIPOORCAMENTO="Proposto",$AG380&lt;&gt;"",$AG380&gt;0,ORÇAMENTO.CustoUnitario&gt;$AG380),AND(TIPOORCAMENTO="LICITADO",ORÇAMENTO.PrecoUnitarioLicitado&gt;$AN380)),"ACIMA REF.","")))))</f>
        <v/>
      </c>
      <c r="AD380" t="str">
        <f ca="1">IF(C380&lt;=CRONO.NivelExibicao,MAX($AD$15:OFFSET(AD380,-1,0))+IF($C380&lt;&gt;1,1,MAX(1,COUNTIF(QCI!$A$13:$A$24,OFFSET($E380,-1,0)))),"")</f>
        <v/>
      </c>
      <c r="AE380" s="7" t="str">
        <f ca="1">IF(AND($C380="S",ORÇAMENTO.CodBarra&lt;&gt;""),IF(ORÇAMENTO.Fonte="",ORÇAMENTO.CodBarra,CONCATENATE(ORÇAMENTO.Fonte," ",ORÇAMENTO.CodBarra)))</f>
        <v>SINAPI 89732</v>
      </c>
      <c r="AF380" s="13" t="str">
        <f ca="1">IF(ISERROR(INDIRECT(ORÇAMENTO.BancoRef)),"(abra o arquivo 'Referência "&amp;Excel_BuiltIn_Database&amp;".xlsm)",IF(OR($C380&lt;&gt;"S",ORÇAMENTO.CodBarra=""),"(Sem Código)",IF(ISERROR(MATCH($AE380,INDIRECT(ORÇAMENTO.BancoRef),0)),"(Código não identificado nas referências)",MATCH($AE380,INDIRECT(ORÇAMENTO.BancoRef),0))))</f>
        <v>(abra o arquivo 'Referência 02-2025.xlsm)</v>
      </c>
      <c r="AG380" s="498">
        <f ca="1">ROUND(IF(DESONERACAO="sim",REFERENCIA.Desonerado,REFERENCIA.NaoDesonerado),2)</f>
        <v>0</v>
      </c>
      <c r="AH380" s="499">
        <f t="shared" ca="1" si="69"/>
        <v>0.22470000000000001</v>
      </c>
      <c r="AJ380" s="501">
        <v>46</v>
      </c>
      <c r="AL380" s="527"/>
      <c r="AM380" s="381">
        <f t="shared" ca="1" si="70"/>
        <v>0</v>
      </c>
      <c r="AN380" s="566">
        <f t="shared" ca="1" si="71"/>
        <v>0</v>
      </c>
    </row>
    <row r="381" spans="1:40" ht="38.25" x14ac:dyDescent="0.2">
      <c r="A381" t="str">
        <f t="shared" si="56"/>
        <v>S</v>
      </c>
      <c r="B381">
        <f t="shared" ca="1" si="57"/>
        <v>3</v>
      </c>
      <c r="C381" t="str">
        <f t="shared" ca="1" si="58"/>
        <v>S</v>
      </c>
      <c r="D381">
        <f t="shared" ca="1" si="59"/>
        <v>0</v>
      </c>
      <c r="E381">
        <f ca="1">IF($C381=1,OFFSET(E381,-1,0)+MAX(1,COUNTIF(QCI!$A$13:$A$24,OFFSET(ORÇAMENTO!E381,-1,0))),OFFSET(E381,-1,0))</f>
        <v>1</v>
      </c>
      <c r="F381">
        <f t="shared" ca="1" si="60"/>
        <v>14</v>
      </c>
      <c r="G381">
        <f t="shared" ca="1" si="61"/>
        <v>4</v>
      </c>
      <c r="H381">
        <f t="shared" ca="1" si="62"/>
        <v>0</v>
      </c>
      <c r="I381">
        <f t="shared" ca="1" si="63"/>
        <v>0</v>
      </c>
      <c r="J381">
        <f t="shared" ca="1" si="90"/>
        <v>0</v>
      </c>
      <c r="K381">
        <f ca="1">IF(OR($C381="S",$C381=0),0,MATCH(OFFSET($D381,0,$C381)+IF($C381&lt;&gt;1,1,COUNTIF(QCI!$A$13:$A$24,ORÇAMENTO!E381)),OFFSET($D381,1,$C381,ROW($C$747)-ROW($C381)),0))</f>
        <v>0</v>
      </c>
      <c r="L381" s="116" t="str">
        <f t="shared" ca="1" si="64"/>
        <v/>
      </c>
      <c r="M381" s="117" t="s">
        <v>199</v>
      </c>
      <c r="N381" s="118" t="str">
        <f t="shared" ca="1" si="65"/>
        <v>Serviço</v>
      </c>
      <c r="O381" s="119" t="str">
        <f t="shared" ca="1" si="66"/>
        <v>-</v>
      </c>
      <c r="P381" s="120" t="s">
        <v>247</v>
      </c>
      <c r="Q381" s="121" t="s">
        <v>583</v>
      </c>
      <c r="R381" s="122" t="str">
        <f ca="1">IF($C381="S",REFERENCIA.Descricao,"(digite a descrição aqui)")</f>
        <v>(abra o arquivo 'Referência 02-2025.xlsm)</v>
      </c>
      <c r="S381" s="123" t="str">
        <f ca="1">REFERENCIA.Unidade</f>
        <v>-</v>
      </c>
      <c r="T381" s="124">
        <f ca="1">OFFSET(CÁLCULO!H$15,ROW($T381)-ROW(T$15),0)</f>
        <v>248</v>
      </c>
      <c r="U381" s="125">
        <f t="shared" ca="1" si="91"/>
        <v>0</v>
      </c>
      <c r="V381" s="126" t="s">
        <v>156</v>
      </c>
      <c r="W381" s="124">
        <f ca="1">IF($C381="S",ROUND(IF(TIPOORCAMENTO="Proposto",ORÇAMENTO.CustoUnitario*(1+$AH381),ORÇAMENTO.PrecoUnitarioLicitado),15-13*$AF$10),0)</f>
        <v>0</v>
      </c>
      <c r="X381" s="127">
        <f ca="1">IF($C381="S",IF(Import.TipoArredondamento&lt;&gt;"TransfereGOV",VTOTAL1,SUM(OFFSET(CÁLCULO!$AA$15,ROW($X381)-ROW($X$15),1):OFFSET(CÁLCULO!$AL$15,ROW($X381)-ROW($X$15),-1))),IF($C381=0,0,ROUND(SomaAgrup,15-13*$AF$11)))</f>
        <v>0</v>
      </c>
      <c r="Y381" s="128" t="s">
        <v>245</v>
      </c>
      <c r="Z381" t="str">
        <f t="shared" ca="1" si="67"/>
        <v/>
      </c>
      <c r="AA381" s="129">
        <f ca="1">IF($C381="S",IF($Z381="CP",$X381,IF($Z381="RA",(($X381)*QCI!$AA$3),0)),SomaAgrup)</f>
        <v>0</v>
      </c>
      <c r="AB381" s="130">
        <f t="shared" ca="1" si="68"/>
        <v>0</v>
      </c>
      <c r="AC381" s="131" t="str">
        <f ca="1">IF($N381="","",IF(ORÇAMENTO.Descricao="","DESCRIÇÃO",IF(AND($C381="S",ORÇAMENTO.Unidade=""),"UNIDADE",IF($X381&lt;0,"VALOR NEGATIVO",IF(OR(AND(TIPOORCAMENTO="Proposto",$AG381&lt;&gt;"",$AG381&gt;0,ORÇAMENTO.CustoUnitario&gt;$AG381),AND(TIPOORCAMENTO="LICITADO",ORÇAMENTO.PrecoUnitarioLicitado&gt;$AN381)),"ACIMA REF.","")))))</f>
        <v/>
      </c>
      <c r="AD381" t="str">
        <f ca="1">IF(C381&lt;=CRONO.NivelExibicao,MAX($AD$15:OFFSET(AD381,-1,0))+IF($C381&lt;&gt;1,1,MAX(1,COUNTIF(QCI!$A$13:$A$24,OFFSET($E381,-1,0)))),"")</f>
        <v/>
      </c>
      <c r="AE381" s="7" t="str">
        <f ca="1">IF(AND($C381="S",ORÇAMENTO.CodBarra&lt;&gt;""),IF(ORÇAMENTO.Fonte="",ORÇAMENTO.CodBarra,CONCATENATE(ORÇAMENTO.Fonte," ",ORÇAMENTO.CodBarra)))</f>
        <v>SINAPI 89801</v>
      </c>
      <c r="AF381" s="13" t="str">
        <f ca="1">IF(ISERROR(INDIRECT(ORÇAMENTO.BancoRef)),"(abra o arquivo 'Referência "&amp;Excel_BuiltIn_Database&amp;".xlsm)",IF(OR($C381&lt;&gt;"S",ORÇAMENTO.CodBarra=""),"(Sem Código)",IF(ISERROR(MATCH($AE381,INDIRECT(ORÇAMENTO.BancoRef),0)),"(Código não identificado nas referências)",MATCH($AE381,INDIRECT(ORÇAMENTO.BancoRef),0))))</f>
        <v>(abra o arquivo 'Referência 02-2025.xlsm)</v>
      </c>
      <c r="AG381" s="498">
        <f ca="1">ROUND(IF(DESONERACAO="sim",REFERENCIA.Desonerado,REFERENCIA.NaoDesonerado),2)</f>
        <v>0</v>
      </c>
      <c r="AH381" s="499">
        <f t="shared" ca="1" si="69"/>
        <v>0.22470000000000001</v>
      </c>
      <c r="AJ381" s="501">
        <v>248</v>
      </c>
      <c r="AL381" s="527"/>
      <c r="AM381" s="381">
        <f t="shared" ca="1" si="70"/>
        <v>0</v>
      </c>
      <c r="AN381" s="566">
        <f t="shared" ca="1" si="71"/>
        <v>0</v>
      </c>
    </row>
    <row r="382" spans="1:40" ht="38.25" x14ac:dyDescent="0.2">
      <c r="A382" t="str">
        <f t="shared" si="56"/>
        <v>S</v>
      </c>
      <c r="B382">
        <f t="shared" ca="1" si="57"/>
        <v>3</v>
      </c>
      <c r="C382" t="str">
        <f t="shared" ca="1" si="58"/>
        <v>S</v>
      </c>
      <c r="D382">
        <f t="shared" ca="1" si="59"/>
        <v>0</v>
      </c>
      <c r="E382">
        <f ca="1">IF($C382=1,OFFSET(E382,-1,0)+MAX(1,COUNTIF(QCI!$A$13:$A$24,OFFSET(ORÇAMENTO!E382,-1,0))),OFFSET(E382,-1,0))</f>
        <v>1</v>
      </c>
      <c r="F382">
        <f t="shared" ca="1" si="60"/>
        <v>14</v>
      </c>
      <c r="G382">
        <f t="shared" ca="1" si="61"/>
        <v>4</v>
      </c>
      <c r="H382">
        <f t="shared" ca="1" si="62"/>
        <v>0</v>
      </c>
      <c r="I382">
        <f t="shared" ca="1" si="63"/>
        <v>0</v>
      </c>
      <c r="J382">
        <f t="shared" ca="1" si="90"/>
        <v>0</v>
      </c>
      <c r="K382">
        <f ca="1">IF(OR($C382="S",$C382=0),0,MATCH(OFFSET($D382,0,$C382)+IF($C382&lt;&gt;1,1,COUNTIF(QCI!$A$13:$A$24,ORÇAMENTO!E382)),OFFSET($D382,1,$C382,ROW($C$747)-ROW($C382)),0))</f>
        <v>0</v>
      </c>
      <c r="L382" s="116" t="str">
        <f t="shared" ca="1" si="64"/>
        <v/>
      </c>
      <c r="M382" s="117" t="s">
        <v>199</v>
      </c>
      <c r="N382" s="118" t="str">
        <f t="shared" ca="1" si="65"/>
        <v>Serviço</v>
      </c>
      <c r="O382" s="119" t="str">
        <f t="shared" ca="1" si="66"/>
        <v>-</v>
      </c>
      <c r="P382" s="120" t="s">
        <v>247</v>
      </c>
      <c r="Q382" s="121" t="s">
        <v>584</v>
      </c>
      <c r="R382" s="122" t="str">
        <f ca="1">IF($C382="S",REFERENCIA.Descricao,"(digite a descrição aqui)")</f>
        <v>(abra o arquivo 'Referência 02-2025.xlsm)</v>
      </c>
      <c r="S382" s="123" t="str">
        <f ca="1">REFERENCIA.Unidade</f>
        <v>-</v>
      </c>
      <c r="T382" s="124">
        <f ca="1">OFFSET(CÁLCULO!H$15,ROW($T382)-ROW(T$15),0)</f>
        <v>2</v>
      </c>
      <c r="U382" s="125">
        <f t="shared" ca="1" si="91"/>
        <v>0</v>
      </c>
      <c r="V382" s="126" t="s">
        <v>156</v>
      </c>
      <c r="W382" s="124">
        <f ca="1">IF($C382="S",ROUND(IF(TIPOORCAMENTO="Proposto",ORÇAMENTO.CustoUnitario*(1+$AH382),ORÇAMENTO.PrecoUnitarioLicitado),15-13*$AF$10),0)</f>
        <v>0</v>
      </c>
      <c r="X382" s="127">
        <f ca="1">IF($C382="S",IF(Import.TipoArredondamento&lt;&gt;"TransfereGOV",VTOTAL1,SUM(OFFSET(CÁLCULO!$AA$15,ROW($X382)-ROW($X$15),1):OFFSET(CÁLCULO!$AL$15,ROW($X382)-ROW($X$15),-1))),IF($C382=0,0,ROUND(SomaAgrup,15-13*$AF$11)))</f>
        <v>0</v>
      </c>
      <c r="Y382" s="128" t="s">
        <v>245</v>
      </c>
      <c r="Z382" t="str">
        <f t="shared" ca="1" si="67"/>
        <v/>
      </c>
      <c r="AA382" s="129">
        <f ca="1">IF($C382="S",IF($Z382="CP",$X382,IF($Z382="RA",(($X382)*QCI!$AA$3),0)),SomaAgrup)</f>
        <v>0</v>
      </c>
      <c r="AB382" s="130">
        <f t="shared" ca="1" si="68"/>
        <v>0</v>
      </c>
      <c r="AC382" s="131" t="str">
        <f ca="1">IF($N382="","",IF(ORÇAMENTO.Descricao="","DESCRIÇÃO",IF(AND($C382="S",ORÇAMENTO.Unidade=""),"UNIDADE",IF($X382&lt;0,"VALOR NEGATIVO",IF(OR(AND(TIPOORCAMENTO="Proposto",$AG382&lt;&gt;"",$AG382&gt;0,ORÇAMENTO.CustoUnitario&gt;$AG382),AND(TIPOORCAMENTO="LICITADO",ORÇAMENTO.PrecoUnitarioLicitado&gt;$AN382)),"ACIMA REF.","")))))</f>
        <v/>
      </c>
      <c r="AD382" t="str">
        <f ca="1">IF(C382&lt;=CRONO.NivelExibicao,MAX($AD$15:OFFSET(AD382,-1,0))+IF($C382&lt;&gt;1,1,MAX(1,COUNTIF(QCI!$A$13:$A$24,OFFSET($E382,-1,0)))),"")</f>
        <v/>
      </c>
      <c r="AE382" s="7" t="str">
        <f ca="1">IF(AND($C382="S",ORÇAMENTO.CodBarra&lt;&gt;""),IF(ORÇAMENTO.Fonte="",ORÇAMENTO.CodBarra,CONCATENATE(ORÇAMENTO.Fonte," ",ORÇAMENTO.CodBarra)))</f>
        <v>SINAPI 89805</v>
      </c>
      <c r="AF382" s="13" t="str">
        <f ca="1">IF(ISERROR(INDIRECT(ORÇAMENTO.BancoRef)),"(abra o arquivo 'Referência "&amp;Excel_BuiltIn_Database&amp;".xlsm)",IF(OR($C382&lt;&gt;"S",ORÇAMENTO.CodBarra=""),"(Sem Código)",IF(ISERROR(MATCH($AE382,INDIRECT(ORÇAMENTO.BancoRef),0)),"(Código não identificado nas referências)",MATCH($AE382,INDIRECT(ORÇAMENTO.BancoRef),0))))</f>
        <v>(abra o arquivo 'Referência 02-2025.xlsm)</v>
      </c>
      <c r="AG382" s="498">
        <f ca="1">ROUND(IF(DESONERACAO="sim",REFERENCIA.Desonerado,REFERENCIA.NaoDesonerado),2)</f>
        <v>0</v>
      </c>
      <c r="AH382" s="499">
        <f t="shared" ca="1" si="69"/>
        <v>0.22470000000000001</v>
      </c>
      <c r="AJ382" s="501">
        <v>2</v>
      </c>
      <c r="AL382" s="527"/>
      <c r="AM382" s="381">
        <f t="shared" ca="1" si="70"/>
        <v>0</v>
      </c>
      <c r="AN382" s="566">
        <f t="shared" ca="1" si="71"/>
        <v>0</v>
      </c>
    </row>
    <row r="383" spans="1:40" ht="38.25" x14ac:dyDescent="0.2">
      <c r="A383" t="str">
        <f t="shared" si="56"/>
        <v>S</v>
      </c>
      <c r="B383">
        <f t="shared" ca="1" si="57"/>
        <v>3</v>
      </c>
      <c r="C383" t="str">
        <f t="shared" ca="1" si="58"/>
        <v>S</v>
      </c>
      <c r="D383">
        <f t="shared" ca="1" si="59"/>
        <v>0</v>
      </c>
      <c r="E383">
        <f ca="1">IF($C383=1,OFFSET(E383,-1,0)+MAX(1,COUNTIF(QCI!$A$13:$A$24,OFFSET(ORÇAMENTO!E383,-1,0))),OFFSET(E383,-1,0))</f>
        <v>1</v>
      </c>
      <c r="F383">
        <f t="shared" ca="1" si="60"/>
        <v>14</v>
      </c>
      <c r="G383">
        <f t="shared" ca="1" si="61"/>
        <v>4</v>
      </c>
      <c r="H383">
        <f t="shared" ca="1" si="62"/>
        <v>0</v>
      </c>
      <c r="I383">
        <f t="shared" ca="1" si="63"/>
        <v>0</v>
      </c>
      <c r="J383">
        <f t="shared" ca="1" si="90"/>
        <v>0</v>
      </c>
      <c r="K383">
        <f ca="1">IF(OR($C383="S",$C383=0),0,MATCH(OFFSET($D383,0,$C383)+IF($C383&lt;&gt;1,1,COUNTIF(QCI!$A$13:$A$24,ORÇAMENTO!E383)),OFFSET($D383,1,$C383,ROW($C$747)-ROW($C383)),0))</f>
        <v>0</v>
      </c>
      <c r="L383" s="116" t="str">
        <f t="shared" ca="1" si="64"/>
        <v/>
      </c>
      <c r="M383" s="117" t="s">
        <v>199</v>
      </c>
      <c r="N383" s="118" t="str">
        <f t="shared" ca="1" si="65"/>
        <v>Serviço</v>
      </c>
      <c r="O383" s="119" t="str">
        <f t="shared" ca="1" si="66"/>
        <v>-</v>
      </c>
      <c r="P383" s="120" t="s">
        <v>247</v>
      </c>
      <c r="Q383" s="121" t="s">
        <v>576</v>
      </c>
      <c r="R383" s="122" t="str">
        <f ca="1">IF($C383="S",REFERENCIA.Descricao,"(digite a descrição aqui)")</f>
        <v>(abra o arquivo 'Referência 02-2025.xlsm)</v>
      </c>
      <c r="S383" s="123" t="str">
        <f ca="1">REFERENCIA.Unidade</f>
        <v>-</v>
      </c>
      <c r="T383" s="124">
        <f ca="1">OFFSET(CÁLCULO!H$15,ROW($T383)-ROW(T$15),0)</f>
        <v>39</v>
      </c>
      <c r="U383" s="125">
        <f t="shared" ca="1" si="91"/>
        <v>0</v>
      </c>
      <c r="V383" s="126" t="s">
        <v>156</v>
      </c>
      <c r="W383" s="124">
        <f ca="1">IF($C383="S",ROUND(IF(TIPOORCAMENTO="Proposto",ORÇAMENTO.CustoUnitario*(1+$AH383),ORÇAMENTO.PrecoUnitarioLicitado),15-13*$AF$10),0)</f>
        <v>0</v>
      </c>
      <c r="X383" s="127">
        <f ca="1">IF($C383="S",IF(Import.TipoArredondamento&lt;&gt;"TransfereGOV",VTOTAL1,SUM(OFFSET(CÁLCULO!$AA$15,ROW($X383)-ROW($X$15),1):OFFSET(CÁLCULO!$AL$15,ROW($X383)-ROW($X$15),-1))),IF($C383=0,0,ROUND(SomaAgrup,15-13*$AF$11)))</f>
        <v>0</v>
      </c>
      <c r="Y383" s="128" t="s">
        <v>245</v>
      </c>
      <c r="Z383" t="str">
        <f t="shared" ca="1" si="67"/>
        <v/>
      </c>
      <c r="AA383" s="129">
        <f ca="1">IF($C383="S",IF($Z383="CP",$X383,IF($Z383="RA",(($X383)*QCI!$AA$3),0)),SomaAgrup)</f>
        <v>0</v>
      </c>
      <c r="AB383" s="130">
        <f t="shared" ca="1" si="68"/>
        <v>0</v>
      </c>
      <c r="AC383" s="131" t="str">
        <f ca="1">IF($N383="","",IF(ORÇAMENTO.Descricao="","DESCRIÇÃO",IF(AND($C383="S",ORÇAMENTO.Unidade=""),"UNIDADE",IF($X383&lt;0,"VALOR NEGATIVO",IF(OR(AND(TIPOORCAMENTO="Proposto",$AG383&lt;&gt;"",$AG383&gt;0,ORÇAMENTO.CustoUnitario&gt;$AG383),AND(TIPOORCAMENTO="LICITADO",ORÇAMENTO.PrecoUnitarioLicitado&gt;$AN383)),"ACIMA REF.","")))))</f>
        <v/>
      </c>
      <c r="AD383" t="str">
        <f ca="1">IF(C383&lt;=CRONO.NivelExibicao,MAX($AD$15:OFFSET(AD383,-1,0))+IF($C383&lt;&gt;1,1,MAX(1,COUNTIF(QCI!$A$13:$A$24,OFFSET($E383,-1,0)))),"")</f>
        <v/>
      </c>
      <c r="AE383" s="7" t="str">
        <f ca="1">IF(AND($C383="S",ORÇAMENTO.CodBarra&lt;&gt;""),IF(ORÇAMENTO.Fonte="",ORÇAMENTO.CodBarra,CONCATENATE(ORÇAMENTO.Fonte," ",ORÇAMENTO.CodBarra)))</f>
        <v>SINAPI 89827</v>
      </c>
      <c r="AF383" s="13" t="str">
        <f ca="1">IF(ISERROR(INDIRECT(ORÇAMENTO.BancoRef)),"(abra o arquivo 'Referência "&amp;Excel_BuiltIn_Database&amp;".xlsm)",IF(OR($C383&lt;&gt;"S",ORÇAMENTO.CodBarra=""),"(Sem Código)",IF(ISERROR(MATCH($AE383,INDIRECT(ORÇAMENTO.BancoRef),0)),"(Código não identificado nas referências)",MATCH($AE383,INDIRECT(ORÇAMENTO.BancoRef),0))))</f>
        <v>(abra o arquivo 'Referência 02-2025.xlsm)</v>
      </c>
      <c r="AG383" s="498">
        <f ca="1">ROUND(IF(DESONERACAO="sim",REFERENCIA.Desonerado,REFERENCIA.NaoDesonerado),2)</f>
        <v>0</v>
      </c>
      <c r="AH383" s="499">
        <f t="shared" ca="1" si="69"/>
        <v>0.22470000000000001</v>
      </c>
      <c r="AJ383" s="501">
        <v>39</v>
      </c>
      <c r="AL383" s="527"/>
      <c r="AM383" s="381">
        <f t="shared" ca="1" si="70"/>
        <v>0</v>
      </c>
      <c r="AN383" s="566">
        <f t="shared" ca="1" si="71"/>
        <v>0</v>
      </c>
    </row>
    <row r="384" spans="1:40" ht="38.25" x14ac:dyDescent="0.2">
      <c r="A384" t="str">
        <f t="shared" si="56"/>
        <v>S</v>
      </c>
      <c r="B384">
        <f t="shared" ca="1" si="57"/>
        <v>3</v>
      </c>
      <c r="C384" t="str">
        <f t="shared" ca="1" si="58"/>
        <v>S</v>
      </c>
      <c r="D384">
        <f t="shared" ca="1" si="59"/>
        <v>0</v>
      </c>
      <c r="E384">
        <f ca="1">IF($C384=1,OFFSET(E384,-1,0)+MAX(1,COUNTIF(QCI!$A$13:$A$24,OFFSET(ORÇAMENTO!E384,-1,0))),OFFSET(E384,-1,0))</f>
        <v>1</v>
      </c>
      <c r="F384">
        <f t="shared" ca="1" si="60"/>
        <v>14</v>
      </c>
      <c r="G384">
        <f t="shared" ca="1" si="61"/>
        <v>4</v>
      </c>
      <c r="H384">
        <f t="shared" ca="1" si="62"/>
        <v>0</v>
      </c>
      <c r="I384">
        <f t="shared" ca="1" si="63"/>
        <v>0</v>
      </c>
      <c r="J384">
        <f t="shared" ca="1" si="90"/>
        <v>0</v>
      </c>
      <c r="K384">
        <f ca="1">IF(OR($C384="S",$C384=0),0,MATCH(OFFSET($D384,0,$C384)+IF($C384&lt;&gt;1,1,COUNTIF(QCI!$A$13:$A$24,ORÇAMENTO!E384)),OFFSET($D384,1,$C384,ROW($C$747)-ROW($C384)),0))</f>
        <v>0</v>
      </c>
      <c r="L384" s="116" t="str">
        <f t="shared" ca="1" si="64"/>
        <v/>
      </c>
      <c r="M384" s="117" t="s">
        <v>199</v>
      </c>
      <c r="N384" s="118" t="str">
        <f t="shared" ca="1" si="65"/>
        <v>Serviço</v>
      </c>
      <c r="O384" s="119" t="str">
        <f t="shared" ca="1" si="66"/>
        <v>-</v>
      </c>
      <c r="P384" s="120" t="s">
        <v>247</v>
      </c>
      <c r="Q384" s="121" t="s">
        <v>585</v>
      </c>
      <c r="R384" s="122" t="str">
        <f ca="1">IF($C384="S",REFERENCIA.Descricao,"(digite a descrição aqui)")</f>
        <v>(abra o arquivo 'Referência 02-2025.xlsm)</v>
      </c>
      <c r="S384" s="123" t="str">
        <f ca="1">REFERENCIA.Unidade</f>
        <v>-</v>
      </c>
      <c r="T384" s="124">
        <f ca="1">OFFSET(CÁLCULO!H$15,ROW($T384)-ROW(T$15),0)</f>
        <v>2</v>
      </c>
      <c r="U384" s="125">
        <f t="shared" ca="1" si="91"/>
        <v>0</v>
      </c>
      <c r="V384" s="126" t="s">
        <v>156</v>
      </c>
      <c r="W384" s="124">
        <f ca="1">IF($C384="S",ROUND(IF(TIPOORCAMENTO="Proposto",ORÇAMENTO.CustoUnitario*(1+$AH384),ORÇAMENTO.PrecoUnitarioLicitado),15-13*$AF$10),0)</f>
        <v>0</v>
      </c>
      <c r="X384" s="127">
        <f ca="1">IF($C384="S",IF(Import.TipoArredondamento&lt;&gt;"TransfereGOV",VTOTAL1,SUM(OFFSET(CÁLCULO!$AA$15,ROW($X384)-ROW($X$15),1):OFFSET(CÁLCULO!$AL$15,ROW($X384)-ROW($X$15),-1))),IF($C384=0,0,ROUND(SomaAgrup,15-13*$AF$11)))</f>
        <v>0</v>
      </c>
      <c r="Y384" s="128" t="s">
        <v>245</v>
      </c>
      <c r="Z384" t="str">
        <f t="shared" ca="1" si="67"/>
        <v/>
      </c>
      <c r="AA384" s="129">
        <f ca="1">IF($C384="S",IF($Z384="CP",$X384,IF($Z384="RA",(($X384)*QCI!$AA$3),0)),SomaAgrup)</f>
        <v>0</v>
      </c>
      <c r="AB384" s="130">
        <f t="shared" ca="1" si="68"/>
        <v>0</v>
      </c>
      <c r="AC384" s="131" t="str">
        <f ca="1">IF($N384="","",IF(ORÇAMENTO.Descricao="","DESCRIÇÃO",IF(AND($C384="S",ORÇAMENTO.Unidade=""),"UNIDADE",IF($X384&lt;0,"VALOR NEGATIVO",IF(OR(AND(TIPOORCAMENTO="Proposto",$AG384&lt;&gt;"",$AG384&gt;0,ORÇAMENTO.CustoUnitario&gt;$AG384),AND(TIPOORCAMENTO="LICITADO",ORÇAMENTO.PrecoUnitarioLicitado&gt;$AN384)),"ACIMA REF.","")))))</f>
        <v/>
      </c>
      <c r="AD384" t="str">
        <f ca="1">IF(C384&lt;=CRONO.NivelExibicao,MAX($AD$15:OFFSET(AD384,-1,0))+IF($C384&lt;&gt;1,1,MAX(1,COUNTIF(QCI!$A$13:$A$24,OFFSET($E384,-1,0)))),"")</f>
        <v/>
      </c>
      <c r="AE384" s="7" t="str">
        <f ca="1">IF(AND($C384="S",ORÇAMENTO.CodBarra&lt;&gt;""),IF(ORÇAMENTO.Fonte="",ORÇAMENTO.CodBarra,CONCATENATE(ORÇAMENTO.Fonte," ",ORÇAMENTO.CodBarra)))</f>
        <v>SINAPI 89813</v>
      </c>
      <c r="AF384" s="13" t="str">
        <f ca="1">IF(ISERROR(INDIRECT(ORÇAMENTO.BancoRef)),"(abra o arquivo 'Referência "&amp;Excel_BuiltIn_Database&amp;".xlsm)",IF(OR($C384&lt;&gt;"S",ORÇAMENTO.CodBarra=""),"(Sem Código)",IF(ISERROR(MATCH($AE384,INDIRECT(ORÇAMENTO.BancoRef),0)),"(Código não identificado nas referências)",MATCH($AE384,INDIRECT(ORÇAMENTO.BancoRef),0))))</f>
        <v>(abra o arquivo 'Referência 02-2025.xlsm)</v>
      </c>
      <c r="AG384" s="498">
        <f ca="1">ROUND(IF(DESONERACAO="sim",REFERENCIA.Desonerado,REFERENCIA.NaoDesonerado),2)</f>
        <v>0</v>
      </c>
      <c r="AH384" s="499">
        <f t="shared" ca="1" si="69"/>
        <v>0.22470000000000001</v>
      </c>
      <c r="AJ384" s="501">
        <v>2</v>
      </c>
      <c r="AL384" s="527"/>
      <c r="AM384" s="381">
        <f t="shared" ca="1" si="70"/>
        <v>0</v>
      </c>
      <c r="AN384" s="566">
        <f t="shared" ca="1" si="71"/>
        <v>0</v>
      </c>
    </row>
    <row r="385" spans="1:40" ht="38.25" x14ac:dyDescent="0.2">
      <c r="A385" t="str">
        <f t="shared" si="56"/>
        <v>S</v>
      </c>
      <c r="B385">
        <f t="shared" ca="1" si="57"/>
        <v>3</v>
      </c>
      <c r="C385" t="str">
        <f t="shared" ca="1" si="58"/>
        <v>S</v>
      </c>
      <c r="D385">
        <f t="shared" ca="1" si="59"/>
        <v>0</v>
      </c>
      <c r="E385">
        <f ca="1">IF($C385=1,OFFSET(E385,-1,0)+MAX(1,COUNTIF(QCI!$A$13:$A$24,OFFSET(ORÇAMENTO!E385,-1,0))),OFFSET(E385,-1,0))</f>
        <v>1</v>
      </c>
      <c r="F385">
        <f t="shared" ca="1" si="60"/>
        <v>14</v>
      </c>
      <c r="G385">
        <f t="shared" ca="1" si="61"/>
        <v>4</v>
      </c>
      <c r="H385">
        <f t="shared" ca="1" si="62"/>
        <v>0</v>
      </c>
      <c r="I385">
        <f t="shared" ca="1" si="63"/>
        <v>0</v>
      </c>
      <c r="J385">
        <f t="shared" ca="1" si="90"/>
        <v>0</v>
      </c>
      <c r="K385">
        <f ca="1">IF(OR($C385="S",$C385=0),0,MATCH(OFFSET($D385,0,$C385)+IF($C385&lt;&gt;1,1,COUNTIF(QCI!$A$13:$A$24,ORÇAMENTO!E385)),OFFSET($D385,1,$C385,ROW($C$747)-ROW($C385)),0))</f>
        <v>0</v>
      </c>
      <c r="L385" s="116" t="str">
        <f t="shared" ca="1" si="64"/>
        <v/>
      </c>
      <c r="M385" s="117" t="s">
        <v>199</v>
      </c>
      <c r="N385" s="118" t="str">
        <f t="shared" ca="1" si="65"/>
        <v>Serviço</v>
      </c>
      <c r="O385" s="119" t="str">
        <f t="shared" ca="1" si="66"/>
        <v>-</v>
      </c>
      <c r="P385" s="120" t="s">
        <v>247</v>
      </c>
      <c r="Q385" s="121" t="s">
        <v>586</v>
      </c>
      <c r="R385" s="122" t="str">
        <f ca="1">IF($C385="S",REFERENCIA.Descricao,"(digite a descrição aqui)")</f>
        <v>(abra o arquivo 'Referência 02-2025.xlsm)</v>
      </c>
      <c r="S385" s="123" t="str">
        <f ca="1">REFERENCIA.Unidade</f>
        <v>-</v>
      </c>
      <c r="T385" s="124">
        <f ca="1">OFFSET(CÁLCULO!H$15,ROW($T385)-ROW(T$15),0)</f>
        <v>24</v>
      </c>
      <c r="U385" s="125">
        <f t="shared" ca="1" si="91"/>
        <v>0</v>
      </c>
      <c r="V385" s="126" t="s">
        <v>156</v>
      </c>
      <c r="W385" s="124">
        <f ca="1">IF($C385="S",ROUND(IF(TIPOORCAMENTO="Proposto",ORÇAMENTO.CustoUnitario*(1+$AH385),ORÇAMENTO.PrecoUnitarioLicitado),15-13*$AF$10),0)</f>
        <v>0</v>
      </c>
      <c r="X385" s="127">
        <f ca="1">IF($C385="S",IF(Import.TipoArredondamento&lt;&gt;"TransfereGOV",VTOTAL1,SUM(OFFSET(CÁLCULO!$AA$15,ROW($X385)-ROW($X$15),1):OFFSET(CÁLCULO!$AL$15,ROW($X385)-ROW($X$15),-1))),IF($C385=0,0,ROUND(SomaAgrup,15-13*$AF$11)))</f>
        <v>0</v>
      </c>
      <c r="Y385" s="128" t="s">
        <v>245</v>
      </c>
      <c r="Z385" t="str">
        <f t="shared" ca="1" si="67"/>
        <v/>
      </c>
      <c r="AA385" s="129">
        <f ca="1">IF($C385="S",IF($Z385="CP",$X385,IF($Z385="RA",(($X385)*QCI!$AA$3),0)),SomaAgrup)</f>
        <v>0</v>
      </c>
      <c r="AB385" s="130">
        <f t="shared" ca="1" si="68"/>
        <v>0</v>
      </c>
      <c r="AC385" s="131" t="str">
        <f ca="1">IF($N385="","",IF(ORÇAMENTO.Descricao="","DESCRIÇÃO",IF(AND($C385="S",ORÇAMENTO.Unidade=""),"UNIDADE",IF($X385&lt;0,"VALOR NEGATIVO",IF(OR(AND(TIPOORCAMENTO="Proposto",$AG385&lt;&gt;"",$AG385&gt;0,ORÇAMENTO.CustoUnitario&gt;$AG385),AND(TIPOORCAMENTO="LICITADO",ORÇAMENTO.PrecoUnitarioLicitado&gt;$AN385)),"ACIMA REF.","")))))</f>
        <v/>
      </c>
      <c r="AD385" t="str">
        <f ca="1">IF(C385&lt;=CRONO.NivelExibicao,MAX($AD$15:OFFSET(AD385,-1,0))+IF($C385&lt;&gt;1,1,MAX(1,COUNTIF(QCI!$A$13:$A$24,OFFSET($E385,-1,0)))),"")</f>
        <v/>
      </c>
      <c r="AE385" s="7" t="str">
        <f ca="1">IF(AND($C385="S",ORÇAMENTO.CodBarra&lt;&gt;""),IF(ORÇAMENTO.Fonte="",ORÇAMENTO.CodBarra,CONCATENATE(ORÇAMENTO.Fonte," ",ORÇAMENTO.CodBarra)))</f>
        <v>SINAPI 104348</v>
      </c>
      <c r="AF385" s="13" t="str">
        <f ca="1">IF(ISERROR(INDIRECT(ORÇAMENTO.BancoRef)),"(abra o arquivo 'Referência "&amp;Excel_BuiltIn_Database&amp;".xlsm)",IF(OR($C385&lt;&gt;"S",ORÇAMENTO.CodBarra=""),"(Sem Código)",IF(ISERROR(MATCH($AE385,INDIRECT(ORÇAMENTO.BancoRef),0)),"(Código não identificado nas referências)",MATCH($AE385,INDIRECT(ORÇAMENTO.BancoRef),0))))</f>
        <v>(abra o arquivo 'Referência 02-2025.xlsm)</v>
      </c>
      <c r="AG385" s="498">
        <f ca="1">ROUND(IF(DESONERACAO="sim",REFERENCIA.Desonerado,REFERENCIA.NaoDesonerado),2)</f>
        <v>0</v>
      </c>
      <c r="AH385" s="499">
        <f t="shared" ca="1" si="69"/>
        <v>0.22470000000000001</v>
      </c>
      <c r="AJ385" s="501">
        <v>24</v>
      </c>
      <c r="AL385" s="527"/>
      <c r="AM385" s="381">
        <f t="shared" ca="1" si="70"/>
        <v>0</v>
      </c>
      <c r="AN385" s="566">
        <f t="shared" ca="1" si="71"/>
        <v>0</v>
      </c>
    </row>
    <row r="386" spans="1:40" ht="38.25" x14ac:dyDescent="0.2">
      <c r="A386" t="str">
        <f t="shared" si="56"/>
        <v>S</v>
      </c>
      <c r="B386">
        <f t="shared" ca="1" si="57"/>
        <v>3</v>
      </c>
      <c r="C386" t="str">
        <f t="shared" ca="1" si="58"/>
        <v>S</v>
      </c>
      <c r="D386">
        <f t="shared" ca="1" si="59"/>
        <v>0</v>
      </c>
      <c r="E386">
        <f ca="1">IF($C386=1,OFFSET(E386,-1,0)+MAX(1,COUNTIF(QCI!$A$13:$A$24,OFFSET(ORÇAMENTO!E386,-1,0))),OFFSET(E386,-1,0))</f>
        <v>1</v>
      </c>
      <c r="F386">
        <f t="shared" ca="1" si="60"/>
        <v>14</v>
      </c>
      <c r="G386">
        <f t="shared" ca="1" si="61"/>
        <v>4</v>
      </c>
      <c r="H386">
        <f t="shared" ca="1" si="62"/>
        <v>0</v>
      </c>
      <c r="I386">
        <f t="shared" ca="1" si="63"/>
        <v>0</v>
      </c>
      <c r="J386">
        <f t="shared" ca="1" si="90"/>
        <v>0</v>
      </c>
      <c r="K386">
        <f ca="1">IF(OR($C386="S",$C386=0),0,MATCH(OFFSET($D386,0,$C386)+IF($C386&lt;&gt;1,1,COUNTIF(QCI!$A$13:$A$24,ORÇAMENTO!E386)),OFFSET($D386,1,$C386,ROW($C$747)-ROW($C386)),0))</f>
        <v>0</v>
      </c>
      <c r="L386" s="116" t="str">
        <f t="shared" ca="1" si="64"/>
        <v/>
      </c>
      <c r="M386" s="117" t="s">
        <v>199</v>
      </c>
      <c r="N386" s="118" t="str">
        <f t="shared" ca="1" si="65"/>
        <v>Serviço</v>
      </c>
      <c r="O386" s="119" t="str">
        <f t="shared" ca="1" si="66"/>
        <v>-</v>
      </c>
      <c r="P386" s="120" t="s">
        <v>247</v>
      </c>
      <c r="Q386" s="121" t="s">
        <v>558</v>
      </c>
      <c r="R386" s="122" t="str">
        <f ca="1">IF($C386="S",REFERENCIA.Descricao,"(digite a descrição aqui)")</f>
        <v>(abra o arquivo 'Referência 02-2025.xlsm)</v>
      </c>
      <c r="S386" s="123" t="str">
        <f ca="1">REFERENCIA.Unidade</f>
        <v>-</v>
      </c>
      <c r="T386" s="124">
        <f ca="1">OFFSET(CÁLCULO!H$15,ROW($T386)-ROW(T$15),0)</f>
        <v>388.2</v>
      </c>
      <c r="U386" s="125">
        <f t="shared" ca="1" si="91"/>
        <v>0</v>
      </c>
      <c r="V386" s="126" t="s">
        <v>156</v>
      </c>
      <c r="W386" s="124">
        <f ca="1">IF($C386="S",ROUND(IF(TIPOORCAMENTO="Proposto",ORÇAMENTO.CustoUnitario*(1+$AH386),ORÇAMENTO.PrecoUnitarioLicitado),15-13*$AF$10),0)</f>
        <v>0</v>
      </c>
      <c r="X386" s="127">
        <f ca="1">IF($C386="S",IF(Import.TipoArredondamento&lt;&gt;"TransfereGOV",VTOTAL1,SUM(OFFSET(CÁLCULO!$AA$15,ROW($X386)-ROW($X$15),1):OFFSET(CÁLCULO!$AL$15,ROW($X386)-ROW($X$15),-1))),IF($C386=0,0,ROUND(SomaAgrup,15-13*$AF$11)))</f>
        <v>0</v>
      </c>
      <c r="Y386" s="128" t="s">
        <v>245</v>
      </c>
      <c r="Z386" t="str">
        <f t="shared" ca="1" si="67"/>
        <v/>
      </c>
      <c r="AA386" s="129">
        <f ca="1">IF($C386="S",IF($Z386="CP",$X386,IF($Z386="RA",(($X386)*QCI!$AA$3),0)),SomaAgrup)</f>
        <v>0</v>
      </c>
      <c r="AB386" s="130">
        <f t="shared" ca="1" si="68"/>
        <v>0</v>
      </c>
      <c r="AC386" s="131" t="str">
        <f ca="1">IF($N386="","",IF(ORÇAMENTO.Descricao="","DESCRIÇÃO",IF(AND($C386="S",ORÇAMENTO.Unidade=""),"UNIDADE",IF($X386&lt;0,"VALOR NEGATIVO",IF(OR(AND(TIPOORCAMENTO="Proposto",$AG386&lt;&gt;"",$AG386&gt;0,ORÇAMENTO.CustoUnitario&gt;$AG386),AND(TIPOORCAMENTO="LICITADO",ORÇAMENTO.PrecoUnitarioLicitado&gt;$AN386)),"ACIMA REF.","")))))</f>
        <v/>
      </c>
      <c r="AD386" t="str">
        <f ca="1">IF(C386&lt;=CRONO.NivelExibicao,MAX($AD$15:OFFSET(AD386,-1,0))+IF($C386&lt;&gt;1,1,MAX(1,COUNTIF(QCI!$A$13:$A$24,OFFSET($E386,-1,0)))),"")</f>
        <v/>
      </c>
      <c r="AE386" s="7" t="str">
        <f ca="1">IF(AND($C386="S",ORÇAMENTO.CodBarra&lt;&gt;""),IF(ORÇAMENTO.Fonte="",ORÇAMENTO.CodBarra,CONCATENATE(ORÇAMENTO.Fonte," ",ORÇAMENTO.CodBarra)))</f>
        <v>SINAPI 89712</v>
      </c>
      <c r="AF386" s="13" t="str">
        <f ca="1">IF(ISERROR(INDIRECT(ORÇAMENTO.BancoRef)),"(abra o arquivo 'Referência "&amp;Excel_BuiltIn_Database&amp;".xlsm)",IF(OR($C386&lt;&gt;"S",ORÇAMENTO.CodBarra=""),"(Sem Código)",IF(ISERROR(MATCH($AE386,INDIRECT(ORÇAMENTO.BancoRef),0)),"(Código não identificado nas referências)",MATCH($AE386,INDIRECT(ORÇAMENTO.BancoRef),0))))</f>
        <v>(abra o arquivo 'Referência 02-2025.xlsm)</v>
      </c>
      <c r="AG386" s="498">
        <f ca="1">ROUND(IF(DESONERACAO="sim",REFERENCIA.Desonerado,REFERENCIA.NaoDesonerado),2)</f>
        <v>0</v>
      </c>
      <c r="AH386" s="499">
        <f t="shared" ca="1" si="69"/>
        <v>0.22470000000000001</v>
      </c>
      <c r="AJ386" s="501">
        <v>388.2</v>
      </c>
      <c r="AL386" s="527"/>
      <c r="AM386" s="381">
        <f t="shared" ca="1" si="70"/>
        <v>0</v>
      </c>
      <c r="AN386" s="566">
        <f t="shared" ca="1" si="71"/>
        <v>0</v>
      </c>
    </row>
    <row r="387" spans="1:40" ht="38.25" x14ac:dyDescent="0.2">
      <c r="A387" t="str">
        <f t="shared" si="56"/>
        <v>S</v>
      </c>
      <c r="B387">
        <f t="shared" ca="1" si="57"/>
        <v>3</v>
      </c>
      <c r="C387" t="str">
        <f t="shared" ca="1" si="58"/>
        <v>S</v>
      </c>
      <c r="D387">
        <f t="shared" ca="1" si="59"/>
        <v>0</v>
      </c>
      <c r="E387">
        <f ca="1">IF($C387=1,OFFSET(E387,-1,0)+MAX(1,COUNTIF(QCI!$A$13:$A$24,OFFSET(ORÇAMENTO!E387,-1,0))),OFFSET(E387,-1,0))</f>
        <v>1</v>
      </c>
      <c r="F387">
        <f t="shared" ca="1" si="60"/>
        <v>14</v>
      </c>
      <c r="G387">
        <f t="shared" ca="1" si="61"/>
        <v>4</v>
      </c>
      <c r="H387">
        <f t="shared" ca="1" si="62"/>
        <v>0</v>
      </c>
      <c r="I387">
        <f t="shared" ca="1" si="63"/>
        <v>0</v>
      </c>
      <c r="J387">
        <f t="shared" ca="1" si="90"/>
        <v>0</v>
      </c>
      <c r="K387">
        <f ca="1">IF(OR($C387="S",$C387=0),0,MATCH(OFFSET($D387,0,$C387)+IF($C387&lt;&gt;1,1,COUNTIF(QCI!$A$13:$A$24,ORÇAMENTO!E387)),OFFSET($D387,1,$C387,ROW($C$747)-ROW($C387)),0))</f>
        <v>0</v>
      </c>
      <c r="L387" s="116" t="str">
        <f t="shared" ca="1" si="64"/>
        <v/>
      </c>
      <c r="M387" s="117" t="s">
        <v>199</v>
      </c>
      <c r="N387" s="118" t="str">
        <f t="shared" ca="1" si="65"/>
        <v>Serviço</v>
      </c>
      <c r="O387" s="119" t="str">
        <f t="shared" ca="1" si="66"/>
        <v>-</v>
      </c>
      <c r="P387" s="120" t="s">
        <v>247</v>
      </c>
      <c r="Q387" s="121" t="s">
        <v>587</v>
      </c>
      <c r="R387" s="122" t="str">
        <f ca="1">IF($C387="S",REFERENCIA.Descricao,"(digite a descrição aqui)")</f>
        <v>(abra o arquivo 'Referência 02-2025.xlsm)</v>
      </c>
      <c r="S387" s="123" t="str">
        <f ca="1">REFERENCIA.Unidade</f>
        <v>-</v>
      </c>
      <c r="T387" s="124">
        <f ca="1">OFFSET(CÁLCULO!H$15,ROW($T387)-ROW(T$15),0)</f>
        <v>2</v>
      </c>
      <c r="U387" s="125">
        <f t="shared" ca="1" si="91"/>
        <v>0</v>
      </c>
      <c r="V387" s="126" t="s">
        <v>156</v>
      </c>
      <c r="W387" s="124">
        <f ca="1">IF($C387="S",ROUND(IF(TIPOORCAMENTO="Proposto",ORÇAMENTO.CustoUnitario*(1+$AH387),ORÇAMENTO.PrecoUnitarioLicitado),15-13*$AF$10),0)</f>
        <v>0</v>
      </c>
      <c r="X387" s="127">
        <f ca="1">IF($C387="S",IF(Import.TipoArredondamento&lt;&gt;"TransfereGOV",VTOTAL1,SUM(OFFSET(CÁLCULO!$AA$15,ROW($X387)-ROW($X$15),1):OFFSET(CÁLCULO!$AL$15,ROW($X387)-ROW($X$15),-1))),IF($C387=0,0,ROUND(SomaAgrup,15-13*$AF$11)))</f>
        <v>0</v>
      </c>
      <c r="Y387" s="128" t="s">
        <v>245</v>
      </c>
      <c r="Z387" t="str">
        <f t="shared" ca="1" si="67"/>
        <v/>
      </c>
      <c r="AA387" s="129">
        <f ca="1">IF($C387="S",IF($Z387="CP",$X387,IF($Z387="RA",(($X387)*QCI!$AA$3),0)),SomaAgrup)</f>
        <v>0</v>
      </c>
      <c r="AB387" s="130">
        <f t="shared" ca="1" si="68"/>
        <v>0</v>
      </c>
      <c r="AC387" s="131" t="str">
        <f ca="1">IF($N387="","",IF(ORÇAMENTO.Descricao="","DESCRIÇÃO",IF(AND($C387="S",ORÇAMENTO.Unidade=""),"UNIDADE",IF($X387&lt;0,"VALOR NEGATIVO",IF(OR(AND(TIPOORCAMENTO="Proposto",$AG387&lt;&gt;"",$AG387&gt;0,ORÇAMENTO.CustoUnitario&gt;$AG387),AND(TIPOORCAMENTO="LICITADO",ORÇAMENTO.PrecoUnitarioLicitado&gt;$AN387)),"ACIMA REF.","")))))</f>
        <v/>
      </c>
      <c r="AD387" t="str">
        <f ca="1">IF(C387&lt;=CRONO.NivelExibicao,MAX($AD$15:OFFSET(AD387,-1,0))+IF($C387&lt;&gt;1,1,MAX(1,COUNTIF(QCI!$A$13:$A$24,OFFSET($E387,-1,0)))),"")</f>
        <v/>
      </c>
      <c r="AE387" s="7" t="str">
        <f ca="1">IF(AND($C387="S",ORÇAMENTO.CodBarra&lt;&gt;""),IF(ORÇAMENTO.Fonte="",ORÇAMENTO.CodBarra,CONCATENATE(ORÇAMENTO.Fonte," ",ORÇAMENTO.CodBarra)))</f>
        <v>SINAPI 89696</v>
      </c>
      <c r="AF387" s="13" t="str">
        <f ca="1">IF(ISERROR(INDIRECT(ORÇAMENTO.BancoRef)),"(abra o arquivo 'Referência "&amp;Excel_BuiltIn_Database&amp;".xlsm)",IF(OR($C387&lt;&gt;"S",ORÇAMENTO.CodBarra=""),"(Sem Código)",IF(ISERROR(MATCH($AE387,INDIRECT(ORÇAMENTO.BancoRef),0)),"(Código não identificado nas referências)",MATCH($AE387,INDIRECT(ORÇAMENTO.BancoRef),0))))</f>
        <v>(abra o arquivo 'Referência 02-2025.xlsm)</v>
      </c>
      <c r="AG387" s="498">
        <f ca="1">ROUND(IF(DESONERACAO="sim",REFERENCIA.Desonerado,REFERENCIA.NaoDesonerado),2)</f>
        <v>0</v>
      </c>
      <c r="AH387" s="499">
        <f t="shared" ca="1" si="69"/>
        <v>0.22470000000000001</v>
      </c>
      <c r="AJ387" s="501">
        <v>2</v>
      </c>
      <c r="AL387" s="527"/>
      <c r="AM387" s="381">
        <f t="shared" ca="1" si="70"/>
        <v>0</v>
      </c>
      <c r="AN387" s="566">
        <f t="shared" ca="1" si="71"/>
        <v>0</v>
      </c>
    </row>
    <row r="388" spans="1:40" ht="38.25" x14ac:dyDescent="0.2">
      <c r="A388" t="str">
        <f t="shared" si="56"/>
        <v>S</v>
      </c>
      <c r="B388">
        <f t="shared" ca="1" si="57"/>
        <v>3</v>
      </c>
      <c r="C388" t="str">
        <f t="shared" ca="1" si="58"/>
        <v>S</v>
      </c>
      <c r="D388">
        <f t="shared" ca="1" si="59"/>
        <v>0</v>
      </c>
      <c r="E388">
        <f ca="1">IF($C388=1,OFFSET(E388,-1,0)+MAX(1,COUNTIF(QCI!$A$13:$A$24,OFFSET(ORÇAMENTO!E388,-1,0))),OFFSET(E388,-1,0))</f>
        <v>1</v>
      </c>
      <c r="F388">
        <f t="shared" ca="1" si="60"/>
        <v>14</v>
      </c>
      <c r="G388">
        <f t="shared" ca="1" si="61"/>
        <v>4</v>
      </c>
      <c r="H388">
        <f t="shared" ca="1" si="62"/>
        <v>0</v>
      </c>
      <c r="I388">
        <f t="shared" ca="1" si="63"/>
        <v>0</v>
      </c>
      <c r="J388">
        <f t="shared" ca="1" si="90"/>
        <v>0</v>
      </c>
      <c r="K388">
        <f ca="1">IF(OR($C388="S",$C388=0),0,MATCH(OFFSET($D388,0,$C388)+IF($C388&lt;&gt;1,1,COUNTIF(QCI!$A$13:$A$24,ORÇAMENTO!E388)),OFFSET($D388,1,$C388,ROW($C$747)-ROW($C388)),0))</f>
        <v>0</v>
      </c>
      <c r="L388" s="116" t="str">
        <f t="shared" ca="1" si="64"/>
        <v/>
      </c>
      <c r="M388" s="117" t="s">
        <v>199</v>
      </c>
      <c r="N388" s="118" t="str">
        <f t="shared" ca="1" si="65"/>
        <v>Serviço</v>
      </c>
      <c r="O388" s="119" t="str">
        <f t="shared" ca="1" si="66"/>
        <v>-</v>
      </c>
      <c r="P388" s="120" t="s">
        <v>247</v>
      </c>
      <c r="Q388" s="121" t="s">
        <v>588</v>
      </c>
      <c r="R388" s="122" t="str">
        <f ca="1">IF($C388="S",REFERENCIA.Descricao,"(digite a descrição aqui)")</f>
        <v>(abra o arquivo 'Referência 02-2025.xlsm)</v>
      </c>
      <c r="S388" s="123" t="str">
        <f ca="1">REFERENCIA.Unidade</f>
        <v>-</v>
      </c>
      <c r="T388" s="124">
        <f ca="1">OFFSET(CÁLCULO!H$15,ROW($T388)-ROW(T$15),0)</f>
        <v>6</v>
      </c>
      <c r="U388" s="125">
        <f t="shared" ca="1" si="91"/>
        <v>0</v>
      </c>
      <c r="V388" s="126" t="s">
        <v>156</v>
      </c>
      <c r="W388" s="124">
        <f ca="1">IF($C388="S",ROUND(IF(TIPOORCAMENTO="Proposto",ORÇAMENTO.CustoUnitario*(1+$AH388),ORÇAMENTO.PrecoUnitarioLicitado),15-13*$AF$10),0)</f>
        <v>0</v>
      </c>
      <c r="X388" s="127">
        <f ca="1">IF($C388="S",IF(Import.TipoArredondamento&lt;&gt;"TransfereGOV",VTOTAL1,SUM(OFFSET(CÁLCULO!$AA$15,ROW($X388)-ROW($X$15),1):OFFSET(CÁLCULO!$AL$15,ROW($X388)-ROW($X$15),-1))),IF($C388=0,0,ROUND(SomaAgrup,15-13*$AF$11)))</f>
        <v>0</v>
      </c>
      <c r="Y388" s="128" t="s">
        <v>245</v>
      </c>
      <c r="Z388" t="str">
        <f t="shared" ca="1" si="67"/>
        <v/>
      </c>
      <c r="AA388" s="129">
        <f ca="1">IF($C388="S",IF($Z388="CP",$X388,IF($Z388="RA",(($X388)*QCI!$AA$3),0)),SomaAgrup)</f>
        <v>0</v>
      </c>
      <c r="AB388" s="130">
        <f t="shared" ca="1" si="68"/>
        <v>0</v>
      </c>
      <c r="AC388" s="131" t="str">
        <f ca="1">IF($N388="","",IF(ORÇAMENTO.Descricao="","DESCRIÇÃO",IF(AND($C388="S",ORÇAMENTO.Unidade=""),"UNIDADE",IF($X388&lt;0,"VALOR NEGATIVO",IF(OR(AND(TIPOORCAMENTO="Proposto",$AG388&lt;&gt;"",$AG388&gt;0,ORÇAMENTO.CustoUnitario&gt;$AG388),AND(TIPOORCAMENTO="LICITADO",ORÇAMENTO.PrecoUnitarioLicitado&gt;$AN388)),"ACIMA REF.","")))))</f>
        <v/>
      </c>
      <c r="AD388" t="str">
        <f ca="1">IF(C388&lt;=CRONO.NivelExibicao,MAX($AD$15:OFFSET(AD388,-1,0))+IF($C388&lt;&gt;1,1,MAX(1,COUNTIF(QCI!$A$13:$A$24,OFFSET($E388,-1,0)))),"")</f>
        <v/>
      </c>
      <c r="AE388" s="7" t="str">
        <f ca="1">IF(AND($C388="S",ORÇAMENTO.CodBarra&lt;&gt;""),IF(ORÇAMENTO.Fonte="",ORÇAMENTO.CodBarra,CONCATENATE(ORÇAMENTO.Fonte," ",ORÇAMENTO.CodBarra)))</f>
        <v>SINAPI 104352</v>
      </c>
      <c r="AF388" s="13" t="str">
        <f ca="1">IF(ISERROR(INDIRECT(ORÇAMENTO.BancoRef)),"(abra o arquivo 'Referência "&amp;Excel_BuiltIn_Database&amp;".xlsm)",IF(OR($C388&lt;&gt;"S",ORÇAMENTO.CodBarra=""),"(Sem Código)",IF(ISERROR(MATCH($AE388,INDIRECT(ORÇAMENTO.BancoRef),0)),"(Código não identificado nas referências)",MATCH($AE388,INDIRECT(ORÇAMENTO.BancoRef),0))))</f>
        <v>(abra o arquivo 'Referência 02-2025.xlsm)</v>
      </c>
      <c r="AG388" s="498">
        <f ca="1">ROUND(IF(DESONERACAO="sim",REFERENCIA.Desonerado,REFERENCIA.NaoDesonerado),2)</f>
        <v>0</v>
      </c>
      <c r="AH388" s="499">
        <f t="shared" ca="1" si="69"/>
        <v>0.22470000000000001</v>
      </c>
      <c r="AJ388" s="501">
        <v>6</v>
      </c>
      <c r="AL388" s="527"/>
      <c r="AM388" s="381">
        <f t="shared" ca="1" si="70"/>
        <v>0</v>
      </c>
      <c r="AN388" s="566">
        <f t="shared" ca="1" si="71"/>
        <v>0</v>
      </c>
    </row>
    <row r="389" spans="1:40" ht="38.25" x14ac:dyDescent="0.2">
      <c r="A389" t="str">
        <f t="shared" si="56"/>
        <v>S</v>
      </c>
      <c r="B389">
        <f t="shared" ca="1" si="57"/>
        <v>3</v>
      </c>
      <c r="C389" t="str">
        <f t="shared" ca="1" si="58"/>
        <v>S</v>
      </c>
      <c r="D389">
        <f t="shared" ca="1" si="59"/>
        <v>0</v>
      </c>
      <c r="E389">
        <f ca="1">IF($C389=1,OFFSET(E389,-1,0)+MAX(1,COUNTIF(QCI!$A$13:$A$24,OFFSET(ORÇAMENTO!E389,-1,0))),OFFSET(E389,-1,0))</f>
        <v>1</v>
      </c>
      <c r="F389">
        <f t="shared" ca="1" si="60"/>
        <v>14</v>
      </c>
      <c r="G389">
        <f t="shared" ca="1" si="61"/>
        <v>4</v>
      </c>
      <c r="H389">
        <f t="shared" ca="1" si="62"/>
        <v>0</v>
      </c>
      <c r="I389">
        <f t="shared" ca="1" si="63"/>
        <v>0</v>
      </c>
      <c r="J389">
        <f t="shared" ca="1" si="90"/>
        <v>0</v>
      </c>
      <c r="K389">
        <f ca="1">IF(OR($C389="S",$C389=0),0,MATCH(OFFSET($D389,0,$C389)+IF($C389&lt;&gt;1,1,COUNTIF(QCI!$A$13:$A$24,ORÇAMENTO!E389)),OFFSET($D389,1,$C389,ROW($C$747)-ROW($C389)),0))</f>
        <v>0</v>
      </c>
      <c r="L389" s="116" t="str">
        <f t="shared" ca="1" si="64"/>
        <v/>
      </c>
      <c r="M389" s="117" t="s">
        <v>199</v>
      </c>
      <c r="N389" s="118" t="str">
        <f t="shared" ca="1" si="65"/>
        <v>Serviço</v>
      </c>
      <c r="O389" s="119" t="str">
        <f t="shared" ca="1" si="66"/>
        <v>-</v>
      </c>
      <c r="P389" s="120" t="s">
        <v>247</v>
      </c>
      <c r="Q389" s="121" t="s">
        <v>589</v>
      </c>
      <c r="R389" s="122" t="str">
        <f ca="1">IF($C389="S",REFERENCIA.Descricao,"(digite a descrição aqui)")</f>
        <v>(abra o arquivo 'Referência 02-2025.xlsm)</v>
      </c>
      <c r="S389" s="123" t="str">
        <f ca="1">REFERENCIA.Unidade</f>
        <v>-</v>
      </c>
      <c r="T389" s="124">
        <f ca="1">OFFSET(CÁLCULO!H$15,ROW($T389)-ROW(T$15),0)</f>
        <v>56</v>
      </c>
      <c r="U389" s="125">
        <f t="shared" ca="1" si="91"/>
        <v>0</v>
      </c>
      <c r="V389" s="126" t="s">
        <v>156</v>
      </c>
      <c r="W389" s="124">
        <f ca="1">IF($C389="S",ROUND(IF(TIPOORCAMENTO="Proposto",ORÇAMENTO.CustoUnitario*(1+$AH389),ORÇAMENTO.PrecoUnitarioLicitado),15-13*$AF$10),0)</f>
        <v>0</v>
      </c>
      <c r="X389" s="127">
        <f ca="1">IF($C389="S",IF(Import.TipoArredondamento&lt;&gt;"TransfereGOV",VTOTAL1,SUM(OFFSET(CÁLCULO!$AA$15,ROW($X389)-ROW($X$15),1):OFFSET(CÁLCULO!$AL$15,ROW($X389)-ROW($X$15),-1))),IF($C389=0,0,ROUND(SomaAgrup,15-13*$AF$11)))</f>
        <v>0</v>
      </c>
      <c r="Y389" s="128" t="s">
        <v>245</v>
      </c>
      <c r="Z389" t="str">
        <f t="shared" ca="1" si="67"/>
        <v/>
      </c>
      <c r="AA389" s="129">
        <f ca="1">IF($C389="S",IF($Z389="CP",$X389,IF($Z389="RA",(($X389)*QCI!$AA$3),0)),SomaAgrup)</f>
        <v>0</v>
      </c>
      <c r="AB389" s="130">
        <f t="shared" ca="1" si="68"/>
        <v>0</v>
      </c>
      <c r="AC389" s="131" t="str">
        <f ca="1">IF($N389="","",IF(ORÇAMENTO.Descricao="","DESCRIÇÃO",IF(AND($C389="S",ORÇAMENTO.Unidade=""),"UNIDADE",IF($X389&lt;0,"VALOR NEGATIVO",IF(OR(AND(TIPOORCAMENTO="Proposto",$AG389&lt;&gt;"",$AG389&gt;0,ORÇAMENTO.CustoUnitario&gt;$AG389),AND(TIPOORCAMENTO="LICITADO",ORÇAMENTO.PrecoUnitarioLicitado&gt;$AN389)),"ACIMA REF.","")))))</f>
        <v/>
      </c>
      <c r="AD389" t="str">
        <f ca="1">IF(C389&lt;=CRONO.NivelExibicao,MAX($AD$15:OFFSET(AD389,-1,0))+IF($C389&lt;&gt;1,1,MAX(1,COUNTIF(QCI!$A$13:$A$24,OFFSET($E389,-1,0)))),"")</f>
        <v/>
      </c>
      <c r="AE389" s="7" t="str">
        <f ca="1">IF(AND($C389="S",ORÇAMENTO.CodBarra&lt;&gt;""),IF(ORÇAMENTO.Fonte="",ORÇAMENTO.CodBarra,CONCATENATE(ORÇAMENTO.Fonte," ",ORÇAMENTO.CodBarra)))</f>
        <v>SINAPI 89825</v>
      </c>
      <c r="AF389" s="13" t="str">
        <f ca="1">IF(ISERROR(INDIRECT(ORÇAMENTO.BancoRef)),"(abra o arquivo 'Referência "&amp;Excel_BuiltIn_Database&amp;".xlsm)",IF(OR($C389&lt;&gt;"S",ORÇAMENTO.CodBarra=""),"(Sem Código)",IF(ISERROR(MATCH($AE389,INDIRECT(ORÇAMENTO.BancoRef),0)),"(Código não identificado nas referências)",MATCH($AE389,INDIRECT(ORÇAMENTO.BancoRef),0))))</f>
        <v>(abra o arquivo 'Referência 02-2025.xlsm)</v>
      </c>
      <c r="AG389" s="498">
        <f ca="1">ROUND(IF(DESONERACAO="sim",REFERENCIA.Desonerado,REFERENCIA.NaoDesonerado),2)</f>
        <v>0</v>
      </c>
      <c r="AH389" s="499">
        <f t="shared" ca="1" si="69"/>
        <v>0.22470000000000001</v>
      </c>
      <c r="AJ389" s="501">
        <v>56</v>
      </c>
      <c r="AL389" s="527"/>
      <c r="AM389" s="381">
        <f t="shared" ca="1" si="70"/>
        <v>0</v>
      </c>
      <c r="AN389" s="566">
        <f t="shared" ca="1" si="71"/>
        <v>0</v>
      </c>
    </row>
    <row r="390" spans="1:40" ht="25.5" x14ac:dyDescent="0.2">
      <c r="A390" t="str">
        <f t="shared" si="56"/>
        <v>S</v>
      </c>
      <c r="B390">
        <f t="shared" ca="1" si="57"/>
        <v>3</v>
      </c>
      <c r="C390" t="str">
        <f t="shared" ca="1" si="58"/>
        <v>S</v>
      </c>
      <c r="D390">
        <f t="shared" ca="1" si="59"/>
        <v>0</v>
      </c>
      <c r="E390">
        <f ca="1">IF($C390=1,OFFSET(E390,-1,0)+MAX(1,COUNTIF(QCI!$A$13:$A$24,OFFSET(ORÇAMENTO!E390,-1,0))),OFFSET(E390,-1,0))</f>
        <v>1</v>
      </c>
      <c r="F390">
        <f t="shared" ca="1" si="60"/>
        <v>14</v>
      </c>
      <c r="G390">
        <f t="shared" ca="1" si="61"/>
        <v>4</v>
      </c>
      <c r="H390">
        <f t="shared" ca="1" si="62"/>
        <v>0</v>
      </c>
      <c r="I390">
        <f t="shared" ca="1" si="63"/>
        <v>0</v>
      </c>
      <c r="J390">
        <f t="shared" ca="1" si="90"/>
        <v>0</v>
      </c>
      <c r="K390">
        <f ca="1">IF(OR($C390="S",$C390=0),0,MATCH(OFFSET($D390,0,$C390)+IF($C390&lt;&gt;1,1,COUNTIF(QCI!$A$13:$A$24,ORÇAMENTO!E390)),OFFSET($D390,1,$C390,ROW($C$747)-ROW($C390)),0))</f>
        <v>0</v>
      </c>
      <c r="L390" s="116" t="str">
        <f t="shared" ca="1" si="64"/>
        <v/>
      </c>
      <c r="M390" s="117" t="s">
        <v>199</v>
      </c>
      <c r="N390" s="118" t="str">
        <f t="shared" ca="1" si="65"/>
        <v>Serviço</v>
      </c>
      <c r="O390" s="119" t="str">
        <f t="shared" ca="1" si="66"/>
        <v>-</v>
      </c>
      <c r="P390" s="120" t="s">
        <v>247</v>
      </c>
      <c r="Q390" s="121" t="s">
        <v>590</v>
      </c>
      <c r="R390" s="122" t="str">
        <f ca="1">IF($C390="S",REFERENCIA.Descricao,"(digite a descrição aqui)")</f>
        <v>(abra o arquivo 'Referência 02-2025.xlsm)</v>
      </c>
      <c r="S390" s="123" t="str">
        <f ca="1">REFERENCIA.Unidade</f>
        <v>-</v>
      </c>
      <c r="T390" s="124">
        <f ca="1">OFFSET(CÁLCULO!H$15,ROW($T390)-ROW(T$15),0)</f>
        <v>7</v>
      </c>
      <c r="U390" s="125">
        <f t="shared" ca="1" si="91"/>
        <v>0</v>
      </c>
      <c r="V390" s="126" t="s">
        <v>156</v>
      </c>
      <c r="W390" s="124">
        <f ca="1">IF($C390="S",ROUND(IF(TIPOORCAMENTO="Proposto",ORÇAMENTO.CustoUnitario*(1+$AH390),ORÇAMENTO.PrecoUnitarioLicitado),15-13*$AF$10),0)</f>
        <v>0</v>
      </c>
      <c r="X390" s="127">
        <f ca="1">IF($C390="S",IF(Import.TipoArredondamento&lt;&gt;"TransfereGOV",VTOTAL1,SUM(OFFSET(CÁLCULO!$AA$15,ROW($X390)-ROW($X$15),1):OFFSET(CÁLCULO!$AL$15,ROW($X390)-ROW($X$15),-1))),IF($C390=0,0,ROUND(SomaAgrup,15-13*$AF$11)))</f>
        <v>0</v>
      </c>
      <c r="Y390" s="128" t="s">
        <v>245</v>
      </c>
      <c r="Z390" t="str">
        <f t="shared" ca="1" si="67"/>
        <v/>
      </c>
      <c r="AA390" s="129">
        <f ca="1">IF($C390="S",IF($Z390="CP",$X390,IF($Z390="RA",(($X390)*QCI!$AA$3),0)),SomaAgrup)</f>
        <v>0</v>
      </c>
      <c r="AB390" s="130">
        <f t="shared" ca="1" si="68"/>
        <v>0</v>
      </c>
      <c r="AC390" s="131" t="str">
        <f ca="1">IF($N390="","",IF(ORÇAMENTO.Descricao="","DESCRIÇÃO",IF(AND($C390="S",ORÇAMENTO.Unidade=""),"UNIDADE",IF($X390&lt;0,"VALOR NEGATIVO",IF(OR(AND(TIPOORCAMENTO="Proposto",$AG390&lt;&gt;"",$AG390&gt;0,ORÇAMENTO.CustoUnitario&gt;$AG390),AND(TIPOORCAMENTO="LICITADO",ORÇAMENTO.PrecoUnitarioLicitado&gt;$AN390)),"ACIMA REF.","")))))</f>
        <v/>
      </c>
      <c r="AD390" t="str">
        <f ca="1">IF(C390&lt;=CRONO.NivelExibicao,MAX($AD$15:OFFSET(AD390,-1,0))+IF($C390&lt;&gt;1,1,MAX(1,COUNTIF(QCI!$A$13:$A$24,OFFSET($E390,-1,0)))),"")</f>
        <v/>
      </c>
      <c r="AE390" s="7" t="str">
        <f ca="1">IF(AND($C390="S",ORÇAMENTO.CodBarra&lt;&gt;""),IF(ORÇAMENTO.Fonte="",ORÇAMENTO.CodBarra,CONCATENATE(ORÇAMENTO.Fonte," ",ORÇAMENTO.CodBarra)))</f>
        <v>SINAPI 89630</v>
      </c>
      <c r="AF390" s="13" t="str">
        <f ca="1">IF(ISERROR(INDIRECT(ORÇAMENTO.BancoRef)),"(abra o arquivo 'Referência "&amp;Excel_BuiltIn_Database&amp;".xlsm)",IF(OR($C390&lt;&gt;"S",ORÇAMENTO.CodBarra=""),"(Sem Código)",IF(ISERROR(MATCH($AE390,INDIRECT(ORÇAMENTO.BancoRef),0)),"(Código não identificado nas referências)",MATCH($AE390,INDIRECT(ORÇAMENTO.BancoRef),0))))</f>
        <v>(abra o arquivo 'Referência 02-2025.xlsm)</v>
      </c>
      <c r="AG390" s="498">
        <f ca="1">ROUND(IF(DESONERACAO="sim",REFERENCIA.Desonerado,REFERENCIA.NaoDesonerado),2)</f>
        <v>0</v>
      </c>
      <c r="AH390" s="499">
        <f t="shared" ca="1" si="69"/>
        <v>0.22470000000000001</v>
      </c>
      <c r="AJ390" s="501">
        <v>7</v>
      </c>
      <c r="AL390" s="527"/>
      <c r="AM390" s="381">
        <f t="shared" ca="1" si="70"/>
        <v>0</v>
      </c>
      <c r="AN390" s="566">
        <f t="shared" ca="1" si="71"/>
        <v>0</v>
      </c>
    </row>
    <row r="391" spans="1:40" x14ac:dyDescent="0.2">
      <c r="A391">
        <f t="shared" si="56"/>
        <v>2</v>
      </c>
      <c r="B391">
        <f t="shared" ca="1" si="57"/>
        <v>2</v>
      </c>
      <c r="C391">
        <f t="shared" ca="1" si="58"/>
        <v>2</v>
      </c>
      <c r="D391">
        <f t="shared" ca="1" si="59"/>
        <v>35</v>
      </c>
      <c r="E391">
        <f ca="1">IF($C391=1,OFFSET(E391,-1,0)+MAX(1,COUNTIF(QCI!$A$13:$A$24,OFFSET(ORÇAMENTO!E391,-1,0))),OFFSET(E391,-1,0))</f>
        <v>1</v>
      </c>
      <c r="F391">
        <f t="shared" ca="1" si="60"/>
        <v>15</v>
      </c>
      <c r="G391">
        <f t="shared" ca="1" si="61"/>
        <v>0</v>
      </c>
      <c r="H391">
        <f t="shared" ca="1" si="62"/>
        <v>0</v>
      </c>
      <c r="I391">
        <f t="shared" ca="1" si="63"/>
        <v>0</v>
      </c>
      <c r="J391">
        <f t="shared" ca="1" si="90"/>
        <v>356</v>
      </c>
      <c r="K391">
        <f ca="1">IF(OR($C391="S",$C391=0),0,MATCH(OFFSET($D391,0,$C391)+IF($C391&lt;&gt;1,1,COUNTIF(QCI!$A$13:$A$24,ORÇAMENTO!E391)),OFFSET($D391,1,$C391,ROW($C$747)-ROW($C391)),0))</f>
        <v>35</v>
      </c>
      <c r="L391" s="116" t="str">
        <f t="shared" ca="1" si="64"/>
        <v>F</v>
      </c>
      <c r="M391" s="117" t="s">
        <v>196</v>
      </c>
      <c r="N391" s="118" t="str">
        <f t="shared" ca="1" si="65"/>
        <v>Nível 2</v>
      </c>
      <c r="O391" s="119" t="str">
        <f t="shared" ca="1" si="66"/>
        <v>1.15.</v>
      </c>
      <c r="P391" s="120" t="s">
        <v>247</v>
      </c>
      <c r="Q391" s="121"/>
      <c r="R391" s="122" t="str">
        <f ca="1">IF($C391="S",REFERENCIA.Descricao,"LOUÇAS, ACESSÓRIOS E METAIS")</f>
        <v>LOUÇAS, ACESSÓRIOS E METAIS</v>
      </c>
      <c r="S391" s="123" t="str">
        <f ca="1">REFERENCIA.Unidade</f>
        <v>-</v>
      </c>
      <c r="T391" s="124">
        <f ca="1">OFFSET(CÁLCULO!H$15,ROW($T391)-ROW(T$15),0)</f>
        <v>0</v>
      </c>
      <c r="U391" s="125">
        <f t="shared" ca="1" si="91"/>
        <v>0</v>
      </c>
      <c r="V391" s="126" t="s">
        <v>156</v>
      </c>
      <c r="W391" s="124">
        <f ca="1">IF($C391="S",ROUND(IF(TIPOORCAMENTO="Proposto",ORÇAMENTO.CustoUnitario*(1+$AH391),ORÇAMENTO.PrecoUnitarioLicitado),15-13*$AF$10),0)</f>
        <v>0</v>
      </c>
      <c r="X391" s="127">
        <f ca="1">IF($C391="S",IF(Import.TipoArredondamento&lt;&gt;"TransfereGOV",VTOTAL1,SUM(OFFSET(CÁLCULO!$AA$15,ROW($X391)-ROW($X$15),1):OFFSET(CÁLCULO!$AL$15,ROW($X391)-ROW($X$15),-1))),IF($C391=0,0,ROUND(SomaAgrup,15-13*$AF$11)))</f>
        <v>0</v>
      </c>
      <c r="Y391" s="128" t="s">
        <v>245</v>
      </c>
      <c r="Z391" t="str">
        <f t="shared" ca="1" si="67"/>
        <v/>
      </c>
      <c r="AA391" s="129">
        <f ca="1">IF($C391="S",IF($Z391="CP",$X391,IF($Z391="RA",(($X391)*QCI!$AA$3),0)),SomaAgrup)</f>
        <v>0</v>
      </c>
      <c r="AB391" s="130">
        <f t="shared" ca="1" si="68"/>
        <v>0</v>
      </c>
      <c r="AC391" s="131" t="str">
        <f ca="1">IF($N391="","",IF(ORÇAMENTO.Descricao="","DESCRIÇÃO",IF(AND($C391="S",ORÇAMENTO.Unidade=""),"UNIDADE",IF($X391&lt;0,"VALOR NEGATIVO",IF(OR(AND(TIPOORCAMENTO="Proposto",$AG391&lt;&gt;"",$AG391&gt;0,ORÇAMENTO.CustoUnitario&gt;$AG391),AND(TIPOORCAMENTO="LICITADO",ORÇAMENTO.PrecoUnitarioLicitado&gt;$AN391)),"ACIMA REF.","")))))</f>
        <v/>
      </c>
      <c r="AD391">
        <f ca="1">IF(C391&lt;=CRONO.NivelExibicao,MAX($AD$15:OFFSET(AD391,-1,0))+IF($C391&lt;&gt;1,1,MAX(1,COUNTIF(QCI!$A$13:$A$24,OFFSET($E391,-1,0)))),"")</f>
        <v>16</v>
      </c>
      <c r="AE391" s="7" t="b">
        <f ca="1">IF(AND($C391="S",ORÇAMENTO.CodBarra&lt;&gt;""),IF(ORÇAMENTO.Fonte="",ORÇAMENTO.CodBarra,CONCATENATE(ORÇAMENTO.Fonte," ",ORÇAMENTO.CodBarra)))</f>
        <v>0</v>
      </c>
      <c r="AF391" s="13" t="str">
        <f ca="1">IF(ISERROR(INDIRECT(ORÇAMENTO.BancoRef)),"(abra o arquivo 'Referência "&amp;Excel_BuiltIn_Database&amp;".xlsm)",IF(OR($C391&lt;&gt;"S",ORÇAMENTO.CodBarra=""),"(Sem Código)",IF(ISERROR(MATCH($AE391,INDIRECT(ORÇAMENTO.BancoRef),0)),"(Código não identificado nas referências)",MATCH($AE391,INDIRECT(ORÇAMENTO.BancoRef),0))))</f>
        <v>(abra o arquivo 'Referência 02-2025.xlsm)</v>
      </c>
      <c r="AG391" s="498">
        <f ca="1">ROUND(IF(DESONERACAO="sim",REFERENCIA.Desonerado,REFERENCIA.NaoDesonerado),2)</f>
        <v>0</v>
      </c>
      <c r="AH391" s="499">
        <f t="shared" ca="1" si="69"/>
        <v>0.22470000000000001</v>
      </c>
      <c r="AJ391" s="501"/>
      <c r="AL391" s="527"/>
      <c r="AM391" s="381">
        <f t="shared" ca="1" si="70"/>
        <v>0</v>
      </c>
      <c r="AN391" s="566">
        <f t="shared" ca="1" si="71"/>
        <v>0</v>
      </c>
    </row>
    <row r="392" spans="1:40" ht="38.25" x14ac:dyDescent="0.2">
      <c r="A392" t="str">
        <f t="shared" si="56"/>
        <v>S</v>
      </c>
      <c r="B392">
        <f t="shared" ca="1" si="57"/>
        <v>2</v>
      </c>
      <c r="C392" t="str">
        <f t="shared" ca="1" si="58"/>
        <v>S</v>
      </c>
      <c r="D392">
        <f t="shared" ca="1" si="59"/>
        <v>0</v>
      </c>
      <c r="E392">
        <f ca="1">IF($C392=1,OFFSET(E392,-1,0)+MAX(1,COUNTIF(QCI!$A$13:$A$24,OFFSET(ORÇAMENTO!E392,-1,0))),OFFSET(E392,-1,0))</f>
        <v>1</v>
      </c>
      <c r="F392">
        <f t="shared" ca="1" si="60"/>
        <v>15</v>
      </c>
      <c r="G392">
        <f t="shared" ca="1" si="61"/>
        <v>0</v>
      </c>
      <c r="H392">
        <f t="shared" ca="1" si="62"/>
        <v>0</v>
      </c>
      <c r="I392">
        <f t="shared" ca="1" si="63"/>
        <v>0</v>
      </c>
      <c r="J392">
        <f t="shared" ca="1" si="90"/>
        <v>0</v>
      </c>
      <c r="K392">
        <f ca="1">IF(OR($C392="S",$C392=0),0,MATCH(OFFSET($D392,0,$C392)+IF($C392&lt;&gt;1,1,COUNTIF(QCI!$A$13:$A$24,ORÇAMENTO!E392)),OFFSET($D392,1,$C392,ROW($C$747)-ROW($C392)),0))</f>
        <v>0</v>
      </c>
      <c r="L392" s="116" t="str">
        <f t="shared" ca="1" si="64"/>
        <v/>
      </c>
      <c r="M392" s="117" t="s">
        <v>199</v>
      </c>
      <c r="N392" s="118" t="str">
        <f t="shared" ca="1" si="65"/>
        <v>Serviço</v>
      </c>
      <c r="O392" s="119" t="str">
        <f t="shared" ca="1" si="66"/>
        <v>-</v>
      </c>
      <c r="P392" s="120" t="s">
        <v>247</v>
      </c>
      <c r="Q392" s="121" t="s">
        <v>591</v>
      </c>
      <c r="R392" s="122" t="str">
        <f ca="1">IF($C392="S",REFERENCIA.Descricao,"(digite a descrição aqui)")</f>
        <v>(abra o arquivo 'Referência 02-2025.xlsm)</v>
      </c>
      <c r="S392" s="123" t="str">
        <f ca="1">REFERENCIA.Unidade</f>
        <v>-</v>
      </c>
      <c r="T392" s="124">
        <f ca="1">OFFSET(CÁLCULO!H$15,ROW($T392)-ROW(T$15),0)</f>
        <v>6</v>
      </c>
      <c r="U392" s="125">
        <f t="shared" ca="1" si="91"/>
        <v>0</v>
      </c>
      <c r="V392" s="126" t="s">
        <v>156</v>
      </c>
      <c r="W392" s="124">
        <f ca="1">IF($C392="S",ROUND(IF(TIPOORCAMENTO="Proposto",ORÇAMENTO.CustoUnitario*(1+$AH392),ORÇAMENTO.PrecoUnitarioLicitado),15-13*$AF$10),0)</f>
        <v>0</v>
      </c>
      <c r="X392" s="127">
        <f ca="1">IF($C392="S",IF(Import.TipoArredondamento&lt;&gt;"TransfereGOV",VTOTAL1,SUM(OFFSET(CÁLCULO!$AA$15,ROW($X392)-ROW($X$15),1):OFFSET(CÁLCULO!$AL$15,ROW($X392)-ROW($X$15),-1))),IF($C392=0,0,ROUND(SomaAgrup,15-13*$AF$11)))</f>
        <v>0</v>
      </c>
      <c r="Y392" s="128" t="s">
        <v>245</v>
      </c>
      <c r="Z392" t="str">
        <f t="shared" ca="1" si="67"/>
        <v/>
      </c>
      <c r="AA392" s="129">
        <f ca="1">IF($C392="S",IF($Z392="CP",$X392,IF($Z392="RA",(($X392)*QCI!$AA$3),0)),SomaAgrup)</f>
        <v>0</v>
      </c>
      <c r="AB392" s="130">
        <f t="shared" ca="1" si="68"/>
        <v>0</v>
      </c>
      <c r="AC392" s="131" t="str">
        <f ca="1">IF($N392="","",IF(ORÇAMENTO.Descricao="","DESCRIÇÃO",IF(AND($C392="S",ORÇAMENTO.Unidade=""),"UNIDADE",IF($X392&lt;0,"VALOR NEGATIVO",IF(OR(AND(TIPOORCAMENTO="Proposto",$AG392&lt;&gt;"",$AG392&gt;0,ORÇAMENTO.CustoUnitario&gt;$AG392),AND(TIPOORCAMENTO="LICITADO",ORÇAMENTO.PrecoUnitarioLicitado&gt;$AN392)),"ACIMA REF.","")))))</f>
        <v/>
      </c>
      <c r="AD392" t="str">
        <f ca="1">IF(C392&lt;=CRONO.NivelExibicao,MAX($AD$15:OFFSET(AD392,-1,0))+IF($C392&lt;&gt;1,1,MAX(1,COUNTIF(QCI!$A$13:$A$24,OFFSET($E392,-1,0)))),"")</f>
        <v/>
      </c>
      <c r="AE392" s="7" t="str">
        <f ca="1">IF(AND($C392="S",ORÇAMENTO.CodBarra&lt;&gt;""),IF(ORÇAMENTO.Fonte="",ORÇAMENTO.CodBarra,CONCATENATE(ORÇAMENTO.Fonte," ",ORÇAMENTO.CodBarra)))</f>
        <v>SINAPI 95470</v>
      </c>
      <c r="AF392" s="13" t="str">
        <f ca="1">IF(ISERROR(INDIRECT(ORÇAMENTO.BancoRef)),"(abra o arquivo 'Referência "&amp;Excel_BuiltIn_Database&amp;".xlsm)",IF(OR($C392&lt;&gt;"S",ORÇAMENTO.CodBarra=""),"(Sem Código)",IF(ISERROR(MATCH($AE392,INDIRECT(ORÇAMENTO.BancoRef),0)),"(Código não identificado nas referências)",MATCH($AE392,INDIRECT(ORÇAMENTO.BancoRef),0))))</f>
        <v>(abra o arquivo 'Referência 02-2025.xlsm)</v>
      </c>
      <c r="AG392" s="498">
        <f ca="1">ROUND(IF(DESONERACAO="sim",REFERENCIA.Desonerado,REFERENCIA.NaoDesonerado),2)</f>
        <v>0</v>
      </c>
      <c r="AH392" s="499">
        <f t="shared" ca="1" si="69"/>
        <v>0.22470000000000001</v>
      </c>
      <c r="AJ392" s="501">
        <v>6</v>
      </c>
      <c r="AL392" s="527"/>
      <c r="AM392" s="381">
        <f t="shared" ca="1" si="70"/>
        <v>0</v>
      </c>
      <c r="AN392" s="566">
        <f t="shared" ca="1" si="71"/>
        <v>0</v>
      </c>
    </row>
    <row r="393" spans="1:40" ht="25.5" x14ac:dyDescent="0.2">
      <c r="A393" t="str">
        <f t="shared" si="56"/>
        <v>S</v>
      </c>
      <c r="B393">
        <f t="shared" ca="1" si="57"/>
        <v>2</v>
      </c>
      <c r="C393" t="str">
        <f t="shared" ca="1" si="58"/>
        <v>S</v>
      </c>
      <c r="D393">
        <f t="shared" ca="1" si="59"/>
        <v>0</v>
      </c>
      <c r="E393">
        <f ca="1">IF($C393=1,OFFSET(E393,-1,0)+MAX(1,COUNTIF(QCI!$A$13:$A$24,OFFSET(ORÇAMENTO!E393,-1,0))),OFFSET(E393,-1,0))</f>
        <v>1</v>
      </c>
      <c r="F393">
        <f t="shared" ca="1" si="60"/>
        <v>15</v>
      </c>
      <c r="G393">
        <f t="shared" ca="1" si="61"/>
        <v>0</v>
      </c>
      <c r="H393">
        <f t="shared" ca="1" si="62"/>
        <v>0</v>
      </c>
      <c r="I393">
        <f t="shared" ca="1" si="63"/>
        <v>0</v>
      </c>
      <c r="J393">
        <f t="shared" ref="J393:J456" ca="1" si="108">IF(OR($C393="S",$C393=0),0,MATCH(0,OFFSET($D393,1,$C393,ROW($C$747)-ROW($C393)),0))</f>
        <v>0</v>
      </c>
      <c r="K393">
        <f ca="1">IF(OR($C393="S",$C393=0),0,MATCH(OFFSET($D393,0,$C393)+IF($C393&lt;&gt;1,1,COUNTIF(QCI!$A$13:$A$24,ORÇAMENTO!E393)),OFFSET($D393,1,$C393,ROW($C$747)-ROW($C393)),0))</f>
        <v>0</v>
      </c>
      <c r="L393" s="116" t="str">
        <f t="shared" ca="1" si="64"/>
        <v/>
      </c>
      <c r="M393" s="117" t="s">
        <v>199</v>
      </c>
      <c r="N393" s="118" t="str">
        <f t="shared" ca="1" si="65"/>
        <v>Serviço</v>
      </c>
      <c r="O393" s="119" t="str">
        <f t="shared" ca="1" si="66"/>
        <v>-</v>
      </c>
      <c r="P393" s="120" t="s">
        <v>247</v>
      </c>
      <c r="Q393" s="121" t="s">
        <v>592</v>
      </c>
      <c r="R393" s="122" t="str">
        <f ca="1">IF($C393="S",REFERENCIA.Descricao,"(digite a descrição aqui)")</f>
        <v>(abra o arquivo 'Referência 02-2025.xlsm)</v>
      </c>
      <c r="S393" s="123" t="str">
        <f ca="1">REFERENCIA.Unidade</f>
        <v>-</v>
      </c>
      <c r="T393" s="124">
        <f ca="1">OFFSET(CÁLCULO!H$15,ROW($T393)-ROW(T$15),0)</f>
        <v>18</v>
      </c>
      <c r="U393" s="125">
        <f t="shared" ca="1" si="91"/>
        <v>0</v>
      </c>
      <c r="V393" s="126" t="s">
        <v>156</v>
      </c>
      <c r="W393" s="124">
        <f ca="1">IF($C393="S",ROUND(IF(TIPOORCAMENTO="Proposto",ORÇAMENTO.CustoUnitario*(1+$AH393),ORÇAMENTO.PrecoUnitarioLicitado),15-13*$AF$10),0)</f>
        <v>0</v>
      </c>
      <c r="X393" s="127">
        <f ca="1">IF($C393="S",IF(Import.TipoArredondamento&lt;&gt;"TransfereGOV",VTOTAL1,SUM(OFFSET(CÁLCULO!$AA$15,ROW($X393)-ROW($X$15),1):OFFSET(CÁLCULO!$AL$15,ROW($X393)-ROW($X$15),-1))),IF($C393=0,0,ROUND(SomaAgrup,15-13*$AF$11)))</f>
        <v>0</v>
      </c>
      <c r="Y393" s="128" t="s">
        <v>245</v>
      </c>
      <c r="Z393" t="str">
        <f t="shared" ca="1" si="67"/>
        <v/>
      </c>
      <c r="AA393" s="129">
        <f ca="1">IF($C393="S",IF($Z393="CP",$X393,IF($Z393="RA",(($X393)*QCI!$AA$3),0)),SomaAgrup)</f>
        <v>0</v>
      </c>
      <c r="AB393" s="130">
        <f t="shared" ca="1" si="68"/>
        <v>0</v>
      </c>
      <c r="AC393" s="131" t="str">
        <f ca="1">IF($N393="","",IF(ORÇAMENTO.Descricao="","DESCRIÇÃO",IF(AND($C393="S",ORÇAMENTO.Unidade=""),"UNIDADE",IF($X393&lt;0,"VALOR NEGATIVO",IF(OR(AND(TIPOORCAMENTO="Proposto",$AG393&lt;&gt;"",$AG393&gt;0,ORÇAMENTO.CustoUnitario&gt;$AG393),AND(TIPOORCAMENTO="LICITADO",ORÇAMENTO.PrecoUnitarioLicitado&gt;$AN393)),"ACIMA REF.","")))))</f>
        <v/>
      </c>
      <c r="AD393" t="str">
        <f ca="1">IF(C393&lt;=CRONO.NivelExibicao,MAX($AD$15:OFFSET(AD393,-1,0))+IF($C393&lt;&gt;1,1,MAX(1,COUNTIF(QCI!$A$13:$A$24,OFFSET($E393,-1,0)))),"")</f>
        <v/>
      </c>
      <c r="AE393" s="7" t="str">
        <f ca="1">IF(AND($C393="S",ORÇAMENTO.CodBarra&lt;&gt;""),IF(ORÇAMENTO.Fonte="",ORÇAMENTO.CodBarra,CONCATENATE(ORÇAMENTO.Fonte," ",ORÇAMENTO.CodBarra)))</f>
        <v>SINAPI 100848</v>
      </c>
      <c r="AF393" s="13" t="str">
        <f ca="1">IF(ISERROR(INDIRECT(ORÇAMENTO.BancoRef)),"(abra o arquivo 'Referência "&amp;Excel_BuiltIn_Database&amp;".xlsm)",IF(OR($C393&lt;&gt;"S",ORÇAMENTO.CodBarra=""),"(Sem Código)",IF(ISERROR(MATCH($AE393,INDIRECT(ORÇAMENTO.BancoRef),0)),"(Código não identificado nas referências)",MATCH($AE393,INDIRECT(ORÇAMENTO.BancoRef),0))))</f>
        <v>(abra o arquivo 'Referência 02-2025.xlsm)</v>
      </c>
      <c r="AG393" s="498">
        <f ca="1">ROUND(IF(DESONERACAO="sim",REFERENCIA.Desonerado,REFERENCIA.NaoDesonerado),2)</f>
        <v>0</v>
      </c>
      <c r="AH393" s="499">
        <f t="shared" ca="1" si="69"/>
        <v>0.22470000000000001</v>
      </c>
      <c r="AJ393" s="501">
        <v>18</v>
      </c>
      <c r="AL393" s="527"/>
      <c r="AM393" s="381">
        <f t="shared" ca="1" si="70"/>
        <v>0</v>
      </c>
      <c r="AN393" s="566">
        <f t="shared" ca="1" si="71"/>
        <v>0</v>
      </c>
    </row>
    <row r="394" spans="1:40" ht="25.5" x14ac:dyDescent="0.2">
      <c r="A394" t="str">
        <f t="shared" si="56"/>
        <v>S</v>
      </c>
      <c r="B394">
        <f t="shared" ca="1" si="57"/>
        <v>2</v>
      </c>
      <c r="C394" t="str">
        <f t="shared" ca="1" si="58"/>
        <v>S</v>
      </c>
      <c r="D394">
        <f t="shared" ca="1" si="59"/>
        <v>0</v>
      </c>
      <c r="E394">
        <f ca="1">IF($C394=1,OFFSET(E394,-1,0)+MAX(1,COUNTIF(QCI!$A$13:$A$24,OFFSET(ORÇAMENTO!E394,-1,0))),OFFSET(E394,-1,0))</f>
        <v>1</v>
      </c>
      <c r="F394">
        <f t="shared" ca="1" si="60"/>
        <v>15</v>
      </c>
      <c r="G394">
        <f t="shared" ca="1" si="61"/>
        <v>0</v>
      </c>
      <c r="H394">
        <f t="shared" ca="1" si="62"/>
        <v>0</v>
      </c>
      <c r="I394">
        <f t="shared" ca="1" si="63"/>
        <v>0</v>
      </c>
      <c r="J394">
        <f t="shared" ca="1" si="108"/>
        <v>0</v>
      </c>
      <c r="K394">
        <f ca="1">IF(OR($C394="S",$C394=0),0,MATCH(OFFSET($D394,0,$C394)+IF($C394&lt;&gt;1,1,COUNTIF(QCI!$A$13:$A$24,ORÇAMENTO!E394)),OFFSET($D394,1,$C394,ROW($C$747)-ROW($C394)),0))</f>
        <v>0</v>
      </c>
      <c r="L394" s="116" t="str">
        <f t="shared" ca="1" si="64"/>
        <v/>
      </c>
      <c r="M394" s="117" t="s">
        <v>199</v>
      </c>
      <c r="N394" s="118" t="str">
        <f t="shared" ca="1" si="65"/>
        <v>Serviço</v>
      </c>
      <c r="O394" s="119" t="str">
        <f t="shared" ca="1" si="66"/>
        <v>-</v>
      </c>
      <c r="P394" s="120" t="s">
        <v>247</v>
      </c>
      <c r="Q394" s="121" t="s">
        <v>593</v>
      </c>
      <c r="R394" s="122" t="str">
        <f ca="1">IF($C394="S",REFERENCIA.Descricao,"(digite a descrição aqui)")</f>
        <v>(abra o arquivo 'Referência 02-2025.xlsm)</v>
      </c>
      <c r="S394" s="123" t="str">
        <f ca="1">REFERENCIA.Unidade</f>
        <v>-</v>
      </c>
      <c r="T394" s="124">
        <f ca="1">OFFSET(CÁLCULO!H$15,ROW($T394)-ROW(T$15),0)</f>
        <v>6</v>
      </c>
      <c r="U394" s="125">
        <f t="shared" ca="1" si="91"/>
        <v>0</v>
      </c>
      <c r="V394" s="126" t="s">
        <v>156</v>
      </c>
      <c r="W394" s="124">
        <f ca="1">IF($C394="S",ROUND(IF(TIPOORCAMENTO="Proposto",ORÇAMENTO.CustoUnitario*(1+$AH394),ORÇAMENTO.PrecoUnitarioLicitado),15-13*$AF$10),0)</f>
        <v>0</v>
      </c>
      <c r="X394" s="127">
        <f ca="1">IF($C394="S",IF(Import.TipoArredondamento&lt;&gt;"TransfereGOV",VTOTAL1,SUM(OFFSET(CÁLCULO!$AA$15,ROW($X394)-ROW($X$15),1):OFFSET(CÁLCULO!$AL$15,ROW($X394)-ROW($X$15),-1))),IF($C394=0,0,ROUND(SomaAgrup,15-13*$AF$11)))</f>
        <v>0</v>
      </c>
      <c r="Y394" s="128" t="s">
        <v>245</v>
      </c>
      <c r="Z394" t="str">
        <f t="shared" ca="1" si="67"/>
        <v/>
      </c>
      <c r="AA394" s="129">
        <f ca="1">IF($C394="S",IF($Z394="CP",$X394,IF($Z394="RA",(($X394)*QCI!$AA$3),0)),SomaAgrup)</f>
        <v>0</v>
      </c>
      <c r="AB394" s="130">
        <f t="shared" ca="1" si="68"/>
        <v>0</v>
      </c>
      <c r="AC394" s="131" t="str">
        <f ca="1">IF($N394="","",IF(ORÇAMENTO.Descricao="","DESCRIÇÃO",IF(AND($C394="S",ORÇAMENTO.Unidade=""),"UNIDADE",IF($X394&lt;0,"VALOR NEGATIVO",IF(OR(AND(TIPOORCAMENTO="Proposto",$AG394&lt;&gt;"",$AG394&gt;0,ORÇAMENTO.CustoUnitario&gt;$AG394),AND(TIPOORCAMENTO="LICITADO",ORÇAMENTO.PrecoUnitarioLicitado&gt;$AN394)),"ACIMA REF.","")))))</f>
        <v/>
      </c>
      <c r="AD394" t="str">
        <f ca="1">IF(C394&lt;=CRONO.NivelExibicao,MAX($AD$15:OFFSET(AD394,-1,0))+IF($C394&lt;&gt;1,1,MAX(1,COUNTIF(QCI!$A$13:$A$24,OFFSET($E394,-1,0)))),"")</f>
        <v/>
      </c>
      <c r="AE394" s="7" t="str">
        <f ca="1">IF(AND($C394="S",ORÇAMENTO.CodBarra&lt;&gt;""),IF(ORÇAMENTO.Fonte="",ORÇAMENTO.CodBarra,CONCATENATE(ORÇAMENTO.Fonte," ",ORÇAMENTO.CodBarra)))</f>
        <v>SINAPI 100849</v>
      </c>
      <c r="AF394" s="13" t="str">
        <f ca="1">IF(ISERROR(INDIRECT(ORÇAMENTO.BancoRef)),"(abra o arquivo 'Referência "&amp;Excel_BuiltIn_Database&amp;".xlsm)",IF(OR($C394&lt;&gt;"S",ORÇAMENTO.CodBarra=""),"(Sem Código)",IF(ISERROR(MATCH($AE394,INDIRECT(ORÇAMENTO.BancoRef),0)),"(Código não identificado nas referências)",MATCH($AE394,INDIRECT(ORÇAMENTO.BancoRef),0))))</f>
        <v>(abra o arquivo 'Referência 02-2025.xlsm)</v>
      </c>
      <c r="AG394" s="498">
        <f ca="1">ROUND(IF(DESONERACAO="sim",REFERENCIA.Desonerado,REFERENCIA.NaoDesonerado),2)</f>
        <v>0</v>
      </c>
      <c r="AH394" s="499">
        <f t="shared" ca="1" si="69"/>
        <v>0.22470000000000001</v>
      </c>
      <c r="AJ394" s="501">
        <v>6</v>
      </c>
      <c r="AL394" s="527"/>
      <c r="AM394" s="381">
        <f t="shared" ca="1" si="70"/>
        <v>0</v>
      </c>
      <c r="AN394" s="566">
        <f t="shared" ca="1" si="71"/>
        <v>0</v>
      </c>
    </row>
    <row r="395" spans="1:40" ht="25.5" x14ac:dyDescent="0.2">
      <c r="A395" t="str">
        <f t="shared" si="56"/>
        <v>S</v>
      </c>
      <c r="B395">
        <f t="shared" ca="1" si="57"/>
        <v>2</v>
      </c>
      <c r="C395" t="str">
        <f t="shared" ca="1" si="58"/>
        <v>S</v>
      </c>
      <c r="D395">
        <f t="shared" ca="1" si="59"/>
        <v>0</v>
      </c>
      <c r="E395">
        <f ca="1">IF($C395=1,OFFSET(E395,-1,0)+MAX(1,COUNTIF(QCI!$A$13:$A$24,OFFSET(ORÇAMENTO!E395,-1,0))),OFFSET(E395,-1,0))</f>
        <v>1</v>
      </c>
      <c r="F395">
        <f t="shared" ca="1" si="60"/>
        <v>15</v>
      </c>
      <c r="G395">
        <f t="shared" ca="1" si="61"/>
        <v>0</v>
      </c>
      <c r="H395">
        <f t="shared" ca="1" si="62"/>
        <v>0</v>
      </c>
      <c r="I395">
        <f t="shared" ca="1" si="63"/>
        <v>0</v>
      </c>
      <c r="J395">
        <f t="shared" ca="1" si="108"/>
        <v>0</v>
      </c>
      <c r="K395">
        <f ca="1">IF(OR($C395="S",$C395=0),0,MATCH(OFFSET($D395,0,$C395)+IF($C395&lt;&gt;1,1,COUNTIF(QCI!$A$13:$A$24,ORÇAMENTO!E395)),OFFSET($D395,1,$C395,ROW($C$747)-ROW($C395)),0))</f>
        <v>0</v>
      </c>
      <c r="L395" s="116" t="str">
        <f t="shared" ca="1" si="64"/>
        <v/>
      </c>
      <c r="M395" s="117" t="s">
        <v>199</v>
      </c>
      <c r="N395" s="118" t="str">
        <f t="shared" ca="1" si="65"/>
        <v>Serviço</v>
      </c>
      <c r="O395" s="119" t="str">
        <f t="shared" ca="1" si="66"/>
        <v>-</v>
      </c>
      <c r="P395" s="120" t="s">
        <v>247</v>
      </c>
      <c r="Q395" s="121" t="s">
        <v>594</v>
      </c>
      <c r="R395" s="122" t="str">
        <f ca="1">IF($C395="S",REFERENCIA.Descricao,"(digite a descrição aqui)")</f>
        <v>(abra o arquivo 'Referência 02-2025.xlsm)</v>
      </c>
      <c r="S395" s="123" t="str">
        <f ca="1">REFERENCIA.Unidade</f>
        <v>-</v>
      </c>
      <c r="T395" s="124">
        <f ca="1">OFFSET(CÁLCULO!H$15,ROW($T395)-ROW(T$15),0)</f>
        <v>18</v>
      </c>
      <c r="U395" s="125">
        <f t="shared" ca="1" si="91"/>
        <v>0</v>
      </c>
      <c r="V395" s="126" t="s">
        <v>156</v>
      </c>
      <c r="W395" s="124">
        <f ca="1">IF($C395="S",ROUND(IF(TIPOORCAMENTO="Proposto",ORÇAMENTO.CustoUnitario*(1+$AH395),ORÇAMENTO.PrecoUnitarioLicitado),15-13*$AF$10),0)</f>
        <v>0</v>
      </c>
      <c r="X395" s="127">
        <f ca="1">IF($C395="S",IF(Import.TipoArredondamento&lt;&gt;"TransfereGOV",VTOTAL1,SUM(OFFSET(CÁLCULO!$AA$15,ROW($X395)-ROW($X$15),1):OFFSET(CÁLCULO!$AL$15,ROW($X395)-ROW($X$15),-1))),IF($C395=0,0,ROUND(SomaAgrup,15-13*$AF$11)))</f>
        <v>0</v>
      </c>
      <c r="Y395" s="128" t="s">
        <v>245</v>
      </c>
      <c r="Z395" t="str">
        <f t="shared" ca="1" si="67"/>
        <v/>
      </c>
      <c r="AA395" s="129">
        <f ca="1">IF($C395="S",IF($Z395="CP",$X395,IF($Z395="RA",(($X395)*QCI!$AA$3),0)),SomaAgrup)</f>
        <v>0</v>
      </c>
      <c r="AB395" s="130">
        <f t="shared" ca="1" si="68"/>
        <v>0</v>
      </c>
      <c r="AC395" s="131" t="str">
        <f ca="1">IF($N395="","",IF(ORÇAMENTO.Descricao="","DESCRIÇÃO",IF(AND($C395="S",ORÇAMENTO.Unidade=""),"UNIDADE",IF($X395&lt;0,"VALOR NEGATIVO",IF(OR(AND(TIPOORCAMENTO="Proposto",$AG395&lt;&gt;"",$AG395&gt;0,ORÇAMENTO.CustoUnitario&gt;$AG395),AND(TIPOORCAMENTO="LICITADO",ORÇAMENTO.PrecoUnitarioLicitado&gt;$AN395)),"ACIMA REF.","")))))</f>
        <v/>
      </c>
      <c r="AD395" t="str">
        <f ca="1">IF(C395&lt;=CRONO.NivelExibicao,MAX($AD$15:OFFSET(AD395,-1,0))+IF($C395&lt;&gt;1,1,MAX(1,COUNTIF(QCI!$A$13:$A$24,OFFSET($E395,-1,0)))),"")</f>
        <v/>
      </c>
      <c r="AE395" s="7" t="str">
        <f ca="1">IF(AND($C395="S",ORÇAMENTO.CodBarra&lt;&gt;""),IF(ORÇAMENTO.Fonte="",ORÇAMENTO.CodBarra,CONCATENATE(ORÇAMENTO.Fonte," ",ORÇAMENTO.CodBarra)))</f>
        <v>SINAPI 100851</v>
      </c>
      <c r="AF395" s="13" t="str">
        <f ca="1">IF(ISERROR(INDIRECT(ORÇAMENTO.BancoRef)),"(abra o arquivo 'Referência "&amp;Excel_BuiltIn_Database&amp;".xlsm)",IF(OR($C395&lt;&gt;"S",ORÇAMENTO.CodBarra=""),"(Sem Código)",IF(ISERROR(MATCH($AE395,INDIRECT(ORÇAMENTO.BancoRef),0)),"(Código não identificado nas referências)",MATCH($AE395,INDIRECT(ORÇAMENTO.BancoRef),0))))</f>
        <v>(abra o arquivo 'Referência 02-2025.xlsm)</v>
      </c>
      <c r="AG395" s="498">
        <f ca="1">ROUND(IF(DESONERACAO="sim",REFERENCIA.Desonerado,REFERENCIA.NaoDesonerado),2)</f>
        <v>0</v>
      </c>
      <c r="AH395" s="499">
        <f t="shared" ca="1" si="69"/>
        <v>0.22470000000000001</v>
      </c>
      <c r="AJ395" s="501">
        <v>18</v>
      </c>
      <c r="AL395" s="527"/>
      <c r="AM395" s="381">
        <f t="shared" ca="1" si="70"/>
        <v>0</v>
      </c>
      <c r="AN395" s="566">
        <f t="shared" ca="1" si="71"/>
        <v>0</v>
      </c>
    </row>
    <row r="396" spans="1:40" ht="25.5" x14ac:dyDescent="0.2">
      <c r="A396" t="str">
        <f t="shared" si="56"/>
        <v>S</v>
      </c>
      <c r="B396">
        <f t="shared" ca="1" si="57"/>
        <v>2</v>
      </c>
      <c r="C396" t="str">
        <f t="shared" ca="1" si="58"/>
        <v>S</v>
      </c>
      <c r="D396">
        <f t="shared" ca="1" si="59"/>
        <v>0</v>
      </c>
      <c r="E396">
        <f ca="1">IF($C396=1,OFFSET(E396,-1,0)+MAX(1,COUNTIF(QCI!$A$13:$A$24,OFFSET(ORÇAMENTO!E396,-1,0))),OFFSET(E396,-1,0))</f>
        <v>1</v>
      </c>
      <c r="F396">
        <f t="shared" ca="1" si="60"/>
        <v>15</v>
      </c>
      <c r="G396">
        <f t="shared" ca="1" si="61"/>
        <v>0</v>
      </c>
      <c r="H396">
        <f t="shared" ca="1" si="62"/>
        <v>0</v>
      </c>
      <c r="I396">
        <f t="shared" ca="1" si="63"/>
        <v>0</v>
      </c>
      <c r="J396">
        <f t="shared" ca="1" si="108"/>
        <v>0</v>
      </c>
      <c r="K396">
        <f ca="1">IF(OR($C396="S",$C396=0),0,MATCH(OFFSET($D396,0,$C396)+IF($C396&lt;&gt;1,1,COUNTIF(QCI!$A$13:$A$24,ORÇAMENTO!E396)),OFFSET($D396,1,$C396,ROW($C$747)-ROW($C396)),0))</f>
        <v>0</v>
      </c>
      <c r="L396" s="116" t="str">
        <f t="shared" ca="1" si="64"/>
        <v/>
      </c>
      <c r="M396" s="117" t="s">
        <v>199</v>
      </c>
      <c r="N396" s="118" t="str">
        <f t="shared" ca="1" si="65"/>
        <v>Serviço</v>
      </c>
      <c r="O396" s="119" t="str">
        <f t="shared" ca="1" si="66"/>
        <v>-</v>
      </c>
      <c r="P396" s="120" t="s">
        <v>712</v>
      </c>
      <c r="Q396" s="121" t="s">
        <v>805</v>
      </c>
      <c r="R396" s="122" t="str">
        <f ca="1">IF($C396="S",REFERENCIA.Descricao,"(digite a descrição aqui)")</f>
        <v>(abra o arquivo 'Referência 02-2025.xlsm)</v>
      </c>
      <c r="S396" s="123" t="str">
        <f ca="1">REFERENCIA.Unidade</f>
        <v>-</v>
      </c>
      <c r="T396" s="124">
        <f ca="1">OFFSET(CÁLCULO!H$15,ROW($T396)-ROW(T$15),0)</f>
        <v>4</v>
      </c>
      <c r="U396" s="125">
        <f t="shared" ca="1" si="91"/>
        <v>0</v>
      </c>
      <c r="V396" s="126" t="s">
        <v>156</v>
      </c>
      <c r="W396" s="124">
        <f ca="1">IF($C396="S",ROUND(IF(TIPOORCAMENTO="Proposto",ORÇAMENTO.CustoUnitario*(1+$AH396),ORÇAMENTO.PrecoUnitarioLicitado),15-13*$AF$10),0)</f>
        <v>0</v>
      </c>
      <c r="X396" s="127">
        <f ca="1">IF($C396="S",IF(Import.TipoArredondamento&lt;&gt;"TransfereGOV",VTOTAL1,SUM(OFFSET(CÁLCULO!$AA$15,ROW($X396)-ROW($X$15),1):OFFSET(CÁLCULO!$AL$15,ROW($X396)-ROW($X$15),-1))),IF($C396=0,0,ROUND(SomaAgrup,15-13*$AF$11)))</f>
        <v>0</v>
      </c>
      <c r="Y396" s="128" t="s">
        <v>245</v>
      </c>
      <c r="Z396" t="str">
        <f t="shared" ca="1" si="67"/>
        <v/>
      </c>
      <c r="AA396" s="129">
        <f ca="1">IF($C396="S",IF($Z396="CP",$X396,IF($Z396="RA",(($X396)*QCI!$AA$3),0)),SomaAgrup)</f>
        <v>0</v>
      </c>
      <c r="AB396" s="130">
        <f t="shared" ca="1" si="68"/>
        <v>0</v>
      </c>
      <c r="AC396" s="131" t="str">
        <f ca="1">IF($N396="","",IF(ORÇAMENTO.Descricao="","DESCRIÇÃO",IF(AND($C396="S",ORÇAMENTO.Unidade=""),"UNIDADE",IF($X396&lt;0,"VALOR NEGATIVO",IF(OR(AND(TIPOORCAMENTO="Proposto",$AG396&lt;&gt;"",$AG396&gt;0,ORÇAMENTO.CustoUnitario&gt;$AG396),AND(TIPOORCAMENTO="LICITADO",ORÇAMENTO.PrecoUnitarioLicitado&gt;$AN396)),"ACIMA REF.","")))))</f>
        <v/>
      </c>
      <c r="AD396" t="str">
        <f ca="1">IF(C396&lt;=CRONO.NivelExibicao,MAX($AD$15:OFFSET(AD396,-1,0))+IF($C396&lt;&gt;1,1,MAX(1,COUNTIF(QCI!$A$13:$A$24,OFFSET($E396,-1,0)))),"")</f>
        <v/>
      </c>
      <c r="AE396" s="7" t="str">
        <f ca="1">IF(AND($C396="S",ORÇAMENTO.CodBarra&lt;&gt;""),IF(ORÇAMENTO.Fonte="",ORÇAMENTO.CodBarra,CONCATENATE(ORÇAMENTO.Fonte," ",ORÇAMENTO.CodBarra)))</f>
        <v>Composição FNDE 11</v>
      </c>
      <c r="AF396" s="13" t="str">
        <f ca="1">IF(ISERROR(INDIRECT(ORÇAMENTO.BancoRef)),"(abra o arquivo 'Referência "&amp;Excel_BuiltIn_Database&amp;".xlsm)",IF(OR($C396&lt;&gt;"S",ORÇAMENTO.CodBarra=""),"(Sem Código)",IF(ISERROR(MATCH($AE396,INDIRECT(ORÇAMENTO.BancoRef),0)),"(Código não identificado nas referências)",MATCH($AE396,INDIRECT(ORÇAMENTO.BancoRef),0))))</f>
        <v>(abra o arquivo 'Referência 02-2025.xlsm)</v>
      </c>
      <c r="AG396" s="498">
        <f ca="1">ROUND(IF(DESONERACAO="sim",REFERENCIA.Desonerado,REFERENCIA.NaoDesonerado),2)</f>
        <v>0</v>
      </c>
      <c r="AH396" s="499">
        <f t="shared" ca="1" si="69"/>
        <v>0.22470000000000001</v>
      </c>
      <c r="AJ396" s="501">
        <v>4</v>
      </c>
      <c r="AL396" s="527"/>
      <c r="AM396" s="381">
        <f t="shared" ca="1" si="70"/>
        <v>0</v>
      </c>
      <c r="AN396" s="566">
        <f t="shared" ca="1" si="71"/>
        <v>0</v>
      </c>
    </row>
    <row r="397" spans="1:40" ht="38.25" x14ac:dyDescent="0.2">
      <c r="A397" t="str">
        <f t="shared" si="56"/>
        <v>S</v>
      </c>
      <c r="B397">
        <f t="shared" ca="1" si="57"/>
        <v>2</v>
      </c>
      <c r="C397" t="str">
        <f t="shared" ca="1" si="58"/>
        <v>S</v>
      </c>
      <c r="D397">
        <f t="shared" ca="1" si="59"/>
        <v>0</v>
      </c>
      <c r="E397">
        <f ca="1">IF($C397=1,OFFSET(E397,-1,0)+MAX(1,COUNTIF(QCI!$A$13:$A$24,OFFSET(ORÇAMENTO!E397,-1,0))),OFFSET(E397,-1,0))</f>
        <v>1</v>
      </c>
      <c r="F397">
        <f t="shared" ca="1" si="60"/>
        <v>15</v>
      </c>
      <c r="G397">
        <f t="shared" ca="1" si="61"/>
        <v>0</v>
      </c>
      <c r="H397">
        <f t="shared" ca="1" si="62"/>
        <v>0</v>
      </c>
      <c r="I397">
        <f t="shared" ca="1" si="63"/>
        <v>0</v>
      </c>
      <c r="J397">
        <f t="shared" ca="1" si="108"/>
        <v>0</v>
      </c>
      <c r="K397">
        <f ca="1">IF(OR($C397="S",$C397=0),0,MATCH(OFFSET($D397,0,$C397)+IF($C397&lt;&gt;1,1,COUNTIF(QCI!$A$13:$A$24,ORÇAMENTO!E397)),OFFSET($D397,1,$C397,ROW($C$747)-ROW($C397)),0))</f>
        <v>0</v>
      </c>
      <c r="L397" s="116" t="str">
        <f t="shared" ca="1" si="64"/>
        <v/>
      </c>
      <c r="M397" s="117" t="s">
        <v>199</v>
      </c>
      <c r="N397" s="118" t="str">
        <f t="shared" ca="1" si="65"/>
        <v>Serviço</v>
      </c>
      <c r="O397" s="119" t="str">
        <f t="shared" ca="1" si="66"/>
        <v>-</v>
      </c>
      <c r="P397" s="120" t="s">
        <v>712</v>
      </c>
      <c r="Q397" s="121" t="s">
        <v>806</v>
      </c>
      <c r="R397" s="122" t="str">
        <f ca="1">IF($C397="S",REFERENCIA.Descricao,"(digite a descrição aqui)")</f>
        <v>(abra o arquivo 'Referência 02-2025.xlsm)</v>
      </c>
      <c r="S397" s="123" t="str">
        <f ca="1">REFERENCIA.Unidade</f>
        <v>-</v>
      </c>
      <c r="T397" s="124">
        <f ca="1">OFFSET(CÁLCULO!H$15,ROW($T397)-ROW(T$15),0)</f>
        <v>4</v>
      </c>
      <c r="U397" s="125">
        <f t="shared" ca="1" si="91"/>
        <v>0</v>
      </c>
      <c r="V397" s="126" t="s">
        <v>156</v>
      </c>
      <c r="W397" s="124">
        <f ca="1">IF($C397="S",ROUND(IF(TIPOORCAMENTO="Proposto",ORÇAMENTO.CustoUnitario*(1+$AH397),ORÇAMENTO.PrecoUnitarioLicitado),15-13*$AF$10),0)</f>
        <v>0</v>
      </c>
      <c r="X397" s="127">
        <f ca="1">IF($C397="S",IF(Import.TipoArredondamento&lt;&gt;"TransfereGOV",VTOTAL1,SUM(OFFSET(CÁLCULO!$AA$15,ROW($X397)-ROW($X$15),1):OFFSET(CÁLCULO!$AL$15,ROW($X397)-ROW($X$15),-1))),IF($C397=0,0,ROUND(SomaAgrup,15-13*$AF$11)))</f>
        <v>0</v>
      </c>
      <c r="Y397" s="128" t="s">
        <v>245</v>
      </c>
      <c r="Z397" t="str">
        <f t="shared" ca="1" si="67"/>
        <v/>
      </c>
      <c r="AA397" s="129">
        <f ca="1">IF($C397="S",IF($Z397="CP",$X397,IF($Z397="RA",(($X397)*QCI!$AA$3),0)),SomaAgrup)</f>
        <v>0</v>
      </c>
      <c r="AB397" s="130">
        <f t="shared" ca="1" si="68"/>
        <v>0</v>
      </c>
      <c r="AC397" s="131" t="str">
        <f ca="1">IF($N397="","",IF(ORÇAMENTO.Descricao="","DESCRIÇÃO",IF(AND($C397="S",ORÇAMENTO.Unidade=""),"UNIDADE",IF($X397&lt;0,"VALOR NEGATIVO",IF(OR(AND(TIPOORCAMENTO="Proposto",$AG397&lt;&gt;"",$AG397&gt;0,ORÇAMENTO.CustoUnitario&gt;$AG397),AND(TIPOORCAMENTO="LICITADO",ORÇAMENTO.PrecoUnitarioLicitado&gt;$AN397)),"ACIMA REF.","")))))</f>
        <v/>
      </c>
      <c r="AD397" t="str">
        <f ca="1">IF(C397&lt;=CRONO.NivelExibicao,MAX($AD$15:OFFSET(AD397,-1,0))+IF($C397&lt;&gt;1,1,MAX(1,COUNTIF(QCI!$A$13:$A$24,OFFSET($E397,-1,0)))),"")</f>
        <v/>
      </c>
      <c r="AE397" s="7" t="str">
        <f ca="1">IF(AND($C397="S",ORÇAMENTO.CodBarra&lt;&gt;""),IF(ORÇAMENTO.Fonte="",ORÇAMENTO.CodBarra,CONCATENATE(ORÇAMENTO.Fonte," ",ORÇAMENTO.CodBarra)))</f>
        <v>Composição FNDE 219</v>
      </c>
      <c r="AF397" s="13" t="str">
        <f ca="1">IF(ISERROR(INDIRECT(ORÇAMENTO.BancoRef)),"(abra o arquivo 'Referência "&amp;Excel_BuiltIn_Database&amp;".xlsm)",IF(OR($C397&lt;&gt;"S",ORÇAMENTO.CodBarra=""),"(Sem Código)",IF(ISERROR(MATCH($AE397,INDIRECT(ORÇAMENTO.BancoRef),0)),"(Código não identificado nas referências)",MATCH($AE397,INDIRECT(ORÇAMENTO.BancoRef),0))))</f>
        <v>(abra o arquivo 'Referência 02-2025.xlsm)</v>
      </c>
      <c r="AG397" s="498">
        <f ca="1">ROUND(IF(DESONERACAO="sim",REFERENCIA.Desonerado,REFERENCIA.NaoDesonerado),2)</f>
        <v>0</v>
      </c>
      <c r="AH397" s="499">
        <f t="shared" ca="1" si="69"/>
        <v>0.22470000000000001</v>
      </c>
      <c r="AJ397" s="501">
        <v>4</v>
      </c>
      <c r="AL397" s="527"/>
      <c r="AM397" s="381">
        <f t="shared" ca="1" si="70"/>
        <v>0</v>
      </c>
      <c r="AN397" s="566">
        <f t="shared" ca="1" si="71"/>
        <v>0</v>
      </c>
    </row>
    <row r="398" spans="1:40" ht="25.5" x14ac:dyDescent="0.2">
      <c r="A398" t="str">
        <f t="shared" si="56"/>
        <v>S</v>
      </c>
      <c r="B398">
        <f t="shared" ca="1" si="57"/>
        <v>2</v>
      </c>
      <c r="C398" t="str">
        <f t="shared" ca="1" si="58"/>
        <v>S</v>
      </c>
      <c r="D398">
        <f t="shared" ca="1" si="59"/>
        <v>0</v>
      </c>
      <c r="E398">
        <f ca="1">IF($C398=1,OFFSET(E398,-1,0)+MAX(1,COUNTIF(QCI!$A$13:$A$24,OFFSET(ORÇAMENTO!E398,-1,0))),OFFSET(E398,-1,0))</f>
        <v>1</v>
      </c>
      <c r="F398">
        <f t="shared" ca="1" si="60"/>
        <v>15</v>
      </c>
      <c r="G398">
        <f t="shared" ca="1" si="61"/>
        <v>0</v>
      </c>
      <c r="H398">
        <f t="shared" ca="1" si="62"/>
        <v>0</v>
      </c>
      <c r="I398">
        <f t="shared" ca="1" si="63"/>
        <v>0</v>
      </c>
      <c r="J398">
        <f t="shared" ca="1" si="108"/>
        <v>0</v>
      </c>
      <c r="K398">
        <f ca="1">IF(OR($C398="S",$C398=0),0,MATCH(OFFSET($D398,0,$C398)+IF($C398&lt;&gt;1,1,COUNTIF(QCI!$A$13:$A$24,ORÇAMENTO!E398)),OFFSET($D398,1,$C398,ROW($C$747)-ROW($C398)),0))</f>
        <v>0</v>
      </c>
      <c r="L398" s="116" t="str">
        <f t="shared" ca="1" si="64"/>
        <v/>
      </c>
      <c r="M398" s="117" t="s">
        <v>199</v>
      </c>
      <c r="N398" s="118" t="str">
        <f t="shared" ca="1" si="65"/>
        <v>Serviço</v>
      </c>
      <c r="O398" s="119" t="str">
        <f t="shared" ca="1" si="66"/>
        <v>-</v>
      </c>
      <c r="P398" s="120" t="s">
        <v>247</v>
      </c>
      <c r="Q398" s="121" t="s">
        <v>595</v>
      </c>
      <c r="R398" s="122" t="str">
        <f ca="1">IF($C398="S",REFERENCIA.Descricao,"(digite a descrição aqui)")</f>
        <v>(abra o arquivo 'Referência 02-2025.xlsm)</v>
      </c>
      <c r="S398" s="123" t="str">
        <f ca="1">REFERENCIA.Unidade</f>
        <v>-</v>
      </c>
      <c r="T398" s="124">
        <f ca="1">OFFSET(CÁLCULO!H$15,ROW($T398)-ROW(T$15),0)</f>
        <v>22</v>
      </c>
      <c r="U398" s="125">
        <f t="shared" ca="1" si="91"/>
        <v>0</v>
      </c>
      <c r="V398" s="126" t="s">
        <v>156</v>
      </c>
      <c r="W398" s="124">
        <f ca="1">IF($C398="S",ROUND(IF(TIPOORCAMENTO="Proposto",ORÇAMENTO.CustoUnitario*(1+$AH398),ORÇAMENTO.PrecoUnitarioLicitado),15-13*$AF$10),0)</f>
        <v>0</v>
      </c>
      <c r="X398" s="127">
        <f ca="1">IF($C398="S",IF(Import.TipoArredondamento&lt;&gt;"TransfereGOV",VTOTAL1,SUM(OFFSET(CÁLCULO!$AA$15,ROW($X398)-ROW($X$15),1):OFFSET(CÁLCULO!$AL$15,ROW($X398)-ROW($X$15),-1))),IF($C398=0,0,ROUND(SomaAgrup,15-13*$AF$11)))</f>
        <v>0</v>
      </c>
      <c r="Y398" s="128" t="s">
        <v>245</v>
      </c>
      <c r="Z398" t="str">
        <f t="shared" ca="1" si="67"/>
        <v/>
      </c>
      <c r="AA398" s="129">
        <f ca="1">IF($C398="S",IF($Z398="CP",$X398,IF($Z398="RA",(($X398)*QCI!$AA$3),0)),SomaAgrup)</f>
        <v>0</v>
      </c>
      <c r="AB398" s="130">
        <f t="shared" ca="1" si="68"/>
        <v>0</v>
      </c>
      <c r="AC398" s="131" t="str">
        <f ca="1">IF($N398="","",IF(ORÇAMENTO.Descricao="","DESCRIÇÃO",IF(AND($C398="S",ORÇAMENTO.Unidade=""),"UNIDADE",IF($X398&lt;0,"VALOR NEGATIVO",IF(OR(AND(TIPOORCAMENTO="Proposto",$AG398&lt;&gt;"",$AG398&gt;0,ORÇAMENTO.CustoUnitario&gt;$AG398),AND(TIPOORCAMENTO="LICITADO",ORÇAMENTO.PrecoUnitarioLicitado&gt;$AN398)),"ACIMA REF.","")))))</f>
        <v/>
      </c>
      <c r="AD398" t="str">
        <f ca="1">IF(C398&lt;=CRONO.NivelExibicao,MAX($AD$15:OFFSET(AD398,-1,0))+IF($C398&lt;&gt;1,1,MAX(1,COUNTIF(QCI!$A$13:$A$24,OFFSET($E398,-1,0)))),"")</f>
        <v/>
      </c>
      <c r="AE398" s="7" t="str">
        <f ca="1">IF(AND($C398="S",ORÇAMENTO.CodBarra&lt;&gt;""),IF(ORÇAMENTO.Fonte="",ORÇAMENTO.CodBarra,CONCATENATE(ORÇAMENTO.Fonte," ",ORÇAMENTO.CodBarra)))</f>
        <v>SINAPI 86901</v>
      </c>
      <c r="AF398" s="13" t="str">
        <f ca="1">IF(ISERROR(INDIRECT(ORÇAMENTO.BancoRef)),"(abra o arquivo 'Referência "&amp;Excel_BuiltIn_Database&amp;".xlsm)",IF(OR($C398&lt;&gt;"S",ORÇAMENTO.CodBarra=""),"(Sem Código)",IF(ISERROR(MATCH($AE398,INDIRECT(ORÇAMENTO.BancoRef),0)),"(Código não identificado nas referências)",MATCH($AE398,INDIRECT(ORÇAMENTO.BancoRef),0))))</f>
        <v>(abra o arquivo 'Referência 02-2025.xlsm)</v>
      </c>
      <c r="AG398" s="498">
        <f ca="1">ROUND(IF(DESONERACAO="sim",REFERENCIA.Desonerado,REFERENCIA.NaoDesonerado),2)</f>
        <v>0</v>
      </c>
      <c r="AH398" s="499">
        <f t="shared" ca="1" si="69"/>
        <v>0.22470000000000001</v>
      </c>
      <c r="AJ398" s="501">
        <v>22</v>
      </c>
      <c r="AL398" s="527"/>
      <c r="AM398" s="381">
        <f t="shared" ca="1" si="70"/>
        <v>0</v>
      </c>
      <c r="AN398" s="566">
        <f t="shared" ca="1" si="71"/>
        <v>0</v>
      </c>
    </row>
    <row r="399" spans="1:40" ht="25.5" x14ac:dyDescent="0.2">
      <c r="A399" t="str">
        <f t="shared" si="56"/>
        <v>S</v>
      </c>
      <c r="B399">
        <f t="shared" ca="1" si="57"/>
        <v>2</v>
      </c>
      <c r="C399" t="str">
        <f t="shared" ca="1" si="58"/>
        <v>S</v>
      </c>
      <c r="D399">
        <f t="shared" ca="1" si="59"/>
        <v>0</v>
      </c>
      <c r="E399">
        <f ca="1">IF($C399=1,OFFSET(E399,-1,0)+MAX(1,COUNTIF(QCI!$A$13:$A$24,OFFSET(ORÇAMENTO!E399,-1,0))),OFFSET(E399,-1,0))</f>
        <v>1</v>
      </c>
      <c r="F399">
        <f t="shared" ca="1" si="60"/>
        <v>15</v>
      </c>
      <c r="G399">
        <f t="shared" ca="1" si="61"/>
        <v>0</v>
      </c>
      <c r="H399">
        <f t="shared" ca="1" si="62"/>
        <v>0</v>
      </c>
      <c r="I399">
        <f t="shared" ca="1" si="63"/>
        <v>0</v>
      </c>
      <c r="J399">
        <f t="shared" ca="1" si="108"/>
        <v>0</v>
      </c>
      <c r="K399">
        <f ca="1">IF(OR($C399="S",$C399=0),0,MATCH(OFFSET($D399,0,$C399)+IF($C399&lt;&gt;1,1,COUNTIF(QCI!$A$13:$A$24,ORÇAMENTO!E399)),OFFSET($D399,1,$C399,ROW($C$747)-ROW($C399)),0))</f>
        <v>0</v>
      </c>
      <c r="L399" s="116" t="str">
        <f t="shared" ca="1" si="64"/>
        <v/>
      </c>
      <c r="M399" s="117" t="s">
        <v>199</v>
      </c>
      <c r="N399" s="118" t="str">
        <f t="shared" ca="1" si="65"/>
        <v>Serviço</v>
      </c>
      <c r="O399" s="119" t="str">
        <f t="shared" ca="1" si="66"/>
        <v>-</v>
      </c>
      <c r="P399" s="120" t="s">
        <v>247</v>
      </c>
      <c r="Q399" s="121" t="s">
        <v>596</v>
      </c>
      <c r="R399" s="122" t="str">
        <f ca="1">IF($C399="S",REFERENCIA.Descricao,"(digite a descrição aqui)")</f>
        <v>(abra o arquivo 'Referência 02-2025.xlsm)</v>
      </c>
      <c r="S399" s="123" t="str">
        <f ca="1">REFERENCIA.Unidade</f>
        <v>-</v>
      </c>
      <c r="T399" s="124">
        <f ca="1">OFFSET(CÁLCULO!H$15,ROW($T399)-ROW(T$15),0)</f>
        <v>6</v>
      </c>
      <c r="U399" s="125">
        <f t="shared" ca="1" si="91"/>
        <v>0</v>
      </c>
      <c r="V399" s="126" t="s">
        <v>156</v>
      </c>
      <c r="W399" s="124">
        <f ca="1">IF($C399="S",ROUND(IF(TIPOORCAMENTO="Proposto",ORÇAMENTO.CustoUnitario*(1+$AH399),ORÇAMENTO.PrecoUnitarioLicitado),15-13*$AF$10),0)</f>
        <v>0</v>
      </c>
      <c r="X399" s="127">
        <f ca="1">IF($C399="S",IF(Import.TipoArredondamento&lt;&gt;"TransfereGOV",VTOTAL1,SUM(OFFSET(CÁLCULO!$AA$15,ROW($X399)-ROW($X$15),1):OFFSET(CÁLCULO!$AL$15,ROW($X399)-ROW($X$15),-1))),IF($C399=0,0,ROUND(SomaAgrup,15-13*$AF$11)))</f>
        <v>0</v>
      </c>
      <c r="Y399" s="128" t="s">
        <v>245</v>
      </c>
      <c r="Z399" t="str">
        <f t="shared" ca="1" si="67"/>
        <v/>
      </c>
      <c r="AA399" s="129">
        <f ca="1">IF($C399="S",IF($Z399="CP",$X399,IF($Z399="RA",(($X399)*QCI!$AA$3),0)),SomaAgrup)</f>
        <v>0</v>
      </c>
      <c r="AB399" s="130">
        <f t="shared" ca="1" si="68"/>
        <v>0</v>
      </c>
      <c r="AC399" s="131" t="str">
        <f ca="1">IF($N399="","",IF(ORÇAMENTO.Descricao="","DESCRIÇÃO",IF(AND($C399="S",ORÇAMENTO.Unidade=""),"UNIDADE",IF($X399&lt;0,"VALOR NEGATIVO",IF(OR(AND(TIPOORCAMENTO="Proposto",$AG399&lt;&gt;"",$AG399&gt;0,ORÇAMENTO.CustoUnitario&gt;$AG399),AND(TIPOORCAMENTO="LICITADO",ORÇAMENTO.PrecoUnitarioLicitado&gt;$AN399)),"ACIMA REF.","")))))</f>
        <v/>
      </c>
      <c r="AD399" t="str">
        <f ca="1">IF(C399&lt;=CRONO.NivelExibicao,MAX($AD$15:OFFSET(AD399,-1,0))+IF($C399&lt;&gt;1,1,MAX(1,COUNTIF(QCI!$A$13:$A$24,OFFSET($E399,-1,0)))),"")</f>
        <v/>
      </c>
      <c r="AE399" s="7" t="str">
        <f ca="1">IF(AND($C399="S",ORÇAMENTO.CodBarra&lt;&gt;""),IF(ORÇAMENTO.Fonte="",ORÇAMENTO.CodBarra,CONCATENATE(ORÇAMENTO.Fonte," ",ORÇAMENTO.CodBarra)))</f>
        <v>SINAPI 86902</v>
      </c>
      <c r="AF399" s="13" t="str">
        <f ca="1">IF(ISERROR(INDIRECT(ORÇAMENTO.BancoRef)),"(abra o arquivo 'Referência "&amp;Excel_BuiltIn_Database&amp;".xlsm)",IF(OR($C399&lt;&gt;"S",ORÇAMENTO.CodBarra=""),"(Sem Código)",IF(ISERROR(MATCH($AE399,INDIRECT(ORÇAMENTO.BancoRef),0)),"(Código não identificado nas referências)",MATCH($AE399,INDIRECT(ORÇAMENTO.BancoRef),0))))</f>
        <v>(abra o arquivo 'Referência 02-2025.xlsm)</v>
      </c>
      <c r="AG399" s="498">
        <f ca="1">ROUND(IF(DESONERACAO="sim",REFERENCIA.Desonerado,REFERENCIA.NaoDesonerado),2)</f>
        <v>0</v>
      </c>
      <c r="AH399" s="499">
        <f t="shared" ca="1" si="69"/>
        <v>0.22470000000000001</v>
      </c>
      <c r="AJ399" s="501">
        <v>6</v>
      </c>
      <c r="AL399" s="527"/>
      <c r="AM399" s="381">
        <f t="shared" ca="1" si="70"/>
        <v>0</v>
      </c>
      <c r="AN399" s="566">
        <f t="shared" ca="1" si="71"/>
        <v>0</v>
      </c>
    </row>
    <row r="400" spans="1:40" ht="25.5" x14ac:dyDescent="0.2">
      <c r="A400" t="str">
        <f t="shared" si="56"/>
        <v>S</v>
      </c>
      <c r="B400">
        <f t="shared" ca="1" si="57"/>
        <v>2</v>
      </c>
      <c r="C400" t="str">
        <f t="shared" ca="1" si="58"/>
        <v>S</v>
      </c>
      <c r="D400">
        <f t="shared" ca="1" si="59"/>
        <v>0</v>
      </c>
      <c r="E400">
        <f ca="1">IF($C400=1,OFFSET(E400,-1,0)+MAX(1,COUNTIF(QCI!$A$13:$A$24,OFFSET(ORÇAMENTO!E400,-1,0))),OFFSET(E400,-1,0))</f>
        <v>1</v>
      </c>
      <c r="F400">
        <f t="shared" ca="1" si="60"/>
        <v>15</v>
      </c>
      <c r="G400">
        <f t="shared" ca="1" si="61"/>
        <v>0</v>
      </c>
      <c r="H400">
        <f t="shared" ca="1" si="62"/>
        <v>0</v>
      </c>
      <c r="I400">
        <f t="shared" ca="1" si="63"/>
        <v>0</v>
      </c>
      <c r="J400">
        <f t="shared" ca="1" si="108"/>
        <v>0</v>
      </c>
      <c r="K400">
        <f ca="1">IF(OR($C400="S",$C400=0),0,MATCH(OFFSET($D400,0,$C400)+IF($C400&lt;&gt;1,1,COUNTIF(QCI!$A$13:$A$24,ORÇAMENTO!E400)),OFFSET($D400,1,$C400,ROW($C$747)-ROW($C400)),0))</f>
        <v>0</v>
      </c>
      <c r="L400" s="116" t="str">
        <f t="shared" ca="1" si="64"/>
        <v/>
      </c>
      <c r="M400" s="117" t="s">
        <v>199</v>
      </c>
      <c r="N400" s="118" t="str">
        <f t="shared" ca="1" si="65"/>
        <v>Serviço</v>
      </c>
      <c r="O400" s="119" t="str">
        <f t="shared" ca="1" si="66"/>
        <v>-</v>
      </c>
      <c r="P400" s="120" t="s">
        <v>247</v>
      </c>
      <c r="Q400" s="121" t="s">
        <v>597</v>
      </c>
      <c r="R400" s="122" t="str">
        <f ca="1">IF($C400="S",REFERENCIA.Descricao,"(digite a descrição aqui)")</f>
        <v>(abra o arquivo 'Referência 02-2025.xlsm)</v>
      </c>
      <c r="S400" s="123" t="str">
        <f ca="1">REFERENCIA.Unidade</f>
        <v>-</v>
      </c>
      <c r="T400" s="124">
        <f ca="1">OFFSET(CÁLCULO!H$15,ROW($T400)-ROW(T$15),0)</f>
        <v>6</v>
      </c>
      <c r="U400" s="125">
        <f t="shared" ca="1" si="91"/>
        <v>0</v>
      </c>
      <c r="V400" s="126" t="s">
        <v>156</v>
      </c>
      <c r="W400" s="124">
        <f ca="1">IF($C400="S",ROUND(IF(TIPOORCAMENTO="Proposto",ORÇAMENTO.CustoUnitario*(1+$AH400),ORÇAMENTO.PrecoUnitarioLicitado),15-13*$AF$10),0)</f>
        <v>0</v>
      </c>
      <c r="X400" s="127">
        <f ca="1">IF($C400="S",IF(Import.TipoArredondamento&lt;&gt;"TransfereGOV",VTOTAL1,SUM(OFFSET(CÁLCULO!$AA$15,ROW($X400)-ROW($X$15),1):OFFSET(CÁLCULO!$AL$15,ROW($X400)-ROW($X$15),-1))),IF($C400=0,0,ROUND(SomaAgrup,15-13*$AF$11)))</f>
        <v>0</v>
      </c>
      <c r="Y400" s="128" t="s">
        <v>245</v>
      </c>
      <c r="Z400" t="str">
        <f t="shared" ca="1" si="67"/>
        <v/>
      </c>
      <c r="AA400" s="129">
        <f ca="1">IF($C400="S",IF($Z400="CP",$X400,IF($Z400="RA",(($X400)*QCI!$AA$3),0)),SomaAgrup)</f>
        <v>0</v>
      </c>
      <c r="AB400" s="130">
        <f t="shared" ca="1" si="68"/>
        <v>0</v>
      </c>
      <c r="AC400" s="131" t="str">
        <f ca="1">IF($N400="","",IF(ORÇAMENTO.Descricao="","DESCRIÇÃO",IF(AND($C400="S",ORÇAMENTO.Unidade=""),"UNIDADE",IF($X400&lt;0,"VALOR NEGATIVO",IF(OR(AND(TIPOORCAMENTO="Proposto",$AG400&lt;&gt;"",$AG400&gt;0,ORÇAMENTO.CustoUnitario&gt;$AG400),AND(TIPOORCAMENTO="LICITADO",ORÇAMENTO.PrecoUnitarioLicitado&gt;$AN400)),"ACIMA REF.","")))))</f>
        <v/>
      </c>
      <c r="AD400" t="str">
        <f ca="1">IF(C400&lt;=CRONO.NivelExibicao,MAX($AD$15:OFFSET(AD400,-1,0))+IF($C400&lt;&gt;1,1,MAX(1,COUNTIF(QCI!$A$13:$A$24,OFFSET($E400,-1,0)))),"")</f>
        <v/>
      </c>
      <c r="AE400" s="7" t="str">
        <f ca="1">IF(AND($C400="S",ORÇAMENTO.CodBarra&lt;&gt;""),IF(ORÇAMENTO.Fonte="",ORÇAMENTO.CodBarra,CONCATENATE(ORÇAMENTO.Fonte," ",ORÇAMENTO.CodBarra)))</f>
        <v>SINAPI 86872</v>
      </c>
      <c r="AF400" s="13" t="str">
        <f ca="1">IF(ISERROR(INDIRECT(ORÇAMENTO.BancoRef)),"(abra o arquivo 'Referência "&amp;Excel_BuiltIn_Database&amp;".xlsm)",IF(OR($C400&lt;&gt;"S",ORÇAMENTO.CodBarra=""),"(Sem Código)",IF(ISERROR(MATCH($AE400,INDIRECT(ORÇAMENTO.BancoRef),0)),"(Código não identificado nas referências)",MATCH($AE400,INDIRECT(ORÇAMENTO.BancoRef),0))))</f>
        <v>(abra o arquivo 'Referência 02-2025.xlsm)</v>
      </c>
      <c r="AG400" s="498">
        <f ca="1">ROUND(IF(DESONERACAO="sim",REFERENCIA.Desonerado,REFERENCIA.NaoDesonerado),2)</f>
        <v>0</v>
      </c>
      <c r="AH400" s="499">
        <f t="shared" ca="1" si="69"/>
        <v>0.22470000000000001</v>
      </c>
      <c r="AJ400" s="501">
        <v>6</v>
      </c>
      <c r="AL400" s="527"/>
      <c r="AM400" s="381">
        <f t="shared" ca="1" si="70"/>
        <v>0</v>
      </c>
      <c r="AN400" s="566">
        <f t="shared" ca="1" si="71"/>
        <v>0</v>
      </c>
    </row>
    <row r="401" spans="1:40" ht="25.5" x14ac:dyDescent="0.2">
      <c r="A401" t="str">
        <f t="shared" si="56"/>
        <v>S</v>
      </c>
      <c r="B401">
        <f t="shared" ca="1" si="57"/>
        <v>2</v>
      </c>
      <c r="C401" t="str">
        <f t="shared" ca="1" si="58"/>
        <v>S</v>
      </c>
      <c r="D401">
        <f t="shared" ca="1" si="59"/>
        <v>0</v>
      </c>
      <c r="E401">
        <f ca="1">IF($C401=1,OFFSET(E401,-1,0)+MAX(1,COUNTIF(QCI!$A$13:$A$24,OFFSET(ORÇAMENTO!E401,-1,0))),OFFSET(E401,-1,0))</f>
        <v>1</v>
      </c>
      <c r="F401">
        <f t="shared" ca="1" si="60"/>
        <v>15</v>
      </c>
      <c r="G401">
        <f t="shared" ca="1" si="61"/>
        <v>0</v>
      </c>
      <c r="H401">
        <f t="shared" ca="1" si="62"/>
        <v>0</v>
      </c>
      <c r="I401">
        <f t="shared" ca="1" si="63"/>
        <v>0</v>
      </c>
      <c r="J401">
        <f t="shared" ca="1" si="108"/>
        <v>0</v>
      </c>
      <c r="K401">
        <f ca="1">IF(OR($C401="S",$C401=0),0,MATCH(OFFSET($D401,0,$C401)+IF($C401&lt;&gt;1,1,COUNTIF(QCI!$A$13:$A$24,ORÇAMENTO!E401)),OFFSET($D401,1,$C401,ROW($C$747)-ROW($C401)),0))</f>
        <v>0</v>
      </c>
      <c r="L401" s="116" t="str">
        <f t="shared" ca="1" si="64"/>
        <v/>
      </c>
      <c r="M401" s="117" t="s">
        <v>199</v>
      </c>
      <c r="N401" s="118" t="str">
        <f t="shared" ca="1" si="65"/>
        <v>Serviço</v>
      </c>
      <c r="O401" s="119" t="str">
        <f t="shared" ca="1" si="66"/>
        <v>-</v>
      </c>
      <c r="P401" s="120" t="s">
        <v>247</v>
      </c>
      <c r="Q401" s="121" t="s">
        <v>598</v>
      </c>
      <c r="R401" s="122" t="str">
        <f ca="1">IF($C401="S",REFERENCIA.Descricao,"(digite a descrição aqui)")</f>
        <v>(abra o arquivo 'Referência 02-2025.xlsm)</v>
      </c>
      <c r="S401" s="123" t="str">
        <f ca="1">REFERENCIA.Unidade</f>
        <v>-</v>
      </c>
      <c r="T401" s="124">
        <f ca="1">OFFSET(CÁLCULO!H$15,ROW($T401)-ROW(T$15),0)</f>
        <v>10</v>
      </c>
      <c r="U401" s="125">
        <f t="shared" ca="1" si="91"/>
        <v>0</v>
      </c>
      <c r="V401" s="126" t="s">
        <v>156</v>
      </c>
      <c r="W401" s="124">
        <f ca="1">IF($C401="S",ROUND(IF(TIPOORCAMENTO="Proposto",ORÇAMENTO.CustoUnitario*(1+$AH401),ORÇAMENTO.PrecoUnitarioLicitado),15-13*$AF$10),0)</f>
        <v>0</v>
      </c>
      <c r="X401" s="127">
        <f ca="1">IF($C401="S",IF(Import.TipoArredondamento&lt;&gt;"TransfereGOV",VTOTAL1,SUM(OFFSET(CÁLCULO!$AA$15,ROW($X401)-ROW($X$15),1):OFFSET(CÁLCULO!$AL$15,ROW($X401)-ROW($X$15),-1))),IF($C401=0,0,ROUND(SomaAgrup,15-13*$AF$11)))</f>
        <v>0</v>
      </c>
      <c r="Y401" s="128" t="s">
        <v>245</v>
      </c>
      <c r="Z401" t="str">
        <f t="shared" ca="1" si="67"/>
        <v/>
      </c>
      <c r="AA401" s="129">
        <f ca="1">IF($C401="S",IF($Z401="CP",$X401,IF($Z401="RA",(($X401)*QCI!$AA$3),0)),SomaAgrup)</f>
        <v>0</v>
      </c>
      <c r="AB401" s="130">
        <f t="shared" ca="1" si="68"/>
        <v>0</v>
      </c>
      <c r="AC401" s="131" t="str">
        <f ca="1">IF($N401="","",IF(ORÇAMENTO.Descricao="","DESCRIÇÃO",IF(AND($C401="S",ORÇAMENTO.Unidade=""),"UNIDADE",IF($X401&lt;0,"VALOR NEGATIVO",IF(OR(AND(TIPOORCAMENTO="Proposto",$AG401&lt;&gt;"",$AG401&gt;0,ORÇAMENTO.CustoUnitario&gt;$AG401),AND(TIPOORCAMENTO="LICITADO",ORÇAMENTO.PrecoUnitarioLicitado&gt;$AN401)),"ACIMA REF.","")))))</f>
        <v/>
      </c>
      <c r="AD401" t="str">
        <f ca="1">IF(C401&lt;=CRONO.NivelExibicao,MAX($AD$15:OFFSET(AD401,-1,0))+IF($C401&lt;&gt;1,1,MAX(1,COUNTIF(QCI!$A$13:$A$24,OFFSET($E401,-1,0)))),"")</f>
        <v/>
      </c>
      <c r="AE401" s="7" t="str">
        <f ca="1">IF(AND($C401="S",ORÇAMENTO.CodBarra&lt;&gt;""),IF(ORÇAMENTO.Fonte="",ORÇAMENTO.CodBarra,CONCATENATE(ORÇAMENTO.Fonte," ",ORÇAMENTO.CodBarra)))</f>
        <v>SINAPI 86900</v>
      </c>
      <c r="AF401" s="13" t="str">
        <f ca="1">IF(ISERROR(INDIRECT(ORÇAMENTO.BancoRef)),"(abra o arquivo 'Referência "&amp;Excel_BuiltIn_Database&amp;".xlsm)",IF(OR($C401&lt;&gt;"S",ORÇAMENTO.CodBarra=""),"(Sem Código)",IF(ISERROR(MATCH($AE401,INDIRECT(ORÇAMENTO.BancoRef),0)),"(Código não identificado nas referências)",MATCH($AE401,INDIRECT(ORÇAMENTO.BancoRef),0))))</f>
        <v>(abra o arquivo 'Referência 02-2025.xlsm)</v>
      </c>
      <c r="AG401" s="498">
        <f ca="1">ROUND(IF(DESONERACAO="sim",REFERENCIA.Desonerado,REFERENCIA.NaoDesonerado),2)</f>
        <v>0</v>
      </c>
      <c r="AH401" s="499">
        <f t="shared" ca="1" si="69"/>
        <v>0.22470000000000001</v>
      </c>
      <c r="AJ401" s="501">
        <v>10</v>
      </c>
      <c r="AL401" s="527"/>
      <c r="AM401" s="381">
        <f t="shared" ca="1" si="70"/>
        <v>0</v>
      </c>
      <c r="AN401" s="566">
        <f t="shared" ca="1" si="71"/>
        <v>0</v>
      </c>
    </row>
    <row r="402" spans="1:40" ht="25.5" x14ac:dyDescent="0.2">
      <c r="A402" t="str">
        <f t="shared" si="56"/>
        <v>S</v>
      </c>
      <c r="B402">
        <f t="shared" ca="1" si="57"/>
        <v>2</v>
      </c>
      <c r="C402" t="str">
        <f t="shared" ca="1" si="58"/>
        <v>S</v>
      </c>
      <c r="D402">
        <f t="shared" ca="1" si="59"/>
        <v>0</v>
      </c>
      <c r="E402">
        <f ca="1">IF($C402=1,OFFSET(E402,-1,0)+MAX(1,COUNTIF(QCI!$A$13:$A$24,OFFSET(ORÇAMENTO!E402,-1,0))),OFFSET(E402,-1,0))</f>
        <v>1</v>
      </c>
      <c r="F402">
        <f t="shared" ca="1" si="60"/>
        <v>15</v>
      </c>
      <c r="G402">
        <f t="shared" ca="1" si="61"/>
        <v>0</v>
      </c>
      <c r="H402">
        <f t="shared" ca="1" si="62"/>
        <v>0</v>
      </c>
      <c r="I402">
        <f t="shared" ca="1" si="63"/>
        <v>0</v>
      </c>
      <c r="J402">
        <f t="shared" ca="1" si="108"/>
        <v>0</v>
      </c>
      <c r="K402">
        <f ca="1">IF(OR($C402="S",$C402=0),0,MATCH(OFFSET($D402,0,$C402)+IF($C402&lt;&gt;1,1,COUNTIF(QCI!$A$13:$A$24,ORÇAMENTO!E402)),OFFSET($D402,1,$C402,ROW($C$747)-ROW($C402)),0))</f>
        <v>0</v>
      </c>
      <c r="L402" s="116" t="str">
        <f t="shared" ca="1" si="64"/>
        <v/>
      </c>
      <c r="M402" s="117" t="s">
        <v>199</v>
      </c>
      <c r="N402" s="118" t="str">
        <f t="shared" ca="1" si="65"/>
        <v>Serviço</v>
      </c>
      <c r="O402" s="119" t="str">
        <f t="shared" ca="1" si="66"/>
        <v>-</v>
      </c>
      <c r="P402" s="120" t="s">
        <v>712</v>
      </c>
      <c r="Q402" s="121" t="s">
        <v>807</v>
      </c>
      <c r="R402" s="122" t="str">
        <f ca="1">IF($C402="S",REFERENCIA.Descricao,"(digite a descrição aqui)")</f>
        <v>(abra o arquivo 'Referência 02-2025.xlsm)</v>
      </c>
      <c r="S402" s="123" t="str">
        <f ca="1">REFERENCIA.Unidade</f>
        <v>-</v>
      </c>
      <c r="T402" s="124">
        <f ca="1">OFFSET(CÁLCULO!H$15,ROW($T402)-ROW(T$15),0)</f>
        <v>7</v>
      </c>
      <c r="U402" s="125">
        <f t="shared" ca="1" si="91"/>
        <v>0</v>
      </c>
      <c r="V402" s="126" t="s">
        <v>156</v>
      </c>
      <c r="W402" s="124">
        <f ca="1">IF($C402="S",ROUND(IF(TIPOORCAMENTO="Proposto",ORÇAMENTO.CustoUnitario*(1+$AH402),ORÇAMENTO.PrecoUnitarioLicitado),15-13*$AF$10),0)</f>
        <v>0</v>
      </c>
      <c r="X402" s="127">
        <f ca="1">IF($C402="S",IF(Import.TipoArredondamento&lt;&gt;"TransfereGOV",VTOTAL1,SUM(OFFSET(CÁLCULO!$AA$15,ROW($X402)-ROW($X$15),1):OFFSET(CÁLCULO!$AL$15,ROW($X402)-ROW($X$15),-1))),IF($C402=0,0,ROUND(SomaAgrup,15-13*$AF$11)))</f>
        <v>0</v>
      </c>
      <c r="Y402" s="128" t="s">
        <v>245</v>
      </c>
      <c r="Z402" t="str">
        <f t="shared" ca="1" si="67"/>
        <v/>
      </c>
      <c r="AA402" s="129">
        <f ca="1">IF($C402="S",IF($Z402="CP",$X402,IF($Z402="RA",(($X402)*QCI!$AA$3),0)),SomaAgrup)</f>
        <v>0</v>
      </c>
      <c r="AB402" s="130">
        <f t="shared" ca="1" si="68"/>
        <v>0</v>
      </c>
      <c r="AC402" s="131" t="str">
        <f ca="1">IF($N402="","",IF(ORÇAMENTO.Descricao="","DESCRIÇÃO",IF(AND($C402="S",ORÇAMENTO.Unidade=""),"UNIDADE",IF($X402&lt;0,"VALOR NEGATIVO",IF(OR(AND(TIPOORCAMENTO="Proposto",$AG402&lt;&gt;"",$AG402&gt;0,ORÇAMENTO.CustoUnitario&gt;$AG402),AND(TIPOORCAMENTO="LICITADO",ORÇAMENTO.PrecoUnitarioLicitado&gt;$AN402)),"ACIMA REF.","")))))</f>
        <v/>
      </c>
      <c r="AD402" t="str">
        <f ca="1">IF(C402&lt;=CRONO.NivelExibicao,MAX($AD$15:OFFSET(AD402,-1,0))+IF($C402&lt;&gt;1,1,MAX(1,COUNTIF(QCI!$A$13:$A$24,OFFSET($E402,-1,0)))),"")</f>
        <v/>
      </c>
      <c r="AE402" s="7" t="str">
        <f ca="1">IF(AND($C402="S",ORÇAMENTO.CodBarra&lt;&gt;""),IF(ORÇAMENTO.Fonte="",ORÇAMENTO.CodBarra,CONCATENATE(ORÇAMENTO.Fonte," ",ORÇAMENTO.CodBarra)))</f>
        <v>Composição FNDE 217</v>
      </c>
      <c r="AF402" s="13" t="str">
        <f ca="1">IF(ISERROR(INDIRECT(ORÇAMENTO.BancoRef)),"(abra o arquivo 'Referência "&amp;Excel_BuiltIn_Database&amp;".xlsm)",IF(OR($C402&lt;&gt;"S",ORÇAMENTO.CodBarra=""),"(Sem Código)",IF(ISERROR(MATCH($AE402,INDIRECT(ORÇAMENTO.BancoRef),0)),"(Código não identificado nas referências)",MATCH($AE402,INDIRECT(ORÇAMENTO.BancoRef),0))))</f>
        <v>(abra o arquivo 'Referência 02-2025.xlsm)</v>
      </c>
      <c r="AG402" s="498">
        <f ca="1">ROUND(IF(DESONERACAO="sim",REFERENCIA.Desonerado,REFERENCIA.NaoDesonerado),2)</f>
        <v>0</v>
      </c>
      <c r="AH402" s="499">
        <f t="shared" ca="1" si="69"/>
        <v>0.22470000000000001</v>
      </c>
      <c r="AJ402" s="501">
        <v>7</v>
      </c>
      <c r="AL402" s="527"/>
      <c r="AM402" s="381">
        <f t="shared" ca="1" si="70"/>
        <v>0</v>
      </c>
      <c r="AN402" s="566">
        <f t="shared" ca="1" si="71"/>
        <v>0</v>
      </c>
    </row>
    <row r="403" spans="1:40" ht="25.5" x14ac:dyDescent="0.2">
      <c r="A403" t="str">
        <f t="shared" si="56"/>
        <v>S</v>
      </c>
      <c r="B403">
        <f t="shared" ca="1" si="57"/>
        <v>2</v>
      </c>
      <c r="C403" t="str">
        <f t="shared" ca="1" si="58"/>
        <v>S</v>
      </c>
      <c r="D403">
        <f t="shared" ca="1" si="59"/>
        <v>0</v>
      </c>
      <c r="E403">
        <f ca="1">IF($C403=1,OFFSET(E403,-1,0)+MAX(1,COUNTIF(QCI!$A$13:$A$24,OFFSET(ORÇAMENTO!E403,-1,0))),OFFSET(E403,-1,0))</f>
        <v>1</v>
      </c>
      <c r="F403">
        <f t="shared" ca="1" si="60"/>
        <v>15</v>
      </c>
      <c r="G403">
        <f t="shared" ca="1" si="61"/>
        <v>0</v>
      </c>
      <c r="H403">
        <f t="shared" ca="1" si="62"/>
        <v>0</v>
      </c>
      <c r="I403">
        <f t="shared" ca="1" si="63"/>
        <v>0</v>
      </c>
      <c r="J403">
        <f t="shared" ca="1" si="108"/>
        <v>0</v>
      </c>
      <c r="K403">
        <f ca="1">IF(OR($C403="S",$C403=0),0,MATCH(OFFSET($D403,0,$C403)+IF($C403&lt;&gt;1,1,COUNTIF(QCI!$A$13:$A$24,ORÇAMENTO!E403)),OFFSET($D403,1,$C403,ROW($C$747)-ROW($C403)),0))</f>
        <v>0</v>
      </c>
      <c r="L403" s="116" t="str">
        <f t="shared" ca="1" si="64"/>
        <v/>
      </c>
      <c r="M403" s="117" t="s">
        <v>199</v>
      </c>
      <c r="N403" s="118" t="str">
        <f t="shared" ca="1" si="65"/>
        <v>Serviço</v>
      </c>
      <c r="O403" s="119" t="str">
        <f t="shared" ca="1" si="66"/>
        <v>-</v>
      </c>
      <c r="P403" s="120" t="s">
        <v>247</v>
      </c>
      <c r="Q403" s="121" t="s">
        <v>599</v>
      </c>
      <c r="R403" s="122" t="str">
        <f ca="1">IF($C403="S",REFERENCIA.Descricao,"(digite a descrição aqui)")</f>
        <v>(abra o arquivo 'Referência 02-2025.xlsm)</v>
      </c>
      <c r="S403" s="123" t="str">
        <f ca="1">REFERENCIA.Unidade</f>
        <v>-</v>
      </c>
      <c r="T403" s="124">
        <f ca="1">OFFSET(CÁLCULO!H$15,ROW($T403)-ROW(T$15),0)</f>
        <v>1</v>
      </c>
      <c r="U403" s="125">
        <f t="shared" ca="1" si="91"/>
        <v>0</v>
      </c>
      <c r="V403" s="126" t="s">
        <v>156</v>
      </c>
      <c r="W403" s="124">
        <f ca="1">IF($C403="S",ROUND(IF(TIPOORCAMENTO="Proposto",ORÇAMENTO.CustoUnitario*(1+$AH403),ORÇAMENTO.PrecoUnitarioLicitado),15-13*$AF$10),0)</f>
        <v>0</v>
      </c>
      <c r="X403" s="127">
        <f ca="1">IF($C403="S",IF(Import.TipoArredondamento&lt;&gt;"TransfereGOV",VTOTAL1,SUM(OFFSET(CÁLCULO!$AA$15,ROW($X403)-ROW($X$15),1):OFFSET(CÁLCULO!$AL$15,ROW($X403)-ROW($X$15),-1))),IF($C403=0,0,ROUND(SomaAgrup,15-13*$AF$11)))</f>
        <v>0</v>
      </c>
      <c r="Y403" s="128" t="s">
        <v>245</v>
      </c>
      <c r="Z403" t="str">
        <f t="shared" ca="1" si="67"/>
        <v/>
      </c>
      <c r="AA403" s="129">
        <f ca="1">IF($C403="S",IF($Z403="CP",$X403,IF($Z403="RA",(($X403)*QCI!$AA$3),0)),SomaAgrup)</f>
        <v>0</v>
      </c>
      <c r="AB403" s="130">
        <f t="shared" ca="1" si="68"/>
        <v>0</v>
      </c>
      <c r="AC403" s="131" t="str">
        <f ca="1">IF($N403="","",IF(ORÇAMENTO.Descricao="","DESCRIÇÃO",IF(AND($C403="S",ORÇAMENTO.Unidade=""),"UNIDADE",IF($X403&lt;0,"VALOR NEGATIVO",IF(OR(AND(TIPOORCAMENTO="Proposto",$AG403&lt;&gt;"",$AG403&gt;0,ORÇAMENTO.CustoUnitario&gt;$AG403),AND(TIPOORCAMENTO="LICITADO",ORÇAMENTO.PrecoUnitarioLicitado&gt;$AN403)),"ACIMA REF.","")))))</f>
        <v/>
      </c>
      <c r="AD403" t="str">
        <f ca="1">IF(C403&lt;=CRONO.NivelExibicao,MAX($AD$15:OFFSET(AD403,-1,0))+IF($C403&lt;&gt;1,1,MAX(1,COUNTIF(QCI!$A$13:$A$24,OFFSET($E403,-1,0)))),"")</f>
        <v/>
      </c>
      <c r="AE403" s="7" t="str">
        <f ca="1">IF(AND($C403="S",ORÇAMENTO.CodBarra&lt;&gt;""),IF(ORÇAMENTO.Fonte="",ORÇAMENTO.CodBarra,CONCATENATE(ORÇAMENTO.Fonte," ",ORÇAMENTO.CodBarra)))</f>
        <v>SINAPI 100852</v>
      </c>
      <c r="AF403" s="13" t="str">
        <f ca="1">IF(ISERROR(INDIRECT(ORÇAMENTO.BancoRef)),"(abra o arquivo 'Referência "&amp;Excel_BuiltIn_Database&amp;".xlsm)",IF(OR($C403&lt;&gt;"S",ORÇAMENTO.CodBarra=""),"(Sem Código)",IF(ISERROR(MATCH($AE403,INDIRECT(ORÇAMENTO.BancoRef),0)),"(Código não identificado nas referências)",MATCH($AE403,INDIRECT(ORÇAMENTO.BancoRef),0))))</f>
        <v>(abra o arquivo 'Referência 02-2025.xlsm)</v>
      </c>
      <c r="AG403" s="498">
        <f ca="1">ROUND(IF(DESONERACAO="sim",REFERENCIA.Desonerado,REFERENCIA.NaoDesonerado),2)</f>
        <v>0</v>
      </c>
      <c r="AH403" s="499">
        <f t="shared" ca="1" si="69"/>
        <v>0.22470000000000001</v>
      </c>
      <c r="AJ403" s="501">
        <v>1</v>
      </c>
      <c r="AL403" s="527"/>
      <c r="AM403" s="381">
        <f t="shared" ca="1" si="70"/>
        <v>0</v>
      </c>
      <c r="AN403" s="566">
        <f t="shared" ca="1" si="71"/>
        <v>0</v>
      </c>
    </row>
    <row r="404" spans="1:40" ht="38.25" x14ac:dyDescent="0.2">
      <c r="A404" t="str">
        <f t="shared" si="56"/>
        <v>S</v>
      </c>
      <c r="B404">
        <f t="shared" ca="1" si="57"/>
        <v>2</v>
      </c>
      <c r="C404" t="str">
        <f t="shared" ca="1" si="58"/>
        <v>S</v>
      </c>
      <c r="D404">
        <f t="shared" ca="1" si="59"/>
        <v>0</v>
      </c>
      <c r="E404">
        <f ca="1">IF($C404=1,OFFSET(E404,-1,0)+MAX(1,COUNTIF(QCI!$A$13:$A$24,OFFSET(ORÇAMENTO!E404,-1,0))),OFFSET(E404,-1,0))</f>
        <v>1</v>
      </c>
      <c r="F404">
        <f t="shared" ca="1" si="60"/>
        <v>15</v>
      </c>
      <c r="G404">
        <f t="shared" ca="1" si="61"/>
        <v>0</v>
      </c>
      <c r="H404">
        <f t="shared" ca="1" si="62"/>
        <v>0</v>
      </c>
      <c r="I404">
        <f t="shared" ca="1" si="63"/>
        <v>0</v>
      </c>
      <c r="J404">
        <f t="shared" ca="1" si="108"/>
        <v>0</v>
      </c>
      <c r="K404">
        <f ca="1">IF(OR($C404="S",$C404=0),0,MATCH(OFFSET($D404,0,$C404)+IF($C404&lt;&gt;1,1,COUNTIF(QCI!$A$13:$A$24,ORÇAMENTO!E404)),OFFSET($D404,1,$C404,ROW($C$747)-ROW($C404)),0))</f>
        <v>0</v>
      </c>
      <c r="L404" s="116" t="str">
        <f t="shared" ca="1" si="64"/>
        <v/>
      </c>
      <c r="M404" s="117" t="s">
        <v>199</v>
      </c>
      <c r="N404" s="118" t="str">
        <f t="shared" ca="1" si="65"/>
        <v>Serviço</v>
      </c>
      <c r="O404" s="119" t="str">
        <f t="shared" ca="1" si="66"/>
        <v>-</v>
      </c>
      <c r="P404" s="120" t="s">
        <v>247</v>
      </c>
      <c r="Q404" s="121" t="s">
        <v>600</v>
      </c>
      <c r="R404" s="122" t="str">
        <f ca="1">IF($C404="S",REFERENCIA.Descricao,"(digite a descrição aqui)")</f>
        <v>(abra o arquivo 'Referência 02-2025.xlsm)</v>
      </c>
      <c r="S404" s="123" t="str">
        <f ca="1">REFERENCIA.Unidade</f>
        <v>-</v>
      </c>
      <c r="T404" s="124">
        <f ca="1">OFFSET(CÁLCULO!H$15,ROW($T404)-ROW(T$15),0)</f>
        <v>42</v>
      </c>
      <c r="U404" s="125">
        <f t="shared" ca="1" si="91"/>
        <v>0</v>
      </c>
      <c r="V404" s="126" t="s">
        <v>156</v>
      </c>
      <c r="W404" s="124">
        <f ca="1">IF($C404="S",ROUND(IF(TIPOORCAMENTO="Proposto",ORÇAMENTO.CustoUnitario*(1+$AH404),ORÇAMENTO.PrecoUnitarioLicitado),15-13*$AF$10),0)</f>
        <v>0</v>
      </c>
      <c r="X404" s="127">
        <f ca="1">IF($C404="S",IF(Import.TipoArredondamento&lt;&gt;"TransfereGOV",VTOTAL1,SUM(OFFSET(CÁLCULO!$AA$15,ROW($X404)-ROW($X$15),1):OFFSET(CÁLCULO!$AL$15,ROW($X404)-ROW($X$15),-1))),IF($C404=0,0,ROUND(SomaAgrup,15-13*$AF$11)))</f>
        <v>0</v>
      </c>
      <c r="Y404" s="128" t="s">
        <v>245</v>
      </c>
      <c r="Z404" t="str">
        <f t="shared" ca="1" si="67"/>
        <v/>
      </c>
      <c r="AA404" s="129">
        <f ca="1">IF($C404="S",IF($Z404="CP",$X404,IF($Z404="RA",(($X404)*QCI!$AA$3),0)),SomaAgrup)</f>
        <v>0</v>
      </c>
      <c r="AB404" s="130">
        <f t="shared" ca="1" si="68"/>
        <v>0</v>
      </c>
      <c r="AC404" s="131" t="str">
        <f ca="1">IF($N404="","",IF(ORÇAMENTO.Descricao="","DESCRIÇÃO",IF(AND($C404="S",ORÇAMENTO.Unidade=""),"UNIDADE",IF($X404&lt;0,"VALOR NEGATIVO",IF(OR(AND(TIPOORCAMENTO="Proposto",$AG404&lt;&gt;"",$AG404&gt;0,ORÇAMENTO.CustoUnitario&gt;$AG404),AND(TIPOORCAMENTO="LICITADO",ORÇAMENTO.PrecoUnitarioLicitado&gt;$AN404)),"ACIMA REF.","")))))</f>
        <v/>
      </c>
      <c r="AD404" t="str">
        <f ca="1">IF(C404&lt;=CRONO.NivelExibicao,MAX($AD$15:OFFSET(AD404,-1,0))+IF($C404&lt;&gt;1,1,MAX(1,COUNTIF(QCI!$A$13:$A$24,OFFSET($E404,-1,0)))),"")</f>
        <v/>
      </c>
      <c r="AE404" s="7" t="str">
        <f ca="1">IF(AND($C404="S",ORÇAMENTO.CodBarra&lt;&gt;""),IF(ORÇAMENTO.Fonte="",ORÇAMENTO.CodBarra,CONCATENATE(ORÇAMENTO.Fonte," ",ORÇAMENTO.CodBarra)))</f>
        <v>SINAPI 86877</v>
      </c>
      <c r="AF404" s="13" t="str">
        <f ca="1">IF(ISERROR(INDIRECT(ORÇAMENTO.BancoRef)),"(abra o arquivo 'Referência "&amp;Excel_BuiltIn_Database&amp;".xlsm)",IF(OR($C404&lt;&gt;"S",ORÇAMENTO.CodBarra=""),"(Sem Código)",IF(ISERROR(MATCH($AE404,INDIRECT(ORÇAMENTO.BancoRef),0)),"(Código não identificado nas referências)",MATCH($AE404,INDIRECT(ORÇAMENTO.BancoRef),0))))</f>
        <v>(abra o arquivo 'Referência 02-2025.xlsm)</v>
      </c>
      <c r="AG404" s="498">
        <f ca="1">ROUND(IF(DESONERACAO="sim",REFERENCIA.Desonerado,REFERENCIA.NaoDesonerado),2)</f>
        <v>0</v>
      </c>
      <c r="AH404" s="499">
        <f t="shared" ca="1" si="69"/>
        <v>0.22470000000000001</v>
      </c>
      <c r="AJ404" s="501">
        <v>42</v>
      </c>
      <c r="AL404" s="527"/>
      <c r="AM404" s="381">
        <f t="shared" ca="1" si="70"/>
        <v>0</v>
      </c>
      <c r="AN404" s="566">
        <f t="shared" ca="1" si="71"/>
        <v>0</v>
      </c>
    </row>
    <row r="405" spans="1:40" ht="25.5" x14ac:dyDescent="0.2">
      <c r="A405" t="str">
        <f t="shared" si="56"/>
        <v>S</v>
      </c>
      <c r="B405">
        <f t="shared" ca="1" si="57"/>
        <v>2</v>
      </c>
      <c r="C405" t="str">
        <f t="shared" ca="1" si="58"/>
        <v>S</v>
      </c>
      <c r="D405">
        <f t="shared" ca="1" si="59"/>
        <v>0</v>
      </c>
      <c r="E405">
        <f ca="1">IF($C405=1,OFFSET(E405,-1,0)+MAX(1,COUNTIF(QCI!$A$13:$A$24,OFFSET(ORÇAMENTO!E405,-1,0))),OFFSET(E405,-1,0))</f>
        <v>1</v>
      </c>
      <c r="F405">
        <f t="shared" ca="1" si="60"/>
        <v>15</v>
      </c>
      <c r="G405">
        <f t="shared" ca="1" si="61"/>
        <v>0</v>
      </c>
      <c r="H405">
        <f t="shared" ca="1" si="62"/>
        <v>0</v>
      </c>
      <c r="I405">
        <f t="shared" ca="1" si="63"/>
        <v>0</v>
      </c>
      <c r="J405">
        <f t="shared" ca="1" si="108"/>
        <v>0</v>
      </c>
      <c r="K405">
        <f ca="1">IF(OR($C405="S",$C405=0),0,MATCH(OFFSET($D405,0,$C405)+IF($C405&lt;&gt;1,1,COUNTIF(QCI!$A$13:$A$24,ORÇAMENTO!E405)),OFFSET($D405,1,$C405,ROW($C$747)-ROW($C405)),0))</f>
        <v>0</v>
      </c>
      <c r="L405" s="116" t="str">
        <f t="shared" ca="1" si="64"/>
        <v/>
      </c>
      <c r="M405" s="117" t="s">
        <v>199</v>
      </c>
      <c r="N405" s="118" t="str">
        <f t="shared" ca="1" si="65"/>
        <v>Serviço</v>
      </c>
      <c r="O405" s="119" t="str">
        <f t="shared" ca="1" si="66"/>
        <v>-</v>
      </c>
      <c r="P405" s="120" t="s">
        <v>247</v>
      </c>
      <c r="Q405" s="121" t="s">
        <v>601</v>
      </c>
      <c r="R405" s="122" t="str">
        <f ca="1">IF($C405="S",REFERENCIA.Descricao,"(digite a descrição aqui)")</f>
        <v>(abra o arquivo 'Referência 02-2025.xlsm)</v>
      </c>
      <c r="S405" s="123" t="str">
        <f ca="1">REFERENCIA.Unidade</f>
        <v>-</v>
      </c>
      <c r="T405" s="124">
        <f ca="1">OFFSET(CÁLCULO!H$15,ROW($T405)-ROW(T$15),0)</f>
        <v>18</v>
      </c>
      <c r="U405" s="125">
        <f t="shared" ca="1" si="91"/>
        <v>0</v>
      </c>
      <c r="V405" s="126" t="s">
        <v>156</v>
      </c>
      <c r="W405" s="124">
        <f ca="1">IF($C405="S",ROUND(IF(TIPOORCAMENTO="Proposto",ORÇAMENTO.CustoUnitario*(1+$AH405),ORÇAMENTO.PrecoUnitarioLicitado),15-13*$AF$10),0)</f>
        <v>0</v>
      </c>
      <c r="X405" s="127">
        <f ca="1">IF($C405="S",IF(Import.TipoArredondamento&lt;&gt;"TransfereGOV",VTOTAL1,SUM(OFFSET(CÁLCULO!$AA$15,ROW($X405)-ROW($X$15),1):OFFSET(CÁLCULO!$AL$15,ROW($X405)-ROW($X$15),-1))),IF($C405=0,0,ROUND(SomaAgrup,15-13*$AF$11)))</f>
        <v>0</v>
      </c>
      <c r="Y405" s="128" t="s">
        <v>245</v>
      </c>
      <c r="Z405" t="str">
        <f t="shared" ca="1" si="67"/>
        <v/>
      </c>
      <c r="AA405" s="129">
        <f ca="1">IF($C405="S",IF($Z405="CP",$X405,IF($Z405="RA",(($X405)*QCI!$AA$3),0)),SomaAgrup)</f>
        <v>0</v>
      </c>
      <c r="AB405" s="130">
        <f t="shared" ca="1" si="68"/>
        <v>0</v>
      </c>
      <c r="AC405" s="131" t="str">
        <f ca="1">IF($N405="","",IF(ORÇAMENTO.Descricao="","DESCRIÇÃO",IF(AND($C405="S",ORÇAMENTO.Unidade=""),"UNIDADE",IF($X405&lt;0,"VALOR NEGATIVO",IF(OR(AND(TIPOORCAMENTO="Proposto",$AG405&lt;&gt;"",$AG405&gt;0,ORÇAMENTO.CustoUnitario&gt;$AG405),AND(TIPOORCAMENTO="LICITADO",ORÇAMENTO.PrecoUnitarioLicitado&gt;$AN405)),"ACIMA REF.","")))))</f>
        <v/>
      </c>
      <c r="AD405" t="str">
        <f ca="1">IF(C405&lt;=CRONO.NivelExibicao,MAX($AD$15:OFFSET(AD405,-1,0))+IF($C405&lt;&gt;1,1,MAX(1,COUNTIF(QCI!$A$13:$A$24,OFFSET($E405,-1,0)))),"")</f>
        <v/>
      </c>
      <c r="AE405" s="7" t="str">
        <f ca="1">IF(AND($C405="S",ORÇAMENTO.CodBarra&lt;&gt;""),IF(ORÇAMENTO.Fonte="",ORÇAMENTO.CodBarra,CONCATENATE(ORÇAMENTO.Fonte," ",ORÇAMENTO.CodBarra)))</f>
        <v>SINAPI 86878</v>
      </c>
      <c r="AF405" s="13" t="str">
        <f ca="1">IF(ISERROR(INDIRECT(ORÇAMENTO.BancoRef)),"(abra o arquivo 'Referência "&amp;Excel_BuiltIn_Database&amp;".xlsm)",IF(OR($C405&lt;&gt;"S",ORÇAMENTO.CodBarra=""),"(Sem Código)",IF(ISERROR(MATCH($AE405,INDIRECT(ORÇAMENTO.BancoRef),0)),"(Código não identificado nas referências)",MATCH($AE405,INDIRECT(ORÇAMENTO.BancoRef),0))))</f>
        <v>(abra o arquivo 'Referência 02-2025.xlsm)</v>
      </c>
      <c r="AG405" s="498">
        <f ca="1">ROUND(IF(DESONERACAO="sim",REFERENCIA.Desonerado,REFERENCIA.NaoDesonerado),2)</f>
        <v>0</v>
      </c>
      <c r="AH405" s="499">
        <f t="shared" ca="1" si="69"/>
        <v>0.22470000000000001</v>
      </c>
      <c r="AJ405" s="501">
        <v>18</v>
      </c>
      <c r="AL405" s="527"/>
      <c r="AM405" s="381">
        <f t="shared" ca="1" si="70"/>
        <v>0</v>
      </c>
      <c r="AN405" s="566">
        <f t="shared" ca="1" si="71"/>
        <v>0</v>
      </c>
    </row>
    <row r="406" spans="1:40" ht="25.5" x14ac:dyDescent="0.2">
      <c r="A406" t="str">
        <f t="shared" si="56"/>
        <v>S</v>
      </c>
      <c r="B406">
        <f t="shared" ca="1" si="57"/>
        <v>2</v>
      </c>
      <c r="C406" t="str">
        <f t="shared" ca="1" si="58"/>
        <v>S</v>
      </c>
      <c r="D406">
        <f t="shared" ca="1" si="59"/>
        <v>0</v>
      </c>
      <c r="E406">
        <f ca="1">IF($C406=1,OFFSET(E406,-1,0)+MAX(1,COUNTIF(QCI!$A$13:$A$24,OFFSET(ORÇAMENTO!E406,-1,0))),OFFSET(E406,-1,0))</f>
        <v>1</v>
      </c>
      <c r="F406">
        <f t="shared" ca="1" si="60"/>
        <v>15</v>
      </c>
      <c r="G406">
        <f t="shared" ca="1" si="61"/>
        <v>0</v>
      </c>
      <c r="H406">
        <f t="shared" ca="1" si="62"/>
        <v>0</v>
      </c>
      <c r="I406">
        <f t="shared" ca="1" si="63"/>
        <v>0</v>
      </c>
      <c r="J406">
        <f t="shared" ca="1" si="108"/>
        <v>0</v>
      </c>
      <c r="K406">
        <f ca="1">IF(OR($C406="S",$C406=0),0,MATCH(OFFSET($D406,0,$C406)+IF($C406&lt;&gt;1,1,COUNTIF(QCI!$A$13:$A$24,ORÇAMENTO!E406)),OFFSET($D406,1,$C406,ROW($C$747)-ROW($C406)),0))</f>
        <v>0</v>
      </c>
      <c r="L406" s="116" t="str">
        <f t="shared" ca="1" si="64"/>
        <v/>
      </c>
      <c r="M406" s="117" t="s">
        <v>199</v>
      </c>
      <c r="N406" s="118" t="str">
        <f t="shared" ca="1" si="65"/>
        <v>Serviço</v>
      </c>
      <c r="O406" s="119" t="str">
        <f t="shared" ca="1" si="66"/>
        <v>-</v>
      </c>
      <c r="P406" s="120" t="s">
        <v>247</v>
      </c>
      <c r="Q406" s="121" t="s">
        <v>602</v>
      </c>
      <c r="R406" s="122" t="str">
        <f ca="1">IF($C406="S",REFERENCIA.Descricao,"(digite a descrição aqui)")</f>
        <v>(abra o arquivo 'Referência 02-2025.xlsm)</v>
      </c>
      <c r="S406" s="123" t="str">
        <f ca="1">REFERENCIA.Unidade</f>
        <v>-</v>
      </c>
      <c r="T406" s="124">
        <f ca="1">OFFSET(CÁLCULO!H$15,ROW($T406)-ROW(T$15),0)</f>
        <v>42</v>
      </c>
      <c r="U406" s="125">
        <f t="shared" ca="1" si="91"/>
        <v>0</v>
      </c>
      <c r="V406" s="126" t="s">
        <v>156</v>
      </c>
      <c r="W406" s="124">
        <f ca="1">IF($C406="S",ROUND(IF(TIPOORCAMENTO="Proposto",ORÇAMENTO.CustoUnitario*(1+$AH406),ORÇAMENTO.PrecoUnitarioLicitado),15-13*$AF$10),0)</f>
        <v>0</v>
      </c>
      <c r="X406" s="127">
        <f ca="1">IF($C406="S",IF(Import.TipoArredondamento&lt;&gt;"TransfereGOV",VTOTAL1,SUM(OFFSET(CÁLCULO!$AA$15,ROW($X406)-ROW($X$15),1):OFFSET(CÁLCULO!$AL$15,ROW($X406)-ROW($X$15),-1))),IF($C406=0,0,ROUND(SomaAgrup,15-13*$AF$11)))</f>
        <v>0</v>
      </c>
      <c r="Y406" s="128" t="s">
        <v>245</v>
      </c>
      <c r="Z406" t="str">
        <f t="shared" ca="1" si="67"/>
        <v/>
      </c>
      <c r="AA406" s="129">
        <f ca="1">IF($C406="S",IF($Z406="CP",$X406,IF($Z406="RA",(($X406)*QCI!$AA$3),0)),SomaAgrup)</f>
        <v>0</v>
      </c>
      <c r="AB406" s="130">
        <f t="shared" ca="1" si="68"/>
        <v>0</v>
      </c>
      <c r="AC406" s="131" t="str">
        <f ca="1">IF($N406="","",IF(ORÇAMENTO.Descricao="","DESCRIÇÃO",IF(AND($C406="S",ORÇAMENTO.Unidade=""),"UNIDADE",IF($X406&lt;0,"VALOR NEGATIVO",IF(OR(AND(TIPOORCAMENTO="Proposto",$AG406&lt;&gt;"",$AG406&gt;0,ORÇAMENTO.CustoUnitario&gt;$AG406),AND(TIPOORCAMENTO="LICITADO",ORÇAMENTO.PrecoUnitarioLicitado&gt;$AN406)),"ACIMA REF.","")))))</f>
        <v/>
      </c>
      <c r="AD406" t="str">
        <f ca="1">IF(C406&lt;=CRONO.NivelExibicao,MAX($AD$15:OFFSET(AD406,-1,0))+IF($C406&lt;&gt;1,1,MAX(1,COUNTIF(QCI!$A$13:$A$24,OFFSET($E406,-1,0)))),"")</f>
        <v/>
      </c>
      <c r="AE406" s="7" t="str">
        <f ca="1">IF(AND($C406="S",ORÇAMENTO.CodBarra&lt;&gt;""),IF(ORÇAMENTO.Fonte="",ORÇAMENTO.CodBarra,CONCATENATE(ORÇAMENTO.Fonte," ",ORÇAMENTO.CodBarra)))</f>
        <v>SINAPI 86883</v>
      </c>
      <c r="AF406" s="13" t="str">
        <f ca="1">IF(ISERROR(INDIRECT(ORÇAMENTO.BancoRef)),"(abra o arquivo 'Referência "&amp;Excel_BuiltIn_Database&amp;".xlsm)",IF(OR($C406&lt;&gt;"S",ORÇAMENTO.CodBarra=""),"(Sem Código)",IF(ISERROR(MATCH($AE406,INDIRECT(ORÇAMENTO.BancoRef),0)),"(Código não identificado nas referências)",MATCH($AE406,INDIRECT(ORÇAMENTO.BancoRef),0))))</f>
        <v>(abra o arquivo 'Referência 02-2025.xlsm)</v>
      </c>
      <c r="AG406" s="498">
        <f ca="1">ROUND(IF(DESONERACAO="sim",REFERENCIA.Desonerado,REFERENCIA.NaoDesonerado),2)</f>
        <v>0</v>
      </c>
      <c r="AH406" s="499">
        <f t="shared" ca="1" si="69"/>
        <v>0.22470000000000001</v>
      </c>
      <c r="AJ406" s="501">
        <v>42</v>
      </c>
      <c r="AL406" s="527"/>
      <c r="AM406" s="381">
        <f t="shared" ca="1" si="70"/>
        <v>0</v>
      </c>
      <c r="AN406" s="566">
        <f t="shared" ca="1" si="71"/>
        <v>0</v>
      </c>
    </row>
    <row r="407" spans="1:40" ht="25.5" x14ac:dyDescent="0.2">
      <c r="A407" t="str">
        <f t="shared" si="56"/>
        <v>S</v>
      </c>
      <c r="B407">
        <f t="shared" ca="1" si="57"/>
        <v>2</v>
      </c>
      <c r="C407" t="str">
        <f t="shared" ca="1" si="58"/>
        <v>S</v>
      </c>
      <c r="D407">
        <f t="shared" ca="1" si="59"/>
        <v>0</v>
      </c>
      <c r="E407">
        <f ca="1">IF($C407=1,OFFSET(E407,-1,0)+MAX(1,COUNTIF(QCI!$A$13:$A$24,OFFSET(ORÇAMENTO!E407,-1,0))),OFFSET(E407,-1,0))</f>
        <v>1</v>
      </c>
      <c r="F407">
        <f t="shared" ca="1" si="60"/>
        <v>15</v>
      </c>
      <c r="G407">
        <f t="shared" ca="1" si="61"/>
        <v>0</v>
      </c>
      <c r="H407">
        <f t="shared" ca="1" si="62"/>
        <v>0</v>
      </c>
      <c r="I407">
        <f t="shared" ca="1" si="63"/>
        <v>0</v>
      </c>
      <c r="J407">
        <f t="shared" ca="1" si="108"/>
        <v>0</v>
      </c>
      <c r="K407">
        <f ca="1">IF(OR($C407="S",$C407=0),0,MATCH(OFFSET($D407,0,$C407)+IF($C407&lt;&gt;1,1,COUNTIF(QCI!$A$13:$A$24,ORÇAMENTO!E407)),OFFSET($D407,1,$C407,ROW($C$747)-ROW($C407)),0))</f>
        <v>0</v>
      </c>
      <c r="L407" s="116" t="str">
        <f t="shared" ca="1" si="64"/>
        <v/>
      </c>
      <c r="M407" s="117" t="s">
        <v>199</v>
      </c>
      <c r="N407" s="118" t="str">
        <f t="shared" ca="1" si="65"/>
        <v>Serviço</v>
      </c>
      <c r="O407" s="119" t="str">
        <f t="shared" ca="1" si="66"/>
        <v>-</v>
      </c>
      <c r="P407" s="120" t="s">
        <v>247</v>
      </c>
      <c r="Q407" s="121" t="s">
        <v>940</v>
      </c>
      <c r="R407" s="122" t="str">
        <f ca="1">IF($C407="S",REFERENCIA.Descricao,"(digite a descrição aqui)")</f>
        <v>(abra o arquivo 'Referência 02-2025.xlsm)</v>
      </c>
      <c r="S407" s="123" t="str">
        <f ca="1">REFERENCIA.Unidade</f>
        <v>-</v>
      </c>
      <c r="T407" s="124">
        <f ca="1">OFFSET(CÁLCULO!H$15,ROW($T407)-ROW(T$15),0)</f>
        <v>18</v>
      </c>
      <c r="U407" s="125">
        <f t="shared" ca="1" si="91"/>
        <v>0</v>
      </c>
      <c r="V407" s="126" t="s">
        <v>156</v>
      </c>
      <c r="W407" s="124">
        <f ca="1">IF($C407="S",ROUND(IF(TIPOORCAMENTO="Proposto",ORÇAMENTO.CustoUnitario*(1+$AH407),ORÇAMENTO.PrecoUnitarioLicitado),15-13*$AF$10),0)</f>
        <v>0</v>
      </c>
      <c r="X407" s="127">
        <f ca="1">IF($C407="S",IF(Import.TipoArredondamento&lt;&gt;"TransfereGOV",VTOTAL1,SUM(OFFSET(CÁLCULO!$AA$15,ROW($X407)-ROW($X$15),1):OFFSET(CÁLCULO!$AL$15,ROW($X407)-ROW($X$15),-1))),IF($C407=0,0,ROUND(SomaAgrup,15-13*$AF$11)))</f>
        <v>0</v>
      </c>
      <c r="Y407" s="128" t="s">
        <v>245</v>
      </c>
      <c r="Z407" t="str">
        <f t="shared" ca="1" si="67"/>
        <v/>
      </c>
      <c r="AA407" s="129">
        <f ca="1">IF($C407="S",IF($Z407="CP",$X407,IF($Z407="RA",(($X407)*QCI!$AA$3),0)),SomaAgrup)</f>
        <v>0</v>
      </c>
      <c r="AB407" s="130">
        <f t="shared" ca="1" si="68"/>
        <v>0</v>
      </c>
      <c r="AC407" s="131" t="str">
        <f ca="1">IF($N407="","",IF(ORÇAMENTO.Descricao="","DESCRIÇÃO",IF(AND($C407="S",ORÇAMENTO.Unidade=""),"UNIDADE",IF($X407&lt;0,"VALOR NEGATIVO",IF(OR(AND(TIPOORCAMENTO="Proposto",$AG407&lt;&gt;"",$AG407&gt;0,ORÇAMENTO.CustoUnitario&gt;$AG407),AND(TIPOORCAMENTO="LICITADO",ORÇAMENTO.PrecoUnitarioLicitado&gt;$AN407)),"ACIMA REF.","")))))</f>
        <v/>
      </c>
      <c r="AD407" t="str">
        <f ca="1">IF(C407&lt;=CRONO.NivelExibicao,MAX($AD$15:OFFSET(AD407,-1,0))+IF($C407&lt;&gt;1,1,MAX(1,COUNTIF(QCI!$A$13:$A$24,OFFSET($E407,-1,0)))),"")</f>
        <v/>
      </c>
      <c r="AE407" s="7" t="str">
        <f ca="1">IF(AND($C407="S",ORÇAMENTO.CodBarra&lt;&gt;""),IF(ORÇAMENTO.Fonte="",ORÇAMENTO.CodBarra,CONCATENATE(ORÇAMENTO.Fonte," ",ORÇAMENTO.CodBarra)))</f>
        <v>SINAPI 86882</v>
      </c>
      <c r="AF407" s="13" t="str">
        <f ca="1">IF(ISERROR(INDIRECT(ORÇAMENTO.BancoRef)),"(abra o arquivo 'Referência "&amp;Excel_BuiltIn_Database&amp;".xlsm)",IF(OR($C407&lt;&gt;"S",ORÇAMENTO.CodBarra=""),"(Sem Código)",IF(ISERROR(MATCH($AE407,INDIRECT(ORÇAMENTO.BancoRef),0)),"(Código não identificado nas referências)",MATCH($AE407,INDIRECT(ORÇAMENTO.BancoRef),0))))</f>
        <v>(abra o arquivo 'Referência 02-2025.xlsm)</v>
      </c>
      <c r="AG407" s="498">
        <f ca="1">ROUND(IF(DESONERACAO="sim",REFERENCIA.Desonerado,REFERENCIA.NaoDesonerado),2)</f>
        <v>0</v>
      </c>
      <c r="AH407" s="499">
        <f t="shared" ca="1" si="69"/>
        <v>0.22470000000000001</v>
      </c>
      <c r="AJ407" s="501">
        <v>18</v>
      </c>
      <c r="AL407" s="527"/>
      <c r="AM407" s="381">
        <f t="shared" ca="1" si="70"/>
        <v>0</v>
      </c>
      <c r="AN407" s="566">
        <f t="shared" ca="1" si="71"/>
        <v>0</v>
      </c>
    </row>
    <row r="408" spans="1:40" ht="25.5" x14ac:dyDescent="0.2">
      <c r="A408" t="str">
        <f t="shared" si="56"/>
        <v>S</v>
      </c>
      <c r="B408">
        <f t="shared" ca="1" si="57"/>
        <v>2</v>
      </c>
      <c r="C408" t="str">
        <f t="shared" ca="1" si="58"/>
        <v>S</v>
      </c>
      <c r="D408">
        <f t="shared" ca="1" si="59"/>
        <v>0</v>
      </c>
      <c r="E408">
        <f ca="1">IF($C408=1,OFFSET(E408,-1,0)+MAX(1,COUNTIF(QCI!$A$13:$A$24,OFFSET(ORÇAMENTO!E408,-1,0))),OFFSET(E408,-1,0))</f>
        <v>1</v>
      </c>
      <c r="F408">
        <f t="shared" ca="1" si="60"/>
        <v>15</v>
      </c>
      <c r="G408">
        <f t="shared" ca="1" si="61"/>
        <v>0</v>
      </c>
      <c r="H408">
        <f t="shared" ca="1" si="62"/>
        <v>0</v>
      </c>
      <c r="I408">
        <f t="shared" ca="1" si="63"/>
        <v>0</v>
      </c>
      <c r="J408">
        <f t="shared" ca="1" si="108"/>
        <v>0</v>
      </c>
      <c r="K408">
        <f ca="1">IF(OR($C408="S",$C408=0),0,MATCH(OFFSET($D408,0,$C408)+IF($C408&lt;&gt;1,1,COUNTIF(QCI!$A$13:$A$24,ORÇAMENTO!E408)),OFFSET($D408,1,$C408,ROW($C$747)-ROW($C408)),0))</f>
        <v>0</v>
      </c>
      <c r="L408" s="116" t="str">
        <f t="shared" ca="1" si="64"/>
        <v/>
      </c>
      <c r="M408" s="117" t="s">
        <v>199</v>
      </c>
      <c r="N408" s="118" t="str">
        <f t="shared" ca="1" si="65"/>
        <v>Serviço</v>
      </c>
      <c r="O408" s="119" t="str">
        <f t="shared" ca="1" si="66"/>
        <v>-</v>
      </c>
      <c r="P408" s="120" t="s">
        <v>712</v>
      </c>
      <c r="Q408" s="121" t="s">
        <v>941</v>
      </c>
      <c r="R408" s="122" t="str">
        <f ca="1">IF($C408="S",REFERENCIA.Descricao,"(digite a descrição aqui)")</f>
        <v>(abra o arquivo 'Referência 02-2025.xlsm)</v>
      </c>
      <c r="S408" s="123" t="str">
        <f ca="1">REFERENCIA.Unidade</f>
        <v>-</v>
      </c>
      <c r="T408" s="124">
        <f ca="1">OFFSET(CÁLCULO!H$15,ROW($T408)-ROW(T$15),0)</f>
        <v>28</v>
      </c>
      <c r="U408" s="125">
        <f t="shared" ca="1" si="91"/>
        <v>0</v>
      </c>
      <c r="V408" s="126" t="s">
        <v>156</v>
      </c>
      <c r="W408" s="124">
        <f ca="1">IF($C408="S",ROUND(IF(TIPOORCAMENTO="Proposto",ORÇAMENTO.CustoUnitario*(1+$AH408),ORÇAMENTO.PrecoUnitarioLicitado),15-13*$AF$10),0)</f>
        <v>0</v>
      </c>
      <c r="X408" s="127">
        <f ca="1">IF($C408="S",IF(Import.TipoArredondamento&lt;&gt;"TransfereGOV",VTOTAL1,SUM(OFFSET(CÁLCULO!$AA$15,ROW($X408)-ROW($X$15),1):OFFSET(CÁLCULO!$AL$15,ROW($X408)-ROW($X$15),-1))),IF($C408=0,0,ROUND(SomaAgrup,15-13*$AF$11)))</f>
        <v>0</v>
      </c>
      <c r="Y408" s="128" t="s">
        <v>245</v>
      </c>
      <c r="Z408" t="str">
        <f t="shared" ca="1" si="67"/>
        <v/>
      </c>
      <c r="AA408" s="129">
        <f ca="1">IF($C408="S",IF($Z408="CP",$X408,IF($Z408="RA",(($X408)*QCI!$AA$3),0)),SomaAgrup)</f>
        <v>0</v>
      </c>
      <c r="AB408" s="130">
        <f t="shared" ca="1" si="68"/>
        <v>0</v>
      </c>
      <c r="AC408" s="131" t="str">
        <f ca="1">IF($N408="","",IF(ORÇAMENTO.Descricao="","DESCRIÇÃO",IF(AND($C408="S",ORÇAMENTO.Unidade=""),"UNIDADE",IF($X408&lt;0,"VALOR NEGATIVO",IF(OR(AND(TIPOORCAMENTO="Proposto",$AG408&lt;&gt;"",$AG408&gt;0,ORÇAMENTO.CustoUnitario&gt;$AG408),AND(TIPOORCAMENTO="LICITADO",ORÇAMENTO.PrecoUnitarioLicitado&gt;$AN408)),"ACIMA REF.","")))))</f>
        <v/>
      </c>
      <c r="AD408" t="str">
        <f ca="1">IF(C408&lt;=CRONO.NivelExibicao,MAX($AD$15:OFFSET(AD408,-1,0))+IF($C408&lt;&gt;1,1,MAX(1,COUNTIF(QCI!$A$13:$A$24,OFFSET($E408,-1,0)))),"")</f>
        <v/>
      </c>
      <c r="AE408" s="7" t="str">
        <f ca="1">IF(AND($C408="S",ORÇAMENTO.CodBarra&lt;&gt;""),IF(ORÇAMENTO.Fonte="",ORÇAMENTO.CodBarra,CONCATENATE(ORÇAMENTO.Fonte," ",ORÇAMENTO.CodBarra)))</f>
        <v>Composição FNDE 224</v>
      </c>
      <c r="AF408" s="13" t="str">
        <f ca="1">IF(ISERROR(INDIRECT(ORÇAMENTO.BancoRef)),"(abra o arquivo 'Referência "&amp;Excel_BuiltIn_Database&amp;".xlsm)",IF(OR($C408&lt;&gt;"S",ORÇAMENTO.CodBarra=""),"(Sem Código)",IF(ISERROR(MATCH($AE408,INDIRECT(ORÇAMENTO.BancoRef),0)),"(Código não identificado nas referências)",MATCH($AE408,INDIRECT(ORÇAMENTO.BancoRef),0))))</f>
        <v>(abra o arquivo 'Referência 02-2025.xlsm)</v>
      </c>
      <c r="AG408" s="498">
        <f ca="1">ROUND(IF(DESONERACAO="sim",REFERENCIA.Desonerado,REFERENCIA.NaoDesonerado),2)</f>
        <v>0</v>
      </c>
      <c r="AH408" s="499">
        <f t="shared" ca="1" si="69"/>
        <v>0.22470000000000001</v>
      </c>
      <c r="AJ408" s="501">
        <v>28</v>
      </c>
      <c r="AL408" s="527"/>
      <c r="AM408" s="381">
        <f t="shared" ca="1" si="70"/>
        <v>0</v>
      </c>
      <c r="AN408" s="566">
        <f t="shared" ca="1" si="71"/>
        <v>0</v>
      </c>
    </row>
    <row r="409" spans="1:40" ht="38.25" x14ac:dyDescent="0.2">
      <c r="A409" t="str">
        <f t="shared" si="56"/>
        <v>S</v>
      </c>
      <c r="B409">
        <f t="shared" ca="1" si="57"/>
        <v>2</v>
      </c>
      <c r="C409" t="str">
        <f t="shared" ca="1" si="58"/>
        <v>S</v>
      </c>
      <c r="D409">
        <f t="shared" ca="1" si="59"/>
        <v>0</v>
      </c>
      <c r="E409">
        <f ca="1">IF($C409=1,OFFSET(E409,-1,0)+MAX(1,COUNTIF(QCI!$A$13:$A$24,OFFSET(ORÇAMENTO!E409,-1,0))),OFFSET(E409,-1,0))</f>
        <v>1</v>
      </c>
      <c r="F409">
        <f t="shared" ca="1" si="60"/>
        <v>15</v>
      </c>
      <c r="G409">
        <f t="shared" ca="1" si="61"/>
        <v>0</v>
      </c>
      <c r="H409">
        <f t="shared" ca="1" si="62"/>
        <v>0</v>
      </c>
      <c r="I409">
        <f t="shared" ca="1" si="63"/>
        <v>0</v>
      </c>
      <c r="J409">
        <f t="shared" ca="1" si="108"/>
        <v>0</v>
      </c>
      <c r="K409">
        <f ca="1">IF(OR($C409="S",$C409=0),0,MATCH(OFFSET($D409,0,$C409)+IF($C409&lt;&gt;1,1,COUNTIF(QCI!$A$13:$A$24,ORÇAMENTO!E409)),OFFSET($D409,1,$C409,ROW($C$747)-ROW($C409)),0))</f>
        <v>0</v>
      </c>
      <c r="L409" s="116" t="str">
        <f t="shared" ca="1" si="64"/>
        <v/>
      </c>
      <c r="M409" s="117" t="s">
        <v>199</v>
      </c>
      <c r="N409" s="118" t="str">
        <f t="shared" ca="1" si="65"/>
        <v>Serviço</v>
      </c>
      <c r="O409" s="119" t="str">
        <f t="shared" ca="1" si="66"/>
        <v>-</v>
      </c>
      <c r="P409" s="120" t="s">
        <v>247</v>
      </c>
      <c r="Q409" s="121" t="s">
        <v>603</v>
      </c>
      <c r="R409" s="122" t="str">
        <f ca="1">IF($C409="S",REFERENCIA.Descricao,"(digite a descrição aqui)")</f>
        <v>(abra o arquivo 'Referência 02-2025.xlsm)</v>
      </c>
      <c r="S409" s="123" t="str">
        <f ca="1">REFERENCIA.Unidade</f>
        <v>-</v>
      </c>
      <c r="T409" s="124">
        <f ca="1">OFFSET(CÁLCULO!H$15,ROW($T409)-ROW(T$15),0)</f>
        <v>19</v>
      </c>
      <c r="U409" s="125">
        <f t="shared" ca="1" si="91"/>
        <v>0</v>
      </c>
      <c r="V409" s="126" t="s">
        <v>156</v>
      </c>
      <c r="W409" s="124">
        <f ca="1">IF($C409="S",ROUND(IF(TIPOORCAMENTO="Proposto",ORÇAMENTO.CustoUnitario*(1+$AH409),ORÇAMENTO.PrecoUnitarioLicitado),15-13*$AF$10),0)</f>
        <v>0</v>
      </c>
      <c r="X409" s="127">
        <f ca="1">IF($C409="S",IF(Import.TipoArredondamento&lt;&gt;"TransfereGOV",VTOTAL1,SUM(OFFSET(CÁLCULO!$AA$15,ROW($X409)-ROW($X$15),1):OFFSET(CÁLCULO!$AL$15,ROW($X409)-ROW($X$15),-1))),IF($C409=0,0,ROUND(SomaAgrup,15-13*$AF$11)))</f>
        <v>0</v>
      </c>
      <c r="Y409" s="128" t="s">
        <v>245</v>
      </c>
      <c r="Z409" t="str">
        <f t="shared" ca="1" si="67"/>
        <v/>
      </c>
      <c r="AA409" s="129">
        <f ca="1">IF($C409="S",IF($Z409="CP",$X409,IF($Z409="RA",(($X409)*QCI!$AA$3),0)),SomaAgrup)</f>
        <v>0</v>
      </c>
      <c r="AB409" s="130">
        <f t="shared" ca="1" si="68"/>
        <v>0</v>
      </c>
      <c r="AC409" s="131" t="str">
        <f ca="1">IF($N409="","",IF(ORÇAMENTO.Descricao="","DESCRIÇÃO",IF(AND($C409="S",ORÇAMENTO.Unidade=""),"UNIDADE",IF($X409&lt;0,"VALOR NEGATIVO",IF(OR(AND(TIPOORCAMENTO="Proposto",$AG409&lt;&gt;"",$AG409&gt;0,ORÇAMENTO.CustoUnitario&gt;$AG409),AND(TIPOORCAMENTO="LICITADO",ORÇAMENTO.PrecoUnitarioLicitado&gt;$AN409)),"ACIMA REF.","")))))</f>
        <v/>
      </c>
      <c r="AD409" t="str">
        <f ca="1">IF(C409&lt;=CRONO.NivelExibicao,MAX($AD$15:OFFSET(AD409,-1,0))+IF($C409&lt;&gt;1,1,MAX(1,COUNTIF(QCI!$A$13:$A$24,OFFSET($E409,-1,0)))),"")</f>
        <v/>
      </c>
      <c r="AE409" s="7" t="str">
        <f ca="1">IF(AND($C409="S",ORÇAMENTO.CodBarra&lt;&gt;""),IF(ORÇAMENTO.Fonte="",ORÇAMENTO.CodBarra,CONCATENATE(ORÇAMENTO.Fonte," ",ORÇAMENTO.CodBarra)))</f>
        <v>SINAPI 86911</v>
      </c>
      <c r="AF409" s="13" t="str">
        <f ca="1">IF(ISERROR(INDIRECT(ORÇAMENTO.BancoRef)),"(abra o arquivo 'Referência "&amp;Excel_BuiltIn_Database&amp;".xlsm)",IF(OR($C409&lt;&gt;"S",ORÇAMENTO.CodBarra=""),"(Sem Código)",IF(ISERROR(MATCH($AE409,INDIRECT(ORÇAMENTO.BancoRef),0)),"(Código não identificado nas referências)",MATCH($AE409,INDIRECT(ORÇAMENTO.BancoRef),0))))</f>
        <v>(abra o arquivo 'Referência 02-2025.xlsm)</v>
      </c>
      <c r="AG409" s="498">
        <f ca="1">ROUND(IF(DESONERACAO="sim",REFERENCIA.Desonerado,REFERENCIA.NaoDesonerado),2)</f>
        <v>0</v>
      </c>
      <c r="AH409" s="499">
        <f t="shared" ca="1" si="69"/>
        <v>0.22470000000000001</v>
      </c>
      <c r="AJ409" s="501">
        <v>19</v>
      </c>
      <c r="AL409" s="527"/>
      <c r="AM409" s="381">
        <f t="shared" ca="1" si="70"/>
        <v>0</v>
      </c>
      <c r="AN409" s="566">
        <f t="shared" ca="1" si="71"/>
        <v>0</v>
      </c>
    </row>
    <row r="410" spans="1:40" ht="25.5" x14ac:dyDescent="0.2">
      <c r="A410" t="str">
        <f t="shared" si="56"/>
        <v>S</v>
      </c>
      <c r="B410">
        <f t="shared" ca="1" si="57"/>
        <v>2</v>
      </c>
      <c r="C410" t="str">
        <f t="shared" ca="1" si="58"/>
        <v>S</v>
      </c>
      <c r="D410">
        <f t="shared" ca="1" si="59"/>
        <v>0</v>
      </c>
      <c r="E410">
        <f ca="1">IF($C410=1,OFFSET(E410,-1,0)+MAX(1,COUNTIF(QCI!$A$13:$A$24,OFFSET(ORÇAMENTO!E410,-1,0))),OFFSET(E410,-1,0))</f>
        <v>1</v>
      </c>
      <c r="F410">
        <f t="shared" ca="1" si="60"/>
        <v>15</v>
      </c>
      <c r="G410">
        <f t="shared" ca="1" si="61"/>
        <v>0</v>
      </c>
      <c r="H410">
        <f t="shared" ca="1" si="62"/>
        <v>0</v>
      </c>
      <c r="I410">
        <f t="shared" ca="1" si="63"/>
        <v>0</v>
      </c>
      <c r="J410">
        <f t="shared" ca="1" si="108"/>
        <v>0</v>
      </c>
      <c r="K410">
        <f ca="1">IF(OR($C410="S",$C410=0),0,MATCH(OFFSET($D410,0,$C410)+IF($C410&lt;&gt;1,1,COUNTIF(QCI!$A$13:$A$24,ORÇAMENTO!E410)),OFFSET($D410,1,$C410,ROW($C$747)-ROW($C410)),0))</f>
        <v>0</v>
      </c>
      <c r="L410" s="116" t="str">
        <f t="shared" ca="1" si="64"/>
        <v/>
      </c>
      <c r="M410" s="117" t="s">
        <v>199</v>
      </c>
      <c r="N410" s="118" t="str">
        <f t="shared" ca="1" si="65"/>
        <v>Serviço</v>
      </c>
      <c r="O410" s="119" t="str">
        <f t="shared" ca="1" si="66"/>
        <v>-</v>
      </c>
      <c r="P410" s="120" t="s">
        <v>712</v>
      </c>
      <c r="Q410" s="121" t="s">
        <v>808</v>
      </c>
      <c r="R410" s="122" t="str">
        <f ca="1">IF($C410="S",REFERENCIA.Descricao,"(digite a descrição aqui)")</f>
        <v>(abra o arquivo 'Referência 02-2025.xlsm)</v>
      </c>
      <c r="S410" s="123" t="str">
        <f ca="1">REFERENCIA.Unidade</f>
        <v>-</v>
      </c>
      <c r="T410" s="124">
        <f ca="1">OFFSET(CÁLCULO!H$15,ROW($T410)-ROW(T$15),0)</f>
        <v>2</v>
      </c>
      <c r="U410" s="125">
        <f t="shared" ca="1" si="91"/>
        <v>0</v>
      </c>
      <c r="V410" s="126" t="s">
        <v>156</v>
      </c>
      <c r="W410" s="124">
        <f ca="1">IF($C410="S",ROUND(IF(TIPOORCAMENTO="Proposto",ORÇAMENTO.CustoUnitario*(1+$AH410),ORÇAMENTO.PrecoUnitarioLicitado),15-13*$AF$10),0)</f>
        <v>0</v>
      </c>
      <c r="X410" s="127">
        <f ca="1">IF($C410="S",IF(Import.TipoArredondamento&lt;&gt;"TransfereGOV",VTOTAL1,SUM(OFFSET(CÁLCULO!$AA$15,ROW($X410)-ROW($X$15),1):OFFSET(CÁLCULO!$AL$15,ROW($X410)-ROW($X$15),-1))),IF($C410=0,0,ROUND(SomaAgrup,15-13*$AF$11)))</f>
        <v>0</v>
      </c>
      <c r="Y410" s="128" t="s">
        <v>245</v>
      </c>
      <c r="Z410" t="str">
        <f t="shared" ca="1" si="67"/>
        <v/>
      </c>
      <c r="AA410" s="129">
        <f ca="1">IF($C410="S",IF($Z410="CP",$X410,IF($Z410="RA",(($X410)*QCI!$AA$3),0)),SomaAgrup)</f>
        <v>0</v>
      </c>
      <c r="AB410" s="130">
        <f t="shared" ca="1" si="68"/>
        <v>0</v>
      </c>
      <c r="AC410" s="131" t="str">
        <f ca="1">IF($N410="","",IF(ORÇAMENTO.Descricao="","DESCRIÇÃO",IF(AND($C410="S",ORÇAMENTO.Unidade=""),"UNIDADE",IF($X410&lt;0,"VALOR NEGATIVO",IF(OR(AND(TIPOORCAMENTO="Proposto",$AG410&lt;&gt;"",$AG410&gt;0,ORÇAMENTO.CustoUnitario&gt;$AG410),AND(TIPOORCAMENTO="LICITADO",ORÇAMENTO.PrecoUnitarioLicitado&gt;$AN410)),"ACIMA REF.","")))))</f>
        <v/>
      </c>
      <c r="AD410" t="str">
        <f ca="1">IF(C410&lt;=CRONO.NivelExibicao,MAX($AD$15:OFFSET(AD410,-1,0))+IF($C410&lt;&gt;1,1,MAX(1,COUNTIF(QCI!$A$13:$A$24,OFFSET($E410,-1,0)))),"")</f>
        <v/>
      </c>
      <c r="AE410" s="7" t="str">
        <f ca="1">IF(AND($C410="S",ORÇAMENTO.CodBarra&lt;&gt;""),IF(ORÇAMENTO.Fonte="",ORÇAMENTO.CodBarra,CONCATENATE(ORÇAMENTO.Fonte," ",ORÇAMENTO.CodBarra)))</f>
        <v>Composição FNDE 14</v>
      </c>
      <c r="AF410" s="13" t="str">
        <f ca="1">IF(ISERROR(INDIRECT(ORÇAMENTO.BancoRef)),"(abra o arquivo 'Referência "&amp;Excel_BuiltIn_Database&amp;".xlsm)",IF(OR($C410&lt;&gt;"S",ORÇAMENTO.CodBarra=""),"(Sem Código)",IF(ISERROR(MATCH($AE410,INDIRECT(ORÇAMENTO.BancoRef),0)),"(Código não identificado nas referências)",MATCH($AE410,INDIRECT(ORÇAMENTO.BancoRef),0))))</f>
        <v>(abra o arquivo 'Referência 02-2025.xlsm)</v>
      </c>
      <c r="AG410" s="498">
        <f ca="1">ROUND(IF(DESONERACAO="sim",REFERENCIA.Desonerado,REFERENCIA.NaoDesonerado),2)</f>
        <v>0</v>
      </c>
      <c r="AH410" s="499">
        <f t="shared" ca="1" si="69"/>
        <v>0.22470000000000001</v>
      </c>
      <c r="AJ410" s="501">
        <v>2</v>
      </c>
      <c r="AL410" s="527"/>
      <c r="AM410" s="381">
        <f t="shared" ca="1" si="70"/>
        <v>0</v>
      </c>
      <c r="AN410" s="566">
        <f t="shared" ca="1" si="71"/>
        <v>0</v>
      </c>
    </row>
    <row r="411" spans="1:40" ht="25.5" x14ac:dyDescent="0.2">
      <c r="A411" t="str">
        <f t="shared" si="56"/>
        <v>S</v>
      </c>
      <c r="B411">
        <f t="shared" ca="1" si="57"/>
        <v>2</v>
      </c>
      <c r="C411" t="str">
        <f t="shared" ca="1" si="58"/>
        <v>S</v>
      </c>
      <c r="D411">
        <f t="shared" ca="1" si="59"/>
        <v>0</v>
      </c>
      <c r="E411">
        <f ca="1">IF($C411=1,OFFSET(E411,-1,0)+MAX(1,COUNTIF(QCI!$A$13:$A$24,OFFSET(ORÇAMENTO!E411,-1,0))),OFFSET(E411,-1,0))</f>
        <v>1</v>
      </c>
      <c r="F411">
        <f t="shared" ca="1" si="60"/>
        <v>15</v>
      </c>
      <c r="G411">
        <f t="shared" ca="1" si="61"/>
        <v>0</v>
      </c>
      <c r="H411">
        <f t="shared" ca="1" si="62"/>
        <v>0</v>
      </c>
      <c r="I411">
        <f t="shared" ca="1" si="63"/>
        <v>0</v>
      </c>
      <c r="J411">
        <f t="shared" ca="1" si="108"/>
        <v>0</v>
      </c>
      <c r="K411">
        <f ca="1">IF(OR($C411="S",$C411=0),0,MATCH(OFFSET($D411,0,$C411)+IF($C411&lt;&gt;1,1,COUNTIF(QCI!$A$13:$A$24,ORÇAMENTO!E411)),OFFSET($D411,1,$C411,ROW($C$747)-ROW($C411)),0))</f>
        <v>0</v>
      </c>
      <c r="L411" s="116" t="str">
        <f t="shared" ca="1" si="64"/>
        <v/>
      </c>
      <c r="M411" s="117" t="s">
        <v>199</v>
      </c>
      <c r="N411" s="118" t="str">
        <f t="shared" ca="1" si="65"/>
        <v>Serviço</v>
      </c>
      <c r="O411" s="119" t="str">
        <f t="shared" ca="1" si="66"/>
        <v>-</v>
      </c>
      <c r="P411" s="120" t="s">
        <v>247</v>
      </c>
      <c r="Q411" s="121" t="s">
        <v>604</v>
      </c>
      <c r="R411" s="122" t="str">
        <f ca="1">IF($C411="S",REFERENCIA.Descricao,"(digite a descrição aqui)")</f>
        <v>(abra o arquivo 'Referência 02-2025.xlsm)</v>
      </c>
      <c r="S411" s="123" t="str">
        <f ca="1">REFERENCIA.Unidade</f>
        <v>-</v>
      </c>
      <c r="T411" s="124">
        <f ca="1">OFFSET(CÁLCULO!H$15,ROW($T411)-ROW(T$15),0)</f>
        <v>15</v>
      </c>
      <c r="U411" s="125">
        <f t="shared" ca="1" si="91"/>
        <v>0</v>
      </c>
      <c r="V411" s="126" t="s">
        <v>156</v>
      </c>
      <c r="W411" s="124">
        <f ca="1">IF($C411="S",ROUND(IF(TIPOORCAMENTO="Proposto",ORÇAMENTO.CustoUnitario*(1+$AH411),ORÇAMENTO.PrecoUnitarioLicitado),15-13*$AF$10),0)</f>
        <v>0</v>
      </c>
      <c r="X411" s="127">
        <f ca="1">IF($C411="S",IF(Import.TipoArredondamento&lt;&gt;"TransfereGOV",VTOTAL1,SUM(OFFSET(CÁLCULO!$AA$15,ROW($X411)-ROW($X$15),1):OFFSET(CÁLCULO!$AL$15,ROW($X411)-ROW($X$15),-1))),IF($C411=0,0,ROUND(SomaAgrup,15-13*$AF$11)))</f>
        <v>0</v>
      </c>
      <c r="Y411" s="128" t="s">
        <v>245</v>
      </c>
      <c r="Z411" t="str">
        <f t="shared" ca="1" si="67"/>
        <v/>
      </c>
      <c r="AA411" s="129">
        <f ca="1">IF($C411="S",IF($Z411="CP",$X411,IF($Z411="RA",(($X411)*QCI!$AA$3),0)),SomaAgrup)</f>
        <v>0</v>
      </c>
      <c r="AB411" s="130">
        <f t="shared" ca="1" si="68"/>
        <v>0</v>
      </c>
      <c r="AC411" s="131" t="str">
        <f ca="1">IF($N411="","",IF(ORÇAMENTO.Descricao="","DESCRIÇÃO",IF(AND($C411="S",ORÇAMENTO.Unidade=""),"UNIDADE",IF($X411&lt;0,"VALOR NEGATIVO",IF(OR(AND(TIPOORCAMENTO="Proposto",$AG411&lt;&gt;"",$AG411&gt;0,ORÇAMENTO.CustoUnitario&gt;$AG411),AND(TIPOORCAMENTO="LICITADO",ORÇAMENTO.PrecoUnitarioLicitado&gt;$AN411)),"ACIMA REF.","")))))</f>
        <v/>
      </c>
      <c r="AD411" t="str">
        <f ca="1">IF(C411&lt;=CRONO.NivelExibicao,MAX($AD$15:OFFSET(AD411,-1,0))+IF($C411&lt;&gt;1,1,MAX(1,COUNTIF(QCI!$A$13:$A$24,OFFSET($E411,-1,0)))),"")</f>
        <v/>
      </c>
      <c r="AE411" s="7" t="str">
        <f ca="1">IF(AND($C411="S",ORÇAMENTO.CodBarra&lt;&gt;""),IF(ORÇAMENTO.Fonte="",ORÇAMENTO.CodBarra,CONCATENATE(ORÇAMENTO.Fonte," ",ORÇAMENTO.CodBarra)))</f>
        <v>SINAPI 86913</v>
      </c>
      <c r="AF411" s="13" t="str">
        <f ca="1">IF(ISERROR(INDIRECT(ORÇAMENTO.BancoRef)),"(abra o arquivo 'Referência "&amp;Excel_BuiltIn_Database&amp;".xlsm)",IF(OR($C411&lt;&gt;"S",ORÇAMENTO.CodBarra=""),"(Sem Código)",IF(ISERROR(MATCH($AE411,INDIRECT(ORÇAMENTO.BancoRef),0)),"(Código não identificado nas referências)",MATCH($AE411,INDIRECT(ORÇAMENTO.BancoRef),0))))</f>
        <v>(abra o arquivo 'Referência 02-2025.xlsm)</v>
      </c>
      <c r="AG411" s="498">
        <f ca="1">ROUND(IF(DESONERACAO="sim",REFERENCIA.Desonerado,REFERENCIA.NaoDesonerado),2)</f>
        <v>0</v>
      </c>
      <c r="AH411" s="499">
        <f t="shared" ca="1" si="69"/>
        <v>0.22470000000000001</v>
      </c>
      <c r="AJ411" s="501">
        <v>15</v>
      </c>
      <c r="AL411" s="527"/>
      <c r="AM411" s="381">
        <f t="shared" ca="1" si="70"/>
        <v>0</v>
      </c>
      <c r="AN411" s="566">
        <f t="shared" ca="1" si="71"/>
        <v>0</v>
      </c>
    </row>
    <row r="412" spans="1:40" ht="25.5" x14ac:dyDescent="0.2">
      <c r="A412" t="str">
        <f t="shared" si="56"/>
        <v>S</v>
      </c>
      <c r="B412">
        <f t="shared" ca="1" si="57"/>
        <v>2</v>
      </c>
      <c r="C412" t="str">
        <f t="shared" ca="1" si="58"/>
        <v>S</v>
      </c>
      <c r="D412">
        <f t="shared" ca="1" si="59"/>
        <v>0</v>
      </c>
      <c r="E412">
        <f ca="1">IF($C412=1,OFFSET(E412,-1,0)+MAX(1,COUNTIF(QCI!$A$13:$A$24,OFFSET(ORÇAMENTO!E412,-1,0))),OFFSET(E412,-1,0))</f>
        <v>1</v>
      </c>
      <c r="F412">
        <f t="shared" ca="1" si="60"/>
        <v>15</v>
      </c>
      <c r="G412">
        <f t="shared" ca="1" si="61"/>
        <v>0</v>
      </c>
      <c r="H412">
        <f t="shared" ca="1" si="62"/>
        <v>0</v>
      </c>
      <c r="I412">
        <f t="shared" ca="1" si="63"/>
        <v>0</v>
      </c>
      <c r="J412">
        <f t="shared" ca="1" si="108"/>
        <v>0</v>
      </c>
      <c r="K412">
        <f ca="1">IF(OR($C412="S",$C412=0),0,MATCH(OFFSET($D412,0,$C412)+IF($C412&lt;&gt;1,1,COUNTIF(QCI!$A$13:$A$24,ORÇAMENTO!E412)),OFFSET($D412,1,$C412,ROW($C$747)-ROW($C412)),0))</f>
        <v>0</v>
      </c>
      <c r="L412" s="116" t="str">
        <f t="shared" ca="1" si="64"/>
        <v/>
      </c>
      <c r="M412" s="117" t="s">
        <v>199</v>
      </c>
      <c r="N412" s="118" t="str">
        <f t="shared" ca="1" si="65"/>
        <v>Serviço</v>
      </c>
      <c r="O412" s="119" t="str">
        <f t="shared" ca="1" si="66"/>
        <v>-</v>
      </c>
      <c r="P412" s="120" t="s">
        <v>712</v>
      </c>
      <c r="Q412" s="121" t="s">
        <v>809</v>
      </c>
      <c r="R412" s="122" t="str">
        <f ca="1">IF($C412="S",REFERENCIA.Descricao,"(digite a descrição aqui)")</f>
        <v>(abra o arquivo 'Referência 02-2025.xlsm)</v>
      </c>
      <c r="S412" s="123" t="str">
        <f ca="1">REFERENCIA.Unidade</f>
        <v>-</v>
      </c>
      <c r="T412" s="124">
        <f ca="1">OFFSET(CÁLCULO!H$15,ROW($T412)-ROW(T$15),0)</f>
        <v>4</v>
      </c>
      <c r="U412" s="125">
        <f t="shared" ca="1" si="91"/>
        <v>0</v>
      </c>
      <c r="V412" s="126" t="s">
        <v>156</v>
      </c>
      <c r="W412" s="124">
        <f ca="1">IF($C412="S",ROUND(IF(TIPOORCAMENTO="Proposto",ORÇAMENTO.CustoUnitario*(1+$AH412),ORÇAMENTO.PrecoUnitarioLicitado),15-13*$AF$10),0)</f>
        <v>0</v>
      </c>
      <c r="X412" s="127">
        <f ca="1">IF($C412="S",IF(Import.TipoArredondamento&lt;&gt;"TransfereGOV",VTOTAL1,SUM(OFFSET(CÁLCULO!$AA$15,ROW($X412)-ROW($X$15),1):OFFSET(CÁLCULO!$AL$15,ROW($X412)-ROW($X$15),-1))),IF($C412=0,0,ROUND(SomaAgrup,15-13*$AF$11)))</f>
        <v>0</v>
      </c>
      <c r="Y412" s="128" t="s">
        <v>245</v>
      </c>
      <c r="Z412" t="str">
        <f t="shared" ca="1" si="67"/>
        <v/>
      </c>
      <c r="AA412" s="129">
        <f ca="1">IF($C412="S",IF($Z412="CP",$X412,IF($Z412="RA",(($X412)*QCI!$AA$3),0)),SomaAgrup)</f>
        <v>0</v>
      </c>
      <c r="AB412" s="130">
        <f t="shared" ca="1" si="68"/>
        <v>0</v>
      </c>
      <c r="AC412" s="131" t="str">
        <f ca="1">IF($N412="","",IF(ORÇAMENTO.Descricao="","DESCRIÇÃO",IF(AND($C412="S",ORÇAMENTO.Unidade=""),"UNIDADE",IF($X412&lt;0,"VALOR NEGATIVO",IF(OR(AND(TIPOORCAMENTO="Proposto",$AG412&lt;&gt;"",$AG412&gt;0,ORÇAMENTO.CustoUnitario&gt;$AG412),AND(TIPOORCAMENTO="LICITADO",ORÇAMENTO.PrecoUnitarioLicitado&gt;$AN412)),"ACIMA REF.","")))))</f>
        <v/>
      </c>
      <c r="AD412" t="str">
        <f ca="1">IF(C412&lt;=CRONO.NivelExibicao,MAX($AD$15:OFFSET(AD412,-1,0))+IF($C412&lt;&gt;1,1,MAX(1,COUNTIF(QCI!$A$13:$A$24,OFFSET($E412,-1,0)))),"")</f>
        <v/>
      </c>
      <c r="AE412" s="7" t="str">
        <f ca="1">IF(AND($C412="S",ORÇAMENTO.CodBarra&lt;&gt;""),IF(ORÇAMENTO.Fonte="",ORÇAMENTO.CodBarra,CONCATENATE(ORÇAMENTO.Fonte," ",ORÇAMENTO.CodBarra)))</f>
        <v>Composição FNDE 225</v>
      </c>
      <c r="AF412" s="13" t="str">
        <f ca="1">IF(ISERROR(INDIRECT(ORÇAMENTO.BancoRef)),"(abra o arquivo 'Referência "&amp;Excel_BuiltIn_Database&amp;".xlsm)",IF(OR($C412&lt;&gt;"S",ORÇAMENTO.CodBarra=""),"(Sem Código)",IF(ISERROR(MATCH($AE412,INDIRECT(ORÇAMENTO.BancoRef),0)),"(Código não identificado nas referências)",MATCH($AE412,INDIRECT(ORÇAMENTO.BancoRef),0))))</f>
        <v>(abra o arquivo 'Referência 02-2025.xlsm)</v>
      </c>
      <c r="AG412" s="498">
        <f ca="1">ROUND(IF(DESONERACAO="sim",REFERENCIA.Desonerado,REFERENCIA.NaoDesonerado),2)</f>
        <v>0</v>
      </c>
      <c r="AH412" s="499">
        <f t="shared" ca="1" si="69"/>
        <v>0.22470000000000001</v>
      </c>
      <c r="AJ412" s="501">
        <v>4</v>
      </c>
      <c r="AL412" s="527"/>
      <c r="AM412" s="381">
        <f t="shared" ca="1" si="70"/>
        <v>0</v>
      </c>
      <c r="AN412" s="566">
        <f t="shared" ca="1" si="71"/>
        <v>0</v>
      </c>
    </row>
    <row r="413" spans="1:40" ht="38.25" x14ac:dyDescent="0.2">
      <c r="A413" t="str">
        <f t="shared" si="56"/>
        <v>S</v>
      </c>
      <c r="B413">
        <f t="shared" ca="1" si="57"/>
        <v>2</v>
      </c>
      <c r="C413" t="str">
        <f t="shared" ca="1" si="58"/>
        <v>S</v>
      </c>
      <c r="D413">
        <f t="shared" ca="1" si="59"/>
        <v>0</v>
      </c>
      <c r="E413">
        <f ca="1">IF($C413=1,OFFSET(E413,-1,0)+MAX(1,COUNTIF(QCI!$A$13:$A$24,OFFSET(ORÇAMENTO!E413,-1,0))),OFFSET(E413,-1,0))</f>
        <v>1</v>
      </c>
      <c r="F413">
        <f t="shared" ca="1" si="60"/>
        <v>15</v>
      </c>
      <c r="G413">
        <f t="shared" ca="1" si="61"/>
        <v>0</v>
      </c>
      <c r="H413">
        <f t="shared" ca="1" si="62"/>
        <v>0</v>
      </c>
      <c r="I413">
        <f t="shared" ca="1" si="63"/>
        <v>0</v>
      </c>
      <c r="J413">
        <f t="shared" ca="1" si="108"/>
        <v>0</v>
      </c>
      <c r="K413">
        <f ca="1">IF(OR($C413="S",$C413=0),0,MATCH(OFFSET($D413,0,$C413)+IF($C413&lt;&gt;1,1,COUNTIF(QCI!$A$13:$A$24,ORÇAMENTO!E413)),OFFSET($D413,1,$C413,ROW($C$747)-ROW($C413)),0))</f>
        <v>0</v>
      </c>
      <c r="L413" s="116" t="str">
        <f t="shared" ca="1" si="64"/>
        <v/>
      </c>
      <c r="M413" s="117" t="s">
        <v>199</v>
      </c>
      <c r="N413" s="118" t="str">
        <f t="shared" ca="1" si="65"/>
        <v>Serviço</v>
      </c>
      <c r="O413" s="119" t="str">
        <f t="shared" ca="1" si="66"/>
        <v>-</v>
      </c>
      <c r="P413" s="120" t="s">
        <v>712</v>
      </c>
      <c r="Q413" s="121" t="s">
        <v>810</v>
      </c>
      <c r="R413" s="122" t="str">
        <f ca="1">IF($C413="S",REFERENCIA.Descricao,"(digite a descrição aqui)")</f>
        <v>(abra o arquivo 'Referência 02-2025.xlsm)</v>
      </c>
      <c r="S413" s="123" t="str">
        <f ca="1">REFERENCIA.Unidade</f>
        <v>-</v>
      </c>
      <c r="T413" s="124">
        <f ca="1">OFFSET(CÁLCULO!H$15,ROW($T413)-ROW(T$15),0)</f>
        <v>4</v>
      </c>
      <c r="U413" s="125">
        <f t="shared" ca="1" si="91"/>
        <v>0</v>
      </c>
      <c r="V413" s="126" t="s">
        <v>156</v>
      </c>
      <c r="W413" s="124">
        <f ca="1">IF($C413="S",ROUND(IF(TIPOORCAMENTO="Proposto",ORÇAMENTO.CustoUnitario*(1+$AH413),ORÇAMENTO.PrecoUnitarioLicitado),15-13*$AF$10),0)</f>
        <v>0</v>
      </c>
      <c r="X413" s="127">
        <f ca="1">IF($C413="S",IF(Import.TipoArredondamento&lt;&gt;"TransfereGOV",VTOTAL1,SUM(OFFSET(CÁLCULO!$AA$15,ROW($X413)-ROW($X$15),1):OFFSET(CÁLCULO!$AL$15,ROW($X413)-ROW($X$15),-1))),IF($C413=0,0,ROUND(SomaAgrup,15-13*$AF$11)))</f>
        <v>0</v>
      </c>
      <c r="Y413" s="128" t="s">
        <v>245</v>
      </c>
      <c r="Z413" t="str">
        <f t="shared" ca="1" si="67"/>
        <v/>
      </c>
      <c r="AA413" s="129">
        <f ca="1">IF($C413="S",IF($Z413="CP",$X413,IF($Z413="RA",(($X413)*QCI!$AA$3),0)),SomaAgrup)</f>
        <v>0</v>
      </c>
      <c r="AB413" s="130">
        <f t="shared" ca="1" si="68"/>
        <v>0</v>
      </c>
      <c r="AC413" s="131" t="str">
        <f ca="1">IF($N413="","",IF(ORÇAMENTO.Descricao="","DESCRIÇÃO",IF(AND($C413="S",ORÇAMENTO.Unidade=""),"UNIDADE",IF($X413&lt;0,"VALOR NEGATIVO",IF(OR(AND(TIPOORCAMENTO="Proposto",$AG413&lt;&gt;"",$AG413&gt;0,ORÇAMENTO.CustoUnitario&gt;$AG413),AND(TIPOORCAMENTO="LICITADO",ORÇAMENTO.PrecoUnitarioLicitado&gt;$AN413)),"ACIMA REF.","")))))</f>
        <v/>
      </c>
      <c r="AD413" t="str">
        <f ca="1">IF(C413&lt;=CRONO.NivelExibicao,MAX($AD$15:OFFSET(AD413,-1,0))+IF($C413&lt;&gt;1,1,MAX(1,COUNTIF(QCI!$A$13:$A$24,OFFSET($E413,-1,0)))),"")</f>
        <v/>
      </c>
      <c r="AE413" s="7" t="str">
        <f ca="1">IF(AND($C413="S",ORÇAMENTO.CodBarra&lt;&gt;""),IF(ORÇAMENTO.Fonte="",ORÇAMENTO.CodBarra,CONCATENATE(ORÇAMENTO.Fonte," ",ORÇAMENTO.CodBarra)))</f>
        <v>Composição FNDE 13</v>
      </c>
      <c r="AF413" s="13" t="str">
        <f ca="1">IF(ISERROR(INDIRECT(ORÇAMENTO.BancoRef)),"(abra o arquivo 'Referência "&amp;Excel_BuiltIn_Database&amp;".xlsm)",IF(OR($C413&lt;&gt;"S",ORÇAMENTO.CodBarra=""),"(Sem Código)",IF(ISERROR(MATCH($AE413,INDIRECT(ORÇAMENTO.BancoRef),0)),"(Código não identificado nas referências)",MATCH($AE413,INDIRECT(ORÇAMENTO.BancoRef),0))))</f>
        <v>(abra o arquivo 'Referência 02-2025.xlsm)</v>
      </c>
      <c r="AG413" s="498">
        <f ca="1">ROUND(IF(DESONERACAO="sim",REFERENCIA.Desonerado,REFERENCIA.NaoDesonerado),2)</f>
        <v>0</v>
      </c>
      <c r="AH413" s="499">
        <f t="shared" ca="1" si="69"/>
        <v>0.22470000000000001</v>
      </c>
      <c r="AJ413" s="501">
        <v>4</v>
      </c>
      <c r="AL413" s="527"/>
      <c r="AM413" s="381">
        <f t="shared" ca="1" si="70"/>
        <v>0</v>
      </c>
      <c r="AN413" s="566">
        <f t="shared" ca="1" si="71"/>
        <v>0</v>
      </c>
    </row>
    <row r="414" spans="1:40" ht="25.5" x14ac:dyDescent="0.2">
      <c r="A414" t="str">
        <f t="shared" si="56"/>
        <v>S</v>
      </c>
      <c r="B414">
        <f t="shared" ca="1" si="57"/>
        <v>2</v>
      </c>
      <c r="C414" t="str">
        <f t="shared" ca="1" si="58"/>
        <v>S</v>
      </c>
      <c r="D414">
        <f t="shared" ca="1" si="59"/>
        <v>0</v>
      </c>
      <c r="E414">
        <f ca="1">IF($C414=1,OFFSET(E414,-1,0)+MAX(1,COUNTIF(QCI!$A$13:$A$24,OFFSET(ORÇAMENTO!E414,-1,0))),OFFSET(E414,-1,0))</f>
        <v>1</v>
      </c>
      <c r="F414">
        <f t="shared" ca="1" si="60"/>
        <v>15</v>
      </c>
      <c r="G414">
        <f t="shared" ca="1" si="61"/>
        <v>0</v>
      </c>
      <c r="H414">
        <f t="shared" ca="1" si="62"/>
        <v>0</v>
      </c>
      <c r="I414">
        <f t="shared" ca="1" si="63"/>
        <v>0</v>
      </c>
      <c r="J414">
        <f t="shared" ca="1" si="108"/>
        <v>0</v>
      </c>
      <c r="K414">
        <f ca="1">IF(OR($C414="S",$C414=0),0,MATCH(OFFSET($D414,0,$C414)+IF($C414&lt;&gt;1,1,COUNTIF(QCI!$A$13:$A$24,ORÇAMENTO!E414)),OFFSET($D414,1,$C414,ROW($C$747)-ROW($C414)),0))</f>
        <v>0</v>
      </c>
      <c r="L414" s="116" t="str">
        <f t="shared" ca="1" si="64"/>
        <v/>
      </c>
      <c r="M414" s="117" t="s">
        <v>199</v>
      </c>
      <c r="N414" s="118" t="str">
        <f t="shared" ca="1" si="65"/>
        <v>Serviço</v>
      </c>
      <c r="O414" s="119" t="str">
        <f t="shared" ca="1" si="66"/>
        <v>-</v>
      </c>
      <c r="P414" s="120" t="s">
        <v>247</v>
      </c>
      <c r="Q414" s="121" t="s">
        <v>605</v>
      </c>
      <c r="R414" s="122" t="str">
        <f ca="1">IF($C414="S",REFERENCIA.Descricao,"(digite a descrição aqui)")</f>
        <v>(abra o arquivo 'Referência 02-2025.xlsm)</v>
      </c>
      <c r="S414" s="123" t="str">
        <f ca="1">REFERENCIA.Unidade</f>
        <v>-</v>
      </c>
      <c r="T414" s="124">
        <f ca="1">OFFSET(CÁLCULO!H$15,ROW($T414)-ROW(T$15),0)</f>
        <v>45</v>
      </c>
      <c r="U414" s="125">
        <f t="shared" ca="1" si="91"/>
        <v>0</v>
      </c>
      <c r="V414" s="126" t="s">
        <v>156</v>
      </c>
      <c r="W414" s="124">
        <f ca="1">IF($C414="S",ROUND(IF(TIPOORCAMENTO="Proposto",ORÇAMENTO.CustoUnitario*(1+$AH414),ORÇAMENTO.PrecoUnitarioLicitado),15-13*$AF$10),0)</f>
        <v>0</v>
      </c>
      <c r="X414" s="127">
        <f ca="1">IF($C414="S",IF(Import.TipoArredondamento&lt;&gt;"TransfereGOV",VTOTAL1,SUM(OFFSET(CÁLCULO!$AA$15,ROW($X414)-ROW($X$15),1):OFFSET(CÁLCULO!$AL$15,ROW($X414)-ROW($X$15),-1))),IF($C414=0,0,ROUND(SomaAgrup,15-13*$AF$11)))</f>
        <v>0</v>
      </c>
      <c r="Y414" s="128" t="s">
        <v>245</v>
      </c>
      <c r="Z414" t="str">
        <f t="shared" ca="1" si="67"/>
        <v/>
      </c>
      <c r="AA414" s="129">
        <f ca="1">IF($C414="S",IF($Z414="CP",$X414,IF($Z414="RA",(($X414)*QCI!$AA$3),0)),SomaAgrup)</f>
        <v>0</v>
      </c>
      <c r="AB414" s="130">
        <f t="shared" ca="1" si="68"/>
        <v>0</v>
      </c>
      <c r="AC414" s="131" t="str">
        <f ca="1">IF($N414="","",IF(ORÇAMENTO.Descricao="","DESCRIÇÃO",IF(AND($C414="S",ORÇAMENTO.Unidade=""),"UNIDADE",IF($X414&lt;0,"VALOR NEGATIVO",IF(OR(AND(TIPOORCAMENTO="Proposto",$AG414&lt;&gt;"",$AG414&gt;0,ORÇAMENTO.CustoUnitario&gt;$AG414),AND(TIPOORCAMENTO="LICITADO",ORÇAMENTO.PrecoUnitarioLicitado&gt;$AN414)),"ACIMA REF.","")))))</f>
        <v/>
      </c>
      <c r="AD414" t="str">
        <f ca="1">IF(C414&lt;=CRONO.NivelExibicao,MAX($AD$15:OFFSET(AD414,-1,0))+IF($C414&lt;&gt;1,1,MAX(1,COUNTIF(QCI!$A$13:$A$24,OFFSET($E414,-1,0)))),"")</f>
        <v/>
      </c>
      <c r="AE414" s="7" t="str">
        <f ca="1">IF(AND($C414="S",ORÇAMENTO.CodBarra&lt;&gt;""),IF(ORÇAMENTO.Fonte="",ORÇAMENTO.CodBarra,CONCATENATE(ORÇAMENTO.Fonte," ",ORÇAMENTO.CodBarra)))</f>
        <v>SINAPI 86887</v>
      </c>
      <c r="AF414" s="13" t="str">
        <f ca="1">IF(ISERROR(INDIRECT(ORÇAMENTO.BancoRef)),"(abra o arquivo 'Referência "&amp;Excel_BuiltIn_Database&amp;".xlsm)",IF(OR($C414&lt;&gt;"S",ORÇAMENTO.CodBarra=""),"(Sem Código)",IF(ISERROR(MATCH($AE414,INDIRECT(ORÇAMENTO.BancoRef),0)),"(Código não identificado nas referências)",MATCH($AE414,INDIRECT(ORÇAMENTO.BancoRef),0))))</f>
        <v>(abra o arquivo 'Referência 02-2025.xlsm)</v>
      </c>
      <c r="AG414" s="498">
        <f ca="1">ROUND(IF(DESONERACAO="sim",REFERENCIA.Desonerado,REFERENCIA.NaoDesonerado),2)</f>
        <v>0</v>
      </c>
      <c r="AH414" s="499">
        <f t="shared" ca="1" si="69"/>
        <v>0.22470000000000001</v>
      </c>
      <c r="AJ414" s="501">
        <v>45</v>
      </c>
      <c r="AL414" s="527"/>
      <c r="AM414" s="381">
        <f t="shared" ca="1" si="70"/>
        <v>0</v>
      </c>
      <c r="AN414" s="566">
        <f t="shared" ca="1" si="71"/>
        <v>0</v>
      </c>
    </row>
    <row r="415" spans="1:40" ht="25.5" x14ac:dyDescent="0.2">
      <c r="A415" t="str">
        <f t="shared" si="56"/>
        <v>S</v>
      </c>
      <c r="B415">
        <f t="shared" ca="1" si="57"/>
        <v>2</v>
      </c>
      <c r="C415" t="str">
        <f t="shared" ca="1" si="58"/>
        <v>S</v>
      </c>
      <c r="D415">
        <f t="shared" ca="1" si="59"/>
        <v>0</v>
      </c>
      <c r="E415">
        <f ca="1">IF($C415=1,OFFSET(E415,-1,0)+MAX(1,COUNTIF(QCI!$A$13:$A$24,OFFSET(ORÇAMENTO!E415,-1,0))),OFFSET(E415,-1,0))</f>
        <v>1</v>
      </c>
      <c r="F415">
        <f t="shared" ca="1" si="60"/>
        <v>15</v>
      </c>
      <c r="G415">
        <f t="shared" ca="1" si="61"/>
        <v>0</v>
      </c>
      <c r="H415">
        <f t="shared" ca="1" si="62"/>
        <v>0</v>
      </c>
      <c r="I415">
        <f t="shared" ca="1" si="63"/>
        <v>0</v>
      </c>
      <c r="J415">
        <f t="shared" ca="1" si="108"/>
        <v>0</v>
      </c>
      <c r="K415">
        <f ca="1">IF(OR($C415="S",$C415=0),0,MATCH(OFFSET($D415,0,$C415)+IF($C415&lt;&gt;1,1,COUNTIF(QCI!$A$13:$A$24,ORÇAMENTO!E415)),OFFSET($D415,1,$C415,ROW($C$747)-ROW($C415)),0))</f>
        <v>0</v>
      </c>
      <c r="L415" s="116" t="str">
        <f t="shared" ca="1" si="64"/>
        <v/>
      </c>
      <c r="M415" s="117" t="s">
        <v>199</v>
      </c>
      <c r="N415" s="118" t="str">
        <f t="shared" ca="1" si="65"/>
        <v>Serviço</v>
      </c>
      <c r="O415" s="119" t="str">
        <f t="shared" ca="1" si="66"/>
        <v>-</v>
      </c>
      <c r="P415" s="120" t="s">
        <v>247</v>
      </c>
      <c r="Q415" s="121" t="s">
        <v>606</v>
      </c>
      <c r="R415" s="122" t="str">
        <f ca="1">IF($C415="S",REFERENCIA.Descricao,"(digite a descrição aqui)")</f>
        <v>(abra o arquivo 'Referência 02-2025.xlsm)</v>
      </c>
      <c r="S415" s="123" t="str">
        <f ca="1">REFERENCIA.Unidade</f>
        <v>-</v>
      </c>
      <c r="T415" s="124">
        <f ca="1">OFFSET(CÁLCULO!H$15,ROW($T415)-ROW(T$15),0)</f>
        <v>13</v>
      </c>
      <c r="U415" s="125">
        <f t="shared" ca="1" si="91"/>
        <v>0</v>
      </c>
      <c r="V415" s="126" t="s">
        <v>156</v>
      </c>
      <c r="W415" s="124">
        <f ca="1">IF($C415="S",ROUND(IF(TIPOORCAMENTO="Proposto",ORÇAMENTO.CustoUnitario*(1+$AH415),ORÇAMENTO.PrecoUnitarioLicitado),15-13*$AF$10),0)</f>
        <v>0</v>
      </c>
      <c r="X415" s="127">
        <f ca="1">IF($C415="S",IF(Import.TipoArredondamento&lt;&gt;"TransfereGOV",VTOTAL1,SUM(OFFSET(CÁLCULO!$AA$15,ROW($X415)-ROW($X$15),1):OFFSET(CÁLCULO!$AL$15,ROW($X415)-ROW($X$15),-1))),IF($C415=0,0,ROUND(SomaAgrup,15-13*$AF$11)))</f>
        <v>0</v>
      </c>
      <c r="Y415" s="128" t="s">
        <v>245</v>
      </c>
      <c r="Z415" t="str">
        <f t="shared" ca="1" si="67"/>
        <v/>
      </c>
      <c r="AA415" s="129">
        <f ca="1">IF($C415="S",IF($Z415="CP",$X415,IF($Z415="RA",(($X415)*QCI!$AA$3),0)),SomaAgrup)</f>
        <v>0</v>
      </c>
      <c r="AB415" s="130">
        <f t="shared" ca="1" si="68"/>
        <v>0</v>
      </c>
      <c r="AC415" s="131" t="str">
        <f ca="1">IF($N415="","",IF(ORÇAMENTO.Descricao="","DESCRIÇÃO",IF(AND($C415="S",ORÇAMENTO.Unidade=""),"UNIDADE",IF($X415&lt;0,"VALOR NEGATIVO",IF(OR(AND(TIPOORCAMENTO="Proposto",$AG415&lt;&gt;"",$AG415&gt;0,ORÇAMENTO.CustoUnitario&gt;$AG415),AND(TIPOORCAMENTO="LICITADO",ORÇAMENTO.PrecoUnitarioLicitado&gt;$AN415)),"ACIMA REF.","")))))</f>
        <v/>
      </c>
      <c r="AD415" t="str">
        <f ca="1">IF(C415&lt;=CRONO.NivelExibicao,MAX($AD$15:OFFSET(AD415,-1,0))+IF($C415&lt;&gt;1,1,MAX(1,COUNTIF(QCI!$A$13:$A$24,OFFSET($E415,-1,0)))),"")</f>
        <v/>
      </c>
      <c r="AE415" s="7" t="str">
        <f ca="1">IF(AND($C415="S",ORÇAMENTO.CodBarra&lt;&gt;""),IF(ORÇAMENTO.Fonte="",ORÇAMENTO.CodBarra,CONCATENATE(ORÇAMENTO.Fonte," ",ORÇAMENTO.CodBarra)))</f>
        <v>SINAPI 100860</v>
      </c>
      <c r="AF415" s="13" t="str">
        <f ca="1">IF(ISERROR(INDIRECT(ORÇAMENTO.BancoRef)),"(abra o arquivo 'Referência "&amp;Excel_BuiltIn_Database&amp;".xlsm)",IF(OR($C415&lt;&gt;"S",ORÇAMENTO.CodBarra=""),"(Sem Código)",IF(ISERROR(MATCH($AE415,INDIRECT(ORÇAMENTO.BancoRef),0)),"(Código não identificado nas referências)",MATCH($AE415,INDIRECT(ORÇAMENTO.BancoRef),0))))</f>
        <v>(abra o arquivo 'Referência 02-2025.xlsm)</v>
      </c>
      <c r="AG415" s="498">
        <f ca="1">ROUND(IF(DESONERACAO="sim",REFERENCIA.Desonerado,REFERENCIA.NaoDesonerado),2)</f>
        <v>0</v>
      </c>
      <c r="AH415" s="499">
        <f t="shared" ca="1" si="69"/>
        <v>0.22470000000000001</v>
      </c>
      <c r="AJ415" s="501">
        <v>13</v>
      </c>
      <c r="AL415" s="527"/>
      <c r="AM415" s="381">
        <f t="shared" ca="1" si="70"/>
        <v>0</v>
      </c>
      <c r="AN415" s="566">
        <f t="shared" ca="1" si="71"/>
        <v>0</v>
      </c>
    </row>
    <row r="416" spans="1:40" ht="25.5" x14ac:dyDescent="0.2">
      <c r="A416" t="str">
        <f t="shared" si="56"/>
        <v>S</v>
      </c>
      <c r="B416">
        <f t="shared" ca="1" si="57"/>
        <v>2</v>
      </c>
      <c r="C416" t="str">
        <f t="shared" ca="1" si="58"/>
        <v>S</v>
      </c>
      <c r="D416">
        <f t="shared" ca="1" si="59"/>
        <v>0</v>
      </c>
      <c r="E416">
        <f ca="1">IF($C416=1,OFFSET(E416,-1,0)+MAX(1,COUNTIF(QCI!$A$13:$A$24,OFFSET(ORÇAMENTO!E416,-1,0))),OFFSET(E416,-1,0))</f>
        <v>1</v>
      </c>
      <c r="F416">
        <f t="shared" ca="1" si="60"/>
        <v>15</v>
      </c>
      <c r="G416">
        <f t="shared" ca="1" si="61"/>
        <v>0</v>
      </c>
      <c r="H416">
        <f t="shared" ca="1" si="62"/>
        <v>0</v>
      </c>
      <c r="I416">
        <f t="shared" ca="1" si="63"/>
        <v>0</v>
      </c>
      <c r="J416">
        <f t="shared" ca="1" si="108"/>
        <v>0</v>
      </c>
      <c r="K416">
        <f ca="1">IF(OR($C416="S",$C416=0),0,MATCH(OFFSET($D416,0,$C416)+IF($C416&lt;&gt;1,1,COUNTIF(QCI!$A$13:$A$24,ORÇAMENTO!E416)),OFFSET($D416,1,$C416,ROW($C$747)-ROW($C416)),0))</f>
        <v>0</v>
      </c>
      <c r="L416" s="116" t="str">
        <f t="shared" ca="1" si="64"/>
        <v/>
      </c>
      <c r="M416" s="117" t="s">
        <v>199</v>
      </c>
      <c r="N416" s="118" t="str">
        <f t="shared" ca="1" si="65"/>
        <v>Serviço</v>
      </c>
      <c r="O416" s="119" t="str">
        <f t="shared" ca="1" si="66"/>
        <v>-</v>
      </c>
      <c r="P416" s="120" t="s">
        <v>712</v>
      </c>
      <c r="Q416" s="121" t="s">
        <v>816</v>
      </c>
      <c r="R416" s="122" t="str">
        <f ca="1">IF($C416="S",REFERENCIA.Descricao,"(digite a descrição aqui)")</f>
        <v>(abra o arquivo 'Referência 02-2025.xlsm)</v>
      </c>
      <c r="S416" s="123" t="str">
        <f ca="1">REFERENCIA.Unidade</f>
        <v>-</v>
      </c>
      <c r="T416" s="124">
        <f ca="1">OFFSET(CÁLCULO!H$15,ROW($T416)-ROW(T$15),0)</f>
        <v>24</v>
      </c>
      <c r="U416" s="125">
        <f t="shared" ca="1" si="91"/>
        <v>0</v>
      </c>
      <c r="V416" s="126" t="s">
        <v>156</v>
      </c>
      <c r="W416" s="124">
        <f ca="1">IF($C416="S",ROUND(IF(TIPOORCAMENTO="Proposto",ORÇAMENTO.CustoUnitario*(1+$AH416),ORÇAMENTO.PrecoUnitarioLicitado),15-13*$AF$10),0)</f>
        <v>0</v>
      </c>
      <c r="X416" s="127">
        <f ca="1">IF($C416="S",IF(Import.TipoArredondamento&lt;&gt;"TransfereGOV",VTOTAL1,SUM(OFFSET(CÁLCULO!$AA$15,ROW($X416)-ROW($X$15),1):OFFSET(CÁLCULO!$AL$15,ROW($X416)-ROW($X$15),-1))),IF($C416=0,0,ROUND(SomaAgrup,15-13*$AF$11)))</f>
        <v>0</v>
      </c>
      <c r="Y416" s="128" t="s">
        <v>245</v>
      </c>
      <c r="Z416" t="str">
        <f t="shared" ca="1" si="67"/>
        <v/>
      </c>
      <c r="AA416" s="129">
        <f ca="1">IF($C416="S",IF($Z416="CP",$X416,IF($Z416="RA",(($X416)*QCI!$AA$3),0)),SomaAgrup)</f>
        <v>0</v>
      </c>
      <c r="AB416" s="130">
        <f t="shared" ca="1" si="68"/>
        <v>0</v>
      </c>
      <c r="AC416" s="131" t="str">
        <f ca="1">IF($N416="","",IF(ORÇAMENTO.Descricao="","DESCRIÇÃO",IF(AND($C416="S",ORÇAMENTO.Unidade=""),"UNIDADE",IF($X416&lt;0,"VALOR NEGATIVO",IF(OR(AND(TIPOORCAMENTO="Proposto",$AG416&lt;&gt;"",$AG416&gt;0,ORÇAMENTO.CustoUnitario&gt;$AG416),AND(TIPOORCAMENTO="LICITADO",ORÇAMENTO.PrecoUnitarioLicitado&gt;$AN416)),"ACIMA REF.","")))))</f>
        <v/>
      </c>
      <c r="AD416" t="str">
        <f ca="1">IF(C416&lt;=CRONO.NivelExibicao,MAX($AD$15:OFFSET(AD416,-1,0))+IF($C416&lt;&gt;1,1,MAX(1,COUNTIF(QCI!$A$13:$A$24,OFFSET($E416,-1,0)))),"")</f>
        <v/>
      </c>
      <c r="AE416" s="7" t="str">
        <f ca="1">IF(AND($C416="S",ORÇAMENTO.CodBarra&lt;&gt;""),IF(ORÇAMENTO.Fonte="",ORÇAMENTO.CodBarra,CONCATENATE(ORÇAMENTO.Fonte," ",ORÇAMENTO.CodBarra)))</f>
        <v>Composição FNDE 17</v>
      </c>
      <c r="AF416" s="13" t="str">
        <f ca="1">IF(ISERROR(INDIRECT(ORÇAMENTO.BancoRef)),"(abra o arquivo 'Referência "&amp;Excel_BuiltIn_Database&amp;".xlsm)",IF(OR($C416&lt;&gt;"S",ORÇAMENTO.CodBarra=""),"(Sem Código)",IF(ISERROR(MATCH($AE416,INDIRECT(ORÇAMENTO.BancoRef),0)),"(Código não identificado nas referências)",MATCH($AE416,INDIRECT(ORÇAMENTO.BancoRef),0))))</f>
        <v>(abra o arquivo 'Referência 02-2025.xlsm)</v>
      </c>
      <c r="AG416" s="498">
        <f ca="1">ROUND(IF(DESONERACAO="sim",REFERENCIA.Desonerado,REFERENCIA.NaoDesonerado),2)</f>
        <v>0</v>
      </c>
      <c r="AH416" s="499">
        <f t="shared" ca="1" si="69"/>
        <v>0.22470000000000001</v>
      </c>
      <c r="AJ416" s="501">
        <v>24</v>
      </c>
      <c r="AL416" s="527"/>
      <c r="AM416" s="381">
        <f t="shared" ca="1" si="70"/>
        <v>0</v>
      </c>
      <c r="AN416" s="566">
        <f t="shared" ca="1" si="71"/>
        <v>0</v>
      </c>
    </row>
    <row r="417" spans="1:40" ht="25.5" x14ac:dyDescent="0.2">
      <c r="A417" t="str">
        <f t="shared" si="56"/>
        <v>S</v>
      </c>
      <c r="B417">
        <f t="shared" ca="1" si="57"/>
        <v>2</v>
      </c>
      <c r="C417" t="str">
        <f t="shared" ca="1" si="58"/>
        <v>S</v>
      </c>
      <c r="D417">
        <f t="shared" ca="1" si="59"/>
        <v>0</v>
      </c>
      <c r="E417">
        <f ca="1">IF($C417=1,OFFSET(E417,-1,0)+MAX(1,COUNTIF(QCI!$A$13:$A$24,OFFSET(ORÇAMENTO!E417,-1,0))),OFFSET(E417,-1,0))</f>
        <v>1</v>
      </c>
      <c r="F417">
        <f t="shared" ca="1" si="60"/>
        <v>15</v>
      </c>
      <c r="G417">
        <f t="shared" ca="1" si="61"/>
        <v>0</v>
      </c>
      <c r="H417">
        <f t="shared" ca="1" si="62"/>
        <v>0</v>
      </c>
      <c r="I417">
        <f t="shared" ca="1" si="63"/>
        <v>0</v>
      </c>
      <c r="J417">
        <f t="shared" ca="1" si="108"/>
        <v>0</v>
      </c>
      <c r="K417">
        <f ca="1">IF(OR($C417="S",$C417=0),0,MATCH(OFFSET($D417,0,$C417)+IF($C417&lt;&gt;1,1,COUNTIF(QCI!$A$13:$A$24,ORÇAMENTO!E417)),OFFSET($D417,1,$C417,ROW($C$747)-ROW($C417)),0))</f>
        <v>0</v>
      </c>
      <c r="L417" s="116" t="str">
        <f t="shared" ca="1" si="64"/>
        <v/>
      </c>
      <c r="M417" s="117" t="s">
        <v>199</v>
      </c>
      <c r="N417" s="118" t="str">
        <f t="shared" ca="1" si="65"/>
        <v>Serviço</v>
      </c>
      <c r="O417" s="119" t="str">
        <f t="shared" ca="1" si="66"/>
        <v>-</v>
      </c>
      <c r="P417" s="120" t="s">
        <v>712</v>
      </c>
      <c r="Q417" s="121" t="s">
        <v>811</v>
      </c>
      <c r="R417" s="122" t="str">
        <f ca="1">IF($C417="S",REFERENCIA.Descricao,"(digite a descrição aqui)")</f>
        <v>(abra o arquivo 'Referência 02-2025.xlsm)</v>
      </c>
      <c r="S417" s="123" t="str">
        <f ca="1">REFERENCIA.Unidade</f>
        <v>-</v>
      </c>
      <c r="T417" s="124">
        <f ca="1">OFFSET(CÁLCULO!H$15,ROW($T417)-ROW(T$15),0)</f>
        <v>12</v>
      </c>
      <c r="U417" s="125">
        <f t="shared" ca="1" si="91"/>
        <v>0</v>
      </c>
      <c r="V417" s="126" t="s">
        <v>156</v>
      </c>
      <c r="W417" s="124">
        <f ca="1">IF($C417="S",ROUND(IF(TIPOORCAMENTO="Proposto",ORÇAMENTO.CustoUnitario*(1+$AH417),ORÇAMENTO.PrecoUnitarioLicitado),15-13*$AF$10),0)</f>
        <v>0</v>
      </c>
      <c r="X417" s="127">
        <f ca="1">IF($C417="S",IF(Import.TipoArredondamento&lt;&gt;"TransfereGOV",VTOTAL1,SUM(OFFSET(CÁLCULO!$AA$15,ROW($X417)-ROW($X$15),1):OFFSET(CÁLCULO!$AL$15,ROW($X417)-ROW($X$15),-1))),IF($C417=0,0,ROUND(SomaAgrup,15-13*$AF$11)))</f>
        <v>0</v>
      </c>
      <c r="Y417" s="128" t="s">
        <v>245</v>
      </c>
      <c r="Z417" t="str">
        <f t="shared" ca="1" si="67"/>
        <v/>
      </c>
      <c r="AA417" s="129">
        <f ca="1">IF($C417="S",IF($Z417="CP",$X417,IF($Z417="RA",(($X417)*QCI!$AA$3),0)),SomaAgrup)</f>
        <v>0</v>
      </c>
      <c r="AB417" s="130">
        <f t="shared" ca="1" si="68"/>
        <v>0</v>
      </c>
      <c r="AC417" s="131" t="str">
        <f ca="1">IF($N417="","",IF(ORÇAMENTO.Descricao="","DESCRIÇÃO",IF(AND($C417="S",ORÇAMENTO.Unidade=""),"UNIDADE",IF($X417&lt;0,"VALOR NEGATIVO",IF(OR(AND(TIPOORCAMENTO="Proposto",$AG417&lt;&gt;"",$AG417&gt;0,ORÇAMENTO.CustoUnitario&gt;$AG417),AND(TIPOORCAMENTO="LICITADO",ORÇAMENTO.PrecoUnitarioLicitado&gt;$AN417)),"ACIMA REF.","")))))</f>
        <v/>
      </c>
      <c r="AD417" t="str">
        <f ca="1">IF(C417&lt;=CRONO.NivelExibicao,MAX($AD$15:OFFSET(AD417,-1,0))+IF($C417&lt;&gt;1,1,MAX(1,COUNTIF(QCI!$A$13:$A$24,OFFSET($E417,-1,0)))),"")</f>
        <v/>
      </c>
      <c r="AE417" s="7" t="str">
        <f ca="1">IF(AND($C417="S",ORÇAMENTO.CodBarra&lt;&gt;""),IF(ORÇAMENTO.Fonte="",ORÇAMENTO.CodBarra,CONCATENATE(ORÇAMENTO.Fonte," ",ORÇAMENTO.CodBarra)))</f>
        <v>Composição FNDE 226</v>
      </c>
      <c r="AF417" s="13" t="str">
        <f ca="1">IF(ISERROR(INDIRECT(ORÇAMENTO.BancoRef)),"(abra o arquivo 'Referência "&amp;Excel_BuiltIn_Database&amp;".xlsm)",IF(OR($C417&lt;&gt;"S",ORÇAMENTO.CodBarra=""),"(Sem Código)",IF(ISERROR(MATCH($AE417,INDIRECT(ORÇAMENTO.BancoRef),0)),"(Código não identificado nas referências)",MATCH($AE417,INDIRECT(ORÇAMENTO.BancoRef),0))))</f>
        <v>(abra o arquivo 'Referência 02-2025.xlsm)</v>
      </c>
      <c r="AG417" s="498">
        <f ca="1">ROUND(IF(DESONERACAO="sim",REFERENCIA.Desonerado,REFERENCIA.NaoDesonerado),2)</f>
        <v>0</v>
      </c>
      <c r="AH417" s="499">
        <f t="shared" ca="1" si="69"/>
        <v>0.22470000000000001</v>
      </c>
      <c r="AJ417" s="501">
        <v>12</v>
      </c>
      <c r="AL417" s="527"/>
      <c r="AM417" s="381">
        <f t="shared" ca="1" si="70"/>
        <v>0</v>
      </c>
      <c r="AN417" s="566">
        <f t="shared" ca="1" si="71"/>
        <v>0</v>
      </c>
    </row>
    <row r="418" spans="1:40" ht="38.25" x14ac:dyDescent="0.2">
      <c r="A418" t="str">
        <f t="shared" si="56"/>
        <v>S</v>
      </c>
      <c r="B418">
        <f t="shared" ca="1" si="57"/>
        <v>2</v>
      </c>
      <c r="C418" t="str">
        <f t="shared" ca="1" si="58"/>
        <v>S</v>
      </c>
      <c r="D418">
        <f t="shared" ca="1" si="59"/>
        <v>0</v>
      </c>
      <c r="E418">
        <f ca="1">IF($C418=1,OFFSET(E418,-1,0)+MAX(1,COUNTIF(QCI!$A$13:$A$24,OFFSET(ORÇAMENTO!E418,-1,0))),OFFSET(E418,-1,0))</f>
        <v>1</v>
      </c>
      <c r="F418">
        <f t="shared" ca="1" si="60"/>
        <v>15</v>
      </c>
      <c r="G418">
        <f t="shared" ca="1" si="61"/>
        <v>0</v>
      </c>
      <c r="H418">
        <f t="shared" ca="1" si="62"/>
        <v>0</v>
      </c>
      <c r="I418">
        <f t="shared" ca="1" si="63"/>
        <v>0</v>
      </c>
      <c r="J418">
        <f t="shared" ca="1" si="108"/>
        <v>0</v>
      </c>
      <c r="K418">
        <f ca="1">IF(OR($C418="S",$C418=0),0,MATCH(OFFSET($D418,0,$C418)+IF($C418&lt;&gt;1,1,COUNTIF(QCI!$A$13:$A$24,ORÇAMENTO!E418)),OFFSET($D418,1,$C418,ROW($C$747)-ROW($C418)),0))</f>
        <v>0</v>
      </c>
      <c r="L418" s="116" t="str">
        <f t="shared" ca="1" si="64"/>
        <v/>
      </c>
      <c r="M418" s="117" t="s">
        <v>199</v>
      </c>
      <c r="N418" s="118" t="str">
        <f t="shared" ca="1" si="65"/>
        <v>Serviço</v>
      </c>
      <c r="O418" s="119" t="str">
        <f t="shared" ca="1" si="66"/>
        <v>-</v>
      </c>
      <c r="P418" s="120" t="s">
        <v>247</v>
      </c>
      <c r="Q418" s="121" t="s">
        <v>607</v>
      </c>
      <c r="R418" s="122" t="str">
        <f ca="1">IF($C418="S",REFERENCIA.Descricao,"(digite a descrição aqui)")</f>
        <v>(abra o arquivo 'Referência 02-2025.xlsm)</v>
      </c>
      <c r="S418" s="123" t="str">
        <f ca="1">REFERENCIA.Unidade</f>
        <v>-</v>
      </c>
      <c r="T418" s="124">
        <f ca="1">OFFSET(CÁLCULO!H$15,ROW($T418)-ROW(T$15),0)</f>
        <v>6</v>
      </c>
      <c r="U418" s="125">
        <f t="shared" ca="1" si="91"/>
        <v>0</v>
      </c>
      <c r="V418" s="126" t="s">
        <v>156</v>
      </c>
      <c r="W418" s="124">
        <f ca="1">IF($C418="S",ROUND(IF(TIPOORCAMENTO="Proposto",ORÇAMENTO.CustoUnitario*(1+$AH418),ORÇAMENTO.PrecoUnitarioLicitado),15-13*$AF$10),0)</f>
        <v>0</v>
      </c>
      <c r="X418" s="127">
        <f ca="1">IF($C418="S",IF(Import.TipoArredondamento&lt;&gt;"TransfereGOV",VTOTAL1,SUM(OFFSET(CÁLCULO!$AA$15,ROW($X418)-ROW($X$15),1):OFFSET(CÁLCULO!$AL$15,ROW($X418)-ROW($X$15),-1))),IF($C418=0,0,ROUND(SomaAgrup,15-13*$AF$11)))</f>
        <v>0</v>
      </c>
      <c r="Y418" s="128" t="s">
        <v>245</v>
      </c>
      <c r="Z418" t="str">
        <f t="shared" ca="1" si="67"/>
        <v/>
      </c>
      <c r="AA418" s="129">
        <f ca="1">IF($C418="S",IF($Z418="CP",$X418,IF($Z418="RA",(($X418)*QCI!$AA$3),0)),SomaAgrup)</f>
        <v>0</v>
      </c>
      <c r="AB418" s="130">
        <f t="shared" ca="1" si="68"/>
        <v>0</v>
      </c>
      <c r="AC418" s="131" t="str">
        <f ca="1">IF($N418="","",IF(ORÇAMENTO.Descricao="","DESCRIÇÃO",IF(AND($C418="S",ORÇAMENTO.Unidade=""),"UNIDADE",IF($X418&lt;0,"VALOR NEGATIVO",IF(OR(AND(TIPOORCAMENTO="Proposto",$AG418&lt;&gt;"",$AG418&gt;0,ORÇAMENTO.CustoUnitario&gt;$AG418),AND(TIPOORCAMENTO="LICITADO",ORÇAMENTO.PrecoUnitarioLicitado&gt;$AN418)),"ACIMA REF.","")))))</f>
        <v/>
      </c>
      <c r="AD418" t="str">
        <f ca="1">IF(C418&lt;=CRONO.NivelExibicao,MAX($AD$15:OFFSET(AD418,-1,0))+IF($C418&lt;&gt;1,1,MAX(1,COUNTIF(QCI!$A$13:$A$24,OFFSET($E418,-1,0)))),"")</f>
        <v/>
      </c>
      <c r="AE418" s="7" t="str">
        <f ca="1">IF(AND($C418="S",ORÇAMENTO.CodBarra&lt;&gt;""),IF(ORÇAMENTO.Fonte="",ORÇAMENTO.CodBarra,CONCATENATE(ORÇAMENTO.Fonte," ",ORÇAMENTO.CodBarra)))</f>
        <v>SINAPI 100867</v>
      </c>
      <c r="AF418" s="13" t="str">
        <f ca="1">IF(ISERROR(INDIRECT(ORÇAMENTO.BancoRef)),"(abra o arquivo 'Referência "&amp;Excel_BuiltIn_Database&amp;".xlsm)",IF(OR($C418&lt;&gt;"S",ORÇAMENTO.CodBarra=""),"(Sem Código)",IF(ISERROR(MATCH($AE418,INDIRECT(ORÇAMENTO.BancoRef),0)),"(Código não identificado nas referências)",MATCH($AE418,INDIRECT(ORÇAMENTO.BancoRef),0))))</f>
        <v>(abra o arquivo 'Referência 02-2025.xlsm)</v>
      </c>
      <c r="AG418" s="498">
        <f ca="1">ROUND(IF(DESONERACAO="sim",REFERENCIA.Desonerado,REFERENCIA.NaoDesonerado),2)</f>
        <v>0</v>
      </c>
      <c r="AH418" s="499">
        <f t="shared" ca="1" si="69"/>
        <v>0.22470000000000001</v>
      </c>
      <c r="AJ418" s="501">
        <v>6</v>
      </c>
      <c r="AL418" s="527"/>
      <c r="AM418" s="381">
        <f t="shared" ca="1" si="70"/>
        <v>0</v>
      </c>
      <c r="AN418" s="566">
        <f t="shared" ca="1" si="71"/>
        <v>0</v>
      </c>
    </row>
    <row r="419" spans="1:40" ht="38.25" x14ac:dyDescent="0.2">
      <c r="A419" t="str">
        <f t="shared" si="56"/>
        <v>S</v>
      </c>
      <c r="B419">
        <f t="shared" ca="1" si="57"/>
        <v>2</v>
      </c>
      <c r="C419" t="str">
        <f t="shared" ca="1" si="58"/>
        <v>S</v>
      </c>
      <c r="D419">
        <f t="shared" ca="1" si="59"/>
        <v>0</v>
      </c>
      <c r="E419">
        <f ca="1">IF($C419=1,OFFSET(E419,-1,0)+MAX(1,COUNTIF(QCI!$A$13:$A$24,OFFSET(ORÇAMENTO!E419,-1,0))),OFFSET(E419,-1,0))</f>
        <v>1</v>
      </c>
      <c r="F419">
        <f t="shared" ca="1" si="60"/>
        <v>15</v>
      </c>
      <c r="G419">
        <f t="shared" ca="1" si="61"/>
        <v>0</v>
      </c>
      <c r="H419">
        <f t="shared" ca="1" si="62"/>
        <v>0</v>
      </c>
      <c r="I419">
        <f t="shared" ca="1" si="63"/>
        <v>0</v>
      </c>
      <c r="J419">
        <f t="shared" ca="1" si="108"/>
        <v>0</v>
      </c>
      <c r="K419">
        <f ca="1">IF(OR($C419="S",$C419=0),0,MATCH(OFFSET($D419,0,$C419)+IF($C419&lt;&gt;1,1,COUNTIF(QCI!$A$13:$A$24,ORÇAMENTO!E419)),OFFSET($D419,1,$C419,ROW($C$747)-ROW($C419)),0))</f>
        <v>0</v>
      </c>
      <c r="L419" s="116" t="str">
        <f t="shared" ca="1" si="64"/>
        <v/>
      </c>
      <c r="M419" s="117" t="s">
        <v>199</v>
      </c>
      <c r="N419" s="118" t="str">
        <f t="shared" ca="1" si="65"/>
        <v>Serviço</v>
      </c>
      <c r="O419" s="119" t="str">
        <f t="shared" ca="1" si="66"/>
        <v>-</v>
      </c>
      <c r="P419" s="120" t="s">
        <v>247</v>
      </c>
      <c r="Q419" s="121" t="s">
        <v>608</v>
      </c>
      <c r="R419" s="122" t="str">
        <f ca="1">IF($C419="S",REFERENCIA.Descricao,"(digite a descrição aqui)")</f>
        <v>(abra o arquivo 'Referência 02-2025.xlsm)</v>
      </c>
      <c r="S419" s="123" t="str">
        <f ca="1">REFERENCIA.Unidade</f>
        <v>-</v>
      </c>
      <c r="T419" s="124">
        <f ca="1">OFFSET(CÁLCULO!H$15,ROW($T419)-ROW(T$15),0)</f>
        <v>9</v>
      </c>
      <c r="U419" s="125">
        <f t="shared" ca="1" si="91"/>
        <v>0</v>
      </c>
      <c r="V419" s="126" t="s">
        <v>156</v>
      </c>
      <c r="W419" s="124">
        <f ca="1">IF($C419="S",ROUND(IF(TIPOORCAMENTO="Proposto",ORÇAMENTO.CustoUnitario*(1+$AH419),ORÇAMENTO.PrecoUnitarioLicitado),15-13*$AF$10),0)</f>
        <v>0</v>
      </c>
      <c r="X419" s="127">
        <f ca="1">IF($C419="S",IF(Import.TipoArredondamento&lt;&gt;"TransfereGOV",VTOTAL1,SUM(OFFSET(CÁLCULO!$AA$15,ROW($X419)-ROW($X$15),1):OFFSET(CÁLCULO!$AL$15,ROW($X419)-ROW($X$15),-1))),IF($C419=0,0,ROUND(SomaAgrup,15-13*$AF$11)))</f>
        <v>0</v>
      </c>
      <c r="Y419" s="128" t="s">
        <v>245</v>
      </c>
      <c r="Z419" t="str">
        <f t="shared" ca="1" si="67"/>
        <v/>
      </c>
      <c r="AA419" s="129">
        <f ca="1">IF($C419="S",IF($Z419="CP",$X419,IF($Z419="RA",(($X419)*QCI!$AA$3),0)),SomaAgrup)</f>
        <v>0</v>
      </c>
      <c r="AB419" s="130">
        <f t="shared" ca="1" si="68"/>
        <v>0</v>
      </c>
      <c r="AC419" s="131" t="str">
        <f ca="1">IF($N419="","",IF(ORÇAMENTO.Descricao="","DESCRIÇÃO",IF(AND($C419="S",ORÇAMENTO.Unidade=""),"UNIDADE",IF($X419&lt;0,"VALOR NEGATIVO",IF(OR(AND(TIPOORCAMENTO="Proposto",$AG419&lt;&gt;"",$AG419&gt;0,ORÇAMENTO.CustoUnitario&gt;$AG419),AND(TIPOORCAMENTO="LICITADO",ORÇAMENTO.PrecoUnitarioLicitado&gt;$AN419)),"ACIMA REF.","")))))</f>
        <v/>
      </c>
      <c r="AD419" t="str">
        <f ca="1">IF(C419&lt;=CRONO.NivelExibicao,MAX($AD$15:OFFSET(AD419,-1,0))+IF($C419&lt;&gt;1,1,MAX(1,COUNTIF(QCI!$A$13:$A$24,OFFSET($E419,-1,0)))),"")</f>
        <v/>
      </c>
      <c r="AE419" s="7" t="str">
        <f ca="1">IF(AND($C419="S",ORÇAMENTO.CodBarra&lt;&gt;""),IF(ORÇAMENTO.Fonte="",ORÇAMENTO.CodBarra,CONCATENATE(ORÇAMENTO.Fonte," ",ORÇAMENTO.CodBarra)))</f>
        <v>SINAPI 100868</v>
      </c>
      <c r="AF419" s="13" t="str">
        <f ca="1">IF(ISERROR(INDIRECT(ORÇAMENTO.BancoRef)),"(abra o arquivo 'Referência "&amp;Excel_BuiltIn_Database&amp;".xlsm)",IF(OR($C419&lt;&gt;"S",ORÇAMENTO.CodBarra=""),"(Sem Código)",IF(ISERROR(MATCH($AE419,INDIRECT(ORÇAMENTO.BancoRef),0)),"(Código não identificado nas referências)",MATCH($AE419,INDIRECT(ORÇAMENTO.BancoRef),0))))</f>
        <v>(abra o arquivo 'Referência 02-2025.xlsm)</v>
      </c>
      <c r="AG419" s="498">
        <f ca="1">ROUND(IF(DESONERACAO="sim",REFERENCIA.Desonerado,REFERENCIA.NaoDesonerado),2)</f>
        <v>0</v>
      </c>
      <c r="AH419" s="499">
        <f t="shared" ca="1" si="69"/>
        <v>0.22470000000000001</v>
      </c>
      <c r="AJ419" s="501">
        <v>9</v>
      </c>
      <c r="AL419" s="527"/>
      <c r="AM419" s="381">
        <f t="shared" ca="1" si="70"/>
        <v>0</v>
      </c>
      <c r="AN419" s="566">
        <f t="shared" ca="1" si="71"/>
        <v>0</v>
      </c>
    </row>
    <row r="420" spans="1:40" ht="25.5" x14ac:dyDescent="0.2">
      <c r="A420" t="str">
        <f t="shared" si="56"/>
        <v>S</v>
      </c>
      <c r="B420">
        <f t="shared" ca="1" si="57"/>
        <v>2</v>
      </c>
      <c r="C420" t="str">
        <f t="shared" ca="1" si="58"/>
        <v>S</v>
      </c>
      <c r="D420">
        <f t="shared" ca="1" si="59"/>
        <v>0</v>
      </c>
      <c r="E420">
        <f ca="1">IF($C420=1,OFFSET(E420,-1,0)+MAX(1,COUNTIF(QCI!$A$13:$A$24,OFFSET(ORÇAMENTO!E420,-1,0))),OFFSET(E420,-1,0))</f>
        <v>1</v>
      </c>
      <c r="F420">
        <f t="shared" ca="1" si="60"/>
        <v>15</v>
      </c>
      <c r="G420">
        <f t="shared" ca="1" si="61"/>
        <v>0</v>
      </c>
      <c r="H420">
        <f t="shared" ca="1" si="62"/>
        <v>0</v>
      </c>
      <c r="I420">
        <f t="shared" ca="1" si="63"/>
        <v>0</v>
      </c>
      <c r="J420">
        <f t="shared" ca="1" si="108"/>
        <v>0</v>
      </c>
      <c r="K420">
        <f ca="1">IF(OR($C420="S",$C420=0),0,MATCH(OFFSET($D420,0,$C420)+IF($C420&lt;&gt;1,1,COUNTIF(QCI!$A$13:$A$24,ORÇAMENTO!E420)),OFFSET($D420,1,$C420,ROW($C$747)-ROW($C420)),0))</f>
        <v>0</v>
      </c>
      <c r="L420" s="116" t="str">
        <f t="shared" ca="1" si="64"/>
        <v/>
      </c>
      <c r="M420" s="117" t="s">
        <v>199</v>
      </c>
      <c r="N420" s="118" t="str">
        <f t="shared" ca="1" si="65"/>
        <v>Serviço</v>
      </c>
      <c r="O420" s="119" t="str">
        <f t="shared" ca="1" si="66"/>
        <v>-</v>
      </c>
      <c r="P420" s="120" t="s">
        <v>247</v>
      </c>
      <c r="Q420" s="121" t="s">
        <v>609</v>
      </c>
      <c r="R420" s="122" t="str">
        <f ca="1">IF($C420="S",REFERENCIA.Descricao,"(digite a descrição aqui)")</f>
        <v>(abra o arquivo 'Referência 02-2025.xlsm)</v>
      </c>
      <c r="S420" s="123" t="str">
        <f ca="1">REFERENCIA.Unidade</f>
        <v>-</v>
      </c>
      <c r="T420" s="124">
        <f ca="1">OFFSET(CÁLCULO!H$15,ROW($T420)-ROW(T$15),0)</f>
        <v>1</v>
      </c>
      <c r="U420" s="125">
        <f t="shared" ref="U420:U469" ca="1" si="109">AG420</f>
        <v>0</v>
      </c>
      <c r="V420" s="126" t="s">
        <v>156</v>
      </c>
      <c r="W420" s="124">
        <f ca="1">IF($C420="S",ROUND(IF(TIPOORCAMENTO="Proposto",ORÇAMENTO.CustoUnitario*(1+$AH420),ORÇAMENTO.PrecoUnitarioLicitado),15-13*$AF$10),0)</f>
        <v>0</v>
      </c>
      <c r="X420" s="127">
        <f ca="1">IF($C420="S",IF(Import.TipoArredondamento&lt;&gt;"TransfereGOV",VTOTAL1,SUM(OFFSET(CÁLCULO!$AA$15,ROW($X420)-ROW($X$15),1):OFFSET(CÁLCULO!$AL$15,ROW($X420)-ROW($X$15),-1))),IF($C420=0,0,ROUND(SomaAgrup,15-13*$AF$11)))</f>
        <v>0</v>
      </c>
      <c r="Y420" s="128" t="s">
        <v>245</v>
      </c>
      <c r="Z420" t="str">
        <f t="shared" ca="1" si="67"/>
        <v/>
      </c>
      <c r="AA420" s="129">
        <f ca="1">IF($C420="S",IF($Z420="CP",$X420,IF($Z420="RA",(($X420)*QCI!$AA$3),0)),SomaAgrup)</f>
        <v>0</v>
      </c>
      <c r="AB420" s="130">
        <f t="shared" ca="1" si="68"/>
        <v>0</v>
      </c>
      <c r="AC420" s="131" t="str">
        <f ca="1">IF($N420="","",IF(ORÇAMENTO.Descricao="","DESCRIÇÃO",IF(AND($C420="S",ORÇAMENTO.Unidade=""),"UNIDADE",IF($X420&lt;0,"VALOR NEGATIVO",IF(OR(AND(TIPOORCAMENTO="Proposto",$AG420&lt;&gt;"",$AG420&gt;0,ORÇAMENTO.CustoUnitario&gt;$AG420),AND(TIPOORCAMENTO="LICITADO",ORÇAMENTO.PrecoUnitarioLicitado&gt;$AN420)),"ACIMA REF.","")))))</f>
        <v/>
      </c>
      <c r="AD420" t="str">
        <f ca="1">IF(C420&lt;=CRONO.NivelExibicao,MAX($AD$15:OFFSET(AD420,-1,0))+IF($C420&lt;&gt;1,1,MAX(1,COUNTIF(QCI!$A$13:$A$24,OFFSET($E420,-1,0)))),"")</f>
        <v/>
      </c>
      <c r="AE420" s="7" t="str">
        <f ca="1">IF(AND($C420="S",ORÇAMENTO.CodBarra&lt;&gt;""),IF(ORÇAMENTO.Fonte="",ORÇAMENTO.CodBarra,CONCATENATE(ORÇAMENTO.Fonte," ",ORÇAMENTO.CodBarra)))</f>
        <v>SINAPI 100875</v>
      </c>
      <c r="AF420" s="13" t="str">
        <f ca="1">IF(ISERROR(INDIRECT(ORÇAMENTO.BancoRef)),"(abra o arquivo 'Referência "&amp;Excel_BuiltIn_Database&amp;".xlsm)",IF(OR($C420&lt;&gt;"S",ORÇAMENTO.CodBarra=""),"(Sem Código)",IF(ISERROR(MATCH($AE420,INDIRECT(ORÇAMENTO.BancoRef),0)),"(Código não identificado nas referências)",MATCH($AE420,INDIRECT(ORÇAMENTO.BancoRef),0))))</f>
        <v>(abra o arquivo 'Referência 02-2025.xlsm)</v>
      </c>
      <c r="AG420" s="498">
        <f ca="1">ROUND(IF(DESONERACAO="sim",REFERENCIA.Desonerado,REFERENCIA.NaoDesonerado),2)</f>
        <v>0</v>
      </c>
      <c r="AH420" s="499">
        <f t="shared" ca="1" si="69"/>
        <v>0.22470000000000001</v>
      </c>
      <c r="AJ420" s="501">
        <v>1</v>
      </c>
      <c r="AL420" s="527"/>
      <c r="AM420" s="381">
        <f t="shared" ca="1" si="70"/>
        <v>0</v>
      </c>
      <c r="AN420" s="566">
        <f t="shared" ca="1" si="71"/>
        <v>0</v>
      </c>
    </row>
    <row r="421" spans="1:40" ht="25.5" x14ac:dyDescent="0.2">
      <c r="A421" t="str">
        <f t="shared" si="56"/>
        <v>S</v>
      </c>
      <c r="B421">
        <f t="shared" ca="1" si="57"/>
        <v>2</v>
      </c>
      <c r="C421" t="str">
        <f t="shared" ca="1" si="58"/>
        <v>S</v>
      </c>
      <c r="D421">
        <f t="shared" ca="1" si="59"/>
        <v>0</v>
      </c>
      <c r="E421">
        <f ca="1">IF($C421=1,OFFSET(E421,-1,0)+MAX(1,COUNTIF(QCI!$A$13:$A$24,OFFSET(ORÇAMENTO!E421,-1,0))),OFFSET(E421,-1,0))</f>
        <v>1</v>
      </c>
      <c r="F421">
        <f t="shared" ca="1" si="60"/>
        <v>15</v>
      </c>
      <c r="G421">
        <f t="shared" ca="1" si="61"/>
        <v>0</v>
      </c>
      <c r="H421">
        <f t="shared" ca="1" si="62"/>
        <v>0</v>
      </c>
      <c r="I421">
        <f t="shared" ca="1" si="63"/>
        <v>0</v>
      </c>
      <c r="J421">
        <f t="shared" ca="1" si="108"/>
        <v>0</v>
      </c>
      <c r="K421">
        <f ca="1">IF(OR($C421="S",$C421=0),0,MATCH(OFFSET($D421,0,$C421)+IF($C421&lt;&gt;1,1,COUNTIF(QCI!$A$13:$A$24,ORÇAMENTO!E421)),OFFSET($D421,1,$C421,ROW($C$747)-ROW($C421)),0))</f>
        <v>0</v>
      </c>
      <c r="L421" s="116" t="str">
        <f t="shared" ca="1" si="64"/>
        <v/>
      </c>
      <c r="M421" s="117" t="s">
        <v>199</v>
      </c>
      <c r="N421" s="118" t="str">
        <f t="shared" ca="1" si="65"/>
        <v>Serviço</v>
      </c>
      <c r="O421" s="119" t="str">
        <f t="shared" ca="1" si="66"/>
        <v>-</v>
      </c>
      <c r="P421" s="120" t="s">
        <v>712</v>
      </c>
      <c r="Q421" s="121" t="s">
        <v>813</v>
      </c>
      <c r="R421" s="122" t="str">
        <f ca="1">IF($C421="S",REFERENCIA.Descricao,"(digite a descrição aqui)")</f>
        <v>(abra o arquivo 'Referência 02-2025.xlsm)</v>
      </c>
      <c r="S421" s="123" t="str">
        <f ca="1">REFERENCIA.Unidade</f>
        <v>-</v>
      </c>
      <c r="T421" s="124">
        <f ca="1">OFFSET(CÁLCULO!H$15,ROW($T421)-ROW(T$15),0)</f>
        <v>27</v>
      </c>
      <c r="U421" s="125">
        <f t="shared" ca="1" si="109"/>
        <v>0</v>
      </c>
      <c r="V421" s="126" t="s">
        <v>156</v>
      </c>
      <c r="W421" s="124">
        <f ca="1">IF($C421="S",ROUND(IF(TIPOORCAMENTO="Proposto",ORÇAMENTO.CustoUnitario*(1+$AH421),ORÇAMENTO.PrecoUnitarioLicitado),15-13*$AF$10),0)</f>
        <v>0</v>
      </c>
      <c r="X421" s="127">
        <f ca="1">IF($C421="S",IF(Import.TipoArredondamento&lt;&gt;"TransfereGOV",VTOTAL1,SUM(OFFSET(CÁLCULO!$AA$15,ROW($X421)-ROW($X$15),1):OFFSET(CÁLCULO!$AL$15,ROW($X421)-ROW($X$15),-1))),IF($C421=0,0,ROUND(SomaAgrup,15-13*$AF$11)))</f>
        <v>0</v>
      </c>
      <c r="Y421" s="128" t="s">
        <v>245</v>
      </c>
      <c r="Z421" t="str">
        <f t="shared" ca="1" si="67"/>
        <v/>
      </c>
      <c r="AA421" s="129">
        <f ca="1">IF($C421="S",IF($Z421="CP",$X421,IF($Z421="RA",(($X421)*QCI!$AA$3),0)),SomaAgrup)</f>
        <v>0</v>
      </c>
      <c r="AB421" s="130">
        <f t="shared" ca="1" si="68"/>
        <v>0</v>
      </c>
      <c r="AC421" s="131" t="str">
        <f ca="1">IF($N421="","",IF(ORÇAMENTO.Descricao="","DESCRIÇÃO",IF(AND($C421="S",ORÇAMENTO.Unidade=""),"UNIDADE",IF($X421&lt;0,"VALOR NEGATIVO",IF(OR(AND(TIPOORCAMENTO="Proposto",$AG421&lt;&gt;"",$AG421&gt;0,ORÇAMENTO.CustoUnitario&gt;$AG421),AND(TIPOORCAMENTO="LICITADO",ORÇAMENTO.PrecoUnitarioLicitado&gt;$AN421)),"ACIMA REF.","")))))</f>
        <v/>
      </c>
      <c r="AD421" t="str">
        <f ca="1">IF(C421&lt;=CRONO.NivelExibicao,MAX($AD$15:OFFSET(AD421,-1,0))+IF($C421&lt;&gt;1,1,MAX(1,COUNTIF(QCI!$A$13:$A$24,OFFSET($E421,-1,0)))),"")</f>
        <v/>
      </c>
      <c r="AE421" s="7" t="str">
        <f ca="1">IF(AND($C421="S",ORÇAMENTO.CodBarra&lt;&gt;""),IF(ORÇAMENTO.Fonte="",ORÇAMENTO.CodBarra,CONCATENATE(ORÇAMENTO.Fonte," ",ORÇAMENTO.CodBarra)))</f>
        <v>Composição FNDE 15</v>
      </c>
      <c r="AF421" s="13" t="str">
        <f ca="1">IF(ISERROR(INDIRECT(ORÇAMENTO.BancoRef)),"(abra o arquivo 'Referência "&amp;Excel_BuiltIn_Database&amp;".xlsm)",IF(OR($C421&lt;&gt;"S",ORÇAMENTO.CodBarra=""),"(Sem Código)",IF(ISERROR(MATCH($AE421,INDIRECT(ORÇAMENTO.BancoRef),0)),"(Código não identificado nas referências)",MATCH($AE421,INDIRECT(ORÇAMENTO.BancoRef),0))))</f>
        <v>(abra o arquivo 'Referência 02-2025.xlsm)</v>
      </c>
      <c r="AG421" s="498">
        <f ca="1">ROUND(IF(DESONERACAO="sim",REFERENCIA.Desonerado,REFERENCIA.NaoDesonerado),2)</f>
        <v>0</v>
      </c>
      <c r="AH421" s="499">
        <f t="shared" ca="1" si="69"/>
        <v>0.22470000000000001</v>
      </c>
      <c r="AJ421" s="501">
        <v>27</v>
      </c>
      <c r="AL421" s="527"/>
      <c r="AM421" s="381">
        <f t="shared" ca="1" si="70"/>
        <v>0</v>
      </c>
      <c r="AN421" s="566">
        <f t="shared" ca="1" si="71"/>
        <v>0</v>
      </c>
    </row>
    <row r="422" spans="1:40" ht="25.5" x14ac:dyDescent="0.2">
      <c r="A422" t="str">
        <f t="shared" si="56"/>
        <v>S</v>
      </c>
      <c r="B422">
        <f t="shared" ca="1" si="57"/>
        <v>2</v>
      </c>
      <c r="C422" t="str">
        <f t="shared" ca="1" si="58"/>
        <v>S</v>
      </c>
      <c r="D422">
        <f t="shared" ca="1" si="59"/>
        <v>0</v>
      </c>
      <c r="E422">
        <f ca="1">IF($C422=1,OFFSET(E422,-1,0)+MAX(1,COUNTIF(QCI!$A$13:$A$24,OFFSET(ORÇAMENTO!E422,-1,0))),OFFSET(E422,-1,0))</f>
        <v>1</v>
      </c>
      <c r="F422">
        <f t="shared" ca="1" si="60"/>
        <v>15</v>
      </c>
      <c r="G422">
        <f t="shared" ca="1" si="61"/>
        <v>0</v>
      </c>
      <c r="H422">
        <f t="shared" ca="1" si="62"/>
        <v>0</v>
      </c>
      <c r="I422">
        <f t="shared" ca="1" si="63"/>
        <v>0</v>
      </c>
      <c r="J422">
        <f t="shared" ca="1" si="108"/>
        <v>0</v>
      </c>
      <c r="K422">
        <f ca="1">IF(OR($C422="S",$C422=0),0,MATCH(OFFSET($D422,0,$C422)+IF($C422&lt;&gt;1,1,COUNTIF(QCI!$A$13:$A$24,ORÇAMENTO!E422)),OFFSET($D422,1,$C422,ROW($C$747)-ROW($C422)),0))</f>
        <v>0</v>
      </c>
      <c r="L422" s="116" t="str">
        <f t="shared" ca="1" si="64"/>
        <v/>
      </c>
      <c r="M422" s="117" t="s">
        <v>199</v>
      </c>
      <c r="N422" s="118" t="str">
        <f t="shared" ca="1" si="65"/>
        <v>Serviço</v>
      </c>
      <c r="O422" s="119" t="str">
        <f t="shared" ca="1" si="66"/>
        <v>-</v>
      </c>
      <c r="P422" s="120" t="s">
        <v>712</v>
      </c>
      <c r="Q422" s="121" t="s">
        <v>814</v>
      </c>
      <c r="R422" s="122" t="str">
        <f ca="1">IF($C422="S",REFERENCIA.Descricao,"(digite a descrição aqui)")</f>
        <v>(abra o arquivo 'Referência 02-2025.xlsm)</v>
      </c>
      <c r="S422" s="123" t="str">
        <f ca="1">REFERENCIA.Unidade</f>
        <v>-</v>
      </c>
      <c r="T422" s="124">
        <f ca="1">OFFSET(CÁLCULO!H$15,ROW($T422)-ROW(T$15),0)</f>
        <v>20</v>
      </c>
      <c r="U422" s="125">
        <f t="shared" ca="1" si="109"/>
        <v>0</v>
      </c>
      <c r="V422" s="126" t="s">
        <v>156</v>
      </c>
      <c r="W422" s="124">
        <f ca="1">IF($C422="S",ROUND(IF(TIPOORCAMENTO="Proposto",ORÇAMENTO.CustoUnitario*(1+$AH422),ORÇAMENTO.PrecoUnitarioLicitado),15-13*$AF$10),0)</f>
        <v>0</v>
      </c>
      <c r="X422" s="127">
        <f ca="1">IF($C422="S",IF(Import.TipoArredondamento&lt;&gt;"TransfereGOV",VTOTAL1,SUM(OFFSET(CÁLCULO!$AA$15,ROW($X422)-ROW($X$15),1):OFFSET(CÁLCULO!$AL$15,ROW($X422)-ROW($X$15),-1))),IF($C422=0,0,ROUND(SomaAgrup,15-13*$AF$11)))</f>
        <v>0</v>
      </c>
      <c r="Y422" s="128" t="s">
        <v>245</v>
      </c>
      <c r="Z422" t="str">
        <f t="shared" ca="1" si="67"/>
        <v/>
      </c>
      <c r="AA422" s="129">
        <f ca="1">IF($C422="S",IF($Z422="CP",$X422,IF($Z422="RA",(($X422)*QCI!$AA$3),0)),SomaAgrup)</f>
        <v>0</v>
      </c>
      <c r="AB422" s="130">
        <f t="shared" ca="1" si="68"/>
        <v>0</v>
      </c>
      <c r="AC422" s="131" t="str">
        <f ca="1">IF($N422="","",IF(ORÇAMENTO.Descricao="","DESCRIÇÃO",IF(AND($C422="S",ORÇAMENTO.Unidade=""),"UNIDADE",IF($X422&lt;0,"VALOR NEGATIVO",IF(OR(AND(TIPOORCAMENTO="Proposto",$AG422&lt;&gt;"",$AG422&gt;0,ORÇAMENTO.CustoUnitario&gt;$AG422),AND(TIPOORCAMENTO="LICITADO",ORÇAMENTO.PrecoUnitarioLicitado&gt;$AN422)),"ACIMA REF.","")))))</f>
        <v/>
      </c>
      <c r="AD422" t="str">
        <f ca="1">IF(C422&lt;=CRONO.NivelExibicao,MAX($AD$15:OFFSET(AD422,-1,0))+IF($C422&lt;&gt;1,1,MAX(1,COUNTIF(QCI!$A$13:$A$24,OFFSET($E422,-1,0)))),"")</f>
        <v/>
      </c>
      <c r="AE422" s="7" t="str">
        <f ca="1">IF(AND($C422="S",ORÇAMENTO.CodBarra&lt;&gt;""),IF(ORÇAMENTO.Fonte="",ORÇAMENTO.CodBarra,CONCATENATE(ORÇAMENTO.Fonte," ",ORÇAMENTO.CodBarra)))</f>
        <v>Composição FNDE 16</v>
      </c>
      <c r="AF422" s="13" t="str">
        <f ca="1">IF(ISERROR(INDIRECT(ORÇAMENTO.BancoRef)),"(abra o arquivo 'Referência "&amp;Excel_BuiltIn_Database&amp;".xlsm)",IF(OR($C422&lt;&gt;"S",ORÇAMENTO.CodBarra=""),"(Sem Código)",IF(ISERROR(MATCH($AE422,INDIRECT(ORÇAMENTO.BancoRef),0)),"(Código não identificado nas referências)",MATCH($AE422,INDIRECT(ORÇAMENTO.BancoRef),0))))</f>
        <v>(abra o arquivo 'Referência 02-2025.xlsm)</v>
      </c>
      <c r="AG422" s="498">
        <f ca="1">ROUND(IF(DESONERACAO="sim",REFERENCIA.Desonerado,REFERENCIA.NaoDesonerado),2)</f>
        <v>0</v>
      </c>
      <c r="AH422" s="499">
        <f t="shared" ca="1" si="69"/>
        <v>0.22470000000000001</v>
      </c>
      <c r="AJ422" s="501">
        <v>20</v>
      </c>
      <c r="AL422" s="527"/>
      <c r="AM422" s="381">
        <f t="shared" ca="1" si="70"/>
        <v>0</v>
      </c>
      <c r="AN422" s="566">
        <f t="shared" ca="1" si="71"/>
        <v>0</v>
      </c>
    </row>
    <row r="423" spans="1:40" ht="25.5" x14ac:dyDescent="0.2">
      <c r="A423" t="str">
        <f t="shared" si="56"/>
        <v>S</v>
      </c>
      <c r="B423">
        <f t="shared" ca="1" si="57"/>
        <v>2</v>
      </c>
      <c r="C423" t="str">
        <f t="shared" ca="1" si="58"/>
        <v>S</v>
      </c>
      <c r="D423">
        <f t="shared" ca="1" si="59"/>
        <v>0</v>
      </c>
      <c r="E423">
        <f ca="1">IF($C423=1,OFFSET(E423,-1,0)+MAX(1,COUNTIF(QCI!$A$13:$A$24,OFFSET(ORÇAMENTO!E423,-1,0))),OFFSET(E423,-1,0))</f>
        <v>1</v>
      </c>
      <c r="F423">
        <f t="shared" ca="1" si="60"/>
        <v>15</v>
      </c>
      <c r="G423">
        <f t="shared" ca="1" si="61"/>
        <v>0</v>
      </c>
      <c r="H423">
        <f t="shared" ca="1" si="62"/>
        <v>0</v>
      </c>
      <c r="I423">
        <f t="shared" ca="1" si="63"/>
        <v>0</v>
      </c>
      <c r="J423">
        <f t="shared" ca="1" si="108"/>
        <v>0</v>
      </c>
      <c r="K423">
        <f ca="1">IF(OR($C423="S",$C423=0),0,MATCH(OFFSET($D423,0,$C423)+IF($C423&lt;&gt;1,1,COUNTIF(QCI!$A$13:$A$24,ORÇAMENTO!E423)),OFFSET($D423,1,$C423,ROW($C$747)-ROW($C423)),0))</f>
        <v>0</v>
      </c>
      <c r="L423" s="116" t="str">
        <f t="shared" ca="1" si="64"/>
        <v/>
      </c>
      <c r="M423" s="117" t="s">
        <v>199</v>
      </c>
      <c r="N423" s="118" t="str">
        <f t="shared" ca="1" si="65"/>
        <v>Serviço</v>
      </c>
      <c r="O423" s="119" t="str">
        <f t="shared" ca="1" si="66"/>
        <v>-</v>
      </c>
      <c r="P423" s="120" t="s">
        <v>247</v>
      </c>
      <c r="Q423" s="121" t="s">
        <v>610</v>
      </c>
      <c r="R423" s="122" t="str">
        <f ca="1">IF($C423="S",REFERENCIA.Descricao,"(digite a descrição aqui)")</f>
        <v>(abra o arquivo 'Referência 02-2025.xlsm)</v>
      </c>
      <c r="S423" s="123" t="str">
        <f ca="1">REFERENCIA.Unidade</f>
        <v>-</v>
      </c>
      <c r="T423" s="124">
        <f ca="1">OFFSET(CÁLCULO!H$15,ROW($T423)-ROW(T$15),0)</f>
        <v>23</v>
      </c>
      <c r="U423" s="125">
        <f t="shared" ca="1" si="109"/>
        <v>0</v>
      </c>
      <c r="V423" s="126" t="s">
        <v>156</v>
      </c>
      <c r="W423" s="124">
        <f ca="1">IF($C423="S",ROUND(IF(TIPOORCAMENTO="Proposto",ORÇAMENTO.CustoUnitario*(1+$AH423),ORÇAMENTO.PrecoUnitarioLicitado),15-13*$AF$10),0)</f>
        <v>0</v>
      </c>
      <c r="X423" s="127">
        <f ca="1">IF($C423="S",IF(Import.TipoArredondamento&lt;&gt;"TransfereGOV",VTOTAL1,SUM(OFFSET(CÁLCULO!$AA$15,ROW($X423)-ROW($X$15),1):OFFSET(CÁLCULO!$AL$15,ROW($X423)-ROW($X$15),-1))),IF($C423=0,0,ROUND(SomaAgrup,15-13*$AF$11)))</f>
        <v>0</v>
      </c>
      <c r="Y423" s="128" t="s">
        <v>245</v>
      </c>
      <c r="Z423" t="str">
        <f t="shared" ca="1" si="67"/>
        <v/>
      </c>
      <c r="AA423" s="129">
        <f ca="1">IF($C423="S",IF($Z423="CP",$X423,IF($Z423="RA",(($X423)*QCI!$AA$3),0)),SomaAgrup)</f>
        <v>0</v>
      </c>
      <c r="AB423" s="130">
        <f t="shared" ca="1" si="68"/>
        <v>0</v>
      </c>
      <c r="AC423" s="131" t="str">
        <f ca="1">IF($N423="","",IF(ORÇAMENTO.Descricao="","DESCRIÇÃO",IF(AND($C423="S",ORÇAMENTO.Unidade=""),"UNIDADE",IF($X423&lt;0,"VALOR NEGATIVO",IF(OR(AND(TIPOORCAMENTO="Proposto",$AG423&lt;&gt;"",$AG423&gt;0,ORÇAMENTO.CustoUnitario&gt;$AG423),AND(TIPOORCAMENTO="LICITADO",ORÇAMENTO.PrecoUnitarioLicitado&gt;$AN423)),"ACIMA REF.","")))))</f>
        <v/>
      </c>
      <c r="AD423" t="str">
        <f ca="1">IF(C423&lt;=CRONO.NivelExibicao,MAX($AD$15:OFFSET(AD423,-1,0))+IF($C423&lt;&gt;1,1,MAX(1,COUNTIF(QCI!$A$13:$A$24,OFFSET($E423,-1,0)))),"")</f>
        <v/>
      </c>
      <c r="AE423" s="7" t="str">
        <f ca="1">IF(AND($C423="S",ORÇAMENTO.CodBarra&lt;&gt;""),IF(ORÇAMENTO.Fonte="",ORÇAMENTO.CodBarra,CONCATENATE(ORÇAMENTO.Fonte," ",ORÇAMENTO.CodBarra)))</f>
        <v>SINAPI 95547</v>
      </c>
      <c r="AF423" s="13" t="str">
        <f ca="1">IF(ISERROR(INDIRECT(ORÇAMENTO.BancoRef)),"(abra o arquivo 'Referência "&amp;Excel_BuiltIn_Database&amp;".xlsm)",IF(OR($C423&lt;&gt;"S",ORÇAMENTO.CodBarra=""),"(Sem Código)",IF(ISERROR(MATCH($AE423,INDIRECT(ORÇAMENTO.BancoRef),0)),"(Código não identificado nas referências)",MATCH($AE423,INDIRECT(ORÇAMENTO.BancoRef),0))))</f>
        <v>(abra o arquivo 'Referência 02-2025.xlsm)</v>
      </c>
      <c r="AG423" s="498">
        <f ca="1">ROUND(IF(DESONERACAO="sim",REFERENCIA.Desonerado,REFERENCIA.NaoDesonerado),2)</f>
        <v>0</v>
      </c>
      <c r="AH423" s="499">
        <f t="shared" ca="1" si="69"/>
        <v>0.22470000000000001</v>
      </c>
      <c r="AJ423" s="501">
        <v>23</v>
      </c>
      <c r="AL423" s="527"/>
      <c r="AM423" s="381">
        <f t="shared" ca="1" si="70"/>
        <v>0</v>
      </c>
      <c r="AN423" s="566">
        <f t="shared" ca="1" si="71"/>
        <v>0</v>
      </c>
    </row>
    <row r="424" spans="1:40" ht="25.5" x14ac:dyDescent="0.2">
      <c r="A424" t="str">
        <f t="shared" si="56"/>
        <v>S</v>
      </c>
      <c r="B424">
        <f t="shared" ca="1" si="57"/>
        <v>2</v>
      </c>
      <c r="C424" t="str">
        <f t="shared" ca="1" si="58"/>
        <v>S</v>
      </c>
      <c r="D424">
        <f t="shared" ca="1" si="59"/>
        <v>0</v>
      </c>
      <c r="E424">
        <f ca="1">IF($C424=1,OFFSET(E424,-1,0)+MAX(1,COUNTIF(QCI!$A$13:$A$24,OFFSET(ORÇAMENTO!E424,-1,0))),OFFSET(E424,-1,0))</f>
        <v>1</v>
      </c>
      <c r="F424">
        <f t="shared" ca="1" si="60"/>
        <v>15</v>
      </c>
      <c r="G424">
        <f t="shared" ca="1" si="61"/>
        <v>0</v>
      </c>
      <c r="H424">
        <f t="shared" ca="1" si="62"/>
        <v>0</v>
      </c>
      <c r="I424">
        <f t="shared" ca="1" si="63"/>
        <v>0</v>
      </c>
      <c r="J424">
        <f t="shared" ca="1" si="108"/>
        <v>0</v>
      </c>
      <c r="K424">
        <f ca="1">IF(OR($C424="S",$C424=0),0,MATCH(OFFSET($D424,0,$C424)+IF($C424&lt;&gt;1,1,COUNTIF(QCI!$A$13:$A$24,ORÇAMENTO!E424)),OFFSET($D424,1,$C424,ROW($C$747)-ROW($C424)),0))</f>
        <v>0</v>
      </c>
      <c r="L424" s="116" t="str">
        <f t="shared" ca="1" si="64"/>
        <v/>
      </c>
      <c r="M424" s="117" t="s">
        <v>199</v>
      </c>
      <c r="N424" s="118" t="str">
        <f t="shared" ca="1" si="65"/>
        <v>Serviço</v>
      </c>
      <c r="O424" s="119" t="str">
        <f t="shared" ca="1" si="66"/>
        <v>-</v>
      </c>
      <c r="P424" s="120" t="s">
        <v>712</v>
      </c>
      <c r="Q424" s="121" t="s">
        <v>815</v>
      </c>
      <c r="R424" s="122" t="str">
        <f ca="1">IF($C424="S",REFERENCIA.Descricao,"(digite a descrição aqui)")</f>
        <v>(abra o arquivo 'Referência 02-2025.xlsm)</v>
      </c>
      <c r="S424" s="123" t="str">
        <f ca="1">REFERENCIA.Unidade</f>
        <v>-</v>
      </c>
      <c r="T424" s="124">
        <f ca="1">OFFSET(CÁLCULO!H$15,ROW($T424)-ROW(T$15),0)</f>
        <v>16.899999999999999</v>
      </c>
      <c r="U424" s="125">
        <f t="shared" ca="1" si="109"/>
        <v>0</v>
      </c>
      <c r="V424" s="126" t="s">
        <v>156</v>
      </c>
      <c r="W424" s="124">
        <f ca="1">IF($C424="S",ROUND(IF(TIPOORCAMENTO="Proposto",ORÇAMENTO.CustoUnitario*(1+$AH424),ORÇAMENTO.PrecoUnitarioLicitado),15-13*$AF$10),0)</f>
        <v>0</v>
      </c>
      <c r="X424" s="127">
        <f ca="1">IF($C424="S",IF(Import.TipoArredondamento&lt;&gt;"TransfereGOV",VTOTAL1,SUM(OFFSET(CÁLCULO!$AA$15,ROW($X424)-ROW($X$15),1):OFFSET(CÁLCULO!$AL$15,ROW($X424)-ROW($X$15),-1))),IF($C424=0,0,ROUND(SomaAgrup,15-13*$AF$11)))</f>
        <v>0</v>
      </c>
      <c r="Y424" s="128" t="s">
        <v>245</v>
      </c>
      <c r="Z424" t="str">
        <f t="shared" ca="1" si="67"/>
        <v/>
      </c>
      <c r="AA424" s="129">
        <f ca="1">IF($C424="S",IF($Z424="CP",$X424,IF($Z424="RA",(($X424)*QCI!$AA$3),0)),SomaAgrup)</f>
        <v>0</v>
      </c>
      <c r="AB424" s="130">
        <f t="shared" ca="1" si="68"/>
        <v>0</v>
      </c>
      <c r="AC424" s="131" t="str">
        <f ca="1">IF($N424="","",IF(ORÇAMENTO.Descricao="","DESCRIÇÃO",IF(AND($C424="S",ORÇAMENTO.Unidade=""),"UNIDADE",IF($X424&lt;0,"VALOR NEGATIVO",IF(OR(AND(TIPOORCAMENTO="Proposto",$AG424&lt;&gt;"",$AG424&gt;0,ORÇAMENTO.CustoUnitario&gt;$AG424),AND(TIPOORCAMENTO="LICITADO",ORÇAMENTO.PrecoUnitarioLicitado&gt;$AN424)),"ACIMA REF.","")))))</f>
        <v/>
      </c>
      <c r="AD424" t="str">
        <f ca="1">IF(C424&lt;=CRONO.NivelExibicao,MAX($AD$15:OFFSET(AD424,-1,0))+IF($C424&lt;&gt;1,1,MAX(1,COUNTIF(QCI!$A$13:$A$24,OFFSET($E424,-1,0)))),"")</f>
        <v/>
      </c>
      <c r="AE424" s="7" t="str">
        <f ca="1">IF(AND($C424="S",ORÇAMENTO.CodBarra&lt;&gt;""),IF(ORÇAMENTO.Fonte="",ORÇAMENTO.CodBarra,CONCATENATE(ORÇAMENTO.Fonte," ",ORÇAMENTO.CodBarra)))</f>
        <v>Composição FNDE 12</v>
      </c>
      <c r="AF424" s="13" t="str">
        <f ca="1">IF(ISERROR(INDIRECT(ORÇAMENTO.BancoRef)),"(abra o arquivo 'Referência "&amp;Excel_BuiltIn_Database&amp;".xlsm)",IF(OR($C424&lt;&gt;"S",ORÇAMENTO.CodBarra=""),"(Sem Código)",IF(ISERROR(MATCH($AE424,INDIRECT(ORÇAMENTO.BancoRef),0)),"(Código não identificado nas referências)",MATCH($AE424,INDIRECT(ORÇAMENTO.BancoRef),0))))</f>
        <v>(abra o arquivo 'Referência 02-2025.xlsm)</v>
      </c>
      <c r="AG424" s="498">
        <f ca="1">ROUND(IF(DESONERACAO="sim",REFERENCIA.Desonerado,REFERENCIA.NaoDesonerado),2)</f>
        <v>0</v>
      </c>
      <c r="AH424" s="499">
        <f t="shared" ca="1" si="69"/>
        <v>0.22470000000000001</v>
      </c>
      <c r="AJ424" s="501">
        <v>16.899999999999999</v>
      </c>
      <c r="AL424" s="527"/>
      <c r="AM424" s="381">
        <f t="shared" ca="1" si="70"/>
        <v>0</v>
      </c>
      <c r="AN424" s="566">
        <f t="shared" ca="1" si="71"/>
        <v>0</v>
      </c>
    </row>
    <row r="425" spans="1:40" x14ac:dyDescent="0.2">
      <c r="A425" t="str">
        <f t="shared" si="56"/>
        <v>S</v>
      </c>
      <c r="B425">
        <f t="shared" ca="1" si="57"/>
        <v>2</v>
      </c>
      <c r="C425" t="str">
        <f t="shared" ca="1" si="58"/>
        <v>S</v>
      </c>
      <c r="D425">
        <f t="shared" ca="1" si="59"/>
        <v>0</v>
      </c>
      <c r="E425">
        <f ca="1">IF($C425=1,OFFSET(E425,-1,0)+MAX(1,COUNTIF(QCI!$A$13:$A$24,OFFSET(ORÇAMENTO!E425,-1,0))),OFFSET(E425,-1,0))</f>
        <v>1</v>
      </c>
      <c r="F425">
        <f t="shared" ca="1" si="60"/>
        <v>15</v>
      </c>
      <c r="G425">
        <f t="shared" ca="1" si="61"/>
        <v>0</v>
      </c>
      <c r="H425">
        <f t="shared" ca="1" si="62"/>
        <v>0</v>
      </c>
      <c r="I425">
        <f t="shared" ca="1" si="63"/>
        <v>0</v>
      </c>
      <c r="J425">
        <f t="shared" ca="1" si="108"/>
        <v>0</v>
      </c>
      <c r="K425">
        <f ca="1">IF(OR($C425="S",$C425=0),0,MATCH(OFFSET($D425,0,$C425)+IF($C425&lt;&gt;1,1,COUNTIF(QCI!$A$13:$A$24,ORÇAMENTO!E425)),OFFSET($D425,1,$C425,ROW($C$747)-ROW($C425)),0))</f>
        <v>0</v>
      </c>
      <c r="L425" s="116" t="str">
        <f t="shared" ca="1" si="64"/>
        <v/>
      </c>
      <c r="M425" s="117" t="s">
        <v>199</v>
      </c>
      <c r="N425" s="118" t="str">
        <f t="shared" ca="1" si="65"/>
        <v>Serviço</v>
      </c>
      <c r="O425" s="119" t="str">
        <f t="shared" ca="1" si="66"/>
        <v>-</v>
      </c>
      <c r="P425" s="120" t="s">
        <v>712</v>
      </c>
      <c r="Q425" s="121" t="s">
        <v>817</v>
      </c>
      <c r="R425" s="122" t="str">
        <f ca="1">IF($C425="S",REFERENCIA.Descricao,"(digite a descrição aqui)")</f>
        <v>(abra o arquivo 'Referência 02-2025.xlsm)</v>
      </c>
      <c r="S425" s="123" t="str">
        <f ca="1">REFERENCIA.Unidade</f>
        <v>-</v>
      </c>
      <c r="T425" s="124">
        <f ca="1">OFFSET(CÁLCULO!H$15,ROW($T425)-ROW(T$15),0)</f>
        <v>23</v>
      </c>
      <c r="U425" s="125">
        <f t="shared" ca="1" si="109"/>
        <v>0</v>
      </c>
      <c r="V425" s="126" t="s">
        <v>156</v>
      </c>
      <c r="W425" s="124">
        <f ca="1">IF($C425="S",ROUND(IF(TIPOORCAMENTO="Proposto",ORÇAMENTO.CustoUnitario*(1+$AH425),ORÇAMENTO.PrecoUnitarioLicitado),15-13*$AF$10),0)</f>
        <v>0</v>
      </c>
      <c r="X425" s="127">
        <f ca="1">IF($C425="S",IF(Import.TipoArredondamento&lt;&gt;"TransfereGOV",VTOTAL1,SUM(OFFSET(CÁLCULO!$AA$15,ROW($X425)-ROW($X$15),1):OFFSET(CÁLCULO!$AL$15,ROW($X425)-ROW($X$15),-1))),IF($C425=0,0,ROUND(SomaAgrup,15-13*$AF$11)))</f>
        <v>0</v>
      </c>
      <c r="Y425" s="128" t="s">
        <v>245</v>
      </c>
      <c r="Z425" t="str">
        <f t="shared" ca="1" si="67"/>
        <v/>
      </c>
      <c r="AA425" s="129">
        <f ca="1">IF($C425="S",IF($Z425="CP",$X425,IF($Z425="RA",(($X425)*QCI!$AA$3),0)),SomaAgrup)</f>
        <v>0</v>
      </c>
      <c r="AB425" s="130">
        <f t="shared" ca="1" si="68"/>
        <v>0</v>
      </c>
      <c r="AC425" s="131" t="str">
        <f ca="1">IF($N425="","",IF(ORÇAMENTO.Descricao="","DESCRIÇÃO",IF(AND($C425="S",ORÇAMENTO.Unidade=""),"UNIDADE",IF($X425&lt;0,"VALOR NEGATIVO",IF(OR(AND(TIPOORCAMENTO="Proposto",$AG425&lt;&gt;"",$AG425&gt;0,ORÇAMENTO.CustoUnitario&gt;$AG425),AND(TIPOORCAMENTO="LICITADO",ORÇAMENTO.PrecoUnitarioLicitado&gt;$AN425)),"ACIMA REF.","")))))</f>
        <v/>
      </c>
      <c r="AD425" t="str">
        <f ca="1">IF(C425&lt;=CRONO.NivelExibicao,MAX($AD$15:OFFSET(AD425,-1,0))+IF($C425&lt;&gt;1,1,MAX(1,COUNTIF(QCI!$A$13:$A$24,OFFSET($E425,-1,0)))),"")</f>
        <v/>
      </c>
      <c r="AE425" s="7" t="str">
        <f ca="1">IF(AND($C425="S",ORÇAMENTO.CodBarra&lt;&gt;""),IF(ORÇAMENTO.Fonte="",ORÇAMENTO.CodBarra,CONCATENATE(ORÇAMENTO.Fonte," ",ORÇAMENTO.CodBarra)))</f>
        <v>Composição FNDE 34</v>
      </c>
      <c r="AF425" s="13" t="str">
        <f ca="1">IF(ISERROR(INDIRECT(ORÇAMENTO.BancoRef)),"(abra o arquivo 'Referência "&amp;Excel_BuiltIn_Database&amp;".xlsm)",IF(OR($C425&lt;&gt;"S",ORÇAMENTO.CodBarra=""),"(Sem Código)",IF(ISERROR(MATCH($AE425,INDIRECT(ORÇAMENTO.BancoRef),0)),"(Código não identificado nas referências)",MATCH($AE425,INDIRECT(ORÇAMENTO.BancoRef),0))))</f>
        <v>(abra o arquivo 'Referência 02-2025.xlsm)</v>
      </c>
      <c r="AG425" s="498">
        <f ca="1">ROUND(IF(DESONERACAO="sim",REFERENCIA.Desonerado,REFERENCIA.NaoDesonerado),2)</f>
        <v>0</v>
      </c>
      <c r="AH425" s="499">
        <f t="shared" ca="1" si="69"/>
        <v>0.22470000000000001</v>
      </c>
      <c r="AJ425" s="501">
        <v>23</v>
      </c>
      <c r="AL425" s="527"/>
      <c r="AM425" s="381">
        <f t="shared" ca="1" si="70"/>
        <v>0</v>
      </c>
      <c r="AN425" s="566">
        <f t="shared" ca="1" si="71"/>
        <v>0</v>
      </c>
    </row>
    <row r="426" spans="1:40" x14ac:dyDescent="0.2">
      <c r="A426">
        <f t="shared" ref="A426:A449" si="110">CHOOSE(1+LOG(1+2*(ORÇAMENTO.Nivel="Meta")+4*(ORÇAMENTO.Nivel="Nível 2")+8*(ORÇAMENTO.Nivel="Nível 3")+16*(ORÇAMENTO.Nivel="Nível 4")+32*(ORÇAMENTO.Nivel="Serviço"),2),0,1,2,3,4,"S")</f>
        <v>2</v>
      </c>
      <c r="B426">
        <f t="shared" ref="B426:B477" ca="1" si="111">IF(OR(C426="s",C426=0),OFFSET(B426,-1,0),C426)</f>
        <v>2</v>
      </c>
      <c r="C426">
        <f t="shared" ref="C426:C477" ca="1" si="112">IF(OFFSET(C426,-1,0)="L",1,IF(OFFSET(C426,-1,0)=1,2,IF(OR(A426="s",A426=0),"S",IF(AND(OFFSET(C426,-1,0)=2,A426=4),3,IF(AND(OR(OFFSET(C426,-1,0)="s",OFFSET(C426,-1,0)=0),A426&lt;&gt;"s",A426&gt;OFFSET(B426,-1,0)),OFFSET(B426,-1,0),A426)))))</f>
        <v>2</v>
      </c>
      <c r="D426">
        <f t="shared" ref="D426:D477" ca="1" si="113">IF(OR(C426="S",C426=0),0,IF(ISERROR(K426),J426,SMALL(J426:K426,1)))</f>
        <v>61</v>
      </c>
      <c r="E426">
        <f ca="1">IF($C426=1,OFFSET(E426,-1,0)+MAX(1,COUNTIF(QCI!$A$13:$A$24,OFFSET(ORÇAMENTO!E426,-1,0))),OFFSET(E426,-1,0))</f>
        <v>1</v>
      </c>
      <c r="F426">
        <f t="shared" ref="F426:F477" ca="1" si="114">IF($C426=1,0,IF($C426=2,OFFSET(F426,-1,0)+1,OFFSET(F426,-1,0)))</f>
        <v>16</v>
      </c>
      <c r="G426">
        <f t="shared" ref="G426:G477" ca="1" si="115">IF(AND($C426&lt;=2,$C426&lt;&gt;0),0,IF($C426=3,OFFSET(G426,-1,0)+1,OFFSET(G426,-1,0)))</f>
        <v>0</v>
      </c>
      <c r="H426">
        <f t="shared" ref="H426:H477" ca="1" si="116">IF(AND($C426&lt;=3,$C426&lt;&gt;0),0,IF($C426=4,OFFSET(H426,-1,0)+1,OFFSET(H426,-1,0)))</f>
        <v>0</v>
      </c>
      <c r="I426">
        <f t="shared" ref="I426:I477" ca="1" si="117">IF(AND($C426&lt;=4,$C426&lt;&gt;0),0,IF(AND($C426="S",$X426&gt;0),OFFSET(I426,-1,0)+1,OFFSET(I426,-1,0)))</f>
        <v>0</v>
      </c>
      <c r="J426">
        <f t="shared" ca="1" si="108"/>
        <v>321</v>
      </c>
      <c r="K426">
        <f ca="1">IF(OR($C426="S",$C426=0),0,MATCH(OFFSET($D426,0,$C426)+IF($C426&lt;&gt;1,1,COUNTIF(QCI!$A$13:$A$24,ORÇAMENTO!E426)),OFFSET($D426,1,$C426,ROW($C$747)-ROW($C426)),0))</f>
        <v>61</v>
      </c>
      <c r="L426" s="116" t="str">
        <f t="shared" ref="L426:L477" ca="1" si="118">IF(OR($X426&gt;0,$C426=1,$C426=2,$C426=3,$C426=4),"F","")</f>
        <v>F</v>
      </c>
      <c r="M426" s="117" t="s">
        <v>196</v>
      </c>
      <c r="N426" s="118" t="str">
        <f t="shared" ref="N426:N477" ca="1" si="119">CHOOSE(1+LOG(1+2*(C426=1)+4*(C426=2)+8*(C426=3)+16*(C426=4)+32*(C426="S"),2),"","Meta","Nível 2","Nível 3","Nível 4","Serviço")</f>
        <v>Nível 2</v>
      </c>
      <c r="O426" s="119" t="str">
        <f t="shared" ref="O426:O477" ca="1" si="120">IF(OR($C426=0,$L426=""),"-",CONCATENATE(E426&amp;".",IF(AND($A$5&gt;=2,$C426&gt;=2),F426&amp;".",""),IF(AND($A$5&gt;=3,$C426&gt;=3),G426&amp;".",""),IF(AND($A$5&gt;=4,$C426&gt;=4),H426&amp;".",""),IF($C426="S",I426&amp;".","")))</f>
        <v>1.16.</v>
      </c>
      <c r="P426" s="120" t="s">
        <v>247</v>
      </c>
      <c r="Q426" s="121"/>
      <c r="R426" s="122" t="str">
        <f ca="1">IF($C426="S",REFERENCIA.Descricao,"SISTEMA DE PROTEÇÃO CONTRA INCÊNDIO")</f>
        <v>SISTEMA DE PROTEÇÃO CONTRA INCÊNDIO</v>
      </c>
      <c r="S426" s="123" t="str">
        <f ca="1">REFERENCIA.Unidade</f>
        <v>-</v>
      </c>
      <c r="T426" s="124">
        <f ca="1">OFFSET(CÁLCULO!H$15,ROW($T426)-ROW(T$15),0)</f>
        <v>0</v>
      </c>
      <c r="U426" s="125">
        <f t="shared" ca="1" si="109"/>
        <v>0</v>
      </c>
      <c r="V426" s="126" t="s">
        <v>156</v>
      </c>
      <c r="W426" s="124">
        <f ca="1">IF($C426="S",ROUND(IF(TIPOORCAMENTO="Proposto",ORÇAMENTO.CustoUnitario*(1+$AH426),ORÇAMENTO.PrecoUnitarioLicitado),15-13*$AF$10),0)</f>
        <v>0</v>
      </c>
      <c r="X426" s="127">
        <f ca="1">IF($C426="S",IF(Import.TipoArredondamento&lt;&gt;"TransfereGOV",VTOTAL1,SUM(OFFSET(CÁLCULO!$AA$15,ROW($X426)-ROW($X$15),1):OFFSET(CÁLCULO!$AL$15,ROW($X426)-ROW($X$15),-1))),IF($C426=0,0,ROUND(SomaAgrup,15-13*$AF$11)))</f>
        <v>0</v>
      </c>
      <c r="Y426" s="128" t="s">
        <v>245</v>
      </c>
      <c r="Z426" t="str">
        <f t="shared" ref="Z426:Z477" ca="1" si="121">IF(AND($C426="S",$X426&gt;0),IF(ISBLANK($Y426),"RA",LEFT($Y426,2)),"")</f>
        <v/>
      </c>
      <c r="AA426" s="129">
        <f ca="1">IF($C426="S",IF($Z426="CP",$X426,IF($Z426="RA",(($X426)*QCI!$AA$3),0)),SomaAgrup)</f>
        <v>0</v>
      </c>
      <c r="AB426" s="130">
        <f t="shared" ref="AB426:AB449" ca="1" si="122">IF($C426="S",IF($Z426="OU",ROUND($X426,2),0),SomaAgrup)</f>
        <v>0</v>
      </c>
      <c r="AC426" s="131" t="str">
        <f ca="1">IF($N426="","",IF(ORÇAMENTO.Descricao="","DESCRIÇÃO",IF(AND($C426="S",ORÇAMENTO.Unidade=""),"UNIDADE",IF($X426&lt;0,"VALOR NEGATIVO",IF(OR(AND(TIPOORCAMENTO="Proposto",$AG426&lt;&gt;"",$AG426&gt;0,ORÇAMENTO.CustoUnitario&gt;$AG426),AND(TIPOORCAMENTO="LICITADO",ORÇAMENTO.PrecoUnitarioLicitado&gt;$AN426)),"ACIMA REF.","")))))</f>
        <v/>
      </c>
      <c r="AD426">
        <f ca="1">IF(C426&lt;=CRONO.NivelExibicao,MAX($AD$15:OFFSET(AD426,-1,0))+IF($C426&lt;&gt;1,1,MAX(1,COUNTIF(QCI!$A$13:$A$24,OFFSET($E426,-1,0)))),"")</f>
        <v>17</v>
      </c>
      <c r="AE426" s="7" t="b">
        <f ca="1">IF(AND($C426="S",ORÇAMENTO.CodBarra&lt;&gt;""),IF(ORÇAMENTO.Fonte="",ORÇAMENTO.CodBarra,CONCATENATE(ORÇAMENTO.Fonte," ",ORÇAMENTO.CodBarra)))</f>
        <v>0</v>
      </c>
      <c r="AF426" s="13" t="str">
        <f ca="1">IF(ISERROR(INDIRECT(ORÇAMENTO.BancoRef)),"(abra o arquivo 'Referência "&amp;Excel_BuiltIn_Database&amp;".xlsm)",IF(OR($C426&lt;&gt;"S",ORÇAMENTO.CodBarra=""),"(Sem Código)",IF(ISERROR(MATCH($AE426,INDIRECT(ORÇAMENTO.BancoRef),0)),"(Código não identificado nas referências)",MATCH($AE426,INDIRECT(ORÇAMENTO.BancoRef),0))))</f>
        <v>(abra o arquivo 'Referência 02-2025.xlsm)</v>
      </c>
      <c r="AG426" s="498">
        <f ca="1">ROUND(IF(DESONERACAO="sim",REFERENCIA.Desonerado,REFERENCIA.NaoDesonerado),2)</f>
        <v>0</v>
      </c>
      <c r="AH426" s="499">
        <f t="shared" ref="AH426:AH449" ca="1" si="123">ROUND(IF(ISNUMBER(ORÇAMENTO.OpcaoBDI),ORÇAMENTO.OpcaoBDI,IF(LEFT(ORÇAMENTO.OpcaoBDI,3)="BDI",HLOOKUP(ORÇAMENTO.OpcaoBDI,$F$4:$H$5,2,FALSE),0)),15-11*$AF$9)</f>
        <v>0.22470000000000001</v>
      </c>
      <c r="AJ426" s="501"/>
      <c r="AL426" s="527"/>
      <c r="AM426" s="381">
        <f t="shared" ref="AM426:AM477" ca="1" si="124">$X426</f>
        <v>0</v>
      </c>
      <c r="AN426" s="566">
        <f t="shared" ref="AN426:AN449" ca="1" si="125">ROUND(ORÇAMENTO.CustoUnitario*(1+$AH426),2)</f>
        <v>0</v>
      </c>
    </row>
    <row r="427" spans="1:40" x14ac:dyDescent="0.2">
      <c r="A427">
        <f t="shared" si="110"/>
        <v>3</v>
      </c>
      <c r="B427">
        <f t="shared" ca="1" si="111"/>
        <v>3</v>
      </c>
      <c r="C427">
        <f t="shared" ca="1" si="112"/>
        <v>3</v>
      </c>
      <c r="D427">
        <f t="shared" ca="1" si="113"/>
        <v>3</v>
      </c>
      <c r="E427">
        <f ca="1">IF($C427=1,OFFSET(E427,-1,0)+MAX(1,COUNTIF(QCI!$A$13:$A$24,OFFSET(ORÇAMENTO!E427,-1,0))),OFFSET(E427,-1,0))</f>
        <v>1</v>
      </c>
      <c r="F427">
        <f t="shared" ca="1" si="114"/>
        <v>16</v>
      </c>
      <c r="G427">
        <f t="shared" ca="1" si="115"/>
        <v>1</v>
      </c>
      <c r="H427">
        <f t="shared" ca="1" si="116"/>
        <v>0</v>
      </c>
      <c r="I427">
        <f t="shared" ca="1" si="117"/>
        <v>0</v>
      </c>
      <c r="J427">
        <f t="shared" ca="1" si="108"/>
        <v>60</v>
      </c>
      <c r="K427">
        <f ca="1">IF(OR($C427="S",$C427=0),0,MATCH(OFFSET($D427,0,$C427)+IF($C427&lt;&gt;1,1,COUNTIF(QCI!$A$13:$A$24,ORÇAMENTO!E427)),OFFSET($D427,1,$C427,ROW($C$747)-ROW($C427)),0))</f>
        <v>3</v>
      </c>
      <c r="L427" s="116" t="str">
        <f t="shared" ca="1" si="118"/>
        <v>F</v>
      </c>
      <c r="M427" s="117" t="s">
        <v>197</v>
      </c>
      <c r="N427" s="118" t="str">
        <f t="shared" ca="1" si="119"/>
        <v>Nível 3</v>
      </c>
      <c r="O427" s="119" t="str">
        <f t="shared" ca="1" si="120"/>
        <v>1.16.1.</v>
      </c>
      <c r="P427" s="120" t="s">
        <v>247</v>
      </c>
      <c r="Q427" s="121"/>
      <c r="R427" s="122" t="str">
        <f ca="1">IF($C427="S",REFERENCIA.Descricao,"EXTINTORES")</f>
        <v>EXTINTORES</v>
      </c>
      <c r="S427" s="123" t="str">
        <f ca="1">REFERENCIA.Unidade</f>
        <v>-</v>
      </c>
      <c r="T427" s="124">
        <f ca="1">OFFSET(CÁLCULO!H$15,ROW($T427)-ROW(T$15),0)</f>
        <v>0</v>
      </c>
      <c r="U427" s="125">
        <f t="shared" ca="1" si="109"/>
        <v>0</v>
      </c>
      <c r="V427" s="126" t="s">
        <v>156</v>
      </c>
      <c r="W427" s="124">
        <f ca="1">IF($C427="S",ROUND(IF(TIPOORCAMENTO="Proposto",ORÇAMENTO.CustoUnitario*(1+$AH427),ORÇAMENTO.PrecoUnitarioLicitado),15-13*$AF$10),0)</f>
        <v>0</v>
      </c>
      <c r="X427" s="127">
        <f ca="1">IF($C427="S",IF(Import.TipoArredondamento&lt;&gt;"TransfereGOV",VTOTAL1,SUM(OFFSET(CÁLCULO!$AA$15,ROW($X427)-ROW($X$15),1):OFFSET(CÁLCULO!$AL$15,ROW($X427)-ROW($X$15),-1))),IF($C427=0,0,ROUND(SomaAgrup,15-13*$AF$11)))</f>
        <v>0</v>
      </c>
      <c r="Y427" s="128" t="s">
        <v>245</v>
      </c>
      <c r="Z427" t="str">
        <f t="shared" ca="1" si="121"/>
        <v/>
      </c>
      <c r="AA427" s="129">
        <f ca="1">IF($C427="S",IF($Z427="CP",$X427,IF($Z427="RA",(($X427)*QCI!$AA$3),0)),SomaAgrup)</f>
        <v>0</v>
      </c>
      <c r="AB427" s="130">
        <f t="shared" ca="1" si="122"/>
        <v>0</v>
      </c>
      <c r="AC427" s="131" t="str">
        <f ca="1">IF($N427="","",IF(ORÇAMENTO.Descricao="","DESCRIÇÃO",IF(AND($C427="S",ORÇAMENTO.Unidade=""),"UNIDADE",IF($X427&lt;0,"VALOR NEGATIVO",IF(OR(AND(TIPOORCAMENTO="Proposto",$AG427&lt;&gt;"",$AG427&gt;0,ORÇAMENTO.CustoUnitario&gt;$AG427),AND(TIPOORCAMENTO="LICITADO",ORÇAMENTO.PrecoUnitarioLicitado&gt;$AN427)),"ACIMA REF.","")))))</f>
        <v/>
      </c>
      <c r="AD427" t="str">
        <f ca="1">IF(C427&lt;=CRONO.NivelExibicao,MAX($AD$15:OFFSET(AD427,-1,0))+IF($C427&lt;&gt;1,1,MAX(1,COUNTIF(QCI!$A$13:$A$24,OFFSET($E427,-1,0)))),"")</f>
        <v/>
      </c>
      <c r="AE427" s="7" t="b">
        <f ca="1">IF(AND($C427="S",ORÇAMENTO.CodBarra&lt;&gt;""),IF(ORÇAMENTO.Fonte="",ORÇAMENTO.CodBarra,CONCATENATE(ORÇAMENTO.Fonte," ",ORÇAMENTO.CodBarra)))</f>
        <v>0</v>
      </c>
      <c r="AF427" s="13" t="str">
        <f ca="1">IF(ISERROR(INDIRECT(ORÇAMENTO.BancoRef)),"(abra o arquivo 'Referência "&amp;Excel_BuiltIn_Database&amp;".xlsm)",IF(OR($C427&lt;&gt;"S",ORÇAMENTO.CodBarra=""),"(Sem Código)",IF(ISERROR(MATCH($AE427,INDIRECT(ORÇAMENTO.BancoRef),0)),"(Código não identificado nas referências)",MATCH($AE427,INDIRECT(ORÇAMENTO.BancoRef),0))))</f>
        <v>(abra o arquivo 'Referência 02-2025.xlsm)</v>
      </c>
      <c r="AG427" s="498">
        <f ca="1">ROUND(IF(DESONERACAO="sim",REFERENCIA.Desonerado,REFERENCIA.NaoDesonerado),2)</f>
        <v>0</v>
      </c>
      <c r="AH427" s="499">
        <f t="shared" ca="1" si="123"/>
        <v>0.22470000000000001</v>
      </c>
      <c r="AJ427" s="501"/>
      <c r="AL427" s="527"/>
      <c r="AM427" s="381">
        <f t="shared" ca="1" si="124"/>
        <v>0</v>
      </c>
      <c r="AN427" s="566">
        <f t="shared" ca="1" si="125"/>
        <v>0</v>
      </c>
    </row>
    <row r="428" spans="1:40" ht="25.5" x14ac:dyDescent="0.2">
      <c r="A428" t="str">
        <f t="shared" si="110"/>
        <v>S</v>
      </c>
      <c r="B428">
        <f t="shared" ca="1" si="111"/>
        <v>3</v>
      </c>
      <c r="C428" t="str">
        <f t="shared" ca="1" si="112"/>
        <v>S</v>
      </c>
      <c r="D428">
        <f t="shared" ca="1" si="113"/>
        <v>0</v>
      </c>
      <c r="E428">
        <f ca="1">IF($C428=1,OFFSET(E428,-1,0)+MAX(1,COUNTIF(QCI!$A$13:$A$24,OFFSET(ORÇAMENTO!E428,-1,0))),OFFSET(E428,-1,0))</f>
        <v>1</v>
      </c>
      <c r="F428">
        <f t="shared" ca="1" si="114"/>
        <v>16</v>
      </c>
      <c r="G428">
        <f t="shared" ca="1" si="115"/>
        <v>1</v>
      </c>
      <c r="H428">
        <f t="shared" ca="1" si="116"/>
        <v>0</v>
      </c>
      <c r="I428">
        <f t="shared" ca="1" si="117"/>
        <v>0</v>
      </c>
      <c r="J428">
        <f t="shared" ca="1" si="108"/>
        <v>0</v>
      </c>
      <c r="K428">
        <f ca="1">IF(OR($C428="S",$C428=0),0,MATCH(OFFSET($D428,0,$C428)+IF($C428&lt;&gt;1,1,COUNTIF(QCI!$A$13:$A$24,ORÇAMENTO!E428)),OFFSET($D428,1,$C428,ROW($C$747)-ROW($C428)),0))</f>
        <v>0</v>
      </c>
      <c r="L428" s="116" t="str">
        <f t="shared" ca="1" si="118"/>
        <v/>
      </c>
      <c r="M428" s="117" t="s">
        <v>199</v>
      </c>
      <c r="N428" s="118" t="str">
        <f t="shared" ca="1" si="119"/>
        <v>Serviço</v>
      </c>
      <c r="O428" s="119" t="str">
        <f t="shared" ca="1" si="120"/>
        <v>-</v>
      </c>
      <c r="P428" s="120" t="s">
        <v>247</v>
      </c>
      <c r="Q428" s="121" t="s">
        <v>622</v>
      </c>
      <c r="R428" s="122" t="str">
        <f ca="1">IF($C428="S",REFERENCIA.Descricao,"(digite a descrição aqui)")</f>
        <v>(abra o arquivo 'Referência 02-2025.xlsm)</v>
      </c>
      <c r="S428" s="123" t="str">
        <f ca="1">REFERENCIA.Unidade</f>
        <v>-</v>
      </c>
      <c r="T428" s="124">
        <f ca="1">OFFSET(CÁLCULO!H$15,ROW($T428)-ROW(T$15),0)</f>
        <v>8</v>
      </c>
      <c r="U428" s="125">
        <f t="shared" ca="1" si="109"/>
        <v>0</v>
      </c>
      <c r="V428" s="126" t="s">
        <v>156</v>
      </c>
      <c r="W428" s="124">
        <f ca="1">IF($C428="S",ROUND(IF(TIPOORCAMENTO="Proposto",ORÇAMENTO.CustoUnitario*(1+$AH428),ORÇAMENTO.PrecoUnitarioLicitado),15-13*$AF$10),0)</f>
        <v>0</v>
      </c>
      <c r="X428" s="127">
        <f ca="1">IF($C428="S",IF(Import.TipoArredondamento&lt;&gt;"TransfereGOV",VTOTAL1,SUM(OFFSET(CÁLCULO!$AA$15,ROW($X428)-ROW($X$15),1):OFFSET(CÁLCULO!$AL$15,ROW($X428)-ROW($X$15),-1))),IF($C428=0,0,ROUND(SomaAgrup,15-13*$AF$11)))</f>
        <v>0</v>
      </c>
      <c r="Y428" s="128" t="s">
        <v>245</v>
      </c>
      <c r="Z428" t="str">
        <f t="shared" ca="1" si="121"/>
        <v/>
      </c>
      <c r="AA428" s="129">
        <f ca="1">IF($C428="S",IF($Z428="CP",$X428,IF($Z428="RA",(($X428)*QCI!$AA$3),0)),SomaAgrup)</f>
        <v>0</v>
      </c>
      <c r="AB428" s="130">
        <f t="shared" ca="1" si="122"/>
        <v>0</v>
      </c>
      <c r="AC428" s="131" t="str">
        <f ca="1">IF($N428="","",IF(ORÇAMENTO.Descricao="","DESCRIÇÃO",IF(AND($C428="S",ORÇAMENTO.Unidade=""),"UNIDADE",IF($X428&lt;0,"VALOR NEGATIVO",IF(OR(AND(TIPOORCAMENTO="Proposto",$AG428&lt;&gt;"",$AG428&gt;0,ORÇAMENTO.CustoUnitario&gt;$AG428),AND(TIPOORCAMENTO="LICITADO",ORÇAMENTO.PrecoUnitarioLicitado&gt;$AN428)),"ACIMA REF.","")))))</f>
        <v/>
      </c>
      <c r="AD428" t="str">
        <f ca="1">IF(C428&lt;=CRONO.NivelExibicao,MAX($AD$15:OFFSET(AD428,-1,0))+IF($C428&lt;&gt;1,1,MAX(1,COUNTIF(QCI!$A$13:$A$24,OFFSET($E428,-1,0)))),"")</f>
        <v/>
      </c>
      <c r="AE428" s="7" t="str">
        <f ca="1">IF(AND($C428="S",ORÇAMENTO.CodBarra&lt;&gt;""),IF(ORÇAMENTO.Fonte="",ORÇAMENTO.CodBarra,CONCATENATE(ORÇAMENTO.Fonte," ",ORÇAMENTO.CodBarra)))</f>
        <v>SINAPI 101908</v>
      </c>
      <c r="AF428" s="13" t="str">
        <f ca="1">IF(ISERROR(INDIRECT(ORÇAMENTO.BancoRef)),"(abra o arquivo 'Referência "&amp;Excel_BuiltIn_Database&amp;".xlsm)",IF(OR($C428&lt;&gt;"S",ORÇAMENTO.CodBarra=""),"(Sem Código)",IF(ISERROR(MATCH($AE428,INDIRECT(ORÇAMENTO.BancoRef),0)),"(Código não identificado nas referências)",MATCH($AE428,INDIRECT(ORÇAMENTO.BancoRef),0))))</f>
        <v>(abra o arquivo 'Referência 02-2025.xlsm)</v>
      </c>
      <c r="AG428" s="498">
        <f ca="1">ROUND(IF(DESONERACAO="sim",REFERENCIA.Desonerado,REFERENCIA.NaoDesonerado),2)</f>
        <v>0</v>
      </c>
      <c r="AH428" s="499">
        <f t="shared" ca="1" si="123"/>
        <v>0.22470000000000001</v>
      </c>
      <c r="AJ428" s="501">
        <v>8</v>
      </c>
      <c r="AL428" s="527"/>
      <c r="AM428" s="381">
        <f t="shared" ca="1" si="124"/>
        <v>0</v>
      </c>
      <c r="AN428" s="566">
        <f t="shared" ca="1" si="125"/>
        <v>0</v>
      </c>
    </row>
    <row r="429" spans="1:40" ht="25.5" x14ac:dyDescent="0.2">
      <c r="A429" t="str">
        <f t="shared" si="110"/>
        <v>S</v>
      </c>
      <c r="B429">
        <f t="shared" ca="1" si="111"/>
        <v>3</v>
      </c>
      <c r="C429" t="str">
        <f t="shared" ca="1" si="112"/>
        <v>S</v>
      </c>
      <c r="D429">
        <f t="shared" ca="1" si="113"/>
        <v>0</v>
      </c>
      <c r="E429">
        <f ca="1">IF($C429=1,OFFSET(E429,-1,0)+MAX(1,COUNTIF(QCI!$A$13:$A$24,OFFSET(ORÇAMENTO!E429,-1,0))),OFFSET(E429,-1,0))</f>
        <v>1</v>
      </c>
      <c r="F429">
        <f t="shared" ca="1" si="114"/>
        <v>16</v>
      </c>
      <c r="G429">
        <f t="shared" ca="1" si="115"/>
        <v>1</v>
      </c>
      <c r="H429">
        <f t="shared" ca="1" si="116"/>
        <v>0</v>
      </c>
      <c r="I429">
        <f t="shared" ca="1" si="117"/>
        <v>0</v>
      </c>
      <c r="J429">
        <f t="shared" ca="1" si="108"/>
        <v>0</v>
      </c>
      <c r="K429">
        <f ca="1">IF(OR($C429="S",$C429=0),0,MATCH(OFFSET($D429,0,$C429)+IF($C429&lt;&gt;1,1,COUNTIF(QCI!$A$13:$A$24,ORÇAMENTO!E429)),OFFSET($D429,1,$C429,ROW($C$747)-ROW($C429)),0))</f>
        <v>0</v>
      </c>
      <c r="L429" s="116" t="str">
        <f t="shared" ca="1" si="118"/>
        <v/>
      </c>
      <c r="M429" s="117" t="s">
        <v>199</v>
      </c>
      <c r="N429" s="118" t="str">
        <f t="shared" ca="1" si="119"/>
        <v>Serviço</v>
      </c>
      <c r="O429" s="119" t="str">
        <f t="shared" ca="1" si="120"/>
        <v>-</v>
      </c>
      <c r="P429" s="120" t="s">
        <v>247</v>
      </c>
      <c r="Q429" s="121" t="s">
        <v>623</v>
      </c>
      <c r="R429" s="122" t="str">
        <f ca="1">IF($C429="S",REFERENCIA.Descricao,"(digite a descrição aqui)")</f>
        <v>(abra o arquivo 'Referência 02-2025.xlsm)</v>
      </c>
      <c r="S429" s="123" t="str">
        <f ca="1">REFERENCIA.Unidade</f>
        <v>-</v>
      </c>
      <c r="T429" s="124">
        <f ca="1">OFFSET(CÁLCULO!H$15,ROW($T429)-ROW(T$15),0)</f>
        <v>1</v>
      </c>
      <c r="U429" s="125">
        <f t="shared" ca="1" si="109"/>
        <v>0</v>
      </c>
      <c r="V429" s="126" t="s">
        <v>156</v>
      </c>
      <c r="W429" s="124">
        <f ca="1">IF($C429="S",ROUND(IF(TIPOORCAMENTO="Proposto",ORÇAMENTO.CustoUnitario*(1+$AH429),ORÇAMENTO.PrecoUnitarioLicitado),15-13*$AF$10),0)</f>
        <v>0</v>
      </c>
      <c r="X429" s="127">
        <f ca="1">IF($C429="S",IF(Import.TipoArredondamento&lt;&gt;"TransfereGOV",VTOTAL1,SUM(OFFSET(CÁLCULO!$AA$15,ROW($X429)-ROW($X$15),1):OFFSET(CÁLCULO!$AL$15,ROW($X429)-ROW($X$15),-1))),IF($C429=0,0,ROUND(SomaAgrup,15-13*$AF$11)))</f>
        <v>0</v>
      </c>
      <c r="Y429" s="128" t="s">
        <v>245</v>
      </c>
      <c r="Z429" t="str">
        <f t="shared" ca="1" si="121"/>
        <v/>
      </c>
      <c r="AA429" s="129">
        <f ca="1">IF($C429="S",IF($Z429="CP",$X429,IF($Z429="RA",(($X429)*QCI!$AA$3),0)),SomaAgrup)</f>
        <v>0</v>
      </c>
      <c r="AB429" s="130">
        <f t="shared" ca="1" si="122"/>
        <v>0</v>
      </c>
      <c r="AC429" s="131" t="str">
        <f ca="1">IF($N429="","",IF(ORÇAMENTO.Descricao="","DESCRIÇÃO",IF(AND($C429="S",ORÇAMENTO.Unidade=""),"UNIDADE",IF($X429&lt;0,"VALOR NEGATIVO",IF(OR(AND(TIPOORCAMENTO="Proposto",$AG429&lt;&gt;"",$AG429&gt;0,ORÇAMENTO.CustoUnitario&gt;$AG429),AND(TIPOORCAMENTO="LICITADO",ORÇAMENTO.PrecoUnitarioLicitado&gt;$AN429)),"ACIMA REF.","")))))</f>
        <v/>
      </c>
      <c r="AD429" t="str">
        <f ca="1">IF(C429&lt;=CRONO.NivelExibicao,MAX($AD$15:OFFSET(AD429,-1,0))+IF($C429&lt;&gt;1,1,MAX(1,COUNTIF(QCI!$A$13:$A$24,OFFSET($E429,-1,0)))),"")</f>
        <v/>
      </c>
      <c r="AE429" s="7" t="str">
        <f ca="1">IF(AND($C429="S",ORÇAMENTO.CodBarra&lt;&gt;""),IF(ORÇAMENTO.Fonte="",ORÇAMENTO.CodBarra,CONCATENATE(ORÇAMENTO.Fonte," ",ORÇAMENTO.CodBarra)))</f>
        <v>SINAPI 101909</v>
      </c>
      <c r="AF429" s="13" t="str">
        <f ca="1">IF(ISERROR(INDIRECT(ORÇAMENTO.BancoRef)),"(abra o arquivo 'Referência "&amp;Excel_BuiltIn_Database&amp;".xlsm)",IF(OR($C429&lt;&gt;"S",ORÇAMENTO.CodBarra=""),"(Sem Código)",IF(ISERROR(MATCH($AE429,INDIRECT(ORÇAMENTO.BancoRef),0)),"(Código não identificado nas referências)",MATCH($AE429,INDIRECT(ORÇAMENTO.BancoRef),0))))</f>
        <v>(abra o arquivo 'Referência 02-2025.xlsm)</v>
      </c>
      <c r="AG429" s="498">
        <f ca="1">ROUND(IF(DESONERACAO="sim",REFERENCIA.Desonerado,REFERENCIA.NaoDesonerado),2)</f>
        <v>0</v>
      </c>
      <c r="AH429" s="499">
        <f t="shared" ca="1" si="123"/>
        <v>0.22470000000000001</v>
      </c>
      <c r="AJ429" s="501">
        <v>1</v>
      </c>
      <c r="AL429" s="527"/>
      <c r="AM429" s="381">
        <f t="shared" ca="1" si="124"/>
        <v>0</v>
      </c>
      <c r="AN429" s="566">
        <f t="shared" ca="1" si="125"/>
        <v>0</v>
      </c>
    </row>
    <row r="430" spans="1:40" x14ac:dyDescent="0.2">
      <c r="A430">
        <f t="shared" si="110"/>
        <v>3</v>
      </c>
      <c r="B430">
        <f t="shared" ca="1" si="111"/>
        <v>3</v>
      </c>
      <c r="C430">
        <f t="shared" ca="1" si="112"/>
        <v>3</v>
      </c>
      <c r="D430">
        <f t="shared" ca="1" si="113"/>
        <v>3</v>
      </c>
      <c r="E430">
        <f ca="1">IF($C430=1,OFFSET(E430,-1,0)+MAX(1,COUNTIF(QCI!$A$13:$A$24,OFFSET(ORÇAMENTO!E430,-1,0))),OFFSET(E430,-1,0))</f>
        <v>1</v>
      </c>
      <c r="F430">
        <f t="shared" ca="1" si="114"/>
        <v>16</v>
      </c>
      <c r="G430">
        <f t="shared" ca="1" si="115"/>
        <v>2</v>
      </c>
      <c r="H430">
        <f t="shared" ca="1" si="116"/>
        <v>0</v>
      </c>
      <c r="I430">
        <f t="shared" ca="1" si="117"/>
        <v>0</v>
      </c>
      <c r="J430">
        <f t="shared" ca="1" si="108"/>
        <v>57</v>
      </c>
      <c r="K430">
        <f ca="1">IF(OR($C430="S",$C430=0),0,MATCH(OFFSET($D430,0,$C430)+IF($C430&lt;&gt;1,1,COUNTIF(QCI!$A$13:$A$24,ORÇAMENTO!E430)),OFFSET($D430,1,$C430,ROW($C$747)-ROW($C430)),0))</f>
        <v>3</v>
      </c>
      <c r="L430" s="116" t="str">
        <f t="shared" ca="1" si="118"/>
        <v>F</v>
      </c>
      <c r="M430" s="117" t="s">
        <v>197</v>
      </c>
      <c r="N430" s="118" t="str">
        <f t="shared" ca="1" si="119"/>
        <v>Nível 3</v>
      </c>
      <c r="O430" s="119" t="str">
        <f t="shared" ca="1" si="120"/>
        <v>1.16.2.</v>
      </c>
      <c r="P430" s="120" t="s">
        <v>247</v>
      </c>
      <c r="Q430" s="121"/>
      <c r="R430" s="122" t="str">
        <f ca="1">IF($C430="S",REFERENCIA.Descricao,"HIDRANTES")</f>
        <v>HIDRANTES</v>
      </c>
      <c r="S430" s="123" t="str">
        <f ca="1">REFERENCIA.Unidade</f>
        <v>-</v>
      </c>
      <c r="T430" s="124">
        <f ca="1">OFFSET(CÁLCULO!H$15,ROW($T430)-ROW(T$15),0)</f>
        <v>0</v>
      </c>
      <c r="U430" s="125">
        <f t="shared" ca="1" si="109"/>
        <v>0</v>
      </c>
      <c r="V430" s="126" t="s">
        <v>156</v>
      </c>
      <c r="W430" s="124">
        <f ca="1">IF($C430="S",ROUND(IF(TIPOORCAMENTO="Proposto",ORÇAMENTO.CustoUnitario*(1+$AH430),ORÇAMENTO.PrecoUnitarioLicitado),15-13*$AF$10),0)</f>
        <v>0</v>
      </c>
      <c r="X430" s="127">
        <f ca="1">IF($C430="S",IF(Import.TipoArredondamento&lt;&gt;"TransfereGOV",VTOTAL1,SUM(OFFSET(CÁLCULO!$AA$15,ROW($X430)-ROW($X$15),1):OFFSET(CÁLCULO!$AL$15,ROW($X430)-ROW($X$15),-1))),IF($C430=0,0,ROUND(SomaAgrup,15-13*$AF$11)))</f>
        <v>0</v>
      </c>
      <c r="Y430" s="128" t="s">
        <v>245</v>
      </c>
      <c r="Z430" t="str">
        <f t="shared" ca="1" si="121"/>
        <v/>
      </c>
      <c r="AA430" s="129">
        <f ca="1">IF($C430="S",IF($Z430="CP",$X430,IF($Z430="RA",(($X430)*QCI!$AA$3),0)),SomaAgrup)</f>
        <v>0</v>
      </c>
      <c r="AB430" s="130">
        <f t="shared" ca="1" si="122"/>
        <v>0</v>
      </c>
      <c r="AC430" s="131" t="str">
        <f ca="1">IF($N430="","",IF(ORÇAMENTO.Descricao="","DESCRIÇÃO",IF(AND($C430="S",ORÇAMENTO.Unidade=""),"UNIDADE",IF($X430&lt;0,"VALOR NEGATIVO",IF(OR(AND(TIPOORCAMENTO="Proposto",$AG430&lt;&gt;"",$AG430&gt;0,ORÇAMENTO.CustoUnitario&gt;$AG430),AND(TIPOORCAMENTO="LICITADO",ORÇAMENTO.PrecoUnitarioLicitado&gt;$AN430)),"ACIMA REF.","")))))</f>
        <v/>
      </c>
      <c r="AD430" t="str">
        <f ca="1">IF(C430&lt;=CRONO.NivelExibicao,MAX($AD$15:OFFSET(AD430,-1,0))+IF($C430&lt;&gt;1,1,MAX(1,COUNTIF(QCI!$A$13:$A$24,OFFSET($E430,-1,0)))),"")</f>
        <v/>
      </c>
      <c r="AE430" s="7" t="b">
        <f ca="1">IF(AND($C430="S",ORÇAMENTO.CodBarra&lt;&gt;""),IF(ORÇAMENTO.Fonte="",ORÇAMENTO.CodBarra,CONCATENATE(ORÇAMENTO.Fonte," ",ORÇAMENTO.CodBarra)))</f>
        <v>0</v>
      </c>
      <c r="AF430" s="13" t="str">
        <f ca="1">IF(ISERROR(INDIRECT(ORÇAMENTO.BancoRef)),"(abra o arquivo 'Referência "&amp;Excel_BuiltIn_Database&amp;".xlsm)",IF(OR($C430&lt;&gt;"S",ORÇAMENTO.CodBarra=""),"(Sem Código)",IF(ISERROR(MATCH($AE430,INDIRECT(ORÇAMENTO.BancoRef),0)),"(Código não identificado nas referências)",MATCH($AE430,INDIRECT(ORÇAMENTO.BancoRef),0))))</f>
        <v>(abra o arquivo 'Referência 02-2025.xlsm)</v>
      </c>
      <c r="AG430" s="498">
        <f ca="1">ROUND(IF(DESONERACAO="sim",REFERENCIA.Desonerado,REFERENCIA.NaoDesonerado),2)</f>
        <v>0</v>
      </c>
      <c r="AH430" s="499">
        <f t="shared" ca="1" si="123"/>
        <v>0.22470000000000001</v>
      </c>
      <c r="AJ430" s="501"/>
      <c r="AL430" s="527"/>
      <c r="AM430" s="381">
        <f t="shared" ca="1" si="124"/>
        <v>0</v>
      </c>
      <c r="AN430" s="566">
        <f t="shared" ca="1" si="125"/>
        <v>0</v>
      </c>
    </row>
    <row r="431" spans="1:40" ht="51" x14ac:dyDescent="0.2">
      <c r="A431" t="str">
        <f t="shared" si="110"/>
        <v>S</v>
      </c>
      <c r="B431">
        <f t="shared" ca="1" si="111"/>
        <v>3</v>
      </c>
      <c r="C431" t="str">
        <f t="shared" ca="1" si="112"/>
        <v>S</v>
      </c>
      <c r="D431">
        <f t="shared" ca="1" si="113"/>
        <v>0</v>
      </c>
      <c r="E431">
        <f ca="1">IF($C431=1,OFFSET(E431,-1,0)+MAX(1,COUNTIF(QCI!$A$13:$A$24,OFFSET(ORÇAMENTO!E431,-1,0))),OFFSET(E431,-1,0))</f>
        <v>1</v>
      </c>
      <c r="F431">
        <f t="shared" ca="1" si="114"/>
        <v>16</v>
      </c>
      <c r="G431">
        <f t="shared" ca="1" si="115"/>
        <v>2</v>
      </c>
      <c r="H431">
        <f t="shared" ca="1" si="116"/>
        <v>0</v>
      </c>
      <c r="I431">
        <f t="shared" ca="1" si="117"/>
        <v>0</v>
      </c>
      <c r="J431">
        <f t="shared" ca="1" si="108"/>
        <v>0</v>
      </c>
      <c r="K431">
        <f ca="1">IF(OR($C431="S",$C431=0),0,MATCH(OFFSET($D431,0,$C431)+IF($C431&lt;&gt;1,1,COUNTIF(QCI!$A$13:$A$24,ORÇAMENTO!E431)),OFFSET($D431,1,$C431,ROW($C$747)-ROW($C431)),0))</f>
        <v>0</v>
      </c>
      <c r="L431" s="116" t="str">
        <f t="shared" ca="1" si="118"/>
        <v/>
      </c>
      <c r="M431" s="117" t="s">
        <v>199</v>
      </c>
      <c r="N431" s="118" t="str">
        <f t="shared" ca="1" si="119"/>
        <v>Serviço</v>
      </c>
      <c r="O431" s="119" t="str">
        <f t="shared" ca="1" si="120"/>
        <v>-</v>
      </c>
      <c r="P431" s="120" t="s">
        <v>247</v>
      </c>
      <c r="Q431" s="121" t="s">
        <v>624</v>
      </c>
      <c r="R431" s="122" t="str">
        <f ca="1">IF($C431="S",REFERENCIA.Descricao,"(digite a descrição aqui)")</f>
        <v>(abra o arquivo 'Referência 02-2025.xlsm)</v>
      </c>
      <c r="S431" s="123" t="str">
        <f ca="1">REFERENCIA.Unidade</f>
        <v>-</v>
      </c>
      <c r="T431" s="124">
        <f ca="1">OFFSET(CÁLCULO!H$15,ROW($T431)-ROW(T$15),0)</f>
        <v>2</v>
      </c>
      <c r="U431" s="125">
        <f t="shared" ca="1" si="109"/>
        <v>0</v>
      </c>
      <c r="V431" s="126" t="s">
        <v>156</v>
      </c>
      <c r="W431" s="124">
        <f ca="1">IF($C431="S",ROUND(IF(TIPOORCAMENTO="Proposto",ORÇAMENTO.CustoUnitario*(1+$AH431),ORÇAMENTO.PrecoUnitarioLicitado),15-13*$AF$10),0)</f>
        <v>0</v>
      </c>
      <c r="X431" s="127">
        <f ca="1">IF($C431="S",IF(Import.TipoArredondamento&lt;&gt;"TransfereGOV",VTOTAL1,SUM(OFFSET(CÁLCULO!$AA$15,ROW($X431)-ROW($X$15),1):OFFSET(CÁLCULO!$AL$15,ROW($X431)-ROW($X$15),-1))),IF($C431=0,0,ROUND(SomaAgrup,15-13*$AF$11)))</f>
        <v>0</v>
      </c>
      <c r="Y431" s="128" t="s">
        <v>245</v>
      </c>
      <c r="Z431" t="str">
        <f t="shared" ca="1" si="121"/>
        <v/>
      </c>
      <c r="AA431" s="129">
        <f ca="1">IF($C431="S",IF($Z431="CP",$X431,IF($Z431="RA",(($X431)*QCI!$AA$3),0)),SomaAgrup)</f>
        <v>0</v>
      </c>
      <c r="AB431" s="130">
        <f t="shared" ca="1" si="122"/>
        <v>0</v>
      </c>
      <c r="AC431" s="131" t="str">
        <f ca="1">IF($N431="","",IF(ORÇAMENTO.Descricao="","DESCRIÇÃO",IF(AND($C431="S",ORÇAMENTO.Unidade=""),"UNIDADE",IF($X431&lt;0,"VALOR NEGATIVO",IF(OR(AND(TIPOORCAMENTO="Proposto",$AG431&lt;&gt;"",$AG431&gt;0,ORÇAMENTO.CustoUnitario&gt;$AG431),AND(TIPOORCAMENTO="LICITADO",ORÇAMENTO.PrecoUnitarioLicitado&gt;$AN431)),"ACIMA REF.","")))))</f>
        <v/>
      </c>
      <c r="AD431" t="str">
        <f ca="1">IF(C431&lt;=CRONO.NivelExibicao,MAX($AD$15:OFFSET(AD431,-1,0))+IF($C431&lt;&gt;1,1,MAX(1,COUNTIF(QCI!$A$13:$A$24,OFFSET($E431,-1,0)))),"")</f>
        <v/>
      </c>
      <c r="AE431" s="7" t="str">
        <f ca="1">IF(AND($C431="S",ORÇAMENTO.CodBarra&lt;&gt;""),IF(ORÇAMENTO.Fonte="",ORÇAMENTO.CodBarra,CONCATENATE(ORÇAMENTO.Fonte," ",ORÇAMENTO.CodBarra)))</f>
        <v>SINAPI 101912</v>
      </c>
      <c r="AF431" s="13" t="str">
        <f ca="1">IF(ISERROR(INDIRECT(ORÇAMENTO.BancoRef)),"(abra o arquivo 'Referência "&amp;Excel_BuiltIn_Database&amp;".xlsm)",IF(OR($C431&lt;&gt;"S",ORÇAMENTO.CodBarra=""),"(Sem Código)",IF(ISERROR(MATCH($AE431,INDIRECT(ORÇAMENTO.BancoRef),0)),"(Código não identificado nas referências)",MATCH($AE431,INDIRECT(ORÇAMENTO.BancoRef),0))))</f>
        <v>(abra o arquivo 'Referência 02-2025.xlsm)</v>
      </c>
      <c r="AG431" s="498">
        <f ca="1">ROUND(IF(DESONERACAO="sim",REFERENCIA.Desonerado,REFERENCIA.NaoDesonerado),2)</f>
        <v>0</v>
      </c>
      <c r="AH431" s="499">
        <f t="shared" ca="1" si="123"/>
        <v>0.22470000000000001</v>
      </c>
      <c r="AJ431" s="501">
        <v>2</v>
      </c>
      <c r="AL431" s="527"/>
      <c r="AM431" s="381">
        <f t="shared" ca="1" si="124"/>
        <v>0</v>
      </c>
      <c r="AN431" s="566">
        <f t="shared" ca="1" si="125"/>
        <v>0</v>
      </c>
    </row>
    <row r="432" spans="1:40" ht="25.5" x14ac:dyDescent="0.2">
      <c r="A432" t="str">
        <f t="shared" si="110"/>
        <v>S</v>
      </c>
      <c r="B432">
        <f t="shared" ca="1" si="111"/>
        <v>3</v>
      </c>
      <c r="C432" t="str">
        <f t="shared" ca="1" si="112"/>
        <v>S</v>
      </c>
      <c r="D432">
        <f t="shared" ca="1" si="113"/>
        <v>0</v>
      </c>
      <c r="E432">
        <f ca="1">IF($C432=1,OFFSET(E432,-1,0)+MAX(1,COUNTIF(QCI!$A$13:$A$24,OFFSET(ORÇAMENTO!E432,-1,0))),OFFSET(E432,-1,0))</f>
        <v>1</v>
      </c>
      <c r="F432">
        <f t="shared" ca="1" si="114"/>
        <v>16</v>
      </c>
      <c r="G432">
        <f t="shared" ca="1" si="115"/>
        <v>2</v>
      </c>
      <c r="H432">
        <f t="shared" ca="1" si="116"/>
        <v>0</v>
      </c>
      <c r="I432">
        <f t="shared" ca="1" si="117"/>
        <v>0</v>
      </c>
      <c r="J432">
        <f t="shared" ca="1" si="108"/>
        <v>0</v>
      </c>
      <c r="K432">
        <f ca="1">IF(OR($C432="S",$C432=0),0,MATCH(OFFSET($D432,0,$C432)+IF($C432&lt;&gt;1,1,COUNTIF(QCI!$A$13:$A$24,ORÇAMENTO!E432)),OFFSET($D432,1,$C432,ROW($C$747)-ROW($C432)),0))</f>
        <v>0</v>
      </c>
      <c r="L432" s="116" t="str">
        <f t="shared" ca="1" si="118"/>
        <v/>
      </c>
      <c r="M432" s="117" t="s">
        <v>199</v>
      </c>
      <c r="N432" s="118" t="str">
        <f t="shared" ca="1" si="119"/>
        <v>Serviço</v>
      </c>
      <c r="O432" s="119" t="str">
        <f t="shared" ca="1" si="120"/>
        <v>-</v>
      </c>
      <c r="P432" s="120" t="s">
        <v>247</v>
      </c>
      <c r="Q432" s="121" t="s">
        <v>625</v>
      </c>
      <c r="R432" s="122" t="str">
        <f ca="1">IF($C432="S",REFERENCIA.Descricao,"(digite a descrição aqui)")</f>
        <v>(abra o arquivo 'Referência 02-2025.xlsm)</v>
      </c>
      <c r="S432" s="123" t="str">
        <f ca="1">REFERENCIA.Unidade</f>
        <v>-</v>
      </c>
      <c r="T432" s="124">
        <f ca="1">OFFSET(CÁLCULO!H$15,ROW($T432)-ROW(T$15),0)</f>
        <v>1</v>
      </c>
      <c r="U432" s="125">
        <f t="shared" ca="1" si="109"/>
        <v>0</v>
      </c>
      <c r="V432" s="126" t="s">
        <v>156</v>
      </c>
      <c r="W432" s="124">
        <f ca="1">IF($C432="S",ROUND(IF(TIPOORCAMENTO="Proposto",ORÇAMENTO.CustoUnitario*(1+$AH432),ORÇAMENTO.PrecoUnitarioLicitado),15-13*$AF$10),0)</f>
        <v>0</v>
      </c>
      <c r="X432" s="127">
        <f ca="1">IF($C432="S",IF(Import.TipoArredondamento&lt;&gt;"TransfereGOV",VTOTAL1,SUM(OFFSET(CÁLCULO!$AA$15,ROW($X432)-ROW($X$15),1):OFFSET(CÁLCULO!$AL$15,ROW($X432)-ROW($X$15),-1))),IF($C432=0,0,ROUND(SomaAgrup,15-13*$AF$11)))</f>
        <v>0</v>
      </c>
      <c r="Y432" s="128" t="s">
        <v>245</v>
      </c>
      <c r="Z432" t="str">
        <f t="shared" ca="1" si="121"/>
        <v/>
      </c>
      <c r="AA432" s="129">
        <f ca="1">IF($C432="S",IF($Z432="CP",$X432,IF($Z432="RA",(($X432)*QCI!$AA$3),0)),SomaAgrup)</f>
        <v>0</v>
      </c>
      <c r="AB432" s="130">
        <f t="shared" ca="1" si="122"/>
        <v>0</v>
      </c>
      <c r="AC432" s="131" t="str">
        <f ca="1">IF($N432="","",IF(ORÇAMENTO.Descricao="","DESCRIÇÃO",IF(AND($C432="S",ORÇAMENTO.Unidade=""),"UNIDADE",IF($X432&lt;0,"VALOR NEGATIVO",IF(OR(AND(TIPOORCAMENTO="Proposto",$AG432&lt;&gt;"",$AG432&gt;0,ORÇAMENTO.CustoUnitario&gt;$AG432),AND(TIPOORCAMENTO="LICITADO",ORÇAMENTO.PrecoUnitarioLicitado&gt;$AN432)),"ACIMA REF.","")))))</f>
        <v/>
      </c>
      <c r="AD432" t="str">
        <f ca="1">IF(C432&lt;=CRONO.NivelExibicao,MAX($AD$15:OFFSET(AD432,-1,0))+IF($C432&lt;&gt;1,1,MAX(1,COUNTIF(QCI!$A$13:$A$24,OFFSET($E432,-1,0)))),"")</f>
        <v/>
      </c>
      <c r="AE432" s="7" t="str">
        <f ca="1">IF(AND($C432="S",ORÇAMENTO.CodBarra&lt;&gt;""),IF(ORÇAMENTO.Fonte="",ORÇAMENTO.CodBarra,CONCATENATE(ORÇAMENTO.Fonte," ",ORÇAMENTO.CodBarra)))</f>
        <v>SINAPI 101916</v>
      </c>
      <c r="AF432" s="13" t="str">
        <f ca="1">IF(ISERROR(INDIRECT(ORÇAMENTO.BancoRef)),"(abra o arquivo 'Referência "&amp;Excel_BuiltIn_Database&amp;".xlsm)",IF(OR($C432&lt;&gt;"S",ORÇAMENTO.CodBarra=""),"(Sem Código)",IF(ISERROR(MATCH($AE432,INDIRECT(ORÇAMENTO.BancoRef),0)),"(Código não identificado nas referências)",MATCH($AE432,INDIRECT(ORÇAMENTO.BancoRef),0))))</f>
        <v>(abra o arquivo 'Referência 02-2025.xlsm)</v>
      </c>
      <c r="AG432" s="498">
        <f ca="1">ROUND(IF(DESONERACAO="sim",REFERENCIA.Desonerado,REFERENCIA.NaoDesonerado),2)</f>
        <v>0</v>
      </c>
      <c r="AH432" s="499">
        <f t="shared" ca="1" si="123"/>
        <v>0.22470000000000001</v>
      </c>
      <c r="AJ432" s="501">
        <v>1</v>
      </c>
      <c r="AL432" s="527"/>
      <c r="AM432" s="381">
        <f t="shared" ca="1" si="124"/>
        <v>0</v>
      </c>
      <c r="AN432" s="566">
        <f t="shared" ca="1" si="125"/>
        <v>0</v>
      </c>
    </row>
    <row r="433" spans="1:40" x14ac:dyDescent="0.2">
      <c r="A433">
        <f t="shared" si="110"/>
        <v>3</v>
      </c>
      <c r="B433">
        <f t="shared" ca="1" si="111"/>
        <v>3</v>
      </c>
      <c r="C433">
        <f t="shared" ca="1" si="112"/>
        <v>3</v>
      </c>
      <c r="D433">
        <f t="shared" ca="1" si="113"/>
        <v>16</v>
      </c>
      <c r="E433">
        <f ca="1">IF($C433=1,OFFSET(E433,-1,0)+MAX(1,COUNTIF(QCI!$A$13:$A$24,OFFSET(ORÇAMENTO!E433,-1,0))),OFFSET(E433,-1,0))</f>
        <v>1</v>
      </c>
      <c r="F433">
        <f t="shared" ca="1" si="114"/>
        <v>16</v>
      </c>
      <c r="G433">
        <f t="shared" ca="1" si="115"/>
        <v>3</v>
      </c>
      <c r="H433">
        <f t="shared" ca="1" si="116"/>
        <v>0</v>
      </c>
      <c r="I433">
        <f t="shared" ca="1" si="117"/>
        <v>0</v>
      </c>
      <c r="J433">
        <f t="shared" ca="1" si="108"/>
        <v>54</v>
      </c>
      <c r="K433">
        <f ca="1">IF(OR($C433="S",$C433=0),0,MATCH(OFFSET($D433,0,$C433)+IF($C433&lt;&gt;1,1,COUNTIF(QCI!$A$13:$A$24,ORÇAMENTO!E433)),OFFSET($D433,1,$C433,ROW($C$747)-ROW($C433)),0))</f>
        <v>16</v>
      </c>
      <c r="L433" s="116" t="str">
        <f t="shared" ca="1" si="118"/>
        <v>F</v>
      </c>
      <c r="M433" s="117" t="s">
        <v>197</v>
      </c>
      <c r="N433" s="118" t="str">
        <f t="shared" ca="1" si="119"/>
        <v>Nível 3</v>
      </c>
      <c r="O433" s="119" t="str">
        <f t="shared" ca="1" si="120"/>
        <v>1.16.3.</v>
      </c>
      <c r="P433" s="120" t="s">
        <v>247</v>
      </c>
      <c r="Q433" s="121"/>
      <c r="R433" s="122" t="str">
        <f ca="1">IF($C433="S",REFERENCIA.Descricao,"ACESSÓRIOS")</f>
        <v>ACESSÓRIOS</v>
      </c>
      <c r="S433" s="123" t="str">
        <f ca="1">REFERENCIA.Unidade</f>
        <v>-</v>
      </c>
      <c r="T433" s="124">
        <f ca="1">OFFSET(CÁLCULO!H$15,ROW($T433)-ROW(T$15),0)</f>
        <v>0</v>
      </c>
      <c r="U433" s="125">
        <f t="shared" ca="1" si="109"/>
        <v>0</v>
      </c>
      <c r="V433" s="126" t="s">
        <v>156</v>
      </c>
      <c r="W433" s="124">
        <f ca="1">IF($C433="S",ROUND(IF(TIPOORCAMENTO="Proposto",ORÇAMENTO.CustoUnitario*(1+$AH433),ORÇAMENTO.PrecoUnitarioLicitado),15-13*$AF$10),0)</f>
        <v>0</v>
      </c>
      <c r="X433" s="127">
        <f ca="1">IF($C433="S",IF(Import.TipoArredondamento&lt;&gt;"TransfereGOV",VTOTAL1,SUM(OFFSET(CÁLCULO!$AA$15,ROW($X433)-ROW($X$15),1):OFFSET(CÁLCULO!$AL$15,ROW($X433)-ROW($X$15),-1))),IF($C433=0,0,ROUND(SomaAgrup,15-13*$AF$11)))</f>
        <v>0</v>
      </c>
      <c r="Y433" s="128" t="s">
        <v>245</v>
      </c>
      <c r="Z433" t="str">
        <f t="shared" ca="1" si="121"/>
        <v/>
      </c>
      <c r="AA433" s="129">
        <f ca="1">IF($C433="S",IF($Z433="CP",$X433,IF($Z433="RA",(($X433)*QCI!$AA$3),0)),SomaAgrup)</f>
        <v>0</v>
      </c>
      <c r="AB433" s="130">
        <f t="shared" ca="1" si="122"/>
        <v>0</v>
      </c>
      <c r="AC433" s="131" t="str">
        <f ca="1">IF($N433="","",IF(ORÇAMENTO.Descricao="","DESCRIÇÃO",IF(AND($C433="S",ORÇAMENTO.Unidade=""),"UNIDADE",IF($X433&lt;0,"VALOR NEGATIVO",IF(OR(AND(TIPOORCAMENTO="Proposto",$AG433&lt;&gt;"",$AG433&gt;0,ORÇAMENTO.CustoUnitario&gt;$AG433),AND(TIPOORCAMENTO="LICITADO",ORÇAMENTO.PrecoUnitarioLicitado&gt;$AN433)),"ACIMA REF.","")))))</f>
        <v/>
      </c>
      <c r="AD433" t="str">
        <f ca="1">IF(C433&lt;=CRONO.NivelExibicao,MAX($AD$15:OFFSET(AD433,-1,0))+IF($C433&lt;&gt;1,1,MAX(1,COUNTIF(QCI!$A$13:$A$24,OFFSET($E433,-1,0)))),"")</f>
        <v/>
      </c>
      <c r="AE433" s="7" t="b">
        <f ca="1">IF(AND($C433="S",ORÇAMENTO.CodBarra&lt;&gt;""),IF(ORÇAMENTO.Fonte="",ORÇAMENTO.CodBarra,CONCATENATE(ORÇAMENTO.Fonte," ",ORÇAMENTO.CodBarra)))</f>
        <v>0</v>
      </c>
      <c r="AF433" s="13" t="str">
        <f ca="1">IF(ISERROR(INDIRECT(ORÇAMENTO.BancoRef)),"(abra o arquivo 'Referência "&amp;Excel_BuiltIn_Database&amp;".xlsm)",IF(OR($C433&lt;&gt;"S",ORÇAMENTO.CodBarra=""),"(Sem Código)",IF(ISERROR(MATCH($AE433,INDIRECT(ORÇAMENTO.BancoRef),0)),"(Código não identificado nas referências)",MATCH($AE433,INDIRECT(ORÇAMENTO.BancoRef),0))))</f>
        <v>(abra o arquivo 'Referência 02-2025.xlsm)</v>
      </c>
      <c r="AG433" s="498">
        <f ca="1">ROUND(IF(DESONERACAO="sim",REFERENCIA.Desonerado,REFERENCIA.NaoDesonerado),2)</f>
        <v>0</v>
      </c>
      <c r="AH433" s="499">
        <f t="shared" ca="1" si="123"/>
        <v>0.22470000000000001</v>
      </c>
      <c r="AJ433" s="501"/>
      <c r="AL433" s="527"/>
      <c r="AM433" s="381">
        <f t="shared" ca="1" si="124"/>
        <v>0</v>
      </c>
      <c r="AN433" s="566">
        <f t="shared" ca="1" si="125"/>
        <v>0</v>
      </c>
    </row>
    <row r="434" spans="1:40" ht="38.25" x14ac:dyDescent="0.2">
      <c r="A434" t="str">
        <f t="shared" si="110"/>
        <v>S</v>
      </c>
      <c r="B434">
        <f t="shared" ca="1" si="111"/>
        <v>3</v>
      </c>
      <c r="C434" t="str">
        <f t="shared" ca="1" si="112"/>
        <v>S</v>
      </c>
      <c r="D434">
        <f t="shared" ca="1" si="113"/>
        <v>0</v>
      </c>
      <c r="E434">
        <f ca="1">IF($C434=1,OFFSET(E434,-1,0)+MAX(1,COUNTIF(QCI!$A$13:$A$24,OFFSET(ORÇAMENTO!E434,-1,0))),OFFSET(E434,-1,0))</f>
        <v>1</v>
      </c>
      <c r="F434">
        <f t="shared" ca="1" si="114"/>
        <v>16</v>
      </c>
      <c r="G434">
        <f t="shared" ca="1" si="115"/>
        <v>3</v>
      </c>
      <c r="H434">
        <f t="shared" ca="1" si="116"/>
        <v>0</v>
      </c>
      <c r="I434">
        <f t="shared" ca="1" si="117"/>
        <v>0</v>
      </c>
      <c r="J434">
        <f t="shared" ca="1" si="108"/>
        <v>0</v>
      </c>
      <c r="K434">
        <f ca="1">IF(OR($C434="S",$C434=0),0,MATCH(OFFSET($D434,0,$C434)+IF($C434&lt;&gt;1,1,COUNTIF(QCI!$A$13:$A$24,ORÇAMENTO!E434)),OFFSET($D434,1,$C434,ROW($C$747)-ROW($C434)),0))</f>
        <v>0</v>
      </c>
      <c r="L434" s="116" t="str">
        <f t="shared" ca="1" si="118"/>
        <v/>
      </c>
      <c r="M434" s="117" t="s">
        <v>199</v>
      </c>
      <c r="N434" s="118" t="str">
        <f t="shared" ca="1" si="119"/>
        <v>Serviço</v>
      </c>
      <c r="O434" s="119" t="str">
        <f t="shared" ca="1" si="120"/>
        <v>-</v>
      </c>
      <c r="P434" s="120" t="s">
        <v>247</v>
      </c>
      <c r="Q434" s="121" t="s">
        <v>537</v>
      </c>
      <c r="R434" s="122" t="str">
        <f ca="1">IF($C434="S",REFERENCIA.Descricao,"(digite a descrição aqui)")</f>
        <v>(abra o arquivo 'Referência 02-2025.xlsm)</v>
      </c>
      <c r="S434" s="123" t="str">
        <f ca="1">REFERENCIA.Unidade</f>
        <v>-</v>
      </c>
      <c r="T434" s="124">
        <f ca="1">OFFSET(CÁLCULO!H$15,ROW($T434)-ROW(T$15),0)</f>
        <v>2</v>
      </c>
      <c r="U434" s="125">
        <f t="shared" ca="1" si="109"/>
        <v>0</v>
      </c>
      <c r="V434" s="126" t="s">
        <v>156</v>
      </c>
      <c r="W434" s="124">
        <f ca="1">IF($C434="S",ROUND(IF(TIPOORCAMENTO="Proposto",ORÇAMENTO.CustoUnitario*(1+$AH434),ORÇAMENTO.PrecoUnitarioLicitado),15-13*$AF$10),0)</f>
        <v>0</v>
      </c>
      <c r="X434" s="127">
        <f ca="1">IF($C434="S",IF(Import.TipoArredondamento&lt;&gt;"TransfereGOV",VTOTAL1,SUM(OFFSET(CÁLCULO!$AA$15,ROW($X434)-ROW($X$15),1):OFFSET(CÁLCULO!$AL$15,ROW($X434)-ROW($X$15),-1))),IF($C434=0,0,ROUND(SomaAgrup,15-13*$AF$11)))</f>
        <v>0</v>
      </c>
      <c r="Y434" s="128" t="s">
        <v>245</v>
      </c>
      <c r="Z434" t="str">
        <f t="shared" ca="1" si="121"/>
        <v/>
      </c>
      <c r="AA434" s="129">
        <f ca="1">IF($C434="S",IF($Z434="CP",$X434,IF($Z434="RA",(($X434)*QCI!$AA$3),0)),SomaAgrup)</f>
        <v>0</v>
      </c>
      <c r="AB434" s="130">
        <f t="shared" ca="1" si="122"/>
        <v>0</v>
      </c>
      <c r="AC434" s="131" t="str">
        <f ca="1">IF($N434="","",IF(ORÇAMENTO.Descricao="","DESCRIÇÃO",IF(AND($C434="S",ORÇAMENTO.Unidade=""),"UNIDADE",IF($X434&lt;0,"VALOR NEGATIVO",IF(OR(AND(TIPOORCAMENTO="Proposto",$AG434&lt;&gt;"",$AG434&gt;0,ORÇAMENTO.CustoUnitario&gt;$AG434),AND(TIPOORCAMENTO="LICITADO",ORÇAMENTO.PrecoUnitarioLicitado&gt;$AN434)),"ACIMA REF.","")))))</f>
        <v/>
      </c>
      <c r="AD434" t="str">
        <f ca="1">IF(C434&lt;=CRONO.NivelExibicao,MAX($AD$15:OFFSET(AD434,-1,0))+IF($C434&lt;&gt;1,1,MAX(1,COUNTIF(QCI!$A$13:$A$24,OFFSET($E434,-1,0)))),"")</f>
        <v/>
      </c>
      <c r="AE434" s="7" t="str">
        <f ca="1">IF(AND($C434="S",ORÇAMENTO.CodBarra&lt;&gt;""),IF(ORÇAMENTO.Fonte="",ORÇAMENTO.CodBarra,CONCATENATE(ORÇAMENTO.Fonte," ",ORÇAMENTO.CodBarra)))</f>
        <v>SINAPI 94794</v>
      </c>
      <c r="AF434" s="13" t="str">
        <f ca="1">IF(ISERROR(INDIRECT(ORÇAMENTO.BancoRef)),"(abra o arquivo 'Referência "&amp;Excel_BuiltIn_Database&amp;".xlsm)",IF(OR($C434&lt;&gt;"S",ORÇAMENTO.CodBarra=""),"(Sem Código)",IF(ISERROR(MATCH($AE434,INDIRECT(ORÇAMENTO.BancoRef),0)),"(Código não identificado nas referências)",MATCH($AE434,INDIRECT(ORÇAMENTO.BancoRef),0))))</f>
        <v>(abra o arquivo 'Referência 02-2025.xlsm)</v>
      </c>
      <c r="AG434" s="498">
        <f ca="1">ROUND(IF(DESONERACAO="sim",REFERENCIA.Desonerado,REFERENCIA.NaoDesonerado),2)</f>
        <v>0</v>
      </c>
      <c r="AH434" s="499">
        <f t="shared" ca="1" si="123"/>
        <v>0.22470000000000001</v>
      </c>
      <c r="AJ434" s="501">
        <v>2</v>
      </c>
      <c r="AL434" s="527"/>
      <c r="AM434" s="381">
        <f t="shared" ca="1" si="124"/>
        <v>0</v>
      </c>
      <c r="AN434" s="566">
        <f t="shared" ca="1" si="125"/>
        <v>0</v>
      </c>
    </row>
    <row r="435" spans="1:40" ht="25.5" x14ac:dyDescent="0.2">
      <c r="A435" t="str">
        <f t="shared" si="110"/>
        <v>S</v>
      </c>
      <c r="B435">
        <f t="shared" ca="1" si="111"/>
        <v>3</v>
      </c>
      <c r="C435" t="str">
        <f t="shared" ca="1" si="112"/>
        <v>S</v>
      </c>
      <c r="D435">
        <f t="shared" ca="1" si="113"/>
        <v>0</v>
      </c>
      <c r="E435">
        <f ca="1">IF($C435=1,OFFSET(E435,-1,0)+MAX(1,COUNTIF(QCI!$A$13:$A$24,OFFSET(ORÇAMENTO!E435,-1,0))),OFFSET(E435,-1,0))</f>
        <v>1</v>
      </c>
      <c r="F435">
        <f t="shared" ca="1" si="114"/>
        <v>16</v>
      </c>
      <c r="G435">
        <f t="shared" ca="1" si="115"/>
        <v>3</v>
      </c>
      <c r="H435">
        <f t="shared" ca="1" si="116"/>
        <v>0</v>
      </c>
      <c r="I435">
        <f t="shared" ca="1" si="117"/>
        <v>0</v>
      </c>
      <c r="J435">
        <f t="shared" ca="1" si="108"/>
        <v>0</v>
      </c>
      <c r="K435">
        <f ca="1">IF(OR($C435="S",$C435=0),0,MATCH(OFFSET($D435,0,$C435)+IF($C435&lt;&gt;1,1,COUNTIF(QCI!$A$13:$A$24,ORÇAMENTO!E435)),OFFSET($D435,1,$C435,ROW($C$747)-ROW($C435)),0))</f>
        <v>0</v>
      </c>
      <c r="L435" s="116" t="str">
        <f t="shared" ca="1" si="118"/>
        <v/>
      </c>
      <c r="M435" s="117" t="s">
        <v>199</v>
      </c>
      <c r="N435" s="118" t="str">
        <f t="shared" ca="1" si="119"/>
        <v>Serviço</v>
      </c>
      <c r="O435" s="119" t="str">
        <f t="shared" ca="1" si="120"/>
        <v>-</v>
      </c>
      <c r="P435" s="120" t="s">
        <v>247</v>
      </c>
      <c r="Q435" s="121" t="s">
        <v>626</v>
      </c>
      <c r="R435" s="122" t="str">
        <f ca="1">IF($C435="S",REFERENCIA.Descricao,"(digite a descrição aqui)")</f>
        <v>(abra o arquivo 'Referência 02-2025.xlsm)</v>
      </c>
      <c r="S435" s="123" t="str">
        <f ca="1">REFERENCIA.Unidade</f>
        <v>-</v>
      </c>
      <c r="T435" s="124">
        <f ca="1">OFFSET(CÁLCULO!H$15,ROW($T435)-ROW(T$15),0)</f>
        <v>1</v>
      </c>
      <c r="U435" s="125">
        <f t="shared" ca="1" si="109"/>
        <v>0</v>
      </c>
      <c r="V435" s="126" t="s">
        <v>156</v>
      </c>
      <c r="W435" s="124">
        <f ca="1">IF($C435="S",ROUND(IF(TIPOORCAMENTO="Proposto",ORÇAMENTO.CustoUnitario*(1+$AH435),ORÇAMENTO.PrecoUnitarioLicitado),15-13*$AF$10),0)</f>
        <v>0</v>
      </c>
      <c r="X435" s="127">
        <f ca="1">IF($C435="S",IF(Import.TipoArredondamento&lt;&gt;"TransfereGOV",VTOTAL1,SUM(OFFSET(CÁLCULO!$AA$15,ROW($X435)-ROW($X$15),1):OFFSET(CÁLCULO!$AL$15,ROW($X435)-ROW($X$15),-1))),IF($C435=0,0,ROUND(SomaAgrup,15-13*$AF$11)))</f>
        <v>0</v>
      </c>
      <c r="Y435" s="128" t="s">
        <v>245</v>
      </c>
      <c r="Z435" t="str">
        <f t="shared" ca="1" si="121"/>
        <v/>
      </c>
      <c r="AA435" s="129">
        <f ca="1">IF($C435="S",IF($Z435="CP",$X435,IF($Z435="RA",(($X435)*QCI!$AA$3),0)),SomaAgrup)</f>
        <v>0</v>
      </c>
      <c r="AB435" s="130">
        <f t="shared" ca="1" si="122"/>
        <v>0</v>
      </c>
      <c r="AC435" s="131" t="str">
        <f ca="1">IF($N435="","",IF(ORÇAMENTO.Descricao="","DESCRIÇÃO",IF(AND($C435="S",ORÇAMENTO.Unidade=""),"UNIDADE",IF($X435&lt;0,"VALOR NEGATIVO",IF(OR(AND(TIPOORCAMENTO="Proposto",$AG435&lt;&gt;"",$AG435&gt;0,ORÇAMENTO.CustoUnitario&gt;$AG435),AND(TIPOORCAMENTO="LICITADO",ORÇAMENTO.PrecoUnitarioLicitado&gt;$AN435)),"ACIMA REF.","")))))</f>
        <v/>
      </c>
      <c r="AD435" t="str">
        <f ca="1">IF(C435&lt;=CRONO.NivelExibicao,MAX($AD$15:OFFSET(AD435,-1,0))+IF($C435&lt;&gt;1,1,MAX(1,COUNTIF(QCI!$A$13:$A$24,OFFSET($E435,-1,0)))),"")</f>
        <v/>
      </c>
      <c r="AE435" s="7" t="str">
        <f ca="1">IF(AND($C435="S",ORÇAMENTO.CodBarra&lt;&gt;""),IF(ORÇAMENTO.Fonte="",ORÇAMENTO.CodBarra,CONCATENATE(ORÇAMENTO.Fonte," ",ORÇAMENTO.CodBarra)))</f>
        <v>SINAPI 94499</v>
      </c>
      <c r="AF435" s="13" t="str">
        <f ca="1">IF(ISERROR(INDIRECT(ORÇAMENTO.BancoRef)),"(abra o arquivo 'Referência "&amp;Excel_BuiltIn_Database&amp;".xlsm)",IF(OR($C435&lt;&gt;"S",ORÇAMENTO.CodBarra=""),"(Sem Código)",IF(ISERROR(MATCH($AE435,INDIRECT(ORÇAMENTO.BancoRef),0)),"(Código não identificado nas referências)",MATCH($AE435,INDIRECT(ORÇAMENTO.BancoRef),0))))</f>
        <v>(abra o arquivo 'Referência 02-2025.xlsm)</v>
      </c>
      <c r="AG435" s="498">
        <f ca="1">ROUND(IF(DESONERACAO="sim",REFERENCIA.Desonerado,REFERENCIA.NaoDesonerado),2)</f>
        <v>0</v>
      </c>
      <c r="AH435" s="499">
        <f t="shared" ca="1" si="123"/>
        <v>0.22470000000000001</v>
      </c>
      <c r="AJ435" s="501">
        <v>1</v>
      </c>
      <c r="AL435" s="527"/>
      <c r="AM435" s="381">
        <f t="shared" ca="1" si="124"/>
        <v>0</v>
      </c>
      <c r="AN435" s="566">
        <f t="shared" ca="1" si="125"/>
        <v>0</v>
      </c>
    </row>
    <row r="436" spans="1:40" ht="25.5" x14ac:dyDescent="0.2">
      <c r="A436" t="str">
        <f t="shared" si="110"/>
        <v>S</v>
      </c>
      <c r="B436">
        <f t="shared" ca="1" si="111"/>
        <v>3</v>
      </c>
      <c r="C436" t="str">
        <f t="shared" ca="1" si="112"/>
        <v>S</v>
      </c>
      <c r="D436">
        <f t="shared" ca="1" si="113"/>
        <v>0</v>
      </c>
      <c r="E436">
        <f ca="1">IF($C436=1,OFFSET(E436,-1,0)+MAX(1,COUNTIF(QCI!$A$13:$A$24,OFFSET(ORÇAMENTO!E436,-1,0))),OFFSET(E436,-1,0))</f>
        <v>1</v>
      </c>
      <c r="F436">
        <f t="shared" ca="1" si="114"/>
        <v>16</v>
      </c>
      <c r="G436">
        <f t="shared" ca="1" si="115"/>
        <v>3</v>
      </c>
      <c r="H436">
        <f t="shared" ca="1" si="116"/>
        <v>0</v>
      </c>
      <c r="I436">
        <f t="shared" ca="1" si="117"/>
        <v>0</v>
      </c>
      <c r="J436">
        <f t="shared" ca="1" si="108"/>
        <v>0</v>
      </c>
      <c r="K436">
        <f ca="1">IF(OR($C436="S",$C436=0),0,MATCH(OFFSET($D436,0,$C436)+IF($C436&lt;&gt;1,1,COUNTIF(QCI!$A$13:$A$24,ORÇAMENTO!E436)),OFFSET($D436,1,$C436,ROW($C$747)-ROW($C436)),0))</f>
        <v>0</v>
      </c>
      <c r="L436" s="116" t="str">
        <f t="shared" ca="1" si="118"/>
        <v/>
      </c>
      <c r="M436" s="117" t="s">
        <v>199</v>
      </c>
      <c r="N436" s="118" t="str">
        <f t="shared" ca="1" si="119"/>
        <v>Serviço</v>
      </c>
      <c r="O436" s="119" t="str">
        <f t="shared" ca="1" si="120"/>
        <v>-</v>
      </c>
      <c r="P436" s="120" t="s">
        <v>247</v>
      </c>
      <c r="Q436" s="121" t="s">
        <v>536</v>
      </c>
      <c r="R436" s="122" t="str">
        <f ca="1">IF($C436="S",REFERENCIA.Descricao,"(digite a descrição aqui)")</f>
        <v>(abra o arquivo 'Referência 02-2025.xlsm)</v>
      </c>
      <c r="S436" s="123" t="str">
        <f ca="1">REFERENCIA.Unidade</f>
        <v>-</v>
      </c>
      <c r="T436" s="124">
        <f ca="1">OFFSET(CÁLCULO!H$15,ROW($T436)-ROW(T$15),0)</f>
        <v>4</v>
      </c>
      <c r="U436" s="125">
        <f t="shared" ca="1" si="109"/>
        <v>0</v>
      </c>
      <c r="V436" s="126" t="s">
        <v>156</v>
      </c>
      <c r="W436" s="124">
        <f ca="1">IF($C436="S",ROUND(IF(TIPOORCAMENTO="Proposto",ORÇAMENTO.CustoUnitario*(1+$AH436),ORÇAMENTO.PrecoUnitarioLicitado),15-13*$AF$10),0)</f>
        <v>0</v>
      </c>
      <c r="X436" s="127">
        <f ca="1">IF($C436="S",IF(Import.TipoArredondamento&lt;&gt;"TransfereGOV",VTOTAL1,SUM(OFFSET(CÁLCULO!$AA$15,ROW($X436)-ROW($X$15),1):OFFSET(CÁLCULO!$AL$15,ROW($X436)-ROW($X$15),-1))),IF($C436=0,0,ROUND(SomaAgrup,15-13*$AF$11)))</f>
        <v>0</v>
      </c>
      <c r="Y436" s="128" t="s">
        <v>245</v>
      </c>
      <c r="Z436" t="str">
        <f t="shared" ca="1" si="121"/>
        <v/>
      </c>
      <c r="AA436" s="129">
        <f ca="1">IF($C436="S",IF($Z436="CP",$X436,IF($Z436="RA",(($X436)*QCI!$AA$3),0)),SomaAgrup)</f>
        <v>0</v>
      </c>
      <c r="AB436" s="130">
        <f t="shared" ca="1" si="122"/>
        <v>0</v>
      </c>
      <c r="AC436" s="131" t="str">
        <f ca="1">IF($N436="","",IF(ORÇAMENTO.Descricao="","DESCRIÇÃO",IF(AND($C436="S",ORÇAMENTO.Unidade=""),"UNIDADE",IF($X436&lt;0,"VALOR NEGATIVO",IF(OR(AND(TIPOORCAMENTO="Proposto",$AG436&lt;&gt;"",$AG436&gt;0,ORÇAMENTO.CustoUnitario&gt;$AG436),AND(TIPOORCAMENTO="LICITADO",ORÇAMENTO.PrecoUnitarioLicitado&gt;$AN436)),"ACIMA REF.","")))))</f>
        <v/>
      </c>
      <c r="AD436" t="str">
        <f ca="1">IF(C436&lt;=CRONO.NivelExibicao,MAX($AD$15:OFFSET(AD436,-1,0))+IF($C436&lt;&gt;1,1,MAX(1,COUNTIF(QCI!$A$13:$A$24,OFFSET($E436,-1,0)))),"")</f>
        <v/>
      </c>
      <c r="AE436" s="7" t="str">
        <f ca="1">IF(AND($C436="S",ORÇAMENTO.CodBarra&lt;&gt;""),IF(ORÇAMENTO.Fonte="",ORÇAMENTO.CodBarra,CONCATENATE(ORÇAMENTO.Fonte," ",ORÇAMENTO.CodBarra)))</f>
        <v>SINAPI 94500</v>
      </c>
      <c r="AF436" s="13" t="str">
        <f ca="1">IF(ISERROR(INDIRECT(ORÇAMENTO.BancoRef)),"(abra o arquivo 'Referência "&amp;Excel_BuiltIn_Database&amp;".xlsm)",IF(OR($C436&lt;&gt;"S",ORÇAMENTO.CodBarra=""),"(Sem Código)",IF(ISERROR(MATCH($AE436,INDIRECT(ORÇAMENTO.BancoRef),0)),"(Código não identificado nas referências)",MATCH($AE436,INDIRECT(ORÇAMENTO.BancoRef),0))))</f>
        <v>(abra o arquivo 'Referência 02-2025.xlsm)</v>
      </c>
      <c r="AG436" s="498">
        <f ca="1">ROUND(IF(DESONERACAO="sim",REFERENCIA.Desonerado,REFERENCIA.NaoDesonerado),2)</f>
        <v>0</v>
      </c>
      <c r="AH436" s="499">
        <f t="shared" ca="1" si="123"/>
        <v>0.22470000000000001</v>
      </c>
      <c r="AJ436" s="501">
        <v>4</v>
      </c>
      <c r="AL436" s="527"/>
      <c r="AM436" s="381">
        <f t="shared" ca="1" si="124"/>
        <v>0</v>
      </c>
      <c r="AN436" s="566">
        <f t="shared" ca="1" si="125"/>
        <v>0</v>
      </c>
    </row>
    <row r="437" spans="1:40" ht="25.5" x14ac:dyDescent="0.2">
      <c r="A437" t="str">
        <f t="shared" si="110"/>
        <v>S</v>
      </c>
      <c r="B437">
        <f t="shared" ca="1" si="111"/>
        <v>3</v>
      </c>
      <c r="C437" t="str">
        <f t="shared" ca="1" si="112"/>
        <v>S</v>
      </c>
      <c r="D437">
        <f t="shared" ca="1" si="113"/>
        <v>0</v>
      </c>
      <c r="E437">
        <f ca="1">IF($C437=1,OFFSET(E437,-1,0)+MAX(1,COUNTIF(QCI!$A$13:$A$24,OFFSET(ORÇAMENTO!E437,-1,0))),OFFSET(E437,-1,0))</f>
        <v>1</v>
      </c>
      <c r="F437">
        <f t="shared" ca="1" si="114"/>
        <v>16</v>
      </c>
      <c r="G437">
        <f t="shared" ca="1" si="115"/>
        <v>3</v>
      </c>
      <c r="H437">
        <f t="shared" ca="1" si="116"/>
        <v>0</v>
      </c>
      <c r="I437">
        <f t="shared" ca="1" si="117"/>
        <v>0</v>
      </c>
      <c r="J437">
        <f t="shared" ca="1" si="108"/>
        <v>0</v>
      </c>
      <c r="K437">
        <f ca="1">IF(OR($C437="S",$C437=0),0,MATCH(OFFSET($D437,0,$C437)+IF($C437&lt;&gt;1,1,COUNTIF(QCI!$A$13:$A$24,ORÇAMENTO!E437)),OFFSET($D437,1,$C437,ROW($C$747)-ROW($C437)),0))</f>
        <v>0</v>
      </c>
      <c r="L437" s="116" t="str">
        <f t="shared" ca="1" si="118"/>
        <v/>
      </c>
      <c r="M437" s="117" t="s">
        <v>199</v>
      </c>
      <c r="N437" s="118" t="str">
        <f t="shared" ca="1" si="119"/>
        <v>Serviço</v>
      </c>
      <c r="O437" s="119" t="str">
        <f t="shared" ca="1" si="120"/>
        <v>-</v>
      </c>
      <c r="P437" s="120" t="s">
        <v>247</v>
      </c>
      <c r="Q437" s="121" t="s">
        <v>627</v>
      </c>
      <c r="R437" s="122" t="str">
        <f ca="1">IF($C437="S",REFERENCIA.Descricao,"(digite a descrição aqui)")</f>
        <v>(abra o arquivo 'Referência 02-2025.xlsm)</v>
      </c>
      <c r="S437" s="123" t="str">
        <f ca="1">REFERENCIA.Unidade</f>
        <v>-</v>
      </c>
      <c r="T437" s="124">
        <f ca="1">OFFSET(CÁLCULO!H$15,ROW($T437)-ROW(T$15),0)</f>
        <v>1</v>
      </c>
      <c r="U437" s="125">
        <f t="shared" ca="1" si="109"/>
        <v>0</v>
      </c>
      <c r="V437" s="126" t="s">
        <v>156</v>
      </c>
      <c r="W437" s="124">
        <f ca="1">IF($C437="S",ROUND(IF(TIPOORCAMENTO="Proposto",ORÇAMENTO.CustoUnitario*(1+$AH437),ORÇAMENTO.PrecoUnitarioLicitado),15-13*$AF$10),0)</f>
        <v>0</v>
      </c>
      <c r="X437" s="127">
        <f ca="1">IF($C437="S",IF(Import.TipoArredondamento&lt;&gt;"TransfereGOV",VTOTAL1,SUM(OFFSET(CÁLCULO!$AA$15,ROW($X437)-ROW($X$15),1):OFFSET(CÁLCULO!$AL$15,ROW($X437)-ROW($X$15),-1))),IF($C437=0,0,ROUND(SomaAgrup,15-13*$AF$11)))</f>
        <v>0</v>
      </c>
      <c r="Y437" s="128" t="s">
        <v>245</v>
      </c>
      <c r="Z437" t="str">
        <f t="shared" ca="1" si="121"/>
        <v/>
      </c>
      <c r="AA437" s="129">
        <f ca="1">IF($C437="S",IF($Z437="CP",$X437,IF($Z437="RA",(($X437)*QCI!$AA$3),0)),SomaAgrup)</f>
        <v>0</v>
      </c>
      <c r="AB437" s="130">
        <f t="shared" ca="1" si="122"/>
        <v>0</v>
      </c>
      <c r="AC437" s="131" t="str">
        <f ca="1">IF($N437="","",IF(ORÇAMENTO.Descricao="","DESCRIÇÃO",IF(AND($C437="S",ORÇAMENTO.Unidade=""),"UNIDADE",IF($X437&lt;0,"VALOR NEGATIVO",IF(OR(AND(TIPOORCAMENTO="Proposto",$AG437&lt;&gt;"",$AG437&gt;0,ORÇAMENTO.CustoUnitario&gt;$AG437),AND(TIPOORCAMENTO="LICITADO",ORÇAMENTO.PrecoUnitarioLicitado&gt;$AN437)),"ACIMA REF.","")))))</f>
        <v/>
      </c>
      <c r="AD437" t="str">
        <f ca="1">IF(C437&lt;=CRONO.NivelExibicao,MAX($AD$15:OFFSET(AD437,-1,0))+IF($C437&lt;&gt;1,1,MAX(1,COUNTIF(QCI!$A$13:$A$24,OFFSET($E437,-1,0)))),"")</f>
        <v/>
      </c>
      <c r="AE437" s="7" t="str">
        <f ca="1">IF(AND($C437="S",ORÇAMENTO.CodBarra&lt;&gt;""),IF(ORÇAMENTO.Fonte="",ORÇAMENTO.CodBarra,CONCATENATE(ORÇAMENTO.Fonte," ",ORÇAMENTO.CodBarra)))</f>
        <v>SINAPI 99622</v>
      </c>
      <c r="AF437" s="13" t="str">
        <f ca="1">IF(ISERROR(INDIRECT(ORÇAMENTO.BancoRef)),"(abra o arquivo 'Referência "&amp;Excel_BuiltIn_Database&amp;".xlsm)",IF(OR($C437&lt;&gt;"S",ORÇAMENTO.CodBarra=""),"(Sem Código)",IF(ISERROR(MATCH($AE437,INDIRECT(ORÇAMENTO.BancoRef),0)),"(Código não identificado nas referências)",MATCH($AE437,INDIRECT(ORÇAMENTO.BancoRef),0))))</f>
        <v>(abra o arquivo 'Referência 02-2025.xlsm)</v>
      </c>
      <c r="AG437" s="498">
        <f ca="1">ROUND(IF(DESONERACAO="sim",REFERENCIA.Desonerado,REFERENCIA.NaoDesonerado),2)</f>
        <v>0</v>
      </c>
      <c r="AH437" s="499">
        <f t="shared" ca="1" si="123"/>
        <v>0.22470000000000001</v>
      </c>
      <c r="AJ437" s="501">
        <v>1</v>
      </c>
      <c r="AL437" s="527"/>
      <c r="AM437" s="381">
        <f t="shared" ca="1" si="124"/>
        <v>0</v>
      </c>
      <c r="AN437" s="566">
        <f t="shared" ca="1" si="125"/>
        <v>0</v>
      </c>
    </row>
    <row r="438" spans="1:40" ht="25.5" x14ac:dyDescent="0.2">
      <c r="A438" t="str">
        <f t="shared" si="110"/>
        <v>S</v>
      </c>
      <c r="B438">
        <f t="shared" ca="1" si="111"/>
        <v>3</v>
      </c>
      <c r="C438" t="str">
        <f t="shared" ca="1" si="112"/>
        <v>S</v>
      </c>
      <c r="D438">
        <f t="shared" ca="1" si="113"/>
        <v>0</v>
      </c>
      <c r="E438">
        <f ca="1">IF($C438=1,OFFSET(E438,-1,0)+MAX(1,COUNTIF(QCI!$A$13:$A$24,OFFSET(ORÇAMENTO!E438,-1,0))),OFFSET(E438,-1,0))</f>
        <v>1</v>
      </c>
      <c r="F438">
        <f t="shared" ca="1" si="114"/>
        <v>16</v>
      </c>
      <c r="G438">
        <f t="shared" ca="1" si="115"/>
        <v>3</v>
      </c>
      <c r="H438">
        <f t="shared" ca="1" si="116"/>
        <v>0</v>
      </c>
      <c r="I438">
        <f t="shared" ca="1" si="117"/>
        <v>0</v>
      </c>
      <c r="J438">
        <f t="shared" ca="1" si="108"/>
        <v>0</v>
      </c>
      <c r="K438">
        <f ca="1">IF(OR($C438="S",$C438=0),0,MATCH(OFFSET($D438,0,$C438)+IF($C438&lt;&gt;1,1,COUNTIF(QCI!$A$13:$A$24,ORÇAMENTO!E438)),OFFSET($D438,1,$C438,ROW($C$747)-ROW($C438)),0))</f>
        <v>0</v>
      </c>
      <c r="L438" s="116" t="str">
        <f t="shared" ca="1" si="118"/>
        <v/>
      </c>
      <c r="M438" s="117" t="s">
        <v>199</v>
      </c>
      <c r="N438" s="118" t="str">
        <f t="shared" ca="1" si="119"/>
        <v>Serviço</v>
      </c>
      <c r="O438" s="119" t="str">
        <f t="shared" ca="1" si="120"/>
        <v>-</v>
      </c>
      <c r="P438" s="120" t="s">
        <v>247</v>
      </c>
      <c r="Q438" s="121" t="s">
        <v>628</v>
      </c>
      <c r="R438" s="122" t="str">
        <f ca="1">IF($C438="S",REFERENCIA.Descricao,"(digite a descrição aqui)")</f>
        <v>(abra o arquivo 'Referência 02-2025.xlsm)</v>
      </c>
      <c r="S438" s="123" t="str">
        <f ca="1">REFERENCIA.Unidade</f>
        <v>-</v>
      </c>
      <c r="T438" s="124">
        <f ca="1">OFFSET(CÁLCULO!H$15,ROW($T438)-ROW(T$15),0)</f>
        <v>2</v>
      </c>
      <c r="U438" s="125">
        <f t="shared" ca="1" si="109"/>
        <v>0</v>
      </c>
      <c r="V438" s="126" t="s">
        <v>156</v>
      </c>
      <c r="W438" s="124">
        <f ca="1">IF($C438="S",ROUND(IF(TIPOORCAMENTO="Proposto",ORÇAMENTO.CustoUnitario*(1+$AH438),ORÇAMENTO.PrecoUnitarioLicitado),15-13*$AF$10),0)</f>
        <v>0</v>
      </c>
      <c r="X438" s="127">
        <f ca="1">IF($C438="S",IF(Import.TipoArredondamento&lt;&gt;"TransfereGOV",VTOTAL1,SUM(OFFSET(CÁLCULO!$AA$15,ROW($X438)-ROW($X$15),1):OFFSET(CÁLCULO!$AL$15,ROW($X438)-ROW($X$15),-1))),IF($C438=0,0,ROUND(SomaAgrup,15-13*$AF$11)))</f>
        <v>0</v>
      </c>
      <c r="Y438" s="128" t="s">
        <v>245</v>
      </c>
      <c r="Z438" t="str">
        <f t="shared" ca="1" si="121"/>
        <v/>
      </c>
      <c r="AA438" s="129">
        <f ca="1">IF($C438="S",IF($Z438="CP",$X438,IF($Z438="RA",(($X438)*QCI!$AA$3),0)),SomaAgrup)</f>
        <v>0</v>
      </c>
      <c r="AB438" s="130">
        <f t="shared" ca="1" si="122"/>
        <v>0</v>
      </c>
      <c r="AC438" s="131" t="str">
        <f ca="1">IF($N438="","",IF(ORÇAMENTO.Descricao="","DESCRIÇÃO",IF(AND($C438="S",ORÇAMENTO.Unidade=""),"UNIDADE",IF($X438&lt;0,"VALOR NEGATIVO",IF(OR(AND(TIPOORCAMENTO="Proposto",$AG438&lt;&gt;"",$AG438&gt;0,ORÇAMENTO.CustoUnitario&gt;$AG438),AND(TIPOORCAMENTO="LICITADO",ORÇAMENTO.PrecoUnitarioLicitado&gt;$AN438)),"ACIMA REF.","")))))</f>
        <v/>
      </c>
      <c r="AD438" t="str">
        <f ca="1">IF(C438&lt;=CRONO.NivelExibicao,MAX($AD$15:OFFSET(AD438,-1,0))+IF($C438&lt;&gt;1,1,MAX(1,COUNTIF(QCI!$A$13:$A$24,OFFSET($E438,-1,0)))),"")</f>
        <v/>
      </c>
      <c r="AE438" s="7" t="str">
        <f ca="1">IF(AND($C438="S",ORÇAMENTO.CodBarra&lt;&gt;""),IF(ORÇAMENTO.Fonte="",ORÇAMENTO.CodBarra,CONCATENATE(ORÇAMENTO.Fonte," ",ORÇAMENTO.CodBarra)))</f>
        <v>SINAPI 99624</v>
      </c>
      <c r="AF438" s="13" t="str">
        <f ca="1">IF(ISERROR(INDIRECT(ORÇAMENTO.BancoRef)),"(abra o arquivo 'Referência "&amp;Excel_BuiltIn_Database&amp;".xlsm)",IF(OR($C438&lt;&gt;"S",ORÇAMENTO.CodBarra=""),"(Sem Código)",IF(ISERROR(MATCH($AE438,INDIRECT(ORÇAMENTO.BancoRef),0)),"(Código não identificado nas referências)",MATCH($AE438,INDIRECT(ORÇAMENTO.BancoRef),0))))</f>
        <v>(abra o arquivo 'Referência 02-2025.xlsm)</v>
      </c>
      <c r="AG438" s="498">
        <f ca="1">ROUND(IF(DESONERACAO="sim",REFERENCIA.Desonerado,REFERENCIA.NaoDesonerado),2)</f>
        <v>0</v>
      </c>
      <c r="AH438" s="499">
        <f t="shared" ca="1" si="123"/>
        <v>0.22470000000000001</v>
      </c>
      <c r="AJ438" s="501">
        <v>2</v>
      </c>
      <c r="AL438" s="527"/>
      <c r="AM438" s="381">
        <f t="shared" ca="1" si="124"/>
        <v>0</v>
      </c>
      <c r="AN438" s="566">
        <f t="shared" ca="1" si="125"/>
        <v>0</v>
      </c>
    </row>
    <row r="439" spans="1:40" ht="25.5" x14ac:dyDescent="0.2">
      <c r="A439" t="str">
        <f t="shared" si="110"/>
        <v>S</v>
      </c>
      <c r="B439">
        <f t="shared" ca="1" si="111"/>
        <v>3</v>
      </c>
      <c r="C439" t="str">
        <f t="shared" ca="1" si="112"/>
        <v>S</v>
      </c>
      <c r="D439">
        <f t="shared" ca="1" si="113"/>
        <v>0</v>
      </c>
      <c r="E439">
        <f ca="1">IF($C439=1,OFFSET(E439,-1,0)+MAX(1,COUNTIF(QCI!$A$13:$A$24,OFFSET(ORÇAMENTO!E439,-1,0))),OFFSET(E439,-1,0))</f>
        <v>1</v>
      </c>
      <c r="F439">
        <f t="shared" ca="1" si="114"/>
        <v>16</v>
      </c>
      <c r="G439">
        <f t="shared" ca="1" si="115"/>
        <v>3</v>
      </c>
      <c r="H439">
        <f t="shared" ca="1" si="116"/>
        <v>0</v>
      </c>
      <c r="I439">
        <f t="shared" ca="1" si="117"/>
        <v>0</v>
      </c>
      <c r="J439">
        <f t="shared" ca="1" si="108"/>
        <v>0</v>
      </c>
      <c r="K439">
        <f ca="1">IF(OR($C439="S",$C439=0),0,MATCH(OFFSET($D439,0,$C439)+IF($C439&lt;&gt;1,1,COUNTIF(QCI!$A$13:$A$24,ORÇAMENTO!E439)),OFFSET($D439,1,$C439,ROW($C$747)-ROW($C439)),0))</f>
        <v>0</v>
      </c>
      <c r="L439" s="116" t="str">
        <f t="shared" ca="1" si="118"/>
        <v/>
      </c>
      <c r="M439" s="117" t="s">
        <v>199</v>
      </c>
      <c r="N439" s="118" t="str">
        <f t="shared" ca="1" si="119"/>
        <v>Serviço</v>
      </c>
      <c r="O439" s="119" t="str">
        <f t="shared" ca="1" si="120"/>
        <v>-</v>
      </c>
      <c r="P439" s="120" t="s">
        <v>247</v>
      </c>
      <c r="Q439" s="121" t="s">
        <v>629</v>
      </c>
      <c r="R439" s="122" t="str">
        <f ca="1">IF($C439="S",REFERENCIA.Descricao,"(digite a descrição aqui)")</f>
        <v>(abra o arquivo 'Referência 02-2025.xlsm)</v>
      </c>
      <c r="S439" s="123" t="str">
        <f ca="1">REFERENCIA.Unidade</f>
        <v>-</v>
      </c>
      <c r="T439" s="124">
        <f ca="1">OFFSET(CÁLCULO!H$15,ROW($T439)-ROW(T$15),0)</f>
        <v>2</v>
      </c>
      <c r="U439" s="125">
        <f t="shared" ca="1" si="109"/>
        <v>0</v>
      </c>
      <c r="V439" s="126" t="s">
        <v>156</v>
      </c>
      <c r="W439" s="124">
        <f ca="1">IF($C439="S",ROUND(IF(TIPOORCAMENTO="Proposto",ORÇAMENTO.CustoUnitario*(1+$AH439),ORÇAMENTO.PrecoUnitarioLicitado),15-13*$AF$10),0)</f>
        <v>0</v>
      </c>
      <c r="X439" s="127">
        <f ca="1">IF($C439="S",IF(Import.TipoArredondamento&lt;&gt;"TransfereGOV",VTOTAL1,SUM(OFFSET(CÁLCULO!$AA$15,ROW($X439)-ROW($X$15),1):OFFSET(CÁLCULO!$AL$15,ROW($X439)-ROW($X$15),-1))),IF($C439=0,0,ROUND(SomaAgrup,15-13*$AF$11)))</f>
        <v>0</v>
      </c>
      <c r="Y439" s="128" t="s">
        <v>245</v>
      </c>
      <c r="Z439" t="str">
        <f t="shared" ca="1" si="121"/>
        <v/>
      </c>
      <c r="AA439" s="129">
        <f ca="1">IF($C439="S",IF($Z439="CP",$X439,IF($Z439="RA",(($X439)*QCI!$AA$3),0)),SomaAgrup)</f>
        <v>0</v>
      </c>
      <c r="AB439" s="130">
        <f t="shared" ca="1" si="122"/>
        <v>0</v>
      </c>
      <c r="AC439" s="131" t="str">
        <f ca="1">IF($N439="","",IF(ORÇAMENTO.Descricao="","DESCRIÇÃO",IF(AND($C439="S",ORÇAMENTO.Unidade=""),"UNIDADE",IF($X439&lt;0,"VALOR NEGATIVO",IF(OR(AND(TIPOORCAMENTO="Proposto",$AG439&lt;&gt;"",$AG439&gt;0,ORÇAMENTO.CustoUnitario&gt;$AG439),AND(TIPOORCAMENTO="LICITADO",ORÇAMENTO.PrecoUnitarioLicitado&gt;$AN439)),"ACIMA REF.","")))))</f>
        <v/>
      </c>
      <c r="AD439" t="str">
        <f ca="1">IF(C439&lt;=CRONO.NivelExibicao,MAX($AD$15:OFFSET(AD439,-1,0))+IF($C439&lt;&gt;1,1,MAX(1,COUNTIF(QCI!$A$13:$A$24,OFFSET($E439,-1,0)))),"")</f>
        <v/>
      </c>
      <c r="AE439" s="7" t="str">
        <f ca="1">IF(AND($C439="S",ORÇAMENTO.CodBarra&lt;&gt;""),IF(ORÇAMENTO.Fonte="",ORÇAMENTO.CodBarra,CONCATENATE(ORÇAMENTO.Fonte," ",ORÇAMENTO.CodBarra)))</f>
        <v>SINAPI 99625</v>
      </c>
      <c r="AF439" s="13" t="str">
        <f ca="1">IF(ISERROR(INDIRECT(ORÇAMENTO.BancoRef)),"(abra o arquivo 'Referência "&amp;Excel_BuiltIn_Database&amp;".xlsm)",IF(OR($C439&lt;&gt;"S",ORÇAMENTO.CodBarra=""),"(Sem Código)",IF(ISERROR(MATCH($AE439,INDIRECT(ORÇAMENTO.BancoRef),0)),"(Código não identificado nas referências)",MATCH($AE439,INDIRECT(ORÇAMENTO.BancoRef),0))))</f>
        <v>(abra o arquivo 'Referência 02-2025.xlsm)</v>
      </c>
      <c r="AG439" s="498">
        <f ca="1">ROUND(IF(DESONERACAO="sim",REFERENCIA.Desonerado,REFERENCIA.NaoDesonerado),2)</f>
        <v>0</v>
      </c>
      <c r="AH439" s="499">
        <f t="shared" ca="1" si="123"/>
        <v>0.22470000000000001</v>
      </c>
      <c r="AJ439" s="501">
        <v>2</v>
      </c>
      <c r="AL439" s="527"/>
      <c r="AM439" s="381">
        <f t="shared" ca="1" si="124"/>
        <v>0</v>
      </c>
      <c r="AN439" s="566">
        <f t="shared" ca="1" si="125"/>
        <v>0</v>
      </c>
    </row>
    <row r="440" spans="1:40" ht="38.25" x14ac:dyDescent="0.2">
      <c r="A440" t="str">
        <f t="shared" si="110"/>
        <v>S</v>
      </c>
      <c r="B440">
        <f t="shared" ca="1" si="111"/>
        <v>3</v>
      </c>
      <c r="C440" t="str">
        <f t="shared" ca="1" si="112"/>
        <v>S</v>
      </c>
      <c r="D440">
        <f t="shared" ca="1" si="113"/>
        <v>0</v>
      </c>
      <c r="E440">
        <f ca="1">IF($C440=1,OFFSET(E440,-1,0)+MAX(1,COUNTIF(QCI!$A$13:$A$24,OFFSET(ORÇAMENTO!E440,-1,0))),OFFSET(E440,-1,0))</f>
        <v>1</v>
      </c>
      <c r="F440">
        <f t="shared" ca="1" si="114"/>
        <v>16</v>
      </c>
      <c r="G440">
        <f t="shared" ca="1" si="115"/>
        <v>3</v>
      </c>
      <c r="H440">
        <f t="shared" ca="1" si="116"/>
        <v>0</v>
      </c>
      <c r="I440">
        <f t="shared" ca="1" si="117"/>
        <v>0</v>
      </c>
      <c r="J440">
        <f t="shared" ca="1" si="108"/>
        <v>0</v>
      </c>
      <c r="K440">
        <f ca="1">IF(OR($C440="S",$C440=0),0,MATCH(OFFSET($D440,0,$C440)+IF($C440&lt;&gt;1,1,COUNTIF(QCI!$A$13:$A$24,ORÇAMENTO!E440)),OFFSET($D440,1,$C440,ROW($C$747)-ROW($C440)),0))</f>
        <v>0</v>
      </c>
      <c r="L440" s="116" t="str">
        <f t="shared" ca="1" si="118"/>
        <v/>
      </c>
      <c r="M440" s="117" t="s">
        <v>199</v>
      </c>
      <c r="N440" s="118" t="str">
        <f t="shared" ca="1" si="119"/>
        <v>Serviço</v>
      </c>
      <c r="O440" s="119" t="str">
        <f t="shared" ca="1" si="120"/>
        <v>-</v>
      </c>
      <c r="P440" s="120" t="s">
        <v>712</v>
      </c>
      <c r="Q440" s="121" t="s">
        <v>942</v>
      </c>
      <c r="R440" s="122" t="str">
        <f ca="1">IF($C440="S",REFERENCIA.Descricao,"(digite a descrição aqui)")</f>
        <v>(abra o arquivo 'Referência 02-2025.xlsm)</v>
      </c>
      <c r="S440" s="123" t="str">
        <f ca="1">REFERENCIA.Unidade</f>
        <v>-</v>
      </c>
      <c r="T440" s="124">
        <f ca="1">OFFSET(CÁLCULO!H$15,ROW($T440)-ROW(T$15),0)</f>
        <v>2</v>
      </c>
      <c r="U440" s="125">
        <f t="shared" ca="1" si="109"/>
        <v>0</v>
      </c>
      <c r="V440" s="126" t="s">
        <v>156</v>
      </c>
      <c r="W440" s="124">
        <f ca="1">IF($C440="S",ROUND(IF(TIPOORCAMENTO="Proposto",ORÇAMENTO.CustoUnitario*(1+$AH440),ORÇAMENTO.PrecoUnitarioLicitado),15-13*$AF$10),0)</f>
        <v>0</v>
      </c>
      <c r="X440" s="127">
        <f ca="1">IF($C440="S",IF(Import.TipoArredondamento&lt;&gt;"TransfereGOV",VTOTAL1,SUM(OFFSET(CÁLCULO!$AA$15,ROW($X440)-ROW($X$15),1):OFFSET(CÁLCULO!$AL$15,ROW($X440)-ROW($X$15),-1))),IF($C440=0,0,ROUND(SomaAgrup,15-13*$AF$11)))</f>
        <v>0</v>
      </c>
      <c r="Y440" s="128" t="s">
        <v>245</v>
      </c>
      <c r="Z440" t="str">
        <f t="shared" ca="1" si="121"/>
        <v/>
      </c>
      <c r="AA440" s="129">
        <f ca="1">IF($C440="S",IF($Z440="CP",$X440,IF($Z440="RA",(($X440)*QCI!$AA$3),0)),SomaAgrup)</f>
        <v>0</v>
      </c>
      <c r="AB440" s="130">
        <f t="shared" ca="1" si="122"/>
        <v>0</v>
      </c>
      <c r="AC440" s="131" t="str">
        <f ca="1">IF($N440="","",IF(ORÇAMENTO.Descricao="","DESCRIÇÃO",IF(AND($C440="S",ORÇAMENTO.Unidade=""),"UNIDADE",IF($X440&lt;0,"VALOR NEGATIVO",IF(OR(AND(TIPOORCAMENTO="Proposto",$AG440&lt;&gt;"",$AG440&gt;0,ORÇAMENTO.CustoUnitario&gt;$AG440),AND(TIPOORCAMENTO="LICITADO",ORÇAMENTO.PrecoUnitarioLicitado&gt;$AN440)),"ACIMA REF.","")))))</f>
        <v/>
      </c>
      <c r="AD440" t="str">
        <f ca="1">IF(C440&lt;=CRONO.NivelExibicao,MAX($AD$15:OFFSET(AD440,-1,0))+IF($C440&lt;&gt;1,1,MAX(1,COUNTIF(QCI!$A$13:$A$24,OFFSET($E440,-1,0)))),"")</f>
        <v/>
      </c>
      <c r="AE440" s="7" t="str">
        <f ca="1">IF(AND($C440="S",ORÇAMENTO.CodBarra&lt;&gt;""),IF(ORÇAMENTO.Fonte="",ORÇAMENTO.CodBarra,CONCATENATE(ORÇAMENTO.Fonte," ",ORÇAMENTO.CodBarra)))</f>
        <v>Composição FNDE 261</v>
      </c>
      <c r="AF440" s="13" t="str">
        <f ca="1">IF(ISERROR(INDIRECT(ORÇAMENTO.BancoRef)),"(abra o arquivo 'Referência "&amp;Excel_BuiltIn_Database&amp;".xlsm)",IF(OR($C440&lt;&gt;"S",ORÇAMENTO.CodBarra=""),"(Sem Código)",IF(ISERROR(MATCH($AE440,INDIRECT(ORÇAMENTO.BancoRef),0)),"(Código não identificado nas referências)",MATCH($AE440,INDIRECT(ORÇAMENTO.BancoRef),0))))</f>
        <v>(abra o arquivo 'Referência 02-2025.xlsm)</v>
      </c>
      <c r="AG440" s="498">
        <f ca="1">ROUND(IF(DESONERACAO="sim",REFERENCIA.Desonerado,REFERENCIA.NaoDesonerado),2)</f>
        <v>0</v>
      </c>
      <c r="AH440" s="499">
        <f t="shared" ca="1" si="123"/>
        <v>0.22470000000000001</v>
      </c>
      <c r="AJ440" s="501">
        <v>2</v>
      </c>
      <c r="AL440" s="527"/>
      <c r="AM440" s="381">
        <f t="shared" ca="1" si="124"/>
        <v>0</v>
      </c>
      <c r="AN440" s="566">
        <f t="shared" ca="1" si="125"/>
        <v>0</v>
      </c>
    </row>
    <row r="441" spans="1:40" ht="25.5" x14ac:dyDescent="0.2">
      <c r="A441" t="str">
        <f t="shared" si="110"/>
        <v>S</v>
      </c>
      <c r="B441">
        <f t="shared" ca="1" si="111"/>
        <v>3</v>
      </c>
      <c r="C441" t="str">
        <f t="shared" ca="1" si="112"/>
        <v>S</v>
      </c>
      <c r="D441">
        <f t="shared" ca="1" si="113"/>
        <v>0</v>
      </c>
      <c r="E441">
        <f ca="1">IF($C441=1,OFFSET(E441,-1,0)+MAX(1,COUNTIF(QCI!$A$13:$A$24,OFFSET(ORÇAMENTO!E441,-1,0))),OFFSET(E441,-1,0))</f>
        <v>1</v>
      </c>
      <c r="F441">
        <f t="shared" ca="1" si="114"/>
        <v>16</v>
      </c>
      <c r="G441">
        <f t="shared" ca="1" si="115"/>
        <v>3</v>
      </c>
      <c r="H441">
        <f t="shared" ca="1" si="116"/>
        <v>0</v>
      </c>
      <c r="I441">
        <f t="shared" ca="1" si="117"/>
        <v>0</v>
      </c>
      <c r="J441">
        <f t="shared" ca="1" si="108"/>
        <v>0</v>
      </c>
      <c r="K441">
        <f ca="1">IF(OR($C441="S",$C441=0),0,MATCH(OFFSET($D441,0,$C441)+IF($C441&lt;&gt;1,1,COUNTIF(QCI!$A$13:$A$24,ORÇAMENTO!E441)),OFFSET($D441,1,$C441,ROW($C$747)-ROW($C441)),0))</f>
        <v>0</v>
      </c>
      <c r="L441" s="116" t="str">
        <f t="shared" ca="1" si="118"/>
        <v/>
      </c>
      <c r="M441" s="117" t="s">
        <v>199</v>
      </c>
      <c r="N441" s="118" t="str">
        <f t="shared" ca="1" si="119"/>
        <v>Serviço</v>
      </c>
      <c r="O441" s="119" t="str">
        <f t="shared" ca="1" si="120"/>
        <v>-</v>
      </c>
      <c r="P441" s="120" t="s">
        <v>247</v>
      </c>
      <c r="Q441" s="121" t="s">
        <v>630</v>
      </c>
      <c r="R441" s="122" t="str">
        <f ca="1">IF($C441="S",REFERENCIA.Descricao,"(digite a descrição aqui)")</f>
        <v>(abra o arquivo 'Referência 02-2025.xlsm)</v>
      </c>
      <c r="S441" s="123" t="str">
        <f ca="1">REFERENCIA.Unidade</f>
        <v>-</v>
      </c>
      <c r="T441" s="124">
        <f ca="1">OFFSET(CÁLCULO!H$15,ROW($T441)-ROW(T$15),0)</f>
        <v>1</v>
      </c>
      <c r="U441" s="125">
        <f t="shared" ca="1" si="109"/>
        <v>0</v>
      </c>
      <c r="V441" s="126" t="s">
        <v>156</v>
      </c>
      <c r="W441" s="124">
        <f ca="1">IF($C441="S",ROUND(IF(TIPOORCAMENTO="Proposto",ORÇAMENTO.CustoUnitario*(1+$AH441),ORÇAMENTO.PrecoUnitarioLicitado),15-13*$AF$10),0)</f>
        <v>0</v>
      </c>
      <c r="X441" s="127">
        <f ca="1">IF($C441="S",IF(Import.TipoArredondamento&lt;&gt;"TransfereGOV",VTOTAL1,SUM(OFFSET(CÁLCULO!$AA$15,ROW($X441)-ROW($X$15),1):OFFSET(CÁLCULO!$AL$15,ROW($X441)-ROW($X$15),-1))),IF($C441=0,0,ROUND(SomaAgrup,15-13*$AF$11)))</f>
        <v>0</v>
      </c>
      <c r="Y441" s="128" t="s">
        <v>245</v>
      </c>
      <c r="Z441" t="str">
        <f t="shared" ca="1" si="121"/>
        <v/>
      </c>
      <c r="AA441" s="129">
        <f ca="1">IF($C441="S",IF($Z441="CP",$X441,IF($Z441="RA",(($X441)*QCI!$AA$3),0)),SomaAgrup)</f>
        <v>0</v>
      </c>
      <c r="AB441" s="130">
        <f t="shared" ca="1" si="122"/>
        <v>0</v>
      </c>
      <c r="AC441" s="131" t="str">
        <f ca="1">IF($N441="","",IF(ORÇAMENTO.Descricao="","DESCRIÇÃO",IF(AND($C441="S",ORÇAMENTO.Unidade=""),"UNIDADE",IF($X441&lt;0,"VALOR NEGATIVO",IF(OR(AND(TIPOORCAMENTO="Proposto",$AG441&lt;&gt;"",$AG441&gt;0,ORÇAMENTO.CustoUnitario&gt;$AG441),AND(TIPOORCAMENTO="LICITADO",ORÇAMENTO.PrecoUnitarioLicitado&gt;$AN441)),"ACIMA REF.","")))))</f>
        <v/>
      </c>
      <c r="AD441" t="str">
        <f ca="1">IF(C441&lt;=CRONO.NivelExibicao,MAX($AD$15:OFFSET(AD441,-1,0))+IF($C441&lt;&gt;1,1,MAX(1,COUNTIF(QCI!$A$13:$A$24,OFFSET($E441,-1,0)))),"")</f>
        <v/>
      </c>
      <c r="AE441" s="7" t="str">
        <f ca="1">IF(AND($C441="S",ORÇAMENTO.CodBarra&lt;&gt;""),IF(ORÇAMENTO.Fonte="",ORÇAMENTO.CodBarra,CONCATENATE(ORÇAMENTO.Fonte," ",ORÇAMENTO.CodBarra)))</f>
        <v>SINAPI 101917</v>
      </c>
      <c r="AF441" s="13" t="str">
        <f ca="1">IF(ISERROR(INDIRECT(ORÇAMENTO.BancoRef)),"(abra o arquivo 'Referência "&amp;Excel_BuiltIn_Database&amp;".xlsm)",IF(OR($C441&lt;&gt;"S",ORÇAMENTO.CodBarra=""),"(Sem Código)",IF(ISERROR(MATCH($AE441,INDIRECT(ORÇAMENTO.BancoRef),0)),"(Código não identificado nas referências)",MATCH($AE441,INDIRECT(ORÇAMENTO.BancoRef),0))))</f>
        <v>(abra o arquivo 'Referência 02-2025.xlsm)</v>
      </c>
      <c r="AG441" s="498">
        <f ca="1">ROUND(IF(DESONERACAO="sim",REFERENCIA.Desonerado,REFERENCIA.NaoDesonerado),2)</f>
        <v>0</v>
      </c>
      <c r="AH441" s="499">
        <f t="shared" ca="1" si="123"/>
        <v>0.22470000000000001</v>
      </c>
      <c r="AJ441" s="501">
        <v>1</v>
      </c>
      <c r="AL441" s="527"/>
      <c r="AM441" s="381">
        <f t="shared" ca="1" si="124"/>
        <v>0</v>
      </c>
      <c r="AN441" s="566">
        <f t="shared" ca="1" si="125"/>
        <v>0</v>
      </c>
    </row>
    <row r="442" spans="1:40" ht="25.5" x14ac:dyDescent="0.2">
      <c r="A442" t="str">
        <f t="shared" si="110"/>
        <v>S</v>
      </c>
      <c r="B442">
        <f t="shared" ca="1" si="111"/>
        <v>3</v>
      </c>
      <c r="C442" t="str">
        <f t="shared" ca="1" si="112"/>
        <v>S</v>
      </c>
      <c r="D442">
        <f t="shared" ca="1" si="113"/>
        <v>0</v>
      </c>
      <c r="E442">
        <f ca="1">IF($C442=1,OFFSET(E442,-1,0)+MAX(1,COUNTIF(QCI!$A$13:$A$24,OFFSET(ORÇAMENTO!E442,-1,0))),OFFSET(E442,-1,0))</f>
        <v>1</v>
      </c>
      <c r="F442">
        <f t="shared" ca="1" si="114"/>
        <v>16</v>
      </c>
      <c r="G442">
        <f t="shared" ca="1" si="115"/>
        <v>3</v>
      </c>
      <c r="H442">
        <f t="shared" ca="1" si="116"/>
        <v>0</v>
      </c>
      <c r="I442">
        <f t="shared" ca="1" si="117"/>
        <v>0</v>
      </c>
      <c r="J442">
        <f t="shared" ca="1" si="108"/>
        <v>0</v>
      </c>
      <c r="K442">
        <f ca="1">IF(OR($C442="S",$C442=0),0,MATCH(OFFSET($D442,0,$C442)+IF($C442&lt;&gt;1,1,COUNTIF(QCI!$A$13:$A$24,ORÇAMENTO!E442)),OFFSET($D442,1,$C442,ROW($C$747)-ROW($C442)),0))</f>
        <v>0</v>
      </c>
      <c r="L442" s="116" t="str">
        <f t="shared" ca="1" si="118"/>
        <v/>
      </c>
      <c r="M442" s="117" t="s">
        <v>199</v>
      </c>
      <c r="N442" s="118" t="str">
        <f t="shared" ca="1" si="119"/>
        <v>Serviço</v>
      </c>
      <c r="O442" s="119" t="str">
        <f t="shared" ca="1" si="120"/>
        <v>-</v>
      </c>
      <c r="P442" s="120" t="s">
        <v>247</v>
      </c>
      <c r="Q442" s="121" t="s">
        <v>614</v>
      </c>
      <c r="R442" s="122" t="str">
        <f ca="1">IF($C442="S",REFERENCIA.Descricao,"(digite a descrição aqui)")</f>
        <v>(abra o arquivo 'Referência 02-2025.xlsm)</v>
      </c>
      <c r="S442" s="123" t="str">
        <f ca="1">REFERENCIA.Unidade</f>
        <v>-</v>
      </c>
      <c r="T442" s="124">
        <f ca="1">OFFSET(CÁLCULO!H$15,ROW($T442)-ROW(T$15),0)</f>
        <v>2</v>
      </c>
      <c r="U442" s="125">
        <f t="shared" ca="1" si="109"/>
        <v>0</v>
      </c>
      <c r="V442" s="126" t="s">
        <v>156</v>
      </c>
      <c r="W442" s="124">
        <f ca="1">IF($C442="S",ROUND(IF(TIPOORCAMENTO="Proposto",ORÇAMENTO.CustoUnitario*(1+$AH442),ORÇAMENTO.PrecoUnitarioLicitado),15-13*$AF$10),0)</f>
        <v>0</v>
      </c>
      <c r="X442" s="127">
        <f ca="1">IF($C442="S",IF(Import.TipoArredondamento&lt;&gt;"TransfereGOV",VTOTAL1,SUM(OFFSET(CÁLCULO!$AA$15,ROW($X442)-ROW($X$15),1):OFFSET(CÁLCULO!$AL$15,ROW($X442)-ROW($X$15),-1))),IF($C442=0,0,ROUND(SomaAgrup,15-13*$AF$11)))</f>
        <v>0</v>
      </c>
      <c r="Y442" s="128" t="s">
        <v>245</v>
      </c>
      <c r="Z442" t="str">
        <f t="shared" ca="1" si="121"/>
        <v/>
      </c>
      <c r="AA442" s="129">
        <f ca="1">IF($C442="S",IF($Z442="CP",$X442,IF($Z442="RA",(($X442)*QCI!$AA$3),0)),SomaAgrup)</f>
        <v>0</v>
      </c>
      <c r="AB442" s="130">
        <f t="shared" ca="1" si="122"/>
        <v>0</v>
      </c>
      <c r="AC442" s="131" t="str">
        <f ca="1">IF($N442="","",IF(ORÇAMENTO.Descricao="","DESCRIÇÃO",IF(AND($C442="S",ORÇAMENTO.Unidade=""),"UNIDADE",IF($X442&lt;0,"VALOR NEGATIVO",IF(OR(AND(TIPOORCAMENTO="Proposto",$AG442&lt;&gt;"",$AG442&gt;0,ORÇAMENTO.CustoUnitario&gt;$AG442),AND(TIPOORCAMENTO="LICITADO",ORÇAMENTO.PrecoUnitarioLicitado&gt;$AN442)),"ACIMA REF.","")))))</f>
        <v/>
      </c>
      <c r="AD442" t="str">
        <f ca="1">IF(C442&lt;=CRONO.NivelExibicao,MAX($AD$15:OFFSET(AD442,-1,0))+IF($C442&lt;&gt;1,1,MAX(1,COUNTIF(QCI!$A$13:$A$24,OFFSET($E442,-1,0)))),"")</f>
        <v/>
      </c>
      <c r="AE442" s="7" t="str">
        <f ca="1">IF(AND($C442="S",ORÇAMENTO.CodBarra&lt;&gt;""),IF(ORÇAMENTO.Fonte="",ORÇAMENTO.CodBarra,CONCATENATE(ORÇAMENTO.Fonte," ",ORÇAMENTO.CodBarra)))</f>
        <v>SINAPI 95249</v>
      </c>
      <c r="AF442" s="13" t="str">
        <f ca="1">IF(ISERROR(INDIRECT(ORÇAMENTO.BancoRef)),"(abra o arquivo 'Referência "&amp;Excel_BuiltIn_Database&amp;".xlsm)",IF(OR($C442&lt;&gt;"S",ORÇAMENTO.CodBarra=""),"(Sem Código)",IF(ISERROR(MATCH($AE442,INDIRECT(ORÇAMENTO.BancoRef),0)),"(Código não identificado nas referências)",MATCH($AE442,INDIRECT(ORÇAMENTO.BancoRef),0))))</f>
        <v>(abra o arquivo 'Referência 02-2025.xlsm)</v>
      </c>
      <c r="AG442" s="498">
        <f ca="1">ROUND(IF(DESONERACAO="sim",REFERENCIA.Desonerado,REFERENCIA.NaoDesonerado),2)</f>
        <v>0</v>
      </c>
      <c r="AH442" s="499">
        <f t="shared" ca="1" si="123"/>
        <v>0.22470000000000001</v>
      </c>
      <c r="AJ442" s="501">
        <v>2</v>
      </c>
      <c r="AL442" s="527"/>
      <c r="AM442" s="381">
        <f t="shared" ca="1" si="124"/>
        <v>0</v>
      </c>
      <c r="AN442" s="566">
        <f t="shared" ca="1" si="125"/>
        <v>0</v>
      </c>
    </row>
    <row r="443" spans="1:40" x14ac:dyDescent="0.2">
      <c r="A443" t="str">
        <f t="shared" si="110"/>
        <v>S</v>
      </c>
      <c r="B443">
        <f t="shared" ca="1" si="111"/>
        <v>3</v>
      </c>
      <c r="C443" t="str">
        <f t="shared" ca="1" si="112"/>
        <v>S</v>
      </c>
      <c r="D443">
        <f t="shared" ca="1" si="113"/>
        <v>0</v>
      </c>
      <c r="E443">
        <f ca="1">IF($C443=1,OFFSET(E443,-1,0)+MAX(1,COUNTIF(QCI!$A$13:$A$24,OFFSET(ORÇAMENTO!E443,-1,0))),OFFSET(E443,-1,0))</f>
        <v>1</v>
      </c>
      <c r="F443">
        <f t="shared" ca="1" si="114"/>
        <v>16</v>
      </c>
      <c r="G443">
        <f t="shared" ca="1" si="115"/>
        <v>3</v>
      </c>
      <c r="H443">
        <f t="shared" ca="1" si="116"/>
        <v>0</v>
      </c>
      <c r="I443">
        <f t="shared" ca="1" si="117"/>
        <v>0</v>
      </c>
      <c r="J443">
        <f t="shared" ca="1" si="108"/>
        <v>0</v>
      </c>
      <c r="K443">
        <f ca="1">IF(OR($C443="S",$C443=0),0,MATCH(OFFSET($D443,0,$C443)+IF($C443&lt;&gt;1,1,COUNTIF(QCI!$A$13:$A$24,ORÇAMENTO!E443)),OFFSET($D443,1,$C443,ROW($C$747)-ROW($C443)),0))</f>
        <v>0</v>
      </c>
      <c r="L443" s="116" t="str">
        <f t="shared" ca="1" si="118"/>
        <v/>
      </c>
      <c r="M443" s="117" t="s">
        <v>199</v>
      </c>
      <c r="N443" s="118" t="str">
        <f t="shared" ca="1" si="119"/>
        <v>Serviço</v>
      </c>
      <c r="O443" s="119" t="str">
        <f t="shared" ca="1" si="120"/>
        <v>-</v>
      </c>
      <c r="P443" s="120" t="s">
        <v>712</v>
      </c>
      <c r="Q443" s="121" t="s">
        <v>820</v>
      </c>
      <c r="R443" s="122" t="str">
        <f ca="1">IF($C443="S",REFERENCIA.Descricao,"(digite a descrição aqui)")</f>
        <v>(abra o arquivo 'Referência 02-2025.xlsm)</v>
      </c>
      <c r="S443" s="123" t="str">
        <f ca="1">REFERENCIA.Unidade</f>
        <v>-</v>
      </c>
      <c r="T443" s="124">
        <f ca="1">OFFSET(CÁLCULO!H$15,ROW($T443)-ROW(T$15),0)</f>
        <v>2</v>
      </c>
      <c r="U443" s="125">
        <f t="shared" ca="1" si="109"/>
        <v>0</v>
      </c>
      <c r="V443" s="126" t="s">
        <v>156</v>
      </c>
      <c r="W443" s="124">
        <f ca="1">IF($C443="S",ROUND(IF(TIPOORCAMENTO="Proposto",ORÇAMENTO.CustoUnitario*(1+$AH443),ORÇAMENTO.PrecoUnitarioLicitado),15-13*$AF$10),0)</f>
        <v>0</v>
      </c>
      <c r="X443" s="127">
        <f ca="1">IF($C443="S",IF(Import.TipoArredondamento&lt;&gt;"TransfereGOV",VTOTAL1,SUM(OFFSET(CÁLCULO!$AA$15,ROW($X443)-ROW($X$15),1):OFFSET(CÁLCULO!$AL$15,ROW($X443)-ROW($X$15),-1))),IF($C443=0,0,ROUND(SomaAgrup,15-13*$AF$11)))</f>
        <v>0</v>
      </c>
      <c r="Y443" s="128" t="s">
        <v>245</v>
      </c>
      <c r="Z443" t="str">
        <f t="shared" ca="1" si="121"/>
        <v/>
      </c>
      <c r="AA443" s="129">
        <f ca="1">IF($C443="S",IF($Z443="CP",$X443,IF($Z443="RA",(($X443)*QCI!$AA$3),0)),SomaAgrup)</f>
        <v>0</v>
      </c>
      <c r="AB443" s="130">
        <f t="shared" ca="1" si="122"/>
        <v>0</v>
      </c>
      <c r="AC443" s="131" t="str">
        <f ca="1">IF($N443="","",IF(ORÇAMENTO.Descricao="","DESCRIÇÃO",IF(AND($C443="S",ORÇAMENTO.Unidade=""),"UNIDADE",IF($X443&lt;0,"VALOR NEGATIVO",IF(OR(AND(TIPOORCAMENTO="Proposto",$AG443&lt;&gt;"",$AG443&gt;0,ORÇAMENTO.CustoUnitario&gt;$AG443),AND(TIPOORCAMENTO="LICITADO",ORÇAMENTO.PrecoUnitarioLicitado&gt;$AN443)),"ACIMA REF.","")))))</f>
        <v/>
      </c>
      <c r="AD443" t="str">
        <f ca="1">IF(C443&lt;=CRONO.NivelExibicao,MAX($AD$15:OFFSET(AD443,-1,0))+IF($C443&lt;&gt;1,1,MAX(1,COUNTIF(QCI!$A$13:$A$24,OFFSET($E443,-1,0)))),"")</f>
        <v/>
      </c>
      <c r="AE443" s="7" t="str">
        <f ca="1">IF(AND($C443="S",ORÇAMENTO.CodBarra&lt;&gt;""),IF(ORÇAMENTO.Fonte="",ORÇAMENTO.CodBarra,CONCATENATE(ORÇAMENTO.Fonte," ",ORÇAMENTO.CodBarra)))</f>
        <v>Composição FNDE 332</v>
      </c>
      <c r="AF443" s="13" t="str">
        <f ca="1">IF(ISERROR(INDIRECT(ORÇAMENTO.BancoRef)),"(abra o arquivo 'Referência "&amp;Excel_BuiltIn_Database&amp;".xlsm)",IF(OR($C443&lt;&gt;"S",ORÇAMENTO.CodBarra=""),"(Sem Código)",IF(ISERROR(MATCH($AE443,INDIRECT(ORÇAMENTO.BancoRef),0)),"(Código não identificado nas referências)",MATCH($AE443,INDIRECT(ORÇAMENTO.BancoRef),0))))</f>
        <v>(abra o arquivo 'Referência 02-2025.xlsm)</v>
      </c>
      <c r="AG443" s="498">
        <f ca="1">ROUND(IF(DESONERACAO="sim",REFERENCIA.Desonerado,REFERENCIA.NaoDesonerado),2)</f>
        <v>0</v>
      </c>
      <c r="AH443" s="499">
        <f t="shared" ca="1" si="123"/>
        <v>0.22470000000000001</v>
      </c>
      <c r="AJ443" s="501">
        <v>2</v>
      </c>
      <c r="AL443" s="527"/>
      <c r="AM443" s="381">
        <f t="shared" ca="1" si="124"/>
        <v>0</v>
      </c>
      <c r="AN443" s="566">
        <f t="shared" ca="1" si="125"/>
        <v>0</v>
      </c>
    </row>
    <row r="444" spans="1:40" x14ac:dyDescent="0.2">
      <c r="A444" t="str">
        <f t="shared" si="110"/>
        <v>S</v>
      </c>
      <c r="B444">
        <f t="shared" ca="1" si="111"/>
        <v>3</v>
      </c>
      <c r="C444" t="str">
        <f t="shared" ca="1" si="112"/>
        <v>S</v>
      </c>
      <c r="D444">
        <f t="shared" ca="1" si="113"/>
        <v>0</v>
      </c>
      <c r="E444">
        <f ca="1">IF($C444=1,OFFSET(E444,-1,0)+MAX(1,COUNTIF(QCI!$A$13:$A$24,OFFSET(ORÇAMENTO!E444,-1,0))),OFFSET(E444,-1,0))</f>
        <v>1</v>
      </c>
      <c r="F444">
        <f t="shared" ca="1" si="114"/>
        <v>16</v>
      </c>
      <c r="G444">
        <f t="shared" ca="1" si="115"/>
        <v>3</v>
      </c>
      <c r="H444">
        <f t="shared" ca="1" si="116"/>
        <v>0</v>
      </c>
      <c r="I444">
        <f t="shared" ca="1" si="117"/>
        <v>0</v>
      </c>
      <c r="J444">
        <f t="shared" ca="1" si="108"/>
        <v>0</v>
      </c>
      <c r="K444">
        <f ca="1">IF(OR($C444="S",$C444=0),0,MATCH(OFFSET($D444,0,$C444)+IF($C444&lt;&gt;1,1,COUNTIF(QCI!$A$13:$A$24,ORÇAMENTO!E444)),OFFSET($D444,1,$C444,ROW($C$747)-ROW($C444)),0))</f>
        <v>0</v>
      </c>
      <c r="L444" s="116" t="str">
        <f t="shared" ca="1" si="118"/>
        <v/>
      </c>
      <c r="M444" s="117" t="s">
        <v>199</v>
      </c>
      <c r="N444" s="118" t="str">
        <f t="shared" ca="1" si="119"/>
        <v>Serviço</v>
      </c>
      <c r="O444" s="119" t="str">
        <f t="shared" ca="1" si="120"/>
        <v>-</v>
      </c>
      <c r="P444" s="120" t="s">
        <v>712</v>
      </c>
      <c r="Q444" s="121" t="s">
        <v>821</v>
      </c>
      <c r="R444" s="122" t="str">
        <f ca="1">IF($C444="S",REFERENCIA.Descricao,"(digite a descrição aqui)")</f>
        <v>(abra o arquivo 'Referência 02-2025.xlsm)</v>
      </c>
      <c r="S444" s="123" t="str">
        <f ca="1">REFERENCIA.Unidade</f>
        <v>-</v>
      </c>
      <c r="T444" s="124">
        <f ca="1">OFFSET(CÁLCULO!H$15,ROW($T444)-ROW(T$15),0)</f>
        <v>3</v>
      </c>
      <c r="U444" s="125">
        <f t="shared" ca="1" si="109"/>
        <v>0</v>
      </c>
      <c r="V444" s="126" t="s">
        <v>156</v>
      </c>
      <c r="W444" s="124">
        <f ca="1">IF($C444="S",ROUND(IF(TIPOORCAMENTO="Proposto",ORÇAMENTO.CustoUnitario*(1+$AH444),ORÇAMENTO.PrecoUnitarioLicitado),15-13*$AF$10),0)</f>
        <v>0</v>
      </c>
      <c r="X444" s="127">
        <f ca="1">IF($C444="S",IF(Import.TipoArredondamento&lt;&gt;"TransfereGOV",VTOTAL1,SUM(OFFSET(CÁLCULO!$AA$15,ROW($X444)-ROW($X$15),1):OFFSET(CÁLCULO!$AL$15,ROW($X444)-ROW($X$15),-1))),IF($C444=0,0,ROUND(SomaAgrup,15-13*$AF$11)))</f>
        <v>0</v>
      </c>
      <c r="Y444" s="128" t="s">
        <v>245</v>
      </c>
      <c r="Z444" t="str">
        <f t="shared" ca="1" si="121"/>
        <v/>
      </c>
      <c r="AA444" s="129">
        <f ca="1">IF($C444="S",IF($Z444="CP",$X444,IF($Z444="RA",(($X444)*QCI!$AA$3),0)),SomaAgrup)</f>
        <v>0</v>
      </c>
      <c r="AB444" s="130">
        <f t="shared" ca="1" si="122"/>
        <v>0</v>
      </c>
      <c r="AC444" s="131" t="str">
        <f ca="1">IF($N444="","",IF(ORÇAMENTO.Descricao="","DESCRIÇÃO",IF(AND($C444="S",ORÇAMENTO.Unidade=""),"UNIDADE",IF($X444&lt;0,"VALOR NEGATIVO",IF(OR(AND(TIPOORCAMENTO="Proposto",$AG444&lt;&gt;"",$AG444&gt;0,ORÇAMENTO.CustoUnitario&gt;$AG444),AND(TIPOORCAMENTO="LICITADO",ORÇAMENTO.PrecoUnitarioLicitado&gt;$AN444)),"ACIMA REF.","")))))</f>
        <v/>
      </c>
      <c r="AD444" t="str">
        <f ca="1">IF(C444&lt;=CRONO.NivelExibicao,MAX($AD$15:OFFSET(AD444,-1,0))+IF($C444&lt;&gt;1,1,MAX(1,COUNTIF(QCI!$A$13:$A$24,OFFSET($E444,-1,0)))),"")</f>
        <v/>
      </c>
      <c r="AE444" s="7" t="str">
        <f ca="1">IF(AND($C444="S",ORÇAMENTO.CodBarra&lt;&gt;""),IF(ORÇAMENTO.Fonte="",ORÇAMENTO.CodBarra,CONCATENATE(ORÇAMENTO.Fonte," ",ORÇAMENTO.CodBarra)))</f>
        <v>Composição FNDE 112</v>
      </c>
      <c r="AF444" s="13" t="str">
        <f ca="1">IF(ISERROR(INDIRECT(ORÇAMENTO.BancoRef)),"(abra o arquivo 'Referência "&amp;Excel_BuiltIn_Database&amp;".xlsm)",IF(OR($C444&lt;&gt;"S",ORÇAMENTO.CodBarra=""),"(Sem Código)",IF(ISERROR(MATCH($AE444,INDIRECT(ORÇAMENTO.BancoRef),0)),"(Código não identificado nas referências)",MATCH($AE444,INDIRECT(ORÇAMENTO.BancoRef),0))))</f>
        <v>(abra o arquivo 'Referência 02-2025.xlsm)</v>
      </c>
      <c r="AG444" s="498">
        <f ca="1">ROUND(IF(DESONERACAO="sim",REFERENCIA.Desonerado,REFERENCIA.NaoDesonerado),2)</f>
        <v>0</v>
      </c>
      <c r="AH444" s="499">
        <f t="shared" ca="1" si="123"/>
        <v>0.22470000000000001</v>
      </c>
      <c r="AJ444" s="501">
        <v>3</v>
      </c>
      <c r="AL444" s="527"/>
      <c r="AM444" s="381">
        <f t="shared" ca="1" si="124"/>
        <v>0</v>
      </c>
      <c r="AN444" s="566">
        <f t="shared" ca="1" si="125"/>
        <v>0</v>
      </c>
    </row>
    <row r="445" spans="1:40" x14ac:dyDescent="0.2">
      <c r="A445" t="str">
        <f t="shared" si="110"/>
        <v>S</v>
      </c>
      <c r="B445">
        <f t="shared" ca="1" si="111"/>
        <v>3</v>
      </c>
      <c r="C445" t="str">
        <f t="shared" ca="1" si="112"/>
        <v>S</v>
      </c>
      <c r="D445">
        <f t="shared" ca="1" si="113"/>
        <v>0</v>
      </c>
      <c r="E445">
        <f ca="1">IF($C445=1,OFFSET(E445,-1,0)+MAX(1,COUNTIF(QCI!$A$13:$A$24,OFFSET(ORÇAMENTO!E445,-1,0))),OFFSET(E445,-1,0))</f>
        <v>1</v>
      </c>
      <c r="F445">
        <f t="shared" ca="1" si="114"/>
        <v>16</v>
      </c>
      <c r="G445">
        <f t="shared" ca="1" si="115"/>
        <v>3</v>
      </c>
      <c r="H445">
        <f t="shared" ca="1" si="116"/>
        <v>0</v>
      </c>
      <c r="I445">
        <f t="shared" ca="1" si="117"/>
        <v>0</v>
      </c>
      <c r="J445">
        <f t="shared" ca="1" si="108"/>
        <v>0</v>
      </c>
      <c r="K445">
        <f ca="1">IF(OR($C445="S",$C445=0),0,MATCH(OFFSET($D445,0,$C445)+IF($C445&lt;&gt;1,1,COUNTIF(QCI!$A$13:$A$24,ORÇAMENTO!E445)),OFFSET($D445,1,$C445,ROW($C$747)-ROW($C445)),0))</f>
        <v>0</v>
      </c>
      <c r="L445" s="116" t="str">
        <f t="shared" ca="1" si="118"/>
        <v/>
      </c>
      <c r="M445" s="117" t="s">
        <v>199</v>
      </c>
      <c r="N445" s="118" t="str">
        <f t="shared" ca="1" si="119"/>
        <v>Serviço</v>
      </c>
      <c r="O445" s="119" t="str">
        <f t="shared" ca="1" si="120"/>
        <v>-</v>
      </c>
      <c r="P445" s="120" t="s">
        <v>712</v>
      </c>
      <c r="Q445" s="121" t="s">
        <v>943</v>
      </c>
      <c r="R445" s="122" t="str">
        <f ca="1">IF($C445="S",REFERENCIA.Descricao,"(digite a descrição aqui)")</f>
        <v>(abra o arquivo 'Referência 02-2025.xlsm)</v>
      </c>
      <c r="S445" s="123" t="str">
        <f ca="1">REFERENCIA.Unidade</f>
        <v>-</v>
      </c>
      <c r="T445" s="124">
        <f ca="1">OFFSET(CÁLCULO!H$15,ROW($T445)-ROW(T$15),0)</f>
        <v>1</v>
      </c>
      <c r="U445" s="125">
        <f t="shared" ca="1" si="109"/>
        <v>0</v>
      </c>
      <c r="V445" s="126" t="s">
        <v>156</v>
      </c>
      <c r="W445" s="124">
        <f ca="1">IF($C445="S",ROUND(IF(TIPOORCAMENTO="Proposto",ORÇAMENTO.CustoUnitario*(1+$AH445),ORÇAMENTO.PrecoUnitarioLicitado),15-13*$AF$10),0)</f>
        <v>0</v>
      </c>
      <c r="X445" s="127">
        <f ca="1">IF($C445="S",IF(Import.TipoArredondamento&lt;&gt;"TransfereGOV",VTOTAL1,SUM(OFFSET(CÁLCULO!$AA$15,ROW($X445)-ROW($X$15),1):OFFSET(CÁLCULO!$AL$15,ROW($X445)-ROW($X$15),-1))),IF($C445=0,0,ROUND(SomaAgrup,15-13*$AF$11)))</f>
        <v>0</v>
      </c>
      <c r="Y445" s="128" t="s">
        <v>245</v>
      </c>
      <c r="Z445" t="str">
        <f t="shared" ca="1" si="121"/>
        <v/>
      </c>
      <c r="AA445" s="129">
        <f ca="1">IF($C445="S",IF($Z445="CP",$X445,IF($Z445="RA",(($X445)*QCI!$AA$3),0)),SomaAgrup)</f>
        <v>0</v>
      </c>
      <c r="AB445" s="130">
        <f t="shared" ca="1" si="122"/>
        <v>0</v>
      </c>
      <c r="AC445" s="131" t="str">
        <f ca="1">IF($N445="","",IF(ORÇAMENTO.Descricao="","DESCRIÇÃO",IF(AND($C445="S",ORÇAMENTO.Unidade=""),"UNIDADE",IF($X445&lt;0,"VALOR NEGATIVO",IF(OR(AND(TIPOORCAMENTO="Proposto",$AG445&lt;&gt;"",$AG445&gt;0,ORÇAMENTO.CustoUnitario&gt;$AG445),AND(TIPOORCAMENTO="LICITADO",ORÇAMENTO.PrecoUnitarioLicitado&gt;$AN445)),"ACIMA REF.","")))))</f>
        <v/>
      </c>
      <c r="AD445" t="str">
        <f ca="1">IF(C445&lt;=CRONO.NivelExibicao,MAX($AD$15:OFFSET(AD445,-1,0))+IF($C445&lt;&gt;1,1,MAX(1,COUNTIF(QCI!$A$13:$A$24,OFFSET($E445,-1,0)))),"")</f>
        <v/>
      </c>
      <c r="AE445" s="7" t="str">
        <f ca="1">IF(AND($C445="S",ORÇAMENTO.CodBarra&lt;&gt;""),IF(ORÇAMENTO.Fonte="",ORÇAMENTO.CodBarra,CONCATENATE(ORÇAMENTO.Fonte," ",ORÇAMENTO.CodBarra)))</f>
        <v>Composição FNDE 113</v>
      </c>
      <c r="AF445" s="13" t="str">
        <f ca="1">IF(ISERROR(INDIRECT(ORÇAMENTO.BancoRef)),"(abra o arquivo 'Referência "&amp;Excel_BuiltIn_Database&amp;".xlsm)",IF(OR($C445&lt;&gt;"S",ORÇAMENTO.CodBarra=""),"(Sem Código)",IF(ISERROR(MATCH($AE445,INDIRECT(ORÇAMENTO.BancoRef),0)),"(Código não identificado nas referências)",MATCH($AE445,INDIRECT(ORÇAMENTO.BancoRef),0))))</f>
        <v>(abra o arquivo 'Referência 02-2025.xlsm)</v>
      </c>
      <c r="AG445" s="498">
        <f ca="1">ROUND(IF(DESONERACAO="sim",REFERENCIA.Desonerado,REFERENCIA.NaoDesonerado),2)</f>
        <v>0</v>
      </c>
      <c r="AH445" s="499">
        <f t="shared" ca="1" si="123"/>
        <v>0.22470000000000001</v>
      </c>
      <c r="AJ445" s="501">
        <v>1</v>
      </c>
      <c r="AL445" s="527"/>
      <c r="AM445" s="381">
        <f t="shared" ca="1" si="124"/>
        <v>0</v>
      </c>
      <c r="AN445" s="566">
        <f t="shared" ca="1" si="125"/>
        <v>0</v>
      </c>
    </row>
    <row r="446" spans="1:40" x14ac:dyDescent="0.2">
      <c r="A446" t="str">
        <f t="shared" si="110"/>
        <v>S</v>
      </c>
      <c r="B446">
        <f t="shared" ca="1" si="111"/>
        <v>3</v>
      </c>
      <c r="C446" t="str">
        <f t="shared" ca="1" si="112"/>
        <v>S</v>
      </c>
      <c r="D446">
        <f t="shared" ca="1" si="113"/>
        <v>0</v>
      </c>
      <c r="E446">
        <f ca="1">IF($C446=1,OFFSET(E446,-1,0)+MAX(1,COUNTIF(QCI!$A$13:$A$24,OFFSET(ORÇAMENTO!E446,-1,0))),OFFSET(E446,-1,0))</f>
        <v>1</v>
      </c>
      <c r="F446">
        <f t="shared" ca="1" si="114"/>
        <v>16</v>
      </c>
      <c r="G446">
        <f t="shared" ca="1" si="115"/>
        <v>3</v>
      </c>
      <c r="H446">
        <f t="shared" ca="1" si="116"/>
        <v>0</v>
      </c>
      <c r="I446">
        <f t="shared" ca="1" si="117"/>
        <v>0</v>
      </c>
      <c r="J446">
        <f t="shared" ca="1" si="108"/>
        <v>0</v>
      </c>
      <c r="K446">
        <f ca="1">IF(OR($C446="S",$C446=0),0,MATCH(OFFSET($D446,0,$C446)+IF($C446&lt;&gt;1,1,COUNTIF(QCI!$A$13:$A$24,ORÇAMENTO!E446)),OFFSET($D446,1,$C446,ROW($C$747)-ROW($C446)),0))</f>
        <v>0</v>
      </c>
      <c r="L446" s="116" t="str">
        <f t="shared" ca="1" si="118"/>
        <v/>
      </c>
      <c r="M446" s="117" t="s">
        <v>199</v>
      </c>
      <c r="N446" s="118" t="str">
        <f t="shared" ca="1" si="119"/>
        <v>Serviço</v>
      </c>
      <c r="O446" s="119" t="str">
        <f t="shared" ca="1" si="120"/>
        <v>-</v>
      </c>
      <c r="P446" s="120" t="s">
        <v>712</v>
      </c>
      <c r="Q446" s="121" t="s">
        <v>944</v>
      </c>
      <c r="R446" s="122" t="str">
        <f ca="1">IF($C446="S",REFERENCIA.Descricao,"(digite a descrição aqui)")</f>
        <v>(abra o arquivo 'Referência 02-2025.xlsm)</v>
      </c>
      <c r="S446" s="123" t="str">
        <f ca="1">REFERENCIA.Unidade</f>
        <v>-</v>
      </c>
      <c r="T446" s="124">
        <f ca="1">OFFSET(CÁLCULO!H$15,ROW($T446)-ROW(T$15),0)</f>
        <v>1</v>
      </c>
      <c r="U446" s="125">
        <f t="shared" ca="1" si="109"/>
        <v>0</v>
      </c>
      <c r="V446" s="126" t="s">
        <v>156</v>
      </c>
      <c r="W446" s="124">
        <f ca="1">IF($C446="S",ROUND(IF(TIPOORCAMENTO="Proposto",ORÇAMENTO.CustoUnitario*(1+$AH446),ORÇAMENTO.PrecoUnitarioLicitado),15-13*$AF$10),0)</f>
        <v>0</v>
      </c>
      <c r="X446" s="127">
        <f ca="1">IF($C446="S",IF(Import.TipoArredondamento&lt;&gt;"TransfereGOV",VTOTAL1,SUM(OFFSET(CÁLCULO!$AA$15,ROW($X446)-ROW($X$15),1):OFFSET(CÁLCULO!$AL$15,ROW($X446)-ROW($X$15),-1))),IF($C446=0,0,ROUND(SomaAgrup,15-13*$AF$11)))</f>
        <v>0</v>
      </c>
      <c r="Y446" s="128" t="s">
        <v>245</v>
      </c>
      <c r="Z446" t="str">
        <f t="shared" ca="1" si="121"/>
        <v/>
      </c>
      <c r="AA446" s="129">
        <f ca="1">IF($C446="S",IF($Z446="CP",$X446,IF($Z446="RA",(($X446)*QCI!$AA$3),0)),SomaAgrup)</f>
        <v>0</v>
      </c>
      <c r="AB446" s="130">
        <f t="shared" ca="1" si="122"/>
        <v>0</v>
      </c>
      <c r="AC446" s="131" t="str">
        <f ca="1">IF($N446="","",IF(ORÇAMENTO.Descricao="","DESCRIÇÃO",IF(AND($C446="S",ORÇAMENTO.Unidade=""),"UNIDADE",IF($X446&lt;0,"VALOR NEGATIVO",IF(OR(AND(TIPOORCAMENTO="Proposto",$AG446&lt;&gt;"",$AG446&gt;0,ORÇAMENTO.CustoUnitario&gt;$AG446),AND(TIPOORCAMENTO="LICITADO",ORÇAMENTO.PrecoUnitarioLicitado&gt;$AN446)),"ACIMA REF.","")))))</f>
        <v/>
      </c>
      <c r="AD446" t="str">
        <f ca="1">IF(C446&lt;=CRONO.NivelExibicao,MAX($AD$15:OFFSET(AD446,-1,0))+IF($C446&lt;&gt;1,1,MAX(1,COUNTIF(QCI!$A$13:$A$24,OFFSET($E446,-1,0)))),"")</f>
        <v/>
      </c>
      <c r="AE446" s="7" t="str">
        <f ca="1">IF(AND($C446="S",ORÇAMENTO.CodBarra&lt;&gt;""),IF(ORÇAMENTO.Fonte="",ORÇAMENTO.CodBarra,CONCATENATE(ORÇAMENTO.Fonte," ",ORÇAMENTO.CodBarra)))</f>
        <v>Composição FNDE 114</v>
      </c>
      <c r="AF446" s="13" t="str">
        <f ca="1">IF(ISERROR(INDIRECT(ORÇAMENTO.BancoRef)),"(abra o arquivo 'Referência "&amp;Excel_BuiltIn_Database&amp;".xlsm)",IF(OR($C446&lt;&gt;"S",ORÇAMENTO.CodBarra=""),"(Sem Código)",IF(ISERROR(MATCH($AE446,INDIRECT(ORÇAMENTO.BancoRef),0)),"(Código não identificado nas referências)",MATCH($AE446,INDIRECT(ORÇAMENTO.BancoRef),0))))</f>
        <v>(abra o arquivo 'Referência 02-2025.xlsm)</v>
      </c>
      <c r="AG446" s="498">
        <f ca="1">ROUND(IF(DESONERACAO="sim",REFERENCIA.Desonerado,REFERENCIA.NaoDesonerado),2)</f>
        <v>0</v>
      </c>
      <c r="AH446" s="499">
        <f t="shared" ca="1" si="123"/>
        <v>0.22470000000000001</v>
      </c>
      <c r="AJ446" s="501">
        <v>1</v>
      </c>
      <c r="AL446" s="527"/>
      <c r="AM446" s="381">
        <f t="shared" ca="1" si="124"/>
        <v>0</v>
      </c>
      <c r="AN446" s="566">
        <f t="shared" ca="1" si="125"/>
        <v>0</v>
      </c>
    </row>
    <row r="447" spans="1:40" ht="25.5" x14ac:dyDescent="0.2">
      <c r="A447" t="str">
        <f t="shared" si="110"/>
        <v>S</v>
      </c>
      <c r="B447">
        <f t="shared" ca="1" si="111"/>
        <v>3</v>
      </c>
      <c r="C447" t="str">
        <f t="shared" ca="1" si="112"/>
        <v>S</v>
      </c>
      <c r="D447">
        <f t="shared" ca="1" si="113"/>
        <v>0</v>
      </c>
      <c r="E447">
        <f ca="1">IF($C447=1,OFFSET(E447,-1,0)+MAX(1,COUNTIF(QCI!$A$13:$A$24,OFFSET(ORÇAMENTO!E447,-1,0))),OFFSET(E447,-1,0))</f>
        <v>1</v>
      </c>
      <c r="F447">
        <f t="shared" ca="1" si="114"/>
        <v>16</v>
      </c>
      <c r="G447">
        <f t="shared" ca="1" si="115"/>
        <v>3</v>
      </c>
      <c r="H447">
        <f t="shared" ca="1" si="116"/>
        <v>0</v>
      </c>
      <c r="I447">
        <f t="shared" ca="1" si="117"/>
        <v>0</v>
      </c>
      <c r="J447">
        <f t="shared" ca="1" si="108"/>
        <v>0</v>
      </c>
      <c r="K447">
        <f ca="1">IF(OR($C447="S",$C447=0),0,MATCH(OFFSET($D447,0,$C447)+IF($C447&lt;&gt;1,1,COUNTIF(QCI!$A$13:$A$24,ORÇAMENTO!E447)),OFFSET($D447,1,$C447,ROW($C$747)-ROW($C447)),0))</f>
        <v>0</v>
      </c>
      <c r="L447" s="116" t="str">
        <f t="shared" ca="1" si="118"/>
        <v/>
      </c>
      <c r="M447" s="117" t="s">
        <v>199</v>
      </c>
      <c r="N447" s="118" t="str">
        <f t="shared" ca="1" si="119"/>
        <v>Serviço</v>
      </c>
      <c r="O447" s="119" t="str">
        <f t="shared" ca="1" si="120"/>
        <v>-</v>
      </c>
      <c r="P447" s="120" t="s">
        <v>1031</v>
      </c>
      <c r="Q447" s="121" t="s">
        <v>1030</v>
      </c>
      <c r="R447" s="122" t="str">
        <f ca="1">IF($C447="S",REFERENCIA.Descricao,"(digite a descrição aqui)")</f>
        <v>(abra o arquivo 'Referência 02-2025.xlsm)</v>
      </c>
      <c r="S447" s="123" t="str">
        <f ca="1">REFERENCIA.Unidade</f>
        <v>-</v>
      </c>
      <c r="T447" s="124">
        <f ca="1">OFFSET(CÁLCULO!H$15,ROW($T447)-ROW(T$15),0)</f>
        <v>2</v>
      </c>
      <c r="U447" s="125">
        <f t="shared" ca="1" si="109"/>
        <v>0</v>
      </c>
      <c r="V447" s="126" t="s">
        <v>156</v>
      </c>
      <c r="W447" s="124">
        <f ca="1">IF($C447="S",ROUND(IF(TIPOORCAMENTO="Proposto",ORÇAMENTO.CustoUnitario*(1+$AH447),ORÇAMENTO.PrecoUnitarioLicitado),15-13*$AF$10),0)</f>
        <v>0</v>
      </c>
      <c r="X447" s="127">
        <f ca="1">IF($C447="S",IF(Import.TipoArredondamento&lt;&gt;"TransfereGOV",VTOTAL1,SUM(OFFSET(CÁLCULO!$AA$15,ROW($X447)-ROW($X$15),1):OFFSET(CÁLCULO!$AL$15,ROW($X447)-ROW($X$15),-1))),IF($C447=0,0,ROUND(SomaAgrup,15-13*$AF$11)))</f>
        <v>0</v>
      </c>
      <c r="Y447" s="128" t="s">
        <v>245</v>
      </c>
      <c r="Z447" t="str">
        <f t="shared" ca="1" si="121"/>
        <v/>
      </c>
      <c r="AA447" s="129">
        <f ca="1">IF($C447="S",IF($Z447="CP",$X447,IF($Z447="RA",(($X447)*QCI!$AA$3),0)),SomaAgrup)</f>
        <v>0</v>
      </c>
      <c r="AB447" s="130">
        <f t="shared" ca="1" si="122"/>
        <v>0</v>
      </c>
      <c r="AC447" s="131" t="str">
        <f ca="1">IF($N447="","",IF(ORÇAMENTO.Descricao="","DESCRIÇÃO",IF(AND($C447="S",ORÇAMENTO.Unidade=""),"UNIDADE",IF($X447&lt;0,"VALOR NEGATIVO",IF(OR(AND(TIPOORCAMENTO="Proposto",$AG447&lt;&gt;"",$AG447&gt;0,ORÇAMENTO.CustoUnitario&gt;$AG447),AND(TIPOORCAMENTO="LICITADO",ORÇAMENTO.PrecoUnitarioLicitado&gt;$AN447)),"ACIMA REF.","")))))</f>
        <v/>
      </c>
      <c r="AD447" t="str">
        <f ca="1">IF(C447&lt;=CRONO.NivelExibicao,MAX($AD$15:OFFSET(AD447,-1,0))+IF($C447&lt;&gt;1,1,MAX(1,COUNTIF(QCI!$A$13:$A$24,OFFSET($E447,-1,0)))),"")</f>
        <v/>
      </c>
      <c r="AE447" s="7" t="str">
        <f ca="1">IF(AND($C447="S",ORÇAMENTO.CodBarra&lt;&gt;""),IF(ORÇAMENTO.Fonte="",ORÇAMENTO.CodBarra,CONCATENATE(ORÇAMENTO.Fonte," ",ORÇAMENTO.CodBarra)))</f>
        <v>SPObras 43.10.730</v>
      </c>
      <c r="AF447" s="13" t="str">
        <f ca="1">IF(ISERROR(INDIRECT(ORÇAMENTO.BancoRef)),"(abra o arquivo 'Referência "&amp;Excel_BuiltIn_Database&amp;".xlsm)",IF(OR($C447&lt;&gt;"S",ORÇAMENTO.CodBarra=""),"(Sem Código)",IF(ISERROR(MATCH($AE447,INDIRECT(ORÇAMENTO.BancoRef),0)),"(Código não identificado nas referências)",MATCH($AE447,INDIRECT(ORÇAMENTO.BancoRef),0))))</f>
        <v>(abra o arquivo 'Referência 02-2025.xlsm)</v>
      </c>
      <c r="AG447" s="498">
        <f ca="1">ROUND(IF(DESONERACAO="sim",REFERENCIA.Desonerado,REFERENCIA.NaoDesonerado),2)</f>
        <v>0</v>
      </c>
      <c r="AH447" s="499">
        <f t="shared" ca="1" si="123"/>
        <v>0.22470000000000001</v>
      </c>
      <c r="AJ447" s="501">
        <v>2</v>
      </c>
      <c r="AL447" s="527"/>
      <c r="AM447" s="381">
        <f t="shared" ca="1" si="124"/>
        <v>0</v>
      </c>
      <c r="AN447" s="566">
        <f t="shared" ca="1" si="125"/>
        <v>0</v>
      </c>
    </row>
    <row r="448" spans="1:40" ht="25.5" x14ac:dyDescent="0.2">
      <c r="A448" t="str">
        <f>CHOOSE(1+LOG(1+2*(ORÇAMENTO.Nivel="Meta")+4*(ORÇAMENTO.Nivel="Nível 2")+8*(ORÇAMENTO.Nivel="Nível 3")+16*(ORÇAMENTO.Nivel="Nível 4")+32*(ORÇAMENTO.Nivel="Serviço"),2),0,1,2,3,4,"S")</f>
        <v>S</v>
      </c>
      <c r="B448">
        <f ca="1">IF(OR(C448="s",C448=0),OFFSET(B448,-1,0),C448)</f>
        <v>3</v>
      </c>
      <c r="C448" t="str">
        <f ca="1">IF(OFFSET(C448,-1,0)="L",1,IF(OFFSET(C448,-1,0)=1,2,IF(OR(A448="s",A448=0),"S",IF(AND(OFFSET(C448,-1,0)=2,A448=4),3,IF(AND(OR(OFFSET(C448,-1,0)="s",OFFSET(C448,-1,0)=0),A448&lt;&gt;"s",A448&gt;OFFSET(B448,-1,0)),OFFSET(B448,-1,0),A448)))))</f>
        <v>S</v>
      </c>
      <c r="D448">
        <f ca="1">IF(OR(C448="S",C448=0),0,IF(ISERROR(K448),J448,SMALL(J448:K448,1)))</f>
        <v>0</v>
      </c>
      <c r="E448">
        <f ca="1">IF($C448=1,OFFSET(E448,-1,0)+MAX(1,COUNTIF(QCI!$A$13:$A$24,OFFSET(ORÇAMENTO!E448,-1,0))),OFFSET(E448,-1,0))</f>
        <v>1</v>
      </c>
      <c r="F448">
        <f ca="1">IF($C448=1,0,IF($C448=2,OFFSET(F448,-1,0)+1,OFFSET(F448,-1,0)))</f>
        <v>16</v>
      </c>
      <c r="G448">
        <f ca="1">IF(AND($C448&lt;=2,$C448&lt;&gt;0),0,IF($C448=3,OFFSET(G448,-1,0)+1,OFFSET(G448,-1,0)))</f>
        <v>3</v>
      </c>
      <c r="H448">
        <f ca="1">IF(AND($C448&lt;=3,$C448&lt;&gt;0),0,IF($C448=4,OFFSET(H448,-1,0)+1,OFFSET(H448,-1,0)))</f>
        <v>0</v>
      </c>
      <c r="I448">
        <f ca="1">IF(AND($C448&lt;=4,$C448&lt;&gt;0),0,IF(AND($C448="S",$X448&gt;0),OFFSET(I448,-1,0)+1,OFFSET(I448,-1,0)))</f>
        <v>0</v>
      </c>
      <c r="J448">
        <f t="shared" ca="1" si="108"/>
        <v>0</v>
      </c>
      <c r="K448">
        <f ca="1">IF(OR($C448="S",$C448=0),0,MATCH(OFFSET($D448,0,$C448)+IF($C448&lt;&gt;1,1,COUNTIF(QCI!$A$13:$A$24,ORÇAMENTO!E448)),OFFSET($D448,1,$C448,ROW($C$747)-ROW($C448)),0))</f>
        <v>0</v>
      </c>
      <c r="L448" s="116" t="str">
        <f ca="1">IF(OR($X448&gt;0,$C448=1,$C448=2,$C448=3,$C448=4),"F","")</f>
        <v/>
      </c>
      <c r="M448" s="117" t="s">
        <v>199</v>
      </c>
      <c r="N448" s="118" t="str">
        <f ca="1">CHOOSE(1+LOG(1+2*(C448=1)+4*(C448=2)+8*(C448=3)+16*(C448=4)+32*(C448="S"),2),"","Meta","Nível 2","Nível 3","Nível 4","Serviço")</f>
        <v>Serviço</v>
      </c>
      <c r="O448" s="119" t="str">
        <f ca="1">IF(OR($C448=0,$L448=""),"-",CONCATENATE(E448&amp;".",IF(AND($A$5&gt;=2,$C448&gt;=2),F448&amp;".",""),IF(AND($A$5&gt;=3,$C448&gt;=3),G448&amp;".",""),IF(AND($A$5&gt;=4,$C448&gt;=4),H448&amp;".",""),IF($C448="S",I448&amp;".","")))</f>
        <v>-</v>
      </c>
      <c r="P448" s="120" t="s">
        <v>712</v>
      </c>
      <c r="Q448" s="121" t="s">
        <v>945</v>
      </c>
      <c r="R448" s="122" t="str">
        <f ca="1">IF($C448="S",REFERENCIA.Descricao,"(digite a descrição aqui)")</f>
        <v>(abra o arquivo 'Referência 02-2025.xlsm)</v>
      </c>
      <c r="S448" s="123" t="str">
        <f ca="1">REFERENCIA.Unidade</f>
        <v>-</v>
      </c>
      <c r="T448" s="124">
        <f ca="1">OFFSET(CÁLCULO!H$15,ROW($T448)-ROW(T$15),0)</f>
        <v>1</v>
      </c>
      <c r="U448" s="125">
        <f t="shared" ca="1" si="109"/>
        <v>0</v>
      </c>
      <c r="V448" s="126" t="s">
        <v>156</v>
      </c>
      <c r="W448" s="124">
        <f ca="1">IF($C448="S",ROUND(IF(TIPOORCAMENTO="Proposto",ORÇAMENTO.CustoUnitario*(1+$AH448),ORÇAMENTO.PrecoUnitarioLicitado),15-13*$AF$10),0)</f>
        <v>0</v>
      </c>
      <c r="X448" s="127">
        <f ca="1">IF($C448="S",IF(Import.TipoArredondamento&lt;&gt;"TransfereGOV",VTOTAL1,SUM(OFFSET(CÁLCULO!$AA$15,ROW($X448)-ROW($X$15),1):OFFSET(CÁLCULO!$AL$15,ROW($X448)-ROW($X$15),-1))),IF($C448=0,0,ROUND(SomaAgrup,15-13*$AF$11)))</f>
        <v>0</v>
      </c>
      <c r="Y448" s="128" t="s">
        <v>245</v>
      </c>
      <c r="Z448" t="str">
        <f ca="1">IF(AND($C448="S",$X448&gt;0),IF(ISBLANK($Y448),"RA",LEFT($Y448,2)),"")</f>
        <v/>
      </c>
      <c r="AA448" s="129">
        <f ca="1">IF($C448="S",IF($Z448="CP",$X448,IF($Z448="RA",(($X448)*QCI!$AA$3),0)),SomaAgrup)</f>
        <v>0</v>
      </c>
      <c r="AB448" s="130">
        <f ca="1">IF($C448="S",IF($Z448="OU",ROUND($X448,2),0),SomaAgrup)</f>
        <v>0</v>
      </c>
      <c r="AC448" s="131" t="str">
        <f ca="1">IF($N448="","",IF(ORÇAMENTO.Descricao="","DESCRIÇÃO",IF(AND($C448="S",ORÇAMENTO.Unidade=""),"UNIDADE",IF($X448&lt;0,"VALOR NEGATIVO",IF(OR(AND(TIPOORCAMENTO="Proposto",$AG448&lt;&gt;"",$AG448&gt;0,ORÇAMENTO.CustoUnitario&gt;$AG448),AND(TIPOORCAMENTO="LICITADO",ORÇAMENTO.PrecoUnitarioLicitado&gt;$AN448)),"ACIMA REF.","")))))</f>
        <v/>
      </c>
      <c r="AD448" t="str">
        <f ca="1">IF(C448&lt;=CRONO.NivelExibicao,MAX($AD$15:OFFSET(AD448,-1,0))+IF($C448&lt;&gt;1,1,MAX(1,COUNTIF(QCI!$A$13:$A$24,OFFSET($E448,-1,0)))),"")</f>
        <v/>
      </c>
      <c r="AE448" s="7" t="str">
        <f ca="1">IF(AND($C448="S",ORÇAMENTO.CodBarra&lt;&gt;""),IF(ORÇAMENTO.Fonte="",ORÇAMENTO.CodBarra,CONCATENATE(ORÇAMENTO.Fonte," ",ORÇAMENTO.CodBarra)))</f>
        <v>Composição FNDE 603</v>
      </c>
      <c r="AF448" s="13" t="str">
        <f ca="1">IF(ISERROR(INDIRECT(ORÇAMENTO.BancoRef)),"(abra o arquivo 'Referência "&amp;Excel_BuiltIn_Database&amp;".xlsm)",IF(OR($C448&lt;&gt;"S",ORÇAMENTO.CodBarra=""),"(Sem Código)",IF(ISERROR(MATCH($AE448,INDIRECT(ORÇAMENTO.BancoRef),0)),"(Código não identificado nas referências)",MATCH($AE448,INDIRECT(ORÇAMENTO.BancoRef),0))))</f>
        <v>(abra o arquivo 'Referência 02-2025.xlsm)</v>
      </c>
      <c r="AG448" s="498">
        <f ca="1">ROUND(IF(DESONERACAO="sim",REFERENCIA.Desonerado,REFERENCIA.NaoDesonerado),2)</f>
        <v>0</v>
      </c>
      <c r="AH448" s="499">
        <f ca="1">ROUND(IF(ISNUMBER(ORÇAMENTO.OpcaoBDI),ORÇAMENTO.OpcaoBDI,IF(LEFT(ORÇAMENTO.OpcaoBDI,3)="BDI",HLOOKUP(ORÇAMENTO.OpcaoBDI,$F$4:$H$5,2,FALSE),0)),15-11*$AF$9)</f>
        <v>0.22470000000000001</v>
      </c>
      <c r="AJ448" s="501">
        <v>1</v>
      </c>
      <c r="AL448" s="527"/>
      <c r="AM448" s="381">
        <f t="shared" ca="1" si="124"/>
        <v>0</v>
      </c>
      <c r="AN448" s="566">
        <f ca="1">ROUND(ORÇAMENTO.CustoUnitario*(1+$AH448),2)</f>
        <v>0</v>
      </c>
    </row>
    <row r="449" spans="1:40" x14ac:dyDescent="0.2">
      <c r="A449">
        <f t="shared" si="110"/>
        <v>3</v>
      </c>
      <c r="B449">
        <f t="shared" ca="1" si="111"/>
        <v>3</v>
      </c>
      <c r="C449">
        <f t="shared" ca="1" si="112"/>
        <v>3</v>
      </c>
      <c r="D449">
        <f t="shared" ca="1" si="113"/>
        <v>34</v>
      </c>
      <c r="E449">
        <f ca="1">IF($C449=1,OFFSET(E449,-1,0)+MAX(1,COUNTIF(QCI!$A$13:$A$24,OFFSET(ORÇAMENTO!E449,-1,0))),OFFSET(E449,-1,0))</f>
        <v>1</v>
      </c>
      <c r="F449">
        <f t="shared" ca="1" si="114"/>
        <v>16</v>
      </c>
      <c r="G449">
        <f t="shared" ca="1" si="115"/>
        <v>4</v>
      </c>
      <c r="H449">
        <f t="shared" ca="1" si="116"/>
        <v>0</v>
      </c>
      <c r="I449">
        <f t="shared" ca="1" si="117"/>
        <v>0</v>
      </c>
      <c r="J449">
        <f t="shared" ca="1" si="108"/>
        <v>38</v>
      </c>
      <c r="K449">
        <f ca="1">IF(OR($C449="S",$C449=0),0,MATCH(OFFSET($D449,0,$C449)+IF($C449&lt;&gt;1,1,COUNTIF(QCI!$A$13:$A$24,ORÇAMENTO!E449)),OFFSET($D449,1,$C449,ROW($C$747)-ROW($C449)),0))</f>
        <v>34</v>
      </c>
      <c r="L449" s="116" t="str">
        <f t="shared" ca="1" si="118"/>
        <v>F</v>
      </c>
      <c r="M449" s="117" t="s">
        <v>197</v>
      </c>
      <c r="N449" s="118" t="str">
        <f t="shared" ca="1" si="119"/>
        <v>Nível 3</v>
      </c>
      <c r="O449" s="119" t="str">
        <f t="shared" ca="1" si="120"/>
        <v>1.16.4.</v>
      </c>
      <c r="P449" s="120" t="s">
        <v>247</v>
      </c>
      <c r="Q449" s="121"/>
      <c r="R449" s="122" t="str">
        <f ca="1">IF($C449="S",REFERENCIA.Descricao,"TUBULAÇÕES E CONEXÕES")</f>
        <v>TUBULAÇÕES E CONEXÕES</v>
      </c>
      <c r="S449" s="123" t="str">
        <f ca="1">REFERENCIA.Unidade</f>
        <v>-</v>
      </c>
      <c r="T449" s="124">
        <f ca="1">OFFSET(CÁLCULO!H$15,ROW($T449)-ROW(T$15),0)</f>
        <v>0</v>
      </c>
      <c r="U449" s="125">
        <f t="shared" ca="1" si="109"/>
        <v>0</v>
      </c>
      <c r="V449" s="126" t="s">
        <v>156</v>
      </c>
      <c r="W449" s="124">
        <f ca="1">IF($C449="S",ROUND(IF(TIPOORCAMENTO="Proposto",ORÇAMENTO.CustoUnitario*(1+$AH449),ORÇAMENTO.PrecoUnitarioLicitado),15-13*$AF$10),0)</f>
        <v>0</v>
      </c>
      <c r="X449" s="127">
        <f ca="1">IF($C449="S",IF(Import.TipoArredondamento&lt;&gt;"TransfereGOV",VTOTAL1,SUM(OFFSET(CÁLCULO!$AA$15,ROW($X449)-ROW($X$15),1):OFFSET(CÁLCULO!$AL$15,ROW($X449)-ROW($X$15),-1))),IF($C449=0,0,ROUND(SomaAgrup,15-13*$AF$11)))</f>
        <v>0</v>
      </c>
      <c r="Y449" s="128" t="s">
        <v>245</v>
      </c>
      <c r="Z449" t="str">
        <f t="shared" ca="1" si="121"/>
        <v/>
      </c>
      <c r="AA449" s="129">
        <f ca="1">IF($C449="S",IF($Z449="CP",$X449,IF($Z449="RA",(($X449)*QCI!$AA$3),0)),SomaAgrup)</f>
        <v>0</v>
      </c>
      <c r="AB449" s="130">
        <f t="shared" ca="1" si="122"/>
        <v>0</v>
      </c>
      <c r="AC449" s="131" t="str">
        <f ca="1">IF($N449="","",IF(ORÇAMENTO.Descricao="","DESCRIÇÃO",IF(AND($C449="S",ORÇAMENTO.Unidade=""),"UNIDADE",IF($X449&lt;0,"VALOR NEGATIVO",IF(OR(AND(TIPOORCAMENTO="Proposto",$AG449&lt;&gt;"",$AG449&gt;0,ORÇAMENTO.CustoUnitario&gt;$AG449),AND(TIPOORCAMENTO="LICITADO",ORÇAMENTO.PrecoUnitarioLicitado&gt;$AN449)),"ACIMA REF.","")))))</f>
        <v/>
      </c>
      <c r="AD449" t="str">
        <f ca="1">IF(C449&lt;=CRONO.NivelExibicao,MAX($AD$15:OFFSET(AD449,-1,0))+IF($C449&lt;&gt;1,1,MAX(1,COUNTIF(QCI!$A$13:$A$24,OFFSET($E449,-1,0)))),"")</f>
        <v/>
      </c>
      <c r="AE449" s="7" t="b">
        <f ca="1">IF(AND($C449="S",ORÇAMENTO.CodBarra&lt;&gt;""),IF(ORÇAMENTO.Fonte="",ORÇAMENTO.CodBarra,CONCATENATE(ORÇAMENTO.Fonte," ",ORÇAMENTO.CodBarra)))</f>
        <v>0</v>
      </c>
      <c r="AF449" s="13" t="str">
        <f ca="1">IF(ISERROR(INDIRECT(ORÇAMENTO.BancoRef)),"(abra o arquivo 'Referência "&amp;Excel_BuiltIn_Database&amp;".xlsm)",IF(OR($C449&lt;&gt;"S",ORÇAMENTO.CodBarra=""),"(Sem Código)",IF(ISERROR(MATCH($AE449,INDIRECT(ORÇAMENTO.BancoRef),0)),"(Código não identificado nas referências)",MATCH($AE449,INDIRECT(ORÇAMENTO.BancoRef),0))))</f>
        <v>(abra o arquivo 'Referência 02-2025.xlsm)</v>
      </c>
      <c r="AG449" s="498">
        <f ca="1">ROUND(IF(DESONERACAO="sim",REFERENCIA.Desonerado,REFERENCIA.NaoDesonerado),2)</f>
        <v>0</v>
      </c>
      <c r="AH449" s="499">
        <f t="shared" ca="1" si="123"/>
        <v>0.22470000000000001</v>
      </c>
      <c r="AJ449" s="501"/>
      <c r="AL449" s="527"/>
      <c r="AM449" s="381">
        <f t="shared" ca="1" si="124"/>
        <v>0</v>
      </c>
      <c r="AN449" s="566">
        <f t="shared" ca="1" si="125"/>
        <v>0</v>
      </c>
    </row>
    <row r="450" spans="1:40" ht="38.25" x14ac:dyDescent="0.2">
      <c r="A450" t="str">
        <f t="shared" ref="A450:A477" si="126">CHOOSE(1+LOG(1+2*(ORÇAMENTO.Nivel="Meta")+4*(ORÇAMENTO.Nivel="Nível 2")+8*(ORÇAMENTO.Nivel="Nível 3")+16*(ORÇAMENTO.Nivel="Nível 4")+32*(ORÇAMENTO.Nivel="Serviço"),2),0,1,2,3,4,"S")</f>
        <v>S</v>
      </c>
      <c r="B450">
        <f t="shared" ca="1" si="111"/>
        <v>3</v>
      </c>
      <c r="C450" t="str">
        <f t="shared" ca="1" si="112"/>
        <v>S</v>
      </c>
      <c r="D450">
        <f t="shared" ca="1" si="113"/>
        <v>0</v>
      </c>
      <c r="E450">
        <f ca="1">IF($C450=1,OFFSET(E450,-1,0)+MAX(1,COUNTIF(QCI!$A$13:$A$24,OFFSET(ORÇAMENTO!E450,-1,0))),OFFSET(E450,-1,0))</f>
        <v>1</v>
      </c>
      <c r="F450">
        <f t="shared" ca="1" si="114"/>
        <v>16</v>
      </c>
      <c r="G450">
        <f t="shared" ca="1" si="115"/>
        <v>4</v>
      </c>
      <c r="H450">
        <f t="shared" ca="1" si="116"/>
        <v>0</v>
      </c>
      <c r="I450">
        <f t="shared" ca="1" si="117"/>
        <v>0</v>
      </c>
      <c r="J450">
        <f t="shared" ca="1" si="108"/>
        <v>0</v>
      </c>
      <c r="K450">
        <f ca="1">IF(OR($C450="S",$C450=0),0,MATCH(OFFSET($D450,0,$C450)+IF($C450&lt;&gt;1,1,COUNTIF(QCI!$A$13:$A$24,ORÇAMENTO!E450)),OFFSET($D450,1,$C450,ROW($C$747)-ROW($C450)),0))</f>
        <v>0</v>
      </c>
      <c r="L450" s="116" t="str">
        <f t="shared" ca="1" si="118"/>
        <v/>
      </c>
      <c r="M450" s="117" t="s">
        <v>199</v>
      </c>
      <c r="N450" s="118" t="str">
        <f t="shared" ca="1" si="119"/>
        <v>Serviço</v>
      </c>
      <c r="O450" s="119" t="str">
        <f t="shared" ca="1" si="120"/>
        <v>-</v>
      </c>
      <c r="P450" s="120" t="s">
        <v>247</v>
      </c>
      <c r="Q450" s="121" t="s">
        <v>633</v>
      </c>
      <c r="R450" s="122" t="str">
        <f ca="1">IF($C450="S",REFERENCIA.Descricao,"(digite a descrição aqui)")</f>
        <v>(abra o arquivo 'Referência 02-2025.xlsm)</v>
      </c>
      <c r="S450" s="123" t="str">
        <f ca="1">REFERENCIA.Unidade</f>
        <v>-</v>
      </c>
      <c r="T450" s="124">
        <f ca="1">OFFSET(CÁLCULO!H$15,ROW($T450)-ROW(T$15),0)</f>
        <v>0.54</v>
      </c>
      <c r="U450" s="125">
        <f t="shared" ca="1" si="109"/>
        <v>0</v>
      </c>
      <c r="V450" s="126" t="s">
        <v>156</v>
      </c>
      <c r="W450" s="124">
        <f ca="1">IF($C450="S",ROUND(IF(TIPOORCAMENTO="Proposto",ORÇAMENTO.CustoUnitario*(1+$AH450),ORÇAMENTO.PrecoUnitarioLicitado),15-13*$AF$10),0)</f>
        <v>0</v>
      </c>
      <c r="X450" s="127">
        <f ca="1">IF($C450="S",IF(Import.TipoArredondamento&lt;&gt;"TransfereGOV",VTOTAL1,SUM(OFFSET(CÁLCULO!$AA$15,ROW($X450)-ROW($X$15),1):OFFSET(CÁLCULO!$AL$15,ROW($X450)-ROW($X$15),-1))),IF($C450=0,0,ROUND(SomaAgrup,15-13*$AF$11)))</f>
        <v>0</v>
      </c>
      <c r="Y450" s="128" t="s">
        <v>245</v>
      </c>
      <c r="Z450" t="str">
        <f t="shared" ca="1" si="121"/>
        <v/>
      </c>
      <c r="AA450" s="129">
        <f ca="1">IF($C450="S",IF($Z450="CP",$X450,IF($Z450="RA",(($X450)*QCI!$AA$3),0)),SomaAgrup)</f>
        <v>0</v>
      </c>
      <c r="AB450" s="130">
        <f t="shared" ref="AB450:AB477" ca="1" si="127">IF($C450="S",IF($Z450="OU",ROUND($X450,2),0),SomaAgrup)</f>
        <v>0</v>
      </c>
      <c r="AC450" s="131" t="str">
        <f ca="1">IF($N450="","",IF(ORÇAMENTO.Descricao="","DESCRIÇÃO",IF(AND($C450="S",ORÇAMENTO.Unidade=""),"UNIDADE",IF($X450&lt;0,"VALOR NEGATIVO",IF(OR(AND(TIPOORCAMENTO="Proposto",$AG450&lt;&gt;"",$AG450&gt;0,ORÇAMENTO.CustoUnitario&gt;$AG450),AND(TIPOORCAMENTO="LICITADO",ORÇAMENTO.PrecoUnitarioLicitado&gt;$AN450)),"ACIMA REF.","")))))</f>
        <v/>
      </c>
      <c r="AD450" t="str">
        <f ca="1">IF(C450&lt;=CRONO.NivelExibicao,MAX($AD$15:OFFSET(AD450,-1,0))+IF($C450&lt;&gt;1,1,MAX(1,COUNTIF(QCI!$A$13:$A$24,OFFSET($E450,-1,0)))),"")</f>
        <v/>
      </c>
      <c r="AE450" s="7" t="str">
        <f ca="1">IF(AND($C450="S",ORÇAMENTO.CodBarra&lt;&gt;""),IF(ORÇAMENTO.Fonte="",ORÇAMENTO.CodBarra,CONCATENATE(ORÇAMENTO.Fonte," ",ORÇAMENTO.CodBarra)))</f>
        <v>SINAPI 97498</v>
      </c>
      <c r="AF450" s="13" t="str">
        <f ca="1">IF(ISERROR(INDIRECT(ORÇAMENTO.BancoRef)),"(abra o arquivo 'Referência "&amp;Excel_BuiltIn_Database&amp;".xlsm)",IF(OR($C450&lt;&gt;"S",ORÇAMENTO.CodBarra=""),"(Sem Código)",IF(ISERROR(MATCH($AE450,INDIRECT(ORÇAMENTO.BancoRef),0)),"(Código não identificado nas referências)",MATCH($AE450,INDIRECT(ORÇAMENTO.BancoRef),0))))</f>
        <v>(abra o arquivo 'Referência 02-2025.xlsm)</v>
      </c>
      <c r="AG450" s="498">
        <f ca="1">ROUND(IF(DESONERACAO="sim",REFERENCIA.Desonerado,REFERENCIA.NaoDesonerado),2)</f>
        <v>0</v>
      </c>
      <c r="AH450" s="499">
        <f t="shared" ref="AH450:AH477" ca="1" si="128">ROUND(IF(ISNUMBER(ORÇAMENTO.OpcaoBDI),ORÇAMENTO.OpcaoBDI,IF(LEFT(ORÇAMENTO.OpcaoBDI,3)="BDI",HLOOKUP(ORÇAMENTO.OpcaoBDI,$F$4:$H$5,2,FALSE),0)),15-11*$AF$9)</f>
        <v>0.22470000000000001</v>
      </c>
      <c r="AJ450" s="501">
        <v>0.54</v>
      </c>
      <c r="AL450" s="527"/>
      <c r="AM450" s="381">
        <f t="shared" ca="1" si="124"/>
        <v>0</v>
      </c>
      <c r="AN450" s="566">
        <f t="shared" ref="AN450:AN477" ca="1" si="129">ROUND(ORÇAMENTO.CustoUnitario*(1+$AH450),2)</f>
        <v>0</v>
      </c>
    </row>
    <row r="451" spans="1:40" ht="51" x14ac:dyDescent="0.2">
      <c r="A451" t="str">
        <f t="shared" si="126"/>
        <v>S</v>
      </c>
      <c r="B451">
        <f t="shared" ca="1" si="111"/>
        <v>3</v>
      </c>
      <c r="C451" t="str">
        <f t="shared" ca="1" si="112"/>
        <v>S</v>
      </c>
      <c r="D451">
        <f t="shared" ca="1" si="113"/>
        <v>0</v>
      </c>
      <c r="E451">
        <f ca="1">IF($C451=1,OFFSET(E451,-1,0)+MAX(1,COUNTIF(QCI!$A$13:$A$24,OFFSET(ORÇAMENTO!E451,-1,0))),OFFSET(E451,-1,0))</f>
        <v>1</v>
      </c>
      <c r="F451">
        <f t="shared" ca="1" si="114"/>
        <v>16</v>
      </c>
      <c r="G451">
        <f t="shared" ca="1" si="115"/>
        <v>4</v>
      </c>
      <c r="H451">
        <f t="shared" ca="1" si="116"/>
        <v>0</v>
      </c>
      <c r="I451">
        <f t="shared" ca="1" si="117"/>
        <v>0</v>
      </c>
      <c r="J451">
        <f t="shared" ca="1" si="108"/>
        <v>0</v>
      </c>
      <c r="K451">
        <f ca="1">IF(OR($C451="S",$C451=0),0,MATCH(OFFSET($D451,0,$C451)+IF($C451&lt;&gt;1,1,COUNTIF(QCI!$A$13:$A$24,ORÇAMENTO!E451)),OFFSET($D451,1,$C451,ROW($C$747)-ROW($C451)),0))</f>
        <v>0</v>
      </c>
      <c r="L451" s="116" t="str">
        <f t="shared" ca="1" si="118"/>
        <v/>
      </c>
      <c r="M451" s="117" t="s">
        <v>199</v>
      </c>
      <c r="N451" s="118" t="str">
        <f t="shared" ca="1" si="119"/>
        <v>Serviço</v>
      </c>
      <c r="O451" s="119" t="str">
        <f t="shared" ca="1" si="120"/>
        <v>-</v>
      </c>
      <c r="P451" s="120" t="s">
        <v>247</v>
      </c>
      <c r="Q451" s="121" t="s">
        <v>634</v>
      </c>
      <c r="R451" s="122" t="str">
        <f ca="1">IF($C451="S",REFERENCIA.Descricao,"(digite a descrição aqui)")</f>
        <v>(abra o arquivo 'Referência 02-2025.xlsm)</v>
      </c>
      <c r="S451" s="123" t="str">
        <f ca="1">REFERENCIA.Unidade</f>
        <v>-</v>
      </c>
      <c r="T451" s="124">
        <f ca="1">OFFSET(CÁLCULO!H$15,ROW($T451)-ROW(T$15),0)</f>
        <v>0.22</v>
      </c>
      <c r="U451" s="125">
        <f t="shared" ca="1" si="109"/>
        <v>0</v>
      </c>
      <c r="V451" s="126" t="s">
        <v>156</v>
      </c>
      <c r="W451" s="124">
        <f ca="1">IF($C451="S",ROUND(IF(TIPOORCAMENTO="Proposto",ORÇAMENTO.CustoUnitario*(1+$AH451),ORÇAMENTO.PrecoUnitarioLicitado),15-13*$AF$10),0)</f>
        <v>0</v>
      </c>
      <c r="X451" s="127">
        <f ca="1">IF($C451="S",IF(Import.TipoArredondamento&lt;&gt;"TransfereGOV",VTOTAL1,SUM(OFFSET(CÁLCULO!$AA$15,ROW($X451)-ROW($X$15),1):OFFSET(CÁLCULO!$AL$15,ROW($X451)-ROW($X$15),-1))),IF($C451=0,0,ROUND(SomaAgrup,15-13*$AF$11)))</f>
        <v>0</v>
      </c>
      <c r="Y451" s="128" t="s">
        <v>245</v>
      </c>
      <c r="Z451" t="str">
        <f t="shared" ca="1" si="121"/>
        <v/>
      </c>
      <c r="AA451" s="129">
        <f ca="1">IF($C451="S",IF($Z451="CP",$X451,IF($Z451="RA",(($X451)*QCI!$AA$3),0)),SomaAgrup)</f>
        <v>0</v>
      </c>
      <c r="AB451" s="130">
        <f t="shared" ca="1" si="127"/>
        <v>0</v>
      </c>
      <c r="AC451" s="131" t="str">
        <f ca="1">IF($N451="","",IF(ORÇAMENTO.Descricao="","DESCRIÇÃO",IF(AND($C451="S",ORÇAMENTO.Unidade=""),"UNIDADE",IF($X451&lt;0,"VALOR NEGATIVO",IF(OR(AND(TIPOORCAMENTO="Proposto",$AG451&lt;&gt;"",$AG451&gt;0,ORÇAMENTO.CustoUnitario&gt;$AG451),AND(TIPOORCAMENTO="LICITADO",ORÇAMENTO.PrecoUnitarioLicitado&gt;$AN451)),"ACIMA REF.","")))))</f>
        <v/>
      </c>
      <c r="AD451" t="str">
        <f ca="1">IF(C451&lt;=CRONO.NivelExibicao,MAX($AD$15:OFFSET(AD451,-1,0))+IF($C451&lt;&gt;1,1,MAX(1,COUNTIF(QCI!$A$13:$A$24,OFFSET($E451,-1,0)))),"")</f>
        <v/>
      </c>
      <c r="AE451" s="7" t="str">
        <f ca="1">IF(AND($C451="S",ORÇAMENTO.CodBarra&lt;&gt;""),IF(ORÇAMENTO.Fonte="",ORÇAMENTO.CodBarra,CONCATENATE(ORÇAMENTO.Fonte," ",ORÇAMENTO.CodBarra)))</f>
        <v>SINAPI 92364</v>
      </c>
      <c r="AF451" s="13" t="str">
        <f ca="1">IF(ISERROR(INDIRECT(ORÇAMENTO.BancoRef)),"(abra o arquivo 'Referência "&amp;Excel_BuiltIn_Database&amp;".xlsm)",IF(OR($C451&lt;&gt;"S",ORÇAMENTO.CodBarra=""),"(Sem Código)",IF(ISERROR(MATCH($AE451,INDIRECT(ORÇAMENTO.BancoRef),0)),"(Código não identificado nas referências)",MATCH($AE451,INDIRECT(ORÇAMENTO.BancoRef),0))))</f>
        <v>(abra o arquivo 'Referência 02-2025.xlsm)</v>
      </c>
      <c r="AG451" s="498">
        <f ca="1">ROUND(IF(DESONERACAO="sim",REFERENCIA.Desonerado,REFERENCIA.NaoDesonerado),2)</f>
        <v>0</v>
      </c>
      <c r="AH451" s="499">
        <f t="shared" ca="1" si="128"/>
        <v>0.22470000000000001</v>
      </c>
      <c r="AJ451" s="501">
        <v>0.22</v>
      </c>
      <c r="AL451" s="527"/>
      <c r="AM451" s="381">
        <f t="shared" ca="1" si="124"/>
        <v>0</v>
      </c>
      <c r="AN451" s="566">
        <f t="shared" ca="1" si="129"/>
        <v>0</v>
      </c>
    </row>
    <row r="452" spans="1:40" ht="51" x14ac:dyDescent="0.2">
      <c r="A452" t="str">
        <f t="shared" si="126"/>
        <v>S</v>
      </c>
      <c r="B452">
        <f t="shared" ca="1" si="111"/>
        <v>3</v>
      </c>
      <c r="C452" t="str">
        <f t="shared" ca="1" si="112"/>
        <v>S</v>
      </c>
      <c r="D452">
        <f t="shared" ca="1" si="113"/>
        <v>0</v>
      </c>
      <c r="E452">
        <f ca="1">IF($C452=1,OFFSET(E452,-1,0)+MAX(1,COUNTIF(QCI!$A$13:$A$24,OFFSET(ORÇAMENTO!E452,-1,0))),OFFSET(E452,-1,0))</f>
        <v>1</v>
      </c>
      <c r="F452">
        <f t="shared" ca="1" si="114"/>
        <v>16</v>
      </c>
      <c r="G452">
        <f t="shared" ca="1" si="115"/>
        <v>4</v>
      </c>
      <c r="H452">
        <f t="shared" ca="1" si="116"/>
        <v>0</v>
      </c>
      <c r="I452">
        <f t="shared" ca="1" si="117"/>
        <v>0</v>
      </c>
      <c r="J452">
        <f t="shared" ca="1" si="108"/>
        <v>0</v>
      </c>
      <c r="K452">
        <f ca="1">IF(OR($C452="S",$C452=0),0,MATCH(OFFSET($D452,0,$C452)+IF($C452&lt;&gt;1,1,COUNTIF(QCI!$A$13:$A$24,ORÇAMENTO!E452)),OFFSET($D452,1,$C452,ROW($C$747)-ROW($C452)),0))</f>
        <v>0</v>
      </c>
      <c r="L452" s="116" t="str">
        <f t="shared" ca="1" si="118"/>
        <v/>
      </c>
      <c r="M452" s="117" t="s">
        <v>199</v>
      </c>
      <c r="N452" s="118" t="str">
        <f t="shared" ca="1" si="119"/>
        <v>Serviço</v>
      </c>
      <c r="O452" s="119" t="str">
        <f t="shared" ca="1" si="120"/>
        <v>-</v>
      </c>
      <c r="P452" s="120" t="s">
        <v>247</v>
      </c>
      <c r="Q452" s="121" t="s">
        <v>635</v>
      </c>
      <c r="R452" s="122" t="str">
        <f ca="1">IF($C452="S",REFERENCIA.Descricao,"(digite a descrição aqui)")</f>
        <v>(abra o arquivo 'Referência 02-2025.xlsm)</v>
      </c>
      <c r="S452" s="123" t="str">
        <f ca="1">REFERENCIA.Unidade</f>
        <v>-</v>
      </c>
      <c r="T452" s="124">
        <f ca="1">OFFSET(CÁLCULO!H$15,ROW($T452)-ROW(T$15),0)</f>
        <v>1.51</v>
      </c>
      <c r="U452" s="125">
        <f t="shared" ca="1" si="109"/>
        <v>0</v>
      </c>
      <c r="V452" s="126" t="s">
        <v>156</v>
      </c>
      <c r="W452" s="124">
        <f ca="1">IF($C452="S",ROUND(IF(TIPOORCAMENTO="Proposto",ORÇAMENTO.CustoUnitario*(1+$AH452),ORÇAMENTO.PrecoUnitarioLicitado),15-13*$AF$10),0)</f>
        <v>0</v>
      </c>
      <c r="X452" s="127">
        <f ca="1">IF($C452="S",IF(Import.TipoArredondamento&lt;&gt;"TransfereGOV",VTOTAL1,SUM(OFFSET(CÁLCULO!$AA$15,ROW($X452)-ROW($X$15),1):OFFSET(CÁLCULO!$AL$15,ROW($X452)-ROW($X$15),-1))),IF($C452=0,0,ROUND(SomaAgrup,15-13*$AF$11)))</f>
        <v>0</v>
      </c>
      <c r="Y452" s="128" t="s">
        <v>245</v>
      </c>
      <c r="Z452" t="str">
        <f t="shared" ca="1" si="121"/>
        <v/>
      </c>
      <c r="AA452" s="129">
        <f ca="1">IF($C452="S",IF($Z452="CP",$X452,IF($Z452="RA",(($X452)*QCI!$AA$3),0)),SomaAgrup)</f>
        <v>0</v>
      </c>
      <c r="AB452" s="130">
        <f t="shared" ca="1" si="127"/>
        <v>0</v>
      </c>
      <c r="AC452" s="131" t="str">
        <f ca="1">IF($N452="","",IF(ORÇAMENTO.Descricao="","DESCRIÇÃO",IF(AND($C452="S",ORÇAMENTO.Unidade=""),"UNIDADE",IF($X452&lt;0,"VALOR NEGATIVO",IF(OR(AND(TIPOORCAMENTO="Proposto",$AG452&lt;&gt;"",$AG452&gt;0,ORÇAMENTO.CustoUnitario&gt;$AG452),AND(TIPOORCAMENTO="LICITADO",ORÇAMENTO.PrecoUnitarioLicitado&gt;$AN452)),"ACIMA REF.","")))))</f>
        <v/>
      </c>
      <c r="AD452" t="str">
        <f ca="1">IF(C452&lt;=CRONO.NivelExibicao,MAX($AD$15:OFFSET(AD452,-1,0))+IF($C452&lt;&gt;1,1,MAX(1,COUNTIF(QCI!$A$13:$A$24,OFFSET($E452,-1,0)))),"")</f>
        <v/>
      </c>
      <c r="AE452" s="7" t="str">
        <f ca="1">IF(AND($C452="S",ORÇAMENTO.CodBarra&lt;&gt;""),IF(ORÇAMENTO.Fonte="",ORÇAMENTO.CodBarra,CONCATENATE(ORÇAMENTO.Fonte," ",ORÇAMENTO.CodBarra)))</f>
        <v>SINAPI 92365</v>
      </c>
      <c r="AF452" s="13" t="str">
        <f ca="1">IF(ISERROR(INDIRECT(ORÇAMENTO.BancoRef)),"(abra o arquivo 'Referência "&amp;Excel_BuiltIn_Database&amp;".xlsm)",IF(OR($C452&lt;&gt;"S",ORÇAMENTO.CodBarra=""),"(Sem Código)",IF(ISERROR(MATCH($AE452,INDIRECT(ORÇAMENTO.BancoRef),0)),"(Código não identificado nas referências)",MATCH($AE452,INDIRECT(ORÇAMENTO.BancoRef),0))))</f>
        <v>(abra o arquivo 'Referência 02-2025.xlsm)</v>
      </c>
      <c r="AG452" s="498">
        <f ca="1">ROUND(IF(DESONERACAO="sim",REFERENCIA.Desonerado,REFERENCIA.NaoDesonerado),2)</f>
        <v>0</v>
      </c>
      <c r="AH452" s="499">
        <f t="shared" ca="1" si="128"/>
        <v>0.22470000000000001</v>
      </c>
      <c r="AJ452" s="501">
        <v>1.51</v>
      </c>
      <c r="AL452" s="527"/>
      <c r="AM452" s="381">
        <f t="shared" ca="1" si="124"/>
        <v>0</v>
      </c>
      <c r="AN452" s="566">
        <f t="shared" ca="1" si="129"/>
        <v>0</v>
      </c>
    </row>
    <row r="453" spans="1:40" ht="38.25" x14ac:dyDescent="0.2">
      <c r="A453" t="str">
        <f t="shared" si="126"/>
        <v>S</v>
      </c>
      <c r="B453">
        <f t="shared" ca="1" si="111"/>
        <v>3</v>
      </c>
      <c r="C453" t="str">
        <f t="shared" ca="1" si="112"/>
        <v>S</v>
      </c>
      <c r="D453">
        <f t="shared" ca="1" si="113"/>
        <v>0</v>
      </c>
      <c r="E453">
        <f ca="1">IF($C453=1,OFFSET(E453,-1,0)+MAX(1,COUNTIF(QCI!$A$13:$A$24,OFFSET(ORÇAMENTO!E453,-1,0))),OFFSET(E453,-1,0))</f>
        <v>1</v>
      </c>
      <c r="F453">
        <f t="shared" ca="1" si="114"/>
        <v>16</v>
      </c>
      <c r="G453">
        <f t="shared" ca="1" si="115"/>
        <v>4</v>
      </c>
      <c r="H453">
        <f t="shared" ca="1" si="116"/>
        <v>0</v>
      </c>
      <c r="I453">
        <f t="shared" ca="1" si="117"/>
        <v>0</v>
      </c>
      <c r="J453">
        <f t="shared" ca="1" si="108"/>
        <v>0</v>
      </c>
      <c r="K453">
        <f ca="1">IF(OR($C453="S",$C453=0),0,MATCH(OFFSET($D453,0,$C453)+IF($C453&lt;&gt;1,1,COUNTIF(QCI!$A$13:$A$24,ORÇAMENTO!E453)),OFFSET($D453,1,$C453,ROW($C$747)-ROW($C453)),0))</f>
        <v>0</v>
      </c>
      <c r="L453" s="116" t="str">
        <f t="shared" ca="1" si="118"/>
        <v/>
      </c>
      <c r="M453" s="117" t="s">
        <v>199</v>
      </c>
      <c r="N453" s="118" t="str">
        <f t="shared" ca="1" si="119"/>
        <v>Serviço</v>
      </c>
      <c r="O453" s="119" t="str">
        <f t="shared" ca="1" si="120"/>
        <v>-</v>
      </c>
      <c r="P453" s="120" t="s">
        <v>247</v>
      </c>
      <c r="Q453" s="121" t="s">
        <v>636</v>
      </c>
      <c r="R453" s="122" t="str">
        <f ca="1">IF($C453="S",REFERENCIA.Descricao,"(digite a descrição aqui)")</f>
        <v>(abra o arquivo 'Referência 02-2025.xlsm)</v>
      </c>
      <c r="S453" s="123" t="str">
        <f ca="1">REFERENCIA.Unidade</f>
        <v>-</v>
      </c>
      <c r="T453" s="124">
        <f ca="1">OFFSET(CÁLCULO!H$15,ROW($T453)-ROW(T$15),0)</f>
        <v>0.33</v>
      </c>
      <c r="U453" s="125">
        <f t="shared" ca="1" si="109"/>
        <v>0</v>
      </c>
      <c r="V453" s="126" t="s">
        <v>156</v>
      </c>
      <c r="W453" s="124">
        <f ca="1">IF($C453="S",ROUND(IF(TIPOORCAMENTO="Proposto",ORÇAMENTO.CustoUnitario*(1+$AH453),ORÇAMENTO.PrecoUnitarioLicitado),15-13*$AF$10),0)</f>
        <v>0</v>
      </c>
      <c r="X453" s="127">
        <f ca="1">IF($C453="S",IF(Import.TipoArredondamento&lt;&gt;"TransfereGOV",VTOTAL1,SUM(OFFSET(CÁLCULO!$AA$15,ROW($X453)-ROW($X$15),1):OFFSET(CÁLCULO!$AL$15,ROW($X453)-ROW($X$15),-1))),IF($C453=0,0,ROUND(SomaAgrup,15-13*$AF$11)))</f>
        <v>0</v>
      </c>
      <c r="Y453" s="128" t="s">
        <v>245</v>
      </c>
      <c r="Z453" t="str">
        <f t="shared" ca="1" si="121"/>
        <v/>
      </c>
      <c r="AA453" s="129">
        <f ca="1">IF($C453="S",IF($Z453="CP",$X453,IF($Z453="RA",(($X453)*QCI!$AA$3),0)),SomaAgrup)</f>
        <v>0</v>
      </c>
      <c r="AB453" s="130">
        <f t="shared" ca="1" si="127"/>
        <v>0</v>
      </c>
      <c r="AC453" s="131" t="str">
        <f ca="1">IF($N453="","",IF(ORÇAMENTO.Descricao="","DESCRIÇÃO",IF(AND($C453="S",ORÇAMENTO.Unidade=""),"UNIDADE",IF($X453&lt;0,"VALOR NEGATIVO",IF(OR(AND(TIPOORCAMENTO="Proposto",$AG453&lt;&gt;"",$AG453&gt;0,ORÇAMENTO.CustoUnitario&gt;$AG453),AND(TIPOORCAMENTO="LICITADO",ORÇAMENTO.PrecoUnitarioLicitado&gt;$AN453)),"ACIMA REF.","")))))</f>
        <v/>
      </c>
      <c r="AD453" t="str">
        <f ca="1">IF(C453&lt;=CRONO.NivelExibicao,MAX($AD$15:OFFSET(AD453,-1,0))+IF($C453&lt;&gt;1,1,MAX(1,COUNTIF(QCI!$A$13:$A$24,OFFSET($E453,-1,0)))),"")</f>
        <v/>
      </c>
      <c r="AE453" s="7" t="str">
        <f ca="1">IF(AND($C453="S",ORÇAMENTO.CodBarra&lt;&gt;""),IF(ORÇAMENTO.Fonte="",ORÇAMENTO.CodBarra,CONCATENATE(ORÇAMENTO.Fonte," ",ORÇAMENTO.CodBarra)))</f>
        <v>SINAPI 92366</v>
      </c>
      <c r="AF453" s="13" t="str">
        <f ca="1">IF(ISERROR(INDIRECT(ORÇAMENTO.BancoRef)),"(abra o arquivo 'Referência "&amp;Excel_BuiltIn_Database&amp;".xlsm)",IF(OR($C453&lt;&gt;"S",ORÇAMENTO.CodBarra=""),"(Sem Código)",IF(ISERROR(MATCH($AE453,INDIRECT(ORÇAMENTO.BancoRef),0)),"(Código não identificado nas referências)",MATCH($AE453,INDIRECT(ORÇAMENTO.BancoRef),0))))</f>
        <v>(abra o arquivo 'Referência 02-2025.xlsm)</v>
      </c>
      <c r="AG453" s="498">
        <f ca="1">ROUND(IF(DESONERACAO="sim",REFERENCIA.Desonerado,REFERENCIA.NaoDesonerado),2)</f>
        <v>0</v>
      </c>
      <c r="AH453" s="499">
        <f t="shared" ca="1" si="128"/>
        <v>0.22470000000000001</v>
      </c>
      <c r="AJ453" s="501">
        <v>0.33</v>
      </c>
      <c r="AL453" s="527"/>
      <c r="AM453" s="381">
        <f t="shared" ca="1" si="124"/>
        <v>0</v>
      </c>
      <c r="AN453" s="566">
        <f t="shared" ca="1" si="129"/>
        <v>0</v>
      </c>
    </row>
    <row r="454" spans="1:40" ht="51" x14ac:dyDescent="0.2">
      <c r="A454" t="str">
        <f t="shared" si="126"/>
        <v>S</v>
      </c>
      <c r="B454">
        <f t="shared" ca="1" si="111"/>
        <v>3</v>
      </c>
      <c r="C454" t="str">
        <f t="shared" ca="1" si="112"/>
        <v>S</v>
      </c>
      <c r="D454">
        <f t="shared" ca="1" si="113"/>
        <v>0</v>
      </c>
      <c r="E454">
        <f ca="1">IF($C454=1,OFFSET(E454,-1,0)+MAX(1,COUNTIF(QCI!$A$13:$A$24,OFFSET(ORÇAMENTO!E454,-1,0))),OFFSET(E454,-1,0))</f>
        <v>1</v>
      </c>
      <c r="F454">
        <f t="shared" ca="1" si="114"/>
        <v>16</v>
      </c>
      <c r="G454">
        <f t="shared" ca="1" si="115"/>
        <v>4</v>
      </c>
      <c r="H454">
        <f t="shared" ca="1" si="116"/>
        <v>0</v>
      </c>
      <c r="I454">
        <f t="shared" ca="1" si="117"/>
        <v>0</v>
      </c>
      <c r="J454">
        <f t="shared" ca="1" si="108"/>
        <v>0</v>
      </c>
      <c r="K454">
        <f ca="1">IF(OR($C454="S",$C454=0),0,MATCH(OFFSET($D454,0,$C454)+IF($C454&lt;&gt;1,1,COUNTIF(QCI!$A$13:$A$24,ORÇAMENTO!E454)),OFFSET($D454,1,$C454,ROW($C$747)-ROW($C454)),0))</f>
        <v>0</v>
      </c>
      <c r="L454" s="116" t="str">
        <f t="shared" ca="1" si="118"/>
        <v/>
      </c>
      <c r="M454" s="117" t="s">
        <v>199</v>
      </c>
      <c r="N454" s="118" t="str">
        <f t="shared" ca="1" si="119"/>
        <v>Serviço</v>
      </c>
      <c r="O454" s="119" t="str">
        <f t="shared" ca="1" si="120"/>
        <v>-</v>
      </c>
      <c r="P454" s="120" t="s">
        <v>247</v>
      </c>
      <c r="Q454" s="121" t="s">
        <v>637</v>
      </c>
      <c r="R454" s="122" t="str">
        <f ca="1">IF($C454="S",REFERENCIA.Descricao,"(digite a descrição aqui)")</f>
        <v>(abra o arquivo 'Referência 02-2025.xlsm)</v>
      </c>
      <c r="S454" s="123" t="str">
        <f ca="1">REFERENCIA.Unidade</f>
        <v>-</v>
      </c>
      <c r="T454" s="124">
        <f ca="1">OFFSET(CÁLCULO!H$15,ROW($T454)-ROW(T$15),0)</f>
        <v>97.54</v>
      </c>
      <c r="U454" s="125">
        <f t="shared" ca="1" si="109"/>
        <v>0</v>
      </c>
      <c r="V454" s="126" t="s">
        <v>156</v>
      </c>
      <c r="W454" s="124">
        <f ca="1">IF($C454="S",ROUND(IF(TIPOORCAMENTO="Proposto",ORÇAMENTO.CustoUnitario*(1+$AH454),ORÇAMENTO.PrecoUnitarioLicitado),15-13*$AF$10),0)</f>
        <v>0</v>
      </c>
      <c r="X454" s="127">
        <f ca="1">IF($C454="S",IF(Import.TipoArredondamento&lt;&gt;"TransfereGOV",VTOTAL1,SUM(OFFSET(CÁLCULO!$AA$15,ROW($X454)-ROW($X$15),1):OFFSET(CÁLCULO!$AL$15,ROW($X454)-ROW($X$15),-1))),IF($C454=0,0,ROUND(SomaAgrup,15-13*$AF$11)))</f>
        <v>0</v>
      </c>
      <c r="Y454" s="128" t="s">
        <v>245</v>
      </c>
      <c r="Z454" t="str">
        <f t="shared" ca="1" si="121"/>
        <v/>
      </c>
      <c r="AA454" s="129">
        <f ca="1">IF($C454="S",IF($Z454="CP",$X454,IF($Z454="RA",(($X454)*QCI!$AA$3),0)),SomaAgrup)</f>
        <v>0</v>
      </c>
      <c r="AB454" s="130">
        <f t="shared" ca="1" si="127"/>
        <v>0</v>
      </c>
      <c r="AC454" s="131" t="str">
        <f ca="1">IF($N454="","",IF(ORÇAMENTO.Descricao="","DESCRIÇÃO",IF(AND($C454="S",ORÇAMENTO.Unidade=""),"UNIDADE",IF($X454&lt;0,"VALOR NEGATIVO",IF(OR(AND(TIPOORCAMENTO="Proposto",$AG454&lt;&gt;"",$AG454&gt;0,ORÇAMENTO.CustoUnitario&gt;$AG454),AND(TIPOORCAMENTO="LICITADO",ORÇAMENTO.PrecoUnitarioLicitado&gt;$AN454)),"ACIMA REF.","")))))</f>
        <v/>
      </c>
      <c r="AD454" t="str">
        <f ca="1">IF(C454&lt;=CRONO.NivelExibicao,MAX($AD$15:OFFSET(AD454,-1,0))+IF($C454&lt;&gt;1,1,MAX(1,COUNTIF(QCI!$A$13:$A$24,OFFSET($E454,-1,0)))),"")</f>
        <v/>
      </c>
      <c r="AE454" s="7" t="str">
        <f ca="1">IF(AND($C454="S",ORÇAMENTO.CodBarra&lt;&gt;""),IF(ORÇAMENTO.Fonte="",ORÇAMENTO.CodBarra,CONCATENATE(ORÇAMENTO.Fonte," ",ORÇAMENTO.CodBarra)))</f>
        <v>SINAPI 92367</v>
      </c>
      <c r="AF454" s="13" t="str">
        <f ca="1">IF(ISERROR(INDIRECT(ORÇAMENTO.BancoRef)),"(abra o arquivo 'Referência "&amp;Excel_BuiltIn_Database&amp;".xlsm)",IF(OR($C454&lt;&gt;"S",ORÇAMENTO.CodBarra=""),"(Sem Código)",IF(ISERROR(MATCH($AE454,INDIRECT(ORÇAMENTO.BancoRef),0)),"(Código não identificado nas referências)",MATCH($AE454,INDIRECT(ORÇAMENTO.BancoRef),0))))</f>
        <v>(abra o arquivo 'Referência 02-2025.xlsm)</v>
      </c>
      <c r="AG454" s="498">
        <f ca="1">ROUND(IF(DESONERACAO="sim",REFERENCIA.Desonerado,REFERENCIA.NaoDesonerado),2)</f>
        <v>0</v>
      </c>
      <c r="AH454" s="499">
        <f t="shared" ca="1" si="128"/>
        <v>0.22470000000000001</v>
      </c>
      <c r="AJ454" s="501">
        <v>97.54</v>
      </c>
      <c r="AL454" s="527"/>
      <c r="AM454" s="381">
        <f t="shared" ca="1" si="124"/>
        <v>0</v>
      </c>
      <c r="AN454" s="566">
        <f t="shared" ca="1" si="129"/>
        <v>0</v>
      </c>
    </row>
    <row r="455" spans="1:40" ht="38.25" x14ac:dyDescent="0.2">
      <c r="A455" t="str">
        <f t="shared" si="126"/>
        <v>S</v>
      </c>
      <c r="B455">
        <f t="shared" ca="1" si="111"/>
        <v>3</v>
      </c>
      <c r="C455" t="str">
        <f t="shared" ca="1" si="112"/>
        <v>S</v>
      </c>
      <c r="D455">
        <f t="shared" ca="1" si="113"/>
        <v>0</v>
      </c>
      <c r="E455">
        <f ca="1">IF($C455=1,OFFSET(E455,-1,0)+MAX(1,COUNTIF(QCI!$A$13:$A$24,OFFSET(ORÇAMENTO!E455,-1,0))),OFFSET(E455,-1,0))</f>
        <v>1</v>
      </c>
      <c r="F455">
        <f t="shared" ca="1" si="114"/>
        <v>16</v>
      </c>
      <c r="G455">
        <f t="shared" ca="1" si="115"/>
        <v>4</v>
      </c>
      <c r="H455">
        <f t="shared" ca="1" si="116"/>
        <v>0</v>
      </c>
      <c r="I455">
        <f t="shared" ca="1" si="117"/>
        <v>0</v>
      </c>
      <c r="J455">
        <f t="shared" ca="1" si="108"/>
        <v>0</v>
      </c>
      <c r="K455">
        <f ca="1">IF(OR($C455="S",$C455=0),0,MATCH(OFFSET($D455,0,$C455)+IF($C455&lt;&gt;1,1,COUNTIF(QCI!$A$13:$A$24,ORÇAMENTO!E455)),OFFSET($D455,1,$C455,ROW($C$747)-ROW($C455)),0))</f>
        <v>0</v>
      </c>
      <c r="L455" s="116" t="str">
        <f t="shared" ca="1" si="118"/>
        <v/>
      </c>
      <c r="M455" s="117" t="s">
        <v>199</v>
      </c>
      <c r="N455" s="118" t="str">
        <f t="shared" ca="1" si="119"/>
        <v>Serviço</v>
      </c>
      <c r="O455" s="119" t="str">
        <f t="shared" ca="1" si="120"/>
        <v>-</v>
      </c>
      <c r="P455" s="120" t="s">
        <v>247</v>
      </c>
      <c r="Q455" s="121" t="s">
        <v>638</v>
      </c>
      <c r="R455" s="122" t="str">
        <f ca="1">IF($C455="S",REFERENCIA.Descricao,"(digite a descrição aqui)")</f>
        <v>(abra o arquivo 'Referência 02-2025.xlsm)</v>
      </c>
      <c r="S455" s="123" t="str">
        <f ca="1">REFERENCIA.Unidade</f>
        <v>-</v>
      </c>
      <c r="T455" s="124">
        <f ca="1">OFFSET(CÁLCULO!H$15,ROW($T455)-ROW(T$15),0)</f>
        <v>8.06</v>
      </c>
      <c r="U455" s="125">
        <f t="shared" ca="1" si="109"/>
        <v>0</v>
      </c>
      <c r="V455" s="126" t="s">
        <v>156</v>
      </c>
      <c r="W455" s="124">
        <f ca="1">IF($C455="S",ROUND(IF(TIPOORCAMENTO="Proposto",ORÇAMENTO.CustoUnitario*(1+$AH455),ORÇAMENTO.PrecoUnitarioLicitado),15-13*$AF$10),0)</f>
        <v>0</v>
      </c>
      <c r="X455" s="127">
        <f ca="1">IF($C455="S",IF(Import.TipoArredondamento&lt;&gt;"TransfereGOV",VTOTAL1,SUM(OFFSET(CÁLCULO!$AA$15,ROW($X455)-ROW($X$15),1):OFFSET(CÁLCULO!$AL$15,ROW($X455)-ROW($X$15),-1))),IF($C455=0,0,ROUND(SomaAgrup,15-13*$AF$11)))</f>
        <v>0</v>
      </c>
      <c r="Y455" s="128" t="s">
        <v>245</v>
      </c>
      <c r="Z455" t="str">
        <f t="shared" ca="1" si="121"/>
        <v/>
      </c>
      <c r="AA455" s="129">
        <f ca="1">IF($C455="S",IF($Z455="CP",$X455,IF($Z455="RA",(($X455)*QCI!$AA$3),0)),SomaAgrup)</f>
        <v>0</v>
      </c>
      <c r="AB455" s="130">
        <f t="shared" ca="1" si="127"/>
        <v>0</v>
      </c>
      <c r="AC455" s="131" t="str">
        <f ca="1">IF($N455="","",IF(ORÇAMENTO.Descricao="","DESCRIÇÃO",IF(AND($C455="S",ORÇAMENTO.Unidade=""),"UNIDADE",IF($X455&lt;0,"VALOR NEGATIVO",IF(OR(AND(TIPOORCAMENTO="Proposto",$AG455&lt;&gt;"",$AG455&gt;0,ORÇAMENTO.CustoUnitario&gt;$AG455),AND(TIPOORCAMENTO="LICITADO",ORÇAMENTO.PrecoUnitarioLicitado&gt;$AN455)),"ACIMA REF.","")))))</f>
        <v/>
      </c>
      <c r="AD455" t="str">
        <f ca="1">IF(C455&lt;=CRONO.NivelExibicao,MAX($AD$15:OFFSET(AD455,-1,0))+IF($C455&lt;&gt;1,1,MAX(1,COUNTIF(QCI!$A$13:$A$24,OFFSET($E455,-1,0)))),"")</f>
        <v/>
      </c>
      <c r="AE455" s="7" t="str">
        <f ca="1">IF(AND($C455="S",ORÇAMENTO.CodBarra&lt;&gt;""),IF(ORÇAMENTO.Fonte="",ORÇAMENTO.CodBarra,CONCATENATE(ORÇAMENTO.Fonte," ",ORÇAMENTO.CodBarra)))</f>
        <v>SINAPI 92368</v>
      </c>
      <c r="AF455" s="13" t="str">
        <f ca="1">IF(ISERROR(INDIRECT(ORÇAMENTO.BancoRef)),"(abra o arquivo 'Referência "&amp;Excel_BuiltIn_Database&amp;".xlsm)",IF(OR($C455&lt;&gt;"S",ORÇAMENTO.CodBarra=""),"(Sem Código)",IF(ISERROR(MATCH($AE455,INDIRECT(ORÇAMENTO.BancoRef),0)),"(Código não identificado nas referências)",MATCH($AE455,INDIRECT(ORÇAMENTO.BancoRef),0))))</f>
        <v>(abra o arquivo 'Referência 02-2025.xlsm)</v>
      </c>
      <c r="AG455" s="498">
        <f ca="1">ROUND(IF(DESONERACAO="sim",REFERENCIA.Desonerado,REFERENCIA.NaoDesonerado),2)</f>
        <v>0</v>
      </c>
      <c r="AH455" s="499">
        <f t="shared" ca="1" si="128"/>
        <v>0.22470000000000001</v>
      </c>
      <c r="AJ455" s="501">
        <v>8.06</v>
      </c>
      <c r="AL455" s="527"/>
      <c r="AM455" s="381">
        <f t="shared" ca="1" si="124"/>
        <v>0</v>
      </c>
      <c r="AN455" s="566">
        <f t="shared" ca="1" si="129"/>
        <v>0</v>
      </c>
    </row>
    <row r="456" spans="1:40" ht="51" x14ac:dyDescent="0.2">
      <c r="A456" t="str">
        <f t="shared" si="126"/>
        <v>S</v>
      </c>
      <c r="B456">
        <f t="shared" ca="1" si="111"/>
        <v>3</v>
      </c>
      <c r="C456" t="str">
        <f t="shared" ca="1" si="112"/>
        <v>S</v>
      </c>
      <c r="D456">
        <f t="shared" ca="1" si="113"/>
        <v>0</v>
      </c>
      <c r="E456">
        <f ca="1">IF($C456=1,OFFSET(E456,-1,0)+MAX(1,COUNTIF(QCI!$A$13:$A$24,OFFSET(ORÇAMENTO!E456,-1,0))),OFFSET(E456,-1,0))</f>
        <v>1</v>
      </c>
      <c r="F456">
        <f t="shared" ca="1" si="114"/>
        <v>16</v>
      </c>
      <c r="G456">
        <f t="shared" ca="1" si="115"/>
        <v>4</v>
      </c>
      <c r="H456">
        <f t="shared" ca="1" si="116"/>
        <v>0</v>
      </c>
      <c r="I456">
        <f t="shared" ca="1" si="117"/>
        <v>0</v>
      </c>
      <c r="J456">
        <f t="shared" ca="1" si="108"/>
        <v>0</v>
      </c>
      <c r="K456">
        <f ca="1">IF(OR($C456="S",$C456=0),0,MATCH(OFFSET($D456,0,$C456)+IF($C456&lt;&gt;1,1,COUNTIF(QCI!$A$13:$A$24,ORÇAMENTO!E456)),OFFSET($D456,1,$C456,ROW($C$747)-ROW($C456)),0))</f>
        <v>0</v>
      </c>
      <c r="L456" s="116" t="str">
        <f t="shared" ca="1" si="118"/>
        <v/>
      </c>
      <c r="M456" s="117" t="s">
        <v>199</v>
      </c>
      <c r="N456" s="118" t="str">
        <f t="shared" ca="1" si="119"/>
        <v>Serviço</v>
      </c>
      <c r="O456" s="119" t="str">
        <f t="shared" ca="1" si="120"/>
        <v>-</v>
      </c>
      <c r="P456" s="120" t="s">
        <v>712</v>
      </c>
      <c r="Q456" s="121" t="s">
        <v>946</v>
      </c>
      <c r="R456" s="122" t="str">
        <f ca="1">IF($C456="S",REFERENCIA.Descricao,"(digite a descrição aqui)")</f>
        <v>(abra o arquivo 'Referência 02-2025.xlsm)</v>
      </c>
      <c r="S456" s="123" t="str">
        <f ca="1">REFERENCIA.Unidade</f>
        <v>-</v>
      </c>
      <c r="T456" s="124">
        <f ca="1">OFFSET(CÁLCULO!H$15,ROW($T456)-ROW(T$15),0)</f>
        <v>1</v>
      </c>
      <c r="U456" s="125">
        <f t="shared" ca="1" si="109"/>
        <v>0</v>
      </c>
      <c r="V456" s="126" t="s">
        <v>156</v>
      </c>
      <c r="W456" s="124">
        <f ca="1">IF($C456="S",ROUND(IF(TIPOORCAMENTO="Proposto",ORÇAMENTO.CustoUnitario*(1+$AH456),ORÇAMENTO.PrecoUnitarioLicitado),15-13*$AF$10),0)</f>
        <v>0</v>
      </c>
      <c r="X456" s="127">
        <f ca="1">IF($C456="S",IF(Import.TipoArredondamento&lt;&gt;"TransfereGOV",VTOTAL1,SUM(OFFSET(CÁLCULO!$AA$15,ROW($X456)-ROW($X$15),1):OFFSET(CÁLCULO!$AL$15,ROW($X456)-ROW($X$15),-1))),IF($C456=0,0,ROUND(SomaAgrup,15-13*$AF$11)))</f>
        <v>0</v>
      </c>
      <c r="Y456" s="128" t="s">
        <v>245</v>
      </c>
      <c r="Z456" t="str">
        <f t="shared" ca="1" si="121"/>
        <v/>
      </c>
      <c r="AA456" s="129">
        <f ca="1">IF($C456="S",IF($Z456="CP",$X456,IF($Z456="RA",(($X456)*QCI!$AA$3),0)),SomaAgrup)</f>
        <v>0</v>
      </c>
      <c r="AB456" s="130">
        <f t="shared" ca="1" si="127"/>
        <v>0</v>
      </c>
      <c r="AC456" s="131" t="str">
        <f ca="1">IF($N456="","",IF(ORÇAMENTO.Descricao="","DESCRIÇÃO",IF(AND($C456="S",ORÇAMENTO.Unidade=""),"UNIDADE",IF($X456&lt;0,"VALOR NEGATIVO",IF(OR(AND(TIPOORCAMENTO="Proposto",$AG456&lt;&gt;"",$AG456&gt;0,ORÇAMENTO.CustoUnitario&gt;$AG456),AND(TIPOORCAMENTO="LICITADO",ORÇAMENTO.PrecoUnitarioLicitado&gt;$AN456)),"ACIMA REF.","")))))</f>
        <v/>
      </c>
      <c r="AD456" t="str">
        <f ca="1">IF(C456&lt;=CRONO.NivelExibicao,MAX($AD$15:OFFSET(AD456,-1,0))+IF($C456&lt;&gt;1,1,MAX(1,COUNTIF(QCI!$A$13:$A$24,OFFSET($E456,-1,0)))),"")</f>
        <v/>
      </c>
      <c r="AE456" s="7" t="str">
        <f ca="1">IF(AND($C456="S",ORÇAMENTO.CodBarra&lt;&gt;""),IF(ORÇAMENTO.Fonte="",ORÇAMENTO.CodBarra,CONCATENATE(ORÇAMENTO.Fonte," ",ORÇAMENTO.CodBarra)))</f>
        <v>Composição FNDE 329</v>
      </c>
      <c r="AF456" s="13" t="str">
        <f ca="1">IF(ISERROR(INDIRECT(ORÇAMENTO.BancoRef)),"(abra o arquivo 'Referência "&amp;Excel_BuiltIn_Database&amp;".xlsm)",IF(OR($C456&lt;&gt;"S",ORÇAMENTO.CodBarra=""),"(Sem Código)",IF(ISERROR(MATCH($AE456,INDIRECT(ORÇAMENTO.BancoRef),0)),"(Código não identificado nas referências)",MATCH($AE456,INDIRECT(ORÇAMENTO.BancoRef),0))))</f>
        <v>(abra o arquivo 'Referência 02-2025.xlsm)</v>
      </c>
      <c r="AG456" s="498">
        <f ca="1">ROUND(IF(DESONERACAO="sim",REFERENCIA.Desonerado,REFERENCIA.NaoDesonerado),2)</f>
        <v>0</v>
      </c>
      <c r="AH456" s="499">
        <f t="shared" ca="1" si="128"/>
        <v>0.22470000000000001</v>
      </c>
      <c r="AJ456" s="501">
        <v>1</v>
      </c>
      <c r="AL456" s="527"/>
      <c r="AM456" s="381">
        <f t="shared" ca="1" si="124"/>
        <v>0</v>
      </c>
      <c r="AN456" s="566">
        <f t="shared" ca="1" si="129"/>
        <v>0</v>
      </c>
    </row>
    <row r="457" spans="1:40" ht="51" x14ac:dyDescent="0.2">
      <c r="A457" t="str">
        <f t="shared" si="126"/>
        <v>S</v>
      </c>
      <c r="B457">
        <f t="shared" ca="1" si="111"/>
        <v>3</v>
      </c>
      <c r="C457" t="str">
        <f t="shared" ca="1" si="112"/>
        <v>S</v>
      </c>
      <c r="D457">
        <f t="shared" ca="1" si="113"/>
        <v>0</v>
      </c>
      <c r="E457">
        <f ca="1">IF($C457=1,OFFSET(E457,-1,0)+MAX(1,COUNTIF(QCI!$A$13:$A$24,OFFSET(ORÇAMENTO!E457,-1,0))),OFFSET(E457,-1,0))</f>
        <v>1</v>
      </c>
      <c r="F457">
        <f t="shared" ca="1" si="114"/>
        <v>16</v>
      </c>
      <c r="G457">
        <f t="shared" ca="1" si="115"/>
        <v>4</v>
      </c>
      <c r="H457">
        <f t="shared" ca="1" si="116"/>
        <v>0</v>
      </c>
      <c r="I457">
        <f t="shared" ca="1" si="117"/>
        <v>0</v>
      </c>
      <c r="J457">
        <f t="shared" ref="J457:J520" ca="1" si="130">IF(OR($C457="S",$C457=0),0,MATCH(0,OFFSET($D457,1,$C457,ROW($C$747)-ROW($C457)),0))</f>
        <v>0</v>
      </c>
      <c r="K457">
        <f ca="1">IF(OR($C457="S",$C457=0),0,MATCH(OFFSET($D457,0,$C457)+IF($C457&lt;&gt;1,1,COUNTIF(QCI!$A$13:$A$24,ORÇAMENTO!E457)),OFFSET($D457,1,$C457,ROW($C$747)-ROW($C457)),0))</f>
        <v>0</v>
      </c>
      <c r="L457" s="116" t="str">
        <f t="shared" ca="1" si="118"/>
        <v/>
      </c>
      <c r="M457" s="117" t="s">
        <v>199</v>
      </c>
      <c r="N457" s="118" t="str">
        <f t="shared" ca="1" si="119"/>
        <v>Serviço</v>
      </c>
      <c r="O457" s="119" t="str">
        <f t="shared" ca="1" si="120"/>
        <v>-</v>
      </c>
      <c r="P457" s="120" t="s">
        <v>712</v>
      </c>
      <c r="Q457" s="121" t="s">
        <v>947</v>
      </c>
      <c r="R457" s="122" t="str">
        <f ca="1">IF($C457="S",REFERENCIA.Descricao,"(digite a descrição aqui)")</f>
        <v>(abra o arquivo 'Referência 02-2025.xlsm)</v>
      </c>
      <c r="S457" s="123" t="str">
        <f ca="1">REFERENCIA.Unidade</f>
        <v>-</v>
      </c>
      <c r="T457" s="124">
        <f ca="1">OFFSET(CÁLCULO!H$15,ROW($T457)-ROW(T$15),0)</f>
        <v>5</v>
      </c>
      <c r="U457" s="125">
        <f t="shared" ca="1" si="109"/>
        <v>0</v>
      </c>
      <c r="V457" s="126" t="s">
        <v>156</v>
      </c>
      <c r="W457" s="124">
        <f ca="1">IF($C457="S",ROUND(IF(TIPOORCAMENTO="Proposto",ORÇAMENTO.CustoUnitario*(1+$AH457),ORÇAMENTO.PrecoUnitarioLicitado),15-13*$AF$10),0)</f>
        <v>0</v>
      </c>
      <c r="X457" s="127">
        <f ca="1">IF($C457="S",IF(Import.TipoArredondamento&lt;&gt;"TransfereGOV",VTOTAL1,SUM(OFFSET(CÁLCULO!$AA$15,ROW($X457)-ROW($X$15),1):OFFSET(CÁLCULO!$AL$15,ROW($X457)-ROW($X$15),-1))),IF($C457=0,0,ROUND(SomaAgrup,15-13*$AF$11)))</f>
        <v>0</v>
      </c>
      <c r="Y457" s="128" t="s">
        <v>245</v>
      </c>
      <c r="Z457" t="str">
        <f t="shared" ca="1" si="121"/>
        <v/>
      </c>
      <c r="AA457" s="129">
        <f ca="1">IF($C457="S",IF($Z457="CP",$X457,IF($Z457="RA",(($X457)*QCI!$AA$3),0)),SomaAgrup)</f>
        <v>0</v>
      </c>
      <c r="AB457" s="130">
        <f t="shared" ca="1" si="127"/>
        <v>0</v>
      </c>
      <c r="AC457" s="131" t="str">
        <f ca="1">IF($N457="","",IF(ORÇAMENTO.Descricao="","DESCRIÇÃO",IF(AND($C457="S",ORÇAMENTO.Unidade=""),"UNIDADE",IF($X457&lt;0,"VALOR NEGATIVO",IF(OR(AND(TIPOORCAMENTO="Proposto",$AG457&lt;&gt;"",$AG457&gt;0,ORÇAMENTO.CustoUnitario&gt;$AG457),AND(TIPOORCAMENTO="LICITADO",ORÇAMENTO.PrecoUnitarioLicitado&gt;$AN457)),"ACIMA REF.","")))))</f>
        <v/>
      </c>
      <c r="AD457" t="str">
        <f ca="1">IF(C457&lt;=CRONO.NivelExibicao,MAX($AD$15:OFFSET(AD457,-1,0))+IF($C457&lt;&gt;1,1,MAX(1,COUNTIF(QCI!$A$13:$A$24,OFFSET($E457,-1,0)))),"")</f>
        <v/>
      </c>
      <c r="AE457" s="7" t="str">
        <f ca="1">IF(AND($C457="S",ORÇAMENTO.CodBarra&lt;&gt;""),IF(ORÇAMENTO.Fonte="",ORÇAMENTO.CodBarra,CONCATENATE(ORÇAMENTO.Fonte," ",ORÇAMENTO.CodBarra)))</f>
        <v>Composição FNDE 328</v>
      </c>
      <c r="AF457" s="13" t="str">
        <f ca="1">IF(ISERROR(INDIRECT(ORÇAMENTO.BancoRef)),"(abra o arquivo 'Referência "&amp;Excel_BuiltIn_Database&amp;".xlsm)",IF(OR($C457&lt;&gt;"S",ORÇAMENTO.CodBarra=""),"(Sem Código)",IF(ISERROR(MATCH($AE457,INDIRECT(ORÇAMENTO.BancoRef),0)),"(Código não identificado nas referências)",MATCH($AE457,INDIRECT(ORÇAMENTO.BancoRef),0))))</f>
        <v>(abra o arquivo 'Referência 02-2025.xlsm)</v>
      </c>
      <c r="AG457" s="498">
        <f ca="1">ROUND(IF(DESONERACAO="sim",REFERENCIA.Desonerado,REFERENCIA.NaoDesonerado),2)</f>
        <v>0</v>
      </c>
      <c r="AH457" s="499">
        <f t="shared" ca="1" si="128"/>
        <v>0.22470000000000001</v>
      </c>
      <c r="AJ457" s="501">
        <v>5</v>
      </c>
      <c r="AL457" s="527"/>
      <c r="AM457" s="381">
        <f t="shared" ca="1" si="124"/>
        <v>0</v>
      </c>
      <c r="AN457" s="566">
        <f t="shared" ca="1" si="129"/>
        <v>0</v>
      </c>
    </row>
    <row r="458" spans="1:40" ht="38.25" x14ac:dyDescent="0.2">
      <c r="A458" t="str">
        <f t="shared" si="126"/>
        <v>S</v>
      </c>
      <c r="B458">
        <f t="shared" ca="1" si="111"/>
        <v>3</v>
      </c>
      <c r="C458" t="str">
        <f t="shared" ca="1" si="112"/>
        <v>S</v>
      </c>
      <c r="D458">
        <f t="shared" ca="1" si="113"/>
        <v>0</v>
      </c>
      <c r="E458">
        <f ca="1">IF($C458=1,OFFSET(E458,-1,0)+MAX(1,COUNTIF(QCI!$A$13:$A$24,OFFSET(ORÇAMENTO!E458,-1,0))),OFFSET(E458,-1,0))</f>
        <v>1</v>
      </c>
      <c r="F458">
        <f t="shared" ca="1" si="114"/>
        <v>16</v>
      </c>
      <c r="G458">
        <f t="shared" ca="1" si="115"/>
        <v>4</v>
      </c>
      <c r="H458">
        <f t="shared" ca="1" si="116"/>
        <v>0</v>
      </c>
      <c r="I458">
        <f t="shared" ca="1" si="117"/>
        <v>0</v>
      </c>
      <c r="J458">
        <f t="shared" ca="1" si="130"/>
        <v>0</v>
      </c>
      <c r="K458">
        <f ca="1">IF(OR($C458="S",$C458=0),0,MATCH(OFFSET($D458,0,$C458)+IF($C458&lt;&gt;1,1,COUNTIF(QCI!$A$13:$A$24,ORÇAMENTO!E458)),OFFSET($D458,1,$C458,ROW($C$747)-ROW($C458)),0))</f>
        <v>0</v>
      </c>
      <c r="L458" s="116" t="str">
        <f t="shared" ca="1" si="118"/>
        <v/>
      </c>
      <c r="M458" s="117" t="s">
        <v>199</v>
      </c>
      <c r="N458" s="118" t="str">
        <f t="shared" ca="1" si="119"/>
        <v>Serviço</v>
      </c>
      <c r="O458" s="119" t="str">
        <f t="shared" ca="1" si="120"/>
        <v>-</v>
      </c>
      <c r="P458" s="120" t="s">
        <v>247</v>
      </c>
      <c r="Q458" s="121" t="s">
        <v>631</v>
      </c>
      <c r="R458" s="122" t="str">
        <f ca="1">IF($C458="S",REFERENCIA.Descricao,"(digite a descrição aqui)")</f>
        <v>(abra o arquivo 'Referência 02-2025.xlsm)</v>
      </c>
      <c r="S458" s="123" t="str">
        <f ca="1">REFERENCIA.Unidade</f>
        <v>-</v>
      </c>
      <c r="T458" s="124">
        <f ca="1">OFFSET(CÁLCULO!H$15,ROW($T458)-ROW(T$15),0)</f>
        <v>22</v>
      </c>
      <c r="U458" s="125">
        <f t="shared" ca="1" si="109"/>
        <v>0</v>
      </c>
      <c r="V458" s="126" t="s">
        <v>156</v>
      </c>
      <c r="W458" s="124">
        <f ca="1">IF($C458="S",ROUND(IF(TIPOORCAMENTO="Proposto",ORÇAMENTO.CustoUnitario*(1+$AH458),ORÇAMENTO.PrecoUnitarioLicitado),15-13*$AF$10),0)</f>
        <v>0</v>
      </c>
      <c r="X458" s="127">
        <f ca="1">IF($C458="S",IF(Import.TipoArredondamento&lt;&gt;"TransfereGOV",VTOTAL1,SUM(OFFSET(CÁLCULO!$AA$15,ROW($X458)-ROW($X$15),1):OFFSET(CÁLCULO!$AL$15,ROW($X458)-ROW($X$15),-1))),IF($C458=0,0,ROUND(SomaAgrup,15-13*$AF$11)))</f>
        <v>0</v>
      </c>
      <c r="Y458" s="128" t="s">
        <v>245</v>
      </c>
      <c r="Z458" t="str">
        <f t="shared" ca="1" si="121"/>
        <v/>
      </c>
      <c r="AA458" s="129">
        <f ca="1">IF($C458="S",IF($Z458="CP",$X458,IF($Z458="RA",(($X458)*QCI!$AA$3),0)),SomaAgrup)</f>
        <v>0</v>
      </c>
      <c r="AB458" s="130">
        <f t="shared" ca="1" si="127"/>
        <v>0</v>
      </c>
      <c r="AC458" s="131" t="str">
        <f ca="1">IF($N458="","",IF(ORÇAMENTO.Descricao="","DESCRIÇÃO",IF(AND($C458="S",ORÇAMENTO.Unidade=""),"UNIDADE",IF($X458&lt;0,"VALOR NEGATIVO",IF(OR(AND(TIPOORCAMENTO="Proposto",$AG458&lt;&gt;"",$AG458&gt;0,ORÇAMENTO.CustoUnitario&gt;$AG458),AND(TIPOORCAMENTO="LICITADO",ORÇAMENTO.PrecoUnitarioLicitado&gt;$AN458)),"ACIMA REF.","")))))</f>
        <v/>
      </c>
      <c r="AD458" t="str">
        <f ca="1">IF(C458&lt;=CRONO.NivelExibicao,MAX($AD$15:OFFSET(AD458,-1,0))+IF($C458&lt;&gt;1,1,MAX(1,COUNTIF(QCI!$A$13:$A$24,OFFSET($E458,-1,0)))),"")</f>
        <v/>
      </c>
      <c r="AE458" s="7" t="str">
        <f ca="1">IF(AND($C458="S",ORÇAMENTO.CodBarra&lt;&gt;""),IF(ORÇAMENTO.Fonte="",ORÇAMENTO.CodBarra,CONCATENATE(ORÇAMENTO.Fonte," ",ORÇAMENTO.CodBarra)))</f>
        <v>SINAPI 94473</v>
      </c>
      <c r="AF458" s="13" t="str">
        <f ca="1">IF(ISERROR(INDIRECT(ORÇAMENTO.BancoRef)),"(abra o arquivo 'Referência "&amp;Excel_BuiltIn_Database&amp;".xlsm)",IF(OR($C458&lt;&gt;"S",ORÇAMENTO.CodBarra=""),"(Sem Código)",IF(ISERROR(MATCH($AE458,INDIRECT(ORÇAMENTO.BancoRef),0)),"(Código não identificado nas referências)",MATCH($AE458,INDIRECT(ORÇAMENTO.BancoRef),0))))</f>
        <v>(abra o arquivo 'Referência 02-2025.xlsm)</v>
      </c>
      <c r="AG458" s="498">
        <f ca="1">ROUND(IF(DESONERACAO="sim",REFERENCIA.Desonerado,REFERENCIA.NaoDesonerado),2)</f>
        <v>0</v>
      </c>
      <c r="AH458" s="499">
        <f t="shared" ca="1" si="128"/>
        <v>0.22470000000000001</v>
      </c>
      <c r="AJ458" s="501">
        <v>22</v>
      </c>
      <c r="AL458" s="527"/>
      <c r="AM458" s="381">
        <f t="shared" ca="1" si="124"/>
        <v>0</v>
      </c>
      <c r="AN458" s="566">
        <f t="shared" ca="1" si="129"/>
        <v>0</v>
      </c>
    </row>
    <row r="459" spans="1:40" ht="38.25" x14ac:dyDescent="0.2">
      <c r="A459" t="str">
        <f t="shared" si="126"/>
        <v>S</v>
      </c>
      <c r="B459">
        <f t="shared" ca="1" si="111"/>
        <v>3</v>
      </c>
      <c r="C459" t="str">
        <f t="shared" ca="1" si="112"/>
        <v>S</v>
      </c>
      <c r="D459">
        <f t="shared" ca="1" si="113"/>
        <v>0</v>
      </c>
      <c r="E459">
        <f ca="1">IF($C459=1,OFFSET(E459,-1,0)+MAX(1,COUNTIF(QCI!$A$13:$A$24,OFFSET(ORÇAMENTO!E459,-1,0))),OFFSET(E459,-1,0))</f>
        <v>1</v>
      </c>
      <c r="F459">
        <f t="shared" ca="1" si="114"/>
        <v>16</v>
      </c>
      <c r="G459">
        <f t="shared" ca="1" si="115"/>
        <v>4</v>
      </c>
      <c r="H459">
        <f t="shared" ca="1" si="116"/>
        <v>0</v>
      </c>
      <c r="I459">
        <f t="shared" ca="1" si="117"/>
        <v>0</v>
      </c>
      <c r="J459">
        <f t="shared" ca="1" si="130"/>
        <v>0</v>
      </c>
      <c r="K459">
        <f ca="1">IF(OR($C459="S",$C459=0),0,MATCH(OFFSET($D459,0,$C459)+IF($C459&lt;&gt;1,1,COUNTIF(QCI!$A$13:$A$24,ORÇAMENTO!E459)),OFFSET($D459,1,$C459,ROW($C$747)-ROW($C459)),0))</f>
        <v>0</v>
      </c>
      <c r="L459" s="116" t="str">
        <f t="shared" ca="1" si="118"/>
        <v/>
      </c>
      <c r="M459" s="117" t="s">
        <v>199</v>
      </c>
      <c r="N459" s="118" t="str">
        <f t="shared" ca="1" si="119"/>
        <v>Serviço</v>
      </c>
      <c r="O459" s="119" t="str">
        <f t="shared" ca="1" si="120"/>
        <v>-</v>
      </c>
      <c r="P459" s="120" t="s">
        <v>247</v>
      </c>
      <c r="Q459" s="121" t="s">
        <v>632</v>
      </c>
      <c r="R459" s="122" t="str">
        <f ca="1">IF($C459="S",REFERENCIA.Descricao,"(digite a descrição aqui)")</f>
        <v>(abra o arquivo 'Referência 02-2025.xlsm)</v>
      </c>
      <c r="S459" s="123" t="str">
        <f ca="1">REFERENCIA.Unidade</f>
        <v>-</v>
      </c>
      <c r="T459" s="124">
        <f ca="1">OFFSET(CÁLCULO!H$15,ROW($T459)-ROW(T$15),0)</f>
        <v>11</v>
      </c>
      <c r="U459" s="125">
        <f t="shared" ca="1" si="109"/>
        <v>0</v>
      </c>
      <c r="V459" s="126" t="s">
        <v>156</v>
      </c>
      <c r="W459" s="124">
        <f ca="1">IF($C459="S",ROUND(IF(TIPOORCAMENTO="Proposto",ORÇAMENTO.CustoUnitario*(1+$AH459),ORÇAMENTO.PrecoUnitarioLicitado),15-13*$AF$10),0)</f>
        <v>0</v>
      </c>
      <c r="X459" s="127">
        <f ca="1">IF($C459="S",IF(Import.TipoArredondamento&lt;&gt;"TransfereGOV",VTOTAL1,SUM(OFFSET(CÁLCULO!$AA$15,ROW($X459)-ROW($X$15),1):OFFSET(CÁLCULO!$AL$15,ROW($X459)-ROW($X$15),-1))),IF($C459=0,0,ROUND(SomaAgrup,15-13*$AF$11)))</f>
        <v>0</v>
      </c>
      <c r="Y459" s="128" t="s">
        <v>245</v>
      </c>
      <c r="Z459" t="str">
        <f t="shared" ca="1" si="121"/>
        <v/>
      </c>
      <c r="AA459" s="129">
        <f ca="1">IF($C459="S",IF($Z459="CP",$X459,IF($Z459="RA",(($X459)*QCI!$AA$3),0)),SomaAgrup)</f>
        <v>0</v>
      </c>
      <c r="AB459" s="130">
        <f t="shared" ca="1" si="127"/>
        <v>0</v>
      </c>
      <c r="AC459" s="131" t="str">
        <f ca="1">IF($N459="","",IF(ORÇAMENTO.Descricao="","DESCRIÇÃO",IF(AND($C459="S",ORÇAMENTO.Unidade=""),"UNIDADE",IF($X459&lt;0,"VALOR NEGATIVO",IF(OR(AND(TIPOORCAMENTO="Proposto",$AG459&lt;&gt;"",$AG459&gt;0,ORÇAMENTO.CustoUnitario&gt;$AG459),AND(TIPOORCAMENTO="LICITADO",ORÇAMENTO.PrecoUnitarioLicitado&gt;$AN459)),"ACIMA REF.","")))))</f>
        <v/>
      </c>
      <c r="AD459" t="str">
        <f ca="1">IF(C459&lt;=CRONO.NivelExibicao,MAX($AD$15:OFFSET(AD459,-1,0))+IF($C459&lt;&gt;1,1,MAX(1,COUNTIF(QCI!$A$13:$A$24,OFFSET($E459,-1,0)))),"")</f>
        <v/>
      </c>
      <c r="AE459" s="7" t="str">
        <f ca="1">IF(AND($C459="S",ORÇAMENTO.CodBarra&lt;&gt;""),IF(ORÇAMENTO.Fonte="",ORÇAMENTO.CodBarra,CONCATENATE(ORÇAMENTO.Fonte," ",ORÇAMENTO.CodBarra)))</f>
        <v>SINAPI 94475</v>
      </c>
      <c r="AF459" s="13" t="str">
        <f ca="1">IF(ISERROR(INDIRECT(ORÇAMENTO.BancoRef)),"(abra o arquivo 'Referência "&amp;Excel_BuiltIn_Database&amp;".xlsm)",IF(OR($C459&lt;&gt;"S",ORÇAMENTO.CodBarra=""),"(Sem Código)",IF(ISERROR(MATCH($AE459,INDIRECT(ORÇAMENTO.BancoRef),0)),"(Código não identificado nas referências)",MATCH($AE459,INDIRECT(ORÇAMENTO.BancoRef),0))))</f>
        <v>(abra o arquivo 'Referência 02-2025.xlsm)</v>
      </c>
      <c r="AG459" s="498">
        <f ca="1">ROUND(IF(DESONERACAO="sim",REFERENCIA.Desonerado,REFERENCIA.NaoDesonerado),2)</f>
        <v>0</v>
      </c>
      <c r="AH459" s="499">
        <f t="shared" ca="1" si="128"/>
        <v>0.22470000000000001</v>
      </c>
      <c r="AJ459" s="501">
        <v>11</v>
      </c>
      <c r="AL459" s="527"/>
      <c r="AM459" s="381">
        <f t="shared" ca="1" si="124"/>
        <v>0</v>
      </c>
      <c r="AN459" s="566">
        <f t="shared" ca="1" si="129"/>
        <v>0</v>
      </c>
    </row>
    <row r="460" spans="1:40" ht="25.5" x14ac:dyDescent="0.2">
      <c r="A460" t="str">
        <f t="shared" si="126"/>
        <v>S</v>
      </c>
      <c r="B460">
        <f t="shared" ca="1" si="111"/>
        <v>3</v>
      </c>
      <c r="C460" t="str">
        <f t="shared" ca="1" si="112"/>
        <v>S</v>
      </c>
      <c r="D460">
        <f t="shared" ca="1" si="113"/>
        <v>0</v>
      </c>
      <c r="E460">
        <f ca="1">IF($C460=1,OFFSET(E460,-1,0)+MAX(1,COUNTIF(QCI!$A$13:$A$24,OFFSET(ORÇAMENTO!E460,-1,0))),OFFSET(E460,-1,0))</f>
        <v>1</v>
      </c>
      <c r="F460">
        <f t="shared" ca="1" si="114"/>
        <v>16</v>
      </c>
      <c r="G460">
        <f t="shared" ca="1" si="115"/>
        <v>4</v>
      </c>
      <c r="H460">
        <f t="shared" ca="1" si="116"/>
        <v>0</v>
      </c>
      <c r="I460">
        <f t="shared" ca="1" si="117"/>
        <v>0</v>
      </c>
      <c r="J460">
        <f t="shared" ca="1" si="130"/>
        <v>0</v>
      </c>
      <c r="K460">
        <f ca="1">IF(OR($C460="S",$C460=0),0,MATCH(OFFSET($D460,0,$C460)+IF($C460&lt;&gt;1,1,COUNTIF(QCI!$A$13:$A$24,ORÇAMENTO!E460)),OFFSET($D460,1,$C460,ROW($C$747)-ROW($C460)),0))</f>
        <v>0</v>
      </c>
      <c r="L460" s="116" t="str">
        <f t="shared" ca="1" si="118"/>
        <v/>
      </c>
      <c r="M460" s="117" t="s">
        <v>199</v>
      </c>
      <c r="N460" s="118" t="str">
        <f t="shared" ca="1" si="119"/>
        <v>Serviço</v>
      </c>
      <c r="O460" s="119" t="str">
        <f t="shared" ca="1" si="120"/>
        <v>-</v>
      </c>
      <c r="P460" s="120" t="s">
        <v>712</v>
      </c>
      <c r="Q460" s="121" t="s">
        <v>830</v>
      </c>
      <c r="R460" s="122" t="str">
        <f ca="1">IF($C460="S",REFERENCIA.Descricao,"(digite a descrição aqui)")</f>
        <v>(abra o arquivo 'Referência 02-2025.xlsm)</v>
      </c>
      <c r="S460" s="123" t="str">
        <f ca="1">REFERENCIA.Unidade</f>
        <v>-</v>
      </c>
      <c r="T460" s="124">
        <f ca="1">OFFSET(CÁLCULO!H$15,ROW($T460)-ROW(T$15),0)</f>
        <v>5</v>
      </c>
      <c r="U460" s="125">
        <f t="shared" ca="1" si="109"/>
        <v>0</v>
      </c>
      <c r="V460" s="126" t="s">
        <v>156</v>
      </c>
      <c r="W460" s="124">
        <f ca="1">IF($C460="S",ROUND(IF(TIPOORCAMENTO="Proposto",ORÇAMENTO.CustoUnitario*(1+$AH460),ORÇAMENTO.PrecoUnitarioLicitado),15-13*$AF$10),0)</f>
        <v>0</v>
      </c>
      <c r="X460" s="127">
        <f ca="1">IF($C460="S",IF(Import.TipoArredondamento&lt;&gt;"TransfereGOV",VTOTAL1,SUM(OFFSET(CÁLCULO!$AA$15,ROW($X460)-ROW($X$15),1):OFFSET(CÁLCULO!$AL$15,ROW($X460)-ROW($X$15),-1))),IF($C460=0,0,ROUND(SomaAgrup,15-13*$AF$11)))</f>
        <v>0</v>
      </c>
      <c r="Y460" s="128" t="s">
        <v>245</v>
      </c>
      <c r="Z460" t="str">
        <f t="shared" ca="1" si="121"/>
        <v/>
      </c>
      <c r="AA460" s="129">
        <f ca="1">IF($C460="S",IF($Z460="CP",$X460,IF($Z460="RA",(($X460)*QCI!$AA$3),0)),SomaAgrup)</f>
        <v>0</v>
      </c>
      <c r="AB460" s="130">
        <f t="shared" ca="1" si="127"/>
        <v>0</v>
      </c>
      <c r="AC460" s="131" t="str">
        <f ca="1">IF($N460="","",IF(ORÇAMENTO.Descricao="","DESCRIÇÃO",IF(AND($C460="S",ORÇAMENTO.Unidade=""),"UNIDADE",IF($X460&lt;0,"VALOR NEGATIVO",IF(OR(AND(TIPOORCAMENTO="Proposto",$AG460&lt;&gt;"",$AG460&gt;0,ORÇAMENTO.CustoUnitario&gt;$AG460),AND(TIPOORCAMENTO="LICITADO",ORÇAMENTO.PrecoUnitarioLicitado&gt;$AN460)),"ACIMA REF.","")))))</f>
        <v/>
      </c>
      <c r="AD460" t="str">
        <f ca="1">IF(C460&lt;=CRONO.NivelExibicao,MAX($AD$15:OFFSET(AD460,-1,0))+IF($C460&lt;&gt;1,1,MAX(1,COUNTIF(QCI!$A$13:$A$24,OFFSET($E460,-1,0)))),"")</f>
        <v/>
      </c>
      <c r="AE460" s="7" t="str">
        <f ca="1">IF(AND($C460="S",ORÇAMENTO.CodBarra&lt;&gt;""),IF(ORÇAMENTO.Fonte="",ORÇAMENTO.CodBarra,CONCATENATE(ORÇAMENTO.Fonte," ",ORÇAMENTO.CodBarra)))</f>
        <v>Composição FNDE 345</v>
      </c>
      <c r="AF460" s="13" t="str">
        <f ca="1">IF(ISERROR(INDIRECT(ORÇAMENTO.BancoRef)),"(abra o arquivo 'Referência "&amp;Excel_BuiltIn_Database&amp;".xlsm)",IF(OR($C460&lt;&gt;"S",ORÇAMENTO.CodBarra=""),"(Sem Código)",IF(ISERROR(MATCH($AE460,INDIRECT(ORÇAMENTO.BancoRef),0)),"(Código não identificado nas referências)",MATCH($AE460,INDIRECT(ORÇAMENTO.BancoRef),0))))</f>
        <v>(abra o arquivo 'Referência 02-2025.xlsm)</v>
      </c>
      <c r="AG460" s="498">
        <f ca="1">ROUND(IF(DESONERACAO="sim",REFERENCIA.Desonerado,REFERENCIA.NaoDesonerado),2)</f>
        <v>0</v>
      </c>
      <c r="AH460" s="499">
        <f t="shared" ca="1" si="128"/>
        <v>0.22470000000000001</v>
      </c>
      <c r="AJ460" s="501">
        <v>5</v>
      </c>
      <c r="AL460" s="527"/>
      <c r="AM460" s="381">
        <f t="shared" ca="1" si="124"/>
        <v>0</v>
      </c>
      <c r="AN460" s="566">
        <f t="shared" ca="1" si="129"/>
        <v>0</v>
      </c>
    </row>
    <row r="461" spans="1:40" ht="38.25" x14ac:dyDescent="0.2">
      <c r="A461" t="str">
        <f t="shared" si="126"/>
        <v>S</v>
      </c>
      <c r="B461">
        <f t="shared" ca="1" si="111"/>
        <v>3</v>
      </c>
      <c r="C461" t="str">
        <f t="shared" ca="1" si="112"/>
        <v>S</v>
      </c>
      <c r="D461">
        <f t="shared" ca="1" si="113"/>
        <v>0</v>
      </c>
      <c r="E461">
        <f ca="1">IF($C461=1,OFFSET(E461,-1,0)+MAX(1,COUNTIF(QCI!$A$13:$A$24,OFFSET(ORÇAMENTO!E461,-1,0))),OFFSET(E461,-1,0))</f>
        <v>1</v>
      </c>
      <c r="F461">
        <f t="shared" ca="1" si="114"/>
        <v>16</v>
      </c>
      <c r="G461">
        <f t="shared" ca="1" si="115"/>
        <v>4</v>
      </c>
      <c r="H461">
        <f t="shared" ca="1" si="116"/>
        <v>0</v>
      </c>
      <c r="I461">
        <f t="shared" ca="1" si="117"/>
        <v>0</v>
      </c>
      <c r="J461">
        <f t="shared" ca="1" si="130"/>
        <v>0</v>
      </c>
      <c r="K461">
        <f ca="1">IF(OR($C461="S",$C461=0),0,MATCH(OFFSET($D461,0,$C461)+IF($C461&lt;&gt;1,1,COUNTIF(QCI!$A$13:$A$24,ORÇAMENTO!E461)),OFFSET($D461,1,$C461,ROW($C$747)-ROW($C461)),0))</f>
        <v>0</v>
      </c>
      <c r="L461" s="116" t="str">
        <f t="shared" ca="1" si="118"/>
        <v/>
      </c>
      <c r="M461" s="117" t="s">
        <v>199</v>
      </c>
      <c r="N461" s="118" t="str">
        <f t="shared" ca="1" si="119"/>
        <v>Serviço</v>
      </c>
      <c r="O461" s="119" t="str">
        <f t="shared" ca="1" si="120"/>
        <v>-</v>
      </c>
      <c r="P461" s="120" t="s">
        <v>247</v>
      </c>
      <c r="Q461" s="121" t="s">
        <v>642</v>
      </c>
      <c r="R461" s="122" t="str">
        <f ca="1">IF($C461="S",REFERENCIA.Descricao,"(digite a descrição aqui)")</f>
        <v>(abra o arquivo 'Referência 02-2025.xlsm)</v>
      </c>
      <c r="S461" s="123" t="str">
        <f ca="1">REFERENCIA.Unidade</f>
        <v>-</v>
      </c>
      <c r="T461" s="124">
        <f ca="1">OFFSET(CÁLCULO!H$15,ROW($T461)-ROW(T$15),0)</f>
        <v>5</v>
      </c>
      <c r="U461" s="125">
        <f t="shared" ca="1" si="109"/>
        <v>0</v>
      </c>
      <c r="V461" s="126" t="s">
        <v>156</v>
      </c>
      <c r="W461" s="124">
        <f ca="1">IF($C461="S",ROUND(IF(TIPOORCAMENTO="Proposto",ORÇAMENTO.CustoUnitario*(1+$AH461),ORÇAMENTO.PrecoUnitarioLicitado),15-13*$AF$10),0)</f>
        <v>0</v>
      </c>
      <c r="X461" s="127">
        <f ca="1">IF($C461="S",IF(Import.TipoArredondamento&lt;&gt;"TransfereGOV",VTOTAL1,SUM(OFFSET(CÁLCULO!$AA$15,ROW($X461)-ROW($X$15),1):OFFSET(CÁLCULO!$AL$15,ROW($X461)-ROW($X$15),-1))),IF($C461=0,0,ROUND(SomaAgrup,15-13*$AF$11)))</f>
        <v>0</v>
      </c>
      <c r="Y461" s="128" t="s">
        <v>245</v>
      </c>
      <c r="Z461" t="str">
        <f t="shared" ca="1" si="121"/>
        <v/>
      </c>
      <c r="AA461" s="129">
        <f ca="1">IF($C461="S",IF($Z461="CP",$X461,IF($Z461="RA",(($X461)*QCI!$AA$3),0)),SomaAgrup)</f>
        <v>0</v>
      </c>
      <c r="AB461" s="130">
        <f t="shared" ca="1" si="127"/>
        <v>0</v>
      </c>
      <c r="AC461" s="131" t="str">
        <f ca="1">IF($N461="","",IF(ORÇAMENTO.Descricao="","DESCRIÇÃO",IF(AND($C461="S",ORÇAMENTO.Unidade=""),"UNIDADE",IF($X461&lt;0,"VALOR NEGATIVO",IF(OR(AND(TIPOORCAMENTO="Proposto",$AG461&lt;&gt;"",$AG461&gt;0,ORÇAMENTO.CustoUnitario&gt;$AG461),AND(TIPOORCAMENTO="LICITADO",ORÇAMENTO.PrecoUnitarioLicitado&gt;$AN461)),"ACIMA REF.","")))))</f>
        <v/>
      </c>
      <c r="AD461" t="str">
        <f ca="1">IF(C461&lt;=CRONO.NivelExibicao,MAX($AD$15:OFFSET(AD461,-1,0))+IF($C461&lt;&gt;1,1,MAX(1,COUNTIF(QCI!$A$13:$A$24,OFFSET($E461,-1,0)))),"")</f>
        <v/>
      </c>
      <c r="AE461" s="7" t="str">
        <f ca="1">IF(AND($C461="S",ORÇAMENTO.CodBarra&lt;&gt;""),IF(ORÇAMENTO.Fonte="",ORÇAMENTO.CodBarra,CONCATENATE(ORÇAMENTO.Fonte," ",ORÇAMENTO.CodBarra)))</f>
        <v>SINAPI 92920</v>
      </c>
      <c r="AF461" s="13" t="str">
        <f ca="1">IF(ISERROR(INDIRECT(ORÇAMENTO.BancoRef)),"(abra o arquivo 'Referência "&amp;Excel_BuiltIn_Database&amp;".xlsm)",IF(OR($C461&lt;&gt;"S",ORÇAMENTO.CodBarra=""),"(Sem Código)",IF(ISERROR(MATCH($AE461,INDIRECT(ORÇAMENTO.BancoRef),0)),"(Código não identificado nas referências)",MATCH($AE461,INDIRECT(ORÇAMENTO.BancoRef),0))))</f>
        <v>(abra o arquivo 'Referência 02-2025.xlsm)</v>
      </c>
      <c r="AG461" s="498">
        <f ca="1">ROUND(IF(DESONERACAO="sim",REFERENCIA.Desonerado,REFERENCIA.NaoDesonerado),2)</f>
        <v>0</v>
      </c>
      <c r="AH461" s="499">
        <f t="shared" ca="1" si="128"/>
        <v>0.22470000000000001</v>
      </c>
      <c r="AJ461" s="501">
        <v>5</v>
      </c>
      <c r="AL461" s="527"/>
      <c r="AM461" s="381">
        <f t="shared" ca="1" si="124"/>
        <v>0</v>
      </c>
      <c r="AN461" s="566">
        <f t="shared" ca="1" si="129"/>
        <v>0</v>
      </c>
    </row>
    <row r="462" spans="1:40" ht="38.25" x14ac:dyDescent="0.2">
      <c r="A462" t="str">
        <f t="shared" si="126"/>
        <v>S</v>
      </c>
      <c r="B462">
        <f t="shared" ca="1" si="111"/>
        <v>3</v>
      </c>
      <c r="C462" t="str">
        <f t="shared" ca="1" si="112"/>
        <v>S</v>
      </c>
      <c r="D462">
        <f t="shared" ca="1" si="113"/>
        <v>0</v>
      </c>
      <c r="E462">
        <f ca="1">IF($C462=1,OFFSET(E462,-1,0)+MAX(1,COUNTIF(QCI!$A$13:$A$24,OFFSET(ORÇAMENTO!E462,-1,0))),OFFSET(E462,-1,0))</f>
        <v>1</v>
      </c>
      <c r="F462">
        <f t="shared" ca="1" si="114"/>
        <v>16</v>
      </c>
      <c r="G462">
        <f t="shared" ca="1" si="115"/>
        <v>4</v>
      </c>
      <c r="H462">
        <f t="shared" ca="1" si="116"/>
        <v>0</v>
      </c>
      <c r="I462">
        <f t="shared" ca="1" si="117"/>
        <v>0</v>
      </c>
      <c r="J462">
        <f t="shared" ca="1" si="130"/>
        <v>0</v>
      </c>
      <c r="K462">
        <f ca="1">IF(OR($C462="S",$C462=0),0,MATCH(OFFSET($D462,0,$C462)+IF($C462&lt;&gt;1,1,COUNTIF(QCI!$A$13:$A$24,ORÇAMENTO!E462)),OFFSET($D462,1,$C462,ROW($C$747)-ROW($C462)),0))</f>
        <v>0</v>
      </c>
      <c r="L462" s="116" t="str">
        <f t="shared" ca="1" si="118"/>
        <v/>
      </c>
      <c r="M462" s="117" t="s">
        <v>199</v>
      </c>
      <c r="N462" s="118" t="str">
        <f t="shared" ca="1" si="119"/>
        <v>Serviço</v>
      </c>
      <c r="O462" s="119" t="str">
        <f t="shared" ca="1" si="120"/>
        <v>-</v>
      </c>
      <c r="P462" s="120" t="s">
        <v>247</v>
      </c>
      <c r="Q462" s="121" t="s">
        <v>639</v>
      </c>
      <c r="R462" s="122" t="str">
        <f ca="1">IF($C462="S",REFERENCIA.Descricao,"(digite a descrição aqui)")</f>
        <v>(abra o arquivo 'Referência 02-2025.xlsm)</v>
      </c>
      <c r="S462" s="123" t="str">
        <f ca="1">REFERENCIA.Unidade</f>
        <v>-</v>
      </c>
      <c r="T462" s="124">
        <f ca="1">OFFSET(CÁLCULO!H$15,ROW($T462)-ROW(T$15),0)</f>
        <v>1</v>
      </c>
      <c r="U462" s="125">
        <f t="shared" ca="1" si="109"/>
        <v>0</v>
      </c>
      <c r="V462" s="126" t="s">
        <v>156</v>
      </c>
      <c r="W462" s="124">
        <f ca="1">IF($C462="S",ROUND(IF(TIPOORCAMENTO="Proposto",ORÇAMENTO.CustoUnitario*(1+$AH462),ORÇAMENTO.PrecoUnitarioLicitado),15-13*$AF$10),0)</f>
        <v>0</v>
      </c>
      <c r="X462" s="127">
        <f ca="1">IF($C462="S",IF(Import.TipoArredondamento&lt;&gt;"TransfereGOV",VTOTAL1,SUM(OFFSET(CÁLCULO!$AA$15,ROW($X462)-ROW($X$15),1):OFFSET(CÁLCULO!$AL$15,ROW($X462)-ROW($X$15),-1))),IF($C462=0,0,ROUND(SomaAgrup,15-13*$AF$11)))</f>
        <v>0</v>
      </c>
      <c r="Y462" s="128" t="s">
        <v>245</v>
      </c>
      <c r="Z462" t="str">
        <f t="shared" ca="1" si="121"/>
        <v/>
      </c>
      <c r="AA462" s="129">
        <f ca="1">IF($C462="S",IF($Z462="CP",$X462,IF($Z462="RA",(($X462)*QCI!$AA$3),0)),SomaAgrup)</f>
        <v>0</v>
      </c>
      <c r="AB462" s="130">
        <f t="shared" ca="1" si="127"/>
        <v>0</v>
      </c>
      <c r="AC462" s="131" t="str">
        <f ca="1">IF($N462="","",IF(ORÇAMENTO.Descricao="","DESCRIÇÃO",IF(AND($C462="S",ORÇAMENTO.Unidade=""),"UNIDADE",IF($X462&lt;0,"VALOR NEGATIVO",IF(OR(AND(TIPOORCAMENTO="Proposto",$AG462&lt;&gt;"",$AG462&gt;0,ORÇAMENTO.CustoUnitario&gt;$AG462),AND(TIPOORCAMENTO="LICITADO",ORÇAMENTO.PrecoUnitarioLicitado&gt;$AN462)),"ACIMA REF.","")))))</f>
        <v/>
      </c>
      <c r="AD462" t="str">
        <f ca="1">IF(C462&lt;=CRONO.NivelExibicao,MAX($AD$15:OFFSET(AD462,-1,0))+IF($C462&lt;&gt;1,1,MAX(1,COUNTIF(QCI!$A$13:$A$24,OFFSET($E462,-1,0)))),"")</f>
        <v/>
      </c>
      <c r="AE462" s="7" t="str">
        <f ca="1">IF(AND($C462="S",ORÇAMENTO.CodBarra&lt;&gt;""),IF(ORÇAMENTO.Fonte="",ORÇAMENTO.CodBarra,CONCATENATE(ORÇAMENTO.Fonte," ",ORÇAMENTO.CodBarra)))</f>
        <v>SINAPI 97503</v>
      </c>
      <c r="AF462" s="13" t="str">
        <f ca="1">IF(ISERROR(INDIRECT(ORÇAMENTO.BancoRef)),"(abra o arquivo 'Referência "&amp;Excel_BuiltIn_Database&amp;".xlsm)",IF(OR($C462&lt;&gt;"S",ORÇAMENTO.CodBarra=""),"(Sem Código)",IF(ISERROR(MATCH($AE462,INDIRECT(ORÇAMENTO.BancoRef),0)),"(Código não identificado nas referências)",MATCH($AE462,INDIRECT(ORÇAMENTO.BancoRef),0))))</f>
        <v>(abra o arquivo 'Referência 02-2025.xlsm)</v>
      </c>
      <c r="AG462" s="498">
        <f ca="1">ROUND(IF(DESONERACAO="sim",REFERENCIA.Desonerado,REFERENCIA.NaoDesonerado),2)</f>
        <v>0</v>
      </c>
      <c r="AH462" s="499">
        <f t="shared" ca="1" si="128"/>
        <v>0.22470000000000001</v>
      </c>
      <c r="AJ462" s="501">
        <v>1</v>
      </c>
      <c r="AL462" s="527"/>
      <c r="AM462" s="381">
        <f t="shared" ca="1" si="124"/>
        <v>0</v>
      </c>
      <c r="AN462" s="566">
        <f t="shared" ca="1" si="129"/>
        <v>0</v>
      </c>
    </row>
    <row r="463" spans="1:40" ht="38.25" x14ac:dyDescent="0.2">
      <c r="A463" t="str">
        <f t="shared" si="126"/>
        <v>S</v>
      </c>
      <c r="B463">
        <f t="shared" ca="1" si="111"/>
        <v>3</v>
      </c>
      <c r="C463" t="str">
        <f t="shared" ca="1" si="112"/>
        <v>S</v>
      </c>
      <c r="D463">
        <f t="shared" ca="1" si="113"/>
        <v>0</v>
      </c>
      <c r="E463">
        <f ca="1">IF($C463=1,OFFSET(E463,-1,0)+MAX(1,COUNTIF(QCI!$A$13:$A$24,OFFSET(ORÇAMENTO!E463,-1,0))),OFFSET(E463,-1,0))</f>
        <v>1</v>
      </c>
      <c r="F463">
        <f t="shared" ca="1" si="114"/>
        <v>16</v>
      </c>
      <c r="G463">
        <f t="shared" ca="1" si="115"/>
        <v>4</v>
      </c>
      <c r="H463">
        <f t="shared" ca="1" si="116"/>
        <v>0</v>
      </c>
      <c r="I463">
        <f t="shared" ca="1" si="117"/>
        <v>0</v>
      </c>
      <c r="J463">
        <f t="shared" ca="1" si="130"/>
        <v>0</v>
      </c>
      <c r="K463">
        <f ca="1">IF(OR($C463="S",$C463=0),0,MATCH(OFFSET($D463,0,$C463)+IF($C463&lt;&gt;1,1,COUNTIF(QCI!$A$13:$A$24,ORÇAMENTO!E463)),OFFSET($D463,1,$C463,ROW($C$747)-ROW($C463)),0))</f>
        <v>0</v>
      </c>
      <c r="L463" s="116" t="str">
        <f t="shared" ca="1" si="118"/>
        <v/>
      </c>
      <c r="M463" s="117" t="s">
        <v>199</v>
      </c>
      <c r="N463" s="118" t="str">
        <f t="shared" ca="1" si="119"/>
        <v>Serviço</v>
      </c>
      <c r="O463" s="119" t="str">
        <f t="shared" ca="1" si="120"/>
        <v>-</v>
      </c>
      <c r="P463" s="120" t="s">
        <v>712</v>
      </c>
      <c r="Q463" s="121" t="s">
        <v>1018</v>
      </c>
      <c r="R463" s="122" t="str">
        <f ca="1">IF($C463="S",REFERENCIA.Descricao,"(digite a descrição aqui)")</f>
        <v>(abra o arquivo 'Referência 02-2025.xlsm)</v>
      </c>
      <c r="S463" s="123" t="str">
        <f ca="1">REFERENCIA.Unidade</f>
        <v>-</v>
      </c>
      <c r="T463" s="124">
        <f ca="1">OFFSET(CÁLCULO!H$15,ROW($T463)-ROW(T$15),0)</f>
        <v>2</v>
      </c>
      <c r="U463" s="125">
        <f t="shared" ca="1" si="109"/>
        <v>0</v>
      </c>
      <c r="V463" s="126" t="s">
        <v>156</v>
      </c>
      <c r="W463" s="124">
        <f ca="1">IF($C463="S",ROUND(IF(TIPOORCAMENTO="Proposto",ORÇAMENTO.CustoUnitario*(1+$AH463),ORÇAMENTO.PrecoUnitarioLicitado),15-13*$AF$10),0)</f>
        <v>0</v>
      </c>
      <c r="X463" s="127">
        <f ca="1">IF($C463="S",IF(Import.TipoArredondamento&lt;&gt;"TransfereGOV",VTOTAL1,SUM(OFFSET(CÁLCULO!$AA$15,ROW($X463)-ROW($X$15),1):OFFSET(CÁLCULO!$AL$15,ROW($X463)-ROW($X$15),-1))),IF($C463=0,0,ROUND(SomaAgrup,15-13*$AF$11)))</f>
        <v>0</v>
      </c>
      <c r="Y463" s="128" t="s">
        <v>245</v>
      </c>
      <c r="Z463" t="str">
        <f t="shared" ca="1" si="121"/>
        <v/>
      </c>
      <c r="AA463" s="129">
        <f ca="1">IF($C463="S",IF($Z463="CP",$X463,IF($Z463="RA",(($X463)*QCI!$AA$3),0)),SomaAgrup)</f>
        <v>0</v>
      </c>
      <c r="AB463" s="130">
        <f t="shared" ca="1" si="127"/>
        <v>0</v>
      </c>
      <c r="AC463" s="131" t="str">
        <f ca="1">IF($N463="","",IF(ORÇAMENTO.Descricao="","DESCRIÇÃO",IF(AND($C463="S",ORÇAMENTO.Unidade=""),"UNIDADE",IF($X463&lt;0,"VALOR NEGATIVO",IF(OR(AND(TIPOORCAMENTO="Proposto",$AG463&lt;&gt;"",$AG463&gt;0,ORÇAMENTO.CustoUnitario&gt;$AG463),AND(TIPOORCAMENTO="LICITADO",ORÇAMENTO.PrecoUnitarioLicitado&gt;$AN463)),"ACIMA REF.","")))))</f>
        <v/>
      </c>
      <c r="AD463" t="str">
        <f ca="1">IF(C463&lt;=CRONO.NivelExibicao,MAX($AD$15:OFFSET(AD463,-1,0))+IF($C463&lt;&gt;1,1,MAX(1,COUNTIF(QCI!$A$13:$A$24,OFFSET($E463,-1,0)))),"")</f>
        <v/>
      </c>
      <c r="AE463" s="7" t="str">
        <f ca="1">IF(AND($C463="S",ORÇAMENTO.CodBarra&lt;&gt;""),IF(ORÇAMENTO.Fonte="",ORÇAMENTO.CodBarra,CONCATENATE(ORÇAMENTO.Fonte," ",ORÇAMENTO.CodBarra)))</f>
        <v xml:space="preserve">Composição FNDE 333 </v>
      </c>
      <c r="AF463" s="13" t="str">
        <f ca="1">IF(ISERROR(INDIRECT(ORÇAMENTO.BancoRef)),"(abra o arquivo 'Referência "&amp;Excel_BuiltIn_Database&amp;".xlsm)",IF(OR($C463&lt;&gt;"S",ORÇAMENTO.CodBarra=""),"(Sem Código)",IF(ISERROR(MATCH($AE463,INDIRECT(ORÇAMENTO.BancoRef),0)),"(Código não identificado nas referências)",MATCH($AE463,INDIRECT(ORÇAMENTO.BancoRef),0))))</f>
        <v>(abra o arquivo 'Referência 02-2025.xlsm)</v>
      </c>
      <c r="AG463" s="498">
        <f ca="1">ROUND(IF(DESONERACAO="sim",REFERENCIA.Desonerado,REFERENCIA.NaoDesonerado),2)</f>
        <v>0</v>
      </c>
      <c r="AH463" s="499">
        <f t="shared" ca="1" si="128"/>
        <v>0.22470000000000001</v>
      </c>
      <c r="AJ463" s="501">
        <v>2</v>
      </c>
      <c r="AL463" s="527"/>
      <c r="AM463" s="381">
        <f t="shared" ca="1" si="124"/>
        <v>0</v>
      </c>
      <c r="AN463" s="566">
        <f t="shared" ca="1" si="129"/>
        <v>0</v>
      </c>
    </row>
    <row r="464" spans="1:40" ht="38.25" x14ac:dyDescent="0.2">
      <c r="A464" t="str">
        <f t="shared" si="126"/>
        <v>S</v>
      </c>
      <c r="B464">
        <f t="shared" ca="1" si="111"/>
        <v>3</v>
      </c>
      <c r="C464" t="str">
        <f t="shared" ca="1" si="112"/>
        <v>S</v>
      </c>
      <c r="D464">
        <f t="shared" ca="1" si="113"/>
        <v>0</v>
      </c>
      <c r="E464">
        <f ca="1">IF($C464=1,OFFSET(E464,-1,0)+MAX(1,COUNTIF(QCI!$A$13:$A$24,OFFSET(ORÇAMENTO!E464,-1,0))),OFFSET(E464,-1,0))</f>
        <v>1</v>
      </c>
      <c r="F464">
        <f t="shared" ca="1" si="114"/>
        <v>16</v>
      </c>
      <c r="G464">
        <f t="shared" ca="1" si="115"/>
        <v>4</v>
      </c>
      <c r="H464">
        <f t="shared" ca="1" si="116"/>
        <v>0</v>
      </c>
      <c r="I464">
        <f t="shared" ca="1" si="117"/>
        <v>0</v>
      </c>
      <c r="J464">
        <f t="shared" ca="1" si="130"/>
        <v>0</v>
      </c>
      <c r="K464">
        <f ca="1">IF(OR($C464="S",$C464=0),0,MATCH(OFFSET($D464,0,$C464)+IF($C464&lt;&gt;1,1,COUNTIF(QCI!$A$13:$A$24,ORÇAMENTO!E464)),OFFSET($D464,1,$C464,ROW($C$747)-ROW($C464)),0))</f>
        <v>0</v>
      </c>
      <c r="L464" s="116" t="str">
        <f t="shared" ca="1" si="118"/>
        <v/>
      </c>
      <c r="M464" s="117" t="s">
        <v>199</v>
      </c>
      <c r="N464" s="118" t="str">
        <f t="shared" ca="1" si="119"/>
        <v>Serviço</v>
      </c>
      <c r="O464" s="119" t="str">
        <f t="shared" ca="1" si="120"/>
        <v>-</v>
      </c>
      <c r="P464" s="120" t="s">
        <v>247</v>
      </c>
      <c r="Q464" s="121" t="s">
        <v>640</v>
      </c>
      <c r="R464" s="122" t="str">
        <f ca="1">IF($C464="S",REFERENCIA.Descricao,"(digite a descrição aqui)")</f>
        <v>(abra o arquivo 'Referência 02-2025.xlsm)</v>
      </c>
      <c r="S464" s="123" t="str">
        <f ca="1">REFERENCIA.Unidade</f>
        <v>-</v>
      </c>
      <c r="T464" s="124">
        <f ca="1">OFFSET(CÁLCULO!H$15,ROW($T464)-ROW(T$15),0)</f>
        <v>1</v>
      </c>
      <c r="U464" s="125">
        <f t="shared" ca="1" si="109"/>
        <v>0</v>
      </c>
      <c r="V464" s="126" t="s">
        <v>156</v>
      </c>
      <c r="W464" s="124">
        <f ca="1">IF($C464="S",ROUND(IF(TIPOORCAMENTO="Proposto",ORÇAMENTO.CustoUnitario*(1+$AH464),ORÇAMENTO.PrecoUnitarioLicitado),15-13*$AF$10),0)</f>
        <v>0</v>
      </c>
      <c r="X464" s="127">
        <f ca="1">IF($C464="S",IF(Import.TipoArredondamento&lt;&gt;"TransfereGOV",VTOTAL1,SUM(OFFSET(CÁLCULO!$AA$15,ROW($X464)-ROW($X$15),1):OFFSET(CÁLCULO!$AL$15,ROW($X464)-ROW($X$15),-1))),IF($C464=0,0,ROUND(SomaAgrup,15-13*$AF$11)))</f>
        <v>0</v>
      </c>
      <c r="Y464" s="128" t="s">
        <v>245</v>
      </c>
      <c r="Z464" t="str">
        <f t="shared" ca="1" si="121"/>
        <v/>
      </c>
      <c r="AA464" s="129">
        <f ca="1">IF($C464="S",IF($Z464="CP",$X464,IF($Z464="RA",(($X464)*QCI!$AA$3),0)),SomaAgrup)</f>
        <v>0</v>
      </c>
      <c r="AB464" s="130">
        <f t="shared" ca="1" si="127"/>
        <v>0</v>
      </c>
      <c r="AC464" s="131" t="str">
        <f ca="1">IF($N464="","",IF(ORÇAMENTO.Descricao="","DESCRIÇÃO",IF(AND($C464="S",ORÇAMENTO.Unidade=""),"UNIDADE",IF($X464&lt;0,"VALOR NEGATIVO",IF(OR(AND(TIPOORCAMENTO="Proposto",$AG464&lt;&gt;"",$AG464&gt;0,ORÇAMENTO.CustoUnitario&gt;$AG464),AND(TIPOORCAMENTO="LICITADO",ORÇAMENTO.PrecoUnitarioLicitado&gt;$AN464)),"ACIMA REF.","")))))</f>
        <v/>
      </c>
      <c r="AD464" t="str">
        <f ca="1">IF(C464&lt;=CRONO.NivelExibicao,MAX($AD$15:OFFSET(AD464,-1,0))+IF($C464&lt;&gt;1,1,MAX(1,COUNTIF(QCI!$A$13:$A$24,OFFSET($E464,-1,0)))),"")</f>
        <v/>
      </c>
      <c r="AE464" s="7" t="str">
        <f ca="1">IF(AND($C464="S",ORÇAMENTO.CodBarra&lt;&gt;""),IF(ORÇAMENTO.Fonte="",ORÇAMENTO.CodBarra,CONCATENATE(ORÇAMENTO.Fonte," ",ORÇAMENTO.CodBarra)))</f>
        <v>SINAPI 97447</v>
      </c>
      <c r="AF464" s="13" t="str">
        <f ca="1">IF(ISERROR(INDIRECT(ORÇAMENTO.BancoRef)),"(abra o arquivo 'Referência "&amp;Excel_BuiltIn_Database&amp;".xlsm)",IF(OR($C464&lt;&gt;"S",ORÇAMENTO.CodBarra=""),"(Sem Código)",IF(ISERROR(MATCH($AE464,INDIRECT(ORÇAMENTO.BancoRef),0)),"(Código não identificado nas referências)",MATCH($AE464,INDIRECT(ORÇAMENTO.BancoRef),0))))</f>
        <v>(abra o arquivo 'Referência 02-2025.xlsm)</v>
      </c>
      <c r="AG464" s="498">
        <f ca="1">ROUND(IF(DESONERACAO="sim",REFERENCIA.Desonerado,REFERENCIA.NaoDesonerado),2)</f>
        <v>0</v>
      </c>
      <c r="AH464" s="499">
        <f t="shared" ca="1" si="128"/>
        <v>0.22470000000000001</v>
      </c>
      <c r="AJ464" s="501">
        <v>1</v>
      </c>
      <c r="AL464" s="527"/>
      <c r="AM464" s="381">
        <f t="shared" ca="1" si="124"/>
        <v>0</v>
      </c>
      <c r="AN464" s="566">
        <f t="shared" ca="1" si="129"/>
        <v>0</v>
      </c>
    </row>
    <row r="465" spans="1:40" ht="25.5" x14ac:dyDescent="0.2">
      <c r="A465" t="str">
        <f t="shared" si="126"/>
        <v>S</v>
      </c>
      <c r="B465">
        <f t="shared" ca="1" si="111"/>
        <v>3</v>
      </c>
      <c r="C465" t="str">
        <f t="shared" ca="1" si="112"/>
        <v>S</v>
      </c>
      <c r="D465">
        <f t="shared" ca="1" si="113"/>
        <v>0</v>
      </c>
      <c r="E465">
        <f ca="1">IF($C465=1,OFFSET(E465,-1,0)+MAX(1,COUNTIF(QCI!$A$13:$A$24,OFFSET(ORÇAMENTO!E465,-1,0))),OFFSET(E465,-1,0))</f>
        <v>1</v>
      </c>
      <c r="F465">
        <f t="shared" ca="1" si="114"/>
        <v>16</v>
      </c>
      <c r="G465">
        <f t="shared" ca="1" si="115"/>
        <v>4</v>
      </c>
      <c r="H465">
        <f t="shared" ca="1" si="116"/>
        <v>0</v>
      </c>
      <c r="I465">
        <f t="shared" ca="1" si="117"/>
        <v>0</v>
      </c>
      <c r="J465">
        <f t="shared" ca="1" si="130"/>
        <v>0</v>
      </c>
      <c r="K465">
        <f ca="1">IF(OR($C465="S",$C465=0),0,MATCH(OFFSET($D465,0,$C465)+IF($C465&lt;&gt;1,1,COUNTIF(QCI!$A$13:$A$24,ORÇAMENTO!E465)),OFFSET($D465,1,$C465,ROW($C$747)-ROW($C465)),0))</f>
        <v>0</v>
      </c>
      <c r="L465" s="116" t="str">
        <f t="shared" ca="1" si="118"/>
        <v/>
      </c>
      <c r="M465" s="117" t="s">
        <v>199</v>
      </c>
      <c r="N465" s="118" t="str">
        <f t="shared" ca="1" si="119"/>
        <v>Serviço</v>
      </c>
      <c r="O465" s="119" t="str">
        <f t="shared" ca="1" si="120"/>
        <v>-</v>
      </c>
      <c r="P465" s="120" t="s">
        <v>712</v>
      </c>
      <c r="Q465" s="121" t="s">
        <v>822</v>
      </c>
      <c r="R465" s="122" t="str">
        <f ca="1">IF($C465="S",REFERENCIA.Descricao,"(digite a descrição aqui)")</f>
        <v>(abra o arquivo 'Referência 02-2025.xlsm)</v>
      </c>
      <c r="S465" s="123" t="str">
        <f ca="1">REFERENCIA.Unidade</f>
        <v>-</v>
      </c>
      <c r="T465" s="124">
        <f ca="1">OFFSET(CÁLCULO!H$15,ROW($T465)-ROW(T$15),0)</f>
        <v>1</v>
      </c>
      <c r="U465" s="125">
        <f t="shared" ca="1" si="109"/>
        <v>0</v>
      </c>
      <c r="V465" s="126" t="s">
        <v>156</v>
      </c>
      <c r="W465" s="124">
        <f ca="1">IF($C465="S",ROUND(IF(TIPOORCAMENTO="Proposto",ORÇAMENTO.CustoUnitario*(1+$AH465),ORÇAMENTO.PrecoUnitarioLicitado),15-13*$AF$10),0)</f>
        <v>0</v>
      </c>
      <c r="X465" s="127">
        <f ca="1">IF($C465="S",IF(Import.TipoArredondamento&lt;&gt;"TransfereGOV",VTOTAL1,SUM(OFFSET(CÁLCULO!$AA$15,ROW($X465)-ROW($X$15),1):OFFSET(CÁLCULO!$AL$15,ROW($X465)-ROW($X$15),-1))),IF($C465=0,0,ROUND(SomaAgrup,15-13*$AF$11)))</f>
        <v>0</v>
      </c>
      <c r="Y465" s="128" t="s">
        <v>245</v>
      </c>
      <c r="Z465" t="str">
        <f t="shared" ca="1" si="121"/>
        <v/>
      </c>
      <c r="AA465" s="129">
        <f ca="1">IF($C465="S",IF($Z465="CP",$X465,IF($Z465="RA",(($X465)*QCI!$AA$3),0)),SomaAgrup)</f>
        <v>0</v>
      </c>
      <c r="AB465" s="130">
        <f t="shared" ca="1" si="127"/>
        <v>0</v>
      </c>
      <c r="AC465" s="131" t="str">
        <f ca="1">IF($N465="","",IF(ORÇAMENTO.Descricao="","DESCRIÇÃO",IF(AND($C465="S",ORÇAMENTO.Unidade=""),"UNIDADE",IF($X465&lt;0,"VALOR NEGATIVO",IF(OR(AND(TIPOORCAMENTO="Proposto",$AG465&lt;&gt;"",$AG465&gt;0,ORÇAMENTO.CustoUnitario&gt;$AG465),AND(TIPOORCAMENTO="LICITADO",ORÇAMENTO.PrecoUnitarioLicitado&gt;$AN465)),"ACIMA REF.","")))))</f>
        <v/>
      </c>
      <c r="AD465" t="str">
        <f ca="1">IF(C465&lt;=CRONO.NivelExibicao,MAX($AD$15:OFFSET(AD465,-1,0))+IF($C465&lt;&gt;1,1,MAX(1,COUNTIF(QCI!$A$13:$A$24,OFFSET($E465,-1,0)))),"")</f>
        <v/>
      </c>
      <c r="AE465" s="7" t="str">
        <f ca="1">IF(AND($C465="S",ORÇAMENTO.CodBarra&lt;&gt;""),IF(ORÇAMENTO.Fonte="",ORÇAMENTO.CodBarra,CONCATENATE(ORÇAMENTO.Fonte," ",ORÇAMENTO.CodBarra)))</f>
        <v>Composição FNDE 331</v>
      </c>
      <c r="AF465" s="13" t="str">
        <f ca="1">IF(ISERROR(INDIRECT(ORÇAMENTO.BancoRef)),"(abra o arquivo 'Referência "&amp;Excel_BuiltIn_Database&amp;".xlsm)",IF(OR($C465&lt;&gt;"S",ORÇAMENTO.CodBarra=""),"(Sem Código)",IF(ISERROR(MATCH($AE465,INDIRECT(ORÇAMENTO.BancoRef),0)),"(Código não identificado nas referências)",MATCH($AE465,INDIRECT(ORÇAMENTO.BancoRef),0))))</f>
        <v>(abra o arquivo 'Referência 02-2025.xlsm)</v>
      </c>
      <c r="AG465" s="498">
        <f ca="1">ROUND(IF(DESONERACAO="sim",REFERENCIA.Desonerado,REFERENCIA.NaoDesonerado),2)</f>
        <v>0</v>
      </c>
      <c r="AH465" s="499">
        <f t="shared" ca="1" si="128"/>
        <v>0.22470000000000001</v>
      </c>
      <c r="AJ465" s="501">
        <v>1</v>
      </c>
      <c r="AL465" s="527"/>
      <c r="AM465" s="381">
        <f t="shared" ca="1" si="124"/>
        <v>0</v>
      </c>
      <c r="AN465" s="566">
        <f t="shared" ca="1" si="129"/>
        <v>0</v>
      </c>
    </row>
    <row r="466" spans="1:40" ht="25.5" x14ac:dyDescent="0.2">
      <c r="A466" t="str">
        <f t="shared" si="126"/>
        <v>S</v>
      </c>
      <c r="B466">
        <f t="shared" ca="1" si="111"/>
        <v>3</v>
      </c>
      <c r="C466" t="str">
        <f t="shared" ca="1" si="112"/>
        <v>S</v>
      </c>
      <c r="D466">
        <f t="shared" ca="1" si="113"/>
        <v>0</v>
      </c>
      <c r="E466">
        <f ca="1">IF($C466=1,OFFSET(E466,-1,0)+MAX(1,COUNTIF(QCI!$A$13:$A$24,OFFSET(ORÇAMENTO!E466,-1,0))),OFFSET(E466,-1,0))</f>
        <v>1</v>
      </c>
      <c r="F466">
        <f t="shared" ca="1" si="114"/>
        <v>16</v>
      </c>
      <c r="G466">
        <f t="shared" ca="1" si="115"/>
        <v>4</v>
      </c>
      <c r="H466">
        <f t="shared" ca="1" si="116"/>
        <v>0</v>
      </c>
      <c r="I466">
        <f t="shared" ca="1" si="117"/>
        <v>0</v>
      </c>
      <c r="J466">
        <f t="shared" ca="1" si="130"/>
        <v>0</v>
      </c>
      <c r="K466">
        <f ca="1">IF(OR($C466="S",$C466=0),0,MATCH(OFFSET($D466,0,$C466)+IF($C466&lt;&gt;1,1,COUNTIF(QCI!$A$13:$A$24,ORÇAMENTO!E466)),OFFSET($D466,1,$C466,ROW($C$747)-ROW($C466)),0))</f>
        <v>0</v>
      </c>
      <c r="L466" s="116" t="str">
        <f t="shared" ca="1" si="118"/>
        <v/>
      </c>
      <c r="M466" s="117" t="s">
        <v>199</v>
      </c>
      <c r="N466" s="118" t="str">
        <f t="shared" ca="1" si="119"/>
        <v>Serviço</v>
      </c>
      <c r="O466" s="119" t="str">
        <f t="shared" ca="1" si="120"/>
        <v>-</v>
      </c>
      <c r="P466" s="120" t="s">
        <v>712</v>
      </c>
      <c r="Q466" s="121" t="s">
        <v>823</v>
      </c>
      <c r="R466" s="122" t="str">
        <f ca="1">IF($C466="S",REFERENCIA.Descricao,"(digite a descrição aqui)")</f>
        <v>(abra o arquivo 'Referência 02-2025.xlsm)</v>
      </c>
      <c r="S466" s="123" t="str">
        <f ca="1">REFERENCIA.Unidade</f>
        <v>-</v>
      </c>
      <c r="T466" s="124">
        <f ca="1">OFFSET(CÁLCULO!H$15,ROW($T466)-ROW(T$15),0)</f>
        <v>3</v>
      </c>
      <c r="U466" s="125">
        <f t="shared" ca="1" si="109"/>
        <v>0</v>
      </c>
      <c r="V466" s="126" t="s">
        <v>156</v>
      </c>
      <c r="W466" s="124">
        <f ca="1">IF($C466="S",ROUND(IF(TIPOORCAMENTO="Proposto",ORÇAMENTO.CustoUnitario*(1+$AH466),ORÇAMENTO.PrecoUnitarioLicitado),15-13*$AF$10),0)</f>
        <v>0</v>
      </c>
      <c r="X466" s="127">
        <f ca="1">IF($C466="S",IF(Import.TipoArredondamento&lt;&gt;"TransfereGOV",VTOTAL1,SUM(OFFSET(CÁLCULO!$AA$15,ROW($X466)-ROW($X$15),1):OFFSET(CÁLCULO!$AL$15,ROW($X466)-ROW($X$15),-1))),IF($C466=0,0,ROUND(SomaAgrup,15-13*$AF$11)))</f>
        <v>0</v>
      </c>
      <c r="Y466" s="128" t="s">
        <v>245</v>
      </c>
      <c r="Z466" t="str">
        <f t="shared" ca="1" si="121"/>
        <v/>
      </c>
      <c r="AA466" s="129">
        <f ca="1">IF($C466="S",IF($Z466="CP",$X466,IF($Z466="RA",(($X466)*QCI!$AA$3),0)),SomaAgrup)</f>
        <v>0</v>
      </c>
      <c r="AB466" s="130">
        <f t="shared" ca="1" si="127"/>
        <v>0</v>
      </c>
      <c r="AC466" s="131" t="str">
        <f ca="1">IF($N466="","",IF(ORÇAMENTO.Descricao="","DESCRIÇÃO",IF(AND($C466="S",ORÇAMENTO.Unidade=""),"UNIDADE",IF($X466&lt;0,"VALOR NEGATIVO",IF(OR(AND(TIPOORCAMENTO="Proposto",$AG466&lt;&gt;"",$AG466&gt;0,ORÇAMENTO.CustoUnitario&gt;$AG466),AND(TIPOORCAMENTO="LICITADO",ORÇAMENTO.PrecoUnitarioLicitado&gt;$AN466)),"ACIMA REF.","")))))</f>
        <v/>
      </c>
      <c r="AD466" t="str">
        <f ca="1">IF(C466&lt;=CRONO.NivelExibicao,MAX($AD$15:OFFSET(AD466,-1,0))+IF($C466&lt;&gt;1,1,MAX(1,COUNTIF(QCI!$A$13:$A$24,OFFSET($E466,-1,0)))),"")</f>
        <v/>
      </c>
      <c r="AE466" s="7" t="str">
        <f ca="1">IF(AND($C466="S",ORÇAMENTO.CodBarra&lt;&gt;""),IF(ORÇAMENTO.Fonte="",ORÇAMENTO.CodBarra,CONCATENATE(ORÇAMENTO.Fonte," ",ORÇAMENTO.CodBarra)))</f>
        <v>Composição FNDE 335</v>
      </c>
      <c r="AF466" s="13" t="str">
        <f ca="1">IF(ISERROR(INDIRECT(ORÇAMENTO.BancoRef)),"(abra o arquivo 'Referência "&amp;Excel_BuiltIn_Database&amp;".xlsm)",IF(OR($C466&lt;&gt;"S",ORÇAMENTO.CodBarra=""),"(Sem Código)",IF(ISERROR(MATCH($AE466,INDIRECT(ORÇAMENTO.BancoRef),0)),"(Código não identificado nas referências)",MATCH($AE466,INDIRECT(ORÇAMENTO.BancoRef),0))))</f>
        <v>(abra o arquivo 'Referência 02-2025.xlsm)</v>
      </c>
      <c r="AG466" s="498">
        <f ca="1">ROUND(IF(DESONERACAO="sim",REFERENCIA.Desonerado,REFERENCIA.NaoDesonerado),2)</f>
        <v>0</v>
      </c>
      <c r="AH466" s="499">
        <f t="shared" ca="1" si="128"/>
        <v>0.22470000000000001</v>
      </c>
      <c r="AJ466" s="501">
        <v>3</v>
      </c>
      <c r="AL466" s="527"/>
      <c r="AM466" s="381">
        <f t="shared" ca="1" si="124"/>
        <v>0</v>
      </c>
      <c r="AN466" s="566">
        <f t="shared" ca="1" si="129"/>
        <v>0</v>
      </c>
    </row>
    <row r="467" spans="1:40" ht="25.5" x14ac:dyDescent="0.2">
      <c r="A467" t="str">
        <f t="shared" si="126"/>
        <v>S</v>
      </c>
      <c r="B467">
        <f t="shared" ca="1" si="111"/>
        <v>3</v>
      </c>
      <c r="C467" t="str">
        <f t="shared" ca="1" si="112"/>
        <v>S</v>
      </c>
      <c r="D467">
        <f t="shared" ca="1" si="113"/>
        <v>0</v>
      </c>
      <c r="E467">
        <f ca="1">IF($C467=1,OFFSET(E467,-1,0)+MAX(1,COUNTIF(QCI!$A$13:$A$24,OFFSET(ORÇAMENTO!E467,-1,0))),OFFSET(E467,-1,0))</f>
        <v>1</v>
      </c>
      <c r="F467">
        <f t="shared" ca="1" si="114"/>
        <v>16</v>
      </c>
      <c r="G467">
        <f t="shared" ca="1" si="115"/>
        <v>4</v>
      </c>
      <c r="H467">
        <f t="shared" ca="1" si="116"/>
        <v>0</v>
      </c>
      <c r="I467">
        <f t="shared" ca="1" si="117"/>
        <v>0</v>
      </c>
      <c r="J467">
        <f t="shared" ca="1" si="130"/>
        <v>0</v>
      </c>
      <c r="K467">
        <f ca="1">IF(OR($C467="S",$C467=0),0,MATCH(OFFSET($D467,0,$C467)+IF($C467&lt;&gt;1,1,COUNTIF(QCI!$A$13:$A$24,ORÇAMENTO!E467)),OFFSET($D467,1,$C467,ROW($C$747)-ROW($C467)),0))</f>
        <v>0</v>
      </c>
      <c r="L467" s="116" t="str">
        <f t="shared" ca="1" si="118"/>
        <v/>
      </c>
      <c r="M467" s="117" t="s">
        <v>199</v>
      </c>
      <c r="N467" s="118" t="str">
        <f t="shared" ca="1" si="119"/>
        <v>Serviço</v>
      </c>
      <c r="O467" s="119" t="str">
        <f t="shared" ca="1" si="120"/>
        <v>-</v>
      </c>
      <c r="P467" s="120" t="s">
        <v>712</v>
      </c>
      <c r="Q467" s="121" t="s">
        <v>824</v>
      </c>
      <c r="R467" s="122" t="str">
        <f ca="1">IF($C467="S",REFERENCIA.Descricao,"(digite a descrição aqui)")</f>
        <v>(abra o arquivo 'Referência 02-2025.xlsm)</v>
      </c>
      <c r="S467" s="123" t="str">
        <f ca="1">REFERENCIA.Unidade</f>
        <v>-</v>
      </c>
      <c r="T467" s="124">
        <f ca="1">OFFSET(CÁLCULO!H$15,ROW($T467)-ROW(T$15),0)</f>
        <v>2</v>
      </c>
      <c r="U467" s="125">
        <f t="shared" ca="1" si="109"/>
        <v>0</v>
      </c>
      <c r="V467" s="126" t="s">
        <v>156</v>
      </c>
      <c r="W467" s="124">
        <f ca="1">IF($C467="S",ROUND(IF(TIPOORCAMENTO="Proposto",ORÇAMENTO.CustoUnitario*(1+$AH467),ORÇAMENTO.PrecoUnitarioLicitado),15-13*$AF$10),0)</f>
        <v>0</v>
      </c>
      <c r="X467" s="127">
        <f ca="1">IF($C467="S",IF(Import.TipoArredondamento&lt;&gt;"TransfereGOV",VTOTAL1,SUM(OFFSET(CÁLCULO!$AA$15,ROW($X467)-ROW($X$15),1):OFFSET(CÁLCULO!$AL$15,ROW($X467)-ROW($X$15),-1))),IF($C467=0,0,ROUND(SomaAgrup,15-13*$AF$11)))</f>
        <v>0</v>
      </c>
      <c r="Y467" s="128" t="s">
        <v>245</v>
      </c>
      <c r="Z467" t="str">
        <f t="shared" ca="1" si="121"/>
        <v/>
      </c>
      <c r="AA467" s="129">
        <f ca="1">IF($C467="S",IF($Z467="CP",$X467,IF($Z467="RA",(($X467)*QCI!$AA$3),0)),SomaAgrup)</f>
        <v>0</v>
      </c>
      <c r="AB467" s="130">
        <f t="shared" ca="1" si="127"/>
        <v>0</v>
      </c>
      <c r="AC467" s="131" t="str">
        <f ca="1">IF($N467="","",IF(ORÇAMENTO.Descricao="","DESCRIÇÃO",IF(AND($C467="S",ORÇAMENTO.Unidade=""),"UNIDADE",IF($X467&lt;0,"VALOR NEGATIVO",IF(OR(AND(TIPOORCAMENTO="Proposto",$AG467&lt;&gt;"",$AG467&gt;0,ORÇAMENTO.CustoUnitario&gt;$AG467),AND(TIPOORCAMENTO="LICITADO",ORÇAMENTO.PrecoUnitarioLicitado&gt;$AN467)),"ACIMA REF.","")))))</f>
        <v/>
      </c>
      <c r="AD467" t="str">
        <f ca="1">IF(C467&lt;=CRONO.NivelExibicao,MAX($AD$15:OFFSET(AD467,-1,0))+IF($C467&lt;&gt;1,1,MAX(1,COUNTIF(QCI!$A$13:$A$24,OFFSET($E467,-1,0)))),"")</f>
        <v/>
      </c>
      <c r="AE467" s="7" t="str">
        <f ca="1">IF(AND($C467="S",ORÇAMENTO.CodBarra&lt;&gt;""),IF(ORÇAMENTO.Fonte="",ORÇAMENTO.CodBarra,CONCATENATE(ORÇAMENTO.Fonte," ",ORÇAMENTO.CodBarra)))</f>
        <v>Composição FNDE 336</v>
      </c>
      <c r="AF467" s="13" t="str">
        <f ca="1">IF(ISERROR(INDIRECT(ORÇAMENTO.BancoRef)),"(abra o arquivo 'Referência "&amp;Excel_BuiltIn_Database&amp;".xlsm)",IF(OR($C467&lt;&gt;"S",ORÇAMENTO.CodBarra=""),"(Sem Código)",IF(ISERROR(MATCH($AE467,INDIRECT(ORÇAMENTO.BancoRef),0)),"(Código não identificado nas referências)",MATCH($AE467,INDIRECT(ORÇAMENTO.BancoRef),0))))</f>
        <v>(abra o arquivo 'Referência 02-2025.xlsm)</v>
      </c>
      <c r="AG467" s="498">
        <f ca="1">ROUND(IF(DESONERACAO="sim",REFERENCIA.Desonerado,REFERENCIA.NaoDesonerado),2)</f>
        <v>0</v>
      </c>
      <c r="AH467" s="499">
        <f t="shared" ca="1" si="128"/>
        <v>0.22470000000000001</v>
      </c>
      <c r="AJ467" s="501">
        <v>2</v>
      </c>
      <c r="AL467" s="527"/>
      <c r="AM467" s="381">
        <f t="shared" ca="1" si="124"/>
        <v>0</v>
      </c>
      <c r="AN467" s="566">
        <f t="shared" ca="1" si="129"/>
        <v>0</v>
      </c>
    </row>
    <row r="468" spans="1:40" ht="38.25" x14ac:dyDescent="0.2">
      <c r="A468" t="str">
        <f t="shared" si="126"/>
        <v>S</v>
      </c>
      <c r="B468">
        <f t="shared" ca="1" si="111"/>
        <v>3</v>
      </c>
      <c r="C468" t="str">
        <f t="shared" ca="1" si="112"/>
        <v>S</v>
      </c>
      <c r="D468">
        <f t="shared" ca="1" si="113"/>
        <v>0</v>
      </c>
      <c r="E468">
        <f ca="1">IF($C468=1,OFFSET(E468,-1,0)+MAX(1,COUNTIF(QCI!$A$13:$A$24,OFFSET(ORÇAMENTO!E468,-1,0))),OFFSET(E468,-1,0))</f>
        <v>1</v>
      </c>
      <c r="F468">
        <f t="shared" ca="1" si="114"/>
        <v>16</v>
      </c>
      <c r="G468">
        <f t="shared" ca="1" si="115"/>
        <v>4</v>
      </c>
      <c r="H468">
        <f t="shared" ca="1" si="116"/>
        <v>0</v>
      </c>
      <c r="I468">
        <f t="shared" ca="1" si="117"/>
        <v>0</v>
      </c>
      <c r="J468">
        <f t="shared" ca="1" si="130"/>
        <v>0</v>
      </c>
      <c r="K468">
        <f ca="1">IF(OR($C468="S",$C468=0),0,MATCH(OFFSET($D468,0,$C468)+IF($C468&lt;&gt;1,1,COUNTIF(QCI!$A$13:$A$24,ORÇAMENTO!E468)),OFFSET($D468,1,$C468,ROW($C$747)-ROW($C468)),0))</f>
        <v>0</v>
      </c>
      <c r="L468" s="116" t="str">
        <f t="shared" ca="1" si="118"/>
        <v/>
      </c>
      <c r="M468" s="117" t="s">
        <v>199</v>
      </c>
      <c r="N468" s="118" t="str">
        <f t="shared" ca="1" si="119"/>
        <v>Serviço</v>
      </c>
      <c r="O468" s="119" t="str">
        <f t="shared" ca="1" si="120"/>
        <v>-</v>
      </c>
      <c r="P468" s="120" t="s">
        <v>247</v>
      </c>
      <c r="Q468" s="121" t="s">
        <v>641</v>
      </c>
      <c r="R468" s="122" t="str">
        <f ca="1">IF($C468="S",REFERENCIA.Descricao,"(digite a descrição aqui)")</f>
        <v>(abra o arquivo 'Referência 02-2025.xlsm)</v>
      </c>
      <c r="S468" s="123" t="str">
        <f ca="1">REFERENCIA.Unidade</f>
        <v>-</v>
      </c>
      <c r="T468" s="124">
        <f ca="1">OFFSET(CÁLCULO!H$15,ROW($T468)-ROW(T$15),0)</f>
        <v>2</v>
      </c>
      <c r="U468" s="125">
        <f t="shared" ca="1" si="109"/>
        <v>0</v>
      </c>
      <c r="V468" s="126" t="s">
        <v>156</v>
      </c>
      <c r="W468" s="124">
        <f ca="1">IF($C468="S",ROUND(IF(TIPOORCAMENTO="Proposto",ORÇAMENTO.CustoUnitario*(1+$AH468),ORÇAMENTO.PrecoUnitarioLicitado),15-13*$AF$10),0)</f>
        <v>0</v>
      </c>
      <c r="X468" s="127">
        <f ca="1">IF($C468="S",IF(Import.TipoArredondamento&lt;&gt;"TransfereGOV",VTOTAL1,SUM(OFFSET(CÁLCULO!$AA$15,ROW($X468)-ROW($X$15),1):OFFSET(CÁLCULO!$AL$15,ROW($X468)-ROW($X$15),-1))),IF($C468=0,0,ROUND(SomaAgrup,15-13*$AF$11)))</f>
        <v>0</v>
      </c>
      <c r="Y468" s="128" t="s">
        <v>245</v>
      </c>
      <c r="Z468" t="str">
        <f t="shared" ca="1" si="121"/>
        <v/>
      </c>
      <c r="AA468" s="129">
        <f ca="1">IF($C468="S",IF($Z468="CP",$X468,IF($Z468="RA",(($X468)*QCI!$AA$3),0)),SomaAgrup)</f>
        <v>0</v>
      </c>
      <c r="AB468" s="130">
        <f t="shared" ca="1" si="127"/>
        <v>0</v>
      </c>
      <c r="AC468" s="131" t="str">
        <f ca="1">IF($N468="","",IF(ORÇAMENTO.Descricao="","DESCRIÇÃO",IF(AND($C468="S",ORÇAMENTO.Unidade=""),"UNIDADE",IF($X468&lt;0,"VALOR NEGATIVO",IF(OR(AND(TIPOORCAMENTO="Proposto",$AG468&lt;&gt;"",$AG468&gt;0,ORÇAMENTO.CustoUnitario&gt;$AG468),AND(TIPOORCAMENTO="LICITADO",ORÇAMENTO.PrecoUnitarioLicitado&gt;$AN468)),"ACIMA REF.","")))))</f>
        <v/>
      </c>
      <c r="AD468" t="str">
        <f ca="1">IF(C468&lt;=CRONO.NivelExibicao,MAX($AD$15:OFFSET(AD468,-1,0))+IF($C468&lt;&gt;1,1,MAX(1,COUNTIF(QCI!$A$13:$A$24,OFFSET($E468,-1,0)))),"")</f>
        <v/>
      </c>
      <c r="AE468" s="7" t="str">
        <f ca="1">IF(AND($C468="S",ORÇAMENTO.CodBarra&lt;&gt;""),IF(ORÇAMENTO.Fonte="",ORÇAMENTO.CodBarra,CONCATENATE(ORÇAMENTO.Fonte," ",ORÇAMENTO.CodBarra)))</f>
        <v>SINAPI 97450</v>
      </c>
      <c r="AF468" s="13" t="str">
        <f ca="1">IF(ISERROR(INDIRECT(ORÇAMENTO.BancoRef)),"(abra o arquivo 'Referência "&amp;Excel_BuiltIn_Database&amp;".xlsm)",IF(OR($C468&lt;&gt;"S",ORÇAMENTO.CodBarra=""),"(Sem Código)",IF(ISERROR(MATCH($AE468,INDIRECT(ORÇAMENTO.BancoRef),0)),"(Código não identificado nas referências)",MATCH($AE468,INDIRECT(ORÇAMENTO.BancoRef),0))))</f>
        <v>(abra o arquivo 'Referência 02-2025.xlsm)</v>
      </c>
      <c r="AG468" s="498">
        <f ca="1">ROUND(IF(DESONERACAO="sim",REFERENCIA.Desonerado,REFERENCIA.NaoDesonerado),2)</f>
        <v>0</v>
      </c>
      <c r="AH468" s="499">
        <f t="shared" ca="1" si="128"/>
        <v>0.22470000000000001</v>
      </c>
      <c r="AJ468" s="501">
        <v>2</v>
      </c>
      <c r="AL468" s="527"/>
      <c r="AM468" s="381">
        <f t="shared" ca="1" si="124"/>
        <v>0</v>
      </c>
      <c r="AN468" s="566">
        <f t="shared" ca="1" si="129"/>
        <v>0</v>
      </c>
    </row>
    <row r="469" spans="1:40" ht="38.25" x14ac:dyDescent="0.2">
      <c r="A469" t="str">
        <f t="shared" si="126"/>
        <v>S</v>
      </c>
      <c r="B469">
        <f t="shared" ca="1" si="111"/>
        <v>3</v>
      </c>
      <c r="C469" t="str">
        <f t="shared" ca="1" si="112"/>
        <v>S</v>
      </c>
      <c r="D469">
        <f t="shared" ca="1" si="113"/>
        <v>0</v>
      </c>
      <c r="E469">
        <f ca="1">IF($C469=1,OFFSET(E469,-1,0)+MAX(1,COUNTIF(QCI!$A$13:$A$24,OFFSET(ORÇAMENTO!E469,-1,0))),OFFSET(E469,-1,0))</f>
        <v>1</v>
      </c>
      <c r="F469">
        <f t="shared" ca="1" si="114"/>
        <v>16</v>
      </c>
      <c r="G469">
        <f t="shared" ca="1" si="115"/>
        <v>4</v>
      </c>
      <c r="H469">
        <f t="shared" ca="1" si="116"/>
        <v>0</v>
      </c>
      <c r="I469">
        <f t="shared" ca="1" si="117"/>
        <v>0</v>
      </c>
      <c r="J469">
        <f t="shared" ca="1" si="130"/>
        <v>0</v>
      </c>
      <c r="K469">
        <f ca="1">IF(OR($C469="S",$C469=0),0,MATCH(OFFSET($D469,0,$C469)+IF($C469&lt;&gt;1,1,COUNTIF(QCI!$A$13:$A$24,ORÇAMENTO!E469)),OFFSET($D469,1,$C469,ROW($C$747)-ROW($C469)),0))</f>
        <v>0</v>
      </c>
      <c r="L469" s="116" t="str">
        <f t="shared" ca="1" si="118"/>
        <v/>
      </c>
      <c r="M469" s="117" t="s">
        <v>199</v>
      </c>
      <c r="N469" s="118" t="str">
        <f t="shared" ca="1" si="119"/>
        <v>Serviço</v>
      </c>
      <c r="O469" s="119" t="str">
        <f t="shared" ca="1" si="120"/>
        <v>-</v>
      </c>
      <c r="P469" s="120" t="s">
        <v>247</v>
      </c>
      <c r="Q469" s="121" t="s">
        <v>948</v>
      </c>
      <c r="R469" s="122" t="str">
        <f ca="1">IF($C469="S",REFERENCIA.Descricao,"(digite a descrição aqui)")</f>
        <v>(abra o arquivo 'Referência 02-2025.xlsm)</v>
      </c>
      <c r="S469" s="123" t="str">
        <f ca="1">REFERENCIA.Unidade</f>
        <v>-</v>
      </c>
      <c r="T469" s="124">
        <f ca="1">OFFSET(CÁLCULO!H$15,ROW($T469)-ROW(T$15),0)</f>
        <v>3</v>
      </c>
      <c r="U469" s="125">
        <f t="shared" ca="1" si="109"/>
        <v>0</v>
      </c>
      <c r="V469" s="126" t="s">
        <v>156</v>
      </c>
      <c r="W469" s="124">
        <f ca="1">IF($C469="S",ROUND(IF(TIPOORCAMENTO="Proposto",ORÇAMENTO.CustoUnitario*(1+$AH469),ORÇAMENTO.PrecoUnitarioLicitado),15-13*$AF$10),0)</f>
        <v>0</v>
      </c>
      <c r="X469" s="127">
        <f ca="1">IF($C469="S",IF(Import.TipoArredondamento&lt;&gt;"TransfereGOV",VTOTAL1,SUM(OFFSET(CÁLCULO!$AA$15,ROW($X469)-ROW($X$15),1):OFFSET(CÁLCULO!$AL$15,ROW($X469)-ROW($X$15),-1))),IF($C469=0,0,ROUND(SomaAgrup,15-13*$AF$11)))</f>
        <v>0</v>
      </c>
      <c r="Y469" s="128" t="s">
        <v>245</v>
      </c>
      <c r="Z469" t="str">
        <f t="shared" ca="1" si="121"/>
        <v/>
      </c>
      <c r="AA469" s="129">
        <f ca="1">IF($C469="S",IF($Z469="CP",$X469,IF($Z469="RA",(($X469)*QCI!$AA$3),0)),SomaAgrup)</f>
        <v>0</v>
      </c>
      <c r="AB469" s="130">
        <f t="shared" ca="1" si="127"/>
        <v>0</v>
      </c>
      <c r="AC469" s="131" t="str">
        <f ca="1">IF($N469="","",IF(ORÇAMENTO.Descricao="","DESCRIÇÃO",IF(AND($C469="S",ORÇAMENTO.Unidade=""),"UNIDADE",IF($X469&lt;0,"VALOR NEGATIVO",IF(OR(AND(TIPOORCAMENTO="Proposto",$AG469&lt;&gt;"",$AG469&gt;0,ORÇAMENTO.CustoUnitario&gt;$AG469),AND(TIPOORCAMENTO="LICITADO",ORÇAMENTO.PrecoUnitarioLicitado&gt;$AN469)),"ACIMA REF.","")))))</f>
        <v/>
      </c>
      <c r="AD469" t="str">
        <f ca="1">IF(C469&lt;=CRONO.NivelExibicao,MAX($AD$15:OFFSET(AD469,-1,0))+IF($C469&lt;&gt;1,1,MAX(1,COUNTIF(QCI!$A$13:$A$24,OFFSET($E469,-1,0)))),"")</f>
        <v/>
      </c>
      <c r="AE469" s="7" t="str">
        <f ca="1">IF(AND($C469="S",ORÇAMENTO.CodBarra&lt;&gt;""),IF(ORÇAMENTO.Fonte="",ORÇAMENTO.CodBarra,CONCATENATE(ORÇAMENTO.Fonte," ",ORÇAMENTO.CodBarra)))</f>
        <v>SINAPI 92637</v>
      </c>
      <c r="AF469" s="13" t="str">
        <f ca="1">IF(ISERROR(INDIRECT(ORÇAMENTO.BancoRef)),"(abra o arquivo 'Referência "&amp;Excel_BuiltIn_Database&amp;".xlsm)",IF(OR($C469&lt;&gt;"S",ORÇAMENTO.CodBarra=""),"(Sem Código)",IF(ISERROR(MATCH($AE469,INDIRECT(ORÇAMENTO.BancoRef),0)),"(Código não identificado nas referências)",MATCH($AE469,INDIRECT(ORÇAMENTO.BancoRef),0))))</f>
        <v>(abra o arquivo 'Referência 02-2025.xlsm)</v>
      </c>
      <c r="AG469" s="498">
        <f ca="1">ROUND(IF(DESONERACAO="sim",REFERENCIA.Desonerado,REFERENCIA.NaoDesonerado),2)</f>
        <v>0</v>
      </c>
      <c r="AH469" s="499">
        <f t="shared" ca="1" si="128"/>
        <v>0.22470000000000001</v>
      </c>
      <c r="AJ469" s="501">
        <v>3</v>
      </c>
      <c r="AL469" s="527"/>
      <c r="AM469" s="381">
        <f t="shared" ca="1" si="124"/>
        <v>0</v>
      </c>
      <c r="AN469" s="566">
        <f t="shared" ca="1" si="129"/>
        <v>0</v>
      </c>
    </row>
    <row r="470" spans="1:40" ht="25.5" x14ac:dyDescent="0.2">
      <c r="A470" t="str">
        <f t="shared" si="126"/>
        <v>S</v>
      </c>
      <c r="B470">
        <f t="shared" ca="1" si="111"/>
        <v>3</v>
      </c>
      <c r="C470" t="str">
        <f t="shared" ca="1" si="112"/>
        <v>S</v>
      </c>
      <c r="D470">
        <f t="shared" ca="1" si="113"/>
        <v>0</v>
      </c>
      <c r="E470">
        <f ca="1">IF($C470=1,OFFSET(E470,-1,0)+MAX(1,COUNTIF(QCI!$A$13:$A$24,OFFSET(ORÇAMENTO!E470,-1,0))),OFFSET(E470,-1,0))</f>
        <v>1</v>
      </c>
      <c r="F470">
        <f t="shared" ca="1" si="114"/>
        <v>16</v>
      </c>
      <c r="G470">
        <f t="shared" ca="1" si="115"/>
        <v>4</v>
      </c>
      <c r="H470">
        <f t="shared" ca="1" si="116"/>
        <v>0</v>
      </c>
      <c r="I470">
        <f t="shared" ca="1" si="117"/>
        <v>0</v>
      </c>
      <c r="J470">
        <f t="shared" ca="1" si="130"/>
        <v>0</v>
      </c>
      <c r="K470">
        <f ca="1">IF(OR($C470="S",$C470=0),0,MATCH(OFFSET($D470,0,$C470)+IF($C470&lt;&gt;1,1,COUNTIF(QCI!$A$13:$A$24,ORÇAMENTO!E470)),OFFSET($D470,1,$C470,ROW($C$747)-ROW($C470)),0))</f>
        <v>0</v>
      </c>
      <c r="L470" s="116" t="str">
        <f t="shared" ca="1" si="118"/>
        <v/>
      </c>
      <c r="M470" s="117" t="s">
        <v>199</v>
      </c>
      <c r="N470" s="118" t="str">
        <f t="shared" ca="1" si="119"/>
        <v>Serviço</v>
      </c>
      <c r="O470" s="119" t="str">
        <f t="shared" ca="1" si="120"/>
        <v>-</v>
      </c>
      <c r="P470" s="120" t="s">
        <v>712</v>
      </c>
      <c r="Q470" s="121" t="s">
        <v>825</v>
      </c>
      <c r="R470" s="122" t="str">
        <f ca="1">IF($C470="S",REFERENCIA.Descricao,"(digite a descrição aqui)")</f>
        <v>(abra o arquivo 'Referência 02-2025.xlsm)</v>
      </c>
      <c r="S470" s="123" t="str">
        <f ca="1">REFERENCIA.Unidade</f>
        <v>-</v>
      </c>
      <c r="T470" s="124">
        <f ca="1">OFFSET(CÁLCULO!H$15,ROW($T470)-ROW(T$15),0)</f>
        <v>1</v>
      </c>
      <c r="U470" s="125">
        <f t="shared" ref="U470:U529" ca="1" si="131">AG470</f>
        <v>0</v>
      </c>
      <c r="V470" s="126" t="s">
        <v>156</v>
      </c>
      <c r="W470" s="124">
        <f ca="1">IF($C470="S",ROUND(IF(TIPOORCAMENTO="Proposto",ORÇAMENTO.CustoUnitario*(1+$AH470),ORÇAMENTO.PrecoUnitarioLicitado),15-13*$AF$10),0)</f>
        <v>0</v>
      </c>
      <c r="X470" s="127">
        <f ca="1">IF($C470="S",IF(Import.TipoArredondamento&lt;&gt;"TransfereGOV",VTOTAL1,SUM(OFFSET(CÁLCULO!$AA$15,ROW($X470)-ROW($X$15),1):OFFSET(CÁLCULO!$AL$15,ROW($X470)-ROW($X$15),-1))),IF($C470=0,0,ROUND(SomaAgrup,15-13*$AF$11)))</f>
        <v>0</v>
      </c>
      <c r="Y470" s="128" t="s">
        <v>245</v>
      </c>
      <c r="Z470" t="str">
        <f t="shared" ca="1" si="121"/>
        <v/>
      </c>
      <c r="AA470" s="129">
        <f ca="1">IF($C470="S",IF($Z470="CP",$X470,IF($Z470="RA",(($X470)*QCI!$AA$3),0)),SomaAgrup)</f>
        <v>0</v>
      </c>
      <c r="AB470" s="130">
        <f t="shared" ca="1" si="127"/>
        <v>0</v>
      </c>
      <c r="AC470" s="131" t="str">
        <f ca="1">IF($N470="","",IF(ORÇAMENTO.Descricao="","DESCRIÇÃO",IF(AND($C470="S",ORÇAMENTO.Unidade=""),"UNIDADE",IF($X470&lt;0,"VALOR NEGATIVO",IF(OR(AND(TIPOORCAMENTO="Proposto",$AG470&lt;&gt;"",$AG470&gt;0,ORÇAMENTO.CustoUnitario&gt;$AG470),AND(TIPOORCAMENTO="LICITADO",ORÇAMENTO.PrecoUnitarioLicitado&gt;$AN470)),"ACIMA REF.","")))))</f>
        <v/>
      </c>
      <c r="AD470" t="str">
        <f ca="1">IF(C470&lt;=CRONO.NivelExibicao,MAX($AD$15:OFFSET(AD470,-1,0))+IF($C470&lt;&gt;1,1,MAX(1,COUNTIF(QCI!$A$13:$A$24,OFFSET($E470,-1,0)))),"")</f>
        <v/>
      </c>
      <c r="AE470" s="7" t="str">
        <f ca="1">IF(AND($C470="S",ORÇAMENTO.CodBarra&lt;&gt;""),IF(ORÇAMENTO.Fonte="",ORÇAMENTO.CodBarra,CONCATENATE(ORÇAMENTO.Fonte," ",ORÇAMENTO.CodBarra)))</f>
        <v>Composição FNDE 338</v>
      </c>
      <c r="AF470" s="13" t="str">
        <f ca="1">IF(ISERROR(INDIRECT(ORÇAMENTO.BancoRef)),"(abra o arquivo 'Referência "&amp;Excel_BuiltIn_Database&amp;".xlsm)",IF(OR($C470&lt;&gt;"S",ORÇAMENTO.CodBarra=""),"(Sem Código)",IF(ISERROR(MATCH($AE470,INDIRECT(ORÇAMENTO.BancoRef),0)),"(Código não identificado nas referências)",MATCH($AE470,INDIRECT(ORÇAMENTO.BancoRef),0))))</f>
        <v>(abra o arquivo 'Referência 02-2025.xlsm)</v>
      </c>
      <c r="AG470" s="498">
        <f ca="1">ROUND(IF(DESONERACAO="sim",REFERENCIA.Desonerado,REFERENCIA.NaoDesonerado),2)</f>
        <v>0</v>
      </c>
      <c r="AH470" s="499">
        <f t="shared" ca="1" si="128"/>
        <v>0.22470000000000001</v>
      </c>
      <c r="AJ470" s="501">
        <v>1</v>
      </c>
      <c r="AL470" s="527"/>
      <c r="AM470" s="381">
        <f t="shared" ca="1" si="124"/>
        <v>0</v>
      </c>
      <c r="AN470" s="566">
        <f t="shared" ca="1" si="129"/>
        <v>0</v>
      </c>
    </row>
    <row r="471" spans="1:40" ht="25.5" x14ac:dyDescent="0.2">
      <c r="A471" t="str">
        <f t="shared" si="126"/>
        <v>S</v>
      </c>
      <c r="B471">
        <f t="shared" ca="1" si="111"/>
        <v>3</v>
      </c>
      <c r="C471" t="str">
        <f t="shared" ca="1" si="112"/>
        <v>S</v>
      </c>
      <c r="D471">
        <f t="shared" ca="1" si="113"/>
        <v>0</v>
      </c>
      <c r="E471">
        <f ca="1">IF($C471=1,OFFSET(E471,-1,0)+MAX(1,COUNTIF(QCI!$A$13:$A$24,OFFSET(ORÇAMENTO!E471,-1,0))),OFFSET(E471,-1,0))</f>
        <v>1</v>
      </c>
      <c r="F471">
        <f t="shared" ca="1" si="114"/>
        <v>16</v>
      </c>
      <c r="G471">
        <f t="shared" ca="1" si="115"/>
        <v>4</v>
      </c>
      <c r="H471">
        <f t="shared" ca="1" si="116"/>
        <v>0</v>
      </c>
      <c r="I471">
        <f t="shared" ca="1" si="117"/>
        <v>0</v>
      </c>
      <c r="J471">
        <f t="shared" ca="1" si="130"/>
        <v>0</v>
      </c>
      <c r="K471">
        <f ca="1">IF(OR($C471="S",$C471=0),0,MATCH(OFFSET($D471,0,$C471)+IF($C471&lt;&gt;1,1,COUNTIF(QCI!$A$13:$A$24,ORÇAMENTO!E471)),OFFSET($D471,1,$C471,ROW($C$747)-ROW($C471)),0))</f>
        <v>0</v>
      </c>
      <c r="L471" s="116" t="str">
        <f t="shared" ca="1" si="118"/>
        <v/>
      </c>
      <c r="M471" s="117" t="s">
        <v>199</v>
      </c>
      <c r="N471" s="118" t="str">
        <f t="shared" ca="1" si="119"/>
        <v>Serviço</v>
      </c>
      <c r="O471" s="119" t="str">
        <f t="shared" ca="1" si="120"/>
        <v>-</v>
      </c>
      <c r="P471" s="120" t="s">
        <v>712</v>
      </c>
      <c r="Q471" s="121" t="s">
        <v>826</v>
      </c>
      <c r="R471" s="122" t="str">
        <f ca="1">IF($C471="S",REFERENCIA.Descricao,"(digite a descrição aqui)")</f>
        <v>(abra o arquivo 'Referência 02-2025.xlsm)</v>
      </c>
      <c r="S471" s="123" t="str">
        <f ca="1">REFERENCIA.Unidade</f>
        <v>-</v>
      </c>
      <c r="T471" s="124">
        <f ca="1">OFFSET(CÁLCULO!H$15,ROW($T471)-ROW(T$15),0)</f>
        <v>2</v>
      </c>
      <c r="U471" s="125">
        <f t="shared" ca="1" si="131"/>
        <v>0</v>
      </c>
      <c r="V471" s="126" t="s">
        <v>156</v>
      </c>
      <c r="W471" s="124">
        <f ca="1">IF($C471="S",ROUND(IF(TIPOORCAMENTO="Proposto",ORÇAMENTO.CustoUnitario*(1+$AH471),ORÇAMENTO.PrecoUnitarioLicitado),15-13*$AF$10),0)</f>
        <v>0</v>
      </c>
      <c r="X471" s="127">
        <f ca="1">IF($C471="S",IF(Import.TipoArredondamento&lt;&gt;"TransfereGOV",VTOTAL1,SUM(OFFSET(CÁLCULO!$AA$15,ROW($X471)-ROW($X$15),1):OFFSET(CÁLCULO!$AL$15,ROW($X471)-ROW($X$15),-1))),IF($C471=0,0,ROUND(SomaAgrup,15-13*$AF$11)))</f>
        <v>0</v>
      </c>
      <c r="Y471" s="128" t="s">
        <v>245</v>
      </c>
      <c r="Z471" t="str">
        <f t="shared" ca="1" si="121"/>
        <v/>
      </c>
      <c r="AA471" s="129">
        <f ca="1">IF($C471="S",IF($Z471="CP",$X471,IF($Z471="RA",(($X471)*QCI!$AA$3),0)),SomaAgrup)</f>
        <v>0</v>
      </c>
      <c r="AB471" s="130">
        <f t="shared" ca="1" si="127"/>
        <v>0</v>
      </c>
      <c r="AC471" s="131" t="str">
        <f ca="1">IF($N471="","",IF(ORÇAMENTO.Descricao="","DESCRIÇÃO",IF(AND($C471="S",ORÇAMENTO.Unidade=""),"UNIDADE",IF($X471&lt;0,"VALOR NEGATIVO",IF(OR(AND(TIPOORCAMENTO="Proposto",$AG471&lt;&gt;"",$AG471&gt;0,ORÇAMENTO.CustoUnitario&gt;$AG471),AND(TIPOORCAMENTO="LICITADO",ORÇAMENTO.PrecoUnitarioLicitado&gt;$AN471)),"ACIMA REF.","")))))</f>
        <v/>
      </c>
      <c r="AD471" t="str">
        <f ca="1">IF(C471&lt;=CRONO.NivelExibicao,MAX($AD$15:OFFSET(AD471,-1,0))+IF($C471&lt;&gt;1,1,MAX(1,COUNTIF(QCI!$A$13:$A$24,OFFSET($E471,-1,0)))),"")</f>
        <v/>
      </c>
      <c r="AE471" s="7" t="str">
        <f ca="1">IF(AND($C471="S",ORÇAMENTO.CodBarra&lt;&gt;""),IF(ORÇAMENTO.Fonte="",ORÇAMENTO.CodBarra,CONCATENATE(ORÇAMENTO.Fonte," ",ORÇAMENTO.CodBarra)))</f>
        <v>Composição FNDE 339</v>
      </c>
      <c r="AF471" s="13" t="str">
        <f ca="1">IF(ISERROR(INDIRECT(ORÇAMENTO.BancoRef)),"(abra o arquivo 'Referência "&amp;Excel_BuiltIn_Database&amp;".xlsm)",IF(OR($C471&lt;&gt;"S",ORÇAMENTO.CodBarra=""),"(Sem Código)",IF(ISERROR(MATCH($AE471,INDIRECT(ORÇAMENTO.BancoRef),0)),"(Código não identificado nas referências)",MATCH($AE471,INDIRECT(ORÇAMENTO.BancoRef),0))))</f>
        <v>(abra o arquivo 'Referência 02-2025.xlsm)</v>
      </c>
      <c r="AG471" s="498">
        <f ca="1">ROUND(IF(DESONERACAO="sim",REFERENCIA.Desonerado,REFERENCIA.NaoDesonerado),2)</f>
        <v>0</v>
      </c>
      <c r="AH471" s="499">
        <f t="shared" ca="1" si="128"/>
        <v>0.22470000000000001</v>
      </c>
      <c r="AJ471" s="501">
        <v>2</v>
      </c>
      <c r="AL471" s="527"/>
      <c r="AM471" s="381">
        <f t="shared" ca="1" si="124"/>
        <v>0</v>
      </c>
      <c r="AN471" s="566">
        <f t="shared" ca="1" si="129"/>
        <v>0</v>
      </c>
    </row>
    <row r="472" spans="1:40" ht="25.5" x14ac:dyDescent="0.2">
      <c r="A472" t="str">
        <f t="shared" si="126"/>
        <v>S</v>
      </c>
      <c r="B472">
        <f t="shared" ca="1" si="111"/>
        <v>3</v>
      </c>
      <c r="C472" t="str">
        <f t="shared" ca="1" si="112"/>
        <v>S</v>
      </c>
      <c r="D472">
        <f t="shared" ca="1" si="113"/>
        <v>0</v>
      </c>
      <c r="E472">
        <f ca="1">IF($C472=1,OFFSET(E472,-1,0)+MAX(1,COUNTIF(QCI!$A$13:$A$24,OFFSET(ORÇAMENTO!E472,-1,0))),OFFSET(E472,-1,0))</f>
        <v>1</v>
      </c>
      <c r="F472">
        <f t="shared" ca="1" si="114"/>
        <v>16</v>
      </c>
      <c r="G472">
        <f t="shared" ca="1" si="115"/>
        <v>4</v>
      </c>
      <c r="H472">
        <f t="shared" ca="1" si="116"/>
        <v>0</v>
      </c>
      <c r="I472">
        <f t="shared" ca="1" si="117"/>
        <v>0</v>
      </c>
      <c r="J472">
        <f t="shared" ca="1" si="130"/>
        <v>0</v>
      </c>
      <c r="K472">
        <f ca="1">IF(OR($C472="S",$C472=0),0,MATCH(OFFSET($D472,0,$C472)+IF($C472&lt;&gt;1,1,COUNTIF(QCI!$A$13:$A$24,ORÇAMENTO!E472)),OFFSET($D472,1,$C472,ROW($C$747)-ROW($C472)),0))</f>
        <v>0</v>
      </c>
      <c r="L472" s="116" t="str">
        <f t="shared" ca="1" si="118"/>
        <v/>
      </c>
      <c r="M472" s="117" t="s">
        <v>199</v>
      </c>
      <c r="N472" s="118" t="str">
        <f t="shared" ca="1" si="119"/>
        <v>Serviço</v>
      </c>
      <c r="O472" s="119" t="str">
        <f t="shared" ca="1" si="120"/>
        <v>-</v>
      </c>
      <c r="P472" s="120" t="s">
        <v>712</v>
      </c>
      <c r="Q472" s="121" t="s">
        <v>827</v>
      </c>
      <c r="R472" s="122" t="str">
        <f ca="1">IF($C472="S",REFERENCIA.Descricao,"(digite a descrição aqui)")</f>
        <v>(abra o arquivo 'Referência 02-2025.xlsm)</v>
      </c>
      <c r="S472" s="123" t="str">
        <f ca="1">REFERENCIA.Unidade</f>
        <v>-</v>
      </c>
      <c r="T472" s="124">
        <f ca="1">OFFSET(CÁLCULO!H$15,ROW($T472)-ROW(T$15),0)</f>
        <v>1</v>
      </c>
      <c r="U472" s="125">
        <f t="shared" ca="1" si="131"/>
        <v>0</v>
      </c>
      <c r="V472" s="126" t="s">
        <v>156</v>
      </c>
      <c r="W472" s="124">
        <f ca="1">IF($C472="S",ROUND(IF(TIPOORCAMENTO="Proposto",ORÇAMENTO.CustoUnitario*(1+$AH472),ORÇAMENTO.PrecoUnitarioLicitado),15-13*$AF$10),0)</f>
        <v>0</v>
      </c>
      <c r="X472" s="127">
        <f ca="1">IF($C472="S",IF(Import.TipoArredondamento&lt;&gt;"TransfereGOV",VTOTAL1,SUM(OFFSET(CÁLCULO!$AA$15,ROW($X472)-ROW($X$15),1):OFFSET(CÁLCULO!$AL$15,ROW($X472)-ROW($X$15),-1))),IF($C472=0,0,ROUND(SomaAgrup,15-13*$AF$11)))</f>
        <v>0</v>
      </c>
      <c r="Y472" s="128" t="s">
        <v>245</v>
      </c>
      <c r="Z472" t="str">
        <f t="shared" ca="1" si="121"/>
        <v/>
      </c>
      <c r="AA472" s="129">
        <f ca="1">IF($C472="S",IF($Z472="CP",$X472,IF($Z472="RA",(($X472)*QCI!$AA$3),0)),SomaAgrup)</f>
        <v>0</v>
      </c>
      <c r="AB472" s="130">
        <f t="shared" ca="1" si="127"/>
        <v>0</v>
      </c>
      <c r="AC472" s="131" t="str">
        <f ca="1">IF($N472="","",IF(ORÇAMENTO.Descricao="","DESCRIÇÃO",IF(AND($C472="S",ORÇAMENTO.Unidade=""),"UNIDADE",IF($X472&lt;0,"VALOR NEGATIVO",IF(OR(AND(TIPOORCAMENTO="Proposto",$AG472&lt;&gt;"",$AG472&gt;0,ORÇAMENTO.CustoUnitario&gt;$AG472),AND(TIPOORCAMENTO="LICITADO",ORÇAMENTO.PrecoUnitarioLicitado&gt;$AN472)),"ACIMA REF.","")))))</f>
        <v/>
      </c>
      <c r="AD472" t="str">
        <f ca="1">IF(C472&lt;=CRONO.NivelExibicao,MAX($AD$15:OFFSET(AD472,-1,0))+IF($C472&lt;&gt;1,1,MAX(1,COUNTIF(QCI!$A$13:$A$24,OFFSET($E472,-1,0)))),"")</f>
        <v/>
      </c>
      <c r="AE472" s="7" t="str">
        <f ca="1">IF(AND($C472="S",ORÇAMENTO.CodBarra&lt;&gt;""),IF(ORÇAMENTO.Fonte="",ORÇAMENTO.CodBarra,CONCATENATE(ORÇAMENTO.Fonte," ",ORÇAMENTO.CodBarra)))</f>
        <v>Composição FNDE 340</v>
      </c>
      <c r="AF472" s="13" t="str">
        <f ca="1">IF(ISERROR(INDIRECT(ORÇAMENTO.BancoRef)),"(abra o arquivo 'Referência "&amp;Excel_BuiltIn_Database&amp;".xlsm)",IF(OR($C472&lt;&gt;"S",ORÇAMENTO.CodBarra=""),"(Sem Código)",IF(ISERROR(MATCH($AE472,INDIRECT(ORÇAMENTO.BancoRef),0)),"(Código não identificado nas referências)",MATCH($AE472,INDIRECT(ORÇAMENTO.BancoRef),0))))</f>
        <v>(abra o arquivo 'Referência 02-2025.xlsm)</v>
      </c>
      <c r="AG472" s="498">
        <f ca="1">ROUND(IF(DESONERACAO="sim",REFERENCIA.Desonerado,REFERENCIA.NaoDesonerado),2)</f>
        <v>0</v>
      </c>
      <c r="AH472" s="499">
        <f t="shared" ca="1" si="128"/>
        <v>0.22470000000000001</v>
      </c>
      <c r="AJ472" s="501">
        <v>1</v>
      </c>
      <c r="AL472" s="527"/>
      <c r="AM472" s="381">
        <f t="shared" ca="1" si="124"/>
        <v>0</v>
      </c>
      <c r="AN472" s="566">
        <f t="shared" ca="1" si="129"/>
        <v>0</v>
      </c>
    </row>
    <row r="473" spans="1:40" ht="25.5" x14ac:dyDescent="0.2">
      <c r="A473" t="str">
        <f t="shared" si="126"/>
        <v>S</v>
      </c>
      <c r="B473">
        <f t="shared" ca="1" si="111"/>
        <v>3</v>
      </c>
      <c r="C473" t="str">
        <f t="shared" ca="1" si="112"/>
        <v>S</v>
      </c>
      <c r="D473">
        <f t="shared" ca="1" si="113"/>
        <v>0</v>
      </c>
      <c r="E473">
        <f ca="1">IF($C473=1,OFFSET(E473,-1,0)+MAX(1,COUNTIF(QCI!$A$13:$A$24,OFFSET(ORÇAMENTO!E473,-1,0))),OFFSET(E473,-1,0))</f>
        <v>1</v>
      </c>
      <c r="F473">
        <f t="shared" ca="1" si="114"/>
        <v>16</v>
      </c>
      <c r="G473">
        <f t="shared" ca="1" si="115"/>
        <v>4</v>
      </c>
      <c r="H473">
        <f t="shared" ca="1" si="116"/>
        <v>0</v>
      </c>
      <c r="I473">
        <f t="shared" ca="1" si="117"/>
        <v>0</v>
      </c>
      <c r="J473">
        <f t="shared" ca="1" si="130"/>
        <v>0</v>
      </c>
      <c r="K473">
        <f ca="1">IF(OR($C473="S",$C473=0),0,MATCH(OFFSET($D473,0,$C473)+IF($C473&lt;&gt;1,1,COUNTIF(QCI!$A$13:$A$24,ORÇAMENTO!E473)),OFFSET($D473,1,$C473,ROW($C$747)-ROW($C473)),0))</f>
        <v>0</v>
      </c>
      <c r="L473" s="116" t="str">
        <f t="shared" ca="1" si="118"/>
        <v/>
      </c>
      <c r="M473" s="117" t="s">
        <v>199</v>
      </c>
      <c r="N473" s="118" t="str">
        <f t="shared" ca="1" si="119"/>
        <v>Serviço</v>
      </c>
      <c r="O473" s="119" t="str">
        <f t="shared" ca="1" si="120"/>
        <v>-</v>
      </c>
      <c r="P473" s="120" t="s">
        <v>712</v>
      </c>
      <c r="Q473" s="121" t="s">
        <v>828</v>
      </c>
      <c r="R473" s="122" t="str">
        <f ca="1">IF($C473="S",REFERENCIA.Descricao,"(digite a descrição aqui)")</f>
        <v>(abra o arquivo 'Referência 02-2025.xlsm)</v>
      </c>
      <c r="S473" s="123" t="str">
        <f ca="1">REFERENCIA.Unidade</f>
        <v>-</v>
      </c>
      <c r="T473" s="124">
        <f ca="1">OFFSET(CÁLCULO!H$15,ROW($T473)-ROW(T$15),0)</f>
        <v>2</v>
      </c>
      <c r="U473" s="125">
        <f t="shared" ca="1" si="131"/>
        <v>0</v>
      </c>
      <c r="V473" s="126" t="s">
        <v>156</v>
      </c>
      <c r="W473" s="124">
        <f ca="1">IF($C473="S",ROUND(IF(TIPOORCAMENTO="Proposto",ORÇAMENTO.CustoUnitario*(1+$AH473),ORÇAMENTO.PrecoUnitarioLicitado),15-13*$AF$10),0)</f>
        <v>0</v>
      </c>
      <c r="X473" s="127">
        <f ca="1">IF($C473="S",IF(Import.TipoArredondamento&lt;&gt;"TransfereGOV",VTOTAL1,SUM(OFFSET(CÁLCULO!$AA$15,ROW($X473)-ROW($X$15),1):OFFSET(CÁLCULO!$AL$15,ROW($X473)-ROW($X$15),-1))),IF($C473=0,0,ROUND(SomaAgrup,15-13*$AF$11)))</f>
        <v>0</v>
      </c>
      <c r="Y473" s="128" t="s">
        <v>245</v>
      </c>
      <c r="Z473" t="str">
        <f t="shared" ca="1" si="121"/>
        <v/>
      </c>
      <c r="AA473" s="129">
        <f ca="1">IF($C473="S",IF($Z473="CP",$X473,IF($Z473="RA",(($X473)*QCI!$AA$3),0)),SomaAgrup)</f>
        <v>0</v>
      </c>
      <c r="AB473" s="130">
        <f t="shared" ca="1" si="127"/>
        <v>0</v>
      </c>
      <c r="AC473" s="131" t="str">
        <f ca="1">IF($N473="","",IF(ORÇAMENTO.Descricao="","DESCRIÇÃO",IF(AND($C473="S",ORÇAMENTO.Unidade=""),"UNIDADE",IF($X473&lt;0,"VALOR NEGATIVO",IF(OR(AND(TIPOORCAMENTO="Proposto",$AG473&lt;&gt;"",$AG473&gt;0,ORÇAMENTO.CustoUnitario&gt;$AG473),AND(TIPOORCAMENTO="LICITADO",ORÇAMENTO.PrecoUnitarioLicitado&gt;$AN473)),"ACIMA REF.","")))))</f>
        <v/>
      </c>
      <c r="AD473" t="str">
        <f ca="1">IF(C473&lt;=CRONO.NivelExibicao,MAX($AD$15:OFFSET(AD473,-1,0))+IF($C473&lt;&gt;1,1,MAX(1,COUNTIF(QCI!$A$13:$A$24,OFFSET($E473,-1,0)))),"")</f>
        <v/>
      </c>
      <c r="AE473" s="7" t="str">
        <f ca="1">IF(AND($C473="S",ORÇAMENTO.CodBarra&lt;&gt;""),IF(ORÇAMENTO.Fonte="",ORÇAMENTO.CodBarra,CONCATENATE(ORÇAMENTO.Fonte," ",ORÇAMENTO.CodBarra)))</f>
        <v>Composição FNDE 341</v>
      </c>
      <c r="AF473" s="13" t="str">
        <f ca="1">IF(ISERROR(INDIRECT(ORÇAMENTO.BancoRef)),"(abra o arquivo 'Referência "&amp;Excel_BuiltIn_Database&amp;".xlsm)",IF(OR($C473&lt;&gt;"S",ORÇAMENTO.CodBarra=""),"(Sem Código)",IF(ISERROR(MATCH($AE473,INDIRECT(ORÇAMENTO.BancoRef),0)),"(Código não identificado nas referências)",MATCH($AE473,INDIRECT(ORÇAMENTO.BancoRef),0))))</f>
        <v>(abra o arquivo 'Referência 02-2025.xlsm)</v>
      </c>
      <c r="AG473" s="498">
        <f ca="1">ROUND(IF(DESONERACAO="sim",REFERENCIA.Desonerado,REFERENCIA.NaoDesonerado),2)</f>
        <v>0</v>
      </c>
      <c r="AH473" s="499">
        <f t="shared" ca="1" si="128"/>
        <v>0.22470000000000001</v>
      </c>
      <c r="AJ473" s="501">
        <v>2</v>
      </c>
      <c r="AL473" s="527"/>
      <c r="AM473" s="381">
        <f t="shared" ca="1" si="124"/>
        <v>0</v>
      </c>
      <c r="AN473" s="566">
        <f t="shared" ca="1" si="129"/>
        <v>0</v>
      </c>
    </row>
    <row r="474" spans="1:40" ht="38.25" x14ac:dyDescent="0.2">
      <c r="A474" t="str">
        <f t="shared" si="126"/>
        <v>S</v>
      </c>
      <c r="B474">
        <f t="shared" ca="1" si="111"/>
        <v>3</v>
      </c>
      <c r="C474" t="str">
        <f t="shared" ca="1" si="112"/>
        <v>S</v>
      </c>
      <c r="D474">
        <f t="shared" ca="1" si="113"/>
        <v>0</v>
      </c>
      <c r="E474">
        <f ca="1">IF($C474=1,OFFSET(E474,-1,0)+MAX(1,COUNTIF(QCI!$A$13:$A$24,OFFSET(ORÇAMENTO!E474,-1,0))),OFFSET(E474,-1,0))</f>
        <v>1</v>
      </c>
      <c r="F474">
        <f t="shared" ca="1" si="114"/>
        <v>16</v>
      </c>
      <c r="G474">
        <f t="shared" ca="1" si="115"/>
        <v>4</v>
      </c>
      <c r="H474">
        <f t="shared" ca="1" si="116"/>
        <v>0</v>
      </c>
      <c r="I474">
        <f t="shared" ca="1" si="117"/>
        <v>0</v>
      </c>
      <c r="J474">
        <f t="shared" ca="1" si="130"/>
        <v>0</v>
      </c>
      <c r="K474">
        <f ca="1">IF(OR($C474="S",$C474=0),0,MATCH(OFFSET($D474,0,$C474)+IF($C474&lt;&gt;1,1,COUNTIF(QCI!$A$13:$A$24,ORÇAMENTO!E474)),OFFSET($D474,1,$C474,ROW($C$747)-ROW($C474)),0))</f>
        <v>0</v>
      </c>
      <c r="L474" s="116" t="str">
        <f t="shared" ca="1" si="118"/>
        <v/>
      </c>
      <c r="M474" s="117" t="s">
        <v>199</v>
      </c>
      <c r="N474" s="118" t="str">
        <f t="shared" ca="1" si="119"/>
        <v>Serviço</v>
      </c>
      <c r="O474" s="119" t="str">
        <f t="shared" ca="1" si="120"/>
        <v>-</v>
      </c>
      <c r="P474" s="120" t="s">
        <v>247</v>
      </c>
      <c r="Q474" s="121" t="s">
        <v>949</v>
      </c>
      <c r="R474" s="122" t="str">
        <f ca="1">IF($C474="S",REFERENCIA.Descricao,"(digite a descrição aqui)")</f>
        <v>(abra o arquivo 'Referência 02-2025.xlsm)</v>
      </c>
      <c r="S474" s="123" t="str">
        <f ca="1">REFERENCIA.Unidade</f>
        <v>-</v>
      </c>
      <c r="T474" s="124">
        <f ca="1">OFFSET(CÁLCULO!H$15,ROW($T474)-ROW(T$15),0)</f>
        <v>2</v>
      </c>
      <c r="U474" s="125">
        <f t="shared" ca="1" si="131"/>
        <v>0</v>
      </c>
      <c r="V474" s="126" t="s">
        <v>156</v>
      </c>
      <c r="W474" s="124">
        <f ca="1">IF($C474="S",ROUND(IF(TIPOORCAMENTO="Proposto",ORÇAMENTO.CustoUnitario*(1+$AH474),ORÇAMENTO.PrecoUnitarioLicitado),15-13*$AF$10),0)</f>
        <v>0</v>
      </c>
      <c r="X474" s="127">
        <f ca="1">IF($C474="S",IF(Import.TipoArredondamento&lt;&gt;"TransfereGOV",VTOTAL1,SUM(OFFSET(CÁLCULO!$AA$15,ROW($X474)-ROW($X$15),1):OFFSET(CÁLCULO!$AL$15,ROW($X474)-ROW($X$15),-1))),IF($C474=0,0,ROUND(SomaAgrup,15-13*$AF$11)))</f>
        <v>0</v>
      </c>
      <c r="Y474" s="128" t="s">
        <v>245</v>
      </c>
      <c r="Z474" t="str">
        <f t="shared" ca="1" si="121"/>
        <v/>
      </c>
      <c r="AA474" s="129">
        <f ca="1">IF($C474="S",IF($Z474="CP",$X474,IF($Z474="RA",(($X474)*QCI!$AA$3),0)),SomaAgrup)</f>
        <v>0</v>
      </c>
      <c r="AB474" s="130">
        <f t="shared" ca="1" si="127"/>
        <v>0</v>
      </c>
      <c r="AC474" s="131" t="str">
        <f ca="1">IF($N474="","",IF(ORÇAMENTO.Descricao="","DESCRIÇÃO",IF(AND($C474="S",ORÇAMENTO.Unidade=""),"UNIDADE",IF($X474&lt;0,"VALOR NEGATIVO",IF(OR(AND(TIPOORCAMENTO="Proposto",$AG474&lt;&gt;"",$AG474&gt;0,ORÇAMENTO.CustoUnitario&gt;$AG474),AND(TIPOORCAMENTO="LICITADO",ORÇAMENTO.PrecoUnitarioLicitado&gt;$AN474)),"ACIMA REF.","")))))</f>
        <v/>
      </c>
      <c r="AD474" t="str">
        <f ca="1">IF(C474&lt;=CRONO.NivelExibicao,MAX($AD$15:OFFSET(AD474,-1,0))+IF($C474&lt;&gt;1,1,MAX(1,COUNTIF(QCI!$A$13:$A$24,OFFSET($E474,-1,0)))),"")</f>
        <v/>
      </c>
      <c r="AE474" s="7" t="str">
        <f ca="1">IF(AND($C474="S",ORÇAMENTO.CodBarra&lt;&gt;""),IF(ORÇAMENTO.Fonte="",ORÇAMENTO.CodBarra,CONCATENATE(ORÇAMENTO.Fonte," ",ORÇAMENTO.CodBarra)))</f>
        <v>SINAPI 92642</v>
      </c>
      <c r="AF474" s="13" t="str">
        <f ca="1">IF(ISERROR(INDIRECT(ORÇAMENTO.BancoRef)),"(abra o arquivo 'Referência "&amp;Excel_BuiltIn_Database&amp;".xlsm)",IF(OR($C474&lt;&gt;"S",ORÇAMENTO.CodBarra=""),"(Sem Código)",IF(ISERROR(MATCH($AE474,INDIRECT(ORÇAMENTO.BancoRef),0)),"(Código não identificado nas referências)",MATCH($AE474,INDIRECT(ORÇAMENTO.BancoRef),0))))</f>
        <v>(abra o arquivo 'Referência 02-2025.xlsm)</v>
      </c>
      <c r="AG474" s="498">
        <f ca="1">ROUND(IF(DESONERACAO="sim",REFERENCIA.Desonerado,REFERENCIA.NaoDesonerado),2)</f>
        <v>0</v>
      </c>
      <c r="AH474" s="499">
        <f t="shared" ca="1" si="128"/>
        <v>0.22470000000000001</v>
      </c>
      <c r="AJ474" s="501">
        <v>2</v>
      </c>
      <c r="AL474" s="527"/>
      <c r="AM474" s="381">
        <f t="shared" ca="1" si="124"/>
        <v>0</v>
      </c>
      <c r="AN474" s="566">
        <f t="shared" ca="1" si="129"/>
        <v>0</v>
      </c>
    </row>
    <row r="475" spans="1:40" ht="38.25" x14ac:dyDescent="0.2">
      <c r="A475" t="str">
        <f t="shared" si="126"/>
        <v>S</v>
      </c>
      <c r="B475">
        <f t="shared" ca="1" si="111"/>
        <v>3</v>
      </c>
      <c r="C475" t="str">
        <f t="shared" ca="1" si="112"/>
        <v>S</v>
      </c>
      <c r="D475">
        <f t="shared" ca="1" si="113"/>
        <v>0</v>
      </c>
      <c r="E475">
        <f ca="1">IF($C475=1,OFFSET(E475,-1,0)+MAX(1,COUNTIF(QCI!$A$13:$A$24,OFFSET(ORÇAMENTO!E475,-1,0))),OFFSET(E475,-1,0))</f>
        <v>1</v>
      </c>
      <c r="F475">
        <f t="shared" ca="1" si="114"/>
        <v>16</v>
      </c>
      <c r="G475">
        <f t="shared" ca="1" si="115"/>
        <v>4</v>
      </c>
      <c r="H475">
        <f t="shared" ca="1" si="116"/>
        <v>0</v>
      </c>
      <c r="I475">
        <f t="shared" ca="1" si="117"/>
        <v>0</v>
      </c>
      <c r="J475">
        <f t="shared" ca="1" si="130"/>
        <v>0</v>
      </c>
      <c r="K475">
        <f ca="1">IF(OR($C475="S",$C475=0),0,MATCH(OFFSET($D475,0,$C475)+IF($C475&lt;&gt;1,1,COUNTIF(QCI!$A$13:$A$24,ORÇAMENTO!E475)),OFFSET($D475,1,$C475,ROW($C$747)-ROW($C475)),0))</f>
        <v>0</v>
      </c>
      <c r="L475" s="116" t="str">
        <f t="shared" ca="1" si="118"/>
        <v/>
      </c>
      <c r="M475" s="117" t="s">
        <v>199</v>
      </c>
      <c r="N475" s="118" t="str">
        <f t="shared" ca="1" si="119"/>
        <v>Serviço</v>
      </c>
      <c r="O475" s="119" t="str">
        <f t="shared" ca="1" si="120"/>
        <v>-</v>
      </c>
      <c r="P475" s="120" t="s">
        <v>247</v>
      </c>
      <c r="Q475" s="121" t="s">
        <v>950</v>
      </c>
      <c r="R475" s="122" t="str">
        <f ca="1">IF($C475="S",REFERENCIA.Descricao,"(digite a descrição aqui)")</f>
        <v>(abra o arquivo 'Referência 02-2025.xlsm)</v>
      </c>
      <c r="S475" s="123" t="str">
        <f ca="1">REFERENCIA.Unidade</f>
        <v>-</v>
      </c>
      <c r="T475" s="124">
        <f ca="1">OFFSET(CÁLCULO!H$15,ROW($T475)-ROW(T$15),0)</f>
        <v>4</v>
      </c>
      <c r="U475" s="125">
        <f t="shared" ca="1" si="131"/>
        <v>0</v>
      </c>
      <c r="V475" s="126" t="s">
        <v>156</v>
      </c>
      <c r="W475" s="124">
        <f ca="1">IF($C475="S",ROUND(IF(TIPOORCAMENTO="Proposto",ORÇAMENTO.CustoUnitario*(1+$AH475),ORÇAMENTO.PrecoUnitarioLicitado),15-13*$AF$10),0)</f>
        <v>0</v>
      </c>
      <c r="X475" s="127">
        <f ca="1">IF($C475="S",IF(Import.TipoArredondamento&lt;&gt;"TransfereGOV",VTOTAL1,SUM(OFFSET(CÁLCULO!$AA$15,ROW($X475)-ROW($X$15),1):OFFSET(CÁLCULO!$AL$15,ROW($X475)-ROW($X$15),-1))),IF($C475=0,0,ROUND(SomaAgrup,15-13*$AF$11)))</f>
        <v>0</v>
      </c>
      <c r="Y475" s="128" t="s">
        <v>245</v>
      </c>
      <c r="Z475" t="str">
        <f t="shared" ca="1" si="121"/>
        <v/>
      </c>
      <c r="AA475" s="129">
        <f ca="1">IF($C475="S",IF($Z475="CP",$X475,IF($Z475="RA",(($X475)*QCI!$AA$3),0)),SomaAgrup)</f>
        <v>0</v>
      </c>
      <c r="AB475" s="130">
        <f t="shared" ca="1" si="127"/>
        <v>0</v>
      </c>
      <c r="AC475" s="131" t="str">
        <f ca="1">IF($N475="","",IF(ORÇAMENTO.Descricao="","DESCRIÇÃO",IF(AND($C475="S",ORÇAMENTO.Unidade=""),"UNIDADE",IF($X475&lt;0,"VALOR NEGATIVO",IF(OR(AND(TIPOORCAMENTO="Proposto",$AG475&lt;&gt;"",$AG475&gt;0,ORÇAMENTO.CustoUnitario&gt;$AG475),AND(TIPOORCAMENTO="LICITADO",ORÇAMENTO.PrecoUnitarioLicitado&gt;$AN475)),"ACIMA REF.","")))))</f>
        <v/>
      </c>
      <c r="AD475" t="str">
        <f ca="1">IF(C475&lt;=CRONO.NivelExibicao,MAX($AD$15:OFFSET(AD475,-1,0))+IF($C475&lt;&gt;1,1,MAX(1,COUNTIF(QCI!$A$13:$A$24,OFFSET($E475,-1,0)))),"")</f>
        <v/>
      </c>
      <c r="AE475" s="7" t="str">
        <f ca="1">IF(AND($C475="S",ORÇAMENTO.CodBarra&lt;&gt;""),IF(ORÇAMENTO.Fonte="",ORÇAMENTO.CodBarra,CONCATENATE(ORÇAMENTO.Fonte," ",ORÇAMENTO.CodBarra)))</f>
        <v>SINAPI 92644</v>
      </c>
      <c r="AF475" s="13" t="str">
        <f ca="1">IF(ISERROR(INDIRECT(ORÇAMENTO.BancoRef)),"(abra o arquivo 'Referência "&amp;Excel_BuiltIn_Database&amp;".xlsm)",IF(OR($C475&lt;&gt;"S",ORÇAMENTO.CodBarra=""),"(Sem Código)",IF(ISERROR(MATCH($AE475,INDIRECT(ORÇAMENTO.BancoRef),0)),"(Código não identificado nas referências)",MATCH($AE475,INDIRECT(ORÇAMENTO.BancoRef),0))))</f>
        <v>(abra o arquivo 'Referência 02-2025.xlsm)</v>
      </c>
      <c r="AG475" s="498">
        <f ca="1">ROUND(IF(DESONERACAO="sim",REFERENCIA.Desonerado,REFERENCIA.NaoDesonerado),2)</f>
        <v>0</v>
      </c>
      <c r="AH475" s="499">
        <f t="shared" ca="1" si="128"/>
        <v>0.22470000000000001</v>
      </c>
      <c r="AJ475" s="501">
        <v>4</v>
      </c>
      <c r="AL475" s="527"/>
      <c r="AM475" s="381">
        <f t="shared" ca="1" si="124"/>
        <v>0</v>
      </c>
      <c r="AN475" s="566">
        <f t="shared" ca="1" si="129"/>
        <v>0</v>
      </c>
    </row>
    <row r="476" spans="1:40" x14ac:dyDescent="0.2">
      <c r="A476" t="str">
        <f t="shared" si="126"/>
        <v>S</v>
      </c>
      <c r="B476">
        <f t="shared" ca="1" si="111"/>
        <v>3</v>
      </c>
      <c r="C476" t="str">
        <f t="shared" ca="1" si="112"/>
        <v>S</v>
      </c>
      <c r="D476">
        <f t="shared" ca="1" si="113"/>
        <v>0</v>
      </c>
      <c r="E476">
        <f ca="1">IF($C476=1,OFFSET(E476,-1,0)+MAX(1,COUNTIF(QCI!$A$13:$A$24,OFFSET(ORÇAMENTO!E476,-1,0))),OFFSET(E476,-1,0))</f>
        <v>1</v>
      </c>
      <c r="F476">
        <f t="shared" ca="1" si="114"/>
        <v>16</v>
      </c>
      <c r="G476">
        <f t="shared" ca="1" si="115"/>
        <v>4</v>
      </c>
      <c r="H476">
        <f t="shared" ca="1" si="116"/>
        <v>0</v>
      </c>
      <c r="I476">
        <f t="shared" ca="1" si="117"/>
        <v>0</v>
      </c>
      <c r="J476">
        <f t="shared" ca="1" si="130"/>
        <v>0</v>
      </c>
      <c r="K476">
        <f ca="1">IF(OR($C476="S",$C476=0),0,MATCH(OFFSET($D476,0,$C476)+IF($C476&lt;&gt;1,1,COUNTIF(QCI!$A$13:$A$24,ORÇAMENTO!E476)),OFFSET($D476,1,$C476,ROW($C$747)-ROW($C476)),0))</f>
        <v>0</v>
      </c>
      <c r="L476" s="116" t="str">
        <f t="shared" ca="1" si="118"/>
        <v/>
      </c>
      <c r="M476" s="117" t="s">
        <v>199</v>
      </c>
      <c r="N476" s="118" t="str">
        <f t="shared" ca="1" si="119"/>
        <v>Serviço</v>
      </c>
      <c r="O476" s="119" t="str">
        <f t="shared" ca="1" si="120"/>
        <v>-</v>
      </c>
      <c r="P476" s="120" t="s">
        <v>712</v>
      </c>
      <c r="Q476" s="121" t="s">
        <v>829</v>
      </c>
      <c r="R476" s="122" t="str">
        <f ca="1">IF($C476="S",REFERENCIA.Descricao,"(digite a descrição aqui)")</f>
        <v>(abra o arquivo 'Referência 02-2025.xlsm)</v>
      </c>
      <c r="S476" s="123" t="str">
        <f ca="1">REFERENCIA.Unidade</f>
        <v>-</v>
      </c>
      <c r="T476" s="124">
        <f ca="1">OFFSET(CÁLCULO!H$15,ROW($T476)-ROW(T$15),0)</f>
        <v>1</v>
      </c>
      <c r="U476" s="125">
        <f t="shared" ca="1" si="131"/>
        <v>0</v>
      </c>
      <c r="V476" s="126" t="s">
        <v>156</v>
      </c>
      <c r="W476" s="124">
        <f ca="1">IF($C476="S",ROUND(IF(TIPOORCAMENTO="Proposto",ORÇAMENTO.CustoUnitario*(1+$AH476),ORÇAMENTO.PrecoUnitarioLicitado),15-13*$AF$10),0)</f>
        <v>0</v>
      </c>
      <c r="X476" s="127">
        <f ca="1">IF($C476="S",IF(Import.TipoArredondamento&lt;&gt;"TransfereGOV",VTOTAL1,SUM(OFFSET(CÁLCULO!$AA$15,ROW($X476)-ROW($X$15),1):OFFSET(CÁLCULO!$AL$15,ROW($X476)-ROW($X$15),-1))),IF($C476=0,0,ROUND(SomaAgrup,15-13*$AF$11)))</f>
        <v>0</v>
      </c>
      <c r="Y476" s="128" t="s">
        <v>245</v>
      </c>
      <c r="Z476" t="str">
        <f t="shared" ca="1" si="121"/>
        <v/>
      </c>
      <c r="AA476" s="129">
        <f ca="1">IF($C476="S",IF($Z476="CP",$X476,IF($Z476="RA",(($X476)*QCI!$AA$3),0)),SomaAgrup)</f>
        <v>0</v>
      </c>
      <c r="AB476" s="130">
        <f t="shared" ca="1" si="127"/>
        <v>0</v>
      </c>
      <c r="AC476" s="131" t="str">
        <f ca="1">IF($N476="","",IF(ORÇAMENTO.Descricao="","DESCRIÇÃO",IF(AND($C476="S",ORÇAMENTO.Unidade=""),"UNIDADE",IF($X476&lt;0,"VALOR NEGATIVO",IF(OR(AND(TIPOORCAMENTO="Proposto",$AG476&lt;&gt;"",$AG476&gt;0,ORÇAMENTO.CustoUnitario&gt;$AG476),AND(TIPOORCAMENTO="LICITADO",ORÇAMENTO.PrecoUnitarioLicitado&gt;$AN476)),"ACIMA REF.","")))))</f>
        <v/>
      </c>
      <c r="AD476" t="str">
        <f ca="1">IF(C476&lt;=CRONO.NivelExibicao,MAX($AD$15:OFFSET(AD476,-1,0))+IF($C476&lt;&gt;1,1,MAX(1,COUNTIF(QCI!$A$13:$A$24,OFFSET($E476,-1,0)))),"")</f>
        <v/>
      </c>
      <c r="AE476" s="7" t="str">
        <f ca="1">IF(AND($C476="S",ORÇAMENTO.CodBarra&lt;&gt;""),IF(ORÇAMENTO.Fonte="",ORÇAMENTO.CodBarra,CONCATENATE(ORÇAMENTO.Fonte," ",ORÇAMENTO.CodBarra)))</f>
        <v>Composição FNDE 343</v>
      </c>
      <c r="AF476" s="13" t="str">
        <f ca="1">IF(ISERROR(INDIRECT(ORÇAMENTO.BancoRef)),"(abra o arquivo 'Referência "&amp;Excel_BuiltIn_Database&amp;".xlsm)",IF(OR($C476&lt;&gt;"S",ORÇAMENTO.CodBarra=""),"(Sem Código)",IF(ISERROR(MATCH($AE476,INDIRECT(ORÇAMENTO.BancoRef),0)),"(Código não identificado nas referências)",MATCH($AE476,INDIRECT(ORÇAMENTO.BancoRef),0))))</f>
        <v>(abra o arquivo 'Referência 02-2025.xlsm)</v>
      </c>
      <c r="AG476" s="498">
        <f ca="1">ROUND(IF(DESONERACAO="sim",REFERENCIA.Desonerado,REFERENCIA.NaoDesonerado),2)</f>
        <v>0</v>
      </c>
      <c r="AH476" s="499">
        <f t="shared" ca="1" si="128"/>
        <v>0.22470000000000001</v>
      </c>
      <c r="AJ476" s="501">
        <v>1</v>
      </c>
      <c r="AL476" s="527"/>
      <c r="AM476" s="381">
        <f t="shared" ca="1" si="124"/>
        <v>0</v>
      </c>
      <c r="AN476" s="566">
        <f t="shared" ca="1" si="129"/>
        <v>0</v>
      </c>
    </row>
    <row r="477" spans="1:40" ht="25.5" x14ac:dyDescent="0.2">
      <c r="A477" t="str">
        <f t="shared" si="126"/>
        <v>S</v>
      </c>
      <c r="B477">
        <f t="shared" ca="1" si="111"/>
        <v>3</v>
      </c>
      <c r="C477" t="str">
        <f t="shared" ca="1" si="112"/>
        <v>S</v>
      </c>
      <c r="D477">
        <f t="shared" ca="1" si="113"/>
        <v>0</v>
      </c>
      <c r="E477">
        <f ca="1">IF($C477=1,OFFSET(E477,-1,0)+MAX(1,COUNTIF(QCI!$A$13:$A$24,OFFSET(ORÇAMENTO!E477,-1,0))),OFFSET(E477,-1,0))</f>
        <v>1</v>
      </c>
      <c r="F477">
        <f t="shared" ca="1" si="114"/>
        <v>16</v>
      </c>
      <c r="G477">
        <f t="shared" ca="1" si="115"/>
        <v>4</v>
      </c>
      <c r="H477">
        <f t="shared" ca="1" si="116"/>
        <v>0</v>
      </c>
      <c r="I477">
        <f t="shared" ca="1" si="117"/>
        <v>0</v>
      </c>
      <c r="J477">
        <f t="shared" ca="1" si="130"/>
        <v>0</v>
      </c>
      <c r="K477">
        <f ca="1">IF(OR($C477="S",$C477=0),0,MATCH(OFFSET($D477,0,$C477)+IF($C477&lt;&gt;1,1,COUNTIF(QCI!$A$13:$A$24,ORÇAMENTO!E477)),OFFSET($D477,1,$C477,ROW($C$747)-ROW($C477)),0))</f>
        <v>0</v>
      </c>
      <c r="L477" s="116" t="str">
        <f t="shared" ca="1" si="118"/>
        <v/>
      </c>
      <c r="M477" s="117" t="s">
        <v>199</v>
      </c>
      <c r="N477" s="118" t="str">
        <f t="shared" ca="1" si="119"/>
        <v>Serviço</v>
      </c>
      <c r="O477" s="119" t="str">
        <f t="shared" ca="1" si="120"/>
        <v>-</v>
      </c>
      <c r="P477" s="120" t="s">
        <v>247</v>
      </c>
      <c r="Q477" s="121" t="s">
        <v>951</v>
      </c>
      <c r="R477" s="122" t="str">
        <f ca="1">IF($C477="S",REFERENCIA.Descricao,"(digite a descrição aqui)")</f>
        <v>(abra o arquivo 'Referência 02-2025.xlsm)</v>
      </c>
      <c r="S477" s="123" t="str">
        <f ca="1">REFERENCIA.Unidade</f>
        <v>-</v>
      </c>
      <c r="T477" s="124">
        <f ca="1">OFFSET(CÁLCULO!H$15,ROW($T477)-ROW(T$15),0)</f>
        <v>43.65</v>
      </c>
      <c r="U477" s="125">
        <f t="shared" ca="1" si="131"/>
        <v>0</v>
      </c>
      <c r="V477" s="126" t="s">
        <v>156</v>
      </c>
      <c r="W477" s="124">
        <f ca="1">IF($C477="S",ROUND(IF(TIPOORCAMENTO="Proposto",ORÇAMENTO.CustoUnitario*(1+$AH477),ORÇAMENTO.PrecoUnitarioLicitado),15-13*$AF$10),0)</f>
        <v>0</v>
      </c>
      <c r="X477" s="127">
        <f ca="1">IF($C477="S",IF(Import.TipoArredondamento&lt;&gt;"TransfereGOV",VTOTAL1,SUM(OFFSET(CÁLCULO!$AA$15,ROW($X477)-ROW($X$15),1):OFFSET(CÁLCULO!$AL$15,ROW($X477)-ROW($X$15),-1))),IF($C477=0,0,ROUND(SomaAgrup,15-13*$AF$11)))</f>
        <v>0</v>
      </c>
      <c r="Y477" s="128" t="s">
        <v>245</v>
      </c>
      <c r="Z477" t="str">
        <f t="shared" ca="1" si="121"/>
        <v/>
      </c>
      <c r="AA477" s="129">
        <f ca="1">IF($C477="S",IF($Z477="CP",$X477,IF($Z477="RA",(($X477)*QCI!$AA$3),0)),SomaAgrup)</f>
        <v>0</v>
      </c>
      <c r="AB477" s="130">
        <f t="shared" ca="1" si="127"/>
        <v>0</v>
      </c>
      <c r="AC477" s="131" t="str">
        <f ca="1">IF($N477="","",IF(ORÇAMENTO.Descricao="","DESCRIÇÃO",IF(AND($C477="S",ORÇAMENTO.Unidade=""),"UNIDADE",IF($X477&lt;0,"VALOR NEGATIVO",IF(OR(AND(TIPOORCAMENTO="Proposto",$AG477&lt;&gt;"",$AG477&gt;0,ORÇAMENTO.CustoUnitario&gt;$AG477),AND(TIPOORCAMENTO="LICITADO",ORÇAMENTO.PrecoUnitarioLicitado&gt;$AN477)),"ACIMA REF.","")))))</f>
        <v/>
      </c>
      <c r="AD477" t="str">
        <f ca="1">IF(C477&lt;=CRONO.NivelExibicao,MAX($AD$15:OFFSET(AD477,-1,0))+IF($C477&lt;&gt;1,1,MAX(1,COUNTIF(QCI!$A$13:$A$24,OFFSET($E477,-1,0)))),"")</f>
        <v/>
      </c>
      <c r="AE477" s="7" t="str">
        <f ca="1">IF(AND($C477="S",ORÇAMENTO.CodBarra&lt;&gt;""),IF(ORÇAMENTO.Fonte="",ORÇAMENTO.CodBarra,CONCATENATE(ORÇAMENTO.Fonte," ",ORÇAMENTO.CodBarra)))</f>
        <v>SINAPI 95727</v>
      </c>
      <c r="AF477" s="13" t="str">
        <f ca="1">IF(ISERROR(INDIRECT(ORÇAMENTO.BancoRef)),"(abra o arquivo 'Referência "&amp;Excel_BuiltIn_Database&amp;".xlsm)",IF(OR($C477&lt;&gt;"S",ORÇAMENTO.CodBarra=""),"(Sem Código)",IF(ISERROR(MATCH($AE477,INDIRECT(ORÇAMENTO.BancoRef),0)),"(Código não identificado nas referências)",MATCH($AE477,INDIRECT(ORÇAMENTO.BancoRef),0))))</f>
        <v>(abra o arquivo 'Referência 02-2025.xlsm)</v>
      </c>
      <c r="AG477" s="498">
        <f ca="1">ROUND(IF(DESONERACAO="sim",REFERENCIA.Desonerado,REFERENCIA.NaoDesonerado),2)</f>
        <v>0</v>
      </c>
      <c r="AH477" s="499">
        <f t="shared" ca="1" si="128"/>
        <v>0.22470000000000001</v>
      </c>
      <c r="AJ477" s="501">
        <v>43.65</v>
      </c>
      <c r="AL477" s="527"/>
      <c r="AM477" s="381">
        <f t="shared" ca="1" si="124"/>
        <v>0</v>
      </c>
      <c r="AN477" s="566">
        <f t="shared" ca="1" si="129"/>
        <v>0</v>
      </c>
    </row>
    <row r="478" spans="1:40" ht="38.25" x14ac:dyDescent="0.2">
      <c r="A478" t="str">
        <f t="shared" si="56"/>
        <v>S</v>
      </c>
      <c r="B478">
        <f t="shared" ca="1" si="57"/>
        <v>3</v>
      </c>
      <c r="C478" t="str">
        <f t="shared" ca="1" si="58"/>
        <v>S</v>
      </c>
      <c r="D478">
        <f t="shared" ca="1" si="59"/>
        <v>0</v>
      </c>
      <c r="E478">
        <f ca="1">IF($C478=1,OFFSET(E478,-1,0)+MAX(1,COUNTIF(QCI!$A$13:$A$24,OFFSET(ORÇAMENTO!E478,-1,0))),OFFSET(E478,-1,0))</f>
        <v>1</v>
      </c>
      <c r="F478">
        <f t="shared" ca="1" si="60"/>
        <v>16</v>
      </c>
      <c r="G478">
        <f t="shared" ca="1" si="61"/>
        <v>4</v>
      </c>
      <c r="H478">
        <f t="shared" ca="1" si="62"/>
        <v>0</v>
      </c>
      <c r="I478">
        <f t="shared" ca="1" si="63"/>
        <v>0</v>
      </c>
      <c r="J478">
        <f t="shared" ca="1" si="130"/>
        <v>0</v>
      </c>
      <c r="K478">
        <f ca="1">IF(OR($C478="S",$C478=0),0,MATCH(OFFSET($D478,0,$C478)+IF($C478&lt;&gt;1,1,COUNTIF(QCI!$A$13:$A$24,ORÇAMENTO!E478)),OFFSET($D478,1,$C478,ROW($C$747)-ROW($C478)),0))</f>
        <v>0</v>
      </c>
      <c r="L478" s="116" t="str">
        <f t="shared" ca="1" si="64"/>
        <v/>
      </c>
      <c r="M478" s="117" t="s">
        <v>199</v>
      </c>
      <c r="N478" s="118" t="str">
        <f t="shared" ca="1" si="65"/>
        <v>Serviço</v>
      </c>
      <c r="O478" s="119" t="str">
        <f t="shared" ca="1" si="66"/>
        <v>-</v>
      </c>
      <c r="P478" s="120" t="s">
        <v>247</v>
      </c>
      <c r="Q478" s="121" t="s">
        <v>952</v>
      </c>
      <c r="R478" s="122" t="str">
        <f ca="1">IF($C478="S",REFERENCIA.Descricao,"(digite a descrição aqui)")</f>
        <v>(abra o arquivo 'Referência 02-2025.xlsm)</v>
      </c>
      <c r="S478" s="123" t="str">
        <f ca="1">REFERENCIA.Unidade</f>
        <v>-</v>
      </c>
      <c r="T478" s="124">
        <f ca="1">OFFSET(CÁLCULO!H$15,ROW($T478)-ROW(T$15),0)</f>
        <v>5</v>
      </c>
      <c r="U478" s="125">
        <f t="shared" ca="1" si="131"/>
        <v>0</v>
      </c>
      <c r="V478" s="126" t="s">
        <v>156</v>
      </c>
      <c r="W478" s="124">
        <f ca="1">IF($C478="S",ROUND(IF(TIPOORCAMENTO="Proposto",ORÇAMENTO.CustoUnitario*(1+$AH478),ORÇAMENTO.PrecoUnitarioLicitado),15-13*$AF$10),0)</f>
        <v>0</v>
      </c>
      <c r="X478" s="127">
        <f ca="1">IF($C478="S",IF(Import.TipoArredondamento&lt;&gt;"TransfereGOV",VTOTAL1,SUM(OFFSET(CÁLCULO!$AA$15,ROW($X478)-ROW($X$15),1):OFFSET(CÁLCULO!$AL$15,ROW($X478)-ROW($X$15),-1))),IF($C478=0,0,ROUND(SomaAgrup,15-13*$AF$11)))</f>
        <v>0</v>
      </c>
      <c r="Y478" s="128" t="s">
        <v>245</v>
      </c>
      <c r="Z478" t="str">
        <f t="shared" ca="1" si="67"/>
        <v/>
      </c>
      <c r="AA478" s="129">
        <f ca="1">IF($C478="S",IF($Z478="CP",$X478,IF($Z478="RA",(($X478)*QCI!$AA$3),0)),SomaAgrup)</f>
        <v>0</v>
      </c>
      <c r="AB478" s="130">
        <f t="shared" ca="1" si="68"/>
        <v>0</v>
      </c>
      <c r="AC478" s="131" t="str">
        <f ca="1">IF($N478="","",IF(ORÇAMENTO.Descricao="","DESCRIÇÃO",IF(AND($C478="S",ORÇAMENTO.Unidade=""),"UNIDADE",IF($X478&lt;0,"VALOR NEGATIVO",IF(OR(AND(TIPOORCAMENTO="Proposto",$AG478&lt;&gt;"",$AG478&gt;0,ORÇAMENTO.CustoUnitario&gt;$AG478),AND(TIPOORCAMENTO="LICITADO",ORÇAMENTO.PrecoUnitarioLicitado&gt;$AN478)),"ACIMA REF.","")))))</f>
        <v/>
      </c>
      <c r="AD478" t="str">
        <f ca="1">IF(C478&lt;=CRONO.NivelExibicao,MAX($AD$15:OFFSET(AD478,-1,0))+IF($C478&lt;&gt;1,1,MAX(1,COUNTIF(QCI!$A$13:$A$24,OFFSET($E478,-1,0)))),"")</f>
        <v/>
      </c>
      <c r="AE478" s="7" t="str">
        <f ca="1">IF(AND($C478="S",ORÇAMENTO.CodBarra&lt;&gt;""),IF(ORÇAMENTO.Fonte="",ORÇAMENTO.CodBarra,CONCATENATE(ORÇAMENTO.Fonte," ",ORÇAMENTO.CodBarra)))</f>
        <v>SINAPI 95817</v>
      </c>
      <c r="AF478" s="13" t="str">
        <f ca="1">IF(ISERROR(INDIRECT(ORÇAMENTO.BancoRef)),"(abra o arquivo 'Referência "&amp;Excel_BuiltIn_Database&amp;".xlsm)",IF(OR($C478&lt;&gt;"S",ORÇAMENTO.CodBarra=""),"(Sem Código)",IF(ISERROR(MATCH($AE478,INDIRECT(ORÇAMENTO.BancoRef),0)),"(Código não identificado nas referências)",MATCH($AE478,INDIRECT(ORÇAMENTO.BancoRef),0))))</f>
        <v>(abra o arquivo 'Referência 02-2025.xlsm)</v>
      </c>
      <c r="AG478" s="498">
        <f ca="1">ROUND(IF(DESONERACAO="sim",REFERENCIA.Desonerado,REFERENCIA.NaoDesonerado),2)</f>
        <v>0</v>
      </c>
      <c r="AH478" s="499">
        <f t="shared" ca="1" si="69"/>
        <v>0.22470000000000001</v>
      </c>
      <c r="AJ478" s="501">
        <v>5</v>
      </c>
      <c r="AL478" s="527"/>
      <c r="AM478" s="381">
        <f t="shared" ca="1" si="70"/>
        <v>0</v>
      </c>
      <c r="AN478" s="566">
        <f t="shared" ca="1" si="71"/>
        <v>0</v>
      </c>
    </row>
    <row r="479" spans="1:40" ht="38.25" x14ac:dyDescent="0.2">
      <c r="A479" t="str">
        <f t="shared" si="56"/>
        <v>S</v>
      </c>
      <c r="B479">
        <f t="shared" ca="1" si="57"/>
        <v>3</v>
      </c>
      <c r="C479" t="str">
        <f t="shared" ca="1" si="58"/>
        <v>S</v>
      </c>
      <c r="D479">
        <f t="shared" ca="1" si="59"/>
        <v>0</v>
      </c>
      <c r="E479">
        <f ca="1">IF($C479=1,OFFSET(E479,-1,0)+MAX(1,COUNTIF(QCI!$A$13:$A$24,OFFSET(ORÇAMENTO!E479,-1,0))),OFFSET(E479,-1,0))</f>
        <v>1</v>
      </c>
      <c r="F479">
        <f t="shared" ca="1" si="60"/>
        <v>16</v>
      </c>
      <c r="G479">
        <f t="shared" ca="1" si="61"/>
        <v>4</v>
      </c>
      <c r="H479">
        <f t="shared" ca="1" si="62"/>
        <v>0</v>
      </c>
      <c r="I479">
        <f t="shared" ca="1" si="63"/>
        <v>0</v>
      </c>
      <c r="J479">
        <f t="shared" ca="1" si="130"/>
        <v>0</v>
      </c>
      <c r="K479">
        <f ca="1">IF(OR($C479="S",$C479=0),0,MATCH(OFFSET($D479,0,$C479)+IF($C479&lt;&gt;1,1,COUNTIF(QCI!$A$13:$A$24,ORÇAMENTO!E479)),OFFSET($D479,1,$C479,ROW($C$747)-ROW($C479)),0))</f>
        <v>0</v>
      </c>
      <c r="L479" s="116" t="str">
        <f t="shared" ca="1" si="64"/>
        <v/>
      </c>
      <c r="M479" s="117" t="s">
        <v>199</v>
      </c>
      <c r="N479" s="118" t="str">
        <f t="shared" ca="1" si="65"/>
        <v>Serviço</v>
      </c>
      <c r="O479" s="119" t="str">
        <f t="shared" ca="1" si="66"/>
        <v>-</v>
      </c>
      <c r="P479" s="120" t="s">
        <v>247</v>
      </c>
      <c r="Q479" s="121" t="s">
        <v>953</v>
      </c>
      <c r="R479" s="122" t="str">
        <f ca="1">IF($C479="S",REFERENCIA.Descricao,"(digite a descrição aqui)")</f>
        <v>(abra o arquivo 'Referência 02-2025.xlsm)</v>
      </c>
      <c r="S479" s="123" t="str">
        <f ca="1">REFERENCIA.Unidade</f>
        <v>-</v>
      </c>
      <c r="T479" s="124">
        <f ca="1">OFFSET(CÁLCULO!H$15,ROW($T479)-ROW(T$15),0)</f>
        <v>5</v>
      </c>
      <c r="U479" s="125">
        <f t="shared" ca="1" si="131"/>
        <v>0</v>
      </c>
      <c r="V479" s="126" t="s">
        <v>156</v>
      </c>
      <c r="W479" s="124">
        <f ca="1">IF($C479="S",ROUND(IF(TIPOORCAMENTO="Proposto",ORÇAMENTO.CustoUnitario*(1+$AH479),ORÇAMENTO.PrecoUnitarioLicitado),15-13*$AF$10),0)</f>
        <v>0</v>
      </c>
      <c r="X479" s="127">
        <f ca="1">IF($C479="S",IF(Import.TipoArredondamento&lt;&gt;"TransfereGOV",VTOTAL1,SUM(OFFSET(CÁLCULO!$AA$15,ROW($X479)-ROW($X$15),1):OFFSET(CÁLCULO!$AL$15,ROW($X479)-ROW($X$15),-1))),IF($C479=0,0,ROUND(SomaAgrup,15-13*$AF$11)))</f>
        <v>0</v>
      </c>
      <c r="Y479" s="128" t="s">
        <v>245</v>
      </c>
      <c r="Z479" t="str">
        <f t="shared" ca="1" si="67"/>
        <v/>
      </c>
      <c r="AA479" s="129">
        <f ca="1">IF($C479="S",IF($Z479="CP",$X479,IF($Z479="RA",(($X479)*QCI!$AA$3),0)),SomaAgrup)</f>
        <v>0</v>
      </c>
      <c r="AB479" s="130">
        <f t="shared" ca="1" si="68"/>
        <v>0</v>
      </c>
      <c r="AC479" s="131" t="str">
        <f ca="1">IF($N479="","",IF(ORÇAMENTO.Descricao="","DESCRIÇÃO",IF(AND($C479="S",ORÇAMENTO.Unidade=""),"UNIDADE",IF($X479&lt;0,"VALOR NEGATIVO",IF(OR(AND(TIPOORCAMENTO="Proposto",$AG479&lt;&gt;"",$AG479&gt;0,ORÇAMENTO.CustoUnitario&gt;$AG479),AND(TIPOORCAMENTO="LICITADO",ORÇAMENTO.PrecoUnitarioLicitado&gt;$AN479)),"ACIMA REF.","")))))</f>
        <v/>
      </c>
      <c r="AD479" t="str">
        <f ca="1">IF(C479&lt;=CRONO.NivelExibicao,MAX($AD$15:OFFSET(AD479,-1,0))+IF($C479&lt;&gt;1,1,MAX(1,COUNTIF(QCI!$A$13:$A$24,OFFSET($E479,-1,0)))),"")</f>
        <v/>
      </c>
      <c r="AE479" s="7" t="str">
        <f ca="1">IF(AND($C479="S",ORÇAMENTO.CodBarra&lt;&gt;""),IF(ORÇAMENTO.Fonte="",ORÇAMENTO.CodBarra,CONCATENATE(ORÇAMENTO.Fonte," ",ORÇAMENTO.CodBarra)))</f>
        <v>SINAPI 91914</v>
      </c>
      <c r="AF479" s="13" t="str">
        <f ca="1">IF(ISERROR(INDIRECT(ORÇAMENTO.BancoRef)),"(abra o arquivo 'Referência "&amp;Excel_BuiltIn_Database&amp;".xlsm)",IF(OR($C479&lt;&gt;"S",ORÇAMENTO.CodBarra=""),"(Sem Código)",IF(ISERROR(MATCH($AE479,INDIRECT(ORÇAMENTO.BancoRef),0)),"(Código não identificado nas referências)",MATCH($AE479,INDIRECT(ORÇAMENTO.BancoRef),0))))</f>
        <v>(abra o arquivo 'Referência 02-2025.xlsm)</v>
      </c>
      <c r="AG479" s="498">
        <f ca="1">ROUND(IF(DESONERACAO="sim",REFERENCIA.Desonerado,REFERENCIA.NaoDesonerado),2)</f>
        <v>0</v>
      </c>
      <c r="AH479" s="499">
        <f t="shared" ca="1" si="69"/>
        <v>0.22470000000000001</v>
      </c>
      <c r="AJ479" s="501">
        <v>5</v>
      </c>
      <c r="AL479" s="527"/>
      <c r="AM479" s="381">
        <f t="shared" ca="1" si="70"/>
        <v>0</v>
      </c>
      <c r="AN479" s="566">
        <f t="shared" ca="1" si="71"/>
        <v>0</v>
      </c>
    </row>
    <row r="480" spans="1:40" x14ac:dyDescent="0.2">
      <c r="A480" t="str">
        <f t="shared" si="56"/>
        <v>S</v>
      </c>
      <c r="B480">
        <f t="shared" ca="1" si="57"/>
        <v>3</v>
      </c>
      <c r="C480" t="str">
        <f t="shared" ca="1" si="58"/>
        <v>S</v>
      </c>
      <c r="D480">
        <f t="shared" ca="1" si="59"/>
        <v>0</v>
      </c>
      <c r="E480">
        <f ca="1">IF($C480=1,OFFSET(E480,-1,0)+MAX(1,COUNTIF(QCI!$A$13:$A$24,OFFSET(ORÇAMENTO!E480,-1,0))),OFFSET(E480,-1,0))</f>
        <v>1</v>
      </c>
      <c r="F480">
        <f t="shared" ca="1" si="60"/>
        <v>16</v>
      </c>
      <c r="G480">
        <f t="shared" ca="1" si="61"/>
        <v>4</v>
      </c>
      <c r="H480">
        <f t="shared" ca="1" si="62"/>
        <v>0</v>
      </c>
      <c r="I480">
        <f t="shared" ca="1" si="63"/>
        <v>0</v>
      </c>
      <c r="J480">
        <f t="shared" ca="1" si="130"/>
        <v>0</v>
      </c>
      <c r="K480">
        <f ca="1">IF(OR($C480="S",$C480=0),0,MATCH(OFFSET($D480,0,$C480)+IF($C480&lt;&gt;1,1,COUNTIF(QCI!$A$13:$A$24,ORÇAMENTO!E480)),OFFSET($D480,1,$C480,ROW($C$747)-ROW($C480)),0))</f>
        <v>0</v>
      </c>
      <c r="L480" s="116" t="str">
        <f t="shared" ca="1" si="64"/>
        <v/>
      </c>
      <c r="M480" s="117" t="s">
        <v>199</v>
      </c>
      <c r="N480" s="118" t="str">
        <f t="shared" ca="1" si="65"/>
        <v>Serviço</v>
      </c>
      <c r="O480" s="119" t="str">
        <f t="shared" ca="1" si="66"/>
        <v>-</v>
      </c>
      <c r="P480" s="120" t="s">
        <v>712</v>
      </c>
      <c r="Q480" s="121" t="s">
        <v>954</v>
      </c>
      <c r="R480" s="122" t="str">
        <f ca="1">IF($C480="S",REFERENCIA.Descricao,"(digite a descrição aqui)")</f>
        <v>(abra o arquivo 'Referência 02-2025.xlsm)</v>
      </c>
      <c r="S480" s="123" t="str">
        <f ca="1">REFERENCIA.Unidade</f>
        <v>-</v>
      </c>
      <c r="T480" s="124">
        <f ca="1">OFFSET(CÁLCULO!H$15,ROW($T480)-ROW(T$15),0)</f>
        <v>5</v>
      </c>
      <c r="U480" s="125">
        <f t="shared" ca="1" si="131"/>
        <v>0</v>
      </c>
      <c r="V480" s="126" t="s">
        <v>156</v>
      </c>
      <c r="W480" s="124">
        <f ca="1">IF($C480="S",ROUND(IF(TIPOORCAMENTO="Proposto",ORÇAMENTO.CustoUnitario*(1+$AH480),ORÇAMENTO.PrecoUnitarioLicitado),15-13*$AF$10),0)</f>
        <v>0</v>
      </c>
      <c r="X480" s="127">
        <f ca="1">IF($C480="S",IF(Import.TipoArredondamento&lt;&gt;"TransfereGOV",VTOTAL1,SUM(OFFSET(CÁLCULO!$AA$15,ROW($X480)-ROW($X$15),1):OFFSET(CÁLCULO!$AL$15,ROW($X480)-ROW($X$15),-1))),IF($C480=0,0,ROUND(SomaAgrup,15-13*$AF$11)))</f>
        <v>0</v>
      </c>
      <c r="Y480" s="128" t="s">
        <v>245</v>
      </c>
      <c r="Z480" t="str">
        <f t="shared" ca="1" si="67"/>
        <v/>
      </c>
      <c r="AA480" s="129">
        <f ca="1">IF($C480="S",IF($Z480="CP",$X480,IF($Z480="RA",(($X480)*QCI!$AA$3),0)),SomaAgrup)</f>
        <v>0</v>
      </c>
      <c r="AB480" s="130">
        <f t="shared" ca="1" si="68"/>
        <v>0</v>
      </c>
      <c r="AC480" s="131" t="str">
        <f ca="1">IF($N480="","",IF(ORÇAMENTO.Descricao="","DESCRIÇÃO",IF(AND($C480="S",ORÇAMENTO.Unidade=""),"UNIDADE",IF($X480&lt;0,"VALOR NEGATIVO",IF(OR(AND(TIPOORCAMENTO="Proposto",$AG480&lt;&gt;"",$AG480&gt;0,ORÇAMENTO.CustoUnitario&gt;$AG480),AND(TIPOORCAMENTO="LICITADO",ORÇAMENTO.PrecoUnitarioLicitado&gt;$AN480)),"ACIMA REF.","")))))</f>
        <v/>
      </c>
      <c r="AD480" t="str">
        <f ca="1">IF(C480&lt;=CRONO.NivelExibicao,MAX($AD$15:OFFSET(AD480,-1,0))+IF($C480&lt;&gt;1,1,MAX(1,COUNTIF(QCI!$A$13:$A$24,OFFSET($E480,-1,0)))),"")</f>
        <v/>
      </c>
      <c r="AE480" s="7" t="str">
        <f ca="1">IF(AND($C480="S",ORÇAMENTO.CodBarra&lt;&gt;""),IF(ORÇAMENTO.Fonte="",ORÇAMENTO.CodBarra,CONCATENATE(ORÇAMENTO.Fonte," ",ORÇAMENTO.CodBarra)))</f>
        <v>Composição FNDE 330</v>
      </c>
      <c r="AF480" s="13" t="str">
        <f ca="1">IF(ISERROR(INDIRECT(ORÇAMENTO.BancoRef)),"(abra o arquivo 'Referência "&amp;Excel_BuiltIn_Database&amp;".xlsm)",IF(OR($C480&lt;&gt;"S",ORÇAMENTO.CodBarra=""),"(Sem Código)",IF(ISERROR(MATCH($AE480,INDIRECT(ORÇAMENTO.BancoRef),0)),"(Código não identificado nas referências)",MATCH($AE480,INDIRECT(ORÇAMENTO.BancoRef),0))))</f>
        <v>(abra o arquivo 'Referência 02-2025.xlsm)</v>
      </c>
      <c r="AG480" s="498">
        <f ca="1">ROUND(IF(DESONERACAO="sim",REFERENCIA.Desonerado,REFERENCIA.NaoDesonerado),2)</f>
        <v>0</v>
      </c>
      <c r="AH480" s="499">
        <f t="shared" ca="1" si="69"/>
        <v>0.22470000000000001</v>
      </c>
      <c r="AJ480" s="501">
        <v>5</v>
      </c>
      <c r="AL480" s="527"/>
      <c r="AM480" s="381">
        <f t="shared" ca="1" si="70"/>
        <v>0</v>
      </c>
      <c r="AN480" s="566">
        <f t="shared" ca="1" si="71"/>
        <v>0</v>
      </c>
    </row>
    <row r="481" spans="1:40" ht="38.25" x14ac:dyDescent="0.2">
      <c r="A481" t="str">
        <f t="shared" si="56"/>
        <v>S</v>
      </c>
      <c r="B481">
        <f t="shared" ca="1" si="57"/>
        <v>3</v>
      </c>
      <c r="C481" t="str">
        <f t="shared" ca="1" si="58"/>
        <v>S</v>
      </c>
      <c r="D481">
        <f t="shared" ca="1" si="59"/>
        <v>0</v>
      </c>
      <c r="E481">
        <f ca="1">IF($C481=1,OFFSET(E481,-1,0)+MAX(1,COUNTIF(QCI!$A$13:$A$24,OFFSET(ORÇAMENTO!E481,-1,0))),OFFSET(E481,-1,0))</f>
        <v>1</v>
      </c>
      <c r="F481">
        <f t="shared" ca="1" si="60"/>
        <v>16</v>
      </c>
      <c r="G481">
        <f t="shared" ca="1" si="61"/>
        <v>4</v>
      </c>
      <c r="H481">
        <f t="shared" ca="1" si="62"/>
        <v>0</v>
      </c>
      <c r="I481">
        <f t="shared" ca="1" si="63"/>
        <v>0</v>
      </c>
      <c r="J481">
        <f t="shared" ca="1" si="130"/>
        <v>0</v>
      </c>
      <c r="K481">
        <f ca="1">IF(OR($C481="S",$C481=0),0,MATCH(OFFSET($D481,0,$C481)+IF($C481&lt;&gt;1,1,COUNTIF(QCI!$A$13:$A$24,ORÇAMENTO!E481)),OFFSET($D481,1,$C481,ROW($C$747)-ROW($C481)),0))</f>
        <v>0</v>
      </c>
      <c r="L481" s="116" t="str">
        <f t="shared" ca="1" si="64"/>
        <v/>
      </c>
      <c r="M481" s="117" t="s">
        <v>199</v>
      </c>
      <c r="N481" s="118" t="str">
        <f t="shared" ca="1" si="65"/>
        <v>Serviço</v>
      </c>
      <c r="O481" s="119" t="str">
        <f t="shared" ca="1" si="66"/>
        <v>-</v>
      </c>
      <c r="P481" s="120" t="s">
        <v>247</v>
      </c>
      <c r="Q481" s="121" t="s">
        <v>955</v>
      </c>
      <c r="R481" s="122" t="str">
        <f ca="1">IF($C481="S",REFERENCIA.Descricao,"(digite a descrição aqui)")</f>
        <v>(abra o arquivo 'Referência 02-2025.xlsm)</v>
      </c>
      <c r="S481" s="123" t="str">
        <f ca="1">REFERENCIA.Unidade</f>
        <v>-</v>
      </c>
      <c r="T481" s="124">
        <f ca="1">OFFSET(CÁLCULO!H$15,ROW($T481)-ROW(T$15),0)</f>
        <v>5</v>
      </c>
      <c r="U481" s="125">
        <f t="shared" ca="1" si="131"/>
        <v>0</v>
      </c>
      <c r="V481" s="126" t="s">
        <v>156</v>
      </c>
      <c r="W481" s="124">
        <f ca="1">IF($C481="S",ROUND(IF(TIPOORCAMENTO="Proposto",ORÇAMENTO.CustoUnitario*(1+$AH481),ORÇAMENTO.PrecoUnitarioLicitado),15-13*$AF$10),0)</f>
        <v>0</v>
      </c>
      <c r="X481" s="127">
        <f ca="1">IF($C481="S",IF(Import.TipoArredondamento&lt;&gt;"TransfereGOV",VTOTAL1,SUM(OFFSET(CÁLCULO!$AA$15,ROW($X481)-ROW($X$15),1):OFFSET(CÁLCULO!$AL$15,ROW($X481)-ROW($X$15),-1))),IF($C481=0,0,ROUND(SomaAgrup,15-13*$AF$11)))</f>
        <v>0</v>
      </c>
      <c r="Y481" s="128" t="s">
        <v>245</v>
      </c>
      <c r="Z481" t="str">
        <f t="shared" ca="1" si="67"/>
        <v/>
      </c>
      <c r="AA481" s="129">
        <f ca="1">IF($C481="S",IF($Z481="CP",$X481,IF($Z481="RA",(($X481)*QCI!$AA$3),0)),SomaAgrup)</f>
        <v>0</v>
      </c>
      <c r="AB481" s="130">
        <f t="shared" ca="1" si="68"/>
        <v>0</v>
      </c>
      <c r="AC481" s="131" t="str">
        <f ca="1">IF($N481="","",IF(ORÇAMENTO.Descricao="","DESCRIÇÃO",IF(AND($C481="S",ORÇAMENTO.Unidade=""),"UNIDADE",IF($X481&lt;0,"VALOR NEGATIVO",IF(OR(AND(TIPOORCAMENTO="Proposto",$AG481&lt;&gt;"",$AG481&gt;0,ORÇAMENTO.CustoUnitario&gt;$AG481),AND(TIPOORCAMENTO="LICITADO",ORÇAMENTO.PrecoUnitarioLicitado&gt;$AN481)),"ACIMA REF.","")))))</f>
        <v/>
      </c>
      <c r="AD481" t="str">
        <f ca="1">IF(C481&lt;=CRONO.NivelExibicao,MAX($AD$15:OFFSET(AD481,-1,0))+IF($C481&lt;&gt;1,1,MAX(1,COUNTIF(QCI!$A$13:$A$24,OFFSET($E481,-1,0)))),"")</f>
        <v/>
      </c>
      <c r="AE481" s="7" t="str">
        <f ca="1">IF(AND($C481="S",ORÇAMENTO.CodBarra&lt;&gt;""),IF(ORÇAMENTO.Fonte="",ORÇAMENTO.CodBarra,CONCATENATE(ORÇAMENTO.Fonte," ",ORÇAMENTO.CodBarra)))</f>
        <v>SINAPI 91875</v>
      </c>
      <c r="AF481" s="13" t="str">
        <f ca="1">IF(ISERROR(INDIRECT(ORÇAMENTO.BancoRef)),"(abra o arquivo 'Referência "&amp;Excel_BuiltIn_Database&amp;".xlsm)",IF(OR($C481&lt;&gt;"S",ORÇAMENTO.CodBarra=""),"(Sem Código)",IF(ISERROR(MATCH($AE481,INDIRECT(ORÇAMENTO.BancoRef),0)),"(Código não identificado nas referências)",MATCH($AE481,INDIRECT(ORÇAMENTO.BancoRef),0))))</f>
        <v>(abra o arquivo 'Referência 02-2025.xlsm)</v>
      </c>
      <c r="AG481" s="498">
        <f ca="1">ROUND(IF(DESONERACAO="sim",REFERENCIA.Desonerado,REFERENCIA.NaoDesonerado),2)</f>
        <v>0</v>
      </c>
      <c r="AH481" s="499">
        <f t="shared" ca="1" si="69"/>
        <v>0.22470000000000001</v>
      </c>
      <c r="AJ481" s="501">
        <v>5</v>
      </c>
      <c r="AL481" s="527"/>
      <c r="AM481" s="381">
        <f t="shared" ca="1" si="70"/>
        <v>0</v>
      </c>
      <c r="AN481" s="566">
        <f t="shared" ca="1" si="71"/>
        <v>0</v>
      </c>
    </row>
    <row r="482" spans="1:40" x14ac:dyDescent="0.2">
      <c r="A482" t="str">
        <f t="shared" si="56"/>
        <v>S</v>
      </c>
      <c r="B482">
        <f t="shared" ca="1" si="57"/>
        <v>3</v>
      </c>
      <c r="C482" t="str">
        <f t="shared" ca="1" si="58"/>
        <v>S</v>
      </c>
      <c r="D482">
        <f t="shared" ca="1" si="59"/>
        <v>0</v>
      </c>
      <c r="E482">
        <f ca="1">IF($C482=1,OFFSET(E482,-1,0)+MAX(1,COUNTIF(QCI!$A$13:$A$24,OFFSET(ORÇAMENTO!E482,-1,0))),OFFSET(E482,-1,0))</f>
        <v>1</v>
      </c>
      <c r="F482">
        <f t="shared" ca="1" si="60"/>
        <v>16</v>
      </c>
      <c r="G482">
        <f t="shared" ca="1" si="61"/>
        <v>4</v>
      </c>
      <c r="H482">
        <f t="shared" ca="1" si="62"/>
        <v>0</v>
      </c>
      <c r="I482">
        <f t="shared" ca="1" si="63"/>
        <v>0</v>
      </c>
      <c r="J482">
        <f t="shared" ca="1" si="130"/>
        <v>0</v>
      </c>
      <c r="K482">
        <f ca="1">IF(OR($C482="S",$C482=0),0,MATCH(OFFSET($D482,0,$C482)+IF($C482&lt;&gt;1,1,COUNTIF(QCI!$A$13:$A$24,ORÇAMENTO!E482)),OFFSET($D482,1,$C482,ROW($C$747)-ROW($C482)),0))</f>
        <v>0</v>
      </c>
      <c r="L482" s="116" t="str">
        <f t="shared" ca="1" si="64"/>
        <v/>
      </c>
      <c r="M482" s="117" t="s">
        <v>199</v>
      </c>
      <c r="N482" s="118" t="str">
        <f t="shared" ca="1" si="65"/>
        <v>Serviço</v>
      </c>
      <c r="O482" s="119" t="str">
        <f t="shared" ca="1" si="66"/>
        <v>-</v>
      </c>
      <c r="P482" s="120" t="s">
        <v>712</v>
      </c>
      <c r="Q482" s="121" t="s">
        <v>956</v>
      </c>
      <c r="R482" s="122" t="str">
        <f ca="1">IF($C482="S",REFERENCIA.Descricao,"(digite a descrição aqui)")</f>
        <v>(abra o arquivo 'Referência 02-2025.xlsm)</v>
      </c>
      <c r="S482" s="123" t="str">
        <f ca="1">REFERENCIA.Unidade</f>
        <v>-</v>
      </c>
      <c r="T482" s="124">
        <f ca="1">OFFSET(CÁLCULO!H$15,ROW($T482)-ROW(T$15),0)</f>
        <v>9</v>
      </c>
      <c r="U482" s="125">
        <f t="shared" ca="1" si="131"/>
        <v>0</v>
      </c>
      <c r="V482" s="126" t="s">
        <v>156</v>
      </c>
      <c r="W482" s="124">
        <f ca="1">IF($C482="S",ROUND(IF(TIPOORCAMENTO="Proposto",ORÇAMENTO.CustoUnitario*(1+$AH482),ORÇAMENTO.PrecoUnitarioLicitado),15-13*$AF$10),0)</f>
        <v>0</v>
      </c>
      <c r="X482" s="127">
        <f ca="1">IF($C482="S",IF(Import.TipoArredondamento&lt;&gt;"TransfereGOV",VTOTAL1,SUM(OFFSET(CÁLCULO!$AA$15,ROW($X482)-ROW($X$15),1):OFFSET(CÁLCULO!$AL$15,ROW($X482)-ROW($X$15),-1))),IF($C482=0,0,ROUND(SomaAgrup,15-13*$AF$11)))</f>
        <v>0</v>
      </c>
      <c r="Y482" s="128" t="s">
        <v>245</v>
      </c>
      <c r="Z482" t="str">
        <f t="shared" ca="1" si="67"/>
        <v/>
      </c>
      <c r="AA482" s="129">
        <f ca="1">IF($C482="S",IF($Z482="CP",$X482,IF($Z482="RA",(($X482)*QCI!$AA$3),0)),SomaAgrup)</f>
        <v>0</v>
      </c>
      <c r="AB482" s="130">
        <f t="shared" ca="1" si="68"/>
        <v>0</v>
      </c>
      <c r="AC482" s="131" t="str">
        <f ca="1">IF($N482="","",IF(ORÇAMENTO.Descricao="","DESCRIÇÃO",IF(AND($C482="S",ORÇAMENTO.Unidade=""),"UNIDADE",IF($X482&lt;0,"VALOR NEGATIVO",IF(OR(AND(TIPOORCAMENTO="Proposto",$AG482&lt;&gt;"",$AG482&gt;0,ORÇAMENTO.CustoUnitario&gt;$AG482),AND(TIPOORCAMENTO="LICITADO",ORÇAMENTO.PrecoUnitarioLicitado&gt;$AN482)),"ACIMA REF.","")))))</f>
        <v/>
      </c>
      <c r="AD482" t="str">
        <f ca="1">IF(C482&lt;=CRONO.NivelExibicao,MAX($AD$15:OFFSET(AD482,-1,0))+IF($C482&lt;&gt;1,1,MAX(1,COUNTIF(QCI!$A$13:$A$24,OFFSET($E482,-1,0)))),"")</f>
        <v/>
      </c>
      <c r="AE482" s="7" t="str">
        <f ca="1">IF(AND($C482="S",ORÇAMENTO.CodBarra&lt;&gt;""),IF(ORÇAMENTO.Fonte="",ORÇAMENTO.CodBarra,CONCATENATE(ORÇAMENTO.Fonte," ",ORÇAMENTO.CodBarra)))</f>
        <v>Composição FNDE 604</v>
      </c>
      <c r="AF482" s="13" t="str">
        <f ca="1">IF(ISERROR(INDIRECT(ORÇAMENTO.BancoRef)),"(abra o arquivo 'Referência "&amp;Excel_BuiltIn_Database&amp;".xlsm)",IF(OR($C482&lt;&gt;"S",ORÇAMENTO.CodBarra=""),"(Sem Código)",IF(ISERROR(MATCH($AE482,INDIRECT(ORÇAMENTO.BancoRef),0)),"(Código não identificado nas referências)",MATCH($AE482,INDIRECT(ORÇAMENTO.BancoRef),0))))</f>
        <v>(abra o arquivo 'Referência 02-2025.xlsm)</v>
      </c>
      <c r="AG482" s="498">
        <f ca="1">ROUND(IF(DESONERACAO="sim",REFERENCIA.Desonerado,REFERENCIA.NaoDesonerado),2)</f>
        <v>0</v>
      </c>
      <c r="AH482" s="499">
        <f t="shared" ca="1" si="69"/>
        <v>0.22470000000000001</v>
      </c>
      <c r="AJ482" s="501">
        <v>9</v>
      </c>
      <c r="AL482" s="527"/>
      <c r="AM482" s="381">
        <f t="shared" ca="1" si="70"/>
        <v>0</v>
      </c>
      <c r="AN482" s="566">
        <f t="shared" ca="1" si="71"/>
        <v>0</v>
      </c>
    </row>
    <row r="483" spans="1:40" x14ac:dyDescent="0.2">
      <c r="A483">
        <f t="shared" si="56"/>
        <v>3</v>
      </c>
      <c r="B483">
        <f t="shared" ca="1" si="57"/>
        <v>3</v>
      </c>
      <c r="C483">
        <f t="shared" ca="1" si="58"/>
        <v>3</v>
      </c>
      <c r="D483">
        <f t="shared" ca="1" si="59"/>
        <v>4</v>
      </c>
      <c r="E483">
        <f ca="1">IF($C483=1,OFFSET(E483,-1,0)+MAX(1,COUNTIF(QCI!$A$13:$A$24,OFFSET(ORÇAMENTO!E483,-1,0))),OFFSET(E483,-1,0))</f>
        <v>1</v>
      </c>
      <c r="F483">
        <f t="shared" ca="1" si="60"/>
        <v>16</v>
      </c>
      <c r="G483">
        <f t="shared" ca="1" si="61"/>
        <v>5</v>
      </c>
      <c r="H483">
        <f t="shared" ca="1" si="62"/>
        <v>0</v>
      </c>
      <c r="I483">
        <f t="shared" ca="1" si="63"/>
        <v>0</v>
      </c>
      <c r="J483">
        <f t="shared" ca="1" si="130"/>
        <v>4</v>
      </c>
      <c r="K483">
        <f ca="1">IF(OR($C483="S",$C483=0),0,MATCH(OFFSET($D483,0,$C483)+IF($C483&lt;&gt;1,1,COUNTIF(QCI!$A$13:$A$24,ORÇAMENTO!E483)),OFFSET($D483,1,$C483,ROW($C$747)-ROW($C483)),0))</f>
        <v>56</v>
      </c>
      <c r="L483" s="116" t="str">
        <f t="shared" ca="1" si="64"/>
        <v>F</v>
      </c>
      <c r="M483" s="117" t="s">
        <v>197</v>
      </c>
      <c r="N483" s="118" t="str">
        <f t="shared" ca="1" si="65"/>
        <v>Nível 3</v>
      </c>
      <c r="O483" s="119" t="str">
        <f t="shared" ca="1" si="66"/>
        <v>1.16.5.</v>
      </c>
      <c r="P483" s="120" t="s">
        <v>247</v>
      </c>
      <c r="Q483" s="121"/>
      <c r="R483" s="122" t="str">
        <f ca="1">IF($C483="S",REFERENCIA.Descricao,"SINALIZAÇÕES")</f>
        <v>SINALIZAÇÕES</v>
      </c>
      <c r="S483" s="123" t="str">
        <f ca="1">REFERENCIA.Unidade</f>
        <v>-</v>
      </c>
      <c r="T483" s="124">
        <f ca="1">OFFSET(CÁLCULO!H$15,ROW($T483)-ROW(T$15),0)</f>
        <v>0</v>
      </c>
      <c r="U483" s="125">
        <f t="shared" ca="1" si="131"/>
        <v>0</v>
      </c>
      <c r="V483" s="126" t="s">
        <v>156</v>
      </c>
      <c r="W483" s="124">
        <f ca="1">IF($C483="S",ROUND(IF(TIPOORCAMENTO="Proposto",ORÇAMENTO.CustoUnitario*(1+$AH483),ORÇAMENTO.PrecoUnitarioLicitado),15-13*$AF$10),0)</f>
        <v>0</v>
      </c>
      <c r="X483" s="127">
        <f ca="1">IF($C483="S",IF(Import.TipoArredondamento&lt;&gt;"TransfereGOV",VTOTAL1,SUM(OFFSET(CÁLCULO!$AA$15,ROW($X483)-ROW($X$15),1):OFFSET(CÁLCULO!$AL$15,ROW($X483)-ROW($X$15),-1))),IF($C483=0,0,ROUND(SomaAgrup,15-13*$AF$11)))</f>
        <v>0</v>
      </c>
      <c r="Y483" s="128" t="s">
        <v>245</v>
      </c>
      <c r="Z483" t="str">
        <f t="shared" ca="1" si="67"/>
        <v/>
      </c>
      <c r="AA483" s="129">
        <f ca="1">IF($C483="S",IF($Z483="CP",$X483,IF($Z483="RA",(($X483)*QCI!$AA$3),0)),SomaAgrup)</f>
        <v>0</v>
      </c>
      <c r="AB483" s="130">
        <f t="shared" ca="1" si="68"/>
        <v>0</v>
      </c>
      <c r="AC483" s="131" t="str">
        <f ca="1">IF($N483="","",IF(ORÇAMENTO.Descricao="","DESCRIÇÃO",IF(AND($C483="S",ORÇAMENTO.Unidade=""),"UNIDADE",IF($X483&lt;0,"VALOR NEGATIVO",IF(OR(AND(TIPOORCAMENTO="Proposto",$AG483&lt;&gt;"",$AG483&gt;0,ORÇAMENTO.CustoUnitario&gt;$AG483),AND(TIPOORCAMENTO="LICITADO",ORÇAMENTO.PrecoUnitarioLicitado&gt;$AN483)),"ACIMA REF.","")))))</f>
        <v/>
      </c>
      <c r="AD483" t="str">
        <f ca="1">IF(C483&lt;=CRONO.NivelExibicao,MAX($AD$15:OFFSET(AD483,-1,0))+IF($C483&lt;&gt;1,1,MAX(1,COUNTIF(QCI!$A$13:$A$24,OFFSET($E483,-1,0)))),"")</f>
        <v/>
      </c>
      <c r="AE483" s="7" t="b">
        <f ca="1">IF(AND($C483="S",ORÇAMENTO.CodBarra&lt;&gt;""),IF(ORÇAMENTO.Fonte="",ORÇAMENTO.CodBarra,CONCATENATE(ORÇAMENTO.Fonte," ",ORÇAMENTO.CodBarra)))</f>
        <v>0</v>
      </c>
      <c r="AF483" s="13" t="str">
        <f ca="1">IF(ISERROR(INDIRECT(ORÇAMENTO.BancoRef)),"(abra o arquivo 'Referência "&amp;Excel_BuiltIn_Database&amp;".xlsm)",IF(OR($C483&lt;&gt;"S",ORÇAMENTO.CodBarra=""),"(Sem Código)",IF(ISERROR(MATCH($AE483,INDIRECT(ORÇAMENTO.BancoRef),0)),"(Código não identificado nas referências)",MATCH($AE483,INDIRECT(ORÇAMENTO.BancoRef),0))))</f>
        <v>(abra o arquivo 'Referência 02-2025.xlsm)</v>
      </c>
      <c r="AG483" s="498">
        <f ca="1">ROUND(IF(DESONERACAO="sim",REFERENCIA.Desonerado,REFERENCIA.NaoDesonerado),2)</f>
        <v>0</v>
      </c>
      <c r="AH483" s="499">
        <f t="shared" ca="1" si="69"/>
        <v>0.22470000000000001</v>
      </c>
      <c r="AJ483" s="501"/>
      <c r="AL483" s="527"/>
      <c r="AM483" s="381">
        <f t="shared" ca="1" si="70"/>
        <v>0</v>
      </c>
      <c r="AN483" s="566">
        <f t="shared" ca="1" si="71"/>
        <v>0</v>
      </c>
    </row>
    <row r="484" spans="1:40" ht="25.5" x14ac:dyDescent="0.2">
      <c r="A484" t="str">
        <f t="shared" si="56"/>
        <v>S</v>
      </c>
      <c r="B484">
        <f t="shared" ca="1" si="57"/>
        <v>3</v>
      </c>
      <c r="C484" t="str">
        <f t="shared" ca="1" si="58"/>
        <v>S</v>
      </c>
      <c r="D484">
        <f t="shared" ca="1" si="59"/>
        <v>0</v>
      </c>
      <c r="E484">
        <f ca="1">IF($C484=1,OFFSET(E484,-1,0)+MAX(1,COUNTIF(QCI!$A$13:$A$24,OFFSET(ORÇAMENTO!E484,-1,0))),OFFSET(E484,-1,0))</f>
        <v>1</v>
      </c>
      <c r="F484">
        <f t="shared" ca="1" si="60"/>
        <v>16</v>
      </c>
      <c r="G484">
        <f t="shared" ca="1" si="61"/>
        <v>5</v>
      </c>
      <c r="H484">
        <f t="shared" ca="1" si="62"/>
        <v>0</v>
      </c>
      <c r="I484">
        <f t="shared" ca="1" si="63"/>
        <v>0</v>
      </c>
      <c r="J484">
        <f t="shared" ca="1" si="130"/>
        <v>0</v>
      </c>
      <c r="K484">
        <f ca="1">IF(OR($C484="S",$C484=0),0,MATCH(OFFSET($D484,0,$C484)+IF($C484&lt;&gt;1,1,COUNTIF(QCI!$A$13:$A$24,ORÇAMENTO!E484)),OFFSET($D484,1,$C484,ROW($C$747)-ROW($C484)),0))</f>
        <v>0</v>
      </c>
      <c r="L484" s="116" t="str">
        <f t="shared" ca="1" si="64"/>
        <v/>
      </c>
      <c r="M484" s="117" t="s">
        <v>199</v>
      </c>
      <c r="N484" s="118" t="str">
        <f t="shared" ca="1" si="65"/>
        <v>Serviço</v>
      </c>
      <c r="O484" s="119" t="str">
        <f t="shared" ca="1" si="66"/>
        <v>-</v>
      </c>
      <c r="P484" s="120" t="s">
        <v>247</v>
      </c>
      <c r="Q484" s="121" t="s">
        <v>643</v>
      </c>
      <c r="R484" s="122" t="str">
        <f ca="1">IF($C484="S",REFERENCIA.Descricao,"(digite a descrição aqui)")</f>
        <v>(abra o arquivo 'Referência 02-2025.xlsm)</v>
      </c>
      <c r="S484" s="123" t="str">
        <f ca="1">REFERENCIA.Unidade</f>
        <v>-</v>
      </c>
      <c r="T484" s="124">
        <f ca="1">OFFSET(CÁLCULO!H$15,ROW($T484)-ROW(T$15),0)</f>
        <v>30</v>
      </c>
      <c r="U484" s="125">
        <f t="shared" ca="1" si="131"/>
        <v>0</v>
      </c>
      <c r="V484" s="126" t="s">
        <v>156</v>
      </c>
      <c r="W484" s="124">
        <f ca="1">IF($C484="S",ROUND(IF(TIPOORCAMENTO="Proposto",ORÇAMENTO.CustoUnitario*(1+$AH484),ORÇAMENTO.PrecoUnitarioLicitado),15-13*$AF$10),0)</f>
        <v>0</v>
      </c>
      <c r="X484" s="127">
        <f ca="1">IF($C484="S",IF(Import.TipoArredondamento&lt;&gt;"TransfereGOV",VTOTAL1,SUM(OFFSET(CÁLCULO!$AA$15,ROW($X484)-ROW($X$15),1):OFFSET(CÁLCULO!$AL$15,ROW($X484)-ROW($X$15),-1))),IF($C484=0,0,ROUND(SomaAgrup,15-13*$AF$11)))</f>
        <v>0</v>
      </c>
      <c r="Y484" s="128" t="s">
        <v>245</v>
      </c>
      <c r="Z484" t="str">
        <f t="shared" ca="1" si="67"/>
        <v/>
      </c>
      <c r="AA484" s="129">
        <f ca="1">IF($C484="S",IF($Z484="CP",$X484,IF($Z484="RA",(($X484)*QCI!$AA$3),0)),SomaAgrup)</f>
        <v>0</v>
      </c>
      <c r="AB484" s="130">
        <f t="shared" ca="1" si="68"/>
        <v>0</v>
      </c>
      <c r="AC484" s="131" t="str">
        <f ca="1">IF($N484="","",IF(ORÇAMENTO.Descricao="","DESCRIÇÃO",IF(AND($C484="S",ORÇAMENTO.Unidade=""),"UNIDADE",IF($X484&lt;0,"VALOR NEGATIVO",IF(OR(AND(TIPOORCAMENTO="Proposto",$AG484&lt;&gt;"",$AG484&gt;0,ORÇAMENTO.CustoUnitario&gt;$AG484),AND(TIPOORCAMENTO="LICITADO",ORÇAMENTO.PrecoUnitarioLicitado&gt;$AN484)),"ACIMA REF.","")))))</f>
        <v/>
      </c>
      <c r="AD484" t="str">
        <f ca="1">IF(C484&lt;=CRONO.NivelExibicao,MAX($AD$15:OFFSET(AD484,-1,0))+IF($C484&lt;&gt;1,1,MAX(1,COUNTIF(QCI!$A$13:$A$24,OFFSET($E484,-1,0)))),"")</f>
        <v/>
      </c>
      <c r="AE484" s="7" t="str">
        <f ca="1">IF(AND($C484="S",ORÇAMENTO.CodBarra&lt;&gt;""),IF(ORÇAMENTO.Fonte="",ORÇAMENTO.CodBarra,CONCATENATE(ORÇAMENTO.Fonte," ",ORÇAMENTO.CodBarra)))</f>
        <v>SINAPI 97599</v>
      </c>
      <c r="AF484" s="13" t="str">
        <f ca="1">IF(ISERROR(INDIRECT(ORÇAMENTO.BancoRef)),"(abra o arquivo 'Referência "&amp;Excel_BuiltIn_Database&amp;".xlsm)",IF(OR($C484&lt;&gt;"S",ORÇAMENTO.CodBarra=""),"(Sem Código)",IF(ISERROR(MATCH($AE484,INDIRECT(ORÇAMENTO.BancoRef),0)),"(Código não identificado nas referências)",MATCH($AE484,INDIRECT(ORÇAMENTO.BancoRef),0))))</f>
        <v>(abra o arquivo 'Referência 02-2025.xlsm)</v>
      </c>
      <c r="AG484" s="498">
        <f ca="1">ROUND(IF(DESONERACAO="sim",REFERENCIA.Desonerado,REFERENCIA.NaoDesonerado),2)</f>
        <v>0</v>
      </c>
      <c r="AH484" s="499">
        <f t="shared" ca="1" si="69"/>
        <v>0.22470000000000001</v>
      </c>
      <c r="AJ484" s="501">
        <v>30</v>
      </c>
      <c r="AL484" s="527"/>
      <c r="AM484" s="381">
        <f t="shared" ca="1" si="70"/>
        <v>0</v>
      </c>
      <c r="AN484" s="566">
        <f t="shared" ca="1" si="71"/>
        <v>0</v>
      </c>
    </row>
    <row r="485" spans="1:40" x14ac:dyDescent="0.2">
      <c r="A485" t="str">
        <f t="shared" si="56"/>
        <v>S</v>
      </c>
      <c r="B485">
        <f t="shared" ca="1" si="57"/>
        <v>3</v>
      </c>
      <c r="C485" t="str">
        <f t="shared" ca="1" si="58"/>
        <v>S</v>
      </c>
      <c r="D485">
        <f t="shared" ca="1" si="59"/>
        <v>0</v>
      </c>
      <c r="E485">
        <f ca="1">IF($C485=1,OFFSET(E485,-1,0)+MAX(1,COUNTIF(QCI!$A$13:$A$24,OFFSET(ORÇAMENTO!E485,-1,0))),OFFSET(E485,-1,0))</f>
        <v>1</v>
      </c>
      <c r="F485">
        <f t="shared" ca="1" si="60"/>
        <v>16</v>
      </c>
      <c r="G485">
        <f t="shared" ca="1" si="61"/>
        <v>5</v>
      </c>
      <c r="H485">
        <f t="shared" ca="1" si="62"/>
        <v>0</v>
      </c>
      <c r="I485">
        <f t="shared" ca="1" si="63"/>
        <v>0</v>
      </c>
      <c r="J485">
        <f t="shared" ca="1" si="130"/>
        <v>0</v>
      </c>
      <c r="K485">
        <f ca="1">IF(OR($C485="S",$C485=0),0,MATCH(OFFSET($D485,0,$C485)+IF($C485&lt;&gt;1,1,COUNTIF(QCI!$A$13:$A$24,ORÇAMENTO!E485)),OFFSET($D485,1,$C485,ROW($C$747)-ROW($C485)),0))</f>
        <v>0</v>
      </c>
      <c r="L485" s="116" t="str">
        <f t="shared" ca="1" si="64"/>
        <v/>
      </c>
      <c r="M485" s="117" t="s">
        <v>199</v>
      </c>
      <c r="N485" s="118" t="str">
        <f t="shared" ca="1" si="65"/>
        <v>Serviço</v>
      </c>
      <c r="O485" s="119" t="str">
        <f t="shared" ca="1" si="66"/>
        <v>-</v>
      </c>
      <c r="P485" s="120" t="s">
        <v>712</v>
      </c>
      <c r="Q485" s="121" t="s">
        <v>831</v>
      </c>
      <c r="R485" s="122" t="str">
        <f ca="1">IF($C485="S",REFERENCIA.Descricao,"(digite a descrição aqui)")</f>
        <v>(abra o arquivo 'Referência 02-2025.xlsm)</v>
      </c>
      <c r="S485" s="123" t="str">
        <f ca="1">REFERENCIA.Unidade</f>
        <v>-</v>
      </c>
      <c r="T485" s="124">
        <f ca="1">OFFSET(CÁLCULO!H$15,ROW($T485)-ROW(T$15),0)</f>
        <v>101</v>
      </c>
      <c r="U485" s="125">
        <f t="shared" ca="1" si="131"/>
        <v>0</v>
      </c>
      <c r="V485" s="126" t="s">
        <v>156</v>
      </c>
      <c r="W485" s="124">
        <f ca="1">IF($C485="S",ROUND(IF(TIPOORCAMENTO="Proposto",ORÇAMENTO.CustoUnitario*(1+$AH485),ORÇAMENTO.PrecoUnitarioLicitado),15-13*$AF$10),0)</f>
        <v>0</v>
      </c>
      <c r="X485" s="127">
        <f ca="1">IF($C485="S",IF(Import.TipoArredondamento&lt;&gt;"TransfereGOV",VTOTAL1,SUM(OFFSET(CÁLCULO!$AA$15,ROW($X485)-ROW($X$15),1):OFFSET(CÁLCULO!$AL$15,ROW($X485)-ROW($X$15),-1))),IF($C485=0,0,ROUND(SomaAgrup,15-13*$AF$11)))</f>
        <v>0</v>
      </c>
      <c r="Y485" s="128" t="s">
        <v>245</v>
      </c>
      <c r="Z485" t="str">
        <f t="shared" ca="1" si="67"/>
        <v/>
      </c>
      <c r="AA485" s="129">
        <f ca="1">IF($C485="S",IF($Z485="CP",$X485,IF($Z485="RA",(($X485)*QCI!$AA$3),0)),SomaAgrup)</f>
        <v>0</v>
      </c>
      <c r="AB485" s="130">
        <f t="shared" ca="1" si="68"/>
        <v>0</v>
      </c>
      <c r="AC485" s="131" t="str">
        <f ca="1">IF($N485="","",IF(ORÇAMENTO.Descricao="","DESCRIÇÃO",IF(AND($C485="S",ORÇAMENTO.Unidade=""),"UNIDADE",IF($X485&lt;0,"VALOR NEGATIVO",IF(OR(AND(TIPOORCAMENTO="Proposto",$AG485&lt;&gt;"",$AG485&gt;0,ORÇAMENTO.CustoUnitario&gt;$AG485),AND(TIPOORCAMENTO="LICITADO",ORÇAMENTO.PrecoUnitarioLicitado&gt;$AN485)),"ACIMA REF.","")))))</f>
        <v/>
      </c>
      <c r="AD485" t="str">
        <f ca="1">IF(C485&lt;=CRONO.NivelExibicao,MAX($AD$15:OFFSET(AD485,-1,0))+IF($C485&lt;&gt;1,1,MAX(1,COUNTIF(QCI!$A$13:$A$24,OFFSET($E485,-1,0)))),"")</f>
        <v/>
      </c>
      <c r="AE485" s="7" t="str">
        <f ca="1">IF(AND($C485="S",ORÇAMENTO.CodBarra&lt;&gt;""),IF(ORÇAMENTO.Fonte="",ORÇAMENTO.CodBarra,CONCATENATE(ORÇAMENTO.Fonte," ",ORÇAMENTO.CodBarra)))</f>
        <v>Composição FNDE 303</v>
      </c>
      <c r="AF485" s="13" t="str">
        <f ca="1">IF(ISERROR(INDIRECT(ORÇAMENTO.BancoRef)),"(abra o arquivo 'Referência "&amp;Excel_BuiltIn_Database&amp;".xlsm)",IF(OR($C485&lt;&gt;"S",ORÇAMENTO.CodBarra=""),"(Sem Código)",IF(ISERROR(MATCH($AE485,INDIRECT(ORÇAMENTO.BancoRef),0)),"(Código não identificado nas referências)",MATCH($AE485,INDIRECT(ORÇAMENTO.BancoRef),0))))</f>
        <v>(abra o arquivo 'Referência 02-2025.xlsm)</v>
      </c>
      <c r="AG485" s="498">
        <f ca="1">ROUND(IF(DESONERACAO="sim",REFERENCIA.Desonerado,REFERENCIA.NaoDesonerado),2)</f>
        <v>0</v>
      </c>
      <c r="AH485" s="499">
        <f t="shared" ca="1" si="69"/>
        <v>0.22470000000000001</v>
      </c>
      <c r="AJ485" s="501">
        <v>101</v>
      </c>
      <c r="AL485" s="527"/>
      <c r="AM485" s="381">
        <f t="shared" ca="1" si="70"/>
        <v>0</v>
      </c>
      <c r="AN485" s="566">
        <f t="shared" ca="1" si="71"/>
        <v>0</v>
      </c>
    </row>
    <row r="486" spans="1:40" ht="25.5" x14ac:dyDescent="0.2">
      <c r="A486" t="str">
        <f t="shared" si="56"/>
        <v>S</v>
      </c>
      <c r="B486">
        <f t="shared" ca="1" si="57"/>
        <v>3</v>
      </c>
      <c r="C486" t="str">
        <f t="shared" ca="1" si="58"/>
        <v>S</v>
      </c>
      <c r="D486">
        <f t="shared" ca="1" si="59"/>
        <v>0</v>
      </c>
      <c r="E486">
        <f ca="1">IF($C486=1,OFFSET(E486,-1,0)+MAX(1,COUNTIF(QCI!$A$13:$A$24,OFFSET(ORÇAMENTO!E486,-1,0))),OFFSET(E486,-1,0))</f>
        <v>1</v>
      </c>
      <c r="F486">
        <f t="shared" ca="1" si="60"/>
        <v>16</v>
      </c>
      <c r="G486">
        <f t="shared" ca="1" si="61"/>
        <v>5</v>
      </c>
      <c r="H486">
        <f t="shared" ca="1" si="62"/>
        <v>0</v>
      </c>
      <c r="I486">
        <f t="shared" ca="1" si="63"/>
        <v>0</v>
      </c>
      <c r="J486">
        <f t="shared" ca="1" si="130"/>
        <v>0</v>
      </c>
      <c r="K486">
        <f ca="1">IF(OR($C486="S",$C486=0),0,MATCH(OFFSET($D486,0,$C486)+IF($C486&lt;&gt;1,1,COUNTIF(QCI!$A$13:$A$24,ORÇAMENTO!E486)),OFFSET($D486,1,$C486,ROW($C$747)-ROW($C486)),0))</f>
        <v>0</v>
      </c>
      <c r="L486" s="116" t="str">
        <f t="shared" ca="1" si="64"/>
        <v/>
      </c>
      <c r="M486" s="117" t="s">
        <v>199</v>
      </c>
      <c r="N486" s="118" t="str">
        <f t="shared" ca="1" si="65"/>
        <v>Serviço</v>
      </c>
      <c r="O486" s="119" t="str">
        <f t="shared" ca="1" si="66"/>
        <v>-</v>
      </c>
      <c r="P486" s="120" t="s">
        <v>247</v>
      </c>
      <c r="Q486" s="121" t="s">
        <v>644</v>
      </c>
      <c r="R486" s="122" t="str">
        <f ca="1">IF($C486="S",REFERENCIA.Descricao,"(digite a descrição aqui)")</f>
        <v>(abra o arquivo 'Referência 02-2025.xlsm)</v>
      </c>
      <c r="S486" s="123" t="str">
        <f ca="1">REFERENCIA.Unidade</f>
        <v>-</v>
      </c>
      <c r="T486" s="124">
        <f ca="1">OFFSET(CÁLCULO!H$15,ROW($T486)-ROW(T$15),0)</f>
        <v>12</v>
      </c>
      <c r="U486" s="125">
        <f t="shared" ca="1" si="131"/>
        <v>0</v>
      </c>
      <c r="V486" s="126" t="s">
        <v>156</v>
      </c>
      <c r="W486" s="124">
        <f ca="1">IF($C486="S",ROUND(IF(TIPOORCAMENTO="Proposto",ORÇAMENTO.CustoUnitario*(1+$AH486),ORÇAMENTO.PrecoUnitarioLicitado),15-13*$AF$10),0)</f>
        <v>0</v>
      </c>
      <c r="X486" s="127">
        <f ca="1">IF($C486="S",IF(Import.TipoArredondamento&lt;&gt;"TransfereGOV",VTOTAL1,SUM(OFFSET(CÁLCULO!$AA$15,ROW($X486)-ROW($X$15),1):OFFSET(CÁLCULO!$AL$15,ROW($X486)-ROW($X$15),-1))),IF($C486=0,0,ROUND(SomaAgrup,15-13*$AF$11)))</f>
        <v>0</v>
      </c>
      <c r="Y486" s="128" t="s">
        <v>245</v>
      </c>
      <c r="Z486" t="str">
        <f t="shared" ca="1" si="67"/>
        <v/>
      </c>
      <c r="AA486" s="129">
        <f ca="1">IF($C486="S",IF($Z486="CP",$X486,IF($Z486="RA",(($X486)*QCI!$AA$3),0)),SomaAgrup)</f>
        <v>0</v>
      </c>
      <c r="AB486" s="130">
        <f t="shared" ca="1" si="68"/>
        <v>0</v>
      </c>
      <c r="AC486" s="131" t="str">
        <f ca="1">IF($N486="","",IF(ORÇAMENTO.Descricao="","DESCRIÇÃO",IF(AND($C486="S",ORÇAMENTO.Unidade=""),"UNIDADE",IF($X486&lt;0,"VALOR NEGATIVO",IF(OR(AND(TIPOORCAMENTO="Proposto",$AG486&lt;&gt;"",$AG486&gt;0,ORÇAMENTO.CustoUnitario&gt;$AG486),AND(TIPOORCAMENTO="LICITADO",ORÇAMENTO.PrecoUnitarioLicitado&gt;$AN486)),"ACIMA REF.","")))))</f>
        <v/>
      </c>
      <c r="AD486" t="str">
        <f ca="1">IF(C486&lt;=CRONO.NivelExibicao,MAX($AD$15:OFFSET(AD486,-1,0))+IF($C486&lt;&gt;1,1,MAX(1,COUNTIF(QCI!$A$13:$A$24,OFFSET($E486,-1,0)))),"")</f>
        <v/>
      </c>
      <c r="AE486" s="7" t="str">
        <f ca="1">IF(AND($C486="S",ORÇAMENTO.CodBarra&lt;&gt;""),IF(ORÇAMENTO.Fonte="",ORÇAMENTO.CodBarra,CONCATENATE(ORÇAMENTO.Fonte," ",ORÇAMENTO.CodBarra)))</f>
        <v>SINAPI 102520</v>
      </c>
      <c r="AF486" s="13" t="str">
        <f ca="1">IF(ISERROR(INDIRECT(ORÇAMENTO.BancoRef)),"(abra o arquivo 'Referência "&amp;Excel_BuiltIn_Database&amp;".xlsm)",IF(OR($C486&lt;&gt;"S",ORÇAMENTO.CodBarra=""),"(Sem Código)",IF(ISERROR(MATCH($AE486,INDIRECT(ORÇAMENTO.BancoRef),0)),"(Código não identificado nas referências)",MATCH($AE486,INDIRECT(ORÇAMENTO.BancoRef),0))))</f>
        <v>(abra o arquivo 'Referência 02-2025.xlsm)</v>
      </c>
      <c r="AG486" s="498">
        <f ca="1">ROUND(IF(DESONERACAO="sim",REFERENCIA.Desonerado,REFERENCIA.NaoDesonerado),2)</f>
        <v>0</v>
      </c>
      <c r="AH486" s="499">
        <f t="shared" ca="1" si="69"/>
        <v>0.22470000000000001</v>
      </c>
      <c r="AJ486" s="501">
        <v>12</v>
      </c>
      <c r="AL486" s="527"/>
      <c r="AM486" s="381">
        <f t="shared" ca="1" si="70"/>
        <v>0</v>
      </c>
      <c r="AN486" s="566">
        <f t="shared" ca="1" si="71"/>
        <v>0</v>
      </c>
    </row>
    <row r="487" spans="1:40" x14ac:dyDescent="0.2">
      <c r="A487">
        <f t="shared" si="56"/>
        <v>2</v>
      </c>
      <c r="B487">
        <f t="shared" ca="1" si="57"/>
        <v>2</v>
      </c>
      <c r="C487">
        <f t="shared" ca="1" si="58"/>
        <v>2</v>
      </c>
      <c r="D487">
        <f t="shared" ca="1" si="59"/>
        <v>121</v>
      </c>
      <c r="E487">
        <f ca="1">IF($C487=1,OFFSET(E487,-1,0)+MAX(1,COUNTIF(QCI!$A$13:$A$24,OFFSET(ORÇAMENTO!E487,-1,0))),OFFSET(E487,-1,0))</f>
        <v>1</v>
      </c>
      <c r="F487">
        <f t="shared" ca="1" si="60"/>
        <v>17</v>
      </c>
      <c r="G487">
        <f t="shared" ca="1" si="61"/>
        <v>0</v>
      </c>
      <c r="H487">
        <f t="shared" ca="1" si="62"/>
        <v>0</v>
      </c>
      <c r="I487">
        <f t="shared" ca="1" si="63"/>
        <v>0</v>
      </c>
      <c r="J487">
        <f t="shared" ca="1" si="130"/>
        <v>260</v>
      </c>
      <c r="K487">
        <f ca="1">IF(OR($C487="S",$C487=0),0,MATCH(OFFSET($D487,0,$C487)+IF($C487&lt;&gt;1,1,COUNTIF(QCI!$A$13:$A$24,ORÇAMENTO!E487)),OFFSET($D487,1,$C487,ROW($C$747)-ROW($C487)),0))</f>
        <v>121</v>
      </c>
      <c r="L487" s="116" t="str">
        <f t="shared" ca="1" si="64"/>
        <v>F</v>
      </c>
      <c r="M487" s="117" t="s">
        <v>196</v>
      </c>
      <c r="N487" s="118" t="str">
        <f t="shared" ca="1" si="65"/>
        <v>Nível 2</v>
      </c>
      <c r="O487" s="119" t="str">
        <f t="shared" ca="1" si="66"/>
        <v>1.17.</v>
      </c>
      <c r="P487" s="120" t="s">
        <v>247</v>
      </c>
      <c r="Q487" s="121"/>
      <c r="R487" s="122" t="s">
        <v>957</v>
      </c>
      <c r="S487" s="123" t="str">
        <f ca="1">REFERENCIA.Unidade</f>
        <v>-</v>
      </c>
      <c r="T487" s="124">
        <f ca="1">OFFSET(CÁLCULO!H$15,ROW($T487)-ROW(T$15),0)</f>
        <v>0</v>
      </c>
      <c r="U487" s="125">
        <f t="shared" ca="1" si="131"/>
        <v>0</v>
      </c>
      <c r="V487" s="126" t="s">
        <v>156</v>
      </c>
      <c r="W487" s="124">
        <f ca="1">IF($C487="S",ROUND(IF(TIPOORCAMENTO="Proposto",ORÇAMENTO.CustoUnitario*(1+$AH487),ORÇAMENTO.PrecoUnitarioLicitado),15-13*$AF$10),0)</f>
        <v>0</v>
      </c>
      <c r="X487" s="127">
        <f ca="1">IF($C487="S",IF(Import.TipoArredondamento&lt;&gt;"TransfereGOV",VTOTAL1,SUM(OFFSET(CÁLCULO!$AA$15,ROW($X487)-ROW($X$15),1):OFFSET(CÁLCULO!$AL$15,ROW($X487)-ROW($X$15),-1))),IF($C487=0,0,ROUND(SomaAgrup,15-13*$AF$11)))</f>
        <v>0</v>
      </c>
      <c r="Y487" s="128" t="s">
        <v>245</v>
      </c>
      <c r="Z487" t="str">
        <f t="shared" ca="1" si="67"/>
        <v/>
      </c>
      <c r="AA487" s="129">
        <f ca="1">IF($C487="S",IF($Z487="CP",$X487,IF($Z487="RA",(($X487)*QCI!$AA$3),0)),SomaAgrup)</f>
        <v>0</v>
      </c>
      <c r="AB487" s="130">
        <f t="shared" ca="1" si="68"/>
        <v>0</v>
      </c>
      <c r="AC487" s="131" t="str">
        <f ca="1">IF($N487="","",IF(ORÇAMENTO.Descricao="","DESCRIÇÃO",IF(AND($C487="S",ORÇAMENTO.Unidade=""),"UNIDADE",IF($X487&lt;0,"VALOR NEGATIVO",IF(OR(AND(TIPOORCAMENTO="Proposto",$AG487&lt;&gt;"",$AG487&gt;0,ORÇAMENTO.CustoUnitario&gt;$AG487),AND(TIPOORCAMENTO="LICITADO",ORÇAMENTO.PrecoUnitarioLicitado&gt;$AN487)),"ACIMA REF.","")))))</f>
        <v/>
      </c>
      <c r="AD487">
        <f ca="1">IF(C487&lt;=CRONO.NivelExibicao,MAX($AD$15:OFFSET(AD487,-1,0))+IF($C487&lt;&gt;1,1,MAX(1,COUNTIF(QCI!$A$13:$A$24,OFFSET($E487,-1,0)))),"")</f>
        <v>18</v>
      </c>
      <c r="AE487" s="7" t="b">
        <f ca="1">IF(AND($C487="S",ORÇAMENTO.CodBarra&lt;&gt;""),IF(ORÇAMENTO.Fonte="",ORÇAMENTO.CodBarra,CONCATENATE(ORÇAMENTO.Fonte," ",ORÇAMENTO.CodBarra)))</f>
        <v>0</v>
      </c>
      <c r="AF487" s="13" t="str">
        <f ca="1">IF(ISERROR(INDIRECT(ORÇAMENTO.BancoRef)),"(abra o arquivo 'Referência "&amp;Excel_BuiltIn_Database&amp;".xlsm)",IF(OR($C487&lt;&gt;"S",ORÇAMENTO.CodBarra=""),"(Sem Código)",IF(ISERROR(MATCH($AE487,INDIRECT(ORÇAMENTO.BancoRef),0)),"(Código não identificado nas referências)",MATCH($AE487,INDIRECT(ORÇAMENTO.BancoRef),0))))</f>
        <v>(abra o arquivo 'Referência 02-2025.xlsm)</v>
      </c>
      <c r="AG487" s="498">
        <f ca="1">ROUND(IF(DESONERACAO="sim",REFERENCIA.Desonerado,REFERENCIA.NaoDesonerado),2)</f>
        <v>0</v>
      </c>
      <c r="AH487" s="499">
        <f t="shared" ca="1" si="69"/>
        <v>0.22470000000000001</v>
      </c>
      <c r="AJ487" s="501"/>
      <c r="AL487" s="527"/>
      <c r="AM487" s="381">
        <f t="shared" ca="1" si="70"/>
        <v>0</v>
      </c>
      <c r="AN487" s="566">
        <f t="shared" ca="1" si="71"/>
        <v>0</v>
      </c>
    </row>
    <row r="488" spans="1:40" x14ac:dyDescent="0.2">
      <c r="A488">
        <f t="shared" si="56"/>
        <v>3</v>
      </c>
      <c r="B488">
        <f t="shared" ca="1" si="57"/>
        <v>3</v>
      </c>
      <c r="C488">
        <f t="shared" ca="1" si="58"/>
        <v>3</v>
      </c>
      <c r="D488">
        <f t="shared" ca="1" si="59"/>
        <v>3</v>
      </c>
      <c r="E488">
        <f ca="1">IF($C488=1,OFFSET(E488,-1,0)+MAX(1,COUNTIF(QCI!$A$13:$A$24,OFFSET(ORÇAMENTO!E488,-1,0))),OFFSET(E488,-1,0))</f>
        <v>1</v>
      </c>
      <c r="F488">
        <f t="shared" ca="1" si="60"/>
        <v>17</v>
      </c>
      <c r="G488">
        <f t="shared" ca="1" si="61"/>
        <v>1</v>
      </c>
      <c r="H488">
        <f t="shared" ca="1" si="62"/>
        <v>0</v>
      </c>
      <c r="I488">
        <f t="shared" ca="1" si="63"/>
        <v>0</v>
      </c>
      <c r="J488">
        <f t="shared" ca="1" si="130"/>
        <v>120</v>
      </c>
      <c r="K488">
        <f ca="1">IF(OR($C488="S",$C488=0),0,MATCH(OFFSET($D488,0,$C488)+IF($C488&lt;&gt;1,1,COUNTIF(QCI!$A$13:$A$24,ORÇAMENTO!E488)),OFFSET($D488,1,$C488,ROW($C$747)-ROW($C488)),0))</f>
        <v>3</v>
      </c>
      <c r="L488" s="116" t="str">
        <f t="shared" ca="1" si="64"/>
        <v>F</v>
      </c>
      <c r="M488" s="117" t="s">
        <v>197</v>
      </c>
      <c r="N488" s="118" t="str">
        <f t="shared" ca="1" si="65"/>
        <v>Nível 3</v>
      </c>
      <c r="O488" s="119" t="str">
        <f t="shared" ca="1" si="66"/>
        <v>1.17.1.</v>
      </c>
      <c r="P488" s="120" t="s">
        <v>247</v>
      </c>
      <c r="Q488" s="121"/>
      <c r="R488" s="122" t="str">
        <f ca="1">IF($C488="S",REFERENCIA.Descricao,"ACESSÓRIOS PERFILADOS PERFURADOS")</f>
        <v>ACESSÓRIOS PERFILADOS PERFURADOS</v>
      </c>
      <c r="S488" s="123" t="str">
        <f ca="1">REFERENCIA.Unidade</f>
        <v>-</v>
      </c>
      <c r="T488" s="124">
        <f ca="1">OFFSET(CÁLCULO!H$15,ROW($T488)-ROW(T$15),0)</f>
        <v>0</v>
      </c>
      <c r="U488" s="125">
        <f t="shared" ca="1" si="131"/>
        <v>0</v>
      </c>
      <c r="V488" s="126" t="s">
        <v>156</v>
      </c>
      <c r="W488" s="124">
        <f ca="1">IF($C488="S",ROUND(IF(TIPOORCAMENTO="Proposto",ORÇAMENTO.CustoUnitario*(1+$AH488),ORÇAMENTO.PrecoUnitarioLicitado),15-13*$AF$10),0)</f>
        <v>0</v>
      </c>
      <c r="X488" s="127">
        <f ca="1">IF($C488="S",IF(Import.TipoArredondamento&lt;&gt;"TransfereGOV",VTOTAL1,SUM(OFFSET(CÁLCULO!$AA$15,ROW($X488)-ROW($X$15),1):OFFSET(CÁLCULO!$AL$15,ROW($X488)-ROW($X$15),-1))),IF($C488=0,0,ROUND(SomaAgrup,15-13*$AF$11)))</f>
        <v>0</v>
      </c>
      <c r="Y488" s="128" t="s">
        <v>245</v>
      </c>
      <c r="Z488" t="str">
        <f t="shared" ca="1" si="67"/>
        <v/>
      </c>
      <c r="AA488" s="129">
        <f ca="1">IF($C488="S",IF($Z488="CP",$X488,IF($Z488="RA",(($X488)*QCI!$AA$3),0)),SomaAgrup)</f>
        <v>0</v>
      </c>
      <c r="AB488" s="130">
        <f t="shared" ca="1" si="68"/>
        <v>0</v>
      </c>
      <c r="AC488" s="131" t="str">
        <f ca="1">IF($N488="","",IF(ORÇAMENTO.Descricao="","DESCRIÇÃO",IF(AND($C488="S",ORÇAMENTO.Unidade=""),"UNIDADE",IF($X488&lt;0,"VALOR NEGATIVO",IF(OR(AND(TIPOORCAMENTO="Proposto",$AG488&lt;&gt;"",$AG488&gt;0,ORÇAMENTO.CustoUnitario&gt;$AG488),AND(TIPOORCAMENTO="LICITADO",ORÇAMENTO.PrecoUnitarioLicitado&gt;$AN488)),"ACIMA REF.","")))))</f>
        <v/>
      </c>
      <c r="AD488" t="str">
        <f ca="1">IF(C488&lt;=CRONO.NivelExibicao,MAX($AD$15:OFFSET(AD488,-1,0))+IF($C488&lt;&gt;1,1,MAX(1,COUNTIF(QCI!$A$13:$A$24,OFFSET($E488,-1,0)))),"")</f>
        <v/>
      </c>
      <c r="AE488" s="7" t="b">
        <f ca="1">IF(AND($C488="S",ORÇAMENTO.CodBarra&lt;&gt;""),IF(ORÇAMENTO.Fonte="",ORÇAMENTO.CodBarra,CONCATENATE(ORÇAMENTO.Fonte," ",ORÇAMENTO.CodBarra)))</f>
        <v>0</v>
      </c>
      <c r="AF488" s="13" t="str">
        <f ca="1">IF(ISERROR(INDIRECT(ORÇAMENTO.BancoRef)),"(abra o arquivo 'Referência "&amp;Excel_BuiltIn_Database&amp;".xlsm)",IF(OR($C488&lt;&gt;"S",ORÇAMENTO.CodBarra=""),"(Sem Código)",IF(ISERROR(MATCH($AE488,INDIRECT(ORÇAMENTO.BancoRef),0)),"(Código não identificado nas referências)",MATCH($AE488,INDIRECT(ORÇAMENTO.BancoRef),0))))</f>
        <v>(abra o arquivo 'Referência 02-2025.xlsm)</v>
      </c>
      <c r="AG488" s="498">
        <f ca="1">ROUND(IF(DESONERACAO="sim",REFERENCIA.Desonerado,REFERENCIA.NaoDesonerado),2)</f>
        <v>0</v>
      </c>
      <c r="AH488" s="499">
        <f t="shared" ca="1" si="69"/>
        <v>0.22470000000000001</v>
      </c>
      <c r="AJ488" s="501"/>
      <c r="AL488" s="527"/>
      <c r="AM488" s="381">
        <f t="shared" ca="1" si="70"/>
        <v>0</v>
      </c>
      <c r="AN488" s="566">
        <f t="shared" ca="1" si="71"/>
        <v>0</v>
      </c>
    </row>
    <row r="489" spans="1:40" x14ac:dyDescent="0.2">
      <c r="A489" t="str">
        <f t="shared" si="56"/>
        <v>S</v>
      </c>
      <c r="B489">
        <f t="shared" ca="1" si="57"/>
        <v>3</v>
      </c>
      <c r="C489" t="str">
        <f t="shared" ca="1" si="58"/>
        <v>S</v>
      </c>
      <c r="D489">
        <f t="shared" ca="1" si="59"/>
        <v>0</v>
      </c>
      <c r="E489">
        <f ca="1">IF($C489=1,OFFSET(E489,-1,0)+MAX(1,COUNTIF(QCI!$A$13:$A$24,OFFSET(ORÇAMENTO!E489,-1,0))),OFFSET(E489,-1,0))</f>
        <v>1</v>
      </c>
      <c r="F489">
        <f t="shared" ca="1" si="60"/>
        <v>17</v>
      </c>
      <c r="G489">
        <f t="shared" ca="1" si="61"/>
        <v>1</v>
      </c>
      <c r="H489">
        <f t="shared" ca="1" si="62"/>
        <v>0</v>
      </c>
      <c r="I489">
        <f t="shared" ca="1" si="63"/>
        <v>0</v>
      </c>
      <c r="J489">
        <f t="shared" ca="1" si="130"/>
        <v>0</v>
      </c>
      <c r="K489">
        <f ca="1">IF(OR($C489="S",$C489=0),0,MATCH(OFFSET($D489,0,$C489)+IF($C489&lt;&gt;1,1,COUNTIF(QCI!$A$13:$A$24,ORÇAMENTO!E489)),OFFSET($D489,1,$C489,ROW($C$747)-ROW($C489)),0))</f>
        <v>0</v>
      </c>
      <c r="L489" s="116" t="str">
        <f t="shared" ca="1" si="64"/>
        <v/>
      </c>
      <c r="M489" s="117" t="s">
        <v>199</v>
      </c>
      <c r="N489" s="118" t="str">
        <f t="shared" ca="1" si="65"/>
        <v>Serviço</v>
      </c>
      <c r="O489" s="119" t="str">
        <f t="shared" ca="1" si="66"/>
        <v>-</v>
      </c>
      <c r="P489" s="120" t="s">
        <v>712</v>
      </c>
      <c r="Q489" s="121" t="s">
        <v>832</v>
      </c>
      <c r="R489" s="122" t="str">
        <f ca="1">IF($C489="S",REFERENCIA.Descricao,"(digite a descrição aqui)")</f>
        <v>(abra o arquivo 'Referência 02-2025.xlsm)</v>
      </c>
      <c r="S489" s="123" t="str">
        <f ca="1">REFERENCIA.Unidade</f>
        <v>-</v>
      </c>
      <c r="T489" s="124">
        <f ca="1">OFFSET(CÁLCULO!H$15,ROW($T489)-ROW(T$15),0)</f>
        <v>1</v>
      </c>
      <c r="U489" s="125">
        <f t="shared" ca="1" si="131"/>
        <v>0</v>
      </c>
      <c r="V489" s="126" t="s">
        <v>156</v>
      </c>
      <c r="W489" s="124">
        <f ca="1">IF($C489="S",ROUND(IF(TIPOORCAMENTO="Proposto",ORÇAMENTO.CustoUnitario*(1+$AH489),ORÇAMENTO.PrecoUnitarioLicitado),15-13*$AF$10),0)</f>
        <v>0</v>
      </c>
      <c r="X489" s="127">
        <f ca="1">IF($C489="S",IF(Import.TipoArredondamento&lt;&gt;"TransfereGOV",VTOTAL1,SUM(OFFSET(CÁLCULO!$AA$15,ROW($X489)-ROW($X$15),1):OFFSET(CÁLCULO!$AL$15,ROW($X489)-ROW($X$15),-1))),IF($C489=0,0,ROUND(SomaAgrup,15-13*$AF$11)))</f>
        <v>0</v>
      </c>
      <c r="Y489" s="128" t="s">
        <v>245</v>
      </c>
      <c r="Z489" t="str">
        <f t="shared" ca="1" si="67"/>
        <v/>
      </c>
      <c r="AA489" s="129">
        <f ca="1">IF($C489="S",IF($Z489="CP",$X489,IF($Z489="RA",(($X489)*QCI!$AA$3),0)),SomaAgrup)</f>
        <v>0</v>
      </c>
      <c r="AB489" s="130">
        <f t="shared" ca="1" si="68"/>
        <v>0</v>
      </c>
      <c r="AC489" s="131" t="str">
        <f ca="1">IF($N489="","",IF(ORÇAMENTO.Descricao="","DESCRIÇÃO",IF(AND($C489="S",ORÇAMENTO.Unidade=""),"UNIDADE",IF($X489&lt;0,"VALOR NEGATIVO",IF(OR(AND(TIPOORCAMENTO="Proposto",$AG489&lt;&gt;"",$AG489&gt;0,ORÇAMENTO.CustoUnitario&gt;$AG489),AND(TIPOORCAMENTO="LICITADO",ORÇAMENTO.PrecoUnitarioLicitado&gt;$AN489)),"ACIMA REF.","")))))</f>
        <v/>
      </c>
      <c r="AD489" t="str">
        <f ca="1">IF(C489&lt;=CRONO.NivelExibicao,MAX($AD$15:OFFSET(AD489,-1,0))+IF($C489&lt;&gt;1,1,MAX(1,COUNTIF(QCI!$A$13:$A$24,OFFSET($E489,-1,0)))),"")</f>
        <v/>
      </c>
      <c r="AE489" s="7" t="str">
        <f ca="1">IF(AND($C489="S",ORÇAMENTO.CodBarra&lt;&gt;""),IF(ORÇAMENTO.Fonte="",ORÇAMENTO.CodBarra,CONCATENATE(ORÇAMENTO.Fonte," ",ORÇAMENTO.CodBarra)))</f>
        <v>Composição FNDE 350</v>
      </c>
      <c r="AF489" s="13" t="str">
        <f ca="1">IF(ISERROR(INDIRECT(ORÇAMENTO.BancoRef)),"(abra o arquivo 'Referência "&amp;Excel_BuiltIn_Database&amp;".xlsm)",IF(OR($C489&lt;&gt;"S",ORÇAMENTO.CodBarra=""),"(Sem Código)",IF(ISERROR(MATCH($AE489,INDIRECT(ORÇAMENTO.BancoRef),0)),"(Código não identificado nas referências)",MATCH($AE489,INDIRECT(ORÇAMENTO.BancoRef),0))))</f>
        <v>(abra o arquivo 'Referência 02-2025.xlsm)</v>
      </c>
      <c r="AG489" s="498">
        <f ca="1">ROUND(IF(DESONERACAO="sim",REFERENCIA.Desonerado,REFERENCIA.NaoDesonerado),2)</f>
        <v>0</v>
      </c>
      <c r="AH489" s="499">
        <f t="shared" ca="1" si="69"/>
        <v>0.22470000000000001</v>
      </c>
      <c r="AJ489" s="501">
        <v>1</v>
      </c>
      <c r="AL489" s="527"/>
      <c r="AM489" s="381">
        <f t="shared" ca="1" si="70"/>
        <v>0</v>
      </c>
      <c r="AN489" s="566">
        <f t="shared" ca="1" si="71"/>
        <v>0</v>
      </c>
    </row>
    <row r="490" spans="1:40" ht="25.5" x14ac:dyDescent="0.2">
      <c r="A490" t="str">
        <f t="shared" si="56"/>
        <v>S</v>
      </c>
      <c r="B490">
        <f t="shared" ca="1" si="57"/>
        <v>3</v>
      </c>
      <c r="C490" t="str">
        <f t="shared" ca="1" si="58"/>
        <v>S</v>
      </c>
      <c r="D490">
        <f t="shared" ca="1" si="59"/>
        <v>0</v>
      </c>
      <c r="E490">
        <f ca="1">IF($C490=1,OFFSET(E490,-1,0)+MAX(1,COUNTIF(QCI!$A$13:$A$24,OFFSET(ORÇAMENTO!E490,-1,0))),OFFSET(E490,-1,0))</f>
        <v>1</v>
      </c>
      <c r="F490">
        <f t="shared" ca="1" si="60"/>
        <v>17</v>
      </c>
      <c r="G490">
        <f t="shared" ca="1" si="61"/>
        <v>1</v>
      </c>
      <c r="H490">
        <f t="shared" ca="1" si="62"/>
        <v>0</v>
      </c>
      <c r="I490">
        <f t="shared" ca="1" si="63"/>
        <v>0</v>
      </c>
      <c r="J490">
        <f t="shared" ca="1" si="130"/>
        <v>0</v>
      </c>
      <c r="K490">
        <f ca="1">IF(OR($C490="S",$C490=0),0,MATCH(OFFSET($D490,0,$C490)+IF($C490&lt;&gt;1,1,COUNTIF(QCI!$A$13:$A$24,ORÇAMENTO!E490)),OFFSET($D490,1,$C490,ROW($C$747)-ROW($C490)),0))</f>
        <v>0</v>
      </c>
      <c r="L490" s="116" t="str">
        <f t="shared" ca="1" si="64"/>
        <v/>
      </c>
      <c r="M490" s="117" t="s">
        <v>199</v>
      </c>
      <c r="N490" s="118" t="str">
        <f t="shared" ca="1" si="65"/>
        <v>Serviço</v>
      </c>
      <c r="O490" s="119" t="str">
        <f t="shared" ca="1" si="66"/>
        <v>-</v>
      </c>
      <c r="P490" s="120" t="s">
        <v>712</v>
      </c>
      <c r="Q490" s="121" t="s">
        <v>833</v>
      </c>
      <c r="R490" s="122" t="str">
        <f ca="1">IF($C490="S",REFERENCIA.Descricao,"(digite a descrição aqui)")</f>
        <v>(abra o arquivo 'Referência 02-2025.xlsm)</v>
      </c>
      <c r="S490" s="123" t="str">
        <f ca="1">REFERENCIA.Unidade</f>
        <v>-</v>
      </c>
      <c r="T490" s="124">
        <f ca="1">OFFSET(CÁLCULO!H$15,ROW($T490)-ROW(T$15),0)</f>
        <v>1</v>
      </c>
      <c r="U490" s="125">
        <f t="shared" ca="1" si="131"/>
        <v>0</v>
      </c>
      <c r="V490" s="126" t="s">
        <v>156</v>
      </c>
      <c r="W490" s="124">
        <f ca="1">IF($C490="S",ROUND(IF(TIPOORCAMENTO="Proposto",ORÇAMENTO.CustoUnitario*(1+$AH490),ORÇAMENTO.PrecoUnitarioLicitado),15-13*$AF$10),0)</f>
        <v>0</v>
      </c>
      <c r="X490" s="127">
        <f ca="1">IF($C490="S",IF(Import.TipoArredondamento&lt;&gt;"TransfereGOV",VTOTAL1,SUM(OFFSET(CÁLCULO!$AA$15,ROW($X490)-ROW($X$15),1):OFFSET(CÁLCULO!$AL$15,ROW($X490)-ROW($X$15),-1))),IF($C490=0,0,ROUND(SomaAgrup,15-13*$AF$11)))</f>
        <v>0</v>
      </c>
      <c r="Y490" s="128" t="s">
        <v>245</v>
      </c>
      <c r="Z490" t="str">
        <f t="shared" ca="1" si="67"/>
        <v/>
      </c>
      <c r="AA490" s="129">
        <f ca="1">IF($C490="S",IF($Z490="CP",$X490,IF($Z490="RA",(($X490)*QCI!$AA$3),0)),SomaAgrup)</f>
        <v>0</v>
      </c>
      <c r="AB490" s="130">
        <f t="shared" ca="1" si="68"/>
        <v>0</v>
      </c>
      <c r="AC490" s="131" t="str">
        <f ca="1">IF($N490="","",IF(ORÇAMENTO.Descricao="","DESCRIÇÃO",IF(AND($C490="S",ORÇAMENTO.Unidade=""),"UNIDADE",IF($X490&lt;0,"VALOR NEGATIVO",IF(OR(AND(TIPOORCAMENTO="Proposto",$AG490&lt;&gt;"",$AG490&gt;0,ORÇAMENTO.CustoUnitario&gt;$AG490),AND(TIPOORCAMENTO="LICITADO",ORÇAMENTO.PrecoUnitarioLicitado&gt;$AN490)),"ACIMA REF.","")))))</f>
        <v/>
      </c>
      <c r="AD490" t="str">
        <f ca="1">IF(C490&lt;=CRONO.NivelExibicao,MAX($AD$15:OFFSET(AD490,-1,0))+IF($C490&lt;&gt;1,1,MAX(1,COUNTIF(QCI!$A$13:$A$24,OFFSET($E490,-1,0)))),"")</f>
        <v/>
      </c>
      <c r="AE490" s="7" t="str">
        <f ca="1">IF(AND($C490="S",ORÇAMENTO.CodBarra&lt;&gt;""),IF(ORÇAMENTO.Fonte="",ORÇAMENTO.CodBarra,CONCATENATE(ORÇAMENTO.Fonte," ",ORÇAMENTO.CodBarra)))</f>
        <v xml:space="preserve">Composição FNDE 346 </v>
      </c>
      <c r="AF490" s="13" t="str">
        <f ca="1">IF(ISERROR(INDIRECT(ORÇAMENTO.BancoRef)),"(abra o arquivo 'Referência "&amp;Excel_BuiltIn_Database&amp;".xlsm)",IF(OR($C490&lt;&gt;"S",ORÇAMENTO.CodBarra=""),"(Sem Código)",IF(ISERROR(MATCH($AE490,INDIRECT(ORÇAMENTO.BancoRef),0)),"(Código não identificado nas referências)",MATCH($AE490,INDIRECT(ORÇAMENTO.BancoRef),0))))</f>
        <v>(abra o arquivo 'Referência 02-2025.xlsm)</v>
      </c>
      <c r="AG490" s="498">
        <f ca="1">ROUND(IF(DESONERACAO="sim",REFERENCIA.Desonerado,REFERENCIA.NaoDesonerado),2)</f>
        <v>0</v>
      </c>
      <c r="AH490" s="499">
        <f t="shared" ca="1" si="69"/>
        <v>0.22470000000000001</v>
      </c>
      <c r="AJ490" s="501">
        <v>1</v>
      </c>
      <c r="AL490" s="527"/>
      <c r="AM490" s="381">
        <f t="shared" ca="1" si="70"/>
        <v>0</v>
      </c>
      <c r="AN490" s="566">
        <f t="shared" ca="1" si="71"/>
        <v>0</v>
      </c>
    </row>
    <row r="491" spans="1:40" x14ac:dyDescent="0.2">
      <c r="A491">
        <f t="shared" si="56"/>
        <v>3</v>
      </c>
      <c r="B491">
        <f t="shared" ca="1" si="57"/>
        <v>3</v>
      </c>
      <c r="C491">
        <f t="shared" ca="1" si="58"/>
        <v>3</v>
      </c>
      <c r="D491">
        <f t="shared" ca="1" si="59"/>
        <v>9</v>
      </c>
      <c r="E491">
        <f ca="1">IF($C491=1,OFFSET(E491,-1,0)+MAX(1,COUNTIF(QCI!$A$13:$A$24,OFFSET(ORÇAMENTO!E491,-1,0))),OFFSET(E491,-1,0))</f>
        <v>1</v>
      </c>
      <c r="F491">
        <f t="shared" ca="1" si="60"/>
        <v>17</v>
      </c>
      <c r="G491">
        <f t="shared" ca="1" si="61"/>
        <v>2</v>
      </c>
      <c r="H491">
        <f t="shared" ca="1" si="62"/>
        <v>0</v>
      </c>
      <c r="I491">
        <f t="shared" ca="1" si="63"/>
        <v>0</v>
      </c>
      <c r="J491">
        <f t="shared" ca="1" si="130"/>
        <v>117</v>
      </c>
      <c r="K491">
        <f ca="1">IF(OR($C491="S",$C491=0),0,MATCH(OFFSET($D491,0,$C491)+IF($C491&lt;&gt;1,1,COUNTIF(QCI!$A$13:$A$24,ORÇAMENTO!E491)),OFFSET($D491,1,$C491,ROW($C$747)-ROW($C491)),0))</f>
        <v>9</v>
      </c>
      <c r="L491" s="116" t="str">
        <f t="shared" ca="1" si="64"/>
        <v>F</v>
      </c>
      <c r="M491" s="117" t="s">
        <v>197</v>
      </c>
      <c r="N491" s="118" t="str">
        <f t="shared" ca="1" si="65"/>
        <v>Nível 3</v>
      </c>
      <c r="O491" s="119" t="str">
        <f t="shared" ca="1" si="66"/>
        <v>1.17.2.</v>
      </c>
      <c r="P491" s="120" t="s">
        <v>247</v>
      </c>
      <c r="Q491" s="121"/>
      <c r="R491" s="122" t="str">
        <f ca="1">IF($C491="S",REFERENCIA.Descricao,"ACESSÓRIOS PARA ELETRODUTOS")</f>
        <v>ACESSÓRIOS PARA ELETRODUTOS</v>
      </c>
      <c r="S491" s="123" t="str">
        <f ca="1">REFERENCIA.Unidade</f>
        <v>-</v>
      </c>
      <c r="T491" s="124">
        <f ca="1">OFFSET(CÁLCULO!H$15,ROW($T491)-ROW(T$15),0)</f>
        <v>0</v>
      </c>
      <c r="U491" s="125">
        <f t="shared" ca="1" si="131"/>
        <v>0</v>
      </c>
      <c r="V491" s="126" t="s">
        <v>156</v>
      </c>
      <c r="W491" s="124">
        <f ca="1">IF($C491="S",ROUND(IF(TIPOORCAMENTO="Proposto",ORÇAMENTO.CustoUnitario*(1+$AH491),ORÇAMENTO.PrecoUnitarioLicitado),15-13*$AF$10),0)</f>
        <v>0</v>
      </c>
      <c r="X491" s="127">
        <f ca="1">IF($C491="S",IF(Import.TipoArredondamento&lt;&gt;"TransfereGOV",VTOTAL1,SUM(OFFSET(CÁLCULO!$AA$15,ROW($X491)-ROW($X$15),1):OFFSET(CÁLCULO!$AL$15,ROW($X491)-ROW($X$15),-1))),IF($C491=0,0,ROUND(SomaAgrup,15-13*$AF$11)))</f>
        <v>0</v>
      </c>
      <c r="Y491" s="128" t="s">
        <v>245</v>
      </c>
      <c r="Z491" t="str">
        <f t="shared" ca="1" si="67"/>
        <v/>
      </c>
      <c r="AA491" s="129">
        <f ca="1">IF($C491="S",IF($Z491="CP",$X491,IF($Z491="RA",(($X491)*QCI!$AA$3),0)),SomaAgrup)</f>
        <v>0</v>
      </c>
      <c r="AB491" s="130">
        <f t="shared" ca="1" si="68"/>
        <v>0</v>
      </c>
      <c r="AC491" s="131" t="str">
        <f ca="1">IF($N491="","",IF(ORÇAMENTO.Descricao="","DESCRIÇÃO",IF(AND($C491="S",ORÇAMENTO.Unidade=""),"UNIDADE",IF($X491&lt;0,"VALOR NEGATIVO",IF(OR(AND(TIPOORCAMENTO="Proposto",$AG491&lt;&gt;"",$AG491&gt;0,ORÇAMENTO.CustoUnitario&gt;$AG491),AND(TIPOORCAMENTO="LICITADO",ORÇAMENTO.PrecoUnitarioLicitado&gt;$AN491)),"ACIMA REF.","")))))</f>
        <v/>
      </c>
      <c r="AD491" t="str">
        <f ca="1">IF(C491&lt;=CRONO.NivelExibicao,MAX($AD$15:OFFSET(AD491,-1,0))+IF($C491&lt;&gt;1,1,MAX(1,COUNTIF(QCI!$A$13:$A$24,OFFSET($E491,-1,0)))),"")</f>
        <v/>
      </c>
      <c r="AE491" s="7" t="b">
        <f ca="1">IF(AND($C491="S",ORÇAMENTO.CodBarra&lt;&gt;""),IF(ORÇAMENTO.Fonte="",ORÇAMENTO.CodBarra,CONCATENATE(ORÇAMENTO.Fonte," ",ORÇAMENTO.CodBarra)))</f>
        <v>0</v>
      </c>
      <c r="AF491" s="13" t="str">
        <f ca="1">IF(ISERROR(INDIRECT(ORÇAMENTO.BancoRef)),"(abra o arquivo 'Referência "&amp;Excel_BuiltIn_Database&amp;".xlsm)",IF(OR($C491&lt;&gt;"S",ORÇAMENTO.CodBarra=""),"(Sem Código)",IF(ISERROR(MATCH($AE491,INDIRECT(ORÇAMENTO.BancoRef),0)),"(Código não identificado nas referências)",MATCH($AE491,INDIRECT(ORÇAMENTO.BancoRef),0))))</f>
        <v>(abra o arquivo 'Referência 02-2025.xlsm)</v>
      </c>
      <c r="AG491" s="498">
        <f ca="1">ROUND(IF(DESONERACAO="sim",REFERENCIA.Desonerado,REFERENCIA.NaoDesonerado),2)</f>
        <v>0</v>
      </c>
      <c r="AH491" s="499">
        <f t="shared" ca="1" si="69"/>
        <v>0.22470000000000001</v>
      </c>
      <c r="AJ491" s="501"/>
      <c r="AL491" s="527"/>
      <c r="AM491" s="381">
        <f t="shared" ca="1" si="70"/>
        <v>0</v>
      </c>
      <c r="AN491" s="566">
        <f t="shared" ca="1" si="71"/>
        <v>0</v>
      </c>
    </row>
    <row r="492" spans="1:40" ht="25.5" x14ac:dyDescent="0.2">
      <c r="A492" t="str">
        <f>CHOOSE(1+LOG(1+2*(ORÇAMENTO.Nivel="Meta")+4*(ORÇAMENTO.Nivel="Nível 2")+8*(ORÇAMENTO.Nivel="Nível 3")+16*(ORÇAMENTO.Nivel="Nível 4")+32*(ORÇAMENTO.Nivel="Serviço"),2),0,1,2,3,4,"S")</f>
        <v>S</v>
      </c>
      <c r="B492">
        <f t="shared" ref="B492:B494" ca="1" si="132">IF(OR(C492="s",C492=0),OFFSET(B492,-1,0),C492)</f>
        <v>3</v>
      </c>
      <c r="C492" t="str">
        <f t="shared" ref="C492:C494" ca="1" si="133">IF(OFFSET(C492,-1,0)="L",1,IF(OFFSET(C492,-1,0)=1,2,IF(OR(A492="s",A492=0),"S",IF(AND(OFFSET(C492,-1,0)=2,A492=4),3,IF(AND(OR(OFFSET(C492,-1,0)="s",OFFSET(C492,-1,0)=0),A492&lt;&gt;"s",A492&gt;OFFSET(B492,-1,0)),OFFSET(B492,-1,0),A492)))))</f>
        <v>S</v>
      </c>
      <c r="D492">
        <f t="shared" ref="D492:D494" ca="1" si="134">IF(OR(C492="S",C492=0),0,IF(ISERROR(K492),J492,SMALL(J492:K492,1)))</f>
        <v>0</v>
      </c>
      <c r="E492">
        <f ca="1">IF($C492=1,OFFSET(E492,-1,0)+MAX(1,COUNTIF(QCI!$A$13:$A$24,OFFSET(ORÇAMENTO!E492,-1,0))),OFFSET(E492,-1,0))</f>
        <v>1</v>
      </c>
      <c r="F492">
        <f t="shared" ref="F492:F494" ca="1" si="135">IF($C492=1,0,IF($C492=2,OFFSET(F492,-1,0)+1,OFFSET(F492,-1,0)))</f>
        <v>17</v>
      </c>
      <c r="G492">
        <f t="shared" ref="G492:G494" ca="1" si="136">IF(AND($C492&lt;=2,$C492&lt;&gt;0),0,IF($C492=3,OFFSET(G492,-1,0)+1,OFFSET(G492,-1,0)))</f>
        <v>2</v>
      </c>
      <c r="H492">
        <f t="shared" ref="H492:H494" ca="1" si="137">IF(AND($C492&lt;=3,$C492&lt;&gt;0),0,IF($C492=4,OFFSET(H492,-1,0)+1,OFFSET(H492,-1,0)))</f>
        <v>0</v>
      </c>
      <c r="I492">
        <f t="shared" ref="I492:I494" ca="1" si="138">IF(AND($C492&lt;=4,$C492&lt;&gt;0),0,IF(AND($C492="S",$X492&gt;0),OFFSET(I492,-1,0)+1,OFFSET(I492,-1,0)))</f>
        <v>0</v>
      </c>
      <c r="J492">
        <f t="shared" ca="1" si="130"/>
        <v>0</v>
      </c>
      <c r="K492">
        <f ca="1">IF(OR($C492="S",$C492=0),0,MATCH(OFFSET($D492,0,$C492)+IF($C492&lt;&gt;1,1,COUNTIF(QCI!$A$13:$A$24,ORÇAMENTO!E492)),OFFSET($D492,1,$C492,ROW($C$747)-ROW($C492)),0))</f>
        <v>0</v>
      </c>
      <c r="L492" s="116" t="str">
        <f t="shared" ref="L492:L494" ca="1" si="139">IF(OR($X492&gt;0,$C492=1,$C492=2,$C492=3,$C492=4),"F","")</f>
        <v/>
      </c>
      <c r="M492" s="117" t="s">
        <v>199</v>
      </c>
      <c r="N492" s="118" t="str">
        <f t="shared" ref="N492:N494" ca="1" si="140">CHOOSE(1+LOG(1+2*(C492=1)+4*(C492=2)+8*(C492=3)+16*(C492=4)+32*(C492="S"),2),"","Meta","Nível 2","Nível 3","Nível 4","Serviço")</f>
        <v>Serviço</v>
      </c>
      <c r="O492" s="119" t="str">
        <f t="shared" ref="O492:O494" ca="1" si="141">IF(OR($C492=0,$L492=""),"-",CONCATENATE(E492&amp;".",IF(AND($A$5&gt;=2,$C492&gt;=2),F492&amp;".",""),IF(AND($A$5&gt;=3,$C492&gt;=3),G492&amp;".",""),IF(AND($A$5&gt;=4,$C492&gt;=4),H492&amp;".",""),IF($C492="S",I492&amp;".","")))</f>
        <v>-</v>
      </c>
      <c r="P492" s="120" t="s">
        <v>712</v>
      </c>
      <c r="Q492" s="121" t="s">
        <v>835</v>
      </c>
      <c r="R492" s="122" t="str">
        <f ca="1">IF($C492="S",REFERENCIA.Descricao,"(digite a descrição aqui)")</f>
        <v>(abra o arquivo 'Referência 02-2025.xlsm)</v>
      </c>
      <c r="S492" s="123" t="str">
        <f ca="1">REFERENCIA.Unidade</f>
        <v>-</v>
      </c>
      <c r="T492" s="124">
        <f ca="1">OFFSET(CÁLCULO!H$15,ROW($T492)-ROW(T$15),0)</f>
        <v>4</v>
      </c>
      <c r="U492" s="125">
        <f t="shared" ca="1" si="131"/>
        <v>0</v>
      </c>
      <c r="V492" s="126" t="s">
        <v>156</v>
      </c>
      <c r="W492" s="124">
        <f ca="1">IF($C492="S",ROUND(IF(TIPOORCAMENTO="Proposto",ORÇAMENTO.CustoUnitario*(1+$AH492),ORÇAMENTO.PrecoUnitarioLicitado),15-13*$AF$10),0)</f>
        <v>0</v>
      </c>
      <c r="X492" s="127">
        <f ca="1">IF($C492="S",IF(Import.TipoArredondamento&lt;&gt;"TransfereGOV",VTOTAL1,SUM(OFFSET(CÁLCULO!$AA$15,ROW($X492)-ROW($X$15),1):OFFSET(CÁLCULO!$AL$15,ROW($X492)-ROW($X$15),-1))),IF($C492=0,0,ROUND(SomaAgrup,15-13*$AF$11)))</f>
        <v>0</v>
      </c>
      <c r="Y492" s="128" t="s">
        <v>245</v>
      </c>
      <c r="Z492" t="str">
        <f t="shared" ref="Z492:Z494" ca="1" si="142">IF(AND($C492="S",$X492&gt;0),IF(ISBLANK($Y492),"RA",LEFT($Y492,2)),"")</f>
        <v/>
      </c>
      <c r="AA492" s="129">
        <f ca="1">IF($C492="S",IF($Z492="CP",$X492,IF($Z492="RA",(($X492)*QCI!$AA$3),0)),SomaAgrup)</f>
        <v>0</v>
      </c>
      <c r="AB492" s="130">
        <f ca="1">IF($C492="S",IF($Z492="OU",ROUND($X492,2),0),SomaAgrup)</f>
        <v>0</v>
      </c>
      <c r="AC492" s="131" t="str">
        <f ca="1">IF($N492="","",IF(ORÇAMENTO.Descricao="","DESCRIÇÃO",IF(AND($C492="S",ORÇAMENTO.Unidade=""),"UNIDADE",IF($X492&lt;0,"VALOR NEGATIVO",IF(OR(AND(TIPOORCAMENTO="Proposto",$AG492&lt;&gt;"",$AG492&gt;0,ORÇAMENTO.CustoUnitario&gt;$AG492),AND(TIPOORCAMENTO="LICITADO",ORÇAMENTO.PrecoUnitarioLicitado&gt;$AN492)),"ACIMA REF.","")))))</f>
        <v/>
      </c>
      <c r="AD492" t="str">
        <f ca="1">IF(C492&lt;=CRONO.NivelExibicao,MAX($AD$15:OFFSET(AD492,-1,0))+IF($C492&lt;&gt;1,1,MAX(1,COUNTIF(QCI!$A$13:$A$24,OFFSET($E492,-1,0)))),"")</f>
        <v/>
      </c>
      <c r="AE492" s="7" t="str">
        <f ca="1">IF(AND($C492="S",ORÇAMENTO.CodBarra&lt;&gt;""),IF(ORÇAMENTO.Fonte="",ORÇAMENTO.CodBarra,CONCATENATE(ORÇAMENTO.Fonte," ",ORÇAMENTO.CodBarra)))</f>
        <v xml:space="preserve">Composição FNDE 347 </v>
      </c>
      <c r="AF492" s="13" t="str">
        <f ca="1">IF(ISERROR(INDIRECT(ORÇAMENTO.BancoRef)),"(abra o arquivo 'Referência "&amp;Excel_BuiltIn_Database&amp;".xlsm)",IF(OR($C492&lt;&gt;"S",ORÇAMENTO.CodBarra=""),"(Sem Código)",IF(ISERROR(MATCH($AE492,INDIRECT(ORÇAMENTO.BancoRef),0)),"(Código não identificado nas referências)",MATCH($AE492,INDIRECT(ORÇAMENTO.BancoRef),0))))</f>
        <v>(abra o arquivo 'Referência 02-2025.xlsm)</v>
      </c>
      <c r="AG492" s="498">
        <f ca="1">ROUND(IF(DESONERACAO="sim",REFERENCIA.Desonerado,REFERENCIA.NaoDesonerado),2)</f>
        <v>0</v>
      </c>
      <c r="AH492" s="499">
        <f ca="1">ROUND(IF(ISNUMBER(ORÇAMENTO.OpcaoBDI),ORÇAMENTO.OpcaoBDI,IF(LEFT(ORÇAMENTO.OpcaoBDI,3)="BDI",HLOOKUP(ORÇAMENTO.OpcaoBDI,$F$4:$H$5,2,FALSE),0)),15-11*$AF$9)</f>
        <v>0.22470000000000001</v>
      </c>
      <c r="AJ492" s="501">
        <v>4</v>
      </c>
      <c r="AL492" s="527"/>
      <c r="AM492" s="381">
        <f t="shared" ref="AM492:AM494" ca="1" si="143">$X492</f>
        <v>0</v>
      </c>
      <c r="AN492" s="566">
        <f ca="1">ROUND(ORÇAMENTO.CustoUnitario*(1+$AH492),2)</f>
        <v>0</v>
      </c>
    </row>
    <row r="493" spans="1:40" x14ac:dyDescent="0.2">
      <c r="A493" t="str">
        <f>CHOOSE(1+LOG(1+2*(ORÇAMENTO.Nivel="Meta")+4*(ORÇAMENTO.Nivel="Nível 2")+8*(ORÇAMENTO.Nivel="Nível 3")+16*(ORÇAMENTO.Nivel="Nível 4")+32*(ORÇAMENTO.Nivel="Serviço"),2),0,1,2,3,4,"S")</f>
        <v>S</v>
      </c>
      <c r="B493">
        <f t="shared" ca="1" si="132"/>
        <v>3</v>
      </c>
      <c r="C493" t="str">
        <f t="shared" ca="1" si="133"/>
        <v>S</v>
      </c>
      <c r="D493">
        <f t="shared" ca="1" si="134"/>
        <v>0</v>
      </c>
      <c r="E493">
        <f ca="1">IF($C493=1,OFFSET(E493,-1,0)+MAX(1,COUNTIF(QCI!$A$13:$A$24,OFFSET(ORÇAMENTO!E493,-1,0))),OFFSET(E493,-1,0))</f>
        <v>1</v>
      </c>
      <c r="F493">
        <f t="shared" ca="1" si="135"/>
        <v>17</v>
      </c>
      <c r="G493">
        <f t="shared" ca="1" si="136"/>
        <v>2</v>
      </c>
      <c r="H493">
        <f t="shared" ca="1" si="137"/>
        <v>0</v>
      </c>
      <c r="I493">
        <f t="shared" ca="1" si="138"/>
        <v>0</v>
      </c>
      <c r="J493">
        <f t="shared" ca="1" si="130"/>
        <v>0</v>
      </c>
      <c r="K493">
        <f ca="1">IF(OR($C493="S",$C493=0),0,MATCH(OFFSET($D493,0,$C493)+IF($C493&lt;&gt;1,1,COUNTIF(QCI!$A$13:$A$24,ORÇAMENTO!E493)),OFFSET($D493,1,$C493,ROW($C$747)-ROW($C493)),0))</f>
        <v>0</v>
      </c>
      <c r="L493" s="116" t="str">
        <f t="shared" ca="1" si="139"/>
        <v/>
      </c>
      <c r="M493" s="117" t="s">
        <v>199</v>
      </c>
      <c r="N493" s="118" t="str">
        <f t="shared" ca="1" si="140"/>
        <v>Serviço</v>
      </c>
      <c r="O493" s="119" t="str">
        <f t="shared" ca="1" si="141"/>
        <v>-</v>
      </c>
      <c r="P493" s="120" t="s">
        <v>712</v>
      </c>
      <c r="Q493" s="121" t="s">
        <v>834</v>
      </c>
      <c r="R493" s="122" t="str">
        <f ca="1">IF($C493="S",REFERENCIA.Descricao,"(digite a descrição aqui)")</f>
        <v>(abra o arquivo 'Referência 02-2025.xlsm)</v>
      </c>
      <c r="S493" s="123" t="str">
        <f ca="1">REFERENCIA.Unidade</f>
        <v>-</v>
      </c>
      <c r="T493" s="124">
        <f ca="1">OFFSET(CÁLCULO!H$15,ROW($T493)-ROW(T$15),0)</f>
        <v>4</v>
      </c>
      <c r="U493" s="125">
        <f t="shared" ca="1" si="131"/>
        <v>0</v>
      </c>
      <c r="V493" s="126" t="s">
        <v>156</v>
      </c>
      <c r="W493" s="124">
        <f ca="1">IF($C493="S",ROUND(IF(TIPOORCAMENTO="Proposto",ORÇAMENTO.CustoUnitario*(1+$AH493),ORÇAMENTO.PrecoUnitarioLicitado),15-13*$AF$10),0)</f>
        <v>0</v>
      </c>
      <c r="X493" s="127">
        <f ca="1">IF($C493="S",IF(Import.TipoArredondamento&lt;&gt;"TransfereGOV",VTOTAL1,SUM(OFFSET(CÁLCULO!$AA$15,ROW($X493)-ROW($X$15),1):OFFSET(CÁLCULO!$AL$15,ROW($X493)-ROW($X$15),-1))),IF($C493=0,0,ROUND(SomaAgrup,15-13*$AF$11)))</f>
        <v>0</v>
      </c>
      <c r="Y493" s="128" t="s">
        <v>245</v>
      </c>
      <c r="Z493" t="str">
        <f t="shared" ca="1" si="142"/>
        <v/>
      </c>
      <c r="AA493" s="129">
        <f ca="1">IF($C493="S",IF($Z493="CP",$X493,IF($Z493="RA",(($X493)*QCI!$AA$3),0)),SomaAgrup)</f>
        <v>0</v>
      </c>
      <c r="AB493" s="130">
        <f ca="1">IF($C493="S",IF($Z493="OU",ROUND($X493,2),0),SomaAgrup)</f>
        <v>0</v>
      </c>
      <c r="AC493" s="131" t="str">
        <f ca="1">IF($N493="","",IF(ORÇAMENTO.Descricao="","DESCRIÇÃO",IF(AND($C493="S",ORÇAMENTO.Unidade=""),"UNIDADE",IF($X493&lt;0,"VALOR NEGATIVO",IF(OR(AND(TIPOORCAMENTO="Proposto",$AG493&lt;&gt;"",$AG493&gt;0,ORÇAMENTO.CustoUnitario&gt;$AG493),AND(TIPOORCAMENTO="LICITADO",ORÇAMENTO.PrecoUnitarioLicitado&gt;$AN493)),"ACIMA REF.","")))))</f>
        <v/>
      </c>
      <c r="AD493" t="str">
        <f ca="1">IF(C493&lt;=CRONO.NivelExibicao,MAX($AD$15:OFFSET(AD493,-1,0))+IF($C493&lt;&gt;1,1,MAX(1,COUNTIF(QCI!$A$13:$A$24,OFFSET($E493,-1,0)))),"")</f>
        <v/>
      </c>
      <c r="AE493" s="7" t="str">
        <f ca="1">IF(AND($C493="S",ORÇAMENTO.CodBarra&lt;&gt;""),IF(ORÇAMENTO.Fonte="",ORÇAMENTO.CodBarra,CONCATENATE(ORÇAMENTO.Fonte," ",ORÇAMENTO.CodBarra)))</f>
        <v>Composição FNDE 353</v>
      </c>
      <c r="AF493" s="13" t="str">
        <f ca="1">IF(ISERROR(INDIRECT(ORÇAMENTO.BancoRef)),"(abra o arquivo 'Referência "&amp;Excel_BuiltIn_Database&amp;".xlsm)",IF(OR($C493&lt;&gt;"S",ORÇAMENTO.CodBarra=""),"(Sem Código)",IF(ISERROR(MATCH($AE493,INDIRECT(ORÇAMENTO.BancoRef),0)),"(Código não identificado nas referências)",MATCH($AE493,INDIRECT(ORÇAMENTO.BancoRef),0))))</f>
        <v>(abra o arquivo 'Referência 02-2025.xlsm)</v>
      </c>
      <c r="AG493" s="498">
        <f ca="1">ROUND(IF(DESONERACAO="sim",REFERENCIA.Desonerado,REFERENCIA.NaoDesonerado),2)</f>
        <v>0</v>
      </c>
      <c r="AH493" s="499">
        <f ca="1">ROUND(IF(ISNUMBER(ORÇAMENTO.OpcaoBDI),ORÇAMENTO.OpcaoBDI,IF(LEFT(ORÇAMENTO.OpcaoBDI,3)="BDI",HLOOKUP(ORÇAMENTO.OpcaoBDI,$F$4:$H$5,2,FALSE),0)),15-11*$AF$9)</f>
        <v>0.22470000000000001</v>
      </c>
      <c r="AJ493" s="501">
        <v>4</v>
      </c>
      <c r="AL493" s="527"/>
      <c r="AM493" s="381">
        <f t="shared" ca="1" si="143"/>
        <v>0</v>
      </c>
      <c r="AN493" s="566">
        <f ca="1">ROUND(ORÇAMENTO.CustoUnitario*(1+$AH493),2)</f>
        <v>0</v>
      </c>
    </row>
    <row r="494" spans="1:40" ht="25.5" x14ac:dyDescent="0.2">
      <c r="A494" t="str">
        <f>CHOOSE(1+LOG(1+2*(ORÇAMENTO.Nivel="Meta")+4*(ORÇAMENTO.Nivel="Nível 2")+8*(ORÇAMENTO.Nivel="Nível 3")+16*(ORÇAMENTO.Nivel="Nível 4")+32*(ORÇAMENTO.Nivel="Serviço"),2),0,1,2,3,4,"S")</f>
        <v>S</v>
      </c>
      <c r="B494">
        <f t="shared" ca="1" si="132"/>
        <v>3</v>
      </c>
      <c r="C494" t="str">
        <f t="shared" ca="1" si="133"/>
        <v>S</v>
      </c>
      <c r="D494">
        <f t="shared" ca="1" si="134"/>
        <v>0</v>
      </c>
      <c r="E494">
        <f ca="1">IF($C494=1,OFFSET(E494,-1,0)+MAX(1,COUNTIF(QCI!$A$13:$A$24,OFFSET(ORÇAMENTO!E494,-1,0))),OFFSET(E494,-1,0))</f>
        <v>1</v>
      </c>
      <c r="F494">
        <f t="shared" ca="1" si="135"/>
        <v>17</v>
      </c>
      <c r="G494">
        <f t="shared" ca="1" si="136"/>
        <v>2</v>
      </c>
      <c r="H494">
        <f t="shared" ca="1" si="137"/>
        <v>0</v>
      </c>
      <c r="I494">
        <f t="shared" ca="1" si="138"/>
        <v>0</v>
      </c>
      <c r="J494">
        <f t="shared" ca="1" si="130"/>
        <v>0</v>
      </c>
      <c r="K494">
        <f ca="1">IF(OR($C494="S",$C494=0),0,MATCH(OFFSET($D494,0,$C494)+IF($C494&lt;&gt;1,1,COUNTIF(QCI!$A$13:$A$24,ORÇAMENTO!E494)),OFFSET($D494,1,$C494,ROW($C$747)-ROW($C494)),0))</f>
        <v>0</v>
      </c>
      <c r="L494" s="116" t="str">
        <f t="shared" ca="1" si="139"/>
        <v/>
      </c>
      <c r="M494" s="117" t="s">
        <v>199</v>
      </c>
      <c r="N494" s="118" t="str">
        <f t="shared" ca="1" si="140"/>
        <v>Serviço</v>
      </c>
      <c r="O494" s="119" t="str">
        <f t="shared" ca="1" si="141"/>
        <v>-</v>
      </c>
      <c r="P494" s="120" t="s">
        <v>247</v>
      </c>
      <c r="Q494" s="121" t="s">
        <v>645</v>
      </c>
      <c r="R494" s="122" t="str">
        <f ca="1">IF($C494="S",REFERENCIA.Descricao,"(digite a descrição aqui)")</f>
        <v>(abra o arquivo 'Referência 02-2025.xlsm)</v>
      </c>
      <c r="S494" s="123" t="str">
        <f ca="1">REFERENCIA.Unidade</f>
        <v>-</v>
      </c>
      <c r="T494" s="124">
        <f ca="1">OFFSET(CÁLCULO!H$15,ROW($T494)-ROW(T$15),0)</f>
        <v>242</v>
      </c>
      <c r="U494" s="125">
        <f t="shared" ca="1" si="131"/>
        <v>0</v>
      </c>
      <c r="V494" s="126" t="s">
        <v>156</v>
      </c>
      <c r="W494" s="124">
        <f ca="1">IF($C494="S",ROUND(IF(TIPOORCAMENTO="Proposto",ORÇAMENTO.CustoUnitario*(1+$AH494),ORÇAMENTO.PrecoUnitarioLicitado),15-13*$AF$10),0)</f>
        <v>0</v>
      </c>
      <c r="X494" s="127">
        <f ca="1">IF($C494="S",IF(Import.TipoArredondamento&lt;&gt;"TransfereGOV",VTOTAL1,SUM(OFFSET(CÁLCULO!$AA$15,ROW($X494)-ROW($X$15),1):OFFSET(CÁLCULO!$AL$15,ROW($X494)-ROW($X$15),-1))),IF($C494=0,0,ROUND(SomaAgrup,15-13*$AF$11)))</f>
        <v>0</v>
      </c>
      <c r="Y494" s="128" t="s">
        <v>245</v>
      </c>
      <c r="Z494" t="str">
        <f t="shared" ca="1" si="142"/>
        <v/>
      </c>
      <c r="AA494" s="129">
        <f ca="1">IF($C494="S",IF($Z494="CP",$X494,IF($Z494="RA",(($X494)*QCI!$AA$3),0)),SomaAgrup)</f>
        <v>0</v>
      </c>
      <c r="AB494" s="130">
        <f ca="1">IF($C494="S",IF($Z494="OU",ROUND($X494,2),0),SomaAgrup)</f>
        <v>0</v>
      </c>
      <c r="AC494" s="131" t="str">
        <f ca="1">IF($N494="","",IF(ORÇAMENTO.Descricao="","DESCRIÇÃO",IF(AND($C494="S",ORÇAMENTO.Unidade=""),"UNIDADE",IF($X494&lt;0,"VALOR NEGATIVO",IF(OR(AND(TIPOORCAMENTO="Proposto",$AG494&lt;&gt;"",$AG494&gt;0,ORÇAMENTO.CustoUnitario&gt;$AG494),AND(TIPOORCAMENTO="LICITADO",ORÇAMENTO.PrecoUnitarioLicitado&gt;$AN494)),"ACIMA REF.","")))))</f>
        <v/>
      </c>
      <c r="AD494" t="str">
        <f ca="1">IF(C494&lt;=CRONO.NivelExibicao,MAX($AD$15:OFFSET(AD494,-1,0))+IF($C494&lt;&gt;1,1,MAX(1,COUNTIF(QCI!$A$13:$A$24,OFFSET($E494,-1,0)))),"")</f>
        <v/>
      </c>
      <c r="AE494" s="7" t="str">
        <f ca="1">IF(AND($C494="S",ORÇAMENTO.CodBarra&lt;&gt;""),IF(ORÇAMENTO.Fonte="",ORÇAMENTO.CodBarra,CONCATENATE(ORÇAMENTO.Fonte," ",ORÇAMENTO.CodBarra)))</f>
        <v>SINAPI 91941</v>
      </c>
      <c r="AF494" s="13" t="str">
        <f ca="1">IF(ISERROR(INDIRECT(ORÇAMENTO.BancoRef)),"(abra o arquivo 'Referência "&amp;Excel_BuiltIn_Database&amp;".xlsm)",IF(OR($C494&lt;&gt;"S",ORÇAMENTO.CodBarra=""),"(Sem Código)",IF(ISERROR(MATCH($AE494,INDIRECT(ORÇAMENTO.BancoRef),0)),"(Código não identificado nas referências)",MATCH($AE494,INDIRECT(ORÇAMENTO.BancoRef),0))))</f>
        <v>(abra o arquivo 'Referência 02-2025.xlsm)</v>
      </c>
      <c r="AG494" s="498">
        <f ca="1">ROUND(IF(DESONERACAO="sim",REFERENCIA.Desonerado,REFERENCIA.NaoDesonerado),2)</f>
        <v>0</v>
      </c>
      <c r="AH494" s="499">
        <f ca="1">ROUND(IF(ISNUMBER(ORÇAMENTO.OpcaoBDI),ORÇAMENTO.OpcaoBDI,IF(LEFT(ORÇAMENTO.OpcaoBDI,3)="BDI",HLOOKUP(ORÇAMENTO.OpcaoBDI,$F$4:$H$5,2,FALSE),0)),15-11*$AF$9)</f>
        <v>0.22470000000000001</v>
      </c>
      <c r="AJ494" s="501">
        <v>242</v>
      </c>
      <c r="AL494" s="527"/>
      <c r="AM494" s="381">
        <f t="shared" ca="1" si="143"/>
        <v>0</v>
      </c>
      <c r="AN494" s="566">
        <f ca="1">ROUND(ORÇAMENTO.CustoUnitario*(1+$AH494),2)</f>
        <v>0</v>
      </c>
    </row>
    <row r="495" spans="1:40" ht="25.5" x14ac:dyDescent="0.2">
      <c r="A495" t="str">
        <f t="shared" si="56"/>
        <v>S</v>
      </c>
      <c r="B495">
        <f t="shared" ca="1" si="57"/>
        <v>3</v>
      </c>
      <c r="C495" t="str">
        <f t="shared" ca="1" si="58"/>
        <v>S</v>
      </c>
      <c r="D495">
        <f t="shared" ca="1" si="59"/>
        <v>0</v>
      </c>
      <c r="E495">
        <f ca="1">IF($C495=1,OFFSET(E495,-1,0)+MAX(1,COUNTIF(QCI!$A$13:$A$24,OFFSET(ORÇAMENTO!E495,-1,0))),OFFSET(E495,-1,0))</f>
        <v>1</v>
      </c>
      <c r="F495">
        <f t="shared" ca="1" si="60"/>
        <v>17</v>
      </c>
      <c r="G495">
        <f t="shared" ca="1" si="61"/>
        <v>2</v>
      </c>
      <c r="H495">
        <f t="shared" ca="1" si="62"/>
        <v>0</v>
      </c>
      <c r="I495">
        <f t="shared" ca="1" si="63"/>
        <v>0</v>
      </c>
      <c r="J495">
        <f t="shared" ca="1" si="130"/>
        <v>0</v>
      </c>
      <c r="K495">
        <f ca="1">IF(OR($C495="S",$C495=0),0,MATCH(OFFSET($D495,0,$C495)+IF($C495&lt;&gt;1,1,COUNTIF(QCI!$A$13:$A$24,ORÇAMENTO!E495)),OFFSET($D495,1,$C495,ROW($C$747)-ROW($C495)),0))</f>
        <v>0</v>
      </c>
      <c r="L495" s="116" t="str">
        <f t="shared" ca="1" si="64"/>
        <v/>
      </c>
      <c r="M495" s="117" t="s">
        <v>199</v>
      </c>
      <c r="N495" s="118" t="str">
        <f t="shared" ca="1" si="65"/>
        <v>Serviço</v>
      </c>
      <c r="O495" s="119" t="str">
        <f t="shared" ca="1" si="66"/>
        <v>-</v>
      </c>
      <c r="P495" s="120" t="s">
        <v>247</v>
      </c>
      <c r="Q495" s="121" t="s">
        <v>646</v>
      </c>
      <c r="R495" s="122" t="str">
        <f ca="1">IF($C495="S",REFERENCIA.Descricao,"(digite a descrição aqui)")</f>
        <v>(abra o arquivo 'Referência 02-2025.xlsm)</v>
      </c>
      <c r="S495" s="123" t="str">
        <f ca="1">REFERENCIA.Unidade</f>
        <v>-</v>
      </c>
      <c r="T495" s="124">
        <f ca="1">OFFSET(CÁLCULO!H$15,ROW($T495)-ROW(T$15),0)</f>
        <v>2</v>
      </c>
      <c r="U495" s="125">
        <f t="shared" ca="1" si="131"/>
        <v>0</v>
      </c>
      <c r="V495" s="126" t="s">
        <v>156</v>
      </c>
      <c r="W495" s="124">
        <f ca="1">IF($C495="S",ROUND(IF(TIPOORCAMENTO="Proposto",ORÇAMENTO.CustoUnitario*(1+$AH495),ORÇAMENTO.PrecoUnitarioLicitado),15-13*$AF$10),0)</f>
        <v>0</v>
      </c>
      <c r="X495" s="127">
        <f ca="1">IF($C495="S",IF(Import.TipoArredondamento&lt;&gt;"TransfereGOV",VTOTAL1,SUM(OFFSET(CÁLCULO!$AA$15,ROW($X495)-ROW($X$15),1):OFFSET(CÁLCULO!$AL$15,ROW($X495)-ROW($X$15),-1))),IF($C495=0,0,ROUND(SomaAgrup,15-13*$AF$11)))</f>
        <v>0</v>
      </c>
      <c r="Y495" s="128" t="s">
        <v>245</v>
      </c>
      <c r="Z495" t="str">
        <f t="shared" ca="1" si="67"/>
        <v/>
      </c>
      <c r="AA495" s="129">
        <f ca="1">IF($C495="S",IF($Z495="CP",$X495,IF($Z495="RA",(($X495)*QCI!$AA$3),0)),SomaAgrup)</f>
        <v>0</v>
      </c>
      <c r="AB495" s="130">
        <f t="shared" ca="1" si="68"/>
        <v>0</v>
      </c>
      <c r="AC495" s="131" t="str">
        <f ca="1">IF($N495="","",IF(ORÇAMENTO.Descricao="","DESCRIÇÃO",IF(AND($C495="S",ORÇAMENTO.Unidade=""),"UNIDADE",IF($X495&lt;0,"VALOR NEGATIVO",IF(OR(AND(TIPOORCAMENTO="Proposto",$AG495&lt;&gt;"",$AG495&gt;0,ORÇAMENTO.CustoUnitario&gt;$AG495),AND(TIPOORCAMENTO="LICITADO",ORÇAMENTO.PrecoUnitarioLicitado&gt;$AN495)),"ACIMA REF.","")))))</f>
        <v/>
      </c>
      <c r="AD495" t="str">
        <f ca="1">IF(C495&lt;=CRONO.NivelExibicao,MAX($AD$15:OFFSET(AD495,-1,0))+IF($C495&lt;&gt;1,1,MAX(1,COUNTIF(QCI!$A$13:$A$24,OFFSET($E495,-1,0)))),"")</f>
        <v/>
      </c>
      <c r="AE495" s="7" t="str">
        <f ca="1">IF(AND($C495="S",ORÇAMENTO.CodBarra&lt;&gt;""),IF(ORÇAMENTO.Fonte="",ORÇAMENTO.CodBarra,CONCATENATE(ORÇAMENTO.Fonte," ",ORÇAMENTO.CodBarra)))</f>
        <v>SINAPI 91936</v>
      </c>
      <c r="AF495" s="13" t="str">
        <f ca="1">IF(ISERROR(INDIRECT(ORÇAMENTO.BancoRef)),"(abra o arquivo 'Referência "&amp;Excel_BuiltIn_Database&amp;".xlsm)",IF(OR($C495&lt;&gt;"S",ORÇAMENTO.CodBarra=""),"(Sem Código)",IF(ISERROR(MATCH($AE495,INDIRECT(ORÇAMENTO.BancoRef),0)),"(Código não identificado nas referências)",MATCH($AE495,INDIRECT(ORÇAMENTO.BancoRef),0))))</f>
        <v>(abra o arquivo 'Referência 02-2025.xlsm)</v>
      </c>
      <c r="AG495" s="498">
        <f ca="1">ROUND(IF(DESONERACAO="sim",REFERENCIA.Desonerado,REFERENCIA.NaoDesonerado),2)</f>
        <v>0</v>
      </c>
      <c r="AH495" s="499">
        <f t="shared" ca="1" si="69"/>
        <v>0.22470000000000001</v>
      </c>
      <c r="AJ495" s="501">
        <v>2</v>
      </c>
      <c r="AL495" s="527"/>
      <c r="AM495" s="381">
        <f t="shared" ca="1" si="70"/>
        <v>0</v>
      </c>
      <c r="AN495" s="566">
        <f t="shared" ca="1" si="71"/>
        <v>0</v>
      </c>
    </row>
    <row r="496" spans="1:40" ht="38.25" x14ac:dyDescent="0.2">
      <c r="A496" t="str">
        <f t="shared" si="56"/>
        <v>S</v>
      </c>
      <c r="B496">
        <f t="shared" ca="1" si="57"/>
        <v>3</v>
      </c>
      <c r="C496" t="str">
        <f t="shared" ca="1" si="58"/>
        <v>S</v>
      </c>
      <c r="D496">
        <f t="shared" ca="1" si="59"/>
        <v>0</v>
      </c>
      <c r="E496">
        <f ca="1">IF($C496=1,OFFSET(E496,-1,0)+MAX(1,COUNTIF(QCI!$A$13:$A$24,OFFSET(ORÇAMENTO!E496,-1,0))),OFFSET(E496,-1,0))</f>
        <v>1</v>
      </c>
      <c r="F496">
        <f t="shared" ca="1" si="60"/>
        <v>17</v>
      </c>
      <c r="G496">
        <f t="shared" ca="1" si="61"/>
        <v>2</v>
      </c>
      <c r="H496">
        <f t="shared" ca="1" si="62"/>
        <v>0</v>
      </c>
      <c r="I496">
        <f t="shared" ca="1" si="63"/>
        <v>0</v>
      </c>
      <c r="J496">
        <f t="shared" ca="1" si="130"/>
        <v>0</v>
      </c>
      <c r="K496">
        <f ca="1">IF(OR($C496="S",$C496=0),0,MATCH(OFFSET($D496,0,$C496)+IF($C496&lt;&gt;1,1,COUNTIF(QCI!$A$13:$A$24,ORÇAMENTO!E496)),OFFSET($D496,1,$C496,ROW($C$747)-ROW($C496)),0))</f>
        <v>0</v>
      </c>
      <c r="L496" s="116" t="str">
        <f t="shared" ca="1" si="64"/>
        <v/>
      </c>
      <c r="M496" s="117" t="s">
        <v>199</v>
      </c>
      <c r="N496" s="118" t="str">
        <f t="shared" ca="1" si="65"/>
        <v>Serviço</v>
      </c>
      <c r="O496" s="119" t="str">
        <f t="shared" ca="1" si="66"/>
        <v>-</v>
      </c>
      <c r="P496" s="120" t="s">
        <v>247</v>
      </c>
      <c r="Q496" s="121" t="s">
        <v>647</v>
      </c>
      <c r="R496" s="122" t="str">
        <f ca="1">IF($C496="S",REFERENCIA.Descricao,"(digite a descrição aqui)")</f>
        <v>(abra o arquivo 'Referência 02-2025.xlsm)</v>
      </c>
      <c r="S496" s="123" t="str">
        <f ca="1">REFERENCIA.Unidade</f>
        <v>-</v>
      </c>
      <c r="T496" s="124">
        <f ca="1">OFFSET(CÁLCULO!H$15,ROW($T496)-ROW(T$15),0)</f>
        <v>1</v>
      </c>
      <c r="U496" s="125">
        <f t="shared" ca="1" si="131"/>
        <v>0</v>
      </c>
      <c r="V496" s="126" t="s">
        <v>156</v>
      </c>
      <c r="W496" s="124">
        <f ca="1">IF($C496="S",ROUND(IF(TIPOORCAMENTO="Proposto",ORÇAMENTO.CustoUnitario*(1+$AH496),ORÇAMENTO.PrecoUnitarioLicitado),15-13*$AF$10),0)</f>
        <v>0</v>
      </c>
      <c r="X496" s="127">
        <f ca="1">IF($C496="S",IF(Import.TipoArredondamento&lt;&gt;"TransfereGOV",VTOTAL1,SUM(OFFSET(CÁLCULO!$AA$15,ROW($X496)-ROW($X$15),1):OFFSET(CÁLCULO!$AL$15,ROW($X496)-ROW($X$15),-1))),IF($C496=0,0,ROUND(SomaAgrup,15-13*$AF$11)))</f>
        <v>0</v>
      </c>
      <c r="Y496" s="128" t="s">
        <v>245</v>
      </c>
      <c r="Z496" t="str">
        <f t="shared" ca="1" si="67"/>
        <v/>
      </c>
      <c r="AA496" s="129">
        <f ca="1">IF($C496="S",IF($Z496="CP",$X496,IF($Z496="RA",(($X496)*QCI!$AA$3),0)),SomaAgrup)</f>
        <v>0</v>
      </c>
      <c r="AB496" s="130">
        <f t="shared" ca="1" si="68"/>
        <v>0</v>
      </c>
      <c r="AC496" s="131" t="str">
        <f ca="1">IF($N496="","",IF(ORÇAMENTO.Descricao="","DESCRIÇÃO",IF(AND($C496="S",ORÇAMENTO.Unidade=""),"UNIDADE",IF($X496&lt;0,"VALOR NEGATIVO",IF(OR(AND(TIPOORCAMENTO="Proposto",$AG496&lt;&gt;"",$AG496&gt;0,ORÇAMENTO.CustoUnitario&gt;$AG496),AND(TIPOORCAMENTO="LICITADO",ORÇAMENTO.PrecoUnitarioLicitado&gt;$AN496)),"ACIMA REF.","")))))</f>
        <v/>
      </c>
      <c r="AD496" t="str">
        <f ca="1">IF(C496&lt;=CRONO.NivelExibicao,MAX($AD$15:OFFSET(AD496,-1,0))+IF($C496&lt;&gt;1,1,MAX(1,COUNTIF(QCI!$A$13:$A$24,OFFSET($E496,-1,0)))),"")</f>
        <v/>
      </c>
      <c r="AE496" s="7" t="str">
        <f ca="1">IF(AND($C496="S",ORÇAMENTO.CodBarra&lt;&gt;""),IF(ORÇAMENTO.Fonte="",ORÇAMENTO.CodBarra,CONCATENATE(ORÇAMENTO.Fonte," ",ORÇAMENTO.CodBarra)))</f>
        <v>SINAPI 92867</v>
      </c>
      <c r="AF496" s="13" t="str">
        <f ca="1">IF(ISERROR(INDIRECT(ORÇAMENTO.BancoRef)),"(abra o arquivo 'Referência "&amp;Excel_BuiltIn_Database&amp;".xlsm)",IF(OR($C496&lt;&gt;"S",ORÇAMENTO.CodBarra=""),"(Sem Código)",IF(ISERROR(MATCH($AE496,INDIRECT(ORÇAMENTO.BancoRef),0)),"(Código não identificado nas referências)",MATCH($AE496,INDIRECT(ORÇAMENTO.BancoRef),0))))</f>
        <v>(abra o arquivo 'Referência 02-2025.xlsm)</v>
      </c>
      <c r="AG496" s="498">
        <f ca="1">ROUND(IF(DESONERACAO="sim",REFERENCIA.Desonerado,REFERENCIA.NaoDesonerado),2)</f>
        <v>0</v>
      </c>
      <c r="AH496" s="499">
        <f t="shared" ca="1" si="69"/>
        <v>0.22470000000000001</v>
      </c>
      <c r="AJ496" s="501">
        <v>1</v>
      </c>
      <c r="AL496" s="527"/>
      <c r="AM496" s="381">
        <f t="shared" ca="1" si="70"/>
        <v>0</v>
      </c>
      <c r="AN496" s="566">
        <f t="shared" ca="1" si="71"/>
        <v>0</v>
      </c>
    </row>
    <row r="497" spans="1:40" ht="25.5" x14ac:dyDescent="0.2">
      <c r="A497" t="str">
        <f t="shared" si="56"/>
        <v>S</v>
      </c>
      <c r="B497">
        <f t="shared" ca="1" si="57"/>
        <v>3</v>
      </c>
      <c r="C497" t="str">
        <f t="shared" ca="1" si="58"/>
        <v>S</v>
      </c>
      <c r="D497">
        <f t="shared" ca="1" si="59"/>
        <v>0</v>
      </c>
      <c r="E497">
        <f ca="1">IF($C497=1,OFFSET(E497,-1,0)+MAX(1,COUNTIF(QCI!$A$13:$A$24,OFFSET(ORÇAMENTO!E497,-1,0))),OFFSET(E497,-1,0))</f>
        <v>1</v>
      </c>
      <c r="F497">
        <f t="shared" ca="1" si="60"/>
        <v>17</v>
      </c>
      <c r="G497">
        <f t="shared" ca="1" si="61"/>
        <v>2</v>
      </c>
      <c r="H497">
        <f t="shared" ca="1" si="62"/>
        <v>0</v>
      </c>
      <c r="I497">
        <f t="shared" ca="1" si="63"/>
        <v>0</v>
      </c>
      <c r="J497">
        <f t="shared" ca="1" si="130"/>
        <v>0</v>
      </c>
      <c r="K497">
        <f ca="1">IF(OR($C497="S",$C497=0),0,MATCH(OFFSET($D497,0,$C497)+IF($C497&lt;&gt;1,1,COUNTIF(QCI!$A$13:$A$24,ORÇAMENTO!E497)),OFFSET($D497,1,$C497,ROW($C$747)-ROW($C497)),0))</f>
        <v>0</v>
      </c>
      <c r="L497" s="116" t="str">
        <f t="shared" ca="1" si="64"/>
        <v/>
      </c>
      <c r="M497" s="117" t="s">
        <v>199</v>
      </c>
      <c r="N497" s="118" t="str">
        <f t="shared" ca="1" si="65"/>
        <v>Serviço</v>
      </c>
      <c r="O497" s="119" t="str">
        <f t="shared" ca="1" si="66"/>
        <v>-</v>
      </c>
      <c r="P497" s="120" t="s">
        <v>247</v>
      </c>
      <c r="Q497" s="121" t="s">
        <v>645</v>
      </c>
      <c r="R497" s="122" t="str">
        <f ca="1">IF($C497="S",REFERENCIA.Descricao,"(digite a descrição aqui)")</f>
        <v>(abra o arquivo 'Referência 02-2025.xlsm)</v>
      </c>
      <c r="S497" s="123" t="str">
        <f ca="1">REFERENCIA.Unidade</f>
        <v>-</v>
      </c>
      <c r="T497" s="124">
        <f ca="1">OFFSET(CÁLCULO!H$15,ROW($T497)-ROW(T$15),0)</f>
        <v>41</v>
      </c>
      <c r="U497" s="125">
        <f t="shared" ca="1" si="131"/>
        <v>0</v>
      </c>
      <c r="V497" s="126" t="s">
        <v>156</v>
      </c>
      <c r="W497" s="124">
        <f ca="1">IF($C497="S",ROUND(IF(TIPOORCAMENTO="Proposto",ORÇAMENTO.CustoUnitario*(1+$AH497),ORÇAMENTO.PrecoUnitarioLicitado),15-13*$AF$10),0)</f>
        <v>0</v>
      </c>
      <c r="X497" s="127">
        <f ca="1">IF($C497="S",IF(Import.TipoArredondamento&lt;&gt;"TransfereGOV",VTOTAL1,SUM(OFFSET(CÁLCULO!$AA$15,ROW($X497)-ROW($X$15),1):OFFSET(CÁLCULO!$AL$15,ROW($X497)-ROW($X$15),-1))),IF($C497=0,0,ROUND(SomaAgrup,15-13*$AF$11)))</f>
        <v>0</v>
      </c>
      <c r="Y497" s="128" t="s">
        <v>245</v>
      </c>
      <c r="Z497" t="str">
        <f t="shared" ca="1" si="67"/>
        <v/>
      </c>
      <c r="AA497" s="129">
        <f ca="1">IF($C497="S",IF($Z497="CP",$X497,IF($Z497="RA",(($X497)*QCI!$AA$3),0)),SomaAgrup)</f>
        <v>0</v>
      </c>
      <c r="AB497" s="130">
        <f t="shared" ca="1" si="68"/>
        <v>0</v>
      </c>
      <c r="AC497" s="131" t="str">
        <f ca="1">IF($N497="","",IF(ORÇAMENTO.Descricao="","DESCRIÇÃO",IF(AND($C497="S",ORÇAMENTO.Unidade=""),"UNIDADE",IF($X497&lt;0,"VALOR NEGATIVO",IF(OR(AND(TIPOORCAMENTO="Proposto",$AG497&lt;&gt;"",$AG497&gt;0,ORÇAMENTO.CustoUnitario&gt;$AG497),AND(TIPOORCAMENTO="LICITADO",ORÇAMENTO.PrecoUnitarioLicitado&gt;$AN497)),"ACIMA REF.","")))))</f>
        <v/>
      </c>
      <c r="AD497" t="str">
        <f ca="1">IF(C497&lt;=CRONO.NivelExibicao,MAX($AD$15:OFFSET(AD497,-1,0))+IF($C497&lt;&gt;1,1,MAX(1,COUNTIF(QCI!$A$13:$A$24,OFFSET($E497,-1,0)))),"")</f>
        <v/>
      </c>
      <c r="AE497" s="7" t="str">
        <f ca="1">IF(AND($C497="S",ORÇAMENTO.CodBarra&lt;&gt;""),IF(ORÇAMENTO.Fonte="",ORÇAMENTO.CodBarra,CONCATENATE(ORÇAMENTO.Fonte," ",ORÇAMENTO.CodBarra)))</f>
        <v>SINAPI 91941</v>
      </c>
      <c r="AF497" s="13" t="str">
        <f ca="1">IF(ISERROR(INDIRECT(ORÇAMENTO.BancoRef)),"(abra o arquivo 'Referência "&amp;Excel_BuiltIn_Database&amp;".xlsm)",IF(OR($C497&lt;&gt;"S",ORÇAMENTO.CodBarra=""),"(Sem Código)",IF(ISERROR(MATCH($AE497,INDIRECT(ORÇAMENTO.BancoRef),0)),"(Código não identificado nas referências)",MATCH($AE497,INDIRECT(ORÇAMENTO.BancoRef),0))))</f>
        <v>(abra o arquivo 'Referência 02-2025.xlsm)</v>
      </c>
      <c r="AG497" s="498">
        <f ca="1">ROUND(IF(DESONERACAO="sim",REFERENCIA.Desonerado,REFERENCIA.NaoDesonerado),2)</f>
        <v>0</v>
      </c>
      <c r="AH497" s="499">
        <f t="shared" ca="1" si="69"/>
        <v>0.22470000000000001</v>
      </c>
      <c r="AJ497" s="501">
        <v>41</v>
      </c>
      <c r="AL497" s="527"/>
      <c r="AM497" s="381">
        <f t="shared" ca="1" si="70"/>
        <v>0</v>
      </c>
      <c r="AN497" s="566">
        <f t="shared" ca="1" si="71"/>
        <v>0</v>
      </c>
    </row>
    <row r="498" spans="1:40" ht="38.25" x14ac:dyDescent="0.2">
      <c r="A498" t="str">
        <f t="shared" si="56"/>
        <v>S</v>
      </c>
      <c r="B498">
        <f t="shared" ca="1" si="57"/>
        <v>3</v>
      </c>
      <c r="C498" t="str">
        <f t="shared" ca="1" si="58"/>
        <v>S</v>
      </c>
      <c r="D498">
        <f t="shared" ca="1" si="59"/>
        <v>0</v>
      </c>
      <c r="E498">
        <f ca="1">IF($C498=1,OFFSET(E498,-1,0)+MAX(1,COUNTIF(QCI!$A$13:$A$24,OFFSET(ORÇAMENTO!E498,-1,0))),OFFSET(E498,-1,0))</f>
        <v>1</v>
      </c>
      <c r="F498">
        <f t="shared" ca="1" si="60"/>
        <v>17</v>
      </c>
      <c r="G498">
        <f t="shared" ca="1" si="61"/>
        <v>2</v>
      </c>
      <c r="H498">
        <f t="shared" ca="1" si="62"/>
        <v>0</v>
      </c>
      <c r="I498">
        <f t="shared" ca="1" si="63"/>
        <v>0</v>
      </c>
      <c r="J498">
        <f t="shared" ca="1" si="130"/>
        <v>0</v>
      </c>
      <c r="K498">
        <f ca="1">IF(OR($C498="S",$C498=0),0,MATCH(OFFSET($D498,0,$C498)+IF($C498&lt;&gt;1,1,COUNTIF(QCI!$A$13:$A$24,ORÇAMENTO!E498)),OFFSET($D498,1,$C498,ROW($C$747)-ROW($C498)),0))</f>
        <v>0</v>
      </c>
      <c r="L498" s="116" t="str">
        <f t="shared" ca="1" si="64"/>
        <v/>
      </c>
      <c r="M498" s="117" t="s">
        <v>199</v>
      </c>
      <c r="N498" s="118" t="str">
        <f t="shared" ca="1" si="65"/>
        <v>Serviço</v>
      </c>
      <c r="O498" s="119" t="str">
        <f t="shared" ca="1" si="66"/>
        <v>-</v>
      </c>
      <c r="P498" s="120" t="s">
        <v>247</v>
      </c>
      <c r="Q498" s="121" t="s">
        <v>648</v>
      </c>
      <c r="R498" s="122" t="str">
        <f ca="1">IF($C498="S",REFERENCIA.Descricao,"(digite a descrição aqui)")</f>
        <v>(abra o arquivo 'Referência 02-2025.xlsm)</v>
      </c>
      <c r="S498" s="123" t="str">
        <f ca="1">REFERENCIA.Unidade</f>
        <v>-</v>
      </c>
      <c r="T498" s="124">
        <f ca="1">OFFSET(CÁLCULO!H$15,ROW($T498)-ROW(T$15),0)</f>
        <v>1</v>
      </c>
      <c r="U498" s="125">
        <f t="shared" ca="1" si="131"/>
        <v>0</v>
      </c>
      <c r="V498" s="126" t="s">
        <v>156</v>
      </c>
      <c r="W498" s="124">
        <f ca="1">IF($C498="S",ROUND(IF(TIPOORCAMENTO="Proposto",ORÇAMENTO.CustoUnitario*(1+$AH498),ORÇAMENTO.PrecoUnitarioLicitado),15-13*$AF$10),0)</f>
        <v>0</v>
      </c>
      <c r="X498" s="127">
        <f ca="1">IF($C498="S",IF(Import.TipoArredondamento&lt;&gt;"TransfereGOV",VTOTAL1,SUM(OFFSET(CÁLCULO!$AA$15,ROW($X498)-ROW($X$15),1):OFFSET(CÁLCULO!$AL$15,ROW($X498)-ROW($X$15),-1))),IF($C498=0,0,ROUND(SomaAgrup,15-13*$AF$11)))</f>
        <v>0</v>
      </c>
      <c r="Y498" s="128" t="s">
        <v>245</v>
      </c>
      <c r="Z498" t="str">
        <f t="shared" ca="1" si="67"/>
        <v/>
      </c>
      <c r="AA498" s="129">
        <f ca="1">IF($C498="S",IF($Z498="CP",$X498,IF($Z498="RA",(($X498)*QCI!$AA$3),0)),SomaAgrup)</f>
        <v>0</v>
      </c>
      <c r="AB498" s="130">
        <f t="shared" ca="1" si="68"/>
        <v>0</v>
      </c>
      <c r="AC498" s="131" t="str">
        <f ca="1">IF($N498="","",IF(ORÇAMENTO.Descricao="","DESCRIÇÃO",IF(AND($C498="S",ORÇAMENTO.Unidade=""),"UNIDADE",IF($X498&lt;0,"VALOR NEGATIVO",IF(OR(AND(TIPOORCAMENTO="Proposto",$AG498&lt;&gt;"",$AG498&gt;0,ORÇAMENTO.CustoUnitario&gt;$AG498),AND(TIPOORCAMENTO="LICITADO",ORÇAMENTO.PrecoUnitarioLicitado&gt;$AN498)),"ACIMA REF.","")))))</f>
        <v/>
      </c>
      <c r="AD498" t="str">
        <f ca="1">IF(C498&lt;=CRONO.NivelExibicao,MAX($AD$15:OFFSET(AD498,-1,0))+IF($C498&lt;&gt;1,1,MAX(1,COUNTIF(QCI!$A$13:$A$24,OFFSET($E498,-1,0)))),"")</f>
        <v/>
      </c>
      <c r="AE498" s="7" t="str">
        <f ca="1">IF(AND($C498="S",ORÇAMENTO.CodBarra&lt;&gt;""),IF(ORÇAMENTO.Fonte="",ORÇAMENTO.CodBarra,CONCATENATE(ORÇAMENTO.Fonte," ",ORÇAMENTO.CodBarra)))</f>
        <v>SINAPI 91899</v>
      </c>
      <c r="AF498" s="13" t="str">
        <f ca="1">IF(ISERROR(INDIRECT(ORÇAMENTO.BancoRef)),"(abra o arquivo 'Referência "&amp;Excel_BuiltIn_Database&amp;".xlsm)",IF(OR($C498&lt;&gt;"S",ORÇAMENTO.CodBarra=""),"(Sem Código)",IF(ISERROR(MATCH($AE498,INDIRECT(ORÇAMENTO.BancoRef),0)),"(Código não identificado nas referências)",MATCH($AE498,INDIRECT(ORÇAMENTO.BancoRef),0))))</f>
        <v>(abra o arquivo 'Referência 02-2025.xlsm)</v>
      </c>
      <c r="AG498" s="498">
        <f ca="1">ROUND(IF(DESONERACAO="sim",REFERENCIA.Desonerado,REFERENCIA.NaoDesonerado),2)</f>
        <v>0</v>
      </c>
      <c r="AH498" s="499">
        <f t="shared" ca="1" si="69"/>
        <v>0.22470000000000001</v>
      </c>
      <c r="AJ498" s="501">
        <v>1</v>
      </c>
      <c r="AL498" s="527"/>
      <c r="AM498" s="381">
        <f t="shared" ca="1" si="70"/>
        <v>0</v>
      </c>
      <c r="AN498" s="566">
        <f t="shared" ca="1" si="71"/>
        <v>0</v>
      </c>
    </row>
    <row r="499" spans="1:40" ht="38.25" x14ac:dyDescent="0.2">
      <c r="A499" t="str">
        <f t="shared" si="56"/>
        <v>S</v>
      </c>
      <c r="B499">
        <f t="shared" ca="1" si="57"/>
        <v>3</v>
      </c>
      <c r="C499" t="str">
        <f t="shared" ca="1" si="58"/>
        <v>S</v>
      </c>
      <c r="D499">
        <f t="shared" ca="1" si="59"/>
        <v>0</v>
      </c>
      <c r="E499">
        <f ca="1">IF($C499=1,OFFSET(E499,-1,0)+MAX(1,COUNTIF(QCI!$A$13:$A$24,OFFSET(ORÇAMENTO!E499,-1,0))),OFFSET(E499,-1,0))</f>
        <v>1</v>
      </c>
      <c r="F499">
        <f t="shared" ca="1" si="60"/>
        <v>17</v>
      </c>
      <c r="G499">
        <f t="shared" ca="1" si="61"/>
        <v>2</v>
      </c>
      <c r="H499">
        <f t="shared" ca="1" si="62"/>
        <v>0</v>
      </c>
      <c r="I499">
        <f t="shared" ca="1" si="63"/>
        <v>0</v>
      </c>
      <c r="J499">
        <f t="shared" ca="1" si="130"/>
        <v>0</v>
      </c>
      <c r="K499">
        <f ca="1">IF(OR($C499="S",$C499=0),0,MATCH(OFFSET($D499,0,$C499)+IF($C499&lt;&gt;1,1,COUNTIF(QCI!$A$13:$A$24,ORÇAMENTO!E499)),OFFSET($D499,1,$C499,ROW($C$747)-ROW($C499)),0))</f>
        <v>0</v>
      </c>
      <c r="L499" s="116" t="str">
        <f t="shared" ca="1" si="64"/>
        <v/>
      </c>
      <c r="M499" s="117" t="s">
        <v>199</v>
      </c>
      <c r="N499" s="118" t="str">
        <f t="shared" ca="1" si="65"/>
        <v>Serviço</v>
      </c>
      <c r="O499" s="119" t="str">
        <f t="shared" ca="1" si="66"/>
        <v>-</v>
      </c>
      <c r="P499" s="120" t="s">
        <v>712</v>
      </c>
      <c r="Q499" s="121" t="s">
        <v>836</v>
      </c>
      <c r="R499" s="122" t="str">
        <f ca="1">IF($C499="S",REFERENCIA.Descricao,"(digite a descrição aqui)")</f>
        <v>(abra o arquivo 'Referência 02-2025.xlsm)</v>
      </c>
      <c r="S499" s="123" t="str">
        <f ca="1">REFERENCIA.Unidade</f>
        <v>-</v>
      </c>
      <c r="T499" s="124">
        <f ca="1">OFFSET(CÁLCULO!H$15,ROW($T499)-ROW(T$15),0)</f>
        <v>2</v>
      </c>
      <c r="U499" s="125">
        <f t="shared" ca="1" si="131"/>
        <v>0</v>
      </c>
      <c r="V499" s="126" t="s">
        <v>156</v>
      </c>
      <c r="W499" s="124">
        <f ca="1">IF($C499="S",ROUND(IF(TIPOORCAMENTO="Proposto",ORÇAMENTO.CustoUnitario*(1+$AH499),ORÇAMENTO.PrecoUnitarioLicitado),15-13*$AF$10),0)</f>
        <v>0</v>
      </c>
      <c r="X499" s="127">
        <f ca="1">IF($C499="S",IF(Import.TipoArredondamento&lt;&gt;"TransfereGOV",VTOTAL1,SUM(OFFSET(CÁLCULO!$AA$15,ROW($X499)-ROW($X$15),1):OFFSET(CÁLCULO!$AL$15,ROW($X499)-ROW($X$15),-1))),IF($C499=0,0,ROUND(SomaAgrup,15-13*$AF$11)))</f>
        <v>0</v>
      </c>
      <c r="Y499" s="128" t="s">
        <v>245</v>
      </c>
      <c r="Z499" t="str">
        <f t="shared" ca="1" si="67"/>
        <v/>
      </c>
      <c r="AA499" s="129">
        <f ca="1">IF($C499="S",IF($Z499="CP",$X499,IF($Z499="RA",(($X499)*QCI!$AA$3),0)),SomaAgrup)</f>
        <v>0</v>
      </c>
      <c r="AB499" s="130">
        <f t="shared" ca="1" si="68"/>
        <v>0</v>
      </c>
      <c r="AC499" s="131" t="str">
        <f ca="1">IF($N499="","",IF(ORÇAMENTO.Descricao="","DESCRIÇÃO",IF(AND($C499="S",ORÇAMENTO.Unidade=""),"UNIDADE",IF($X499&lt;0,"VALOR NEGATIVO",IF(OR(AND(TIPOORCAMENTO="Proposto",$AG499&lt;&gt;"",$AG499&gt;0,ORÇAMENTO.CustoUnitario&gt;$AG499),AND(TIPOORCAMENTO="LICITADO",ORÇAMENTO.PrecoUnitarioLicitado&gt;$AN499)),"ACIMA REF.","")))))</f>
        <v/>
      </c>
      <c r="AD499" t="str">
        <f ca="1">IF(C499&lt;=CRONO.NivelExibicao,MAX($AD$15:OFFSET(AD499,-1,0))+IF($C499&lt;&gt;1,1,MAX(1,COUNTIF(QCI!$A$13:$A$24,OFFSET($E499,-1,0)))),"")</f>
        <v/>
      </c>
      <c r="AE499" s="7" t="str">
        <f ca="1">IF(AND($C499="S",ORÇAMENTO.CodBarra&lt;&gt;""),IF(ORÇAMENTO.Fonte="",ORÇAMENTO.CodBarra,CONCATENATE(ORÇAMENTO.Fonte," ",ORÇAMENTO.CodBarra)))</f>
        <v>Composição FNDE 150</v>
      </c>
      <c r="AF499" s="13" t="str">
        <f ca="1">IF(ISERROR(INDIRECT(ORÇAMENTO.BancoRef)),"(abra o arquivo 'Referência "&amp;Excel_BuiltIn_Database&amp;".xlsm)",IF(OR($C499&lt;&gt;"S",ORÇAMENTO.CodBarra=""),"(Sem Código)",IF(ISERROR(MATCH($AE499,INDIRECT(ORÇAMENTO.BancoRef),0)),"(Código não identificado nas referências)",MATCH($AE499,INDIRECT(ORÇAMENTO.BancoRef),0))))</f>
        <v>(abra o arquivo 'Referência 02-2025.xlsm)</v>
      </c>
      <c r="AG499" s="498">
        <f ca="1">ROUND(IF(DESONERACAO="sim",REFERENCIA.Desonerado,REFERENCIA.NaoDesonerado),2)</f>
        <v>0</v>
      </c>
      <c r="AH499" s="499">
        <f t="shared" ca="1" si="69"/>
        <v>0.22470000000000001</v>
      </c>
      <c r="AJ499" s="501">
        <v>2</v>
      </c>
      <c r="AL499" s="527"/>
      <c r="AM499" s="381">
        <f t="shared" ca="1" si="70"/>
        <v>0</v>
      </c>
      <c r="AN499" s="566">
        <f t="shared" ca="1" si="71"/>
        <v>0</v>
      </c>
    </row>
    <row r="500" spans="1:40" x14ac:dyDescent="0.2">
      <c r="A500">
        <f t="shared" si="56"/>
        <v>3</v>
      </c>
      <c r="B500">
        <f t="shared" ca="1" si="57"/>
        <v>3</v>
      </c>
      <c r="C500">
        <f t="shared" ca="1" si="58"/>
        <v>3</v>
      </c>
      <c r="D500">
        <f t="shared" ca="1" si="59"/>
        <v>18</v>
      </c>
      <c r="E500">
        <f ca="1">IF($C500=1,OFFSET(E500,-1,0)+MAX(1,COUNTIF(QCI!$A$13:$A$24,OFFSET(ORÇAMENTO!E500,-1,0))),OFFSET(E500,-1,0))</f>
        <v>1</v>
      </c>
      <c r="F500">
        <f t="shared" ca="1" si="60"/>
        <v>17</v>
      </c>
      <c r="G500">
        <f t="shared" ca="1" si="61"/>
        <v>3</v>
      </c>
      <c r="H500">
        <f t="shared" ca="1" si="62"/>
        <v>0</v>
      </c>
      <c r="I500">
        <f t="shared" ca="1" si="63"/>
        <v>0</v>
      </c>
      <c r="J500">
        <f t="shared" ca="1" si="130"/>
        <v>108</v>
      </c>
      <c r="K500">
        <f ca="1">IF(OR($C500="S",$C500=0),0,MATCH(OFFSET($D500,0,$C500)+IF($C500&lt;&gt;1,1,COUNTIF(QCI!$A$13:$A$24,ORÇAMENTO!E500)),OFFSET($D500,1,$C500,ROW($C$747)-ROW($C500)),0))</f>
        <v>18</v>
      </c>
      <c r="L500" s="116" t="str">
        <f t="shared" ca="1" si="64"/>
        <v>F</v>
      </c>
      <c r="M500" s="117" t="s">
        <v>197</v>
      </c>
      <c r="N500" s="118" t="str">
        <f t="shared" ca="1" si="65"/>
        <v>Nível 3</v>
      </c>
      <c r="O500" s="119" t="str">
        <f t="shared" ca="1" si="66"/>
        <v>1.17.3.</v>
      </c>
      <c r="P500" s="120" t="s">
        <v>247</v>
      </c>
      <c r="Q500" s="121"/>
      <c r="R500" s="122" t="str">
        <f ca="1">IF($C500="S",REFERENCIA.Descricao,"ACESSÓRIOS GERAL")</f>
        <v>ACESSÓRIOS GERAL</v>
      </c>
      <c r="S500" s="123" t="str">
        <f ca="1">REFERENCIA.Unidade</f>
        <v>-</v>
      </c>
      <c r="T500" s="124">
        <f ca="1">OFFSET(CÁLCULO!H$15,ROW($T500)-ROW(T$15),0)</f>
        <v>0</v>
      </c>
      <c r="U500" s="125">
        <f t="shared" ca="1" si="131"/>
        <v>0</v>
      </c>
      <c r="V500" s="126" t="s">
        <v>156</v>
      </c>
      <c r="W500" s="124">
        <f ca="1">IF($C500="S",ROUND(IF(TIPOORCAMENTO="Proposto",ORÇAMENTO.CustoUnitario*(1+$AH500),ORÇAMENTO.PrecoUnitarioLicitado),15-13*$AF$10),0)</f>
        <v>0</v>
      </c>
      <c r="X500" s="127">
        <f ca="1">IF($C500="S",IF(Import.TipoArredondamento&lt;&gt;"TransfereGOV",VTOTAL1,SUM(OFFSET(CÁLCULO!$AA$15,ROW($X500)-ROW($X$15),1):OFFSET(CÁLCULO!$AL$15,ROW($X500)-ROW($X$15),-1))),IF($C500=0,0,ROUND(SomaAgrup,15-13*$AF$11)))</f>
        <v>0</v>
      </c>
      <c r="Y500" s="128" t="s">
        <v>245</v>
      </c>
      <c r="Z500" t="str">
        <f t="shared" ca="1" si="67"/>
        <v/>
      </c>
      <c r="AA500" s="129">
        <f ca="1">IF($C500="S",IF($Z500="CP",$X500,IF($Z500="RA",(($X500)*QCI!$AA$3),0)),SomaAgrup)</f>
        <v>0</v>
      </c>
      <c r="AB500" s="130">
        <f t="shared" ca="1" si="68"/>
        <v>0</v>
      </c>
      <c r="AC500" s="131" t="str">
        <f ca="1">IF($N500="","",IF(ORÇAMENTO.Descricao="","DESCRIÇÃO",IF(AND($C500="S",ORÇAMENTO.Unidade=""),"UNIDADE",IF($X500&lt;0,"VALOR NEGATIVO",IF(OR(AND(TIPOORCAMENTO="Proposto",$AG500&lt;&gt;"",$AG500&gt;0,ORÇAMENTO.CustoUnitario&gt;$AG500),AND(TIPOORCAMENTO="LICITADO",ORÇAMENTO.PrecoUnitarioLicitado&gt;$AN500)),"ACIMA REF.","")))))</f>
        <v/>
      </c>
      <c r="AD500" t="str">
        <f ca="1">IF(C500&lt;=CRONO.NivelExibicao,MAX($AD$15:OFFSET(AD500,-1,0))+IF($C500&lt;&gt;1,1,MAX(1,COUNTIF(QCI!$A$13:$A$24,OFFSET($E500,-1,0)))),"")</f>
        <v/>
      </c>
      <c r="AE500" s="7" t="b">
        <f ca="1">IF(AND($C500="S",ORÇAMENTO.CodBarra&lt;&gt;""),IF(ORÇAMENTO.Fonte="",ORÇAMENTO.CodBarra,CONCATENATE(ORÇAMENTO.Fonte," ",ORÇAMENTO.CodBarra)))</f>
        <v>0</v>
      </c>
      <c r="AF500" s="13" t="str">
        <f ca="1">IF(ISERROR(INDIRECT(ORÇAMENTO.BancoRef)),"(abra o arquivo 'Referência "&amp;Excel_BuiltIn_Database&amp;".xlsm)",IF(OR($C500&lt;&gt;"S",ORÇAMENTO.CodBarra=""),"(Sem Código)",IF(ISERROR(MATCH($AE500,INDIRECT(ORÇAMENTO.BancoRef),0)),"(Código não identificado nas referências)",MATCH($AE500,INDIRECT(ORÇAMENTO.BancoRef),0))))</f>
        <v>(abra o arquivo 'Referência 02-2025.xlsm)</v>
      </c>
      <c r="AG500" s="498">
        <f ca="1">ROUND(IF(DESONERACAO="sim",REFERENCIA.Desonerado,REFERENCIA.NaoDesonerado),2)</f>
        <v>0</v>
      </c>
      <c r="AH500" s="499">
        <f t="shared" ca="1" si="69"/>
        <v>0.22470000000000001</v>
      </c>
      <c r="AJ500" s="501"/>
      <c r="AL500" s="527"/>
      <c r="AM500" s="381">
        <f t="shared" ca="1" si="70"/>
        <v>0</v>
      </c>
      <c r="AN500" s="566">
        <f t="shared" ca="1" si="71"/>
        <v>0</v>
      </c>
    </row>
    <row r="501" spans="1:40" x14ac:dyDescent="0.2">
      <c r="A501" t="str">
        <f t="shared" si="56"/>
        <v>S</v>
      </c>
      <c r="B501">
        <f t="shared" ca="1" si="57"/>
        <v>3</v>
      </c>
      <c r="C501" t="str">
        <f t="shared" ca="1" si="58"/>
        <v>S</v>
      </c>
      <c r="D501">
        <f t="shared" ca="1" si="59"/>
        <v>0</v>
      </c>
      <c r="E501">
        <f ca="1">IF($C501=1,OFFSET(E501,-1,0)+MAX(1,COUNTIF(QCI!$A$13:$A$24,OFFSET(ORÇAMENTO!E501,-1,0))),OFFSET(E501,-1,0))</f>
        <v>1</v>
      </c>
      <c r="F501">
        <f t="shared" ca="1" si="60"/>
        <v>17</v>
      </c>
      <c r="G501">
        <f t="shared" ca="1" si="61"/>
        <v>3</v>
      </c>
      <c r="H501">
        <f t="shared" ca="1" si="62"/>
        <v>0</v>
      </c>
      <c r="I501">
        <f t="shared" ca="1" si="63"/>
        <v>0</v>
      </c>
      <c r="J501">
        <f t="shared" ca="1" si="130"/>
        <v>0</v>
      </c>
      <c r="K501">
        <f ca="1">IF(OR($C501="S",$C501=0),0,MATCH(OFFSET($D501,0,$C501)+IF($C501&lt;&gt;1,1,COUNTIF(QCI!$A$13:$A$24,ORÇAMENTO!E501)),OFFSET($D501,1,$C501,ROW($C$747)-ROW($C501)),0))</f>
        <v>0</v>
      </c>
      <c r="L501" s="116" t="str">
        <f t="shared" ca="1" si="64"/>
        <v/>
      </c>
      <c r="M501" s="117" t="s">
        <v>199</v>
      </c>
      <c r="N501" s="118" t="str">
        <f t="shared" ca="1" si="65"/>
        <v>Serviço</v>
      </c>
      <c r="O501" s="119" t="str">
        <f t="shared" ca="1" si="66"/>
        <v>-</v>
      </c>
      <c r="P501" s="120" t="s">
        <v>712</v>
      </c>
      <c r="Q501" s="121" t="s">
        <v>834</v>
      </c>
      <c r="R501" s="122" t="str">
        <f ca="1">IF($C501="S",REFERENCIA.Descricao,"(digite a descrição aqui)")</f>
        <v>(abra o arquivo 'Referência 02-2025.xlsm)</v>
      </c>
      <c r="S501" s="123" t="str">
        <f ca="1">REFERENCIA.Unidade</f>
        <v>-</v>
      </c>
      <c r="T501" s="124">
        <f ca="1">OFFSET(CÁLCULO!H$15,ROW($T501)-ROW(T$15),0)</f>
        <v>1811</v>
      </c>
      <c r="U501" s="125">
        <f t="shared" ca="1" si="131"/>
        <v>0</v>
      </c>
      <c r="V501" s="126" t="s">
        <v>156</v>
      </c>
      <c r="W501" s="124">
        <f ca="1">IF($C501="S",ROUND(IF(TIPOORCAMENTO="Proposto",ORÇAMENTO.CustoUnitario*(1+$AH501),ORÇAMENTO.PrecoUnitarioLicitado),15-13*$AF$10),0)</f>
        <v>0</v>
      </c>
      <c r="X501" s="127">
        <f ca="1">IF($C501="S",IF(Import.TipoArredondamento&lt;&gt;"TransfereGOV",VTOTAL1,SUM(OFFSET(CÁLCULO!$AA$15,ROW($X501)-ROW($X$15),1):OFFSET(CÁLCULO!$AL$15,ROW($X501)-ROW($X$15),-1))),IF($C501=0,0,ROUND(SomaAgrup,15-13*$AF$11)))</f>
        <v>0</v>
      </c>
      <c r="Y501" s="128" t="s">
        <v>245</v>
      </c>
      <c r="Z501" t="str">
        <f t="shared" ca="1" si="67"/>
        <v/>
      </c>
      <c r="AA501" s="129">
        <f ca="1">IF($C501="S",IF($Z501="CP",$X501,IF($Z501="RA",(($X501)*QCI!$AA$3),0)),SomaAgrup)</f>
        <v>0</v>
      </c>
      <c r="AB501" s="130">
        <f t="shared" ca="1" si="68"/>
        <v>0</v>
      </c>
      <c r="AC501" s="131" t="str">
        <f ca="1">IF($N501="","",IF(ORÇAMENTO.Descricao="","DESCRIÇÃO",IF(AND($C501="S",ORÇAMENTO.Unidade=""),"UNIDADE",IF($X501&lt;0,"VALOR NEGATIVO",IF(OR(AND(TIPOORCAMENTO="Proposto",$AG501&lt;&gt;"",$AG501&gt;0,ORÇAMENTO.CustoUnitario&gt;$AG501),AND(TIPOORCAMENTO="LICITADO",ORÇAMENTO.PrecoUnitarioLicitado&gt;$AN501)),"ACIMA REF.","")))))</f>
        <v/>
      </c>
      <c r="AD501" t="str">
        <f ca="1">IF(C501&lt;=CRONO.NivelExibicao,MAX($AD$15:OFFSET(AD501,-1,0))+IF($C501&lt;&gt;1,1,MAX(1,COUNTIF(QCI!$A$13:$A$24,OFFSET($E501,-1,0)))),"")</f>
        <v/>
      </c>
      <c r="AE501" s="7" t="str">
        <f ca="1">IF(AND($C501="S",ORÇAMENTO.CodBarra&lt;&gt;""),IF(ORÇAMENTO.Fonte="",ORÇAMENTO.CodBarra,CONCATENATE(ORÇAMENTO.Fonte," ",ORÇAMENTO.CodBarra)))</f>
        <v>Composição FNDE 353</v>
      </c>
      <c r="AF501" s="13" t="str">
        <f ca="1">IF(ISERROR(INDIRECT(ORÇAMENTO.BancoRef)),"(abra o arquivo 'Referência "&amp;Excel_BuiltIn_Database&amp;".xlsm)",IF(OR($C501&lt;&gt;"S",ORÇAMENTO.CodBarra=""),"(Sem Código)",IF(ISERROR(MATCH($AE501,INDIRECT(ORÇAMENTO.BancoRef),0)),"(Código não identificado nas referências)",MATCH($AE501,INDIRECT(ORÇAMENTO.BancoRef),0))))</f>
        <v>(abra o arquivo 'Referência 02-2025.xlsm)</v>
      </c>
      <c r="AG501" s="498">
        <f ca="1">ROUND(IF(DESONERACAO="sim",REFERENCIA.Desonerado,REFERENCIA.NaoDesonerado),2)</f>
        <v>0</v>
      </c>
      <c r="AH501" s="499">
        <f t="shared" ca="1" si="69"/>
        <v>0.22470000000000001</v>
      </c>
      <c r="AJ501" s="501">
        <v>1811</v>
      </c>
      <c r="AL501" s="527"/>
      <c r="AM501" s="381">
        <f t="shared" ca="1" si="70"/>
        <v>0</v>
      </c>
      <c r="AN501" s="566">
        <f t="shared" ca="1" si="71"/>
        <v>0</v>
      </c>
    </row>
    <row r="502" spans="1:40" x14ac:dyDescent="0.2">
      <c r="A502" t="str">
        <f t="shared" si="56"/>
        <v>S</v>
      </c>
      <c r="B502">
        <f t="shared" ca="1" si="57"/>
        <v>3</v>
      </c>
      <c r="C502" t="str">
        <f t="shared" ca="1" si="58"/>
        <v>S</v>
      </c>
      <c r="D502">
        <f t="shared" ca="1" si="59"/>
        <v>0</v>
      </c>
      <c r="E502">
        <f ca="1">IF($C502=1,OFFSET(E502,-1,0)+MAX(1,COUNTIF(QCI!$A$13:$A$24,OFFSET(ORÇAMENTO!E502,-1,0))),OFFSET(E502,-1,0))</f>
        <v>1</v>
      </c>
      <c r="F502">
        <f t="shared" ca="1" si="60"/>
        <v>17</v>
      </c>
      <c r="G502">
        <f t="shared" ca="1" si="61"/>
        <v>3</v>
      </c>
      <c r="H502">
        <f t="shared" ca="1" si="62"/>
        <v>0</v>
      </c>
      <c r="I502">
        <f t="shared" ca="1" si="63"/>
        <v>0</v>
      </c>
      <c r="J502">
        <f t="shared" ca="1" si="130"/>
        <v>0</v>
      </c>
      <c r="K502">
        <f ca="1">IF(OR($C502="S",$C502=0),0,MATCH(OFFSET($D502,0,$C502)+IF($C502&lt;&gt;1,1,COUNTIF(QCI!$A$13:$A$24,ORÇAMENTO!E502)),OFFSET($D502,1,$C502,ROW($C$747)-ROW($C502)),0))</f>
        <v>0</v>
      </c>
      <c r="L502" s="116" t="str">
        <f t="shared" ca="1" si="64"/>
        <v/>
      </c>
      <c r="M502" s="117" t="s">
        <v>199</v>
      </c>
      <c r="N502" s="118" t="str">
        <f t="shared" ca="1" si="65"/>
        <v>Serviço</v>
      </c>
      <c r="O502" s="119" t="str">
        <f t="shared" ca="1" si="66"/>
        <v>-</v>
      </c>
      <c r="P502" s="120" t="s">
        <v>712</v>
      </c>
      <c r="Q502" s="121" t="s">
        <v>837</v>
      </c>
      <c r="R502" s="122" t="str">
        <f ca="1">IF($C502="S",REFERENCIA.Descricao,"(digite a descrição aqui)")</f>
        <v>(abra o arquivo 'Referência 02-2025.xlsm)</v>
      </c>
      <c r="S502" s="123" t="str">
        <f ca="1">REFERENCIA.Unidade</f>
        <v>-</v>
      </c>
      <c r="T502" s="124">
        <f ca="1">OFFSET(CÁLCULO!H$15,ROW($T502)-ROW(T$15),0)</f>
        <v>12</v>
      </c>
      <c r="U502" s="125">
        <f t="shared" ca="1" si="131"/>
        <v>0</v>
      </c>
      <c r="V502" s="126" t="s">
        <v>156</v>
      </c>
      <c r="W502" s="124">
        <f ca="1">IF($C502="S",ROUND(IF(TIPOORCAMENTO="Proposto",ORÇAMENTO.CustoUnitario*(1+$AH502),ORÇAMENTO.PrecoUnitarioLicitado),15-13*$AF$10),0)</f>
        <v>0</v>
      </c>
      <c r="X502" s="127">
        <f ca="1">IF($C502="S",IF(Import.TipoArredondamento&lt;&gt;"TransfereGOV",VTOTAL1,SUM(OFFSET(CÁLCULO!$AA$15,ROW($X502)-ROW($X$15),1):OFFSET(CÁLCULO!$AL$15,ROW($X502)-ROW($X$15),-1))),IF($C502=0,0,ROUND(SomaAgrup,15-13*$AF$11)))</f>
        <v>0</v>
      </c>
      <c r="Y502" s="128" t="s">
        <v>245</v>
      </c>
      <c r="Z502" t="str">
        <f t="shared" ca="1" si="67"/>
        <v/>
      </c>
      <c r="AA502" s="129">
        <f ca="1">IF($C502="S",IF($Z502="CP",$X502,IF($Z502="RA",(($X502)*QCI!$AA$3),0)),SomaAgrup)</f>
        <v>0</v>
      </c>
      <c r="AB502" s="130">
        <f t="shared" ca="1" si="68"/>
        <v>0</v>
      </c>
      <c r="AC502" s="131" t="str">
        <f ca="1">IF($N502="","",IF(ORÇAMENTO.Descricao="","DESCRIÇÃO",IF(AND($C502="S",ORÇAMENTO.Unidade=""),"UNIDADE",IF($X502&lt;0,"VALOR NEGATIVO",IF(OR(AND(TIPOORCAMENTO="Proposto",$AG502&lt;&gt;"",$AG502&gt;0,ORÇAMENTO.CustoUnitario&gt;$AG502),AND(TIPOORCAMENTO="LICITADO",ORÇAMENTO.PrecoUnitarioLicitado&gt;$AN502)),"ACIMA REF.","")))))</f>
        <v/>
      </c>
      <c r="AD502" t="str">
        <f ca="1">IF(C502&lt;=CRONO.NivelExibicao,MAX($AD$15:OFFSET(AD502,-1,0))+IF($C502&lt;&gt;1,1,MAX(1,COUNTIF(QCI!$A$13:$A$24,OFFSET($E502,-1,0)))),"")</f>
        <v/>
      </c>
      <c r="AE502" s="7" t="str">
        <f ca="1">IF(AND($C502="S",ORÇAMENTO.CodBarra&lt;&gt;""),IF(ORÇAMENTO.Fonte="",ORÇAMENTO.CodBarra,CONCATENATE(ORÇAMENTO.Fonte," ",ORÇAMENTO.CodBarra)))</f>
        <v>Composição FNDE 354</v>
      </c>
      <c r="AF502" s="13" t="str">
        <f ca="1">IF(ISERROR(INDIRECT(ORÇAMENTO.BancoRef)),"(abra o arquivo 'Referência "&amp;Excel_BuiltIn_Database&amp;".xlsm)",IF(OR($C502&lt;&gt;"S",ORÇAMENTO.CodBarra=""),"(Sem Código)",IF(ISERROR(MATCH($AE502,INDIRECT(ORÇAMENTO.BancoRef),0)),"(Código não identificado nas referências)",MATCH($AE502,INDIRECT(ORÇAMENTO.BancoRef),0))))</f>
        <v>(abra o arquivo 'Referência 02-2025.xlsm)</v>
      </c>
      <c r="AG502" s="498">
        <f ca="1">ROUND(IF(DESONERACAO="sim",REFERENCIA.Desonerado,REFERENCIA.NaoDesonerado),2)</f>
        <v>0</v>
      </c>
      <c r="AH502" s="499">
        <f t="shared" ca="1" si="69"/>
        <v>0.22470000000000001</v>
      </c>
      <c r="AJ502" s="501">
        <v>12</v>
      </c>
      <c r="AL502" s="527"/>
      <c r="AM502" s="381">
        <f t="shared" ca="1" si="70"/>
        <v>0</v>
      </c>
      <c r="AN502" s="566">
        <f t="shared" ca="1" si="71"/>
        <v>0</v>
      </c>
    </row>
    <row r="503" spans="1:40" ht="38.25" x14ac:dyDescent="0.2">
      <c r="A503" t="str">
        <f t="shared" si="56"/>
        <v>S</v>
      </c>
      <c r="B503">
        <f t="shared" ca="1" si="57"/>
        <v>3</v>
      </c>
      <c r="C503" t="str">
        <f t="shared" ca="1" si="58"/>
        <v>S</v>
      </c>
      <c r="D503">
        <f t="shared" ca="1" si="59"/>
        <v>0</v>
      </c>
      <c r="E503">
        <f ca="1">IF($C503=1,OFFSET(E503,-1,0)+MAX(1,COUNTIF(QCI!$A$13:$A$24,OFFSET(ORÇAMENTO!E503,-1,0))),OFFSET(E503,-1,0))</f>
        <v>1</v>
      </c>
      <c r="F503">
        <f t="shared" ca="1" si="60"/>
        <v>17</v>
      </c>
      <c r="G503">
        <f t="shared" ca="1" si="61"/>
        <v>3</v>
      </c>
      <c r="H503">
        <f t="shared" ca="1" si="62"/>
        <v>0</v>
      </c>
      <c r="I503">
        <f t="shared" ca="1" si="63"/>
        <v>0</v>
      </c>
      <c r="J503">
        <f t="shared" ca="1" si="130"/>
        <v>0</v>
      </c>
      <c r="K503">
        <f ca="1">IF(OR($C503="S",$C503=0),0,MATCH(OFFSET($D503,0,$C503)+IF($C503&lt;&gt;1,1,COUNTIF(QCI!$A$13:$A$24,ORÇAMENTO!E503)),OFFSET($D503,1,$C503,ROW($C$747)-ROW($C503)),0))</f>
        <v>0</v>
      </c>
      <c r="L503" s="116" t="str">
        <f t="shared" ca="1" si="64"/>
        <v/>
      </c>
      <c r="M503" s="117" t="s">
        <v>199</v>
      </c>
      <c r="N503" s="118" t="str">
        <f t="shared" ca="1" si="65"/>
        <v>Serviço</v>
      </c>
      <c r="O503" s="119" t="str">
        <f t="shared" ca="1" si="66"/>
        <v>-</v>
      </c>
      <c r="P503" s="120" t="s">
        <v>712</v>
      </c>
      <c r="Q503" s="121" t="s">
        <v>839</v>
      </c>
      <c r="R503" s="122" t="str">
        <f ca="1">IF($C503="S",REFERENCIA.Descricao,"(digite a descrição aqui)")</f>
        <v>(abra o arquivo 'Referência 02-2025.xlsm)</v>
      </c>
      <c r="S503" s="123" t="str">
        <f ca="1">REFERENCIA.Unidade</f>
        <v>-</v>
      </c>
      <c r="T503" s="124">
        <f ca="1">OFFSET(CÁLCULO!H$15,ROW($T503)-ROW(T$15),0)</f>
        <v>1132</v>
      </c>
      <c r="U503" s="125">
        <f t="shared" ca="1" si="131"/>
        <v>0</v>
      </c>
      <c r="V503" s="126" t="s">
        <v>156</v>
      </c>
      <c r="W503" s="124">
        <f ca="1">IF($C503="S",ROUND(IF(TIPOORCAMENTO="Proposto",ORÇAMENTO.CustoUnitario*(1+$AH503),ORÇAMENTO.PrecoUnitarioLicitado),15-13*$AF$10),0)</f>
        <v>0</v>
      </c>
      <c r="X503" s="127">
        <f ca="1">IF($C503="S",IF(Import.TipoArredondamento&lt;&gt;"TransfereGOV",VTOTAL1,SUM(OFFSET(CÁLCULO!$AA$15,ROW($X503)-ROW($X$15),1):OFFSET(CÁLCULO!$AL$15,ROW($X503)-ROW($X$15),-1))),IF($C503=0,0,ROUND(SomaAgrup,15-13*$AF$11)))</f>
        <v>0</v>
      </c>
      <c r="Y503" s="128" t="s">
        <v>245</v>
      </c>
      <c r="Z503" t="str">
        <f t="shared" ca="1" si="67"/>
        <v/>
      </c>
      <c r="AA503" s="129">
        <f ca="1">IF($C503="S",IF($Z503="CP",$X503,IF($Z503="RA",(($X503)*QCI!$AA$3),0)),SomaAgrup)</f>
        <v>0</v>
      </c>
      <c r="AB503" s="130">
        <f t="shared" ca="1" si="68"/>
        <v>0</v>
      </c>
      <c r="AC503" s="131" t="str">
        <f ca="1">IF($N503="","",IF(ORÇAMENTO.Descricao="","DESCRIÇÃO",IF(AND($C503="S",ORÇAMENTO.Unidade=""),"UNIDADE",IF($X503&lt;0,"VALOR NEGATIVO",IF(OR(AND(TIPOORCAMENTO="Proposto",$AG503&lt;&gt;"",$AG503&gt;0,ORÇAMENTO.CustoUnitario&gt;$AG503),AND(TIPOORCAMENTO="LICITADO",ORÇAMENTO.PrecoUnitarioLicitado&gt;$AN503)),"ACIMA REF.","")))))</f>
        <v/>
      </c>
      <c r="AD503" t="str">
        <f ca="1">IF(C503&lt;=CRONO.NivelExibicao,MAX($AD$15:OFFSET(AD503,-1,0))+IF($C503&lt;&gt;1,1,MAX(1,COUNTIF(QCI!$A$13:$A$24,OFFSET($E503,-1,0)))),"")</f>
        <v/>
      </c>
      <c r="AE503" s="7" t="str">
        <f ca="1">IF(AND($C503="S",ORÇAMENTO.CodBarra&lt;&gt;""),IF(ORÇAMENTO.Fonte="",ORÇAMENTO.CodBarra,CONCATENATE(ORÇAMENTO.Fonte," ",ORÇAMENTO.CodBarra)))</f>
        <v xml:space="preserve">Composição FNDE 355 </v>
      </c>
      <c r="AF503" s="13" t="str">
        <f ca="1">IF(ISERROR(INDIRECT(ORÇAMENTO.BancoRef)),"(abra o arquivo 'Referência "&amp;Excel_BuiltIn_Database&amp;".xlsm)",IF(OR($C503&lt;&gt;"S",ORÇAMENTO.CodBarra=""),"(Sem Código)",IF(ISERROR(MATCH($AE503,INDIRECT(ORÇAMENTO.BancoRef),0)),"(Código não identificado nas referências)",MATCH($AE503,INDIRECT(ORÇAMENTO.BancoRef),0))))</f>
        <v>(abra o arquivo 'Referência 02-2025.xlsm)</v>
      </c>
      <c r="AG503" s="498">
        <f ca="1">ROUND(IF(DESONERACAO="sim",REFERENCIA.Desonerado,REFERENCIA.NaoDesonerado),2)</f>
        <v>0</v>
      </c>
      <c r="AH503" s="499">
        <f t="shared" ca="1" si="69"/>
        <v>0.22470000000000001</v>
      </c>
      <c r="AJ503" s="501">
        <v>1132</v>
      </c>
      <c r="AL503" s="527"/>
      <c r="AM503" s="381">
        <f t="shared" ca="1" si="70"/>
        <v>0</v>
      </c>
      <c r="AN503" s="566">
        <f t="shared" ca="1" si="71"/>
        <v>0</v>
      </c>
    </row>
    <row r="504" spans="1:40" x14ac:dyDescent="0.2">
      <c r="A504" t="str">
        <f t="shared" si="56"/>
        <v>S</v>
      </c>
      <c r="B504">
        <f t="shared" ca="1" si="57"/>
        <v>3</v>
      </c>
      <c r="C504" t="str">
        <f t="shared" ca="1" si="58"/>
        <v>S</v>
      </c>
      <c r="D504">
        <f t="shared" ca="1" si="59"/>
        <v>0</v>
      </c>
      <c r="E504">
        <f ca="1">IF($C504=1,OFFSET(E504,-1,0)+MAX(1,COUNTIF(QCI!$A$13:$A$24,OFFSET(ORÇAMENTO!E504,-1,0))),OFFSET(E504,-1,0))</f>
        <v>1</v>
      </c>
      <c r="F504">
        <f t="shared" ca="1" si="60"/>
        <v>17</v>
      </c>
      <c r="G504">
        <f t="shared" ca="1" si="61"/>
        <v>3</v>
      </c>
      <c r="H504">
        <f t="shared" ca="1" si="62"/>
        <v>0</v>
      </c>
      <c r="I504">
        <f t="shared" ca="1" si="63"/>
        <v>0</v>
      </c>
      <c r="J504">
        <f t="shared" ca="1" si="130"/>
        <v>0</v>
      </c>
      <c r="K504">
        <f ca="1">IF(OR($C504="S",$C504=0),0,MATCH(OFFSET($D504,0,$C504)+IF($C504&lt;&gt;1,1,COUNTIF(QCI!$A$13:$A$24,ORÇAMENTO!E504)),OFFSET($D504,1,$C504,ROW($C$747)-ROW($C504)),0))</f>
        <v>0</v>
      </c>
      <c r="L504" s="116" t="str">
        <f t="shared" ca="1" si="64"/>
        <v/>
      </c>
      <c r="M504" s="117" t="s">
        <v>199</v>
      </c>
      <c r="N504" s="118" t="str">
        <f t="shared" ca="1" si="65"/>
        <v>Serviço</v>
      </c>
      <c r="O504" s="119" t="str">
        <f t="shared" ca="1" si="66"/>
        <v>-</v>
      </c>
      <c r="P504" s="120" t="s">
        <v>712</v>
      </c>
      <c r="Q504" s="121" t="s">
        <v>838</v>
      </c>
      <c r="R504" s="122" t="str">
        <f ca="1">IF($C504="S",REFERENCIA.Descricao,"(digite a descrição aqui)")</f>
        <v>(abra o arquivo 'Referência 02-2025.xlsm)</v>
      </c>
      <c r="S504" s="123" t="str">
        <f ca="1">REFERENCIA.Unidade</f>
        <v>-</v>
      </c>
      <c r="T504" s="124">
        <f ca="1">OFFSET(CÁLCULO!H$15,ROW($T504)-ROW(T$15),0)</f>
        <v>1518</v>
      </c>
      <c r="U504" s="125">
        <f t="shared" ca="1" si="131"/>
        <v>0</v>
      </c>
      <c r="V504" s="126" t="s">
        <v>156</v>
      </c>
      <c r="W504" s="124">
        <f ca="1">IF($C504="S",ROUND(IF(TIPOORCAMENTO="Proposto",ORÇAMENTO.CustoUnitario*(1+$AH504),ORÇAMENTO.PrecoUnitarioLicitado),15-13*$AF$10),0)</f>
        <v>0</v>
      </c>
      <c r="X504" s="127">
        <f ca="1">IF($C504="S",IF(Import.TipoArredondamento&lt;&gt;"TransfereGOV",VTOTAL1,SUM(OFFSET(CÁLCULO!$AA$15,ROW($X504)-ROW($X$15),1):OFFSET(CÁLCULO!$AL$15,ROW($X504)-ROW($X$15),-1))),IF($C504=0,0,ROUND(SomaAgrup,15-13*$AF$11)))</f>
        <v>0</v>
      </c>
      <c r="Y504" s="128" t="s">
        <v>245</v>
      </c>
      <c r="Z504" t="str">
        <f t="shared" ca="1" si="67"/>
        <v/>
      </c>
      <c r="AA504" s="129">
        <f ca="1">IF($C504="S",IF($Z504="CP",$X504,IF($Z504="RA",(($X504)*QCI!$AA$3),0)),SomaAgrup)</f>
        <v>0</v>
      </c>
      <c r="AB504" s="130">
        <f t="shared" ca="1" si="68"/>
        <v>0</v>
      </c>
      <c r="AC504" s="131" t="str">
        <f ca="1">IF($N504="","",IF(ORÇAMENTO.Descricao="","DESCRIÇÃO",IF(AND($C504="S",ORÇAMENTO.Unidade=""),"UNIDADE",IF($X504&lt;0,"VALOR NEGATIVO",IF(OR(AND(TIPOORCAMENTO="Proposto",$AG504&lt;&gt;"",$AG504&gt;0,ORÇAMENTO.CustoUnitario&gt;$AG504),AND(TIPOORCAMENTO="LICITADO",ORÇAMENTO.PrecoUnitarioLicitado&gt;$AN504)),"ACIMA REF.","")))))</f>
        <v/>
      </c>
      <c r="AD504" t="str">
        <f ca="1">IF(C504&lt;=CRONO.NivelExibicao,MAX($AD$15:OFFSET(AD504,-1,0))+IF($C504&lt;&gt;1,1,MAX(1,COUNTIF(QCI!$A$13:$A$24,OFFSET($E504,-1,0)))),"")</f>
        <v/>
      </c>
      <c r="AE504" s="7" t="str">
        <f ca="1">IF(AND($C504="S",ORÇAMENTO.CodBarra&lt;&gt;""),IF(ORÇAMENTO.Fonte="",ORÇAMENTO.CodBarra,CONCATENATE(ORÇAMENTO.Fonte," ",ORÇAMENTO.CodBarra)))</f>
        <v>Composição FNDE 356</v>
      </c>
      <c r="AF504" s="13" t="str">
        <f ca="1">IF(ISERROR(INDIRECT(ORÇAMENTO.BancoRef)),"(abra o arquivo 'Referência "&amp;Excel_BuiltIn_Database&amp;".xlsm)",IF(OR($C504&lt;&gt;"S",ORÇAMENTO.CodBarra=""),"(Sem Código)",IF(ISERROR(MATCH($AE504,INDIRECT(ORÇAMENTO.BancoRef),0)),"(Código não identificado nas referências)",MATCH($AE504,INDIRECT(ORÇAMENTO.BancoRef),0))))</f>
        <v>(abra o arquivo 'Referência 02-2025.xlsm)</v>
      </c>
      <c r="AG504" s="498">
        <f ca="1">ROUND(IF(DESONERACAO="sim",REFERENCIA.Desonerado,REFERENCIA.NaoDesonerado),2)</f>
        <v>0</v>
      </c>
      <c r="AH504" s="499">
        <f t="shared" ca="1" si="69"/>
        <v>0.22470000000000001</v>
      </c>
      <c r="AJ504" s="501">
        <v>1518</v>
      </c>
      <c r="AL504" s="527"/>
      <c r="AM504" s="381">
        <f t="shared" ca="1" si="70"/>
        <v>0</v>
      </c>
      <c r="AN504" s="566">
        <f t="shared" ca="1" si="71"/>
        <v>0</v>
      </c>
    </row>
    <row r="505" spans="1:40" ht="38.25" x14ac:dyDescent="0.2">
      <c r="A505" t="str">
        <f t="shared" si="56"/>
        <v>S</v>
      </c>
      <c r="B505">
        <f t="shared" ca="1" si="57"/>
        <v>3</v>
      </c>
      <c r="C505" t="str">
        <f t="shared" ca="1" si="58"/>
        <v>S</v>
      </c>
      <c r="D505">
        <f t="shared" ca="1" si="59"/>
        <v>0</v>
      </c>
      <c r="E505">
        <f ca="1">IF($C505=1,OFFSET(E505,-1,0)+MAX(1,COUNTIF(QCI!$A$13:$A$24,OFFSET(ORÇAMENTO!E505,-1,0))),OFFSET(E505,-1,0))</f>
        <v>1</v>
      </c>
      <c r="F505">
        <f t="shared" ca="1" si="60"/>
        <v>17</v>
      </c>
      <c r="G505">
        <f t="shared" ca="1" si="61"/>
        <v>3</v>
      </c>
      <c r="H505">
        <f t="shared" ca="1" si="62"/>
        <v>0</v>
      </c>
      <c r="I505">
        <f t="shared" ca="1" si="63"/>
        <v>0</v>
      </c>
      <c r="J505">
        <f t="shared" ca="1" si="130"/>
        <v>0</v>
      </c>
      <c r="K505">
        <f ca="1">IF(OR($C505="S",$C505=0),0,MATCH(OFFSET($D505,0,$C505)+IF($C505&lt;&gt;1,1,COUNTIF(QCI!$A$13:$A$24,ORÇAMENTO!E505)),OFFSET($D505,1,$C505,ROW($C$747)-ROW($C505)),0))</f>
        <v>0</v>
      </c>
      <c r="L505" s="116" t="str">
        <f t="shared" ca="1" si="64"/>
        <v/>
      </c>
      <c r="M505" s="117" t="s">
        <v>199</v>
      </c>
      <c r="N505" s="118" t="str">
        <f t="shared" ca="1" si="65"/>
        <v>Serviço</v>
      </c>
      <c r="O505" s="119" t="str">
        <f t="shared" ca="1" si="66"/>
        <v>-</v>
      </c>
      <c r="P505" s="120" t="s">
        <v>247</v>
      </c>
      <c r="Q505" s="121" t="s">
        <v>649</v>
      </c>
      <c r="R505" s="122" t="str">
        <f ca="1">IF($C505="S",REFERENCIA.Descricao,"(digite a descrição aqui)")</f>
        <v>(abra o arquivo 'Referência 02-2025.xlsm)</v>
      </c>
      <c r="S505" s="123" t="str">
        <f ca="1">REFERENCIA.Unidade</f>
        <v>-</v>
      </c>
      <c r="T505" s="124">
        <f ca="1">OFFSET(CÁLCULO!H$15,ROW($T505)-ROW(T$15),0)</f>
        <v>199</v>
      </c>
      <c r="U505" s="125">
        <f t="shared" ca="1" si="131"/>
        <v>0</v>
      </c>
      <c r="V505" s="126" t="s">
        <v>156</v>
      </c>
      <c r="W505" s="124">
        <f ca="1">IF($C505="S",ROUND(IF(TIPOORCAMENTO="Proposto",ORÇAMENTO.CustoUnitario*(1+$AH505),ORÇAMENTO.PrecoUnitarioLicitado),15-13*$AF$10),0)</f>
        <v>0</v>
      </c>
      <c r="X505" s="127">
        <f ca="1">IF($C505="S",IF(Import.TipoArredondamento&lt;&gt;"TransfereGOV",VTOTAL1,SUM(OFFSET(CÁLCULO!$AA$15,ROW($X505)-ROW($X$15),1):OFFSET(CÁLCULO!$AL$15,ROW($X505)-ROW($X$15),-1))),IF($C505=0,0,ROUND(SomaAgrup,15-13*$AF$11)))</f>
        <v>0</v>
      </c>
      <c r="Y505" s="128" t="s">
        <v>245</v>
      </c>
      <c r="Z505" t="str">
        <f t="shared" ca="1" si="67"/>
        <v/>
      </c>
      <c r="AA505" s="129">
        <f ca="1">IF($C505="S",IF($Z505="CP",$X505,IF($Z505="RA",(($X505)*QCI!$AA$3),0)),SomaAgrup)</f>
        <v>0</v>
      </c>
      <c r="AB505" s="130">
        <f t="shared" ca="1" si="68"/>
        <v>0</v>
      </c>
      <c r="AC505" s="131" t="str">
        <f ca="1">IF($N505="","",IF(ORÇAMENTO.Descricao="","DESCRIÇÃO",IF(AND($C505="S",ORÇAMENTO.Unidade=""),"UNIDADE",IF($X505&lt;0,"VALOR NEGATIVO",IF(OR(AND(TIPOORCAMENTO="Proposto",$AG505&lt;&gt;"",$AG505&gt;0,ORÇAMENTO.CustoUnitario&gt;$AG505),AND(TIPOORCAMENTO="LICITADO",ORÇAMENTO.PrecoUnitarioLicitado&gt;$AN505)),"ACIMA REF.","")))))</f>
        <v/>
      </c>
      <c r="AD505" t="str">
        <f ca="1">IF(C505&lt;=CRONO.NivelExibicao,MAX($AD$15:OFFSET(AD505,-1,0))+IF($C505&lt;&gt;1,1,MAX(1,COUNTIF(QCI!$A$13:$A$24,OFFSET($E505,-1,0)))),"")</f>
        <v/>
      </c>
      <c r="AE505" s="7" t="str">
        <f ca="1">IF(AND($C505="S",ORÇAMENTO.CodBarra&lt;&gt;""),IF(ORÇAMENTO.Fonte="",ORÇAMENTO.CodBarra,CONCATENATE(ORÇAMENTO.Fonte," ",ORÇAMENTO.CodBarra)))</f>
        <v>SINAPI 90460</v>
      </c>
      <c r="AF505" s="13" t="str">
        <f ca="1">IF(ISERROR(INDIRECT(ORÇAMENTO.BancoRef)),"(abra o arquivo 'Referência "&amp;Excel_BuiltIn_Database&amp;".xlsm)",IF(OR($C505&lt;&gt;"S",ORÇAMENTO.CodBarra=""),"(Sem Código)",IF(ISERROR(MATCH($AE505,INDIRECT(ORÇAMENTO.BancoRef),0)),"(Código não identificado nas referências)",MATCH($AE505,INDIRECT(ORÇAMENTO.BancoRef),0))))</f>
        <v>(abra o arquivo 'Referência 02-2025.xlsm)</v>
      </c>
      <c r="AG505" s="498">
        <f ca="1">ROUND(IF(DESONERACAO="sim",REFERENCIA.Desonerado,REFERENCIA.NaoDesonerado),2)</f>
        <v>0</v>
      </c>
      <c r="AH505" s="499">
        <f t="shared" ca="1" si="69"/>
        <v>0.22470000000000001</v>
      </c>
      <c r="AJ505" s="501">
        <v>199</v>
      </c>
      <c r="AL505" s="527"/>
      <c r="AM505" s="381">
        <f t="shared" ca="1" si="70"/>
        <v>0</v>
      </c>
      <c r="AN505" s="566">
        <f t="shared" ca="1" si="71"/>
        <v>0</v>
      </c>
    </row>
    <row r="506" spans="1:40" x14ac:dyDescent="0.2">
      <c r="A506" t="str">
        <f t="shared" si="56"/>
        <v>S</v>
      </c>
      <c r="B506">
        <f t="shared" ca="1" si="57"/>
        <v>3</v>
      </c>
      <c r="C506" t="str">
        <f t="shared" ca="1" si="58"/>
        <v>S</v>
      </c>
      <c r="D506">
        <f t="shared" ca="1" si="59"/>
        <v>0</v>
      </c>
      <c r="E506">
        <f ca="1">IF($C506=1,OFFSET(E506,-1,0)+MAX(1,COUNTIF(QCI!$A$13:$A$24,OFFSET(ORÇAMENTO!E506,-1,0))),OFFSET(E506,-1,0))</f>
        <v>1</v>
      </c>
      <c r="F506">
        <f t="shared" ca="1" si="60"/>
        <v>17</v>
      </c>
      <c r="G506">
        <f t="shared" ca="1" si="61"/>
        <v>3</v>
      </c>
      <c r="H506">
        <f t="shared" ca="1" si="62"/>
        <v>0</v>
      </c>
      <c r="I506">
        <f t="shared" ca="1" si="63"/>
        <v>0</v>
      </c>
      <c r="J506">
        <f t="shared" ca="1" si="130"/>
        <v>0</v>
      </c>
      <c r="K506">
        <f ca="1">IF(OR($C506="S",$C506=0),0,MATCH(OFFSET($D506,0,$C506)+IF($C506&lt;&gt;1,1,COUNTIF(QCI!$A$13:$A$24,ORÇAMENTO!E506)),OFFSET($D506,1,$C506,ROW($C$747)-ROW($C506)),0))</f>
        <v>0</v>
      </c>
      <c r="L506" s="116" t="str">
        <f t="shared" ca="1" si="64"/>
        <v/>
      </c>
      <c r="M506" s="117" t="s">
        <v>199</v>
      </c>
      <c r="N506" s="118" t="str">
        <f t="shared" ca="1" si="65"/>
        <v>Serviço</v>
      </c>
      <c r="O506" s="119" t="str">
        <f t="shared" ca="1" si="66"/>
        <v>-</v>
      </c>
      <c r="P506" s="120" t="s">
        <v>712</v>
      </c>
      <c r="Q506" s="121" t="s">
        <v>840</v>
      </c>
      <c r="R506" s="122" t="str">
        <f ca="1">IF($C506="S",REFERENCIA.Descricao,"(digite a descrição aqui)")</f>
        <v>(abra o arquivo 'Referência 02-2025.xlsm)</v>
      </c>
      <c r="S506" s="123" t="str">
        <f ca="1">REFERENCIA.Unidade</f>
        <v>-</v>
      </c>
      <c r="T506" s="124">
        <f ca="1">OFFSET(CÁLCULO!H$15,ROW($T506)-ROW(T$15),0)</f>
        <v>252</v>
      </c>
      <c r="U506" s="125">
        <f t="shared" ca="1" si="131"/>
        <v>0</v>
      </c>
      <c r="V506" s="126" t="s">
        <v>156</v>
      </c>
      <c r="W506" s="124">
        <f ca="1">IF($C506="S",ROUND(IF(TIPOORCAMENTO="Proposto",ORÇAMENTO.CustoUnitario*(1+$AH506),ORÇAMENTO.PrecoUnitarioLicitado),15-13*$AF$10),0)</f>
        <v>0</v>
      </c>
      <c r="X506" s="127">
        <f ca="1">IF($C506="S",IF(Import.TipoArredondamento&lt;&gt;"TransfereGOV",VTOTAL1,SUM(OFFSET(CÁLCULO!$AA$15,ROW($X506)-ROW($X$15),1):OFFSET(CÁLCULO!$AL$15,ROW($X506)-ROW($X$15),-1))),IF($C506=0,0,ROUND(SomaAgrup,15-13*$AF$11)))</f>
        <v>0</v>
      </c>
      <c r="Y506" s="128" t="s">
        <v>245</v>
      </c>
      <c r="Z506" t="str">
        <f t="shared" ca="1" si="67"/>
        <v/>
      </c>
      <c r="AA506" s="129">
        <f ca="1">IF($C506="S",IF($Z506="CP",$X506,IF($Z506="RA",(($X506)*QCI!$AA$3),0)),SomaAgrup)</f>
        <v>0</v>
      </c>
      <c r="AB506" s="130">
        <f t="shared" ca="1" si="68"/>
        <v>0</v>
      </c>
      <c r="AC506" s="131" t="str">
        <f ca="1">IF($N506="","",IF(ORÇAMENTO.Descricao="","DESCRIÇÃO",IF(AND($C506="S",ORÇAMENTO.Unidade=""),"UNIDADE",IF($X506&lt;0,"VALOR NEGATIVO",IF(OR(AND(TIPOORCAMENTO="Proposto",$AG506&lt;&gt;"",$AG506&gt;0,ORÇAMENTO.CustoUnitario&gt;$AG506),AND(TIPOORCAMENTO="LICITADO",ORÇAMENTO.PrecoUnitarioLicitado&gt;$AN506)),"ACIMA REF.","")))))</f>
        <v/>
      </c>
      <c r="AD506" t="str">
        <f ca="1">IF(C506&lt;=CRONO.NivelExibicao,MAX($AD$15:OFFSET(AD506,-1,0))+IF($C506&lt;&gt;1,1,MAX(1,COUNTIF(QCI!$A$13:$A$24,OFFSET($E506,-1,0)))),"")</f>
        <v/>
      </c>
      <c r="AE506" s="7" t="str">
        <f ca="1">IF(AND($C506="S",ORÇAMENTO.CodBarra&lt;&gt;""),IF(ORÇAMENTO.Fonte="",ORÇAMENTO.CodBarra,CONCATENATE(ORÇAMENTO.Fonte," ",ORÇAMENTO.CodBarra)))</f>
        <v xml:space="preserve">Composição FNDE 357 </v>
      </c>
      <c r="AF506" s="13" t="str">
        <f ca="1">IF(ISERROR(INDIRECT(ORÇAMENTO.BancoRef)),"(abra o arquivo 'Referência "&amp;Excel_BuiltIn_Database&amp;".xlsm)",IF(OR($C506&lt;&gt;"S",ORÇAMENTO.CodBarra=""),"(Sem Código)",IF(ISERROR(MATCH($AE506,INDIRECT(ORÇAMENTO.BancoRef),0)),"(Código não identificado nas referências)",MATCH($AE506,INDIRECT(ORÇAMENTO.BancoRef),0))))</f>
        <v>(abra o arquivo 'Referência 02-2025.xlsm)</v>
      </c>
      <c r="AG506" s="498">
        <f ca="1">ROUND(IF(DESONERACAO="sim",REFERENCIA.Desonerado,REFERENCIA.NaoDesonerado),2)</f>
        <v>0</v>
      </c>
      <c r="AH506" s="499">
        <f t="shared" ca="1" si="69"/>
        <v>0.22470000000000001</v>
      </c>
      <c r="AJ506" s="501">
        <v>252</v>
      </c>
      <c r="AL506" s="527"/>
      <c r="AM506" s="381">
        <f t="shared" ca="1" si="70"/>
        <v>0</v>
      </c>
      <c r="AN506" s="566">
        <f t="shared" ca="1" si="71"/>
        <v>0</v>
      </c>
    </row>
    <row r="507" spans="1:40" ht="25.5" x14ac:dyDescent="0.2">
      <c r="A507" t="str">
        <f t="shared" si="56"/>
        <v>S</v>
      </c>
      <c r="B507">
        <f t="shared" ca="1" si="57"/>
        <v>3</v>
      </c>
      <c r="C507" t="str">
        <f t="shared" ca="1" si="58"/>
        <v>S</v>
      </c>
      <c r="D507">
        <f t="shared" ca="1" si="59"/>
        <v>0</v>
      </c>
      <c r="E507">
        <f ca="1">IF($C507=1,OFFSET(E507,-1,0)+MAX(1,COUNTIF(QCI!$A$13:$A$24,OFFSET(ORÇAMENTO!E507,-1,0))),OFFSET(E507,-1,0))</f>
        <v>1</v>
      </c>
      <c r="F507">
        <f t="shared" ca="1" si="60"/>
        <v>17</v>
      </c>
      <c r="G507">
        <f t="shared" ca="1" si="61"/>
        <v>3</v>
      </c>
      <c r="H507">
        <f t="shared" ca="1" si="62"/>
        <v>0</v>
      </c>
      <c r="I507">
        <f t="shared" ca="1" si="63"/>
        <v>0</v>
      </c>
      <c r="J507">
        <f t="shared" ca="1" si="130"/>
        <v>0</v>
      </c>
      <c r="K507">
        <f ca="1">IF(OR($C507="S",$C507=0),0,MATCH(OFFSET($D507,0,$C507)+IF($C507&lt;&gt;1,1,COUNTIF(QCI!$A$13:$A$24,ORÇAMENTO!E507)),OFFSET($D507,1,$C507,ROW($C$747)-ROW($C507)),0))</f>
        <v>0</v>
      </c>
      <c r="L507" s="116" t="str">
        <f t="shared" ca="1" si="64"/>
        <v/>
      </c>
      <c r="M507" s="117" t="s">
        <v>199</v>
      </c>
      <c r="N507" s="118" t="str">
        <f t="shared" ca="1" si="65"/>
        <v>Serviço</v>
      </c>
      <c r="O507" s="119" t="str">
        <f t="shared" ca="1" si="66"/>
        <v>-</v>
      </c>
      <c r="P507" s="120" t="s">
        <v>247</v>
      </c>
      <c r="Q507" s="121" t="s">
        <v>650</v>
      </c>
      <c r="R507" s="122" t="str">
        <f ca="1">IF($C507="S",REFERENCIA.Descricao,"(digite a descrição aqui)")</f>
        <v>(abra o arquivo 'Referência 02-2025.xlsm)</v>
      </c>
      <c r="S507" s="123" t="str">
        <f ca="1">REFERENCIA.Unidade</f>
        <v>-</v>
      </c>
      <c r="T507" s="124">
        <f ca="1">OFFSET(CÁLCULO!H$15,ROW($T507)-ROW(T$15),0)</f>
        <v>1</v>
      </c>
      <c r="U507" s="125">
        <f t="shared" ca="1" si="131"/>
        <v>0</v>
      </c>
      <c r="V507" s="126" t="s">
        <v>156</v>
      </c>
      <c r="W507" s="124">
        <f ca="1">IF($C507="S",ROUND(IF(TIPOORCAMENTO="Proposto",ORÇAMENTO.CustoUnitario*(1+$AH507),ORÇAMENTO.PrecoUnitarioLicitado),15-13*$AF$10),0)</f>
        <v>0</v>
      </c>
      <c r="X507" s="127">
        <f ca="1">IF($C507="S",IF(Import.TipoArredondamento&lt;&gt;"TransfereGOV",VTOTAL1,SUM(OFFSET(CÁLCULO!$AA$15,ROW($X507)-ROW($X$15),1):OFFSET(CÁLCULO!$AL$15,ROW($X507)-ROW($X$15),-1))),IF($C507=0,0,ROUND(SomaAgrup,15-13*$AF$11)))</f>
        <v>0</v>
      </c>
      <c r="Y507" s="128" t="s">
        <v>245</v>
      </c>
      <c r="Z507" t="str">
        <f t="shared" ca="1" si="67"/>
        <v/>
      </c>
      <c r="AA507" s="129">
        <f ca="1">IF($C507="S",IF($Z507="CP",$X507,IF($Z507="RA",(($X507)*QCI!$AA$3),0)),SomaAgrup)</f>
        <v>0</v>
      </c>
      <c r="AB507" s="130">
        <f t="shared" ca="1" si="68"/>
        <v>0</v>
      </c>
      <c r="AC507" s="131" t="str">
        <f ca="1">IF($N507="","",IF(ORÇAMENTO.Descricao="","DESCRIÇÃO",IF(AND($C507="S",ORÇAMENTO.Unidade=""),"UNIDADE",IF($X507&lt;0,"VALOR NEGATIVO",IF(OR(AND(TIPOORCAMENTO="Proposto",$AG507&lt;&gt;"",$AG507&gt;0,ORÇAMENTO.CustoUnitario&gt;$AG507),AND(TIPOORCAMENTO="LICITADO",ORÇAMENTO.PrecoUnitarioLicitado&gt;$AN507)),"ACIMA REF.","")))))</f>
        <v/>
      </c>
      <c r="AD507" t="str">
        <f ca="1">IF(C507&lt;=CRONO.NivelExibicao,MAX($AD$15:OFFSET(AD507,-1,0))+IF($C507&lt;&gt;1,1,MAX(1,COUNTIF(QCI!$A$13:$A$24,OFFSET($E507,-1,0)))),"")</f>
        <v/>
      </c>
      <c r="AE507" s="7" t="str">
        <f ca="1">IF(AND($C507="S",ORÇAMENTO.CodBarra&lt;&gt;""),IF(ORÇAMENTO.Fonte="",ORÇAMENTO.CodBarra,CONCATENATE(ORÇAMENTO.Fonte," ",ORÇAMENTO.CodBarra)))</f>
        <v>SINAPI 101553</v>
      </c>
      <c r="AF507" s="13" t="str">
        <f ca="1">IF(ISERROR(INDIRECT(ORÇAMENTO.BancoRef)),"(abra o arquivo 'Referência "&amp;Excel_BuiltIn_Database&amp;".xlsm)",IF(OR($C507&lt;&gt;"S",ORÇAMENTO.CodBarra=""),"(Sem Código)",IF(ISERROR(MATCH($AE507,INDIRECT(ORÇAMENTO.BancoRef),0)),"(Código não identificado nas referências)",MATCH($AE507,INDIRECT(ORÇAMENTO.BancoRef),0))))</f>
        <v>(abra o arquivo 'Referência 02-2025.xlsm)</v>
      </c>
      <c r="AG507" s="498">
        <f ca="1">ROUND(IF(DESONERACAO="sim",REFERENCIA.Desonerado,REFERENCIA.NaoDesonerado),2)</f>
        <v>0</v>
      </c>
      <c r="AH507" s="499">
        <f t="shared" ca="1" si="69"/>
        <v>0.22470000000000001</v>
      </c>
      <c r="AJ507" s="501">
        <v>1</v>
      </c>
      <c r="AL507" s="527"/>
      <c r="AM507" s="381">
        <f t="shared" ca="1" si="70"/>
        <v>0</v>
      </c>
      <c r="AN507" s="566">
        <f t="shared" ca="1" si="71"/>
        <v>0</v>
      </c>
    </row>
    <row r="508" spans="1:40" ht="25.5" x14ac:dyDescent="0.2">
      <c r="A508" t="str">
        <f t="shared" si="56"/>
        <v>S</v>
      </c>
      <c r="B508">
        <f t="shared" ca="1" si="57"/>
        <v>3</v>
      </c>
      <c r="C508" t="str">
        <f t="shared" ca="1" si="58"/>
        <v>S</v>
      </c>
      <c r="D508">
        <f t="shared" ca="1" si="59"/>
        <v>0</v>
      </c>
      <c r="E508">
        <f ca="1">IF($C508=1,OFFSET(E508,-1,0)+MAX(1,COUNTIF(QCI!$A$13:$A$24,OFFSET(ORÇAMENTO!E508,-1,0))),OFFSET(E508,-1,0))</f>
        <v>1</v>
      </c>
      <c r="F508">
        <f t="shared" ca="1" si="60"/>
        <v>17</v>
      </c>
      <c r="G508">
        <f t="shared" ca="1" si="61"/>
        <v>3</v>
      </c>
      <c r="H508">
        <f t="shared" ca="1" si="62"/>
        <v>0</v>
      </c>
      <c r="I508">
        <f t="shared" ca="1" si="63"/>
        <v>0</v>
      </c>
      <c r="J508">
        <f t="shared" ca="1" si="130"/>
        <v>0</v>
      </c>
      <c r="K508">
        <f ca="1">IF(OR($C508="S",$C508=0),0,MATCH(OFFSET($D508,0,$C508)+IF($C508&lt;&gt;1,1,COUNTIF(QCI!$A$13:$A$24,ORÇAMENTO!E508)),OFFSET($D508,1,$C508,ROW($C$747)-ROW($C508)),0))</f>
        <v>0</v>
      </c>
      <c r="L508" s="116" t="str">
        <f t="shared" ca="1" si="64"/>
        <v/>
      </c>
      <c r="M508" s="117" t="s">
        <v>199</v>
      </c>
      <c r="N508" s="118" t="str">
        <f t="shared" ca="1" si="65"/>
        <v>Serviço</v>
      </c>
      <c r="O508" s="119" t="str">
        <f t="shared" ca="1" si="66"/>
        <v>-</v>
      </c>
      <c r="P508" s="120" t="s">
        <v>712</v>
      </c>
      <c r="Q508" s="121" t="s">
        <v>841</v>
      </c>
      <c r="R508" s="122" t="str">
        <f ca="1">IF($C508="S",REFERENCIA.Descricao,"(digite a descrição aqui)")</f>
        <v>(abra o arquivo 'Referência 02-2025.xlsm)</v>
      </c>
      <c r="S508" s="123" t="str">
        <f ca="1">REFERENCIA.Unidade</f>
        <v>-</v>
      </c>
      <c r="T508" s="124">
        <f ca="1">OFFSET(CÁLCULO!H$15,ROW($T508)-ROW(T$15),0)</f>
        <v>1</v>
      </c>
      <c r="U508" s="125">
        <f t="shared" ca="1" si="131"/>
        <v>0</v>
      </c>
      <c r="V508" s="126" t="s">
        <v>156</v>
      </c>
      <c r="W508" s="124">
        <f ca="1">IF($C508="S",ROUND(IF(TIPOORCAMENTO="Proposto",ORÇAMENTO.CustoUnitario*(1+$AH508),ORÇAMENTO.PrecoUnitarioLicitado),15-13*$AF$10),0)</f>
        <v>0</v>
      </c>
      <c r="X508" s="127">
        <f ca="1">IF($C508="S",IF(Import.TipoArredondamento&lt;&gt;"TransfereGOV",VTOTAL1,SUM(OFFSET(CÁLCULO!$AA$15,ROW($X508)-ROW($X$15),1):OFFSET(CÁLCULO!$AL$15,ROW($X508)-ROW($X$15),-1))),IF($C508=0,0,ROUND(SomaAgrup,15-13*$AF$11)))</f>
        <v>0</v>
      </c>
      <c r="Y508" s="128" t="s">
        <v>245</v>
      </c>
      <c r="Z508" t="str">
        <f t="shared" ca="1" si="67"/>
        <v/>
      </c>
      <c r="AA508" s="129">
        <f ca="1">IF($C508="S",IF($Z508="CP",$X508,IF($Z508="RA",(($X508)*QCI!$AA$3),0)),SomaAgrup)</f>
        <v>0</v>
      </c>
      <c r="AB508" s="130">
        <f t="shared" ca="1" si="68"/>
        <v>0</v>
      </c>
      <c r="AC508" s="131" t="str">
        <f ca="1">IF($N508="","",IF(ORÇAMENTO.Descricao="","DESCRIÇÃO",IF(AND($C508="S",ORÇAMENTO.Unidade=""),"UNIDADE",IF($X508&lt;0,"VALOR NEGATIVO",IF(OR(AND(TIPOORCAMENTO="Proposto",$AG508&lt;&gt;"",$AG508&gt;0,ORÇAMENTO.CustoUnitario&gt;$AG508),AND(TIPOORCAMENTO="LICITADO",ORÇAMENTO.PrecoUnitarioLicitado&gt;$AN508)),"ACIMA REF.","")))))</f>
        <v/>
      </c>
      <c r="AD508" t="str">
        <f ca="1">IF(C508&lt;=CRONO.NivelExibicao,MAX($AD$15:OFFSET(AD508,-1,0))+IF($C508&lt;&gt;1,1,MAX(1,COUNTIF(QCI!$A$13:$A$24,OFFSET($E508,-1,0)))),"")</f>
        <v/>
      </c>
      <c r="AE508" s="7" t="str">
        <f ca="1">IF(AND($C508="S",ORÇAMENTO.CodBarra&lt;&gt;""),IF(ORÇAMENTO.Fonte="",ORÇAMENTO.CodBarra,CONCATENATE(ORÇAMENTO.Fonte," ",ORÇAMENTO.CodBarra)))</f>
        <v xml:space="preserve">Composição FNDE 358 </v>
      </c>
      <c r="AF508" s="13" t="str">
        <f ca="1">IF(ISERROR(INDIRECT(ORÇAMENTO.BancoRef)),"(abra o arquivo 'Referência "&amp;Excel_BuiltIn_Database&amp;".xlsm)",IF(OR($C508&lt;&gt;"S",ORÇAMENTO.CodBarra=""),"(Sem Código)",IF(ISERROR(MATCH($AE508,INDIRECT(ORÇAMENTO.BancoRef),0)),"(Código não identificado nas referências)",MATCH($AE508,INDIRECT(ORÇAMENTO.BancoRef),0))))</f>
        <v>(abra o arquivo 'Referência 02-2025.xlsm)</v>
      </c>
      <c r="AG508" s="498">
        <f ca="1">ROUND(IF(DESONERACAO="sim",REFERENCIA.Desonerado,REFERENCIA.NaoDesonerado),2)</f>
        <v>0</v>
      </c>
      <c r="AH508" s="499">
        <f t="shared" ca="1" si="69"/>
        <v>0.22470000000000001</v>
      </c>
      <c r="AJ508" s="501">
        <v>1</v>
      </c>
      <c r="AL508" s="527"/>
      <c r="AM508" s="381">
        <f t="shared" ca="1" si="70"/>
        <v>0</v>
      </c>
      <c r="AN508" s="566">
        <f t="shared" ca="1" si="71"/>
        <v>0</v>
      </c>
    </row>
    <row r="509" spans="1:40" ht="25.5" x14ac:dyDescent="0.2">
      <c r="A509" t="str">
        <f t="shared" si="56"/>
        <v>S</v>
      </c>
      <c r="B509">
        <f t="shared" ca="1" si="57"/>
        <v>3</v>
      </c>
      <c r="C509" t="str">
        <f t="shared" ca="1" si="58"/>
        <v>S</v>
      </c>
      <c r="D509">
        <f t="shared" ca="1" si="59"/>
        <v>0</v>
      </c>
      <c r="E509">
        <f ca="1">IF($C509=1,OFFSET(E509,-1,0)+MAX(1,COUNTIF(QCI!$A$13:$A$24,OFFSET(ORÇAMENTO!E509,-1,0))),OFFSET(E509,-1,0))</f>
        <v>1</v>
      </c>
      <c r="F509">
        <f t="shared" ca="1" si="60"/>
        <v>17</v>
      </c>
      <c r="G509">
        <f t="shared" ca="1" si="61"/>
        <v>3</v>
      </c>
      <c r="H509">
        <f t="shared" ca="1" si="62"/>
        <v>0</v>
      </c>
      <c r="I509">
        <f t="shared" ca="1" si="63"/>
        <v>0</v>
      </c>
      <c r="J509">
        <f t="shared" ca="1" si="130"/>
        <v>0</v>
      </c>
      <c r="K509">
        <f ca="1">IF(OR($C509="S",$C509=0),0,MATCH(OFFSET($D509,0,$C509)+IF($C509&lt;&gt;1,1,COUNTIF(QCI!$A$13:$A$24,ORÇAMENTO!E509)),OFFSET($D509,1,$C509,ROW($C$747)-ROW($C509)),0))</f>
        <v>0</v>
      </c>
      <c r="L509" s="116" t="str">
        <f t="shared" ca="1" si="64"/>
        <v/>
      </c>
      <c r="M509" s="117" t="s">
        <v>199</v>
      </c>
      <c r="N509" s="118" t="str">
        <f t="shared" ca="1" si="65"/>
        <v>Serviço</v>
      </c>
      <c r="O509" s="119" t="str">
        <f t="shared" ca="1" si="66"/>
        <v>-</v>
      </c>
      <c r="P509" s="120" t="s">
        <v>247</v>
      </c>
      <c r="Q509" s="121" t="s">
        <v>651</v>
      </c>
      <c r="R509" s="122" t="str">
        <f ca="1">IF($C509="S",REFERENCIA.Descricao,"(digite a descrição aqui)")</f>
        <v>(abra o arquivo 'Referência 02-2025.xlsm)</v>
      </c>
      <c r="S509" s="123" t="str">
        <f ca="1">REFERENCIA.Unidade</f>
        <v>-</v>
      </c>
      <c r="T509" s="124">
        <f ca="1">OFFSET(CÁLCULO!H$15,ROW($T509)-ROW(T$15),0)</f>
        <v>2</v>
      </c>
      <c r="U509" s="125">
        <f t="shared" ca="1" si="131"/>
        <v>0</v>
      </c>
      <c r="V509" s="126" t="s">
        <v>156</v>
      </c>
      <c r="W509" s="124">
        <f ca="1">IF($C509="S",ROUND(IF(TIPOORCAMENTO="Proposto",ORÇAMENTO.CustoUnitario*(1+$AH509),ORÇAMENTO.PrecoUnitarioLicitado),15-13*$AF$10),0)</f>
        <v>0</v>
      </c>
      <c r="X509" s="127">
        <f ca="1">IF($C509="S",IF(Import.TipoArredondamento&lt;&gt;"TransfereGOV",VTOTAL1,SUM(OFFSET(CÁLCULO!$AA$15,ROW($X509)-ROW($X$15),1):OFFSET(CÁLCULO!$AL$15,ROW($X509)-ROW($X$15),-1))),IF($C509=0,0,ROUND(SomaAgrup,15-13*$AF$11)))</f>
        <v>0</v>
      </c>
      <c r="Y509" s="128" t="s">
        <v>245</v>
      </c>
      <c r="Z509" t="str">
        <f t="shared" ca="1" si="67"/>
        <v/>
      </c>
      <c r="AA509" s="129">
        <f ca="1">IF($C509="S",IF($Z509="CP",$X509,IF($Z509="RA",(($X509)*QCI!$AA$3),0)),SomaAgrup)</f>
        <v>0</v>
      </c>
      <c r="AB509" s="130">
        <f t="shared" ca="1" si="68"/>
        <v>0</v>
      </c>
      <c r="AC509" s="131" t="str">
        <f ca="1">IF($N509="","",IF(ORÇAMENTO.Descricao="","DESCRIÇÃO",IF(AND($C509="S",ORÇAMENTO.Unidade=""),"UNIDADE",IF($X509&lt;0,"VALOR NEGATIVO",IF(OR(AND(TIPOORCAMENTO="Proposto",$AG509&lt;&gt;"",$AG509&gt;0,ORÇAMENTO.CustoUnitario&gt;$AG509),AND(TIPOORCAMENTO="LICITADO",ORÇAMENTO.PrecoUnitarioLicitado&gt;$AN509)),"ACIMA REF.","")))))</f>
        <v/>
      </c>
      <c r="AD509" t="str">
        <f ca="1">IF(C509&lt;=CRONO.NivelExibicao,MAX($AD$15:OFFSET(AD509,-1,0))+IF($C509&lt;&gt;1,1,MAX(1,COUNTIF(QCI!$A$13:$A$24,OFFSET($E509,-1,0)))),"")</f>
        <v/>
      </c>
      <c r="AE509" s="7" t="str">
        <f ca="1">IF(AND($C509="S",ORÇAMENTO.CodBarra&lt;&gt;""),IF(ORÇAMENTO.Fonte="",ORÇAMENTO.CodBarra,CONCATENATE(ORÇAMENTO.Fonte," ",ORÇAMENTO.CodBarra)))</f>
        <v>SINAPI 98306</v>
      </c>
      <c r="AF509" s="13" t="str">
        <f ca="1">IF(ISERROR(INDIRECT(ORÇAMENTO.BancoRef)),"(abra o arquivo 'Referência "&amp;Excel_BuiltIn_Database&amp;".xlsm)",IF(OR($C509&lt;&gt;"S",ORÇAMENTO.CodBarra=""),"(Sem Código)",IF(ISERROR(MATCH($AE509,INDIRECT(ORÇAMENTO.BancoRef),0)),"(Código não identificado nas referências)",MATCH($AE509,INDIRECT(ORÇAMENTO.BancoRef),0))))</f>
        <v>(abra o arquivo 'Referência 02-2025.xlsm)</v>
      </c>
      <c r="AG509" s="498">
        <f ca="1">ROUND(IF(DESONERACAO="sim",REFERENCIA.Desonerado,REFERENCIA.NaoDesonerado),2)</f>
        <v>0</v>
      </c>
      <c r="AH509" s="499">
        <f t="shared" ca="1" si="69"/>
        <v>0.22470000000000001</v>
      </c>
      <c r="AJ509" s="501">
        <v>2</v>
      </c>
      <c r="AL509" s="527"/>
      <c r="AM509" s="381">
        <f t="shared" ca="1" si="70"/>
        <v>0</v>
      </c>
      <c r="AN509" s="566">
        <f t="shared" ca="1" si="71"/>
        <v>0</v>
      </c>
    </row>
    <row r="510" spans="1:40" x14ac:dyDescent="0.2">
      <c r="A510" t="str">
        <f t="shared" si="56"/>
        <v>S</v>
      </c>
      <c r="B510">
        <f t="shared" ca="1" si="57"/>
        <v>3</v>
      </c>
      <c r="C510" t="str">
        <f t="shared" ca="1" si="58"/>
        <v>S</v>
      </c>
      <c r="D510">
        <f t="shared" ca="1" si="59"/>
        <v>0</v>
      </c>
      <c r="E510">
        <f ca="1">IF($C510=1,OFFSET(E510,-1,0)+MAX(1,COUNTIF(QCI!$A$13:$A$24,OFFSET(ORÇAMENTO!E510,-1,0))),OFFSET(E510,-1,0))</f>
        <v>1</v>
      </c>
      <c r="F510">
        <f t="shared" ca="1" si="60"/>
        <v>17</v>
      </c>
      <c r="G510">
        <f t="shared" ca="1" si="61"/>
        <v>3</v>
      </c>
      <c r="H510">
        <f t="shared" ca="1" si="62"/>
        <v>0</v>
      </c>
      <c r="I510">
        <f t="shared" ca="1" si="63"/>
        <v>0</v>
      </c>
      <c r="J510">
        <f t="shared" ca="1" si="130"/>
        <v>0</v>
      </c>
      <c r="K510">
        <f ca="1">IF(OR($C510="S",$C510=0),0,MATCH(OFFSET($D510,0,$C510)+IF($C510&lt;&gt;1,1,COUNTIF(QCI!$A$13:$A$24,ORÇAMENTO!E510)),OFFSET($D510,1,$C510,ROW($C$747)-ROW($C510)),0))</f>
        <v>0</v>
      </c>
      <c r="L510" s="116" t="str">
        <f t="shared" ca="1" si="64"/>
        <v/>
      </c>
      <c r="M510" s="117" t="s">
        <v>199</v>
      </c>
      <c r="N510" s="118" t="str">
        <f t="shared" ca="1" si="65"/>
        <v>Serviço</v>
      </c>
      <c r="O510" s="119" t="str">
        <f t="shared" ca="1" si="66"/>
        <v>-</v>
      </c>
      <c r="P510" s="120" t="s">
        <v>712</v>
      </c>
      <c r="Q510" s="121" t="s">
        <v>843</v>
      </c>
      <c r="R510" s="122" t="str">
        <f ca="1">IF($C510="S",REFERENCIA.Descricao,"(digite a descrição aqui)")</f>
        <v>(abra o arquivo 'Referência 02-2025.xlsm)</v>
      </c>
      <c r="S510" s="123" t="str">
        <f ca="1">REFERENCIA.Unidade</f>
        <v>-</v>
      </c>
      <c r="T510" s="124">
        <f ca="1">OFFSET(CÁLCULO!H$15,ROW($T510)-ROW(T$15),0)</f>
        <v>2.2000000000000002</v>
      </c>
      <c r="U510" s="125">
        <f t="shared" ca="1" si="131"/>
        <v>0</v>
      </c>
      <c r="V510" s="126" t="s">
        <v>156</v>
      </c>
      <c r="W510" s="124">
        <f ca="1">IF($C510="S",ROUND(IF(TIPOORCAMENTO="Proposto",ORÇAMENTO.CustoUnitario*(1+$AH510),ORÇAMENTO.PrecoUnitarioLicitado),15-13*$AF$10),0)</f>
        <v>0</v>
      </c>
      <c r="X510" s="127">
        <f ca="1">IF($C510="S",IF(Import.TipoArredondamento&lt;&gt;"TransfereGOV",VTOTAL1,SUM(OFFSET(CÁLCULO!$AA$15,ROW($X510)-ROW($X$15),1):OFFSET(CÁLCULO!$AL$15,ROW($X510)-ROW($X$15),-1))),IF($C510=0,0,ROUND(SomaAgrup,15-13*$AF$11)))</f>
        <v>0</v>
      </c>
      <c r="Y510" s="128" t="s">
        <v>245</v>
      </c>
      <c r="Z510" t="str">
        <f t="shared" ca="1" si="67"/>
        <v/>
      </c>
      <c r="AA510" s="129">
        <f ca="1">IF($C510="S",IF($Z510="CP",$X510,IF($Z510="RA",(($X510)*QCI!$AA$3),0)),SomaAgrup)</f>
        <v>0</v>
      </c>
      <c r="AB510" s="130">
        <f t="shared" ca="1" si="68"/>
        <v>0</v>
      </c>
      <c r="AC510" s="131" t="str">
        <f ca="1">IF($N510="","",IF(ORÇAMENTO.Descricao="","DESCRIÇÃO",IF(AND($C510="S",ORÇAMENTO.Unidade=""),"UNIDADE",IF($X510&lt;0,"VALOR NEGATIVO",IF(OR(AND(TIPOORCAMENTO="Proposto",$AG510&lt;&gt;"",$AG510&gt;0,ORÇAMENTO.CustoUnitario&gt;$AG510),AND(TIPOORCAMENTO="LICITADO",ORÇAMENTO.PrecoUnitarioLicitado&gt;$AN510)),"ACIMA REF.","")))))</f>
        <v/>
      </c>
      <c r="AD510" t="str">
        <f ca="1">IF(C510&lt;=CRONO.NivelExibicao,MAX($AD$15:OFFSET(AD510,-1,0))+IF($C510&lt;&gt;1,1,MAX(1,COUNTIF(QCI!$A$13:$A$24,OFFSET($E510,-1,0)))),"")</f>
        <v/>
      </c>
      <c r="AE510" s="7" t="str">
        <f ca="1">IF(AND($C510="S",ORÇAMENTO.CodBarra&lt;&gt;""),IF(ORÇAMENTO.Fonte="",ORÇAMENTO.CodBarra,CONCATENATE(ORÇAMENTO.Fonte," ",ORÇAMENTO.CodBarra)))</f>
        <v xml:space="preserve">Composição FNDE 359 </v>
      </c>
      <c r="AF510" s="13" t="str">
        <f ca="1">IF(ISERROR(INDIRECT(ORÇAMENTO.BancoRef)),"(abra o arquivo 'Referência "&amp;Excel_BuiltIn_Database&amp;".xlsm)",IF(OR($C510&lt;&gt;"S",ORÇAMENTO.CodBarra=""),"(Sem Código)",IF(ISERROR(MATCH($AE510,INDIRECT(ORÇAMENTO.BancoRef),0)),"(Código não identificado nas referências)",MATCH($AE510,INDIRECT(ORÇAMENTO.BancoRef),0))))</f>
        <v>(abra o arquivo 'Referência 02-2025.xlsm)</v>
      </c>
      <c r="AG510" s="498">
        <f ca="1">ROUND(IF(DESONERACAO="sim",REFERENCIA.Desonerado,REFERENCIA.NaoDesonerado),2)</f>
        <v>0</v>
      </c>
      <c r="AH510" s="499">
        <f t="shared" ca="1" si="69"/>
        <v>0.22470000000000001</v>
      </c>
      <c r="AJ510" s="501">
        <v>2.2000000000000002</v>
      </c>
      <c r="AL510" s="527"/>
      <c r="AM510" s="381">
        <f t="shared" ca="1" si="70"/>
        <v>0</v>
      </c>
      <c r="AN510" s="566">
        <f t="shared" ca="1" si="71"/>
        <v>0</v>
      </c>
    </row>
    <row r="511" spans="1:40" ht="25.5" x14ac:dyDescent="0.2">
      <c r="A511" t="str">
        <f t="shared" si="56"/>
        <v>S</v>
      </c>
      <c r="B511">
        <f t="shared" ca="1" si="57"/>
        <v>3</v>
      </c>
      <c r="C511" t="str">
        <f t="shared" ca="1" si="58"/>
        <v>S</v>
      </c>
      <c r="D511">
        <f t="shared" ca="1" si="59"/>
        <v>0</v>
      </c>
      <c r="E511">
        <f ca="1">IF($C511=1,OFFSET(E511,-1,0)+MAX(1,COUNTIF(QCI!$A$13:$A$24,OFFSET(ORÇAMENTO!E511,-1,0))),OFFSET(E511,-1,0))</f>
        <v>1</v>
      </c>
      <c r="F511">
        <f t="shared" ca="1" si="60"/>
        <v>17</v>
      </c>
      <c r="G511">
        <f t="shared" ca="1" si="61"/>
        <v>3</v>
      </c>
      <c r="H511">
        <f t="shared" ca="1" si="62"/>
        <v>0</v>
      </c>
      <c r="I511">
        <f t="shared" ca="1" si="63"/>
        <v>0</v>
      </c>
      <c r="J511">
        <f t="shared" ca="1" si="130"/>
        <v>0</v>
      </c>
      <c r="K511">
        <f ca="1">IF(OR($C511="S",$C511=0),0,MATCH(OFFSET($D511,0,$C511)+IF($C511&lt;&gt;1,1,COUNTIF(QCI!$A$13:$A$24,ORÇAMENTO!E511)),OFFSET($D511,1,$C511,ROW($C$747)-ROW($C511)),0))</f>
        <v>0</v>
      </c>
      <c r="L511" s="116" t="str">
        <f t="shared" ca="1" si="64"/>
        <v/>
      </c>
      <c r="M511" s="117" t="s">
        <v>199</v>
      </c>
      <c r="N511" s="118" t="str">
        <f t="shared" ca="1" si="65"/>
        <v>Serviço</v>
      </c>
      <c r="O511" s="119" t="str">
        <f t="shared" ca="1" si="66"/>
        <v>-</v>
      </c>
      <c r="P511" s="120" t="s">
        <v>712</v>
      </c>
      <c r="Q511" s="121" t="s">
        <v>844</v>
      </c>
      <c r="R511" s="122" t="str">
        <f ca="1">IF($C511="S",REFERENCIA.Descricao,"(digite a descrição aqui)")</f>
        <v>(abra o arquivo 'Referência 02-2025.xlsm)</v>
      </c>
      <c r="S511" s="123" t="str">
        <f ca="1">REFERENCIA.Unidade</f>
        <v>-</v>
      </c>
      <c r="T511" s="124">
        <f ca="1">OFFSET(CÁLCULO!H$15,ROW($T511)-ROW(T$15),0)</f>
        <v>1</v>
      </c>
      <c r="U511" s="125">
        <f t="shared" ca="1" si="131"/>
        <v>0</v>
      </c>
      <c r="V511" s="126" t="s">
        <v>156</v>
      </c>
      <c r="W511" s="124">
        <f ca="1">IF($C511="S",ROUND(IF(TIPOORCAMENTO="Proposto",ORÇAMENTO.CustoUnitario*(1+$AH511),ORÇAMENTO.PrecoUnitarioLicitado),15-13*$AF$10),0)</f>
        <v>0</v>
      </c>
      <c r="X511" s="127">
        <f ca="1">IF($C511="S",IF(Import.TipoArredondamento&lt;&gt;"TransfereGOV",VTOTAL1,SUM(OFFSET(CÁLCULO!$AA$15,ROW($X511)-ROW($X$15),1):OFFSET(CÁLCULO!$AL$15,ROW($X511)-ROW($X$15),-1))),IF($C511=0,0,ROUND(SomaAgrup,15-13*$AF$11)))</f>
        <v>0</v>
      </c>
      <c r="Y511" s="128" t="s">
        <v>245</v>
      </c>
      <c r="Z511" t="str">
        <f t="shared" ca="1" si="67"/>
        <v/>
      </c>
      <c r="AA511" s="129">
        <f ca="1">IF($C511="S",IF($Z511="CP",$X511,IF($Z511="RA",(($X511)*QCI!$AA$3),0)),SomaAgrup)</f>
        <v>0</v>
      </c>
      <c r="AB511" s="130">
        <f t="shared" ca="1" si="68"/>
        <v>0</v>
      </c>
      <c r="AC511" s="131" t="str">
        <f ca="1">IF($N511="","",IF(ORÇAMENTO.Descricao="","DESCRIÇÃO",IF(AND($C511="S",ORÇAMENTO.Unidade=""),"UNIDADE",IF($X511&lt;0,"VALOR NEGATIVO",IF(OR(AND(TIPOORCAMENTO="Proposto",$AG511&lt;&gt;"",$AG511&gt;0,ORÇAMENTO.CustoUnitario&gt;$AG511),AND(TIPOORCAMENTO="LICITADO",ORÇAMENTO.PrecoUnitarioLicitado&gt;$AN511)),"ACIMA REF.","")))))</f>
        <v/>
      </c>
      <c r="AD511" t="str">
        <f ca="1">IF(C511&lt;=CRONO.NivelExibicao,MAX($AD$15:OFFSET(AD511,-1,0))+IF($C511&lt;&gt;1,1,MAX(1,COUNTIF(QCI!$A$13:$A$24,OFFSET($E511,-1,0)))),"")</f>
        <v/>
      </c>
      <c r="AE511" s="7" t="str">
        <f ca="1">IF(AND($C511="S",ORÇAMENTO.CodBarra&lt;&gt;""),IF(ORÇAMENTO.Fonte="",ORÇAMENTO.CodBarra,CONCATENATE(ORÇAMENTO.Fonte," ",ORÇAMENTO.CodBarra)))</f>
        <v xml:space="preserve">Composição FNDE 360 </v>
      </c>
      <c r="AF511" s="13" t="str">
        <f ca="1">IF(ISERROR(INDIRECT(ORÇAMENTO.BancoRef)),"(abra o arquivo 'Referência "&amp;Excel_BuiltIn_Database&amp;".xlsm)",IF(OR($C511&lt;&gt;"S",ORÇAMENTO.CodBarra=""),"(Sem Código)",IF(ISERROR(MATCH($AE511,INDIRECT(ORÇAMENTO.BancoRef),0)),"(Código não identificado nas referências)",MATCH($AE511,INDIRECT(ORÇAMENTO.BancoRef),0))))</f>
        <v>(abra o arquivo 'Referência 02-2025.xlsm)</v>
      </c>
      <c r="AG511" s="498">
        <f ca="1">ROUND(IF(DESONERACAO="sim",REFERENCIA.Desonerado,REFERENCIA.NaoDesonerado),2)</f>
        <v>0</v>
      </c>
      <c r="AH511" s="499">
        <f t="shared" ca="1" si="69"/>
        <v>0.22470000000000001</v>
      </c>
      <c r="AJ511" s="501">
        <v>1</v>
      </c>
      <c r="AL511" s="527"/>
      <c r="AM511" s="381">
        <f t="shared" ca="1" si="70"/>
        <v>0</v>
      </c>
      <c r="AN511" s="566">
        <f t="shared" ca="1" si="71"/>
        <v>0</v>
      </c>
    </row>
    <row r="512" spans="1:40" ht="25.5" x14ac:dyDescent="0.2">
      <c r="A512" t="str">
        <f t="shared" si="56"/>
        <v>S</v>
      </c>
      <c r="B512">
        <f t="shared" ca="1" si="57"/>
        <v>3</v>
      </c>
      <c r="C512" t="str">
        <f t="shared" ca="1" si="58"/>
        <v>S</v>
      </c>
      <c r="D512">
        <f t="shared" ca="1" si="59"/>
        <v>0</v>
      </c>
      <c r="E512">
        <f ca="1">IF($C512=1,OFFSET(E512,-1,0)+MAX(1,COUNTIF(QCI!$A$13:$A$24,OFFSET(ORÇAMENTO!E512,-1,0))),OFFSET(E512,-1,0))</f>
        <v>1</v>
      </c>
      <c r="F512">
        <f t="shared" ca="1" si="60"/>
        <v>17</v>
      </c>
      <c r="G512">
        <f t="shared" ca="1" si="61"/>
        <v>3</v>
      </c>
      <c r="H512">
        <f t="shared" ca="1" si="62"/>
        <v>0</v>
      </c>
      <c r="I512">
        <f t="shared" ca="1" si="63"/>
        <v>0</v>
      </c>
      <c r="J512">
        <f t="shared" ca="1" si="130"/>
        <v>0</v>
      </c>
      <c r="K512">
        <f ca="1">IF(OR($C512="S",$C512=0),0,MATCH(OFFSET($D512,0,$C512)+IF($C512&lt;&gt;1,1,COUNTIF(QCI!$A$13:$A$24,ORÇAMENTO!E512)),OFFSET($D512,1,$C512,ROW($C$747)-ROW($C512)),0))</f>
        <v>0</v>
      </c>
      <c r="L512" s="116" t="str">
        <f t="shared" ca="1" si="64"/>
        <v/>
      </c>
      <c r="M512" s="117" t="s">
        <v>199</v>
      </c>
      <c r="N512" s="118" t="str">
        <f t="shared" ca="1" si="65"/>
        <v>Serviço</v>
      </c>
      <c r="O512" s="119" t="str">
        <f t="shared" ca="1" si="66"/>
        <v>-</v>
      </c>
      <c r="P512" s="120" t="s">
        <v>712</v>
      </c>
      <c r="Q512" s="121" t="s">
        <v>842</v>
      </c>
      <c r="R512" s="122" t="str">
        <f ca="1">IF($C512="S",REFERENCIA.Descricao,"(digite a descrição aqui)")</f>
        <v>(abra o arquivo 'Referência 02-2025.xlsm)</v>
      </c>
      <c r="S512" s="123" t="str">
        <f ca="1">REFERENCIA.Unidade</f>
        <v>-</v>
      </c>
      <c r="T512" s="124">
        <f ca="1">OFFSET(CÁLCULO!H$15,ROW($T512)-ROW(T$15),0)</f>
        <v>1</v>
      </c>
      <c r="U512" s="125">
        <f t="shared" ca="1" si="131"/>
        <v>0</v>
      </c>
      <c r="V512" s="126" t="s">
        <v>156</v>
      </c>
      <c r="W512" s="124">
        <f ca="1">IF($C512="S",ROUND(IF(TIPOORCAMENTO="Proposto",ORÇAMENTO.CustoUnitario*(1+$AH512),ORÇAMENTO.PrecoUnitarioLicitado),15-13*$AF$10),0)</f>
        <v>0</v>
      </c>
      <c r="X512" s="127">
        <f ca="1">IF($C512="S",IF(Import.TipoArredondamento&lt;&gt;"TransfereGOV",VTOTAL1,SUM(OFFSET(CÁLCULO!$AA$15,ROW($X512)-ROW($X$15),1):OFFSET(CÁLCULO!$AL$15,ROW($X512)-ROW($X$15),-1))),IF($C512=0,0,ROUND(SomaAgrup,15-13*$AF$11)))</f>
        <v>0</v>
      </c>
      <c r="Y512" s="128" t="s">
        <v>245</v>
      </c>
      <c r="Z512" t="str">
        <f t="shared" ca="1" si="67"/>
        <v/>
      </c>
      <c r="AA512" s="129">
        <f ca="1">IF($C512="S",IF($Z512="CP",$X512,IF($Z512="RA",(($X512)*QCI!$AA$3),0)),SomaAgrup)</f>
        <v>0</v>
      </c>
      <c r="AB512" s="130">
        <f t="shared" ca="1" si="68"/>
        <v>0</v>
      </c>
      <c r="AC512" s="131" t="str">
        <f ca="1">IF($N512="","",IF(ORÇAMENTO.Descricao="","DESCRIÇÃO",IF(AND($C512="S",ORÇAMENTO.Unidade=""),"UNIDADE",IF($X512&lt;0,"VALOR NEGATIVO",IF(OR(AND(TIPOORCAMENTO="Proposto",$AG512&lt;&gt;"",$AG512&gt;0,ORÇAMENTO.CustoUnitario&gt;$AG512),AND(TIPOORCAMENTO="LICITADO",ORÇAMENTO.PrecoUnitarioLicitado&gt;$AN512)),"ACIMA REF.","")))))</f>
        <v/>
      </c>
      <c r="AD512" t="str">
        <f ca="1">IF(C512&lt;=CRONO.NivelExibicao,MAX($AD$15:OFFSET(AD512,-1,0))+IF($C512&lt;&gt;1,1,MAX(1,COUNTIF(QCI!$A$13:$A$24,OFFSET($E512,-1,0)))),"")</f>
        <v/>
      </c>
      <c r="AE512" s="7" t="str">
        <f ca="1">IF(AND($C512="S",ORÇAMENTO.CodBarra&lt;&gt;""),IF(ORÇAMENTO.Fonte="",ORÇAMENTO.CodBarra,CONCATENATE(ORÇAMENTO.Fonte," ",ORÇAMENTO.CodBarra)))</f>
        <v>Composição FNDE 362</v>
      </c>
      <c r="AF512" s="13" t="str">
        <f ca="1">IF(ISERROR(INDIRECT(ORÇAMENTO.BancoRef)),"(abra o arquivo 'Referência "&amp;Excel_BuiltIn_Database&amp;".xlsm)",IF(OR($C512&lt;&gt;"S",ORÇAMENTO.CodBarra=""),"(Sem Código)",IF(ISERROR(MATCH($AE512,INDIRECT(ORÇAMENTO.BancoRef),0)),"(Código não identificado nas referências)",MATCH($AE512,INDIRECT(ORÇAMENTO.BancoRef),0))))</f>
        <v>(abra o arquivo 'Referência 02-2025.xlsm)</v>
      </c>
      <c r="AG512" s="498">
        <f ca="1">ROUND(IF(DESONERACAO="sim",REFERENCIA.Desonerado,REFERENCIA.NaoDesonerado),2)</f>
        <v>0</v>
      </c>
      <c r="AH512" s="499">
        <f t="shared" ca="1" si="69"/>
        <v>0.22470000000000001</v>
      </c>
      <c r="AJ512" s="501">
        <v>1</v>
      </c>
      <c r="AL512" s="527"/>
      <c r="AM512" s="381">
        <f t="shared" ca="1" si="70"/>
        <v>0</v>
      </c>
      <c r="AN512" s="566">
        <f t="shared" ca="1" si="71"/>
        <v>0</v>
      </c>
    </row>
    <row r="513" spans="1:40" ht="25.5" x14ac:dyDescent="0.2">
      <c r="A513" t="str">
        <f t="shared" si="56"/>
        <v>S</v>
      </c>
      <c r="B513">
        <f t="shared" ca="1" si="57"/>
        <v>3</v>
      </c>
      <c r="C513" t="str">
        <f t="shared" ca="1" si="58"/>
        <v>S</v>
      </c>
      <c r="D513">
        <f t="shared" ca="1" si="59"/>
        <v>0</v>
      </c>
      <c r="E513">
        <f ca="1">IF($C513=1,OFFSET(E513,-1,0)+MAX(1,COUNTIF(QCI!$A$13:$A$24,OFFSET(ORÇAMENTO!E513,-1,0))),OFFSET(E513,-1,0))</f>
        <v>1</v>
      </c>
      <c r="F513">
        <f t="shared" ca="1" si="60"/>
        <v>17</v>
      </c>
      <c r="G513">
        <f t="shared" ca="1" si="61"/>
        <v>3</v>
      </c>
      <c r="H513">
        <f t="shared" ca="1" si="62"/>
        <v>0</v>
      </c>
      <c r="I513">
        <f t="shared" ca="1" si="63"/>
        <v>0</v>
      </c>
      <c r="J513">
        <f t="shared" ca="1" si="130"/>
        <v>0</v>
      </c>
      <c r="K513">
        <f ca="1">IF(OR($C513="S",$C513=0),0,MATCH(OFFSET($D513,0,$C513)+IF($C513&lt;&gt;1,1,COUNTIF(QCI!$A$13:$A$24,ORÇAMENTO!E513)),OFFSET($D513,1,$C513,ROW($C$747)-ROW($C513)),0))</f>
        <v>0</v>
      </c>
      <c r="L513" s="116" t="str">
        <f t="shared" ca="1" si="64"/>
        <v/>
      </c>
      <c r="M513" s="117" t="s">
        <v>199</v>
      </c>
      <c r="N513" s="118" t="str">
        <f t="shared" ca="1" si="65"/>
        <v>Serviço</v>
      </c>
      <c r="O513" s="119" t="str">
        <f t="shared" ca="1" si="66"/>
        <v>-</v>
      </c>
      <c r="P513" s="120" t="s">
        <v>712</v>
      </c>
      <c r="Q513" s="121" t="s">
        <v>845</v>
      </c>
      <c r="R513" s="122" t="str">
        <f ca="1">IF($C513="S",REFERENCIA.Descricao,"(digite a descrição aqui)")</f>
        <v>(abra o arquivo 'Referência 02-2025.xlsm)</v>
      </c>
      <c r="S513" s="123" t="str">
        <f ca="1">REFERENCIA.Unidade</f>
        <v>-</v>
      </c>
      <c r="T513" s="124">
        <f ca="1">OFFSET(CÁLCULO!H$15,ROW($T513)-ROW(T$15),0)</f>
        <v>5</v>
      </c>
      <c r="U513" s="125">
        <f t="shared" ca="1" si="131"/>
        <v>0</v>
      </c>
      <c r="V513" s="126" t="s">
        <v>156</v>
      </c>
      <c r="W513" s="124">
        <f ca="1">IF($C513="S",ROUND(IF(TIPOORCAMENTO="Proposto",ORÇAMENTO.CustoUnitario*(1+$AH513),ORÇAMENTO.PrecoUnitarioLicitado),15-13*$AF$10),0)</f>
        <v>0</v>
      </c>
      <c r="X513" s="127">
        <f ca="1">IF($C513="S",IF(Import.TipoArredondamento&lt;&gt;"TransfereGOV",VTOTAL1,SUM(OFFSET(CÁLCULO!$AA$15,ROW($X513)-ROW($X$15),1):OFFSET(CÁLCULO!$AL$15,ROW($X513)-ROW($X$15),-1))),IF($C513=0,0,ROUND(SomaAgrup,15-13*$AF$11)))</f>
        <v>0</v>
      </c>
      <c r="Y513" s="128" t="s">
        <v>245</v>
      </c>
      <c r="Z513" t="str">
        <f t="shared" ca="1" si="67"/>
        <v/>
      </c>
      <c r="AA513" s="129">
        <f ca="1">IF($C513="S",IF($Z513="CP",$X513,IF($Z513="RA",(($X513)*QCI!$AA$3),0)),SomaAgrup)</f>
        <v>0</v>
      </c>
      <c r="AB513" s="130">
        <f t="shared" ca="1" si="68"/>
        <v>0</v>
      </c>
      <c r="AC513" s="131" t="str">
        <f ca="1">IF($N513="","",IF(ORÇAMENTO.Descricao="","DESCRIÇÃO",IF(AND($C513="S",ORÇAMENTO.Unidade=""),"UNIDADE",IF($X513&lt;0,"VALOR NEGATIVO",IF(OR(AND(TIPOORCAMENTO="Proposto",$AG513&lt;&gt;"",$AG513&gt;0,ORÇAMENTO.CustoUnitario&gt;$AG513),AND(TIPOORCAMENTO="LICITADO",ORÇAMENTO.PrecoUnitarioLicitado&gt;$AN513)),"ACIMA REF.","")))))</f>
        <v/>
      </c>
      <c r="AD513" t="str">
        <f ca="1">IF(C513&lt;=CRONO.NivelExibicao,MAX($AD$15:OFFSET(AD513,-1,0))+IF($C513&lt;&gt;1,1,MAX(1,COUNTIF(QCI!$A$13:$A$24,OFFSET($E513,-1,0)))),"")</f>
        <v/>
      </c>
      <c r="AE513" s="7" t="str">
        <f ca="1">IF(AND($C513="S",ORÇAMENTO.CodBarra&lt;&gt;""),IF(ORÇAMENTO.Fonte="",ORÇAMENTO.CodBarra,CONCATENATE(ORÇAMENTO.Fonte," ",ORÇAMENTO.CodBarra)))</f>
        <v xml:space="preserve">Composição FNDE 361 </v>
      </c>
      <c r="AF513" s="13" t="str">
        <f ca="1">IF(ISERROR(INDIRECT(ORÇAMENTO.BancoRef)),"(abra o arquivo 'Referência "&amp;Excel_BuiltIn_Database&amp;".xlsm)",IF(OR($C513&lt;&gt;"S",ORÇAMENTO.CodBarra=""),"(Sem Código)",IF(ISERROR(MATCH($AE513,INDIRECT(ORÇAMENTO.BancoRef),0)),"(Código não identificado nas referências)",MATCH($AE513,INDIRECT(ORÇAMENTO.BancoRef),0))))</f>
        <v>(abra o arquivo 'Referência 02-2025.xlsm)</v>
      </c>
      <c r="AG513" s="498">
        <f ca="1">ROUND(IF(DESONERACAO="sim",REFERENCIA.Desonerado,REFERENCIA.NaoDesonerado),2)</f>
        <v>0</v>
      </c>
      <c r="AH513" s="499">
        <f t="shared" ca="1" si="69"/>
        <v>0.22470000000000001</v>
      </c>
      <c r="AJ513" s="501">
        <v>5</v>
      </c>
      <c r="AL513" s="527"/>
      <c r="AM513" s="381">
        <f t="shared" ca="1" si="70"/>
        <v>0</v>
      </c>
      <c r="AN513" s="566">
        <f t="shared" ca="1" si="71"/>
        <v>0</v>
      </c>
    </row>
    <row r="514" spans="1:40" ht="25.5" x14ac:dyDescent="0.2">
      <c r="A514" t="str">
        <f t="shared" si="56"/>
        <v>S</v>
      </c>
      <c r="B514">
        <f t="shared" ca="1" si="57"/>
        <v>3</v>
      </c>
      <c r="C514" t="str">
        <f t="shared" ca="1" si="58"/>
        <v>S</v>
      </c>
      <c r="D514">
        <f t="shared" ca="1" si="59"/>
        <v>0</v>
      </c>
      <c r="E514">
        <f ca="1">IF($C514=1,OFFSET(E514,-1,0)+MAX(1,COUNTIF(QCI!$A$13:$A$24,OFFSET(ORÇAMENTO!E514,-1,0))),OFFSET(E514,-1,0))</f>
        <v>1</v>
      </c>
      <c r="F514">
        <f t="shared" ca="1" si="60"/>
        <v>17</v>
      </c>
      <c r="G514">
        <f t="shared" ca="1" si="61"/>
        <v>3</v>
      </c>
      <c r="H514">
        <f t="shared" ca="1" si="62"/>
        <v>0</v>
      </c>
      <c r="I514">
        <f t="shared" ca="1" si="63"/>
        <v>0</v>
      </c>
      <c r="J514">
        <f t="shared" ca="1" si="130"/>
        <v>0</v>
      </c>
      <c r="K514">
        <f ca="1">IF(OR($C514="S",$C514=0),0,MATCH(OFFSET($D514,0,$C514)+IF($C514&lt;&gt;1,1,COUNTIF(QCI!$A$13:$A$24,ORÇAMENTO!E514)),OFFSET($D514,1,$C514,ROW($C$747)-ROW($C514)),0))</f>
        <v>0</v>
      </c>
      <c r="L514" s="116" t="str">
        <f t="shared" ca="1" si="64"/>
        <v/>
      </c>
      <c r="M514" s="117" t="s">
        <v>199</v>
      </c>
      <c r="N514" s="118" t="str">
        <f t="shared" ca="1" si="65"/>
        <v>Serviço</v>
      </c>
      <c r="O514" s="119" t="str">
        <f t="shared" ca="1" si="66"/>
        <v>-</v>
      </c>
      <c r="P514" s="120" t="s">
        <v>247</v>
      </c>
      <c r="Q514" s="121" t="s">
        <v>652</v>
      </c>
      <c r="R514" s="122" t="str">
        <f ca="1">IF($C514="S",REFERENCIA.Descricao,"(digite a descrição aqui)")</f>
        <v>(abra o arquivo 'Referência 02-2025.xlsm)</v>
      </c>
      <c r="S514" s="123" t="str">
        <f ca="1">REFERENCIA.Unidade</f>
        <v>-</v>
      </c>
      <c r="T514" s="124">
        <f ca="1">OFFSET(CÁLCULO!H$15,ROW($T514)-ROW(T$15),0)</f>
        <v>1</v>
      </c>
      <c r="U514" s="125">
        <f t="shared" ca="1" si="131"/>
        <v>0</v>
      </c>
      <c r="V514" s="126" t="s">
        <v>156</v>
      </c>
      <c r="W514" s="124">
        <f ca="1">IF($C514="S",ROUND(IF(TIPOORCAMENTO="Proposto",ORÇAMENTO.CustoUnitario*(1+$AH514),ORÇAMENTO.PrecoUnitarioLicitado),15-13*$AF$10),0)</f>
        <v>0</v>
      </c>
      <c r="X514" s="127">
        <f ca="1">IF($C514="S",IF(Import.TipoArredondamento&lt;&gt;"TransfereGOV",VTOTAL1,SUM(OFFSET(CÁLCULO!$AA$15,ROW($X514)-ROW($X$15),1):OFFSET(CÁLCULO!$AL$15,ROW($X514)-ROW($X$15),-1))),IF($C514=0,0,ROUND(SomaAgrup,15-13*$AF$11)))</f>
        <v>0</v>
      </c>
      <c r="Y514" s="128" t="s">
        <v>245</v>
      </c>
      <c r="Z514" t="str">
        <f t="shared" ca="1" si="67"/>
        <v/>
      </c>
      <c r="AA514" s="129">
        <f ca="1">IF($C514="S",IF($Z514="CP",$X514,IF($Z514="RA",(($X514)*QCI!$AA$3),0)),SomaAgrup)</f>
        <v>0</v>
      </c>
      <c r="AB514" s="130">
        <f t="shared" ca="1" si="68"/>
        <v>0</v>
      </c>
      <c r="AC514" s="131" t="str">
        <f ca="1">IF($N514="","",IF(ORÇAMENTO.Descricao="","DESCRIÇÃO",IF(AND($C514="S",ORÇAMENTO.Unidade=""),"UNIDADE",IF($X514&lt;0,"VALOR NEGATIVO",IF(OR(AND(TIPOORCAMENTO="Proposto",$AG514&lt;&gt;"",$AG514&gt;0,ORÇAMENTO.CustoUnitario&gt;$AG514),AND(TIPOORCAMENTO="LICITADO",ORÇAMENTO.PrecoUnitarioLicitado&gt;$AN514)),"ACIMA REF.","")))))</f>
        <v/>
      </c>
      <c r="AD514" t="str">
        <f ca="1">IF(C514&lt;=CRONO.NivelExibicao,MAX($AD$15:OFFSET(AD514,-1,0))+IF($C514&lt;&gt;1,1,MAX(1,COUNTIF(QCI!$A$13:$A$24,OFFSET($E514,-1,0)))),"")</f>
        <v/>
      </c>
      <c r="AE514" s="7" t="str">
        <f ca="1">IF(AND($C514="S",ORÇAMENTO.CodBarra&lt;&gt;""),IF(ORÇAMENTO.Fonte="",ORÇAMENTO.CodBarra,CONCATENATE(ORÇAMENTO.Fonte," ",ORÇAMENTO.CodBarra)))</f>
        <v>SINAPI 96986</v>
      </c>
      <c r="AF514" s="13" t="str">
        <f ca="1">IF(ISERROR(INDIRECT(ORÇAMENTO.BancoRef)),"(abra o arquivo 'Referência "&amp;Excel_BuiltIn_Database&amp;".xlsm)",IF(OR($C514&lt;&gt;"S",ORÇAMENTO.CodBarra=""),"(Sem Código)",IF(ISERROR(MATCH($AE514,INDIRECT(ORÇAMENTO.BancoRef),0)),"(Código não identificado nas referências)",MATCH($AE514,INDIRECT(ORÇAMENTO.BancoRef),0))))</f>
        <v>(abra o arquivo 'Referência 02-2025.xlsm)</v>
      </c>
      <c r="AG514" s="498">
        <f ca="1">ROUND(IF(DESONERACAO="sim",REFERENCIA.Desonerado,REFERENCIA.NaoDesonerado),2)</f>
        <v>0</v>
      </c>
      <c r="AH514" s="499">
        <f t="shared" ca="1" si="69"/>
        <v>0.22470000000000001</v>
      </c>
      <c r="AJ514" s="501">
        <v>1</v>
      </c>
      <c r="AL514" s="527"/>
      <c r="AM514" s="381">
        <f t="shared" ca="1" si="70"/>
        <v>0</v>
      </c>
      <c r="AN514" s="566">
        <f t="shared" ca="1" si="71"/>
        <v>0</v>
      </c>
    </row>
    <row r="515" spans="1:40" ht="25.5" x14ac:dyDescent="0.2">
      <c r="A515" t="str">
        <f t="shared" si="56"/>
        <v>S</v>
      </c>
      <c r="B515">
        <f t="shared" ca="1" si="57"/>
        <v>3</v>
      </c>
      <c r="C515" t="str">
        <f t="shared" ca="1" si="58"/>
        <v>S</v>
      </c>
      <c r="D515">
        <f t="shared" ca="1" si="59"/>
        <v>0</v>
      </c>
      <c r="E515">
        <f ca="1">IF($C515=1,OFFSET(E515,-1,0)+MAX(1,COUNTIF(QCI!$A$13:$A$24,OFFSET(ORÇAMENTO!E515,-1,0))),OFFSET(E515,-1,0))</f>
        <v>1</v>
      </c>
      <c r="F515">
        <f t="shared" ca="1" si="60"/>
        <v>17</v>
      </c>
      <c r="G515">
        <f t="shared" ca="1" si="61"/>
        <v>3</v>
      </c>
      <c r="H515">
        <f t="shared" ca="1" si="62"/>
        <v>0</v>
      </c>
      <c r="I515">
        <f t="shared" ca="1" si="63"/>
        <v>0</v>
      </c>
      <c r="J515">
        <f t="shared" ca="1" si="130"/>
        <v>0</v>
      </c>
      <c r="K515">
        <f ca="1">IF(OR($C515="S",$C515=0),0,MATCH(OFFSET($D515,0,$C515)+IF($C515&lt;&gt;1,1,COUNTIF(QCI!$A$13:$A$24,ORÇAMENTO!E515)),OFFSET($D515,1,$C515,ROW($C$747)-ROW($C515)),0))</f>
        <v>0</v>
      </c>
      <c r="L515" s="116" t="str">
        <f t="shared" ca="1" si="64"/>
        <v/>
      </c>
      <c r="M515" s="117" t="s">
        <v>199</v>
      </c>
      <c r="N515" s="118" t="str">
        <f t="shared" ca="1" si="65"/>
        <v>Serviço</v>
      </c>
      <c r="O515" s="119" t="str">
        <f t="shared" ca="1" si="66"/>
        <v>-</v>
      </c>
      <c r="P515" s="120" t="s">
        <v>247</v>
      </c>
      <c r="Q515" s="121" t="s">
        <v>653</v>
      </c>
      <c r="R515" s="122" t="str">
        <f ca="1">IF($C515="S",REFERENCIA.Descricao,"(digite a descrição aqui)")</f>
        <v>(abra o arquivo 'Referência 02-2025.xlsm)</v>
      </c>
      <c r="S515" s="123" t="str">
        <f ca="1">REFERENCIA.Unidade</f>
        <v>-</v>
      </c>
      <c r="T515" s="124">
        <f ca="1">OFFSET(CÁLCULO!H$15,ROW($T515)-ROW(T$15),0)</f>
        <v>1</v>
      </c>
      <c r="U515" s="125">
        <f t="shared" ca="1" si="131"/>
        <v>0</v>
      </c>
      <c r="V515" s="126" t="s">
        <v>156</v>
      </c>
      <c r="W515" s="124">
        <f ca="1">IF($C515="S",ROUND(IF(TIPOORCAMENTO="Proposto",ORÇAMENTO.CustoUnitario*(1+$AH515),ORÇAMENTO.PrecoUnitarioLicitado),15-13*$AF$10),0)</f>
        <v>0</v>
      </c>
      <c r="X515" s="127">
        <f ca="1">IF($C515="S",IF(Import.TipoArredondamento&lt;&gt;"TransfereGOV",VTOTAL1,SUM(OFFSET(CÁLCULO!$AA$15,ROW($X515)-ROW($X$15),1):OFFSET(CÁLCULO!$AL$15,ROW($X515)-ROW($X$15),-1))),IF($C515=0,0,ROUND(SomaAgrup,15-13*$AF$11)))</f>
        <v>0</v>
      </c>
      <c r="Y515" s="128" t="s">
        <v>245</v>
      </c>
      <c r="Z515" t="str">
        <f t="shared" ca="1" si="67"/>
        <v/>
      </c>
      <c r="AA515" s="129">
        <f ca="1">IF($C515="S",IF($Z515="CP",$X515,IF($Z515="RA",(($X515)*QCI!$AA$3),0)),SomaAgrup)</f>
        <v>0</v>
      </c>
      <c r="AB515" s="130">
        <f t="shared" ca="1" si="68"/>
        <v>0</v>
      </c>
      <c r="AC515" s="131" t="str">
        <f ca="1">IF($N515="","",IF(ORÇAMENTO.Descricao="","DESCRIÇÃO",IF(AND($C515="S",ORÇAMENTO.Unidade=""),"UNIDADE",IF($X515&lt;0,"VALOR NEGATIVO",IF(OR(AND(TIPOORCAMENTO="Proposto",$AG515&lt;&gt;"",$AG515&gt;0,ORÇAMENTO.CustoUnitario&gt;$AG515),AND(TIPOORCAMENTO="LICITADO",ORÇAMENTO.PrecoUnitarioLicitado&gt;$AN515)),"ACIMA REF.","")))))</f>
        <v/>
      </c>
      <c r="AD515" t="str">
        <f ca="1">IF(C515&lt;=CRONO.NivelExibicao,MAX($AD$15:OFFSET(AD515,-1,0))+IF($C515&lt;&gt;1,1,MAX(1,COUNTIF(QCI!$A$13:$A$24,OFFSET($E515,-1,0)))),"")</f>
        <v/>
      </c>
      <c r="AE515" s="7" t="str">
        <f ca="1">IF(AND($C515="S",ORÇAMENTO.CodBarra&lt;&gt;""),IF(ORÇAMENTO.Fonte="",ORÇAMENTO.CodBarra,CONCATENATE(ORÇAMENTO.Fonte," ",ORÇAMENTO.CodBarra)))</f>
        <v>SINAPI 101548</v>
      </c>
      <c r="AF515" s="13" t="str">
        <f ca="1">IF(ISERROR(INDIRECT(ORÇAMENTO.BancoRef)),"(abra o arquivo 'Referência "&amp;Excel_BuiltIn_Database&amp;".xlsm)",IF(OR($C515&lt;&gt;"S",ORÇAMENTO.CodBarra=""),"(Sem Código)",IF(ISERROR(MATCH($AE515,INDIRECT(ORÇAMENTO.BancoRef),0)),"(Código não identificado nas referências)",MATCH($AE515,INDIRECT(ORÇAMENTO.BancoRef),0))))</f>
        <v>(abra o arquivo 'Referência 02-2025.xlsm)</v>
      </c>
      <c r="AG515" s="498">
        <f ca="1">ROUND(IF(DESONERACAO="sim",REFERENCIA.Desonerado,REFERENCIA.NaoDesonerado),2)</f>
        <v>0</v>
      </c>
      <c r="AH515" s="499">
        <f t="shared" ca="1" si="69"/>
        <v>0.22470000000000001</v>
      </c>
      <c r="AJ515" s="501">
        <v>1</v>
      </c>
      <c r="AL515" s="527"/>
      <c r="AM515" s="381">
        <f t="shared" ca="1" si="70"/>
        <v>0</v>
      </c>
      <c r="AN515" s="566">
        <f t="shared" ca="1" si="71"/>
        <v>0</v>
      </c>
    </row>
    <row r="516" spans="1:40" ht="25.5" x14ac:dyDescent="0.2">
      <c r="A516" t="str">
        <f t="shared" si="56"/>
        <v>S</v>
      </c>
      <c r="B516">
        <f t="shared" ca="1" si="57"/>
        <v>3</v>
      </c>
      <c r="C516" t="str">
        <f t="shared" ca="1" si="58"/>
        <v>S</v>
      </c>
      <c r="D516">
        <f t="shared" ca="1" si="59"/>
        <v>0</v>
      </c>
      <c r="E516">
        <f ca="1">IF($C516=1,OFFSET(E516,-1,0)+MAX(1,COUNTIF(QCI!$A$13:$A$24,OFFSET(ORÇAMENTO!E516,-1,0))),OFFSET(E516,-1,0))</f>
        <v>1</v>
      </c>
      <c r="F516">
        <f t="shared" ca="1" si="60"/>
        <v>17</v>
      </c>
      <c r="G516">
        <f t="shared" ca="1" si="61"/>
        <v>3</v>
      </c>
      <c r="H516">
        <f t="shared" ca="1" si="62"/>
        <v>0</v>
      </c>
      <c r="I516">
        <f t="shared" ca="1" si="63"/>
        <v>0</v>
      </c>
      <c r="J516">
        <f t="shared" ca="1" si="130"/>
        <v>0</v>
      </c>
      <c r="K516">
        <f ca="1">IF(OR($C516="S",$C516=0),0,MATCH(OFFSET($D516,0,$C516)+IF($C516&lt;&gt;1,1,COUNTIF(QCI!$A$13:$A$24,ORÇAMENTO!E516)),OFFSET($D516,1,$C516,ROW($C$747)-ROW($C516)),0))</f>
        <v>0</v>
      </c>
      <c r="L516" s="116" t="str">
        <f t="shared" ca="1" si="64"/>
        <v/>
      </c>
      <c r="M516" s="117" t="s">
        <v>199</v>
      </c>
      <c r="N516" s="118" t="str">
        <f t="shared" ca="1" si="65"/>
        <v>Serviço</v>
      </c>
      <c r="O516" s="119" t="str">
        <f t="shared" ca="1" si="66"/>
        <v>-</v>
      </c>
      <c r="P516" s="120" t="s">
        <v>712</v>
      </c>
      <c r="Q516" s="121" t="s">
        <v>846</v>
      </c>
      <c r="R516" s="122" t="str">
        <f ca="1">IF($C516="S",REFERENCIA.Descricao,"(digite a descrição aqui)")</f>
        <v>(abra o arquivo 'Referência 02-2025.xlsm)</v>
      </c>
      <c r="S516" s="123" t="str">
        <f ca="1">REFERENCIA.Unidade</f>
        <v>-</v>
      </c>
      <c r="T516" s="124">
        <f ca="1">OFFSET(CÁLCULO!H$15,ROW($T516)-ROW(T$15),0)</f>
        <v>16</v>
      </c>
      <c r="U516" s="125">
        <f t="shared" ca="1" si="131"/>
        <v>0</v>
      </c>
      <c r="V516" s="126" t="s">
        <v>156</v>
      </c>
      <c r="W516" s="124">
        <f ca="1">IF($C516="S",ROUND(IF(TIPOORCAMENTO="Proposto",ORÇAMENTO.CustoUnitario*(1+$AH516),ORÇAMENTO.PrecoUnitarioLicitado),15-13*$AF$10),0)</f>
        <v>0</v>
      </c>
      <c r="X516" s="127">
        <f ca="1">IF($C516="S",IF(Import.TipoArredondamento&lt;&gt;"TransfereGOV",VTOTAL1,SUM(OFFSET(CÁLCULO!$AA$15,ROW($X516)-ROW($X$15),1):OFFSET(CÁLCULO!$AL$15,ROW($X516)-ROW($X$15),-1))),IF($C516=0,0,ROUND(SomaAgrup,15-13*$AF$11)))</f>
        <v>0</v>
      </c>
      <c r="Y516" s="128" t="s">
        <v>245</v>
      </c>
      <c r="Z516" t="str">
        <f t="shared" ca="1" si="67"/>
        <v/>
      </c>
      <c r="AA516" s="129">
        <f ca="1">IF($C516="S",IF($Z516="CP",$X516,IF($Z516="RA",(($X516)*QCI!$AA$3),0)),SomaAgrup)</f>
        <v>0</v>
      </c>
      <c r="AB516" s="130">
        <f t="shared" ca="1" si="68"/>
        <v>0</v>
      </c>
      <c r="AC516" s="131" t="str">
        <f ca="1">IF($N516="","",IF(ORÇAMENTO.Descricao="","DESCRIÇÃO",IF(AND($C516="S",ORÇAMENTO.Unidade=""),"UNIDADE",IF($X516&lt;0,"VALOR NEGATIVO",IF(OR(AND(TIPOORCAMENTO="Proposto",$AG516&lt;&gt;"",$AG516&gt;0,ORÇAMENTO.CustoUnitario&gt;$AG516),AND(TIPOORCAMENTO="LICITADO",ORÇAMENTO.PrecoUnitarioLicitado&gt;$AN516)),"ACIMA REF.","")))))</f>
        <v/>
      </c>
      <c r="AD516" t="str">
        <f ca="1">IF(C516&lt;=CRONO.NivelExibicao,MAX($AD$15:OFFSET(AD516,-1,0))+IF($C516&lt;&gt;1,1,MAX(1,COUNTIF(QCI!$A$13:$A$24,OFFSET($E516,-1,0)))),"")</f>
        <v/>
      </c>
      <c r="AE516" s="7" t="str">
        <f ca="1">IF(AND($C516="S",ORÇAMENTO.CodBarra&lt;&gt;""),IF(ORÇAMENTO.Fonte="",ORÇAMENTO.CodBarra,CONCATENATE(ORÇAMENTO.Fonte," ",ORÇAMENTO.CodBarra)))</f>
        <v xml:space="preserve">Composição FNDE 364 </v>
      </c>
      <c r="AF516" s="13" t="str">
        <f ca="1">IF(ISERROR(INDIRECT(ORÇAMENTO.BancoRef)),"(abra o arquivo 'Referência "&amp;Excel_BuiltIn_Database&amp;".xlsm)",IF(OR($C516&lt;&gt;"S",ORÇAMENTO.CodBarra=""),"(Sem Código)",IF(ISERROR(MATCH($AE516,INDIRECT(ORÇAMENTO.BancoRef),0)),"(Código não identificado nas referências)",MATCH($AE516,INDIRECT(ORÇAMENTO.BancoRef),0))))</f>
        <v>(abra o arquivo 'Referência 02-2025.xlsm)</v>
      </c>
      <c r="AG516" s="498">
        <f ca="1">ROUND(IF(DESONERACAO="sim",REFERENCIA.Desonerado,REFERENCIA.NaoDesonerado),2)</f>
        <v>0</v>
      </c>
      <c r="AH516" s="499">
        <f t="shared" ca="1" si="69"/>
        <v>0.22470000000000001</v>
      </c>
      <c r="AJ516" s="501">
        <v>16</v>
      </c>
      <c r="AL516" s="527"/>
      <c r="AM516" s="381">
        <f t="shared" ca="1" si="70"/>
        <v>0</v>
      </c>
      <c r="AN516" s="566">
        <f t="shared" ca="1" si="71"/>
        <v>0</v>
      </c>
    </row>
    <row r="517" spans="1:40" ht="25.5" x14ac:dyDescent="0.2">
      <c r="A517" t="str">
        <f t="shared" si="56"/>
        <v>S</v>
      </c>
      <c r="B517">
        <f t="shared" ca="1" si="57"/>
        <v>3</v>
      </c>
      <c r="C517" t="str">
        <f t="shared" ca="1" si="58"/>
        <v>S</v>
      </c>
      <c r="D517">
        <f t="shared" ca="1" si="59"/>
        <v>0</v>
      </c>
      <c r="E517">
        <f ca="1">IF($C517=1,OFFSET(E517,-1,0)+MAX(1,COUNTIF(QCI!$A$13:$A$24,OFFSET(ORÇAMENTO!E517,-1,0))),OFFSET(E517,-1,0))</f>
        <v>1</v>
      </c>
      <c r="F517">
        <f t="shared" ca="1" si="60"/>
        <v>17</v>
      </c>
      <c r="G517">
        <f t="shared" ca="1" si="61"/>
        <v>3</v>
      </c>
      <c r="H517">
        <f t="shared" ca="1" si="62"/>
        <v>0</v>
      </c>
      <c r="I517">
        <f t="shared" ca="1" si="63"/>
        <v>0</v>
      </c>
      <c r="J517">
        <f t="shared" ca="1" si="130"/>
        <v>0</v>
      </c>
      <c r="K517">
        <f ca="1">IF(OR($C517="S",$C517=0),0,MATCH(OFFSET($D517,0,$C517)+IF($C517&lt;&gt;1,1,COUNTIF(QCI!$A$13:$A$24,ORÇAMENTO!E517)),OFFSET($D517,1,$C517,ROW($C$747)-ROW($C517)),0))</f>
        <v>0</v>
      </c>
      <c r="L517" s="116" t="str">
        <f t="shared" ca="1" si="64"/>
        <v/>
      </c>
      <c r="M517" s="117" t="s">
        <v>199</v>
      </c>
      <c r="N517" s="118" t="str">
        <f t="shared" ca="1" si="65"/>
        <v>Serviço</v>
      </c>
      <c r="O517" s="119" t="str">
        <f t="shared" ca="1" si="66"/>
        <v>-</v>
      </c>
      <c r="P517" s="120" t="s">
        <v>712</v>
      </c>
      <c r="Q517" s="121" t="s">
        <v>847</v>
      </c>
      <c r="R517" s="122" t="str">
        <f ca="1">IF($C517="S",REFERENCIA.Descricao,"(digite a descrição aqui)")</f>
        <v>(abra o arquivo 'Referência 02-2025.xlsm)</v>
      </c>
      <c r="S517" s="123" t="str">
        <f ca="1">REFERENCIA.Unidade</f>
        <v>-</v>
      </c>
      <c r="T517" s="124">
        <f ca="1">OFFSET(CÁLCULO!H$15,ROW($T517)-ROW(T$15),0)</f>
        <v>1</v>
      </c>
      <c r="U517" s="125">
        <f t="shared" ca="1" si="131"/>
        <v>0</v>
      </c>
      <c r="V517" s="126" t="s">
        <v>156</v>
      </c>
      <c r="W517" s="124">
        <f ca="1">IF($C517="S",ROUND(IF(TIPOORCAMENTO="Proposto",ORÇAMENTO.CustoUnitario*(1+$AH517),ORÇAMENTO.PrecoUnitarioLicitado),15-13*$AF$10),0)</f>
        <v>0</v>
      </c>
      <c r="X517" s="127">
        <f ca="1">IF($C517="S",IF(Import.TipoArredondamento&lt;&gt;"TransfereGOV",VTOTAL1,SUM(OFFSET(CÁLCULO!$AA$15,ROW($X517)-ROW($X$15),1):OFFSET(CÁLCULO!$AL$15,ROW($X517)-ROW($X$15),-1))),IF($C517=0,0,ROUND(SomaAgrup,15-13*$AF$11)))</f>
        <v>0</v>
      </c>
      <c r="Y517" s="128" t="s">
        <v>245</v>
      </c>
      <c r="Z517" t="str">
        <f t="shared" ca="1" si="67"/>
        <v/>
      </c>
      <c r="AA517" s="129">
        <f ca="1">IF($C517="S",IF($Z517="CP",$X517,IF($Z517="RA",(($X517)*QCI!$AA$3),0)),SomaAgrup)</f>
        <v>0</v>
      </c>
      <c r="AB517" s="130">
        <f t="shared" ca="1" si="68"/>
        <v>0</v>
      </c>
      <c r="AC517" s="131" t="str">
        <f ca="1">IF($N517="","",IF(ORÇAMENTO.Descricao="","DESCRIÇÃO",IF(AND($C517="S",ORÇAMENTO.Unidade=""),"UNIDADE",IF($X517&lt;0,"VALOR NEGATIVO",IF(OR(AND(TIPOORCAMENTO="Proposto",$AG517&lt;&gt;"",$AG517&gt;0,ORÇAMENTO.CustoUnitario&gt;$AG517),AND(TIPOORCAMENTO="LICITADO",ORÇAMENTO.PrecoUnitarioLicitado&gt;$AN517)),"ACIMA REF.","")))))</f>
        <v/>
      </c>
      <c r="AD517" t="str">
        <f ca="1">IF(C517&lt;=CRONO.NivelExibicao,MAX($AD$15:OFFSET(AD517,-1,0))+IF($C517&lt;&gt;1,1,MAX(1,COUNTIF(QCI!$A$13:$A$24,OFFSET($E517,-1,0)))),"")</f>
        <v/>
      </c>
      <c r="AE517" s="7" t="str">
        <f ca="1">IF(AND($C517="S",ORÇAMENTO.CodBarra&lt;&gt;""),IF(ORÇAMENTO.Fonte="",ORÇAMENTO.CodBarra,CONCATENATE(ORÇAMENTO.Fonte," ",ORÇAMENTO.CodBarra)))</f>
        <v xml:space="preserve">Composição FNDE 363 </v>
      </c>
      <c r="AF517" s="13" t="str">
        <f ca="1">IF(ISERROR(INDIRECT(ORÇAMENTO.BancoRef)),"(abra o arquivo 'Referência "&amp;Excel_BuiltIn_Database&amp;".xlsm)",IF(OR($C517&lt;&gt;"S",ORÇAMENTO.CodBarra=""),"(Sem Código)",IF(ISERROR(MATCH($AE517,INDIRECT(ORÇAMENTO.BancoRef),0)),"(Código não identificado nas referências)",MATCH($AE517,INDIRECT(ORÇAMENTO.BancoRef),0))))</f>
        <v>(abra o arquivo 'Referência 02-2025.xlsm)</v>
      </c>
      <c r="AG517" s="498">
        <f ca="1">ROUND(IF(DESONERACAO="sim",REFERENCIA.Desonerado,REFERENCIA.NaoDesonerado),2)</f>
        <v>0</v>
      </c>
      <c r="AH517" s="499">
        <f t="shared" ca="1" si="69"/>
        <v>0.22470000000000001</v>
      </c>
      <c r="AJ517" s="501">
        <v>1</v>
      </c>
      <c r="AL517" s="527"/>
      <c r="AM517" s="381">
        <f t="shared" ca="1" si="70"/>
        <v>0</v>
      </c>
      <c r="AN517" s="566">
        <f t="shared" ca="1" si="71"/>
        <v>0</v>
      </c>
    </row>
    <row r="518" spans="1:40" x14ac:dyDescent="0.2">
      <c r="A518">
        <f t="shared" si="56"/>
        <v>3</v>
      </c>
      <c r="B518">
        <f t="shared" ca="1" si="57"/>
        <v>3</v>
      </c>
      <c r="C518">
        <f t="shared" ca="1" si="58"/>
        <v>3</v>
      </c>
      <c r="D518">
        <f t="shared" ca="1" si="59"/>
        <v>17</v>
      </c>
      <c r="E518">
        <f ca="1">IF($C518=1,OFFSET(E518,-1,0)+MAX(1,COUNTIF(QCI!$A$13:$A$24,OFFSET(ORÇAMENTO!E518,-1,0))),OFFSET(E518,-1,0))</f>
        <v>1</v>
      </c>
      <c r="F518">
        <f t="shared" ca="1" si="60"/>
        <v>17</v>
      </c>
      <c r="G518">
        <f t="shared" ca="1" si="61"/>
        <v>4</v>
      </c>
      <c r="H518">
        <f t="shared" ca="1" si="62"/>
        <v>0</v>
      </c>
      <c r="I518">
        <f t="shared" ca="1" si="63"/>
        <v>0</v>
      </c>
      <c r="J518">
        <f t="shared" ca="1" si="130"/>
        <v>90</v>
      </c>
      <c r="K518">
        <f ca="1">IF(OR($C518="S",$C518=0),0,MATCH(OFFSET($D518,0,$C518)+IF($C518&lt;&gt;1,1,COUNTIF(QCI!$A$13:$A$24,ORÇAMENTO!E518)),OFFSET($D518,1,$C518,ROW($C$747)-ROW($C518)),0))</f>
        <v>17</v>
      </c>
      <c r="L518" s="116" t="str">
        <f t="shared" ca="1" si="64"/>
        <v>F</v>
      </c>
      <c r="M518" s="117" t="s">
        <v>197</v>
      </c>
      <c r="N518" s="118" t="str">
        <f t="shared" ca="1" si="65"/>
        <v>Nível 3</v>
      </c>
      <c r="O518" s="119" t="str">
        <f t="shared" ca="1" si="66"/>
        <v>1.17.4.</v>
      </c>
      <c r="P518" s="120" t="s">
        <v>247</v>
      </c>
      <c r="Q518" s="121"/>
      <c r="R518" s="122" t="str">
        <f ca="1">IF($C518="S",REFERENCIA.Descricao,"CABOS")</f>
        <v>CABOS</v>
      </c>
      <c r="S518" s="123" t="str">
        <f ca="1">REFERENCIA.Unidade</f>
        <v>-</v>
      </c>
      <c r="T518" s="124">
        <f ca="1">OFFSET(CÁLCULO!H$15,ROW($T518)-ROW(T$15),0)</f>
        <v>0</v>
      </c>
      <c r="U518" s="125">
        <f t="shared" ca="1" si="131"/>
        <v>0</v>
      </c>
      <c r="V518" s="126" t="s">
        <v>156</v>
      </c>
      <c r="W518" s="124">
        <f ca="1">IF($C518="S",ROUND(IF(TIPOORCAMENTO="Proposto",ORÇAMENTO.CustoUnitario*(1+$AH518),ORÇAMENTO.PrecoUnitarioLicitado),15-13*$AF$10),0)</f>
        <v>0</v>
      </c>
      <c r="X518" s="127">
        <f ca="1">IF($C518="S",IF(Import.TipoArredondamento&lt;&gt;"TransfereGOV",VTOTAL1,SUM(OFFSET(CÁLCULO!$AA$15,ROW($X518)-ROW($X$15),1):OFFSET(CÁLCULO!$AL$15,ROW($X518)-ROW($X$15),-1))),IF($C518=0,0,ROUND(SomaAgrup,15-13*$AF$11)))</f>
        <v>0</v>
      </c>
      <c r="Y518" s="128" t="s">
        <v>245</v>
      </c>
      <c r="Z518" t="str">
        <f t="shared" ca="1" si="67"/>
        <v/>
      </c>
      <c r="AA518" s="129">
        <f ca="1">IF($C518="S",IF($Z518="CP",$X518,IF($Z518="RA",(($X518)*QCI!$AA$3),0)),SomaAgrup)</f>
        <v>0</v>
      </c>
      <c r="AB518" s="130">
        <f t="shared" ca="1" si="68"/>
        <v>0</v>
      </c>
      <c r="AC518" s="131" t="str">
        <f ca="1">IF($N518="","",IF(ORÇAMENTO.Descricao="","DESCRIÇÃO",IF(AND($C518="S",ORÇAMENTO.Unidade=""),"UNIDADE",IF($X518&lt;0,"VALOR NEGATIVO",IF(OR(AND(TIPOORCAMENTO="Proposto",$AG518&lt;&gt;"",$AG518&gt;0,ORÇAMENTO.CustoUnitario&gt;$AG518),AND(TIPOORCAMENTO="LICITADO",ORÇAMENTO.PrecoUnitarioLicitado&gt;$AN518)),"ACIMA REF.","")))))</f>
        <v/>
      </c>
      <c r="AD518" t="str">
        <f ca="1">IF(C518&lt;=CRONO.NivelExibicao,MAX($AD$15:OFFSET(AD518,-1,0))+IF($C518&lt;&gt;1,1,MAX(1,COUNTIF(QCI!$A$13:$A$24,OFFSET($E518,-1,0)))),"")</f>
        <v/>
      </c>
      <c r="AE518" s="7" t="b">
        <f ca="1">IF(AND($C518="S",ORÇAMENTO.CodBarra&lt;&gt;""),IF(ORÇAMENTO.Fonte="",ORÇAMENTO.CodBarra,CONCATENATE(ORÇAMENTO.Fonte," ",ORÇAMENTO.CodBarra)))</f>
        <v>0</v>
      </c>
      <c r="AF518" s="13" t="str">
        <f ca="1">IF(ISERROR(INDIRECT(ORÇAMENTO.BancoRef)),"(abra o arquivo 'Referência "&amp;Excel_BuiltIn_Database&amp;".xlsm)",IF(OR($C518&lt;&gt;"S",ORÇAMENTO.CodBarra=""),"(Sem Código)",IF(ISERROR(MATCH($AE518,INDIRECT(ORÇAMENTO.BancoRef),0)),"(Código não identificado nas referências)",MATCH($AE518,INDIRECT(ORÇAMENTO.BancoRef),0))))</f>
        <v>(abra o arquivo 'Referência 02-2025.xlsm)</v>
      </c>
      <c r="AG518" s="498">
        <f ca="1">ROUND(IF(DESONERACAO="sim",REFERENCIA.Desonerado,REFERENCIA.NaoDesonerado),2)</f>
        <v>0</v>
      </c>
      <c r="AH518" s="499">
        <f t="shared" ca="1" si="69"/>
        <v>0.22470000000000001</v>
      </c>
      <c r="AJ518" s="501"/>
      <c r="AL518" s="527"/>
      <c r="AM518" s="381">
        <f t="shared" ca="1" si="70"/>
        <v>0</v>
      </c>
      <c r="AN518" s="566">
        <f t="shared" ca="1" si="71"/>
        <v>0</v>
      </c>
    </row>
    <row r="519" spans="1:40" ht="38.25" x14ac:dyDescent="0.2">
      <c r="A519" t="str">
        <f t="shared" si="56"/>
        <v>S</v>
      </c>
      <c r="B519">
        <f t="shared" ca="1" si="57"/>
        <v>3</v>
      </c>
      <c r="C519" t="str">
        <f t="shared" ca="1" si="58"/>
        <v>S</v>
      </c>
      <c r="D519">
        <f t="shared" ca="1" si="59"/>
        <v>0</v>
      </c>
      <c r="E519">
        <f ca="1">IF($C519=1,OFFSET(E519,-1,0)+MAX(1,COUNTIF(QCI!$A$13:$A$24,OFFSET(ORÇAMENTO!E519,-1,0))),OFFSET(E519,-1,0))</f>
        <v>1</v>
      </c>
      <c r="F519">
        <f t="shared" ca="1" si="60"/>
        <v>17</v>
      </c>
      <c r="G519">
        <f t="shared" ca="1" si="61"/>
        <v>4</v>
      </c>
      <c r="H519">
        <f t="shared" ca="1" si="62"/>
        <v>0</v>
      </c>
      <c r="I519">
        <f t="shared" ca="1" si="63"/>
        <v>0</v>
      </c>
      <c r="J519">
        <f t="shared" ca="1" si="130"/>
        <v>0</v>
      </c>
      <c r="K519">
        <f ca="1">IF(OR($C519="S",$C519=0),0,MATCH(OFFSET($D519,0,$C519)+IF($C519&lt;&gt;1,1,COUNTIF(QCI!$A$13:$A$24,ORÇAMENTO!E519)),OFFSET($D519,1,$C519,ROW($C$747)-ROW($C519)),0))</f>
        <v>0</v>
      </c>
      <c r="L519" s="116" t="str">
        <f t="shared" ca="1" si="64"/>
        <v/>
      </c>
      <c r="M519" s="117" t="s">
        <v>199</v>
      </c>
      <c r="N519" s="118" t="str">
        <f t="shared" ca="1" si="65"/>
        <v>Serviço</v>
      </c>
      <c r="O519" s="119" t="str">
        <f t="shared" ca="1" si="66"/>
        <v>-</v>
      </c>
      <c r="P519" s="120" t="s">
        <v>247</v>
      </c>
      <c r="Q519" s="121" t="s">
        <v>656</v>
      </c>
      <c r="R519" s="122" t="str">
        <f ca="1">IF($C519="S",REFERENCIA.Descricao,"(digite a descrição aqui)")</f>
        <v>(abra o arquivo 'Referência 02-2025.xlsm)</v>
      </c>
      <c r="S519" s="123" t="str">
        <f ca="1">REFERENCIA.Unidade</f>
        <v>-</v>
      </c>
      <c r="T519" s="124">
        <f ca="1">OFFSET(CÁLCULO!H$15,ROW($T519)-ROW(T$15),0)</f>
        <v>188.5</v>
      </c>
      <c r="U519" s="125">
        <f t="shared" ca="1" si="131"/>
        <v>0</v>
      </c>
      <c r="V519" s="126" t="s">
        <v>156</v>
      </c>
      <c r="W519" s="124">
        <f ca="1">IF($C519="S",ROUND(IF(TIPOORCAMENTO="Proposto",ORÇAMENTO.CustoUnitario*(1+$AH519),ORÇAMENTO.PrecoUnitarioLicitado),15-13*$AF$10),0)</f>
        <v>0</v>
      </c>
      <c r="X519" s="127">
        <f ca="1">IF($C519="S",IF(Import.TipoArredondamento&lt;&gt;"TransfereGOV",VTOTAL1,SUM(OFFSET(CÁLCULO!$AA$15,ROW($X519)-ROW($X$15),1):OFFSET(CÁLCULO!$AL$15,ROW($X519)-ROW($X$15),-1))),IF($C519=0,0,ROUND(SomaAgrup,15-13*$AF$11)))</f>
        <v>0</v>
      </c>
      <c r="Y519" s="128" t="s">
        <v>245</v>
      </c>
      <c r="Z519" t="str">
        <f t="shared" ca="1" si="67"/>
        <v/>
      </c>
      <c r="AA519" s="129">
        <f ca="1">IF($C519="S",IF($Z519="CP",$X519,IF($Z519="RA",(($X519)*QCI!$AA$3),0)),SomaAgrup)</f>
        <v>0</v>
      </c>
      <c r="AB519" s="130">
        <f t="shared" ca="1" si="68"/>
        <v>0</v>
      </c>
      <c r="AC519" s="131" t="str">
        <f ca="1">IF($N519="","",IF(ORÇAMENTO.Descricao="","DESCRIÇÃO",IF(AND($C519="S",ORÇAMENTO.Unidade=""),"UNIDADE",IF($X519&lt;0,"VALOR NEGATIVO",IF(OR(AND(TIPOORCAMENTO="Proposto",$AG519&lt;&gt;"",$AG519&gt;0,ORÇAMENTO.CustoUnitario&gt;$AG519),AND(TIPOORCAMENTO="LICITADO",ORÇAMENTO.PrecoUnitarioLicitado&gt;$AN519)),"ACIMA REF.","")))))</f>
        <v/>
      </c>
      <c r="AD519" t="str">
        <f ca="1">IF(C519&lt;=CRONO.NivelExibicao,MAX($AD$15:OFFSET(AD519,-1,0))+IF($C519&lt;&gt;1,1,MAX(1,COUNTIF(QCI!$A$13:$A$24,OFFSET($E519,-1,0)))),"")</f>
        <v/>
      </c>
      <c r="AE519" s="7" t="str">
        <f ca="1">IF(AND($C519="S",ORÇAMENTO.CodBarra&lt;&gt;""),IF(ORÇAMENTO.Fonte="",ORÇAMENTO.CodBarra,CONCATENATE(ORÇAMENTO.Fonte," ",ORÇAMENTO.CodBarra)))</f>
        <v>SINAPI 93002</v>
      </c>
      <c r="AF519" s="13" t="str">
        <f ca="1">IF(ISERROR(INDIRECT(ORÇAMENTO.BancoRef)),"(abra o arquivo 'Referência "&amp;Excel_BuiltIn_Database&amp;".xlsm)",IF(OR($C519&lt;&gt;"S",ORÇAMENTO.CodBarra=""),"(Sem Código)",IF(ISERROR(MATCH($AE519,INDIRECT(ORÇAMENTO.BancoRef),0)),"(Código não identificado nas referências)",MATCH($AE519,INDIRECT(ORÇAMENTO.BancoRef),0))))</f>
        <v>(abra o arquivo 'Referência 02-2025.xlsm)</v>
      </c>
      <c r="AG519" s="498">
        <f ca="1">ROUND(IF(DESONERACAO="sim",REFERENCIA.Desonerado,REFERENCIA.NaoDesonerado),2)</f>
        <v>0</v>
      </c>
      <c r="AH519" s="499">
        <f t="shared" ca="1" si="69"/>
        <v>0.22470000000000001</v>
      </c>
      <c r="AJ519" s="501">
        <v>188.5</v>
      </c>
      <c r="AL519" s="527"/>
      <c r="AM519" s="381">
        <f t="shared" ca="1" si="70"/>
        <v>0</v>
      </c>
      <c r="AN519" s="566">
        <f t="shared" ca="1" si="71"/>
        <v>0</v>
      </c>
    </row>
    <row r="520" spans="1:40" ht="38.25" x14ac:dyDescent="0.2">
      <c r="A520" t="str">
        <f t="shared" si="56"/>
        <v>S</v>
      </c>
      <c r="B520">
        <f t="shared" ca="1" si="57"/>
        <v>3</v>
      </c>
      <c r="C520" t="str">
        <f t="shared" ca="1" si="58"/>
        <v>S</v>
      </c>
      <c r="D520">
        <f t="shared" ca="1" si="59"/>
        <v>0</v>
      </c>
      <c r="E520">
        <f ca="1">IF($C520=1,OFFSET(E520,-1,0)+MAX(1,COUNTIF(QCI!$A$13:$A$24,OFFSET(ORÇAMENTO!E520,-1,0))),OFFSET(E520,-1,0))</f>
        <v>1</v>
      </c>
      <c r="F520">
        <f t="shared" ca="1" si="60"/>
        <v>17</v>
      </c>
      <c r="G520">
        <f t="shared" ca="1" si="61"/>
        <v>4</v>
      </c>
      <c r="H520">
        <f t="shared" ca="1" si="62"/>
        <v>0</v>
      </c>
      <c r="I520">
        <f t="shared" ca="1" si="63"/>
        <v>0</v>
      </c>
      <c r="J520">
        <f t="shared" ca="1" si="130"/>
        <v>0</v>
      </c>
      <c r="K520">
        <f ca="1">IF(OR($C520="S",$C520=0),0,MATCH(OFFSET($D520,0,$C520)+IF($C520&lt;&gt;1,1,COUNTIF(QCI!$A$13:$A$24,ORÇAMENTO!E520)),OFFSET($D520,1,$C520,ROW($C$747)-ROW($C520)),0))</f>
        <v>0</v>
      </c>
      <c r="L520" s="116" t="str">
        <f t="shared" ca="1" si="64"/>
        <v/>
      </c>
      <c r="M520" s="117" t="s">
        <v>199</v>
      </c>
      <c r="N520" s="118" t="str">
        <f t="shared" ca="1" si="65"/>
        <v>Serviço</v>
      </c>
      <c r="O520" s="119" t="str">
        <f t="shared" ca="1" si="66"/>
        <v>-</v>
      </c>
      <c r="P520" s="120" t="s">
        <v>247</v>
      </c>
      <c r="Q520" s="121" t="s">
        <v>655</v>
      </c>
      <c r="R520" s="122" t="str">
        <f ca="1">IF($C520="S",REFERENCIA.Descricao,"(digite a descrição aqui)")</f>
        <v>(abra o arquivo 'Referência 02-2025.xlsm)</v>
      </c>
      <c r="S520" s="123" t="str">
        <f ca="1">REFERENCIA.Unidade</f>
        <v>-</v>
      </c>
      <c r="T520" s="124">
        <f ca="1">OFFSET(CÁLCULO!H$15,ROW($T520)-ROW(T$15),0)</f>
        <v>14.4</v>
      </c>
      <c r="U520" s="125">
        <f t="shared" ca="1" si="131"/>
        <v>0</v>
      </c>
      <c r="V520" s="126" t="s">
        <v>156</v>
      </c>
      <c r="W520" s="124">
        <f ca="1">IF($C520="S",ROUND(IF(TIPOORCAMENTO="Proposto",ORÇAMENTO.CustoUnitario*(1+$AH520),ORÇAMENTO.PrecoUnitarioLicitado),15-13*$AF$10),0)</f>
        <v>0</v>
      </c>
      <c r="X520" s="127">
        <f ca="1">IF($C520="S",IF(Import.TipoArredondamento&lt;&gt;"TransfereGOV",VTOTAL1,SUM(OFFSET(CÁLCULO!$AA$15,ROW($X520)-ROW($X$15),1):OFFSET(CÁLCULO!$AL$15,ROW($X520)-ROW($X$15),-1))),IF($C520=0,0,ROUND(SomaAgrup,15-13*$AF$11)))</f>
        <v>0</v>
      </c>
      <c r="Y520" s="128" t="s">
        <v>245</v>
      </c>
      <c r="Z520" t="str">
        <f t="shared" ca="1" si="67"/>
        <v/>
      </c>
      <c r="AA520" s="129">
        <f ca="1">IF($C520="S",IF($Z520="CP",$X520,IF($Z520="RA",(($X520)*QCI!$AA$3),0)),SomaAgrup)</f>
        <v>0</v>
      </c>
      <c r="AB520" s="130">
        <f t="shared" ca="1" si="68"/>
        <v>0</v>
      </c>
      <c r="AC520" s="131" t="str">
        <f ca="1">IF($N520="","",IF(ORÇAMENTO.Descricao="","DESCRIÇÃO",IF(AND($C520="S",ORÇAMENTO.Unidade=""),"UNIDADE",IF($X520&lt;0,"VALOR NEGATIVO",IF(OR(AND(TIPOORCAMENTO="Proposto",$AG520&lt;&gt;"",$AG520&gt;0,ORÇAMENTO.CustoUnitario&gt;$AG520),AND(TIPOORCAMENTO="LICITADO",ORÇAMENTO.PrecoUnitarioLicitado&gt;$AN520)),"ACIMA REF.","")))))</f>
        <v/>
      </c>
      <c r="AD520" t="str">
        <f ca="1">IF(C520&lt;=CRONO.NivelExibicao,MAX($AD$15:OFFSET(AD520,-1,0))+IF($C520&lt;&gt;1,1,MAX(1,COUNTIF(QCI!$A$13:$A$24,OFFSET($E520,-1,0)))),"")</f>
        <v/>
      </c>
      <c r="AE520" s="7" t="str">
        <f ca="1">IF(AND($C520="S",ORÇAMENTO.CodBarra&lt;&gt;""),IF(ORÇAMENTO.Fonte="",ORÇAMENTO.CodBarra,CONCATENATE(ORÇAMENTO.Fonte," ",ORÇAMENTO.CodBarra)))</f>
        <v>SINAPI 92998</v>
      </c>
      <c r="AF520" s="13" t="str">
        <f ca="1">IF(ISERROR(INDIRECT(ORÇAMENTO.BancoRef)),"(abra o arquivo 'Referência "&amp;Excel_BuiltIn_Database&amp;".xlsm)",IF(OR($C520&lt;&gt;"S",ORÇAMENTO.CodBarra=""),"(Sem Código)",IF(ISERROR(MATCH($AE520,INDIRECT(ORÇAMENTO.BancoRef),0)),"(Código não identificado nas referências)",MATCH($AE520,INDIRECT(ORÇAMENTO.BancoRef),0))))</f>
        <v>(abra o arquivo 'Referência 02-2025.xlsm)</v>
      </c>
      <c r="AG520" s="498">
        <f ca="1">ROUND(IF(DESONERACAO="sim",REFERENCIA.Desonerado,REFERENCIA.NaoDesonerado),2)</f>
        <v>0</v>
      </c>
      <c r="AH520" s="499">
        <f t="shared" ca="1" si="69"/>
        <v>0.22470000000000001</v>
      </c>
      <c r="AJ520" s="501">
        <v>14.4</v>
      </c>
      <c r="AL520" s="527"/>
      <c r="AM520" s="381">
        <f t="shared" ca="1" si="70"/>
        <v>0</v>
      </c>
      <c r="AN520" s="566">
        <f t="shared" ca="1" si="71"/>
        <v>0</v>
      </c>
    </row>
    <row r="521" spans="1:40" ht="38.25" x14ac:dyDescent="0.2">
      <c r="A521" t="str">
        <f t="shared" si="56"/>
        <v>S</v>
      </c>
      <c r="B521">
        <f t="shared" ca="1" si="57"/>
        <v>3</v>
      </c>
      <c r="C521" t="str">
        <f t="shared" ca="1" si="58"/>
        <v>S</v>
      </c>
      <c r="D521">
        <f t="shared" ca="1" si="59"/>
        <v>0</v>
      </c>
      <c r="E521">
        <f ca="1">IF($C521=1,OFFSET(E521,-1,0)+MAX(1,COUNTIF(QCI!$A$13:$A$24,OFFSET(ORÇAMENTO!E521,-1,0))),OFFSET(E521,-1,0))</f>
        <v>1</v>
      </c>
      <c r="F521">
        <f t="shared" ca="1" si="60"/>
        <v>17</v>
      </c>
      <c r="G521">
        <f t="shared" ca="1" si="61"/>
        <v>4</v>
      </c>
      <c r="H521">
        <f t="shared" ca="1" si="62"/>
        <v>0</v>
      </c>
      <c r="I521">
        <f t="shared" ca="1" si="63"/>
        <v>0</v>
      </c>
      <c r="J521">
        <f t="shared" ref="J521:J584" ca="1" si="144">IF(OR($C521="S",$C521=0),0,MATCH(0,OFFSET($D521,1,$C521,ROW($C$747)-ROW($C521)),0))</f>
        <v>0</v>
      </c>
      <c r="K521">
        <f ca="1">IF(OR($C521="S",$C521=0),0,MATCH(OFFSET($D521,0,$C521)+IF($C521&lt;&gt;1,1,COUNTIF(QCI!$A$13:$A$24,ORÇAMENTO!E521)),OFFSET($D521,1,$C521,ROW($C$747)-ROW($C521)),0))</f>
        <v>0</v>
      </c>
      <c r="L521" s="116" t="str">
        <f t="shared" ca="1" si="64"/>
        <v/>
      </c>
      <c r="M521" s="117" t="s">
        <v>199</v>
      </c>
      <c r="N521" s="118" t="str">
        <f t="shared" ca="1" si="65"/>
        <v>Serviço</v>
      </c>
      <c r="O521" s="119" t="str">
        <f t="shared" ca="1" si="66"/>
        <v>-</v>
      </c>
      <c r="P521" s="120" t="s">
        <v>247</v>
      </c>
      <c r="Q521" s="121" t="s">
        <v>654</v>
      </c>
      <c r="R521" s="122" t="str">
        <f ca="1">IF($C521="S",REFERENCIA.Descricao,"(digite a descrição aqui)")</f>
        <v>(abra o arquivo 'Referência 02-2025.xlsm)</v>
      </c>
      <c r="S521" s="123" t="str">
        <f ca="1">REFERENCIA.Unidade</f>
        <v>-</v>
      </c>
      <c r="T521" s="124">
        <f ca="1">OFFSET(CÁLCULO!H$15,ROW($T521)-ROW(T$15),0)</f>
        <v>83.5</v>
      </c>
      <c r="U521" s="125">
        <f t="shared" ca="1" si="131"/>
        <v>0</v>
      </c>
      <c r="V521" s="126" t="s">
        <v>156</v>
      </c>
      <c r="W521" s="124">
        <f ca="1">IF($C521="S",ROUND(IF(TIPOORCAMENTO="Proposto",ORÇAMENTO.CustoUnitario*(1+$AH521),ORÇAMENTO.PrecoUnitarioLicitado),15-13*$AF$10),0)</f>
        <v>0</v>
      </c>
      <c r="X521" s="127">
        <f ca="1">IF($C521="S",IF(Import.TipoArredondamento&lt;&gt;"TransfereGOV",VTOTAL1,SUM(OFFSET(CÁLCULO!$AA$15,ROW($X521)-ROW($X$15),1):OFFSET(CÁLCULO!$AL$15,ROW($X521)-ROW($X$15),-1))),IF($C521=0,0,ROUND(SomaAgrup,15-13*$AF$11)))</f>
        <v>0</v>
      </c>
      <c r="Y521" s="128" t="s">
        <v>245</v>
      </c>
      <c r="Z521" t="str">
        <f t="shared" ca="1" si="67"/>
        <v/>
      </c>
      <c r="AA521" s="129">
        <f ca="1">IF($C521="S",IF($Z521="CP",$X521,IF($Z521="RA",(($X521)*QCI!$AA$3),0)),SomaAgrup)</f>
        <v>0</v>
      </c>
      <c r="AB521" s="130">
        <f t="shared" ca="1" si="68"/>
        <v>0</v>
      </c>
      <c r="AC521" s="131" t="str">
        <f ca="1">IF($N521="","",IF(ORÇAMENTO.Descricao="","DESCRIÇÃO",IF(AND($C521="S",ORÇAMENTO.Unidade=""),"UNIDADE",IF($X521&lt;0,"VALOR NEGATIVO",IF(OR(AND(TIPOORCAMENTO="Proposto",$AG521&lt;&gt;"",$AG521&gt;0,ORÇAMENTO.CustoUnitario&gt;$AG521),AND(TIPOORCAMENTO="LICITADO",ORÇAMENTO.PrecoUnitarioLicitado&gt;$AN521)),"ACIMA REF.","")))))</f>
        <v/>
      </c>
      <c r="AD521" t="str">
        <f ca="1">IF(C521&lt;=CRONO.NivelExibicao,MAX($AD$15:OFFSET(AD521,-1,0))+IF($C521&lt;&gt;1,1,MAX(1,COUNTIF(QCI!$A$13:$A$24,OFFSET($E521,-1,0)))),"")</f>
        <v/>
      </c>
      <c r="AE521" s="7" t="str">
        <f ca="1">IF(AND($C521="S",ORÇAMENTO.CodBarra&lt;&gt;""),IF(ORÇAMENTO.Fonte="",ORÇAMENTO.CodBarra,CONCATENATE(ORÇAMENTO.Fonte," ",ORÇAMENTO.CodBarra)))</f>
        <v>SINAPI 92996</v>
      </c>
      <c r="AF521" s="13" t="str">
        <f ca="1">IF(ISERROR(INDIRECT(ORÇAMENTO.BancoRef)),"(abra o arquivo 'Referência "&amp;Excel_BuiltIn_Database&amp;".xlsm)",IF(OR($C521&lt;&gt;"S",ORÇAMENTO.CodBarra=""),"(Sem Código)",IF(ISERROR(MATCH($AE521,INDIRECT(ORÇAMENTO.BancoRef),0)),"(Código não identificado nas referências)",MATCH($AE521,INDIRECT(ORÇAMENTO.BancoRef),0))))</f>
        <v>(abra o arquivo 'Referência 02-2025.xlsm)</v>
      </c>
      <c r="AG521" s="498">
        <f ca="1">ROUND(IF(DESONERACAO="sim",REFERENCIA.Desonerado,REFERENCIA.NaoDesonerado),2)</f>
        <v>0</v>
      </c>
      <c r="AH521" s="499">
        <f t="shared" ca="1" si="69"/>
        <v>0.22470000000000001</v>
      </c>
      <c r="AJ521" s="501">
        <v>83.5</v>
      </c>
      <c r="AL521" s="527"/>
      <c r="AM521" s="381">
        <f t="shared" ca="1" si="70"/>
        <v>0</v>
      </c>
      <c r="AN521" s="566">
        <f t="shared" ca="1" si="71"/>
        <v>0</v>
      </c>
    </row>
    <row r="522" spans="1:40" ht="38.25" x14ac:dyDescent="0.2">
      <c r="A522" t="str">
        <f t="shared" si="56"/>
        <v>S</v>
      </c>
      <c r="B522">
        <f t="shared" ca="1" si="57"/>
        <v>3</v>
      </c>
      <c r="C522" t="str">
        <f t="shared" ca="1" si="58"/>
        <v>S</v>
      </c>
      <c r="D522">
        <f t="shared" ca="1" si="59"/>
        <v>0</v>
      </c>
      <c r="E522">
        <f ca="1">IF($C522=1,OFFSET(E522,-1,0)+MAX(1,COUNTIF(QCI!$A$13:$A$24,OFFSET(ORÇAMENTO!E522,-1,0))),OFFSET(E522,-1,0))</f>
        <v>1</v>
      </c>
      <c r="F522">
        <f t="shared" ca="1" si="60"/>
        <v>17</v>
      </c>
      <c r="G522">
        <f t="shared" ca="1" si="61"/>
        <v>4</v>
      </c>
      <c r="H522">
        <f t="shared" ca="1" si="62"/>
        <v>0</v>
      </c>
      <c r="I522">
        <f t="shared" ca="1" si="63"/>
        <v>0</v>
      </c>
      <c r="J522">
        <f t="shared" ca="1" si="144"/>
        <v>0</v>
      </c>
      <c r="K522">
        <f ca="1">IF(OR($C522="S",$C522=0),0,MATCH(OFFSET($D522,0,$C522)+IF($C522&lt;&gt;1,1,COUNTIF(QCI!$A$13:$A$24,ORÇAMENTO!E522)),OFFSET($D522,1,$C522,ROW($C$747)-ROW($C522)),0))</f>
        <v>0</v>
      </c>
      <c r="L522" s="116" t="str">
        <f t="shared" ca="1" si="64"/>
        <v/>
      </c>
      <c r="M522" s="117" t="s">
        <v>199</v>
      </c>
      <c r="N522" s="118" t="str">
        <f t="shared" ca="1" si="65"/>
        <v>Serviço</v>
      </c>
      <c r="O522" s="119" t="str">
        <f t="shared" ca="1" si="66"/>
        <v>-</v>
      </c>
      <c r="P522" s="120" t="s">
        <v>247</v>
      </c>
      <c r="Q522" s="121" t="s">
        <v>659</v>
      </c>
      <c r="R522" s="122" t="str">
        <f ca="1">IF($C522="S",REFERENCIA.Descricao,"(digite a descrição aqui)")</f>
        <v>(abra o arquivo 'Referência 02-2025.xlsm)</v>
      </c>
      <c r="S522" s="123" t="str">
        <f ca="1">REFERENCIA.Unidade</f>
        <v>-</v>
      </c>
      <c r="T522" s="124">
        <f ca="1">OFFSET(CÁLCULO!H$15,ROW($T522)-ROW(T$15),0)</f>
        <v>524.9</v>
      </c>
      <c r="U522" s="125">
        <f t="shared" ca="1" si="131"/>
        <v>0</v>
      </c>
      <c r="V522" s="126" t="s">
        <v>156</v>
      </c>
      <c r="W522" s="124">
        <f ca="1">IF($C522="S",ROUND(IF(TIPOORCAMENTO="Proposto",ORÇAMENTO.CustoUnitario*(1+$AH522),ORÇAMENTO.PrecoUnitarioLicitado),15-13*$AF$10),0)</f>
        <v>0</v>
      </c>
      <c r="X522" s="127">
        <f ca="1">IF($C522="S",IF(Import.TipoArredondamento&lt;&gt;"TransfereGOV",VTOTAL1,SUM(OFFSET(CÁLCULO!$AA$15,ROW($X522)-ROW($X$15),1):OFFSET(CÁLCULO!$AL$15,ROW($X522)-ROW($X$15),-1))),IF($C522=0,0,ROUND(SomaAgrup,15-13*$AF$11)))</f>
        <v>0</v>
      </c>
      <c r="Y522" s="128" t="s">
        <v>245</v>
      </c>
      <c r="Z522" t="str">
        <f t="shared" ca="1" si="67"/>
        <v/>
      </c>
      <c r="AA522" s="129">
        <f ca="1">IF($C522="S",IF($Z522="CP",$X522,IF($Z522="RA",(($X522)*QCI!$AA$3),0)),SomaAgrup)</f>
        <v>0</v>
      </c>
      <c r="AB522" s="130">
        <f t="shared" ca="1" si="68"/>
        <v>0</v>
      </c>
      <c r="AC522" s="131" t="str">
        <f ca="1">IF($N522="","",IF(ORÇAMENTO.Descricao="","DESCRIÇÃO",IF(AND($C522="S",ORÇAMENTO.Unidade=""),"UNIDADE",IF($X522&lt;0,"VALOR NEGATIVO",IF(OR(AND(TIPOORCAMENTO="Proposto",$AG522&lt;&gt;"",$AG522&gt;0,ORÇAMENTO.CustoUnitario&gt;$AG522),AND(TIPOORCAMENTO="LICITADO",ORÇAMENTO.PrecoUnitarioLicitado&gt;$AN522)),"ACIMA REF.","")))))</f>
        <v/>
      </c>
      <c r="AD522" t="str">
        <f ca="1">IF(C522&lt;=CRONO.NivelExibicao,MAX($AD$15:OFFSET(AD522,-1,0))+IF($C522&lt;&gt;1,1,MAX(1,COUNTIF(QCI!$A$13:$A$24,OFFSET($E522,-1,0)))),"")</f>
        <v/>
      </c>
      <c r="AE522" s="7" t="str">
        <f ca="1">IF(AND($C522="S",ORÇAMENTO.CodBarra&lt;&gt;""),IF(ORÇAMENTO.Fonte="",ORÇAMENTO.CodBarra,CONCATENATE(ORÇAMENTO.Fonte," ",ORÇAMENTO.CodBarra)))</f>
        <v>SINAPI 101567</v>
      </c>
      <c r="AF522" s="13" t="str">
        <f ca="1">IF(ISERROR(INDIRECT(ORÇAMENTO.BancoRef)),"(abra o arquivo 'Referência "&amp;Excel_BuiltIn_Database&amp;".xlsm)",IF(OR($C522&lt;&gt;"S",ORÇAMENTO.CodBarra=""),"(Sem Código)",IF(ISERROR(MATCH($AE522,INDIRECT(ORÇAMENTO.BancoRef),0)),"(Código não identificado nas referências)",MATCH($AE522,INDIRECT(ORÇAMENTO.BancoRef),0))))</f>
        <v>(abra o arquivo 'Referência 02-2025.xlsm)</v>
      </c>
      <c r="AG522" s="498">
        <f ca="1">ROUND(IF(DESONERACAO="sim",REFERENCIA.Desonerado,REFERENCIA.NaoDesonerado),2)</f>
        <v>0</v>
      </c>
      <c r="AH522" s="499">
        <f t="shared" ca="1" si="69"/>
        <v>0.22470000000000001</v>
      </c>
      <c r="AJ522" s="501">
        <v>524.9</v>
      </c>
      <c r="AL522" s="527"/>
      <c r="AM522" s="381">
        <f t="shared" ca="1" si="70"/>
        <v>0</v>
      </c>
      <c r="AN522" s="566">
        <f t="shared" ca="1" si="71"/>
        <v>0</v>
      </c>
    </row>
    <row r="523" spans="1:40" ht="38.25" x14ac:dyDescent="0.2">
      <c r="A523" t="str">
        <f t="shared" ref="A523:A583" si="145">CHOOSE(1+LOG(1+2*(ORÇAMENTO.Nivel="Meta")+4*(ORÇAMENTO.Nivel="Nível 2")+8*(ORÇAMENTO.Nivel="Nível 3")+16*(ORÇAMENTO.Nivel="Nível 4")+32*(ORÇAMENTO.Nivel="Serviço"),2),0,1,2,3,4,"S")</f>
        <v>S</v>
      </c>
      <c r="B523">
        <f t="shared" ref="B523:B745" ca="1" si="146">IF(OR(C523="s",C523=0),OFFSET(B523,-1,0),C523)</f>
        <v>3</v>
      </c>
      <c r="C523" t="str">
        <f t="shared" ref="C523:C745" ca="1" si="147">IF(OFFSET(C523,-1,0)="L",1,IF(OFFSET(C523,-1,0)=1,2,IF(OR(A523="s",A523=0),"S",IF(AND(OFFSET(C523,-1,0)=2,A523=4),3,IF(AND(OR(OFFSET(C523,-1,0)="s",OFFSET(C523,-1,0)=0),A523&lt;&gt;"s",A523&gt;OFFSET(B523,-1,0)),OFFSET(B523,-1,0),A523)))))</f>
        <v>S</v>
      </c>
      <c r="D523">
        <f t="shared" ref="D523:D745" ca="1" si="148">IF(OR(C523="S",C523=0),0,IF(ISERROR(K523),J523,SMALL(J523:K523,1)))</f>
        <v>0</v>
      </c>
      <c r="E523">
        <f ca="1">IF($C523=1,OFFSET(E523,-1,0)+MAX(1,COUNTIF(QCI!$A$13:$A$24,OFFSET(ORÇAMENTO!E523,-1,0))),OFFSET(E523,-1,0))</f>
        <v>1</v>
      </c>
      <c r="F523">
        <f t="shared" ref="F523:F745" ca="1" si="149">IF($C523=1,0,IF($C523=2,OFFSET(F523,-1,0)+1,OFFSET(F523,-1,0)))</f>
        <v>17</v>
      </c>
      <c r="G523">
        <f t="shared" ref="G523:G745" ca="1" si="150">IF(AND($C523&lt;=2,$C523&lt;&gt;0),0,IF($C523=3,OFFSET(G523,-1,0)+1,OFFSET(G523,-1,0)))</f>
        <v>4</v>
      </c>
      <c r="H523">
        <f t="shared" ref="H523:H745" ca="1" si="151">IF(AND($C523&lt;=3,$C523&lt;&gt;0),0,IF($C523=4,OFFSET(H523,-1,0)+1,OFFSET(H523,-1,0)))</f>
        <v>0</v>
      </c>
      <c r="I523">
        <f t="shared" ref="I523:I745" ca="1" si="152">IF(AND($C523&lt;=4,$C523&lt;&gt;0),0,IF(AND($C523="S",$X523&gt;0),OFFSET(I523,-1,0)+1,OFFSET(I523,-1,0)))</f>
        <v>0</v>
      </c>
      <c r="J523">
        <f t="shared" ca="1" si="144"/>
        <v>0</v>
      </c>
      <c r="K523">
        <f ca="1">IF(OR($C523="S",$C523=0),0,MATCH(OFFSET($D523,0,$C523)+IF($C523&lt;&gt;1,1,COUNTIF(QCI!$A$13:$A$24,ORÇAMENTO!E523)),OFFSET($D523,1,$C523,ROW($C$747)-ROW($C523)),0))</f>
        <v>0</v>
      </c>
      <c r="L523" s="116" t="str">
        <f t="shared" ref="L523:L745" ca="1" si="153">IF(OR($X523&gt;0,$C523=1,$C523=2,$C523=3,$C523=4),"F","")</f>
        <v/>
      </c>
      <c r="M523" s="117" t="s">
        <v>199</v>
      </c>
      <c r="N523" s="118" t="str">
        <f t="shared" ref="N523:N745" ca="1" si="154">CHOOSE(1+LOG(1+2*(C523=1)+4*(C523=2)+8*(C523=3)+16*(C523=4)+32*(C523="S"),2),"","Meta","Nível 2","Nível 3","Nível 4","Serviço")</f>
        <v>Serviço</v>
      </c>
      <c r="O523" s="119" t="str">
        <f t="shared" ref="O523:O745" ca="1" si="155">IF(OR($C523=0,$L523=""),"-",CONCATENATE(E523&amp;".",IF(AND($A$5&gt;=2,$C523&gt;=2),F523&amp;".",""),IF(AND($A$5&gt;=3,$C523&gt;=3),G523&amp;".",""),IF(AND($A$5&gt;=4,$C523&gt;=4),H523&amp;".",""),IF($C523="S",I523&amp;".","")))</f>
        <v>-</v>
      </c>
      <c r="P523" s="120" t="s">
        <v>247</v>
      </c>
      <c r="Q523" s="121" t="s">
        <v>958</v>
      </c>
      <c r="R523" s="122" t="str">
        <f ca="1">IF($C523="S",REFERENCIA.Descricao,"(digite a descrição aqui)")</f>
        <v>(abra o arquivo 'Referência 02-2025.xlsm)</v>
      </c>
      <c r="S523" s="123" t="str">
        <f ca="1">REFERENCIA.Unidade</f>
        <v>-</v>
      </c>
      <c r="T523" s="124">
        <f ca="1">OFFSET(CÁLCULO!H$15,ROW($T523)-ROW(T$15),0)</f>
        <v>129</v>
      </c>
      <c r="U523" s="125">
        <f t="shared" ca="1" si="131"/>
        <v>0</v>
      </c>
      <c r="V523" s="126" t="s">
        <v>156</v>
      </c>
      <c r="W523" s="124">
        <f ca="1">IF($C523="S",ROUND(IF(TIPOORCAMENTO="Proposto",ORÇAMENTO.CustoUnitario*(1+$AH523),ORÇAMENTO.PrecoUnitarioLicitado),15-13*$AF$10),0)</f>
        <v>0</v>
      </c>
      <c r="X523" s="127">
        <f ca="1">IF($C523="S",IF(Import.TipoArredondamento&lt;&gt;"TransfereGOV",VTOTAL1,SUM(OFFSET(CÁLCULO!$AA$15,ROW($X523)-ROW($X$15),1):OFFSET(CÁLCULO!$AL$15,ROW($X523)-ROW($X$15),-1))),IF($C523=0,0,ROUND(SomaAgrup,15-13*$AF$11)))</f>
        <v>0</v>
      </c>
      <c r="Y523" s="128" t="s">
        <v>245</v>
      </c>
      <c r="Z523" t="str">
        <f t="shared" ref="Z523:Z745" ca="1" si="156">IF(AND($C523="S",$X523&gt;0),IF(ISBLANK($Y523),"RA",LEFT($Y523,2)),"")</f>
        <v/>
      </c>
      <c r="AA523" s="129">
        <f ca="1">IF($C523="S",IF($Z523="CP",$X523,IF($Z523="RA",(($X523)*QCI!$AA$3),0)),SomaAgrup)</f>
        <v>0</v>
      </c>
      <c r="AB523" s="130">
        <f t="shared" ref="AB523:AB583" ca="1" si="157">IF($C523="S",IF($Z523="OU",ROUND($X523,2),0),SomaAgrup)</f>
        <v>0</v>
      </c>
      <c r="AC523" s="131" t="str">
        <f ca="1">IF($N523="","",IF(ORÇAMENTO.Descricao="","DESCRIÇÃO",IF(AND($C523="S",ORÇAMENTO.Unidade=""),"UNIDADE",IF($X523&lt;0,"VALOR NEGATIVO",IF(OR(AND(TIPOORCAMENTO="Proposto",$AG523&lt;&gt;"",$AG523&gt;0,ORÇAMENTO.CustoUnitario&gt;$AG523),AND(TIPOORCAMENTO="LICITADO",ORÇAMENTO.PrecoUnitarioLicitado&gt;$AN523)),"ACIMA REF.","")))))</f>
        <v/>
      </c>
      <c r="AD523" t="str">
        <f ca="1">IF(C523&lt;=CRONO.NivelExibicao,MAX($AD$15:OFFSET(AD523,-1,0))+IF($C523&lt;&gt;1,1,MAX(1,COUNTIF(QCI!$A$13:$A$24,OFFSET($E523,-1,0)))),"")</f>
        <v/>
      </c>
      <c r="AE523" s="7" t="str">
        <f ca="1">IF(AND($C523="S",ORÇAMENTO.CodBarra&lt;&gt;""),IF(ORÇAMENTO.Fonte="",ORÇAMENTO.CodBarra,CONCATENATE(ORÇAMENTO.Fonte," ",ORÇAMENTO.CodBarra)))</f>
        <v>SINAPI 92988</v>
      </c>
      <c r="AF523" s="13" t="str">
        <f ca="1">IF(ISERROR(INDIRECT(ORÇAMENTO.BancoRef)),"(abra o arquivo 'Referência "&amp;Excel_BuiltIn_Database&amp;".xlsm)",IF(OR($C523&lt;&gt;"S",ORÇAMENTO.CodBarra=""),"(Sem Código)",IF(ISERROR(MATCH($AE523,INDIRECT(ORÇAMENTO.BancoRef),0)),"(Código não identificado nas referências)",MATCH($AE523,INDIRECT(ORÇAMENTO.BancoRef),0))))</f>
        <v>(abra o arquivo 'Referência 02-2025.xlsm)</v>
      </c>
      <c r="AG523" s="498">
        <f ca="1">ROUND(IF(DESONERACAO="sim",REFERENCIA.Desonerado,REFERENCIA.NaoDesonerado),2)</f>
        <v>0</v>
      </c>
      <c r="AH523" s="499">
        <f t="shared" ref="AH523:AH583" ca="1" si="158">ROUND(IF(ISNUMBER(ORÇAMENTO.OpcaoBDI),ORÇAMENTO.OpcaoBDI,IF(LEFT(ORÇAMENTO.OpcaoBDI,3)="BDI",HLOOKUP(ORÇAMENTO.OpcaoBDI,$F$4:$H$5,2,FALSE),0)),15-11*$AF$9)</f>
        <v>0.22470000000000001</v>
      </c>
      <c r="AJ523" s="501">
        <v>129</v>
      </c>
      <c r="AL523" s="527"/>
      <c r="AM523" s="381">
        <f t="shared" ref="AM523:AM745" ca="1" si="159">$X523</f>
        <v>0</v>
      </c>
      <c r="AN523" s="566">
        <f t="shared" ref="AN523:AN583" ca="1" si="160">ROUND(ORÇAMENTO.CustoUnitario*(1+$AH523),2)</f>
        <v>0</v>
      </c>
    </row>
    <row r="524" spans="1:40" ht="38.25" x14ac:dyDescent="0.2">
      <c r="A524" t="str">
        <f t="shared" si="145"/>
        <v>S</v>
      </c>
      <c r="B524">
        <f t="shared" ca="1" si="146"/>
        <v>3</v>
      </c>
      <c r="C524" t="str">
        <f t="shared" ca="1" si="147"/>
        <v>S</v>
      </c>
      <c r="D524">
        <f t="shared" ca="1" si="148"/>
        <v>0</v>
      </c>
      <c r="E524">
        <f ca="1">IF($C524=1,OFFSET(E524,-1,0)+MAX(1,COUNTIF(QCI!$A$13:$A$24,OFFSET(ORÇAMENTO!E524,-1,0))),OFFSET(E524,-1,0))</f>
        <v>1</v>
      </c>
      <c r="F524">
        <f t="shared" ca="1" si="149"/>
        <v>17</v>
      </c>
      <c r="G524">
        <f t="shared" ca="1" si="150"/>
        <v>4</v>
      </c>
      <c r="H524">
        <f t="shared" ca="1" si="151"/>
        <v>0</v>
      </c>
      <c r="I524">
        <f t="shared" ca="1" si="152"/>
        <v>0</v>
      </c>
      <c r="J524">
        <f t="shared" ca="1" si="144"/>
        <v>0</v>
      </c>
      <c r="K524">
        <f ca="1">IF(OR($C524="S",$C524=0),0,MATCH(OFFSET($D524,0,$C524)+IF($C524&lt;&gt;1,1,COUNTIF(QCI!$A$13:$A$24,ORÇAMENTO!E524)),OFFSET($D524,1,$C524,ROW($C$747)-ROW($C524)),0))</f>
        <v>0</v>
      </c>
      <c r="L524" s="116" t="str">
        <f t="shared" ca="1" si="153"/>
        <v/>
      </c>
      <c r="M524" s="117" t="s">
        <v>199</v>
      </c>
      <c r="N524" s="118" t="str">
        <f t="shared" ca="1" si="154"/>
        <v>Serviço</v>
      </c>
      <c r="O524" s="119" t="str">
        <f t="shared" ca="1" si="155"/>
        <v>-</v>
      </c>
      <c r="P524" s="120" t="s">
        <v>247</v>
      </c>
      <c r="Q524" s="121" t="s">
        <v>959</v>
      </c>
      <c r="R524" s="122" t="str">
        <f ca="1">IF($C524="S",REFERENCIA.Descricao,"(digite a descrição aqui)")</f>
        <v>(abra o arquivo 'Referência 02-2025.xlsm)</v>
      </c>
      <c r="S524" s="123" t="str">
        <f ca="1">REFERENCIA.Unidade</f>
        <v>-</v>
      </c>
      <c r="T524" s="124">
        <f ca="1">OFFSET(CÁLCULO!H$15,ROW($T524)-ROW(T$15),0)</f>
        <v>76.400000000000006</v>
      </c>
      <c r="U524" s="125">
        <f t="shared" ca="1" si="131"/>
        <v>0</v>
      </c>
      <c r="V524" s="126" t="s">
        <v>156</v>
      </c>
      <c r="W524" s="124">
        <f ca="1">IF($C524="S",ROUND(IF(TIPOORCAMENTO="Proposto",ORÇAMENTO.CustoUnitario*(1+$AH524),ORÇAMENTO.PrecoUnitarioLicitado),15-13*$AF$10),0)</f>
        <v>0</v>
      </c>
      <c r="X524" s="127">
        <f ca="1">IF($C524="S",IF(Import.TipoArredondamento&lt;&gt;"TransfereGOV",VTOTAL1,SUM(OFFSET(CÁLCULO!$AA$15,ROW($X524)-ROW($X$15),1):OFFSET(CÁLCULO!$AL$15,ROW($X524)-ROW($X$15),-1))),IF($C524=0,0,ROUND(SomaAgrup,15-13*$AF$11)))</f>
        <v>0</v>
      </c>
      <c r="Y524" s="128" t="s">
        <v>245</v>
      </c>
      <c r="Z524" t="str">
        <f t="shared" ca="1" si="156"/>
        <v/>
      </c>
      <c r="AA524" s="129">
        <f ca="1">IF($C524="S",IF($Z524="CP",$X524,IF($Z524="RA",(($X524)*QCI!$AA$3),0)),SomaAgrup)</f>
        <v>0</v>
      </c>
      <c r="AB524" s="130">
        <f t="shared" ca="1" si="157"/>
        <v>0</v>
      </c>
      <c r="AC524" s="131" t="str">
        <f ca="1">IF($N524="","",IF(ORÇAMENTO.Descricao="","DESCRIÇÃO",IF(AND($C524="S",ORÇAMENTO.Unidade=""),"UNIDADE",IF($X524&lt;0,"VALOR NEGATIVO",IF(OR(AND(TIPOORCAMENTO="Proposto",$AG524&lt;&gt;"",$AG524&gt;0,ORÇAMENTO.CustoUnitario&gt;$AG524),AND(TIPOORCAMENTO="LICITADO",ORÇAMENTO.PrecoUnitarioLicitado&gt;$AN524)),"ACIMA REF.","")))))</f>
        <v/>
      </c>
      <c r="AD524" t="str">
        <f ca="1">IF(C524&lt;=CRONO.NivelExibicao,MAX($AD$15:OFFSET(AD524,-1,0))+IF($C524&lt;&gt;1,1,MAX(1,COUNTIF(QCI!$A$13:$A$24,OFFSET($E524,-1,0)))),"")</f>
        <v/>
      </c>
      <c r="AE524" s="7" t="str">
        <f ca="1">IF(AND($C524="S",ORÇAMENTO.CodBarra&lt;&gt;""),IF(ORÇAMENTO.Fonte="",ORÇAMENTO.CodBarra,CONCATENATE(ORÇAMENTO.Fonte," ",ORÇAMENTO.CodBarra)))</f>
        <v>SINAPI 92982</v>
      </c>
      <c r="AF524" s="13" t="str">
        <f ca="1">IF(ISERROR(INDIRECT(ORÇAMENTO.BancoRef)),"(abra o arquivo 'Referência "&amp;Excel_BuiltIn_Database&amp;".xlsm)",IF(OR($C524&lt;&gt;"S",ORÇAMENTO.CodBarra=""),"(Sem Código)",IF(ISERROR(MATCH($AE524,INDIRECT(ORÇAMENTO.BancoRef),0)),"(Código não identificado nas referências)",MATCH($AE524,INDIRECT(ORÇAMENTO.BancoRef),0))))</f>
        <v>(abra o arquivo 'Referência 02-2025.xlsm)</v>
      </c>
      <c r="AG524" s="498">
        <f ca="1">ROUND(IF(DESONERACAO="sim",REFERENCIA.Desonerado,REFERENCIA.NaoDesonerado),2)</f>
        <v>0</v>
      </c>
      <c r="AH524" s="499">
        <f t="shared" ca="1" si="158"/>
        <v>0.22470000000000001</v>
      </c>
      <c r="AJ524" s="501">
        <v>76.400000000000006</v>
      </c>
      <c r="AL524" s="527"/>
      <c r="AM524" s="381">
        <f t="shared" ca="1" si="159"/>
        <v>0</v>
      </c>
      <c r="AN524" s="566">
        <f t="shared" ca="1" si="160"/>
        <v>0</v>
      </c>
    </row>
    <row r="525" spans="1:40" ht="38.25" x14ac:dyDescent="0.2">
      <c r="A525" t="str">
        <f t="shared" si="145"/>
        <v>S</v>
      </c>
      <c r="B525">
        <f t="shared" ca="1" si="146"/>
        <v>3</v>
      </c>
      <c r="C525" t="str">
        <f t="shared" ca="1" si="147"/>
        <v>S</v>
      </c>
      <c r="D525">
        <f t="shared" ca="1" si="148"/>
        <v>0</v>
      </c>
      <c r="E525">
        <f ca="1">IF($C525=1,OFFSET(E525,-1,0)+MAX(1,COUNTIF(QCI!$A$13:$A$24,OFFSET(ORÇAMENTO!E525,-1,0))),OFFSET(E525,-1,0))</f>
        <v>1</v>
      </c>
      <c r="F525">
        <f t="shared" ca="1" si="149"/>
        <v>17</v>
      </c>
      <c r="G525">
        <f t="shared" ca="1" si="150"/>
        <v>4</v>
      </c>
      <c r="H525">
        <f t="shared" ca="1" si="151"/>
        <v>0</v>
      </c>
      <c r="I525">
        <f t="shared" ca="1" si="152"/>
        <v>0</v>
      </c>
      <c r="J525">
        <f t="shared" ca="1" si="144"/>
        <v>0</v>
      </c>
      <c r="K525">
        <f ca="1">IF(OR($C525="S",$C525=0),0,MATCH(OFFSET($D525,0,$C525)+IF($C525&lt;&gt;1,1,COUNTIF(QCI!$A$13:$A$24,ORÇAMENTO!E525)),OFFSET($D525,1,$C525,ROW($C$747)-ROW($C525)),0))</f>
        <v>0</v>
      </c>
      <c r="L525" s="116" t="str">
        <f t="shared" ca="1" si="153"/>
        <v/>
      </c>
      <c r="M525" s="117" t="s">
        <v>199</v>
      </c>
      <c r="N525" s="118" t="str">
        <f t="shared" ca="1" si="154"/>
        <v>Serviço</v>
      </c>
      <c r="O525" s="119" t="str">
        <f t="shared" ca="1" si="155"/>
        <v>-</v>
      </c>
      <c r="P525" s="120" t="s">
        <v>247</v>
      </c>
      <c r="Q525" s="121" t="s">
        <v>960</v>
      </c>
      <c r="R525" s="122" t="str">
        <f ca="1">IF($C525="S",REFERENCIA.Descricao,"(digite a descrição aqui)")</f>
        <v>(abra o arquivo 'Referência 02-2025.xlsm)</v>
      </c>
      <c r="S525" s="123" t="str">
        <f ca="1">REFERENCIA.Unidade</f>
        <v>-</v>
      </c>
      <c r="T525" s="124">
        <f ca="1">OFFSET(CÁLCULO!H$15,ROW($T525)-ROW(T$15),0)</f>
        <v>288.3</v>
      </c>
      <c r="U525" s="125">
        <f t="shared" ca="1" si="131"/>
        <v>0</v>
      </c>
      <c r="V525" s="126" t="s">
        <v>156</v>
      </c>
      <c r="W525" s="124">
        <f ca="1">IF($C525="S",ROUND(IF(TIPOORCAMENTO="Proposto",ORÇAMENTO.CustoUnitario*(1+$AH525),ORÇAMENTO.PrecoUnitarioLicitado),15-13*$AF$10),0)</f>
        <v>0</v>
      </c>
      <c r="X525" s="127">
        <f ca="1">IF($C525="S",IF(Import.TipoArredondamento&lt;&gt;"TransfereGOV",VTOTAL1,SUM(OFFSET(CÁLCULO!$AA$15,ROW($X525)-ROW($X$15),1):OFFSET(CÁLCULO!$AL$15,ROW($X525)-ROW($X$15),-1))),IF($C525=0,0,ROUND(SomaAgrup,15-13*$AF$11)))</f>
        <v>0</v>
      </c>
      <c r="Y525" s="128" t="s">
        <v>245</v>
      </c>
      <c r="Z525" t="str">
        <f t="shared" ca="1" si="156"/>
        <v/>
      </c>
      <c r="AA525" s="129">
        <f ca="1">IF($C525="S",IF($Z525="CP",$X525,IF($Z525="RA",(($X525)*QCI!$AA$3),0)),SomaAgrup)</f>
        <v>0</v>
      </c>
      <c r="AB525" s="130">
        <f t="shared" ca="1" si="157"/>
        <v>0</v>
      </c>
      <c r="AC525" s="131" t="str">
        <f ca="1">IF($N525="","",IF(ORÇAMENTO.Descricao="","DESCRIÇÃO",IF(AND($C525="S",ORÇAMENTO.Unidade=""),"UNIDADE",IF($X525&lt;0,"VALOR NEGATIVO",IF(OR(AND(TIPOORCAMENTO="Proposto",$AG525&lt;&gt;"",$AG525&gt;0,ORÇAMENTO.CustoUnitario&gt;$AG525),AND(TIPOORCAMENTO="LICITADO",ORÇAMENTO.PrecoUnitarioLicitado&gt;$AN525)),"ACIMA REF.","")))))</f>
        <v/>
      </c>
      <c r="AD525" t="str">
        <f ca="1">IF(C525&lt;=CRONO.NivelExibicao,MAX($AD$15:OFFSET(AD525,-1,0))+IF($C525&lt;&gt;1,1,MAX(1,COUNTIF(QCI!$A$13:$A$24,OFFSET($E525,-1,0)))),"")</f>
        <v/>
      </c>
      <c r="AE525" s="7" t="str">
        <f ca="1">IF(AND($C525="S",ORÇAMENTO.CodBarra&lt;&gt;""),IF(ORÇAMENTO.Fonte="",ORÇAMENTO.CodBarra,CONCATENATE(ORÇAMENTO.Fonte," ",ORÇAMENTO.CodBarra)))</f>
        <v>SINAPI 91933</v>
      </c>
      <c r="AF525" s="13" t="str">
        <f ca="1">IF(ISERROR(INDIRECT(ORÇAMENTO.BancoRef)),"(abra o arquivo 'Referência "&amp;Excel_BuiltIn_Database&amp;".xlsm)",IF(OR($C525&lt;&gt;"S",ORÇAMENTO.CodBarra=""),"(Sem Código)",IF(ISERROR(MATCH($AE525,INDIRECT(ORÇAMENTO.BancoRef),0)),"(Código não identificado nas referências)",MATCH($AE525,INDIRECT(ORÇAMENTO.BancoRef),0))))</f>
        <v>(abra o arquivo 'Referência 02-2025.xlsm)</v>
      </c>
      <c r="AG525" s="498">
        <f ca="1">ROUND(IF(DESONERACAO="sim",REFERENCIA.Desonerado,REFERENCIA.NaoDesonerado),2)</f>
        <v>0</v>
      </c>
      <c r="AH525" s="499">
        <f t="shared" ca="1" si="158"/>
        <v>0.22470000000000001</v>
      </c>
      <c r="AJ525" s="501">
        <v>288.3</v>
      </c>
      <c r="AL525" s="527"/>
      <c r="AM525" s="381">
        <f t="shared" ca="1" si="159"/>
        <v>0</v>
      </c>
      <c r="AN525" s="566">
        <f t="shared" ca="1" si="160"/>
        <v>0</v>
      </c>
    </row>
    <row r="526" spans="1:40" ht="38.25" x14ac:dyDescent="0.2">
      <c r="A526" t="str">
        <f t="shared" si="145"/>
        <v>S</v>
      </c>
      <c r="B526">
        <f t="shared" ca="1" si="146"/>
        <v>3</v>
      </c>
      <c r="C526" t="str">
        <f t="shared" ca="1" si="147"/>
        <v>S</v>
      </c>
      <c r="D526">
        <f t="shared" ca="1" si="148"/>
        <v>0</v>
      </c>
      <c r="E526">
        <f ca="1">IF($C526=1,OFFSET(E526,-1,0)+MAX(1,COUNTIF(QCI!$A$13:$A$24,OFFSET(ORÇAMENTO!E526,-1,0))),OFFSET(E526,-1,0))</f>
        <v>1</v>
      </c>
      <c r="F526">
        <f t="shared" ca="1" si="149"/>
        <v>17</v>
      </c>
      <c r="G526">
        <f t="shared" ca="1" si="150"/>
        <v>4</v>
      </c>
      <c r="H526">
        <f t="shared" ca="1" si="151"/>
        <v>0</v>
      </c>
      <c r="I526">
        <f t="shared" ca="1" si="152"/>
        <v>0</v>
      </c>
      <c r="J526">
        <f t="shared" ca="1" si="144"/>
        <v>0</v>
      </c>
      <c r="K526">
        <f ca="1">IF(OR($C526="S",$C526=0),0,MATCH(OFFSET($D526,0,$C526)+IF($C526&lt;&gt;1,1,COUNTIF(QCI!$A$13:$A$24,ORÇAMENTO!E526)),OFFSET($D526,1,$C526,ROW($C$747)-ROW($C526)),0))</f>
        <v>0</v>
      </c>
      <c r="L526" s="116" t="str">
        <f t="shared" ca="1" si="153"/>
        <v/>
      </c>
      <c r="M526" s="117" t="s">
        <v>199</v>
      </c>
      <c r="N526" s="118" t="str">
        <f t="shared" ca="1" si="154"/>
        <v>Serviço</v>
      </c>
      <c r="O526" s="119" t="str">
        <f t="shared" ca="1" si="155"/>
        <v>-</v>
      </c>
      <c r="P526" s="120" t="s">
        <v>247</v>
      </c>
      <c r="Q526" s="121" t="s">
        <v>658</v>
      </c>
      <c r="R526" s="122" t="str">
        <f ca="1">IF($C526="S",REFERENCIA.Descricao,"(digite a descrição aqui)")</f>
        <v>(abra o arquivo 'Referência 02-2025.xlsm)</v>
      </c>
      <c r="S526" s="123" t="str">
        <f ca="1">REFERENCIA.Unidade</f>
        <v>-</v>
      </c>
      <c r="T526" s="124">
        <f ca="1">OFFSET(CÁLCULO!H$15,ROW($T526)-ROW(T$15),0)</f>
        <v>738.9</v>
      </c>
      <c r="U526" s="125">
        <f t="shared" ca="1" si="131"/>
        <v>0</v>
      </c>
      <c r="V526" s="126" t="s">
        <v>156</v>
      </c>
      <c r="W526" s="124">
        <f ca="1">IF($C526="S",ROUND(IF(TIPOORCAMENTO="Proposto",ORÇAMENTO.CustoUnitario*(1+$AH526),ORÇAMENTO.PrecoUnitarioLicitado),15-13*$AF$10),0)</f>
        <v>0</v>
      </c>
      <c r="X526" s="127">
        <f ca="1">IF($C526="S",IF(Import.TipoArredondamento&lt;&gt;"TransfereGOV",VTOTAL1,SUM(OFFSET(CÁLCULO!$AA$15,ROW($X526)-ROW($X$15),1):OFFSET(CÁLCULO!$AL$15,ROW($X526)-ROW($X$15),-1))),IF($C526=0,0,ROUND(SomaAgrup,15-13*$AF$11)))</f>
        <v>0</v>
      </c>
      <c r="Y526" s="128" t="s">
        <v>245</v>
      </c>
      <c r="Z526" t="str">
        <f t="shared" ca="1" si="156"/>
        <v/>
      </c>
      <c r="AA526" s="129">
        <f ca="1">IF($C526="S",IF($Z526="CP",$X526,IF($Z526="RA",(($X526)*QCI!$AA$3),0)),SomaAgrup)</f>
        <v>0</v>
      </c>
      <c r="AB526" s="130">
        <f t="shared" ca="1" si="157"/>
        <v>0</v>
      </c>
      <c r="AC526" s="131" t="str">
        <f ca="1">IF($N526="","",IF(ORÇAMENTO.Descricao="","DESCRIÇÃO",IF(AND($C526="S",ORÇAMENTO.Unidade=""),"UNIDADE",IF($X526&lt;0,"VALOR NEGATIVO",IF(OR(AND(TIPOORCAMENTO="Proposto",$AG526&lt;&gt;"",$AG526&gt;0,ORÇAMENTO.CustoUnitario&gt;$AG526),AND(TIPOORCAMENTO="LICITADO",ORÇAMENTO.PrecoUnitarioLicitado&gt;$AN526)),"ACIMA REF.","")))))</f>
        <v/>
      </c>
      <c r="AD526" t="str">
        <f ca="1">IF(C526&lt;=CRONO.NivelExibicao,MAX($AD$15:OFFSET(AD526,-1,0))+IF($C526&lt;&gt;1,1,MAX(1,COUNTIF(QCI!$A$13:$A$24,OFFSET($E526,-1,0)))),"")</f>
        <v/>
      </c>
      <c r="AE526" s="7" t="str">
        <f ca="1">IF(AND($C526="S",ORÇAMENTO.CodBarra&lt;&gt;""),IF(ORÇAMENTO.Fonte="",ORÇAMENTO.CodBarra,CONCATENATE(ORÇAMENTO.Fonte," ",ORÇAMENTO.CodBarra)))</f>
        <v>SINAPI 91931</v>
      </c>
      <c r="AF526" s="13" t="str">
        <f ca="1">IF(ISERROR(INDIRECT(ORÇAMENTO.BancoRef)),"(abra o arquivo 'Referência "&amp;Excel_BuiltIn_Database&amp;".xlsm)",IF(OR($C526&lt;&gt;"S",ORÇAMENTO.CodBarra=""),"(Sem Código)",IF(ISERROR(MATCH($AE526,INDIRECT(ORÇAMENTO.BancoRef),0)),"(Código não identificado nas referências)",MATCH($AE526,INDIRECT(ORÇAMENTO.BancoRef),0))))</f>
        <v>(abra o arquivo 'Referência 02-2025.xlsm)</v>
      </c>
      <c r="AG526" s="498">
        <f ca="1">ROUND(IF(DESONERACAO="sim",REFERENCIA.Desonerado,REFERENCIA.NaoDesonerado),2)</f>
        <v>0</v>
      </c>
      <c r="AH526" s="499">
        <f t="shared" ca="1" si="158"/>
        <v>0.22470000000000001</v>
      </c>
      <c r="AJ526" s="501">
        <v>738.9</v>
      </c>
      <c r="AL526" s="527"/>
      <c r="AM526" s="381">
        <f t="shared" ca="1" si="159"/>
        <v>0</v>
      </c>
      <c r="AN526" s="566">
        <f t="shared" ca="1" si="160"/>
        <v>0</v>
      </c>
    </row>
    <row r="527" spans="1:40" ht="38.25" x14ac:dyDescent="0.2">
      <c r="A527" t="str">
        <f t="shared" si="145"/>
        <v>S</v>
      </c>
      <c r="B527">
        <f t="shared" ca="1" si="146"/>
        <v>3</v>
      </c>
      <c r="C527" t="str">
        <f t="shared" ca="1" si="147"/>
        <v>S</v>
      </c>
      <c r="D527">
        <f t="shared" ca="1" si="148"/>
        <v>0</v>
      </c>
      <c r="E527">
        <f ca="1">IF($C527=1,OFFSET(E527,-1,0)+MAX(1,COUNTIF(QCI!$A$13:$A$24,OFFSET(ORÇAMENTO!E527,-1,0))),OFFSET(E527,-1,0))</f>
        <v>1</v>
      </c>
      <c r="F527">
        <f t="shared" ca="1" si="149"/>
        <v>17</v>
      </c>
      <c r="G527">
        <f t="shared" ca="1" si="150"/>
        <v>4</v>
      </c>
      <c r="H527">
        <f t="shared" ca="1" si="151"/>
        <v>0</v>
      </c>
      <c r="I527">
        <f t="shared" ca="1" si="152"/>
        <v>0</v>
      </c>
      <c r="J527">
        <f t="shared" ca="1" si="144"/>
        <v>0</v>
      </c>
      <c r="K527">
        <f ca="1">IF(OR($C527="S",$C527=0),0,MATCH(OFFSET($D527,0,$C527)+IF($C527&lt;&gt;1,1,COUNTIF(QCI!$A$13:$A$24,ORÇAMENTO!E527)),OFFSET($D527,1,$C527,ROW($C$747)-ROW($C527)),0))</f>
        <v>0</v>
      </c>
      <c r="L527" s="116" t="str">
        <f t="shared" ca="1" si="153"/>
        <v/>
      </c>
      <c r="M527" s="117" t="s">
        <v>199</v>
      </c>
      <c r="N527" s="118" t="str">
        <f t="shared" ca="1" si="154"/>
        <v>Serviço</v>
      </c>
      <c r="O527" s="119" t="str">
        <f t="shared" ca="1" si="155"/>
        <v>-</v>
      </c>
      <c r="P527" s="120" t="s">
        <v>247</v>
      </c>
      <c r="Q527" s="121" t="s">
        <v>657</v>
      </c>
      <c r="R527" s="122" t="str">
        <f ca="1">IF($C527="S",REFERENCIA.Descricao,"(digite a descrição aqui)")</f>
        <v>(abra o arquivo 'Referência 02-2025.xlsm)</v>
      </c>
      <c r="S527" s="123" t="str">
        <f ca="1">REFERENCIA.Unidade</f>
        <v>-</v>
      </c>
      <c r="T527" s="124">
        <f ca="1">OFFSET(CÁLCULO!H$15,ROW($T527)-ROW(T$15),0)</f>
        <v>59.2</v>
      </c>
      <c r="U527" s="125">
        <f t="shared" ca="1" si="131"/>
        <v>0</v>
      </c>
      <c r="V527" s="126" t="s">
        <v>156</v>
      </c>
      <c r="W527" s="124">
        <f ca="1">IF($C527="S",ROUND(IF(TIPOORCAMENTO="Proposto",ORÇAMENTO.CustoUnitario*(1+$AH527),ORÇAMENTO.PrecoUnitarioLicitado),15-13*$AF$10),0)</f>
        <v>0</v>
      </c>
      <c r="X527" s="127">
        <f ca="1">IF($C527="S",IF(Import.TipoArredondamento&lt;&gt;"TransfereGOV",VTOTAL1,SUM(OFFSET(CÁLCULO!$AA$15,ROW($X527)-ROW($X$15),1):OFFSET(CÁLCULO!$AL$15,ROW($X527)-ROW($X$15),-1))),IF($C527=0,0,ROUND(SomaAgrup,15-13*$AF$11)))</f>
        <v>0</v>
      </c>
      <c r="Y527" s="128" t="s">
        <v>245</v>
      </c>
      <c r="Z527" t="str">
        <f t="shared" ca="1" si="156"/>
        <v/>
      </c>
      <c r="AA527" s="129">
        <f ca="1">IF($C527="S",IF($Z527="CP",$X527,IF($Z527="RA",(($X527)*QCI!$AA$3),0)),SomaAgrup)</f>
        <v>0</v>
      </c>
      <c r="AB527" s="130">
        <f t="shared" ca="1" si="157"/>
        <v>0</v>
      </c>
      <c r="AC527" s="131" t="str">
        <f ca="1">IF($N527="","",IF(ORÇAMENTO.Descricao="","DESCRIÇÃO",IF(AND($C527="S",ORÇAMENTO.Unidade=""),"UNIDADE",IF($X527&lt;0,"VALOR NEGATIVO",IF(OR(AND(TIPOORCAMENTO="Proposto",$AG527&lt;&gt;"",$AG527&gt;0,ORÇAMENTO.CustoUnitario&gt;$AG527),AND(TIPOORCAMENTO="LICITADO",ORÇAMENTO.PrecoUnitarioLicitado&gt;$AN527)),"ACIMA REF.","")))))</f>
        <v/>
      </c>
      <c r="AD527" t="str">
        <f ca="1">IF(C527&lt;=CRONO.NivelExibicao,MAX($AD$15:OFFSET(AD527,-1,0))+IF($C527&lt;&gt;1,1,MAX(1,COUNTIF(QCI!$A$13:$A$24,OFFSET($E527,-1,0)))),"")</f>
        <v/>
      </c>
      <c r="AE527" s="7" t="str">
        <f ca="1">IF(AND($C527="S",ORÇAMENTO.CodBarra&lt;&gt;""),IF(ORÇAMENTO.Fonte="",ORÇAMENTO.CodBarra,CONCATENATE(ORÇAMENTO.Fonte," ",ORÇAMENTO.CodBarra)))</f>
        <v>SINAPI 91929</v>
      </c>
      <c r="AF527" s="13" t="str">
        <f ca="1">IF(ISERROR(INDIRECT(ORÇAMENTO.BancoRef)),"(abra o arquivo 'Referência "&amp;Excel_BuiltIn_Database&amp;".xlsm)",IF(OR($C527&lt;&gt;"S",ORÇAMENTO.CodBarra=""),"(Sem Código)",IF(ISERROR(MATCH($AE527,INDIRECT(ORÇAMENTO.BancoRef),0)),"(Código não identificado nas referências)",MATCH($AE527,INDIRECT(ORÇAMENTO.BancoRef),0))))</f>
        <v>(abra o arquivo 'Referência 02-2025.xlsm)</v>
      </c>
      <c r="AG527" s="498">
        <f ca="1">ROUND(IF(DESONERACAO="sim",REFERENCIA.Desonerado,REFERENCIA.NaoDesonerado),2)</f>
        <v>0</v>
      </c>
      <c r="AH527" s="499">
        <f t="shared" ca="1" si="158"/>
        <v>0.22470000000000001</v>
      </c>
      <c r="AJ527" s="501">
        <v>59.2</v>
      </c>
      <c r="AL527" s="527"/>
      <c r="AM527" s="381">
        <f t="shared" ca="1" si="159"/>
        <v>0</v>
      </c>
      <c r="AN527" s="566">
        <f t="shared" ca="1" si="160"/>
        <v>0</v>
      </c>
    </row>
    <row r="528" spans="1:40" ht="38.25" x14ac:dyDescent="0.2">
      <c r="A528" t="str">
        <f t="shared" si="145"/>
        <v>S</v>
      </c>
      <c r="B528">
        <f t="shared" ca="1" si="146"/>
        <v>3</v>
      </c>
      <c r="C528" t="str">
        <f t="shared" ca="1" si="147"/>
        <v>S</v>
      </c>
      <c r="D528">
        <f t="shared" ca="1" si="148"/>
        <v>0</v>
      </c>
      <c r="E528">
        <f ca="1">IF($C528=1,OFFSET(E528,-1,0)+MAX(1,COUNTIF(QCI!$A$13:$A$24,OFFSET(ORÇAMENTO!E528,-1,0))),OFFSET(E528,-1,0))</f>
        <v>1</v>
      </c>
      <c r="F528">
        <f t="shared" ca="1" si="149"/>
        <v>17</v>
      </c>
      <c r="G528">
        <f t="shared" ca="1" si="150"/>
        <v>4</v>
      </c>
      <c r="H528">
        <f t="shared" ca="1" si="151"/>
        <v>0</v>
      </c>
      <c r="I528">
        <f t="shared" ca="1" si="152"/>
        <v>0</v>
      </c>
      <c r="J528">
        <f t="shared" ca="1" si="144"/>
        <v>0</v>
      </c>
      <c r="K528">
        <f ca="1">IF(OR($C528="S",$C528=0),0,MATCH(OFFSET($D528,0,$C528)+IF($C528&lt;&gt;1,1,COUNTIF(QCI!$A$13:$A$24,ORÇAMENTO!E528)),OFFSET($D528,1,$C528,ROW($C$747)-ROW($C528)),0))</f>
        <v>0</v>
      </c>
      <c r="L528" s="116" t="str">
        <f t="shared" ca="1" si="153"/>
        <v/>
      </c>
      <c r="M528" s="117" t="s">
        <v>199</v>
      </c>
      <c r="N528" s="118" t="str">
        <f t="shared" ca="1" si="154"/>
        <v>Serviço</v>
      </c>
      <c r="O528" s="119" t="str">
        <f t="shared" ca="1" si="155"/>
        <v>-</v>
      </c>
      <c r="P528" s="120" t="s">
        <v>247</v>
      </c>
      <c r="Q528" s="121" t="s">
        <v>663</v>
      </c>
      <c r="R528" s="122" t="str">
        <f ca="1">IF($C528="S",REFERENCIA.Descricao,"(digite a descrição aqui)")</f>
        <v>(abra o arquivo 'Referência 02-2025.xlsm)</v>
      </c>
      <c r="S528" s="123" t="str">
        <f ca="1">REFERENCIA.Unidade</f>
        <v>-</v>
      </c>
      <c r="T528" s="124">
        <f ca="1">OFFSET(CÁLCULO!H$15,ROW($T528)-ROW(T$15),0)</f>
        <v>75.7</v>
      </c>
      <c r="U528" s="125">
        <f t="shared" ca="1" si="131"/>
        <v>0</v>
      </c>
      <c r="V528" s="126" t="s">
        <v>156</v>
      </c>
      <c r="W528" s="124">
        <f ca="1">IF($C528="S",ROUND(IF(TIPOORCAMENTO="Proposto",ORÇAMENTO.CustoUnitario*(1+$AH528),ORÇAMENTO.PrecoUnitarioLicitado),15-13*$AF$10),0)</f>
        <v>0</v>
      </c>
      <c r="X528" s="127">
        <f ca="1">IF($C528="S",IF(Import.TipoArredondamento&lt;&gt;"TransfereGOV",VTOTAL1,SUM(OFFSET(CÁLCULO!$AA$15,ROW($X528)-ROW($X$15),1):OFFSET(CÁLCULO!$AL$15,ROW($X528)-ROW($X$15),-1))),IF($C528=0,0,ROUND(SomaAgrup,15-13*$AF$11)))</f>
        <v>0</v>
      </c>
      <c r="Y528" s="128" t="s">
        <v>245</v>
      </c>
      <c r="Z528" t="str">
        <f t="shared" ca="1" si="156"/>
        <v/>
      </c>
      <c r="AA528" s="129">
        <f ca="1">IF($C528="S",IF($Z528="CP",$X528,IF($Z528="RA",(($X528)*QCI!$AA$3),0)),SomaAgrup)</f>
        <v>0</v>
      </c>
      <c r="AB528" s="130">
        <f t="shared" ca="1" si="157"/>
        <v>0</v>
      </c>
      <c r="AC528" s="131" t="str">
        <f ca="1">IF($N528="","",IF(ORÇAMENTO.Descricao="","DESCRIÇÃO",IF(AND($C528="S",ORÇAMENTO.Unidade=""),"UNIDADE",IF($X528&lt;0,"VALOR NEGATIVO",IF(OR(AND(TIPOORCAMENTO="Proposto",$AG528&lt;&gt;"",$AG528&gt;0,ORÇAMENTO.CustoUnitario&gt;$AG528),AND(TIPOORCAMENTO="LICITADO",ORÇAMENTO.PrecoUnitarioLicitado&gt;$AN528)),"ACIMA REF.","")))))</f>
        <v/>
      </c>
      <c r="AD528" t="str">
        <f ca="1">IF(C528&lt;=CRONO.NivelExibicao,MAX($AD$15:OFFSET(AD528,-1,0))+IF($C528&lt;&gt;1,1,MAX(1,COUNTIF(QCI!$A$13:$A$24,OFFSET($E528,-1,0)))),"")</f>
        <v/>
      </c>
      <c r="AE528" s="7" t="str">
        <f ca="1">IF(AND($C528="S",ORÇAMENTO.CodBarra&lt;&gt;""),IF(ORÇAMENTO.Fonte="",ORÇAMENTO.CodBarra,CONCATENATE(ORÇAMENTO.Fonte," ",ORÇAMENTO.CodBarra)))</f>
        <v>SINAPI 91930</v>
      </c>
      <c r="AF528" s="13" t="str">
        <f ca="1">IF(ISERROR(INDIRECT(ORÇAMENTO.BancoRef)),"(abra o arquivo 'Referência "&amp;Excel_BuiltIn_Database&amp;".xlsm)",IF(OR($C528&lt;&gt;"S",ORÇAMENTO.CodBarra=""),"(Sem Código)",IF(ISERROR(MATCH($AE528,INDIRECT(ORÇAMENTO.BancoRef),0)),"(Código não identificado nas referências)",MATCH($AE528,INDIRECT(ORÇAMENTO.BancoRef),0))))</f>
        <v>(abra o arquivo 'Referência 02-2025.xlsm)</v>
      </c>
      <c r="AG528" s="498">
        <f ca="1">ROUND(IF(DESONERACAO="sim",REFERENCIA.Desonerado,REFERENCIA.NaoDesonerado),2)</f>
        <v>0</v>
      </c>
      <c r="AH528" s="499">
        <f t="shared" ca="1" si="158"/>
        <v>0.22470000000000001</v>
      </c>
      <c r="AJ528" s="501">
        <v>75.7</v>
      </c>
      <c r="AL528" s="527"/>
      <c r="AM528" s="381">
        <f t="shared" ca="1" si="159"/>
        <v>0</v>
      </c>
      <c r="AN528" s="566">
        <f t="shared" ca="1" si="160"/>
        <v>0</v>
      </c>
    </row>
    <row r="529" spans="1:40" ht="38.25" x14ac:dyDescent="0.2">
      <c r="A529" t="str">
        <f t="shared" si="145"/>
        <v>S</v>
      </c>
      <c r="B529">
        <f t="shared" ca="1" si="146"/>
        <v>3</v>
      </c>
      <c r="C529" t="str">
        <f t="shared" ca="1" si="147"/>
        <v>S</v>
      </c>
      <c r="D529">
        <f t="shared" ca="1" si="148"/>
        <v>0</v>
      </c>
      <c r="E529">
        <f ca="1">IF($C529=1,OFFSET(E529,-1,0)+MAX(1,COUNTIF(QCI!$A$13:$A$24,OFFSET(ORÇAMENTO!E529,-1,0))),OFFSET(E529,-1,0))</f>
        <v>1</v>
      </c>
      <c r="F529">
        <f t="shared" ca="1" si="149"/>
        <v>17</v>
      </c>
      <c r="G529">
        <f t="shared" ca="1" si="150"/>
        <v>4</v>
      </c>
      <c r="H529">
        <f t="shared" ca="1" si="151"/>
        <v>0</v>
      </c>
      <c r="I529">
        <f t="shared" ca="1" si="152"/>
        <v>0</v>
      </c>
      <c r="J529">
        <f t="shared" ca="1" si="144"/>
        <v>0</v>
      </c>
      <c r="K529">
        <f ca="1">IF(OR($C529="S",$C529=0),0,MATCH(OFFSET($D529,0,$C529)+IF($C529&lt;&gt;1,1,COUNTIF(QCI!$A$13:$A$24,ORÇAMENTO!E529)),OFFSET($D529,1,$C529,ROW($C$747)-ROW($C529)),0))</f>
        <v>0</v>
      </c>
      <c r="L529" s="116" t="str">
        <f t="shared" ca="1" si="153"/>
        <v/>
      </c>
      <c r="M529" s="117" t="s">
        <v>199</v>
      </c>
      <c r="N529" s="118" t="str">
        <f t="shared" ca="1" si="154"/>
        <v>Serviço</v>
      </c>
      <c r="O529" s="119" t="str">
        <f t="shared" ca="1" si="155"/>
        <v>-</v>
      </c>
      <c r="P529" s="120" t="s">
        <v>247</v>
      </c>
      <c r="Q529" s="121" t="s">
        <v>961</v>
      </c>
      <c r="R529" s="122" t="str">
        <f ca="1">IF($C529="S",REFERENCIA.Descricao,"(digite a descrição aqui)")</f>
        <v>(abra o arquivo 'Referência 02-2025.xlsm)</v>
      </c>
      <c r="S529" s="123" t="str">
        <f ca="1">REFERENCIA.Unidade</f>
        <v>-</v>
      </c>
      <c r="T529" s="124">
        <f ca="1">OFFSET(CÁLCULO!H$15,ROW($T529)-ROW(T$15),0)</f>
        <v>58.1</v>
      </c>
      <c r="U529" s="125">
        <f t="shared" ca="1" si="131"/>
        <v>0</v>
      </c>
      <c r="V529" s="126" t="s">
        <v>156</v>
      </c>
      <c r="W529" s="124">
        <f ca="1">IF($C529="S",ROUND(IF(TIPOORCAMENTO="Proposto",ORÇAMENTO.CustoUnitario*(1+$AH529),ORÇAMENTO.PrecoUnitarioLicitado),15-13*$AF$10),0)</f>
        <v>0</v>
      </c>
      <c r="X529" s="127">
        <f ca="1">IF($C529="S",IF(Import.TipoArredondamento&lt;&gt;"TransfereGOV",VTOTAL1,SUM(OFFSET(CÁLCULO!$AA$15,ROW($X529)-ROW($X$15),1):OFFSET(CÁLCULO!$AL$15,ROW($X529)-ROW($X$15),-1))),IF($C529=0,0,ROUND(SomaAgrup,15-13*$AF$11)))</f>
        <v>0</v>
      </c>
      <c r="Y529" s="128" t="s">
        <v>245</v>
      </c>
      <c r="Z529" t="str">
        <f t="shared" ca="1" si="156"/>
        <v/>
      </c>
      <c r="AA529" s="129">
        <f ca="1">IF($C529="S",IF($Z529="CP",$X529,IF($Z529="RA",(($X529)*QCI!$AA$3),0)),SomaAgrup)</f>
        <v>0</v>
      </c>
      <c r="AB529" s="130">
        <f t="shared" ca="1" si="157"/>
        <v>0</v>
      </c>
      <c r="AC529" s="131" t="str">
        <f ca="1">IF($N529="","",IF(ORÇAMENTO.Descricao="","DESCRIÇÃO",IF(AND($C529="S",ORÇAMENTO.Unidade=""),"UNIDADE",IF($X529&lt;0,"VALOR NEGATIVO",IF(OR(AND(TIPOORCAMENTO="Proposto",$AG529&lt;&gt;"",$AG529&gt;0,ORÇAMENTO.CustoUnitario&gt;$AG529),AND(TIPOORCAMENTO="LICITADO",ORÇAMENTO.PrecoUnitarioLicitado&gt;$AN529)),"ACIMA REF.","")))))</f>
        <v/>
      </c>
      <c r="AD529" t="str">
        <f ca="1">IF(C529&lt;=CRONO.NivelExibicao,MAX($AD$15:OFFSET(AD529,-1,0))+IF($C529&lt;&gt;1,1,MAX(1,COUNTIF(QCI!$A$13:$A$24,OFFSET($E529,-1,0)))),"")</f>
        <v/>
      </c>
      <c r="AE529" s="7" t="str">
        <f ca="1">IF(AND($C529="S",ORÇAMENTO.CodBarra&lt;&gt;""),IF(ORÇAMENTO.Fonte="",ORÇAMENTO.CodBarra,CONCATENATE(ORÇAMENTO.Fonte," ",ORÇAMENTO.CodBarra)))</f>
        <v>SINAPI 101888</v>
      </c>
      <c r="AF529" s="13" t="str">
        <f ca="1">IF(ISERROR(INDIRECT(ORÇAMENTO.BancoRef)),"(abra o arquivo 'Referência "&amp;Excel_BuiltIn_Database&amp;".xlsm)",IF(OR($C529&lt;&gt;"S",ORÇAMENTO.CodBarra=""),"(Sem Código)",IF(ISERROR(MATCH($AE529,INDIRECT(ORÇAMENTO.BancoRef),0)),"(Código não identificado nas referências)",MATCH($AE529,INDIRECT(ORÇAMENTO.BancoRef),0))))</f>
        <v>(abra o arquivo 'Referência 02-2025.xlsm)</v>
      </c>
      <c r="AG529" s="498">
        <f ca="1">ROUND(IF(DESONERACAO="sim",REFERENCIA.Desonerado,REFERENCIA.NaoDesonerado),2)</f>
        <v>0</v>
      </c>
      <c r="AH529" s="499">
        <f t="shared" ca="1" si="158"/>
        <v>0.22470000000000001</v>
      </c>
      <c r="AJ529" s="501">
        <v>58.1</v>
      </c>
      <c r="AL529" s="527"/>
      <c r="AM529" s="381">
        <f t="shared" ca="1" si="159"/>
        <v>0</v>
      </c>
      <c r="AN529" s="566">
        <f t="shared" ca="1" si="160"/>
        <v>0</v>
      </c>
    </row>
    <row r="530" spans="1:40" ht="38.25" x14ac:dyDescent="0.2">
      <c r="A530" t="str">
        <f t="shared" si="145"/>
        <v>S</v>
      </c>
      <c r="B530">
        <f t="shared" ca="1" si="146"/>
        <v>3</v>
      </c>
      <c r="C530" t="str">
        <f t="shared" ca="1" si="147"/>
        <v>S</v>
      </c>
      <c r="D530">
        <f t="shared" ca="1" si="148"/>
        <v>0</v>
      </c>
      <c r="E530">
        <f ca="1">IF($C530=1,OFFSET(E530,-1,0)+MAX(1,COUNTIF(QCI!$A$13:$A$24,OFFSET(ORÇAMENTO!E530,-1,0))),OFFSET(E530,-1,0))</f>
        <v>1</v>
      </c>
      <c r="F530">
        <f t="shared" ca="1" si="149"/>
        <v>17</v>
      </c>
      <c r="G530">
        <f t="shared" ca="1" si="150"/>
        <v>4</v>
      </c>
      <c r="H530">
        <f t="shared" ca="1" si="151"/>
        <v>0</v>
      </c>
      <c r="I530">
        <f t="shared" ca="1" si="152"/>
        <v>0</v>
      </c>
      <c r="J530">
        <f t="shared" ca="1" si="144"/>
        <v>0</v>
      </c>
      <c r="K530">
        <f ca="1">IF(OR($C530="S",$C530=0),0,MATCH(OFFSET($D530,0,$C530)+IF($C530&lt;&gt;1,1,COUNTIF(QCI!$A$13:$A$24,ORÇAMENTO!E530)),OFFSET($D530,1,$C530,ROW($C$747)-ROW($C530)),0))</f>
        <v>0</v>
      </c>
      <c r="L530" s="116" t="str">
        <f t="shared" ca="1" si="153"/>
        <v/>
      </c>
      <c r="M530" s="117" t="s">
        <v>199</v>
      </c>
      <c r="N530" s="118" t="str">
        <f t="shared" ca="1" si="154"/>
        <v>Serviço</v>
      </c>
      <c r="O530" s="119" t="str">
        <f t="shared" ca="1" si="155"/>
        <v>-</v>
      </c>
      <c r="P530" s="120" t="s">
        <v>247</v>
      </c>
      <c r="Q530" s="121" t="s">
        <v>962</v>
      </c>
      <c r="R530" s="122" t="str">
        <f ca="1">IF($C530="S",REFERENCIA.Descricao,"(digite a descrição aqui)")</f>
        <v>(abra o arquivo 'Referência 02-2025.xlsm)</v>
      </c>
      <c r="S530" s="123" t="str">
        <f ca="1">REFERENCIA.Unidade</f>
        <v>-</v>
      </c>
      <c r="T530" s="124">
        <f ca="1">OFFSET(CÁLCULO!H$15,ROW($T530)-ROW(T$15),0)</f>
        <v>9.8000000000000007</v>
      </c>
      <c r="U530" s="125">
        <f t="shared" ref="U530:U587" ca="1" si="161">AG530</f>
        <v>0</v>
      </c>
      <c r="V530" s="126" t="s">
        <v>156</v>
      </c>
      <c r="W530" s="124">
        <f ca="1">IF($C530="S",ROUND(IF(TIPOORCAMENTO="Proposto",ORÇAMENTO.CustoUnitario*(1+$AH530),ORÇAMENTO.PrecoUnitarioLicitado),15-13*$AF$10),0)</f>
        <v>0</v>
      </c>
      <c r="X530" s="127">
        <f ca="1">IF($C530="S",IF(Import.TipoArredondamento&lt;&gt;"TransfereGOV",VTOTAL1,SUM(OFFSET(CÁLCULO!$AA$15,ROW($X530)-ROW($X$15),1):OFFSET(CÁLCULO!$AL$15,ROW($X530)-ROW($X$15),-1))),IF($C530=0,0,ROUND(SomaAgrup,15-13*$AF$11)))</f>
        <v>0</v>
      </c>
      <c r="Y530" s="128" t="s">
        <v>245</v>
      </c>
      <c r="Z530" t="str">
        <f t="shared" ca="1" si="156"/>
        <v/>
      </c>
      <c r="AA530" s="129">
        <f ca="1">IF($C530="S",IF($Z530="CP",$X530,IF($Z530="RA",(($X530)*QCI!$AA$3),0)),SomaAgrup)</f>
        <v>0</v>
      </c>
      <c r="AB530" s="130">
        <f t="shared" ca="1" si="157"/>
        <v>0</v>
      </c>
      <c r="AC530" s="131" t="str">
        <f ca="1">IF($N530="","",IF(ORÇAMENTO.Descricao="","DESCRIÇÃO",IF(AND($C530="S",ORÇAMENTO.Unidade=""),"UNIDADE",IF($X530&lt;0,"VALOR NEGATIVO",IF(OR(AND(TIPOORCAMENTO="Proposto",$AG530&lt;&gt;"",$AG530&gt;0,ORÇAMENTO.CustoUnitario&gt;$AG530),AND(TIPOORCAMENTO="LICITADO",ORÇAMENTO.PrecoUnitarioLicitado&gt;$AN530)),"ACIMA REF.","")))))</f>
        <v/>
      </c>
      <c r="AD530" t="str">
        <f ca="1">IF(C530&lt;=CRONO.NivelExibicao,MAX($AD$15:OFFSET(AD530,-1,0))+IF($C530&lt;&gt;1,1,MAX(1,COUNTIF(QCI!$A$13:$A$24,OFFSET($E530,-1,0)))),"")</f>
        <v/>
      </c>
      <c r="AE530" s="7" t="str">
        <f ca="1">IF(AND($C530="S",ORÇAMENTO.CodBarra&lt;&gt;""),IF(ORÇAMENTO.Fonte="",ORÇAMENTO.CodBarra,CONCATENATE(ORÇAMENTO.Fonte," ",ORÇAMENTO.CodBarra)))</f>
        <v>SINAPI 91934</v>
      </c>
      <c r="AF530" s="13" t="str">
        <f ca="1">IF(ISERROR(INDIRECT(ORÇAMENTO.BancoRef)),"(abra o arquivo 'Referência "&amp;Excel_BuiltIn_Database&amp;".xlsm)",IF(OR($C530&lt;&gt;"S",ORÇAMENTO.CodBarra=""),"(Sem Código)",IF(ISERROR(MATCH($AE530,INDIRECT(ORÇAMENTO.BancoRef),0)),"(Código não identificado nas referências)",MATCH($AE530,INDIRECT(ORÇAMENTO.BancoRef),0))))</f>
        <v>(abra o arquivo 'Referência 02-2025.xlsm)</v>
      </c>
      <c r="AG530" s="498">
        <f ca="1">ROUND(IF(DESONERACAO="sim",REFERENCIA.Desonerado,REFERENCIA.NaoDesonerado),2)</f>
        <v>0</v>
      </c>
      <c r="AH530" s="499">
        <f t="shared" ca="1" si="158"/>
        <v>0.22470000000000001</v>
      </c>
      <c r="AJ530" s="501">
        <v>9.8000000000000007</v>
      </c>
      <c r="AL530" s="527"/>
      <c r="AM530" s="381">
        <f t="shared" ca="1" si="159"/>
        <v>0</v>
      </c>
      <c r="AN530" s="566">
        <f t="shared" ca="1" si="160"/>
        <v>0</v>
      </c>
    </row>
    <row r="531" spans="1:40" ht="38.25" x14ac:dyDescent="0.2">
      <c r="A531" t="str">
        <f t="shared" si="145"/>
        <v>S</v>
      </c>
      <c r="B531">
        <f t="shared" ca="1" si="146"/>
        <v>3</v>
      </c>
      <c r="C531" t="str">
        <f t="shared" ca="1" si="147"/>
        <v>S</v>
      </c>
      <c r="D531">
        <f t="shared" ca="1" si="148"/>
        <v>0</v>
      </c>
      <c r="E531">
        <f ca="1">IF($C531=1,OFFSET(E531,-1,0)+MAX(1,COUNTIF(QCI!$A$13:$A$24,OFFSET(ORÇAMENTO!E531,-1,0))),OFFSET(E531,-1,0))</f>
        <v>1</v>
      </c>
      <c r="F531">
        <f t="shared" ca="1" si="149"/>
        <v>17</v>
      </c>
      <c r="G531">
        <f t="shared" ca="1" si="150"/>
        <v>4</v>
      </c>
      <c r="H531">
        <f t="shared" ca="1" si="151"/>
        <v>0</v>
      </c>
      <c r="I531">
        <f t="shared" ca="1" si="152"/>
        <v>0</v>
      </c>
      <c r="J531">
        <f t="shared" ca="1" si="144"/>
        <v>0</v>
      </c>
      <c r="K531">
        <f ca="1">IF(OR($C531="S",$C531=0),0,MATCH(OFFSET($D531,0,$C531)+IF($C531&lt;&gt;1,1,COUNTIF(QCI!$A$13:$A$24,ORÇAMENTO!E531)),OFFSET($D531,1,$C531,ROW($C$747)-ROW($C531)),0))</f>
        <v>0</v>
      </c>
      <c r="L531" s="116" t="str">
        <f t="shared" ca="1" si="153"/>
        <v/>
      </c>
      <c r="M531" s="117" t="s">
        <v>199</v>
      </c>
      <c r="N531" s="118" t="str">
        <f t="shared" ca="1" si="154"/>
        <v>Serviço</v>
      </c>
      <c r="O531" s="119" t="str">
        <f t="shared" ca="1" si="155"/>
        <v>-</v>
      </c>
      <c r="P531" s="120" t="s">
        <v>247</v>
      </c>
      <c r="Q531" s="121" t="s">
        <v>663</v>
      </c>
      <c r="R531" s="122" t="str">
        <f ca="1">IF($C531="S",REFERENCIA.Descricao,"(digite a descrição aqui)")</f>
        <v>(abra o arquivo 'Referência 02-2025.xlsm)</v>
      </c>
      <c r="S531" s="123" t="str">
        <f ca="1">REFERENCIA.Unidade</f>
        <v>-</v>
      </c>
      <c r="T531" s="124">
        <f ca="1">OFFSET(CÁLCULO!H$15,ROW($T531)-ROW(T$15),0)</f>
        <v>83.3</v>
      </c>
      <c r="U531" s="125">
        <f t="shared" ca="1" si="161"/>
        <v>0</v>
      </c>
      <c r="V531" s="126" t="s">
        <v>156</v>
      </c>
      <c r="W531" s="124">
        <f ca="1">IF($C531="S",ROUND(IF(TIPOORCAMENTO="Proposto",ORÇAMENTO.CustoUnitario*(1+$AH531),ORÇAMENTO.PrecoUnitarioLicitado),15-13*$AF$10),0)</f>
        <v>0</v>
      </c>
      <c r="X531" s="127">
        <f ca="1">IF($C531="S",IF(Import.TipoArredondamento&lt;&gt;"TransfereGOV",VTOTAL1,SUM(OFFSET(CÁLCULO!$AA$15,ROW($X531)-ROW($X$15),1):OFFSET(CÁLCULO!$AL$15,ROW($X531)-ROW($X$15),-1))),IF($C531=0,0,ROUND(SomaAgrup,15-13*$AF$11)))</f>
        <v>0</v>
      </c>
      <c r="Y531" s="128" t="s">
        <v>245</v>
      </c>
      <c r="Z531" t="str">
        <f t="shared" ca="1" si="156"/>
        <v/>
      </c>
      <c r="AA531" s="129">
        <f ca="1">IF($C531="S",IF($Z531="CP",$X531,IF($Z531="RA",(($X531)*QCI!$AA$3),0)),SomaAgrup)</f>
        <v>0</v>
      </c>
      <c r="AB531" s="130">
        <f t="shared" ca="1" si="157"/>
        <v>0</v>
      </c>
      <c r="AC531" s="131" t="str">
        <f ca="1">IF($N531="","",IF(ORÇAMENTO.Descricao="","DESCRIÇÃO",IF(AND($C531="S",ORÇAMENTO.Unidade=""),"UNIDADE",IF($X531&lt;0,"VALOR NEGATIVO",IF(OR(AND(TIPOORCAMENTO="Proposto",$AG531&lt;&gt;"",$AG531&gt;0,ORÇAMENTO.CustoUnitario&gt;$AG531),AND(TIPOORCAMENTO="LICITADO",ORÇAMENTO.PrecoUnitarioLicitado&gt;$AN531)),"ACIMA REF.","")))))</f>
        <v/>
      </c>
      <c r="AD531" t="str">
        <f ca="1">IF(C531&lt;=CRONO.NivelExibicao,MAX($AD$15:OFFSET(AD531,-1,0))+IF($C531&lt;&gt;1,1,MAX(1,COUNTIF(QCI!$A$13:$A$24,OFFSET($E531,-1,0)))),"")</f>
        <v/>
      </c>
      <c r="AE531" s="7" t="str">
        <f ca="1">IF(AND($C531="S",ORÇAMENTO.CodBarra&lt;&gt;""),IF(ORÇAMENTO.Fonte="",ORÇAMENTO.CodBarra,CONCATENATE(ORÇAMENTO.Fonte," ",ORÇAMENTO.CodBarra)))</f>
        <v>SINAPI 91930</v>
      </c>
      <c r="AF531" s="13" t="str">
        <f ca="1">IF(ISERROR(INDIRECT(ORÇAMENTO.BancoRef)),"(abra o arquivo 'Referência "&amp;Excel_BuiltIn_Database&amp;".xlsm)",IF(OR($C531&lt;&gt;"S",ORÇAMENTO.CodBarra=""),"(Sem Código)",IF(ISERROR(MATCH($AE531,INDIRECT(ORÇAMENTO.BancoRef),0)),"(Código não identificado nas referências)",MATCH($AE531,INDIRECT(ORÇAMENTO.BancoRef),0))))</f>
        <v>(abra o arquivo 'Referência 02-2025.xlsm)</v>
      </c>
      <c r="AG531" s="498">
        <f ca="1">ROUND(IF(DESONERACAO="sim",REFERENCIA.Desonerado,REFERENCIA.NaoDesonerado),2)</f>
        <v>0</v>
      </c>
      <c r="AH531" s="499">
        <f t="shared" ca="1" si="158"/>
        <v>0.22470000000000001</v>
      </c>
      <c r="AJ531" s="501">
        <v>83.3</v>
      </c>
      <c r="AL531" s="527"/>
      <c r="AM531" s="381">
        <f t="shared" ca="1" si="159"/>
        <v>0</v>
      </c>
      <c r="AN531" s="566">
        <f t="shared" ca="1" si="160"/>
        <v>0</v>
      </c>
    </row>
    <row r="532" spans="1:40" ht="38.25" x14ac:dyDescent="0.2">
      <c r="A532" t="str">
        <f t="shared" si="145"/>
        <v>S</v>
      </c>
      <c r="B532">
        <f t="shared" ca="1" si="146"/>
        <v>3</v>
      </c>
      <c r="C532" t="str">
        <f t="shared" ca="1" si="147"/>
        <v>S</v>
      </c>
      <c r="D532">
        <f t="shared" ca="1" si="148"/>
        <v>0</v>
      </c>
      <c r="E532">
        <f ca="1">IF($C532=1,OFFSET(E532,-1,0)+MAX(1,COUNTIF(QCI!$A$13:$A$24,OFFSET(ORÇAMENTO!E532,-1,0))),OFFSET(E532,-1,0))</f>
        <v>1</v>
      </c>
      <c r="F532">
        <f t="shared" ca="1" si="149"/>
        <v>17</v>
      </c>
      <c r="G532">
        <f t="shared" ca="1" si="150"/>
        <v>4</v>
      </c>
      <c r="H532">
        <f t="shared" ca="1" si="151"/>
        <v>0</v>
      </c>
      <c r="I532">
        <f t="shared" ca="1" si="152"/>
        <v>0</v>
      </c>
      <c r="J532">
        <f t="shared" ca="1" si="144"/>
        <v>0</v>
      </c>
      <c r="K532">
        <f ca="1">IF(OR($C532="S",$C532=0),0,MATCH(OFFSET($D532,0,$C532)+IF($C532&lt;&gt;1,1,COUNTIF(QCI!$A$13:$A$24,ORÇAMENTO!E532)),OFFSET($D532,1,$C532,ROW($C$747)-ROW($C532)),0))</f>
        <v>0</v>
      </c>
      <c r="L532" s="116" t="str">
        <f t="shared" ca="1" si="153"/>
        <v/>
      </c>
      <c r="M532" s="117" t="s">
        <v>199</v>
      </c>
      <c r="N532" s="118" t="str">
        <f t="shared" ca="1" si="154"/>
        <v>Serviço</v>
      </c>
      <c r="O532" s="119" t="str">
        <f t="shared" ca="1" si="155"/>
        <v>-</v>
      </c>
      <c r="P532" s="120" t="s">
        <v>247</v>
      </c>
      <c r="Q532" s="121" t="s">
        <v>662</v>
      </c>
      <c r="R532" s="122" t="str">
        <f ca="1">IF($C532="S",REFERENCIA.Descricao,"(digite a descrição aqui)")</f>
        <v>(abra o arquivo 'Referência 02-2025.xlsm)</v>
      </c>
      <c r="S532" s="123" t="str">
        <f ca="1">REFERENCIA.Unidade</f>
        <v>-</v>
      </c>
      <c r="T532" s="124">
        <f ca="1">OFFSET(CÁLCULO!H$15,ROW($T532)-ROW(T$15),0)</f>
        <v>671.6</v>
      </c>
      <c r="U532" s="125">
        <f t="shared" ca="1" si="161"/>
        <v>0</v>
      </c>
      <c r="V532" s="126" t="s">
        <v>156</v>
      </c>
      <c r="W532" s="124">
        <f ca="1">IF($C532="S",ROUND(IF(TIPOORCAMENTO="Proposto",ORÇAMENTO.CustoUnitario*(1+$AH532),ORÇAMENTO.PrecoUnitarioLicitado),15-13*$AF$10),0)</f>
        <v>0</v>
      </c>
      <c r="X532" s="127">
        <f ca="1">IF($C532="S",IF(Import.TipoArredondamento&lt;&gt;"TransfereGOV",VTOTAL1,SUM(OFFSET(CÁLCULO!$AA$15,ROW($X532)-ROW($X$15),1):OFFSET(CÁLCULO!$AL$15,ROW($X532)-ROW($X$15),-1))),IF($C532=0,0,ROUND(SomaAgrup,15-13*$AF$11)))</f>
        <v>0</v>
      </c>
      <c r="Y532" s="128" t="s">
        <v>245</v>
      </c>
      <c r="Z532" t="str">
        <f t="shared" ca="1" si="156"/>
        <v/>
      </c>
      <c r="AA532" s="129">
        <f ca="1">IF($C532="S",IF($Z532="CP",$X532,IF($Z532="RA",(($X532)*QCI!$AA$3),0)),SomaAgrup)</f>
        <v>0</v>
      </c>
      <c r="AB532" s="130">
        <f t="shared" ca="1" si="157"/>
        <v>0</v>
      </c>
      <c r="AC532" s="131" t="str">
        <f ca="1">IF($N532="","",IF(ORÇAMENTO.Descricao="","DESCRIÇÃO",IF(AND($C532="S",ORÇAMENTO.Unidade=""),"UNIDADE",IF($X532&lt;0,"VALOR NEGATIVO",IF(OR(AND(TIPOORCAMENTO="Proposto",$AG532&lt;&gt;"",$AG532&gt;0,ORÇAMENTO.CustoUnitario&gt;$AG532),AND(TIPOORCAMENTO="LICITADO",ORÇAMENTO.PrecoUnitarioLicitado&gt;$AN532)),"ACIMA REF.","")))))</f>
        <v/>
      </c>
      <c r="AD532" t="str">
        <f ca="1">IF(C532&lt;=CRONO.NivelExibicao,MAX($AD$15:OFFSET(AD532,-1,0))+IF($C532&lt;&gt;1,1,MAX(1,COUNTIF(QCI!$A$13:$A$24,OFFSET($E532,-1,0)))),"")</f>
        <v/>
      </c>
      <c r="AE532" s="7" t="str">
        <f ca="1">IF(AND($C532="S",ORÇAMENTO.CodBarra&lt;&gt;""),IF(ORÇAMENTO.Fonte="",ORÇAMENTO.CodBarra,CONCATENATE(ORÇAMENTO.Fonte," ",ORÇAMENTO.CodBarra)))</f>
        <v>SINAPI 91928</v>
      </c>
      <c r="AF532" s="13" t="str">
        <f ca="1">IF(ISERROR(INDIRECT(ORÇAMENTO.BancoRef)),"(abra o arquivo 'Referência "&amp;Excel_BuiltIn_Database&amp;".xlsm)",IF(OR($C532&lt;&gt;"S",ORÇAMENTO.CodBarra=""),"(Sem Código)",IF(ISERROR(MATCH($AE532,INDIRECT(ORÇAMENTO.BancoRef),0)),"(Código não identificado nas referências)",MATCH($AE532,INDIRECT(ORÇAMENTO.BancoRef),0))))</f>
        <v>(abra o arquivo 'Referência 02-2025.xlsm)</v>
      </c>
      <c r="AG532" s="498">
        <f ca="1">ROUND(IF(DESONERACAO="sim",REFERENCIA.Desonerado,REFERENCIA.NaoDesonerado),2)</f>
        <v>0</v>
      </c>
      <c r="AH532" s="499">
        <f t="shared" ca="1" si="158"/>
        <v>0.22470000000000001</v>
      </c>
      <c r="AJ532" s="501">
        <v>671.6</v>
      </c>
      <c r="AL532" s="527"/>
      <c r="AM532" s="381">
        <f t="shared" ca="1" si="159"/>
        <v>0</v>
      </c>
      <c r="AN532" s="566">
        <f t="shared" ca="1" si="160"/>
        <v>0</v>
      </c>
    </row>
    <row r="533" spans="1:40" ht="38.25" x14ac:dyDescent="0.2">
      <c r="A533" t="str">
        <f t="shared" si="145"/>
        <v>S</v>
      </c>
      <c r="B533">
        <f t="shared" ca="1" si="146"/>
        <v>3</v>
      </c>
      <c r="C533" t="str">
        <f t="shared" ca="1" si="147"/>
        <v>S</v>
      </c>
      <c r="D533">
        <f t="shared" ca="1" si="148"/>
        <v>0</v>
      </c>
      <c r="E533">
        <f ca="1">IF($C533=1,OFFSET(E533,-1,0)+MAX(1,COUNTIF(QCI!$A$13:$A$24,OFFSET(ORÇAMENTO!E533,-1,0))),OFFSET(E533,-1,0))</f>
        <v>1</v>
      </c>
      <c r="F533">
        <f t="shared" ca="1" si="149"/>
        <v>17</v>
      </c>
      <c r="G533">
        <f t="shared" ca="1" si="150"/>
        <v>4</v>
      </c>
      <c r="H533">
        <f t="shared" ca="1" si="151"/>
        <v>0</v>
      </c>
      <c r="I533">
        <f t="shared" ca="1" si="152"/>
        <v>0</v>
      </c>
      <c r="J533">
        <f t="shared" ca="1" si="144"/>
        <v>0</v>
      </c>
      <c r="K533">
        <f ca="1">IF(OR($C533="S",$C533=0),0,MATCH(OFFSET($D533,0,$C533)+IF($C533&lt;&gt;1,1,COUNTIF(QCI!$A$13:$A$24,ORÇAMENTO!E533)),OFFSET($D533,1,$C533,ROW($C$747)-ROW($C533)),0))</f>
        <v>0</v>
      </c>
      <c r="L533" s="116" t="str">
        <f t="shared" ca="1" si="153"/>
        <v/>
      </c>
      <c r="M533" s="117" t="s">
        <v>199</v>
      </c>
      <c r="N533" s="118" t="str">
        <f t="shared" ca="1" si="154"/>
        <v>Serviço</v>
      </c>
      <c r="O533" s="119" t="str">
        <f t="shared" ca="1" si="155"/>
        <v>-</v>
      </c>
      <c r="P533" s="120" t="s">
        <v>247</v>
      </c>
      <c r="Q533" s="121" t="s">
        <v>661</v>
      </c>
      <c r="R533" s="122" t="str">
        <f ca="1">IF($C533="S",REFERENCIA.Descricao,"(digite a descrição aqui)")</f>
        <v>(abra o arquivo 'Referência 02-2025.xlsm)</v>
      </c>
      <c r="S533" s="123" t="str">
        <f ca="1">REFERENCIA.Unidade</f>
        <v>-</v>
      </c>
      <c r="T533" s="124">
        <f ca="1">OFFSET(CÁLCULO!H$15,ROW($T533)-ROW(T$15),0)</f>
        <v>4510.5</v>
      </c>
      <c r="U533" s="125">
        <f t="shared" ca="1" si="161"/>
        <v>0</v>
      </c>
      <c r="V533" s="126" t="s">
        <v>156</v>
      </c>
      <c r="W533" s="124">
        <f ca="1">IF($C533="S",ROUND(IF(TIPOORCAMENTO="Proposto",ORÇAMENTO.CustoUnitario*(1+$AH533),ORÇAMENTO.PrecoUnitarioLicitado),15-13*$AF$10),0)</f>
        <v>0</v>
      </c>
      <c r="X533" s="127">
        <f ca="1">IF($C533="S",IF(Import.TipoArredondamento&lt;&gt;"TransfereGOV",VTOTAL1,SUM(OFFSET(CÁLCULO!$AA$15,ROW($X533)-ROW($X$15),1):OFFSET(CÁLCULO!$AL$15,ROW($X533)-ROW($X$15),-1))),IF($C533=0,0,ROUND(SomaAgrup,15-13*$AF$11)))</f>
        <v>0</v>
      </c>
      <c r="Y533" s="128" t="s">
        <v>245</v>
      </c>
      <c r="Z533" t="str">
        <f t="shared" ca="1" si="156"/>
        <v/>
      </c>
      <c r="AA533" s="129">
        <f ca="1">IF($C533="S",IF($Z533="CP",$X533,IF($Z533="RA",(($X533)*QCI!$AA$3),0)),SomaAgrup)</f>
        <v>0</v>
      </c>
      <c r="AB533" s="130">
        <f t="shared" ca="1" si="157"/>
        <v>0</v>
      </c>
      <c r="AC533" s="131" t="str">
        <f ca="1">IF($N533="","",IF(ORÇAMENTO.Descricao="","DESCRIÇÃO",IF(AND($C533="S",ORÇAMENTO.Unidade=""),"UNIDADE",IF($X533&lt;0,"VALOR NEGATIVO",IF(OR(AND(TIPOORCAMENTO="Proposto",$AG533&lt;&gt;"",$AG533&gt;0,ORÇAMENTO.CustoUnitario&gt;$AG533),AND(TIPOORCAMENTO="LICITADO",ORÇAMENTO.PrecoUnitarioLicitado&gt;$AN533)),"ACIMA REF.","")))))</f>
        <v/>
      </c>
      <c r="AD533" t="str">
        <f ca="1">IF(C533&lt;=CRONO.NivelExibicao,MAX($AD$15:OFFSET(AD533,-1,0))+IF($C533&lt;&gt;1,1,MAX(1,COUNTIF(QCI!$A$13:$A$24,OFFSET($E533,-1,0)))),"")</f>
        <v/>
      </c>
      <c r="AE533" s="7" t="str">
        <f ca="1">IF(AND($C533="S",ORÇAMENTO.CodBarra&lt;&gt;""),IF(ORÇAMENTO.Fonte="",ORÇAMENTO.CodBarra,CONCATENATE(ORÇAMENTO.Fonte," ",ORÇAMENTO.CodBarra)))</f>
        <v>SINAPI 91926</v>
      </c>
      <c r="AF533" s="13" t="str">
        <f ca="1">IF(ISERROR(INDIRECT(ORÇAMENTO.BancoRef)),"(abra o arquivo 'Referência "&amp;Excel_BuiltIn_Database&amp;".xlsm)",IF(OR($C533&lt;&gt;"S",ORÇAMENTO.CodBarra=""),"(Sem Código)",IF(ISERROR(MATCH($AE533,INDIRECT(ORÇAMENTO.BancoRef),0)),"(Código não identificado nas referências)",MATCH($AE533,INDIRECT(ORÇAMENTO.BancoRef),0))))</f>
        <v>(abra o arquivo 'Referência 02-2025.xlsm)</v>
      </c>
      <c r="AG533" s="498">
        <f ca="1">ROUND(IF(DESONERACAO="sim",REFERENCIA.Desonerado,REFERENCIA.NaoDesonerado),2)</f>
        <v>0</v>
      </c>
      <c r="AH533" s="499">
        <f t="shared" ca="1" si="158"/>
        <v>0.22470000000000001</v>
      </c>
      <c r="AJ533" s="501">
        <v>4510.5</v>
      </c>
      <c r="AL533" s="527"/>
      <c r="AM533" s="381">
        <f t="shared" ca="1" si="159"/>
        <v>0</v>
      </c>
      <c r="AN533" s="566">
        <f t="shared" ca="1" si="160"/>
        <v>0</v>
      </c>
    </row>
    <row r="534" spans="1:40" ht="38.25" x14ac:dyDescent="0.2">
      <c r="A534" t="str">
        <f t="shared" si="145"/>
        <v>S</v>
      </c>
      <c r="B534">
        <f t="shared" ca="1" si="146"/>
        <v>3</v>
      </c>
      <c r="C534" t="str">
        <f t="shared" ca="1" si="147"/>
        <v>S</v>
      </c>
      <c r="D534">
        <f t="shared" ca="1" si="148"/>
        <v>0</v>
      </c>
      <c r="E534">
        <f ca="1">IF($C534=1,OFFSET(E534,-1,0)+MAX(1,COUNTIF(QCI!$A$13:$A$24,OFFSET(ORÇAMENTO!E534,-1,0))),OFFSET(E534,-1,0))</f>
        <v>1</v>
      </c>
      <c r="F534">
        <f t="shared" ca="1" si="149"/>
        <v>17</v>
      </c>
      <c r="G534">
        <f t="shared" ca="1" si="150"/>
        <v>4</v>
      </c>
      <c r="H534">
        <f t="shared" ca="1" si="151"/>
        <v>0</v>
      </c>
      <c r="I534">
        <f t="shared" ca="1" si="152"/>
        <v>0</v>
      </c>
      <c r="J534">
        <f t="shared" ca="1" si="144"/>
        <v>0</v>
      </c>
      <c r="K534">
        <f ca="1">IF(OR($C534="S",$C534=0),0,MATCH(OFFSET($D534,0,$C534)+IF($C534&lt;&gt;1,1,COUNTIF(QCI!$A$13:$A$24,ORÇAMENTO!E534)),OFFSET($D534,1,$C534,ROW($C$747)-ROW($C534)),0))</f>
        <v>0</v>
      </c>
      <c r="L534" s="116" t="str">
        <f t="shared" ca="1" si="153"/>
        <v/>
      </c>
      <c r="M534" s="117" t="s">
        <v>199</v>
      </c>
      <c r="N534" s="118" t="str">
        <f t="shared" ca="1" si="154"/>
        <v>Serviço</v>
      </c>
      <c r="O534" s="119" t="str">
        <f t="shared" ca="1" si="155"/>
        <v>-</v>
      </c>
      <c r="P534" s="120" t="s">
        <v>247</v>
      </c>
      <c r="Q534" s="121" t="s">
        <v>660</v>
      </c>
      <c r="R534" s="122" t="str">
        <f ca="1">IF($C534="S",REFERENCIA.Descricao,"(digite a descrição aqui)")</f>
        <v>(abra o arquivo 'Referência 02-2025.xlsm)</v>
      </c>
      <c r="S534" s="123" t="str">
        <f ca="1">REFERENCIA.Unidade</f>
        <v>-</v>
      </c>
      <c r="T534" s="124">
        <f ca="1">OFFSET(CÁLCULO!H$15,ROW($T534)-ROW(T$15),0)</f>
        <v>4012.5</v>
      </c>
      <c r="U534" s="125">
        <f t="shared" ca="1" si="161"/>
        <v>0</v>
      </c>
      <c r="V534" s="126" t="s">
        <v>156</v>
      </c>
      <c r="W534" s="124">
        <f ca="1">IF($C534="S",ROUND(IF(TIPOORCAMENTO="Proposto",ORÇAMENTO.CustoUnitario*(1+$AH534),ORÇAMENTO.PrecoUnitarioLicitado),15-13*$AF$10),0)</f>
        <v>0</v>
      </c>
      <c r="X534" s="127">
        <f ca="1">IF($C534="S",IF(Import.TipoArredondamento&lt;&gt;"TransfereGOV",VTOTAL1,SUM(OFFSET(CÁLCULO!$AA$15,ROW($X534)-ROW($X$15),1):OFFSET(CÁLCULO!$AL$15,ROW($X534)-ROW($X$15),-1))),IF($C534=0,0,ROUND(SomaAgrup,15-13*$AF$11)))</f>
        <v>0</v>
      </c>
      <c r="Y534" s="128" t="s">
        <v>245</v>
      </c>
      <c r="Z534" t="str">
        <f t="shared" ca="1" si="156"/>
        <v/>
      </c>
      <c r="AA534" s="129">
        <f ca="1">IF($C534="S",IF($Z534="CP",$X534,IF($Z534="RA",(($X534)*QCI!$AA$3),0)),SomaAgrup)</f>
        <v>0</v>
      </c>
      <c r="AB534" s="130">
        <f t="shared" ca="1" si="157"/>
        <v>0</v>
      </c>
      <c r="AC534" s="131" t="str">
        <f ca="1">IF($N534="","",IF(ORÇAMENTO.Descricao="","DESCRIÇÃO",IF(AND($C534="S",ORÇAMENTO.Unidade=""),"UNIDADE",IF($X534&lt;0,"VALOR NEGATIVO",IF(OR(AND(TIPOORCAMENTO="Proposto",$AG534&lt;&gt;"",$AG534&gt;0,ORÇAMENTO.CustoUnitario&gt;$AG534),AND(TIPOORCAMENTO="LICITADO",ORÇAMENTO.PrecoUnitarioLicitado&gt;$AN534)),"ACIMA REF.","")))))</f>
        <v/>
      </c>
      <c r="AD534" t="str">
        <f ca="1">IF(C534&lt;=CRONO.NivelExibicao,MAX($AD$15:OFFSET(AD534,-1,0))+IF($C534&lt;&gt;1,1,MAX(1,COUNTIF(QCI!$A$13:$A$24,OFFSET($E534,-1,0)))),"")</f>
        <v/>
      </c>
      <c r="AE534" s="7" t="str">
        <f ca="1">IF(AND($C534="S",ORÇAMENTO.CodBarra&lt;&gt;""),IF(ORÇAMENTO.Fonte="",ORÇAMENTO.CodBarra,CONCATENATE(ORÇAMENTO.Fonte," ",ORÇAMENTO.CodBarra)))</f>
        <v>SINAPI 91924</v>
      </c>
      <c r="AF534" s="13" t="str">
        <f ca="1">IF(ISERROR(INDIRECT(ORÇAMENTO.BancoRef)),"(abra o arquivo 'Referência "&amp;Excel_BuiltIn_Database&amp;".xlsm)",IF(OR($C534&lt;&gt;"S",ORÇAMENTO.CodBarra=""),"(Sem Código)",IF(ISERROR(MATCH($AE534,INDIRECT(ORÇAMENTO.BancoRef),0)),"(Código não identificado nas referências)",MATCH($AE534,INDIRECT(ORÇAMENTO.BancoRef),0))))</f>
        <v>(abra o arquivo 'Referência 02-2025.xlsm)</v>
      </c>
      <c r="AG534" s="498">
        <f ca="1">ROUND(IF(DESONERACAO="sim",REFERENCIA.Desonerado,REFERENCIA.NaoDesonerado),2)</f>
        <v>0</v>
      </c>
      <c r="AH534" s="499">
        <f t="shared" ca="1" si="158"/>
        <v>0.22470000000000001</v>
      </c>
      <c r="AJ534" s="501">
        <v>4012.5</v>
      </c>
      <c r="AL534" s="527"/>
      <c r="AM534" s="381">
        <f t="shared" ca="1" si="159"/>
        <v>0</v>
      </c>
      <c r="AN534" s="566">
        <f t="shared" ca="1" si="160"/>
        <v>0</v>
      </c>
    </row>
    <row r="535" spans="1:40" x14ac:dyDescent="0.2">
      <c r="A535">
        <f t="shared" si="145"/>
        <v>3</v>
      </c>
      <c r="B535">
        <f t="shared" ca="1" si="146"/>
        <v>3</v>
      </c>
      <c r="C535">
        <f t="shared" ca="1" si="147"/>
        <v>3</v>
      </c>
      <c r="D535">
        <f t="shared" ca="1" si="148"/>
        <v>4</v>
      </c>
      <c r="E535">
        <f ca="1">IF($C535=1,OFFSET(E535,-1,0)+MAX(1,COUNTIF(QCI!$A$13:$A$24,OFFSET(ORÇAMENTO!E535,-1,0))),OFFSET(E535,-1,0))</f>
        <v>1</v>
      </c>
      <c r="F535">
        <f t="shared" ca="1" si="149"/>
        <v>17</v>
      </c>
      <c r="G535">
        <f t="shared" ca="1" si="150"/>
        <v>5</v>
      </c>
      <c r="H535">
        <f t="shared" ca="1" si="151"/>
        <v>0</v>
      </c>
      <c r="I535">
        <f t="shared" ca="1" si="152"/>
        <v>0</v>
      </c>
      <c r="J535">
        <f t="shared" ca="1" si="144"/>
        <v>73</v>
      </c>
      <c r="K535">
        <f ca="1">IF(OR($C535="S",$C535=0),0,MATCH(OFFSET($D535,0,$C535)+IF($C535&lt;&gt;1,1,COUNTIF(QCI!$A$13:$A$24,ORÇAMENTO!E535)),OFFSET($D535,1,$C535,ROW($C$747)-ROW($C535)),0))</f>
        <v>4</v>
      </c>
      <c r="L535" s="116" t="str">
        <f t="shared" ca="1" si="153"/>
        <v>F</v>
      </c>
      <c r="M535" s="117" t="s">
        <v>197</v>
      </c>
      <c r="N535" s="118" t="str">
        <f t="shared" ca="1" si="154"/>
        <v>Nível 3</v>
      </c>
      <c r="O535" s="119" t="str">
        <f t="shared" ca="1" si="155"/>
        <v>1.17.5.</v>
      </c>
      <c r="P535" s="120" t="s">
        <v>247</v>
      </c>
      <c r="Q535" s="121"/>
      <c r="R535" s="122" t="str">
        <f ca="1">IF($C535="S",REFERENCIA.Descricao,"CAIXAS DE PASSAGEM")</f>
        <v>CAIXAS DE PASSAGEM</v>
      </c>
      <c r="S535" s="123" t="str">
        <f ca="1">REFERENCIA.Unidade</f>
        <v>-</v>
      </c>
      <c r="T535" s="124">
        <f ca="1">OFFSET(CÁLCULO!H$15,ROW($T535)-ROW(T$15),0)</f>
        <v>0</v>
      </c>
      <c r="U535" s="125">
        <f t="shared" ca="1" si="161"/>
        <v>0</v>
      </c>
      <c r="V535" s="126" t="s">
        <v>156</v>
      </c>
      <c r="W535" s="124">
        <f ca="1">IF($C535="S",ROUND(IF(TIPOORCAMENTO="Proposto",ORÇAMENTO.CustoUnitario*(1+$AH535),ORÇAMENTO.PrecoUnitarioLicitado),15-13*$AF$10),0)</f>
        <v>0</v>
      </c>
      <c r="X535" s="127">
        <f ca="1">IF($C535="S",IF(Import.TipoArredondamento&lt;&gt;"TransfereGOV",VTOTAL1,SUM(OFFSET(CÁLCULO!$AA$15,ROW($X535)-ROW($X$15),1):OFFSET(CÁLCULO!$AL$15,ROW($X535)-ROW($X$15),-1))),IF($C535=0,0,ROUND(SomaAgrup,15-13*$AF$11)))</f>
        <v>0</v>
      </c>
      <c r="Y535" s="128" t="s">
        <v>245</v>
      </c>
      <c r="Z535" t="str">
        <f t="shared" ca="1" si="156"/>
        <v/>
      </c>
      <c r="AA535" s="129">
        <f ca="1">IF($C535="S",IF($Z535="CP",$X535,IF($Z535="RA",(($X535)*QCI!$AA$3),0)),SomaAgrup)</f>
        <v>0</v>
      </c>
      <c r="AB535" s="130">
        <f t="shared" ca="1" si="157"/>
        <v>0</v>
      </c>
      <c r="AC535" s="131" t="str">
        <f ca="1">IF($N535="","",IF(ORÇAMENTO.Descricao="","DESCRIÇÃO",IF(AND($C535="S",ORÇAMENTO.Unidade=""),"UNIDADE",IF($X535&lt;0,"VALOR NEGATIVO",IF(OR(AND(TIPOORCAMENTO="Proposto",$AG535&lt;&gt;"",$AG535&gt;0,ORÇAMENTO.CustoUnitario&gt;$AG535),AND(TIPOORCAMENTO="LICITADO",ORÇAMENTO.PrecoUnitarioLicitado&gt;$AN535)),"ACIMA REF.","")))))</f>
        <v/>
      </c>
      <c r="AD535" t="str">
        <f ca="1">IF(C535&lt;=CRONO.NivelExibicao,MAX($AD$15:OFFSET(AD535,-1,0))+IF($C535&lt;&gt;1,1,MAX(1,COUNTIF(QCI!$A$13:$A$24,OFFSET($E535,-1,0)))),"")</f>
        <v/>
      </c>
      <c r="AE535" s="7" t="b">
        <f ca="1">IF(AND($C535="S",ORÇAMENTO.CodBarra&lt;&gt;""),IF(ORÇAMENTO.Fonte="",ORÇAMENTO.CodBarra,CONCATENATE(ORÇAMENTO.Fonte," ",ORÇAMENTO.CodBarra)))</f>
        <v>0</v>
      </c>
      <c r="AF535" s="13" t="str">
        <f ca="1">IF(ISERROR(INDIRECT(ORÇAMENTO.BancoRef)),"(abra o arquivo 'Referência "&amp;Excel_BuiltIn_Database&amp;".xlsm)",IF(OR($C535&lt;&gt;"S",ORÇAMENTO.CodBarra=""),"(Sem Código)",IF(ISERROR(MATCH($AE535,INDIRECT(ORÇAMENTO.BancoRef),0)),"(Código não identificado nas referências)",MATCH($AE535,INDIRECT(ORÇAMENTO.BancoRef),0))))</f>
        <v>(abra o arquivo 'Referência 02-2025.xlsm)</v>
      </c>
      <c r="AG535" s="498">
        <f ca="1">ROUND(IF(DESONERACAO="sim",REFERENCIA.Desonerado,REFERENCIA.NaoDesonerado),2)</f>
        <v>0</v>
      </c>
      <c r="AH535" s="499">
        <f t="shared" ca="1" si="158"/>
        <v>0.22470000000000001</v>
      </c>
      <c r="AJ535" s="501"/>
      <c r="AL535" s="527"/>
      <c r="AM535" s="381">
        <f t="shared" ca="1" si="159"/>
        <v>0</v>
      </c>
      <c r="AN535" s="566">
        <f t="shared" ca="1" si="160"/>
        <v>0</v>
      </c>
    </row>
    <row r="536" spans="1:40" ht="25.5" x14ac:dyDescent="0.2">
      <c r="A536" t="str">
        <f t="shared" si="145"/>
        <v>S</v>
      </c>
      <c r="B536">
        <f t="shared" ca="1" si="146"/>
        <v>3</v>
      </c>
      <c r="C536" t="str">
        <f t="shared" ca="1" si="147"/>
        <v>S</v>
      </c>
      <c r="D536">
        <f t="shared" ca="1" si="148"/>
        <v>0</v>
      </c>
      <c r="E536">
        <f ca="1">IF($C536=1,OFFSET(E536,-1,0)+MAX(1,COUNTIF(QCI!$A$13:$A$24,OFFSET(ORÇAMENTO!E536,-1,0))),OFFSET(E536,-1,0))</f>
        <v>1</v>
      </c>
      <c r="F536">
        <f t="shared" ca="1" si="149"/>
        <v>17</v>
      </c>
      <c r="G536">
        <f t="shared" ca="1" si="150"/>
        <v>5</v>
      </c>
      <c r="H536">
        <f t="shared" ca="1" si="151"/>
        <v>0</v>
      </c>
      <c r="I536">
        <f t="shared" ca="1" si="152"/>
        <v>0</v>
      </c>
      <c r="J536">
        <f t="shared" ca="1" si="144"/>
        <v>0</v>
      </c>
      <c r="K536">
        <f ca="1">IF(OR($C536="S",$C536=0),0,MATCH(OFFSET($D536,0,$C536)+IF($C536&lt;&gt;1,1,COUNTIF(QCI!$A$13:$A$24,ORÇAMENTO!E536)),OFFSET($D536,1,$C536,ROW($C$747)-ROW($C536)),0))</f>
        <v>0</v>
      </c>
      <c r="L536" s="116" t="str">
        <f t="shared" ca="1" si="153"/>
        <v/>
      </c>
      <c r="M536" s="117" t="s">
        <v>199</v>
      </c>
      <c r="N536" s="118" t="str">
        <f t="shared" ca="1" si="154"/>
        <v>Serviço</v>
      </c>
      <c r="O536" s="119" t="str">
        <f t="shared" ca="1" si="155"/>
        <v>-</v>
      </c>
      <c r="P536" s="120" t="s">
        <v>247</v>
      </c>
      <c r="Q536" s="121" t="s">
        <v>664</v>
      </c>
      <c r="R536" s="122" t="str">
        <f ca="1">IF($C536="S",REFERENCIA.Descricao,"(digite a descrição aqui)")</f>
        <v>(abra o arquivo 'Referência 02-2025.xlsm)</v>
      </c>
      <c r="S536" s="123" t="str">
        <f ca="1">REFERENCIA.Unidade</f>
        <v>-</v>
      </c>
      <c r="T536" s="124">
        <f ca="1">OFFSET(CÁLCULO!H$15,ROW($T536)-ROW(T$15),0)</f>
        <v>3</v>
      </c>
      <c r="U536" s="125">
        <f t="shared" ca="1" si="161"/>
        <v>0</v>
      </c>
      <c r="V536" s="126" t="s">
        <v>156</v>
      </c>
      <c r="W536" s="124">
        <f ca="1">IF($C536="S",ROUND(IF(TIPOORCAMENTO="Proposto",ORÇAMENTO.CustoUnitario*(1+$AH536),ORÇAMENTO.PrecoUnitarioLicitado),15-13*$AF$10),0)</f>
        <v>0</v>
      </c>
      <c r="X536" s="127">
        <f ca="1">IF($C536="S",IF(Import.TipoArredondamento&lt;&gt;"TransfereGOV",VTOTAL1,SUM(OFFSET(CÁLCULO!$AA$15,ROW($X536)-ROW($X$15),1):OFFSET(CÁLCULO!$AL$15,ROW($X536)-ROW($X$15),-1))),IF($C536=0,0,ROUND(SomaAgrup,15-13*$AF$11)))</f>
        <v>0</v>
      </c>
      <c r="Y536" s="128" t="s">
        <v>245</v>
      </c>
      <c r="Z536" t="str">
        <f t="shared" ca="1" si="156"/>
        <v/>
      </c>
      <c r="AA536" s="129">
        <f ca="1">IF($C536="S",IF($Z536="CP",$X536,IF($Z536="RA",(($X536)*QCI!$AA$3),0)),SomaAgrup)</f>
        <v>0</v>
      </c>
      <c r="AB536" s="130">
        <f t="shared" ca="1" si="157"/>
        <v>0</v>
      </c>
      <c r="AC536" s="131" t="str">
        <f ca="1">IF($N536="","",IF(ORÇAMENTO.Descricao="","DESCRIÇÃO",IF(AND($C536="S",ORÇAMENTO.Unidade=""),"UNIDADE",IF($X536&lt;0,"VALOR NEGATIVO",IF(OR(AND(TIPOORCAMENTO="Proposto",$AG536&lt;&gt;"",$AG536&gt;0,ORÇAMENTO.CustoUnitario&gt;$AG536),AND(TIPOORCAMENTO="LICITADO",ORÇAMENTO.PrecoUnitarioLicitado&gt;$AN536)),"ACIMA REF.","")))))</f>
        <v/>
      </c>
      <c r="AD536" t="str">
        <f ca="1">IF(C536&lt;=CRONO.NivelExibicao,MAX($AD$15:OFFSET(AD536,-1,0))+IF($C536&lt;&gt;1,1,MAX(1,COUNTIF(QCI!$A$13:$A$24,OFFSET($E536,-1,0)))),"")</f>
        <v/>
      </c>
      <c r="AE536" s="7" t="str">
        <f ca="1">IF(AND($C536="S",ORÇAMENTO.CodBarra&lt;&gt;""),IF(ORÇAMENTO.Fonte="",ORÇAMENTO.CodBarra,CONCATENATE(ORÇAMENTO.Fonte," ",ORÇAMENTO.CodBarra)))</f>
        <v>SINAPI 100556</v>
      </c>
      <c r="AF536" s="13" t="str">
        <f ca="1">IF(ISERROR(INDIRECT(ORÇAMENTO.BancoRef)),"(abra o arquivo 'Referência "&amp;Excel_BuiltIn_Database&amp;".xlsm)",IF(OR($C536&lt;&gt;"S",ORÇAMENTO.CodBarra=""),"(Sem Código)",IF(ISERROR(MATCH($AE536,INDIRECT(ORÇAMENTO.BancoRef),0)),"(Código não identificado nas referências)",MATCH($AE536,INDIRECT(ORÇAMENTO.BancoRef),0))))</f>
        <v>(abra o arquivo 'Referência 02-2025.xlsm)</v>
      </c>
      <c r="AG536" s="498">
        <f ca="1">ROUND(IF(DESONERACAO="sim",REFERENCIA.Desonerado,REFERENCIA.NaoDesonerado),2)</f>
        <v>0</v>
      </c>
      <c r="AH536" s="499">
        <f t="shared" ca="1" si="158"/>
        <v>0.22470000000000001</v>
      </c>
      <c r="AJ536" s="501">
        <v>3</v>
      </c>
      <c r="AL536" s="527"/>
      <c r="AM536" s="381">
        <f t="shared" ca="1" si="159"/>
        <v>0</v>
      </c>
      <c r="AN536" s="566">
        <f t="shared" ca="1" si="160"/>
        <v>0</v>
      </c>
    </row>
    <row r="537" spans="1:40" ht="38.25" x14ac:dyDescent="0.2">
      <c r="A537" t="str">
        <f t="shared" si="145"/>
        <v>S</v>
      </c>
      <c r="B537">
        <f t="shared" ca="1" si="146"/>
        <v>3</v>
      </c>
      <c r="C537" t="str">
        <f t="shared" ca="1" si="147"/>
        <v>S</v>
      </c>
      <c r="D537">
        <f t="shared" ca="1" si="148"/>
        <v>0</v>
      </c>
      <c r="E537">
        <f ca="1">IF($C537=1,OFFSET(E537,-1,0)+MAX(1,COUNTIF(QCI!$A$13:$A$24,OFFSET(ORÇAMENTO!E537,-1,0))),OFFSET(E537,-1,0))</f>
        <v>1</v>
      </c>
      <c r="F537">
        <f t="shared" ca="1" si="149"/>
        <v>17</v>
      </c>
      <c r="G537">
        <f t="shared" ca="1" si="150"/>
        <v>5</v>
      </c>
      <c r="H537">
        <f t="shared" ca="1" si="151"/>
        <v>0</v>
      </c>
      <c r="I537">
        <f t="shared" ca="1" si="152"/>
        <v>0</v>
      </c>
      <c r="J537">
        <f t="shared" ca="1" si="144"/>
        <v>0</v>
      </c>
      <c r="K537">
        <f ca="1">IF(OR($C537="S",$C537=0),0,MATCH(OFFSET($D537,0,$C537)+IF($C537&lt;&gt;1,1,COUNTIF(QCI!$A$13:$A$24,ORÇAMENTO!E537)),OFFSET($D537,1,$C537,ROW($C$747)-ROW($C537)),0))</f>
        <v>0</v>
      </c>
      <c r="L537" s="116" t="str">
        <f t="shared" ca="1" si="153"/>
        <v/>
      </c>
      <c r="M537" s="117" t="s">
        <v>199</v>
      </c>
      <c r="N537" s="118" t="str">
        <f t="shared" ca="1" si="154"/>
        <v>Serviço</v>
      </c>
      <c r="O537" s="119" t="str">
        <f t="shared" ca="1" si="155"/>
        <v>-</v>
      </c>
      <c r="P537" s="120" t="s">
        <v>666</v>
      </c>
      <c r="Q537" s="121" t="s">
        <v>667</v>
      </c>
      <c r="R537" s="122" t="str">
        <f ca="1">IF($C537="S",REFERENCIA.Descricao,"(digite a descrição aqui)")</f>
        <v>(abra o arquivo 'Referência 02-2025.xlsm)</v>
      </c>
      <c r="S537" s="123" t="str">
        <f ca="1">REFERENCIA.Unidade</f>
        <v>-</v>
      </c>
      <c r="T537" s="124">
        <f ca="1">OFFSET(CÁLCULO!H$15,ROW($T537)-ROW(T$15),0)</f>
        <v>2</v>
      </c>
      <c r="U537" s="125">
        <f t="shared" ca="1" si="161"/>
        <v>0</v>
      </c>
      <c r="V537" s="126" t="s">
        <v>156</v>
      </c>
      <c r="W537" s="124">
        <f ca="1">IF($C537="S",ROUND(IF(TIPOORCAMENTO="Proposto",ORÇAMENTO.CustoUnitario*(1+$AH537),ORÇAMENTO.PrecoUnitarioLicitado),15-13*$AF$10),0)</f>
        <v>0</v>
      </c>
      <c r="X537" s="127">
        <f ca="1">IF($C537="S",IF(Import.TipoArredondamento&lt;&gt;"TransfereGOV",VTOTAL1,SUM(OFFSET(CÁLCULO!$AA$15,ROW($X537)-ROW($X$15),1):OFFSET(CÁLCULO!$AL$15,ROW($X537)-ROW($X$15),-1))),IF($C537=0,0,ROUND(SomaAgrup,15-13*$AF$11)))</f>
        <v>0</v>
      </c>
      <c r="Y537" s="128" t="s">
        <v>245</v>
      </c>
      <c r="Z537" t="str">
        <f t="shared" ca="1" si="156"/>
        <v/>
      </c>
      <c r="AA537" s="129">
        <f ca="1">IF($C537="S",IF($Z537="CP",$X537,IF($Z537="RA",(($X537)*QCI!$AA$3),0)),SomaAgrup)</f>
        <v>0</v>
      </c>
      <c r="AB537" s="130">
        <f t="shared" ca="1" si="157"/>
        <v>0</v>
      </c>
      <c r="AC537" s="131" t="str">
        <f ca="1">IF($N537="","",IF(ORÇAMENTO.Descricao="","DESCRIÇÃO",IF(AND($C537="S",ORÇAMENTO.Unidade=""),"UNIDADE",IF($X537&lt;0,"VALOR NEGATIVO",IF(OR(AND(TIPOORCAMENTO="Proposto",$AG537&lt;&gt;"",$AG537&gt;0,ORÇAMENTO.CustoUnitario&gt;$AG537),AND(TIPOORCAMENTO="LICITADO",ORÇAMENTO.PrecoUnitarioLicitado&gt;$AN537)),"ACIMA REF.","")))))</f>
        <v/>
      </c>
      <c r="AD537" t="str">
        <f ca="1">IF(C537&lt;=CRONO.NivelExibicao,MAX($AD$15:OFFSET(AD537,-1,0))+IF($C537&lt;&gt;1,1,MAX(1,COUNTIF(QCI!$A$13:$A$24,OFFSET($E537,-1,0)))),"")</f>
        <v/>
      </c>
      <c r="AE537" s="7" t="str">
        <f ca="1">IF(AND($C537="S",ORÇAMENTO.CodBarra&lt;&gt;""),IF(ORÇAMENTO.Fonte="",ORÇAMENTO.CodBarra,CONCATENATE(ORÇAMENTO.Fonte," ",ORÇAMENTO.CodBarra)))</f>
        <v>SINAPI-I 43097</v>
      </c>
      <c r="AF537" s="13" t="str">
        <f ca="1">IF(ISERROR(INDIRECT(ORÇAMENTO.BancoRef)),"(abra o arquivo 'Referência "&amp;Excel_BuiltIn_Database&amp;".xlsm)",IF(OR($C537&lt;&gt;"S",ORÇAMENTO.CodBarra=""),"(Sem Código)",IF(ISERROR(MATCH($AE537,INDIRECT(ORÇAMENTO.BancoRef),0)),"(Código não identificado nas referências)",MATCH($AE537,INDIRECT(ORÇAMENTO.BancoRef),0))))</f>
        <v>(abra o arquivo 'Referência 02-2025.xlsm)</v>
      </c>
      <c r="AG537" s="498">
        <f ca="1">ROUND(IF(DESONERACAO="sim",REFERENCIA.Desonerado,REFERENCIA.NaoDesonerado),2)</f>
        <v>0</v>
      </c>
      <c r="AH537" s="499">
        <f t="shared" ca="1" si="158"/>
        <v>0.22470000000000001</v>
      </c>
      <c r="AJ537" s="501">
        <v>2</v>
      </c>
      <c r="AL537" s="527"/>
      <c r="AM537" s="381">
        <f t="shared" ca="1" si="159"/>
        <v>0</v>
      </c>
      <c r="AN537" s="566">
        <f t="shared" ca="1" si="160"/>
        <v>0</v>
      </c>
    </row>
    <row r="538" spans="1:40" ht="38.25" x14ac:dyDescent="0.2">
      <c r="A538" t="str">
        <f t="shared" si="145"/>
        <v>S</v>
      </c>
      <c r="B538">
        <f t="shared" ca="1" si="146"/>
        <v>3</v>
      </c>
      <c r="C538" t="str">
        <f t="shared" ca="1" si="147"/>
        <v>S</v>
      </c>
      <c r="D538">
        <f t="shared" ca="1" si="148"/>
        <v>0</v>
      </c>
      <c r="E538">
        <f ca="1">IF($C538=1,OFFSET(E538,-1,0)+MAX(1,COUNTIF(QCI!$A$13:$A$24,OFFSET(ORÇAMENTO!E538,-1,0))),OFFSET(E538,-1,0))</f>
        <v>1</v>
      </c>
      <c r="F538">
        <f t="shared" ca="1" si="149"/>
        <v>17</v>
      </c>
      <c r="G538">
        <f t="shared" ca="1" si="150"/>
        <v>5</v>
      </c>
      <c r="H538">
        <f t="shared" ca="1" si="151"/>
        <v>0</v>
      </c>
      <c r="I538">
        <f t="shared" ca="1" si="152"/>
        <v>0</v>
      </c>
      <c r="J538">
        <f t="shared" ca="1" si="144"/>
        <v>0</v>
      </c>
      <c r="K538">
        <f ca="1">IF(OR($C538="S",$C538=0),0,MATCH(OFFSET($D538,0,$C538)+IF($C538&lt;&gt;1,1,COUNTIF(QCI!$A$13:$A$24,ORÇAMENTO!E538)),OFFSET($D538,1,$C538,ROW($C$747)-ROW($C538)),0))</f>
        <v>0</v>
      </c>
      <c r="L538" s="116" t="str">
        <f t="shared" ca="1" si="153"/>
        <v/>
      </c>
      <c r="M538" s="117" t="s">
        <v>199</v>
      </c>
      <c r="N538" s="118" t="str">
        <f t="shared" ca="1" si="154"/>
        <v>Serviço</v>
      </c>
      <c r="O538" s="119" t="str">
        <f t="shared" ca="1" si="155"/>
        <v>-</v>
      </c>
      <c r="P538" s="120" t="s">
        <v>247</v>
      </c>
      <c r="Q538" s="121" t="s">
        <v>665</v>
      </c>
      <c r="R538" s="122" t="str">
        <f ca="1">IF($C538="S",REFERENCIA.Descricao,"(digite a descrição aqui)")</f>
        <v>(abra o arquivo 'Referência 02-2025.xlsm)</v>
      </c>
      <c r="S538" s="123" t="str">
        <f ca="1">REFERENCIA.Unidade</f>
        <v>-</v>
      </c>
      <c r="T538" s="124">
        <f ca="1">OFFSET(CÁLCULO!H$15,ROW($T538)-ROW(T$15),0)</f>
        <v>14</v>
      </c>
      <c r="U538" s="125">
        <f t="shared" ca="1" si="161"/>
        <v>0</v>
      </c>
      <c r="V538" s="126" t="s">
        <v>156</v>
      </c>
      <c r="W538" s="124">
        <f ca="1">IF($C538="S",ROUND(IF(TIPOORCAMENTO="Proposto",ORÇAMENTO.CustoUnitario*(1+$AH538),ORÇAMENTO.PrecoUnitarioLicitado),15-13*$AF$10),0)</f>
        <v>0</v>
      </c>
      <c r="X538" s="127">
        <f ca="1">IF($C538="S",IF(Import.TipoArredondamento&lt;&gt;"TransfereGOV",VTOTAL1,SUM(OFFSET(CÁLCULO!$AA$15,ROW($X538)-ROW($X$15),1):OFFSET(CÁLCULO!$AL$15,ROW($X538)-ROW($X$15),-1))),IF($C538=0,0,ROUND(SomaAgrup,15-13*$AF$11)))</f>
        <v>0</v>
      </c>
      <c r="Y538" s="128" t="s">
        <v>245</v>
      </c>
      <c r="Z538" t="str">
        <f t="shared" ca="1" si="156"/>
        <v/>
      </c>
      <c r="AA538" s="129">
        <f ca="1">IF($C538="S",IF($Z538="CP",$X538,IF($Z538="RA",(($X538)*QCI!$AA$3),0)),SomaAgrup)</f>
        <v>0</v>
      </c>
      <c r="AB538" s="130">
        <f t="shared" ca="1" si="157"/>
        <v>0</v>
      </c>
      <c r="AC538" s="131" t="str">
        <f ca="1">IF($N538="","",IF(ORÇAMENTO.Descricao="","DESCRIÇÃO",IF(AND($C538="S",ORÇAMENTO.Unidade=""),"UNIDADE",IF($X538&lt;0,"VALOR NEGATIVO",IF(OR(AND(TIPOORCAMENTO="Proposto",$AG538&lt;&gt;"",$AG538&gt;0,ORÇAMENTO.CustoUnitario&gt;$AG538),AND(TIPOORCAMENTO="LICITADO",ORÇAMENTO.PrecoUnitarioLicitado&gt;$AN538)),"ACIMA REF.","")))))</f>
        <v/>
      </c>
      <c r="AD538" t="str">
        <f ca="1">IF(C538&lt;=CRONO.NivelExibicao,MAX($AD$15:OFFSET(AD538,-1,0))+IF($C538&lt;&gt;1,1,MAX(1,COUNTIF(QCI!$A$13:$A$24,OFFSET($E538,-1,0)))),"")</f>
        <v/>
      </c>
      <c r="AE538" s="7" t="str">
        <f ca="1">IF(AND($C538="S",ORÇAMENTO.CodBarra&lt;&gt;""),IF(ORÇAMENTO.Fonte="",ORÇAMENTO.CodBarra,CONCATENATE(ORÇAMENTO.Fonte," ",ORÇAMENTO.CodBarra)))</f>
        <v>SINAPI 97891</v>
      </c>
      <c r="AF538" s="13" t="str">
        <f ca="1">IF(ISERROR(INDIRECT(ORÇAMENTO.BancoRef)),"(abra o arquivo 'Referência "&amp;Excel_BuiltIn_Database&amp;".xlsm)",IF(OR($C538&lt;&gt;"S",ORÇAMENTO.CodBarra=""),"(Sem Código)",IF(ISERROR(MATCH($AE538,INDIRECT(ORÇAMENTO.BancoRef),0)),"(Código não identificado nas referências)",MATCH($AE538,INDIRECT(ORÇAMENTO.BancoRef),0))))</f>
        <v>(abra o arquivo 'Referência 02-2025.xlsm)</v>
      </c>
      <c r="AG538" s="498">
        <f ca="1">ROUND(IF(DESONERACAO="sim",REFERENCIA.Desonerado,REFERENCIA.NaoDesonerado),2)</f>
        <v>0</v>
      </c>
      <c r="AH538" s="499">
        <f t="shared" ca="1" si="158"/>
        <v>0.22470000000000001</v>
      </c>
      <c r="AJ538" s="501">
        <v>14</v>
      </c>
      <c r="AL538" s="527"/>
      <c r="AM538" s="381">
        <f t="shared" ca="1" si="159"/>
        <v>0</v>
      </c>
      <c r="AN538" s="566">
        <f t="shared" ca="1" si="160"/>
        <v>0</v>
      </c>
    </row>
    <row r="539" spans="1:40" x14ac:dyDescent="0.2">
      <c r="A539">
        <f t="shared" si="145"/>
        <v>3</v>
      </c>
      <c r="B539">
        <f t="shared" ca="1" si="146"/>
        <v>3</v>
      </c>
      <c r="C539">
        <f t="shared" ca="1" si="147"/>
        <v>3</v>
      </c>
      <c r="D539">
        <f t="shared" ca="1" si="148"/>
        <v>13</v>
      </c>
      <c r="E539">
        <f ca="1">IF($C539=1,OFFSET(E539,-1,0)+MAX(1,COUNTIF(QCI!$A$13:$A$24,OFFSET(ORÇAMENTO!E539,-1,0))),OFFSET(E539,-1,0))</f>
        <v>1</v>
      </c>
      <c r="F539">
        <f t="shared" ca="1" si="149"/>
        <v>17</v>
      </c>
      <c r="G539">
        <f t="shared" ca="1" si="150"/>
        <v>6</v>
      </c>
      <c r="H539">
        <f t="shared" ca="1" si="151"/>
        <v>0</v>
      </c>
      <c r="I539">
        <f t="shared" ca="1" si="152"/>
        <v>0</v>
      </c>
      <c r="J539">
        <f t="shared" ca="1" si="144"/>
        <v>69</v>
      </c>
      <c r="K539">
        <f ca="1">IF(OR($C539="S",$C539=0),0,MATCH(OFFSET($D539,0,$C539)+IF($C539&lt;&gt;1,1,COUNTIF(QCI!$A$13:$A$24,ORÇAMENTO!E539)),OFFSET($D539,1,$C539,ROW($C$747)-ROW($C539)),0))</f>
        <v>13</v>
      </c>
      <c r="L539" s="116" t="str">
        <f t="shared" ca="1" si="153"/>
        <v>F</v>
      </c>
      <c r="M539" s="117" t="s">
        <v>197</v>
      </c>
      <c r="N539" s="118" t="str">
        <f t="shared" ca="1" si="154"/>
        <v>Nível 3</v>
      </c>
      <c r="O539" s="119" t="str">
        <f t="shared" ca="1" si="155"/>
        <v>1.17.6.</v>
      </c>
      <c r="P539" s="120" t="s">
        <v>247</v>
      </c>
      <c r="Q539" s="121"/>
      <c r="R539" s="122" t="str">
        <f ca="1">IF($C539="S",REFERENCIA.Descricao,"DISPOSITIVOS ELÉTRICOS")</f>
        <v>DISPOSITIVOS ELÉTRICOS</v>
      </c>
      <c r="S539" s="123" t="str">
        <f ca="1">REFERENCIA.Unidade</f>
        <v>-</v>
      </c>
      <c r="T539" s="124">
        <f ca="1">OFFSET(CÁLCULO!H$15,ROW($T539)-ROW(T$15),0)</f>
        <v>0</v>
      </c>
      <c r="U539" s="125">
        <f t="shared" ca="1" si="161"/>
        <v>0</v>
      </c>
      <c r="V539" s="126" t="s">
        <v>156</v>
      </c>
      <c r="W539" s="124">
        <f ca="1">IF($C539="S",ROUND(IF(TIPOORCAMENTO="Proposto",ORÇAMENTO.CustoUnitario*(1+$AH539),ORÇAMENTO.PrecoUnitarioLicitado),15-13*$AF$10),0)</f>
        <v>0</v>
      </c>
      <c r="X539" s="127">
        <f ca="1">IF($C539="S",IF(Import.TipoArredondamento&lt;&gt;"TransfereGOV",VTOTAL1,SUM(OFFSET(CÁLCULO!$AA$15,ROW($X539)-ROW($X$15),1):OFFSET(CÁLCULO!$AL$15,ROW($X539)-ROW($X$15),-1))),IF($C539=0,0,ROUND(SomaAgrup,15-13*$AF$11)))</f>
        <v>0</v>
      </c>
      <c r="Y539" s="128" t="s">
        <v>245</v>
      </c>
      <c r="Z539" t="str">
        <f t="shared" ca="1" si="156"/>
        <v/>
      </c>
      <c r="AA539" s="129">
        <f ca="1">IF($C539="S",IF($Z539="CP",$X539,IF($Z539="RA",(($X539)*QCI!$AA$3),0)),SomaAgrup)</f>
        <v>0</v>
      </c>
      <c r="AB539" s="130">
        <f t="shared" ca="1" si="157"/>
        <v>0</v>
      </c>
      <c r="AC539" s="131" t="str">
        <f ca="1">IF($N539="","",IF(ORÇAMENTO.Descricao="","DESCRIÇÃO",IF(AND($C539="S",ORÇAMENTO.Unidade=""),"UNIDADE",IF($X539&lt;0,"VALOR NEGATIVO",IF(OR(AND(TIPOORCAMENTO="Proposto",$AG539&lt;&gt;"",$AG539&gt;0,ORÇAMENTO.CustoUnitario&gt;$AG539),AND(TIPOORCAMENTO="LICITADO",ORÇAMENTO.PrecoUnitarioLicitado&gt;$AN539)),"ACIMA REF.","")))))</f>
        <v/>
      </c>
      <c r="AD539" t="str">
        <f ca="1">IF(C539&lt;=CRONO.NivelExibicao,MAX($AD$15:OFFSET(AD539,-1,0))+IF($C539&lt;&gt;1,1,MAX(1,COUNTIF(QCI!$A$13:$A$24,OFFSET($E539,-1,0)))),"")</f>
        <v/>
      </c>
      <c r="AE539" s="7" t="b">
        <f ca="1">IF(AND($C539="S",ORÇAMENTO.CodBarra&lt;&gt;""),IF(ORÇAMENTO.Fonte="",ORÇAMENTO.CodBarra,CONCATENATE(ORÇAMENTO.Fonte," ",ORÇAMENTO.CodBarra)))</f>
        <v>0</v>
      </c>
      <c r="AF539" s="13" t="str">
        <f ca="1">IF(ISERROR(INDIRECT(ORÇAMENTO.BancoRef)),"(abra o arquivo 'Referência "&amp;Excel_BuiltIn_Database&amp;".xlsm)",IF(OR($C539&lt;&gt;"S",ORÇAMENTO.CodBarra=""),"(Sem Código)",IF(ISERROR(MATCH($AE539,INDIRECT(ORÇAMENTO.BancoRef),0)),"(Código não identificado nas referências)",MATCH($AE539,INDIRECT(ORÇAMENTO.BancoRef),0))))</f>
        <v>(abra o arquivo 'Referência 02-2025.xlsm)</v>
      </c>
      <c r="AG539" s="498">
        <f ca="1">ROUND(IF(DESONERACAO="sim",REFERENCIA.Desonerado,REFERENCIA.NaoDesonerado),2)</f>
        <v>0</v>
      </c>
      <c r="AH539" s="499">
        <f t="shared" ca="1" si="158"/>
        <v>0.22470000000000001</v>
      </c>
      <c r="AJ539" s="501"/>
      <c r="AL539" s="527"/>
      <c r="AM539" s="381">
        <f t="shared" ca="1" si="159"/>
        <v>0</v>
      </c>
      <c r="AN539" s="566">
        <f t="shared" ca="1" si="160"/>
        <v>0</v>
      </c>
    </row>
    <row r="540" spans="1:40" ht="25.5" x14ac:dyDescent="0.2">
      <c r="A540" t="str">
        <f t="shared" si="145"/>
        <v>S</v>
      </c>
      <c r="B540">
        <f t="shared" ca="1" si="146"/>
        <v>3</v>
      </c>
      <c r="C540" t="str">
        <f t="shared" ca="1" si="147"/>
        <v>S</v>
      </c>
      <c r="D540">
        <f t="shared" ca="1" si="148"/>
        <v>0</v>
      </c>
      <c r="E540">
        <f ca="1">IF($C540=1,OFFSET(E540,-1,0)+MAX(1,COUNTIF(QCI!$A$13:$A$24,OFFSET(ORÇAMENTO!E540,-1,0))),OFFSET(E540,-1,0))</f>
        <v>1</v>
      </c>
      <c r="F540">
        <f t="shared" ca="1" si="149"/>
        <v>17</v>
      </c>
      <c r="G540">
        <f t="shared" ca="1" si="150"/>
        <v>6</v>
      </c>
      <c r="H540">
        <f t="shared" ca="1" si="151"/>
        <v>0</v>
      </c>
      <c r="I540">
        <f t="shared" ca="1" si="152"/>
        <v>0</v>
      </c>
      <c r="J540">
        <f t="shared" ca="1" si="144"/>
        <v>0</v>
      </c>
      <c r="K540">
        <f ca="1">IF(OR($C540="S",$C540=0),0,MATCH(OFFSET($D540,0,$C540)+IF($C540&lt;&gt;1,1,COUNTIF(QCI!$A$13:$A$24,ORÇAMENTO!E540)),OFFSET($D540,1,$C540,ROW($C$747)-ROW($C540)),0))</f>
        <v>0</v>
      </c>
      <c r="L540" s="116" t="str">
        <f t="shared" ca="1" si="153"/>
        <v/>
      </c>
      <c r="M540" s="117" t="s">
        <v>199</v>
      </c>
      <c r="N540" s="118" t="str">
        <f t="shared" ca="1" si="154"/>
        <v>Serviço</v>
      </c>
      <c r="O540" s="119" t="str">
        <f t="shared" ca="1" si="155"/>
        <v>-</v>
      </c>
      <c r="P540" s="120" t="s">
        <v>247</v>
      </c>
      <c r="Q540" s="121" t="s">
        <v>668</v>
      </c>
      <c r="R540" s="122" t="str">
        <f ca="1">IF($C540="S",REFERENCIA.Descricao,"(digite a descrição aqui)")</f>
        <v>(abra o arquivo 'Referência 02-2025.xlsm)</v>
      </c>
      <c r="S540" s="123" t="str">
        <f ca="1">REFERENCIA.Unidade</f>
        <v>-</v>
      </c>
      <c r="T540" s="124">
        <f ca="1">OFFSET(CÁLCULO!H$15,ROW($T540)-ROW(T$15),0)</f>
        <v>5</v>
      </c>
      <c r="U540" s="125">
        <f t="shared" ca="1" si="161"/>
        <v>0</v>
      </c>
      <c r="V540" s="126" t="s">
        <v>156</v>
      </c>
      <c r="W540" s="124">
        <f ca="1">IF($C540="S",ROUND(IF(TIPOORCAMENTO="Proposto",ORÇAMENTO.CustoUnitario*(1+$AH540),ORÇAMENTO.PrecoUnitarioLicitado),15-13*$AF$10),0)</f>
        <v>0</v>
      </c>
      <c r="X540" s="127">
        <f ca="1">IF($C540="S",IF(Import.TipoArredondamento&lt;&gt;"TransfereGOV",VTOTAL1,SUM(OFFSET(CÁLCULO!$AA$15,ROW($X540)-ROW($X$15),1):OFFSET(CÁLCULO!$AL$15,ROW($X540)-ROW($X$15),-1))),IF($C540=0,0,ROUND(SomaAgrup,15-13*$AF$11)))</f>
        <v>0</v>
      </c>
      <c r="Y540" s="128" t="s">
        <v>245</v>
      </c>
      <c r="Z540" t="str">
        <f t="shared" ca="1" si="156"/>
        <v/>
      </c>
      <c r="AA540" s="129">
        <f ca="1">IF($C540="S",IF($Z540="CP",$X540,IF($Z540="RA",(($X540)*QCI!$AA$3),0)),SomaAgrup)</f>
        <v>0</v>
      </c>
      <c r="AB540" s="130">
        <f t="shared" ca="1" si="157"/>
        <v>0</v>
      </c>
      <c r="AC540" s="131" t="str">
        <f ca="1">IF($N540="","",IF(ORÇAMENTO.Descricao="","DESCRIÇÃO",IF(AND($C540="S",ORÇAMENTO.Unidade=""),"UNIDADE",IF($X540&lt;0,"VALOR NEGATIVO",IF(OR(AND(TIPOORCAMENTO="Proposto",$AG540&lt;&gt;"",$AG540&gt;0,ORÇAMENTO.CustoUnitario&gt;$AG540),AND(TIPOORCAMENTO="LICITADO",ORÇAMENTO.PrecoUnitarioLicitado&gt;$AN540)),"ACIMA REF.","")))))</f>
        <v/>
      </c>
      <c r="AD540" t="str">
        <f ca="1">IF(C540&lt;=CRONO.NivelExibicao,MAX($AD$15:OFFSET(AD540,-1,0))+IF($C540&lt;&gt;1,1,MAX(1,COUNTIF(QCI!$A$13:$A$24,OFFSET($E540,-1,0)))),"")</f>
        <v/>
      </c>
      <c r="AE540" s="7" t="str">
        <f ca="1">IF(AND($C540="S",ORÇAMENTO.CodBarra&lt;&gt;""),IF(ORÇAMENTO.Fonte="",ORÇAMENTO.CodBarra,CONCATENATE(ORÇAMENTO.Fonte," ",ORÇAMENTO.CodBarra)))</f>
        <v>SINAPI 91955</v>
      </c>
      <c r="AF540" s="13" t="str">
        <f ca="1">IF(ISERROR(INDIRECT(ORÇAMENTO.BancoRef)),"(abra o arquivo 'Referência "&amp;Excel_BuiltIn_Database&amp;".xlsm)",IF(OR($C540&lt;&gt;"S",ORÇAMENTO.CodBarra=""),"(Sem Código)",IF(ISERROR(MATCH($AE540,INDIRECT(ORÇAMENTO.BancoRef),0)),"(Código não identificado nas referências)",MATCH($AE540,INDIRECT(ORÇAMENTO.BancoRef),0))))</f>
        <v>(abra o arquivo 'Referência 02-2025.xlsm)</v>
      </c>
      <c r="AG540" s="498">
        <f ca="1">ROUND(IF(DESONERACAO="sim",REFERENCIA.Desonerado,REFERENCIA.NaoDesonerado),2)</f>
        <v>0</v>
      </c>
      <c r="AH540" s="499">
        <f t="shared" ca="1" si="158"/>
        <v>0.22470000000000001</v>
      </c>
      <c r="AJ540" s="501">
        <v>5</v>
      </c>
      <c r="AL540" s="527"/>
      <c r="AM540" s="381">
        <f t="shared" ca="1" si="159"/>
        <v>0</v>
      </c>
      <c r="AN540" s="566">
        <f t="shared" ca="1" si="160"/>
        <v>0</v>
      </c>
    </row>
    <row r="541" spans="1:40" ht="25.5" x14ac:dyDescent="0.2">
      <c r="A541" t="str">
        <f t="shared" si="145"/>
        <v>S</v>
      </c>
      <c r="B541">
        <f t="shared" ca="1" si="146"/>
        <v>3</v>
      </c>
      <c r="C541" t="str">
        <f t="shared" ca="1" si="147"/>
        <v>S</v>
      </c>
      <c r="D541">
        <f t="shared" ca="1" si="148"/>
        <v>0</v>
      </c>
      <c r="E541">
        <f ca="1">IF($C541=1,OFFSET(E541,-1,0)+MAX(1,COUNTIF(QCI!$A$13:$A$24,OFFSET(ORÇAMENTO!E541,-1,0))),OFFSET(E541,-1,0))</f>
        <v>1</v>
      </c>
      <c r="F541">
        <f t="shared" ca="1" si="149"/>
        <v>17</v>
      </c>
      <c r="G541">
        <f t="shared" ca="1" si="150"/>
        <v>6</v>
      </c>
      <c r="H541">
        <f t="shared" ca="1" si="151"/>
        <v>0</v>
      </c>
      <c r="I541">
        <f t="shared" ca="1" si="152"/>
        <v>0</v>
      </c>
      <c r="J541">
        <f t="shared" ca="1" si="144"/>
        <v>0</v>
      </c>
      <c r="K541">
        <f ca="1">IF(OR($C541="S",$C541=0),0,MATCH(OFFSET($D541,0,$C541)+IF($C541&lt;&gt;1,1,COUNTIF(QCI!$A$13:$A$24,ORÇAMENTO!E541)),OFFSET($D541,1,$C541,ROW($C$747)-ROW($C541)),0))</f>
        <v>0</v>
      </c>
      <c r="L541" s="116" t="str">
        <f t="shared" ca="1" si="153"/>
        <v/>
      </c>
      <c r="M541" s="117" t="s">
        <v>199</v>
      </c>
      <c r="N541" s="118" t="str">
        <f t="shared" ca="1" si="154"/>
        <v>Serviço</v>
      </c>
      <c r="O541" s="119" t="str">
        <f t="shared" ca="1" si="155"/>
        <v>-</v>
      </c>
      <c r="P541" s="120" t="s">
        <v>247</v>
      </c>
      <c r="Q541" s="121" t="s">
        <v>669</v>
      </c>
      <c r="R541" s="122" t="str">
        <f ca="1">IF($C541="S",REFERENCIA.Descricao,"(digite a descrição aqui)")</f>
        <v>(abra o arquivo 'Referência 02-2025.xlsm)</v>
      </c>
      <c r="S541" s="123" t="str">
        <f ca="1">REFERENCIA.Unidade</f>
        <v>-</v>
      </c>
      <c r="T541" s="124">
        <f ca="1">OFFSET(CÁLCULO!H$15,ROW($T541)-ROW(T$15),0)</f>
        <v>9</v>
      </c>
      <c r="U541" s="125">
        <f t="shared" ca="1" si="161"/>
        <v>0</v>
      </c>
      <c r="V541" s="126" t="s">
        <v>156</v>
      </c>
      <c r="W541" s="124">
        <f ca="1">IF($C541="S",ROUND(IF(TIPOORCAMENTO="Proposto",ORÇAMENTO.CustoUnitario*(1+$AH541),ORÇAMENTO.PrecoUnitarioLicitado),15-13*$AF$10),0)</f>
        <v>0</v>
      </c>
      <c r="X541" s="127">
        <f ca="1">IF($C541="S",IF(Import.TipoArredondamento&lt;&gt;"TransfereGOV",VTOTAL1,SUM(OFFSET(CÁLCULO!$AA$15,ROW($X541)-ROW($X$15),1):OFFSET(CÁLCULO!$AL$15,ROW($X541)-ROW($X$15),-1))),IF($C541=0,0,ROUND(SomaAgrup,15-13*$AF$11)))</f>
        <v>0</v>
      </c>
      <c r="Y541" s="128" t="s">
        <v>245</v>
      </c>
      <c r="Z541" t="str">
        <f t="shared" ca="1" si="156"/>
        <v/>
      </c>
      <c r="AA541" s="129">
        <f ca="1">IF($C541="S",IF($Z541="CP",$X541,IF($Z541="RA",(($X541)*QCI!$AA$3),0)),SomaAgrup)</f>
        <v>0</v>
      </c>
      <c r="AB541" s="130">
        <f t="shared" ca="1" si="157"/>
        <v>0</v>
      </c>
      <c r="AC541" s="131" t="str">
        <f ca="1">IF($N541="","",IF(ORÇAMENTO.Descricao="","DESCRIÇÃO",IF(AND($C541="S",ORÇAMENTO.Unidade=""),"UNIDADE",IF($X541&lt;0,"VALOR NEGATIVO",IF(OR(AND(TIPOORCAMENTO="Proposto",$AG541&lt;&gt;"",$AG541&gt;0,ORÇAMENTO.CustoUnitario&gt;$AG541),AND(TIPOORCAMENTO="LICITADO",ORÇAMENTO.PrecoUnitarioLicitado&gt;$AN541)),"ACIMA REF.","")))))</f>
        <v/>
      </c>
      <c r="AD541" t="str">
        <f ca="1">IF(C541&lt;=CRONO.NivelExibicao,MAX($AD$15:OFFSET(AD541,-1,0))+IF($C541&lt;&gt;1,1,MAX(1,COUNTIF(QCI!$A$13:$A$24,OFFSET($E541,-1,0)))),"")</f>
        <v/>
      </c>
      <c r="AE541" s="7" t="str">
        <f ca="1">IF(AND($C541="S",ORÇAMENTO.CodBarra&lt;&gt;""),IF(ORÇAMENTO.Fonte="",ORÇAMENTO.CodBarra,CONCATENATE(ORÇAMENTO.Fonte," ",ORÇAMENTO.CodBarra)))</f>
        <v>SINAPI 91953</v>
      </c>
      <c r="AF541" s="13" t="str">
        <f ca="1">IF(ISERROR(INDIRECT(ORÇAMENTO.BancoRef)),"(abra o arquivo 'Referência "&amp;Excel_BuiltIn_Database&amp;".xlsm)",IF(OR($C541&lt;&gt;"S",ORÇAMENTO.CodBarra=""),"(Sem Código)",IF(ISERROR(MATCH($AE541,INDIRECT(ORÇAMENTO.BancoRef),0)),"(Código não identificado nas referências)",MATCH($AE541,INDIRECT(ORÇAMENTO.BancoRef),0))))</f>
        <v>(abra o arquivo 'Referência 02-2025.xlsm)</v>
      </c>
      <c r="AG541" s="498">
        <f ca="1">ROUND(IF(DESONERACAO="sim",REFERENCIA.Desonerado,REFERENCIA.NaoDesonerado),2)</f>
        <v>0</v>
      </c>
      <c r="AH541" s="499">
        <f t="shared" ca="1" si="158"/>
        <v>0.22470000000000001</v>
      </c>
      <c r="AJ541" s="501">
        <v>9</v>
      </c>
      <c r="AL541" s="527"/>
      <c r="AM541" s="381">
        <f t="shared" ca="1" si="159"/>
        <v>0</v>
      </c>
      <c r="AN541" s="566">
        <f t="shared" ca="1" si="160"/>
        <v>0</v>
      </c>
    </row>
    <row r="542" spans="1:40" ht="25.5" x14ac:dyDescent="0.2">
      <c r="A542" t="str">
        <f t="shared" si="145"/>
        <v>S</v>
      </c>
      <c r="B542">
        <f t="shared" ca="1" si="146"/>
        <v>3</v>
      </c>
      <c r="C542" t="str">
        <f t="shared" ca="1" si="147"/>
        <v>S</v>
      </c>
      <c r="D542">
        <f t="shared" ca="1" si="148"/>
        <v>0</v>
      </c>
      <c r="E542">
        <f ca="1">IF($C542=1,OFFSET(E542,-1,0)+MAX(1,COUNTIF(QCI!$A$13:$A$24,OFFSET(ORÇAMENTO!E542,-1,0))),OFFSET(E542,-1,0))</f>
        <v>1</v>
      </c>
      <c r="F542">
        <f t="shared" ca="1" si="149"/>
        <v>17</v>
      </c>
      <c r="G542">
        <f t="shared" ca="1" si="150"/>
        <v>6</v>
      </c>
      <c r="H542">
        <f t="shared" ca="1" si="151"/>
        <v>0</v>
      </c>
      <c r="I542">
        <f t="shared" ca="1" si="152"/>
        <v>0</v>
      </c>
      <c r="J542">
        <f t="shared" ca="1" si="144"/>
        <v>0</v>
      </c>
      <c r="K542">
        <f ca="1">IF(OR($C542="S",$C542=0),0,MATCH(OFFSET($D542,0,$C542)+IF($C542&lt;&gt;1,1,COUNTIF(QCI!$A$13:$A$24,ORÇAMENTO!E542)),OFFSET($D542,1,$C542,ROW($C$747)-ROW($C542)),0))</f>
        <v>0</v>
      </c>
      <c r="L542" s="116" t="str">
        <f t="shared" ca="1" si="153"/>
        <v/>
      </c>
      <c r="M542" s="117" t="s">
        <v>199</v>
      </c>
      <c r="N542" s="118" t="str">
        <f t="shared" ca="1" si="154"/>
        <v>Serviço</v>
      </c>
      <c r="O542" s="119" t="str">
        <f t="shared" ca="1" si="155"/>
        <v>-</v>
      </c>
      <c r="P542" s="120" t="s">
        <v>247</v>
      </c>
      <c r="Q542" s="121" t="s">
        <v>670</v>
      </c>
      <c r="R542" s="122" t="str">
        <f ca="1">IF($C542="S",REFERENCIA.Descricao,"(digite a descrição aqui)")</f>
        <v>(abra o arquivo 'Referência 02-2025.xlsm)</v>
      </c>
      <c r="S542" s="123" t="str">
        <f ca="1">REFERENCIA.Unidade</f>
        <v>-</v>
      </c>
      <c r="T542" s="124">
        <f ca="1">OFFSET(CÁLCULO!H$15,ROW($T542)-ROW(T$15),0)</f>
        <v>4</v>
      </c>
      <c r="U542" s="125">
        <f t="shared" ca="1" si="161"/>
        <v>0</v>
      </c>
      <c r="V542" s="126" t="s">
        <v>156</v>
      </c>
      <c r="W542" s="124">
        <f ca="1">IF($C542="S",ROUND(IF(TIPOORCAMENTO="Proposto",ORÇAMENTO.CustoUnitario*(1+$AH542),ORÇAMENTO.PrecoUnitarioLicitado),15-13*$AF$10),0)</f>
        <v>0</v>
      </c>
      <c r="X542" s="127">
        <f ca="1">IF($C542="S",IF(Import.TipoArredondamento&lt;&gt;"TransfereGOV",VTOTAL1,SUM(OFFSET(CÁLCULO!$AA$15,ROW($X542)-ROW($X$15),1):OFFSET(CÁLCULO!$AL$15,ROW($X542)-ROW($X$15),-1))),IF($C542=0,0,ROUND(SomaAgrup,15-13*$AF$11)))</f>
        <v>0</v>
      </c>
      <c r="Y542" s="128" t="s">
        <v>245</v>
      </c>
      <c r="Z542" t="str">
        <f t="shared" ca="1" si="156"/>
        <v/>
      </c>
      <c r="AA542" s="129">
        <f ca="1">IF($C542="S",IF($Z542="CP",$X542,IF($Z542="RA",(($X542)*QCI!$AA$3),0)),SomaAgrup)</f>
        <v>0</v>
      </c>
      <c r="AB542" s="130">
        <f t="shared" ca="1" si="157"/>
        <v>0</v>
      </c>
      <c r="AC542" s="131" t="str">
        <f ca="1">IF($N542="","",IF(ORÇAMENTO.Descricao="","DESCRIÇÃO",IF(AND($C542="S",ORÇAMENTO.Unidade=""),"UNIDADE",IF($X542&lt;0,"VALOR NEGATIVO",IF(OR(AND(TIPOORCAMENTO="Proposto",$AG542&lt;&gt;"",$AG542&gt;0,ORÇAMENTO.CustoUnitario&gt;$AG542),AND(TIPOORCAMENTO="LICITADO",ORÇAMENTO.PrecoUnitarioLicitado&gt;$AN542)),"ACIMA REF.","")))))</f>
        <v/>
      </c>
      <c r="AD542" t="str">
        <f ca="1">IF(C542&lt;=CRONO.NivelExibicao,MAX($AD$15:OFFSET(AD542,-1,0))+IF($C542&lt;&gt;1,1,MAX(1,COUNTIF(QCI!$A$13:$A$24,OFFSET($E542,-1,0)))),"")</f>
        <v/>
      </c>
      <c r="AE542" s="7" t="str">
        <f ca="1">IF(AND($C542="S",ORÇAMENTO.CodBarra&lt;&gt;""),IF(ORÇAMENTO.Fonte="",ORÇAMENTO.CodBarra,CONCATENATE(ORÇAMENTO.Fonte," ",ORÇAMENTO.CodBarra)))</f>
        <v>SINAPI 91959</v>
      </c>
      <c r="AF542" s="13" t="str">
        <f ca="1">IF(ISERROR(INDIRECT(ORÇAMENTO.BancoRef)),"(abra o arquivo 'Referência "&amp;Excel_BuiltIn_Database&amp;".xlsm)",IF(OR($C542&lt;&gt;"S",ORÇAMENTO.CodBarra=""),"(Sem Código)",IF(ISERROR(MATCH($AE542,INDIRECT(ORÇAMENTO.BancoRef),0)),"(Código não identificado nas referências)",MATCH($AE542,INDIRECT(ORÇAMENTO.BancoRef),0))))</f>
        <v>(abra o arquivo 'Referência 02-2025.xlsm)</v>
      </c>
      <c r="AG542" s="498">
        <f ca="1">ROUND(IF(DESONERACAO="sim",REFERENCIA.Desonerado,REFERENCIA.NaoDesonerado),2)</f>
        <v>0</v>
      </c>
      <c r="AH542" s="499">
        <f t="shared" ca="1" si="158"/>
        <v>0.22470000000000001</v>
      </c>
      <c r="AJ542" s="501">
        <v>4</v>
      </c>
      <c r="AL542" s="527"/>
      <c r="AM542" s="381">
        <f t="shared" ca="1" si="159"/>
        <v>0</v>
      </c>
      <c r="AN542" s="566">
        <f t="shared" ca="1" si="160"/>
        <v>0</v>
      </c>
    </row>
    <row r="543" spans="1:40" ht="25.5" x14ac:dyDescent="0.2">
      <c r="A543" t="str">
        <f t="shared" si="145"/>
        <v>S</v>
      </c>
      <c r="B543">
        <f t="shared" ca="1" si="146"/>
        <v>3</v>
      </c>
      <c r="C543" t="str">
        <f t="shared" ca="1" si="147"/>
        <v>S</v>
      </c>
      <c r="D543">
        <f t="shared" ca="1" si="148"/>
        <v>0</v>
      </c>
      <c r="E543">
        <f ca="1">IF($C543=1,OFFSET(E543,-1,0)+MAX(1,COUNTIF(QCI!$A$13:$A$24,OFFSET(ORÇAMENTO!E543,-1,0))),OFFSET(E543,-1,0))</f>
        <v>1</v>
      </c>
      <c r="F543">
        <f t="shared" ca="1" si="149"/>
        <v>17</v>
      </c>
      <c r="G543">
        <f t="shared" ca="1" si="150"/>
        <v>6</v>
      </c>
      <c r="H543">
        <f t="shared" ca="1" si="151"/>
        <v>0</v>
      </c>
      <c r="I543">
        <f t="shared" ca="1" si="152"/>
        <v>0</v>
      </c>
      <c r="J543">
        <f t="shared" ca="1" si="144"/>
        <v>0</v>
      </c>
      <c r="K543">
        <f ca="1">IF(OR($C543="S",$C543=0),0,MATCH(OFFSET($D543,0,$C543)+IF($C543&lt;&gt;1,1,COUNTIF(QCI!$A$13:$A$24,ORÇAMENTO!E543)),OFFSET($D543,1,$C543,ROW($C$747)-ROW($C543)),0))</f>
        <v>0</v>
      </c>
      <c r="L543" s="116" t="str">
        <f t="shared" ca="1" si="153"/>
        <v/>
      </c>
      <c r="M543" s="117" t="s">
        <v>199</v>
      </c>
      <c r="N543" s="118" t="str">
        <f t="shared" ca="1" si="154"/>
        <v>Serviço</v>
      </c>
      <c r="O543" s="119" t="str">
        <f t="shared" ca="1" si="155"/>
        <v>-</v>
      </c>
      <c r="P543" s="120" t="s">
        <v>247</v>
      </c>
      <c r="Q543" s="121" t="s">
        <v>671</v>
      </c>
      <c r="R543" s="122" t="str">
        <f ca="1">IF($C543="S",REFERENCIA.Descricao,"(digite a descrição aqui)")</f>
        <v>(abra o arquivo 'Referência 02-2025.xlsm)</v>
      </c>
      <c r="S543" s="123" t="str">
        <f ca="1">REFERENCIA.Unidade</f>
        <v>-</v>
      </c>
      <c r="T543" s="124">
        <f ca="1">OFFSET(CÁLCULO!H$15,ROW($T543)-ROW(T$15),0)</f>
        <v>1</v>
      </c>
      <c r="U543" s="125">
        <f t="shared" ca="1" si="161"/>
        <v>0</v>
      </c>
      <c r="V543" s="126" t="s">
        <v>156</v>
      </c>
      <c r="W543" s="124">
        <f ca="1">IF($C543="S",ROUND(IF(TIPOORCAMENTO="Proposto",ORÇAMENTO.CustoUnitario*(1+$AH543),ORÇAMENTO.PrecoUnitarioLicitado),15-13*$AF$10),0)</f>
        <v>0</v>
      </c>
      <c r="X543" s="127">
        <f ca="1">IF($C543="S",IF(Import.TipoArredondamento&lt;&gt;"TransfereGOV",VTOTAL1,SUM(OFFSET(CÁLCULO!$AA$15,ROW($X543)-ROW($X$15),1):OFFSET(CÁLCULO!$AL$15,ROW($X543)-ROW($X$15),-1))),IF($C543=0,0,ROUND(SomaAgrup,15-13*$AF$11)))</f>
        <v>0</v>
      </c>
      <c r="Y543" s="128" t="s">
        <v>245</v>
      </c>
      <c r="Z543" t="str">
        <f t="shared" ca="1" si="156"/>
        <v/>
      </c>
      <c r="AA543" s="129">
        <f ca="1">IF($C543="S",IF($Z543="CP",$X543,IF($Z543="RA",(($X543)*QCI!$AA$3),0)),SomaAgrup)</f>
        <v>0</v>
      </c>
      <c r="AB543" s="130">
        <f t="shared" ca="1" si="157"/>
        <v>0</v>
      </c>
      <c r="AC543" s="131" t="str">
        <f ca="1">IF($N543="","",IF(ORÇAMENTO.Descricao="","DESCRIÇÃO",IF(AND($C543="S",ORÇAMENTO.Unidade=""),"UNIDADE",IF($X543&lt;0,"VALOR NEGATIVO",IF(OR(AND(TIPOORCAMENTO="Proposto",$AG543&lt;&gt;"",$AG543&gt;0,ORÇAMENTO.CustoUnitario&gt;$AG543),AND(TIPOORCAMENTO="LICITADO",ORÇAMENTO.PrecoUnitarioLicitado&gt;$AN543)),"ACIMA REF.","")))))</f>
        <v/>
      </c>
      <c r="AD543" t="str">
        <f ca="1">IF(C543&lt;=CRONO.NivelExibicao,MAX($AD$15:OFFSET(AD543,-1,0))+IF($C543&lt;&gt;1,1,MAX(1,COUNTIF(QCI!$A$13:$A$24,OFFSET($E543,-1,0)))),"")</f>
        <v/>
      </c>
      <c r="AE543" s="7" t="str">
        <f ca="1">IF(AND($C543="S",ORÇAMENTO.CodBarra&lt;&gt;""),IF(ORÇAMENTO.Fonte="",ORÇAMENTO.CodBarra,CONCATENATE(ORÇAMENTO.Fonte," ",ORÇAMENTO.CodBarra)))</f>
        <v>SINAPI 91967</v>
      </c>
      <c r="AF543" s="13" t="str">
        <f ca="1">IF(ISERROR(INDIRECT(ORÇAMENTO.BancoRef)),"(abra o arquivo 'Referência "&amp;Excel_BuiltIn_Database&amp;".xlsm)",IF(OR($C543&lt;&gt;"S",ORÇAMENTO.CodBarra=""),"(Sem Código)",IF(ISERROR(MATCH($AE543,INDIRECT(ORÇAMENTO.BancoRef),0)),"(Código não identificado nas referências)",MATCH($AE543,INDIRECT(ORÇAMENTO.BancoRef),0))))</f>
        <v>(abra o arquivo 'Referência 02-2025.xlsm)</v>
      </c>
      <c r="AG543" s="498">
        <f ca="1">ROUND(IF(DESONERACAO="sim",REFERENCIA.Desonerado,REFERENCIA.NaoDesonerado),2)</f>
        <v>0</v>
      </c>
      <c r="AH543" s="499">
        <f t="shared" ca="1" si="158"/>
        <v>0.22470000000000001</v>
      </c>
      <c r="AJ543" s="501">
        <v>1</v>
      </c>
      <c r="AL543" s="527"/>
      <c r="AM543" s="381">
        <f t="shared" ca="1" si="159"/>
        <v>0</v>
      </c>
      <c r="AN543" s="566">
        <f t="shared" ca="1" si="160"/>
        <v>0</v>
      </c>
    </row>
    <row r="544" spans="1:40" ht="25.5" x14ac:dyDescent="0.2">
      <c r="A544" t="str">
        <f t="shared" si="145"/>
        <v>S</v>
      </c>
      <c r="B544">
        <f t="shared" ca="1" si="146"/>
        <v>3</v>
      </c>
      <c r="C544" t="str">
        <f t="shared" ca="1" si="147"/>
        <v>S</v>
      </c>
      <c r="D544">
        <f t="shared" ca="1" si="148"/>
        <v>0</v>
      </c>
      <c r="E544">
        <f ca="1">IF($C544=1,OFFSET(E544,-1,0)+MAX(1,COUNTIF(QCI!$A$13:$A$24,OFFSET(ORÇAMENTO!E544,-1,0))),OFFSET(E544,-1,0))</f>
        <v>1</v>
      </c>
      <c r="F544">
        <f t="shared" ca="1" si="149"/>
        <v>17</v>
      </c>
      <c r="G544">
        <f t="shared" ca="1" si="150"/>
        <v>6</v>
      </c>
      <c r="H544">
        <f t="shared" ca="1" si="151"/>
        <v>0</v>
      </c>
      <c r="I544">
        <f t="shared" ca="1" si="152"/>
        <v>0</v>
      </c>
      <c r="J544">
        <f t="shared" ca="1" si="144"/>
        <v>0</v>
      </c>
      <c r="K544">
        <f ca="1">IF(OR($C544="S",$C544=0),0,MATCH(OFFSET($D544,0,$C544)+IF($C544&lt;&gt;1,1,COUNTIF(QCI!$A$13:$A$24,ORÇAMENTO!E544)),OFFSET($D544,1,$C544,ROW($C$747)-ROW($C544)),0))</f>
        <v>0</v>
      </c>
      <c r="L544" s="116" t="str">
        <f t="shared" ca="1" si="153"/>
        <v/>
      </c>
      <c r="M544" s="117" t="s">
        <v>199</v>
      </c>
      <c r="N544" s="118" t="str">
        <f t="shared" ca="1" si="154"/>
        <v>Serviço</v>
      </c>
      <c r="O544" s="119" t="str">
        <f t="shared" ca="1" si="155"/>
        <v>-</v>
      </c>
      <c r="P544" s="120" t="s">
        <v>712</v>
      </c>
      <c r="Q544" s="121" t="s">
        <v>848</v>
      </c>
      <c r="R544" s="122" t="str">
        <f ca="1">IF($C544="S",REFERENCIA.Descricao,"(digite a descrição aqui)")</f>
        <v>(abra o arquivo 'Referência 02-2025.xlsm)</v>
      </c>
      <c r="S544" s="123" t="str">
        <f ca="1">REFERENCIA.Unidade</f>
        <v>-</v>
      </c>
      <c r="T544" s="124">
        <f ca="1">OFFSET(CÁLCULO!H$15,ROW($T544)-ROW(T$15),0)</f>
        <v>30</v>
      </c>
      <c r="U544" s="125">
        <f t="shared" ca="1" si="161"/>
        <v>0</v>
      </c>
      <c r="V544" s="126" t="s">
        <v>156</v>
      </c>
      <c r="W544" s="124">
        <f ca="1">IF($C544="S",ROUND(IF(TIPOORCAMENTO="Proposto",ORÇAMENTO.CustoUnitario*(1+$AH544),ORÇAMENTO.PrecoUnitarioLicitado),15-13*$AF$10),0)</f>
        <v>0</v>
      </c>
      <c r="X544" s="127">
        <f ca="1">IF($C544="S",IF(Import.TipoArredondamento&lt;&gt;"TransfereGOV",VTOTAL1,SUM(OFFSET(CÁLCULO!$AA$15,ROW($X544)-ROW($X$15),1):OFFSET(CÁLCULO!$AL$15,ROW($X544)-ROW($X$15),-1))),IF($C544=0,0,ROUND(SomaAgrup,15-13*$AF$11)))</f>
        <v>0</v>
      </c>
      <c r="Y544" s="128" t="s">
        <v>245</v>
      </c>
      <c r="Z544" t="str">
        <f t="shared" ca="1" si="156"/>
        <v/>
      </c>
      <c r="AA544" s="129">
        <f ca="1">IF($C544="S",IF($Z544="CP",$X544,IF($Z544="RA",(($X544)*QCI!$AA$3),0)),SomaAgrup)</f>
        <v>0</v>
      </c>
      <c r="AB544" s="130">
        <f t="shared" ca="1" si="157"/>
        <v>0</v>
      </c>
      <c r="AC544" s="131" t="str">
        <f ca="1">IF($N544="","",IF(ORÇAMENTO.Descricao="","DESCRIÇÃO",IF(AND($C544="S",ORÇAMENTO.Unidade=""),"UNIDADE",IF($X544&lt;0,"VALOR NEGATIVO",IF(OR(AND(TIPOORCAMENTO="Proposto",$AG544&lt;&gt;"",$AG544&gt;0,ORÇAMENTO.CustoUnitario&gt;$AG544),AND(TIPOORCAMENTO="LICITADO",ORÇAMENTO.PrecoUnitarioLicitado&gt;$AN544)),"ACIMA REF.","")))))</f>
        <v/>
      </c>
      <c r="AD544" t="str">
        <f ca="1">IF(C544&lt;=CRONO.NivelExibicao,MAX($AD$15:OFFSET(AD544,-1,0))+IF($C544&lt;&gt;1,1,MAX(1,COUNTIF(QCI!$A$13:$A$24,OFFSET($E544,-1,0)))),"")</f>
        <v/>
      </c>
      <c r="AE544" s="7" t="str">
        <f ca="1">IF(AND($C544="S",ORÇAMENTO.CodBarra&lt;&gt;""),IF(ORÇAMENTO.Fonte="",ORÇAMENTO.CodBarra,CONCATENATE(ORÇAMENTO.Fonte," ",ORÇAMENTO.CodBarra)))</f>
        <v xml:space="preserve">Composição FNDE 309 </v>
      </c>
      <c r="AF544" s="13" t="str">
        <f ca="1">IF(ISERROR(INDIRECT(ORÇAMENTO.BancoRef)),"(abra o arquivo 'Referência "&amp;Excel_BuiltIn_Database&amp;".xlsm)",IF(OR($C544&lt;&gt;"S",ORÇAMENTO.CodBarra=""),"(Sem Código)",IF(ISERROR(MATCH($AE544,INDIRECT(ORÇAMENTO.BancoRef),0)),"(Código não identificado nas referências)",MATCH($AE544,INDIRECT(ORÇAMENTO.BancoRef),0))))</f>
        <v>(abra o arquivo 'Referência 02-2025.xlsm)</v>
      </c>
      <c r="AG544" s="498">
        <f ca="1">ROUND(IF(DESONERACAO="sim",REFERENCIA.Desonerado,REFERENCIA.NaoDesonerado),2)</f>
        <v>0</v>
      </c>
      <c r="AH544" s="499">
        <f t="shared" ca="1" si="158"/>
        <v>0.22470000000000001</v>
      </c>
      <c r="AJ544" s="501">
        <v>30</v>
      </c>
      <c r="AL544" s="527"/>
      <c r="AM544" s="381">
        <f t="shared" ca="1" si="159"/>
        <v>0</v>
      </c>
      <c r="AN544" s="566">
        <f t="shared" ca="1" si="160"/>
        <v>0</v>
      </c>
    </row>
    <row r="545" spans="1:40" ht="38.25" x14ac:dyDescent="0.2">
      <c r="A545" t="str">
        <f t="shared" si="145"/>
        <v>S</v>
      </c>
      <c r="B545">
        <f t="shared" ca="1" si="146"/>
        <v>3</v>
      </c>
      <c r="C545" t="str">
        <f t="shared" ca="1" si="147"/>
        <v>S</v>
      </c>
      <c r="D545">
        <f t="shared" ca="1" si="148"/>
        <v>0</v>
      </c>
      <c r="E545">
        <f ca="1">IF($C545=1,OFFSET(E545,-1,0)+MAX(1,COUNTIF(QCI!$A$13:$A$24,OFFSET(ORÇAMENTO!E545,-1,0))),OFFSET(E545,-1,0))</f>
        <v>1</v>
      </c>
      <c r="F545">
        <f t="shared" ca="1" si="149"/>
        <v>17</v>
      </c>
      <c r="G545">
        <f t="shared" ca="1" si="150"/>
        <v>6</v>
      </c>
      <c r="H545">
        <f t="shared" ca="1" si="151"/>
        <v>0</v>
      </c>
      <c r="I545">
        <f t="shared" ca="1" si="152"/>
        <v>0</v>
      </c>
      <c r="J545">
        <f t="shared" ca="1" si="144"/>
        <v>0</v>
      </c>
      <c r="K545">
        <f ca="1">IF(OR($C545="S",$C545=0),0,MATCH(OFFSET($D545,0,$C545)+IF($C545&lt;&gt;1,1,COUNTIF(QCI!$A$13:$A$24,ORÇAMENTO!E545)),OFFSET($D545,1,$C545,ROW($C$747)-ROW($C545)),0))</f>
        <v>0</v>
      </c>
      <c r="L545" s="116" t="str">
        <f t="shared" ca="1" si="153"/>
        <v/>
      </c>
      <c r="M545" s="117" t="s">
        <v>199</v>
      </c>
      <c r="N545" s="118" t="str">
        <f t="shared" ca="1" si="154"/>
        <v>Serviço</v>
      </c>
      <c r="O545" s="119" t="str">
        <f t="shared" ca="1" si="155"/>
        <v>-</v>
      </c>
      <c r="P545" s="120" t="s">
        <v>247</v>
      </c>
      <c r="Q545" s="121" t="s">
        <v>672</v>
      </c>
      <c r="R545" s="122" t="str">
        <f ca="1">IF($C545="S",REFERENCIA.Descricao,"(digite a descrição aqui)")</f>
        <v>(abra o arquivo 'Referência 02-2025.xlsm)</v>
      </c>
      <c r="S545" s="123" t="str">
        <f ca="1">REFERENCIA.Unidade</f>
        <v>-</v>
      </c>
      <c r="T545" s="124">
        <f ca="1">OFFSET(CÁLCULO!H$15,ROW($T545)-ROW(T$15),0)</f>
        <v>30</v>
      </c>
      <c r="U545" s="125">
        <f t="shared" ca="1" si="161"/>
        <v>0</v>
      </c>
      <c r="V545" s="126" t="s">
        <v>156</v>
      </c>
      <c r="W545" s="124">
        <f ca="1">IF($C545="S",ROUND(IF(TIPOORCAMENTO="Proposto",ORÇAMENTO.CustoUnitario*(1+$AH545),ORÇAMENTO.PrecoUnitarioLicitado),15-13*$AF$10),0)</f>
        <v>0</v>
      </c>
      <c r="X545" s="127">
        <f ca="1">IF($C545="S",IF(Import.TipoArredondamento&lt;&gt;"TransfereGOV",VTOTAL1,SUM(OFFSET(CÁLCULO!$AA$15,ROW($X545)-ROW($X$15),1):OFFSET(CÁLCULO!$AL$15,ROW($X545)-ROW($X$15),-1))),IF($C545=0,0,ROUND(SomaAgrup,15-13*$AF$11)))</f>
        <v>0</v>
      </c>
      <c r="Y545" s="128" t="s">
        <v>245</v>
      </c>
      <c r="Z545" t="str">
        <f t="shared" ca="1" si="156"/>
        <v/>
      </c>
      <c r="AA545" s="129">
        <f ca="1">IF($C545="S",IF($Z545="CP",$X545,IF($Z545="RA",(($X545)*QCI!$AA$3),0)),SomaAgrup)</f>
        <v>0</v>
      </c>
      <c r="AB545" s="130">
        <f t="shared" ca="1" si="157"/>
        <v>0</v>
      </c>
      <c r="AC545" s="131" t="str">
        <f ca="1">IF($N545="","",IF(ORÇAMENTO.Descricao="","DESCRIÇÃO",IF(AND($C545="S",ORÇAMENTO.Unidade=""),"UNIDADE",IF($X545&lt;0,"VALOR NEGATIVO",IF(OR(AND(TIPOORCAMENTO="Proposto",$AG545&lt;&gt;"",$AG545&gt;0,ORÇAMENTO.CustoUnitario&gt;$AG545),AND(TIPOORCAMENTO="LICITADO",ORÇAMENTO.PrecoUnitarioLicitado&gt;$AN545)),"ACIMA REF.","")))))</f>
        <v/>
      </c>
      <c r="AD545" t="str">
        <f ca="1">IF(C545&lt;=CRONO.NivelExibicao,MAX($AD$15:OFFSET(AD545,-1,0))+IF($C545&lt;&gt;1,1,MAX(1,COUNTIF(QCI!$A$13:$A$24,OFFSET($E545,-1,0)))),"")</f>
        <v/>
      </c>
      <c r="AE545" s="7" t="str">
        <f ca="1">IF(AND($C545="S",ORÇAMENTO.CodBarra&lt;&gt;""),IF(ORÇAMENTO.Fonte="",ORÇAMENTO.CodBarra,CONCATENATE(ORÇAMENTO.Fonte," ",ORÇAMENTO.CodBarra)))</f>
        <v>SINAPI 91946</v>
      </c>
      <c r="AF545" s="13" t="str">
        <f ca="1">IF(ISERROR(INDIRECT(ORÇAMENTO.BancoRef)),"(abra o arquivo 'Referência "&amp;Excel_BuiltIn_Database&amp;".xlsm)",IF(OR($C545&lt;&gt;"S",ORÇAMENTO.CodBarra=""),"(Sem Código)",IF(ISERROR(MATCH($AE545,INDIRECT(ORÇAMENTO.BancoRef),0)),"(Código não identificado nas referências)",MATCH($AE545,INDIRECT(ORÇAMENTO.BancoRef),0))))</f>
        <v>(abra o arquivo 'Referência 02-2025.xlsm)</v>
      </c>
      <c r="AG545" s="498">
        <f ca="1">ROUND(IF(DESONERACAO="sim",REFERENCIA.Desonerado,REFERENCIA.NaoDesonerado),2)</f>
        <v>0</v>
      </c>
      <c r="AH545" s="499">
        <f t="shared" ca="1" si="158"/>
        <v>0.22470000000000001</v>
      </c>
      <c r="AJ545" s="501">
        <v>30</v>
      </c>
      <c r="AL545" s="527"/>
      <c r="AM545" s="381">
        <f t="shared" ca="1" si="159"/>
        <v>0</v>
      </c>
      <c r="AN545" s="566">
        <f t="shared" ca="1" si="160"/>
        <v>0</v>
      </c>
    </row>
    <row r="546" spans="1:40" ht="38.25" x14ac:dyDescent="0.2">
      <c r="A546" t="str">
        <f t="shared" si="145"/>
        <v>S</v>
      </c>
      <c r="B546">
        <f t="shared" ca="1" si="146"/>
        <v>3</v>
      </c>
      <c r="C546" t="str">
        <f t="shared" ca="1" si="147"/>
        <v>S</v>
      </c>
      <c r="D546">
        <f t="shared" ca="1" si="148"/>
        <v>0</v>
      </c>
      <c r="E546">
        <f ca="1">IF($C546=1,OFFSET(E546,-1,0)+MAX(1,COUNTIF(QCI!$A$13:$A$24,OFFSET(ORÇAMENTO!E546,-1,0))),OFFSET(E546,-1,0))</f>
        <v>1</v>
      </c>
      <c r="F546">
        <f t="shared" ca="1" si="149"/>
        <v>17</v>
      </c>
      <c r="G546">
        <f t="shared" ca="1" si="150"/>
        <v>6</v>
      </c>
      <c r="H546">
        <f t="shared" ca="1" si="151"/>
        <v>0</v>
      </c>
      <c r="I546">
        <f t="shared" ca="1" si="152"/>
        <v>0</v>
      </c>
      <c r="J546">
        <f t="shared" ca="1" si="144"/>
        <v>0</v>
      </c>
      <c r="K546">
        <f ca="1">IF(OR($C546="S",$C546=0),0,MATCH(OFFSET($D546,0,$C546)+IF($C546&lt;&gt;1,1,COUNTIF(QCI!$A$13:$A$24,ORÇAMENTO!E546)),OFFSET($D546,1,$C546,ROW($C$747)-ROW($C546)),0))</f>
        <v>0</v>
      </c>
      <c r="L546" s="116" t="str">
        <f t="shared" ca="1" si="153"/>
        <v/>
      </c>
      <c r="M546" s="117" t="s">
        <v>199</v>
      </c>
      <c r="N546" s="118" t="str">
        <f t="shared" ca="1" si="154"/>
        <v>Serviço</v>
      </c>
      <c r="O546" s="119" t="str">
        <f t="shared" ca="1" si="155"/>
        <v>-</v>
      </c>
      <c r="P546" s="120" t="s">
        <v>247</v>
      </c>
      <c r="Q546" s="121" t="s">
        <v>963</v>
      </c>
      <c r="R546" s="122" t="str">
        <f ca="1">IF($C546="S",REFERENCIA.Descricao,"(digite a descrição aqui)")</f>
        <v>(abra o arquivo 'Referência 02-2025.xlsm)</v>
      </c>
      <c r="S546" s="123" t="str">
        <f ca="1">REFERENCIA.Unidade</f>
        <v>-</v>
      </c>
      <c r="T546" s="124">
        <f ca="1">OFFSET(CÁLCULO!H$15,ROW($T546)-ROW(T$15),0)</f>
        <v>27</v>
      </c>
      <c r="U546" s="125">
        <f t="shared" ca="1" si="161"/>
        <v>0</v>
      </c>
      <c r="V546" s="126" t="s">
        <v>156</v>
      </c>
      <c r="W546" s="124">
        <f ca="1">IF($C546="S",ROUND(IF(TIPOORCAMENTO="Proposto",ORÇAMENTO.CustoUnitario*(1+$AH546),ORÇAMENTO.PrecoUnitarioLicitado),15-13*$AF$10),0)</f>
        <v>0</v>
      </c>
      <c r="X546" s="127">
        <f ca="1">IF($C546="S",IF(Import.TipoArredondamento&lt;&gt;"TransfereGOV",VTOTAL1,SUM(OFFSET(CÁLCULO!$AA$15,ROW($X546)-ROW($X$15),1):OFFSET(CÁLCULO!$AL$15,ROW($X546)-ROW($X$15),-1))),IF($C546=0,0,ROUND(SomaAgrup,15-13*$AF$11)))</f>
        <v>0</v>
      </c>
      <c r="Y546" s="128" t="s">
        <v>245</v>
      </c>
      <c r="Z546" t="str">
        <f t="shared" ca="1" si="156"/>
        <v/>
      </c>
      <c r="AA546" s="129">
        <f ca="1">IF($C546="S",IF($Z546="CP",$X546,IF($Z546="RA",(($X546)*QCI!$AA$3),0)),SomaAgrup)</f>
        <v>0</v>
      </c>
      <c r="AB546" s="130">
        <f t="shared" ca="1" si="157"/>
        <v>0</v>
      </c>
      <c r="AC546" s="131" t="str">
        <f ca="1">IF($N546="","",IF(ORÇAMENTO.Descricao="","DESCRIÇÃO",IF(AND($C546="S",ORÇAMENTO.Unidade=""),"UNIDADE",IF($X546&lt;0,"VALOR NEGATIVO",IF(OR(AND(TIPOORCAMENTO="Proposto",$AG546&lt;&gt;"",$AG546&gt;0,ORÇAMENTO.CustoUnitario&gt;$AG546),AND(TIPOORCAMENTO="LICITADO",ORÇAMENTO.PrecoUnitarioLicitado&gt;$AN546)),"ACIMA REF.","")))))</f>
        <v/>
      </c>
      <c r="AD546" t="str">
        <f ca="1">IF(C546&lt;=CRONO.NivelExibicao,MAX($AD$15:OFFSET(AD546,-1,0))+IF($C546&lt;&gt;1,1,MAX(1,COUNTIF(QCI!$A$13:$A$24,OFFSET($E546,-1,0)))),"")</f>
        <v/>
      </c>
      <c r="AE546" s="7" t="str">
        <f ca="1">IF(AND($C546="S",ORÇAMENTO.CodBarra&lt;&gt;""),IF(ORÇAMENTO.Fonte="",ORÇAMENTO.CodBarra,CONCATENATE(ORÇAMENTO.Fonte," ",ORÇAMENTO.CodBarra)))</f>
        <v>SINAPI 92023</v>
      </c>
      <c r="AF546" s="13" t="str">
        <f ca="1">IF(ISERROR(INDIRECT(ORÇAMENTO.BancoRef)),"(abra o arquivo 'Referência "&amp;Excel_BuiltIn_Database&amp;".xlsm)",IF(OR($C546&lt;&gt;"S",ORÇAMENTO.CodBarra=""),"(Sem Código)",IF(ISERROR(MATCH($AE546,INDIRECT(ORÇAMENTO.BancoRef),0)),"(Código não identificado nas referências)",MATCH($AE546,INDIRECT(ORÇAMENTO.BancoRef),0))))</f>
        <v>(abra o arquivo 'Referência 02-2025.xlsm)</v>
      </c>
      <c r="AG546" s="498">
        <f ca="1">ROUND(IF(DESONERACAO="sim",REFERENCIA.Desonerado,REFERENCIA.NaoDesonerado),2)</f>
        <v>0</v>
      </c>
      <c r="AH546" s="499">
        <f t="shared" ca="1" si="158"/>
        <v>0.22470000000000001</v>
      </c>
      <c r="AJ546" s="501">
        <v>27</v>
      </c>
      <c r="AL546" s="527"/>
      <c r="AM546" s="381">
        <f t="shared" ca="1" si="159"/>
        <v>0</v>
      </c>
      <c r="AN546" s="566">
        <f t="shared" ca="1" si="160"/>
        <v>0</v>
      </c>
    </row>
    <row r="547" spans="1:40" ht="38.25" x14ac:dyDescent="0.2">
      <c r="A547" t="str">
        <f t="shared" si="145"/>
        <v>S</v>
      </c>
      <c r="B547">
        <f t="shared" ca="1" si="146"/>
        <v>3</v>
      </c>
      <c r="C547" t="str">
        <f t="shared" ca="1" si="147"/>
        <v>S</v>
      </c>
      <c r="D547">
        <f t="shared" ca="1" si="148"/>
        <v>0</v>
      </c>
      <c r="E547">
        <f ca="1">IF($C547=1,OFFSET(E547,-1,0)+MAX(1,COUNTIF(QCI!$A$13:$A$24,OFFSET(ORÇAMENTO!E547,-1,0))),OFFSET(E547,-1,0))</f>
        <v>1</v>
      </c>
      <c r="F547">
        <f t="shared" ca="1" si="149"/>
        <v>17</v>
      </c>
      <c r="G547">
        <f t="shared" ca="1" si="150"/>
        <v>6</v>
      </c>
      <c r="H547">
        <f t="shared" ca="1" si="151"/>
        <v>0</v>
      </c>
      <c r="I547">
        <f t="shared" ca="1" si="152"/>
        <v>0</v>
      </c>
      <c r="J547">
        <f t="shared" ca="1" si="144"/>
        <v>0</v>
      </c>
      <c r="K547">
        <f ca="1">IF(OR($C547="S",$C547=0),0,MATCH(OFFSET($D547,0,$C547)+IF($C547&lt;&gt;1,1,COUNTIF(QCI!$A$13:$A$24,ORÇAMENTO!E547)),OFFSET($D547,1,$C547,ROW($C$747)-ROW($C547)),0))</f>
        <v>0</v>
      </c>
      <c r="L547" s="116" t="str">
        <f t="shared" ca="1" si="153"/>
        <v/>
      </c>
      <c r="M547" s="117" t="s">
        <v>199</v>
      </c>
      <c r="N547" s="118" t="str">
        <f t="shared" ca="1" si="154"/>
        <v>Serviço</v>
      </c>
      <c r="O547" s="119" t="str">
        <f t="shared" ca="1" si="155"/>
        <v>-</v>
      </c>
      <c r="P547" s="120" t="s">
        <v>247</v>
      </c>
      <c r="Q547" s="121" t="s">
        <v>964</v>
      </c>
      <c r="R547" s="122" t="str">
        <f ca="1">IF($C547="S",REFERENCIA.Descricao,"(digite a descrição aqui)")</f>
        <v>(abra o arquivo 'Referência 02-2025.xlsm)</v>
      </c>
      <c r="S547" s="123" t="str">
        <f ca="1">REFERENCIA.Unidade</f>
        <v>-</v>
      </c>
      <c r="T547" s="124">
        <f ca="1">OFFSET(CÁLCULO!H$15,ROW($T547)-ROW(T$15),0)</f>
        <v>14</v>
      </c>
      <c r="U547" s="125">
        <f t="shared" ca="1" si="161"/>
        <v>0</v>
      </c>
      <c r="V547" s="126" t="s">
        <v>156</v>
      </c>
      <c r="W547" s="124">
        <f ca="1">IF($C547="S",ROUND(IF(TIPOORCAMENTO="Proposto",ORÇAMENTO.CustoUnitario*(1+$AH547),ORÇAMENTO.PrecoUnitarioLicitado),15-13*$AF$10),0)</f>
        <v>0</v>
      </c>
      <c r="X547" s="127">
        <f ca="1">IF($C547="S",IF(Import.TipoArredondamento&lt;&gt;"TransfereGOV",VTOTAL1,SUM(OFFSET(CÁLCULO!$AA$15,ROW($X547)-ROW($X$15),1):OFFSET(CÁLCULO!$AL$15,ROW($X547)-ROW($X$15),-1))),IF($C547=0,0,ROUND(SomaAgrup,15-13*$AF$11)))</f>
        <v>0</v>
      </c>
      <c r="Y547" s="128" t="s">
        <v>245</v>
      </c>
      <c r="Z547" t="str">
        <f t="shared" ca="1" si="156"/>
        <v/>
      </c>
      <c r="AA547" s="129">
        <f ca="1">IF($C547="S",IF($Z547="CP",$X547,IF($Z547="RA",(($X547)*QCI!$AA$3),0)),SomaAgrup)</f>
        <v>0</v>
      </c>
      <c r="AB547" s="130">
        <f t="shared" ca="1" si="157"/>
        <v>0</v>
      </c>
      <c r="AC547" s="131" t="str">
        <f ca="1">IF($N547="","",IF(ORÇAMENTO.Descricao="","DESCRIÇÃO",IF(AND($C547="S",ORÇAMENTO.Unidade=""),"UNIDADE",IF($X547&lt;0,"VALOR NEGATIVO",IF(OR(AND(TIPOORCAMENTO="Proposto",$AG547&lt;&gt;"",$AG547&gt;0,ORÇAMENTO.CustoUnitario&gt;$AG547),AND(TIPOORCAMENTO="LICITADO",ORÇAMENTO.PrecoUnitarioLicitado&gt;$AN547)),"ACIMA REF.","")))))</f>
        <v/>
      </c>
      <c r="AD547" t="str">
        <f ca="1">IF(C547&lt;=CRONO.NivelExibicao,MAX($AD$15:OFFSET(AD547,-1,0))+IF($C547&lt;&gt;1,1,MAX(1,COUNTIF(QCI!$A$13:$A$24,OFFSET($E547,-1,0)))),"")</f>
        <v/>
      </c>
      <c r="AE547" s="7" t="str">
        <f ca="1">IF(AND($C547="S",ORÇAMENTO.CodBarra&lt;&gt;""),IF(ORÇAMENTO.Fonte="",ORÇAMENTO.CodBarra,CONCATENATE(ORÇAMENTO.Fonte," ",ORÇAMENTO.CodBarra)))</f>
        <v>SINAPI 92029</v>
      </c>
      <c r="AF547" s="13" t="str">
        <f ca="1">IF(ISERROR(INDIRECT(ORÇAMENTO.BancoRef)),"(abra o arquivo 'Referência "&amp;Excel_BuiltIn_Database&amp;".xlsm)",IF(OR($C547&lt;&gt;"S",ORÇAMENTO.CodBarra=""),"(Sem Código)",IF(ISERROR(MATCH($AE547,INDIRECT(ORÇAMENTO.BancoRef),0)),"(Código não identificado nas referências)",MATCH($AE547,INDIRECT(ORÇAMENTO.BancoRef),0))))</f>
        <v>(abra o arquivo 'Referência 02-2025.xlsm)</v>
      </c>
      <c r="AG547" s="498">
        <f ca="1">ROUND(IF(DESONERACAO="sim",REFERENCIA.Desonerado,REFERENCIA.NaoDesonerado),2)</f>
        <v>0</v>
      </c>
      <c r="AH547" s="499">
        <f t="shared" ca="1" si="158"/>
        <v>0.22470000000000001</v>
      </c>
      <c r="AJ547" s="501">
        <v>14</v>
      </c>
      <c r="AL547" s="527"/>
      <c r="AM547" s="381">
        <f t="shared" ca="1" si="159"/>
        <v>0</v>
      </c>
      <c r="AN547" s="566">
        <f t="shared" ca="1" si="160"/>
        <v>0</v>
      </c>
    </row>
    <row r="548" spans="1:40" ht="38.25" x14ac:dyDescent="0.2">
      <c r="A548" t="str">
        <f t="shared" si="145"/>
        <v>S</v>
      </c>
      <c r="B548">
        <f t="shared" ca="1" si="146"/>
        <v>3</v>
      </c>
      <c r="C548" t="str">
        <f t="shared" ca="1" si="147"/>
        <v>S</v>
      </c>
      <c r="D548">
        <f t="shared" ca="1" si="148"/>
        <v>0</v>
      </c>
      <c r="E548">
        <f ca="1">IF($C548=1,OFFSET(E548,-1,0)+MAX(1,COUNTIF(QCI!$A$13:$A$24,OFFSET(ORÇAMENTO!E548,-1,0))),OFFSET(E548,-1,0))</f>
        <v>1</v>
      </c>
      <c r="F548">
        <f t="shared" ca="1" si="149"/>
        <v>17</v>
      </c>
      <c r="G548">
        <f t="shared" ca="1" si="150"/>
        <v>6</v>
      </c>
      <c r="H548">
        <f t="shared" ca="1" si="151"/>
        <v>0</v>
      </c>
      <c r="I548">
        <f t="shared" ca="1" si="152"/>
        <v>0</v>
      </c>
      <c r="J548">
        <f t="shared" ca="1" si="144"/>
        <v>0</v>
      </c>
      <c r="K548">
        <f ca="1">IF(OR($C548="S",$C548=0),0,MATCH(OFFSET($D548,0,$C548)+IF($C548&lt;&gt;1,1,COUNTIF(QCI!$A$13:$A$24,ORÇAMENTO!E548)),OFFSET($D548,1,$C548,ROW($C$747)-ROW($C548)),0))</f>
        <v>0</v>
      </c>
      <c r="L548" s="116" t="str">
        <f t="shared" ca="1" si="153"/>
        <v/>
      </c>
      <c r="M548" s="117" t="s">
        <v>199</v>
      </c>
      <c r="N548" s="118" t="str">
        <f t="shared" ca="1" si="154"/>
        <v>Serviço</v>
      </c>
      <c r="O548" s="119" t="str">
        <f t="shared" ca="1" si="155"/>
        <v>-</v>
      </c>
      <c r="P548" s="120" t="s">
        <v>247</v>
      </c>
      <c r="Q548" s="121" t="s">
        <v>965</v>
      </c>
      <c r="R548" s="122" t="str">
        <f ca="1">IF($C548="S",REFERENCIA.Descricao,"(digite a descrição aqui)")</f>
        <v>(abra o arquivo 'Referência 02-2025.xlsm)</v>
      </c>
      <c r="S548" s="123" t="str">
        <f ca="1">REFERENCIA.Unidade</f>
        <v>-</v>
      </c>
      <c r="T548" s="124">
        <f ca="1">OFFSET(CÁLCULO!H$15,ROW($T548)-ROW(T$15),0)</f>
        <v>1</v>
      </c>
      <c r="U548" s="125">
        <f t="shared" ca="1" si="161"/>
        <v>0</v>
      </c>
      <c r="V548" s="126" t="s">
        <v>156</v>
      </c>
      <c r="W548" s="124">
        <f ca="1">IF($C548="S",ROUND(IF(TIPOORCAMENTO="Proposto",ORÇAMENTO.CustoUnitario*(1+$AH548),ORÇAMENTO.PrecoUnitarioLicitado),15-13*$AF$10),0)</f>
        <v>0</v>
      </c>
      <c r="X548" s="127">
        <f ca="1">IF($C548="S",IF(Import.TipoArredondamento&lt;&gt;"TransfereGOV",VTOTAL1,SUM(OFFSET(CÁLCULO!$AA$15,ROW($X548)-ROW($X$15),1):OFFSET(CÁLCULO!$AL$15,ROW($X548)-ROW($X$15),-1))),IF($C548=0,0,ROUND(SomaAgrup,15-13*$AF$11)))</f>
        <v>0</v>
      </c>
      <c r="Y548" s="128" t="s">
        <v>245</v>
      </c>
      <c r="Z548" t="str">
        <f t="shared" ca="1" si="156"/>
        <v/>
      </c>
      <c r="AA548" s="129">
        <f ca="1">IF($C548="S",IF($Z548="CP",$X548,IF($Z548="RA",(($X548)*QCI!$AA$3),0)),SomaAgrup)</f>
        <v>0</v>
      </c>
      <c r="AB548" s="130">
        <f t="shared" ca="1" si="157"/>
        <v>0</v>
      </c>
      <c r="AC548" s="131" t="str">
        <f ca="1">IF($N548="","",IF(ORÇAMENTO.Descricao="","DESCRIÇÃO",IF(AND($C548="S",ORÇAMENTO.Unidade=""),"UNIDADE",IF($X548&lt;0,"VALOR NEGATIVO",IF(OR(AND(TIPOORCAMENTO="Proposto",$AG548&lt;&gt;"",$AG548&gt;0,ORÇAMENTO.CustoUnitario&gt;$AG548),AND(TIPOORCAMENTO="LICITADO",ORÇAMENTO.PrecoUnitarioLicitado&gt;$AN548)),"ACIMA REF.","")))))</f>
        <v/>
      </c>
      <c r="AD548" t="str">
        <f ca="1">IF(C548&lt;=CRONO.NivelExibicao,MAX($AD$15:OFFSET(AD548,-1,0))+IF($C548&lt;&gt;1,1,MAX(1,COUNTIF(QCI!$A$13:$A$24,OFFSET($E548,-1,0)))),"")</f>
        <v/>
      </c>
      <c r="AE548" s="7" t="str">
        <f ca="1">IF(AND($C548="S",ORÇAMENTO.CodBarra&lt;&gt;""),IF(ORÇAMENTO.Fonte="",ORÇAMENTO.CodBarra,CONCATENATE(ORÇAMENTO.Fonte," ",ORÇAMENTO.CodBarra)))</f>
        <v>SINAPI 91957</v>
      </c>
      <c r="AF548" s="13" t="str">
        <f ca="1">IF(ISERROR(INDIRECT(ORÇAMENTO.BancoRef)),"(abra o arquivo 'Referência "&amp;Excel_BuiltIn_Database&amp;".xlsm)",IF(OR($C548&lt;&gt;"S",ORÇAMENTO.CodBarra=""),"(Sem Código)",IF(ISERROR(MATCH($AE548,INDIRECT(ORÇAMENTO.BancoRef),0)),"(Código não identificado nas referências)",MATCH($AE548,INDIRECT(ORÇAMENTO.BancoRef),0))))</f>
        <v>(abra o arquivo 'Referência 02-2025.xlsm)</v>
      </c>
      <c r="AG548" s="498">
        <f ca="1">ROUND(IF(DESONERACAO="sim",REFERENCIA.Desonerado,REFERENCIA.NaoDesonerado),2)</f>
        <v>0</v>
      </c>
      <c r="AH548" s="499">
        <f t="shared" ca="1" si="158"/>
        <v>0.22470000000000001</v>
      </c>
      <c r="AJ548" s="501">
        <v>1</v>
      </c>
      <c r="AL548" s="527"/>
      <c r="AM548" s="381">
        <f t="shared" ca="1" si="159"/>
        <v>0</v>
      </c>
      <c r="AN548" s="566">
        <f t="shared" ca="1" si="160"/>
        <v>0</v>
      </c>
    </row>
    <row r="549" spans="1:40" ht="38.25" x14ac:dyDescent="0.2">
      <c r="A549" t="str">
        <f t="shared" si="145"/>
        <v>S</v>
      </c>
      <c r="B549">
        <f t="shared" ca="1" si="146"/>
        <v>3</v>
      </c>
      <c r="C549" t="str">
        <f t="shared" ca="1" si="147"/>
        <v>S</v>
      </c>
      <c r="D549">
        <f t="shared" ca="1" si="148"/>
        <v>0</v>
      </c>
      <c r="E549">
        <f ca="1">IF($C549=1,OFFSET(E549,-1,0)+MAX(1,COUNTIF(QCI!$A$13:$A$24,OFFSET(ORÇAMENTO!E549,-1,0))),OFFSET(E549,-1,0))</f>
        <v>1</v>
      </c>
      <c r="F549">
        <f t="shared" ca="1" si="149"/>
        <v>17</v>
      </c>
      <c r="G549">
        <f t="shared" ca="1" si="150"/>
        <v>6</v>
      </c>
      <c r="H549">
        <f t="shared" ca="1" si="151"/>
        <v>0</v>
      </c>
      <c r="I549">
        <f t="shared" ca="1" si="152"/>
        <v>0</v>
      </c>
      <c r="J549">
        <f t="shared" ca="1" si="144"/>
        <v>0</v>
      </c>
      <c r="K549">
        <f ca="1">IF(OR($C549="S",$C549=0),0,MATCH(OFFSET($D549,0,$C549)+IF($C549&lt;&gt;1,1,COUNTIF(QCI!$A$13:$A$24,ORÇAMENTO!E549)),OFFSET($D549,1,$C549,ROW($C$747)-ROW($C549)),0))</f>
        <v>0</v>
      </c>
      <c r="L549" s="116" t="str">
        <f t="shared" ca="1" si="153"/>
        <v/>
      </c>
      <c r="M549" s="117" t="s">
        <v>199</v>
      </c>
      <c r="N549" s="118" t="str">
        <f t="shared" ca="1" si="154"/>
        <v>Serviço</v>
      </c>
      <c r="O549" s="119" t="str">
        <f t="shared" ca="1" si="155"/>
        <v>-</v>
      </c>
      <c r="P549" s="120" t="s">
        <v>247</v>
      </c>
      <c r="Q549" s="121" t="s">
        <v>966</v>
      </c>
      <c r="R549" s="122" t="str">
        <f ca="1">IF($C549="S",REFERENCIA.Descricao,"(digite a descrição aqui)")</f>
        <v>(abra o arquivo 'Referência 02-2025.xlsm)</v>
      </c>
      <c r="S549" s="123" t="str">
        <f ca="1">REFERENCIA.Unidade</f>
        <v>-</v>
      </c>
      <c r="T549" s="124">
        <f ca="1">OFFSET(CÁLCULO!H$15,ROW($T549)-ROW(T$15),0)</f>
        <v>7</v>
      </c>
      <c r="U549" s="125">
        <f t="shared" ca="1" si="161"/>
        <v>0</v>
      </c>
      <c r="V549" s="126" t="s">
        <v>156</v>
      </c>
      <c r="W549" s="124">
        <f ca="1">IF($C549="S",ROUND(IF(TIPOORCAMENTO="Proposto",ORÇAMENTO.CustoUnitario*(1+$AH549),ORÇAMENTO.PrecoUnitarioLicitado),15-13*$AF$10),0)</f>
        <v>0</v>
      </c>
      <c r="X549" s="127">
        <f ca="1">IF($C549="S",IF(Import.TipoArredondamento&lt;&gt;"TransfereGOV",VTOTAL1,SUM(OFFSET(CÁLCULO!$AA$15,ROW($X549)-ROW($X$15),1):OFFSET(CÁLCULO!$AL$15,ROW($X549)-ROW($X$15),-1))),IF($C549=0,0,ROUND(SomaAgrup,15-13*$AF$11)))</f>
        <v>0</v>
      </c>
      <c r="Y549" s="128" t="s">
        <v>245</v>
      </c>
      <c r="Z549" t="str">
        <f t="shared" ca="1" si="156"/>
        <v/>
      </c>
      <c r="AA549" s="129">
        <f ca="1">IF($C549="S",IF($Z549="CP",$X549,IF($Z549="RA",(($X549)*QCI!$AA$3),0)),SomaAgrup)</f>
        <v>0</v>
      </c>
      <c r="AB549" s="130">
        <f t="shared" ca="1" si="157"/>
        <v>0</v>
      </c>
      <c r="AC549" s="131" t="str">
        <f ca="1">IF($N549="","",IF(ORÇAMENTO.Descricao="","DESCRIÇÃO",IF(AND($C549="S",ORÇAMENTO.Unidade=""),"UNIDADE",IF($X549&lt;0,"VALOR NEGATIVO",IF(OR(AND(TIPOORCAMENTO="Proposto",$AG549&lt;&gt;"",$AG549&gt;0,ORÇAMENTO.CustoUnitario&gt;$AG549),AND(TIPOORCAMENTO="LICITADO",ORÇAMENTO.PrecoUnitarioLicitado&gt;$AN549)),"ACIMA REF.","")))))</f>
        <v/>
      </c>
      <c r="AD549" t="str">
        <f ca="1">IF(C549&lt;=CRONO.NivelExibicao,MAX($AD$15:OFFSET(AD549,-1,0))+IF($C549&lt;&gt;1,1,MAX(1,COUNTIF(QCI!$A$13:$A$24,OFFSET($E549,-1,0)))),"")</f>
        <v/>
      </c>
      <c r="AE549" s="7" t="str">
        <f ca="1">IF(AND($C549="S",ORÇAMENTO.CodBarra&lt;&gt;""),IF(ORÇAMENTO.Fonte="",ORÇAMENTO.CodBarra,CONCATENATE(ORÇAMENTO.Fonte," ",ORÇAMENTO.CodBarra)))</f>
        <v>SINAPI 92027</v>
      </c>
      <c r="AF549" s="13" t="str">
        <f ca="1">IF(ISERROR(INDIRECT(ORÇAMENTO.BancoRef)),"(abra o arquivo 'Referência "&amp;Excel_BuiltIn_Database&amp;".xlsm)",IF(OR($C549&lt;&gt;"S",ORÇAMENTO.CodBarra=""),"(Sem Código)",IF(ISERROR(MATCH($AE549,INDIRECT(ORÇAMENTO.BancoRef),0)),"(Código não identificado nas referências)",MATCH($AE549,INDIRECT(ORÇAMENTO.BancoRef),0))))</f>
        <v>(abra o arquivo 'Referência 02-2025.xlsm)</v>
      </c>
      <c r="AG549" s="498">
        <f ca="1">ROUND(IF(DESONERACAO="sim",REFERENCIA.Desonerado,REFERENCIA.NaoDesonerado),2)</f>
        <v>0</v>
      </c>
      <c r="AH549" s="499">
        <f t="shared" ca="1" si="158"/>
        <v>0.22470000000000001</v>
      </c>
      <c r="AJ549" s="501">
        <v>7</v>
      </c>
      <c r="AL549" s="527"/>
      <c r="AM549" s="381">
        <f t="shared" ca="1" si="159"/>
        <v>0</v>
      </c>
      <c r="AN549" s="566">
        <f t="shared" ca="1" si="160"/>
        <v>0</v>
      </c>
    </row>
    <row r="550" spans="1:40" ht="25.5" x14ac:dyDescent="0.2">
      <c r="A550" t="str">
        <f t="shared" si="145"/>
        <v>S</v>
      </c>
      <c r="B550">
        <f t="shared" ca="1" si="146"/>
        <v>3</v>
      </c>
      <c r="C550" t="str">
        <f t="shared" ca="1" si="147"/>
        <v>S</v>
      </c>
      <c r="D550">
        <f t="shared" ca="1" si="148"/>
        <v>0</v>
      </c>
      <c r="E550">
        <f ca="1">IF($C550=1,OFFSET(E550,-1,0)+MAX(1,COUNTIF(QCI!$A$13:$A$24,OFFSET(ORÇAMENTO!E550,-1,0))),OFFSET(E550,-1,0))</f>
        <v>1</v>
      </c>
      <c r="F550">
        <f t="shared" ca="1" si="149"/>
        <v>17</v>
      </c>
      <c r="G550">
        <f t="shared" ca="1" si="150"/>
        <v>6</v>
      </c>
      <c r="H550">
        <f t="shared" ca="1" si="151"/>
        <v>0</v>
      </c>
      <c r="I550">
        <f t="shared" ca="1" si="152"/>
        <v>0</v>
      </c>
      <c r="J550">
        <f t="shared" ca="1" si="144"/>
        <v>0</v>
      </c>
      <c r="K550">
        <f ca="1">IF(OR($C550="S",$C550=0),0,MATCH(OFFSET($D550,0,$C550)+IF($C550&lt;&gt;1,1,COUNTIF(QCI!$A$13:$A$24,ORÇAMENTO!E550)),OFFSET($D550,1,$C550,ROW($C$747)-ROW($C550)),0))</f>
        <v>0</v>
      </c>
      <c r="L550" s="116" t="str">
        <f t="shared" ca="1" si="153"/>
        <v/>
      </c>
      <c r="M550" s="117" t="s">
        <v>199</v>
      </c>
      <c r="N550" s="118" t="str">
        <f t="shared" ca="1" si="154"/>
        <v>Serviço</v>
      </c>
      <c r="O550" s="119" t="str">
        <f t="shared" ca="1" si="155"/>
        <v>-</v>
      </c>
      <c r="P550" s="120" t="s">
        <v>247</v>
      </c>
      <c r="Q550" s="121" t="s">
        <v>967</v>
      </c>
      <c r="R550" s="122" t="str">
        <f ca="1">IF($C550="S",REFERENCIA.Descricao,"(digite a descrição aqui)")</f>
        <v>(abra o arquivo 'Referência 02-2025.xlsm)</v>
      </c>
      <c r="S550" s="123" t="str">
        <f ca="1">REFERENCIA.Unidade</f>
        <v>-</v>
      </c>
      <c r="T550" s="124">
        <f ca="1">OFFSET(CÁLCULO!H$15,ROW($T550)-ROW(T$15),0)</f>
        <v>135</v>
      </c>
      <c r="U550" s="125">
        <f t="shared" ca="1" si="161"/>
        <v>0</v>
      </c>
      <c r="V550" s="126" t="s">
        <v>156</v>
      </c>
      <c r="W550" s="124">
        <f ca="1">IF($C550="S",ROUND(IF(TIPOORCAMENTO="Proposto",ORÇAMENTO.CustoUnitario*(1+$AH550),ORÇAMENTO.PrecoUnitarioLicitado),15-13*$AF$10),0)</f>
        <v>0</v>
      </c>
      <c r="X550" s="127">
        <f ca="1">IF($C550="S",IF(Import.TipoArredondamento&lt;&gt;"TransfereGOV",VTOTAL1,SUM(OFFSET(CÁLCULO!$AA$15,ROW($X550)-ROW($X$15),1):OFFSET(CÁLCULO!$AL$15,ROW($X550)-ROW($X$15),-1))),IF($C550=0,0,ROUND(SomaAgrup,15-13*$AF$11)))</f>
        <v>0</v>
      </c>
      <c r="Y550" s="128" t="s">
        <v>245</v>
      </c>
      <c r="Z550" t="str">
        <f t="shared" ca="1" si="156"/>
        <v/>
      </c>
      <c r="AA550" s="129">
        <f ca="1">IF($C550="S",IF($Z550="CP",$X550,IF($Z550="RA",(($X550)*QCI!$AA$3),0)),SomaAgrup)</f>
        <v>0</v>
      </c>
      <c r="AB550" s="130">
        <f t="shared" ca="1" si="157"/>
        <v>0</v>
      </c>
      <c r="AC550" s="131" t="str">
        <f ca="1">IF($N550="","",IF(ORÇAMENTO.Descricao="","DESCRIÇÃO",IF(AND($C550="S",ORÇAMENTO.Unidade=""),"UNIDADE",IF($X550&lt;0,"VALOR NEGATIVO",IF(OR(AND(TIPOORCAMENTO="Proposto",$AG550&lt;&gt;"",$AG550&gt;0,ORÇAMENTO.CustoUnitario&gt;$AG550),AND(TIPOORCAMENTO="LICITADO",ORÇAMENTO.PrecoUnitarioLicitado&gt;$AN550)),"ACIMA REF.","")))))</f>
        <v/>
      </c>
      <c r="AD550" t="str">
        <f ca="1">IF(C550&lt;=CRONO.NivelExibicao,MAX($AD$15:OFFSET(AD550,-1,0))+IF($C550&lt;&gt;1,1,MAX(1,COUNTIF(QCI!$A$13:$A$24,OFFSET($E550,-1,0)))),"")</f>
        <v/>
      </c>
      <c r="AE550" s="7" t="str">
        <f ca="1">IF(AND($C550="S",ORÇAMENTO.CodBarra&lt;&gt;""),IF(ORÇAMENTO.Fonte="",ORÇAMENTO.CodBarra,CONCATENATE(ORÇAMENTO.Fonte," ",ORÇAMENTO.CodBarra)))</f>
        <v>SINAPI 91996</v>
      </c>
      <c r="AF550" s="13" t="str">
        <f ca="1">IF(ISERROR(INDIRECT(ORÇAMENTO.BancoRef)),"(abra o arquivo 'Referência "&amp;Excel_BuiltIn_Database&amp;".xlsm)",IF(OR($C550&lt;&gt;"S",ORÇAMENTO.CodBarra=""),"(Sem Código)",IF(ISERROR(MATCH($AE550,INDIRECT(ORÇAMENTO.BancoRef),0)),"(Código não identificado nas referências)",MATCH($AE550,INDIRECT(ORÇAMENTO.BancoRef),0))))</f>
        <v>(abra o arquivo 'Referência 02-2025.xlsm)</v>
      </c>
      <c r="AG550" s="498">
        <f ca="1">ROUND(IF(DESONERACAO="sim",REFERENCIA.Desonerado,REFERENCIA.NaoDesonerado),2)</f>
        <v>0</v>
      </c>
      <c r="AH550" s="499">
        <f t="shared" ca="1" si="158"/>
        <v>0.22470000000000001</v>
      </c>
      <c r="AJ550" s="501">
        <v>135</v>
      </c>
      <c r="AL550" s="527"/>
      <c r="AM550" s="381">
        <f t="shared" ca="1" si="159"/>
        <v>0</v>
      </c>
      <c r="AN550" s="566">
        <f t="shared" ca="1" si="160"/>
        <v>0</v>
      </c>
    </row>
    <row r="551" spans="1:40" ht="25.5" x14ac:dyDescent="0.2">
      <c r="A551" t="str">
        <f t="shared" si="145"/>
        <v>S</v>
      </c>
      <c r="B551">
        <f t="shared" ca="1" si="146"/>
        <v>3</v>
      </c>
      <c r="C551" t="str">
        <f t="shared" ca="1" si="147"/>
        <v>S</v>
      </c>
      <c r="D551">
        <f t="shared" ca="1" si="148"/>
        <v>0</v>
      </c>
      <c r="E551">
        <f ca="1">IF($C551=1,OFFSET(E551,-1,0)+MAX(1,COUNTIF(QCI!$A$13:$A$24,OFFSET(ORÇAMENTO!E551,-1,0))),OFFSET(E551,-1,0))</f>
        <v>1</v>
      </c>
      <c r="F551">
        <f t="shared" ca="1" si="149"/>
        <v>17</v>
      </c>
      <c r="G551">
        <f t="shared" ca="1" si="150"/>
        <v>6</v>
      </c>
      <c r="H551">
        <f t="shared" ca="1" si="151"/>
        <v>0</v>
      </c>
      <c r="I551">
        <f t="shared" ca="1" si="152"/>
        <v>0</v>
      </c>
      <c r="J551">
        <f t="shared" ca="1" si="144"/>
        <v>0</v>
      </c>
      <c r="K551">
        <f ca="1">IF(OR($C551="S",$C551=0),0,MATCH(OFFSET($D551,0,$C551)+IF($C551&lt;&gt;1,1,COUNTIF(QCI!$A$13:$A$24,ORÇAMENTO!E551)),OFFSET($D551,1,$C551,ROW($C$747)-ROW($C551)),0))</f>
        <v>0</v>
      </c>
      <c r="L551" s="116" t="str">
        <f t="shared" ca="1" si="153"/>
        <v/>
      </c>
      <c r="M551" s="117" t="s">
        <v>199</v>
      </c>
      <c r="N551" s="118" t="str">
        <f t="shared" ca="1" si="154"/>
        <v>Serviço</v>
      </c>
      <c r="O551" s="119" t="str">
        <f t="shared" ca="1" si="155"/>
        <v>-</v>
      </c>
      <c r="P551" s="120" t="s">
        <v>247</v>
      </c>
      <c r="Q551" s="121" t="s">
        <v>968</v>
      </c>
      <c r="R551" s="122" t="str">
        <f ca="1">IF($C551="S",REFERENCIA.Descricao,"(digite a descrição aqui)")</f>
        <v>(abra o arquivo 'Referência 02-2025.xlsm)</v>
      </c>
      <c r="S551" s="123" t="str">
        <f ca="1">REFERENCIA.Unidade</f>
        <v>-</v>
      </c>
      <c r="T551" s="124">
        <f ca="1">OFFSET(CÁLCULO!H$15,ROW($T551)-ROW(T$15),0)</f>
        <v>10</v>
      </c>
      <c r="U551" s="125">
        <f t="shared" ca="1" si="161"/>
        <v>0</v>
      </c>
      <c r="V551" s="126" t="s">
        <v>156</v>
      </c>
      <c r="W551" s="124">
        <f ca="1">IF($C551="S",ROUND(IF(TIPOORCAMENTO="Proposto",ORÇAMENTO.CustoUnitario*(1+$AH551),ORÇAMENTO.PrecoUnitarioLicitado),15-13*$AF$10),0)</f>
        <v>0</v>
      </c>
      <c r="X551" s="127">
        <f ca="1">IF($C551="S",IF(Import.TipoArredondamento&lt;&gt;"TransfereGOV",VTOTAL1,SUM(OFFSET(CÁLCULO!$AA$15,ROW($X551)-ROW($X$15),1):OFFSET(CÁLCULO!$AL$15,ROW($X551)-ROW($X$15),-1))),IF($C551=0,0,ROUND(SomaAgrup,15-13*$AF$11)))</f>
        <v>0</v>
      </c>
      <c r="Y551" s="128" t="s">
        <v>245</v>
      </c>
      <c r="Z551" t="str">
        <f t="shared" ca="1" si="156"/>
        <v/>
      </c>
      <c r="AA551" s="129">
        <f ca="1">IF($C551="S",IF($Z551="CP",$X551,IF($Z551="RA",(($X551)*QCI!$AA$3),0)),SomaAgrup)</f>
        <v>0</v>
      </c>
      <c r="AB551" s="130">
        <f t="shared" ca="1" si="157"/>
        <v>0</v>
      </c>
      <c r="AC551" s="131" t="str">
        <f ca="1">IF($N551="","",IF(ORÇAMENTO.Descricao="","DESCRIÇÃO",IF(AND($C551="S",ORÇAMENTO.Unidade=""),"UNIDADE",IF($X551&lt;0,"VALOR NEGATIVO",IF(OR(AND(TIPOORCAMENTO="Proposto",$AG551&lt;&gt;"",$AG551&gt;0,ORÇAMENTO.CustoUnitario&gt;$AG551),AND(TIPOORCAMENTO="LICITADO",ORÇAMENTO.PrecoUnitarioLicitado&gt;$AN551)),"ACIMA REF.","")))))</f>
        <v/>
      </c>
      <c r="AD551" t="str">
        <f ca="1">IF(C551&lt;=CRONO.NivelExibicao,MAX($AD$15:OFFSET(AD551,-1,0))+IF($C551&lt;&gt;1,1,MAX(1,COUNTIF(QCI!$A$13:$A$24,OFFSET($E551,-1,0)))),"")</f>
        <v/>
      </c>
      <c r="AE551" s="7" t="str">
        <f ca="1">IF(AND($C551="S",ORÇAMENTO.CodBarra&lt;&gt;""),IF(ORÇAMENTO.Fonte="",ORÇAMENTO.CodBarra,CONCATENATE(ORÇAMENTO.Fonte," ",ORÇAMENTO.CodBarra)))</f>
        <v>SINAPI 91997</v>
      </c>
      <c r="AF551" s="13" t="str">
        <f ca="1">IF(ISERROR(INDIRECT(ORÇAMENTO.BancoRef)),"(abra o arquivo 'Referência "&amp;Excel_BuiltIn_Database&amp;".xlsm)",IF(OR($C551&lt;&gt;"S",ORÇAMENTO.CodBarra=""),"(Sem Código)",IF(ISERROR(MATCH($AE551,INDIRECT(ORÇAMENTO.BancoRef),0)),"(Código não identificado nas referências)",MATCH($AE551,INDIRECT(ORÇAMENTO.BancoRef),0))))</f>
        <v>(abra o arquivo 'Referência 02-2025.xlsm)</v>
      </c>
      <c r="AG551" s="498">
        <f ca="1">ROUND(IF(DESONERACAO="sim",REFERENCIA.Desonerado,REFERENCIA.NaoDesonerado),2)</f>
        <v>0</v>
      </c>
      <c r="AH551" s="499">
        <f t="shared" ca="1" si="158"/>
        <v>0.22470000000000001</v>
      </c>
      <c r="AJ551" s="501">
        <v>10</v>
      </c>
      <c r="AL551" s="527"/>
      <c r="AM551" s="381">
        <f t="shared" ca="1" si="159"/>
        <v>0</v>
      </c>
      <c r="AN551" s="566">
        <f t="shared" ca="1" si="160"/>
        <v>0</v>
      </c>
    </row>
    <row r="552" spans="1:40" x14ac:dyDescent="0.2">
      <c r="A552">
        <f t="shared" si="145"/>
        <v>3</v>
      </c>
      <c r="B552">
        <f t="shared" ca="1" si="146"/>
        <v>3</v>
      </c>
      <c r="C552">
        <f t="shared" ca="1" si="147"/>
        <v>3</v>
      </c>
      <c r="D552">
        <f t="shared" ca="1" si="148"/>
        <v>22</v>
      </c>
      <c r="E552">
        <f ca="1">IF($C552=1,OFFSET(E552,-1,0)+MAX(1,COUNTIF(QCI!$A$13:$A$24,OFFSET(ORÇAMENTO!E552,-1,0))),OFFSET(E552,-1,0))</f>
        <v>1</v>
      </c>
      <c r="F552">
        <f t="shared" ca="1" si="149"/>
        <v>17</v>
      </c>
      <c r="G552">
        <f t="shared" ca="1" si="150"/>
        <v>7</v>
      </c>
      <c r="H552">
        <f t="shared" ca="1" si="151"/>
        <v>0</v>
      </c>
      <c r="I552">
        <f t="shared" ca="1" si="152"/>
        <v>0</v>
      </c>
      <c r="J552">
        <f t="shared" ca="1" si="144"/>
        <v>56</v>
      </c>
      <c r="K552">
        <f ca="1">IF(OR($C552="S",$C552=0),0,MATCH(OFFSET($D552,0,$C552)+IF($C552&lt;&gt;1,1,COUNTIF(QCI!$A$13:$A$24,ORÇAMENTO!E552)),OFFSET($D552,1,$C552,ROW($C$747)-ROW($C552)),0))</f>
        <v>22</v>
      </c>
      <c r="L552" s="116" t="str">
        <f t="shared" ca="1" si="153"/>
        <v>F</v>
      </c>
      <c r="M552" s="117" t="s">
        <v>197</v>
      </c>
      <c r="N552" s="118" t="str">
        <f t="shared" ca="1" si="154"/>
        <v>Nível 3</v>
      </c>
      <c r="O552" s="119" t="str">
        <f t="shared" ca="1" si="155"/>
        <v>1.17.7.</v>
      </c>
      <c r="P552" s="120" t="s">
        <v>247</v>
      </c>
      <c r="Q552" s="121"/>
      <c r="R552" s="122" t="str">
        <f ca="1">IF($C552="S",REFERENCIA.Descricao,"DISPOSITIVOS DE PROTEÇÃO")</f>
        <v>DISPOSITIVOS DE PROTEÇÃO</v>
      </c>
      <c r="S552" s="123" t="str">
        <f ca="1">REFERENCIA.Unidade</f>
        <v>-</v>
      </c>
      <c r="T552" s="124">
        <f ca="1">OFFSET(CÁLCULO!H$15,ROW($T552)-ROW(T$15),0)</f>
        <v>0</v>
      </c>
      <c r="U552" s="125">
        <f t="shared" ca="1" si="161"/>
        <v>0</v>
      </c>
      <c r="V552" s="126" t="s">
        <v>156</v>
      </c>
      <c r="W552" s="124">
        <f ca="1">IF($C552="S",ROUND(IF(TIPOORCAMENTO="Proposto",ORÇAMENTO.CustoUnitario*(1+$AH552),ORÇAMENTO.PrecoUnitarioLicitado),15-13*$AF$10),0)</f>
        <v>0</v>
      </c>
      <c r="X552" s="127">
        <f ca="1">IF($C552="S",IF(Import.TipoArredondamento&lt;&gt;"TransfereGOV",VTOTAL1,SUM(OFFSET(CÁLCULO!$AA$15,ROW($X552)-ROW($X$15),1):OFFSET(CÁLCULO!$AL$15,ROW($X552)-ROW($X$15),-1))),IF($C552=0,0,ROUND(SomaAgrup,15-13*$AF$11)))</f>
        <v>0</v>
      </c>
      <c r="Y552" s="128" t="s">
        <v>245</v>
      </c>
      <c r="Z552" t="str">
        <f t="shared" ca="1" si="156"/>
        <v/>
      </c>
      <c r="AA552" s="129">
        <f ca="1">IF($C552="S",IF($Z552="CP",$X552,IF($Z552="RA",(($X552)*QCI!$AA$3),0)),SomaAgrup)</f>
        <v>0</v>
      </c>
      <c r="AB552" s="130">
        <f t="shared" ca="1" si="157"/>
        <v>0</v>
      </c>
      <c r="AC552" s="131" t="str">
        <f ca="1">IF($N552="","",IF(ORÇAMENTO.Descricao="","DESCRIÇÃO",IF(AND($C552="S",ORÇAMENTO.Unidade=""),"UNIDADE",IF($X552&lt;0,"VALOR NEGATIVO",IF(OR(AND(TIPOORCAMENTO="Proposto",$AG552&lt;&gt;"",$AG552&gt;0,ORÇAMENTO.CustoUnitario&gt;$AG552),AND(TIPOORCAMENTO="LICITADO",ORÇAMENTO.PrecoUnitarioLicitado&gt;$AN552)),"ACIMA REF.","")))))</f>
        <v/>
      </c>
      <c r="AD552" t="str">
        <f ca="1">IF(C552&lt;=CRONO.NivelExibicao,MAX($AD$15:OFFSET(AD552,-1,0))+IF($C552&lt;&gt;1,1,MAX(1,COUNTIF(QCI!$A$13:$A$24,OFFSET($E552,-1,0)))),"")</f>
        <v/>
      </c>
      <c r="AE552" s="7" t="b">
        <f ca="1">IF(AND($C552="S",ORÇAMENTO.CodBarra&lt;&gt;""),IF(ORÇAMENTO.Fonte="",ORÇAMENTO.CodBarra,CONCATENATE(ORÇAMENTO.Fonte," ",ORÇAMENTO.CodBarra)))</f>
        <v>0</v>
      </c>
      <c r="AF552" s="13" t="str">
        <f ca="1">IF(ISERROR(INDIRECT(ORÇAMENTO.BancoRef)),"(abra o arquivo 'Referência "&amp;Excel_BuiltIn_Database&amp;".xlsm)",IF(OR($C552&lt;&gt;"S",ORÇAMENTO.CodBarra=""),"(Sem Código)",IF(ISERROR(MATCH($AE552,INDIRECT(ORÇAMENTO.BancoRef),0)),"(Código não identificado nas referências)",MATCH($AE552,INDIRECT(ORÇAMENTO.BancoRef),0))))</f>
        <v>(abra o arquivo 'Referência 02-2025.xlsm)</v>
      </c>
      <c r="AG552" s="498">
        <f ca="1">ROUND(IF(DESONERACAO="sim",REFERENCIA.Desonerado,REFERENCIA.NaoDesonerado),2)</f>
        <v>0</v>
      </c>
      <c r="AH552" s="499">
        <f t="shared" ca="1" si="158"/>
        <v>0.22470000000000001</v>
      </c>
      <c r="AJ552" s="501"/>
      <c r="AL552" s="527"/>
      <c r="AM552" s="381">
        <f t="shared" ca="1" si="159"/>
        <v>0</v>
      </c>
      <c r="AN552" s="566">
        <f t="shared" ca="1" si="160"/>
        <v>0</v>
      </c>
    </row>
    <row r="553" spans="1:40" ht="25.5" x14ac:dyDescent="0.2">
      <c r="A553" t="str">
        <f t="shared" si="145"/>
        <v>S</v>
      </c>
      <c r="B553">
        <f t="shared" ca="1" si="146"/>
        <v>3</v>
      </c>
      <c r="C553" t="str">
        <f t="shared" ca="1" si="147"/>
        <v>S</v>
      </c>
      <c r="D553">
        <f t="shared" ca="1" si="148"/>
        <v>0</v>
      </c>
      <c r="E553">
        <f ca="1">IF($C553=1,OFFSET(E553,-1,0)+MAX(1,COUNTIF(QCI!$A$13:$A$24,OFFSET(ORÇAMENTO!E553,-1,0))),OFFSET(E553,-1,0))</f>
        <v>1</v>
      </c>
      <c r="F553">
        <f t="shared" ca="1" si="149"/>
        <v>17</v>
      </c>
      <c r="G553">
        <f t="shared" ca="1" si="150"/>
        <v>7</v>
      </c>
      <c r="H553">
        <f t="shared" ca="1" si="151"/>
        <v>0</v>
      </c>
      <c r="I553">
        <f t="shared" ca="1" si="152"/>
        <v>0</v>
      </c>
      <c r="J553">
        <f t="shared" ca="1" si="144"/>
        <v>0</v>
      </c>
      <c r="K553">
        <f ca="1">IF(OR($C553="S",$C553=0),0,MATCH(OFFSET($D553,0,$C553)+IF($C553&lt;&gt;1,1,COUNTIF(QCI!$A$13:$A$24,ORÇAMENTO!E553)),OFFSET($D553,1,$C553,ROW($C$747)-ROW($C553)),0))</f>
        <v>0</v>
      </c>
      <c r="L553" s="116" t="str">
        <f t="shared" ca="1" si="153"/>
        <v/>
      </c>
      <c r="M553" s="117" t="s">
        <v>199</v>
      </c>
      <c r="N553" s="118" t="str">
        <f t="shared" ca="1" si="154"/>
        <v>Serviço</v>
      </c>
      <c r="O553" s="119" t="str">
        <f t="shared" ca="1" si="155"/>
        <v>-</v>
      </c>
      <c r="P553" s="120" t="s">
        <v>247</v>
      </c>
      <c r="Q553" s="121" t="s">
        <v>673</v>
      </c>
      <c r="R553" s="122" t="str">
        <f ca="1">IF($C553="S",REFERENCIA.Descricao,"(digite a descrição aqui)")</f>
        <v>(abra o arquivo 'Referência 02-2025.xlsm)</v>
      </c>
      <c r="S553" s="123" t="str">
        <f ca="1">REFERENCIA.Unidade</f>
        <v>-</v>
      </c>
      <c r="T553" s="124">
        <f ca="1">OFFSET(CÁLCULO!H$15,ROW($T553)-ROW(T$15),0)</f>
        <v>2</v>
      </c>
      <c r="U553" s="125">
        <f t="shared" ca="1" si="161"/>
        <v>0</v>
      </c>
      <c r="V553" s="126" t="s">
        <v>156</v>
      </c>
      <c r="W553" s="124">
        <f ca="1">IF($C553="S",ROUND(IF(TIPOORCAMENTO="Proposto",ORÇAMENTO.CustoUnitario*(1+$AH553),ORÇAMENTO.PrecoUnitarioLicitado),15-13*$AF$10),0)</f>
        <v>0</v>
      </c>
      <c r="X553" s="127">
        <f ca="1">IF($C553="S",IF(Import.TipoArredondamento&lt;&gt;"TransfereGOV",VTOTAL1,SUM(OFFSET(CÁLCULO!$AA$15,ROW($X553)-ROW($X$15),1):OFFSET(CÁLCULO!$AL$15,ROW($X553)-ROW($X$15),-1))),IF($C553=0,0,ROUND(SomaAgrup,15-13*$AF$11)))</f>
        <v>0</v>
      </c>
      <c r="Y553" s="128" t="s">
        <v>245</v>
      </c>
      <c r="Z553" t="str">
        <f t="shared" ca="1" si="156"/>
        <v/>
      </c>
      <c r="AA553" s="129">
        <f ca="1">IF($C553="S",IF($Z553="CP",$X553,IF($Z553="RA",(($X553)*QCI!$AA$3),0)),SomaAgrup)</f>
        <v>0</v>
      </c>
      <c r="AB553" s="130">
        <f t="shared" ca="1" si="157"/>
        <v>0</v>
      </c>
      <c r="AC553" s="131" t="str">
        <f ca="1">IF($N553="","",IF(ORÇAMENTO.Descricao="","DESCRIÇÃO",IF(AND($C553="S",ORÇAMENTO.Unidade=""),"UNIDADE",IF($X553&lt;0,"VALOR NEGATIVO",IF(OR(AND(TIPOORCAMENTO="Proposto",$AG553&lt;&gt;"",$AG553&gt;0,ORÇAMENTO.CustoUnitario&gt;$AG553),AND(TIPOORCAMENTO="LICITADO",ORÇAMENTO.PrecoUnitarioLicitado&gt;$AN553)),"ACIMA REF.","")))))</f>
        <v/>
      </c>
      <c r="AD553" t="str">
        <f ca="1">IF(C553&lt;=CRONO.NivelExibicao,MAX($AD$15:OFFSET(AD553,-1,0))+IF($C553&lt;&gt;1,1,MAX(1,COUNTIF(QCI!$A$13:$A$24,OFFSET($E553,-1,0)))),"")</f>
        <v/>
      </c>
      <c r="AE553" s="7" t="str">
        <f ca="1">IF(AND($C553="S",ORÇAMENTO.CodBarra&lt;&gt;""),IF(ORÇAMENTO.Fonte="",ORÇAMENTO.CodBarra,CONCATENATE(ORÇAMENTO.Fonte," ",ORÇAMENTO.CodBarra)))</f>
        <v>SINAPI 93667</v>
      </c>
      <c r="AF553" s="13" t="str">
        <f ca="1">IF(ISERROR(INDIRECT(ORÇAMENTO.BancoRef)),"(abra o arquivo 'Referência "&amp;Excel_BuiltIn_Database&amp;".xlsm)",IF(OR($C553&lt;&gt;"S",ORÇAMENTO.CodBarra=""),"(Sem Código)",IF(ISERROR(MATCH($AE553,INDIRECT(ORÇAMENTO.BancoRef),0)),"(Código não identificado nas referências)",MATCH($AE553,INDIRECT(ORÇAMENTO.BancoRef),0))))</f>
        <v>(abra o arquivo 'Referência 02-2025.xlsm)</v>
      </c>
      <c r="AG553" s="498">
        <f ca="1">ROUND(IF(DESONERACAO="sim",REFERENCIA.Desonerado,REFERENCIA.NaoDesonerado),2)</f>
        <v>0</v>
      </c>
      <c r="AH553" s="499">
        <f t="shared" ca="1" si="158"/>
        <v>0.22470000000000001</v>
      </c>
      <c r="AJ553" s="501">
        <v>2</v>
      </c>
      <c r="AL553" s="527"/>
      <c r="AM553" s="381">
        <f t="shared" ca="1" si="159"/>
        <v>0</v>
      </c>
      <c r="AN553" s="566">
        <f t="shared" ca="1" si="160"/>
        <v>0</v>
      </c>
    </row>
    <row r="554" spans="1:40" ht="25.5" x14ac:dyDescent="0.2">
      <c r="A554" t="str">
        <f t="shared" si="145"/>
        <v>S</v>
      </c>
      <c r="B554">
        <f t="shared" ca="1" si="146"/>
        <v>3</v>
      </c>
      <c r="C554" t="str">
        <f t="shared" ca="1" si="147"/>
        <v>S</v>
      </c>
      <c r="D554">
        <f t="shared" ca="1" si="148"/>
        <v>0</v>
      </c>
      <c r="E554">
        <f ca="1">IF($C554=1,OFFSET(E554,-1,0)+MAX(1,COUNTIF(QCI!$A$13:$A$24,OFFSET(ORÇAMENTO!E554,-1,0))),OFFSET(E554,-1,0))</f>
        <v>1</v>
      </c>
      <c r="F554">
        <f t="shared" ca="1" si="149"/>
        <v>17</v>
      </c>
      <c r="G554">
        <f t="shared" ca="1" si="150"/>
        <v>7</v>
      </c>
      <c r="H554">
        <f t="shared" ca="1" si="151"/>
        <v>0</v>
      </c>
      <c r="I554">
        <f t="shared" ca="1" si="152"/>
        <v>0</v>
      </c>
      <c r="J554">
        <f t="shared" ca="1" si="144"/>
        <v>0</v>
      </c>
      <c r="K554">
        <f ca="1">IF(OR($C554="S",$C554=0),0,MATCH(OFFSET($D554,0,$C554)+IF($C554&lt;&gt;1,1,COUNTIF(QCI!$A$13:$A$24,ORÇAMENTO!E554)),OFFSET($D554,1,$C554,ROW($C$747)-ROW($C554)),0))</f>
        <v>0</v>
      </c>
      <c r="L554" s="116" t="str">
        <f t="shared" ca="1" si="153"/>
        <v/>
      </c>
      <c r="M554" s="117" t="s">
        <v>199</v>
      </c>
      <c r="N554" s="118" t="str">
        <f t="shared" ca="1" si="154"/>
        <v>Serviço</v>
      </c>
      <c r="O554" s="119" t="str">
        <f t="shared" ca="1" si="155"/>
        <v>-</v>
      </c>
      <c r="P554" s="120" t="s">
        <v>247</v>
      </c>
      <c r="Q554" s="121" t="s">
        <v>674</v>
      </c>
      <c r="R554" s="122" t="str">
        <f ca="1">IF($C554="S",REFERENCIA.Descricao,"(digite a descrição aqui)")</f>
        <v>(abra o arquivo 'Referência 02-2025.xlsm)</v>
      </c>
      <c r="S554" s="123" t="str">
        <f ca="1">REFERENCIA.Unidade</f>
        <v>-</v>
      </c>
      <c r="T554" s="124">
        <f ca="1">OFFSET(CÁLCULO!H$15,ROW($T554)-ROW(T$15),0)</f>
        <v>46</v>
      </c>
      <c r="U554" s="125">
        <f t="shared" ca="1" si="161"/>
        <v>0</v>
      </c>
      <c r="V554" s="126" t="s">
        <v>156</v>
      </c>
      <c r="W554" s="124">
        <f ca="1">IF($C554="S",ROUND(IF(TIPOORCAMENTO="Proposto",ORÇAMENTO.CustoUnitario*(1+$AH554),ORÇAMENTO.PrecoUnitarioLicitado),15-13*$AF$10),0)</f>
        <v>0</v>
      </c>
      <c r="X554" s="127">
        <f ca="1">IF($C554="S",IF(Import.TipoArredondamento&lt;&gt;"TransfereGOV",VTOTAL1,SUM(OFFSET(CÁLCULO!$AA$15,ROW($X554)-ROW($X$15),1):OFFSET(CÁLCULO!$AL$15,ROW($X554)-ROW($X$15),-1))),IF($C554=0,0,ROUND(SomaAgrup,15-13*$AF$11)))</f>
        <v>0</v>
      </c>
      <c r="Y554" s="128" t="s">
        <v>245</v>
      </c>
      <c r="Z554" t="str">
        <f t="shared" ca="1" si="156"/>
        <v/>
      </c>
      <c r="AA554" s="129">
        <f ca="1">IF($C554="S",IF($Z554="CP",$X554,IF($Z554="RA",(($X554)*QCI!$AA$3),0)),SomaAgrup)</f>
        <v>0</v>
      </c>
      <c r="AB554" s="130">
        <f t="shared" ca="1" si="157"/>
        <v>0</v>
      </c>
      <c r="AC554" s="131" t="str">
        <f ca="1">IF($N554="","",IF(ORÇAMENTO.Descricao="","DESCRIÇÃO",IF(AND($C554="S",ORÇAMENTO.Unidade=""),"UNIDADE",IF($X554&lt;0,"VALOR NEGATIVO",IF(OR(AND(TIPOORCAMENTO="Proposto",$AG554&lt;&gt;"",$AG554&gt;0,ORÇAMENTO.CustoUnitario&gt;$AG554),AND(TIPOORCAMENTO="LICITADO",ORÇAMENTO.PrecoUnitarioLicitado&gt;$AN554)),"ACIMA REF.","")))))</f>
        <v/>
      </c>
      <c r="AD554" t="str">
        <f ca="1">IF(C554&lt;=CRONO.NivelExibicao,MAX($AD$15:OFFSET(AD554,-1,0))+IF($C554&lt;&gt;1,1,MAX(1,COUNTIF(QCI!$A$13:$A$24,OFFSET($E554,-1,0)))),"")</f>
        <v/>
      </c>
      <c r="AE554" s="7" t="str">
        <f ca="1">IF(AND($C554="S",ORÇAMENTO.CodBarra&lt;&gt;""),IF(ORÇAMENTO.Fonte="",ORÇAMENTO.CodBarra,CONCATENATE(ORÇAMENTO.Fonte," ",ORÇAMENTO.CodBarra)))</f>
        <v>SINAPI 93653</v>
      </c>
      <c r="AF554" s="13" t="str">
        <f ca="1">IF(ISERROR(INDIRECT(ORÇAMENTO.BancoRef)),"(abra o arquivo 'Referência "&amp;Excel_BuiltIn_Database&amp;".xlsm)",IF(OR($C554&lt;&gt;"S",ORÇAMENTO.CodBarra=""),"(Sem Código)",IF(ISERROR(MATCH($AE554,INDIRECT(ORÇAMENTO.BancoRef),0)),"(Código não identificado nas referências)",MATCH($AE554,INDIRECT(ORÇAMENTO.BancoRef),0))))</f>
        <v>(abra o arquivo 'Referência 02-2025.xlsm)</v>
      </c>
      <c r="AG554" s="498">
        <f ca="1">ROUND(IF(DESONERACAO="sim",REFERENCIA.Desonerado,REFERENCIA.NaoDesonerado),2)</f>
        <v>0</v>
      </c>
      <c r="AH554" s="499">
        <f t="shared" ca="1" si="158"/>
        <v>0.22470000000000001</v>
      </c>
      <c r="AJ554" s="501">
        <v>46</v>
      </c>
      <c r="AL554" s="527"/>
      <c r="AM554" s="381">
        <f t="shared" ca="1" si="159"/>
        <v>0</v>
      </c>
      <c r="AN554" s="566">
        <f t="shared" ca="1" si="160"/>
        <v>0</v>
      </c>
    </row>
    <row r="555" spans="1:40" ht="25.5" x14ac:dyDescent="0.2">
      <c r="A555" t="str">
        <f t="shared" si="145"/>
        <v>S</v>
      </c>
      <c r="B555">
        <f t="shared" ca="1" si="146"/>
        <v>3</v>
      </c>
      <c r="C555" t="str">
        <f t="shared" ca="1" si="147"/>
        <v>S</v>
      </c>
      <c r="D555">
        <f t="shared" ca="1" si="148"/>
        <v>0</v>
      </c>
      <c r="E555">
        <f ca="1">IF($C555=1,OFFSET(E555,-1,0)+MAX(1,COUNTIF(QCI!$A$13:$A$24,OFFSET(ORÇAMENTO!E555,-1,0))),OFFSET(E555,-1,0))</f>
        <v>1</v>
      </c>
      <c r="F555">
        <f t="shared" ca="1" si="149"/>
        <v>17</v>
      </c>
      <c r="G555">
        <f t="shared" ca="1" si="150"/>
        <v>7</v>
      </c>
      <c r="H555">
        <f t="shared" ca="1" si="151"/>
        <v>0</v>
      </c>
      <c r="I555">
        <f t="shared" ca="1" si="152"/>
        <v>0</v>
      </c>
      <c r="J555">
        <f t="shared" ca="1" si="144"/>
        <v>0</v>
      </c>
      <c r="K555">
        <f ca="1">IF(OR($C555="S",$C555=0),0,MATCH(OFFSET($D555,0,$C555)+IF($C555&lt;&gt;1,1,COUNTIF(QCI!$A$13:$A$24,ORÇAMENTO!E555)),OFFSET($D555,1,$C555,ROW($C$747)-ROW($C555)),0))</f>
        <v>0</v>
      </c>
      <c r="L555" s="116" t="str">
        <f t="shared" ca="1" si="153"/>
        <v/>
      </c>
      <c r="M555" s="117" t="s">
        <v>199</v>
      </c>
      <c r="N555" s="118" t="str">
        <f t="shared" ca="1" si="154"/>
        <v>Serviço</v>
      </c>
      <c r="O555" s="119" t="str">
        <f t="shared" ca="1" si="155"/>
        <v>-</v>
      </c>
      <c r="P555" s="120" t="s">
        <v>247</v>
      </c>
      <c r="Q555" s="121" t="s">
        <v>675</v>
      </c>
      <c r="R555" s="122" t="str">
        <f ca="1">IF($C555="S",REFERENCIA.Descricao,"(digite a descrição aqui)")</f>
        <v>(abra o arquivo 'Referência 02-2025.xlsm)</v>
      </c>
      <c r="S555" s="123" t="str">
        <f ca="1">REFERENCIA.Unidade</f>
        <v>-</v>
      </c>
      <c r="T555" s="124">
        <f ca="1">OFFSET(CÁLCULO!H$15,ROW($T555)-ROW(T$15),0)</f>
        <v>9</v>
      </c>
      <c r="U555" s="125">
        <f t="shared" ca="1" si="161"/>
        <v>0</v>
      </c>
      <c r="V555" s="126" t="s">
        <v>156</v>
      </c>
      <c r="W555" s="124">
        <f ca="1">IF($C555="S",ROUND(IF(TIPOORCAMENTO="Proposto",ORÇAMENTO.CustoUnitario*(1+$AH555),ORÇAMENTO.PrecoUnitarioLicitado),15-13*$AF$10),0)</f>
        <v>0</v>
      </c>
      <c r="X555" s="127">
        <f ca="1">IF($C555="S",IF(Import.TipoArredondamento&lt;&gt;"TransfereGOV",VTOTAL1,SUM(OFFSET(CÁLCULO!$AA$15,ROW($X555)-ROW($X$15),1):OFFSET(CÁLCULO!$AL$15,ROW($X555)-ROW($X$15),-1))),IF($C555=0,0,ROUND(SomaAgrup,15-13*$AF$11)))</f>
        <v>0</v>
      </c>
      <c r="Y555" s="128" t="s">
        <v>245</v>
      </c>
      <c r="Z555" t="str">
        <f t="shared" ca="1" si="156"/>
        <v/>
      </c>
      <c r="AA555" s="129">
        <f ca="1">IF($C555="S",IF($Z555="CP",$X555,IF($Z555="RA",(($X555)*QCI!$AA$3),0)),SomaAgrup)</f>
        <v>0</v>
      </c>
      <c r="AB555" s="130">
        <f t="shared" ca="1" si="157"/>
        <v>0</v>
      </c>
      <c r="AC555" s="131" t="str">
        <f ca="1">IF($N555="","",IF(ORÇAMENTO.Descricao="","DESCRIÇÃO",IF(AND($C555="S",ORÇAMENTO.Unidade=""),"UNIDADE",IF($X555&lt;0,"VALOR NEGATIVO",IF(OR(AND(TIPOORCAMENTO="Proposto",$AG555&lt;&gt;"",$AG555&gt;0,ORÇAMENTO.CustoUnitario&gt;$AG555),AND(TIPOORCAMENTO="LICITADO",ORÇAMENTO.PrecoUnitarioLicitado&gt;$AN555)),"ACIMA REF.","")))))</f>
        <v/>
      </c>
      <c r="AD555" t="str">
        <f ca="1">IF(C555&lt;=CRONO.NivelExibicao,MAX($AD$15:OFFSET(AD555,-1,0))+IF($C555&lt;&gt;1,1,MAX(1,COUNTIF(QCI!$A$13:$A$24,OFFSET($E555,-1,0)))),"")</f>
        <v/>
      </c>
      <c r="AE555" s="7" t="str">
        <f ca="1">IF(AND($C555="S",ORÇAMENTO.CodBarra&lt;&gt;""),IF(ORÇAMENTO.Fonte="",ORÇAMENTO.CodBarra,CONCATENATE(ORÇAMENTO.Fonte," ",ORÇAMENTO.CodBarra)))</f>
        <v>SINAPI 93654</v>
      </c>
      <c r="AF555" s="13" t="str">
        <f ca="1">IF(ISERROR(INDIRECT(ORÇAMENTO.BancoRef)),"(abra o arquivo 'Referência "&amp;Excel_BuiltIn_Database&amp;".xlsm)",IF(OR($C555&lt;&gt;"S",ORÇAMENTO.CodBarra=""),"(Sem Código)",IF(ISERROR(MATCH($AE555,INDIRECT(ORÇAMENTO.BancoRef),0)),"(Código não identificado nas referências)",MATCH($AE555,INDIRECT(ORÇAMENTO.BancoRef),0))))</f>
        <v>(abra o arquivo 'Referência 02-2025.xlsm)</v>
      </c>
      <c r="AG555" s="498">
        <f ca="1">ROUND(IF(DESONERACAO="sim",REFERENCIA.Desonerado,REFERENCIA.NaoDesonerado),2)</f>
        <v>0</v>
      </c>
      <c r="AH555" s="499">
        <f t="shared" ca="1" si="158"/>
        <v>0.22470000000000001</v>
      </c>
      <c r="AJ555" s="501">
        <v>9</v>
      </c>
      <c r="AL555" s="527"/>
      <c r="AM555" s="381">
        <f t="shared" ca="1" si="159"/>
        <v>0</v>
      </c>
      <c r="AN555" s="566">
        <f t="shared" ca="1" si="160"/>
        <v>0</v>
      </c>
    </row>
    <row r="556" spans="1:40" ht="25.5" x14ac:dyDescent="0.2">
      <c r="A556" t="str">
        <f t="shared" si="145"/>
        <v>S</v>
      </c>
      <c r="B556">
        <f t="shared" ca="1" si="146"/>
        <v>3</v>
      </c>
      <c r="C556" t="str">
        <f t="shared" ca="1" si="147"/>
        <v>S</v>
      </c>
      <c r="D556">
        <f t="shared" ca="1" si="148"/>
        <v>0</v>
      </c>
      <c r="E556">
        <f ca="1">IF($C556=1,OFFSET(E556,-1,0)+MAX(1,COUNTIF(QCI!$A$13:$A$24,OFFSET(ORÇAMENTO!E556,-1,0))),OFFSET(E556,-1,0))</f>
        <v>1</v>
      </c>
      <c r="F556">
        <f t="shared" ca="1" si="149"/>
        <v>17</v>
      </c>
      <c r="G556">
        <f t="shared" ca="1" si="150"/>
        <v>7</v>
      </c>
      <c r="H556">
        <f t="shared" ca="1" si="151"/>
        <v>0</v>
      </c>
      <c r="I556">
        <f t="shared" ca="1" si="152"/>
        <v>0</v>
      </c>
      <c r="J556">
        <f t="shared" ca="1" si="144"/>
        <v>0</v>
      </c>
      <c r="K556">
        <f ca="1">IF(OR($C556="S",$C556=0),0,MATCH(OFFSET($D556,0,$C556)+IF($C556&lt;&gt;1,1,COUNTIF(QCI!$A$13:$A$24,ORÇAMENTO!E556)),OFFSET($D556,1,$C556,ROW($C$747)-ROW($C556)),0))</f>
        <v>0</v>
      </c>
      <c r="L556" s="116" t="str">
        <f t="shared" ca="1" si="153"/>
        <v/>
      </c>
      <c r="M556" s="117" t="s">
        <v>199</v>
      </c>
      <c r="N556" s="118" t="str">
        <f t="shared" ca="1" si="154"/>
        <v>Serviço</v>
      </c>
      <c r="O556" s="119" t="str">
        <f t="shared" ca="1" si="155"/>
        <v>-</v>
      </c>
      <c r="P556" s="120" t="s">
        <v>247</v>
      </c>
      <c r="Q556" s="121" t="s">
        <v>676</v>
      </c>
      <c r="R556" s="122" t="str">
        <f ca="1">IF($C556="S",REFERENCIA.Descricao,"(digite a descrição aqui)")</f>
        <v>(abra o arquivo 'Referência 02-2025.xlsm)</v>
      </c>
      <c r="S556" s="123" t="str">
        <f ca="1">REFERENCIA.Unidade</f>
        <v>-</v>
      </c>
      <c r="T556" s="124">
        <f ca="1">OFFSET(CÁLCULO!H$15,ROW($T556)-ROW(T$15),0)</f>
        <v>1</v>
      </c>
      <c r="U556" s="125">
        <f t="shared" ca="1" si="161"/>
        <v>0</v>
      </c>
      <c r="V556" s="126" t="s">
        <v>156</v>
      </c>
      <c r="W556" s="124">
        <f ca="1">IF($C556="S",ROUND(IF(TIPOORCAMENTO="Proposto",ORÇAMENTO.CustoUnitario*(1+$AH556),ORÇAMENTO.PrecoUnitarioLicitado),15-13*$AF$10),0)</f>
        <v>0</v>
      </c>
      <c r="X556" s="127">
        <f ca="1">IF($C556="S",IF(Import.TipoArredondamento&lt;&gt;"TransfereGOV",VTOTAL1,SUM(OFFSET(CÁLCULO!$AA$15,ROW($X556)-ROW($X$15),1):OFFSET(CÁLCULO!$AL$15,ROW($X556)-ROW($X$15),-1))),IF($C556=0,0,ROUND(SomaAgrup,15-13*$AF$11)))</f>
        <v>0</v>
      </c>
      <c r="Y556" s="128" t="s">
        <v>245</v>
      </c>
      <c r="Z556" t="str">
        <f t="shared" ca="1" si="156"/>
        <v/>
      </c>
      <c r="AA556" s="129">
        <f ca="1">IF($C556="S",IF($Z556="CP",$X556,IF($Z556="RA",(($X556)*QCI!$AA$3),0)),SomaAgrup)</f>
        <v>0</v>
      </c>
      <c r="AB556" s="130">
        <f t="shared" ca="1" si="157"/>
        <v>0</v>
      </c>
      <c r="AC556" s="131" t="str">
        <f ca="1">IF($N556="","",IF(ORÇAMENTO.Descricao="","DESCRIÇÃO",IF(AND($C556="S",ORÇAMENTO.Unidade=""),"UNIDADE",IF($X556&lt;0,"VALOR NEGATIVO",IF(OR(AND(TIPOORCAMENTO="Proposto",$AG556&lt;&gt;"",$AG556&gt;0,ORÇAMENTO.CustoUnitario&gt;$AG556),AND(TIPOORCAMENTO="LICITADO",ORÇAMENTO.PrecoUnitarioLicitado&gt;$AN556)),"ACIMA REF.","")))))</f>
        <v/>
      </c>
      <c r="AD556" t="str">
        <f ca="1">IF(C556&lt;=CRONO.NivelExibicao,MAX($AD$15:OFFSET(AD556,-1,0))+IF($C556&lt;&gt;1,1,MAX(1,COUNTIF(QCI!$A$13:$A$24,OFFSET($E556,-1,0)))),"")</f>
        <v/>
      </c>
      <c r="AE556" s="7" t="str">
        <f ca="1">IF(AND($C556="S",ORÇAMENTO.CodBarra&lt;&gt;""),IF(ORÇAMENTO.Fonte="",ORÇAMENTO.CodBarra,CONCATENATE(ORÇAMENTO.Fonte," ",ORÇAMENTO.CodBarra)))</f>
        <v>SINAPI 93656</v>
      </c>
      <c r="AF556" s="13" t="str">
        <f ca="1">IF(ISERROR(INDIRECT(ORÇAMENTO.BancoRef)),"(abra o arquivo 'Referência "&amp;Excel_BuiltIn_Database&amp;".xlsm)",IF(OR($C556&lt;&gt;"S",ORÇAMENTO.CodBarra=""),"(Sem Código)",IF(ISERROR(MATCH($AE556,INDIRECT(ORÇAMENTO.BancoRef),0)),"(Código não identificado nas referências)",MATCH($AE556,INDIRECT(ORÇAMENTO.BancoRef),0))))</f>
        <v>(abra o arquivo 'Referência 02-2025.xlsm)</v>
      </c>
      <c r="AG556" s="498">
        <f ca="1">ROUND(IF(DESONERACAO="sim",REFERENCIA.Desonerado,REFERENCIA.NaoDesonerado),2)</f>
        <v>0</v>
      </c>
      <c r="AH556" s="499">
        <f t="shared" ca="1" si="158"/>
        <v>0.22470000000000001</v>
      </c>
      <c r="AJ556" s="501">
        <v>1</v>
      </c>
      <c r="AL556" s="527"/>
      <c r="AM556" s="381">
        <f t="shared" ca="1" si="159"/>
        <v>0</v>
      </c>
      <c r="AN556" s="566">
        <f t="shared" ca="1" si="160"/>
        <v>0</v>
      </c>
    </row>
    <row r="557" spans="1:40" ht="25.5" x14ac:dyDescent="0.2">
      <c r="A557" t="str">
        <f t="shared" si="145"/>
        <v>S</v>
      </c>
      <c r="B557">
        <f t="shared" ca="1" si="146"/>
        <v>3</v>
      </c>
      <c r="C557" t="str">
        <f t="shared" ca="1" si="147"/>
        <v>S</v>
      </c>
      <c r="D557">
        <f t="shared" ca="1" si="148"/>
        <v>0</v>
      </c>
      <c r="E557">
        <f ca="1">IF($C557=1,OFFSET(E557,-1,0)+MAX(1,COUNTIF(QCI!$A$13:$A$24,OFFSET(ORÇAMENTO!E557,-1,0))),OFFSET(E557,-1,0))</f>
        <v>1</v>
      </c>
      <c r="F557">
        <f t="shared" ca="1" si="149"/>
        <v>17</v>
      </c>
      <c r="G557">
        <f t="shared" ca="1" si="150"/>
        <v>7</v>
      </c>
      <c r="H557">
        <f t="shared" ca="1" si="151"/>
        <v>0</v>
      </c>
      <c r="I557">
        <f t="shared" ca="1" si="152"/>
        <v>0</v>
      </c>
      <c r="J557">
        <f t="shared" ca="1" si="144"/>
        <v>0</v>
      </c>
      <c r="K557">
        <f ca="1">IF(OR($C557="S",$C557=0),0,MATCH(OFFSET($D557,0,$C557)+IF($C557&lt;&gt;1,1,COUNTIF(QCI!$A$13:$A$24,ORÇAMENTO!E557)),OFFSET($D557,1,$C557,ROW($C$747)-ROW($C557)),0))</f>
        <v>0</v>
      </c>
      <c r="L557" s="116" t="str">
        <f t="shared" ca="1" si="153"/>
        <v/>
      </c>
      <c r="M557" s="117" t="s">
        <v>199</v>
      </c>
      <c r="N557" s="118" t="str">
        <f t="shared" ca="1" si="154"/>
        <v>Serviço</v>
      </c>
      <c r="O557" s="119" t="str">
        <f t="shared" ca="1" si="155"/>
        <v>-</v>
      </c>
      <c r="P557" s="120" t="s">
        <v>247</v>
      </c>
      <c r="Q557" s="121" t="s">
        <v>681</v>
      </c>
      <c r="R557" s="122" t="str">
        <f ca="1">IF($C557="S",REFERENCIA.Descricao,"(digite a descrição aqui)")</f>
        <v>(abra o arquivo 'Referência 02-2025.xlsm)</v>
      </c>
      <c r="S557" s="123" t="str">
        <f ca="1">REFERENCIA.Unidade</f>
        <v>-</v>
      </c>
      <c r="T557" s="124">
        <f ca="1">OFFSET(CÁLCULO!H$15,ROW($T557)-ROW(T$15),0)</f>
        <v>4</v>
      </c>
      <c r="U557" s="125">
        <f t="shared" ca="1" si="161"/>
        <v>0</v>
      </c>
      <c r="V557" s="126" t="s">
        <v>156</v>
      </c>
      <c r="W557" s="124">
        <f ca="1">IF($C557="S",ROUND(IF(TIPOORCAMENTO="Proposto",ORÇAMENTO.CustoUnitario*(1+$AH557),ORÇAMENTO.PrecoUnitarioLicitado),15-13*$AF$10),0)</f>
        <v>0</v>
      </c>
      <c r="X557" s="127">
        <f ca="1">IF($C557="S",IF(Import.TipoArredondamento&lt;&gt;"TransfereGOV",VTOTAL1,SUM(OFFSET(CÁLCULO!$AA$15,ROW($X557)-ROW($X$15),1):OFFSET(CÁLCULO!$AL$15,ROW($X557)-ROW($X$15),-1))),IF($C557=0,0,ROUND(SomaAgrup,15-13*$AF$11)))</f>
        <v>0</v>
      </c>
      <c r="Y557" s="128" t="s">
        <v>245</v>
      </c>
      <c r="Z557" t="str">
        <f t="shared" ca="1" si="156"/>
        <v/>
      </c>
      <c r="AA557" s="129">
        <f ca="1">IF($C557="S",IF($Z557="CP",$X557,IF($Z557="RA",(($X557)*QCI!$AA$3),0)),SomaAgrup)</f>
        <v>0</v>
      </c>
      <c r="AB557" s="130">
        <f t="shared" ca="1" si="157"/>
        <v>0</v>
      </c>
      <c r="AC557" s="131" t="str">
        <f ca="1">IF($N557="","",IF(ORÇAMENTO.Descricao="","DESCRIÇÃO",IF(AND($C557="S",ORÇAMENTO.Unidade=""),"UNIDADE",IF($X557&lt;0,"VALOR NEGATIVO",IF(OR(AND(TIPOORCAMENTO="Proposto",$AG557&lt;&gt;"",$AG557&gt;0,ORÇAMENTO.CustoUnitario&gt;$AG557),AND(TIPOORCAMENTO="LICITADO",ORÇAMENTO.PrecoUnitarioLicitado&gt;$AN557)),"ACIMA REF.","")))))</f>
        <v/>
      </c>
      <c r="AD557" t="str">
        <f ca="1">IF(C557&lt;=CRONO.NivelExibicao,MAX($AD$15:OFFSET(AD557,-1,0))+IF($C557&lt;&gt;1,1,MAX(1,COUNTIF(QCI!$A$13:$A$24,OFFSET($E557,-1,0)))),"")</f>
        <v/>
      </c>
      <c r="AE557" s="7" t="str">
        <f ca="1">IF(AND($C557="S",ORÇAMENTO.CodBarra&lt;&gt;""),IF(ORÇAMENTO.Fonte="",ORÇAMENTO.CodBarra,CONCATENATE(ORÇAMENTO.Fonte," ",ORÇAMENTO.CodBarra)))</f>
        <v>SINAPI 101895</v>
      </c>
      <c r="AF557" s="13" t="str">
        <f ca="1">IF(ISERROR(INDIRECT(ORÇAMENTO.BancoRef)),"(abra o arquivo 'Referência "&amp;Excel_BuiltIn_Database&amp;".xlsm)",IF(OR($C557&lt;&gt;"S",ORÇAMENTO.CodBarra=""),"(Sem Código)",IF(ISERROR(MATCH($AE557,INDIRECT(ORÇAMENTO.BancoRef),0)),"(Código não identificado nas referências)",MATCH($AE557,INDIRECT(ORÇAMENTO.BancoRef),0))))</f>
        <v>(abra o arquivo 'Referência 02-2025.xlsm)</v>
      </c>
      <c r="AG557" s="498">
        <f ca="1">ROUND(IF(DESONERACAO="sim",REFERENCIA.Desonerado,REFERENCIA.NaoDesonerado),2)</f>
        <v>0</v>
      </c>
      <c r="AH557" s="499">
        <f t="shared" ca="1" si="158"/>
        <v>0.22470000000000001</v>
      </c>
      <c r="AJ557" s="501">
        <v>4</v>
      </c>
      <c r="AL557" s="527"/>
      <c r="AM557" s="381">
        <f t="shared" ca="1" si="159"/>
        <v>0</v>
      </c>
      <c r="AN557" s="566">
        <f t="shared" ca="1" si="160"/>
        <v>0</v>
      </c>
    </row>
    <row r="558" spans="1:40" ht="25.5" x14ac:dyDescent="0.2">
      <c r="A558" t="str">
        <f t="shared" si="145"/>
        <v>S</v>
      </c>
      <c r="B558">
        <f t="shared" ca="1" si="146"/>
        <v>3</v>
      </c>
      <c r="C558" t="str">
        <f t="shared" ca="1" si="147"/>
        <v>S</v>
      </c>
      <c r="D558">
        <f t="shared" ca="1" si="148"/>
        <v>0</v>
      </c>
      <c r="E558">
        <f ca="1">IF($C558=1,OFFSET(E558,-1,0)+MAX(1,COUNTIF(QCI!$A$13:$A$24,OFFSET(ORÇAMENTO!E558,-1,0))),OFFSET(E558,-1,0))</f>
        <v>1</v>
      </c>
      <c r="F558">
        <f t="shared" ca="1" si="149"/>
        <v>17</v>
      </c>
      <c r="G558">
        <f t="shared" ca="1" si="150"/>
        <v>7</v>
      </c>
      <c r="H558">
        <f t="shared" ca="1" si="151"/>
        <v>0</v>
      </c>
      <c r="I558">
        <f t="shared" ca="1" si="152"/>
        <v>0</v>
      </c>
      <c r="J558">
        <f t="shared" ca="1" si="144"/>
        <v>0</v>
      </c>
      <c r="K558">
        <f ca="1">IF(OR($C558="S",$C558=0),0,MATCH(OFFSET($D558,0,$C558)+IF($C558&lt;&gt;1,1,COUNTIF(QCI!$A$13:$A$24,ORÇAMENTO!E558)),OFFSET($D558,1,$C558,ROW($C$747)-ROW($C558)),0))</f>
        <v>0</v>
      </c>
      <c r="L558" s="116" t="str">
        <f t="shared" ca="1" si="153"/>
        <v/>
      </c>
      <c r="M558" s="117" t="s">
        <v>199</v>
      </c>
      <c r="N558" s="118" t="str">
        <f t="shared" ca="1" si="154"/>
        <v>Serviço</v>
      </c>
      <c r="O558" s="119" t="str">
        <f t="shared" ca="1" si="155"/>
        <v>-</v>
      </c>
      <c r="P558" s="120" t="s">
        <v>247</v>
      </c>
      <c r="Q558" s="121" t="s">
        <v>682</v>
      </c>
      <c r="R558" s="122" t="str">
        <f ca="1">IF($C558="S",REFERENCIA.Descricao,"(digite a descrição aqui)")</f>
        <v>(abra o arquivo 'Referência 02-2025.xlsm)</v>
      </c>
      <c r="S558" s="123" t="str">
        <f ca="1">REFERENCIA.Unidade</f>
        <v>-</v>
      </c>
      <c r="T558" s="124">
        <f ca="1">OFFSET(CÁLCULO!H$15,ROW($T558)-ROW(T$15),0)</f>
        <v>2</v>
      </c>
      <c r="U558" s="125">
        <f t="shared" ca="1" si="161"/>
        <v>0</v>
      </c>
      <c r="V558" s="126" t="s">
        <v>156</v>
      </c>
      <c r="W558" s="124">
        <f ca="1">IF($C558="S",ROUND(IF(TIPOORCAMENTO="Proposto",ORÇAMENTO.CustoUnitario*(1+$AH558),ORÇAMENTO.PrecoUnitarioLicitado),15-13*$AF$10),0)</f>
        <v>0</v>
      </c>
      <c r="X558" s="127">
        <f ca="1">IF($C558="S",IF(Import.TipoArredondamento&lt;&gt;"TransfereGOV",VTOTAL1,SUM(OFFSET(CÁLCULO!$AA$15,ROW($X558)-ROW($X$15),1):OFFSET(CÁLCULO!$AL$15,ROW($X558)-ROW($X$15),-1))),IF($C558=0,0,ROUND(SomaAgrup,15-13*$AF$11)))</f>
        <v>0</v>
      </c>
      <c r="Y558" s="128" t="s">
        <v>245</v>
      </c>
      <c r="Z558" t="str">
        <f t="shared" ca="1" si="156"/>
        <v/>
      </c>
      <c r="AA558" s="129">
        <f ca="1">IF($C558="S",IF($Z558="CP",$X558,IF($Z558="RA",(($X558)*QCI!$AA$3),0)),SomaAgrup)</f>
        <v>0</v>
      </c>
      <c r="AB558" s="130">
        <f t="shared" ca="1" si="157"/>
        <v>0</v>
      </c>
      <c r="AC558" s="131" t="str">
        <f ca="1">IF($N558="","",IF(ORÇAMENTO.Descricao="","DESCRIÇÃO",IF(AND($C558="S",ORÇAMENTO.Unidade=""),"UNIDADE",IF($X558&lt;0,"VALOR NEGATIVO",IF(OR(AND(TIPOORCAMENTO="Proposto",$AG558&lt;&gt;"",$AG558&gt;0,ORÇAMENTO.CustoUnitario&gt;$AG558),AND(TIPOORCAMENTO="LICITADO",ORÇAMENTO.PrecoUnitarioLicitado&gt;$AN558)),"ACIMA REF.","")))))</f>
        <v/>
      </c>
      <c r="AD558" t="str">
        <f ca="1">IF(C558&lt;=CRONO.NivelExibicao,MAX($AD$15:OFFSET(AD558,-1,0))+IF($C558&lt;&gt;1,1,MAX(1,COUNTIF(QCI!$A$13:$A$24,OFFSET($E558,-1,0)))),"")</f>
        <v/>
      </c>
      <c r="AE558" s="7" t="str">
        <f ca="1">IF(AND($C558="S",ORÇAMENTO.CodBarra&lt;&gt;""),IF(ORÇAMENTO.Fonte="",ORÇAMENTO.CodBarra,CONCATENATE(ORÇAMENTO.Fonte," ",ORÇAMENTO.CodBarra)))</f>
        <v>SINAPI 93668</v>
      </c>
      <c r="AF558" s="13" t="str">
        <f ca="1">IF(ISERROR(INDIRECT(ORÇAMENTO.BancoRef)),"(abra o arquivo 'Referência "&amp;Excel_BuiltIn_Database&amp;".xlsm)",IF(OR($C558&lt;&gt;"S",ORÇAMENTO.CodBarra=""),"(Sem Código)",IF(ISERROR(MATCH($AE558,INDIRECT(ORÇAMENTO.BancoRef),0)),"(Código não identificado nas referências)",MATCH($AE558,INDIRECT(ORÇAMENTO.BancoRef),0))))</f>
        <v>(abra o arquivo 'Referência 02-2025.xlsm)</v>
      </c>
      <c r="AG558" s="498">
        <f ca="1">ROUND(IF(DESONERACAO="sim",REFERENCIA.Desonerado,REFERENCIA.NaoDesonerado),2)</f>
        <v>0</v>
      </c>
      <c r="AH558" s="499">
        <f t="shared" ca="1" si="158"/>
        <v>0.22470000000000001</v>
      </c>
      <c r="AJ558" s="501">
        <v>2</v>
      </c>
      <c r="AL558" s="527"/>
      <c r="AM558" s="381">
        <f t="shared" ca="1" si="159"/>
        <v>0</v>
      </c>
      <c r="AN558" s="566">
        <f t="shared" ca="1" si="160"/>
        <v>0</v>
      </c>
    </row>
    <row r="559" spans="1:40" ht="25.5" x14ac:dyDescent="0.2">
      <c r="A559" t="str">
        <f t="shared" si="145"/>
        <v>S</v>
      </c>
      <c r="B559">
        <f t="shared" ca="1" si="146"/>
        <v>3</v>
      </c>
      <c r="C559" t="str">
        <f t="shared" ca="1" si="147"/>
        <v>S</v>
      </c>
      <c r="D559">
        <f t="shared" ca="1" si="148"/>
        <v>0</v>
      </c>
      <c r="E559">
        <f ca="1">IF($C559=1,OFFSET(E559,-1,0)+MAX(1,COUNTIF(QCI!$A$13:$A$24,OFFSET(ORÇAMENTO!E559,-1,0))),OFFSET(E559,-1,0))</f>
        <v>1</v>
      </c>
      <c r="F559">
        <f t="shared" ca="1" si="149"/>
        <v>17</v>
      </c>
      <c r="G559">
        <f t="shared" ca="1" si="150"/>
        <v>7</v>
      </c>
      <c r="H559">
        <f t="shared" ca="1" si="151"/>
        <v>0</v>
      </c>
      <c r="I559">
        <f t="shared" ca="1" si="152"/>
        <v>0</v>
      </c>
      <c r="J559">
        <f t="shared" ca="1" si="144"/>
        <v>0</v>
      </c>
      <c r="K559">
        <f ca="1">IF(OR($C559="S",$C559=0),0,MATCH(OFFSET($D559,0,$C559)+IF($C559&lt;&gt;1,1,COUNTIF(QCI!$A$13:$A$24,ORÇAMENTO!E559)),OFFSET($D559,1,$C559,ROW($C$747)-ROW($C559)),0))</f>
        <v>0</v>
      </c>
      <c r="L559" s="116" t="str">
        <f t="shared" ca="1" si="153"/>
        <v/>
      </c>
      <c r="M559" s="117" t="s">
        <v>199</v>
      </c>
      <c r="N559" s="118" t="str">
        <f t="shared" ca="1" si="154"/>
        <v>Serviço</v>
      </c>
      <c r="O559" s="119" t="str">
        <f t="shared" ca="1" si="155"/>
        <v>-</v>
      </c>
      <c r="P559" s="120" t="s">
        <v>247</v>
      </c>
      <c r="Q559" s="121" t="s">
        <v>685</v>
      </c>
      <c r="R559" s="122" t="str">
        <f ca="1">IF($C559="S",REFERENCIA.Descricao,"(digite a descrição aqui)")</f>
        <v>(abra o arquivo 'Referência 02-2025.xlsm)</v>
      </c>
      <c r="S559" s="123" t="str">
        <f ca="1">REFERENCIA.Unidade</f>
        <v>-</v>
      </c>
      <c r="T559" s="124">
        <f ca="1">OFFSET(CÁLCULO!H$15,ROW($T559)-ROW(T$15),0)</f>
        <v>2</v>
      </c>
      <c r="U559" s="125">
        <f t="shared" ca="1" si="161"/>
        <v>0</v>
      </c>
      <c r="V559" s="126" t="s">
        <v>156</v>
      </c>
      <c r="W559" s="124">
        <f ca="1">IF($C559="S",ROUND(IF(TIPOORCAMENTO="Proposto",ORÇAMENTO.CustoUnitario*(1+$AH559),ORÇAMENTO.PrecoUnitarioLicitado),15-13*$AF$10),0)</f>
        <v>0</v>
      </c>
      <c r="X559" s="127">
        <f ca="1">IF($C559="S",IF(Import.TipoArredondamento&lt;&gt;"TransfereGOV",VTOTAL1,SUM(OFFSET(CÁLCULO!$AA$15,ROW($X559)-ROW($X$15),1):OFFSET(CÁLCULO!$AL$15,ROW($X559)-ROW($X$15),-1))),IF($C559=0,0,ROUND(SomaAgrup,15-13*$AF$11)))</f>
        <v>0</v>
      </c>
      <c r="Y559" s="128" t="s">
        <v>245</v>
      </c>
      <c r="Z559" t="str">
        <f t="shared" ca="1" si="156"/>
        <v/>
      </c>
      <c r="AA559" s="129">
        <f ca="1">IF($C559="S",IF($Z559="CP",$X559,IF($Z559="RA",(($X559)*QCI!$AA$3),0)),SomaAgrup)</f>
        <v>0</v>
      </c>
      <c r="AB559" s="130">
        <f t="shared" ca="1" si="157"/>
        <v>0</v>
      </c>
      <c r="AC559" s="131" t="str">
        <f ca="1">IF($N559="","",IF(ORÇAMENTO.Descricao="","DESCRIÇÃO",IF(AND($C559="S",ORÇAMENTO.Unidade=""),"UNIDADE",IF($X559&lt;0,"VALOR NEGATIVO",IF(OR(AND(TIPOORCAMENTO="Proposto",$AG559&lt;&gt;"",$AG559&gt;0,ORÇAMENTO.CustoUnitario&gt;$AG559),AND(TIPOORCAMENTO="LICITADO",ORÇAMENTO.PrecoUnitarioLicitado&gt;$AN559)),"ACIMA REF.","")))))</f>
        <v/>
      </c>
      <c r="AD559" t="str">
        <f ca="1">IF(C559&lt;=CRONO.NivelExibicao,MAX($AD$15:OFFSET(AD559,-1,0))+IF($C559&lt;&gt;1,1,MAX(1,COUNTIF(QCI!$A$13:$A$24,OFFSET($E559,-1,0)))),"")</f>
        <v/>
      </c>
      <c r="AE559" s="7" t="str">
        <f ca="1">IF(AND($C559="S",ORÇAMENTO.CodBarra&lt;&gt;""),IF(ORÇAMENTO.Fonte="",ORÇAMENTO.CodBarra,CONCATENATE(ORÇAMENTO.Fonte," ",ORÇAMENTO.CodBarra)))</f>
        <v>SINAPI 101894</v>
      </c>
      <c r="AF559" s="13" t="str">
        <f ca="1">IF(ISERROR(INDIRECT(ORÇAMENTO.BancoRef)),"(abra o arquivo 'Referência "&amp;Excel_BuiltIn_Database&amp;".xlsm)",IF(OR($C559&lt;&gt;"S",ORÇAMENTO.CodBarra=""),"(Sem Código)",IF(ISERROR(MATCH($AE559,INDIRECT(ORÇAMENTO.BancoRef),0)),"(Código não identificado nas referências)",MATCH($AE559,INDIRECT(ORÇAMENTO.BancoRef),0))))</f>
        <v>(abra o arquivo 'Referência 02-2025.xlsm)</v>
      </c>
      <c r="AG559" s="498">
        <f ca="1">ROUND(IF(DESONERACAO="sim",REFERENCIA.Desonerado,REFERENCIA.NaoDesonerado),2)</f>
        <v>0</v>
      </c>
      <c r="AH559" s="499">
        <f t="shared" ca="1" si="158"/>
        <v>0.22470000000000001</v>
      </c>
      <c r="AJ559" s="501">
        <v>2</v>
      </c>
      <c r="AL559" s="527"/>
      <c r="AM559" s="381">
        <f t="shared" ca="1" si="159"/>
        <v>0</v>
      </c>
      <c r="AN559" s="566">
        <f t="shared" ca="1" si="160"/>
        <v>0</v>
      </c>
    </row>
    <row r="560" spans="1:40" x14ac:dyDescent="0.2">
      <c r="A560" t="str">
        <f t="shared" si="145"/>
        <v>S</v>
      </c>
      <c r="B560">
        <f t="shared" ca="1" si="146"/>
        <v>3</v>
      </c>
      <c r="C560" t="str">
        <f t="shared" ca="1" si="147"/>
        <v>S</v>
      </c>
      <c r="D560">
        <f t="shared" ca="1" si="148"/>
        <v>0</v>
      </c>
      <c r="E560">
        <f ca="1">IF($C560=1,OFFSET(E560,-1,0)+MAX(1,COUNTIF(QCI!$A$13:$A$24,OFFSET(ORÇAMENTO!E560,-1,0))),OFFSET(E560,-1,0))</f>
        <v>1</v>
      </c>
      <c r="F560">
        <f t="shared" ca="1" si="149"/>
        <v>17</v>
      </c>
      <c r="G560">
        <f t="shared" ca="1" si="150"/>
        <v>7</v>
      </c>
      <c r="H560">
        <f t="shared" ca="1" si="151"/>
        <v>0</v>
      </c>
      <c r="I560">
        <f t="shared" ca="1" si="152"/>
        <v>0</v>
      </c>
      <c r="J560">
        <f t="shared" ca="1" si="144"/>
        <v>0</v>
      </c>
      <c r="K560">
        <f ca="1">IF(OR($C560="S",$C560=0),0,MATCH(OFFSET($D560,0,$C560)+IF($C560&lt;&gt;1,1,COUNTIF(QCI!$A$13:$A$24,ORÇAMENTO!E560)),OFFSET($D560,1,$C560,ROW($C$747)-ROW($C560)),0))</f>
        <v>0</v>
      </c>
      <c r="L560" s="116" t="str">
        <f t="shared" ca="1" si="153"/>
        <v/>
      </c>
      <c r="M560" s="117" t="s">
        <v>199</v>
      </c>
      <c r="N560" s="118" t="str">
        <f t="shared" ca="1" si="154"/>
        <v>Serviço</v>
      </c>
      <c r="O560" s="119" t="str">
        <f t="shared" ca="1" si="155"/>
        <v>-</v>
      </c>
      <c r="P560" s="120" t="s">
        <v>712</v>
      </c>
      <c r="Q560" s="121" t="s">
        <v>849</v>
      </c>
      <c r="R560" s="122" t="str">
        <f ca="1">IF($C560="S",REFERENCIA.Descricao,"(digite a descrição aqui)")</f>
        <v>(abra o arquivo 'Referência 02-2025.xlsm)</v>
      </c>
      <c r="S560" s="123" t="str">
        <f ca="1">REFERENCIA.Unidade</f>
        <v>-</v>
      </c>
      <c r="T560" s="124">
        <f ca="1">OFFSET(CÁLCULO!H$15,ROW($T560)-ROW(T$15),0)</f>
        <v>36</v>
      </c>
      <c r="U560" s="125">
        <f t="shared" ca="1" si="161"/>
        <v>0</v>
      </c>
      <c r="V560" s="126" t="s">
        <v>156</v>
      </c>
      <c r="W560" s="124">
        <f ca="1">IF($C560="S",ROUND(IF(TIPOORCAMENTO="Proposto",ORÇAMENTO.CustoUnitario*(1+$AH560),ORÇAMENTO.PrecoUnitarioLicitado),15-13*$AF$10),0)</f>
        <v>0</v>
      </c>
      <c r="X560" s="127">
        <f ca="1">IF($C560="S",IF(Import.TipoArredondamento&lt;&gt;"TransfereGOV",VTOTAL1,SUM(OFFSET(CÁLCULO!$AA$15,ROW($X560)-ROW($X$15),1):OFFSET(CÁLCULO!$AL$15,ROW($X560)-ROW($X$15),-1))),IF($C560=0,0,ROUND(SomaAgrup,15-13*$AF$11)))</f>
        <v>0</v>
      </c>
      <c r="Y560" s="128" t="s">
        <v>245</v>
      </c>
      <c r="Z560" t="str">
        <f t="shared" ca="1" si="156"/>
        <v/>
      </c>
      <c r="AA560" s="129">
        <f ca="1">IF($C560="S",IF($Z560="CP",$X560,IF($Z560="RA",(($X560)*QCI!$AA$3),0)),SomaAgrup)</f>
        <v>0</v>
      </c>
      <c r="AB560" s="130">
        <f t="shared" ca="1" si="157"/>
        <v>0</v>
      </c>
      <c r="AC560" s="131" t="str">
        <f ca="1">IF($N560="","",IF(ORÇAMENTO.Descricao="","DESCRIÇÃO",IF(AND($C560="S",ORÇAMENTO.Unidade=""),"UNIDADE",IF($X560&lt;0,"VALOR NEGATIVO",IF(OR(AND(TIPOORCAMENTO="Proposto",$AG560&lt;&gt;"",$AG560&gt;0,ORÇAMENTO.CustoUnitario&gt;$AG560),AND(TIPOORCAMENTO="LICITADO",ORÇAMENTO.PrecoUnitarioLicitado&gt;$AN560)),"ACIMA REF.","")))))</f>
        <v/>
      </c>
      <c r="AD560" t="str">
        <f ca="1">IF(C560&lt;=CRONO.NivelExibicao,MAX($AD$15:OFFSET(AD560,-1,0))+IF($C560&lt;&gt;1,1,MAX(1,COUNTIF(QCI!$A$13:$A$24,OFFSET($E560,-1,0)))),"")</f>
        <v/>
      </c>
      <c r="AE560" s="7" t="str">
        <f ca="1">IF(AND($C560="S",ORÇAMENTO.CodBarra&lt;&gt;""),IF(ORÇAMENTO.Fonte="",ORÇAMENTO.CodBarra,CONCATENATE(ORÇAMENTO.Fonte," ",ORÇAMENTO.CodBarra)))</f>
        <v>Composição FNDE 22</v>
      </c>
      <c r="AF560" s="13" t="str">
        <f ca="1">IF(ISERROR(INDIRECT(ORÇAMENTO.BancoRef)),"(abra o arquivo 'Referência "&amp;Excel_BuiltIn_Database&amp;".xlsm)",IF(OR($C560&lt;&gt;"S",ORÇAMENTO.CodBarra=""),"(Sem Código)",IF(ISERROR(MATCH($AE560,INDIRECT(ORÇAMENTO.BancoRef),0)),"(Código não identificado nas referências)",MATCH($AE560,INDIRECT(ORÇAMENTO.BancoRef),0))))</f>
        <v>(abra o arquivo 'Referência 02-2025.xlsm)</v>
      </c>
      <c r="AG560" s="498">
        <f ca="1">ROUND(IF(DESONERACAO="sim",REFERENCIA.Desonerado,REFERENCIA.NaoDesonerado),2)</f>
        <v>0</v>
      </c>
      <c r="AH560" s="499">
        <f t="shared" ca="1" si="158"/>
        <v>0.22470000000000001</v>
      </c>
      <c r="AJ560" s="501">
        <v>36</v>
      </c>
      <c r="AL560" s="527"/>
      <c r="AM560" s="381">
        <f t="shared" ca="1" si="159"/>
        <v>0</v>
      </c>
      <c r="AN560" s="566">
        <f t="shared" ca="1" si="160"/>
        <v>0</v>
      </c>
    </row>
    <row r="561" spans="1:40" ht="25.5" x14ac:dyDescent="0.2">
      <c r="A561" t="str">
        <f t="shared" si="145"/>
        <v>S</v>
      </c>
      <c r="B561">
        <f t="shared" ca="1" si="146"/>
        <v>3</v>
      </c>
      <c r="C561" t="str">
        <f t="shared" ca="1" si="147"/>
        <v>S</v>
      </c>
      <c r="D561">
        <f t="shared" ca="1" si="148"/>
        <v>0</v>
      </c>
      <c r="E561">
        <f ca="1">IF($C561=1,OFFSET(E561,-1,0)+MAX(1,COUNTIF(QCI!$A$13:$A$24,OFFSET(ORÇAMENTO!E561,-1,0))),OFFSET(E561,-1,0))</f>
        <v>1</v>
      </c>
      <c r="F561">
        <f t="shared" ca="1" si="149"/>
        <v>17</v>
      </c>
      <c r="G561">
        <f t="shared" ca="1" si="150"/>
        <v>7</v>
      </c>
      <c r="H561">
        <f t="shared" ca="1" si="151"/>
        <v>0</v>
      </c>
      <c r="I561">
        <f t="shared" ca="1" si="152"/>
        <v>0</v>
      </c>
      <c r="J561">
        <f t="shared" ca="1" si="144"/>
        <v>0</v>
      </c>
      <c r="K561">
        <f ca="1">IF(OR($C561="S",$C561=0),0,MATCH(OFFSET($D561,0,$C561)+IF($C561&lt;&gt;1,1,COUNTIF(QCI!$A$13:$A$24,ORÇAMENTO!E561)),OFFSET($D561,1,$C561,ROW($C$747)-ROW($C561)),0))</f>
        <v>0</v>
      </c>
      <c r="L561" s="116" t="str">
        <f t="shared" ca="1" si="153"/>
        <v/>
      </c>
      <c r="M561" s="117" t="s">
        <v>199</v>
      </c>
      <c r="N561" s="118" t="str">
        <f t="shared" ca="1" si="154"/>
        <v>Serviço</v>
      </c>
      <c r="O561" s="119" t="str">
        <f t="shared" ca="1" si="155"/>
        <v>-</v>
      </c>
      <c r="P561" s="120" t="s">
        <v>712</v>
      </c>
      <c r="Q561" s="121" t="s">
        <v>850</v>
      </c>
      <c r="R561" s="122" t="str">
        <f ca="1">IF($C561="S",REFERENCIA.Descricao,"(digite a descrição aqui)")</f>
        <v>(abra o arquivo 'Referência 02-2025.xlsm)</v>
      </c>
      <c r="S561" s="123" t="str">
        <f ca="1">REFERENCIA.Unidade</f>
        <v>-</v>
      </c>
      <c r="T561" s="124">
        <f ca="1">OFFSET(CÁLCULO!H$15,ROW($T561)-ROW(T$15),0)</f>
        <v>2</v>
      </c>
      <c r="U561" s="125">
        <f t="shared" ca="1" si="161"/>
        <v>0</v>
      </c>
      <c r="V561" s="126" t="s">
        <v>156</v>
      </c>
      <c r="W561" s="124">
        <f ca="1">IF($C561="S",ROUND(IF(TIPOORCAMENTO="Proposto",ORÇAMENTO.CustoUnitario*(1+$AH561),ORÇAMENTO.PrecoUnitarioLicitado),15-13*$AF$10),0)</f>
        <v>0</v>
      </c>
      <c r="X561" s="127">
        <f ca="1">IF($C561="S",IF(Import.TipoArredondamento&lt;&gt;"TransfereGOV",VTOTAL1,SUM(OFFSET(CÁLCULO!$AA$15,ROW($X561)-ROW($X$15),1):OFFSET(CÁLCULO!$AL$15,ROW($X561)-ROW($X$15),-1))),IF($C561=0,0,ROUND(SomaAgrup,15-13*$AF$11)))</f>
        <v>0</v>
      </c>
      <c r="Y561" s="128" t="s">
        <v>245</v>
      </c>
      <c r="Z561" t="str">
        <f t="shared" ca="1" si="156"/>
        <v/>
      </c>
      <c r="AA561" s="129">
        <f ca="1">IF($C561="S",IF($Z561="CP",$X561,IF($Z561="RA",(($X561)*QCI!$AA$3),0)),SomaAgrup)</f>
        <v>0</v>
      </c>
      <c r="AB561" s="130">
        <f t="shared" ca="1" si="157"/>
        <v>0</v>
      </c>
      <c r="AC561" s="131" t="str">
        <f ca="1">IF($N561="","",IF(ORÇAMENTO.Descricao="","DESCRIÇÃO",IF(AND($C561="S",ORÇAMENTO.Unidade=""),"UNIDADE",IF($X561&lt;0,"VALOR NEGATIVO",IF(OR(AND(TIPOORCAMENTO="Proposto",$AG561&lt;&gt;"",$AG561&gt;0,ORÇAMENTO.CustoUnitario&gt;$AG561),AND(TIPOORCAMENTO="LICITADO",ORÇAMENTO.PrecoUnitarioLicitado&gt;$AN561)),"ACIMA REF.","")))))</f>
        <v/>
      </c>
      <c r="AD561" t="str">
        <f ca="1">IF(C561&lt;=CRONO.NivelExibicao,MAX($AD$15:OFFSET(AD561,-1,0))+IF($C561&lt;&gt;1,1,MAX(1,COUNTIF(QCI!$A$13:$A$24,OFFSET($E561,-1,0)))),"")</f>
        <v/>
      </c>
      <c r="AE561" s="7" t="str">
        <f ca="1">IF(AND($C561="S",ORÇAMENTO.CodBarra&lt;&gt;""),IF(ORÇAMENTO.Fonte="",ORÇAMENTO.CodBarra,CONCATENATE(ORÇAMENTO.Fonte," ",ORÇAMENTO.CodBarra)))</f>
        <v>Composição 93676</v>
      </c>
      <c r="AF561" s="13" t="str">
        <f ca="1">IF(ISERROR(INDIRECT(ORÇAMENTO.BancoRef)),"(abra o arquivo 'Referência "&amp;Excel_BuiltIn_Database&amp;".xlsm)",IF(OR($C561&lt;&gt;"S",ORÇAMENTO.CodBarra=""),"(Sem Código)",IF(ISERROR(MATCH($AE561,INDIRECT(ORÇAMENTO.BancoRef),0)),"(Código não identificado nas referências)",MATCH($AE561,INDIRECT(ORÇAMENTO.BancoRef),0))))</f>
        <v>(abra o arquivo 'Referência 02-2025.xlsm)</v>
      </c>
      <c r="AG561" s="498">
        <f ca="1">ROUND(IF(DESONERACAO="sim",REFERENCIA.Desonerado,REFERENCIA.NaoDesonerado),2)</f>
        <v>0</v>
      </c>
      <c r="AH561" s="499">
        <f t="shared" ca="1" si="158"/>
        <v>0.22470000000000001</v>
      </c>
      <c r="AJ561" s="501">
        <v>2</v>
      </c>
      <c r="AL561" s="527"/>
      <c r="AM561" s="381">
        <f t="shared" ca="1" si="159"/>
        <v>0</v>
      </c>
      <c r="AN561" s="566">
        <f t="shared" ca="1" si="160"/>
        <v>0</v>
      </c>
    </row>
    <row r="562" spans="1:40" ht="25.5" x14ac:dyDescent="0.2">
      <c r="A562" t="str">
        <f t="shared" si="145"/>
        <v>S</v>
      </c>
      <c r="B562">
        <f t="shared" ca="1" si="146"/>
        <v>3</v>
      </c>
      <c r="C562" t="str">
        <f t="shared" ca="1" si="147"/>
        <v>S</v>
      </c>
      <c r="D562">
        <f t="shared" ca="1" si="148"/>
        <v>0</v>
      </c>
      <c r="E562">
        <f ca="1">IF($C562=1,OFFSET(E562,-1,0)+MAX(1,COUNTIF(QCI!$A$13:$A$24,OFFSET(ORÇAMENTO!E562,-1,0))),OFFSET(E562,-1,0))</f>
        <v>1</v>
      </c>
      <c r="F562">
        <f t="shared" ca="1" si="149"/>
        <v>17</v>
      </c>
      <c r="G562">
        <f t="shared" ca="1" si="150"/>
        <v>7</v>
      </c>
      <c r="H562">
        <f t="shared" ca="1" si="151"/>
        <v>0</v>
      </c>
      <c r="I562">
        <f t="shared" ca="1" si="152"/>
        <v>0</v>
      </c>
      <c r="J562">
        <f t="shared" ca="1" si="144"/>
        <v>0</v>
      </c>
      <c r="K562">
        <f ca="1">IF(OR($C562="S",$C562=0),0,MATCH(OFFSET($D562,0,$C562)+IF($C562&lt;&gt;1,1,COUNTIF(QCI!$A$13:$A$24,ORÇAMENTO!E562)),OFFSET($D562,1,$C562,ROW($C$747)-ROW($C562)),0))</f>
        <v>0</v>
      </c>
      <c r="L562" s="116" t="str">
        <f t="shared" ca="1" si="153"/>
        <v/>
      </c>
      <c r="M562" s="117" t="s">
        <v>199</v>
      </c>
      <c r="N562" s="118" t="str">
        <f t="shared" ca="1" si="154"/>
        <v>Serviço</v>
      </c>
      <c r="O562" s="119" t="str">
        <f t="shared" ca="1" si="155"/>
        <v>-</v>
      </c>
      <c r="P562" s="120" t="s">
        <v>712</v>
      </c>
      <c r="Q562" s="121" t="s">
        <v>969</v>
      </c>
      <c r="R562" s="122" t="str">
        <f ca="1">IF($C562="S",REFERENCIA.Descricao,"(digite a descrição aqui)")</f>
        <v>(abra o arquivo 'Referência 02-2025.xlsm)</v>
      </c>
      <c r="S562" s="123" t="str">
        <f ca="1">REFERENCIA.Unidade</f>
        <v>-</v>
      </c>
      <c r="T562" s="124">
        <f ca="1">OFFSET(CÁLCULO!H$15,ROW($T562)-ROW(T$15),0)</f>
        <v>3</v>
      </c>
      <c r="U562" s="125">
        <f t="shared" ca="1" si="161"/>
        <v>0</v>
      </c>
      <c r="V562" s="126" t="s">
        <v>156</v>
      </c>
      <c r="W562" s="124">
        <f ca="1">IF($C562="S",ROUND(IF(TIPOORCAMENTO="Proposto",ORÇAMENTO.CustoUnitario*(1+$AH562),ORÇAMENTO.PrecoUnitarioLicitado),15-13*$AF$10),0)</f>
        <v>0</v>
      </c>
      <c r="X562" s="127">
        <f ca="1">IF($C562="S",IF(Import.TipoArredondamento&lt;&gt;"TransfereGOV",VTOTAL1,SUM(OFFSET(CÁLCULO!$AA$15,ROW($X562)-ROW($X$15),1):OFFSET(CÁLCULO!$AL$15,ROW($X562)-ROW($X$15),-1))),IF($C562=0,0,ROUND(SomaAgrup,15-13*$AF$11)))</f>
        <v>0</v>
      </c>
      <c r="Y562" s="128" t="s">
        <v>245</v>
      </c>
      <c r="Z562" t="str">
        <f t="shared" ca="1" si="156"/>
        <v/>
      </c>
      <c r="AA562" s="129">
        <f ca="1">IF($C562="S",IF($Z562="CP",$X562,IF($Z562="RA",(($X562)*QCI!$AA$3),0)),SomaAgrup)</f>
        <v>0</v>
      </c>
      <c r="AB562" s="130">
        <f t="shared" ca="1" si="157"/>
        <v>0</v>
      </c>
      <c r="AC562" s="131" t="str">
        <f ca="1">IF($N562="","",IF(ORÇAMENTO.Descricao="","DESCRIÇÃO",IF(AND($C562="S",ORÇAMENTO.Unidade=""),"UNIDADE",IF($X562&lt;0,"VALOR NEGATIVO",IF(OR(AND(TIPOORCAMENTO="Proposto",$AG562&lt;&gt;"",$AG562&gt;0,ORÇAMENTO.CustoUnitario&gt;$AG562),AND(TIPOORCAMENTO="LICITADO",ORÇAMENTO.PrecoUnitarioLicitado&gt;$AN562)),"ACIMA REF.","")))))</f>
        <v/>
      </c>
      <c r="AD562" t="str">
        <f ca="1">IF(C562&lt;=CRONO.NivelExibicao,MAX($AD$15:OFFSET(AD562,-1,0))+IF($C562&lt;&gt;1,1,MAX(1,COUNTIF(QCI!$A$13:$A$24,OFFSET($E562,-1,0)))),"")</f>
        <v/>
      </c>
      <c r="AE562" s="7" t="str">
        <f ca="1">IF(AND($C562="S",ORÇAMENTO.CodBarra&lt;&gt;""),IF(ORÇAMENTO.Fonte="",ORÇAMENTO.CodBarra,CONCATENATE(ORÇAMENTO.Fonte," ",ORÇAMENTO.CodBarra)))</f>
        <v>Composição FNDE 84</v>
      </c>
      <c r="AF562" s="13" t="str">
        <f ca="1">IF(ISERROR(INDIRECT(ORÇAMENTO.BancoRef)),"(abra o arquivo 'Referência "&amp;Excel_BuiltIn_Database&amp;".xlsm)",IF(OR($C562&lt;&gt;"S",ORÇAMENTO.CodBarra=""),"(Sem Código)",IF(ISERROR(MATCH($AE562,INDIRECT(ORÇAMENTO.BancoRef),0)),"(Código não identificado nas referências)",MATCH($AE562,INDIRECT(ORÇAMENTO.BancoRef),0))))</f>
        <v>(abra o arquivo 'Referência 02-2025.xlsm)</v>
      </c>
      <c r="AG562" s="498">
        <f ca="1">ROUND(IF(DESONERACAO="sim",REFERENCIA.Desonerado,REFERENCIA.NaoDesonerado),2)</f>
        <v>0</v>
      </c>
      <c r="AH562" s="499">
        <f t="shared" ca="1" si="158"/>
        <v>0.22470000000000001</v>
      </c>
      <c r="AJ562" s="501">
        <v>3</v>
      </c>
      <c r="AL562" s="527"/>
      <c r="AM562" s="381">
        <f t="shared" ca="1" si="159"/>
        <v>0</v>
      </c>
      <c r="AN562" s="566">
        <f t="shared" ca="1" si="160"/>
        <v>0</v>
      </c>
    </row>
    <row r="563" spans="1:40" ht="25.5" x14ac:dyDescent="0.2">
      <c r="A563" t="str">
        <f t="shared" si="145"/>
        <v>S</v>
      </c>
      <c r="B563">
        <f t="shared" ca="1" si="146"/>
        <v>3</v>
      </c>
      <c r="C563" t="str">
        <f t="shared" ca="1" si="147"/>
        <v>S</v>
      </c>
      <c r="D563">
        <f t="shared" ca="1" si="148"/>
        <v>0</v>
      </c>
      <c r="E563">
        <f ca="1">IF($C563=1,OFFSET(E563,-1,0)+MAX(1,COUNTIF(QCI!$A$13:$A$24,OFFSET(ORÇAMENTO!E563,-1,0))),OFFSET(E563,-1,0))</f>
        <v>1</v>
      </c>
      <c r="F563">
        <f t="shared" ca="1" si="149"/>
        <v>17</v>
      </c>
      <c r="G563">
        <f t="shared" ca="1" si="150"/>
        <v>7</v>
      </c>
      <c r="H563">
        <f t="shared" ca="1" si="151"/>
        <v>0</v>
      </c>
      <c r="I563">
        <f t="shared" ca="1" si="152"/>
        <v>0</v>
      </c>
      <c r="J563">
        <f t="shared" ca="1" si="144"/>
        <v>0</v>
      </c>
      <c r="K563">
        <f ca="1">IF(OR($C563="S",$C563=0),0,MATCH(OFFSET($D563,0,$C563)+IF($C563&lt;&gt;1,1,COUNTIF(QCI!$A$13:$A$24,ORÇAMENTO!E563)),OFFSET($D563,1,$C563,ROW($C$747)-ROW($C563)),0))</f>
        <v>0</v>
      </c>
      <c r="L563" s="116" t="str">
        <f t="shared" ca="1" si="153"/>
        <v/>
      </c>
      <c r="M563" s="117" t="s">
        <v>199</v>
      </c>
      <c r="N563" s="118" t="str">
        <f t="shared" ca="1" si="154"/>
        <v>Serviço</v>
      </c>
      <c r="O563" s="119" t="str">
        <f t="shared" ca="1" si="155"/>
        <v>-</v>
      </c>
      <c r="P563" s="120" t="s">
        <v>712</v>
      </c>
      <c r="Q563" s="121" t="s">
        <v>970</v>
      </c>
      <c r="R563" s="122" t="str">
        <f ca="1">IF($C563="S",REFERENCIA.Descricao,"(digite a descrição aqui)")</f>
        <v>(abra o arquivo 'Referência 02-2025.xlsm)</v>
      </c>
      <c r="S563" s="123" t="str">
        <f ca="1">REFERENCIA.Unidade</f>
        <v>-</v>
      </c>
      <c r="T563" s="124">
        <f ca="1">OFFSET(CÁLCULO!H$15,ROW($T563)-ROW(T$15),0)</f>
        <v>1</v>
      </c>
      <c r="U563" s="125">
        <f t="shared" ca="1" si="161"/>
        <v>0</v>
      </c>
      <c r="V563" s="126" t="s">
        <v>156</v>
      </c>
      <c r="W563" s="124">
        <f ca="1">IF($C563="S",ROUND(IF(TIPOORCAMENTO="Proposto",ORÇAMENTO.CustoUnitario*(1+$AH563),ORÇAMENTO.PrecoUnitarioLicitado),15-13*$AF$10),0)</f>
        <v>0</v>
      </c>
      <c r="X563" s="127">
        <f ca="1">IF($C563="S",IF(Import.TipoArredondamento&lt;&gt;"TransfereGOV",VTOTAL1,SUM(OFFSET(CÁLCULO!$AA$15,ROW($X563)-ROW($X$15),1):OFFSET(CÁLCULO!$AL$15,ROW($X563)-ROW($X$15),-1))),IF($C563=0,0,ROUND(SomaAgrup,15-13*$AF$11)))</f>
        <v>0</v>
      </c>
      <c r="Y563" s="128" t="s">
        <v>245</v>
      </c>
      <c r="Z563" t="str">
        <f t="shared" ca="1" si="156"/>
        <v/>
      </c>
      <c r="AA563" s="129">
        <f ca="1">IF($C563="S",IF($Z563="CP",$X563,IF($Z563="RA",(($X563)*QCI!$AA$3),0)),SomaAgrup)</f>
        <v>0</v>
      </c>
      <c r="AB563" s="130">
        <f t="shared" ca="1" si="157"/>
        <v>0</v>
      </c>
      <c r="AC563" s="131" t="str">
        <f ca="1">IF($N563="","",IF(ORÇAMENTO.Descricao="","DESCRIÇÃO",IF(AND($C563="S",ORÇAMENTO.Unidade=""),"UNIDADE",IF($X563&lt;0,"VALOR NEGATIVO",IF(OR(AND(TIPOORCAMENTO="Proposto",$AG563&lt;&gt;"",$AG563&gt;0,ORÇAMENTO.CustoUnitario&gt;$AG563),AND(TIPOORCAMENTO="LICITADO",ORÇAMENTO.PrecoUnitarioLicitado&gt;$AN563)),"ACIMA REF.","")))))</f>
        <v/>
      </c>
      <c r="AD563" t="str">
        <f ca="1">IF(C563&lt;=CRONO.NivelExibicao,MAX($AD$15:OFFSET(AD563,-1,0))+IF($C563&lt;&gt;1,1,MAX(1,COUNTIF(QCI!$A$13:$A$24,OFFSET($E563,-1,0)))),"")</f>
        <v/>
      </c>
      <c r="AE563" s="7" t="str">
        <f ca="1">IF(AND($C563="S",ORÇAMENTO.CodBarra&lt;&gt;""),IF(ORÇAMENTO.Fonte="",ORÇAMENTO.CodBarra,CONCATENATE(ORÇAMENTO.Fonte," ",ORÇAMENTO.CodBarra)))</f>
        <v>Composição FNDE 85</v>
      </c>
      <c r="AF563" s="13" t="str">
        <f ca="1">IF(ISERROR(INDIRECT(ORÇAMENTO.BancoRef)),"(abra o arquivo 'Referência "&amp;Excel_BuiltIn_Database&amp;".xlsm)",IF(OR($C563&lt;&gt;"S",ORÇAMENTO.CodBarra=""),"(Sem Código)",IF(ISERROR(MATCH($AE563,INDIRECT(ORÇAMENTO.BancoRef),0)),"(Código não identificado nas referências)",MATCH($AE563,INDIRECT(ORÇAMENTO.BancoRef),0))))</f>
        <v>(abra o arquivo 'Referência 02-2025.xlsm)</v>
      </c>
      <c r="AG563" s="498">
        <f ca="1">ROUND(IF(DESONERACAO="sim",REFERENCIA.Desonerado,REFERENCIA.NaoDesonerado),2)</f>
        <v>0</v>
      </c>
      <c r="AH563" s="499">
        <f t="shared" ca="1" si="158"/>
        <v>0.22470000000000001</v>
      </c>
      <c r="AJ563" s="501">
        <v>1</v>
      </c>
      <c r="AL563" s="527"/>
      <c r="AM563" s="381">
        <f t="shared" ca="1" si="159"/>
        <v>0</v>
      </c>
      <c r="AN563" s="566">
        <f t="shared" ca="1" si="160"/>
        <v>0</v>
      </c>
    </row>
    <row r="564" spans="1:40" ht="25.5" x14ac:dyDescent="0.2">
      <c r="A564" t="str">
        <f t="shared" si="145"/>
        <v>S</v>
      </c>
      <c r="B564">
        <f t="shared" ca="1" si="146"/>
        <v>3</v>
      </c>
      <c r="C564" t="str">
        <f t="shared" ca="1" si="147"/>
        <v>S</v>
      </c>
      <c r="D564">
        <f t="shared" ca="1" si="148"/>
        <v>0</v>
      </c>
      <c r="E564">
        <f ca="1">IF($C564=1,OFFSET(E564,-1,0)+MAX(1,COUNTIF(QCI!$A$13:$A$24,OFFSET(ORÇAMENTO!E564,-1,0))),OFFSET(E564,-1,0))</f>
        <v>1</v>
      </c>
      <c r="F564">
        <f t="shared" ca="1" si="149"/>
        <v>17</v>
      </c>
      <c r="G564">
        <f t="shared" ca="1" si="150"/>
        <v>7</v>
      </c>
      <c r="H564">
        <f t="shared" ca="1" si="151"/>
        <v>0</v>
      </c>
      <c r="I564">
        <f t="shared" ca="1" si="152"/>
        <v>0</v>
      </c>
      <c r="J564">
        <f t="shared" ca="1" si="144"/>
        <v>0</v>
      </c>
      <c r="K564">
        <f ca="1">IF(OR($C564="S",$C564=0),0,MATCH(OFFSET($D564,0,$C564)+IF($C564&lt;&gt;1,1,COUNTIF(QCI!$A$13:$A$24,ORÇAMENTO!E564)),OFFSET($D564,1,$C564,ROW($C$747)-ROW($C564)),0))</f>
        <v>0</v>
      </c>
      <c r="L564" s="116" t="str">
        <f t="shared" ca="1" si="153"/>
        <v/>
      </c>
      <c r="M564" s="117" t="s">
        <v>199</v>
      </c>
      <c r="N564" s="118" t="str">
        <f t="shared" ca="1" si="154"/>
        <v>Serviço</v>
      </c>
      <c r="O564" s="119" t="str">
        <f t="shared" ca="1" si="155"/>
        <v>-</v>
      </c>
      <c r="P564" s="120" t="s">
        <v>247</v>
      </c>
      <c r="Q564" s="121" t="s">
        <v>677</v>
      </c>
      <c r="R564" s="122" t="str">
        <f ca="1">IF($C564="S",REFERENCIA.Descricao,"(digite a descrição aqui)")</f>
        <v>(abra o arquivo 'Referência 02-2025.xlsm)</v>
      </c>
      <c r="S564" s="123" t="str">
        <f ca="1">REFERENCIA.Unidade</f>
        <v>-</v>
      </c>
      <c r="T564" s="124">
        <f ca="1">OFFSET(CÁLCULO!H$15,ROW($T564)-ROW(T$15),0)</f>
        <v>2</v>
      </c>
      <c r="U564" s="125">
        <f t="shared" ca="1" si="161"/>
        <v>0</v>
      </c>
      <c r="V564" s="126" t="s">
        <v>156</v>
      </c>
      <c r="W564" s="124">
        <f ca="1">IF($C564="S",ROUND(IF(TIPOORCAMENTO="Proposto",ORÇAMENTO.CustoUnitario*(1+$AH564),ORÇAMENTO.PrecoUnitarioLicitado),15-13*$AF$10),0)</f>
        <v>0</v>
      </c>
      <c r="X564" s="127">
        <f ca="1">IF($C564="S",IF(Import.TipoArredondamento&lt;&gt;"TransfereGOV",VTOTAL1,SUM(OFFSET(CÁLCULO!$AA$15,ROW($X564)-ROW($X$15),1):OFFSET(CÁLCULO!$AL$15,ROW($X564)-ROW($X$15),-1))),IF($C564=0,0,ROUND(SomaAgrup,15-13*$AF$11)))</f>
        <v>0</v>
      </c>
      <c r="Y564" s="128" t="s">
        <v>245</v>
      </c>
      <c r="Z564" t="str">
        <f t="shared" ca="1" si="156"/>
        <v/>
      </c>
      <c r="AA564" s="129">
        <f ca="1">IF($C564="S",IF($Z564="CP",$X564,IF($Z564="RA",(($X564)*QCI!$AA$3),0)),SomaAgrup)</f>
        <v>0</v>
      </c>
      <c r="AB564" s="130">
        <f t="shared" ca="1" si="157"/>
        <v>0</v>
      </c>
      <c r="AC564" s="131" t="str">
        <f ca="1">IF($N564="","",IF(ORÇAMENTO.Descricao="","DESCRIÇÃO",IF(AND($C564="S",ORÇAMENTO.Unidade=""),"UNIDADE",IF($X564&lt;0,"VALOR NEGATIVO",IF(OR(AND(TIPOORCAMENTO="Proposto",$AG564&lt;&gt;"",$AG564&gt;0,ORÇAMENTO.CustoUnitario&gt;$AG564),AND(TIPOORCAMENTO="LICITADO",ORÇAMENTO.PrecoUnitarioLicitado&gt;$AN564)),"ACIMA REF.","")))))</f>
        <v/>
      </c>
      <c r="AD564" t="str">
        <f ca="1">IF(C564&lt;=CRONO.NivelExibicao,MAX($AD$15:OFFSET(AD564,-1,0))+IF($C564&lt;&gt;1,1,MAX(1,COUNTIF(QCI!$A$13:$A$24,OFFSET($E564,-1,0)))),"")</f>
        <v/>
      </c>
      <c r="AE564" s="7" t="str">
        <f ca="1">IF(AND($C564="S",ORÇAMENTO.CodBarra&lt;&gt;""),IF(ORÇAMENTO.Fonte="",ORÇAMENTO.CodBarra,CONCATENATE(ORÇAMENTO.Fonte," ",ORÇAMENTO.CodBarra)))</f>
        <v>SINAPI 93660</v>
      </c>
      <c r="AF564" s="13" t="str">
        <f ca="1">IF(ISERROR(INDIRECT(ORÇAMENTO.BancoRef)),"(abra o arquivo 'Referência "&amp;Excel_BuiltIn_Database&amp;".xlsm)",IF(OR($C564&lt;&gt;"S",ORÇAMENTO.CodBarra=""),"(Sem Código)",IF(ISERROR(MATCH($AE564,INDIRECT(ORÇAMENTO.BancoRef),0)),"(Código não identificado nas referências)",MATCH($AE564,INDIRECT(ORÇAMENTO.BancoRef),0))))</f>
        <v>(abra o arquivo 'Referência 02-2025.xlsm)</v>
      </c>
      <c r="AG564" s="498">
        <f ca="1">ROUND(IF(DESONERACAO="sim",REFERENCIA.Desonerado,REFERENCIA.NaoDesonerado),2)</f>
        <v>0</v>
      </c>
      <c r="AH564" s="499">
        <f t="shared" ca="1" si="158"/>
        <v>0.22470000000000001</v>
      </c>
      <c r="AJ564" s="501">
        <v>2</v>
      </c>
      <c r="AL564" s="527"/>
      <c r="AM564" s="381">
        <f t="shared" ca="1" si="159"/>
        <v>0</v>
      </c>
      <c r="AN564" s="566">
        <f t="shared" ca="1" si="160"/>
        <v>0</v>
      </c>
    </row>
    <row r="565" spans="1:40" ht="25.5" x14ac:dyDescent="0.2">
      <c r="A565" t="str">
        <f t="shared" si="145"/>
        <v>S</v>
      </c>
      <c r="B565">
        <f t="shared" ca="1" si="146"/>
        <v>3</v>
      </c>
      <c r="C565" t="str">
        <f t="shared" ca="1" si="147"/>
        <v>S</v>
      </c>
      <c r="D565">
        <f t="shared" ca="1" si="148"/>
        <v>0</v>
      </c>
      <c r="E565">
        <f ca="1">IF($C565=1,OFFSET(E565,-1,0)+MAX(1,COUNTIF(QCI!$A$13:$A$24,OFFSET(ORÇAMENTO!E565,-1,0))),OFFSET(E565,-1,0))</f>
        <v>1</v>
      </c>
      <c r="F565">
        <f t="shared" ca="1" si="149"/>
        <v>17</v>
      </c>
      <c r="G565">
        <f t="shared" ca="1" si="150"/>
        <v>7</v>
      </c>
      <c r="H565">
        <f t="shared" ca="1" si="151"/>
        <v>0</v>
      </c>
      <c r="I565">
        <f t="shared" ca="1" si="152"/>
        <v>0</v>
      </c>
      <c r="J565">
        <f t="shared" ca="1" si="144"/>
        <v>0</v>
      </c>
      <c r="K565">
        <f ca="1">IF(OR($C565="S",$C565=0),0,MATCH(OFFSET($D565,0,$C565)+IF($C565&lt;&gt;1,1,COUNTIF(QCI!$A$13:$A$24,ORÇAMENTO!E565)),OFFSET($D565,1,$C565,ROW($C$747)-ROW($C565)),0))</f>
        <v>0</v>
      </c>
      <c r="L565" s="116" t="str">
        <f t="shared" ca="1" si="153"/>
        <v/>
      </c>
      <c r="M565" s="117" t="s">
        <v>199</v>
      </c>
      <c r="N565" s="118" t="str">
        <f t="shared" ca="1" si="154"/>
        <v>Serviço</v>
      </c>
      <c r="O565" s="119" t="str">
        <f t="shared" ca="1" si="155"/>
        <v>-</v>
      </c>
      <c r="P565" s="120" t="s">
        <v>247</v>
      </c>
      <c r="Q565" s="121" t="s">
        <v>678</v>
      </c>
      <c r="R565" s="122" t="str">
        <f ca="1">IF($C565="S",REFERENCIA.Descricao,"(digite a descrição aqui)")</f>
        <v>(abra o arquivo 'Referência 02-2025.xlsm)</v>
      </c>
      <c r="S565" s="123" t="str">
        <f ca="1">REFERENCIA.Unidade</f>
        <v>-</v>
      </c>
      <c r="T565" s="124">
        <f ca="1">OFFSET(CÁLCULO!H$15,ROW($T565)-ROW(T$15),0)</f>
        <v>12</v>
      </c>
      <c r="U565" s="125">
        <f t="shared" ca="1" si="161"/>
        <v>0</v>
      </c>
      <c r="V565" s="126" t="s">
        <v>156</v>
      </c>
      <c r="W565" s="124">
        <f ca="1">IF($C565="S",ROUND(IF(TIPOORCAMENTO="Proposto",ORÇAMENTO.CustoUnitario*(1+$AH565),ORÇAMENTO.PrecoUnitarioLicitado),15-13*$AF$10),0)</f>
        <v>0</v>
      </c>
      <c r="X565" s="127">
        <f ca="1">IF($C565="S",IF(Import.TipoArredondamento&lt;&gt;"TransfereGOV",VTOTAL1,SUM(OFFSET(CÁLCULO!$AA$15,ROW($X565)-ROW($X$15),1):OFFSET(CÁLCULO!$AL$15,ROW($X565)-ROW($X$15),-1))),IF($C565=0,0,ROUND(SomaAgrup,15-13*$AF$11)))</f>
        <v>0</v>
      </c>
      <c r="Y565" s="128" t="s">
        <v>245</v>
      </c>
      <c r="Z565" t="str">
        <f t="shared" ca="1" si="156"/>
        <v/>
      </c>
      <c r="AA565" s="129">
        <f ca="1">IF($C565="S",IF($Z565="CP",$X565,IF($Z565="RA",(($X565)*QCI!$AA$3),0)),SomaAgrup)</f>
        <v>0</v>
      </c>
      <c r="AB565" s="130">
        <f t="shared" ca="1" si="157"/>
        <v>0</v>
      </c>
      <c r="AC565" s="131" t="str">
        <f ca="1">IF($N565="","",IF(ORÇAMENTO.Descricao="","DESCRIÇÃO",IF(AND($C565="S",ORÇAMENTO.Unidade=""),"UNIDADE",IF($X565&lt;0,"VALOR NEGATIVO",IF(OR(AND(TIPOORCAMENTO="Proposto",$AG565&lt;&gt;"",$AG565&gt;0,ORÇAMENTO.CustoUnitario&gt;$AG565),AND(TIPOORCAMENTO="LICITADO",ORÇAMENTO.PrecoUnitarioLicitado&gt;$AN565)),"ACIMA REF.","")))))</f>
        <v/>
      </c>
      <c r="AD565" t="str">
        <f ca="1">IF(C565&lt;=CRONO.NivelExibicao,MAX($AD$15:OFFSET(AD565,-1,0))+IF($C565&lt;&gt;1,1,MAX(1,COUNTIF(QCI!$A$13:$A$24,OFFSET($E565,-1,0)))),"")</f>
        <v/>
      </c>
      <c r="AE565" s="7" t="str">
        <f ca="1">IF(AND($C565="S",ORÇAMENTO.CodBarra&lt;&gt;""),IF(ORÇAMENTO.Fonte="",ORÇAMENTO.CodBarra,CONCATENATE(ORÇAMENTO.Fonte," ",ORÇAMENTO.CodBarra)))</f>
        <v>SINAPI 93661</v>
      </c>
      <c r="AF565" s="13" t="str">
        <f ca="1">IF(ISERROR(INDIRECT(ORÇAMENTO.BancoRef)),"(abra o arquivo 'Referência "&amp;Excel_BuiltIn_Database&amp;".xlsm)",IF(OR($C565&lt;&gt;"S",ORÇAMENTO.CodBarra=""),"(Sem Código)",IF(ISERROR(MATCH($AE565,INDIRECT(ORÇAMENTO.BancoRef),0)),"(Código não identificado nas referências)",MATCH($AE565,INDIRECT(ORÇAMENTO.BancoRef),0))))</f>
        <v>(abra o arquivo 'Referência 02-2025.xlsm)</v>
      </c>
      <c r="AG565" s="498">
        <f ca="1">ROUND(IF(DESONERACAO="sim",REFERENCIA.Desonerado,REFERENCIA.NaoDesonerado),2)</f>
        <v>0</v>
      </c>
      <c r="AH565" s="499">
        <f t="shared" ca="1" si="158"/>
        <v>0.22470000000000001</v>
      </c>
      <c r="AJ565" s="501">
        <v>12</v>
      </c>
      <c r="AL565" s="527"/>
      <c r="AM565" s="381">
        <f t="shared" ca="1" si="159"/>
        <v>0</v>
      </c>
      <c r="AN565" s="566">
        <f t="shared" ca="1" si="160"/>
        <v>0</v>
      </c>
    </row>
    <row r="566" spans="1:40" ht="25.5" x14ac:dyDescent="0.2">
      <c r="A566" t="str">
        <f t="shared" si="145"/>
        <v>S</v>
      </c>
      <c r="B566">
        <f t="shared" ca="1" si="146"/>
        <v>3</v>
      </c>
      <c r="C566" t="str">
        <f t="shared" ca="1" si="147"/>
        <v>S</v>
      </c>
      <c r="D566">
        <f t="shared" ca="1" si="148"/>
        <v>0</v>
      </c>
      <c r="E566">
        <f ca="1">IF($C566=1,OFFSET(E566,-1,0)+MAX(1,COUNTIF(QCI!$A$13:$A$24,OFFSET(ORÇAMENTO!E566,-1,0))),OFFSET(E566,-1,0))</f>
        <v>1</v>
      </c>
      <c r="F566">
        <f t="shared" ca="1" si="149"/>
        <v>17</v>
      </c>
      <c r="G566">
        <f t="shared" ca="1" si="150"/>
        <v>7</v>
      </c>
      <c r="H566">
        <f t="shared" ca="1" si="151"/>
        <v>0</v>
      </c>
      <c r="I566">
        <f t="shared" ca="1" si="152"/>
        <v>0</v>
      </c>
      <c r="J566">
        <f t="shared" ca="1" si="144"/>
        <v>0</v>
      </c>
      <c r="K566">
        <f ca="1">IF(OR($C566="S",$C566=0),0,MATCH(OFFSET($D566,0,$C566)+IF($C566&lt;&gt;1,1,COUNTIF(QCI!$A$13:$A$24,ORÇAMENTO!E566)),OFFSET($D566,1,$C566,ROW($C$747)-ROW($C566)),0))</f>
        <v>0</v>
      </c>
      <c r="L566" s="116" t="str">
        <f t="shared" ca="1" si="153"/>
        <v/>
      </c>
      <c r="M566" s="117" t="s">
        <v>199</v>
      </c>
      <c r="N566" s="118" t="str">
        <f t="shared" ca="1" si="154"/>
        <v>Serviço</v>
      </c>
      <c r="O566" s="119" t="str">
        <f t="shared" ca="1" si="155"/>
        <v>-</v>
      </c>
      <c r="P566" s="120" t="s">
        <v>247</v>
      </c>
      <c r="Q566" s="121" t="s">
        <v>679</v>
      </c>
      <c r="R566" s="122" t="str">
        <f ca="1">IF($C566="S",REFERENCIA.Descricao,"(digite a descrição aqui)")</f>
        <v>(abra o arquivo 'Referência 02-2025.xlsm)</v>
      </c>
      <c r="S566" s="123" t="str">
        <f ca="1">REFERENCIA.Unidade</f>
        <v>-</v>
      </c>
      <c r="T566" s="124">
        <f ca="1">OFFSET(CÁLCULO!H$15,ROW($T566)-ROW(T$15),0)</f>
        <v>13</v>
      </c>
      <c r="U566" s="125">
        <f t="shared" ca="1" si="161"/>
        <v>0</v>
      </c>
      <c r="V566" s="126" t="s">
        <v>156</v>
      </c>
      <c r="W566" s="124">
        <f ca="1">IF($C566="S",ROUND(IF(TIPOORCAMENTO="Proposto",ORÇAMENTO.CustoUnitario*(1+$AH566),ORÇAMENTO.PrecoUnitarioLicitado),15-13*$AF$10),0)</f>
        <v>0</v>
      </c>
      <c r="X566" s="127">
        <f ca="1">IF($C566="S",IF(Import.TipoArredondamento&lt;&gt;"TransfereGOV",VTOTAL1,SUM(OFFSET(CÁLCULO!$AA$15,ROW($X566)-ROW($X$15),1):OFFSET(CÁLCULO!$AL$15,ROW($X566)-ROW($X$15),-1))),IF($C566=0,0,ROUND(SomaAgrup,15-13*$AF$11)))</f>
        <v>0</v>
      </c>
      <c r="Y566" s="128" t="s">
        <v>245</v>
      </c>
      <c r="Z566" t="str">
        <f t="shared" ca="1" si="156"/>
        <v/>
      </c>
      <c r="AA566" s="129">
        <f ca="1">IF($C566="S",IF($Z566="CP",$X566,IF($Z566="RA",(($X566)*QCI!$AA$3),0)),SomaAgrup)</f>
        <v>0</v>
      </c>
      <c r="AB566" s="130">
        <f t="shared" ca="1" si="157"/>
        <v>0</v>
      </c>
      <c r="AC566" s="131" t="str">
        <f ca="1">IF($N566="","",IF(ORÇAMENTO.Descricao="","DESCRIÇÃO",IF(AND($C566="S",ORÇAMENTO.Unidade=""),"UNIDADE",IF($X566&lt;0,"VALOR NEGATIVO",IF(OR(AND(TIPOORCAMENTO="Proposto",$AG566&lt;&gt;"",$AG566&gt;0,ORÇAMENTO.CustoUnitario&gt;$AG566),AND(TIPOORCAMENTO="LICITADO",ORÇAMENTO.PrecoUnitarioLicitado&gt;$AN566)),"ACIMA REF.","")))))</f>
        <v/>
      </c>
      <c r="AD566" t="str">
        <f ca="1">IF(C566&lt;=CRONO.NivelExibicao,MAX($AD$15:OFFSET(AD566,-1,0))+IF($C566&lt;&gt;1,1,MAX(1,COUNTIF(QCI!$A$13:$A$24,OFFSET($E566,-1,0)))),"")</f>
        <v/>
      </c>
      <c r="AE566" s="7" t="str">
        <f ca="1">IF(AND($C566="S",ORÇAMENTO.CodBarra&lt;&gt;""),IF(ORÇAMENTO.Fonte="",ORÇAMENTO.CodBarra,CONCATENATE(ORÇAMENTO.Fonte," ",ORÇAMENTO.CodBarra)))</f>
        <v>SINAPI 93663</v>
      </c>
      <c r="AF566" s="13" t="str">
        <f ca="1">IF(ISERROR(INDIRECT(ORÇAMENTO.BancoRef)),"(abra o arquivo 'Referência "&amp;Excel_BuiltIn_Database&amp;".xlsm)",IF(OR($C566&lt;&gt;"S",ORÇAMENTO.CodBarra=""),"(Sem Código)",IF(ISERROR(MATCH($AE566,INDIRECT(ORÇAMENTO.BancoRef),0)),"(Código não identificado nas referências)",MATCH($AE566,INDIRECT(ORÇAMENTO.BancoRef),0))))</f>
        <v>(abra o arquivo 'Referência 02-2025.xlsm)</v>
      </c>
      <c r="AG566" s="498">
        <f ca="1">ROUND(IF(DESONERACAO="sim",REFERENCIA.Desonerado,REFERENCIA.NaoDesonerado),2)</f>
        <v>0</v>
      </c>
      <c r="AH566" s="499">
        <f t="shared" ca="1" si="158"/>
        <v>0.22470000000000001</v>
      </c>
      <c r="AJ566" s="501">
        <v>13</v>
      </c>
      <c r="AL566" s="527"/>
      <c r="AM566" s="381">
        <f t="shared" ca="1" si="159"/>
        <v>0</v>
      </c>
      <c r="AN566" s="566">
        <f t="shared" ca="1" si="160"/>
        <v>0</v>
      </c>
    </row>
    <row r="567" spans="1:40" ht="25.5" x14ac:dyDescent="0.2">
      <c r="A567" t="str">
        <f t="shared" si="145"/>
        <v>S</v>
      </c>
      <c r="B567">
        <f t="shared" ca="1" si="146"/>
        <v>3</v>
      </c>
      <c r="C567" t="str">
        <f t="shared" ca="1" si="147"/>
        <v>S</v>
      </c>
      <c r="D567">
        <f t="shared" ca="1" si="148"/>
        <v>0</v>
      </c>
      <c r="E567">
        <f ca="1">IF($C567=1,OFFSET(E567,-1,0)+MAX(1,COUNTIF(QCI!$A$13:$A$24,OFFSET(ORÇAMENTO!E567,-1,0))),OFFSET(E567,-1,0))</f>
        <v>1</v>
      </c>
      <c r="F567">
        <f t="shared" ca="1" si="149"/>
        <v>17</v>
      </c>
      <c r="G567">
        <f t="shared" ca="1" si="150"/>
        <v>7</v>
      </c>
      <c r="H567">
        <f t="shared" ca="1" si="151"/>
        <v>0</v>
      </c>
      <c r="I567">
        <f t="shared" ca="1" si="152"/>
        <v>0</v>
      </c>
      <c r="J567">
        <f t="shared" ca="1" si="144"/>
        <v>0</v>
      </c>
      <c r="K567">
        <f ca="1">IF(OR($C567="S",$C567=0),0,MATCH(OFFSET($D567,0,$C567)+IF($C567&lt;&gt;1,1,COUNTIF(QCI!$A$13:$A$24,ORÇAMENTO!E567)),OFFSET($D567,1,$C567,ROW($C$747)-ROW($C567)),0))</f>
        <v>0</v>
      </c>
      <c r="L567" s="116" t="str">
        <f t="shared" ca="1" si="153"/>
        <v/>
      </c>
      <c r="M567" s="117" t="s">
        <v>199</v>
      </c>
      <c r="N567" s="118" t="str">
        <f t="shared" ca="1" si="154"/>
        <v>Serviço</v>
      </c>
      <c r="O567" s="119" t="str">
        <f t="shared" ca="1" si="155"/>
        <v>-</v>
      </c>
      <c r="P567" s="120" t="s">
        <v>247</v>
      </c>
      <c r="Q567" s="121" t="s">
        <v>680</v>
      </c>
      <c r="R567" s="122" t="str">
        <f ca="1">IF($C567="S",REFERENCIA.Descricao,"(digite a descrição aqui)")</f>
        <v>(abra o arquivo 'Referência 02-2025.xlsm)</v>
      </c>
      <c r="S567" s="123" t="str">
        <f ca="1">REFERENCIA.Unidade</f>
        <v>-</v>
      </c>
      <c r="T567" s="124">
        <f ca="1">OFFSET(CÁLCULO!H$15,ROW($T567)-ROW(T$15),0)</f>
        <v>6</v>
      </c>
      <c r="U567" s="125">
        <f t="shared" ca="1" si="161"/>
        <v>0</v>
      </c>
      <c r="V567" s="126" t="s">
        <v>156</v>
      </c>
      <c r="W567" s="124">
        <f ca="1">IF($C567="S",ROUND(IF(TIPOORCAMENTO="Proposto",ORÇAMENTO.CustoUnitario*(1+$AH567),ORÇAMENTO.PrecoUnitarioLicitado),15-13*$AF$10),0)</f>
        <v>0</v>
      </c>
      <c r="X567" s="127">
        <f ca="1">IF($C567="S",IF(Import.TipoArredondamento&lt;&gt;"TransfereGOV",VTOTAL1,SUM(OFFSET(CÁLCULO!$AA$15,ROW($X567)-ROW($X$15),1):OFFSET(CÁLCULO!$AL$15,ROW($X567)-ROW($X$15),-1))),IF($C567=0,0,ROUND(SomaAgrup,15-13*$AF$11)))</f>
        <v>0</v>
      </c>
      <c r="Y567" s="128" t="s">
        <v>245</v>
      </c>
      <c r="Z567" t="str">
        <f t="shared" ca="1" si="156"/>
        <v/>
      </c>
      <c r="AA567" s="129">
        <f ca="1">IF($C567="S",IF($Z567="CP",$X567,IF($Z567="RA",(($X567)*QCI!$AA$3),0)),SomaAgrup)</f>
        <v>0</v>
      </c>
      <c r="AB567" s="130">
        <f t="shared" ca="1" si="157"/>
        <v>0</v>
      </c>
      <c r="AC567" s="131" t="str">
        <f ca="1">IF($N567="","",IF(ORÇAMENTO.Descricao="","DESCRIÇÃO",IF(AND($C567="S",ORÇAMENTO.Unidade=""),"UNIDADE",IF($X567&lt;0,"VALOR NEGATIVO",IF(OR(AND(TIPOORCAMENTO="Proposto",$AG567&lt;&gt;"",$AG567&gt;0,ORÇAMENTO.CustoUnitario&gt;$AG567),AND(TIPOORCAMENTO="LICITADO",ORÇAMENTO.PrecoUnitarioLicitado&gt;$AN567)),"ACIMA REF.","")))))</f>
        <v/>
      </c>
      <c r="AD567" t="str">
        <f ca="1">IF(C567&lt;=CRONO.NivelExibicao,MAX($AD$15:OFFSET(AD567,-1,0))+IF($C567&lt;&gt;1,1,MAX(1,COUNTIF(QCI!$A$13:$A$24,OFFSET($E567,-1,0)))),"")</f>
        <v/>
      </c>
      <c r="AE567" s="7" t="str">
        <f ca="1">IF(AND($C567="S",ORÇAMENTO.CodBarra&lt;&gt;""),IF(ORÇAMENTO.Fonte="",ORÇAMENTO.CodBarra,CONCATENATE(ORÇAMENTO.Fonte," ",ORÇAMENTO.CodBarra)))</f>
        <v>SINAPI 93664</v>
      </c>
      <c r="AF567" s="13" t="str">
        <f ca="1">IF(ISERROR(INDIRECT(ORÇAMENTO.BancoRef)),"(abra o arquivo 'Referência "&amp;Excel_BuiltIn_Database&amp;".xlsm)",IF(OR($C567&lt;&gt;"S",ORÇAMENTO.CodBarra=""),"(Sem Código)",IF(ISERROR(MATCH($AE567,INDIRECT(ORÇAMENTO.BancoRef),0)),"(Código não identificado nas referências)",MATCH($AE567,INDIRECT(ORÇAMENTO.BancoRef),0))))</f>
        <v>(abra o arquivo 'Referência 02-2025.xlsm)</v>
      </c>
      <c r="AG567" s="498">
        <f ca="1">ROUND(IF(DESONERACAO="sim",REFERENCIA.Desonerado,REFERENCIA.NaoDesonerado),2)</f>
        <v>0</v>
      </c>
      <c r="AH567" s="499">
        <f t="shared" ca="1" si="158"/>
        <v>0.22470000000000001</v>
      </c>
      <c r="AJ567" s="501">
        <v>6</v>
      </c>
      <c r="AL567" s="527"/>
      <c r="AM567" s="381">
        <f t="shared" ca="1" si="159"/>
        <v>0</v>
      </c>
      <c r="AN567" s="566">
        <f t="shared" ca="1" si="160"/>
        <v>0</v>
      </c>
    </row>
    <row r="568" spans="1:40" ht="25.5" x14ac:dyDescent="0.2">
      <c r="A568" t="str">
        <f t="shared" si="145"/>
        <v>S</v>
      </c>
      <c r="B568">
        <f t="shared" ca="1" si="146"/>
        <v>3</v>
      </c>
      <c r="C568" t="str">
        <f t="shared" ca="1" si="147"/>
        <v>S</v>
      </c>
      <c r="D568">
        <f t="shared" ca="1" si="148"/>
        <v>0</v>
      </c>
      <c r="E568">
        <f ca="1">IF($C568=1,OFFSET(E568,-1,0)+MAX(1,COUNTIF(QCI!$A$13:$A$24,OFFSET(ORÇAMENTO!E568,-1,0))),OFFSET(E568,-1,0))</f>
        <v>1</v>
      </c>
      <c r="F568">
        <f t="shared" ca="1" si="149"/>
        <v>17</v>
      </c>
      <c r="G568">
        <f t="shared" ca="1" si="150"/>
        <v>7</v>
      </c>
      <c r="H568">
        <f t="shared" ca="1" si="151"/>
        <v>0</v>
      </c>
      <c r="I568">
        <f t="shared" ca="1" si="152"/>
        <v>0</v>
      </c>
      <c r="J568">
        <f t="shared" ca="1" si="144"/>
        <v>0</v>
      </c>
      <c r="K568">
        <f ca="1">IF(OR($C568="S",$C568=0),0,MATCH(OFFSET($D568,0,$C568)+IF($C568&lt;&gt;1,1,COUNTIF(QCI!$A$13:$A$24,ORÇAMENTO!E568)),OFFSET($D568,1,$C568,ROW($C$747)-ROW($C568)),0))</f>
        <v>0</v>
      </c>
      <c r="L568" s="116" t="str">
        <f t="shared" ca="1" si="153"/>
        <v/>
      </c>
      <c r="M568" s="117" t="s">
        <v>199</v>
      </c>
      <c r="N568" s="118" t="str">
        <f t="shared" ca="1" si="154"/>
        <v>Serviço</v>
      </c>
      <c r="O568" s="119" t="str">
        <f t="shared" ca="1" si="155"/>
        <v>-</v>
      </c>
      <c r="P568" s="120" t="s">
        <v>712</v>
      </c>
      <c r="Q568" s="121" t="s">
        <v>971</v>
      </c>
      <c r="R568" s="122" t="str">
        <f ca="1">IF($C568="S",REFERENCIA.Descricao,"(digite a descrição aqui)")</f>
        <v>(abra o arquivo 'Referência 02-2025.xlsm)</v>
      </c>
      <c r="S568" s="123" t="str">
        <f ca="1">REFERENCIA.Unidade</f>
        <v>-</v>
      </c>
      <c r="T568" s="124">
        <f ca="1">OFFSET(CÁLCULO!H$15,ROW($T568)-ROW(T$15),0)</f>
        <v>2</v>
      </c>
      <c r="U568" s="125">
        <f t="shared" ca="1" si="161"/>
        <v>0</v>
      </c>
      <c r="V568" s="126" t="s">
        <v>156</v>
      </c>
      <c r="W568" s="124">
        <f ca="1">IF($C568="S",ROUND(IF(TIPOORCAMENTO="Proposto",ORÇAMENTO.CustoUnitario*(1+$AH568),ORÇAMENTO.PrecoUnitarioLicitado),15-13*$AF$10),0)</f>
        <v>0</v>
      </c>
      <c r="X568" s="127">
        <f ca="1">IF($C568="S",IF(Import.TipoArredondamento&lt;&gt;"TransfereGOV",VTOTAL1,SUM(OFFSET(CÁLCULO!$AA$15,ROW($X568)-ROW($X$15),1):OFFSET(CÁLCULO!$AL$15,ROW($X568)-ROW($X$15),-1))),IF($C568=0,0,ROUND(SomaAgrup,15-13*$AF$11)))</f>
        <v>0</v>
      </c>
      <c r="Y568" s="128" t="s">
        <v>245</v>
      </c>
      <c r="Z568" t="str">
        <f t="shared" ca="1" si="156"/>
        <v/>
      </c>
      <c r="AA568" s="129">
        <f ca="1">IF($C568="S",IF($Z568="CP",$X568,IF($Z568="RA",(($X568)*QCI!$AA$3),0)),SomaAgrup)</f>
        <v>0</v>
      </c>
      <c r="AB568" s="130">
        <f t="shared" ca="1" si="157"/>
        <v>0</v>
      </c>
      <c r="AC568" s="131" t="str">
        <f ca="1">IF($N568="","",IF(ORÇAMENTO.Descricao="","DESCRIÇÃO",IF(AND($C568="S",ORÇAMENTO.Unidade=""),"UNIDADE",IF($X568&lt;0,"VALOR NEGATIVO",IF(OR(AND(TIPOORCAMENTO="Proposto",$AG568&lt;&gt;"",$AG568&gt;0,ORÇAMENTO.CustoUnitario&gt;$AG568),AND(TIPOORCAMENTO="LICITADO",ORÇAMENTO.PrecoUnitarioLicitado&gt;$AN568)),"ACIMA REF.","")))))</f>
        <v/>
      </c>
      <c r="AD568" t="str">
        <f ca="1">IF(C568&lt;=CRONO.NivelExibicao,MAX($AD$15:OFFSET(AD568,-1,0))+IF($C568&lt;&gt;1,1,MAX(1,COUNTIF(QCI!$A$13:$A$24,OFFSET($E568,-1,0)))),"")</f>
        <v/>
      </c>
      <c r="AE568" s="7" t="str">
        <f ca="1">IF(AND($C568="S",ORÇAMENTO.CodBarra&lt;&gt;""),IF(ORÇAMENTO.Fonte="",ORÇAMENTO.CodBarra,CONCATENATE(ORÇAMENTO.Fonte," ",ORÇAMENTO.CodBarra)))</f>
        <v>Composição FNDE 487</v>
      </c>
      <c r="AF568" s="13" t="str">
        <f ca="1">IF(ISERROR(INDIRECT(ORÇAMENTO.BancoRef)),"(abra o arquivo 'Referência "&amp;Excel_BuiltIn_Database&amp;".xlsm)",IF(OR($C568&lt;&gt;"S",ORÇAMENTO.CodBarra=""),"(Sem Código)",IF(ISERROR(MATCH($AE568,INDIRECT(ORÇAMENTO.BancoRef),0)),"(Código não identificado nas referências)",MATCH($AE568,INDIRECT(ORÇAMENTO.BancoRef),0))))</f>
        <v>(abra o arquivo 'Referência 02-2025.xlsm)</v>
      </c>
      <c r="AG568" s="498">
        <f ca="1">ROUND(IF(DESONERACAO="sim",REFERENCIA.Desonerado,REFERENCIA.NaoDesonerado),2)</f>
        <v>0</v>
      </c>
      <c r="AH568" s="499">
        <f t="shared" ca="1" si="158"/>
        <v>0.22470000000000001</v>
      </c>
      <c r="AJ568" s="501">
        <v>2</v>
      </c>
      <c r="AL568" s="527"/>
      <c r="AM568" s="381">
        <f t="shared" ca="1" si="159"/>
        <v>0</v>
      </c>
      <c r="AN568" s="566">
        <f t="shared" ca="1" si="160"/>
        <v>0</v>
      </c>
    </row>
    <row r="569" spans="1:40" ht="25.5" x14ac:dyDescent="0.2">
      <c r="A569" t="str">
        <f t="shared" si="145"/>
        <v>S</v>
      </c>
      <c r="B569">
        <f t="shared" ca="1" si="146"/>
        <v>3</v>
      </c>
      <c r="C569" t="str">
        <f t="shared" ca="1" si="147"/>
        <v>S</v>
      </c>
      <c r="D569">
        <f t="shared" ca="1" si="148"/>
        <v>0</v>
      </c>
      <c r="E569">
        <f ca="1">IF($C569=1,OFFSET(E569,-1,0)+MAX(1,COUNTIF(QCI!$A$13:$A$24,OFFSET(ORÇAMENTO!E569,-1,0))),OFFSET(E569,-1,0))</f>
        <v>1</v>
      </c>
      <c r="F569">
        <f t="shared" ca="1" si="149"/>
        <v>17</v>
      </c>
      <c r="G569">
        <f t="shared" ca="1" si="150"/>
        <v>7</v>
      </c>
      <c r="H569">
        <f t="shared" ca="1" si="151"/>
        <v>0</v>
      </c>
      <c r="I569">
        <f t="shared" ca="1" si="152"/>
        <v>0</v>
      </c>
      <c r="J569">
        <f t="shared" ca="1" si="144"/>
        <v>0</v>
      </c>
      <c r="K569">
        <f ca="1">IF(OR($C569="S",$C569=0),0,MATCH(OFFSET($D569,0,$C569)+IF($C569&lt;&gt;1,1,COUNTIF(QCI!$A$13:$A$24,ORÇAMENTO!E569)),OFFSET($D569,1,$C569,ROW($C$747)-ROW($C569)),0))</f>
        <v>0</v>
      </c>
      <c r="L569" s="116" t="str">
        <f t="shared" ca="1" si="153"/>
        <v/>
      </c>
      <c r="M569" s="117" t="s">
        <v>199</v>
      </c>
      <c r="N569" s="118" t="str">
        <f t="shared" ca="1" si="154"/>
        <v>Serviço</v>
      </c>
      <c r="O569" s="119" t="str">
        <f t="shared" ca="1" si="155"/>
        <v>-</v>
      </c>
      <c r="P569" s="120" t="s">
        <v>247</v>
      </c>
      <c r="Q569" s="121" t="s">
        <v>972</v>
      </c>
      <c r="R569" s="122" t="str">
        <f ca="1">IF($C569="S",REFERENCIA.Descricao,"(digite a descrição aqui)")</f>
        <v>(abra o arquivo 'Referência 02-2025.xlsm)</v>
      </c>
      <c r="S569" s="123" t="str">
        <f ca="1">REFERENCIA.Unidade</f>
        <v>-</v>
      </c>
      <c r="T569" s="124">
        <f ca="1">OFFSET(CÁLCULO!H$15,ROW($T569)-ROW(T$15),0)</f>
        <v>2</v>
      </c>
      <c r="U569" s="125">
        <f t="shared" ca="1" si="161"/>
        <v>0</v>
      </c>
      <c r="V569" s="126" t="s">
        <v>156</v>
      </c>
      <c r="W569" s="124">
        <f ca="1">IF($C569="S",ROUND(IF(TIPOORCAMENTO="Proposto",ORÇAMENTO.CustoUnitario*(1+$AH569),ORÇAMENTO.PrecoUnitarioLicitado),15-13*$AF$10),0)</f>
        <v>0</v>
      </c>
      <c r="X569" s="127">
        <f ca="1">IF($C569="S",IF(Import.TipoArredondamento&lt;&gt;"TransfereGOV",VTOTAL1,SUM(OFFSET(CÁLCULO!$AA$15,ROW($X569)-ROW($X$15),1):OFFSET(CÁLCULO!$AL$15,ROW($X569)-ROW($X$15),-1))),IF($C569=0,0,ROUND(SomaAgrup,15-13*$AF$11)))</f>
        <v>0</v>
      </c>
      <c r="Y569" s="128" t="s">
        <v>245</v>
      </c>
      <c r="Z569" t="str">
        <f t="shared" ca="1" si="156"/>
        <v/>
      </c>
      <c r="AA569" s="129">
        <f ca="1">IF($C569="S",IF($Z569="CP",$X569,IF($Z569="RA",(($X569)*QCI!$AA$3),0)),SomaAgrup)</f>
        <v>0</v>
      </c>
      <c r="AB569" s="130">
        <f t="shared" ca="1" si="157"/>
        <v>0</v>
      </c>
      <c r="AC569" s="131" t="str">
        <f ca="1">IF($N569="","",IF(ORÇAMENTO.Descricao="","DESCRIÇÃO",IF(AND($C569="S",ORÇAMENTO.Unidade=""),"UNIDADE",IF($X569&lt;0,"VALOR NEGATIVO",IF(OR(AND(TIPOORCAMENTO="Proposto",$AG569&lt;&gt;"",$AG569&gt;0,ORÇAMENTO.CustoUnitario&gt;$AG569),AND(TIPOORCAMENTO="LICITADO",ORÇAMENTO.PrecoUnitarioLicitado&gt;$AN569)),"ACIMA REF.","")))))</f>
        <v/>
      </c>
      <c r="AD569" t="str">
        <f ca="1">IF(C569&lt;=CRONO.NivelExibicao,MAX($AD$15:OFFSET(AD569,-1,0))+IF($C569&lt;&gt;1,1,MAX(1,COUNTIF(QCI!$A$13:$A$24,OFFSET($E569,-1,0)))),"")</f>
        <v/>
      </c>
      <c r="AE569" s="7" t="str">
        <f ca="1">IF(AND($C569="S",ORÇAMENTO.CodBarra&lt;&gt;""),IF(ORÇAMENTO.Fonte="",ORÇAMENTO.CodBarra,CONCATENATE(ORÇAMENTO.Fonte," ",ORÇAMENTO.CodBarra)))</f>
        <v>SINAPI 93669</v>
      </c>
      <c r="AF569" s="13" t="str">
        <f ca="1">IF(ISERROR(INDIRECT(ORÇAMENTO.BancoRef)),"(abra o arquivo 'Referência "&amp;Excel_BuiltIn_Database&amp;".xlsm)",IF(OR($C569&lt;&gt;"S",ORÇAMENTO.CodBarra=""),"(Sem Código)",IF(ISERROR(MATCH($AE569,INDIRECT(ORÇAMENTO.BancoRef),0)),"(Código não identificado nas referências)",MATCH($AE569,INDIRECT(ORÇAMENTO.BancoRef),0))))</f>
        <v>(abra o arquivo 'Referência 02-2025.xlsm)</v>
      </c>
      <c r="AG569" s="498">
        <f ca="1">ROUND(IF(DESONERACAO="sim",REFERENCIA.Desonerado,REFERENCIA.NaoDesonerado),2)</f>
        <v>0</v>
      </c>
      <c r="AH569" s="499">
        <f t="shared" ca="1" si="158"/>
        <v>0.22470000000000001</v>
      </c>
      <c r="AJ569" s="501">
        <v>2</v>
      </c>
      <c r="AL569" s="527"/>
      <c r="AM569" s="381">
        <f t="shared" ca="1" si="159"/>
        <v>0</v>
      </c>
      <c r="AN569" s="566">
        <f t="shared" ca="1" si="160"/>
        <v>0</v>
      </c>
    </row>
    <row r="570" spans="1:40" ht="25.5" x14ac:dyDescent="0.2">
      <c r="A570" t="str">
        <f t="shared" si="145"/>
        <v>S</v>
      </c>
      <c r="B570">
        <f t="shared" ca="1" si="146"/>
        <v>3</v>
      </c>
      <c r="C570" t="str">
        <f t="shared" ca="1" si="147"/>
        <v>S</v>
      </c>
      <c r="D570">
        <f t="shared" ca="1" si="148"/>
        <v>0</v>
      </c>
      <c r="E570">
        <f ca="1">IF($C570=1,OFFSET(E570,-1,0)+MAX(1,COUNTIF(QCI!$A$13:$A$24,OFFSET(ORÇAMENTO!E570,-1,0))),OFFSET(E570,-1,0))</f>
        <v>1</v>
      </c>
      <c r="F570">
        <f t="shared" ca="1" si="149"/>
        <v>17</v>
      </c>
      <c r="G570">
        <f t="shared" ca="1" si="150"/>
        <v>7</v>
      </c>
      <c r="H570">
        <f t="shared" ca="1" si="151"/>
        <v>0</v>
      </c>
      <c r="I570">
        <f t="shared" ca="1" si="152"/>
        <v>0</v>
      </c>
      <c r="J570">
        <f t="shared" ca="1" si="144"/>
        <v>0</v>
      </c>
      <c r="K570">
        <f ca="1">IF(OR($C570="S",$C570=0),0,MATCH(OFFSET($D570,0,$C570)+IF($C570&lt;&gt;1,1,COUNTIF(QCI!$A$13:$A$24,ORÇAMENTO!E570)),OFFSET($D570,1,$C570,ROW($C$747)-ROW($C570)),0))</f>
        <v>0</v>
      </c>
      <c r="L570" s="116" t="str">
        <f t="shared" ca="1" si="153"/>
        <v/>
      </c>
      <c r="M570" s="117" t="s">
        <v>199</v>
      </c>
      <c r="N570" s="118" t="str">
        <f t="shared" ca="1" si="154"/>
        <v>Serviço</v>
      </c>
      <c r="O570" s="119" t="str">
        <f t="shared" ca="1" si="155"/>
        <v>-</v>
      </c>
      <c r="P570" s="120" t="s">
        <v>247</v>
      </c>
      <c r="Q570" s="121" t="s">
        <v>683</v>
      </c>
      <c r="R570" s="122" t="str">
        <f ca="1">IF($C570="S",REFERENCIA.Descricao,"(digite a descrição aqui)")</f>
        <v>(abra o arquivo 'Referência 02-2025.xlsm)</v>
      </c>
      <c r="S570" s="123" t="str">
        <f ca="1">REFERENCIA.Unidade</f>
        <v>-</v>
      </c>
      <c r="T570" s="124">
        <f ca="1">OFFSET(CÁLCULO!H$15,ROW($T570)-ROW(T$15),0)</f>
        <v>2</v>
      </c>
      <c r="U570" s="125">
        <f t="shared" ca="1" si="161"/>
        <v>0</v>
      </c>
      <c r="V570" s="126" t="s">
        <v>156</v>
      </c>
      <c r="W570" s="124">
        <f ca="1">IF($C570="S",ROUND(IF(TIPOORCAMENTO="Proposto",ORÇAMENTO.CustoUnitario*(1+$AH570),ORÇAMENTO.PrecoUnitarioLicitado),15-13*$AF$10),0)</f>
        <v>0</v>
      </c>
      <c r="X570" s="127">
        <f ca="1">IF($C570="S",IF(Import.TipoArredondamento&lt;&gt;"TransfereGOV",VTOTAL1,SUM(OFFSET(CÁLCULO!$AA$15,ROW($X570)-ROW($X$15),1):OFFSET(CÁLCULO!$AL$15,ROW($X570)-ROW($X$15),-1))),IF($C570=0,0,ROUND(SomaAgrup,15-13*$AF$11)))</f>
        <v>0</v>
      </c>
      <c r="Y570" s="128" t="s">
        <v>245</v>
      </c>
      <c r="Z570" t="str">
        <f t="shared" ca="1" si="156"/>
        <v/>
      </c>
      <c r="AA570" s="129">
        <f ca="1">IF($C570="S",IF($Z570="CP",$X570,IF($Z570="RA",(($X570)*QCI!$AA$3),0)),SomaAgrup)</f>
        <v>0</v>
      </c>
      <c r="AB570" s="130">
        <f t="shared" ca="1" si="157"/>
        <v>0</v>
      </c>
      <c r="AC570" s="131" t="str">
        <f ca="1">IF($N570="","",IF(ORÇAMENTO.Descricao="","DESCRIÇÃO",IF(AND($C570="S",ORÇAMENTO.Unidade=""),"UNIDADE",IF($X570&lt;0,"VALOR NEGATIVO",IF(OR(AND(TIPOORCAMENTO="Proposto",$AG570&lt;&gt;"",$AG570&gt;0,ORÇAMENTO.CustoUnitario&gt;$AG570),AND(TIPOORCAMENTO="LICITADO",ORÇAMENTO.PrecoUnitarioLicitado&gt;$AN570)),"ACIMA REF.","")))))</f>
        <v/>
      </c>
      <c r="AD570" t="str">
        <f ca="1">IF(C570&lt;=CRONO.NivelExibicao,MAX($AD$15:OFFSET(AD570,-1,0))+IF($C570&lt;&gt;1,1,MAX(1,COUNTIF(QCI!$A$13:$A$24,OFFSET($E570,-1,0)))),"")</f>
        <v/>
      </c>
      <c r="AE570" s="7" t="str">
        <f ca="1">IF(AND($C570="S",ORÇAMENTO.CodBarra&lt;&gt;""),IF(ORÇAMENTO.Fonte="",ORÇAMENTO.CodBarra,CONCATENATE(ORÇAMENTO.Fonte," ",ORÇAMENTO.CodBarra)))</f>
        <v>SINAPI 101898</v>
      </c>
      <c r="AF570" s="13" t="str">
        <f ca="1">IF(ISERROR(INDIRECT(ORÇAMENTO.BancoRef)),"(abra o arquivo 'Referência "&amp;Excel_BuiltIn_Database&amp;".xlsm)",IF(OR($C570&lt;&gt;"S",ORÇAMENTO.CodBarra=""),"(Sem Código)",IF(ISERROR(MATCH($AE570,INDIRECT(ORÇAMENTO.BancoRef),0)),"(Código não identificado nas referências)",MATCH($AE570,INDIRECT(ORÇAMENTO.BancoRef),0))))</f>
        <v>(abra o arquivo 'Referência 02-2025.xlsm)</v>
      </c>
      <c r="AG570" s="498">
        <f ca="1">ROUND(IF(DESONERACAO="sim",REFERENCIA.Desonerado,REFERENCIA.NaoDesonerado),2)</f>
        <v>0</v>
      </c>
      <c r="AH570" s="499">
        <f t="shared" ca="1" si="158"/>
        <v>0.22470000000000001</v>
      </c>
      <c r="AJ570" s="501">
        <v>2</v>
      </c>
      <c r="AL570" s="527"/>
      <c r="AM570" s="381">
        <f t="shared" ca="1" si="159"/>
        <v>0</v>
      </c>
      <c r="AN570" s="566">
        <f t="shared" ca="1" si="160"/>
        <v>0</v>
      </c>
    </row>
    <row r="571" spans="1:40" ht="25.5" x14ac:dyDescent="0.2">
      <c r="A571" t="str">
        <f t="shared" si="145"/>
        <v>S</v>
      </c>
      <c r="B571">
        <f t="shared" ca="1" si="146"/>
        <v>3</v>
      </c>
      <c r="C571" t="str">
        <f t="shared" ca="1" si="147"/>
        <v>S</v>
      </c>
      <c r="D571">
        <f t="shared" ca="1" si="148"/>
        <v>0</v>
      </c>
      <c r="E571">
        <f ca="1">IF($C571=1,OFFSET(E571,-1,0)+MAX(1,COUNTIF(QCI!$A$13:$A$24,OFFSET(ORÇAMENTO!E571,-1,0))),OFFSET(E571,-1,0))</f>
        <v>1</v>
      </c>
      <c r="F571">
        <f t="shared" ca="1" si="149"/>
        <v>17</v>
      </c>
      <c r="G571">
        <f t="shared" ca="1" si="150"/>
        <v>7</v>
      </c>
      <c r="H571">
        <f t="shared" ca="1" si="151"/>
        <v>0</v>
      </c>
      <c r="I571">
        <f t="shared" ca="1" si="152"/>
        <v>0</v>
      </c>
      <c r="J571">
        <f t="shared" ca="1" si="144"/>
        <v>0</v>
      </c>
      <c r="K571">
        <f ca="1">IF(OR($C571="S",$C571=0),0,MATCH(OFFSET($D571,0,$C571)+IF($C571&lt;&gt;1,1,COUNTIF(QCI!$A$13:$A$24,ORÇAMENTO!E571)),OFFSET($D571,1,$C571,ROW($C$747)-ROW($C571)),0))</f>
        <v>0</v>
      </c>
      <c r="L571" s="116" t="str">
        <f t="shared" ca="1" si="153"/>
        <v/>
      </c>
      <c r="M571" s="117" t="s">
        <v>199</v>
      </c>
      <c r="N571" s="118" t="str">
        <f t="shared" ca="1" si="154"/>
        <v>Serviço</v>
      </c>
      <c r="O571" s="119" t="str">
        <f t="shared" ca="1" si="155"/>
        <v>-</v>
      </c>
      <c r="P571" s="120" t="s">
        <v>247</v>
      </c>
      <c r="Q571" s="121" t="s">
        <v>684</v>
      </c>
      <c r="R571" s="122" t="str">
        <f ca="1">IF($C571="S",REFERENCIA.Descricao,"(digite a descrição aqui)")</f>
        <v>(abra o arquivo 'Referência 02-2025.xlsm)</v>
      </c>
      <c r="S571" s="123" t="str">
        <f ca="1">REFERENCIA.Unidade</f>
        <v>-</v>
      </c>
      <c r="T571" s="124">
        <f ca="1">OFFSET(CÁLCULO!H$15,ROW($T571)-ROW(T$15),0)</f>
        <v>2</v>
      </c>
      <c r="U571" s="125">
        <f t="shared" ca="1" si="161"/>
        <v>0</v>
      </c>
      <c r="V571" s="126" t="s">
        <v>156</v>
      </c>
      <c r="W571" s="124">
        <f ca="1">IF($C571="S",ROUND(IF(TIPOORCAMENTO="Proposto",ORÇAMENTO.CustoUnitario*(1+$AH571),ORÇAMENTO.PrecoUnitarioLicitado),15-13*$AF$10),0)</f>
        <v>0</v>
      </c>
      <c r="X571" s="127">
        <f ca="1">IF($C571="S",IF(Import.TipoArredondamento&lt;&gt;"TransfereGOV",VTOTAL1,SUM(OFFSET(CÁLCULO!$AA$15,ROW($X571)-ROW($X$15),1):OFFSET(CÁLCULO!$AL$15,ROW($X571)-ROW($X$15),-1))),IF($C571=0,0,ROUND(SomaAgrup,15-13*$AF$11)))</f>
        <v>0</v>
      </c>
      <c r="Y571" s="128" t="s">
        <v>245</v>
      </c>
      <c r="Z571" t="str">
        <f t="shared" ca="1" si="156"/>
        <v/>
      </c>
      <c r="AA571" s="129">
        <f ca="1">IF($C571="S",IF($Z571="CP",$X571,IF($Z571="RA",(($X571)*QCI!$AA$3),0)),SomaAgrup)</f>
        <v>0</v>
      </c>
      <c r="AB571" s="130">
        <f t="shared" ca="1" si="157"/>
        <v>0</v>
      </c>
      <c r="AC571" s="131" t="str">
        <f ca="1">IF($N571="","",IF(ORÇAMENTO.Descricao="","DESCRIÇÃO",IF(AND($C571="S",ORÇAMENTO.Unidade=""),"UNIDADE",IF($X571&lt;0,"VALOR NEGATIVO",IF(OR(AND(TIPOORCAMENTO="Proposto",$AG571&lt;&gt;"",$AG571&gt;0,ORÇAMENTO.CustoUnitario&gt;$AG571),AND(TIPOORCAMENTO="LICITADO",ORÇAMENTO.PrecoUnitarioLicitado&gt;$AN571)),"ACIMA REF.","")))))</f>
        <v/>
      </c>
      <c r="AD571" t="str">
        <f ca="1">IF(C571&lt;=CRONO.NivelExibicao,MAX($AD$15:OFFSET(AD571,-1,0))+IF($C571&lt;&gt;1,1,MAX(1,COUNTIF(QCI!$A$13:$A$24,OFFSET($E571,-1,0)))),"")</f>
        <v/>
      </c>
      <c r="AE571" s="7" t="str">
        <f ca="1">IF(AND($C571="S",ORÇAMENTO.CodBarra&lt;&gt;""),IF(ORÇAMENTO.Fonte="",ORÇAMENTO.CodBarra,CONCATENATE(ORÇAMENTO.Fonte," ",ORÇAMENTO.CodBarra)))</f>
        <v>SINAPI 93673</v>
      </c>
      <c r="AF571" s="13" t="str">
        <f ca="1">IF(ISERROR(INDIRECT(ORÇAMENTO.BancoRef)),"(abra o arquivo 'Referência "&amp;Excel_BuiltIn_Database&amp;".xlsm)",IF(OR($C571&lt;&gt;"S",ORÇAMENTO.CodBarra=""),"(Sem Código)",IF(ISERROR(MATCH($AE571,INDIRECT(ORÇAMENTO.BancoRef),0)),"(Código não identificado nas referências)",MATCH($AE571,INDIRECT(ORÇAMENTO.BancoRef),0))))</f>
        <v>(abra o arquivo 'Referência 02-2025.xlsm)</v>
      </c>
      <c r="AG571" s="498">
        <f ca="1">ROUND(IF(DESONERACAO="sim",REFERENCIA.Desonerado,REFERENCIA.NaoDesonerado),2)</f>
        <v>0</v>
      </c>
      <c r="AH571" s="499">
        <f t="shared" ca="1" si="158"/>
        <v>0.22470000000000001</v>
      </c>
      <c r="AJ571" s="501">
        <v>2</v>
      </c>
      <c r="AL571" s="527"/>
      <c r="AM571" s="381">
        <f t="shared" ca="1" si="159"/>
        <v>0</v>
      </c>
      <c r="AN571" s="566">
        <f t="shared" ca="1" si="160"/>
        <v>0</v>
      </c>
    </row>
    <row r="572" spans="1:40" ht="25.5" x14ac:dyDescent="0.2">
      <c r="A572" t="str">
        <f t="shared" si="145"/>
        <v>S</v>
      </c>
      <c r="B572">
        <f t="shared" ca="1" si="146"/>
        <v>3</v>
      </c>
      <c r="C572" t="str">
        <f t="shared" ca="1" si="147"/>
        <v>S</v>
      </c>
      <c r="D572">
        <f t="shared" ca="1" si="148"/>
        <v>0</v>
      </c>
      <c r="E572">
        <f ca="1">IF($C572=1,OFFSET(E572,-1,0)+MAX(1,COUNTIF(QCI!$A$13:$A$24,OFFSET(ORÇAMENTO!E572,-1,0))),OFFSET(E572,-1,0))</f>
        <v>1</v>
      </c>
      <c r="F572">
        <f t="shared" ca="1" si="149"/>
        <v>17</v>
      </c>
      <c r="G572">
        <f t="shared" ca="1" si="150"/>
        <v>7</v>
      </c>
      <c r="H572">
        <f t="shared" ca="1" si="151"/>
        <v>0</v>
      </c>
      <c r="I572">
        <f t="shared" ca="1" si="152"/>
        <v>0</v>
      </c>
      <c r="J572">
        <f t="shared" ca="1" si="144"/>
        <v>0</v>
      </c>
      <c r="K572">
        <f ca="1">IF(OR($C572="S",$C572=0),0,MATCH(OFFSET($D572,0,$C572)+IF($C572&lt;&gt;1,1,COUNTIF(QCI!$A$13:$A$24,ORÇAMENTO!E572)),OFFSET($D572,1,$C572,ROW($C$747)-ROW($C572)),0))</f>
        <v>0</v>
      </c>
      <c r="L572" s="116" t="str">
        <f t="shared" ca="1" si="153"/>
        <v/>
      </c>
      <c r="M572" s="117" t="s">
        <v>199</v>
      </c>
      <c r="N572" s="118" t="str">
        <f t="shared" ca="1" si="154"/>
        <v>Serviço</v>
      </c>
      <c r="O572" s="119" t="str">
        <f t="shared" ca="1" si="155"/>
        <v>-</v>
      </c>
      <c r="P572" s="120" t="s">
        <v>712</v>
      </c>
      <c r="Q572" s="121" t="s">
        <v>973</v>
      </c>
      <c r="R572" s="122" t="str">
        <f ca="1">IF($C572="S",REFERENCIA.Descricao,"(digite a descrição aqui)")</f>
        <v>(abra o arquivo 'Referência 02-2025.xlsm)</v>
      </c>
      <c r="S572" s="123" t="str">
        <f ca="1">REFERENCIA.Unidade</f>
        <v>-</v>
      </c>
      <c r="T572" s="124">
        <f ca="1">OFFSET(CÁLCULO!H$15,ROW($T572)-ROW(T$15),0)</f>
        <v>1</v>
      </c>
      <c r="U572" s="125">
        <f t="shared" ca="1" si="161"/>
        <v>0</v>
      </c>
      <c r="V572" s="126" t="s">
        <v>156</v>
      </c>
      <c r="W572" s="124">
        <f ca="1">IF($C572="S",ROUND(IF(TIPOORCAMENTO="Proposto",ORÇAMENTO.CustoUnitario*(1+$AH572),ORÇAMENTO.PrecoUnitarioLicitado),15-13*$AF$10),0)</f>
        <v>0</v>
      </c>
      <c r="X572" s="127">
        <f ca="1">IF($C572="S",IF(Import.TipoArredondamento&lt;&gt;"TransfereGOV",VTOTAL1,SUM(OFFSET(CÁLCULO!$AA$15,ROW($X572)-ROW($X$15),1):OFFSET(CÁLCULO!$AL$15,ROW($X572)-ROW($X$15),-1))),IF($C572=0,0,ROUND(SomaAgrup,15-13*$AF$11)))</f>
        <v>0</v>
      </c>
      <c r="Y572" s="128" t="s">
        <v>245</v>
      </c>
      <c r="Z572" t="str">
        <f t="shared" ca="1" si="156"/>
        <v/>
      </c>
      <c r="AA572" s="129">
        <f ca="1">IF($C572="S",IF($Z572="CP",$X572,IF($Z572="RA",(($X572)*QCI!$AA$3),0)),SomaAgrup)</f>
        <v>0</v>
      </c>
      <c r="AB572" s="130">
        <f t="shared" ca="1" si="157"/>
        <v>0</v>
      </c>
      <c r="AC572" s="131" t="str">
        <f ca="1">IF($N572="","",IF(ORÇAMENTO.Descricao="","DESCRIÇÃO",IF(AND($C572="S",ORÇAMENTO.Unidade=""),"UNIDADE",IF($X572&lt;0,"VALOR NEGATIVO",IF(OR(AND(TIPOORCAMENTO="Proposto",$AG572&lt;&gt;"",$AG572&gt;0,ORÇAMENTO.CustoUnitario&gt;$AG572),AND(TIPOORCAMENTO="LICITADO",ORÇAMENTO.PrecoUnitarioLicitado&gt;$AN572)),"ACIMA REF.","")))))</f>
        <v/>
      </c>
      <c r="AD572" t="str">
        <f ca="1">IF(C572&lt;=CRONO.NivelExibicao,MAX($AD$15:OFFSET(AD572,-1,0))+IF($C572&lt;&gt;1,1,MAX(1,COUNTIF(QCI!$A$13:$A$24,OFFSET($E572,-1,0)))),"")</f>
        <v/>
      </c>
      <c r="AE572" s="7" t="str">
        <f ca="1">IF(AND($C572="S",ORÇAMENTO.CodBarra&lt;&gt;""),IF(ORÇAMENTO.Fonte="",ORÇAMENTO.CodBarra,CONCATENATE(ORÇAMENTO.Fonte," ",ORÇAMENTO.CodBarra)))</f>
        <v>Composição FNDE 390</v>
      </c>
      <c r="AF572" s="13" t="str">
        <f ca="1">IF(ISERROR(INDIRECT(ORÇAMENTO.BancoRef)),"(abra o arquivo 'Referência "&amp;Excel_BuiltIn_Database&amp;".xlsm)",IF(OR($C572&lt;&gt;"S",ORÇAMENTO.CodBarra=""),"(Sem Código)",IF(ISERROR(MATCH($AE572,INDIRECT(ORÇAMENTO.BancoRef),0)),"(Código não identificado nas referências)",MATCH($AE572,INDIRECT(ORÇAMENTO.BancoRef),0))))</f>
        <v>(abra o arquivo 'Referência 02-2025.xlsm)</v>
      </c>
      <c r="AG572" s="498">
        <f ca="1">ROUND(IF(DESONERACAO="sim",REFERENCIA.Desonerado,REFERENCIA.NaoDesonerado),2)</f>
        <v>0</v>
      </c>
      <c r="AH572" s="499">
        <f t="shared" ca="1" si="158"/>
        <v>0.22470000000000001</v>
      </c>
      <c r="AJ572" s="501">
        <v>1</v>
      </c>
      <c r="AL572" s="527"/>
      <c r="AM572" s="381">
        <f t="shared" ca="1" si="159"/>
        <v>0</v>
      </c>
      <c r="AN572" s="566">
        <f t="shared" ca="1" si="160"/>
        <v>0</v>
      </c>
    </row>
    <row r="573" spans="1:40" ht="25.5" x14ac:dyDescent="0.2">
      <c r="A573" t="str">
        <f t="shared" si="145"/>
        <v>S</v>
      </c>
      <c r="B573">
        <f t="shared" ca="1" si="146"/>
        <v>3</v>
      </c>
      <c r="C573" t="str">
        <f t="shared" ca="1" si="147"/>
        <v>S</v>
      </c>
      <c r="D573">
        <f t="shared" ca="1" si="148"/>
        <v>0</v>
      </c>
      <c r="E573">
        <f ca="1">IF($C573=1,OFFSET(E573,-1,0)+MAX(1,COUNTIF(QCI!$A$13:$A$24,OFFSET(ORÇAMENTO!E573,-1,0))),OFFSET(E573,-1,0))</f>
        <v>1</v>
      </c>
      <c r="F573">
        <f t="shared" ca="1" si="149"/>
        <v>17</v>
      </c>
      <c r="G573">
        <f t="shared" ca="1" si="150"/>
        <v>7</v>
      </c>
      <c r="H573">
        <f t="shared" ca="1" si="151"/>
        <v>0</v>
      </c>
      <c r="I573">
        <f t="shared" ca="1" si="152"/>
        <v>0</v>
      </c>
      <c r="J573">
        <f t="shared" ca="1" si="144"/>
        <v>0</v>
      </c>
      <c r="K573">
        <f ca="1">IF(OR($C573="S",$C573=0),0,MATCH(OFFSET($D573,0,$C573)+IF($C573&lt;&gt;1,1,COUNTIF(QCI!$A$13:$A$24,ORÇAMENTO!E573)),OFFSET($D573,1,$C573,ROW($C$747)-ROW($C573)),0))</f>
        <v>0</v>
      </c>
      <c r="L573" s="116" t="str">
        <f t="shared" ca="1" si="153"/>
        <v/>
      </c>
      <c r="M573" s="117" t="s">
        <v>199</v>
      </c>
      <c r="N573" s="118" t="str">
        <f t="shared" ca="1" si="154"/>
        <v>Serviço</v>
      </c>
      <c r="O573" s="119" t="str">
        <f t="shared" ca="1" si="155"/>
        <v>-</v>
      </c>
      <c r="P573" s="120" t="s">
        <v>712</v>
      </c>
      <c r="Q573" s="121" t="s">
        <v>974</v>
      </c>
      <c r="R573" s="122" t="str">
        <f ca="1">IF($C573="S",REFERENCIA.Descricao,"(digite a descrição aqui)")</f>
        <v>(abra o arquivo 'Referência 02-2025.xlsm)</v>
      </c>
      <c r="S573" s="123" t="str">
        <f ca="1">REFERENCIA.Unidade</f>
        <v>-</v>
      </c>
      <c r="T573" s="124">
        <f ca="1">OFFSET(CÁLCULO!H$15,ROW($T573)-ROW(T$15),0)</f>
        <v>2</v>
      </c>
      <c r="U573" s="125">
        <f t="shared" ca="1" si="161"/>
        <v>0</v>
      </c>
      <c r="V573" s="126" t="s">
        <v>156</v>
      </c>
      <c r="W573" s="124">
        <f ca="1">IF($C573="S",ROUND(IF(TIPOORCAMENTO="Proposto",ORÇAMENTO.CustoUnitario*(1+$AH573),ORÇAMENTO.PrecoUnitarioLicitado),15-13*$AF$10),0)</f>
        <v>0</v>
      </c>
      <c r="X573" s="127">
        <f ca="1">IF($C573="S",IF(Import.TipoArredondamento&lt;&gt;"TransfereGOV",VTOTAL1,SUM(OFFSET(CÁLCULO!$AA$15,ROW($X573)-ROW($X$15),1):OFFSET(CÁLCULO!$AL$15,ROW($X573)-ROW($X$15),-1))),IF($C573=0,0,ROUND(SomaAgrup,15-13*$AF$11)))</f>
        <v>0</v>
      </c>
      <c r="Y573" s="128" t="s">
        <v>245</v>
      </c>
      <c r="Z573" t="str">
        <f t="shared" ca="1" si="156"/>
        <v/>
      </c>
      <c r="AA573" s="129">
        <f ca="1">IF($C573="S",IF($Z573="CP",$X573,IF($Z573="RA",(($X573)*QCI!$AA$3),0)),SomaAgrup)</f>
        <v>0</v>
      </c>
      <c r="AB573" s="130">
        <f t="shared" ca="1" si="157"/>
        <v>0</v>
      </c>
      <c r="AC573" s="131" t="str">
        <f ca="1">IF($N573="","",IF(ORÇAMENTO.Descricao="","DESCRIÇÃO",IF(AND($C573="S",ORÇAMENTO.Unidade=""),"UNIDADE",IF($X573&lt;0,"VALOR NEGATIVO",IF(OR(AND(TIPOORCAMENTO="Proposto",$AG573&lt;&gt;"",$AG573&gt;0,ORÇAMENTO.CustoUnitario&gt;$AG573),AND(TIPOORCAMENTO="LICITADO",ORÇAMENTO.PrecoUnitarioLicitado&gt;$AN573)),"ACIMA REF.","")))))</f>
        <v/>
      </c>
      <c r="AD573" t="str">
        <f ca="1">IF(C573&lt;=CRONO.NivelExibicao,MAX($AD$15:OFFSET(AD573,-1,0))+IF($C573&lt;&gt;1,1,MAX(1,COUNTIF(QCI!$A$13:$A$24,OFFSET($E573,-1,0)))),"")</f>
        <v/>
      </c>
      <c r="AE573" s="7" t="str">
        <f ca="1">IF(AND($C573="S",ORÇAMENTO.CodBarra&lt;&gt;""),IF(ORÇAMENTO.Fonte="",ORÇAMENTO.CodBarra,CONCATENATE(ORÇAMENTO.Fonte," ",ORÇAMENTO.CodBarra)))</f>
        <v>Composição FNDE 393</v>
      </c>
      <c r="AF573" s="13" t="str">
        <f ca="1">IF(ISERROR(INDIRECT(ORÇAMENTO.BancoRef)),"(abra o arquivo 'Referência "&amp;Excel_BuiltIn_Database&amp;".xlsm)",IF(OR($C573&lt;&gt;"S",ORÇAMENTO.CodBarra=""),"(Sem Código)",IF(ISERROR(MATCH($AE573,INDIRECT(ORÇAMENTO.BancoRef),0)),"(Código não identificado nas referências)",MATCH($AE573,INDIRECT(ORÇAMENTO.BancoRef),0))))</f>
        <v>(abra o arquivo 'Referência 02-2025.xlsm)</v>
      </c>
      <c r="AG573" s="498">
        <f ca="1">ROUND(IF(DESONERACAO="sim",REFERENCIA.Desonerado,REFERENCIA.NaoDesonerado),2)</f>
        <v>0</v>
      </c>
      <c r="AH573" s="499">
        <f t="shared" ca="1" si="158"/>
        <v>0.22470000000000001</v>
      </c>
      <c r="AJ573" s="501">
        <v>2</v>
      </c>
      <c r="AL573" s="527"/>
      <c r="AM573" s="381">
        <f t="shared" ca="1" si="159"/>
        <v>0</v>
      </c>
      <c r="AN573" s="566">
        <f t="shared" ca="1" si="160"/>
        <v>0</v>
      </c>
    </row>
    <row r="574" spans="1:40" x14ac:dyDescent="0.2">
      <c r="A574">
        <f t="shared" si="145"/>
        <v>3</v>
      </c>
      <c r="B574">
        <f t="shared" ca="1" si="146"/>
        <v>3</v>
      </c>
      <c r="C574">
        <f t="shared" ca="1" si="147"/>
        <v>3</v>
      </c>
      <c r="D574">
        <f t="shared" ca="1" si="148"/>
        <v>10</v>
      </c>
      <c r="E574">
        <f ca="1">IF($C574=1,OFFSET(E574,-1,0)+MAX(1,COUNTIF(QCI!$A$13:$A$24,OFFSET(ORÇAMENTO!E574,-1,0))),OFFSET(E574,-1,0))</f>
        <v>1</v>
      </c>
      <c r="F574">
        <f t="shared" ca="1" si="149"/>
        <v>17</v>
      </c>
      <c r="G574">
        <f t="shared" ca="1" si="150"/>
        <v>8</v>
      </c>
      <c r="H574">
        <f t="shared" ca="1" si="151"/>
        <v>0</v>
      </c>
      <c r="I574">
        <f t="shared" ca="1" si="152"/>
        <v>0</v>
      </c>
      <c r="J574">
        <f t="shared" ca="1" si="144"/>
        <v>34</v>
      </c>
      <c r="K574">
        <f ca="1">IF(OR($C574="S",$C574=0),0,MATCH(OFFSET($D574,0,$C574)+IF($C574&lt;&gt;1,1,COUNTIF(QCI!$A$13:$A$24,ORÇAMENTO!E574)),OFFSET($D574,1,$C574,ROW($C$747)-ROW($C574)),0))</f>
        <v>10</v>
      </c>
      <c r="L574" s="116" t="str">
        <f t="shared" ca="1" si="153"/>
        <v>F</v>
      </c>
      <c r="M574" s="117" t="s">
        <v>197</v>
      </c>
      <c r="N574" s="118" t="str">
        <f t="shared" ca="1" si="154"/>
        <v>Nível 3</v>
      </c>
      <c r="O574" s="119" t="str">
        <f t="shared" ca="1" si="155"/>
        <v>1.17.8.</v>
      </c>
      <c r="P574" s="120" t="s">
        <v>247</v>
      </c>
      <c r="Q574" s="121"/>
      <c r="R574" s="122" t="str">
        <f ca="1">IF($C574="S",REFERENCIA.Descricao,"ELETROCALHAS")</f>
        <v>ELETROCALHAS</v>
      </c>
      <c r="S574" s="123" t="str">
        <f ca="1">REFERENCIA.Unidade</f>
        <v>-</v>
      </c>
      <c r="T574" s="124">
        <f ca="1">OFFSET(CÁLCULO!H$15,ROW($T574)-ROW(T$15),0)</f>
        <v>0</v>
      </c>
      <c r="U574" s="125">
        <f t="shared" ca="1" si="161"/>
        <v>0</v>
      </c>
      <c r="V574" s="126" t="s">
        <v>156</v>
      </c>
      <c r="W574" s="124">
        <f ca="1">IF($C574="S",ROUND(IF(TIPOORCAMENTO="Proposto",ORÇAMENTO.CustoUnitario*(1+$AH574),ORÇAMENTO.PrecoUnitarioLicitado),15-13*$AF$10),0)</f>
        <v>0</v>
      </c>
      <c r="X574" s="127">
        <f ca="1">IF($C574="S",IF(Import.TipoArredondamento&lt;&gt;"TransfereGOV",VTOTAL1,SUM(OFFSET(CÁLCULO!$AA$15,ROW($X574)-ROW($X$15),1):OFFSET(CÁLCULO!$AL$15,ROW($X574)-ROW($X$15),-1))),IF($C574=0,0,ROUND(SomaAgrup,15-13*$AF$11)))</f>
        <v>0</v>
      </c>
      <c r="Y574" s="128" t="s">
        <v>245</v>
      </c>
      <c r="Z574" t="str">
        <f t="shared" ca="1" si="156"/>
        <v/>
      </c>
      <c r="AA574" s="129">
        <f ca="1">IF($C574="S",IF($Z574="CP",$X574,IF($Z574="RA",(($X574)*QCI!$AA$3),0)),SomaAgrup)</f>
        <v>0</v>
      </c>
      <c r="AB574" s="130">
        <f t="shared" ca="1" si="157"/>
        <v>0</v>
      </c>
      <c r="AC574" s="131" t="str">
        <f ca="1">IF($N574="","",IF(ORÇAMENTO.Descricao="","DESCRIÇÃO",IF(AND($C574="S",ORÇAMENTO.Unidade=""),"UNIDADE",IF($X574&lt;0,"VALOR NEGATIVO",IF(OR(AND(TIPOORCAMENTO="Proposto",$AG574&lt;&gt;"",$AG574&gt;0,ORÇAMENTO.CustoUnitario&gt;$AG574),AND(TIPOORCAMENTO="LICITADO",ORÇAMENTO.PrecoUnitarioLicitado&gt;$AN574)),"ACIMA REF.","")))))</f>
        <v/>
      </c>
      <c r="AD574" t="str">
        <f ca="1">IF(C574&lt;=CRONO.NivelExibicao,MAX($AD$15:OFFSET(AD574,-1,0))+IF($C574&lt;&gt;1,1,MAX(1,COUNTIF(QCI!$A$13:$A$24,OFFSET($E574,-1,0)))),"")</f>
        <v/>
      </c>
      <c r="AE574" s="7" t="b">
        <f ca="1">IF(AND($C574="S",ORÇAMENTO.CodBarra&lt;&gt;""),IF(ORÇAMENTO.Fonte="",ORÇAMENTO.CodBarra,CONCATENATE(ORÇAMENTO.Fonte," ",ORÇAMENTO.CodBarra)))</f>
        <v>0</v>
      </c>
      <c r="AF574" s="13" t="str">
        <f ca="1">IF(ISERROR(INDIRECT(ORÇAMENTO.BancoRef)),"(abra o arquivo 'Referência "&amp;Excel_BuiltIn_Database&amp;".xlsm)",IF(OR($C574&lt;&gt;"S",ORÇAMENTO.CodBarra=""),"(Sem Código)",IF(ISERROR(MATCH($AE574,INDIRECT(ORÇAMENTO.BancoRef),0)),"(Código não identificado nas referências)",MATCH($AE574,INDIRECT(ORÇAMENTO.BancoRef),0))))</f>
        <v>(abra o arquivo 'Referência 02-2025.xlsm)</v>
      </c>
      <c r="AG574" s="498">
        <f ca="1">ROUND(IF(DESONERACAO="sim",REFERENCIA.Desonerado,REFERENCIA.NaoDesonerado),2)</f>
        <v>0</v>
      </c>
      <c r="AH574" s="499">
        <f t="shared" ca="1" si="158"/>
        <v>0.22470000000000001</v>
      </c>
      <c r="AJ574" s="501"/>
      <c r="AL574" s="527"/>
      <c r="AM574" s="381">
        <f t="shared" ca="1" si="159"/>
        <v>0</v>
      </c>
      <c r="AN574" s="566">
        <f t="shared" ca="1" si="160"/>
        <v>0</v>
      </c>
    </row>
    <row r="575" spans="1:40" ht="38.25" x14ac:dyDescent="0.2">
      <c r="A575" t="str">
        <f t="shared" si="145"/>
        <v>S</v>
      </c>
      <c r="B575">
        <f t="shared" ca="1" si="146"/>
        <v>3</v>
      </c>
      <c r="C575" t="str">
        <f t="shared" ca="1" si="147"/>
        <v>S</v>
      </c>
      <c r="D575">
        <f t="shared" ca="1" si="148"/>
        <v>0</v>
      </c>
      <c r="E575">
        <f ca="1">IF($C575=1,OFFSET(E575,-1,0)+MAX(1,COUNTIF(QCI!$A$13:$A$24,OFFSET(ORÇAMENTO!E575,-1,0))),OFFSET(E575,-1,0))</f>
        <v>1</v>
      </c>
      <c r="F575">
        <f t="shared" ca="1" si="149"/>
        <v>17</v>
      </c>
      <c r="G575">
        <f t="shared" ca="1" si="150"/>
        <v>8</v>
      </c>
      <c r="H575">
        <f t="shared" ca="1" si="151"/>
        <v>0</v>
      </c>
      <c r="I575">
        <f t="shared" ca="1" si="152"/>
        <v>0</v>
      </c>
      <c r="J575">
        <f t="shared" ca="1" si="144"/>
        <v>0</v>
      </c>
      <c r="K575">
        <f ca="1">IF(OR($C575="S",$C575=0),0,MATCH(OFFSET($D575,0,$C575)+IF($C575&lt;&gt;1,1,COUNTIF(QCI!$A$13:$A$24,ORÇAMENTO!E575)),OFFSET($D575,1,$C575,ROW($C$747)-ROW($C575)),0))</f>
        <v>0</v>
      </c>
      <c r="L575" s="116" t="str">
        <f t="shared" ca="1" si="153"/>
        <v/>
      </c>
      <c r="M575" s="117" t="s">
        <v>199</v>
      </c>
      <c r="N575" s="118" t="str">
        <f t="shared" ca="1" si="154"/>
        <v>Serviço</v>
      </c>
      <c r="O575" s="119" t="str">
        <f t="shared" ca="1" si="155"/>
        <v>-</v>
      </c>
      <c r="P575" s="120" t="s">
        <v>712</v>
      </c>
      <c r="Q575" s="121" t="s">
        <v>975</v>
      </c>
      <c r="R575" s="122" t="str">
        <f ca="1">IF($C575="S",REFERENCIA.Descricao,"(digite a descrição aqui)")</f>
        <v>(abra o arquivo 'Referência 02-2025.xlsm)</v>
      </c>
      <c r="S575" s="123" t="str">
        <f ca="1">REFERENCIA.Unidade</f>
        <v>-</v>
      </c>
      <c r="T575" s="124">
        <f ca="1">OFFSET(CÁLCULO!H$15,ROW($T575)-ROW(T$15),0)</f>
        <v>121</v>
      </c>
      <c r="U575" s="125">
        <f t="shared" ca="1" si="161"/>
        <v>0</v>
      </c>
      <c r="V575" s="126" t="s">
        <v>156</v>
      </c>
      <c r="W575" s="124">
        <f ca="1">IF($C575="S",ROUND(IF(TIPOORCAMENTO="Proposto",ORÇAMENTO.CustoUnitario*(1+$AH575),ORÇAMENTO.PrecoUnitarioLicitado),15-13*$AF$10),0)</f>
        <v>0</v>
      </c>
      <c r="X575" s="127">
        <f ca="1">IF($C575="S",IF(Import.TipoArredondamento&lt;&gt;"TransfereGOV",VTOTAL1,SUM(OFFSET(CÁLCULO!$AA$15,ROW($X575)-ROW($X$15),1):OFFSET(CÁLCULO!$AL$15,ROW($X575)-ROW($X$15),-1))),IF($C575=0,0,ROUND(SomaAgrup,15-13*$AF$11)))</f>
        <v>0</v>
      </c>
      <c r="Y575" s="128" t="s">
        <v>245</v>
      </c>
      <c r="Z575" t="str">
        <f t="shared" ca="1" si="156"/>
        <v/>
      </c>
      <c r="AA575" s="129">
        <f ca="1">IF($C575="S",IF($Z575="CP",$X575,IF($Z575="RA",(($X575)*QCI!$AA$3),0)),SomaAgrup)</f>
        <v>0</v>
      </c>
      <c r="AB575" s="130">
        <f t="shared" ca="1" si="157"/>
        <v>0</v>
      </c>
      <c r="AC575" s="131" t="str">
        <f ca="1">IF($N575="","",IF(ORÇAMENTO.Descricao="","DESCRIÇÃO",IF(AND($C575="S",ORÇAMENTO.Unidade=""),"UNIDADE",IF($X575&lt;0,"VALOR NEGATIVO",IF(OR(AND(TIPOORCAMENTO="Proposto",$AG575&lt;&gt;"",$AG575&gt;0,ORÇAMENTO.CustoUnitario&gt;$AG575),AND(TIPOORCAMENTO="LICITADO",ORÇAMENTO.PrecoUnitarioLicitado&gt;$AN575)),"ACIMA REF.","")))))</f>
        <v/>
      </c>
      <c r="AD575" t="str">
        <f ca="1">IF(C575&lt;=CRONO.NivelExibicao,MAX($AD$15:OFFSET(AD575,-1,0))+IF($C575&lt;&gt;1,1,MAX(1,COUNTIF(QCI!$A$13:$A$24,OFFSET($E575,-1,0)))),"")</f>
        <v/>
      </c>
      <c r="AE575" s="7" t="str">
        <f ca="1">IF(AND($C575="S",ORÇAMENTO.CodBarra&lt;&gt;""),IF(ORÇAMENTO.Fonte="",ORÇAMENTO.CodBarra,CONCATENATE(ORÇAMENTO.Fonte," ",ORÇAMENTO.CodBarra)))</f>
        <v>Composição FNDE 24</v>
      </c>
      <c r="AF575" s="13" t="str">
        <f ca="1">IF(ISERROR(INDIRECT(ORÇAMENTO.BancoRef)),"(abra o arquivo 'Referência "&amp;Excel_BuiltIn_Database&amp;".xlsm)",IF(OR($C575&lt;&gt;"S",ORÇAMENTO.CodBarra=""),"(Sem Código)",IF(ISERROR(MATCH($AE575,INDIRECT(ORÇAMENTO.BancoRef),0)),"(Código não identificado nas referências)",MATCH($AE575,INDIRECT(ORÇAMENTO.BancoRef),0))))</f>
        <v>(abra o arquivo 'Referência 02-2025.xlsm)</v>
      </c>
      <c r="AG575" s="498">
        <f ca="1">ROUND(IF(DESONERACAO="sim",REFERENCIA.Desonerado,REFERENCIA.NaoDesonerado),2)</f>
        <v>0</v>
      </c>
      <c r="AH575" s="499">
        <f t="shared" ca="1" si="158"/>
        <v>0.22470000000000001</v>
      </c>
      <c r="AJ575" s="501">
        <v>121</v>
      </c>
      <c r="AL575" s="527"/>
      <c r="AM575" s="381">
        <f t="shared" ca="1" si="159"/>
        <v>0</v>
      </c>
      <c r="AN575" s="566">
        <f t="shared" ca="1" si="160"/>
        <v>0</v>
      </c>
    </row>
    <row r="576" spans="1:40" ht="38.25" x14ac:dyDescent="0.2">
      <c r="A576" t="str">
        <f t="shared" si="145"/>
        <v>S</v>
      </c>
      <c r="B576">
        <f t="shared" ca="1" si="146"/>
        <v>3</v>
      </c>
      <c r="C576" t="str">
        <f t="shared" ca="1" si="147"/>
        <v>S</v>
      </c>
      <c r="D576">
        <f t="shared" ca="1" si="148"/>
        <v>0</v>
      </c>
      <c r="E576">
        <f ca="1">IF($C576=1,OFFSET(E576,-1,0)+MAX(1,COUNTIF(QCI!$A$13:$A$24,OFFSET(ORÇAMENTO!E576,-1,0))),OFFSET(E576,-1,0))</f>
        <v>1</v>
      </c>
      <c r="F576">
        <f t="shared" ca="1" si="149"/>
        <v>17</v>
      </c>
      <c r="G576">
        <f t="shared" ca="1" si="150"/>
        <v>8</v>
      </c>
      <c r="H576">
        <f t="shared" ca="1" si="151"/>
        <v>0</v>
      </c>
      <c r="I576">
        <f t="shared" ca="1" si="152"/>
        <v>0</v>
      </c>
      <c r="J576">
        <f t="shared" ca="1" si="144"/>
        <v>0</v>
      </c>
      <c r="K576">
        <f ca="1">IF(OR($C576="S",$C576=0),0,MATCH(OFFSET($D576,0,$C576)+IF($C576&lt;&gt;1,1,COUNTIF(QCI!$A$13:$A$24,ORÇAMENTO!E576)),OFFSET($D576,1,$C576,ROW($C$747)-ROW($C576)),0))</f>
        <v>0</v>
      </c>
      <c r="L576" s="116" t="str">
        <f t="shared" ca="1" si="153"/>
        <v/>
      </c>
      <c r="M576" s="117" t="s">
        <v>199</v>
      </c>
      <c r="N576" s="118" t="str">
        <f t="shared" ca="1" si="154"/>
        <v>Serviço</v>
      </c>
      <c r="O576" s="119" t="str">
        <f t="shared" ca="1" si="155"/>
        <v>-</v>
      </c>
      <c r="P576" s="120" t="s">
        <v>712</v>
      </c>
      <c r="Q576" s="121" t="s">
        <v>976</v>
      </c>
      <c r="R576" s="122" t="str">
        <f ca="1">IF($C576="S",REFERENCIA.Descricao,"(digite a descrição aqui)")</f>
        <v>(abra o arquivo 'Referência 02-2025.xlsm)</v>
      </c>
      <c r="S576" s="123" t="str">
        <f ca="1">REFERENCIA.Unidade</f>
        <v>-</v>
      </c>
      <c r="T576" s="124">
        <f ca="1">OFFSET(CÁLCULO!H$15,ROW($T576)-ROW(T$15),0)</f>
        <v>105.3</v>
      </c>
      <c r="U576" s="125">
        <f t="shared" ca="1" si="161"/>
        <v>0</v>
      </c>
      <c r="V576" s="126" t="s">
        <v>156</v>
      </c>
      <c r="W576" s="124">
        <f ca="1">IF($C576="S",ROUND(IF(TIPOORCAMENTO="Proposto",ORÇAMENTO.CustoUnitario*(1+$AH576),ORÇAMENTO.PrecoUnitarioLicitado),15-13*$AF$10),0)</f>
        <v>0</v>
      </c>
      <c r="X576" s="127">
        <f ca="1">IF($C576="S",IF(Import.TipoArredondamento&lt;&gt;"TransfereGOV",VTOTAL1,SUM(OFFSET(CÁLCULO!$AA$15,ROW($X576)-ROW($X$15),1):OFFSET(CÁLCULO!$AL$15,ROW($X576)-ROW($X$15),-1))),IF($C576=0,0,ROUND(SomaAgrup,15-13*$AF$11)))</f>
        <v>0</v>
      </c>
      <c r="Y576" s="128" t="s">
        <v>245</v>
      </c>
      <c r="Z576" t="str">
        <f t="shared" ca="1" si="156"/>
        <v/>
      </c>
      <c r="AA576" s="129">
        <f ca="1">IF($C576="S",IF($Z576="CP",$X576,IF($Z576="RA",(($X576)*QCI!$AA$3),0)),SomaAgrup)</f>
        <v>0</v>
      </c>
      <c r="AB576" s="130">
        <f t="shared" ca="1" si="157"/>
        <v>0</v>
      </c>
      <c r="AC576" s="131" t="str">
        <f ca="1">IF($N576="","",IF(ORÇAMENTO.Descricao="","DESCRIÇÃO",IF(AND($C576="S",ORÇAMENTO.Unidade=""),"UNIDADE",IF($X576&lt;0,"VALOR NEGATIVO",IF(OR(AND(TIPOORCAMENTO="Proposto",$AG576&lt;&gt;"",$AG576&gt;0,ORÇAMENTO.CustoUnitario&gt;$AG576),AND(TIPOORCAMENTO="LICITADO",ORÇAMENTO.PrecoUnitarioLicitado&gt;$AN576)),"ACIMA REF.","")))))</f>
        <v/>
      </c>
      <c r="AD576" t="str">
        <f ca="1">IF(C576&lt;=CRONO.NivelExibicao,MAX($AD$15:OFFSET(AD576,-1,0))+IF($C576&lt;&gt;1,1,MAX(1,COUNTIF(QCI!$A$13:$A$24,OFFSET($E576,-1,0)))),"")</f>
        <v/>
      </c>
      <c r="AE576" s="7" t="str">
        <f ca="1">IF(AND($C576="S",ORÇAMENTO.CodBarra&lt;&gt;""),IF(ORÇAMENTO.Fonte="",ORÇAMENTO.CodBarra,CONCATENATE(ORÇAMENTO.Fonte," ",ORÇAMENTO.CodBarra)))</f>
        <v>Composição FNDE 25</v>
      </c>
      <c r="AF576" s="13" t="str">
        <f ca="1">IF(ISERROR(INDIRECT(ORÇAMENTO.BancoRef)),"(abra o arquivo 'Referência "&amp;Excel_BuiltIn_Database&amp;".xlsm)",IF(OR($C576&lt;&gt;"S",ORÇAMENTO.CodBarra=""),"(Sem Código)",IF(ISERROR(MATCH($AE576,INDIRECT(ORÇAMENTO.BancoRef),0)),"(Código não identificado nas referências)",MATCH($AE576,INDIRECT(ORÇAMENTO.BancoRef),0))))</f>
        <v>(abra o arquivo 'Referência 02-2025.xlsm)</v>
      </c>
      <c r="AG576" s="498">
        <f ca="1">ROUND(IF(DESONERACAO="sim",REFERENCIA.Desonerado,REFERENCIA.NaoDesonerado),2)</f>
        <v>0</v>
      </c>
      <c r="AH576" s="499">
        <f t="shared" ca="1" si="158"/>
        <v>0.22470000000000001</v>
      </c>
      <c r="AJ576" s="501">
        <v>105.3</v>
      </c>
      <c r="AL576" s="527"/>
      <c r="AM576" s="381">
        <f t="shared" ca="1" si="159"/>
        <v>0</v>
      </c>
      <c r="AN576" s="566">
        <f t="shared" ca="1" si="160"/>
        <v>0</v>
      </c>
    </row>
    <row r="577" spans="1:40" ht="25.5" x14ac:dyDescent="0.2">
      <c r="A577" t="str">
        <f t="shared" si="145"/>
        <v>S</v>
      </c>
      <c r="B577">
        <f t="shared" ca="1" si="146"/>
        <v>3</v>
      </c>
      <c r="C577" t="str">
        <f t="shared" ca="1" si="147"/>
        <v>S</v>
      </c>
      <c r="D577">
        <f t="shared" ca="1" si="148"/>
        <v>0</v>
      </c>
      <c r="E577">
        <f ca="1">IF($C577=1,OFFSET(E577,-1,0)+MAX(1,COUNTIF(QCI!$A$13:$A$24,OFFSET(ORÇAMENTO!E577,-1,0))),OFFSET(E577,-1,0))</f>
        <v>1</v>
      </c>
      <c r="F577">
        <f t="shared" ca="1" si="149"/>
        <v>17</v>
      </c>
      <c r="G577">
        <f t="shared" ca="1" si="150"/>
        <v>8</v>
      </c>
      <c r="H577">
        <f t="shared" ca="1" si="151"/>
        <v>0</v>
      </c>
      <c r="I577">
        <f t="shared" ca="1" si="152"/>
        <v>0</v>
      </c>
      <c r="J577">
        <f t="shared" ca="1" si="144"/>
        <v>0</v>
      </c>
      <c r="K577">
        <f ca="1">IF(OR($C577="S",$C577=0),0,MATCH(OFFSET($D577,0,$C577)+IF($C577&lt;&gt;1,1,COUNTIF(QCI!$A$13:$A$24,ORÇAMENTO!E577)),OFFSET($D577,1,$C577,ROW($C$747)-ROW($C577)),0))</f>
        <v>0</v>
      </c>
      <c r="L577" s="116" t="str">
        <f t="shared" ca="1" si="153"/>
        <v/>
      </c>
      <c r="M577" s="117" t="s">
        <v>199</v>
      </c>
      <c r="N577" s="118" t="str">
        <f t="shared" ca="1" si="154"/>
        <v>Serviço</v>
      </c>
      <c r="O577" s="119" t="str">
        <f t="shared" ca="1" si="155"/>
        <v>-</v>
      </c>
      <c r="P577" s="120" t="s">
        <v>712</v>
      </c>
      <c r="Q577" s="121" t="s">
        <v>977</v>
      </c>
      <c r="R577" s="122" t="str">
        <f ca="1">IF($C577="S",REFERENCIA.Descricao,"(digite a descrição aqui)")</f>
        <v>(abra o arquivo 'Referência 02-2025.xlsm)</v>
      </c>
      <c r="S577" s="123" t="str">
        <f ca="1">REFERENCIA.Unidade</f>
        <v>-</v>
      </c>
      <c r="T577" s="124">
        <f ca="1">OFFSET(CÁLCULO!H$15,ROW($T577)-ROW(T$15),0)</f>
        <v>92</v>
      </c>
      <c r="U577" s="125">
        <f t="shared" ca="1" si="161"/>
        <v>0</v>
      </c>
      <c r="V577" s="126" t="s">
        <v>156</v>
      </c>
      <c r="W577" s="124">
        <f ca="1">IF($C577="S",ROUND(IF(TIPOORCAMENTO="Proposto",ORÇAMENTO.CustoUnitario*(1+$AH577),ORÇAMENTO.PrecoUnitarioLicitado),15-13*$AF$10),0)</f>
        <v>0</v>
      </c>
      <c r="X577" s="127">
        <f ca="1">IF($C577="S",IF(Import.TipoArredondamento&lt;&gt;"TransfereGOV",VTOTAL1,SUM(OFFSET(CÁLCULO!$AA$15,ROW($X577)-ROW($X$15),1):OFFSET(CÁLCULO!$AL$15,ROW($X577)-ROW($X$15),-1))),IF($C577=0,0,ROUND(SomaAgrup,15-13*$AF$11)))</f>
        <v>0</v>
      </c>
      <c r="Y577" s="128" t="s">
        <v>245</v>
      </c>
      <c r="Z577" t="str">
        <f t="shared" ca="1" si="156"/>
        <v/>
      </c>
      <c r="AA577" s="129">
        <f ca="1">IF($C577="S",IF($Z577="CP",$X577,IF($Z577="RA",(($X577)*QCI!$AA$3),0)),SomaAgrup)</f>
        <v>0</v>
      </c>
      <c r="AB577" s="130">
        <f t="shared" ca="1" si="157"/>
        <v>0</v>
      </c>
      <c r="AC577" s="131" t="str">
        <f ca="1">IF($N577="","",IF(ORÇAMENTO.Descricao="","DESCRIÇÃO",IF(AND($C577="S",ORÇAMENTO.Unidade=""),"UNIDADE",IF($X577&lt;0,"VALOR NEGATIVO",IF(OR(AND(TIPOORCAMENTO="Proposto",$AG577&lt;&gt;"",$AG577&gt;0,ORÇAMENTO.CustoUnitario&gt;$AG577),AND(TIPOORCAMENTO="LICITADO",ORÇAMENTO.PrecoUnitarioLicitado&gt;$AN577)),"ACIMA REF.","")))))</f>
        <v/>
      </c>
      <c r="AD577" t="str">
        <f ca="1">IF(C577&lt;=CRONO.NivelExibicao,MAX($AD$15:OFFSET(AD577,-1,0))+IF($C577&lt;&gt;1,1,MAX(1,COUNTIF(QCI!$A$13:$A$24,OFFSET($E577,-1,0)))),"")</f>
        <v/>
      </c>
      <c r="AE577" s="7" t="str">
        <f ca="1">IF(AND($C577="S",ORÇAMENTO.CodBarra&lt;&gt;""),IF(ORÇAMENTO.Fonte="",ORÇAMENTO.CodBarra,CONCATENATE(ORÇAMENTO.Fonte," ",ORÇAMENTO.CodBarra)))</f>
        <v>Composição FNDE 346</v>
      </c>
      <c r="AF577" s="13" t="str">
        <f ca="1">IF(ISERROR(INDIRECT(ORÇAMENTO.BancoRef)),"(abra o arquivo 'Referência "&amp;Excel_BuiltIn_Database&amp;".xlsm)",IF(OR($C577&lt;&gt;"S",ORÇAMENTO.CodBarra=""),"(Sem Código)",IF(ISERROR(MATCH($AE577,INDIRECT(ORÇAMENTO.BancoRef),0)),"(Código não identificado nas referências)",MATCH($AE577,INDIRECT(ORÇAMENTO.BancoRef),0))))</f>
        <v>(abra o arquivo 'Referência 02-2025.xlsm)</v>
      </c>
      <c r="AG577" s="498">
        <f ca="1">ROUND(IF(DESONERACAO="sim",REFERENCIA.Desonerado,REFERENCIA.NaoDesonerado),2)</f>
        <v>0</v>
      </c>
      <c r="AH577" s="499">
        <f t="shared" ca="1" si="158"/>
        <v>0.22470000000000001</v>
      </c>
      <c r="AJ577" s="501">
        <v>92</v>
      </c>
      <c r="AL577" s="527"/>
      <c r="AM577" s="381">
        <f t="shared" ca="1" si="159"/>
        <v>0</v>
      </c>
      <c r="AN577" s="566">
        <f t="shared" ca="1" si="160"/>
        <v>0</v>
      </c>
    </row>
    <row r="578" spans="1:40" ht="38.25" x14ac:dyDescent="0.2">
      <c r="A578" t="str">
        <f t="shared" si="145"/>
        <v>S</v>
      </c>
      <c r="B578">
        <f t="shared" ca="1" si="146"/>
        <v>3</v>
      </c>
      <c r="C578" t="str">
        <f t="shared" ca="1" si="147"/>
        <v>S</v>
      </c>
      <c r="D578">
        <f t="shared" ca="1" si="148"/>
        <v>0</v>
      </c>
      <c r="E578">
        <f ca="1">IF($C578=1,OFFSET(E578,-1,0)+MAX(1,COUNTIF(QCI!$A$13:$A$24,OFFSET(ORÇAMENTO!E578,-1,0))),OFFSET(E578,-1,0))</f>
        <v>1</v>
      </c>
      <c r="F578">
        <f t="shared" ca="1" si="149"/>
        <v>17</v>
      </c>
      <c r="G578">
        <f t="shared" ca="1" si="150"/>
        <v>8</v>
      </c>
      <c r="H578">
        <f t="shared" ca="1" si="151"/>
        <v>0</v>
      </c>
      <c r="I578">
        <f t="shared" ca="1" si="152"/>
        <v>0</v>
      </c>
      <c r="J578">
        <f t="shared" ca="1" si="144"/>
        <v>0</v>
      </c>
      <c r="K578">
        <f ca="1">IF(OR($C578="S",$C578=0),0,MATCH(OFFSET($D578,0,$C578)+IF($C578&lt;&gt;1,1,COUNTIF(QCI!$A$13:$A$24,ORÇAMENTO!E578)),OFFSET($D578,1,$C578,ROW($C$747)-ROW($C578)),0))</f>
        <v>0</v>
      </c>
      <c r="L578" s="116" t="str">
        <f t="shared" ca="1" si="153"/>
        <v/>
      </c>
      <c r="M578" s="117" t="s">
        <v>199</v>
      </c>
      <c r="N578" s="118" t="str">
        <f t="shared" ca="1" si="154"/>
        <v>Serviço</v>
      </c>
      <c r="O578" s="119" t="str">
        <f t="shared" ca="1" si="155"/>
        <v>-</v>
      </c>
      <c r="P578" s="120" t="s">
        <v>712</v>
      </c>
      <c r="Q578" s="121" t="s">
        <v>978</v>
      </c>
      <c r="R578" s="122" t="str">
        <f ca="1">IF($C578="S",REFERENCIA.Descricao,"(digite a descrição aqui)")</f>
        <v>(abra o arquivo 'Referência 02-2025.xlsm)</v>
      </c>
      <c r="S578" s="123" t="str">
        <f ca="1">REFERENCIA.Unidade</f>
        <v>-</v>
      </c>
      <c r="T578" s="124">
        <f ca="1">OFFSET(CÁLCULO!H$15,ROW($T578)-ROW(T$15),0)</f>
        <v>3</v>
      </c>
      <c r="U578" s="125">
        <f t="shared" ca="1" si="161"/>
        <v>0</v>
      </c>
      <c r="V578" s="126" t="s">
        <v>156</v>
      </c>
      <c r="W578" s="124">
        <f ca="1">IF($C578="S",ROUND(IF(TIPOORCAMENTO="Proposto",ORÇAMENTO.CustoUnitario*(1+$AH578),ORÇAMENTO.PrecoUnitarioLicitado),15-13*$AF$10),0)</f>
        <v>0</v>
      </c>
      <c r="X578" s="127">
        <f ca="1">IF($C578="S",IF(Import.TipoArredondamento&lt;&gt;"TransfereGOV",VTOTAL1,SUM(OFFSET(CÁLCULO!$AA$15,ROW($X578)-ROW($X$15),1):OFFSET(CÁLCULO!$AL$15,ROW($X578)-ROW($X$15),-1))),IF($C578=0,0,ROUND(SomaAgrup,15-13*$AF$11)))</f>
        <v>0</v>
      </c>
      <c r="Y578" s="128" t="s">
        <v>245</v>
      </c>
      <c r="Z578" t="str">
        <f t="shared" ca="1" si="156"/>
        <v/>
      </c>
      <c r="AA578" s="129">
        <f ca="1">IF($C578="S",IF($Z578="CP",$X578,IF($Z578="RA",(($X578)*QCI!$AA$3),0)),SomaAgrup)</f>
        <v>0</v>
      </c>
      <c r="AB578" s="130">
        <f t="shared" ca="1" si="157"/>
        <v>0</v>
      </c>
      <c r="AC578" s="131" t="str">
        <f ca="1">IF($N578="","",IF(ORÇAMENTO.Descricao="","DESCRIÇÃO",IF(AND($C578="S",ORÇAMENTO.Unidade=""),"UNIDADE",IF($X578&lt;0,"VALOR NEGATIVO",IF(OR(AND(TIPOORCAMENTO="Proposto",$AG578&lt;&gt;"",$AG578&gt;0,ORÇAMENTO.CustoUnitario&gt;$AG578),AND(TIPOORCAMENTO="LICITADO",ORÇAMENTO.PrecoUnitarioLicitado&gt;$AN578)),"ACIMA REF.","")))))</f>
        <v/>
      </c>
      <c r="AD578" t="str">
        <f ca="1">IF(C578&lt;=CRONO.NivelExibicao,MAX($AD$15:OFFSET(AD578,-1,0))+IF($C578&lt;&gt;1,1,MAX(1,COUNTIF(QCI!$A$13:$A$24,OFFSET($E578,-1,0)))),"")</f>
        <v/>
      </c>
      <c r="AE578" s="7" t="str">
        <f ca="1">IF(AND($C578="S",ORÇAMENTO.CodBarra&lt;&gt;""),IF(ORÇAMENTO.Fonte="",ORÇAMENTO.CodBarra,CONCATENATE(ORÇAMENTO.Fonte," ",ORÇAMENTO.CodBarra)))</f>
        <v>Composição FNDE 366</v>
      </c>
      <c r="AF578" s="13" t="str">
        <f ca="1">IF(ISERROR(INDIRECT(ORÇAMENTO.BancoRef)),"(abra o arquivo 'Referência "&amp;Excel_BuiltIn_Database&amp;".xlsm)",IF(OR($C578&lt;&gt;"S",ORÇAMENTO.CodBarra=""),"(Sem Código)",IF(ISERROR(MATCH($AE578,INDIRECT(ORÇAMENTO.BancoRef),0)),"(Código não identificado nas referências)",MATCH($AE578,INDIRECT(ORÇAMENTO.BancoRef),0))))</f>
        <v>(abra o arquivo 'Referência 02-2025.xlsm)</v>
      </c>
      <c r="AG578" s="498">
        <f ca="1">ROUND(IF(DESONERACAO="sim",REFERENCIA.Desonerado,REFERENCIA.NaoDesonerado),2)</f>
        <v>0</v>
      </c>
      <c r="AH578" s="499">
        <f t="shared" ca="1" si="158"/>
        <v>0.22470000000000001</v>
      </c>
      <c r="AJ578" s="501">
        <v>3</v>
      </c>
      <c r="AL578" s="527"/>
      <c r="AM578" s="381">
        <f t="shared" ca="1" si="159"/>
        <v>0</v>
      </c>
      <c r="AN578" s="566">
        <f t="shared" ca="1" si="160"/>
        <v>0</v>
      </c>
    </row>
    <row r="579" spans="1:40" ht="38.25" x14ac:dyDescent="0.2">
      <c r="A579" t="str">
        <f t="shared" si="145"/>
        <v>S</v>
      </c>
      <c r="B579">
        <f t="shared" ca="1" si="146"/>
        <v>3</v>
      </c>
      <c r="C579" t="str">
        <f t="shared" ca="1" si="147"/>
        <v>S</v>
      </c>
      <c r="D579">
        <f t="shared" ca="1" si="148"/>
        <v>0</v>
      </c>
      <c r="E579">
        <f ca="1">IF($C579=1,OFFSET(E579,-1,0)+MAX(1,COUNTIF(QCI!$A$13:$A$24,OFFSET(ORÇAMENTO!E579,-1,0))),OFFSET(E579,-1,0))</f>
        <v>1</v>
      </c>
      <c r="F579">
        <f t="shared" ca="1" si="149"/>
        <v>17</v>
      </c>
      <c r="G579">
        <f t="shared" ca="1" si="150"/>
        <v>8</v>
      </c>
      <c r="H579">
        <f t="shared" ca="1" si="151"/>
        <v>0</v>
      </c>
      <c r="I579">
        <f t="shared" ca="1" si="152"/>
        <v>0</v>
      </c>
      <c r="J579">
        <f t="shared" ca="1" si="144"/>
        <v>0</v>
      </c>
      <c r="K579">
        <f ca="1">IF(OR($C579="S",$C579=0),0,MATCH(OFFSET($D579,0,$C579)+IF($C579&lt;&gt;1,1,COUNTIF(QCI!$A$13:$A$24,ORÇAMENTO!E579)),OFFSET($D579,1,$C579,ROW($C$747)-ROW($C579)),0))</f>
        <v>0</v>
      </c>
      <c r="L579" s="116" t="str">
        <f t="shared" ca="1" si="153"/>
        <v/>
      </c>
      <c r="M579" s="117" t="s">
        <v>199</v>
      </c>
      <c r="N579" s="118" t="str">
        <f t="shared" ca="1" si="154"/>
        <v>Serviço</v>
      </c>
      <c r="O579" s="119" t="str">
        <f t="shared" ca="1" si="155"/>
        <v>-</v>
      </c>
      <c r="P579" s="120" t="s">
        <v>712</v>
      </c>
      <c r="Q579" s="121" t="s">
        <v>979</v>
      </c>
      <c r="R579" s="122" t="str">
        <f ca="1">IF($C579="S",REFERENCIA.Descricao,"(digite a descrição aqui)")</f>
        <v>(abra o arquivo 'Referência 02-2025.xlsm)</v>
      </c>
      <c r="S579" s="123" t="str">
        <f ca="1">REFERENCIA.Unidade</f>
        <v>-</v>
      </c>
      <c r="T579" s="124">
        <f ca="1">OFFSET(CÁLCULO!H$15,ROW($T579)-ROW(T$15),0)</f>
        <v>3</v>
      </c>
      <c r="U579" s="125">
        <f t="shared" ca="1" si="161"/>
        <v>0</v>
      </c>
      <c r="V579" s="126" t="s">
        <v>156</v>
      </c>
      <c r="W579" s="124">
        <f ca="1">IF($C579="S",ROUND(IF(TIPOORCAMENTO="Proposto",ORÇAMENTO.CustoUnitario*(1+$AH579),ORÇAMENTO.PrecoUnitarioLicitado),15-13*$AF$10),0)</f>
        <v>0</v>
      </c>
      <c r="X579" s="127">
        <f ca="1">IF($C579="S",IF(Import.TipoArredondamento&lt;&gt;"TransfereGOV",VTOTAL1,SUM(OFFSET(CÁLCULO!$AA$15,ROW($X579)-ROW($X$15),1):OFFSET(CÁLCULO!$AL$15,ROW($X579)-ROW($X$15),-1))),IF($C579=0,0,ROUND(SomaAgrup,15-13*$AF$11)))</f>
        <v>0</v>
      </c>
      <c r="Y579" s="128" t="s">
        <v>245</v>
      </c>
      <c r="Z579" t="str">
        <f t="shared" ca="1" si="156"/>
        <v/>
      </c>
      <c r="AA579" s="129">
        <f ca="1">IF($C579="S",IF($Z579="CP",$X579,IF($Z579="RA",(($X579)*QCI!$AA$3),0)),SomaAgrup)</f>
        <v>0</v>
      </c>
      <c r="AB579" s="130">
        <f t="shared" ca="1" si="157"/>
        <v>0</v>
      </c>
      <c r="AC579" s="131" t="str">
        <f ca="1">IF($N579="","",IF(ORÇAMENTO.Descricao="","DESCRIÇÃO",IF(AND($C579="S",ORÇAMENTO.Unidade=""),"UNIDADE",IF($X579&lt;0,"VALOR NEGATIVO",IF(OR(AND(TIPOORCAMENTO="Proposto",$AG579&lt;&gt;"",$AG579&gt;0,ORÇAMENTO.CustoUnitario&gt;$AG579),AND(TIPOORCAMENTO="LICITADO",ORÇAMENTO.PrecoUnitarioLicitado&gt;$AN579)),"ACIMA REF.","")))))</f>
        <v/>
      </c>
      <c r="AD579" t="str">
        <f ca="1">IF(C579&lt;=CRONO.NivelExibicao,MAX($AD$15:OFFSET(AD579,-1,0))+IF($C579&lt;&gt;1,1,MAX(1,COUNTIF(QCI!$A$13:$A$24,OFFSET($E579,-1,0)))),"")</f>
        <v/>
      </c>
      <c r="AE579" s="7" t="str">
        <f ca="1">IF(AND($C579="S",ORÇAMENTO.CodBarra&lt;&gt;""),IF(ORÇAMENTO.Fonte="",ORÇAMENTO.CodBarra,CONCATENATE(ORÇAMENTO.Fonte," ",ORÇAMENTO.CodBarra)))</f>
        <v>Composição FNDE 367</v>
      </c>
      <c r="AF579" s="13" t="str">
        <f ca="1">IF(ISERROR(INDIRECT(ORÇAMENTO.BancoRef)),"(abra o arquivo 'Referência "&amp;Excel_BuiltIn_Database&amp;".xlsm)",IF(OR($C579&lt;&gt;"S",ORÇAMENTO.CodBarra=""),"(Sem Código)",IF(ISERROR(MATCH($AE579,INDIRECT(ORÇAMENTO.BancoRef),0)),"(Código não identificado nas referências)",MATCH($AE579,INDIRECT(ORÇAMENTO.BancoRef),0))))</f>
        <v>(abra o arquivo 'Referência 02-2025.xlsm)</v>
      </c>
      <c r="AG579" s="498">
        <f ca="1">ROUND(IF(DESONERACAO="sim",REFERENCIA.Desonerado,REFERENCIA.NaoDesonerado),2)</f>
        <v>0</v>
      </c>
      <c r="AH579" s="499">
        <f t="shared" ca="1" si="158"/>
        <v>0.22470000000000001</v>
      </c>
      <c r="AJ579" s="501">
        <v>3</v>
      </c>
      <c r="AL579" s="527"/>
      <c r="AM579" s="381">
        <f t="shared" ca="1" si="159"/>
        <v>0</v>
      </c>
      <c r="AN579" s="566">
        <f t="shared" ca="1" si="160"/>
        <v>0</v>
      </c>
    </row>
    <row r="580" spans="1:40" ht="38.25" x14ac:dyDescent="0.2">
      <c r="A580" t="str">
        <f t="shared" si="145"/>
        <v>S</v>
      </c>
      <c r="B580">
        <f t="shared" ca="1" si="146"/>
        <v>3</v>
      </c>
      <c r="C580" t="str">
        <f t="shared" ca="1" si="147"/>
        <v>S</v>
      </c>
      <c r="D580">
        <f t="shared" ca="1" si="148"/>
        <v>0</v>
      </c>
      <c r="E580">
        <f ca="1">IF($C580=1,OFFSET(E580,-1,0)+MAX(1,COUNTIF(QCI!$A$13:$A$24,OFFSET(ORÇAMENTO!E580,-1,0))),OFFSET(E580,-1,0))</f>
        <v>1</v>
      </c>
      <c r="F580">
        <f t="shared" ca="1" si="149"/>
        <v>17</v>
      </c>
      <c r="G580">
        <f t="shared" ca="1" si="150"/>
        <v>8</v>
      </c>
      <c r="H580">
        <f t="shared" ca="1" si="151"/>
        <v>0</v>
      </c>
      <c r="I580">
        <f t="shared" ca="1" si="152"/>
        <v>0</v>
      </c>
      <c r="J580">
        <f t="shared" ca="1" si="144"/>
        <v>0</v>
      </c>
      <c r="K580">
        <f ca="1">IF(OR($C580="S",$C580=0),0,MATCH(OFFSET($D580,0,$C580)+IF($C580&lt;&gt;1,1,COUNTIF(QCI!$A$13:$A$24,ORÇAMENTO!E580)),OFFSET($D580,1,$C580,ROW($C$747)-ROW($C580)),0))</f>
        <v>0</v>
      </c>
      <c r="L580" s="116" t="str">
        <f t="shared" ca="1" si="153"/>
        <v/>
      </c>
      <c r="M580" s="117" t="s">
        <v>199</v>
      </c>
      <c r="N580" s="118" t="str">
        <f t="shared" ca="1" si="154"/>
        <v>Serviço</v>
      </c>
      <c r="O580" s="119" t="str">
        <f t="shared" ca="1" si="155"/>
        <v>-</v>
      </c>
      <c r="P580" s="120" t="s">
        <v>712</v>
      </c>
      <c r="Q580" s="121" t="s">
        <v>980</v>
      </c>
      <c r="R580" s="122" t="str">
        <f ca="1">IF($C580="S",REFERENCIA.Descricao,"(digite a descrição aqui)")</f>
        <v>(abra o arquivo 'Referência 02-2025.xlsm)</v>
      </c>
      <c r="S580" s="123" t="str">
        <f ca="1">REFERENCIA.Unidade</f>
        <v>-</v>
      </c>
      <c r="T580" s="124">
        <f ca="1">OFFSET(CÁLCULO!H$15,ROW($T580)-ROW(T$15),0)</f>
        <v>6</v>
      </c>
      <c r="U580" s="125">
        <f t="shared" ca="1" si="161"/>
        <v>0</v>
      </c>
      <c r="V580" s="126" t="s">
        <v>156</v>
      </c>
      <c r="W580" s="124">
        <f ca="1">IF($C580="S",ROUND(IF(TIPOORCAMENTO="Proposto",ORÇAMENTO.CustoUnitario*(1+$AH580),ORÇAMENTO.PrecoUnitarioLicitado),15-13*$AF$10),0)</f>
        <v>0</v>
      </c>
      <c r="X580" s="127">
        <f ca="1">IF($C580="S",IF(Import.TipoArredondamento&lt;&gt;"TransfereGOV",VTOTAL1,SUM(OFFSET(CÁLCULO!$AA$15,ROW($X580)-ROW($X$15),1):OFFSET(CÁLCULO!$AL$15,ROW($X580)-ROW($X$15),-1))),IF($C580=0,0,ROUND(SomaAgrup,15-13*$AF$11)))</f>
        <v>0</v>
      </c>
      <c r="Y580" s="128" t="s">
        <v>245</v>
      </c>
      <c r="Z580" t="str">
        <f t="shared" ca="1" si="156"/>
        <v/>
      </c>
      <c r="AA580" s="129">
        <f ca="1">IF($C580="S",IF($Z580="CP",$X580,IF($Z580="RA",(($X580)*QCI!$AA$3),0)),SomaAgrup)</f>
        <v>0</v>
      </c>
      <c r="AB580" s="130">
        <f t="shared" ca="1" si="157"/>
        <v>0</v>
      </c>
      <c r="AC580" s="131" t="str">
        <f ca="1">IF($N580="","",IF(ORÇAMENTO.Descricao="","DESCRIÇÃO",IF(AND($C580="S",ORÇAMENTO.Unidade=""),"UNIDADE",IF($X580&lt;0,"VALOR NEGATIVO",IF(OR(AND(TIPOORCAMENTO="Proposto",$AG580&lt;&gt;"",$AG580&gt;0,ORÇAMENTO.CustoUnitario&gt;$AG580),AND(TIPOORCAMENTO="LICITADO",ORÇAMENTO.PrecoUnitarioLicitado&gt;$AN580)),"ACIMA REF.","")))))</f>
        <v/>
      </c>
      <c r="AD580" t="str">
        <f ca="1">IF(C580&lt;=CRONO.NivelExibicao,MAX($AD$15:OFFSET(AD580,-1,0))+IF($C580&lt;&gt;1,1,MAX(1,COUNTIF(QCI!$A$13:$A$24,OFFSET($E580,-1,0)))),"")</f>
        <v/>
      </c>
      <c r="AE580" s="7" t="str">
        <f ca="1">IF(AND($C580="S",ORÇAMENTO.CodBarra&lt;&gt;""),IF(ORÇAMENTO.Fonte="",ORÇAMENTO.CodBarra,CONCATENATE(ORÇAMENTO.Fonte," ",ORÇAMENTO.CodBarra)))</f>
        <v>Composição FNDE 368</v>
      </c>
      <c r="AF580" s="13" t="str">
        <f ca="1">IF(ISERROR(INDIRECT(ORÇAMENTO.BancoRef)),"(abra o arquivo 'Referência "&amp;Excel_BuiltIn_Database&amp;".xlsm)",IF(OR($C580&lt;&gt;"S",ORÇAMENTO.CodBarra=""),"(Sem Código)",IF(ISERROR(MATCH($AE580,INDIRECT(ORÇAMENTO.BancoRef),0)),"(Código não identificado nas referências)",MATCH($AE580,INDIRECT(ORÇAMENTO.BancoRef),0))))</f>
        <v>(abra o arquivo 'Referência 02-2025.xlsm)</v>
      </c>
      <c r="AG580" s="498">
        <f ca="1">ROUND(IF(DESONERACAO="sim",REFERENCIA.Desonerado,REFERENCIA.NaoDesonerado),2)</f>
        <v>0</v>
      </c>
      <c r="AH580" s="499">
        <f t="shared" ca="1" si="158"/>
        <v>0.22470000000000001</v>
      </c>
      <c r="AJ580" s="501">
        <v>6</v>
      </c>
      <c r="AL580" s="527"/>
      <c r="AM580" s="381">
        <f t="shared" ca="1" si="159"/>
        <v>0</v>
      </c>
      <c r="AN580" s="566">
        <f t="shared" ca="1" si="160"/>
        <v>0</v>
      </c>
    </row>
    <row r="581" spans="1:40" x14ac:dyDescent="0.2">
      <c r="A581" t="str">
        <f t="shared" si="145"/>
        <v>S</v>
      </c>
      <c r="B581">
        <f t="shared" ca="1" si="146"/>
        <v>3</v>
      </c>
      <c r="C581" t="str">
        <f t="shared" ca="1" si="147"/>
        <v>S</v>
      </c>
      <c r="D581">
        <f t="shared" ca="1" si="148"/>
        <v>0</v>
      </c>
      <c r="E581">
        <f ca="1">IF($C581=1,OFFSET(E581,-1,0)+MAX(1,COUNTIF(QCI!$A$13:$A$24,OFFSET(ORÇAMENTO!E581,-1,0))),OFFSET(E581,-1,0))</f>
        <v>1</v>
      </c>
      <c r="F581">
        <f t="shared" ca="1" si="149"/>
        <v>17</v>
      </c>
      <c r="G581">
        <f t="shared" ca="1" si="150"/>
        <v>8</v>
      </c>
      <c r="H581">
        <f t="shared" ca="1" si="151"/>
        <v>0</v>
      </c>
      <c r="I581">
        <f t="shared" ca="1" si="152"/>
        <v>0</v>
      </c>
      <c r="J581">
        <f t="shared" ca="1" si="144"/>
        <v>0</v>
      </c>
      <c r="K581">
        <f ca="1">IF(OR($C581="S",$C581=0),0,MATCH(OFFSET($D581,0,$C581)+IF($C581&lt;&gt;1,1,COUNTIF(QCI!$A$13:$A$24,ORÇAMENTO!E581)),OFFSET($D581,1,$C581,ROW($C$747)-ROW($C581)),0))</f>
        <v>0</v>
      </c>
      <c r="L581" s="116" t="str">
        <f t="shared" ca="1" si="153"/>
        <v/>
      </c>
      <c r="M581" s="117" t="s">
        <v>199</v>
      </c>
      <c r="N581" s="118" t="str">
        <f t="shared" ca="1" si="154"/>
        <v>Serviço</v>
      </c>
      <c r="O581" s="119" t="str">
        <f t="shared" ca="1" si="155"/>
        <v>-</v>
      </c>
      <c r="P581" s="120" t="s">
        <v>712</v>
      </c>
      <c r="Q581" s="121" t="s">
        <v>851</v>
      </c>
      <c r="R581" s="122" t="str">
        <f ca="1">IF($C581="S",REFERENCIA.Descricao,"(digite a descrição aqui)")</f>
        <v>(abra o arquivo 'Referência 02-2025.xlsm)</v>
      </c>
      <c r="S581" s="123" t="str">
        <f ca="1">REFERENCIA.Unidade</f>
        <v>-</v>
      </c>
      <c r="T581" s="124">
        <f ca="1">OFFSET(CÁLCULO!H$15,ROW($T581)-ROW(T$15),0)</f>
        <v>1</v>
      </c>
      <c r="U581" s="125">
        <f t="shared" ca="1" si="161"/>
        <v>0</v>
      </c>
      <c r="V581" s="126" t="s">
        <v>156</v>
      </c>
      <c r="W581" s="124">
        <f ca="1">IF($C581="S",ROUND(IF(TIPOORCAMENTO="Proposto",ORÇAMENTO.CustoUnitario*(1+$AH581),ORÇAMENTO.PrecoUnitarioLicitado),15-13*$AF$10),0)</f>
        <v>0</v>
      </c>
      <c r="X581" s="127">
        <f ca="1">IF($C581="S",IF(Import.TipoArredondamento&lt;&gt;"TransfereGOV",VTOTAL1,SUM(OFFSET(CÁLCULO!$AA$15,ROW($X581)-ROW($X$15),1):OFFSET(CÁLCULO!$AL$15,ROW($X581)-ROW($X$15),-1))),IF($C581=0,0,ROUND(SomaAgrup,15-13*$AF$11)))</f>
        <v>0</v>
      </c>
      <c r="Y581" s="128" t="s">
        <v>245</v>
      </c>
      <c r="Z581" t="str">
        <f t="shared" ca="1" si="156"/>
        <v/>
      </c>
      <c r="AA581" s="129">
        <f ca="1">IF($C581="S",IF($Z581="CP",$X581,IF($Z581="RA",(($X581)*QCI!$AA$3),0)),SomaAgrup)</f>
        <v>0</v>
      </c>
      <c r="AB581" s="130">
        <f t="shared" ca="1" si="157"/>
        <v>0</v>
      </c>
      <c r="AC581" s="131" t="str">
        <f ca="1">IF($N581="","",IF(ORÇAMENTO.Descricao="","DESCRIÇÃO",IF(AND($C581="S",ORÇAMENTO.Unidade=""),"UNIDADE",IF($X581&lt;0,"VALOR NEGATIVO",IF(OR(AND(TIPOORCAMENTO="Proposto",$AG581&lt;&gt;"",$AG581&gt;0,ORÇAMENTO.CustoUnitario&gt;$AG581),AND(TIPOORCAMENTO="LICITADO",ORÇAMENTO.PrecoUnitarioLicitado&gt;$AN581)),"ACIMA REF.","")))))</f>
        <v/>
      </c>
      <c r="AD581" t="str">
        <f ca="1">IF(C581&lt;=CRONO.NivelExibicao,MAX($AD$15:OFFSET(AD581,-1,0))+IF($C581&lt;&gt;1,1,MAX(1,COUNTIF(QCI!$A$13:$A$24,OFFSET($E581,-1,0)))),"")</f>
        <v/>
      </c>
      <c r="AE581" s="7" t="str">
        <f ca="1">IF(AND($C581="S",ORÇAMENTO.CodBarra&lt;&gt;""),IF(ORÇAMENTO.Fonte="",ORÇAMENTO.CodBarra,CONCATENATE(ORÇAMENTO.Fonte," ",ORÇAMENTO.CodBarra)))</f>
        <v>Composição FNDE 369</v>
      </c>
      <c r="AF581" s="13" t="str">
        <f ca="1">IF(ISERROR(INDIRECT(ORÇAMENTO.BancoRef)),"(abra o arquivo 'Referência "&amp;Excel_BuiltIn_Database&amp;".xlsm)",IF(OR($C581&lt;&gt;"S",ORÇAMENTO.CodBarra=""),"(Sem Código)",IF(ISERROR(MATCH($AE581,INDIRECT(ORÇAMENTO.BancoRef),0)),"(Código não identificado nas referências)",MATCH($AE581,INDIRECT(ORÇAMENTO.BancoRef),0))))</f>
        <v>(abra o arquivo 'Referência 02-2025.xlsm)</v>
      </c>
      <c r="AG581" s="498">
        <f ca="1">ROUND(IF(DESONERACAO="sim",REFERENCIA.Desonerado,REFERENCIA.NaoDesonerado),2)</f>
        <v>0</v>
      </c>
      <c r="AH581" s="499">
        <f t="shared" ca="1" si="158"/>
        <v>0.22470000000000001</v>
      </c>
      <c r="AJ581" s="501">
        <v>1</v>
      </c>
      <c r="AL581" s="527"/>
      <c r="AM581" s="381">
        <f t="shared" ca="1" si="159"/>
        <v>0</v>
      </c>
      <c r="AN581" s="566">
        <f t="shared" ca="1" si="160"/>
        <v>0</v>
      </c>
    </row>
    <row r="582" spans="1:40" ht="25.5" x14ac:dyDescent="0.2">
      <c r="A582" t="str">
        <f t="shared" si="145"/>
        <v>S</v>
      </c>
      <c r="B582">
        <f t="shared" ca="1" si="146"/>
        <v>3</v>
      </c>
      <c r="C582" t="str">
        <f t="shared" ca="1" si="147"/>
        <v>S</v>
      </c>
      <c r="D582">
        <f t="shared" ca="1" si="148"/>
        <v>0</v>
      </c>
      <c r="E582">
        <f ca="1">IF($C582=1,OFFSET(E582,-1,0)+MAX(1,COUNTIF(QCI!$A$13:$A$24,OFFSET(ORÇAMENTO!E582,-1,0))),OFFSET(E582,-1,0))</f>
        <v>1</v>
      </c>
      <c r="F582">
        <f t="shared" ca="1" si="149"/>
        <v>17</v>
      </c>
      <c r="G582">
        <f t="shared" ca="1" si="150"/>
        <v>8</v>
      </c>
      <c r="H582">
        <f t="shared" ca="1" si="151"/>
        <v>0</v>
      </c>
      <c r="I582">
        <f t="shared" ca="1" si="152"/>
        <v>0</v>
      </c>
      <c r="J582">
        <f t="shared" ca="1" si="144"/>
        <v>0</v>
      </c>
      <c r="K582">
        <f ca="1">IF(OR($C582="S",$C582=0),0,MATCH(OFFSET($D582,0,$C582)+IF($C582&lt;&gt;1,1,COUNTIF(QCI!$A$13:$A$24,ORÇAMENTO!E582)),OFFSET($D582,1,$C582,ROW($C$747)-ROW($C582)),0))</f>
        <v>0</v>
      </c>
      <c r="L582" s="116" t="str">
        <f t="shared" ca="1" si="153"/>
        <v/>
      </c>
      <c r="M582" s="117" t="s">
        <v>199</v>
      </c>
      <c r="N582" s="118" t="str">
        <f t="shared" ca="1" si="154"/>
        <v>Serviço</v>
      </c>
      <c r="O582" s="119" t="str">
        <f t="shared" ca="1" si="155"/>
        <v>-</v>
      </c>
      <c r="P582" s="120" t="s">
        <v>712</v>
      </c>
      <c r="Q582" s="121" t="s">
        <v>1019</v>
      </c>
      <c r="R582" s="122" t="str">
        <f ca="1">IF($C582="S",REFERENCIA.Descricao,"(digite a descrição aqui)")</f>
        <v>(abra o arquivo 'Referência 02-2025.xlsm)</v>
      </c>
      <c r="S582" s="123" t="str">
        <f ca="1">REFERENCIA.Unidade</f>
        <v>-</v>
      </c>
      <c r="T582" s="124">
        <f ca="1">OFFSET(CÁLCULO!H$15,ROW($T582)-ROW(T$15),0)</f>
        <v>4</v>
      </c>
      <c r="U582" s="125">
        <f t="shared" ca="1" si="161"/>
        <v>0</v>
      </c>
      <c r="V582" s="126" t="s">
        <v>156</v>
      </c>
      <c r="W582" s="124">
        <f ca="1">IF($C582="S",ROUND(IF(TIPOORCAMENTO="Proposto",ORÇAMENTO.CustoUnitario*(1+$AH582),ORÇAMENTO.PrecoUnitarioLicitado),15-13*$AF$10),0)</f>
        <v>0</v>
      </c>
      <c r="X582" s="127">
        <f ca="1">IF($C582="S",IF(Import.TipoArredondamento&lt;&gt;"TransfereGOV",VTOTAL1,SUM(OFFSET(CÁLCULO!$AA$15,ROW($X582)-ROW($X$15),1):OFFSET(CÁLCULO!$AL$15,ROW($X582)-ROW($X$15),-1))),IF($C582=0,0,ROUND(SomaAgrup,15-13*$AF$11)))</f>
        <v>0</v>
      </c>
      <c r="Y582" s="128" t="s">
        <v>245</v>
      </c>
      <c r="Z582" t="str">
        <f t="shared" ca="1" si="156"/>
        <v/>
      </c>
      <c r="AA582" s="129">
        <f ca="1">IF($C582="S",IF($Z582="CP",$X582,IF($Z582="RA",(($X582)*QCI!$AA$3),0)),SomaAgrup)</f>
        <v>0</v>
      </c>
      <c r="AB582" s="130">
        <f t="shared" ca="1" si="157"/>
        <v>0</v>
      </c>
      <c r="AC582" s="131" t="str">
        <f ca="1">IF($N582="","",IF(ORÇAMENTO.Descricao="","DESCRIÇÃO",IF(AND($C582="S",ORÇAMENTO.Unidade=""),"UNIDADE",IF($X582&lt;0,"VALOR NEGATIVO",IF(OR(AND(TIPOORCAMENTO="Proposto",$AG582&lt;&gt;"",$AG582&gt;0,ORÇAMENTO.CustoUnitario&gt;$AG582),AND(TIPOORCAMENTO="LICITADO",ORÇAMENTO.PrecoUnitarioLicitado&gt;$AN582)),"ACIMA REF.","")))))</f>
        <v/>
      </c>
      <c r="AD582" t="str">
        <f ca="1">IF(C582&lt;=CRONO.NivelExibicao,MAX($AD$15:OFFSET(AD582,-1,0))+IF($C582&lt;&gt;1,1,MAX(1,COUNTIF(QCI!$A$13:$A$24,OFFSET($E582,-1,0)))),"")</f>
        <v/>
      </c>
      <c r="AE582" s="7" t="str">
        <f ca="1">IF(AND($C582="S",ORÇAMENTO.CodBarra&lt;&gt;""),IF(ORÇAMENTO.Fonte="",ORÇAMENTO.CodBarra,CONCATENATE(ORÇAMENTO.Fonte," ",ORÇAMENTO.CodBarra)))</f>
        <v xml:space="preserve">Composição FNDE 371 </v>
      </c>
      <c r="AF582" s="13" t="str">
        <f ca="1">IF(ISERROR(INDIRECT(ORÇAMENTO.BancoRef)),"(abra o arquivo 'Referência "&amp;Excel_BuiltIn_Database&amp;".xlsm)",IF(OR($C582&lt;&gt;"S",ORÇAMENTO.CodBarra=""),"(Sem Código)",IF(ISERROR(MATCH($AE582,INDIRECT(ORÇAMENTO.BancoRef),0)),"(Código não identificado nas referências)",MATCH($AE582,INDIRECT(ORÇAMENTO.BancoRef),0))))</f>
        <v>(abra o arquivo 'Referência 02-2025.xlsm)</v>
      </c>
      <c r="AG582" s="498">
        <f ca="1">ROUND(IF(DESONERACAO="sim",REFERENCIA.Desonerado,REFERENCIA.NaoDesonerado),2)</f>
        <v>0</v>
      </c>
      <c r="AH582" s="499">
        <f t="shared" ca="1" si="158"/>
        <v>0.22470000000000001</v>
      </c>
      <c r="AJ582" s="501">
        <v>4</v>
      </c>
      <c r="AL582" s="527"/>
      <c r="AM582" s="381">
        <f t="shared" ca="1" si="159"/>
        <v>0</v>
      </c>
      <c r="AN582" s="566">
        <f t="shared" ca="1" si="160"/>
        <v>0</v>
      </c>
    </row>
    <row r="583" spans="1:40" ht="25.5" x14ac:dyDescent="0.2">
      <c r="A583" t="str">
        <f t="shared" si="145"/>
        <v>S</v>
      </c>
      <c r="B583">
        <f t="shared" ca="1" si="146"/>
        <v>3</v>
      </c>
      <c r="C583" t="str">
        <f t="shared" ca="1" si="147"/>
        <v>S</v>
      </c>
      <c r="D583">
        <f t="shared" ca="1" si="148"/>
        <v>0</v>
      </c>
      <c r="E583">
        <f ca="1">IF($C583=1,OFFSET(E583,-1,0)+MAX(1,COUNTIF(QCI!$A$13:$A$24,OFFSET(ORÇAMENTO!E583,-1,0))),OFFSET(E583,-1,0))</f>
        <v>1</v>
      </c>
      <c r="F583">
        <f t="shared" ca="1" si="149"/>
        <v>17</v>
      </c>
      <c r="G583">
        <f t="shared" ca="1" si="150"/>
        <v>8</v>
      </c>
      <c r="H583">
        <f t="shared" ca="1" si="151"/>
        <v>0</v>
      </c>
      <c r="I583">
        <f t="shared" ca="1" si="152"/>
        <v>0</v>
      </c>
      <c r="J583">
        <f t="shared" ca="1" si="144"/>
        <v>0</v>
      </c>
      <c r="K583">
        <f ca="1">IF(OR($C583="S",$C583=0),0,MATCH(OFFSET($D583,0,$C583)+IF($C583&lt;&gt;1,1,COUNTIF(QCI!$A$13:$A$24,ORÇAMENTO!E583)),OFFSET($D583,1,$C583,ROW($C$747)-ROW($C583)),0))</f>
        <v>0</v>
      </c>
      <c r="L583" s="116" t="str">
        <f t="shared" ca="1" si="153"/>
        <v/>
      </c>
      <c r="M583" s="117" t="s">
        <v>199</v>
      </c>
      <c r="N583" s="118" t="str">
        <f t="shared" ca="1" si="154"/>
        <v>Serviço</v>
      </c>
      <c r="O583" s="119" t="str">
        <f t="shared" ca="1" si="155"/>
        <v>-</v>
      </c>
      <c r="P583" s="120" t="s">
        <v>712</v>
      </c>
      <c r="Q583" s="121" t="s">
        <v>981</v>
      </c>
      <c r="R583" s="122" t="str">
        <f ca="1">IF($C583="S",REFERENCIA.Descricao,"(digite a descrição aqui)")</f>
        <v>(abra o arquivo 'Referência 02-2025.xlsm)</v>
      </c>
      <c r="S583" s="123" t="str">
        <f ca="1">REFERENCIA.Unidade</f>
        <v>-</v>
      </c>
      <c r="T583" s="124">
        <f ca="1">OFFSET(CÁLCULO!H$15,ROW($T583)-ROW(T$15),0)</f>
        <v>8</v>
      </c>
      <c r="U583" s="125">
        <f t="shared" ca="1" si="161"/>
        <v>0</v>
      </c>
      <c r="V583" s="126" t="s">
        <v>156</v>
      </c>
      <c r="W583" s="124">
        <f ca="1">IF($C583="S",ROUND(IF(TIPOORCAMENTO="Proposto",ORÇAMENTO.CustoUnitario*(1+$AH583),ORÇAMENTO.PrecoUnitarioLicitado),15-13*$AF$10),0)</f>
        <v>0</v>
      </c>
      <c r="X583" s="127">
        <f ca="1">IF($C583="S",IF(Import.TipoArredondamento&lt;&gt;"TransfereGOV",VTOTAL1,SUM(OFFSET(CÁLCULO!$AA$15,ROW($X583)-ROW($X$15),1):OFFSET(CÁLCULO!$AL$15,ROW($X583)-ROW($X$15),-1))),IF($C583=0,0,ROUND(SomaAgrup,15-13*$AF$11)))</f>
        <v>0</v>
      </c>
      <c r="Y583" s="128" t="s">
        <v>245</v>
      </c>
      <c r="Z583" t="str">
        <f t="shared" ca="1" si="156"/>
        <v/>
      </c>
      <c r="AA583" s="129">
        <f ca="1">IF($C583="S",IF($Z583="CP",$X583,IF($Z583="RA",(($X583)*QCI!$AA$3),0)),SomaAgrup)</f>
        <v>0</v>
      </c>
      <c r="AB583" s="130">
        <f t="shared" ca="1" si="157"/>
        <v>0</v>
      </c>
      <c r="AC583" s="131" t="str">
        <f ca="1">IF($N583="","",IF(ORÇAMENTO.Descricao="","DESCRIÇÃO",IF(AND($C583="S",ORÇAMENTO.Unidade=""),"UNIDADE",IF($X583&lt;0,"VALOR NEGATIVO",IF(OR(AND(TIPOORCAMENTO="Proposto",$AG583&lt;&gt;"",$AG583&gt;0,ORÇAMENTO.CustoUnitario&gt;$AG583),AND(TIPOORCAMENTO="LICITADO",ORÇAMENTO.PrecoUnitarioLicitado&gt;$AN583)),"ACIMA REF.","")))))</f>
        <v/>
      </c>
      <c r="AD583" t="str">
        <f ca="1">IF(C583&lt;=CRONO.NivelExibicao,MAX($AD$15:OFFSET(AD583,-1,0))+IF($C583&lt;&gt;1,1,MAX(1,COUNTIF(QCI!$A$13:$A$24,OFFSET($E583,-1,0)))),"")</f>
        <v/>
      </c>
      <c r="AE583" s="7" t="str">
        <f ca="1">IF(AND($C583="S",ORÇAMENTO.CodBarra&lt;&gt;""),IF(ORÇAMENTO.Fonte="",ORÇAMENTO.CodBarra,CONCATENATE(ORÇAMENTO.Fonte," ",ORÇAMENTO.CodBarra)))</f>
        <v>Composição FNDE 370</v>
      </c>
      <c r="AF583" s="13" t="str">
        <f ca="1">IF(ISERROR(INDIRECT(ORÇAMENTO.BancoRef)),"(abra o arquivo 'Referência "&amp;Excel_BuiltIn_Database&amp;".xlsm)",IF(OR($C583&lt;&gt;"S",ORÇAMENTO.CodBarra=""),"(Sem Código)",IF(ISERROR(MATCH($AE583,INDIRECT(ORÇAMENTO.BancoRef),0)),"(Código não identificado nas referências)",MATCH($AE583,INDIRECT(ORÇAMENTO.BancoRef),0))))</f>
        <v>(abra o arquivo 'Referência 02-2025.xlsm)</v>
      </c>
      <c r="AG583" s="498">
        <f ca="1">ROUND(IF(DESONERACAO="sim",REFERENCIA.Desonerado,REFERENCIA.NaoDesonerado),2)</f>
        <v>0</v>
      </c>
      <c r="AH583" s="499">
        <f t="shared" ca="1" si="158"/>
        <v>0.22470000000000001</v>
      </c>
      <c r="AJ583" s="501">
        <v>8</v>
      </c>
      <c r="AL583" s="527"/>
      <c r="AM583" s="381">
        <f t="shared" ca="1" si="159"/>
        <v>0</v>
      </c>
      <c r="AN583" s="566">
        <f t="shared" ca="1" si="160"/>
        <v>0</v>
      </c>
    </row>
    <row r="584" spans="1:40" x14ac:dyDescent="0.2">
      <c r="A584">
        <f t="shared" ref="A584:A628" si="162">CHOOSE(1+LOG(1+2*(ORÇAMENTO.Nivel="Meta")+4*(ORÇAMENTO.Nivel="Nível 2")+8*(ORÇAMENTO.Nivel="Nível 3")+16*(ORÇAMENTO.Nivel="Nível 4")+32*(ORÇAMENTO.Nivel="Serviço"),2),0,1,2,3,4,"S")</f>
        <v>3</v>
      </c>
      <c r="B584">
        <f t="shared" ca="1" si="146"/>
        <v>3</v>
      </c>
      <c r="C584">
        <f t="shared" ca="1" si="147"/>
        <v>3</v>
      </c>
      <c r="D584">
        <f t="shared" ca="1" si="148"/>
        <v>9</v>
      </c>
      <c r="E584">
        <f ca="1">IF($C584=1,OFFSET(E584,-1,0)+MAX(1,COUNTIF(QCI!$A$13:$A$24,OFFSET(ORÇAMENTO!E584,-1,0))),OFFSET(E584,-1,0))</f>
        <v>1</v>
      </c>
      <c r="F584">
        <f t="shared" ca="1" si="149"/>
        <v>17</v>
      </c>
      <c r="G584">
        <f t="shared" ca="1" si="150"/>
        <v>9</v>
      </c>
      <c r="H584">
        <f t="shared" ca="1" si="151"/>
        <v>0</v>
      </c>
      <c r="I584">
        <f t="shared" ca="1" si="152"/>
        <v>0</v>
      </c>
      <c r="J584">
        <f t="shared" ca="1" si="144"/>
        <v>24</v>
      </c>
      <c r="K584">
        <f ca="1">IF(OR($C584="S",$C584=0),0,MATCH(OFFSET($D584,0,$C584)+IF($C584&lt;&gt;1,1,COUNTIF(QCI!$A$13:$A$24,ORÇAMENTO!E584)),OFFSET($D584,1,$C584,ROW($C$747)-ROW($C584)),0))</f>
        <v>9</v>
      </c>
      <c r="L584" s="116" t="str">
        <f t="shared" ca="1" si="153"/>
        <v>F</v>
      </c>
      <c r="M584" s="117" t="s">
        <v>197</v>
      </c>
      <c r="N584" s="118" t="str">
        <f t="shared" ca="1" si="154"/>
        <v>Nível 3</v>
      </c>
      <c r="O584" s="119" t="str">
        <f t="shared" ca="1" si="155"/>
        <v>1.17.9.</v>
      </c>
      <c r="P584" s="120" t="s">
        <v>247</v>
      </c>
      <c r="Q584" s="121"/>
      <c r="R584" s="122" t="str">
        <f ca="1">IF($C584="S",REFERENCIA.Descricao,"ELETRODUTOS")</f>
        <v>ELETRODUTOS</v>
      </c>
      <c r="S584" s="123" t="str">
        <f ca="1">REFERENCIA.Unidade</f>
        <v>-</v>
      </c>
      <c r="T584" s="124">
        <f ca="1">OFFSET(CÁLCULO!H$15,ROW($T584)-ROW(T$15),0)</f>
        <v>0</v>
      </c>
      <c r="U584" s="125">
        <f t="shared" ca="1" si="161"/>
        <v>0</v>
      </c>
      <c r="V584" s="126" t="s">
        <v>156</v>
      </c>
      <c r="W584" s="124">
        <f ca="1">IF($C584="S",ROUND(IF(TIPOORCAMENTO="Proposto",ORÇAMENTO.CustoUnitario*(1+$AH584),ORÇAMENTO.PrecoUnitarioLicitado),15-13*$AF$10),0)</f>
        <v>0</v>
      </c>
      <c r="X584" s="127">
        <f ca="1">IF($C584="S",IF(Import.TipoArredondamento&lt;&gt;"TransfereGOV",VTOTAL1,SUM(OFFSET(CÁLCULO!$AA$15,ROW($X584)-ROW($X$15),1):OFFSET(CÁLCULO!$AL$15,ROW($X584)-ROW($X$15),-1))),IF($C584=0,0,ROUND(SomaAgrup,15-13*$AF$11)))</f>
        <v>0</v>
      </c>
      <c r="Y584" s="128" t="s">
        <v>245</v>
      </c>
      <c r="Z584" t="str">
        <f t="shared" ca="1" si="156"/>
        <v/>
      </c>
      <c r="AA584" s="129">
        <f ca="1">IF($C584="S",IF($Z584="CP",$X584,IF($Z584="RA",(($X584)*QCI!$AA$3),0)),SomaAgrup)</f>
        <v>0</v>
      </c>
      <c r="AB584" s="130">
        <f t="shared" ref="AB584:AB628" ca="1" si="163">IF($C584="S",IF($Z584="OU",ROUND($X584,2),0),SomaAgrup)</f>
        <v>0</v>
      </c>
      <c r="AC584" s="131" t="str">
        <f ca="1">IF($N584="","",IF(ORÇAMENTO.Descricao="","DESCRIÇÃO",IF(AND($C584="S",ORÇAMENTO.Unidade=""),"UNIDADE",IF($X584&lt;0,"VALOR NEGATIVO",IF(OR(AND(TIPOORCAMENTO="Proposto",$AG584&lt;&gt;"",$AG584&gt;0,ORÇAMENTO.CustoUnitario&gt;$AG584),AND(TIPOORCAMENTO="LICITADO",ORÇAMENTO.PrecoUnitarioLicitado&gt;$AN584)),"ACIMA REF.","")))))</f>
        <v/>
      </c>
      <c r="AD584" t="str">
        <f ca="1">IF(C584&lt;=CRONO.NivelExibicao,MAX($AD$15:OFFSET(AD584,-1,0))+IF($C584&lt;&gt;1,1,MAX(1,COUNTIF(QCI!$A$13:$A$24,OFFSET($E584,-1,0)))),"")</f>
        <v/>
      </c>
      <c r="AE584" s="7" t="b">
        <f ca="1">IF(AND($C584="S",ORÇAMENTO.CodBarra&lt;&gt;""),IF(ORÇAMENTO.Fonte="",ORÇAMENTO.CodBarra,CONCATENATE(ORÇAMENTO.Fonte," ",ORÇAMENTO.CodBarra)))</f>
        <v>0</v>
      </c>
      <c r="AF584" s="13" t="str">
        <f ca="1">IF(ISERROR(INDIRECT(ORÇAMENTO.BancoRef)),"(abra o arquivo 'Referência "&amp;Excel_BuiltIn_Database&amp;".xlsm)",IF(OR($C584&lt;&gt;"S",ORÇAMENTO.CodBarra=""),"(Sem Código)",IF(ISERROR(MATCH($AE584,INDIRECT(ORÇAMENTO.BancoRef),0)),"(Código não identificado nas referências)",MATCH($AE584,INDIRECT(ORÇAMENTO.BancoRef),0))))</f>
        <v>(abra o arquivo 'Referência 02-2025.xlsm)</v>
      </c>
      <c r="AG584" s="498">
        <f ca="1">ROUND(IF(DESONERACAO="sim",REFERENCIA.Desonerado,REFERENCIA.NaoDesonerado),2)</f>
        <v>0</v>
      </c>
      <c r="AH584" s="499">
        <f t="shared" ref="AH584:AH628" ca="1" si="164">ROUND(IF(ISNUMBER(ORÇAMENTO.OpcaoBDI),ORÇAMENTO.OpcaoBDI,IF(LEFT(ORÇAMENTO.OpcaoBDI,3)="BDI",HLOOKUP(ORÇAMENTO.OpcaoBDI,$F$4:$H$5,2,FALSE),0)),15-11*$AF$9)</f>
        <v>0.22470000000000001</v>
      </c>
      <c r="AJ584" s="501"/>
      <c r="AL584" s="527"/>
      <c r="AM584" s="381">
        <f t="shared" ca="1" si="159"/>
        <v>0</v>
      </c>
      <c r="AN584" s="566">
        <f t="shared" ref="AN584:AN628" ca="1" si="165">ROUND(ORÇAMENTO.CustoUnitario*(1+$AH584),2)</f>
        <v>0</v>
      </c>
    </row>
    <row r="585" spans="1:40" ht="38.25" x14ac:dyDescent="0.2">
      <c r="A585" t="str">
        <f t="shared" si="162"/>
        <v>S</v>
      </c>
      <c r="B585">
        <f t="shared" ca="1" si="146"/>
        <v>3</v>
      </c>
      <c r="C585" t="str">
        <f t="shared" ca="1" si="147"/>
        <v>S</v>
      </c>
      <c r="D585">
        <f t="shared" ca="1" si="148"/>
        <v>0</v>
      </c>
      <c r="E585">
        <f ca="1">IF($C585=1,OFFSET(E585,-1,0)+MAX(1,COUNTIF(QCI!$A$13:$A$24,OFFSET(ORÇAMENTO!E585,-1,0))),OFFSET(E585,-1,0))</f>
        <v>1</v>
      </c>
      <c r="F585">
        <f t="shared" ca="1" si="149"/>
        <v>17</v>
      </c>
      <c r="G585">
        <f t="shared" ca="1" si="150"/>
        <v>9</v>
      </c>
      <c r="H585">
        <f t="shared" ca="1" si="151"/>
        <v>0</v>
      </c>
      <c r="I585">
        <f t="shared" ca="1" si="152"/>
        <v>0</v>
      </c>
      <c r="J585">
        <f t="shared" ref="J585:J648" ca="1" si="166">IF(OR($C585="S",$C585=0),0,MATCH(0,OFFSET($D585,1,$C585,ROW($C$747)-ROW($C585)),0))</f>
        <v>0</v>
      </c>
      <c r="K585">
        <f ca="1">IF(OR($C585="S",$C585=0),0,MATCH(OFFSET($D585,0,$C585)+IF($C585&lt;&gt;1,1,COUNTIF(QCI!$A$13:$A$24,ORÇAMENTO!E585)),OFFSET($D585,1,$C585,ROW($C$747)-ROW($C585)),0))</f>
        <v>0</v>
      </c>
      <c r="L585" s="116" t="str">
        <f t="shared" ca="1" si="153"/>
        <v/>
      </c>
      <c r="M585" s="117" t="s">
        <v>199</v>
      </c>
      <c r="N585" s="118" t="str">
        <f t="shared" ca="1" si="154"/>
        <v>Serviço</v>
      </c>
      <c r="O585" s="119" t="str">
        <f t="shared" ca="1" si="155"/>
        <v>-</v>
      </c>
      <c r="P585" s="120" t="s">
        <v>247</v>
      </c>
      <c r="Q585" s="121" t="s">
        <v>686</v>
      </c>
      <c r="R585" s="122" t="str">
        <f ca="1">IF($C585="S",REFERENCIA.Descricao,"(digite a descrição aqui)")</f>
        <v>(abra o arquivo 'Referência 02-2025.xlsm)</v>
      </c>
      <c r="S585" s="123" t="str">
        <f ca="1">REFERENCIA.Unidade</f>
        <v>-</v>
      </c>
      <c r="T585" s="124">
        <f ca="1">OFFSET(CÁLCULO!H$15,ROW($T585)-ROW(T$15),0)</f>
        <v>108</v>
      </c>
      <c r="U585" s="125">
        <f t="shared" ca="1" si="161"/>
        <v>0</v>
      </c>
      <c r="V585" s="126" t="s">
        <v>156</v>
      </c>
      <c r="W585" s="124">
        <f ca="1">IF($C585="S",ROUND(IF(TIPOORCAMENTO="Proposto",ORÇAMENTO.CustoUnitario*(1+$AH585),ORÇAMENTO.PrecoUnitarioLicitado),15-13*$AF$10),0)</f>
        <v>0</v>
      </c>
      <c r="X585" s="127">
        <f ca="1">IF($C585="S",IF(Import.TipoArredondamento&lt;&gt;"TransfereGOV",VTOTAL1,SUM(OFFSET(CÁLCULO!$AA$15,ROW($X585)-ROW($X$15),1):OFFSET(CÁLCULO!$AL$15,ROW($X585)-ROW($X$15),-1))),IF($C585=0,0,ROUND(SomaAgrup,15-13*$AF$11)))</f>
        <v>0</v>
      </c>
      <c r="Y585" s="128" t="s">
        <v>245</v>
      </c>
      <c r="Z585" t="str">
        <f t="shared" ca="1" si="156"/>
        <v/>
      </c>
      <c r="AA585" s="129">
        <f ca="1">IF($C585="S",IF($Z585="CP",$X585,IF($Z585="RA",(($X585)*QCI!$AA$3),0)),SomaAgrup)</f>
        <v>0</v>
      </c>
      <c r="AB585" s="130">
        <f t="shared" ca="1" si="163"/>
        <v>0</v>
      </c>
      <c r="AC585" s="131" t="str">
        <f ca="1">IF($N585="","",IF(ORÇAMENTO.Descricao="","DESCRIÇÃO",IF(AND($C585="S",ORÇAMENTO.Unidade=""),"UNIDADE",IF($X585&lt;0,"VALOR NEGATIVO",IF(OR(AND(TIPOORCAMENTO="Proposto",$AG585&lt;&gt;"",$AG585&gt;0,ORÇAMENTO.CustoUnitario&gt;$AG585),AND(TIPOORCAMENTO="LICITADO",ORÇAMENTO.PrecoUnitarioLicitado&gt;$AN585)),"ACIMA REF.","")))))</f>
        <v/>
      </c>
      <c r="AD585" t="str">
        <f ca="1">IF(C585&lt;=CRONO.NivelExibicao,MAX($AD$15:OFFSET(AD585,-1,0))+IF($C585&lt;&gt;1,1,MAX(1,COUNTIF(QCI!$A$13:$A$24,OFFSET($E585,-1,0)))),"")</f>
        <v/>
      </c>
      <c r="AE585" s="7" t="str">
        <f ca="1">IF(AND($C585="S",ORÇAMENTO.CodBarra&lt;&gt;""),IF(ORÇAMENTO.Fonte="",ORÇAMENTO.CodBarra,CONCATENATE(ORÇAMENTO.Fonte," ",ORÇAMENTO.CodBarra)))</f>
        <v>SINAPI 91837</v>
      </c>
      <c r="AF585" s="13" t="str">
        <f ca="1">IF(ISERROR(INDIRECT(ORÇAMENTO.BancoRef)),"(abra o arquivo 'Referência "&amp;Excel_BuiltIn_Database&amp;".xlsm)",IF(OR($C585&lt;&gt;"S",ORÇAMENTO.CodBarra=""),"(Sem Código)",IF(ISERROR(MATCH($AE585,INDIRECT(ORÇAMENTO.BancoRef),0)),"(Código não identificado nas referências)",MATCH($AE585,INDIRECT(ORÇAMENTO.BancoRef),0))))</f>
        <v>(abra o arquivo 'Referência 02-2025.xlsm)</v>
      </c>
      <c r="AG585" s="498">
        <f ca="1">ROUND(IF(DESONERACAO="sim",REFERENCIA.Desonerado,REFERENCIA.NaoDesonerado),2)</f>
        <v>0</v>
      </c>
      <c r="AH585" s="499">
        <f t="shared" ca="1" si="164"/>
        <v>0.22470000000000001</v>
      </c>
      <c r="AJ585" s="501">
        <v>108</v>
      </c>
      <c r="AL585" s="527"/>
      <c r="AM585" s="381">
        <f t="shared" ca="1" si="159"/>
        <v>0</v>
      </c>
      <c r="AN585" s="566">
        <f t="shared" ca="1" si="165"/>
        <v>0</v>
      </c>
    </row>
    <row r="586" spans="1:40" ht="38.25" x14ac:dyDescent="0.2">
      <c r="A586" t="str">
        <f t="shared" si="162"/>
        <v>S</v>
      </c>
      <c r="B586">
        <f t="shared" ca="1" si="146"/>
        <v>3</v>
      </c>
      <c r="C586" t="str">
        <f t="shared" ca="1" si="147"/>
        <v>S</v>
      </c>
      <c r="D586">
        <f t="shared" ca="1" si="148"/>
        <v>0</v>
      </c>
      <c r="E586">
        <f ca="1">IF($C586=1,OFFSET(E586,-1,0)+MAX(1,COUNTIF(QCI!$A$13:$A$24,OFFSET(ORÇAMENTO!E586,-1,0))),OFFSET(E586,-1,0))</f>
        <v>1</v>
      </c>
      <c r="F586">
        <f t="shared" ca="1" si="149"/>
        <v>17</v>
      </c>
      <c r="G586">
        <f t="shared" ca="1" si="150"/>
        <v>9</v>
      </c>
      <c r="H586">
        <f t="shared" ca="1" si="151"/>
        <v>0</v>
      </c>
      <c r="I586">
        <f t="shared" ca="1" si="152"/>
        <v>0</v>
      </c>
      <c r="J586">
        <f t="shared" ca="1" si="166"/>
        <v>0</v>
      </c>
      <c r="K586">
        <f ca="1">IF(OR($C586="S",$C586=0),0,MATCH(OFFSET($D586,0,$C586)+IF($C586&lt;&gt;1,1,COUNTIF(QCI!$A$13:$A$24,ORÇAMENTO!E586)),OFFSET($D586,1,$C586,ROW($C$747)-ROW($C586)),0))</f>
        <v>0</v>
      </c>
      <c r="L586" s="116" t="str">
        <f t="shared" ca="1" si="153"/>
        <v/>
      </c>
      <c r="M586" s="117" t="s">
        <v>199</v>
      </c>
      <c r="N586" s="118" t="str">
        <f t="shared" ca="1" si="154"/>
        <v>Serviço</v>
      </c>
      <c r="O586" s="119" t="str">
        <f t="shared" ca="1" si="155"/>
        <v>-</v>
      </c>
      <c r="P586" s="120" t="s">
        <v>247</v>
      </c>
      <c r="Q586" s="121" t="s">
        <v>687</v>
      </c>
      <c r="R586" s="122" t="str">
        <f ca="1">IF($C586="S",REFERENCIA.Descricao,"(digite a descrição aqui)")</f>
        <v>(abra o arquivo 'Referência 02-2025.xlsm)</v>
      </c>
      <c r="S586" s="123" t="str">
        <f ca="1">REFERENCIA.Unidade</f>
        <v>-</v>
      </c>
      <c r="T586" s="124">
        <f ca="1">OFFSET(CÁLCULO!H$15,ROW($T586)-ROW(T$15),0)</f>
        <v>1553.6</v>
      </c>
      <c r="U586" s="125">
        <f t="shared" ca="1" si="161"/>
        <v>0</v>
      </c>
      <c r="V586" s="126" t="s">
        <v>156</v>
      </c>
      <c r="W586" s="124">
        <f ca="1">IF($C586="S",ROUND(IF(TIPOORCAMENTO="Proposto",ORÇAMENTO.CustoUnitario*(1+$AH586),ORÇAMENTO.PrecoUnitarioLicitado),15-13*$AF$10),0)</f>
        <v>0</v>
      </c>
      <c r="X586" s="127">
        <f ca="1">IF($C586="S",IF(Import.TipoArredondamento&lt;&gt;"TransfereGOV",VTOTAL1,SUM(OFFSET(CÁLCULO!$AA$15,ROW($X586)-ROW($X$15),1):OFFSET(CÁLCULO!$AL$15,ROW($X586)-ROW($X$15),-1))),IF($C586=0,0,ROUND(SomaAgrup,15-13*$AF$11)))</f>
        <v>0</v>
      </c>
      <c r="Y586" s="128" t="s">
        <v>245</v>
      </c>
      <c r="Z586" t="str">
        <f t="shared" ca="1" si="156"/>
        <v/>
      </c>
      <c r="AA586" s="129">
        <f ca="1">IF($C586="S",IF($Z586="CP",$X586,IF($Z586="RA",(($X586)*QCI!$AA$3),0)),SomaAgrup)</f>
        <v>0</v>
      </c>
      <c r="AB586" s="130">
        <f t="shared" ca="1" si="163"/>
        <v>0</v>
      </c>
      <c r="AC586" s="131" t="str">
        <f ca="1">IF($N586="","",IF(ORÇAMENTO.Descricao="","DESCRIÇÃO",IF(AND($C586="S",ORÇAMENTO.Unidade=""),"UNIDADE",IF($X586&lt;0,"VALOR NEGATIVO",IF(OR(AND(TIPOORCAMENTO="Proposto",$AG586&lt;&gt;"",$AG586&gt;0,ORÇAMENTO.CustoUnitario&gt;$AG586),AND(TIPOORCAMENTO="LICITADO",ORÇAMENTO.PrecoUnitarioLicitado&gt;$AN586)),"ACIMA REF.","")))))</f>
        <v/>
      </c>
      <c r="AD586" t="str">
        <f ca="1">IF(C586&lt;=CRONO.NivelExibicao,MAX($AD$15:OFFSET(AD586,-1,0))+IF($C586&lt;&gt;1,1,MAX(1,COUNTIF(QCI!$A$13:$A$24,OFFSET($E586,-1,0)))),"")</f>
        <v/>
      </c>
      <c r="AE586" s="7" t="str">
        <f ca="1">IF(AND($C586="S",ORÇAMENTO.CodBarra&lt;&gt;""),IF(ORÇAMENTO.Fonte="",ORÇAMENTO.CodBarra,CONCATENATE(ORÇAMENTO.Fonte," ",ORÇAMENTO.CodBarra)))</f>
        <v>SINAPI 91855</v>
      </c>
      <c r="AF586" s="13" t="str">
        <f ca="1">IF(ISERROR(INDIRECT(ORÇAMENTO.BancoRef)),"(abra o arquivo 'Referência "&amp;Excel_BuiltIn_Database&amp;".xlsm)",IF(OR($C586&lt;&gt;"S",ORÇAMENTO.CodBarra=""),"(Sem Código)",IF(ISERROR(MATCH($AE586,INDIRECT(ORÇAMENTO.BancoRef),0)),"(Código não identificado nas referências)",MATCH($AE586,INDIRECT(ORÇAMENTO.BancoRef),0))))</f>
        <v>(abra o arquivo 'Referência 02-2025.xlsm)</v>
      </c>
      <c r="AG586" s="498">
        <f ca="1">ROUND(IF(DESONERACAO="sim",REFERENCIA.Desonerado,REFERENCIA.NaoDesonerado),2)</f>
        <v>0</v>
      </c>
      <c r="AH586" s="499">
        <f t="shared" ca="1" si="164"/>
        <v>0.22470000000000001</v>
      </c>
      <c r="AJ586" s="501">
        <v>1553.6</v>
      </c>
      <c r="AL586" s="527"/>
      <c r="AM586" s="381">
        <f t="shared" ca="1" si="159"/>
        <v>0</v>
      </c>
      <c r="AN586" s="566">
        <f t="shared" ca="1" si="165"/>
        <v>0</v>
      </c>
    </row>
    <row r="587" spans="1:40" ht="38.25" x14ac:dyDescent="0.2">
      <c r="A587" t="str">
        <f t="shared" si="162"/>
        <v>S</v>
      </c>
      <c r="B587">
        <f t="shared" ca="1" si="146"/>
        <v>3</v>
      </c>
      <c r="C587" t="str">
        <f t="shared" ca="1" si="147"/>
        <v>S</v>
      </c>
      <c r="D587">
        <f t="shared" ca="1" si="148"/>
        <v>0</v>
      </c>
      <c r="E587">
        <f ca="1">IF($C587=1,OFFSET(E587,-1,0)+MAX(1,COUNTIF(QCI!$A$13:$A$24,OFFSET(ORÇAMENTO!E587,-1,0))),OFFSET(E587,-1,0))</f>
        <v>1</v>
      </c>
      <c r="F587">
        <f t="shared" ca="1" si="149"/>
        <v>17</v>
      </c>
      <c r="G587">
        <f t="shared" ca="1" si="150"/>
        <v>9</v>
      </c>
      <c r="H587">
        <f t="shared" ca="1" si="151"/>
        <v>0</v>
      </c>
      <c r="I587">
        <f t="shared" ca="1" si="152"/>
        <v>0</v>
      </c>
      <c r="J587">
        <f t="shared" ca="1" si="166"/>
        <v>0</v>
      </c>
      <c r="K587">
        <f ca="1">IF(OR($C587="S",$C587=0),0,MATCH(OFFSET($D587,0,$C587)+IF($C587&lt;&gt;1,1,COUNTIF(QCI!$A$13:$A$24,ORÇAMENTO!E587)),OFFSET($D587,1,$C587,ROW($C$747)-ROW($C587)),0))</f>
        <v>0</v>
      </c>
      <c r="L587" s="116" t="str">
        <f t="shared" ca="1" si="153"/>
        <v/>
      </c>
      <c r="M587" s="117" t="s">
        <v>199</v>
      </c>
      <c r="N587" s="118" t="str">
        <f t="shared" ca="1" si="154"/>
        <v>Serviço</v>
      </c>
      <c r="O587" s="119" t="str">
        <f t="shared" ca="1" si="155"/>
        <v>-</v>
      </c>
      <c r="P587" s="120" t="s">
        <v>247</v>
      </c>
      <c r="Q587" s="121" t="s">
        <v>688</v>
      </c>
      <c r="R587" s="122" t="str">
        <f ca="1">IF($C587="S",REFERENCIA.Descricao,"(digite a descrição aqui)")</f>
        <v>(abra o arquivo 'Referência 02-2025.xlsm)</v>
      </c>
      <c r="S587" s="123" t="str">
        <f ca="1">REFERENCIA.Unidade</f>
        <v>-</v>
      </c>
      <c r="T587" s="124">
        <f ca="1">OFFSET(CÁLCULO!H$15,ROW($T587)-ROW(T$15),0)</f>
        <v>17.2</v>
      </c>
      <c r="U587" s="125">
        <f t="shared" ca="1" si="161"/>
        <v>0</v>
      </c>
      <c r="V587" s="126" t="s">
        <v>156</v>
      </c>
      <c r="W587" s="124">
        <f ca="1">IF($C587="S",ROUND(IF(TIPOORCAMENTO="Proposto",ORÇAMENTO.CustoUnitario*(1+$AH587),ORÇAMENTO.PrecoUnitarioLicitado),15-13*$AF$10),0)</f>
        <v>0</v>
      </c>
      <c r="X587" s="127">
        <f ca="1">IF($C587="S",IF(Import.TipoArredondamento&lt;&gt;"TransfereGOV",VTOTAL1,SUM(OFFSET(CÁLCULO!$AA$15,ROW($X587)-ROW($X$15),1):OFFSET(CÁLCULO!$AL$15,ROW($X587)-ROW($X$15),-1))),IF($C587=0,0,ROUND(SomaAgrup,15-13*$AF$11)))</f>
        <v>0</v>
      </c>
      <c r="Y587" s="128" t="s">
        <v>245</v>
      </c>
      <c r="Z587" t="str">
        <f t="shared" ca="1" si="156"/>
        <v/>
      </c>
      <c r="AA587" s="129">
        <f ca="1">IF($C587="S",IF($Z587="CP",$X587,IF($Z587="RA",(($X587)*QCI!$AA$3),0)),SomaAgrup)</f>
        <v>0</v>
      </c>
      <c r="AB587" s="130">
        <f t="shared" ca="1" si="163"/>
        <v>0</v>
      </c>
      <c r="AC587" s="131" t="str">
        <f ca="1">IF($N587="","",IF(ORÇAMENTO.Descricao="","DESCRIÇÃO",IF(AND($C587="S",ORÇAMENTO.Unidade=""),"UNIDADE",IF($X587&lt;0,"VALOR NEGATIVO",IF(OR(AND(TIPOORCAMENTO="Proposto",$AG587&lt;&gt;"",$AG587&gt;0,ORÇAMENTO.CustoUnitario&gt;$AG587),AND(TIPOORCAMENTO="LICITADO",ORÇAMENTO.PrecoUnitarioLicitado&gt;$AN587)),"ACIMA REF.","")))))</f>
        <v/>
      </c>
      <c r="AD587" t="str">
        <f ca="1">IF(C587&lt;=CRONO.NivelExibicao,MAX($AD$15:OFFSET(AD587,-1,0))+IF($C587&lt;&gt;1,1,MAX(1,COUNTIF(QCI!$A$13:$A$24,OFFSET($E587,-1,0)))),"")</f>
        <v/>
      </c>
      <c r="AE587" s="7" t="str">
        <f ca="1">IF(AND($C587="S",ORÇAMENTO.CodBarra&lt;&gt;""),IF(ORÇAMENTO.Fonte="",ORÇAMENTO.CodBarra,CONCATENATE(ORÇAMENTO.Fonte," ",ORÇAMENTO.CodBarra)))</f>
        <v>SINAPI 97667</v>
      </c>
      <c r="AF587" s="13" t="str">
        <f ca="1">IF(ISERROR(INDIRECT(ORÇAMENTO.BancoRef)),"(abra o arquivo 'Referência "&amp;Excel_BuiltIn_Database&amp;".xlsm)",IF(OR($C587&lt;&gt;"S",ORÇAMENTO.CodBarra=""),"(Sem Código)",IF(ISERROR(MATCH($AE587,INDIRECT(ORÇAMENTO.BancoRef),0)),"(Código não identificado nas referências)",MATCH($AE587,INDIRECT(ORÇAMENTO.BancoRef),0))))</f>
        <v>(abra o arquivo 'Referência 02-2025.xlsm)</v>
      </c>
      <c r="AG587" s="498">
        <f ca="1">ROUND(IF(DESONERACAO="sim",REFERENCIA.Desonerado,REFERENCIA.NaoDesonerado),2)</f>
        <v>0</v>
      </c>
      <c r="AH587" s="499">
        <f t="shared" ca="1" si="164"/>
        <v>0.22470000000000001</v>
      </c>
      <c r="AJ587" s="501">
        <v>17.2</v>
      </c>
      <c r="AL587" s="527"/>
      <c r="AM587" s="381">
        <f t="shared" ca="1" si="159"/>
        <v>0</v>
      </c>
      <c r="AN587" s="566">
        <f t="shared" ca="1" si="165"/>
        <v>0</v>
      </c>
    </row>
    <row r="588" spans="1:40" ht="38.25" x14ac:dyDescent="0.2">
      <c r="A588" t="str">
        <f t="shared" si="162"/>
        <v>S</v>
      </c>
      <c r="B588">
        <f t="shared" ca="1" si="146"/>
        <v>3</v>
      </c>
      <c r="C588" t="str">
        <f t="shared" ca="1" si="147"/>
        <v>S</v>
      </c>
      <c r="D588">
        <f t="shared" ca="1" si="148"/>
        <v>0</v>
      </c>
      <c r="E588">
        <f ca="1">IF($C588=1,OFFSET(E588,-1,0)+MAX(1,COUNTIF(QCI!$A$13:$A$24,OFFSET(ORÇAMENTO!E588,-1,0))),OFFSET(E588,-1,0))</f>
        <v>1</v>
      </c>
      <c r="F588">
        <f t="shared" ca="1" si="149"/>
        <v>17</v>
      </c>
      <c r="G588">
        <f t="shared" ca="1" si="150"/>
        <v>9</v>
      </c>
      <c r="H588">
        <f t="shared" ca="1" si="151"/>
        <v>0</v>
      </c>
      <c r="I588">
        <f t="shared" ca="1" si="152"/>
        <v>0</v>
      </c>
      <c r="J588">
        <f t="shared" ca="1" si="166"/>
        <v>0</v>
      </c>
      <c r="K588">
        <f ca="1">IF(OR($C588="S",$C588=0),0,MATCH(OFFSET($D588,0,$C588)+IF($C588&lt;&gt;1,1,COUNTIF(QCI!$A$13:$A$24,ORÇAMENTO!E588)),OFFSET($D588,1,$C588,ROW($C$747)-ROW($C588)),0))</f>
        <v>0</v>
      </c>
      <c r="L588" s="116" t="str">
        <f t="shared" ca="1" si="153"/>
        <v/>
      </c>
      <c r="M588" s="117" t="s">
        <v>199</v>
      </c>
      <c r="N588" s="118" t="str">
        <f t="shared" ca="1" si="154"/>
        <v>Serviço</v>
      </c>
      <c r="O588" s="119" t="str">
        <f t="shared" ca="1" si="155"/>
        <v>-</v>
      </c>
      <c r="P588" s="120" t="s">
        <v>247</v>
      </c>
      <c r="Q588" s="121" t="s">
        <v>689</v>
      </c>
      <c r="R588" s="122" t="str">
        <f ca="1">IF($C588="S",REFERENCIA.Descricao,"(digite a descrição aqui)")</f>
        <v>(abra o arquivo 'Referência 02-2025.xlsm)</v>
      </c>
      <c r="S588" s="123" t="str">
        <f ca="1">REFERENCIA.Unidade</f>
        <v>-</v>
      </c>
      <c r="T588" s="124">
        <f ca="1">OFFSET(CÁLCULO!H$15,ROW($T588)-ROW(T$15),0)</f>
        <v>46.2</v>
      </c>
      <c r="U588" s="125">
        <f t="shared" ref="U588:U635" ca="1" si="167">AG588</f>
        <v>0</v>
      </c>
      <c r="V588" s="126" t="s">
        <v>156</v>
      </c>
      <c r="W588" s="124">
        <f ca="1">IF($C588="S",ROUND(IF(TIPOORCAMENTO="Proposto",ORÇAMENTO.CustoUnitario*(1+$AH588),ORÇAMENTO.PrecoUnitarioLicitado),15-13*$AF$10),0)</f>
        <v>0</v>
      </c>
      <c r="X588" s="127">
        <f ca="1">IF($C588="S",IF(Import.TipoArredondamento&lt;&gt;"TransfereGOV",VTOTAL1,SUM(OFFSET(CÁLCULO!$AA$15,ROW($X588)-ROW($X$15),1):OFFSET(CÁLCULO!$AL$15,ROW($X588)-ROW($X$15),-1))),IF($C588=0,0,ROUND(SomaAgrup,15-13*$AF$11)))</f>
        <v>0</v>
      </c>
      <c r="Y588" s="128" t="s">
        <v>245</v>
      </c>
      <c r="Z588" t="str">
        <f t="shared" ca="1" si="156"/>
        <v/>
      </c>
      <c r="AA588" s="129">
        <f ca="1">IF($C588="S",IF($Z588="CP",$X588,IF($Z588="RA",(($X588)*QCI!$AA$3),0)),SomaAgrup)</f>
        <v>0</v>
      </c>
      <c r="AB588" s="130">
        <f t="shared" ca="1" si="163"/>
        <v>0</v>
      </c>
      <c r="AC588" s="131" t="str">
        <f ca="1">IF($N588="","",IF(ORÇAMENTO.Descricao="","DESCRIÇÃO",IF(AND($C588="S",ORÇAMENTO.Unidade=""),"UNIDADE",IF($X588&lt;0,"VALOR NEGATIVO",IF(OR(AND(TIPOORCAMENTO="Proposto",$AG588&lt;&gt;"",$AG588&gt;0,ORÇAMENTO.CustoUnitario&gt;$AG588),AND(TIPOORCAMENTO="LICITADO",ORÇAMENTO.PrecoUnitarioLicitado&gt;$AN588)),"ACIMA REF.","")))))</f>
        <v/>
      </c>
      <c r="AD588" t="str">
        <f ca="1">IF(C588&lt;=CRONO.NivelExibicao,MAX($AD$15:OFFSET(AD588,-1,0))+IF($C588&lt;&gt;1,1,MAX(1,COUNTIF(QCI!$A$13:$A$24,OFFSET($E588,-1,0)))),"")</f>
        <v/>
      </c>
      <c r="AE588" s="7" t="str">
        <f ca="1">IF(AND($C588="S",ORÇAMENTO.CodBarra&lt;&gt;""),IF(ORÇAMENTO.Fonte="",ORÇAMENTO.CodBarra,CONCATENATE(ORÇAMENTO.Fonte," ",ORÇAMENTO.CodBarra)))</f>
        <v>SINAPI 97669</v>
      </c>
      <c r="AF588" s="13" t="str">
        <f ca="1">IF(ISERROR(INDIRECT(ORÇAMENTO.BancoRef)),"(abra o arquivo 'Referência "&amp;Excel_BuiltIn_Database&amp;".xlsm)",IF(OR($C588&lt;&gt;"S",ORÇAMENTO.CodBarra=""),"(Sem Código)",IF(ISERROR(MATCH($AE588,INDIRECT(ORÇAMENTO.BancoRef),0)),"(Código não identificado nas referências)",MATCH($AE588,INDIRECT(ORÇAMENTO.BancoRef),0))))</f>
        <v>(abra o arquivo 'Referência 02-2025.xlsm)</v>
      </c>
      <c r="AG588" s="498">
        <f ca="1">ROUND(IF(DESONERACAO="sim",REFERENCIA.Desonerado,REFERENCIA.NaoDesonerado),2)</f>
        <v>0</v>
      </c>
      <c r="AH588" s="499">
        <f t="shared" ca="1" si="164"/>
        <v>0.22470000000000001</v>
      </c>
      <c r="AJ588" s="501">
        <v>46.2</v>
      </c>
      <c r="AL588" s="527"/>
      <c r="AM588" s="381">
        <f t="shared" ca="1" si="159"/>
        <v>0</v>
      </c>
      <c r="AN588" s="566">
        <f t="shared" ca="1" si="165"/>
        <v>0</v>
      </c>
    </row>
    <row r="589" spans="1:40" ht="38.25" x14ac:dyDescent="0.2">
      <c r="A589" t="str">
        <f t="shared" si="162"/>
        <v>S</v>
      </c>
      <c r="B589">
        <f t="shared" ca="1" si="146"/>
        <v>3</v>
      </c>
      <c r="C589" t="str">
        <f t="shared" ca="1" si="147"/>
        <v>S</v>
      </c>
      <c r="D589">
        <f t="shared" ca="1" si="148"/>
        <v>0</v>
      </c>
      <c r="E589">
        <f ca="1">IF($C589=1,OFFSET(E589,-1,0)+MAX(1,COUNTIF(QCI!$A$13:$A$24,OFFSET(ORÇAMENTO!E589,-1,0))),OFFSET(E589,-1,0))</f>
        <v>1</v>
      </c>
      <c r="F589">
        <f t="shared" ca="1" si="149"/>
        <v>17</v>
      </c>
      <c r="G589">
        <f t="shared" ca="1" si="150"/>
        <v>9</v>
      </c>
      <c r="H589">
        <f t="shared" ca="1" si="151"/>
        <v>0</v>
      </c>
      <c r="I589">
        <f t="shared" ca="1" si="152"/>
        <v>0</v>
      </c>
      <c r="J589">
        <f t="shared" ca="1" si="166"/>
        <v>0</v>
      </c>
      <c r="K589">
        <f ca="1">IF(OR($C589="S",$C589=0),0,MATCH(OFFSET($D589,0,$C589)+IF($C589&lt;&gt;1,1,COUNTIF(QCI!$A$13:$A$24,ORÇAMENTO!E589)),OFFSET($D589,1,$C589,ROW($C$747)-ROW($C589)),0))</f>
        <v>0</v>
      </c>
      <c r="L589" s="116" t="str">
        <f t="shared" ca="1" si="153"/>
        <v/>
      </c>
      <c r="M589" s="117" t="s">
        <v>199</v>
      </c>
      <c r="N589" s="118" t="str">
        <f t="shared" ca="1" si="154"/>
        <v>Serviço</v>
      </c>
      <c r="O589" s="119" t="str">
        <f t="shared" ca="1" si="155"/>
        <v>-</v>
      </c>
      <c r="P589" s="120" t="s">
        <v>712</v>
      </c>
      <c r="Q589" s="121" t="s">
        <v>853</v>
      </c>
      <c r="R589" s="122" t="str">
        <f ca="1">IF($C589="S",REFERENCIA.Descricao,"(digite a descrição aqui)")</f>
        <v>(abra o arquivo 'Referência 02-2025.xlsm)</v>
      </c>
      <c r="S589" s="123" t="str">
        <f ca="1">REFERENCIA.Unidade</f>
        <v>-</v>
      </c>
      <c r="T589" s="124">
        <f ca="1">OFFSET(CÁLCULO!H$15,ROW($T589)-ROW(T$15),0)</f>
        <v>17.8</v>
      </c>
      <c r="U589" s="125">
        <f t="shared" ca="1" si="167"/>
        <v>0</v>
      </c>
      <c r="V589" s="126" t="s">
        <v>156</v>
      </c>
      <c r="W589" s="124">
        <f ca="1">IF($C589="S",ROUND(IF(TIPOORCAMENTO="Proposto",ORÇAMENTO.CustoUnitario*(1+$AH589),ORÇAMENTO.PrecoUnitarioLicitado),15-13*$AF$10),0)</f>
        <v>0</v>
      </c>
      <c r="X589" s="127">
        <f ca="1">IF($C589="S",IF(Import.TipoArredondamento&lt;&gt;"TransfereGOV",VTOTAL1,SUM(OFFSET(CÁLCULO!$AA$15,ROW($X589)-ROW($X$15),1):OFFSET(CÁLCULO!$AL$15,ROW($X589)-ROW($X$15),-1))),IF($C589=0,0,ROUND(SomaAgrup,15-13*$AF$11)))</f>
        <v>0</v>
      </c>
      <c r="Y589" s="128" t="s">
        <v>245</v>
      </c>
      <c r="Z589" t="str">
        <f t="shared" ca="1" si="156"/>
        <v/>
      </c>
      <c r="AA589" s="129">
        <f ca="1">IF($C589="S",IF($Z589="CP",$X589,IF($Z589="RA",(($X589)*QCI!$AA$3),0)),SomaAgrup)</f>
        <v>0</v>
      </c>
      <c r="AB589" s="130">
        <f t="shared" ca="1" si="163"/>
        <v>0</v>
      </c>
      <c r="AC589" s="131" t="str">
        <f ca="1">IF($N589="","",IF(ORÇAMENTO.Descricao="","DESCRIÇÃO",IF(AND($C589="S",ORÇAMENTO.Unidade=""),"UNIDADE",IF($X589&lt;0,"VALOR NEGATIVO",IF(OR(AND(TIPOORCAMENTO="Proposto",$AG589&lt;&gt;"",$AG589&gt;0,ORÇAMENTO.CustoUnitario&gt;$AG589),AND(TIPOORCAMENTO="LICITADO",ORÇAMENTO.PrecoUnitarioLicitado&gt;$AN589)),"ACIMA REF.","")))))</f>
        <v/>
      </c>
      <c r="AD589" t="str">
        <f ca="1">IF(C589&lt;=CRONO.NivelExibicao,MAX($AD$15:OFFSET(AD589,-1,0))+IF($C589&lt;&gt;1,1,MAX(1,COUNTIF(QCI!$A$13:$A$24,OFFSET($E589,-1,0)))),"")</f>
        <v/>
      </c>
      <c r="AE589" s="7" t="str">
        <f ca="1">IF(AND($C589="S",ORÇAMENTO.CodBarra&lt;&gt;""),IF(ORÇAMENTO.Fonte="",ORÇAMENTO.CodBarra,CONCATENATE(ORÇAMENTO.Fonte," ",ORÇAMENTO.CodBarra)))</f>
        <v xml:space="preserve">Composição FNDE 372 </v>
      </c>
      <c r="AF589" s="13" t="str">
        <f ca="1">IF(ISERROR(INDIRECT(ORÇAMENTO.BancoRef)),"(abra o arquivo 'Referência "&amp;Excel_BuiltIn_Database&amp;".xlsm)",IF(OR($C589&lt;&gt;"S",ORÇAMENTO.CodBarra=""),"(Sem Código)",IF(ISERROR(MATCH($AE589,INDIRECT(ORÇAMENTO.BancoRef),0)),"(Código não identificado nas referências)",MATCH($AE589,INDIRECT(ORÇAMENTO.BancoRef),0))))</f>
        <v>(abra o arquivo 'Referência 02-2025.xlsm)</v>
      </c>
      <c r="AG589" s="498">
        <f ca="1">ROUND(IF(DESONERACAO="sim",REFERENCIA.Desonerado,REFERENCIA.NaoDesonerado),2)</f>
        <v>0</v>
      </c>
      <c r="AH589" s="499">
        <f t="shared" ca="1" si="164"/>
        <v>0.22470000000000001</v>
      </c>
      <c r="AJ589" s="501">
        <v>17.8</v>
      </c>
      <c r="AL589" s="527"/>
      <c r="AM589" s="381">
        <f t="shared" ca="1" si="159"/>
        <v>0</v>
      </c>
      <c r="AN589" s="566">
        <f t="shared" ca="1" si="165"/>
        <v>0</v>
      </c>
    </row>
    <row r="590" spans="1:40" ht="38.25" x14ac:dyDescent="0.2">
      <c r="A590" t="str">
        <f t="shared" si="162"/>
        <v>S</v>
      </c>
      <c r="B590">
        <f t="shared" ca="1" si="146"/>
        <v>3</v>
      </c>
      <c r="C590" t="str">
        <f t="shared" ca="1" si="147"/>
        <v>S</v>
      </c>
      <c r="D590">
        <f t="shared" ca="1" si="148"/>
        <v>0</v>
      </c>
      <c r="E590">
        <f ca="1">IF($C590=1,OFFSET(E590,-1,0)+MAX(1,COUNTIF(QCI!$A$13:$A$24,OFFSET(ORÇAMENTO!E590,-1,0))),OFFSET(E590,-1,0))</f>
        <v>1</v>
      </c>
      <c r="F590">
        <f t="shared" ca="1" si="149"/>
        <v>17</v>
      </c>
      <c r="G590">
        <f t="shared" ca="1" si="150"/>
        <v>9</v>
      </c>
      <c r="H590">
        <f t="shared" ca="1" si="151"/>
        <v>0</v>
      </c>
      <c r="I590">
        <f t="shared" ca="1" si="152"/>
        <v>0</v>
      </c>
      <c r="J590">
        <f t="shared" ca="1" si="166"/>
        <v>0</v>
      </c>
      <c r="K590">
        <f ca="1">IF(OR($C590="S",$C590=0),0,MATCH(OFFSET($D590,0,$C590)+IF($C590&lt;&gt;1,1,COUNTIF(QCI!$A$13:$A$24,ORÇAMENTO!E590)),OFFSET($D590,1,$C590,ROW($C$747)-ROW($C590)),0))</f>
        <v>0</v>
      </c>
      <c r="L590" s="116" t="str">
        <f t="shared" ca="1" si="153"/>
        <v/>
      </c>
      <c r="M590" s="117" t="s">
        <v>199</v>
      </c>
      <c r="N590" s="118" t="str">
        <f t="shared" ca="1" si="154"/>
        <v>Serviço</v>
      </c>
      <c r="O590" s="119" t="str">
        <f t="shared" ca="1" si="155"/>
        <v>-</v>
      </c>
      <c r="P590" s="120" t="s">
        <v>247</v>
      </c>
      <c r="Q590" s="121" t="s">
        <v>690</v>
      </c>
      <c r="R590" s="122" t="str">
        <f ca="1">IF($C590="S",REFERENCIA.Descricao,"(digite a descrição aqui)")</f>
        <v>(abra o arquivo 'Referência 02-2025.xlsm)</v>
      </c>
      <c r="S590" s="123" t="str">
        <f ca="1">REFERENCIA.Unidade</f>
        <v>-</v>
      </c>
      <c r="T590" s="124">
        <f ca="1">OFFSET(CÁLCULO!H$15,ROW($T590)-ROW(T$15),0)</f>
        <v>36</v>
      </c>
      <c r="U590" s="125">
        <f t="shared" ca="1" si="167"/>
        <v>0</v>
      </c>
      <c r="V590" s="126" t="s">
        <v>156</v>
      </c>
      <c r="W590" s="124">
        <f ca="1">IF($C590="S",ROUND(IF(TIPOORCAMENTO="Proposto",ORÇAMENTO.CustoUnitario*(1+$AH590),ORÇAMENTO.PrecoUnitarioLicitado),15-13*$AF$10),0)</f>
        <v>0</v>
      </c>
      <c r="X590" s="127">
        <f ca="1">IF($C590="S",IF(Import.TipoArredondamento&lt;&gt;"TransfereGOV",VTOTAL1,SUM(OFFSET(CÁLCULO!$AA$15,ROW($X590)-ROW($X$15),1):OFFSET(CÁLCULO!$AL$15,ROW($X590)-ROW($X$15),-1))),IF($C590=0,0,ROUND(SomaAgrup,15-13*$AF$11)))</f>
        <v>0</v>
      </c>
      <c r="Y590" s="128" t="s">
        <v>245</v>
      </c>
      <c r="Z590" t="str">
        <f t="shared" ca="1" si="156"/>
        <v/>
      </c>
      <c r="AA590" s="129">
        <f ca="1">IF($C590="S",IF($Z590="CP",$X590,IF($Z590="RA",(($X590)*QCI!$AA$3),0)),SomaAgrup)</f>
        <v>0</v>
      </c>
      <c r="AB590" s="130">
        <f t="shared" ca="1" si="163"/>
        <v>0</v>
      </c>
      <c r="AC590" s="131" t="str">
        <f ca="1">IF($N590="","",IF(ORÇAMENTO.Descricao="","DESCRIÇÃO",IF(AND($C590="S",ORÇAMENTO.Unidade=""),"UNIDADE",IF($X590&lt;0,"VALOR NEGATIVO",IF(OR(AND(TIPOORCAMENTO="Proposto",$AG590&lt;&gt;"",$AG590&gt;0,ORÇAMENTO.CustoUnitario&gt;$AG590),AND(TIPOORCAMENTO="LICITADO",ORÇAMENTO.PrecoUnitarioLicitado&gt;$AN590)),"ACIMA REF.","")))))</f>
        <v/>
      </c>
      <c r="AD590" t="str">
        <f ca="1">IF(C590&lt;=CRONO.NivelExibicao,MAX($AD$15:OFFSET(AD590,-1,0))+IF($C590&lt;&gt;1,1,MAX(1,COUNTIF(QCI!$A$13:$A$24,OFFSET($E590,-1,0)))),"")</f>
        <v/>
      </c>
      <c r="AE590" s="7" t="str">
        <f ca="1">IF(AND($C590="S",ORÇAMENTO.CodBarra&lt;&gt;""),IF(ORÇAMENTO.Fonte="",ORÇAMENTO.CodBarra,CONCATENATE(ORÇAMENTO.Fonte," ",ORÇAMENTO.CodBarra)))</f>
        <v>SINAPI 91870</v>
      </c>
      <c r="AF590" s="13" t="str">
        <f ca="1">IF(ISERROR(INDIRECT(ORÇAMENTO.BancoRef)),"(abra o arquivo 'Referência "&amp;Excel_BuiltIn_Database&amp;".xlsm)",IF(OR($C590&lt;&gt;"S",ORÇAMENTO.CodBarra=""),"(Sem Código)",IF(ISERROR(MATCH($AE590,INDIRECT(ORÇAMENTO.BancoRef),0)),"(Código não identificado nas referências)",MATCH($AE590,INDIRECT(ORÇAMENTO.BancoRef),0))))</f>
        <v>(abra o arquivo 'Referência 02-2025.xlsm)</v>
      </c>
      <c r="AG590" s="498">
        <f ca="1">ROUND(IF(DESONERACAO="sim",REFERENCIA.Desonerado,REFERENCIA.NaoDesonerado),2)</f>
        <v>0</v>
      </c>
      <c r="AH590" s="499">
        <f t="shared" ca="1" si="164"/>
        <v>0.22470000000000001</v>
      </c>
      <c r="AJ590" s="501">
        <v>36</v>
      </c>
      <c r="AL590" s="527"/>
      <c r="AM590" s="381">
        <f t="shared" ca="1" si="159"/>
        <v>0</v>
      </c>
      <c r="AN590" s="566">
        <f t="shared" ca="1" si="165"/>
        <v>0</v>
      </c>
    </row>
    <row r="591" spans="1:40" ht="38.25" x14ac:dyDescent="0.2">
      <c r="A591" t="str">
        <f t="shared" si="162"/>
        <v>S</v>
      </c>
      <c r="B591">
        <f t="shared" ca="1" si="146"/>
        <v>3</v>
      </c>
      <c r="C591" t="str">
        <f t="shared" ca="1" si="147"/>
        <v>S</v>
      </c>
      <c r="D591">
        <f t="shared" ca="1" si="148"/>
        <v>0</v>
      </c>
      <c r="E591">
        <f ca="1">IF($C591=1,OFFSET(E591,-1,0)+MAX(1,COUNTIF(QCI!$A$13:$A$24,OFFSET(ORÇAMENTO!E591,-1,0))),OFFSET(E591,-1,0))</f>
        <v>1</v>
      </c>
      <c r="F591">
        <f t="shared" ca="1" si="149"/>
        <v>17</v>
      </c>
      <c r="G591">
        <f t="shared" ca="1" si="150"/>
        <v>9</v>
      </c>
      <c r="H591">
        <f t="shared" ca="1" si="151"/>
        <v>0</v>
      </c>
      <c r="I591">
        <f t="shared" ca="1" si="152"/>
        <v>0</v>
      </c>
      <c r="J591">
        <f t="shared" ca="1" si="166"/>
        <v>0</v>
      </c>
      <c r="K591">
        <f ca="1">IF(OR($C591="S",$C591=0),0,MATCH(OFFSET($D591,0,$C591)+IF($C591&lt;&gt;1,1,COUNTIF(QCI!$A$13:$A$24,ORÇAMENTO!E591)),OFFSET($D591,1,$C591,ROW($C$747)-ROW($C591)),0))</f>
        <v>0</v>
      </c>
      <c r="L591" s="116" t="str">
        <f t="shared" ca="1" si="153"/>
        <v/>
      </c>
      <c r="M591" s="117" t="s">
        <v>199</v>
      </c>
      <c r="N591" s="118" t="str">
        <f t="shared" ca="1" si="154"/>
        <v>Serviço</v>
      </c>
      <c r="O591" s="119" t="str">
        <f t="shared" ca="1" si="155"/>
        <v>-</v>
      </c>
      <c r="P591" s="120" t="s">
        <v>247</v>
      </c>
      <c r="Q591" s="121" t="s">
        <v>690</v>
      </c>
      <c r="R591" s="122" t="str">
        <f ca="1">IF($C591="S",REFERENCIA.Descricao,"(digite a descrição aqui)")</f>
        <v>(abra o arquivo 'Referência 02-2025.xlsm)</v>
      </c>
      <c r="S591" s="123" t="str">
        <f ca="1">REFERENCIA.Unidade</f>
        <v>-</v>
      </c>
      <c r="T591" s="124">
        <f ca="1">OFFSET(CÁLCULO!H$15,ROW($T591)-ROW(T$15),0)</f>
        <v>2</v>
      </c>
      <c r="U591" s="125">
        <f t="shared" ca="1" si="167"/>
        <v>0</v>
      </c>
      <c r="V591" s="126" t="s">
        <v>156</v>
      </c>
      <c r="W591" s="124">
        <f ca="1">IF($C591="S",ROUND(IF(TIPOORCAMENTO="Proposto",ORÇAMENTO.CustoUnitario*(1+$AH591),ORÇAMENTO.PrecoUnitarioLicitado),15-13*$AF$10),0)</f>
        <v>0</v>
      </c>
      <c r="X591" s="127">
        <f ca="1">IF($C591="S",IF(Import.TipoArredondamento&lt;&gt;"TransfereGOV",VTOTAL1,SUM(OFFSET(CÁLCULO!$AA$15,ROW($X591)-ROW($X$15),1):OFFSET(CÁLCULO!$AL$15,ROW($X591)-ROW($X$15),-1))),IF($C591=0,0,ROUND(SomaAgrup,15-13*$AF$11)))</f>
        <v>0</v>
      </c>
      <c r="Y591" s="128" t="s">
        <v>245</v>
      </c>
      <c r="Z591" t="str">
        <f t="shared" ca="1" si="156"/>
        <v/>
      </c>
      <c r="AA591" s="129">
        <f ca="1">IF($C591="S",IF($Z591="CP",$X591,IF($Z591="RA",(($X591)*QCI!$AA$3),0)),SomaAgrup)</f>
        <v>0</v>
      </c>
      <c r="AB591" s="130">
        <f t="shared" ca="1" si="163"/>
        <v>0</v>
      </c>
      <c r="AC591" s="131" t="str">
        <f ca="1">IF($N591="","",IF(ORÇAMENTO.Descricao="","DESCRIÇÃO",IF(AND($C591="S",ORÇAMENTO.Unidade=""),"UNIDADE",IF($X591&lt;0,"VALOR NEGATIVO",IF(OR(AND(TIPOORCAMENTO="Proposto",$AG591&lt;&gt;"",$AG591&gt;0,ORÇAMENTO.CustoUnitario&gt;$AG591),AND(TIPOORCAMENTO="LICITADO",ORÇAMENTO.PrecoUnitarioLicitado&gt;$AN591)),"ACIMA REF.","")))))</f>
        <v/>
      </c>
      <c r="AD591" t="str">
        <f ca="1">IF(C591&lt;=CRONO.NivelExibicao,MAX($AD$15:OFFSET(AD591,-1,0))+IF($C591&lt;&gt;1,1,MAX(1,COUNTIF(QCI!$A$13:$A$24,OFFSET($E591,-1,0)))),"")</f>
        <v/>
      </c>
      <c r="AE591" s="7" t="str">
        <f ca="1">IF(AND($C591="S",ORÇAMENTO.CodBarra&lt;&gt;""),IF(ORÇAMENTO.Fonte="",ORÇAMENTO.CodBarra,CONCATENATE(ORÇAMENTO.Fonte," ",ORÇAMENTO.CodBarra)))</f>
        <v>SINAPI 91870</v>
      </c>
      <c r="AF591" s="13" t="str">
        <f ca="1">IF(ISERROR(INDIRECT(ORÇAMENTO.BancoRef)),"(abra o arquivo 'Referência "&amp;Excel_BuiltIn_Database&amp;".xlsm)",IF(OR($C591&lt;&gt;"S",ORÇAMENTO.CodBarra=""),"(Sem Código)",IF(ISERROR(MATCH($AE591,INDIRECT(ORÇAMENTO.BancoRef),0)),"(Código não identificado nas referências)",MATCH($AE591,INDIRECT(ORÇAMENTO.BancoRef),0))))</f>
        <v>(abra o arquivo 'Referência 02-2025.xlsm)</v>
      </c>
      <c r="AG591" s="498">
        <f ca="1">ROUND(IF(DESONERACAO="sim",REFERENCIA.Desonerado,REFERENCIA.NaoDesonerado),2)</f>
        <v>0</v>
      </c>
      <c r="AH591" s="499">
        <f t="shared" ca="1" si="164"/>
        <v>0.22470000000000001</v>
      </c>
      <c r="AJ591" s="501">
        <v>2</v>
      </c>
      <c r="AL591" s="527"/>
      <c r="AM591" s="381">
        <f t="shared" ca="1" si="159"/>
        <v>0</v>
      </c>
      <c r="AN591" s="566">
        <f t="shared" ca="1" si="165"/>
        <v>0</v>
      </c>
    </row>
    <row r="592" spans="1:40" ht="38.25" x14ac:dyDescent="0.2">
      <c r="A592" t="str">
        <f t="shared" si="162"/>
        <v>S</v>
      </c>
      <c r="B592">
        <f t="shared" ca="1" si="146"/>
        <v>3</v>
      </c>
      <c r="C592" t="str">
        <f t="shared" ca="1" si="147"/>
        <v>S</v>
      </c>
      <c r="D592">
        <f t="shared" ca="1" si="148"/>
        <v>0</v>
      </c>
      <c r="E592">
        <f ca="1">IF($C592=1,OFFSET(E592,-1,0)+MAX(1,COUNTIF(QCI!$A$13:$A$24,OFFSET(ORÇAMENTO!E592,-1,0))),OFFSET(E592,-1,0))</f>
        <v>1</v>
      </c>
      <c r="F592">
        <f t="shared" ca="1" si="149"/>
        <v>17</v>
      </c>
      <c r="G592">
        <f t="shared" ca="1" si="150"/>
        <v>9</v>
      </c>
      <c r="H592">
        <f t="shared" ca="1" si="151"/>
        <v>0</v>
      </c>
      <c r="I592">
        <f t="shared" ca="1" si="152"/>
        <v>0</v>
      </c>
      <c r="J592">
        <f t="shared" ca="1" si="166"/>
        <v>0</v>
      </c>
      <c r="K592">
        <f ca="1">IF(OR($C592="S",$C592=0),0,MATCH(OFFSET($D592,0,$C592)+IF($C592&lt;&gt;1,1,COUNTIF(QCI!$A$13:$A$24,ORÇAMENTO!E592)),OFFSET($D592,1,$C592,ROW($C$747)-ROW($C592)),0))</f>
        <v>0</v>
      </c>
      <c r="L592" s="116" t="str">
        <f t="shared" ca="1" si="153"/>
        <v/>
      </c>
      <c r="M592" s="117" t="s">
        <v>199</v>
      </c>
      <c r="N592" s="118" t="str">
        <f t="shared" ca="1" si="154"/>
        <v>Serviço</v>
      </c>
      <c r="O592" s="119" t="str">
        <f t="shared" ca="1" si="155"/>
        <v>-</v>
      </c>
      <c r="P592" s="120" t="s">
        <v>247</v>
      </c>
      <c r="Q592" s="121" t="s">
        <v>690</v>
      </c>
      <c r="R592" s="122" t="str">
        <f ca="1">IF($C592="S",REFERENCIA.Descricao,"(digite a descrição aqui)")</f>
        <v>(abra o arquivo 'Referência 02-2025.xlsm)</v>
      </c>
      <c r="S592" s="123" t="str">
        <f ca="1">REFERENCIA.Unidade</f>
        <v>-</v>
      </c>
      <c r="T592" s="124">
        <f ca="1">OFFSET(CÁLCULO!H$15,ROW($T592)-ROW(T$15),0)</f>
        <v>2</v>
      </c>
      <c r="U592" s="125">
        <f t="shared" ca="1" si="167"/>
        <v>0</v>
      </c>
      <c r="V592" s="126" t="s">
        <v>156</v>
      </c>
      <c r="W592" s="124">
        <f ca="1">IF($C592="S",ROUND(IF(TIPOORCAMENTO="Proposto",ORÇAMENTO.CustoUnitario*(1+$AH592),ORÇAMENTO.PrecoUnitarioLicitado),15-13*$AF$10),0)</f>
        <v>0</v>
      </c>
      <c r="X592" s="127">
        <f ca="1">IF($C592="S",IF(Import.TipoArredondamento&lt;&gt;"TransfereGOV",VTOTAL1,SUM(OFFSET(CÁLCULO!$AA$15,ROW($X592)-ROW($X$15),1):OFFSET(CÁLCULO!$AL$15,ROW($X592)-ROW($X$15),-1))),IF($C592=0,0,ROUND(SomaAgrup,15-13*$AF$11)))</f>
        <v>0</v>
      </c>
      <c r="Y592" s="128" t="s">
        <v>245</v>
      </c>
      <c r="Z592" t="str">
        <f t="shared" ca="1" si="156"/>
        <v/>
      </c>
      <c r="AA592" s="129">
        <f ca="1">IF($C592="S",IF($Z592="CP",$X592,IF($Z592="RA",(($X592)*QCI!$AA$3),0)),SomaAgrup)</f>
        <v>0</v>
      </c>
      <c r="AB592" s="130">
        <f t="shared" ca="1" si="163"/>
        <v>0</v>
      </c>
      <c r="AC592" s="131" t="str">
        <f ca="1">IF($N592="","",IF(ORÇAMENTO.Descricao="","DESCRIÇÃO",IF(AND($C592="S",ORÇAMENTO.Unidade=""),"UNIDADE",IF($X592&lt;0,"VALOR NEGATIVO",IF(OR(AND(TIPOORCAMENTO="Proposto",$AG592&lt;&gt;"",$AG592&gt;0,ORÇAMENTO.CustoUnitario&gt;$AG592),AND(TIPOORCAMENTO="LICITADO",ORÇAMENTO.PrecoUnitarioLicitado&gt;$AN592)),"ACIMA REF.","")))))</f>
        <v/>
      </c>
      <c r="AD592" t="str">
        <f ca="1">IF(C592&lt;=CRONO.NivelExibicao,MAX($AD$15:OFFSET(AD592,-1,0))+IF($C592&lt;&gt;1,1,MAX(1,COUNTIF(QCI!$A$13:$A$24,OFFSET($E592,-1,0)))),"")</f>
        <v/>
      </c>
      <c r="AE592" s="7" t="str">
        <f ca="1">IF(AND($C592="S",ORÇAMENTO.CodBarra&lt;&gt;""),IF(ORÇAMENTO.Fonte="",ORÇAMENTO.CodBarra,CONCATENATE(ORÇAMENTO.Fonte," ",ORÇAMENTO.CodBarra)))</f>
        <v>SINAPI 91870</v>
      </c>
      <c r="AF592" s="13" t="str">
        <f ca="1">IF(ISERROR(INDIRECT(ORÇAMENTO.BancoRef)),"(abra o arquivo 'Referência "&amp;Excel_BuiltIn_Database&amp;".xlsm)",IF(OR($C592&lt;&gt;"S",ORÇAMENTO.CodBarra=""),"(Sem Código)",IF(ISERROR(MATCH($AE592,INDIRECT(ORÇAMENTO.BancoRef),0)),"(Código não identificado nas referências)",MATCH($AE592,INDIRECT(ORÇAMENTO.BancoRef),0))))</f>
        <v>(abra o arquivo 'Referência 02-2025.xlsm)</v>
      </c>
      <c r="AG592" s="498">
        <f ca="1">ROUND(IF(DESONERACAO="sim",REFERENCIA.Desonerado,REFERENCIA.NaoDesonerado),2)</f>
        <v>0</v>
      </c>
      <c r="AH592" s="499">
        <f t="shared" ca="1" si="164"/>
        <v>0.22470000000000001</v>
      </c>
      <c r="AJ592" s="501">
        <v>2</v>
      </c>
      <c r="AL592" s="527"/>
      <c r="AM592" s="381">
        <f t="shared" ca="1" si="159"/>
        <v>0</v>
      </c>
      <c r="AN592" s="566">
        <f t="shared" ca="1" si="165"/>
        <v>0</v>
      </c>
    </row>
    <row r="593" spans="1:40" x14ac:dyDescent="0.2">
      <c r="A593">
        <f t="shared" si="162"/>
        <v>3</v>
      </c>
      <c r="B593">
        <f t="shared" ca="1" si="146"/>
        <v>3</v>
      </c>
      <c r="C593">
        <f t="shared" ca="1" si="147"/>
        <v>3</v>
      </c>
      <c r="D593">
        <f t="shared" ca="1" si="148"/>
        <v>4</v>
      </c>
      <c r="E593">
        <f ca="1">IF($C593=1,OFFSET(E593,-1,0)+MAX(1,COUNTIF(QCI!$A$13:$A$24,OFFSET(ORÇAMENTO!E593,-1,0))),OFFSET(E593,-1,0))</f>
        <v>1</v>
      </c>
      <c r="F593">
        <f t="shared" ca="1" si="149"/>
        <v>17</v>
      </c>
      <c r="G593">
        <f t="shared" ca="1" si="150"/>
        <v>10</v>
      </c>
      <c r="H593">
        <f t="shared" ca="1" si="151"/>
        <v>0</v>
      </c>
      <c r="I593">
        <f t="shared" ca="1" si="152"/>
        <v>0</v>
      </c>
      <c r="J593">
        <f t="shared" ca="1" si="166"/>
        <v>15</v>
      </c>
      <c r="K593">
        <f ca="1">IF(OR($C593="S",$C593=0),0,MATCH(OFFSET($D593,0,$C593)+IF($C593&lt;&gt;1,1,COUNTIF(QCI!$A$13:$A$24,ORÇAMENTO!E593)),OFFSET($D593,1,$C593,ROW($C$747)-ROW($C593)),0))</f>
        <v>4</v>
      </c>
      <c r="L593" s="116" t="str">
        <f t="shared" ca="1" si="153"/>
        <v>F</v>
      </c>
      <c r="M593" s="117" t="s">
        <v>197</v>
      </c>
      <c r="N593" s="118" t="str">
        <f t="shared" ca="1" si="154"/>
        <v>Nível 3</v>
      </c>
      <c r="O593" s="119" t="str">
        <f t="shared" ca="1" si="155"/>
        <v>1.17.10.</v>
      </c>
      <c r="P593" s="120" t="s">
        <v>247</v>
      </c>
      <c r="Q593" s="121"/>
      <c r="R593" s="122" t="str">
        <f ca="1">IF($C593="S",REFERENCIA.Descricao,"PERFILADOS")</f>
        <v>PERFILADOS</v>
      </c>
      <c r="S593" s="123" t="str">
        <f ca="1">REFERENCIA.Unidade</f>
        <v>-</v>
      </c>
      <c r="T593" s="124">
        <f ca="1">OFFSET(CÁLCULO!H$15,ROW($T593)-ROW(T$15),0)</f>
        <v>0</v>
      </c>
      <c r="U593" s="125">
        <f t="shared" ca="1" si="167"/>
        <v>0</v>
      </c>
      <c r="V593" s="126" t="s">
        <v>156</v>
      </c>
      <c r="W593" s="124">
        <f ca="1">IF($C593="S",ROUND(IF(TIPOORCAMENTO="Proposto",ORÇAMENTO.CustoUnitario*(1+$AH593),ORÇAMENTO.PrecoUnitarioLicitado),15-13*$AF$10),0)</f>
        <v>0</v>
      </c>
      <c r="X593" s="127">
        <f ca="1">IF($C593="S",IF(Import.TipoArredondamento&lt;&gt;"TransfereGOV",VTOTAL1,SUM(OFFSET(CÁLCULO!$AA$15,ROW($X593)-ROW($X$15),1):OFFSET(CÁLCULO!$AL$15,ROW($X593)-ROW($X$15),-1))),IF($C593=0,0,ROUND(SomaAgrup,15-13*$AF$11)))</f>
        <v>0</v>
      </c>
      <c r="Y593" s="128" t="s">
        <v>245</v>
      </c>
      <c r="Z593" t="str">
        <f t="shared" ca="1" si="156"/>
        <v/>
      </c>
      <c r="AA593" s="129">
        <f ca="1">IF($C593="S",IF($Z593="CP",$X593,IF($Z593="RA",(($X593)*QCI!$AA$3),0)),SomaAgrup)</f>
        <v>0</v>
      </c>
      <c r="AB593" s="130">
        <f t="shared" ca="1" si="163"/>
        <v>0</v>
      </c>
      <c r="AC593" s="131" t="str">
        <f ca="1">IF($N593="","",IF(ORÇAMENTO.Descricao="","DESCRIÇÃO",IF(AND($C593="S",ORÇAMENTO.Unidade=""),"UNIDADE",IF($X593&lt;0,"VALOR NEGATIVO",IF(OR(AND(TIPOORCAMENTO="Proposto",$AG593&lt;&gt;"",$AG593&gt;0,ORÇAMENTO.CustoUnitario&gt;$AG593),AND(TIPOORCAMENTO="LICITADO",ORÇAMENTO.PrecoUnitarioLicitado&gt;$AN593)),"ACIMA REF.","")))))</f>
        <v/>
      </c>
      <c r="AD593" t="str">
        <f ca="1">IF(C593&lt;=CRONO.NivelExibicao,MAX($AD$15:OFFSET(AD593,-1,0))+IF($C593&lt;&gt;1,1,MAX(1,COUNTIF(QCI!$A$13:$A$24,OFFSET($E593,-1,0)))),"")</f>
        <v/>
      </c>
      <c r="AE593" s="7" t="b">
        <f ca="1">IF(AND($C593="S",ORÇAMENTO.CodBarra&lt;&gt;""),IF(ORÇAMENTO.Fonte="",ORÇAMENTO.CodBarra,CONCATENATE(ORÇAMENTO.Fonte," ",ORÇAMENTO.CodBarra)))</f>
        <v>0</v>
      </c>
      <c r="AF593" s="13" t="str">
        <f ca="1">IF(ISERROR(INDIRECT(ORÇAMENTO.BancoRef)),"(abra o arquivo 'Referência "&amp;Excel_BuiltIn_Database&amp;".xlsm)",IF(OR($C593&lt;&gt;"S",ORÇAMENTO.CodBarra=""),"(Sem Código)",IF(ISERROR(MATCH($AE593,INDIRECT(ORÇAMENTO.BancoRef),0)),"(Código não identificado nas referências)",MATCH($AE593,INDIRECT(ORÇAMENTO.BancoRef),0))))</f>
        <v>(abra o arquivo 'Referência 02-2025.xlsm)</v>
      </c>
      <c r="AG593" s="498">
        <f ca="1">ROUND(IF(DESONERACAO="sim",REFERENCIA.Desonerado,REFERENCIA.NaoDesonerado),2)</f>
        <v>0</v>
      </c>
      <c r="AH593" s="499">
        <f t="shared" ca="1" si="164"/>
        <v>0.22470000000000001</v>
      </c>
      <c r="AJ593" s="501"/>
      <c r="AL593" s="527"/>
      <c r="AM593" s="381">
        <f t="shared" ca="1" si="159"/>
        <v>0</v>
      </c>
      <c r="AN593" s="566">
        <f t="shared" ca="1" si="165"/>
        <v>0</v>
      </c>
    </row>
    <row r="594" spans="1:40" x14ac:dyDescent="0.2">
      <c r="A594" t="str">
        <f t="shared" si="162"/>
        <v>S</v>
      </c>
      <c r="B594">
        <f t="shared" ca="1" si="146"/>
        <v>3</v>
      </c>
      <c r="C594" t="str">
        <f t="shared" ca="1" si="147"/>
        <v>S</v>
      </c>
      <c r="D594">
        <f t="shared" ca="1" si="148"/>
        <v>0</v>
      </c>
      <c r="E594">
        <f ca="1">IF($C594=1,OFFSET(E594,-1,0)+MAX(1,COUNTIF(QCI!$A$13:$A$24,OFFSET(ORÇAMENTO!E594,-1,0))),OFFSET(E594,-1,0))</f>
        <v>1</v>
      </c>
      <c r="F594">
        <f t="shared" ca="1" si="149"/>
        <v>17</v>
      </c>
      <c r="G594">
        <f t="shared" ca="1" si="150"/>
        <v>10</v>
      </c>
      <c r="H594">
        <f t="shared" ca="1" si="151"/>
        <v>0</v>
      </c>
      <c r="I594">
        <f t="shared" ca="1" si="152"/>
        <v>0</v>
      </c>
      <c r="J594">
        <f t="shared" ca="1" si="166"/>
        <v>0</v>
      </c>
      <c r="K594">
        <f ca="1">IF(OR($C594="S",$C594=0),0,MATCH(OFFSET($D594,0,$C594)+IF($C594&lt;&gt;1,1,COUNTIF(QCI!$A$13:$A$24,ORÇAMENTO!E594)),OFFSET($D594,1,$C594,ROW($C$747)-ROW($C594)),0))</f>
        <v>0</v>
      </c>
      <c r="L594" s="116" t="str">
        <f t="shared" ca="1" si="153"/>
        <v/>
      </c>
      <c r="M594" s="117" t="s">
        <v>199</v>
      </c>
      <c r="N594" s="118" t="str">
        <f t="shared" ca="1" si="154"/>
        <v>Serviço</v>
      </c>
      <c r="O594" s="119" t="str">
        <f t="shared" ca="1" si="155"/>
        <v>-</v>
      </c>
      <c r="P594" s="120" t="s">
        <v>712</v>
      </c>
      <c r="Q594" s="121" t="s">
        <v>854</v>
      </c>
      <c r="R594" s="122" t="str">
        <f ca="1">IF($C594="S",REFERENCIA.Descricao,"(digite a descrição aqui)")</f>
        <v>(abra o arquivo 'Referência 02-2025.xlsm)</v>
      </c>
      <c r="S594" s="123" t="str">
        <f ca="1">REFERENCIA.Unidade</f>
        <v>-</v>
      </c>
      <c r="T594" s="124">
        <f ca="1">OFFSET(CÁLCULO!H$15,ROW($T594)-ROW(T$15),0)</f>
        <v>53</v>
      </c>
      <c r="U594" s="125">
        <f t="shared" ca="1" si="167"/>
        <v>0</v>
      </c>
      <c r="V594" s="126" t="s">
        <v>156</v>
      </c>
      <c r="W594" s="124">
        <f ca="1">IF($C594="S",ROUND(IF(TIPOORCAMENTO="Proposto",ORÇAMENTO.CustoUnitario*(1+$AH594),ORÇAMENTO.PrecoUnitarioLicitado),15-13*$AF$10),0)</f>
        <v>0</v>
      </c>
      <c r="X594" s="127">
        <f ca="1">IF($C594="S",IF(Import.TipoArredondamento&lt;&gt;"TransfereGOV",VTOTAL1,SUM(OFFSET(CÁLCULO!$AA$15,ROW($X594)-ROW($X$15),1):OFFSET(CÁLCULO!$AL$15,ROW($X594)-ROW($X$15),-1))),IF($C594=0,0,ROUND(SomaAgrup,15-13*$AF$11)))</f>
        <v>0</v>
      </c>
      <c r="Y594" s="128" t="s">
        <v>245</v>
      </c>
      <c r="Z594" t="str">
        <f t="shared" ca="1" si="156"/>
        <v/>
      </c>
      <c r="AA594" s="129">
        <f ca="1">IF($C594="S",IF($Z594="CP",$X594,IF($Z594="RA",(($X594)*QCI!$AA$3),0)),SomaAgrup)</f>
        <v>0</v>
      </c>
      <c r="AB594" s="130">
        <f t="shared" ca="1" si="163"/>
        <v>0</v>
      </c>
      <c r="AC594" s="131" t="str">
        <f ca="1">IF($N594="","",IF(ORÇAMENTO.Descricao="","DESCRIÇÃO",IF(AND($C594="S",ORÇAMENTO.Unidade=""),"UNIDADE",IF($X594&lt;0,"VALOR NEGATIVO",IF(OR(AND(TIPOORCAMENTO="Proposto",$AG594&lt;&gt;"",$AG594&gt;0,ORÇAMENTO.CustoUnitario&gt;$AG594),AND(TIPOORCAMENTO="LICITADO",ORÇAMENTO.PrecoUnitarioLicitado&gt;$AN594)),"ACIMA REF.","")))))</f>
        <v/>
      </c>
      <c r="AD594" t="str">
        <f ca="1">IF(C594&lt;=CRONO.NivelExibicao,MAX($AD$15:OFFSET(AD594,-1,0))+IF($C594&lt;&gt;1,1,MAX(1,COUNTIF(QCI!$A$13:$A$24,OFFSET($E594,-1,0)))),"")</f>
        <v/>
      </c>
      <c r="AE594" s="7" t="str">
        <f ca="1">IF(AND($C594="S",ORÇAMENTO.CodBarra&lt;&gt;""),IF(ORÇAMENTO.Fonte="",ORÇAMENTO.CodBarra,CONCATENATE(ORÇAMENTO.Fonte," ",ORÇAMENTO.CodBarra)))</f>
        <v>Composição FNDE 373</v>
      </c>
      <c r="AF594" s="13" t="str">
        <f ca="1">IF(ISERROR(INDIRECT(ORÇAMENTO.BancoRef)),"(abra o arquivo 'Referência "&amp;Excel_BuiltIn_Database&amp;".xlsm)",IF(OR($C594&lt;&gt;"S",ORÇAMENTO.CodBarra=""),"(Sem Código)",IF(ISERROR(MATCH($AE594,INDIRECT(ORÇAMENTO.BancoRef),0)),"(Código não identificado nas referências)",MATCH($AE594,INDIRECT(ORÇAMENTO.BancoRef),0))))</f>
        <v>(abra o arquivo 'Referência 02-2025.xlsm)</v>
      </c>
      <c r="AG594" s="498">
        <f ca="1">ROUND(IF(DESONERACAO="sim",REFERENCIA.Desonerado,REFERENCIA.NaoDesonerado),2)</f>
        <v>0</v>
      </c>
      <c r="AH594" s="499">
        <f t="shared" ca="1" si="164"/>
        <v>0.22470000000000001</v>
      </c>
      <c r="AJ594" s="501">
        <v>53</v>
      </c>
      <c r="AL594" s="527"/>
      <c r="AM594" s="381">
        <f t="shared" ca="1" si="159"/>
        <v>0</v>
      </c>
      <c r="AN594" s="566">
        <f t="shared" ca="1" si="165"/>
        <v>0</v>
      </c>
    </row>
    <row r="595" spans="1:40" ht="38.25" x14ac:dyDescent="0.2">
      <c r="A595" t="str">
        <f t="shared" si="162"/>
        <v>S</v>
      </c>
      <c r="B595">
        <f t="shared" ca="1" si="146"/>
        <v>3</v>
      </c>
      <c r="C595" t="str">
        <f t="shared" ca="1" si="147"/>
        <v>S</v>
      </c>
      <c r="D595">
        <f t="shared" ca="1" si="148"/>
        <v>0</v>
      </c>
      <c r="E595">
        <f ca="1">IF($C595=1,OFFSET(E595,-1,0)+MAX(1,COUNTIF(QCI!$A$13:$A$24,OFFSET(ORÇAMENTO!E595,-1,0))),OFFSET(E595,-1,0))</f>
        <v>1</v>
      </c>
      <c r="F595">
        <f t="shared" ca="1" si="149"/>
        <v>17</v>
      </c>
      <c r="G595">
        <f t="shared" ca="1" si="150"/>
        <v>10</v>
      </c>
      <c r="H595">
        <f t="shared" ca="1" si="151"/>
        <v>0</v>
      </c>
      <c r="I595">
        <f t="shared" ca="1" si="152"/>
        <v>0</v>
      </c>
      <c r="J595">
        <f t="shared" ca="1" si="166"/>
        <v>0</v>
      </c>
      <c r="K595">
        <f ca="1">IF(OR($C595="S",$C595=0),0,MATCH(OFFSET($D595,0,$C595)+IF($C595&lt;&gt;1,1,COUNTIF(QCI!$A$13:$A$24,ORÇAMENTO!E595)),OFFSET($D595,1,$C595,ROW($C$747)-ROW($C595)),0))</f>
        <v>0</v>
      </c>
      <c r="L595" s="116" t="str">
        <f t="shared" ca="1" si="153"/>
        <v/>
      </c>
      <c r="M595" s="117" t="s">
        <v>199</v>
      </c>
      <c r="N595" s="118" t="str">
        <f t="shared" ca="1" si="154"/>
        <v>Serviço</v>
      </c>
      <c r="O595" s="119" t="str">
        <f t="shared" ca="1" si="155"/>
        <v>-</v>
      </c>
      <c r="P595" s="120" t="s">
        <v>247</v>
      </c>
      <c r="Q595" s="121" t="s">
        <v>691</v>
      </c>
      <c r="R595" s="122" t="str">
        <f ca="1">IF($C595="S",REFERENCIA.Descricao,"(digite a descrição aqui)")</f>
        <v>(abra o arquivo 'Referência 02-2025.xlsm)</v>
      </c>
      <c r="S595" s="123" t="str">
        <f ca="1">REFERENCIA.Unidade</f>
        <v>-</v>
      </c>
      <c r="T595" s="124">
        <f ca="1">OFFSET(CÁLCULO!H$15,ROW($T595)-ROW(T$15),0)</f>
        <v>45.3</v>
      </c>
      <c r="U595" s="125">
        <f t="shared" ca="1" si="167"/>
        <v>0</v>
      </c>
      <c r="V595" s="126" t="s">
        <v>156</v>
      </c>
      <c r="W595" s="124">
        <f ca="1">IF($C595="S",ROUND(IF(TIPOORCAMENTO="Proposto",ORÇAMENTO.CustoUnitario*(1+$AH595),ORÇAMENTO.PrecoUnitarioLicitado),15-13*$AF$10),0)</f>
        <v>0</v>
      </c>
      <c r="X595" s="127">
        <f ca="1">IF($C595="S",IF(Import.TipoArredondamento&lt;&gt;"TransfereGOV",VTOTAL1,SUM(OFFSET(CÁLCULO!$AA$15,ROW($X595)-ROW($X$15),1):OFFSET(CÁLCULO!$AL$15,ROW($X595)-ROW($X$15),-1))),IF($C595=0,0,ROUND(SomaAgrup,15-13*$AF$11)))</f>
        <v>0</v>
      </c>
      <c r="Y595" s="128" t="s">
        <v>245</v>
      </c>
      <c r="Z595" t="str">
        <f t="shared" ca="1" si="156"/>
        <v/>
      </c>
      <c r="AA595" s="129">
        <f ca="1">IF($C595="S",IF($Z595="CP",$X595,IF($Z595="RA",(($X595)*QCI!$AA$3),0)),SomaAgrup)</f>
        <v>0</v>
      </c>
      <c r="AB595" s="130">
        <f t="shared" ca="1" si="163"/>
        <v>0</v>
      </c>
      <c r="AC595" s="131" t="str">
        <f ca="1">IF($N595="","",IF(ORÇAMENTO.Descricao="","DESCRIÇÃO",IF(AND($C595="S",ORÇAMENTO.Unidade=""),"UNIDADE",IF($X595&lt;0,"VALOR NEGATIVO",IF(OR(AND(TIPOORCAMENTO="Proposto",$AG595&lt;&gt;"",$AG595&gt;0,ORÇAMENTO.CustoUnitario&gt;$AG595),AND(TIPOORCAMENTO="LICITADO",ORÇAMENTO.PrecoUnitarioLicitado&gt;$AN595)),"ACIMA REF.","")))))</f>
        <v/>
      </c>
      <c r="AD595" t="str">
        <f ca="1">IF(C595&lt;=CRONO.NivelExibicao,MAX($AD$15:OFFSET(AD595,-1,0))+IF($C595&lt;&gt;1,1,MAX(1,COUNTIF(QCI!$A$13:$A$24,OFFSET($E595,-1,0)))),"")</f>
        <v/>
      </c>
      <c r="AE595" s="7" t="str">
        <f ca="1">IF(AND($C595="S",ORÇAMENTO.CodBarra&lt;&gt;""),IF(ORÇAMENTO.Fonte="",ORÇAMENTO.CodBarra,CONCATENATE(ORÇAMENTO.Fonte," ",ORÇAMENTO.CodBarra)))</f>
        <v>SINAPI 104764</v>
      </c>
      <c r="AF595" s="13" t="str">
        <f ca="1">IF(ISERROR(INDIRECT(ORÇAMENTO.BancoRef)),"(abra o arquivo 'Referência "&amp;Excel_BuiltIn_Database&amp;".xlsm)",IF(OR($C595&lt;&gt;"S",ORÇAMENTO.CodBarra=""),"(Sem Código)",IF(ISERROR(MATCH($AE595,INDIRECT(ORÇAMENTO.BancoRef),0)),"(Código não identificado nas referências)",MATCH($AE595,INDIRECT(ORÇAMENTO.BancoRef),0))))</f>
        <v>(abra o arquivo 'Referência 02-2025.xlsm)</v>
      </c>
      <c r="AG595" s="498">
        <f ca="1">ROUND(IF(DESONERACAO="sim",REFERENCIA.Desonerado,REFERENCIA.NaoDesonerado),2)</f>
        <v>0</v>
      </c>
      <c r="AH595" s="499">
        <f t="shared" ca="1" si="164"/>
        <v>0.22470000000000001</v>
      </c>
      <c r="AJ595" s="501">
        <v>45.3</v>
      </c>
      <c r="AL595" s="527"/>
      <c r="AM595" s="381">
        <f t="shared" ca="1" si="159"/>
        <v>0</v>
      </c>
      <c r="AN595" s="566">
        <f t="shared" ca="1" si="165"/>
        <v>0</v>
      </c>
    </row>
    <row r="596" spans="1:40" x14ac:dyDescent="0.2">
      <c r="A596" t="str">
        <f t="shared" si="162"/>
        <v>S</v>
      </c>
      <c r="B596">
        <f t="shared" ca="1" si="146"/>
        <v>3</v>
      </c>
      <c r="C596" t="str">
        <f t="shared" ca="1" si="147"/>
        <v>S</v>
      </c>
      <c r="D596">
        <f t="shared" ca="1" si="148"/>
        <v>0</v>
      </c>
      <c r="E596">
        <f ca="1">IF($C596=1,OFFSET(E596,-1,0)+MAX(1,COUNTIF(QCI!$A$13:$A$24,OFFSET(ORÇAMENTO!E596,-1,0))),OFFSET(E596,-1,0))</f>
        <v>1</v>
      </c>
      <c r="F596">
        <f t="shared" ca="1" si="149"/>
        <v>17</v>
      </c>
      <c r="G596">
        <f t="shared" ca="1" si="150"/>
        <v>10</v>
      </c>
      <c r="H596">
        <f t="shared" ca="1" si="151"/>
        <v>0</v>
      </c>
      <c r="I596">
        <f t="shared" ca="1" si="152"/>
        <v>0</v>
      </c>
      <c r="J596">
        <f t="shared" ca="1" si="166"/>
        <v>0</v>
      </c>
      <c r="K596">
        <f ca="1">IF(OR($C596="S",$C596=0),0,MATCH(OFFSET($D596,0,$C596)+IF($C596&lt;&gt;1,1,COUNTIF(QCI!$A$13:$A$24,ORÇAMENTO!E596)),OFFSET($D596,1,$C596,ROW($C$747)-ROW($C596)),0))</f>
        <v>0</v>
      </c>
      <c r="L596" s="116" t="str">
        <f t="shared" ca="1" si="153"/>
        <v/>
      </c>
      <c r="M596" s="117" t="s">
        <v>199</v>
      </c>
      <c r="N596" s="118" t="str">
        <f t="shared" ca="1" si="154"/>
        <v>Serviço</v>
      </c>
      <c r="O596" s="119" t="str">
        <f t="shared" ca="1" si="155"/>
        <v>-</v>
      </c>
      <c r="P596" s="120" t="s">
        <v>712</v>
      </c>
      <c r="Q596" s="121" t="s">
        <v>855</v>
      </c>
      <c r="R596" s="122" t="str">
        <f ca="1">IF($C596="S",REFERENCIA.Descricao,"(digite a descrição aqui)")</f>
        <v>(abra o arquivo 'Referência 02-2025.xlsm)</v>
      </c>
      <c r="S596" s="123" t="str">
        <f ca="1">REFERENCIA.Unidade</f>
        <v>-</v>
      </c>
      <c r="T596" s="124">
        <f ca="1">OFFSET(CÁLCULO!H$15,ROW($T596)-ROW(T$15),0)</f>
        <v>45.3</v>
      </c>
      <c r="U596" s="125">
        <f t="shared" ca="1" si="167"/>
        <v>0</v>
      </c>
      <c r="V596" s="126" t="s">
        <v>156</v>
      </c>
      <c r="W596" s="124">
        <f ca="1">IF($C596="S",ROUND(IF(TIPOORCAMENTO="Proposto",ORÇAMENTO.CustoUnitario*(1+$AH596),ORÇAMENTO.PrecoUnitarioLicitado),15-13*$AF$10),0)</f>
        <v>0</v>
      </c>
      <c r="X596" s="127">
        <f ca="1">IF($C596="S",IF(Import.TipoArredondamento&lt;&gt;"TransfereGOV",VTOTAL1,SUM(OFFSET(CÁLCULO!$AA$15,ROW($X596)-ROW($X$15),1):OFFSET(CÁLCULO!$AL$15,ROW($X596)-ROW($X$15),-1))),IF($C596=0,0,ROUND(SomaAgrup,15-13*$AF$11)))</f>
        <v>0</v>
      </c>
      <c r="Y596" s="128" t="s">
        <v>245</v>
      </c>
      <c r="Z596" t="str">
        <f t="shared" ca="1" si="156"/>
        <v/>
      </c>
      <c r="AA596" s="129">
        <f ca="1">IF($C596="S",IF($Z596="CP",$X596,IF($Z596="RA",(($X596)*QCI!$AA$3),0)),SomaAgrup)</f>
        <v>0</v>
      </c>
      <c r="AB596" s="130">
        <f t="shared" ca="1" si="163"/>
        <v>0</v>
      </c>
      <c r="AC596" s="131" t="str">
        <f ca="1">IF($N596="","",IF(ORÇAMENTO.Descricao="","DESCRIÇÃO",IF(AND($C596="S",ORÇAMENTO.Unidade=""),"UNIDADE",IF($X596&lt;0,"VALOR NEGATIVO",IF(OR(AND(TIPOORCAMENTO="Proposto",$AG596&lt;&gt;"",$AG596&gt;0,ORÇAMENTO.CustoUnitario&gt;$AG596),AND(TIPOORCAMENTO="LICITADO",ORÇAMENTO.PrecoUnitarioLicitado&gt;$AN596)),"ACIMA REF.","")))))</f>
        <v/>
      </c>
      <c r="AD596" t="str">
        <f ca="1">IF(C596&lt;=CRONO.NivelExibicao,MAX($AD$15:OFFSET(AD596,-1,0))+IF($C596&lt;&gt;1,1,MAX(1,COUNTIF(QCI!$A$13:$A$24,OFFSET($E596,-1,0)))),"")</f>
        <v/>
      </c>
      <c r="AE596" s="7" t="str">
        <f ca="1">IF(AND($C596="S",ORÇAMENTO.CodBarra&lt;&gt;""),IF(ORÇAMENTO.Fonte="",ORÇAMENTO.CodBarra,CONCATENATE(ORÇAMENTO.Fonte," ",ORÇAMENTO.CodBarra)))</f>
        <v xml:space="preserve">Composição FNDE 32 </v>
      </c>
      <c r="AF596" s="13" t="str">
        <f ca="1">IF(ISERROR(INDIRECT(ORÇAMENTO.BancoRef)),"(abra o arquivo 'Referência "&amp;Excel_BuiltIn_Database&amp;".xlsm)",IF(OR($C596&lt;&gt;"S",ORÇAMENTO.CodBarra=""),"(Sem Código)",IF(ISERROR(MATCH($AE596,INDIRECT(ORÇAMENTO.BancoRef),0)),"(Código não identificado nas referências)",MATCH($AE596,INDIRECT(ORÇAMENTO.BancoRef),0))))</f>
        <v>(abra o arquivo 'Referência 02-2025.xlsm)</v>
      </c>
      <c r="AG596" s="498">
        <f ca="1">ROUND(IF(DESONERACAO="sim",REFERENCIA.Desonerado,REFERENCIA.NaoDesonerado),2)</f>
        <v>0</v>
      </c>
      <c r="AH596" s="499">
        <f t="shared" ca="1" si="164"/>
        <v>0.22470000000000001</v>
      </c>
      <c r="AJ596" s="501">
        <v>45.3</v>
      </c>
      <c r="AL596" s="527"/>
      <c r="AM596" s="381">
        <f t="shared" ca="1" si="159"/>
        <v>0</v>
      </c>
      <c r="AN596" s="566">
        <f t="shared" ca="1" si="165"/>
        <v>0</v>
      </c>
    </row>
    <row r="597" spans="1:40" x14ac:dyDescent="0.2">
      <c r="A597">
        <f t="shared" si="162"/>
        <v>3</v>
      </c>
      <c r="B597">
        <f t="shared" ca="1" si="146"/>
        <v>3</v>
      </c>
      <c r="C597">
        <f t="shared" ca="1" si="147"/>
        <v>3</v>
      </c>
      <c r="D597">
        <f t="shared" ca="1" si="148"/>
        <v>8</v>
      </c>
      <c r="E597">
        <f ca="1">IF($C597=1,OFFSET(E597,-1,0)+MAX(1,COUNTIF(QCI!$A$13:$A$24,OFFSET(ORÇAMENTO!E597,-1,0))),OFFSET(E597,-1,0))</f>
        <v>1</v>
      </c>
      <c r="F597">
        <f t="shared" ca="1" si="149"/>
        <v>17</v>
      </c>
      <c r="G597">
        <f t="shared" ca="1" si="150"/>
        <v>11</v>
      </c>
      <c r="H597">
        <f t="shared" ca="1" si="151"/>
        <v>0</v>
      </c>
      <c r="I597">
        <f t="shared" ca="1" si="152"/>
        <v>0</v>
      </c>
      <c r="J597">
        <f t="shared" ca="1" si="166"/>
        <v>11</v>
      </c>
      <c r="K597">
        <f ca="1">IF(OR($C597="S",$C597=0),0,MATCH(OFFSET($D597,0,$C597)+IF($C597&lt;&gt;1,1,COUNTIF(QCI!$A$13:$A$24,ORÇAMENTO!E597)),OFFSET($D597,1,$C597,ROW($C$747)-ROW($C597)),0))</f>
        <v>8</v>
      </c>
      <c r="L597" s="116" t="str">
        <f t="shared" ca="1" si="153"/>
        <v>F</v>
      </c>
      <c r="M597" s="117" t="s">
        <v>197</v>
      </c>
      <c r="N597" s="118" t="str">
        <f t="shared" ca="1" si="154"/>
        <v>Nível 3</v>
      </c>
      <c r="O597" s="119" t="str">
        <f t="shared" ca="1" si="155"/>
        <v>1.17.11.</v>
      </c>
      <c r="P597" s="120" t="s">
        <v>247</v>
      </c>
      <c r="Q597" s="121"/>
      <c r="R597" s="122" t="str">
        <f ca="1">IF($C597="S",REFERENCIA.Descricao,"ILUMINAÇÃO")</f>
        <v>ILUMINAÇÃO</v>
      </c>
      <c r="S597" s="123" t="str">
        <f ca="1">REFERENCIA.Unidade</f>
        <v>-</v>
      </c>
      <c r="T597" s="124">
        <f ca="1">OFFSET(CÁLCULO!H$15,ROW($T597)-ROW(T$15),0)</f>
        <v>0</v>
      </c>
      <c r="U597" s="125">
        <f t="shared" ca="1" si="167"/>
        <v>0</v>
      </c>
      <c r="V597" s="126" t="s">
        <v>156</v>
      </c>
      <c r="W597" s="124">
        <f ca="1">IF($C597="S",ROUND(IF(TIPOORCAMENTO="Proposto",ORÇAMENTO.CustoUnitario*(1+$AH597),ORÇAMENTO.PrecoUnitarioLicitado),15-13*$AF$10),0)</f>
        <v>0</v>
      </c>
      <c r="X597" s="127">
        <f ca="1">IF($C597="S",IF(Import.TipoArredondamento&lt;&gt;"TransfereGOV",VTOTAL1,SUM(OFFSET(CÁLCULO!$AA$15,ROW($X597)-ROW($X$15),1):OFFSET(CÁLCULO!$AL$15,ROW($X597)-ROW($X$15),-1))),IF($C597=0,0,ROUND(SomaAgrup,15-13*$AF$11)))</f>
        <v>0</v>
      </c>
      <c r="Y597" s="128" t="s">
        <v>245</v>
      </c>
      <c r="Z597" t="str">
        <f t="shared" ca="1" si="156"/>
        <v/>
      </c>
      <c r="AA597" s="129">
        <f ca="1">IF($C597="S",IF($Z597="CP",$X597,IF($Z597="RA",(($X597)*QCI!$AA$3),0)),SomaAgrup)</f>
        <v>0</v>
      </c>
      <c r="AB597" s="130">
        <f t="shared" ca="1" si="163"/>
        <v>0</v>
      </c>
      <c r="AC597" s="131" t="str">
        <f ca="1">IF($N597="","",IF(ORÇAMENTO.Descricao="","DESCRIÇÃO",IF(AND($C597="S",ORÇAMENTO.Unidade=""),"UNIDADE",IF($X597&lt;0,"VALOR NEGATIVO",IF(OR(AND(TIPOORCAMENTO="Proposto",$AG597&lt;&gt;"",$AG597&gt;0,ORÇAMENTO.CustoUnitario&gt;$AG597),AND(TIPOORCAMENTO="LICITADO",ORÇAMENTO.PrecoUnitarioLicitado&gt;$AN597)),"ACIMA REF.","")))))</f>
        <v/>
      </c>
      <c r="AD597" t="str">
        <f ca="1">IF(C597&lt;=CRONO.NivelExibicao,MAX($AD$15:OFFSET(AD597,-1,0))+IF($C597&lt;&gt;1,1,MAX(1,COUNTIF(QCI!$A$13:$A$24,OFFSET($E597,-1,0)))),"")</f>
        <v/>
      </c>
      <c r="AE597" s="7" t="b">
        <f ca="1">IF(AND($C597="S",ORÇAMENTO.CodBarra&lt;&gt;""),IF(ORÇAMENTO.Fonte="",ORÇAMENTO.CodBarra,CONCATENATE(ORÇAMENTO.Fonte," ",ORÇAMENTO.CodBarra)))</f>
        <v>0</v>
      </c>
      <c r="AF597" s="13" t="str">
        <f ca="1">IF(ISERROR(INDIRECT(ORÇAMENTO.BancoRef)),"(abra o arquivo 'Referência "&amp;Excel_BuiltIn_Database&amp;".xlsm)",IF(OR($C597&lt;&gt;"S",ORÇAMENTO.CodBarra=""),"(Sem Código)",IF(ISERROR(MATCH($AE597,INDIRECT(ORÇAMENTO.BancoRef),0)),"(Código não identificado nas referências)",MATCH($AE597,INDIRECT(ORÇAMENTO.BancoRef),0))))</f>
        <v>(abra o arquivo 'Referência 02-2025.xlsm)</v>
      </c>
      <c r="AG597" s="498">
        <f ca="1">ROUND(IF(DESONERACAO="sim",REFERENCIA.Desonerado,REFERENCIA.NaoDesonerado),2)</f>
        <v>0</v>
      </c>
      <c r="AH597" s="499">
        <f t="shared" ca="1" si="164"/>
        <v>0.22470000000000001</v>
      </c>
      <c r="AJ597" s="501"/>
      <c r="AL597" s="527"/>
      <c r="AM597" s="381">
        <f t="shared" ca="1" si="159"/>
        <v>0</v>
      </c>
      <c r="AN597" s="566">
        <f t="shared" ca="1" si="165"/>
        <v>0</v>
      </c>
    </row>
    <row r="598" spans="1:40" x14ac:dyDescent="0.2">
      <c r="A598" t="str">
        <f t="shared" si="162"/>
        <v>S</v>
      </c>
      <c r="B598">
        <f t="shared" ca="1" si="146"/>
        <v>3</v>
      </c>
      <c r="C598" t="str">
        <f t="shared" ca="1" si="147"/>
        <v>S</v>
      </c>
      <c r="D598">
        <f t="shared" ca="1" si="148"/>
        <v>0</v>
      </c>
      <c r="E598">
        <f ca="1">IF($C598=1,OFFSET(E598,-1,0)+MAX(1,COUNTIF(QCI!$A$13:$A$24,OFFSET(ORÇAMENTO!E598,-1,0))),OFFSET(E598,-1,0))</f>
        <v>1</v>
      </c>
      <c r="F598">
        <f t="shared" ca="1" si="149"/>
        <v>17</v>
      </c>
      <c r="G598">
        <f t="shared" ca="1" si="150"/>
        <v>11</v>
      </c>
      <c r="H598">
        <f t="shared" ca="1" si="151"/>
        <v>0</v>
      </c>
      <c r="I598">
        <f t="shared" ca="1" si="152"/>
        <v>0</v>
      </c>
      <c r="J598">
        <f t="shared" ca="1" si="166"/>
        <v>0</v>
      </c>
      <c r="K598">
        <f ca="1">IF(OR($C598="S",$C598=0),0,MATCH(OFFSET($D598,0,$C598)+IF($C598&lt;&gt;1,1,COUNTIF(QCI!$A$13:$A$24,ORÇAMENTO!E598)),OFFSET($D598,1,$C598,ROW($C$747)-ROW($C598)),0))</f>
        <v>0</v>
      </c>
      <c r="L598" s="116" t="str">
        <f t="shared" ca="1" si="153"/>
        <v/>
      </c>
      <c r="M598" s="117" t="s">
        <v>199</v>
      </c>
      <c r="N598" s="118" t="str">
        <f t="shared" ca="1" si="154"/>
        <v>Serviço</v>
      </c>
      <c r="O598" s="119" t="str">
        <f t="shared" ca="1" si="155"/>
        <v>-</v>
      </c>
      <c r="P598" s="120" t="s">
        <v>712</v>
      </c>
      <c r="Q598" s="121" t="s">
        <v>982</v>
      </c>
      <c r="R598" s="122" t="str">
        <f ca="1">IF($C598="S",REFERENCIA.Descricao,"(digite a descrição aqui)")</f>
        <v>(abra o arquivo 'Referência 02-2025.xlsm)</v>
      </c>
      <c r="S598" s="123" t="str">
        <f ca="1">REFERENCIA.Unidade</f>
        <v>-</v>
      </c>
      <c r="T598" s="124">
        <f ca="1">OFFSET(CÁLCULO!H$15,ROW($T598)-ROW(T$15),0)</f>
        <v>14</v>
      </c>
      <c r="U598" s="125">
        <f t="shared" ca="1" si="167"/>
        <v>0</v>
      </c>
      <c r="V598" s="126" t="s">
        <v>156</v>
      </c>
      <c r="W598" s="124">
        <f ca="1">IF($C598="S",ROUND(IF(TIPOORCAMENTO="Proposto",ORÇAMENTO.CustoUnitario*(1+$AH598),ORÇAMENTO.PrecoUnitarioLicitado),15-13*$AF$10),0)</f>
        <v>0</v>
      </c>
      <c r="X598" s="127">
        <f ca="1">IF($C598="S",IF(Import.TipoArredondamento&lt;&gt;"TransfereGOV",VTOTAL1,SUM(OFFSET(CÁLCULO!$AA$15,ROW($X598)-ROW($X$15),1):OFFSET(CÁLCULO!$AL$15,ROW($X598)-ROW($X$15),-1))),IF($C598=0,0,ROUND(SomaAgrup,15-13*$AF$11)))</f>
        <v>0</v>
      </c>
      <c r="Y598" s="128" t="s">
        <v>245</v>
      </c>
      <c r="Z598" t="str">
        <f t="shared" ca="1" si="156"/>
        <v/>
      </c>
      <c r="AA598" s="129">
        <f ca="1">IF($C598="S",IF($Z598="CP",$X598,IF($Z598="RA",(($X598)*QCI!$AA$3),0)),SomaAgrup)</f>
        <v>0</v>
      </c>
      <c r="AB598" s="130">
        <f t="shared" ca="1" si="163"/>
        <v>0</v>
      </c>
      <c r="AC598" s="131" t="str">
        <f ca="1">IF($N598="","",IF(ORÇAMENTO.Descricao="","DESCRIÇÃO",IF(AND($C598="S",ORÇAMENTO.Unidade=""),"UNIDADE",IF($X598&lt;0,"VALOR NEGATIVO",IF(OR(AND(TIPOORCAMENTO="Proposto",$AG598&lt;&gt;"",$AG598&gt;0,ORÇAMENTO.CustoUnitario&gt;$AG598),AND(TIPOORCAMENTO="LICITADO",ORÇAMENTO.PrecoUnitarioLicitado&gt;$AN598)),"ACIMA REF.","")))))</f>
        <v/>
      </c>
      <c r="AD598" t="str">
        <f ca="1">IF(C598&lt;=CRONO.NivelExibicao,MAX($AD$15:OFFSET(AD598,-1,0))+IF($C598&lt;&gt;1,1,MAX(1,COUNTIF(QCI!$A$13:$A$24,OFFSET($E598,-1,0)))),"")</f>
        <v/>
      </c>
      <c r="AE598" s="7" t="str">
        <f ca="1">IF(AND($C598="S",ORÇAMENTO.CodBarra&lt;&gt;""),IF(ORÇAMENTO.Fonte="",ORÇAMENTO.CodBarra,CONCATENATE(ORÇAMENTO.Fonte," ",ORÇAMENTO.CodBarra)))</f>
        <v>Composição FNDE 96</v>
      </c>
      <c r="AF598" s="13" t="str">
        <f ca="1">IF(ISERROR(INDIRECT(ORÇAMENTO.BancoRef)),"(abra o arquivo 'Referência "&amp;Excel_BuiltIn_Database&amp;".xlsm)",IF(OR($C598&lt;&gt;"S",ORÇAMENTO.CodBarra=""),"(Sem Código)",IF(ISERROR(MATCH($AE598,INDIRECT(ORÇAMENTO.BancoRef),0)),"(Código não identificado nas referências)",MATCH($AE598,INDIRECT(ORÇAMENTO.BancoRef),0))))</f>
        <v>(abra o arquivo 'Referência 02-2025.xlsm)</v>
      </c>
      <c r="AG598" s="498">
        <f ca="1">ROUND(IF(DESONERACAO="sim",REFERENCIA.Desonerado,REFERENCIA.NaoDesonerado),2)</f>
        <v>0</v>
      </c>
      <c r="AH598" s="499">
        <f t="shared" ca="1" si="164"/>
        <v>0.22470000000000001</v>
      </c>
      <c r="AJ598" s="501">
        <v>14</v>
      </c>
      <c r="AL598" s="527"/>
      <c r="AM598" s="381">
        <f t="shared" ca="1" si="159"/>
        <v>0</v>
      </c>
      <c r="AN598" s="566">
        <f t="shared" ca="1" si="165"/>
        <v>0</v>
      </c>
    </row>
    <row r="599" spans="1:40" x14ac:dyDescent="0.2">
      <c r="A599" t="str">
        <f t="shared" si="162"/>
        <v>S</v>
      </c>
      <c r="B599">
        <f t="shared" ca="1" si="146"/>
        <v>3</v>
      </c>
      <c r="C599" t="str">
        <f t="shared" ca="1" si="147"/>
        <v>S</v>
      </c>
      <c r="D599">
        <f t="shared" ca="1" si="148"/>
        <v>0</v>
      </c>
      <c r="E599">
        <f ca="1">IF($C599=1,OFFSET(E599,-1,0)+MAX(1,COUNTIF(QCI!$A$13:$A$24,OFFSET(ORÇAMENTO!E599,-1,0))),OFFSET(E599,-1,0))</f>
        <v>1</v>
      </c>
      <c r="F599">
        <f t="shared" ca="1" si="149"/>
        <v>17</v>
      </c>
      <c r="G599">
        <f t="shared" ca="1" si="150"/>
        <v>11</v>
      </c>
      <c r="H599">
        <f t="shared" ca="1" si="151"/>
        <v>0</v>
      </c>
      <c r="I599">
        <f t="shared" ca="1" si="152"/>
        <v>0</v>
      </c>
      <c r="J599">
        <f t="shared" ca="1" si="166"/>
        <v>0</v>
      </c>
      <c r="K599">
        <f ca="1">IF(OR($C599="S",$C599=0),0,MATCH(OFFSET($D599,0,$C599)+IF($C599&lt;&gt;1,1,COUNTIF(QCI!$A$13:$A$24,ORÇAMENTO!E599)),OFFSET($D599,1,$C599,ROW($C$747)-ROW($C599)),0))</f>
        <v>0</v>
      </c>
      <c r="L599" s="116" t="str">
        <f t="shared" ca="1" si="153"/>
        <v/>
      </c>
      <c r="M599" s="117" t="s">
        <v>199</v>
      </c>
      <c r="N599" s="118" t="str">
        <f t="shared" ca="1" si="154"/>
        <v>Serviço</v>
      </c>
      <c r="O599" s="119" t="str">
        <f t="shared" ca="1" si="155"/>
        <v>-</v>
      </c>
      <c r="P599" s="120" t="s">
        <v>712</v>
      </c>
      <c r="Q599" s="121" t="s">
        <v>983</v>
      </c>
      <c r="R599" s="122" t="str">
        <f ca="1">IF($C599="S",REFERENCIA.Descricao,"(digite a descrição aqui)")</f>
        <v>(abra o arquivo 'Referência 02-2025.xlsm)</v>
      </c>
      <c r="S599" s="123" t="str">
        <f ca="1">REFERENCIA.Unidade</f>
        <v>-</v>
      </c>
      <c r="T599" s="124">
        <f ca="1">OFFSET(CÁLCULO!H$15,ROW($T599)-ROW(T$15),0)</f>
        <v>89</v>
      </c>
      <c r="U599" s="125">
        <f t="shared" ca="1" si="167"/>
        <v>0</v>
      </c>
      <c r="V599" s="126" t="s">
        <v>156</v>
      </c>
      <c r="W599" s="124">
        <f ca="1">IF($C599="S",ROUND(IF(TIPOORCAMENTO="Proposto",ORÇAMENTO.CustoUnitario*(1+$AH599),ORÇAMENTO.PrecoUnitarioLicitado),15-13*$AF$10),0)</f>
        <v>0</v>
      </c>
      <c r="X599" s="127">
        <f ca="1">IF($C599="S",IF(Import.TipoArredondamento&lt;&gt;"TransfereGOV",VTOTAL1,SUM(OFFSET(CÁLCULO!$AA$15,ROW($X599)-ROW($X$15),1):OFFSET(CÁLCULO!$AL$15,ROW($X599)-ROW($X$15),-1))),IF($C599=0,0,ROUND(SomaAgrup,15-13*$AF$11)))</f>
        <v>0</v>
      </c>
      <c r="Y599" s="128" t="s">
        <v>245</v>
      </c>
      <c r="Z599" t="str">
        <f t="shared" ca="1" si="156"/>
        <v/>
      </c>
      <c r="AA599" s="129">
        <f ca="1">IF($C599="S",IF($Z599="CP",$X599,IF($Z599="RA",(($X599)*QCI!$AA$3),0)),SomaAgrup)</f>
        <v>0</v>
      </c>
      <c r="AB599" s="130">
        <f t="shared" ca="1" si="163"/>
        <v>0</v>
      </c>
      <c r="AC599" s="131" t="str">
        <f ca="1">IF($N599="","",IF(ORÇAMENTO.Descricao="","DESCRIÇÃO",IF(AND($C599="S",ORÇAMENTO.Unidade=""),"UNIDADE",IF($X599&lt;0,"VALOR NEGATIVO",IF(OR(AND(TIPOORCAMENTO="Proposto",$AG599&lt;&gt;"",$AG599&gt;0,ORÇAMENTO.CustoUnitario&gt;$AG599),AND(TIPOORCAMENTO="LICITADO",ORÇAMENTO.PrecoUnitarioLicitado&gt;$AN599)),"ACIMA REF.","")))))</f>
        <v/>
      </c>
      <c r="AD599" t="str">
        <f ca="1">IF(C599&lt;=CRONO.NivelExibicao,MAX($AD$15:OFFSET(AD599,-1,0))+IF($C599&lt;&gt;1,1,MAX(1,COUNTIF(QCI!$A$13:$A$24,OFFSET($E599,-1,0)))),"")</f>
        <v/>
      </c>
      <c r="AE599" s="7" t="str">
        <f ca="1">IF(AND($C599="S",ORÇAMENTO.CodBarra&lt;&gt;""),IF(ORÇAMENTO.Fonte="",ORÇAMENTO.CodBarra,CONCATENATE(ORÇAMENTO.Fonte," ",ORÇAMENTO.CodBarra)))</f>
        <v>Composição FNDE 97</v>
      </c>
      <c r="AF599" s="13" t="str">
        <f ca="1">IF(ISERROR(INDIRECT(ORÇAMENTO.BancoRef)),"(abra o arquivo 'Referência "&amp;Excel_BuiltIn_Database&amp;".xlsm)",IF(OR($C599&lt;&gt;"S",ORÇAMENTO.CodBarra=""),"(Sem Código)",IF(ISERROR(MATCH($AE599,INDIRECT(ORÇAMENTO.BancoRef),0)),"(Código não identificado nas referências)",MATCH($AE599,INDIRECT(ORÇAMENTO.BancoRef),0))))</f>
        <v>(abra o arquivo 'Referência 02-2025.xlsm)</v>
      </c>
      <c r="AG599" s="498">
        <f ca="1">ROUND(IF(DESONERACAO="sim",REFERENCIA.Desonerado,REFERENCIA.NaoDesonerado),2)</f>
        <v>0</v>
      </c>
      <c r="AH599" s="499">
        <f t="shared" ca="1" si="164"/>
        <v>0.22470000000000001</v>
      </c>
      <c r="AJ599" s="501">
        <v>89</v>
      </c>
      <c r="AL599" s="527"/>
      <c r="AM599" s="381">
        <f t="shared" ca="1" si="159"/>
        <v>0</v>
      </c>
      <c r="AN599" s="566">
        <f t="shared" ca="1" si="165"/>
        <v>0</v>
      </c>
    </row>
    <row r="600" spans="1:40" x14ac:dyDescent="0.2">
      <c r="A600" t="str">
        <f t="shared" si="162"/>
        <v>S</v>
      </c>
      <c r="B600">
        <f t="shared" ca="1" si="146"/>
        <v>3</v>
      </c>
      <c r="C600" t="str">
        <f t="shared" ca="1" si="147"/>
        <v>S</v>
      </c>
      <c r="D600">
        <f t="shared" ca="1" si="148"/>
        <v>0</v>
      </c>
      <c r="E600">
        <f ca="1">IF($C600=1,OFFSET(E600,-1,0)+MAX(1,COUNTIF(QCI!$A$13:$A$24,OFFSET(ORÇAMENTO!E600,-1,0))),OFFSET(E600,-1,0))</f>
        <v>1</v>
      </c>
      <c r="F600">
        <f t="shared" ca="1" si="149"/>
        <v>17</v>
      </c>
      <c r="G600">
        <f t="shared" ca="1" si="150"/>
        <v>11</v>
      </c>
      <c r="H600">
        <f t="shared" ca="1" si="151"/>
        <v>0</v>
      </c>
      <c r="I600">
        <f t="shared" ca="1" si="152"/>
        <v>0</v>
      </c>
      <c r="J600">
        <f t="shared" ca="1" si="166"/>
        <v>0</v>
      </c>
      <c r="K600">
        <f ca="1">IF(OR($C600="S",$C600=0),0,MATCH(OFFSET($D600,0,$C600)+IF($C600&lt;&gt;1,1,COUNTIF(QCI!$A$13:$A$24,ORÇAMENTO!E600)),OFFSET($D600,1,$C600,ROW($C$747)-ROW($C600)),0))</f>
        <v>0</v>
      </c>
      <c r="L600" s="116" t="str">
        <f t="shared" ca="1" si="153"/>
        <v/>
      </c>
      <c r="M600" s="117" t="s">
        <v>199</v>
      </c>
      <c r="N600" s="118" t="str">
        <f t="shared" ca="1" si="154"/>
        <v>Serviço</v>
      </c>
      <c r="O600" s="119" t="str">
        <f t="shared" ca="1" si="155"/>
        <v>-</v>
      </c>
      <c r="P600" s="120" t="s">
        <v>712</v>
      </c>
      <c r="Q600" s="121" t="s">
        <v>984</v>
      </c>
      <c r="R600" s="122" t="str">
        <f ca="1">IF($C600="S",REFERENCIA.Descricao,"(digite a descrição aqui)")</f>
        <v>(abra o arquivo 'Referência 02-2025.xlsm)</v>
      </c>
      <c r="S600" s="123" t="str">
        <f ca="1">REFERENCIA.Unidade</f>
        <v>-</v>
      </c>
      <c r="T600" s="124">
        <f ca="1">OFFSET(CÁLCULO!H$15,ROW($T600)-ROW(T$15),0)</f>
        <v>56</v>
      </c>
      <c r="U600" s="125">
        <f t="shared" ca="1" si="167"/>
        <v>0</v>
      </c>
      <c r="V600" s="126" t="s">
        <v>156</v>
      </c>
      <c r="W600" s="124">
        <f ca="1">IF($C600="S",ROUND(IF(TIPOORCAMENTO="Proposto",ORÇAMENTO.CustoUnitario*(1+$AH600),ORÇAMENTO.PrecoUnitarioLicitado),15-13*$AF$10),0)</f>
        <v>0</v>
      </c>
      <c r="X600" s="127">
        <f ca="1">IF($C600="S",IF(Import.TipoArredondamento&lt;&gt;"TransfereGOV",VTOTAL1,SUM(OFFSET(CÁLCULO!$AA$15,ROW($X600)-ROW($X$15),1):OFFSET(CÁLCULO!$AL$15,ROW($X600)-ROW($X$15),-1))),IF($C600=0,0,ROUND(SomaAgrup,15-13*$AF$11)))</f>
        <v>0</v>
      </c>
      <c r="Y600" s="128" t="s">
        <v>245</v>
      </c>
      <c r="Z600" t="str">
        <f t="shared" ca="1" si="156"/>
        <v/>
      </c>
      <c r="AA600" s="129">
        <f ca="1">IF($C600="S",IF($Z600="CP",$X600,IF($Z600="RA",(($X600)*QCI!$AA$3),0)),SomaAgrup)</f>
        <v>0</v>
      </c>
      <c r="AB600" s="130">
        <f t="shared" ca="1" si="163"/>
        <v>0</v>
      </c>
      <c r="AC600" s="131" t="str">
        <f ca="1">IF($N600="","",IF(ORÇAMENTO.Descricao="","DESCRIÇÃO",IF(AND($C600="S",ORÇAMENTO.Unidade=""),"UNIDADE",IF($X600&lt;0,"VALOR NEGATIVO",IF(OR(AND(TIPOORCAMENTO="Proposto",$AG600&lt;&gt;"",$AG600&gt;0,ORÇAMENTO.CustoUnitario&gt;$AG600),AND(TIPOORCAMENTO="LICITADO",ORÇAMENTO.PrecoUnitarioLicitado&gt;$AN600)),"ACIMA REF.","")))))</f>
        <v/>
      </c>
      <c r="AD600" t="str">
        <f ca="1">IF(C600&lt;=CRONO.NivelExibicao,MAX($AD$15:OFFSET(AD600,-1,0))+IF($C600&lt;&gt;1,1,MAX(1,COUNTIF(QCI!$A$13:$A$24,OFFSET($E600,-1,0)))),"")</f>
        <v/>
      </c>
      <c r="AE600" s="7" t="str">
        <f ca="1">IF(AND($C600="S",ORÇAMENTO.CodBarra&lt;&gt;""),IF(ORÇAMENTO.Fonte="",ORÇAMENTO.CodBarra,CONCATENATE(ORÇAMENTO.Fonte," ",ORÇAMENTO.CodBarra)))</f>
        <v>Composição FNDE 308</v>
      </c>
      <c r="AF600" s="13" t="str">
        <f ca="1">IF(ISERROR(INDIRECT(ORÇAMENTO.BancoRef)),"(abra o arquivo 'Referência "&amp;Excel_BuiltIn_Database&amp;".xlsm)",IF(OR($C600&lt;&gt;"S",ORÇAMENTO.CodBarra=""),"(Sem Código)",IF(ISERROR(MATCH($AE600,INDIRECT(ORÇAMENTO.BancoRef),0)),"(Código não identificado nas referências)",MATCH($AE600,INDIRECT(ORÇAMENTO.BancoRef),0))))</f>
        <v>(abra o arquivo 'Referência 02-2025.xlsm)</v>
      </c>
      <c r="AG600" s="498">
        <f ca="1">ROUND(IF(DESONERACAO="sim",REFERENCIA.Desonerado,REFERENCIA.NaoDesonerado),2)</f>
        <v>0</v>
      </c>
      <c r="AH600" s="499">
        <f t="shared" ca="1" si="164"/>
        <v>0.22470000000000001</v>
      </c>
      <c r="AJ600" s="501">
        <v>56</v>
      </c>
      <c r="AL600" s="527"/>
      <c r="AM600" s="381">
        <f t="shared" ca="1" si="159"/>
        <v>0</v>
      </c>
      <c r="AN600" s="566">
        <f t="shared" ca="1" si="165"/>
        <v>0</v>
      </c>
    </row>
    <row r="601" spans="1:40" ht="25.5" x14ac:dyDescent="0.2">
      <c r="A601" t="str">
        <f t="shared" si="162"/>
        <v>S</v>
      </c>
      <c r="B601">
        <f t="shared" ca="1" si="146"/>
        <v>3</v>
      </c>
      <c r="C601" t="str">
        <f t="shared" ca="1" si="147"/>
        <v>S</v>
      </c>
      <c r="D601">
        <f t="shared" ca="1" si="148"/>
        <v>0</v>
      </c>
      <c r="E601">
        <f ca="1">IF($C601=1,OFFSET(E601,-1,0)+MAX(1,COUNTIF(QCI!$A$13:$A$24,OFFSET(ORÇAMENTO!E601,-1,0))),OFFSET(E601,-1,0))</f>
        <v>1</v>
      </c>
      <c r="F601">
        <f t="shared" ca="1" si="149"/>
        <v>17</v>
      </c>
      <c r="G601">
        <f t="shared" ca="1" si="150"/>
        <v>11</v>
      </c>
      <c r="H601">
        <f t="shared" ca="1" si="151"/>
        <v>0</v>
      </c>
      <c r="I601">
        <f t="shared" ca="1" si="152"/>
        <v>0</v>
      </c>
      <c r="J601">
        <f t="shared" ca="1" si="166"/>
        <v>0</v>
      </c>
      <c r="K601">
        <f ca="1">IF(OR($C601="S",$C601=0),0,MATCH(OFFSET($D601,0,$C601)+IF($C601&lt;&gt;1,1,COUNTIF(QCI!$A$13:$A$24,ORÇAMENTO!E601)),OFFSET($D601,1,$C601,ROW($C$747)-ROW($C601)),0))</f>
        <v>0</v>
      </c>
      <c r="L601" s="116" t="str">
        <f t="shared" ca="1" si="153"/>
        <v/>
      </c>
      <c r="M601" s="117" t="s">
        <v>199</v>
      </c>
      <c r="N601" s="118" t="str">
        <f t="shared" ca="1" si="154"/>
        <v>Serviço</v>
      </c>
      <c r="O601" s="119" t="str">
        <f t="shared" ca="1" si="155"/>
        <v>-</v>
      </c>
      <c r="P601" s="120" t="s">
        <v>247</v>
      </c>
      <c r="Q601" s="121" t="s">
        <v>985</v>
      </c>
      <c r="R601" s="122" t="str">
        <f ca="1">IF($C601="S",REFERENCIA.Descricao,"(digite a descrição aqui)")</f>
        <v>(abra o arquivo 'Referência 02-2025.xlsm)</v>
      </c>
      <c r="S601" s="123" t="str">
        <f ca="1">REFERENCIA.Unidade</f>
        <v>-</v>
      </c>
      <c r="T601" s="124">
        <f ca="1">OFFSET(CÁLCULO!H$15,ROW($T601)-ROW(T$15),0)</f>
        <v>6</v>
      </c>
      <c r="U601" s="125">
        <f t="shared" ca="1" si="167"/>
        <v>0</v>
      </c>
      <c r="V601" s="126" t="s">
        <v>156</v>
      </c>
      <c r="W601" s="124">
        <f ca="1">IF($C601="S",ROUND(IF(TIPOORCAMENTO="Proposto",ORÇAMENTO.CustoUnitario*(1+$AH601),ORÇAMENTO.PrecoUnitarioLicitado),15-13*$AF$10),0)</f>
        <v>0</v>
      </c>
      <c r="X601" s="127">
        <f ca="1">IF($C601="S",IF(Import.TipoArredondamento&lt;&gt;"TransfereGOV",VTOTAL1,SUM(OFFSET(CÁLCULO!$AA$15,ROW($X601)-ROW($X$15),1):OFFSET(CÁLCULO!$AL$15,ROW($X601)-ROW($X$15),-1))),IF($C601=0,0,ROUND(SomaAgrup,15-13*$AF$11)))</f>
        <v>0</v>
      </c>
      <c r="Y601" s="128" t="s">
        <v>245</v>
      </c>
      <c r="Z601" t="str">
        <f t="shared" ca="1" si="156"/>
        <v/>
      </c>
      <c r="AA601" s="129">
        <f ca="1">IF($C601="S",IF($Z601="CP",$X601,IF($Z601="RA",(($X601)*QCI!$AA$3),0)),SomaAgrup)</f>
        <v>0</v>
      </c>
      <c r="AB601" s="130">
        <f t="shared" ca="1" si="163"/>
        <v>0</v>
      </c>
      <c r="AC601" s="131" t="str">
        <f ca="1">IF($N601="","",IF(ORÇAMENTO.Descricao="","DESCRIÇÃO",IF(AND($C601="S",ORÇAMENTO.Unidade=""),"UNIDADE",IF($X601&lt;0,"VALOR NEGATIVO",IF(OR(AND(TIPOORCAMENTO="Proposto",$AG601&lt;&gt;"",$AG601&gt;0,ORÇAMENTO.CustoUnitario&gt;$AG601),AND(TIPOORCAMENTO="LICITADO",ORÇAMENTO.PrecoUnitarioLicitado&gt;$AN601)),"ACIMA REF.","")))))</f>
        <v/>
      </c>
      <c r="AD601" t="str">
        <f ca="1">IF(C601&lt;=CRONO.NivelExibicao,MAX($AD$15:OFFSET(AD601,-1,0))+IF($C601&lt;&gt;1,1,MAX(1,COUNTIF(QCI!$A$13:$A$24,OFFSET($E601,-1,0)))),"")</f>
        <v/>
      </c>
      <c r="AE601" s="7" t="str">
        <f ca="1">IF(AND($C601="S",ORÇAMENTO.CodBarra&lt;&gt;""),IF(ORÇAMENTO.Fonte="",ORÇAMENTO.CodBarra,CONCATENATE(ORÇAMENTO.Fonte," ",ORÇAMENTO.CodBarra)))</f>
        <v>SINAPI 100903</v>
      </c>
      <c r="AF601" s="13" t="str">
        <f ca="1">IF(ISERROR(INDIRECT(ORÇAMENTO.BancoRef)),"(abra o arquivo 'Referência "&amp;Excel_BuiltIn_Database&amp;".xlsm)",IF(OR($C601&lt;&gt;"S",ORÇAMENTO.CodBarra=""),"(Sem Código)",IF(ISERROR(MATCH($AE601,INDIRECT(ORÇAMENTO.BancoRef),0)),"(Código não identificado nas referências)",MATCH($AE601,INDIRECT(ORÇAMENTO.BancoRef),0))))</f>
        <v>(abra o arquivo 'Referência 02-2025.xlsm)</v>
      </c>
      <c r="AG601" s="498">
        <f ca="1">ROUND(IF(DESONERACAO="sim",REFERENCIA.Desonerado,REFERENCIA.NaoDesonerado),2)</f>
        <v>0</v>
      </c>
      <c r="AH601" s="499">
        <f t="shared" ca="1" si="164"/>
        <v>0.22470000000000001</v>
      </c>
      <c r="AJ601" s="501">
        <v>6</v>
      </c>
      <c r="AL601" s="527"/>
      <c r="AM601" s="381">
        <f t="shared" ca="1" si="159"/>
        <v>0</v>
      </c>
      <c r="AN601" s="566">
        <f t="shared" ca="1" si="165"/>
        <v>0</v>
      </c>
    </row>
    <row r="602" spans="1:40" ht="25.5" x14ac:dyDescent="0.2">
      <c r="A602" t="str">
        <f t="shared" si="162"/>
        <v>S</v>
      </c>
      <c r="B602">
        <f t="shared" ca="1" si="146"/>
        <v>3</v>
      </c>
      <c r="C602" t="str">
        <f t="shared" ca="1" si="147"/>
        <v>S</v>
      </c>
      <c r="D602">
        <f t="shared" ca="1" si="148"/>
        <v>0</v>
      </c>
      <c r="E602">
        <f ca="1">IF($C602=1,OFFSET(E602,-1,0)+MAX(1,COUNTIF(QCI!$A$13:$A$24,OFFSET(ORÇAMENTO!E602,-1,0))),OFFSET(E602,-1,0))</f>
        <v>1</v>
      </c>
      <c r="F602">
        <f t="shared" ca="1" si="149"/>
        <v>17</v>
      </c>
      <c r="G602">
        <f t="shared" ca="1" si="150"/>
        <v>11</v>
      </c>
      <c r="H602">
        <f t="shared" ca="1" si="151"/>
        <v>0</v>
      </c>
      <c r="I602">
        <f t="shared" ca="1" si="152"/>
        <v>0</v>
      </c>
      <c r="J602">
        <f t="shared" ca="1" si="166"/>
        <v>0</v>
      </c>
      <c r="K602">
        <f ca="1">IF(OR($C602="S",$C602=0),0,MATCH(OFFSET($D602,0,$C602)+IF($C602&lt;&gt;1,1,COUNTIF(QCI!$A$13:$A$24,ORÇAMENTO!E602)),OFFSET($D602,1,$C602,ROW($C$747)-ROW($C602)),0))</f>
        <v>0</v>
      </c>
      <c r="L602" s="116" t="str">
        <f t="shared" ca="1" si="153"/>
        <v/>
      </c>
      <c r="M602" s="117" t="s">
        <v>199</v>
      </c>
      <c r="N602" s="118" t="str">
        <f t="shared" ca="1" si="154"/>
        <v>Serviço</v>
      </c>
      <c r="O602" s="119" t="str">
        <f t="shared" ca="1" si="155"/>
        <v>-</v>
      </c>
      <c r="P602" s="120" t="s">
        <v>712</v>
      </c>
      <c r="Q602" s="121" t="s">
        <v>986</v>
      </c>
      <c r="R602" s="122" t="str">
        <f ca="1">IF($C602="S",REFERENCIA.Descricao,"(digite a descrição aqui)")</f>
        <v>(abra o arquivo 'Referência 02-2025.xlsm)</v>
      </c>
      <c r="S602" s="123" t="str">
        <f ca="1">REFERENCIA.Unidade</f>
        <v>-</v>
      </c>
      <c r="T602" s="124">
        <f ca="1">OFFSET(CÁLCULO!H$15,ROW($T602)-ROW(T$15),0)</f>
        <v>5</v>
      </c>
      <c r="U602" s="125">
        <f t="shared" ca="1" si="167"/>
        <v>0</v>
      </c>
      <c r="V602" s="126" t="s">
        <v>156</v>
      </c>
      <c r="W602" s="124">
        <f ca="1">IF($C602="S",ROUND(IF(TIPOORCAMENTO="Proposto",ORÇAMENTO.CustoUnitario*(1+$AH602),ORÇAMENTO.PrecoUnitarioLicitado),15-13*$AF$10),0)</f>
        <v>0</v>
      </c>
      <c r="X602" s="127">
        <f ca="1">IF($C602="S",IF(Import.TipoArredondamento&lt;&gt;"TransfereGOV",VTOTAL1,SUM(OFFSET(CÁLCULO!$AA$15,ROW($X602)-ROW($X$15),1):OFFSET(CÁLCULO!$AL$15,ROW($X602)-ROW($X$15),-1))),IF($C602=0,0,ROUND(SomaAgrup,15-13*$AF$11)))</f>
        <v>0</v>
      </c>
      <c r="Y602" s="128" t="s">
        <v>245</v>
      </c>
      <c r="Z602" t="str">
        <f t="shared" ca="1" si="156"/>
        <v/>
      </c>
      <c r="AA602" s="129">
        <f ca="1">IF($C602="S",IF($Z602="CP",$X602,IF($Z602="RA",(($X602)*QCI!$AA$3),0)),SomaAgrup)</f>
        <v>0</v>
      </c>
      <c r="AB602" s="130">
        <f t="shared" ca="1" si="163"/>
        <v>0</v>
      </c>
      <c r="AC602" s="131" t="str">
        <f ca="1">IF($N602="","",IF(ORÇAMENTO.Descricao="","DESCRIÇÃO",IF(AND($C602="S",ORÇAMENTO.Unidade=""),"UNIDADE",IF($X602&lt;0,"VALOR NEGATIVO",IF(OR(AND(TIPOORCAMENTO="Proposto",$AG602&lt;&gt;"",$AG602&gt;0,ORÇAMENTO.CustoUnitario&gt;$AG602),AND(TIPOORCAMENTO="LICITADO",ORÇAMENTO.PrecoUnitarioLicitado&gt;$AN602)),"ACIMA REF.","")))))</f>
        <v/>
      </c>
      <c r="AD602" t="str">
        <f ca="1">IF(C602&lt;=CRONO.NivelExibicao,MAX($AD$15:OFFSET(AD602,-1,0))+IF($C602&lt;&gt;1,1,MAX(1,COUNTIF(QCI!$A$13:$A$24,OFFSET($E602,-1,0)))),"")</f>
        <v/>
      </c>
      <c r="AE602" s="7" t="str">
        <f ca="1">IF(AND($C602="S",ORÇAMENTO.CodBarra&lt;&gt;""),IF(ORÇAMENTO.Fonte="",ORÇAMENTO.CodBarra,CONCATENATE(ORÇAMENTO.Fonte," ",ORÇAMENTO.CodBarra)))</f>
        <v>Composição FNDE 98</v>
      </c>
      <c r="AF602" s="13" t="str">
        <f ca="1">IF(ISERROR(INDIRECT(ORÇAMENTO.BancoRef)),"(abra o arquivo 'Referência "&amp;Excel_BuiltIn_Database&amp;".xlsm)",IF(OR($C602&lt;&gt;"S",ORÇAMENTO.CodBarra=""),"(Sem Código)",IF(ISERROR(MATCH($AE602,INDIRECT(ORÇAMENTO.BancoRef),0)),"(Código não identificado nas referências)",MATCH($AE602,INDIRECT(ORÇAMENTO.BancoRef),0))))</f>
        <v>(abra o arquivo 'Referência 02-2025.xlsm)</v>
      </c>
      <c r="AG602" s="498">
        <f ca="1">ROUND(IF(DESONERACAO="sim",REFERENCIA.Desonerado,REFERENCIA.NaoDesonerado),2)</f>
        <v>0</v>
      </c>
      <c r="AH602" s="499">
        <f t="shared" ca="1" si="164"/>
        <v>0.22470000000000001</v>
      </c>
      <c r="AJ602" s="501">
        <v>5</v>
      </c>
      <c r="AL602" s="527"/>
      <c r="AM602" s="381">
        <f t="shared" ca="1" si="159"/>
        <v>0</v>
      </c>
      <c r="AN602" s="566">
        <f t="shared" ca="1" si="165"/>
        <v>0</v>
      </c>
    </row>
    <row r="603" spans="1:40" x14ac:dyDescent="0.2">
      <c r="A603" t="str">
        <f t="shared" si="162"/>
        <v>S</v>
      </c>
      <c r="B603">
        <f t="shared" ca="1" si="146"/>
        <v>3</v>
      </c>
      <c r="C603" t="str">
        <f t="shared" ca="1" si="147"/>
        <v>S</v>
      </c>
      <c r="D603">
        <f t="shared" ca="1" si="148"/>
        <v>0</v>
      </c>
      <c r="E603">
        <f ca="1">IF($C603=1,OFFSET(E603,-1,0)+MAX(1,COUNTIF(QCI!$A$13:$A$24,OFFSET(ORÇAMENTO!E603,-1,0))),OFFSET(E603,-1,0))</f>
        <v>1</v>
      </c>
      <c r="F603">
        <f t="shared" ca="1" si="149"/>
        <v>17</v>
      </c>
      <c r="G603">
        <f t="shared" ca="1" si="150"/>
        <v>11</v>
      </c>
      <c r="H603">
        <f t="shared" ca="1" si="151"/>
        <v>0</v>
      </c>
      <c r="I603">
        <f t="shared" ca="1" si="152"/>
        <v>0</v>
      </c>
      <c r="J603">
        <f t="shared" ca="1" si="166"/>
        <v>0</v>
      </c>
      <c r="K603">
        <f ca="1">IF(OR($C603="S",$C603=0),0,MATCH(OFFSET($D603,0,$C603)+IF($C603&lt;&gt;1,1,COUNTIF(QCI!$A$13:$A$24,ORÇAMENTO!E603)),OFFSET($D603,1,$C603,ROW($C$747)-ROW($C603)),0))</f>
        <v>0</v>
      </c>
      <c r="L603" s="116" t="str">
        <f t="shared" ca="1" si="153"/>
        <v/>
      </c>
      <c r="M603" s="117" t="s">
        <v>199</v>
      </c>
      <c r="N603" s="118" t="str">
        <f t="shared" ca="1" si="154"/>
        <v>Serviço</v>
      </c>
      <c r="O603" s="119" t="str">
        <f t="shared" ca="1" si="155"/>
        <v>-</v>
      </c>
      <c r="P603" s="120" t="s">
        <v>712</v>
      </c>
      <c r="Q603" s="121" t="s">
        <v>987</v>
      </c>
      <c r="R603" s="122" t="str">
        <f ca="1">IF($C603="S",REFERENCIA.Descricao,"(digite a descrição aqui)")</f>
        <v>(abra o arquivo 'Referência 02-2025.xlsm)</v>
      </c>
      <c r="S603" s="123" t="str">
        <f ca="1">REFERENCIA.Unidade</f>
        <v>-</v>
      </c>
      <c r="T603" s="124">
        <f ca="1">OFFSET(CÁLCULO!H$15,ROW($T603)-ROW(T$15),0)</f>
        <v>9</v>
      </c>
      <c r="U603" s="125">
        <f t="shared" ca="1" si="167"/>
        <v>0</v>
      </c>
      <c r="V603" s="126" t="s">
        <v>156</v>
      </c>
      <c r="W603" s="124">
        <f ca="1">IF($C603="S",ROUND(IF(TIPOORCAMENTO="Proposto",ORÇAMENTO.CustoUnitario*(1+$AH603),ORÇAMENTO.PrecoUnitarioLicitado),15-13*$AF$10),0)</f>
        <v>0</v>
      </c>
      <c r="X603" s="127">
        <f ca="1">IF($C603="S",IF(Import.TipoArredondamento&lt;&gt;"TransfereGOV",VTOTAL1,SUM(OFFSET(CÁLCULO!$AA$15,ROW($X603)-ROW($X$15),1):OFFSET(CÁLCULO!$AL$15,ROW($X603)-ROW($X$15),-1))),IF($C603=0,0,ROUND(SomaAgrup,15-13*$AF$11)))</f>
        <v>0</v>
      </c>
      <c r="Y603" s="128" t="s">
        <v>245</v>
      </c>
      <c r="Z603" t="str">
        <f t="shared" ca="1" si="156"/>
        <v/>
      </c>
      <c r="AA603" s="129">
        <f ca="1">IF($C603="S",IF($Z603="CP",$X603,IF($Z603="RA",(($X603)*QCI!$AA$3),0)),SomaAgrup)</f>
        <v>0</v>
      </c>
      <c r="AB603" s="130">
        <f t="shared" ca="1" si="163"/>
        <v>0</v>
      </c>
      <c r="AC603" s="131" t="str">
        <f ca="1">IF($N603="","",IF(ORÇAMENTO.Descricao="","DESCRIÇÃO",IF(AND($C603="S",ORÇAMENTO.Unidade=""),"UNIDADE",IF($X603&lt;0,"VALOR NEGATIVO",IF(OR(AND(TIPOORCAMENTO="Proposto",$AG603&lt;&gt;"",$AG603&gt;0,ORÇAMENTO.CustoUnitario&gt;$AG603),AND(TIPOORCAMENTO="LICITADO",ORÇAMENTO.PrecoUnitarioLicitado&gt;$AN603)),"ACIMA REF.","")))))</f>
        <v/>
      </c>
      <c r="AD603" t="str">
        <f ca="1">IF(C603&lt;=CRONO.NivelExibicao,MAX($AD$15:OFFSET(AD603,-1,0))+IF($C603&lt;&gt;1,1,MAX(1,COUNTIF(QCI!$A$13:$A$24,OFFSET($E603,-1,0)))),"")</f>
        <v/>
      </c>
      <c r="AE603" s="7" t="str">
        <f ca="1">IF(AND($C603="S",ORÇAMENTO.CodBarra&lt;&gt;""),IF(ORÇAMENTO.Fonte="",ORÇAMENTO.CodBarra,CONCATENATE(ORÇAMENTO.Fonte," ",ORÇAMENTO.CodBarra)))</f>
        <v>Composição FNDE 99</v>
      </c>
      <c r="AF603" s="13" t="str">
        <f ca="1">IF(ISERROR(INDIRECT(ORÇAMENTO.BancoRef)),"(abra o arquivo 'Referência "&amp;Excel_BuiltIn_Database&amp;".xlsm)",IF(OR($C603&lt;&gt;"S",ORÇAMENTO.CodBarra=""),"(Sem Código)",IF(ISERROR(MATCH($AE603,INDIRECT(ORÇAMENTO.BancoRef),0)),"(Código não identificado nas referências)",MATCH($AE603,INDIRECT(ORÇAMENTO.BancoRef),0))))</f>
        <v>(abra o arquivo 'Referência 02-2025.xlsm)</v>
      </c>
      <c r="AG603" s="498">
        <f ca="1">ROUND(IF(DESONERACAO="sim",REFERENCIA.Desonerado,REFERENCIA.NaoDesonerado),2)</f>
        <v>0</v>
      </c>
      <c r="AH603" s="499">
        <f t="shared" ca="1" si="164"/>
        <v>0.22470000000000001</v>
      </c>
      <c r="AJ603" s="501">
        <v>9</v>
      </c>
      <c r="AL603" s="527"/>
      <c r="AM603" s="381">
        <f t="shared" ca="1" si="159"/>
        <v>0</v>
      </c>
      <c r="AN603" s="566">
        <f t="shared" ca="1" si="165"/>
        <v>0</v>
      </c>
    </row>
    <row r="604" spans="1:40" ht="38.25" x14ac:dyDescent="0.2">
      <c r="A604" t="str">
        <f t="shared" si="162"/>
        <v>S</v>
      </c>
      <c r="B604">
        <f t="shared" ca="1" si="146"/>
        <v>3</v>
      </c>
      <c r="C604" t="str">
        <f t="shared" ca="1" si="147"/>
        <v>S</v>
      </c>
      <c r="D604">
        <f t="shared" ca="1" si="148"/>
        <v>0</v>
      </c>
      <c r="E604">
        <f ca="1">IF($C604=1,OFFSET(E604,-1,0)+MAX(1,COUNTIF(QCI!$A$13:$A$24,OFFSET(ORÇAMENTO!E604,-1,0))),OFFSET(E604,-1,0))</f>
        <v>1</v>
      </c>
      <c r="F604">
        <f t="shared" ca="1" si="149"/>
        <v>17</v>
      </c>
      <c r="G604">
        <f t="shared" ca="1" si="150"/>
        <v>11</v>
      </c>
      <c r="H604">
        <f t="shared" ca="1" si="151"/>
        <v>0</v>
      </c>
      <c r="I604">
        <f t="shared" ca="1" si="152"/>
        <v>0</v>
      </c>
      <c r="J604">
        <f t="shared" ca="1" si="166"/>
        <v>0</v>
      </c>
      <c r="K604">
        <f ca="1">IF(OR($C604="S",$C604=0),0,MATCH(OFFSET($D604,0,$C604)+IF($C604&lt;&gt;1,1,COUNTIF(QCI!$A$13:$A$24,ORÇAMENTO!E604)),OFFSET($D604,1,$C604,ROW($C$747)-ROW($C604)),0))</f>
        <v>0</v>
      </c>
      <c r="L604" s="116" t="str">
        <f t="shared" ca="1" si="153"/>
        <v/>
      </c>
      <c r="M604" s="117" t="s">
        <v>199</v>
      </c>
      <c r="N604" s="118" t="str">
        <f t="shared" ca="1" si="154"/>
        <v>Serviço</v>
      </c>
      <c r="O604" s="119" t="str">
        <f t="shared" ca="1" si="155"/>
        <v>-</v>
      </c>
      <c r="P604" s="120" t="s">
        <v>247</v>
      </c>
      <c r="Q604" s="121" t="s">
        <v>988</v>
      </c>
      <c r="R604" s="122" t="str">
        <f ca="1">IF($C604="S",REFERENCIA.Descricao,"(digite a descrição aqui)")</f>
        <v>(abra o arquivo 'Referência 02-2025.xlsm)</v>
      </c>
      <c r="S604" s="123" t="str">
        <f ca="1">REFERENCIA.Unidade</f>
        <v>-</v>
      </c>
      <c r="T604" s="124">
        <f ca="1">OFFSET(CÁLCULO!H$15,ROW($T604)-ROW(T$15),0)</f>
        <v>17</v>
      </c>
      <c r="U604" s="125">
        <f t="shared" ca="1" si="167"/>
        <v>0</v>
      </c>
      <c r="V604" s="126" t="s">
        <v>156</v>
      </c>
      <c r="W604" s="124">
        <f ca="1">IF($C604="S",ROUND(IF(TIPOORCAMENTO="Proposto",ORÇAMENTO.CustoUnitario*(1+$AH604),ORÇAMENTO.PrecoUnitarioLicitado),15-13*$AF$10),0)</f>
        <v>0</v>
      </c>
      <c r="X604" s="127">
        <f ca="1">IF($C604="S",IF(Import.TipoArredondamento&lt;&gt;"TransfereGOV",VTOTAL1,SUM(OFFSET(CÁLCULO!$AA$15,ROW($X604)-ROW($X$15),1):OFFSET(CÁLCULO!$AL$15,ROW($X604)-ROW($X$15),-1))),IF($C604=0,0,ROUND(SomaAgrup,15-13*$AF$11)))</f>
        <v>0</v>
      </c>
      <c r="Y604" s="128" t="s">
        <v>245</v>
      </c>
      <c r="Z604" t="str">
        <f t="shared" ca="1" si="156"/>
        <v/>
      </c>
      <c r="AA604" s="129">
        <f ca="1">IF($C604="S",IF($Z604="CP",$X604,IF($Z604="RA",(($X604)*QCI!$AA$3),0)),SomaAgrup)</f>
        <v>0</v>
      </c>
      <c r="AB604" s="130">
        <f t="shared" ca="1" si="163"/>
        <v>0</v>
      </c>
      <c r="AC604" s="131" t="str">
        <f ca="1">IF($N604="","",IF(ORÇAMENTO.Descricao="","DESCRIÇÃO",IF(AND($C604="S",ORÇAMENTO.Unidade=""),"UNIDADE",IF($X604&lt;0,"VALOR NEGATIVO",IF(OR(AND(TIPOORCAMENTO="Proposto",$AG604&lt;&gt;"",$AG604&gt;0,ORÇAMENTO.CustoUnitario&gt;$AG604),AND(TIPOORCAMENTO="LICITADO",ORÇAMENTO.PrecoUnitarioLicitado&gt;$AN604)),"ACIMA REF.","")))))</f>
        <v/>
      </c>
      <c r="AD604" t="str">
        <f ca="1">IF(C604&lt;=CRONO.NivelExibicao,MAX($AD$15:OFFSET(AD604,-1,0))+IF($C604&lt;&gt;1,1,MAX(1,COUNTIF(QCI!$A$13:$A$24,OFFSET($E604,-1,0)))),"")</f>
        <v/>
      </c>
      <c r="AE604" s="7" t="str">
        <f ca="1">IF(AND($C604="S",ORÇAMENTO.CodBarra&lt;&gt;""),IF(ORÇAMENTO.Fonte="",ORÇAMENTO.CodBarra,CONCATENATE(ORÇAMENTO.Fonte," ",ORÇAMENTO.CodBarra)))</f>
        <v>SINAPI 97607</v>
      </c>
      <c r="AF604" s="13" t="str">
        <f ca="1">IF(ISERROR(INDIRECT(ORÇAMENTO.BancoRef)),"(abra o arquivo 'Referência "&amp;Excel_BuiltIn_Database&amp;".xlsm)",IF(OR($C604&lt;&gt;"S",ORÇAMENTO.CodBarra=""),"(Sem Código)",IF(ISERROR(MATCH($AE604,INDIRECT(ORÇAMENTO.BancoRef),0)),"(Código não identificado nas referências)",MATCH($AE604,INDIRECT(ORÇAMENTO.BancoRef),0))))</f>
        <v>(abra o arquivo 'Referência 02-2025.xlsm)</v>
      </c>
      <c r="AG604" s="498">
        <f ca="1">ROUND(IF(DESONERACAO="sim",REFERENCIA.Desonerado,REFERENCIA.NaoDesonerado),2)</f>
        <v>0</v>
      </c>
      <c r="AH604" s="499">
        <f t="shared" ca="1" si="164"/>
        <v>0.22470000000000001</v>
      </c>
      <c r="AJ604" s="501">
        <v>17</v>
      </c>
      <c r="AL604" s="527"/>
      <c r="AM604" s="381">
        <f t="shared" ca="1" si="159"/>
        <v>0</v>
      </c>
      <c r="AN604" s="566">
        <f t="shared" ca="1" si="165"/>
        <v>0</v>
      </c>
    </row>
    <row r="605" spans="1:40" x14ac:dyDescent="0.2">
      <c r="A605">
        <f t="shared" si="162"/>
        <v>3</v>
      </c>
      <c r="B605">
        <f t="shared" ca="1" si="146"/>
        <v>3</v>
      </c>
      <c r="C605">
        <f t="shared" ca="1" si="147"/>
        <v>3</v>
      </c>
      <c r="D605">
        <f t="shared" ca="1" si="148"/>
        <v>3</v>
      </c>
      <c r="E605">
        <f ca="1">IF($C605=1,OFFSET(E605,-1,0)+MAX(1,COUNTIF(QCI!$A$13:$A$24,OFFSET(ORÇAMENTO!E605,-1,0))),OFFSET(E605,-1,0))</f>
        <v>1</v>
      </c>
      <c r="F605">
        <f t="shared" ca="1" si="149"/>
        <v>17</v>
      </c>
      <c r="G605">
        <f t="shared" ca="1" si="150"/>
        <v>12</v>
      </c>
      <c r="H605">
        <f t="shared" ca="1" si="151"/>
        <v>0</v>
      </c>
      <c r="I605">
        <f t="shared" ca="1" si="152"/>
        <v>0</v>
      </c>
      <c r="J605">
        <f t="shared" ca="1" si="166"/>
        <v>3</v>
      </c>
      <c r="K605" t="e">
        <f ca="1">IF(OR($C605="S",$C605=0),0,MATCH(OFFSET($D605,0,$C605)+IF($C605&lt;&gt;1,1,COUNTIF(QCI!$A$13:$A$24,ORÇAMENTO!E605)),OFFSET($D605,1,$C605,ROW($C$747)-ROW($C605)),0))</f>
        <v>#N/A</v>
      </c>
      <c r="L605" s="116" t="str">
        <f t="shared" ca="1" si="153"/>
        <v>F</v>
      </c>
      <c r="M605" s="117" t="s">
        <v>197</v>
      </c>
      <c r="N605" s="118" t="str">
        <f t="shared" ca="1" si="154"/>
        <v>Nível 3</v>
      </c>
      <c r="O605" s="119" t="str">
        <f t="shared" ca="1" si="155"/>
        <v>1.17.12.</v>
      </c>
      <c r="P605" s="120" t="s">
        <v>247</v>
      </c>
      <c r="Q605" s="121"/>
      <c r="R605" s="122" t="str">
        <f ca="1">IF($C605="S",REFERENCIA.Descricao,"QUADROS")</f>
        <v>QUADROS</v>
      </c>
      <c r="S605" s="123" t="str">
        <f ca="1">REFERENCIA.Unidade</f>
        <v>-</v>
      </c>
      <c r="T605" s="124">
        <f ca="1">OFFSET(CÁLCULO!H$15,ROW($T605)-ROW(T$15),0)</f>
        <v>0</v>
      </c>
      <c r="U605" s="125">
        <f t="shared" ca="1" si="167"/>
        <v>0</v>
      </c>
      <c r="V605" s="126" t="s">
        <v>156</v>
      </c>
      <c r="W605" s="124">
        <f ca="1">IF($C605="S",ROUND(IF(TIPOORCAMENTO="Proposto",ORÇAMENTO.CustoUnitario*(1+$AH605),ORÇAMENTO.PrecoUnitarioLicitado),15-13*$AF$10),0)</f>
        <v>0</v>
      </c>
      <c r="X605" s="127">
        <f ca="1">IF($C605="S",IF(Import.TipoArredondamento&lt;&gt;"TransfereGOV",VTOTAL1,SUM(OFFSET(CÁLCULO!$AA$15,ROW($X605)-ROW($X$15),1):OFFSET(CÁLCULO!$AL$15,ROW($X605)-ROW($X$15),-1))),IF($C605=0,0,ROUND(SomaAgrup,15-13*$AF$11)))</f>
        <v>0</v>
      </c>
      <c r="Y605" s="128" t="s">
        <v>245</v>
      </c>
      <c r="Z605" t="str">
        <f t="shared" ca="1" si="156"/>
        <v/>
      </c>
      <c r="AA605" s="129">
        <f ca="1">IF($C605="S",IF($Z605="CP",$X605,IF($Z605="RA",(($X605)*QCI!$AA$3),0)),SomaAgrup)</f>
        <v>0</v>
      </c>
      <c r="AB605" s="130">
        <f t="shared" ca="1" si="163"/>
        <v>0</v>
      </c>
      <c r="AC605" s="131" t="str">
        <f ca="1">IF($N605="","",IF(ORÇAMENTO.Descricao="","DESCRIÇÃO",IF(AND($C605="S",ORÇAMENTO.Unidade=""),"UNIDADE",IF($X605&lt;0,"VALOR NEGATIVO",IF(OR(AND(TIPOORCAMENTO="Proposto",$AG605&lt;&gt;"",$AG605&gt;0,ORÇAMENTO.CustoUnitario&gt;$AG605),AND(TIPOORCAMENTO="LICITADO",ORÇAMENTO.PrecoUnitarioLicitado&gt;$AN605)),"ACIMA REF.","")))))</f>
        <v/>
      </c>
      <c r="AD605" t="str">
        <f ca="1">IF(C605&lt;=CRONO.NivelExibicao,MAX($AD$15:OFFSET(AD605,-1,0))+IF($C605&lt;&gt;1,1,MAX(1,COUNTIF(QCI!$A$13:$A$24,OFFSET($E605,-1,0)))),"")</f>
        <v/>
      </c>
      <c r="AE605" s="7" t="b">
        <f ca="1">IF(AND($C605="S",ORÇAMENTO.CodBarra&lt;&gt;""),IF(ORÇAMENTO.Fonte="",ORÇAMENTO.CodBarra,CONCATENATE(ORÇAMENTO.Fonte," ",ORÇAMENTO.CodBarra)))</f>
        <v>0</v>
      </c>
      <c r="AF605" s="13" t="str">
        <f ca="1">IF(ISERROR(INDIRECT(ORÇAMENTO.BancoRef)),"(abra o arquivo 'Referência "&amp;Excel_BuiltIn_Database&amp;".xlsm)",IF(OR($C605&lt;&gt;"S",ORÇAMENTO.CodBarra=""),"(Sem Código)",IF(ISERROR(MATCH($AE605,INDIRECT(ORÇAMENTO.BancoRef),0)),"(Código não identificado nas referências)",MATCH($AE605,INDIRECT(ORÇAMENTO.BancoRef),0))))</f>
        <v>(abra o arquivo 'Referência 02-2025.xlsm)</v>
      </c>
      <c r="AG605" s="498">
        <f ca="1">ROUND(IF(DESONERACAO="sim",REFERENCIA.Desonerado,REFERENCIA.NaoDesonerado),2)</f>
        <v>0</v>
      </c>
      <c r="AH605" s="499">
        <f t="shared" ca="1" si="164"/>
        <v>0.22470000000000001</v>
      </c>
      <c r="AJ605" s="501"/>
      <c r="AL605" s="527"/>
      <c r="AM605" s="381">
        <f t="shared" ca="1" si="159"/>
        <v>0</v>
      </c>
      <c r="AN605" s="566">
        <f t="shared" ca="1" si="165"/>
        <v>0</v>
      </c>
    </row>
    <row r="606" spans="1:40" ht="25.5" x14ac:dyDescent="0.2">
      <c r="A606" t="str">
        <f t="shared" si="162"/>
        <v>S</v>
      </c>
      <c r="B606">
        <f t="shared" ca="1" si="146"/>
        <v>3</v>
      </c>
      <c r="C606" t="str">
        <f t="shared" ca="1" si="147"/>
        <v>S</v>
      </c>
      <c r="D606">
        <f t="shared" ca="1" si="148"/>
        <v>0</v>
      </c>
      <c r="E606">
        <f ca="1">IF($C606=1,OFFSET(E606,-1,0)+MAX(1,COUNTIF(QCI!$A$13:$A$24,OFFSET(ORÇAMENTO!E606,-1,0))),OFFSET(E606,-1,0))</f>
        <v>1</v>
      </c>
      <c r="F606">
        <f t="shared" ca="1" si="149"/>
        <v>17</v>
      </c>
      <c r="G606">
        <f t="shared" ca="1" si="150"/>
        <v>12</v>
      </c>
      <c r="H606">
        <f t="shared" ca="1" si="151"/>
        <v>0</v>
      </c>
      <c r="I606">
        <f t="shared" ca="1" si="152"/>
        <v>0</v>
      </c>
      <c r="J606">
        <f t="shared" ca="1" si="166"/>
        <v>0</v>
      </c>
      <c r="K606">
        <f ca="1">IF(OR($C606="S",$C606=0),0,MATCH(OFFSET($D606,0,$C606)+IF($C606&lt;&gt;1,1,COUNTIF(QCI!$A$13:$A$24,ORÇAMENTO!E606)),OFFSET($D606,1,$C606,ROW($C$747)-ROW($C606)),0))</f>
        <v>0</v>
      </c>
      <c r="L606" s="116" t="str">
        <f t="shared" ca="1" si="153"/>
        <v/>
      </c>
      <c r="M606" s="117" t="s">
        <v>199</v>
      </c>
      <c r="N606" s="118" t="str">
        <f t="shared" ca="1" si="154"/>
        <v>Serviço</v>
      </c>
      <c r="O606" s="119" t="str">
        <f t="shared" ca="1" si="155"/>
        <v>-</v>
      </c>
      <c r="P606" s="120" t="s">
        <v>247</v>
      </c>
      <c r="Q606" s="121" t="s">
        <v>692</v>
      </c>
      <c r="R606" s="122" t="str">
        <f ca="1">IF($C606="S",REFERENCIA.Descricao,"(digite a descrição aqui)")</f>
        <v>(abra o arquivo 'Referência 02-2025.xlsm)</v>
      </c>
      <c r="S606" s="123" t="str">
        <f ca="1">REFERENCIA.Unidade</f>
        <v>-</v>
      </c>
      <c r="T606" s="124">
        <f ca="1">OFFSET(CÁLCULO!H$15,ROW($T606)-ROW(T$15),0)</f>
        <v>1</v>
      </c>
      <c r="U606" s="125">
        <f t="shared" ca="1" si="167"/>
        <v>0</v>
      </c>
      <c r="V606" s="126" t="s">
        <v>156</v>
      </c>
      <c r="W606" s="124">
        <f ca="1">IF($C606="S",ROUND(IF(TIPOORCAMENTO="Proposto",ORÇAMENTO.CustoUnitario*(1+$AH606),ORÇAMENTO.PrecoUnitarioLicitado),15-13*$AF$10),0)</f>
        <v>0</v>
      </c>
      <c r="X606" s="127">
        <f ca="1">IF($C606="S",IF(Import.TipoArredondamento&lt;&gt;"TransfereGOV",VTOTAL1,SUM(OFFSET(CÁLCULO!$AA$15,ROW($X606)-ROW($X$15),1):OFFSET(CÁLCULO!$AL$15,ROW($X606)-ROW($X$15),-1))),IF($C606=0,0,ROUND(SomaAgrup,15-13*$AF$11)))</f>
        <v>0</v>
      </c>
      <c r="Y606" s="128" t="s">
        <v>245</v>
      </c>
      <c r="Z606" t="str">
        <f t="shared" ca="1" si="156"/>
        <v/>
      </c>
      <c r="AA606" s="129">
        <f ca="1">IF($C606="S",IF($Z606="CP",$X606,IF($Z606="RA",(($X606)*QCI!$AA$3),0)),SomaAgrup)</f>
        <v>0</v>
      </c>
      <c r="AB606" s="130">
        <f t="shared" ca="1" si="163"/>
        <v>0</v>
      </c>
      <c r="AC606" s="131" t="str">
        <f ca="1">IF($N606="","",IF(ORÇAMENTO.Descricao="","DESCRIÇÃO",IF(AND($C606="S",ORÇAMENTO.Unidade=""),"UNIDADE",IF($X606&lt;0,"VALOR NEGATIVO",IF(OR(AND(TIPOORCAMENTO="Proposto",$AG606&lt;&gt;"",$AG606&gt;0,ORÇAMENTO.CustoUnitario&gt;$AG606),AND(TIPOORCAMENTO="LICITADO",ORÇAMENTO.PrecoUnitarioLicitado&gt;$AN606)),"ACIMA REF.","")))))</f>
        <v/>
      </c>
      <c r="AD606" t="str">
        <f ca="1">IF(C606&lt;=CRONO.NivelExibicao,MAX($AD$15:OFFSET(AD606,-1,0))+IF($C606&lt;&gt;1,1,MAX(1,COUNTIF(QCI!$A$13:$A$24,OFFSET($E606,-1,0)))),"")</f>
        <v/>
      </c>
      <c r="AE606" s="7" t="str">
        <f ca="1">IF(AND($C606="S",ORÇAMENTO.CodBarra&lt;&gt;""),IF(ORÇAMENTO.Fonte="",ORÇAMENTO.CodBarra,CONCATENATE(ORÇAMENTO.Fonte," ",ORÇAMENTO.CodBarra)))</f>
        <v>SINAPI 101946</v>
      </c>
      <c r="AF606" s="13" t="str">
        <f ca="1">IF(ISERROR(INDIRECT(ORÇAMENTO.BancoRef)),"(abra o arquivo 'Referência "&amp;Excel_BuiltIn_Database&amp;".xlsm)",IF(OR($C606&lt;&gt;"S",ORÇAMENTO.CodBarra=""),"(Sem Código)",IF(ISERROR(MATCH($AE606,INDIRECT(ORÇAMENTO.BancoRef),0)),"(Código não identificado nas referências)",MATCH($AE606,INDIRECT(ORÇAMENTO.BancoRef),0))))</f>
        <v>(abra o arquivo 'Referência 02-2025.xlsm)</v>
      </c>
      <c r="AG606" s="498">
        <f ca="1">ROUND(IF(DESONERACAO="sim",REFERENCIA.Desonerado,REFERENCIA.NaoDesonerado),2)</f>
        <v>0</v>
      </c>
      <c r="AH606" s="499">
        <f t="shared" ca="1" si="164"/>
        <v>0.22470000000000001</v>
      </c>
      <c r="AJ606" s="501">
        <v>1</v>
      </c>
      <c r="AL606" s="527"/>
      <c r="AM606" s="381">
        <f t="shared" ca="1" si="159"/>
        <v>0</v>
      </c>
      <c r="AN606" s="566">
        <f t="shared" ca="1" si="165"/>
        <v>0</v>
      </c>
    </row>
    <row r="607" spans="1:40" ht="38.25" x14ac:dyDescent="0.2">
      <c r="A607" t="str">
        <f t="shared" si="162"/>
        <v>S</v>
      </c>
      <c r="B607">
        <f t="shared" ca="1" si="146"/>
        <v>3</v>
      </c>
      <c r="C607" t="str">
        <f t="shared" ca="1" si="147"/>
        <v>S</v>
      </c>
      <c r="D607">
        <f t="shared" ca="1" si="148"/>
        <v>0</v>
      </c>
      <c r="E607">
        <f ca="1">IF($C607=1,OFFSET(E607,-1,0)+MAX(1,COUNTIF(QCI!$A$13:$A$24,OFFSET(ORÇAMENTO!E607,-1,0))),OFFSET(E607,-1,0))</f>
        <v>1</v>
      </c>
      <c r="F607">
        <f t="shared" ca="1" si="149"/>
        <v>17</v>
      </c>
      <c r="G607">
        <f t="shared" ca="1" si="150"/>
        <v>12</v>
      </c>
      <c r="H607">
        <f t="shared" ca="1" si="151"/>
        <v>0</v>
      </c>
      <c r="I607">
        <f t="shared" ca="1" si="152"/>
        <v>0</v>
      </c>
      <c r="J607">
        <f t="shared" ca="1" si="166"/>
        <v>0</v>
      </c>
      <c r="K607">
        <f ca="1">IF(OR($C607="S",$C607=0),0,MATCH(OFFSET($D607,0,$C607)+IF($C607&lt;&gt;1,1,COUNTIF(QCI!$A$13:$A$24,ORÇAMENTO!E607)),OFFSET($D607,1,$C607,ROW($C$747)-ROW($C607)),0))</f>
        <v>0</v>
      </c>
      <c r="L607" s="116" t="str">
        <f t="shared" ca="1" si="153"/>
        <v/>
      </c>
      <c r="M607" s="117" t="s">
        <v>199</v>
      </c>
      <c r="N607" s="118" t="str">
        <f t="shared" ca="1" si="154"/>
        <v>Serviço</v>
      </c>
      <c r="O607" s="119" t="str">
        <f t="shared" ca="1" si="155"/>
        <v>-</v>
      </c>
      <c r="P607" s="120" t="s">
        <v>712</v>
      </c>
      <c r="Q607" s="121" t="s">
        <v>856</v>
      </c>
      <c r="R607" s="122" t="str">
        <f ca="1">IF($C607="S",REFERENCIA.Descricao,"(digite a descrição aqui)")</f>
        <v>(abra o arquivo 'Referência 02-2025.xlsm)</v>
      </c>
      <c r="S607" s="123" t="str">
        <f ca="1">REFERENCIA.Unidade</f>
        <v>-</v>
      </c>
      <c r="T607" s="124">
        <f ca="1">OFFSET(CÁLCULO!H$15,ROW($T607)-ROW(T$15),0)</f>
        <v>8</v>
      </c>
      <c r="U607" s="125">
        <f t="shared" ca="1" si="167"/>
        <v>0</v>
      </c>
      <c r="V607" s="126" t="s">
        <v>156</v>
      </c>
      <c r="W607" s="124">
        <f ca="1">IF($C607="S",ROUND(IF(TIPOORCAMENTO="Proposto",ORÇAMENTO.CustoUnitario*(1+$AH607),ORÇAMENTO.PrecoUnitarioLicitado),15-13*$AF$10),0)</f>
        <v>0</v>
      </c>
      <c r="X607" s="127">
        <f ca="1">IF($C607="S",IF(Import.TipoArredondamento&lt;&gt;"TransfereGOV",VTOTAL1,SUM(OFFSET(CÁLCULO!$AA$15,ROW($X607)-ROW($X$15),1):OFFSET(CÁLCULO!$AL$15,ROW($X607)-ROW($X$15),-1))),IF($C607=0,0,ROUND(SomaAgrup,15-13*$AF$11)))</f>
        <v>0</v>
      </c>
      <c r="Y607" s="128" t="s">
        <v>245</v>
      </c>
      <c r="Z607" t="str">
        <f t="shared" ca="1" si="156"/>
        <v/>
      </c>
      <c r="AA607" s="129">
        <f ca="1">IF($C607="S",IF($Z607="CP",$X607,IF($Z607="RA",(($X607)*QCI!$AA$3),0)),SomaAgrup)</f>
        <v>0</v>
      </c>
      <c r="AB607" s="130">
        <f t="shared" ca="1" si="163"/>
        <v>0</v>
      </c>
      <c r="AC607" s="131" t="str">
        <f ca="1">IF($N607="","",IF(ORÇAMENTO.Descricao="","DESCRIÇÃO",IF(AND($C607="S",ORÇAMENTO.Unidade=""),"UNIDADE",IF($X607&lt;0,"VALOR NEGATIVO",IF(OR(AND(TIPOORCAMENTO="Proposto",$AG607&lt;&gt;"",$AG607&gt;0,ORÇAMENTO.CustoUnitario&gt;$AG607),AND(TIPOORCAMENTO="LICITADO",ORÇAMENTO.PrecoUnitarioLicitado&gt;$AN607)),"ACIMA REF.","")))))</f>
        <v/>
      </c>
      <c r="AD607" t="str">
        <f ca="1">IF(C607&lt;=CRONO.NivelExibicao,MAX($AD$15:OFFSET(AD607,-1,0))+IF($C607&lt;&gt;1,1,MAX(1,COUNTIF(QCI!$A$13:$A$24,OFFSET($E607,-1,0)))),"")</f>
        <v/>
      </c>
      <c r="AE607" s="7" t="str">
        <f ca="1">IF(AND($C607="S",ORÇAMENTO.CodBarra&lt;&gt;""),IF(ORÇAMENTO.Fonte="",ORÇAMENTO.CodBarra,CONCATENATE(ORÇAMENTO.Fonte," ",ORÇAMENTO.CodBarra)))</f>
        <v>Composição FNDE 383</v>
      </c>
      <c r="AF607" s="13" t="str">
        <f ca="1">IF(ISERROR(INDIRECT(ORÇAMENTO.BancoRef)),"(abra o arquivo 'Referência "&amp;Excel_BuiltIn_Database&amp;".xlsm)",IF(OR($C607&lt;&gt;"S",ORÇAMENTO.CodBarra=""),"(Sem Código)",IF(ISERROR(MATCH($AE607,INDIRECT(ORÇAMENTO.BancoRef),0)),"(Código não identificado nas referências)",MATCH($AE607,INDIRECT(ORÇAMENTO.BancoRef),0))))</f>
        <v>(abra o arquivo 'Referência 02-2025.xlsm)</v>
      </c>
      <c r="AG607" s="498">
        <f ca="1">ROUND(IF(DESONERACAO="sim",REFERENCIA.Desonerado,REFERENCIA.NaoDesonerado),2)</f>
        <v>0</v>
      </c>
      <c r="AH607" s="499">
        <f t="shared" ca="1" si="164"/>
        <v>0.22470000000000001</v>
      </c>
      <c r="AJ607" s="501">
        <v>8</v>
      </c>
      <c r="AL607" s="527"/>
      <c r="AM607" s="381">
        <f t="shared" ca="1" si="159"/>
        <v>0</v>
      </c>
      <c r="AN607" s="566">
        <f t="shared" ca="1" si="165"/>
        <v>0</v>
      </c>
    </row>
    <row r="608" spans="1:40" x14ac:dyDescent="0.2">
      <c r="A608">
        <f t="shared" si="162"/>
        <v>2</v>
      </c>
      <c r="B608">
        <f t="shared" ca="1" si="146"/>
        <v>2</v>
      </c>
      <c r="C608">
        <f t="shared" ca="1" si="147"/>
        <v>2</v>
      </c>
      <c r="D608">
        <f t="shared" ca="1" si="148"/>
        <v>38</v>
      </c>
      <c r="E608">
        <f ca="1">IF($C608=1,OFFSET(E608,-1,0)+MAX(1,COUNTIF(QCI!$A$13:$A$24,OFFSET(ORÇAMENTO!E608,-1,0))),OFFSET(E608,-1,0))</f>
        <v>1</v>
      </c>
      <c r="F608">
        <f t="shared" ca="1" si="149"/>
        <v>18</v>
      </c>
      <c r="G608">
        <f t="shared" ca="1" si="150"/>
        <v>0</v>
      </c>
      <c r="H608">
        <f t="shared" ca="1" si="151"/>
        <v>0</v>
      </c>
      <c r="I608">
        <f t="shared" ca="1" si="152"/>
        <v>0</v>
      </c>
      <c r="J608">
        <f t="shared" ca="1" si="166"/>
        <v>139</v>
      </c>
      <c r="K608">
        <f ca="1">IF(OR($C608="S",$C608=0),0,MATCH(OFFSET($D608,0,$C608)+IF($C608&lt;&gt;1,1,COUNTIF(QCI!$A$13:$A$24,ORÇAMENTO!E608)),OFFSET($D608,1,$C608,ROW($C$747)-ROW($C608)),0))</f>
        <v>38</v>
      </c>
      <c r="L608" s="116" t="str">
        <f t="shared" ca="1" si="153"/>
        <v>F</v>
      </c>
      <c r="M608" s="117" t="s">
        <v>196</v>
      </c>
      <c r="N608" s="118" t="str">
        <f t="shared" ca="1" si="154"/>
        <v>Nível 2</v>
      </c>
      <c r="O608" s="119" t="str">
        <f t="shared" ca="1" si="155"/>
        <v>1.18.</v>
      </c>
      <c r="P608" s="120" t="s">
        <v>247</v>
      </c>
      <c r="Q608" s="121"/>
      <c r="R608" s="122" t="str">
        <f ca="1">IF($C608="S",REFERENCIA.Descricao,"INSTALAÇÕES DE CABEAMENTO ESTRUTURADO")</f>
        <v>INSTALAÇÕES DE CABEAMENTO ESTRUTURADO</v>
      </c>
      <c r="S608" s="123" t="str">
        <f ca="1">REFERENCIA.Unidade</f>
        <v>-</v>
      </c>
      <c r="T608" s="124">
        <f ca="1">OFFSET(CÁLCULO!H$15,ROW($T608)-ROW(T$15),0)</f>
        <v>0</v>
      </c>
      <c r="U608" s="125">
        <f t="shared" ca="1" si="167"/>
        <v>0</v>
      </c>
      <c r="V608" s="126" t="s">
        <v>156</v>
      </c>
      <c r="W608" s="124">
        <f ca="1">IF($C608="S",ROUND(IF(TIPOORCAMENTO="Proposto",ORÇAMENTO.CustoUnitario*(1+$AH608),ORÇAMENTO.PrecoUnitarioLicitado),15-13*$AF$10),0)</f>
        <v>0</v>
      </c>
      <c r="X608" s="127">
        <f ca="1">IF($C608="S",IF(Import.TipoArredondamento&lt;&gt;"TransfereGOV",VTOTAL1,SUM(OFFSET(CÁLCULO!$AA$15,ROW($X608)-ROW($X$15),1):OFFSET(CÁLCULO!$AL$15,ROW($X608)-ROW($X$15),-1))),IF($C608=0,0,ROUND(SomaAgrup,15-13*$AF$11)))</f>
        <v>0</v>
      </c>
      <c r="Y608" s="128" t="s">
        <v>245</v>
      </c>
      <c r="Z608" t="str">
        <f t="shared" ca="1" si="156"/>
        <v/>
      </c>
      <c r="AA608" s="129">
        <f ca="1">IF($C608="S",IF($Z608="CP",$X608,IF($Z608="RA",(($X608)*QCI!$AA$3),0)),SomaAgrup)</f>
        <v>0</v>
      </c>
      <c r="AB608" s="130">
        <f t="shared" ca="1" si="163"/>
        <v>0</v>
      </c>
      <c r="AC608" s="131" t="str">
        <f ca="1">IF($N608="","",IF(ORÇAMENTO.Descricao="","DESCRIÇÃO",IF(AND($C608="S",ORÇAMENTO.Unidade=""),"UNIDADE",IF($X608&lt;0,"VALOR NEGATIVO",IF(OR(AND(TIPOORCAMENTO="Proposto",$AG608&lt;&gt;"",$AG608&gt;0,ORÇAMENTO.CustoUnitario&gt;$AG608),AND(TIPOORCAMENTO="LICITADO",ORÇAMENTO.PrecoUnitarioLicitado&gt;$AN608)),"ACIMA REF.","")))))</f>
        <v/>
      </c>
      <c r="AD608">
        <f ca="1">IF(C608&lt;=CRONO.NivelExibicao,MAX($AD$15:OFFSET(AD608,-1,0))+IF($C608&lt;&gt;1,1,MAX(1,COUNTIF(QCI!$A$13:$A$24,OFFSET($E608,-1,0)))),"")</f>
        <v>19</v>
      </c>
      <c r="AE608" s="7" t="b">
        <f ca="1">IF(AND($C608="S",ORÇAMENTO.CodBarra&lt;&gt;""),IF(ORÇAMENTO.Fonte="",ORÇAMENTO.CodBarra,CONCATENATE(ORÇAMENTO.Fonte," ",ORÇAMENTO.CodBarra)))</f>
        <v>0</v>
      </c>
      <c r="AF608" s="13" t="str">
        <f ca="1">IF(ISERROR(INDIRECT(ORÇAMENTO.BancoRef)),"(abra o arquivo 'Referência "&amp;Excel_BuiltIn_Database&amp;".xlsm)",IF(OR($C608&lt;&gt;"S",ORÇAMENTO.CodBarra=""),"(Sem Código)",IF(ISERROR(MATCH($AE608,INDIRECT(ORÇAMENTO.BancoRef),0)),"(Código não identificado nas referências)",MATCH($AE608,INDIRECT(ORÇAMENTO.BancoRef),0))))</f>
        <v>(abra o arquivo 'Referência 02-2025.xlsm)</v>
      </c>
      <c r="AG608" s="498">
        <f ca="1">ROUND(IF(DESONERACAO="sim",REFERENCIA.Desonerado,REFERENCIA.NaoDesonerado),2)</f>
        <v>0</v>
      </c>
      <c r="AH608" s="499">
        <f t="shared" ca="1" si="164"/>
        <v>0.22470000000000001</v>
      </c>
      <c r="AJ608" s="501"/>
      <c r="AL608" s="527"/>
      <c r="AM608" s="381">
        <f t="shared" ca="1" si="159"/>
        <v>0</v>
      </c>
      <c r="AN608" s="566">
        <f t="shared" ca="1" si="165"/>
        <v>0</v>
      </c>
    </row>
    <row r="609" spans="1:40" x14ac:dyDescent="0.2">
      <c r="A609">
        <f t="shared" si="162"/>
        <v>3</v>
      </c>
      <c r="B609">
        <f t="shared" ca="1" si="146"/>
        <v>3</v>
      </c>
      <c r="C609">
        <f t="shared" ca="1" si="147"/>
        <v>3</v>
      </c>
      <c r="D609">
        <f t="shared" ca="1" si="148"/>
        <v>9</v>
      </c>
      <c r="E609">
        <f ca="1">IF($C609=1,OFFSET(E609,-1,0)+MAX(1,COUNTIF(QCI!$A$13:$A$24,OFFSET(ORÇAMENTO!E609,-1,0))),OFFSET(E609,-1,0))</f>
        <v>1</v>
      </c>
      <c r="F609">
        <f t="shared" ca="1" si="149"/>
        <v>18</v>
      </c>
      <c r="G609">
        <f t="shared" ca="1" si="150"/>
        <v>1</v>
      </c>
      <c r="H609">
        <f t="shared" ca="1" si="151"/>
        <v>0</v>
      </c>
      <c r="I609">
        <f t="shared" ca="1" si="152"/>
        <v>0</v>
      </c>
      <c r="J609">
        <f t="shared" ca="1" si="166"/>
        <v>37</v>
      </c>
      <c r="K609">
        <f ca="1">IF(OR($C609="S",$C609=0),0,MATCH(OFFSET($D609,0,$C609)+IF($C609&lt;&gt;1,1,COUNTIF(QCI!$A$13:$A$24,ORÇAMENTO!E609)),OFFSET($D609,1,$C609,ROW($C$747)-ROW($C609)),0))</f>
        <v>9</v>
      </c>
      <c r="L609" s="116" t="str">
        <f t="shared" ca="1" si="153"/>
        <v>F</v>
      </c>
      <c r="M609" s="117" t="s">
        <v>197</v>
      </c>
      <c r="N609" s="118" t="str">
        <f t="shared" ca="1" si="154"/>
        <v>Nível 3</v>
      </c>
      <c r="O609" s="119" t="str">
        <f t="shared" ca="1" si="155"/>
        <v>1.18.1.</v>
      </c>
      <c r="P609" s="120" t="s">
        <v>247</v>
      </c>
      <c r="Q609" s="121"/>
      <c r="R609" s="122" t="str">
        <f ca="1">IF($C609="S",REFERENCIA.Descricao,"ACESSÓRIOS CABEAMENTO")</f>
        <v>ACESSÓRIOS CABEAMENTO</v>
      </c>
      <c r="S609" s="123" t="str">
        <f ca="1">REFERENCIA.Unidade</f>
        <v>-</v>
      </c>
      <c r="T609" s="124">
        <f ca="1">OFFSET(CÁLCULO!H$15,ROW($T609)-ROW(T$15),0)</f>
        <v>0</v>
      </c>
      <c r="U609" s="125">
        <f t="shared" ca="1" si="167"/>
        <v>0</v>
      </c>
      <c r="V609" s="126" t="s">
        <v>156</v>
      </c>
      <c r="W609" s="124">
        <f ca="1">IF($C609="S",ROUND(IF(TIPOORCAMENTO="Proposto",ORÇAMENTO.CustoUnitario*(1+$AH609),ORÇAMENTO.PrecoUnitarioLicitado),15-13*$AF$10),0)</f>
        <v>0</v>
      </c>
      <c r="X609" s="127">
        <f ca="1">IF($C609="S",IF(Import.TipoArredondamento&lt;&gt;"TransfereGOV",VTOTAL1,SUM(OFFSET(CÁLCULO!$AA$15,ROW($X609)-ROW($X$15),1):OFFSET(CÁLCULO!$AL$15,ROW($X609)-ROW($X$15),-1))),IF($C609=0,0,ROUND(SomaAgrup,15-13*$AF$11)))</f>
        <v>0</v>
      </c>
      <c r="Y609" s="128" t="s">
        <v>245</v>
      </c>
      <c r="Z609" t="str">
        <f t="shared" ca="1" si="156"/>
        <v/>
      </c>
      <c r="AA609" s="129">
        <f ca="1">IF($C609="S",IF($Z609="CP",$X609,IF($Z609="RA",(($X609)*QCI!$AA$3),0)),SomaAgrup)</f>
        <v>0</v>
      </c>
      <c r="AB609" s="130">
        <f t="shared" ca="1" si="163"/>
        <v>0</v>
      </c>
      <c r="AC609" s="131" t="str">
        <f ca="1">IF($N609="","",IF(ORÇAMENTO.Descricao="","DESCRIÇÃO",IF(AND($C609="S",ORÇAMENTO.Unidade=""),"UNIDADE",IF($X609&lt;0,"VALOR NEGATIVO",IF(OR(AND(TIPOORCAMENTO="Proposto",$AG609&lt;&gt;"",$AG609&gt;0,ORÇAMENTO.CustoUnitario&gt;$AG609),AND(TIPOORCAMENTO="LICITADO",ORÇAMENTO.PrecoUnitarioLicitado&gt;$AN609)),"ACIMA REF.","")))))</f>
        <v/>
      </c>
      <c r="AD609" t="str">
        <f ca="1">IF(C609&lt;=CRONO.NivelExibicao,MAX($AD$15:OFFSET(AD609,-1,0))+IF($C609&lt;&gt;1,1,MAX(1,COUNTIF(QCI!$A$13:$A$24,OFFSET($E609,-1,0)))),"")</f>
        <v/>
      </c>
      <c r="AE609" s="7" t="b">
        <f ca="1">IF(AND($C609="S",ORÇAMENTO.CodBarra&lt;&gt;""),IF(ORÇAMENTO.Fonte="",ORÇAMENTO.CodBarra,CONCATENATE(ORÇAMENTO.Fonte," ",ORÇAMENTO.CodBarra)))</f>
        <v>0</v>
      </c>
      <c r="AF609" s="13" t="str">
        <f ca="1">IF(ISERROR(INDIRECT(ORÇAMENTO.BancoRef)),"(abra o arquivo 'Referência "&amp;Excel_BuiltIn_Database&amp;".xlsm)",IF(OR($C609&lt;&gt;"S",ORÇAMENTO.CodBarra=""),"(Sem Código)",IF(ISERROR(MATCH($AE609,INDIRECT(ORÇAMENTO.BancoRef),0)),"(Código não identificado nas referências)",MATCH($AE609,INDIRECT(ORÇAMENTO.BancoRef),0))))</f>
        <v>(abra o arquivo 'Referência 02-2025.xlsm)</v>
      </c>
      <c r="AG609" s="498">
        <f ca="1">ROUND(IF(DESONERACAO="sim",REFERENCIA.Desonerado,REFERENCIA.NaoDesonerado),2)</f>
        <v>0</v>
      </c>
      <c r="AH609" s="499">
        <f t="shared" ca="1" si="164"/>
        <v>0.22470000000000001</v>
      </c>
      <c r="AJ609" s="501"/>
      <c r="AL609" s="527"/>
      <c r="AM609" s="381">
        <f t="shared" ca="1" si="159"/>
        <v>0</v>
      </c>
      <c r="AN609" s="566">
        <f t="shared" ca="1" si="165"/>
        <v>0</v>
      </c>
    </row>
    <row r="610" spans="1:40" x14ac:dyDescent="0.2">
      <c r="A610" t="str">
        <f t="shared" si="162"/>
        <v>S</v>
      </c>
      <c r="B610">
        <f t="shared" ca="1" si="146"/>
        <v>3</v>
      </c>
      <c r="C610" t="str">
        <f t="shared" ca="1" si="147"/>
        <v>S</v>
      </c>
      <c r="D610">
        <f t="shared" ca="1" si="148"/>
        <v>0</v>
      </c>
      <c r="E610">
        <f ca="1">IF($C610=1,OFFSET(E610,-1,0)+MAX(1,COUNTIF(QCI!$A$13:$A$24,OFFSET(ORÇAMENTO!E610,-1,0))),OFFSET(E610,-1,0))</f>
        <v>1</v>
      </c>
      <c r="F610">
        <f t="shared" ca="1" si="149"/>
        <v>18</v>
      </c>
      <c r="G610">
        <f t="shared" ca="1" si="150"/>
        <v>1</v>
      </c>
      <c r="H610">
        <f t="shared" ca="1" si="151"/>
        <v>0</v>
      </c>
      <c r="I610">
        <f t="shared" ca="1" si="152"/>
        <v>0</v>
      </c>
      <c r="J610">
        <f t="shared" ca="1" si="166"/>
        <v>0</v>
      </c>
      <c r="K610">
        <f ca="1">IF(OR($C610="S",$C610=0),0,MATCH(OFFSET($D610,0,$C610)+IF($C610&lt;&gt;1,1,COUNTIF(QCI!$A$13:$A$24,ORÇAMENTO!E610)),OFFSET($D610,1,$C610,ROW($C$747)-ROW($C610)),0))</f>
        <v>0</v>
      </c>
      <c r="L610" s="116" t="str">
        <f t="shared" ca="1" si="153"/>
        <v/>
      </c>
      <c r="M610" s="117" t="s">
        <v>199</v>
      </c>
      <c r="N610" s="118" t="str">
        <f t="shared" ca="1" si="154"/>
        <v>Serviço</v>
      </c>
      <c r="O610" s="119" t="str">
        <f t="shared" ca="1" si="155"/>
        <v>-</v>
      </c>
      <c r="P610" s="120" t="s">
        <v>712</v>
      </c>
      <c r="Q610" s="121" t="s">
        <v>989</v>
      </c>
      <c r="R610" s="122" t="str">
        <f ca="1">IF($C610="S",REFERENCIA.Descricao,"(digite a descrição aqui)")</f>
        <v>(abra o arquivo 'Referência 02-2025.xlsm)</v>
      </c>
      <c r="S610" s="123" t="str">
        <f ca="1">REFERENCIA.Unidade</f>
        <v>-</v>
      </c>
      <c r="T610" s="124">
        <f ca="1">OFFSET(CÁLCULO!H$15,ROW($T610)-ROW(T$15),0)</f>
        <v>1</v>
      </c>
      <c r="U610" s="125">
        <f t="shared" ca="1" si="167"/>
        <v>0</v>
      </c>
      <c r="V610" s="126" t="s">
        <v>156</v>
      </c>
      <c r="W610" s="124">
        <f ca="1">IF($C610="S",ROUND(IF(TIPOORCAMENTO="Proposto",ORÇAMENTO.CustoUnitario*(1+$AH610),ORÇAMENTO.PrecoUnitarioLicitado),15-13*$AF$10),0)</f>
        <v>0</v>
      </c>
      <c r="X610" s="127">
        <f ca="1">IF($C610="S",IF(Import.TipoArredondamento&lt;&gt;"TransfereGOV",VTOTAL1,SUM(OFFSET(CÁLCULO!$AA$15,ROW($X610)-ROW($X$15),1):OFFSET(CÁLCULO!$AL$15,ROW($X610)-ROW($X$15),-1))),IF($C610=0,0,ROUND(SomaAgrup,15-13*$AF$11)))</f>
        <v>0</v>
      </c>
      <c r="Y610" s="128" t="s">
        <v>245</v>
      </c>
      <c r="Z610" t="str">
        <f t="shared" ca="1" si="156"/>
        <v/>
      </c>
      <c r="AA610" s="129">
        <f ca="1">IF($C610="S",IF($Z610="CP",$X610,IF($Z610="RA",(($X610)*QCI!$AA$3),0)),SomaAgrup)</f>
        <v>0</v>
      </c>
      <c r="AB610" s="130">
        <f t="shared" ca="1" si="163"/>
        <v>0</v>
      </c>
      <c r="AC610" s="131" t="str">
        <f ca="1">IF($N610="","",IF(ORÇAMENTO.Descricao="","DESCRIÇÃO",IF(AND($C610="S",ORÇAMENTO.Unidade=""),"UNIDADE",IF($X610&lt;0,"VALOR NEGATIVO",IF(OR(AND(TIPOORCAMENTO="Proposto",$AG610&lt;&gt;"",$AG610&gt;0,ORÇAMENTO.CustoUnitario&gt;$AG610),AND(TIPOORCAMENTO="LICITADO",ORÇAMENTO.PrecoUnitarioLicitado&gt;$AN610)),"ACIMA REF.","")))))</f>
        <v/>
      </c>
      <c r="AD610" t="str">
        <f ca="1">IF(C610&lt;=CRONO.NivelExibicao,MAX($AD$15:OFFSET(AD610,-1,0))+IF($C610&lt;&gt;1,1,MAX(1,COUNTIF(QCI!$A$13:$A$24,OFFSET($E610,-1,0)))),"")</f>
        <v/>
      </c>
      <c r="AE610" s="7" t="str">
        <f ca="1">IF(AND($C610="S",ORÇAMENTO.CodBarra&lt;&gt;""),IF(ORÇAMENTO.Fonte="",ORÇAMENTO.CodBarra,CONCATENATE(ORÇAMENTO.Fonte," ",ORÇAMENTO.CodBarra)))</f>
        <v>Composição FNDE 384</v>
      </c>
      <c r="AF610" s="13" t="str">
        <f ca="1">IF(ISERROR(INDIRECT(ORÇAMENTO.BancoRef)),"(abra o arquivo 'Referência "&amp;Excel_BuiltIn_Database&amp;".xlsm)",IF(OR($C610&lt;&gt;"S",ORÇAMENTO.CodBarra=""),"(Sem Código)",IF(ISERROR(MATCH($AE610,INDIRECT(ORÇAMENTO.BancoRef),0)),"(Código não identificado nas referências)",MATCH($AE610,INDIRECT(ORÇAMENTO.BancoRef),0))))</f>
        <v>(abra o arquivo 'Referência 02-2025.xlsm)</v>
      </c>
      <c r="AG610" s="498">
        <f ca="1">ROUND(IF(DESONERACAO="sim",REFERENCIA.Desonerado,REFERENCIA.NaoDesonerado),2)</f>
        <v>0</v>
      </c>
      <c r="AH610" s="499">
        <f t="shared" ca="1" si="164"/>
        <v>0.22470000000000001</v>
      </c>
      <c r="AJ610" s="501">
        <v>1</v>
      </c>
      <c r="AL610" s="527"/>
      <c r="AM610" s="381">
        <f t="shared" ca="1" si="159"/>
        <v>0</v>
      </c>
      <c r="AN610" s="566">
        <f t="shared" ca="1" si="165"/>
        <v>0</v>
      </c>
    </row>
    <row r="611" spans="1:40" x14ac:dyDescent="0.2">
      <c r="A611" t="str">
        <f t="shared" si="162"/>
        <v>S</v>
      </c>
      <c r="B611">
        <f t="shared" ca="1" si="146"/>
        <v>3</v>
      </c>
      <c r="C611" t="str">
        <f t="shared" ca="1" si="147"/>
        <v>S</v>
      </c>
      <c r="D611">
        <f t="shared" ca="1" si="148"/>
        <v>0</v>
      </c>
      <c r="E611">
        <f ca="1">IF($C611=1,OFFSET(E611,-1,0)+MAX(1,COUNTIF(QCI!$A$13:$A$24,OFFSET(ORÇAMENTO!E611,-1,0))),OFFSET(E611,-1,0))</f>
        <v>1</v>
      </c>
      <c r="F611">
        <f t="shared" ca="1" si="149"/>
        <v>18</v>
      </c>
      <c r="G611">
        <f t="shared" ca="1" si="150"/>
        <v>1</v>
      </c>
      <c r="H611">
        <f t="shared" ca="1" si="151"/>
        <v>0</v>
      </c>
      <c r="I611">
        <f t="shared" ca="1" si="152"/>
        <v>0</v>
      </c>
      <c r="J611">
        <f t="shared" ca="1" si="166"/>
        <v>0</v>
      </c>
      <c r="K611">
        <f ca="1">IF(OR($C611="S",$C611=0),0,MATCH(OFFSET($D611,0,$C611)+IF($C611&lt;&gt;1,1,COUNTIF(QCI!$A$13:$A$24,ORÇAMENTO!E611)),OFFSET($D611,1,$C611,ROW($C$747)-ROW($C611)),0))</f>
        <v>0</v>
      </c>
      <c r="L611" s="116" t="str">
        <f t="shared" ca="1" si="153"/>
        <v/>
      </c>
      <c r="M611" s="117" t="s">
        <v>199</v>
      </c>
      <c r="N611" s="118" t="str">
        <f t="shared" ca="1" si="154"/>
        <v>Serviço</v>
      </c>
      <c r="O611" s="119" t="str">
        <f t="shared" ca="1" si="155"/>
        <v>-</v>
      </c>
      <c r="P611" s="120" t="s">
        <v>712</v>
      </c>
      <c r="Q611" s="121" t="s">
        <v>990</v>
      </c>
      <c r="R611" s="122" t="str">
        <f ca="1">IF($C611="S",REFERENCIA.Descricao,"(digite a descrição aqui)")</f>
        <v>(abra o arquivo 'Referência 02-2025.xlsm)</v>
      </c>
      <c r="S611" s="123" t="str">
        <f ca="1">REFERENCIA.Unidade</f>
        <v>-</v>
      </c>
      <c r="T611" s="124">
        <f ca="1">OFFSET(CÁLCULO!H$15,ROW($T611)-ROW(T$15),0)</f>
        <v>48</v>
      </c>
      <c r="U611" s="125">
        <f t="shared" ca="1" si="167"/>
        <v>0</v>
      </c>
      <c r="V611" s="126" t="s">
        <v>156</v>
      </c>
      <c r="W611" s="124">
        <f ca="1">IF($C611="S",ROUND(IF(TIPOORCAMENTO="Proposto",ORÇAMENTO.CustoUnitario*(1+$AH611),ORÇAMENTO.PrecoUnitarioLicitado),15-13*$AF$10),0)</f>
        <v>0</v>
      </c>
      <c r="X611" s="127">
        <f ca="1">IF($C611="S",IF(Import.TipoArredondamento&lt;&gt;"TransfereGOV",VTOTAL1,SUM(OFFSET(CÁLCULO!$AA$15,ROW($X611)-ROW($X$15),1):OFFSET(CÁLCULO!$AL$15,ROW($X611)-ROW($X$15),-1))),IF($C611=0,0,ROUND(SomaAgrup,15-13*$AF$11)))</f>
        <v>0</v>
      </c>
      <c r="Y611" s="128" t="s">
        <v>245</v>
      </c>
      <c r="Z611" t="str">
        <f t="shared" ca="1" si="156"/>
        <v/>
      </c>
      <c r="AA611" s="129">
        <f ca="1">IF($C611="S",IF($Z611="CP",$X611,IF($Z611="RA",(($X611)*QCI!$AA$3),0)),SomaAgrup)</f>
        <v>0</v>
      </c>
      <c r="AB611" s="130">
        <f t="shared" ca="1" si="163"/>
        <v>0</v>
      </c>
      <c r="AC611" s="131" t="str">
        <f ca="1">IF($N611="","",IF(ORÇAMENTO.Descricao="","DESCRIÇÃO",IF(AND($C611="S",ORÇAMENTO.Unidade=""),"UNIDADE",IF($X611&lt;0,"VALOR NEGATIVO",IF(OR(AND(TIPOORCAMENTO="Proposto",$AG611&lt;&gt;"",$AG611&gt;0,ORÇAMENTO.CustoUnitario&gt;$AG611),AND(TIPOORCAMENTO="LICITADO",ORÇAMENTO.PrecoUnitarioLicitado&gt;$AN611)),"ACIMA REF.","")))))</f>
        <v/>
      </c>
      <c r="AD611" t="str">
        <f ca="1">IF(C611&lt;=CRONO.NivelExibicao,MAX($AD$15:OFFSET(AD611,-1,0))+IF($C611&lt;&gt;1,1,MAX(1,COUNTIF(QCI!$A$13:$A$24,OFFSET($E611,-1,0)))),"")</f>
        <v/>
      </c>
      <c r="AE611" s="7" t="str">
        <f ca="1">IF(AND($C611="S",ORÇAMENTO.CodBarra&lt;&gt;""),IF(ORÇAMENTO.Fonte="",ORÇAMENTO.CodBarra,CONCATENATE(ORÇAMENTO.Fonte," ",ORÇAMENTO.CodBarra)))</f>
        <v>Composição FNDE 385</v>
      </c>
      <c r="AF611" s="13" t="str">
        <f ca="1">IF(ISERROR(INDIRECT(ORÇAMENTO.BancoRef)),"(abra o arquivo 'Referência "&amp;Excel_BuiltIn_Database&amp;".xlsm)",IF(OR($C611&lt;&gt;"S",ORÇAMENTO.CodBarra=""),"(Sem Código)",IF(ISERROR(MATCH($AE611,INDIRECT(ORÇAMENTO.BancoRef),0)),"(Código não identificado nas referências)",MATCH($AE611,INDIRECT(ORÇAMENTO.BancoRef),0))))</f>
        <v>(abra o arquivo 'Referência 02-2025.xlsm)</v>
      </c>
      <c r="AG611" s="498">
        <f ca="1">ROUND(IF(DESONERACAO="sim",REFERENCIA.Desonerado,REFERENCIA.NaoDesonerado),2)</f>
        <v>0</v>
      </c>
      <c r="AH611" s="499">
        <f t="shared" ca="1" si="164"/>
        <v>0.22470000000000001</v>
      </c>
      <c r="AJ611" s="501">
        <v>48</v>
      </c>
      <c r="AL611" s="527"/>
      <c r="AM611" s="381">
        <f t="shared" ca="1" si="159"/>
        <v>0</v>
      </c>
      <c r="AN611" s="566">
        <f t="shared" ca="1" si="165"/>
        <v>0</v>
      </c>
    </row>
    <row r="612" spans="1:40" ht="25.5" x14ac:dyDescent="0.2">
      <c r="A612" t="str">
        <f t="shared" si="162"/>
        <v>S</v>
      </c>
      <c r="B612">
        <f t="shared" ca="1" si="146"/>
        <v>3</v>
      </c>
      <c r="C612" t="str">
        <f t="shared" ca="1" si="147"/>
        <v>S</v>
      </c>
      <c r="D612">
        <f t="shared" ca="1" si="148"/>
        <v>0</v>
      </c>
      <c r="E612">
        <f ca="1">IF($C612=1,OFFSET(E612,-1,0)+MAX(1,COUNTIF(QCI!$A$13:$A$24,OFFSET(ORÇAMENTO!E612,-1,0))),OFFSET(E612,-1,0))</f>
        <v>1</v>
      </c>
      <c r="F612">
        <f t="shared" ca="1" si="149"/>
        <v>18</v>
      </c>
      <c r="G612">
        <f t="shared" ca="1" si="150"/>
        <v>1</v>
      </c>
      <c r="H612">
        <f t="shared" ca="1" si="151"/>
        <v>0</v>
      </c>
      <c r="I612">
        <f t="shared" ca="1" si="152"/>
        <v>0</v>
      </c>
      <c r="J612">
        <f t="shared" ca="1" si="166"/>
        <v>0</v>
      </c>
      <c r="K612">
        <f ca="1">IF(OR($C612="S",$C612=0),0,MATCH(OFFSET($D612,0,$C612)+IF($C612&lt;&gt;1,1,COUNTIF(QCI!$A$13:$A$24,ORÇAMENTO!E612)),OFFSET($D612,1,$C612,ROW($C$747)-ROW($C612)),0))</f>
        <v>0</v>
      </c>
      <c r="L612" s="116" t="str">
        <f t="shared" ca="1" si="153"/>
        <v/>
      </c>
      <c r="M612" s="117" t="s">
        <v>199</v>
      </c>
      <c r="N612" s="118" t="str">
        <f t="shared" ca="1" si="154"/>
        <v>Serviço</v>
      </c>
      <c r="O612" s="119" t="str">
        <f t="shared" ca="1" si="155"/>
        <v>-</v>
      </c>
      <c r="P612" s="120" t="s">
        <v>247</v>
      </c>
      <c r="Q612" s="121" t="s">
        <v>698</v>
      </c>
      <c r="R612" s="122" t="str">
        <f ca="1">IF($C612="S",REFERENCIA.Descricao,"(digite a descrição aqui)")</f>
        <v>(abra o arquivo 'Referência 02-2025.xlsm)</v>
      </c>
      <c r="S612" s="123" t="str">
        <f ca="1">REFERENCIA.Unidade</f>
        <v>-</v>
      </c>
      <c r="T612" s="124">
        <f ca="1">OFFSET(CÁLCULO!H$15,ROW($T612)-ROW(T$15),0)</f>
        <v>3</v>
      </c>
      <c r="U612" s="125">
        <f t="shared" ca="1" si="167"/>
        <v>0</v>
      </c>
      <c r="V612" s="126" t="s">
        <v>156</v>
      </c>
      <c r="W612" s="124">
        <f ca="1">IF($C612="S",ROUND(IF(TIPOORCAMENTO="Proposto",ORÇAMENTO.CustoUnitario*(1+$AH612),ORÇAMENTO.PrecoUnitarioLicitado),15-13*$AF$10),0)</f>
        <v>0</v>
      </c>
      <c r="X612" s="127">
        <f ca="1">IF($C612="S",IF(Import.TipoArredondamento&lt;&gt;"TransfereGOV",VTOTAL1,SUM(OFFSET(CÁLCULO!$AA$15,ROW($X612)-ROW($X$15),1):OFFSET(CÁLCULO!$AL$15,ROW($X612)-ROW($X$15),-1))),IF($C612=0,0,ROUND(SomaAgrup,15-13*$AF$11)))</f>
        <v>0</v>
      </c>
      <c r="Y612" s="128" t="s">
        <v>245</v>
      </c>
      <c r="Z612" t="str">
        <f t="shared" ca="1" si="156"/>
        <v/>
      </c>
      <c r="AA612" s="129">
        <f ca="1">IF($C612="S",IF($Z612="CP",$X612,IF($Z612="RA",(($X612)*QCI!$AA$3),0)),SomaAgrup)</f>
        <v>0</v>
      </c>
      <c r="AB612" s="130">
        <f t="shared" ca="1" si="163"/>
        <v>0</v>
      </c>
      <c r="AC612" s="131" t="str">
        <f ca="1">IF($N612="","",IF(ORÇAMENTO.Descricao="","DESCRIÇÃO",IF(AND($C612="S",ORÇAMENTO.Unidade=""),"UNIDADE",IF($X612&lt;0,"VALOR NEGATIVO",IF(OR(AND(TIPOORCAMENTO="Proposto",$AG612&lt;&gt;"",$AG612&gt;0,ORÇAMENTO.CustoUnitario&gt;$AG612),AND(TIPOORCAMENTO="LICITADO",ORÇAMENTO.PrecoUnitarioLicitado&gt;$AN612)),"ACIMA REF.","")))))</f>
        <v/>
      </c>
      <c r="AD612" t="str">
        <f ca="1">IF(C612&lt;=CRONO.NivelExibicao,MAX($AD$15:OFFSET(AD612,-1,0))+IF($C612&lt;&gt;1,1,MAX(1,COUNTIF(QCI!$A$13:$A$24,OFFSET($E612,-1,0)))),"")</f>
        <v/>
      </c>
      <c r="AE612" s="7" t="str">
        <f ca="1">IF(AND($C612="S",ORÇAMENTO.CodBarra&lt;&gt;""),IF(ORÇAMENTO.Fonte="",ORÇAMENTO.CodBarra,CONCATENATE(ORÇAMENTO.Fonte," ",ORÇAMENTO.CodBarra)))</f>
        <v>SINAPI 98302</v>
      </c>
      <c r="AF612" s="13" t="str">
        <f ca="1">IF(ISERROR(INDIRECT(ORÇAMENTO.BancoRef)),"(abra o arquivo 'Referência "&amp;Excel_BuiltIn_Database&amp;".xlsm)",IF(OR($C612&lt;&gt;"S",ORÇAMENTO.CodBarra=""),"(Sem Código)",IF(ISERROR(MATCH($AE612,INDIRECT(ORÇAMENTO.BancoRef),0)),"(Código não identificado nas referências)",MATCH($AE612,INDIRECT(ORÇAMENTO.BancoRef),0))))</f>
        <v>(abra o arquivo 'Referência 02-2025.xlsm)</v>
      </c>
      <c r="AG612" s="498">
        <f ca="1">ROUND(IF(DESONERACAO="sim",REFERENCIA.Desonerado,REFERENCIA.NaoDesonerado),2)</f>
        <v>0</v>
      </c>
      <c r="AH612" s="499">
        <f t="shared" ca="1" si="164"/>
        <v>0.22470000000000001</v>
      </c>
      <c r="AJ612" s="501">
        <v>3</v>
      </c>
      <c r="AL612" s="527"/>
      <c r="AM612" s="381">
        <f t="shared" ca="1" si="159"/>
        <v>0</v>
      </c>
      <c r="AN612" s="566">
        <f t="shared" ca="1" si="165"/>
        <v>0</v>
      </c>
    </row>
    <row r="613" spans="1:40" ht="25.5" x14ac:dyDescent="0.2">
      <c r="A613" t="str">
        <f t="shared" si="162"/>
        <v>S</v>
      </c>
      <c r="B613">
        <f t="shared" ca="1" si="146"/>
        <v>3</v>
      </c>
      <c r="C613" t="str">
        <f t="shared" ca="1" si="147"/>
        <v>S</v>
      </c>
      <c r="D613">
        <f t="shared" ca="1" si="148"/>
        <v>0</v>
      </c>
      <c r="E613">
        <f ca="1">IF($C613=1,OFFSET(E613,-1,0)+MAX(1,COUNTIF(QCI!$A$13:$A$24,OFFSET(ORÇAMENTO!E613,-1,0))),OFFSET(E613,-1,0))</f>
        <v>1</v>
      </c>
      <c r="F613">
        <f t="shared" ca="1" si="149"/>
        <v>18</v>
      </c>
      <c r="G613">
        <f t="shared" ca="1" si="150"/>
        <v>1</v>
      </c>
      <c r="H613">
        <f t="shared" ca="1" si="151"/>
        <v>0</v>
      </c>
      <c r="I613">
        <f t="shared" ca="1" si="152"/>
        <v>0</v>
      </c>
      <c r="J613">
        <f t="shared" ca="1" si="166"/>
        <v>0</v>
      </c>
      <c r="K613">
        <f ca="1">IF(OR($C613="S",$C613=0),0,MATCH(OFFSET($D613,0,$C613)+IF($C613&lt;&gt;1,1,COUNTIF(QCI!$A$13:$A$24,ORÇAMENTO!E613)),OFFSET($D613,1,$C613,ROW($C$747)-ROW($C613)),0))</f>
        <v>0</v>
      </c>
      <c r="L613" s="116" t="str">
        <f t="shared" ca="1" si="153"/>
        <v/>
      </c>
      <c r="M613" s="117" t="s">
        <v>199</v>
      </c>
      <c r="N613" s="118" t="str">
        <f t="shared" ca="1" si="154"/>
        <v>Serviço</v>
      </c>
      <c r="O613" s="119" t="str">
        <f t="shared" ca="1" si="155"/>
        <v>-</v>
      </c>
      <c r="P613" s="120" t="s">
        <v>712</v>
      </c>
      <c r="Q613" s="121" t="s">
        <v>1020</v>
      </c>
      <c r="R613" s="122" t="str">
        <f ca="1">IF($C613="S",REFERENCIA.Descricao,"(digite a descrição aqui)")</f>
        <v>(abra o arquivo 'Referência 02-2025.xlsm)</v>
      </c>
      <c r="S613" s="123" t="str">
        <f ca="1">REFERENCIA.Unidade</f>
        <v>-</v>
      </c>
      <c r="T613" s="124">
        <f ca="1">OFFSET(CÁLCULO!H$15,ROW($T613)-ROW(T$15),0)</f>
        <v>1</v>
      </c>
      <c r="U613" s="125">
        <f t="shared" ca="1" si="167"/>
        <v>0</v>
      </c>
      <c r="V613" s="126" t="s">
        <v>156</v>
      </c>
      <c r="W613" s="124">
        <f ca="1">IF($C613="S",ROUND(IF(TIPOORCAMENTO="Proposto",ORÇAMENTO.CustoUnitario*(1+$AH613),ORÇAMENTO.PrecoUnitarioLicitado),15-13*$AF$10),0)</f>
        <v>0</v>
      </c>
      <c r="X613" s="127">
        <f ca="1">IF($C613="S",IF(Import.TipoArredondamento&lt;&gt;"TransfereGOV",VTOTAL1,SUM(OFFSET(CÁLCULO!$AA$15,ROW($X613)-ROW($X$15),1):OFFSET(CÁLCULO!$AL$15,ROW($X613)-ROW($X$15),-1))),IF($C613=0,0,ROUND(SomaAgrup,15-13*$AF$11)))</f>
        <v>0</v>
      </c>
      <c r="Y613" s="128" t="s">
        <v>245</v>
      </c>
      <c r="Z613" t="str">
        <f t="shared" ca="1" si="156"/>
        <v/>
      </c>
      <c r="AA613" s="129">
        <f ca="1">IF($C613="S",IF($Z613="CP",$X613,IF($Z613="RA",(($X613)*QCI!$AA$3),0)),SomaAgrup)</f>
        <v>0</v>
      </c>
      <c r="AB613" s="130">
        <f t="shared" ca="1" si="163"/>
        <v>0</v>
      </c>
      <c r="AC613" s="131" t="str">
        <f ca="1">IF($N613="","",IF(ORÇAMENTO.Descricao="","DESCRIÇÃO",IF(AND($C613="S",ORÇAMENTO.Unidade=""),"UNIDADE",IF($X613&lt;0,"VALOR NEGATIVO",IF(OR(AND(TIPOORCAMENTO="Proposto",$AG613&lt;&gt;"",$AG613&gt;0,ORÇAMENTO.CustoUnitario&gt;$AG613),AND(TIPOORCAMENTO="LICITADO",ORÇAMENTO.PrecoUnitarioLicitado&gt;$AN613)),"ACIMA REF.","")))))</f>
        <v/>
      </c>
      <c r="AD613" t="str">
        <f ca="1">IF(C613&lt;=CRONO.NivelExibicao,MAX($AD$15:OFFSET(AD613,-1,0))+IF($C613&lt;&gt;1,1,MAX(1,COUNTIF(QCI!$A$13:$A$24,OFFSET($E613,-1,0)))),"")</f>
        <v/>
      </c>
      <c r="AE613" s="7" t="str">
        <f ca="1">IF(AND($C613="S",ORÇAMENTO.CodBarra&lt;&gt;""),IF(ORÇAMENTO.Fonte="",ORÇAMENTO.CodBarra,CONCATENATE(ORÇAMENTO.Fonte," ",ORÇAMENTO.CodBarra)))</f>
        <v xml:space="preserve">Composição FNDE 388 </v>
      </c>
      <c r="AF613" s="13" t="str">
        <f ca="1">IF(ISERROR(INDIRECT(ORÇAMENTO.BancoRef)),"(abra o arquivo 'Referência "&amp;Excel_BuiltIn_Database&amp;".xlsm)",IF(OR($C613&lt;&gt;"S",ORÇAMENTO.CodBarra=""),"(Sem Código)",IF(ISERROR(MATCH($AE613,INDIRECT(ORÇAMENTO.BancoRef),0)),"(Código não identificado nas referências)",MATCH($AE613,INDIRECT(ORÇAMENTO.BancoRef),0))))</f>
        <v>(abra o arquivo 'Referência 02-2025.xlsm)</v>
      </c>
      <c r="AG613" s="498">
        <f ca="1">ROUND(IF(DESONERACAO="sim",REFERENCIA.Desonerado,REFERENCIA.NaoDesonerado),2)</f>
        <v>0</v>
      </c>
      <c r="AH613" s="499">
        <f t="shared" ca="1" si="164"/>
        <v>0.22470000000000001</v>
      </c>
      <c r="AJ613" s="501">
        <v>1</v>
      </c>
      <c r="AL613" s="527"/>
      <c r="AM613" s="381">
        <f t="shared" ca="1" si="159"/>
        <v>0</v>
      </c>
      <c r="AN613" s="566">
        <f t="shared" ca="1" si="165"/>
        <v>0</v>
      </c>
    </row>
    <row r="614" spans="1:40" x14ac:dyDescent="0.2">
      <c r="A614" t="str">
        <f t="shared" si="162"/>
        <v>S</v>
      </c>
      <c r="B614">
        <f t="shared" ca="1" si="146"/>
        <v>3</v>
      </c>
      <c r="C614" t="str">
        <f t="shared" ca="1" si="147"/>
        <v>S</v>
      </c>
      <c r="D614">
        <f t="shared" ca="1" si="148"/>
        <v>0</v>
      </c>
      <c r="E614">
        <f ca="1">IF($C614=1,OFFSET(E614,-1,0)+MAX(1,COUNTIF(QCI!$A$13:$A$24,OFFSET(ORÇAMENTO!E614,-1,0))),OFFSET(E614,-1,0))</f>
        <v>1</v>
      </c>
      <c r="F614">
        <f t="shared" ca="1" si="149"/>
        <v>18</v>
      </c>
      <c r="G614">
        <f t="shared" ca="1" si="150"/>
        <v>1</v>
      </c>
      <c r="H614">
        <f t="shared" ca="1" si="151"/>
        <v>0</v>
      </c>
      <c r="I614">
        <f t="shared" ca="1" si="152"/>
        <v>0</v>
      </c>
      <c r="J614">
        <f t="shared" ca="1" si="166"/>
        <v>0</v>
      </c>
      <c r="K614">
        <f ca="1">IF(OR($C614="S",$C614=0),0,MATCH(OFFSET($D614,0,$C614)+IF($C614&lt;&gt;1,1,COUNTIF(QCI!$A$13:$A$24,ORÇAMENTO!E614)),OFFSET($D614,1,$C614,ROW($C$747)-ROW($C614)),0))</f>
        <v>0</v>
      </c>
      <c r="L614" s="116" t="str">
        <f t="shared" ca="1" si="153"/>
        <v/>
      </c>
      <c r="M614" s="117" t="s">
        <v>199</v>
      </c>
      <c r="N614" s="118" t="str">
        <f t="shared" ca="1" si="154"/>
        <v>Serviço</v>
      </c>
      <c r="O614" s="119" t="str">
        <f t="shared" ca="1" si="155"/>
        <v>-</v>
      </c>
      <c r="P614" s="120" t="s">
        <v>712</v>
      </c>
      <c r="Q614" s="121" t="s">
        <v>857</v>
      </c>
      <c r="R614" s="122" t="str">
        <f ca="1">IF($C614="S",REFERENCIA.Descricao,"(digite a descrição aqui)")</f>
        <v>(abra o arquivo 'Referência 02-2025.xlsm)</v>
      </c>
      <c r="S614" s="123" t="str">
        <f ca="1">REFERENCIA.Unidade</f>
        <v>-</v>
      </c>
      <c r="T614" s="124">
        <f ca="1">OFFSET(CÁLCULO!H$15,ROW($T614)-ROW(T$15),0)</f>
        <v>2</v>
      </c>
      <c r="U614" s="125">
        <f t="shared" ca="1" si="167"/>
        <v>0</v>
      </c>
      <c r="V614" s="126" t="s">
        <v>156</v>
      </c>
      <c r="W614" s="124">
        <f ca="1">IF($C614="S",ROUND(IF(TIPOORCAMENTO="Proposto",ORÇAMENTO.CustoUnitario*(1+$AH614),ORÇAMENTO.PrecoUnitarioLicitado),15-13*$AF$10),0)</f>
        <v>0</v>
      </c>
      <c r="X614" s="127">
        <f ca="1">IF($C614="S",IF(Import.TipoArredondamento&lt;&gt;"TransfereGOV",VTOTAL1,SUM(OFFSET(CÁLCULO!$AA$15,ROW($X614)-ROW($X$15),1):OFFSET(CÁLCULO!$AL$15,ROW($X614)-ROW($X$15),-1))),IF($C614=0,0,ROUND(SomaAgrup,15-13*$AF$11)))</f>
        <v>0</v>
      </c>
      <c r="Y614" s="128" t="s">
        <v>245</v>
      </c>
      <c r="Z614" t="str">
        <f t="shared" ca="1" si="156"/>
        <v/>
      </c>
      <c r="AA614" s="129">
        <f ca="1">IF($C614="S",IF($Z614="CP",$X614,IF($Z614="RA",(($X614)*QCI!$AA$3),0)),SomaAgrup)</f>
        <v>0</v>
      </c>
      <c r="AB614" s="130">
        <f t="shared" ca="1" si="163"/>
        <v>0</v>
      </c>
      <c r="AC614" s="131" t="str">
        <f ca="1">IF($N614="","",IF(ORÇAMENTO.Descricao="","DESCRIÇÃO",IF(AND($C614="S",ORÇAMENTO.Unidade=""),"UNIDADE",IF($X614&lt;0,"VALOR NEGATIVO",IF(OR(AND(TIPOORCAMENTO="Proposto",$AG614&lt;&gt;"",$AG614&gt;0,ORÇAMENTO.CustoUnitario&gt;$AG614),AND(TIPOORCAMENTO="LICITADO",ORÇAMENTO.PrecoUnitarioLicitado&gt;$AN614)),"ACIMA REF.","")))))</f>
        <v/>
      </c>
      <c r="AD614" t="str">
        <f ca="1">IF(C614&lt;=CRONO.NivelExibicao,MAX($AD$15:OFFSET(AD614,-1,0))+IF($C614&lt;&gt;1,1,MAX(1,COUNTIF(QCI!$A$13:$A$24,OFFSET($E614,-1,0)))),"")</f>
        <v/>
      </c>
      <c r="AE614" s="7" t="str">
        <f ca="1">IF(AND($C614="S",ORÇAMENTO.CodBarra&lt;&gt;""),IF(ORÇAMENTO.Fonte="",ORÇAMENTO.CodBarra,CONCATENATE(ORÇAMENTO.Fonte," ",ORÇAMENTO.CodBarra)))</f>
        <v>Composição FNDE 123</v>
      </c>
      <c r="AF614" s="13" t="str">
        <f ca="1">IF(ISERROR(INDIRECT(ORÇAMENTO.BancoRef)),"(abra o arquivo 'Referência "&amp;Excel_BuiltIn_Database&amp;".xlsm)",IF(OR($C614&lt;&gt;"S",ORÇAMENTO.CodBarra=""),"(Sem Código)",IF(ISERROR(MATCH($AE614,INDIRECT(ORÇAMENTO.BancoRef),0)),"(Código não identificado nas referências)",MATCH($AE614,INDIRECT(ORÇAMENTO.BancoRef),0))))</f>
        <v>(abra o arquivo 'Referência 02-2025.xlsm)</v>
      </c>
      <c r="AG614" s="498">
        <f ca="1">ROUND(IF(DESONERACAO="sim",REFERENCIA.Desonerado,REFERENCIA.NaoDesonerado),2)</f>
        <v>0</v>
      </c>
      <c r="AH614" s="499">
        <f t="shared" ca="1" si="164"/>
        <v>0.22470000000000001</v>
      </c>
      <c r="AJ614" s="501">
        <v>2</v>
      </c>
      <c r="AL614" s="527"/>
      <c r="AM614" s="381">
        <f t="shared" ca="1" si="159"/>
        <v>0</v>
      </c>
      <c r="AN614" s="566">
        <f t="shared" ca="1" si="165"/>
        <v>0</v>
      </c>
    </row>
    <row r="615" spans="1:40" x14ac:dyDescent="0.2">
      <c r="A615" t="str">
        <f t="shared" si="162"/>
        <v>S</v>
      </c>
      <c r="B615">
        <f t="shared" ca="1" si="146"/>
        <v>3</v>
      </c>
      <c r="C615" t="str">
        <f t="shared" ca="1" si="147"/>
        <v>S</v>
      </c>
      <c r="D615">
        <f t="shared" ca="1" si="148"/>
        <v>0</v>
      </c>
      <c r="E615">
        <f ca="1">IF($C615=1,OFFSET(E615,-1,0)+MAX(1,COUNTIF(QCI!$A$13:$A$24,OFFSET(ORÇAMENTO!E615,-1,0))),OFFSET(E615,-1,0))</f>
        <v>1</v>
      </c>
      <c r="F615">
        <f t="shared" ca="1" si="149"/>
        <v>18</v>
      </c>
      <c r="G615">
        <f t="shared" ca="1" si="150"/>
        <v>1</v>
      </c>
      <c r="H615">
        <f t="shared" ca="1" si="151"/>
        <v>0</v>
      </c>
      <c r="I615">
        <f t="shared" ca="1" si="152"/>
        <v>0</v>
      </c>
      <c r="J615">
        <f t="shared" ca="1" si="166"/>
        <v>0</v>
      </c>
      <c r="K615">
        <f ca="1">IF(OR($C615="S",$C615=0),0,MATCH(OFFSET($D615,0,$C615)+IF($C615&lt;&gt;1,1,COUNTIF(QCI!$A$13:$A$24,ORÇAMENTO!E615)),OFFSET($D615,1,$C615,ROW($C$747)-ROW($C615)),0))</f>
        <v>0</v>
      </c>
      <c r="L615" s="116" t="str">
        <f t="shared" ca="1" si="153"/>
        <v/>
      </c>
      <c r="M615" s="117" t="s">
        <v>199</v>
      </c>
      <c r="N615" s="118" t="str">
        <f t="shared" ca="1" si="154"/>
        <v>Serviço</v>
      </c>
      <c r="O615" s="119" t="str">
        <f t="shared" ca="1" si="155"/>
        <v>-</v>
      </c>
      <c r="P615" s="120" t="s">
        <v>712</v>
      </c>
      <c r="Q615" s="121" t="s">
        <v>858</v>
      </c>
      <c r="R615" s="122" t="str">
        <f ca="1">IF($C615="S",REFERENCIA.Descricao,"(digite a descrição aqui)")</f>
        <v>(abra o arquivo 'Referência 02-2025.xlsm)</v>
      </c>
      <c r="S615" s="123" t="str">
        <f ca="1">REFERENCIA.Unidade</f>
        <v>-</v>
      </c>
      <c r="T615" s="124">
        <f ca="1">OFFSET(CÁLCULO!H$15,ROW($T615)-ROW(T$15),0)</f>
        <v>1</v>
      </c>
      <c r="U615" s="125">
        <f t="shared" ca="1" si="167"/>
        <v>0</v>
      </c>
      <c r="V615" s="126" t="s">
        <v>156</v>
      </c>
      <c r="W615" s="124">
        <f ca="1">IF($C615="S",ROUND(IF(TIPOORCAMENTO="Proposto",ORÇAMENTO.CustoUnitario*(1+$AH615),ORÇAMENTO.PrecoUnitarioLicitado),15-13*$AF$10),0)</f>
        <v>0</v>
      </c>
      <c r="X615" s="127">
        <f ca="1">IF($C615="S",IF(Import.TipoArredondamento&lt;&gt;"TransfereGOV",VTOTAL1,SUM(OFFSET(CÁLCULO!$AA$15,ROW($X615)-ROW($X$15),1):OFFSET(CÁLCULO!$AL$15,ROW($X615)-ROW($X$15),-1))),IF($C615=0,0,ROUND(SomaAgrup,15-13*$AF$11)))</f>
        <v>0</v>
      </c>
      <c r="Y615" s="128" t="s">
        <v>245</v>
      </c>
      <c r="Z615" t="str">
        <f t="shared" ca="1" si="156"/>
        <v/>
      </c>
      <c r="AA615" s="129">
        <f ca="1">IF($C615="S",IF($Z615="CP",$X615,IF($Z615="RA",(($X615)*QCI!$AA$3),0)),SomaAgrup)</f>
        <v>0</v>
      </c>
      <c r="AB615" s="130">
        <f t="shared" ca="1" si="163"/>
        <v>0</v>
      </c>
      <c r="AC615" s="131" t="str">
        <f ca="1">IF($N615="","",IF(ORÇAMENTO.Descricao="","DESCRIÇÃO",IF(AND($C615="S",ORÇAMENTO.Unidade=""),"UNIDADE",IF($X615&lt;0,"VALOR NEGATIVO",IF(OR(AND(TIPOORCAMENTO="Proposto",$AG615&lt;&gt;"",$AG615&gt;0,ORÇAMENTO.CustoUnitario&gt;$AG615),AND(TIPOORCAMENTO="LICITADO",ORÇAMENTO.PrecoUnitarioLicitado&gt;$AN615)),"ACIMA REF.","")))))</f>
        <v/>
      </c>
      <c r="AD615" t="str">
        <f ca="1">IF(C615&lt;=CRONO.NivelExibicao,MAX($AD$15:OFFSET(AD615,-1,0))+IF($C615&lt;&gt;1,1,MAX(1,COUNTIF(QCI!$A$13:$A$24,OFFSET($E615,-1,0)))),"")</f>
        <v/>
      </c>
      <c r="AE615" s="7" t="str">
        <f ca="1">IF(AND($C615="S",ORÇAMENTO.CodBarra&lt;&gt;""),IF(ORÇAMENTO.Fonte="",ORÇAMENTO.CodBarra,CONCATENATE(ORÇAMENTO.Fonte," ",ORÇAMENTO.CodBarra)))</f>
        <v>Composição FNDE 122</v>
      </c>
      <c r="AF615" s="13" t="str">
        <f ca="1">IF(ISERROR(INDIRECT(ORÇAMENTO.BancoRef)),"(abra o arquivo 'Referência "&amp;Excel_BuiltIn_Database&amp;".xlsm)",IF(OR($C615&lt;&gt;"S",ORÇAMENTO.CodBarra=""),"(Sem Código)",IF(ISERROR(MATCH($AE615,INDIRECT(ORÇAMENTO.BancoRef),0)),"(Código não identificado nas referências)",MATCH($AE615,INDIRECT(ORÇAMENTO.BancoRef),0))))</f>
        <v>(abra o arquivo 'Referência 02-2025.xlsm)</v>
      </c>
      <c r="AG615" s="498">
        <f ca="1">ROUND(IF(DESONERACAO="sim",REFERENCIA.Desonerado,REFERENCIA.NaoDesonerado),2)</f>
        <v>0</v>
      </c>
      <c r="AH615" s="499">
        <f t="shared" ca="1" si="164"/>
        <v>0.22470000000000001</v>
      </c>
      <c r="AJ615" s="501">
        <v>1</v>
      </c>
      <c r="AL615" s="527"/>
      <c r="AM615" s="381">
        <f t="shared" ca="1" si="159"/>
        <v>0</v>
      </c>
      <c r="AN615" s="566">
        <f t="shared" ca="1" si="165"/>
        <v>0</v>
      </c>
    </row>
    <row r="616" spans="1:40" ht="25.5" x14ac:dyDescent="0.2">
      <c r="A616" t="str">
        <f t="shared" si="162"/>
        <v>S</v>
      </c>
      <c r="B616">
        <f t="shared" ca="1" si="146"/>
        <v>3</v>
      </c>
      <c r="C616" t="str">
        <f t="shared" ca="1" si="147"/>
        <v>S</v>
      </c>
      <c r="D616">
        <f t="shared" ca="1" si="148"/>
        <v>0</v>
      </c>
      <c r="E616">
        <f ca="1">IF($C616=1,OFFSET(E616,-1,0)+MAX(1,COUNTIF(QCI!$A$13:$A$24,OFFSET(ORÇAMENTO!E616,-1,0))),OFFSET(E616,-1,0))</f>
        <v>1</v>
      </c>
      <c r="F616">
        <f t="shared" ca="1" si="149"/>
        <v>18</v>
      </c>
      <c r="G616">
        <f t="shared" ca="1" si="150"/>
        <v>1</v>
      </c>
      <c r="H616">
        <f t="shared" ca="1" si="151"/>
        <v>0</v>
      </c>
      <c r="I616">
        <f t="shared" ca="1" si="152"/>
        <v>0</v>
      </c>
      <c r="J616">
        <f t="shared" ca="1" si="166"/>
        <v>0</v>
      </c>
      <c r="K616">
        <f ca="1">IF(OR($C616="S",$C616=0),0,MATCH(OFFSET($D616,0,$C616)+IF($C616&lt;&gt;1,1,COUNTIF(QCI!$A$13:$A$24,ORÇAMENTO!E616)),OFFSET($D616,1,$C616,ROW($C$747)-ROW($C616)),0))</f>
        <v>0</v>
      </c>
      <c r="L616" s="116" t="str">
        <f t="shared" ca="1" si="153"/>
        <v/>
      </c>
      <c r="M616" s="117" t="s">
        <v>199</v>
      </c>
      <c r="N616" s="118" t="str">
        <f t="shared" ca="1" si="154"/>
        <v>Serviço</v>
      </c>
      <c r="O616" s="119" t="str">
        <f t="shared" ca="1" si="155"/>
        <v>-</v>
      </c>
      <c r="P616" s="120" t="s">
        <v>247</v>
      </c>
      <c r="Q616" s="121" t="s">
        <v>699</v>
      </c>
      <c r="R616" s="122" t="str">
        <f ca="1">IF($C616="S",REFERENCIA.Descricao,"(digite a descrição aqui)")</f>
        <v>(abra o arquivo 'Referência 02-2025.xlsm)</v>
      </c>
      <c r="S616" s="123" t="str">
        <f ca="1">REFERENCIA.Unidade</f>
        <v>-</v>
      </c>
      <c r="T616" s="124">
        <f ca="1">OFFSET(CÁLCULO!H$15,ROW($T616)-ROW(T$15),0)</f>
        <v>1</v>
      </c>
      <c r="U616" s="125">
        <f t="shared" ca="1" si="167"/>
        <v>0</v>
      </c>
      <c r="V616" s="126" t="s">
        <v>156</v>
      </c>
      <c r="W616" s="124">
        <f ca="1">IF($C616="S",ROUND(IF(TIPOORCAMENTO="Proposto",ORÇAMENTO.CustoUnitario*(1+$AH616),ORÇAMENTO.PrecoUnitarioLicitado),15-13*$AF$10),0)</f>
        <v>0</v>
      </c>
      <c r="X616" s="127">
        <f ca="1">IF($C616="S",IF(Import.TipoArredondamento&lt;&gt;"TransfereGOV",VTOTAL1,SUM(OFFSET(CÁLCULO!$AA$15,ROW($X616)-ROW($X$15),1):OFFSET(CÁLCULO!$AL$15,ROW($X616)-ROW($X$15),-1))),IF($C616=0,0,ROUND(SomaAgrup,15-13*$AF$11)))</f>
        <v>0</v>
      </c>
      <c r="Y616" s="128" t="s">
        <v>245</v>
      </c>
      <c r="Z616" t="str">
        <f t="shared" ca="1" si="156"/>
        <v/>
      </c>
      <c r="AA616" s="129">
        <f ca="1">IF($C616="S",IF($Z616="CP",$X616,IF($Z616="RA",(($X616)*QCI!$AA$3),0)),SomaAgrup)</f>
        <v>0</v>
      </c>
      <c r="AB616" s="130">
        <f t="shared" ca="1" si="163"/>
        <v>0</v>
      </c>
      <c r="AC616" s="131" t="str">
        <f ca="1">IF($N616="","",IF(ORÇAMENTO.Descricao="","DESCRIÇÃO",IF(AND($C616="S",ORÇAMENTO.Unidade=""),"UNIDADE",IF($X616&lt;0,"VALOR NEGATIVO",IF(OR(AND(TIPOORCAMENTO="Proposto",$AG616&lt;&gt;"",$AG616&gt;0,ORÇAMENTO.CustoUnitario&gt;$AG616),AND(TIPOORCAMENTO="LICITADO",ORÇAMENTO.PrecoUnitarioLicitado&gt;$AN616)),"ACIMA REF.","")))))</f>
        <v/>
      </c>
      <c r="AD616" t="str">
        <f ca="1">IF(C616&lt;=CRONO.NivelExibicao,MAX($AD$15:OFFSET(AD616,-1,0))+IF($C616&lt;&gt;1,1,MAX(1,COUNTIF(QCI!$A$13:$A$24,OFFSET($E616,-1,0)))),"")</f>
        <v/>
      </c>
      <c r="AE616" s="7" t="str">
        <f ca="1">IF(AND($C616="S",ORÇAMENTO.CodBarra&lt;&gt;""),IF(ORÇAMENTO.Fonte="",ORÇAMENTO.CodBarra,CONCATENATE(ORÇAMENTO.Fonte," ",ORÇAMENTO.CodBarra)))</f>
        <v>SINAPI 100555</v>
      </c>
      <c r="AF616" s="13" t="str">
        <f ca="1">IF(ISERROR(INDIRECT(ORÇAMENTO.BancoRef)),"(abra o arquivo 'Referência "&amp;Excel_BuiltIn_Database&amp;".xlsm)",IF(OR($C616&lt;&gt;"S",ORÇAMENTO.CodBarra=""),"(Sem Código)",IF(ISERROR(MATCH($AE616,INDIRECT(ORÇAMENTO.BancoRef),0)),"(Código não identificado nas referências)",MATCH($AE616,INDIRECT(ORÇAMENTO.BancoRef),0))))</f>
        <v>(abra o arquivo 'Referência 02-2025.xlsm)</v>
      </c>
      <c r="AG616" s="498">
        <f ca="1">ROUND(IF(DESONERACAO="sim",REFERENCIA.Desonerado,REFERENCIA.NaoDesonerado),2)</f>
        <v>0</v>
      </c>
      <c r="AH616" s="499">
        <f t="shared" ca="1" si="164"/>
        <v>0.22470000000000001</v>
      </c>
      <c r="AJ616" s="501">
        <v>1</v>
      </c>
      <c r="AL616" s="527"/>
      <c r="AM616" s="381">
        <f t="shared" ca="1" si="159"/>
        <v>0</v>
      </c>
      <c r="AN616" s="566">
        <f t="shared" ca="1" si="165"/>
        <v>0</v>
      </c>
    </row>
    <row r="617" spans="1:40" x14ac:dyDescent="0.2">
      <c r="A617" t="str">
        <f t="shared" si="162"/>
        <v>S</v>
      </c>
      <c r="B617">
        <f t="shared" ca="1" si="146"/>
        <v>3</v>
      </c>
      <c r="C617" t="str">
        <f t="shared" ca="1" si="147"/>
        <v>S</v>
      </c>
      <c r="D617">
        <f t="shared" ca="1" si="148"/>
        <v>0</v>
      </c>
      <c r="E617">
        <f ca="1">IF($C617=1,OFFSET(E617,-1,0)+MAX(1,COUNTIF(QCI!$A$13:$A$24,OFFSET(ORÇAMENTO!E617,-1,0))),OFFSET(E617,-1,0))</f>
        <v>1</v>
      </c>
      <c r="F617">
        <f t="shared" ca="1" si="149"/>
        <v>18</v>
      </c>
      <c r="G617">
        <f t="shared" ca="1" si="150"/>
        <v>1</v>
      </c>
      <c r="H617">
        <f t="shared" ca="1" si="151"/>
        <v>0</v>
      </c>
      <c r="I617">
        <f t="shared" ca="1" si="152"/>
        <v>0</v>
      </c>
      <c r="J617">
        <f t="shared" ca="1" si="166"/>
        <v>0</v>
      </c>
      <c r="K617">
        <f ca="1">IF(OR($C617="S",$C617=0),0,MATCH(OFFSET($D617,0,$C617)+IF($C617&lt;&gt;1,1,COUNTIF(QCI!$A$13:$A$24,ORÇAMENTO!E617)),OFFSET($D617,1,$C617,ROW($C$747)-ROW($C617)),0))</f>
        <v>0</v>
      </c>
      <c r="L617" s="116" t="str">
        <f t="shared" ca="1" si="153"/>
        <v/>
      </c>
      <c r="M617" s="117" t="s">
        <v>199</v>
      </c>
      <c r="N617" s="118" t="str">
        <f t="shared" ca="1" si="154"/>
        <v>Serviço</v>
      </c>
      <c r="O617" s="119" t="str">
        <f t="shared" ca="1" si="155"/>
        <v>-</v>
      </c>
      <c r="P617" s="120" t="s">
        <v>712</v>
      </c>
      <c r="Q617" s="121" t="s">
        <v>859</v>
      </c>
      <c r="R617" s="122" t="str">
        <f ca="1">IF($C617="S",REFERENCIA.Descricao,"(digite a descrição aqui)")</f>
        <v>(abra o arquivo 'Referência 02-2025.xlsm)</v>
      </c>
      <c r="S617" s="123" t="str">
        <f ca="1">REFERENCIA.Unidade</f>
        <v>-</v>
      </c>
      <c r="T617" s="124">
        <f ca="1">OFFSET(CÁLCULO!H$15,ROW($T617)-ROW(T$15),0)</f>
        <v>1</v>
      </c>
      <c r="U617" s="125">
        <f t="shared" ca="1" si="167"/>
        <v>0</v>
      </c>
      <c r="V617" s="126" t="s">
        <v>156</v>
      </c>
      <c r="W617" s="124">
        <f ca="1">IF($C617="S",ROUND(IF(TIPOORCAMENTO="Proposto",ORÇAMENTO.CustoUnitario*(1+$AH617),ORÇAMENTO.PrecoUnitarioLicitado),15-13*$AF$10),0)</f>
        <v>0</v>
      </c>
      <c r="X617" s="127">
        <f ca="1">IF($C617="S",IF(Import.TipoArredondamento&lt;&gt;"TransfereGOV",VTOTAL1,SUM(OFFSET(CÁLCULO!$AA$15,ROW($X617)-ROW($X$15),1):OFFSET(CÁLCULO!$AL$15,ROW($X617)-ROW($X$15),-1))),IF($C617=0,0,ROUND(SomaAgrup,15-13*$AF$11)))</f>
        <v>0</v>
      </c>
      <c r="Y617" s="128" t="s">
        <v>245</v>
      </c>
      <c r="Z617" t="str">
        <f t="shared" ca="1" si="156"/>
        <v/>
      </c>
      <c r="AA617" s="129">
        <f ca="1">IF($C617="S",IF($Z617="CP",$X617,IF($Z617="RA",(($X617)*QCI!$AA$3),0)),SomaAgrup)</f>
        <v>0</v>
      </c>
      <c r="AB617" s="130">
        <f t="shared" ca="1" si="163"/>
        <v>0</v>
      </c>
      <c r="AC617" s="131" t="str">
        <f ca="1">IF($N617="","",IF(ORÇAMENTO.Descricao="","DESCRIÇÃO",IF(AND($C617="S",ORÇAMENTO.Unidade=""),"UNIDADE",IF($X617&lt;0,"VALOR NEGATIVO",IF(OR(AND(TIPOORCAMENTO="Proposto",$AG617&lt;&gt;"",$AG617&gt;0,ORÇAMENTO.CustoUnitario&gt;$AG617),AND(TIPOORCAMENTO="LICITADO",ORÇAMENTO.PrecoUnitarioLicitado&gt;$AN617)),"ACIMA REF.","")))))</f>
        <v/>
      </c>
      <c r="AD617" t="str">
        <f ca="1">IF(C617&lt;=CRONO.NivelExibicao,MAX($AD$15:OFFSET(AD617,-1,0))+IF($C617&lt;&gt;1,1,MAX(1,COUNTIF(QCI!$A$13:$A$24,OFFSET($E617,-1,0)))),"")</f>
        <v/>
      </c>
      <c r="AE617" s="7" t="str">
        <f ca="1">IF(AND($C617="S",ORÇAMENTO.CodBarra&lt;&gt;""),IF(ORÇAMENTO.Fonte="",ORÇAMENTO.CodBarra,CONCATENATE(ORÇAMENTO.Fonte," ",ORÇAMENTO.CodBarra)))</f>
        <v>Composição FNDE 125</v>
      </c>
      <c r="AF617" s="13" t="str">
        <f ca="1">IF(ISERROR(INDIRECT(ORÇAMENTO.BancoRef)),"(abra o arquivo 'Referência "&amp;Excel_BuiltIn_Database&amp;".xlsm)",IF(OR($C617&lt;&gt;"S",ORÇAMENTO.CodBarra=""),"(Sem Código)",IF(ISERROR(MATCH($AE617,INDIRECT(ORÇAMENTO.BancoRef),0)),"(Código não identificado nas referências)",MATCH($AE617,INDIRECT(ORÇAMENTO.BancoRef),0))))</f>
        <v>(abra o arquivo 'Referência 02-2025.xlsm)</v>
      </c>
      <c r="AG617" s="498">
        <f ca="1">ROUND(IF(DESONERACAO="sim",REFERENCIA.Desonerado,REFERENCIA.NaoDesonerado),2)</f>
        <v>0</v>
      </c>
      <c r="AH617" s="499">
        <f t="shared" ca="1" si="164"/>
        <v>0.22470000000000001</v>
      </c>
      <c r="AJ617" s="501">
        <v>1</v>
      </c>
      <c r="AL617" s="527"/>
      <c r="AM617" s="381">
        <f t="shared" ca="1" si="159"/>
        <v>0</v>
      </c>
      <c r="AN617" s="566">
        <f t="shared" ca="1" si="165"/>
        <v>0</v>
      </c>
    </row>
    <row r="618" spans="1:40" x14ac:dyDescent="0.2">
      <c r="A618">
        <f t="shared" si="162"/>
        <v>3</v>
      </c>
      <c r="B618">
        <f t="shared" ca="1" si="146"/>
        <v>3</v>
      </c>
      <c r="C618">
        <f t="shared" ca="1" si="147"/>
        <v>3</v>
      </c>
      <c r="D618">
        <f t="shared" ca="1" si="148"/>
        <v>8</v>
      </c>
      <c r="E618">
        <f ca="1">IF($C618=1,OFFSET(E618,-1,0)+MAX(1,COUNTIF(QCI!$A$13:$A$24,OFFSET(ORÇAMENTO!E618,-1,0))),OFFSET(E618,-1,0))</f>
        <v>1</v>
      </c>
      <c r="F618">
        <f t="shared" ca="1" si="149"/>
        <v>18</v>
      </c>
      <c r="G618">
        <f t="shared" ca="1" si="150"/>
        <v>2</v>
      </c>
      <c r="H618">
        <f t="shared" ca="1" si="151"/>
        <v>0</v>
      </c>
      <c r="I618">
        <f t="shared" ca="1" si="152"/>
        <v>0</v>
      </c>
      <c r="J618">
        <f t="shared" ca="1" si="166"/>
        <v>28</v>
      </c>
      <c r="K618">
        <f ca="1">IF(OR($C618="S",$C618=0),0,MATCH(OFFSET($D618,0,$C618)+IF($C618&lt;&gt;1,1,COUNTIF(QCI!$A$13:$A$24,ORÇAMENTO!E618)),OFFSET($D618,1,$C618,ROW($C$747)-ROW($C618)),0))</f>
        <v>8</v>
      </c>
      <c r="L618" s="116" t="str">
        <f t="shared" ca="1" si="153"/>
        <v>F</v>
      </c>
      <c r="M618" s="117" t="s">
        <v>197</v>
      </c>
      <c r="N618" s="118" t="str">
        <f t="shared" ca="1" si="154"/>
        <v>Nível 3</v>
      </c>
      <c r="O618" s="119" t="str">
        <f t="shared" ca="1" si="155"/>
        <v>1.18.2.</v>
      </c>
      <c r="P618" s="120" t="s">
        <v>247</v>
      </c>
      <c r="Q618" s="121"/>
      <c r="R618" s="122" t="str">
        <f ca="1">IF($C618="S",REFERENCIA.Descricao,"ACESSÓRIOS")</f>
        <v>ACESSÓRIOS</v>
      </c>
      <c r="S618" s="123" t="str">
        <f ca="1">REFERENCIA.Unidade</f>
        <v>-</v>
      </c>
      <c r="T618" s="124">
        <f ca="1">OFFSET(CÁLCULO!H$15,ROW($T618)-ROW(T$15),0)</f>
        <v>0</v>
      </c>
      <c r="U618" s="125">
        <f t="shared" ca="1" si="167"/>
        <v>0</v>
      </c>
      <c r="V618" s="126" t="s">
        <v>156</v>
      </c>
      <c r="W618" s="124">
        <f ca="1">IF($C618="S",ROUND(IF(TIPOORCAMENTO="Proposto",ORÇAMENTO.CustoUnitario*(1+$AH618),ORÇAMENTO.PrecoUnitarioLicitado),15-13*$AF$10),0)</f>
        <v>0</v>
      </c>
      <c r="X618" s="127">
        <f ca="1">IF($C618="S",IF(Import.TipoArredondamento&lt;&gt;"TransfereGOV",VTOTAL1,SUM(OFFSET(CÁLCULO!$AA$15,ROW($X618)-ROW($X$15),1):OFFSET(CÁLCULO!$AL$15,ROW($X618)-ROW($X$15),-1))),IF($C618=0,0,ROUND(SomaAgrup,15-13*$AF$11)))</f>
        <v>0</v>
      </c>
      <c r="Y618" s="128" t="s">
        <v>245</v>
      </c>
      <c r="Z618" t="str">
        <f t="shared" ca="1" si="156"/>
        <v/>
      </c>
      <c r="AA618" s="129">
        <f ca="1">IF($C618="S",IF($Z618="CP",$X618,IF($Z618="RA",(($X618)*QCI!$AA$3),0)),SomaAgrup)</f>
        <v>0</v>
      </c>
      <c r="AB618" s="130">
        <f t="shared" ca="1" si="163"/>
        <v>0</v>
      </c>
      <c r="AC618" s="131" t="str">
        <f ca="1">IF($N618="","",IF(ORÇAMENTO.Descricao="","DESCRIÇÃO",IF(AND($C618="S",ORÇAMENTO.Unidade=""),"UNIDADE",IF($X618&lt;0,"VALOR NEGATIVO",IF(OR(AND(TIPOORCAMENTO="Proposto",$AG618&lt;&gt;"",$AG618&gt;0,ORÇAMENTO.CustoUnitario&gt;$AG618),AND(TIPOORCAMENTO="LICITADO",ORÇAMENTO.PrecoUnitarioLicitado&gt;$AN618)),"ACIMA REF.","")))))</f>
        <v/>
      </c>
      <c r="AD618" t="str">
        <f ca="1">IF(C618&lt;=CRONO.NivelExibicao,MAX($AD$15:OFFSET(AD618,-1,0))+IF($C618&lt;&gt;1,1,MAX(1,COUNTIF(QCI!$A$13:$A$24,OFFSET($E618,-1,0)))),"")</f>
        <v/>
      </c>
      <c r="AE618" s="7" t="b">
        <f ca="1">IF(AND($C618="S",ORÇAMENTO.CodBarra&lt;&gt;""),IF(ORÇAMENTO.Fonte="",ORÇAMENTO.CodBarra,CONCATENATE(ORÇAMENTO.Fonte," ",ORÇAMENTO.CodBarra)))</f>
        <v>0</v>
      </c>
      <c r="AF618" s="13" t="str">
        <f ca="1">IF(ISERROR(INDIRECT(ORÇAMENTO.BancoRef)),"(abra o arquivo 'Referência "&amp;Excel_BuiltIn_Database&amp;".xlsm)",IF(OR($C618&lt;&gt;"S",ORÇAMENTO.CodBarra=""),"(Sem Código)",IF(ISERROR(MATCH($AE618,INDIRECT(ORÇAMENTO.BancoRef),0)),"(Código não identificado nas referências)",MATCH($AE618,INDIRECT(ORÇAMENTO.BancoRef),0))))</f>
        <v>(abra o arquivo 'Referência 02-2025.xlsm)</v>
      </c>
      <c r="AG618" s="498">
        <f ca="1">ROUND(IF(DESONERACAO="sim",REFERENCIA.Desonerado,REFERENCIA.NaoDesonerado),2)</f>
        <v>0</v>
      </c>
      <c r="AH618" s="499">
        <f t="shared" ca="1" si="164"/>
        <v>0.22470000000000001</v>
      </c>
      <c r="AJ618" s="501"/>
      <c r="AL618" s="527"/>
      <c r="AM618" s="381">
        <f t="shared" ca="1" si="159"/>
        <v>0</v>
      </c>
      <c r="AN618" s="566">
        <f t="shared" ca="1" si="165"/>
        <v>0</v>
      </c>
    </row>
    <row r="619" spans="1:40" ht="25.5" x14ac:dyDescent="0.2">
      <c r="A619" t="str">
        <f t="shared" si="162"/>
        <v>S</v>
      </c>
      <c r="B619">
        <f t="shared" ca="1" si="146"/>
        <v>3</v>
      </c>
      <c r="C619" t="str">
        <f t="shared" ca="1" si="147"/>
        <v>S</v>
      </c>
      <c r="D619">
        <f t="shared" ca="1" si="148"/>
        <v>0</v>
      </c>
      <c r="E619">
        <f ca="1">IF($C619=1,OFFSET(E619,-1,0)+MAX(1,COUNTIF(QCI!$A$13:$A$24,OFFSET(ORÇAMENTO!E619,-1,0))),OFFSET(E619,-1,0))</f>
        <v>1</v>
      </c>
      <c r="F619">
        <f t="shared" ca="1" si="149"/>
        <v>18</v>
      </c>
      <c r="G619">
        <f t="shared" ca="1" si="150"/>
        <v>2</v>
      </c>
      <c r="H619">
        <f t="shared" ca="1" si="151"/>
        <v>0</v>
      </c>
      <c r="I619">
        <f t="shared" ca="1" si="152"/>
        <v>0</v>
      </c>
      <c r="J619">
        <f t="shared" ca="1" si="166"/>
        <v>0</v>
      </c>
      <c r="K619">
        <f ca="1">IF(OR($C619="S",$C619=0),0,MATCH(OFFSET($D619,0,$C619)+IF($C619&lt;&gt;1,1,COUNTIF(QCI!$A$13:$A$24,ORÇAMENTO!E619)),OFFSET($D619,1,$C619,ROW($C$747)-ROW($C619)),0))</f>
        <v>0</v>
      </c>
      <c r="L619" s="116" t="str">
        <f t="shared" ca="1" si="153"/>
        <v/>
      </c>
      <c r="M619" s="117" t="s">
        <v>199</v>
      </c>
      <c r="N619" s="118" t="str">
        <f t="shared" ca="1" si="154"/>
        <v>Serviço</v>
      </c>
      <c r="O619" s="119" t="str">
        <f t="shared" ca="1" si="155"/>
        <v>-</v>
      </c>
      <c r="P619" s="120" t="s">
        <v>247</v>
      </c>
      <c r="Q619" s="121" t="s">
        <v>645</v>
      </c>
      <c r="R619" s="122" t="str">
        <f ca="1">IF($C619="S",REFERENCIA.Descricao,"(digite a descrição aqui)")</f>
        <v>(abra o arquivo 'Referência 02-2025.xlsm)</v>
      </c>
      <c r="S619" s="123" t="str">
        <f ca="1">REFERENCIA.Unidade</f>
        <v>-</v>
      </c>
      <c r="T619" s="124">
        <f ca="1">OFFSET(CÁLCULO!H$15,ROW($T619)-ROW(T$15),0)</f>
        <v>42</v>
      </c>
      <c r="U619" s="125">
        <f t="shared" ca="1" si="167"/>
        <v>0</v>
      </c>
      <c r="V619" s="126" t="s">
        <v>156</v>
      </c>
      <c r="W619" s="124">
        <f ca="1">IF($C619="S",ROUND(IF(TIPOORCAMENTO="Proposto",ORÇAMENTO.CustoUnitario*(1+$AH619),ORÇAMENTO.PrecoUnitarioLicitado),15-13*$AF$10),0)</f>
        <v>0</v>
      </c>
      <c r="X619" s="127">
        <f ca="1">IF($C619="S",IF(Import.TipoArredondamento&lt;&gt;"TransfereGOV",VTOTAL1,SUM(OFFSET(CÁLCULO!$AA$15,ROW($X619)-ROW($X$15),1):OFFSET(CÁLCULO!$AL$15,ROW($X619)-ROW($X$15),-1))),IF($C619=0,0,ROUND(SomaAgrup,15-13*$AF$11)))</f>
        <v>0</v>
      </c>
      <c r="Y619" s="128" t="s">
        <v>245</v>
      </c>
      <c r="Z619" t="str">
        <f t="shared" ca="1" si="156"/>
        <v/>
      </c>
      <c r="AA619" s="129">
        <f ca="1">IF($C619="S",IF($Z619="CP",$X619,IF($Z619="RA",(($X619)*QCI!$AA$3),0)),SomaAgrup)</f>
        <v>0</v>
      </c>
      <c r="AB619" s="130">
        <f t="shared" ca="1" si="163"/>
        <v>0</v>
      </c>
      <c r="AC619" s="131" t="str">
        <f ca="1">IF($N619="","",IF(ORÇAMENTO.Descricao="","DESCRIÇÃO",IF(AND($C619="S",ORÇAMENTO.Unidade=""),"UNIDADE",IF($X619&lt;0,"VALOR NEGATIVO",IF(OR(AND(TIPOORCAMENTO="Proposto",$AG619&lt;&gt;"",$AG619&gt;0,ORÇAMENTO.CustoUnitario&gt;$AG619),AND(TIPOORCAMENTO="LICITADO",ORÇAMENTO.PrecoUnitarioLicitado&gt;$AN619)),"ACIMA REF.","")))))</f>
        <v/>
      </c>
      <c r="AD619" t="str">
        <f ca="1">IF(C619&lt;=CRONO.NivelExibicao,MAX($AD$15:OFFSET(AD619,-1,0))+IF($C619&lt;&gt;1,1,MAX(1,COUNTIF(QCI!$A$13:$A$24,OFFSET($E619,-1,0)))),"")</f>
        <v/>
      </c>
      <c r="AE619" s="7" t="str">
        <f ca="1">IF(AND($C619="S",ORÇAMENTO.CodBarra&lt;&gt;""),IF(ORÇAMENTO.Fonte="",ORÇAMENTO.CodBarra,CONCATENATE(ORÇAMENTO.Fonte," ",ORÇAMENTO.CodBarra)))</f>
        <v>SINAPI 91941</v>
      </c>
      <c r="AF619" s="13" t="str">
        <f ca="1">IF(ISERROR(INDIRECT(ORÇAMENTO.BancoRef)),"(abra o arquivo 'Referência "&amp;Excel_BuiltIn_Database&amp;".xlsm)",IF(OR($C619&lt;&gt;"S",ORÇAMENTO.CodBarra=""),"(Sem Código)",IF(ISERROR(MATCH($AE619,INDIRECT(ORÇAMENTO.BancoRef),0)),"(Código não identificado nas referências)",MATCH($AE619,INDIRECT(ORÇAMENTO.BancoRef),0))))</f>
        <v>(abra o arquivo 'Referência 02-2025.xlsm)</v>
      </c>
      <c r="AG619" s="498">
        <f ca="1">ROUND(IF(DESONERACAO="sim",REFERENCIA.Desonerado,REFERENCIA.NaoDesonerado),2)</f>
        <v>0</v>
      </c>
      <c r="AH619" s="499">
        <f t="shared" ca="1" si="164"/>
        <v>0.22470000000000001</v>
      </c>
      <c r="AJ619" s="501">
        <v>42</v>
      </c>
      <c r="AL619" s="527"/>
      <c r="AM619" s="381">
        <f t="shared" ca="1" si="159"/>
        <v>0</v>
      </c>
      <c r="AN619" s="566">
        <f t="shared" ca="1" si="165"/>
        <v>0</v>
      </c>
    </row>
    <row r="620" spans="1:40" x14ac:dyDescent="0.2">
      <c r="A620" t="str">
        <f t="shared" si="162"/>
        <v>S</v>
      </c>
      <c r="B620">
        <f t="shared" ca="1" si="146"/>
        <v>3</v>
      </c>
      <c r="C620" t="str">
        <f t="shared" ca="1" si="147"/>
        <v>S</v>
      </c>
      <c r="D620">
        <f t="shared" ca="1" si="148"/>
        <v>0</v>
      </c>
      <c r="E620">
        <f ca="1">IF($C620=1,OFFSET(E620,-1,0)+MAX(1,COUNTIF(QCI!$A$13:$A$24,OFFSET(ORÇAMENTO!E620,-1,0))),OFFSET(E620,-1,0))</f>
        <v>1</v>
      </c>
      <c r="F620">
        <f t="shared" ca="1" si="149"/>
        <v>18</v>
      </c>
      <c r="G620">
        <f t="shared" ca="1" si="150"/>
        <v>2</v>
      </c>
      <c r="H620">
        <f t="shared" ca="1" si="151"/>
        <v>0</v>
      </c>
      <c r="I620">
        <f t="shared" ca="1" si="152"/>
        <v>0</v>
      </c>
      <c r="J620">
        <f t="shared" ca="1" si="166"/>
        <v>0</v>
      </c>
      <c r="K620">
        <f ca="1">IF(OR($C620="S",$C620=0),0,MATCH(OFFSET($D620,0,$C620)+IF($C620&lt;&gt;1,1,COUNTIF(QCI!$A$13:$A$24,ORÇAMENTO!E620)),OFFSET($D620,1,$C620,ROW($C$747)-ROW($C620)),0))</f>
        <v>0</v>
      </c>
      <c r="L620" s="116" t="str">
        <f t="shared" ca="1" si="153"/>
        <v/>
      </c>
      <c r="M620" s="117" t="s">
        <v>199</v>
      </c>
      <c r="N620" s="118" t="str">
        <f t="shared" ca="1" si="154"/>
        <v>Serviço</v>
      </c>
      <c r="O620" s="119" t="str">
        <f t="shared" ca="1" si="155"/>
        <v>-</v>
      </c>
      <c r="P620" s="120" t="s">
        <v>712</v>
      </c>
      <c r="Q620" s="121" t="s">
        <v>834</v>
      </c>
      <c r="R620" s="122" t="str">
        <f ca="1">IF($C620="S",REFERENCIA.Descricao,"(digite a descrição aqui)")</f>
        <v>(abra o arquivo 'Referência 02-2025.xlsm)</v>
      </c>
      <c r="S620" s="123" t="str">
        <f ca="1">REFERENCIA.Unidade</f>
        <v>-</v>
      </c>
      <c r="T620" s="124">
        <f ca="1">OFFSET(CÁLCULO!H$15,ROW($T620)-ROW(T$15),0)</f>
        <v>697</v>
      </c>
      <c r="U620" s="125">
        <f t="shared" ca="1" si="167"/>
        <v>0</v>
      </c>
      <c r="V620" s="126" t="s">
        <v>156</v>
      </c>
      <c r="W620" s="124">
        <f ca="1">IF($C620="S",ROUND(IF(TIPOORCAMENTO="Proposto",ORÇAMENTO.CustoUnitario*(1+$AH620),ORÇAMENTO.PrecoUnitarioLicitado),15-13*$AF$10),0)</f>
        <v>0</v>
      </c>
      <c r="X620" s="127">
        <f ca="1">IF($C620="S",IF(Import.TipoArredondamento&lt;&gt;"TransfereGOV",VTOTAL1,SUM(OFFSET(CÁLCULO!$AA$15,ROW($X620)-ROW($X$15),1):OFFSET(CÁLCULO!$AL$15,ROW($X620)-ROW($X$15),-1))),IF($C620=0,0,ROUND(SomaAgrup,15-13*$AF$11)))</f>
        <v>0</v>
      </c>
      <c r="Y620" s="128" t="s">
        <v>245</v>
      </c>
      <c r="Z620" t="str">
        <f t="shared" ca="1" si="156"/>
        <v/>
      </c>
      <c r="AA620" s="129">
        <f ca="1">IF($C620="S",IF($Z620="CP",$X620,IF($Z620="RA",(($X620)*QCI!$AA$3),0)),SomaAgrup)</f>
        <v>0</v>
      </c>
      <c r="AB620" s="130">
        <f t="shared" ca="1" si="163"/>
        <v>0</v>
      </c>
      <c r="AC620" s="131" t="str">
        <f ca="1">IF($N620="","",IF(ORÇAMENTO.Descricao="","DESCRIÇÃO",IF(AND($C620="S",ORÇAMENTO.Unidade=""),"UNIDADE",IF($X620&lt;0,"VALOR NEGATIVO",IF(OR(AND(TIPOORCAMENTO="Proposto",$AG620&lt;&gt;"",$AG620&gt;0,ORÇAMENTO.CustoUnitario&gt;$AG620),AND(TIPOORCAMENTO="LICITADO",ORÇAMENTO.PrecoUnitarioLicitado&gt;$AN620)),"ACIMA REF.","")))))</f>
        <v/>
      </c>
      <c r="AD620" t="str">
        <f ca="1">IF(C620&lt;=CRONO.NivelExibicao,MAX($AD$15:OFFSET(AD620,-1,0))+IF($C620&lt;&gt;1,1,MAX(1,COUNTIF(QCI!$A$13:$A$24,OFFSET($E620,-1,0)))),"")</f>
        <v/>
      </c>
      <c r="AE620" s="7" t="str">
        <f ca="1">IF(AND($C620="S",ORÇAMENTO.CodBarra&lt;&gt;""),IF(ORÇAMENTO.Fonte="",ORÇAMENTO.CodBarra,CONCATENATE(ORÇAMENTO.Fonte," ",ORÇAMENTO.CodBarra)))</f>
        <v>Composição FNDE 353</v>
      </c>
      <c r="AF620" s="13" t="str">
        <f ca="1">IF(ISERROR(INDIRECT(ORÇAMENTO.BancoRef)),"(abra o arquivo 'Referência "&amp;Excel_BuiltIn_Database&amp;".xlsm)",IF(OR($C620&lt;&gt;"S",ORÇAMENTO.CodBarra=""),"(Sem Código)",IF(ISERROR(MATCH($AE620,INDIRECT(ORÇAMENTO.BancoRef),0)),"(Código não identificado nas referências)",MATCH($AE620,INDIRECT(ORÇAMENTO.BancoRef),0))))</f>
        <v>(abra o arquivo 'Referência 02-2025.xlsm)</v>
      </c>
      <c r="AG620" s="498">
        <f ca="1">ROUND(IF(DESONERACAO="sim",REFERENCIA.Desonerado,REFERENCIA.NaoDesonerado),2)</f>
        <v>0</v>
      </c>
      <c r="AH620" s="499">
        <f t="shared" ca="1" si="164"/>
        <v>0.22470000000000001</v>
      </c>
      <c r="AJ620" s="501">
        <v>697</v>
      </c>
      <c r="AL620" s="527"/>
      <c r="AM620" s="381">
        <f t="shared" ca="1" si="159"/>
        <v>0</v>
      </c>
      <c r="AN620" s="566">
        <f t="shared" ca="1" si="165"/>
        <v>0</v>
      </c>
    </row>
    <row r="621" spans="1:40" x14ac:dyDescent="0.2">
      <c r="A621" t="str">
        <f t="shared" si="162"/>
        <v>S</v>
      </c>
      <c r="B621">
        <f t="shared" ca="1" si="146"/>
        <v>3</v>
      </c>
      <c r="C621" t="str">
        <f t="shared" ca="1" si="147"/>
        <v>S</v>
      </c>
      <c r="D621">
        <f t="shared" ca="1" si="148"/>
        <v>0</v>
      </c>
      <c r="E621">
        <f ca="1">IF($C621=1,OFFSET(E621,-1,0)+MAX(1,COUNTIF(QCI!$A$13:$A$24,OFFSET(ORÇAMENTO!E621,-1,0))),OFFSET(E621,-1,0))</f>
        <v>1</v>
      </c>
      <c r="F621">
        <f t="shared" ca="1" si="149"/>
        <v>18</v>
      </c>
      <c r="G621">
        <f t="shared" ca="1" si="150"/>
        <v>2</v>
      </c>
      <c r="H621">
        <f t="shared" ca="1" si="151"/>
        <v>0</v>
      </c>
      <c r="I621">
        <f t="shared" ca="1" si="152"/>
        <v>0</v>
      </c>
      <c r="J621">
        <f t="shared" ca="1" si="166"/>
        <v>0</v>
      </c>
      <c r="K621">
        <f ca="1">IF(OR($C621="S",$C621=0),0,MATCH(OFFSET($D621,0,$C621)+IF($C621&lt;&gt;1,1,COUNTIF(QCI!$A$13:$A$24,ORÇAMENTO!E621)),OFFSET($D621,1,$C621,ROW($C$747)-ROW($C621)),0))</f>
        <v>0</v>
      </c>
      <c r="L621" s="116" t="str">
        <f t="shared" ca="1" si="153"/>
        <v/>
      </c>
      <c r="M621" s="117" t="s">
        <v>199</v>
      </c>
      <c r="N621" s="118" t="str">
        <f t="shared" ca="1" si="154"/>
        <v>Serviço</v>
      </c>
      <c r="O621" s="119" t="str">
        <f t="shared" ca="1" si="155"/>
        <v>-</v>
      </c>
      <c r="P621" s="120" t="s">
        <v>712</v>
      </c>
      <c r="Q621" s="121" t="s">
        <v>837</v>
      </c>
      <c r="R621" s="122" t="str">
        <f ca="1">IF($C621="S",REFERENCIA.Descricao,"(digite a descrição aqui)")</f>
        <v>(abra o arquivo 'Referência 02-2025.xlsm)</v>
      </c>
      <c r="S621" s="123" t="str">
        <f ca="1">REFERENCIA.Unidade</f>
        <v>-</v>
      </c>
      <c r="T621" s="124">
        <f ca="1">OFFSET(CÁLCULO!H$15,ROW($T621)-ROW(T$15),0)</f>
        <v>23</v>
      </c>
      <c r="U621" s="125">
        <f t="shared" ca="1" si="167"/>
        <v>0</v>
      </c>
      <c r="V621" s="126" t="s">
        <v>156</v>
      </c>
      <c r="W621" s="124">
        <f ca="1">IF($C621="S",ROUND(IF(TIPOORCAMENTO="Proposto",ORÇAMENTO.CustoUnitario*(1+$AH621),ORÇAMENTO.PrecoUnitarioLicitado),15-13*$AF$10),0)</f>
        <v>0</v>
      </c>
      <c r="X621" s="127">
        <f ca="1">IF($C621="S",IF(Import.TipoArredondamento&lt;&gt;"TransfereGOV",VTOTAL1,SUM(OFFSET(CÁLCULO!$AA$15,ROW($X621)-ROW($X$15),1):OFFSET(CÁLCULO!$AL$15,ROW($X621)-ROW($X$15),-1))),IF($C621=0,0,ROUND(SomaAgrup,15-13*$AF$11)))</f>
        <v>0</v>
      </c>
      <c r="Y621" s="128" t="s">
        <v>245</v>
      </c>
      <c r="Z621" t="str">
        <f t="shared" ca="1" si="156"/>
        <v/>
      </c>
      <c r="AA621" s="129">
        <f ca="1">IF($C621="S",IF($Z621="CP",$X621,IF($Z621="RA",(($X621)*QCI!$AA$3),0)),SomaAgrup)</f>
        <v>0</v>
      </c>
      <c r="AB621" s="130">
        <f t="shared" ca="1" si="163"/>
        <v>0</v>
      </c>
      <c r="AC621" s="131" t="str">
        <f ca="1">IF($N621="","",IF(ORÇAMENTO.Descricao="","DESCRIÇÃO",IF(AND($C621="S",ORÇAMENTO.Unidade=""),"UNIDADE",IF($X621&lt;0,"VALOR NEGATIVO",IF(OR(AND(TIPOORCAMENTO="Proposto",$AG621&lt;&gt;"",$AG621&gt;0,ORÇAMENTO.CustoUnitario&gt;$AG621),AND(TIPOORCAMENTO="LICITADO",ORÇAMENTO.PrecoUnitarioLicitado&gt;$AN621)),"ACIMA REF.","")))))</f>
        <v/>
      </c>
      <c r="AD621" t="str">
        <f ca="1">IF(C621&lt;=CRONO.NivelExibicao,MAX($AD$15:OFFSET(AD621,-1,0))+IF($C621&lt;&gt;1,1,MAX(1,COUNTIF(QCI!$A$13:$A$24,OFFSET($E621,-1,0)))),"")</f>
        <v/>
      </c>
      <c r="AE621" s="7" t="str">
        <f ca="1">IF(AND($C621="S",ORÇAMENTO.CodBarra&lt;&gt;""),IF(ORÇAMENTO.Fonte="",ORÇAMENTO.CodBarra,CONCATENATE(ORÇAMENTO.Fonte," ",ORÇAMENTO.CodBarra)))</f>
        <v>Composição FNDE 354</v>
      </c>
      <c r="AF621" s="13" t="str">
        <f ca="1">IF(ISERROR(INDIRECT(ORÇAMENTO.BancoRef)),"(abra o arquivo 'Referência "&amp;Excel_BuiltIn_Database&amp;".xlsm)",IF(OR($C621&lt;&gt;"S",ORÇAMENTO.CodBarra=""),"(Sem Código)",IF(ISERROR(MATCH($AE621,INDIRECT(ORÇAMENTO.BancoRef),0)),"(Código não identificado nas referências)",MATCH($AE621,INDIRECT(ORÇAMENTO.BancoRef),0))))</f>
        <v>(abra o arquivo 'Referência 02-2025.xlsm)</v>
      </c>
      <c r="AG621" s="498">
        <f ca="1">ROUND(IF(DESONERACAO="sim",REFERENCIA.Desonerado,REFERENCIA.NaoDesonerado),2)</f>
        <v>0</v>
      </c>
      <c r="AH621" s="499">
        <f t="shared" ca="1" si="164"/>
        <v>0.22470000000000001</v>
      </c>
      <c r="AJ621" s="501">
        <v>23</v>
      </c>
      <c r="AL621" s="527"/>
      <c r="AM621" s="381">
        <f t="shared" ca="1" si="159"/>
        <v>0</v>
      </c>
      <c r="AN621" s="566">
        <f t="shared" ca="1" si="165"/>
        <v>0</v>
      </c>
    </row>
    <row r="622" spans="1:40" ht="25.5" x14ac:dyDescent="0.2">
      <c r="A622" t="str">
        <f t="shared" si="162"/>
        <v>S</v>
      </c>
      <c r="B622">
        <f t="shared" ca="1" si="146"/>
        <v>3</v>
      </c>
      <c r="C622" t="str">
        <f t="shared" ca="1" si="147"/>
        <v>S</v>
      </c>
      <c r="D622">
        <f t="shared" ca="1" si="148"/>
        <v>0</v>
      </c>
      <c r="E622">
        <f ca="1">IF($C622=1,OFFSET(E622,-1,0)+MAX(1,COUNTIF(QCI!$A$13:$A$24,OFFSET(ORÇAMENTO!E622,-1,0))),OFFSET(E622,-1,0))</f>
        <v>1</v>
      </c>
      <c r="F622">
        <f t="shared" ca="1" si="149"/>
        <v>18</v>
      </c>
      <c r="G622">
        <f t="shared" ca="1" si="150"/>
        <v>2</v>
      </c>
      <c r="H622">
        <f t="shared" ca="1" si="151"/>
        <v>0</v>
      </c>
      <c r="I622">
        <f t="shared" ca="1" si="152"/>
        <v>0</v>
      </c>
      <c r="J622">
        <f t="shared" ca="1" si="166"/>
        <v>0</v>
      </c>
      <c r="K622">
        <f ca="1">IF(OR($C622="S",$C622=0),0,MATCH(OFFSET($D622,0,$C622)+IF($C622&lt;&gt;1,1,COUNTIF(QCI!$A$13:$A$24,ORÇAMENTO!E622)),OFFSET($D622,1,$C622,ROW($C$747)-ROW($C622)),0))</f>
        <v>0</v>
      </c>
      <c r="L622" s="116" t="str">
        <f t="shared" ca="1" si="153"/>
        <v/>
      </c>
      <c r="M622" s="117" t="s">
        <v>199</v>
      </c>
      <c r="N622" s="118" t="str">
        <f t="shared" ca="1" si="154"/>
        <v>Serviço</v>
      </c>
      <c r="O622" s="119" t="str">
        <f t="shared" ca="1" si="155"/>
        <v>-</v>
      </c>
      <c r="P622" s="120" t="s">
        <v>712</v>
      </c>
      <c r="Q622" s="121" t="s">
        <v>860</v>
      </c>
      <c r="R622" s="122" t="str">
        <f ca="1">IF($C622="S",REFERENCIA.Descricao,"(digite a descrição aqui)")</f>
        <v>(abra o arquivo 'Referência 02-2025.xlsm)</v>
      </c>
      <c r="S622" s="123" t="str">
        <f ca="1">REFERENCIA.Unidade</f>
        <v>-</v>
      </c>
      <c r="T622" s="124">
        <f ca="1">OFFSET(CÁLCULO!H$15,ROW($T622)-ROW(T$15),0)</f>
        <v>481</v>
      </c>
      <c r="U622" s="125">
        <f t="shared" ca="1" si="167"/>
        <v>0</v>
      </c>
      <c r="V622" s="126" t="s">
        <v>156</v>
      </c>
      <c r="W622" s="124">
        <f ca="1">IF($C622="S",ROUND(IF(TIPOORCAMENTO="Proposto",ORÇAMENTO.CustoUnitario*(1+$AH622),ORÇAMENTO.PrecoUnitarioLicitado),15-13*$AF$10),0)</f>
        <v>0</v>
      </c>
      <c r="X622" s="127">
        <f ca="1">IF($C622="S",IF(Import.TipoArredondamento&lt;&gt;"TransfereGOV",VTOTAL1,SUM(OFFSET(CÁLCULO!$AA$15,ROW($X622)-ROW($X$15),1):OFFSET(CÁLCULO!$AL$15,ROW($X622)-ROW($X$15),-1))),IF($C622=0,0,ROUND(SomaAgrup,15-13*$AF$11)))</f>
        <v>0</v>
      </c>
      <c r="Y622" s="128" t="s">
        <v>245</v>
      </c>
      <c r="Z622" t="str">
        <f t="shared" ca="1" si="156"/>
        <v/>
      </c>
      <c r="AA622" s="129">
        <f ca="1">IF($C622="S",IF($Z622="CP",$X622,IF($Z622="RA",(($X622)*QCI!$AA$3),0)),SomaAgrup)</f>
        <v>0</v>
      </c>
      <c r="AB622" s="130">
        <f t="shared" ca="1" si="163"/>
        <v>0</v>
      </c>
      <c r="AC622" s="131" t="str">
        <f ca="1">IF($N622="","",IF(ORÇAMENTO.Descricao="","DESCRIÇÃO",IF(AND($C622="S",ORÇAMENTO.Unidade=""),"UNIDADE",IF($X622&lt;0,"VALOR NEGATIVO",IF(OR(AND(TIPOORCAMENTO="Proposto",$AG622&lt;&gt;"",$AG622&gt;0,ORÇAMENTO.CustoUnitario&gt;$AG622),AND(TIPOORCAMENTO="LICITADO",ORÇAMENTO.PrecoUnitarioLicitado&gt;$AN622)),"ACIMA REF.","")))))</f>
        <v/>
      </c>
      <c r="AD622" t="str">
        <f ca="1">IF(C622&lt;=CRONO.NivelExibicao,MAX($AD$15:OFFSET(AD622,-1,0))+IF($C622&lt;&gt;1,1,MAX(1,COUNTIF(QCI!$A$13:$A$24,OFFSET($E622,-1,0)))),"")</f>
        <v/>
      </c>
      <c r="AE622" s="7" t="str">
        <f ca="1">IF(AND($C622="S",ORÇAMENTO.CodBarra&lt;&gt;""),IF(ORÇAMENTO.Fonte="",ORÇAMENTO.CodBarra,CONCATENATE(ORÇAMENTO.Fonte," ",ORÇAMENTO.CodBarra)))</f>
        <v>Composição FNDE 389</v>
      </c>
      <c r="AF622" s="13" t="str">
        <f ca="1">IF(ISERROR(INDIRECT(ORÇAMENTO.BancoRef)),"(abra o arquivo 'Referência "&amp;Excel_BuiltIn_Database&amp;".xlsm)",IF(OR($C622&lt;&gt;"S",ORÇAMENTO.CodBarra=""),"(Sem Código)",IF(ISERROR(MATCH($AE622,INDIRECT(ORÇAMENTO.BancoRef),0)),"(Código não identificado nas referências)",MATCH($AE622,INDIRECT(ORÇAMENTO.BancoRef),0))))</f>
        <v>(abra o arquivo 'Referência 02-2025.xlsm)</v>
      </c>
      <c r="AG622" s="498">
        <f ca="1">ROUND(IF(DESONERACAO="sim",REFERENCIA.Desonerado,REFERENCIA.NaoDesonerado),2)</f>
        <v>0</v>
      </c>
      <c r="AH622" s="499">
        <f t="shared" ca="1" si="164"/>
        <v>0.22470000000000001</v>
      </c>
      <c r="AJ622" s="501">
        <v>481</v>
      </c>
      <c r="AL622" s="527"/>
      <c r="AM622" s="381">
        <f t="shared" ca="1" si="159"/>
        <v>0</v>
      </c>
      <c r="AN622" s="566">
        <f t="shared" ca="1" si="165"/>
        <v>0</v>
      </c>
    </row>
    <row r="623" spans="1:40" x14ac:dyDescent="0.2">
      <c r="A623" t="str">
        <f t="shared" si="162"/>
        <v>S</v>
      </c>
      <c r="B623">
        <f t="shared" ca="1" si="146"/>
        <v>3</v>
      </c>
      <c r="C623" t="str">
        <f t="shared" ca="1" si="147"/>
        <v>S</v>
      </c>
      <c r="D623">
        <f t="shared" ca="1" si="148"/>
        <v>0</v>
      </c>
      <c r="E623">
        <f ca="1">IF($C623=1,OFFSET(E623,-1,0)+MAX(1,COUNTIF(QCI!$A$13:$A$24,OFFSET(ORÇAMENTO!E623,-1,0))),OFFSET(E623,-1,0))</f>
        <v>1</v>
      </c>
      <c r="F623">
        <f t="shared" ca="1" si="149"/>
        <v>18</v>
      </c>
      <c r="G623">
        <f t="shared" ca="1" si="150"/>
        <v>2</v>
      </c>
      <c r="H623">
        <f t="shared" ca="1" si="151"/>
        <v>0</v>
      </c>
      <c r="I623">
        <f t="shared" ca="1" si="152"/>
        <v>0</v>
      </c>
      <c r="J623">
        <f t="shared" ca="1" si="166"/>
        <v>0</v>
      </c>
      <c r="K623">
        <f ca="1">IF(OR($C623="S",$C623=0),0,MATCH(OFFSET($D623,0,$C623)+IF($C623&lt;&gt;1,1,COUNTIF(QCI!$A$13:$A$24,ORÇAMENTO!E623)),OFFSET($D623,1,$C623,ROW($C$747)-ROW($C623)),0))</f>
        <v>0</v>
      </c>
      <c r="L623" s="116" t="str">
        <f t="shared" ca="1" si="153"/>
        <v/>
      </c>
      <c r="M623" s="117" t="s">
        <v>199</v>
      </c>
      <c r="N623" s="118" t="str">
        <f t="shared" ca="1" si="154"/>
        <v>Serviço</v>
      </c>
      <c r="O623" s="119" t="str">
        <f t="shared" ca="1" si="155"/>
        <v>-</v>
      </c>
      <c r="P623" s="120" t="s">
        <v>712</v>
      </c>
      <c r="Q623" s="121" t="s">
        <v>838</v>
      </c>
      <c r="R623" s="122" t="str">
        <f ca="1">IF($C623="S",REFERENCIA.Descricao,"(digite a descrição aqui)")</f>
        <v>(abra o arquivo 'Referência 02-2025.xlsm)</v>
      </c>
      <c r="S623" s="123" t="str">
        <f ca="1">REFERENCIA.Unidade</f>
        <v>-</v>
      </c>
      <c r="T623" s="124">
        <f ca="1">OFFSET(CÁLCULO!H$15,ROW($T623)-ROW(T$15),0)</f>
        <v>593</v>
      </c>
      <c r="U623" s="125">
        <f t="shared" ca="1" si="167"/>
        <v>0</v>
      </c>
      <c r="V623" s="126" t="s">
        <v>156</v>
      </c>
      <c r="W623" s="124">
        <f ca="1">IF($C623="S",ROUND(IF(TIPOORCAMENTO="Proposto",ORÇAMENTO.CustoUnitario*(1+$AH623),ORÇAMENTO.PrecoUnitarioLicitado),15-13*$AF$10),0)</f>
        <v>0</v>
      </c>
      <c r="X623" s="127">
        <f ca="1">IF($C623="S",IF(Import.TipoArredondamento&lt;&gt;"TransfereGOV",VTOTAL1,SUM(OFFSET(CÁLCULO!$AA$15,ROW($X623)-ROW($X$15),1):OFFSET(CÁLCULO!$AL$15,ROW($X623)-ROW($X$15),-1))),IF($C623=0,0,ROUND(SomaAgrup,15-13*$AF$11)))</f>
        <v>0</v>
      </c>
      <c r="Y623" s="128" t="s">
        <v>245</v>
      </c>
      <c r="Z623" t="str">
        <f t="shared" ca="1" si="156"/>
        <v/>
      </c>
      <c r="AA623" s="129">
        <f ca="1">IF($C623="S",IF($Z623="CP",$X623,IF($Z623="RA",(($X623)*QCI!$AA$3),0)),SomaAgrup)</f>
        <v>0</v>
      </c>
      <c r="AB623" s="130">
        <f t="shared" ca="1" si="163"/>
        <v>0</v>
      </c>
      <c r="AC623" s="131" t="str">
        <f ca="1">IF($N623="","",IF(ORÇAMENTO.Descricao="","DESCRIÇÃO",IF(AND($C623="S",ORÇAMENTO.Unidade=""),"UNIDADE",IF($X623&lt;0,"VALOR NEGATIVO",IF(OR(AND(TIPOORCAMENTO="Proposto",$AG623&lt;&gt;"",$AG623&gt;0,ORÇAMENTO.CustoUnitario&gt;$AG623),AND(TIPOORCAMENTO="LICITADO",ORÇAMENTO.PrecoUnitarioLicitado&gt;$AN623)),"ACIMA REF.","")))))</f>
        <v/>
      </c>
      <c r="AD623" t="str">
        <f ca="1">IF(C623&lt;=CRONO.NivelExibicao,MAX($AD$15:OFFSET(AD623,-1,0))+IF($C623&lt;&gt;1,1,MAX(1,COUNTIF(QCI!$A$13:$A$24,OFFSET($E623,-1,0)))),"")</f>
        <v/>
      </c>
      <c r="AE623" s="7" t="str">
        <f ca="1">IF(AND($C623="S",ORÇAMENTO.CodBarra&lt;&gt;""),IF(ORÇAMENTO.Fonte="",ORÇAMENTO.CodBarra,CONCATENATE(ORÇAMENTO.Fonte," ",ORÇAMENTO.CodBarra)))</f>
        <v>Composição FNDE 356</v>
      </c>
      <c r="AF623" s="13" t="str">
        <f ca="1">IF(ISERROR(INDIRECT(ORÇAMENTO.BancoRef)),"(abra o arquivo 'Referência "&amp;Excel_BuiltIn_Database&amp;".xlsm)",IF(OR($C623&lt;&gt;"S",ORÇAMENTO.CodBarra=""),"(Sem Código)",IF(ISERROR(MATCH($AE623,INDIRECT(ORÇAMENTO.BancoRef),0)),"(Código não identificado nas referências)",MATCH($AE623,INDIRECT(ORÇAMENTO.BancoRef),0))))</f>
        <v>(abra o arquivo 'Referência 02-2025.xlsm)</v>
      </c>
      <c r="AG623" s="498">
        <f ca="1">ROUND(IF(DESONERACAO="sim",REFERENCIA.Desonerado,REFERENCIA.NaoDesonerado),2)</f>
        <v>0</v>
      </c>
      <c r="AH623" s="499">
        <f t="shared" ca="1" si="164"/>
        <v>0.22470000000000001</v>
      </c>
      <c r="AJ623" s="501">
        <v>593</v>
      </c>
      <c r="AL623" s="527"/>
      <c r="AM623" s="381">
        <f t="shared" ca="1" si="159"/>
        <v>0</v>
      </c>
      <c r="AN623" s="566">
        <f t="shared" ca="1" si="165"/>
        <v>0</v>
      </c>
    </row>
    <row r="624" spans="1:40" ht="25.5" x14ac:dyDescent="0.2">
      <c r="A624" t="str">
        <f t="shared" si="162"/>
        <v>S</v>
      </c>
      <c r="B624">
        <f t="shared" ca="1" si="146"/>
        <v>3</v>
      </c>
      <c r="C624" t="str">
        <f t="shared" ca="1" si="147"/>
        <v>S</v>
      </c>
      <c r="D624">
        <f t="shared" ca="1" si="148"/>
        <v>0</v>
      </c>
      <c r="E624">
        <f ca="1">IF($C624=1,OFFSET(E624,-1,0)+MAX(1,COUNTIF(QCI!$A$13:$A$24,OFFSET(ORÇAMENTO!E624,-1,0))),OFFSET(E624,-1,0))</f>
        <v>1</v>
      </c>
      <c r="F624">
        <f t="shared" ca="1" si="149"/>
        <v>18</v>
      </c>
      <c r="G624">
        <f t="shared" ca="1" si="150"/>
        <v>2</v>
      </c>
      <c r="H624">
        <f t="shared" ca="1" si="151"/>
        <v>0</v>
      </c>
      <c r="I624">
        <f t="shared" ca="1" si="152"/>
        <v>0</v>
      </c>
      <c r="J624">
        <f t="shared" ca="1" si="166"/>
        <v>0</v>
      </c>
      <c r="K624">
        <f ca="1">IF(OR($C624="S",$C624=0),0,MATCH(OFFSET($D624,0,$C624)+IF($C624&lt;&gt;1,1,COUNTIF(QCI!$A$13:$A$24,ORÇAMENTO!E624)),OFFSET($D624,1,$C624,ROW($C$747)-ROW($C624)),0))</f>
        <v>0</v>
      </c>
      <c r="L624" s="116" t="str">
        <f t="shared" ca="1" si="153"/>
        <v/>
      </c>
      <c r="M624" s="117" t="s">
        <v>199</v>
      </c>
      <c r="N624" s="118" t="str">
        <f t="shared" ca="1" si="154"/>
        <v>Serviço</v>
      </c>
      <c r="O624" s="119" t="str">
        <f t="shared" ca="1" si="155"/>
        <v>-</v>
      </c>
      <c r="P624" s="120" t="s">
        <v>247</v>
      </c>
      <c r="Q624" s="121" t="s">
        <v>700</v>
      </c>
      <c r="R624" s="122" t="str">
        <f ca="1">IF($C624="S",REFERENCIA.Descricao,"(digite a descrição aqui)")</f>
        <v>(abra o arquivo 'Referência 02-2025.xlsm)</v>
      </c>
      <c r="S624" s="123" t="str">
        <f ca="1">REFERENCIA.Unidade</f>
        <v>-</v>
      </c>
      <c r="T624" s="124">
        <f ca="1">OFFSET(CÁLCULO!H$15,ROW($T624)-ROW(T$15),0)</f>
        <v>39.24</v>
      </c>
      <c r="U624" s="125">
        <f t="shared" ca="1" si="167"/>
        <v>0</v>
      </c>
      <c r="V624" s="126" t="s">
        <v>156</v>
      </c>
      <c r="W624" s="124">
        <f ca="1">IF($C624="S",ROUND(IF(TIPOORCAMENTO="Proposto",ORÇAMENTO.CustoUnitario*(1+$AH624),ORÇAMENTO.PrecoUnitarioLicitado),15-13*$AF$10),0)</f>
        <v>0</v>
      </c>
      <c r="X624" s="127">
        <f ca="1">IF($C624="S",IF(Import.TipoArredondamento&lt;&gt;"TransfereGOV",VTOTAL1,SUM(OFFSET(CÁLCULO!$AA$15,ROW($X624)-ROW($X$15),1):OFFSET(CÁLCULO!$AL$15,ROW($X624)-ROW($X$15),-1))),IF($C624=0,0,ROUND(SomaAgrup,15-13*$AF$11)))</f>
        <v>0</v>
      </c>
      <c r="Y624" s="128" t="s">
        <v>245</v>
      </c>
      <c r="Z624" t="str">
        <f t="shared" ca="1" si="156"/>
        <v/>
      </c>
      <c r="AA624" s="129">
        <f ca="1">IF($C624="S",IF($Z624="CP",$X624,IF($Z624="RA",(($X624)*QCI!$AA$3),0)),SomaAgrup)</f>
        <v>0</v>
      </c>
      <c r="AB624" s="130">
        <f t="shared" ca="1" si="163"/>
        <v>0</v>
      </c>
      <c r="AC624" s="131" t="str">
        <f ca="1">IF($N624="","",IF(ORÇAMENTO.Descricao="","DESCRIÇÃO",IF(AND($C624="S",ORÇAMENTO.Unidade=""),"UNIDADE",IF($X624&lt;0,"VALOR NEGATIVO",IF(OR(AND(TIPOORCAMENTO="Proposto",$AG624&lt;&gt;"",$AG624&gt;0,ORÇAMENTO.CustoUnitario&gt;$AG624),AND(TIPOORCAMENTO="LICITADO",ORÇAMENTO.PrecoUnitarioLicitado&gt;$AN624)),"ACIMA REF.","")))))</f>
        <v/>
      </c>
      <c r="AD624" t="str">
        <f ca="1">IF(C624&lt;=CRONO.NivelExibicao,MAX($AD$15:OFFSET(AD624,-1,0))+IF($C624&lt;&gt;1,1,MAX(1,COUNTIF(QCI!$A$13:$A$24,OFFSET($E624,-1,0)))),"")</f>
        <v/>
      </c>
      <c r="AE624" s="7" t="str">
        <f ca="1">IF(AND($C624="S",ORÇAMENTO.CodBarra&lt;&gt;""),IF(ORÇAMENTO.Fonte="",ORÇAMENTO.CodBarra,CONCATENATE(ORÇAMENTO.Fonte," ",ORÇAMENTO.CodBarra)))</f>
        <v>SINAPI 92884</v>
      </c>
      <c r="AF624" s="13" t="str">
        <f ca="1">IF(ISERROR(INDIRECT(ORÇAMENTO.BancoRef)),"(abra o arquivo 'Referência "&amp;Excel_BuiltIn_Database&amp;".xlsm)",IF(OR($C624&lt;&gt;"S",ORÇAMENTO.CodBarra=""),"(Sem Código)",IF(ISERROR(MATCH($AE624,INDIRECT(ORÇAMENTO.BancoRef),0)),"(Código não identificado nas referências)",MATCH($AE624,INDIRECT(ORÇAMENTO.BancoRef),0))))</f>
        <v>(abra o arquivo 'Referência 02-2025.xlsm)</v>
      </c>
      <c r="AG624" s="498">
        <f ca="1">ROUND(IF(DESONERACAO="sim",REFERENCIA.Desonerado,REFERENCIA.NaoDesonerado),2)</f>
        <v>0</v>
      </c>
      <c r="AH624" s="499">
        <f t="shared" ca="1" si="164"/>
        <v>0.22470000000000001</v>
      </c>
      <c r="AJ624" s="501">
        <v>39.24</v>
      </c>
      <c r="AL624" s="527"/>
      <c r="AM624" s="381">
        <f t="shared" ca="1" si="159"/>
        <v>0</v>
      </c>
      <c r="AN624" s="566">
        <f t="shared" ca="1" si="165"/>
        <v>0</v>
      </c>
    </row>
    <row r="625" spans="1:40" ht="38.25" x14ac:dyDescent="0.2">
      <c r="A625" t="str">
        <f t="shared" si="162"/>
        <v>S</v>
      </c>
      <c r="B625">
        <f t="shared" ca="1" si="146"/>
        <v>3</v>
      </c>
      <c r="C625" t="str">
        <f t="shared" ca="1" si="147"/>
        <v>S</v>
      </c>
      <c r="D625">
        <f t="shared" ca="1" si="148"/>
        <v>0</v>
      </c>
      <c r="E625">
        <f ca="1">IF($C625=1,OFFSET(E625,-1,0)+MAX(1,COUNTIF(QCI!$A$13:$A$24,OFFSET(ORÇAMENTO!E625,-1,0))),OFFSET(E625,-1,0))</f>
        <v>1</v>
      </c>
      <c r="F625">
        <f t="shared" ca="1" si="149"/>
        <v>18</v>
      </c>
      <c r="G625">
        <f t="shared" ca="1" si="150"/>
        <v>2</v>
      </c>
      <c r="H625">
        <f t="shared" ca="1" si="151"/>
        <v>0</v>
      </c>
      <c r="I625">
        <f t="shared" ca="1" si="152"/>
        <v>0</v>
      </c>
      <c r="J625">
        <f t="shared" ca="1" si="166"/>
        <v>0</v>
      </c>
      <c r="K625">
        <f ca="1">IF(OR($C625="S",$C625=0),0,MATCH(OFFSET($D625,0,$C625)+IF($C625&lt;&gt;1,1,COUNTIF(QCI!$A$13:$A$24,ORÇAMENTO!E625)),OFFSET($D625,1,$C625,ROW($C$747)-ROW($C625)),0))</f>
        <v>0</v>
      </c>
      <c r="L625" s="116" t="str">
        <f t="shared" ca="1" si="153"/>
        <v/>
      </c>
      <c r="M625" s="117" t="s">
        <v>199</v>
      </c>
      <c r="N625" s="118" t="str">
        <f t="shared" ca="1" si="154"/>
        <v>Serviço</v>
      </c>
      <c r="O625" s="119" t="str">
        <f t="shared" ca="1" si="155"/>
        <v>-</v>
      </c>
      <c r="P625" s="120" t="s">
        <v>247</v>
      </c>
      <c r="Q625" s="121" t="s">
        <v>701</v>
      </c>
      <c r="R625" s="122" t="str">
        <f ca="1">IF($C625="S",REFERENCIA.Descricao,"(digite a descrição aqui)")</f>
        <v>(abra o arquivo 'Referência 02-2025.xlsm)</v>
      </c>
      <c r="S625" s="123" t="str">
        <f ca="1">REFERENCIA.Unidade</f>
        <v>-</v>
      </c>
      <c r="T625" s="124">
        <f ca="1">OFFSET(CÁLCULO!H$15,ROW($T625)-ROW(T$15),0)</f>
        <v>65</v>
      </c>
      <c r="U625" s="125">
        <f t="shared" ca="1" si="167"/>
        <v>0</v>
      </c>
      <c r="V625" s="126" t="s">
        <v>156</v>
      </c>
      <c r="W625" s="124">
        <f ca="1">IF($C625="S",ROUND(IF(TIPOORCAMENTO="Proposto",ORÇAMENTO.CustoUnitario*(1+$AH625),ORÇAMENTO.PrecoUnitarioLicitado),15-13*$AF$10),0)</f>
        <v>0</v>
      </c>
      <c r="X625" s="127">
        <f ca="1">IF($C625="S",IF(Import.TipoArredondamento&lt;&gt;"TransfereGOV",VTOTAL1,SUM(OFFSET(CÁLCULO!$AA$15,ROW($X625)-ROW($X$15),1):OFFSET(CÁLCULO!$AL$15,ROW($X625)-ROW($X$15),-1))),IF($C625=0,0,ROUND(SomaAgrup,15-13*$AF$11)))</f>
        <v>0</v>
      </c>
      <c r="Y625" s="128" t="s">
        <v>245</v>
      </c>
      <c r="Z625" t="str">
        <f t="shared" ca="1" si="156"/>
        <v/>
      </c>
      <c r="AA625" s="129">
        <f ca="1">IF($C625="S",IF($Z625="CP",$X625,IF($Z625="RA",(($X625)*QCI!$AA$3),0)),SomaAgrup)</f>
        <v>0</v>
      </c>
      <c r="AB625" s="130">
        <f t="shared" ca="1" si="163"/>
        <v>0</v>
      </c>
      <c r="AC625" s="131" t="str">
        <f ca="1">IF($N625="","",IF(ORÇAMENTO.Descricao="","DESCRIÇÃO",IF(AND($C625="S",ORÇAMENTO.Unidade=""),"UNIDADE",IF($X625&lt;0,"VALOR NEGATIVO",IF(OR(AND(TIPOORCAMENTO="Proposto",$AG625&lt;&gt;"",$AG625&gt;0,ORÇAMENTO.CustoUnitario&gt;$AG625),AND(TIPOORCAMENTO="LICITADO",ORÇAMENTO.PrecoUnitarioLicitado&gt;$AN625)),"ACIMA REF.","")))))</f>
        <v/>
      </c>
      <c r="AD625" t="str">
        <f ca="1">IF(C625&lt;=CRONO.NivelExibicao,MAX($AD$15:OFFSET(AD625,-1,0))+IF($C625&lt;&gt;1,1,MAX(1,COUNTIF(QCI!$A$13:$A$24,OFFSET($E625,-1,0)))),"")</f>
        <v/>
      </c>
      <c r="AE625" s="7" t="str">
        <f ca="1">IF(AND($C625="S",ORÇAMENTO.CodBarra&lt;&gt;""),IF(ORÇAMENTO.Fonte="",ORÇAMENTO.CodBarra,CONCATENATE(ORÇAMENTO.Fonte," ",ORÇAMENTO.CodBarra)))</f>
        <v>SINAPI 98463</v>
      </c>
      <c r="AF625" s="13" t="str">
        <f ca="1">IF(ISERROR(INDIRECT(ORÇAMENTO.BancoRef)),"(abra o arquivo 'Referência "&amp;Excel_BuiltIn_Database&amp;".xlsm)",IF(OR($C625&lt;&gt;"S",ORÇAMENTO.CodBarra=""),"(Sem Código)",IF(ISERROR(MATCH($AE625,INDIRECT(ORÇAMENTO.BancoRef),0)),"(Código não identificado nas referências)",MATCH($AE625,INDIRECT(ORÇAMENTO.BancoRef),0))))</f>
        <v>(abra o arquivo 'Referência 02-2025.xlsm)</v>
      </c>
      <c r="AG625" s="498">
        <f ca="1">ROUND(IF(DESONERACAO="sim",REFERENCIA.Desonerado,REFERENCIA.NaoDesonerado),2)</f>
        <v>0</v>
      </c>
      <c r="AH625" s="499">
        <f t="shared" ca="1" si="164"/>
        <v>0.22470000000000001</v>
      </c>
      <c r="AJ625" s="501">
        <v>65</v>
      </c>
      <c r="AL625" s="527"/>
      <c r="AM625" s="381">
        <f t="shared" ca="1" si="159"/>
        <v>0</v>
      </c>
      <c r="AN625" s="566">
        <f t="shared" ca="1" si="165"/>
        <v>0</v>
      </c>
    </row>
    <row r="626" spans="1:40" x14ac:dyDescent="0.2">
      <c r="A626">
        <f t="shared" si="162"/>
        <v>3</v>
      </c>
      <c r="B626">
        <f t="shared" ca="1" si="146"/>
        <v>3</v>
      </c>
      <c r="C626">
        <f t="shared" ca="1" si="147"/>
        <v>3</v>
      </c>
      <c r="D626">
        <f t="shared" ca="1" si="148"/>
        <v>4</v>
      </c>
      <c r="E626">
        <f ca="1">IF($C626=1,OFFSET(E626,-1,0)+MAX(1,COUNTIF(QCI!$A$13:$A$24,OFFSET(ORÇAMENTO!E626,-1,0))),OFFSET(E626,-1,0))</f>
        <v>1</v>
      </c>
      <c r="F626">
        <f t="shared" ca="1" si="149"/>
        <v>18</v>
      </c>
      <c r="G626">
        <f t="shared" ca="1" si="150"/>
        <v>3</v>
      </c>
      <c r="H626">
        <f t="shared" ca="1" si="151"/>
        <v>0</v>
      </c>
      <c r="I626">
        <f t="shared" ca="1" si="152"/>
        <v>0</v>
      </c>
      <c r="J626">
        <f t="shared" ca="1" si="166"/>
        <v>20</v>
      </c>
      <c r="K626">
        <f ca="1">IF(OR($C626="S",$C626=0),0,MATCH(OFFSET($D626,0,$C626)+IF($C626&lt;&gt;1,1,COUNTIF(QCI!$A$13:$A$24,ORÇAMENTO!E626)),OFFSET($D626,1,$C626,ROW($C$747)-ROW($C626)),0))</f>
        <v>4</v>
      </c>
      <c r="L626" s="116" t="str">
        <f t="shared" ca="1" si="153"/>
        <v>F</v>
      </c>
      <c r="M626" s="117" t="s">
        <v>197</v>
      </c>
      <c r="N626" s="118" t="str">
        <f t="shared" ca="1" si="154"/>
        <v>Nível 3</v>
      </c>
      <c r="O626" s="119" t="str">
        <f t="shared" ca="1" si="155"/>
        <v>1.18.3.</v>
      </c>
      <c r="P626" s="120" t="s">
        <v>247</v>
      </c>
      <c r="Q626" s="121"/>
      <c r="R626" s="122" t="str">
        <f ca="1">IF($C626="S",REFERENCIA.Descricao,"CAIXAS E QUADROS")</f>
        <v>CAIXAS E QUADROS</v>
      </c>
      <c r="S626" s="123" t="str">
        <f ca="1">REFERENCIA.Unidade</f>
        <v>-</v>
      </c>
      <c r="T626" s="124">
        <f ca="1">OFFSET(CÁLCULO!H$15,ROW($T626)-ROW(T$15),0)</f>
        <v>0</v>
      </c>
      <c r="U626" s="125">
        <f t="shared" ca="1" si="167"/>
        <v>0</v>
      </c>
      <c r="V626" s="126" t="s">
        <v>156</v>
      </c>
      <c r="W626" s="124">
        <f ca="1">IF($C626="S",ROUND(IF(TIPOORCAMENTO="Proposto",ORÇAMENTO.CustoUnitario*(1+$AH626),ORÇAMENTO.PrecoUnitarioLicitado),15-13*$AF$10),0)</f>
        <v>0</v>
      </c>
      <c r="X626" s="127">
        <f ca="1">IF($C626="S",IF(Import.TipoArredondamento&lt;&gt;"TransfereGOV",VTOTAL1,SUM(OFFSET(CÁLCULO!$AA$15,ROW($X626)-ROW($X$15),1):OFFSET(CÁLCULO!$AL$15,ROW($X626)-ROW($X$15),-1))),IF($C626=0,0,ROUND(SomaAgrup,15-13*$AF$11)))</f>
        <v>0</v>
      </c>
      <c r="Y626" s="128" t="s">
        <v>245</v>
      </c>
      <c r="Z626" t="str">
        <f t="shared" ca="1" si="156"/>
        <v/>
      </c>
      <c r="AA626" s="129">
        <f ca="1">IF($C626="S",IF($Z626="CP",$X626,IF($Z626="RA",(($X626)*QCI!$AA$3),0)),SomaAgrup)</f>
        <v>0</v>
      </c>
      <c r="AB626" s="130">
        <f t="shared" ca="1" si="163"/>
        <v>0</v>
      </c>
      <c r="AC626" s="131" t="str">
        <f ca="1">IF($N626="","",IF(ORÇAMENTO.Descricao="","DESCRIÇÃO",IF(AND($C626="S",ORÇAMENTO.Unidade=""),"UNIDADE",IF($X626&lt;0,"VALOR NEGATIVO",IF(OR(AND(TIPOORCAMENTO="Proposto",$AG626&lt;&gt;"",$AG626&gt;0,ORÇAMENTO.CustoUnitario&gt;$AG626),AND(TIPOORCAMENTO="LICITADO",ORÇAMENTO.PrecoUnitarioLicitado&gt;$AN626)),"ACIMA REF.","")))))</f>
        <v/>
      </c>
      <c r="AD626" t="str">
        <f ca="1">IF(C626&lt;=CRONO.NivelExibicao,MAX($AD$15:OFFSET(AD626,-1,0))+IF($C626&lt;&gt;1,1,MAX(1,COUNTIF(QCI!$A$13:$A$24,OFFSET($E626,-1,0)))),"")</f>
        <v/>
      </c>
      <c r="AE626" s="7" t="b">
        <f ca="1">IF(AND($C626="S",ORÇAMENTO.CodBarra&lt;&gt;""),IF(ORÇAMENTO.Fonte="",ORÇAMENTO.CodBarra,CONCATENATE(ORÇAMENTO.Fonte," ",ORÇAMENTO.CodBarra)))</f>
        <v>0</v>
      </c>
      <c r="AF626" s="13" t="str">
        <f ca="1">IF(ISERROR(INDIRECT(ORÇAMENTO.BancoRef)),"(abra o arquivo 'Referência "&amp;Excel_BuiltIn_Database&amp;".xlsm)",IF(OR($C626&lt;&gt;"S",ORÇAMENTO.CodBarra=""),"(Sem Código)",IF(ISERROR(MATCH($AE626,INDIRECT(ORÇAMENTO.BancoRef),0)),"(Código não identificado nas referências)",MATCH($AE626,INDIRECT(ORÇAMENTO.BancoRef),0))))</f>
        <v>(abra o arquivo 'Referência 02-2025.xlsm)</v>
      </c>
      <c r="AG626" s="498">
        <f ca="1">ROUND(IF(DESONERACAO="sim",REFERENCIA.Desonerado,REFERENCIA.NaoDesonerado),2)</f>
        <v>0</v>
      </c>
      <c r="AH626" s="499">
        <f t="shared" ca="1" si="164"/>
        <v>0.22470000000000001</v>
      </c>
      <c r="AJ626" s="501"/>
      <c r="AL626" s="527"/>
      <c r="AM626" s="381">
        <f t="shared" ca="1" si="159"/>
        <v>0</v>
      </c>
      <c r="AN626" s="566">
        <f t="shared" ca="1" si="165"/>
        <v>0</v>
      </c>
    </row>
    <row r="627" spans="1:40" ht="25.5" x14ac:dyDescent="0.2">
      <c r="A627" t="str">
        <f t="shared" si="162"/>
        <v>S</v>
      </c>
      <c r="B627">
        <f t="shared" ca="1" si="146"/>
        <v>3</v>
      </c>
      <c r="C627" t="str">
        <f t="shared" ca="1" si="147"/>
        <v>S</v>
      </c>
      <c r="D627">
        <f t="shared" ca="1" si="148"/>
        <v>0</v>
      </c>
      <c r="E627">
        <f ca="1">IF($C627=1,OFFSET(E627,-1,0)+MAX(1,COUNTIF(QCI!$A$13:$A$24,OFFSET(ORÇAMENTO!E627,-1,0))),OFFSET(E627,-1,0))</f>
        <v>1</v>
      </c>
      <c r="F627">
        <f t="shared" ca="1" si="149"/>
        <v>18</v>
      </c>
      <c r="G627">
        <f t="shared" ca="1" si="150"/>
        <v>3</v>
      </c>
      <c r="H627">
        <f t="shared" ca="1" si="151"/>
        <v>0</v>
      </c>
      <c r="I627">
        <f t="shared" ca="1" si="152"/>
        <v>0</v>
      </c>
      <c r="J627">
        <f t="shared" ca="1" si="166"/>
        <v>0</v>
      </c>
      <c r="K627">
        <f ca="1">IF(OR($C627="S",$C627=0),0,MATCH(OFFSET($D627,0,$C627)+IF($C627&lt;&gt;1,1,COUNTIF(QCI!$A$13:$A$24,ORÇAMENTO!E627)),OFFSET($D627,1,$C627,ROW($C$747)-ROW($C627)),0))</f>
        <v>0</v>
      </c>
      <c r="L627" s="116" t="str">
        <f t="shared" ca="1" si="153"/>
        <v/>
      </c>
      <c r="M627" s="117" t="s">
        <v>199</v>
      </c>
      <c r="N627" s="118" t="str">
        <f t="shared" ca="1" si="154"/>
        <v>Serviço</v>
      </c>
      <c r="O627" s="119" t="str">
        <f t="shared" ca="1" si="155"/>
        <v>-</v>
      </c>
      <c r="P627" s="120" t="s">
        <v>712</v>
      </c>
      <c r="Q627" s="121" t="s">
        <v>861</v>
      </c>
      <c r="R627" s="122" t="str">
        <f ca="1">IF($C627="S",REFERENCIA.Descricao,"(digite a descrição aqui)")</f>
        <v>(abra o arquivo 'Referência 02-2025.xlsm)</v>
      </c>
      <c r="S627" s="123" t="str">
        <f ca="1">REFERENCIA.Unidade</f>
        <v>-</v>
      </c>
      <c r="T627" s="124">
        <f ca="1">OFFSET(CÁLCULO!H$15,ROW($T627)-ROW(T$15),0)</f>
        <v>5</v>
      </c>
      <c r="U627" s="125">
        <f t="shared" ca="1" si="167"/>
        <v>0</v>
      </c>
      <c r="V627" s="126" t="s">
        <v>156</v>
      </c>
      <c r="W627" s="124">
        <f ca="1">IF($C627="S",ROUND(IF(TIPOORCAMENTO="Proposto",ORÇAMENTO.CustoUnitario*(1+$AH627),ORÇAMENTO.PrecoUnitarioLicitado),15-13*$AF$10),0)</f>
        <v>0</v>
      </c>
      <c r="X627" s="127">
        <f ca="1">IF($C627="S",IF(Import.TipoArredondamento&lt;&gt;"TransfereGOV",VTOTAL1,SUM(OFFSET(CÁLCULO!$AA$15,ROW($X627)-ROW($X$15),1):OFFSET(CÁLCULO!$AL$15,ROW($X627)-ROW($X$15),-1))),IF($C627=0,0,ROUND(SomaAgrup,15-13*$AF$11)))</f>
        <v>0</v>
      </c>
      <c r="Y627" s="128" t="s">
        <v>245</v>
      </c>
      <c r="Z627" t="str">
        <f t="shared" ca="1" si="156"/>
        <v/>
      </c>
      <c r="AA627" s="129">
        <f ca="1">IF($C627="S",IF($Z627="CP",$X627,IF($Z627="RA",(($X627)*QCI!$AA$3),0)),SomaAgrup)</f>
        <v>0</v>
      </c>
      <c r="AB627" s="130">
        <f t="shared" ca="1" si="163"/>
        <v>0</v>
      </c>
      <c r="AC627" s="131" t="str">
        <f ca="1">IF($N627="","",IF(ORÇAMENTO.Descricao="","DESCRIÇÃO",IF(AND($C627="S",ORÇAMENTO.Unidade=""),"UNIDADE",IF($X627&lt;0,"VALOR NEGATIVO",IF(OR(AND(TIPOORCAMENTO="Proposto",$AG627&lt;&gt;"",$AG627&gt;0,ORÇAMENTO.CustoUnitario&gt;$AG627),AND(TIPOORCAMENTO="LICITADO",ORÇAMENTO.PrecoUnitarioLicitado&gt;$AN627)),"ACIMA REF.","")))))</f>
        <v/>
      </c>
      <c r="AD627" t="str">
        <f ca="1">IF(C627&lt;=CRONO.NivelExibicao,MAX($AD$15:OFFSET(AD627,-1,0))+IF($C627&lt;&gt;1,1,MAX(1,COUNTIF(QCI!$A$13:$A$24,OFFSET($E627,-1,0)))),"")</f>
        <v/>
      </c>
      <c r="AE627" s="7" t="str">
        <f ca="1">IF(AND($C627="S",ORÇAMENTO.CodBarra&lt;&gt;""),IF(ORÇAMENTO.Fonte="",ORÇAMENTO.CodBarra,CONCATENATE(ORÇAMENTO.Fonte," ",ORÇAMENTO.CodBarra)))</f>
        <v>Composição FNDE 31</v>
      </c>
      <c r="AF627" s="13" t="str">
        <f ca="1">IF(ISERROR(INDIRECT(ORÇAMENTO.BancoRef)),"(abra o arquivo 'Referência "&amp;Excel_BuiltIn_Database&amp;".xlsm)",IF(OR($C627&lt;&gt;"S",ORÇAMENTO.CodBarra=""),"(Sem Código)",IF(ISERROR(MATCH($AE627,INDIRECT(ORÇAMENTO.BancoRef),0)),"(Código não identificado nas referências)",MATCH($AE627,INDIRECT(ORÇAMENTO.BancoRef),0))))</f>
        <v>(abra o arquivo 'Referência 02-2025.xlsm)</v>
      </c>
      <c r="AG627" s="498">
        <f ca="1">ROUND(IF(DESONERACAO="sim",REFERENCIA.Desonerado,REFERENCIA.NaoDesonerado),2)</f>
        <v>0</v>
      </c>
      <c r="AH627" s="499">
        <f t="shared" ca="1" si="164"/>
        <v>0.22470000000000001</v>
      </c>
      <c r="AJ627" s="501">
        <v>5</v>
      </c>
      <c r="AL627" s="527"/>
      <c r="AM627" s="381">
        <f t="shared" ca="1" si="159"/>
        <v>0</v>
      </c>
      <c r="AN627" s="566">
        <f t="shared" ca="1" si="165"/>
        <v>0</v>
      </c>
    </row>
    <row r="628" spans="1:40" ht="25.5" x14ac:dyDescent="0.2">
      <c r="A628" t="str">
        <f t="shared" si="162"/>
        <v>S</v>
      </c>
      <c r="B628">
        <f t="shared" ca="1" si="146"/>
        <v>3</v>
      </c>
      <c r="C628" t="str">
        <f t="shared" ca="1" si="147"/>
        <v>S</v>
      </c>
      <c r="D628">
        <f t="shared" ca="1" si="148"/>
        <v>0</v>
      </c>
      <c r="E628">
        <f ca="1">IF($C628=1,OFFSET(E628,-1,0)+MAX(1,COUNTIF(QCI!$A$13:$A$24,OFFSET(ORÇAMENTO!E628,-1,0))),OFFSET(E628,-1,0))</f>
        <v>1</v>
      </c>
      <c r="F628">
        <f t="shared" ca="1" si="149"/>
        <v>18</v>
      </c>
      <c r="G628">
        <f t="shared" ca="1" si="150"/>
        <v>3</v>
      </c>
      <c r="H628">
        <f t="shared" ca="1" si="151"/>
        <v>0</v>
      </c>
      <c r="I628">
        <f t="shared" ca="1" si="152"/>
        <v>0</v>
      </c>
      <c r="J628">
        <f t="shared" ca="1" si="166"/>
        <v>0</v>
      </c>
      <c r="K628">
        <f ca="1">IF(OR($C628="S",$C628=0),0,MATCH(OFFSET($D628,0,$C628)+IF($C628&lt;&gt;1,1,COUNTIF(QCI!$A$13:$A$24,ORÇAMENTO!E628)),OFFSET($D628,1,$C628,ROW($C$747)-ROW($C628)),0))</f>
        <v>0</v>
      </c>
      <c r="L628" s="116" t="str">
        <f t="shared" ca="1" si="153"/>
        <v/>
      </c>
      <c r="M628" s="117" t="s">
        <v>199</v>
      </c>
      <c r="N628" s="118" t="str">
        <f t="shared" ca="1" si="154"/>
        <v>Serviço</v>
      </c>
      <c r="O628" s="119" t="str">
        <f t="shared" ca="1" si="155"/>
        <v>-</v>
      </c>
      <c r="P628" s="120" t="s">
        <v>247</v>
      </c>
      <c r="Q628" s="121" t="s">
        <v>702</v>
      </c>
      <c r="R628" s="122" t="str">
        <f ca="1">IF($C628="S",REFERENCIA.Descricao,"(digite a descrição aqui)")</f>
        <v>(abra o arquivo 'Referência 02-2025.xlsm)</v>
      </c>
      <c r="S628" s="123" t="str">
        <f ca="1">REFERENCIA.Unidade</f>
        <v>-</v>
      </c>
      <c r="T628" s="124">
        <f ca="1">OFFSET(CÁLCULO!H$15,ROW($T628)-ROW(T$15),0)</f>
        <v>4</v>
      </c>
      <c r="U628" s="125">
        <f t="shared" ca="1" si="167"/>
        <v>0</v>
      </c>
      <c r="V628" s="126" t="s">
        <v>156</v>
      </c>
      <c r="W628" s="124">
        <f ca="1">IF($C628="S",ROUND(IF(TIPOORCAMENTO="Proposto",ORÇAMENTO.CustoUnitario*(1+$AH628),ORÇAMENTO.PrecoUnitarioLicitado),15-13*$AF$10),0)</f>
        <v>0</v>
      </c>
      <c r="X628" s="127">
        <f ca="1">IF($C628="S",IF(Import.TipoArredondamento&lt;&gt;"TransfereGOV",VTOTAL1,SUM(OFFSET(CÁLCULO!$AA$15,ROW($X628)-ROW($X$15),1):OFFSET(CÁLCULO!$AL$15,ROW($X628)-ROW($X$15),-1))),IF($C628=0,0,ROUND(SomaAgrup,15-13*$AF$11)))</f>
        <v>0</v>
      </c>
      <c r="Y628" s="128" t="s">
        <v>245</v>
      </c>
      <c r="Z628" t="str">
        <f t="shared" ca="1" si="156"/>
        <v/>
      </c>
      <c r="AA628" s="129">
        <f ca="1">IF($C628="S",IF($Z628="CP",$X628,IF($Z628="RA",(($X628)*QCI!$AA$3),0)),SomaAgrup)</f>
        <v>0</v>
      </c>
      <c r="AB628" s="130">
        <f t="shared" ca="1" si="163"/>
        <v>0</v>
      </c>
      <c r="AC628" s="131" t="str">
        <f ca="1">IF($N628="","",IF(ORÇAMENTO.Descricao="","DESCRIÇÃO",IF(AND($C628="S",ORÇAMENTO.Unidade=""),"UNIDADE",IF($X628&lt;0,"VALOR NEGATIVO",IF(OR(AND(TIPOORCAMENTO="Proposto",$AG628&lt;&gt;"",$AG628&gt;0,ORÇAMENTO.CustoUnitario&gt;$AG628),AND(TIPOORCAMENTO="LICITADO",ORÇAMENTO.PrecoUnitarioLicitado&gt;$AN628)),"ACIMA REF.","")))))</f>
        <v/>
      </c>
      <c r="AD628" t="str">
        <f ca="1">IF(C628&lt;=CRONO.NivelExibicao,MAX($AD$15:OFFSET(AD628,-1,0))+IF($C628&lt;&gt;1,1,MAX(1,COUNTIF(QCI!$A$13:$A$24,OFFSET($E628,-1,0)))),"")</f>
        <v/>
      </c>
      <c r="AE628" s="7" t="str">
        <f ca="1">IF(AND($C628="S",ORÇAMENTO.CodBarra&lt;&gt;""),IF(ORÇAMENTO.Fonte="",ORÇAMENTO.CodBarra,CONCATENATE(ORÇAMENTO.Fonte," ",ORÇAMENTO.CodBarra)))</f>
        <v>SINAPI 100557</v>
      </c>
      <c r="AF628" s="13" t="str">
        <f ca="1">IF(ISERROR(INDIRECT(ORÇAMENTO.BancoRef)),"(abra o arquivo 'Referência "&amp;Excel_BuiltIn_Database&amp;".xlsm)",IF(OR($C628&lt;&gt;"S",ORÇAMENTO.CodBarra=""),"(Sem Código)",IF(ISERROR(MATCH($AE628,INDIRECT(ORÇAMENTO.BancoRef),0)),"(Código não identificado nas referências)",MATCH($AE628,INDIRECT(ORÇAMENTO.BancoRef),0))))</f>
        <v>(abra o arquivo 'Referência 02-2025.xlsm)</v>
      </c>
      <c r="AG628" s="498">
        <f ca="1">ROUND(IF(DESONERACAO="sim",REFERENCIA.Desonerado,REFERENCIA.NaoDesonerado),2)</f>
        <v>0</v>
      </c>
      <c r="AH628" s="499">
        <f t="shared" ca="1" si="164"/>
        <v>0.22470000000000001</v>
      </c>
      <c r="AJ628" s="501">
        <v>4</v>
      </c>
      <c r="AL628" s="527"/>
      <c r="AM628" s="381">
        <f t="shared" ca="1" si="159"/>
        <v>0</v>
      </c>
      <c r="AN628" s="566">
        <f t="shared" ca="1" si="165"/>
        <v>0</v>
      </c>
    </row>
    <row r="629" spans="1:40" ht="38.25" x14ac:dyDescent="0.2">
      <c r="A629" t="str">
        <f t="shared" ref="A629:A714" si="168">CHOOSE(1+LOG(1+2*(ORÇAMENTO.Nivel="Meta")+4*(ORÇAMENTO.Nivel="Nível 2")+8*(ORÇAMENTO.Nivel="Nível 3")+16*(ORÇAMENTO.Nivel="Nível 4")+32*(ORÇAMENTO.Nivel="Serviço"),2),0,1,2,3,4,"S")</f>
        <v>S</v>
      </c>
      <c r="B629">
        <f t="shared" ca="1" si="146"/>
        <v>3</v>
      </c>
      <c r="C629" t="str">
        <f t="shared" ca="1" si="147"/>
        <v>S</v>
      </c>
      <c r="D629">
        <f t="shared" ca="1" si="148"/>
        <v>0</v>
      </c>
      <c r="E629">
        <f ca="1">IF($C629=1,OFFSET(E629,-1,0)+MAX(1,COUNTIF(QCI!$A$13:$A$24,OFFSET(ORÇAMENTO!E629,-1,0))),OFFSET(E629,-1,0))</f>
        <v>1</v>
      </c>
      <c r="F629">
        <f t="shared" ca="1" si="149"/>
        <v>18</v>
      </c>
      <c r="G629">
        <f t="shared" ca="1" si="150"/>
        <v>3</v>
      </c>
      <c r="H629">
        <f t="shared" ca="1" si="151"/>
        <v>0</v>
      </c>
      <c r="I629">
        <f t="shared" ca="1" si="152"/>
        <v>0</v>
      </c>
      <c r="J629">
        <f t="shared" ca="1" si="166"/>
        <v>0</v>
      </c>
      <c r="K629">
        <f ca="1">IF(OR($C629="S",$C629=0),0,MATCH(OFFSET($D629,0,$C629)+IF($C629&lt;&gt;1,1,COUNTIF(QCI!$A$13:$A$24,ORÇAMENTO!E629)),OFFSET($D629,1,$C629,ROW($C$747)-ROW($C629)),0))</f>
        <v>0</v>
      </c>
      <c r="L629" s="116" t="str">
        <f t="shared" ca="1" si="153"/>
        <v/>
      </c>
      <c r="M629" s="117" t="s">
        <v>199</v>
      </c>
      <c r="N629" s="118" t="str">
        <f t="shared" ca="1" si="154"/>
        <v>Serviço</v>
      </c>
      <c r="O629" s="119" t="str">
        <f t="shared" ca="1" si="155"/>
        <v>-</v>
      </c>
      <c r="P629" s="120" t="s">
        <v>712</v>
      </c>
      <c r="Q629" s="121" t="s">
        <v>856</v>
      </c>
      <c r="R629" s="122" t="str">
        <f ca="1">IF($C629="S",REFERENCIA.Descricao,"(digite a descrição aqui)")</f>
        <v>(abra o arquivo 'Referência 02-2025.xlsm)</v>
      </c>
      <c r="S629" s="123" t="str">
        <f ca="1">REFERENCIA.Unidade</f>
        <v>-</v>
      </c>
      <c r="T629" s="124">
        <f ca="1">OFFSET(CÁLCULO!H$15,ROW($T629)-ROW(T$15),0)</f>
        <v>1</v>
      </c>
      <c r="U629" s="125">
        <f t="shared" ca="1" si="167"/>
        <v>0</v>
      </c>
      <c r="V629" s="126" t="s">
        <v>156</v>
      </c>
      <c r="W629" s="124">
        <f ca="1">IF($C629="S",ROUND(IF(TIPOORCAMENTO="Proposto",ORÇAMENTO.CustoUnitario*(1+$AH629),ORÇAMENTO.PrecoUnitarioLicitado),15-13*$AF$10),0)</f>
        <v>0</v>
      </c>
      <c r="X629" s="127">
        <f ca="1">IF($C629="S",IF(Import.TipoArredondamento&lt;&gt;"TransfereGOV",VTOTAL1,SUM(OFFSET(CÁLCULO!$AA$15,ROW($X629)-ROW($X$15),1):OFFSET(CÁLCULO!$AL$15,ROW($X629)-ROW($X$15),-1))),IF($C629=0,0,ROUND(SomaAgrup,15-13*$AF$11)))</f>
        <v>0</v>
      </c>
      <c r="Y629" s="128" t="s">
        <v>245</v>
      </c>
      <c r="Z629" t="str">
        <f t="shared" ca="1" si="156"/>
        <v/>
      </c>
      <c r="AA629" s="129">
        <f ca="1">IF($C629="S",IF($Z629="CP",$X629,IF($Z629="RA",(($X629)*QCI!$AA$3),0)),SomaAgrup)</f>
        <v>0</v>
      </c>
      <c r="AB629" s="130">
        <f t="shared" ref="AB629:AB714" ca="1" si="169">IF($C629="S",IF($Z629="OU",ROUND($X629,2),0),SomaAgrup)</f>
        <v>0</v>
      </c>
      <c r="AC629" s="131" t="str">
        <f ca="1">IF($N629="","",IF(ORÇAMENTO.Descricao="","DESCRIÇÃO",IF(AND($C629="S",ORÇAMENTO.Unidade=""),"UNIDADE",IF($X629&lt;0,"VALOR NEGATIVO",IF(OR(AND(TIPOORCAMENTO="Proposto",$AG629&lt;&gt;"",$AG629&gt;0,ORÇAMENTO.CustoUnitario&gt;$AG629),AND(TIPOORCAMENTO="LICITADO",ORÇAMENTO.PrecoUnitarioLicitado&gt;$AN629)),"ACIMA REF.","")))))</f>
        <v/>
      </c>
      <c r="AD629" t="str">
        <f ca="1">IF(C629&lt;=CRONO.NivelExibicao,MAX($AD$15:OFFSET(AD629,-1,0))+IF($C629&lt;&gt;1,1,MAX(1,COUNTIF(QCI!$A$13:$A$24,OFFSET($E629,-1,0)))),"")</f>
        <v/>
      </c>
      <c r="AE629" s="7" t="str">
        <f ca="1">IF(AND($C629="S",ORÇAMENTO.CodBarra&lt;&gt;""),IF(ORÇAMENTO.Fonte="",ORÇAMENTO.CodBarra,CONCATENATE(ORÇAMENTO.Fonte," ",ORÇAMENTO.CodBarra)))</f>
        <v>Composição FNDE 383</v>
      </c>
      <c r="AF629" s="13" t="str">
        <f ca="1">IF(ISERROR(INDIRECT(ORÇAMENTO.BancoRef)),"(abra o arquivo 'Referência "&amp;Excel_BuiltIn_Database&amp;".xlsm)",IF(OR($C629&lt;&gt;"S",ORÇAMENTO.CodBarra=""),"(Sem Código)",IF(ISERROR(MATCH($AE629,INDIRECT(ORÇAMENTO.BancoRef),0)),"(Código não identificado nas referências)",MATCH($AE629,INDIRECT(ORÇAMENTO.BancoRef),0))))</f>
        <v>(abra o arquivo 'Referência 02-2025.xlsm)</v>
      </c>
      <c r="AG629" s="498">
        <f ca="1">ROUND(IF(DESONERACAO="sim",REFERENCIA.Desonerado,REFERENCIA.NaoDesonerado),2)</f>
        <v>0</v>
      </c>
      <c r="AH629" s="499">
        <f t="shared" ref="AH629:AH714" ca="1" si="170">ROUND(IF(ISNUMBER(ORÇAMENTO.OpcaoBDI),ORÇAMENTO.OpcaoBDI,IF(LEFT(ORÇAMENTO.OpcaoBDI,3)="BDI",HLOOKUP(ORÇAMENTO.OpcaoBDI,$F$4:$H$5,2,FALSE),0)),15-11*$AF$9)</f>
        <v>0.22470000000000001</v>
      </c>
      <c r="AJ629" s="501">
        <v>1</v>
      </c>
      <c r="AL629" s="527"/>
      <c r="AM629" s="381">
        <f t="shared" ca="1" si="159"/>
        <v>0</v>
      </c>
      <c r="AN629" s="566">
        <f t="shared" ref="AN629:AN714" ca="1" si="171">ROUND(ORÇAMENTO.CustoUnitario*(1+$AH629),2)</f>
        <v>0</v>
      </c>
    </row>
    <row r="630" spans="1:40" x14ac:dyDescent="0.2">
      <c r="A630">
        <f t="shared" si="168"/>
        <v>3</v>
      </c>
      <c r="B630">
        <f t="shared" ca="1" si="146"/>
        <v>3</v>
      </c>
      <c r="C630">
        <f t="shared" ca="1" si="147"/>
        <v>3</v>
      </c>
      <c r="D630">
        <f t="shared" ca="1" si="148"/>
        <v>3</v>
      </c>
      <c r="E630">
        <f ca="1">IF($C630=1,OFFSET(E630,-1,0)+MAX(1,COUNTIF(QCI!$A$13:$A$24,OFFSET(ORÇAMENTO!E630,-1,0))),OFFSET(E630,-1,0))</f>
        <v>1</v>
      </c>
      <c r="F630">
        <f t="shared" ca="1" si="149"/>
        <v>18</v>
      </c>
      <c r="G630">
        <f t="shared" ca="1" si="150"/>
        <v>4</v>
      </c>
      <c r="H630">
        <f t="shared" ca="1" si="151"/>
        <v>0</v>
      </c>
      <c r="I630">
        <f t="shared" ca="1" si="152"/>
        <v>0</v>
      </c>
      <c r="J630">
        <f t="shared" ca="1" si="166"/>
        <v>16</v>
      </c>
      <c r="K630">
        <f ca="1">IF(OR($C630="S",$C630=0),0,MATCH(OFFSET($D630,0,$C630)+IF($C630&lt;&gt;1,1,COUNTIF(QCI!$A$13:$A$24,ORÇAMENTO!E630)),OFFSET($D630,1,$C630,ROW($C$747)-ROW($C630)),0))</f>
        <v>3</v>
      </c>
      <c r="L630" s="116" t="str">
        <f t="shared" ca="1" si="153"/>
        <v>F</v>
      </c>
      <c r="M630" s="117" t="s">
        <v>197</v>
      </c>
      <c r="N630" s="118" t="str">
        <f t="shared" ca="1" si="154"/>
        <v>Nível 3</v>
      </c>
      <c r="O630" s="119" t="str">
        <f t="shared" ca="1" si="155"/>
        <v>1.18.4.</v>
      </c>
      <c r="P630" s="120" t="s">
        <v>247</v>
      </c>
      <c r="Q630" s="121"/>
      <c r="R630" s="122" t="str">
        <f ca="1">IF($C630="S",REFERENCIA.Descricao,"DISPOSITIVOS")</f>
        <v>DISPOSITIVOS</v>
      </c>
      <c r="S630" s="123" t="str">
        <f ca="1">REFERENCIA.Unidade</f>
        <v>-</v>
      </c>
      <c r="T630" s="124">
        <f ca="1">OFFSET(CÁLCULO!H$15,ROW($T630)-ROW(T$15),0)</f>
        <v>0</v>
      </c>
      <c r="U630" s="125">
        <f t="shared" ca="1" si="167"/>
        <v>0</v>
      </c>
      <c r="V630" s="126" t="s">
        <v>156</v>
      </c>
      <c r="W630" s="124">
        <f ca="1">IF($C630="S",ROUND(IF(TIPOORCAMENTO="Proposto",ORÇAMENTO.CustoUnitario*(1+$AH630),ORÇAMENTO.PrecoUnitarioLicitado),15-13*$AF$10),0)</f>
        <v>0</v>
      </c>
      <c r="X630" s="127">
        <f ca="1">IF($C630="S",IF(Import.TipoArredondamento&lt;&gt;"TransfereGOV",VTOTAL1,SUM(OFFSET(CÁLCULO!$AA$15,ROW($X630)-ROW($X$15),1):OFFSET(CÁLCULO!$AL$15,ROW($X630)-ROW($X$15),-1))),IF($C630=0,0,ROUND(SomaAgrup,15-13*$AF$11)))</f>
        <v>0</v>
      </c>
      <c r="Y630" s="128" t="s">
        <v>245</v>
      </c>
      <c r="Z630" t="str">
        <f t="shared" ca="1" si="156"/>
        <v/>
      </c>
      <c r="AA630" s="129">
        <f ca="1">IF($C630="S",IF($Z630="CP",$X630,IF($Z630="RA",(($X630)*QCI!$AA$3),0)),SomaAgrup)</f>
        <v>0</v>
      </c>
      <c r="AB630" s="130">
        <f t="shared" ca="1" si="169"/>
        <v>0</v>
      </c>
      <c r="AC630" s="131" t="str">
        <f ca="1">IF($N630="","",IF(ORÇAMENTO.Descricao="","DESCRIÇÃO",IF(AND($C630="S",ORÇAMENTO.Unidade=""),"UNIDADE",IF($X630&lt;0,"VALOR NEGATIVO",IF(OR(AND(TIPOORCAMENTO="Proposto",$AG630&lt;&gt;"",$AG630&gt;0,ORÇAMENTO.CustoUnitario&gt;$AG630),AND(TIPOORCAMENTO="LICITADO",ORÇAMENTO.PrecoUnitarioLicitado&gt;$AN630)),"ACIMA REF.","")))))</f>
        <v/>
      </c>
      <c r="AD630" t="str">
        <f ca="1">IF(C630&lt;=CRONO.NivelExibicao,MAX($AD$15:OFFSET(AD630,-1,0))+IF($C630&lt;&gt;1,1,MAX(1,COUNTIF(QCI!$A$13:$A$24,OFFSET($E630,-1,0)))),"")</f>
        <v/>
      </c>
      <c r="AE630" s="7" t="b">
        <f ca="1">IF(AND($C630="S",ORÇAMENTO.CodBarra&lt;&gt;""),IF(ORÇAMENTO.Fonte="",ORÇAMENTO.CodBarra,CONCATENATE(ORÇAMENTO.Fonte," ",ORÇAMENTO.CodBarra)))</f>
        <v>0</v>
      </c>
      <c r="AF630" s="13" t="str">
        <f ca="1">IF(ISERROR(INDIRECT(ORÇAMENTO.BancoRef)),"(abra o arquivo 'Referência "&amp;Excel_BuiltIn_Database&amp;".xlsm)",IF(OR($C630&lt;&gt;"S",ORÇAMENTO.CodBarra=""),"(Sem Código)",IF(ISERROR(MATCH($AE630,INDIRECT(ORÇAMENTO.BancoRef),0)),"(Código não identificado nas referências)",MATCH($AE630,INDIRECT(ORÇAMENTO.BancoRef),0))))</f>
        <v>(abra o arquivo 'Referência 02-2025.xlsm)</v>
      </c>
      <c r="AG630" s="498">
        <f ca="1">ROUND(IF(DESONERACAO="sim",REFERENCIA.Desonerado,REFERENCIA.NaoDesonerado),2)</f>
        <v>0</v>
      </c>
      <c r="AH630" s="499">
        <f t="shared" ca="1" si="170"/>
        <v>0.22470000000000001</v>
      </c>
      <c r="AJ630" s="501"/>
      <c r="AL630" s="527"/>
      <c r="AM630" s="381">
        <f t="shared" ca="1" si="159"/>
        <v>0</v>
      </c>
      <c r="AN630" s="566">
        <f t="shared" ca="1" si="171"/>
        <v>0</v>
      </c>
    </row>
    <row r="631" spans="1:40" ht="25.5" x14ac:dyDescent="0.2">
      <c r="A631" t="str">
        <f t="shared" si="168"/>
        <v>S</v>
      </c>
      <c r="B631">
        <f t="shared" ca="1" si="146"/>
        <v>3</v>
      </c>
      <c r="C631" t="str">
        <f t="shared" ca="1" si="147"/>
        <v>S</v>
      </c>
      <c r="D631">
        <f t="shared" ca="1" si="148"/>
        <v>0</v>
      </c>
      <c r="E631">
        <f ca="1">IF($C631=1,OFFSET(E631,-1,0)+MAX(1,COUNTIF(QCI!$A$13:$A$24,OFFSET(ORÇAMENTO!E631,-1,0))),OFFSET(E631,-1,0))</f>
        <v>1</v>
      </c>
      <c r="F631">
        <f t="shared" ca="1" si="149"/>
        <v>18</v>
      </c>
      <c r="G631">
        <f t="shared" ca="1" si="150"/>
        <v>4</v>
      </c>
      <c r="H631">
        <f t="shared" ca="1" si="151"/>
        <v>0</v>
      </c>
      <c r="I631">
        <f t="shared" ca="1" si="152"/>
        <v>0</v>
      </c>
      <c r="J631">
        <f t="shared" ca="1" si="166"/>
        <v>0</v>
      </c>
      <c r="K631">
        <f ca="1">IF(OR($C631="S",$C631=0),0,MATCH(OFFSET($D631,0,$C631)+IF($C631&lt;&gt;1,1,COUNTIF(QCI!$A$13:$A$24,ORÇAMENTO!E631)),OFFSET($D631,1,$C631,ROW($C$747)-ROW($C631)),0))</f>
        <v>0</v>
      </c>
      <c r="L631" s="116" t="str">
        <f t="shared" ca="1" si="153"/>
        <v/>
      </c>
      <c r="M631" s="117" t="s">
        <v>199</v>
      </c>
      <c r="N631" s="118" t="str">
        <f t="shared" ca="1" si="154"/>
        <v>Serviço</v>
      </c>
      <c r="O631" s="119" t="str">
        <f t="shared" ca="1" si="155"/>
        <v>-</v>
      </c>
      <c r="P631" s="120" t="s">
        <v>247</v>
      </c>
      <c r="Q631" s="121" t="s">
        <v>697</v>
      </c>
      <c r="R631" s="122" t="str">
        <f ca="1">IF($C631="S",REFERENCIA.Descricao,"(digite a descrição aqui)")</f>
        <v>(abra o arquivo 'Referência 02-2025.xlsm)</v>
      </c>
      <c r="S631" s="123" t="str">
        <f ca="1">REFERENCIA.Unidade</f>
        <v>-</v>
      </c>
      <c r="T631" s="124">
        <f ca="1">OFFSET(CÁLCULO!H$15,ROW($T631)-ROW(T$15),0)</f>
        <v>28</v>
      </c>
      <c r="U631" s="125">
        <f t="shared" ca="1" si="167"/>
        <v>0</v>
      </c>
      <c r="V631" s="126" t="s">
        <v>156</v>
      </c>
      <c r="W631" s="124">
        <f ca="1">IF($C631="S",ROUND(IF(TIPOORCAMENTO="Proposto",ORÇAMENTO.CustoUnitario*(1+$AH631),ORÇAMENTO.PrecoUnitarioLicitado),15-13*$AF$10),0)</f>
        <v>0</v>
      </c>
      <c r="X631" s="127">
        <f ca="1">IF($C631="S",IF(Import.TipoArredondamento&lt;&gt;"TransfereGOV",VTOTAL1,SUM(OFFSET(CÁLCULO!$AA$15,ROW($X631)-ROW($X$15),1):OFFSET(CÁLCULO!$AL$15,ROW($X631)-ROW($X$15),-1))),IF($C631=0,0,ROUND(SomaAgrup,15-13*$AF$11)))</f>
        <v>0</v>
      </c>
      <c r="Y631" s="128" t="s">
        <v>245</v>
      </c>
      <c r="Z631" t="str">
        <f t="shared" ca="1" si="156"/>
        <v/>
      </c>
      <c r="AA631" s="129">
        <f ca="1">IF($C631="S",IF($Z631="CP",$X631,IF($Z631="RA",(($X631)*QCI!$AA$3),0)),SomaAgrup)</f>
        <v>0</v>
      </c>
      <c r="AB631" s="130">
        <f t="shared" ca="1" si="169"/>
        <v>0</v>
      </c>
      <c r="AC631" s="131" t="str">
        <f ca="1">IF($N631="","",IF(ORÇAMENTO.Descricao="","DESCRIÇÃO",IF(AND($C631="S",ORÇAMENTO.Unidade=""),"UNIDADE",IF($X631&lt;0,"VALOR NEGATIVO",IF(OR(AND(TIPOORCAMENTO="Proposto",$AG631&lt;&gt;"",$AG631&gt;0,ORÇAMENTO.CustoUnitario&gt;$AG631),AND(TIPOORCAMENTO="LICITADO",ORÇAMENTO.PrecoUnitarioLicitado&gt;$AN631)),"ACIMA REF.","")))))</f>
        <v/>
      </c>
      <c r="AD631" t="str">
        <f ca="1">IF(C631&lt;=CRONO.NivelExibicao,MAX($AD$15:OFFSET(AD631,-1,0))+IF($C631&lt;&gt;1,1,MAX(1,COUNTIF(QCI!$A$13:$A$24,OFFSET($E631,-1,0)))),"")</f>
        <v/>
      </c>
      <c r="AE631" s="7" t="str">
        <f ca="1">IF(AND($C631="S",ORÇAMENTO.CodBarra&lt;&gt;""),IF(ORÇAMENTO.Fonte="",ORÇAMENTO.CodBarra,CONCATENATE(ORÇAMENTO.Fonte," ",ORÇAMENTO.CodBarra)))</f>
        <v>SINAPI 98307</v>
      </c>
      <c r="AF631" s="13" t="str">
        <f ca="1">IF(ISERROR(INDIRECT(ORÇAMENTO.BancoRef)),"(abra o arquivo 'Referência "&amp;Excel_BuiltIn_Database&amp;".xlsm)",IF(OR($C631&lt;&gt;"S",ORÇAMENTO.CodBarra=""),"(Sem Código)",IF(ISERROR(MATCH($AE631,INDIRECT(ORÇAMENTO.BancoRef),0)),"(Código não identificado nas referências)",MATCH($AE631,INDIRECT(ORÇAMENTO.BancoRef),0))))</f>
        <v>(abra o arquivo 'Referência 02-2025.xlsm)</v>
      </c>
      <c r="AG631" s="498">
        <f ca="1">ROUND(IF(DESONERACAO="sim",REFERENCIA.Desonerado,REFERENCIA.NaoDesonerado),2)</f>
        <v>0</v>
      </c>
      <c r="AH631" s="499">
        <f t="shared" ca="1" si="170"/>
        <v>0.22470000000000001</v>
      </c>
      <c r="AJ631" s="501">
        <v>28</v>
      </c>
      <c r="AL631" s="527"/>
      <c r="AM631" s="381">
        <f t="shared" ca="1" si="159"/>
        <v>0</v>
      </c>
      <c r="AN631" s="566">
        <f t="shared" ca="1" si="171"/>
        <v>0</v>
      </c>
    </row>
    <row r="632" spans="1:40" ht="25.5" x14ac:dyDescent="0.2">
      <c r="A632" t="str">
        <f t="shared" si="168"/>
        <v>S</v>
      </c>
      <c r="B632">
        <f t="shared" ca="1" si="146"/>
        <v>3</v>
      </c>
      <c r="C632" t="str">
        <f t="shared" ca="1" si="147"/>
        <v>S</v>
      </c>
      <c r="D632">
        <f t="shared" ca="1" si="148"/>
        <v>0</v>
      </c>
      <c r="E632">
        <f ca="1">IF($C632=1,OFFSET(E632,-1,0)+MAX(1,COUNTIF(QCI!$A$13:$A$24,OFFSET(ORÇAMENTO!E632,-1,0))),OFFSET(E632,-1,0))</f>
        <v>1</v>
      </c>
      <c r="F632">
        <f t="shared" ca="1" si="149"/>
        <v>18</v>
      </c>
      <c r="G632">
        <f t="shared" ca="1" si="150"/>
        <v>4</v>
      </c>
      <c r="H632">
        <f t="shared" ca="1" si="151"/>
        <v>0</v>
      </c>
      <c r="I632">
        <f t="shared" ca="1" si="152"/>
        <v>0</v>
      </c>
      <c r="J632">
        <f t="shared" ca="1" si="166"/>
        <v>0</v>
      </c>
      <c r="K632">
        <f ca="1">IF(OR($C632="S",$C632=0),0,MATCH(OFFSET($D632,0,$C632)+IF($C632&lt;&gt;1,1,COUNTIF(QCI!$A$13:$A$24,ORÇAMENTO!E632)),OFFSET($D632,1,$C632,ROW($C$747)-ROW($C632)),0))</f>
        <v>0</v>
      </c>
      <c r="L632" s="116" t="str">
        <f t="shared" ca="1" si="153"/>
        <v/>
      </c>
      <c r="M632" s="117" t="s">
        <v>199</v>
      </c>
      <c r="N632" s="118" t="str">
        <f t="shared" ca="1" si="154"/>
        <v>Serviço</v>
      </c>
      <c r="O632" s="119" t="str">
        <f t="shared" ca="1" si="155"/>
        <v>-</v>
      </c>
      <c r="P632" s="120" t="s">
        <v>712</v>
      </c>
      <c r="Q632" s="121" t="s">
        <v>862</v>
      </c>
      <c r="R632" s="122" t="str">
        <f ca="1">IF($C632="S",REFERENCIA.Descricao,"(digite a descrição aqui)")</f>
        <v>(abra o arquivo 'Referência 02-2025.xlsm)</v>
      </c>
      <c r="S632" s="123" t="str">
        <f ca="1">REFERENCIA.Unidade</f>
        <v>-</v>
      </c>
      <c r="T632" s="124">
        <f ca="1">OFFSET(CÁLCULO!H$15,ROW($T632)-ROW(T$15),0)</f>
        <v>14</v>
      </c>
      <c r="U632" s="125">
        <f t="shared" ca="1" si="167"/>
        <v>0</v>
      </c>
      <c r="V632" s="126" t="s">
        <v>156</v>
      </c>
      <c r="W632" s="124">
        <f ca="1">IF($C632="S",ROUND(IF(TIPOORCAMENTO="Proposto",ORÇAMENTO.CustoUnitario*(1+$AH632),ORÇAMENTO.PrecoUnitarioLicitado),15-13*$AF$10),0)</f>
        <v>0</v>
      </c>
      <c r="X632" s="127">
        <f ca="1">IF($C632="S",IF(Import.TipoArredondamento&lt;&gt;"TransfereGOV",VTOTAL1,SUM(OFFSET(CÁLCULO!$AA$15,ROW($X632)-ROW($X$15),1):OFFSET(CÁLCULO!$AL$15,ROW($X632)-ROW($X$15),-1))),IF($C632=0,0,ROUND(SomaAgrup,15-13*$AF$11)))</f>
        <v>0</v>
      </c>
      <c r="Y632" s="128" t="s">
        <v>245</v>
      </c>
      <c r="Z632" t="str">
        <f t="shared" ca="1" si="156"/>
        <v/>
      </c>
      <c r="AA632" s="129">
        <f ca="1">IF($C632="S",IF($Z632="CP",$X632,IF($Z632="RA",(($X632)*QCI!$AA$3),0)),SomaAgrup)</f>
        <v>0</v>
      </c>
      <c r="AB632" s="130">
        <f t="shared" ca="1" si="169"/>
        <v>0</v>
      </c>
      <c r="AC632" s="131" t="str">
        <f ca="1">IF($N632="","",IF(ORÇAMENTO.Descricao="","DESCRIÇÃO",IF(AND($C632="S",ORÇAMENTO.Unidade=""),"UNIDADE",IF($X632&lt;0,"VALOR NEGATIVO",IF(OR(AND(TIPOORCAMENTO="Proposto",$AG632&lt;&gt;"",$AG632&gt;0,ORÇAMENTO.CustoUnitario&gt;$AG632),AND(TIPOORCAMENTO="LICITADO",ORÇAMENTO.PrecoUnitarioLicitado&gt;$AN632)),"ACIMA REF.","")))))</f>
        <v/>
      </c>
      <c r="AD632" t="str">
        <f ca="1">IF(C632&lt;=CRONO.NivelExibicao,MAX($AD$15:OFFSET(AD632,-1,0))+IF($C632&lt;&gt;1,1,MAX(1,COUNTIF(QCI!$A$13:$A$24,OFFSET($E632,-1,0)))),"")</f>
        <v/>
      </c>
      <c r="AE632" s="7" t="str">
        <f ca="1">IF(AND($C632="S",ORÇAMENTO.CodBarra&lt;&gt;""),IF(ORÇAMENTO.Fonte="",ORÇAMENTO.CodBarra,CONCATENATE(ORÇAMENTO.Fonte," ",ORÇAMENTO.CodBarra)))</f>
        <v xml:space="preserve">Composição FNDE 375 </v>
      </c>
      <c r="AF632" s="13" t="str">
        <f ca="1">IF(ISERROR(INDIRECT(ORÇAMENTO.BancoRef)),"(abra o arquivo 'Referência "&amp;Excel_BuiltIn_Database&amp;".xlsm)",IF(OR($C632&lt;&gt;"S",ORÇAMENTO.CodBarra=""),"(Sem Código)",IF(ISERROR(MATCH($AE632,INDIRECT(ORÇAMENTO.BancoRef),0)),"(Código não identificado nas referências)",MATCH($AE632,INDIRECT(ORÇAMENTO.BancoRef),0))))</f>
        <v>(abra o arquivo 'Referência 02-2025.xlsm)</v>
      </c>
      <c r="AG632" s="498">
        <f ca="1">ROUND(IF(DESONERACAO="sim",REFERENCIA.Desonerado,REFERENCIA.NaoDesonerado),2)</f>
        <v>0</v>
      </c>
      <c r="AH632" s="499">
        <f t="shared" ca="1" si="170"/>
        <v>0.22470000000000001</v>
      </c>
      <c r="AJ632" s="501">
        <v>14</v>
      </c>
      <c r="AL632" s="527"/>
      <c r="AM632" s="381">
        <f t="shared" ca="1" si="159"/>
        <v>0</v>
      </c>
      <c r="AN632" s="566">
        <f t="shared" ca="1" si="171"/>
        <v>0</v>
      </c>
    </row>
    <row r="633" spans="1:40" x14ac:dyDescent="0.2">
      <c r="A633">
        <f t="shared" si="168"/>
        <v>3</v>
      </c>
      <c r="B633">
        <f t="shared" ca="1" si="146"/>
        <v>3</v>
      </c>
      <c r="C633">
        <f t="shared" ca="1" si="147"/>
        <v>3</v>
      </c>
      <c r="D633">
        <f t="shared" ca="1" si="148"/>
        <v>11</v>
      </c>
      <c r="E633">
        <f ca="1">IF($C633=1,OFFSET(E633,-1,0)+MAX(1,COUNTIF(QCI!$A$13:$A$24,OFFSET(ORÇAMENTO!E633,-1,0))),OFFSET(E633,-1,0))</f>
        <v>1</v>
      </c>
      <c r="F633">
        <f t="shared" ca="1" si="149"/>
        <v>18</v>
      </c>
      <c r="G633">
        <f t="shared" ca="1" si="150"/>
        <v>5</v>
      </c>
      <c r="H633">
        <f t="shared" ca="1" si="151"/>
        <v>0</v>
      </c>
      <c r="I633">
        <f t="shared" ca="1" si="152"/>
        <v>0</v>
      </c>
      <c r="J633">
        <f t="shared" ca="1" si="166"/>
        <v>13</v>
      </c>
      <c r="K633">
        <f ca="1">IF(OR($C633="S",$C633=0),0,MATCH(OFFSET($D633,0,$C633)+IF($C633&lt;&gt;1,1,COUNTIF(QCI!$A$13:$A$24,ORÇAMENTO!E633)),OFFSET($D633,1,$C633,ROW($C$747)-ROW($C633)),0))</f>
        <v>11</v>
      </c>
      <c r="L633" s="116" t="str">
        <f t="shared" ca="1" si="153"/>
        <v>F</v>
      </c>
      <c r="M633" s="117" t="s">
        <v>197</v>
      </c>
      <c r="N633" s="118" t="str">
        <f t="shared" ca="1" si="154"/>
        <v>Nível 3</v>
      </c>
      <c r="O633" s="119" t="str">
        <f t="shared" ca="1" si="155"/>
        <v>1.18.5.</v>
      </c>
      <c r="P633" s="120" t="s">
        <v>247</v>
      </c>
      <c r="Q633" s="121"/>
      <c r="R633" s="122" t="str">
        <f ca="1">IF($C633="S",REFERENCIA.Descricao,"ELETROCALHA E ELETRODUTOS")</f>
        <v>ELETROCALHA E ELETRODUTOS</v>
      </c>
      <c r="S633" s="123" t="str">
        <f ca="1">REFERENCIA.Unidade</f>
        <v>-</v>
      </c>
      <c r="T633" s="124">
        <f ca="1">OFFSET(CÁLCULO!H$15,ROW($T633)-ROW(T$15),0)</f>
        <v>0</v>
      </c>
      <c r="U633" s="125">
        <f t="shared" ca="1" si="167"/>
        <v>0</v>
      </c>
      <c r="V633" s="126" t="s">
        <v>156</v>
      </c>
      <c r="W633" s="124">
        <f ca="1">IF($C633="S",ROUND(IF(TIPOORCAMENTO="Proposto",ORÇAMENTO.CustoUnitario*(1+$AH633),ORÇAMENTO.PrecoUnitarioLicitado),15-13*$AF$10),0)</f>
        <v>0</v>
      </c>
      <c r="X633" s="127">
        <f ca="1">IF($C633="S",IF(Import.TipoArredondamento&lt;&gt;"TransfereGOV",VTOTAL1,SUM(OFFSET(CÁLCULO!$AA$15,ROW($X633)-ROW($X$15),1):OFFSET(CÁLCULO!$AL$15,ROW($X633)-ROW($X$15),-1))),IF($C633=0,0,ROUND(SomaAgrup,15-13*$AF$11)))</f>
        <v>0</v>
      </c>
      <c r="Y633" s="128" t="s">
        <v>245</v>
      </c>
      <c r="Z633" t="str">
        <f t="shared" ca="1" si="156"/>
        <v/>
      </c>
      <c r="AA633" s="129">
        <f ca="1">IF($C633="S",IF($Z633="CP",$X633,IF($Z633="RA",(($X633)*QCI!$AA$3),0)),SomaAgrup)</f>
        <v>0</v>
      </c>
      <c r="AB633" s="130">
        <f t="shared" ca="1" si="169"/>
        <v>0</v>
      </c>
      <c r="AC633" s="131" t="str">
        <f ca="1">IF($N633="","",IF(ORÇAMENTO.Descricao="","DESCRIÇÃO",IF(AND($C633="S",ORÇAMENTO.Unidade=""),"UNIDADE",IF($X633&lt;0,"VALOR NEGATIVO",IF(OR(AND(TIPOORCAMENTO="Proposto",$AG633&lt;&gt;"",$AG633&gt;0,ORÇAMENTO.CustoUnitario&gt;$AG633),AND(TIPOORCAMENTO="LICITADO",ORÇAMENTO.PrecoUnitarioLicitado&gt;$AN633)),"ACIMA REF.","")))))</f>
        <v/>
      </c>
      <c r="AD633" t="str">
        <f ca="1">IF(C633&lt;=CRONO.NivelExibicao,MAX($AD$15:OFFSET(AD633,-1,0))+IF($C633&lt;&gt;1,1,MAX(1,COUNTIF(QCI!$A$13:$A$24,OFFSET($E633,-1,0)))),"")</f>
        <v/>
      </c>
      <c r="AE633" s="7" t="b">
        <f ca="1">IF(AND($C633="S",ORÇAMENTO.CodBarra&lt;&gt;""),IF(ORÇAMENTO.Fonte="",ORÇAMENTO.CodBarra,CONCATENATE(ORÇAMENTO.Fonte," ",ORÇAMENTO.CodBarra)))</f>
        <v>0</v>
      </c>
      <c r="AF633" s="13" t="str">
        <f ca="1">IF(ISERROR(INDIRECT(ORÇAMENTO.BancoRef)),"(abra o arquivo 'Referência "&amp;Excel_BuiltIn_Database&amp;".xlsm)",IF(OR($C633&lt;&gt;"S",ORÇAMENTO.CodBarra=""),"(Sem Código)",IF(ISERROR(MATCH($AE633,INDIRECT(ORÇAMENTO.BancoRef),0)),"(Código não identificado nas referências)",MATCH($AE633,INDIRECT(ORÇAMENTO.BancoRef),0))))</f>
        <v>(abra o arquivo 'Referência 02-2025.xlsm)</v>
      </c>
      <c r="AG633" s="498">
        <f ca="1">ROUND(IF(DESONERACAO="sim",REFERENCIA.Desonerado,REFERENCIA.NaoDesonerado),2)</f>
        <v>0</v>
      </c>
      <c r="AH633" s="499">
        <f t="shared" ca="1" si="170"/>
        <v>0.22470000000000001</v>
      </c>
      <c r="AJ633" s="501"/>
      <c r="AL633" s="527"/>
      <c r="AM633" s="381">
        <f t="shared" ca="1" si="159"/>
        <v>0</v>
      </c>
      <c r="AN633" s="566">
        <f t="shared" ca="1" si="171"/>
        <v>0</v>
      </c>
    </row>
    <row r="634" spans="1:40" ht="38.25" x14ac:dyDescent="0.2">
      <c r="A634" t="str">
        <f t="shared" si="168"/>
        <v>S</v>
      </c>
      <c r="B634">
        <f t="shared" ca="1" si="146"/>
        <v>3</v>
      </c>
      <c r="C634" t="str">
        <f t="shared" ca="1" si="147"/>
        <v>S</v>
      </c>
      <c r="D634">
        <f t="shared" ca="1" si="148"/>
        <v>0</v>
      </c>
      <c r="E634">
        <f ca="1">IF($C634=1,OFFSET(E634,-1,0)+MAX(1,COUNTIF(QCI!$A$13:$A$24,OFFSET(ORÇAMENTO!E634,-1,0))),OFFSET(E634,-1,0))</f>
        <v>1</v>
      </c>
      <c r="F634">
        <f t="shared" ca="1" si="149"/>
        <v>18</v>
      </c>
      <c r="G634">
        <f t="shared" ca="1" si="150"/>
        <v>5</v>
      </c>
      <c r="H634">
        <f t="shared" ca="1" si="151"/>
        <v>0</v>
      </c>
      <c r="I634">
        <f t="shared" ca="1" si="152"/>
        <v>0</v>
      </c>
      <c r="J634">
        <f t="shared" ca="1" si="166"/>
        <v>0</v>
      </c>
      <c r="K634">
        <f ca="1">IF(OR($C634="S",$C634=0),0,MATCH(OFFSET($D634,0,$C634)+IF($C634&lt;&gt;1,1,COUNTIF(QCI!$A$13:$A$24,ORÇAMENTO!E634)),OFFSET($D634,1,$C634,ROW($C$747)-ROW($C634)),0))</f>
        <v>0</v>
      </c>
      <c r="L634" s="116" t="str">
        <f t="shared" ca="1" si="153"/>
        <v/>
      </c>
      <c r="M634" s="117" t="s">
        <v>199</v>
      </c>
      <c r="N634" s="118" t="str">
        <f t="shared" ca="1" si="154"/>
        <v>Serviço</v>
      </c>
      <c r="O634" s="119" t="str">
        <f t="shared" ca="1" si="155"/>
        <v>-</v>
      </c>
      <c r="P634" s="120" t="s">
        <v>712</v>
      </c>
      <c r="Q634" s="121" t="s">
        <v>865</v>
      </c>
      <c r="R634" s="122" t="str">
        <f ca="1">IF($C634="S",REFERENCIA.Descricao,"(digite a descrição aqui)")</f>
        <v>(abra o arquivo 'Referência 02-2025.xlsm)</v>
      </c>
      <c r="S634" s="123" t="str">
        <f ca="1">REFERENCIA.Unidade</f>
        <v>-</v>
      </c>
      <c r="T634" s="124">
        <f ca="1">OFFSET(CÁLCULO!H$15,ROW($T634)-ROW(T$15),0)</f>
        <v>77.599999999999994</v>
      </c>
      <c r="U634" s="125">
        <f t="shared" ca="1" si="167"/>
        <v>0</v>
      </c>
      <c r="V634" s="126" t="s">
        <v>156</v>
      </c>
      <c r="W634" s="124">
        <f ca="1">IF($C634="S",ROUND(IF(TIPOORCAMENTO="Proposto",ORÇAMENTO.CustoUnitario*(1+$AH634),ORÇAMENTO.PrecoUnitarioLicitado),15-13*$AF$10),0)</f>
        <v>0</v>
      </c>
      <c r="X634" s="127">
        <f ca="1">IF($C634="S",IF(Import.TipoArredondamento&lt;&gt;"TransfereGOV",VTOTAL1,SUM(OFFSET(CÁLCULO!$AA$15,ROW($X634)-ROW($X$15),1):OFFSET(CÁLCULO!$AL$15,ROW($X634)-ROW($X$15),-1))),IF($C634=0,0,ROUND(SomaAgrup,15-13*$AF$11)))</f>
        <v>0</v>
      </c>
      <c r="Y634" s="128" t="s">
        <v>245</v>
      </c>
      <c r="Z634" t="str">
        <f t="shared" ca="1" si="156"/>
        <v/>
      </c>
      <c r="AA634" s="129">
        <f ca="1">IF($C634="S",IF($Z634="CP",$X634,IF($Z634="RA",(($X634)*QCI!$AA$3),0)),SomaAgrup)</f>
        <v>0</v>
      </c>
      <c r="AB634" s="130">
        <f t="shared" ca="1" si="169"/>
        <v>0</v>
      </c>
      <c r="AC634" s="131" t="str">
        <f ca="1">IF($N634="","",IF(ORÇAMENTO.Descricao="","DESCRIÇÃO",IF(AND($C634="S",ORÇAMENTO.Unidade=""),"UNIDADE",IF($X634&lt;0,"VALOR NEGATIVO",IF(OR(AND(TIPOORCAMENTO="Proposto",$AG634&lt;&gt;"",$AG634&gt;0,ORÇAMENTO.CustoUnitario&gt;$AG634),AND(TIPOORCAMENTO="LICITADO",ORÇAMENTO.PrecoUnitarioLicitado&gt;$AN634)),"ACIMA REF.","")))))</f>
        <v/>
      </c>
      <c r="AD634" t="str">
        <f ca="1">IF(C634&lt;=CRONO.NivelExibicao,MAX($AD$15:OFFSET(AD634,-1,0))+IF($C634&lt;&gt;1,1,MAX(1,COUNTIF(QCI!$A$13:$A$24,OFFSET($E634,-1,0)))),"")</f>
        <v/>
      </c>
      <c r="AE634" s="7" t="str">
        <f ca="1">IF(AND($C634="S",ORÇAMENTO.CodBarra&lt;&gt;""),IF(ORÇAMENTO.Fonte="",ORÇAMENTO.CodBarra,CONCATENATE(ORÇAMENTO.Fonte," ",ORÇAMENTO.CodBarra)))</f>
        <v xml:space="preserve">Composição FNDE 312 </v>
      </c>
      <c r="AF634" s="13" t="str">
        <f ca="1">IF(ISERROR(INDIRECT(ORÇAMENTO.BancoRef)),"(abra o arquivo 'Referência "&amp;Excel_BuiltIn_Database&amp;".xlsm)",IF(OR($C634&lt;&gt;"S",ORÇAMENTO.CodBarra=""),"(Sem Código)",IF(ISERROR(MATCH($AE634,INDIRECT(ORÇAMENTO.BancoRef),0)),"(Código não identificado nas referências)",MATCH($AE634,INDIRECT(ORÇAMENTO.BancoRef),0))))</f>
        <v>(abra o arquivo 'Referência 02-2025.xlsm)</v>
      </c>
      <c r="AG634" s="498">
        <f ca="1">ROUND(IF(DESONERACAO="sim",REFERENCIA.Desonerado,REFERENCIA.NaoDesonerado),2)</f>
        <v>0</v>
      </c>
      <c r="AH634" s="499">
        <f t="shared" ca="1" si="170"/>
        <v>0.22470000000000001</v>
      </c>
      <c r="AJ634" s="501">
        <v>77.599999999999994</v>
      </c>
      <c r="AL634" s="527"/>
      <c r="AM634" s="381">
        <f t="shared" ca="1" si="159"/>
        <v>0</v>
      </c>
      <c r="AN634" s="566">
        <f t="shared" ca="1" si="171"/>
        <v>0</v>
      </c>
    </row>
    <row r="635" spans="1:40" ht="38.25" x14ac:dyDescent="0.2">
      <c r="A635" t="str">
        <f t="shared" si="168"/>
        <v>S</v>
      </c>
      <c r="B635">
        <f t="shared" ca="1" si="146"/>
        <v>3</v>
      </c>
      <c r="C635" t="str">
        <f t="shared" ca="1" si="147"/>
        <v>S</v>
      </c>
      <c r="D635">
        <f t="shared" ca="1" si="148"/>
        <v>0</v>
      </c>
      <c r="E635">
        <f ca="1">IF($C635=1,OFFSET(E635,-1,0)+MAX(1,COUNTIF(QCI!$A$13:$A$24,OFFSET(ORÇAMENTO!E635,-1,0))),OFFSET(E635,-1,0))</f>
        <v>1</v>
      </c>
      <c r="F635">
        <f t="shared" ca="1" si="149"/>
        <v>18</v>
      </c>
      <c r="G635">
        <f t="shared" ca="1" si="150"/>
        <v>5</v>
      </c>
      <c r="H635">
        <f t="shared" ca="1" si="151"/>
        <v>0</v>
      </c>
      <c r="I635">
        <f t="shared" ca="1" si="152"/>
        <v>0</v>
      </c>
      <c r="J635">
        <f t="shared" ca="1" si="166"/>
        <v>0</v>
      </c>
      <c r="K635">
        <f ca="1">IF(OR($C635="S",$C635=0),0,MATCH(OFFSET($D635,0,$C635)+IF($C635&lt;&gt;1,1,COUNTIF(QCI!$A$13:$A$24,ORÇAMENTO!E635)),OFFSET($D635,1,$C635,ROW($C$747)-ROW($C635)),0))</f>
        <v>0</v>
      </c>
      <c r="L635" s="116" t="str">
        <f t="shared" ca="1" si="153"/>
        <v/>
      </c>
      <c r="M635" s="117" t="s">
        <v>199</v>
      </c>
      <c r="N635" s="118" t="str">
        <f t="shared" ca="1" si="154"/>
        <v>Serviço</v>
      </c>
      <c r="O635" s="119" t="str">
        <f t="shared" ca="1" si="155"/>
        <v>-</v>
      </c>
      <c r="P635" s="120" t="s">
        <v>247</v>
      </c>
      <c r="Q635" s="121" t="s">
        <v>686</v>
      </c>
      <c r="R635" s="122" t="str">
        <f ca="1">IF($C635="S",REFERENCIA.Descricao,"(digite a descrição aqui)")</f>
        <v>(abra o arquivo 'Referência 02-2025.xlsm)</v>
      </c>
      <c r="S635" s="123" t="str">
        <f ca="1">REFERENCIA.Unidade</f>
        <v>-</v>
      </c>
      <c r="T635" s="124">
        <f ca="1">OFFSET(CÁLCULO!H$15,ROW($T635)-ROW(T$15),0)</f>
        <v>4.2</v>
      </c>
      <c r="U635" s="125">
        <f t="shared" ca="1" si="167"/>
        <v>0</v>
      </c>
      <c r="V635" s="126" t="s">
        <v>156</v>
      </c>
      <c r="W635" s="124">
        <f ca="1">IF($C635="S",ROUND(IF(TIPOORCAMENTO="Proposto",ORÇAMENTO.CustoUnitario*(1+$AH635),ORÇAMENTO.PrecoUnitarioLicitado),15-13*$AF$10),0)</f>
        <v>0</v>
      </c>
      <c r="X635" s="127">
        <f ca="1">IF($C635="S",IF(Import.TipoArredondamento&lt;&gt;"TransfereGOV",VTOTAL1,SUM(OFFSET(CÁLCULO!$AA$15,ROW($X635)-ROW($X$15),1):OFFSET(CÁLCULO!$AL$15,ROW($X635)-ROW($X$15),-1))),IF($C635=0,0,ROUND(SomaAgrup,15-13*$AF$11)))</f>
        <v>0</v>
      </c>
      <c r="Y635" s="128" t="s">
        <v>245</v>
      </c>
      <c r="Z635" t="str">
        <f t="shared" ca="1" si="156"/>
        <v/>
      </c>
      <c r="AA635" s="129">
        <f ca="1">IF($C635="S",IF($Z635="CP",$X635,IF($Z635="RA",(($X635)*QCI!$AA$3),0)),SomaAgrup)</f>
        <v>0</v>
      </c>
      <c r="AB635" s="130">
        <f t="shared" ca="1" si="169"/>
        <v>0</v>
      </c>
      <c r="AC635" s="131" t="str">
        <f ca="1">IF($N635="","",IF(ORÇAMENTO.Descricao="","DESCRIÇÃO",IF(AND($C635="S",ORÇAMENTO.Unidade=""),"UNIDADE",IF($X635&lt;0,"VALOR NEGATIVO",IF(OR(AND(TIPOORCAMENTO="Proposto",$AG635&lt;&gt;"",$AG635&gt;0,ORÇAMENTO.CustoUnitario&gt;$AG635),AND(TIPOORCAMENTO="LICITADO",ORÇAMENTO.PrecoUnitarioLicitado&gt;$AN635)),"ACIMA REF.","")))))</f>
        <v/>
      </c>
      <c r="AD635" t="str">
        <f ca="1">IF(C635&lt;=CRONO.NivelExibicao,MAX($AD$15:OFFSET(AD635,-1,0))+IF($C635&lt;&gt;1,1,MAX(1,COUNTIF(QCI!$A$13:$A$24,OFFSET($E635,-1,0)))),"")</f>
        <v/>
      </c>
      <c r="AE635" s="7" t="str">
        <f ca="1">IF(AND($C635="S",ORÇAMENTO.CodBarra&lt;&gt;""),IF(ORÇAMENTO.Fonte="",ORÇAMENTO.CodBarra,CONCATENATE(ORÇAMENTO.Fonte," ",ORÇAMENTO.CodBarra)))</f>
        <v>SINAPI 91837</v>
      </c>
      <c r="AF635" s="13" t="str">
        <f ca="1">IF(ISERROR(INDIRECT(ORÇAMENTO.BancoRef)),"(abra o arquivo 'Referência "&amp;Excel_BuiltIn_Database&amp;".xlsm)",IF(OR($C635&lt;&gt;"S",ORÇAMENTO.CodBarra=""),"(Sem Código)",IF(ISERROR(MATCH($AE635,INDIRECT(ORÇAMENTO.BancoRef),0)),"(Código não identificado nas referências)",MATCH($AE635,INDIRECT(ORÇAMENTO.BancoRef),0))))</f>
        <v>(abra o arquivo 'Referência 02-2025.xlsm)</v>
      </c>
      <c r="AG635" s="498">
        <f ca="1">ROUND(IF(DESONERACAO="sim",REFERENCIA.Desonerado,REFERENCIA.NaoDesonerado),2)</f>
        <v>0</v>
      </c>
      <c r="AH635" s="499">
        <f t="shared" ca="1" si="170"/>
        <v>0.22470000000000001</v>
      </c>
      <c r="AJ635" s="501">
        <v>4.2</v>
      </c>
      <c r="AL635" s="527"/>
      <c r="AM635" s="381">
        <f t="shared" ca="1" si="159"/>
        <v>0</v>
      </c>
      <c r="AN635" s="566">
        <f t="shared" ca="1" si="171"/>
        <v>0</v>
      </c>
    </row>
    <row r="636" spans="1:40" ht="38.25" x14ac:dyDescent="0.2">
      <c r="A636" t="str">
        <f t="shared" si="168"/>
        <v>S</v>
      </c>
      <c r="B636">
        <f t="shared" ca="1" si="146"/>
        <v>3</v>
      </c>
      <c r="C636" t="str">
        <f t="shared" ca="1" si="147"/>
        <v>S</v>
      </c>
      <c r="D636">
        <f t="shared" ca="1" si="148"/>
        <v>0</v>
      </c>
      <c r="E636">
        <f ca="1">IF($C636=1,OFFSET(E636,-1,0)+MAX(1,COUNTIF(QCI!$A$13:$A$24,OFFSET(ORÇAMENTO!E636,-1,0))),OFFSET(E636,-1,0))</f>
        <v>1</v>
      </c>
      <c r="F636">
        <f t="shared" ca="1" si="149"/>
        <v>18</v>
      </c>
      <c r="G636">
        <f t="shared" ca="1" si="150"/>
        <v>5</v>
      </c>
      <c r="H636">
        <f t="shared" ca="1" si="151"/>
        <v>0</v>
      </c>
      <c r="I636">
        <f t="shared" ca="1" si="152"/>
        <v>0</v>
      </c>
      <c r="J636">
        <f t="shared" ca="1" si="166"/>
        <v>0</v>
      </c>
      <c r="K636">
        <f ca="1">IF(OR($C636="S",$C636=0),0,MATCH(OFFSET($D636,0,$C636)+IF($C636&lt;&gt;1,1,COUNTIF(QCI!$A$13:$A$24,ORÇAMENTO!E636)),OFFSET($D636,1,$C636,ROW($C$747)-ROW($C636)),0))</f>
        <v>0</v>
      </c>
      <c r="L636" s="116" t="str">
        <f t="shared" ca="1" si="153"/>
        <v/>
      </c>
      <c r="M636" s="117" t="s">
        <v>199</v>
      </c>
      <c r="N636" s="118" t="str">
        <f t="shared" ca="1" si="154"/>
        <v>Serviço</v>
      </c>
      <c r="O636" s="119" t="str">
        <f t="shared" ca="1" si="155"/>
        <v>-</v>
      </c>
      <c r="P636" s="120" t="s">
        <v>247</v>
      </c>
      <c r="Q636" s="121" t="s">
        <v>703</v>
      </c>
      <c r="R636" s="122" t="str">
        <f ca="1">IF($C636="S",REFERENCIA.Descricao,"(digite a descrição aqui)")</f>
        <v>(abra o arquivo 'Referência 02-2025.xlsm)</v>
      </c>
      <c r="S636" s="123" t="str">
        <f ca="1">REFERENCIA.Unidade</f>
        <v>-</v>
      </c>
      <c r="T636" s="124">
        <f ca="1">OFFSET(CÁLCULO!H$15,ROW($T636)-ROW(T$15),0)</f>
        <v>258.39999999999998</v>
      </c>
      <c r="U636" s="125">
        <f t="shared" ref="U636:U723" ca="1" si="172">AG636</f>
        <v>0</v>
      </c>
      <c r="V636" s="126" t="s">
        <v>156</v>
      </c>
      <c r="W636" s="124">
        <f ca="1">IF($C636="S",ROUND(IF(TIPOORCAMENTO="Proposto",ORÇAMENTO.CustoUnitario*(1+$AH636),ORÇAMENTO.PrecoUnitarioLicitado),15-13*$AF$10),0)</f>
        <v>0</v>
      </c>
      <c r="X636" s="127">
        <f ca="1">IF($C636="S",IF(Import.TipoArredondamento&lt;&gt;"TransfereGOV",VTOTAL1,SUM(OFFSET(CÁLCULO!$AA$15,ROW($X636)-ROW($X$15),1):OFFSET(CÁLCULO!$AL$15,ROW($X636)-ROW($X$15),-1))),IF($C636=0,0,ROUND(SomaAgrup,15-13*$AF$11)))</f>
        <v>0</v>
      </c>
      <c r="Y636" s="128" t="s">
        <v>245</v>
      </c>
      <c r="Z636" t="str">
        <f t="shared" ca="1" si="156"/>
        <v/>
      </c>
      <c r="AA636" s="129">
        <f ca="1">IF($C636="S",IF($Z636="CP",$X636,IF($Z636="RA",(($X636)*QCI!$AA$3),0)),SomaAgrup)</f>
        <v>0</v>
      </c>
      <c r="AB636" s="130">
        <f t="shared" ca="1" si="169"/>
        <v>0</v>
      </c>
      <c r="AC636" s="131" t="str">
        <f ca="1">IF($N636="","",IF(ORÇAMENTO.Descricao="","DESCRIÇÃO",IF(AND($C636="S",ORÇAMENTO.Unidade=""),"UNIDADE",IF($X636&lt;0,"VALOR NEGATIVO",IF(OR(AND(TIPOORCAMENTO="Proposto",$AG636&lt;&gt;"",$AG636&gt;0,ORÇAMENTO.CustoUnitario&gt;$AG636),AND(TIPOORCAMENTO="LICITADO",ORÇAMENTO.PrecoUnitarioLicitado&gt;$AN636)),"ACIMA REF.","")))))</f>
        <v/>
      </c>
      <c r="AD636" t="str">
        <f ca="1">IF(C636&lt;=CRONO.NivelExibicao,MAX($AD$15:OFFSET(AD636,-1,0))+IF($C636&lt;&gt;1,1,MAX(1,COUNTIF(QCI!$A$13:$A$24,OFFSET($E636,-1,0)))),"")</f>
        <v/>
      </c>
      <c r="AE636" s="7" t="str">
        <f ca="1">IF(AND($C636="S",ORÇAMENTO.CodBarra&lt;&gt;""),IF(ORÇAMENTO.Fonte="",ORÇAMENTO.CodBarra,CONCATENATE(ORÇAMENTO.Fonte," ",ORÇAMENTO.CodBarra)))</f>
        <v>SINAPI 91835</v>
      </c>
      <c r="AF636" s="13" t="str">
        <f ca="1">IF(ISERROR(INDIRECT(ORÇAMENTO.BancoRef)),"(abra o arquivo 'Referência "&amp;Excel_BuiltIn_Database&amp;".xlsm)",IF(OR($C636&lt;&gt;"S",ORÇAMENTO.CodBarra=""),"(Sem Código)",IF(ISERROR(MATCH($AE636,INDIRECT(ORÇAMENTO.BancoRef),0)),"(Código não identificado nas referências)",MATCH($AE636,INDIRECT(ORÇAMENTO.BancoRef),0))))</f>
        <v>(abra o arquivo 'Referência 02-2025.xlsm)</v>
      </c>
      <c r="AG636" s="498">
        <f ca="1">ROUND(IF(DESONERACAO="sim",REFERENCIA.Desonerado,REFERENCIA.NaoDesonerado),2)</f>
        <v>0</v>
      </c>
      <c r="AH636" s="499">
        <f t="shared" ca="1" si="170"/>
        <v>0.22470000000000001</v>
      </c>
      <c r="AJ636" s="501">
        <v>258.39999999999998</v>
      </c>
      <c r="AL636" s="527"/>
      <c r="AM636" s="381">
        <f t="shared" ca="1" si="159"/>
        <v>0</v>
      </c>
      <c r="AN636" s="566">
        <f t="shared" ca="1" si="171"/>
        <v>0</v>
      </c>
    </row>
    <row r="637" spans="1:40" ht="38.25" x14ac:dyDescent="0.2">
      <c r="A637" t="str">
        <f t="shared" si="168"/>
        <v>S</v>
      </c>
      <c r="B637">
        <f t="shared" ca="1" si="146"/>
        <v>3</v>
      </c>
      <c r="C637" t="str">
        <f t="shared" ca="1" si="147"/>
        <v>S</v>
      </c>
      <c r="D637">
        <f t="shared" ca="1" si="148"/>
        <v>0</v>
      </c>
      <c r="E637">
        <f ca="1">IF($C637=1,OFFSET(E637,-1,0)+MAX(1,COUNTIF(QCI!$A$13:$A$24,OFFSET(ORÇAMENTO!E637,-1,0))),OFFSET(E637,-1,0))</f>
        <v>1</v>
      </c>
      <c r="F637">
        <f t="shared" ca="1" si="149"/>
        <v>18</v>
      </c>
      <c r="G637">
        <f t="shared" ca="1" si="150"/>
        <v>5</v>
      </c>
      <c r="H637">
        <f t="shared" ca="1" si="151"/>
        <v>0</v>
      </c>
      <c r="I637">
        <f t="shared" ca="1" si="152"/>
        <v>0</v>
      </c>
      <c r="J637">
        <f t="shared" ca="1" si="166"/>
        <v>0</v>
      </c>
      <c r="K637">
        <f ca="1">IF(OR($C637="S",$C637=0),0,MATCH(OFFSET($D637,0,$C637)+IF($C637&lt;&gt;1,1,COUNTIF(QCI!$A$13:$A$24,ORÇAMENTO!E637)),OFFSET($D637,1,$C637,ROW($C$747)-ROW($C637)),0))</f>
        <v>0</v>
      </c>
      <c r="L637" s="116" t="str">
        <f t="shared" ca="1" si="153"/>
        <v/>
      </c>
      <c r="M637" s="117" t="s">
        <v>199</v>
      </c>
      <c r="N637" s="118" t="str">
        <f t="shared" ca="1" si="154"/>
        <v>Serviço</v>
      </c>
      <c r="O637" s="119" t="str">
        <f t="shared" ca="1" si="155"/>
        <v>-</v>
      </c>
      <c r="P637" s="120" t="s">
        <v>247</v>
      </c>
      <c r="Q637" s="121" t="s">
        <v>704</v>
      </c>
      <c r="R637" s="122" t="str">
        <f ca="1">IF($C637="S",REFERENCIA.Descricao,"(digite a descrição aqui)")</f>
        <v>(abra o arquivo 'Referência 02-2025.xlsm)</v>
      </c>
      <c r="S637" s="123" t="str">
        <f ca="1">REFERENCIA.Unidade</f>
        <v>-</v>
      </c>
      <c r="T637" s="124">
        <f ca="1">OFFSET(CÁLCULO!H$15,ROW($T637)-ROW(T$15),0)</f>
        <v>51.8</v>
      </c>
      <c r="U637" s="125">
        <f t="shared" ca="1" si="172"/>
        <v>0</v>
      </c>
      <c r="V637" s="126" t="s">
        <v>156</v>
      </c>
      <c r="W637" s="124">
        <f ca="1">IF($C637="S",ROUND(IF(TIPOORCAMENTO="Proposto",ORÇAMENTO.CustoUnitario*(1+$AH637),ORÇAMENTO.PrecoUnitarioLicitado),15-13*$AF$10),0)</f>
        <v>0</v>
      </c>
      <c r="X637" s="127">
        <f ca="1">IF($C637="S",IF(Import.TipoArredondamento&lt;&gt;"TransfereGOV",VTOTAL1,SUM(OFFSET(CÁLCULO!$AA$15,ROW($X637)-ROW($X$15),1):OFFSET(CÁLCULO!$AL$15,ROW($X637)-ROW($X$15),-1))),IF($C637=0,0,ROUND(SomaAgrup,15-13*$AF$11)))</f>
        <v>0</v>
      </c>
      <c r="Y637" s="128" t="s">
        <v>245</v>
      </c>
      <c r="Z637" t="str">
        <f t="shared" ca="1" si="156"/>
        <v/>
      </c>
      <c r="AA637" s="129">
        <f ca="1">IF($C637="S",IF($Z637="CP",$X637,IF($Z637="RA",(($X637)*QCI!$AA$3),0)),SomaAgrup)</f>
        <v>0</v>
      </c>
      <c r="AB637" s="130">
        <f t="shared" ca="1" si="169"/>
        <v>0</v>
      </c>
      <c r="AC637" s="131" t="str">
        <f ca="1">IF($N637="","",IF(ORÇAMENTO.Descricao="","DESCRIÇÃO",IF(AND($C637="S",ORÇAMENTO.Unidade=""),"UNIDADE",IF($X637&lt;0,"VALOR NEGATIVO",IF(OR(AND(TIPOORCAMENTO="Proposto",$AG637&lt;&gt;"",$AG637&gt;0,ORÇAMENTO.CustoUnitario&gt;$AG637),AND(TIPOORCAMENTO="LICITADO",ORÇAMENTO.PrecoUnitarioLicitado&gt;$AN637)),"ACIMA REF.","")))))</f>
        <v/>
      </c>
      <c r="AD637" t="str">
        <f ca="1">IF(C637&lt;=CRONO.NivelExibicao,MAX($AD$15:OFFSET(AD637,-1,0))+IF($C637&lt;&gt;1,1,MAX(1,COUNTIF(QCI!$A$13:$A$24,OFFSET($E637,-1,0)))),"")</f>
        <v/>
      </c>
      <c r="AE637" s="7" t="str">
        <f ca="1">IF(AND($C637="S",ORÇAMENTO.CodBarra&lt;&gt;""),IF(ORÇAMENTO.Fonte="",ORÇAMENTO.CodBarra,CONCATENATE(ORÇAMENTO.Fonte," ",ORÇAMENTO.CodBarra)))</f>
        <v>SINAPI 91865</v>
      </c>
      <c r="AF637" s="13" t="str">
        <f ca="1">IF(ISERROR(INDIRECT(ORÇAMENTO.BancoRef)),"(abra o arquivo 'Referência "&amp;Excel_BuiltIn_Database&amp;".xlsm)",IF(OR($C637&lt;&gt;"S",ORÇAMENTO.CodBarra=""),"(Sem Código)",IF(ISERROR(MATCH($AE637,INDIRECT(ORÇAMENTO.BancoRef),0)),"(Código não identificado nas referências)",MATCH($AE637,INDIRECT(ORÇAMENTO.BancoRef),0))))</f>
        <v>(abra o arquivo 'Referência 02-2025.xlsm)</v>
      </c>
      <c r="AG637" s="498">
        <f ca="1">ROUND(IF(DESONERACAO="sim",REFERENCIA.Desonerado,REFERENCIA.NaoDesonerado),2)</f>
        <v>0</v>
      </c>
      <c r="AH637" s="499">
        <f t="shared" ca="1" si="170"/>
        <v>0.22470000000000001</v>
      </c>
      <c r="AJ637" s="501">
        <v>51.8</v>
      </c>
      <c r="AL637" s="527"/>
      <c r="AM637" s="381">
        <f t="shared" ca="1" si="159"/>
        <v>0</v>
      </c>
      <c r="AN637" s="566">
        <f t="shared" ca="1" si="171"/>
        <v>0</v>
      </c>
    </row>
    <row r="638" spans="1:40" ht="38.25" x14ac:dyDescent="0.2">
      <c r="A638" t="str">
        <f t="shared" si="168"/>
        <v>S</v>
      </c>
      <c r="B638">
        <f t="shared" ca="1" si="146"/>
        <v>3</v>
      </c>
      <c r="C638" t="str">
        <f t="shared" ca="1" si="147"/>
        <v>S</v>
      </c>
      <c r="D638">
        <f t="shared" ca="1" si="148"/>
        <v>0</v>
      </c>
      <c r="E638">
        <f ca="1">IF($C638=1,OFFSET(E638,-1,0)+MAX(1,COUNTIF(QCI!$A$13:$A$24,OFFSET(ORÇAMENTO!E638,-1,0))),OFFSET(E638,-1,0))</f>
        <v>1</v>
      </c>
      <c r="F638">
        <f t="shared" ca="1" si="149"/>
        <v>18</v>
      </c>
      <c r="G638">
        <f t="shared" ca="1" si="150"/>
        <v>5</v>
      </c>
      <c r="H638">
        <f t="shared" ca="1" si="151"/>
        <v>0</v>
      </c>
      <c r="I638">
        <f t="shared" ca="1" si="152"/>
        <v>0</v>
      </c>
      <c r="J638">
        <f t="shared" ca="1" si="166"/>
        <v>0</v>
      </c>
      <c r="K638">
        <f ca="1">IF(OR($C638="S",$C638=0),0,MATCH(OFFSET($D638,0,$C638)+IF($C638&lt;&gt;1,1,COUNTIF(QCI!$A$13:$A$24,ORÇAMENTO!E638)),OFFSET($D638,1,$C638,ROW($C$747)-ROW($C638)),0))</f>
        <v>0</v>
      </c>
      <c r="L638" s="116" t="str">
        <f t="shared" ca="1" si="153"/>
        <v/>
      </c>
      <c r="M638" s="117" t="s">
        <v>199</v>
      </c>
      <c r="N638" s="118" t="str">
        <f t="shared" ca="1" si="154"/>
        <v>Serviço</v>
      </c>
      <c r="O638" s="119" t="str">
        <f t="shared" ca="1" si="155"/>
        <v>-</v>
      </c>
      <c r="P638" s="120" t="s">
        <v>247</v>
      </c>
      <c r="Q638" s="121" t="s">
        <v>705</v>
      </c>
      <c r="R638" s="122" t="str">
        <f ca="1">IF($C638="S",REFERENCIA.Descricao,"(digite a descrição aqui)")</f>
        <v>(abra o arquivo 'Referência 02-2025.xlsm)</v>
      </c>
      <c r="S638" s="123" t="str">
        <f ca="1">REFERENCIA.Unidade</f>
        <v>-</v>
      </c>
      <c r="T638" s="124">
        <f ca="1">OFFSET(CÁLCULO!H$15,ROW($T638)-ROW(T$15),0)</f>
        <v>46.9</v>
      </c>
      <c r="U638" s="125">
        <f t="shared" ca="1" si="172"/>
        <v>0</v>
      </c>
      <c r="V638" s="126" t="s">
        <v>156</v>
      </c>
      <c r="W638" s="124">
        <f ca="1">IF($C638="S",ROUND(IF(TIPOORCAMENTO="Proposto",ORÇAMENTO.CustoUnitario*(1+$AH638),ORÇAMENTO.PrecoUnitarioLicitado),15-13*$AF$10),0)</f>
        <v>0</v>
      </c>
      <c r="X638" s="127">
        <f ca="1">IF($C638="S",IF(Import.TipoArredondamento&lt;&gt;"TransfereGOV",VTOTAL1,SUM(OFFSET(CÁLCULO!$AA$15,ROW($X638)-ROW($X$15),1):OFFSET(CÁLCULO!$AL$15,ROW($X638)-ROW($X$15),-1))),IF($C638=0,0,ROUND(SomaAgrup,15-13*$AF$11)))</f>
        <v>0</v>
      </c>
      <c r="Y638" s="128" t="s">
        <v>245</v>
      </c>
      <c r="Z638" t="str">
        <f t="shared" ca="1" si="156"/>
        <v/>
      </c>
      <c r="AA638" s="129">
        <f ca="1">IF($C638="S",IF($Z638="CP",$X638,IF($Z638="RA",(($X638)*QCI!$AA$3),0)),SomaAgrup)</f>
        <v>0</v>
      </c>
      <c r="AB638" s="130">
        <f t="shared" ca="1" si="169"/>
        <v>0</v>
      </c>
      <c r="AC638" s="131" t="str">
        <f ca="1">IF($N638="","",IF(ORÇAMENTO.Descricao="","DESCRIÇÃO",IF(AND($C638="S",ORÇAMENTO.Unidade=""),"UNIDADE",IF($X638&lt;0,"VALOR NEGATIVO",IF(OR(AND(TIPOORCAMENTO="Proposto",$AG638&lt;&gt;"",$AG638&gt;0,ORÇAMENTO.CustoUnitario&gt;$AG638),AND(TIPOORCAMENTO="LICITADO",ORÇAMENTO.PrecoUnitarioLicitado&gt;$AN638)),"ACIMA REF.","")))))</f>
        <v/>
      </c>
      <c r="AD638" t="str">
        <f ca="1">IF(C638&lt;=CRONO.NivelExibicao,MAX($AD$15:OFFSET(AD638,-1,0))+IF($C638&lt;&gt;1,1,MAX(1,COUNTIF(QCI!$A$13:$A$24,OFFSET($E638,-1,0)))),"")</f>
        <v/>
      </c>
      <c r="AE638" s="7" t="str">
        <f ca="1">IF(AND($C638="S",ORÇAMENTO.CodBarra&lt;&gt;""),IF(ORÇAMENTO.Fonte="",ORÇAMENTO.CodBarra,CONCATENATE(ORÇAMENTO.Fonte," ",ORÇAMENTO.CodBarra)))</f>
        <v>SINAPI 93011</v>
      </c>
      <c r="AF638" s="13" t="str">
        <f ca="1">IF(ISERROR(INDIRECT(ORÇAMENTO.BancoRef)),"(abra o arquivo 'Referência "&amp;Excel_BuiltIn_Database&amp;".xlsm)",IF(OR($C638&lt;&gt;"S",ORÇAMENTO.CodBarra=""),"(Sem Código)",IF(ISERROR(MATCH($AE638,INDIRECT(ORÇAMENTO.BancoRef),0)),"(Código não identificado nas referências)",MATCH($AE638,INDIRECT(ORÇAMENTO.BancoRef),0))))</f>
        <v>(abra o arquivo 'Referência 02-2025.xlsm)</v>
      </c>
      <c r="AG638" s="498">
        <f ca="1">ROUND(IF(DESONERACAO="sim",REFERENCIA.Desonerado,REFERENCIA.NaoDesonerado),2)</f>
        <v>0</v>
      </c>
      <c r="AH638" s="499">
        <f t="shared" ca="1" si="170"/>
        <v>0.22470000000000001</v>
      </c>
      <c r="AJ638" s="501">
        <v>46.9</v>
      </c>
      <c r="AL638" s="527"/>
      <c r="AM638" s="381">
        <f t="shared" ca="1" si="159"/>
        <v>0</v>
      </c>
      <c r="AN638" s="566">
        <f t="shared" ca="1" si="171"/>
        <v>0</v>
      </c>
    </row>
    <row r="639" spans="1:40" x14ac:dyDescent="0.2">
      <c r="A639" t="str">
        <f t="shared" si="168"/>
        <v>S</v>
      </c>
      <c r="B639">
        <f t="shared" ca="1" si="146"/>
        <v>3</v>
      </c>
      <c r="C639" t="str">
        <f t="shared" ca="1" si="147"/>
        <v>S</v>
      </c>
      <c r="D639">
        <f t="shared" ca="1" si="148"/>
        <v>0</v>
      </c>
      <c r="E639">
        <f ca="1">IF($C639=1,OFFSET(E639,-1,0)+MAX(1,COUNTIF(QCI!$A$13:$A$24,OFFSET(ORÇAMENTO!E639,-1,0))),OFFSET(E639,-1,0))</f>
        <v>1</v>
      </c>
      <c r="F639">
        <f t="shared" ca="1" si="149"/>
        <v>18</v>
      </c>
      <c r="G639">
        <f t="shared" ca="1" si="150"/>
        <v>5</v>
      </c>
      <c r="H639">
        <f t="shared" ca="1" si="151"/>
        <v>0</v>
      </c>
      <c r="I639">
        <f t="shared" ca="1" si="152"/>
        <v>0</v>
      </c>
      <c r="J639">
        <f t="shared" ca="1" si="166"/>
        <v>0</v>
      </c>
      <c r="K639">
        <f ca="1">IF(OR($C639="S",$C639=0),0,MATCH(OFFSET($D639,0,$C639)+IF($C639&lt;&gt;1,1,COUNTIF(QCI!$A$13:$A$24,ORÇAMENTO!E639)),OFFSET($D639,1,$C639,ROW($C$747)-ROW($C639)),0))</f>
        <v>0</v>
      </c>
      <c r="L639" s="116" t="str">
        <f t="shared" ca="1" si="153"/>
        <v/>
      </c>
      <c r="M639" s="117" t="s">
        <v>199</v>
      </c>
      <c r="N639" s="118" t="str">
        <f t="shared" ca="1" si="154"/>
        <v>Serviço</v>
      </c>
      <c r="O639" s="119" t="str">
        <f t="shared" ca="1" si="155"/>
        <v>-</v>
      </c>
      <c r="P639" s="120" t="s">
        <v>712</v>
      </c>
      <c r="Q639" s="121" t="s">
        <v>863</v>
      </c>
      <c r="R639" s="122" t="str">
        <f ca="1">IF($C639="S",REFERENCIA.Descricao,"(digite a descrição aqui)")</f>
        <v>(abra o arquivo 'Referência 02-2025.xlsm)</v>
      </c>
      <c r="S639" s="123" t="str">
        <f ca="1">REFERENCIA.Unidade</f>
        <v>-</v>
      </c>
      <c r="T639" s="124">
        <f ca="1">OFFSET(CÁLCULO!H$15,ROW($T639)-ROW(T$15),0)</f>
        <v>1</v>
      </c>
      <c r="U639" s="125">
        <f t="shared" ca="1" si="172"/>
        <v>0</v>
      </c>
      <c r="V639" s="126" t="s">
        <v>156</v>
      </c>
      <c r="W639" s="124">
        <f ca="1">IF($C639="S",ROUND(IF(TIPOORCAMENTO="Proposto",ORÇAMENTO.CustoUnitario*(1+$AH639),ORÇAMENTO.PrecoUnitarioLicitado),15-13*$AF$10),0)</f>
        <v>0</v>
      </c>
      <c r="X639" s="127">
        <f ca="1">IF($C639="S",IF(Import.TipoArredondamento&lt;&gt;"TransfereGOV",VTOTAL1,SUM(OFFSET(CÁLCULO!$AA$15,ROW($X639)-ROW($X$15),1):OFFSET(CÁLCULO!$AL$15,ROW($X639)-ROW($X$15),-1))),IF($C639=0,0,ROUND(SomaAgrup,15-13*$AF$11)))</f>
        <v>0</v>
      </c>
      <c r="Y639" s="128" t="s">
        <v>245</v>
      </c>
      <c r="Z639" t="str">
        <f t="shared" ca="1" si="156"/>
        <v/>
      </c>
      <c r="AA639" s="129">
        <f ca="1">IF($C639="S",IF($Z639="CP",$X639,IF($Z639="RA",(($X639)*QCI!$AA$3),0)),SomaAgrup)</f>
        <v>0</v>
      </c>
      <c r="AB639" s="130">
        <f t="shared" ca="1" si="169"/>
        <v>0</v>
      </c>
      <c r="AC639" s="131" t="str">
        <f ca="1">IF($N639="","",IF(ORÇAMENTO.Descricao="","DESCRIÇÃO",IF(AND($C639="S",ORÇAMENTO.Unidade=""),"UNIDADE",IF($X639&lt;0,"VALOR NEGATIVO",IF(OR(AND(TIPOORCAMENTO="Proposto",$AG639&lt;&gt;"",$AG639&gt;0,ORÇAMENTO.CustoUnitario&gt;$AG639),AND(TIPOORCAMENTO="LICITADO",ORÇAMENTO.PrecoUnitarioLicitado&gt;$AN639)),"ACIMA REF.","")))))</f>
        <v/>
      </c>
      <c r="AD639" t="str">
        <f ca="1">IF(C639&lt;=CRONO.NivelExibicao,MAX($AD$15:OFFSET(AD639,-1,0))+IF($C639&lt;&gt;1,1,MAX(1,COUNTIF(QCI!$A$13:$A$24,OFFSET($E639,-1,0)))),"")</f>
        <v/>
      </c>
      <c r="AE639" s="7" t="str">
        <f ca="1">IF(AND($C639="S",ORÇAMENTO.CodBarra&lt;&gt;""),IF(ORÇAMENTO.Fonte="",ORÇAMENTO.CodBarra,CONCATENATE(ORÇAMENTO.Fonte," ",ORÇAMENTO.CodBarra)))</f>
        <v>Composição FNDE 374</v>
      </c>
      <c r="AF639" s="13" t="str">
        <f ca="1">IF(ISERROR(INDIRECT(ORÇAMENTO.BancoRef)),"(abra o arquivo 'Referência "&amp;Excel_BuiltIn_Database&amp;".xlsm)",IF(OR($C639&lt;&gt;"S",ORÇAMENTO.CodBarra=""),"(Sem Código)",IF(ISERROR(MATCH($AE639,INDIRECT(ORÇAMENTO.BancoRef),0)),"(Código não identificado nas referências)",MATCH($AE639,INDIRECT(ORÇAMENTO.BancoRef),0))))</f>
        <v>(abra o arquivo 'Referência 02-2025.xlsm)</v>
      </c>
      <c r="AG639" s="498">
        <f ca="1">ROUND(IF(DESONERACAO="sim",REFERENCIA.Desonerado,REFERENCIA.NaoDesonerado),2)</f>
        <v>0</v>
      </c>
      <c r="AH639" s="499">
        <f t="shared" ca="1" si="170"/>
        <v>0.22470000000000001</v>
      </c>
      <c r="AJ639" s="501">
        <v>1</v>
      </c>
      <c r="AL639" s="527"/>
      <c r="AM639" s="381">
        <f t="shared" ca="1" si="159"/>
        <v>0</v>
      </c>
      <c r="AN639" s="566">
        <f t="shared" ca="1" si="171"/>
        <v>0</v>
      </c>
    </row>
    <row r="640" spans="1:40" x14ac:dyDescent="0.2">
      <c r="A640" t="str">
        <f t="shared" si="168"/>
        <v>S</v>
      </c>
      <c r="B640">
        <f t="shared" ca="1" si="146"/>
        <v>3</v>
      </c>
      <c r="C640" t="str">
        <f t="shared" ca="1" si="147"/>
        <v>S</v>
      </c>
      <c r="D640">
        <f t="shared" ca="1" si="148"/>
        <v>0</v>
      </c>
      <c r="E640">
        <f ca="1">IF($C640=1,OFFSET(E640,-1,0)+MAX(1,COUNTIF(QCI!$A$13:$A$24,OFFSET(ORÇAMENTO!E640,-1,0))),OFFSET(E640,-1,0))</f>
        <v>1</v>
      </c>
      <c r="F640">
        <f t="shared" ca="1" si="149"/>
        <v>18</v>
      </c>
      <c r="G640">
        <f t="shared" ca="1" si="150"/>
        <v>5</v>
      </c>
      <c r="H640">
        <f t="shared" ca="1" si="151"/>
        <v>0</v>
      </c>
      <c r="I640">
        <f t="shared" ca="1" si="152"/>
        <v>0</v>
      </c>
      <c r="J640">
        <f t="shared" ca="1" si="166"/>
        <v>0</v>
      </c>
      <c r="K640">
        <f ca="1">IF(OR($C640="S",$C640=0),0,MATCH(OFFSET($D640,0,$C640)+IF($C640&lt;&gt;1,1,COUNTIF(QCI!$A$13:$A$24,ORÇAMENTO!E640)),OFFSET($D640,1,$C640,ROW($C$747)-ROW($C640)),0))</f>
        <v>0</v>
      </c>
      <c r="L640" s="116" t="str">
        <f t="shared" ca="1" si="153"/>
        <v/>
      </c>
      <c r="M640" s="117" t="s">
        <v>199</v>
      </c>
      <c r="N640" s="118" t="str">
        <f t="shared" ca="1" si="154"/>
        <v>Serviço</v>
      </c>
      <c r="O640" s="119" t="str">
        <f t="shared" ca="1" si="155"/>
        <v>-</v>
      </c>
      <c r="P640" s="120" t="s">
        <v>712</v>
      </c>
      <c r="Q640" s="121" t="s">
        <v>851</v>
      </c>
      <c r="R640" s="122" t="str">
        <f ca="1">IF($C640="S",REFERENCIA.Descricao,"(digite a descrição aqui)")</f>
        <v>(abra o arquivo 'Referência 02-2025.xlsm)</v>
      </c>
      <c r="S640" s="123" t="str">
        <f ca="1">REFERENCIA.Unidade</f>
        <v>-</v>
      </c>
      <c r="T640" s="124">
        <f ca="1">OFFSET(CÁLCULO!H$15,ROW($T640)-ROW(T$15),0)</f>
        <v>3</v>
      </c>
      <c r="U640" s="125">
        <f t="shared" ca="1" si="172"/>
        <v>0</v>
      </c>
      <c r="V640" s="126" t="s">
        <v>156</v>
      </c>
      <c r="W640" s="124">
        <f ca="1">IF($C640="S",ROUND(IF(TIPOORCAMENTO="Proposto",ORÇAMENTO.CustoUnitario*(1+$AH640),ORÇAMENTO.PrecoUnitarioLicitado),15-13*$AF$10),0)</f>
        <v>0</v>
      </c>
      <c r="X640" s="127">
        <f ca="1">IF($C640="S",IF(Import.TipoArredondamento&lt;&gt;"TransfereGOV",VTOTAL1,SUM(OFFSET(CÁLCULO!$AA$15,ROW($X640)-ROW($X$15),1):OFFSET(CÁLCULO!$AL$15,ROW($X640)-ROW($X$15),-1))),IF($C640=0,0,ROUND(SomaAgrup,15-13*$AF$11)))</f>
        <v>0</v>
      </c>
      <c r="Y640" s="128" t="s">
        <v>245</v>
      </c>
      <c r="Z640" t="str">
        <f t="shared" ca="1" si="156"/>
        <v/>
      </c>
      <c r="AA640" s="129">
        <f ca="1">IF($C640="S",IF($Z640="CP",$X640,IF($Z640="RA",(($X640)*QCI!$AA$3),0)),SomaAgrup)</f>
        <v>0</v>
      </c>
      <c r="AB640" s="130">
        <f t="shared" ca="1" si="169"/>
        <v>0</v>
      </c>
      <c r="AC640" s="131" t="str">
        <f ca="1">IF($N640="","",IF(ORÇAMENTO.Descricao="","DESCRIÇÃO",IF(AND($C640="S",ORÇAMENTO.Unidade=""),"UNIDADE",IF($X640&lt;0,"VALOR NEGATIVO",IF(OR(AND(TIPOORCAMENTO="Proposto",$AG640&lt;&gt;"",$AG640&gt;0,ORÇAMENTO.CustoUnitario&gt;$AG640),AND(TIPOORCAMENTO="LICITADO",ORÇAMENTO.PrecoUnitarioLicitado&gt;$AN640)),"ACIMA REF.","")))))</f>
        <v/>
      </c>
      <c r="AD640" t="str">
        <f ca="1">IF(C640&lt;=CRONO.NivelExibicao,MAX($AD$15:OFFSET(AD640,-1,0))+IF($C640&lt;&gt;1,1,MAX(1,COUNTIF(QCI!$A$13:$A$24,OFFSET($E640,-1,0)))),"")</f>
        <v/>
      </c>
      <c r="AE640" s="7" t="str">
        <f ca="1">IF(AND($C640="S",ORÇAMENTO.CodBarra&lt;&gt;""),IF(ORÇAMENTO.Fonte="",ORÇAMENTO.CodBarra,CONCATENATE(ORÇAMENTO.Fonte," ",ORÇAMENTO.CodBarra)))</f>
        <v>Composição FNDE 369</v>
      </c>
      <c r="AF640" s="13" t="str">
        <f ca="1">IF(ISERROR(INDIRECT(ORÇAMENTO.BancoRef)),"(abra o arquivo 'Referência "&amp;Excel_BuiltIn_Database&amp;".xlsm)",IF(OR($C640&lt;&gt;"S",ORÇAMENTO.CodBarra=""),"(Sem Código)",IF(ISERROR(MATCH($AE640,INDIRECT(ORÇAMENTO.BancoRef),0)),"(Código não identificado nas referências)",MATCH($AE640,INDIRECT(ORÇAMENTO.BancoRef),0))))</f>
        <v>(abra o arquivo 'Referência 02-2025.xlsm)</v>
      </c>
      <c r="AG640" s="498">
        <f ca="1">ROUND(IF(DESONERACAO="sim",REFERENCIA.Desonerado,REFERENCIA.NaoDesonerado),2)</f>
        <v>0</v>
      </c>
      <c r="AH640" s="499">
        <f t="shared" ca="1" si="170"/>
        <v>0.22470000000000001</v>
      </c>
      <c r="AJ640" s="501">
        <v>3</v>
      </c>
      <c r="AL640" s="527"/>
      <c r="AM640" s="381">
        <f t="shared" ca="1" si="159"/>
        <v>0</v>
      </c>
      <c r="AN640" s="566">
        <f t="shared" ca="1" si="171"/>
        <v>0</v>
      </c>
    </row>
    <row r="641" spans="1:40" ht="25.5" x14ac:dyDescent="0.2">
      <c r="A641" t="str">
        <f t="shared" si="168"/>
        <v>S</v>
      </c>
      <c r="B641">
        <f t="shared" ca="1" si="146"/>
        <v>3</v>
      </c>
      <c r="C641" t="str">
        <f t="shared" ca="1" si="147"/>
        <v>S</v>
      </c>
      <c r="D641">
        <f t="shared" ca="1" si="148"/>
        <v>0</v>
      </c>
      <c r="E641">
        <f ca="1">IF($C641=1,OFFSET(E641,-1,0)+MAX(1,COUNTIF(QCI!$A$13:$A$24,OFFSET(ORÇAMENTO!E641,-1,0))),OFFSET(E641,-1,0))</f>
        <v>1</v>
      </c>
      <c r="F641">
        <f t="shared" ca="1" si="149"/>
        <v>18</v>
      </c>
      <c r="G641">
        <f t="shared" ca="1" si="150"/>
        <v>5</v>
      </c>
      <c r="H641">
        <f t="shared" ca="1" si="151"/>
        <v>0</v>
      </c>
      <c r="I641">
        <f t="shared" ca="1" si="152"/>
        <v>0</v>
      </c>
      <c r="J641">
        <f t="shared" ca="1" si="166"/>
        <v>0</v>
      </c>
      <c r="K641">
        <f ca="1">IF(OR($C641="S",$C641=0),0,MATCH(OFFSET($D641,0,$C641)+IF($C641&lt;&gt;1,1,COUNTIF(QCI!$A$13:$A$24,ORÇAMENTO!E641)),OFFSET($D641,1,$C641,ROW($C$747)-ROW($C641)),0))</f>
        <v>0</v>
      </c>
      <c r="L641" s="116" t="str">
        <f t="shared" ca="1" si="153"/>
        <v/>
      </c>
      <c r="M641" s="117" t="s">
        <v>199</v>
      </c>
      <c r="N641" s="118" t="str">
        <f t="shared" ca="1" si="154"/>
        <v>Serviço</v>
      </c>
      <c r="O641" s="119" t="str">
        <f t="shared" ca="1" si="155"/>
        <v>-</v>
      </c>
      <c r="P641" s="120" t="s">
        <v>712</v>
      </c>
      <c r="Q641" s="121" t="s">
        <v>833</v>
      </c>
      <c r="R641" s="122" t="str">
        <f ca="1">IF($C641="S",REFERENCIA.Descricao,"(digite a descrição aqui)")</f>
        <v>(abra o arquivo 'Referência 02-2025.xlsm)</v>
      </c>
      <c r="S641" s="123" t="str">
        <f ca="1">REFERENCIA.Unidade</f>
        <v>-</v>
      </c>
      <c r="T641" s="124">
        <f ca="1">OFFSET(CÁLCULO!H$15,ROW($T641)-ROW(T$15),0)</f>
        <v>12</v>
      </c>
      <c r="U641" s="125">
        <f t="shared" ca="1" si="172"/>
        <v>0</v>
      </c>
      <c r="V641" s="126" t="s">
        <v>156</v>
      </c>
      <c r="W641" s="124">
        <f ca="1">IF($C641="S",ROUND(IF(TIPOORCAMENTO="Proposto",ORÇAMENTO.CustoUnitario*(1+$AH641),ORÇAMENTO.PrecoUnitarioLicitado),15-13*$AF$10),0)</f>
        <v>0</v>
      </c>
      <c r="X641" s="127">
        <f ca="1">IF($C641="S",IF(Import.TipoArredondamento&lt;&gt;"TransfereGOV",VTOTAL1,SUM(OFFSET(CÁLCULO!$AA$15,ROW($X641)-ROW($X$15),1):OFFSET(CÁLCULO!$AL$15,ROW($X641)-ROW($X$15),-1))),IF($C641=0,0,ROUND(SomaAgrup,15-13*$AF$11)))</f>
        <v>0</v>
      </c>
      <c r="Y641" s="128" t="s">
        <v>245</v>
      </c>
      <c r="Z641" t="str">
        <f t="shared" ca="1" si="156"/>
        <v/>
      </c>
      <c r="AA641" s="129">
        <f ca="1">IF($C641="S",IF($Z641="CP",$X641,IF($Z641="RA",(($X641)*QCI!$AA$3),0)),SomaAgrup)</f>
        <v>0</v>
      </c>
      <c r="AB641" s="130">
        <f t="shared" ca="1" si="169"/>
        <v>0</v>
      </c>
      <c r="AC641" s="131" t="str">
        <f ca="1">IF($N641="","",IF(ORÇAMENTO.Descricao="","DESCRIÇÃO",IF(AND($C641="S",ORÇAMENTO.Unidade=""),"UNIDADE",IF($X641&lt;0,"VALOR NEGATIVO",IF(OR(AND(TIPOORCAMENTO="Proposto",$AG641&lt;&gt;"",$AG641&gt;0,ORÇAMENTO.CustoUnitario&gt;$AG641),AND(TIPOORCAMENTO="LICITADO",ORÇAMENTO.PrecoUnitarioLicitado&gt;$AN641)),"ACIMA REF.","")))))</f>
        <v/>
      </c>
      <c r="AD641" t="str">
        <f ca="1">IF(C641&lt;=CRONO.NivelExibicao,MAX($AD$15:OFFSET(AD641,-1,0))+IF($C641&lt;&gt;1,1,MAX(1,COUNTIF(QCI!$A$13:$A$24,OFFSET($E641,-1,0)))),"")</f>
        <v/>
      </c>
      <c r="AE641" s="7" t="str">
        <f ca="1">IF(AND($C641="S",ORÇAMENTO.CodBarra&lt;&gt;""),IF(ORÇAMENTO.Fonte="",ORÇAMENTO.CodBarra,CONCATENATE(ORÇAMENTO.Fonte," ",ORÇAMENTO.CodBarra)))</f>
        <v xml:space="preserve">Composição FNDE 346 </v>
      </c>
      <c r="AF641" s="13" t="str">
        <f ca="1">IF(ISERROR(INDIRECT(ORÇAMENTO.BancoRef)),"(abra o arquivo 'Referência "&amp;Excel_BuiltIn_Database&amp;".xlsm)",IF(OR($C641&lt;&gt;"S",ORÇAMENTO.CodBarra=""),"(Sem Código)",IF(ISERROR(MATCH($AE641,INDIRECT(ORÇAMENTO.BancoRef),0)),"(Código não identificado nas referências)",MATCH($AE641,INDIRECT(ORÇAMENTO.BancoRef),0))))</f>
        <v>(abra o arquivo 'Referência 02-2025.xlsm)</v>
      </c>
      <c r="AG641" s="498">
        <f ca="1">ROUND(IF(DESONERACAO="sim",REFERENCIA.Desonerado,REFERENCIA.NaoDesonerado),2)</f>
        <v>0</v>
      </c>
      <c r="AH641" s="499">
        <f t="shared" ca="1" si="170"/>
        <v>0.22470000000000001</v>
      </c>
      <c r="AJ641" s="501">
        <v>12</v>
      </c>
      <c r="AL641" s="527"/>
      <c r="AM641" s="381">
        <f t="shared" ca="1" si="159"/>
        <v>0</v>
      </c>
      <c r="AN641" s="566">
        <f t="shared" ca="1" si="171"/>
        <v>0</v>
      </c>
    </row>
    <row r="642" spans="1:40" x14ac:dyDescent="0.2">
      <c r="A642" t="str">
        <f t="shared" si="168"/>
        <v>S</v>
      </c>
      <c r="B642">
        <f t="shared" ca="1" si="146"/>
        <v>3</v>
      </c>
      <c r="C642" t="str">
        <f t="shared" ca="1" si="147"/>
        <v>S</v>
      </c>
      <c r="D642">
        <f t="shared" ca="1" si="148"/>
        <v>0</v>
      </c>
      <c r="E642">
        <f ca="1">IF($C642=1,OFFSET(E642,-1,0)+MAX(1,COUNTIF(QCI!$A$13:$A$24,OFFSET(ORÇAMENTO!E642,-1,0))),OFFSET(E642,-1,0))</f>
        <v>1</v>
      </c>
      <c r="F642">
        <f t="shared" ca="1" si="149"/>
        <v>18</v>
      </c>
      <c r="G642">
        <f t="shared" ca="1" si="150"/>
        <v>5</v>
      </c>
      <c r="H642">
        <f t="shared" ca="1" si="151"/>
        <v>0</v>
      </c>
      <c r="I642">
        <f t="shared" ca="1" si="152"/>
        <v>0</v>
      </c>
      <c r="J642">
        <f t="shared" ca="1" si="166"/>
        <v>0</v>
      </c>
      <c r="K642">
        <f ca="1">IF(OR($C642="S",$C642=0),0,MATCH(OFFSET($D642,0,$C642)+IF($C642&lt;&gt;1,1,COUNTIF(QCI!$A$13:$A$24,ORÇAMENTO!E642)),OFFSET($D642,1,$C642,ROW($C$747)-ROW($C642)),0))</f>
        <v>0</v>
      </c>
      <c r="L642" s="116" t="str">
        <f t="shared" ca="1" si="153"/>
        <v/>
      </c>
      <c r="M642" s="117" t="s">
        <v>199</v>
      </c>
      <c r="N642" s="118" t="str">
        <f t="shared" ca="1" si="154"/>
        <v>Serviço</v>
      </c>
      <c r="O642" s="119" t="str">
        <f t="shared" ca="1" si="155"/>
        <v>-</v>
      </c>
      <c r="P642" s="120" t="s">
        <v>712</v>
      </c>
      <c r="Q642" s="121" t="s">
        <v>864</v>
      </c>
      <c r="R642" s="122" t="str">
        <f ca="1">IF($C642="S",REFERENCIA.Descricao,"(digite a descrição aqui)")</f>
        <v>(abra o arquivo 'Referência 02-2025.xlsm)</v>
      </c>
      <c r="S642" s="123" t="str">
        <f ca="1">REFERENCIA.Unidade</f>
        <v>-</v>
      </c>
      <c r="T642" s="124">
        <f ca="1">OFFSET(CÁLCULO!H$15,ROW($T642)-ROW(T$15),0)</f>
        <v>5</v>
      </c>
      <c r="U642" s="125">
        <f t="shared" ca="1" si="172"/>
        <v>0</v>
      </c>
      <c r="V642" s="126" t="s">
        <v>156</v>
      </c>
      <c r="W642" s="124">
        <f ca="1">IF($C642="S",ROUND(IF(TIPOORCAMENTO="Proposto",ORÇAMENTO.CustoUnitario*(1+$AH642),ORÇAMENTO.PrecoUnitarioLicitado),15-13*$AF$10),0)</f>
        <v>0</v>
      </c>
      <c r="X642" s="127">
        <f ca="1">IF($C642="S",IF(Import.TipoArredondamento&lt;&gt;"TransfereGOV",VTOTAL1,SUM(OFFSET(CÁLCULO!$AA$15,ROW($X642)-ROW($X$15),1):OFFSET(CÁLCULO!$AL$15,ROW($X642)-ROW($X$15),-1))),IF($C642=0,0,ROUND(SomaAgrup,15-13*$AF$11)))</f>
        <v>0</v>
      </c>
      <c r="Y642" s="128" t="s">
        <v>245</v>
      </c>
      <c r="Z642" t="str">
        <f t="shared" ca="1" si="156"/>
        <v/>
      </c>
      <c r="AA642" s="129">
        <f ca="1">IF($C642="S",IF($Z642="CP",$X642,IF($Z642="RA",(($X642)*QCI!$AA$3),0)),SomaAgrup)</f>
        <v>0</v>
      </c>
      <c r="AB642" s="130">
        <f t="shared" ca="1" si="169"/>
        <v>0</v>
      </c>
      <c r="AC642" s="131" t="str">
        <f ca="1">IF($N642="","",IF(ORÇAMENTO.Descricao="","DESCRIÇÃO",IF(AND($C642="S",ORÇAMENTO.Unidade=""),"UNIDADE",IF($X642&lt;0,"VALOR NEGATIVO",IF(OR(AND(TIPOORCAMENTO="Proposto",$AG642&lt;&gt;"",$AG642&gt;0,ORÇAMENTO.CustoUnitario&gt;$AG642),AND(TIPOORCAMENTO="LICITADO",ORÇAMENTO.PrecoUnitarioLicitado&gt;$AN642)),"ACIMA REF.","")))))</f>
        <v/>
      </c>
      <c r="AD642" t="str">
        <f ca="1">IF(C642&lt;=CRONO.NivelExibicao,MAX($AD$15:OFFSET(AD642,-1,0))+IF($C642&lt;&gt;1,1,MAX(1,COUNTIF(QCI!$A$13:$A$24,OFFSET($E642,-1,0)))),"")</f>
        <v/>
      </c>
      <c r="AE642" s="7" t="str">
        <f ca="1">IF(AND($C642="S",ORÇAMENTO.CodBarra&lt;&gt;""),IF(ORÇAMENTO.Fonte="",ORÇAMENTO.CodBarra,CONCATENATE(ORÇAMENTO.Fonte," ",ORÇAMENTO.CodBarra)))</f>
        <v>Composição FNDE 70</v>
      </c>
      <c r="AF642" s="13" t="str">
        <f ca="1">IF(ISERROR(INDIRECT(ORÇAMENTO.BancoRef)),"(abra o arquivo 'Referência "&amp;Excel_BuiltIn_Database&amp;".xlsm)",IF(OR($C642&lt;&gt;"S",ORÇAMENTO.CodBarra=""),"(Sem Código)",IF(ISERROR(MATCH($AE642,INDIRECT(ORÇAMENTO.BancoRef),0)),"(Código não identificado nas referências)",MATCH($AE642,INDIRECT(ORÇAMENTO.BancoRef),0))))</f>
        <v>(abra o arquivo 'Referência 02-2025.xlsm)</v>
      </c>
      <c r="AG642" s="498">
        <f ca="1">ROUND(IF(DESONERACAO="sim",REFERENCIA.Desonerado,REFERENCIA.NaoDesonerado),2)</f>
        <v>0</v>
      </c>
      <c r="AH642" s="499">
        <f t="shared" ca="1" si="170"/>
        <v>0.22470000000000001</v>
      </c>
      <c r="AJ642" s="501">
        <v>5</v>
      </c>
      <c r="AL642" s="527"/>
      <c r="AM642" s="381">
        <f t="shared" ca="1" si="159"/>
        <v>0</v>
      </c>
      <c r="AN642" s="566">
        <f t="shared" ca="1" si="171"/>
        <v>0</v>
      </c>
    </row>
    <row r="643" spans="1:40" ht="38.25" x14ac:dyDescent="0.2">
      <c r="A643" t="str">
        <f t="shared" si="168"/>
        <v>S</v>
      </c>
      <c r="B643">
        <f t="shared" ca="1" si="146"/>
        <v>3</v>
      </c>
      <c r="C643" t="str">
        <f t="shared" ca="1" si="147"/>
        <v>S</v>
      </c>
      <c r="D643">
        <f t="shared" ca="1" si="148"/>
        <v>0</v>
      </c>
      <c r="E643">
        <f ca="1">IF($C643=1,OFFSET(E643,-1,0)+MAX(1,COUNTIF(QCI!$A$13:$A$24,OFFSET(ORÇAMENTO!E643,-1,0))),OFFSET(E643,-1,0))</f>
        <v>1</v>
      </c>
      <c r="F643">
        <f t="shared" ca="1" si="149"/>
        <v>18</v>
      </c>
      <c r="G643">
        <f t="shared" ca="1" si="150"/>
        <v>5</v>
      </c>
      <c r="H643">
        <f t="shared" ca="1" si="151"/>
        <v>0</v>
      </c>
      <c r="I643">
        <f t="shared" ca="1" si="152"/>
        <v>0</v>
      </c>
      <c r="J643">
        <f t="shared" ca="1" si="166"/>
        <v>0</v>
      </c>
      <c r="K643">
        <f ca="1">IF(OR($C643="S",$C643=0),0,MATCH(OFFSET($D643,0,$C643)+IF($C643&lt;&gt;1,1,COUNTIF(QCI!$A$13:$A$24,ORÇAMENTO!E643)),OFFSET($D643,1,$C643,ROW($C$747)-ROW($C643)),0))</f>
        <v>0</v>
      </c>
      <c r="L643" s="116" t="str">
        <f t="shared" ca="1" si="153"/>
        <v/>
      </c>
      <c r="M643" s="117" t="s">
        <v>199</v>
      </c>
      <c r="N643" s="118" t="str">
        <f t="shared" ca="1" si="154"/>
        <v>Serviço</v>
      </c>
      <c r="O643" s="119" t="str">
        <f t="shared" ca="1" si="155"/>
        <v>-</v>
      </c>
      <c r="P643" s="120" t="s">
        <v>712</v>
      </c>
      <c r="Q643" s="121" t="s">
        <v>852</v>
      </c>
      <c r="R643" s="122" t="str">
        <f ca="1">IF($C643="S",REFERENCIA.Descricao,"(digite a descrição aqui)")</f>
        <v>(abra o arquivo 'Referência 02-2025.xlsm)</v>
      </c>
      <c r="S643" s="123" t="str">
        <f ca="1">REFERENCIA.Unidade</f>
        <v>-</v>
      </c>
      <c r="T643" s="124">
        <f ca="1">OFFSET(CÁLCULO!H$15,ROW($T643)-ROW(T$15),0)</f>
        <v>4</v>
      </c>
      <c r="U643" s="125">
        <f t="shared" ca="1" si="172"/>
        <v>0</v>
      </c>
      <c r="V643" s="126" t="s">
        <v>156</v>
      </c>
      <c r="W643" s="124">
        <f ca="1">IF($C643="S",ROUND(IF(TIPOORCAMENTO="Proposto",ORÇAMENTO.CustoUnitario*(1+$AH643),ORÇAMENTO.PrecoUnitarioLicitado),15-13*$AF$10),0)</f>
        <v>0</v>
      </c>
      <c r="X643" s="127">
        <f ca="1">IF($C643="S",IF(Import.TipoArredondamento&lt;&gt;"TransfereGOV",VTOTAL1,SUM(OFFSET(CÁLCULO!$AA$15,ROW($X643)-ROW($X$15),1):OFFSET(CÁLCULO!$AL$15,ROW($X643)-ROW($X$15),-1))),IF($C643=0,0,ROUND(SomaAgrup,15-13*$AF$11)))</f>
        <v>0</v>
      </c>
      <c r="Y643" s="128" t="s">
        <v>245</v>
      </c>
      <c r="Z643" t="str">
        <f t="shared" ca="1" si="156"/>
        <v/>
      </c>
      <c r="AA643" s="129">
        <f ca="1">IF($C643="S",IF($Z643="CP",$X643,IF($Z643="RA",(($X643)*QCI!$AA$3),0)),SomaAgrup)</f>
        <v>0</v>
      </c>
      <c r="AB643" s="130">
        <f t="shared" ca="1" si="169"/>
        <v>0</v>
      </c>
      <c r="AC643" s="131" t="str">
        <f ca="1">IF($N643="","",IF(ORÇAMENTO.Descricao="","DESCRIÇÃO",IF(AND($C643="S",ORÇAMENTO.Unidade=""),"UNIDADE",IF($X643&lt;0,"VALOR NEGATIVO",IF(OR(AND(TIPOORCAMENTO="Proposto",$AG643&lt;&gt;"",$AG643&gt;0,ORÇAMENTO.CustoUnitario&gt;$AG643),AND(TIPOORCAMENTO="LICITADO",ORÇAMENTO.PrecoUnitarioLicitado&gt;$AN643)),"ACIMA REF.","")))))</f>
        <v/>
      </c>
      <c r="AD643" t="str">
        <f ca="1">IF(C643&lt;=CRONO.NivelExibicao,MAX($AD$15:OFFSET(AD643,-1,0))+IF($C643&lt;&gt;1,1,MAX(1,COUNTIF(QCI!$A$13:$A$24,OFFSET($E643,-1,0)))),"")</f>
        <v/>
      </c>
      <c r="AE643" s="7" t="str">
        <f ca="1">IF(AND($C643="S",ORÇAMENTO.CodBarra&lt;&gt;""),IF(ORÇAMENTO.Fonte="",ORÇAMENTO.CodBarra,CONCATENATE(ORÇAMENTO.Fonte," ",ORÇAMENTO.CodBarra)))</f>
        <v>Composição FNDE 116</v>
      </c>
      <c r="AF643" s="13" t="str">
        <f ca="1">IF(ISERROR(INDIRECT(ORÇAMENTO.BancoRef)),"(abra o arquivo 'Referência "&amp;Excel_BuiltIn_Database&amp;".xlsm)",IF(OR($C643&lt;&gt;"S",ORÇAMENTO.CodBarra=""),"(Sem Código)",IF(ISERROR(MATCH($AE643,INDIRECT(ORÇAMENTO.BancoRef),0)),"(Código não identificado nas referências)",MATCH($AE643,INDIRECT(ORÇAMENTO.BancoRef),0))))</f>
        <v>(abra o arquivo 'Referência 02-2025.xlsm)</v>
      </c>
      <c r="AG643" s="498">
        <f ca="1">ROUND(IF(DESONERACAO="sim",REFERENCIA.Desonerado,REFERENCIA.NaoDesonerado),2)</f>
        <v>0</v>
      </c>
      <c r="AH643" s="499">
        <f t="shared" ca="1" si="170"/>
        <v>0.22470000000000001</v>
      </c>
      <c r="AJ643" s="501">
        <v>4</v>
      </c>
      <c r="AL643" s="527"/>
      <c r="AM643" s="381">
        <f t="shared" ca="1" si="159"/>
        <v>0</v>
      </c>
      <c r="AN643" s="566">
        <f t="shared" ca="1" si="171"/>
        <v>0</v>
      </c>
    </row>
    <row r="644" spans="1:40" x14ac:dyDescent="0.2">
      <c r="A644">
        <f t="shared" si="168"/>
        <v>3</v>
      </c>
      <c r="B644">
        <f t="shared" ca="1" si="146"/>
        <v>3</v>
      </c>
      <c r="C644">
        <f t="shared" ca="1" si="147"/>
        <v>3</v>
      </c>
      <c r="D644">
        <f t="shared" ca="1" si="148"/>
        <v>2</v>
      </c>
      <c r="E644">
        <f ca="1">IF($C644=1,OFFSET(E644,-1,0)+MAX(1,COUNTIF(QCI!$A$13:$A$24,OFFSET(ORÇAMENTO!E644,-1,0))),OFFSET(E644,-1,0))</f>
        <v>1</v>
      </c>
      <c r="F644">
        <f t="shared" ca="1" si="149"/>
        <v>18</v>
      </c>
      <c r="G644">
        <f t="shared" ca="1" si="150"/>
        <v>6</v>
      </c>
      <c r="H644">
        <f t="shared" ca="1" si="151"/>
        <v>0</v>
      </c>
      <c r="I644">
        <f t="shared" ca="1" si="152"/>
        <v>0</v>
      </c>
      <c r="J644">
        <f t="shared" ca="1" si="166"/>
        <v>2</v>
      </c>
      <c r="K644">
        <f ca="1">IF(OR($C644="S",$C644=0),0,MATCH(OFFSET($D644,0,$C644)+IF($C644&lt;&gt;1,1,COUNTIF(QCI!$A$13:$A$24,ORÇAMENTO!E644)),OFFSET($D644,1,$C644,ROW($C$747)-ROW($C644)),0))</f>
        <v>90</v>
      </c>
      <c r="L644" s="116" t="str">
        <f t="shared" ca="1" si="153"/>
        <v>F</v>
      </c>
      <c r="M644" s="117" t="s">
        <v>197</v>
      </c>
      <c r="N644" s="118" t="str">
        <f t="shared" ca="1" si="154"/>
        <v>Nível 3</v>
      </c>
      <c r="O644" s="119" t="str">
        <f t="shared" ca="1" si="155"/>
        <v>1.18.6.</v>
      </c>
      <c r="P644" s="120" t="s">
        <v>247</v>
      </c>
      <c r="Q644" s="121"/>
      <c r="R644" s="122" t="str">
        <f ca="1">IF($C644="S",REFERENCIA.Descricao,"CABEAMENTO")</f>
        <v>CABEAMENTO</v>
      </c>
      <c r="S644" s="123" t="str">
        <f ca="1">REFERENCIA.Unidade</f>
        <v>-</v>
      </c>
      <c r="T644" s="124">
        <f ca="1">OFFSET(CÁLCULO!H$15,ROW($T644)-ROW(T$15),0)</f>
        <v>0</v>
      </c>
      <c r="U644" s="125">
        <f t="shared" ca="1" si="172"/>
        <v>0</v>
      </c>
      <c r="V644" s="126" t="s">
        <v>156</v>
      </c>
      <c r="W644" s="124">
        <f ca="1">IF($C644="S",ROUND(IF(TIPOORCAMENTO="Proposto",ORÇAMENTO.CustoUnitario*(1+$AH644),ORÇAMENTO.PrecoUnitarioLicitado),15-13*$AF$10),0)</f>
        <v>0</v>
      </c>
      <c r="X644" s="127">
        <f ca="1">IF($C644="S",IF(Import.TipoArredondamento&lt;&gt;"TransfereGOV",VTOTAL1,SUM(OFFSET(CÁLCULO!$AA$15,ROW($X644)-ROW($X$15),1):OFFSET(CÁLCULO!$AL$15,ROW($X644)-ROW($X$15),-1))),IF($C644=0,0,ROUND(SomaAgrup,15-13*$AF$11)))</f>
        <v>0</v>
      </c>
      <c r="Y644" s="128" t="s">
        <v>245</v>
      </c>
      <c r="Z644" t="str">
        <f t="shared" ca="1" si="156"/>
        <v/>
      </c>
      <c r="AA644" s="129">
        <f ca="1">IF($C644="S",IF($Z644="CP",$X644,IF($Z644="RA",(($X644)*QCI!$AA$3),0)),SomaAgrup)</f>
        <v>0</v>
      </c>
      <c r="AB644" s="130">
        <f t="shared" ca="1" si="169"/>
        <v>0</v>
      </c>
      <c r="AC644" s="131" t="str">
        <f ca="1">IF($N644="","",IF(ORÇAMENTO.Descricao="","DESCRIÇÃO",IF(AND($C644="S",ORÇAMENTO.Unidade=""),"UNIDADE",IF($X644&lt;0,"VALOR NEGATIVO",IF(OR(AND(TIPOORCAMENTO="Proposto",$AG644&lt;&gt;"",$AG644&gt;0,ORÇAMENTO.CustoUnitario&gt;$AG644),AND(TIPOORCAMENTO="LICITADO",ORÇAMENTO.PrecoUnitarioLicitado&gt;$AN644)),"ACIMA REF.","")))))</f>
        <v/>
      </c>
      <c r="AD644" t="str">
        <f ca="1">IF(C644&lt;=CRONO.NivelExibicao,MAX($AD$15:OFFSET(AD644,-1,0))+IF($C644&lt;&gt;1,1,MAX(1,COUNTIF(QCI!$A$13:$A$24,OFFSET($E644,-1,0)))),"")</f>
        <v/>
      </c>
      <c r="AE644" s="7" t="b">
        <f ca="1">IF(AND($C644="S",ORÇAMENTO.CodBarra&lt;&gt;""),IF(ORÇAMENTO.Fonte="",ORÇAMENTO.CodBarra,CONCATENATE(ORÇAMENTO.Fonte," ",ORÇAMENTO.CodBarra)))</f>
        <v>0</v>
      </c>
      <c r="AF644" s="13" t="str">
        <f ca="1">IF(ISERROR(INDIRECT(ORÇAMENTO.BancoRef)),"(abra o arquivo 'Referência "&amp;Excel_BuiltIn_Database&amp;".xlsm)",IF(OR($C644&lt;&gt;"S",ORÇAMENTO.CodBarra=""),"(Sem Código)",IF(ISERROR(MATCH($AE644,INDIRECT(ORÇAMENTO.BancoRef),0)),"(Código não identificado nas referências)",MATCH($AE644,INDIRECT(ORÇAMENTO.BancoRef),0))))</f>
        <v>(abra o arquivo 'Referência 02-2025.xlsm)</v>
      </c>
      <c r="AG644" s="498">
        <f ca="1">ROUND(IF(DESONERACAO="sim",REFERENCIA.Desonerado,REFERENCIA.NaoDesonerado),2)</f>
        <v>0</v>
      </c>
      <c r="AH644" s="499">
        <f t="shared" ca="1" si="170"/>
        <v>0.22470000000000001</v>
      </c>
      <c r="AJ644" s="501"/>
      <c r="AL644" s="527"/>
      <c r="AM644" s="381">
        <f t="shared" ca="1" si="159"/>
        <v>0</v>
      </c>
      <c r="AN644" s="566">
        <f t="shared" ca="1" si="171"/>
        <v>0</v>
      </c>
    </row>
    <row r="645" spans="1:40" ht="25.5" x14ac:dyDescent="0.2">
      <c r="A645" t="str">
        <f t="shared" si="168"/>
        <v>S</v>
      </c>
      <c r="B645">
        <f t="shared" ca="1" si="146"/>
        <v>3</v>
      </c>
      <c r="C645" t="str">
        <f t="shared" ca="1" si="147"/>
        <v>S</v>
      </c>
      <c r="D645">
        <f t="shared" ca="1" si="148"/>
        <v>0</v>
      </c>
      <c r="E645">
        <f ca="1">IF($C645=1,OFFSET(E645,-1,0)+MAX(1,COUNTIF(QCI!$A$13:$A$24,OFFSET(ORÇAMENTO!E645,-1,0))),OFFSET(E645,-1,0))</f>
        <v>1</v>
      </c>
      <c r="F645">
        <f t="shared" ca="1" si="149"/>
        <v>18</v>
      </c>
      <c r="G645">
        <f t="shared" ca="1" si="150"/>
        <v>6</v>
      </c>
      <c r="H645">
        <f t="shared" ca="1" si="151"/>
        <v>0</v>
      </c>
      <c r="I645">
        <f t="shared" ca="1" si="152"/>
        <v>0</v>
      </c>
      <c r="J645">
        <f t="shared" ca="1" si="166"/>
        <v>0</v>
      </c>
      <c r="K645">
        <f ca="1">IF(OR($C645="S",$C645=0),0,MATCH(OFFSET($D645,0,$C645)+IF($C645&lt;&gt;1,1,COUNTIF(QCI!$A$13:$A$24,ORÇAMENTO!E645)),OFFSET($D645,1,$C645,ROW($C$747)-ROW($C645)),0))</f>
        <v>0</v>
      </c>
      <c r="L645" s="116" t="str">
        <f t="shared" ca="1" si="153"/>
        <v/>
      </c>
      <c r="M645" s="117" t="s">
        <v>199</v>
      </c>
      <c r="N645" s="118" t="str">
        <f t="shared" ca="1" si="154"/>
        <v>Serviço</v>
      </c>
      <c r="O645" s="119" t="str">
        <f t="shared" ca="1" si="155"/>
        <v>-</v>
      </c>
      <c r="P645" s="120" t="s">
        <v>247</v>
      </c>
      <c r="Q645" s="121" t="s">
        <v>706</v>
      </c>
      <c r="R645" s="122" t="str">
        <f ca="1">IF($C645="S",REFERENCIA.Descricao,"(digite a descrição aqui)")</f>
        <v>(abra o arquivo 'Referência 02-2025.xlsm)</v>
      </c>
      <c r="S645" s="123" t="str">
        <f ca="1">REFERENCIA.Unidade</f>
        <v>-</v>
      </c>
      <c r="T645" s="124">
        <f ca="1">OFFSET(CÁLCULO!H$15,ROW($T645)-ROW(T$15),0)</f>
        <v>1209.5</v>
      </c>
      <c r="U645" s="125">
        <f t="shared" ca="1" si="172"/>
        <v>0</v>
      </c>
      <c r="V645" s="126" t="s">
        <v>156</v>
      </c>
      <c r="W645" s="124">
        <f ca="1">IF($C645="S",ROUND(IF(TIPOORCAMENTO="Proposto",ORÇAMENTO.CustoUnitario*(1+$AH645),ORÇAMENTO.PrecoUnitarioLicitado),15-13*$AF$10),0)</f>
        <v>0</v>
      </c>
      <c r="X645" s="127">
        <f ca="1">IF($C645="S",IF(Import.TipoArredondamento&lt;&gt;"TransfereGOV",VTOTAL1,SUM(OFFSET(CÁLCULO!$AA$15,ROW($X645)-ROW($X$15),1):OFFSET(CÁLCULO!$AL$15,ROW($X645)-ROW($X$15),-1))),IF($C645=0,0,ROUND(SomaAgrup,15-13*$AF$11)))</f>
        <v>0</v>
      </c>
      <c r="Y645" s="128" t="s">
        <v>245</v>
      </c>
      <c r="Z645" t="str">
        <f t="shared" ca="1" si="156"/>
        <v/>
      </c>
      <c r="AA645" s="129">
        <f ca="1">IF($C645="S",IF($Z645="CP",$X645,IF($Z645="RA",(($X645)*QCI!$AA$3),0)),SomaAgrup)</f>
        <v>0</v>
      </c>
      <c r="AB645" s="130">
        <f t="shared" ca="1" si="169"/>
        <v>0</v>
      </c>
      <c r="AC645" s="131" t="str">
        <f ca="1">IF($N645="","",IF(ORÇAMENTO.Descricao="","DESCRIÇÃO",IF(AND($C645="S",ORÇAMENTO.Unidade=""),"UNIDADE",IF($X645&lt;0,"VALOR NEGATIVO",IF(OR(AND(TIPOORCAMENTO="Proposto",$AG645&lt;&gt;"",$AG645&gt;0,ORÇAMENTO.CustoUnitario&gt;$AG645),AND(TIPOORCAMENTO="LICITADO",ORÇAMENTO.PrecoUnitarioLicitado&gt;$AN645)),"ACIMA REF.","")))))</f>
        <v/>
      </c>
      <c r="AD645" t="str">
        <f ca="1">IF(C645&lt;=CRONO.NivelExibicao,MAX($AD$15:OFFSET(AD645,-1,0))+IF($C645&lt;&gt;1,1,MAX(1,COUNTIF(QCI!$A$13:$A$24,OFFSET($E645,-1,0)))),"")</f>
        <v/>
      </c>
      <c r="AE645" s="7" t="str">
        <f ca="1">IF(AND($C645="S",ORÇAMENTO.CodBarra&lt;&gt;""),IF(ORÇAMENTO.Fonte="",ORÇAMENTO.CodBarra,CONCATENATE(ORÇAMENTO.Fonte," ",ORÇAMENTO.CodBarra)))</f>
        <v>SINAPI 98297</v>
      </c>
      <c r="AF645" s="13" t="str">
        <f ca="1">IF(ISERROR(INDIRECT(ORÇAMENTO.BancoRef)),"(abra o arquivo 'Referência "&amp;Excel_BuiltIn_Database&amp;".xlsm)",IF(OR($C645&lt;&gt;"S",ORÇAMENTO.CodBarra=""),"(Sem Código)",IF(ISERROR(MATCH($AE645,INDIRECT(ORÇAMENTO.BancoRef),0)),"(Código não identificado nas referências)",MATCH($AE645,INDIRECT(ORÇAMENTO.BancoRef),0))))</f>
        <v>(abra o arquivo 'Referência 02-2025.xlsm)</v>
      </c>
      <c r="AG645" s="498">
        <f ca="1">ROUND(IF(DESONERACAO="sim",REFERENCIA.Desonerado,REFERENCIA.NaoDesonerado),2)</f>
        <v>0</v>
      </c>
      <c r="AH645" s="499">
        <f t="shared" ca="1" si="170"/>
        <v>0.22470000000000001</v>
      </c>
      <c r="AJ645" s="501">
        <v>1209.5</v>
      </c>
      <c r="AL645" s="527"/>
      <c r="AM645" s="381">
        <f t="shared" ca="1" si="159"/>
        <v>0</v>
      </c>
      <c r="AN645" s="566">
        <f t="shared" ca="1" si="171"/>
        <v>0</v>
      </c>
    </row>
    <row r="646" spans="1:40" ht="25.5" x14ac:dyDescent="0.2">
      <c r="A646">
        <f t="shared" si="168"/>
        <v>2</v>
      </c>
      <c r="B646">
        <f t="shared" ca="1" si="146"/>
        <v>2</v>
      </c>
      <c r="C646">
        <f t="shared" ca="1" si="147"/>
        <v>2</v>
      </c>
      <c r="D646">
        <f t="shared" ca="1" si="148"/>
        <v>7</v>
      </c>
      <c r="E646">
        <f ca="1">IF($C646=1,OFFSET(E646,-1,0)+MAX(1,COUNTIF(QCI!$A$13:$A$24,OFFSET(ORÇAMENTO!E646,-1,0))),OFFSET(E646,-1,0))</f>
        <v>1</v>
      </c>
      <c r="F646">
        <f t="shared" ca="1" si="149"/>
        <v>19</v>
      </c>
      <c r="G646">
        <f t="shared" ca="1" si="150"/>
        <v>0</v>
      </c>
      <c r="H646">
        <f t="shared" ca="1" si="151"/>
        <v>0</v>
      </c>
      <c r="I646">
        <f t="shared" ca="1" si="152"/>
        <v>0</v>
      </c>
      <c r="J646">
        <f t="shared" ca="1" si="166"/>
        <v>101</v>
      </c>
      <c r="K646">
        <f ca="1">IF(OR($C646="S",$C646=0),0,MATCH(OFFSET($D646,0,$C646)+IF($C646&lt;&gt;1,1,COUNTIF(QCI!$A$13:$A$24,ORÇAMENTO!E646)),OFFSET($D646,1,$C646,ROW($C$747)-ROW($C646)),0))</f>
        <v>7</v>
      </c>
      <c r="L646" s="116" t="str">
        <f t="shared" ca="1" si="153"/>
        <v>F</v>
      </c>
      <c r="M646" s="117" t="s">
        <v>196</v>
      </c>
      <c r="N646" s="118" t="str">
        <f t="shared" ca="1" si="154"/>
        <v>Nível 2</v>
      </c>
      <c r="O646" s="119" t="str">
        <f t="shared" ca="1" si="155"/>
        <v>1.19.</v>
      </c>
      <c r="P646" s="120" t="s">
        <v>247</v>
      </c>
      <c r="Q646" s="121"/>
      <c r="R646" s="122" t="str">
        <f ca="1">IF($C646="S",REFERENCIA.Descricao,"SISTEMA DE PROTEÇÃO CONTRA DESCARGAS ATMOSFÉRICAS (SPDA)")</f>
        <v>SISTEMA DE PROTEÇÃO CONTRA DESCARGAS ATMOSFÉRICAS (SPDA)</v>
      </c>
      <c r="S646" s="123" t="str">
        <f ca="1">REFERENCIA.Unidade</f>
        <v>-</v>
      </c>
      <c r="T646" s="124">
        <f ca="1">OFFSET(CÁLCULO!H$15,ROW($T646)-ROW(T$15),0)</f>
        <v>0</v>
      </c>
      <c r="U646" s="125">
        <f t="shared" ca="1" si="172"/>
        <v>0</v>
      </c>
      <c r="V646" s="126" t="s">
        <v>156</v>
      </c>
      <c r="W646" s="124">
        <f ca="1">IF($C646="S",ROUND(IF(TIPOORCAMENTO="Proposto",ORÇAMENTO.CustoUnitario*(1+$AH646),ORÇAMENTO.PrecoUnitarioLicitado),15-13*$AF$10),0)</f>
        <v>0</v>
      </c>
      <c r="X646" s="127">
        <f ca="1">IF($C646="S",IF(Import.TipoArredondamento&lt;&gt;"TransfereGOV",VTOTAL1,SUM(OFFSET(CÁLCULO!$AA$15,ROW($X646)-ROW($X$15),1):OFFSET(CÁLCULO!$AL$15,ROW($X646)-ROW($X$15),-1))),IF($C646=0,0,ROUND(SomaAgrup,15-13*$AF$11)))</f>
        <v>0</v>
      </c>
      <c r="Y646" s="128" t="s">
        <v>245</v>
      </c>
      <c r="Z646" t="str">
        <f t="shared" ca="1" si="156"/>
        <v/>
      </c>
      <c r="AA646" s="129">
        <f ca="1">IF($C646="S",IF($Z646="CP",$X646,IF($Z646="RA",(($X646)*QCI!$AA$3),0)),SomaAgrup)</f>
        <v>0</v>
      </c>
      <c r="AB646" s="130">
        <f t="shared" ca="1" si="169"/>
        <v>0</v>
      </c>
      <c r="AC646" s="131" t="str">
        <f ca="1">IF($N646="","",IF(ORÇAMENTO.Descricao="","DESCRIÇÃO",IF(AND($C646="S",ORÇAMENTO.Unidade=""),"UNIDADE",IF($X646&lt;0,"VALOR NEGATIVO",IF(OR(AND(TIPOORCAMENTO="Proposto",$AG646&lt;&gt;"",$AG646&gt;0,ORÇAMENTO.CustoUnitario&gt;$AG646),AND(TIPOORCAMENTO="LICITADO",ORÇAMENTO.PrecoUnitarioLicitado&gt;$AN646)),"ACIMA REF.","")))))</f>
        <v/>
      </c>
      <c r="AD646">
        <f ca="1">IF(C646&lt;=CRONO.NivelExibicao,MAX($AD$15:OFFSET(AD646,-1,0))+IF($C646&lt;&gt;1,1,MAX(1,COUNTIF(QCI!$A$13:$A$24,OFFSET($E646,-1,0)))),"")</f>
        <v>20</v>
      </c>
      <c r="AE646" s="7" t="b">
        <f ca="1">IF(AND($C646="S",ORÇAMENTO.CodBarra&lt;&gt;""),IF(ORÇAMENTO.Fonte="",ORÇAMENTO.CodBarra,CONCATENATE(ORÇAMENTO.Fonte," ",ORÇAMENTO.CodBarra)))</f>
        <v>0</v>
      </c>
      <c r="AF646" s="13" t="str">
        <f ca="1">IF(ISERROR(INDIRECT(ORÇAMENTO.BancoRef)),"(abra o arquivo 'Referência "&amp;Excel_BuiltIn_Database&amp;".xlsm)",IF(OR($C646&lt;&gt;"S",ORÇAMENTO.CodBarra=""),"(Sem Código)",IF(ISERROR(MATCH($AE646,INDIRECT(ORÇAMENTO.BancoRef),0)),"(Código não identificado nas referências)",MATCH($AE646,INDIRECT(ORÇAMENTO.BancoRef),0))))</f>
        <v>(abra o arquivo 'Referência 02-2025.xlsm)</v>
      </c>
      <c r="AG646" s="498">
        <f ca="1">ROUND(IF(DESONERACAO="sim",REFERENCIA.Desonerado,REFERENCIA.NaoDesonerado),2)</f>
        <v>0</v>
      </c>
      <c r="AH646" s="499">
        <f t="shared" ca="1" si="170"/>
        <v>0.22470000000000001</v>
      </c>
      <c r="AJ646" s="501"/>
      <c r="AL646" s="527"/>
      <c r="AM646" s="381">
        <f t="shared" ca="1" si="159"/>
        <v>0</v>
      </c>
      <c r="AN646" s="566">
        <f t="shared" ca="1" si="171"/>
        <v>0</v>
      </c>
    </row>
    <row r="647" spans="1:40" ht="25.5" x14ac:dyDescent="0.2">
      <c r="A647" t="str">
        <f t="shared" si="168"/>
        <v>S</v>
      </c>
      <c r="B647">
        <f t="shared" ca="1" si="146"/>
        <v>2</v>
      </c>
      <c r="C647" t="str">
        <f t="shared" ca="1" si="147"/>
        <v>S</v>
      </c>
      <c r="D647">
        <f t="shared" ca="1" si="148"/>
        <v>0</v>
      </c>
      <c r="E647">
        <f ca="1">IF($C647=1,OFFSET(E647,-1,0)+MAX(1,COUNTIF(QCI!$A$13:$A$24,OFFSET(ORÇAMENTO!E647,-1,0))),OFFSET(E647,-1,0))</f>
        <v>1</v>
      </c>
      <c r="F647">
        <f t="shared" ca="1" si="149"/>
        <v>19</v>
      </c>
      <c r="G647">
        <f t="shared" ca="1" si="150"/>
        <v>0</v>
      </c>
      <c r="H647">
        <f t="shared" ca="1" si="151"/>
        <v>0</v>
      </c>
      <c r="I647">
        <f t="shared" ca="1" si="152"/>
        <v>0</v>
      </c>
      <c r="J647">
        <f t="shared" ca="1" si="166"/>
        <v>0</v>
      </c>
      <c r="K647">
        <f ca="1">IF(OR($C647="S",$C647=0),0,MATCH(OFFSET($D647,0,$C647)+IF($C647&lt;&gt;1,1,COUNTIF(QCI!$A$13:$A$24,ORÇAMENTO!E647)),OFFSET($D647,1,$C647,ROW($C$747)-ROW($C647)),0))</f>
        <v>0</v>
      </c>
      <c r="L647" s="116" t="str">
        <f t="shared" ca="1" si="153"/>
        <v/>
      </c>
      <c r="M647" s="117" t="s">
        <v>199</v>
      </c>
      <c r="N647" s="118" t="str">
        <f t="shared" ca="1" si="154"/>
        <v>Serviço</v>
      </c>
      <c r="O647" s="119" t="str">
        <f t="shared" ca="1" si="155"/>
        <v>-</v>
      </c>
      <c r="P647" s="120" t="s">
        <v>247</v>
      </c>
      <c r="Q647" s="121" t="s">
        <v>707</v>
      </c>
      <c r="R647" s="122" t="str">
        <f ca="1">IF($C647="S",REFERENCIA.Descricao,"(digite a descrição aqui)")</f>
        <v>(abra o arquivo 'Referência 02-2025.xlsm)</v>
      </c>
      <c r="S647" s="123" t="str">
        <f ca="1">REFERENCIA.Unidade</f>
        <v>-</v>
      </c>
      <c r="T647" s="124">
        <f ca="1">OFFSET(CÁLCULO!H$15,ROW($T647)-ROW(T$15),0)</f>
        <v>15</v>
      </c>
      <c r="U647" s="125">
        <f t="shared" ca="1" si="172"/>
        <v>0</v>
      </c>
      <c r="V647" s="126" t="s">
        <v>156</v>
      </c>
      <c r="W647" s="124">
        <f ca="1">IF($C647="S",ROUND(IF(TIPOORCAMENTO="Proposto",ORÇAMENTO.CustoUnitario*(1+$AH647),ORÇAMENTO.PrecoUnitarioLicitado),15-13*$AF$10),0)</f>
        <v>0</v>
      </c>
      <c r="X647" s="127">
        <f ca="1">IF($C647="S",IF(Import.TipoArredondamento&lt;&gt;"TransfereGOV",VTOTAL1,SUM(OFFSET(CÁLCULO!$AA$15,ROW($X647)-ROW($X$15),1):OFFSET(CÁLCULO!$AL$15,ROW($X647)-ROW($X$15),-1))),IF($C647=0,0,ROUND(SomaAgrup,15-13*$AF$11)))</f>
        <v>0</v>
      </c>
      <c r="Y647" s="128" t="s">
        <v>245</v>
      </c>
      <c r="Z647" t="str">
        <f t="shared" ca="1" si="156"/>
        <v/>
      </c>
      <c r="AA647" s="129">
        <f ca="1">IF($C647="S",IF($Z647="CP",$X647,IF($Z647="RA",(($X647)*QCI!$AA$3),0)),SomaAgrup)</f>
        <v>0</v>
      </c>
      <c r="AB647" s="130">
        <f t="shared" ca="1" si="169"/>
        <v>0</v>
      </c>
      <c r="AC647" s="131" t="str">
        <f ca="1">IF($N647="","",IF(ORÇAMENTO.Descricao="","DESCRIÇÃO",IF(AND($C647="S",ORÇAMENTO.Unidade=""),"UNIDADE",IF($X647&lt;0,"VALOR NEGATIVO",IF(OR(AND(TIPOORCAMENTO="Proposto",$AG647&lt;&gt;"",$AG647&gt;0,ORÇAMENTO.CustoUnitario&gt;$AG647),AND(TIPOORCAMENTO="LICITADO",ORÇAMENTO.PrecoUnitarioLicitado&gt;$AN647)),"ACIMA REF.","")))))</f>
        <v/>
      </c>
      <c r="AD647" t="str">
        <f ca="1">IF(C647&lt;=CRONO.NivelExibicao,MAX($AD$15:OFFSET(AD647,-1,0))+IF($C647&lt;&gt;1,1,MAX(1,COUNTIF(QCI!$A$13:$A$24,OFFSET($E647,-1,0)))),"")</f>
        <v/>
      </c>
      <c r="AE647" s="7" t="str">
        <f ca="1">IF(AND($C647="S",ORÇAMENTO.CodBarra&lt;&gt;""),IF(ORÇAMENTO.Fonte="",ORÇAMENTO.CodBarra,CONCATENATE(ORÇAMENTO.Fonte," ",ORÇAMENTO.CodBarra)))</f>
        <v>SINAPI 98111</v>
      </c>
      <c r="AF647" s="13" t="str">
        <f ca="1">IF(ISERROR(INDIRECT(ORÇAMENTO.BancoRef)),"(abra o arquivo 'Referência "&amp;Excel_BuiltIn_Database&amp;".xlsm)",IF(OR($C647&lt;&gt;"S",ORÇAMENTO.CodBarra=""),"(Sem Código)",IF(ISERROR(MATCH($AE647,INDIRECT(ORÇAMENTO.BancoRef),0)),"(Código não identificado nas referências)",MATCH($AE647,INDIRECT(ORÇAMENTO.BancoRef),0))))</f>
        <v>(abra o arquivo 'Referência 02-2025.xlsm)</v>
      </c>
      <c r="AG647" s="498">
        <f ca="1">ROUND(IF(DESONERACAO="sim",REFERENCIA.Desonerado,REFERENCIA.NaoDesonerado),2)</f>
        <v>0</v>
      </c>
      <c r="AH647" s="499">
        <f t="shared" ca="1" si="170"/>
        <v>0.22470000000000001</v>
      </c>
      <c r="AJ647" s="501">
        <v>15</v>
      </c>
      <c r="AL647" s="527"/>
      <c r="AM647" s="381">
        <f t="shared" ca="1" si="159"/>
        <v>0</v>
      </c>
      <c r="AN647" s="566">
        <f t="shared" ca="1" si="171"/>
        <v>0</v>
      </c>
    </row>
    <row r="648" spans="1:40" ht="25.5" x14ac:dyDescent="0.2">
      <c r="A648" t="str">
        <f t="shared" si="168"/>
        <v>S</v>
      </c>
      <c r="B648">
        <f t="shared" ca="1" si="146"/>
        <v>2</v>
      </c>
      <c r="C648" t="str">
        <f t="shared" ca="1" si="147"/>
        <v>S</v>
      </c>
      <c r="D648">
        <f t="shared" ca="1" si="148"/>
        <v>0</v>
      </c>
      <c r="E648">
        <f ca="1">IF($C648=1,OFFSET(E648,-1,0)+MAX(1,COUNTIF(QCI!$A$13:$A$24,OFFSET(ORÇAMENTO!E648,-1,0))),OFFSET(E648,-1,0))</f>
        <v>1</v>
      </c>
      <c r="F648">
        <f t="shared" ca="1" si="149"/>
        <v>19</v>
      </c>
      <c r="G648">
        <f t="shared" ca="1" si="150"/>
        <v>0</v>
      </c>
      <c r="H648">
        <f t="shared" ca="1" si="151"/>
        <v>0</v>
      </c>
      <c r="I648">
        <f t="shared" ca="1" si="152"/>
        <v>0</v>
      </c>
      <c r="J648">
        <f t="shared" ca="1" si="166"/>
        <v>0</v>
      </c>
      <c r="K648">
        <f ca="1">IF(OR($C648="S",$C648=0),0,MATCH(OFFSET($D648,0,$C648)+IF($C648&lt;&gt;1,1,COUNTIF(QCI!$A$13:$A$24,ORÇAMENTO!E648)),OFFSET($D648,1,$C648,ROW($C$747)-ROW($C648)),0))</f>
        <v>0</v>
      </c>
      <c r="L648" s="116" t="str">
        <f t="shared" ca="1" si="153"/>
        <v/>
      </c>
      <c r="M648" s="117" t="s">
        <v>199</v>
      </c>
      <c r="N648" s="118" t="str">
        <f t="shared" ca="1" si="154"/>
        <v>Serviço</v>
      </c>
      <c r="O648" s="119" t="str">
        <f t="shared" ca="1" si="155"/>
        <v>-</v>
      </c>
      <c r="P648" s="120" t="s">
        <v>247</v>
      </c>
      <c r="Q648" s="121" t="s">
        <v>708</v>
      </c>
      <c r="R648" s="122" t="str">
        <f ca="1">IF($C648="S",REFERENCIA.Descricao,"(digite a descrição aqui)")</f>
        <v>(abra o arquivo 'Referência 02-2025.xlsm)</v>
      </c>
      <c r="S648" s="123" t="str">
        <f ca="1">REFERENCIA.Unidade</f>
        <v>-</v>
      </c>
      <c r="T648" s="124">
        <f ca="1">OFFSET(CÁLCULO!H$15,ROW($T648)-ROW(T$15),0)</f>
        <v>15</v>
      </c>
      <c r="U648" s="125">
        <f t="shared" ca="1" si="172"/>
        <v>0</v>
      </c>
      <c r="V648" s="126" t="s">
        <v>156</v>
      </c>
      <c r="W648" s="124">
        <f ca="1">IF($C648="S",ROUND(IF(TIPOORCAMENTO="Proposto",ORÇAMENTO.CustoUnitario*(1+$AH648),ORÇAMENTO.PrecoUnitarioLicitado),15-13*$AF$10),0)</f>
        <v>0</v>
      </c>
      <c r="X648" s="127">
        <f ca="1">IF($C648="S",IF(Import.TipoArredondamento&lt;&gt;"TransfereGOV",VTOTAL1,SUM(OFFSET(CÁLCULO!$AA$15,ROW($X648)-ROW($X$15),1):OFFSET(CÁLCULO!$AL$15,ROW($X648)-ROW($X$15),-1))),IF($C648=0,0,ROUND(SomaAgrup,15-13*$AF$11)))</f>
        <v>0</v>
      </c>
      <c r="Y648" s="128" t="s">
        <v>245</v>
      </c>
      <c r="Z648" t="str">
        <f t="shared" ca="1" si="156"/>
        <v/>
      </c>
      <c r="AA648" s="129">
        <f ca="1">IF($C648="S",IF($Z648="CP",$X648,IF($Z648="RA",(($X648)*QCI!$AA$3),0)),SomaAgrup)</f>
        <v>0</v>
      </c>
      <c r="AB648" s="130">
        <f t="shared" ca="1" si="169"/>
        <v>0</v>
      </c>
      <c r="AC648" s="131" t="str">
        <f ca="1">IF($N648="","",IF(ORÇAMENTO.Descricao="","DESCRIÇÃO",IF(AND($C648="S",ORÇAMENTO.Unidade=""),"UNIDADE",IF($X648&lt;0,"VALOR NEGATIVO",IF(OR(AND(TIPOORCAMENTO="Proposto",$AG648&lt;&gt;"",$AG648&gt;0,ORÇAMENTO.CustoUnitario&gt;$AG648),AND(TIPOORCAMENTO="LICITADO",ORÇAMENTO.PrecoUnitarioLicitado&gt;$AN648)),"ACIMA REF.","")))))</f>
        <v/>
      </c>
      <c r="AD648" t="str">
        <f ca="1">IF(C648&lt;=CRONO.NivelExibicao,MAX($AD$15:OFFSET(AD648,-1,0))+IF($C648&lt;&gt;1,1,MAX(1,COUNTIF(QCI!$A$13:$A$24,OFFSET($E648,-1,0)))),"")</f>
        <v/>
      </c>
      <c r="AE648" s="7" t="str">
        <f ca="1">IF(AND($C648="S",ORÇAMENTO.CodBarra&lt;&gt;""),IF(ORÇAMENTO.Fonte="",ORÇAMENTO.CodBarra,CONCATENATE(ORÇAMENTO.Fonte," ",ORÇAMENTO.CodBarra)))</f>
        <v>SINAPI 96985</v>
      </c>
      <c r="AF648" s="13" t="str">
        <f ca="1">IF(ISERROR(INDIRECT(ORÇAMENTO.BancoRef)),"(abra o arquivo 'Referência "&amp;Excel_BuiltIn_Database&amp;".xlsm)",IF(OR($C648&lt;&gt;"S",ORÇAMENTO.CodBarra=""),"(Sem Código)",IF(ISERROR(MATCH($AE648,INDIRECT(ORÇAMENTO.BancoRef),0)),"(Código não identificado nas referências)",MATCH($AE648,INDIRECT(ORÇAMENTO.BancoRef),0))))</f>
        <v>(abra o arquivo 'Referência 02-2025.xlsm)</v>
      </c>
      <c r="AG648" s="498">
        <f ca="1">ROUND(IF(DESONERACAO="sim",REFERENCIA.Desonerado,REFERENCIA.NaoDesonerado),2)</f>
        <v>0</v>
      </c>
      <c r="AH648" s="499">
        <f t="shared" ca="1" si="170"/>
        <v>0.22470000000000001</v>
      </c>
      <c r="AJ648" s="501">
        <v>15</v>
      </c>
      <c r="AL648" s="527"/>
      <c r="AM648" s="381">
        <f t="shared" ca="1" si="159"/>
        <v>0</v>
      </c>
      <c r="AN648" s="566">
        <f t="shared" ca="1" si="171"/>
        <v>0</v>
      </c>
    </row>
    <row r="649" spans="1:40" x14ac:dyDescent="0.2">
      <c r="A649" t="str">
        <f t="shared" si="168"/>
        <v>S</v>
      </c>
      <c r="B649">
        <f t="shared" ca="1" si="146"/>
        <v>2</v>
      </c>
      <c r="C649" t="str">
        <f t="shared" ca="1" si="147"/>
        <v>S</v>
      </c>
      <c r="D649">
        <f t="shared" ca="1" si="148"/>
        <v>0</v>
      </c>
      <c r="E649">
        <f ca="1">IF($C649=1,OFFSET(E649,-1,0)+MAX(1,COUNTIF(QCI!$A$13:$A$24,OFFSET(ORÇAMENTO!E649,-1,0))),OFFSET(E649,-1,0))</f>
        <v>1</v>
      </c>
      <c r="F649">
        <f t="shared" ca="1" si="149"/>
        <v>19</v>
      </c>
      <c r="G649">
        <f t="shared" ca="1" si="150"/>
        <v>0</v>
      </c>
      <c r="H649">
        <f t="shared" ca="1" si="151"/>
        <v>0</v>
      </c>
      <c r="I649">
        <f t="shared" ca="1" si="152"/>
        <v>0</v>
      </c>
      <c r="J649">
        <f t="shared" ref="J649:J712" ca="1" si="173">IF(OR($C649="S",$C649=0),0,MATCH(0,OFFSET($D649,1,$C649,ROW($C$747)-ROW($C649)),0))</f>
        <v>0</v>
      </c>
      <c r="K649">
        <f ca="1">IF(OR($C649="S",$C649=0),0,MATCH(OFFSET($D649,0,$C649)+IF($C649&lt;&gt;1,1,COUNTIF(QCI!$A$13:$A$24,ORÇAMENTO!E649)),OFFSET($D649,1,$C649,ROW($C$747)-ROW($C649)),0))</f>
        <v>0</v>
      </c>
      <c r="L649" s="116" t="str">
        <f t="shared" ca="1" si="153"/>
        <v/>
      </c>
      <c r="M649" s="117" t="s">
        <v>199</v>
      </c>
      <c r="N649" s="118" t="str">
        <f t="shared" ca="1" si="154"/>
        <v>Serviço</v>
      </c>
      <c r="O649" s="119" t="str">
        <f t="shared" ca="1" si="155"/>
        <v>-</v>
      </c>
      <c r="P649" s="120" t="s">
        <v>712</v>
      </c>
      <c r="Q649" s="121" t="s">
        <v>869</v>
      </c>
      <c r="R649" s="122" t="str">
        <f ca="1">IF($C649="S",REFERENCIA.Descricao,"(digite a descrição aqui)")</f>
        <v>(abra o arquivo 'Referência 02-2025.xlsm)</v>
      </c>
      <c r="S649" s="123" t="str">
        <f ca="1">REFERENCIA.Unidade</f>
        <v>-</v>
      </c>
      <c r="T649" s="124">
        <f ca="1">OFFSET(CÁLCULO!H$15,ROW($T649)-ROW(T$15),0)</f>
        <v>48</v>
      </c>
      <c r="U649" s="125">
        <f t="shared" ca="1" si="172"/>
        <v>0</v>
      </c>
      <c r="V649" s="126" t="s">
        <v>156</v>
      </c>
      <c r="W649" s="124">
        <f ca="1">IF($C649="S",ROUND(IF(TIPOORCAMENTO="Proposto",ORÇAMENTO.CustoUnitario*(1+$AH649),ORÇAMENTO.PrecoUnitarioLicitado),15-13*$AF$10),0)</f>
        <v>0</v>
      </c>
      <c r="X649" s="127">
        <f ca="1">IF($C649="S",IF(Import.TipoArredondamento&lt;&gt;"TransfereGOV",VTOTAL1,SUM(OFFSET(CÁLCULO!$AA$15,ROW($X649)-ROW($X$15),1):OFFSET(CÁLCULO!$AL$15,ROW($X649)-ROW($X$15),-1))),IF($C649=0,0,ROUND(SomaAgrup,15-13*$AF$11)))</f>
        <v>0</v>
      </c>
      <c r="Y649" s="128" t="s">
        <v>245</v>
      </c>
      <c r="Z649" t="str">
        <f t="shared" ca="1" si="156"/>
        <v/>
      </c>
      <c r="AA649" s="129">
        <f ca="1">IF($C649="S",IF($Z649="CP",$X649,IF($Z649="RA",(($X649)*QCI!$AA$3),0)),SomaAgrup)</f>
        <v>0</v>
      </c>
      <c r="AB649" s="130">
        <f t="shared" ca="1" si="169"/>
        <v>0</v>
      </c>
      <c r="AC649" s="131" t="str">
        <f ca="1">IF($N649="","",IF(ORÇAMENTO.Descricao="","DESCRIÇÃO",IF(AND($C649="S",ORÇAMENTO.Unidade=""),"UNIDADE",IF($X649&lt;0,"VALOR NEGATIVO",IF(OR(AND(TIPOORCAMENTO="Proposto",$AG649&lt;&gt;"",$AG649&gt;0,ORÇAMENTO.CustoUnitario&gt;$AG649),AND(TIPOORCAMENTO="LICITADO",ORÇAMENTO.PrecoUnitarioLicitado&gt;$AN649)),"ACIMA REF.","")))))</f>
        <v/>
      </c>
      <c r="AD649" t="str">
        <f ca="1">IF(C649&lt;=CRONO.NivelExibicao,MAX($AD$15:OFFSET(AD649,-1,0))+IF($C649&lt;&gt;1,1,MAX(1,COUNTIF(QCI!$A$13:$A$24,OFFSET($E649,-1,0)))),"")</f>
        <v/>
      </c>
      <c r="AE649" s="7" t="str">
        <f ca="1">IF(AND($C649="S",ORÇAMENTO.CodBarra&lt;&gt;""),IF(ORÇAMENTO.Fonte="",ORÇAMENTO.CodBarra,CONCATENATE(ORÇAMENTO.Fonte," ",ORÇAMENTO.CodBarra)))</f>
        <v>Composição C3478</v>
      </c>
      <c r="AF649" s="13" t="str">
        <f ca="1">IF(ISERROR(INDIRECT(ORÇAMENTO.BancoRef)),"(abra o arquivo 'Referência "&amp;Excel_BuiltIn_Database&amp;".xlsm)",IF(OR($C649&lt;&gt;"S",ORÇAMENTO.CodBarra=""),"(Sem Código)",IF(ISERROR(MATCH($AE649,INDIRECT(ORÇAMENTO.BancoRef),0)),"(Código não identificado nas referências)",MATCH($AE649,INDIRECT(ORÇAMENTO.BancoRef),0))))</f>
        <v>(abra o arquivo 'Referência 02-2025.xlsm)</v>
      </c>
      <c r="AG649" s="498">
        <f ca="1">ROUND(IF(DESONERACAO="sim",REFERENCIA.Desonerado,REFERENCIA.NaoDesonerado),2)</f>
        <v>0</v>
      </c>
      <c r="AH649" s="499">
        <f t="shared" ca="1" si="170"/>
        <v>0.22470000000000001</v>
      </c>
      <c r="AJ649" s="501">
        <v>48</v>
      </c>
      <c r="AL649" s="527"/>
      <c r="AM649" s="381">
        <f t="shared" ca="1" si="159"/>
        <v>0</v>
      </c>
      <c r="AN649" s="566">
        <f t="shared" ca="1" si="171"/>
        <v>0</v>
      </c>
    </row>
    <row r="650" spans="1:40" ht="25.5" x14ac:dyDescent="0.2">
      <c r="A650" t="str">
        <f t="shared" si="168"/>
        <v>S</v>
      </c>
      <c r="B650">
        <f t="shared" ca="1" si="146"/>
        <v>2</v>
      </c>
      <c r="C650" t="str">
        <f t="shared" ca="1" si="147"/>
        <v>S</v>
      </c>
      <c r="D650">
        <f t="shared" ca="1" si="148"/>
        <v>0</v>
      </c>
      <c r="E650">
        <f ca="1">IF($C650=1,OFFSET(E650,-1,0)+MAX(1,COUNTIF(QCI!$A$13:$A$24,OFFSET(ORÇAMENTO!E650,-1,0))),OFFSET(E650,-1,0))</f>
        <v>1</v>
      </c>
      <c r="F650">
        <f t="shared" ca="1" si="149"/>
        <v>19</v>
      </c>
      <c r="G650">
        <f t="shared" ca="1" si="150"/>
        <v>0</v>
      </c>
      <c r="H650">
        <f t="shared" ca="1" si="151"/>
        <v>0</v>
      </c>
      <c r="I650">
        <f t="shared" ca="1" si="152"/>
        <v>0</v>
      </c>
      <c r="J650">
        <f t="shared" ca="1" si="173"/>
        <v>0</v>
      </c>
      <c r="K650">
        <f ca="1">IF(OR($C650="S",$C650=0),0,MATCH(OFFSET($D650,0,$C650)+IF($C650&lt;&gt;1,1,COUNTIF(QCI!$A$13:$A$24,ORÇAMENTO!E650)),OFFSET($D650,1,$C650,ROW($C$747)-ROW($C650)),0))</f>
        <v>0</v>
      </c>
      <c r="L650" s="116" t="str">
        <f t="shared" ca="1" si="153"/>
        <v/>
      </c>
      <c r="M650" s="117" t="s">
        <v>199</v>
      </c>
      <c r="N650" s="118" t="str">
        <f t="shared" ca="1" si="154"/>
        <v>Serviço</v>
      </c>
      <c r="O650" s="119" t="str">
        <f t="shared" ca="1" si="155"/>
        <v>-</v>
      </c>
      <c r="P650" s="120" t="s">
        <v>1031</v>
      </c>
      <c r="Q650" s="121" t="s">
        <v>1032</v>
      </c>
      <c r="R650" s="122" t="str">
        <f ca="1">IF($C650="S",REFERENCIA.Descricao,"(digite a descrição aqui)")</f>
        <v>(abra o arquivo 'Referência 02-2025.xlsm)</v>
      </c>
      <c r="S650" s="123" t="str">
        <f ca="1">REFERENCIA.Unidade</f>
        <v>-</v>
      </c>
      <c r="T650" s="124">
        <f ca="1">OFFSET(CÁLCULO!H$15,ROW($T650)-ROW(T$15),0)</f>
        <v>280</v>
      </c>
      <c r="U650" s="125">
        <f t="shared" ca="1" si="172"/>
        <v>0</v>
      </c>
      <c r="V650" s="126" t="s">
        <v>156</v>
      </c>
      <c r="W650" s="124">
        <f ca="1">IF($C650="S",ROUND(IF(TIPOORCAMENTO="Proposto",ORÇAMENTO.CustoUnitario*(1+$AH650),ORÇAMENTO.PrecoUnitarioLicitado),15-13*$AF$10),0)</f>
        <v>0</v>
      </c>
      <c r="X650" s="127">
        <f ca="1">IF($C650="S",IF(Import.TipoArredondamento&lt;&gt;"TransfereGOV",VTOTAL1,SUM(OFFSET(CÁLCULO!$AA$15,ROW($X650)-ROW($X$15),1):OFFSET(CÁLCULO!$AL$15,ROW($X650)-ROW($X$15),-1))),IF($C650=0,0,ROUND(SomaAgrup,15-13*$AF$11)))</f>
        <v>0</v>
      </c>
      <c r="Y650" s="128" t="s">
        <v>245</v>
      </c>
      <c r="Z650" t="str">
        <f t="shared" ca="1" si="156"/>
        <v/>
      </c>
      <c r="AA650" s="129">
        <f ca="1">IF($C650="S",IF($Z650="CP",$X650,IF($Z650="RA",(($X650)*QCI!$AA$3),0)),SomaAgrup)</f>
        <v>0</v>
      </c>
      <c r="AB650" s="130">
        <f t="shared" ca="1" si="169"/>
        <v>0</v>
      </c>
      <c r="AC650" s="131" t="str">
        <f ca="1">IF($N650="","",IF(ORÇAMENTO.Descricao="","DESCRIÇÃO",IF(AND($C650="S",ORÇAMENTO.Unidade=""),"UNIDADE",IF($X650&lt;0,"VALOR NEGATIVO",IF(OR(AND(TIPOORCAMENTO="Proposto",$AG650&lt;&gt;"",$AG650&gt;0,ORÇAMENTO.CustoUnitario&gt;$AG650),AND(TIPOORCAMENTO="LICITADO",ORÇAMENTO.PrecoUnitarioLicitado&gt;$AN650)),"ACIMA REF.","")))))</f>
        <v/>
      </c>
      <c r="AD650" t="str">
        <f ca="1">IF(C650&lt;=CRONO.NivelExibicao,MAX($AD$15:OFFSET(AD650,-1,0))+IF($C650&lt;&gt;1,1,MAX(1,COUNTIF(QCI!$A$13:$A$24,OFFSET($E650,-1,0)))),"")</f>
        <v/>
      </c>
      <c r="AE650" s="7" t="str">
        <f ca="1">IF(AND($C650="S",ORÇAMENTO.CodBarra&lt;&gt;""),IF(ORÇAMENTO.Fonte="",ORÇAMENTO.CodBarra,CONCATENATE(ORÇAMENTO.Fonte," ",ORÇAMENTO.CodBarra)))</f>
        <v>SPObras 42.05.440</v>
      </c>
      <c r="AF650" s="13" t="str">
        <f ca="1">IF(ISERROR(INDIRECT(ORÇAMENTO.BancoRef)),"(abra o arquivo 'Referência "&amp;Excel_BuiltIn_Database&amp;".xlsm)",IF(OR($C650&lt;&gt;"S",ORÇAMENTO.CodBarra=""),"(Sem Código)",IF(ISERROR(MATCH($AE650,INDIRECT(ORÇAMENTO.BancoRef),0)),"(Código não identificado nas referências)",MATCH($AE650,INDIRECT(ORÇAMENTO.BancoRef),0))))</f>
        <v>(abra o arquivo 'Referência 02-2025.xlsm)</v>
      </c>
      <c r="AG650" s="498">
        <f ca="1">ROUND(IF(DESONERACAO="sim",REFERENCIA.Desonerado,REFERENCIA.NaoDesonerado),2)</f>
        <v>0</v>
      </c>
      <c r="AH650" s="499">
        <f t="shared" ca="1" si="170"/>
        <v>0.22470000000000001</v>
      </c>
      <c r="AJ650" s="501">
        <v>280</v>
      </c>
      <c r="AL650" s="527"/>
      <c r="AM650" s="381">
        <f t="shared" ca="1" si="159"/>
        <v>0</v>
      </c>
      <c r="AN650" s="566">
        <f t="shared" ca="1" si="171"/>
        <v>0</v>
      </c>
    </row>
    <row r="651" spans="1:40" ht="25.5" x14ac:dyDescent="0.2">
      <c r="A651" t="str">
        <f t="shared" si="168"/>
        <v>S</v>
      </c>
      <c r="B651">
        <f t="shared" ca="1" si="146"/>
        <v>2</v>
      </c>
      <c r="C651" t="str">
        <f t="shared" ca="1" si="147"/>
        <v>S</v>
      </c>
      <c r="D651">
        <f t="shared" ca="1" si="148"/>
        <v>0</v>
      </c>
      <c r="E651">
        <f ca="1">IF($C651=1,OFFSET(E651,-1,0)+MAX(1,COUNTIF(QCI!$A$13:$A$24,OFFSET(ORÇAMENTO!E651,-1,0))),OFFSET(E651,-1,0))</f>
        <v>1</v>
      </c>
      <c r="F651">
        <f t="shared" ca="1" si="149"/>
        <v>19</v>
      </c>
      <c r="G651">
        <f t="shared" ca="1" si="150"/>
        <v>0</v>
      </c>
      <c r="H651">
        <f t="shared" ca="1" si="151"/>
        <v>0</v>
      </c>
      <c r="I651">
        <f t="shared" ca="1" si="152"/>
        <v>0</v>
      </c>
      <c r="J651">
        <f t="shared" ca="1" si="173"/>
        <v>0</v>
      </c>
      <c r="K651">
        <f ca="1">IF(OR($C651="S",$C651=0),0,MATCH(OFFSET($D651,0,$C651)+IF($C651&lt;&gt;1,1,COUNTIF(QCI!$A$13:$A$24,ORÇAMENTO!E651)),OFFSET($D651,1,$C651,ROW($C$747)-ROW($C651)),0))</f>
        <v>0</v>
      </c>
      <c r="L651" s="116" t="str">
        <f t="shared" ca="1" si="153"/>
        <v/>
      </c>
      <c r="M651" s="117" t="s">
        <v>199</v>
      </c>
      <c r="N651" s="118" t="str">
        <f t="shared" ca="1" si="154"/>
        <v>Serviço</v>
      </c>
      <c r="O651" s="119" t="str">
        <f t="shared" ca="1" si="155"/>
        <v>-</v>
      </c>
      <c r="P651" s="120" t="s">
        <v>247</v>
      </c>
      <c r="Q651" s="121" t="s">
        <v>709</v>
      </c>
      <c r="R651" s="122" t="str">
        <f ca="1">IF($C651="S",REFERENCIA.Descricao,"(digite a descrição aqui)")</f>
        <v>(abra o arquivo 'Referência 02-2025.xlsm)</v>
      </c>
      <c r="S651" s="123" t="str">
        <f ca="1">REFERENCIA.Unidade</f>
        <v>-</v>
      </c>
      <c r="T651" s="124">
        <f ca="1">OFFSET(CÁLCULO!H$15,ROW($T651)-ROW(T$15),0)</f>
        <v>310</v>
      </c>
      <c r="U651" s="125">
        <f t="shared" ca="1" si="172"/>
        <v>0</v>
      </c>
      <c r="V651" s="126" t="s">
        <v>156</v>
      </c>
      <c r="W651" s="124">
        <f ca="1">IF($C651="S",ROUND(IF(TIPOORCAMENTO="Proposto",ORÇAMENTO.CustoUnitario*(1+$AH651),ORÇAMENTO.PrecoUnitarioLicitado),15-13*$AF$10),0)</f>
        <v>0</v>
      </c>
      <c r="X651" s="127">
        <f ca="1">IF($C651="S",IF(Import.TipoArredondamento&lt;&gt;"TransfereGOV",VTOTAL1,SUM(OFFSET(CÁLCULO!$AA$15,ROW($X651)-ROW($X$15),1):OFFSET(CÁLCULO!$AL$15,ROW($X651)-ROW($X$15),-1))),IF($C651=0,0,ROUND(SomaAgrup,15-13*$AF$11)))</f>
        <v>0</v>
      </c>
      <c r="Y651" s="128" t="s">
        <v>245</v>
      </c>
      <c r="Z651" t="str">
        <f t="shared" ca="1" si="156"/>
        <v/>
      </c>
      <c r="AA651" s="129">
        <f ca="1">IF($C651="S",IF($Z651="CP",$X651,IF($Z651="RA",(($X651)*QCI!$AA$3),0)),SomaAgrup)</f>
        <v>0</v>
      </c>
      <c r="AB651" s="130">
        <f t="shared" ca="1" si="169"/>
        <v>0</v>
      </c>
      <c r="AC651" s="131" t="str">
        <f ca="1">IF($N651="","",IF(ORÇAMENTO.Descricao="","DESCRIÇÃO",IF(AND($C651="S",ORÇAMENTO.Unidade=""),"UNIDADE",IF($X651&lt;0,"VALOR NEGATIVO",IF(OR(AND(TIPOORCAMENTO="Proposto",$AG651&lt;&gt;"",$AG651&gt;0,ORÇAMENTO.CustoUnitario&gt;$AG651),AND(TIPOORCAMENTO="LICITADO",ORÇAMENTO.PrecoUnitarioLicitado&gt;$AN651)),"ACIMA REF.","")))))</f>
        <v/>
      </c>
      <c r="AD651" t="str">
        <f ca="1">IF(C651&lt;=CRONO.NivelExibicao,MAX($AD$15:OFFSET(AD651,-1,0))+IF($C651&lt;&gt;1,1,MAX(1,COUNTIF(QCI!$A$13:$A$24,OFFSET($E651,-1,0)))),"")</f>
        <v/>
      </c>
      <c r="AE651" s="7" t="str">
        <f ca="1">IF(AND($C651="S",ORÇAMENTO.CodBarra&lt;&gt;""),IF(ORÇAMENTO.Fonte="",ORÇAMENTO.CodBarra,CONCATENATE(ORÇAMENTO.Fonte," ",ORÇAMENTO.CodBarra)))</f>
        <v>SINAPI 96977</v>
      </c>
      <c r="AF651" s="13" t="str">
        <f ca="1">IF(ISERROR(INDIRECT(ORÇAMENTO.BancoRef)),"(abra o arquivo 'Referência "&amp;Excel_BuiltIn_Database&amp;".xlsm)",IF(OR($C651&lt;&gt;"S",ORÇAMENTO.CodBarra=""),"(Sem Código)",IF(ISERROR(MATCH($AE651,INDIRECT(ORÇAMENTO.BancoRef),0)),"(Código não identificado nas referências)",MATCH($AE651,INDIRECT(ORÇAMENTO.BancoRef),0))))</f>
        <v>(abra o arquivo 'Referência 02-2025.xlsm)</v>
      </c>
      <c r="AG651" s="498">
        <f ca="1">ROUND(IF(DESONERACAO="sim",REFERENCIA.Desonerado,REFERENCIA.NaoDesonerado),2)</f>
        <v>0</v>
      </c>
      <c r="AH651" s="499">
        <f t="shared" ca="1" si="170"/>
        <v>0.22470000000000001</v>
      </c>
      <c r="AJ651" s="501">
        <v>310</v>
      </c>
      <c r="AL651" s="527"/>
      <c r="AM651" s="381">
        <f t="shared" ca="1" si="159"/>
        <v>0</v>
      </c>
      <c r="AN651" s="566">
        <f t="shared" ca="1" si="171"/>
        <v>0</v>
      </c>
    </row>
    <row r="652" spans="1:40" x14ac:dyDescent="0.2">
      <c r="A652" t="str">
        <f t="shared" si="168"/>
        <v>S</v>
      </c>
      <c r="B652">
        <f t="shared" ca="1" si="146"/>
        <v>2</v>
      </c>
      <c r="C652" t="str">
        <f t="shared" ca="1" si="147"/>
        <v>S</v>
      </c>
      <c r="D652">
        <f t="shared" ca="1" si="148"/>
        <v>0</v>
      </c>
      <c r="E652">
        <f ca="1">IF($C652=1,OFFSET(E652,-1,0)+MAX(1,COUNTIF(QCI!$A$13:$A$24,OFFSET(ORÇAMENTO!E652,-1,0))),OFFSET(E652,-1,0))</f>
        <v>1</v>
      </c>
      <c r="F652">
        <f t="shared" ca="1" si="149"/>
        <v>19</v>
      </c>
      <c r="G652">
        <f t="shared" ca="1" si="150"/>
        <v>0</v>
      </c>
      <c r="H652">
        <f t="shared" ca="1" si="151"/>
        <v>0</v>
      </c>
      <c r="I652">
        <f t="shared" ca="1" si="152"/>
        <v>0</v>
      </c>
      <c r="J652">
        <f t="shared" ca="1" si="173"/>
        <v>0</v>
      </c>
      <c r="K652">
        <f ca="1">IF(OR($C652="S",$C652=0),0,MATCH(OFFSET($D652,0,$C652)+IF($C652&lt;&gt;1,1,COUNTIF(QCI!$A$13:$A$24,ORÇAMENTO!E652)),OFFSET($D652,1,$C652,ROW($C$747)-ROW($C652)),0))</f>
        <v>0</v>
      </c>
      <c r="L652" s="116" t="str">
        <f t="shared" ca="1" si="153"/>
        <v/>
      </c>
      <c r="M652" s="117" t="s">
        <v>199</v>
      </c>
      <c r="N652" s="118" t="str">
        <f t="shared" ca="1" si="154"/>
        <v>Serviço</v>
      </c>
      <c r="O652" s="119" t="str">
        <f t="shared" ca="1" si="155"/>
        <v>-</v>
      </c>
      <c r="P652" s="120" t="s">
        <v>712</v>
      </c>
      <c r="Q652" s="121" t="s">
        <v>1033</v>
      </c>
      <c r="R652" s="122" t="str">
        <f ca="1">IF($C652="S",REFERENCIA.Descricao,"(digite a descrição aqui)")</f>
        <v>(abra o arquivo 'Referência 02-2025.xlsm)</v>
      </c>
      <c r="S652" s="123" t="str">
        <f ca="1">REFERENCIA.Unidade</f>
        <v>-</v>
      </c>
      <c r="T652" s="124">
        <f ca="1">OFFSET(CÁLCULO!H$15,ROW($T652)-ROW(T$15),0)</f>
        <v>20</v>
      </c>
      <c r="U652" s="125">
        <f t="shared" ca="1" si="172"/>
        <v>0</v>
      </c>
      <c r="V652" s="126" t="s">
        <v>156</v>
      </c>
      <c r="W652" s="124">
        <f ca="1">IF($C652="S",ROUND(IF(TIPOORCAMENTO="Proposto",ORÇAMENTO.CustoUnitario*(1+$AH652),ORÇAMENTO.PrecoUnitarioLicitado),15-13*$AF$10),0)</f>
        <v>0</v>
      </c>
      <c r="X652" s="127">
        <f ca="1">IF($C652="S",IF(Import.TipoArredondamento&lt;&gt;"TransfereGOV",VTOTAL1,SUM(OFFSET(CÁLCULO!$AA$15,ROW($X652)-ROW($X$15),1):OFFSET(CÁLCULO!$AL$15,ROW($X652)-ROW($X$15),-1))),IF($C652=0,0,ROUND(SomaAgrup,15-13*$AF$11)))</f>
        <v>0</v>
      </c>
      <c r="Y652" s="128" t="s">
        <v>245</v>
      </c>
      <c r="Z652" t="str">
        <f t="shared" ca="1" si="156"/>
        <v/>
      </c>
      <c r="AA652" s="129">
        <f ca="1">IF($C652="S",IF($Z652="CP",$X652,IF($Z652="RA",(($X652)*QCI!$AA$3),0)),SomaAgrup)</f>
        <v>0</v>
      </c>
      <c r="AB652" s="130">
        <f t="shared" ca="1" si="169"/>
        <v>0</v>
      </c>
      <c r="AC652" s="131" t="str">
        <f ca="1">IF($N652="","",IF(ORÇAMENTO.Descricao="","DESCRIÇÃO",IF(AND($C652="S",ORÇAMENTO.Unidade=""),"UNIDADE",IF($X652&lt;0,"VALOR NEGATIVO",IF(OR(AND(TIPOORCAMENTO="Proposto",$AG652&lt;&gt;"",$AG652&gt;0,ORÇAMENTO.CustoUnitario&gt;$AG652),AND(TIPOORCAMENTO="LICITADO",ORÇAMENTO.PrecoUnitarioLicitado&gt;$AN652)),"ACIMA REF.","")))))</f>
        <v/>
      </c>
      <c r="AD652" t="str">
        <f ca="1">IF(C652&lt;=CRONO.NivelExibicao,MAX($AD$15:OFFSET(AD652,-1,0))+IF($C652&lt;&gt;1,1,MAX(1,COUNTIF(QCI!$A$13:$A$24,OFFSET($E652,-1,0)))),"")</f>
        <v/>
      </c>
      <c r="AE652" s="7" t="str">
        <f ca="1">IF(AND($C652="S",ORÇAMENTO.CodBarra&lt;&gt;""),IF(ORÇAMENTO.Fonte="",ORÇAMENTO.CodBarra,CONCATENATE(ORÇAMENTO.Fonte," ",ORÇAMENTO.CodBarra)))</f>
        <v>Composição C3479</v>
      </c>
      <c r="AF652" s="13" t="str">
        <f ca="1">IF(ISERROR(INDIRECT(ORÇAMENTO.BancoRef)),"(abra o arquivo 'Referência "&amp;Excel_BuiltIn_Database&amp;".xlsm)",IF(OR($C652&lt;&gt;"S",ORÇAMENTO.CodBarra=""),"(Sem Código)",IF(ISERROR(MATCH($AE652,INDIRECT(ORÇAMENTO.BancoRef),0)),"(Código não identificado nas referências)",MATCH($AE652,INDIRECT(ORÇAMENTO.BancoRef),0))))</f>
        <v>(abra o arquivo 'Referência 02-2025.xlsm)</v>
      </c>
      <c r="AG652" s="498">
        <f ca="1">ROUND(IF(DESONERACAO="sim",REFERENCIA.Desonerado,REFERENCIA.NaoDesonerado),2)</f>
        <v>0</v>
      </c>
      <c r="AH652" s="499">
        <f t="shared" ca="1" si="170"/>
        <v>0.22470000000000001</v>
      </c>
      <c r="AJ652" s="501">
        <v>20</v>
      </c>
      <c r="AL652" s="527"/>
      <c r="AM652" s="381">
        <f t="shared" ca="1" si="159"/>
        <v>0</v>
      </c>
      <c r="AN652" s="566">
        <f t="shared" ca="1" si="171"/>
        <v>0</v>
      </c>
    </row>
    <row r="653" spans="1:40" x14ac:dyDescent="0.2">
      <c r="A653">
        <f t="shared" si="168"/>
        <v>2</v>
      </c>
      <c r="B653">
        <f t="shared" ca="1" si="146"/>
        <v>2</v>
      </c>
      <c r="C653">
        <f t="shared" ca="1" si="147"/>
        <v>2</v>
      </c>
      <c r="D653">
        <f t="shared" ca="1" si="148"/>
        <v>12</v>
      </c>
      <c r="E653">
        <f ca="1">IF($C653=1,OFFSET(E653,-1,0)+MAX(1,COUNTIF(QCI!$A$13:$A$24,OFFSET(ORÇAMENTO!E653,-1,0))),OFFSET(E653,-1,0))</f>
        <v>1</v>
      </c>
      <c r="F653">
        <f t="shared" ca="1" si="149"/>
        <v>20</v>
      </c>
      <c r="G653">
        <f t="shared" ca="1" si="150"/>
        <v>0</v>
      </c>
      <c r="H653">
        <f t="shared" ca="1" si="151"/>
        <v>0</v>
      </c>
      <c r="I653">
        <f t="shared" ca="1" si="152"/>
        <v>0</v>
      </c>
      <c r="J653">
        <f t="shared" ca="1" si="173"/>
        <v>94</v>
      </c>
      <c r="K653">
        <f ca="1">IF(OR($C653="S",$C653=0),0,MATCH(OFFSET($D653,0,$C653)+IF($C653&lt;&gt;1,1,COUNTIF(QCI!$A$13:$A$24,ORÇAMENTO!E653)),OFFSET($D653,1,$C653,ROW($C$747)-ROW($C653)),0))</f>
        <v>12</v>
      </c>
      <c r="L653" s="116" t="str">
        <f t="shared" ca="1" si="153"/>
        <v>F</v>
      </c>
      <c r="M653" s="117" t="s">
        <v>196</v>
      </c>
      <c r="N653" s="118" t="str">
        <f t="shared" ca="1" si="154"/>
        <v>Nível 2</v>
      </c>
      <c r="O653" s="119" t="str">
        <f t="shared" ca="1" si="155"/>
        <v>1.20.</v>
      </c>
      <c r="P653" s="120" t="s">
        <v>247</v>
      </c>
      <c r="Q653" s="121"/>
      <c r="R653" s="122" t="s">
        <v>991</v>
      </c>
      <c r="S653" s="123" t="str">
        <f ca="1">REFERENCIA.Unidade</f>
        <v>-</v>
      </c>
      <c r="T653" s="124">
        <f ca="1">OFFSET(CÁLCULO!H$15,ROW($T653)-ROW(T$15),0)</f>
        <v>0</v>
      </c>
      <c r="U653" s="125">
        <f t="shared" ca="1" si="172"/>
        <v>0</v>
      </c>
      <c r="V653" s="126" t="s">
        <v>156</v>
      </c>
      <c r="W653" s="124">
        <f ca="1">IF($C653="S",ROUND(IF(TIPOORCAMENTO="Proposto",ORÇAMENTO.CustoUnitario*(1+$AH653),ORÇAMENTO.PrecoUnitarioLicitado),15-13*$AF$10),0)</f>
        <v>0</v>
      </c>
      <c r="X653" s="127">
        <f ca="1">IF($C653="S",IF(Import.TipoArredondamento&lt;&gt;"TransfereGOV",VTOTAL1,SUM(OFFSET(CÁLCULO!$AA$15,ROW($X653)-ROW($X$15),1):OFFSET(CÁLCULO!$AL$15,ROW($X653)-ROW($X$15),-1))),IF($C653=0,0,ROUND(SomaAgrup,15-13*$AF$11)))</f>
        <v>0</v>
      </c>
      <c r="Y653" s="128" t="s">
        <v>245</v>
      </c>
      <c r="Z653" t="str">
        <f t="shared" ca="1" si="156"/>
        <v/>
      </c>
      <c r="AA653" s="129">
        <f ca="1">IF($C653="S",IF($Z653="CP",$X653,IF($Z653="RA",(($X653)*QCI!$AA$3),0)),SomaAgrup)</f>
        <v>0</v>
      </c>
      <c r="AB653" s="130">
        <f t="shared" ca="1" si="169"/>
        <v>0</v>
      </c>
      <c r="AC653" s="131" t="str">
        <f ca="1">IF($N653="","",IF(ORÇAMENTO.Descricao="","DESCRIÇÃO",IF(AND($C653="S",ORÇAMENTO.Unidade=""),"UNIDADE",IF($X653&lt;0,"VALOR NEGATIVO",IF(OR(AND(TIPOORCAMENTO="Proposto",$AG653&lt;&gt;"",$AG653&gt;0,ORÇAMENTO.CustoUnitario&gt;$AG653),AND(TIPOORCAMENTO="LICITADO",ORÇAMENTO.PrecoUnitarioLicitado&gt;$AN653)),"ACIMA REF.","")))))</f>
        <v/>
      </c>
      <c r="AD653">
        <f ca="1">IF(C653&lt;=CRONO.NivelExibicao,MAX($AD$15:OFFSET(AD653,-1,0))+IF($C653&lt;&gt;1,1,MAX(1,COUNTIF(QCI!$A$13:$A$24,OFFSET($E653,-1,0)))),"")</f>
        <v>21</v>
      </c>
      <c r="AE653" s="7" t="b">
        <f ca="1">IF(AND($C653="S",ORÇAMENTO.CodBarra&lt;&gt;""),IF(ORÇAMENTO.Fonte="",ORÇAMENTO.CodBarra,CONCATENATE(ORÇAMENTO.Fonte," ",ORÇAMENTO.CodBarra)))</f>
        <v>0</v>
      </c>
      <c r="AF653" s="13" t="str">
        <f ca="1">IF(ISERROR(INDIRECT(ORÇAMENTO.BancoRef)),"(abra o arquivo 'Referência "&amp;Excel_BuiltIn_Database&amp;".xlsm)",IF(OR($C653&lt;&gt;"S",ORÇAMENTO.CodBarra=""),"(Sem Código)",IF(ISERROR(MATCH($AE653,INDIRECT(ORÇAMENTO.BancoRef),0)),"(Código não identificado nas referências)",MATCH($AE653,INDIRECT(ORÇAMENTO.BancoRef),0))))</f>
        <v>(abra o arquivo 'Referência 02-2025.xlsm)</v>
      </c>
      <c r="AG653" s="498">
        <f ca="1">ROUND(IF(DESONERACAO="sim",REFERENCIA.Desonerado,REFERENCIA.NaoDesonerado),2)</f>
        <v>0</v>
      </c>
      <c r="AH653" s="499">
        <f t="shared" ca="1" si="170"/>
        <v>0.22470000000000001</v>
      </c>
      <c r="AJ653" s="501"/>
      <c r="AL653" s="527"/>
      <c r="AM653" s="381">
        <f t="shared" ca="1" si="159"/>
        <v>0</v>
      </c>
      <c r="AN653" s="566">
        <f t="shared" ca="1" si="171"/>
        <v>0</v>
      </c>
    </row>
    <row r="654" spans="1:40" x14ac:dyDescent="0.2">
      <c r="A654">
        <f t="shared" si="168"/>
        <v>3</v>
      </c>
      <c r="B654">
        <f t="shared" ca="1" si="146"/>
        <v>3</v>
      </c>
      <c r="C654">
        <f t="shared" ca="1" si="147"/>
        <v>3</v>
      </c>
      <c r="D654">
        <f t="shared" ca="1" si="148"/>
        <v>6</v>
      </c>
      <c r="E654">
        <f ca="1">IF($C654=1,OFFSET(E654,-1,0)+MAX(1,COUNTIF(QCI!$A$13:$A$24,OFFSET(ORÇAMENTO!E654,-1,0))),OFFSET(E654,-1,0))</f>
        <v>1</v>
      </c>
      <c r="F654">
        <f t="shared" ca="1" si="149"/>
        <v>20</v>
      </c>
      <c r="G654">
        <f t="shared" ca="1" si="150"/>
        <v>1</v>
      </c>
      <c r="H654">
        <f t="shared" ca="1" si="151"/>
        <v>0</v>
      </c>
      <c r="I654">
        <f t="shared" ca="1" si="152"/>
        <v>0</v>
      </c>
      <c r="J654">
        <f t="shared" ca="1" si="173"/>
        <v>11</v>
      </c>
      <c r="K654">
        <f ca="1">IF(OR($C654="S",$C654=0),0,MATCH(OFFSET($D654,0,$C654)+IF($C654&lt;&gt;1,1,COUNTIF(QCI!$A$13:$A$24,ORÇAMENTO!E654)),OFFSET($D654,1,$C654,ROW($C$747)-ROW($C654)),0))</f>
        <v>6</v>
      </c>
      <c r="L654" s="116" t="str">
        <f t="shared" ca="1" si="153"/>
        <v>F</v>
      </c>
      <c r="M654" s="117" t="s">
        <v>197</v>
      </c>
      <c r="N654" s="118" t="str">
        <f t="shared" ca="1" si="154"/>
        <v>Nível 3</v>
      </c>
      <c r="O654" s="119" t="str">
        <f t="shared" ca="1" si="155"/>
        <v>1.20.1.</v>
      </c>
      <c r="P654" s="120" t="s">
        <v>247</v>
      </c>
      <c r="Q654" s="121"/>
      <c r="R654" s="122" t="s">
        <v>992</v>
      </c>
      <c r="S654" s="123" t="str">
        <f ca="1">REFERENCIA.Unidade</f>
        <v>-</v>
      </c>
      <c r="T654" s="124">
        <f ca="1">OFFSET(CÁLCULO!H$15,ROW($T654)-ROW(T$15),0)</f>
        <v>0</v>
      </c>
      <c r="U654" s="125">
        <f t="shared" ca="1" si="172"/>
        <v>0</v>
      </c>
      <c r="V654" s="126" t="s">
        <v>156</v>
      </c>
      <c r="W654" s="124">
        <f ca="1">IF($C654="S",ROUND(IF(TIPOORCAMENTO="Proposto",ORÇAMENTO.CustoUnitario*(1+$AH654),ORÇAMENTO.PrecoUnitarioLicitado),15-13*$AF$10),0)</f>
        <v>0</v>
      </c>
      <c r="X654" s="127">
        <f ca="1">IF($C654="S",IF(Import.TipoArredondamento&lt;&gt;"TransfereGOV",VTOTAL1,SUM(OFFSET(CÁLCULO!$AA$15,ROW($X654)-ROW($X$15),1):OFFSET(CÁLCULO!$AL$15,ROW($X654)-ROW($X$15),-1))),IF($C654=0,0,ROUND(SomaAgrup,15-13*$AF$11)))</f>
        <v>0</v>
      </c>
      <c r="Y654" s="128" t="s">
        <v>245</v>
      </c>
      <c r="Z654" t="str">
        <f t="shared" ca="1" si="156"/>
        <v/>
      </c>
      <c r="AA654" s="129">
        <f ca="1">IF($C654="S",IF($Z654="CP",$X654,IF($Z654="RA",(($X654)*QCI!$AA$3),0)),SomaAgrup)</f>
        <v>0</v>
      </c>
      <c r="AB654" s="130">
        <f t="shared" ca="1" si="169"/>
        <v>0</v>
      </c>
      <c r="AC654" s="131" t="str">
        <f ca="1">IF($N654="","",IF(ORÇAMENTO.Descricao="","DESCRIÇÃO",IF(AND($C654="S",ORÇAMENTO.Unidade=""),"UNIDADE",IF($X654&lt;0,"VALOR NEGATIVO",IF(OR(AND(TIPOORCAMENTO="Proposto",$AG654&lt;&gt;"",$AG654&gt;0,ORÇAMENTO.CustoUnitario&gt;$AG654),AND(TIPOORCAMENTO="LICITADO",ORÇAMENTO.PrecoUnitarioLicitado&gt;$AN654)),"ACIMA REF.","")))))</f>
        <v/>
      </c>
      <c r="AD654" t="str">
        <f ca="1">IF(C654&lt;=CRONO.NivelExibicao,MAX($AD$15:OFFSET(AD654,-1,0))+IF($C654&lt;&gt;1,1,MAX(1,COUNTIF(QCI!$A$13:$A$24,OFFSET($E654,-1,0)))),"")</f>
        <v/>
      </c>
      <c r="AE654" s="7" t="b">
        <f ca="1">IF(AND($C654="S",ORÇAMENTO.CodBarra&lt;&gt;""),IF(ORÇAMENTO.Fonte="",ORÇAMENTO.CodBarra,CONCATENATE(ORÇAMENTO.Fonte," ",ORÇAMENTO.CodBarra)))</f>
        <v>0</v>
      </c>
      <c r="AF654" s="13" t="str">
        <f ca="1">IF(ISERROR(INDIRECT(ORÇAMENTO.BancoRef)),"(abra o arquivo 'Referência "&amp;Excel_BuiltIn_Database&amp;".xlsm)",IF(OR($C654&lt;&gt;"S",ORÇAMENTO.CodBarra=""),"(Sem Código)",IF(ISERROR(MATCH($AE654,INDIRECT(ORÇAMENTO.BancoRef),0)),"(Código não identificado nas referências)",MATCH($AE654,INDIRECT(ORÇAMENTO.BancoRef),0))))</f>
        <v>(abra o arquivo 'Referência 02-2025.xlsm)</v>
      </c>
      <c r="AG654" s="498">
        <f ca="1">ROUND(IF(DESONERACAO="sim",REFERENCIA.Desonerado,REFERENCIA.NaoDesonerado),2)</f>
        <v>0</v>
      </c>
      <c r="AH654" s="499">
        <f t="shared" ca="1" si="170"/>
        <v>0.22470000000000001</v>
      </c>
      <c r="AJ654" s="501"/>
      <c r="AL654" s="527"/>
      <c r="AM654" s="381">
        <f t="shared" ca="1" si="159"/>
        <v>0</v>
      </c>
      <c r="AN654" s="566">
        <f t="shared" ca="1" si="171"/>
        <v>0</v>
      </c>
    </row>
    <row r="655" spans="1:40" ht="38.25" x14ac:dyDescent="0.2">
      <c r="A655" t="str">
        <f t="shared" si="168"/>
        <v>S</v>
      </c>
      <c r="B655">
        <f t="shared" ca="1" si="146"/>
        <v>3</v>
      </c>
      <c r="C655" t="str">
        <f t="shared" ca="1" si="147"/>
        <v>S</v>
      </c>
      <c r="D655">
        <f t="shared" ca="1" si="148"/>
        <v>0</v>
      </c>
      <c r="E655">
        <f ca="1">IF($C655=1,OFFSET(E655,-1,0)+MAX(1,COUNTIF(QCI!$A$13:$A$24,OFFSET(ORÇAMENTO!E655,-1,0))),OFFSET(E655,-1,0))</f>
        <v>1</v>
      </c>
      <c r="F655">
        <f t="shared" ca="1" si="149"/>
        <v>20</v>
      </c>
      <c r="G655">
        <f t="shared" ca="1" si="150"/>
        <v>1</v>
      </c>
      <c r="H655">
        <f t="shared" ca="1" si="151"/>
        <v>0</v>
      </c>
      <c r="I655">
        <f t="shared" ca="1" si="152"/>
        <v>0</v>
      </c>
      <c r="J655">
        <f t="shared" ca="1" si="173"/>
        <v>0</v>
      </c>
      <c r="K655">
        <f ca="1">IF(OR($C655="S",$C655=0),0,MATCH(OFFSET($D655,0,$C655)+IF($C655&lt;&gt;1,1,COUNTIF(QCI!$A$13:$A$24,ORÇAMENTO!E655)),OFFSET($D655,1,$C655,ROW($C$747)-ROW($C655)),0))</f>
        <v>0</v>
      </c>
      <c r="L655" s="116" t="str">
        <f t="shared" ca="1" si="153"/>
        <v/>
      </c>
      <c r="M655" s="117" t="s">
        <v>199</v>
      </c>
      <c r="N655" s="118" t="str">
        <f t="shared" ca="1" si="154"/>
        <v>Serviço</v>
      </c>
      <c r="O655" s="119" t="str">
        <f t="shared" ca="1" si="155"/>
        <v>-</v>
      </c>
      <c r="P655" s="120" t="s">
        <v>247</v>
      </c>
      <c r="Q655" s="121" t="s">
        <v>693</v>
      </c>
      <c r="R655" s="122" t="str">
        <f ca="1">IF($C655="S",REFERENCIA.Descricao,"(digite a descrição aqui)")</f>
        <v>(abra o arquivo 'Referência 02-2025.xlsm)</v>
      </c>
      <c r="S655" s="123" t="str">
        <f ca="1">REFERENCIA.Unidade</f>
        <v>-</v>
      </c>
      <c r="T655" s="124">
        <f ca="1">OFFSET(CÁLCULO!H$15,ROW($T655)-ROW(T$15),0)</f>
        <v>22.6</v>
      </c>
      <c r="U655" s="125">
        <f t="shared" ca="1" si="172"/>
        <v>0</v>
      </c>
      <c r="V655" s="126" t="s">
        <v>156</v>
      </c>
      <c r="W655" s="124">
        <f ca="1">IF($C655="S",ROUND(IF(TIPOORCAMENTO="Proposto",ORÇAMENTO.CustoUnitario*(1+$AH655),ORÇAMENTO.PrecoUnitarioLicitado),15-13*$AF$10),0)</f>
        <v>0</v>
      </c>
      <c r="X655" s="127">
        <f ca="1">IF($C655="S",IF(Import.TipoArredondamento&lt;&gt;"TransfereGOV",VTOTAL1,SUM(OFFSET(CÁLCULO!$AA$15,ROW($X655)-ROW($X$15),1):OFFSET(CÁLCULO!$AL$15,ROW($X655)-ROW($X$15),-1))),IF($C655=0,0,ROUND(SomaAgrup,15-13*$AF$11)))</f>
        <v>0</v>
      </c>
      <c r="Y655" s="128" t="s">
        <v>245</v>
      </c>
      <c r="Z655" t="str">
        <f t="shared" ca="1" si="156"/>
        <v/>
      </c>
      <c r="AA655" s="129">
        <f ca="1">IF($C655="S",IF($Z655="CP",$X655,IF($Z655="RA",(($X655)*QCI!$AA$3),0)),SomaAgrup)</f>
        <v>0</v>
      </c>
      <c r="AB655" s="130">
        <f t="shared" ca="1" si="169"/>
        <v>0</v>
      </c>
      <c r="AC655" s="131" t="str">
        <f ca="1">IF($N655="","",IF(ORÇAMENTO.Descricao="","DESCRIÇÃO",IF(AND($C655="S",ORÇAMENTO.Unidade=""),"UNIDADE",IF($X655&lt;0,"VALOR NEGATIVO",IF(OR(AND(TIPOORCAMENTO="Proposto",$AG655&lt;&gt;"",$AG655&gt;0,ORÇAMENTO.CustoUnitario&gt;$AG655),AND(TIPOORCAMENTO="LICITADO",ORÇAMENTO.PrecoUnitarioLicitado&gt;$AN655)),"ACIMA REF.","")))))</f>
        <v/>
      </c>
      <c r="AD655" t="str">
        <f ca="1">IF(C655&lt;=CRONO.NivelExibicao,MAX($AD$15:OFFSET(AD655,-1,0))+IF($C655&lt;&gt;1,1,MAX(1,COUNTIF(QCI!$A$13:$A$24,OFFSET($E655,-1,0)))),"")</f>
        <v/>
      </c>
      <c r="AE655" s="7" t="str">
        <f ca="1">IF(AND($C655="S",ORÇAMENTO.CodBarra&lt;&gt;""),IF(ORÇAMENTO.Fonte="",ORÇAMENTO.CodBarra,CONCATENATE(ORÇAMENTO.Fonte," ",ORÇAMENTO.CodBarra)))</f>
        <v>SINAPI 91927</v>
      </c>
      <c r="AF655" s="13" t="str">
        <f ca="1">IF(ISERROR(INDIRECT(ORÇAMENTO.BancoRef)),"(abra o arquivo 'Referência "&amp;Excel_BuiltIn_Database&amp;".xlsm)",IF(OR($C655&lt;&gt;"S",ORÇAMENTO.CodBarra=""),"(Sem Código)",IF(ISERROR(MATCH($AE655,INDIRECT(ORÇAMENTO.BancoRef),0)),"(Código não identificado nas referências)",MATCH($AE655,INDIRECT(ORÇAMENTO.BancoRef),0))))</f>
        <v>(abra o arquivo 'Referência 02-2025.xlsm)</v>
      </c>
      <c r="AG655" s="498">
        <f ca="1">ROUND(IF(DESONERACAO="sim",REFERENCIA.Desonerado,REFERENCIA.NaoDesonerado),2)</f>
        <v>0</v>
      </c>
      <c r="AH655" s="499">
        <f t="shared" ca="1" si="170"/>
        <v>0.22470000000000001</v>
      </c>
      <c r="AJ655" s="501">
        <v>22.6</v>
      </c>
      <c r="AL655" s="527"/>
      <c r="AM655" s="381">
        <f t="shared" ca="1" si="159"/>
        <v>0</v>
      </c>
      <c r="AN655" s="566">
        <f t="shared" ca="1" si="171"/>
        <v>0</v>
      </c>
    </row>
    <row r="656" spans="1:40" ht="38.25" x14ac:dyDescent="0.2">
      <c r="A656" t="str">
        <f t="shared" si="168"/>
        <v>S</v>
      </c>
      <c r="B656">
        <f t="shared" ca="1" si="146"/>
        <v>3</v>
      </c>
      <c r="C656" t="str">
        <f t="shared" ca="1" si="147"/>
        <v>S</v>
      </c>
      <c r="D656">
        <f t="shared" ca="1" si="148"/>
        <v>0</v>
      </c>
      <c r="E656">
        <f ca="1">IF($C656=1,OFFSET(E656,-1,0)+MAX(1,COUNTIF(QCI!$A$13:$A$24,OFFSET(ORÇAMENTO!E656,-1,0))),OFFSET(E656,-1,0))</f>
        <v>1</v>
      </c>
      <c r="F656">
        <f t="shared" ca="1" si="149"/>
        <v>20</v>
      </c>
      <c r="G656">
        <f t="shared" ca="1" si="150"/>
        <v>1</v>
      </c>
      <c r="H656">
        <f t="shared" ca="1" si="151"/>
        <v>0</v>
      </c>
      <c r="I656">
        <f t="shared" ca="1" si="152"/>
        <v>0</v>
      </c>
      <c r="J656">
        <f t="shared" ca="1" si="173"/>
        <v>0</v>
      </c>
      <c r="K656">
        <f ca="1">IF(OR($C656="S",$C656=0),0,MATCH(OFFSET($D656,0,$C656)+IF($C656&lt;&gt;1,1,COUNTIF(QCI!$A$13:$A$24,ORÇAMENTO!E656)),OFFSET($D656,1,$C656,ROW($C$747)-ROW($C656)),0))</f>
        <v>0</v>
      </c>
      <c r="L656" s="116" t="str">
        <f t="shared" ca="1" si="153"/>
        <v/>
      </c>
      <c r="M656" s="117" t="s">
        <v>199</v>
      </c>
      <c r="N656" s="118" t="str">
        <f t="shared" ca="1" si="154"/>
        <v>Serviço</v>
      </c>
      <c r="O656" s="119" t="str">
        <f t="shared" ca="1" si="155"/>
        <v>-</v>
      </c>
      <c r="P656" s="120" t="s">
        <v>247</v>
      </c>
      <c r="Q656" s="121" t="s">
        <v>657</v>
      </c>
      <c r="R656" s="122" t="str">
        <f ca="1">IF($C656="S",REFERENCIA.Descricao,"(digite a descrição aqui)")</f>
        <v>(abra o arquivo 'Referência 02-2025.xlsm)</v>
      </c>
      <c r="S656" s="123" t="str">
        <f ca="1">REFERENCIA.Unidade</f>
        <v>-</v>
      </c>
      <c r="T656" s="124">
        <f ca="1">OFFSET(CÁLCULO!H$15,ROW($T656)-ROW(T$15),0)</f>
        <v>132.4</v>
      </c>
      <c r="U656" s="125">
        <f t="shared" ca="1" si="172"/>
        <v>0</v>
      </c>
      <c r="V656" s="126" t="s">
        <v>156</v>
      </c>
      <c r="W656" s="124">
        <f ca="1">IF($C656="S",ROUND(IF(TIPOORCAMENTO="Proposto",ORÇAMENTO.CustoUnitario*(1+$AH656),ORÇAMENTO.PrecoUnitarioLicitado),15-13*$AF$10),0)</f>
        <v>0</v>
      </c>
      <c r="X656" s="127">
        <f ca="1">IF($C656="S",IF(Import.TipoArredondamento&lt;&gt;"TransfereGOV",VTOTAL1,SUM(OFFSET(CÁLCULO!$AA$15,ROW($X656)-ROW($X$15),1):OFFSET(CÁLCULO!$AL$15,ROW($X656)-ROW($X$15),-1))),IF($C656=0,0,ROUND(SomaAgrup,15-13*$AF$11)))</f>
        <v>0</v>
      </c>
      <c r="Y656" s="128" t="s">
        <v>245</v>
      </c>
      <c r="Z656" t="str">
        <f t="shared" ca="1" si="156"/>
        <v/>
      </c>
      <c r="AA656" s="129">
        <f ca="1">IF($C656="S",IF($Z656="CP",$X656,IF($Z656="RA",(($X656)*QCI!$AA$3),0)),SomaAgrup)</f>
        <v>0</v>
      </c>
      <c r="AB656" s="130">
        <f t="shared" ca="1" si="169"/>
        <v>0</v>
      </c>
      <c r="AC656" s="131" t="str">
        <f ca="1">IF($N656="","",IF(ORÇAMENTO.Descricao="","DESCRIÇÃO",IF(AND($C656="S",ORÇAMENTO.Unidade=""),"UNIDADE",IF($X656&lt;0,"VALOR NEGATIVO",IF(OR(AND(TIPOORCAMENTO="Proposto",$AG656&lt;&gt;"",$AG656&gt;0,ORÇAMENTO.CustoUnitario&gt;$AG656),AND(TIPOORCAMENTO="LICITADO",ORÇAMENTO.PrecoUnitarioLicitado&gt;$AN656)),"ACIMA REF.","")))))</f>
        <v/>
      </c>
      <c r="AD656" t="str">
        <f ca="1">IF(C656&lt;=CRONO.NivelExibicao,MAX($AD$15:OFFSET(AD656,-1,0))+IF($C656&lt;&gt;1,1,MAX(1,COUNTIF(QCI!$A$13:$A$24,OFFSET($E656,-1,0)))),"")</f>
        <v/>
      </c>
      <c r="AE656" s="7" t="str">
        <f ca="1">IF(AND($C656="S",ORÇAMENTO.CodBarra&lt;&gt;""),IF(ORÇAMENTO.Fonte="",ORÇAMENTO.CodBarra,CONCATENATE(ORÇAMENTO.Fonte," ",ORÇAMENTO.CodBarra)))</f>
        <v>SINAPI 91929</v>
      </c>
      <c r="AF656" s="13" t="str">
        <f ca="1">IF(ISERROR(INDIRECT(ORÇAMENTO.BancoRef)),"(abra o arquivo 'Referência "&amp;Excel_BuiltIn_Database&amp;".xlsm)",IF(OR($C656&lt;&gt;"S",ORÇAMENTO.CodBarra=""),"(Sem Código)",IF(ISERROR(MATCH($AE656,INDIRECT(ORÇAMENTO.BancoRef),0)),"(Código não identificado nas referências)",MATCH($AE656,INDIRECT(ORÇAMENTO.BancoRef),0))))</f>
        <v>(abra o arquivo 'Referência 02-2025.xlsm)</v>
      </c>
      <c r="AG656" s="498">
        <f ca="1">ROUND(IF(DESONERACAO="sim",REFERENCIA.Desonerado,REFERENCIA.NaoDesonerado),2)</f>
        <v>0</v>
      </c>
      <c r="AH656" s="499">
        <f t="shared" ca="1" si="170"/>
        <v>0.22470000000000001</v>
      </c>
      <c r="AJ656" s="501">
        <v>132.4</v>
      </c>
      <c r="AL656" s="527"/>
      <c r="AM656" s="381">
        <f t="shared" ca="1" si="159"/>
        <v>0</v>
      </c>
      <c r="AN656" s="566">
        <f t="shared" ca="1" si="171"/>
        <v>0</v>
      </c>
    </row>
    <row r="657" spans="1:40" ht="51" x14ac:dyDescent="0.2">
      <c r="A657" t="str">
        <f t="shared" si="168"/>
        <v>S</v>
      </c>
      <c r="B657">
        <f t="shared" ca="1" si="146"/>
        <v>3</v>
      </c>
      <c r="C657" t="str">
        <f t="shared" ca="1" si="147"/>
        <v>S</v>
      </c>
      <c r="D657">
        <f t="shared" ca="1" si="148"/>
        <v>0</v>
      </c>
      <c r="E657">
        <f ca="1">IF($C657=1,OFFSET(E657,-1,0)+MAX(1,COUNTIF(QCI!$A$13:$A$24,OFFSET(ORÇAMENTO!E657,-1,0))),OFFSET(E657,-1,0))</f>
        <v>1</v>
      </c>
      <c r="F657">
        <f t="shared" ca="1" si="149"/>
        <v>20</v>
      </c>
      <c r="G657">
        <f t="shared" ca="1" si="150"/>
        <v>1</v>
      </c>
      <c r="H657">
        <f t="shared" ca="1" si="151"/>
        <v>0</v>
      </c>
      <c r="I657">
        <f t="shared" ca="1" si="152"/>
        <v>0</v>
      </c>
      <c r="J657">
        <f t="shared" ca="1" si="173"/>
        <v>0</v>
      </c>
      <c r="K657">
        <f ca="1">IF(OR($C657="S",$C657=0),0,MATCH(OFFSET($D657,0,$C657)+IF($C657&lt;&gt;1,1,COUNTIF(QCI!$A$13:$A$24,ORÇAMENTO!E657)),OFFSET($D657,1,$C657,ROW($C$747)-ROW($C657)),0))</f>
        <v>0</v>
      </c>
      <c r="L657" s="116" t="str">
        <f t="shared" ca="1" si="153"/>
        <v/>
      </c>
      <c r="M657" s="117" t="s">
        <v>199</v>
      </c>
      <c r="N657" s="118" t="str">
        <f t="shared" ca="1" si="154"/>
        <v>Serviço</v>
      </c>
      <c r="O657" s="119" t="str">
        <f t="shared" ca="1" si="155"/>
        <v>-</v>
      </c>
      <c r="P657" s="120" t="s">
        <v>247</v>
      </c>
      <c r="Q657" s="121" t="s">
        <v>694</v>
      </c>
      <c r="R657" s="122" t="str">
        <f ca="1">IF($C657="S",REFERENCIA.Descricao,"(digite a descrição aqui)")</f>
        <v>(abra o arquivo 'Referência 02-2025.xlsm)</v>
      </c>
      <c r="S657" s="123" t="str">
        <f ca="1">REFERENCIA.Unidade</f>
        <v>-</v>
      </c>
      <c r="T657" s="124">
        <f ca="1">OFFSET(CÁLCULO!H$15,ROW($T657)-ROW(T$15),0)</f>
        <v>16.899999999999999</v>
      </c>
      <c r="U657" s="125">
        <f t="shared" ca="1" si="172"/>
        <v>0</v>
      </c>
      <c r="V657" s="126" t="s">
        <v>156</v>
      </c>
      <c r="W657" s="124">
        <f ca="1">IF($C657="S",ROUND(IF(TIPOORCAMENTO="Proposto",ORÇAMENTO.CustoUnitario*(1+$AH657),ORÇAMENTO.PrecoUnitarioLicitado),15-13*$AF$10),0)</f>
        <v>0</v>
      </c>
      <c r="X657" s="127">
        <f ca="1">IF($C657="S",IF(Import.TipoArredondamento&lt;&gt;"TransfereGOV",VTOTAL1,SUM(OFFSET(CÁLCULO!$AA$15,ROW($X657)-ROW($X$15),1):OFFSET(CÁLCULO!$AL$15,ROW($X657)-ROW($X$15),-1))),IF($C657=0,0,ROUND(SomaAgrup,15-13*$AF$11)))</f>
        <v>0</v>
      </c>
      <c r="Y657" s="128" t="s">
        <v>245</v>
      </c>
      <c r="Z657" t="str">
        <f t="shared" ca="1" si="156"/>
        <v/>
      </c>
      <c r="AA657" s="129">
        <f ca="1">IF($C657="S",IF($Z657="CP",$X657,IF($Z657="RA",(($X657)*QCI!$AA$3),0)),SomaAgrup)</f>
        <v>0</v>
      </c>
      <c r="AB657" s="130">
        <f t="shared" ca="1" si="169"/>
        <v>0</v>
      </c>
      <c r="AC657" s="131" t="str">
        <f ca="1">IF($N657="","",IF(ORÇAMENTO.Descricao="","DESCRIÇÃO",IF(AND($C657="S",ORÇAMENTO.Unidade=""),"UNIDADE",IF($X657&lt;0,"VALOR NEGATIVO",IF(OR(AND(TIPOORCAMENTO="Proposto",$AG657&lt;&gt;"",$AG657&gt;0,ORÇAMENTO.CustoUnitario&gt;$AG657),AND(TIPOORCAMENTO="LICITADO",ORÇAMENTO.PrecoUnitarioLicitado&gt;$AN657)),"ACIMA REF.","")))))</f>
        <v/>
      </c>
      <c r="AD657" t="str">
        <f ca="1">IF(C657&lt;=CRONO.NivelExibicao,MAX($AD$15:OFFSET(AD657,-1,0))+IF($C657&lt;&gt;1,1,MAX(1,COUNTIF(QCI!$A$13:$A$24,OFFSET($E657,-1,0)))),"")</f>
        <v/>
      </c>
      <c r="AE657" s="7" t="str">
        <f ca="1">IF(AND($C657="S",ORÇAMENTO.CodBarra&lt;&gt;""),IF(ORÇAMENTO.Fonte="",ORÇAMENTO.CodBarra,CONCATENATE(ORÇAMENTO.Fonte," ",ORÇAMENTO.CodBarra)))</f>
        <v>SINAPI 97327</v>
      </c>
      <c r="AF657" s="13" t="str">
        <f ca="1">IF(ISERROR(INDIRECT(ORÇAMENTO.BancoRef)),"(abra o arquivo 'Referência "&amp;Excel_BuiltIn_Database&amp;".xlsm)",IF(OR($C657&lt;&gt;"S",ORÇAMENTO.CodBarra=""),"(Sem Código)",IF(ISERROR(MATCH($AE657,INDIRECT(ORÇAMENTO.BancoRef),0)),"(Código não identificado nas referências)",MATCH($AE657,INDIRECT(ORÇAMENTO.BancoRef),0))))</f>
        <v>(abra o arquivo 'Referência 02-2025.xlsm)</v>
      </c>
      <c r="AG657" s="498">
        <f ca="1">ROUND(IF(DESONERACAO="sim",REFERENCIA.Desonerado,REFERENCIA.NaoDesonerado),2)</f>
        <v>0</v>
      </c>
      <c r="AH657" s="499">
        <f t="shared" ca="1" si="170"/>
        <v>0.22470000000000001</v>
      </c>
      <c r="AJ657" s="501">
        <v>16.899999999999999</v>
      </c>
      <c r="AL657" s="527"/>
      <c r="AM657" s="381">
        <f t="shared" ca="1" si="159"/>
        <v>0</v>
      </c>
      <c r="AN657" s="566">
        <f t="shared" ca="1" si="171"/>
        <v>0</v>
      </c>
    </row>
    <row r="658" spans="1:40" ht="51" x14ac:dyDescent="0.2">
      <c r="A658" t="str">
        <f t="shared" si="168"/>
        <v>S</v>
      </c>
      <c r="B658">
        <f t="shared" ca="1" si="146"/>
        <v>3</v>
      </c>
      <c r="C658" t="str">
        <f t="shared" ca="1" si="147"/>
        <v>S</v>
      </c>
      <c r="D658">
        <f t="shared" ca="1" si="148"/>
        <v>0</v>
      </c>
      <c r="E658">
        <f ca="1">IF($C658=1,OFFSET(E658,-1,0)+MAX(1,COUNTIF(QCI!$A$13:$A$24,OFFSET(ORÇAMENTO!E658,-1,0))),OFFSET(E658,-1,0))</f>
        <v>1</v>
      </c>
      <c r="F658">
        <f t="shared" ca="1" si="149"/>
        <v>20</v>
      </c>
      <c r="G658">
        <f t="shared" ca="1" si="150"/>
        <v>1</v>
      </c>
      <c r="H658">
        <f t="shared" ca="1" si="151"/>
        <v>0</v>
      </c>
      <c r="I658">
        <f t="shared" ca="1" si="152"/>
        <v>0</v>
      </c>
      <c r="J658">
        <f t="shared" ca="1" si="173"/>
        <v>0</v>
      </c>
      <c r="K658">
        <f ca="1">IF(OR($C658="S",$C658=0),0,MATCH(OFFSET($D658,0,$C658)+IF($C658&lt;&gt;1,1,COUNTIF(QCI!$A$13:$A$24,ORÇAMENTO!E658)),OFFSET($D658,1,$C658,ROW($C$747)-ROW($C658)),0))</f>
        <v>0</v>
      </c>
      <c r="L658" s="116" t="str">
        <f t="shared" ca="1" si="153"/>
        <v/>
      </c>
      <c r="M658" s="117" t="s">
        <v>199</v>
      </c>
      <c r="N658" s="118" t="str">
        <f t="shared" ca="1" si="154"/>
        <v>Serviço</v>
      </c>
      <c r="O658" s="119" t="str">
        <f t="shared" ca="1" si="155"/>
        <v>-</v>
      </c>
      <c r="P658" s="120" t="s">
        <v>247</v>
      </c>
      <c r="Q658" s="121" t="s">
        <v>695</v>
      </c>
      <c r="R658" s="122" t="str">
        <f ca="1">IF($C658="S",REFERENCIA.Descricao,"(digite a descrição aqui)")</f>
        <v>(abra o arquivo 'Referência 02-2025.xlsm)</v>
      </c>
      <c r="S658" s="123" t="str">
        <f ca="1">REFERENCIA.Unidade</f>
        <v>-</v>
      </c>
      <c r="T658" s="124">
        <f ca="1">OFFSET(CÁLCULO!H$15,ROW($T658)-ROW(T$15),0)</f>
        <v>154.9</v>
      </c>
      <c r="U658" s="125">
        <f t="shared" ca="1" si="172"/>
        <v>0</v>
      </c>
      <c r="V658" s="126" t="s">
        <v>156</v>
      </c>
      <c r="W658" s="124">
        <f ca="1">IF($C658="S",ROUND(IF(TIPOORCAMENTO="Proposto",ORÇAMENTO.CustoUnitario*(1+$AH658),ORÇAMENTO.PrecoUnitarioLicitado),15-13*$AF$10),0)</f>
        <v>0</v>
      </c>
      <c r="X658" s="127">
        <f ca="1">IF($C658="S",IF(Import.TipoArredondamento&lt;&gt;"TransfereGOV",VTOTAL1,SUM(OFFSET(CÁLCULO!$AA$15,ROW($X658)-ROW($X$15),1):OFFSET(CÁLCULO!$AL$15,ROW($X658)-ROW($X$15),-1))),IF($C658=0,0,ROUND(SomaAgrup,15-13*$AF$11)))</f>
        <v>0</v>
      </c>
      <c r="Y658" s="128" t="s">
        <v>245</v>
      </c>
      <c r="Z658" t="str">
        <f t="shared" ca="1" si="156"/>
        <v/>
      </c>
      <c r="AA658" s="129">
        <f ca="1">IF($C658="S",IF($Z658="CP",$X658,IF($Z658="RA",(($X658)*QCI!$AA$3),0)),SomaAgrup)</f>
        <v>0</v>
      </c>
      <c r="AB658" s="130">
        <f t="shared" ca="1" si="169"/>
        <v>0</v>
      </c>
      <c r="AC658" s="131" t="str">
        <f ca="1">IF($N658="","",IF(ORÇAMENTO.Descricao="","DESCRIÇÃO",IF(AND($C658="S",ORÇAMENTO.Unidade=""),"UNIDADE",IF($X658&lt;0,"VALOR NEGATIVO",IF(OR(AND(TIPOORCAMENTO="Proposto",$AG658&lt;&gt;"",$AG658&gt;0,ORÇAMENTO.CustoUnitario&gt;$AG658),AND(TIPOORCAMENTO="LICITADO",ORÇAMENTO.PrecoUnitarioLicitado&gt;$AN658)),"ACIMA REF.","")))))</f>
        <v/>
      </c>
      <c r="AD658" t="str">
        <f ca="1">IF(C658&lt;=CRONO.NivelExibicao,MAX($AD$15:OFFSET(AD658,-1,0))+IF($C658&lt;&gt;1,1,MAX(1,COUNTIF(QCI!$A$13:$A$24,OFFSET($E658,-1,0)))),"")</f>
        <v/>
      </c>
      <c r="AE658" s="7" t="str">
        <f ca="1">IF(AND($C658="S",ORÇAMENTO.CodBarra&lt;&gt;""),IF(ORÇAMENTO.Fonte="",ORÇAMENTO.CodBarra,CONCATENATE(ORÇAMENTO.Fonte," ",ORÇAMENTO.CodBarra)))</f>
        <v>SINAPI 97328</v>
      </c>
      <c r="AF658" s="13" t="str">
        <f ca="1">IF(ISERROR(INDIRECT(ORÇAMENTO.BancoRef)),"(abra o arquivo 'Referência "&amp;Excel_BuiltIn_Database&amp;".xlsm)",IF(OR($C658&lt;&gt;"S",ORÇAMENTO.CodBarra=""),"(Sem Código)",IF(ISERROR(MATCH($AE658,INDIRECT(ORÇAMENTO.BancoRef),0)),"(Código não identificado nas referências)",MATCH($AE658,INDIRECT(ORÇAMENTO.BancoRef),0))))</f>
        <v>(abra o arquivo 'Referência 02-2025.xlsm)</v>
      </c>
      <c r="AG658" s="498">
        <f ca="1">ROUND(IF(DESONERACAO="sim",REFERENCIA.Desonerado,REFERENCIA.NaoDesonerado),2)</f>
        <v>0</v>
      </c>
      <c r="AH658" s="499">
        <f t="shared" ca="1" si="170"/>
        <v>0.22470000000000001</v>
      </c>
      <c r="AJ658" s="501">
        <v>154.9</v>
      </c>
      <c r="AL658" s="527"/>
      <c r="AM658" s="381">
        <f t="shared" ca="1" si="159"/>
        <v>0</v>
      </c>
      <c r="AN658" s="566">
        <f t="shared" ca="1" si="171"/>
        <v>0</v>
      </c>
    </row>
    <row r="659" spans="1:40" ht="38.25" x14ac:dyDescent="0.2">
      <c r="A659" t="str">
        <f t="shared" si="168"/>
        <v>S</v>
      </c>
      <c r="B659">
        <f t="shared" ca="1" si="146"/>
        <v>3</v>
      </c>
      <c r="C659" t="str">
        <f t="shared" ca="1" si="147"/>
        <v>S</v>
      </c>
      <c r="D659">
        <f t="shared" ca="1" si="148"/>
        <v>0</v>
      </c>
      <c r="E659">
        <f ca="1">IF($C659=1,OFFSET(E659,-1,0)+MAX(1,COUNTIF(QCI!$A$13:$A$24,OFFSET(ORÇAMENTO!E659,-1,0))),OFFSET(E659,-1,0))</f>
        <v>1</v>
      </c>
      <c r="F659">
        <f t="shared" ca="1" si="149"/>
        <v>20</v>
      </c>
      <c r="G659">
        <f t="shared" ca="1" si="150"/>
        <v>1</v>
      </c>
      <c r="H659">
        <f t="shared" ca="1" si="151"/>
        <v>0</v>
      </c>
      <c r="I659">
        <f t="shared" ca="1" si="152"/>
        <v>0</v>
      </c>
      <c r="J659">
        <f t="shared" ca="1" si="173"/>
        <v>0</v>
      </c>
      <c r="K659">
        <f ca="1">IF(OR($C659="S",$C659=0),0,MATCH(OFFSET($D659,0,$C659)+IF($C659&lt;&gt;1,1,COUNTIF(QCI!$A$13:$A$24,ORÇAMENTO!E659)),OFFSET($D659,1,$C659,ROW($C$747)-ROW($C659)),0))</f>
        <v>0</v>
      </c>
      <c r="L659" s="116" t="str">
        <f t="shared" ca="1" si="153"/>
        <v/>
      </c>
      <c r="M659" s="117" t="s">
        <v>199</v>
      </c>
      <c r="N659" s="118" t="str">
        <f t="shared" ca="1" si="154"/>
        <v>Serviço</v>
      </c>
      <c r="O659" s="119" t="str">
        <f t="shared" ca="1" si="155"/>
        <v>-</v>
      </c>
      <c r="P659" s="120" t="s">
        <v>247</v>
      </c>
      <c r="Q659" s="121" t="s">
        <v>696</v>
      </c>
      <c r="R659" s="122" t="str">
        <f ca="1">IF($C659="S",REFERENCIA.Descricao,"(digite a descrição aqui)")</f>
        <v>(abra o arquivo 'Referência 02-2025.xlsm)</v>
      </c>
      <c r="S659" s="123" t="str">
        <f ca="1">REFERENCIA.Unidade</f>
        <v>-</v>
      </c>
      <c r="T659" s="124">
        <f ca="1">OFFSET(CÁLCULO!H$15,ROW($T659)-ROW(T$15),0)</f>
        <v>138</v>
      </c>
      <c r="U659" s="125">
        <f t="shared" ca="1" si="172"/>
        <v>0</v>
      </c>
      <c r="V659" s="126" t="s">
        <v>156</v>
      </c>
      <c r="W659" s="124">
        <f ca="1">IF($C659="S",ROUND(IF(TIPOORCAMENTO="Proposto",ORÇAMENTO.CustoUnitario*(1+$AH659),ORÇAMENTO.PrecoUnitarioLicitado),15-13*$AF$10),0)</f>
        <v>0</v>
      </c>
      <c r="X659" s="127">
        <f ca="1">IF($C659="S",IF(Import.TipoArredondamento&lt;&gt;"TransfereGOV",VTOTAL1,SUM(OFFSET(CÁLCULO!$AA$15,ROW($X659)-ROW($X$15),1):OFFSET(CÁLCULO!$AL$15,ROW($X659)-ROW($X$15),-1))),IF($C659=0,0,ROUND(SomaAgrup,15-13*$AF$11)))</f>
        <v>0</v>
      </c>
      <c r="Y659" s="128" t="s">
        <v>245</v>
      </c>
      <c r="Z659" t="str">
        <f t="shared" ca="1" si="156"/>
        <v/>
      </c>
      <c r="AA659" s="129">
        <f ca="1">IF($C659="S",IF($Z659="CP",$X659,IF($Z659="RA",(($X659)*QCI!$AA$3),0)),SomaAgrup)</f>
        <v>0</v>
      </c>
      <c r="AB659" s="130">
        <f t="shared" ca="1" si="169"/>
        <v>0</v>
      </c>
      <c r="AC659" s="131" t="str">
        <f ca="1">IF($N659="","",IF(ORÇAMENTO.Descricao="","DESCRIÇÃO",IF(AND($C659="S",ORÇAMENTO.Unidade=""),"UNIDADE",IF($X659&lt;0,"VALOR NEGATIVO",IF(OR(AND(TIPOORCAMENTO="Proposto",$AG659&lt;&gt;"",$AG659&gt;0,ORÇAMENTO.CustoUnitario&gt;$AG659),AND(TIPOORCAMENTO="LICITADO",ORÇAMENTO.PrecoUnitarioLicitado&gt;$AN659)),"ACIMA REF.","")))))</f>
        <v/>
      </c>
      <c r="AD659" t="str">
        <f ca="1">IF(C659&lt;=CRONO.NivelExibicao,MAX($AD$15:OFFSET(AD659,-1,0))+IF($C659&lt;&gt;1,1,MAX(1,COUNTIF(QCI!$A$13:$A$24,OFFSET($E659,-1,0)))),"")</f>
        <v/>
      </c>
      <c r="AE659" s="7" t="str">
        <f ca="1">IF(AND($C659="S",ORÇAMENTO.CodBarra&lt;&gt;""),IF(ORÇAMENTO.Fonte="",ORÇAMENTO.CodBarra,CONCATENATE(ORÇAMENTO.Fonte," ",ORÇAMENTO.CodBarra)))</f>
        <v>SINAPI 103292</v>
      </c>
      <c r="AF659" s="13" t="str">
        <f ca="1">IF(ISERROR(INDIRECT(ORÇAMENTO.BancoRef)),"(abra o arquivo 'Referência "&amp;Excel_BuiltIn_Database&amp;".xlsm)",IF(OR($C659&lt;&gt;"S",ORÇAMENTO.CodBarra=""),"(Sem Código)",IF(ISERROR(MATCH($AE659,INDIRECT(ORÇAMENTO.BancoRef),0)),"(Código não identificado nas referências)",MATCH($AE659,INDIRECT(ORÇAMENTO.BancoRef),0))))</f>
        <v>(abra o arquivo 'Referência 02-2025.xlsm)</v>
      </c>
      <c r="AG659" s="498">
        <f ca="1">ROUND(IF(DESONERACAO="sim",REFERENCIA.Desonerado,REFERENCIA.NaoDesonerado),2)</f>
        <v>0</v>
      </c>
      <c r="AH659" s="499">
        <f t="shared" ca="1" si="170"/>
        <v>0.22470000000000001</v>
      </c>
      <c r="AJ659" s="501">
        <v>138</v>
      </c>
      <c r="AL659" s="527"/>
      <c r="AM659" s="381">
        <f t="shared" ca="1" si="159"/>
        <v>0</v>
      </c>
      <c r="AN659" s="566">
        <f t="shared" ca="1" si="171"/>
        <v>0</v>
      </c>
    </row>
    <row r="660" spans="1:40" x14ac:dyDescent="0.2">
      <c r="A660">
        <f t="shared" si="168"/>
        <v>3</v>
      </c>
      <c r="B660">
        <f t="shared" ca="1" si="146"/>
        <v>3</v>
      </c>
      <c r="C660">
        <f t="shared" ca="1" si="147"/>
        <v>3</v>
      </c>
      <c r="D660">
        <f t="shared" ca="1" si="148"/>
        <v>5</v>
      </c>
      <c r="E660">
        <f ca="1">IF($C660=1,OFFSET(E660,-1,0)+MAX(1,COUNTIF(QCI!$A$13:$A$24,OFFSET(ORÇAMENTO!E660,-1,0))),OFFSET(E660,-1,0))</f>
        <v>1</v>
      </c>
      <c r="F660">
        <f t="shared" ca="1" si="149"/>
        <v>20</v>
      </c>
      <c r="G660">
        <f t="shared" ca="1" si="150"/>
        <v>2</v>
      </c>
      <c r="H660">
        <f t="shared" ca="1" si="151"/>
        <v>0</v>
      </c>
      <c r="I660">
        <f t="shared" ca="1" si="152"/>
        <v>0</v>
      </c>
      <c r="J660">
        <f t="shared" ca="1" si="173"/>
        <v>5</v>
      </c>
      <c r="K660">
        <f ca="1">IF(OR($C660="S",$C660=0),0,MATCH(OFFSET($D660,0,$C660)+IF($C660&lt;&gt;1,1,COUNTIF(QCI!$A$13:$A$24,ORÇAMENTO!E660)),OFFSET($D660,1,$C660,ROW($C$747)-ROW($C660)),0))</f>
        <v>48</v>
      </c>
      <c r="L660" s="116" t="str">
        <f t="shared" ca="1" si="153"/>
        <v>F</v>
      </c>
      <c r="M660" s="117" t="s">
        <v>197</v>
      </c>
      <c r="N660" s="118" t="str">
        <f t="shared" ca="1" si="154"/>
        <v>Nível 3</v>
      </c>
      <c r="O660" s="119" t="str">
        <f t="shared" ca="1" si="155"/>
        <v>1.20.2.</v>
      </c>
      <c r="P660" s="120" t="s">
        <v>247</v>
      </c>
      <c r="Q660" s="121"/>
      <c r="R660" s="122" t="s">
        <v>993</v>
      </c>
      <c r="S660" s="123" t="str">
        <f ca="1">REFERENCIA.Unidade</f>
        <v>-</v>
      </c>
      <c r="T660" s="124">
        <f ca="1">OFFSET(CÁLCULO!H$15,ROW($T660)-ROW(T$15),0)</f>
        <v>0</v>
      </c>
      <c r="U660" s="125">
        <f t="shared" ca="1" si="172"/>
        <v>0</v>
      </c>
      <c r="V660" s="126" t="s">
        <v>156</v>
      </c>
      <c r="W660" s="124">
        <f ca="1">IF($C660="S",ROUND(IF(TIPOORCAMENTO="Proposto",ORÇAMENTO.CustoUnitario*(1+$AH660),ORÇAMENTO.PrecoUnitarioLicitado),15-13*$AF$10),0)</f>
        <v>0</v>
      </c>
      <c r="X660" s="127">
        <f ca="1">IF($C660="S",IF(Import.TipoArredondamento&lt;&gt;"TransfereGOV",VTOTAL1,SUM(OFFSET(CÁLCULO!$AA$15,ROW($X660)-ROW($X$15),1):OFFSET(CÁLCULO!$AL$15,ROW($X660)-ROW($X$15),-1))),IF($C660=0,0,ROUND(SomaAgrup,15-13*$AF$11)))</f>
        <v>0</v>
      </c>
      <c r="Y660" s="128" t="s">
        <v>245</v>
      </c>
      <c r="Z660" t="str">
        <f t="shared" ca="1" si="156"/>
        <v/>
      </c>
      <c r="AA660" s="129">
        <f ca="1">IF($C660="S",IF($Z660="CP",$X660,IF($Z660="RA",(($X660)*QCI!$AA$3),0)),SomaAgrup)</f>
        <v>0</v>
      </c>
      <c r="AB660" s="130">
        <f t="shared" ca="1" si="169"/>
        <v>0</v>
      </c>
      <c r="AC660" s="131" t="str">
        <f ca="1">IF($N660="","",IF(ORÇAMENTO.Descricao="","DESCRIÇÃO",IF(AND($C660="S",ORÇAMENTO.Unidade=""),"UNIDADE",IF($X660&lt;0,"VALOR NEGATIVO",IF(OR(AND(TIPOORCAMENTO="Proposto",$AG660&lt;&gt;"",$AG660&gt;0,ORÇAMENTO.CustoUnitario&gt;$AG660),AND(TIPOORCAMENTO="LICITADO",ORÇAMENTO.PrecoUnitarioLicitado&gt;$AN660)),"ACIMA REF.","")))))</f>
        <v/>
      </c>
      <c r="AD660" t="str">
        <f ca="1">IF(C660&lt;=CRONO.NivelExibicao,MAX($AD$15:OFFSET(AD660,-1,0))+IF($C660&lt;&gt;1,1,MAX(1,COUNTIF(QCI!$A$13:$A$24,OFFSET($E660,-1,0)))),"")</f>
        <v/>
      </c>
      <c r="AE660" s="7" t="b">
        <f ca="1">IF(AND($C660="S",ORÇAMENTO.CodBarra&lt;&gt;""),IF(ORÇAMENTO.Fonte="",ORÇAMENTO.CodBarra,CONCATENATE(ORÇAMENTO.Fonte," ",ORÇAMENTO.CodBarra)))</f>
        <v>0</v>
      </c>
      <c r="AF660" s="13" t="str">
        <f ca="1">IF(ISERROR(INDIRECT(ORÇAMENTO.BancoRef)),"(abra o arquivo 'Referência "&amp;Excel_BuiltIn_Database&amp;".xlsm)",IF(OR($C660&lt;&gt;"S",ORÇAMENTO.CodBarra=""),"(Sem Código)",IF(ISERROR(MATCH($AE660,INDIRECT(ORÇAMENTO.BancoRef),0)),"(Código não identificado nas referências)",MATCH($AE660,INDIRECT(ORÇAMENTO.BancoRef),0))))</f>
        <v>(abra o arquivo 'Referência 02-2025.xlsm)</v>
      </c>
      <c r="AG660" s="498">
        <f ca="1">ROUND(IF(DESONERACAO="sim",REFERENCIA.Desonerado,REFERENCIA.NaoDesonerado),2)</f>
        <v>0</v>
      </c>
      <c r="AH660" s="499">
        <f t="shared" ca="1" si="170"/>
        <v>0.22470000000000001</v>
      </c>
      <c r="AJ660" s="501"/>
      <c r="AL660" s="527"/>
      <c r="AM660" s="381">
        <f t="shared" ca="1" si="159"/>
        <v>0</v>
      </c>
      <c r="AN660" s="566">
        <f t="shared" ca="1" si="171"/>
        <v>0</v>
      </c>
    </row>
    <row r="661" spans="1:40" ht="38.25" x14ac:dyDescent="0.2">
      <c r="A661" t="str">
        <f t="shared" si="168"/>
        <v>S</v>
      </c>
      <c r="B661">
        <f t="shared" ca="1" si="146"/>
        <v>3</v>
      </c>
      <c r="C661" t="str">
        <f t="shared" ca="1" si="147"/>
        <v>S</v>
      </c>
      <c r="D661">
        <f t="shared" ca="1" si="148"/>
        <v>0</v>
      </c>
      <c r="E661">
        <f ca="1">IF($C661=1,OFFSET(E661,-1,0)+MAX(1,COUNTIF(QCI!$A$13:$A$24,OFFSET(ORÇAMENTO!E661,-1,0))),OFFSET(E661,-1,0))</f>
        <v>1</v>
      </c>
      <c r="F661">
        <f t="shared" ca="1" si="149"/>
        <v>20</v>
      </c>
      <c r="G661">
        <f t="shared" ca="1" si="150"/>
        <v>2</v>
      </c>
      <c r="H661">
        <f t="shared" ca="1" si="151"/>
        <v>0</v>
      </c>
      <c r="I661">
        <f t="shared" ca="1" si="152"/>
        <v>0</v>
      </c>
      <c r="J661">
        <f t="shared" ca="1" si="173"/>
        <v>0</v>
      </c>
      <c r="K661">
        <f ca="1">IF(OR($C661="S",$C661=0),0,MATCH(OFFSET($D661,0,$C661)+IF($C661&lt;&gt;1,1,COUNTIF(QCI!$A$13:$A$24,ORÇAMENTO!E661)),OFFSET($D661,1,$C661,ROW($C$747)-ROW($C661)),0))</f>
        <v>0</v>
      </c>
      <c r="L661" s="116" t="str">
        <f t="shared" ca="1" si="153"/>
        <v/>
      </c>
      <c r="M661" s="117" t="s">
        <v>199</v>
      </c>
      <c r="N661" s="118" t="str">
        <f t="shared" ca="1" si="154"/>
        <v>Serviço</v>
      </c>
      <c r="O661" s="119" t="str">
        <f t="shared" ca="1" si="155"/>
        <v>-</v>
      </c>
      <c r="P661" s="120" t="s">
        <v>247</v>
      </c>
      <c r="Q661" s="121" t="s">
        <v>505</v>
      </c>
      <c r="R661" s="122" t="str">
        <f ca="1">IF($C661="S",REFERENCIA.Descricao,"(digite a descrição aqui)")</f>
        <v>(abra o arquivo 'Referência 02-2025.xlsm)</v>
      </c>
      <c r="S661" s="123" t="str">
        <f ca="1">REFERENCIA.Unidade</f>
        <v>-</v>
      </c>
      <c r="T661" s="124">
        <f ca="1">OFFSET(CÁLCULO!H$15,ROW($T661)-ROW(T$15),0)</f>
        <v>128.80000000000001</v>
      </c>
      <c r="U661" s="125">
        <f t="shared" ca="1" si="172"/>
        <v>0</v>
      </c>
      <c r="V661" s="126" t="s">
        <v>156</v>
      </c>
      <c r="W661" s="124">
        <f ca="1">IF($C661="S",ROUND(IF(TIPOORCAMENTO="Proposto",ORÇAMENTO.CustoUnitario*(1+$AH661),ORÇAMENTO.PrecoUnitarioLicitado),15-13*$AF$10),0)</f>
        <v>0</v>
      </c>
      <c r="X661" s="127">
        <f ca="1">IF($C661="S",IF(Import.TipoArredondamento&lt;&gt;"TransfereGOV",VTOTAL1,SUM(OFFSET(CÁLCULO!$AA$15,ROW($X661)-ROW($X$15),1):OFFSET(CÁLCULO!$AL$15,ROW($X661)-ROW($X$15),-1))),IF($C661=0,0,ROUND(SomaAgrup,15-13*$AF$11)))</f>
        <v>0</v>
      </c>
      <c r="Y661" s="128" t="s">
        <v>245</v>
      </c>
      <c r="Z661" t="str">
        <f t="shared" ca="1" si="156"/>
        <v/>
      </c>
      <c r="AA661" s="129">
        <f ca="1">IF($C661="S",IF($Z661="CP",$X661,IF($Z661="RA",(($X661)*QCI!$AA$3),0)),SomaAgrup)</f>
        <v>0</v>
      </c>
      <c r="AB661" s="130">
        <f t="shared" ca="1" si="169"/>
        <v>0</v>
      </c>
      <c r="AC661" s="131" t="str">
        <f ca="1">IF($N661="","",IF(ORÇAMENTO.Descricao="","DESCRIÇÃO",IF(AND($C661="S",ORÇAMENTO.Unidade=""),"UNIDADE",IF($X661&lt;0,"VALOR NEGATIVO",IF(OR(AND(TIPOORCAMENTO="Proposto",$AG661&lt;&gt;"",$AG661&gt;0,ORÇAMENTO.CustoUnitario&gt;$AG661),AND(TIPOORCAMENTO="LICITADO",ORÇAMENTO.PrecoUnitarioLicitado&gt;$AN661)),"ACIMA REF.","")))))</f>
        <v/>
      </c>
      <c r="AD661" t="str">
        <f ca="1">IF(C661&lt;=CRONO.NivelExibicao,MAX($AD$15:OFFSET(AD661,-1,0))+IF($C661&lt;&gt;1,1,MAX(1,COUNTIF(QCI!$A$13:$A$24,OFFSET($E661,-1,0)))),"")</f>
        <v/>
      </c>
      <c r="AE661" s="7" t="str">
        <f ca="1">IF(AND($C661="S",ORÇAMENTO.CodBarra&lt;&gt;""),IF(ORÇAMENTO.Fonte="",ORÇAMENTO.CodBarra,CONCATENATE(ORÇAMENTO.Fonte," ",ORÇAMENTO.CodBarra)))</f>
        <v>SINAPI 103978</v>
      </c>
      <c r="AF661" s="13" t="str">
        <f ca="1">IF(ISERROR(INDIRECT(ORÇAMENTO.BancoRef)),"(abra o arquivo 'Referência "&amp;Excel_BuiltIn_Database&amp;".xlsm)",IF(OR($C661&lt;&gt;"S",ORÇAMENTO.CodBarra=""),"(Sem Código)",IF(ISERROR(MATCH($AE661,INDIRECT(ORÇAMENTO.BancoRef),0)),"(Código não identificado nas referências)",MATCH($AE661,INDIRECT(ORÇAMENTO.BancoRef),0))))</f>
        <v>(abra o arquivo 'Referência 02-2025.xlsm)</v>
      </c>
      <c r="AG661" s="498">
        <f ca="1">ROUND(IF(DESONERACAO="sim",REFERENCIA.Desonerado,REFERENCIA.NaoDesonerado),2)</f>
        <v>0</v>
      </c>
      <c r="AH661" s="499">
        <f t="shared" ca="1" si="170"/>
        <v>0.22470000000000001</v>
      </c>
      <c r="AJ661" s="501">
        <v>128.80000000000001</v>
      </c>
      <c r="AL661" s="527"/>
      <c r="AM661" s="381">
        <f t="shared" ca="1" si="159"/>
        <v>0</v>
      </c>
      <c r="AN661" s="566">
        <f t="shared" ca="1" si="171"/>
        <v>0</v>
      </c>
    </row>
    <row r="662" spans="1:40" ht="38.25" x14ac:dyDescent="0.2">
      <c r="A662" t="str">
        <f t="shared" si="168"/>
        <v>S</v>
      </c>
      <c r="B662">
        <f t="shared" ca="1" si="146"/>
        <v>3</v>
      </c>
      <c r="C662" t="str">
        <f t="shared" ca="1" si="147"/>
        <v>S</v>
      </c>
      <c r="D662">
        <f t="shared" ca="1" si="148"/>
        <v>0</v>
      </c>
      <c r="E662">
        <f ca="1">IF($C662=1,OFFSET(E662,-1,0)+MAX(1,COUNTIF(QCI!$A$13:$A$24,OFFSET(ORÇAMENTO!E662,-1,0))),OFFSET(E662,-1,0))</f>
        <v>1</v>
      </c>
      <c r="F662">
        <f t="shared" ca="1" si="149"/>
        <v>20</v>
      </c>
      <c r="G662">
        <f t="shared" ca="1" si="150"/>
        <v>2</v>
      </c>
      <c r="H662">
        <f t="shared" ca="1" si="151"/>
        <v>0</v>
      </c>
      <c r="I662">
        <f t="shared" ca="1" si="152"/>
        <v>0</v>
      </c>
      <c r="J662">
        <f t="shared" ca="1" si="173"/>
        <v>0</v>
      </c>
      <c r="K662">
        <f ca="1">IF(OR($C662="S",$C662=0),0,MATCH(OFFSET($D662,0,$C662)+IF($C662&lt;&gt;1,1,COUNTIF(QCI!$A$13:$A$24,ORÇAMENTO!E662)),OFFSET($D662,1,$C662,ROW($C$747)-ROW($C662)),0))</f>
        <v>0</v>
      </c>
      <c r="L662" s="116" t="str">
        <f t="shared" ca="1" si="153"/>
        <v/>
      </c>
      <c r="M662" s="117" t="s">
        <v>199</v>
      </c>
      <c r="N662" s="118" t="str">
        <f t="shared" ca="1" si="154"/>
        <v>Serviço</v>
      </c>
      <c r="O662" s="119" t="str">
        <f t="shared" ca="1" si="155"/>
        <v>-</v>
      </c>
      <c r="P662" s="120" t="s">
        <v>247</v>
      </c>
      <c r="Q662" s="121" t="s">
        <v>521</v>
      </c>
      <c r="R662" s="122" t="str">
        <f ca="1">IF($C662="S",REFERENCIA.Descricao,"(digite a descrição aqui)")</f>
        <v>(abra o arquivo 'Referência 02-2025.xlsm)</v>
      </c>
      <c r="S662" s="123" t="str">
        <f ca="1">REFERENCIA.Unidade</f>
        <v>-</v>
      </c>
      <c r="T662" s="124">
        <f ca="1">OFFSET(CÁLCULO!H$15,ROW($T662)-ROW(T$15),0)</f>
        <v>24</v>
      </c>
      <c r="U662" s="125">
        <f t="shared" ca="1" si="172"/>
        <v>0</v>
      </c>
      <c r="V662" s="126" t="s">
        <v>156</v>
      </c>
      <c r="W662" s="124">
        <f ca="1">IF($C662="S",ROUND(IF(TIPOORCAMENTO="Proposto",ORÇAMENTO.CustoUnitario*(1+$AH662),ORÇAMENTO.PrecoUnitarioLicitado),15-13*$AF$10),0)</f>
        <v>0</v>
      </c>
      <c r="X662" s="127">
        <f ca="1">IF($C662="S",IF(Import.TipoArredondamento&lt;&gt;"TransfereGOV",VTOTAL1,SUM(OFFSET(CÁLCULO!$AA$15,ROW($X662)-ROW($X$15),1):OFFSET(CÁLCULO!$AL$15,ROW($X662)-ROW($X$15),-1))),IF($C662=0,0,ROUND(SomaAgrup,15-13*$AF$11)))</f>
        <v>0</v>
      </c>
      <c r="Y662" s="128" t="s">
        <v>245</v>
      </c>
      <c r="Z662" t="str">
        <f t="shared" ca="1" si="156"/>
        <v/>
      </c>
      <c r="AA662" s="129">
        <f ca="1">IF($C662="S",IF($Z662="CP",$X662,IF($Z662="RA",(($X662)*QCI!$AA$3),0)),SomaAgrup)</f>
        <v>0</v>
      </c>
      <c r="AB662" s="130">
        <f t="shared" ca="1" si="169"/>
        <v>0</v>
      </c>
      <c r="AC662" s="131" t="str">
        <f ca="1">IF($N662="","",IF(ORÇAMENTO.Descricao="","DESCRIÇÃO",IF(AND($C662="S",ORÇAMENTO.Unidade=""),"UNIDADE",IF($X662&lt;0,"VALOR NEGATIVO",IF(OR(AND(TIPOORCAMENTO="Proposto",$AG662&lt;&gt;"",$AG662&gt;0,ORÇAMENTO.CustoUnitario&gt;$AG662),AND(TIPOORCAMENTO="LICITADO",ORÇAMENTO.PrecoUnitarioLicitado&gt;$AN662)),"ACIMA REF.","")))))</f>
        <v/>
      </c>
      <c r="AD662" t="str">
        <f ca="1">IF(C662&lt;=CRONO.NivelExibicao,MAX($AD$15:OFFSET(AD662,-1,0))+IF($C662&lt;&gt;1,1,MAX(1,COUNTIF(QCI!$A$13:$A$24,OFFSET($E662,-1,0)))),"")</f>
        <v/>
      </c>
      <c r="AE662" s="7" t="str">
        <f ca="1">IF(AND($C662="S",ORÇAMENTO.CodBarra&lt;&gt;""),IF(ORÇAMENTO.Fonte="",ORÇAMENTO.CodBarra,CONCATENATE(ORÇAMENTO.Fonte," ",ORÇAMENTO.CodBarra)))</f>
        <v>SINAPI 103981</v>
      </c>
      <c r="AF662" s="13" t="str">
        <f ca="1">IF(ISERROR(INDIRECT(ORÇAMENTO.BancoRef)),"(abra o arquivo 'Referência "&amp;Excel_BuiltIn_Database&amp;".xlsm)",IF(OR($C662&lt;&gt;"S",ORÇAMENTO.CodBarra=""),"(Sem Código)",IF(ISERROR(MATCH($AE662,INDIRECT(ORÇAMENTO.BancoRef),0)),"(Código não identificado nas referências)",MATCH($AE662,INDIRECT(ORÇAMENTO.BancoRef),0))))</f>
        <v>(abra o arquivo 'Referência 02-2025.xlsm)</v>
      </c>
      <c r="AG662" s="498">
        <f ca="1">ROUND(IF(DESONERACAO="sim",REFERENCIA.Desonerado,REFERENCIA.NaoDesonerado),2)</f>
        <v>0</v>
      </c>
      <c r="AH662" s="499">
        <f t="shared" ca="1" si="170"/>
        <v>0.22470000000000001</v>
      </c>
      <c r="AJ662" s="501">
        <v>24</v>
      </c>
      <c r="AL662" s="527"/>
      <c r="AM662" s="381">
        <f t="shared" ca="1" si="159"/>
        <v>0</v>
      </c>
      <c r="AN662" s="566">
        <f t="shared" ca="1" si="171"/>
        <v>0</v>
      </c>
    </row>
    <row r="663" spans="1:40" ht="38.25" x14ac:dyDescent="0.2">
      <c r="A663" t="str">
        <f t="shared" si="168"/>
        <v>S</v>
      </c>
      <c r="B663">
        <f t="shared" ca="1" si="146"/>
        <v>3</v>
      </c>
      <c r="C663" t="str">
        <f t="shared" ca="1" si="147"/>
        <v>S</v>
      </c>
      <c r="D663">
        <f t="shared" ca="1" si="148"/>
        <v>0</v>
      </c>
      <c r="E663">
        <f ca="1">IF($C663=1,OFFSET(E663,-1,0)+MAX(1,COUNTIF(QCI!$A$13:$A$24,OFFSET(ORÇAMENTO!E663,-1,0))),OFFSET(E663,-1,0))</f>
        <v>1</v>
      </c>
      <c r="F663">
        <f t="shared" ca="1" si="149"/>
        <v>20</v>
      </c>
      <c r="G663">
        <f t="shared" ca="1" si="150"/>
        <v>2</v>
      </c>
      <c r="H663">
        <f t="shared" ca="1" si="151"/>
        <v>0</v>
      </c>
      <c r="I663">
        <f t="shared" ca="1" si="152"/>
        <v>0</v>
      </c>
      <c r="J663">
        <f t="shared" ca="1" si="173"/>
        <v>0</v>
      </c>
      <c r="K663">
        <f ca="1">IF(OR($C663="S",$C663=0),0,MATCH(OFFSET($D663,0,$C663)+IF($C663&lt;&gt;1,1,COUNTIF(QCI!$A$13:$A$24,ORÇAMENTO!E663)),OFFSET($D663,1,$C663,ROW($C$747)-ROW($C663)),0))</f>
        <v>0</v>
      </c>
      <c r="L663" s="116" t="str">
        <f t="shared" ca="1" si="153"/>
        <v/>
      </c>
      <c r="M663" s="117" t="s">
        <v>199</v>
      </c>
      <c r="N663" s="118" t="str">
        <f t="shared" ca="1" si="154"/>
        <v>Serviço</v>
      </c>
      <c r="O663" s="119" t="str">
        <f t="shared" ca="1" si="155"/>
        <v>-</v>
      </c>
      <c r="P663" s="120" t="s">
        <v>247</v>
      </c>
      <c r="Q663" s="121" t="s">
        <v>517</v>
      </c>
      <c r="R663" s="122" t="str">
        <f ca="1">IF($C663="S",REFERENCIA.Descricao,"(digite a descrição aqui)")</f>
        <v>(abra o arquivo 'Referência 02-2025.xlsm)</v>
      </c>
      <c r="S663" s="123" t="str">
        <f ca="1">REFERENCIA.Unidade</f>
        <v>-</v>
      </c>
      <c r="T663" s="124">
        <f ca="1">OFFSET(CÁLCULO!H$15,ROW($T663)-ROW(T$15),0)</f>
        <v>19</v>
      </c>
      <c r="U663" s="125">
        <f t="shared" ca="1" si="172"/>
        <v>0</v>
      </c>
      <c r="V663" s="126" t="s">
        <v>156</v>
      </c>
      <c r="W663" s="124">
        <f ca="1">IF($C663="S",ROUND(IF(TIPOORCAMENTO="Proposto",ORÇAMENTO.CustoUnitario*(1+$AH663),ORÇAMENTO.PrecoUnitarioLicitado),15-13*$AF$10),0)</f>
        <v>0</v>
      </c>
      <c r="X663" s="127">
        <f ca="1">IF($C663="S",IF(Import.TipoArredondamento&lt;&gt;"TransfereGOV",VTOTAL1,SUM(OFFSET(CÁLCULO!$AA$15,ROW($X663)-ROW($X$15),1):OFFSET(CÁLCULO!$AL$15,ROW($X663)-ROW($X$15),-1))),IF($C663=0,0,ROUND(SomaAgrup,15-13*$AF$11)))</f>
        <v>0</v>
      </c>
      <c r="Y663" s="128" t="s">
        <v>245</v>
      </c>
      <c r="Z663" t="str">
        <f t="shared" ca="1" si="156"/>
        <v/>
      </c>
      <c r="AA663" s="129">
        <f ca="1">IF($C663="S",IF($Z663="CP",$X663,IF($Z663="RA",(($X663)*QCI!$AA$3),0)),SomaAgrup)</f>
        <v>0</v>
      </c>
      <c r="AB663" s="130">
        <f t="shared" ca="1" si="169"/>
        <v>0</v>
      </c>
      <c r="AC663" s="131" t="str">
        <f ca="1">IF($N663="","",IF(ORÇAMENTO.Descricao="","DESCRIÇÃO",IF(AND($C663="S",ORÇAMENTO.Unidade=""),"UNIDADE",IF($X663&lt;0,"VALOR NEGATIVO",IF(OR(AND(TIPOORCAMENTO="Proposto",$AG663&lt;&gt;"",$AG663&gt;0,ORÇAMENTO.CustoUnitario&gt;$AG663),AND(TIPOORCAMENTO="LICITADO",ORÇAMENTO.PrecoUnitarioLicitado&gt;$AN663)),"ACIMA REF.","")))))</f>
        <v/>
      </c>
      <c r="AD663" t="str">
        <f ca="1">IF(C663&lt;=CRONO.NivelExibicao,MAX($AD$15:OFFSET(AD663,-1,0))+IF($C663&lt;&gt;1,1,MAX(1,COUNTIF(QCI!$A$13:$A$24,OFFSET($E663,-1,0)))),"")</f>
        <v/>
      </c>
      <c r="AE663" s="7" t="str">
        <f ca="1">IF(AND($C663="S",ORÇAMENTO.CodBarra&lt;&gt;""),IF(ORÇAMENTO.Fonte="",ORÇAMENTO.CodBarra,CONCATENATE(ORÇAMENTO.Fonte," ",ORÇAMENTO.CodBarra)))</f>
        <v>SINAPI 103980</v>
      </c>
      <c r="AF663" s="13" t="str">
        <f ca="1">IF(ISERROR(INDIRECT(ORÇAMENTO.BancoRef)),"(abra o arquivo 'Referência "&amp;Excel_BuiltIn_Database&amp;".xlsm)",IF(OR($C663&lt;&gt;"S",ORÇAMENTO.CodBarra=""),"(Sem Código)",IF(ISERROR(MATCH($AE663,INDIRECT(ORÇAMENTO.BancoRef),0)),"(Código não identificado nas referências)",MATCH($AE663,INDIRECT(ORÇAMENTO.BancoRef),0))))</f>
        <v>(abra o arquivo 'Referência 02-2025.xlsm)</v>
      </c>
      <c r="AG663" s="498">
        <f ca="1">ROUND(IF(DESONERACAO="sim",REFERENCIA.Desonerado,REFERENCIA.NaoDesonerado),2)</f>
        <v>0</v>
      </c>
      <c r="AH663" s="499">
        <f t="shared" ca="1" si="170"/>
        <v>0.22470000000000001</v>
      </c>
      <c r="AJ663" s="501">
        <v>19</v>
      </c>
      <c r="AL663" s="527"/>
      <c r="AM663" s="381">
        <f t="shared" ca="1" si="159"/>
        <v>0</v>
      </c>
      <c r="AN663" s="566">
        <f t="shared" ca="1" si="171"/>
        <v>0</v>
      </c>
    </row>
    <row r="664" spans="1:40" ht="38.25" x14ac:dyDescent="0.2">
      <c r="A664" t="str">
        <f t="shared" si="168"/>
        <v>S</v>
      </c>
      <c r="B664">
        <f t="shared" ca="1" si="146"/>
        <v>3</v>
      </c>
      <c r="C664" t="str">
        <f t="shared" ca="1" si="147"/>
        <v>S</v>
      </c>
      <c r="D664">
        <f t="shared" ca="1" si="148"/>
        <v>0</v>
      </c>
      <c r="E664">
        <f ca="1">IF($C664=1,OFFSET(E664,-1,0)+MAX(1,COUNTIF(QCI!$A$13:$A$24,OFFSET(ORÇAMENTO!E664,-1,0))),OFFSET(E664,-1,0))</f>
        <v>1</v>
      </c>
      <c r="F664">
        <f t="shared" ca="1" si="149"/>
        <v>20</v>
      </c>
      <c r="G664">
        <f t="shared" ca="1" si="150"/>
        <v>2</v>
      </c>
      <c r="H664">
        <f t="shared" ca="1" si="151"/>
        <v>0</v>
      </c>
      <c r="I664">
        <f t="shared" ca="1" si="152"/>
        <v>0</v>
      </c>
      <c r="J664">
        <f t="shared" ca="1" si="173"/>
        <v>0</v>
      </c>
      <c r="K664">
        <f ca="1">IF(OR($C664="S",$C664=0),0,MATCH(OFFSET($D664,0,$C664)+IF($C664&lt;&gt;1,1,COUNTIF(QCI!$A$13:$A$24,ORÇAMENTO!E664)),OFFSET($D664,1,$C664,ROW($C$747)-ROW($C664)),0))</f>
        <v>0</v>
      </c>
      <c r="L664" s="116" t="str">
        <f t="shared" ca="1" si="153"/>
        <v/>
      </c>
      <c r="M664" s="117" t="s">
        <v>199</v>
      </c>
      <c r="N664" s="118" t="str">
        <f t="shared" ca="1" si="154"/>
        <v>Serviço</v>
      </c>
      <c r="O664" s="119" t="str">
        <f t="shared" ca="1" si="155"/>
        <v>-</v>
      </c>
      <c r="P664" s="120" t="s">
        <v>247</v>
      </c>
      <c r="Q664" s="121" t="s">
        <v>531</v>
      </c>
      <c r="R664" s="122" t="str">
        <f ca="1">IF($C664="S",REFERENCIA.Descricao,"(digite a descrição aqui)")</f>
        <v>(abra o arquivo 'Referência 02-2025.xlsm)</v>
      </c>
      <c r="S664" s="123" t="str">
        <f ca="1">REFERENCIA.Unidade</f>
        <v>-</v>
      </c>
      <c r="T664" s="124">
        <f ca="1">OFFSET(CÁLCULO!H$15,ROW($T664)-ROW(T$15),0)</f>
        <v>1</v>
      </c>
      <c r="U664" s="125">
        <f t="shared" ca="1" si="172"/>
        <v>0</v>
      </c>
      <c r="V664" s="126" t="s">
        <v>156</v>
      </c>
      <c r="W664" s="124">
        <f ca="1">IF($C664="S",ROUND(IF(TIPOORCAMENTO="Proposto",ORÇAMENTO.CustoUnitario*(1+$AH664),ORÇAMENTO.PrecoUnitarioLicitado),15-13*$AF$10),0)</f>
        <v>0</v>
      </c>
      <c r="X664" s="127">
        <f ca="1">IF($C664="S",IF(Import.TipoArredondamento&lt;&gt;"TransfereGOV",VTOTAL1,SUM(OFFSET(CÁLCULO!$AA$15,ROW($X664)-ROW($X$15),1):OFFSET(CÁLCULO!$AL$15,ROW($X664)-ROW($X$15),-1))),IF($C664=0,0,ROUND(SomaAgrup,15-13*$AF$11)))</f>
        <v>0</v>
      </c>
      <c r="Y664" s="128" t="s">
        <v>245</v>
      </c>
      <c r="Z664" t="str">
        <f t="shared" ca="1" si="156"/>
        <v/>
      </c>
      <c r="AA664" s="129">
        <f ca="1">IF($C664="S",IF($Z664="CP",$X664,IF($Z664="RA",(($X664)*QCI!$AA$3),0)),SomaAgrup)</f>
        <v>0</v>
      </c>
      <c r="AB664" s="130">
        <f t="shared" ca="1" si="169"/>
        <v>0</v>
      </c>
      <c r="AC664" s="131" t="str">
        <f ca="1">IF($N664="","",IF(ORÇAMENTO.Descricao="","DESCRIÇÃO",IF(AND($C664="S",ORÇAMENTO.Unidade=""),"UNIDADE",IF($X664&lt;0,"VALOR NEGATIVO",IF(OR(AND(TIPOORCAMENTO="Proposto",$AG664&lt;&gt;"",$AG664&gt;0,ORÇAMENTO.CustoUnitario&gt;$AG664),AND(TIPOORCAMENTO="LICITADO",ORÇAMENTO.PrecoUnitarioLicitado&gt;$AN664)),"ACIMA REF.","")))))</f>
        <v/>
      </c>
      <c r="AD664" t="str">
        <f ca="1">IF(C664&lt;=CRONO.NivelExibicao,MAX($AD$15:OFFSET(AD664,-1,0))+IF($C664&lt;&gt;1,1,MAX(1,COUNTIF(QCI!$A$13:$A$24,OFFSET($E664,-1,0)))),"")</f>
        <v/>
      </c>
      <c r="AE664" s="7" t="str">
        <f ca="1">IF(AND($C664="S",ORÇAMENTO.CodBarra&lt;&gt;""),IF(ORÇAMENTO.Fonte="",ORÇAMENTO.CodBarra,CONCATENATE(ORÇAMENTO.Fonte," ",ORÇAMENTO.CodBarra)))</f>
        <v>SINAPI 104011</v>
      </c>
      <c r="AF664" s="13" t="str">
        <f ca="1">IF(ISERROR(INDIRECT(ORÇAMENTO.BancoRef)),"(abra o arquivo 'Referência "&amp;Excel_BuiltIn_Database&amp;".xlsm)",IF(OR($C664&lt;&gt;"S",ORÇAMENTO.CodBarra=""),"(Sem Código)",IF(ISERROR(MATCH($AE664,INDIRECT(ORÇAMENTO.BancoRef),0)),"(Código não identificado nas referências)",MATCH($AE664,INDIRECT(ORÇAMENTO.BancoRef),0))))</f>
        <v>(abra o arquivo 'Referência 02-2025.xlsm)</v>
      </c>
      <c r="AG664" s="498">
        <f ca="1">ROUND(IF(DESONERACAO="sim",REFERENCIA.Desonerado,REFERENCIA.NaoDesonerado),2)</f>
        <v>0</v>
      </c>
      <c r="AH664" s="499">
        <f t="shared" ca="1" si="170"/>
        <v>0.22470000000000001</v>
      </c>
      <c r="AJ664" s="501">
        <v>1</v>
      </c>
      <c r="AL664" s="527"/>
      <c r="AM664" s="381">
        <f t="shared" ca="1" si="159"/>
        <v>0</v>
      </c>
      <c r="AN664" s="566">
        <f t="shared" ca="1" si="171"/>
        <v>0</v>
      </c>
    </row>
    <row r="665" spans="1:40" x14ac:dyDescent="0.2">
      <c r="A665">
        <f t="shared" si="168"/>
        <v>2</v>
      </c>
      <c r="B665">
        <f t="shared" ca="1" si="146"/>
        <v>2</v>
      </c>
      <c r="C665">
        <f t="shared" ca="1" si="147"/>
        <v>2</v>
      </c>
      <c r="D665">
        <f t="shared" ca="1" si="148"/>
        <v>4</v>
      </c>
      <c r="E665">
        <f ca="1">IF($C665=1,OFFSET(E665,-1,0)+MAX(1,COUNTIF(QCI!$A$13:$A$24,OFFSET(ORÇAMENTO!E665,-1,0))),OFFSET(E665,-1,0))</f>
        <v>1</v>
      </c>
      <c r="F665">
        <f t="shared" ca="1" si="149"/>
        <v>21</v>
      </c>
      <c r="G665">
        <f t="shared" ca="1" si="150"/>
        <v>0</v>
      </c>
      <c r="H665">
        <f t="shared" ca="1" si="151"/>
        <v>0</v>
      </c>
      <c r="I665">
        <f t="shared" ca="1" si="152"/>
        <v>0</v>
      </c>
      <c r="J665">
        <f t="shared" ca="1" si="173"/>
        <v>82</v>
      </c>
      <c r="K665">
        <f ca="1">IF(OR($C665="S",$C665=0),0,MATCH(OFFSET($D665,0,$C665)+IF($C665&lt;&gt;1,1,COUNTIF(QCI!$A$13:$A$24,ORÇAMENTO!E665)),OFFSET($D665,1,$C665,ROW($C$747)-ROW($C665)),0))</f>
        <v>4</v>
      </c>
      <c r="L665" s="116" t="str">
        <f t="shared" ca="1" si="153"/>
        <v>F</v>
      </c>
      <c r="M665" s="117" t="s">
        <v>196</v>
      </c>
      <c r="N665" s="118" t="str">
        <f t="shared" ca="1" si="154"/>
        <v>Nível 2</v>
      </c>
      <c r="O665" s="119" t="str">
        <f t="shared" ca="1" si="155"/>
        <v>1.21.</v>
      </c>
      <c r="P665" s="120" t="s">
        <v>247</v>
      </c>
      <c r="Q665" s="121"/>
      <c r="R665" s="122" t="s">
        <v>994</v>
      </c>
      <c r="S665" s="123" t="str">
        <f ca="1">REFERENCIA.Unidade</f>
        <v>-</v>
      </c>
      <c r="T665" s="124">
        <f ca="1">OFFSET(CÁLCULO!H$15,ROW($T665)-ROW(T$15),0)</f>
        <v>0</v>
      </c>
      <c r="U665" s="125">
        <f t="shared" ca="1" si="172"/>
        <v>0</v>
      </c>
      <c r="V665" s="126" t="s">
        <v>156</v>
      </c>
      <c r="W665" s="124">
        <f ca="1">IF($C665="S",ROUND(IF(TIPOORCAMENTO="Proposto",ORÇAMENTO.CustoUnitario*(1+$AH665),ORÇAMENTO.PrecoUnitarioLicitado),15-13*$AF$10),0)</f>
        <v>0</v>
      </c>
      <c r="X665" s="127">
        <f ca="1">IF($C665="S",IF(Import.TipoArredondamento&lt;&gt;"TransfereGOV",VTOTAL1,SUM(OFFSET(CÁLCULO!$AA$15,ROW($X665)-ROW($X$15),1):OFFSET(CÁLCULO!$AL$15,ROW($X665)-ROW($X$15),-1))),IF($C665=0,0,ROUND(SomaAgrup,15-13*$AF$11)))</f>
        <v>0</v>
      </c>
      <c r="Y665" s="128" t="s">
        <v>245</v>
      </c>
      <c r="Z665" t="str">
        <f t="shared" ca="1" si="156"/>
        <v/>
      </c>
      <c r="AA665" s="129">
        <f ca="1">IF($C665="S",IF($Z665="CP",$X665,IF($Z665="RA",(($X665)*QCI!$AA$3),0)),SomaAgrup)</f>
        <v>0</v>
      </c>
      <c r="AB665" s="130">
        <f t="shared" ca="1" si="169"/>
        <v>0</v>
      </c>
      <c r="AC665" s="131" t="str">
        <f ca="1">IF($N665="","",IF(ORÇAMENTO.Descricao="","DESCRIÇÃO",IF(AND($C665="S",ORÇAMENTO.Unidade=""),"UNIDADE",IF($X665&lt;0,"VALOR NEGATIVO",IF(OR(AND(TIPOORCAMENTO="Proposto",$AG665&lt;&gt;"",$AG665&gt;0,ORÇAMENTO.CustoUnitario&gt;$AG665),AND(TIPOORCAMENTO="LICITADO",ORÇAMENTO.PrecoUnitarioLicitado&gt;$AN665)),"ACIMA REF.","")))))</f>
        <v/>
      </c>
      <c r="AD665">
        <f ca="1">IF(C665&lt;=CRONO.NivelExibicao,MAX($AD$15:OFFSET(AD665,-1,0))+IF($C665&lt;&gt;1,1,MAX(1,COUNTIF(QCI!$A$13:$A$24,OFFSET($E665,-1,0)))),"")</f>
        <v>22</v>
      </c>
      <c r="AE665" s="7" t="b">
        <f ca="1">IF(AND($C665="S",ORÇAMENTO.CodBarra&lt;&gt;""),IF(ORÇAMENTO.Fonte="",ORÇAMENTO.CodBarra,CONCATENATE(ORÇAMENTO.Fonte," ",ORÇAMENTO.CodBarra)))</f>
        <v>0</v>
      </c>
      <c r="AF665" s="13" t="str">
        <f ca="1">IF(ISERROR(INDIRECT(ORÇAMENTO.BancoRef)),"(abra o arquivo 'Referência "&amp;Excel_BuiltIn_Database&amp;".xlsm)",IF(OR($C665&lt;&gt;"S",ORÇAMENTO.CodBarra=""),"(Sem Código)",IF(ISERROR(MATCH($AE665,INDIRECT(ORÇAMENTO.BancoRef),0)),"(Código não identificado nas referências)",MATCH($AE665,INDIRECT(ORÇAMENTO.BancoRef),0))))</f>
        <v>(abra o arquivo 'Referência 02-2025.xlsm)</v>
      </c>
      <c r="AG665" s="498">
        <f ca="1">ROUND(IF(DESONERACAO="sim",REFERENCIA.Desonerado,REFERENCIA.NaoDesonerado),2)</f>
        <v>0</v>
      </c>
      <c r="AH665" s="499">
        <f t="shared" ca="1" si="170"/>
        <v>0.22470000000000001</v>
      </c>
      <c r="AJ665" s="501"/>
      <c r="AL665" s="527"/>
      <c r="AM665" s="381">
        <f t="shared" ca="1" si="159"/>
        <v>0</v>
      </c>
      <c r="AN665" s="566">
        <f t="shared" ca="1" si="171"/>
        <v>0</v>
      </c>
    </row>
    <row r="666" spans="1:40" x14ac:dyDescent="0.2">
      <c r="A666" t="str">
        <f t="shared" si="168"/>
        <v>S</v>
      </c>
      <c r="B666">
        <f t="shared" ca="1" si="146"/>
        <v>2</v>
      </c>
      <c r="C666" t="str">
        <f t="shared" ca="1" si="147"/>
        <v>S</v>
      </c>
      <c r="D666">
        <f t="shared" ca="1" si="148"/>
        <v>0</v>
      </c>
      <c r="E666">
        <f ca="1">IF($C666=1,OFFSET(E666,-1,0)+MAX(1,COUNTIF(QCI!$A$13:$A$24,OFFSET(ORÇAMENTO!E666,-1,0))),OFFSET(E666,-1,0))</f>
        <v>1</v>
      </c>
      <c r="F666">
        <f t="shared" ca="1" si="149"/>
        <v>21</v>
      </c>
      <c r="G666">
        <f t="shared" ca="1" si="150"/>
        <v>0</v>
      </c>
      <c r="H666">
        <f t="shared" ca="1" si="151"/>
        <v>0</v>
      </c>
      <c r="I666">
        <f t="shared" ca="1" si="152"/>
        <v>0</v>
      </c>
      <c r="J666">
        <f t="shared" ca="1" si="173"/>
        <v>0</v>
      </c>
      <c r="K666">
        <f ca="1">IF(OR($C666="S",$C666=0),0,MATCH(OFFSET($D666,0,$C666)+IF($C666&lt;&gt;1,1,COUNTIF(QCI!$A$13:$A$24,ORÇAMENTO!E666)),OFFSET($D666,1,$C666,ROW($C$747)-ROW($C666)),0))</f>
        <v>0</v>
      </c>
      <c r="L666" s="116" t="str">
        <f t="shared" ca="1" si="153"/>
        <v/>
      </c>
      <c r="M666" s="117" t="s">
        <v>199</v>
      </c>
      <c r="N666" s="118" t="str">
        <f t="shared" ca="1" si="154"/>
        <v>Serviço</v>
      </c>
      <c r="O666" s="119" t="str">
        <f t="shared" ca="1" si="155"/>
        <v>-</v>
      </c>
      <c r="P666" s="120" t="s">
        <v>712</v>
      </c>
      <c r="Q666" s="121" t="s">
        <v>866</v>
      </c>
      <c r="R666" s="122" t="str">
        <f ca="1">IF($C666="S",REFERENCIA.Descricao,"(digite a descrição aqui)")</f>
        <v>(abra o arquivo 'Referência 02-2025.xlsm)</v>
      </c>
      <c r="S666" s="123" t="str">
        <f ca="1">REFERENCIA.Unidade</f>
        <v>-</v>
      </c>
      <c r="T666" s="124">
        <f ca="1">OFFSET(CÁLCULO!H$15,ROW($T666)-ROW(T$15),0)</f>
        <v>4</v>
      </c>
      <c r="U666" s="125">
        <f t="shared" ca="1" si="172"/>
        <v>0</v>
      </c>
      <c r="V666" s="126" t="s">
        <v>156</v>
      </c>
      <c r="W666" s="124">
        <f ca="1">IF($C666="S",ROUND(IF(TIPOORCAMENTO="Proposto",ORÇAMENTO.CustoUnitario*(1+$AH666),ORÇAMENTO.PrecoUnitarioLicitado),15-13*$AF$10),0)</f>
        <v>0</v>
      </c>
      <c r="X666" s="127">
        <f ca="1">IF($C666="S",IF(Import.TipoArredondamento&lt;&gt;"TransfereGOV",VTOTAL1,SUM(OFFSET(CÁLCULO!$AA$15,ROW($X666)-ROW($X$15),1):OFFSET(CÁLCULO!$AL$15,ROW($X666)-ROW($X$15),-1))),IF($C666=0,0,ROUND(SomaAgrup,15-13*$AF$11)))</f>
        <v>0</v>
      </c>
      <c r="Y666" s="128" t="s">
        <v>245</v>
      </c>
      <c r="Z666" t="str">
        <f t="shared" ca="1" si="156"/>
        <v/>
      </c>
      <c r="AA666" s="129">
        <f ca="1">IF($C666="S",IF($Z666="CP",$X666,IF($Z666="RA",(($X666)*QCI!$AA$3),0)),SomaAgrup)</f>
        <v>0</v>
      </c>
      <c r="AB666" s="130">
        <f t="shared" ca="1" si="169"/>
        <v>0</v>
      </c>
      <c r="AC666" s="131" t="str">
        <f ca="1">IF($N666="","",IF(ORÇAMENTO.Descricao="","DESCRIÇÃO",IF(AND($C666="S",ORÇAMENTO.Unidade=""),"UNIDADE",IF($X666&lt;0,"VALOR NEGATIVO",IF(OR(AND(TIPOORCAMENTO="Proposto",$AG666&lt;&gt;"",$AG666&gt;0,ORÇAMENTO.CustoUnitario&gt;$AG666),AND(TIPOORCAMENTO="LICITADO",ORÇAMENTO.PrecoUnitarioLicitado&gt;$AN666)),"ACIMA REF.","")))))</f>
        <v/>
      </c>
      <c r="AD666" t="str">
        <f ca="1">IF(C666&lt;=CRONO.NivelExibicao,MAX($AD$15:OFFSET(AD666,-1,0))+IF($C666&lt;&gt;1,1,MAX(1,COUNTIF(QCI!$A$13:$A$24,OFFSET($E666,-1,0)))),"")</f>
        <v/>
      </c>
      <c r="AE666" s="7" t="str">
        <f ca="1">IF(AND($C666="S",ORÇAMENTO.CodBarra&lt;&gt;""),IF(ORÇAMENTO.Fonte="",ORÇAMENTO.CodBarra,CONCATENATE(ORÇAMENTO.Fonte," ",ORÇAMENTO.CodBarra)))</f>
        <v>Composição FNDE 42</v>
      </c>
      <c r="AF666" s="13" t="str">
        <f ca="1">IF(ISERROR(INDIRECT(ORÇAMENTO.BancoRef)),"(abra o arquivo 'Referência "&amp;Excel_BuiltIn_Database&amp;".xlsm)",IF(OR($C666&lt;&gt;"S",ORÇAMENTO.CodBarra=""),"(Sem Código)",IF(ISERROR(MATCH($AE666,INDIRECT(ORÇAMENTO.BancoRef),0)),"(Código não identificado nas referências)",MATCH($AE666,INDIRECT(ORÇAMENTO.BancoRef),0))))</f>
        <v>(abra o arquivo 'Referência 02-2025.xlsm)</v>
      </c>
      <c r="AG666" s="498">
        <f ca="1">ROUND(IF(DESONERACAO="sim",REFERENCIA.Desonerado,REFERENCIA.NaoDesonerado),2)</f>
        <v>0</v>
      </c>
      <c r="AH666" s="499">
        <f t="shared" ca="1" si="170"/>
        <v>0.22470000000000001</v>
      </c>
      <c r="AJ666" s="501">
        <v>4</v>
      </c>
      <c r="AL666" s="527"/>
      <c r="AM666" s="381">
        <f t="shared" ca="1" si="159"/>
        <v>0</v>
      </c>
      <c r="AN666" s="566">
        <f t="shared" ca="1" si="171"/>
        <v>0</v>
      </c>
    </row>
    <row r="667" spans="1:40" x14ac:dyDescent="0.2">
      <c r="A667" t="str">
        <f t="shared" si="168"/>
        <v>S</v>
      </c>
      <c r="B667">
        <f t="shared" ca="1" si="146"/>
        <v>2</v>
      </c>
      <c r="C667" t="str">
        <f t="shared" ca="1" si="147"/>
        <v>S</v>
      </c>
      <c r="D667">
        <f t="shared" ca="1" si="148"/>
        <v>0</v>
      </c>
      <c r="E667">
        <f ca="1">IF($C667=1,OFFSET(E667,-1,0)+MAX(1,COUNTIF(QCI!$A$13:$A$24,OFFSET(ORÇAMENTO!E667,-1,0))),OFFSET(E667,-1,0))</f>
        <v>1</v>
      </c>
      <c r="F667">
        <f t="shared" ca="1" si="149"/>
        <v>21</v>
      </c>
      <c r="G667">
        <f t="shared" ca="1" si="150"/>
        <v>0</v>
      </c>
      <c r="H667">
        <f t="shared" ca="1" si="151"/>
        <v>0</v>
      </c>
      <c r="I667">
        <f t="shared" ca="1" si="152"/>
        <v>0</v>
      </c>
      <c r="J667">
        <f t="shared" ca="1" si="173"/>
        <v>0</v>
      </c>
      <c r="K667">
        <f ca="1">IF(OR($C667="S",$C667=0),0,MATCH(OFFSET($D667,0,$C667)+IF($C667&lt;&gt;1,1,COUNTIF(QCI!$A$13:$A$24,ORÇAMENTO!E667)),OFFSET($D667,1,$C667,ROW($C$747)-ROW($C667)),0))</f>
        <v>0</v>
      </c>
      <c r="L667" s="116" t="str">
        <f t="shared" ca="1" si="153"/>
        <v/>
      </c>
      <c r="M667" s="117" t="s">
        <v>199</v>
      </c>
      <c r="N667" s="118" t="str">
        <f t="shared" ca="1" si="154"/>
        <v>Serviço</v>
      </c>
      <c r="O667" s="119" t="str">
        <f t="shared" ca="1" si="155"/>
        <v>-</v>
      </c>
      <c r="P667" s="120" t="s">
        <v>712</v>
      </c>
      <c r="Q667" s="121" t="s">
        <v>867</v>
      </c>
      <c r="R667" s="122" t="str">
        <f ca="1">IF($C667="S",REFERENCIA.Descricao,"(digite a descrição aqui)")</f>
        <v>(abra o arquivo 'Referência 02-2025.xlsm)</v>
      </c>
      <c r="S667" s="123" t="str">
        <f ca="1">REFERENCIA.Unidade</f>
        <v>-</v>
      </c>
      <c r="T667" s="124">
        <f ca="1">OFFSET(CÁLCULO!H$15,ROW($T667)-ROW(T$15),0)</f>
        <v>7.7</v>
      </c>
      <c r="U667" s="125">
        <f t="shared" ca="1" si="172"/>
        <v>0</v>
      </c>
      <c r="V667" s="126" t="s">
        <v>156</v>
      </c>
      <c r="W667" s="124">
        <f ca="1">IF($C667="S",ROUND(IF(TIPOORCAMENTO="Proposto",ORÇAMENTO.CustoUnitario*(1+$AH667),ORÇAMENTO.PrecoUnitarioLicitado),15-13*$AF$10),0)</f>
        <v>0</v>
      </c>
      <c r="X667" s="127">
        <f ca="1">IF($C667="S",IF(Import.TipoArredondamento&lt;&gt;"TransfereGOV",VTOTAL1,SUM(OFFSET(CÁLCULO!$AA$15,ROW($X667)-ROW($X$15),1):OFFSET(CÁLCULO!$AL$15,ROW($X667)-ROW($X$15),-1))),IF($C667=0,0,ROUND(SomaAgrup,15-13*$AF$11)))</f>
        <v>0</v>
      </c>
      <c r="Y667" s="128" t="s">
        <v>245</v>
      </c>
      <c r="Z667" t="str">
        <f t="shared" ca="1" si="156"/>
        <v/>
      </c>
      <c r="AA667" s="129">
        <f ca="1">IF($C667="S",IF($Z667="CP",$X667,IF($Z667="RA",(($X667)*QCI!$AA$3),0)),SomaAgrup)</f>
        <v>0</v>
      </c>
      <c r="AB667" s="130">
        <f t="shared" ca="1" si="169"/>
        <v>0</v>
      </c>
      <c r="AC667" s="131" t="str">
        <f ca="1">IF($N667="","",IF(ORÇAMENTO.Descricao="","DESCRIÇÃO",IF(AND($C667="S",ORÇAMENTO.Unidade=""),"UNIDADE",IF($X667&lt;0,"VALOR NEGATIVO",IF(OR(AND(TIPOORCAMENTO="Proposto",$AG667&lt;&gt;"",$AG667&gt;0,ORÇAMENTO.CustoUnitario&gt;$AG667),AND(TIPOORCAMENTO="LICITADO",ORÇAMENTO.PrecoUnitarioLicitado&gt;$AN667)),"ACIMA REF.","")))))</f>
        <v/>
      </c>
      <c r="AD667" t="str">
        <f ca="1">IF(C667&lt;=CRONO.NivelExibicao,MAX($AD$15:OFFSET(AD667,-1,0))+IF($C667&lt;&gt;1,1,MAX(1,COUNTIF(QCI!$A$13:$A$24,OFFSET($E667,-1,0)))),"")</f>
        <v/>
      </c>
      <c r="AE667" s="7" t="str">
        <f ca="1">IF(AND($C667="S",ORÇAMENTO.CodBarra&lt;&gt;""),IF(ORÇAMENTO.Fonte="",ORÇAMENTO.CodBarra,CONCATENATE(ORÇAMENTO.Fonte," ",ORÇAMENTO.CodBarra)))</f>
        <v>Composição FNDE 44</v>
      </c>
      <c r="AF667" s="13" t="str">
        <f ca="1">IF(ISERROR(INDIRECT(ORÇAMENTO.BancoRef)),"(abra o arquivo 'Referência "&amp;Excel_BuiltIn_Database&amp;".xlsm)",IF(OR($C667&lt;&gt;"S",ORÇAMENTO.CodBarra=""),"(Sem Código)",IF(ISERROR(MATCH($AE667,INDIRECT(ORÇAMENTO.BancoRef),0)),"(Código não identificado nas referências)",MATCH($AE667,INDIRECT(ORÇAMENTO.BancoRef),0))))</f>
        <v>(abra o arquivo 'Referência 02-2025.xlsm)</v>
      </c>
      <c r="AG667" s="498">
        <f ca="1">ROUND(IF(DESONERACAO="sim",REFERENCIA.Desonerado,REFERENCIA.NaoDesonerado),2)</f>
        <v>0</v>
      </c>
      <c r="AH667" s="499">
        <f t="shared" ca="1" si="170"/>
        <v>0.22470000000000001</v>
      </c>
      <c r="AJ667" s="501">
        <v>7.7</v>
      </c>
      <c r="AL667" s="527"/>
      <c r="AM667" s="381">
        <f t="shared" ca="1" si="159"/>
        <v>0</v>
      </c>
      <c r="AN667" s="566">
        <f t="shared" ca="1" si="171"/>
        <v>0</v>
      </c>
    </row>
    <row r="668" spans="1:40" x14ac:dyDescent="0.2">
      <c r="A668" t="str">
        <f t="shared" si="168"/>
        <v>S</v>
      </c>
      <c r="B668">
        <f t="shared" ca="1" si="146"/>
        <v>2</v>
      </c>
      <c r="C668" t="str">
        <f t="shared" ca="1" si="147"/>
        <v>S</v>
      </c>
      <c r="D668">
        <f t="shared" ca="1" si="148"/>
        <v>0</v>
      </c>
      <c r="E668">
        <f ca="1">IF($C668=1,OFFSET(E668,-1,0)+MAX(1,COUNTIF(QCI!$A$13:$A$24,OFFSET(ORÇAMENTO!E668,-1,0))),OFFSET(E668,-1,0))</f>
        <v>1</v>
      </c>
      <c r="F668">
        <f t="shared" ca="1" si="149"/>
        <v>21</v>
      </c>
      <c r="G668">
        <f t="shared" ca="1" si="150"/>
        <v>0</v>
      </c>
      <c r="H668">
        <f t="shared" ca="1" si="151"/>
        <v>0</v>
      </c>
      <c r="I668">
        <f t="shared" ca="1" si="152"/>
        <v>0</v>
      </c>
      <c r="J668">
        <f t="shared" ca="1" si="173"/>
        <v>0</v>
      </c>
      <c r="K668">
        <f ca="1">IF(OR($C668="S",$C668=0),0,MATCH(OFFSET($D668,0,$C668)+IF($C668&lt;&gt;1,1,COUNTIF(QCI!$A$13:$A$24,ORÇAMENTO!E668)),OFFSET($D668,1,$C668,ROW($C$747)-ROW($C668)),0))</f>
        <v>0</v>
      </c>
      <c r="L668" s="116" t="str">
        <f t="shared" ca="1" si="153"/>
        <v/>
      </c>
      <c r="M668" s="117" t="s">
        <v>199</v>
      </c>
      <c r="N668" s="118" t="str">
        <f t="shared" ca="1" si="154"/>
        <v>Serviço</v>
      </c>
      <c r="O668" s="119" t="str">
        <f t="shared" ca="1" si="155"/>
        <v>-</v>
      </c>
      <c r="P668" s="120" t="s">
        <v>712</v>
      </c>
      <c r="Q668" s="121" t="s">
        <v>868</v>
      </c>
      <c r="R668" s="122" t="str">
        <f ca="1">IF($C668="S",REFERENCIA.Descricao,"(digite a descrição aqui)")</f>
        <v>(abra o arquivo 'Referência 02-2025.xlsm)</v>
      </c>
      <c r="S668" s="123" t="str">
        <f ca="1">REFERENCIA.Unidade</f>
        <v>-</v>
      </c>
      <c r="T668" s="124">
        <f ca="1">OFFSET(CÁLCULO!H$15,ROW($T668)-ROW(T$15),0)</f>
        <v>1</v>
      </c>
      <c r="U668" s="125">
        <f t="shared" ca="1" si="172"/>
        <v>0</v>
      </c>
      <c r="V668" s="126" t="s">
        <v>156</v>
      </c>
      <c r="W668" s="124">
        <f ca="1">IF($C668="S",ROUND(IF(TIPOORCAMENTO="Proposto",ORÇAMENTO.CustoUnitario*(1+$AH668),ORÇAMENTO.PrecoUnitarioLicitado),15-13*$AF$10),0)</f>
        <v>0</v>
      </c>
      <c r="X668" s="127">
        <f ca="1">IF($C668="S",IF(Import.TipoArredondamento&lt;&gt;"TransfereGOV",VTOTAL1,SUM(OFFSET(CÁLCULO!$AA$15,ROW($X668)-ROW($X$15),1):OFFSET(CÁLCULO!$AL$15,ROW($X668)-ROW($X$15),-1))),IF($C668=0,0,ROUND(SomaAgrup,15-13*$AF$11)))</f>
        <v>0</v>
      </c>
      <c r="Y668" s="128" t="s">
        <v>245</v>
      </c>
      <c r="Z668" t="str">
        <f t="shared" ca="1" si="156"/>
        <v/>
      </c>
      <c r="AA668" s="129">
        <f ca="1">IF($C668="S",IF($Z668="CP",$X668,IF($Z668="RA",(($X668)*QCI!$AA$3),0)),SomaAgrup)</f>
        <v>0</v>
      </c>
      <c r="AB668" s="130">
        <f t="shared" ca="1" si="169"/>
        <v>0</v>
      </c>
      <c r="AC668" s="131" t="str">
        <f ca="1">IF($N668="","",IF(ORÇAMENTO.Descricao="","DESCRIÇÃO",IF(AND($C668="S",ORÇAMENTO.Unidade=""),"UNIDADE",IF($X668&lt;0,"VALOR NEGATIVO",IF(OR(AND(TIPOORCAMENTO="Proposto",$AG668&lt;&gt;"",$AG668&gt;0,ORÇAMENTO.CustoUnitario&gt;$AG668),AND(TIPOORCAMENTO="LICITADO",ORÇAMENTO.PrecoUnitarioLicitado&gt;$AN668)),"ACIMA REF.","")))))</f>
        <v/>
      </c>
      <c r="AD668" t="str">
        <f ca="1">IF(C668&lt;=CRONO.NivelExibicao,MAX($AD$15:OFFSET(AD668,-1,0))+IF($C668&lt;&gt;1,1,MAX(1,COUNTIF(QCI!$A$13:$A$24,OFFSET($E668,-1,0)))),"")</f>
        <v/>
      </c>
      <c r="AE668" s="7" t="str">
        <f ca="1">IF(AND($C668="S",ORÇAMENTO.CodBarra&lt;&gt;""),IF(ORÇAMENTO.Fonte="",ORÇAMENTO.CodBarra,CONCATENATE(ORÇAMENTO.Fonte," ",ORÇAMENTO.CodBarra)))</f>
        <v>Composição FNDE 45</v>
      </c>
      <c r="AF668" s="13" t="str">
        <f ca="1">IF(ISERROR(INDIRECT(ORÇAMENTO.BancoRef)),"(abra o arquivo 'Referência "&amp;Excel_BuiltIn_Database&amp;".xlsm)",IF(OR($C668&lt;&gt;"S",ORÇAMENTO.CodBarra=""),"(Sem Código)",IF(ISERROR(MATCH($AE668,INDIRECT(ORÇAMENTO.BancoRef),0)),"(Código não identificado nas referências)",MATCH($AE668,INDIRECT(ORÇAMENTO.BancoRef),0))))</f>
        <v>(abra o arquivo 'Referência 02-2025.xlsm)</v>
      </c>
      <c r="AG668" s="498">
        <f ca="1">ROUND(IF(DESONERACAO="sim",REFERENCIA.Desonerado,REFERENCIA.NaoDesonerado),2)</f>
        <v>0</v>
      </c>
      <c r="AH668" s="499">
        <f t="shared" ca="1" si="170"/>
        <v>0.22470000000000001</v>
      </c>
      <c r="AJ668" s="501">
        <v>1</v>
      </c>
      <c r="AL668" s="527"/>
      <c r="AM668" s="381">
        <f t="shared" ca="1" si="159"/>
        <v>0</v>
      </c>
      <c r="AN668" s="566">
        <f t="shared" ca="1" si="171"/>
        <v>0</v>
      </c>
    </row>
    <row r="669" spans="1:40" x14ac:dyDescent="0.2">
      <c r="A669">
        <f t="shared" si="168"/>
        <v>2</v>
      </c>
      <c r="B669">
        <f t="shared" ca="1" si="146"/>
        <v>2</v>
      </c>
      <c r="C669">
        <f t="shared" ca="1" si="147"/>
        <v>2</v>
      </c>
      <c r="D669">
        <f t="shared" ca="1" si="148"/>
        <v>13</v>
      </c>
      <c r="E669">
        <f ca="1">IF($C669=1,OFFSET(E669,-1,0)+MAX(1,COUNTIF(QCI!$A$13:$A$24,OFFSET(ORÇAMENTO!E669,-1,0))),OFFSET(E669,-1,0))</f>
        <v>1</v>
      </c>
      <c r="F669">
        <f t="shared" ca="1" si="149"/>
        <v>22</v>
      </c>
      <c r="G669">
        <f t="shared" ca="1" si="150"/>
        <v>0</v>
      </c>
      <c r="H669">
        <f t="shared" ca="1" si="151"/>
        <v>0</v>
      </c>
      <c r="I669">
        <f t="shared" ca="1" si="152"/>
        <v>0</v>
      </c>
      <c r="J669">
        <f t="shared" ca="1" si="173"/>
        <v>78</v>
      </c>
      <c r="K669">
        <f ca="1">IF(OR($C669="S",$C669=0),0,MATCH(OFFSET($D669,0,$C669)+IF($C669&lt;&gt;1,1,COUNTIF(QCI!$A$13:$A$24,ORÇAMENTO!E669)),OFFSET($D669,1,$C669,ROW($C$747)-ROW($C669)),0))</f>
        <v>13</v>
      </c>
      <c r="L669" s="116" t="str">
        <f t="shared" ca="1" si="153"/>
        <v>F</v>
      </c>
      <c r="M669" s="117" t="s">
        <v>196</v>
      </c>
      <c r="N669" s="118" t="str">
        <f t="shared" ca="1" si="154"/>
        <v>Nível 2</v>
      </c>
      <c r="O669" s="119" t="str">
        <f t="shared" ca="1" si="155"/>
        <v>1.22.</v>
      </c>
      <c r="P669" s="120" t="s">
        <v>247</v>
      </c>
      <c r="Q669" s="121"/>
      <c r="R669" s="122" t="s">
        <v>995</v>
      </c>
      <c r="S669" s="123" t="str">
        <f ca="1">REFERENCIA.Unidade</f>
        <v>-</v>
      </c>
      <c r="T669" s="124">
        <f ca="1">OFFSET(CÁLCULO!H$15,ROW($T669)-ROW(T$15),0)</f>
        <v>0</v>
      </c>
      <c r="U669" s="125">
        <f t="shared" ca="1" si="172"/>
        <v>0</v>
      </c>
      <c r="V669" s="126" t="s">
        <v>156</v>
      </c>
      <c r="W669" s="124">
        <f ca="1">IF($C669="S",ROUND(IF(TIPOORCAMENTO="Proposto",ORÇAMENTO.CustoUnitario*(1+$AH669),ORÇAMENTO.PrecoUnitarioLicitado),15-13*$AF$10),0)</f>
        <v>0</v>
      </c>
      <c r="X669" s="127">
        <f ca="1">IF($C669="S",IF(Import.TipoArredondamento&lt;&gt;"TransfereGOV",VTOTAL1,SUM(OFFSET(CÁLCULO!$AA$15,ROW($X669)-ROW($X$15),1):OFFSET(CÁLCULO!$AL$15,ROW($X669)-ROW($X$15),-1))),IF($C669=0,0,ROUND(SomaAgrup,15-13*$AF$11)))</f>
        <v>0</v>
      </c>
      <c r="Y669" s="128" t="s">
        <v>245</v>
      </c>
      <c r="Z669" t="str">
        <f t="shared" ca="1" si="156"/>
        <v/>
      </c>
      <c r="AA669" s="129">
        <f ca="1">IF($C669="S",IF($Z669="CP",$X669,IF($Z669="RA",(($X669)*QCI!$AA$3),0)),SomaAgrup)</f>
        <v>0</v>
      </c>
      <c r="AB669" s="130">
        <f t="shared" ca="1" si="169"/>
        <v>0</v>
      </c>
      <c r="AC669" s="131" t="str">
        <f ca="1">IF($N669="","",IF(ORÇAMENTO.Descricao="","DESCRIÇÃO",IF(AND($C669="S",ORÇAMENTO.Unidade=""),"UNIDADE",IF($X669&lt;0,"VALOR NEGATIVO",IF(OR(AND(TIPOORCAMENTO="Proposto",$AG669&lt;&gt;"",$AG669&gt;0,ORÇAMENTO.CustoUnitario&gt;$AG669),AND(TIPOORCAMENTO="LICITADO",ORÇAMENTO.PrecoUnitarioLicitado&gt;$AN669)),"ACIMA REF.","")))))</f>
        <v/>
      </c>
      <c r="AD669">
        <f ca="1">IF(C669&lt;=CRONO.NivelExibicao,MAX($AD$15:OFFSET(AD669,-1,0))+IF($C669&lt;&gt;1,1,MAX(1,COUNTIF(QCI!$A$13:$A$24,OFFSET($E669,-1,0)))),"")</f>
        <v>23</v>
      </c>
      <c r="AE669" s="7" t="b">
        <f ca="1">IF(AND($C669="S",ORÇAMENTO.CodBarra&lt;&gt;""),IF(ORÇAMENTO.Fonte="",ORÇAMENTO.CodBarra,CONCATENATE(ORÇAMENTO.Fonte," ",ORÇAMENTO.CodBarra)))</f>
        <v>0</v>
      </c>
      <c r="AF669" s="13" t="str">
        <f ca="1">IF(ISERROR(INDIRECT(ORÇAMENTO.BancoRef)),"(abra o arquivo 'Referência "&amp;Excel_BuiltIn_Database&amp;".xlsm)",IF(OR($C669&lt;&gt;"S",ORÇAMENTO.CodBarra=""),"(Sem Código)",IF(ISERROR(MATCH($AE669,INDIRECT(ORÇAMENTO.BancoRef),0)),"(Código não identificado nas referências)",MATCH($AE669,INDIRECT(ORÇAMENTO.BancoRef),0))))</f>
        <v>(abra o arquivo 'Referência 02-2025.xlsm)</v>
      </c>
      <c r="AG669" s="498">
        <f ca="1">ROUND(IF(DESONERACAO="sim",REFERENCIA.Desonerado,REFERENCIA.NaoDesonerado),2)</f>
        <v>0</v>
      </c>
      <c r="AH669" s="499">
        <f t="shared" ca="1" si="170"/>
        <v>0.22470000000000001</v>
      </c>
      <c r="AJ669" s="501"/>
      <c r="AL669" s="527"/>
      <c r="AM669" s="381">
        <f t="shared" ca="1" si="159"/>
        <v>0</v>
      </c>
      <c r="AN669" s="566">
        <f t="shared" ca="1" si="171"/>
        <v>0</v>
      </c>
    </row>
    <row r="670" spans="1:40" ht="25.5" x14ac:dyDescent="0.2">
      <c r="A670" t="str">
        <f t="shared" si="168"/>
        <v>S</v>
      </c>
      <c r="B670">
        <f t="shared" ca="1" si="146"/>
        <v>2</v>
      </c>
      <c r="C670" t="str">
        <f t="shared" ca="1" si="147"/>
        <v>S</v>
      </c>
      <c r="D670">
        <f t="shared" ca="1" si="148"/>
        <v>0</v>
      </c>
      <c r="E670">
        <f ca="1">IF($C670=1,OFFSET(E670,-1,0)+MAX(1,COUNTIF(QCI!$A$13:$A$24,OFFSET(ORÇAMENTO!E670,-1,0))),OFFSET(E670,-1,0))</f>
        <v>1</v>
      </c>
      <c r="F670">
        <f t="shared" ca="1" si="149"/>
        <v>22</v>
      </c>
      <c r="G670">
        <f t="shared" ca="1" si="150"/>
        <v>0</v>
      </c>
      <c r="H670">
        <f t="shared" ca="1" si="151"/>
        <v>0</v>
      </c>
      <c r="I670">
        <f t="shared" ca="1" si="152"/>
        <v>0</v>
      </c>
      <c r="J670">
        <f t="shared" ca="1" si="173"/>
        <v>0</v>
      </c>
      <c r="K670">
        <f ca="1">IF(OR($C670="S",$C670=0),0,MATCH(OFFSET($D670,0,$C670)+IF($C670&lt;&gt;1,1,COUNTIF(QCI!$A$13:$A$24,ORÇAMENTO!E670)),OFFSET($D670,1,$C670,ROW($C$747)-ROW($C670)),0))</f>
        <v>0</v>
      </c>
      <c r="L670" s="116" t="str">
        <f t="shared" ca="1" si="153"/>
        <v/>
      </c>
      <c r="M670" s="117" t="s">
        <v>199</v>
      </c>
      <c r="N670" s="118" t="str">
        <f t="shared" ca="1" si="154"/>
        <v>Serviço</v>
      </c>
      <c r="O670" s="119" t="str">
        <f t="shared" ca="1" si="155"/>
        <v>-</v>
      </c>
      <c r="P670" s="120" t="s">
        <v>247</v>
      </c>
      <c r="Q670" s="121" t="s">
        <v>613</v>
      </c>
      <c r="R670" s="122" t="str">
        <f ca="1">IF($C670="S",REFERENCIA.Descricao,"(digite a descrição aqui)")</f>
        <v>(abra o arquivo 'Referência 02-2025.xlsm)</v>
      </c>
      <c r="S670" s="123" t="str">
        <f ca="1">REFERENCIA.Unidade</f>
        <v>-</v>
      </c>
      <c r="T670" s="124">
        <f ca="1">OFFSET(CÁLCULO!H$15,ROW($T670)-ROW(T$15),0)</f>
        <v>2</v>
      </c>
      <c r="U670" s="125">
        <f t="shared" ca="1" si="172"/>
        <v>0</v>
      </c>
      <c r="V670" s="126" t="s">
        <v>156</v>
      </c>
      <c r="W670" s="124">
        <f ca="1">IF($C670="S",ROUND(IF(TIPOORCAMENTO="Proposto",ORÇAMENTO.CustoUnitario*(1+$AH670),ORÇAMENTO.PrecoUnitarioLicitado),15-13*$AF$10),0)</f>
        <v>0</v>
      </c>
      <c r="X670" s="127">
        <f ca="1">IF($C670="S",IF(Import.TipoArredondamento&lt;&gt;"TransfereGOV",VTOTAL1,SUM(OFFSET(CÁLCULO!$AA$15,ROW($X670)-ROW($X$15),1):OFFSET(CÁLCULO!$AL$15,ROW($X670)-ROW($X$15),-1))),IF($C670=0,0,ROUND(SomaAgrup,15-13*$AF$11)))</f>
        <v>0</v>
      </c>
      <c r="Y670" s="128" t="s">
        <v>245</v>
      </c>
      <c r="Z670" t="str">
        <f t="shared" ca="1" si="156"/>
        <v/>
      </c>
      <c r="AA670" s="129">
        <f ca="1">IF($C670="S",IF($Z670="CP",$X670,IF($Z670="RA",(($X670)*QCI!$AA$3),0)),SomaAgrup)</f>
        <v>0</v>
      </c>
      <c r="AB670" s="130">
        <f t="shared" ca="1" si="169"/>
        <v>0</v>
      </c>
      <c r="AC670" s="131" t="str">
        <f ca="1">IF($N670="","",IF(ORÇAMENTO.Descricao="","DESCRIÇÃO",IF(AND($C670="S",ORÇAMENTO.Unidade=""),"UNIDADE",IF($X670&lt;0,"VALOR NEGATIVO",IF(OR(AND(TIPOORCAMENTO="Proposto",$AG670&lt;&gt;"",$AG670&gt;0,ORÇAMENTO.CustoUnitario&gt;$AG670),AND(TIPOORCAMENTO="LICITADO",ORÇAMENTO.PrecoUnitarioLicitado&gt;$AN670)),"ACIMA REF.","")))))</f>
        <v/>
      </c>
      <c r="AD670" t="str">
        <f ca="1">IF(C670&lt;=CRONO.NivelExibicao,MAX($AD$15:OFFSET(AD670,-1,0))+IF($C670&lt;&gt;1,1,MAX(1,COUNTIF(QCI!$A$13:$A$24,OFFSET($E670,-1,0)))),"")</f>
        <v/>
      </c>
      <c r="AE670" s="7" t="str">
        <f ca="1">IF(AND($C670="S",ORÇAMENTO.CodBarra&lt;&gt;""),IF(ORÇAMENTO.Fonte="",ORÇAMENTO.CodBarra,CONCATENATE(ORÇAMENTO.Fonte," ",ORÇAMENTO.CodBarra)))</f>
        <v>SINAPI 95248</v>
      </c>
      <c r="AF670" s="13" t="str">
        <f ca="1">IF(ISERROR(INDIRECT(ORÇAMENTO.BancoRef)),"(abra o arquivo 'Referência "&amp;Excel_BuiltIn_Database&amp;".xlsm)",IF(OR($C670&lt;&gt;"S",ORÇAMENTO.CodBarra=""),"(Sem Código)",IF(ISERROR(MATCH($AE670,INDIRECT(ORÇAMENTO.BancoRef),0)),"(Código não identificado nas referências)",MATCH($AE670,INDIRECT(ORÇAMENTO.BancoRef),0))))</f>
        <v>(abra o arquivo 'Referência 02-2025.xlsm)</v>
      </c>
      <c r="AG670" s="498">
        <f ca="1">ROUND(IF(DESONERACAO="sim",REFERENCIA.Desonerado,REFERENCIA.NaoDesonerado),2)</f>
        <v>0</v>
      </c>
      <c r="AH670" s="499">
        <f t="shared" ca="1" si="170"/>
        <v>0.22470000000000001</v>
      </c>
      <c r="AJ670" s="501">
        <v>2</v>
      </c>
      <c r="AL670" s="527"/>
      <c r="AM670" s="381">
        <f t="shared" ca="1" si="159"/>
        <v>0</v>
      </c>
      <c r="AN670" s="566">
        <f t="shared" ca="1" si="171"/>
        <v>0</v>
      </c>
    </row>
    <row r="671" spans="1:40" ht="25.5" x14ac:dyDescent="0.2">
      <c r="A671" t="str">
        <f t="shared" si="168"/>
        <v>S</v>
      </c>
      <c r="B671">
        <f t="shared" ca="1" si="146"/>
        <v>2</v>
      </c>
      <c r="C671" t="str">
        <f t="shared" ca="1" si="147"/>
        <v>S</v>
      </c>
      <c r="D671">
        <f t="shared" ca="1" si="148"/>
        <v>0</v>
      </c>
      <c r="E671">
        <f ca="1">IF($C671=1,OFFSET(E671,-1,0)+MAX(1,COUNTIF(QCI!$A$13:$A$24,OFFSET(ORÇAMENTO!E671,-1,0))),OFFSET(E671,-1,0))</f>
        <v>1</v>
      </c>
      <c r="F671">
        <f t="shared" ca="1" si="149"/>
        <v>22</v>
      </c>
      <c r="G671">
        <f t="shared" ca="1" si="150"/>
        <v>0</v>
      </c>
      <c r="H671">
        <f t="shared" ca="1" si="151"/>
        <v>0</v>
      </c>
      <c r="I671">
        <f t="shared" ca="1" si="152"/>
        <v>0</v>
      </c>
      <c r="J671">
        <f t="shared" ca="1" si="173"/>
        <v>0</v>
      </c>
      <c r="K671">
        <f ca="1">IF(OR($C671="S",$C671=0),0,MATCH(OFFSET($D671,0,$C671)+IF($C671&lt;&gt;1,1,COUNTIF(QCI!$A$13:$A$24,ORÇAMENTO!E671)),OFFSET($D671,1,$C671,ROW($C$747)-ROW($C671)),0))</f>
        <v>0</v>
      </c>
      <c r="L671" s="116" t="str">
        <f t="shared" ca="1" si="153"/>
        <v/>
      </c>
      <c r="M671" s="117" t="s">
        <v>199</v>
      </c>
      <c r="N671" s="118" t="str">
        <f t="shared" ca="1" si="154"/>
        <v>Serviço</v>
      </c>
      <c r="O671" s="119" t="str">
        <f t="shared" ca="1" si="155"/>
        <v>-</v>
      </c>
      <c r="P671" s="120" t="s">
        <v>247</v>
      </c>
      <c r="Q671" s="121" t="s">
        <v>614</v>
      </c>
      <c r="R671" s="122" t="str">
        <f ca="1">IF($C671="S",REFERENCIA.Descricao,"(digite a descrição aqui)")</f>
        <v>(abra o arquivo 'Referência 02-2025.xlsm)</v>
      </c>
      <c r="S671" s="123" t="str">
        <f ca="1">REFERENCIA.Unidade</f>
        <v>-</v>
      </c>
      <c r="T671" s="124">
        <f ca="1">OFFSET(CÁLCULO!H$15,ROW($T671)-ROW(T$15),0)</f>
        <v>4</v>
      </c>
      <c r="U671" s="125">
        <f t="shared" ca="1" si="172"/>
        <v>0</v>
      </c>
      <c r="V671" s="126" t="s">
        <v>156</v>
      </c>
      <c r="W671" s="124">
        <f ca="1">IF($C671="S",ROUND(IF(TIPOORCAMENTO="Proposto",ORÇAMENTO.CustoUnitario*(1+$AH671),ORÇAMENTO.PrecoUnitarioLicitado),15-13*$AF$10),0)</f>
        <v>0</v>
      </c>
      <c r="X671" s="127">
        <f ca="1">IF($C671="S",IF(Import.TipoArredondamento&lt;&gt;"TransfereGOV",VTOTAL1,SUM(OFFSET(CÁLCULO!$AA$15,ROW($X671)-ROW($X$15),1):OFFSET(CÁLCULO!$AL$15,ROW($X671)-ROW($X$15),-1))),IF($C671=0,0,ROUND(SomaAgrup,15-13*$AF$11)))</f>
        <v>0</v>
      </c>
      <c r="Y671" s="128" t="s">
        <v>245</v>
      </c>
      <c r="Z671" t="str">
        <f t="shared" ca="1" si="156"/>
        <v/>
      </c>
      <c r="AA671" s="129">
        <f ca="1">IF($C671="S",IF($Z671="CP",$X671,IF($Z671="RA",(($X671)*QCI!$AA$3),0)),SomaAgrup)</f>
        <v>0</v>
      </c>
      <c r="AB671" s="130">
        <f t="shared" ca="1" si="169"/>
        <v>0</v>
      </c>
      <c r="AC671" s="131" t="str">
        <f ca="1">IF($N671="","",IF(ORÇAMENTO.Descricao="","DESCRIÇÃO",IF(AND($C671="S",ORÇAMENTO.Unidade=""),"UNIDADE",IF($X671&lt;0,"VALOR NEGATIVO",IF(OR(AND(TIPOORCAMENTO="Proposto",$AG671&lt;&gt;"",$AG671&gt;0,ORÇAMENTO.CustoUnitario&gt;$AG671),AND(TIPOORCAMENTO="LICITADO",ORÇAMENTO.PrecoUnitarioLicitado&gt;$AN671)),"ACIMA REF.","")))))</f>
        <v/>
      </c>
      <c r="AD671" t="str">
        <f ca="1">IF(C671&lt;=CRONO.NivelExibicao,MAX($AD$15:OFFSET(AD671,-1,0))+IF($C671&lt;&gt;1,1,MAX(1,COUNTIF(QCI!$A$13:$A$24,OFFSET($E671,-1,0)))),"")</f>
        <v/>
      </c>
      <c r="AE671" s="7" t="str">
        <f ca="1">IF(AND($C671="S",ORÇAMENTO.CodBarra&lt;&gt;""),IF(ORÇAMENTO.Fonte="",ORÇAMENTO.CodBarra,CONCATENATE(ORÇAMENTO.Fonte," ",ORÇAMENTO.CodBarra)))</f>
        <v>SINAPI 95249</v>
      </c>
      <c r="AF671" s="13" t="str">
        <f ca="1">IF(ISERROR(INDIRECT(ORÇAMENTO.BancoRef)),"(abra o arquivo 'Referência "&amp;Excel_BuiltIn_Database&amp;".xlsm)",IF(OR($C671&lt;&gt;"S",ORÇAMENTO.CodBarra=""),"(Sem Código)",IF(ISERROR(MATCH($AE671,INDIRECT(ORÇAMENTO.BancoRef),0)),"(Código não identificado nas referências)",MATCH($AE671,INDIRECT(ORÇAMENTO.BancoRef),0))))</f>
        <v>(abra o arquivo 'Referência 02-2025.xlsm)</v>
      </c>
      <c r="AG671" s="498">
        <f ca="1">ROUND(IF(DESONERACAO="sim",REFERENCIA.Desonerado,REFERENCIA.NaoDesonerado),2)</f>
        <v>0</v>
      </c>
      <c r="AH671" s="499">
        <f t="shared" ca="1" si="170"/>
        <v>0.22470000000000001</v>
      </c>
      <c r="AJ671" s="501">
        <v>4</v>
      </c>
      <c r="AL671" s="527"/>
      <c r="AM671" s="381">
        <f t="shared" ca="1" si="159"/>
        <v>0</v>
      </c>
      <c r="AN671" s="566">
        <f t="shared" ca="1" si="171"/>
        <v>0</v>
      </c>
    </row>
    <row r="672" spans="1:40" x14ac:dyDescent="0.2">
      <c r="A672" t="str">
        <f t="shared" si="168"/>
        <v>S</v>
      </c>
      <c r="B672">
        <f t="shared" ca="1" si="146"/>
        <v>2</v>
      </c>
      <c r="C672" t="str">
        <f t="shared" ca="1" si="147"/>
        <v>S</v>
      </c>
      <c r="D672">
        <f t="shared" ca="1" si="148"/>
        <v>0</v>
      </c>
      <c r="E672">
        <f ca="1">IF($C672=1,OFFSET(E672,-1,0)+MAX(1,COUNTIF(QCI!$A$13:$A$24,OFFSET(ORÇAMENTO!E672,-1,0))),OFFSET(E672,-1,0))</f>
        <v>1</v>
      </c>
      <c r="F672">
        <f t="shared" ca="1" si="149"/>
        <v>22</v>
      </c>
      <c r="G672">
        <f t="shared" ca="1" si="150"/>
        <v>0</v>
      </c>
      <c r="H672">
        <f t="shared" ca="1" si="151"/>
        <v>0</v>
      </c>
      <c r="I672">
        <f t="shared" ca="1" si="152"/>
        <v>0</v>
      </c>
      <c r="J672">
        <f t="shared" ca="1" si="173"/>
        <v>0</v>
      </c>
      <c r="K672">
        <f ca="1">IF(OR($C672="S",$C672=0),0,MATCH(OFFSET($D672,0,$C672)+IF($C672&lt;&gt;1,1,COUNTIF(QCI!$A$13:$A$24,ORÇAMENTO!E672)),OFFSET($D672,1,$C672,ROW($C$747)-ROW($C672)),0))</f>
        <v>0</v>
      </c>
      <c r="L672" s="116" t="str">
        <f t="shared" ca="1" si="153"/>
        <v/>
      </c>
      <c r="M672" s="117" t="s">
        <v>199</v>
      </c>
      <c r="N672" s="118" t="str">
        <f t="shared" ca="1" si="154"/>
        <v>Serviço</v>
      </c>
      <c r="O672" s="119" t="str">
        <f t="shared" ca="1" si="155"/>
        <v>-</v>
      </c>
      <c r="P672" s="120" t="s">
        <v>712</v>
      </c>
      <c r="Q672" s="121" t="s">
        <v>996</v>
      </c>
      <c r="R672" s="122" t="str">
        <f ca="1">IF($C672="S",REFERENCIA.Descricao,"(digite a descrição aqui)")</f>
        <v>(abra o arquivo 'Referência 02-2025.xlsm)</v>
      </c>
      <c r="S672" s="123" t="str">
        <f ca="1">REFERENCIA.Unidade</f>
        <v>-</v>
      </c>
      <c r="T672" s="124">
        <f ca="1">OFFSET(CÁLCULO!H$15,ROW($T672)-ROW(T$15),0)</f>
        <v>1</v>
      </c>
      <c r="U672" s="125">
        <f t="shared" ca="1" si="172"/>
        <v>0</v>
      </c>
      <c r="V672" s="126" t="s">
        <v>156</v>
      </c>
      <c r="W672" s="124">
        <f ca="1">IF($C672="S",ROUND(IF(TIPOORCAMENTO="Proposto",ORÇAMENTO.CustoUnitario*(1+$AH672),ORÇAMENTO.PrecoUnitarioLicitado),15-13*$AF$10),0)</f>
        <v>0</v>
      </c>
      <c r="X672" s="127">
        <f ca="1">IF($C672="S",IF(Import.TipoArredondamento&lt;&gt;"TransfereGOV",VTOTAL1,SUM(OFFSET(CÁLCULO!$AA$15,ROW($X672)-ROW($X$15),1):OFFSET(CÁLCULO!$AL$15,ROW($X672)-ROW($X$15),-1))),IF($C672=0,0,ROUND(SomaAgrup,15-13*$AF$11)))</f>
        <v>0</v>
      </c>
      <c r="Y672" s="128" t="s">
        <v>245</v>
      </c>
      <c r="Z672" t="str">
        <f t="shared" ca="1" si="156"/>
        <v/>
      </c>
      <c r="AA672" s="129">
        <f ca="1">IF($C672="S",IF($Z672="CP",$X672,IF($Z672="RA",(($X672)*QCI!$AA$3),0)),SomaAgrup)</f>
        <v>0</v>
      </c>
      <c r="AB672" s="130">
        <f t="shared" ca="1" si="169"/>
        <v>0</v>
      </c>
      <c r="AC672" s="131" t="str">
        <f ca="1">IF($N672="","",IF(ORÇAMENTO.Descricao="","DESCRIÇÃO",IF(AND($C672="S",ORÇAMENTO.Unidade=""),"UNIDADE",IF($X672&lt;0,"VALOR NEGATIVO",IF(OR(AND(TIPOORCAMENTO="Proposto",$AG672&lt;&gt;"",$AG672&gt;0,ORÇAMENTO.CustoUnitario&gt;$AG672),AND(TIPOORCAMENTO="LICITADO",ORÇAMENTO.PrecoUnitarioLicitado&gt;$AN672)),"ACIMA REF.","")))))</f>
        <v/>
      </c>
      <c r="AD672" t="str">
        <f ca="1">IF(C672&lt;=CRONO.NivelExibicao,MAX($AD$15:OFFSET(AD672,-1,0))+IF($C672&lt;&gt;1,1,MAX(1,COUNTIF(QCI!$A$13:$A$24,OFFSET($E672,-1,0)))),"")</f>
        <v/>
      </c>
      <c r="AE672" s="7" t="str">
        <f ca="1">IF(AND($C672="S",ORÇAMENTO.CodBarra&lt;&gt;""),IF(ORÇAMENTO.Fonte="",ORÇAMENTO.CodBarra,CONCATENATE(ORÇAMENTO.Fonte," ",ORÇAMENTO.CodBarra)))</f>
        <v>Composição FNDE 29</v>
      </c>
      <c r="AF672" s="13" t="str">
        <f ca="1">IF(ISERROR(INDIRECT(ORÇAMENTO.BancoRef)),"(abra o arquivo 'Referência "&amp;Excel_BuiltIn_Database&amp;".xlsm)",IF(OR($C672&lt;&gt;"S",ORÇAMENTO.CodBarra=""),"(Sem Código)",IF(ISERROR(MATCH($AE672,INDIRECT(ORÇAMENTO.BancoRef),0)),"(Código não identificado nas referências)",MATCH($AE672,INDIRECT(ORÇAMENTO.BancoRef),0))))</f>
        <v>(abra o arquivo 'Referência 02-2025.xlsm)</v>
      </c>
      <c r="AG672" s="498">
        <f ca="1">ROUND(IF(DESONERACAO="sim",REFERENCIA.Desonerado,REFERENCIA.NaoDesonerado),2)</f>
        <v>0</v>
      </c>
      <c r="AH672" s="499">
        <f t="shared" ca="1" si="170"/>
        <v>0.22470000000000001</v>
      </c>
      <c r="AJ672" s="501">
        <v>1</v>
      </c>
      <c r="AL672" s="527"/>
      <c r="AM672" s="381">
        <f t="shared" ca="1" si="159"/>
        <v>0</v>
      </c>
      <c r="AN672" s="566">
        <f t="shared" ca="1" si="171"/>
        <v>0</v>
      </c>
    </row>
    <row r="673" spans="1:40" ht="25.5" x14ac:dyDescent="0.2">
      <c r="A673" t="str">
        <f t="shared" si="168"/>
        <v>S</v>
      </c>
      <c r="B673">
        <f t="shared" ca="1" si="146"/>
        <v>2</v>
      </c>
      <c r="C673" t="str">
        <f t="shared" ca="1" si="147"/>
        <v>S</v>
      </c>
      <c r="D673">
        <f t="shared" ca="1" si="148"/>
        <v>0</v>
      </c>
      <c r="E673">
        <f ca="1">IF($C673=1,OFFSET(E673,-1,0)+MAX(1,COUNTIF(QCI!$A$13:$A$24,OFFSET(ORÇAMENTO!E673,-1,0))),OFFSET(E673,-1,0))</f>
        <v>1</v>
      </c>
      <c r="F673">
        <f t="shared" ca="1" si="149"/>
        <v>22</v>
      </c>
      <c r="G673">
        <f t="shared" ca="1" si="150"/>
        <v>0</v>
      </c>
      <c r="H673">
        <f t="shared" ca="1" si="151"/>
        <v>0</v>
      </c>
      <c r="I673">
        <f t="shared" ca="1" si="152"/>
        <v>0</v>
      </c>
      <c r="J673">
        <f t="shared" ca="1" si="173"/>
        <v>0</v>
      </c>
      <c r="K673">
        <f ca="1">IF(OR($C673="S",$C673=0),0,MATCH(OFFSET($D673,0,$C673)+IF($C673&lt;&gt;1,1,COUNTIF(QCI!$A$13:$A$24,ORÇAMENTO!E673)),OFFSET($D673,1,$C673,ROW($C$747)-ROW($C673)),0))</f>
        <v>0</v>
      </c>
      <c r="L673" s="116" t="str">
        <f t="shared" ca="1" si="153"/>
        <v/>
      </c>
      <c r="M673" s="117" t="s">
        <v>199</v>
      </c>
      <c r="N673" s="118" t="str">
        <f t="shared" ca="1" si="154"/>
        <v>Serviço</v>
      </c>
      <c r="O673" s="119" t="str">
        <f t="shared" ca="1" si="155"/>
        <v>-</v>
      </c>
      <c r="P673" s="120" t="s">
        <v>247</v>
      </c>
      <c r="Q673" s="121" t="s">
        <v>615</v>
      </c>
      <c r="R673" s="122" t="str">
        <f ca="1">IF($C673="S",REFERENCIA.Descricao,"(digite a descrição aqui)")</f>
        <v>(abra o arquivo 'Referência 02-2025.xlsm)</v>
      </c>
      <c r="S673" s="123" t="str">
        <f ca="1">REFERENCIA.Unidade</f>
        <v>-</v>
      </c>
      <c r="T673" s="124">
        <f ca="1">OFFSET(CÁLCULO!H$15,ROW($T673)-ROW(T$15),0)</f>
        <v>2</v>
      </c>
      <c r="U673" s="125">
        <f t="shared" ca="1" si="172"/>
        <v>0</v>
      </c>
      <c r="V673" s="126" t="s">
        <v>156</v>
      </c>
      <c r="W673" s="124">
        <f ca="1">IF($C673="S",ROUND(IF(TIPOORCAMENTO="Proposto",ORÇAMENTO.CustoUnitario*(1+$AH673),ORÇAMENTO.PrecoUnitarioLicitado),15-13*$AF$10),0)</f>
        <v>0</v>
      </c>
      <c r="X673" s="127">
        <f ca="1">IF($C673="S",IF(Import.TipoArredondamento&lt;&gt;"TransfereGOV",VTOTAL1,SUM(OFFSET(CÁLCULO!$AA$15,ROW($X673)-ROW($X$15),1):OFFSET(CÁLCULO!$AL$15,ROW($X673)-ROW($X$15),-1))),IF($C673=0,0,ROUND(SomaAgrup,15-13*$AF$11)))</f>
        <v>0</v>
      </c>
      <c r="Y673" s="128" t="s">
        <v>245</v>
      </c>
      <c r="Z673" t="str">
        <f t="shared" ca="1" si="156"/>
        <v/>
      </c>
      <c r="AA673" s="129">
        <f ca="1">IF($C673="S",IF($Z673="CP",$X673,IF($Z673="RA",(($X673)*QCI!$AA$3),0)),SomaAgrup)</f>
        <v>0</v>
      </c>
      <c r="AB673" s="130">
        <f t="shared" ca="1" si="169"/>
        <v>0</v>
      </c>
      <c r="AC673" s="131" t="str">
        <f ca="1">IF($N673="","",IF(ORÇAMENTO.Descricao="","DESCRIÇÃO",IF(AND($C673="S",ORÇAMENTO.Unidade=""),"UNIDADE",IF($X673&lt;0,"VALOR NEGATIVO",IF(OR(AND(TIPOORCAMENTO="Proposto",$AG673&lt;&gt;"",$AG673&gt;0,ORÇAMENTO.CustoUnitario&gt;$AG673),AND(TIPOORCAMENTO="LICITADO",ORÇAMENTO.PrecoUnitarioLicitado&gt;$AN673)),"ACIMA REF.","")))))</f>
        <v/>
      </c>
      <c r="AD673" t="str">
        <f ca="1">IF(C673&lt;=CRONO.NivelExibicao,MAX($AD$15:OFFSET(AD673,-1,0))+IF($C673&lt;&gt;1,1,MAX(1,COUNTIF(QCI!$A$13:$A$24,OFFSET($E673,-1,0)))),"")</f>
        <v/>
      </c>
      <c r="AE673" s="7" t="str">
        <f ca="1">IF(AND($C673="S",ORÇAMENTO.CodBarra&lt;&gt;""),IF(ORÇAMENTO.Fonte="",ORÇAMENTO.CodBarra,CONCATENATE(ORÇAMENTO.Fonte," ",ORÇAMENTO.CodBarra)))</f>
        <v>SINAPI 103029</v>
      </c>
      <c r="AF673" s="13" t="str">
        <f ca="1">IF(ISERROR(INDIRECT(ORÇAMENTO.BancoRef)),"(abra o arquivo 'Referência "&amp;Excel_BuiltIn_Database&amp;".xlsm)",IF(OR($C673&lt;&gt;"S",ORÇAMENTO.CodBarra=""),"(Sem Código)",IF(ISERROR(MATCH($AE673,INDIRECT(ORÇAMENTO.BancoRef),0)),"(Código não identificado nas referências)",MATCH($AE673,INDIRECT(ORÇAMENTO.BancoRef),0))))</f>
        <v>(abra o arquivo 'Referência 02-2025.xlsm)</v>
      </c>
      <c r="AG673" s="498">
        <f ca="1">ROUND(IF(DESONERACAO="sim",REFERENCIA.Desonerado,REFERENCIA.NaoDesonerado),2)</f>
        <v>0</v>
      </c>
      <c r="AH673" s="499">
        <f t="shared" ca="1" si="170"/>
        <v>0.22470000000000001</v>
      </c>
      <c r="AJ673" s="501">
        <v>2</v>
      </c>
      <c r="AL673" s="527"/>
      <c r="AM673" s="381">
        <f t="shared" ca="1" si="159"/>
        <v>0</v>
      </c>
      <c r="AN673" s="566">
        <f t="shared" ca="1" si="171"/>
        <v>0</v>
      </c>
    </row>
    <row r="674" spans="1:40" ht="38.25" x14ac:dyDescent="0.2">
      <c r="A674" t="str">
        <f t="shared" si="168"/>
        <v>S</v>
      </c>
      <c r="B674">
        <f t="shared" ca="1" si="146"/>
        <v>2</v>
      </c>
      <c r="C674" t="str">
        <f t="shared" ca="1" si="147"/>
        <v>S</v>
      </c>
      <c r="D674">
        <f t="shared" ca="1" si="148"/>
        <v>0</v>
      </c>
      <c r="E674">
        <f ca="1">IF($C674=1,OFFSET(E674,-1,0)+MAX(1,COUNTIF(QCI!$A$13:$A$24,OFFSET(ORÇAMENTO!E674,-1,0))),OFFSET(E674,-1,0))</f>
        <v>1</v>
      </c>
      <c r="F674">
        <f t="shared" ca="1" si="149"/>
        <v>22</v>
      </c>
      <c r="G674">
        <f t="shared" ca="1" si="150"/>
        <v>0</v>
      </c>
      <c r="H674">
        <f t="shared" ca="1" si="151"/>
        <v>0</v>
      </c>
      <c r="I674">
        <f t="shared" ca="1" si="152"/>
        <v>0</v>
      </c>
      <c r="J674">
        <f t="shared" ca="1" si="173"/>
        <v>0</v>
      </c>
      <c r="K674">
        <f ca="1">IF(OR($C674="S",$C674=0),0,MATCH(OFFSET($D674,0,$C674)+IF($C674&lt;&gt;1,1,COUNTIF(QCI!$A$13:$A$24,ORÇAMENTO!E674)),OFFSET($D674,1,$C674,ROW($C$747)-ROW($C674)),0))</f>
        <v>0</v>
      </c>
      <c r="L674" s="116" t="str">
        <f t="shared" ca="1" si="153"/>
        <v/>
      </c>
      <c r="M674" s="117" t="s">
        <v>199</v>
      </c>
      <c r="N674" s="118" t="str">
        <f t="shared" ca="1" si="154"/>
        <v>Serviço</v>
      </c>
      <c r="O674" s="119" t="str">
        <f t="shared" ca="1" si="155"/>
        <v>-</v>
      </c>
      <c r="P674" s="120" t="s">
        <v>247</v>
      </c>
      <c r="Q674" s="121" t="s">
        <v>616</v>
      </c>
      <c r="R674" s="122" t="str">
        <f ca="1">IF($C674="S",REFERENCIA.Descricao,"(digite a descrição aqui)")</f>
        <v>(abra o arquivo 'Referência 02-2025.xlsm)</v>
      </c>
      <c r="S674" s="123" t="str">
        <f ca="1">REFERENCIA.Unidade</f>
        <v>-</v>
      </c>
      <c r="T674" s="124">
        <f ca="1">OFFSET(CÁLCULO!H$15,ROW($T674)-ROW(T$15),0)</f>
        <v>53</v>
      </c>
      <c r="U674" s="125">
        <f t="shared" ca="1" si="172"/>
        <v>0</v>
      </c>
      <c r="V674" s="126" t="s">
        <v>156</v>
      </c>
      <c r="W674" s="124">
        <f ca="1">IF($C674="S",ROUND(IF(TIPOORCAMENTO="Proposto",ORÇAMENTO.CustoUnitario*(1+$AH674),ORÇAMENTO.PrecoUnitarioLicitado),15-13*$AF$10),0)</f>
        <v>0</v>
      </c>
      <c r="X674" s="127">
        <f ca="1">IF($C674="S",IF(Import.TipoArredondamento&lt;&gt;"TransfereGOV",VTOTAL1,SUM(OFFSET(CÁLCULO!$AA$15,ROW($X674)-ROW($X$15),1):OFFSET(CÁLCULO!$AL$15,ROW($X674)-ROW($X$15),-1))),IF($C674=0,0,ROUND(SomaAgrup,15-13*$AF$11)))</f>
        <v>0</v>
      </c>
      <c r="Y674" s="128" t="s">
        <v>245</v>
      </c>
      <c r="Z674" t="str">
        <f t="shared" ca="1" si="156"/>
        <v/>
      </c>
      <c r="AA674" s="129">
        <f ca="1">IF($C674="S",IF($Z674="CP",$X674,IF($Z674="RA",(($X674)*QCI!$AA$3),0)),SomaAgrup)</f>
        <v>0</v>
      </c>
      <c r="AB674" s="130">
        <f t="shared" ca="1" si="169"/>
        <v>0</v>
      </c>
      <c r="AC674" s="131" t="str">
        <f ca="1">IF($N674="","",IF(ORÇAMENTO.Descricao="","DESCRIÇÃO",IF(AND($C674="S",ORÇAMENTO.Unidade=""),"UNIDADE",IF($X674&lt;0,"VALOR NEGATIVO",IF(OR(AND(TIPOORCAMENTO="Proposto",$AG674&lt;&gt;"",$AG674&gt;0,ORÇAMENTO.CustoUnitario&gt;$AG674),AND(TIPOORCAMENTO="LICITADO",ORÇAMENTO.PrecoUnitarioLicitado&gt;$AN674)),"ACIMA REF.","")))))</f>
        <v/>
      </c>
      <c r="AD674" t="str">
        <f ca="1">IF(C674&lt;=CRONO.NivelExibicao,MAX($AD$15:OFFSET(AD674,-1,0))+IF($C674&lt;&gt;1,1,MAX(1,COUNTIF(QCI!$A$13:$A$24,OFFSET($E674,-1,0)))),"")</f>
        <v/>
      </c>
      <c r="AE674" s="7" t="str">
        <f ca="1">IF(AND($C674="S",ORÇAMENTO.CodBarra&lt;&gt;""),IF(ORÇAMENTO.Fonte="",ORÇAMENTO.CodBarra,CONCATENATE(ORÇAMENTO.Fonte," ",ORÇAMENTO.CodBarra)))</f>
        <v>SINAPI 92688</v>
      </c>
      <c r="AF674" s="13" t="str">
        <f ca="1">IF(ISERROR(INDIRECT(ORÇAMENTO.BancoRef)),"(abra o arquivo 'Referência "&amp;Excel_BuiltIn_Database&amp;".xlsm)",IF(OR($C674&lt;&gt;"S",ORÇAMENTO.CodBarra=""),"(Sem Código)",IF(ISERROR(MATCH($AE674,INDIRECT(ORÇAMENTO.BancoRef),0)),"(Código não identificado nas referências)",MATCH($AE674,INDIRECT(ORÇAMENTO.BancoRef),0))))</f>
        <v>(abra o arquivo 'Referência 02-2025.xlsm)</v>
      </c>
      <c r="AG674" s="498">
        <f ca="1">ROUND(IF(DESONERACAO="sim",REFERENCIA.Desonerado,REFERENCIA.NaoDesonerado),2)</f>
        <v>0</v>
      </c>
      <c r="AH674" s="499">
        <f t="shared" ca="1" si="170"/>
        <v>0.22470000000000001</v>
      </c>
      <c r="AJ674" s="501">
        <v>53</v>
      </c>
      <c r="AL674" s="527"/>
      <c r="AM674" s="381">
        <f t="shared" ca="1" si="159"/>
        <v>0</v>
      </c>
      <c r="AN674" s="566">
        <f t="shared" ca="1" si="171"/>
        <v>0</v>
      </c>
    </row>
    <row r="675" spans="1:40" ht="38.25" x14ac:dyDescent="0.2">
      <c r="A675" t="str">
        <f t="shared" si="168"/>
        <v>S</v>
      </c>
      <c r="B675">
        <f t="shared" ca="1" si="146"/>
        <v>2</v>
      </c>
      <c r="C675" t="str">
        <f t="shared" ca="1" si="147"/>
        <v>S</v>
      </c>
      <c r="D675">
        <f t="shared" ca="1" si="148"/>
        <v>0</v>
      </c>
      <c r="E675">
        <f ca="1">IF($C675=1,OFFSET(E675,-1,0)+MAX(1,COUNTIF(QCI!$A$13:$A$24,OFFSET(ORÇAMENTO!E675,-1,0))),OFFSET(E675,-1,0))</f>
        <v>1</v>
      </c>
      <c r="F675">
        <f t="shared" ca="1" si="149"/>
        <v>22</v>
      </c>
      <c r="G675">
        <f t="shared" ca="1" si="150"/>
        <v>0</v>
      </c>
      <c r="H675">
        <f t="shared" ca="1" si="151"/>
        <v>0</v>
      </c>
      <c r="I675">
        <f t="shared" ca="1" si="152"/>
        <v>0</v>
      </c>
      <c r="J675">
        <f t="shared" ca="1" si="173"/>
        <v>0</v>
      </c>
      <c r="K675">
        <f ca="1">IF(OR($C675="S",$C675=0),0,MATCH(OFFSET($D675,0,$C675)+IF($C675&lt;&gt;1,1,COUNTIF(QCI!$A$13:$A$24,ORÇAMENTO!E675)),OFFSET($D675,1,$C675,ROW($C$747)-ROW($C675)),0))</f>
        <v>0</v>
      </c>
      <c r="L675" s="116" t="str">
        <f t="shared" ca="1" si="153"/>
        <v/>
      </c>
      <c r="M675" s="117" t="s">
        <v>199</v>
      </c>
      <c r="N675" s="118" t="str">
        <f t="shared" ca="1" si="154"/>
        <v>Serviço</v>
      </c>
      <c r="O675" s="119" t="str">
        <f t="shared" ca="1" si="155"/>
        <v>-</v>
      </c>
      <c r="P675" s="120" t="s">
        <v>247</v>
      </c>
      <c r="Q675" s="121" t="s">
        <v>617</v>
      </c>
      <c r="R675" s="122" t="str">
        <f ca="1">IF($C675="S",REFERENCIA.Descricao,"(digite a descrição aqui)")</f>
        <v>(abra o arquivo 'Referência 02-2025.xlsm)</v>
      </c>
      <c r="S675" s="123" t="str">
        <f ca="1">REFERENCIA.Unidade</f>
        <v>-</v>
      </c>
      <c r="T675" s="124">
        <f ca="1">OFFSET(CÁLCULO!H$15,ROW($T675)-ROW(T$15),0)</f>
        <v>1</v>
      </c>
      <c r="U675" s="125">
        <f t="shared" ca="1" si="172"/>
        <v>0</v>
      </c>
      <c r="V675" s="126" t="s">
        <v>156</v>
      </c>
      <c r="W675" s="124">
        <f ca="1">IF($C675="S",ROUND(IF(TIPOORCAMENTO="Proposto",ORÇAMENTO.CustoUnitario*(1+$AH675),ORÇAMENTO.PrecoUnitarioLicitado),15-13*$AF$10),0)</f>
        <v>0</v>
      </c>
      <c r="X675" s="127">
        <f ca="1">IF($C675="S",IF(Import.TipoArredondamento&lt;&gt;"TransfereGOV",VTOTAL1,SUM(OFFSET(CÁLCULO!$AA$15,ROW($X675)-ROW($X$15),1):OFFSET(CÁLCULO!$AL$15,ROW($X675)-ROW($X$15),-1))),IF($C675=0,0,ROUND(SomaAgrup,15-13*$AF$11)))</f>
        <v>0</v>
      </c>
      <c r="Y675" s="128" t="s">
        <v>245</v>
      </c>
      <c r="Z675" t="str">
        <f t="shared" ca="1" si="156"/>
        <v/>
      </c>
      <c r="AA675" s="129">
        <f ca="1">IF($C675="S",IF($Z675="CP",$X675,IF($Z675="RA",(($X675)*QCI!$AA$3),0)),SomaAgrup)</f>
        <v>0</v>
      </c>
      <c r="AB675" s="130">
        <f t="shared" ca="1" si="169"/>
        <v>0</v>
      </c>
      <c r="AC675" s="131" t="str">
        <f ca="1">IF($N675="","",IF(ORÇAMENTO.Descricao="","DESCRIÇÃO",IF(AND($C675="S",ORÇAMENTO.Unidade=""),"UNIDADE",IF($X675&lt;0,"VALOR NEGATIVO",IF(OR(AND(TIPOORCAMENTO="Proposto",$AG675&lt;&gt;"",$AG675&gt;0,ORÇAMENTO.CustoUnitario&gt;$AG675),AND(TIPOORCAMENTO="LICITADO",ORÇAMENTO.PrecoUnitarioLicitado&gt;$AN675)),"ACIMA REF.","")))))</f>
        <v/>
      </c>
      <c r="AD675" t="str">
        <f ca="1">IF(C675&lt;=CRONO.NivelExibicao,MAX($AD$15:OFFSET(AD675,-1,0))+IF($C675&lt;&gt;1,1,MAX(1,COUNTIF(QCI!$A$13:$A$24,OFFSET($E675,-1,0)))),"")</f>
        <v/>
      </c>
      <c r="AE675" s="7" t="str">
        <f ca="1">IF(AND($C675="S",ORÇAMENTO.CodBarra&lt;&gt;""),IF(ORÇAMENTO.Fonte="",ORÇAMENTO.CodBarra,CONCATENATE(ORÇAMENTO.Fonte," ",ORÇAMENTO.CodBarra)))</f>
        <v>SINAPI 92705</v>
      </c>
      <c r="AF675" s="13" t="str">
        <f ca="1">IF(ISERROR(INDIRECT(ORÇAMENTO.BancoRef)),"(abra o arquivo 'Referência "&amp;Excel_BuiltIn_Database&amp;".xlsm)",IF(OR($C675&lt;&gt;"S",ORÇAMENTO.CodBarra=""),"(Sem Código)",IF(ISERROR(MATCH($AE675,INDIRECT(ORÇAMENTO.BancoRef),0)),"(Código não identificado nas referências)",MATCH($AE675,INDIRECT(ORÇAMENTO.BancoRef),0))))</f>
        <v>(abra o arquivo 'Referência 02-2025.xlsm)</v>
      </c>
      <c r="AG675" s="498">
        <f ca="1">ROUND(IF(DESONERACAO="sim",REFERENCIA.Desonerado,REFERENCIA.NaoDesonerado),2)</f>
        <v>0</v>
      </c>
      <c r="AH675" s="499">
        <f t="shared" ca="1" si="170"/>
        <v>0.22470000000000001</v>
      </c>
      <c r="AJ675" s="501">
        <v>1</v>
      </c>
      <c r="AL675" s="527"/>
      <c r="AM675" s="381">
        <f t="shared" ca="1" si="159"/>
        <v>0</v>
      </c>
      <c r="AN675" s="566">
        <f t="shared" ca="1" si="171"/>
        <v>0</v>
      </c>
    </row>
    <row r="676" spans="1:40" ht="25.5" x14ac:dyDescent="0.2">
      <c r="A676" t="str">
        <f t="shared" si="168"/>
        <v>S</v>
      </c>
      <c r="B676">
        <f t="shared" ca="1" si="146"/>
        <v>2</v>
      </c>
      <c r="C676" t="str">
        <f t="shared" ca="1" si="147"/>
        <v>S</v>
      </c>
      <c r="D676">
        <f t="shared" ca="1" si="148"/>
        <v>0</v>
      </c>
      <c r="E676">
        <f ca="1">IF($C676=1,OFFSET(E676,-1,0)+MAX(1,COUNTIF(QCI!$A$13:$A$24,OFFSET(ORÇAMENTO!E676,-1,0))),OFFSET(E676,-1,0))</f>
        <v>1</v>
      </c>
      <c r="F676">
        <f t="shared" ca="1" si="149"/>
        <v>22</v>
      </c>
      <c r="G676">
        <f t="shared" ca="1" si="150"/>
        <v>0</v>
      </c>
      <c r="H676">
        <f t="shared" ca="1" si="151"/>
        <v>0</v>
      </c>
      <c r="I676">
        <f t="shared" ca="1" si="152"/>
        <v>0</v>
      </c>
      <c r="J676">
        <f t="shared" ca="1" si="173"/>
        <v>0</v>
      </c>
      <c r="K676">
        <f ca="1">IF(OR($C676="S",$C676=0),0,MATCH(OFFSET($D676,0,$C676)+IF($C676&lt;&gt;1,1,COUNTIF(QCI!$A$13:$A$24,ORÇAMENTO!E676)),OFFSET($D676,1,$C676,ROW($C$747)-ROW($C676)),0))</f>
        <v>0</v>
      </c>
      <c r="L676" s="116" t="str">
        <f t="shared" ca="1" si="153"/>
        <v/>
      </c>
      <c r="M676" s="117" t="s">
        <v>199</v>
      </c>
      <c r="N676" s="118" t="str">
        <f t="shared" ca="1" si="154"/>
        <v>Serviço</v>
      </c>
      <c r="O676" s="119" t="str">
        <f t="shared" ca="1" si="155"/>
        <v>-</v>
      </c>
      <c r="P676" s="120" t="s">
        <v>712</v>
      </c>
      <c r="Q676" s="121" t="s">
        <v>818</v>
      </c>
      <c r="R676" s="122" t="str">
        <f ca="1">IF($C676="S",REFERENCIA.Descricao,"(digite a descrição aqui)")</f>
        <v>(abra o arquivo 'Referência 02-2025.xlsm)</v>
      </c>
      <c r="S676" s="123" t="str">
        <f ca="1">REFERENCIA.Unidade</f>
        <v>-</v>
      </c>
      <c r="T676" s="124">
        <f ca="1">OFFSET(CÁLCULO!H$15,ROW($T676)-ROW(T$15),0)</f>
        <v>1</v>
      </c>
      <c r="U676" s="125">
        <f t="shared" ca="1" si="172"/>
        <v>0</v>
      </c>
      <c r="V676" s="126" t="s">
        <v>156</v>
      </c>
      <c r="W676" s="124">
        <f ca="1">IF($C676="S",ROUND(IF(TIPOORCAMENTO="Proposto",ORÇAMENTO.CustoUnitario*(1+$AH676),ORÇAMENTO.PrecoUnitarioLicitado),15-13*$AF$10),0)</f>
        <v>0</v>
      </c>
      <c r="X676" s="127">
        <f ca="1">IF($C676="S",IF(Import.TipoArredondamento&lt;&gt;"TransfereGOV",VTOTAL1,SUM(OFFSET(CÁLCULO!$AA$15,ROW($X676)-ROW($X$15),1):OFFSET(CÁLCULO!$AL$15,ROW($X676)-ROW($X$15),-1))),IF($C676=0,0,ROUND(SomaAgrup,15-13*$AF$11)))</f>
        <v>0</v>
      </c>
      <c r="Y676" s="128" t="s">
        <v>245</v>
      </c>
      <c r="Z676" t="str">
        <f t="shared" ca="1" si="156"/>
        <v/>
      </c>
      <c r="AA676" s="129">
        <f ca="1">IF($C676="S",IF($Z676="CP",$X676,IF($Z676="RA",(($X676)*QCI!$AA$3),0)),SomaAgrup)</f>
        <v>0</v>
      </c>
      <c r="AB676" s="130">
        <f t="shared" ca="1" si="169"/>
        <v>0</v>
      </c>
      <c r="AC676" s="131" t="str">
        <f ca="1">IF($N676="","",IF(ORÇAMENTO.Descricao="","DESCRIÇÃO",IF(AND($C676="S",ORÇAMENTO.Unidade=""),"UNIDADE",IF($X676&lt;0,"VALOR NEGATIVO",IF(OR(AND(TIPOORCAMENTO="Proposto",$AG676&lt;&gt;"",$AG676&gt;0,ORÇAMENTO.CustoUnitario&gt;$AG676),AND(TIPOORCAMENTO="LICITADO",ORÇAMENTO.PrecoUnitarioLicitado&gt;$AN676)),"ACIMA REF.","")))))</f>
        <v/>
      </c>
      <c r="AD676" t="str">
        <f ca="1">IF(C676&lt;=CRONO.NivelExibicao,MAX($AD$15:OFFSET(AD676,-1,0))+IF($C676&lt;&gt;1,1,MAX(1,COUNTIF(QCI!$A$13:$A$24,OFFSET($E676,-1,0)))),"")</f>
        <v/>
      </c>
      <c r="AE676" s="7" t="str">
        <f ca="1">IF(AND($C676="S",ORÇAMENTO.CodBarra&lt;&gt;""),IF(ORÇAMENTO.Fonte="",ORÇAMENTO.CodBarra,CONCATENATE(ORÇAMENTO.Fonte," ",ORÇAMENTO.CodBarra)))</f>
        <v>Composição FNDE 301</v>
      </c>
      <c r="AF676" s="13" t="str">
        <f ca="1">IF(ISERROR(INDIRECT(ORÇAMENTO.BancoRef)),"(abra o arquivo 'Referência "&amp;Excel_BuiltIn_Database&amp;".xlsm)",IF(OR($C676&lt;&gt;"S",ORÇAMENTO.CodBarra=""),"(Sem Código)",IF(ISERROR(MATCH($AE676,INDIRECT(ORÇAMENTO.BancoRef),0)),"(Código não identificado nas referências)",MATCH($AE676,INDIRECT(ORÇAMENTO.BancoRef),0))))</f>
        <v>(abra o arquivo 'Referência 02-2025.xlsm)</v>
      </c>
      <c r="AG676" s="498">
        <f ca="1">ROUND(IF(DESONERACAO="sim",REFERENCIA.Desonerado,REFERENCIA.NaoDesonerado),2)</f>
        <v>0</v>
      </c>
      <c r="AH676" s="499">
        <f t="shared" ca="1" si="170"/>
        <v>0.22470000000000001</v>
      </c>
      <c r="AJ676" s="501">
        <v>1</v>
      </c>
      <c r="AL676" s="527"/>
      <c r="AM676" s="381">
        <f t="shared" ca="1" si="159"/>
        <v>0</v>
      </c>
      <c r="AN676" s="566">
        <f t="shared" ca="1" si="171"/>
        <v>0</v>
      </c>
    </row>
    <row r="677" spans="1:40" ht="38.25" x14ac:dyDescent="0.2">
      <c r="A677" t="str">
        <f t="shared" si="168"/>
        <v>S</v>
      </c>
      <c r="B677">
        <f t="shared" ca="1" si="146"/>
        <v>2</v>
      </c>
      <c r="C677" t="str">
        <f t="shared" ca="1" si="147"/>
        <v>S</v>
      </c>
      <c r="D677">
        <f t="shared" ca="1" si="148"/>
        <v>0</v>
      </c>
      <c r="E677">
        <f ca="1">IF($C677=1,OFFSET(E677,-1,0)+MAX(1,COUNTIF(QCI!$A$13:$A$24,OFFSET(ORÇAMENTO!E677,-1,0))),OFFSET(E677,-1,0))</f>
        <v>1</v>
      </c>
      <c r="F677">
        <f t="shared" ca="1" si="149"/>
        <v>22</v>
      </c>
      <c r="G677">
        <f t="shared" ca="1" si="150"/>
        <v>0</v>
      </c>
      <c r="H677">
        <f t="shared" ca="1" si="151"/>
        <v>0</v>
      </c>
      <c r="I677">
        <f t="shared" ca="1" si="152"/>
        <v>0</v>
      </c>
      <c r="J677">
        <f t="shared" ca="1" si="173"/>
        <v>0</v>
      </c>
      <c r="K677">
        <f ca="1">IF(OR($C677="S",$C677=0),0,MATCH(OFFSET($D677,0,$C677)+IF($C677&lt;&gt;1,1,COUNTIF(QCI!$A$13:$A$24,ORÇAMENTO!E677)),OFFSET($D677,1,$C677,ROW($C$747)-ROW($C677)),0))</f>
        <v>0</v>
      </c>
      <c r="L677" s="116" t="str">
        <f t="shared" ca="1" si="153"/>
        <v/>
      </c>
      <c r="M677" s="117" t="s">
        <v>199</v>
      </c>
      <c r="N677" s="118" t="str">
        <f t="shared" ca="1" si="154"/>
        <v>Serviço</v>
      </c>
      <c r="O677" s="119" t="str">
        <f t="shared" ca="1" si="155"/>
        <v>-</v>
      </c>
      <c r="P677" s="120" t="s">
        <v>247</v>
      </c>
      <c r="Q677" s="121" t="s">
        <v>618</v>
      </c>
      <c r="R677" s="122" t="str">
        <f ca="1">IF($C677="S",REFERENCIA.Descricao,"(digite a descrição aqui)")</f>
        <v>(abra o arquivo 'Referência 02-2025.xlsm)</v>
      </c>
      <c r="S677" s="123" t="str">
        <f ca="1">REFERENCIA.Unidade</f>
        <v>-</v>
      </c>
      <c r="T677" s="124">
        <f ca="1">OFFSET(CÁLCULO!H$15,ROW($T677)-ROW(T$15),0)</f>
        <v>8</v>
      </c>
      <c r="U677" s="125">
        <f t="shared" ca="1" si="172"/>
        <v>0</v>
      </c>
      <c r="V677" s="126" t="s">
        <v>156</v>
      </c>
      <c r="W677" s="124">
        <f ca="1">IF($C677="S",ROUND(IF(TIPOORCAMENTO="Proposto",ORÇAMENTO.CustoUnitario*(1+$AH677),ORÇAMENTO.PrecoUnitarioLicitado),15-13*$AF$10),0)</f>
        <v>0</v>
      </c>
      <c r="X677" s="127">
        <f ca="1">IF($C677="S",IF(Import.TipoArredondamento&lt;&gt;"TransfereGOV",VTOTAL1,SUM(OFFSET(CÁLCULO!$AA$15,ROW($X677)-ROW($X$15),1):OFFSET(CÁLCULO!$AL$15,ROW($X677)-ROW($X$15),-1))),IF($C677=0,0,ROUND(SomaAgrup,15-13*$AF$11)))</f>
        <v>0</v>
      </c>
      <c r="Y677" s="128" t="s">
        <v>245</v>
      </c>
      <c r="Z677" t="str">
        <f t="shared" ca="1" si="156"/>
        <v/>
      </c>
      <c r="AA677" s="129">
        <f ca="1">IF($C677="S",IF($Z677="CP",$X677,IF($Z677="RA",(($X677)*QCI!$AA$3),0)),SomaAgrup)</f>
        <v>0</v>
      </c>
      <c r="AB677" s="130">
        <f t="shared" ca="1" si="169"/>
        <v>0</v>
      </c>
      <c r="AC677" s="131" t="str">
        <f ca="1">IF($N677="","",IF(ORÇAMENTO.Descricao="","DESCRIÇÃO",IF(AND($C677="S",ORÇAMENTO.Unidade=""),"UNIDADE",IF($X677&lt;0,"VALOR NEGATIVO",IF(OR(AND(TIPOORCAMENTO="Proposto",$AG677&lt;&gt;"",$AG677&gt;0,ORÇAMENTO.CustoUnitario&gt;$AG677),AND(TIPOORCAMENTO="LICITADO",ORÇAMENTO.PrecoUnitarioLicitado&gt;$AN677)),"ACIMA REF.","")))))</f>
        <v/>
      </c>
      <c r="AD677" t="str">
        <f ca="1">IF(C677&lt;=CRONO.NivelExibicao,MAX($AD$15:OFFSET(AD677,-1,0))+IF($C677&lt;&gt;1,1,MAX(1,COUNTIF(QCI!$A$13:$A$24,OFFSET($E677,-1,0)))),"")</f>
        <v/>
      </c>
      <c r="AE677" s="7" t="str">
        <f ca="1">IF(AND($C677="S",ORÇAMENTO.CodBarra&lt;&gt;""),IF(ORÇAMENTO.Fonte="",ORÇAMENTO.CodBarra,CONCATENATE(ORÇAMENTO.Fonte," ",ORÇAMENTO.CodBarra)))</f>
        <v>SINAPI 92695</v>
      </c>
      <c r="AF677" s="13" t="str">
        <f ca="1">IF(ISERROR(INDIRECT(ORÇAMENTO.BancoRef)),"(abra o arquivo 'Referência "&amp;Excel_BuiltIn_Database&amp;".xlsm)",IF(OR($C677&lt;&gt;"S",ORÇAMENTO.CodBarra=""),"(Sem Código)",IF(ISERROR(MATCH($AE677,INDIRECT(ORÇAMENTO.BancoRef),0)),"(Código não identificado nas referências)",MATCH($AE677,INDIRECT(ORÇAMENTO.BancoRef),0))))</f>
        <v>(abra o arquivo 'Referência 02-2025.xlsm)</v>
      </c>
      <c r="AG677" s="498">
        <f ca="1">ROUND(IF(DESONERACAO="sim",REFERENCIA.Desonerado,REFERENCIA.NaoDesonerado),2)</f>
        <v>0</v>
      </c>
      <c r="AH677" s="499">
        <f t="shared" ca="1" si="170"/>
        <v>0.22470000000000001</v>
      </c>
      <c r="AJ677" s="501">
        <v>8</v>
      </c>
      <c r="AL677" s="527"/>
      <c r="AM677" s="381">
        <f t="shared" ca="1" si="159"/>
        <v>0</v>
      </c>
      <c r="AN677" s="566">
        <f t="shared" ca="1" si="171"/>
        <v>0</v>
      </c>
    </row>
    <row r="678" spans="1:40" x14ac:dyDescent="0.2">
      <c r="A678" t="str">
        <f t="shared" si="168"/>
        <v>S</v>
      </c>
      <c r="B678">
        <f t="shared" ca="1" si="146"/>
        <v>2</v>
      </c>
      <c r="C678" t="str">
        <f t="shared" ca="1" si="147"/>
        <v>S</v>
      </c>
      <c r="D678">
        <f t="shared" ca="1" si="148"/>
        <v>0</v>
      </c>
      <c r="E678">
        <f ca="1">IF($C678=1,OFFSET(E678,-1,0)+MAX(1,COUNTIF(QCI!$A$13:$A$24,OFFSET(ORÇAMENTO!E678,-1,0))),OFFSET(E678,-1,0))</f>
        <v>1</v>
      </c>
      <c r="F678">
        <f t="shared" ca="1" si="149"/>
        <v>22</v>
      </c>
      <c r="G678">
        <f t="shared" ca="1" si="150"/>
        <v>0</v>
      </c>
      <c r="H678">
        <f t="shared" ca="1" si="151"/>
        <v>0</v>
      </c>
      <c r="I678">
        <f t="shared" ca="1" si="152"/>
        <v>0</v>
      </c>
      <c r="J678">
        <f t="shared" ca="1" si="173"/>
        <v>0</v>
      </c>
      <c r="K678">
        <f ca="1">IF(OR($C678="S",$C678=0),0,MATCH(OFFSET($D678,0,$C678)+IF($C678&lt;&gt;1,1,COUNTIF(QCI!$A$13:$A$24,ORÇAMENTO!E678)),OFFSET($D678,1,$C678,ROW($C$747)-ROW($C678)),0))</f>
        <v>0</v>
      </c>
      <c r="L678" s="116" t="str">
        <f t="shared" ca="1" si="153"/>
        <v/>
      </c>
      <c r="M678" s="117" t="s">
        <v>199</v>
      </c>
      <c r="N678" s="118" t="str">
        <f t="shared" ca="1" si="154"/>
        <v>Serviço</v>
      </c>
      <c r="O678" s="119" t="str">
        <f t="shared" ca="1" si="155"/>
        <v>-</v>
      </c>
      <c r="P678" s="120" t="s">
        <v>712</v>
      </c>
      <c r="Q678" s="121" t="s">
        <v>819</v>
      </c>
      <c r="R678" s="122" t="str">
        <f ca="1">IF($C678="S",REFERENCIA.Descricao,"(digite a descrição aqui)")</f>
        <v>(abra o arquivo 'Referência 02-2025.xlsm)</v>
      </c>
      <c r="S678" s="123" t="str">
        <f ca="1">REFERENCIA.Unidade</f>
        <v>-</v>
      </c>
      <c r="T678" s="124">
        <f ca="1">OFFSET(CÁLCULO!H$15,ROW($T678)-ROW(T$15),0)</f>
        <v>4</v>
      </c>
      <c r="U678" s="125">
        <f t="shared" ca="1" si="172"/>
        <v>0</v>
      </c>
      <c r="V678" s="126" t="s">
        <v>156</v>
      </c>
      <c r="W678" s="124">
        <f ca="1">IF($C678="S",ROUND(IF(TIPOORCAMENTO="Proposto",ORÇAMENTO.CustoUnitario*(1+$AH678),ORÇAMENTO.PrecoUnitarioLicitado),15-13*$AF$10),0)</f>
        <v>0</v>
      </c>
      <c r="X678" s="127">
        <f ca="1">IF($C678="S",IF(Import.TipoArredondamento&lt;&gt;"TransfereGOV",VTOTAL1,SUM(OFFSET(CÁLCULO!$AA$15,ROW($X678)-ROW($X$15),1):OFFSET(CÁLCULO!$AL$15,ROW($X678)-ROW($X$15),-1))),IF($C678=0,0,ROUND(SomaAgrup,15-13*$AF$11)))</f>
        <v>0</v>
      </c>
      <c r="Y678" s="128" t="s">
        <v>245</v>
      </c>
      <c r="Z678" t="str">
        <f t="shared" ca="1" si="156"/>
        <v/>
      </c>
      <c r="AA678" s="129">
        <f ca="1">IF($C678="S",IF($Z678="CP",$X678,IF($Z678="RA",(($X678)*QCI!$AA$3),0)),SomaAgrup)</f>
        <v>0</v>
      </c>
      <c r="AB678" s="130">
        <f t="shared" ca="1" si="169"/>
        <v>0</v>
      </c>
      <c r="AC678" s="131" t="str">
        <f ca="1">IF($N678="","",IF(ORÇAMENTO.Descricao="","DESCRIÇÃO",IF(AND($C678="S",ORÇAMENTO.Unidade=""),"UNIDADE",IF($X678&lt;0,"VALOR NEGATIVO",IF(OR(AND(TIPOORCAMENTO="Proposto",$AG678&lt;&gt;"",$AG678&gt;0,ORÇAMENTO.CustoUnitario&gt;$AG678),AND(TIPOORCAMENTO="LICITADO",ORÇAMENTO.PrecoUnitarioLicitado&gt;$AN678)),"ACIMA REF.","")))))</f>
        <v/>
      </c>
      <c r="AD678" t="str">
        <f ca="1">IF(C678&lt;=CRONO.NivelExibicao,MAX($AD$15:OFFSET(AD678,-1,0))+IF($C678&lt;&gt;1,1,MAX(1,COUNTIF(QCI!$A$13:$A$24,OFFSET($E678,-1,0)))),"")</f>
        <v/>
      </c>
      <c r="AE678" s="7" t="str">
        <f ca="1">IF(AND($C678="S",ORÇAMENTO.CodBarra&lt;&gt;""),IF(ORÇAMENTO.Fonte="",ORÇAMENTO.CodBarra,CONCATENATE(ORÇAMENTO.Fonte," ",ORÇAMENTO.CodBarra)))</f>
        <v>Composição FNDE 260</v>
      </c>
      <c r="AF678" s="13" t="str">
        <f ca="1">IF(ISERROR(INDIRECT(ORÇAMENTO.BancoRef)),"(abra o arquivo 'Referência "&amp;Excel_BuiltIn_Database&amp;".xlsm)",IF(OR($C678&lt;&gt;"S",ORÇAMENTO.CodBarra=""),"(Sem Código)",IF(ISERROR(MATCH($AE678,INDIRECT(ORÇAMENTO.BancoRef),0)),"(Código não identificado nas referências)",MATCH($AE678,INDIRECT(ORÇAMENTO.BancoRef),0))))</f>
        <v>(abra o arquivo 'Referência 02-2025.xlsm)</v>
      </c>
      <c r="AG678" s="498">
        <f ca="1">ROUND(IF(DESONERACAO="sim",REFERENCIA.Desonerado,REFERENCIA.NaoDesonerado),2)</f>
        <v>0</v>
      </c>
      <c r="AH678" s="499">
        <f t="shared" ca="1" si="170"/>
        <v>0.22470000000000001</v>
      </c>
      <c r="AJ678" s="501">
        <v>4</v>
      </c>
      <c r="AL678" s="527"/>
      <c r="AM678" s="381">
        <f t="shared" ca="1" si="159"/>
        <v>0</v>
      </c>
      <c r="AN678" s="566">
        <f t="shared" ca="1" si="171"/>
        <v>0</v>
      </c>
    </row>
    <row r="679" spans="1:40" ht="38.25" x14ac:dyDescent="0.2">
      <c r="A679" t="str">
        <f t="shared" si="168"/>
        <v>S</v>
      </c>
      <c r="B679">
        <f t="shared" ca="1" si="146"/>
        <v>2</v>
      </c>
      <c r="C679" t="str">
        <f t="shared" ca="1" si="147"/>
        <v>S</v>
      </c>
      <c r="D679">
        <f t="shared" ca="1" si="148"/>
        <v>0</v>
      </c>
      <c r="E679">
        <f ca="1">IF($C679=1,OFFSET(E679,-1,0)+MAX(1,COUNTIF(QCI!$A$13:$A$24,OFFSET(ORÇAMENTO!E679,-1,0))),OFFSET(E679,-1,0))</f>
        <v>1</v>
      </c>
      <c r="F679">
        <f t="shared" ca="1" si="149"/>
        <v>22</v>
      </c>
      <c r="G679">
        <f t="shared" ca="1" si="150"/>
        <v>0</v>
      </c>
      <c r="H679">
        <f t="shared" ca="1" si="151"/>
        <v>0</v>
      </c>
      <c r="I679">
        <f t="shared" ca="1" si="152"/>
        <v>0</v>
      </c>
      <c r="J679">
        <f t="shared" ca="1" si="173"/>
        <v>0</v>
      </c>
      <c r="K679">
        <f ca="1">IF(OR($C679="S",$C679=0),0,MATCH(OFFSET($D679,0,$C679)+IF($C679&lt;&gt;1,1,COUNTIF(QCI!$A$13:$A$24,ORÇAMENTO!E679)),OFFSET($D679,1,$C679,ROW($C$747)-ROW($C679)),0))</f>
        <v>0</v>
      </c>
      <c r="L679" s="116" t="str">
        <f t="shared" ca="1" si="153"/>
        <v/>
      </c>
      <c r="M679" s="117" t="s">
        <v>199</v>
      </c>
      <c r="N679" s="118" t="str">
        <f t="shared" ca="1" si="154"/>
        <v>Serviço</v>
      </c>
      <c r="O679" s="119" t="str">
        <f t="shared" ca="1" si="155"/>
        <v>-</v>
      </c>
      <c r="P679" s="120" t="s">
        <v>247</v>
      </c>
      <c r="Q679" s="121" t="s">
        <v>619</v>
      </c>
      <c r="R679" s="122" t="str">
        <f ca="1">IF($C679="S",REFERENCIA.Descricao,"(digite a descrição aqui)")</f>
        <v>(abra o arquivo 'Referência 02-2025.xlsm)</v>
      </c>
      <c r="S679" s="123" t="str">
        <f ca="1">REFERENCIA.Unidade</f>
        <v>-</v>
      </c>
      <c r="T679" s="124">
        <f ca="1">OFFSET(CÁLCULO!H$15,ROW($T679)-ROW(T$15),0)</f>
        <v>2</v>
      </c>
      <c r="U679" s="125">
        <f t="shared" ca="1" si="172"/>
        <v>0</v>
      </c>
      <c r="V679" s="126" t="s">
        <v>156</v>
      </c>
      <c r="W679" s="124">
        <f ca="1">IF($C679="S",ROUND(IF(TIPOORCAMENTO="Proposto",ORÇAMENTO.CustoUnitario*(1+$AH679),ORÇAMENTO.PrecoUnitarioLicitado),15-13*$AF$10),0)</f>
        <v>0</v>
      </c>
      <c r="X679" s="127">
        <f ca="1">IF($C679="S",IF(Import.TipoArredondamento&lt;&gt;"TransfereGOV",VTOTAL1,SUM(OFFSET(CÁLCULO!$AA$15,ROW($X679)-ROW($X$15),1):OFFSET(CÁLCULO!$AL$15,ROW($X679)-ROW($X$15),-1))),IF($C679=0,0,ROUND(SomaAgrup,15-13*$AF$11)))</f>
        <v>0</v>
      </c>
      <c r="Y679" s="128" t="s">
        <v>245</v>
      </c>
      <c r="Z679" t="str">
        <f t="shared" ca="1" si="156"/>
        <v/>
      </c>
      <c r="AA679" s="129">
        <f ca="1">IF($C679="S",IF($Z679="CP",$X679,IF($Z679="RA",(($X679)*QCI!$AA$3),0)),SomaAgrup)</f>
        <v>0</v>
      </c>
      <c r="AB679" s="130">
        <f t="shared" ca="1" si="169"/>
        <v>0</v>
      </c>
      <c r="AC679" s="131" t="str">
        <f ca="1">IF($N679="","",IF(ORÇAMENTO.Descricao="","DESCRIÇÃO",IF(AND($C679="S",ORÇAMENTO.Unidade=""),"UNIDADE",IF($X679&lt;0,"VALOR NEGATIVO",IF(OR(AND(TIPOORCAMENTO="Proposto",$AG679&lt;&gt;"",$AG679&gt;0,ORÇAMENTO.CustoUnitario&gt;$AG679),AND(TIPOORCAMENTO="LICITADO",ORÇAMENTO.PrecoUnitarioLicitado&gt;$AN679)),"ACIMA REF.","")))))</f>
        <v/>
      </c>
      <c r="AD679" t="str">
        <f ca="1">IF(C679&lt;=CRONO.NivelExibicao,MAX($AD$15:OFFSET(AD679,-1,0))+IF($C679&lt;&gt;1,1,MAX(1,COUNTIF(QCI!$A$13:$A$24,OFFSET($E679,-1,0)))),"")</f>
        <v/>
      </c>
      <c r="AE679" s="7" t="str">
        <f ca="1">IF(AND($C679="S",ORÇAMENTO.CodBarra&lt;&gt;""),IF(ORÇAMENTO.Fonte="",ORÇAMENTO.CodBarra,CONCATENATE(ORÇAMENTO.Fonte," ",ORÇAMENTO.CodBarra)))</f>
        <v>SINAPI 97548</v>
      </c>
      <c r="AF679" s="13" t="str">
        <f ca="1">IF(ISERROR(INDIRECT(ORÇAMENTO.BancoRef)),"(abra o arquivo 'Referência "&amp;Excel_BuiltIn_Database&amp;".xlsm)",IF(OR($C679&lt;&gt;"S",ORÇAMENTO.CodBarra=""),"(Sem Código)",IF(ISERROR(MATCH($AE679,INDIRECT(ORÇAMENTO.BancoRef),0)),"(Código não identificado nas referências)",MATCH($AE679,INDIRECT(ORÇAMENTO.BancoRef),0))))</f>
        <v>(abra o arquivo 'Referência 02-2025.xlsm)</v>
      </c>
      <c r="AG679" s="498">
        <f ca="1">ROUND(IF(DESONERACAO="sim",REFERENCIA.Desonerado,REFERENCIA.NaoDesonerado),2)</f>
        <v>0</v>
      </c>
      <c r="AH679" s="499">
        <f t="shared" ca="1" si="170"/>
        <v>0.22470000000000001</v>
      </c>
      <c r="AJ679" s="501">
        <v>2</v>
      </c>
      <c r="AL679" s="527"/>
      <c r="AM679" s="381">
        <f t="shared" ca="1" si="159"/>
        <v>0</v>
      </c>
      <c r="AN679" s="566">
        <f t="shared" ca="1" si="171"/>
        <v>0</v>
      </c>
    </row>
    <row r="680" spans="1:40" ht="38.25" x14ac:dyDescent="0.2">
      <c r="A680" t="str">
        <f t="shared" si="168"/>
        <v>S</v>
      </c>
      <c r="B680">
        <f t="shared" ca="1" si="146"/>
        <v>2</v>
      </c>
      <c r="C680" t="str">
        <f t="shared" ca="1" si="147"/>
        <v>S</v>
      </c>
      <c r="D680">
        <f t="shared" ca="1" si="148"/>
        <v>0</v>
      </c>
      <c r="E680">
        <f ca="1">IF($C680=1,OFFSET(E680,-1,0)+MAX(1,COUNTIF(QCI!$A$13:$A$24,OFFSET(ORÇAMENTO!E680,-1,0))),OFFSET(E680,-1,0))</f>
        <v>1</v>
      </c>
      <c r="F680">
        <f t="shared" ca="1" si="149"/>
        <v>22</v>
      </c>
      <c r="G680">
        <f t="shared" ca="1" si="150"/>
        <v>0</v>
      </c>
      <c r="H680">
        <f t="shared" ca="1" si="151"/>
        <v>0</v>
      </c>
      <c r="I680">
        <f t="shared" ca="1" si="152"/>
        <v>0</v>
      </c>
      <c r="J680">
        <f t="shared" ca="1" si="173"/>
        <v>0</v>
      </c>
      <c r="K680">
        <f ca="1">IF(OR($C680="S",$C680=0),0,MATCH(OFFSET($D680,0,$C680)+IF($C680&lt;&gt;1,1,COUNTIF(QCI!$A$13:$A$24,ORÇAMENTO!E680)),OFFSET($D680,1,$C680,ROW($C$747)-ROW($C680)),0))</f>
        <v>0</v>
      </c>
      <c r="L680" s="116" t="str">
        <f t="shared" ca="1" si="153"/>
        <v/>
      </c>
      <c r="M680" s="117" t="s">
        <v>199</v>
      </c>
      <c r="N680" s="118" t="str">
        <f t="shared" ca="1" si="154"/>
        <v>Serviço</v>
      </c>
      <c r="O680" s="119" t="str">
        <f t="shared" ca="1" si="155"/>
        <v>-</v>
      </c>
      <c r="P680" s="120" t="s">
        <v>247</v>
      </c>
      <c r="Q680" s="121" t="s">
        <v>620</v>
      </c>
      <c r="R680" s="122" t="str">
        <f ca="1">IF($C680="S",REFERENCIA.Descricao,"(digite a descrição aqui)")</f>
        <v>(abra o arquivo 'Referência 02-2025.xlsm)</v>
      </c>
      <c r="S680" s="123" t="str">
        <f ca="1">REFERENCIA.Unidade</f>
        <v>-</v>
      </c>
      <c r="T680" s="124">
        <f ca="1">OFFSET(CÁLCULO!H$15,ROW($T680)-ROW(T$15),0)</f>
        <v>6</v>
      </c>
      <c r="U680" s="125">
        <f t="shared" ca="1" si="172"/>
        <v>0</v>
      </c>
      <c r="V680" s="126" t="s">
        <v>156</v>
      </c>
      <c r="W680" s="124">
        <f ca="1">IF($C680="S",ROUND(IF(TIPOORCAMENTO="Proposto",ORÇAMENTO.CustoUnitario*(1+$AH680),ORÇAMENTO.PrecoUnitarioLicitado),15-13*$AF$10),0)</f>
        <v>0</v>
      </c>
      <c r="X680" s="127">
        <f ca="1">IF($C680="S",IF(Import.TipoArredondamento&lt;&gt;"TransfereGOV",VTOTAL1,SUM(OFFSET(CÁLCULO!$AA$15,ROW($X680)-ROW($X$15),1):OFFSET(CÁLCULO!$AL$15,ROW($X680)-ROW($X$15),-1))),IF($C680=0,0,ROUND(SomaAgrup,15-13*$AF$11)))</f>
        <v>0</v>
      </c>
      <c r="Y680" s="128" t="s">
        <v>245</v>
      </c>
      <c r="Z680" t="str">
        <f t="shared" ca="1" si="156"/>
        <v/>
      </c>
      <c r="AA680" s="129">
        <f ca="1">IF($C680="S",IF($Z680="CP",$X680,IF($Z680="RA",(($X680)*QCI!$AA$3),0)),SomaAgrup)</f>
        <v>0</v>
      </c>
      <c r="AB680" s="130">
        <f t="shared" ca="1" si="169"/>
        <v>0</v>
      </c>
      <c r="AC680" s="131" t="str">
        <f ca="1">IF($N680="","",IF(ORÇAMENTO.Descricao="","DESCRIÇÃO",IF(AND($C680="S",ORÇAMENTO.Unidade=""),"UNIDADE",IF($X680&lt;0,"VALOR NEGATIVO",IF(OR(AND(TIPOORCAMENTO="Proposto",$AG680&lt;&gt;"",$AG680&gt;0,ORÇAMENTO.CustoUnitario&gt;$AG680),AND(TIPOORCAMENTO="LICITADO",ORÇAMENTO.PrecoUnitarioLicitado&gt;$AN680)),"ACIMA REF.","")))))</f>
        <v/>
      </c>
      <c r="AD680" t="str">
        <f ca="1">IF(C680&lt;=CRONO.NivelExibicao,MAX($AD$15:OFFSET(AD680,-1,0))+IF($C680&lt;&gt;1,1,MAX(1,COUNTIF(QCI!$A$13:$A$24,OFFSET($E680,-1,0)))),"")</f>
        <v/>
      </c>
      <c r="AE680" s="7" t="str">
        <f ca="1">IF(AND($C680="S",ORÇAMENTO.CodBarra&lt;&gt;""),IF(ORÇAMENTO.Fonte="",ORÇAMENTO.CodBarra,CONCATENATE(ORÇAMENTO.Fonte," ",ORÇAMENTO.CodBarra)))</f>
        <v>SINAPI 97549</v>
      </c>
      <c r="AF680" s="13" t="str">
        <f ca="1">IF(ISERROR(INDIRECT(ORÇAMENTO.BancoRef)),"(abra o arquivo 'Referência "&amp;Excel_BuiltIn_Database&amp;".xlsm)",IF(OR($C680&lt;&gt;"S",ORÇAMENTO.CodBarra=""),"(Sem Código)",IF(ISERROR(MATCH($AE680,INDIRECT(ORÇAMENTO.BancoRef),0)),"(Código não identificado nas referências)",MATCH($AE680,INDIRECT(ORÇAMENTO.BancoRef),0))))</f>
        <v>(abra o arquivo 'Referência 02-2025.xlsm)</v>
      </c>
      <c r="AG680" s="498">
        <f ca="1">ROUND(IF(DESONERACAO="sim",REFERENCIA.Desonerado,REFERENCIA.NaoDesonerado),2)</f>
        <v>0</v>
      </c>
      <c r="AH680" s="499">
        <f t="shared" ca="1" si="170"/>
        <v>0.22470000000000001</v>
      </c>
      <c r="AJ680" s="501">
        <v>6</v>
      </c>
      <c r="AL680" s="527"/>
      <c r="AM680" s="381">
        <f t="shared" ca="1" si="159"/>
        <v>0</v>
      </c>
      <c r="AN680" s="566">
        <f t="shared" ca="1" si="171"/>
        <v>0</v>
      </c>
    </row>
    <row r="681" spans="1:40" ht="38.25" x14ac:dyDescent="0.2">
      <c r="A681" t="str">
        <f t="shared" si="168"/>
        <v>S</v>
      </c>
      <c r="B681">
        <f t="shared" ca="1" si="146"/>
        <v>2</v>
      </c>
      <c r="C681" t="str">
        <f t="shared" ca="1" si="147"/>
        <v>S</v>
      </c>
      <c r="D681">
        <f t="shared" ca="1" si="148"/>
        <v>0</v>
      </c>
      <c r="E681">
        <f ca="1">IF($C681=1,OFFSET(E681,-1,0)+MAX(1,COUNTIF(QCI!$A$13:$A$24,OFFSET(ORÇAMENTO!E681,-1,0))),OFFSET(E681,-1,0))</f>
        <v>1</v>
      </c>
      <c r="F681">
        <f t="shared" ca="1" si="149"/>
        <v>22</v>
      </c>
      <c r="G681">
        <f t="shared" ca="1" si="150"/>
        <v>0</v>
      </c>
      <c r="H681">
        <f t="shared" ca="1" si="151"/>
        <v>0</v>
      </c>
      <c r="I681">
        <f t="shared" ca="1" si="152"/>
        <v>0</v>
      </c>
      <c r="J681">
        <f t="shared" ca="1" si="173"/>
        <v>0</v>
      </c>
      <c r="K681">
        <f ca="1">IF(OR($C681="S",$C681=0),0,MATCH(OFFSET($D681,0,$C681)+IF($C681&lt;&gt;1,1,COUNTIF(QCI!$A$13:$A$24,ORÇAMENTO!E681)),OFFSET($D681,1,$C681,ROW($C$747)-ROW($C681)),0))</f>
        <v>0</v>
      </c>
      <c r="L681" s="116" t="str">
        <f t="shared" ca="1" si="153"/>
        <v/>
      </c>
      <c r="M681" s="117" t="s">
        <v>199</v>
      </c>
      <c r="N681" s="118" t="str">
        <f t="shared" ca="1" si="154"/>
        <v>Serviço</v>
      </c>
      <c r="O681" s="119" t="str">
        <f t="shared" ca="1" si="155"/>
        <v>-</v>
      </c>
      <c r="P681" s="120" t="s">
        <v>247</v>
      </c>
      <c r="Q681" s="121" t="s">
        <v>621</v>
      </c>
      <c r="R681" s="122" t="str">
        <f ca="1">IF($C681="S",REFERENCIA.Descricao,"(digite a descrição aqui)")</f>
        <v>(abra o arquivo 'Referência 02-2025.xlsm)</v>
      </c>
      <c r="S681" s="123" t="str">
        <f ca="1">REFERENCIA.Unidade</f>
        <v>-</v>
      </c>
      <c r="T681" s="124">
        <f ca="1">OFFSET(CÁLCULO!H$15,ROW($T681)-ROW(T$15),0)</f>
        <v>2</v>
      </c>
      <c r="U681" s="125">
        <f t="shared" ca="1" si="172"/>
        <v>0</v>
      </c>
      <c r="V681" s="126" t="s">
        <v>156</v>
      </c>
      <c r="W681" s="124">
        <f ca="1">IF($C681="S",ROUND(IF(TIPOORCAMENTO="Proposto",ORÇAMENTO.CustoUnitario*(1+$AH681),ORÇAMENTO.PrecoUnitarioLicitado),15-13*$AF$10),0)</f>
        <v>0</v>
      </c>
      <c r="X681" s="127">
        <f ca="1">IF($C681="S",IF(Import.TipoArredondamento&lt;&gt;"TransfereGOV",VTOTAL1,SUM(OFFSET(CÁLCULO!$AA$15,ROW($X681)-ROW($X$15),1):OFFSET(CÁLCULO!$AL$15,ROW($X681)-ROW($X$15),-1))),IF($C681=0,0,ROUND(SomaAgrup,15-13*$AF$11)))</f>
        <v>0</v>
      </c>
      <c r="Y681" s="128" t="s">
        <v>245</v>
      </c>
      <c r="Z681" t="str">
        <f t="shared" ca="1" si="156"/>
        <v/>
      </c>
      <c r="AA681" s="129">
        <f ca="1">IF($C681="S",IF($Z681="CP",$X681,IF($Z681="RA",(($X681)*QCI!$AA$3),0)),SomaAgrup)</f>
        <v>0</v>
      </c>
      <c r="AB681" s="130">
        <f t="shared" ca="1" si="169"/>
        <v>0</v>
      </c>
      <c r="AC681" s="131" t="str">
        <f ca="1">IF($N681="","",IF(ORÇAMENTO.Descricao="","DESCRIÇÃO",IF(AND($C681="S",ORÇAMENTO.Unidade=""),"UNIDADE",IF($X681&lt;0,"VALOR NEGATIVO",IF(OR(AND(TIPOORCAMENTO="Proposto",$AG681&lt;&gt;"",$AG681&gt;0,ORÇAMENTO.CustoUnitario&gt;$AG681),AND(TIPOORCAMENTO="LICITADO",ORÇAMENTO.PrecoUnitarioLicitado&gt;$AN681)),"ACIMA REF.","")))))</f>
        <v/>
      </c>
      <c r="AD681" t="str">
        <f ca="1">IF(C681&lt;=CRONO.NivelExibicao,MAX($AD$15:OFFSET(AD681,-1,0))+IF($C681&lt;&gt;1,1,MAX(1,COUNTIF(QCI!$A$13:$A$24,OFFSET($E681,-1,0)))),"")</f>
        <v/>
      </c>
      <c r="AE681" s="7" t="str">
        <f ca="1">IF(AND($C681="S",ORÇAMENTO.CodBarra&lt;&gt;""),IF(ORÇAMENTO.Fonte="",ORÇAMENTO.CodBarra,CONCATENATE(ORÇAMENTO.Fonte," ",ORÇAMENTO.CodBarra)))</f>
        <v>SINAPI 97547</v>
      </c>
      <c r="AF681" s="13" t="str">
        <f ca="1">IF(ISERROR(INDIRECT(ORÇAMENTO.BancoRef)),"(abra o arquivo 'Referência "&amp;Excel_BuiltIn_Database&amp;".xlsm)",IF(OR($C681&lt;&gt;"S",ORÇAMENTO.CodBarra=""),"(Sem Código)",IF(ISERROR(MATCH($AE681,INDIRECT(ORÇAMENTO.BancoRef),0)),"(Código não identificado nas referências)",MATCH($AE681,INDIRECT(ORÇAMENTO.BancoRef),0))))</f>
        <v>(abra o arquivo 'Referência 02-2025.xlsm)</v>
      </c>
      <c r="AG681" s="498">
        <f ca="1">ROUND(IF(DESONERACAO="sim",REFERENCIA.Desonerado,REFERENCIA.NaoDesonerado),2)</f>
        <v>0</v>
      </c>
      <c r="AH681" s="499">
        <f t="shared" ca="1" si="170"/>
        <v>0.22470000000000001</v>
      </c>
      <c r="AJ681" s="501">
        <v>2</v>
      </c>
      <c r="AL681" s="527"/>
      <c r="AM681" s="381">
        <f t="shared" ca="1" si="159"/>
        <v>0</v>
      </c>
      <c r="AN681" s="566">
        <f t="shared" ca="1" si="171"/>
        <v>0</v>
      </c>
    </row>
    <row r="682" spans="1:40" x14ac:dyDescent="0.2">
      <c r="A682">
        <f t="shared" si="168"/>
        <v>2</v>
      </c>
      <c r="B682">
        <f t="shared" ca="1" si="146"/>
        <v>2</v>
      </c>
      <c r="C682">
        <f t="shared" ca="1" si="147"/>
        <v>2</v>
      </c>
      <c r="D682">
        <f t="shared" ca="1" si="148"/>
        <v>12</v>
      </c>
      <c r="E682">
        <f ca="1">IF($C682=1,OFFSET(E682,-1,0)+MAX(1,COUNTIF(QCI!$A$13:$A$24,OFFSET(ORÇAMENTO!E682,-1,0))),OFFSET(E682,-1,0))</f>
        <v>1</v>
      </c>
      <c r="F682">
        <f t="shared" ca="1" si="149"/>
        <v>23</v>
      </c>
      <c r="G682">
        <f t="shared" ca="1" si="150"/>
        <v>0</v>
      </c>
      <c r="H682">
        <f t="shared" ca="1" si="151"/>
        <v>0</v>
      </c>
      <c r="I682">
        <f t="shared" ca="1" si="152"/>
        <v>0</v>
      </c>
      <c r="J682">
        <f t="shared" ca="1" si="173"/>
        <v>65</v>
      </c>
      <c r="K682">
        <f ca="1">IF(OR($C682="S",$C682=0),0,MATCH(OFFSET($D682,0,$C682)+IF($C682&lt;&gt;1,1,COUNTIF(QCI!$A$13:$A$24,ORÇAMENTO!E682)),OFFSET($D682,1,$C682,ROW($C$747)-ROW($C682)),0))</f>
        <v>12</v>
      </c>
      <c r="L682" s="116" t="str">
        <f t="shared" ca="1" si="153"/>
        <v>F</v>
      </c>
      <c r="M682" s="117" t="s">
        <v>196</v>
      </c>
      <c r="N682" s="118" t="str">
        <f t="shared" ca="1" si="154"/>
        <v>Nível 2</v>
      </c>
      <c r="O682" s="119" t="str">
        <f t="shared" ca="1" si="155"/>
        <v>1.23.</v>
      </c>
      <c r="P682" s="120" t="s">
        <v>247</v>
      </c>
      <c r="Q682" s="121"/>
      <c r="R682" s="122" t="str">
        <f ca="1">IF($C682="S",REFERENCIA.Descricao,"SERVIÇOS COMPLEMENTARES")</f>
        <v>SERVIÇOS COMPLEMENTARES</v>
      </c>
      <c r="S682" s="123" t="str">
        <f ca="1">REFERENCIA.Unidade</f>
        <v>-</v>
      </c>
      <c r="T682" s="124">
        <f ca="1">OFFSET(CÁLCULO!H$15,ROW($T682)-ROW(T$15),0)</f>
        <v>0</v>
      </c>
      <c r="U682" s="125">
        <f t="shared" ca="1" si="172"/>
        <v>0</v>
      </c>
      <c r="V682" s="126" t="s">
        <v>156</v>
      </c>
      <c r="W682" s="124">
        <f ca="1">IF($C682="S",ROUND(IF(TIPOORCAMENTO="Proposto",ORÇAMENTO.CustoUnitario*(1+$AH682),ORÇAMENTO.PrecoUnitarioLicitado),15-13*$AF$10),0)</f>
        <v>0</v>
      </c>
      <c r="X682" s="127">
        <f ca="1">IF($C682="S",IF(Import.TipoArredondamento&lt;&gt;"TransfereGOV",VTOTAL1,SUM(OFFSET(CÁLCULO!$AA$15,ROW($X682)-ROW($X$15),1):OFFSET(CÁLCULO!$AL$15,ROW($X682)-ROW($X$15),-1))),IF($C682=0,0,ROUND(SomaAgrup,15-13*$AF$11)))</f>
        <v>0</v>
      </c>
      <c r="Y682" s="128" t="s">
        <v>245</v>
      </c>
      <c r="Z682" t="str">
        <f t="shared" ca="1" si="156"/>
        <v/>
      </c>
      <c r="AA682" s="129">
        <f ca="1">IF($C682="S",IF($Z682="CP",$X682,IF($Z682="RA",(($X682)*QCI!$AA$3),0)),SomaAgrup)</f>
        <v>0</v>
      </c>
      <c r="AB682" s="130">
        <f t="shared" ca="1" si="169"/>
        <v>0</v>
      </c>
      <c r="AC682" s="131" t="str">
        <f ca="1">IF($N682="","",IF(ORÇAMENTO.Descricao="","DESCRIÇÃO",IF(AND($C682="S",ORÇAMENTO.Unidade=""),"UNIDADE",IF($X682&lt;0,"VALOR NEGATIVO",IF(OR(AND(TIPOORCAMENTO="Proposto",$AG682&lt;&gt;"",$AG682&gt;0,ORÇAMENTO.CustoUnitario&gt;$AG682),AND(TIPOORCAMENTO="LICITADO",ORÇAMENTO.PrecoUnitarioLicitado&gt;$AN682)),"ACIMA REF.","")))))</f>
        <v/>
      </c>
      <c r="AD682">
        <f ca="1">IF(C682&lt;=CRONO.NivelExibicao,MAX($AD$15:OFFSET(AD682,-1,0))+IF($C682&lt;&gt;1,1,MAX(1,COUNTIF(QCI!$A$13:$A$24,OFFSET($E682,-1,0)))),"")</f>
        <v>24</v>
      </c>
      <c r="AE682" s="7" t="b">
        <f ca="1">IF(AND($C682="S",ORÇAMENTO.CodBarra&lt;&gt;""),IF(ORÇAMENTO.Fonte="",ORÇAMENTO.CodBarra,CONCATENATE(ORÇAMENTO.Fonte," ",ORÇAMENTO.CodBarra)))</f>
        <v>0</v>
      </c>
      <c r="AF682" s="13" t="str">
        <f ca="1">IF(ISERROR(INDIRECT(ORÇAMENTO.BancoRef)),"(abra o arquivo 'Referência "&amp;Excel_BuiltIn_Database&amp;".xlsm)",IF(OR($C682&lt;&gt;"S",ORÇAMENTO.CodBarra=""),"(Sem Código)",IF(ISERROR(MATCH($AE682,INDIRECT(ORÇAMENTO.BancoRef),0)),"(Código não identificado nas referências)",MATCH($AE682,INDIRECT(ORÇAMENTO.BancoRef),0))))</f>
        <v>(abra o arquivo 'Referência 02-2025.xlsm)</v>
      </c>
      <c r="AG682" s="498">
        <f ca="1">ROUND(IF(DESONERACAO="sim",REFERENCIA.Desonerado,REFERENCIA.NaoDesonerado),2)</f>
        <v>0</v>
      </c>
      <c r="AH682" s="499">
        <f t="shared" ca="1" si="170"/>
        <v>0.22470000000000001</v>
      </c>
      <c r="AJ682" s="501"/>
      <c r="AL682" s="527"/>
      <c r="AM682" s="381">
        <f t="shared" ca="1" si="159"/>
        <v>0</v>
      </c>
      <c r="AN682" s="566">
        <f t="shared" ca="1" si="171"/>
        <v>0</v>
      </c>
    </row>
    <row r="683" spans="1:40" x14ac:dyDescent="0.2">
      <c r="A683" t="str">
        <f t="shared" si="168"/>
        <v>S</v>
      </c>
      <c r="B683">
        <f t="shared" ca="1" si="146"/>
        <v>2</v>
      </c>
      <c r="C683" t="str">
        <f t="shared" ca="1" si="147"/>
        <v>S</v>
      </c>
      <c r="D683">
        <f t="shared" ca="1" si="148"/>
        <v>0</v>
      </c>
      <c r="E683">
        <f ca="1">IF($C683=1,OFFSET(E683,-1,0)+MAX(1,COUNTIF(QCI!$A$13:$A$24,OFFSET(ORÇAMENTO!E683,-1,0))),OFFSET(E683,-1,0))</f>
        <v>1</v>
      </c>
      <c r="F683">
        <f t="shared" ca="1" si="149"/>
        <v>23</v>
      </c>
      <c r="G683">
        <f t="shared" ca="1" si="150"/>
        <v>0</v>
      </c>
      <c r="H683">
        <f t="shared" ca="1" si="151"/>
        <v>0</v>
      </c>
      <c r="I683">
        <f t="shared" ca="1" si="152"/>
        <v>0</v>
      </c>
      <c r="J683">
        <f t="shared" ca="1" si="173"/>
        <v>0</v>
      </c>
      <c r="K683">
        <f ca="1">IF(OR($C683="S",$C683=0),0,MATCH(OFFSET($D683,0,$C683)+IF($C683&lt;&gt;1,1,COUNTIF(QCI!$A$13:$A$24,ORÇAMENTO!E683)),OFFSET($D683,1,$C683,ROW($C$747)-ROW($C683)),0))</f>
        <v>0</v>
      </c>
      <c r="L683" s="116" t="str">
        <f t="shared" ca="1" si="153"/>
        <v/>
      </c>
      <c r="M683" s="117" t="s">
        <v>199</v>
      </c>
      <c r="N683" s="118" t="str">
        <f t="shared" ca="1" si="154"/>
        <v>Serviço</v>
      </c>
      <c r="O683" s="119" t="str">
        <f t="shared" ca="1" si="155"/>
        <v>-</v>
      </c>
      <c r="P683" s="120" t="s">
        <v>712</v>
      </c>
      <c r="Q683" s="121" t="s">
        <v>1021</v>
      </c>
      <c r="R683" s="122" t="str">
        <f ca="1">IF($C683="S",REFERENCIA.Descricao,"(digite a descrição aqui)")</f>
        <v>(abra o arquivo 'Referência 02-2025.xlsm)</v>
      </c>
      <c r="S683" s="123" t="str">
        <f ca="1">REFERENCIA.Unidade</f>
        <v>-</v>
      </c>
      <c r="T683" s="124">
        <f ca="1">OFFSET(CÁLCULO!H$15,ROW($T683)-ROW(T$15),0)</f>
        <v>1</v>
      </c>
      <c r="U683" s="125">
        <f t="shared" ca="1" si="172"/>
        <v>0</v>
      </c>
      <c r="V683" s="126" t="s">
        <v>156</v>
      </c>
      <c r="W683" s="124">
        <f ca="1">IF($C683="S",ROUND(IF(TIPOORCAMENTO="Proposto",ORÇAMENTO.CustoUnitario*(1+$AH683),ORÇAMENTO.PrecoUnitarioLicitado),15-13*$AF$10),0)</f>
        <v>0</v>
      </c>
      <c r="X683" s="127">
        <f ca="1">IF($C683="S",IF(Import.TipoArredondamento&lt;&gt;"TransfereGOV",VTOTAL1,SUM(OFFSET(CÁLCULO!$AA$15,ROW($X683)-ROW($X$15),1):OFFSET(CÁLCULO!$AL$15,ROW($X683)-ROW($X$15),-1))),IF($C683=0,0,ROUND(SomaAgrup,15-13*$AF$11)))</f>
        <v>0</v>
      </c>
      <c r="Y683" s="128" t="s">
        <v>245</v>
      </c>
      <c r="Z683" t="str">
        <f t="shared" ca="1" si="156"/>
        <v/>
      </c>
      <c r="AA683" s="129">
        <f ca="1">IF($C683="S",IF($Z683="CP",$X683,IF($Z683="RA",(($X683)*QCI!$AA$3),0)),SomaAgrup)</f>
        <v>0</v>
      </c>
      <c r="AB683" s="130">
        <f t="shared" ca="1" si="169"/>
        <v>0</v>
      </c>
      <c r="AC683" s="131" t="str">
        <f ca="1">IF($N683="","",IF(ORÇAMENTO.Descricao="","DESCRIÇÃO",IF(AND($C683="S",ORÇAMENTO.Unidade=""),"UNIDADE",IF($X683&lt;0,"VALOR NEGATIVO",IF(OR(AND(TIPOORCAMENTO="Proposto",$AG683&lt;&gt;"",$AG683&gt;0,ORÇAMENTO.CustoUnitario&gt;$AG683),AND(TIPOORCAMENTO="LICITADO",ORÇAMENTO.PrecoUnitarioLicitado&gt;$AN683)),"ACIMA REF.","")))))</f>
        <v/>
      </c>
      <c r="AD683" t="str">
        <f ca="1">IF(C683&lt;=CRONO.NivelExibicao,MAX($AD$15:OFFSET(AD683,-1,0))+IF($C683&lt;&gt;1,1,MAX(1,COUNTIF(QCI!$A$13:$A$24,OFFSET($E683,-1,0)))),"")</f>
        <v/>
      </c>
      <c r="AE683" s="7" t="str">
        <f ca="1">IF(AND($C683="S",ORÇAMENTO.CodBarra&lt;&gt;""),IF(ORÇAMENTO.Fonte="",ORÇAMENTO.CodBarra,CONCATENATE(ORÇAMENTO.Fonte," ",ORÇAMENTO.CodBarra)))</f>
        <v xml:space="preserve">Composição FNDE 39 </v>
      </c>
      <c r="AF683" s="13" t="str">
        <f ca="1">IF(ISERROR(INDIRECT(ORÇAMENTO.BancoRef)),"(abra o arquivo 'Referência "&amp;Excel_BuiltIn_Database&amp;".xlsm)",IF(OR($C683&lt;&gt;"S",ORÇAMENTO.CodBarra=""),"(Sem Código)",IF(ISERROR(MATCH($AE683,INDIRECT(ORÇAMENTO.BancoRef),0)),"(Código não identificado nas referências)",MATCH($AE683,INDIRECT(ORÇAMENTO.BancoRef),0))))</f>
        <v>(abra o arquivo 'Referência 02-2025.xlsm)</v>
      </c>
      <c r="AG683" s="498">
        <f ca="1">ROUND(IF(DESONERACAO="sim",REFERENCIA.Desonerado,REFERENCIA.NaoDesonerado),2)</f>
        <v>0</v>
      </c>
      <c r="AH683" s="499">
        <f t="shared" ca="1" si="170"/>
        <v>0.22470000000000001</v>
      </c>
      <c r="AJ683" s="501">
        <v>1</v>
      </c>
      <c r="AL683" s="527"/>
      <c r="AM683" s="381">
        <f t="shared" ca="1" si="159"/>
        <v>0</v>
      </c>
      <c r="AN683" s="566">
        <f t="shared" ca="1" si="171"/>
        <v>0</v>
      </c>
    </row>
    <row r="684" spans="1:40" ht="25.5" x14ac:dyDescent="0.2">
      <c r="A684" t="str">
        <f t="shared" si="168"/>
        <v>S</v>
      </c>
      <c r="B684">
        <f t="shared" ca="1" si="146"/>
        <v>2</v>
      </c>
      <c r="C684" t="str">
        <f t="shared" ca="1" si="147"/>
        <v>S</v>
      </c>
      <c r="D684">
        <f t="shared" ca="1" si="148"/>
        <v>0</v>
      </c>
      <c r="E684">
        <f ca="1">IF($C684=1,OFFSET(E684,-1,0)+MAX(1,COUNTIF(QCI!$A$13:$A$24,OFFSET(ORÇAMENTO!E684,-1,0))),OFFSET(E684,-1,0))</f>
        <v>1</v>
      </c>
      <c r="F684">
        <f t="shared" ca="1" si="149"/>
        <v>23</v>
      </c>
      <c r="G684">
        <f t="shared" ca="1" si="150"/>
        <v>0</v>
      </c>
      <c r="H684">
        <f t="shared" ca="1" si="151"/>
        <v>0</v>
      </c>
      <c r="I684">
        <f t="shared" ca="1" si="152"/>
        <v>0</v>
      </c>
      <c r="J684">
        <f t="shared" ca="1" si="173"/>
        <v>0</v>
      </c>
      <c r="K684">
        <f ca="1">IF(OR($C684="S",$C684=0),0,MATCH(OFFSET($D684,0,$C684)+IF($C684&lt;&gt;1,1,COUNTIF(QCI!$A$13:$A$24,ORÇAMENTO!E684)),OFFSET($D684,1,$C684,ROW($C$747)-ROW($C684)),0))</f>
        <v>0</v>
      </c>
      <c r="L684" s="116" t="str">
        <f t="shared" ca="1" si="153"/>
        <v/>
      </c>
      <c r="M684" s="117" t="s">
        <v>199</v>
      </c>
      <c r="N684" s="118" t="str">
        <f t="shared" ca="1" si="154"/>
        <v>Serviço</v>
      </c>
      <c r="O684" s="119" t="str">
        <f t="shared" ca="1" si="155"/>
        <v>-</v>
      </c>
      <c r="P684" s="120" t="s">
        <v>712</v>
      </c>
      <c r="Q684" s="121" t="s">
        <v>997</v>
      </c>
      <c r="R684" s="122" t="str">
        <f ca="1">IF($C684="S",REFERENCIA.Descricao,"(digite a descrição aqui)")</f>
        <v>(abra o arquivo 'Referência 02-2025.xlsm)</v>
      </c>
      <c r="S684" s="123" t="str">
        <f ca="1">REFERENCIA.Unidade</f>
        <v>-</v>
      </c>
      <c r="T684" s="124">
        <f ca="1">OFFSET(CÁLCULO!H$15,ROW($T684)-ROW(T$15),0)</f>
        <v>64.53</v>
      </c>
      <c r="U684" s="125">
        <f t="shared" ca="1" si="172"/>
        <v>0</v>
      </c>
      <c r="V684" s="126" t="s">
        <v>156</v>
      </c>
      <c r="W684" s="124">
        <f ca="1">IF($C684="S",ROUND(IF(TIPOORCAMENTO="Proposto",ORÇAMENTO.CustoUnitario*(1+$AH684),ORÇAMENTO.PrecoUnitarioLicitado),15-13*$AF$10),0)</f>
        <v>0</v>
      </c>
      <c r="X684" s="127">
        <f ca="1">IF($C684="S",IF(Import.TipoArredondamento&lt;&gt;"TransfereGOV",VTOTAL1,SUM(OFFSET(CÁLCULO!$AA$15,ROW($X684)-ROW($X$15),1):OFFSET(CÁLCULO!$AL$15,ROW($X684)-ROW($X$15),-1))),IF($C684=0,0,ROUND(SomaAgrup,15-13*$AF$11)))</f>
        <v>0</v>
      </c>
      <c r="Y684" s="128" t="s">
        <v>245</v>
      </c>
      <c r="Z684" t="str">
        <f t="shared" ca="1" si="156"/>
        <v/>
      </c>
      <c r="AA684" s="129">
        <f ca="1">IF($C684="S",IF($Z684="CP",$X684,IF($Z684="RA",(($X684)*QCI!$AA$3),0)),SomaAgrup)</f>
        <v>0</v>
      </c>
      <c r="AB684" s="130">
        <f t="shared" ca="1" si="169"/>
        <v>0</v>
      </c>
      <c r="AC684" s="131" t="str">
        <f ca="1">IF($N684="","",IF(ORÇAMENTO.Descricao="","DESCRIÇÃO",IF(AND($C684="S",ORÇAMENTO.Unidade=""),"UNIDADE",IF($X684&lt;0,"VALOR NEGATIVO",IF(OR(AND(TIPOORCAMENTO="Proposto",$AG684&lt;&gt;"",$AG684&gt;0,ORÇAMENTO.CustoUnitario&gt;$AG684),AND(TIPOORCAMENTO="LICITADO",ORÇAMENTO.PrecoUnitarioLicitado&gt;$AN684)),"ACIMA REF.","")))))</f>
        <v/>
      </c>
      <c r="AD684" t="str">
        <f ca="1">IF(C684&lt;=CRONO.NivelExibicao,MAX($AD$15:OFFSET(AD684,-1,0))+IF($C684&lt;&gt;1,1,MAX(1,COUNTIF(QCI!$A$13:$A$24,OFFSET($E684,-1,0)))),"")</f>
        <v/>
      </c>
      <c r="AE684" s="7" t="str">
        <f ca="1">IF(AND($C684="S",ORÇAMENTO.CodBarra&lt;&gt;""),IF(ORÇAMENTO.Fonte="",ORÇAMENTO.CodBarra,CONCATENATE(ORÇAMENTO.Fonte," ",ORÇAMENTO.CodBarra)))</f>
        <v>Composição FNDE 40</v>
      </c>
      <c r="AF684" s="13" t="str">
        <f ca="1">IF(ISERROR(INDIRECT(ORÇAMENTO.BancoRef)),"(abra o arquivo 'Referência "&amp;Excel_BuiltIn_Database&amp;".xlsm)",IF(OR($C684&lt;&gt;"S",ORÇAMENTO.CodBarra=""),"(Sem Código)",IF(ISERROR(MATCH($AE684,INDIRECT(ORÇAMENTO.BancoRef),0)),"(Código não identificado nas referências)",MATCH($AE684,INDIRECT(ORÇAMENTO.BancoRef),0))))</f>
        <v>(abra o arquivo 'Referência 02-2025.xlsm)</v>
      </c>
      <c r="AG684" s="498">
        <f ca="1">ROUND(IF(DESONERACAO="sim",REFERENCIA.Desonerado,REFERENCIA.NaoDesonerado),2)</f>
        <v>0</v>
      </c>
      <c r="AH684" s="499">
        <f t="shared" ca="1" si="170"/>
        <v>0.22470000000000001</v>
      </c>
      <c r="AJ684" s="501">
        <v>64.53</v>
      </c>
      <c r="AL684" s="527"/>
      <c r="AM684" s="381">
        <f t="shared" ca="1" si="159"/>
        <v>0</v>
      </c>
      <c r="AN684" s="566">
        <f t="shared" ca="1" si="171"/>
        <v>0</v>
      </c>
    </row>
    <row r="685" spans="1:40" ht="25.5" x14ac:dyDescent="0.2">
      <c r="A685" t="str">
        <f t="shared" si="168"/>
        <v>S</v>
      </c>
      <c r="B685">
        <f t="shared" ca="1" si="146"/>
        <v>2</v>
      </c>
      <c r="C685" t="str">
        <f t="shared" ca="1" si="147"/>
        <v>S</v>
      </c>
      <c r="D685">
        <f t="shared" ca="1" si="148"/>
        <v>0</v>
      </c>
      <c r="E685">
        <f ca="1">IF($C685=1,OFFSET(E685,-1,0)+MAX(1,COUNTIF(QCI!$A$13:$A$24,OFFSET(ORÇAMENTO!E685,-1,0))),OFFSET(E685,-1,0))</f>
        <v>1</v>
      </c>
      <c r="F685">
        <f t="shared" ca="1" si="149"/>
        <v>23</v>
      </c>
      <c r="G685">
        <f t="shared" ca="1" si="150"/>
        <v>0</v>
      </c>
      <c r="H685">
        <f t="shared" ca="1" si="151"/>
        <v>0</v>
      </c>
      <c r="I685">
        <f t="shared" ca="1" si="152"/>
        <v>0</v>
      </c>
      <c r="J685">
        <f t="shared" ca="1" si="173"/>
        <v>0</v>
      </c>
      <c r="K685">
        <f ca="1">IF(OR($C685="S",$C685=0),0,MATCH(OFFSET($D685,0,$C685)+IF($C685&lt;&gt;1,1,COUNTIF(QCI!$A$13:$A$24,ORÇAMENTO!E685)),OFFSET($D685,1,$C685,ROW($C$747)-ROW($C685)),0))</f>
        <v>0</v>
      </c>
      <c r="L685" s="116" t="str">
        <f t="shared" ca="1" si="153"/>
        <v/>
      </c>
      <c r="M685" s="117" t="s">
        <v>199</v>
      </c>
      <c r="N685" s="118" t="str">
        <f t="shared" ca="1" si="154"/>
        <v>Serviço</v>
      </c>
      <c r="O685" s="119" t="str">
        <f t="shared" ca="1" si="155"/>
        <v>-</v>
      </c>
      <c r="P685" s="120" t="s">
        <v>712</v>
      </c>
      <c r="Q685" s="121" t="s">
        <v>870</v>
      </c>
      <c r="R685" s="122" t="str">
        <f ca="1">IF($C685="S",REFERENCIA.Descricao,"(digite a descrição aqui)")</f>
        <v>(abra o arquivo 'Referência 02-2025.xlsm)</v>
      </c>
      <c r="S685" s="123" t="str">
        <f ca="1">REFERENCIA.Unidade</f>
        <v>-</v>
      </c>
      <c r="T685" s="124">
        <f ca="1">OFFSET(CÁLCULO!H$15,ROW($T685)-ROW(T$15),0)</f>
        <v>2.21</v>
      </c>
      <c r="U685" s="125">
        <f t="shared" ca="1" si="172"/>
        <v>0</v>
      </c>
      <c r="V685" s="126" t="s">
        <v>156</v>
      </c>
      <c r="W685" s="124">
        <f ca="1">IF($C685="S",ROUND(IF(TIPOORCAMENTO="Proposto",ORÇAMENTO.CustoUnitario*(1+$AH685),ORÇAMENTO.PrecoUnitarioLicitado),15-13*$AF$10),0)</f>
        <v>0</v>
      </c>
      <c r="X685" s="127">
        <f ca="1">IF($C685="S",IF(Import.TipoArredondamento&lt;&gt;"TransfereGOV",VTOTAL1,SUM(OFFSET(CÁLCULO!$AA$15,ROW($X685)-ROW($X$15),1):OFFSET(CÁLCULO!$AL$15,ROW($X685)-ROW($X$15),-1))),IF($C685=0,0,ROUND(SomaAgrup,15-13*$AF$11)))</f>
        <v>0</v>
      </c>
      <c r="Y685" s="128" t="s">
        <v>245</v>
      </c>
      <c r="Z685" t="str">
        <f t="shared" ca="1" si="156"/>
        <v/>
      </c>
      <c r="AA685" s="129">
        <f ca="1">IF($C685="S",IF($Z685="CP",$X685,IF($Z685="RA",(($X685)*QCI!$AA$3),0)),SomaAgrup)</f>
        <v>0</v>
      </c>
      <c r="AB685" s="130">
        <f t="shared" ca="1" si="169"/>
        <v>0</v>
      </c>
      <c r="AC685" s="131" t="str">
        <f ca="1">IF($N685="","",IF(ORÇAMENTO.Descricao="","DESCRIÇÃO",IF(AND($C685="S",ORÇAMENTO.Unidade=""),"UNIDADE",IF($X685&lt;0,"VALOR NEGATIVO",IF(OR(AND(TIPOORCAMENTO="Proposto",$AG685&lt;&gt;"",$AG685&gt;0,ORÇAMENTO.CustoUnitario&gt;$AG685),AND(TIPOORCAMENTO="LICITADO",ORÇAMENTO.PrecoUnitarioLicitado&gt;$AN685)),"ACIMA REF.","")))))</f>
        <v/>
      </c>
      <c r="AD685" t="str">
        <f ca="1">IF(C685&lt;=CRONO.NivelExibicao,MAX($AD$15:OFFSET(AD685,-1,0))+IF($C685&lt;&gt;1,1,MAX(1,COUNTIF(QCI!$A$13:$A$24,OFFSET($E685,-1,0)))),"")</f>
        <v/>
      </c>
      <c r="AE685" s="7" t="str">
        <f ca="1">IF(AND($C685="S",ORÇAMENTO.CodBarra&lt;&gt;""),IF(ORÇAMENTO.Fonte="",ORÇAMENTO.CodBarra,CONCATENATE(ORÇAMENTO.Fonte," ",ORÇAMENTO.CodBarra)))</f>
        <v>Composição FNDE 46</v>
      </c>
      <c r="AF685" s="13" t="str">
        <f ca="1">IF(ISERROR(INDIRECT(ORÇAMENTO.BancoRef)),"(abra o arquivo 'Referência "&amp;Excel_BuiltIn_Database&amp;".xlsm)",IF(OR($C685&lt;&gt;"S",ORÇAMENTO.CodBarra=""),"(Sem Código)",IF(ISERROR(MATCH($AE685,INDIRECT(ORÇAMENTO.BancoRef),0)),"(Código não identificado nas referências)",MATCH($AE685,INDIRECT(ORÇAMENTO.BancoRef),0))))</f>
        <v>(abra o arquivo 'Referência 02-2025.xlsm)</v>
      </c>
      <c r="AG685" s="498">
        <f ca="1">ROUND(IF(DESONERACAO="sim",REFERENCIA.Desonerado,REFERENCIA.NaoDesonerado),2)</f>
        <v>0</v>
      </c>
      <c r="AH685" s="499">
        <f t="shared" ca="1" si="170"/>
        <v>0.22470000000000001</v>
      </c>
      <c r="AJ685" s="501">
        <v>2.21</v>
      </c>
      <c r="AL685" s="527"/>
      <c r="AM685" s="381">
        <f t="shared" ca="1" si="159"/>
        <v>0</v>
      </c>
      <c r="AN685" s="566">
        <f t="shared" ca="1" si="171"/>
        <v>0</v>
      </c>
    </row>
    <row r="686" spans="1:40" ht="25.5" x14ac:dyDescent="0.2">
      <c r="A686" t="str">
        <f t="shared" si="168"/>
        <v>S</v>
      </c>
      <c r="B686">
        <f t="shared" ca="1" si="146"/>
        <v>2</v>
      </c>
      <c r="C686" t="str">
        <f t="shared" ca="1" si="147"/>
        <v>S</v>
      </c>
      <c r="D686">
        <f t="shared" ca="1" si="148"/>
        <v>0</v>
      </c>
      <c r="E686">
        <f ca="1">IF($C686=1,OFFSET(E686,-1,0)+MAX(1,COUNTIF(QCI!$A$13:$A$24,OFFSET(ORÇAMENTO!E686,-1,0))),OFFSET(E686,-1,0))</f>
        <v>1</v>
      </c>
      <c r="F686">
        <f t="shared" ca="1" si="149"/>
        <v>23</v>
      </c>
      <c r="G686">
        <f t="shared" ca="1" si="150"/>
        <v>0</v>
      </c>
      <c r="H686">
        <f t="shared" ca="1" si="151"/>
        <v>0</v>
      </c>
      <c r="I686">
        <f t="shared" ca="1" si="152"/>
        <v>0</v>
      </c>
      <c r="J686">
        <f t="shared" ca="1" si="173"/>
        <v>0</v>
      </c>
      <c r="K686">
        <f ca="1">IF(OR($C686="S",$C686=0),0,MATCH(OFFSET($D686,0,$C686)+IF($C686&lt;&gt;1,1,COUNTIF(QCI!$A$13:$A$24,ORÇAMENTO!E686)),OFFSET($D686,1,$C686,ROW($C$747)-ROW($C686)),0))</f>
        <v>0</v>
      </c>
      <c r="L686" s="116" t="str">
        <f t="shared" ca="1" si="153"/>
        <v/>
      </c>
      <c r="M686" s="117" t="s">
        <v>199</v>
      </c>
      <c r="N686" s="118" t="str">
        <f t="shared" ca="1" si="154"/>
        <v>Serviço</v>
      </c>
      <c r="O686" s="119" t="str">
        <f t="shared" ca="1" si="155"/>
        <v>-</v>
      </c>
      <c r="P686" s="120" t="s">
        <v>712</v>
      </c>
      <c r="Q686" s="121" t="s">
        <v>998</v>
      </c>
      <c r="R686" s="122" t="str">
        <f ca="1">IF($C686="S",REFERENCIA.Descricao,"(digite a descrição aqui)")</f>
        <v>(abra o arquivo 'Referência 02-2025.xlsm)</v>
      </c>
      <c r="S686" s="123" t="str">
        <f ca="1">REFERENCIA.Unidade</f>
        <v>-</v>
      </c>
      <c r="T686" s="124">
        <f ca="1">OFFSET(CÁLCULO!H$15,ROW($T686)-ROW(T$15),0)</f>
        <v>53.79</v>
      </c>
      <c r="U686" s="125">
        <f t="shared" ca="1" si="172"/>
        <v>0</v>
      </c>
      <c r="V686" s="126" t="s">
        <v>156</v>
      </c>
      <c r="W686" s="124">
        <f ca="1">IF($C686="S",ROUND(IF(TIPOORCAMENTO="Proposto",ORÇAMENTO.CustoUnitario*(1+$AH686),ORÇAMENTO.PrecoUnitarioLicitado),15-13*$AF$10),0)</f>
        <v>0</v>
      </c>
      <c r="X686" s="127">
        <f ca="1">IF($C686="S",IF(Import.TipoArredondamento&lt;&gt;"TransfereGOV",VTOTAL1,SUM(OFFSET(CÁLCULO!$AA$15,ROW($X686)-ROW($X$15),1):OFFSET(CÁLCULO!$AL$15,ROW($X686)-ROW($X$15),-1))),IF($C686=0,0,ROUND(SomaAgrup,15-13*$AF$11)))</f>
        <v>0</v>
      </c>
      <c r="Y686" s="128" t="s">
        <v>245</v>
      </c>
      <c r="Z686" t="str">
        <f t="shared" ca="1" si="156"/>
        <v/>
      </c>
      <c r="AA686" s="129">
        <f ca="1">IF($C686="S",IF($Z686="CP",$X686,IF($Z686="RA",(($X686)*QCI!$AA$3),0)),SomaAgrup)</f>
        <v>0</v>
      </c>
      <c r="AB686" s="130">
        <f t="shared" ca="1" si="169"/>
        <v>0</v>
      </c>
      <c r="AC686" s="131" t="str">
        <f ca="1">IF($N686="","",IF(ORÇAMENTO.Descricao="","DESCRIÇÃO",IF(AND($C686="S",ORÇAMENTO.Unidade=""),"UNIDADE",IF($X686&lt;0,"VALOR NEGATIVO",IF(OR(AND(TIPOORCAMENTO="Proposto",$AG686&lt;&gt;"",$AG686&gt;0,ORÇAMENTO.CustoUnitario&gt;$AG686),AND(TIPOORCAMENTO="LICITADO",ORÇAMENTO.PrecoUnitarioLicitado&gt;$AN686)),"ACIMA REF.","")))))</f>
        <v/>
      </c>
      <c r="AD686" t="str">
        <f ca="1">IF(C686&lt;=CRONO.NivelExibicao,MAX($AD$15:OFFSET(AD686,-1,0))+IF($C686&lt;&gt;1,1,MAX(1,COUNTIF(QCI!$A$13:$A$24,OFFSET($E686,-1,0)))),"")</f>
        <v/>
      </c>
      <c r="AE686" s="7" t="str">
        <f ca="1">IF(AND($C686="S",ORÇAMENTO.CodBarra&lt;&gt;""),IF(ORÇAMENTO.Fonte="",ORÇAMENTO.CodBarra,CONCATENATE(ORÇAMENTO.Fonte," ",ORÇAMENTO.CodBarra)))</f>
        <v>Composição FNDE 47</v>
      </c>
      <c r="AF686" s="13" t="str">
        <f ca="1">IF(ISERROR(INDIRECT(ORÇAMENTO.BancoRef)),"(abra o arquivo 'Referência "&amp;Excel_BuiltIn_Database&amp;".xlsm)",IF(OR($C686&lt;&gt;"S",ORÇAMENTO.CodBarra=""),"(Sem Código)",IF(ISERROR(MATCH($AE686,INDIRECT(ORÇAMENTO.BancoRef),0)),"(Código não identificado nas referências)",MATCH($AE686,INDIRECT(ORÇAMENTO.BancoRef),0))))</f>
        <v>(abra o arquivo 'Referência 02-2025.xlsm)</v>
      </c>
      <c r="AG686" s="498">
        <f ca="1">ROUND(IF(DESONERACAO="sim",REFERENCIA.Desonerado,REFERENCIA.NaoDesonerado),2)</f>
        <v>0</v>
      </c>
      <c r="AH686" s="499">
        <f t="shared" ca="1" si="170"/>
        <v>0.22470000000000001</v>
      </c>
      <c r="AJ686" s="501">
        <v>53.79</v>
      </c>
      <c r="AL686" s="527"/>
      <c r="AM686" s="381">
        <f t="shared" ca="1" si="159"/>
        <v>0</v>
      </c>
      <c r="AN686" s="566">
        <f t="shared" ca="1" si="171"/>
        <v>0</v>
      </c>
    </row>
    <row r="687" spans="1:40" ht="25.5" x14ac:dyDescent="0.2">
      <c r="A687" t="str">
        <f t="shared" si="168"/>
        <v>S</v>
      </c>
      <c r="B687">
        <f t="shared" ca="1" si="146"/>
        <v>2</v>
      </c>
      <c r="C687" t="str">
        <f t="shared" ca="1" si="147"/>
        <v>S</v>
      </c>
      <c r="D687">
        <f t="shared" ca="1" si="148"/>
        <v>0</v>
      </c>
      <c r="E687">
        <f ca="1">IF($C687=1,OFFSET(E687,-1,0)+MAX(1,COUNTIF(QCI!$A$13:$A$24,OFFSET(ORÇAMENTO!E687,-1,0))),OFFSET(E687,-1,0))</f>
        <v>1</v>
      </c>
      <c r="F687">
        <f t="shared" ca="1" si="149"/>
        <v>23</v>
      </c>
      <c r="G687">
        <f t="shared" ca="1" si="150"/>
        <v>0</v>
      </c>
      <c r="H687">
        <f t="shared" ca="1" si="151"/>
        <v>0</v>
      </c>
      <c r="I687">
        <f t="shared" ca="1" si="152"/>
        <v>0</v>
      </c>
      <c r="J687">
        <f t="shared" ca="1" si="173"/>
        <v>0</v>
      </c>
      <c r="K687">
        <f ca="1">IF(OR($C687="S",$C687=0),0,MATCH(OFFSET($D687,0,$C687)+IF($C687&lt;&gt;1,1,COUNTIF(QCI!$A$13:$A$24,ORÇAMENTO!E687)),OFFSET($D687,1,$C687,ROW($C$747)-ROW($C687)),0))</f>
        <v>0</v>
      </c>
      <c r="L687" s="116" t="str">
        <f t="shared" ca="1" si="153"/>
        <v/>
      </c>
      <c r="M687" s="117" t="s">
        <v>199</v>
      </c>
      <c r="N687" s="118" t="str">
        <f t="shared" ca="1" si="154"/>
        <v>Serviço</v>
      </c>
      <c r="O687" s="119" t="str">
        <f t="shared" ca="1" si="155"/>
        <v>-</v>
      </c>
      <c r="P687" s="120" t="s">
        <v>712</v>
      </c>
      <c r="Q687" s="121" t="s">
        <v>871</v>
      </c>
      <c r="R687" s="122" t="str">
        <f ca="1">IF($C687="S",REFERENCIA.Descricao,"(digite a descrição aqui)")</f>
        <v>(abra o arquivo 'Referência 02-2025.xlsm)</v>
      </c>
      <c r="S687" s="123" t="str">
        <f ca="1">REFERENCIA.Unidade</f>
        <v>-</v>
      </c>
      <c r="T687" s="124">
        <f ca="1">OFFSET(CÁLCULO!H$15,ROW($T687)-ROW(T$15),0)</f>
        <v>96.67</v>
      </c>
      <c r="U687" s="125">
        <f t="shared" ca="1" si="172"/>
        <v>0</v>
      </c>
      <c r="V687" s="126" t="s">
        <v>156</v>
      </c>
      <c r="W687" s="124">
        <f ca="1">IF($C687="S",ROUND(IF(TIPOORCAMENTO="Proposto",ORÇAMENTO.CustoUnitario*(1+$AH687),ORÇAMENTO.PrecoUnitarioLicitado),15-13*$AF$10),0)</f>
        <v>0</v>
      </c>
      <c r="X687" s="127">
        <f ca="1">IF($C687="S",IF(Import.TipoArredondamento&lt;&gt;"TransfereGOV",VTOTAL1,SUM(OFFSET(CÁLCULO!$AA$15,ROW($X687)-ROW($X$15),1):OFFSET(CÁLCULO!$AL$15,ROW($X687)-ROW($X$15),-1))),IF($C687=0,0,ROUND(SomaAgrup,15-13*$AF$11)))</f>
        <v>0</v>
      </c>
      <c r="Y687" s="128" t="s">
        <v>245</v>
      </c>
      <c r="Z687" t="str">
        <f t="shared" ca="1" si="156"/>
        <v/>
      </c>
      <c r="AA687" s="129">
        <f ca="1">IF($C687="S",IF($Z687="CP",$X687,IF($Z687="RA",(($X687)*QCI!$AA$3),0)),SomaAgrup)</f>
        <v>0</v>
      </c>
      <c r="AB687" s="130">
        <f t="shared" ca="1" si="169"/>
        <v>0</v>
      </c>
      <c r="AC687" s="131" t="str">
        <f ca="1">IF($N687="","",IF(ORÇAMENTO.Descricao="","DESCRIÇÃO",IF(AND($C687="S",ORÇAMENTO.Unidade=""),"UNIDADE",IF($X687&lt;0,"VALOR NEGATIVO",IF(OR(AND(TIPOORCAMENTO="Proposto",$AG687&lt;&gt;"",$AG687&gt;0,ORÇAMENTO.CustoUnitario&gt;$AG687),AND(TIPOORCAMENTO="LICITADO",ORÇAMENTO.PrecoUnitarioLicitado&gt;$AN687)),"ACIMA REF.","")))))</f>
        <v/>
      </c>
      <c r="AD687" t="str">
        <f ca="1">IF(C687&lt;=CRONO.NivelExibicao,MAX($AD$15:OFFSET(AD687,-1,0))+IF($C687&lt;&gt;1,1,MAX(1,COUNTIF(QCI!$A$13:$A$24,OFFSET($E687,-1,0)))),"")</f>
        <v/>
      </c>
      <c r="AE687" s="7" t="str">
        <f ca="1">IF(AND($C687="S",ORÇAMENTO.CodBarra&lt;&gt;""),IF(ORÇAMENTO.Fonte="",ORÇAMENTO.CodBarra,CONCATENATE(ORÇAMENTO.Fonte," ",ORÇAMENTO.CodBarra)))</f>
        <v>Composição FNDE 48</v>
      </c>
      <c r="AF687" s="13" t="str">
        <f ca="1">IF(ISERROR(INDIRECT(ORÇAMENTO.BancoRef)),"(abra o arquivo 'Referência "&amp;Excel_BuiltIn_Database&amp;".xlsm)",IF(OR($C687&lt;&gt;"S",ORÇAMENTO.CodBarra=""),"(Sem Código)",IF(ISERROR(MATCH($AE687,INDIRECT(ORÇAMENTO.BancoRef),0)),"(Código não identificado nas referências)",MATCH($AE687,INDIRECT(ORÇAMENTO.BancoRef),0))))</f>
        <v>(abra o arquivo 'Referência 02-2025.xlsm)</v>
      </c>
      <c r="AG687" s="498">
        <f ca="1">ROUND(IF(DESONERACAO="sim",REFERENCIA.Desonerado,REFERENCIA.NaoDesonerado),2)</f>
        <v>0</v>
      </c>
      <c r="AH687" s="499">
        <f t="shared" ca="1" si="170"/>
        <v>0.22470000000000001</v>
      </c>
      <c r="AJ687" s="501">
        <v>96.67</v>
      </c>
      <c r="AL687" s="527"/>
      <c r="AM687" s="381">
        <f t="shared" ca="1" si="159"/>
        <v>0</v>
      </c>
      <c r="AN687" s="566">
        <f t="shared" ca="1" si="171"/>
        <v>0</v>
      </c>
    </row>
    <row r="688" spans="1:40" ht="25.5" x14ac:dyDescent="0.2">
      <c r="A688" t="str">
        <f t="shared" si="168"/>
        <v>S</v>
      </c>
      <c r="B688">
        <f t="shared" ca="1" si="146"/>
        <v>2</v>
      </c>
      <c r="C688" t="str">
        <f t="shared" ca="1" si="147"/>
        <v>S</v>
      </c>
      <c r="D688">
        <f t="shared" ca="1" si="148"/>
        <v>0</v>
      </c>
      <c r="E688">
        <f ca="1">IF($C688=1,OFFSET(E688,-1,0)+MAX(1,COUNTIF(QCI!$A$13:$A$24,OFFSET(ORÇAMENTO!E688,-1,0))),OFFSET(E688,-1,0))</f>
        <v>1</v>
      </c>
      <c r="F688">
        <f t="shared" ca="1" si="149"/>
        <v>23</v>
      </c>
      <c r="G688">
        <f t="shared" ca="1" si="150"/>
        <v>0</v>
      </c>
      <c r="H688">
        <f t="shared" ca="1" si="151"/>
        <v>0</v>
      </c>
      <c r="I688">
        <f t="shared" ca="1" si="152"/>
        <v>0</v>
      </c>
      <c r="J688">
        <f t="shared" ca="1" si="173"/>
        <v>0</v>
      </c>
      <c r="K688">
        <f ca="1">IF(OR($C688="S",$C688=0),0,MATCH(OFFSET($D688,0,$C688)+IF($C688&lt;&gt;1,1,COUNTIF(QCI!$A$13:$A$24,ORÇAMENTO!E688)),OFFSET($D688,1,$C688,ROW($C$747)-ROW($C688)),0))</f>
        <v>0</v>
      </c>
      <c r="L688" s="116" t="str">
        <f t="shared" ca="1" si="153"/>
        <v/>
      </c>
      <c r="M688" s="117" t="s">
        <v>199</v>
      </c>
      <c r="N688" s="118" t="str">
        <f t="shared" ca="1" si="154"/>
        <v>Serviço</v>
      </c>
      <c r="O688" s="119" t="str">
        <f t="shared" ca="1" si="155"/>
        <v>-</v>
      </c>
      <c r="P688" s="120" t="s">
        <v>247</v>
      </c>
      <c r="Q688" s="121" t="s">
        <v>710</v>
      </c>
      <c r="R688" s="122" t="str">
        <f ca="1">IF($C688="S",REFERENCIA.Descricao,"(digite a descrição aqui)")</f>
        <v>(abra o arquivo 'Referência 02-2025.xlsm)</v>
      </c>
      <c r="S688" s="123" t="str">
        <f ca="1">REFERENCIA.Unidade</f>
        <v>-</v>
      </c>
      <c r="T688" s="124">
        <f ca="1">OFFSET(CÁLCULO!H$15,ROW($T688)-ROW(T$15),0)</f>
        <v>135.6</v>
      </c>
      <c r="U688" s="125">
        <f t="shared" ca="1" si="172"/>
        <v>0</v>
      </c>
      <c r="V688" s="126" t="s">
        <v>156</v>
      </c>
      <c r="W688" s="124">
        <f ca="1">IF($C688="S",ROUND(IF(TIPOORCAMENTO="Proposto",ORÇAMENTO.CustoUnitario*(1+$AH688),ORÇAMENTO.PrecoUnitarioLicitado),15-13*$AF$10),0)</f>
        <v>0</v>
      </c>
      <c r="X688" s="127">
        <f ca="1">IF($C688="S",IF(Import.TipoArredondamento&lt;&gt;"TransfereGOV",VTOTAL1,SUM(OFFSET(CÁLCULO!$AA$15,ROW($X688)-ROW($X$15),1):OFFSET(CÁLCULO!$AL$15,ROW($X688)-ROW($X$15),-1))),IF($C688=0,0,ROUND(SomaAgrup,15-13*$AF$11)))</f>
        <v>0</v>
      </c>
      <c r="Y688" s="128" t="s">
        <v>245</v>
      </c>
      <c r="Z688" t="str">
        <f t="shared" ca="1" si="156"/>
        <v/>
      </c>
      <c r="AA688" s="129">
        <f ca="1">IF($C688="S",IF($Z688="CP",$X688,IF($Z688="RA",(($X688)*QCI!$AA$3),0)),SomaAgrup)</f>
        <v>0</v>
      </c>
      <c r="AB688" s="130">
        <f t="shared" ca="1" si="169"/>
        <v>0</v>
      </c>
      <c r="AC688" s="131" t="str">
        <f ca="1">IF($N688="","",IF(ORÇAMENTO.Descricao="","DESCRIÇÃO",IF(AND($C688="S",ORÇAMENTO.Unidade=""),"UNIDADE",IF($X688&lt;0,"VALOR NEGATIVO",IF(OR(AND(TIPOORCAMENTO="Proposto",$AG688&lt;&gt;"",$AG688&gt;0,ORÇAMENTO.CustoUnitario&gt;$AG688),AND(TIPOORCAMENTO="LICITADO",ORÇAMENTO.PrecoUnitarioLicitado&gt;$AN688)),"ACIMA REF.","")))))</f>
        <v/>
      </c>
      <c r="AD688" t="str">
        <f ca="1">IF(C688&lt;=CRONO.NivelExibicao,MAX($AD$15:OFFSET(AD688,-1,0))+IF($C688&lt;&gt;1,1,MAX(1,COUNTIF(QCI!$A$13:$A$24,OFFSET($E688,-1,0)))),"")</f>
        <v/>
      </c>
      <c r="AE688" s="7" t="str">
        <f ca="1">IF(AND($C688="S",ORÇAMENTO.CodBarra&lt;&gt;""),IF(ORÇAMENTO.Fonte="",ORÇAMENTO.CodBarra,CONCATENATE(ORÇAMENTO.Fonte," ",ORÇAMENTO.CodBarra)))</f>
        <v>SINAPI 101965</v>
      </c>
      <c r="AF688" s="13" t="str">
        <f ca="1">IF(ISERROR(INDIRECT(ORÇAMENTO.BancoRef)),"(abra o arquivo 'Referência "&amp;Excel_BuiltIn_Database&amp;".xlsm)",IF(OR($C688&lt;&gt;"S",ORÇAMENTO.CodBarra=""),"(Sem Código)",IF(ISERROR(MATCH($AE688,INDIRECT(ORÇAMENTO.BancoRef),0)),"(Código não identificado nas referências)",MATCH($AE688,INDIRECT(ORÇAMENTO.BancoRef),0))))</f>
        <v>(abra o arquivo 'Referência 02-2025.xlsm)</v>
      </c>
      <c r="AG688" s="498">
        <f ca="1">ROUND(IF(DESONERACAO="sim",REFERENCIA.Desonerado,REFERENCIA.NaoDesonerado),2)</f>
        <v>0</v>
      </c>
      <c r="AH688" s="499">
        <f t="shared" ca="1" si="170"/>
        <v>0.22470000000000001</v>
      </c>
      <c r="AJ688" s="501">
        <v>135.6</v>
      </c>
      <c r="AL688" s="527"/>
      <c r="AM688" s="381">
        <f t="shared" ca="1" si="159"/>
        <v>0</v>
      </c>
      <c r="AN688" s="566">
        <f t="shared" ca="1" si="171"/>
        <v>0</v>
      </c>
    </row>
    <row r="689" spans="1:40" ht="38.25" x14ac:dyDescent="0.2">
      <c r="A689" t="str">
        <f t="shared" si="168"/>
        <v>S</v>
      </c>
      <c r="B689">
        <f t="shared" ca="1" si="146"/>
        <v>2</v>
      </c>
      <c r="C689" t="str">
        <f t="shared" ca="1" si="147"/>
        <v>S</v>
      </c>
      <c r="D689">
        <f t="shared" ca="1" si="148"/>
        <v>0</v>
      </c>
      <c r="E689">
        <f ca="1">IF($C689=1,OFFSET(E689,-1,0)+MAX(1,COUNTIF(QCI!$A$13:$A$24,OFFSET(ORÇAMENTO!E689,-1,0))),OFFSET(E689,-1,0))</f>
        <v>1</v>
      </c>
      <c r="F689">
        <f t="shared" ca="1" si="149"/>
        <v>23</v>
      </c>
      <c r="G689">
        <f t="shared" ca="1" si="150"/>
        <v>0</v>
      </c>
      <c r="H689">
        <f t="shared" ca="1" si="151"/>
        <v>0</v>
      </c>
      <c r="I689">
        <f t="shared" ca="1" si="152"/>
        <v>0</v>
      </c>
      <c r="J689">
        <f t="shared" ca="1" si="173"/>
        <v>0</v>
      </c>
      <c r="K689">
        <f ca="1">IF(OR($C689="S",$C689=0),0,MATCH(OFFSET($D689,0,$C689)+IF($C689&lt;&gt;1,1,COUNTIF(QCI!$A$13:$A$24,ORÇAMENTO!E689)),OFFSET($D689,1,$C689,ROW($C$747)-ROW($C689)),0))</f>
        <v>0</v>
      </c>
      <c r="L689" s="116" t="str">
        <f t="shared" ca="1" si="153"/>
        <v/>
      </c>
      <c r="M689" s="117" t="s">
        <v>199</v>
      </c>
      <c r="N689" s="118" t="str">
        <f t="shared" ca="1" si="154"/>
        <v>Serviço</v>
      </c>
      <c r="O689" s="119" t="str">
        <f t="shared" ca="1" si="155"/>
        <v>-</v>
      </c>
      <c r="P689" s="120" t="s">
        <v>712</v>
      </c>
      <c r="Q689" s="121" t="s">
        <v>1022</v>
      </c>
      <c r="R689" s="122" t="str">
        <f ca="1">IF($C689="S",REFERENCIA.Descricao,"(digite a descrição aqui)")</f>
        <v>(abra o arquivo 'Referência 02-2025.xlsm)</v>
      </c>
      <c r="S689" s="123" t="str">
        <f ca="1">REFERENCIA.Unidade</f>
        <v>-</v>
      </c>
      <c r="T689" s="124">
        <f ca="1">OFFSET(CÁLCULO!H$15,ROW($T689)-ROW(T$15),0)</f>
        <v>8.4499999999999993</v>
      </c>
      <c r="U689" s="125">
        <f t="shared" ca="1" si="172"/>
        <v>0</v>
      </c>
      <c r="V689" s="126" t="s">
        <v>156</v>
      </c>
      <c r="W689" s="124">
        <f ca="1">IF($C689="S",ROUND(IF(TIPOORCAMENTO="Proposto",ORÇAMENTO.CustoUnitario*(1+$AH689),ORÇAMENTO.PrecoUnitarioLicitado),15-13*$AF$10),0)</f>
        <v>0</v>
      </c>
      <c r="X689" s="127">
        <f ca="1">IF($C689="S",IF(Import.TipoArredondamento&lt;&gt;"TransfereGOV",VTOTAL1,SUM(OFFSET(CÁLCULO!$AA$15,ROW($X689)-ROW($X$15),1):OFFSET(CÁLCULO!$AL$15,ROW($X689)-ROW($X$15),-1))),IF($C689=0,0,ROUND(SomaAgrup,15-13*$AF$11)))</f>
        <v>0</v>
      </c>
      <c r="Y689" s="128" t="s">
        <v>245</v>
      </c>
      <c r="Z689" t="str">
        <f t="shared" ca="1" si="156"/>
        <v/>
      </c>
      <c r="AA689" s="129">
        <f ca="1">IF($C689="S",IF($Z689="CP",$X689,IF($Z689="RA",(($X689)*QCI!$AA$3),0)),SomaAgrup)</f>
        <v>0</v>
      </c>
      <c r="AB689" s="130">
        <f t="shared" ca="1" si="169"/>
        <v>0</v>
      </c>
      <c r="AC689" s="131" t="str">
        <f ca="1">IF($N689="","",IF(ORÇAMENTO.Descricao="","DESCRIÇÃO",IF(AND($C689="S",ORÇAMENTO.Unidade=""),"UNIDADE",IF($X689&lt;0,"VALOR NEGATIVO",IF(OR(AND(TIPOORCAMENTO="Proposto",$AG689&lt;&gt;"",$AG689&gt;0,ORÇAMENTO.CustoUnitario&gt;$AG689),AND(TIPOORCAMENTO="LICITADO",ORÇAMENTO.PrecoUnitarioLicitado&gt;$AN689)),"ACIMA REF.","")))))</f>
        <v/>
      </c>
      <c r="AD689" t="str">
        <f ca="1">IF(C689&lt;=CRONO.NivelExibicao,MAX($AD$15:OFFSET(AD689,-1,0))+IF($C689&lt;&gt;1,1,MAX(1,COUNTIF(QCI!$A$13:$A$24,OFFSET($E689,-1,0)))),"")</f>
        <v/>
      </c>
      <c r="AE689" s="7" t="str">
        <f ca="1">IF(AND($C689="S",ORÇAMENTO.CodBarra&lt;&gt;""),IF(ORÇAMENTO.Fonte="",ORÇAMENTO.CodBarra,CONCATENATE(ORÇAMENTO.Fonte," ",ORÇAMENTO.CodBarra)))</f>
        <v xml:space="preserve">Composição FNDE 351 </v>
      </c>
      <c r="AF689" s="13" t="str">
        <f ca="1">IF(ISERROR(INDIRECT(ORÇAMENTO.BancoRef)),"(abra o arquivo 'Referência "&amp;Excel_BuiltIn_Database&amp;".xlsm)",IF(OR($C689&lt;&gt;"S",ORÇAMENTO.CodBarra=""),"(Sem Código)",IF(ISERROR(MATCH($AE689,INDIRECT(ORÇAMENTO.BancoRef),0)),"(Código não identificado nas referências)",MATCH($AE689,INDIRECT(ORÇAMENTO.BancoRef),0))))</f>
        <v>(abra o arquivo 'Referência 02-2025.xlsm)</v>
      </c>
      <c r="AG689" s="498">
        <f ca="1">ROUND(IF(DESONERACAO="sim",REFERENCIA.Desonerado,REFERENCIA.NaoDesonerado),2)</f>
        <v>0</v>
      </c>
      <c r="AH689" s="499">
        <f t="shared" ca="1" si="170"/>
        <v>0.22470000000000001</v>
      </c>
      <c r="AJ689" s="501">
        <v>8.4499999999999993</v>
      </c>
      <c r="AL689" s="527"/>
      <c r="AM689" s="381">
        <f t="shared" ca="1" si="159"/>
        <v>0</v>
      </c>
      <c r="AN689" s="566">
        <f t="shared" ca="1" si="171"/>
        <v>0</v>
      </c>
    </row>
    <row r="690" spans="1:40" ht="38.25" x14ac:dyDescent="0.2">
      <c r="A690" t="str">
        <f t="shared" si="168"/>
        <v>S</v>
      </c>
      <c r="B690">
        <f t="shared" ca="1" si="146"/>
        <v>2</v>
      </c>
      <c r="C690" t="str">
        <f t="shared" ca="1" si="147"/>
        <v>S</v>
      </c>
      <c r="D690">
        <f t="shared" ca="1" si="148"/>
        <v>0</v>
      </c>
      <c r="E690">
        <f ca="1">IF($C690=1,OFFSET(E690,-1,0)+MAX(1,COUNTIF(QCI!$A$13:$A$24,OFFSET(ORÇAMENTO!E690,-1,0))),OFFSET(E690,-1,0))</f>
        <v>1</v>
      </c>
      <c r="F690">
        <f t="shared" ca="1" si="149"/>
        <v>23</v>
      </c>
      <c r="G690">
        <f t="shared" ca="1" si="150"/>
        <v>0</v>
      </c>
      <c r="H690">
        <f t="shared" ca="1" si="151"/>
        <v>0</v>
      </c>
      <c r="I690">
        <f t="shared" ca="1" si="152"/>
        <v>0</v>
      </c>
      <c r="J690">
        <f t="shared" ca="1" si="173"/>
        <v>0</v>
      </c>
      <c r="K690">
        <f ca="1">IF(OR($C690="S",$C690=0),0,MATCH(OFFSET($D690,0,$C690)+IF($C690&lt;&gt;1,1,COUNTIF(QCI!$A$13:$A$24,ORÇAMENTO!E690)),OFFSET($D690,1,$C690,ROW($C$747)-ROW($C690)),0))</f>
        <v>0</v>
      </c>
      <c r="L690" s="116" t="str">
        <f t="shared" ca="1" si="153"/>
        <v/>
      </c>
      <c r="M690" s="117" t="s">
        <v>199</v>
      </c>
      <c r="N690" s="118" t="str">
        <f t="shared" ca="1" si="154"/>
        <v>Serviço</v>
      </c>
      <c r="O690" s="119" t="str">
        <f t="shared" ca="1" si="155"/>
        <v>-</v>
      </c>
      <c r="P690" s="120" t="s">
        <v>247</v>
      </c>
      <c r="Q690" s="121" t="s">
        <v>711</v>
      </c>
      <c r="R690" s="122" t="str">
        <f ca="1">IF($C690="S",REFERENCIA.Descricao,"(digite a descrição aqui)")</f>
        <v>(abra o arquivo 'Referência 02-2025.xlsm)</v>
      </c>
      <c r="S690" s="123" t="str">
        <f ca="1">REFERENCIA.Unidade</f>
        <v>-</v>
      </c>
      <c r="T690" s="124">
        <f ca="1">OFFSET(CÁLCULO!H$15,ROW($T690)-ROW(T$15),0)</f>
        <v>301</v>
      </c>
      <c r="U690" s="125">
        <f t="shared" ca="1" si="172"/>
        <v>0</v>
      </c>
      <c r="V690" s="126" t="s">
        <v>156</v>
      </c>
      <c r="W690" s="124">
        <f ca="1">IF($C690="S",ROUND(IF(TIPOORCAMENTO="Proposto",ORÇAMENTO.CustoUnitario*(1+$AH690),ORÇAMENTO.PrecoUnitarioLicitado),15-13*$AF$10),0)</f>
        <v>0</v>
      </c>
      <c r="X690" s="127">
        <f ca="1">IF($C690="S",IF(Import.TipoArredondamento&lt;&gt;"TransfereGOV",VTOTAL1,SUM(OFFSET(CÁLCULO!$AA$15,ROW($X690)-ROW($X$15),1):OFFSET(CÁLCULO!$AL$15,ROW($X690)-ROW($X$15),-1))),IF($C690=0,0,ROUND(SomaAgrup,15-13*$AF$11)))</f>
        <v>0</v>
      </c>
      <c r="Y690" s="128" t="s">
        <v>245</v>
      </c>
      <c r="Z690" t="str">
        <f t="shared" ca="1" si="156"/>
        <v/>
      </c>
      <c r="AA690" s="129">
        <f ca="1">IF($C690="S",IF($Z690="CP",$X690,IF($Z690="RA",(($X690)*QCI!$AA$3),0)),SomaAgrup)</f>
        <v>0</v>
      </c>
      <c r="AB690" s="130">
        <f t="shared" ca="1" si="169"/>
        <v>0</v>
      </c>
      <c r="AC690" s="131" t="str">
        <f ca="1">IF($N690="","",IF(ORÇAMENTO.Descricao="","DESCRIÇÃO",IF(AND($C690="S",ORÇAMENTO.Unidade=""),"UNIDADE",IF($X690&lt;0,"VALOR NEGATIVO",IF(OR(AND(TIPOORCAMENTO="Proposto",$AG690&lt;&gt;"",$AG690&gt;0,ORÇAMENTO.CustoUnitario&gt;$AG690),AND(TIPOORCAMENTO="LICITADO",ORÇAMENTO.PrecoUnitarioLicitado&gt;$AN690)),"ACIMA REF.","")))))</f>
        <v/>
      </c>
      <c r="AD690" t="str">
        <f ca="1">IF(C690&lt;=CRONO.NivelExibicao,MAX($AD$15:OFFSET(AD690,-1,0))+IF($C690&lt;&gt;1,1,MAX(1,COUNTIF(QCI!$A$13:$A$24,OFFSET($E690,-1,0)))),"")</f>
        <v/>
      </c>
      <c r="AE690" s="7" t="str">
        <f ca="1">IF(AND($C690="S",ORÇAMENTO.CodBarra&lt;&gt;""),IF(ORÇAMENTO.Fonte="",ORÇAMENTO.CodBarra,CONCATENATE(ORÇAMENTO.Fonte," ",ORÇAMENTO.CodBarra)))</f>
        <v>SINAPI 100861</v>
      </c>
      <c r="AF690" s="13" t="str">
        <f ca="1">IF(ISERROR(INDIRECT(ORÇAMENTO.BancoRef)),"(abra o arquivo 'Referência "&amp;Excel_BuiltIn_Database&amp;".xlsm)",IF(OR($C690&lt;&gt;"S",ORÇAMENTO.CodBarra=""),"(Sem Código)",IF(ISERROR(MATCH($AE690,INDIRECT(ORÇAMENTO.BancoRef),0)),"(Código não identificado nas referências)",MATCH($AE690,INDIRECT(ORÇAMENTO.BancoRef),0))))</f>
        <v>(abra o arquivo 'Referência 02-2025.xlsm)</v>
      </c>
      <c r="AG690" s="498">
        <f ca="1">ROUND(IF(DESONERACAO="sim",REFERENCIA.Desonerado,REFERENCIA.NaoDesonerado),2)</f>
        <v>0</v>
      </c>
      <c r="AH690" s="499">
        <f t="shared" ca="1" si="170"/>
        <v>0.22470000000000001</v>
      </c>
      <c r="AJ690" s="501">
        <v>301</v>
      </c>
      <c r="AL690" s="527"/>
      <c r="AM690" s="381">
        <f t="shared" ca="1" si="159"/>
        <v>0</v>
      </c>
      <c r="AN690" s="566">
        <f t="shared" ca="1" si="171"/>
        <v>0</v>
      </c>
    </row>
    <row r="691" spans="1:40" ht="25.5" x14ac:dyDescent="0.2">
      <c r="A691" t="str">
        <f t="shared" si="168"/>
        <v>S</v>
      </c>
      <c r="B691">
        <f t="shared" ca="1" si="146"/>
        <v>2</v>
      </c>
      <c r="C691" t="str">
        <f t="shared" ca="1" si="147"/>
        <v>S</v>
      </c>
      <c r="D691">
        <f t="shared" ca="1" si="148"/>
        <v>0</v>
      </c>
      <c r="E691">
        <f ca="1">IF($C691=1,OFFSET(E691,-1,0)+MAX(1,COUNTIF(QCI!$A$13:$A$24,OFFSET(ORÇAMENTO!E691,-1,0))),OFFSET(E691,-1,0))</f>
        <v>1</v>
      </c>
      <c r="F691">
        <f t="shared" ca="1" si="149"/>
        <v>23</v>
      </c>
      <c r="G691">
        <f t="shared" ca="1" si="150"/>
        <v>0</v>
      </c>
      <c r="H691">
        <f t="shared" ca="1" si="151"/>
        <v>0</v>
      </c>
      <c r="I691">
        <f t="shared" ca="1" si="152"/>
        <v>0</v>
      </c>
      <c r="J691">
        <f t="shared" ca="1" si="173"/>
        <v>0</v>
      </c>
      <c r="K691">
        <f ca="1">IF(OR($C691="S",$C691=0),0,MATCH(OFFSET($D691,0,$C691)+IF($C691&lt;&gt;1,1,COUNTIF(QCI!$A$13:$A$24,ORÇAMENTO!E691)),OFFSET($D691,1,$C691,ROW($C$747)-ROW($C691)),0))</f>
        <v>0</v>
      </c>
      <c r="L691" s="116" t="str">
        <f t="shared" ca="1" si="153"/>
        <v/>
      </c>
      <c r="M691" s="117" t="s">
        <v>199</v>
      </c>
      <c r="N691" s="118" t="str">
        <f t="shared" ca="1" si="154"/>
        <v>Serviço</v>
      </c>
      <c r="O691" s="119" t="str">
        <f t="shared" ca="1" si="155"/>
        <v>-</v>
      </c>
      <c r="P691" s="120" t="s">
        <v>712</v>
      </c>
      <c r="Q691" s="121" t="s">
        <v>872</v>
      </c>
      <c r="R691" s="122" t="str">
        <f ca="1">IF($C691="S",REFERENCIA.Descricao,"(digite a descrição aqui)")</f>
        <v>(abra o arquivo 'Referência 02-2025.xlsm)</v>
      </c>
      <c r="S691" s="123" t="str">
        <f ca="1">REFERENCIA.Unidade</f>
        <v>-</v>
      </c>
      <c r="T691" s="124">
        <f ca="1">OFFSET(CÁLCULO!H$15,ROW($T691)-ROW(T$15),0)</f>
        <v>23.86</v>
      </c>
      <c r="U691" s="125">
        <f t="shared" ca="1" si="172"/>
        <v>0</v>
      </c>
      <c r="V691" s="126" t="s">
        <v>156</v>
      </c>
      <c r="W691" s="124">
        <f ca="1">IF($C691="S",ROUND(IF(TIPOORCAMENTO="Proposto",ORÇAMENTO.CustoUnitario*(1+$AH691),ORÇAMENTO.PrecoUnitarioLicitado),15-13*$AF$10),0)</f>
        <v>0</v>
      </c>
      <c r="X691" s="127">
        <f ca="1">IF($C691="S",IF(Import.TipoArredondamento&lt;&gt;"TransfereGOV",VTOTAL1,SUM(OFFSET(CÁLCULO!$AA$15,ROW($X691)-ROW($X$15),1):OFFSET(CÁLCULO!$AL$15,ROW($X691)-ROW($X$15),-1))),IF($C691=0,0,ROUND(SomaAgrup,15-13*$AF$11)))</f>
        <v>0</v>
      </c>
      <c r="Y691" s="128" t="s">
        <v>245</v>
      </c>
      <c r="Z691" t="str">
        <f t="shared" ca="1" si="156"/>
        <v/>
      </c>
      <c r="AA691" s="129">
        <f ca="1">IF($C691="S",IF($Z691="CP",$X691,IF($Z691="RA",(($X691)*QCI!$AA$3),0)),SomaAgrup)</f>
        <v>0</v>
      </c>
      <c r="AB691" s="130">
        <f t="shared" ca="1" si="169"/>
        <v>0</v>
      </c>
      <c r="AC691" s="131" t="str">
        <f ca="1">IF($N691="","",IF(ORÇAMENTO.Descricao="","DESCRIÇÃO",IF(AND($C691="S",ORÇAMENTO.Unidade=""),"UNIDADE",IF($X691&lt;0,"VALOR NEGATIVO",IF(OR(AND(TIPOORCAMENTO="Proposto",$AG691&lt;&gt;"",$AG691&gt;0,ORÇAMENTO.CustoUnitario&gt;$AG691),AND(TIPOORCAMENTO="LICITADO",ORÇAMENTO.PrecoUnitarioLicitado&gt;$AN691)),"ACIMA REF.","")))))</f>
        <v/>
      </c>
      <c r="AD691" t="str">
        <f ca="1">IF(C691&lt;=CRONO.NivelExibicao,MAX($AD$15:OFFSET(AD691,-1,0))+IF($C691&lt;&gt;1,1,MAX(1,COUNTIF(QCI!$A$13:$A$24,OFFSET($E691,-1,0)))),"")</f>
        <v/>
      </c>
      <c r="AE691" s="7" t="str">
        <f ca="1">IF(AND($C691="S",ORÇAMENTO.CodBarra&lt;&gt;""),IF(ORÇAMENTO.Fonte="",ORÇAMENTO.CodBarra,CONCATENATE(ORÇAMENTO.Fonte," ",ORÇAMENTO.CodBarra)))</f>
        <v>Composição 99856</v>
      </c>
      <c r="AF691" s="13" t="str">
        <f ca="1">IF(ISERROR(INDIRECT(ORÇAMENTO.BancoRef)),"(abra o arquivo 'Referência "&amp;Excel_BuiltIn_Database&amp;".xlsm)",IF(OR($C691&lt;&gt;"S",ORÇAMENTO.CodBarra=""),"(Sem Código)",IF(ISERROR(MATCH($AE691,INDIRECT(ORÇAMENTO.BancoRef),0)),"(Código não identificado nas referências)",MATCH($AE691,INDIRECT(ORÇAMENTO.BancoRef),0))))</f>
        <v>(abra o arquivo 'Referência 02-2025.xlsm)</v>
      </c>
      <c r="AG691" s="498">
        <f ca="1">ROUND(IF(DESONERACAO="sim",REFERENCIA.Desonerado,REFERENCIA.NaoDesonerado),2)</f>
        <v>0</v>
      </c>
      <c r="AH691" s="499">
        <f t="shared" ca="1" si="170"/>
        <v>0.22470000000000001</v>
      </c>
      <c r="AJ691" s="501">
        <v>23.86</v>
      </c>
      <c r="AL691" s="527"/>
      <c r="AM691" s="381">
        <f t="shared" ca="1" si="159"/>
        <v>0</v>
      </c>
      <c r="AN691" s="566">
        <f t="shared" ca="1" si="171"/>
        <v>0</v>
      </c>
    </row>
    <row r="692" spans="1:40" x14ac:dyDescent="0.2">
      <c r="A692" t="str">
        <f t="shared" si="168"/>
        <v>S</v>
      </c>
      <c r="B692">
        <f t="shared" ca="1" si="146"/>
        <v>2</v>
      </c>
      <c r="C692" t="str">
        <f t="shared" ca="1" si="147"/>
        <v>S</v>
      </c>
      <c r="D692">
        <f t="shared" ca="1" si="148"/>
        <v>0</v>
      </c>
      <c r="E692">
        <f ca="1">IF($C692=1,OFFSET(E692,-1,0)+MAX(1,COUNTIF(QCI!$A$13:$A$24,OFFSET(ORÇAMENTO!E692,-1,0))),OFFSET(E692,-1,0))</f>
        <v>1</v>
      </c>
      <c r="F692">
        <f t="shared" ca="1" si="149"/>
        <v>23</v>
      </c>
      <c r="G692">
        <f t="shared" ca="1" si="150"/>
        <v>0</v>
      </c>
      <c r="H692">
        <f t="shared" ca="1" si="151"/>
        <v>0</v>
      </c>
      <c r="I692">
        <f t="shared" ca="1" si="152"/>
        <v>0</v>
      </c>
      <c r="J692">
        <f t="shared" ca="1" si="173"/>
        <v>0</v>
      </c>
      <c r="K692">
        <f ca="1">IF(OR($C692="S",$C692=0),0,MATCH(OFFSET($D692,0,$C692)+IF($C692&lt;&gt;1,1,COUNTIF(QCI!$A$13:$A$24,ORÇAMENTO!E692)),OFFSET($D692,1,$C692,ROW($C$747)-ROW($C692)),0))</f>
        <v>0</v>
      </c>
      <c r="L692" s="116" t="str">
        <f t="shared" ca="1" si="153"/>
        <v/>
      </c>
      <c r="M692" s="117" t="s">
        <v>199</v>
      </c>
      <c r="N692" s="118" t="str">
        <f t="shared" ca="1" si="154"/>
        <v>Serviço</v>
      </c>
      <c r="O692" s="119" t="str">
        <f t="shared" ca="1" si="155"/>
        <v>-</v>
      </c>
      <c r="P692" s="120" t="s">
        <v>712</v>
      </c>
      <c r="Q692" s="121" t="s">
        <v>999</v>
      </c>
      <c r="R692" s="122" t="str">
        <f ca="1">IF($C692="S",REFERENCIA.Descricao,"(digite a descrição aqui)")</f>
        <v>(abra o arquivo 'Referência 02-2025.xlsm)</v>
      </c>
      <c r="S692" s="123" t="str">
        <f ca="1">REFERENCIA.Unidade</f>
        <v>-</v>
      </c>
      <c r="T692" s="124">
        <f ca="1">OFFSET(CÁLCULO!H$15,ROW($T692)-ROW(T$15),0)</f>
        <v>5.44</v>
      </c>
      <c r="U692" s="125">
        <f t="shared" ca="1" si="172"/>
        <v>0</v>
      </c>
      <c r="V692" s="126" t="s">
        <v>156</v>
      </c>
      <c r="W692" s="124">
        <f ca="1">IF($C692="S",ROUND(IF(TIPOORCAMENTO="Proposto",ORÇAMENTO.CustoUnitario*(1+$AH692),ORÇAMENTO.PrecoUnitarioLicitado),15-13*$AF$10),0)</f>
        <v>0</v>
      </c>
      <c r="X692" s="127">
        <f ca="1">IF($C692="S",IF(Import.TipoArredondamento&lt;&gt;"TransfereGOV",VTOTAL1,SUM(OFFSET(CÁLCULO!$AA$15,ROW($X692)-ROW($X$15),1):OFFSET(CÁLCULO!$AL$15,ROW($X692)-ROW($X$15),-1))),IF($C692=0,0,ROUND(SomaAgrup,15-13*$AF$11)))</f>
        <v>0</v>
      </c>
      <c r="Y692" s="128" t="s">
        <v>245</v>
      </c>
      <c r="Z692" t="str">
        <f t="shared" ca="1" si="156"/>
        <v/>
      </c>
      <c r="AA692" s="129">
        <f ca="1">IF($C692="S",IF($Z692="CP",$X692,IF($Z692="RA",(($X692)*QCI!$AA$3),0)),SomaAgrup)</f>
        <v>0</v>
      </c>
      <c r="AB692" s="130">
        <f t="shared" ca="1" si="169"/>
        <v>0</v>
      </c>
      <c r="AC692" s="131" t="str">
        <f ca="1">IF($N692="","",IF(ORÇAMENTO.Descricao="","DESCRIÇÃO",IF(AND($C692="S",ORÇAMENTO.Unidade=""),"UNIDADE",IF($X692&lt;0,"VALOR NEGATIVO",IF(OR(AND(TIPOORCAMENTO="Proposto",$AG692&lt;&gt;"",$AG692&gt;0,ORÇAMENTO.CustoUnitario&gt;$AG692),AND(TIPOORCAMENTO="LICITADO",ORÇAMENTO.PrecoUnitarioLicitado&gt;$AN692)),"ACIMA REF.","")))))</f>
        <v/>
      </c>
      <c r="AD692" t="str">
        <f ca="1">IF(C692&lt;=CRONO.NivelExibicao,MAX($AD$15:OFFSET(AD692,-1,0))+IF($C692&lt;&gt;1,1,MAX(1,COUNTIF(QCI!$A$13:$A$24,OFFSET($E692,-1,0)))),"")</f>
        <v/>
      </c>
      <c r="AE692" s="7" t="str">
        <f ca="1">IF(AND($C692="S",ORÇAMENTO.CodBarra&lt;&gt;""),IF(ORÇAMENTO.Fonte="",ORÇAMENTO.CodBarra,CONCATENATE(ORÇAMENTO.Fonte," ",ORÇAMENTO.CodBarra)))</f>
        <v>Composição FNDE 51</v>
      </c>
      <c r="AF692" s="13" t="str">
        <f ca="1">IF(ISERROR(INDIRECT(ORÇAMENTO.BancoRef)),"(abra o arquivo 'Referência "&amp;Excel_BuiltIn_Database&amp;".xlsm)",IF(OR($C692&lt;&gt;"S",ORÇAMENTO.CodBarra=""),"(Sem Código)",IF(ISERROR(MATCH($AE692,INDIRECT(ORÇAMENTO.BancoRef),0)),"(Código não identificado nas referências)",MATCH($AE692,INDIRECT(ORÇAMENTO.BancoRef),0))))</f>
        <v>(abra o arquivo 'Referência 02-2025.xlsm)</v>
      </c>
      <c r="AG692" s="498">
        <f ca="1">ROUND(IF(DESONERACAO="sim",REFERENCIA.Desonerado,REFERENCIA.NaoDesonerado),2)</f>
        <v>0</v>
      </c>
      <c r="AH692" s="499">
        <f t="shared" ca="1" si="170"/>
        <v>0.22470000000000001</v>
      </c>
      <c r="AJ692" s="501">
        <v>5.44</v>
      </c>
      <c r="AL692" s="527"/>
      <c r="AM692" s="381">
        <f t="shared" ca="1" si="159"/>
        <v>0</v>
      </c>
      <c r="AN692" s="566">
        <f t="shared" ca="1" si="171"/>
        <v>0</v>
      </c>
    </row>
    <row r="693" spans="1:40" ht="51" x14ac:dyDescent="0.2">
      <c r="A693" t="str">
        <f t="shared" si="168"/>
        <v>S</v>
      </c>
      <c r="B693">
        <f t="shared" ca="1" si="146"/>
        <v>2</v>
      </c>
      <c r="C693" t="str">
        <f t="shared" ca="1" si="147"/>
        <v>S</v>
      </c>
      <c r="D693">
        <f t="shared" ca="1" si="148"/>
        <v>0</v>
      </c>
      <c r="E693">
        <f ca="1">IF($C693=1,OFFSET(E693,-1,0)+MAX(1,COUNTIF(QCI!$A$13:$A$24,OFFSET(ORÇAMENTO!E693,-1,0))),OFFSET(E693,-1,0))</f>
        <v>1</v>
      </c>
      <c r="F693">
        <f t="shared" ca="1" si="149"/>
        <v>23</v>
      </c>
      <c r="G693">
        <f t="shared" ca="1" si="150"/>
        <v>0</v>
      </c>
      <c r="H693">
        <f t="shared" ca="1" si="151"/>
        <v>0</v>
      </c>
      <c r="I693">
        <f t="shared" ca="1" si="152"/>
        <v>0</v>
      </c>
      <c r="J693">
        <f t="shared" ca="1" si="173"/>
        <v>0</v>
      </c>
      <c r="K693">
        <f ca="1">IF(OR($C693="S",$C693=0),0,MATCH(OFFSET($D693,0,$C693)+IF($C693&lt;&gt;1,1,COUNTIF(QCI!$A$13:$A$24,ORÇAMENTO!E693)),OFFSET($D693,1,$C693,ROW($C$747)-ROW($C693)),0))</f>
        <v>0</v>
      </c>
      <c r="L693" s="116" t="str">
        <f t="shared" ca="1" si="153"/>
        <v/>
      </c>
      <c r="M693" s="117" t="s">
        <v>199</v>
      </c>
      <c r="N693" s="118" t="str">
        <f t="shared" ca="1" si="154"/>
        <v>Serviço</v>
      </c>
      <c r="O693" s="119" t="str">
        <f t="shared" ca="1" si="155"/>
        <v>-</v>
      </c>
      <c r="P693" s="120" t="s">
        <v>247</v>
      </c>
      <c r="Q693" s="121" t="s">
        <v>1000</v>
      </c>
      <c r="R693" s="122" t="str">
        <f ca="1">IF($C693="S",REFERENCIA.Descricao,"(digite a descrição aqui)")</f>
        <v>(abra o arquivo 'Referência 02-2025.xlsm)</v>
      </c>
      <c r="S693" s="123" t="str">
        <f ca="1">REFERENCIA.Unidade</f>
        <v>-</v>
      </c>
      <c r="T693" s="124">
        <f ca="1">OFFSET(CÁLCULO!H$15,ROW($T693)-ROW(T$15),0)</f>
        <v>3.15</v>
      </c>
      <c r="U693" s="125">
        <f t="shared" ca="1" si="172"/>
        <v>0</v>
      </c>
      <c r="V693" s="126" t="s">
        <v>156</v>
      </c>
      <c r="W693" s="124">
        <f ca="1">IF($C693="S",ROUND(IF(TIPOORCAMENTO="Proposto",ORÇAMENTO.CustoUnitario*(1+$AH693),ORÇAMENTO.PrecoUnitarioLicitado),15-13*$AF$10),0)</f>
        <v>0</v>
      </c>
      <c r="X693" s="127">
        <f ca="1">IF($C693="S",IF(Import.TipoArredondamento&lt;&gt;"TransfereGOV",VTOTAL1,SUM(OFFSET(CÁLCULO!$AA$15,ROW($X693)-ROW($X$15),1):OFFSET(CÁLCULO!$AL$15,ROW($X693)-ROW($X$15),-1))),IF($C693=0,0,ROUND(SomaAgrup,15-13*$AF$11)))</f>
        <v>0</v>
      </c>
      <c r="Y693" s="128" t="s">
        <v>245</v>
      </c>
      <c r="Z693" t="str">
        <f t="shared" ca="1" si="156"/>
        <v/>
      </c>
      <c r="AA693" s="129">
        <f ca="1">IF($C693="S",IF($Z693="CP",$X693,IF($Z693="RA",(($X693)*QCI!$AA$3),0)),SomaAgrup)</f>
        <v>0</v>
      </c>
      <c r="AB693" s="130">
        <f t="shared" ca="1" si="169"/>
        <v>0</v>
      </c>
      <c r="AC693" s="131" t="str">
        <f ca="1">IF($N693="","",IF(ORÇAMENTO.Descricao="","DESCRIÇÃO",IF(AND($C693="S",ORÇAMENTO.Unidade=""),"UNIDADE",IF($X693&lt;0,"VALOR NEGATIVO",IF(OR(AND(TIPOORCAMENTO="Proposto",$AG693&lt;&gt;"",$AG693&gt;0,ORÇAMENTO.CustoUnitario&gt;$AG693),AND(TIPOORCAMENTO="LICITADO",ORÇAMENTO.PrecoUnitarioLicitado&gt;$AN693)),"ACIMA REF.","")))))</f>
        <v/>
      </c>
      <c r="AD693" t="str">
        <f ca="1">IF(C693&lt;=CRONO.NivelExibicao,MAX($AD$15:OFFSET(AD693,-1,0))+IF($C693&lt;&gt;1,1,MAX(1,COUNTIF(QCI!$A$13:$A$24,OFFSET($E693,-1,0)))),"")</f>
        <v/>
      </c>
      <c r="AE693" s="7" t="str">
        <f ca="1">IF(AND($C693="S",ORÇAMENTO.CodBarra&lt;&gt;""),IF(ORÇAMENTO.Fonte="",ORÇAMENTO.CodBarra,CONCATENATE(ORÇAMENTO.Fonte," ",ORÇAMENTO.CodBarra)))</f>
        <v>SINAPI 105001</v>
      </c>
      <c r="AF693" s="13" t="str">
        <f ca="1">IF(ISERROR(INDIRECT(ORÇAMENTO.BancoRef)),"(abra o arquivo 'Referência "&amp;Excel_BuiltIn_Database&amp;".xlsm)",IF(OR($C693&lt;&gt;"S",ORÇAMENTO.CodBarra=""),"(Sem Código)",IF(ISERROR(MATCH($AE693,INDIRECT(ORÇAMENTO.BancoRef),0)),"(Código não identificado nas referências)",MATCH($AE693,INDIRECT(ORÇAMENTO.BancoRef),0))))</f>
        <v>(abra o arquivo 'Referência 02-2025.xlsm)</v>
      </c>
      <c r="AG693" s="498">
        <f ca="1">ROUND(IF(DESONERACAO="sim",REFERENCIA.Desonerado,REFERENCIA.NaoDesonerado),2)</f>
        <v>0</v>
      </c>
      <c r="AH693" s="499">
        <f t="shared" ca="1" si="170"/>
        <v>0.22470000000000001</v>
      </c>
      <c r="AJ693" s="501">
        <v>3.15</v>
      </c>
      <c r="AL693" s="527"/>
      <c r="AM693" s="381">
        <f t="shared" ca="1" si="159"/>
        <v>0</v>
      </c>
      <c r="AN693" s="566">
        <f t="shared" ca="1" si="171"/>
        <v>0</v>
      </c>
    </row>
    <row r="694" spans="1:40" x14ac:dyDescent="0.2">
      <c r="A694">
        <f t="shared" si="168"/>
        <v>2</v>
      </c>
      <c r="B694">
        <f t="shared" ca="1" si="146"/>
        <v>2</v>
      </c>
      <c r="C694">
        <f t="shared" ca="1" si="147"/>
        <v>2</v>
      </c>
      <c r="D694">
        <f t="shared" ca="1" si="148"/>
        <v>53</v>
      </c>
      <c r="E694">
        <f ca="1">IF($C694=1,OFFSET(E694,-1,0)+MAX(1,COUNTIF(QCI!$A$13:$A$24,OFFSET(ORÇAMENTO!E694,-1,0))),OFFSET(E694,-1,0))</f>
        <v>1</v>
      </c>
      <c r="F694">
        <f t="shared" ca="1" si="149"/>
        <v>24</v>
      </c>
      <c r="G694">
        <f t="shared" ca="1" si="150"/>
        <v>0</v>
      </c>
      <c r="H694">
        <f t="shared" ca="1" si="151"/>
        <v>0</v>
      </c>
      <c r="I694">
        <f t="shared" ca="1" si="152"/>
        <v>0</v>
      </c>
      <c r="J694">
        <f t="shared" ca="1" si="173"/>
        <v>53</v>
      </c>
      <c r="K694" t="e">
        <f ca="1">IF(OR($C694="S",$C694=0),0,MATCH(OFFSET($D694,0,$C694)+IF($C694&lt;&gt;1,1,COUNTIF(QCI!$A$13:$A$24,ORÇAMENTO!E694)),OFFSET($D694,1,$C694,ROW($C$747)-ROW($C694)),0))</f>
        <v>#N/A</v>
      </c>
      <c r="L694" s="116" t="str">
        <f t="shared" ca="1" si="153"/>
        <v>F</v>
      </c>
      <c r="M694" s="117" t="s">
        <v>196</v>
      </c>
      <c r="N694" s="118" t="str">
        <f t="shared" ca="1" si="154"/>
        <v>Nível 2</v>
      </c>
      <c r="O694" s="119" t="str">
        <f t="shared" ca="1" si="155"/>
        <v>1.24.</v>
      </c>
      <c r="P694" s="120" t="s">
        <v>247</v>
      </c>
      <c r="Q694" s="121"/>
      <c r="R694" s="122" t="str">
        <f ca="1">IF($C694="S",REFERENCIA.Descricao,"FECHAMENTO - MURO")</f>
        <v>FECHAMENTO - MURO</v>
      </c>
      <c r="S694" s="123" t="str">
        <f ca="1">REFERENCIA.Unidade</f>
        <v>-</v>
      </c>
      <c r="T694" s="124">
        <f ca="1">OFFSET(CÁLCULO!H$15,ROW($T694)-ROW(T$15),0)</f>
        <v>0</v>
      </c>
      <c r="U694" s="125">
        <f t="shared" ca="1" si="172"/>
        <v>0</v>
      </c>
      <c r="V694" s="126" t="s">
        <v>156</v>
      </c>
      <c r="W694" s="124">
        <f ca="1">IF($C694="S",ROUND(IF(TIPOORCAMENTO="Proposto",ORÇAMENTO.CustoUnitario*(1+$AH694),ORÇAMENTO.PrecoUnitarioLicitado),15-13*$AF$10),0)</f>
        <v>0</v>
      </c>
      <c r="X694" s="127">
        <f ca="1">IF($C694="S",IF(Import.TipoArredondamento&lt;&gt;"TransfereGOV",VTOTAL1,SUM(OFFSET(CÁLCULO!$AA$15,ROW($X694)-ROW($X$15),1):OFFSET(CÁLCULO!$AL$15,ROW($X694)-ROW($X$15),-1))),IF($C694=0,0,ROUND(SomaAgrup,15-13*$AF$11)))</f>
        <v>0</v>
      </c>
      <c r="Y694" s="128" t="s">
        <v>245</v>
      </c>
      <c r="Z694" t="str">
        <f t="shared" ca="1" si="156"/>
        <v/>
      </c>
      <c r="AA694" s="129">
        <f ca="1">IF($C694="S",IF($Z694="CP",$X694,IF($Z694="RA",(($X694)*QCI!$AA$3),0)),SomaAgrup)</f>
        <v>0</v>
      </c>
      <c r="AB694" s="130">
        <f t="shared" ca="1" si="169"/>
        <v>0</v>
      </c>
      <c r="AC694" s="131" t="str">
        <f ca="1">IF($N694="","",IF(ORÇAMENTO.Descricao="","DESCRIÇÃO",IF(AND($C694="S",ORÇAMENTO.Unidade=""),"UNIDADE",IF($X694&lt;0,"VALOR NEGATIVO",IF(OR(AND(TIPOORCAMENTO="Proposto",$AG694&lt;&gt;"",$AG694&gt;0,ORÇAMENTO.CustoUnitario&gt;$AG694),AND(TIPOORCAMENTO="LICITADO",ORÇAMENTO.PrecoUnitarioLicitado&gt;$AN694)),"ACIMA REF.","")))))</f>
        <v/>
      </c>
      <c r="AD694">
        <f ca="1">IF(C694&lt;=CRONO.NivelExibicao,MAX($AD$15:OFFSET(AD694,-1,0))+IF($C694&lt;&gt;1,1,MAX(1,COUNTIF(QCI!$A$13:$A$24,OFFSET($E694,-1,0)))),"")</f>
        <v>25</v>
      </c>
      <c r="AE694" s="7" t="b">
        <f ca="1">IF(AND($C694="S",ORÇAMENTO.CodBarra&lt;&gt;""),IF(ORÇAMENTO.Fonte="",ORÇAMENTO.CodBarra,CONCATENATE(ORÇAMENTO.Fonte," ",ORÇAMENTO.CodBarra)))</f>
        <v>0</v>
      </c>
      <c r="AF694" s="13" t="str">
        <f ca="1">IF(ISERROR(INDIRECT(ORÇAMENTO.BancoRef)),"(abra o arquivo 'Referência "&amp;Excel_BuiltIn_Database&amp;".xlsm)",IF(OR($C694&lt;&gt;"S",ORÇAMENTO.CodBarra=""),"(Sem Código)",IF(ISERROR(MATCH($AE694,INDIRECT(ORÇAMENTO.BancoRef),0)),"(Código não identificado nas referências)",MATCH($AE694,INDIRECT(ORÇAMENTO.BancoRef),0))))</f>
        <v>(abra o arquivo 'Referência 02-2025.xlsm)</v>
      </c>
      <c r="AG694" s="498">
        <f ca="1">ROUND(IF(DESONERACAO="sim",REFERENCIA.Desonerado,REFERENCIA.NaoDesonerado),2)</f>
        <v>0</v>
      </c>
      <c r="AH694" s="499">
        <f t="shared" ca="1" si="170"/>
        <v>0.22470000000000001</v>
      </c>
      <c r="AJ694" s="501"/>
      <c r="AL694" s="527"/>
      <c r="AM694" s="381">
        <f t="shared" ca="1" si="159"/>
        <v>0</v>
      </c>
      <c r="AN694" s="566">
        <f t="shared" ca="1" si="171"/>
        <v>0</v>
      </c>
    </row>
    <row r="695" spans="1:40" x14ac:dyDescent="0.2">
      <c r="A695">
        <f t="shared" si="168"/>
        <v>3</v>
      </c>
      <c r="B695">
        <f t="shared" ca="1" si="146"/>
        <v>3</v>
      </c>
      <c r="C695">
        <f t="shared" ca="1" si="147"/>
        <v>3</v>
      </c>
      <c r="D695">
        <f t="shared" ca="1" si="148"/>
        <v>5</v>
      </c>
      <c r="E695">
        <f ca="1">IF($C695=1,OFFSET(E695,-1,0)+MAX(1,COUNTIF(QCI!$A$13:$A$24,OFFSET(ORÇAMENTO!E695,-1,0))),OFFSET(E695,-1,0))</f>
        <v>1</v>
      </c>
      <c r="F695">
        <f t="shared" ca="1" si="149"/>
        <v>24</v>
      </c>
      <c r="G695">
        <f t="shared" ca="1" si="150"/>
        <v>1</v>
      </c>
      <c r="H695">
        <f t="shared" ca="1" si="151"/>
        <v>0</v>
      </c>
      <c r="I695">
        <f t="shared" ca="1" si="152"/>
        <v>0</v>
      </c>
      <c r="J695">
        <f t="shared" ca="1" si="173"/>
        <v>52</v>
      </c>
      <c r="K695">
        <f ca="1">IF(OR($C695="S",$C695=0),0,MATCH(OFFSET($D695,0,$C695)+IF($C695&lt;&gt;1,1,COUNTIF(QCI!$A$13:$A$24,ORÇAMENTO!E695)),OFFSET($D695,1,$C695,ROW($C$747)-ROW($C695)),0))</f>
        <v>5</v>
      </c>
      <c r="L695" s="116" t="str">
        <f t="shared" ca="1" si="153"/>
        <v>F</v>
      </c>
      <c r="M695" s="117" t="s">
        <v>197</v>
      </c>
      <c r="N695" s="118" t="str">
        <f t="shared" ca="1" si="154"/>
        <v>Nível 3</v>
      </c>
      <c r="O695" s="119" t="str">
        <f t="shared" ca="1" si="155"/>
        <v>1.24.1.</v>
      </c>
      <c r="P695" s="120" t="s">
        <v>247</v>
      </c>
      <c r="Q695" s="121"/>
      <c r="R695" s="122" t="str">
        <f ca="1">IF($C695="S",REFERENCIA.Descricao,"MOVIMENTO DE TERRA PARA FUNDAÇÕES")</f>
        <v>MOVIMENTO DE TERRA PARA FUNDAÇÕES</v>
      </c>
      <c r="S695" s="123" t="str">
        <f ca="1">REFERENCIA.Unidade</f>
        <v>-</v>
      </c>
      <c r="T695" s="124">
        <f ca="1">OFFSET(CÁLCULO!H$15,ROW($T695)-ROW(T$15),0)</f>
        <v>0</v>
      </c>
      <c r="U695" s="125">
        <f t="shared" ca="1" si="172"/>
        <v>0</v>
      </c>
      <c r="V695" s="126" t="s">
        <v>156</v>
      </c>
      <c r="W695" s="124">
        <f ca="1">IF($C695="S",ROUND(IF(TIPOORCAMENTO="Proposto",ORÇAMENTO.CustoUnitario*(1+$AH695),ORÇAMENTO.PrecoUnitarioLicitado),15-13*$AF$10),0)</f>
        <v>0</v>
      </c>
      <c r="X695" s="127">
        <f ca="1">IF($C695="S",IF(Import.TipoArredondamento&lt;&gt;"TransfereGOV",VTOTAL1,SUM(OFFSET(CÁLCULO!$AA$15,ROW($X695)-ROW($X$15),1):OFFSET(CÁLCULO!$AL$15,ROW($X695)-ROW($X$15),-1))),IF($C695=0,0,ROUND(SomaAgrup,15-13*$AF$11)))</f>
        <v>0</v>
      </c>
      <c r="Y695" s="128" t="s">
        <v>245</v>
      </c>
      <c r="Z695" t="str">
        <f t="shared" ca="1" si="156"/>
        <v/>
      </c>
      <c r="AA695" s="129">
        <f ca="1">IF($C695="S",IF($Z695="CP",$X695,IF($Z695="RA",(($X695)*QCI!$AA$3),0)),SomaAgrup)</f>
        <v>0</v>
      </c>
      <c r="AB695" s="130">
        <f t="shared" ca="1" si="169"/>
        <v>0</v>
      </c>
      <c r="AC695" s="131" t="str">
        <f ca="1">IF($N695="","",IF(ORÇAMENTO.Descricao="","DESCRIÇÃO",IF(AND($C695="S",ORÇAMENTO.Unidade=""),"UNIDADE",IF($X695&lt;0,"VALOR NEGATIVO",IF(OR(AND(TIPOORCAMENTO="Proposto",$AG695&lt;&gt;"",$AG695&gt;0,ORÇAMENTO.CustoUnitario&gt;$AG695),AND(TIPOORCAMENTO="LICITADO",ORÇAMENTO.PrecoUnitarioLicitado&gt;$AN695)),"ACIMA REF.","")))))</f>
        <v/>
      </c>
      <c r="AD695" t="str">
        <f ca="1">IF(C695&lt;=CRONO.NivelExibicao,MAX($AD$15:OFFSET(AD695,-1,0))+IF($C695&lt;&gt;1,1,MAX(1,COUNTIF(QCI!$A$13:$A$24,OFFSET($E695,-1,0)))),"")</f>
        <v/>
      </c>
      <c r="AE695" s="7" t="b">
        <f ca="1">IF(AND($C695="S",ORÇAMENTO.CodBarra&lt;&gt;""),IF(ORÇAMENTO.Fonte="",ORÇAMENTO.CodBarra,CONCATENATE(ORÇAMENTO.Fonte," ",ORÇAMENTO.CodBarra)))</f>
        <v>0</v>
      </c>
      <c r="AF695" s="13" t="str">
        <f ca="1">IF(ISERROR(INDIRECT(ORÇAMENTO.BancoRef)),"(abra o arquivo 'Referência "&amp;Excel_BuiltIn_Database&amp;".xlsm)",IF(OR($C695&lt;&gt;"S",ORÇAMENTO.CodBarra=""),"(Sem Código)",IF(ISERROR(MATCH($AE695,INDIRECT(ORÇAMENTO.BancoRef),0)),"(Código não identificado nas referências)",MATCH($AE695,INDIRECT(ORÇAMENTO.BancoRef),0))))</f>
        <v>(abra o arquivo 'Referência 02-2025.xlsm)</v>
      </c>
      <c r="AG695" s="498">
        <f ca="1">ROUND(IF(DESONERACAO="sim",REFERENCIA.Desonerado,REFERENCIA.NaoDesonerado),2)</f>
        <v>0</v>
      </c>
      <c r="AH695" s="499">
        <f t="shared" ca="1" si="170"/>
        <v>0.22470000000000001</v>
      </c>
      <c r="AJ695" s="501"/>
      <c r="AL695" s="527"/>
      <c r="AM695" s="381">
        <f t="shared" ca="1" si="159"/>
        <v>0</v>
      </c>
      <c r="AN695" s="566">
        <f t="shared" ca="1" si="171"/>
        <v>0</v>
      </c>
    </row>
    <row r="696" spans="1:40" ht="38.25" x14ac:dyDescent="0.2">
      <c r="A696" t="str">
        <f t="shared" si="168"/>
        <v>S</v>
      </c>
      <c r="B696">
        <f t="shared" ca="1" si="146"/>
        <v>3</v>
      </c>
      <c r="C696" t="str">
        <f t="shared" ca="1" si="147"/>
        <v>S</v>
      </c>
      <c r="D696">
        <f t="shared" ca="1" si="148"/>
        <v>0</v>
      </c>
      <c r="E696">
        <f ca="1">IF($C696=1,OFFSET(E696,-1,0)+MAX(1,COUNTIF(QCI!$A$13:$A$24,OFFSET(ORÇAMENTO!E696,-1,0))),OFFSET(E696,-1,0))</f>
        <v>1</v>
      </c>
      <c r="F696">
        <f t="shared" ca="1" si="149"/>
        <v>24</v>
      </c>
      <c r="G696">
        <f t="shared" ca="1" si="150"/>
        <v>1</v>
      </c>
      <c r="H696">
        <f t="shared" ca="1" si="151"/>
        <v>0</v>
      </c>
      <c r="I696">
        <f t="shared" ca="1" si="152"/>
        <v>0</v>
      </c>
      <c r="J696">
        <f t="shared" ca="1" si="173"/>
        <v>0</v>
      </c>
      <c r="K696">
        <f ca="1">IF(OR($C696="S",$C696=0),0,MATCH(OFFSET($D696,0,$C696)+IF($C696&lt;&gt;1,1,COUNTIF(QCI!$A$13:$A$24,ORÇAMENTO!E696)),OFFSET($D696,1,$C696,ROW($C$747)-ROW($C696)),0))</f>
        <v>0</v>
      </c>
      <c r="L696" s="116" t="str">
        <f t="shared" ca="1" si="153"/>
        <v/>
      </c>
      <c r="M696" s="117" t="s">
        <v>199</v>
      </c>
      <c r="N696" s="118" t="str">
        <f t="shared" ca="1" si="154"/>
        <v>Serviço</v>
      </c>
      <c r="O696" s="119" t="str">
        <f t="shared" ca="1" si="155"/>
        <v>-</v>
      </c>
      <c r="P696" s="120" t="s">
        <v>247</v>
      </c>
      <c r="Q696" s="121" t="s">
        <v>453</v>
      </c>
      <c r="R696" s="122" t="str">
        <f ca="1">IF($C696="S",REFERENCIA.Descricao,"(digite a descrição aqui)")</f>
        <v>(abra o arquivo 'Referência 02-2025.xlsm)</v>
      </c>
      <c r="S696" s="123" t="str">
        <f ca="1">REFERENCIA.Unidade</f>
        <v>-</v>
      </c>
      <c r="T696" s="124">
        <f ca="1">OFFSET(CÁLCULO!H$15,ROW($T696)-ROW(T$15),0)</f>
        <v>109.2</v>
      </c>
      <c r="U696" s="125">
        <f t="shared" ca="1" si="172"/>
        <v>0</v>
      </c>
      <c r="V696" s="126" t="s">
        <v>156</v>
      </c>
      <c r="W696" s="124">
        <f ca="1">IF($C696="S",ROUND(IF(TIPOORCAMENTO="Proposto",ORÇAMENTO.CustoUnitario*(1+$AH696),ORÇAMENTO.PrecoUnitarioLicitado),15-13*$AF$10),0)</f>
        <v>0</v>
      </c>
      <c r="X696" s="127">
        <f ca="1">IF($C696="S",IF(Import.TipoArredondamento&lt;&gt;"TransfereGOV",VTOTAL1,SUM(OFFSET(CÁLCULO!$AA$15,ROW($X696)-ROW($X$15),1):OFFSET(CÁLCULO!$AL$15,ROW($X696)-ROW($X$15),-1))),IF($C696=0,0,ROUND(SomaAgrup,15-13*$AF$11)))</f>
        <v>0</v>
      </c>
      <c r="Y696" s="128" t="s">
        <v>245</v>
      </c>
      <c r="Z696" t="str">
        <f t="shared" ca="1" si="156"/>
        <v/>
      </c>
      <c r="AA696" s="129">
        <f ca="1">IF($C696="S",IF($Z696="CP",$X696,IF($Z696="RA",(($X696)*QCI!$AA$3),0)),SomaAgrup)</f>
        <v>0</v>
      </c>
      <c r="AB696" s="130">
        <f t="shared" ca="1" si="169"/>
        <v>0</v>
      </c>
      <c r="AC696" s="131" t="str">
        <f ca="1">IF($N696="","",IF(ORÇAMENTO.Descricao="","DESCRIÇÃO",IF(AND($C696="S",ORÇAMENTO.Unidade=""),"UNIDADE",IF($X696&lt;0,"VALOR NEGATIVO",IF(OR(AND(TIPOORCAMENTO="Proposto",$AG696&lt;&gt;"",$AG696&gt;0,ORÇAMENTO.CustoUnitario&gt;$AG696),AND(TIPOORCAMENTO="LICITADO",ORÇAMENTO.PrecoUnitarioLicitado&gt;$AN696)),"ACIMA REF.","")))))</f>
        <v/>
      </c>
      <c r="AD696" t="str">
        <f ca="1">IF(C696&lt;=CRONO.NivelExibicao,MAX($AD$15:OFFSET(AD696,-1,0))+IF($C696&lt;&gt;1,1,MAX(1,COUNTIF(QCI!$A$13:$A$24,OFFSET($E696,-1,0)))),"")</f>
        <v/>
      </c>
      <c r="AE696" s="7" t="str">
        <f ca="1">IF(AND($C696="S",ORÇAMENTO.CodBarra&lt;&gt;""),IF(ORÇAMENTO.Fonte="",ORÇAMENTO.CodBarra,CONCATENATE(ORÇAMENTO.Fonte," ",ORÇAMENTO.CodBarra)))</f>
        <v>SINAPI 96521</v>
      </c>
      <c r="AF696" s="13" t="str">
        <f ca="1">IF(ISERROR(INDIRECT(ORÇAMENTO.BancoRef)),"(abra o arquivo 'Referência "&amp;Excel_BuiltIn_Database&amp;".xlsm)",IF(OR($C696&lt;&gt;"S",ORÇAMENTO.CodBarra=""),"(Sem Código)",IF(ISERROR(MATCH($AE696,INDIRECT(ORÇAMENTO.BancoRef),0)),"(Código não identificado nas referências)",MATCH($AE696,INDIRECT(ORÇAMENTO.BancoRef),0))))</f>
        <v>(abra o arquivo 'Referência 02-2025.xlsm)</v>
      </c>
      <c r="AG696" s="498">
        <f ca="1">ROUND(IF(DESONERACAO="sim",REFERENCIA.Desonerado,REFERENCIA.NaoDesonerado),2)</f>
        <v>0</v>
      </c>
      <c r="AH696" s="499">
        <f t="shared" ca="1" si="170"/>
        <v>0.22470000000000001</v>
      </c>
      <c r="AJ696" s="501">
        <v>109.2</v>
      </c>
      <c r="AL696" s="527"/>
      <c r="AM696" s="381">
        <f t="shared" ca="1" si="159"/>
        <v>0</v>
      </c>
      <c r="AN696" s="566">
        <f t="shared" ca="1" si="171"/>
        <v>0</v>
      </c>
    </row>
    <row r="697" spans="1:40" ht="38.25" x14ac:dyDescent="0.2">
      <c r="A697" t="str">
        <f t="shared" si="168"/>
        <v>S</v>
      </c>
      <c r="B697">
        <f t="shared" ca="1" si="146"/>
        <v>3</v>
      </c>
      <c r="C697" t="str">
        <f t="shared" ca="1" si="147"/>
        <v>S</v>
      </c>
      <c r="D697">
        <f t="shared" ca="1" si="148"/>
        <v>0</v>
      </c>
      <c r="E697">
        <f ca="1">IF($C697=1,OFFSET(E697,-1,0)+MAX(1,COUNTIF(QCI!$A$13:$A$24,OFFSET(ORÇAMENTO!E697,-1,0))),OFFSET(E697,-1,0))</f>
        <v>1</v>
      </c>
      <c r="F697">
        <f t="shared" ca="1" si="149"/>
        <v>24</v>
      </c>
      <c r="G697">
        <f t="shared" ca="1" si="150"/>
        <v>1</v>
      </c>
      <c r="H697">
        <f t="shared" ca="1" si="151"/>
        <v>0</v>
      </c>
      <c r="I697">
        <f t="shared" ca="1" si="152"/>
        <v>0</v>
      </c>
      <c r="J697">
        <f t="shared" ca="1" si="173"/>
        <v>0</v>
      </c>
      <c r="K697">
        <f ca="1">IF(OR($C697="S",$C697=0),0,MATCH(OFFSET($D697,0,$C697)+IF($C697&lt;&gt;1,1,COUNTIF(QCI!$A$13:$A$24,ORÇAMENTO!E697)),OFFSET($D697,1,$C697,ROW($C$747)-ROW($C697)),0))</f>
        <v>0</v>
      </c>
      <c r="L697" s="116" t="str">
        <f t="shared" ca="1" si="153"/>
        <v/>
      </c>
      <c r="M697" s="117" t="s">
        <v>199</v>
      </c>
      <c r="N697" s="118" t="str">
        <f t="shared" ca="1" si="154"/>
        <v>Serviço</v>
      </c>
      <c r="O697" s="119" t="str">
        <f t="shared" ca="1" si="155"/>
        <v>-</v>
      </c>
      <c r="P697" s="120" t="s">
        <v>247</v>
      </c>
      <c r="Q697" s="121" t="s">
        <v>454</v>
      </c>
      <c r="R697" s="122" t="str">
        <f ca="1">IF($C697="S",REFERENCIA.Descricao,"(digite a descrição aqui)")</f>
        <v>(abra o arquivo 'Referência 02-2025.xlsm)</v>
      </c>
      <c r="S697" s="123" t="str">
        <f ca="1">REFERENCIA.Unidade</f>
        <v>-</v>
      </c>
      <c r="T697" s="124">
        <f ca="1">OFFSET(CÁLCULO!H$15,ROW($T697)-ROW(T$15),0)</f>
        <v>48.36</v>
      </c>
      <c r="U697" s="125">
        <f t="shared" ca="1" si="172"/>
        <v>0</v>
      </c>
      <c r="V697" s="126" t="s">
        <v>156</v>
      </c>
      <c r="W697" s="124">
        <f ca="1">IF($C697="S",ROUND(IF(TIPOORCAMENTO="Proposto",ORÇAMENTO.CustoUnitario*(1+$AH697),ORÇAMENTO.PrecoUnitarioLicitado),15-13*$AF$10),0)</f>
        <v>0</v>
      </c>
      <c r="X697" s="127">
        <f ca="1">IF($C697="S",IF(Import.TipoArredondamento&lt;&gt;"TransfereGOV",VTOTAL1,SUM(OFFSET(CÁLCULO!$AA$15,ROW($X697)-ROW($X$15),1):OFFSET(CÁLCULO!$AL$15,ROW($X697)-ROW($X$15),-1))),IF($C697=0,0,ROUND(SomaAgrup,15-13*$AF$11)))</f>
        <v>0</v>
      </c>
      <c r="Y697" s="128" t="s">
        <v>245</v>
      </c>
      <c r="Z697" t="str">
        <f t="shared" ca="1" si="156"/>
        <v/>
      </c>
      <c r="AA697" s="129">
        <f ca="1">IF($C697="S",IF($Z697="CP",$X697,IF($Z697="RA",(($X697)*QCI!$AA$3),0)),SomaAgrup)</f>
        <v>0</v>
      </c>
      <c r="AB697" s="130">
        <f t="shared" ca="1" si="169"/>
        <v>0</v>
      </c>
      <c r="AC697" s="131" t="str">
        <f ca="1">IF($N697="","",IF(ORÇAMENTO.Descricao="","DESCRIÇÃO",IF(AND($C697="S",ORÇAMENTO.Unidade=""),"UNIDADE",IF($X697&lt;0,"VALOR NEGATIVO",IF(OR(AND(TIPOORCAMENTO="Proposto",$AG697&lt;&gt;"",$AG697&gt;0,ORÇAMENTO.CustoUnitario&gt;$AG697),AND(TIPOORCAMENTO="LICITADO",ORÇAMENTO.PrecoUnitarioLicitado&gt;$AN697)),"ACIMA REF.","")))))</f>
        <v/>
      </c>
      <c r="AD697" t="str">
        <f ca="1">IF(C697&lt;=CRONO.NivelExibicao,MAX($AD$15:OFFSET(AD697,-1,0))+IF($C697&lt;&gt;1,1,MAX(1,COUNTIF(QCI!$A$13:$A$24,OFFSET($E697,-1,0)))),"")</f>
        <v/>
      </c>
      <c r="AE697" s="7" t="str">
        <f ca="1">IF(AND($C697="S",ORÇAMENTO.CodBarra&lt;&gt;""),IF(ORÇAMENTO.Fonte="",ORÇAMENTO.CodBarra,CONCATENATE(ORÇAMENTO.Fonte," ",ORÇAMENTO.CodBarra)))</f>
        <v>SINAPI 96525</v>
      </c>
      <c r="AF697" s="13" t="str">
        <f ca="1">IF(ISERROR(INDIRECT(ORÇAMENTO.BancoRef)),"(abra o arquivo 'Referência "&amp;Excel_BuiltIn_Database&amp;".xlsm)",IF(OR($C697&lt;&gt;"S",ORÇAMENTO.CodBarra=""),"(Sem Código)",IF(ISERROR(MATCH($AE697,INDIRECT(ORÇAMENTO.BancoRef),0)),"(Código não identificado nas referências)",MATCH($AE697,INDIRECT(ORÇAMENTO.BancoRef),0))))</f>
        <v>(abra o arquivo 'Referência 02-2025.xlsm)</v>
      </c>
      <c r="AG697" s="498">
        <f ca="1">ROUND(IF(DESONERACAO="sim",REFERENCIA.Desonerado,REFERENCIA.NaoDesonerado),2)</f>
        <v>0</v>
      </c>
      <c r="AH697" s="499">
        <f t="shared" ca="1" si="170"/>
        <v>0.22470000000000001</v>
      </c>
      <c r="AJ697" s="501">
        <v>48.36</v>
      </c>
      <c r="AL697" s="527"/>
      <c r="AM697" s="381">
        <f t="shared" ca="1" si="159"/>
        <v>0</v>
      </c>
      <c r="AN697" s="566">
        <f t="shared" ca="1" si="171"/>
        <v>0</v>
      </c>
    </row>
    <row r="698" spans="1:40" ht="25.5" x14ac:dyDescent="0.2">
      <c r="A698" t="str">
        <f t="shared" si="168"/>
        <v>S</v>
      </c>
      <c r="B698">
        <f t="shared" ca="1" si="146"/>
        <v>3</v>
      </c>
      <c r="C698" t="str">
        <f t="shared" ca="1" si="147"/>
        <v>S</v>
      </c>
      <c r="D698">
        <f t="shared" ca="1" si="148"/>
        <v>0</v>
      </c>
      <c r="E698">
        <f ca="1">IF($C698=1,OFFSET(E698,-1,0)+MAX(1,COUNTIF(QCI!$A$13:$A$24,OFFSET(ORÇAMENTO!E698,-1,0))),OFFSET(E698,-1,0))</f>
        <v>1</v>
      </c>
      <c r="F698">
        <f t="shared" ca="1" si="149"/>
        <v>24</v>
      </c>
      <c r="G698">
        <f t="shared" ca="1" si="150"/>
        <v>1</v>
      </c>
      <c r="H698">
        <f t="shared" ca="1" si="151"/>
        <v>0</v>
      </c>
      <c r="I698">
        <f t="shared" ca="1" si="152"/>
        <v>0</v>
      </c>
      <c r="J698">
        <f t="shared" ca="1" si="173"/>
        <v>0</v>
      </c>
      <c r="K698">
        <f ca="1">IF(OR($C698="S",$C698=0),0,MATCH(OFFSET($D698,0,$C698)+IF($C698&lt;&gt;1,1,COUNTIF(QCI!$A$13:$A$24,ORÇAMENTO!E698)),OFFSET($D698,1,$C698,ROW($C$747)-ROW($C698)),0))</f>
        <v>0</v>
      </c>
      <c r="L698" s="116" t="str">
        <f t="shared" ca="1" si="153"/>
        <v/>
      </c>
      <c r="M698" s="117" t="s">
        <v>199</v>
      </c>
      <c r="N698" s="118" t="str">
        <f t="shared" ca="1" si="154"/>
        <v>Serviço</v>
      </c>
      <c r="O698" s="119" t="str">
        <f t="shared" ca="1" si="155"/>
        <v>-</v>
      </c>
      <c r="P698" s="120" t="s">
        <v>247</v>
      </c>
      <c r="Q698" s="121" t="s">
        <v>1001</v>
      </c>
      <c r="R698" s="122" t="str">
        <f ca="1">IF($C698="S",REFERENCIA.Descricao,"(digite a descrição aqui)")</f>
        <v>(abra o arquivo 'Referência 02-2025.xlsm)</v>
      </c>
      <c r="S698" s="123" t="str">
        <f ca="1">REFERENCIA.Unidade</f>
        <v>-</v>
      </c>
      <c r="T698" s="124">
        <f ca="1">OFFSET(CÁLCULO!H$15,ROW($T698)-ROW(T$15),0)</f>
        <v>270.39</v>
      </c>
      <c r="U698" s="125">
        <f t="shared" ca="1" si="172"/>
        <v>0</v>
      </c>
      <c r="V698" s="126" t="s">
        <v>156</v>
      </c>
      <c r="W698" s="124">
        <f ca="1">IF($C698="S",ROUND(IF(TIPOORCAMENTO="Proposto",ORÇAMENTO.CustoUnitario*(1+$AH698),ORÇAMENTO.PrecoUnitarioLicitado),15-13*$AF$10),0)</f>
        <v>0</v>
      </c>
      <c r="X698" s="127">
        <f ca="1">IF($C698="S",IF(Import.TipoArredondamento&lt;&gt;"TransfereGOV",VTOTAL1,SUM(OFFSET(CÁLCULO!$AA$15,ROW($X698)-ROW($X$15),1):OFFSET(CÁLCULO!$AL$15,ROW($X698)-ROW($X$15),-1))),IF($C698=0,0,ROUND(SomaAgrup,15-13*$AF$11)))</f>
        <v>0</v>
      </c>
      <c r="Y698" s="128" t="s">
        <v>245</v>
      </c>
      <c r="Z698" t="str">
        <f t="shared" ca="1" si="156"/>
        <v/>
      </c>
      <c r="AA698" s="129">
        <f ca="1">IF($C698="S",IF($Z698="CP",$X698,IF($Z698="RA",(($X698)*QCI!$AA$3),0)),SomaAgrup)</f>
        <v>0</v>
      </c>
      <c r="AB698" s="130">
        <f t="shared" ca="1" si="169"/>
        <v>0</v>
      </c>
      <c r="AC698" s="131" t="str">
        <f ca="1">IF($N698="","",IF(ORÇAMENTO.Descricao="","DESCRIÇÃO",IF(AND($C698="S",ORÇAMENTO.Unidade=""),"UNIDADE",IF($X698&lt;0,"VALOR NEGATIVO",IF(OR(AND(TIPOORCAMENTO="Proposto",$AG698&lt;&gt;"",$AG698&gt;0,ORÇAMENTO.CustoUnitario&gt;$AG698),AND(TIPOORCAMENTO="LICITADO",ORÇAMENTO.PrecoUnitarioLicitado&gt;$AN698)),"ACIMA REF.","")))))</f>
        <v/>
      </c>
      <c r="AD698" t="str">
        <f ca="1">IF(C698&lt;=CRONO.NivelExibicao,MAX($AD$15:OFFSET(AD698,-1,0))+IF($C698&lt;&gt;1,1,MAX(1,COUNTIF(QCI!$A$13:$A$24,OFFSET($E698,-1,0)))),"")</f>
        <v/>
      </c>
      <c r="AE698" s="7" t="str">
        <f ca="1">IF(AND($C698="S",ORÇAMENTO.CodBarra&lt;&gt;""),IF(ORÇAMENTO.Fonte="",ORÇAMENTO.CodBarra,CONCATENATE(ORÇAMENTO.Fonte," ",ORÇAMENTO.CodBarra)))</f>
        <v>SINAPI 101616</v>
      </c>
      <c r="AF698" s="13" t="str">
        <f ca="1">IF(ISERROR(INDIRECT(ORÇAMENTO.BancoRef)),"(abra o arquivo 'Referência "&amp;Excel_BuiltIn_Database&amp;".xlsm)",IF(OR($C698&lt;&gt;"S",ORÇAMENTO.CodBarra=""),"(Sem Código)",IF(ISERROR(MATCH($AE698,INDIRECT(ORÇAMENTO.BancoRef),0)),"(Código não identificado nas referências)",MATCH($AE698,INDIRECT(ORÇAMENTO.BancoRef),0))))</f>
        <v>(abra o arquivo 'Referência 02-2025.xlsm)</v>
      </c>
      <c r="AG698" s="498">
        <f ca="1">ROUND(IF(DESONERACAO="sim",REFERENCIA.Desonerado,REFERENCIA.NaoDesonerado),2)</f>
        <v>0</v>
      </c>
      <c r="AH698" s="499">
        <f t="shared" ca="1" si="170"/>
        <v>0.22470000000000001</v>
      </c>
      <c r="AJ698" s="501">
        <v>270.39</v>
      </c>
      <c r="AL698" s="527"/>
      <c r="AM698" s="381">
        <f t="shared" ca="1" si="159"/>
        <v>0</v>
      </c>
      <c r="AN698" s="566">
        <f t="shared" ca="1" si="171"/>
        <v>0</v>
      </c>
    </row>
    <row r="699" spans="1:40" ht="25.5" x14ac:dyDescent="0.2">
      <c r="A699" t="str">
        <f>CHOOSE(1+LOG(1+2*(ORÇAMENTO.Nivel="Meta")+4*(ORÇAMENTO.Nivel="Nível 2")+8*(ORÇAMENTO.Nivel="Nível 3")+16*(ORÇAMENTO.Nivel="Nível 4")+32*(ORÇAMENTO.Nivel="Serviço"),2),0,1,2,3,4,"S")</f>
        <v>S</v>
      </c>
      <c r="B699">
        <f ca="1">IF(OR(C699="s",C699=0),OFFSET(B699,-1,0),C699)</f>
        <v>3</v>
      </c>
      <c r="C699" t="str">
        <f ca="1">IF(OFFSET(C699,-1,0)="L",1,IF(OFFSET(C699,-1,0)=1,2,IF(OR(A699="s",A699=0),"S",IF(AND(OFFSET(C699,-1,0)=2,A699=4),3,IF(AND(OR(OFFSET(C699,-1,0)="s",OFFSET(C699,-1,0)=0),A699&lt;&gt;"s",A699&gt;OFFSET(B699,-1,0)),OFFSET(B699,-1,0),A699)))))</f>
        <v>S</v>
      </c>
      <c r="D699">
        <f ca="1">IF(OR(C699="S",C699=0),0,IF(ISERROR(K699),J699,SMALL(J699:K699,1)))</f>
        <v>0</v>
      </c>
      <c r="E699">
        <f ca="1">IF($C699=1,OFFSET(E699,-1,0)+MAX(1,COUNTIF(QCI!$A$13:$A$24,OFFSET(ORÇAMENTO!E699,-1,0))),OFFSET(E699,-1,0))</f>
        <v>1</v>
      </c>
      <c r="F699">
        <f ca="1">IF($C699=1,0,IF($C699=2,OFFSET(F699,-1,0)+1,OFFSET(F699,-1,0)))</f>
        <v>24</v>
      </c>
      <c r="G699">
        <f ca="1">IF(AND($C699&lt;=2,$C699&lt;&gt;0),0,IF($C699=3,OFFSET(G699,-1,0)+1,OFFSET(G699,-1,0)))</f>
        <v>1</v>
      </c>
      <c r="H699">
        <f ca="1">IF(AND($C699&lt;=3,$C699&lt;&gt;0),0,IF($C699=4,OFFSET(H699,-1,0)+1,OFFSET(H699,-1,0)))</f>
        <v>0</v>
      </c>
      <c r="I699">
        <f ca="1">IF(AND($C699&lt;=4,$C699&lt;&gt;0),0,IF(AND($C699="S",$X699&gt;0),OFFSET(I699,-1,0)+1,OFFSET(I699,-1,0)))</f>
        <v>0</v>
      </c>
      <c r="J699">
        <f t="shared" ca="1" si="173"/>
        <v>0</v>
      </c>
      <c r="K699">
        <f ca="1">IF(OR($C699="S",$C699=0),0,MATCH(OFFSET($D699,0,$C699)+IF($C699&lt;&gt;1,1,COUNTIF(QCI!$A$13:$A$24,ORÇAMENTO!E699)),OFFSET($D699,1,$C699,ROW($C$747)-ROW($C699)),0))</f>
        <v>0</v>
      </c>
      <c r="L699" s="116" t="str">
        <f ca="1">IF(OR($X699&gt;0,$C699=1,$C699=2,$C699=3,$C699=4),"F","")</f>
        <v/>
      </c>
      <c r="M699" s="117" t="s">
        <v>199</v>
      </c>
      <c r="N699" s="118" t="str">
        <f ca="1">CHOOSE(1+LOG(1+2*(C699=1)+4*(C699=2)+8*(C699=3)+16*(C699=4)+32*(C699="S"),2),"","Meta","Nível 2","Nível 3","Nível 4","Serviço")</f>
        <v>Serviço</v>
      </c>
      <c r="O699" s="119" t="str">
        <f ca="1">IF(OR($C699=0,$L699=""),"-",CONCATENATE(E699&amp;".",IF(AND($A$5&gt;=2,$C699&gt;=2),F699&amp;".",""),IF(AND($A$5&gt;=3,$C699&gt;=3),G699&amp;".",""),IF(AND($A$5&gt;=4,$C699&gt;=4),H699&amp;".",""),IF($C699="S",I699&amp;".","")))</f>
        <v>-</v>
      </c>
      <c r="P699" s="120" t="s">
        <v>247</v>
      </c>
      <c r="Q699" s="121" t="s">
        <v>1002</v>
      </c>
      <c r="R699" s="122" t="str">
        <f ca="1">IF($C699="S",REFERENCIA.Descricao,"(digite a descrição aqui)")</f>
        <v>(abra o arquivo 'Referência 02-2025.xlsm)</v>
      </c>
      <c r="S699" s="123" t="str">
        <f ca="1">REFERENCIA.Unidade</f>
        <v>-</v>
      </c>
      <c r="T699" s="124">
        <f ca="1">OFFSET(CÁLCULO!H$15,ROW($T699)-ROW(T$15),0)</f>
        <v>136.37</v>
      </c>
      <c r="U699" s="125">
        <f t="shared" ca="1" si="172"/>
        <v>0</v>
      </c>
      <c r="V699" s="126" t="s">
        <v>156</v>
      </c>
      <c r="W699" s="124">
        <f ca="1">IF($C699="S",ROUND(IF(TIPOORCAMENTO="Proposto",ORÇAMENTO.CustoUnitario*(1+$AH699),ORÇAMENTO.PrecoUnitarioLicitado),15-13*$AF$10),0)</f>
        <v>0</v>
      </c>
      <c r="X699" s="127">
        <f ca="1">IF($C699="S",IF(Import.TipoArredondamento&lt;&gt;"TransfereGOV",VTOTAL1,SUM(OFFSET(CÁLCULO!$AA$15,ROW($X699)-ROW($X$15),1):OFFSET(CÁLCULO!$AL$15,ROW($X699)-ROW($X$15),-1))),IF($C699=0,0,ROUND(SomaAgrup,15-13*$AF$11)))</f>
        <v>0</v>
      </c>
      <c r="Y699" s="128" t="s">
        <v>245</v>
      </c>
      <c r="Z699" t="str">
        <f ca="1">IF(AND($C699="S",$X699&gt;0),IF(ISBLANK($Y699),"RA",LEFT($Y699,2)),"")</f>
        <v/>
      </c>
      <c r="AA699" s="129">
        <f ca="1">IF($C699="S",IF($Z699="CP",$X699,IF($Z699="RA",(($X699)*QCI!$AA$3),0)),SomaAgrup)</f>
        <v>0</v>
      </c>
      <c r="AB699" s="130">
        <f ca="1">IF($C699="S",IF($Z699="OU",ROUND($X699,2),0),SomaAgrup)</f>
        <v>0</v>
      </c>
      <c r="AC699" s="131" t="str">
        <f ca="1">IF($N699="","",IF(ORÇAMENTO.Descricao="","DESCRIÇÃO",IF(AND($C699="S",ORÇAMENTO.Unidade=""),"UNIDADE",IF($X699&lt;0,"VALOR NEGATIVO",IF(OR(AND(TIPOORCAMENTO="Proposto",$AG699&lt;&gt;"",$AG699&gt;0,ORÇAMENTO.CustoUnitario&gt;$AG699),AND(TIPOORCAMENTO="LICITADO",ORÇAMENTO.PrecoUnitarioLicitado&gt;$AN699)),"ACIMA REF.","")))))</f>
        <v/>
      </c>
      <c r="AD699" t="str">
        <f ca="1">IF(C699&lt;=CRONO.NivelExibicao,MAX($AD$15:OFFSET(AD699,-1,0))+IF($C699&lt;&gt;1,1,MAX(1,COUNTIF(QCI!$A$13:$A$24,OFFSET($E699,-1,0)))),"")</f>
        <v/>
      </c>
      <c r="AE699" s="7" t="str">
        <f ca="1">IF(AND($C699="S",ORÇAMENTO.CodBarra&lt;&gt;""),IF(ORÇAMENTO.Fonte="",ORÇAMENTO.CodBarra,CONCATENATE(ORÇAMENTO.Fonte," ",ORÇAMENTO.CodBarra)))</f>
        <v>SINAPI 104740</v>
      </c>
      <c r="AF699" s="13" t="str">
        <f ca="1">IF(ISERROR(INDIRECT(ORÇAMENTO.BancoRef)),"(abra o arquivo 'Referência "&amp;Excel_BuiltIn_Database&amp;".xlsm)",IF(OR($C699&lt;&gt;"S",ORÇAMENTO.CodBarra=""),"(Sem Código)",IF(ISERROR(MATCH($AE699,INDIRECT(ORÇAMENTO.BancoRef),0)),"(Código não identificado nas referências)",MATCH($AE699,INDIRECT(ORÇAMENTO.BancoRef),0))))</f>
        <v>(abra o arquivo 'Referência 02-2025.xlsm)</v>
      </c>
      <c r="AG699" s="498">
        <f ca="1">ROUND(IF(DESONERACAO="sim",REFERENCIA.Desonerado,REFERENCIA.NaoDesonerado),2)</f>
        <v>0</v>
      </c>
      <c r="AH699" s="499">
        <f ca="1">ROUND(IF(ISNUMBER(ORÇAMENTO.OpcaoBDI),ORÇAMENTO.OpcaoBDI,IF(LEFT(ORÇAMENTO.OpcaoBDI,3)="BDI",HLOOKUP(ORÇAMENTO.OpcaoBDI,$F$4:$H$5,2,FALSE),0)),15-11*$AF$9)</f>
        <v>0.22470000000000001</v>
      </c>
      <c r="AJ699" s="501">
        <v>136.37</v>
      </c>
      <c r="AL699" s="527"/>
      <c r="AM699" s="381">
        <f t="shared" ca="1" si="159"/>
        <v>0</v>
      </c>
      <c r="AN699" s="566">
        <f ca="1">ROUND(ORÇAMENTO.CustoUnitario*(1+$AH699),2)</f>
        <v>0</v>
      </c>
    </row>
    <row r="700" spans="1:40" x14ac:dyDescent="0.2">
      <c r="A700">
        <f t="shared" si="168"/>
        <v>3</v>
      </c>
      <c r="B700">
        <f t="shared" ca="1" si="146"/>
        <v>3</v>
      </c>
      <c r="C700">
        <f t="shared" ca="1" si="147"/>
        <v>3</v>
      </c>
      <c r="D700">
        <f t="shared" ca="1" si="148"/>
        <v>8</v>
      </c>
      <c r="E700">
        <f ca="1">IF($C700=1,OFFSET(E700,-1,0)+MAX(1,COUNTIF(QCI!$A$13:$A$24,OFFSET(ORÇAMENTO!E700,-1,0))),OFFSET(E700,-1,0))</f>
        <v>1</v>
      </c>
      <c r="F700">
        <f t="shared" ca="1" si="149"/>
        <v>24</v>
      </c>
      <c r="G700">
        <f t="shared" ca="1" si="150"/>
        <v>2</v>
      </c>
      <c r="H700">
        <f t="shared" ca="1" si="151"/>
        <v>0</v>
      </c>
      <c r="I700">
        <f t="shared" ca="1" si="152"/>
        <v>0</v>
      </c>
      <c r="J700">
        <f t="shared" ca="1" si="173"/>
        <v>47</v>
      </c>
      <c r="K700">
        <f ca="1">IF(OR($C700="S",$C700=0),0,MATCH(OFFSET($D700,0,$C700)+IF($C700&lt;&gt;1,1,COUNTIF(QCI!$A$13:$A$24,ORÇAMENTO!E700)),OFFSET($D700,1,$C700,ROW($C$747)-ROW($C700)),0))</f>
        <v>8</v>
      </c>
      <c r="L700" s="116" t="str">
        <f t="shared" ca="1" si="153"/>
        <v>F</v>
      </c>
      <c r="M700" s="117" t="s">
        <v>197</v>
      </c>
      <c r="N700" s="118" t="str">
        <f t="shared" ca="1" si="154"/>
        <v>Nível 3</v>
      </c>
      <c r="O700" s="119" t="str">
        <f t="shared" ca="1" si="155"/>
        <v>1.24.2.</v>
      </c>
      <c r="P700" s="120" t="s">
        <v>247</v>
      </c>
      <c r="Q700" s="121"/>
      <c r="R700" s="122" t="str">
        <f ca="1">IF($C700="S",REFERENCIA.Descricao,"CONCRETO ARMADO PARA SAPATAS E BLOCOS")</f>
        <v>CONCRETO ARMADO PARA SAPATAS E BLOCOS</v>
      </c>
      <c r="S700" s="123" t="str">
        <f ca="1">REFERENCIA.Unidade</f>
        <v>-</v>
      </c>
      <c r="T700" s="124">
        <f ca="1">OFFSET(CÁLCULO!H$15,ROW($T700)-ROW(T$15),0)</f>
        <v>0</v>
      </c>
      <c r="U700" s="125">
        <f t="shared" ca="1" si="172"/>
        <v>0</v>
      </c>
      <c r="V700" s="126" t="s">
        <v>156</v>
      </c>
      <c r="W700" s="124">
        <f ca="1">IF($C700="S",ROUND(IF(TIPOORCAMENTO="Proposto",ORÇAMENTO.CustoUnitario*(1+$AH700),ORÇAMENTO.PrecoUnitarioLicitado),15-13*$AF$10),0)</f>
        <v>0</v>
      </c>
      <c r="X700" s="127">
        <f ca="1">IF($C700="S",IF(Import.TipoArredondamento&lt;&gt;"TransfereGOV",VTOTAL1,SUM(OFFSET(CÁLCULO!$AA$15,ROW($X700)-ROW($X$15),1):OFFSET(CÁLCULO!$AL$15,ROW($X700)-ROW($X$15),-1))),IF($C700=0,0,ROUND(SomaAgrup,15-13*$AF$11)))</f>
        <v>0</v>
      </c>
      <c r="Y700" s="128" t="s">
        <v>245</v>
      </c>
      <c r="Z700" t="str">
        <f t="shared" ca="1" si="156"/>
        <v/>
      </c>
      <c r="AA700" s="129">
        <f ca="1">IF($C700="S",IF($Z700="CP",$X700,IF($Z700="RA",(($X700)*QCI!$AA$3),0)),SomaAgrup)</f>
        <v>0</v>
      </c>
      <c r="AB700" s="130">
        <f t="shared" ca="1" si="169"/>
        <v>0</v>
      </c>
      <c r="AC700" s="131" t="str">
        <f ca="1">IF($N700="","",IF(ORÇAMENTO.Descricao="","DESCRIÇÃO",IF(AND($C700="S",ORÇAMENTO.Unidade=""),"UNIDADE",IF($X700&lt;0,"VALOR NEGATIVO",IF(OR(AND(TIPOORCAMENTO="Proposto",$AG700&lt;&gt;"",$AG700&gt;0,ORÇAMENTO.CustoUnitario&gt;$AG700),AND(TIPOORCAMENTO="LICITADO",ORÇAMENTO.PrecoUnitarioLicitado&gt;$AN700)),"ACIMA REF.","")))))</f>
        <v/>
      </c>
      <c r="AD700" t="str">
        <f ca="1">IF(C700&lt;=CRONO.NivelExibicao,MAX($AD$15:OFFSET(AD700,-1,0))+IF($C700&lt;&gt;1,1,MAX(1,COUNTIF(QCI!$A$13:$A$24,OFFSET($E700,-1,0)))),"")</f>
        <v/>
      </c>
      <c r="AE700" s="7" t="b">
        <f ca="1">IF(AND($C700="S",ORÇAMENTO.CodBarra&lt;&gt;""),IF(ORÇAMENTO.Fonte="",ORÇAMENTO.CodBarra,CONCATENATE(ORÇAMENTO.Fonte," ",ORÇAMENTO.CodBarra)))</f>
        <v>0</v>
      </c>
      <c r="AF700" s="13" t="str">
        <f ca="1">IF(ISERROR(INDIRECT(ORÇAMENTO.BancoRef)),"(abra o arquivo 'Referência "&amp;Excel_BuiltIn_Database&amp;".xlsm)",IF(OR($C700&lt;&gt;"S",ORÇAMENTO.CodBarra=""),"(Sem Código)",IF(ISERROR(MATCH($AE700,INDIRECT(ORÇAMENTO.BancoRef),0)),"(Código não identificado nas referências)",MATCH($AE700,INDIRECT(ORÇAMENTO.BancoRef),0))))</f>
        <v>(abra o arquivo 'Referência 02-2025.xlsm)</v>
      </c>
      <c r="AG700" s="498">
        <f ca="1">ROUND(IF(DESONERACAO="sim",REFERENCIA.Desonerado,REFERENCIA.NaoDesonerado),2)</f>
        <v>0</v>
      </c>
      <c r="AH700" s="499">
        <f t="shared" ca="1" si="170"/>
        <v>0.22470000000000001</v>
      </c>
      <c r="AJ700" s="501"/>
      <c r="AL700" s="527"/>
      <c r="AM700" s="381">
        <f t="shared" ca="1" si="159"/>
        <v>0</v>
      </c>
      <c r="AN700" s="566">
        <f t="shared" ca="1" si="171"/>
        <v>0</v>
      </c>
    </row>
    <row r="701" spans="1:40" ht="25.5" x14ac:dyDescent="0.2">
      <c r="A701" t="str">
        <f t="shared" si="168"/>
        <v>S</v>
      </c>
      <c r="B701">
        <f t="shared" ca="1" si="146"/>
        <v>3</v>
      </c>
      <c r="C701" t="str">
        <f t="shared" ca="1" si="147"/>
        <v>S</v>
      </c>
      <c r="D701">
        <f t="shared" ca="1" si="148"/>
        <v>0</v>
      </c>
      <c r="E701">
        <f ca="1">IF($C701=1,OFFSET(E701,-1,0)+MAX(1,COUNTIF(QCI!$A$13:$A$24,OFFSET(ORÇAMENTO!E701,-1,0))),OFFSET(E701,-1,0))</f>
        <v>1</v>
      </c>
      <c r="F701">
        <f t="shared" ca="1" si="149"/>
        <v>24</v>
      </c>
      <c r="G701">
        <f t="shared" ca="1" si="150"/>
        <v>2</v>
      </c>
      <c r="H701">
        <f t="shared" ca="1" si="151"/>
        <v>0</v>
      </c>
      <c r="I701">
        <f t="shared" ca="1" si="152"/>
        <v>0</v>
      </c>
      <c r="J701">
        <f t="shared" ca="1" si="173"/>
        <v>0</v>
      </c>
      <c r="K701">
        <f ca="1">IF(OR($C701="S",$C701=0),0,MATCH(OFFSET($D701,0,$C701)+IF($C701&lt;&gt;1,1,COUNTIF(QCI!$A$13:$A$24,ORÇAMENTO!E701)),OFFSET($D701,1,$C701,ROW($C$747)-ROW($C701)),0))</f>
        <v>0</v>
      </c>
      <c r="L701" s="116" t="str">
        <f t="shared" ca="1" si="153"/>
        <v/>
      </c>
      <c r="M701" s="117" t="s">
        <v>199</v>
      </c>
      <c r="N701" s="118" t="str">
        <f t="shared" ca="1" si="154"/>
        <v>Serviço</v>
      </c>
      <c r="O701" s="119" t="str">
        <f t="shared" ca="1" si="155"/>
        <v>-</v>
      </c>
      <c r="P701" s="120" t="s">
        <v>247</v>
      </c>
      <c r="Q701" s="121" t="s">
        <v>1003</v>
      </c>
      <c r="R701" s="122" t="str">
        <f ca="1">IF($C701="S",REFERENCIA.Descricao,"(digite a descrição aqui)")</f>
        <v>(abra o arquivo 'Referência 02-2025.xlsm)</v>
      </c>
      <c r="S701" s="123" t="str">
        <f ca="1">REFERENCIA.Unidade</f>
        <v>-</v>
      </c>
      <c r="T701" s="124">
        <f ca="1">OFFSET(CÁLCULO!H$15,ROW($T701)-ROW(T$15),0)</f>
        <v>5.46</v>
      </c>
      <c r="U701" s="125">
        <f t="shared" ca="1" si="172"/>
        <v>0</v>
      </c>
      <c r="V701" s="126" t="s">
        <v>156</v>
      </c>
      <c r="W701" s="124">
        <f ca="1">IF($C701="S",ROUND(IF(TIPOORCAMENTO="Proposto",ORÇAMENTO.CustoUnitario*(1+$AH701),ORÇAMENTO.PrecoUnitarioLicitado),15-13*$AF$10),0)</f>
        <v>0</v>
      </c>
      <c r="X701" s="127">
        <f ca="1">IF($C701="S",IF(Import.TipoArredondamento&lt;&gt;"TransfereGOV",VTOTAL1,SUM(OFFSET(CÁLCULO!$AA$15,ROW($X701)-ROW($X$15),1):OFFSET(CÁLCULO!$AL$15,ROW($X701)-ROW($X$15),-1))),IF($C701=0,0,ROUND(SomaAgrup,15-13*$AF$11)))</f>
        <v>0</v>
      </c>
      <c r="Y701" s="128" t="s">
        <v>245</v>
      </c>
      <c r="Z701" t="str">
        <f t="shared" ca="1" si="156"/>
        <v/>
      </c>
      <c r="AA701" s="129">
        <f ca="1">IF($C701="S",IF($Z701="CP",$X701,IF($Z701="RA",(($X701)*QCI!$AA$3),0)),SomaAgrup)</f>
        <v>0</v>
      </c>
      <c r="AB701" s="130">
        <f t="shared" ca="1" si="169"/>
        <v>0</v>
      </c>
      <c r="AC701" s="131" t="str">
        <f ca="1">IF($N701="","",IF(ORÇAMENTO.Descricao="","DESCRIÇÃO",IF(AND($C701="S",ORÇAMENTO.Unidade=""),"UNIDADE",IF($X701&lt;0,"VALOR NEGATIVO",IF(OR(AND(TIPOORCAMENTO="Proposto",$AG701&lt;&gt;"",$AG701&gt;0,ORÇAMENTO.CustoUnitario&gt;$AG701),AND(TIPOORCAMENTO="LICITADO",ORÇAMENTO.PrecoUnitarioLicitado&gt;$AN701)),"ACIMA REF.","")))))</f>
        <v/>
      </c>
      <c r="AD701" t="str">
        <f ca="1">IF(C701&lt;=CRONO.NivelExibicao,MAX($AD$15:OFFSET(AD701,-1,0))+IF($C701&lt;&gt;1,1,MAX(1,COUNTIF(QCI!$A$13:$A$24,OFFSET($E701,-1,0)))),"")</f>
        <v/>
      </c>
      <c r="AE701" s="7" t="str">
        <f ca="1">IF(AND($C701="S",ORÇAMENTO.CodBarra&lt;&gt;""),IF(ORÇAMENTO.Fonte="",ORÇAMENTO.CodBarra,CONCATENATE(ORÇAMENTO.Fonte," ",ORÇAMENTO.CodBarra)))</f>
        <v>SINAPI 96621</v>
      </c>
      <c r="AF701" s="13" t="str">
        <f ca="1">IF(ISERROR(INDIRECT(ORÇAMENTO.BancoRef)),"(abra o arquivo 'Referência "&amp;Excel_BuiltIn_Database&amp;".xlsm)",IF(OR($C701&lt;&gt;"S",ORÇAMENTO.CodBarra=""),"(Sem Código)",IF(ISERROR(MATCH($AE701,INDIRECT(ORÇAMENTO.BancoRef),0)),"(Código não identificado nas referências)",MATCH($AE701,INDIRECT(ORÇAMENTO.BancoRef),0))))</f>
        <v>(abra o arquivo 'Referência 02-2025.xlsm)</v>
      </c>
      <c r="AG701" s="498">
        <f ca="1">ROUND(IF(DESONERACAO="sim",REFERENCIA.Desonerado,REFERENCIA.NaoDesonerado),2)</f>
        <v>0</v>
      </c>
      <c r="AH701" s="499">
        <f t="shared" ca="1" si="170"/>
        <v>0.22470000000000001</v>
      </c>
      <c r="AJ701" s="501">
        <v>5.46</v>
      </c>
      <c r="AL701" s="527"/>
      <c r="AM701" s="381">
        <f t="shared" ca="1" si="159"/>
        <v>0</v>
      </c>
      <c r="AN701" s="566">
        <f t="shared" ca="1" si="171"/>
        <v>0</v>
      </c>
    </row>
    <row r="702" spans="1:40" ht="25.5" x14ac:dyDescent="0.2">
      <c r="A702" t="str">
        <f t="shared" si="168"/>
        <v>S</v>
      </c>
      <c r="B702">
        <f t="shared" ca="1" si="146"/>
        <v>3</v>
      </c>
      <c r="C702" t="str">
        <f t="shared" ca="1" si="147"/>
        <v>S</v>
      </c>
      <c r="D702">
        <f t="shared" ca="1" si="148"/>
        <v>0</v>
      </c>
      <c r="E702">
        <f ca="1">IF($C702=1,OFFSET(E702,-1,0)+MAX(1,COUNTIF(QCI!$A$13:$A$24,OFFSET(ORÇAMENTO!E702,-1,0))),OFFSET(E702,-1,0))</f>
        <v>1</v>
      </c>
      <c r="F702">
        <f t="shared" ca="1" si="149"/>
        <v>24</v>
      </c>
      <c r="G702">
        <f t="shared" ca="1" si="150"/>
        <v>2</v>
      </c>
      <c r="H702">
        <f t="shared" ca="1" si="151"/>
        <v>0</v>
      </c>
      <c r="I702">
        <f t="shared" ca="1" si="152"/>
        <v>0</v>
      </c>
      <c r="J702">
        <f t="shared" ca="1" si="173"/>
        <v>0</v>
      </c>
      <c r="K702">
        <f ca="1">IF(OR($C702="S",$C702=0),0,MATCH(OFFSET($D702,0,$C702)+IF($C702&lt;&gt;1,1,COUNTIF(QCI!$A$13:$A$24,ORÇAMENTO!E702)),OFFSET($D702,1,$C702,ROW($C$747)-ROW($C702)),0))</f>
        <v>0</v>
      </c>
      <c r="L702" s="116" t="str">
        <f t="shared" ca="1" si="153"/>
        <v/>
      </c>
      <c r="M702" s="117" t="s">
        <v>199</v>
      </c>
      <c r="N702" s="118" t="str">
        <f t="shared" ca="1" si="154"/>
        <v>Serviço</v>
      </c>
      <c r="O702" s="119" t="str">
        <f t="shared" ca="1" si="155"/>
        <v>-</v>
      </c>
      <c r="P702" s="120" t="s">
        <v>247</v>
      </c>
      <c r="Q702" s="121" t="s">
        <v>455</v>
      </c>
      <c r="R702" s="122" t="str">
        <f ca="1">IF($C702="S",REFERENCIA.Descricao,"(digite a descrição aqui)")</f>
        <v>(abra o arquivo 'Referência 02-2025.xlsm)</v>
      </c>
      <c r="S702" s="123" t="str">
        <f ca="1">REFERENCIA.Unidade</f>
        <v>-</v>
      </c>
      <c r="T702" s="124">
        <f ca="1">OFFSET(CÁLCULO!H$15,ROW($T702)-ROW(T$15),0)</f>
        <v>109.2</v>
      </c>
      <c r="U702" s="125">
        <f t="shared" ca="1" si="172"/>
        <v>0</v>
      </c>
      <c r="V702" s="126" t="s">
        <v>156</v>
      </c>
      <c r="W702" s="124">
        <f ca="1">IF($C702="S",ROUND(IF(TIPOORCAMENTO="Proposto",ORÇAMENTO.CustoUnitario*(1+$AH702),ORÇAMENTO.PrecoUnitarioLicitado),15-13*$AF$10),0)</f>
        <v>0</v>
      </c>
      <c r="X702" s="127">
        <f ca="1">IF($C702="S",IF(Import.TipoArredondamento&lt;&gt;"TransfereGOV",VTOTAL1,SUM(OFFSET(CÁLCULO!$AA$15,ROW($X702)-ROW($X$15),1):OFFSET(CÁLCULO!$AL$15,ROW($X702)-ROW($X$15),-1))),IF($C702=0,0,ROUND(SomaAgrup,15-13*$AF$11)))</f>
        <v>0</v>
      </c>
      <c r="Y702" s="128" t="s">
        <v>245</v>
      </c>
      <c r="Z702" t="str">
        <f t="shared" ca="1" si="156"/>
        <v/>
      </c>
      <c r="AA702" s="129">
        <f ca="1">IF($C702="S",IF($Z702="CP",$X702,IF($Z702="RA",(($X702)*QCI!$AA$3),0)),SomaAgrup)</f>
        <v>0</v>
      </c>
      <c r="AB702" s="130">
        <f t="shared" ca="1" si="169"/>
        <v>0</v>
      </c>
      <c r="AC702" s="131" t="str">
        <f ca="1">IF($N702="","",IF(ORÇAMENTO.Descricao="","DESCRIÇÃO",IF(AND($C702="S",ORÇAMENTO.Unidade=""),"UNIDADE",IF($X702&lt;0,"VALOR NEGATIVO",IF(OR(AND(TIPOORCAMENTO="Proposto",$AG702&lt;&gt;"",$AG702&gt;0,ORÇAMENTO.CustoUnitario&gt;$AG702),AND(TIPOORCAMENTO="LICITADO",ORÇAMENTO.PrecoUnitarioLicitado&gt;$AN702)),"ACIMA REF.","")))))</f>
        <v/>
      </c>
      <c r="AD702" t="str">
        <f ca="1">IF(C702&lt;=CRONO.NivelExibicao,MAX($AD$15:OFFSET(AD702,-1,0))+IF($C702&lt;&gt;1,1,MAX(1,COUNTIF(QCI!$A$13:$A$24,OFFSET($E702,-1,0)))),"")</f>
        <v/>
      </c>
      <c r="AE702" s="7" t="str">
        <f ca="1">IF(AND($C702="S",ORÇAMENTO.CodBarra&lt;&gt;""),IF(ORÇAMENTO.Fonte="",ORÇAMENTO.CodBarra,CONCATENATE(ORÇAMENTO.Fonte," ",ORÇAMENTO.CodBarra)))</f>
        <v>SINAPI 96619</v>
      </c>
      <c r="AF702" s="13" t="str">
        <f ca="1">IF(ISERROR(INDIRECT(ORÇAMENTO.BancoRef)),"(abra o arquivo 'Referência "&amp;Excel_BuiltIn_Database&amp;".xlsm)",IF(OR($C702&lt;&gt;"S",ORÇAMENTO.CodBarra=""),"(Sem Código)",IF(ISERROR(MATCH($AE702,INDIRECT(ORÇAMENTO.BancoRef),0)),"(Código não identificado nas referências)",MATCH($AE702,INDIRECT(ORÇAMENTO.BancoRef),0))))</f>
        <v>(abra o arquivo 'Referência 02-2025.xlsm)</v>
      </c>
      <c r="AG702" s="498">
        <f ca="1">ROUND(IF(DESONERACAO="sim",REFERENCIA.Desonerado,REFERENCIA.NaoDesonerado),2)</f>
        <v>0</v>
      </c>
      <c r="AH702" s="499">
        <f t="shared" ca="1" si="170"/>
        <v>0.22470000000000001</v>
      </c>
      <c r="AJ702" s="501">
        <v>109.2</v>
      </c>
      <c r="AL702" s="527"/>
      <c r="AM702" s="381">
        <f t="shared" ca="1" si="159"/>
        <v>0</v>
      </c>
      <c r="AN702" s="566">
        <f t="shared" ca="1" si="171"/>
        <v>0</v>
      </c>
    </row>
    <row r="703" spans="1:40" ht="38.25" x14ac:dyDescent="0.2">
      <c r="A703" t="str">
        <f t="shared" si="168"/>
        <v>S</v>
      </c>
      <c r="B703">
        <f t="shared" ca="1" si="146"/>
        <v>3</v>
      </c>
      <c r="C703" t="str">
        <f t="shared" ca="1" si="147"/>
        <v>S</v>
      </c>
      <c r="D703">
        <f t="shared" ca="1" si="148"/>
        <v>0</v>
      </c>
      <c r="E703">
        <f ca="1">IF($C703=1,OFFSET(E703,-1,0)+MAX(1,COUNTIF(QCI!$A$13:$A$24,OFFSET(ORÇAMENTO!E703,-1,0))),OFFSET(E703,-1,0))</f>
        <v>1</v>
      </c>
      <c r="F703">
        <f t="shared" ca="1" si="149"/>
        <v>24</v>
      </c>
      <c r="G703">
        <f t="shared" ca="1" si="150"/>
        <v>2</v>
      </c>
      <c r="H703">
        <f t="shared" ca="1" si="151"/>
        <v>0</v>
      </c>
      <c r="I703">
        <f t="shared" ca="1" si="152"/>
        <v>0</v>
      </c>
      <c r="J703">
        <f t="shared" ca="1" si="173"/>
        <v>0</v>
      </c>
      <c r="K703">
        <f ca="1">IF(OR($C703="S",$C703=0),0,MATCH(OFFSET($D703,0,$C703)+IF($C703&lt;&gt;1,1,COUNTIF(QCI!$A$13:$A$24,ORÇAMENTO!E703)),OFFSET($D703,1,$C703,ROW($C$747)-ROW($C703)),0))</f>
        <v>0</v>
      </c>
      <c r="L703" s="116" t="str">
        <f t="shared" ca="1" si="153"/>
        <v/>
      </c>
      <c r="M703" s="117" t="s">
        <v>199</v>
      </c>
      <c r="N703" s="118" t="str">
        <f t="shared" ca="1" si="154"/>
        <v>Serviço</v>
      </c>
      <c r="O703" s="119" t="str">
        <f t="shared" ca="1" si="155"/>
        <v>-</v>
      </c>
      <c r="P703" s="120" t="s">
        <v>247</v>
      </c>
      <c r="Q703" s="121" t="s">
        <v>1004</v>
      </c>
      <c r="R703" s="122" t="str">
        <f ca="1">IF($C703="S",REFERENCIA.Descricao,"(digite a descrição aqui)")</f>
        <v>(abra o arquivo 'Referência 02-2025.xlsm)</v>
      </c>
      <c r="S703" s="123" t="str">
        <f ca="1">REFERENCIA.Unidade</f>
        <v>-</v>
      </c>
      <c r="T703" s="124">
        <f ca="1">OFFSET(CÁLCULO!H$15,ROW($T703)-ROW(T$15),0)</f>
        <v>83.33</v>
      </c>
      <c r="U703" s="125">
        <f t="shared" ca="1" si="172"/>
        <v>0</v>
      </c>
      <c r="V703" s="126" t="s">
        <v>156</v>
      </c>
      <c r="W703" s="124">
        <f ca="1">IF($C703="S",ROUND(IF(TIPOORCAMENTO="Proposto",ORÇAMENTO.CustoUnitario*(1+$AH703),ORÇAMENTO.PrecoUnitarioLicitado),15-13*$AF$10),0)</f>
        <v>0</v>
      </c>
      <c r="X703" s="127">
        <f ca="1">IF($C703="S",IF(Import.TipoArredondamento&lt;&gt;"TransfereGOV",VTOTAL1,SUM(OFFSET(CÁLCULO!$AA$15,ROW($X703)-ROW($X$15),1):OFFSET(CÁLCULO!$AL$15,ROW($X703)-ROW($X$15),-1))),IF($C703=0,0,ROUND(SomaAgrup,15-13*$AF$11)))</f>
        <v>0</v>
      </c>
      <c r="Y703" s="128" t="s">
        <v>245</v>
      </c>
      <c r="Z703" t="str">
        <f t="shared" ca="1" si="156"/>
        <v/>
      </c>
      <c r="AA703" s="129">
        <f ca="1">IF($C703="S",IF($Z703="CP",$X703,IF($Z703="RA",(($X703)*QCI!$AA$3),0)),SomaAgrup)</f>
        <v>0</v>
      </c>
      <c r="AB703" s="130">
        <f t="shared" ca="1" si="169"/>
        <v>0</v>
      </c>
      <c r="AC703" s="131" t="str">
        <f ca="1">IF($N703="","",IF(ORÇAMENTO.Descricao="","DESCRIÇÃO",IF(AND($C703="S",ORÇAMENTO.Unidade=""),"UNIDADE",IF($X703&lt;0,"VALOR NEGATIVO",IF(OR(AND(TIPOORCAMENTO="Proposto",$AG703&lt;&gt;"",$AG703&gt;0,ORÇAMENTO.CustoUnitario&gt;$AG703),AND(TIPOORCAMENTO="LICITADO",ORÇAMENTO.PrecoUnitarioLicitado&gt;$AN703)),"ACIMA REF.","")))))</f>
        <v/>
      </c>
      <c r="AD703" t="str">
        <f ca="1">IF(C703&lt;=CRONO.NivelExibicao,MAX($AD$15:OFFSET(AD703,-1,0))+IF($C703&lt;&gt;1,1,MAX(1,COUNTIF(QCI!$A$13:$A$24,OFFSET($E703,-1,0)))),"")</f>
        <v/>
      </c>
      <c r="AE703" s="7" t="str">
        <f ca="1">IF(AND($C703="S",ORÇAMENTO.CodBarra&lt;&gt;""),IF(ORÇAMENTO.Fonte="",ORÇAMENTO.CodBarra,CONCATENATE(ORÇAMENTO.Fonte," ",ORÇAMENTO.CodBarra)))</f>
        <v>SINAPI 96535</v>
      </c>
      <c r="AF703" s="13" t="str">
        <f ca="1">IF(ISERROR(INDIRECT(ORÇAMENTO.BancoRef)),"(abra o arquivo 'Referência "&amp;Excel_BuiltIn_Database&amp;".xlsm)",IF(OR($C703&lt;&gt;"S",ORÇAMENTO.CodBarra=""),"(Sem Código)",IF(ISERROR(MATCH($AE703,INDIRECT(ORÇAMENTO.BancoRef),0)),"(Código não identificado nas referências)",MATCH($AE703,INDIRECT(ORÇAMENTO.BancoRef),0))))</f>
        <v>(abra o arquivo 'Referência 02-2025.xlsm)</v>
      </c>
      <c r="AG703" s="498">
        <f ca="1">ROUND(IF(DESONERACAO="sim",REFERENCIA.Desonerado,REFERENCIA.NaoDesonerado),2)</f>
        <v>0</v>
      </c>
      <c r="AH703" s="499">
        <f t="shared" ca="1" si="170"/>
        <v>0.22470000000000001</v>
      </c>
      <c r="AJ703" s="501">
        <v>83.33</v>
      </c>
      <c r="AL703" s="527"/>
      <c r="AM703" s="381">
        <f t="shared" ca="1" si="159"/>
        <v>0</v>
      </c>
      <c r="AN703" s="566">
        <f t="shared" ca="1" si="171"/>
        <v>0</v>
      </c>
    </row>
    <row r="704" spans="1:40" ht="25.5" x14ac:dyDescent="0.2">
      <c r="A704" t="str">
        <f t="shared" si="168"/>
        <v>S</v>
      </c>
      <c r="B704">
        <f t="shared" ca="1" si="146"/>
        <v>3</v>
      </c>
      <c r="C704" t="str">
        <f t="shared" ca="1" si="147"/>
        <v>S</v>
      </c>
      <c r="D704">
        <f t="shared" ca="1" si="148"/>
        <v>0</v>
      </c>
      <c r="E704">
        <f ca="1">IF($C704=1,OFFSET(E704,-1,0)+MAX(1,COUNTIF(QCI!$A$13:$A$24,OFFSET(ORÇAMENTO!E704,-1,0))),OFFSET(E704,-1,0))</f>
        <v>1</v>
      </c>
      <c r="F704">
        <f t="shared" ca="1" si="149"/>
        <v>24</v>
      </c>
      <c r="G704">
        <f t="shared" ca="1" si="150"/>
        <v>2</v>
      </c>
      <c r="H704">
        <f t="shared" ca="1" si="151"/>
        <v>0</v>
      </c>
      <c r="I704">
        <f t="shared" ca="1" si="152"/>
        <v>0</v>
      </c>
      <c r="J704">
        <f t="shared" ca="1" si="173"/>
        <v>0</v>
      </c>
      <c r="K704">
        <f ca="1">IF(OR($C704="S",$C704=0),0,MATCH(OFFSET($D704,0,$C704)+IF($C704&lt;&gt;1,1,COUNTIF(QCI!$A$13:$A$24,ORÇAMENTO!E704)),OFFSET($D704,1,$C704,ROW($C$747)-ROW($C704)),0))</f>
        <v>0</v>
      </c>
      <c r="L704" s="116" t="str">
        <f t="shared" ca="1" si="153"/>
        <v/>
      </c>
      <c r="M704" s="117" t="s">
        <v>199</v>
      </c>
      <c r="N704" s="118" t="str">
        <f t="shared" ca="1" si="154"/>
        <v>Serviço</v>
      </c>
      <c r="O704" s="119" t="str">
        <f t="shared" ca="1" si="155"/>
        <v>-</v>
      </c>
      <c r="P704" s="120" t="s">
        <v>247</v>
      </c>
      <c r="Q704" s="121" t="s">
        <v>458</v>
      </c>
      <c r="R704" s="122" t="str">
        <f ca="1">IF($C704="S",REFERENCIA.Descricao,"(digite a descrição aqui)")</f>
        <v>(abra o arquivo 'Referência 02-2025.xlsm)</v>
      </c>
      <c r="S704" s="123" t="str">
        <f ca="1">REFERENCIA.Unidade</f>
        <v>-</v>
      </c>
      <c r="T704" s="124">
        <f ca="1">OFFSET(CÁLCULO!H$15,ROW($T704)-ROW(T$15),0)</f>
        <v>3050.79</v>
      </c>
      <c r="U704" s="125">
        <f t="shared" ca="1" si="172"/>
        <v>0</v>
      </c>
      <c r="V704" s="126" t="s">
        <v>156</v>
      </c>
      <c r="W704" s="124">
        <f ca="1">IF($C704="S",ROUND(IF(TIPOORCAMENTO="Proposto",ORÇAMENTO.CustoUnitario*(1+$AH704),ORÇAMENTO.PrecoUnitarioLicitado),15-13*$AF$10),0)</f>
        <v>0</v>
      </c>
      <c r="X704" s="127">
        <f ca="1">IF($C704="S",IF(Import.TipoArredondamento&lt;&gt;"TransfereGOV",VTOTAL1,SUM(OFFSET(CÁLCULO!$AA$15,ROW($X704)-ROW($X$15),1):OFFSET(CÁLCULO!$AL$15,ROW($X704)-ROW($X$15),-1))),IF($C704=0,0,ROUND(SomaAgrup,15-13*$AF$11)))</f>
        <v>0</v>
      </c>
      <c r="Y704" s="128" t="s">
        <v>245</v>
      </c>
      <c r="Z704" t="str">
        <f t="shared" ca="1" si="156"/>
        <v/>
      </c>
      <c r="AA704" s="129">
        <f ca="1">IF($C704="S",IF($Z704="CP",$X704,IF($Z704="RA",(($X704)*QCI!$AA$3),0)),SomaAgrup)</f>
        <v>0</v>
      </c>
      <c r="AB704" s="130">
        <f t="shared" ca="1" si="169"/>
        <v>0</v>
      </c>
      <c r="AC704" s="131" t="str">
        <f ca="1">IF($N704="","",IF(ORÇAMENTO.Descricao="","DESCRIÇÃO",IF(AND($C704="S",ORÇAMENTO.Unidade=""),"UNIDADE",IF($X704&lt;0,"VALOR NEGATIVO",IF(OR(AND(TIPOORCAMENTO="Proposto",$AG704&lt;&gt;"",$AG704&gt;0,ORÇAMENTO.CustoUnitario&gt;$AG704),AND(TIPOORCAMENTO="LICITADO",ORÇAMENTO.PrecoUnitarioLicitado&gt;$AN704)),"ACIMA REF.","")))))</f>
        <v/>
      </c>
      <c r="AD704" t="str">
        <f ca="1">IF(C704&lt;=CRONO.NivelExibicao,MAX($AD$15:OFFSET(AD704,-1,0))+IF($C704&lt;&gt;1,1,MAX(1,COUNTIF(QCI!$A$13:$A$24,OFFSET($E704,-1,0)))),"")</f>
        <v/>
      </c>
      <c r="AE704" s="7" t="str">
        <f ca="1">IF(AND($C704="S",ORÇAMENTO.CodBarra&lt;&gt;""),IF(ORÇAMENTO.Fonte="",ORÇAMENTO.CodBarra,CONCATENATE(ORÇAMENTO.Fonte," ",ORÇAMENTO.CodBarra)))</f>
        <v>SINAPI 104918</v>
      </c>
      <c r="AF704" s="13" t="str">
        <f ca="1">IF(ISERROR(INDIRECT(ORÇAMENTO.BancoRef)),"(abra o arquivo 'Referência "&amp;Excel_BuiltIn_Database&amp;".xlsm)",IF(OR($C704&lt;&gt;"S",ORÇAMENTO.CodBarra=""),"(Sem Código)",IF(ISERROR(MATCH($AE704,INDIRECT(ORÇAMENTO.BancoRef),0)),"(Código não identificado nas referências)",MATCH($AE704,INDIRECT(ORÇAMENTO.BancoRef),0))))</f>
        <v>(abra o arquivo 'Referência 02-2025.xlsm)</v>
      </c>
      <c r="AG704" s="498">
        <f ca="1">ROUND(IF(DESONERACAO="sim",REFERENCIA.Desonerado,REFERENCIA.NaoDesonerado),2)</f>
        <v>0</v>
      </c>
      <c r="AH704" s="499">
        <f t="shared" ca="1" si="170"/>
        <v>0.22470000000000001</v>
      </c>
      <c r="AJ704" s="501">
        <v>3050.79</v>
      </c>
      <c r="AL704" s="527"/>
      <c r="AM704" s="381">
        <f t="shared" ca="1" si="159"/>
        <v>0</v>
      </c>
      <c r="AN704" s="566">
        <f t="shared" ca="1" si="171"/>
        <v>0</v>
      </c>
    </row>
    <row r="705" spans="1:40" ht="25.5" x14ac:dyDescent="0.2">
      <c r="A705" t="str">
        <f t="shared" si="168"/>
        <v>S</v>
      </c>
      <c r="B705">
        <f t="shared" ca="1" si="146"/>
        <v>3</v>
      </c>
      <c r="C705" t="str">
        <f t="shared" ca="1" si="147"/>
        <v>S</v>
      </c>
      <c r="D705">
        <f t="shared" ca="1" si="148"/>
        <v>0</v>
      </c>
      <c r="E705">
        <f ca="1">IF($C705=1,OFFSET(E705,-1,0)+MAX(1,COUNTIF(QCI!$A$13:$A$24,OFFSET(ORÇAMENTO!E705,-1,0))),OFFSET(E705,-1,0))</f>
        <v>1</v>
      </c>
      <c r="F705">
        <f t="shared" ca="1" si="149"/>
        <v>24</v>
      </c>
      <c r="G705">
        <f t="shared" ca="1" si="150"/>
        <v>2</v>
      </c>
      <c r="H705">
        <f t="shared" ca="1" si="151"/>
        <v>0</v>
      </c>
      <c r="I705">
        <f t="shared" ca="1" si="152"/>
        <v>0</v>
      </c>
      <c r="J705">
        <f t="shared" ca="1" si="173"/>
        <v>0</v>
      </c>
      <c r="K705">
        <f ca="1">IF(OR($C705="S",$C705=0),0,MATCH(OFFSET($D705,0,$C705)+IF($C705&lt;&gt;1,1,COUNTIF(QCI!$A$13:$A$24,ORÇAMENTO!E705)),OFFSET($D705,1,$C705,ROW($C$747)-ROW($C705)),0))</f>
        <v>0</v>
      </c>
      <c r="L705" s="116" t="str">
        <f t="shared" ca="1" si="153"/>
        <v/>
      </c>
      <c r="M705" s="117" t="s">
        <v>199</v>
      </c>
      <c r="N705" s="118" t="str">
        <f t="shared" ca="1" si="154"/>
        <v>Serviço</v>
      </c>
      <c r="O705" s="119" t="str">
        <f t="shared" ca="1" si="155"/>
        <v>-</v>
      </c>
      <c r="P705" s="120" t="s">
        <v>247</v>
      </c>
      <c r="Q705" s="121" t="s">
        <v>459</v>
      </c>
      <c r="R705" s="122" t="str">
        <f ca="1">IF($C705="S",REFERENCIA.Descricao,"(digite a descrição aqui)")</f>
        <v>(abra o arquivo 'Referência 02-2025.xlsm)</v>
      </c>
      <c r="S705" s="123" t="str">
        <f ca="1">REFERENCIA.Unidade</f>
        <v>-</v>
      </c>
      <c r="T705" s="124">
        <f ca="1">OFFSET(CÁLCULO!H$15,ROW($T705)-ROW(T$15),0)</f>
        <v>250.16</v>
      </c>
      <c r="U705" s="125">
        <f t="shared" ca="1" si="172"/>
        <v>0</v>
      </c>
      <c r="V705" s="126" t="s">
        <v>156</v>
      </c>
      <c r="W705" s="124">
        <f ca="1">IF($C705="S",ROUND(IF(TIPOORCAMENTO="Proposto",ORÇAMENTO.CustoUnitario*(1+$AH705),ORÇAMENTO.PrecoUnitarioLicitado),15-13*$AF$10),0)</f>
        <v>0</v>
      </c>
      <c r="X705" s="127">
        <f ca="1">IF($C705="S",IF(Import.TipoArredondamento&lt;&gt;"TransfereGOV",VTOTAL1,SUM(OFFSET(CÁLCULO!$AA$15,ROW($X705)-ROW($X$15),1):OFFSET(CÁLCULO!$AL$15,ROW($X705)-ROW($X$15),-1))),IF($C705=0,0,ROUND(SomaAgrup,15-13*$AF$11)))</f>
        <v>0</v>
      </c>
      <c r="Y705" s="128" t="s">
        <v>245</v>
      </c>
      <c r="Z705" t="str">
        <f t="shared" ca="1" si="156"/>
        <v/>
      </c>
      <c r="AA705" s="129">
        <f ca="1">IF($C705="S",IF($Z705="CP",$X705,IF($Z705="RA",(($X705)*QCI!$AA$3),0)),SomaAgrup)</f>
        <v>0</v>
      </c>
      <c r="AB705" s="130">
        <f t="shared" ca="1" si="169"/>
        <v>0</v>
      </c>
      <c r="AC705" s="131" t="str">
        <f ca="1">IF($N705="","",IF(ORÇAMENTO.Descricao="","DESCRIÇÃO",IF(AND($C705="S",ORÇAMENTO.Unidade=""),"UNIDADE",IF($X705&lt;0,"VALOR NEGATIVO",IF(OR(AND(TIPOORCAMENTO="Proposto",$AG705&lt;&gt;"",$AG705&gt;0,ORÇAMENTO.CustoUnitario&gt;$AG705),AND(TIPOORCAMENTO="LICITADO",ORÇAMENTO.PrecoUnitarioLicitado&gt;$AN705)),"ACIMA REF.","")))))</f>
        <v/>
      </c>
      <c r="AD705" t="str">
        <f ca="1">IF(C705&lt;=CRONO.NivelExibicao,MAX($AD$15:OFFSET(AD705,-1,0))+IF($C705&lt;&gt;1,1,MAX(1,COUNTIF(QCI!$A$13:$A$24,OFFSET($E705,-1,0)))),"")</f>
        <v/>
      </c>
      <c r="AE705" s="7" t="str">
        <f ca="1">IF(AND($C705="S",ORÇAMENTO.CodBarra&lt;&gt;""),IF(ORÇAMENTO.Fonte="",ORÇAMENTO.CodBarra,CONCATENATE(ORÇAMENTO.Fonte," ",ORÇAMENTO.CodBarra)))</f>
        <v>SINAPI 104919</v>
      </c>
      <c r="AF705" s="13" t="str">
        <f ca="1">IF(ISERROR(INDIRECT(ORÇAMENTO.BancoRef)),"(abra o arquivo 'Referência "&amp;Excel_BuiltIn_Database&amp;".xlsm)",IF(OR($C705&lt;&gt;"S",ORÇAMENTO.CodBarra=""),"(Sem Código)",IF(ISERROR(MATCH($AE705,INDIRECT(ORÇAMENTO.BancoRef),0)),"(Código não identificado nas referências)",MATCH($AE705,INDIRECT(ORÇAMENTO.BancoRef),0))))</f>
        <v>(abra o arquivo 'Referência 02-2025.xlsm)</v>
      </c>
      <c r="AG705" s="498">
        <f ca="1">ROUND(IF(DESONERACAO="sim",REFERENCIA.Desonerado,REFERENCIA.NaoDesonerado),2)</f>
        <v>0</v>
      </c>
      <c r="AH705" s="499">
        <f t="shared" ca="1" si="170"/>
        <v>0.22470000000000001</v>
      </c>
      <c r="AJ705" s="501">
        <v>250.16</v>
      </c>
      <c r="AL705" s="527"/>
      <c r="AM705" s="381">
        <f t="shared" ca="1" si="159"/>
        <v>0</v>
      </c>
      <c r="AN705" s="566">
        <f t="shared" ca="1" si="171"/>
        <v>0</v>
      </c>
    </row>
    <row r="706" spans="1:40" ht="25.5" x14ac:dyDescent="0.2">
      <c r="A706" t="str">
        <f t="shared" si="168"/>
        <v>S</v>
      </c>
      <c r="B706">
        <f t="shared" ca="1" si="146"/>
        <v>3</v>
      </c>
      <c r="C706" t="str">
        <f t="shared" ca="1" si="147"/>
        <v>S</v>
      </c>
      <c r="D706">
        <f t="shared" ca="1" si="148"/>
        <v>0</v>
      </c>
      <c r="E706">
        <f ca="1">IF($C706=1,OFFSET(E706,-1,0)+MAX(1,COUNTIF(QCI!$A$13:$A$24,OFFSET(ORÇAMENTO!E706,-1,0))),OFFSET(E706,-1,0))</f>
        <v>1</v>
      </c>
      <c r="F706">
        <f t="shared" ca="1" si="149"/>
        <v>24</v>
      </c>
      <c r="G706">
        <f t="shared" ca="1" si="150"/>
        <v>2</v>
      </c>
      <c r="H706">
        <f t="shared" ca="1" si="151"/>
        <v>0</v>
      </c>
      <c r="I706">
        <f t="shared" ca="1" si="152"/>
        <v>0</v>
      </c>
      <c r="J706">
        <f t="shared" ca="1" si="173"/>
        <v>0</v>
      </c>
      <c r="K706">
        <f ca="1">IF(OR($C706="S",$C706=0),0,MATCH(OFFSET($D706,0,$C706)+IF($C706&lt;&gt;1,1,COUNTIF(QCI!$A$13:$A$24,ORÇAMENTO!E706)),OFFSET($D706,1,$C706,ROW($C$747)-ROW($C706)),0))</f>
        <v>0</v>
      </c>
      <c r="L706" s="116" t="str">
        <f t="shared" ca="1" si="153"/>
        <v/>
      </c>
      <c r="M706" s="117" t="s">
        <v>199</v>
      </c>
      <c r="N706" s="118" t="str">
        <f t="shared" ca="1" si="154"/>
        <v>Serviço</v>
      </c>
      <c r="O706" s="119" t="str">
        <f t="shared" ca="1" si="155"/>
        <v>-</v>
      </c>
      <c r="P706" s="120" t="s">
        <v>247</v>
      </c>
      <c r="Q706" s="121" t="s">
        <v>1005</v>
      </c>
      <c r="R706" s="122" t="str">
        <f ca="1">IF($C706="S",REFERENCIA.Descricao,"(digite a descrição aqui)")</f>
        <v>(abra o arquivo 'Referência 02-2025.xlsm)</v>
      </c>
      <c r="S706" s="123" t="str">
        <f ca="1">REFERENCIA.Unidade</f>
        <v>-</v>
      </c>
      <c r="T706" s="124">
        <f ca="1">OFFSET(CÁLCULO!H$15,ROW($T706)-ROW(T$15),0)</f>
        <v>64.42</v>
      </c>
      <c r="U706" s="125">
        <f t="shared" ca="1" si="172"/>
        <v>0</v>
      </c>
      <c r="V706" s="126" t="s">
        <v>156</v>
      </c>
      <c r="W706" s="124">
        <f ca="1">IF($C706="S",ROUND(IF(TIPOORCAMENTO="Proposto",ORÇAMENTO.CustoUnitario*(1+$AH706),ORÇAMENTO.PrecoUnitarioLicitado),15-13*$AF$10),0)</f>
        <v>0</v>
      </c>
      <c r="X706" s="127">
        <f ca="1">IF($C706="S",IF(Import.TipoArredondamento&lt;&gt;"TransfereGOV",VTOTAL1,SUM(OFFSET(CÁLCULO!$AA$15,ROW($X706)-ROW($X$15),1):OFFSET(CÁLCULO!$AL$15,ROW($X706)-ROW($X$15),-1))),IF($C706=0,0,ROUND(SomaAgrup,15-13*$AF$11)))</f>
        <v>0</v>
      </c>
      <c r="Y706" s="128" t="s">
        <v>245</v>
      </c>
      <c r="Z706" t="str">
        <f t="shared" ca="1" si="156"/>
        <v/>
      </c>
      <c r="AA706" s="129">
        <f ca="1">IF($C706="S",IF($Z706="CP",$X706,IF($Z706="RA",(($X706)*QCI!$AA$3),0)),SomaAgrup)</f>
        <v>0</v>
      </c>
      <c r="AB706" s="130">
        <f t="shared" ca="1" si="169"/>
        <v>0</v>
      </c>
      <c r="AC706" s="131" t="str">
        <f ca="1">IF($N706="","",IF(ORÇAMENTO.Descricao="","DESCRIÇÃO",IF(AND($C706="S",ORÇAMENTO.Unidade=""),"UNIDADE",IF($X706&lt;0,"VALOR NEGATIVO",IF(OR(AND(TIPOORCAMENTO="Proposto",$AG706&lt;&gt;"",$AG706&gt;0,ORÇAMENTO.CustoUnitario&gt;$AG706),AND(TIPOORCAMENTO="LICITADO",ORÇAMENTO.PrecoUnitarioLicitado&gt;$AN706)),"ACIMA REF.","")))))</f>
        <v/>
      </c>
      <c r="AD706" t="str">
        <f ca="1">IF(C706&lt;=CRONO.NivelExibicao,MAX($AD$15:OFFSET(AD706,-1,0))+IF($C706&lt;&gt;1,1,MAX(1,COUNTIF(QCI!$A$13:$A$24,OFFSET($E706,-1,0)))),"")</f>
        <v/>
      </c>
      <c r="AE706" s="7" t="str">
        <f ca="1">IF(AND($C706="S",ORÇAMENTO.CodBarra&lt;&gt;""),IF(ORÇAMENTO.Fonte="",ORÇAMENTO.CodBarra,CONCATENATE(ORÇAMENTO.Fonte," ",ORÇAMENTO.CodBarra)))</f>
        <v>SINAPI 104916</v>
      </c>
      <c r="AF706" s="13" t="str">
        <f ca="1">IF(ISERROR(INDIRECT(ORÇAMENTO.BancoRef)),"(abra o arquivo 'Referência "&amp;Excel_BuiltIn_Database&amp;".xlsm)",IF(OR($C706&lt;&gt;"S",ORÇAMENTO.CodBarra=""),"(Sem Código)",IF(ISERROR(MATCH($AE706,INDIRECT(ORÇAMENTO.BancoRef),0)),"(Código não identificado nas referências)",MATCH($AE706,INDIRECT(ORÇAMENTO.BancoRef),0))))</f>
        <v>(abra o arquivo 'Referência 02-2025.xlsm)</v>
      </c>
      <c r="AG706" s="498">
        <f ca="1">ROUND(IF(DESONERACAO="sim",REFERENCIA.Desonerado,REFERENCIA.NaoDesonerado),2)</f>
        <v>0</v>
      </c>
      <c r="AH706" s="499">
        <f t="shared" ca="1" si="170"/>
        <v>0.22470000000000001</v>
      </c>
      <c r="AJ706" s="501">
        <v>64.42</v>
      </c>
      <c r="AL706" s="527"/>
      <c r="AM706" s="381">
        <f t="shared" ca="1" si="159"/>
        <v>0</v>
      </c>
      <c r="AN706" s="566">
        <f t="shared" ca="1" si="171"/>
        <v>0</v>
      </c>
    </row>
    <row r="707" spans="1:40" ht="25.5" x14ac:dyDescent="0.2">
      <c r="A707" t="str">
        <f t="shared" si="168"/>
        <v>S</v>
      </c>
      <c r="B707">
        <f t="shared" ca="1" si="146"/>
        <v>3</v>
      </c>
      <c r="C707" t="str">
        <f t="shared" ca="1" si="147"/>
        <v>S</v>
      </c>
      <c r="D707">
        <f t="shared" ca="1" si="148"/>
        <v>0</v>
      </c>
      <c r="E707">
        <f ca="1">IF($C707=1,OFFSET(E707,-1,0)+MAX(1,COUNTIF(QCI!$A$13:$A$24,OFFSET(ORÇAMENTO!E707,-1,0))),OFFSET(E707,-1,0))</f>
        <v>1</v>
      </c>
      <c r="F707">
        <f t="shared" ca="1" si="149"/>
        <v>24</v>
      </c>
      <c r="G707">
        <f t="shared" ca="1" si="150"/>
        <v>2</v>
      </c>
      <c r="H707">
        <f t="shared" ca="1" si="151"/>
        <v>0</v>
      </c>
      <c r="I707">
        <f t="shared" ca="1" si="152"/>
        <v>0</v>
      </c>
      <c r="J707">
        <f t="shared" ca="1" si="173"/>
        <v>0</v>
      </c>
      <c r="K707">
        <f ca="1">IF(OR($C707="S",$C707=0),0,MATCH(OFFSET($D707,0,$C707)+IF($C707&lt;&gt;1,1,COUNTIF(QCI!$A$13:$A$24,ORÇAMENTO!E707)),OFFSET($D707,1,$C707,ROW($C$747)-ROW($C707)),0))</f>
        <v>0</v>
      </c>
      <c r="L707" s="116" t="str">
        <f t="shared" ca="1" si="153"/>
        <v/>
      </c>
      <c r="M707" s="117" t="s">
        <v>199</v>
      </c>
      <c r="N707" s="118" t="str">
        <f t="shared" ca="1" si="154"/>
        <v>Serviço</v>
      </c>
      <c r="O707" s="119" t="str">
        <f t="shared" ca="1" si="155"/>
        <v>-</v>
      </c>
      <c r="P707" s="120" t="s">
        <v>247</v>
      </c>
      <c r="Q707" s="121" t="s">
        <v>456</v>
      </c>
      <c r="R707" s="122" t="str">
        <f ca="1">IF($C707="S",REFERENCIA.Descricao,"(digite a descrição aqui)")</f>
        <v>(abra o arquivo 'Referência 02-2025.xlsm)</v>
      </c>
      <c r="S707" s="123" t="str">
        <f ca="1">REFERENCIA.Unidade</f>
        <v>-</v>
      </c>
      <c r="T707" s="124">
        <f ca="1">OFFSET(CÁLCULO!H$15,ROW($T707)-ROW(T$15),0)</f>
        <v>13.55</v>
      </c>
      <c r="U707" s="125">
        <f t="shared" ca="1" si="172"/>
        <v>0</v>
      </c>
      <c r="V707" s="126" t="s">
        <v>156</v>
      </c>
      <c r="W707" s="124">
        <f ca="1">IF($C707="S",ROUND(IF(TIPOORCAMENTO="Proposto",ORÇAMENTO.CustoUnitario*(1+$AH707),ORÇAMENTO.PrecoUnitarioLicitado),15-13*$AF$10),0)</f>
        <v>0</v>
      </c>
      <c r="X707" s="127">
        <f ca="1">IF($C707="S",IF(Import.TipoArredondamento&lt;&gt;"TransfereGOV",VTOTAL1,SUM(OFFSET(CÁLCULO!$AA$15,ROW($X707)-ROW($X$15),1):OFFSET(CÁLCULO!$AL$15,ROW($X707)-ROW($X$15),-1))),IF($C707=0,0,ROUND(SomaAgrup,15-13*$AF$11)))</f>
        <v>0</v>
      </c>
      <c r="Y707" s="128" t="s">
        <v>245</v>
      </c>
      <c r="Z707" t="str">
        <f t="shared" ca="1" si="156"/>
        <v/>
      </c>
      <c r="AA707" s="129">
        <f ca="1">IF($C707="S",IF($Z707="CP",$X707,IF($Z707="RA",(($X707)*QCI!$AA$3),0)),SomaAgrup)</f>
        <v>0</v>
      </c>
      <c r="AB707" s="130">
        <f t="shared" ca="1" si="169"/>
        <v>0</v>
      </c>
      <c r="AC707" s="131" t="str">
        <f ca="1">IF($N707="","",IF(ORÇAMENTO.Descricao="","DESCRIÇÃO",IF(AND($C707="S",ORÇAMENTO.Unidade=""),"UNIDADE",IF($X707&lt;0,"VALOR NEGATIVO",IF(OR(AND(TIPOORCAMENTO="Proposto",$AG707&lt;&gt;"",$AG707&gt;0,ORÇAMENTO.CustoUnitario&gt;$AG707),AND(TIPOORCAMENTO="LICITADO",ORÇAMENTO.PrecoUnitarioLicitado&gt;$AN707)),"ACIMA REF.","")))))</f>
        <v/>
      </c>
      <c r="AD707" t="str">
        <f ca="1">IF(C707&lt;=CRONO.NivelExibicao,MAX($AD$15:OFFSET(AD707,-1,0))+IF($C707&lt;&gt;1,1,MAX(1,COUNTIF(QCI!$A$13:$A$24,OFFSET($E707,-1,0)))),"")</f>
        <v/>
      </c>
      <c r="AE707" s="7" t="str">
        <f ca="1">IF(AND($C707="S",ORÇAMENTO.CodBarra&lt;&gt;""),IF(ORÇAMENTO.Fonte="",ORÇAMENTO.CodBarra,CONCATENATE(ORÇAMENTO.Fonte," ",ORÇAMENTO.CodBarra)))</f>
        <v>SINAPI 96558</v>
      </c>
      <c r="AF707" s="13" t="str">
        <f ca="1">IF(ISERROR(INDIRECT(ORÇAMENTO.BancoRef)),"(abra o arquivo 'Referência "&amp;Excel_BuiltIn_Database&amp;".xlsm)",IF(OR($C707&lt;&gt;"S",ORÇAMENTO.CodBarra=""),"(Sem Código)",IF(ISERROR(MATCH($AE707,INDIRECT(ORÇAMENTO.BancoRef),0)),"(Código não identificado nas referências)",MATCH($AE707,INDIRECT(ORÇAMENTO.BancoRef),0))))</f>
        <v>(abra o arquivo 'Referência 02-2025.xlsm)</v>
      </c>
      <c r="AG707" s="498">
        <f ca="1">ROUND(IF(DESONERACAO="sim",REFERENCIA.Desonerado,REFERENCIA.NaoDesonerado),2)</f>
        <v>0</v>
      </c>
      <c r="AH707" s="499">
        <f t="shared" ca="1" si="170"/>
        <v>0.22470000000000001</v>
      </c>
      <c r="AJ707" s="501">
        <v>13.55</v>
      </c>
      <c r="AL707" s="527"/>
      <c r="AM707" s="381">
        <f t="shared" ca="1" si="159"/>
        <v>0</v>
      </c>
      <c r="AN707" s="566">
        <f t="shared" ca="1" si="171"/>
        <v>0</v>
      </c>
    </row>
    <row r="708" spans="1:40" x14ac:dyDescent="0.2">
      <c r="A708">
        <f t="shared" si="168"/>
        <v>3</v>
      </c>
      <c r="B708">
        <f t="shared" ca="1" si="146"/>
        <v>3</v>
      </c>
      <c r="C708">
        <f t="shared" ca="1" si="147"/>
        <v>3</v>
      </c>
      <c r="D708">
        <f t="shared" ca="1" si="148"/>
        <v>15</v>
      </c>
      <c r="E708">
        <f ca="1">IF($C708=1,OFFSET(E708,-1,0)+MAX(1,COUNTIF(QCI!$A$13:$A$24,OFFSET(ORÇAMENTO!E708,-1,0))),OFFSET(E708,-1,0))</f>
        <v>1</v>
      </c>
      <c r="F708">
        <f t="shared" ca="1" si="149"/>
        <v>24</v>
      </c>
      <c r="G708">
        <f t="shared" ca="1" si="150"/>
        <v>3</v>
      </c>
      <c r="H708">
        <f t="shared" ca="1" si="151"/>
        <v>0</v>
      </c>
      <c r="I708">
        <f t="shared" ca="1" si="152"/>
        <v>0</v>
      </c>
      <c r="J708">
        <f t="shared" ca="1" si="173"/>
        <v>39</v>
      </c>
      <c r="K708">
        <f ca="1">IF(OR($C708="S",$C708=0),0,MATCH(OFFSET($D708,0,$C708)+IF($C708&lt;&gt;1,1,COUNTIF(QCI!$A$13:$A$24,ORÇAMENTO!E708)),OFFSET($D708,1,$C708,ROW($C$747)-ROW($C708)),0))</f>
        <v>15</v>
      </c>
      <c r="L708" s="116" t="str">
        <f t="shared" ca="1" si="153"/>
        <v>F</v>
      </c>
      <c r="M708" s="117" t="s">
        <v>197</v>
      </c>
      <c r="N708" s="118" t="str">
        <f t="shared" ca="1" si="154"/>
        <v>Nível 3</v>
      </c>
      <c r="O708" s="119" t="str">
        <f t="shared" ca="1" si="155"/>
        <v>1.24.3.</v>
      </c>
      <c r="P708" s="120" t="s">
        <v>247</v>
      </c>
      <c r="Q708" s="121"/>
      <c r="R708" s="122" t="str">
        <f ca="1">IF($C708="S",REFERENCIA.Descricao,"SUPERESTRUTURA")</f>
        <v>SUPERESTRUTURA</v>
      </c>
      <c r="S708" s="123" t="str">
        <f ca="1">REFERENCIA.Unidade</f>
        <v>-</v>
      </c>
      <c r="T708" s="124">
        <f ca="1">OFFSET(CÁLCULO!H$15,ROW($T708)-ROW(T$15),0)</f>
        <v>0</v>
      </c>
      <c r="U708" s="125">
        <f t="shared" ca="1" si="172"/>
        <v>0</v>
      </c>
      <c r="V708" s="126" t="s">
        <v>156</v>
      </c>
      <c r="W708" s="124">
        <f ca="1">IF($C708="S",ROUND(IF(TIPOORCAMENTO="Proposto",ORÇAMENTO.CustoUnitario*(1+$AH708),ORÇAMENTO.PrecoUnitarioLicitado),15-13*$AF$10),0)</f>
        <v>0</v>
      </c>
      <c r="X708" s="127">
        <f ca="1">IF($C708="S",IF(Import.TipoArredondamento&lt;&gt;"TransfereGOV",VTOTAL1,SUM(OFFSET(CÁLCULO!$AA$15,ROW($X708)-ROW($X$15),1):OFFSET(CÁLCULO!$AL$15,ROW($X708)-ROW($X$15),-1))),IF($C708=0,0,ROUND(SomaAgrup,15-13*$AF$11)))</f>
        <v>0</v>
      </c>
      <c r="Y708" s="128" t="s">
        <v>245</v>
      </c>
      <c r="Z708" t="str">
        <f t="shared" ca="1" si="156"/>
        <v/>
      </c>
      <c r="AA708" s="129">
        <f ca="1">IF($C708="S",IF($Z708="CP",$X708,IF($Z708="RA",(($X708)*QCI!$AA$3),0)),SomaAgrup)</f>
        <v>0</v>
      </c>
      <c r="AB708" s="130">
        <f t="shared" ca="1" si="169"/>
        <v>0</v>
      </c>
      <c r="AC708" s="131" t="str">
        <f ca="1">IF($N708="","",IF(ORÇAMENTO.Descricao="","DESCRIÇÃO",IF(AND($C708="S",ORÇAMENTO.Unidade=""),"UNIDADE",IF($X708&lt;0,"VALOR NEGATIVO",IF(OR(AND(TIPOORCAMENTO="Proposto",$AG708&lt;&gt;"",$AG708&gt;0,ORÇAMENTO.CustoUnitario&gt;$AG708),AND(TIPOORCAMENTO="LICITADO",ORÇAMENTO.PrecoUnitarioLicitado&gt;$AN708)),"ACIMA REF.","")))))</f>
        <v/>
      </c>
      <c r="AD708" t="str">
        <f ca="1">IF(C708&lt;=CRONO.NivelExibicao,MAX($AD$15:OFFSET(AD708,-1,0))+IF($C708&lt;&gt;1,1,MAX(1,COUNTIF(QCI!$A$13:$A$24,OFFSET($E708,-1,0)))),"")</f>
        <v/>
      </c>
      <c r="AE708" s="7" t="b">
        <f ca="1">IF(AND($C708="S",ORÇAMENTO.CodBarra&lt;&gt;""),IF(ORÇAMENTO.Fonte="",ORÇAMENTO.CodBarra,CONCATENATE(ORÇAMENTO.Fonte," ",ORÇAMENTO.CodBarra)))</f>
        <v>0</v>
      </c>
      <c r="AF708" s="13" t="str">
        <f ca="1">IF(ISERROR(INDIRECT(ORÇAMENTO.BancoRef)),"(abra o arquivo 'Referência "&amp;Excel_BuiltIn_Database&amp;".xlsm)",IF(OR($C708&lt;&gt;"S",ORÇAMENTO.CodBarra=""),"(Sem Código)",IF(ISERROR(MATCH($AE708,INDIRECT(ORÇAMENTO.BancoRef),0)),"(Código não identificado nas referências)",MATCH($AE708,INDIRECT(ORÇAMENTO.BancoRef),0))))</f>
        <v>(abra o arquivo 'Referência 02-2025.xlsm)</v>
      </c>
      <c r="AG708" s="498">
        <f ca="1">ROUND(IF(DESONERACAO="sim",REFERENCIA.Desonerado,REFERENCIA.NaoDesonerado),2)</f>
        <v>0</v>
      </c>
      <c r="AH708" s="499">
        <f t="shared" ca="1" si="170"/>
        <v>0.22470000000000001</v>
      </c>
      <c r="AJ708" s="501"/>
      <c r="AL708" s="527"/>
      <c r="AM708" s="381">
        <f t="shared" ca="1" si="159"/>
        <v>0</v>
      </c>
      <c r="AN708" s="566">
        <f t="shared" ca="1" si="171"/>
        <v>0</v>
      </c>
    </row>
    <row r="709" spans="1:40" x14ac:dyDescent="0.2">
      <c r="A709">
        <f t="shared" si="168"/>
        <v>4</v>
      </c>
      <c r="B709">
        <f t="shared" ca="1" si="146"/>
        <v>4</v>
      </c>
      <c r="C709">
        <f t="shared" ca="1" si="147"/>
        <v>4</v>
      </c>
      <c r="D709">
        <f t="shared" ca="1" si="148"/>
        <v>9</v>
      </c>
      <c r="E709">
        <f ca="1">IF($C709=1,OFFSET(E709,-1,0)+MAX(1,COUNTIF(QCI!$A$13:$A$24,OFFSET(ORÇAMENTO!E709,-1,0))),OFFSET(E709,-1,0))</f>
        <v>1</v>
      </c>
      <c r="F709">
        <f t="shared" ca="1" si="149"/>
        <v>24</v>
      </c>
      <c r="G709">
        <f t="shared" ca="1" si="150"/>
        <v>3</v>
      </c>
      <c r="H709">
        <f t="shared" ca="1" si="151"/>
        <v>1</v>
      </c>
      <c r="I709">
        <f t="shared" ca="1" si="152"/>
        <v>0</v>
      </c>
      <c r="J709">
        <f t="shared" ca="1" si="173"/>
        <v>14</v>
      </c>
      <c r="K709">
        <f ca="1">IF(OR($C709="S",$C709=0),0,MATCH(OFFSET($D709,0,$C709)+IF($C709&lt;&gt;1,1,COUNTIF(QCI!$A$13:$A$24,ORÇAMENTO!E709)),OFFSET($D709,1,$C709,ROW($C$747)-ROW($C709)),0))</f>
        <v>9</v>
      </c>
      <c r="L709" s="116" t="str">
        <f t="shared" ca="1" si="153"/>
        <v>F</v>
      </c>
      <c r="M709" s="117" t="s">
        <v>198</v>
      </c>
      <c r="N709" s="118" t="str">
        <f t="shared" ca="1" si="154"/>
        <v>Nível 4</v>
      </c>
      <c r="O709" s="119" t="str">
        <f t="shared" ca="1" si="155"/>
        <v>1.24.3.1.</v>
      </c>
      <c r="P709" s="120" t="s">
        <v>247</v>
      </c>
      <c r="Q709" s="121"/>
      <c r="R709" s="122" t="s">
        <v>895</v>
      </c>
      <c r="S709" s="123" t="str">
        <f ca="1">REFERENCIA.Unidade</f>
        <v>-</v>
      </c>
      <c r="T709" s="124">
        <f ca="1">OFFSET(CÁLCULO!H$15,ROW($T709)-ROW(T$15),0)</f>
        <v>0</v>
      </c>
      <c r="U709" s="125">
        <f t="shared" ca="1" si="172"/>
        <v>0</v>
      </c>
      <c r="V709" s="126" t="s">
        <v>156</v>
      </c>
      <c r="W709" s="124">
        <f ca="1">IF($C709="S",ROUND(IF(TIPOORCAMENTO="Proposto",ORÇAMENTO.CustoUnitario*(1+$AH709),ORÇAMENTO.PrecoUnitarioLicitado),15-13*$AF$10),0)</f>
        <v>0</v>
      </c>
      <c r="X709" s="127">
        <f ca="1">IF($C709="S",IF(Import.TipoArredondamento&lt;&gt;"TransfereGOV",VTOTAL1,SUM(OFFSET(CÁLCULO!$AA$15,ROW($X709)-ROW($X$15),1):OFFSET(CÁLCULO!$AL$15,ROW($X709)-ROW($X$15),-1))),IF($C709=0,0,ROUND(SomaAgrup,15-13*$AF$11)))</f>
        <v>0</v>
      </c>
      <c r="Y709" s="128" t="s">
        <v>245</v>
      </c>
      <c r="Z709" t="str">
        <f t="shared" ca="1" si="156"/>
        <v/>
      </c>
      <c r="AA709" s="129">
        <f ca="1">IF($C709="S",IF($Z709="CP",$X709,IF($Z709="RA",(($X709)*QCI!$AA$3),0)),SomaAgrup)</f>
        <v>0</v>
      </c>
      <c r="AB709" s="130">
        <f t="shared" ca="1" si="169"/>
        <v>0</v>
      </c>
      <c r="AC709" s="131" t="str">
        <f ca="1">IF($N709="","",IF(ORÇAMENTO.Descricao="","DESCRIÇÃO",IF(AND($C709="S",ORÇAMENTO.Unidade=""),"UNIDADE",IF($X709&lt;0,"VALOR NEGATIVO",IF(OR(AND(TIPOORCAMENTO="Proposto",$AG709&lt;&gt;"",$AG709&gt;0,ORÇAMENTO.CustoUnitario&gt;$AG709),AND(TIPOORCAMENTO="LICITADO",ORÇAMENTO.PrecoUnitarioLicitado&gt;$AN709)),"ACIMA REF.","")))))</f>
        <v/>
      </c>
      <c r="AD709" t="str">
        <f ca="1">IF(C709&lt;=CRONO.NivelExibicao,MAX($AD$15:OFFSET(AD709,-1,0))+IF($C709&lt;&gt;1,1,MAX(1,COUNTIF(QCI!$A$13:$A$24,OFFSET($E709,-1,0)))),"")</f>
        <v/>
      </c>
      <c r="AE709" s="7" t="b">
        <f ca="1">IF(AND($C709="S",ORÇAMENTO.CodBarra&lt;&gt;""),IF(ORÇAMENTO.Fonte="",ORÇAMENTO.CodBarra,CONCATENATE(ORÇAMENTO.Fonte," ",ORÇAMENTO.CodBarra)))</f>
        <v>0</v>
      </c>
      <c r="AF709" s="13" t="str">
        <f ca="1">IF(ISERROR(INDIRECT(ORÇAMENTO.BancoRef)),"(abra o arquivo 'Referência "&amp;Excel_BuiltIn_Database&amp;".xlsm)",IF(OR($C709&lt;&gt;"S",ORÇAMENTO.CodBarra=""),"(Sem Código)",IF(ISERROR(MATCH($AE709,INDIRECT(ORÇAMENTO.BancoRef),0)),"(Código não identificado nas referências)",MATCH($AE709,INDIRECT(ORÇAMENTO.BancoRef),0))))</f>
        <v>(abra o arquivo 'Referência 02-2025.xlsm)</v>
      </c>
      <c r="AG709" s="498">
        <f ca="1">ROUND(IF(DESONERACAO="sim",REFERENCIA.Desonerado,REFERENCIA.NaoDesonerado),2)</f>
        <v>0</v>
      </c>
      <c r="AH709" s="499">
        <f t="shared" ca="1" si="170"/>
        <v>0.22470000000000001</v>
      </c>
      <c r="AJ709" s="501"/>
      <c r="AL709" s="527"/>
      <c r="AM709" s="381">
        <f t="shared" ca="1" si="159"/>
        <v>0</v>
      </c>
      <c r="AN709" s="566">
        <f t="shared" ca="1" si="171"/>
        <v>0</v>
      </c>
    </row>
    <row r="710" spans="1:40" ht="25.5" x14ac:dyDescent="0.2">
      <c r="A710" t="str">
        <f t="shared" si="168"/>
        <v>S</v>
      </c>
      <c r="B710">
        <f t="shared" ca="1" si="146"/>
        <v>4</v>
      </c>
      <c r="C710" t="str">
        <f t="shared" ca="1" si="147"/>
        <v>S</v>
      </c>
      <c r="D710">
        <f t="shared" ca="1" si="148"/>
        <v>0</v>
      </c>
      <c r="E710">
        <f ca="1">IF($C710=1,OFFSET(E710,-1,0)+MAX(1,COUNTIF(QCI!$A$13:$A$24,OFFSET(ORÇAMENTO!E710,-1,0))),OFFSET(E710,-1,0))</f>
        <v>1</v>
      </c>
      <c r="F710">
        <f t="shared" ca="1" si="149"/>
        <v>24</v>
      </c>
      <c r="G710">
        <f t="shared" ca="1" si="150"/>
        <v>3</v>
      </c>
      <c r="H710">
        <f t="shared" ca="1" si="151"/>
        <v>1</v>
      </c>
      <c r="I710">
        <f t="shared" ca="1" si="152"/>
        <v>0</v>
      </c>
      <c r="J710">
        <f t="shared" ca="1" si="173"/>
        <v>0</v>
      </c>
      <c r="K710">
        <f ca="1">IF(OR($C710="S",$C710=0),0,MATCH(OFFSET($D710,0,$C710)+IF($C710&lt;&gt;1,1,COUNTIF(QCI!$A$13:$A$24,ORÇAMENTO!E710)),OFFSET($D710,1,$C710,ROW($C$747)-ROW($C710)),0))</f>
        <v>0</v>
      </c>
      <c r="L710" s="116" t="str">
        <f t="shared" ca="1" si="153"/>
        <v/>
      </c>
      <c r="M710" s="117" t="s">
        <v>199</v>
      </c>
      <c r="N710" s="118" t="str">
        <f t="shared" ca="1" si="154"/>
        <v>Serviço</v>
      </c>
      <c r="O710" s="119" t="str">
        <f t="shared" ca="1" si="155"/>
        <v>-</v>
      </c>
      <c r="P710" s="120" t="s">
        <v>247</v>
      </c>
      <c r="Q710" s="121" t="s">
        <v>1003</v>
      </c>
      <c r="R710" s="122" t="str">
        <f ca="1">IF($C710="S",REFERENCIA.Descricao,"(digite a descrição aqui)")</f>
        <v>(abra o arquivo 'Referência 02-2025.xlsm)</v>
      </c>
      <c r="S710" s="123" t="str">
        <f ca="1">REFERENCIA.Unidade</f>
        <v>-</v>
      </c>
      <c r="T710" s="124">
        <f ca="1">OFFSET(CÁLCULO!H$15,ROW($T710)-ROW(T$15),0)</f>
        <v>8.06</v>
      </c>
      <c r="U710" s="125">
        <f t="shared" ca="1" si="172"/>
        <v>0</v>
      </c>
      <c r="V710" s="126" t="s">
        <v>156</v>
      </c>
      <c r="W710" s="124">
        <f ca="1">IF($C710="S",ROUND(IF(TIPOORCAMENTO="Proposto",ORÇAMENTO.CustoUnitario*(1+$AH710),ORÇAMENTO.PrecoUnitarioLicitado),15-13*$AF$10),0)</f>
        <v>0</v>
      </c>
      <c r="X710" s="127">
        <f ca="1">IF($C710="S",IF(Import.TipoArredondamento&lt;&gt;"TransfereGOV",VTOTAL1,SUM(OFFSET(CÁLCULO!$AA$15,ROW($X710)-ROW($X$15),1):OFFSET(CÁLCULO!$AL$15,ROW($X710)-ROW($X$15),-1))),IF($C710=0,0,ROUND(SomaAgrup,15-13*$AF$11)))</f>
        <v>0</v>
      </c>
      <c r="Y710" s="128" t="s">
        <v>245</v>
      </c>
      <c r="Z710" t="str">
        <f t="shared" ca="1" si="156"/>
        <v/>
      </c>
      <c r="AA710" s="129">
        <f ca="1">IF($C710="S",IF($Z710="CP",$X710,IF($Z710="RA",(($X710)*QCI!$AA$3),0)),SomaAgrup)</f>
        <v>0</v>
      </c>
      <c r="AB710" s="130">
        <f t="shared" ca="1" si="169"/>
        <v>0</v>
      </c>
      <c r="AC710" s="131" t="str">
        <f ca="1">IF($N710="","",IF(ORÇAMENTO.Descricao="","DESCRIÇÃO",IF(AND($C710="S",ORÇAMENTO.Unidade=""),"UNIDADE",IF($X710&lt;0,"VALOR NEGATIVO",IF(OR(AND(TIPOORCAMENTO="Proposto",$AG710&lt;&gt;"",$AG710&gt;0,ORÇAMENTO.CustoUnitario&gt;$AG710),AND(TIPOORCAMENTO="LICITADO",ORÇAMENTO.PrecoUnitarioLicitado&gt;$AN710)),"ACIMA REF.","")))))</f>
        <v/>
      </c>
      <c r="AD710" t="str">
        <f ca="1">IF(C710&lt;=CRONO.NivelExibicao,MAX($AD$15:OFFSET(AD710,-1,0))+IF($C710&lt;&gt;1,1,MAX(1,COUNTIF(QCI!$A$13:$A$24,OFFSET($E710,-1,0)))),"")</f>
        <v/>
      </c>
      <c r="AE710" s="7" t="str">
        <f ca="1">IF(AND($C710="S",ORÇAMENTO.CodBarra&lt;&gt;""),IF(ORÇAMENTO.Fonte="",ORÇAMENTO.CodBarra,CONCATENATE(ORÇAMENTO.Fonte," ",ORÇAMENTO.CodBarra)))</f>
        <v>SINAPI 96621</v>
      </c>
      <c r="AF710" s="13" t="str">
        <f ca="1">IF(ISERROR(INDIRECT(ORÇAMENTO.BancoRef)),"(abra o arquivo 'Referência "&amp;Excel_BuiltIn_Database&amp;".xlsm)",IF(OR($C710&lt;&gt;"S",ORÇAMENTO.CodBarra=""),"(Sem Código)",IF(ISERROR(MATCH($AE710,INDIRECT(ORÇAMENTO.BancoRef),0)),"(Código não identificado nas referências)",MATCH($AE710,INDIRECT(ORÇAMENTO.BancoRef),0))))</f>
        <v>(abra o arquivo 'Referência 02-2025.xlsm)</v>
      </c>
      <c r="AG710" s="498">
        <f ca="1">ROUND(IF(DESONERACAO="sim",REFERENCIA.Desonerado,REFERENCIA.NaoDesonerado),2)</f>
        <v>0</v>
      </c>
      <c r="AH710" s="499">
        <f t="shared" ca="1" si="170"/>
        <v>0.22470000000000001</v>
      </c>
      <c r="AJ710" s="501">
        <v>8.06</v>
      </c>
      <c r="AL710" s="527"/>
      <c r="AM710" s="381">
        <f t="shared" ca="1" si="159"/>
        <v>0</v>
      </c>
      <c r="AN710" s="566">
        <f t="shared" ca="1" si="171"/>
        <v>0</v>
      </c>
    </row>
    <row r="711" spans="1:40" ht="25.5" x14ac:dyDescent="0.2">
      <c r="A711" t="str">
        <f t="shared" si="168"/>
        <v>S</v>
      </c>
      <c r="B711">
        <f t="shared" ca="1" si="146"/>
        <v>4</v>
      </c>
      <c r="C711" t="str">
        <f t="shared" ca="1" si="147"/>
        <v>S</v>
      </c>
      <c r="D711">
        <f t="shared" ca="1" si="148"/>
        <v>0</v>
      </c>
      <c r="E711">
        <f ca="1">IF($C711=1,OFFSET(E711,-1,0)+MAX(1,COUNTIF(QCI!$A$13:$A$24,OFFSET(ORÇAMENTO!E711,-1,0))),OFFSET(E711,-1,0))</f>
        <v>1</v>
      </c>
      <c r="F711">
        <f t="shared" ca="1" si="149"/>
        <v>24</v>
      </c>
      <c r="G711">
        <f t="shared" ca="1" si="150"/>
        <v>3</v>
      </c>
      <c r="H711">
        <f t="shared" ca="1" si="151"/>
        <v>1</v>
      </c>
      <c r="I711">
        <f t="shared" ca="1" si="152"/>
        <v>0</v>
      </c>
      <c r="J711">
        <f t="shared" ca="1" si="173"/>
        <v>0</v>
      </c>
      <c r="K711">
        <f ca="1">IF(OR($C711="S",$C711=0),0,MATCH(OFFSET($D711,0,$C711)+IF($C711&lt;&gt;1,1,COUNTIF(QCI!$A$13:$A$24,ORÇAMENTO!E711)),OFFSET($D711,1,$C711,ROW($C$747)-ROW($C711)),0))</f>
        <v>0</v>
      </c>
      <c r="L711" s="116" t="str">
        <f t="shared" ca="1" si="153"/>
        <v/>
      </c>
      <c r="M711" s="117" t="s">
        <v>199</v>
      </c>
      <c r="N711" s="118" t="str">
        <f t="shared" ca="1" si="154"/>
        <v>Serviço</v>
      </c>
      <c r="O711" s="119" t="str">
        <f t="shared" ca="1" si="155"/>
        <v>-</v>
      </c>
      <c r="P711" s="120" t="s">
        <v>247</v>
      </c>
      <c r="Q711" s="121" t="s">
        <v>455</v>
      </c>
      <c r="R711" s="122" t="str">
        <f ca="1">IF($C711="S",REFERENCIA.Descricao,"(digite a descrição aqui)")</f>
        <v>(abra o arquivo 'Referência 02-2025.xlsm)</v>
      </c>
      <c r="S711" s="123" t="str">
        <f ca="1">REFERENCIA.Unidade</f>
        <v>-</v>
      </c>
      <c r="T711" s="124">
        <f ca="1">OFFSET(CÁLCULO!H$15,ROW($T711)-ROW(T$15),0)</f>
        <v>161.19</v>
      </c>
      <c r="U711" s="125">
        <f t="shared" ca="1" si="172"/>
        <v>0</v>
      </c>
      <c r="V711" s="126" t="s">
        <v>156</v>
      </c>
      <c r="W711" s="124">
        <f ca="1">IF($C711="S",ROUND(IF(TIPOORCAMENTO="Proposto",ORÇAMENTO.CustoUnitario*(1+$AH711),ORÇAMENTO.PrecoUnitarioLicitado),15-13*$AF$10),0)</f>
        <v>0</v>
      </c>
      <c r="X711" s="127">
        <f ca="1">IF($C711="S",IF(Import.TipoArredondamento&lt;&gt;"TransfereGOV",VTOTAL1,SUM(OFFSET(CÁLCULO!$AA$15,ROW($X711)-ROW($X$15),1):OFFSET(CÁLCULO!$AL$15,ROW($X711)-ROW($X$15),-1))),IF($C711=0,0,ROUND(SomaAgrup,15-13*$AF$11)))</f>
        <v>0</v>
      </c>
      <c r="Y711" s="128" t="s">
        <v>245</v>
      </c>
      <c r="Z711" t="str">
        <f t="shared" ca="1" si="156"/>
        <v/>
      </c>
      <c r="AA711" s="129">
        <f ca="1">IF($C711="S",IF($Z711="CP",$X711,IF($Z711="RA",(($X711)*QCI!$AA$3),0)),SomaAgrup)</f>
        <v>0</v>
      </c>
      <c r="AB711" s="130">
        <f t="shared" ca="1" si="169"/>
        <v>0</v>
      </c>
      <c r="AC711" s="131" t="str">
        <f ca="1">IF($N711="","",IF(ORÇAMENTO.Descricao="","DESCRIÇÃO",IF(AND($C711="S",ORÇAMENTO.Unidade=""),"UNIDADE",IF($X711&lt;0,"VALOR NEGATIVO",IF(OR(AND(TIPOORCAMENTO="Proposto",$AG711&lt;&gt;"",$AG711&gt;0,ORÇAMENTO.CustoUnitario&gt;$AG711),AND(TIPOORCAMENTO="LICITADO",ORÇAMENTO.PrecoUnitarioLicitado&gt;$AN711)),"ACIMA REF.","")))))</f>
        <v/>
      </c>
      <c r="AD711" t="str">
        <f ca="1">IF(C711&lt;=CRONO.NivelExibicao,MAX($AD$15:OFFSET(AD711,-1,0))+IF($C711&lt;&gt;1,1,MAX(1,COUNTIF(QCI!$A$13:$A$24,OFFSET($E711,-1,0)))),"")</f>
        <v/>
      </c>
      <c r="AE711" s="7" t="str">
        <f ca="1">IF(AND($C711="S",ORÇAMENTO.CodBarra&lt;&gt;""),IF(ORÇAMENTO.Fonte="",ORÇAMENTO.CodBarra,CONCATENATE(ORÇAMENTO.Fonte," ",ORÇAMENTO.CodBarra)))</f>
        <v>SINAPI 96619</v>
      </c>
      <c r="AF711" s="13" t="str">
        <f ca="1">IF(ISERROR(INDIRECT(ORÇAMENTO.BancoRef)),"(abra o arquivo 'Referência "&amp;Excel_BuiltIn_Database&amp;".xlsm)",IF(OR($C711&lt;&gt;"S",ORÇAMENTO.CodBarra=""),"(Sem Código)",IF(ISERROR(MATCH($AE711,INDIRECT(ORÇAMENTO.BancoRef),0)),"(Código não identificado nas referências)",MATCH($AE711,INDIRECT(ORÇAMENTO.BancoRef),0))))</f>
        <v>(abra o arquivo 'Referência 02-2025.xlsm)</v>
      </c>
      <c r="AG711" s="498">
        <f ca="1">ROUND(IF(DESONERACAO="sim",REFERENCIA.Desonerado,REFERENCIA.NaoDesonerado),2)</f>
        <v>0</v>
      </c>
      <c r="AH711" s="499">
        <f t="shared" ca="1" si="170"/>
        <v>0.22470000000000001</v>
      </c>
      <c r="AJ711" s="501">
        <v>161.19</v>
      </c>
      <c r="AL711" s="527"/>
      <c r="AM711" s="381">
        <f t="shared" ca="1" si="159"/>
        <v>0</v>
      </c>
      <c r="AN711" s="566">
        <f t="shared" ca="1" si="171"/>
        <v>0</v>
      </c>
    </row>
    <row r="712" spans="1:40" ht="38.25" x14ac:dyDescent="0.2">
      <c r="A712" t="str">
        <f t="shared" si="168"/>
        <v>S</v>
      </c>
      <c r="B712">
        <f t="shared" ca="1" si="146"/>
        <v>4</v>
      </c>
      <c r="C712" t="str">
        <f t="shared" ca="1" si="147"/>
        <v>S</v>
      </c>
      <c r="D712">
        <f t="shared" ca="1" si="148"/>
        <v>0</v>
      </c>
      <c r="E712">
        <f ca="1">IF($C712=1,OFFSET(E712,-1,0)+MAX(1,COUNTIF(QCI!$A$13:$A$24,OFFSET(ORÇAMENTO!E712,-1,0))),OFFSET(E712,-1,0))</f>
        <v>1</v>
      </c>
      <c r="F712">
        <f t="shared" ca="1" si="149"/>
        <v>24</v>
      </c>
      <c r="G712">
        <f t="shared" ca="1" si="150"/>
        <v>3</v>
      </c>
      <c r="H712">
        <f t="shared" ca="1" si="151"/>
        <v>1</v>
      </c>
      <c r="I712">
        <f t="shared" ca="1" si="152"/>
        <v>0</v>
      </c>
      <c r="J712">
        <f t="shared" ca="1" si="173"/>
        <v>0</v>
      </c>
      <c r="K712">
        <f ca="1">IF(OR($C712="S",$C712=0),0,MATCH(OFFSET($D712,0,$C712)+IF($C712&lt;&gt;1,1,COUNTIF(QCI!$A$13:$A$24,ORÇAMENTO!E712)),OFFSET($D712,1,$C712,ROW($C$747)-ROW($C712)),0))</f>
        <v>0</v>
      </c>
      <c r="L712" s="116" t="str">
        <f t="shared" ca="1" si="153"/>
        <v/>
      </c>
      <c r="M712" s="117" t="s">
        <v>199</v>
      </c>
      <c r="N712" s="118" t="str">
        <f t="shared" ca="1" si="154"/>
        <v>Serviço</v>
      </c>
      <c r="O712" s="119" t="str">
        <f t="shared" ca="1" si="155"/>
        <v>-</v>
      </c>
      <c r="P712" s="120" t="s">
        <v>247</v>
      </c>
      <c r="Q712" s="121" t="s">
        <v>1006</v>
      </c>
      <c r="R712" s="122" t="str">
        <f ca="1">IF($C712="S",REFERENCIA.Descricao,"(digite a descrição aqui)")</f>
        <v>(abra o arquivo 'Referência 02-2025.xlsm)</v>
      </c>
      <c r="S712" s="123" t="str">
        <f ca="1">REFERENCIA.Unidade</f>
        <v>-</v>
      </c>
      <c r="T712" s="124">
        <f ca="1">OFFSET(CÁLCULO!H$15,ROW($T712)-ROW(T$15),0)</f>
        <v>101.8</v>
      </c>
      <c r="U712" s="125">
        <f t="shared" ca="1" si="172"/>
        <v>0</v>
      </c>
      <c r="V712" s="126" t="s">
        <v>156</v>
      </c>
      <c r="W712" s="124">
        <f ca="1">IF($C712="S",ROUND(IF(TIPOORCAMENTO="Proposto",ORÇAMENTO.CustoUnitario*(1+$AH712),ORÇAMENTO.PrecoUnitarioLicitado),15-13*$AF$10),0)</f>
        <v>0</v>
      </c>
      <c r="X712" s="127">
        <f ca="1">IF($C712="S",IF(Import.TipoArredondamento&lt;&gt;"TransfereGOV",VTOTAL1,SUM(OFFSET(CÁLCULO!$AA$15,ROW($X712)-ROW($X$15),1):OFFSET(CÁLCULO!$AL$15,ROW($X712)-ROW($X$15),-1))),IF($C712=0,0,ROUND(SomaAgrup,15-13*$AF$11)))</f>
        <v>0</v>
      </c>
      <c r="Y712" s="128" t="s">
        <v>245</v>
      </c>
      <c r="Z712" t="str">
        <f t="shared" ca="1" si="156"/>
        <v/>
      </c>
      <c r="AA712" s="129">
        <f ca="1">IF($C712="S",IF($Z712="CP",$X712,IF($Z712="RA",(($X712)*QCI!$AA$3),0)),SomaAgrup)</f>
        <v>0</v>
      </c>
      <c r="AB712" s="130">
        <f t="shared" ca="1" si="169"/>
        <v>0</v>
      </c>
      <c r="AC712" s="131" t="str">
        <f ca="1">IF($N712="","",IF(ORÇAMENTO.Descricao="","DESCRIÇÃO",IF(AND($C712="S",ORÇAMENTO.Unidade=""),"UNIDADE",IF($X712&lt;0,"VALOR NEGATIVO",IF(OR(AND(TIPOORCAMENTO="Proposto",$AG712&lt;&gt;"",$AG712&gt;0,ORÇAMENTO.CustoUnitario&gt;$AG712),AND(TIPOORCAMENTO="LICITADO",ORÇAMENTO.PrecoUnitarioLicitado&gt;$AN712)),"ACIMA REF.","")))))</f>
        <v/>
      </c>
      <c r="AD712" t="str">
        <f ca="1">IF(C712&lt;=CRONO.NivelExibicao,MAX($AD$15:OFFSET(AD712,-1,0))+IF($C712&lt;&gt;1,1,MAX(1,COUNTIF(QCI!$A$13:$A$24,OFFSET($E712,-1,0)))),"")</f>
        <v/>
      </c>
      <c r="AE712" s="7" t="str">
        <f ca="1">IF(AND($C712="S",ORÇAMENTO.CodBarra&lt;&gt;""),IF(ORÇAMENTO.Fonte="",ORÇAMENTO.CodBarra,CONCATENATE(ORÇAMENTO.Fonte," ",ORÇAMENTO.CodBarra)))</f>
        <v>SINAPI 96536</v>
      </c>
      <c r="AF712" s="13" t="str">
        <f ca="1">IF(ISERROR(INDIRECT(ORÇAMENTO.BancoRef)),"(abra o arquivo 'Referência "&amp;Excel_BuiltIn_Database&amp;".xlsm)",IF(OR($C712&lt;&gt;"S",ORÇAMENTO.CodBarra=""),"(Sem Código)",IF(ISERROR(MATCH($AE712,INDIRECT(ORÇAMENTO.BancoRef),0)),"(Código não identificado nas referências)",MATCH($AE712,INDIRECT(ORÇAMENTO.BancoRef),0))))</f>
        <v>(abra o arquivo 'Referência 02-2025.xlsm)</v>
      </c>
      <c r="AG712" s="498">
        <f ca="1">ROUND(IF(DESONERACAO="sim",REFERENCIA.Desonerado,REFERENCIA.NaoDesonerado),2)</f>
        <v>0</v>
      </c>
      <c r="AH712" s="499">
        <f t="shared" ca="1" si="170"/>
        <v>0.22470000000000001</v>
      </c>
      <c r="AJ712" s="501">
        <v>101.8</v>
      </c>
      <c r="AL712" s="527"/>
      <c r="AM712" s="381">
        <f t="shared" ca="1" si="159"/>
        <v>0</v>
      </c>
      <c r="AN712" s="566">
        <f t="shared" ca="1" si="171"/>
        <v>0</v>
      </c>
    </row>
    <row r="713" spans="1:40" ht="25.5" x14ac:dyDescent="0.2">
      <c r="A713" t="str">
        <f t="shared" si="168"/>
        <v>S</v>
      </c>
      <c r="B713">
        <f t="shared" ca="1" si="146"/>
        <v>4</v>
      </c>
      <c r="C713" t="str">
        <f t="shared" ca="1" si="147"/>
        <v>S</v>
      </c>
      <c r="D713">
        <f t="shared" ca="1" si="148"/>
        <v>0</v>
      </c>
      <c r="E713">
        <f ca="1">IF($C713=1,OFFSET(E713,-1,0)+MAX(1,COUNTIF(QCI!$A$13:$A$24,OFFSET(ORÇAMENTO!E713,-1,0))),OFFSET(E713,-1,0))</f>
        <v>1</v>
      </c>
      <c r="F713">
        <f t="shared" ca="1" si="149"/>
        <v>24</v>
      </c>
      <c r="G713">
        <f t="shared" ca="1" si="150"/>
        <v>3</v>
      </c>
      <c r="H713">
        <f t="shared" ca="1" si="151"/>
        <v>1</v>
      </c>
      <c r="I713">
        <f t="shared" ca="1" si="152"/>
        <v>0</v>
      </c>
      <c r="J713">
        <f t="shared" ref="J713:J722" ca="1" si="174">IF(OR($C713="S",$C713=0),0,MATCH(0,OFFSET($D713,1,$C713,ROW($C$747)-ROW($C713)),0))</f>
        <v>0</v>
      </c>
      <c r="K713">
        <f ca="1">IF(OR($C713="S",$C713=0),0,MATCH(OFFSET($D713,0,$C713)+IF($C713&lt;&gt;1,1,COUNTIF(QCI!$A$13:$A$24,ORÇAMENTO!E713)),OFFSET($D713,1,$C713,ROW($C$747)-ROW($C713)),0))</f>
        <v>0</v>
      </c>
      <c r="L713" s="116" t="str">
        <f t="shared" ca="1" si="153"/>
        <v/>
      </c>
      <c r="M713" s="117" t="s">
        <v>199</v>
      </c>
      <c r="N713" s="118" t="str">
        <f t="shared" ca="1" si="154"/>
        <v>Serviço</v>
      </c>
      <c r="O713" s="119" t="str">
        <f t="shared" ca="1" si="155"/>
        <v>-</v>
      </c>
      <c r="P713" s="120" t="s">
        <v>247</v>
      </c>
      <c r="Q713" s="121" t="s">
        <v>458</v>
      </c>
      <c r="R713" s="122" t="str">
        <f ca="1">IF($C713="S",REFERENCIA.Descricao,"(digite a descrição aqui)")</f>
        <v>(abra o arquivo 'Referência 02-2025.xlsm)</v>
      </c>
      <c r="S713" s="123" t="str">
        <f ca="1">REFERENCIA.Unidade</f>
        <v>-</v>
      </c>
      <c r="T713" s="124">
        <f ca="1">OFFSET(CÁLCULO!H$15,ROW($T713)-ROW(T$15),0)</f>
        <v>98.86</v>
      </c>
      <c r="U713" s="125">
        <f t="shared" ca="1" si="172"/>
        <v>0</v>
      </c>
      <c r="V713" s="126" t="s">
        <v>156</v>
      </c>
      <c r="W713" s="124">
        <f ca="1">IF($C713="S",ROUND(IF(TIPOORCAMENTO="Proposto",ORÇAMENTO.CustoUnitario*(1+$AH713),ORÇAMENTO.PrecoUnitarioLicitado),15-13*$AF$10),0)</f>
        <v>0</v>
      </c>
      <c r="X713" s="127">
        <f ca="1">IF($C713="S",IF(Import.TipoArredondamento&lt;&gt;"TransfereGOV",VTOTAL1,SUM(OFFSET(CÁLCULO!$AA$15,ROW($X713)-ROW($X$15),1):OFFSET(CÁLCULO!$AL$15,ROW($X713)-ROW($X$15),-1))),IF($C713=0,0,ROUND(SomaAgrup,15-13*$AF$11)))</f>
        <v>0</v>
      </c>
      <c r="Y713" s="128" t="s">
        <v>245</v>
      </c>
      <c r="Z713" t="str">
        <f t="shared" ca="1" si="156"/>
        <v/>
      </c>
      <c r="AA713" s="129">
        <f ca="1">IF($C713="S",IF($Z713="CP",$X713,IF($Z713="RA",(($X713)*QCI!$AA$3),0)),SomaAgrup)</f>
        <v>0</v>
      </c>
      <c r="AB713" s="130">
        <f t="shared" ca="1" si="169"/>
        <v>0</v>
      </c>
      <c r="AC713" s="131" t="str">
        <f ca="1">IF($N713="","",IF(ORÇAMENTO.Descricao="","DESCRIÇÃO",IF(AND($C713="S",ORÇAMENTO.Unidade=""),"UNIDADE",IF($X713&lt;0,"VALOR NEGATIVO",IF(OR(AND(TIPOORCAMENTO="Proposto",$AG713&lt;&gt;"",$AG713&gt;0,ORÇAMENTO.CustoUnitario&gt;$AG713),AND(TIPOORCAMENTO="LICITADO",ORÇAMENTO.PrecoUnitarioLicitado&gt;$AN713)),"ACIMA REF.","")))))</f>
        <v/>
      </c>
      <c r="AD713" t="str">
        <f ca="1">IF(C713&lt;=CRONO.NivelExibicao,MAX($AD$15:OFFSET(AD713,-1,0))+IF($C713&lt;&gt;1,1,MAX(1,COUNTIF(QCI!$A$13:$A$24,OFFSET($E713,-1,0)))),"")</f>
        <v/>
      </c>
      <c r="AE713" s="7" t="str">
        <f ca="1">IF(AND($C713="S",ORÇAMENTO.CodBarra&lt;&gt;""),IF(ORÇAMENTO.Fonte="",ORÇAMENTO.CodBarra,CONCATENATE(ORÇAMENTO.Fonte," ",ORÇAMENTO.CodBarra)))</f>
        <v>SINAPI 104918</v>
      </c>
      <c r="AF713" s="13" t="str">
        <f ca="1">IF(ISERROR(INDIRECT(ORÇAMENTO.BancoRef)),"(abra o arquivo 'Referência "&amp;Excel_BuiltIn_Database&amp;".xlsm)",IF(OR($C713&lt;&gt;"S",ORÇAMENTO.CodBarra=""),"(Sem Código)",IF(ISERROR(MATCH($AE713,INDIRECT(ORÇAMENTO.BancoRef),0)),"(Código não identificado nas referências)",MATCH($AE713,INDIRECT(ORÇAMENTO.BancoRef),0))))</f>
        <v>(abra o arquivo 'Referência 02-2025.xlsm)</v>
      </c>
      <c r="AG713" s="498">
        <f ca="1">ROUND(IF(DESONERACAO="sim",REFERENCIA.Desonerado,REFERENCIA.NaoDesonerado),2)</f>
        <v>0</v>
      </c>
      <c r="AH713" s="499">
        <f t="shared" ca="1" si="170"/>
        <v>0.22470000000000001</v>
      </c>
      <c r="AJ713" s="501">
        <v>98.86</v>
      </c>
      <c r="AL713" s="527"/>
      <c r="AM713" s="381">
        <f t="shared" ca="1" si="159"/>
        <v>0</v>
      </c>
      <c r="AN713" s="566">
        <f t="shared" ca="1" si="171"/>
        <v>0</v>
      </c>
    </row>
    <row r="714" spans="1:40" ht="25.5" x14ac:dyDescent="0.2">
      <c r="A714" t="str">
        <f t="shared" si="168"/>
        <v>S</v>
      </c>
      <c r="B714">
        <f t="shared" ca="1" si="146"/>
        <v>4</v>
      </c>
      <c r="C714" t="str">
        <f t="shared" ca="1" si="147"/>
        <v>S</v>
      </c>
      <c r="D714">
        <f t="shared" ca="1" si="148"/>
        <v>0</v>
      </c>
      <c r="E714">
        <f ca="1">IF($C714=1,OFFSET(E714,-1,0)+MAX(1,COUNTIF(QCI!$A$13:$A$24,OFFSET(ORÇAMENTO!E714,-1,0))),OFFSET(E714,-1,0))</f>
        <v>1</v>
      </c>
      <c r="F714">
        <f t="shared" ca="1" si="149"/>
        <v>24</v>
      </c>
      <c r="G714">
        <f t="shared" ca="1" si="150"/>
        <v>3</v>
      </c>
      <c r="H714">
        <f t="shared" ca="1" si="151"/>
        <v>1</v>
      </c>
      <c r="I714">
        <f t="shared" ca="1" si="152"/>
        <v>0</v>
      </c>
      <c r="J714">
        <f t="shared" ca="1" si="174"/>
        <v>0</v>
      </c>
      <c r="K714">
        <f ca="1">IF(OR($C714="S",$C714=0),0,MATCH(OFFSET($D714,0,$C714)+IF($C714&lt;&gt;1,1,COUNTIF(QCI!$A$13:$A$24,ORÇAMENTO!E714)),OFFSET($D714,1,$C714,ROW($C$747)-ROW($C714)),0))</f>
        <v>0</v>
      </c>
      <c r="L714" s="116" t="str">
        <f t="shared" ca="1" si="153"/>
        <v/>
      </c>
      <c r="M714" s="117" t="s">
        <v>199</v>
      </c>
      <c r="N714" s="118" t="str">
        <f t="shared" ca="1" si="154"/>
        <v>Serviço</v>
      </c>
      <c r="O714" s="119" t="str">
        <f t="shared" ca="1" si="155"/>
        <v>-</v>
      </c>
      <c r="P714" s="120" t="s">
        <v>247</v>
      </c>
      <c r="Q714" s="121" t="s">
        <v>459</v>
      </c>
      <c r="R714" s="122" t="str">
        <f ca="1">IF($C714="S",REFERENCIA.Descricao,"(digite a descrição aqui)")</f>
        <v>(abra o arquivo 'Referência 02-2025.xlsm)</v>
      </c>
      <c r="S714" s="123" t="str">
        <f ca="1">REFERENCIA.Unidade</f>
        <v>-</v>
      </c>
      <c r="T714" s="124">
        <f ca="1">OFFSET(CÁLCULO!H$15,ROW($T714)-ROW(T$15),0)</f>
        <v>199.64</v>
      </c>
      <c r="U714" s="125">
        <f t="shared" ca="1" si="172"/>
        <v>0</v>
      </c>
      <c r="V714" s="126" t="s">
        <v>156</v>
      </c>
      <c r="W714" s="124">
        <f ca="1">IF($C714="S",ROUND(IF(TIPOORCAMENTO="Proposto",ORÇAMENTO.CustoUnitario*(1+$AH714),ORÇAMENTO.PrecoUnitarioLicitado),15-13*$AF$10),0)</f>
        <v>0</v>
      </c>
      <c r="X714" s="127">
        <f ca="1">IF($C714="S",IF(Import.TipoArredondamento&lt;&gt;"TransfereGOV",VTOTAL1,SUM(OFFSET(CÁLCULO!$AA$15,ROW($X714)-ROW($X$15),1):OFFSET(CÁLCULO!$AL$15,ROW($X714)-ROW($X$15),-1))),IF($C714=0,0,ROUND(SomaAgrup,15-13*$AF$11)))</f>
        <v>0</v>
      </c>
      <c r="Y714" s="128" t="s">
        <v>245</v>
      </c>
      <c r="Z714" t="str">
        <f t="shared" ca="1" si="156"/>
        <v/>
      </c>
      <c r="AA714" s="129">
        <f ca="1">IF($C714="S",IF($Z714="CP",$X714,IF($Z714="RA",(($X714)*QCI!$AA$3),0)),SomaAgrup)</f>
        <v>0</v>
      </c>
      <c r="AB714" s="130">
        <f t="shared" ca="1" si="169"/>
        <v>0</v>
      </c>
      <c r="AC714" s="131" t="str">
        <f ca="1">IF($N714="","",IF(ORÇAMENTO.Descricao="","DESCRIÇÃO",IF(AND($C714="S",ORÇAMENTO.Unidade=""),"UNIDADE",IF($X714&lt;0,"VALOR NEGATIVO",IF(OR(AND(TIPOORCAMENTO="Proposto",$AG714&lt;&gt;"",$AG714&gt;0,ORÇAMENTO.CustoUnitario&gt;$AG714),AND(TIPOORCAMENTO="LICITADO",ORÇAMENTO.PrecoUnitarioLicitado&gt;$AN714)),"ACIMA REF.","")))))</f>
        <v/>
      </c>
      <c r="AD714" t="str">
        <f ca="1">IF(C714&lt;=CRONO.NivelExibicao,MAX($AD$15:OFFSET(AD714,-1,0))+IF($C714&lt;&gt;1,1,MAX(1,COUNTIF(QCI!$A$13:$A$24,OFFSET($E714,-1,0)))),"")</f>
        <v/>
      </c>
      <c r="AE714" s="7" t="str">
        <f ca="1">IF(AND($C714="S",ORÇAMENTO.CodBarra&lt;&gt;""),IF(ORÇAMENTO.Fonte="",ORÇAMENTO.CodBarra,CONCATENATE(ORÇAMENTO.Fonte," ",ORÇAMENTO.CodBarra)))</f>
        <v>SINAPI 104919</v>
      </c>
      <c r="AF714" s="13" t="str">
        <f ca="1">IF(ISERROR(INDIRECT(ORÇAMENTO.BancoRef)),"(abra o arquivo 'Referência "&amp;Excel_BuiltIn_Database&amp;".xlsm)",IF(OR($C714&lt;&gt;"S",ORÇAMENTO.CodBarra=""),"(Sem Código)",IF(ISERROR(MATCH($AE714,INDIRECT(ORÇAMENTO.BancoRef),0)),"(Código não identificado nas referências)",MATCH($AE714,INDIRECT(ORÇAMENTO.BancoRef),0))))</f>
        <v>(abra o arquivo 'Referência 02-2025.xlsm)</v>
      </c>
      <c r="AG714" s="498">
        <f ca="1">ROUND(IF(DESONERACAO="sim",REFERENCIA.Desonerado,REFERENCIA.NaoDesonerado),2)</f>
        <v>0</v>
      </c>
      <c r="AH714" s="499">
        <f t="shared" ca="1" si="170"/>
        <v>0.22470000000000001</v>
      </c>
      <c r="AJ714" s="501">
        <v>199.64</v>
      </c>
      <c r="AL714" s="527"/>
      <c r="AM714" s="381">
        <f t="shared" ca="1" si="159"/>
        <v>0</v>
      </c>
      <c r="AN714" s="566">
        <f t="shared" ca="1" si="171"/>
        <v>0</v>
      </c>
    </row>
    <row r="715" spans="1:40" ht="38.25" x14ac:dyDescent="0.2">
      <c r="A715" t="str">
        <f>CHOOSE(1+LOG(1+2*(ORÇAMENTO.Nivel="Meta")+4*(ORÇAMENTO.Nivel="Nível 2")+8*(ORÇAMENTO.Nivel="Nível 3")+16*(ORÇAMENTO.Nivel="Nível 4")+32*(ORÇAMENTO.Nivel="Serviço"),2),0,1,2,3,4,"S")</f>
        <v>S</v>
      </c>
      <c r="B715">
        <f t="shared" ca="1" si="146"/>
        <v>4</v>
      </c>
      <c r="C715" t="str">
        <f t="shared" ca="1" si="147"/>
        <v>S</v>
      </c>
      <c r="D715">
        <f t="shared" ca="1" si="148"/>
        <v>0</v>
      </c>
      <c r="E715">
        <f ca="1">IF($C715=1,OFFSET(E715,-1,0)+MAX(1,COUNTIF(QCI!$A$13:$A$24,OFFSET(ORÇAMENTO!E715,-1,0))),OFFSET(E715,-1,0))</f>
        <v>1</v>
      </c>
      <c r="F715">
        <f t="shared" ca="1" si="149"/>
        <v>24</v>
      </c>
      <c r="G715">
        <f t="shared" ca="1" si="150"/>
        <v>3</v>
      </c>
      <c r="H715">
        <f t="shared" ca="1" si="151"/>
        <v>1</v>
      </c>
      <c r="I715">
        <f t="shared" ca="1" si="152"/>
        <v>0</v>
      </c>
      <c r="J715">
        <f t="shared" ca="1" si="174"/>
        <v>0</v>
      </c>
      <c r="K715">
        <f ca="1">IF(OR($C715="S",$C715=0),0,MATCH(OFFSET($D715,0,$C715)+IF($C715&lt;&gt;1,1,COUNTIF(QCI!$A$13:$A$24,ORÇAMENTO!E715)),OFFSET($D715,1,$C715,ROW($C$747)-ROW($C715)),0))</f>
        <v>0</v>
      </c>
      <c r="L715" s="116" t="str">
        <f t="shared" ca="1" si="153"/>
        <v/>
      </c>
      <c r="M715" s="117" t="s">
        <v>199</v>
      </c>
      <c r="N715" s="118" t="str">
        <f t="shared" ca="1" si="154"/>
        <v>Serviço</v>
      </c>
      <c r="O715" s="119" t="str">
        <f t="shared" ca="1" si="155"/>
        <v>-</v>
      </c>
      <c r="P715" s="120" t="s">
        <v>247</v>
      </c>
      <c r="Q715" s="121" t="s">
        <v>464</v>
      </c>
      <c r="R715" s="122" t="str">
        <f ca="1">IF($C715="S",REFERENCIA.Descricao,"(digite a descrição aqui)")</f>
        <v>(abra o arquivo 'Referência 02-2025.xlsm)</v>
      </c>
      <c r="S715" s="123" t="str">
        <f ca="1">REFERENCIA.Unidade</f>
        <v>-</v>
      </c>
      <c r="T715" s="124">
        <f ca="1">OFFSET(CÁLCULO!H$15,ROW($T715)-ROW(T$15),0)</f>
        <v>134.51</v>
      </c>
      <c r="U715" s="125">
        <f t="shared" ca="1" si="172"/>
        <v>0</v>
      </c>
      <c r="V715" s="126" t="s">
        <v>156</v>
      </c>
      <c r="W715" s="124">
        <f ca="1">IF($C715="S",ROUND(IF(TIPOORCAMENTO="Proposto",ORÇAMENTO.CustoUnitario*(1+$AH715),ORÇAMENTO.PrecoUnitarioLicitado),15-13*$AF$10),0)</f>
        <v>0</v>
      </c>
      <c r="X715" s="127">
        <f ca="1">IF($C715="S",IF(Import.TipoArredondamento&lt;&gt;"TransfereGOV",VTOTAL1,SUM(OFFSET(CÁLCULO!$AA$15,ROW($X715)-ROW($X$15),1):OFFSET(CÁLCULO!$AL$15,ROW($X715)-ROW($X$15),-1))),IF($C715=0,0,ROUND(SomaAgrup,15-13*$AF$11)))</f>
        <v>0</v>
      </c>
      <c r="Y715" s="128" t="s">
        <v>245</v>
      </c>
      <c r="Z715" t="str">
        <f t="shared" ca="1" si="156"/>
        <v/>
      </c>
      <c r="AA715" s="129">
        <f ca="1">IF($C715="S",IF($Z715="CP",$X715,IF($Z715="RA",(($X715)*QCI!$AA$3),0)),SomaAgrup)</f>
        <v>0</v>
      </c>
      <c r="AB715" s="130">
        <f ca="1">IF($C715="S",IF($Z715="OU",ROUND($X715,2),0),SomaAgrup)</f>
        <v>0</v>
      </c>
      <c r="AC715" s="131" t="str">
        <f ca="1">IF($N715="","",IF(ORÇAMENTO.Descricao="","DESCRIÇÃO",IF(AND($C715="S",ORÇAMENTO.Unidade=""),"UNIDADE",IF($X715&lt;0,"VALOR NEGATIVO",IF(OR(AND(TIPOORCAMENTO="Proposto",$AG715&lt;&gt;"",$AG715&gt;0,ORÇAMENTO.CustoUnitario&gt;$AG715),AND(TIPOORCAMENTO="LICITADO",ORÇAMENTO.PrecoUnitarioLicitado&gt;$AN715)),"ACIMA REF.","")))))</f>
        <v/>
      </c>
      <c r="AD715" t="str">
        <f ca="1">IF(C715&lt;=CRONO.NivelExibicao,MAX($AD$15:OFFSET(AD715,-1,0))+IF($C715&lt;&gt;1,1,MAX(1,COUNTIF(QCI!$A$13:$A$24,OFFSET($E715,-1,0)))),"")</f>
        <v/>
      </c>
      <c r="AE715" s="7" t="str">
        <f ca="1">IF(AND($C715="S",ORÇAMENTO.CodBarra&lt;&gt;""),IF(ORÇAMENTO.Fonte="",ORÇAMENTO.CodBarra,CONCATENATE(ORÇAMENTO.Fonte," ",ORÇAMENTO.CodBarra)))</f>
        <v>SINAPI 104920</v>
      </c>
      <c r="AF715" s="13" t="str">
        <f ca="1">IF(ISERROR(INDIRECT(ORÇAMENTO.BancoRef)),"(abra o arquivo 'Referência "&amp;Excel_BuiltIn_Database&amp;".xlsm)",IF(OR($C715&lt;&gt;"S",ORÇAMENTO.CodBarra=""),"(Sem Código)",IF(ISERROR(MATCH($AE715,INDIRECT(ORÇAMENTO.BancoRef),0)),"(Código não identificado nas referências)",MATCH($AE715,INDIRECT(ORÇAMENTO.BancoRef),0))))</f>
        <v>(abra o arquivo 'Referência 02-2025.xlsm)</v>
      </c>
      <c r="AG715" s="498">
        <f ca="1">ROUND(IF(DESONERACAO="sim",REFERENCIA.Desonerado,REFERENCIA.NaoDesonerado),2)</f>
        <v>0</v>
      </c>
      <c r="AH715" s="499">
        <f ca="1">ROUND(IF(ISNUMBER(ORÇAMENTO.OpcaoBDI),ORÇAMENTO.OpcaoBDI,IF(LEFT(ORÇAMENTO.OpcaoBDI,3)="BDI",HLOOKUP(ORÇAMENTO.OpcaoBDI,$F$4:$H$5,2,FALSE),0)),15-11*$AF$9)</f>
        <v>0.22470000000000001</v>
      </c>
      <c r="AJ715" s="501">
        <v>134.51</v>
      </c>
      <c r="AL715" s="527"/>
      <c r="AM715" s="381">
        <f t="shared" ca="1" si="159"/>
        <v>0</v>
      </c>
      <c r="AN715" s="566">
        <f ca="1">ROUND(ORÇAMENTO.CustoUnitario*(1+$AH715),2)</f>
        <v>0</v>
      </c>
    </row>
    <row r="716" spans="1:40" ht="25.5" x14ac:dyDescent="0.2">
      <c r="A716" t="str">
        <f>CHOOSE(1+LOG(1+2*(ORÇAMENTO.Nivel="Meta")+4*(ORÇAMENTO.Nivel="Nível 2")+8*(ORÇAMENTO.Nivel="Nível 3")+16*(ORÇAMENTO.Nivel="Nível 4")+32*(ORÇAMENTO.Nivel="Serviço"),2),0,1,2,3,4,"S")</f>
        <v>S</v>
      </c>
      <c r="B716">
        <f t="shared" ca="1" si="146"/>
        <v>4</v>
      </c>
      <c r="C716" t="str">
        <f t="shared" ca="1" si="147"/>
        <v>S</v>
      </c>
      <c r="D716">
        <f t="shared" ca="1" si="148"/>
        <v>0</v>
      </c>
      <c r="E716">
        <f ca="1">IF($C716=1,OFFSET(E716,-1,0)+MAX(1,COUNTIF(QCI!$A$13:$A$24,OFFSET(ORÇAMENTO!E716,-1,0))),OFFSET(E716,-1,0))</f>
        <v>1</v>
      </c>
      <c r="F716">
        <f t="shared" ca="1" si="149"/>
        <v>24</v>
      </c>
      <c r="G716">
        <f t="shared" ca="1" si="150"/>
        <v>3</v>
      </c>
      <c r="H716">
        <f t="shared" ca="1" si="151"/>
        <v>1</v>
      </c>
      <c r="I716">
        <f t="shared" ca="1" si="152"/>
        <v>0</v>
      </c>
      <c r="J716">
        <f t="shared" ca="1" si="174"/>
        <v>0</v>
      </c>
      <c r="K716">
        <f ca="1">IF(OR($C716="S",$C716=0),0,MATCH(OFFSET($D716,0,$C716)+IF($C716&lt;&gt;1,1,COUNTIF(QCI!$A$13:$A$24,ORÇAMENTO!E716)),OFFSET($D716,1,$C716,ROW($C$747)-ROW($C716)),0))</f>
        <v>0</v>
      </c>
      <c r="L716" s="116" t="str">
        <f t="shared" ca="1" si="153"/>
        <v/>
      </c>
      <c r="M716" s="117" t="s">
        <v>199</v>
      </c>
      <c r="N716" s="118" t="str">
        <f t="shared" ca="1" si="154"/>
        <v>Serviço</v>
      </c>
      <c r="O716" s="119" t="str">
        <f t="shared" ca="1" si="155"/>
        <v>-</v>
      </c>
      <c r="P716" s="120" t="s">
        <v>247</v>
      </c>
      <c r="Q716" s="121" t="s">
        <v>1005</v>
      </c>
      <c r="R716" s="122" t="str">
        <f ca="1">IF($C716="S",REFERENCIA.Descricao,"(digite a descrição aqui)")</f>
        <v>(abra o arquivo 'Referência 02-2025.xlsm)</v>
      </c>
      <c r="S716" s="123" t="str">
        <f ca="1">REFERENCIA.Unidade</f>
        <v>-</v>
      </c>
      <c r="T716" s="124">
        <f ca="1">OFFSET(CÁLCULO!H$15,ROW($T716)-ROW(T$15),0)</f>
        <v>210.09</v>
      </c>
      <c r="U716" s="125">
        <f t="shared" ca="1" si="172"/>
        <v>0</v>
      </c>
      <c r="V716" s="126" t="s">
        <v>156</v>
      </c>
      <c r="W716" s="124">
        <f ca="1">IF($C716="S",ROUND(IF(TIPOORCAMENTO="Proposto",ORÇAMENTO.CustoUnitario*(1+$AH716),ORÇAMENTO.PrecoUnitarioLicitado),15-13*$AF$10),0)</f>
        <v>0</v>
      </c>
      <c r="X716" s="127">
        <f ca="1">IF($C716="S",IF(Import.TipoArredondamento&lt;&gt;"TransfereGOV",VTOTAL1,SUM(OFFSET(CÁLCULO!$AA$15,ROW($X716)-ROW($X$15),1):OFFSET(CÁLCULO!$AL$15,ROW($X716)-ROW($X$15),-1))),IF($C716=0,0,ROUND(SomaAgrup,15-13*$AF$11)))</f>
        <v>0</v>
      </c>
      <c r="Y716" s="128" t="s">
        <v>245</v>
      </c>
      <c r="Z716" t="str">
        <f t="shared" ca="1" si="156"/>
        <v/>
      </c>
      <c r="AA716" s="129">
        <f ca="1">IF($C716="S",IF($Z716="CP",$X716,IF($Z716="RA",(($X716)*QCI!$AA$3),0)),SomaAgrup)</f>
        <v>0</v>
      </c>
      <c r="AB716" s="130">
        <f ca="1">IF($C716="S",IF($Z716="OU",ROUND($X716,2),0),SomaAgrup)</f>
        <v>0</v>
      </c>
      <c r="AC716" s="131" t="str">
        <f ca="1">IF($N716="","",IF(ORÇAMENTO.Descricao="","DESCRIÇÃO",IF(AND($C716="S",ORÇAMENTO.Unidade=""),"UNIDADE",IF($X716&lt;0,"VALOR NEGATIVO",IF(OR(AND(TIPOORCAMENTO="Proposto",$AG716&lt;&gt;"",$AG716&gt;0,ORÇAMENTO.CustoUnitario&gt;$AG716),AND(TIPOORCAMENTO="LICITADO",ORÇAMENTO.PrecoUnitarioLicitado&gt;$AN716)),"ACIMA REF.","")))))</f>
        <v/>
      </c>
      <c r="AD716" t="str">
        <f ca="1">IF(C716&lt;=CRONO.NivelExibicao,MAX($AD$15:OFFSET(AD716,-1,0))+IF($C716&lt;&gt;1,1,MAX(1,COUNTIF(QCI!$A$13:$A$24,OFFSET($E716,-1,0)))),"")</f>
        <v/>
      </c>
      <c r="AE716" s="7" t="str">
        <f ca="1">IF(AND($C716="S",ORÇAMENTO.CodBarra&lt;&gt;""),IF(ORÇAMENTO.Fonte="",ORÇAMENTO.CodBarra,CONCATENATE(ORÇAMENTO.Fonte," ",ORÇAMENTO.CodBarra)))</f>
        <v>SINAPI 104916</v>
      </c>
      <c r="AF716" s="13" t="str">
        <f ca="1">IF(ISERROR(INDIRECT(ORÇAMENTO.BancoRef)),"(abra o arquivo 'Referência "&amp;Excel_BuiltIn_Database&amp;".xlsm)",IF(OR($C716&lt;&gt;"S",ORÇAMENTO.CodBarra=""),"(Sem Código)",IF(ISERROR(MATCH($AE716,INDIRECT(ORÇAMENTO.BancoRef),0)),"(Código não identificado nas referências)",MATCH($AE716,INDIRECT(ORÇAMENTO.BancoRef),0))))</f>
        <v>(abra o arquivo 'Referência 02-2025.xlsm)</v>
      </c>
      <c r="AG716" s="498">
        <f ca="1">ROUND(IF(DESONERACAO="sim",REFERENCIA.Desonerado,REFERENCIA.NaoDesonerado),2)</f>
        <v>0</v>
      </c>
      <c r="AH716" s="499">
        <f ca="1">ROUND(IF(ISNUMBER(ORÇAMENTO.OpcaoBDI),ORÇAMENTO.OpcaoBDI,IF(LEFT(ORÇAMENTO.OpcaoBDI,3)="BDI",HLOOKUP(ORÇAMENTO.OpcaoBDI,$F$4:$H$5,2,FALSE),0)),15-11*$AF$9)</f>
        <v>0.22470000000000001</v>
      </c>
      <c r="AJ716" s="501">
        <v>210.09</v>
      </c>
      <c r="AL716" s="527"/>
      <c r="AM716" s="381">
        <f t="shared" ca="1" si="159"/>
        <v>0</v>
      </c>
      <c r="AN716" s="566">
        <f ca="1">ROUND(ORÇAMENTO.CustoUnitario*(1+$AH716),2)</f>
        <v>0</v>
      </c>
    </row>
    <row r="717" spans="1:40" ht="38.25" x14ac:dyDescent="0.2">
      <c r="A717" t="str">
        <f>CHOOSE(1+LOG(1+2*(ORÇAMENTO.Nivel="Meta")+4*(ORÇAMENTO.Nivel="Nível 2")+8*(ORÇAMENTO.Nivel="Nível 3")+16*(ORÇAMENTO.Nivel="Nível 4")+32*(ORÇAMENTO.Nivel="Serviço"),2),0,1,2,3,4,"S")</f>
        <v>S</v>
      </c>
      <c r="B717">
        <f t="shared" ca="1" si="146"/>
        <v>4</v>
      </c>
      <c r="C717" t="str">
        <f t="shared" ca="1" si="147"/>
        <v>S</v>
      </c>
      <c r="D717">
        <f t="shared" ca="1" si="148"/>
        <v>0</v>
      </c>
      <c r="E717">
        <f ca="1">IF($C717=1,OFFSET(E717,-1,0)+MAX(1,COUNTIF(QCI!$A$13:$A$24,OFFSET(ORÇAMENTO!E717,-1,0))),OFFSET(E717,-1,0))</f>
        <v>1</v>
      </c>
      <c r="F717">
        <f t="shared" ca="1" si="149"/>
        <v>24</v>
      </c>
      <c r="G717">
        <f t="shared" ca="1" si="150"/>
        <v>3</v>
      </c>
      <c r="H717">
        <f t="shared" ca="1" si="151"/>
        <v>1</v>
      </c>
      <c r="I717">
        <f t="shared" ca="1" si="152"/>
        <v>0</v>
      </c>
      <c r="J717">
        <f t="shared" ca="1" si="174"/>
        <v>0</v>
      </c>
      <c r="K717">
        <f ca="1">IF(OR($C717="S",$C717=0),0,MATCH(OFFSET($D717,0,$C717)+IF($C717&lt;&gt;1,1,COUNTIF(QCI!$A$13:$A$24,ORÇAMENTO!E717)),OFFSET($D717,1,$C717,ROW($C$747)-ROW($C717)),0))</f>
        <v>0</v>
      </c>
      <c r="L717" s="116" t="str">
        <f t="shared" ca="1" si="153"/>
        <v/>
      </c>
      <c r="M717" s="117" t="s">
        <v>199</v>
      </c>
      <c r="N717" s="118" t="str">
        <f t="shared" ca="1" si="154"/>
        <v>Serviço</v>
      </c>
      <c r="O717" s="119" t="str">
        <f t="shared" ca="1" si="155"/>
        <v>-</v>
      </c>
      <c r="P717" s="120" t="s">
        <v>247</v>
      </c>
      <c r="Q717" s="121" t="s">
        <v>460</v>
      </c>
      <c r="R717" s="122" t="str">
        <f ca="1">IF($C717="S",REFERENCIA.Descricao,"(digite a descrição aqui)")</f>
        <v>(abra o arquivo 'Referência 02-2025.xlsm)</v>
      </c>
      <c r="S717" s="123" t="str">
        <f ca="1">REFERENCIA.Unidade</f>
        <v>-</v>
      </c>
      <c r="T717" s="124">
        <f ca="1">OFFSET(CÁLCULO!H$15,ROW($T717)-ROW(T$15),0)</f>
        <v>7.64</v>
      </c>
      <c r="U717" s="125">
        <f t="shared" ca="1" si="172"/>
        <v>0</v>
      </c>
      <c r="V717" s="126" t="s">
        <v>156</v>
      </c>
      <c r="W717" s="124">
        <f ca="1">IF($C717="S",ROUND(IF(TIPOORCAMENTO="Proposto",ORÇAMENTO.CustoUnitario*(1+$AH717),ORÇAMENTO.PrecoUnitarioLicitado),15-13*$AF$10),0)</f>
        <v>0</v>
      </c>
      <c r="X717" s="127">
        <f ca="1">IF($C717="S",IF(Import.TipoArredondamento&lt;&gt;"TransfereGOV",VTOTAL1,SUM(OFFSET(CÁLCULO!$AA$15,ROW($X717)-ROW($X$15),1):OFFSET(CÁLCULO!$AL$15,ROW($X717)-ROW($X$15),-1))),IF($C717=0,0,ROUND(SomaAgrup,15-13*$AF$11)))</f>
        <v>0</v>
      </c>
      <c r="Y717" s="128" t="s">
        <v>245</v>
      </c>
      <c r="Z717" t="str">
        <f t="shared" ca="1" si="156"/>
        <v/>
      </c>
      <c r="AA717" s="129">
        <f ca="1">IF($C717="S",IF($Z717="CP",$X717,IF($Z717="RA",(($X717)*QCI!$AA$3),0)),SomaAgrup)</f>
        <v>0</v>
      </c>
      <c r="AB717" s="130">
        <f ca="1">IF($C717="S",IF($Z717="OU",ROUND($X717,2),0),SomaAgrup)</f>
        <v>0</v>
      </c>
      <c r="AC717" s="131" t="str">
        <f ca="1">IF($N717="","",IF(ORÇAMENTO.Descricao="","DESCRIÇÃO",IF(AND($C717="S",ORÇAMENTO.Unidade=""),"UNIDADE",IF($X717&lt;0,"VALOR NEGATIVO",IF(OR(AND(TIPOORCAMENTO="Proposto",$AG717&lt;&gt;"",$AG717&gt;0,ORÇAMENTO.CustoUnitario&gt;$AG717),AND(TIPOORCAMENTO="LICITADO",ORÇAMENTO.PrecoUnitarioLicitado&gt;$AN717)),"ACIMA REF.","")))))</f>
        <v/>
      </c>
      <c r="AD717" t="str">
        <f ca="1">IF(C717&lt;=CRONO.NivelExibicao,MAX($AD$15:OFFSET(AD717,-1,0))+IF($C717&lt;&gt;1,1,MAX(1,COUNTIF(QCI!$A$13:$A$24,OFFSET($E717,-1,0)))),"")</f>
        <v/>
      </c>
      <c r="AE717" s="7" t="str">
        <f ca="1">IF(AND($C717="S",ORÇAMENTO.CodBarra&lt;&gt;""),IF(ORÇAMENTO.Fonte="",ORÇAMENTO.CodBarra,CONCATENATE(ORÇAMENTO.Fonte," ",ORÇAMENTO.CodBarra)))</f>
        <v>SINAPI 96557</v>
      </c>
      <c r="AF717" s="13" t="str">
        <f ca="1">IF(ISERROR(INDIRECT(ORÇAMENTO.BancoRef)),"(abra o arquivo 'Referência "&amp;Excel_BuiltIn_Database&amp;".xlsm)",IF(OR($C717&lt;&gt;"S",ORÇAMENTO.CodBarra=""),"(Sem Código)",IF(ISERROR(MATCH($AE717,INDIRECT(ORÇAMENTO.BancoRef),0)),"(Código não identificado nas referências)",MATCH($AE717,INDIRECT(ORÇAMENTO.BancoRef),0))))</f>
        <v>(abra o arquivo 'Referência 02-2025.xlsm)</v>
      </c>
      <c r="AG717" s="498">
        <f ca="1">ROUND(IF(DESONERACAO="sim",REFERENCIA.Desonerado,REFERENCIA.NaoDesonerado),2)</f>
        <v>0</v>
      </c>
      <c r="AH717" s="499">
        <f ca="1">ROUND(IF(ISNUMBER(ORÇAMENTO.OpcaoBDI),ORÇAMENTO.OpcaoBDI,IF(LEFT(ORÇAMENTO.OpcaoBDI,3)="BDI",HLOOKUP(ORÇAMENTO.OpcaoBDI,$F$4:$H$5,2,FALSE),0)),15-11*$AF$9)</f>
        <v>0.22470000000000001</v>
      </c>
      <c r="AJ717" s="501">
        <v>7.64</v>
      </c>
      <c r="AL717" s="527"/>
      <c r="AM717" s="381">
        <f t="shared" ca="1" si="159"/>
        <v>0</v>
      </c>
      <c r="AN717" s="566">
        <f ca="1">ROUND(ORÇAMENTO.CustoUnitario*(1+$AH717),2)</f>
        <v>0</v>
      </c>
    </row>
    <row r="718" spans="1:40" x14ac:dyDescent="0.2">
      <c r="A718">
        <f t="shared" ref="A718:A745" si="175">CHOOSE(1+LOG(1+2*(ORÇAMENTO.Nivel="Meta")+4*(ORÇAMENTO.Nivel="Nível 2")+8*(ORÇAMENTO.Nivel="Nível 3")+16*(ORÇAMENTO.Nivel="Nível 4")+32*(ORÇAMENTO.Nivel="Serviço"),2),0,1,2,3,4,"S")</f>
        <v>4</v>
      </c>
      <c r="B718">
        <f t="shared" ca="1" si="146"/>
        <v>4</v>
      </c>
      <c r="C718">
        <f t="shared" ca="1" si="147"/>
        <v>4</v>
      </c>
      <c r="D718">
        <f t="shared" ca="1" si="148"/>
        <v>5</v>
      </c>
      <c r="E718">
        <f ca="1">IF($C718=1,OFFSET(E718,-1,0)+MAX(1,COUNTIF(QCI!$A$13:$A$24,OFFSET(ORÇAMENTO!E718,-1,0))),OFFSET(E718,-1,0))</f>
        <v>1</v>
      </c>
      <c r="F718">
        <f t="shared" ca="1" si="149"/>
        <v>24</v>
      </c>
      <c r="G718">
        <f t="shared" ca="1" si="150"/>
        <v>3</v>
      </c>
      <c r="H718">
        <f t="shared" ca="1" si="151"/>
        <v>2</v>
      </c>
      <c r="I718">
        <f t="shared" ca="1" si="152"/>
        <v>0</v>
      </c>
      <c r="J718">
        <f t="shared" ca="1" si="174"/>
        <v>5</v>
      </c>
      <c r="K718" t="e">
        <f ca="1">IF(OR($C718="S",$C718=0),0,MATCH(OFFSET($D718,0,$C718)+IF($C718&lt;&gt;1,1,COUNTIF(QCI!$A$13:$A$24,ORÇAMENTO!E718)),OFFSET($D718,1,$C718,ROW($C$747)-ROW($C718)),0))</f>
        <v>#N/A</v>
      </c>
      <c r="L718" s="116" t="str">
        <f t="shared" ca="1" si="153"/>
        <v>F</v>
      </c>
      <c r="M718" s="117" t="s">
        <v>198</v>
      </c>
      <c r="N718" s="118" t="str">
        <f t="shared" ca="1" si="154"/>
        <v>Nível 4</v>
      </c>
      <c r="O718" s="119" t="str">
        <f t="shared" ca="1" si="155"/>
        <v>1.24.3.2.</v>
      </c>
      <c r="P718" s="120" t="s">
        <v>247</v>
      </c>
      <c r="Q718" s="121"/>
      <c r="R718" s="122" t="s">
        <v>894</v>
      </c>
      <c r="S718" s="123" t="str">
        <f ca="1">REFERENCIA.Unidade</f>
        <v>-</v>
      </c>
      <c r="T718" s="124">
        <f ca="1">OFFSET(CÁLCULO!H$15,ROW($T718)-ROW(T$15),0)</f>
        <v>0</v>
      </c>
      <c r="U718" s="125">
        <f t="shared" ca="1" si="172"/>
        <v>0</v>
      </c>
      <c r="V718" s="126" t="s">
        <v>156</v>
      </c>
      <c r="W718" s="124">
        <f ca="1">IF($C718="S",ROUND(IF(TIPOORCAMENTO="Proposto",ORÇAMENTO.CustoUnitario*(1+$AH718),ORÇAMENTO.PrecoUnitarioLicitado),15-13*$AF$10),0)</f>
        <v>0</v>
      </c>
      <c r="X718" s="127">
        <f ca="1">IF($C718="S",IF(Import.TipoArredondamento&lt;&gt;"TransfereGOV",VTOTAL1,SUM(OFFSET(CÁLCULO!$AA$15,ROW($X718)-ROW($X$15),1):OFFSET(CÁLCULO!$AL$15,ROW($X718)-ROW($X$15),-1))),IF($C718=0,0,ROUND(SomaAgrup,15-13*$AF$11)))</f>
        <v>0</v>
      </c>
      <c r="Y718" s="128" t="s">
        <v>245</v>
      </c>
      <c r="Z718" t="str">
        <f t="shared" ca="1" si="156"/>
        <v/>
      </c>
      <c r="AA718" s="129">
        <f ca="1">IF($C718="S",IF($Z718="CP",$X718,IF($Z718="RA",(($X718)*QCI!$AA$3),0)),SomaAgrup)</f>
        <v>0</v>
      </c>
      <c r="AB718" s="130">
        <f t="shared" ref="AB718:AB745" ca="1" si="176">IF($C718="S",IF($Z718="OU",ROUND($X718,2),0),SomaAgrup)</f>
        <v>0</v>
      </c>
      <c r="AC718" s="131" t="str">
        <f ca="1">IF($N718="","",IF(ORÇAMENTO.Descricao="","DESCRIÇÃO",IF(AND($C718="S",ORÇAMENTO.Unidade=""),"UNIDADE",IF($X718&lt;0,"VALOR NEGATIVO",IF(OR(AND(TIPOORCAMENTO="Proposto",$AG718&lt;&gt;"",$AG718&gt;0,ORÇAMENTO.CustoUnitario&gt;$AG718),AND(TIPOORCAMENTO="LICITADO",ORÇAMENTO.PrecoUnitarioLicitado&gt;$AN718)),"ACIMA REF.","")))))</f>
        <v/>
      </c>
      <c r="AD718" t="str">
        <f ca="1">IF(C718&lt;=CRONO.NivelExibicao,MAX($AD$15:OFFSET(AD718,-1,0))+IF($C718&lt;&gt;1,1,MAX(1,COUNTIF(QCI!$A$13:$A$24,OFFSET($E718,-1,0)))),"")</f>
        <v/>
      </c>
      <c r="AE718" s="7" t="b">
        <f ca="1">IF(AND($C718="S",ORÇAMENTO.CodBarra&lt;&gt;""),IF(ORÇAMENTO.Fonte="",ORÇAMENTO.CodBarra,CONCATENATE(ORÇAMENTO.Fonte," ",ORÇAMENTO.CodBarra)))</f>
        <v>0</v>
      </c>
      <c r="AF718" s="13" t="str">
        <f ca="1">IF(ISERROR(INDIRECT(ORÇAMENTO.BancoRef)),"(abra o arquivo 'Referência "&amp;Excel_BuiltIn_Database&amp;".xlsm)",IF(OR($C718&lt;&gt;"S",ORÇAMENTO.CodBarra=""),"(Sem Código)",IF(ISERROR(MATCH($AE718,INDIRECT(ORÇAMENTO.BancoRef),0)),"(Código não identificado nas referências)",MATCH($AE718,INDIRECT(ORÇAMENTO.BancoRef),0))))</f>
        <v>(abra o arquivo 'Referência 02-2025.xlsm)</v>
      </c>
      <c r="AG718" s="498">
        <f ca="1">ROUND(IF(DESONERACAO="sim",REFERENCIA.Desonerado,REFERENCIA.NaoDesonerado),2)</f>
        <v>0</v>
      </c>
      <c r="AH718" s="499">
        <f t="shared" ref="AH718:AH745" ca="1" si="177">ROUND(IF(ISNUMBER(ORÇAMENTO.OpcaoBDI),ORÇAMENTO.OpcaoBDI,IF(LEFT(ORÇAMENTO.OpcaoBDI,3)="BDI",HLOOKUP(ORÇAMENTO.OpcaoBDI,$F$4:$H$5,2,FALSE),0)),15-11*$AF$9)</f>
        <v>0.22470000000000001</v>
      </c>
      <c r="AJ718" s="501"/>
      <c r="AL718" s="527"/>
      <c r="AM718" s="381">
        <f t="shared" ca="1" si="159"/>
        <v>0</v>
      </c>
      <c r="AN718" s="566">
        <f t="shared" ref="AN718:AN745" ca="1" si="178">ROUND(ORÇAMENTO.CustoUnitario*(1+$AH718),2)</f>
        <v>0</v>
      </c>
    </row>
    <row r="719" spans="1:40" ht="51" x14ac:dyDescent="0.2">
      <c r="A719" t="str">
        <f t="shared" si="175"/>
        <v>S</v>
      </c>
      <c r="B719">
        <f t="shared" ca="1" si="146"/>
        <v>4</v>
      </c>
      <c r="C719" t="str">
        <f t="shared" ca="1" si="147"/>
        <v>S</v>
      </c>
      <c r="D719">
        <f t="shared" ca="1" si="148"/>
        <v>0</v>
      </c>
      <c r="E719">
        <f ca="1">IF($C719=1,OFFSET(E719,-1,0)+MAX(1,COUNTIF(QCI!$A$13:$A$24,OFFSET(ORÇAMENTO!E719,-1,0))),OFFSET(E719,-1,0))</f>
        <v>1</v>
      </c>
      <c r="F719">
        <f t="shared" ca="1" si="149"/>
        <v>24</v>
      </c>
      <c r="G719">
        <f t="shared" ca="1" si="150"/>
        <v>3</v>
      </c>
      <c r="H719">
        <f t="shared" ca="1" si="151"/>
        <v>2</v>
      </c>
      <c r="I719">
        <f t="shared" ca="1" si="152"/>
        <v>0</v>
      </c>
      <c r="J719">
        <f t="shared" ca="1" si="174"/>
        <v>0</v>
      </c>
      <c r="K719">
        <f ca="1">IF(OR($C719="S",$C719=0),0,MATCH(OFFSET($D719,0,$C719)+IF($C719&lt;&gt;1,1,COUNTIF(QCI!$A$13:$A$24,ORÇAMENTO!E719)),OFFSET($D719,1,$C719,ROW($C$747)-ROW($C719)),0))</f>
        <v>0</v>
      </c>
      <c r="L719" s="116" t="str">
        <f t="shared" ca="1" si="153"/>
        <v/>
      </c>
      <c r="M719" s="117" t="s">
        <v>199</v>
      </c>
      <c r="N719" s="118" t="str">
        <f t="shared" ca="1" si="154"/>
        <v>Serviço</v>
      </c>
      <c r="O719" s="119" t="str">
        <f t="shared" ca="1" si="155"/>
        <v>-</v>
      </c>
      <c r="P719" s="120" t="s">
        <v>247</v>
      </c>
      <c r="Q719" s="121" t="s">
        <v>467</v>
      </c>
      <c r="R719" s="122" t="str">
        <f ca="1">IF($C719="S",REFERENCIA.Descricao,"(digite a descrição aqui)")</f>
        <v>(abra o arquivo 'Referência 02-2025.xlsm)</v>
      </c>
      <c r="S719" s="123" t="str">
        <f ca="1">REFERENCIA.Unidade</f>
        <v>-</v>
      </c>
      <c r="T719" s="124">
        <f ca="1">OFFSET(CÁLCULO!H$15,ROW($T719)-ROW(T$15),0)</f>
        <v>94.62</v>
      </c>
      <c r="U719" s="125">
        <f t="shared" ca="1" si="172"/>
        <v>0</v>
      </c>
      <c r="V719" s="126" t="s">
        <v>156</v>
      </c>
      <c r="W719" s="124">
        <f ca="1">IF($C719="S",ROUND(IF(TIPOORCAMENTO="Proposto",ORÇAMENTO.CustoUnitario*(1+$AH719),ORÇAMENTO.PrecoUnitarioLicitado),15-13*$AF$10),0)</f>
        <v>0</v>
      </c>
      <c r="X719" s="127">
        <f ca="1">IF($C719="S",IF(Import.TipoArredondamento&lt;&gt;"TransfereGOV",VTOTAL1,SUM(OFFSET(CÁLCULO!$AA$15,ROW($X719)-ROW($X$15),1):OFFSET(CÁLCULO!$AL$15,ROW($X719)-ROW($X$15),-1))),IF($C719=0,0,ROUND(SomaAgrup,15-13*$AF$11)))</f>
        <v>0</v>
      </c>
      <c r="Y719" s="128" t="s">
        <v>245</v>
      </c>
      <c r="Z719" t="str">
        <f t="shared" ca="1" si="156"/>
        <v/>
      </c>
      <c r="AA719" s="129">
        <f ca="1">IF($C719="S",IF($Z719="CP",$X719,IF($Z719="RA",(($X719)*QCI!$AA$3),0)),SomaAgrup)</f>
        <v>0</v>
      </c>
      <c r="AB719" s="130">
        <f t="shared" ca="1" si="176"/>
        <v>0</v>
      </c>
      <c r="AC719" s="131" t="str">
        <f ca="1">IF($N719="","",IF(ORÇAMENTO.Descricao="","DESCRIÇÃO",IF(AND($C719="S",ORÇAMENTO.Unidade=""),"UNIDADE",IF($X719&lt;0,"VALOR NEGATIVO",IF(OR(AND(TIPOORCAMENTO="Proposto",$AG719&lt;&gt;"",$AG719&gt;0,ORÇAMENTO.CustoUnitario&gt;$AG719),AND(TIPOORCAMENTO="LICITADO",ORÇAMENTO.PrecoUnitarioLicitado&gt;$AN719)),"ACIMA REF.","")))))</f>
        <v/>
      </c>
      <c r="AD719" t="str">
        <f ca="1">IF(C719&lt;=CRONO.NivelExibicao,MAX($AD$15:OFFSET(AD719,-1,0))+IF($C719&lt;&gt;1,1,MAX(1,COUNTIF(QCI!$A$13:$A$24,OFFSET($E719,-1,0)))),"")</f>
        <v/>
      </c>
      <c r="AE719" s="7" t="str">
        <f ca="1">IF(AND($C719="S",ORÇAMENTO.CodBarra&lt;&gt;""),IF(ORÇAMENTO.Fonte="",ORÇAMENTO.CodBarra,CONCATENATE(ORÇAMENTO.Fonte," ",ORÇAMENTO.CodBarra)))</f>
        <v>SINAPI 92443</v>
      </c>
      <c r="AF719" s="13" t="str">
        <f ca="1">IF(ISERROR(INDIRECT(ORÇAMENTO.BancoRef)),"(abra o arquivo 'Referência "&amp;Excel_BuiltIn_Database&amp;".xlsm)",IF(OR($C719&lt;&gt;"S",ORÇAMENTO.CodBarra=""),"(Sem Código)",IF(ISERROR(MATCH($AE719,INDIRECT(ORÇAMENTO.BancoRef),0)),"(Código não identificado nas referências)",MATCH($AE719,INDIRECT(ORÇAMENTO.BancoRef),0))))</f>
        <v>(abra o arquivo 'Referência 02-2025.xlsm)</v>
      </c>
      <c r="AG719" s="498">
        <f ca="1">ROUND(IF(DESONERACAO="sim",REFERENCIA.Desonerado,REFERENCIA.NaoDesonerado),2)</f>
        <v>0</v>
      </c>
      <c r="AH719" s="499">
        <f t="shared" ca="1" si="177"/>
        <v>0.22470000000000001</v>
      </c>
      <c r="AJ719" s="501">
        <v>94.62</v>
      </c>
      <c r="AL719" s="527"/>
      <c r="AM719" s="381">
        <f t="shared" ca="1" si="159"/>
        <v>0</v>
      </c>
      <c r="AN719" s="566">
        <f t="shared" ca="1" si="178"/>
        <v>0</v>
      </c>
    </row>
    <row r="720" spans="1:40" ht="38.25" x14ac:dyDescent="0.2">
      <c r="A720" t="str">
        <f t="shared" si="175"/>
        <v>S</v>
      </c>
      <c r="B720">
        <f t="shared" ca="1" si="146"/>
        <v>4</v>
      </c>
      <c r="C720" t="str">
        <f t="shared" ca="1" si="147"/>
        <v>S</v>
      </c>
      <c r="D720">
        <f t="shared" ca="1" si="148"/>
        <v>0</v>
      </c>
      <c r="E720">
        <f ca="1">IF($C720=1,OFFSET(E720,-1,0)+MAX(1,COUNTIF(QCI!$A$13:$A$24,OFFSET(ORÇAMENTO!E720,-1,0))),OFFSET(E720,-1,0))</f>
        <v>1</v>
      </c>
      <c r="F720">
        <f t="shared" ca="1" si="149"/>
        <v>24</v>
      </c>
      <c r="G720">
        <f t="shared" ca="1" si="150"/>
        <v>3</v>
      </c>
      <c r="H720">
        <f t="shared" ca="1" si="151"/>
        <v>2</v>
      </c>
      <c r="I720">
        <f t="shared" ca="1" si="152"/>
        <v>0</v>
      </c>
      <c r="J720">
        <f t="shared" ca="1" si="174"/>
        <v>0</v>
      </c>
      <c r="K720">
        <f ca="1">IF(OR($C720="S",$C720=0),0,MATCH(OFFSET($D720,0,$C720)+IF($C720&lt;&gt;1,1,COUNTIF(QCI!$A$13:$A$24,ORÇAMENTO!E720)),OFFSET($D720,1,$C720,ROW($C$747)-ROW($C720)),0))</f>
        <v>0</v>
      </c>
      <c r="L720" s="116" t="str">
        <f t="shared" ca="1" si="153"/>
        <v/>
      </c>
      <c r="M720" s="117" t="s">
        <v>199</v>
      </c>
      <c r="N720" s="118" t="str">
        <f t="shared" ca="1" si="154"/>
        <v>Serviço</v>
      </c>
      <c r="O720" s="119" t="str">
        <f t="shared" ca="1" si="155"/>
        <v>-</v>
      </c>
      <c r="P720" s="120" t="s">
        <v>247</v>
      </c>
      <c r="Q720" s="121" t="s">
        <v>468</v>
      </c>
      <c r="R720" s="122" t="str">
        <f ca="1">IF($C720="S",REFERENCIA.Descricao,"(digite a descrição aqui)")</f>
        <v>(abra o arquivo 'Referência 02-2025.xlsm)</v>
      </c>
      <c r="S720" s="123" t="str">
        <f ca="1">REFERENCIA.Unidade</f>
        <v>-</v>
      </c>
      <c r="T720" s="124">
        <f ca="1">OFFSET(CÁLCULO!H$15,ROW($T720)-ROW(T$15),0)</f>
        <v>290.24</v>
      </c>
      <c r="U720" s="125">
        <f t="shared" ca="1" si="172"/>
        <v>0</v>
      </c>
      <c r="V720" s="126" t="s">
        <v>156</v>
      </c>
      <c r="W720" s="124">
        <f ca="1">IF($C720="S",ROUND(IF(TIPOORCAMENTO="Proposto",ORÇAMENTO.CustoUnitario*(1+$AH720),ORÇAMENTO.PrecoUnitarioLicitado),15-13*$AF$10),0)</f>
        <v>0</v>
      </c>
      <c r="X720" s="127">
        <f ca="1">IF($C720="S",IF(Import.TipoArredondamento&lt;&gt;"TransfereGOV",VTOTAL1,SUM(OFFSET(CÁLCULO!$AA$15,ROW($X720)-ROW($X$15),1):OFFSET(CÁLCULO!$AL$15,ROW($X720)-ROW($X$15),-1))),IF($C720=0,0,ROUND(SomaAgrup,15-13*$AF$11)))</f>
        <v>0</v>
      </c>
      <c r="Y720" s="128" t="s">
        <v>245</v>
      </c>
      <c r="Z720" t="str">
        <f t="shared" ca="1" si="156"/>
        <v/>
      </c>
      <c r="AA720" s="129">
        <f ca="1">IF($C720="S",IF($Z720="CP",$X720,IF($Z720="RA",(($X720)*QCI!$AA$3),0)),SomaAgrup)</f>
        <v>0</v>
      </c>
      <c r="AB720" s="130">
        <f t="shared" ca="1" si="176"/>
        <v>0</v>
      </c>
      <c r="AC720" s="131" t="str">
        <f ca="1">IF($N720="","",IF(ORÇAMENTO.Descricao="","DESCRIÇÃO",IF(AND($C720="S",ORÇAMENTO.Unidade=""),"UNIDADE",IF($X720&lt;0,"VALOR NEGATIVO",IF(OR(AND(TIPOORCAMENTO="Proposto",$AG720&lt;&gt;"",$AG720&gt;0,ORÇAMENTO.CustoUnitario&gt;$AG720),AND(TIPOORCAMENTO="LICITADO",ORÇAMENTO.PrecoUnitarioLicitado&gt;$AN720)),"ACIMA REF.","")))))</f>
        <v/>
      </c>
      <c r="AD720" t="str">
        <f ca="1">IF(C720&lt;=CRONO.NivelExibicao,MAX($AD$15:OFFSET(AD720,-1,0))+IF($C720&lt;&gt;1,1,MAX(1,COUNTIF(QCI!$A$13:$A$24,OFFSET($E720,-1,0)))),"")</f>
        <v/>
      </c>
      <c r="AE720" s="7" t="str">
        <f ca="1">IF(AND($C720="S",ORÇAMENTO.CodBarra&lt;&gt;""),IF(ORÇAMENTO.Fonte="",ORÇAMENTO.CodBarra,CONCATENATE(ORÇAMENTO.Fonte," ",ORÇAMENTO.CodBarra)))</f>
        <v>SINAPI 92762</v>
      </c>
      <c r="AF720" s="13" t="str">
        <f ca="1">IF(ISERROR(INDIRECT(ORÇAMENTO.BancoRef)),"(abra o arquivo 'Referência "&amp;Excel_BuiltIn_Database&amp;".xlsm)",IF(OR($C720&lt;&gt;"S",ORÇAMENTO.CodBarra=""),"(Sem Código)",IF(ISERROR(MATCH($AE720,INDIRECT(ORÇAMENTO.BancoRef),0)),"(Código não identificado nas referências)",MATCH($AE720,INDIRECT(ORÇAMENTO.BancoRef),0))))</f>
        <v>(abra o arquivo 'Referência 02-2025.xlsm)</v>
      </c>
      <c r="AG720" s="498">
        <f ca="1">ROUND(IF(DESONERACAO="sim",REFERENCIA.Desonerado,REFERENCIA.NaoDesonerado),2)</f>
        <v>0</v>
      </c>
      <c r="AH720" s="499">
        <f t="shared" ca="1" si="177"/>
        <v>0.22470000000000001</v>
      </c>
      <c r="AJ720" s="501">
        <v>290.24</v>
      </c>
      <c r="AL720" s="527"/>
      <c r="AM720" s="381">
        <f t="shared" ca="1" si="159"/>
        <v>0</v>
      </c>
      <c r="AN720" s="566">
        <f t="shared" ca="1" si="178"/>
        <v>0</v>
      </c>
    </row>
    <row r="721" spans="1:40" ht="38.25" x14ac:dyDescent="0.2">
      <c r="A721" t="str">
        <f t="shared" si="175"/>
        <v>S</v>
      </c>
      <c r="B721">
        <f t="shared" ca="1" si="146"/>
        <v>4</v>
      </c>
      <c r="C721" t="str">
        <f t="shared" ca="1" si="147"/>
        <v>S</v>
      </c>
      <c r="D721">
        <f t="shared" ca="1" si="148"/>
        <v>0</v>
      </c>
      <c r="E721">
        <f ca="1">IF($C721=1,OFFSET(E721,-1,0)+MAX(1,COUNTIF(QCI!$A$13:$A$24,OFFSET(ORÇAMENTO!E721,-1,0))),OFFSET(E721,-1,0))</f>
        <v>1</v>
      </c>
      <c r="F721">
        <f t="shared" ca="1" si="149"/>
        <v>24</v>
      </c>
      <c r="G721">
        <f t="shared" ca="1" si="150"/>
        <v>3</v>
      </c>
      <c r="H721">
        <f t="shared" ca="1" si="151"/>
        <v>2</v>
      </c>
      <c r="I721">
        <f t="shared" ca="1" si="152"/>
        <v>0</v>
      </c>
      <c r="J721">
        <f t="shared" ca="1" si="174"/>
        <v>0</v>
      </c>
      <c r="K721">
        <f ca="1">IF(OR($C721="S",$C721=0),0,MATCH(OFFSET($D721,0,$C721)+IF($C721&lt;&gt;1,1,COUNTIF(QCI!$A$13:$A$24,ORÇAMENTO!E721)),OFFSET($D721,1,$C721,ROW($C$747)-ROW($C721)),0))</f>
        <v>0</v>
      </c>
      <c r="L721" s="116" t="str">
        <f t="shared" ca="1" si="153"/>
        <v/>
      </c>
      <c r="M721" s="117" t="s">
        <v>199</v>
      </c>
      <c r="N721" s="118" t="str">
        <f t="shared" ca="1" si="154"/>
        <v>Serviço</v>
      </c>
      <c r="O721" s="119" t="str">
        <f t="shared" ca="1" si="155"/>
        <v>-</v>
      </c>
      <c r="P721" s="120" t="s">
        <v>247</v>
      </c>
      <c r="Q721" s="121" t="s">
        <v>470</v>
      </c>
      <c r="R721" s="122" t="str">
        <f ca="1">IF($C721="S",REFERENCIA.Descricao,"(digite a descrição aqui)")</f>
        <v>(abra o arquivo 'Referência 02-2025.xlsm)</v>
      </c>
      <c r="S721" s="123" t="str">
        <f ca="1">REFERENCIA.Unidade</f>
        <v>-</v>
      </c>
      <c r="T721" s="124">
        <f ca="1">OFFSET(CÁLCULO!H$15,ROW($T721)-ROW(T$15),0)</f>
        <v>374.9</v>
      </c>
      <c r="U721" s="125">
        <f t="shared" ca="1" si="172"/>
        <v>0</v>
      </c>
      <c r="V721" s="126" t="s">
        <v>156</v>
      </c>
      <c r="W721" s="124">
        <f ca="1">IF($C721="S",ROUND(IF(TIPOORCAMENTO="Proposto",ORÇAMENTO.CustoUnitario*(1+$AH721),ORÇAMENTO.PrecoUnitarioLicitado),15-13*$AF$10),0)</f>
        <v>0</v>
      </c>
      <c r="X721" s="127">
        <f ca="1">IF($C721="S",IF(Import.TipoArredondamento&lt;&gt;"TransfereGOV",VTOTAL1,SUM(OFFSET(CÁLCULO!$AA$15,ROW($X721)-ROW($X$15),1):OFFSET(CÁLCULO!$AL$15,ROW($X721)-ROW($X$15),-1))),IF($C721=0,0,ROUND(SomaAgrup,15-13*$AF$11)))</f>
        <v>0</v>
      </c>
      <c r="Y721" s="128" t="s">
        <v>245</v>
      </c>
      <c r="Z721" t="str">
        <f t="shared" ca="1" si="156"/>
        <v/>
      </c>
      <c r="AA721" s="129">
        <f ca="1">IF($C721="S",IF($Z721="CP",$X721,IF($Z721="RA",(($X721)*QCI!$AA$3),0)),SomaAgrup)</f>
        <v>0</v>
      </c>
      <c r="AB721" s="130">
        <f t="shared" ca="1" si="176"/>
        <v>0</v>
      </c>
      <c r="AC721" s="131" t="str">
        <f ca="1">IF($N721="","",IF(ORÇAMENTO.Descricao="","DESCRIÇÃO",IF(AND($C721="S",ORÇAMENTO.Unidade=""),"UNIDADE",IF($X721&lt;0,"VALOR NEGATIVO",IF(OR(AND(TIPOORCAMENTO="Proposto",$AG721&lt;&gt;"",$AG721&gt;0,ORÇAMENTO.CustoUnitario&gt;$AG721),AND(TIPOORCAMENTO="LICITADO",ORÇAMENTO.PrecoUnitarioLicitado&gt;$AN721)),"ACIMA REF.","")))))</f>
        <v/>
      </c>
      <c r="AD721" t="str">
        <f ca="1">IF(C721&lt;=CRONO.NivelExibicao,MAX($AD$15:OFFSET(AD721,-1,0))+IF($C721&lt;&gt;1,1,MAX(1,COUNTIF(QCI!$A$13:$A$24,OFFSET($E721,-1,0)))),"")</f>
        <v/>
      </c>
      <c r="AE721" s="7" t="str">
        <f ca="1">IF(AND($C721="S",ORÇAMENTO.CodBarra&lt;&gt;""),IF(ORÇAMENTO.Fonte="",ORÇAMENTO.CodBarra,CONCATENATE(ORÇAMENTO.Fonte," ",ORÇAMENTO.CodBarra)))</f>
        <v>SINAPI 92759</v>
      </c>
      <c r="AF721" s="13" t="str">
        <f ca="1">IF(ISERROR(INDIRECT(ORÇAMENTO.BancoRef)),"(abra o arquivo 'Referência "&amp;Excel_BuiltIn_Database&amp;".xlsm)",IF(OR($C721&lt;&gt;"S",ORÇAMENTO.CodBarra=""),"(Sem Código)",IF(ISERROR(MATCH($AE721,INDIRECT(ORÇAMENTO.BancoRef),0)),"(Código não identificado nas referências)",MATCH($AE721,INDIRECT(ORÇAMENTO.BancoRef),0))))</f>
        <v>(abra o arquivo 'Referência 02-2025.xlsm)</v>
      </c>
      <c r="AG721" s="498">
        <f ca="1">ROUND(IF(DESONERACAO="sim",REFERENCIA.Desonerado,REFERENCIA.NaoDesonerado),2)</f>
        <v>0</v>
      </c>
      <c r="AH721" s="499">
        <f t="shared" ca="1" si="177"/>
        <v>0.22470000000000001</v>
      </c>
      <c r="AJ721" s="501">
        <v>374.9</v>
      </c>
      <c r="AL721" s="527"/>
      <c r="AM721" s="381">
        <f t="shared" ca="1" si="159"/>
        <v>0</v>
      </c>
      <c r="AN721" s="566">
        <f t="shared" ca="1" si="178"/>
        <v>0</v>
      </c>
    </row>
    <row r="722" spans="1:40" ht="25.5" x14ac:dyDescent="0.2">
      <c r="A722" t="str">
        <f t="shared" si="175"/>
        <v>S</v>
      </c>
      <c r="B722">
        <f t="shared" ca="1" si="146"/>
        <v>4</v>
      </c>
      <c r="C722" t="str">
        <f t="shared" ca="1" si="147"/>
        <v>S</v>
      </c>
      <c r="D722">
        <f t="shared" ca="1" si="148"/>
        <v>0</v>
      </c>
      <c r="E722">
        <f ca="1">IF($C722=1,OFFSET(E722,-1,0)+MAX(1,COUNTIF(QCI!$A$13:$A$24,OFFSET(ORÇAMENTO!E722,-1,0))),OFFSET(E722,-1,0))</f>
        <v>1</v>
      </c>
      <c r="F722">
        <f t="shared" ca="1" si="149"/>
        <v>24</v>
      </c>
      <c r="G722">
        <f t="shared" ca="1" si="150"/>
        <v>3</v>
      </c>
      <c r="H722">
        <f t="shared" ca="1" si="151"/>
        <v>2</v>
      </c>
      <c r="I722">
        <f t="shared" ca="1" si="152"/>
        <v>0</v>
      </c>
      <c r="J722">
        <f t="shared" ca="1" si="174"/>
        <v>0</v>
      </c>
      <c r="K722">
        <f ca="1">IF(OR($C722="S",$C722=0),0,MATCH(OFFSET($D722,0,$C722)+IF($C722&lt;&gt;1,1,COUNTIF(QCI!$A$13:$A$24,ORÇAMENTO!E722)),OFFSET($D722,1,$C722,ROW($C$747)-ROW($C722)),0))</f>
        <v>0</v>
      </c>
      <c r="L722" s="116" t="str">
        <f t="shared" ca="1" si="153"/>
        <v/>
      </c>
      <c r="M722" s="117" t="s">
        <v>199</v>
      </c>
      <c r="N722" s="118" t="str">
        <f t="shared" ca="1" si="154"/>
        <v>Serviço</v>
      </c>
      <c r="O722" s="119" t="str">
        <f t="shared" ca="1" si="155"/>
        <v>-</v>
      </c>
      <c r="P722" s="120" t="s">
        <v>712</v>
      </c>
      <c r="Q722" s="121" t="s">
        <v>896</v>
      </c>
      <c r="R722" s="122" t="str">
        <f ca="1">IF($C722="S",REFERENCIA.Descricao,"(digite a descrição aqui)")</f>
        <v>(abra o arquivo 'Referência 02-2025.xlsm)</v>
      </c>
      <c r="S722" s="123" t="str">
        <f ca="1">REFERENCIA.Unidade</f>
        <v>-</v>
      </c>
      <c r="T722" s="124">
        <f ca="1">OFFSET(CÁLCULO!H$15,ROW($T722)-ROW(T$15),0)</f>
        <v>4.5199999999999996</v>
      </c>
      <c r="U722" s="125">
        <f t="shared" ca="1" si="172"/>
        <v>0</v>
      </c>
      <c r="V722" s="126" t="s">
        <v>156</v>
      </c>
      <c r="W722" s="124">
        <f ca="1">IF($C722="S",ROUND(IF(TIPOORCAMENTO="Proposto",ORÇAMENTO.CustoUnitario*(1+$AH722),ORÇAMENTO.PrecoUnitarioLicitado),15-13*$AF$10),0)</f>
        <v>0</v>
      </c>
      <c r="X722" s="127">
        <f ca="1">IF($C722="S",IF(Import.TipoArredondamento&lt;&gt;"TransfereGOV",VTOTAL1,SUM(OFFSET(CÁLCULO!$AA$15,ROW($X722)-ROW($X$15),1):OFFSET(CÁLCULO!$AL$15,ROW($X722)-ROW($X$15),-1))),IF($C722=0,0,ROUND(SomaAgrup,15-13*$AF$11)))</f>
        <v>0</v>
      </c>
      <c r="Y722" s="128" t="s">
        <v>245</v>
      </c>
      <c r="Z722" t="str">
        <f t="shared" ca="1" si="156"/>
        <v/>
      </c>
      <c r="AA722" s="129">
        <f ca="1">IF($C722="S",IF($Z722="CP",$X722,IF($Z722="RA",(($X722)*QCI!$AA$3),0)),SomaAgrup)</f>
        <v>0</v>
      </c>
      <c r="AB722" s="130">
        <f t="shared" ca="1" si="176"/>
        <v>0</v>
      </c>
      <c r="AC722" s="131" t="str">
        <f ca="1">IF($N722="","",IF(ORÇAMENTO.Descricao="","DESCRIÇÃO",IF(AND($C722="S",ORÇAMENTO.Unidade=""),"UNIDADE",IF($X722&lt;0,"VALOR NEGATIVO",IF(OR(AND(TIPOORCAMENTO="Proposto",$AG722&lt;&gt;"",$AG722&gt;0,ORÇAMENTO.CustoUnitario&gt;$AG722),AND(TIPOORCAMENTO="LICITADO",ORÇAMENTO.PrecoUnitarioLicitado&gt;$AN722)),"ACIMA REF.","")))))</f>
        <v/>
      </c>
      <c r="AD722" t="str">
        <f ca="1">IF(C722&lt;=CRONO.NivelExibicao,MAX($AD$15:OFFSET(AD722,-1,0))+IF($C722&lt;&gt;1,1,MAX(1,COUNTIF(QCI!$A$13:$A$24,OFFSET($E722,-1,0)))),"")</f>
        <v/>
      </c>
      <c r="AE722" s="7" t="str">
        <f ca="1">IF(AND($C722="S",ORÇAMENTO.CodBarra&lt;&gt;""),IF(ORÇAMENTO.Fonte="",ORÇAMENTO.CodBarra,CONCATENATE(ORÇAMENTO.Fonte," ",ORÇAMENTO.CodBarra)))</f>
        <v>Composição FNDE 239</v>
      </c>
      <c r="AF722" s="13" t="str">
        <f ca="1">IF(ISERROR(INDIRECT(ORÇAMENTO.BancoRef)),"(abra o arquivo 'Referência "&amp;Excel_BuiltIn_Database&amp;".xlsm)",IF(OR($C722&lt;&gt;"S",ORÇAMENTO.CodBarra=""),"(Sem Código)",IF(ISERROR(MATCH($AE722,INDIRECT(ORÇAMENTO.BancoRef),0)),"(Código não identificado nas referências)",MATCH($AE722,INDIRECT(ORÇAMENTO.BancoRef),0))))</f>
        <v>(abra o arquivo 'Referência 02-2025.xlsm)</v>
      </c>
      <c r="AG722" s="498">
        <f ca="1">ROUND(IF(DESONERACAO="sim",REFERENCIA.Desonerado,REFERENCIA.NaoDesonerado),2)</f>
        <v>0</v>
      </c>
      <c r="AH722" s="499">
        <f t="shared" ca="1" si="177"/>
        <v>0.22470000000000001</v>
      </c>
      <c r="AJ722" s="501">
        <v>4.5199999999999996</v>
      </c>
      <c r="AL722" s="527"/>
      <c r="AM722" s="381">
        <f t="shared" ca="1" si="159"/>
        <v>0</v>
      </c>
      <c r="AN722" s="566">
        <f t="shared" ca="1" si="178"/>
        <v>0</v>
      </c>
    </row>
    <row r="723" spans="1:40" x14ac:dyDescent="0.2">
      <c r="A723">
        <f t="shared" si="175"/>
        <v>3</v>
      </c>
      <c r="B723">
        <f t="shared" ca="1" si="146"/>
        <v>3</v>
      </c>
      <c r="C723">
        <f t="shared" ca="1" si="147"/>
        <v>3</v>
      </c>
      <c r="D723">
        <f t="shared" ca="1" si="148"/>
        <v>6</v>
      </c>
      <c r="E723">
        <f ca="1">IF($C723=1,OFFSET(E723,-1,0)+MAX(1,COUNTIF(QCI!$A$13:$A$24,OFFSET(ORÇAMENTO!E723,-1,0))),OFFSET(E723,-1,0))</f>
        <v>1</v>
      </c>
      <c r="F723">
        <f t="shared" ca="1" si="149"/>
        <v>24</v>
      </c>
      <c r="G723">
        <f t="shared" ca="1" si="150"/>
        <v>4</v>
      </c>
      <c r="H723">
        <f t="shared" ca="1" si="151"/>
        <v>0</v>
      </c>
      <c r="I723">
        <f t="shared" ca="1" si="152"/>
        <v>0</v>
      </c>
      <c r="J723">
        <f t="shared" ref="J723:J728" ca="1" si="179">IF(OR($C723="S",$C723=0),0,MATCH(0,OFFSET($D723,1,$C723,ROW($C$747)-ROW($C723)),0))</f>
        <v>24</v>
      </c>
      <c r="K723">
        <f ca="1">IF(OR($C723="S",$C723=0),0,MATCH(OFFSET($D723,0,$C723)+IF($C723&lt;&gt;1,1,COUNTIF(QCI!$A$13:$A$24,ORÇAMENTO!E723)),OFFSET($D723,1,$C723,ROW($C$747)-ROW($C723)),0))</f>
        <v>6</v>
      </c>
      <c r="L723" s="116" t="str">
        <f t="shared" ca="1" si="153"/>
        <v>F</v>
      </c>
      <c r="M723" s="117" t="s">
        <v>197</v>
      </c>
      <c r="N723" s="118" t="str">
        <f t="shared" ca="1" si="154"/>
        <v>Nível 3</v>
      </c>
      <c r="O723" s="119" t="str">
        <f t="shared" ca="1" si="155"/>
        <v>1.24.4.</v>
      </c>
      <c r="P723" s="120" t="s">
        <v>247</v>
      </c>
      <c r="Q723" s="121"/>
      <c r="R723" s="122" t="s">
        <v>1007</v>
      </c>
      <c r="S723" s="123" t="str">
        <f ca="1">REFERENCIA.Unidade</f>
        <v>-</v>
      </c>
      <c r="T723" s="124">
        <f ca="1">OFFSET(CÁLCULO!H$15,ROW($T723)-ROW(T$15),0)</f>
        <v>0</v>
      </c>
      <c r="U723" s="125">
        <f t="shared" ca="1" si="172"/>
        <v>0</v>
      </c>
      <c r="V723" s="126" t="s">
        <v>156</v>
      </c>
      <c r="W723" s="124">
        <f ca="1">IF($C723="S",ROUND(IF(TIPOORCAMENTO="Proposto",ORÇAMENTO.CustoUnitario*(1+$AH723),ORÇAMENTO.PrecoUnitarioLicitado),15-13*$AF$10),0)</f>
        <v>0</v>
      </c>
      <c r="X723" s="127">
        <f ca="1">IF($C723="S",IF(Import.TipoArredondamento&lt;&gt;"TransfereGOV",VTOTAL1,SUM(OFFSET(CÁLCULO!$AA$15,ROW($X723)-ROW($X$15),1):OFFSET(CÁLCULO!$AL$15,ROW($X723)-ROW($X$15),-1))),IF($C723=0,0,ROUND(SomaAgrup,15-13*$AF$11)))</f>
        <v>0</v>
      </c>
      <c r="Y723" s="128" t="s">
        <v>245</v>
      </c>
      <c r="Z723" t="str">
        <f t="shared" ca="1" si="156"/>
        <v/>
      </c>
      <c r="AA723" s="129">
        <f ca="1">IF($C723="S",IF($Z723="CP",$X723,IF($Z723="RA",(($X723)*QCI!$AA$3),0)),SomaAgrup)</f>
        <v>0</v>
      </c>
      <c r="AB723" s="130">
        <f t="shared" ca="1" si="176"/>
        <v>0</v>
      </c>
      <c r="AC723" s="131" t="str">
        <f ca="1">IF($N723="","",IF(ORÇAMENTO.Descricao="","DESCRIÇÃO",IF(AND($C723="S",ORÇAMENTO.Unidade=""),"UNIDADE",IF($X723&lt;0,"VALOR NEGATIVO",IF(OR(AND(TIPOORCAMENTO="Proposto",$AG723&lt;&gt;"",$AG723&gt;0,ORÇAMENTO.CustoUnitario&gt;$AG723),AND(TIPOORCAMENTO="LICITADO",ORÇAMENTO.PrecoUnitarioLicitado&gt;$AN723)),"ACIMA REF.","")))))</f>
        <v/>
      </c>
      <c r="AD723" t="str">
        <f ca="1">IF(C723&lt;=CRONO.NivelExibicao,MAX($AD$15:OFFSET(AD723,-1,0))+IF($C723&lt;&gt;1,1,MAX(1,COUNTIF(QCI!$A$13:$A$24,OFFSET($E723,-1,0)))),"")</f>
        <v/>
      </c>
      <c r="AE723" s="7" t="b">
        <f ca="1">IF(AND($C723="S",ORÇAMENTO.CodBarra&lt;&gt;""),IF(ORÇAMENTO.Fonte="",ORÇAMENTO.CodBarra,CONCATENATE(ORÇAMENTO.Fonte," ",ORÇAMENTO.CodBarra)))</f>
        <v>0</v>
      </c>
      <c r="AF723" s="13" t="str">
        <f ca="1">IF(ISERROR(INDIRECT(ORÇAMENTO.BancoRef)),"(abra o arquivo 'Referência "&amp;Excel_BuiltIn_Database&amp;".xlsm)",IF(OR($C723&lt;&gt;"S",ORÇAMENTO.CodBarra=""),"(Sem Código)",IF(ISERROR(MATCH($AE723,INDIRECT(ORÇAMENTO.BancoRef),0)),"(Código não identificado nas referências)",MATCH($AE723,INDIRECT(ORÇAMENTO.BancoRef),0))))</f>
        <v>(abra o arquivo 'Referência 02-2025.xlsm)</v>
      </c>
      <c r="AG723" s="498">
        <f ca="1">ROUND(IF(DESONERACAO="sim",REFERENCIA.Desonerado,REFERENCIA.NaoDesonerado),2)</f>
        <v>0</v>
      </c>
      <c r="AH723" s="499">
        <f t="shared" ca="1" si="177"/>
        <v>0.22470000000000001</v>
      </c>
      <c r="AJ723" s="501"/>
      <c r="AL723" s="527"/>
      <c r="AM723" s="381">
        <f t="shared" ca="1" si="159"/>
        <v>0</v>
      </c>
      <c r="AN723" s="566">
        <f t="shared" ca="1" si="178"/>
        <v>0</v>
      </c>
    </row>
    <row r="724" spans="1:40" ht="38.25" x14ac:dyDescent="0.2">
      <c r="A724" t="str">
        <f t="shared" si="175"/>
        <v>S</v>
      </c>
      <c r="B724">
        <f t="shared" ca="1" si="146"/>
        <v>3</v>
      </c>
      <c r="C724" t="str">
        <f t="shared" ca="1" si="147"/>
        <v>S</v>
      </c>
      <c r="D724">
        <f t="shared" ca="1" si="148"/>
        <v>0</v>
      </c>
      <c r="E724">
        <f ca="1">IF($C724=1,OFFSET(E724,-1,0)+MAX(1,COUNTIF(QCI!$A$13:$A$24,OFFSET(ORÇAMENTO!E724,-1,0))),OFFSET(E724,-1,0))</f>
        <v>1</v>
      </c>
      <c r="F724">
        <f t="shared" ca="1" si="149"/>
        <v>24</v>
      </c>
      <c r="G724">
        <f t="shared" ca="1" si="150"/>
        <v>4</v>
      </c>
      <c r="H724">
        <f t="shared" ca="1" si="151"/>
        <v>0</v>
      </c>
      <c r="I724">
        <f t="shared" ca="1" si="152"/>
        <v>0</v>
      </c>
      <c r="J724">
        <f t="shared" ca="1" si="179"/>
        <v>0</v>
      </c>
      <c r="K724">
        <f ca="1">IF(OR($C724="S",$C724=0),0,MATCH(OFFSET($D724,0,$C724)+IF($C724&lt;&gt;1,1,COUNTIF(QCI!$A$13:$A$24,ORÇAMENTO!E724)),OFFSET($D724,1,$C724,ROW($C$747)-ROW($C724)),0))</f>
        <v>0</v>
      </c>
      <c r="L724" s="116" t="str">
        <f t="shared" ca="1" si="153"/>
        <v/>
      </c>
      <c r="M724" s="117" t="s">
        <v>199</v>
      </c>
      <c r="N724" s="118" t="str">
        <f t="shared" ca="1" si="154"/>
        <v>Serviço</v>
      </c>
      <c r="O724" s="119" t="str">
        <f t="shared" ca="1" si="155"/>
        <v>-</v>
      </c>
      <c r="P724" s="120" t="s">
        <v>247</v>
      </c>
      <c r="Q724" s="121" t="s">
        <v>897</v>
      </c>
      <c r="R724" s="122" t="str">
        <f ca="1">IF($C724="S",REFERENCIA.Descricao,"(digite a descrição aqui)")</f>
        <v>(abra o arquivo 'Referência 02-2025.xlsm)</v>
      </c>
      <c r="S724" s="123" t="str">
        <f ca="1">REFERENCIA.Unidade</f>
        <v>-</v>
      </c>
      <c r="T724" s="124">
        <f ca="1">OFFSET(CÁLCULO!H$15,ROW($T724)-ROW(T$15),0)</f>
        <v>91.62</v>
      </c>
      <c r="U724" s="125">
        <f t="shared" ref="U724:U728" ca="1" si="180">AG724</f>
        <v>0</v>
      </c>
      <c r="V724" s="126" t="s">
        <v>156</v>
      </c>
      <c r="W724" s="124">
        <f ca="1">IF($C724="S",ROUND(IF(TIPOORCAMENTO="Proposto",ORÇAMENTO.CustoUnitario*(1+$AH724),ORÇAMENTO.PrecoUnitarioLicitado),15-13*$AF$10),0)</f>
        <v>0</v>
      </c>
      <c r="X724" s="127">
        <f ca="1">IF($C724="S",IF(Import.TipoArredondamento&lt;&gt;"TransfereGOV",VTOTAL1,SUM(OFFSET(CÁLCULO!$AA$15,ROW($X724)-ROW($X$15),1):OFFSET(CÁLCULO!$AL$15,ROW($X724)-ROW($X$15),-1))),IF($C724=0,0,ROUND(SomaAgrup,15-13*$AF$11)))</f>
        <v>0</v>
      </c>
      <c r="Y724" s="128" t="s">
        <v>245</v>
      </c>
      <c r="Z724" t="str">
        <f t="shared" ca="1" si="156"/>
        <v/>
      </c>
      <c r="AA724" s="129">
        <f ca="1">IF($C724="S",IF($Z724="CP",$X724,IF($Z724="RA",(($X724)*QCI!$AA$3),0)),SomaAgrup)</f>
        <v>0</v>
      </c>
      <c r="AB724" s="130">
        <f t="shared" ca="1" si="176"/>
        <v>0</v>
      </c>
      <c r="AC724" s="131" t="str">
        <f ca="1">IF($N724="","",IF(ORÇAMENTO.Descricao="","DESCRIÇÃO",IF(AND($C724="S",ORÇAMENTO.Unidade=""),"UNIDADE",IF($X724&lt;0,"VALOR NEGATIVO",IF(OR(AND(TIPOORCAMENTO="Proposto",$AG724&lt;&gt;"",$AG724&gt;0,ORÇAMENTO.CustoUnitario&gt;$AG724),AND(TIPOORCAMENTO="LICITADO",ORÇAMENTO.PrecoUnitarioLicitado&gt;$AN724)),"ACIMA REF.","")))))</f>
        <v/>
      </c>
      <c r="AD724" t="str">
        <f ca="1">IF(C724&lt;=CRONO.NivelExibicao,MAX($AD$15:OFFSET(AD724,-1,0))+IF($C724&lt;&gt;1,1,MAX(1,COUNTIF(QCI!$A$13:$A$24,OFFSET($E724,-1,0)))),"")</f>
        <v/>
      </c>
      <c r="AE724" s="7" t="str">
        <f ca="1">IF(AND($C724="S",ORÇAMENTO.CodBarra&lt;&gt;""),IF(ORÇAMENTO.Fonte="",ORÇAMENTO.CodBarra,CONCATENATE(ORÇAMENTO.Fonte," ",ORÇAMENTO.CodBarra)))</f>
        <v>SINAPI 92479</v>
      </c>
      <c r="AF724" s="13" t="str">
        <f ca="1">IF(ISERROR(INDIRECT(ORÇAMENTO.BancoRef)),"(abra o arquivo 'Referência "&amp;Excel_BuiltIn_Database&amp;".xlsm)",IF(OR($C724&lt;&gt;"S",ORÇAMENTO.CodBarra=""),"(Sem Código)",IF(ISERROR(MATCH($AE724,INDIRECT(ORÇAMENTO.BancoRef),0)),"(Código não identificado nas referências)",MATCH($AE724,INDIRECT(ORÇAMENTO.BancoRef),0))))</f>
        <v>(abra o arquivo 'Referência 02-2025.xlsm)</v>
      </c>
      <c r="AG724" s="498">
        <f ca="1">ROUND(IF(DESONERACAO="sim",REFERENCIA.Desonerado,REFERENCIA.NaoDesonerado),2)</f>
        <v>0</v>
      </c>
      <c r="AH724" s="499">
        <f t="shared" ca="1" si="177"/>
        <v>0.22470000000000001</v>
      </c>
      <c r="AJ724" s="501">
        <v>91.62</v>
      </c>
      <c r="AL724" s="527"/>
      <c r="AM724" s="381">
        <f t="shared" ca="1" si="159"/>
        <v>0</v>
      </c>
      <c r="AN724" s="566">
        <f t="shared" ca="1" si="178"/>
        <v>0</v>
      </c>
    </row>
    <row r="725" spans="1:40" ht="38.25" x14ac:dyDescent="0.2">
      <c r="A725" t="str">
        <f t="shared" si="175"/>
        <v>S</v>
      </c>
      <c r="B725">
        <f t="shared" ca="1" si="146"/>
        <v>3</v>
      </c>
      <c r="C725" t="str">
        <f t="shared" ca="1" si="147"/>
        <v>S</v>
      </c>
      <c r="D725">
        <f t="shared" ca="1" si="148"/>
        <v>0</v>
      </c>
      <c r="E725">
        <f ca="1">IF($C725=1,OFFSET(E725,-1,0)+MAX(1,COUNTIF(QCI!$A$13:$A$24,OFFSET(ORÇAMENTO!E725,-1,0))),OFFSET(E725,-1,0))</f>
        <v>1</v>
      </c>
      <c r="F725">
        <f t="shared" ca="1" si="149"/>
        <v>24</v>
      </c>
      <c r="G725">
        <f t="shared" ca="1" si="150"/>
        <v>4</v>
      </c>
      <c r="H725">
        <f t="shared" ca="1" si="151"/>
        <v>0</v>
      </c>
      <c r="I725">
        <f t="shared" ca="1" si="152"/>
        <v>0</v>
      </c>
      <c r="J725">
        <f t="shared" ca="1" si="179"/>
        <v>0</v>
      </c>
      <c r="K725">
        <f ca="1">IF(OR($C725="S",$C725=0),0,MATCH(OFFSET($D725,0,$C725)+IF($C725&lt;&gt;1,1,COUNTIF(QCI!$A$13:$A$24,ORÇAMENTO!E725)),OFFSET($D725,1,$C725,ROW($C$747)-ROW($C725)),0))</f>
        <v>0</v>
      </c>
      <c r="L725" s="116" t="str">
        <f t="shared" ca="1" si="153"/>
        <v/>
      </c>
      <c r="M725" s="117" t="s">
        <v>199</v>
      </c>
      <c r="N725" s="118" t="str">
        <f t="shared" ca="1" si="154"/>
        <v>Serviço</v>
      </c>
      <c r="O725" s="119" t="str">
        <f t="shared" ca="1" si="155"/>
        <v>-</v>
      </c>
      <c r="P725" s="120" t="s">
        <v>247</v>
      </c>
      <c r="Q725" s="121" t="s">
        <v>471</v>
      </c>
      <c r="R725" s="122" t="str">
        <f ca="1">IF($C725="S",REFERENCIA.Descricao,"(digite a descrição aqui)")</f>
        <v>(abra o arquivo 'Referência 02-2025.xlsm)</v>
      </c>
      <c r="S725" s="123" t="str">
        <f ca="1">REFERENCIA.Unidade</f>
        <v>-</v>
      </c>
      <c r="T725" s="124">
        <f ca="1">OFFSET(CÁLCULO!H$15,ROW($T725)-ROW(T$15),0)</f>
        <v>266.04000000000002</v>
      </c>
      <c r="U725" s="125">
        <f t="shared" ca="1" si="180"/>
        <v>0</v>
      </c>
      <c r="V725" s="126" t="s">
        <v>156</v>
      </c>
      <c r="W725" s="124">
        <f ca="1">IF($C725="S",ROUND(IF(TIPOORCAMENTO="Proposto",ORÇAMENTO.CustoUnitario*(1+$AH725),ORÇAMENTO.PrecoUnitarioLicitado),15-13*$AF$10),0)</f>
        <v>0</v>
      </c>
      <c r="X725" s="127">
        <f ca="1">IF($C725="S",IF(Import.TipoArredondamento&lt;&gt;"TransfereGOV",VTOTAL1,SUM(OFFSET(CÁLCULO!$AA$15,ROW($X725)-ROW($X$15),1):OFFSET(CÁLCULO!$AL$15,ROW($X725)-ROW($X$15),-1))),IF($C725=0,0,ROUND(SomaAgrup,15-13*$AF$11)))</f>
        <v>0</v>
      </c>
      <c r="Y725" s="128" t="s">
        <v>245</v>
      </c>
      <c r="Z725" t="str">
        <f t="shared" ca="1" si="156"/>
        <v/>
      </c>
      <c r="AA725" s="129">
        <f ca="1">IF($C725="S",IF($Z725="CP",$X725,IF($Z725="RA",(($X725)*QCI!$AA$3),0)),SomaAgrup)</f>
        <v>0</v>
      </c>
      <c r="AB725" s="130">
        <f t="shared" ca="1" si="176"/>
        <v>0</v>
      </c>
      <c r="AC725" s="131" t="str">
        <f ca="1">IF($N725="","",IF(ORÇAMENTO.Descricao="","DESCRIÇÃO",IF(AND($C725="S",ORÇAMENTO.Unidade=""),"UNIDADE",IF($X725&lt;0,"VALOR NEGATIVO",IF(OR(AND(TIPOORCAMENTO="Proposto",$AG725&lt;&gt;"",$AG725&gt;0,ORÇAMENTO.CustoUnitario&gt;$AG725),AND(TIPOORCAMENTO="LICITADO",ORÇAMENTO.PrecoUnitarioLicitado&gt;$AN725)),"ACIMA REF.","")))))</f>
        <v/>
      </c>
      <c r="AD725" t="str">
        <f ca="1">IF(C725&lt;=CRONO.NivelExibicao,MAX($AD$15:OFFSET(AD725,-1,0))+IF($C725&lt;&gt;1,1,MAX(1,COUNTIF(QCI!$A$13:$A$24,OFFSET($E725,-1,0)))),"")</f>
        <v/>
      </c>
      <c r="AE725" s="7" t="str">
        <f ca="1">IF(AND($C725="S",ORÇAMENTO.CodBarra&lt;&gt;""),IF(ORÇAMENTO.Fonte="",ORÇAMENTO.CodBarra,CONCATENATE(ORÇAMENTO.Fonte," ",ORÇAMENTO.CodBarra)))</f>
        <v>SINAPI 92761</v>
      </c>
      <c r="AF725" s="13" t="str">
        <f ca="1">IF(ISERROR(INDIRECT(ORÇAMENTO.BancoRef)),"(abra o arquivo 'Referência "&amp;Excel_BuiltIn_Database&amp;".xlsm)",IF(OR($C725&lt;&gt;"S",ORÇAMENTO.CodBarra=""),"(Sem Código)",IF(ISERROR(MATCH($AE725,INDIRECT(ORÇAMENTO.BancoRef),0)),"(Código não identificado nas referências)",MATCH($AE725,INDIRECT(ORÇAMENTO.BancoRef),0))))</f>
        <v>(abra o arquivo 'Referência 02-2025.xlsm)</v>
      </c>
      <c r="AG725" s="498">
        <f ca="1">ROUND(IF(DESONERACAO="sim",REFERENCIA.Desonerado,REFERENCIA.NaoDesonerado),2)</f>
        <v>0</v>
      </c>
      <c r="AH725" s="499">
        <f t="shared" ca="1" si="177"/>
        <v>0.22470000000000001</v>
      </c>
      <c r="AJ725" s="501">
        <v>266.04000000000002</v>
      </c>
      <c r="AL725" s="527"/>
      <c r="AM725" s="381">
        <f t="shared" ca="1" si="159"/>
        <v>0</v>
      </c>
      <c r="AN725" s="566">
        <f t="shared" ca="1" si="178"/>
        <v>0</v>
      </c>
    </row>
    <row r="726" spans="1:40" ht="38.25" x14ac:dyDescent="0.2">
      <c r="A726" t="str">
        <f t="shared" si="175"/>
        <v>S</v>
      </c>
      <c r="B726">
        <f t="shared" ca="1" si="146"/>
        <v>3</v>
      </c>
      <c r="C726" t="str">
        <f t="shared" ca="1" si="147"/>
        <v>S</v>
      </c>
      <c r="D726">
        <f t="shared" ca="1" si="148"/>
        <v>0</v>
      </c>
      <c r="E726">
        <f ca="1">IF($C726=1,OFFSET(E726,-1,0)+MAX(1,COUNTIF(QCI!$A$13:$A$24,OFFSET(ORÇAMENTO!E726,-1,0))),OFFSET(E726,-1,0))</f>
        <v>1</v>
      </c>
      <c r="F726">
        <f t="shared" ca="1" si="149"/>
        <v>24</v>
      </c>
      <c r="G726">
        <f t="shared" ca="1" si="150"/>
        <v>4</v>
      </c>
      <c r="H726">
        <f t="shared" ca="1" si="151"/>
        <v>0</v>
      </c>
      <c r="I726">
        <f t="shared" ca="1" si="152"/>
        <v>0</v>
      </c>
      <c r="J726">
        <f t="shared" ca="1" si="179"/>
        <v>0</v>
      </c>
      <c r="K726">
        <f ca="1">IF(OR($C726="S",$C726=0),0,MATCH(OFFSET($D726,0,$C726)+IF($C726&lt;&gt;1,1,COUNTIF(QCI!$A$13:$A$24,ORÇAMENTO!E726)),OFFSET($D726,1,$C726,ROW($C$747)-ROW($C726)),0))</f>
        <v>0</v>
      </c>
      <c r="L726" s="116" t="str">
        <f t="shared" ca="1" si="153"/>
        <v/>
      </c>
      <c r="M726" s="117" t="s">
        <v>199</v>
      </c>
      <c r="N726" s="118" t="str">
        <f t="shared" ca="1" si="154"/>
        <v>Serviço</v>
      </c>
      <c r="O726" s="119" t="str">
        <f t="shared" ca="1" si="155"/>
        <v>-</v>
      </c>
      <c r="P726" s="120" t="s">
        <v>247</v>
      </c>
      <c r="Q726" s="121" t="s">
        <v>468</v>
      </c>
      <c r="R726" s="122" t="str">
        <f ca="1">IF($C726="S",REFERENCIA.Descricao,"(digite a descrição aqui)")</f>
        <v>(abra o arquivo 'Referência 02-2025.xlsm)</v>
      </c>
      <c r="S726" s="123" t="str">
        <f ca="1">REFERENCIA.Unidade</f>
        <v>-</v>
      </c>
      <c r="T726" s="124">
        <f ca="1">OFFSET(CÁLCULO!H$15,ROW($T726)-ROW(T$15),0)</f>
        <v>28.28</v>
      </c>
      <c r="U726" s="125">
        <f t="shared" ca="1" si="180"/>
        <v>0</v>
      </c>
      <c r="V726" s="126" t="s">
        <v>156</v>
      </c>
      <c r="W726" s="124">
        <f ca="1">IF($C726="S",ROUND(IF(TIPOORCAMENTO="Proposto",ORÇAMENTO.CustoUnitario*(1+$AH726),ORÇAMENTO.PrecoUnitarioLicitado),15-13*$AF$10),0)</f>
        <v>0</v>
      </c>
      <c r="X726" s="127">
        <f ca="1">IF($C726="S",IF(Import.TipoArredondamento&lt;&gt;"TransfereGOV",VTOTAL1,SUM(OFFSET(CÁLCULO!$AA$15,ROW($X726)-ROW($X$15),1):OFFSET(CÁLCULO!$AL$15,ROW($X726)-ROW($X$15),-1))),IF($C726=0,0,ROUND(SomaAgrup,15-13*$AF$11)))</f>
        <v>0</v>
      </c>
      <c r="Y726" s="128" t="s">
        <v>245</v>
      </c>
      <c r="Z726" t="str">
        <f t="shared" ca="1" si="156"/>
        <v/>
      </c>
      <c r="AA726" s="129">
        <f ca="1">IF($C726="S",IF($Z726="CP",$X726,IF($Z726="RA",(($X726)*QCI!$AA$3),0)),SomaAgrup)</f>
        <v>0</v>
      </c>
      <c r="AB726" s="130">
        <f t="shared" ca="1" si="176"/>
        <v>0</v>
      </c>
      <c r="AC726" s="131" t="str">
        <f ca="1">IF($N726="","",IF(ORÇAMENTO.Descricao="","DESCRIÇÃO",IF(AND($C726="S",ORÇAMENTO.Unidade=""),"UNIDADE",IF($X726&lt;0,"VALOR NEGATIVO",IF(OR(AND(TIPOORCAMENTO="Proposto",$AG726&lt;&gt;"",$AG726&gt;0,ORÇAMENTO.CustoUnitario&gt;$AG726),AND(TIPOORCAMENTO="LICITADO",ORÇAMENTO.PrecoUnitarioLicitado&gt;$AN726)),"ACIMA REF.","")))))</f>
        <v/>
      </c>
      <c r="AD726" t="str">
        <f ca="1">IF(C726&lt;=CRONO.NivelExibicao,MAX($AD$15:OFFSET(AD726,-1,0))+IF($C726&lt;&gt;1,1,MAX(1,COUNTIF(QCI!$A$13:$A$24,OFFSET($E726,-1,0)))),"")</f>
        <v/>
      </c>
      <c r="AE726" s="7" t="str">
        <f ca="1">IF(AND($C726="S",ORÇAMENTO.CodBarra&lt;&gt;""),IF(ORÇAMENTO.Fonte="",ORÇAMENTO.CodBarra,CONCATENATE(ORÇAMENTO.Fonte," ",ORÇAMENTO.CodBarra)))</f>
        <v>SINAPI 92762</v>
      </c>
      <c r="AF726" s="13" t="str">
        <f ca="1">IF(ISERROR(INDIRECT(ORÇAMENTO.BancoRef)),"(abra o arquivo 'Referência "&amp;Excel_BuiltIn_Database&amp;".xlsm)",IF(OR($C726&lt;&gt;"S",ORÇAMENTO.CodBarra=""),"(Sem Código)",IF(ISERROR(MATCH($AE726,INDIRECT(ORÇAMENTO.BancoRef),0)),"(Código não identificado nas referências)",MATCH($AE726,INDIRECT(ORÇAMENTO.BancoRef),0))))</f>
        <v>(abra o arquivo 'Referência 02-2025.xlsm)</v>
      </c>
      <c r="AG726" s="498">
        <f ca="1">ROUND(IF(DESONERACAO="sim",REFERENCIA.Desonerado,REFERENCIA.NaoDesonerado),2)</f>
        <v>0</v>
      </c>
      <c r="AH726" s="499">
        <f t="shared" ca="1" si="177"/>
        <v>0.22470000000000001</v>
      </c>
      <c r="AJ726" s="501">
        <v>28.28</v>
      </c>
      <c r="AL726" s="527"/>
      <c r="AM726" s="381">
        <f t="shared" ca="1" si="159"/>
        <v>0</v>
      </c>
      <c r="AN726" s="566">
        <f t="shared" ca="1" si="178"/>
        <v>0</v>
      </c>
    </row>
    <row r="727" spans="1:40" ht="38.25" x14ac:dyDescent="0.2">
      <c r="A727" t="str">
        <f t="shared" si="175"/>
        <v>S</v>
      </c>
      <c r="B727">
        <f t="shared" ca="1" si="146"/>
        <v>3</v>
      </c>
      <c r="C727" t="str">
        <f t="shared" ca="1" si="147"/>
        <v>S</v>
      </c>
      <c r="D727">
        <f t="shared" ca="1" si="148"/>
        <v>0</v>
      </c>
      <c r="E727">
        <f ca="1">IF($C727=1,OFFSET(E727,-1,0)+MAX(1,COUNTIF(QCI!$A$13:$A$24,OFFSET(ORÇAMENTO!E727,-1,0))),OFFSET(E727,-1,0))</f>
        <v>1</v>
      </c>
      <c r="F727">
        <f t="shared" ca="1" si="149"/>
        <v>24</v>
      </c>
      <c r="G727">
        <f t="shared" ca="1" si="150"/>
        <v>4</v>
      </c>
      <c r="H727">
        <f t="shared" ca="1" si="151"/>
        <v>0</v>
      </c>
      <c r="I727">
        <f t="shared" ca="1" si="152"/>
        <v>0</v>
      </c>
      <c r="J727">
        <f t="shared" ca="1" si="179"/>
        <v>0</v>
      </c>
      <c r="K727">
        <f ca="1">IF(OR($C727="S",$C727=0),0,MATCH(OFFSET($D727,0,$C727)+IF($C727&lt;&gt;1,1,COUNTIF(QCI!$A$13:$A$24,ORÇAMENTO!E727)),OFFSET($D727,1,$C727,ROW($C$747)-ROW($C727)),0))</f>
        <v>0</v>
      </c>
      <c r="L727" s="116" t="str">
        <f t="shared" ca="1" si="153"/>
        <v/>
      </c>
      <c r="M727" s="117" t="s">
        <v>199</v>
      </c>
      <c r="N727" s="118" t="str">
        <f t="shared" ca="1" si="154"/>
        <v>Serviço</v>
      </c>
      <c r="O727" s="119" t="str">
        <f t="shared" ca="1" si="155"/>
        <v>-</v>
      </c>
      <c r="P727" s="120" t="s">
        <v>247</v>
      </c>
      <c r="Q727" s="121" t="s">
        <v>470</v>
      </c>
      <c r="R727" s="122" t="str">
        <f ca="1">IF($C727="S",REFERENCIA.Descricao,"(digite a descrição aqui)")</f>
        <v>(abra o arquivo 'Referência 02-2025.xlsm)</v>
      </c>
      <c r="S727" s="123" t="str">
        <f ca="1">REFERENCIA.Unidade</f>
        <v>-</v>
      </c>
      <c r="T727" s="124">
        <f ca="1">OFFSET(CÁLCULO!H$15,ROW($T727)-ROW(T$15),0)</f>
        <v>128.75</v>
      </c>
      <c r="U727" s="125">
        <f t="shared" ca="1" si="180"/>
        <v>0</v>
      </c>
      <c r="V727" s="126" t="s">
        <v>156</v>
      </c>
      <c r="W727" s="124">
        <f ca="1">IF($C727="S",ROUND(IF(TIPOORCAMENTO="Proposto",ORÇAMENTO.CustoUnitario*(1+$AH727),ORÇAMENTO.PrecoUnitarioLicitado),15-13*$AF$10),0)</f>
        <v>0</v>
      </c>
      <c r="X727" s="127">
        <f ca="1">IF($C727="S",IF(Import.TipoArredondamento&lt;&gt;"TransfereGOV",VTOTAL1,SUM(OFFSET(CÁLCULO!$AA$15,ROW($X727)-ROW($X$15),1):OFFSET(CÁLCULO!$AL$15,ROW($X727)-ROW($X$15),-1))),IF($C727=0,0,ROUND(SomaAgrup,15-13*$AF$11)))</f>
        <v>0</v>
      </c>
      <c r="Y727" s="128" t="s">
        <v>245</v>
      </c>
      <c r="Z727" t="str">
        <f t="shared" ca="1" si="156"/>
        <v/>
      </c>
      <c r="AA727" s="129">
        <f ca="1">IF($C727="S",IF($Z727="CP",$X727,IF($Z727="RA",(($X727)*QCI!$AA$3),0)),SomaAgrup)</f>
        <v>0</v>
      </c>
      <c r="AB727" s="130">
        <f t="shared" ca="1" si="176"/>
        <v>0</v>
      </c>
      <c r="AC727" s="131" t="str">
        <f ca="1">IF($N727="","",IF(ORÇAMENTO.Descricao="","DESCRIÇÃO",IF(AND($C727="S",ORÇAMENTO.Unidade=""),"UNIDADE",IF($X727&lt;0,"VALOR NEGATIVO",IF(OR(AND(TIPOORCAMENTO="Proposto",$AG727&lt;&gt;"",$AG727&gt;0,ORÇAMENTO.CustoUnitario&gt;$AG727),AND(TIPOORCAMENTO="LICITADO",ORÇAMENTO.PrecoUnitarioLicitado&gt;$AN727)),"ACIMA REF.","")))))</f>
        <v/>
      </c>
      <c r="AD727" t="str">
        <f ca="1">IF(C727&lt;=CRONO.NivelExibicao,MAX($AD$15:OFFSET(AD727,-1,0))+IF($C727&lt;&gt;1,1,MAX(1,COUNTIF(QCI!$A$13:$A$24,OFFSET($E727,-1,0)))),"")</f>
        <v/>
      </c>
      <c r="AE727" s="7" t="str">
        <f ca="1">IF(AND($C727="S",ORÇAMENTO.CodBarra&lt;&gt;""),IF(ORÇAMENTO.Fonte="",ORÇAMENTO.CodBarra,CONCATENATE(ORÇAMENTO.Fonte," ",ORÇAMENTO.CodBarra)))</f>
        <v>SINAPI 92759</v>
      </c>
      <c r="AF727" s="13" t="str">
        <f ca="1">IF(ISERROR(INDIRECT(ORÇAMENTO.BancoRef)),"(abra o arquivo 'Referência "&amp;Excel_BuiltIn_Database&amp;".xlsm)",IF(OR($C727&lt;&gt;"S",ORÇAMENTO.CodBarra=""),"(Sem Código)",IF(ISERROR(MATCH($AE727,INDIRECT(ORÇAMENTO.BancoRef),0)),"(Código não identificado nas referências)",MATCH($AE727,INDIRECT(ORÇAMENTO.BancoRef),0))))</f>
        <v>(abra o arquivo 'Referência 02-2025.xlsm)</v>
      </c>
      <c r="AG727" s="498">
        <f ca="1">ROUND(IF(DESONERACAO="sim",REFERENCIA.Desonerado,REFERENCIA.NaoDesonerado),2)</f>
        <v>0</v>
      </c>
      <c r="AH727" s="499">
        <f t="shared" ca="1" si="177"/>
        <v>0.22470000000000001</v>
      </c>
      <c r="AJ727" s="501">
        <v>128.75</v>
      </c>
      <c r="AL727" s="527"/>
      <c r="AM727" s="381">
        <f t="shared" ca="1" si="159"/>
        <v>0</v>
      </c>
      <c r="AN727" s="566">
        <f t="shared" ca="1" si="178"/>
        <v>0</v>
      </c>
    </row>
    <row r="728" spans="1:40" ht="38.25" x14ac:dyDescent="0.2">
      <c r="A728" t="str">
        <f t="shared" si="175"/>
        <v>S</v>
      </c>
      <c r="B728">
        <f t="shared" ca="1" si="146"/>
        <v>3</v>
      </c>
      <c r="C728" t="str">
        <f t="shared" ca="1" si="147"/>
        <v>S</v>
      </c>
      <c r="D728">
        <f t="shared" ca="1" si="148"/>
        <v>0</v>
      </c>
      <c r="E728">
        <f ca="1">IF($C728=1,OFFSET(E728,-1,0)+MAX(1,COUNTIF(QCI!$A$13:$A$24,OFFSET(ORÇAMENTO!E728,-1,0))),OFFSET(E728,-1,0))</f>
        <v>1</v>
      </c>
      <c r="F728">
        <f t="shared" ca="1" si="149"/>
        <v>24</v>
      </c>
      <c r="G728">
        <f t="shared" ca="1" si="150"/>
        <v>4</v>
      </c>
      <c r="H728">
        <f t="shared" ca="1" si="151"/>
        <v>0</v>
      </c>
      <c r="I728">
        <f t="shared" ca="1" si="152"/>
        <v>0</v>
      </c>
      <c r="J728">
        <f t="shared" ca="1" si="179"/>
        <v>0</v>
      </c>
      <c r="K728">
        <f ca="1">IF(OR($C728="S",$C728=0),0,MATCH(OFFSET($D728,0,$C728)+IF($C728&lt;&gt;1,1,COUNTIF(QCI!$A$13:$A$24,ORÇAMENTO!E728)),OFFSET($D728,1,$C728,ROW($C$747)-ROW($C728)),0))</f>
        <v>0</v>
      </c>
      <c r="L728" s="116" t="str">
        <f t="shared" ca="1" si="153"/>
        <v/>
      </c>
      <c r="M728" s="117" t="s">
        <v>199</v>
      </c>
      <c r="N728" s="118" t="str">
        <f t="shared" ca="1" si="154"/>
        <v>Serviço</v>
      </c>
      <c r="O728" s="119" t="str">
        <f t="shared" ca="1" si="155"/>
        <v>-</v>
      </c>
      <c r="P728" s="120" t="s">
        <v>712</v>
      </c>
      <c r="Q728" s="121" t="s">
        <v>898</v>
      </c>
      <c r="R728" s="122" t="str">
        <f ca="1">IF($C728="S",REFERENCIA.Descricao,"(digite a descrição aqui)")</f>
        <v>(abra o arquivo 'Referência 02-2025.xlsm)</v>
      </c>
      <c r="S728" s="123" t="str">
        <f ca="1">REFERENCIA.Unidade</f>
        <v>-</v>
      </c>
      <c r="T728" s="124">
        <f ca="1">OFFSET(CÁLCULO!H$15,ROW($T728)-ROW(T$15),0)</f>
        <v>4.75</v>
      </c>
      <c r="U728" s="125">
        <f t="shared" ca="1" si="180"/>
        <v>0</v>
      </c>
      <c r="V728" s="126" t="s">
        <v>156</v>
      </c>
      <c r="W728" s="124">
        <f ca="1">IF($C728="S",ROUND(IF(TIPOORCAMENTO="Proposto",ORÇAMENTO.CustoUnitario*(1+$AH728),ORÇAMENTO.PrecoUnitarioLicitado),15-13*$AF$10),0)</f>
        <v>0</v>
      </c>
      <c r="X728" s="127">
        <f ca="1">IF($C728="S",IF(Import.TipoArredondamento&lt;&gt;"TransfereGOV",VTOTAL1,SUM(OFFSET(CÁLCULO!$AA$15,ROW($X728)-ROW($X$15),1):OFFSET(CÁLCULO!$AL$15,ROW($X728)-ROW($X$15),-1))),IF($C728=0,0,ROUND(SomaAgrup,15-13*$AF$11)))</f>
        <v>0</v>
      </c>
      <c r="Y728" s="128" t="s">
        <v>245</v>
      </c>
      <c r="Z728" t="str">
        <f t="shared" ca="1" si="156"/>
        <v/>
      </c>
      <c r="AA728" s="129">
        <f ca="1">IF($C728="S",IF($Z728="CP",$X728,IF($Z728="RA",(($X728)*QCI!$AA$3),0)),SomaAgrup)</f>
        <v>0</v>
      </c>
      <c r="AB728" s="130">
        <f t="shared" ca="1" si="176"/>
        <v>0</v>
      </c>
      <c r="AC728" s="131" t="str">
        <f ca="1">IF($N728="","",IF(ORÇAMENTO.Descricao="","DESCRIÇÃO",IF(AND($C728="S",ORÇAMENTO.Unidade=""),"UNIDADE",IF($X728&lt;0,"VALOR NEGATIVO",IF(OR(AND(TIPOORCAMENTO="Proposto",$AG728&lt;&gt;"",$AG728&gt;0,ORÇAMENTO.CustoUnitario&gt;$AG728),AND(TIPOORCAMENTO="LICITADO",ORÇAMENTO.PrecoUnitarioLicitado&gt;$AN728)),"ACIMA REF.","")))))</f>
        <v/>
      </c>
      <c r="AD728" t="str">
        <f ca="1">IF(C728&lt;=CRONO.NivelExibicao,MAX($AD$15:OFFSET(AD728,-1,0))+IF($C728&lt;&gt;1,1,MAX(1,COUNTIF(QCI!$A$13:$A$24,OFFSET($E728,-1,0)))),"")</f>
        <v/>
      </c>
      <c r="AE728" s="7" t="str">
        <f ca="1">IF(AND($C728="S",ORÇAMENTO.CodBarra&lt;&gt;""),IF(ORÇAMENTO.Fonte="",ORÇAMENTO.CodBarra,CONCATENATE(ORÇAMENTO.Fonte," ",ORÇAMENTO.CodBarra)))</f>
        <v>Composição FNDE 240</v>
      </c>
      <c r="AF728" s="13" t="str">
        <f ca="1">IF(ISERROR(INDIRECT(ORÇAMENTO.BancoRef)),"(abra o arquivo 'Referência "&amp;Excel_BuiltIn_Database&amp;".xlsm)",IF(OR($C728&lt;&gt;"S",ORÇAMENTO.CodBarra=""),"(Sem Código)",IF(ISERROR(MATCH($AE728,INDIRECT(ORÇAMENTO.BancoRef),0)),"(Código não identificado nas referências)",MATCH($AE728,INDIRECT(ORÇAMENTO.BancoRef),0))))</f>
        <v>(abra o arquivo 'Referência 02-2025.xlsm)</v>
      </c>
      <c r="AG728" s="498">
        <f ca="1">ROUND(IF(DESONERACAO="sim",REFERENCIA.Desonerado,REFERENCIA.NaoDesonerado),2)</f>
        <v>0</v>
      </c>
      <c r="AH728" s="499">
        <f t="shared" ca="1" si="177"/>
        <v>0.22470000000000001</v>
      </c>
      <c r="AJ728" s="501">
        <v>4.75</v>
      </c>
      <c r="AL728" s="527"/>
      <c r="AM728" s="381">
        <f t="shared" ca="1" si="159"/>
        <v>0</v>
      </c>
      <c r="AN728" s="566">
        <f t="shared" ca="1" si="178"/>
        <v>0</v>
      </c>
    </row>
    <row r="729" spans="1:40" x14ac:dyDescent="0.2">
      <c r="A729">
        <f t="shared" si="175"/>
        <v>3</v>
      </c>
      <c r="B729">
        <f t="shared" ca="1" si="146"/>
        <v>3</v>
      </c>
      <c r="C729">
        <f t="shared" ca="1" si="147"/>
        <v>3</v>
      </c>
      <c r="D729">
        <f t="shared" ca="1" si="148"/>
        <v>2</v>
      </c>
      <c r="E729">
        <f ca="1">IF($C729=1,OFFSET(E729,-1,0)+MAX(1,COUNTIF(QCI!$A$13:$A$24,OFFSET(ORÇAMENTO!E729,-1,0))),OFFSET(E729,-1,0))</f>
        <v>1</v>
      </c>
      <c r="F729">
        <f t="shared" ca="1" si="149"/>
        <v>24</v>
      </c>
      <c r="G729">
        <f t="shared" ca="1" si="150"/>
        <v>5</v>
      </c>
      <c r="H729">
        <f t="shared" ca="1" si="151"/>
        <v>0</v>
      </c>
      <c r="I729">
        <f t="shared" ca="1" si="152"/>
        <v>0</v>
      </c>
      <c r="J729">
        <f t="shared" ref="J729:J746" ca="1" si="181">IF(OR($C729="S",$C729=0),0,MATCH(0,OFFSET($D729,1,$C729,ROW($C$747)-ROW($C729)),0))</f>
        <v>18</v>
      </c>
      <c r="K729">
        <f ca="1">IF(OR($C729="S",$C729=0),0,MATCH(OFFSET($D729,0,$C729)+IF($C729&lt;&gt;1,1,COUNTIF(QCI!$A$13:$A$24,ORÇAMENTO!E729)),OFFSET($D729,1,$C729,ROW($C$747)-ROW($C729)),0))</f>
        <v>2</v>
      </c>
      <c r="L729" s="116" t="str">
        <f t="shared" ca="1" si="153"/>
        <v>F</v>
      </c>
      <c r="M729" s="117" t="s">
        <v>197</v>
      </c>
      <c r="N729" s="118" t="str">
        <f t="shared" ca="1" si="154"/>
        <v>Nível 3</v>
      </c>
      <c r="O729" s="119" t="str">
        <f t="shared" ca="1" si="155"/>
        <v>1.24.5.</v>
      </c>
      <c r="P729" s="120" t="s">
        <v>247</v>
      </c>
      <c r="Q729" s="121"/>
      <c r="R729" s="122" t="str">
        <f ca="1">IF($C729="S",REFERENCIA.Descricao,"IMPERMEABILIZAÇÃO")</f>
        <v>IMPERMEABILIZAÇÃO</v>
      </c>
      <c r="S729" s="123" t="str">
        <f ca="1">REFERENCIA.Unidade</f>
        <v>-</v>
      </c>
      <c r="T729" s="124">
        <f ca="1">OFFSET(CÁLCULO!H$15,ROW($T729)-ROW(T$15),0)</f>
        <v>0</v>
      </c>
      <c r="U729" s="125">
        <f t="shared" ref="U729:U746" ca="1" si="182">AG729</f>
        <v>0</v>
      </c>
      <c r="V729" s="126" t="s">
        <v>156</v>
      </c>
      <c r="W729" s="124">
        <f ca="1">IF($C729="S",ROUND(IF(TIPOORCAMENTO="Proposto",ORÇAMENTO.CustoUnitario*(1+$AH729),ORÇAMENTO.PrecoUnitarioLicitado),15-13*$AF$10),0)</f>
        <v>0</v>
      </c>
      <c r="X729" s="127">
        <f ca="1">IF($C729="S",IF(Import.TipoArredondamento&lt;&gt;"TransfereGOV",VTOTAL1,SUM(OFFSET(CÁLCULO!$AA$15,ROW($X729)-ROW($X$15),1):OFFSET(CÁLCULO!$AL$15,ROW($X729)-ROW($X$15),-1))),IF($C729=0,0,ROUND(SomaAgrup,15-13*$AF$11)))</f>
        <v>0</v>
      </c>
      <c r="Y729" s="128" t="s">
        <v>245</v>
      </c>
      <c r="Z729" t="str">
        <f t="shared" ca="1" si="156"/>
        <v/>
      </c>
      <c r="AA729" s="129">
        <f ca="1">IF($C729="S",IF($Z729="CP",$X729,IF($Z729="RA",(($X729)*QCI!$AA$3),0)),SomaAgrup)</f>
        <v>0</v>
      </c>
      <c r="AB729" s="130">
        <f t="shared" ca="1" si="176"/>
        <v>0</v>
      </c>
      <c r="AC729" s="131" t="str">
        <f ca="1">IF($N729="","",IF(ORÇAMENTO.Descricao="","DESCRIÇÃO",IF(AND($C729="S",ORÇAMENTO.Unidade=""),"UNIDADE",IF($X729&lt;0,"VALOR NEGATIVO",IF(OR(AND(TIPOORCAMENTO="Proposto",$AG729&lt;&gt;"",$AG729&gt;0,ORÇAMENTO.CustoUnitario&gt;$AG729),AND(TIPOORCAMENTO="LICITADO",ORÇAMENTO.PrecoUnitarioLicitado&gt;$AN729)),"ACIMA REF.","")))))</f>
        <v/>
      </c>
      <c r="AD729" t="str">
        <f ca="1">IF(C729&lt;=CRONO.NivelExibicao,MAX($AD$15:OFFSET(AD729,-1,0))+IF($C729&lt;&gt;1,1,MAX(1,COUNTIF(QCI!$A$13:$A$24,OFFSET($E729,-1,0)))),"")</f>
        <v/>
      </c>
      <c r="AE729" s="7" t="b">
        <f ca="1">IF(AND($C729="S",ORÇAMENTO.CodBarra&lt;&gt;""),IF(ORÇAMENTO.Fonte="",ORÇAMENTO.CodBarra,CONCATENATE(ORÇAMENTO.Fonte," ",ORÇAMENTO.CodBarra)))</f>
        <v>0</v>
      </c>
      <c r="AF729" s="13" t="str">
        <f ca="1">IF(ISERROR(INDIRECT(ORÇAMENTO.BancoRef)),"(abra o arquivo 'Referência "&amp;Excel_BuiltIn_Database&amp;".xlsm)",IF(OR($C729&lt;&gt;"S",ORÇAMENTO.CodBarra=""),"(Sem Código)",IF(ISERROR(MATCH($AE729,INDIRECT(ORÇAMENTO.BancoRef),0)),"(Código não identificado nas referências)",MATCH($AE729,INDIRECT(ORÇAMENTO.BancoRef),0))))</f>
        <v>(abra o arquivo 'Referência 02-2025.xlsm)</v>
      </c>
      <c r="AG729" s="498">
        <f ca="1">ROUND(IF(DESONERACAO="sim",REFERENCIA.Desonerado,REFERENCIA.NaoDesonerado),2)</f>
        <v>0</v>
      </c>
      <c r="AH729" s="499">
        <f t="shared" ca="1" si="177"/>
        <v>0.22470000000000001</v>
      </c>
      <c r="AJ729" s="501"/>
      <c r="AL729" s="527"/>
      <c r="AM729" s="381">
        <f t="shared" ca="1" si="159"/>
        <v>0</v>
      </c>
      <c r="AN729" s="566">
        <f t="shared" ca="1" si="178"/>
        <v>0</v>
      </c>
    </row>
    <row r="730" spans="1:40" ht="25.5" x14ac:dyDescent="0.2">
      <c r="A730" t="str">
        <f t="shared" si="175"/>
        <v>S</v>
      </c>
      <c r="B730">
        <f t="shared" ca="1" si="146"/>
        <v>3</v>
      </c>
      <c r="C730" t="str">
        <f t="shared" ca="1" si="147"/>
        <v>S</v>
      </c>
      <c r="D730">
        <f t="shared" ca="1" si="148"/>
        <v>0</v>
      </c>
      <c r="E730">
        <f ca="1">IF($C730=1,OFFSET(E730,-1,0)+MAX(1,COUNTIF(QCI!$A$13:$A$24,OFFSET(ORÇAMENTO!E730,-1,0))),OFFSET(E730,-1,0))</f>
        <v>1</v>
      </c>
      <c r="F730">
        <f t="shared" ca="1" si="149"/>
        <v>24</v>
      </c>
      <c r="G730">
        <f t="shared" ca="1" si="150"/>
        <v>5</v>
      </c>
      <c r="H730">
        <f t="shared" ca="1" si="151"/>
        <v>0</v>
      </c>
      <c r="I730">
        <f t="shared" ca="1" si="152"/>
        <v>0</v>
      </c>
      <c r="J730">
        <f t="shared" ca="1" si="181"/>
        <v>0</v>
      </c>
      <c r="K730">
        <f ca="1">IF(OR($C730="S",$C730=0),0,MATCH(OFFSET($D730,0,$C730)+IF($C730&lt;&gt;1,1,COUNTIF(QCI!$A$13:$A$24,ORÇAMENTO!E730)),OFFSET($D730,1,$C730,ROW($C$747)-ROW($C730)),0))</f>
        <v>0</v>
      </c>
      <c r="L730" s="116" t="str">
        <f t="shared" ca="1" si="153"/>
        <v/>
      </c>
      <c r="M730" s="117" t="s">
        <v>199</v>
      </c>
      <c r="N730" s="118" t="str">
        <f t="shared" ca="1" si="154"/>
        <v>Serviço</v>
      </c>
      <c r="O730" s="119" t="str">
        <f t="shared" ca="1" si="155"/>
        <v>-</v>
      </c>
      <c r="P730" s="120" t="s">
        <v>712</v>
      </c>
      <c r="Q730" s="121" t="s">
        <v>763</v>
      </c>
      <c r="R730" s="122" t="str">
        <f ca="1">IF($C730="S",REFERENCIA.Descricao,"(digite a descrição aqui)")</f>
        <v>(abra o arquivo 'Referência 02-2025.xlsm)</v>
      </c>
      <c r="S730" s="123" t="str">
        <f ca="1">REFERENCIA.Unidade</f>
        <v>-</v>
      </c>
      <c r="T730" s="124">
        <f ca="1">OFFSET(CÁLCULO!H$15,ROW($T730)-ROW(T$15),0)</f>
        <v>127.25</v>
      </c>
      <c r="U730" s="125">
        <f t="shared" ca="1" si="182"/>
        <v>0</v>
      </c>
      <c r="V730" s="126" t="s">
        <v>156</v>
      </c>
      <c r="W730" s="124">
        <f ca="1">IF($C730="S",ROUND(IF(TIPOORCAMENTO="Proposto",ORÇAMENTO.CustoUnitario*(1+$AH730),ORÇAMENTO.PrecoUnitarioLicitado),15-13*$AF$10),0)</f>
        <v>0</v>
      </c>
      <c r="X730" s="127">
        <f ca="1">IF($C730="S",IF(Import.TipoArredondamento&lt;&gt;"TransfereGOV",VTOTAL1,SUM(OFFSET(CÁLCULO!$AA$15,ROW($X730)-ROW($X$15),1):OFFSET(CÁLCULO!$AL$15,ROW($X730)-ROW($X$15),-1))),IF($C730=0,0,ROUND(SomaAgrup,15-13*$AF$11)))</f>
        <v>0</v>
      </c>
      <c r="Y730" s="128" t="s">
        <v>245</v>
      </c>
      <c r="Z730" t="str">
        <f t="shared" ca="1" si="156"/>
        <v/>
      </c>
      <c r="AA730" s="129">
        <f ca="1">IF($C730="S",IF($Z730="CP",$X730,IF($Z730="RA",(($X730)*QCI!$AA$3),0)),SomaAgrup)</f>
        <v>0</v>
      </c>
      <c r="AB730" s="130">
        <f t="shared" ca="1" si="176"/>
        <v>0</v>
      </c>
      <c r="AC730" s="131" t="str">
        <f ca="1">IF($N730="","",IF(ORÇAMENTO.Descricao="","DESCRIÇÃO",IF(AND($C730="S",ORÇAMENTO.Unidade=""),"UNIDADE",IF($X730&lt;0,"VALOR NEGATIVO",IF(OR(AND(TIPOORCAMENTO="Proposto",$AG730&lt;&gt;"",$AG730&gt;0,ORÇAMENTO.CustoUnitario&gt;$AG730),AND(TIPOORCAMENTO="LICITADO",ORÇAMENTO.PrecoUnitarioLicitado&gt;$AN730)),"ACIMA REF.","")))))</f>
        <v/>
      </c>
      <c r="AD730" t="str">
        <f ca="1">IF(C730&lt;=CRONO.NivelExibicao,MAX($AD$15:OFFSET(AD730,-1,0))+IF($C730&lt;&gt;1,1,MAX(1,COUNTIF(QCI!$A$13:$A$24,OFFSET($E730,-1,0)))),"")</f>
        <v/>
      </c>
      <c r="AE730" s="7" t="str">
        <f ca="1">IF(AND($C730="S",ORÇAMENTO.CodBarra&lt;&gt;""),IF(ORÇAMENTO.Fonte="",ORÇAMENTO.CodBarra,CONCATENATE(ORÇAMENTO.Fonte," ",ORÇAMENTO.CodBarra)))</f>
        <v>Composição FNDE 172</v>
      </c>
      <c r="AF730" s="13" t="str">
        <f ca="1">IF(ISERROR(INDIRECT(ORÇAMENTO.BancoRef)),"(abra o arquivo 'Referência "&amp;Excel_BuiltIn_Database&amp;".xlsm)",IF(OR($C730&lt;&gt;"S",ORÇAMENTO.CodBarra=""),"(Sem Código)",IF(ISERROR(MATCH($AE730,INDIRECT(ORÇAMENTO.BancoRef),0)),"(Código não identificado nas referências)",MATCH($AE730,INDIRECT(ORÇAMENTO.BancoRef),0))))</f>
        <v>(abra o arquivo 'Referência 02-2025.xlsm)</v>
      </c>
      <c r="AG730" s="498">
        <f ca="1">ROUND(IF(DESONERACAO="sim",REFERENCIA.Desonerado,REFERENCIA.NaoDesonerado),2)</f>
        <v>0</v>
      </c>
      <c r="AH730" s="499">
        <f t="shared" ca="1" si="177"/>
        <v>0.22470000000000001</v>
      </c>
      <c r="AJ730" s="501">
        <v>127.25</v>
      </c>
      <c r="AL730" s="527"/>
      <c r="AM730" s="381">
        <f t="shared" ca="1" si="159"/>
        <v>0</v>
      </c>
      <c r="AN730" s="566">
        <f t="shared" ca="1" si="178"/>
        <v>0</v>
      </c>
    </row>
    <row r="731" spans="1:40" x14ac:dyDescent="0.2">
      <c r="A731">
        <f t="shared" si="175"/>
        <v>3</v>
      </c>
      <c r="B731">
        <f t="shared" ca="1" si="146"/>
        <v>3</v>
      </c>
      <c r="C731">
        <f t="shared" ca="1" si="147"/>
        <v>3</v>
      </c>
      <c r="D731">
        <f t="shared" ca="1" si="148"/>
        <v>3</v>
      </c>
      <c r="E731">
        <f ca="1">IF($C731=1,OFFSET(E731,-1,0)+MAX(1,COUNTIF(QCI!$A$13:$A$24,OFFSET(ORÇAMENTO!E731,-1,0))),OFFSET(E731,-1,0))</f>
        <v>1</v>
      </c>
      <c r="F731">
        <f t="shared" ca="1" si="149"/>
        <v>24</v>
      </c>
      <c r="G731">
        <f t="shared" ca="1" si="150"/>
        <v>6</v>
      </c>
      <c r="H731">
        <f t="shared" ca="1" si="151"/>
        <v>0</v>
      </c>
      <c r="I731">
        <f t="shared" ca="1" si="152"/>
        <v>0</v>
      </c>
      <c r="J731">
        <f t="shared" ca="1" si="181"/>
        <v>16</v>
      </c>
      <c r="K731">
        <f ca="1">IF(OR($C731="S",$C731=0),0,MATCH(OFFSET($D731,0,$C731)+IF($C731&lt;&gt;1,1,COUNTIF(QCI!$A$13:$A$24,ORÇAMENTO!E731)),OFFSET($D731,1,$C731,ROW($C$747)-ROW($C731)),0))</f>
        <v>3</v>
      </c>
      <c r="L731" s="116" t="str">
        <f t="shared" ca="1" si="153"/>
        <v>F</v>
      </c>
      <c r="M731" s="117" t="s">
        <v>197</v>
      </c>
      <c r="N731" s="118" t="str">
        <f t="shared" ca="1" si="154"/>
        <v>Nível 3</v>
      </c>
      <c r="O731" s="119" t="str">
        <f t="shared" ca="1" si="155"/>
        <v>1.24.6.</v>
      </c>
      <c r="P731" s="120" t="s">
        <v>247</v>
      </c>
      <c r="Q731" s="121"/>
      <c r="R731" s="122" t="str">
        <f ca="1">IF($C731="S",REFERENCIA.Descricao,"ALVENARIA DE VEDAÇÃO - MURO")</f>
        <v>ALVENARIA DE VEDAÇÃO - MURO</v>
      </c>
      <c r="S731" s="123" t="str">
        <f ca="1">REFERENCIA.Unidade</f>
        <v>-</v>
      </c>
      <c r="T731" s="124">
        <f ca="1">OFFSET(CÁLCULO!H$15,ROW($T731)-ROW(T$15),0)</f>
        <v>0</v>
      </c>
      <c r="U731" s="125">
        <f t="shared" ca="1" si="182"/>
        <v>0</v>
      </c>
      <c r="V731" s="126" t="s">
        <v>156</v>
      </c>
      <c r="W731" s="124">
        <f ca="1">IF($C731="S",ROUND(IF(TIPOORCAMENTO="Proposto",ORÇAMENTO.CustoUnitario*(1+$AH731),ORÇAMENTO.PrecoUnitarioLicitado),15-13*$AF$10),0)</f>
        <v>0</v>
      </c>
      <c r="X731" s="127">
        <f ca="1">IF($C731="S",IF(Import.TipoArredondamento&lt;&gt;"TransfereGOV",VTOTAL1,SUM(OFFSET(CÁLCULO!$AA$15,ROW($X731)-ROW($X$15),1):OFFSET(CÁLCULO!$AL$15,ROW($X731)-ROW($X$15),-1))),IF($C731=0,0,ROUND(SomaAgrup,15-13*$AF$11)))</f>
        <v>0</v>
      </c>
      <c r="Y731" s="128" t="s">
        <v>245</v>
      </c>
      <c r="Z731" t="str">
        <f t="shared" ca="1" si="156"/>
        <v/>
      </c>
      <c r="AA731" s="129">
        <f ca="1">IF($C731="S",IF($Z731="CP",$X731,IF($Z731="RA",(($X731)*QCI!$AA$3),0)),SomaAgrup)</f>
        <v>0</v>
      </c>
      <c r="AB731" s="130">
        <f t="shared" ca="1" si="176"/>
        <v>0</v>
      </c>
      <c r="AC731" s="131" t="str">
        <f ca="1">IF($N731="","",IF(ORÇAMENTO.Descricao="","DESCRIÇÃO",IF(AND($C731="S",ORÇAMENTO.Unidade=""),"UNIDADE",IF($X731&lt;0,"VALOR NEGATIVO",IF(OR(AND(TIPOORCAMENTO="Proposto",$AG731&lt;&gt;"",$AG731&gt;0,ORÇAMENTO.CustoUnitario&gt;$AG731),AND(TIPOORCAMENTO="LICITADO",ORÇAMENTO.PrecoUnitarioLicitado&gt;$AN731)),"ACIMA REF.","")))))</f>
        <v/>
      </c>
      <c r="AD731" t="str">
        <f ca="1">IF(C731&lt;=CRONO.NivelExibicao,MAX($AD$15:OFFSET(AD731,-1,0))+IF($C731&lt;&gt;1,1,MAX(1,COUNTIF(QCI!$A$13:$A$24,OFFSET($E731,-1,0)))),"")</f>
        <v/>
      </c>
      <c r="AE731" s="7" t="b">
        <f ca="1">IF(AND($C731="S",ORÇAMENTO.CodBarra&lt;&gt;""),IF(ORÇAMENTO.Fonte="",ORÇAMENTO.CodBarra,CONCATENATE(ORÇAMENTO.Fonte," ",ORÇAMENTO.CodBarra)))</f>
        <v>0</v>
      </c>
      <c r="AF731" s="13" t="str">
        <f ca="1">IF(ISERROR(INDIRECT(ORÇAMENTO.BancoRef)),"(abra o arquivo 'Referência "&amp;Excel_BuiltIn_Database&amp;".xlsm)",IF(OR($C731&lt;&gt;"S",ORÇAMENTO.CodBarra=""),"(Sem Código)",IF(ISERROR(MATCH($AE731,INDIRECT(ORÇAMENTO.BancoRef),0)),"(Código não identificado nas referências)",MATCH($AE731,INDIRECT(ORÇAMENTO.BancoRef),0))))</f>
        <v>(abra o arquivo 'Referência 02-2025.xlsm)</v>
      </c>
      <c r="AG731" s="498">
        <f ca="1">ROUND(IF(DESONERACAO="sim",REFERENCIA.Desonerado,REFERENCIA.NaoDesonerado),2)</f>
        <v>0</v>
      </c>
      <c r="AH731" s="499">
        <f t="shared" ca="1" si="177"/>
        <v>0.22470000000000001</v>
      </c>
      <c r="AJ731" s="501"/>
      <c r="AL731" s="527"/>
      <c r="AM731" s="381">
        <f t="shared" ca="1" si="159"/>
        <v>0</v>
      </c>
      <c r="AN731" s="566">
        <f t="shared" ca="1" si="178"/>
        <v>0</v>
      </c>
    </row>
    <row r="732" spans="1:40" ht="38.25" x14ac:dyDescent="0.2">
      <c r="A732" t="str">
        <f t="shared" si="175"/>
        <v>S</v>
      </c>
      <c r="B732">
        <f t="shared" ca="1" si="146"/>
        <v>3</v>
      </c>
      <c r="C732" t="str">
        <f t="shared" ca="1" si="147"/>
        <v>S</v>
      </c>
      <c r="D732">
        <f t="shared" ca="1" si="148"/>
        <v>0</v>
      </c>
      <c r="E732">
        <f ca="1">IF($C732=1,OFFSET(E732,-1,0)+MAX(1,COUNTIF(QCI!$A$13:$A$24,OFFSET(ORÇAMENTO!E732,-1,0))),OFFSET(E732,-1,0))</f>
        <v>1</v>
      </c>
      <c r="F732">
        <f t="shared" ca="1" si="149"/>
        <v>24</v>
      </c>
      <c r="G732">
        <f t="shared" ca="1" si="150"/>
        <v>6</v>
      </c>
      <c r="H732">
        <f t="shared" ca="1" si="151"/>
        <v>0</v>
      </c>
      <c r="I732">
        <f t="shared" ca="1" si="152"/>
        <v>0</v>
      </c>
      <c r="J732">
        <f t="shared" ca="1" si="181"/>
        <v>0</v>
      </c>
      <c r="K732">
        <f ca="1">IF(OR($C732="S",$C732=0),0,MATCH(OFFSET($D732,0,$C732)+IF($C732&lt;&gt;1,1,COUNTIF(QCI!$A$13:$A$24,ORÇAMENTO!E732)),OFFSET($D732,1,$C732,ROW($C$747)-ROW($C732)),0))</f>
        <v>0</v>
      </c>
      <c r="L732" s="116" t="str">
        <f t="shared" ca="1" si="153"/>
        <v/>
      </c>
      <c r="M732" s="117" t="s">
        <v>199</v>
      </c>
      <c r="N732" s="118" t="str">
        <f t="shared" ca="1" si="154"/>
        <v>Serviço</v>
      </c>
      <c r="O732" s="119" t="str">
        <f t="shared" ca="1" si="155"/>
        <v>-</v>
      </c>
      <c r="P732" s="120" t="s">
        <v>247</v>
      </c>
      <c r="Q732" s="121" t="s">
        <v>478</v>
      </c>
      <c r="R732" s="122" t="str">
        <f ca="1">IF($C732="S",REFERENCIA.Descricao,"(digite a descrição aqui)")</f>
        <v>(abra o arquivo 'Referência 02-2025.xlsm)</v>
      </c>
      <c r="S732" s="123" t="str">
        <f ca="1">REFERENCIA.Unidade</f>
        <v>-</v>
      </c>
      <c r="T732" s="124">
        <f ca="1">OFFSET(CÁLCULO!H$15,ROW($T732)-ROW(T$15),0)</f>
        <v>374.87</v>
      </c>
      <c r="U732" s="125">
        <f t="shared" ca="1" si="182"/>
        <v>0</v>
      </c>
      <c r="V732" s="126" t="s">
        <v>156</v>
      </c>
      <c r="W732" s="124">
        <f ca="1">IF($C732="S",ROUND(IF(TIPOORCAMENTO="Proposto",ORÇAMENTO.CustoUnitario*(1+$AH732),ORÇAMENTO.PrecoUnitarioLicitado),15-13*$AF$10),0)</f>
        <v>0</v>
      </c>
      <c r="X732" s="127">
        <f ca="1">IF($C732="S",IF(Import.TipoArredondamento&lt;&gt;"TransfereGOV",VTOTAL1,SUM(OFFSET(CÁLCULO!$AA$15,ROW($X732)-ROW($X$15),1):OFFSET(CÁLCULO!$AL$15,ROW($X732)-ROW($X$15),-1))),IF($C732=0,0,ROUND(SomaAgrup,15-13*$AF$11)))</f>
        <v>0</v>
      </c>
      <c r="Y732" s="128" t="s">
        <v>245</v>
      </c>
      <c r="Z732" t="str">
        <f t="shared" ca="1" si="156"/>
        <v/>
      </c>
      <c r="AA732" s="129">
        <f ca="1">IF($C732="S",IF($Z732="CP",$X732,IF($Z732="RA",(($X732)*QCI!$AA$3),0)),SomaAgrup)</f>
        <v>0</v>
      </c>
      <c r="AB732" s="130">
        <f t="shared" ca="1" si="176"/>
        <v>0</v>
      </c>
      <c r="AC732" s="131" t="str">
        <f ca="1">IF($N732="","",IF(ORÇAMENTO.Descricao="","DESCRIÇÃO",IF(AND($C732="S",ORÇAMENTO.Unidade=""),"UNIDADE",IF($X732&lt;0,"VALOR NEGATIVO",IF(OR(AND(TIPOORCAMENTO="Proposto",$AG732&lt;&gt;"",$AG732&gt;0,ORÇAMENTO.CustoUnitario&gt;$AG732),AND(TIPOORCAMENTO="LICITADO",ORÇAMENTO.PrecoUnitarioLicitado&gt;$AN732)),"ACIMA REF.","")))))</f>
        <v/>
      </c>
      <c r="AD732" t="str">
        <f ca="1">IF(C732&lt;=CRONO.NivelExibicao,MAX($AD$15:OFFSET(AD732,-1,0))+IF($C732&lt;&gt;1,1,MAX(1,COUNTIF(QCI!$A$13:$A$24,OFFSET($E732,-1,0)))),"")</f>
        <v/>
      </c>
      <c r="AE732" s="7" t="str">
        <f ca="1">IF(AND($C732="S",ORÇAMENTO.CodBarra&lt;&gt;""),IF(ORÇAMENTO.Fonte="",ORÇAMENTO.CodBarra,CONCATENATE(ORÇAMENTO.Fonte," ",ORÇAMENTO.CodBarra)))</f>
        <v>SINAPI 103324</v>
      </c>
      <c r="AF732" s="13" t="str">
        <f ca="1">IF(ISERROR(INDIRECT(ORÇAMENTO.BancoRef)),"(abra o arquivo 'Referência "&amp;Excel_BuiltIn_Database&amp;".xlsm)",IF(OR($C732&lt;&gt;"S",ORÇAMENTO.CodBarra=""),"(Sem Código)",IF(ISERROR(MATCH($AE732,INDIRECT(ORÇAMENTO.BancoRef),0)),"(Código não identificado nas referências)",MATCH($AE732,INDIRECT(ORÇAMENTO.BancoRef),0))))</f>
        <v>(abra o arquivo 'Referência 02-2025.xlsm)</v>
      </c>
      <c r="AG732" s="498">
        <f ca="1">ROUND(IF(DESONERACAO="sim",REFERENCIA.Desonerado,REFERENCIA.NaoDesonerado),2)</f>
        <v>0</v>
      </c>
      <c r="AH732" s="499">
        <f t="shared" ca="1" si="177"/>
        <v>0.22470000000000001</v>
      </c>
      <c r="AJ732" s="501">
        <v>374.87</v>
      </c>
      <c r="AL732" s="527"/>
      <c r="AM732" s="381">
        <f t="shared" ca="1" si="159"/>
        <v>0</v>
      </c>
      <c r="AN732" s="566">
        <f t="shared" ca="1" si="178"/>
        <v>0</v>
      </c>
    </row>
    <row r="733" spans="1:40" ht="25.5" x14ac:dyDescent="0.2">
      <c r="A733" t="str">
        <f t="shared" si="175"/>
        <v>S</v>
      </c>
      <c r="B733">
        <f t="shared" ca="1" si="146"/>
        <v>3</v>
      </c>
      <c r="C733" t="str">
        <f t="shared" ca="1" si="147"/>
        <v>S</v>
      </c>
      <c r="D733">
        <f t="shared" ca="1" si="148"/>
        <v>0</v>
      </c>
      <c r="E733">
        <f ca="1">IF($C733=1,OFFSET(E733,-1,0)+MAX(1,COUNTIF(QCI!$A$13:$A$24,OFFSET(ORÇAMENTO!E733,-1,0))),OFFSET(E733,-1,0))</f>
        <v>1</v>
      </c>
      <c r="F733">
        <f t="shared" ca="1" si="149"/>
        <v>24</v>
      </c>
      <c r="G733">
        <f t="shared" ca="1" si="150"/>
        <v>6</v>
      </c>
      <c r="H733">
        <f t="shared" ca="1" si="151"/>
        <v>0</v>
      </c>
      <c r="I733">
        <f t="shared" ca="1" si="152"/>
        <v>0</v>
      </c>
      <c r="J733">
        <f t="shared" ca="1" si="181"/>
        <v>0</v>
      </c>
      <c r="K733">
        <f ca="1">IF(OR($C733="S",$C733=0),0,MATCH(OFFSET($D733,0,$C733)+IF($C733&lt;&gt;1,1,COUNTIF(QCI!$A$13:$A$24,ORÇAMENTO!E733)),OFFSET($D733,1,$C733,ROW($C$747)-ROW($C733)),0))</f>
        <v>0</v>
      </c>
      <c r="L733" s="116" t="str">
        <f t="shared" ca="1" si="153"/>
        <v/>
      </c>
      <c r="M733" s="117" t="s">
        <v>199</v>
      </c>
      <c r="N733" s="118" t="str">
        <f t="shared" ca="1" si="154"/>
        <v>Serviço</v>
      </c>
      <c r="O733" s="119" t="str">
        <f t="shared" ca="1" si="155"/>
        <v>-</v>
      </c>
      <c r="P733" s="120" t="s">
        <v>247</v>
      </c>
      <c r="Q733" s="121" t="s">
        <v>878</v>
      </c>
      <c r="R733" s="122" t="str">
        <f ca="1">IF($C733="S",REFERENCIA.Descricao,"(digite a descrição aqui)")</f>
        <v>(abra o arquivo 'Referência 02-2025.xlsm)</v>
      </c>
      <c r="S733" s="123" t="str">
        <f ca="1">REFERENCIA.Unidade</f>
        <v>-</v>
      </c>
      <c r="T733" s="124">
        <f ca="1">OFFSET(CÁLCULO!H$15,ROW($T733)-ROW(T$15),0)</f>
        <v>176.95</v>
      </c>
      <c r="U733" s="125">
        <f t="shared" ca="1" si="182"/>
        <v>0</v>
      </c>
      <c r="V733" s="126" t="s">
        <v>156</v>
      </c>
      <c r="W733" s="124">
        <f ca="1">IF($C733="S",ROUND(IF(TIPOORCAMENTO="Proposto",ORÇAMENTO.CustoUnitario*(1+$AH733),ORÇAMENTO.PrecoUnitarioLicitado),15-13*$AF$10),0)</f>
        <v>0</v>
      </c>
      <c r="X733" s="127">
        <f ca="1">IF($C733="S",IF(Import.TipoArredondamento&lt;&gt;"TransfereGOV",VTOTAL1,SUM(OFFSET(CÁLCULO!$AA$15,ROW($X733)-ROW($X$15),1):OFFSET(CÁLCULO!$AL$15,ROW($X733)-ROW($X$15),-1))),IF($C733=0,0,ROUND(SomaAgrup,15-13*$AF$11)))</f>
        <v>0</v>
      </c>
      <c r="Y733" s="128" t="s">
        <v>245</v>
      </c>
      <c r="Z733" t="str">
        <f t="shared" ca="1" si="156"/>
        <v/>
      </c>
      <c r="AA733" s="129">
        <f ca="1">IF($C733="S",IF($Z733="CP",$X733,IF($Z733="RA",(($X733)*QCI!$AA$3),0)),SomaAgrup)</f>
        <v>0</v>
      </c>
      <c r="AB733" s="130">
        <f t="shared" ca="1" si="176"/>
        <v>0</v>
      </c>
      <c r="AC733" s="131" t="str">
        <f ca="1">IF($N733="","",IF(ORÇAMENTO.Descricao="","DESCRIÇÃO",IF(AND($C733="S",ORÇAMENTO.Unidade=""),"UNIDADE",IF($X733&lt;0,"VALOR NEGATIVO",IF(OR(AND(TIPOORCAMENTO="Proposto",$AG733&lt;&gt;"",$AG733&gt;0,ORÇAMENTO.CustoUnitario&gt;$AG733),AND(TIPOORCAMENTO="LICITADO",ORÇAMENTO.PrecoUnitarioLicitado&gt;$AN733)),"ACIMA REF.","")))))</f>
        <v/>
      </c>
      <c r="AD733" t="str">
        <f ca="1">IF(C733&lt;=CRONO.NivelExibicao,MAX($AD$15:OFFSET(AD733,-1,0))+IF($C733&lt;&gt;1,1,MAX(1,COUNTIF(QCI!$A$13:$A$24,OFFSET($E733,-1,0)))),"")</f>
        <v/>
      </c>
      <c r="AE733" s="7" t="str">
        <f ca="1">IF(AND($C733="S",ORÇAMENTO.CodBarra&lt;&gt;""),IF(ORÇAMENTO.Fonte="",ORÇAMENTO.CodBarra,CONCATENATE(ORÇAMENTO.Fonte," ",ORÇAMENTO.CodBarra)))</f>
        <v>SINAPI 93200</v>
      </c>
      <c r="AF733" s="13" t="str">
        <f ca="1">IF(ISERROR(INDIRECT(ORÇAMENTO.BancoRef)),"(abra o arquivo 'Referência "&amp;Excel_BuiltIn_Database&amp;".xlsm)",IF(OR($C733&lt;&gt;"S",ORÇAMENTO.CodBarra=""),"(Sem Código)",IF(ISERROR(MATCH($AE733,INDIRECT(ORÇAMENTO.BancoRef),0)),"(Código não identificado nas referências)",MATCH($AE733,INDIRECT(ORÇAMENTO.BancoRef),0))))</f>
        <v>(abra o arquivo 'Referência 02-2025.xlsm)</v>
      </c>
      <c r="AG733" s="498">
        <f ca="1">ROUND(IF(DESONERACAO="sim",REFERENCIA.Desonerado,REFERENCIA.NaoDesonerado),2)</f>
        <v>0</v>
      </c>
      <c r="AH733" s="499">
        <f t="shared" ca="1" si="177"/>
        <v>0.22470000000000001</v>
      </c>
      <c r="AJ733" s="501">
        <v>176.95</v>
      </c>
      <c r="AL733" s="527"/>
      <c r="AM733" s="381">
        <f t="shared" ca="1" si="159"/>
        <v>0</v>
      </c>
      <c r="AN733" s="566">
        <f t="shared" ca="1" si="178"/>
        <v>0</v>
      </c>
    </row>
    <row r="734" spans="1:40" x14ac:dyDescent="0.2">
      <c r="A734">
        <f t="shared" si="175"/>
        <v>3</v>
      </c>
      <c r="B734">
        <f t="shared" ca="1" si="146"/>
        <v>3</v>
      </c>
      <c r="C734">
        <f t="shared" ca="1" si="147"/>
        <v>3</v>
      </c>
      <c r="D734">
        <f t="shared" ca="1" si="148"/>
        <v>6</v>
      </c>
      <c r="E734">
        <f ca="1">IF($C734=1,OFFSET(E734,-1,0)+MAX(1,COUNTIF(QCI!$A$13:$A$24,OFFSET(ORÇAMENTO!E734,-1,0))),OFFSET(E734,-1,0))</f>
        <v>1</v>
      </c>
      <c r="F734">
        <f t="shared" ca="1" si="149"/>
        <v>24</v>
      </c>
      <c r="G734">
        <f t="shared" ca="1" si="150"/>
        <v>7</v>
      </c>
      <c r="H734">
        <f t="shared" ca="1" si="151"/>
        <v>0</v>
      </c>
      <c r="I734">
        <f t="shared" ca="1" si="152"/>
        <v>0</v>
      </c>
      <c r="J734">
        <f t="shared" ca="1" si="181"/>
        <v>13</v>
      </c>
      <c r="K734">
        <f ca="1">IF(OR($C734="S",$C734=0),0,MATCH(OFFSET($D734,0,$C734)+IF($C734&lt;&gt;1,1,COUNTIF(QCI!$A$13:$A$24,ORÇAMENTO!E734)),OFFSET($D734,1,$C734,ROW($C$747)-ROW($C734)),0))</f>
        <v>6</v>
      </c>
      <c r="L734" s="116" t="str">
        <f t="shared" ca="1" si="153"/>
        <v>F</v>
      </c>
      <c r="M734" s="117" t="s">
        <v>197</v>
      </c>
      <c r="N734" s="118" t="str">
        <f t="shared" ca="1" si="154"/>
        <v>Nível 3</v>
      </c>
      <c r="O734" s="119" t="str">
        <f t="shared" ca="1" si="155"/>
        <v>1.24.7.</v>
      </c>
      <c r="P734" s="120" t="s">
        <v>247</v>
      </c>
      <c r="Q734" s="121"/>
      <c r="R734" s="122" t="str">
        <f ca="1">IF($C734="S",REFERENCIA.Descricao,"REVESTIMENTO")</f>
        <v>REVESTIMENTO</v>
      </c>
      <c r="S734" s="123" t="str">
        <f ca="1">REFERENCIA.Unidade</f>
        <v>-</v>
      </c>
      <c r="T734" s="124">
        <f ca="1">OFFSET(CÁLCULO!H$15,ROW($T734)-ROW(T$15),0)</f>
        <v>0</v>
      </c>
      <c r="U734" s="125">
        <f t="shared" ca="1" si="182"/>
        <v>0</v>
      </c>
      <c r="V734" s="126" t="s">
        <v>156</v>
      </c>
      <c r="W734" s="124">
        <f ca="1">IF($C734="S",ROUND(IF(TIPOORCAMENTO="Proposto",ORÇAMENTO.CustoUnitario*(1+$AH734),ORÇAMENTO.PrecoUnitarioLicitado),15-13*$AF$10),0)</f>
        <v>0</v>
      </c>
      <c r="X734" s="127">
        <f ca="1">IF($C734="S",IF(Import.TipoArredondamento&lt;&gt;"TransfereGOV",VTOTAL1,SUM(OFFSET(CÁLCULO!$AA$15,ROW($X734)-ROW($X$15),1):OFFSET(CÁLCULO!$AL$15,ROW($X734)-ROW($X$15),-1))),IF($C734=0,0,ROUND(SomaAgrup,15-13*$AF$11)))</f>
        <v>0</v>
      </c>
      <c r="Y734" s="128" t="s">
        <v>245</v>
      </c>
      <c r="Z734" t="str">
        <f t="shared" ca="1" si="156"/>
        <v/>
      </c>
      <c r="AA734" s="129">
        <f ca="1">IF($C734="S",IF($Z734="CP",$X734,IF($Z734="RA",(($X734)*QCI!$AA$3),0)),SomaAgrup)</f>
        <v>0</v>
      </c>
      <c r="AB734" s="130">
        <f t="shared" ca="1" si="176"/>
        <v>0</v>
      </c>
      <c r="AC734" s="131" t="str">
        <f ca="1">IF($N734="","",IF(ORÇAMENTO.Descricao="","DESCRIÇÃO",IF(AND($C734="S",ORÇAMENTO.Unidade=""),"UNIDADE",IF($X734&lt;0,"VALOR NEGATIVO",IF(OR(AND(TIPOORCAMENTO="Proposto",$AG734&lt;&gt;"",$AG734&gt;0,ORÇAMENTO.CustoUnitario&gt;$AG734),AND(TIPOORCAMENTO="LICITADO",ORÇAMENTO.PrecoUnitarioLicitado&gt;$AN734)),"ACIMA REF.","")))))</f>
        <v/>
      </c>
      <c r="AD734" t="str">
        <f ca="1">IF(C734&lt;=CRONO.NivelExibicao,MAX($AD$15:OFFSET(AD734,-1,0))+IF($C734&lt;&gt;1,1,MAX(1,COUNTIF(QCI!$A$13:$A$24,OFFSET($E734,-1,0)))),"")</f>
        <v/>
      </c>
      <c r="AE734" s="7" t="b">
        <f ca="1">IF(AND($C734="S",ORÇAMENTO.CodBarra&lt;&gt;""),IF(ORÇAMENTO.Fonte="",ORÇAMENTO.CodBarra,CONCATENATE(ORÇAMENTO.Fonte," ",ORÇAMENTO.CodBarra)))</f>
        <v>0</v>
      </c>
      <c r="AF734" s="13" t="str">
        <f ca="1">IF(ISERROR(INDIRECT(ORÇAMENTO.BancoRef)),"(abra o arquivo 'Referência "&amp;Excel_BuiltIn_Database&amp;".xlsm)",IF(OR($C734&lt;&gt;"S",ORÇAMENTO.CodBarra=""),"(Sem Código)",IF(ISERROR(MATCH($AE734,INDIRECT(ORÇAMENTO.BancoRef),0)),"(Código não identificado nas referências)",MATCH($AE734,INDIRECT(ORÇAMENTO.BancoRef),0))))</f>
        <v>(abra o arquivo 'Referência 02-2025.xlsm)</v>
      </c>
      <c r="AG734" s="498">
        <f ca="1">ROUND(IF(DESONERACAO="sim",REFERENCIA.Desonerado,REFERENCIA.NaoDesonerado),2)</f>
        <v>0</v>
      </c>
      <c r="AH734" s="499">
        <f t="shared" ca="1" si="177"/>
        <v>0.22470000000000001</v>
      </c>
      <c r="AJ734" s="501"/>
      <c r="AL734" s="527"/>
      <c r="AM734" s="381">
        <f t="shared" ca="1" si="159"/>
        <v>0</v>
      </c>
      <c r="AN734" s="566">
        <f t="shared" ca="1" si="178"/>
        <v>0</v>
      </c>
    </row>
    <row r="735" spans="1:40" ht="38.25" x14ac:dyDescent="0.2">
      <c r="A735" t="str">
        <f t="shared" si="175"/>
        <v>S</v>
      </c>
      <c r="B735">
        <f t="shared" ca="1" si="146"/>
        <v>3</v>
      </c>
      <c r="C735" t="str">
        <f t="shared" ca="1" si="147"/>
        <v>S</v>
      </c>
      <c r="D735">
        <f t="shared" ca="1" si="148"/>
        <v>0</v>
      </c>
      <c r="E735">
        <f ca="1">IF($C735=1,OFFSET(E735,-1,0)+MAX(1,COUNTIF(QCI!$A$13:$A$24,OFFSET(ORÇAMENTO!E735,-1,0))),OFFSET(E735,-1,0))</f>
        <v>1</v>
      </c>
      <c r="F735">
        <f t="shared" ca="1" si="149"/>
        <v>24</v>
      </c>
      <c r="G735">
        <f t="shared" ca="1" si="150"/>
        <v>7</v>
      </c>
      <c r="H735">
        <f t="shared" ca="1" si="151"/>
        <v>0</v>
      </c>
      <c r="I735">
        <f t="shared" ca="1" si="152"/>
        <v>0</v>
      </c>
      <c r="J735">
        <f t="shared" ca="1" si="181"/>
        <v>0</v>
      </c>
      <c r="K735">
        <f ca="1">IF(OR($C735="S",$C735=0),0,MATCH(OFFSET($D735,0,$C735)+IF($C735&lt;&gt;1,1,COUNTIF(QCI!$A$13:$A$24,ORÇAMENTO!E735)),OFFSET($D735,1,$C735,ROW($C$747)-ROW($C735)),0))</f>
        <v>0</v>
      </c>
      <c r="L735" s="116" t="str">
        <f t="shared" ca="1" si="153"/>
        <v/>
      </c>
      <c r="M735" s="117" t="s">
        <v>199</v>
      </c>
      <c r="N735" s="118" t="str">
        <f t="shared" ca="1" si="154"/>
        <v>Serviço</v>
      </c>
      <c r="O735" s="119" t="str">
        <f t="shared" ca="1" si="155"/>
        <v>-</v>
      </c>
      <c r="P735" s="120" t="s">
        <v>712</v>
      </c>
      <c r="Q735" s="121" t="s">
        <v>775</v>
      </c>
      <c r="R735" s="122" t="str">
        <f ca="1">IF($C735="S",REFERENCIA.Descricao,"(digite a descrição aqui)")</f>
        <v>(abra o arquivo 'Referência 02-2025.xlsm)</v>
      </c>
      <c r="S735" s="123" t="str">
        <f ca="1">REFERENCIA.Unidade</f>
        <v>-</v>
      </c>
      <c r="T735" s="124">
        <f ca="1">OFFSET(CÁLCULO!H$15,ROW($T735)-ROW(T$15),0)</f>
        <v>374.87</v>
      </c>
      <c r="U735" s="125">
        <f t="shared" ca="1" si="182"/>
        <v>0</v>
      </c>
      <c r="V735" s="126" t="s">
        <v>156</v>
      </c>
      <c r="W735" s="124">
        <f ca="1">IF($C735="S",ROUND(IF(TIPOORCAMENTO="Proposto",ORÇAMENTO.CustoUnitario*(1+$AH735),ORÇAMENTO.PrecoUnitarioLicitado),15-13*$AF$10),0)</f>
        <v>0</v>
      </c>
      <c r="X735" s="127">
        <f ca="1">IF($C735="S",IF(Import.TipoArredondamento&lt;&gt;"TransfereGOV",VTOTAL1,SUM(OFFSET(CÁLCULO!$AA$15,ROW($X735)-ROW($X$15),1):OFFSET(CÁLCULO!$AL$15,ROW($X735)-ROW($X$15),-1))),IF($C735=0,0,ROUND(SomaAgrup,15-13*$AF$11)))</f>
        <v>0</v>
      </c>
      <c r="Y735" s="128" t="s">
        <v>245</v>
      </c>
      <c r="Z735" t="str">
        <f t="shared" ca="1" si="156"/>
        <v/>
      </c>
      <c r="AA735" s="129">
        <f ca="1">IF($C735="S",IF($Z735="CP",$X735,IF($Z735="RA",(($X735)*QCI!$AA$3),0)),SomaAgrup)</f>
        <v>0</v>
      </c>
      <c r="AB735" s="130">
        <f t="shared" ca="1" si="176"/>
        <v>0</v>
      </c>
      <c r="AC735" s="131" t="str">
        <f ca="1">IF($N735="","",IF(ORÇAMENTO.Descricao="","DESCRIÇÃO",IF(AND($C735="S",ORÇAMENTO.Unidade=""),"UNIDADE",IF($X735&lt;0,"VALOR NEGATIVO",IF(OR(AND(TIPOORCAMENTO="Proposto",$AG735&lt;&gt;"",$AG735&gt;0,ORÇAMENTO.CustoUnitario&gt;$AG735),AND(TIPOORCAMENTO="LICITADO",ORÇAMENTO.PrecoUnitarioLicitado&gt;$AN735)),"ACIMA REF.","")))))</f>
        <v/>
      </c>
      <c r="AD735" t="str">
        <f ca="1">IF(C735&lt;=CRONO.NivelExibicao,MAX($AD$15:OFFSET(AD735,-1,0))+IF($C735&lt;&gt;1,1,MAX(1,COUNTIF(QCI!$A$13:$A$24,OFFSET($E735,-1,0)))),"")</f>
        <v/>
      </c>
      <c r="AE735" s="7" t="str">
        <f ca="1">IF(AND($C735="S",ORÇAMENTO.CodBarra&lt;&gt;""),IF(ORÇAMENTO.Fonte="",ORÇAMENTO.CodBarra,CONCATENATE(ORÇAMENTO.Fonte," ",ORÇAMENTO.CodBarra)))</f>
        <v xml:space="preserve">Composição FNDE 176 </v>
      </c>
      <c r="AF735" s="13" t="str">
        <f ca="1">IF(ISERROR(INDIRECT(ORÇAMENTO.BancoRef)),"(abra o arquivo 'Referência "&amp;Excel_BuiltIn_Database&amp;".xlsm)",IF(OR($C735&lt;&gt;"S",ORÇAMENTO.CodBarra=""),"(Sem Código)",IF(ISERROR(MATCH($AE735,INDIRECT(ORÇAMENTO.BancoRef),0)),"(Código não identificado nas referências)",MATCH($AE735,INDIRECT(ORÇAMENTO.BancoRef),0))))</f>
        <v>(abra o arquivo 'Referência 02-2025.xlsm)</v>
      </c>
      <c r="AG735" s="498">
        <f ca="1">ROUND(IF(DESONERACAO="sim",REFERENCIA.Desonerado,REFERENCIA.NaoDesonerado),2)</f>
        <v>0</v>
      </c>
      <c r="AH735" s="499">
        <f t="shared" ca="1" si="177"/>
        <v>0.22470000000000001</v>
      </c>
      <c r="AJ735" s="501">
        <v>374.87</v>
      </c>
      <c r="AL735" s="527"/>
      <c r="AM735" s="381">
        <f t="shared" ca="1" si="159"/>
        <v>0</v>
      </c>
      <c r="AN735" s="566">
        <f t="shared" ca="1" si="178"/>
        <v>0</v>
      </c>
    </row>
    <row r="736" spans="1:40" ht="38.25" x14ac:dyDescent="0.2">
      <c r="A736" t="str">
        <f t="shared" si="175"/>
        <v>S</v>
      </c>
      <c r="B736">
        <f t="shared" ca="1" si="146"/>
        <v>3</v>
      </c>
      <c r="C736" t="str">
        <f t="shared" ca="1" si="147"/>
        <v>S</v>
      </c>
      <c r="D736">
        <f t="shared" ca="1" si="148"/>
        <v>0</v>
      </c>
      <c r="E736">
        <f ca="1">IF($C736=1,OFFSET(E736,-1,0)+MAX(1,COUNTIF(QCI!$A$13:$A$24,OFFSET(ORÇAMENTO!E736,-1,0))),OFFSET(E736,-1,0))</f>
        <v>1</v>
      </c>
      <c r="F736">
        <f t="shared" ca="1" si="149"/>
        <v>24</v>
      </c>
      <c r="G736">
        <f t="shared" ca="1" si="150"/>
        <v>7</v>
      </c>
      <c r="H736">
        <f t="shared" ca="1" si="151"/>
        <v>0</v>
      </c>
      <c r="I736">
        <f t="shared" ca="1" si="152"/>
        <v>0</v>
      </c>
      <c r="J736">
        <f t="shared" ca="1" si="181"/>
        <v>0</v>
      </c>
      <c r="K736">
        <f ca="1">IF(OR($C736="S",$C736=0),0,MATCH(OFFSET($D736,0,$C736)+IF($C736&lt;&gt;1,1,COUNTIF(QCI!$A$13:$A$24,ORÇAMENTO!E736)),OFFSET($D736,1,$C736,ROW($C$747)-ROW($C736)),0))</f>
        <v>0</v>
      </c>
      <c r="L736" s="116" t="str">
        <f t="shared" ca="1" si="153"/>
        <v/>
      </c>
      <c r="M736" s="117" t="s">
        <v>199</v>
      </c>
      <c r="N736" s="118" t="str">
        <f t="shared" ca="1" si="154"/>
        <v>Serviço</v>
      </c>
      <c r="O736" s="119" t="str">
        <f t="shared" ca="1" si="155"/>
        <v>-</v>
      </c>
      <c r="P736" s="120" t="s">
        <v>712</v>
      </c>
      <c r="Q736" s="121" t="s">
        <v>774</v>
      </c>
      <c r="R736" s="122" t="str">
        <f ca="1">IF($C736="S",REFERENCIA.Descricao,"(digite a descrição aqui)")</f>
        <v>(abra o arquivo 'Referência 02-2025.xlsm)</v>
      </c>
      <c r="S736" s="123" t="str">
        <f ca="1">REFERENCIA.Unidade</f>
        <v>-</v>
      </c>
      <c r="T736" s="124">
        <f ca="1">OFFSET(CÁLCULO!H$15,ROW($T736)-ROW(T$15),0)</f>
        <v>374.87</v>
      </c>
      <c r="U736" s="125">
        <f t="shared" ca="1" si="182"/>
        <v>0</v>
      </c>
      <c r="V736" s="126" t="s">
        <v>156</v>
      </c>
      <c r="W736" s="124">
        <f ca="1">IF($C736="S",ROUND(IF(TIPOORCAMENTO="Proposto",ORÇAMENTO.CustoUnitario*(1+$AH736),ORÇAMENTO.PrecoUnitarioLicitado),15-13*$AF$10),0)</f>
        <v>0</v>
      </c>
      <c r="X736" s="127">
        <f ca="1">IF($C736="S",IF(Import.TipoArredondamento&lt;&gt;"TransfereGOV",VTOTAL1,SUM(OFFSET(CÁLCULO!$AA$15,ROW($X736)-ROW($X$15),1):OFFSET(CÁLCULO!$AL$15,ROW($X736)-ROW($X$15),-1))),IF($C736=0,0,ROUND(SomaAgrup,15-13*$AF$11)))</f>
        <v>0</v>
      </c>
      <c r="Y736" s="128" t="s">
        <v>245</v>
      </c>
      <c r="Z736" t="str">
        <f t="shared" ca="1" si="156"/>
        <v/>
      </c>
      <c r="AA736" s="129">
        <f ca="1">IF($C736="S",IF($Z736="CP",$X736,IF($Z736="RA",(($X736)*QCI!$AA$3),0)),SomaAgrup)</f>
        <v>0</v>
      </c>
      <c r="AB736" s="130">
        <f t="shared" ca="1" si="176"/>
        <v>0</v>
      </c>
      <c r="AC736" s="131" t="str">
        <f ca="1">IF($N736="","",IF(ORÇAMENTO.Descricao="","DESCRIÇÃO",IF(AND($C736="S",ORÇAMENTO.Unidade=""),"UNIDADE",IF($X736&lt;0,"VALOR NEGATIVO",IF(OR(AND(TIPOORCAMENTO="Proposto",$AG736&lt;&gt;"",$AG736&gt;0,ORÇAMENTO.CustoUnitario&gt;$AG736),AND(TIPOORCAMENTO="LICITADO",ORÇAMENTO.PrecoUnitarioLicitado&gt;$AN736)),"ACIMA REF.","")))))</f>
        <v/>
      </c>
      <c r="AD736" t="str">
        <f ca="1">IF(C736&lt;=CRONO.NivelExibicao,MAX($AD$15:OFFSET(AD736,-1,0))+IF($C736&lt;&gt;1,1,MAX(1,COUNTIF(QCI!$A$13:$A$24,OFFSET($E736,-1,0)))),"")</f>
        <v/>
      </c>
      <c r="AE736" s="7" t="str">
        <f ca="1">IF(AND($C736="S",ORÇAMENTO.CodBarra&lt;&gt;""),IF(ORÇAMENTO.Fonte="",ORÇAMENTO.CodBarra,CONCATENATE(ORÇAMENTO.Fonte," ",ORÇAMENTO.CodBarra)))</f>
        <v xml:space="preserve">Composição FNDE 177 </v>
      </c>
      <c r="AF736" s="13" t="str">
        <f ca="1">IF(ISERROR(INDIRECT(ORÇAMENTO.BancoRef)),"(abra o arquivo 'Referência "&amp;Excel_BuiltIn_Database&amp;".xlsm)",IF(OR($C736&lt;&gt;"S",ORÇAMENTO.CodBarra=""),"(Sem Código)",IF(ISERROR(MATCH($AE736,INDIRECT(ORÇAMENTO.BancoRef),0)),"(Código não identificado nas referências)",MATCH($AE736,INDIRECT(ORÇAMENTO.BancoRef),0))))</f>
        <v>(abra o arquivo 'Referência 02-2025.xlsm)</v>
      </c>
      <c r="AG736" s="498">
        <f ca="1">ROUND(IF(DESONERACAO="sim",REFERENCIA.Desonerado,REFERENCIA.NaoDesonerado),2)</f>
        <v>0</v>
      </c>
      <c r="AH736" s="499">
        <f t="shared" ca="1" si="177"/>
        <v>0.22470000000000001</v>
      </c>
      <c r="AJ736" s="501">
        <v>374.87</v>
      </c>
      <c r="AL736" s="527"/>
      <c r="AM736" s="381">
        <f t="shared" ca="1" si="159"/>
        <v>0</v>
      </c>
      <c r="AN736" s="566">
        <f t="shared" ca="1" si="178"/>
        <v>0</v>
      </c>
    </row>
    <row r="737" spans="1:40" ht="51" x14ac:dyDescent="0.2">
      <c r="A737" t="str">
        <f t="shared" si="175"/>
        <v>S</v>
      </c>
      <c r="B737">
        <f t="shared" ca="1" si="146"/>
        <v>3</v>
      </c>
      <c r="C737" t="str">
        <f t="shared" ca="1" si="147"/>
        <v>S</v>
      </c>
      <c r="D737">
        <f t="shared" ca="1" si="148"/>
        <v>0</v>
      </c>
      <c r="E737">
        <f ca="1">IF($C737=1,OFFSET(E737,-1,0)+MAX(1,COUNTIF(QCI!$A$13:$A$24,OFFSET(ORÇAMENTO!E737,-1,0))),OFFSET(E737,-1,0))</f>
        <v>1</v>
      </c>
      <c r="F737">
        <f t="shared" ca="1" si="149"/>
        <v>24</v>
      </c>
      <c r="G737">
        <f t="shared" ca="1" si="150"/>
        <v>7</v>
      </c>
      <c r="H737">
        <f t="shared" ca="1" si="151"/>
        <v>0</v>
      </c>
      <c r="I737">
        <f t="shared" ca="1" si="152"/>
        <v>0</v>
      </c>
      <c r="J737">
        <f t="shared" ca="1" si="181"/>
        <v>0</v>
      </c>
      <c r="K737">
        <f ca="1">IF(OR($C737="S",$C737=0),0,MATCH(OFFSET($D737,0,$C737)+IF($C737&lt;&gt;1,1,COUNTIF(QCI!$A$13:$A$24,ORÇAMENTO!E737)),OFFSET($D737,1,$C737,ROW($C$747)-ROW($C737)),0))</f>
        <v>0</v>
      </c>
      <c r="L737" s="116" t="str">
        <f t="shared" ca="1" si="153"/>
        <v/>
      </c>
      <c r="M737" s="117" t="s">
        <v>199</v>
      </c>
      <c r="N737" s="118" t="str">
        <f t="shared" ca="1" si="154"/>
        <v>Serviço</v>
      </c>
      <c r="O737" s="119" t="str">
        <f t="shared" ca="1" si="155"/>
        <v>-</v>
      </c>
      <c r="P737" s="120" t="s">
        <v>712</v>
      </c>
      <c r="Q737" s="121" t="s">
        <v>873</v>
      </c>
      <c r="R737" s="122" t="str">
        <f ca="1">IF($C737="S",REFERENCIA.Descricao,"(digite a descrição aqui)")</f>
        <v>(abra o arquivo 'Referência 02-2025.xlsm)</v>
      </c>
      <c r="S737" s="123" t="str">
        <f ca="1">REFERENCIA.Unidade</f>
        <v>-</v>
      </c>
      <c r="T737" s="124">
        <f ca="1">OFFSET(CÁLCULO!H$15,ROW($T737)-ROW(T$15),0)</f>
        <v>374.87</v>
      </c>
      <c r="U737" s="125">
        <f t="shared" ca="1" si="182"/>
        <v>0</v>
      </c>
      <c r="V737" s="126" t="s">
        <v>156</v>
      </c>
      <c r="W737" s="124">
        <f ca="1">IF($C737="S",ROUND(IF(TIPOORCAMENTO="Proposto",ORÇAMENTO.CustoUnitario*(1+$AH737),ORÇAMENTO.PrecoUnitarioLicitado),15-13*$AF$10),0)</f>
        <v>0</v>
      </c>
      <c r="X737" s="127">
        <f ca="1">IF($C737="S",IF(Import.TipoArredondamento&lt;&gt;"TransfereGOV",VTOTAL1,SUM(OFFSET(CÁLCULO!$AA$15,ROW($X737)-ROW($X$15),1):OFFSET(CÁLCULO!$AL$15,ROW($X737)-ROW($X$15),-1))),IF($C737=0,0,ROUND(SomaAgrup,15-13*$AF$11)))</f>
        <v>0</v>
      </c>
      <c r="Y737" s="128" t="s">
        <v>245</v>
      </c>
      <c r="Z737" t="str">
        <f t="shared" ca="1" si="156"/>
        <v/>
      </c>
      <c r="AA737" s="129">
        <f ca="1">IF($C737="S",IF($Z737="CP",$X737,IF($Z737="RA",(($X737)*QCI!$AA$3),0)),SomaAgrup)</f>
        <v>0</v>
      </c>
      <c r="AB737" s="130">
        <f t="shared" ca="1" si="176"/>
        <v>0</v>
      </c>
      <c r="AC737" s="131" t="str">
        <f ca="1">IF($N737="","",IF(ORÇAMENTO.Descricao="","DESCRIÇÃO",IF(AND($C737="S",ORÇAMENTO.Unidade=""),"UNIDADE",IF($X737&lt;0,"VALOR NEGATIVO",IF(OR(AND(TIPOORCAMENTO="Proposto",$AG737&lt;&gt;"",$AG737&gt;0,ORÇAMENTO.CustoUnitario&gt;$AG737),AND(TIPOORCAMENTO="LICITADO",ORÇAMENTO.PrecoUnitarioLicitado&gt;$AN737)),"ACIMA REF.","")))))</f>
        <v/>
      </c>
      <c r="AD737" t="str">
        <f ca="1">IF(C737&lt;=CRONO.NivelExibicao,MAX($AD$15:OFFSET(AD737,-1,0))+IF($C737&lt;&gt;1,1,MAX(1,COUNTIF(QCI!$A$13:$A$24,OFFSET($E737,-1,0)))),"")</f>
        <v/>
      </c>
      <c r="AE737" s="7" t="str">
        <f ca="1">IF(AND($C737="S",ORÇAMENTO.CodBarra&lt;&gt;""),IF(ORÇAMENTO.Fonte="",ORÇAMENTO.CodBarra,CONCATENATE(ORÇAMENTO.Fonte," ",ORÇAMENTO.CodBarra)))</f>
        <v xml:space="preserve">Composição FNDE 178 </v>
      </c>
      <c r="AF737" s="13" t="str">
        <f ca="1">IF(ISERROR(INDIRECT(ORÇAMENTO.BancoRef)),"(abra o arquivo 'Referência "&amp;Excel_BuiltIn_Database&amp;".xlsm)",IF(OR($C737&lt;&gt;"S",ORÇAMENTO.CodBarra=""),"(Sem Código)",IF(ISERROR(MATCH($AE737,INDIRECT(ORÇAMENTO.BancoRef),0)),"(Código não identificado nas referências)",MATCH($AE737,INDIRECT(ORÇAMENTO.BancoRef),0))))</f>
        <v>(abra o arquivo 'Referência 02-2025.xlsm)</v>
      </c>
      <c r="AG737" s="498">
        <f ca="1">ROUND(IF(DESONERACAO="sim",REFERENCIA.Desonerado,REFERENCIA.NaoDesonerado),2)</f>
        <v>0</v>
      </c>
      <c r="AH737" s="499">
        <f t="shared" ca="1" si="177"/>
        <v>0.22470000000000001</v>
      </c>
      <c r="AJ737" s="501">
        <v>374.87</v>
      </c>
      <c r="AL737" s="527"/>
      <c r="AM737" s="381">
        <f t="shared" ca="1" si="159"/>
        <v>0</v>
      </c>
      <c r="AN737" s="566">
        <f t="shared" ca="1" si="178"/>
        <v>0</v>
      </c>
    </row>
    <row r="738" spans="1:40" ht="51" x14ac:dyDescent="0.2">
      <c r="A738" t="str">
        <f t="shared" si="175"/>
        <v>S</v>
      </c>
      <c r="B738">
        <f t="shared" ca="1" si="146"/>
        <v>3</v>
      </c>
      <c r="C738" t="str">
        <f t="shared" ca="1" si="147"/>
        <v>S</v>
      </c>
      <c r="D738">
        <f t="shared" ca="1" si="148"/>
        <v>0</v>
      </c>
      <c r="E738">
        <f ca="1">IF($C738=1,OFFSET(E738,-1,0)+MAX(1,COUNTIF(QCI!$A$13:$A$24,OFFSET(ORÇAMENTO!E738,-1,0))),OFFSET(E738,-1,0))</f>
        <v>1</v>
      </c>
      <c r="F738">
        <f t="shared" ca="1" si="149"/>
        <v>24</v>
      </c>
      <c r="G738">
        <f t="shared" ca="1" si="150"/>
        <v>7</v>
      </c>
      <c r="H738">
        <f t="shared" ca="1" si="151"/>
        <v>0</v>
      </c>
      <c r="I738">
        <f t="shared" ca="1" si="152"/>
        <v>0</v>
      </c>
      <c r="J738">
        <f t="shared" ca="1" si="181"/>
        <v>0</v>
      </c>
      <c r="K738">
        <f ca="1">IF(OR($C738="S",$C738=0),0,MATCH(OFFSET($D738,0,$C738)+IF($C738&lt;&gt;1,1,COUNTIF(QCI!$A$13:$A$24,ORÇAMENTO!E738)),OFFSET($D738,1,$C738,ROW($C$747)-ROW($C738)),0))</f>
        <v>0</v>
      </c>
      <c r="L738" s="116" t="str">
        <f t="shared" ca="1" si="153"/>
        <v/>
      </c>
      <c r="M738" s="117" t="s">
        <v>199</v>
      </c>
      <c r="N738" s="118" t="str">
        <f t="shared" ca="1" si="154"/>
        <v>Serviço</v>
      </c>
      <c r="O738" s="119" t="str">
        <f t="shared" ca="1" si="155"/>
        <v>-</v>
      </c>
      <c r="P738" s="120" t="s">
        <v>712</v>
      </c>
      <c r="Q738" s="121" t="s">
        <v>874</v>
      </c>
      <c r="R738" s="122" t="str">
        <f ca="1">IF($C738="S",REFERENCIA.Descricao,"(digite a descrição aqui)")</f>
        <v>(abra o arquivo 'Referência 02-2025.xlsm)</v>
      </c>
      <c r="S738" s="123" t="str">
        <f ca="1">REFERENCIA.Unidade</f>
        <v>-</v>
      </c>
      <c r="T738" s="124">
        <f ca="1">OFFSET(CÁLCULO!H$15,ROW($T738)-ROW(T$15),0)</f>
        <v>374.87</v>
      </c>
      <c r="U738" s="125">
        <f t="shared" ca="1" si="182"/>
        <v>0</v>
      </c>
      <c r="V738" s="126" t="s">
        <v>156</v>
      </c>
      <c r="W738" s="124">
        <f ca="1">IF($C738="S",ROUND(IF(TIPOORCAMENTO="Proposto",ORÇAMENTO.CustoUnitario*(1+$AH738),ORÇAMENTO.PrecoUnitarioLicitado),15-13*$AF$10),0)</f>
        <v>0</v>
      </c>
      <c r="X738" s="127">
        <f ca="1">IF($C738="S",IF(Import.TipoArredondamento&lt;&gt;"TransfereGOV",VTOTAL1,SUM(OFFSET(CÁLCULO!$AA$15,ROW($X738)-ROW($X$15),1):OFFSET(CÁLCULO!$AL$15,ROW($X738)-ROW($X$15),-1))),IF($C738=0,0,ROUND(SomaAgrup,15-13*$AF$11)))</f>
        <v>0</v>
      </c>
      <c r="Y738" s="128" t="s">
        <v>245</v>
      </c>
      <c r="Z738" t="str">
        <f t="shared" ca="1" si="156"/>
        <v/>
      </c>
      <c r="AA738" s="129">
        <f ca="1">IF($C738="S",IF($Z738="CP",$X738,IF($Z738="RA",(($X738)*QCI!$AA$3),0)),SomaAgrup)</f>
        <v>0</v>
      </c>
      <c r="AB738" s="130">
        <f t="shared" ca="1" si="176"/>
        <v>0</v>
      </c>
      <c r="AC738" s="131" t="str">
        <f ca="1">IF($N738="","",IF(ORÇAMENTO.Descricao="","DESCRIÇÃO",IF(AND($C738="S",ORÇAMENTO.Unidade=""),"UNIDADE",IF($X738&lt;0,"VALOR NEGATIVO",IF(OR(AND(TIPOORCAMENTO="Proposto",$AG738&lt;&gt;"",$AG738&gt;0,ORÇAMENTO.CustoUnitario&gt;$AG738),AND(TIPOORCAMENTO="LICITADO",ORÇAMENTO.PrecoUnitarioLicitado&gt;$AN738)),"ACIMA REF.","")))))</f>
        <v/>
      </c>
      <c r="AD738" t="str">
        <f ca="1">IF(C738&lt;=CRONO.NivelExibicao,MAX($AD$15:OFFSET(AD738,-1,0))+IF($C738&lt;&gt;1,1,MAX(1,COUNTIF(QCI!$A$13:$A$24,OFFSET($E738,-1,0)))),"")</f>
        <v/>
      </c>
      <c r="AE738" s="7" t="str">
        <f ca="1">IF(AND($C738="S",ORÇAMENTO.CodBarra&lt;&gt;""),IF(ORÇAMENTO.Fonte="",ORÇAMENTO.CodBarra,CONCATENATE(ORÇAMENTO.Fonte," ",ORÇAMENTO.CodBarra)))</f>
        <v xml:space="preserve">Composição FNDE 179 </v>
      </c>
      <c r="AF738" s="13" t="str">
        <f ca="1">IF(ISERROR(INDIRECT(ORÇAMENTO.BancoRef)),"(abra o arquivo 'Referência "&amp;Excel_BuiltIn_Database&amp;".xlsm)",IF(OR($C738&lt;&gt;"S",ORÇAMENTO.CodBarra=""),"(Sem Código)",IF(ISERROR(MATCH($AE738,INDIRECT(ORÇAMENTO.BancoRef),0)),"(Código não identificado nas referências)",MATCH($AE738,INDIRECT(ORÇAMENTO.BancoRef),0))))</f>
        <v>(abra o arquivo 'Referência 02-2025.xlsm)</v>
      </c>
      <c r="AG738" s="498">
        <f ca="1">ROUND(IF(DESONERACAO="sim",REFERENCIA.Desonerado,REFERENCIA.NaoDesonerado),2)</f>
        <v>0</v>
      </c>
      <c r="AH738" s="499">
        <f t="shared" ca="1" si="177"/>
        <v>0.22470000000000001</v>
      </c>
      <c r="AJ738" s="501">
        <v>374.87</v>
      </c>
      <c r="AL738" s="527"/>
      <c r="AM738" s="381">
        <f t="shared" ca="1" si="159"/>
        <v>0</v>
      </c>
      <c r="AN738" s="566">
        <f t="shared" ca="1" si="178"/>
        <v>0</v>
      </c>
    </row>
    <row r="739" spans="1:40" x14ac:dyDescent="0.2">
      <c r="A739" t="str">
        <f t="shared" si="175"/>
        <v>S</v>
      </c>
      <c r="B739">
        <f t="shared" ca="1" si="146"/>
        <v>3</v>
      </c>
      <c r="C739" t="str">
        <f t="shared" ca="1" si="147"/>
        <v>S</v>
      </c>
      <c r="D739">
        <f t="shared" ca="1" si="148"/>
        <v>0</v>
      </c>
      <c r="E739">
        <f ca="1">IF($C739=1,OFFSET(E739,-1,0)+MAX(1,COUNTIF(QCI!$A$13:$A$24,OFFSET(ORÇAMENTO!E739,-1,0))),OFFSET(E739,-1,0))</f>
        <v>1</v>
      </c>
      <c r="F739">
        <f t="shared" ca="1" si="149"/>
        <v>24</v>
      </c>
      <c r="G739">
        <f t="shared" ca="1" si="150"/>
        <v>7</v>
      </c>
      <c r="H739">
        <f t="shared" ca="1" si="151"/>
        <v>0</v>
      </c>
      <c r="I739">
        <f t="shared" ca="1" si="152"/>
        <v>0</v>
      </c>
      <c r="J739">
        <f t="shared" ca="1" si="181"/>
        <v>0</v>
      </c>
      <c r="K739">
        <f ca="1">IF(OR($C739="S",$C739=0),0,MATCH(OFFSET($D739,0,$C739)+IF($C739&lt;&gt;1,1,COUNTIF(QCI!$A$13:$A$24,ORÇAMENTO!E739)),OFFSET($D739,1,$C739,ROW($C$747)-ROW($C739)),0))</f>
        <v>0</v>
      </c>
      <c r="L739" s="116" t="str">
        <f t="shared" ca="1" si="153"/>
        <v/>
      </c>
      <c r="M739" s="117" t="s">
        <v>199</v>
      </c>
      <c r="N739" s="118" t="str">
        <f t="shared" ca="1" si="154"/>
        <v>Serviço</v>
      </c>
      <c r="O739" s="119" t="str">
        <f t="shared" ca="1" si="155"/>
        <v>-</v>
      </c>
      <c r="P739" s="120" t="s">
        <v>247</v>
      </c>
      <c r="Q739" s="121" t="s">
        <v>490</v>
      </c>
      <c r="R739" s="122" t="str">
        <f ca="1">IF($C739="S",REFERENCIA.Descricao,"(digite a descrição aqui)")</f>
        <v>(abra o arquivo 'Referência 02-2025.xlsm)</v>
      </c>
      <c r="S739" s="123" t="str">
        <f ca="1">REFERENCIA.Unidade</f>
        <v>-</v>
      </c>
      <c r="T739" s="124">
        <f ca="1">OFFSET(CÁLCULO!H$15,ROW($T739)-ROW(T$15),0)</f>
        <v>110.1</v>
      </c>
      <c r="U739" s="125">
        <f t="shared" ca="1" si="182"/>
        <v>0</v>
      </c>
      <c r="V739" s="126" t="s">
        <v>156</v>
      </c>
      <c r="W739" s="124">
        <f ca="1">IF($C739="S",ROUND(IF(TIPOORCAMENTO="Proposto",ORÇAMENTO.CustoUnitario*(1+$AH739),ORÇAMENTO.PrecoUnitarioLicitado),15-13*$AF$10),0)</f>
        <v>0</v>
      </c>
      <c r="X739" s="127">
        <f ca="1">IF($C739="S",IF(Import.TipoArredondamento&lt;&gt;"TransfereGOV",VTOTAL1,SUM(OFFSET(CÁLCULO!$AA$15,ROW($X739)-ROW($X$15),1):OFFSET(CÁLCULO!$AL$15,ROW($X739)-ROW($X$15),-1))),IF($C739=0,0,ROUND(SomaAgrup,15-13*$AF$11)))</f>
        <v>0</v>
      </c>
      <c r="Y739" s="128" t="s">
        <v>245</v>
      </c>
      <c r="Z739" t="str">
        <f t="shared" ca="1" si="156"/>
        <v/>
      </c>
      <c r="AA739" s="129">
        <f ca="1">IF($C739="S",IF($Z739="CP",$X739,IF($Z739="RA",(($X739)*QCI!$AA$3),0)),SomaAgrup)</f>
        <v>0</v>
      </c>
      <c r="AB739" s="130">
        <f t="shared" ca="1" si="176"/>
        <v>0</v>
      </c>
      <c r="AC739" s="131" t="str">
        <f ca="1">IF($N739="","",IF(ORÇAMENTO.Descricao="","DESCRIÇÃO",IF(AND($C739="S",ORÇAMENTO.Unidade=""),"UNIDADE",IF($X739&lt;0,"VALOR NEGATIVO",IF(OR(AND(TIPOORCAMENTO="Proposto",$AG739&lt;&gt;"",$AG739&gt;0,ORÇAMENTO.CustoUnitario&gt;$AG739),AND(TIPOORCAMENTO="LICITADO",ORÇAMENTO.PrecoUnitarioLicitado&gt;$AN739)),"ACIMA REF.","")))))</f>
        <v/>
      </c>
      <c r="AD739" t="str">
        <f ca="1">IF(C739&lt;=CRONO.NivelExibicao,MAX($AD$15:OFFSET(AD739,-1,0))+IF($C739&lt;&gt;1,1,MAX(1,COUNTIF(QCI!$A$13:$A$24,OFFSET($E739,-1,0)))),"")</f>
        <v/>
      </c>
      <c r="AE739" s="7" t="str">
        <f ca="1">IF(AND($C739="S",ORÇAMENTO.CodBarra&lt;&gt;""),IF(ORÇAMENTO.Fonte="",ORÇAMENTO.CodBarra,CONCATENATE(ORÇAMENTO.Fonte," ",ORÇAMENTO.CodBarra)))</f>
        <v>SINAPI 101979</v>
      </c>
      <c r="AF739" s="13" t="str">
        <f ca="1">IF(ISERROR(INDIRECT(ORÇAMENTO.BancoRef)),"(abra o arquivo 'Referência "&amp;Excel_BuiltIn_Database&amp;".xlsm)",IF(OR($C739&lt;&gt;"S",ORÇAMENTO.CodBarra=""),"(Sem Código)",IF(ISERROR(MATCH($AE739,INDIRECT(ORÇAMENTO.BancoRef),0)),"(Código não identificado nas referências)",MATCH($AE739,INDIRECT(ORÇAMENTO.BancoRef),0))))</f>
        <v>(abra o arquivo 'Referência 02-2025.xlsm)</v>
      </c>
      <c r="AG739" s="498">
        <f ca="1">ROUND(IF(DESONERACAO="sim",REFERENCIA.Desonerado,REFERENCIA.NaoDesonerado),2)</f>
        <v>0</v>
      </c>
      <c r="AH739" s="499">
        <f t="shared" ca="1" si="177"/>
        <v>0.22470000000000001</v>
      </c>
      <c r="AJ739" s="501">
        <v>110.1</v>
      </c>
      <c r="AL739" s="527"/>
      <c r="AM739" s="381">
        <f t="shared" ca="1" si="159"/>
        <v>0</v>
      </c>
      <c r="AN739" s="566">
        <f t="shared" ca="1" si="178"/>
        <v>0</v>
      </c>
    </row>
    <row r="740" spans="1:40" x14ac:dyDescent="0.2">
      <c r="A740">
        <f t="shared" si="175"/>
        <v>3</v>
      </c>
      <c r="B740">
        <f t="shared" ca="1" si="146"/>
        <v>3</v>
      </c>
      <c r="C740">
        <f t="shared" ca="1" si="147"/>
        <v>3</v>
      </c>
      <c r="D740">
        <f t="shared" ca="1" si="148"/>
        <v>3</v>
      </c>
      <c r="E740">
        <f ca="1">IF($C740=1,OFFSET(E740,-1,0)+MAX(1,COUNTIF(QCI!$A$13:$A$24,OFFSET(ORÇAMENTO!E740,-1,0))),OFFSET(E740,-1,0))</f>
        <v>1</v>
      </c>
      <c r="F740">
        <f t="shared" ca="1" si="149"/>
        <v>24</v>
      </c>
      <c r="G740">
        <f t="shared" ca="1" si="150"/>
        <v>8</v>
      </c>
      <c r="H740">
        <f t="shared" ca="1" si="151"/>
        <v>0</v>
      </c>
      <c r="I740">
        <f t="shared" ca="1" si="152"/>
        <v>0</v>
      </c>
      <c r="J740">
        <f t="shared" ca="1" si="181"/>
        <v>7</v>
      </c>
      <c r="K740">
        <f ca="1">IF(OR($C740="S",$C740=0),0,MATCH(OFFSET($D740,0,$C740)+IF($C740&lt;&gt;1,1,COUNTIF(QCI!$A$13:$A$24,ORÇAMENTO!E740)),OFFSET($D740,1,$C740,ROW($C$747)-ROW($C740)),0))</f>
        <v>3</v>
      </c>
      <c r="L740" s="116" t="str">
        <f t="shared" ca="1" si="153"/>
        <v>F</v>
      </c>
      <c r="M740" s="117" t="s">
        <v>197</v>
      </c>
      <c r="N740" s="118" t="str">
        <f t="shared" ca="1" si="154"/>
        <v>Nível 3</v>
      </c>
      <c r="O740" s="119" t="str">
        <f t="shared" ca="1" si="155"/>
        <v>1.24.8.</v>
      </c>
      <c r="P740" s="120" t="s">
        <v>247</v>
      </c>
      <c r="Q740" s="121"/>
      <c r="R740" s="122" t="str">
        <f ca="1">IF($C740="S",REFERENCIA.Descricao,"PINTURA")</f>
        <v>PINTURA</v>
      </c>
      <c r="S740" s="123" t="str">
        <f ca="1">REFERENCIA.Unidade</f>
        <v>-</v>
      </c>
      <c r="T740" s="124">
        <f ca="1">OFFSET(CÁLCULO!H$15,ROW($T740)-ROW(T$15),0)</f>
        <v>0</v>
      </c>
      <c r="U740" s="125">
        <f t="shared" ca="1" si="182"/>
        <v>0</v>
      </c>
      <c r="V740" s="126" t="s">
        <v>156</v>
      </c>
      <c r="W740" s="124">
        <f ca="1">IF($C740="S",ROUND(IF(TIPOORCAMENTO="Proposto",ORÇAMENTO.CustoUnitario*(1+$AH740),ORÇAMENTO.PrecoUnitarioLicitado),15-13*$AF$10),0)</f>
        <v>0</v>
      </c>
      <c r="X740" s="127">
        <f ca="1">IF($C740="S",IF(Import.TipoArredondamento&lt;&gt;"TransfereGOV",VTOTAL1,SUM(OFFSET(CÁLCULO!$AA$15,ROW($X740)-ROW($X$15),1):OFFSET(CÁLCULO!$AL$15,ROW($X740)-ROW($X$15),-1))),IF($C740=0,0,ROUND(SomaAgrup,15-13*$AF$11)))</f>
        <v>0</v>
      </c>
      <c r="Y740" s="128" t="s">
        <v>245</v>
      </c>
      <c r="Z740" t="str">
        <f t="shared" ca="1" si="156"/>
        <v/>
      </c>
      <c r="AA740" s="129">
        <f ca="1">IF($C740="S",IF($Z740="CP",$X740,IF($Z740="RA",(($X740)*QCI!$AA$3),0)),SomaAgrup)</f>
        <v>0</v>
      </c>
      <c r="AB740" s="130">
        <f t="shared" ca="1" si="176"/>
        <v>0</v>
      </c>
      <c r="AC740" s="131" t="str">
        <f ca="1">IF($N740="","",IF(ORÇAMENTO.Descricao="","DESCRIÇÃO",IF(AND($C740="S",ORÇAMENTO.Unidade=""),"UNIDADE",IF($X740&lt;0,"VALOR NEGATIVO",IF(OR(AND(TIPOORCAMENTO="Proposto",$AG740&lt;&gt;"",$AG740&gt;0,ORÇAMENTO.CustoUnitario&gt;$AG740),AND(TIPOORCAMENTO="LICITADO",ORÇAMENTO.PrecoUnitarioLicitado&gt;$AN740)),"ACIMA REF.","")))))</f>
        <v/>
      </c>
      <c r="AD740" t="str">
        <f ca="1">IF(C740&lt;=CRONO.NivelExibicao,MAX($AD$15:OFFSET(AD740,-1,0))+IF($C740&lt;&gt;1,1,MAX(1,COUNTIF(QCI!$A$13:$A$24,OFFSET($E740,-1,0)))),"")</f>
        <v/>
      </c>
      <c r="AE740" s="7" t="b">
        <f ca="1">IF(AND($C740="S",ORÇAMENTO.CodBarra&lt;&gt;""),IF(ORÇAMENTO.Fonte="",ORÇAMENTO.CodBarra,CONCATENATE(ORÇAMENTO.Fonte," ",ORÇAMENTO.CodBarra)))</f>
        <v>0</v>
      </c>
      <c r="AF740" s="13" t="str">
        <f ca="1">IF(ISERROR(INDIRECT(ORÇAMENTO.BancoRef)),"(abra o arquivo 'Referência "&amp;Excel_BuiltIn_Database&amp;".xlsm)",IF(OR($C740&lt;&gt;"S",ORÇAMENTO.CodBarra=""),"(Sem Código)",IF(ISERROR(MATCH($AE740,INDIRECT(ORÇAMENTO.BancoRef),0)),"(Código não identificado nas referências)",MATCH($AE740,INDIRECT(ORÇAMENTO.BancoRef),0))))</f>
        <v>(abra o arquivo 'Referência 02-2025.xlsm)</v>
      </c>
      <c r="AG740" s="498">
        <f ca="1">ROUND(IF(DESONERACAO="sim",REFERENCIA.Desonerado,REFERENCIA.NaoDesonerado),2)</f>
        <v>0</v>
      </c>
      <c r="AH740" s="499">
        <f t="shared" ca="1" si="177"/>
        <v>0.22470000000000001</v>
      </c>
      <c r="AJ740" s="501"/>
      <c r="AL740" s="527"/>
      <c r="AM740" s="381">
        <f t="shared" ca="1" si="159"/>
        <v>0</v>
      </c>
      <c r="AN740" s="566">
        <f t="shared" ca="1" si="178"/>
        <v>0</v>
      </c>
    </row>
    <row r="741" spans="1:40" ht="25.5" x14ac:dyDescent="0.2">
      <c r="A741" t="str">
        <f t="shared" si="175"/>
        <v>S</v>
      </c>
      <c r="B741">
        <f t="shared" ca="1" si="146"/>
        <v>3</v>
      </c>
      <c r="C741" t="str">
        <f t="shared" ca="1" si="147"/>
        <v>S</v>
      </c>
      <c r="D741">
        <f t="shared" ca="1" si="148"/>
        <v>0</v>
      </c>
      <c r="E741">
        <f ca="1">IF($C741=1,OFFSET(E741,-1,0)+MAX(1,COUNTIF(QCI!$A$13:$A$24,OFFSET(ORÇAMENTO!E741,-1,0))),OFFSET(E741,-1,0))</f>
        <v>1</v>
      </c>
      <c r="F741">
        <f t="shared" ca="1" si="149"/>
        <v>24</v>
      </c>
      <c r="G741">
        <f t="shared" ca="1" si="150"/>
        <v>8</v>
      </c>
      <c r="H741">
        <f t="shared" ca="1" si="151"/>
        <v>0</v>
      </c>
      <c r="I741">
        <f t="shared" ca="1" si="152"/>
        <v>0</v>
      </c>
      <c r="J741">
        <f t="shared" ca="1" si="181"/>
        <v>0</v>
      </c>
      <c r="K741">
        <f ca="1">IF(OR($C741="S",$C741=0),0,MATCH(OFFSET($D741,0,$C741)+IF($C741&lt;&gt;1,1,COUNTIF(QCI!$A$13:$A$24,ORÇAMENTO!E741)),OFFSET($D741,1,$C741,ROW($C$747)-ROW($C741)),0))</f>
        <v>0</v>
      </c>
      <c r="L741" s="116" t="str">
        <f t="shared" ca="1" si="153"/>
        <v/>
      </c>
      <c r="M741" s="117" t="s">
        <v>199</v>
      </c>
      <c r="N741" s="118" t="str">
        <f t="shared" ca="1" si="154"/>
        <v>Serviço</v>
      </c>
      <c r="O741" s="119" t="str">
        <f t="shared" ca="1" si="155"/>
        <v>-</v>
      </c>
      <c r="P741" s="120" t="s">
        <v>712</v>
      </c>
      <c r="Q741" s="121" t="s">
        <v>875</v>
      </c>
      <c r="R741" s="122" t="str">
        <f ca="1">IF($C741="S",REFERENCIA.Descricao,"(digite a descrição aqui)")</f>
        <v>(abra o arquivo 'Referência 02-2025.xlsm)</v>
      </c>
      <c r="S741" s="123" t="str">
        <f ca="1">REFERENCIA.Unidade</f>
        <v>-</v>
      </c>
      <c r="T741" s="124">
        <f ca="1">OFFSET(CÁLCULO!H$15,ROW($T741)-ROW(T$15),0)</f>
        <v>374.87</v>
      </c>
      <c r="U741" s="125">
        <f t="shared" ca="1" si="182"/>
        <v>0</v>
      </c>
      <c r="V741" s="126" t="s">
        <v>156</v>
      </c>
      <c r="W741" s="124">
        <f ca="1">IF($C741="S",ROUND(IF(TIPOORCAMENTO="Proposto",ORÇAMENTO.CustoUnitario*(1+$AH741),ORÇAMENTO.PrecoUnitarioLicitado),15-13*$AF$10),0)</f>
        <v>0</v>
      </c>
      <c r="X741" s="127">
        <f ca="1">IF($C741="S",IF(Import.TipoArredondamento&lt;&gt;"TransfereGOV",VTOTAL1,SUM(OFFSET(CÁLCULO!$AA$15,ROW($X741)-ROW($X$15),1):OFFSET(CÁLCULO!$AL$15,ROW($X741)-ROW($X$15),-1))),IF($C741=0,0,ROUND(SomaAgrup,15-13*$AF$11)))</f>
        <v>0</v>
      </c>
      <c r="Y741" s="128" t="s">
        <v>245</v>
      </c>
      <c r="Z741" t="str">
        <f t="shared" ca="1" si="156"/>
        <v/>
      </c>
      <c r="AA741" s="129">
        <f ca="1">IF($C741="S",IF($Z741="CP",$X741,IF($Z741="RA",(($X741)*QCI!$AA$3),0)),SomaAgrup)</f>
        <v>0</v>
      </c>
      <c r="AB741" s="130">
        <f t="shared" ca="1" si="176"/>
        <v>0</v>
      </c>
      <c r="AC741" s="131" t="str">
        <f ca="1">IF($N741="","",IF(ORÇAMENTO.Descricao="","DESCRIÇÃO",IF(AND($C741="S",ORÇAMENTO.Unidade=""),"UNIDADE",IF($X741&lt;0,"VALOR NEGATIVO",IF(OR(AND(TIPOORCAMENTO="Proposto",$AG741&lt;&gt;"",$AG741&gt;0,ORÇAMENTO.CustoUnitario&gt;$AG741),AND(TIPOORCAMENTO="LICITADO",ORÇAMENTO.PrecoUnitarioLicitado&gt;$AN741)),"ACIMA REF.","")))))</f>
        <v/>
      </c>
      <c r="AD741" t="str">
        <f ca="1">IF(C741&lt;=CRONO.NivelExibicao,MAX($AD$15:OFFSET(AD741,-1,0))+IF($C741&lt;&gt;1,1,MAX(1,COUNTIF(QCI!$A$13:$A$24,OFFSET($E741,-1,0)))),"")</f>
        <v/>
      </c>
      <c r="AE741" s="7" t="str">
        <f ca="1">IF(AND($C741="S",ORÇAMENTO.CodBarra&lt;&gt;""),IF(ORÇAMENTO.Fonte="",ORÇAMENTO.CodBarra,CONCATENATE(ORÇAMENTO.Fonte," ",ORÇAMENTO.CodBarra)))</f>
        <v>Composição FNDE 196</v>
      </c>
      <c r="AF741" s="13" t="str">
        <f ca="1">IF(ISERROR(INDIRECT(ORÇAMENTO.BancoRef)),"(abra o arquivo 'Referência "&amp;Excel_BuiltIn_Database&amp;".xlsm)",IF(OR($C741&lt;&gt;"S",ORÇAMENTO.CodBarra=""),"(Sem Código)",IF(ISERROR(MATCH($AE741,INDIRECT(ORÇAMENTO.BancoRef),0)),"(Código não identificado nas referências)",MATCH($AE741,INDIRECT(ORÇAMENTO.BancoRef),0))))</f>
        <v>(abra o arquivo 'Referência 02-2025.xlsm)</v>
      </c>
      <c r="AG741" s="498">
        <f ca="1">ROUND(IF(DESONERACAO="sim",REFERENCIA.Desonerado,REFERENCIA.NaoDesonerado),2)</f>
        <v>0</v>
      </c>
      <c r="AH741" s="499">
        <f t="shared" ca="1" si="177"/>
        <v>0.22470000000000001</v>
      </c>
      <c r="AJ741" s="501">
        <v>374.87</v>
      </c>
      <c r="AL741" s="527"/>
      <c r="AM741" s="381">
        <f t="shared" ca="1" si="159"/>
        <v>0</v>
      </c>
      <c r="AN741" s="566">
        <f t="shared" ca="1" si="178"/>
        <v>0</v>
      </c>
    </row>
    <row r="742" spans="1:40" ht="38.25" x14ac:dyDescent="0.2">
      <c r="A742" t="str">
        <f t="shared" si="175"/>
        <v>S</v>
      </c>
      <c r="B742">
        <f t="shared" ca="1" si="146"/>
        <v>3</v>
      </c>
      <c r="C742" t="str">
        <f t="shared" ca="1" si="147"/>
        <v>S</v>
      </c>
      <c r="D742">
        <f t="shared" ca="1" si="148"/>
        <v>0</v>
      </c>
      <c r="E742">
        <f ca="1">IF($C742=1,OFFSET(E742,-1,0)+MAX(1,COUNTIF(QCI!$A$13:$A$24,OFFSET(ORÇAMENTO!E742,-1,0))),OFFSET(E742,-1,0))</f>
        <v>1</v>
      </c>
      <c r="F742">
        <f t="shared" ca="1" si="149"/>
        <v>24</v>
      </c>
      <c r="G742">
        <f t="shared" ca="1" si="150"/>
        <v>8</v>
      </c>
      <c r="H742">
        <f t="shared" ca="1" si="151"/>
        <v>0</v>
      </c>
      <c r="I742">
        <f t="shared" ca="1" si="152"/>
        <v>0</v>
      </c>
      <c r="J742">
        <f t="shared" ca="1" si="181"/>
        <v>0</v>
      </c>
      <c r="K742">
        <f ca="1">IF(OR($C742="S",$C742=0),0,MATCH(OFFSET($D742,0,$C742)+IF($C742&lt;&gt;1,1,COUNTIF(QCI!$A$13:$A$24,ORÇAMENTO!E742)),OFFSET($D742,1,$C742,ROW($C$747)-ROW($C742)),0))</f>
        <v>0</v>
      </c>
      <c r="L742" s="116" t="str">
        <f t="shared" ca="1" si="153"/>
        <v/>
      </c>
      <c r="M742" s="117" t="s">
        <v>199</v>
      </c>
      <c r="N742" s="118" t="str">
        <f t="shared" ca="1" si="154"/>
        <v>Serviço</v>
      </c>
      <c r="O742" s="119" t="str">
        <f t="shared" ca="1" si="155"/>
        <v>-</v>
      </c>
      <c r="P742" s="120" t="s">
        <v>712</v>
      </c>
      <c r="Q742" s="121" t="s">
        <v>876</v>
      </c>
      <c r="R742" s="122" t="str">
        <f ca="1">IF($C742="S",REFERENCIA.Descricao,"(digite a descrição aqui)")</f>
        <v>(abra o arquivo 'Referência 02-2025.xlsm)</v>
      </c>
      <c r="S742" s="123" t="str">
        <f ca="1">REFERENCIA.Unidade</f>
        <v>-</v>
      </c>
      <c r="T742" s="124">
        <f ca="1">OFFSET(CÁLCULO!H$15,ROW($T742)-ROW(T$15),0)</f>
        <v>374.87</v>
      </c>
      <c r="U742" s="125">
        <f t="shared" ca="1" si="182"/>
        <v>0</v>
      </c>
      <c r="V742" s="126" t="s">
        <v>156</v>
      </c>
      <c r="W742" s="124">
        <f ca="1">IF($C742="S",ROUND(IF(TIPOORCAMENTO="Proposto",ORÇAMENTO.CustoUnitario*(1+$AH742),ORÇAMENTO.PrecoUnitarioLicitado),15-13*$AF$10),0)</f>
        <v>0</v>
      </c>
      <c r="X742" s="127">
        <f ca="1">IF($C742="S",IF(Import.TipoArredondamento&lt;&gt;"TransfereGOV",VTOTAL1,SUM(OFFSET(CÁLCULO!$AA$15,ROW($X742)-ROW($X$15),1):OFFSET(CÁLCULO!$AL$15,ROW($X742)-ROW($X$15),-1))),IF($C742=0,0,ROUND(SomaAgrup,15-13*$AF$11)))</f>
        <v>0</v>
      </c>
      <c r="Y742" s="128" t="s">
        <v>245</v>
      </c>
      <c r="Z742" t="str">
        <f t="shared" ca="1" si="156"/>
        <v/>
      </c>
      <c r="AA742" s="129">
        <f ca="1">IF($C742="S",IF($Z742="CP",$X742,IF($Z742="RA",(($X742)*QCI!$AA$3),0)),SomaAgrup)</f>
        <v>0</v>
      </c>
      <c r="AB742" s="130">
        <f t="shared" ca="1" si="176"/>
        <v>0</v>
      </c>
      <c r="AC742" s="131" t="str">
        <f ca="1">IF($N742="","",IF(ORÇAMENTO.Descricao="","DESCRIÇÃO",IF(AND($C742="S",ORÇAMENTO.Unidade=""),"UNIDADE",IF($X742&lt;0,"VALOR NEGATIVO",IF(OR(AND(TIPOORCAMENTO="Proposto",$AG742&lt;&gt;"",$AG742&gt;0,ORÇAMENTO.CustoUnitario&gt;$AG742),AND(TIPOORCAMENTO="LICITADO",ORÇAMENTO.PrecoUnitarioLicitado&gt;$AN742)),"ACIMA REF.","")))))</f>
        <v/>
      </c>
      <c r="AD742" t="str">
        <f ca="1">IF(C742&lt;=CRONO.NivelExibicao,MAX($AD$15:OFFSET(AD742,-1,0))+IF($C742&lt;&gt;1,1,MAX(1,COUNTIF(QCI!$A$13:$A$24,OFFSET($E742,-1,0)))),"")</f>
        <v/>
      </c>
      <c r="AE742" s="7" t="str">
        <f ca="1">IF(AND($C742="S",ORÇAMENTO.CodBarra&lt;&gt;""),IF(ORÇAMENTO.Fonte="",ORÇAMENTO.CodBarra,CONCATENATE(ORÇAMENTO.Fonte," ",ORÇAMENTO.CodBarra)))</f>
        <v xml:space="preserve">Composição FNDE 352 </v>
      </c>
      <c r="AF742" s="13" t="str">
        <f ca="1">IF(ISERROR(INDIRECT(ORÇAMENTO.BancoRef)),"(abra o arquivo 'Referência "&amp;Excel_BuiltIn_Database&amp;".xlsm)",IF(OR($C742&lt;&gt;"S",ORÇAMENTO.CodBarra=""),"(Sem Código)",IF(ISERROR(MATCH($AE742,INDIRECT(ORÇAMENTO.BancoRef),0)),"(Código não identificado nas referências)",MATCH($AE742,INDIRECT(ORÇAMENTO.BancoRef),0))))</f>
        <v>(abra o arquivo 'Referência 02-2025.xlsm)</v>
      </c>
      <c r="AG742" s="498">
        <f ca="1">ROUND(IF(DESONERACAO="sim",REFERENCIA.Desonerado,REFERENCIA.NaoDesonerado),2)</f>
        <v>0</v>
      </c>
      <c r="AH742" s="499">
        <f t="shared" ca="1" si="177"/>
        <v>0.22470000000000001</v>
      </c>
      <c r="AJ742" s="501">
        <v>374.87</v>
      </c>
      <c r="AL742" s="527"/>
      <c r="AM742" s="381">
        <f t="shared" ca="1" si="159"/>
        <v>0</v>
      </c>
      <c r="AN742" s="566">
        <f t="shared" ca="1" si="178"/>
        <v>0</v>
      </c>
    </row>
    <row r="743" spans="1:40" x14ac:dyDescent="0.2">
      <c r="A743">
        <f t="shared" si="175"/>
        <v>3</v>
      </c>
      <c r="B743">
        <f t="shared" ca="1" si="146"/>
        <v>3</v>
      </c>
      <c r="C743">
        <f t="shared" ca="1" si="147"/>
        <v>3</v>
      </c>
      <c r="D743">
        <f t="shared" ca="1" si="148"/>
        <v>4</v>
      </c>
      <c r="E743">
        <f ca="1">IF($C743=1,OFFSET(E743,-1,0)+MAX(1,COUNTIF(QCI!$A$13:$A$24,OFFSET(ORÇAMENTO!E743,-1,0))),OFFSET(E743,-1,0))</f>
        <v>1</v>
      </c>
      <c r="F743">
        <f t="shared" ca="1" si="149"/>
        <v>24</v>
      </c>
      <c r="G743">
        <f t="shared" ca="1" si="150"/>
        <v>9</v>
      </c>
      <c r="H743">
        <f t="shared" ca="1" si="151"/>
        <v>0</v>
      </c>
      <c r="I743">
        <f t="shared" ca="1" si="152"/>
        <v>0</v>
      </c>
      <c r="J743">
        <f t="shared" ca="1" si="181"/>
        <v>4</v>
      </c>
      <c r="K743" t="e">
        <f ca="1">IF(OR($C743="S",$C743=0),0,MATCH(OFFSET($D743,0,$C743)+IF($C743&lt;&gt;1,1,COUNTIF(QCI!$A$13:$A$24,ORÇAMENTO!E743)),OFFSET($D743,1,$C743,ROW($C$747)-ROW($C743)),0))</f>
        <v>#N/A</v>
      </c>
      <c r="L743" s="116" t="str">
        <f t="shared" ca="1" si="153"/>
        <v>F</v>
      </c>
      <c r="M743" s="117" t="s">
        <v>197</v>
      </c>
      <c r="N743" s="118" t="str">
        <f t="shared" ca="1" si="154"/>
        <v>Nível 3</v>
      </c>
      <c r="O743" s="119" t="str">
        <f t="shared" ca="1" si="155"/>
        <v>1.24.9.</v>
      </c>
      <c r="P743" s="120" t="s">
        <v>247</v>
      </c>
      <c r="Q743" s="121"/>
      <c r="R743" s="122" t="str">
        <f ca="1">IF($C743="S",REFERENCIA.Descricao,"SERVIÇOS FINAIS")</f>
        <v>SERVIÇOS FINAIS</v>
      </c>
      <c r="S743" s="123" t="str">
        <f ca="1">REFERENCIA.Unidade</f>
        <v>-</v>
      </c>
      <c r="T743" s="124">
        <f ca="1">OFFSET(CÁLCULO!H$15,ROW($T743)-ROW(T$15),0)</f>
        <v>0</v>
      </c>
      <c r="U743" s="125">
        <f t="shared" ca="1" si="182"/>
        <v>0</v>
      </c>
      <c r="V743" s="126" t="s">
        <v>156</v>
      </c>
      <c r="W743" s="124">
        <f ca="1">IF($C743="S",ROUND(IF(TIPOORCAMENTO="Proposto",ORÇAMENTO.CustoUnitario*(1+$AH743),ORÇAMENTO.PrecoUnitarioLicitado),15-13*$AF$10),0)</f>
        <v>0</v>
      </c>
      <c r="X743" s="127">
        <f ca="1">IF($C743="S",IF(Import.TipoArredondamento&lt;&gt;"TransfereGOV",VTOTAL1,SUM(OFFSET(CÁLCULO!$AA$15,ROW($X743)-ROW($X$15),1):OFFSET(CÁLCULO!$AL$15,ROW($X743)-ROW($X$15),-1))),IF($C743=0,0,ROUND(SomaAgrup,15-13*$AF$11)))</f>
        <v>0</v>
      </c>
      <c r="Y743" s="128" t="s">
        <v>245</v>
      </c>
      <c r="Z743" t="str">
        <f t="shared" ca="1" si="156"/>
        <v/>
      </c>
      <c r="AA743" s="129">
        <f ca="1">IF($C743="S",IF($Z743="CP",$X743,IF($Z743="RA",(($X743)*QCI!$AA$3),0)),SomaAgrup)</f>
        <v>0</v>
      </c>
      <c r="AB743" s="130">
        <f t="shared" ca="1" si="176"/>
        <v>0</v>
      </c>
      <c r="AC743" s="131" t="str">
        <f ca="1">IF($N743="","",IF(ORÇAMENTO.Descricao="","DESCRIÇÃO",IF(AND($C743="S",ORÇAMENTO.Unidade=""),"UNIDADE",IF($X743&lt;0,"VALOR NEGATIVO",IF(OR(AND(TIPOORCAMENTO="Proposto",$AG743&lt;&gt;"",$AG743&gt;0,ORÇAMENTO.CustoUnitario&gt;$AG743),AND(TIPOORCAMENTO="LICITADO",ORÇAMENTO.PrecoUnitarioLicitado&gt;$AN743)),"ACIMA REF.","")))))</f>
        <v/>
      </c>
      <c r="AD743" t="str">
        <f ca="1">IF(C743&lt;=CRONO.NivelExibicao,MAX($AD$15:OFFSET(AD743,-1,0))+IF($C743&lt;&gt;1,1,MAX(1,COUNTIF(QCI!$A$13:$A$24,OFFSET($E743,-1,0)))),"")</f>
        <v/>
      </c>
      <c r="AE743" s="7" t="b">
        <f ca="1">IF(AND($C743="S",ORÇAMENTO.CodBarra&lt;&gt;""),IF(ORÇAMENTO.Fonte="",ORÇAMENTO.CodBarra,CONCATENATE(ORÇAMENTO.Fonte," ",ORÇAMENTO.CodBarra)))</f>
        <v>0</v>
      </c>
      <c r="AF743" s="13" t="str">
        <f ca="1">IF(ISERROR(INDIRECT(ORÇAMENTO.BancoRef)),"(abra o arquivo 'Referência "&amp;Excel_BuiltIn_Database&amp;".xlsm)",IF(OR($C743&lt;&gt;"S",ORÇAMENTO.CodBarra=""),"(Sem Código)",IF(ISERROR(MATCH($AE743,INDIRECT(ORÇAMENTO.BancoRef),0)),"(Código não identificado nas referências)",MATCH($AE743,INDIRECT(ORÇAMENTO.BancoRef),0))))</f>
        <v>(abra o arquivo 'Referência 02-2025.xlsm)</v>
      </c>
      <c r="AG743" s="498">
        <f ca="1">ROUND(IF(DESONERACAO="sim",REFERENCIA.Desonerado,REFERENCIA.NaoDesonerado),2)</f>
        <v>0</v>
      </c>
      <c r="AH743" s="499">
        <f t="shared" ca="1" si="177"/>
        <v>0.22470000000000001</v>
      </c>
      <c r="AJ743" s="501"/>
      <c r="AL743" s="527"/>
      <c r="AM743" s="381">
        <f t="shared" ca="1" si="159"/>
        <v>0</v>
      </c>
      <c r="AN743" s="566">
        <f t="shared" ca="1" si="178"/>
        <v>0</v>
      </c>
    </row>
    <row r="744" spans="1:40" x14ac:dyDescent="0.2">
      <c r="A744" t="str">
        <f t="shared" si="175"/>
        <v>S</v>
      </c>
      <c r="B744">
        <f t="shared" ca="1" si="146"/>
        <v>3</v>
      </c>
      <c r="C744" t="str">
        <f t="shared" ca="1" si="147"/>
        <v>S</v>
      </c>
      <c r="D744">
        <f t="shared" ca="1" si="148"/>
        <v>0</v>
      </c>
      <c r="E744">
        <f ca="1">IF($C744=1,OFFSET(E744,-1,0)+MAX(1,COUNTIF(QCI!$A$13:$A$24,OFFSET(ORÇAMENTO!E744,-1,0))),OFFSET(E744,-1,0))</f>
        <v>1</v>
      </c>
      <c r="F744">
        <f t="shared" ca="1" si="149"/>
        <v>24</v>
      </c>
      <c r="G744">
        <f t="shared" ca="1" si="150"/>
        <v>9</v>
      </c>
      <c r="H744">
        <f t="shared" ca="1" si="151"/>
        <v>0</v>
      </c>
      <c r="I744">
        <f t="shared" ca="1" si="152"/>
        <v>0</v>
      </c>
      <c r="J744">
        <f t="shared" ca="1" si="181"/>
        <v>0</v>
      </c>
      <c r="K744">
        <f ca="1">IF(OR($C744="S",$C744=0),0,MATCH(OFFSET($D744,0,$C744)+IF($C744&lt;&gt;1,1,COUNTIF(QCI!$A$13:$A$24,ORÇAMENTO!E744)),OFFSET($D744,1,$C744,ROW($C$747)-ROW($C744)),0))</f>
        <v>0</v>
      </c>
      <c r="L744" s="116" t="str">
        <f t="shared" ca="1" si="153"/>
        <v/>
      </c>
      <c r="M744" s="117" t="s">
        <v>199</v>
      </c>
      <c r="N744" s="118" t="str">
        <f t="shared" ca="1" si="154"/>
        <v>Serviço</v>
      </c>
      <c r="O744" s="119" t="str">
        <f t="shared" ca="1" si="155"/>
        <v>-</v>
      </c>
      <c r="P744" s="120" t="s">
        <v>712</v>
      </c>
      <c r="Q744" s="121" t="s">
        <v>1016</v>
      </c>
      <c r="R744" s="122" t="str">
        <f ca="1">IF($C744="S",REFERENCIA.Descricao,"(digite a descrição aqui)")</f>
        <v>(abra o arquivo 'Referência 02-2025.xlsm)</v>
      </c>
      <c r="S744" s="123" t="str">
        <f ca="1">REFERENCIA.Unidade</f>
        <v>-</v>
      </c>
      <c r="T744" s="124">
        <f ca="1">OFFSET(CÁLCULO!H$15,ROW($T744)-ROW(T$15),0)</f>
        <v>1545.99</v>
      </c>
      <c r="U744" s="125">
        <f t="shared" ca="1" si="182"/>
        <v>0</v>
      </c>
      <c r="V744" s="126" t="s">
        <v>156</v>
      </c>
      <c r="W744" s="124">
        <f ca="1">IF($C744="S",ROUND(IF(TIPOORCAMENTO="Proposto",ORÇAMENTO.CustoUnitario*(1+$AH744),ORÇAMENTO.PrecoUnitarioLicitado),15-13*$AF$10),0)</f>
        <v>0</v>
      </c>
      <c r="X744" s="127">
        <f ca="1">IF($C744="S",IF(Import.TipoArredondamento&lt;&gt;"TransfereGOV",VTOTAL1,SUM(OFFSET(CÁLCULO!$AA$15,ROW($X744)-ROW($X$15),1):OFFSET(CÁLCULO!$AL$15,ROW($X744)-ROW($X$15),-1))),IF($C744=0,0,ROUND(SomaAgrup,15-13*$AF$11)))</f>
        <v>0</v>
      </c>
      <c r="Y744" s="128" t="s">
        <v>245</v>
      </c>
      <c r="Z744" t="str">
        <f t="shared" ca="1" si="156"/>
        <v/>
      </c>
      <c r="AA744" s="129">
        <f ca="1">IF($C744="S",IF($Z744="CP",$X744,IF($Z744="RA",(($X744)*QCI!$AA$3),0)),SomaAgrup)</f>
        <v>0</v>
      </c>
      <c r="AB744" s="130">
        <f t="shared" ca="1" si="176"/>
        <v>0</v>
      </c>
      <c r="AC744" s="131" t="str">
        <f ca="1">IF($N744="","",IF(ORÇAMENTO.Descricao="","DESCRIÇÃO",IF(AND($C744="S",ORÇAMENTO.Unidade=""),"UNIDADE",IF($X744&lt;0,"VALOR NEGATIVO",IF(OR(AND(TIPOORCAMENTO="Proposto",$AG744&lt;&gt;"",$AG744&gt;0,ORÇAMENTO.CustoUnitario&gt;$AG744),AND(TIPOORCAMENTO="LICITADO",ORÇAMENTO.PrecoUnitarioLicitado&gt;$AN744)),"ACIMA REF.","")))))</f>
        <v/>
      </c>
      <c r="AD744" t="str">
        <f ca="1">IF(C744&lt;=CRONO.NivelExibicao,MAX($AD$15:OFFSET(AD744,-1,0))+IF($C744&lt;&gt;1,1,MAX(1,COUNTIF(QCI!$A$13:$A$24,OFFSET($E744,-1,0)))),"")</f>
        <v/>
      </c>
      <c r="AE744" s="7" t="str">
        <f ca="1">IF(AND($C744="S",ORÇAMENTO.CodBarra&lt;&gt;""),IF(ORÇAMENTO.Fonte="",ORÇAMENTO.CodBarra,CONCATENATE(ORÇAMENTO.Fonte," ",ORÇAMENTO.CodBarra)))</f>
        <v>Composição FNDE 600</v>
      </c>
      <c r="AF744" s="13" t="str">
        <f ca="1">IF(ISERROR(INDIRECT(ORÇAMENTO.BancoRef)),"(abra o arquivo 'Referência "&amp;Excel_BuiltIn_Database&amp;".xlsm)",IF(OR($C744&lt;&gt;"S",ORÇAMENTO.CodBarra=""),"(Sem Código)",IF(ISERROR(MATCH($AE744,INDIRECT(ORÇAMENTO.BancoRef),0)),"(Código não identificado nas referências)",MATCH($AE744,INDIRECT(ORÇAMENTO.BancoRef),0))))</f>
        <v>(abra o arquivo 'Referência 02-2025.xlsm)</v>
      </c>
      <c r="AG744" s="498">
        <f ca="1">ROUND(IF(DESONERACAO="sim",REFERENCIA.Desonerado,REFERENCIA.NaoDesonerado),2)</f>
        <v>0</v>
      </c>
      <c r="AH744" s="499">
        <f t="shared" ca="1" si="177"/>
        <v>0.22470000000000001</v>
      </c>
      <c r="AJ744" s="501">
        <v>1545.99</v>
      </c>
      <c r="AL744" s="527"/>
      <c r="AM744" s="381">
        <f t="shared" ca="1" si="159"/>
        <v>0</v>
      </c>
      <c r="AN744" s="566">
        <f t="shared" ca="1" si="178"/>
        <v>0</v>
      </c>
    </row>
    <row r="745" spans="1:40" x14ac:dyDescent="0.2">
      <c r="A745" t="str">
        <f t="shared" si="175"/>
        <v>S</v>
      </c>
      <c r="B745">
        <f t="shared" ca="1" si="146"/>
        <v>3</v>
      </c>
      <c r="C745" t="str">
        <f t="shared" ca="1" si="147"/>
        <v>S</v>
      </c>
      <c r="D745">
        <f t="shared" ca="1" si="148"/>
        <v>0</v>
      </c>
      <c r="E745">
        <f ca="1">IF($C745=1,OFFSET(E745,-1,0)+MAX(1,COUNTIF(QCI!$A$13:$A$24,OFFSET(ORÇAMENTO!E745,-1,0))),OFFSET(E745,-1,0))</f>
        <v>1</v>
      </c>
      <c r="F745">
        <f t="shared" ca="1" si="149"/>
        <v>24</v>
      </c>
      <c r="G745">
        <f t="shared" ca="1" si="150"/>
        <v>9</v>
      </c>
      <c r="H745">
        <f t="shared" ca="1" si="151"/>
        <v>0</v>
      </c>
      <c r="I745">
        <f t="shared" ca="1" si="152"/>
        <v>0</v>
      </c>
      <c r="J745">
        <f t="shared" ca="1" si="181"/>
        <v>0</v>
      </c>
      <c r="K745">
        <f ca="1">IF(OR($C745="S",$C745=0),0,MATCH(OFFSET($D745,0,$C745)+IF($C745&lt;&gt;1,1,COUNTIF(QCI!$A$13:$A$24,ORÇAMENTO!E745)),OFFSET($D745,1,$C745,ROW($C$747)-ROW($C745)),0))</f>
        <v>0</v>
      </c>
      <c r="L745" s="116" t="str">
        <f t="shared" ca="1" si="153"/>
        <v/>
      </c>
      <c r="M745" s="117" t="s">
        <v>199</v>
      </c>
      <c r="N745" s="118" t="str">
        <f t="shared" ca="1" si="154"/>
        <v>Serviço</v>
      </c>
      <c r="O745" s="119" t="str">
        <f t="shared" ca="1" si="155"/>
        <v>-</v>
      </c>
      <c r="P745" s="120" t="s">
        <v>712</v>
      </c>
      <c r="Q745" s="121" t="s">
        <v>1008</v>
      </c>
      <c r="R745" s="122" t="str">
        <f ca="1">IF($C745="S",REFERENCIA.Descricao,"(digite a descrição aqui)")</f>
        <v>(abra o arquivo 'Referência 02-2025.xlsm)</v>
      </c>
      <c r="S745" s="123" t="str">
        <f ca="1">REFERENCIA.Unidade</f>
        <v>-</v>
      </c>
      <c r="T745" s="124">
        <f ca="1">OFFSET(CÁLCULO!H$15,ROW($T745)-ROW(T$15),0)</f>
        <v>1545.99</v>
      </c>
      <c r="U745" s="125">
        <f t="shared" ca="1" si="182"/>
        <v>0</v>
      </c>
      <c r="V745" s="126" t="s">
        <v>156</v>
      </c>
      <c r="W745" s="124">
        <f ca="1">IF($C745="S",ROUND(IF(TIPOORCAMENTO="Proposto",ORÇAMENTO.CustoUnitario*(1+$AH745),ORÇAMENTO.PrecoUnitarioLicitado),15-13*$AF$10),0)</f>
        <v>0</v>
      </c>
      <c r="X745" s="127">
        <f ca="1">IF($C745="S",IF(Import.TipoArredondamento&lt;&gt;"TransfereGOV",VTOTAL1,SUM(OFFSET(CÁLCULO!$AA$15,ROW($X745)-ROW($X$15),1):OFFSET(CÁLCULO!$AL$15,ROW($X745)-ROW($X$15),-1))),IF($C745=0,0,ROUND(SomaAgrup,15-13*$AF$11)))</f>
        <v>0</v>
      </c>
      <c r="Y745" s="128" t="s">
        <v>245</v>
      </c>
      <c r="Z745" t="str">
        <f t="shared" ca="1" si="156"/>
        <v/>
      </c>
      <c r="AA745" s="129">
        <f ca="1">IF($C745="S",IF($Z745="CP",$X745,IF($Z745="RA",(($X745)*QCI!$AA$3),0)),SomaAgrup)</f>
        <v>0</v>
      </c>
      <c r="AB745" s="130">
        <f t="shared" ca="1" si="176"/>
        <v>0</v>
      </c>
      <c r="AC745" s="131" t="str">
        <f ca="1">IF($N745="","",IF(ORÇAMENTO.Descricao="","DESCRIÇÃO",IF(AND($C745="S",ORÇAMENTO.Unidade=""),"UNIDADE",IF($X745&lt;0,"VALOR NEGATIVO",IF(OR(AND(TIPOORCAMENTO="Proposto",$AG745&lt;&gt;"",$AG745&gt;0,ORÇAMENTO.CustoUnitario&gt;$AG745),AND(TIPOORCAMENTO="LICITADO",ORÇAMENTO.PrecoUnitarioLicitado&gt;$AN745)),"ACIMA REF.","")))))</f>
        <v/>
      </c>
      <c r="AD745" t="str">
        <f ca="1">IF(C745&lt;=CRONO.NivelExibicao,MAX($AD$15:OFFSET(AD745,-1,0))+IF($C745&lt;&gt;1,1,MAX(1,COUNTIF(QCI!$A$13:$A$24,OFFSET($E745,-1,0)))),"")</f>
        <v/>
      </c>
      <c r="AE745" s="7" t="str">
        <f ca="1">IF(AND($C745="S",ORÇAMENTO.CodBarra&lt;&gt;""),IF(ORÇAMENTO.Fonte="",ORÇAMENTO.CodBarra,CONCATENATE(ORÇAMENTO.Fonte," ",ORÇAMENTO.CodBarra)))</f>
        <v>Composição FNDE 601</v>
      </c>
      <c r="AF745" s="13" t="str">
        <f ca="1">IF(ISERROR(INDIRECT(ORÇAMENTO.BancoRef)),"(abra o arquivo 'Referência "&amp;Excel_BuiltIn_Database&amp;".xlsm)",IF(OR($C745&lt;&gt;"S",ORÇAMENTO.CodBarra=""),"(Sem Código)",IF(ISERROR(MATCH($AE745,INDIRECT(ORÇAMENTO.BancoRef),0)),"(Código não identificado nas referências)",MATCH($AE745,INDIRECT(ORÇAMENTO.BancoRef),0))))</f>
        <v>(abra o arquivo 'Referência 02-2025.xlsm)</v>
      </c>
      <c r="AG745" s="498">
        <f ca="1">ROUND(IF(DESONERACAO="sim",REFERENCIA.Desonerado,REFERENCIA.NaoDesonerado),2)</f>
        <v>0</v>
      </c>
      <c r="AH745" s="499">
        <f t="shared" ca="1" si="177"/>
        <v>0.22470000000000001</v>
      </c>
      <c r="AJ745" s="501">
        <v>1545.99</v>
      </c>
      <c r="AL745" s="527"/>
      <c r="AM745" s="381">
        <f t="shared" ca="1" si="159"/>
        <v>0</v>
      </c>
      <c r="AN745" s="566">
        <f t="shared" ca="1" si="178"/>
        <v>0</v>
      </c>
    </row>
    <row r="746" spans="1:40" ht="25.5" x14ac:dyDescent="0.2">
      <c r="A746" t="str">
        <f>CHOOSE(1+LOG(1+2*(ORÇAMENTO.Nivel="Meta")+4*(ORÇAMENTO.Nivel="Nível 2")+8*(ORÇAMENTO.Nivel="Nível 3")+16*(ORÇAMENTO.Nivel="Nível 4")+32*(ORÇAMENTO.Nivel="Serviço"),2),0,1,2,3,4,"S")</f>
        <v>S</v>
      </c>
      <c r="B746">
        <f ca="1">IF(OR(C746="s",C746=0),OFFSET(B746,-1,0),C746)</f>
        <v>3</v>
      </c>
      <c r="C746" t="str">
        <f ca="1">IF(OFFSET(C746,-1,0)="L",1,IF(OFFSET(C746,-1,0)=1,2,IF(OR(A746="s",A746=0),"S",IF(AND(OFFSET(C746,-1,0)=2,A746=4),3,IF(AND(OR(OFFSET(C746,-1,0)="s",OFFSET(C746,-1,0)=0),A746&lt;&gt;"s",A746&gt;OFFSET(B746,-1,0)),OFFSET(B746,-1,0),A746)))))</f>
        <v>S</v>
      </c>
      <c r="D746">
        <f ca="1">IF(OR(C746="S",C746=0),0,IF(ISERROR(K746),J746,SMALL(J746:K746,1)))</f>
        <v>0</v>
      </c>
      <c r="E746">
        <f ca="1">IF($C746=1,OFFSET(E746,-1,0)+MAX(1,COUNTIF(QCI!$A$13:$A$24,OFFSET(ORÇAMENTO!E746,-1,0))),OFFSET(E746,-1,0))</f>
        <v>1</v>
      </c>
      <c r="F746">
        <f ca="1">IF($C746=1,0,IF($C746=2,OFFSET(F746,-1,0)+1,OFFSET(F746,-1,0)))</f>
        <v>24</v>
      </c>
      <c r="G746">
        <f ca="1">IF(AND($C746&lt;=2,$C746&lt;&gt;0),0,IF($C746=3,OFFSET(G746,-1,0)+1,OFFSET(G746,-1,0)))</f>
        <v>9</v>
      </c>
      <c r="H746">
        <f ca="1">IF(AND($C746&lt;=3,$C746&lt;&gt;0),0,IF($C746=4,OFFSET(H746,-1,0)+1,OFFSET(H746,-1,0)))</f>
        <v>0</v>
      </c>
      <c r="I746">
        <f ca="1">IF(AND($C746&lt;=4,$C746&lt;&gt;0),0,IF(AND($C746="S",$X746&gt;0),OFFSET(I746,-1,0)+1,OFFSET(I746,-1,0)))</f>
        <v>0</v>
      </c>
      <c r="J746">
        <f t="shared" ca="1" si="181"/>
        <v>0</v>
      </c>
      <c r="K746">
        <f ca="1">IF(OR($C746="S",$C746=0),0,MATCH(OFFSET($D746,0,$C746)+IF($C746&lt;&gt;1,1,COUNTIF(QCI!$A$13:$A$24,ORÇAMENTO!E746)),OFFSET($D746,1,$C746,ROW($C$747)-ROW($C746)),0))</f>
        <v>0</v>
      </c>
      <c r="L746" s="116" t="str">
        <f ca="1">IF(OR($X746&gt;0,$C746=1,$C746=2,$C746=3,$C746=4),"F","")</f>
        <v/>
      </c>
      <c r="M746" s="117" t="s">
        <v>199</v>
      </c>
      <c r="N746" s="118" t="str">
        <f ca="1">CHOOSE(1+LOG(1+2*(C746=1)+4*(C746=2)+8*(C746=3)+16*(C746=4)+32*(C746="S"),2),"","Meta","Nível 2","Nível 3","Nível 4","Serviço")</f>
        <v>Serviço</v>
      </c>
      <c r="O746" s="119" t="str">
        <f ca="1">IF(OR($C746=0,$L746=""),"-",CONCATENATE(E746&amp;".",IF(AND($A$5&gt;=2,$C746&gt;=2),F746&amp;".",""),IF(AND($A$5&gt;=3,$C746&gt;=3),G746&amp;".",""),IF(AND($A$5&gt;=4,$C746&gt;=4),H746&amp;".",""),IF($C746="S",I746&amp;".","")))</f>
        <v>-</v>
      </c>
      <c r="P746" s="120" t="s">
        <v>712</v>
      </c>
      <c r="Q746" s="121" t="s">
        <v>1009</v>
      </c>
      <c r="R746" s="122" t="str">
        <f ca="1">IF($C746="S",REFERENCIA.Descricao,"(digite a descrição aqui)")</f>
        <v>(abra o arquivo 'Referência 02-2025.xlsm)</v>
      </c>
      <c r="S746" s="123" t="str">
        <f ca="1">REFERENCIA.Unidade</f>
        <v>-</v>
      </c>
      <c r="T746" s="124">
        <f ca="1">OFFSET(CÁLCULO!H$15,ROW($T746)-ROW(T$15),0)</f>
        <v>1</v>
      </c>
      <c r="U746" s="125">
        <f t="shared" ca="1" si="182"/>
        <v>0</v>
      </c>
      <c r="V746" s="126" t="s">
        <v>156</v>
      </c>
      <c r="W746" s="124">
        <f ca="1">IF($C746="S",ROUND(IF(TIPOORCAMENTO="Proposto",ORÇAMENTO.CustoUnitario*(1+$AH746),ORÇAMENTO.PrecoUnitarioLicitado),15-13*$AF$10),0)</f>
        <v>0</v>
      </c>
      <c r="X746" s="127">
        <f ca="1">IF($C746="S",IF(Import.TipoArredondamento&lt;&gt;"TransfereGOV",VTOTAL1,SUM(OFFSET(CÁLCULO!$AA$15,ROW($X746)-ROW($X$15),1):OFFSET(CÁLCULO!$AL$15,ROW($X746)-ROW($X$15),-1))),IF($C746=0,0,ROUND(SomaAgrup,15-13*$AF$11)))</f>
        <v>0</v>
      </c>
      <c r="Y746" s="128" t="s">
        <v>245</v>
      </c>
      <c r="Z746" t="str">
        <f ca="1">IF(AND($C746="S",$X746&gt;0),IF(ISBLANK($Y746),"RA",LEFT($Y746,2)),"")</f>
        <v/>
      </c>
      <c r="AA746" s="129">
        <f ca="1">IF($C746="S",IF($Z746="CP",$X746,IF($Z746="RA",(($X746)*QCI!$AA$3),0)),SomaAgrup)</f>
        <v>0</v>
      </c>
      <c r="AB746" s="130">
        <f ca="1">IF($C746="S",IF($Z746="OU",ROUND($X746,2),0),SomaAgrup)</f>
        <v>0</v>
      </c>
      <c r="AC746" s="131" t="str">
        <f ca="1">IF($N746="","",IF(ORÇAMENTO.Descricao="","DESCRIÇÃO",IF(AND($C746="S",ORÇAMENTO.Unidade=""),"UNIDADE",IF($X746&lt;0,"VALOR NEGATIVO",IF(OR(AND(TIPOORCAMENTO="Proposto",$AG746&lt;&gt;"",$AG746&gt;0,ORÇAMENTO.CustoUnitario&gt;$AG746),AND(TIPOORCAMENTO="LICITADO",ORÇAMENTO.PrecoUnitarioLicitado&gt;$AN746)),"ACIMA REF.","")))))</f>
        <v/>
      </c>
      <c r="AD746" t="str">
        <f ca="1">IF(C746&lt;=CRONO.NivelExibicao,MAX($AD$15:OFFSET(AD746,-1,0))+IF($C746&lt;&gt;1,1,MAX(1,COUNTIF(QCI!$A$13:$A$24,OFFSET($E746,-1,0)))),"")</f>
        <v/>
      </c>
      <c r="AE746" s="7" t="str">
        <f ca="1">IF(AND($C746="S",ORÇAMENTO.CodBarra&lt;&gt;""),IF(ORÇAMENTO.Fonte="",ORÇAMENTO.CodBarra,CONCATENATE(ORÇAMENTO.Fonte," ",ORÇAMENTO.CodBarra)))</f>
        <v>Composição FNDE 560</v>
      </c>
      <c r="AF746" s="13" t="str">
        <f ca="1">IF(ISERROR(INDIRECT(ORÇAMENTO.BancoRef)),"(abra o arquivo 'Referência "&amp;Excel_BuiltIn_Database&amp;".xlsm)",IF(OR($C746&lt;&gt;"S",ORÇAMENTO.CodBarra=""),"(Sem Código)",IF(ISERROR(MATCH($AE746,INDIRECT(ORÇAMENTO.BancoRef),0)),"(Código não identificado nas referências)",MATCH($AE746,INDIRECT(ORÇAMENTO.BancoRef),0))))</f>
        <v>(abra o arquivo 'Referência 02-2025.xlsm)</v>
      </c>
      <c r="AG746" s="498">
        <f ca="1">ROUND(IF(DESONERACAO="sim",REFERENCIA.Desonerado,REFERENCIA.NaoDesonerado),2)</f>
        <v>0</v>
      </c>
      <c r="AH746" s="499">
        <f ca="1">ROUND(IF(ISNUMBER(ORÇAMENTO.OpcaoBDI),ORÇAMENTO.OpcaoBDI,IF(LEFT(ORÇAMENTO.OpcaoBDI,3)="BDI",HLOOKUP(ORÇAMENTO.OpcaoBDI,$F$4:$H$5,2,FALSE),0)),15-11*$AF$9)</f>
        <v>0.22470000000000001</v>
      </c>
      <c r="AJ746" s="501">
        <v>1</v>
      </c>
      <c r="AL746" s="527"/>
      <c r="AM746" s="381">
        <f t="shared" ref="AM746" ca="1" si="183">$X746</f>
        <v>0</v>
      </c>
      <c r="AN746" s="566">
        <f ca="1">ROUND(ORÇAMENTO.CustoUnitario*(1+$AH746),2)</f>
        <v>0</v>
      </c>
    </row>
    <row r="747" spans="1:40" ht="5.0999999999999996" customHeight="1" x14ac:dyDescent="0.2">
      <c r="A747">
        <v>-1</v>
      </c>
      <c r="C747">
        <v>-1</v>
      </c>
      <c r="E747">
        <v>0</v>
      </c>
      <c r="F747">
        <v>0</v>
      </c>
      <c r="G747">
        <v>0</v>
      </c>
      <c r="H747">
        <v>0</v>
      </c>
      <c r="I747">
        <v>0</v>
      </c>
      <c r="L747" s="116" t="s">
        <v>246</v>
      </c>
      <c r="M747" s="492"/>
      <c r="N747" s="493"/>
      <c r="O747" s="492"/>
      <c r="P747" s="494"/>
      <c r="Q747" s="494"/>
      <c r="R747" s="494"/>
      <c r="S747" s="494"/>
      <c r="T747" s="494"/>
      <c r="U747" s="494"/>
      <c r="V747" s="494"/>
      <c r="W747" s="494"/>
      <c r="X747" s="493"/>
      <c r="AG747" s="484"/>
      <c r="AH747" s="486"/>
      <c r="AJ747" s="495"/>
      <c r="AL747" s="484"/>
      <c r="AM747" s="485"/>
      <c r="AN747" s="486"/>
    </row>
    <row r="750" spans="1:40" ht="14.25" x14ac:dyDescent="0.2">
      <c r="O750" s="140" t="s">
        <v>248</v>
      </c>
      <c r="Q750" s="619" t="s">
        <v>249</v>
      </c>
      <c r="R750" s="619"/>
      <c r="S750" s="619"/>
      <c r="T750" s="619"/>
      <c r="U750" s="619"/>
      <c r="V750" s="619"/>
      <c r="W750" s="619"/>
      <c r="X750" s="619"/>
    </row>
    <row r="752" spans="1:40" ht="14.25" x14ac:dyDescent="0.2">
      <c r="O752" s="141" t="s">
        <v>187</v>
      </c>
      <c r="X752" s="4"/>
    </row>
    <row r="753" spans="15:28" ht="12.75" customHeight="1" x14ac:dyDescent="0.2">
      <c r="O753" s="620"/>
      <c r="P753" s="620"/>
      <c r="Q753" s="620"/>
      <c r="R753" s="620"/>
      <c r="S753" s="620"/>
      <c r="T753" s="620"/>
      <c r="U753" s="620"/>
      <c r="V753" s="620"/>
      <c r="W753" s="620"/>
      <c r="X753" s="620"/>
    </row>
    <row r="754" spans="15:28" x14ac:dyDescent="0.2">
      <c r="O754" s="620"/>
      <c r="P754" s="620"/>
      <c r="Q754" s="620"/>
      <c r="R754" s="620"/>
      <c r="S754" s="620"/>
      <c r="T754" s="620"/>
      <c r="U754" s="620"/>
      <c r="V754" s="620"/>
      <c r="W754" s="620"/>
      <c r="X754" s="620"/>
    </row>
    <row r="755" spans="15:28" x14ac:dyDescent="0.2">
      <c r="O755" s="620"/>
      <c r="P755" s="620"/>
      <c r="Q755" s="620"/>
      <c r="R755" s="620"/>
      <c r="S755" s="620"/>
      <c r="T755" s="620"/>
      <c r="U755" s="620"/>
      <c r="V755" s="620"/>
      <c r="W755" s="620"/>
      <c r="X755" s="620"/>
    </row>
    <row r="756" spans="15:28" ht="14.25" x14ac:dyDescent="0.2">
      <c r="O756" s="534"/>
      <c r="P756" s="534"/>
      <c r="Q756" s="534"/>
      <c r="R756" s="534"/>
      <c r="S756" s="534"/>
      <c r="T756" s="534"/>
      <c r="U756" s="534"/>
      <c r="V756" s="534"/>
      <c r="W756" s="534"/>
      <c r="X756" s="534"/>
      <c r="Y756" s="534"/>
      <c r="Z756" s="142"/>
      <c r="AA756" s="142"/>
      <c r="AB756" s="142"/>
    </row>
    <row r="757" spans="15:28" ht="15" x14ac:dyDescent="0.25">
      <c r="O757" s="621" t="str">
        <f>IF(AND($AF$7=FALSE,$AF$8=FALSE,$AF$9=FALSE,$AF$10=FALSE,$AF$11=FALSE),"Não foi considerado arredondamento nos valores da planilha.",CONCATENATE("Foi considerado arredondamento de duas casas decimais para ",IF($AF$7=TRUE,"Quantidade; ",""),IF($AF$8=TRUE,"Custo Unitário; ",""),IF($AF$9=TRUE,"BDI; ",""),IF($AF$10=TRUE,"Preço Unitário; ",""),IF($AF$11=TRUE,"Preço Total.","")))</f>
        <v>Foi considerado arredondamento de duas casas decimais para Quantidade; Custo Unitário; BDI; Preço Unitário; Preço Total.</v>
      </c>
      <c r="P757" s="621"/>
      <c r="Q757" s="621"/>
      <c r="R757" s="621"/>
      <c r="S757" s="621"/>
      <c r="T757" s="621"/>
      <c r="U757" s="621"/>
      <c r="V757" s="621"/>
      <c r="W757" s="621"/>
      <c r="X757" s="621"/>
      <c r="Y757" s="143"/>
      <c r="Z757" s="143"/>
      <c r="AA757" s="143"/>
      <c r="AB757" s="143"/>
    </row>
    <row r="758" spans="15:28" ht="15" customHeight="1" x14ac:dyDescent="0.25">
      <c r="O758" s="623" t="s">
        <v>250</v>
      </c>
      <c r="P758" s="623"/>
      <c r="Q758" s="623"/>
      <c r="R758" s="623"/>
      <c r="S758" s="623"/>
      <c r="T758" s="623"/>
      <c r="U758" s="623"/>
      <c r="V758" s="623"/>
      <c r="W758" s="623"/>
      <c r="X758" s="623"/>
      <c r="Y758" s="143"/>
      <c r="Z758" s="143"/>
      <c r="AA758" s="143"/>
      <c r="AB758" s="143"/>
    </row>
    <row r="760" spans="15:28" ht="30" customHeight="1" x14ac:dyDescent="0.2">
      <c r="O760" s="622" t="str">
        <f>Import.Município</f>
        <v>Pirapora/MG</v>
      </c>
      <c r="P760" s="622"/>
      <c r="Q760" s="622"/>
      <c r="S760" s="553"/>
      <c r="T760" s="553"/>
      <c r="U760" s="553"/>
      <c r="V760" s="553"/>
      <c r="W760" s="479"/>
    </row>
    <row r="761" spans="15:28" x14ac:dyDescent="0.2">
      <c r="O761" s="10" t="s">
        <v>188</v>
      </c>
      <c r="S761" s="195" t="s">
        <v>190</v>
      </c>
      <c r="T761" s="195"/>
      <c r="U761" s="195"/>
      <c r="V761" s="195"/>
    </row>
    <row r="762" spans="15:28" x14ac:dyDescent="0.2">
      <c r="S762" s="78" t="s">
        <v>108</v>
      </c>
      <c r="T762" s="79" t="str">
        <f t="array" ref="T762:T764">Import.RespOrçamento</f>
        <v>Lwan Matheus Costa Souza</v>
      </c>
      <c r="V762" s="80"/>
    </row>
    <row r="763" spans="15:28" x14ac:dyDescent="0.2">
      <c r="O763" s="617">
        <f ca="1">DADOS!$F$25</f>
        <v>45922</v>
      </c>
      <c r="P763" s="617"/>
      <c r="Q763" s="617"/>
      <c r="S763" s="78" t="s">
        <v>109</v>
      </c>
      <c r="T763" s="79" t="str">
        <v>255.542/D</v>
      </c>
      <c r="U763" s="80"/>
      <c r="V763" s="80"/>
    </row>
    <row r="764" spans="15:28" x14ac:dyDescent="0.2">
      <c r="O764" s="146" t="s">
        <v>189</v>
      </c>
      <c r="P764" s="1"/>
      <c r="Q764" s="1"/>
      <c r="S764" s="78" t="s">
        <v>110</v>
      </c>
      <c r="T764" s="79" t="str">
        <v>MG20253712585</v>
      </c>
      <c r="U764" s="80"/>
      <c r="V764" s="80"/>
    </row>
  </sheetData>
  <sheetProtection algorithmName="SHA-512" hashValue="brRLJhhR/tCtSX3mFAVWBIxd7gGKR1daaxs43yAlfwsGaid5pKs+daMAr6q7ZNlcQ6uK1e9AxtngToIVnn5dOQ==" saltValue="rlUKIjLKm8RZ7Pfe1P4P7w==" spinCount="100000" sheet="1" objects="1" scenarios="1" autoFilter="0"/>
  <autoFilter ref="L15:L747"/>
  <mergeCells count="24">
    <mergeCell ref="O763:Q763"/>
    <mergeCell ref="O15:R15"/>
    <mergeCell ref="Q750:X750"/>
    <mergeCell ref="O753:X755"/>
    <mergeCell ref="O757:X757"/>
    <mergeCell ref="O760:Q760"/>
    <mergeCell ref="O758:X758"/>
    <mergeCell ref="O4:P4"/>
    <mergeCell ref="S4:X4"/>
    <mergeCell ref="O5:P5"/>
    <mergeCell ref="S5:X5"/>
    <mergeCell ref="F8:K8"/>
    <mergeCell ref="L8:L12"/>
    <mergeCell ref="O8:P8"/>
    <mergeCell ref="S8:U8"/>
    <mergeCell ref="F9:K9"/>
    <mergeCell ref="AE5:AF5"/>
    <mergeCell ref="O7:P7"/>
    <mergeCell ref="S7:U7"/>
    <mergeCell ref="AL7:AL11"/>
    <mergeCell ref="Y8:Y12"/>
    <mergeCell ref="Z8:Z12"/>
    <mergeCell ref="AA12:AB12"/>
    <mergeCell ref="AJ7:AJ11"/>
  </mergeCells>
  <phoneticPr fontId="40" type="noConversion"/>
  <conditionalFormatting sqref="M14 M77:M82 M105:M121 M176:M190 M315:M322 M418:M427 M478:M483 M495:M500 M533:M540 M573:M586 M590:M593 M603:M619 M639:M681 M690:M696 M708:M718 M720:M728 M743:M746 M367:M379 M266:M269">
    <cfRule type="cellIs" dxfId="2699" priority="9855" stopIfTrue="1" operator="notEqual">
      <formula>$N14</formula>
    </cfRule>
  </conditionalFormatting>
  <conditionalFormatting sqref="N14:O14 R14 W14:X14 N77:O82 R77:R82 W77:X82 N105:O121 R105:R121 W105:X121 N176:O190 R176:R190 W176:X190 N315:O322 R315:R322 W315:X322 N418:O427 R418:R427 W418:X427 W478:X483 R478:R483 N478:O483 W495:X500 R495:R500 N495:O500 N533:O540 R533:R540 W533:X540 N573:O586 R573:R586 W573:X586 N590:O593 R590:R593 W590:X593 N603:O619 R603:R619 W603:X619 N639:O681 R639:R681 W639:X681 N690:O696 R690:R696 W690:X696 N708:O718 R708:R718 W708:X718 N720:O728 R720:R728 W720:X728 N743:O746 R743:R746 W743:X746 N367:O379 R367:R379 W367:X379 N266:O269 R266:R269 W266:X269">
    <cfRule type="expression" dxfId="2698" priority="9856" stopIfTrue="1">
      <formula>$C14=1</formula>
    </cfRule>
    <cfRule type="expression" dxfId="2697" priority="9857" stopIfTrue="1">
      <formula>OR($C14=0,$C14=2,$C14=3,$C14=4)</formula>
    </cfRule>
  </conditionalFormatting>
  <conditionalFormatting sqref="U14:V14 U77:V82 U105:V121 U176:V190 U315:V322 U418:V427 U478:V483 U495:V500 U533:V540 U573:V586 U590:V593 U603:V619 U639:V681 U690:V696 U708:V718 U720:V728 U743:V746 U367:V379 U266:V269">
    <cfRule type="expression" dxfId="2696" priority="9858" stopIfTrue="1">
      <formula>$C14=1</formula>
    </cfRule>
    <cfRule type="expression" dxfId="2695" priority="9859" stopIfTrue="1">
      <formula>OR($C14=0,$C14=2,$C14=3,$C14=4)</formula>
    </cfRule>
    <cfRule type="expression" dxfId="2694" priority="9860" stopIfTrue="1">
      <formula>AND(TIPOORCAMENTO="Licitado",$C14&lt;&gt;"L",$C14&lt;&gt;-1)</formula>
    </cfRule>
  </conditionalFormatting>
  <conditionalFormatting sqref="P14:Q14 S14:T14 Y14 AG14:AH14 P77:Q82 S77:T82 Y77:Y82 AG77:AH82 P105:Q121 S105:T121 Y105:Y121 AG105:AH121 P176:Q190 S176:T190 Y176:Y190 AG176:AH190 P315:Q322 S315:T322 Y315:Y322 AG315:AH322 P418:Q427 S418:T427 Y418:Y427 AG418:AH427 AG478:AH483 Y478:Y483 S478:T483 P478:Q483 AG495:AH500 Y495:Y500 S495:T500 P495:Q500 P533:Q540 S533:T540 Y533:Y540 AG533:AH540 P573:Q586 S573:T586 Y573:Y586 AG573:AH586 P590:Q593 S590:T593 Y590:Y593 AG590:AH593 P603:Q619 S603:T619 Y603:Y619 AG603:AH619 P639:Q681 S639:T681 Y639:Y681 AG639:AH681 P690:Q696 S690:T696 Y690:Y696 AG690:AH696 P708:Q718 S708:T718 Y708:Y718 AG708:AH718 P720:Q728 S720:T728 Y720:Y728 AG720:AH728 P743:Q746 S743:T746 Y743:Y746 AG743:AH746 P367:Q379 S367:T379 Y367:Y379 AG367:AH379 P266:Q269 S266:T269 Y266:Y269 AG266:AH269">
    <cfRule type="expression" dxfId="2693" priority="9861" stopIfTrue="1">
      <formula>$C14=1</formula>
    </cfRule>
    <cfRule type="expression" dxfId="2692" priority="9862" stopIfTrue="1">
      <formula>OR($C14=0,$C14=2,$C14=3,$C14=4)</formula>
    </cfRule>
  </conditionalFormatting>
  <conditionalFormatting sqref="AJ7:AJ15 AJ77:AJ82 AJ105:AJ121 AJ176:AJ190 AJ315:AJ322 AJ418:AJ427 AJ478:AJ483 AJ495:AJ500 AJ533:AJ540 AJ573:AJ586 AJ590:AJ593 AJ603:AJ619 AJ639:AJ681 AJ690:AJ696 AJ708:AJ718 AJ720:AJ728 AJ743:AJ747 AJ367:AJ379 AJ266:AJ269">
    <cfRule type="expression" dxfId="2691" priority="9863" stopIfTrue="1">
      <formula>OR(ACOMPANHAMENTO&lt;&gt;"BM",TIPOORCAMENTO="Licitado")</formula>
    </cfRule>
    <cfRule type="expression" dxfId="2690" priority="9864" stopIfTrue="1">
      <formula>$C7=1</formula>
    </cfRule>
    <cfRule type="expression" dxfId="2689" priority="9865" stopIfTrue="1">
      <formula>OR(AND(ISNUMBER($C7),$C7=0),$C7=2,$C7=3,$C7=4)</formula>
    </cfRule>
  </conditionalFormatting>
  <conditionalFormatting sqref="AL7:AL15 AL77:AL82 AL105:AL121 AL176:AL190 AL315:AL322 AL418:AL427 AL478:AL483 AL495:AL500 AL533:AL540 AL573:AL586 AL590:AL593 AL603:AL619 AL639:AL681 AL690:AL696 AL708:AL718 AL720:AL728 AL743:AL747 AL367:AL379 AL266:AL269">
    <cfRule type="expression" dxfId="2688" priority="9866" stopIfTrue="1">
      <formula>TIPOORCAMENTO="PROPOSTO"</formula>
    </cfRule>
    <cfRule type="expression" dxfId="2687" priority="9867" stopIfTrue="1">
      <formula>$C7=1</formula>
    </cfRule>
    <cfRule type="expression" dxfId="2686" priority="9868" stopIfTrue="1">
      <formula>OR(AND(ISNUMBER($C7),$C7=0),$C7=2,$C7=3,$C7=4)</formula>
    </cfRule>
  </conditionalFormatting>
  <conditionalFormatting sqref="O8:P8">
    <cfRule type="expression" dxfId="2685" priority="9872" stopIfTrue="1">
      <formula>ISERROR(INDIRECT($F$9))</formula>
    </cfRule>
  </conditionalFormatting>
  <conditionalFormatting sqref="S7:V8">
    <cfRule type="expression" dxfId="2684" priority="9873" stopIfTrue="1">
      <formula>TIPOORCAMENTO="Proposto"</formula>
    </cfRule>
  </conditionalFormatting>
  <conditionalFormatting sqref="S9:V9">
    <cfRule type="expression" dxfId="2683" priority="9820" stopIfTrue="1">
      <formula>TIPOORCAMENTO="Proposto"</formula>
    </cfRule>
  </conditionalFormatting>
  <conditionalFormatting sqref="AM7:AN15 AM77:AN82 AM105:AN121 AM176:AN190 AM315:AN322 AM418:AN427 AM478:AN483 AM495:AN500 AM533:AN540 AM573:AN586 AM590:AN593 AM603:AN619 AM639:AN681 AM690:AN696 AM708:AN718 AM720:AN728 AM743:AN747 AM367:AN379 AM266:AN269">
    <cfRule type="expression" dxfId="2682" priority="9869" stopIfTrue="1">
      <formula>TIPOORCAMENTO="PROPOSTO"</formula>
    </cfRule>
    <cfRule type="expression" dxfId="2681" priority="9870" stopIfTrue="1">
      <formula>$C7=1</formula>
    </cfRule>
    <cfRule type="expression" dxfId="2680" priority="9871" stopIfTrue="1">
      <formula>OR(AND(ISNUMBER($C7),$C7=0),$C7=2,$C7=3,$C7=4)</formula>
    </cfRule>
  </conditionalFormatting>
  <conditionalFormatting sqref="M16:M24">
    <cfRule type="cellIs" dxfId="2679" priority="2024" stopIfTrue="1" operator="notEqual">
      <formula>$N16</formula>
    </cfRule>
  </conditionalFormatting>
  <conditionalFormatting sqref="N16:O24 R16:R24 W16:X24">
    <cfRule type="expression" dxfId="2678" priority="2025" stopIfTrue="1">
      <formula>$C16=1</formula>
    </cfRule>
    <cfRule type="expression" dxfId="2677" priority="2026" stopIfTrue="1">
      <formula>OR($C16=0,$C16=2,$C16=3,$C16=4)</formula>
    </cfRule>
  </conditionalFormatting>
  <conditionalFormatting sqref="U16:V24">
    <cfRule type="expression" dxfId="2676" priority="2027" stopIfTrue="1">
      <formula>$C16=1</formula>
    </cfRule>
    <cfRule type="expression" dxfId="2675" priority="2028" stopIfTrue="1">
      <formula>OR($C16=0,$C16=2,$C16=3,$C16=4)</formula>
    </cfRule>
    <cfRule type="expression" dxfId="2674" priority="2029" stopIfTrue="1">
      <formula>AND(TIPOORCAMENTO="Licitado",$C16&lt;&gt;"L",$C16&lt;&gt;-1)</formula>
    </cfRule>
  </conditionalFormatting>
  <conditionalFormatting sqref="P16:Q24 S16:T24 Y16:Y24 AG16:AH24">
    <cfRule type="expression" dxfId="2673" priority="2030" stopIfTrue="1">
      <formula>$C16=1</formula>
    </cfRule>
    <cfRule type="expression" dxfId="2672" priority="2031" stopIfTrue="1">
      <formula>OR($C16=0,$C16=2,$C16=3,$C16=4)</formula>
    </cfRule>
  </conditionalFormatting>
  <conditionalFormatting sqref="AJ16:AJ24">
    <cfRule type="expression" dxfId="2671" priority="2032" stopIfTrue="1">
      <formula>OR(ACOMPANHAMENTO&lt;&gt;"BM",TIPOORCAMENTO="Licitado")</formula>
    </cfRule>
    <cfRule type="expression" dxfId="2670" priority="2033" stopIfTrue="1">
      <formula>$C16=1</formula>
    </cfRule>
    <cfRule type="expression" dxfId="2669" priority="2034" stopIfTrue="1">
      <formula>OR(AND(ISNUMBER($C16),$C16=0),$C16=2,$C16=3,$C16=4)</formula>
    </cfRule>
  </conditionalFormatting>
  <conditionalFormatting sqref="AL16:AL24">
    <cfRule type="expression" dxfId="2668" priority="2035" stopIfTrue="1">
      <formula>TIPOORCAMENTO="PROPOSTO"</formula>
    </cfRule>
    <cfRule type="expression" dxfId="2667" priority="2036" stopIfTrue="1">
      <formula>$C16=1</formula>
    </cfRule>
    <cfRule type="expression" dxfId="2666" priority="2037" stopIfTrue="1">
      <formula>OR(AND(ISNUMBER($C16),$C16=0),$C16=2,$C16=3,$C16=4)</formula>
    </cfRule>
  </conditionalFormatting>
  <conditionalFormatting sqref="AM16:AN24">
    <cfRule type="expression" dxfId="2665" priority="2038" stopIfTrue="1">
      <formula>TIPOORCAMENTO="PROPOSTO"</formula>
    </cfRule>
    <cfRule type="expression" dxfId="2664" priority="2039" stopIfTrue="1">
      <formula>$C16=1</formula>
    </cfRule>
    <cfRule type="expression" dxfId="2663" priority="2040" stopIfTrue="1">
      <formula>OR(AND(ISNUMBER($C16),$C16=0),$C16=2,$C16=3,$C16=4)</formula>
    </cfRule>
  </conditionalFormatting>
  <conditionalFormatting sqref="M25:M33">
    <cfRule type="cellIs" dxfId="2662" priority="2007" stopIfTrue="1" operator="notEqual">
      <formula>$N25</formula>
    </cfRule>
  </conditionalFormatting>
  <conditionalFormatting sqref="N25:O33 R25:R33 W25:X33">
    <cfRule type="expression" dxfId="2661" priority="2008" stopIfTrue="1">
      <formula>$C25=1</formula>
    </cfRule>
    <cfRule type="expression" dxfId="2660" priority="2009" stopIfTrue="1">
      <formula>OR($C25=0,$C25=2,$C25=3,$C25=4)</formula>
    </cfRule>
  </conditionalFormatting>
  <conditionalFormatting sqref="U25:V33">
    <cfRule type="expression" dxfId="2659" priority="2010" stopIfTrue="1">
      <formula>$C25=1</formula>
    </cfRule>
    <cfRule type="expression" dxfId="2658" priority="2011" stopIfTrue="1">
      <formula>OR($C25=0,$C25=2,$C25=3,$C25=4)</formula>
    </cfRule>
    <cfRule type="expression" dxfId="2657" priority="2012" stopIfTrue="1">
      <formula>AND(TIPOORCAMENTO="Licitado",$C25&lt;&gt;"L",$C25&lt;&gt;-1)</formula>
    </cfRule>
  </conditionalFormatting>
  <conditionalFormatting sqref="P25:Q33 S25:T33 Y25:Y33 AG25:AH33">
    <cfRule type="expression" dxfId="2656" priority="2013" stopIfTrue="1">
      <formula>$C25=1</formula>
    </cfRule>
    <cfRule type="expression" dxfId="2655" priority="2014" stopIfTrue="1">
      <formula>OR($C25=0,$C25=2,$C25=3,$C25=4)</formula>
    </cfRule>
  </conditionalFormatting>
  <conditionalFormatting sqref="AJ25:AJ33">
    <cfRule type="expression" dxfId="2654" priority="2015" stopIfTrue="1">
      <formula>OR(ACOMPANHAMENTO&lt;&gt;"BM",TIPOORCAMENTO="Licitado")</formula>
    </cfRule>
    <cfRule type="expression" dxfId="2653" priority="2016" stopIfTrue="1">
      <formula>$C25=1</formula>
    </cfRule>
    <cfRule type="expression" dxfId="2652" priority="2017" stopIfTrue="1">
      <formula>OR(AND(ISNUMBER($C25),$C25=0),$C25=2,$C25=3,$C25=4)</formula>
    </cfRule>
  </conditionalFormatting>
  <conditionalFormatting sqref="AL25:AL33">
    <cfRule type="expression" dxfId="2651" priority="2018" stopIfTrue="1">
      <formula>TIPOORCAMENTO="PROPOSTO"</formula>
    </cfRule>
    <cfRule type="expression" dxfId="2650" priority="2019" stopIfTrue="1">
      <formula>$C25=1</formula>
    </cfRule>
    <cfRule type="expression" dxfId="2649" priority="2020" stopIfTrue="1">
      <formula>OR(AND(ISNUMBER($C25),$C25=0),$C25=2,$C25=3,$C25=4)</formula>
    </cfRule>
  </conditionalFormatting>
  <conditionalFormatting sqref="AM25:AN33">
    <cfRule type="expression" dxfId="2648" priority="2021" stopIfTrue="1">
      <formula>TIPOORCAMENTO="PROPOSTO"</formula>
    </cfRule>
    <cfRule type="expression" dxfId="2647" priority="2022" stopIfTrue="1">
      <formula>$C25=1</formula>
    </cfRule>
    <cfRule type="expression" dxfId="2646" priority="2023" stopIfTrue="1">
      <formula>OR(AND(ISNUMBER($C25),$C25=0),$C25=2,$C25=3,$C25=4)</formula>
    </cfRule>
  </conditionalFormatting>
  <conditionalFormatting sqref="M34:M38 M40:M43">
    <cfRule type="cellIs" dxfId="2645" priority="1990" stopIfTrue="1" operator="notEqual">
      <formula>$N34</formula>
    </cfRule>
  </conditionalFormatting>
  <conditionalFormatting sqref="N34:O38 R34:R38 W34:X38 W40:X43 R40:R43 N40:O43">
    <cfRule type="expression" dxfId="2644" priority="1991" stopIfTrue="1">
      <formula>$C34=1</formula>
    </cfRule>
    <cfRule type="expression" dxfId="2643" priority="1992" stopIfTrue="1">
      <formula>OR($C34=0,$C34=2,$C34=3,$C34=4)</formula>
    </cfRule>
  </conditionalFormatting>
  <conditionalFormatting sqref="U34:V38 U40:V43">
    <cfRule type="expression" dxfId="2642" priority="1993" stopIfTrue="1">
      <formula>$C34=1</formula>
    </cfRule>
    <cfRule type="expression" dxfId="2641" priority="1994" stopIfTrue="1">
      <formula>OR($C34=0,$C34=2,$C34=3,$C34=4)</formula>
    </cfRule>
    <cfRule type="expression" dxfId="2640" priority="1995" stopIfTrue="1">
      <formula>AND(TIPOORCAMENTO="Licitado",$C34&lt;&gt;"L",$C34&lt;&gt;-1)</formula>
    </cfRule>
  </conditionalFormatting>
  <conditionalFormatting sqref="S34:T38 Y34:Y38 AG34:AH38 AG40:AH43 Y40:Y43 S40:T43 P40:Q43 P34:Q38">
    <cfRule type="expression" dxfId="2639" priority="1996" stopIfTrue="1">
      <formula>$C34=1</formula>
    </cfRule>
    <cfRule type="expression" dxfId="2638" priority="1997" stopIfTrue="1">
      <formula>OR($C34=0,$C34=2,$C34=3,$C34=4)</formula>
    </cfRule>
  </conditionalFormatting>
  <conditionalFormatting sqref="AJ34:AJ38 AJ40:AJ43">
    <cfRule type="expression" dxfId="2637" priority="1998" stopIfTrue="1">
      <formula>OR(ACOMPANHAMENTO&lt;&gt;"BM",TIPOORCAMENTO="Licitado")</formula>
    </cfRule>
    <cfRule type="expression" dxfId="2636" priority="1999" stopIfTrue="1">
      <formula>$C34=1</formula>
    </cfRule>
    <cfRule type="expression" dxfId="2635" priority="2000" stopIfTrue="1">
      <formula>OR(AND(ISNUMBER($C34),$C34=0),$C34=2,$C34=3,$C34=4)</formula>
    </cfRule>
  </conditionalFormatting>
  <conditionalFormatting sqref="AL34:AL38 AL40:AL43">
    <cfRule type="expression" dxfId="2634" priority="2001" stopIfTrue="1">
      <formula>TIPOORCAMENTO="PROPOSTO"</formula>
    </cfRule>
    <cfRule type="expression" dxfId="2633" priority="2002" stopIfTrue="1">
      <formula>$C34=1</formula>
    </cfRule>
    <cfRule type="expression" dxfId="2632" priority="2003" stopIfTrue="1">
      <formula>OR(AND(ISNUMBER($C34),$C34=0),$C34=2,$C34=3,$C34=4)</formula>
    </cfRule>
  </conditionalFormatting>
  <conditionalFormatting sqref="AM34:AN38 AM40:AN43">
    <cfRule type="expression" dxfId="2631" priority="2004" stopIfTrue="1">
      <formula>TIPOORCAMENTO="PROPOSTO"</formula>
    </cfRule>
    <cfRule type="expression" dxfId="2630" priority="2005" stopIfTrue="1">
      <formula>$C34=1</formula>
    </cfRule>
    <cfRule type="expression" dxfId="2629" priority="2006" stopIfTrue="1">
      <formula>OR(AND(ISNUMBER($C34),$C34=0),$C34=2,$C34=3,$C34=4)</formula>
    </cfRule>
  </conditionalFormatting>
  <conditionalFormatting sqref="M44:M46 M48:M53">
    <cfRule type="cellIs" dxfId="2628" priority="1973" stopIfTrue="1" operator="notEqual">
      <formula>$N44</formula>
    </cfRule>
  </conditionalFormatting>
  <conditionalFormatting sqref="N44:O46 R44:R46 W44:X46 W48:X53 R48:R53 N48:O53">
    <cfRule type="expression" dxfId="2627" priority="1974" stopIfTrue="1">
      <formula>$C44=1</formula>
    </cfRule>
    <cfRule type="expression" dxfId="2626" priority="1975" stopIfTrue="1">
      <formula>OR($C44=0,$C44=2,$C44=3,$C44=4)</formula>
    </cfRule>
  </conditionalFormatting>
  <conditionalFormatting sqref="U44:V46 U48:V53 U47">
    <cfRule type="expression" dxfId="2625" priority="1976" stopIfTrue="1">
      <formula>$C44=1</formula>
    </cfRule>
    <cfRule type="expression" dxfId="2624" priority="1977" stopIfTrue="1">
      <formula>OR($C44=0,$C44=2,$C44=3,$C44=4)</formula>
    </cfRule>
    <cfRule type="expression" dxfId="2623" priority="1978" stopIfTrue="1">
      <formula>AND(TIPOORCAMENTO="Licitado",$C44&lt;&gt;"L",$C44&lt;&gt;-1)</formula>
    </cfRule>
  </conditionalFormatting>
  <conditionalFormatting sqref="P44:Q46 S44:T46 Y44:Y46 AG44:AH46 AG48:AH53 Y48:Y53 S48:T53 P48:Q53">
    <cfRule type="expression" dxfId="2622" priority="1979" stopIfTrue="1">
      <formula>$C44=1</formula>
    </cfRule>
    <cfRule type="expression" dxfId="2621" priority="1980" stopIfTrue="1">
      <formula>OR($C44=0,$C44=2,$C44=3,$C44=4)</formula>
    </cfRule>
  </conditionalFormatting>
  <conditionalFormatting sqref="AJ44:AJ46 AJ48:AJ53">
    <cfRule type="expression" dxfId="2620" priority="1981" stopIfTrue="1">
      <formula>OR(ACOMPANHAMENTO&lt;&gt;"BM",TIPOORCAMENTO="Licitado")</formula>
    </cfRule>
    <cfRule type="expression" dxfId="2619" priority="1982" stopIfTrue="1">
      <formula>$C44=1</formula>
    </cfRule>
    <cfRule type="expression" dxfId="2618" priority="1983" stopIfTrue="1">
      <formula>OR(AND(ISNUMBER($C44),$C44=0),$C44=2,$C44=3,$C44=4)</formula>
    </cfRule>
  </conditionalFormatting>
  <conditionalFormatting sqref="AL44:AL46 AL48:AL53">
    <cfRule type="expression" dxfId="2617" priority="1984" stopIfTrue="1">
      <formula>TIPOORCAMENTO="PROPOSTO"</formula>
    </cfRule>
    <cfRule type="expression" dxfId="2616" priority="1985" stopIfTrue="1">
      <formula>$C44=1</formula>
    </cfRule>
    <cfRule type="expression" dxfId="2615" priority="1986" stopIfTrue="1">
      <formula>OR(AND(ISNUMBER($C44),$C44=0),$C44=2,$C44=3,$C44=4)</formula>
    </cfRule>
  </conditionalFormatting>
  <conditionalFormatting sqref="AM44:AN46 AM48:AN53">
    <cfRule type="expression" dxfId="2614" priority="1987" stopIfTrue="1">
      <formula>TIPOORCAMENTO="PROPOSTO"</formula>
    </cfRule>
    <cfRule type="expression" dxfId="2613" priority="1988" stopIfTrue="1">
      <formula>$C44=1</formula>
    </cfRule>
    <cfRule type="expression" dxfId="2612" priority="1989" stopIfTrue="1">
      <formula>OR(AND(ISNUMBER($C44),$C44=0),$C44=2,$C44=3,$C44=4)</formula>
    </cfRule>
  </conditionalFormatting>
  <conditionalFormatting sqref="M54:M57 M59:M61 M75:M76">
    <cfRule type="cellIs" dxfId="2611" priority="1956" stopIfTrue="1" operator="notEqual">
      <formula>$N54</formula>
    </cfRule>
  </conditionalFormatting>
  <conditionalFormatting sqref="N54:O57 R54:R57 W54:X57 W59:X61 R59:R61 N59:O61 N75:O76 R75:R76 W75:X76">
    <cfRule type="expression" dxfId="2610" priority="1957" stopIfTrue="1">
      <formula>$C54=1</formula>
    </cfRule>
    <cfRule type="expression" dxfId="2609" priority="1958" stopIfTrue="1">
      <formula>OR($C54=0,$C54=2,$C54=3,$C54=4)</formula>
    </cfRule>
  </conditionalFormatting>
  <conditionalFormatting sqref="U54:V57 U59:V61 U75:V76">
    <cfRule type="expression" dxfId="2608" priority="1959" stopIfTrue="1">
      <formula>$C54=1</formula>
    </cfRule>
    <cfRule type="expression" dxfId="2607" priority="1960" stopIfTrue="1">
      <formula>OR($C54=0,$C54=2,$C54=3,$C54=4)</formula>
    </cfRule>
    <cfRule type="expression" dxfId="2606" priority="1961" stopIfTrue="1">
      <formula>AND(TIPOORCAMENTO="Licitado",$C54&lt;&gt;"L",$C54&lt;&gt;-1)</formula>
    </cfRule>
  </conditionalFormatting>
  <conditionalFormatting sqref="P54:Q57 S54:T57 Y54:Y57 AG54:AH57 AG59:AH61 Y59:Y61 S59:T61 P59:Q61 P75:Q76 S75:T76 Y75:Y76 AG75:AH76">
    <cfRule type="expression" dxfId="2605" priority="1962" stopIfTrue="1">
      <formula>$C54=1</formula>
    </cfRule>
    <cfRule type="expression" dxfId="2604" priority="1963" stopIfTrue="1">
      <formula>OR($C54=0,$C54=2,$C54=3,$C54=4)</formula>
    </cfRule>
  </conditionalFormatting>
  <conditionalFormatting sqref="AJ54:AJ57 AJ59:AJ61 AJ75:AJ76">
    <cfRule type="expression" dxfId="2603" priority="1964" stopIfTrue="1">
      <formula>OR(ACOMPANHAMENTO&lt;&gt;"BM",TIPOORCAMENTO="Licitado")</formula>
    </cfRule>
    <cfRule type="expression" dxfId="2602" priority="1965" stopIfTrue="1">
      <formula>$C54=1</formula>
    </cfRule>
    <cfRule type="expression" dxfId="2601" priority="1966" stopIfTrue="1">
      <formula>OR(AND(ISNUMBER($C54),$C54=0),$C54=2,$C54=3,$C54=4)</formula>
    </cfRule>
  </conditionalFormatting>
  <conditionalFormatting sqref="AL54:AL57 AL59:AL61 AL75:AL76">
    <cfRule type="expression" dxfId="2600" priority="1967" stopIfTrue="1">
      <formula>TIPOORCAMENTO="PROPOSTO"</formula>
    </cfRule>
    <cfRule type="expression" dxfId="2599" priority="1968" stopIfTrue="1">
      <formula>$C54=1</formula>
    </cfRule>
    <cfRule type="expression" dxfId="2598" priority="1969" stopIfTrue="1">
      <formula>OR(AND(ISNUMBER($C54),$C54=0),$C54=2,$C54=3,$C54=4)</formula>
    </cfRule>
  </conditionalFormatting>
  <conditionalFormatting sqref="AM54:AN57 AM59:AN61 AM75:AN76">
    <cfRule type="expression" dxfId="2597" priority="1970" stopIfTrue="1">
      <formula>TIPOORCAMENTO="PROPOSTO"</formula>
    </cfRule>
    <cfRule type="expression" dxfId="2596" priority="1971" stopIfTrue="1">
      <formula>$C54=1</formula>
    </cfRule>
    <cfRule type="expression" dxfId="2595" priority="1972" stopIfTrue="1">
      <formula>OR(AND(ISNUMBER($C54),$C54=0),$C54=2,$C54=3,$C54=4)</formula>
    </cfRule>
  </conditionalFormatting>
  <conditionalFormatting sqref="M83:M84 M88:M93 M86">
    <cfRule type="cellIs" dxfId="2594" priority="1905" stopIfTrue="1" operator="notEqual">
      <formula>$N83</formula>
    </cfRule>
  </conditionalFormatting>
  <conditionalFormatting sqref="N83:O84 R83:R84 W83:X84 W88:X93 R88:R93 N88:O93 W86:X86 R86 N86:O86">
    <cfRule type="expression" dxfId="2593" priority="1906" stopIfTrue="1">
      <formula>$C83=1</formula>
    </cfRule>
    <cfRule type="expression" dxfId="2592" priority="1907" stopIfTrue="1">
      <formula>OR($C83=0,$C83=2,$C83=3,$C83=4)</formula>
    </cfRule>
  </conditionalFormatting>
  <conditionalFormatting sqref="U83:V84 U88:V93 U86:V86">
    <cfRule type="expression" dxfId="2591" priority="1908" stopIfTrue="1">
      <formula>$C83=1</formula>
    </cfRule>
    <cfRule type="expression" dxfId="2590" priority="1909" stopIfTrue="1">
      <formula>OR($C83=0,$C83=2,$C83=3,$C83=4)</formula>
    </cfRule>
    <cfRule type="expression" dxfId="2589" priority="1910" stopIfTrue="1">
      <formula>AND(TIPOORCAMENTO="Licitado",$C83&lt;&gt;"L",$C83&lt;&gt;-1)</formula>
    </cfRule>
  </conditionalFormatting>
  <conditionalFormatting sqref="P83:Q84 S83:T84 Y83:Y84 AG83:AH84 AG88:AH93 Y88:Y93 S88:T93 P88:Q93 AG86:AH86 Y86 S86:T86 P86:Q86">
    <cfRule type="expression" dxfId="2588" priority="1911" stopIfTrue="1">
      <formula>$C83=1</formula>
    </cfRule>
    <cfRule type="expression" dxfId="2587" priority="1912" stopIfTrue="1">
      <formula>OR($C83=0,$C83=2,$C83=3,$C83=4)</formula>
    </cfRule>
  </conditionalFormatting>
  <conditionalFormatting sqref="AJ83:AJ84 AJ88:AJ93 AJ86">
    <cfRule type="expression" dxfId="2586" priority="1913" stopIfTrue="1">
      <formula>OR(ACOMPANHAMENTO&lt;&gt;"BM",TIPOORCAMENTO="Licitado")</formula>
    </cfRule>
    <cfRule type="expression" dxfId="2585" priority="1914" stopIfTrue="1">
      <formula>$C83=1</formula>
    </cfRule>
    <cfRule type="expression" dxfId="2584" priority="1915" stopIfTrue="1">
      <formula>OR(AND(ISNUMBER($C83),$C83=0),$C83=2,$C83=3,$C83=4)</formula>
    </cfRule>
  </conditionalFormatting>
  <conditionalFormatting sqref="AL83:AL84 AL88:AL93 AL86">
    <cfRule type="expression" dxfId="2583" priority="1916" stopIfTrue="1">
      <formula>TIPOORCAMENTO="PROPOSTO"</formula>
    </cfRule>
    <cfRule type="expression" dxfId="2582" priority="1917" stopIfTrue="1">
      <formula>$C83=1</formula>
    </cfRule>
    <cfRule type="expression" dxfId="2581" priority="1918" stopIfTrue="1">
      <formula>OR(AND(ISNUMBER($C83),$C83=0),$C83=2,$C83=3,$C83=4)</formula>
    </cfRule>
  </conditionalFormatting>
  <conditionalFormatting sqref="AM83:AN84 AM88:AN93 AM86:AN86">
    <cfRule type="expression" dxfId="2580" priority="1919" stopIfTrue="1">
      <formula>TIPOORCAMENTO="PROPOSTO"</formula>
    </cfRule>
    <cfRule type="expression" dxfId="2579" priority="1920" stopIfTrue="1">
      <formula>$C83=1</formula>
    </cfRule>
    <cfRule type="expression" dxfId="2578" priority="1921" stopIfTrue="1">
      <formula>OR(AND(ISNUMBER($C83),$C83=0),$C83=2,$C83=3,$C83=4)</formula>
    </cfRule>
  </conditionalFormatting>
  <conditionalFormatting sqref="M94 M100:M101">
    <cfRule type="cellIs" dxfId="2577" priority="1888" stopIfTrue="1" operator="notEqual">
      <formula>$N94</formula>
    </cfRule>
  </conditionalFormatting>
  <conditionalFormatting sqref="N94:O94 R94 W94:X94 W100:X101 R100:R101 N100:O101">
    <cfRule type="expression" dxfId="2576" priority="1889" stopIfTrue="1">
      <formula>$C94=1</formula>
    </cfRule>
    <cfRule type="expression" dxfId="2575" priority="1890" stopIfTrue="1">
      <formula>OR($C94=0,$C94=2,$C94=3,$C94=4)</formula>
    </cfRule>
  </conditionalFormatting>
  <conditionalFormatting sqref="U94:V94 U100:V101">
    <cfRule type="expression" dxfId="2574" priority="1891" stopIfTrue="1">
      <formula>$C94=1</formula>
    </cfRule>
    <cfRule type="expression" dxfId="2573" priority="1892" stopIfTrue="1">
      <formula>OR($C94=0,$C94=2,$C94=3,$C94=4)</formula>
    </cfRule>
    <cfRule type="expression" dxfId="2572" priority="1893" stopIfTrue="1">
      <formula>AND(TIPOORCAMENTO="Licitado",$C94&lt;&gt;"L",$C94&lt;&gt;-1)</formula>
    </cfRule>
  </conditionalFormatting>
  <conditionalFormatting sqref="P94:Q94 S94:T94 Y94 AG94:AH94 AG100:AH101 Y100:Y101 S100:T101 P100:Q101">
    <cfRule type="expression" dxfId="2571" priority="1894" stopIfTrue="1">
      <formula>$C94=1</formula>
    </cfRule>
    <cfRule type="expression" dxfId="2570" priority="1895" stopIfTrue="1">
      <formula>OR($C94=0,$C94=2,$C94=3,$C94=4)</formula>
    </cfRule>
  </conditionalFormatting>
  <conditionalFormatting sqref="AJ94 AJ100:AJ101">
    <cfRule type="expression" dxfId="2569" priority="1896" stopIfTrue="1">
      <formula>OR(ACOMPANHAMENTO&lt;&gt;"BM",TIPOORCAMENTO="Licitado")</formula>
    </cfRule>
    <cfRule type="expression" dxfId="2568" priority="1897" stopIfTrue="1">
      <formula>$C94=1</formula>
    </cfRule>
    <cfRule type="expression" dxfId="2567" priority="1898" stopIfTrue="1">
      <formula>OR(AND(ISNUMBER($C94),$C94=0),$C94=2,$C94=3,$C94=4)</formula>
    </cfRule>
  </conditionalFormatting>
  <conditionalFormatting sqref="AL94 AL100:AL101">
    <cfRule type="expression" dxfId="2566" priority="1899" stopIfTrue="1">
      <formula>TIPOORCAMENTO="PROPOSTO"</formula>
    </cfRule>
    <cfRule type="expression" dxfId="2565" priority="1900" stopIfTrue="1">
      <formula>$C94=1</formula>
    </cfRule>
    <cfRule type="expression" dxfId="2564" priority="1901" stopIfTrue="1">
      <formula>OR(AND(ISNUMBER($C94),$C94=0),$C94=2,$C94=3,$C94=4)</formula>
    </cfRule>
  </conditionalFormatting>
  <conditionalFormatting sqref="AM94:AN94 AM100:AN101">
    <cfRule type="expression" dxfId="2563" priority="1902" stopIfTrue="1">
      <formula>TIPOORCAMENTO="PROPOSTO"</formula>
    </cfRule>
    <cfRule type="expression" dxfId="2562" priority="1903" stopIfTrue="1">
      <formula>$C94=1</formula>
    </cfRule>
    <cfRule type="expression" dxfId="2561" priority="1904" stopIfTrue="1">
      <formula>OR(AND(ISNUMBER($C94),$C94=0),$C94=2,$C94=3,$C94=4)</formula>
    </cfRule>
  </conditionalFormatting>
  <conditionalFormatting sqref="M122:M130">
    <cfRule type="cellIs" dxfId="2560" priority="1837" stopIfTrue="1" operator="notEqual">
      <formula>$N122</formula>
    </cfRule>
  </conditionalFormatting>
  <conditionalFormatting sqref="N122:O130 R122:R130 W122:X130">
    <cfRule type="expression" dxfId="2559" priority="1838" stopIfTrue="1">
      <formula>$C122=1</formula>
    </cfRule>
    <cfRule type="expression" dxfId="2558" priority="1839" stopIfTrue="1">
      <formula>OR($C122=0,$C122=2,$C122=3,$C122=4)</formula>
    </cfRule>
  </conditionalFormatting>
  <conditionalFormatting sqref="U122:V130">
    <cfRule type="expression" dxfId="2557" priority="1840" stopIfTrue="1">
      <formula>$C122=1</formula>
    </cfRule>
    <cfRule type="expression" dxfId="2556" priority="1841" stopIfTrue="1">
      <formula>OR($C122=0,$C122=2,$C122=3,$C122=4)</formula>
    </cfRule>
    <cfRule type="expression" dxfId="2555" priority="1842" stopIfTrue="1">
      <formula>AND(TIPOORCAMENTO="Licitado",$C122&lt;&gt;"L",$C122&lt;&gt;-1)</formula>
    </cfRule>
  </conditionalFormatting>
  <conditionalFormatting sqref="P122:Q130 S122:T130 Y122:Y130 AG122:AH130">
    <cfRule type="expression" dxfId="2554" priority="1843" stopIfTrue="1">
      <formula>$C122=1</formula>
    </cfRule>
    <cfRule type="expression" dxfId="2553" priority="1844" stopIfTrue="1">
      <formula>OR($C122=0,$C122=2,$C122=3,$C122=4)</formula>
    </cfRule>
  </conditionalFormatting>
  <conditionalFormatting sqref="AJ122:AJ130">
    <cfRule type="expression" dxfId="2552" priority="1845" stopIfTrue="1">
      <formula>OR(ACOMPANHAMENTO&lt;&gt;"BM",TIPOORCAMENTO="Licitado")</formula>
    </cfRule>
    <cfRule type="expression" dxfId="2551" priority="1846" stopIfTrue="1">
      <formula>$C122=1</formula>
    </cfRule>
    <cfRule type="expression" dxfId="2550" priority="1847" stopIfTrue="1">
      <formula>OR(AND(ISNUMBER($C122),$C122=0),$C122=2,$C122=3,$C122=4)</formula>
    </cfRule>
  </conditionalFormatting>
  <conditionalFormatting sqref="AL122:AL130">
    <cfRule type="expression" dxfId="2549" priority="1848" stopIfTrue="1">
      <formula>TIPOORCAMENTO="PROPOSTO"</formula>
    </cfRule>
    <cfRule type="expression" dxfId="2548" priority="1849" stopIfTrue="1">
      <formula>$C122=1</formula>
    </cfRule>
    <cfRule type="expression" dxfId="2547" priority="1850" stopIfTrue="1">
      <formula>OR(AND(ISNUMBER($C122),$C122=0),$C122=2,$C122=3,$C122=4)</formula>
    </cfRule>
  </conditionalFormatting>
  <conditionalFormatting sqref="AM122:AN130">
    <cfRule type="expression" dxfId="2546" priority="1851" stopIfTrue="1">
      <formula>TIPOORCAMENTO="PROPOSTO"</formula>
    </cfRule>
    <cfRule type="expression" dxfId="2545" priority="1852" stopIfTrue="1">
      <formula>$C122=1</formula>
    </cfRule>
    <cfRule type="expression" dxfId="2544" priority="1853" stopIfTrue="1">
      <formula>OR(AND(ISNUMBER($C122),$C122=0),$C122=2,$C122=3,$C122=4)</formula>
    </cfRule>
  </conditionalFormatting>
  <conditionalFormatting sqref="M131:M139">
    <cfRule type="cellIs" dxfId="2543" priority="1820" stopIfTrue="1" operator="notEqual">
      <formula>$N131</formula>
    </cfRule>
  </conditionalFormatting>
  <conditionalFormatting sqref="N131:O139 R131:R139 W131:X139">
    <cfRule type="expression" dxfId="2542" priority="1821" stopIfTrue="1">
      <formula>$C131=1</formula>
    </cfRule>
    <cfRule type="expression" dxfId="2541" priority="1822" stopIfTrue="1">
      <formula>OR($C131=0,$C131=2,$C131=3,$C131=4)</formula>
    </cfRule>
  </conditionalFormatting>
  <conditionalFormatting sqref="U131:V139">
    <cfRule type="expression" dxfId="2540" priority="1823" stopIfTrue="1">
      <formula>$C131=1</formula>
    </cfRule>
    <cfRule type="expression" dxfId="2539" priority="1824" stopIfTrue="1">
      <formula>OR($C131=0,$C131=2,$C131=3,$C131=4)</formula>
    </cfRule>
    <cfRule type="expression" dxfId="2538" priority="1825" stopIfTrue="1">
      <formula>AND(TIPOORCAMENTO="Licitado",$C131&lt;&gt;"L",$C131&lt;&gt;-1)</formula>
    </cfRule>
  </conditionalFormatting>
  <conditionalFormatting sqref="P131:Q139 S131:T139 Y131:Y139 AG131:AH139">
    <cfRule type="expression" dxfId="2537" priority="1826" stopIfTrue="1">
      <formula>$C131=1</formula>
    </cfRule>
    <cfRule type="expression" dxfId="2536" priority="1827" stopIfTrue="1">
      <formula>OR($C131=0,$C131=2,$C131=3,$C131=4)</formula>
    </cfRule>
  </conditionalFormatting>
  <conditionalFormatting sqref="AJ131:AJ139">
    <cfRule type="expression" dxfId="2535" priority="1828" stopIfTrue="1">
      <formula>OR(ACOMPANHAMENTO&lt;&gt;"BM",TIPOORCAMENTO="Licitado")</formula>
    </cfRule>
    <cfRule type="expression" dxfId="2534" priority="1829" stopIfTrue="1">
      <formula>$C131=1</formula>
    </cfRule>
    <cfRule type="expression" dxfId="2533" priority="1830" stopIfTrue="1">
      <formula>OR(AND(ISNUMBER($C131),$C131=0),$C131=2,$C131=3,$C131=4)</formula>
    </cfRule>
  </conditionalFormatting>
  <conditionalFormatting sqref="AL131:AL139">
    <cfRule type="expression" dxfId="2532" priority="1831" stopIfTrue="1">
      <formula>TIPOORCAMENTO="PROPOSTO"</formula>
    </cfRule>
    <cfRule type="expression" dxfId="2531" priority="1832" stopIfTrue="1">
      <formula>$C131=1</formula>
    </cfRule>
    <cfRule type="expression" dxfId="2530" priority="1833" stopIfTrue="1">
      <formula>OR(AND(ISNUMBER($C131),$C131=0),$C131=2,$C131=3,$C131=4)</formula>
    </cfRule>
  </conditionalFormatting>
  <conditionalFormatting sqref="AM131:AN139">
    <cfRule type="expression" dxfId="2529" priority="1834" stopIfTrue="1">
      <formula>TIPOORCAMENTO="PROPOSTO"</formula>
    </cfRule>
    <cfRule type="expression" dxfId="2528" priority="1835" stopIfTrue="1">
      <formula>$C131=1</formula>
    </cfRule>
    <cfRule type="expression" dxfId="2527" priority="1836" stopIfTrue="1">
      <formula>OR(AND(ISNUMBER($C131),$C131=0),$C131=2,$C131=3,$C131=4)</formula>
    </cfRule>
  </conditionalFormatting>
  <conditionalFormatting sqref="M140:M148">
    <cfRule type="cellIs" dxfId="2526" priority="1803" stopIfTrue="1" operator="notEqual">
      <formula>$N140</formula>
    </cfRule>
  </conditionalFormatting>
  <conditionalFormatting sqref="N140:O148 R140:R148 W140:X148">
    <cfRule type="expression" dxfId="2525" priority="1804" stopIfTrue="1">
      <formula>$C140=1</formula>
    </cfRule>
    <cfRule type="expression" dxfId="2524" priority="1805" stopIfTrue="1">
      <formula>OR($C140=0,$C140=2,$C140=3,$C140=4)</formula>
    </cfRule>
  </conditionalFormatting>
  <conditionalFormatting sqref="U140:V148">
    <cfRule type="expression" dxfId="2523" priority="1806" stopIfTrue="1">
      <formula>$C140=1</formula>
    </cfRule>
    <cfRule type="expression" dxfId="2522" priority="1807" stopIfTrue="1">
      <formula>OR($C140=0,$C140=2,$C140=3,$C140=4)</formula>
    </cfRule>
    <cfRule type="expression" dxfId="2521" priority="1808" stopIfTrue="1">
      <formula>AND(TIPOORCAMENTO="Licitado",$C140&lt;&gt;"L",$C140&lt;&gt;-1)</formula>
    </cfRule>
  </conditionalFormatting>
  <conditionalFormatting sqref="P140:Q148 S140:T148 Y140:Y148 AG140:AH148">
    <cfRule type="expression" dxfId="2520" priority="1809" stopIfTrue="1">
      <formula>$C140=1</formula>
    </cfRule>
    <cfRule type="expression" dxfId="2519" priority="1810" stopIfTrue="1">
      <formula>OR($C140=0,$C140=2,$C140=3,$C140=4)</formula>
    </cfRule>
  </conditionalFormatting>
  <conditionalFormatting sqref="AJ140:AJ148">
    <cfRule type="expression" dxfId="2518" priority="1811" stopIfTrue="1">
      <formula>OR(ACOMPANHAMENTO&lt;&gt;"BM",TIPOORCAMENTO="Licitado")</formula>
    </cfRule>
    <cfRule type="expression" dxfId="2517" priority="1812" stopIfTrue="1">
      <formula>$C140=1</formula>
    </cfRule>
    <cfRule type="expression" dxfId="2516" priority="1813" stopIfTrue="1">
      <formula>OR(AND(ISNUMBER($C140),$C140=0),$C140=2,$C140=3,$C140=4)</formula>
    </cfRule>
  </conditionalFormatting>
  <conditionalFormatting sqref="AL140:AL148">
    <cfRule type="expression" dxfId="2515" priority="1814" stopIfTrue="1">
      <formula>TIPOORCAMENTO="PROPOSTO"</formula>
    </cfRule>
    <cfRule type="expression" dxfId="2514" priority="1815" stopIfTrue="1">
      <formula>$C140=1</formula>
    </cfRule>
    <cfRule type="expression" dxfId="2513" priority="1816" stopIfTrue="1">
      <formula>OR(AND(ISNUMBER($C140),$C140=0),$C140=2,$C140=3,$C140=4)</formula>
    </cfRule>
  </conditionalFormatting>
  <conditionalFormatting sqref="AM140:AN148">
    <cfRule type="expression" dxfId="2512" priority="1817" stopIfTrue="1">
      <formula>TIPOORCAMENTO="PROPOSTO"</formula>
    </cfRule>
    <cfRule type="expression" dxfId="2511" priority="1818" stopIfTrue="1">
      <formula>$C140=1</formula>
    </cfRule>
    <cfRule type="expression" dxfId="2510" priority="1819" stopIfTrue="1">
      <formula>OR(AND(ISNUMBER($C140),$C140=0),$C140=2,$C140=3,$C140=4)</formula>
    </cfRule>
  </conditionalFormatting>
  <conditionalFormatting sqref="M149:M157">
    <cfRule type="cellIs" dxfId="2509" priority="1786" stopIfTrue="1" operator="notEqual">
      <formula>$N149</formula>
    </cfRule>
  </conditionalFormatting>
  <conditionalFormatting sqref="N149:O157 R149:R157 W149:X157">
    <cfRule type="expression" dxfId="2508" priority="1787" stopIfTrue="1">
      <formula>$C149=1</formula>
    </cfRule>
    <cfRule type="expression" dxfId="2507" priority="1788" stopIfTrue="1">
      <formula>OR($C149=0,$C149=2,$C149=3,$C149=4)</formula>
    </cfRule>
  </conditionalFormatting>
  <conditionalFormatting sqref="U149:V157">
    <cfRule type="expression" dxfId="2506" priority="1789" stopIfTrue="1">
      <formula>$C149=1</formula>
    </cfRule>
    <cfRule type="expression" dxfId="2505" priority="1790" stopIfTrue="1">
      <formula>OR($C149=0,$C149=2,$C149=3,$C149=4)</formula>
    </cfRule>
    <cfRule type="expression" dxfId="2504" priority="1791" stopIfTrue="1">
      <formula>AND(TIPOORCAMENTO="Licitado",$C149&lt;&gt;"L",$C149&lt;&gt;-1)</formula>
    </cfRule>
  </conditionalFormatting>
  <conditionalFormatting sqref="P149:Q157 S149:T157 Y149:Y157 AG149:AH157">
    <cfRule type="expression" dxfId="2503" priority="1792" stopIfTrue="1">
      <formula>$C149=1</formula>
    </cfRule>
    <cfRule type="expression" dxfId="2502" priority="1793" stopIfTrue="1">
      <formula>OR($C149=0,$C149=2,$C149=3,$C149=4)</formula>
    </cfRule>
  </conditionalFormatting>
  <conditionalFormatting sqref="AJ149:AJ157">
    <cfRule type="expression" dxfId="2501" priority="1794" stopIfTrue="1">
      <formula>OR(ACOMPANHAMENTO&lt;&gt;"BM",TIPOORCAMENTO="Licitado")</formula>
    </cfRule>
    <cfRule type="expression" dxfId="2500" priority="1795" stopIfTrue="1">
      <formula>$C149=1</formula>
    </cfRule>
    <cfRule type="expression" dxfId="2499" priority="1796" stopIfTrue="1">
      <formula>OR(AND(ISNUMBER($C149),$C149=0),$C149=2,$C149=3,$C149=4)</formula>
    </cfRule>
  </conditionalFormatting>
  <conditionalFormatting sqref="AL149:AL157">
    <cfRule type="expression" dxfId="2498" priority="1797" stopIfTrue="1">
      <formula>TIPOORCAMENTO="PROPOSTO"</formula>
    </cfRule>
    <cfRule type="expression" dxfId="2497" priority="1798" stopIfTrue="1">
      <formula>$C149=1</formula>
    </cfRule>
    <cfRule type="expression" dxfId="2496" priority="1799" stopIfTrue="1">
      <formula>OR(AND(ISNUMBER($C149),$C149=0),$C149=2,$C149=3,$C149=4)</formula>
    </cfRule>
  </conditionalFormatting>
  <conditionalFormatting sqref="AM149:AN157">
    <cfRule type="expression" dxfId="2495" priority="1800" stopIfTrue="1">
      <formula>TIPOORCAMENTO="PROPOSTO"</formula>
    </cfRule>
    <cfRule type="expression" dxfId="2494" priority="1801" stopIfTrue="1">
      <formula>$C149=1</formula>
    </cfRule>
    <cfRule type="expression" dxfId="2493" priority="1802" stopIfTrue="1">
      <formula>OR(AND(ISNUMBER($C149),$C149=0),$C149=2,$C149=3,$C149=4)</formula>
    </cfRule>
  </conditionalFormatting>
  <conditionalFormatting sqref="M158:M166">
    <cfRule type="cellIs" dxfId="2492" priority="1769" stopIfTrue="1" operator="notEqual">
      <formula>$N158</formula>
    </cfRule>
  </conditionalFormatting>
  <conditionalFormatting sqref="N158:O166 R158:R166 W158:X166">
    <cfRule type="expression" dxfId="2491" priority="1770" stopIfTrue="1">
      <formula>$C158=1</formula>
    </cfRule>
    <cfRule type="expression" dxfId="2490" priority="1771" stopIfTrue="1">
      <formula>OR($C158=0,$C158=2,$C158=3,$C158=4)</formula>
    </cfRule>
  </conditionalFormatting>
  <conditionalFormatting sqref="U158:V166">
    <cfRule type="expression" dxfId="2489" priority="1772" stopIfTrue="1">
      <formula>$C158=1</formula>
    </cfRule>
    <cfRule type="expression" dxfId="2488" priority="1773" stopIfTrue="1">
      <formula>OR($C158=0,$C158=2,$C158=3,$C158=4)</formula>
    </cfRule>
    <cfRule type="expression" dxfId="2487" priority="1774" stopIfTrue="1">
      <formula>AND(TIPOORCAMENTO="Licitado",$C158&lt;&gt;"L",$C158&lt;&gt;-1)</formula>
    </cfRule>
  </conditionalFormatting>
  <conditionalFormatting sqref="P158:Q166 S158:T166 Y158:Y166 AG158:AH166">
    <cfRule type="expression" dxfId="2486" priority="1775" stopIfTrue="1">
      <formula>$C158=1</formula>
    </cfRule>
    <cfRule type="expression" dxfId="2485" priority="1776" stopIfTrue="1">
      <formula>OR($C158=0,$C158=2,$C158=3,$C158=4)</formula>
    </cfRule>
  </conditionalFormatting>
  <conditionalFormatting sqref="AJ158:AJ166">
    <cfRule type="expression" dxfId="2484" priority="1777" stopIfTrue="1">
      <formula>OR(ACOMPANHAMENTO&lt;&gt;"BM",TIPOORCAMENTO="Licitado")</formula>
    </cfRule>
    <cfRule type="expression" dxfId="2483" priority="1778" stopIfTrue="1">
      <formula>$C158=1</formula>
    </cfRule>
    <cfRule type="expression" dxfId="2482" priority="1779" stopIfTrue="1">
      <formula>OR(AND(ISNUMBER($C158),$C158=0),$C158=2,$C158=3,$C158=4)</formula>
    </cfRule>
  </conditionalFormatting>
  <conditionalFormatting sqref="AL158:AL166">
    <cfRule type="expression" dxfId="2481" priority="1780" stopIfTrue="1">
      <formula>TIPOORCAMENTO="PROPOSTO"</formula>
    </cfRule>
    <cfRule type="expression" dxfId="2480" priority="1781" stopIfTrue="1">
      <formula>$C158=1</formula>
    </cfRule>
    <cfRule type="expression" dxfId="2479" priority="1782" stopIfTrue="1">
      <formula>OR(AND(ISNUMBER($C158),$C158=0),$C158=2,$C158=3,$C158=4)</formula>
    </cfRule>
  </conditionalFormatting>
  <conditionalFormatting sqref="AM158:AN166">
    <cfRule type="expression" dxfId="2478" priority="1783" stopIfTrue="1">
      <formula>TIPOORCAMENTO="PROPOSTO"</formula>
    </cfRule>
    <cfRule type="expression" dxfId="2477" priority="1784" stopIfTrue="1">
      <formula>$C158=1</formula>
    </cfRule>
    <cfRule type="expression" dxfId="2476" priority="1785" stopIfTrue="1">
      <formula>OR(AND(ISNUMBER($C158),$C158=0),$C158=2,$C158=3,$C158=4)</formula>
    </cfRule>
  </conditionalFormatting>
  <conditionalFormatting sqref="M167:M175">
    <cfRule type="cellIs" dxfId="2475" priority="1752" stopIfTrue="1" operator="notEqual">
      <formula>$N167</formula>
    </cfRule>
  </conditionalFormatting>
  <conditionalFormatting sqref="N167:O175 R167:R175 W167:X175">
    <cfRule type="expression" dxfId="2474" priority="1753" stopIfTrue="1">
      <formula>$C167=1</formula>
    </cfRule>
    <cfRule type="expression" dxfId="2473" priority="1754" stopIfTrue="1">
      <formula>OR($C167=0,$C167=2,$C167=3,$C167=4)</formula>
    </cfRule>
  </conditionalFormatting>
  <conditionalFormatting sqref="U167:V175">
    <cfRule type="expression" dxfId="2472" priority="1755" stopIfTrue="1">
      <formula>$C167=1</formula>
    </cfRule>
    <cfRule type="expression" dxfId="2471" priority="1756" stopIfTrue="1">
      <formula>OR($C167=0,$C167=2,$C167=3,$C167=4)</formula>
    </cfRule>
    <cfRule type="expression" dxfId="2470" priority="1757" stopIfTrue="1">
      <formula>AND(TIPOORCAMENTO="Licitado",$C167&lt;&gt;"L",$C167&lt;&gt;-1)</formula>
    </cfRule>
  </conditionalFormatting>
  <conditionalFormatting sqref="P167:Q175 S167:T175 Y167:Y175 AG167:AH175">
    <cfRule type="expression" dxfId="2469" priority="1758" stopIfTrue="1">
      <formula>$C167=1</formula>
    </cfRule>
    <cfRule type="expression" dxfId="2468" priority="1759" stopIfTrue="1">
      <formula>OR($C167=0,$C167=2,$C167=3,$C167=4)</formula>
    </cfRule>
  </conditionalFormatting>
  <conditionalFormatting sqref="AJ167:AJ175">
    <cfRule type="expression" dxfId="2467" priority="1760" stopIfTrue="1">
      <formula>OR(ACOMPANHAMENTO&lt;&gt;"BM",TIPOORCAMENTO="Licitado")</formula>
    </cfRule>
    <cfRule type="expression" dxfId="2466" priority="1761" stopIfTrue="1">
      <formula>$C167=1</formula>
    </cfRule>
    <cfRule type="expression" dxfId="2465" priority="1762" stopIfTrue="1">
      <formula>OR(AND(ISNUMBER($C167),$C167=0),$C167=2,$C167=3,$C167=4)</formula>
    </cfRule>
  </conditionalFormatting>
  <conditionalFormatting sqref="AL167:AL175">
    <cfRule type="expression" dxfId="2464" priority="1763" stopIfTrue="1">
      <formula>TIPOORCAMENTO="PROPOSTO"</formula>
    </cfRule>
    <cfRule type="expression" dxfId="2463" priority="1764" stopIfTrue="1">
      <formula>$C167=1</formula>
    </cfRule>
    <cfRule type="expression" dxfId="2462" priority="1765" stopIfTrue="1">
      <formula>OR(AND(ISNUMBER($C167),$C167=0),$C167=2,$C167=3,$C167=4)</formula>
    </cfRule>
  </conditionalFormatting>
  <conditionalFormatting sqref="AM167:AN175">
    <cfRule type="expression" dxfId="2461" priority="1766" stopIfTrue="1">
      <formula>TIPOORCAMENTO="PROPOSTO"</formula>
    </cfRule>
    <cfRule type="expression" dxfId="2460" priority="1767" stopIfTrue="1">
      <formula>$C167=1</formula>
    </cfRule>
    <cfRule type="expression" dxfId="2459" priority="1768" stopIfTrue="1">
      <formula>OR(AND(ISNUMBER($C167),$C167=0),$C167=2,$C167=3,$C167=4)</formula>
    </cfRule>
  </conditionalFormatting>
  <conditionalFormatting sqref="M191:M199">
    <cfRule type="cellIs" dxfId="2458" priority="1701" stopIfTrue="1" operator="notEqual">
      <formula>$N191</formula>
    </cfRule>
  </conditionalFormatting>
  <conditionalFormatting sqref="N191:O199 R191:R199 W191:X199">
    <cfRule type="expression" dxfId="2457" priority="1702" stopIfTrue="1">
      <formula>$C191=1</formula>
    </cfRule>
    <cfRule type="expression" dxfId="2456" priority="1703" stopIfTrue="1">
      <formula>OR($C191=0,$C191=2,$C191=3,$C191=4)</formula>
    </cfRule>
  </conditionalFormatting>
  <conditionalFormatting sqref="U191:V199">
    <cfRule type="expression" dxfId="2455" priority="1704" stopIfTrue="1">
      <formula>$C191=1</formula>
    </cfRule>
    <cfRule type="expression" dxfId="2454" priority="1705" stopIfTrue="1">
      <formula>OR($C191=0,$C191=2,$C191=3,$C191=4)</formula>
    </cfRule>
    <cfRule type="expression" dxfId="2453" priority="1706" stopIfTrue="1">
      <formula>AND(TIPOORCAMENTO="Licitado",$C191&lt;&gt;"L",$C191&lt;&gt;-1)</formula>
    </cfRule>
  </conditionalFormatting>
  <conditionalFormatting sqref="P191:Q199 S191:T199 Y191:Y199 AG191:AH199">
    <cfRule type="expression" dxfId="2452" priority="1707" stopIfTrue="1">
      <formula>$C191=1</formula>
    </cfRule>
    <cfRule type="expression" dxfId="2451" priority="1708" stopIfTrue="1">
      <formula>OR($C191=0,$C191=2,$C191=3,$C191=4)</formula>
    </cfRule>
  </conditionalFormatting>
  <conditionalFormatting sqref="AJ191:AJ199">
    <cfRule type="expression" dxfId="2450" priority="1709" stopIfTrue="1">
      <formula>OR(ACOMPANHAMENTO&lt;&gt;"BM",TIPOORCAMENTO="Licitado")</formula>
    </cfRule>
    <cfRule type="expression" dxfId="2449" priority="1710" stopIfTrue="1">
      <formula>$C191=1</formula>
    </cfRule>
    <cfRule type="expression" dxfId="2448" priority="1711" stopIfTrue="1">
      <formula>OR(AND(ISNUMBER($C191),$C191=0),$C191=2,$C191=3,$C191=4)</formula>
    </cfRule>
  </conditionalFormatting>
  <conditionalFormatting sqref="AL191:AL199">
    <cfRule type="expression" dxfId="2447" priority="1712" stopIfTrue="1">
      <formula>TIPOORCAMENTO="PROPOSTO"</formula>
    </cfRule>
    <cfRule type="expression" dxfId="2446" priority="1713" stopIfTrue="1">
      <formula>$C191=1</formula>
    </cfRule>
    <cfRule type="expression" dxfId="2445" priority="1714" stopIfTrue="1">
      <formula>OR(AND(ISNUMBER($C191),$C191=0),$C191=2,$C191=3,$C191=4)</formula>
    </cfRule>
  </conditionalFormatting>
  <conditionalFormatting sqref="AM191:AN199">
    <cfRule type="expression" dxfId="2444" priority="1715" stopIfTrue="1">
      <formula>TIPOORCAMENTO="PROPOSTO"</formula>
    </cfRule>
    <cfRule type="expression" dxfId="2443" priority="1716" stopIfTrue="1">
      <formula>$C191=1</formula>
    </cfRule>
    <cfRule type="expression" dxfId="2442" priority="1717" stopIfTrue="1">
      <formula>OR(AND(ISNUMBER($C191),$C191=0),$C191=2,$C191=3,$C191=4)</formula>
    </cfRule>
  </conditionalFormatting>
  <conditionalFormatting sqref="M200:M206 M213:M214">
    <cfRule type="cellIs" dxfId="2441" priority="1684" stopIfTrue="1" operator="notEqual">
      <formula>$N200</formula>
    </cfRule>
  </conditionalFormatting>
  <conditionalFormatting sqref="W200:X206 R200:R206 N200:O206 N213:O214 R213:R214 W213:X214">
    <cfRule type="expression" dxfId="2440" priority="1685" stopIfTrue="1">
      <formula>$C200=1</formula>
    </cfRule>
    <cfRule type="expression" dxfId="2439" priority="1686" stopIfTrue="1">
      <formula>OR($C200=0,$C200=2,$C200=3,$C200=4)</formula>
    </cfRule>
  </conditionalFormatting>
  <conditionalFormatting sqref="U200:V206 U213:V214">
    <cfRule type="expression" dxfId="2438" priority="1687" stopIfTrue="1">
      <formula>$C200=1</formula>
    </cfRule>
    <cfRule type="expression" dxfId="2437" priority="1688" stopIfTrue="1">
      <formula>OR($C200=0,$C200=2,$C200=3,$C200=4)</formula>
    </cfRule>
    <cfRule type="expression" dxfId="2436" priority="1689" stopIfTrue="1">
      <formula>AND(TIPOORCAMENTO="Licitado",$C200&lt;&gt;"L",$C200&lt;&gt;-1)</formula>
    </cfRule>
  </conditionalFormatting>
  <conditionalFormatting sqref="AG200:AH206 Y200:Y206 S200:T206 P200:Q206 P213:Q214 S213:T214 Y213:Y214 AG213:AH214">
    <cfRule type="expression" dxfId="2435" priority="1690" stopIfTrue="1">
      <formula>$C200=1</formula>
    </cfRule>
    <cfRule type="expression" dxfId="2434" priority="1691" stopIfTrue="1">
      <formula>OR($C200=0,$C200=2,$C200=3,$C200=4)</formula>
    </cfRule>
  </conditionalFormatting>
  <conditionalFormatting sqref="AJ200:AJ206 AJ213:AJ214">
    <cfRule type="expression" dxfId="2433" priority="1692" stopIfTrue="1">
      <formula>OR(ACOMPANHAMENTO&lt;&gt;"BM",TIPOORCAMENTO="Licitado")</formula>
    </cfRule>
    <cfRule type="expression" dxfId="2432" priority="1693" stopIfTrue="1">
      <formula>$C200=1</formula>
    </cfRule>
    <cfRule type="expression" dxfId="2431" priority="1694" stopIfTrue="1">
      <formula>OR(AND(ISNUMBER($C200),$C200=0),$C200=2,$C200=3,$C200=4)</formula>
    </cfRule>
  </conditionalFormatting>
  <conditionalFormatting sqref="AL200:AL206 AL213:AL214">
    <cfRule type="expression" dxfId="2430" priority="1695" stopIfTrue="1">
      <formula>TIPOORCAMENTO="PROPOSTO"</formula>
    </cfRule>
    <cfRule type="expression" dxfId="2429" priority="1696" stopIfTrue="1">
      <formula>$C200=1</formula>
    </cfRule>
    <cfRule type="expression" dxfId="2428" priority="1697" stopIfTrue="1">
      <formula>OR(AND(ISNUMBER($C200),$C200=0),$C200=2,$C200=3,$C200=4)</formula>
    </cfRule>
  </conditionalFormatting>
  <conditionalFormatting sqref="AM200:AN206 AM213:AN214">
    <cfRule type="expression" dxfId="2427" priority="1698" stopIfTrue="1">
      <formula>TIPOORCAMENTO="PROPOSTO"</formula>
    </cfRule>
    <cfRule type="expression" dxfId="2426" priority="1699" stopIfTrue="1">
      <formula>$C200=1</formula>
    </cfRule>
    <cfRule type="expression" dxfId="2425" priority="1700" stopIfTrue="1">
      <formula>OR(AND(ISNUMBER($C200),$C200=0),$C200=2,$C200=3,$C200=4)</formula>
    </cfRule>
  </conditionalFormatting>
  <conditionalFormatting sqref="M215:M223">
    <cfRule type="cellIs" dxfId="2424" priority="1667" stopIfTrue="1" operator="notEqual">
      <formula>$N215</formula>
    </cfRule>
  </conditionalFormatting>
  <conditionalFormatting sqref="N215:O223 R215:R223 W215:X223">
    <cfRule type="expression" dxfId="2423" priority="1668" stopIfTrue="1">
      <formula>$C215=1</formula>
    </cfRule>
    <cfRule type="expression" dxfId="2422" priority="1669" stopIfTrue="1">
      <formula>OR($C215=0,$C215=2,$C215=3,$C215=4)</formula>
    </cfRule>
  </conditionalFormatting>
  <conditionalFormatting sqref="U215:V223">
    <cfRule type="expression" dxfId="2421" priority="1670" stopIfTrue="1">
      <formula>$C215=1</formula>
    </cfRule>
    <cfRule type="expression" dxfId="2420" priority="1671" stopIfTrue="1">
      <formula>OR($C215=0,$C215=2,$C215=3,$C215=4)</formula>
    </cfRule>
    <cfRule type="expression" dxfId="2419" priority="1672" stopIfTrue="1">
      <formula>AND(TIPOORCAMENTO="Licitado",$C215&lt;&gt;"L",$C215&lt;&gt;-1)</formula>
    </cfRule>
  </conditionalFormatting>
  <conditionalFormatting sqref="P215:Q223 S215:T223 Y215:Y223 AG215:AH223">
    <cfRule type="expression" dxfId="2418" priority="1673" stopIfTrue="1">
      <formula>$C215=1</formula>
    </cfRule>
    <cfRule type="expression" dxfId="2417" priority="1674" stopIfTrue="1">
      <formula>OR($C215=0,$C215=2,$C215=3,$C215=4)</formula>
    </cfRule>
  </conditionalFormatting>
  <conditionalFormatting sqref="AJ215:AJ223">
    <cfRule type="expression" dxfId="2416" priority="1675" stopIfTrue="1">
      <formula>OR(ACOMPANHAMENTO&lt;&gt;"BM",TIPOORCAMENTO="Licitado")</formula>
    </cfRule>
    <cfRule type="expression" dxfId="2415" priority="1676" stopIfTrue="1">
      <formula>$C215=1</formula>
    </cfRule>
    <cfRule type="expression" dxfId="2414" priority="1677" stopIfTrue="1">
      <formula>OR(AND(ISNUMBER($C215),$C215=0),$C215=2,$C215=3,$C215=4)</formula>
    </cfRule>
  </conditionalFormatting>
  <conditionalFormatting sqref="AL215:AL223">
    <cfRule type="expression" dxfId="2413" priority="1678" stopIfTrue="1">
      <formula>TIPOORCAMENTO="PROPOSTO"</formula>
    </cfRule>
    <cfRule type="expression" dxfId="2412" priority="1679" stopIfTrue="1">
      <formula>$C215=1</formula>
    </cfRule>
    <cfRule type="expression" dxfId="2411" priority="1680" stopIfTrue="1">
      <formula>OR(AND(ISNUMBER($C215),$C215=0),$C215=2,$C215=3,$C215=4)</formula>
    </cfRule>
  </conditionalFormatting>
  <conditionalFormatting sqref="AM215:AN223">
    <cfRule type="expression" dxfId="2410" priority="1681" stopIfTrue="1">
      <formula>TIPOORCAMENTO="PROPOSTO"</formula>
    </cfRule>
    <cfRule type="expression" dxfId="2409" priority="1682" stopIfTrue="1">
      <formula>$C215=1</formula>
    </cfRule>
    <cfRule type="expression" dxfId="2408" priority="1683" stopIfTrue="1">
      <formula>OR(AND(ISNUMBER($C215),$C215=0),$C215=2,$C215=3,$C215=4)</formula>
    </cfRule>
  </conditionalFormatting>
  <conditionalFormatting sqref="M224:M225 M227:M233">
    <cfRule type="cellIs" dxfId="2407" priority="1650" stopIfTrue="1" operator="notEqual">
      <formula>$N224</formula>
    </cfRule>
  </conditionalFormatting>
  <conditionalFormatting sqref="N224:O225 R224:R225 W224:X225 W227:X233 R227:R233 N227:O233">
    <cfRule type="expression" dxfId="2406" priority="1651" stopIfTrue="1">
      <formula>$C224=1</formula>
    </cfRule>
    <cfRule type="expression" dxfId="2405" priority="1652" stopIfTrue="1">
      <formula>OR($C224=0,$C224=2,$C224=3,$C224=4)</formula>
    </cfRule>
  </conditionalFormatting>
  <conditionalFormatting sqref="U224:V225 U227:V233">
    <cfRule type="expression" dxfId="2404" priority="1653" stopIfTrue="1">
      <formula>$C224=1</formula>
    </cfRule>
    <cfRule type="expression" dxfId="2403" priority="1654" stopIfTrue="1">
      <formula>OR($C224=0,$C224=2,$C224=3,$C224=4)</formula>
    </cfRule>
    <cfRule type="expression" dxfId="2402" priority="1655" stopIfTrue="1">
      <formula>AND(TIPOORCAMENTO="Licitado",$C224&lt;&gt;"L",$C224&lt;&gt;-1)</formula>
    </cfRule>
  </conditionalFormatting>
  <conditionalFormatting sqref="P224:Q225 S224:T225 Y224:Y225 AG224:AH225 AG227:AH233 Y227:Y233 S227:T233 P227:Q233">
    <cfRule type="expression" dxfId="2401" priority="1656" stopIfTrue="1">
      <formula>$C224=1</formula>
    </cfRule>
    <cfRule type="expression" dxfId="2400" priority="1657" stopIfTrue="1">
      <formula>OR($C224=0,$C224=2,$C224=3,$C224=4)</formula>
    </cfRule>
  </conditionalFormatting>
  <conditionalFormatting sqref="AJ224:AJ225 AJ227:AJ233">
    <cfRule type="expression" dxfId="2399" priority="1658" stopIfTrue="1">
      <formula>OR(ACOMPANHAMENTO&lt;&gt;"BM",TIPOORCAMENTO="Licitado")</formula>
    </cfRule>
    <cfRule type="expression" dxfId="2398" priority="1659" stopIfTrue="1">
      <formula>$C224=1</formula>
    </cfRule>
    <cfRule type="expression" dxfId="2397" priority="1660" stopIfTrue="1">
      <formula>OR(AND(ISNUMBER($C224),$C224=0),$C224=2,$C224=3,$C224=4)</formula>
    </cfRule>
  </conditionalFormatting>
  <conditionalFormatting sqref="AL224:AL225 AL227:AL233">
    <cfRule type="expression" dxfId="2396" priority="1661" stopIfTrue="1">
      <formula>TIPOORCAMENTO="PROPOSTO"</formula>
    </cfRule>
    <cfRule type="expression" dxfId="2395" priority="1662" stopIfTrue="1">
      <formula>$C224=1</formula>
    </cfRule>
    <cfRule type="expression" dxfId="2394" priority="1663" stopIfTrue="1">
      <formula>OR(AND(ISNUMBER($C224),$C224=0),$C224=2,$C224=3,$C224=4)</formula>
    </cfRule>
  </conditionalFormatting>
  <conditionalFormatting sqref="AM224:AN225 AM227:AN233">
    <cfRule type="expression" dxfId="2393" priority="1664" stopIfTrue="1">
      <formula>TIPOORCAMENTO="PROPOSTO"</formula>
    </cfRule>
    <cfRule type="expression" dxfId="2392" priority="1665" stopIfTrue="1">
      <formula>$C224=1</formula>
    </cfRule>
    <cfRule type="expression" dxfId="2391" priority="1666" stopIfTrue="1">
      <formula>OR(AND(ISNUMBER($C224),$C224=0),$C224=2,$C224=3,$C224=4)</formula>
    </cfRule>
  </conditionalFormatting>
  <conditionalFormatting sqref="M234:M235 M240:M246">
    <cfRule type="cellIs" dxfId="2390" priority="1633" stopIfTrue="1" operator="notEqual">
      <formula>$N234</formula>
    </cfRule>
  </conditionalFormatting>
  <conditionalFormatting sqref="N234:O235 R234:R235 W234:X235 W240:X246 R240:R246 N240:O246">
    <cfRule type="expression" dxfId="2389" priority="1634" stopIfTrue="1">
      <formula>$C234=1</formula>
    </cfRule>
    <cfRule type="expression" dxfId="2388" priority="1635" stopIfTrue="1">
      <formula>OR($C234=0,$C234=2,$C234=3,$C234=4)</formula>
    </cfRule>
  </conditionalFormatting>
  <conditionalFormatting sqref="U234:V235 U240:V246">
    <cfRule type="expression" dxfId="2387" priority="1636" stopIfTrue="1">
      <formula>$C234=1</formula>
    </cfRule>
    <cfRule type="expression" dxfId="2386" priority="1637" stopIfTrue="1">
      <formula>OR($C234=0,$C234=2,$C234=3,$C234=4)</formula>
    </cfRule>
    <cfRule type="expression" dxfId="2385" priority="1638" stopIfTrue="1">
      <formula>AND(TIPOORCAMENTO="Licitado",$C234&lt;&gt;"L",$C234&lt;&gt;-1)</formula>
    </cfRule>
  </conditionalFormatting>
  <conditionalFormatting sqref="P234:Q235 S234:T235 Y234:Y235 AG234:AH235 AG240:AH246 Y240:Y246 S240:T246 P240:Q246">
    <cfRule type="expression" dxfId="2384" priority="1639" stopIfTrue="1">
      <formula>$C234=1</formula>
    </cfRule>
    <cfRule type="expression" dxfId="2383" priority="1640" stopIfTrue="1">
      <formula>OR($C234=0,$C234=2,$C234=3,$C234=4)</formula>
    </cfRule>
  </conditionalFormatting>
  <conditionalFormatting sqref="AJ234:AJ235 AJ240:AJ246">
    <cfRule type="expression" dxfId="2382" priority="1641" stopIfTrue="1">
      <formula>OR(ACOMPANHAMENTO&lt;&gt;"BM",TIPOORCAMENTO="Licitado")</formula>
    </cfRule>
    <cfRule type="expression" dxfId="2381" priority="1642" stopIfTrue="1">
      <formula>$C234=1</formula>
    </cfRule>
    <cfRule type="expression" dxfId="2380" priority="1643" stopIfTrue="1">
      <formula>OR(AND(ISNUMBER($C234),$C234=0),$C234=2,$C234=3,$C234=4)</formula>
    </cfRule>
  </conditionalFormatting>
  <conditionalFormatting sqref="AL234:AL235 AL240:AL246">
    <cfRule type="expression" dxfId="2379" priority="1644" stopIfTrue="1">
      <formula>TIPOORCAMENTO="PROPOSTO"</formula>
    </cfRule>
    <cfRule type="expression" dxfId="2378" priority="1645" stopIfTrue="1">
      <formula>$C234=1</formula>
    </cfRule>
    <cfRule type="expression" dxfId="2377" priority="1646" stopIfTrue="1">
      <formula>OR(AND(ISNUMBER($C234),$C234=0),$C234=2,$C234=3,$C234=4)</formula>
    </cfRule>
  </conditionalFormatting>
  <conditionalFormatting sqref="AM234:AN235 AM240:AN246">
    <cfRule type="expression" dxfId="2376" priority="1647" stopIfTrue="1">
      <formula>TIPOORCAMENTO="PROPOSTO"</formula>
    </cfRule>
    <cfRule type="expression" dxfId="2375" priority="1648" stopIfTrue="1">
      <formula>$C234=1</formula>
    </cfRule>
    <cfRule type="expression" dxfId="2374" priority="1649" stopIfTrue="1">
      <formula>OR(AND(ISNUMBER($C234),$C234=0),$C234=2,$C234=3,$C234=4)</formula>
    </cfRule>
  </conditionalFormatting>
  <conditionalFormatting sqref="M247:M249 M251:M256">
    <cfRule type="cellIs" dxfId="2373" priority="1616" stopIfTrue="1" operator="notEqual">
      <formula>$N247</formula>
    </cfRule>
  </conditionalFormatting>
  <conditionalFormatting sqref="N247:O249 R247:R249 W247:X249 W251:X256 R251:R256 N251:O256">
    <cfRule type="expression" dxfId="2372" priority="1617" stopIfTrue="1">
      <formula>$C247=1</formula>
    </cfRule>
    <cfRule type="expression" dxfId="2371" priority="1618" stopIfTrue="1">
      <formula>OR($C247=0,$C247=2,$C247=3,$C247=4)</formula>
    </cfRule>
  </conditionalFormatting>
  <conditionalFormatting sqref="U247:V249 U251:V256">
    <cfRule type="expression" dxfId="2370" priority="1619" stopIfTrue="1">
      <formula>$C247=1</formula>
    </cfRule>
    <cfRule type="expression" dxfId="2369" priority="1620" stopIfTrue="1">
      <formula>OR($C247=0,$C247=2,$C247=3,$C247=4)</formula>
    </cfRule>
    <cfRule type="expression" dxfId="2368" priority="1621" stopIfTrue="1">
      <formula>AND(TIPOORCAMENTO="Licitado",$C247&lt;&gt;"L",$C247&lt;&gt;-1)</formula>
    </cfRule>
  </conditionalFormatting>
  <conditionalFormatting sqref="P247:Q249 S247:T249 Y247:Y249 AG247:AH249 AG251:AH256 Y251:Y256 S251:T256 P251:Q256">
    <cfRule type="expression" dxfId="2367" priority="1622" stopIfTrue="1">
      <formula>$C247=1</formula>
    </cfRule>
    <cfRule type="expression" dxfId="2366" priority="1623" stopIfTrue="1">
      <formula>OR($C247=0,$C247=2,$C247=3,$C247=4)</formula>
    </cfRule>
  </conditionalFormatting>
  <conditionalFormatting sqref="AJ247:AJ249 AJ251:AJ256">
    <cfRule type="expression" dxfId="2365" priority="1624" stopIfTrue="1">
      <formula>OR(ACOMPANHAMENTO&lt;&gt;"BM",TIPOORCAMENTO="Licitado")</formula>
    </cfRule>
    <cfRule type="expression" dxfId="2364" priority="1625" stopIfTrue="1">
      <formula>$C247=1</formula>
    </cfRule>
    <cfRule type="expression" dxfId="2363" priority="1626" stopIfTrue="1">
      <formula>OR(AND(ISNUMBER($C247),$C247=0),$C247=2,$C247=3,$C247=4)</formula>
    </cfRule>
  </conditionalFormatting>
  <conditionalFormatting sqref="AL247:AL249 AL251:AL256">
    <cfRule type="expression" dxfId="2362" priority="1627" stopIfTrue="1">
      <formula>TIPOORCAMENTO="PROPOSTO"</formula>
    </cfRule>
    <cfRule type="expression" dxfId="2361" priority="1628" stopIfTrue="1">
      <formula>$C247=1</formula>
    </cfRule>
    <cfRule type="expression" dxfId="2360" priority="1629" stopIfTrue="1">
      <formula>OR(AND(ISNUMBER($C247),$C247=0),$C247=2,$C247=3,$C247=4)</formula>
    </cfRule>
  </conditionalFormatting>
  <conditionalFormatting sqref="AM247:AN249 AM251:AN256">
    <cfRule type="expression" dxfId="2359" priority="1630" stopIfTrue="1">
      <formula>TIPOORCAMENTO="PROPOSTO"</formula>
    </cfRule>
    <cfRule type="expression" dxfId="2358" priority="1631" stopIfTrue="1">
      <formula>$C247=1</formula>
    </cfRule>
    <cfRule type="expression" dxfId="2357" priority="1632" stopIfTrue="1">
      <formula>OR(AND(ISNUMBER($C247),$C247=0),$C247=2,$C247=3,$C247=4)</formula>
    </cfRule>
  </conditionalFormatting>
  <conditionalFormatting sqref="M257:M265">
    <cfRule type="cellIs" dxfId="2356" priority="1599" stopIfTrue="1" operator="notEqual">
      <formula>$N257</formula>
    </cfRule>
  </conditionalFormatting>
  <conditionalFormatting sqref="N257:O265 R257:R265 W257:X265">
    <cfRule type="expression" dxfId="2355" priority="1600" stopIfTrue="1">
      <formula>$C257=1</formula>
    </cfRule>
    <cfRule type="expression" dxfId="2354" priority="1601" stopIfTrue="1">
      <formula>OR($C257=0,$C257=2,$C257=3,$C257=4)</formula>
    </cfRule>
  </conditionalFormatting>
  <conditionalFormatting sqref="U257:V265">
    <cfRule type="expression" dxfId="2353" priority="1602" stopIfTrue="1">
      <formula>$C257=1</formula>
    </cfRule>
    <cfRule type="expression" dxfId="2352" priority="1603" stopIfTrue="1">
      <formula>OR($C257=0,$C257=2,$C257=3,$C257=4)</formula>
    </cfRule>
    <cfRule type="expression" dxfId="2351" priority="1604" stopIfTrue="1">
      <formula>AND(TIPOORCAMENTO="Licitado",$C257&lt;&gt;"L",$C257&lt;&gt;-1)</formula>
    </cfRule>
  </conditionalFormatting>
  <conditionalFormatting sqref="P257:Q265 S257:T265 Y257:Y265 AG257:AH265">
    <cfRule type="expression" dxfId="2350" priority="1605" stopIfTrue="1">
      <formula>$C257=1</formula>
    </cfRule>
    <cfRule type="expression" dxfId="2349" priority="1606" stopIfTrue="1">
      <formula>OR($C257=0,$C257=2,$C257=3,$C257=4)</formula>
    </cfRule>
  </conditionalFormatting>
  <conditionalFormatting sqref="AJ257:AJ265">
    <cfRule type="expression" dxfId="2348" priority="1607" stopIfTrue="1">
      <formula>OR(ACOMPANHAMENTO&lt;&gt;"BM",TIPOORCAMENTO="Licitado")</formula>
    </cfRule>
    <cfRule type="expression" dxfId="2347" priority="1608" stopIfTrue="1">
      <formula>$C257=1</formula>
    </cfRule>
    <cfRule type="expression" dxfId="2346" priority="1609" stopIfTrue="1">
      <formula>OR(AND(ISNUMBER($C257),$C257=0),$C257=2,$C257=3,$C257=4)</formula>
    </cfRule>
  </conditionalFormatting>
  <conditionalFormatting sqref="AL257:AL265">
    <cfRule type="expression" dxfId="2345" priority="1610" stopIfTrue="1">
      <formula>TIPOORCAMENTO="PROPOSTO"</formula>
    </cfRule>
    <cfRule type="expression" dxfId="2344" priority="1611" stopIfTrue="1">
      <formula>$C257=1</formula>
    </cfRule>
    <cfRule type="expression" dxfId="2343" priority="1612" stopIfTrue="1">
      <formula>OR(AND(ISNUMBER($C257),$C257=0),$C257=2,$C257=3,$C257=4)</formula>
    </cfRule>
  </conditionalFormatting>
  <conditionalFormatting sqref="AM257:AN265">
    <cfRule type="expression" dxfId="2342" priority="1613" stopIfTrue="1">
      <formula>TIPOORCAMENTO="PROPOSTO"</formula>
    </cfRule>
    <cfRule type="expression" dxfId="2341" priority="1614" stopIfTrue="1">
      <formula>$C257=1</formula>
    </cfRule>
    <cfRule type="expression" dxfId="2340" priority="1615" stopIfTrue="1">
      <formula>OR(AND(ISNUMBER($C257),$C257=0),$C257=2,$C257=3,$C257=4)</formula>
    </cfRule>
  </conditionalFormatting>
  <conditionalFormatting sqref="M290:M291">
    <cfRule type="cellIs" dxfId="2339" priority="1582" stopIfTrue="1" operator="notEqual">
      <formula>$N290</formula>
    </cfRule>
  </conditionalFormatting>
  <conditionalFormatting sqref="W290:X291 R290:R291 N290:O291">
    <cfRule type="expression" dxfId="2338" priority="1583" stopIfTrue="1">
      <formula>$C290=1</formula>
    </cfRule>
    <cfRule type="expression" dxfId="2337" priority="1584" stopIfTrue="1">
      <formula>OR($C290=0,$C290=2,$C290=3,$C290=4)</formula>
    </cfRule>
  </conditionalFormatting>
  <conditionalFormatting sqref="U290:V291">
    <cfRule type="expression" dxfId="2336" priority="1585" stopIfTrue="1">
      <formula>$C290=1</formula>
    </cfRule>
    <cfRule type="expression" dxfId="2335" priority="1586" stopIfTrue="1">
      <formula>OR($C290=0,$C290=2,$C290=3,$C290=4)</formula>
    </cfRule>
    <cfRule type="expression" dxfId="2334" priority="1587" stopIfTrue="1">
      <formula>AND(TIPOORCAMENTO="Licitado",$C290&lt;&gt;"L",$C290&lt;&gt;-1)</formula>
    </cfRule>
  </conditionalFormatting>
  <conditionalFormatting sqref="AG290:AH291 Y290:Y291 S290:T291 P290:Q291">
    <cfRule type="expression" dxfId="2333" priority="1588" stopIfTrue="1">
      <formula>$C290=1</formula>
    </cfRule>
    <cfRule type="expression" dxfId="2332" priority="1589" stopIfTrue="1">
      <formula>OR($C290=0,$C290=2,$C290=3,$C290=4)</formula>
    </cfRule>
  </conditionalFormatting>
  <conditionalFormatting sqref="AJ290:AJ291">
    <cfRule type="expression" dxfId="2331" priority="1590" stopIfTrue="1">
      <formula>OR(ACOMPANHAMENTO&lt;&gt;"BM",TIPOORCAMENTO="Licitado")</formula>
    </cfRule>
    <cfRule type="expression" dxfId="2330" priority="1591" stopIfTrue="1">
      <formula>$C290=1</formula>
    </cfRule>
    <cfRule type="expression" dxfId="2329" priority="1592" stopIfTrue="1">
      <formula>OR(AND(ISNUMBER($C290),$C290=0),$C290=2,$C290=3,$C290=4)</formula>
    </cfRule>
  </conditionalFormatting>
  <conditionalFormatting sqref="AL290:AL291">
    <cfRule type="expression" dxfId="2328" priority="1593" stopIfTrue="1">
      <formula>TIPOORCAMENTO="PROPOSTO"</formula>
    </cfRule>
    <cfRule type="expression" dxfId="2327" priority="1594" stopIfTrue="1">
      <formula>$C290=1</formula>
    </cfRule>
    <cfRule type="expression" dxfId="2326" priority="1595" stopIfTrue="1">
      <formula>OR(AND(ISNUMBER($C290),$C290=0),$C290=2,$C290=3,$C290=4)</formula>
    </cfRule>
  </conditionalFormatting>
  <conditionalFormatting sqref="AM290:AN291">
    <cfRule type="expression" dxfId="2325" priority="1596" stopIfTrue="1">
      <formula>TIPOORCAMENTO="PROPOSTO"</formula>
    </cfRule>
    <cfRule type="expression" dxfId="2324" priority="1597" stopIfTrue="1">
      <formula>$C290=1</formula>
    </cfRule>
    <cfRule type="expression" dxfId="2323" priority="1598" stopIfTrue="1">
      <formula>OR(AND(ISNUMBER($C290),$C290=0),$C290=2,$C290=3,$C290=4)</formula>
    </cfRule>
  </conditionalFormatting>
  <conditionalFormatting sqref="M292">
    <cfRule type="cellIs" dxfId="2322" priority="1565" stopIfTrue="1" operator="notEqual">
      <formula>$N292</formula>
    </cfRule>
  </conditionalFormatting>
  <conditionalFormatting sqref="N292:O292 R292 W292:X292">
    <cfRule type="expression" dxfId="2321" priority="1566" stopIfTrue="1">
      <formula>$C292=1</formula>
    </cfRule>
    <cfRule type="expression" dxfId="2320" priority="1567" stopIfTrue="1">
      <formula>OR($C292=0,$C292=2,$C292=3,$C292=4)</formula>
    </cfRule>
  </conditionalFormatting>
  <conditionalFormatting sqref="U292:V292">
    <cfRule type="expression" dxfId="2319" priority="1568" stopIfTrue="1">
      <formula>$C292=1</formula>
    </cfRule>
    <cfRule type="expression" dxfId="2318" priority="1569" stopIfTrue="1">
      <formula>OR($C292=0,$C292=2,$C292=3,$C292=4)</formula>
    </cfRule>
    <cfRule type="expression" dxfId="2317" priority="1570" stopIfTrue="1">
      <formula>AND(TIPOORCAMENTO="Licitado",$C292&lt;&gt;"L",$C292&lt;&gt;-1)</formula>
    </cfRule>
  </conditionalFormatting>
  <conditionalFormatting sqref="P292:Q292 S292:T292 Y292 AG292:AH292">
    <cfRule type="expression" dxfId="2316" priority="1571" stopIfTrue="1">
      <formula>$C292=1</formula>
    </cfRule>
    <cfRule type="expression" dxfId="2315" priority="1572" stopIfTrue="1">
      <formula>OR($C292=0,$C292=2,$C292=3,$C292=4)</formula>
    </cfRule>
  </conditionalFormatting>
  <conditionalFormatting sqref="AJ292">
    <cfRule type="expression" dxfId="2314" priority="1573" stopIfTrue="1">
      <formula>OR(ACOMPANHAMENTO&lt;&gt;"BM",TIPOORCAMENTO="Licitado")</formula>
    </cfRule>
    <cfRule type="expression" dxfId="2313" priority="1574" stopIfTrue="1">
      <formula>$C292=1</formula>
    </cfRule>
    <cfRule type="expression" dxfId="2312" priority="1575" stopIfTrue="1">
      <formula>OR(AND(ISNUMBER($C292),$C292=0),$C292=2,$C292=3,$C292=4)</formula>
    </cfRule>
  </conditionalFormatting>
  <conditionalFormatting sqref="AL292">
    <cfRule type="expression" dxfId="2311" priority="1576" stopIfTrue="1">
      <formula>TIPOORCAMENTO="PROPOSTO"</formula>
    </cfRule>
    <cfRule type="expression" dxfId="2310" priority="1577" stopIfTrue="1">
      <formula>$C292=1</formula>
    </cfRule>
    <cfRule type="expression" dxfId="2309" priority="1578" stopIfTrue="1">
      <formula>OR(AND(ISNUMBER($C292),$C292=0),$C292=2,$C292=3,$C292=4)</formula>
    </cfRule>
  </conditionalFormatting>
  <conditionalFormatting sqref="AM292:AN292">
    <cfRule type="expression" dxfId="2308" priority="1579" stopIfTrue="1">
      <formula>TIPOORCAMENTO="PROPOSTO"</formula>
    </cfRule>
    <cfRule type="expression" dxfId="2307" priority="1580" stopIfTrue="1">
      <formula>$C292=1</formula>
    </cfRule>
    <cfRule type="expression" dxfId="2306" priority="1581" stopIfTrue="1">
      <formula>OR(AND(ISNUMBER($C292),$C292=0),$C292=2,$C292=3,$C292=4)</formula>
    </cfRule>
  </conditionalFormatting>
  <conditionalFormatting sqref="M293:M301">
    <cfRule type="cellIs" dxfId="2305" priority="1548" stopIfTrue="1" operator="notEqual">
      <formula>$N293</formula>
    </cfRule>
  </conditionalFormatting>
  <conditionalFormatting sqref="N293:O301 R293:R301 W293:X301">
    <cfRule type="expression" dxfId="2304" priority="1549" stopIfTrue="1">
      <formula>$C293=1</formula>
    </cfRule>
    <cfRule type="expression" dxfId="2303" priority="1550" stopIfTrue="1">
      <formula>OR($C293=0,$C293=2,$C293=3,$C293=4)</formula>
    </cfRule>
  </conditionalFormatting>
  <conditionalFormatting sqref="U293:V301">
    <cfRule type="expression" dxfId="2302" priority="1551" stopIfTrue="1">
      <formula>$C293=1</formula>
    </cfRule>
    <cfRule type="expression" dxfId="2301" priority="1552" stopIfTrue="1">
      <formula>OR($C293=0,$C293=2,$C293=3,$C293=4)</formula>
    </cfRule>
    <cfRule type="expression" dxfId="2300" priority="1553" stopIfTrue="1">
      <formula>AND(TIPOORCAMENTO="Licitado",$C293&lt;&gt;"L",$C293&lt;&gt;-1)</formula>
    </cfRule>
  </conditionalFormatting>
  <conditionalFormatting sqref="P293:Q301 S293:T301 Y293:Y301 AG293:AH301">
    <cfRule type="expression" dxfId="2299" priority="1554" stopIfTrue="1">
      <formula>$C293=1</formula>
    </cfRule>
    <cfRule type="expression" dxfId="2298" priority="1555" stopIfTrue="1">
      <formula>OR($C293=0,$C293=2,$C293=3,$C293=4)</formula>
    </cfRule>
  </conditionalFormatting>
  <conditionalFormatting sqref="AJ293:AJ301">
    <cfRule type="expression" dxfId="2297" priority="1556" stopIfTrue="1">
      <formula>OR(ACOMPANHAMENTO&lt;&gt;"BM",TIPOORCAMENTO="Licitado")</formula>
    </cfRule>
    <cfRule type="expression" dxfId="2296" priority="1557" stopIfTrue="1">
      <formula>$C293=1</formula>
    </cfRule>
    <cfRule type="expression" dxfId="2295" priority="1558" stopIfTrue="1">
      <formula>OR(AND(ISNUMBER($C293),$C293=0),$C293=2,$C293=3,$C293=4)</formula>
    </cfRule>
  </conditionalFormatting>
  <conditionalFormatting sqref="AL293:AL301">
    <cfRule type="expression" dxfId="2294" priority="1559" stopIfTrue="1">
      <formula>TIPOORCAMENTO="PROPOSTO"</formula>
    </cfRule>
    <cfRule type="expression" dxfId="2293" priority="1560" stopIfTrue="1">
      <formula>$C293=1</formula>
    </cfRule>
    <cfRule type="expression" dxfId="2292" priority="1561" stopIfTrue="1">
      <formula>OR(AND(ISNUMBER($C293),$C293=0),$C293=2,$C293=3,$C293=4)</formula>
    </cfRule>
  </conditionalFormatting>
  <conditionalFormatting sqref="AM293:AN301">
    <cfRule type="expression" dxfId="2291" priority="1562" stopIfTrue="1">
      <formula>TIPOORCAMENTO="PROPOSTO"</formula>
    </cfRule>
    <cfRule type="expression" dxfId="2290" priority="1563" stopIfTrue="1">
      <formula>$C293=1</formula>
    </cfRule>
    <cfRule type="expression" dxfId="2289" priority="1564" stopIfTrue="1">
      <formula>OR(AND(ISNUMBER($C293),$C293=0),$C293=2,$C293=3,$C293=4)</formula>
    </cfRule>
  </conditionalFormatting>
  <conditionalFormatting sqref="M302:M304 M306:M311">
    <cfRule type="cellIs" dxfId="2288" priority="1531" stopIfTrue="1" operator="notEqual">
      <formula>$N302</formula>
    </cfRule>
  </conditionalFormatting>
  <conditionalFormatting sqref="N302:O304 R302:R304 W302:X304 W306:X311 R306:R311 N306:O311">
    <cfRule type="expression" dxfId="2287" priority="1532" stopIfTrue="1">
      <formula>$C302=1</formula>
    </cfRule>
    <cfRule type="expression" dxfId="2286" priority="1533" stopIfTrue="1">
      <formula>OR($C302=0,$C302=2,$C302=3,$C302=4)</formula>
    </cfRule>
  </conditionalFormatting>
  <conditionalFormatting sqref="U302:V304 U306:V311">
    <cfRule type="expression" dxfId="2285" priority="1534" stopIfTrue="1">
      <formula>$C302=1</formula>
    </cfRule>
    <cfRule type="expression" dxfId="2284" priority="1535" stopIfTrue="1">
      <formula>OR($C302=0,$C302=2,$C302=3,$C302=4)</formula>
    </cfRule>
    <cfRule type="expression" dxfId="2283" priority="1536" stopIfTrue="1">
      <formula>AND(TIPOORCAMENTO="Licitado",$C302&lt;&gt;"L",$C302&lt;&gt;-1)</formula>
    </cfRule>
  </conditionalFormatting>
  <conditionalFormatting sqref="P302:Q304 S302:T304 Y302:Y304 AG302:AH304 AG306:AH311 Y306:Y311 S306:T311 P306:Q311">
    <cfRule type="expression" dxfId="2282" priority="1537" stopIfTrue="1">
      <formula>$C302=1</formula>
    </cfRule>
    <cfRule type="expression" dxfId="2281" priority="1538" stopIfTrue="1">
      <formula>OR($C302=0,$C302=2,$C302=3,$C302=4)</formula>
    </cfRule>
  </conditionalFormatting>
  <conditionalFormatting sqref="AJ302:AJ304 AJ306:AJ311">
    <cfRule type="expression" dxfId="2280" priority="1539" stopIfTrue="1">
      <formula>OR(ACOMPANHAMENTO&lt;&gt;"BM",TIPOORCAMENTO="Licitado")</formula>
    </cfRule>
    <cfRule type="expression" dxfId="2279" priority="1540" stopIfTrue="1">
      <formula>$C302=1</formula>
    </cfRule>
    <cfRule type="expression" dxfId="2278" priority="1541" stopIfTrue="1">
      <formula>OR(AND(ISNUMBER($C302),$C302=0),$C302=2,$C302=3,$C302=4)</formula>
    </cfRule>
  </conditionalFormatting>
  <conditionalFormatting sqref="AL302:AL304 AL306:AL311">
    <cfRule type="expression" dxfId="2277" priority="1542" stopIfTrue="1">
      <formula>TIPOORCAMENTO="PROPOSTO"</formula>
    </cfRule>
    <cfRule type="expression" dxfId="2276" priority="1543" stopIfTrue="1">
      <formula>$C302=1</formula>
    </cfRule>
    <cfRule type="expression" dxfId="2275" priority="1544" stopIfTrue="1">
      <formula>OR(AND(ISNUMBER($C302),$C302=0),$C302=2,$C302=3,$C302=4)</formula>
    </cfRule>
  </conditionalFormatting>
  <conditionalFormatting sqref="AM302:AN304 AM306:AN311">
    <cfRule type="expression" dxfId="2274" priority="1545" stopIfTrue="1">
      <formula>TIPOORCAMENTO="PROPOSTO"</formula>
    </cfRule>
    <cfRule type="expression" dxfId="2273" priority="1546" stopIfTrue="1">
      <formula>$C302=1</formula>
    </cfRule>
    <cfRule type="expression" dxfId="2272" priority="1547" stopIfTrue="1">
      <formula>OR(AND(ISNUMBER($C302),$C302=0),$C302=2,$C302=3,$C302=4)</formula>
    </cfRule>
  </conditionalFormatting>
  <conditionalFormatting sqref="M312:M313">
    <cfRule type="cellIs" dxfId="2271" priority="1514" stopIfTrue="1" operator="notEqual">
      <formula>$N312</formula>
    </cfRule>
  </conditionalFormatting>
  <conditionalFormatting sqref="N312:O313 R312:R313 W312:X313">
    <cfRule type="expression" dxfId="2270" priority="1515" stopIfTrue="1">
      <formula>$C312=1</formula>
    </cfRule>
    <cfRule type="expression" dxfId="2269" priority="1516" stopIfTrue="1">
      <formula>OR($C312=0,$C312=2,$C312=3,$C312=4)</formula>
    </cfRule>
  </conditionalFormatting>
  <conditionalFormatting sqref="U312:V313">
    <cfRule type="expression" dxfId="2268" priority="1517" stopIfTrue="1">
      <formula>$C312=1</formula>
    </cfRule>
    <cfRule type="expression" dxfId="2267" priority="1518" stopIfTrue="1">
      <formula>OR($C312=0,$C312=2,$C312=3,$C312=4)</formula>
    </cfRule>
    <cfRule type="expression" dxfId="2266" priority="1519" stopIfTrue="1">
      <formula>AND(TIPOORCAMENTO="Licitado",$C312&lt;&gt;"L",$C312&lt;&gt;-1)</formula>
    </cfRule>
  </conditionalFormatting>
  <conditionalFormatting sqref="P312:Q313 S312:T313 Y312:Y313 AG312:AH313">
    <cfRule type="expression" dxfId="2265" priority="1520" stopIfTrue="1">
      <formula>$C312=1</formula>
    </cfRule>
    <cfRule type="expression" dxfId="2264" priority="1521" stopIfTrue="1">
      <formula>OR($C312=0,$C312=2,$C312=3,$C312=4)</formula>
    </cfRule>
  </conditionalFormatting>
  <conditionalFormatting sqref="AJ312:AJ313">
    <cfRule type="expression" dxfId="2263" priority="1522" stopIfTrue="1">
      <formula>OR(ACOMPANHAMENTO&lt;&gt;"BM",TIPOORCAMENTO="Licitado")</formula>
    </cfRule>
    <cfRule type="expression" dxfId="2262" priority="1523" stopIfTrue="1">
      <formula>$C312=1</formula>
    </cfRule>
    <cfRule type="expression" dxfId="2261" priority="1524" stopIfTrue="1">
      <formula>OR(AND(ISNUMBER($C312),$C312=0),$C312=2,$C312=3,$C312=4)</formula>
    </cfRule>
  </conditionalFormatting>
  <conditionalFormatting sqref="AL312:AL313">
    <cfRule type="expression" dxfId="2260" priority="1525" stopIfTrue="1">
      <formula>TIPOORCAMENTO="PROPOSTO"</formula>
    </cfRule>
    <cfRule type="expression" dxfId="2259" priority="1526" stopIfTrue="1">
      <formula>$C312=1</formula>
    </cfRule>
    <cfRule type="expression" dxfId="2258" priority="1527" stopIfTrue="1">
      <formula>OR(AND(ISNUMBER($C312),$C312=0),$C312=2,$C312=3,$C312=4)</formula>
    </cfRule>
  </conditionalFormatting>
  <conditionalFormatting sqref="AM312:AN313">
    <cfRule type="expression" dxfId="2257" priority="1528" stopIfTrue="1">
      <formula>TIPOORCAMENTO="PROPOSTO"</formula>
    </cfRule>
    <cfRule type="expression" dxfId="2256" priority="1529" stopIfTrue="1">
      <formula>$C312=1</formula>
    </cfRule>
    <cfRule type="expression" dxfId="2255" priority="1530" stopIfTrue="1">
      <formula>OR(AND(ISNUMBER($C312),$C312=0),$C312=2,$C312=3,$C312=4)</formula>
    </cfRule>
  </conditionalFormatting>
  <conditionalFormatting sqref="M270:M278">
    <cfRule type="cellIs" dxfId="2254" priority="1497" stopIfTrue="1" operator="notEqual">
      <formula>$N270</formula>
    </cfRule>
  </conditionalFormatting>
  <conditionalFormatting sqref="N270:O278 R270:R278 W270:X278">
    <cfRule type="expression" dxfId="2253" priority="1498" stopIfTrue="1">
      <formula>$C270=1</formula>
    </cfRule>
    <cfRule type="expression" dxfId="2252" priority="1499" stopIfTrue="1">
      <formula>OR($C270=0,$C270=2,$C270=3,$C270=4)</formula>
    </cfRule>
  </conditionalFormatting>
  <conditionalFormatting sqref="U270:V278">
    <cfRule type="expression" dxfId="2251" priority="1500" stopIfTrue="1">
      <formula>$C270=1</formula>
    </cfRule>
    <cfRule type="expression" dxfId="2250" priority="1501" stopIfTrue="1">
      <formula>OR($C270=0,$C270=2,$C270=3,$C270=4)</formula>
    </cfRule>
    <cfRule type="expression" dxfId="2249" priority="1502" stopIfTrue="1">
      <formula>AND(TIPOORCAMENTO="Licitado",$C270&lt;&gt;"L",$C270&lt;&gt;-1)</formula>
    </cfRule>
  </conditionalFormatting>
  <conditionalFormatting sqref="P270:Q278 S270:T278 Y270:Y278 AG270:AH278">
    <cfRule type="expression" dxfId="2248" priority="1503" stopIfTrue="1">
      <formula>$C270=1</formula>
    </cfRule>
    <cfRule type="expression" dxfId="2247" priority="1504" stopIfTrue="1">
      <formula>OR($C270=0,$C270=2,$C270=3,$C270=4)</formula>
    </cfRule>
  </conditionalFormatting>
  <conditionalFormatting sqref="AJ270:AJ278">
    <cfRule type="expression" dxfId="2246" priority="1505" stopIfTrue="1">
      <formula>OR(ACOMPANHAMENTO&lt;&gt;"BM",TIPOORCAMENTO="Licitado")</formula>
    </cfRule>
    <cfRule type="expression" dxfId="2245" priority="1506" stopIfTrue="1">
      <formula>$C270=1</formula>
    </cfRule>
    <cfRule type="expression" dxfId="2244" priority="1507" stopIfTrue="1">
      <formula>OR(AND(ISNUMBER($C270),$C270=0),$C270=2,$C270=3,$C270=4)</formula>
    </cfRule>
  </conditionalFormatting>
  <conditionalFormatting sqref="AL270:AL278">
    <cfRule type="expression" dxfId="2243" priority="1508" stopIfTrue="1">
      <formula>TIPOORCAMENTO="PROPOSTO"</formula>
    </cfRule>
    <cfRule type="expression" dxfId="2242" priority="1509" stopIfTrue="1">
      <formula>$C270=1</formula>
    </cfRule>
    <cfRule type="expression" dxfId="2241" priority="1510" stopIfTrue="1">
      <formula>OR(AND(ISNUMBER($C270),$C270=0),$C270=2,$C270=3,$C270=4)</formula>
    </cfRule>
  </conditionalFormatting>
  <conditionalFormatting sqref="AM270:AN278">
    <cfRule type="expression" dxfId="2240" priority="1511" stopIfTrue="1">
      <formula>TIPOORCAMENTO="PROPOSTO"</formula>
    </cfRule>
    <cfRule type="expression" dxfId="2239" priority="1512" stopIfTrue="1">
      <formula>$C270=1</formula>
    </cfRule>
    <cfRule type="expression" dxfId="2238" priority="1513" stopIfTrue="1">
      <formula>OR(AND(ISNUMBER($C270),$C270=0),$C270=2,$C270=3,$C270=4)</formula>
    </cfRule>
  </conditionalFormatting>
  <conditionalFormatting sqref="M279:M287">
    <cfRule type="cellIs" dxfId="2237" priority="1480" stopIfTrue="1" operator="notEqual">
      <formula>$N279</formula>
    </cfRule>
  </conditionalFormatting>
  <conditionalFormatting sqref="N279:O287 R279:R287 W279:X287">
    <cfRule type="expression" dxfId="2236" priority="1481" stopIfTrue="1">
      <formula>$C279=1</formula>
    </cfRule>
    <cfRule type="expression" dxfId="2235" priority="1482" stopIfTrue="1">
      <formula>OR($C279=0,$C279=2,$C279=3,$C279=4)</formula>
    </cfRule>
  </conditionalFormatting>
  <conditionalFormatting sqref="U279:V287">
    <cfRule type="expression" dxfId="2234" priority="1483" stopIfTrue="1">
      <formula>$C279=1</formula>
    </cfRule>
    <cfRule type="expression" dxfId="2233" priority="1484" stopIfTrue="1">
      <formula>OR($C279=0,$C279=2,$C279=3,$C279=4)</formula>
    </cfRule>
    <cfRule type="expression" dxfId="2232" priority="1485" stopIfTrue="1">
      <formula>AND(TIPOORCAMENTO="Licitado",$C279&lt;&gt;"L",$C279&lt;&gt;-1)</formula>
    </cfRule>
  </conditionalFormatting>
  <conditionalFormatting sqref="P279:Q287 S279:T287 Y279:Y287 AG279:AH287">
    <cfRule type="expression" dxfId="2231" priority="1486" stopIfTrue="1">
      <formula>$C279=1</formula>
    </cfRule>
    <cfRule type="expression" dxfId="2230" priority="1487" stopIfTrue="1">
      <formula>OR($C279=0,$C279=2,$C279=3,$C279=4)</formula>
    </cfRule>
  </conditionalFormatting>
  <conditionalFormatting sqref="AJ279:AJ287">
    <cfRule type="expression" dxfId="2229" priority="1488" stopIfTrue="1">
      <formula>OR(ACOMPANHAMENTO&lt;&gt;"BM",TIPOORCAMENTO="Licitado")</formula>
    </cfRule>
    <cfRule type="expression" dxfId="2228" priority="1489" stopIfTrue="1">
      <formula>$C279=1</formula>
    </cfRule>
    <cfRule type="expression" dxfId="2227" priority="1490" stopIfTrue="1">
      <formula>OR(AND(ISNUMBER($C279),$C279=0),$C279=2,$C279=3,$C279=4)</formula>
    </cfRule>
  </conditionalFormatting>
  <conditionalFormatting sqref="AL279:AL287">
    <cfRule type="expression" dxfId="2226" priority="1491" stopIfTrue="1">
      <formula>TIPOORCAMENTO="PROPOSTO"</formula>
    </cfRule>
    <cfRule type="expression" dxfId="2225" priority="1492" stopIfTrue="1">
      <formula>$C279=1</formula>
    </cfRule>
    <cfRule type="expression" dxfId="2224" priority="1493" stopIfTrue="1">
      <formula>OR(AND(ISNUMBER($C279),$C279=0),$C279=2,$C279=3,$C279=4)</formula>
    </cfRule>
  </conditionalFormatting>
  <conditionalFormatting sqref="AM279:AN287">
    <cfRule type="expression" dxfId="2223" priority="1494" stopIfTrue="1">
      <formula>TIPOORCAMENTO="PROPOSTO"</formula>
    </cfRule>
    <cfRule type="expression" dxfId="2222" priority="1495" stopIfTrue="1">
      <formula>$C279=1</formula>
    </cfRule>
    <cfRule type="expression" dxfId="2221" priority="1496" stopIfTrue="1">
      <formula>OR(AND(ISNUMBER($C279),$C279=0),$C279=2,$C279=3,$C279=4)</formula>
    </cfRule>
  </conditionalFormatting>
  <conditionalFormatting sqref="M288:M289">
    <cfRule type="cellIs" dxfId="2220" priority="1463" stopIfTrue="1" operator="notEqual">
      <formula>$N288</formula>
    </cfRule>
  </conditionalFormatting>
  <conditionalFormatting sqref="N288:O289 R288:R289 W288:X289">
    <cfRule type="expression" dxfId="2219" priority="1464" stopIfTrue="1">
      <formula>$C288=1</formula>
    </cfRule>
    <cfRule type="expression" dxfId="2218" priority="1465" stopIfTrue="1">
      <formula>OR($C288=0,$C288=2,$C288=3,$C288=4)</formula>
    </cfRule>
  </conditionalFormatting>
  <conditionalFormatting sqref="U288:V289">
    <cfRule type="expression" dxfId="2217" priority="1466" stopIfTrue="1">
      <formula>$C288=1</formula>
    </cfRule>
    <cfRule type="expression" dxfId="2216" priority="1467" stopIfTrue="1">
      <formula>OR($C288=0,$C288=2,$C288=3,$C288=4)</formula>
    </cfRule>
    <cfRule type="expression" dxfId="2215" priority="1468" stopIfTrue="1">
      <formula>AND(TIPOORCAMENTO="Licitado",$C288&lt;&gt;"L",$C288&lt;&gt;-1)</formula>
    </cfRule>
  </conditionalFormatting>
  <conditionalFormatting sqref="P288:Q289 S288:T289 Y288:Y289 AG288:AH289">
    <cfRule type="expression" dxfId="2214" priority="1469" stopIfTrue="1">
      <formula>$C288=1</formula>
    </cfRule>
    <cfRule type="expression" dxfId="2213" priority="1470" stopIfTrue="1">
      <formula>OR($C288=0,$C288=2,$C288=3,$C288=4)</formula>
    </cfRule>
  </conditionalFormatting>
  <conditionalFormatting sqref="AJ288:AJ289">
    <cfRule type="expression" dxfId="2212" priority="1471" stopIfTrue="1">
      <formula>OR(ACOMPANHAMENTO&lt;&gt;"BM",TIPOORCAMENTO="Licitado")</formula>
    </cfRule>
    <cfRule type="expression" dxfId="2211" priority="1472" stopIfTrue="1">
      <formula>$C288=1</formula>
    </cfRule>
    <cfRule type="expression" dxfId="2210" priority="1473" stopIfTrue="1">
      <formula>OR(AND(ISNUMBER($C288),$C288=0),$C288=2,$C288=3,$C288=4)</formula>
    </cfRule>
  </conditionalFormatting>
  <conditionalFormatting sqref="AL288:AL289">
    <cfRule type="expression" dxfId="2209" priority="1474" stopIfTrue="1">
      <formula>TIPOORCAMENTO="PROPOSTO"</formula>
    </cfRule>
    <cfRule type="expression" dxfId="2208" priority="1475" stopIfTrue="1">
      <formula>$C288=1</formula>
    </cfRule>
    <cfRule type="expression" dxfId="2207" priority="1476" stopIfTrue="1">
      <formula>OR(AND(ISNUMBER($C288),$C288=0),$C288=2,$C288=3,$C288=4)</formula>
    </cfRule>
  </conditionalFormatting>
  <conditionalFormatting sqref="AM288:AN289">
    <cfRule type="expression" dxfId="2206" priority="1477" stopIfTrue="1">
      <formula>TIPOORCAMENTO="PROPOSTO"</formula>
    </cfRule>
    <cfRule type="expression" dxfId="2205" priority="1478" stopIfTrue="1">
      <formula>$C288=1</formula>
    </cfRule>
    <cfRule type="expression" dxfId="2204" priority="1479" stopIfTrue="1">
      <formula>OR(AND(ISNUMBER($C288),$C288=0),$C288=2,$C288=3,$C288=4)</formula>
    </cfRule>
  </conditionalFormatting>
  <conditionalFormatting sqref="M334:M336 M361:M364 M340">
    <cfRule type="cellIs" dxfId="2203" priority="1446" stopIfTrue="1" operator="notEqual">
      <formula>$N334</formula>
    </cfRule>
  </conditionalFormatting>
  <conditionalFormatting sqref="N334:O336 R334:R336 W334:X336 W361:X364 R361:R364 N361:O364 W340:X340 R340 N340:O340">
    <cfRule type="expression" dxfId="2202" priority="1447" stopIfTrue="1">
      <formula>$C334=1</formula>
    </cfRule>
    <cfRule type="expression" dxfId="2201" priority="1448" stopIfTrue="1">
      <formula>OR($C334=0,$C334=2,$C334=3,$C334=4)</formula>
    </cfRule>
  </conditionalFormatting>
  <conditionalFormatting sqref="U334:V336 U361:V364 U340:V340">
    <cfRule type="expression" dxfId="2200" priority="1449" stopIfTrue="1">
      <formula>$C334=1</formula>
    </cfRule>
    <cfRule type="expression" dxfId="2199" priority="1450" stopIfTrue="1">
      <formula>OR($C334=0,$C334=2,$C334=3,$C334=4)</formula>
    </cfRule>
    <cfRule type="expression" dxfId="2198" priority="1451" stopIfTrue="1">
      <formula>AND(TIPOORCAMENTO="Licitado",$C334&lt;&gt;"L",$C334&lt;&gt;-1)</formula>
    </cfRule>
  </conditionalFormatting>
  <conditionalFormatting sqref="P334:Q336 S334:T336 Y334:Y336 AG334:AH336 AG361:AH364 Y361:Y364 S361:T364 P361:Q364 AG340:AH340 Y340 S340:T340 P340:Q340">
    <cfRule type="expression" dxfId="2197" priority="1452" stopIfTrue="1">
      <formula>$C334=1</formula>
    </cfRule>
    <cfRule type="expression" dxfId="2196" priority="1453" stopIfTrue="1">
      <formula>OR($C334=0,$C334=2,$C334=3,$C334=4)</formula>
    </cfRule>
  </conditionalFormatting>
  <conditionalFormatting sqref="AJ334:AJ336 AJ361:AJ364 AJ340">
    <cfRule type="expression" dxfId="2195" priority="1454" stopIfTrue="1">
      <formula>OR(ACOMPANHAMENTO&lt;&gt;"BM",TIPOORCAMENTO="Licitado")</formula>
    </cfRule>
    <cfRule type="expression" dxfId="2194" priority="1455" stopIfTrue="1">
      <formula>$C334=1</formula>
    </cfRule>
    <cfRule type="expression" dxfId="2193" priority="1456" stopIfTrue="1">
      <formula>OR(AND(ISNUMBER($C334),$C334=0),$C334=2,$C334=3,$C334=4)</formula>
    </cfRule>
  </conditionalFormatting>
  <conditionalFormatting sqref="AL334:AL336 AL361:AL364 AL340">
    <cfRule type="expression" dxfId="2192" priority="1457" stopIfTrue="1">
      <formula>TIPOORCAMENTO="PROPOSTO"</formula>
    </cfRule>
    <cfRule type="expression" dxfId="2191" priority="1458" stopIfTrue="1">
      <formula>$C334=1</formula>
    </cfRule>
    <cfRule type="expression" dxfId="2190" priority="1459" stopIfTrue="1">
      <formula>OR(AND(ISNUMBER($C334),$C334=0),$C334=2,$C334=3,$C334=4)</formula>
    </cfRule>
  </conditionalFormatting>
  <conditionalFormatting sqref="AM334:AN336 AM361:AN364 AM340:AN340">
    <cfRule type="expression" dxfId="2189" priority="1460" stopIfTrue="1">
      <formula>TIPOORCAMENTO="PROPOSTO"</formula>
    </cfRule>
    <cfRule type="expression" dxfId="2188" priority="1461" stopIfTrue="1">
      <formula>$C334=1</formula>
    </cfRule>
    <cfRule type="expression" dxfId="2187" priority="1462" stopIfTrue="1">
      <formula>OR(AND(ISNUMBER($C334),$C334=0),$C334=2,$C334=3,$C334=4)</formula>
    </cfRule>
  </conditionalFormatting>
  <conditionalFormatting sqref="M512:M520">
    <cfRule type="cellIs" dxfId="2186" priority="1429" stopIfTrue="1" operator="notEqual">
      <formula>$N512</formula>
    </cfRule>
  </conditionalFormatting>
  <conditionalFormatting sqref="N512:O520 R512:R520 W512:X520">
    <cfRule type="expression" dxfId="2185" priority="1430" stopIfTrue="1">
      <formula>$C512=1</formula>
    </cfRule>
    <cfRule type="expression" dxfId="2184" priority="1431" stopIfTrue="1">
      <formula>OR($C512=0,$C512=2,$C512=3,$C512=4)</formula>
    </cfRule>
  </conditionalFormatting>
  <conditionalFormatting sqref="U512:V520">
    <cfRule type="expression" dxfId="2183" priority="1432" stopIfTrue="1">
      <formula>$C512=1</formula>
    </cfRule>
    <cfRule type="expression" dxfId="2182" priority="1433" stopIfTrue="1">
      <formula>OR($C512=0,$C512=2,$C512=3,$C512=4)</formula>
    </cfRule>
    <cfRule type="expression" dxfId="2181" priority="1434" stopIfTrue="1">
      <formula>AND(TIPOORCAMENTO="Licitado",$C512&lt;&gt;"L",$C512&lt;&gt;-1)</formula>
    </cfRule>
  </conditionalFormatting>
  <conditionalFormatting sqref="P512:Q520 S512:T520 Y512:Y520 AG512:AH520">
    <cfRule type="expression" dxfId="2180" priority="1435" stopIfTrue="1">
      <formula>$C512=1</formula>
    </cfRule>
    <cfRule type="expression" dxfId="2179" priority="1436" stopIfTrue="1">
      <formula>OR($C512=0,$C512=2,$C512=3,$C512=4)</formula>
    </cfRule>
  </conditionalFormatting>
  <conditionalFormatting sqref="AJ512:AJ520">
    <cfRule type="expression" dxfId="2178" priority="1437" stopIfTrue="1">
      <formula>OR(ACOMPANHAMENTO&lt;&gt;"BM",TIPOORCAMENTO="Licitado")</formula>
    </cfRule>
    <cfRule type="expression" dxfId="2177" priority="1438" stopIfTrue="1">
      <formula>$C512=1</formula>
    </cfRule>
    <cfRule type="expression" dxfId="2176" priority="1439" stopIfTrue="1">
      <formula>OR(AND(ISNUMBER($C512),$C512=0),$C512=2,$C512=3,$C512=4)</formula>
    </cfRule>
  </conditionalFormatting>
  <conditionalFormatting sqref="AL512:AL520">
    <cfRule type="expression" dxfId="2175" priority="1440" stopIfTrue="1">
      <formula>TIPOORCAMENTO="PROPOSTO"</formula>
    </cfRule>
    <cfRule type="expression" dxfId="2174" priority="1441" stopIfTrue="1">
      <formula>$C512=1</formula>
    </cfRule>
    <cfRule type="expression" dxfId="2173" priority="1442" stopIfTrue="1">
      <formula>OR(AND(ISNUMBER($C512),$C512=0),$C512=2,$C512=3,$C512=4)</formula>
    </cfRule>
  </conditionalFormatting>
  <conditionalFormatting sqref="AM512:AN520">
    <cfRule type="expression" dxfId="2172" priority="1443" stopIfTrue="1">
      <formula>TIPOORCAMENTO="PROPOSTO"</formula>
    </cfRule>
    <cfRule type="expression" dxfId="2171" priority="1444" stopIfTrue="1">
      <formula>$C512=1</formula>
    </cfRule>
    <cfRule type="expression" dxfId="2170" priority="1445" stopIfTrue="1">
      <formula>OR(AND(ISNUMBER($C512),$C512=0),$C512=2,$C512=3,$C512=4)</formula>
    </cfRule>
  </conditionalFormatting>
  <conditionalFormatting sqref="M521:M522">
    <cfRule type="cellIs" dxfId="2169" priority="1412" stopIfTrue="1" operator="notEqual">
      <formula>$N521</formula>
    </cfRule>
  </conditionalFormatting>
  <conditionalFormatting sqref="N521:O522 R521:R522 W521:X522">
    <cfRule type="expression" dxfId="2168" priority="1413" stopIfTrue="1">
      <formula>$C521=1</formula>
    </cfRule>
    <cfRule type="expression" dxfId="2167" priority="1414" stopIfTrue="1">
      <formula>OR($C521=0,$C521=2,$C521=3,$C521=4)</formula>
    </cfRule>
  </conditionalFormatting>
  <conditionalFormatting sqref="U521:V522">
    <cfRule type="expression" dxfId="2166" priority="1415" stopIfTrue="1">
      <formula>$C521=1</formula>
    </cfRule>
    <cfRule type="expression" dxfId="2165" priority="1416" stopIfTrue="1">
      <formula>OR($C521=0,$C521=2,$C521=3,$C521=4)</formula>
    </cfRule>
    <cfRule type="expression" dxfId="2164" priority="1417" stopIfTrue="1">
      <formula>AND(TIPOORCAMENTO="Licitado",$C521&lt;&gt;"L",$C521&lt;&gt;-1)</formula>
    </cfRule>
  </conditionalFormatting>
  <conditionalFormatting sqref="P521:Q522 S521:T522 Y521:Y522 AG521:AH522">
    <cfRule type="expression" dxfId="2163" priority="1418" stopIfTrue="1">
      <formula>$C521=1</formula>
    </cfRule>
    <cfRule type="expression" dxfId="2162" priority="1419" stopIfTrue="1">
      <formula>OR($C521=0,$C521=2,$C521=3,$C521=4)</formula>
    </cfRule>
  </conditionalFormatting>
  <conditionalFormatting sqref="AJ521:AJ522">
    <cfRule type="expression" dxfId="2161" priority="1420" stopIfTrue="1">
      <formula>OR(ACOMPANHAMENTO&lt;&gt;"BM",TIPOORCAMENTO="Licitado")</formula>
    </cfRule>
    <cfRule type="expression" dxfId="2160" priority="1421" stopIfTrue="1">
      <formula>$C521=1</formula>
    </cfRule>
    <cfRule type="expression" dxfId="2159" priority="1422" stopIfTrue="1">
      <formula>OR(AND(ISNUMBER($C521),$C521=0),$C521=2,$C521=3,$C521=4)</formula>
    </cfRule>
  </conditionalFormatting>
  <conditionalFormatting sqref="AL521:AL522">
    <cfRule type="expression" dxfId="2158" priority="1423" stopIfTrue="1">
      <formula>TIPOORCAMENTO="PROPOSTO"</formula>
    </cfRule>
    <cfRule type="expression" dxfId="2157" priority="1424" stopIfTrue="1">
      <formula>$C521=1</formula>
    </cfRule>
    <cfRule type="expression" dxfId="2156" priority="1425" stopIfTrue="1">
      <formula>OR(AND(ISNUMBER($C521),$C521=0),$C521=2,$C521=3,$C521=4)</formula>
    </cfRule>
  </conditionalFormatting>
  <conditionalFormatting sqref="AM521:AN522">
    <cfRule type="expression" dxfId="2155" priority="1426" stopIfTrue="1">
      <formula>TIPOORCAMENTO="PROPOSTO"</formula>
    </cfRule>
    <cfRule type="expression" dxfId="2154" priority="1427" stopIfTrue="1">
      <formula>$C521=1</formula>
    </cfRule>
    <cfRule type="expression" dxfId="2153" priority="1428" stopIfTrue="1">
      <formula>OR(AND(ISNUMBER($C521),$C521=0),$C521=2,$C521=3,$C521=4)</formula>
    </cfRule>
  </conditionalFormatting>
  <conditionalFormatting sqref="M323:M331">
    <cfRule type="cellIs" dxfId="2152" priority="1378" stopIfTrue="1" operator="notEqual">
      <formula>$N323</formula>
    </cfRule>
  </conditionalFormatting>
  <conditionalFormatting sqref="N323:O331 R323:R331 W323:X331">
    <cfRule type="expression" dxfId="2151" priority="1379" stopIfTrue="1">
      <formula>$C323=1</formula>
    </cfRule>
    <cfRule type="expression" dxfId="2150" priority="1380" stopIfTrue="1">
      <formula>OR($C323=0,$C323=2,$C323=3,$C323=4)</formula>
    </cfRule>
  </conditionalFormatting>
  <conditionalFormatting sqref="U323:V331">
    <cfRule type="expression" dxfId="2149" priority="1381" stopIfTrue="1">
      <formula>$C323=1</formula>
    </cfRule>
    <cfRule type="expression" dxfId="2148" priority="1382" stopIfTrue="1">
      <formula>OR($C323=0,$C323=2,$C323=3,$C323=4)</formula>
    </cfRule>
    <cfRule type="expression" dxfId="2147" priority="1383" stopIfTrue="1">
      <formula>AND(TIPOORCAMENTO="Licitado",$C323&lt;&gt;"L",$C323&lt;&gt;-1)</formula>
    </cfRule>
  </conditionalFormatting>
  <conditionalFormatting sqref="P323:Q331 S323:T331 Y323:Y331 AG323:AH331">
    <cfRule type="expression" dxfId="2146" priority="1384" stopIfTrue="1">
      <formula>$C323=1</formula>
    </cfRule>
    <cfRule type="expression" dxfId="2145" priority="1385" stopIfTrue="1">
      <formula>OR($C323=0,$C323=2,$C323=3,$C323=4)</formula>
    </cfRule>
  </conditionalFormatting>
  <conditionalFormatting sqref="AJ323:AJ331">
    <cfRule type="expression" dxfId="2144" priority="1386" stopIfTrue="1">
      <formula>OR(ACOMPANHAMENTO&lt;&gt;"BM",TIPOORCAMENTO="Licitado")</formula>
    </cfRule>
    <cfRule type="expression" dxfId="2143" priority="1387" stopIfTrue="1">
      <formula>$C323=1</formula>
    </cfRule>
    <cfRule type="expression" dxfId="2142" priority="1388" stopIfTrue="1">
      <formula>OR(AND(ISNUMBER($C323),$C323=0),$C323=2,$C323=3,$C323=4)</formula>
    </cfRule>
  </conditionalFormatting>
  <conditionalFormatting sqref="AL323:AL331">
    <cfRule type="expression" dxfId="2141" priority="1389" stopIfTrue="1">
      <formula>TIPOORCAMENTO="PROPOSTO"</formula>
    </cfRule>
    <cfRule type="expression" dxfId="2140" priority="1390" stopIfTrue="1">
      <formula>$C323=1</formula>
    </cfRule>
    <cfRule type="expression" dxfId="2139" priority="1391" stopIfTrue="1">
      <formula>OR(AND(ISNUMBER($C323),$C323=0),$C323=2,$C323=3,$C323=4)</formula>
    </cfRule>
  </conditionalFormatting>
  <conditionalFormatting sqref="AM323:AN331">
    <cfRule type="expression" dxfId="2138" priority="1392" stopIfTrue="1">
      <formula>TIPOORCAMENTO="PROPOSTO"</formula>
    </cfRule>
    <cfRule type="expression" dxfId="2137" priority="1393" stopIfTrue="1">
      <formula>$C323=1</formula>
    </cfRule>
    <cfRule type="expression" dxfId="2136" priority="1394" stopIfTrue="1">
      <formula>OR(AND(ISNUMBER($C323),$C323=0),$C323=2,$C323=3,$C323=4)</formula>
    </cfRule>
  </conditionalFormatting>
  <conditionalFormatting sqref="M332:M333">
    <cfRule type="cellIs" dxfId="2135" priority="1361" stopIfTrue="1" operator="notEqual">
      <formula>$N332</formula>
    </cfRule>
  </conditionalFormatting>
  <conditionalFormatting sqref="N332:O333 R332:R333 W332:X333">
    <cfRule type="expression" dxfId="2134" priority="1362" stopIfTrue="1">
      <formula>$C332=1</formula>
    </cfRule>
    <cfRule type="expression" dxfId="2133" priority="1363" stopIfTrue="1">
      <formula>OR($C332=0,$C332=2,$C332=3,$C332=4)</formula>
    </cfRule>
  </conditionalFormatting>
  <conditionalFormatting sqref="U332:V333">
    <cfRule type="expression" dxfId="2132" priority="1364" stopIfTrue="1">
      <formula>$C332=1</formula>
    </cfRule>
    <cfRule type="expression" dxfId="2131" priority="1365" stopIfTrue="1">
      <formula>OR($C332=0,$C332=2,$C332=3,$C332=4)</formula>
    </cfRule>
    <cfRule type="expression" dxfId="2130" priority="1366" stopIfTrue="1">
      <formula>AND(TIPOORCAMENTO="Licitado",$C332&lt;&gt;"L",$C332&lt;&gt;-1)</formula>
    </cfRule>
  </conditionalFormatting>
  <conditionalFormatting sqref="P332:Q333 S332:T333 Y332:Y333 AG332:AH333">
    <cfRule type="expression" dxfId="2129" priority="1367" stopIfTrue="1">
      <formula>$C332=1</formula>
    </cfRule>
    <cfRule type="expression" dxfId="2128" priority="1368" stopIfTrue="1">
      <formula>OR($C332=0,$C332=2,$C332=3,$C332=4)</formula>
    </cfRule>
  </conditionalFormatting>
  <conditionalFormatting sqref="AJ332:AJ333">
    <cfRule type="expression" dxfId="2127" priority="1369" stopIfTrue="1">
      <formula>OR(ACOMPANHAMENTO&lt;&gt;"BM",TIPOORCAMENTO="Licitado")</formula>
    </cfRule>
    <cfRule type="expression" dxfId="2126" priority="1370" stopIfTrue="1">
      <formula>$C332=1</formula>
    </cfRule>
    <cfRule type="expression" dxfId="2125" priority="1371" stopIfTrue="1">
      <formula>OR(AND(ISNUMBER($C332),$C332=0),$C332=2,$C332=3,$C332=4)</formula>
    </cfRule>
  </conditionalFormatting>
  <conditionalFormatting sqref="AL332:AL333">
    <cfRule type="expression" dxfId="2124" priority="1372" stopIfTrue="1">
      <formula>TIPOORCAMENTO="PROPOSTO"</formula>
    </cfRule>
    <cfRule type="expression" dxfId="2123" priority="1373" stopIfTrue="1">
      <formula>$C332=1</formula>
    </cfRule>
    <cfRule type="expression" dxfId="2122" priority="1374" stopIfTrue="1">
      <formula>OR(AND(ISNUMBER($C332),$C332=0),$C332=2,$C332=3,$C332=4)</formula>
    </cfRule>
  </conditionalFormatting>
  <conditionalFormatting sqref="AM332:AN333">
    <cfRule type="expression" dxfId="2121" priority="1375" stopIfTrue="1">
      <formula>TIPOORCAMENTO="PROPOSTO"</formula>
    </cfRule>
    <cfRule type="expression" dxfId="2120" priority="1376" stopIfTrue="1">
      <formula>$C332=1</formula>
    </cfRule>
    <cfRule type="expression" dxfId="2119" priority="1377" stopIfTrue="1">
      <formula>OR(AND(ISNUMBER($C332),$C332=0),$C332=2,$C332=3,$C332=4)</formula>
    </cfRule>
  </conditionalFormatting>
  <conditionalFormatting sqref="M341:M349">
    <cfRule type="cellIs" dxfId="2118" priority="1344" stopIfTrue="1" operator="notEqual">
      <formula>$N341</formula>
    </cfRule>
  </conditionalFormatting>
  <conditionalFormatting sqref="N341:O349 R341:R349 W341:X349">
    <cfRule type="expression" dxfId="2117" priority="1345" stopIfTrue="1">
      <formula>$C341=1</formula>
    </cfRule>
    <cfRule type="expression" dxfId="2116" priority="1346" stopIfTrue="1">
      <formula>OR($C341=0,$C341=2,$C341=3,$C341=4)</formula>
    </cfRule>
  </conditionalFormatting>
  <conditionalFormatting sqref="U341:V349">
    <cfRule type="expression" dxfId="2115" priority="1347" stopIfTrue="1">
      <formula>$C341=1</formula>
    </cfRule>
    <cfRule type="expression" dxfId="2114" priority="1348" stopIfTrue="1">
      <formula>OR($C341=0,$C341=2,$C341=3,$C341=4)</formula>
    </cfRule>
    <cfRule type="expression" dxfId="2113" priority="1349" stopIfTrue="1">
      <formula>AND(TIPOORCAMENTO="Licitado",$C341&lt;&gt;"L",$C341&lt;&gt;-1)</formula>
    </cfRule>
  </conditionalFormatting>
  <conditionalFormatting sqref="P341:Q349 S341:T349 Y341:Y349 AG341:AH349">
    <cfRule type="expression" dxfId="2112" priority="1350" stopIfTrue="1">
      <formula>$C341=1</formula>
    </cfRule>
    <cfRule type="expression" dxfId="2111" priority="1351" stopIfTrue="1">
      <formula>OR($C341=0,$C341=2,$C341=3,$C341=4)</formula>
    </cfRule>
  </conditionalFormatting>
  <conditionalFormatting sqref="AJ341:AJ349">
    <cfRule type="expression" dxfId="2110" priority="1352" stopIfTrue="1">
      <formula>OR(ACOMPANHAMENTO&lt;&gt;"BM",TIPOORCAMENTO="Licitado")</formula>
    </cfRule>
    <cfRule type="expression" dxfId="2109" priority="1353" stopIfTrue="1">
      <formula>$C341=1</formula>
    </cfRule>
    <cfRule type="expression" dxfId="2108" priority="1354" stopIfTrue="1">
      <formula>OR(AND(ISNUMBER($C341),$C341=0),$C341=2,$C341=3,$C341=4)</formula>
    </cfRule>
  </conditionalFormatting>
  <conditionalFormatting sqref="AL341:AL349">
    <cfRule type="expression" dxfId="2107" priority="1355" stopIfTrue="1">
      <formula>TIPOORCAMENTO="PROPOSTO"</formula>
    </cfRule>
    <cfRule type="expression" dxfId="2106" priority="1356" stopIfTrue="1">
      <formula>$C341=1</formula>
    </cfRule>
    <cfRule type="expression" dxfId="2105" priority="1357" stopIfTrue="1">
      <formula>OR(AND(ISNUMBER($C341),$C341=0),$C341=2,$C341=3,$C341=4)</formula>
    </cfRule>
  </conditionalFormatting>
  <conditionalFormatting sqref="AM341:AN349">
    <cfRule type="expression" dxfId="2104" priority="1358" stopIfTrue="1">
      <formula>TIPOORCAMENTO="PROPOSTO"</formula>
    </cfRule>
    <cfRule type="expression" dxfId="2103" priority="1359" stopIfTrue="1">
      <formula>$C341=1</formula>
    </cfRule>
    <cfRule type="expression" dxfId="2102" priority="1360" stopIfTrue="1">
      <formula>OR(AND(ISNUMBER($C341),$C341=0),$C341=2,$C341=3,$C341=4)</formula>
    </cfRule>
  </conditionalFormatting>
  <conditionalFormatting sqref="M350:M358">
    <cfRule type="cellIs" dxfId="2101" priority="1327" stopIfTrue="1" operator="notEqual">
      <formula>$N350</formula>
    </cfRule>
  </conditionalFormatting>
  <conditionalFormatting sqref="N350:O358 R350:R358 W350:X358">
    <cfRule type="expression" dxfId="2100" priority="1328" stopIfTrue="1">
      <formula>$C350=1</formula>
    </cfRule>
    <cfRule type="expression" dxfId="2099" priority="1329" stopIfTrue="1">
      <formula>OR($C350=0,$C350=2,$C350=3,$C350=4)</formula>
    </cfRule>
  </conditionalFormatting>
  <conditionalFormatting sqref="U350:V358">
    <cfRule type="expression" dxfId="2098" priority="1330" stopIfTrue="1">
      <formula>$C350=1</formula>
    </cfRule>
    <cfRule type="expression" dxfId="2097" priority="1331" stopIfTrue="1">
      <formula>OR($C350=0,$C350=2,$C350=3,$C350=4)</formula>
    </cfRule>
    <cfRule type="expression" dxfId="2096" priority="1332" stopIfTrue="1">
      <formula>AND(TIPOORCAMENTO="Licitado",$C350&lt;&gt;"L",$C350&lt;&gt;-1)</formula>
    </cfRule>
  </conditionalFormatting>
  <conditionalFormatting sqref="P350:Q358 S350:T358 Y350:Y358 AG350:AH358">
    <cfRule type="expression" dxfId="2095" priority="1333" stopIfTrue="1">
      <formula>$C350=1</formula>
    </cfRule>
    <cfRule type="expression" dxfId="2094" priority="1334" stopIfTrue="1">
      <formula>OR($C350=0,$C350=2,$C350=3,$C350=4)</formula>
    </cfRule>
  </conditionalFormatting>
  <conditionalFormatting sqref="AJ350:AJ358">
    <cfRule type="expression" dxfId="2093" priority="1335" stopIfTrue="1">
      <formula>OR(ACOMPANHAMENTO&lt;&gt;"BM",TIPOORCAMENTO="Licitado")</formula>
    </cfRule>
    <cfRule type="expression" dxfId="2092" priority="1336" stopIfTrue="1">
      <formula>$C350=1</formula>
    </cfRule>
    <cfRule type="expression" dxfId="2091" priority="1337" stopIfTrue="1">
      <formula>OR(AND(ISNUMBER($C350),$C350=0),$C350=2,$C350=3,$C350=4)</formula>
    </cfRule>
  </conditionalFormatting>
  <conditionalFormatting sqref="AL350:AL358">
    <cfRule type="expression" dxfId="2090" priority="1338" stopIfTrue="1">
      <formula>TIPOORCAMENTO="PROPOSTO"</formula>
    </cfRule>
    <cfRule type="expression" dxfId="2089" priority="1339" stopIfTrue="1">
      <formula>$C350=1</formula>
    </cfRule>
    <cfRule type="expression" dxfId="2088" priority="1340" stopIfTrue="1">
      <formula>OR(AND(ISNUMBER($C350),$C350=0),$C350=2,$C350=3,$C350=4)</formula>
    </cfRule>
  </conditionalFormatting>
  <conditionalFormatting sqref="AM350:AN358">
    <cfRule type="expression" dxfId="2087" priority="1341" stopIfTrue="1">
      <formula>TIPOORCAMENTO="PROPOSTO"</formula>
    </cfRule>
    <cfRule type="expression" dxfId="2086" priority="1342" stopIfTrue="1">
      <formula>$C350=1</formula>
    </cfRule>
    <cfRule type="expression" dxfId="2085" priority="1343" stopIfTrue="1">
      <formula>OR(AND(ISNUMBER($C350),$C350=0),$C350=2,$C350=3,$C350=4)</formula>
    </cfRule>
  </conditionalFormatting>
  <conditionalFormatting sqref="M359:M360">
    <cfRule type="cellIs" dxfId="2084" priority="1310" stopIfTrue="1" operator="notEqual">
      <formula>$N359</formula>
    </cfRule>
  </conditionalFormatting>
  <conditionalFormatting sqref="N359:O360 R359:R360 W359:X360">
    <cfRule type="expression" dxfId="2083" priority="1311" stopIfTrue="1">
      <formula>$C359=1</formula>
    </cfRule>
    <cfRule type="expression" dxfId="2082" priority="1312" stopIfTrue="1">
      <formula>OR($C359=0,$C359=2,$C359=3,$C359=4)</formula>
    </cfRule>
  </conditionalFormatting>
  <conditionalFormatting sqref="U359:V360">
    <cfRule type="expression" dxfId="2081" priority="1313" stopIfTrue="1">
      <formula>$C359=1</formula>
    </cfRule>
    <cfRule type="expression" dxfId="2080" priority="1314" stopIfTrue="1">
      <formula>OR($C359=0,$C359=2,$C359=3,$C359=4)</formula>
    </cfRule>
    <cfRule type="expression" dxfId="2079" priority="1315" stopIfTrue="1">
      <formula>AND(TIPOORCAMENTO="Licitado",$C359&lt;&gt;"L",$C359&lt;&gt;-1)</formula>
    </cfRule>
  </conditionalFormatting>
  <conditionalFormatting sqref="P359:Q360 S359:T360 Y359:Y360 AG359:AH360">
    <cfRule type="expression" dxfId="2078" priority="1316" stopIfTrue="1">
      <formula>$C359=1</formula>
    </cfRule>
    <cfRule type="expression" dxfId="2077" priority="1317" stopIfTrue="1">
      <formula>OR($C359=0,$C359=2,$C359=3,$C359=4)</formula>
    </cfRule>
  </conditionalFormatting>
  <conditionalFormatting sqref="AJ359:AJ360">
    <cfRule type="expression" dxfId="2076" priority="1318" stopIfTrue="1">
      <formula>OR(ACOMPANHAMENTO&lt;&gt;"BM",TIPOORCAMENTO="Licitado")</formula>
    </cfRule>
    <cfRule type="expression" dxfId="2075" priority="1319" stopIfTrue="1">
      <formula>$C359=1</formula>
    </cfRule>
    <cfRule type="expression" dxfId="2074" priority="1320" stopIfTrue="1">
      <formula>OR(AND(ISNUMBER($C359),$C359=0),$C359=2,$C359=3,$C359=4)</formula>
    </cfRule>
  </conditionalFormatting>
  <conditionalFormatting sqref="AL359:AL360">
    <cfRule type="expression" dxfId="2073" priority="1321" stopIfTrue="1">
      <formula>TIPOORCAMENTO="PROPOSTO"</formula>
    </cfRule>
    <cfRule type="expression" dxfId="2072" priority="1322" stopIfTrue="1">
      <formula>$C359=1</formula>
    </cfRule>
    <cfRule type="expression" dxfId="2071" priority="1323" stopIfTrue="1">
      <formula>OR(AND(ISNUMBER($C359),$C359=0),$C359=2,$C359=3,$C359=4)</formula>
    </cfRule>
  </conditionalFormatting>
  <conditionalFormatting sqref="AM359:AN360">
    <cfRule type="expression" dxfId="2070" priority="1324" stopIfTrue="1">
      <formula>TIPOORCAMENTO="PROPOSTO"</formula>
    </cfRule>
    <cfRule type="expression" dxfId="2069" priority="1325" stopIfTrue="1">
      <formula>$C359=1</formula>
    </cfRule>
    <cfRule type="expression" dxfId="2068" priority="1326" stopIfTrue="1">
      <formula>OR(AND(ISNUMBER($C359),$C359=0),$C359=2,$C359=3,$C359=4)</formula>
    </cfRule>
  </conditionalFormatting>
  <conditionalFormatting sqref="M365 M410:M417">
    <cfRule type="cellIs" dxfId="2067" priority="1293" stopIfTrue="1" operator="notEqual">
      <formula>$N365</formula>
    </cfRule>
  </conditionalFormatting>
  <conditionalFormatting sqref="N365:O365 R365 W365:X365 W410:X417 R410:R417 N410:O417">
    <cfRule type="expression" dxfId="2066" priority="1294" stopIfTrue="1">
      <formula>$C365=1</formula>
    </cfRule>
    <cfRule type="expression" dxfId="2065" priority="1295" stopIfTrue="1">
      <formula>OR($C365=0,$C365=2,$C365=3,$C365=4)</formula>
    </cfRule>
  </conditionalFormatting>
  <conditionalFormatting sqref="U365:V365 U410:V417">
    <cfRule type="expression" dxfId="2064" priority="1296" stopIfTrue="1">
      <formula>$C365=1</formula>
    </cfRule>
    <cfRule type="expression" dxfId="2063" priority="1297" stopIfTrue="1">
      <formula>OR($C365=0,$C365=2,$C365=3,$C365=4)</formula>
    </cfRule>
    <cfRule type="expression" dxfId="2062" priority="1298" stopIfTrue="1">
      <formula>AND(TIPOORCAMENTO="Licitado",$C365&lt;&gt;"L",$C365&lt;&gt;-1)</formula>
    </cfRule>
  </conditionalFormatting>
  <conditionalFormatting sqref="P365:Q365 S365:T365 Y365 AG365:AH365 AG410:AH417 Y410:Y417 S410:T417 P410:Q417">
    <cfRule type="expression" dxfId="2061" priority="1299" stopIfTrue="1">
      <formula>$C365=1</formula>
    </cfRule>
    <cfRule type="expression" dxfId="2060" priority="1300" stopIfTrue="1">
      <formula>OR($C365=0,$C365=2,$C365=3,$C365=4)</formula>
    </cfRule>
  </conditionalFormatting>
  <conditionalFormatting sqref="AJ365 AJ410:AJ417">
    <cfRule type="expression" dxfId="2059" priority="1301" stopIfTrue="1">
      <formula>OR(ACOMPANHAMENTO&lt;&gt;"BM",TIPOORCAMENTO="Licitado")</formula>
    </cfRule>
    <cfRule type="expression" dxfId="2058" priority="1302" stopIfTrue="1">
      <formula>$C365=1</formula>
    </cfRule>
    <cfRule type="expression" dxfId="2057" priority="1303" stopIfTrue="1">
      <formula>OR(AND(ISNUMBER($C365),$C365=0),$C365=2,$C365=3,$C365=4)</formula>
    </cfRule>
  </conditionalFormatting>
  <conditionalFormatting sqref="AL365 AL410:AL417">
    <cfRule type="expression" dxfId="2056" priority="1304" stopIfTrue="1">
      <formula>TIPOORCAMENTO="PROPOSTO"</formula>
    </cfRule>
    <cfRule type="expression" dxfId="2055" priority="1305" stopIfTrue="1">
      <formula>$C365=1</formula>
    </cfRule>
    <cfRule type="expression" dxfId="2054" priority="1306" stopIfTrue="1">
      <formula>OR(AND(ISNUMBER($C365),$C365=0),$C365=2,$C365=3,$C365=4)</formula>
    </cfRule>
  </conditionalFormatting>
  <conditionalFormatting sqref="AM365:AN365 AM410:AN417">
    <cfRule type="expression" dxfId="2053" priority="1307" stopIfTrue="1">
      <formula>TIPOORCAMENTO="PROPOSTO"</formula>
    </cfRule>
    <cfRule type="expression" dxfId="2052" priority="1308" stopIfTrue="1">
      <formula>$C365=1</formula>
    </cfRule>
    <cfRule type="expression" dxfId="2051" priority="1309" stopIfTrue="1">
      <formula>OR(AND(ISNUMBER($C365),$C365=0),$C365=2,$C365=3,$C365=4)</formula>
    </cfRule>
  </conditionalFormatting>
  <conditionalFormatting sqref="M366 M391:M398">
    <cfRule type="cellIs" dxfId="2050" priority="1242" stopIfTrue="1" operator="notEqual">
      <formula>$N366</formula>
    </cfRule>
  </conditionalFormatting>
  <conditionalFormatting sqref="N366:O366 R366 W366:X366 W391:X398 R391:R398 N391:O398">
    <cfRule type="expression" dxfId="2049" priority="1243" stopIfTrue="1">
      <formula>$C366=1</formula>
    </cfRule>
    <cfRule type="expression" dxfId="2048" priority="1244" stopIfTrue="1">
      <formula>OR($C366=0,$C366=2,$C366=3,$C366=4)</formula>
    </cfRule>
  </conditionalFormatting>
  <conditionalFormatting sqref="U366:V366 U391:V398">
    <cfRule type="expression" dxfId="2047" priority="1245" stopIfTrue="1">
      <formula>$C366=1</formula>
    </cfRule>
    <cfRule type="expression" dxfId="2046" priority="1246" stopIfTrue="1">
      <formula>OR($C366=0,$C366=2,$C366=3,$C366=4)</formula>
    </cfRule>
    <cfRule type="expression" dxfId="2045" priority="1247" stopIfTrue="1">
      <formula>AND(TIPOORCAMENTO="Licitado",$C366&lt;&gt;"L",$C366&lt;&gt;-1)</formula>
    </cfRule>
  </conditionalFormatting>
  <conditionalFormatting sqref="P366:Q366 S366:T366 Y366 AG366:AH366 AG391:AH398 Y391:Y398 S391:T398 P391:Q398">
    <cfRule type="expression" dxfId="2044" priority="1248" stopIfTrue="1">
      <formula>$C366=1</formula>
    </cfRule>
    <cfRule type="expression" dxfId="2043" priority="1249" stopIfTrue="1">
      <formula>OR($C366=0,$C366=2,$C366=3,$C366=4)</formula>
    </cfRule>
  </conditionalFormatting>
  <conditionalFormatting sqref="AJ366 AJ391:AJ398">
    <cfRule type="expression" dxfId="2042" priority="1250" stopIfTrue="1">
      <formula>OR(ACOMPANHAMENTO&lt;&gt;"BM",TIPOORCAMENTO="Licitado")</formula>
    </cfRule>
    <cfRule type="expression" dxfId="2041" priority="1251" stopIfTrue="1">
      <formula>$C366=1</formula>
    </cfRule>
    <cfRule type="expression" dxfId="2040" priority="1252" stopIfTrue="1">
      <formula>OR(AND(ISNUMBER($C366),$C366=0),$C366=2,$C366=3,$C366=4)</formula>
    </cfRule>
  </conditionalFormatting>
  <conditionalFormatting sqref="AL366 AL391:AL398">
    <cfRule type="expression" dxfId="2039" priority="1253" stopIfTrue="1">
      <formula>TIPOORCAMENTO="PROPOSTO"</formula>
    </cfRule>
    <cfRule type="expression" dxfId="2038" priority="1254" stopIfTrue="1">
      <formula>$C366=1</formula>
    </cfRule>
    <cfRule type="expression" dxfId="2037" priority="1255" stopIfTrue="1">
      <formula>OR(AND(ISNUMBER($C366),$C366=0),$C366=2,$C366=3,$C366=4)</formula>
    </cfRule>
  </conditionalFormatting>
  <conditionalFormatting sqref="AM366:AN366 AM391:AN398">
    <cfRule type="expression" dxfId="2036" priority="1256" stopIfTrue="1">
      <formula>TIPOORCAMENTO="PROPOSTO"</formula>
    </cfRule>
    <cfRule type="expression" dxfId="2035" priority="1257" stopIfTrue="1">
      <formula>$C366=1</formula>
    </cfRule>
    <cfRule type="expression" dxfId="2034" priority="1258" stopIfTrue="1">
      <formula>OR(AND(ISNUMBER($C366),$C366=0),$C366=2,$C366=3,$C366=4)</formula>
    </cfRule>
  </conditionalFormatting>
  <conditionalFormatting sqref="M399:M407">
    <cfRule type="cellIs" dxfId="2033" priority="1225" stopIfTrue="1" operator="notEqual">
      <formula>$N399</formula>
    </cfRule>
  </conditionalFormatting>
  <conditionalFormatting sqref="N399:O407 R399:R407 W399:X407">
    <cfRule type="expression" dxfId="2032" priority="1226" stopIfTrue="1">
      <formula>$C399=1</formula>
    </cfRule>
    <cfRule type="expression" dxfId="2031" priority="1227" stopIfTrue="1">
      <formula>OR($C399=0,$C399=2,$C399=3,$C399=4)</formula>
    </cfRule>
  </conditionalFormatting>
  <conditionalFormatting sqref="U399:V407">
    <cfRule type="expression" dxfId="2030" priority="1228" stopIfTrue="1">
      <formula>$C399=1</formula>
    </cfRule>
    <cfRule type="expression" dxfId="2029" priority="1229" stopIfTrue="1">
      <formula>OR($C399=0,$C399=2,$C399=3,$C399=4)</formula>
    </cfRule>
    <cfRule type="expression" dxfId="2028" priority="1230" stopIfTrue="1">
      <formula>AND(TIPOORCAMENTO="Licitado",$C399&lt;&gt;"L",$C399&lt;&gt;-1)</formula>
    </cfRule>
  </conditionalFormatting>
  <conditionalFormatting sqref="P399:Q407 S399:T407 Y399:Y407 AG399:AH407">
    <cfRule type="expression" dxfId="2027" priority="1231" stopIfTrue="1">
      <formula>$C399=1</formula>
    </cfRule>
    <cfRule type="expression" dxfId="2026" priority="1232" stopIfTrue="1">
      <formula>OR($C399=0,$C399=2,$C399=3,$C399=4)</formula>
    </cfRule>
  </conditionalFormatting>
  <conditionalFormatting sqref="AJ399:AJ407">
    <cfRule type="expression" dxfId="2025" priority="1233" stopIfTrue="1">
      <formula>OR(ACOMPANHAMENTO&lt;&gt;"BM",TIPOORCAMENTO="Licitado")</formula>
    </cfRule>
    <cfRule type="expression" dxfId="2024" priority="1234" stopIfTrue="1">
      <formula>$C399=1</formula>
    </cfRule>
    <cfRule type="expression" dxfId="2023" priority="1235" stopIfTrue="1">
      <formula>OR(AND(ISNUMBER($C399),$C399=0),$C399=2,$C399=3,$C399=4)</formula>
    </cfRule>
  </conditionalFormatting>
  <conditionalFormatting sqref="AL399:AL407">
    <cfRule type="expression" dxfId="2022" priority="1236" stopIfTrue="1">
      <formula>TIPOORCAMENTO="PROPOSTO"</formula>
    </cfRule>
    <cfRule type="expression" dxfId="2021" priority="1237" stopIfTrue="1">
      <formula>$C399=1</formula>
    </cfRule>
    <cfRule type="expression" dxfId="2020" priority="1238" stopIfTrue="1">
      <formula>OR(AND(ISNUMBER($C399),$C399=0),$C399=2,$C399=3,$C399=4)</formula>
    </cfRule>
  </conditionalFormatting>
  <conditionalFormatting sqref="AM399:AN407">
    <cfRule type="expression" dxfId="2019" priority="1239" stopIfTrue="1">
      <formula>TIPOORCAMENTO="PROPOSTO"</formula>
    </cfRule>
    <cfRule type="expression" dxfId="2018" priority="1240" stopIfTrue="1">
      <formula>$C399=1</formula>
    </cfRule>
    <cfRule type="expression" dxfId="2017" priority="1241" stopIfTrue="1">
      <formula>OR(AND(ISNUMBER($C399),$C399=0),$C399=2,$C399=3,$C399=4)</formula>
    </cfRule>
  </conditionalFormatting>
  <conditionalFormatting sqref="M408:M409">
    <cfRule type="cellIs" dxfId="2016" priority="1208" stopIfTrue="1" operator="notEqual">
      <formula>$N408</formula>
    </cfRule>
  </conditionalFormatting>
  <conditionalFormatting sqref="N408:O409 R408:R409 W408:X409">
    <cfRule type="expression" dxfId="2015" priority="1209" stopIfTrue="1">
      <formula>$C408=1</formula>
    </cfRule>
    <cfRule type="expression" dxfId="2014" priority="1210" stopIfTrue="1">
      <formula>OR($C408=0,$C408=2,$C408=3,$C408=4)</formula>
    </cfRule>
  </conditionalFormatting>
  <conditionalFormatting sqref="U408:V409">
    <cfRule type="expression" dxfId="2013" priority="1211" stopIfTrue="1">
      <formula>$C408=1</formula>
    </cfRule>
    <cfRule type="expression" dxfId="2012" priority="1212" stopIfTrue="1">
      <formula>OR($C408=0,$C408=2,$C408=3,$C408=4)</formula>
    </cfRule>
    <cfRule type="expression" dxfId="2011" priority="1213" stopIfTrue="1">
      <formula>AND(TIPOORCAMENTO="Licitado",$C408&lt;&gt;"L",$C408&lt;&gt;-1)</formula>
    </cfRule>
  </conditionalFormatting>
  <conditionalFormatting sqref="P408:Q409 S408:T409 Y408:Y409 AG408:AH409">
    <cfRule type="expression" dxfId="2010" priority="1214" stopIfTrue="1">
      <formula>$C408=1</formula>
    </cfRule>
    <cfRule type="expression" dxfId="2009" priority="1215" stopIfTrue="1">
      <formula>OR($C408=0,$C408=2,$C408=3,$C408=4)</formula>
    </cfRule>
  </conditionalFormatting>
  <conditionalFormatting sqref="AJ408:AJ409">
    <cfRule type="expression" dxfId="2008" priority="1216" stopIfTrue="1">
      <formula>OR(ACOMPANHAMENTO&lt;&gt;"BM",TIPOORCAMENTO="Licitado")</formula>
    </cfRule>
    <cfRule type="expression" dxfId="2007" priority="1217" stopIfTrue="1">
      <formula>$C408=1</formula>
    </cfRule>
    <cfRule type="expression" dxfId="2006" priority="1218" stopIfTrue="1">
      <formula>OR(AND(ISNUMBER($C408),$C408=0),$C408=2,$C408=3,$C408=4)</formula>
    </cfRule>
  </conditionalFormatting>
  <conditionalFormatting sqref="AL408:AL409">
    <cfRule type="expression" dxfId="2005" priority="1219" stopIfTrue="1">
      <formula>TIPOORCAMENTO="PROPOSTO"</formula>
    </cfRule>
    <cfRule type="expression" dxfId="2004" priority="1220" stopIfTrue="1">
      <formula>$C408=1</formula>
    </cfRule>
    <cfRule type="expression" dxfId="2003" priority="1221" stopIfTrue="1">
      <formula>OR(AND(ISNUMBER($C408),$C408=0),$C408=2,$C408=3,$C408=4)</formula>
    </cfRule>
  </conditionalFormatting>
  <conditionalFormatting sqref="AM408:AN409">
    <cfRule type="expression" dxfId="2002" priority="1222" stopIfTrue="1">
      <formula>TIPOORCAMENTO="PROPOSTO"</formula>
    </cfRule>
    <cfRule type="expression" dxfId="2001" priority="1223" stopIfTrue="1">
      <formula>$C408=1</formula>
    </cfRule>
    <cfRule type="expression" dxfId="2000" priority="1224" stopIfTrue="1">
      <formula>OR(AND(ISNUMBER($C408),$C408=0),$C408=2,$C408=3,$C408=4)</formula>
    </cfRule>
  </conditionalFormatting>
  <conditionalFormatting sqref="M380:M388">
    <cfRule type="cellIs" dxfId="1999" priority="1174" stopIfTrue="1" operator="notEqual">
      <formula>$N380</formula>
    </cfRule>
  </conditionalFormatting>
  <conditionalFormatting sqref="N380:O388 R380:R388 W380:X388">
    <cfRule type="expression" dxfId="1998" priority="1175" stopIfTrue="1">
      <formula>$C380=1</formula>
    </cfRule>
    <cfRule type="expression" dxfId="1997" priority="1176" stopIfTrue="1">
      <formula>OR($C380=0,$C380=2,$C380=3,$C380=4)</formula>
    </cfRule>
  </conditionalFormatting>
  <conditionalFormatting sqref="U380:V388">
    <cfRule type="expression" dxfId="1996" priority="1177" stopIfTrue="1">
      <formula>$C380=1</formula>
    </cfRule>
    <cfRule type="expression" dxfId="1995" priority="1178" stopIfTrue="1">
      <formula>OR($C380=0,$C380=2,$C380=3,$C380=4)</formula>
    </cfRule>
    <cfRule type="expression" dxfId="1994" priority="1179" stopIfTrue="1">
      <formula>AND(TIPOORCAMENTO="Licitado",$C380&lt;&gt;"L",$C380&lt;&gt;-1)</formula>
    </cfRule>
  </conditionalFormatting>
  <conditionalFormatting sqref="P380:Q388 S380:T388 Y380:Y388 AG380:AH388">
    <cfRule type="expression" dxfId="1993" priority="1180" stopIfTrue="1">
      <formula>$C380=1</formula>
    </cfRule>
    <cfRule type="expression" dxfId="1992" priority="1181" stopIfTrue="1">
      <formula>OR($C380=0,$C380=2,$C380=3,$C380=4)</formula>
    </cfRule>
  </conditionalFormatting>
  <conditionalFormatting sqref="AJ380:AJ388">
    <cfRule type="expression" dxfId="1991" priority="1182" stopIfTrue="1">
      <formula>OR(ACOMPANHAMENTO&lt;&gt;"BM",TIPOORCAMENTO="Licitado")</formula>
    </cfRule>
    <cfRule type="expression" dxfId="1990" priority="1183" stopIfTrue="1">
      <formula>$C380=1</formula>
    </cfRule>
    <cfRule type="expression" dxfId="1989" priority="1184" stopIfTrue="1">
      <formula>OR(AND(ISNUMBER($C380),$C380=0),$C380=2,$C380=3,$C380=4)</formula>
    </cfRule>
  </conditionalFormatting>
  <conditionalFormatting sqref="AL380:AL388">
    <cfRule type="expression" dxfId="1988" priority="1185" stopIfTrue="1">
      <formula>TIPOORCAMENTO="PROPOSTO"</formula>
    </cfRule>
    <cfRule type="expression" dxfId="1987" priority="1186" stopIfTrue="1">
      <formula>$C380=1</formula>
    </cfRule>
    <cfRule type="expression" dxfId="1986" priority="1187" stopIfTrue="1">
      <formula>OR(AND(ISNUMBER($C380),$C380=0),$C380=2,$C380=3,$C380=4)</formula>
    </cfRule>
  </conditionalFormatting>
  <conditionalFormatting sqref="AM380:AN388">
    <cfRule type="expression" dxfId="1985" priority="1188" stopIfTrue="1">
      <formula>TIPOORCAMENTO="PROPOSTO"</formula>
    </cfRule>
    <cfRule type="expression" dxfId="1984" priority="1189" stopIfTrue="1">
      <formula>$C380=1</formula>
    </cfRule>
    <cfRule type="expression" dxfId="1983" priority="1190" stopIfTrue="1">
      <formula>OR(AND(ISNUMBER($C380),$C380=0),$C380=2,$C380=3,$C380=4)</formula>
    </cfRule>
  </conditionalFormatting>
  <conditionalFormatting sqref="M389:M390">
    <cfRule type="cellIs" dxfId="1982" priority="1157" stopIfTrue="1" operator="notEqual">
      <formula>$N389</formula>
    </cfRule>
  </conditionalFormatting>
  <conditionalFormatting sqref="N389:O390 R389:R390 W389:X390">
    <cfRule type="expression" dxfId="1981" priority="1158" stopIfTrue="1">
      <formula>$C389=1</formula>
    </cfRule>
    <cfRule type="expression" dxfId="1980" priority="1159" stopIfTrue="1">
      <formula>OR($C389=0,$C389=2,$C389=3,$C389=4)</formula>
    </cfRule>
  </conditionalFormatting>
  <conditionalFormatting sqref="U389:V390">
    <cfRule type="expression" dxfId="1979" priority="1160" stopIfTrue="1">
      <formula>$C389=1</formula>
    </cfRule>
    <cfRule type="expression" dxfId="1978" priority="1161" stopIfTrue="1">
      <formula>OR($C389=0,$C389=2,$C389=3,$C389=4)</formula>
    </cfRule>
    <cfRule type="expression" dxfId="1977" priority="1162" stopIfTrue="1">
      <formula>AND(TIPOORCAMENTO="Licitado",$C389&lt;&gt;"L",$C389&lt;&gt;-1)</formula>
    </cfRule>
  </conditionalFormatting>
  <conditionalFormatting sqref="P389:Q390 S389:T390 Y389:Y390 AG389:AH390">
    <cfRule type="expression" dxfId="1976" priority="1163" stopIfTrue="1">
      <formula>$C389=1</formula>
    </cfRule>
    <cfRule type="expression" dxfId="1975" priority="1164" stopIfTrue="1">
      <formula>OR($C389=0,$C389=2,$C389=3,$C389=4)</formula>
    </cfRule>
  </conditionalFormatting>
  <conditionalFormatting sqref="AJ389:AJ390">
    <cfRule type="expression" dxfId="1974" priority="1165" stopIfTrue="1">
      <formula>OR(ACOMPANHAMENTO&lt;&gt;"BM",TIPOORCAMENTO="Licitado")</formula>
    </cfRule>
    <cfRule type="expression" dxfId="1973" priority="1166" stopIfTrue="1">
      <formula>$C389=1</formula>
    </cfRule>
    <cfRule type="expression" dxfId="1972" priority="1167" stopIfTrue="1">
      <formula>OR(AND(ISNUMBER($C389),$C389=0),$C389=2,$C389=3,$C389=4)</formula>
    </cfRule>
  </conditionalFormatting>
  <conditionalFormatting sqref="AL389:AL390">
    <cfRule type="expression" dxfId="1971" priority="1168" stopIfTrue="1">
      <formula>TIPOORCAMENTO="PROPOSTO"</formula>
    </cfRule>
    <cfRule type="expression" dxfId="1970" priority="1169" stopIfTrue="1">
      <formula>$C389=1</formula>
    </cfRule>
    <cfRule type="expression" dxfId="1969" priority="1170" stopIfTrue="1">
      <formula>OR(AND(ISNUMBER($C389),$C389=0),$C389=2,$C389=3,$C389=4)</formula>
    </cfRule>
  </conditionalFormatting>
  <conditionalFormatting sqref="AM389:AN390">
    <cfRule type="expression" dxfId="1968" priority="1171" stopIfTrue="1">
      <formula>TIPOORCAMENTO="PROPOSTO"</formula>
    </cfRule>
    <cfRule type="expression" dxfId="1967" priority="1172" stopIfTrue="1">
      <formula>$C389=1</formula>
    </cfRule>
    <cfRule type="expression" dxfId="1966" priority="1173" stopIfTrue="1">
      <formula>OR(AND(ISNUMBER($C389),$C389=0),$C389=2,$C389=3,$C389=4)</formula>
    </cfRule>
  </conditionalFormatting>
  <conditionalFormatting sqref="M501:M509">
    <cfRule type="cellIs" dxfId="1965" priority="1123" stopIfTrue="1" operator="notEqual">
      <formula>$N501</formula>
    </cfRule>
  </conditionalFormatting>
  <conditionalFormatting sqref="N501:O509 R501:R509 W501:X509">
    <cfRule type="expression" dxfId="1964" priority="1124" stopIfTrue="1">
      <formula>$C501=1</formula>
    </cfRule>
    <cfRule type="expression" dxfId="1963" priority="1125" stopIfTrue="1">
      <formula>OR($C501=0,$C501=2,$C501=3,$C501=4)</formula>
    </cfRule>
  </conditionalFormatting>
  <conditionalFormatting sqref="U501:V509">
    <cfRule type="expression" dxfId="1962" priority="1126" stopIfTrue="1">
      <formula>$C501=1</formula>
    </cfRule>
    <cfRule type="expression" dxfId="1961" priority="1127" stopIfTrue="1">
      <formula>OR($C501=0,$C501=2,$C501=3,$C501=4)</formula>
    </cfRule>
    <cfRule type="expression" dxfId="1960" priority="1128" stopIfTrue="1">
      <formula>AND(TIPOORCAMENTO="Licitado",$C501&lt;&gt;"L",$C501&lt;&gt;-1)</formula>
    </cfRule>
  </conditionalFormatting>
  <conditionalFormatting sqref="P501:Q509 S501:T509 Y501:Y509 AG501:AH509">
    <cfRule type="expression" dxfId="1959" priority="1129" stopIfTrue="1">
      <formula>$C501=1</formula>
    </cfRule>
    <cfRule type="expression" dxfId="1958" priority="1130" stopIfTrue="1">
      <formula>OR($C501=0,$C501=2,$C501=3,$C501=4)</formula>
    </cfRule>
  </conditionalFormatting>
  <conditionalFormatting sqref="AJ501:AJ509">
    <cfRule type="expression" dxfId="1957" priority="1131" stopIfTrue="1">
      <formula>OR(ACOMPANHAMENTO&lt;&gt;"BM",TIPOORCAMENTO="Licitado")</formula>
    </cfRule>
    <cfRule type="expression" dxfId="1956" priority="1132" stopIfTrue="1">
      <formula>$C501=1</formula>
    </cfRule>
    <cfRule type="expression" dxfId="1955" priority="1133" stopIfTrue="1">
      <formula>OR(AND(ISNUMBER($C501),$C501=0),$C501=2,$C501=3,$C501=4)</formula>
    </cfRule>
  </conditionalFormatting>
  <conditionalFormatting sqref="AL501:AL509">
    <cfRule type="expression" dxfId="1954" priority="1134" stopIfTrue="1">
      <formula>TIPOORCAMENTO="PROPOSTO"</formula>
    </cfRule>
    <cfRule type="expression" dxfId="1953" priority="1135" stopIfTrue="1">
      <formula>$C501=1</formula>
    </cfRule>
    <cfRule type="expression" dxfId="1952" priority="1136" stopIfTrue="1">
      <formula>OR(AND(ISNUMBER($C501),$C501=0),$C501=2,$C501=3,$C501=4)</formula>
    </cfRule>
  </conditionalFormatting>
  <conditionalFormatting sqref="AM501:AN509">
    <cfRule type="expression" dxfId="1951" priority="1137" stopIfTrue="1">
      <formula>TIPOORCAMENTO="PROPOSTO"</formula>
    </cfRule>
    <cfRule type="expression" dxfId="1950" priority="1138" stopIfTrue="1">
      <formula>$C501=1</formula>
    </cfRule>
    <cfRule type="expression" dxfId="1949" priority="1139" stopIfTrue="1">
      <formula>OR(AND(ISNUMBER($C501),$C501=0),$C501=2,$C501=3,$C501=4)</formula>
    </cfRule>
  </conditionalFormatting>
  <conditionalFormatting sqref="M510:M511">
    <cfRule type="cellIs" dxfId="1948" priority="1106" stopIfTrue="1" operator="notEqual">
      <formula>$N510</formula>
    </cfRule>
  </conditionalFormatting>
  <conditionalFormatting sqref="N510:O511 R510:R511 W510:X511">
    <cfRule type="expression" dxfId="1947" priority="1107" stopIfTrue="1">
      <formula>$C510=1</formula>
    </cfRule>
    <cfRule type="expression" dxfId="1946" priority="1108" stopIfTrue="1">
      <formula>OR($C510=0,$C510=2,$C510=3,$C510=4)</formula>
    </cfRule>
  </conditionalFormatting>
  <conditionalFormatting sqref="U510:V511">
    <cfRule type="expression" dxfId="1945" priority="1109" stopIfTrue="1">
      <formula>$C510=1</formula>
    </cfRule>
    <cfRule type="expression" dxfId="1944" priority="1110" stopIfTrue="1">
      <formula>OR($C510=0,$C510=2,$C510=3,$C510=4)</formula>
    </cfRule>
    <cfRule type="expression" dxfId="1943" priority="1111" stopIfTrue="1">
      <formula>AND(TIPOORCAMENTO="Licitado",$C510&lt;&gt;"L",$C510&lt;&gt;-1)</formula>
    </cfRule>
  </conditionalFormatting>
  <conditionalFormatting sqref="P510:Q511 S510:T511 Y510:Y511 AG510:AH511">
    <cfRule type="expression" dxfId="1942" priority="1112" stopIfTrue="1">
      <formula>$C510=1</formula>
    </cfRule>
    <cfRule type="expression" dxfId="1941" priority="1113" stopIfTrue="1">
      <formula>OR($C510=0,$C510=2,$C510=3,$C510=4)</formula>
    </cfRule>
  </conditionalFormatting>
  <conditionalFormatting sqref="AJ510:AJ511">
    <cfRule type="expression" dxfId="1940" priority="1114" stopIfTrue="1">
      <formula>OR(ACOMPANHAMENTO&lt;&gt;"BM",TIPOORCAMENTO="Licitado")</formula>
    </cfRule>
    <cfRule type="expression" dxfId="1939" priority="1115" stopIfTrue="1">
      <formula>$C510=1</formula>
    </cfRule>
    <cfRule type="expression" dxfId="1938" priority="1116" stopIfTrue="1">
      <formula>OR(AND(ISNUMBER($C510),$C510=0),$C510=2,$C510=3,$C510=4)</formula>
    </cfRule>
  </conditionalFormatting>
  <conditionalFormatting sqref="AL510:AL511">
    <cfRule type="expression" dxfId="1937" priority="1117" stopIfTrue="1">
      <formula>TIPOORCAMENTO="PROPOSTO"</formula>
    </cfRule>
    <cfRule type="expression" dxfId="1936" priority="1118" stopIfTrue="1">
      <formula>$C510=1</formula>
    </cfRule>
    <cfRule type="expression" dxfId="1935" priority="1119" stopIfTrue="1">
      <formula>OR(AND(ISNUMBER($C510),$C510=0),$C510=2,$C510=3,$C510=4)</formula>
    </cfRule>
  </conditionalFormatting>
  <conditionalFormatting sqref="AM510:AN511">
    <cfRule type="expression" dxfId="1934" priority="1120" stopIfTrue="1">
      <formula>TIPOORCAMENTO="PROPOSTO"</formula>
    </cfRule>
    <cfRule type="expression" dxfId="1933" priority="1121" stopIfTrue="1">
      <formula>$C510=1</formula>
    </cfRule>
    <cfRule type="expression" dxfId="1932" priority="1122" stopIfTrue="1">
      <formula>OR(AND(ISNUMBER($C510),$C510=0),$C510=2,$C510=3,$C510=4)</formula>
    </cfRule>
  </conditionalFormatting>
  <conditionalFormatting sqref="M484:M492">
    <cfRule type="cellIs" dxfId="1931" priority="1072" stopIfTrue="1" operator="notEqual">
      <formula>$N484</formula>
    </cfRule>
  </conditionalFormatting>
  <conditionalFormatting sqref="N484:O492 R484:R492 W484:X492">
    <cfRule type="expression" dxfId="1930" priority="1073" stopIfTrue="1">
      <formula>$C484=1</formula>
    </cfRule>
    <cfRule type="expression" dxfId="1929" priority="1074" stopIfTrue="1">
      <formula>OR($C484=0,$C484=2,$C484=3,$C484=4)</formula>
    </cfRule>
  </conditionalFormatting>
  <conditionalFormatting sqref="U484:V492">
    <cfRule type="expression" dxfId="1928" priority="1075" stopIfTrue="1">
      <formula>$C484=1</formula>
    </cfRule>
    <cfRule type="expression" dxfId="1927" priority="1076" stopIfTrue="1">
      <formula>OR($C484=0,$C484=2,$C484=3,$C484=4)</formula>
    </cfRule>
    <cfRule type="expression" dxfId="1926" priority="1077" stopIfTrue="1">
      <formula>AND(TIPOORCAMENTO="Licitado",$C484&lt;&gt;"L",$C484&lt;&gt;-1)</formula>
    </cfRule>
  </conditionalFormatting>
  <conditionalFormatting sqref="P484:Q492 S484:T492 Y484:Y492 AG484:AH492">
    <cfRule type="expression" dxfId="1925" priority="1078" stopIfTrue="1">
      <formula>$C484=1</formula>
    </cfRule>
    <cfRule type="expression" dxfId="1924" priority="1079" stopIfTrue="1">
      <formula>OR($C484=0,$C484=2,$C484=3,$C484=4)</formula>
    </cfRule>
  </conditionalFormatting>
  <conditionalFormatting sqref="AJ484:AJ492">
    <cfRule type="expression" dxfId="1923" priority="1080" stopIfTrue="1">
      <formula>OR(ACOMPANHAMENTO&lt;&gt;"BM",TIPOORCAMENTO="Licitado")</formula>
    </cfRule>
    <cfRule type="expression" dxfId="1922" priority="1081" stopIfTrue="1">
      <formula>$C484=1</formula>
    </cfRule>
    <cfRule type="expression" dxfId="1921" priority="1082" stopIfTrue="1">
      <formula>OR(AND(ISNUMBER($C484),$C484=0),$C484=2,$C484=3,$C484=4)</formula>
    </cfRule>
  </conditionalFormatting>
  <conditionalFormatting sqref="AL484:AL492">
    <cfRule type="expression" dxfId="1920" priority="1083" stopIfTrue="1">
      <formula>TIPOORCAMENTO="PROPOSTO"</formula>
    </cfRule>
    <cfRule type="expression" dxfId="1919" priority="1084" stopIfTrue="1">
      <formula>$C484=1</formula>
    </cfRule>
    <cfRule type="expression" dxfId="1918" priority="1085" stopIfTrue="1">
      <formula>OR(AND(ISNUMBER($C484),$C484=0),$C484=2,$C484=3,$C484=4)</formula>
    </cfRule>
  </conditionalFormatting>
  <conditionalFormatting sqref="AM484:AN492">
    <cfRule type="expression" dxfId="1917" priority="1086" stopIfTrue="1">
      <formula>TIPOORCAMENTO="PROPOSTO"</formula>
    </cfRule>
    <cfRule type="expression" dxfId="1916" priority="1087" stopIfTrue="1">
      <formula>$C484=1</formula>
    </cfRule>
    <cfRule type="expression" dxfId="1915" priority="1088" stopIfTrue="1">
      <formula>OR(AND(ISNUMBER($C484),$C484=0),$C484=2,$C484=3,$C484=4)</formula>
    </cfRule>
  </conditionalFormatting>
  <conditionalFormatting sqref="M493:M494">
    <cfRule type="cellIs" dxfId="1914" priority="1055" stopIfTrue="1" operator="notEqual">
      <formula>$N493</formula>
    </cfRule>
  </conditionalFormatting>
  <conditionalFormatting sqref="N493:O494 R493:R494 W493:X494">
    <cfRule type="expression" dxfId="1913" priority="1056" stopIfTrue="1">
      <formula>$C493=1</formula>
    </cfRule>
    <cfRule type="expression" dxfId="1912" priority="1057" stopIfTrue="1">
      <formula>OR($C493=0,$C493=2,$C493=3,$C493=4)</formula>
    </cfRule>
  </conditionalFormatting>
  <conditionalFormatting sqref="U493:V494">
    <cfRule type="expression" dxfId="1911" priority="1058" stopIfTrue="1">
      <formula>$C493=1</formula>
    </cfRule>
    <cfRule type="expression" dxfId="1910" priority="1059" stopIfTrue="1">
      <formula>OR($C493=0,$C493=2,$C493=3,$C493=4)</formula>
    </cfRule>
    <cfRule type="expression" dxfId="1909" priority="1060" stopIfTrue="1">
      <formula>AND(TIPOORCAMENTO="Licitado",$C493&lt;&gt;"L",$C493&lt;&gt;-1)</formula>
    </cfRule>
  </conditionalFormatting>
  <conditionalFormatting sqref="P493:Q494 S493:T494 Y493:Y494 AG493:AH494">
    <cfRule type="expression" dxfId="1908" priority="1061" stopIfTrue="1">
      <formula>$C493=1</formula>
    </cfRule>
    <cfRule type="expression" dxfId="1907" priority="1062" stopIfTrue="1">
      <formula>OR($C493=0,$C493=2,$C493=3,$C493=4)</formula>
    </cfRule>
  </conditionalFormatting>
  <conditionalFormatting sqref="AJ493:AJ494">
    <cfRule type="expression" dxfId="1906" priority="1063" stopIfTrue="1">
      <formula>OR(ACOMPANHAMENTO&lt;&gt;"BM",TIPOORCAMENTO="Licitado")</formula>
    </cfRule>
    <cfRule type="expression" dxfId="1905" priority="1064" stopIfTrue="1">
      <formula>$C493=1</formula>
    </cfRule>
    <cfRule type="expression" dxfId="1904" priority="1065" stopIfTrue="1">
      <formula>OR(AND(ISNUMBER($C493),$C493=0),$C493=2,$C493=3,$C493=4)</formula>
    </cfRule>
  </conditionalFormatting>
  <conditionalFormatting sqref="AL493:AL494">
    <cfRule type="expression" dxfId="1903" priority="1066" stopIfTrue="1">
      <formula>TIPOORCAMENTO="PROPOSTO"</formula>
    </cfRule>
    <cfRule type="expression" dxfId="1902" priority="1067" stopIfTrue="1">
      <formula>$C493=1</formula>
    </cfRule>
    <cfRule type="expression" dxfId="1901" priority="1068" stopIfTrue="1">
      <formula>OR(AND(ISNUMBER($C493),$C493=0),$C493=2,$C493=3,$C493=4)</formula>
    </cfRule>
  </conditionalFormatting>
  <conditionalFormatting sqref="AM493:AN494">
    <cfRule type="expression" dxfId="1900" priority="1069" stopIfTrue="1">
      <formula>TIPOORCAMENTO="PROPOSTO"</formula>
    </cfRule>
    <cfRule type="expression" dxfId="1899" priority="1070" stopIfTrue="1">
      <formula>$C493=1</formula>
    </cfRule>
    <cfRule type="expression" dxfId="1898" priority="1071" stopIfTrue="1">
      <formula>OR(AND(ISNUMBER($C493),$C493=0),$C493=2,$C493=3,$C493=4)</formula>
    </cfRule>
  </conditionalFormatting>
  <conditionalFormatting sqref="M459:M466">
    <cfRule type="cellIs" dxfId="1897" priority="1038" stopIfTrue="1" operator="notEqual">
      <formula>$N459</formula>
    </cfRule>
  </conditionalFormatting>
  <conditionalFormatting sqref="W459:X466 R459:R466 N459:O466">
    <cfRule type="expression" dxfId="1896" priority="1039" stopIfTrue="1">
      <formula>$C459=1</formula>
    </cfRule>
    <cfRule type="expression" dxfId="1895" priority="1040" stopIfTrue="1">
      <formula>OR($C459=0,$C459=2,$C459=3,$C459=4)</formula>
    </cfRule>
  </conditionalFormatting>
  <conditionalFormatting sqref="U459:V466">
    <cfRule type="expression" dxfId="1894" priority="1041" stopIfTrue="1">
      <formula>$C459=1</formula>
    </cfRule>
    <cfRule type="expression" dxfId="1893" priority="1042" stopIfTrue="1">
      <formula>OR($C459=0,$C459=2,$C459=3,$C459=4)</formula>
    </cfRule>
    <cfRule type="expression" dxfId="1892" priority="1043" stopIfTrue="1">
      <formula>AND(TIPOORCAMENTO="Licitado",$C459&lt;&gt;"L",$C459&lt;&gt;-1)</formula>
    </cfRule>
  </conditionalFormatting>
  <conditionalFormatting sqref="AG459:AH466 Y459:Y466 S459:T466 P459:Q466">
    <cfRule type="expression" dxfId="1891" priority="1044" stopIfTrue="1">
      <formula>$C459=1</formula>
    </cfRule>
    <cfRule type="expression" dxfId="1890" priority="1045" stopIfTrue="1">
      <formula>OR($C459=0,$C459=2,$C459=3,$C459=4)</formula>
    </cfRule>
  </conditionalFormatting>
  <conditionalFormatting sqref="AJ459:AJ466">
    <cfRule type="expression" dxfId="1889" priority="1046" stopIfTrue="1">
      <formula>OR(ACOMPANHAMENTO&lt;&gt;"BM",TIPOORCAMENTO="Licitado")</formula>
    </cfRule>
    <cfRule type="expression" dxfId="1888" priority="1047" stopIfTrue="1">
      <formula>$C459=1</formula>
    </cfRule>
    <cfRule type="expression" dxfId="1887" priority="1048" stopIfTrue="1">
      <formula>OR(AND(ISNUMBER($C459),$C459=0),$C459=2,$C459=3,$C459=4)</formula>
    </cfRule>
  </conditionalFormatting>
  <conditionalFormatting sqref="AL459:AL466">
    <cfRule type="expression" dxfId="1886" priority="1049" stopIfTrue="1">
      <formula>TIPOORCAMENTO="PROPOSTO"</formula>
    </cfRule>
    <cfRule type="expression" dxfId="1885" priority="1050" stopIfTrue="1">
      <formula>$C459=1</formula>
    </cfRule>
    <cfRule type="expression" dxfId="1884" priority="1051" stopIfTrue="1">
      <formula>OR(AND(ISNUMBER($C459),$C459=0),$C459=2,$C459=3,$C459=4)</formula>
    </cfRule>
  </conditionalFormatting>
  <conditionalFormatting sqref="AM459:AN466">
    <cfRule type="expression" dxfId="1883" priority="1052" stopIfTrue="1">
      <formula>TIPOORCAMENTO="PROPOSTO"</formula>
    </cfRule>
    <cfRule type="expression" dxfId="1882" priority="1053" stopIfTrue="1">
      <formula>$C459=1</formula>
    </cfRule>
    <cfRule type="expression" dxfId="1881" priority="1054" stopIfTrue="1">
      <formula>OR(AND(ISNUMBER($C459),$C459=0),$C459=2,$C459=3,$C459=4)</formula>
    </cfRule>
  </conditionalFormatting>
  <conditionalFormatting sqref="M467:M475">
    <cfRule type="cellIs" dxfId="1880" priority="1021" stopIfTrue="1" operator="notEqual">
      <formula>$N467</formula>
    </cfRule>
  </conditionalFormatting>
  <conditionalFormatting sqref="N467:O475 R467:R475 W467:X475">
    <cfRule type="expression" dxfId="1879" priority="1022" stopIfTrue="1">
      <formula>$C467=1</formula>
    </cfRule>
    <cfRule type="expression" dxfId="1878" priority="1023" stopIfTrue="1">
      <formula>OR($C467=0,$C467=2,$C467=3,$C467=4)</formula>
    </cfRule>
  </conditionalFormatting>
  <conditionalFormatting sqref="U467:V475">
    <cfRule type="expression" dxfId="1877" priority="1024" stopIfTrue="1">
      <formula>$C467=1</formula>
    </cfRule>
    <cfRule type="expression" dxfId="1876" priority="1025" stopIfTrue="1">
      <formula>OR($C467=0,$C467=2,$C467=3,$C467=4)</formula>
    </cfRule>
    <cfRule type="expression" dxfId="1875" priority="1026" stopIfTrue="1">
      <formula>AND(TIPOORCAMENTO="Licitado",$C467&lt;&gt;"L",$C467&lt;&gt;-1)</formula>
    </cfRule>
  </conditionalFormatting>
  <conditionalFormatting sqref="P467:Q475 S467:T475 Y467:Y475 AG467:AH475">
    <cfRule type="expression" dxfId="1874" priority="1027" stopIfTrue="1">
      <formula>$C467=1</formula>
    </cfRule>
    <cfRule type="expression" dxfId="1873" priority="1028" stopIfTrue="1">
      <formula>OR($C467=0,$C467=2,$C467=3,$C467=4)</formula>
    </cfRule>
  </conditionalFormatting>
  <conditionalFormatting sqref="AJ467:AJ475">
    <cfRule type="expression" dxfId="1872" priority="1029" stopIfTrue="1">
      <formula>OR(ACOMPANHAMENTO&lt;&gt;"BM",TIPOORCAMENTO="Licitado")</formula>
    </cfRule>
    <cfRule type="expression" dxfId="1871" priority="1030" stopIfTrue="1">
      <formula>$C467=1</formula>
    </cfRule>
    <cfRule type="expression" dxfId="1870" priority="1031" stopIfTrue="1">
      <formula>OR(AND(ISNUMBER($C467),$C467=0),$C467=2,$C467=3,$C467=4)</formula>
    </cfRule>
  </conditionalFormatting>
  <conditionalFormatting sqref="AL467:AL475">
    <cfRule type="expression" dxfId="1869" priority="1032" stopIfTrue="1">
      <formula>TIPOORCAMENTO="PROPOSTO"</formula>
    </cfRule>
    <cfRule type="expression" dxfId="1868" priority="1033" stopIfTrue="1">
      <formula>$C467=1</formula>
    </cfRule>
    <cfRule type="expression" dxfId="1867" priority="1034" stopIfTrue="1">
      <formula>OR(AND(ISNUMBER($C467),$C467=0),$C467=2,$C467=3,$C467=4)</formula>
    </cfRule>
  </conditionalFormatting>
  <conditionalFormatting sqref="AM467:AN475">
    <cfRule type="expression" dxfId="1866" priority="1035" stopIfTrue="1">
      <formula>TIPOORCAMENTO="PROPOSTO"</formula>
    </cfRule>
    <cfRule type="expression" dxfId="1865" priority="1036" stopIfTrue="1">
      <formula>$C467=1</formula>
    </cfRule>
    <cfRule type="expression" dxfId="1864" priority="1037" stopIfTrue="1">
      <formula>OR(AND(ISNUMBER($C467),$C467=0),$C467=2,$C467=3,$C467=4)</formula>
    </cfRule>
  </conditionalFormatting>
  <conditionalFormatting sqref="M476:M477">
    <cfRule type="cellIs" dxfId="1863" priority="1004" stopIfTrue="1" operator="notEqual">
      <formula>$N476</formula>
    </cfRule>
  </conditionalFormatting>
  <conditionalFormatting sqref="N476:O477 R476:R477 W476:X477">
    <cfRule type="expression" dxfId="1862" priority="1005" stopIfTrue="1">
      <formula>$C476=1</formula>
    </cfRule>
    <cfRule type="expression" dxfId="1861" priority="1006" stopIfTrue="1">
      <formula>OR($C476=0,$C476=2,$C476=3,$C476=4)</formula>
    </cfRule>
  </conditionalFormatting>
  <conditionalFormatting sqref="U476:V477">
    <cfRule type="expression" dxfId="1860" priority="1007" stopIfTrue="1">
      <formula>$C476=1</formula>
    </cfRule>
    <cfRule type="expression" dxfId="1859" priority="1008" stopIfTrue="1">
      <formula>OR($C476=0,$C476=2,$C476=3,$C476=4)</formula>
    </cfRule>
    <cfRule type="expression" dxfId="1858" priority="1009" stopIfTrue="1">
      <formula>AND(TIPOORCAMENTO="Licitado",$C476&lt;&gt;"L",$C476&lt;&gt;-1)</formula>
    </cfRule>
  </conditionalFormatting>
  <conditionalFormatting sqref="P476:Q477 S476:T477 Y476:Y477 AG476:AH477">
    <cfRule type="expression" dxfId="1857" priority="1010" stopIfTrue="1">
      <formula>$C476=1</formula>
    </cfRule>
    <cfRule type="expression" dxfId="1856" priority="1011" stopIfTrue="1">
      <formula>OR($C476=0,$C476=2,$C476=3,$C476=4)</formula>
    </cfRule>
  </conditionalFormatting>
  <conditionalFormatting sqref="AJ476:AJ477">
    <cfRule type="expression" dxfId="1855" priority="1012" stopIfTrue="1">
      <formula>OR(ACOMPANHAMENTO&lt;&gt;"BM",TIPOORCAMENTO="Licitado")</formula>
    </cfRule>
    <cfRule type="expression" dxfId="1854" priority="1013" stopIfTrue="1">
      <formula>$C476=1</formula>
    </cfRule>
    <cfRule type="expression" dxfId="1853" priority="1014" stopIfTrue="1">
      <formula>OR(AND(ISNUMBER($C476),$C476=0),$C476=2,$C476=3,$C476=4)</formula>
    </cfRule>
  </conditionalFormatting>
  <conditionalFormatting sqref="AL476:AL477">
    <cfRule type="expression" dxfId="1852" priority="1015" stopIfTrue="1">
      <formula>TIPOORCAMENTO="PROPOSTO"</formula>
    </cfRule>
    <cfRule type="expression" dxfId="1851" priority="1016" stopIfTrue="1">
      <formula>$C476=1</formula>
    </cfRule>
    <cfRule type="expression" dxfId="1850" priority="1017" stopIfTrue="1">
      <formula>OR(AND(ISNUMBER($C476),$C476=0),$C476=2,$C476=3,$C476=4)</formula>
    </cfRule>
  </conditionalFormatting>
  <conditionalFormatting sqref="AM476:AN477">
    <cfRule type="expression" dxfId="1849" priority="1018" stopIfTrue="1">
      <formula>TIPOORCAMENTO="PROPOSTO"</formula>
    </cfRule>
    <cfRule type="expression" dxfId="1848" priority="1019" stopIfTrue="1">
      <formula>$C476=1</formula>
    </cfRule>
    <cfRule type="expression" dxfId="1847" priority="1020" stopIfTrue="1">
      <formula>OR(AND(ISNUMBER($C476),$C476=0),$C476=2,$C476=3,$C476=4)</formula>
    </cfRule>
  </conditionalFormatting>
  <conditionalFormatting sqref="M439:M446">
    <cfRule type="cellIs" dxfId="1846" priority="987" stopIfTrue="1" operator="notEqual">
      <formula>$N439</formula>
    </cfRule>
  </conditionalFormatting>
  <conditionalFormatting sqref="W439:X446 R439:R446 N439:O446">
    <cfRule type="expression" dxfId="1845" priority="988" stopIfTrue="1">
      <formula>$C439=1</formula>
    </cfRule>
    <cfRule type="expression" dxfId="1844" priority="989" stopIfTrue="1">
      <formula>OR($C439=0,$C439=2,$C439=3,$C439=4)</formula>
    </cfRule>
  </conditionalFormatting>
  <conditionalFormatting sqref="U439:V446">
    <cfRule type="expression" dxfId="1843" priority="990" stopIfTrue="1">
      <formula>$C439=1</formula>
    </cfRule>
    <cfRule type="expression" dxfId="1842" priority="991" stopIfTrue="1">
      <formula>OR($C439=0,$C439=2,$C439=3,$C439=4)</formula>
    </cfRule>
    <cfRule type="expression" dxfId="1841" priority="992" stopIfTrue="1">
      <formula>AND(TIPOORCAMENTO="Licitado",$C439&lt;&gt;"L",$C439&lt;&gt;-1)</formula>
    </cfRule>
  </conditionalFormatting>
  <conditionalFormatting sqref="AG439:AH446 Y439:Y446 S439:T446 P439:Q446">
    <cfRule type="expression" dxfId="1840" priority="993" stopIfTrue="1">
      <formula>$C439=1</formula>
    </cfRule>
    <cfRule type="expression" dxfId="1839" priority="994" stopIfTrue="1">
      <formula>OR($C439=0,$C439=2,$C439=3,$C439=4)</formula>
    </cfRule>
  </conditionalFormatting>
  <conditionalFormatting sqref="AJ439:AJ446">
    <cfRule type="expression" dxfId="1838" priority="995" stopIfTrue="1">
      <formula>OR(ACOMPANHAMENTO&lt;&gt;"BM",TIPOORCAMENTO="Licitado")</formula>
    </cfRule>
    <cfRule type="expression" dxfId="1837" priority="996" stopIfTrue="1">
      <formula>$C439=1</formula>
    </cfRule>
    <cfRule type="expression" dxfId="1836" priority="997" stopIfTrue="1">
      <formula>OR(AND(ISNUMBER($C439),$C439=0),$C439=2,$C439=3,$C439=4)</formula>
    </cfRule>
  </conditionalFormatting>
  <conditionalFormatting sqref="AL439:AL446">
    <cfRule type="expression" dxfId="1835" priority="998" stopIfTrue="1">
      <formula>TIPOORCAMENTO="PROPOSTO"</formula>
    </cfRule>
    <cfRule type="expression" dxfId="1834" priority="999" stopIfTrue="1">
      <formula>$C439=1</formula>
    </cfRule>
    <cfRule type="expression" dxfId="1833" priority="1000" stopIfTrue="1">
      <formula>OR(AND(ISNUMBER($C439),$C439=0),$C439=2,$C439=3,$C439=4)</formula>
    </cfRule>
  </conditionalFormatting>
  <conditionalFormatting sqref="AM439:AN446">
    <cfRule type="expression" dxfId="1832" priority="1001" stopIfTrue="1">
      <formula>TIPOORCAMENTO="PROPOSTO"</formula>
    </cfRule>
    <cfRule type="expression" dxfId="1831" priority="1002" stopIfTrue="1">
      <formula>$C439=1</formula>
    </cfRule>
    <cfRule type="expression" dxfId="1830" priority="1003" stopIfTrue="1">
      <formula>OR(AND(ISNUMBER($C439),$C439=0),$C439=2,$C439=3,$C439=4)</formula>
    </cfRule>
  </conditionalFormatting>
  <conditionalFormatting sqref="M447 M449:M456">
    <cfRule type="cellIs" dxfId="1829" priority="970" stopIfTrue="1" operator="notEqual">
      <formula>$N447</formula>
    </cfRule>
  </conditionalFormatting>
  <conditionalFormatting sqref="N447:O447 R447 W447:X447 W449:X456 R449:R456 N449:O456">
    <cfRule type="expression" dxfId="1828" priority="971" stopIfTrue="1">
      <formula>$C447=1</formula>
    </cfRule>
    <cfRule type="expression" dxfId="1827" priority="972" stopIfTrue="1">
      <formula>OR($C447=0,$C447=2,$C447=3,$C447=4)</formula>
    </cfRule>
  </conditionalFormatting>
  <conditionalFormatting sqref="U447:V447 U449:V456">
    <cfRule type="expression" dxfId="1826" priority="973" stopIfTrue="1">
      <formula>$C447=1</formula>
    </cfRule>
    <cfRule type="expression" dxfId="1825" priority="974" stopIfTrue="1">
      <formula>OR($C447=0,$C447=2,$C447=3,$C447=4)</formula>
    </cfRule>
    <cfRule type="expression" dxfId="1824" priority="975" stopIfTrue="1">
      <formula>AND(TIPOORCAMENTO="Licitado",$C447&lt;&gt;"L",$C447&lt;&gt;-1)</formula>
    </cfRule>
  </conditionalFormatting>
  <conditionalFormatting sqref="P447:Q447 S447:T447 Y447 AG447:AH447 AG449:AH456 Y449:Y456 S449:T456 P449:Q456">
    <cfRule type="expression" dxfId="1823" priority="976" stopIfTrue="1">
      <formula>$C447=1</formula>
    </cfRule>
    <cfRule type="expression" dxfId="1822" priority="977" stopIfTrue="1">
      <formula>OR($C447=0,$C447=2,$C447=3,$C447=4)</formula>
    </cfRule>
  </conditionalFormatting>
  <conditionalFormatting sqref="AJ447 AJ449:AJ456">
    <cfRule type="expression" dxfId="1821" priority="978" stopIfTrue="1">
      <formula>OR(ACOMPANHAMENTO&lt;&gt;"BM",TIPOORCAMENTO="Licitado")</formula>
    </cfRule>
    <cfRule type="expression" dxfId="1820" priority="979" stopIfTrue="1">
      <formula>$C447=1</formula>
    </cfRule>
    <cfRule type="expression" dxfId="1819" priority="980" stopIfTrue="1">
      <formula>OR(AND(ISNUMBER($C447),$C447=0),$C447=2,$C447=3,$C447=4)</formula>
    </cfRule>
  </conditionalFormatting>
  <conditionalFormatting sqref="AL447 AL449:AL456">
    <cfRule type="expression" dxfId="1818" priority="981" stopIfTrue="1">
      <formula>TIPOORCAMENTO="PROPOSTO"</formula>
    </cfRule>
    <cfRule type="expression" dxfId="1817" priority="982" stopIfTrue="1">
      <formula>$C447=1</formula>
    </cfRule>
    <cfRule type="expression" dxfId="1816" priority="983" stopIfTrue="1">
      <formula>OR(AND(ISNUMBER($C447),$C447=0),$C447=2,$C447=3,$C447=4)</formula>
    </cfRule>
  </conditionalFormatting>
  <conditionalFormatting sqref="AM447:AN447 AM449:AN456">
    <cfRule type="expression" dxfId="1815" priority="984" stopIfTrue="1">
      <formula>TIPOORCAMENTO="PROPOSTO"</formula>
    </cfRule>
    <cfRule type="expression" dxfId="1814" priority="985" stopIfTrue="1">
      <formula>$C447=1</formula>
    </cfRule>
    <cfRule type="expression" dxfId="1813" priority="986" stopIfTrue="1">
      <formula>OR(AND(ISNUMBER($C447),$C447=0),$C447=2,$C447=3,$C447=4)</formula>
    </cfRule>
  </conditionalFormatting>
  <conditionalFormatting sqref="M457:M458">
    <cfRule type="cellIs" dxfId="1812" priority="953" stopIfTrue="1" operator="notEqual">
      <formula>$N457</formula>
    </cfRule>
  </conditionalFormatting>
  <conditionalFormatting sqref="N457:O458 R457:R458 W457:X458">
    <cfRule type="expression" dxfId="1811" priority="954" stopIfTrue="1">
      <formula>$C457=1</formula>
    </cfRule>
    <cfRule type="expression" dxfId="1810" priority="955" stopIfTrue="1">
      <formula>OR($C457=0,$C457=2,$C457=3,$C457=4)</formula>
    </cfRule>
  </conditionalFormatting>
  <conditionalFormatting sqref="U457:V458">
    <cfRule type="expression" dxfId="1809" priority="956" stopIfTrue="1">
      <formula>$C457=1</formula>
    </cfRule>
    <cfRule type="expression" dxfId="1808" priority="957" stopIfTrue="1">
      <formula>OR($C457=0,$C457=2,$C457=3,$C457=4)</formula>
    </cfRule>
    <cfRule type="expression" dxfId="1807" priority="958" stopIfTrue="1">
      <formula>AND(TIPOORCAMENTO="Licitado",$C457&lt;&gt;"L",$C457&lt;&gt;-1)</formula>
    </cfRule>
  </conditionalFormatting>
  <conditionalFormatting sqref="P457:Q458 S457:T458 Y457:Y458 AG457:AH458">
    <cfRule type="expression" dxfId="1806" priority="959" stopIfTrue="1">
      <formula>$C457=1</formula>
    </cfRule>
    <cfRule type="expression" dxfId="1805" priority="960" stopIfTrue="1">
      <formula>OR($C457=0,$C457=2,$C457=3,$C457=4)</formula>
    </cfRule>
  </conditionalFormatting>
  <conditionalFormatting sqref="AJ457:AJ458">
    <cfRule type="expression" dxfId="1804" priority="961" stopIfTrue="1">
      <formula>OR(ACOMPANHAMENTO&lt;&gt;"BM",TIPOORCAMENTO="Licitado")</formula>
    </cfRule>
    <cfRule type="expression" dxfId="1803" priority="962" stopIfTrue="1">
      <formula>$C457=1</formula>
    </cfRule>
    <cfRule type="expression" dxfId="1802" priority="963" stopIfTrue="1">
      <formula>OR(AND(ISNUMBER($C457),$C457=0),$C457=2,$C457=3,$C457=4)</formula>
    </cfRule>
  </conditionalFormatting>
  <conditionalFormatting sqref="AL457:AL458">
    <cfRule type="expression" dxfId="1801" priority="964" stopIfTrue="1">
      <formula>TIPOORCAMENTO="PROPOSTO"</formula>
    </cfRule>
    <cfRule type="expression" dxfId="1800" priority="965" stopIfTrue="1">
      <formula>$C457=1</formula>
    </cfRule>
    <cfRule type="expression" dxfId="1799" priority="966" stopIfTrue="1">
      <formula>OR(AND(ISNUMBER($C457),$C457=0),$C457=2,$C457=3,$C457=4)</formula>
    </cfRule>
  </conditionalFormatting>
  <conditionalFormatting sqref="AM457:AN458">
    <cfRule type="expression" dxfId="1798" priority="967" stopIfTrue="1">
      <formula>TIPOORCAMENTO="PROPOSTO"</formula>
    </cfRule>
    <cfRule type="expression" dxfId="1797" priority="968" stopIfTrue="1">
      <formula>$C457=1</formula>
    </cfRule>
    <cfRule type="expression" dxfId="1796" priority="969" stopIfTrue="1">
      <formula>OR(AND(ISNUMBER($C457),$C457=0),$C457=2,$C457=3,$C457=4)</formula>
    </cfRule>
  </conditionalFormatting>
  <conditionalFormatting sqref="M428:M436">
    <cfRule type="cellIs" dxfId="1795" priority="919" stopIfTrue="1" operator="notEqual">
      <formula>$N428</formula>
    </cfRule>
  </conditionalFormatting>
  <conditionalFormatting sqref="N428:O436 R428:R436 W428:X436">
    <cfRule type="expression" dxfId="1794" priority="920" stopIfTrue="1">
      <formula>$C428=1</formula>
    </cfRule>
    <cfRule type="expression" dxfId="1793" priority="921" stopIfTrue="1">
      <formula>OR($C428=0,$C428=2,$C428=3,$C428=4)</formula>
    </cfRule>
  </conditionalFormatting>
  <conditionalFormatting sqref="U428:V436">
    <cfRule type="expression" dxfId="1792" priority="922" stopIfTrue="1">
      <formula>$C428=1</formula>
    </cfRule>
    <cfRule type="expression" dxfId="1791" priority="923" stopIfTrue="1">
      <formula>OR($C428=0,$C428=2,$C428=3,$C428=4)</formula>
    </cfRule>
    <cfRule type="expression" dxfId="1790" priority="924" stopIfTrue="1">
      <formula>AND(TIPOORCAMENTO="Licitado",$C428&lt;&gt;"L",$C428&lt;&gt;-1)</formula>
    </cfRule>
  </conditionalFormatting>
  <conditionalFormatting sqref="P428:Q436 S428:T436 Y428:Y436 AG428:AH436">
    <cfRule type="expression" dxfId="1789" priority="925" stopIfTrue="1">
      <formula>$C428=1</formula>
    </cfRule>
    <cfRule type="expression" dxfId="1788" priority="926" stopIfTrue="1">
      <formula>OR($C428=0,$C428=2,$C428=3,$C428=4)</formula>
    </cfRule>
  </conditionalFormatting>
  <conditionalFormatting sqref="AJ428:AJ436">
    <cfRule type="expression" dxfId="1787" priority="927" stopIfTrue="1">
      <formula>OR(ACOMPANHAMENTO&lt;&gt;"BM",TIPOORCAMENTO="Licitado")</formula>
    </cfRule>
    <cfRule type="expression" dxfId="1786" priority="928" stopIfTrue="1">
      <formula>$C428=1</formula>
    </cfRule>
    <cfRule type="expression" dxfId="1785" priority="929" stopIfTrue="1">
      <formula>OR(AND(ISNUMBER($C428),$C428=0),$C428=2,$C428=3,$C428=4)</formula>
    </cfRule>
  </conditionalFormatting>
  <conditionalFormatting sqref="AL428:AL436">
    <cfRule type="expression" dxfId="1784" priority="930" stopIfTrue="1">
      <formula>TIPOORCAMENTO="PROPOSTO"</formula>
    </cfRule>
    <cfRule type="expression" dxfId="1783" priority="931" stopIfTrue="1">
      <formula>$C428=1</formula>
    </cfRule>
    <cfRule type="expression" dxfId="1782" priority="932" stopIfTrue="1">
      <formula>OR(AND(ISNUMBER($C428),$C428=0),$C428=2,$C428=3,$C428=4)</formula>
    </cfRule>
  </conditionalFormatting>
  <conditionalFormatting sqref="AM428:AN436">
    <cfRule type="expression" dxfId="1781" priority="933" stopIfTrue="1">
      <formula>TIPOORCAMENTO="PROPOSTO"</formula>
    </cfRule>
    <cfRule type="expression" dxfId="1780" priority="934" stopIfTrue="1">
      <formula>$C428=1</formula>
    </cfRule>
    <cfRule type="expression" dxfId="1779" priority="935" stopIfTrue="1">
      <formula>OR(AND(ISNUMBER($C428),$C428=0),$C428=2,$C428=3,$C428=4)</formula>
    </cfRule>
  </conditionalFormatting>
  <conditionalFormatting sqref="M437:M438">
    <cfRule type="cellIs" dxfId="1778" priority="902" stopIfTrue="1" operator="notEqual">
      <formula>$N437</formula>
    </cfRule>
  </conditionalFormatting>
  <conditionalFormatting sqref="N437:O438 R437:R438 W437:X438">
    <cfRule type="expression" dxfId="1777" priority="903" stopIfTrue="1">
      <formula>$C437=1</formula>
    </cfRule>
    <cfRule type="expression" dxfId="1776" priority="904" stopIfTrue="1">
      <formula>OR($C437=0,$C437=2,$C437=3,$C437=4)</formula>
    </cfRule>
  </conditionalFormatting>
  <conditionalFormatting sqref="U437:V438">
    <cfRule type="expression" dxfId="1775" priority="905" stopIfTrue="1">
      <formula>$C437=1</formula>
    </cfRule>
    <cfRule type="expression" dxfId="1774" priority="906" stopIfTrue="1">
      <formula>OR($C437=0,$C437=2,$C437=3,$C437=4)</formula>
    </cfRule>
    <cfRule type="expression" dxfId="1773" priority="907" stopIfTrue="1">
      <formula>AND(TIPOORCAMENTO="Licitado",$C437&lt;&gt;"L",$C437&lt;&gt;-1)</formula>
    </cfRule>
  </conditionalFormatting>
  <conditionalFormatting sqref="P437:Q438 S437:T438 Y437:Y438 AG437:AH438">
    <cfRule type="expression" dxfId="1772" priority="908" stopIfTrue="1">
      <formula>$C437=1</formula>
    </cfRule>
    <cfRule type="expression" dxfId="1771" priority="909" stopIfTrue="1">
      <formula>OR($C437=0,$C437=2,$C437=3,$C437=4)</formula>
    </cfRule>
  </conditionalFormatting>
  <conditionalFormatting sqref="AJ437:AJ438">
    <cfRule type="expression" dxfId="1770" priority="910" stopIfTrue="1">
      <formula>OR(ACOMPANHAMENTO&lt;&gt;"BM",TIPOORCAMENTO="Licitado")</formula>
    </cfRule>
    <cfRule type="expression" dxfId="1769" priority="911" stopIfTrue="1">
      <formula>$C437=1</formula>
    </cfRule>
    <cfRule type="expression" dxfId="1768" priority="912" stopIfTrue="1">
      <formula>OR(AND(ISNUMBER($C437),$C437=0),$C437=2,$C437=3,$C437=4)</formula>
    </cfRule>
  </conditionalFormatting>
  <conditionalFormatting sqref="AL437:AL438">
    <cfRule type="expression" dxfId="1767" priority="913" stopIfTrue="1">
      <formula>TIPOORCAMENTO="PROPOSTO"</formula>
    </cfRule>
    <cfRule type="expression" dxfId="1766" priority="914" stopIfTrue="1">
      <formula>$C437=1</formula>
    </cfRule>
    <cfRule type="expression" dxfId="1765" priority="915" stopIfTrue="1">
      <formula>OR(AND(ISNUMBER($C437),$C437=0),$C437=2,$C437=3,$C437=4)</formula>
    </cfRule>
  </conditionalFormatting>
  <conditionalFormatting sqref="AM437:AN438">
    <cfRule type="expression" dxfId="1764" priority="916" stopIfTrue="1">
      <formula>TIPOORCAMENTO="PROPOSTO"</formula>
    </cfRule>
    <cfRule type="expression" dxfId="1763" priority="917" stopIfTrue="1">
      <formula>$C437=1</formula>
    </cfRule>
    <cfRule type="expression" dxfId="1762" priority="918" stopIfTrue="1">
      <formula>OR(AND(ISNUMBER($C437),$C437=0),$C437=2,$C437=3,$C437=4)</formula>
    </cfRule>
  </conditionalFormatting>
  <conditionalFormatting sqref="M523 M543:M550">
    <cfRule type="cellIs" dxfId="1761" priority="885" stopIfTrue="1" operator="notEqual">
      <formula>$N523</formula>
    </cfRule>
  </conditionalFormatting>
  <conditionalFormatting sqref="N523:O523 R523 W523:X523 W543:X550 R543:R550 N543:O550">
    <cfRule type="expression" dxfId="1760" priority="886" stopIfTrue="1">
      <formula>$C523=1</formula>
    </cfRule>
    <cfRule type="expression" dxfId="1759" priority="887" stopIfTrue="1">
      <formula>OR($C523=0,$C523=2,$C523=3,$C523=4)</formula>
    </cfRule>
  </conditionalFormatting>
  <conditionalFormatting sqref="U523:V523 U543:V550">
    <cfRule type="expression" dxfId="1758" priority="888" stopIfTrue="1">
      <formula>$C523=1</formula>
    </cfRule>
    <cfRule type="expression" dxfId="1757" priority="889" stopIfTrue="1">
      <formula>OR($C523=0,$C523=2,$C523=3,$C523=4)</formula>
    </cfRule>
    <cfRule type="expression" dxfId="1756" priority="890" stopIfTrue="1">
      <formula>AND(TIPOORCAMENTO="Licitado",$C523&lt;&gt;"L",$C523&lt;&gt;-1)</formula>
    </cfRule>
  </conditionalFormatting>
  <conditionalFormatting sqref="P523:Q523 S523:T523 Y523 AG523:AH523 AG543:AH550 Y543:Y550 S543:T550 P543:Q550">
    <cfRule type="expression" dxfId="1755" priority="891" stopIfTrue="1">
      <formula>$C523=1</formula>
    </cfRule>
    <cfRule type="expression" dxfId="1754" priority="892" stopIfTrue="1">
      <formula>OR($C523=0,$C523=2,$C523=3,$C523=4)</formula>
    </cfRule>
  </conditionalFormatting>
  <conditionalFormatting sqref="AJ523 AJ543:AJ550">
    <cfRule type="expression" dxfId="1753" priority="893" stopIfTrue="1">
      <formula>OR(ACOMPANHAMENTO&lt;&gt;"BM",TIPOORCAMENTO="Licitado")</formula>
    </cfRule>
    <cfRule type="expression" dxfId="1752" priority="894" stopIfTrue="1">
      <formula>$C523=1</formula>
    </cfRule>
    <cfRule type="expression" dxfId="1751" priority="895" stopIfTrue="1">
      <formula>OR(AND(ISNUMBER($C523),$C523=0),$C523=2,$C523=3,$C523=4)</formula>
    </cfRule>
  </conditionalFormatting>
  <conditionalFormatting sqref="AL523 AL543:AL550">
    <cfRule type="expression" dxfId="1750" priority="896" stopIfTrue="1">
      <formula>TIPOORCAMENTO="PROPOSTO"</formula>
    </cfRule>
    <cfRule type="expression" dxfId="1749" priority="897" stopIfTrue="1">
      <formula>$C523=1</formula>
    </cfRule>
    <cfRule type="expression" dxfId="1748" priority="898" stopIfTrue="1">
      <formula>OR(AND(ISNUMBER($C523),$C523=0),$C523=2,$C523=3,$C523=4)</formula>
    </cfRule>
  </conditionalFormatting>
  <conditionalFormatting sqref="AM523:AN523 AM543:AN550">
    <cfRule type="expression" dxfId="1747" priority="899" stopIfTrue="1">
      <formula>TIPOORCAMENTO="PROPOSTO"</formula>
    </cfRule>
    <cfRule type="expression" dxfId="1746" priority="900" stopIfTrue="1">
      <formula>$C523=1</formula>
    </cfRule>
    <cfRule type="expression" dxfId="1745" priority="901" stopIfTrue="1">
      <formula>OR(AND(ISNUMBER($C523),$C523=0),$C523=2,$C523=3,$C523=4)</formula>
    </cfRule>
  </conditionalFormatting>
  <conditionalFormatting sqref="M551:M553 M589">
    <cfRule type="cellIs" dxfId="1744" priority="868" stopIfTrue="1" operator="notEqual">
      <formula>$N551</formula>
    </cfRule>
  </conditionalFormatting>
  <conditionalFormatting sqref="N551:O553 R551:R553 W551:X553 W589:X589 R589 N589:O589">
    <cfRule type="expression" dxfId="1743" priority="869" stopIfTrue="1">
      <formula>$C551=1</formula>
    </cfRule>
    <cfRule type="expression" dxfId="1742" priority="870" stopIfTrue="1">
      <formula>OR($C551=0,$C551=2,$C551=3,$C551=4)</formula>
    </cfRule>
  </conditionalFormatting>
  <conditionalFormatting sqref="U551:V553 U589:V589">
    <cfRule type="expression" dxfId="1741" priority="871" stopIfTrue="1">
      <formula>$C551=1</formula>
    </cfRule>
    <cfRule type="expression" dxfId="1740" priority="872" stopIfTrue="1">
      <formula>OR($C551=0,$C551=2,$C551=3,$C551=4)</formula>
    </cfRule>
    <cfRule type="expression" dxfId="1739" priority="873" stopIfTrue="1">
      <formula>AND(TIPOORCAMENTO="Licitado",$C551&lt;&gt;"L",$C551&lt;&gt;-1)</formula>
    </cfRule>
  </conditionalFormatting>
  <conditionalFormatting sqref="P551:Q553 S551:T553 Y551:Y553 AG551:AH553 AG589:AH589 Y589 S589:T589 P589:Q589">
    <cfRule type="expression" dxfId="1738" priority="874" stopIfTrue="1">
      <formula>$C551=1</formula>
    </cfRule>
    <cfRule type="expression" dxfId="1737" priority="875" stopIfTrue="1">
      <formula>OR($C551=0,$C551=2,$C551=3,$C551=4)</formula>
    </cfRule>
  </conditionalFormatting>
  <conditionalFormatting sqref="AJ551:AJ553 AJ589">
    <cfRule type="expression" dxfId="1736" priority="876" stopIfTrue="1">
      <formula>OR(ACOMPANHAMENTO&lt;&gt;"BM",TIPOORCAMENTO="Licitado")</formula>
    </cfRule>
    <cfRule type="expression" dxfId="1735" priority="877" stopIfTrue="1">
      <formula>$C551=1</formula>
    </cfRule>
    <cfRule type="expression" dxfId="1734" priority="878" stopIfTrue="1">
      <formula>OR(AND(ISNUMBER($C551),$C551=0),$C551=2,$C551=3,$C551=4)</formula>
    </cfRule>
  </conditionalFormatting>
  <conditionalFormatting sqref="AL551:AL553 AL589">
    <cfRule type="expression" dxfId="1733" priority="879" stopIfTrue="1">
      <formula>TIPOORCAMENTO="PROPOSTO"</formula>
    </cfRule>
    <cfRule type="expression" dxfId="1732" priority="880" stopIfTrue="1">
      <formula>$C551=1</formula>
    </cfRule>
    <cfRule type="expression" dxfId="1731" priority="881" stopIfTrue="1">
      <formula>OR(AND(ISNUMBER($C551),$C551=0),$C551=2,$C551=3,$C551=4)</formula>
    </cfRule>
  </conditionalFormatting>
  <conditionalFormatting sqref="AM551:AN553 AM589:AN589">
    <cfRule type="expression" dxfId="1730" priority="882" stopIfTrue="1">
      <formula>TIPOORCAMENTO="PROPOSTO"</formula>
    </cfRule>
    <cfRule type="expression" dxfId="1729" priority="883" stopIfTrue="1">
      <formula>$C551=1</formula>
    </cfRule>
    <cfRule type="expression" dxfId="1728" priority="884" stopIfTrue="1">
      <formula>OR(AND(ISNUMBER($C551),$C551=0),$C551=2,$C551=3,$C551=4)</formula>
    </cfRule>
  </conditionalFormatting>
  <conditionalFormatting sqref="M524:M532">
    <cfRule type="cellIs" dxfId="1727" priority="834" stopIfTrue="1" operator="notEqual">
      <formula>$N524</formula>
    </cfRule>
  </conditionalFormatting>
  <conditionalFormatting sqref="N524:O532 R524:R532 W524:X532">
    <cfRule type="expression" dxfId="1726" priority="835" stopIfTrue="1">
      <formula>$C524=1</formula>
    </cfRule>
    <cfRule type="expression" dxfId="1725" priority="836" stopIfTrue="1">
      <formula>OR($C524=0,$C524=2,$C524=3,$C524=4)</formula>
    </cfRule>
  </conditionalFormatting>
  <conditionalFormatting sqref="U524:V532">
    <cfRule type="expression" dxfId="1724" priority="837" stopIfTrue="1">
      <formula>$C524=1</formula>
    </cfRule>
    <cfRule type="expression" dxfId="1723" priority="838" stopIfTrue="1">
      <formula>OR($C524=0,$C524=2,$C524=3,$C524=4)</formula>
    </cfRule>
    <cfRule type="expression" dxfId="1722" priority="839" stopIfTrue="1">
      <formula>AND(TIPOORCAMENTO="Licitado",$C524&lt;&gt;"L",$C524&lt;&gt;-1)</formula>
    </cfRule>
  </conditionalFormatting>
  <conditionalFormatting sqref="P524:Q532 S524:T532 Y524:Y532 AG524:AH532">
    <cfRule type="expression" dxfId="1721" priority="840" stopIfTrue="1">
      <formula>$C524=1</formula>
    </cfRule>
    <cfRule type="expression" dxfId="1720" priority="841" stopIfTrue="1">
      <formula>OR($C524=0,$C524=2,$C524=3,$C524=4)</formula>
    </cfRule>
  </conditionalFormatting>
  <conditionalFormatting sqref="AJ524:AJ532">
    <cfRule type="expression" dxfId="1719" priority="842" stopIfTrue="1">
      <formula>OR(ACOMPANHAMENTO&lt;&gt;"BM",TIPOORCAMENTO="Licitado")</formula>
    </cfRule>
    <cfRule type="expression" dxfId="1718" priority="843" stopIfTrue="1">
      <formula>$C524=1</formula>
    </cfRule>
    <cfRule type="expression" dxfId="1717" priority="844" stopIfTrue="1">
      <formula>OR(AND(ISNUMBER($C524),$C524=0),$C524=2,$C524=3,$C524=4)</formula>
    </cfRule>
  </conditionalFormatting>
  <conditionalFormatting sqref="AL524:AL532">
    <cfRule type="expression" dxfId="1716" priority="845" stopIfTrue="1">
      <formula>TIPOORCAMENTO="PROPOSTO"</formula>
    </cfRule>
    <cfRule type="expression" dxfId="1715" priority="846" stopIfTrue="1">
      <formula>$C524=1</formula>
    </cfRule>
    <cfRule type="expression" dxfId="1714" priority="847" stopIfTrue="1">
      <formula>OR(AND(ISNUMBER($C524),$C524=0),$C524=2,$C524=3,$C524=4)</formula>
    </cfRule>
  </conditionalFormatting>
  <conditionalFormatting sqref="AM524:AN532">
    <cfRule type="expression" dxfId="1713" priority="848" stopIfTrue="1">
      <formula>TIPOORCAMENTO="PROPOSTO"</formula>
    </cfRule>
    <cfRule type="expression" dxfId="1712" priority="849" stopIfTrue="1">
      <formula>$C524=1</formula>
    </cfRule>
    <cfRule type="expression" dxfId="1711" priority="850" stopIfTrue="1">
      <formula>OR(AND(ISNUMBER($C524),$C524=0),$C524=2,$C524=3,$C524=4)</formula>
    </cfRule>
  </conditionalFormatting>
  <conditionalFormatting sqref="M541:M542">
    <cfRule type="cellIs" dxfId="1710" priority="800" stopIfTrue="1" operator="notEqual">
      <formula>$N541</formula>
    </cfRule>
  </conditionalFormatting>
  <conditionalFormatting sqref="N541:O542 R541:R542 W541:X542">
    <cfRule type="expression" dxfId="1709" priority="801" stopIfTrue="1">
      <formula>$C541=1</formula>
    </cfRule>
    <cfRule type="expression" dxfId="1708" priority="802" stopIfTrue="1">
      <formula>OR($C541=0,$C541=2,$C541=3,$C541=4)</formula>
    </cfRule>
  </conditionalFormatting>
  <conditionalFormatting sqref="U541:V542">
    <cfRule type="expression" dxfId="1707" priority="803" stopIfTrue="1">
      <formula>$C541=1</formula>
    </cfRule>
    <cfRule type="expression" dxfId="1706" priority="804" stopIfTrue="1">
      <formula>OR($C541=0,$C541=2,$C541=3,$C541=4)</formula>
    </cfRule>
    <cfRule type="expression" dxfId="1705" priority="805" stopIfTrue="1">
      <formula>AND(TIPOORCAMENTO="Licitado",$C541&lt;&gt;"L",$C541&lt;&gt;-1)</formula>
    </cfRule>
  </conditionalFormatting>
  <conditionalFormatting sqref="P541:Q542 S541:T542 Y541:Y542 AG541:AH542">
    <cfRule type="expression" dxfId="1704" priority="806" stopIfTrue="1">
      <formula>$C541=1</formula>
    </cfRule>
    <cfRule type="expression" dxfId="1703" priority="807" stopIfTrue="1">
      <formula>OR($C541=0,$C541=2,$C541=3,$C541=4)</formula>
    </cfRule>
  </conditionalFormatting>
  <conditionalFormatting sqref="AJ541:AJ542">
    <cfRule type="expression" dxfId="1702" priority="808" stopIfTrue="1">
      <formula>OR(ACOMPANHAMENTO&lt;&gt;"BM",TIPOORCAMENTO="Licitado")</formula>
    </cfRule>
    <cfRule type="expression" dxfId="1701" priority="809" stopIfTrue="1">
      <formula>$C541=1</formula>
    </cfRule>
    <cfRule type="expression" dxfId="1700" priority="810" stopIfTrue="1">
      <formula>OR(AND(ISNUMBER($C541),$C541=0),$C541=2,$C541=3,$C541=4)</formula>
    </cfRule>
  </conditionalFormatting>
  <conditionalFormatting sqref="AL541:AL542">
    <cfRule type="expression" dxfId="1699" priority="811" stopIfTrue="1">
      <formula>TIPOORCAMENTO="PROPOSTO"</formula>
    </cfRule>
    <cfRule type="expression" dxfId="1698" priority="812" stopIfTrue="1">
      <formula>$C541=1</formula>
    </cfRule>
    <cfRule type="expression" dxfId="1697" priority="813" stopIfTrue="1">
      <formula>OR(AND(ISNUMBER($C541),$C541=0),$C541=2,$C541=3,$C541=4)</formula>
    </cfRule>
  </conditionalFormatting>
  <conditionalFormatting sqref="AM541:AN542">
    <cfRule type="expression" dxfId="1696" priority="814" stopIfTrue="1">
      <formula>TIPOORCAMENTO="PROPOSTO"</formula>
    </cfRule>
    <cfRule type="expression" dxfId="1695" priority="815" stopIfTrue="1">
      <formula>$C541=1</formula>
    </cfRule>
    <cfRule type="expression" dxfId="1694" priority="816" stopIfTrue="1">
      <formula>OR(AND(ISNUMBER($C541),$C541=0),$C541=2,$C541=3,$C541=4)</formula>
    </cfRule>
  </conditionalFormatting>
  <conditionalFormatting sqref="M554">
    <cfRule type="cellIs" dxfId="1693" priority="783" stopIfTrue="1" operator="notEqual">
      <formula>$N554</formula>
    </cfRule>
  </conditionalFormatting>
  <conditionalFormatting sqref="N554:O554 R554 W554:X554">
    <cfRule type="expression" dxfId="1692" priority="784" stopIfTrue="1">
      <formula>$C554=1</formula>
    </cfRule>
    <cfRule type="expression" dxfId="1691" priority="785" stopIfTrue="1">
      <formula>OR($C554=0,$C554=2,$C554=3,$C554=4)</formula>
    </cfRule>
  </conditionalFormatting>
  <conditionalFormatting sqref="U554:V554">
    <cfRule type="expression" dxfId="1690" priority="786" stopIfTrue="1">
      <formula>$C554=1</formula>
    </cfRule>
    <cfRule type="expression" dxfId="1689" priority="787" stopIfTrue="1">
      <formula>OR($C554=0,$C554=2,$C554=3,$C554=4)</formula>
    </cfRule>
    <cfRule type="expression" dxfId="1688" priority="788" stopIfTrue="1">
      <formula>AND(TIPOORCAMENTO="Licitado",$C554&lt;&gt;"L",$C554&lt;&gt;-1)</formula>
    </cfRule>
  </conditionalFormatting>
  <conditionalFormatting sqref="P554:Q554 S554:T554 Y554 AG554:AH554">
    <cfRule type="expression" dxfId="1687" priority="789" stopIfTrue="1">
      <formula>$C554=1</formula>
    </cfRule>
    <cfRule type="expression" dxfId="1686" priority="790" stopIfTrue="1">
      <formula>OR($C554=0,$C554=2,$C554=3,$C554=4)</formula>
    </cfRule>
  </conditionalFormatting>
  <conditionalFormatting sqref="AJ554">
    <cfRule type="expression" dxfId="1685" priority="791" stopIfTrue="1">
      <formula>OR(ACOMPANHAMENTO&lt;&gt;"BM",TIPOORCAMENTO="Licitado")</formula>
    </cfRule>
    <cfRule type="expression" dxfId="1684" priority="792" stopIfTrue="1">
      <formula>$C554=1</formula>
    </cfRule>
    <cfRule type="expression" dxfId="1683" priority="793" stopIfTrue="1">
      <formula>OR(AND(ISNUMBER($C554),$C554=0),$C554=2,$C554=3,$C554=4)</formula>
    </cfRule>
  </conditionalFormatting>
  <conditionalFormatting sqref="AL554">
    <cfRule type="expression" dxfId="1682" priority="794" stopIfTrue="1">
      <formula>TIPOORCAMENTO="PROPOSTO"</formula>
    </cfRule>
    <cfRule type="expression" dxfId="1681" priority="795" stopIfTrue="1">
      <formula>$C554=1</formula>
    </cfRule>
    <cfRule type="expression" dxfId="1680" priority="796" stopIfTrue="1">
      <formula>OR(AND(ISNUMBER($C554),$C554=0),$C554=2,$C554=3,$C554=4)</formula>
    </cfRule>
  </conditionalFormatting>
  <conditionalFormatting sqref="AM554:AN554">
    <cfRule type="expression" dxfId="1679" priority="797" stopIfTrue="1">
      <formula>TIPOORCAMENTO="PROPOSTO"</formula>
    </cfRule>
    <cfRule type="expression" dxfId="1678" priority="798" stopIfTrue="1">
      <formula>$C554=1</formula>
    </cfRule>
    <cfRule type="expression" dxfId="1677" priority="799" stopIfTrue="1">
      <formula>OR(AND(ISNUMBER($C554),$C554=0),$C554=2,$C554=3,$C554=4)</formula>
    </cfRule>
  </conditionalFormatting>
  <conditionalFormatting sqref="M587:M588">
    <cfRule type="cellIs" dxfId="1676" priority="749" stopIfTrue="1" operator="notEqual">
      <formula>$N587</formula>
    </cfRule>
  </conditionalFormatting>
  <conditionalFormatting sqref="N587:O588 R587:R588 W587:X588">
    <cfRule type="expression" dxfId="1675" priority="750" stopIfTrue="1">
      <formula>$C587=1</formula>
    </cfRule>
    <cfRule type="expression" dxfId="1674" priority="751" stopIfTrue="1">
      <formula>OR($C587=0,$C587=2,$C587=3,$C587=4)</formula>
    </cfRule>
  </conditionalFormatting>
  <conditionalFormatting sqref="U587:V588">
    <cfRule type="expression" dxfId="1673" priority="752" stopIfTrue="1">
      <formula>$C587=1</formula>
    </cfRule>
    <cfRule type="expression" dxfId="1672" priority="753" stopIfTrue="1">
      <formula>OR($C587=0,$C587=2,$C587=3,$C587=4)</formula>
    </cfRule>
    <cfRule type="expression" dxfId="1671" priority="754" stopIfTrue="1">
      <formula>AND(TIPOORCAMENTO="Licitado",$C587&lt;&gt;"L",$C587&lt;&gt;-1)</formula>
    </cfRule>
  </conditionalFormatting>
  <conditionalFormatting sqref="P587:Q588 S587:T588 Y587:Y588 AG587:AH588">
    <cfRule type="expression" dxfId="1670" priority="755" stopIfTrue="1">
      <formula>$C587=1</formula>
    </cfRule>
    <cfRule type="expression" dxfId="1669" priority="756" stopIfTrue="1">
      <formula>OR($C587=0,$C587=2,$C587=3,$C587=4)</formula>
    </cfRule>
  </conditionalFormatting>
  <conditionalFormatting sqref="AJ587:AJ588">
    <cfRule type="expression" dxfId="1668" priority="757" stopIfTrue="1">
      <formula>OR(ACOMPANHAMENTO&lt;&gt;"BM",TIPOORCAMENTO="Licitado")</formula>
    </cfRule>
    <cfRule type="expression" dxfId="1667" priority="758" stopIfTrue="1">
      <formula>$C587=1</formula>
    </cfRule>
    <cfRule type="expression" dxfId="1666" priority="759" stopIfTrue="1">
      <formula>OR(AND(ISNUMBER($C587),$C587=0),$C587=2,$C587=3,$C587=4)</formula>
    </cfRule>
  </conditionalFormatting>
  <conditionalFormatting sqref="AL587:AL588">
    <cfRule type="expression" dxfId="1665" priority="760" stopIfTrue="1">
      <formula>TIPOORCAMENTO="PROPOSTO"</formula>
    </cfRule>
    <cfRule type="expression" dxfId="1664" priority="761" stopIfTrue="1">
      <formula>$C587=1</formula>
    </cfRule>
    <cfRule type="expression" dxfId="1663" priority="762" stopIfTrue="1">
      <formula>OR(AND(ISNUMBER($C587),$C587=0),$C587=2,$C587=3,$C587=4)</formula>
    </cfRule>
  </conditionalFormatting>
  <conditionalFormatting sqref="AM587:AN588">
    <cfRule type="expression" dxfId="1662" priority="763" stopIfTrue="1">
      <formula>TIPOORCAMENTO="PROPOSTO"</formula>
    </cfRule>
    <cfRule type="expression" dxfId="1661" priority="764" stopIfTrue="1">
      <formula>$C587=1</formula>
    </cfRule>
    <cfRule type="expression" dxfId="1660" priority="765" stopIfTrue="1">
      <formula>OR(AND(ISNUMBER($C587),$C587=0),$C587=2,$C587=3,$C587=4)</formula>
    </cfRule>
  </conditionalFormatting>
  <conditionalFormatting sqref="M555:M563">
    <cfRule type="cellIs" dxfId="1659" priority="732" stopIfTrue="1" operator="notEqual">
      <formula>$N555</formula>
    </cfRule>
  </conditionalFormatting>
  <conditionalFormatting sqref="N555:O563 R555:R563 W555:X563">
    <cfRule type="expression" dxfId="1658" priority="733" stopIfTrue="1">
      <formula>$C555=1</formula>
    </cfRule>
    <cfRule type="expression" dxfId="1657" priority="734" stopIfTrue="1">
      <formula>OR($C555=0,$C555=2,$C555=3,$C555=4)</formula>
    </cfRule>
  </conditionalFormatting>
  <conditionalFormatting sqref="U555:V563">
    <cfRule type="expression" dxfId="1656" priority="735" stopIfTrue="1">
      <formula>$C555=1</formula>
    </cfRule>
    <cfRule type="expression" dxfId="1655" priority="736" stopIfTrue="1">
      <formula>OR($C555=0,$C555=2,$C555=3,$C555=4)</formula>
    </cfRule>
    <cfRule type="expression" dxfId="1654" priority="737" stopIfTrue="1">
      <formula>AND(TIPOORCAMENTO="Licitado",$C555&lt;&gt;"L",$C555&lt;&gt;-1)</formula>
    </cfRule>
  </conditionalFormatting>
  <conditionalFormatting sqref="P555:Q563 S555:T563 Y555:Y563 AG555:AH563">
    <cfRule type="expression" dxfId="1653" priority="738" stopIfTrue="1">
      <formula>$C555=1</formula>
    </cfRule>
    <cfRule type="expression" dxfId="1652" priority="739" stopIfTrue="1">
      <formula>OR($C555=0,$C555=2,$C555=3,$C555=4)</formula>
    </cfRule>
  </conditionalFormatting>
  <conditionalFormatting sqref="AJ555:AJ563">
    <cfRule type="expression" dxfId="1651" priority="740" stopIfTrue="1">
      <formula>OR(ACOMPANHAMENTO&lt;&gt;"BM",TIPOORCAMENTO="Licitado")</formula>
    </cfRule>
    <cfRule type="expression" dxfId="1650" priority="741" stopIfTrue="1">
      <formula>$C555=1</formula>
    </cfRule>
    <cfRule type="expression" dxfId="1649" priority="742" stopIfTrue="1">
      <formula>OR(AND(ISNUMBER($C555),$C555=0),$C555=2,$C555=3,$C555=4)</formula>
    </cfRule>
  </conditionalFormatting>
  <conditionalFormatting sqref="AL555:AL563">
    <cfRule type="expression" dxfId="1648" priority="743" stopIfTrue="1">
      <formula>TIPOORCAMENTO="PROPOSTO"</formula>
    </cfRule>
    <cfRule type="expression" dxfId="1647" priority="744" stopIfTrue="1">
      <formula>$C555=1</formula>
    </cfRule>
    <cfRule type="expression" dxfId="1646" priority="745" stopIfTrue="1">
      <formula>OR(AND(ISNUMBER($C555),$C555=0),$C555=2,$C555=3,$C555=4)</formula>
    </cfRule>
  </conditionalFormatting>
  <conditionalFormatting sqref="AM555:AN563">
    <cfRule type="expression" dxfId="1645" priority="746" stopIfTrue="1">
      <formula>TIPOORCAMENTO="PROPOSTO"</formula>
    </cfRule>
    <cfRule type="expression" dxfId="1644" priority="747" stopIfTrue="1">
      <formula>$C555=1</formula>
    </cfRule>
    <cfRule type="expression" dxfId="1643" priority="748" stopIfTrue="1">
      <formula>OR(AND(ISNUMBER($C555),$C555=0),$C555=2,$C555=3,$C555=4)</formula>
    </cfRule>
  </conditionalFormatting>
  <conditionalFormatting sqref="M564:M572">
    <cfRule type="cellIs" dxfId="1642" priority="715" stopIfTrue="1" operator="notEqual">
      <formula>$N564</formula>
    </cfRule>
  </conditionalFormatting>
  <conditionalFormatting sqref="N564:O572 R564:R572 W564:X572">
    <cfRule type="expression" dxfId="1641" priority="716" stopIfTrue="1">
      <formula>$C564=1</formula>
    </cfRule>
    <cfRule type="expression" dxfId="1640" priority="717" stopIfTrue="1">
      <formula>OR($C564=0,$C564=2,$C564=3,$C564=4)</formula>
    </cfRule>
  </conditionalFormatting>
  <conditionalFormatting sqref="U564:V572">
    <cfRule type="expression" dxfId="1639" priority="718" stopIfTrue="1">
      <formula>$C564=1</formula>
    </cfRule>
    <cfRule type="expression" dxfId="1638" priority="719" stopIfTrue="1">
      <formula>OR($C564=0,$C564=2,$C564=3,$C564=4)</formula>
    </cfRule>
    <cfRule type="expression" dxfId="1637" priority="720" stopIfTrue="1">
      <formula>AND(TIPOORCAMENTO="Licitado",$C564&lt;&gt;"L",$C564&lt;&gt;-1)</formula>
    </cfRule>
  </conditionalFormatting>
  <conditionalFormatting sqref="P564:Q572 S564:T572 Y564:Y572 AG564:AH572">
    <cfRule type="expression" dxfId="1636" priority="721" stopIfTrue="1">
      <formula>$C564=1</formula>
    </cfRule>
    <cfRule type="expression" dxfId="1635" priority="722" stopIfTrue="1">
      <formula>OR($C564=0,$C564=2,$C564=3,$C564=4)</formula>
    </cfRule>
  </conditionalFormatting>
  <conditionalFormatting sqref="AJ564:AJ572">
    <cfRule type="expression" dxfId="1634" priority="723" stopIfTrue="1">
      <formula>OR(ACOMPANHAMENTO&lt;&gt;"BM",TIPOORCAMENTO="Licitado")</formula>
    </cfRule>
    <cfRule type="expression" dxfId="1633" priority="724" stopIfTrue="1">
      <formula>$C564=1</formula>
    </cfRule>
    <cfRule type="expression" dxfId="1632" priority="725" stopIfTrue="1">
      <formula>OR(AND(ISNUMBER($C564),$C564=0),$C564=2,$C564=3,$C564=4)</formula>
    </cfRule>
  </conditionalFormatting>
  <conditionalFormatting sqref="AL564:AL572">
    <cfRule type="expression" dxfId="1631" priority="726" stopIfTrue="1">
      <formula>TIPOORCAMENTO="PROPOSTO"</formula>
    </cfRule>
    <cfRule type="expression" dxfId="1630" priority="727" stopIfTrue="1">
      <formula>$C564=1</formula>
    </cfRule>
    <cfRule type="expression" dxfId="1629" priority="728" stopIfTrue="1">
      <formula>OR(AND(ISNUMBER($C564),$C564=0),$C564=2,$C564=3,$C564=4)</formula>
    </cfRule>
  </conditionalFormatting>
  <conditionalFormatting sqref="AM564:AN572">
    <cfRule type="expression" dxfId="1628" priority="729" stopIfTrue="1">
      <formula>TIPOORCAMENTO="PROPOSTO"</formula>
    </cfRule>
    <cfRule type="expression" dxfId="1627" priority="730" stopIfTrue="1">
      <formula>$C564=1</formula>
    </cfRule>
    <cfRule type="expression" dxfId="1626" priority="731" stopIfTrue="1">
      <formula>OR(AND(ISNUMBER($C564),$C564=0),$C564=2,$C564=3,$C564=4)</formula>
    </cfRule>
  </conditionalFormatting>
  <conditionalFormatting sqref="M729:M731">
    <cfRule type="cellIs" dxfId="1625" priority="681" stopIfTrue="1" operator="notEqual">
      <formula>$N729</formula>
    </cfRule>
  </conditionalFormatting>
  <conditionalFormatting sqref="W729:X731 R729:R731 N729:O731">
    <cfRule type="expression" dxfId="1624" priority="682" stopIfTrue="1">
      <formula>$C729=1</formula>
    </cfRule>
    <cfRule type="expression" dxfId="1623" priority="683" stopIfTrue="1">
      <formula>OR($C729=0,$C729=2,$C729=3,$C729=4)</formula>
    </cfRule>
  </conditionalFormatting>
  <conditionalFormatting sqref="U729:V731">
    <cfRule type="expression" dxfId="1622" priority="684" stopIfTrue="1">
      <formula>$C729=1</formula>
    </cfRule>
    <cfRule type="expression" dxfId="1621" priority="685" stopIfTrue="1">
      <formula>OR($C729=0,$C729=2,$C729=3,$C729=4)</formula>
    </cfRule>
    <cfRule type="expression" dxfId="1620" priority="686" stopIfTrue="1">
      <formula>AND(TIPOORCAMENTO="Licitado",$C729&lt;&gt;"L",$C729&lt;&gt;-1)</formula>
    </cfRule>
  </conditionalFormatting>
  <conditionalFormatting sqref="AG729:AH731 Y729:Y731 S729:T731 P729:Q731">
    <cfRule type="expression" dxfId="1619" priority="687" stopIfTrue="1">
      <formula>$C729=1</formula>
    </cfRule>
    <cfRule type="expression" dxfId="1618" priority="688" stopIfTrue="1">
      <formula>OR($C729=0,$C729=2,$C729=3,$C729=4)</formula>
    </cfRule>
  </conditionalFormatting>
  <conditionalFormatting sqref="AJ729:AJ731">
    <cfRule type="expression" dxfId="1617" priority="689" stopIfTrue="1">
      <formula>OR(ACOMPANHAMENTO&lt;&gt;"BM",TIPOORCAMENTO="Licitado")</formula>
    </cfRule>
    <cfRule type="expression" dxfId="1616" priority="690" stopIfTrue="1">
      <formula>$C729=1</formula>
    </cfRule>
    <cfRule type="expression" dxfId="1615" priority="691" stopIfTrue="1">
      <formula>OR(AND(ISNUMBER($C729),$C729=0),$C729=2,$C729=3,$C729=4)</formula>
    </cfRule>
  </conditionalFormatting>
  <conditionalFormatting sqref="AL729:AL731">
    <cfRule type="expression" dxfId="1614" priority="692" stopIfTrue="1">
      <formula>TIPOORCAMENTO="PROPOSTO"</formula>
    </cfRule>
    <cfRule type="expression" dxfId="1613" priority="693" stopIfTrue="1">
      <formula>$C729=1</formula>
    </cfRule>
    <cfRule type="expression" dxfId="1612" priority="694" stopIfTrue="1">
      <formula>OR(AND(ISNUMBER($C729),$C729=0),$C729=2,$C729=3,$C729=4)</formula>
    </cfRule>
  </conditionalFormatting>
  <conditionalFormatting sqref="AM729:AN731">
    <cfRule type="expression" dxfId="1611" priority="695" stopIfTrue="1">
      <formula>TIPOORCAMENTO="PROPOSTO"</formula>
    </cfRule>
    <cfRule type="expression" dxfId="1610" priority="696" stopIfTrue="1">
      <formula>$C729=1</formula>
    </cfRule>
    <cfRule type="expression" dxfId="1609" priority="697" stopIfTrue="1">
      <formula>OR(AND(ISNUMBER($C729),$C729=0),$C729=2,$C729=3,$C729=4)</formula>
    </cfRule>
  </conditionalFormatting>
  <conditionalFormatting sqref="M732:M740">
    <cfRule type="cellIs" dxfId="1608" priority="664" stopIfTrue="1" operator="notEqual">
      <formula>$N732</formula>
    </cfRule>
  </conditionalFormatting>
  <conditionalFormatting sqref="N732:O740 R732:R740 W732:X740">
    <cfRule type="expression" dxfId="1607" priority="665" stopIfTrue="1">
      <formula>$C732=1</formula>
    </cfRule>
    <cfRule type="expression" dxfId="1606" priority="666" stopIfTrue="1">
      <formula>OR($C732=0,$C732=2,$C732=3,$C732=4)</formula>
    </cfRule>
  </conditionalFormatting>
  <conditionalFormatting sqref="U732:V740">
    <cfRule type="expression" dxfId="1605" priority="667" stopIfTrue="1">
      <formula>$C732=1</formula>
    </cfRule>
    <cfRule type="expression" dxfId="1604" priority="668" stopIfTrue="1">
      <formula>OR($C732=0,$C732=2,$C732=3,$C732=4)</formula>
    </cfRule>
    <cfRule type="expression" dxfId="1603" priority="669" stopIfTrue="1">
      <formula>AND(TIPOORCAMENTO="Licitado",$C732&lt;&gt;"L",$C732&lt;&gt;-1)</formula>
    </cfRule>
  </conditionalFormatting>
  <conditionalFormatting sqref="P732:Q740 S732:T740 Y732:Y740 AG732:AH740">
    <cfRule type="expression" dxfId="1602" priority="670" stopIfTrue="1">
      <formula>$C732=1</formula>
    </cfRule>
    <cfRule type="expression" dxfId="1601" priority="671" stopIfTrue="1">
      <formula>OR($C732=0,$C732=2,$C732=3,$C732=4)</formula>
    </cfRule>
  </conditionalFormatting>
  <conditionalFormatting sqref="AJ732:AJ740">
    <cfRule type="expression" dxfId="1600" priority="672" stopIfTrue="1">
      <formula>OR(ACOMPANHAMENTO&lt;&gt;"BM",TIPOORCAMENTO="Licitado")</formula>
    </cfRule>
    <cfRule type="expression" dxfId="1599" priority="673" stopIfTrue="1">
      <formula>$C732=1</formula>
    </cfRule>
    <cfRule type="expression" dxfId="1598" priority="674" stopIfTrue="1">
      <formula>OR(AND(ISNUMBER($C732),$C732=0),$C732=2,$C732=3,$C732=4)</formula>
    </cfRule>
  </conditionalFormatting>
  <conditionalFormatting sqref="AL732:AL740">
    <cfRule type="expression" dxfId="1597" priority="675" stopIfTrue="1">
      <formula>TIPOORCAMENTO="PROPOSTO"</formula>
    </cfRule>
    <cfRule type="expression" dxfId="1596" priority="676" stopIfTrue="1">
      <formula>$C732=1</formula>
    </cfRule>
    <cfRule type="expression" dxfId="1595" priority="677" stopIfTrue="1">
      <formula>OR(AND(ISNUMBER($C732),$C732=0),$C732=2,$C732=3,$C732=4)</formula>
    </cfRule>
  </conditionalFormatting>
  <conditionalFormatting sqref="AM732:AN740">
    <cfRule type="expression" dxfId="1594" priority="678" stopIfTrue="1">
      <formula>TIPOORCAMENTO="PROPOSTO"</formula>
    </cfRule>
    <cfRule type="expression" dxfId="1593" priority="679" stopIfTrue="1">
      <formula>$C732=1</formula>
    </cfRule>
    <cfRule type="expression" dxfId="1592" priority="680" stopIfTrue="1">
      <formula>OR(AND(ISNUMBER($C732),$C732=0),$C732=2,$C732=3,$C732=4)</formula>
    </cfRule>
  </conditionalFormatting>
  <conditionalFormatting sqref="M741:M742">
    <cfRule type="cellIs" dxfId="1591" priority="647" stopIfTrue="1" operator="notEqual">
      <formula>$N741</formula>
    </cfRule>
  </conditionalFormatting>
  <conditionalFormatting sqref="N741:O742 R741:R742 W741:X742">
    <cfRule type="expression" dxfId="1590" priority="648" stopIfTrue="1">
      <formula>$C741=1</formula>
    </cfRule>
    <cfRule type="expression" dxfId="1589" priority="649" stopIfTrue="1">
      <formula>OR($C741=0,$C741=2,$C741=3,$C741=4)</formula>
    </cfRule>
  </conditionalFormatting>
  <conditionalFormatting sqref="U741:V742">
    <cfRule type="expression" dxfId="1588" priority="650" stopIfTrue="1">
      <formula>$C741=1</formula>
    </cfRule>
    <cfRule type="expression" dxfId="1587" priority="651" stopIfTrue="1">
      <formula>OR($C741=0,$C741=2,$C741=3,$C741=4)</formula>
    </cfRule>
    <cfRule type="expression" dxfId="1586" priority="652" stopIfTrue="1">
      <formula>AND(TIPOORCAMENTO="Licitado",$C741&lt;&gt;"L",$C741&lt;&gt;-1)</formula>
    </cfRule>
  </conditionalFormatting>
  <conditionalFormatting sqref="P741:Q742 S741:T742 Y741:Y742 AG741:AH742">
    <cfRule type="expression" dxfId="1585" priority="653" stopIfTrue="1">
      <formula>$C741=1</formula>
    </cfRule>
    <cfRule type="expression" dxfId="1584" priority="654" stopIfTrue="1">
      <formula>OR($C741=0,$C741=2,$C741=3,$C741=4)</formula>
    </cfRule>
  </conditionalFormatting>
  <conditionalFormatting sqref="AJ741:AJ742">
    <cfRule type="expression" dxfId="1583" priority="655" stopIfTrue="1">
      <formula>OR(ACOMPANHAMENTO&lt;&gt;"BM",TIPOORCAMENTO="Licitado")</formula>
    </cfRule>
    <cfRule type="expression" dxfId="1582" priority="656" stopIfTrue="1">
      <formula>$C741=1</formula>
    </cfRule>
    <cfRule type="expression" dxfId="1581" priority="657" stopIfTrue="1">
      <formula>OR(AND(ISNUMBER($C741),$C741=0),$C741=2,$C741=3,$C741=4)</formula>
    </cfRule>
  </conditionalFormatting>
  <conditionalFormatting sqref="AL741:AL742">
    <cfRule type="expression" dxfId="1580" priority="658" stopIfTrue="1">
      <formula>TIPOORCAMENTO="PROPOSTO"</formula>
    </cfRule>
    <cfRule type="expression" dxfId="1579" priority="659" stopIfTrue="1">
      <formula>$C741=1</formula>
    </cfRule>
    <cfRule type="expression" dxfId="1578" priority="660" stopIfTrue="1">
      <formula>OR(AND(ISNUMBER($C741),$C741=0),$C741=2,$C741=3,$C741=4)</formula>
    </cfRule>
  </conditionalFormatting>
  <conditionalFormatting sqref="AM741:AN742">
    <cfRule type="expression" dxfId="1577" priority="661" stopIfTrue="1">
      <formula>TIPOORCAMENTO="PROPOSTO"</formula>
    </cfRule>
    <cfRule type="expression" dxfId="1576" priority="662" stopIfTrue="1">
      <formula>$C741=1</formula>
    </cfRule>
    <cfRule type="expression" dxfId="1575" priority="663" stopIfTrue="1">
      <formula>OR(AND(ISNUMBER($C741),$C741=0),$C741=2,$C741=3,$C741=4)</formula>
    </cfRule>
  </conditionalFormatting>
  <conditionalFormatting sqref="M594:M602">
    <cfRule type="cellIs" dxfId="1574" priority="630" stopIfTrue="1" operator="notEqual">
      <formula>$N594</formula>
    </cfRule>
  </conditionalFormatting>
  <conditionalFormatting sqref="N594:O602 R594:R602 W594:X602">
    <cfRule type="expression" dxfId="1573" priority="631" stopIfTrue="1">
      <formula>$C594=1</formula>
    </cfRule>
    <cfRule type="expression" dxfId="1572" priority="632" stopIfTrue="1">
      <formula>OR($C594=0,$C594=2,$C594=3,$C594=4)</formula>
    </cfRule>
  </conditionalFormatting>
  <conditionalFormatting sqref="U594:V602">
    <cfRule type="expression" dxfId="1571" priority="633" stopIfTrue="1">
      <formula>$C594=1</formula>
    </cfRule>
    <cfRule type="expression" dxfId="1570" priority="634" stopIfTrue="1">
      <formula>OR($C594=0,$C594=2,$C594=3,$C594=4)</formula>
    </cfRule>
    <cfRule type="expression" dxfId="1569" priority="635" stopIfTrue="1">
      <formula>AND(TIPOORCAMENTO="Licitado",$C594&lt;&gt;"L",$C594&lt;&gt;-1)</formula>
    </cfRule>
  </conditionalFormatting>
  <conditionalFormatting sqref="P594:Q602 S594:T602 Y594:Y602 AG594:AH602">
    <cfRule type="expression" dxfId="1568" priority="636" stopIfTrue="1">
      <formula>$C594=1</formula>
    </cfRule>
    <cfRule type="expression" dxfId="1567" priority="637" stopIfTrue="1">
      <formula>OR($C594=0,$C594=2,$C594=3,$C594=4)</formula>
    </cfRule>
  </conditionalFormatting>
  <conditionalFormatting sqref="AJ594:AJ602">
    <cfRule type="expression" dxfId="1566" priority="638" stopIfTrue="1">
      <formula>OR(ACOMPANHAMENTO&lt;&gt;"BM",TIPOORCAMENTO="Licitado")</formula>
    </cfRule>
    <cfRule type="expression" dxfId="1565" priority="639" stopIfTrue="1">
      <formula>$C594=1</formula>
    </cfRule>
    <cfRule type="expression" dxfId="1564" priority="640" stopIfTrue="1">
      <formula>OR(AND(ISNUMBER($C594),$C594=0),$C594=2,$C594=3,$C594=4)</formula>
    </cfRule>
  </conditionalFormatting>
  <conditionalFormatting sqref="AL594:AL602">
    <cfRule type="expression" dxfId="1563" priority="641" stopIfTrue="1">
      <formula>TIPOORCAMENTO="PROPOSTO"</formula>
    </cfRule>
    <cfRule type="expression" dxfId="1562" priority="642" stopIfTrue="1">
      <formula>$C594=1</formula>
    </cfRule>
    <cfRule type="expression" dxfId="1561" priority="643" stopIfTrue="1">
      <formula>OR(AND(ISNUMBER($C594),$C594=0),$C594=2,$C594=3,$C594=4)</formula>
    </cfRule>
  </conditionalFormatting>
  <conditionalFormatting sqref="AM594:AN602">
    <cfRule type="expression" dxfId="1560" priority="644" stopIfTrue="1">
      <formula>TIPOORCAMENTO="PROPOSTO"</formula>
    </cfRule>
    <cfRule type="expression" dxfId="1559" priority="645" stopIfTrue="1">
      <formula>$C594=1</formula>
    </cfRule>
    <cfRule type="expression" dxfId="1558" priority="646" stopIfTrue="1">
      <formula>OR(AND(ISNUMBER($C594),$C594=0),$C594=2,$C594=3,$C594=4)</formula>
    </cfRule>
  </conditionalFormatting>
  <conditionalFormatting sqref="M700:M707">
    <cfRule type="cellIs" dxfId="1557" priority="579" stopIfTrue="1" operator="notEqual">
      <formula>$N700</formula>
    </cfRule>
  </conditionalFormatting>
  <conditionalFormatting sqref="W700:X707 R700:R707 N700:O707">
    <cfRule type="expression" dxfId="1556" priority="580" stopIfTrue="1">
      <formula>$C700=1</formula>
    </cfRule>
    <cfRule type="expression" dxfId="1555" priority="581" stopIfTrue="1">
      <formula>OR($C700=0,$C700=2,$C700=3,$C700=4)</formula>
    </cfRule>
  </conditionalFormatting>
  <conditionalFormatting sqref="U700:V707">
    <cfRule type="expression" dxfId="1554" priority="582" stopIfTrue="1">
      <formula>$C700=1</formula>
    </cfRule>
    <cfRule type="expression" dxfId="1553" priority="583" stopIfTrue="1">
      <formula>OR($C700=0,$C700=2,$C700=3,$C700=4)</formula>
    </cfRule>
    <cfRule type="expression" dxfId="1552" priority="584" stopIfTrue="1">
      <formula>AND(TIPOORCAMENTO="Licitado",$C700&lt;&gt;"L",$C700&lt;&gt;-1)</formula>
    </cfRule>
  </conditionalFormatting>
  <conditionalFormatting sqref="AG700:AH707 Y700:Y707 S700:T707 P700:Q707">
    <cfRule type="expression" dxfId="1551" priority="585" stopIfTrue="1">
      <formula>$C700=1</formula>
    </cfRule>
    <cfRule type="expression" dxfId="1550" priority="586" stopIfTrue="1">
      <formula>OR($C700=0,$C700=2,$C700=3,$C700=4)</formula>
    </cfRule>
  </conditionalFormatting>
  <conditionalFormatting sqref="AJ700:AJ707">
    <cfRule type="expression" dxfId="1549" priority="587" stopIfTrue="1">
      <formula>OR(ACOMPANHAMENTO&lt;&gt;"BM",TIPOORCAMENTO="Licitado")</formula>
    </cfRule>
    <cfRule type="expression" dxfId="1548" priority="588" stopIfTrue="1">
      <formula>$C700=1</formula>
    </cfRule>
    <cfRule type="expression" dxfId="1547" priority="589" stopIfTrue="1">
      <formula>OR(AND(ISNUMBER($C700),$C700=0),$C700=2,$C700=3,$C700=4)</formula>
    </cfRule>
  </conditionalFormatting>
  <conditionalFormatting sqref="AL700:AL707">
    <cfRule type="expression" dxfId="1546" priority="590" stopIfTrue="1">
      <formula>TIPOORCAMENTO="PROPOSTO"</formula>
    </cfRule>
    <cfRule type="expression" dxfId="1545" priority="591" stopIfTrue="1">
      <formula>$C700=1</formula>
    </cfRule>
    <cfRule type="expression" dxfId="1544" priority="592" stopIfTrue="1">
      <formula>OR(AND(ISNUMBER($C700),$C700=0),$C700=2,$C700=3,$C700=4)</formula>
    </cfRule>
  </conditionalFormatting>
  <conditionalFormatting sqref="AM700:AN707">
    <cfRule type="expression" dxfId="1543" priority="593" stopIfTrue="1">
      <formula>TIPOORCAMENTO="PROPOSTO"</formula>
    </cfRule>
    <cfRule type="expression" dxfId="1542" priority="594" stopIfTrue="1">
      <formula>$C700=1</formula>
    </cfRule>
    <cfRule type="expression" dxfId="1541" priority="595" stopIfTrue="1">
      <formula>OR(AND(ISNUMBER($C700),$C700=0),$C700=2,$C700=3,$C700=4)</formula>
    </cfRule>
  </conditionalFormatting>
  <conditionalFormatting sqref="M719">
    <cfRule type="cellIs" dxfId="1540" priority="545" stopIfTrue="1" operator="notEqual">
      <formula>$N719</formula>
    </cfRule>
  </conditionalFormatting>
  <conditionalFormatting sqref="N719:O719 R719 W719:X719">
    <cfRule type="expression" dxfId="1539" priority="546" stopIfTrue="1">
      <formula>$C719=1</formula>
    </cfRule>
    <cfRule type="expression" dxfId="1538" priority="547" stopIfTrue="1">
      <formula>OR($C719=0,$C719=2,$C719=3,$C719=4)</formula>
    </cfRule>
  </conditionalFormatting>
  <conditionalFormatting sqref="U719:V719">
    <cfRule type="expression" dxfId="1537" priority="548" stopIfTrue="1">
      <formula>$C719=1</formula>
    </cfRule>
    <cfRule type="expression" dxfId="1536" priority="549" stopIfTrue="1">
      <formula>OR($C719=0,$C719=2,$C719=3,$C719=4)</formula>
    </cfRule>
    <cfRule type="expression" dxfId="1535" priority="550" stopIfTrue="1">
      <formula>AND(TIPOORCAMENTO="Licitado",$C719&lt;&gt;"L",$C719&lt;&gt;-1)</formula>
    </cfRule>
  </conditionalFormatting>
  <conditionalFormatting sqref="P719:Q719 S719:T719 Y719 AG719:AH719">
    <cfRule type="expression" dxfId="1534" priority="551" stopIfTrue="1">
      <formula>$C719=1</formula>
    </cfRule>
    <cfRule type="expression" dxfId="1533" priority="552" stopIfTrue="1">
      <formula>OR($C719=0,$C719=2,$C719=3,$C719=4)</formula>
    </cfRule>
  </conditionalFormatting>
  <conditionalFormatting sqref="AJ719">
    <cfRule type="expression" dxfId="1532" priority="553" stopIfTrue="1">
      <formula>OR(ACOMPANHAMENTO&lt;&gt;"BM",TIPOORCAMENTO="Licitado")</formula>
    </cfRule>
    <cfRule type="expression" dxfId="1531" priority="554" stopIfTrue="1">
      <formula>$C719=1</formula>
    </cfRule>
    <cfRule type="expression" dxfId="1530" priority="555" stopIfTrue="1">
      <formula>OR(AND(ISNUMBER($C719),$C719=0),$C719=2,$C719=3,$C719=4)</formula>
    </cfRule>
  </conditionalFormatting>
  <conditionalFormatting sqref="AL719">
    <cfRule type="expression" dxfId="1529" priority="556" stopIfTrue="1">
      <formula>TIPOORCAMENTO="PROPOSTO"</formula>
    </cfRule>
    <cfRule type="expression" dxfId="1528" priority="557" stopIfTrue="1">
      <formula>$C719=1</formula>
    </cfRule>
    <cfRule type="expression" dxfId="1527" priority="558" stopIfTrue="1">
      <formula>OR(AND(ISNUMBER($C719),$C719=0),$C719=2,$C719=3,$C719=4)</formula>
    </cfRule>
  </conditionalFormatting>
  <conditionalFormatting sqref="AM719:AN719">
    <cfRule type="expression" dxfId="1526" priority="559" stopIfTrue="1">
      <formula>TIPOORCAMENTO="PROPOSTO"</formula>
    </cfRule>
    <cfRule type="expression" dxfId="1525" priority="560" stopIfTrue="1">
      <formula>$C719=1</formula>
    </cfRule>
    <cfRule type="expression" dxfId="1524" priority="561" stopIfTrue="1">
      <formula>OR(AND(ISNUMBER($C719),$C719=0),$C719=2,$C719=3,$C719=4)</formula>
    </cfRule>
  </conditionalFormatting>
  <conditionalFormatting sqref="M682:M689">
    <cfRule type="cellIs" dxfId="1523" priority="528" stopIfTrue="1" operator="notEqual">
      <formula>$N682</formula>
    </cfRule>
  </conditionalFormatting>
  <conditionalFormatting sqref="W682:X689 R682:R689 N682:O689">
    <cfRule type="expression" dxfId="1522" priority="529" stopIfTrue="1">
      <formula>$C682=1</formula>
    </cfRule>
    <cfRule type="expression" dxfId="1521" priority="530" stopIfTrue="1">
      <formula>OR($C682=0,$C682=2,$C682=3,$C682=4)</formula>
    </cfRule>
  </conditionalFormatting>
  <conditionalFormatting sqref="U682:V689">
    <cfRule type="expression" dxfId="1520" priority="531" stopIfTrue="1">
      <formula>$C682=1</formula>
    </cfRule>
    <cfRule type="expression" dxfId="1519" priority="532" stopIfTrue="1">
      <formula>OR($C682=0,$C682=2,$C682=3,$C682=4)</formula>
    </cfRule>
    <cfRule type="expression" dxfId="1518" priority="533" stopIfTrue="1">
      <formula>AND(TIPOORCAMENTO="Licitado",$C682&lt;&gt;"L",$C682&lt;&gt;-1)</formula>
    </cfRule>
  </conditionalFormatting>
  <conditionalFormatting sqref="AG682:AH689 Y682:Y689 S682:T689 P682:Q689">
    <cfRule type="expression" dxfId="1517" priority="534" stopIfTrue="1">
      <formula>$C682=1</formula>
    </cfRule>
    <cfRule type="expression" dxfId="1516" priority="535" stopIfTrue="1">
      <formula>OR($C682=0,$C682=2,$C682=3,$C682=4)</formula>
    </cfRule>
  </conditionalFormatting>
  <conditionalFormatting sqref="AJ682:AJ689">
    <cfRule type="expression" dxfId="1515" priority="536" stopIfTrue="1">
      <formula>OR(ACOMPANHAMENTO&lt;&gt;"BM",TIPOORCAMENTO="Licitado")</formula>
    </cfRule>
    <cfRule type="expression" dxfId="1514" priority="537" stopIfTrue="1">
      <formula>$C682=1</formula>
    </cfRule>
    <cfRule type="expression" dxfId="1513" priority="538" stopIfTrue="1">
      <formula>OR(AND(ISNUMBER($C682),$C682=0),$C682=2,$C682=3,$C682=4)</formula>
    </cfRule>
  </conditionalFormatting>
  <conditionalFormatting sqref="AL682:AL689">
    <cfRule type="expression" dxfId="1512" priority="539" stopIfTrue="1">
      <formula>TIPOORCAMENTO="PROPOSTO"</formula>
    </cfRule>
    <cfRule type="expression" dxfId="1511" priority="540" stopIfTrue="1">
      <formula>$C682=1</formula>
    </cfRule>
    <cfRule type="expression" dxfId="1510" priority="541" stopIfTrue="1">
      <formula>OR(AND(ISNUMBER($C682),$C682=0),$C682=2,$C682=3,$C682=4)</formula>
    </cfRule>
  </conditionalFormatting>
  <conditionalFormatting sqref="AM682:AN689">
    <cfRule type="expression" dxfId="1509" priority="542" stopIfTrue="1">
      <formula>TIPOORCAMENTO="PROPOSTO"</formula>
    </cfRule>
    <cfRule type="expression" dxfId="1508" priority="543" stopIfTrue="1">
      <formula>$C682=1</formula>
    </cfRule>
    <cfRule type="expression" dxfId="1507" priority="544" stopIfTrue="1">
      <formula>OR(AND(ISNUMBER($C682),$C682=0),$C682=2,$C682=3,$C682=4)</formula>
    </cfRule>
  </conditionalFormatting>
  <conditionalFormatting sqref="M697:M698">
    <cfRule type="cellIs" dxfId="1506" priority="494" stopIfTrue="1" operator="notEqual">
      <formula>$N697</formula>
    </cfRule>
  </conditionalFormatting>
  <conditionalFormatting sqref="N697:O698 R697:R698 W697:X698">
    <cfRule type="expression" dxfId="1505" priority="495" stopIfTrue="1">
      <formula>$C697=1</formula>
    </cfRule>
    <cfRule type="expression" dxfId="1504" priority="496" stopIfTrue="1">
      <formula>OR($C697=0,$C697=2,$C697=3,$C697=4)</formula>
    </cfRule>
  </conditionalFormatting>
  <conditionalFormatting sqref="U697:V698">
    <cfRule type="expression" dxfId="1503" priority="497" stopIfTrue="1">
      <formula>$C697=1</formula>
    </cfRule>
    <cfRule type="expression" dxfId="1502" priority="498" stopIfTrue="1">
      <formula>OR($C697=0,$C697=2,$C697=3,$C697=4)</formula>
    </cfRule>
    <cfRule type="expression" dxfId="1501" priority="499" stopIfTrue="1">
      <formula>AND(TIPOORCAMENTO="Licitado",$C697&lt;&gt;"L",$C697&lt;&gt;-1)</formula>
    </cfRule>
  </conditionalFormatting>
  <conditionalFormatting sqref="P697:Q698 S697:T698 Y697:Y698 AG697:AH698">
    <cfRule type="expression" dxfId="1500" priority="500" stopIfTrue="1">
      <formula>$C697=1</formula>
    </cfRule>
    <cfRule type="expression" dxfId="1499" priority="501" stopIfTrue="1">
      <formula>OR($C697=0,$C697=2,$C697=3,$C697=4)</formula>
    </cfRule>
  </conditionalFormatting>
  <conditionalFormatting sqref="AJ697:AJ698">
    <cfRule type="expression" dxfId="1498" priority="502" stopIfTrue="1">
      <formula>OR(ACOMPANHAMENTO&lt;&gt;"BM",TIPOORCAMENTO="Licitado")</formula>
    </cfRule>
    <cfRule type="expression" dxfId="1497" priority="503" stopIfTrue="1">
      <formula>$C697=1</formula>
    </cfRule>
    <cfRule type="expression" dxfId="1496" priority="504" stopIfTrue="1">
      <formula>OR(AND(ISNUMBER($C697),$C697=0),$C697=2,$C697=3,$C697=4)</formula>
    </cfRule>
  </conditionalFormatting>
  <conditionalFormatting sqref="AL697:AL698">
    <cfRule type="expression" dxfId="1495" priority="505" stopIfTrue="1">
      <formula>TIPOORCAMENTO="PROPOSTO"</formula>
    </cfRule>
    <cfRule type="expression" dxfId="1494" priority="506" stopIfTrue="1">
      <formula>$C697=1</formula>
    </cfRule>
    <cfRule type="expression" dxfId="1493" priority="507" stopIfTrue="1">
      <formula>OR(AND(ISNUMBER($C697),$C697=0),$C697=2,$C697=3,$C697=4)</formula>
    </cfRule>
  </conditionalFormatting>
  <conditionalFormatting sqref="AM697:AN698">
    <cfRule type="expression" dxfId="1492" priority="508" stopIfTrue="1">
      <formula>TIPOORCAMENTO="PROPOSTO"</formula>
    </cfRule>
    <cfRule type="expression" dxfId="1491" priority="509" stopIfTrue="1">
      <formula>$C697=1</formula>
    </cfRule>
    <cfRule type="expression" dxfId="1490" priority="510" stopIfTrue="1">
      <formula>OR(AND(ISNUMBER($C697),$C697=0),$C697=2,$C697=3,$C697=4)</formula>
    </cfRule>
  </conditionalFormatting>
  <conditionalFormatting sqref="M620:M627">
    <cfRule type="cellIs" dxfId="1489" priority="426" stopIfTrue="1" operator="notEqual">
      <formula>$N620</formula>
    </cfRule>
  </conditionalFormatting>
  <conditionalFormatting sqref="W620:X627 R620:R627 N620:O627">
    <cfRule type="expression" dxfId="1488" priority="427" stopIfTrue="1">
      <formula>$C620=1</formula>
    </cfRule>
    <cfRule type="expression" dxfId="1487" priority="428" stopIfTrue="1">
      <formula>OR($C620=0,$C620=2,$C620=3,$C620=4)</formula>
    </cfRule>
  </conditionalFormatting>
  <conditionalFormatting sqref="U620:V627">
    <cfRule type="expression" dxfId="1486" priority="429" stopIfTrue="1">
      <formula>$C620=1</formula>
    </cfRule>
    <cfRule type="expression" dxfId="1485" priority="430" stopIfTrue="1">
      <formula>OR($C620=0,$C620=2,$C620=3,$C620=4)</formula>
    </cfRule>
    <cfRule type="expression" dxfId="1484" priority="431" stopIfTrue="1">
      <formula>AND(TIPOORCAMENTO="Licitado",$C620&lt;&gt;"L",$C620&lt;&gt;-1)</formula>
    </cfRule>
  </conditionalFormatting>
  <conditionalFormatting sqref="AG620:AH627 Y620:Y627 S620:T627 P620:Q627">
    <cfRule type="expression" dxfId="1483" priority="432" stopIfTrue="1">
      <formula>$C620=1</formula>
    </cfRule>
    <cfRule type="expression" dxfId="1482" priority="433" stopIfTrue="1">
      <formula>OR($C620=0,$C620=2,$C620=3,$C620=4)</formula>
    </cfRule>
  </conditionalFormatting>
  <conditionalFormatting sqref="AJ620:AJ627">
    <cfRule type="expression" dxfId="1481" priority="434" stopIfTrue="1">
      <formula>OR(ACOMPANHAMENTO&lt;&gt;"BM",TIPOORCAMENTO="Licitado")</formula>
    </cfRule>
    <cfRule type="expression" dxfId="1480" priority="435" stopIfTrue="1">
      <formula>$C620=1</formula>
    </cfRule>
    <cfRule type="expression" dxfId="1479" priority="436" stopIfTrue="1">
      <formula>OR(AND(ISNUMBER($C620),$C620=0),$C620=2,$C620=3,$C620=4)</formula>
    </cfRule>
  </conditionalFormatting>
  <conditionalFormatting sqref="AL620:AL627">
    <cfRule type="expression" dxfId="1478" priority="437" stopIfTrue="1">
      <formula>TIPOORCAMENTO="PROPOSTO"</formula>
    </cfRule>
    <cfRule type="expression" dxfId="1477" priority="438" stopIfTrue="1">
      <formula>$C620=1</formula>
    </cfRule>
    <cfRule type="expression" dxfId="1476" priority="439" stopIfTrue="1">
      <formula>OR(AND(ISNUMBER($C620),$C620=0),$C620=2,$C620=3,$C620=4)</formula>
    </cfRule>
  </conditionalFormatting>
  <conditionalFormatting sqref="AM620:AN627">
    <cfRule type="expression" dxfId="1475" priority="440" stopIfTrue="1">
      <formula>TIPOORCAMENTO="PROPOSTO"</formula>
    </cfRule>
    <cfRule type="expression" dxfId="1474" priority="441" stopIfTrue="1">
      <formula>$C620=1</formula>
    </cfRule>
    <cfRule type="expression" dxfId="1473" priority="442" stopIfTrue="1">
      <formula>OR(AND(ISNUMBER($C620),$C620=0),$C620=2,$C620=3,$C620=4)</formula>
    </cfRule>
  </conditionalFormatting>
  <conditionalFormatting sqref="M628:M636">
    <cfRule type="cellIs" dxfId="1472" priority="409" stopIfTrue="1" operator="notEqual">
      <formula>$N628</formula>
    </cfRule>
  </conditionalFormatting>
  <conditionalFormatting sqref="N628:O636 R628:R636 W628:X636">
    <cfRule type="expression" dxfId="1471" priority="410" stopIfTrue="1">
      <formula>$C628=1</formula>
    </cfRule>
    <cfRule type="expression" dxfId="1470" priority="411" stopIfTrue="1">
      <formula>OR($C628=0,$C628=2,$C628=3,$C628=4)</formula>
    </cfRule>
  </conditionalFormatting>
  <conditionalFormatting sqref="U628:V636">
    <cfRule type="expression" dxfId="1469" priority="412" stopIfTrue="1">
      <formula>$C628=1</formula>
    </cfRule>
    <cfRule type="expression" dxfId="1468" priority="413" stopIfTrue="1">
      <formula>OR($C628=0,$C628=2,$C628=3,$C628=4)</formula>
    </cfRule>
    <cfRule type="expression" dxfId="1467" priority="414" stopIfTrue="1">
      <formula>AND(TIPOORCAMENTO="Licitado",$C628&lt;&gt;"L",$C628&lt;&gt;-1)</formula>
    </cfRule>
  </conditionalFormatting>
  <conditionalFormatting sqref="P628:Q636 S628:T636 Y628:Y636 AG628:AH636">
    <cfRule type="expression" dxfId="1466" priority="415" stopIfTrue="1">
      <formula>$C628=1</formula>
    </cfRule>
    <cfRule type="expression" dxfId="1465" priority="416" stopIfTrue="1">
      <formula>OR($C628=0,$C628=2,$C628=3,$C628=4)</formula>
    </cfRule>
  </conditionalFormatting>
  <conditionalFormatting sqref="AJ628:AJ636">
    <cfRule type="expression" dxfId="1464" priority="417" stopIfTrue="1">
      <formula>OR(ACOMPANHAMENTO&lt;&gt;"BM",TIPOORCAMENTO="Licitado")</formula>
    </cfRule>
    <cfRule type="expression" dxfId="1463" priority="418" stopIfTrue="1">
      <formula>$C628=1</formula>
    </cfRule>
    <cfRule type="expression" dxfId="1462" priority="419" stopIfTrue="1">
      <formula>OR(AND(ISNUMBER($C628),$C628=0),$C628=2,$C628=3,$C628=4)</formula>
    </cfRule>
  </conditionalFormatting>
  <conditionalFormatting sqref="AL628:AL636">
    <cfRule type="expression" dxfId="1461" priority="420" stopIfTrue="1">
      <formula>TIPOORCAMENTO="PROPOSTO"</formula>
    </cfRule>
    <cfRule type="expression" dxfId="1460" priority="421" stopIfTrue="1">
      <formula>$C628=1</formula>
    </cfRule>
    <cfRule type="expression" dxfId="1459" priority="422" stopIfTrue="1">
      <formula>OR(AND(ISNUMBER($C628),$C628=0),$C628=2,$C628=3,$C628=4)</formula>
    </cfRule>
  </conditionalFormatting>
  <conditionalFormatting sqref="AM628:AN636">
    <cfRule type="expression" dxfId="1458" priority="423" stopIfTrue="1">
      <formula>TIPOORCAMENTO="PROPOSTO"</formula>
    </cfRule>
    <cfRule type="expression" dxfId="1457" priority="424" stopIfTrue="1">
      <formula>$C628=1</formula>
    </cfRule>
    <cfRule type="expression" dxfId="1456" priority="425" stopIfTrue="1">
      <formula>OR(AND(ISNUMBER($C628),$C628=0),$C628=2,$C628=3,$C628=4)</formula>
    </cfRule>
  </conditionalFormatting>
  <conditionalFormatting sqref="M637:M638">
    <cfRule type="cellIs" dxfId="1455" priority="392" stopIfTrue="1" operator="notEqual">
      <formula>$N637</formula>
    </cfRule>
  </conditionalFormatting>
  <conditionalFormatting sqref="N637:O638 R637:R638 W637:X638">
    <cfRule type="expression" dxfId="1454" priority="393" stopIfTrue="1">
      <formula>$C637=1</formula>
    </cfRule>
    <cfRule type="expression" dxfId="1453" priority="394" stopIfTrue="1">
      <formula>OR($C637=0,$C637=2,$C637=3,$C637=4)</formula>
    </cfRule>
  </conditionalFormatting>
  <conditionalFormatting sqref="U637:V638">
    <cfRule type="expression" dxfId="1452" priority="395" stopIfTrue="1">
      <formula>$C637=1</formula>
    </cfRule>
    <cfRule type="expression" dxfId="1451" priority="396" stopIfTrue="1">
      <formula>OR($C637=0,$C637=2,$C637=3,$C637=4)</formula>
    </cfRule>
    <cfRule type="expression" dxfId="1450" priority="397" stopIfTrue="1">
      <formula>AND(TIPOORCAMENTO="Licitado",$C637&lt;&gt;"L",$C637&lt;&gt;-1)</formula>
    </cfRule>
  </conditionalFormatting>
  <conditionalFormatting sqref="P637:Q638 S637:T638 Y637:Y638 AG637:AH638">
    <cfRule type="expression" dxfId="1449" priority="398" stopIfTrue="1">
      <formula>$C637=1</formula>
    </cfRule>
    <cfRule type="expression" dxfId="1448" priority="399" stopIfTrue="1">
      <formula>OR($C637=0,$C637=2,$C637=3,$C637=4)</formula>
    </cfRule>
  </conditionalFormatting>
  <conditionalFormatting sqref="AJ637:AJ638">
    <cfRule type="expression" dxfId="1447" priority="400" stopIfTrue="1">
      <formula>OR(ACOMPANHAMENTO&lt;&gt;"BM",TIPOORCAMENTO="Licitado")</formula>
    </cfRule>
    <cfRule type="expression" dxfId="1446" priority="401" stopIfTrue="1">
      <formula>$C637=1</formula>
    </cfRule>
    <cfRule type="expression" dxfId="1445" priority="402" stopIfTrue="1">
      <formula>OR(AND(ISNUMBER($C637),$C637=0),$C637=2,$C637=3,$C637=4)</formula>
    </cfRule>
  </conditionalFormatting>
  <conditionalFormatting sqref="AL637:AL638">
    <cfRule type="expression" dxfId="1444" priority="403" stopIfTrue="1">
      <formula>TIPOORCAMENTO="PROPOSTO"</formula>
    </cfRule>
    <cfRule type="expression" dxfId="1443" priority="404" stopIfTrue="1">
      <formula>$C637=1</formula>
    </cfRule>
    <cfRule type="expression" dxfId="1442" priority="405" stopIfTrue="1">
      <formula>OR(AND(ISNUMBER($C637),$C637=0),$C637=2,$C637=3,$C637=4)</formula>
    </cfRule>
  </conditionalFormatting>
  <conditionalFormatting sqref="AM637:AN638">
    <cfRule type="expression" dxfId="1441" priority="406" stopIfTrue="1">
      <formula>TIPOORCAMENTO="PROPOSTO"</formula>
    </cfRule>
    <cfRule type="expression" dxfId="1440" priority="407" stopIfTrue="1">
      <formula>$C637=1</formula>
    </cfRule>
    <cfRule type="expression" dxfId="1439" priority="408" stopIfTrue="1">
      <formula>OR(AND(ISNUMBER($C637),$C637=0),$C637=2,$C637=3,$C637=4)</formula>
    </cfRule>
  </conditionalFormatting>
  <conditionalFormatting sqref="M39">
    <cfRule type="cellIs" dxfId="1438" priority="324" stopIfTrue="1" operator="notEqual">
      <formula>$N39</formula>
    </cfRule>
  </conditionalFormatting>
  <conditionalFormatting sqref="N39:O39 R39 W39:X39">
    <cfRule type="expression" dxfId="1437" priority="325" stopIfTrue="1">
      <formula>$C39=1</formula>
    </cfRule>
    <cfRule type="expression" dxfId="1436" priority="326" stopIfTrue="1">
      <formula>OR($C39=0,$C39=2,$C39=3,$C39=4)</formula>
    </cfRule>
  </conditionalFormatting>
  <conditionalFormatting sqref="U39:V39">
    <cfRule type="expression" dxfId="1435" priority="327" stopIfTrue="1">
      <formula>$C39=1</formula>
    </cfRule>
    <cfRule type="expression" dxfId="1434" priority="328" stopIfTrue="1">
      <formula>OR($C39=0,$C39=2,$C39=3,$C39=4)</formula>
    </cfRule>
    <cfRule type="expression" dxfId="1433" priority="329" stopIfTrue="1">
      <formula>AND(TIPOORCAMENTO="Licitado",$C39&lt;&gt;"L",$C39&lt;&gt;-1)</formula>
    </cfRule>
  </conditionalFormatting>
  <conditionalFormatting sqref="P39:Q39 S39:T39 Y39 AG39:AH39">
    <cfRule type="expression" dxfId="1432" priority="330" stopIfTrue="1">
      <formula>$C39=1</formula>
    </cfRule>
    <cfRule type="expression" dxfId="1431" priority="331" stopIfTrue="1">
      <formula>OR($C39=0,$C39=2,$C39=3,$C39=4)</formula>
    </cfRule>
  </conditionalFormatting>
  <conditionalFormatting sqref="AJ39">
    <cfRule type="expression" dxfId="1430" priority="332" stopIfTrue="1">
      <formula>OR(ACOMPANHAMENTO&lt;&gt;"BM",TIPOORCAMENTO="Licitado")</formula>
    </cfRule>
    <cfRule type="expression" dxfId="1429" priority="333" stopIfTrue="1">
      <formula>$C39=1</formula>
    </cfRule>
    <cfRule type="expression" dxfId="1428" priority="334" stopIfTrue="1">
      <formula>OR(AND(ISNUMBER($C39),$C39=0),$C39=2,$C39=3,$C39=4)</formula>
    </cfRule>
  </conditionalFormatting>
  <conditionalFormatting sqref="AL39">
    <cfRule type="expression" dxfId="1427" priority="335" stopIfTrue="1">
      <formula>TIPOORCAMENTO="PROPOSTO"</formula>
    </cfRule>
    <cfRule type="expression" dxfId="1426" priority="336" stopIfTrue="1">
      <formula>$C39=1</formula>
    </cfRule>
    <cfRule type="expression" dxfId="1425" priority="337" stopIfTrue="1">
      <formula>OR(AND(ISNUMBER($C39),$C39=0),$C39=2,$C39=3,$C39=4)</formula>
    </cfRule>
  </conditionalFormatting>
  <conditionalFormatting sqref="AM39:AN39">
    <cfRule type="expression" dxfId="1424" priority="338" stopIfTrue="1">
      <formula>TIPOORCAMENTO="PROPOSTO"</formula>
    </cfRule>
    <cfRule type="expression" dxfId="1423" priority="339" stopIfTrue="1">
      <formula>$C39=1</formula>
    </cfRule>
    <cfRule type="expression" dxfId="1422" priority="340" stopIfTrue="1">
      <formula>OR(AND(ISNUMBER($C39),$C39=0),$C39=2,$C39=3,$C39=4)</formula>
    </cfRule>
  </conditionalFormatting>
  <conditionalFormatting sqref="M47">
    <cfRule type="cellIs" dxfId="1421" priority="307" stopIfTrue="1" operator="notEqual">
      <formula>$N47</formula>
    </cfRule>
  </conditionalFormatting>
  <conditionalFormatting sqref="N47:O47 R47 W47:X47">
    <cfRule type="expression" dxfId="1420" priority="308" stopIfTrue="1">
      <formula>$C47=1</formula>
    </cfRule>
    <cfRule type="expression" dxfId="1419" priority="309" stopIfTrue="1">
      <formula>OR($C47=0,$C47=2,$C47=3,$C47=4)</formula>
    </cfRule>
  </conditionalFormatting>
  <conditionalFormatting sqref="V47">
    <cfRule type="expression" dxfId="1418" priority="310" stopIfTrue="1">
      <formula>$C47=1</formula>
    </cfRule>
    <cfRule type="expression" dxfId="1417" priority="311" stopIfTrue="1">
      <formula>OR($C47=0,$C47=2,$C47=3,$C47=4)</formula>
    </cfRule>
    <cfRule type="expression" dxfId="1416" priority="312" stopIfTrue="1">
      <formula>AND(TIPOORCAMENTO="Licitado",$C47&lt;&gt;"L",$C47&lt;&gt;-1)</formula>
    </cfRule>
  </conditionalFormatting>
  <conditionalFormatting sqref="P47:Q47 S47:T47 Y47 AG47:AH47">
    <cfRule type="expression" dxfId="1415" priority="313" stopIfTrue="1">
      <formula>$C47=1</formula>
    </cfRule>
    <cfRule type="expression" dxfId="1414" priority="314" stopIfTrue="1">
      <formula>OR($C47=0,$C47=2,$C47=3,$C47=4)</formula>
    </cfRule>
  </conditionalFormatting>
  <conditionalFormatting sqref="AJ47">
    <cfRule type="expression" dxfId="1413" priority="315" stopIfTrue="1">
      <formula>OR(ACOMPANHAMENTO&lt;&gt;"BM",TIPOORCAMENTO="Licitado")</formula>
    </cfRule>
    <cfRule type="expression" dxfId="1412" priority="316" stopIfTrue="1">
      <formula>$C47=1</formula>
    </cfRule>
    <cfRule type="expression" dxfId="1411" priority="317" stopIfTrue="1">
      <formula>OR(AND(ISNUMBER($C47),$C47=0),$C47=2,$C47=3,$C47=4)</formula>
    </cfRule>
  </conditionalFormatting>
  <conditionalFormatting sqref="AL47">
    <cfRule type="expression" dxfId="1410" priority="318" stopIfTrue="1">
      <formula>TIPOORCAMENTO="PROPOSTO"</formula>
    </cfRule>
    <cfRule type="expression" dxfId="1409" priority="319" stopIfTrue="1">
      <formula>$C47=1</formula>
    </cfRule>
    <cfRule type="expression" dxfId="1408" priority="320" stopIfTrue="1">
      <formula>OR(AND(ISNUMBER($C47),$C47=0),$C47=2,$C47=3,$C47=4)</formula>
    </cfRule>
  </conditionalFormatting>
  <conditionalFormatting sqref="AM47:AN47">
    <cfRule type="expression" dxfId="1407" priority="321" stopIfTrue="1">
      <formula>TIPOORCAMENTO="PROPOSTO"</formula>
    </cfRule>
    <cfRule type="expression" dxfId="1406" priority="322" stopIfTrue="1">
      <formula>$C47=1</formula>
    </cfRule>
    <cfRule type="expression" dxfId="1405" priority="323" stopIfTrue="1">
      <formula>OR(AND(ISNUMBER($C47),$C47=0),$C47=2,$C47=3,$C47=4)</formula>
    </cfRule>
  </conditionalFormatting>
  <conditionalFormatting sqref="M58">
    <cfRule type="cellIs" dxfId="1404" priority="290" stopIfTrue="1" operator="notEqual">
      <formula>$N58</formula>
    </cfRule>
  </conditionalFormatting>
  <conditionalFormatting sqref="N58:O58 R58 W58:X58">
    <cfRule type="expression" dxfId="1403" priority="291" stopIfTrue="1">
      <formula>$C58=1</formula>
    </cfRule>
    <cfRule type="expression" dxfId="1402" priority="292" stopIfTrue="1">
      <formula>OR($C58=0,$C58=2,$C58=3,$C58=4)</formula>
    </cfRule>
  </conditionalFormatting>
  <conditionalFormatting sqref="U58:V58">
    <cfRule type="expression" dxfId="1401" priority="293" stopIfTrue="1">
      <formula>$C58=1</formula>
    </cfRule>
    <cfRule type="expression" dxfId="1400" priority="294" stopIfTrue="1">
      <formula>OR($C58=0,$C58=2,$C58=3,$C58=4)</formula>
    </cfRule>
    <cfRule type="expression" dxfId="1399" priority="295" stopIfTrue="1">
      <formula>AND(TIPOORCAMENTO="Licitado",$C58&lt;&gt;"L",$C58&lt;&gt;-1)</formula>
    </cfRule>
  </conditionalFormatting>
  <conditionalFormatting sqref="P58:Q58 S58:T58 Y58 AG58:AH58">
    <cfRule type="expression" dxfId="1398" priority="296" stopIfTrue="1">
      <formula>$C58=1</formula>
    </cfRule>
    <cfRule type="expression" dxfId="1397" priority="297" stopIfTrue="1">
      <formula>OR($C58=0,$C58=2,$C58=3,$C58=4)</formula>
    </cfRule>
  </conditionalFormatting>
  <conditionalFormatting sqref="AJ58">
    <cfRule type="expression" dxfId="1396" priority="298" stopIfTrue="1">
      <formula>OR(ACOMPANHAMENTO&lt;&gt;"BM",TIPOORCAMENTO="Licitado")</formula>
    </cfRule>
    <cfRule type="expression" dxfId="1395" priority="299" stopIfTrue="1">
      <formula>$C58=1</formula>
    </cfRule>
    <cfRule type="expression" dxfId="1394" priority="300" stopIfTrue="1">
      <formula>OR(AND(ISNUMBER($C58),$C58=0),$C58=2,$C58=3,$C58=4)</formula>
    </cfRule>
  </conditionalFormatting>
  <conditionalFormatting sqref="AL58">
    <cfRule type="expression" dxfId="1393" priority="301" stopIfTrue="1">
      <formula>TIPOORCAMENTO="PROPOSTO"</formula>
    </cfRule>
    <cfRule type="expression" dxfId="1392" priority="302" stopIfTrue="1">
      <formula>$C58=1</formula>
    </cfRule>
    <cfRule type="expression" dxfId="1391" priority="303" stopIfTrue="1">
      <formula>OR(AND(ISNUMBER($C58),$C58=0),$C58=2,$C58=3,$C58=4)</formula>
    </cfRule>
  </conditionalFormatting>
  <conditionalFormatting sqref="AM58:AN58">
    <cfRule type="expression" dxfId="1390" priority="304" stopIfTrue="1">
      <formula>TIPOORCAMENTO="PROPOSTO"</formula>
    </cfRule>
    <cfRule type="expression" dxfId="1389" priority="305" stopIfTrue="1">
      <formula>$C58=1</formula>
    </cfRule>
    <cfRule type="expression" dxfId="1388" priority="306" stopIfTrue="1">
      <formula>OR(AND(ISNUMBER($C58),$C58=0),$C58=2,$C58=3,$C58=4)</formula>
    </cfRule>
  </conditionalFormatting>
  <conditionalFormatting sqref="M67:M74">
    <cfRule type="cellIs" dxfId="1387" priority="273" stopIfTrue="1" operator="notEqual">
      <formula>$N67</formula>
    </cfRule>
  </conditionalFormatting>
  <conditionalFormatting sqref="N67:O74 R67:R74 W67:X74">
    <cfRule type="expression" dxfId="1386" priority="274" stopIfTrue="1">
      <formula>$C67=1</formula>
    </cfRule>
    <cfRule type="expression" dxfId="1385" priority="275" stopIfTrue="1">
      <formula>OR($C67=0,$C67=2,$C67=3,$C67=4)</formula>
    </cfRule>
  </conditionalFormatting>
  <conditionalFormatting sqref="U67:V74">
    <cfRule type="expression" dxfId="1384" priority="276" stopIfTrue="1">
      <formula>$C67=1</formula>
    </cfRule>
    <cfRule type="expression" dxfId="1383" priority="277" stopIfTrue="1">
      <formula>OR($C67=0,$C67=2,$C67=3,$C67=4)</formula>
    </cfRule>
    <cfRule type="expression" dxfId="1382" priority="278" stopIfTrue="1">
      <formula>AND(TIPOORCAMENTO="Licitado",$C67&lt;&gt;"L",$C67&lt;&gt;-1)</formula>
    </cfRule>
  </conditionalFormatting>
  <conditionalFormatting sqref="P67:Q74 S67:T74 Y67:Y74 AG67:AH74">
    <cfRule type="expression" dxfId="1381" priority="279" stopIfTrue="1">
      <formula>$C67=1</formula>
    </cfRule>
    <cfRule type="expression" dxfId="1380" priority="280" stopIfTrue="1">
      <formula>OR($C67=0,$C67=2,$C67=3,$C67=4)</formula>
    </cfRule>
  </conditionalFormatting>
  <conditionalFormatting sqref="AJ67:AJ74">
    <cfRule type="expression" dxfId="1379" priority="281" stopIfTrue="1">
      <formula>OR(ACOMPANHAMENTO&lt;&gt;"BM",TIPOORCAMENTO="Licitado")</formula>
    </cfRule>
    <cfRule type="expression" dxfId="1378" priority="282" stopIfTrue="1">
      <formula>$C67=1</formula>
    </cfRule>
    <cfRule type="expression" dxfId="1377" priority="283" stopIfTrue="1">
      <formula>OR(AND(ISNUMBER($C67),$C67=0),$C67=2,$C67=3,$C67=4)</formula>
    </cfRule>
  </conditionalFormatting>
  <conditionalFormatting sqref="AL67:AL74">
    <cfRule type="expression" dxfId="1376" priority="284" stopIfTrue="1">
      <formula>TIPOORCAMENTO="PROPOSTO"</formula>
    </cfRule>
    <cfRule type="expression" dxfId="1375" priority="285" stopIfTrue="1">
      <formula>$C67=1</formula>
    </cfRule>
    <cfRule type="expression" dxfId="1374" priority="286" stopIfTrue="1">
      <formula>OR(AND(ISNUMBER($C67),$C67=0),$C67=2,$C67=3,$C67=4)</formula>
    </cfRule>
  </conditionalFormatting>
  <conditionalFormatting sqref="AM67:AN74">
    <cfRule type="expression" dxfId="1373" priority="287" stopIfTrue="1">
      <formula>TIPOORCAMENTO="PROPOSTO"</formula>
    </cfRule>
    <cfRule type="expression" dxfId="1372" priority="288" stopIfTrue="1">
      <formula>$C67=1</formula>
    </cfRule>
    <cfRule type="expression" dxfId="1371" priority="289" stopIfTrue="1">
      <formula>OR(AND(ISNUMBER($C67),$C67=0),$C67=2,$C67=3,$C67=4)</formula>
    </cfRule>
  </conditionalFormatting>
  <conditionalFormatting sqref="M62:M66">
    <cfRule type="cellIs" dxfId="1370" priority="256" stopIfTrue="1" operator="notEqual">
      <formula>$N62</formula>
    </cfRule>
  </conditionalFormatting>
  <conditionalFormatting sqref="N62:O66 R62:R66 W62:X66">
    <cfRule type="expression" dxfId="1369" priority="257" stopIfTrue="1">
      <formula>$C62=1</formula>
    </cfRule>
    <cfRule type="expression" dxfId="1368" priority="258" stopIfTrue="1">
      <formula>OR($C62=0,$C62=2,$C62=3,$C62=4)</formula>
    </cfRule>
  </conditionalFormatting>
  <conditionalFormatting sqref="U62:V66">
    <cfRule type="expression" dxfId="1367" priority="259" stopIfTrue="1">
      <formula>$C62=1</formula>
    </cfRule>
    <cfRule type="expression" dxfId="1366" priority="260" stopIfTrue="1">
      <formula>OR($C62=0,$C62=2,$C62=3,$C62=4)</formula>
    </cfRule>
    <cfRule type="expression" dxfId="1365" priority="261" stopIfTrue="1">
      <formula>AND(TIPOORCAMENTO="Licitado",$C62&lt;&gt;"L",$C62&lt;&gt;-1)</formula>
    </cfRule>
  </conditionalFormatting>
  <conditionalFormatting sqref="P62:Q66 S62:T66 Y62:Y66 AG62:AH66">
    <cfRule type="expression" dxfId="1364" priority="262" stopIfTrue="1">
      <formula>$C62=1</formula>
    </cfRule>
    <cfRule type="expression" dxfId="1363" priority="263" stopIfTrue="1">
      <formula>OR($C62=0,$C62=2,$C62=3,$C62=4)</formula>
    </cfRule>
  </conditionalFormatting>
  <conditionalFormatting sqref="AJ62:AJ66">
    <cfRule type="expression" dxfId="1362" priority="264" stopIfTrue="1">
      <formula>OR(ACOMPANHAMENTO&lt;&gt;"BM",TIPOORCAMENTO="Licitado")</formula>
    </cfRule>
    <cfRule type="expression" dxfId="1361" priority="265" stopIfTrue="1">
      <formula>$C62=1</formula>
    </cfRule>
    <cfRule type="expression" dxfId="1360" priority="266" stopIfTrue="1">
      <formula>OR(AND(ISNUMBER($C62),$C62=0),$C62=2,$C62=3,$C62=4)</formula>
    </cfRule>
  </conditionalFormatting>
  <conditionalFormatting sqref="AL62:AL66">
    <cfRule type="expression" dxfId="1359" priority="267" stopIfTrue="1">
      <formula>TIPOORCAMENTO="PROPOSTO"</formula>
    </cfRule>
    <cfRule type="expression" dxfId="1358" priority="268" stopIfTrue="1">
      <formula>$C62=1</formula>
    </cfRule>
    <cfRule type="expression" dxfId="1357" priority="269" stopIfTrue="1">
      <formula>OR(AND(ISNUMBER($C62),$C62=0),$C62=2,$C62=3,$C62=4)</formula>
    </cfRule>
  </conditionalFormatting>
  <conditionalFormatting sqref="AM62:AN66">
    <cfRule type="expression" dxfId="1356" priority="270" stopIfTrue="1">
      <formula>TIPOORCAMENTO="PROPOSTO"</formula>
    </cfRule>
    <cfRule type="expression" dxfId="1355" priority="271" stopIfTrue="1">
      <formula>$C62=1</formula>
    </cfRule>
    <cfRule type="expression" dxfId="1354" priority="272" stopIfTrue="1">
      <formula>OR(AND(ISNUMBER($C62),$C62=0),$C62=2,$C62=3,$C62=4)</formula>
    </cfRule>
  </conditionalFormatting>
  <conditionalFormatting sqref="M87">
    <cfRule type="cellIs" dxfId="1353" priority="239" stopIfTrue="1" operator="notEqual">
      <formula>$N87</formula>
    </cfRule>
  </conditionalFormatting>
  <conditionalFormatting sqref="N87:O87 R87 W87:X87">
    <cfRule type="expression" dxfId="1352" priority="240" stopIfTrue="1">
      <formula>$C87=1</formula>
    </cfRule>
    <cfRule type="expression" dxfId="1351" priority="241" stopIfTrue="1">
      <formula>OR($C87=0,$C87=2,$C87=3,$C87=4)</formula>
    </cfRule>
  </conditionalFormatting>
  <conditionalFormatting sqref="U87:V87">
    <cfRule type="expression" dxfId="1350" priority="242" stopIfTrue="1">
      <formula>$C87=1</formula>
    </cfRule>
    <cfRule type="expression" dxfId="1349" priority="243" stopIfTrue="1">
      <formula>OR($C87=0,$C87=2,$C87=3,$C87=4)</formula>
    </cfRule>
    <cfRule type="expression" dxfId="1348" priority="244" stopIfTrue="1">
      <formula>AND(TIPOORCAMENTO="Licitado",$C87&lt;&gt;"L",$C87&lt;&gt;-1)</formula>
    </cfRule>
  </conditionalFormatting>
  <conditionalFormatting sqref="P87:Q87 S87:T87 Y87 AG87:AH87">
    <cfRule type="expression" dxfId="1347" priority="245" stopIfTrue="1">
      <formula>$C87=1</formula>
    </cfRule>
    <cfRule type="expression" dxfId="1346" priority="246" stopIfTrue="1">
      <formula>OR($C87=0,$C87=2,$C87=3,$C87=4)</formula>
    </cfRule>
  </conditionalFormatting>
  <conditionalFormatting sqref="AJ87">
    <cfRule type="expression" dxfId="1345" priority="247" stopIfTrue="1">
      <formula>OR(ACOMPANHAMENTO&lt;&gt;"BM",TIPOORCAMENTO="Licitado")</formula>
    </cfRule>
    <cfRule type="expression" dxfId="1344" priority="248" stopIfTrue="1">
      <formula>$C87=1</formula>
    </cfRule>
    <cfRule type="expression" dxfId="1343" priority="249" stopIfTrue="1">
      <formula>OR(AND(ISNUMBER($C87),$C87=0),$C87=2,$C87=3,$C87=4)</formula>
    </cfRule>
  </conditionalFormatting>
  <conditionalFormatting sqref="AL87">
    <cfRule type="expression" dxfId="1342" priority="250" stopIfTrue="1">
      <formula>TIPOORCAMENTO="PROPOSTO"</formula>
    </cfRule>
    <cfRule type="expression" dxfId="1341" priority="251" stopIfTrue="1">
      <formula>$C87=1</formula>
    </cfRule>
    <cfRule type="expression" dxfId="1340" priority="252" stopIfTrue="1">
      <formula>OR(AND(ISNUMBER($C87),$C87=0),$C87=2,$C87=3,$C87=4)</formula>
    </cfRule>
  </conditionalFormatting>
  <conditionalFormatting sqref="AM87:AN87">
    <cfRule type="expression" dxfId="1339" priority="253" stopIfTrue="1">
      <formula>TIPOORCAMENTO="PROPOSTO"</formula>
    </cfRule>
    <cfRule type="expression" dxfId="1338" priority="254" stopIfTrue="1">
      <formula>$C87=1</formula>
    </cfRule>
    <cfRule type="expression" dxfId="1337" priority="255" stopIfTrue="1">
      <formula>OR(AND(ISNUMBER($C87),$C87=0),$C87=2,$C87=3,$C87=4)</formula>
    </cfRule>
  </conditionalFormatting>
  <conditionalFormatting sqref="M85">
    <cfRule type="cellIs" dxfId="1336" priority="222" stopIfTrue="1" operator="notEqual">
      <formula>$N85</formula>
    </cfRule>
  </conditionalFormatting>
  <conditionalFormatting sqref="N85:O85 R85 W85:X85">
    <cfRule type="expression" dxfId="1335" priority="223" stopIfTrue="1">
      <formula>$C85=1</formula>
    </cfRule>
    <cfRule type="expression" dxfId="1334" priority="224" stopIfTrue="1">
      <formula>OR($C85=0,$C85=2,$C85=3,$C85=4)</formula>
    </cfRule>
  </conditionalFormatting>
  <conditionalFormatting sqref="U85:V85">
    <cfRule type="expression" dxfId="1333" priority="225" stopIfTrue="1">
      <formula>$C85=1</formula>
    </cfRule>
    <cfRule type="expression" dxfId="1332" priority="226" stopIfTrue="1">
      <formula>OR($C85=0,$C85=2,$C85=3,$C85=4)</formula>
    </cfRule>
    <cfRule type="expression" dxfId="1331" priority="227" stopIfTrue="1">
      <formula>AND(TIPOORCAMENTO="Licitado",$C85&lt;&gt;"L",$C85&lt;&gt;-1)</formula>
    </cfRule>
  </conditionalFormatting>
  <conditionalFormatting sqref="P85:Q85 S85:T85 Y85 AG85:AH85">
    <cfRule type="expression" dxfId="1330" priority="228" stopIfTrue="1">
      <formula>$C85=1</formula>
    </cfRule>
    <cfRule type="expression" dxfId="1329" priority="229" stopIfTrue="1">
      <formula>OR($C85=0,$C85=2,$C85=3,$C85=4)</formula>
    </cfRule>
  </conditionalFormatting>
  <conditionalFormatting sqref="AJ85">
    <cfRule type="expression" dxfId="1328" priority="230" stopIfTrue="1">
      <formula>OR(ACOMPANHAMENTO&lt;&gt;"BM",TIPOORCAMENTO="Licitado")</formula>
    </cfRule>
    <cfRule type="expression" dxfId="1327" priority="231" stopIfTrue="1">
      <formula>$C85=1</formula>
    </cfRule>
    <cfRule type="expression" dxfId="1326" priority="232" stopIfTrue="1">
      <formula>OR(AND(ISNUMBER($C85),$C85=0),$C85=2,$C85=3,$C85=4)</formula>
    </cfRule>
  </conditionalFormatting>
  <conditionalFormatting sqref="AL85">
    <cfRule type="expression" dxfId="1325" priority="233" stopIfTrue="1">
      <formula>TIPOORCAMENTO="PROPOSTO"</formula>
    </cfRule>
    <cfRule type="expression" dxfId="1324" priority="234" stopIfTrue="1">
      <formula>$C85=1</formula>
    </cfRule>
    <cfRule type="expression" dxfId="1323" priority="235" stopIfTrue="1">
      <formula>OR(AND(ISNUMBER($C85),$C85=0),$C85=2,$C85=3,$C85=4)</formula>
    </cfRule>
  </conditionalFormatting>
  <conditionalFormatting sqref="AM85:AN85">
    <cfRule type="expression" dxfId="1322" priority="236" stopIfTrue="1">
      <formula>TIPOORCAMENTO="PROPOSTO"</formula>
    </cfRule>
    <cfRule type="expression" dxfId="1321" priority="237" stopIfTrue="1">
      <formula>$C85=1</formula>
    </cfRule>
    <cfRule type="expression" dxfId="1320" priority="238" stopIfTrue="1">
      <formula>OR(AND(ISNUMBER($C85),$C85=0),$C85=2,$C85=3,$C85=4)</formula>
    </cfRule>
  </conditionalFormatting>
  <conditionalFormatting sqref="M95:M99">
    <cfRule type="cellIs" dxfId="1319" priority="205" stopIfTrue="1" operator="notEqual">
      <formula>$N95</formula>
    </cfRule>
  </conditionalFormatting>
  <conditionalFormatting sqref="N95:O99 R95:R99 W95:X99">
    <cfRule type="expression" dxfId="1318" priority="206" stopIfTrue="1">
      <formula>$C95=1</formula>
    </cfRule>
    <cfRule type="expression" dxfId="1317" priority="207" stopIfTrue="1">
      <formula>OR($C95=0,$C95=2,$C95=3,$C95=4)</formula>
    </cfRule>
  </conditionalFormatting>
  <conditionalFormatting sqref="U95:V99">
    <cfRule type="expression" dxfId="1316" priority="208" stopIfTrue="1">
      <formula>$C95=1</formula>
    </cfRule>
    <cfRule type="expression" dxfId="1315" priority="209" stopIfTrue="1">
      <formula>OR($C95=0,$C95=2,$C95=3,$C95=4)</formula>
    </cfRule>
    <cfRule type="expression" dxfId="1314" priority="210" stopIfTrue="1">
      <formula>AND(TIPOORCAMENTO="Licitado",$C95&lt;&gt;"L",$C95&lt;&gt;-1)</formula>
    </cfRule>
  </conditionalFormatting>
  <conditionalFormatting sqref="P95:Q99 S95:T99 Y95:Y99 AG95:AH99">
    <cfRule type="expression" dxfId="1313" priority="211" stopIfTrue="1">
      <formula>$C95=1</formula>
    </cfRule>
    <cfRule type="expression" dxfId="1312" priority="212" stopIfTrue="1">
      <formula>OR($C95=0,$C95=2,$C95=3,$C95=4)</formula>
    </cfRule>
  </conditionalFormatting>
  <conditionalFormatting sqref="AJ95:AJ99">
    <cfRule type="expression" dxfId="1311" priority="213" stopIfTrue="1">
      <formula>OR(ACOMPANHAMENTO&lt;&gt;"BM",TIPOORCAMENTO="Licitado")</formula>
    </cfRule>
    <cfRule type="expression" dxfId="1310" priority="214" stopIfTrue="1">
      <formula>$C95=1</formula>
    </cfRule>
    <cfRule type="expression" dxfId="1309" priority="215" stopIfTrue="1">
      <formula>OR(AND(ISNUMBER($C95),$C95=0),$C95=2,$C95=3,$C95=4)</formula>
    </cfRule>
  </conditionalFormatting>
  <conditionalFormatting sqref="AL95:AL99">
    <cfRule type="expression" dxfId="1308" priority="216" stopIfTrue="1">
      <formula>TIPOORCAMENTO="PROPOSTO"</formula>
    </cfRule>
    <cfRule type="expression" dxfId="1307" priority="217" stopIfTrue="1">
      <formula>$C95=1</formula>
    </cfRule>
    <cfRule type="expression" dxfId="1306" priority="218" stopIfTrue="1">
      <formula>OR(AND(ISNUMBER($C95),$C95=0),$C95=2,$C95=3,$C95=4)</formula>
    </cfRule>
  </conditionalFormatting>
  <conditionalFormatting sqref="AM95:AN99">
    <cfRule type="expression" dxfId="1305" priority="219" stopIfTrue="1">
      <formula>TIPOORCAMENTO="PROPOSTO"</formula>
    </cfRule>
    <cfRule type="expression" dxfId="1304" priority="220" stopIfTrue="1">
      <formula>$C95=1</formula>
    </cfRule>
    <cfRule type="expression" dxfId="1303" priority="221" stopIfTrue="1">
      <formula>OR(AND(ISNUMBER($C95),$C95=0),$C95=2,$C95=3,$C95=4)</formula>
    </cfRule>
  </conditionalFormatting>
  <conditionalFormatting sqref="M102:M104">
    <cfRule type="cellIs" dxfId="1302" priority="188" stopIfTrue="1" operator="notEqual">
      <formula>$N102</formula>
    </cfRule>
  </conditionalFormatting>
  <conditionalFormatting sqref="N102:O104 R102:R104 W102:X104">
    <cfRule type="expression" dxfId="1301" priority="189" stopIfTrue="1">
      <formula>$C102=1</formula>
    </cfRule>
    <cfRule type="expression" dxfId="1300" priority="190" stopIfTrue="1">
      <formula>OR($C102=0,$C102=2,$C102=3,$C102=4)</formula>
    </cfRule>
  </conditionalFormatting>
  <conditionalFormatting sqref="U102:V104">
    <cfRule type="expression" dxfId="1299" priority="191" stopIfTrue="1">
      <formula>$C102=1</formula>
    </cfRule>
    <cfRule type="expression" dxfId="1298" priority="192" stopIfTrue="1">
      <formula>OR($C102=0,$C102=2,$C102=3,$C102=4)</formula>
    </cfRule>
    <cfRule type="expression" dxfId="1297" priority="193" stopIfTrue="1">
      <formula>AND(TIPOORCAMENTO="Licitado",$C102&lt;&gt;"L",$C102&lt;&gt;-1)</formula>
    </cfRule>
  </conditionalFormatting>
  <conditionalFormatting sqref="P102:Q104 S102:T104 Y102:Y104 AG102:AH104">
    <cfRule type="expression" dxfId="1296" priority="194" stopIfTrue="1">
      <formula>$C102=1</formula>
    </cfRule>
    <cfRule type="expression" dxfId="1295" priority="195" stopIfTrue="1">
      <formula>OR($C102=0,$C102=2,$C102=3,$C102=4)</formula>
    </cfRule>
  </conditionalFormatting>
  <conditionalFormatting sqref="AJ102:AJ104">
    <cfRule type="expression" dxfId="1294" priority="196" stopIfTrue="1">
      <formula>OR(ACOMPANHAMENTO&lt;&gt;"BM",TIPOORCAMENTO="Licitado")</formula>
    </cfRule>
    <cfRule type="expression" dxfId="1293" priority="197" stopIfTrue="1">
      <formula>$C102=1</formula>
    </cfRule>
    <cfRule type="expression" dxfId="1292" priority="198" stopIfTrue="1">
      <formula>OR(AND(ISNUMBER($C102),$C102=0),$C102=2,$C102=3,$C102=4)</formula>
    </cfRule>
  </conditionalFormatting>
  <conditionalFormatting sqref="AL102:AL104">
    <cfRule type="expression" dxfId="1291" priority="199" stopIfTrue="1">
      <formula>TIPOORCAMENTO="PROPOSTO"</formula>
    </cfRule>
    <cfRule type="expression" dxfId="1290" priority="200" stopIfTrue="1">
      <formula>$C102=1</formula>
    </cfRule>
    <cfRule type="expression" dxfId="1289" priority="201" stopIfTrue="1">
      <formula>OR(AND(ISNUMBER($C102),$C102=0),$C102=2,$C102=3,$C102=4)</formula>
    </cfRule>
  </conditionalFormatting>
  <conditionalFormatting sqref="AM102:AN104">
    <cfRule type="expression" dxfId="1288" priority="202" stopIfTrue="1">
      <formula>TIPOORCAMENTO="PROPOSTO"</formula>
    </cfRule>
    <cfRule type="expression" dxfId="1287" priority="203" stopIfTrue="1">
      <formula>$C102=1</formula>
    </cfRule>
    <cfRule type="expression" dxfId="1286" priority="204" stopIfTrue="1">
      <formula>OR(AND(ISNUMBER($C102),$C102=0),$C102=2,$C102=3,$C102=4)</formula>
    </cfRule>
  </conditionalFormatting>
  <conditionalFormatting sqref="M207:M212">
    <cfRule type="cellIs" dxfId="1285" priority="137" stopIfTrue="1" operator="notEqual">
      <formula>$N207</formula>
    </cfRule>
  </conditionalFormatting>
  <conditionalFormatting sqref="N207:O212 R207:R212 W207:X212">
    <cfRule type="expression" dxfId="1284" priority="138" stopIfTrue="1">
      <formula>$C207=1</formula>
    </cfRule>
    <cfRule type="expression" dxfId="1283" priority="139" stopIfTrue="1">
      <formula>OR($C207=0,$C207=2,$C207=3,$C207=4)</formula>
    </cfRule>
  </conditionalFormatting>
  <conditionalFormatting sqref="U207:V212">
    <cfRule type="expression" dxfId="1282" priority="140" stopIfTrue="1">
      <formula>$C207=1</formula>
    </cfRule>
    <cfRule type="expression" dxfId="1281" priority="141" stopIfTrue="1">
      <formula>OR($C207=0,$C207=2,$C207=3,$C207=4)</formula>
    </cfRule>
    <cfRule type="expression" dxfId="1280" priority="142" stopIfTrue="1">
      <formula>AND(TIPOORCAMENTO="Licitado",$C207&lt;&gt;"L",$C207&lt;&gt;-1)</formula>
    </cfRule>
  </conditionalFormatting>
  <conditionalFormatting sqref="P207:Q212 S207:T212 Y207:Y212 AG207:AH212">
    <cfRule type="expression" dxfId="1279" priority="143" stopIfTrue="1">
      <formula>$C207=1</formula>
    </cfRule>
    <cfRule type="expression" dxfId="1278" priority="144" stopIfTrue="1">
      <formula>OR($C207=0,$C207=2,$C207=3,$C207=4)</formula>
    </cfRule>
  </conditionalFormatting>
  <conditionalFormatting sqref="AJ207:AJ212">
    <cfRule type="expression" dxfId="1277" priority="145" stopIfTrue="1">
      <formula>OR(ACOMPANHAMENTO&lt;&gt;"BM",TIPOORCAMENTO="Licitado")</formula>
    </cfRule>
    <cfRule type="expression" dxfId="1276" priority="146" stopIfTrue="1">
      <formula>$C207=1</formula>
    </cfRule>
    <cfRule type="expression" dxfId="1275" priority="147" stopIfTrue="1">
      <formula>OR(AND(ISNUMBER($C207),$C207=0),$C207=2,$C207=3,$C207=4)</formula>
    </cfRule>
  </conditionalFormatting>
  <conditionalFormatting sqref="AL207:AL212">
    <cfRule type="expression" dxfId="1274" priority="148" stopIfTrue="1">
      <formula>TIPOORCAMENTO="PROPOSTO"</formula>
    </cfRule>
    <cfRule type="expression" dxfId="1273" priority="149" stopIfTrue="1">
      <formula>$C207=1</formula>
    </cfRule>
    <cfRule type="expression" dxfId="1272" priority="150" stopIfTrue="1">
      <formula>OR(AND(ISNUMBER($C207),$C207=0),$C207=2,$C207=3,$C207=4)</formula>
    </cfRule>
  </conditionalFormatting>
  <conditionalFormatting sqref="AM207:AN212">
    <cfRule type="expression" dxfId="1271" priority="151" stopIfTrue="1">
      <formula>TIPOORCAMENTO="PROPOSTO"</formula>
    </cfRule>
    <cfRule type="expression" dxfId="1270" priority="152" stopIfTrue="1">
      <formula>$C207=1</formula>
    </cfRule>
    <cfRule type="expression" dxfId="1269" priority="153" stopIfTrue="1">
      <formula>OR(AND(ISNUMBER($C207),$C207=0),$C207=2,$C207=3,$C207=4)</formula>
    </cfRule>
  </conditionalFormatting>
  <conditionalFormatting sqref="M226">
    <cfRule type="cellIs" dxfId="1268" priority="120" stopIfTrue="1" operator="notEqual">
      <formula>$N226</formula>
    </cfRule>
  </conditionalFormatting>
  <conditionalFormatting sqref="N226:O226 R226 W226:X226">
    <cfRule type="expression" dxfId="1267" priority="121" stopIfTrue="1">
      <formula>$C226=1</formula>
    </cfRule>
    <cfRule type="expression" dxfId="1266" priority="122" stopIfTrue="1">
      <formula>OR($C226=0,$C226=2,$C226=3,$C226=4)</formula>
    </cfRule>
  </conditionalFormatting>
  <conditionalFormatting sqref="U226:V226">
    <cfRule type="expression" dxfId="1265" priority="123" stopIfTrue="1">
      <formula>$C226=1</formula>
    </cfRule>
    <cfRule type="expression" dxfId="1264" priority="124" stopIfTrue="1">
      <formula>OR($C226=0,$C226=2,$C226=3,$C226=4)</formula>
    </cfRule>
    <cfRule type="expression" dxfId="1263" priority="125" stopIfTrue="1">
      <formula>AND(TIPOORCAMENTO="Licitado",$C226&lt;&gt;"L",$C226&lt;&gt;-1)</formula>
    </cfRule>
  </conditionalFormatting>
  <conditionalFormatting sqref="P226:Q226 S226:T226 Y226 AG226:AH226">
    <cfRule type="expression" dxfId="1262" priority="126" stopIfTrue="1">
      <formula>$C226=1</formula>
    </cfRule>
    <cfRule type="expression" dxfId="1261" priority="127" stopIfTrue="1">
      <formula>OR($C226=0,$C226=2,$C226=3,$C226=4)</formula>
    </cfRule>
  </conditionalFormatting>
  <conditionalFormatting sqref="AJ226">
    <cfRule type="expression" dxfId="1260" priority="128" stopIfTrue="1">
      <formula>OR(ACOMPANHAMENTO&lt;&gt;"BM",TIPOORCAMENTO="Licitado")</formula>
    </cfRule>
    <cfRule type="expression" dxfId="1259" priority="129" stopIfTrue="1">
      <formula>$C226=1</formula>
    </cfRule>
    <cfRule type="expression" dxfId="1258" priority="130" stopIfTrue="1">
      <formula>OR(AND(ISNUMBER($C226),$C226=0),$C226=2,$C226=3,$C226=4)</formula>
    </cfRule>
  </conditionalFormatting>
  <conditionalFormatting sqref="AL226">
    <cfRule type="expression" dxfId="1257" priority="131" stopIfTrue="1">
      <formula>TIPOORCAMENTO="PROPOSTO"</formula>
    </cfRule>
    <cfRule type="expression" dxfId="1256" priority="132" stopIfTrue="1">
      <formula>$C226=1</formula>
    </cfRule>
    <cfRule type="expression" dxfId="1255" priority="133" stopIfTrue="1">
      <formula>OR(AND(ISNUMBER($C226),$C226=0),$C226=2,$C226=3,$C226=4)</formula>
    </cfRule>
  </conditionalFormatting>
  <conditionalFormatting sqref="AM226:AN226">
    <cfRule type="expression" dxfId="1254" priority="134" stopIfTrue="1">
      <formula>TIPOORCAMENTO="PROPOSTO"</formula>
    </cfRule>
    <cfRule type="expression" dxfId="1253" priority="135" stopIfTrue="1">
      <formula>$C226=1</formula>
    </cfRule>
    <cfRule type="expression" dxfId="1252" priority="136" stopIfTrue="1">
      <formula>OR(AND(ISNUMBER($C226),$C226=0),$C226=2,$C226=3,$C226=4)</formula>
    </cfRule>
  </conditionalFormatting>
  <conditionalFormatting sqref="M236:M239">
    <cfRule type="cellIs" dxfId="1251" priority="103" stopIfTrue="1" operator="notEqual">
      <formula>$N236</formula>
    </cfRule>
  </conditionalFormatting>
  <conditionalFormatting sqref="N236:O239 R236:R239 W236:X239">
    <cfRule type="expression" dxfId="1250" priority="104" stopIfTrue="1">
      <formula>$C236=1</formula>
    </cfRule>
    <cfRule type="expression" dxfId="1249" priority="105" stopIfTrue="1">
      <formula>OR($C236=0,$C236=2,$C236=3,$C236=4)</formula>
    </cfRule>
  </conditionalFormatting>
  <conditionalFormatting sqref="U236:V239">
    <cfRule type="expression" dxfId="1248" priority="106" stopIfTrue="1">
      <formula>$C236=1</formula>
    </cfRule>
    <cfRule type="expression" dxfId="1247" priority="107" stopIfTrue="1">
      <formula>OR($C236=0,$C236=2,$C236=3,$C236=4)</formula>
    </cfRule>
    <cfRule type="expression" dxfId="1246" priority="108" stopIfTrue="1">
      <formula>AND(TIPOORCAMENTO="Licitado",$C236&lt;&gt;"L",$C236&lt;&gt;-1)</formula>
    </cfRule>
  </conditionalFormatting>
  <conditionalFormatting sqref="P236:Q239 S236:T239 Y236:Y239 AG236:AH239">
    <cfRule type="expression" dxfId="1245" priority="109" stopIfTrue="1">
      <formula>$C236=1</formula>
    </cfRule>
    <cfRule type="expression" dxfId="1244" priority="110" stopIfTrue="1">
      <formula>OR($C236=0,$C236=2,$C236=3,$C236=4)</formula>
    </cfRule>
  </conditionalFormatting>
  <conditionalFormatting sqref="AJ236:AJ239">
    <cfRule type="expression" dxfId="1243" priority="111" stopIfTrue="1">
      <formula>OR(ACOMPANHAMENTO&lt;&gt;"BM",TIPOORCAMENTO="Licitado")</formula>
    </cfRule>
    <cfRule type="expression" dxfId="1242" priority="112" stopIfTrue="1">
      <formula>$C236=1</formula>
    </cfRule>
    <cfRule type="expression" dxfId="1241" priority="113" stopIfTrue="1">
      <formula>OR(AND(ISNUMBER($C236),$C236=0),$C236=2,$C236=3,$C236=4)</formula>
    </cfRule>
  </conditionalFormatting>
  <conditionalFormatting sqref="AL236:AL239">
    <cfRule type="expression" dxfId="1240" priority="114" stopIfTrue="1">
      <formula>TIPOORCAMENTO="PROPOSTO"</formula>
    </cfRule>
    <cfRule type="expression" dxfId="1239" priority="115" stopIfTrue="1">
      <formula>$C236=1</formula>
    </cfRule>
    <cfRule type="expression" dxfId="1238" priority="116" stopIfTrue="1">
      <formula>OR(AND(ISNUMBER($C236),$C236=0),$C236=2,$C236=3,$C236=4)</formula>
    </cfRule>
  </conditionalFormatting>
  <conditionalFormatting sqref="AM236:AN239">
    <cfRule type="expression" dxfId="1237" priority="117" stopIfTrue="1">
      <formula>TIPOORCAMENTO="PROPOSTO"</formula>
    </cfRule>
    <cfRule type="expression" dxfId="1236" priority="118" stopIfTrue="1">
      <formula>$C236=1</formula>
    </cfRule>
    <cfRule type="expression" dxfId="1235" priority="119" stopIfTrue="1">
      <formula>OR(AND(ISNUMBER($C236),$C236=0),$C236=2,$C236=3,$C236=4)</formula>
    </cfRule>
  </conditionalFormatting>
  <conditionalFormatting sqref="M250">
    <cfRule type="cellIs" dxfId="1234" priority="86" stopIfTrue="1" operator="notEqual">
      <formula>$N250</formula>
    </cfRule>
  </conditionalFormatting>
  <conditionalFormatting sqref="N250:O250 R250 W250:X250">
    <cfRule type="expression" dxfId="1233" priority="87" stopIfTrue="1">
      <formula>$C250=1</formula>
    </cfRule>
    <cfRule type="expression" dxfId="1232" priority="88" stopIfTrue="1">
      <formula>OR($C250=0,$C250=2,$C250=3,$C250=4)</formula>
    </cfRule>
  </conditionalFormatting>
  <conditionalFormatting sqref="U250:V250">
    <cfRule type="expression" dxfId="1231" priority="89" stopIfTrue="1">
      <formula>$C250=1</formula>
    </cfRule>
    <cfRule type="expression" dxfId="1230" priority="90" stopIfTrue="1">
      <formula>OR($C250=0,$C250=2,$C250=3,$C250=4)</formula>
    </cfRule>
    <cfRule type="expression" dxfId="1229" priority="91" stopIfTrue="1">
      <formula>AND(TIPOORCAMENTO="Licitado",$C250&lt;&gt;"L",$C250&lt;&gt;-1)</formula>
    </cfRule>
  </conditionalFormatting>
  <conditionalFormatting sqref="P250:Q250 S250:T250 Y250 AG250:AH250">
    <cfRule type="expression" dxfId="1228" priority="92" stopIfTrue="1">
      <formula>$C250=1</formula>
    </cfRule>
    <cfRule type="expression" dxfId="1227" priority="93" stopIfTrue="1">
      <formula>OR($C250=0,$C250=2,$C250=3,$C250=4)</formula>
    </cfRule>
  </conditionalFormatting>
  <conditionalFormatting sqref="AJ250">
    <cfRule type="expression" dxfId="1226" priority="94" stopIfTrue="1">
      <formula>OR(ACOMPANHAMENTO&lt;&gt;"BM",TIPOORCAMENTO="Licitado")</formula>
    </cfRule>
    <cfRule type="expression" dxfId="1225" priority="95" stopIfTrue="1">
      <formula>$C250=1</formula>
    </cfRule>
    <cfRule type="expression" dxfId="1224" priority="96" stopIfTrue="1">
      <formula>OR(AND(ISNUMBER($C250),$C250=0),$C250=2,$C250=3,$C250=4)</formula>
    </cfRule>
  </conditionalFormatting>
  <conditionalFormatting sqref="AL250">
    <cfRule type="expression" dxfId="1223" priority="97" stopIfTrue="1">
      <formula>TIPOORCAMENTO="PROPOSTO"</formula>
    </cfRule>
    <cfRule type="expression" dxfId="1222" priority="98" stopIfTrue="1">
      <formula>$C250=1</formula>
    </cfRule>
    <cfRule type="expression" dxfId="1221" priority="99" stopIfTrue="1">
      <formula>OR(AND(ISNUMBER($C250),$C250=0),$C250=2,$C250=3,$C250=4)</formula>
    </cfRule>
  </conditionalFormatting>
  <conditionalFormatting sqref="AM250:AN250">
    <cfRule type="expression" dxfId="1220" priority="100" stopIfTrue="1">
      <formula>TIPOORCAMENTO="PROPOSTO"</formula>
    </cfRule>
    <cfRule type="expression" dxfId="1219" priority="101" stopIfTrue="1">
      <formula>$C250=1</formula>
    </cfRule>
    <cfRule type="expression" dxfId="1218" priority="102" stopIfTrue="1">
      <formula>OR(AND(ISNUMBER($C250),$C250=0),$C250=2,$C250=3,$C250=4)</formula>
    </cfRule>
  </conditionalFormatting>
  <conditionalFormatting sqref="M305">
    <cfRule type="cellIs" dxfId="1217" priority="69" stopIfTrue="1" operator="notEqual">
      <formula>$N305</formula>
    </cfRule>
  </conditionalFormatting>
  <conditionalFormatting sqref="N305:O305 R305 W305:X305">
    <cfRule type="expression" dxfId="1216" priority="70" stopIfTrue="1">
      <formula>$C305=1</formula>
    </cfRule>
    <cfRule type="expression" dxfId="1215" priority="71" stopIfTrue="1">
      <formula>OR($C305=0,$C305=2,$C305=3,$C305=4)</formula>
    </cfRule>
  </conditionalFormatting>
  <conditionalFormatting sqref="U305:V305">
    <cfRule type="expression" dxfId="1214" priority="72" stopIfTrue="1">
      <formula>$C305=1</formula>
    </cfRule>
    <cfRule type="expression" dxfId="1213" priority="73" stopIfTrue="1">
      <formula>OR($C305=0,$C305=2,$C305=3,$C305=4)</formula>
    </cfRule>
    <cfRule type="expression" dxfId="1212" priority="74" stopIfTrue="1">
      <formula>AND(TIPOORCAMENTO="Licitado",$C305&lt;&gt;"L",$C305&lt;&gt;-1)</formula>
    </cfRule>
  </conditionalFormatting>
  <conditionalFormatting sqref="P305:Q305 S305:T305 Y305 AG305:AH305">
    <cfRule type="expression" dxfId="1211" priority="75" stopIfTrue="1">
      <formula>$C305=1</formula>
    </cfRule>
    <cfRule type="expression" dxfId="1210" priority="76" stopIfTrue="1">
      <formula>OR($C305=0,$C305=2,$C305=3,$C305=4)</formula>
    </cfRule>
  </conditionalFormatting>
  <conditionalFormatting sqref="AJ305">
    <cfRule type="expression" dxfId="1209" priority="77" stopIfTrue="1">
      <formula>OR(ACOMPANHAMENTO&lt;&gt;"BM",TIPOORCAMENTO="Licitado")</formula>
    </cfRule>
    <cfRule type="expression" dxfId="1208" priority="78" stopIfTrue="1">
      <formula>$C305=1</formula>
    </cfRule>
    <cfRule type="expression" dxfId="1207" priority="79" stopIfTrue="1">
      <formula>OR(AND(ISNUMBER($C305),$C305=0),$C305=2,$C305=3,$C305=4)</formula>
    </cfRule>
  </conditionalFormatting>
  <conditionalFormatting sqref="AL305">
    <cfRule type="expression" dxfId="1206" priority="80" stopIfTrue="1">
      <formula>TIPOORCAMENTO="PROPOSTO"</formula>
    </cfRule>
    <cfRule type="expression" dxfId="1205" priority="81" stopIfTrue="1">
      <formula>$C305=1</formula>
    </cfRule>
    <cfRule type="expression" dxfId="1204" priority="82" stopIfTrue="1">
      <formula>OR(AND(ISNUMBER($C305),$C305=0),$C305=2,$C305=3,$C305=4)</formula>
    </cfRule>
  </conditionalFormatting>
  <conditionalFormatting sqref="AM305:AN305">
    <cfRule type="expression" dxfId="1203" priority="83" stopIfTrue="1">
      <formula>TIPOORCAMENTO="PROPOSTO"</formula>
    </cfRule>
    <cfRule type="expression" dxfId="1202" priority="84" stopIfTrue="1">
      <formula>$C305=1</formula>
    </cfRule>
    <cfRule type="expression" dxfId="1201" priority="85" stopIfTrue="1">
      <formula>OR(AND(ISNUMBER($C305),$C305=0),$C305=2,$C305=3,$C305=4)</formula>
    </cfRule>
  </conditionalFormatting>
  <conditionalFormatting sqref="M314">
    <cfRule type="cellIs" dxfId="1200" priority="52" stopIfTrue="1" operator="notEqual">
      <formula>$N314</formula>
    </cfRule>
  </conditionalFormatting>
  <conditionalFormatting sqref="N314:O314 R314 W314:X314">
    <cfRule type="expression" dxfId="1199" priority="53" stopIfTrue="1">
      <formula>$C314=1</formula>
    </cfRule>
    <cfRule type="expression" dxfId="1198" priority="54" stopIfTrue="1">
      <formula>OR($C314=0,$C314=2,$C314=3,$C314=4)</formula>
    </cfRule>
  </conditionalFormatting>
  <conditionalFormatting sqref="U314:V314">
    <cfRule type="expression" dxfId="1197" priority="55" stopIfTrue="1">
      <formula>$C314=1</formula>
    </cfRule>
    <cfRule type="expression" dxfId="1196" priority="56" stopIfTrue="1">
      <formula>OR($C314=0,$C314=2,$C314=3,$C314=4)</formula>
    </cfRule>
    <cfRule type="expression" dxfId="1195" priority="57" stopIfTrue="1">
      <formula>AND(TIPOORCAMENTO="Licitado",$C314&lt;&gt;"L",$C314&lt;&gt;-1)</formula>
    </cfRule>
  </conditionalFormatting>
  <conditionalFormatting sqref="P314:Q314 S314:T314 Y314 AG314:AH314">
    <cfRule type="expression" dxfId="1194" priority="58" stopIfTrue="1">
      <formula>$C314=1</formula>
    </cfRule>
    <cfRule type="expression" dxfId="1193" priority="59" stopIfTrue="1">
      <formula>OR($C314=0,$C314=2,$C314=3,$C314=4)</formula>
    </cfRule>
  </conditionalFormatting>
  <conditionalFormatting sqref="AJ314">
    <cfRule type="expression" dxfId="1192" priority="60" stopIfTrue="1">
      <formula>OR(ACOMPANHAMENTO&lt;&gt;"BM",TIPOORCAMENTO="Licitado")</formula>
    </cfRule>
    <cfRule type="expression" dxfId="1191" priority="61" stopIfTrue="1">
      <formula>$C314=1</formula>
    </cfRule>
    <cfRule type="expression" dxfId="1190" priority="62" stopIfTrue="1">
      <formula>OR(AND(ISNUMBER($C314),$C314=0),$C314=2,$C314=3,$C314=4)</formula>
    </cfRule>
  </conditionalFormatting>
  <conditionalFormatting sqref="AL314">
    <cfRule type="expression" dxfId="1189" priority="63" stopIfTrue="1">
      <formula>TIPOORCAMENTO="PROPOSTO"</formula>
    </cfRule>
    <cfRule type="expression" dxfId="1188" priority="64" stopIfTrue="1">
      <formula>$C314=1</formula>
    </cfRule>
    <cfRule type="expression" dxfId="1187" priority="65" stopIfTrue="1">
      <formula>OR(AND(ISNUMBER($C314),$C314=0),$C314=2,$C314=3,$C314=4)</formula>
    </cfRule>
  </conditionalFormatting>
  <conditionalFormatting sqref="AM314:AN314">
    <cfRule type="expression" dxfId="1186" priority="66" stopIfTrue="1">
      <formula>TIPOORCAMENTO="PROPOSTO"</formula>
    </cfRule>
    <cfRule type="expression" dxfId="1185" priority="67" stopIfTrue="1">
      <formula>$C314=1</formula>
    </cfRule>
    <cfRule type="expression" dxfId="1184" priority="68" stopIfTrue="1">
      <formula>OR(AND(ISNUMBER($C314),$C314=0),$C314=2,$C314=3,$C314=4)</formula>
    </cfRule>
  </conditionalFormatting>
  <conditionalFormatting sqref="M337:M339">
    <cfRule type="cellIs" dxfId="1183" priority="35" stopIfTrue="1" operator="notEqual">
      <formula>$N337</formula>
    </cfRule>
  </conditionalFormatting>
  <conditionalFormatting sqref="N337:O339 R337:R339 W337:X339">
    <cfRule type="expression" dxfId="1182" priority="36" stopIfTrue="1">
      <formula>$C337=1</formula>
    </cfRule>
    <cfRule type="expression" dxfId="1181" priority="37" stopIfTrue="1">
      <formula>OR($C337=0,$C337=2,$C337=3,$C337=4)</formula>
    </cfRule>
  </conditionalFormatting>
  <conditionalFormatting sqref="U337:V339">
    <cfRule type="expression" dxfId="1180" priority="38" stopIfTrue="1">
      <formula>$C337=1</formula>
    </cfRule>
    <cfRule type="expression" dxfId="1179" priority="39" stopIfTrue="1">
      <formula>OR($C337=0,$C337=2,$C337=3,$C337=4)</formula>
    </cfRule>
    <cfRule type="expression" dxfId="1178" priority="40" stopIfTrue="1">
      <formula>AND(TIPOORCAMENTO="Licitado",$C337&lt;&gt;"L",$C337&lt;&gt;-1)</formula>
    </cfRule>
  </conditionalFormatting>
  <conditionalFormatting sqref="P337:Q339 S337:T339 Y337:Y339 AG337:AH339">
    <cfRule type="expression" dxfId="1177" priority="41" stopIfTrue="1">
      <formula>$C337=1</formula>
    </cfRule>
    <cfRule type="expression" dxfId="1176" priority="42" stopIfTrue="1">
      <formula>OR($C337=0,$C337=2,$C337=3,$C337=4)</formula>
    </cfRule>
  </conditionalFormatting>
  <conditionalFormatting sqref="AJ337:AJ339">
    <cfRule type="expression" dxfId="1175" priority="43" stopIfTrue="1">
      <formula>OR(ACOMPANHAMENTO&lt;&gt;"BM",TIPOORCAMENTO="Licitado")</formula>
    </cfRule>
    <cfRule type="expression" dxfId="1174" priority="44" stopIfTrue="1">
      <formula>$C337=1</formula>
    </cfRule>
    <cfRule type="expression" dxfId="1173" priority="45" stopIfTrue="1">
      <formula>OR(AND(ISNUMBER($C337),$C337=0),$C337=2,$C337=3,$C337=4)</formula>
    </cfRule>
  </conditionalFormatting>
  <conditionalFormatting sqref="AL337:AL339">
    <cfRule type="expression" dxfId="1172" priority="46" stopIfTrue="1">
      <formula>TIPOORCAMENTO="PROPOSTO"</formula>
    </cfRule>
    <cfRule type="expression" dxfId="1171" priority="47" stopIfTrue="1">
      <formula>$C337=1</formula>
    </cfRule>
    <cfRule type="expression" dxfId="1170" priority="48" stopIfTrue="1">
      <formula>OR(AND(ISNUMBER($C337),$C337=0),$C337=2,$C337=3,$C337=4)</formula>
    </cfRule>
  </conditionalFormatting>
  <conditionalFormatting sqref="AM337:AN339">
    <cfRule type="expression" dxfId="1169" priority="49" stopIfTrue="1">
      <formula>TIPOORCAMENTO="PROPOSTO"</formula>
    </cfRule>
    <cfRule type="expression" dxfId="1168" priority="50" stopIfTrue="1">
      <formula>$C337=1</formula>
    </cfRule>
    <cfRule type="expression" dxfId="1167" priority="51" stopIfTrue="1">
      <formula>OR(AND(ISNUMBER($C337),$C337=0),$C337=2,$C337=3,$C337=4)</formula>
    </cfRule>
  </conditionalFormatting>
  <conditionalFormatting sqref="M448">
    <cfRule type="cellIs" dxfId="1166" priority="18" stopIfTrue="1" operator="notEqual">
      <formula>$N448</formula>
    </cfRule>
  </conditionalFormatting>
  <conditionalFormatting sqref="N448:O448 R448 W448:X448">
    <cfRule type="expression" dxfId="1165" priority="19" stopIfTrue="1">
      <formula>$C448=1</formula>
    </cfRule>
    <cfRule type="expression" dxfId="1164" priority="20" stopIfTrue="1">
      <formula>OR($C448=0,$C448=2,$C448=3,$C448=4)</formula>
    </cfRule>
  </conditionalFormatting>
  <conditionalFormatting sqref="U448:V448">
    <cfRule type="expression" dxfId="1163" priority="21" stopIfTrue="1">
      <formula>$C448=1</formula>
    </cfRule>
    <cfRule type="expression" dxfId="1162" priority="22" stopIfTrue="1">
      <formula>OR($C448=0,$C448=2,$C448=3,$C448=4)</formula>
    </cfRule>
    <cfRule type="expression" dxfId="1161" priority="23" stopIfTrue="1">
      <formula>AND(TIPOORCAMENTO="Licitado",$C448&lt;&gt;"L",$C448&lt;&gt;-1)</formula>
    </cfRule>
  </conditionalFormatting>
  <conditionalFormatting sqref="P448:Q448 S448:T448 Y448 AG448:AH448">
    <cfRule type="expression" dxfId="1160" priority="24" stopIfTrue="1">
      <formula>$C448=1</formula>
    </cfRule>
    <cfRule type="expression" dxfId="1159" priority="25" stopIfTrue="1">
      <formula>OR($C448=0,$C448=2,$C448=3,$C448=4)</formula>
    </cfRule>
  </conditionalFormatting>
  <conditionalFormatting sqref="AJ448">
    <cfRule type="expression" dxfId="1158" priority="26" stopIfTrue="1">
      <formula>OR(ACOMPANHAMENTO&lt;&gt;"BM",TIPOORCAMENTO="Licitado")</formula>
    </cfRule>
    <cfRule type="expression" dxfId="1157" priority="27" stopIfTrue="1">
      <formula>$C448=1</formula>
    </cfRule>
    <cfRule type="expression" dxfId="1156" priority="28" stopIfTrue="1">
      <formula>OR(AND(ISNUMBER($C448),$C448=0),$C448=2,$C448=3,$C448=4)</formula>
    </cfRule>
  </conditionalFormatting>
  <conditionalFormatting sqref="AL448">
    <cfRule type="expression" dxfId="1155" priority="29" stopIfTrue="1">
      <formula>TIPOORCAMENTO="PROPOSTO"</formula>
    </cfRule>
    <cfRule type="expression" dxfId="1154" priority="30" stopIfTrue="1">
      <formula>$C448=1</formula>
    </cfRule>
    <cfRule type="expression" dxfId="1153" priority="31" stopIfTrue="1">
      <formula>OR(AND(ISNUMBER($C448),$C448=0),$C448=2,$C448=3,$C448=4)</formula>
    </cfRule>
  </conditionalFormatting>
  <conditionalFormatting sqref="AM448:AN448">
    <cfRule type="expression" dxfId="1152" priority="32" stopIfTrue="1">
      <formula>TIPOORCAMENTO="PROPOSTO"</formula>
    </cfRule>
    <cfRule type="expression" dxfId="1151" priority="33" stopIfTrue="1">
      <formula>$C448=1</formula>
    </cfRule>
    <cfRule type="expression" dxfId="1150" priority="34" stopIfTrue="1">
      <formula>OR(AND(ISNUMBER($C448),$C448=0),$C448=2,$C448=3,$C448=4)</formula>
    </cfRule>
  </conditionalFormatting>
  <conditionalFormatting sqref="M699">
    <cfRule type="cellIs" dxfId="1149" priority="1" stopIfTrue="1" operator="notEqual">
      <formula>$N699</formula>
    </cfRule>
  </conditionalFormatting>
  <conditionalFormatting sqref="N699:O699 R699 W699:X699">
    <cfRule type="expression" dxfId="1148" priority="2" stopIfTrue="1">
      <formula>$C699=1</formula>
    </cfRule>
    <cfRule type="expression" dxfId="1147" priority="3" stopIfTrue="1">
      <formula>OR($C699=0,$C699=2,$C699=3,$C699=4)</formula>
    </cfRule>
  </conditionalFormatting>
  <conditionalFormatting sqref="U699:V699">
    <cfRule type="expression" dxfId="1146" priority="4" stopIfTrue="1">
      <formula>$C699=1</formula>
    </cfRule>
    <cfRule type="expression" dxfId="1145" priority="5" stopIfTrue="1">
      <formula>OR($C699=0,$C699=2,$C699=3,$C699=4)</formula>
    </cfRule>
    <cfRule type="expression" dxfId="1144" priority="6" stopIfTrue="1">
      <formula>AND(TIPOORCAMENTO="Licitado",$C699&lt;&gt;"L",$C699&lt;&gt;-1)</formula>
    </cfRule>
  </conditionalFormatting>
  <conditionalFormatting sqref="P699:Q699 S699:T699 Y699 AG699:AH699">
    <cfRule type="expression" dxfId="1143" priority="7" stopIfTrue="1">
      <formula>$C699=1</formula>
    </cfRule>
    <cfRule type="expression" dxfId="1142" priority="8" stopIfTrue="1">
      <formula>OR($C699=0,$C699=2,$C699=3,$C699=4)</formula>
    </cfRule>
  </conditionalFormatting>
  <conditionalFormatting sqref="AJ699">
    <cfRule type="expression" dxfId="1141" priority="9" stopIfTrue="1">
      <formula>OR(ACOMPANHAMENTO&lt;&gt;"BM",TIPOORCAMENTO="Licitado")</formula>
    </cfRule>
    <cfRule type="expression" dxfId="1140" priority="10" stopIfTrue="1">
      <formula>$C699=1</formula>
    </cfRule>
    <cfRule type="expression" dxfId="1139" priority="11" stopIfTrue="1">
      <formula>OR(AND(ISNUMBER($C699),$C699=0),$C699=2,$C699=3,$C699=4)</formula>
    </cfRule>
  </conditionalFormatting>
  <conditionalFormatting sqref="AL699">
    <cfRule type="expression" dxfId="1138" priority="12" stopIfTrue="1">
      <formula>TIPOORCAMENTO="PROPOSTO"</formula>
    </cfRule>
    <cfRule type="expression" dxfId="1137" priority="13" stopIfTrue="1">
      <formula>$C699=1</formula>
    </cfRule>
    <cfRule type="expression" dxfId="1136" priority="14" stopIfTrue="1">
      <formula>OR(AND(ISNUMBER($C699),$C699=0),$C699=2,$C699=3,$C699=4)</formula>
    </cfRule>
  </conditionalFormatting>
  <conditionalFormatting sqref="AM699:AN699">
    <cfRule type="expression" dxfId="1135" priority="15" stopIfTrue="1">
      <formula>TIPOORCAMENTO="PROPOSTO"</formula>
    </cfRule>
    <cfRule type="expression" dxfId="1134" priority="16" stopIfTrue="1">
      <formula>$C699=1</formula>
    </cfRule>
    <cfRule type="expression" dxfId="1133" priority="17" stopIfTrue="1">
      <formula>OR(AND(ISNUMBER($C699),$C699=0),$C699=2,$C699=3,$C699=4)</formula>
    </cfRule>
  </conditionalFormatting>
  <dataValidations count="7">
    <dataValidation type="decimal" operator="greaterThan" allowBlank="1" showErrorMessage="1" error="Apenas números decimais maiores que zero." sqref="U14 AL14 AJ14 AL16:AL746 U16:U746 AJ16:AJ746">
      <formula1>0</formula1>
      <formula2>0</formula2>
    </dataValidation>
    <dataValidation type="list" allowBlank="1" sqref="P14 P16:P746">
      <formula1>"SINAPI,SINAPI-I,SICRO,Composição,Cotação"</formula1>
      <formula2>0</formula2>
    </dataValidation>
    <dataValidation type="list" errorStyle="warning" allowBlank="1" showInputMessage="1" showErrorMessage="1" errorTitle="Aviso BDI" error="Selecione um dos 3 BDI da lista._x000a__x000a_Caso tenha mais de 3 BDI nesta Planilha Orçamentária digite apenas valor percentual." promptTitle="Legenda:" prompt="RA: Rateio proporcional entre Repasse e Contrapartida._x000a_RP: 100% Repasse_x000a_CP: 100% Contrapartida_x000a_OU: 100% Outros." sqref="Y14 Y16:Y746">
      <formula1>"RA,RP,CP,OU"</formula1>
      <formula2>0</formula2>
    </dataValidation>
    <dataValidation type="list" errorStyle="warning" allowBlank="1" showErrorMessage="1" errorTitle="Aviso BDI" error="Selecione um dos 3 BDI da lista._x000a__x000a_Caso tenha mais de 3 BDI nesta Planilha Orçamentária digite apenas valor percentual." sqref="V14 V16:V746">
      <formula1>"BDI 1;BDI 2;BDI 3;0,00%"</formula1>
      <formula2>0</formula2>
    </dataValidation>
    <dataValidation type="list" showErrorMessage="1" errorTitle="Erro de Entrada" error="Selecione somente os itens da lista." promptTitle="Nível:" prompt="Selecione na lista o nível de itemização da Planilha." sqref="M14 M16:M746">
      <formula1>"Meta,Nível 2,Nível 3,Nível 4,Serviço"</formula1>
      <formula2>0</formula2>
    </dataValidation>
    <dataValidation allowBlank="1" showInputMessage="1" showErrorMessage="1" prompt="A entrada de quantidades é feita na coluna AJ se acompanhamento por BM, ou na aba &quot;Memória de Cálculo/PLQ&quot; se acompanhamento por PLE." sqref="T14 T16:T746"/>
    <dataValidation allowBlank="1" showInputMessage="1" showErrorMessage="1" prompt="Para Orçamento Proposto, o Preço Unitário é resultado do produto do Custo Unitário pelo BDI._x000a_Para Orçamento Licitado, deve ser preenchido na Coluna AL." sqref="W14 W16:W746"/>
  </dataValidations>
  <pageMargins left="0.78740157480314998" right="0.78740157480314998" top="0.78740157480314998" bottom="0.78740157480314998" header="0.59055118110236204" footer="0.59055118110236204"/>
  <pageSetup paperSize="9" scale="66" firstPageNumber="0" fitToHeight="0" orientation="landscape" r:id="rId1"/>
  <headerFooter alignWithMargins="0">
    <oddHeader>&amp;C&amp;14I</oddHeader>
    <oddFooter>&amp;LPMv3.0.6&amp;R&amp;P / &amp;N</oddFooter>
  </headerFooter>
  <colBreaks count="1" manualBreakCount="1">
    <brk id="25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8" r:id="rId4" name="CaixaArredQuant">
              <controlPr defaultSize="0" print="0" autoFill="0" autoLine="0" autoPict="0">
                <anchor moveWithCells="1" sizeWithCells="1">
                  <from>
                    <xdr:col>19</xdr:col>
                    <xdr:colOff>457200</xdr:colOff>
                    <xdr:row>9</xdr:row>
                    <xdr:rowOff>123825</xdr:rowOff>
                  </from>
                  <to>
                    <xdr:col>19</xdr:col>
                    <xdr:colOff>895350</xdr:colOff>
                    <xdr:row>11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5" name="CaixaArredCustoUnit">
              <controlPr defaultSize="0" print="0" autoFill="0" autoLine="0" autoPict="0">
                <anchor moveWithCells="1" sizeWithCells="1">
                  <from>
                    <xdr:col>20</xdr:col>
                    <xdr:colOff>447675</xdr:colOff>
                    <xdr:row>9</xdr:row>
                    <xdr:rowOff>123825</xdr:rowOff>
                  </from>
                  <to>
                    <xdr:col>20</xdr:col>
                    <xdr:colOff>876300</xdr:colOff>
                    <xdr:row>11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0" r:id="rId6" name="CaixaArredBDI">
              <controlPr defaultSize="0" print="0" autoFill="0" autoLine="0" autoPict="0">
                <anchor moveWithCells="1" sizeWithCells="1">
                  <from>
                    <xdr:col>21</xdr:col>
                    <xdr:colOff>285750</xdr:colOff>
                    <xdr:row>9</xdr:row>
                    <xdr:rowOff>123825</xdr:rowOff>
                  </from>
                  <to>
                    <xdr:col>21</xdr:col>
                    <xdr:colOff>704850</xdr:colOff>
                    <xdr:row>11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1" r:id="rId7" name="CaixaArredPrecoUnit">
              <controlPr defaultSize="0" print="0" autoFill="0" autoLine="0" autoPict="0">
                <anchor moveWithCells="1" sizeWithCells="1">
                  <from>
                    <xdr:col>22</xdr:col>
                    <xdr:colOff>361950</xdr:colOff>
                    <xdr:row>9</xdr:row>
                    <xdr:rowOff>123825</xdr:rowOff>
                  </from>
                  <to>
                    <xdr:col>22</xdr:col>
                    <xdr:colOff>790575</xdr:colOff>
                    <xdr:row>11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8" name="CaixaArredPrecoTotal">
              <controlPr defaultSize="0" print="0" autoFill="0" autoLine="0" autoPict="0">
                <anchor moveWithCells="1" sizeWithCells="1">
                  <from>
                    <xdr:col>23</xdr:col>
                    <xdr:colOff>447675</xdr:colOff>
                    <xdr:row>9</xdr:row>
                    <xdr:rowOff>104775</xdr:rowOff>
                  </from>
                  <to>
                    <xdr:col>23</xdr:col>
                    <xdr:colOff>876300</xdr:colOff>
                    <xdr:row>11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6"/>
  <dimension ref="A1:BG66015"/>
  <sheetViews>
    <sheetView showGridLines="0" view="pageBreakPreview" zoomScale="85" zoomScaleNormal="90" zoomScaleSheetLayoutView="85" workbookViewId="0">
      <pane xSplit="8" ySplit="15" topLeftCell="I25" activePane="bottomRight" state="frozen"/>
      <selection activeCell="C1" sqref="C1"/>
      <selection pane="topRight" activeCell="I1" sqref="I1"/>
      <selection pane="bottomLeft" activeCell="C16" sqref="C16"/>
      <selection pane="bottomRight" activeCell="A268" sqref="A268"/>
    </sheetView>
  </sheetViews>
  <sheetFormatPr defaultRowHeight="0" customHeight="1" zeroHeight="1" x14ac:dyDescent="0.2"/>
  <cols>
    <col min="1" max="2" width="0" style="7" hidden="1" customWidth="1"/>
    <col min="3" max="3" width="3.7109375" style="7" customWidth="1"/>
    <col min="4" max="4" width="8.7109375" customWidth="1"/>
    <col min="5" max="5" width="12.7109375" customWidth="1"/>
    <col min="6" max="6" width="65.7109375" customWidth="1"/>
    <col min="7" max="7" width="10.7109375" customWidth="1"/>
    <col min="8" max="8" width="14.7109375" customWidth="1"/>
    <col min="9" max="9" width="29.7109375" customWidth="1"/>
    <col min="10" max="10" width="1.7109375" customWidth="1"/>
    <col min="11" max="11" width="4.7109375" customWidth="1"/>
    <col min="12" max="12" width="0.85546875" customWidth="1"/>
    <col min="13" max="13" width="9.140625" style="7" hidden="1" customWidth="1"/>
    <col min="14" max="14" width="31.7109375" customWidth="1"/>
    <col min="15" max="15" width="0" hidden="1" customWidth="1"/>
    <col min="16" max="16" width="1.7109375" customWidth="1"/>
    <col min="17" max="26" width="11.7109375" customWidth="1"/>
    <col min="27" max="27" width="0.140625" customWidth="1"/>
    <col min="28" max="59" width="9.140625" customWidth="1"/>
    <col min="60" max="60" width="1.7109375" customWidth="1"/>
  </cols>
  <sheetData>
    <row r="1" spans="1:59" ht="15.75" customHeight="1" x14ac:dyDescent="0.2">
      <c r="F1" s="625" t="str">
        <f>IF(ACOMPANHAMENTO="BM","MEMÓRIA DE CÁLCULO","PLQ - PLANILHA DE LEVANTAMENTO DE QUANTIDADES")</f>
        <v>MEMÓRIA DE CÁLCULO</v>
      </c>
      <c r="G1" s="625"/>
      <c r="H1" s="625"/>
      <c r="I1" s="147"/>
      <c r="K1" s="147"/>
      <c r="L1" s="147"/>
      <c r="M1" s="148"/>
      <c r="N1" s="147"/>
      <c r="P1" s="147"/>
      <c r="Q1" s="604" t="s">
        <v>140</v>
      </c>
      <c r="R1" s="604"/>
      <c r="Y1" s="604" t="s">
        <v>140</v>
      </c>
      <c r="Z1" s="604"/>
    </row>
    <row r="2" spans="1:59" ht="15" customHeight="1" x14ac:dyDescent="0.2">
      <c r="F2" s="626" t="str">
        <f>IF(ACOMPANHAMENTO="BM","","Memória de Cálculo")&amp;" - "&amp;import.recurso</f>
        <v xml:space="preserve"> - (SELECIONAR)</v>
      </c>
      <c r="G2" s="626"/>
      <c r="H2" s="626"/>
      <c r="I2" s="149"/>
      <c r="K2" s="149"/>
      <c r="L2" s="149"/>
      <c r="M2" s="150"/>
      <c r="N2" s="149"/>
      <c r="P2" s="149"/>
      <c r="Q2" s="605" t="s">
        <v>143</v>
      </c>
      <c r="R2" s="605"/>
      <c r="Y2" s="605" t="s">
        <v>143</v>
      </c>
      <c r="Z2" s="605"/>
    </row>
    <row r="3" spans="1:59" ht="12.75" customHeight="1" x14ac:dyDescent="0.2">
      <c r="AB3" t="e">
        <f ca="1">ROUND(ROUND(OFFSET(#REF!,0,AB$13),15-13*ORÇAMENTO!$AF$7)*OFFSET(ORÇAMENTO!$W$15,ROW(#REF!)-ROW(AB$15),0),15-13*ORÇAMENTO!$AF$11)</f>
        <v>#REF!</v>
      </c>
      <c r="AC3" t="e">
        <f ca="1">ROUND(ROUND(OFFSET(#REF!,0,AC$13),15-13*ORÇAMENTO!$AF$7)*OFFSET(ORÇAMENTO!$W$15,ROW(#REF!)-ROW(AC$15),0),15-13*ORÇAMENTO!$AF$11)</f>
        <v>#REF!</v>
      </c>
      <c r="AD3" t="e">
        <f ca="1">ROUND(ROUND(OFFSET(#REF!,0,AD$13),15-13*ORÇAMENTO!$AF$7)*OFFSET(ORÇAMENTO!$W$15,ROW(#REF!)-ROW(AD$15),0),15-13*ORÇAMENTO!$AF$11)</f>
        <v>#REF!</v>
      </c>
      <c r="AE3" s="575" t="e">
        <f ca="1">SUM(AB3:AD3)-SUM(#REF!)</f>
        <v>#REF!</v>
      </c>
    </row>
    <row r="4" spans="1:59" ht="12.75" customHeight="1" x14ac:dyDescent="0.2">
      <c r="E4" s="600" t="s">
        <v>202</v>
      </c>
      <c r="F4" s="600"/>
      <c r="G4" s="600" t="s">
        <v>443</v>
      </c>
      <c r="H4" s="600"/>
      <c r="I4" s="89" t="s">
        <v>146</v>
      </c>
      <c r="K4" s="151" t="s">
        <v>147</v>
      </c>
      <c r="L4" s="152"/>
      <c r="M4" s="152"/>
      <c r="N4" s="152"/>
      <c r="O4" s="152"/>
      <c r="P4" s="152"/>
      <c r="Q4" s="152"/>
      <c r="R4" s="153"/>
      <c r="S4" s="600" t="s">
        <v>146</v>
      </c>
      <c r="T4" s="600"/>
      <c r="U4" s="600" t="s">
        <v>147</v>
      </c>
      <c r="V4" s="600"/>
      <c r="W4" s="600"/>
      <c r="X4" s="600"/>
      <c r="Y4" s="600"/>
      <c r="Z4" s="600"/>
    </row>
    <row r="5" spans="1:59" ht="12.75" customHeight="1" x14ac:dyDescent="0.2">
      <c r="E5" s="603" t="str">
        <f>Import.Apelido</f>
        <v>CEMEI Santa Mariana Pirapora/MG. Projeto Padrão FNDE- Creche e Pré Escola Tipo I.</v>
      </c>
      <c r="F5" s="603"/>
      <c r="G5" s="603" t="str" cm="1">
        <f t="array" ref="G5">Import.TransfereGOV</f>
        <v xml:space="preserve">960797/2024 </v>
      </c>
      <c r="H5" s="603"/>
      <c r="I5" s="92" t="str">
        <f>Import.CR</f>
        <v>1094391-68</v>
      </c>
      <c r="K5" s="154" t="str">
        <f>Import.Proponente</f>
        <v>Prefeitura Municipal de Pirapora</v>
      </c>
      <c r="L5" s="155"/>
      <c r="M5" s="102"/>
      <c r="N5" s="155"/>
      <c r="O5" s="155"/>
      <c r="P5" s="155"/>
      <c r="Q5" s="155"/>
      <c r="R5" s="93"/>
      <c r="S5" s="603" t="str">
        <f>Import.CR</f>
        <v>1094391-68</v>
      </c>
      <c r="T5" s="603"/>
      <c r="U5" s="603" t="str">
        <f>Import.Proponente</f>
        <v>Prefeitura Municipal de Pirapora</v>
      </c>
      <c r="V5" s="603"/>
      <c r="W5" s="603"/>
      <c r="X5" s="603"/>
      <c r="Y5" s="603"/>
      <c r="Z5" s="603"/>
    </row>
    <row r="6" spans="1:59" ht="12.75" customHeight="1" x14ac:dyDescent="0.2">
      <c r="T6" s="575" t="e">
        <f ca="1">AE3</f>
        <v>#REF!</v>
      </c>
      <c r="AB6" t="s">
        <v>251</v>
      </c>
      <c r="AM6" t="s">
        <v>252</v>
      </c>
      <c r="AX6" t="s">
        <v>253</v>
      </c>
    </row>
    <row r="7" spans="1:59" ht="12.75" hidden="1" customHeight="1" x14ac:dyDescent="0.2"/>
    <row r="8" spans="1:59" ht="12.75" hidden="1" customHeight="1" x14ac:dyDescent="0.2"/>
    <row r="9" spans="1:59" ht="12.75" hidden="1" customHeight="1" x14ac:dyDescent="0.2"/>
    <row r="10" spans="1:59" ht="12.75" hidden="1" customHeight="1" x14ac:dyDescent="0.2"/>
    <row r="11" spans="1:59" ht="12.75" hidden="1" customHeight="1" x14ac:dyDescent="0.2"/>
    <row r="12" spans="1:59" ht="69.95" customHeight="1" x14ac:dyDescent="0.2">
      <c r="A12" s="156">
        <f ca="1">IF(OFFSET(EVENTOS!$C$5,1,0)="Automática, conforme os agrupadores Nível 4 do Orçamento",4,IF(OFFSET(EVENTOS!$C$5,1,0)="Automática, conforme os agrupadores Nível 3 do Orçamento",3,IF(OFFSET(EVENTOS!$C$5,1,0)="Definir Manualmente","Manual",2)))</f>
        <v>2</v>
      </c>
      <c r="B12" s="7" t="s">
        <v>254</v>
      </c>
      <c r="H12" s="157"/>
      <c r="I12" s="158"/>
      <c r="J12" s="159" t="s">
        <v>255</v>
      </c>
      <c r="K12" s="160" t="s">
        <v>256</v>
      </c>
      <c r="L12" s="159" t="s">
        <v>255</v>
      </c>
      <c r="M12" s="161">
        <f>IF(ACOMPANHAMENTO="BM",0,COUNTIF(M15:M747,0))</f>
        <v>0</v>
      </c>
      <c r="N12" s="158" t="s">
        <v>257</v>
      </c>
      <c r="O12" s="162"/>
      <c r="P12" s="159" t="s">
        <v>255</v>
      </c>
      <c r="Q12" s="543"/>
      <c r="R12" s="162"/>
      <c r="S12" s="162"/>
      <c r="T12" s="162"/>
      <c r="U12" s="162"/>
      <c r="V12" s="162"/>
      <c r="W12" s="162"/>
      <c r="X12" s="162"/>
      <c r="Y12" s="162"/>
      <c r="Z12" s="163"/>
      <c r="AA12" s="159" t="s">
        <v>255</v>
      </c>
      <c r="AB12" s="164">
        <f ca="1">OFFSET($P$12,0,AB$13)</f>
        <v>0</v>
      </c>
      <c r="AC12" s="165">
        <f t="shared" ref="AC12:AK12" ca="1" si="0">OFFSET($P$12,0,AC$13)</f>
        <v>0</v>
      </c>
      <c r="AD12" s="165">
        <f t="shared" ca="1" si="0"/>
        <v>0</v>
      </c>
      <c r="AE12" s="165">
        <f t="shared" ca="1" si="0"/>
        <v>0</v>
      </c>
      <c r="AF12" s="165">
        <f t="shared" ca="1" si="0"/>
        <v>0</v>
      </c>
      <c r="AG12" s="165">
        <f t="shared" ca="1" si="0"/>
        <v>0</v>
      </c>
      <c r="AH12" s="165">
        <f t="shared" ca="1" si="0"/>
        <v>0</v>
      </c>
      <c r="AI12" s="165">
        <f t="shared" ca="1" si="0"/>
        <v>0</v>
      </c>
      <c r="AJ12" s="165">
        <f t="shared" ca="1" si="0"/>
        <v>0</v>
      </c>
      <c r="AK12" s="166">
        <f t="shared" ca="1" si="0"/>
        <v>0</v>
      </c>
      <c r="AM12" s="164">
        <f ca="1">OFFSET($P$12,0,AM$13)</f>
        <v>0</v>
      </c>
      <c r="AN12" s="165">
        <f t="shared" ref="AN12:AV12" ca="1" si="1">OFFSET($P$12,0,AN$13)</f>
        <v>0</v>
      </c>
      <c r="AO12" s="165">
        <f t="shared" ca="1" si="1"/>
        <v>0</v>
      </c>
      <c r="AP12" s="165">
        <f t="shared" ca="1" si="1"/>
        <v>0</v>
      </c>
      <c r="AQ12" s="165">
        <f t="shared" ca="1" si="1"/>
        <v>0</v>
      </c>
      <c r="AR12" s="165">
        <f t="shared" ca="1" si="1"/>
        <v>0</v>
      </c>
      <c r="AS12" s="165">
        <f t="shared" ca="1" si="1"/>
        <v>0</v>
      </c>
      <c r="AT12" s="165">
        <f t="shared" ca="1" si="1"/>
        <v>0</v>
      </c>
      <c r="AU12" s="165">
        <f t="shared" ca="1" si="1"/>
        <v>0</v>
      </c>
      <c r="AV12" s="166">
        <f t="shared" ca="1" si="1"/>
        <v>0</v>
      </c>
      <c r="AX12" s="164">
        <f ca="1">OFFSET($P$12,0,AX$13)</f>
        <v>0</v>
      </c>
      <c r="AY12" s="165">
        <f t="shared" ref="AY12:BG12" ca="1" si="2">OFFSET($P$12,0,AY$13)</f>
        <v>0</v>
      </c>
      <c r="AZ12" s="165">
        <f t="shared" ca="1" si="2"/>
        <v>0</v>
      </c>
      <c r="BA12" s="165">
        <f t="shared" ca="1" si="2"/>
        <v>0</v>
      </c>
      <c r="BB12" s="165">
        <f t="shared" ca="1" si="2"/>
        <v>0</v>
      </c>
      <c r="BC12" s="165">
        <f t="shared" ca="1" si="2"/>
        <v>0</v>
      </c>
      <c r="BD12" s="165">
        <f t="shared" ca="1" si="2"/>
        <v>0</v>
      </c>
      <c r="BE12" s="165">
        <f t="shared" ca="1" si="2"/>
        <v>0</v>
      </c>
      <c r="BF12" s="165">
        <f t="shared" ca="1" si="2"/>
        <v>0</v>
      </c>
      <c r="BG12" s="166">
        <f t="shared" ca="1" si="2"/>
        <v>0</v>
      </c>
    </row>
    <row r="13" spans="1:59" ht="12.75" customHeight="1" x14ac:dyDescent="0.2">
      <c r="A13" s="85" t="s">
        <v>258</v>
      </c>
      <c r="B13" s="7" t="s">
        <v>254</v>
      </c>
      <c r="D13" s="109" t="s">
        <v>229</v>
      </c>
      <c r="E13" s="109" t="s">
        <v>231</v>
      </c>
      <c r="F13" s="109" t="s">
        <v>234</v>
      </c>
      <c r="G13" s="111" t="s">
        <v>235</v>
      </c>
      <c r="H13" s="109" t="s">
        <v>203</v>
      </c>
      <c r="I13" s="109" t="s">
        <v>259</v>
      </c>
      <c r="K13" s="109" t="s">
        <v>260</v>
      </c>
      <c r="L13" s="159"/>
      <c r="M13" s="109" t="s">
        <v>261</v>
      </c>
      <c r="N13" s="109" t="s">
        <v>262</v>
      </c>
      <c r="O13" s="167" t="e">
        <f ca="1">OFFSET(O13,0,-1)+1</f>
        <v>#VALUE!</v>
      </c>
      <c r="Q13" s="168">
        <f t="shared" ref="Q13:Z13" ca="1" si="3">OFFSET(Q13,0,-1)+1</f>
        <v>1</v>
      </c>
      <c r="R13" s="167">
        <f t="shared" ca="1" si="3"/>
        <v>2</v>
      </c>
      <c r="S13" s="167">
        <f t="shared" ca="1" si="3"/>
        <v>3</v>
      </c>
      <c r="T13" s="167">
        <f t="shared" ca="1" si="3"/>
        <v>4</v>
      </c>
      <c r="U13" s="167">
        <f t="shared" ca="1" si="3"/>
        <v>5</v>
      </c>
      <c r="V13" s="167">
        <f t="shared" ca="1" si="3"/>
        <v>6</v>
      </c>
      <c r="W13" s="167">
        <f t="shared" ca="1" si="3"/>
        <v>7</v>
      </c>
      <c r="X13" s="167">
        <f t="shared" ca="1" si="3"/>
        <v>8</v>
      </c>
      <c r="Y13" s="167">
        <f t="shared" ca="1" si="3"/>
        <v>9</v>
      </c>
      <c r="Z13" s="169">
        <f t="shared" ca="1" si="3"/>
        <v>10</v>
      </c>
      <c r="AB13" s="115">
        <f t="shared" ref="AB13:BG13" ca="1" si="4">OFFSET(AB13,0,-1)+1</f>
        <v>1</v>
      </c>
      <c r="AC13" s="170">
        <f t="shared" ca="1" si="4"/>
        <v>2</v>
      </c>
      <c r="AD13" s="170">
        <f t="shared" ca="1" si="4"/>
        <v>3</v>
      </c>
      <c r="AE13" s="170">
        <f t="shared" ca="1" si="4"/>
        <v>4</v>
      </c>
      <c r="AF13" s="170">
        <f t="shared" ca="1" si="4"/>
        <v>5</v>
      </c>
      <c r="AG13" s="170">
        <f t="shared" ca="1" si="4"/>
        <v>6</v>
      </c>
      <c r="AH13" s="170">
        <f t="shared" ca="1" si="4"/>
        <v>7</v>
      </c>
      <c r="AI13" s="170">
        <f t="shared" ca="1" si="4"/>
        <v>8</v>
      </c>
      <c r="AJ13" s="170">
        <f t="shared" ca="1" si="4"/>
        <v>9</v>
      </c>
      <c r="AK13" s="171">
        <f t="shared" ca="1" si="4"/>
        <v>10</v>
      </c>
      <c r="AM13" s="115">
        <f t="shared" ca="1" si="4"/>
        <v>1</v>
      </c>
      <c r="AN13" s="170">
        <f t="shared" ca="1" si="4"/>
        <v>2</v>
      </c>
      <c r="AO13" s="170">
        <f t="shared" ca="1" si="4"/>
        <v>3</v>
      </c>
      <c r="AP13" s="170">
        <f t="shared" ca="1" si="4"/>
        <v>4</v>
      </c>
      <c r="AQ13" s="170">
        <f t="shared" ca="1" si="4"/>
        <v>5</v>
      </c>
      <c r="AR13" s="170">
        <f t="shared" ca="1" si="4"/>
        <v>6</v>
      </c>
      <c r="AS13" s="170">
        <f t="shared" ca="1" si="4"/>
        <v>7</v>
      </c>
      <c r="AT13" s="170">
        <f t="shared" ca="1" si="4"/>
        <v>8</v>
      </c>
      <c r="AU13" s="170">
        <f t="shared" ca="1" si="4"/>
        <v>9</v>
      </c>
      <c r="AV13" s="171">
        <f t="shared" ca="1" si="4"/>
        <v>10</v>
      </c>
      <c r="AX13" s="115">
        <f t="shared" ca="1" si="4"/>
        <v>1</v>
      </c>
      <c r="AY13" s="170">
        <f t="shared" ca="1" si="4"/>
        <v>2</v>
      </c>
      <c r="AZ13" s="170">
        <f t="shared" ca="1" si="4"/>
        <v>3</v>
      </c>
      <c r="BA13" s="170">
        <f t="shared" ca="1" si="4"/>
        <v>4</v>
      </c>
      <c r="BB13" s="170">
        <f t="shared" ca="1" si="4"/>
        <v>5</v>
      </c>
      <c r="BC13" s="170">
        <f t="shared" ca="1" si="4"/>
        <v>6</v>
      </c>
      <c r="BD13" s="170">
        <f t="shared" ca="1" si="4"/>
        <v>7</v>
      </c>
      <c r="BE13" s="170">
        <f t="shared" ca="1" si="4"/>
        <v>8</v>
      </c>
      <c r="BF13" s="170">
        <f t="shared" ca="1" si="4"/>
        <v>9</v>
      </c>
      <c r="BG13" s="171">
        <f t="shared" ca="1" si="4"/>
        <v>10</v>
      </c>
    </row>
    <row r="14" spans="1:59" ht="12.75" hidden="1" x14ac:dyDescent="0.2">
      <c r="A14" s="7" t="str">
        <f ca="1">IF(AUTOEVENTO="Manual",IF(K14&lt;&gt;"",MIN(VALUE(LEFT(K14,FIND(".",K14)-1)),COUNTA(EVENTOS.Lista)),0),IF(OR($B14&gt;AUTOEVENTO,$B14="S",$B14=0),SUBSTITUTE(OFFSET($A14,-1,0),IF($D14="Serviço",".",""),""),ROW(A14)-ROW($A$15)&amp;"."))</f>
        <v>AUTOEVENTO</v>
      </c>
      <c r="B14" s="7" t="str">
        <f ca="1">OFFSET(ORÇAMENTO!C$15,ROW(B14)-ROW(B$15),0)</f>
        <v>S</v>
      </c>
      <c r="C14" s="7" t="str">
        <f ca="1">OFFSET(ORÇAMENTO!L$15,ROW(C14)-ROW(C$15),0)</f>
        <v/>
      </c>
      <c r="D14" s="118" t="str">
        <f ca="1">OFFSET(ORÇAMENTO!N$15,ROW(D14)-ROW(D$15),0)</f>
        <v>Serviço</v>
      </c>
      <c r="E14" s="119" t="str">
        <f ca="1">OFFSET(ORÇAMENTO!O$15,ROW(E14)-ROW(E$15),0)</f>
        <v>-</v>
      </c>
      <c r="F14" s="172" t="str">
        <f ca="1">OFFSET(ORÇAMENTO!R$15,ROW(F14)-ROW(F$15),0)</f>
        <v>(abra o arquivo 'Referência 02-2025.xlsm)</v>
      </c>
      <c r="G14" s="173" t="str">
        <f ca="1">IF($D14&lt;&gt;"Serviço","",OFFSET(ORÇAMENTO!S$15,ROW(G14)-ROW(G$15),0))</f>
        <v>-</v>
      </c>
      <c r="H14" s="124">
        <f ca="1">IF($D14&lt;&gt;"Serviço",0,IF(ACOMPANHAMENTO="BM",ROUND(OFFSET(ORÇAMENTO!AJ$15,ROW(H14)-ROW(H$15),0),15-13*ORÇAMENTO!$AF$7),SUMPRODUCT(($Q$12:$AA$12&lt;&gt;"")*ROUND($Q14:$AA14,15-13*ORÇAMENTO!$AF$7))))</f>
        <v>0</v>
      </c>
      <c r="I14" s="561"/>
      <c r="K14" s="174"/>
      <c r="L14" s="175" t="s">
        <v>255</v>
      </c>
      <c r="M14" s="176" t="str">
        <f ca="1">IF($D14&lt;&gt;"Serviço","",IF(AUTOEVENTO="manual",$A14,IF(ISERROR(MATCH($A14,$A$15:OFFSET($A14,-1,0),0)),MAX($M$15:OFFSET(M14,-1,0))+1,INDEX($M$15:OFFSET(M14,-1,0),MATCH($A14,$A$15:OFFSET($A14,-1,0),0)))))</f>
        <v># Evento</v>
      </c>
      <c r="N14" s="177" t="e">
        <f ca="1">IF($D14&lt;&gt;"Serviço","",IF(AUTOEVENTO="Manual",IF($A14=0,"&lt;-- defina o número do agrupador",OFFSET(EVENTOS!$D$14,$A14,0)),OFFSET($F$15,$A14,0)))</f>
        <v>#VALUE!</v>
      </c>
      <c r="O14" s="178"/>
      <c r="Q14" s="178"/>
      <c r="R14" s="179"/>
      <c r="S14" s="179"/>
      <c r="T14" s="179"/>
      <c r="U14" s="179"/>
      <c r="V14" s="179"/>
      <c r="W14" s="179"/>
      <c r="X14" s="179"/>
      <c r="Y14" s="179"/>
      <c r="Z14" s="180"/>
      <c r="AB14" s="544">
        <f ca="1">IF(AND($D14="Serviço",AB$12&lt;&gt;0,$H14&gt;0,OR(AUTOEVENTO&lt;&gt;"manual",$M14&lt;&gt;1)),
IF(Import.TipoArredondamento&lt;&gt;"TransfereGOV",
ROUND(OFFSET($P14,0,AB$13),15-13*ORÇAMENTO!$AF$7)/$H14*OFFSET(ORÇAMENTO!$X$15,ROW(AB14)-ROW(AB$15),0),
ROUND(ROUND(OFFSET($P14,0,AB$13),15-13*ORÇAMENTO!$AF$7)*OFFSET(ORÇAMENTO!$W$15,ROW(AB14)-ROW(AB$15),0),15-13*ORÇAMENTO!$AF$11)),0)</f>
        <v>0</v>
      </c>
      <c r="AC14" s="545">
        <f ca="1">IF(AND($D14="Serviço",AC$12&lt;&gt;0,$H14&gt;0,OR(AUTOEVENTO&lt;&gt;"manual",$M14&lt;&gt;1)),
IF(Import.TipoArredondamento&lt;&gt;"TransfereGOV",
ROUND(OFFSET($P14,0,AC$13),15-13*ORÇAMENTO!$AF$7)/$H14*OFFSET(ORÇAMENTO!$X$15,ROW(AC14)-ROW(AC$15),0),
ROUND(ROUND(OFFSET($P14,0,AC$13),15-13*ORÇAMENTO!$AF$7)*OFFSET(ORÇAMENTO!$W$15,ROW(AC14)-ROW(AC$15),0),15-13*ORÇAMENTO!$AF$11)),0)</f>
        <v>0</v>
      </c>
      <c r="AD14" s="545">
        <f ca="1">IF(AND($D14="Serviço",AD$12&lt;&gt;0,$H14&gt;0,OR(AUTOEVENTO&lt;&gt;"manual",$M14&lt;&gt;1)),
IF(Import.TipoArredondamento&lt;&gt;"TransfereGOV",
ROUND(OFFSET($P14,0,AD$13),15-13*ORÇAMENTO!$AF$7)/$H14*OFFSET(ORÇAMENTO!$X$15,ROW(AD14)-ROW(AD$15),0),
ROUND(ROUND(OFFSET($P14,0,AD$13),15-13*ORÇAMENTO!$AF$7)*OFFSET(ORÇAMENTO!$W$15,ROW(AD14)-ROW(AD$15),0),15-13*ORÇAMENTO!$AF$11)),0)</f>
        <v>0</v>
      </c>
      <c r="AE14" s="545">
        <f ca="1">IF(AND($D14="Serviço",AE$12&lt;&gt;0,$H14&gt;0,OR(AUTOEVENTO&lt;&gt;"manual",$M14&lt;&gt;1)),
IF(Import.TipoArredondamento&lt;&gt;"TransfereGOV",
ROUND(OFFSET($P14,0,AE$13),15-13*ORÇAMENTO!$AF$7)/$H14*OFFSET(ORÇAMENTO!$X$15,ROW(AE14)-ROW(AE$15),0),
ROUND(ROUND(OFFSET($P14,0,AE$13),15-13*ORÇAMENTO!$AF$7)*OFFSET(ORÇAMENTO!$W$15,ROW(AE14)-ROW(AE$15),0),15-13*ORÇAMENTO!$AF$11)),0)</f>
        <v>0</v>
      </c>
      <c r="AF14" s="545">
        <f ca="1">IF(AND($D14="Serviço",AF$12&lt;&gt;0,$H14&gt;0,OR(AUTOEVENTO&lt;&gt;"manual",$M14&lt;&gt;1)),
IF(Import.TipoArredondamento&lt;&gt;"TransfereGOV",
ROUND(OFFSET($P14,0,AF$13),15-13*ORÇAMENTO!$AF$7)/$H14*OFFSET(ORÇAMENTO!$X$15,ROW(AF14)-ROW(AF$15),0),
ROUND(ROUND(OFFSET($P14,0,AF$13),15-13*ORÇAMENTO!$AF$7)*OFFSET(ORÇAMENTO!$W$15,ROW(AF14)-ROW(AF$15),0),15-13*ORÇAMENTO!$AF$11)),0)</f>
        <v>0</v>
      </c>
      <c r="AG14" s="545">
        <f ca="1">IF(AND($D14="Serviço",AG$12&lt;&gt;0,$H14&gt;0,OR(AUTOEVENTO&lt;&gt;"manual",$M14&lt;&gt;1)),
IF(Import.TipoArredondamento&lt;&gt;"TransfereGOV",
ROUND(OFFSET($P14,0,AG$13),15-13*ORÇAMENTO!$AF$7)/$H14*OFFSET(ORÇAMENTO!$X$15,ROW(AG14)-ROW(AG$15),0),
ROUND(ROUND(OFFSET($P14,0,AG$13),15-13*ORÇAMENTO!$AF$7)*OFFSET(ORÇAMENTO!$W$15,ROW(AG14)-ROW(AG$15),0),15-13*ORÇAMENTO!$AF$11)),0)</f>
        <v>0</v>
      </c>
      <c r="AH14" s="545">
        <f ca="1">IF(AND($D14="Serviço",AH$12&lt;&gt;0,$H14&gt;0,OR(AUTOEVENTO&lt;&gt;"manual",$M14&lt;&gt;1)),
IF(Import.TipoArredondamento&lt;&gt;"TransfereGOV",
ROUND(OFFSET($P14,0,AH$13),15-13*ORÇAMENTO!$AF$7)/$H14*OFFSET(ORÇAMENTO!$X$15,ROW(AH14)-ROW(AH$15),0),
ROUND(ROUND(OFFSET($P14,0,AH$13),15-13*ORÇAMENTO!$AF$7)*OFFSET(ORÇAMENTO!$W$15,ROW(AH14)-ROW(AH$15),0),15-13*ORÇAMENTO!$AF$11)),0)</f>
        <v>0</v>
      </c>
      <c r="AI14" s="545">
        <f ca="1">IF(AND($D14="Serviço",AI$12&lt;&gt;0,$H14&gt;0,OR(AUTOEVENTO&lt;&gt;"manual",$M14&lt;&gt;1)),
IF(Import.TipoArredondamento&lt;&gt;"TransfereGOV",
ROUND(OFFSET($P14,0,AI$13),15-13*ORÇAMENTO!$AF$7)/$H14*OFFSET(ORÇAMENTO!$X$15,ROW(AI14)-ROW(AI$15),0),
ROUND(ROUND(OFFSET($P14,0,AI$13),15-13*ORÇAMENTO!$AF$7)*OFFSET(ORÇAMENTO!$W$15,ROW(AI14)-ROW(AI$15),0),15-13*ORÇAMENTO!$AF$11)),0)</f>
        <v>0</v>
      </c>
      <c r="AJ14" s="545">
        <f ca="1">IF(AND($D14="Serviço",AJ$12&lt;&gt;0,$H14&gt;0,OR(AUTOEVENTO&lt;&gt;"manual",$M14&lt;&gt;1)),
IF(Import.TipoArredondamento&lt;&gt;"TransfereGOV",
ROUND(OFFSET($P14,0,AJ$13),15-13*ORÇAMENTO!$AF$7)/$H14*OFFSET(ORÇAMENTO!$X$15,ROW(AJ14)-ROW(AJ$15),0),
ROUND(ROUND(OFFSET($P14,0,AJ$13),15-13*ORÇAMENTO!$AF$7)*OFFSET(ORÇAMENTO!$W$15,ROW(AJ14)-ROW(AJ$15),0),15-13*ORÇAMENTO!$AF$11)),0)</f>
        <v>0</v>
      </c>
      <c r="AK14" s="546">
        <f ca="1">IF(AND($D14="Serviço",AK$12&lt;&gt;0,$H14&gt;0,OR(AUTOEVENTO&lt;&gt;"manual",$M14&lt;&gt;1)),
IF(Import.TipoArredondamento&lt;&gt;"TransfereGOV",
ROUND(OFFSET($P14,0,AK$13),15-13*ORÇAMENTO!$AF$7)/$H14*OFFSET(ORÇAMENTO!$X$15,ROW(AK14)-ROW(AK$15),0),
ROUND(ROUND(OFFSET($P14,0,AK$13),15-13*ORÇAMENTO!$AF$7)*OFFSET(ORÇAMENTO!$W$15,ROW(AK14)-ROW(AK$15),0),15-13*ORÇAMENTO!$AF$11)),0)</f>
        <v>0</v>
      </c>
      <c r="AM14" s="181" t="e">
        <f ca="1">IF($D14&lt;&gt;"Serviço",0,IF(AND(AUTOEVENTO="Manual",$M14=1),0,IF(OFFSET(CRONOPLE!$F$14,$M14,AM$13)="",10^12,OFFSET(CRONOPLE!$F$14,$M14,AM$13))))</f>
        <v>#VALUE!</v>
      </c>
      <c r="AN14" s="181" t="e">
        <f ca="1">IF($D14&lt;&gt;"Serviço",0,IF(AND(AUTOEVENTO="Manual",$M14=1),0,IF(OFFSET(CRONOPLE!$F$14,$M14,AN$13)="",10^12,OFFSET(CRONOPLE!$F$14,$M14,AN$13))))</f>
        <v>#VALUE!</v>
      </c>
      <c r="AO14" s="181" t="e">
        <f ca="1">IF($D14&lt;&gt;"Serviço",0,IF(AND(AUTOEVENTO="Manual",$M14=1),0,IF(OFFSET(CRONOPLE!$F$14,$M14,AO$13)="",10^12,OFFSET(CRONOPLE!$F$14,$M14,AO$13))))</f>
        <v>#VALUE!</v>
      </c>
      <c r="AP14" s="181" t="e">
        <f ca="1">IF($D14&lt;&gt;"Serviço",0,IF(AND(AUTOEVENTO="Manual",$M14=1),0,IF(OFFSET(CRONOPLE!$F$14,$M14,AP$13)="",10^12,OFFSET(CRONOPLE!$F$14,$M14,AP$13))))</f>
        <v>#VALUE!</v>
      </c>
      <c r="AQ14" s="181" t="e">
        <f ca="1">IF($D14&lt;&gt;"Serviço",0,IF(AND(AUTOEVENTO="Manual",$M14=1),0,IF(OFFSET(CRONOPLE!$F$14,$M14,AQ$13)="",10^12,OFFSET(CRONOPLE!$F$14,$M14,AQ$13))))</f>
        <v>#VALUE!</v>
      </c>
      <c r="AR14" s="181" t="e">
        <f ca="1">IF($D14&lt;&gt;"Serviço",0,IF(AND(AUTOEVENTO="Manual",$M14=1),0,IF(OFFSET(CRONOPLE!$F$14,$M14,AR$13)="",10^12,OFFSET(CRONOPLE!$F$14,$M14,AR$13))))</f>
        <v>#VALUE!</v>
      </c>
      <c r="AS14" s="181" t="e">
        <f ca="1">IF($D14&lt;&gt;"Serviço",0,IF(AND(AUTOEVENTO="Manual",$M14=1),0,IF(OFFSET(CRONOPLE!$F$14,$M14,AS$13)="",10^12,OFFSET(CRONOPLE!$F$14,$M14,AS$13))))</f>
        <v>#VALUE!</v>
      </c>
      <c r="AT14" s="181" t="e">
        <f ca="1">IF($D14&lt;&gt;"Serviço",0,IF(AND(AUTOEVENTO="Manual",$M14=1),0,IF(OFFSET(CRONOPLE!$F$14,$M14,AT$13)="",10^12,OFFSET(CRONOPLE!$F$14,$M14,AT$13))))</f>
        <v>#VALUE!</v>
      </c>
      <c r="AU14" s="181" t="e">
        <f ca="1">IF($D14&lt;&gt;"Serviço",0,IF(AND(AUTOEVENTO="Manual",$M14=1),0,IF(OFFSET(CRONOPLE!$F$14,$M14,AU$13)="",10^12,OFFSET(CRONOPLE!$F$14,$M14,AU$13))))</f>
        <v>#VALUE!</v>
      </c>
      <c r="AV14" s="181" t="e">
        <f ca="1">IF($D14&lt;&gt;"Serviço",0,IF(AND(AUTOEVENTO="Manual",$M14=1),0,IF(OFFSET(CRONOPLE!$F$14,$M14,AV$13)="",10^12,OFFSET(CRONOPLE!$F$14,$M14,AV$13))))</f>
        <v>#VALUE!</v>
      </c>
      <c r="AX14" s="182">
        <f ca="1">IF($D14&lt;&gt;"Serviço",0,IF(OR(AND(AUTOEVENTO="Manual",$M14=1),$M14&gt;(ROW(PLE.lastrow)-ROW(PLE.firstrow))),0,IF(OFFSET(PLE!$G$14,$M14,AX$13)="",10^12,OFFSET(PLE!$G$14,$M14,AX$13))))</f>
        <v>0</v>
      </c>
      <c r="AY14" s="182">
        <f ca="1">IF($D14&lt;&gt;"Serviço",0,IF(OR(AND(AUTOEVENTO="Manual",$M14=1),$M14&gt;(ROW(PLE.lastrow)-ROW(PLE.firstrow))),0,IF(OFFSET(PLE!$G$14,$M14,AY$13)="",10^12,OFFSET(PLE!$G$14,$M14,AY$13))))</f>
        <v>0</v>
      </c>
      <c r="AZ14" s="182">
        <f ca="1">IF($D14&lt;&gt;"Serviço",0,IF(OR(AND(AUTOEVENTO="Manual",$M14=1),$M14&gt;(ROW(PLE.lastrow)-ROW(PLE.firstrow))),0,IF(OFFSET(PLE!$G$14,$M14,AZ$13)="",10^12,OFFSET(PLE!$G$14,$M14,AZ$13))))</f>
        <v>0</v>
      </c>
      <c r="BA14" s="182">
        <f ca="1">IF($D14&lt;&gt;"Serviço",0,IF(OR(AND(AUTOEVENTO="Manual",$M14=1),$M14&gt;(ROW(PLE.lastrow)-ROW(PLE.firstrow))),0,IF(OFFSET(PLE!$G$14,$M14,BA$13)="",10^12,OFFSET(PLE!$G$14,$M14,BA$13))))</f>
        <v>0</v>
      </c>
      <c r="BB14" s="182">
        <f ca="1">IF($D14&lt;&gt;"Serviço",0,IF(OR(AND(AUTOEVENTO="Manual",$M14=1),$M14&gt;(ROW(PLE.lastrow)-ROW(PLE.firstrow))),0,IF(OFFSET(PLE!$G$14,$M14,BB$13)="",10^12,OFFSET(PLE!$G$14,$M14,BB$13))))</f>
        <v>0</v>
      </c>
      <c r="BC14" s="182">
        <f ca="1">IF($D14&lt;&gt;"Serviço",0,IF(OR(AND(AUTOEVENTO="Manual",$M14=1),$M14&gt;(ROW(PLE.lastrow)-ROW(PLE.firstrow))),0,IF(OFFSET(PLE!$G$14,$M14,BC$13)="",10^12,OFFSET(PLE!$G$14,$M14,BC$13))))</f>
        <v>0</v>
      </c>
      <c r="BD14" s="182">
        <f ca="1">IF($D14&lt;&gt;"Serviço",0,IF(OR(AND(AUTOEVENTO="Manual",$M14=1),$M14&gt;(ROW(PLE.lastrow)-ROW(PLE.firstrow))),0,IF(OFFSET(PLE!$G$14,$M14,BD$13)="",10^12,OFFSET(PLE!$G$14,$M14,BD$13))))</f>
        <v>0</v>
      </c>
      <c r="BE14" s="182">
        <f ca="1">IF($D14&lt;&gt;"Serviço",0,IF(OR(AND(AUTOEVENTO="Manual",$M14=1),$M14&gt;(ROW(PLE.lastrow)-ROW(PLE.firstrow))),0,IF(OFFSET(PLE!$G$14,$M14,BE$13)="",10^12,OFFSET(PLE!$G$14,$M14,BE$13))))</f>
        <v>0</v>
      </c>
      <c r="BF14" s="182">
        <f ca="1">IF($D14&lt;&gt;"Serviço",0,IF(OR(AND(AUTOEVENTO="Manual",$M14=1),$M14&gt;(ROW(PLE.lastrow)-ROW(PLE.firstrow))),0,IF(OFFSET(PLE!$G$14,$M14,BF$13)="",10^12,OFFSET(PLE!$G$14,$M14,BF$13))))</f>
        <v>0</v>
      </c>
      <c r="BG14" s="182">
        <f ca="1">IF($D14&lt;&gt;"Serviço",0,IF(OR(AND(AUTOEVENTO="Manual",$M14=1),$M14&gt;(ROW(PLE.lastrow)-ROW(PLE.firstrow))),0,IF(OFFSET(PLE!$G$14,$M14,BG$13)="",10^12,OFFSET(PLE!$G$14,$M14,BG$13))))</f>
        <v>0</v>
      </c>
    </row>
    <row r="15" spans="1:59" ht="12.75" customHeight="1" x14ac:dyDescent="0.2">
      <c r="B15" s="7" t="str">
        <f ca="1">OFFSET(ORÇAMENTO!C$15,ROW(B15)-ROW(B$15),0)</f>
        <v>L</v>
      </c>
      <c r="C15" s="7" t="str">
        <f ca="1">OFFSET(ORÇAMENTO!L$15,ROW(C15)-ROW(C$15),0)</f>
        <v>F</v>
      </c>
      <c r="D15" s="132" t="str">
        <f>IF(TIPOORCAMENTO="LICITADO","CTEF","LOTE")</f>
        <v>LOTE</v>
      </c>
      <c r="E15" s="624" t="str">
        <f>Import.DescLote</f>
        <v>Centro Municipal de Educação Infantil - CEMEI Santa Mariana Pirapora/MG. Projeto Padrão FNDE- Creche e Pré escola Tipo I.</v>
      </c>
      <c r="F15" s="624"/>
      <c r="G15" s="624"/>
      <c r="H15" s="624"/>
      <c r="I15" s="562"/>
      <c r="K15" s="183"/>
      <c r="L15" s="175" t="s">
        <v>255</v>
      </c>
      <c r="M15" s="184">
        <f ca="1">IF(AUTOEVENTO="MANUAL",0,1)</f>
        <v>1</v>
      </c>
      <c r="N15" s="185" t="s">
        <v>263</v>
      </c>
      <c r="O15" s="186" t="e">
        <f ca="1">OFFSET($AA$15,0,O$13)</f>
        <v>#VALUE!</v>
      </c>
      <c r="Q15" s="187">
        <f t="shared" ref="Q15:Z15" ca="1" si="5">OFFSET($AA$15,0,Q$13)</f>
        <v>0</v>
      </c>
      <c r="R15" s="186">
        <f t="shared" ca="1" si="5"/>
        <v>0</v>
      </c>
      <c r="S15" s="186">
        <f t="shared" ca="1" si="5"/>
        <v>0</v>
      </c>
      <c r="T15" s="186">
        <f t="shared" ca="1" si="5"/>
        <v>0</v>
      </c>
      <c r="U15" s="186">
        <f t="shared" ca="1" si="5"/>
        <v>0</v>
      </c>
      <c r="V15" s="186">
        <f t="shared" ca="1" si="5"/>
        <v>0</v>
      </c>
      <c r="W15" s="186">
        <f t="shared" ca="1" si="5"/>
        <v>0</v>
      </c>
      <c r="X15" s="186">
        <f t="shared" ca="1" si="5"/>
        <v>0</v>
      </c>
      <c r="Y15" s="186">
        <f t="shared" ca="1" si="5"/>
        <v>0</v>
      </c>
      <c r="Z15" s="188">
        <f t="shared" ca="1" si="5"/>
        <v>0</v>
      </c>
      <c r="AB15" s="189">
        <f ca="1">ROUND(SUM(OFFSET(AB$15,1,0):AB$747),2)</f>
        <v>0</v>
      </c>
      <c r="AC15" s="189">
        <f ca="1">SUM(OFFSET(AC$15,1,0):AC$747)</f>
        <v>0</v>
      </c>
      <c r="AD15" s="189">
        <f ca="1">SUM(OFFSET(AD$15,1,0):AD$747)</f>
        <v>0</v>
      </c>
      <c r="AE15" s="189">
        <f ca="1">SUM(OFFSET(AE$15,1,0):AE$747)</f>
        <v>0</v>
      </c>
      <c r="AF15" s="189">
        <f ca="1">SUM(OFFSET(AF$15,1,0):AF$747)</f>
        <v>0</v>
      </c>
      <c r="AG15" s="189">
        <f ca="1">SUM(OFFSET(AG$15,1,0):AG$747)</f>
        <v>0</v>
      </c>
      <c r="AH15" s="189">
        <f ca="1">SUM(OFFSET(AH$15,1,0):AH$747)</f>
        <v>0</v>
      </c>
      <c r="AI15" s="189">
        <f ca="1">SUM(OFFSET(AI$15,1,0):AI$747)</f>
        <v>0</v>
      </c>
      <c r="AJ15" s="189">
        <f ca="1">SUM(OFFSET(AJ$15,1,0):AJ$747)</f>
        <v>0</v>
      </c>
      <c r="AK15" s="189">
        <f ca="1">SUM(OFFSET(AK$15,1,0):AK$747)</f>
        <v>0</v>
      </c>
      <c r="AM15" s="190">
        <f>10^12</f>
        <v>1000000000000</v>
      </c>
      <c r="AN15" s="190">
        <f t="shared" ref="AN15:AV15" si="6">10^12</f>
        <v>1000000000000</v>
      </c>
      <c r="AO15" s="190">
        <f t="shared" si="6"/>
        <v>1000000000000</v>
      </c>
      <c r="AP15" s="190">
        <f t="shared" si="6"/>
        <v>1000000000000</v>
      </c>
      <c r="AQ15" s="190">
        <f t="shared" si="6"/>
        <v>1000000000000</v>
      </c>
      <c r="AR15" s="190">
        <f t="shared" si="6"/>
        <v>1000000000000</v>
      </c>
      <c r="AS15" s="190">
        <f t="shared" si="6"/>
        <v>1000000000000</v>
      </c>
      <c r="AT15" s="190">
        <f t="shared" si="6"/>
        <v>1000000000000</v>
      </c>
      <c r="AU15" s="190">
        <f t="shared" si="6"/>
        <v>1000000000000</v>
      </c>
      <c r="AV15" s="190">
        <f t="shared" si="6"/>
        <v>1000000000000</v>
      </c>
      <c r="AX15" s="190">
        <f t="shared" ref="AX15:BG15" si="7">10^12</f>
        <v>1000000000000</v>
      </c>
      <c r="AY15" s="190">
        <f t="shared" si="7"/>
        <v>1000000000000</v>
      </c>
      <c r="AZ15" s="190">
        <f t="shared" si="7"/>
        <v>1000000000000</v>
      </c>
      <c r="BA15" s="190">
        <f t="shared" si="7"/>
        <v>1000000000000</v>
      </c>
      <c r="BB15" s="190">
        <f t="shared" si="7"/>
        <v>1000000000000</v>
      </c>
      <c r="BC15" s="190">
        <f t="shared" si="7"/>
        <v>1000000000000</v>
      </c>
      <c r="BD15" s="190">
        <f t="shared" si="7"/>
        <v>1000000000000</v>
      </c>
      <c r="BE15" s="190">
        <f t="shared" si="7"/>
        <v>1000000000000</v>
      </c>
      <c r="BF15" s="190">
        <f t="shared" si="7"/>
        <v>1000000000000</v>
      </c>
      <c r="BG15" s="190">
        <f t="shared" si="7"/>
        <v>1000000000000</v>
      </c>
    </row>
    <row r="16" spans="1:59" ht="25.5" x14ac:dyDescent="0.2">
      <c r="A16" s="7" t="str">
        <f t="shared" ref="A16:A83" ca="1" si="8">IF(AUTOEVENTO="Manual",IF(K16&lt;&gt;"",MIN(VALUE(LEFT(K16,FIND(".",K16)-1)),COUNTA(EVENTOS.Lista)),0),IF(OR($B16&gt;AUTOEVENTO,$B16="S",$B16=0),SUBSTITUTE(OFFSET($A16,-1,0),IF($D16="Serviço",".",""),""),ROW(A16)-ROW($A$15)&amp;"."))</f>
        <v>1.</v>
      </c>
      <c r="B16" s="7">
        <f ca="1">OFFSET(ORÇAMENTO!C$15,ROW(B16)-ROW(B$15),0)</f>
        <v>1</v>
      </c>
      <c r="C16" s="7" t="str">
        <f ca="1">OFFSET(ORÇAMENTO!L$15,ROW(C16)-ROW(C$15),0)</f>
        <v>F</v>
      </c>
      <c r="D16" s="118" t="str">
        <f ca="1">OFFSET(ORÇAMENTO!N$15,ROW(D16)-ROW(D$15),0)</f>
        <v>Meta</v>
      </c>
      <c r="E16" s="119" t="str">
        <f ca="1">OFFSET(ORÇAMENTO!O$15,ROW(E16)-ROW(E$15),0)</f>
        <v>1.</v>
      </c>
      <c r="F16" s="172" t="str">
        <f ca="1">OFFSET(ORÇAMENTO!R$15,ROW(F16)-ROW(F$15),0)</f>
        <v>CEMEI Santa Mariana Pirapora/MG. Projeto Padrão FNDE- Creche e Pré Escola Tipo I.</v>
      </c>
      <c r="G16" s="173" t="str">
        <f ca="1">IF($D16&lt;&gt;"Serviço","",OFFSET(ORÇAMENTO!S$15,ROW(G16)-ROW(G$15),0))</f>
        <v/>
      </c>
      <c r="H16" s="124">
        <f ca="1">IF($D16&lt;&gt;"Serviço",0,IF(ACOMPANHAMENTO="BM",ROUND(OFFSET(ORÇAMENTO!AJ$15,ROW(H16)-ROW(H$15),0),15-13*ORÇAMENTO!$AF$7),SUMPRODUCT(($Q$12:$AA$12&lt;&gt;"")*ROUND($Q16:$AA16,15-13*ORÇAMENTO!$AF$7))))</f>
        <v>0</v>
      </c>
      <c r="I16" s="561"/>
      <c r="K16" s="174"/>
      <c r="L16" s="175" t="s">
        <v>255</v>
      </c>
      <c r="M16" s="176" t="str">
        <f ca="1">IF($D16&lt;&gt;"Serviço","",IF(AUTOEVENTO="manual",$A16,IF(ISERROR(MATCH($A16,$A$15:OFFSET($A16,-1,0),0)),MAX($M$15:OFFSET(M16,-1,0))+1,INDEX($M$15:OFFSET(M16,-1,0),MATCH($A16,$A$15:OFFSET($A16,-1,0),0)))))</f>
        <v/>
      </c>
      <c r="N16" s="177" t="str">
        <f ca="1">IF($D16&lt;&gt;"Serviço","",IF(AUTOEVENTO="Manual",IF($A16=0,"&lt;-- defina o número do agrupador",OFFSET(EVENTOS!$D$14,$A16,0)),OFFSET($F$15,$A16,0)))</f>
        <v/>
      </c>
      <c r="O16" s="178"/>
      <c r="Q16" s="178"/>
      <c r="R16" s="179"/>
      <c r="S16" s="179"/>
      <c r="T16" s="179"/>
      <c r="U16" s="179"/>
      <c r="V16" s="179"/>
      <c r="W16" s="179"/>
      <c r="X16" s="179"/>
      <c r="Y16" s="179"/>
      <c r="Z16" s="180"/>
      <c r="AB16" s="544">
        <f ca="1">IF(AND($D16="Serviço",AB$12&lt;&gt;0,$H16&gt;0,OR(AUTOEVENTO&lt;&gt;"manual",$M16&lt;&gt;1)),
IF(Import.TipoArredondamento&lt;&gt;"TransfereGOV",
ROUND(OFFSET($P16,0,AB$13),15-13*ORÇAMENTO!$AF$7)/$H16*OFFSET(ORÇAMENTO!$X$15,ROW(AB16)-ROW(AB$15),0),
ROUND(ROUND(OFFSET($P16,0,AB$13),15-13*ORÇAMENTO!$AF$7)*OFFSET(ORÇAMENTO!$W$15,ROW(AB16)-ROW(AB$15),0),15-13*ORÇAMENTO!$AF$11)),0)</f>
        <v>0</v>
      </c>
      <c r="AC16" s="545">
        <f ca="1">IF(AND($D16="Serviço",AC$12&lt;&gt;0,$H16&gt;0,OR(AUTOEVENTO&lt;&gt;"manual",$M16&lt;&gt;1)),
IF(Import.TipoArredondamento&lt;&gt;"TransfereGOV",
ROUND(OFFSET($P16,0,AC$13),15-13*ORÇAMENTO!$AF$7)/$H16*OFFSET(ORÇAMENTO!$X$15,ROW(AC16)-ROW(AC$15),0),
ROUND(ROUND(OFFSET($P16,0,AC$13),15-13*ORÇAMENTO!$AF$7)*OFFSET(ORÇAMENTO!$W$15,ROW(AC16)-ROW(AC$15),0),15-13*ORÇAMENTO!$AF$11)),0)</f>
        <v>0</v>
      </c>
      <c r="AD16" s="545">
        <f ca="1">IF(AND($D16="Serviço",AD$12&lt;&gt;0,$H16&gt;0,OR(AUTOEVENTO&lt;&gt;"manual",$M16&lt;&gt;1)),
IF(Import.TipoArredondamento&lt;&gt;"TransfereGOV",
ROUND(OFFSET($P16,0,AD$13),15-13*ORÇAMENTO!$AF$7)/$H16*OFFSET(ORÇAMENTO!$X$15,ROW(AD16)-ROW(AD$15),0),
ROUND(ROUND(OFFSET($P16,0,AD$13),15-13*ORÇAMENTO!$AF$7)*OFFSET(ORÇAMENTO!$W$15,ROW(AD16)-ROW(AD$15),0),15-13*ORÇAMENTO!$AF$11)),0)</f>
        <v>0</v>
      </c>
      <c r="AE16" s="545">
        <f ca="1">IF(AND($D16="Serviço",AE$12&lt;&gt;0,$H16&gt;0,OR(AUTOEVENTO&lt;&gt;"manual",$M16&lt;&gt;1)),
IF(Import.TipoArredondamento&lt;&gt;"TransfereGOV",
ROUND(OFFSET($P16,0,AE$13),15-13*ORÇAMENTO!$AF$7)/$H16*OFFSET(ORÇAMENTO!$X$15,ROW(AE16)-ROW(AE$15),0),
ROUND(ROUND(OFFSET($P16,0,AE$13),15-13*ORÇAMENTO!$AF$7)*OFFSET(ORÇAMENTO!$W$15,ROW(AE16)-ROW(AE$15),0),15-13*ORÇAMENTO!$AF$11)),0)</f>
        <v>0</v>
      </c>
      <c r="AF16" s="545">
        <f ca="1">IF(AND($D16="Serviço",AF$12&lt;&gt;0,$H16&gt;0,OR(AUTOEVENTO&lt;&gt;"manual",$M16&lt;&gt;1)),
IF(Import.TipoArredondamento&lt;&gt;"TransfereGOV",
ROUND(OFFSET($P16,0,AF$13),15-13*ORÇAMENTO!$AF$7)/$H16*OFFSET(ORÇAMENTO!$X$15,ROW(AF16)-ROW(AF$15),0),
ROUND(ROUND(OFFSET($P16,0,AF$13),15-13*ORÇAMENTO!$AF$7)*OFFSET(ORÇAMENTO!$W$15,ROW(AF16)-ROW(AF$15),0),15-13*ORÇAMENTO!$AF$11)),0)</f>
        <v>0</v>
      </c>
      <c r="AG16" s="545">
        <f ca="1">IF(AND($D16="Serviço",AG$12&lt;&gt;0,$H16&gt;0,OR(AUTOEVENTO&lt;&gt;"manual",$M16&lt;&gt;1)),
IF(Import.TipoArredondamento&lt;&gt;"TransfereGOV",
ROUND(OFFSET($P16,0,AG$13),15-13*ORÇAMENTO!$AF$7)/$H16*OFFSET(ORÇAMENTO!$X$15,ROW(AG16)-ROW(AG$15),0),
ROUND(ROUND(OFFSET($P16,0,AG$13),15-13*ORÇAMENTO!$AF$7)*OFFSET(ORÇAMENTO!$W$15,ROW(AG16)-ROW(AG$15),0),15-13*ORÇAMENTO!$AF$11)),0)</f>
        <v>0</v>
      </c>
      <c r="AH16" s="545">
        <f ca="1">IF(AND($D16="Serviço",AH$12&lt;&gt;0,$H16&gt;0,OR(AUTOEVENTO&lt;&gt;"manual",$M16&lt;&gt;1)),
IF(Import.TipoArredondamento&lt;&gt;"TransfereGOV",
ROUND(OFFSET($P16,0,AH$13),15-13*ORÇAMENTO!$AF$7)/$H16*OFFSET(ORÇAMENTO!$X$15,ROW(AH16)-ROW(AH$15),0),
ROUND(ROUND(OFFSET($P16,0,AH$13),15-13*ORÇAMENTO!$AF$7)*OFFSET(ORÇAMENTO!$W$15,ROW(AH16)-ROW(AH$15),0),15-13*ORÇAMENTO!$AF$11)),0)</f>
        <v>0</v>
      </c>
      <c r="AI16" s="545">
        <f ca="1">IF(AND($D16="Serviço",AI$12&lt;&gt;0,$H16&gt;0,OR(AUTOEVENTO&lt;&gt;"manual",$M16&lt;&gt;1)),
IF(Import.TipoArredondamento&lt;&gt;"TransfereGOV",
ROUND(OFFSET($P16,0,AI$13),15-13*ORÇAMENTO!$AF$7)/$H16*OFFSET(ORÇAMENTO!$X$15,ROW(AI16)-ROW(AI$15),0),
ROUND(ROUND(OFFSET($P16,0,AI$13),15-13*ORÇAMENTO!$AF$7)*OFFSET(ORÇAMENTO!$W$15,ROW(AI16)-ROW(AI$15),0),15-13*ORÇAMENTO!$AF$11)),0)</f>
        <v>0</v>
      </c>
      <c r="AJ16" s="545">
        <f ca="1">IF(AND($D16="Serviço",AJ$12&lt;&gt;0,$H16&gt;0,OR(AUTOEVENTO&lt;&gt;"manual",$M16&lt;&gt;1)),
IF(Import.TipoArredondamento&lt;&gt;"TransfereGOV",
ROUND(OFFSET($P16,0,AJ$13),15-13*ORÇAMENTO!$AF$7)/$H16*OFFSET(ORÇAMENTO!$X$15,ROW(AJ16)-ROW(AJ$15),0),
ROUND(ROUND(OFFSET($P16,0,AJ$13),15-13*ORÇAMENTO!$AF$7)*OFFSET(ORÇAMENTO!$W$15,ROW(AJ16)-ROW(AJ$15),0),15-13*ORÇAMENTO!$AF$11)),0)</f>
        <v>0</v>
      </c>
      <c r="AK16" s="546">
        <f ca="1">IF(AND($D16="Serviço",AK$12&lt;&gt;0,$H16&gt;0,OR(AUTOEVENTO&lt;&gt;"manual",$M16&lt;&gt;1)),
IF(Import.TipoArredondamento&lt;&gt;"TransfereGOV",
ROUND(OFFSET($P16,0,AK$13),15-13*ORÇAMENTO!$AF$7)/$H16*OFFSET(ORÇAMENTO!$X$15,ROW(AK16)-ROW(AK$15),0),
ROUND(ROUND(OFFSET($P16,0,AK$13),15-13*ORÇAMENTO!$AF$7)*OFFSET(ORÇAMENTO!$W$15,ROW(AK16)-ROW(AK$15),0),15-13*ORÇAMENTO!$AF$11)),0)</f>
        <v>0</v>
      </c>
      <c r="AM16" s="181">
        <f ca="1">IF($D16&lt;&gt;"Serviço",0,IF(AND(AUTOEVENTO="Manual",$M16=1),0,IF(OFFSET(CRONOPLE!$F$14,$M16,AM$13)="",10^12,OFFSET(CRONOPLE!$F$14,$M16,AM$13))))</f>
        <v>0</v>
      </c>
      <c r="AN16" s="181">
        <f ca="1">IF($D16&lt;&gt;"Serviço",0,IF(AND(AUTOEVENTO="Manual",$M16=1),0,IF(OFFSET(CRONOPLE!$F$14,$M16,AN$13)="",10^12,OFFSET(CRONOPLE!$F$14,$M16,AN$13))))</f>
        <v>0</v>
      </c>
      <c r="AO16" s="181">
        <f ca="1">IF($D16&lt;&gt;"Serviço",0,IF(AND(AUTOEVENTO="Manual",$M16=1),0,IF(OFFSET(CRONOPLE!$F$14,$M16,AO$13)="",10^12,OFFSET(CRONOPLE!$F$14,$M16,AO$13))))</f>
        <v>0</v>
      </c>
      <c r="AP16" s="181">
        <f ca="1">IF($D16&lt;&gt;"Serviço",0,IF(AND(AUTOEVENTO="Manual",$M16=1),0,IF(OFFSET(CRONOPLE!$F$14,$M16,AP$13)="",10^12,OFFSET(CRONOPLE!$F$14,$M16,AP$13))))</f>
        <v>0</v>
      </c>
      <c r="AQ16" s="181">
        <f ca="1">IF($D16&lt;&gt;"Serviço",0,IF(AND(AUTOEVENTO="Manual",$M16=1),0,IF(OFFSET(CRONOPLE!$F$14,$M16,AQ$13)="",10^12,OFFSET(CRONOPLE!$F$14,$M16,AQ$13))))</f>
        <v>0</v>
      </c>
      <c r="AR16" s="181">
        <f ca="1">IF($D16&lt;&gt;"Serviço",0,IF(AND(AUTOEVENTO="Manual",$M16=1),0,IF(OFFSET(CRONOPLE!$F$14,$M16,AR$13)="",10^12,OFFSET(CRONOPLE!$F$14,$M16,AR$13))))</f>
        <v>0</v>
      </c>
      <c r="AS16" s="181">
        <f ca="1">IF($D16&lt;&gt;"Serviço",0,IF(AND(AUTOEVENTO="Manual",$M16=1),0,IF(OFFSET(CRONOPLE!$F$14,$M16,AS$13)="",10^12,OFFSET(CRONOPLE!$F$14,$M16,AS$13))))</f>
        <v>0</v>
      </c>
      <c r="AT16" s="181">
        <f ca="1">IF($D16&lt;&gt;"Serviço",0,IF(AND(AUTOEVENTO="Manual",$M16=1),0,IF(OFFSET(CRONOPLE!$F$14,$M16,AT$13)="",10^12,OFFSET(CRONOPLE!$F$14,$M16,AT$13))))</f>
        <v>0</v>
      </c>
      <c r="AU16" s="181">
        <f ca="1">IF($D16&lt;&gt;"Serviço",0,IF(AND(AUTOEVENTO="Manual",$M16=1),0,IF(OFFSET(CRONOPLE!$F$14,$M16,AU$13)="",10^12,OFFSET(CRONOPLE!$F$14,$M16,AU$13))))</f>
        <v>0</v>
      </c>
      <c r="AV16" s="181">
        <f ca="1">IF($D16&lt;&gt;"Serviço",0,IF(AND(AUTOEVENTO="Manual",$M16=1),0,IF(OFFSET(CRONOPLE!$F$14,$M16,AV$13)="",10^12,OFFSET(CRONOPLE!$F$14,$M16,AV$13))))</f>
        <v>0</v>
      </c>
      <c r="AX16" s="182">
        <f ca="1">IF($D16&lt;&gt;"Serviço",0,IF(OR(AND(AUTOEVENTO="Manual",$M16=1),$M16&gt;(ROW(PLE.lastrow)-ROW(PLE.firstrow))),0,IF(OFFSET(PLE!$G$14,$M16,AX$13)="",10^12,OFFSET(PLE!$G$14,$M16,AX$13))))</f>
        <v>0</v>
      </c>
      <c r="AY16" s="182">
        <f ca="1">IF($D16&lt;&gt;"Serviço",0,IF(OR(AND(AUTOEVENTO="Manual",$M16=1),$M16&gt;(ROW(PLE.lastrow)-ROW(PLE.firstrow))),0,IF(OFFSET(PLE!$G$14,$M16,AY$13)="",10^12,OFFSET(PLE!$G$14,$M16,AY$13))))</f>
        <v>0</v>
      </c>
      <c r="AZ16" s="182">
        <f ca="1">IF($D16&lt;&gt;"Serviço",0,IF(OR(AND(AUTOEVENTO="Manual",$M16=1),$M16&gt;(ROW(PLE.lastrow)-ROW(PLE.firstrow))),0,IF(OFFSET(PLE!$G$14,$M16,AZ$13)="",10^12,OFFSET(PLE!$G$14,$M16,AZ$13))))</f>
        <v>0</v>
      </c>
      <c r="BA16" s="182">
        <f ca="1">IF($D16&lt;&gt;"Serviço",0,IF(OR(AND(AUTOEVENTO="Manual",$M16=1),$M16&gt;(ROW(PLE.lastrow)-ROW(PLE.firstrow))),0,IF(OFFSET(PLE!$G$14,$M16,BA$13)="",10^12,OFFSET(PLE!$G$14,$M16,BA$13))))</f>
        <v>0</v>
      </c>
      <c r="BB16" s="182">
        <f ca="1">IF($D16&lt;&gt;"Serviço",0,IF(OR(AND(AUTOEVENTO="Manual",$M16=1),$M16&gt;(ROW(PLE.lastrow)-ROW(PLE.firstrow))),0,IF(OFFSET(PLE!$G$14,$M16,BB$13)="",10^12,OFFSET(PLE!$G$14,$M16,BB$13))))</f>
        <v>0</v>
      </c>
      <c r="BC16" s="182">
        <f ca="1">IF($D16&lt;&gt;"Serviço",0,IF(OR(AND(AUTOEVENTO="Manual",$M16=1),$M16&gt;(ROW(PLE.lastrow)-ROW(PLE.firstrow))),0,IF(OFFSET(PLE!$G$14,$M16,BC$13)="",10^12,OFFSET(PLE!$G$14,$M16,BC$13))))</f>
        <v>0</v>
      </c>
      <c r="BD16" s="182">
        <f ca="1">IF($D16&lt;&gt;"Serviço",0,IF(OR(AND(AUTOEVENTO="Manual",$M16=1),$M16&gt;(ROW(PLE.lastrow)-ROW(PLE.firstrow))),0,IF(OFFSET(PLE!$G$14,$M16,BD$13)="",10^12,OFFSET(PLE!$G$14,$M16,BD$13))))</f>
        <v>0</v>
      </c>
      <c r="BE16" s="182">
        <f ca="1">IF($D16&lt;&gt;"Serviço",0,IF(OR(AND(AUTOEVENTO="Manual",$M16=1),$M16&gt;(ROW(PLE.lastrow)-ROW(PLE.firstrow))),0,IF(OFFSET(PLE!$G$14,$M16,BE$13)="",10^12,OFFSET(PLE!$G$14,$M16,BE$13))))</f>
        <v>0</v>
      </c>
      <c r="BF16" s="182">
        <f ca="1">IF($D16&lt;&gt;"Serviço",0,IF(OR(AND(AUTOEVENTO="Manual",$M16=1),$M16&gt;(ROW(PLE.lastrow)-ROW(PLE.firstrow))),0,IF(OFFSET(PLE!$G$14,$M16,BF$13)="",10^12,OFFSET(PLE!$G$14,$M16,BF$13))))</f>
        <v>0</v>
      </c>
      <c r="BG16" s="182">
        <f ca="1">IF($D16&lt;&gt;"Serviço",0,IF(OR(AND(AUTOEVENTO="Manual",$M16=1),$M16&gt;(ROW(PLE.lastrow)-ROW(PLE.firstrow))),0,IF(OFFSET(PLE!$G$14,$M16,BG$13)="",10^12,OFFSET(PLE!$G$14,$M16,BG$13))))</f>
        <v>0</v>
      </c>
    </row>
    <row r="17" spans="1:59" ht="12.75" x14ac:dyDescent="0.2">
      <c r="A17" s="7" t="str">
        <f t="shared" ca="1" si="8"/>
        <v>2.</v>
      </c>
      <c r="B17" s="7">
        <f ca="1">OFFSET(ORÇAMENTO!C$15,ROW(B17)-ROW(B$15),0)</f>
        <v>2</v>
      </c>
      <c r="C17" s="7" t="str">
        <f ca="1">OFFSET(ORÇAMENTO!L$15,ROW(C17)-ROW(C$15),0)</f>
        <v>F</v>
      </c>
      <c r="D17" s="118" t="str">
        <f ca="1">OFFSET(ORÇAMENTO!N$15,ROW(D17)-ROW(D$15),0)</f>
        <v>Nível 2</v>
      </c>
      <c r="E17" s="119" t="str">
        <f ca="1">OFFSET(ORÇAMENTO!O$15,ROW(E17)-ROW(E$15),0)</f>
        <v>1.1.</v>
      </c>
      <c r="F17" s="172" t="str">
        <f ca="1">OFFSET(ORÇAMENTO!R$15,ROW(F17)-ROW(F$15),0)</f>
        <v>SERVIÇOS PRELIMINARES</v>
      </c>
      <c r="G17" s="173" t="str">
        <f ca="1">IF($D17&lt;&gt;"Serviço","",OFFSET(ORÇAMENTO!S$15,ROW(G17)-ROW(G$15),0))</f>
        <v/>
      </c>
      <c r="H17" s="124">
        <f ca="1">IF($D17&lt;&gt;"Serviço",0,IF(ACOMPANHAMENTO="BM",ROUND(OFFSET(ORÇAMENTO!AJ$15,ROW(H17)-ROW(H$15),0),15-13*ORÇAMENTO!$AF$7),SUMPRODUCT(($Q$12:$AA$12&lt;&gt;"")*ROUND($Q17:$AA17,15-13*ORÇAMENTO!$AF$7))))</f>
        <v>0</v>
      </c>
      <c r="I17" s="561"/>
      <c r="K17" s="174"/>
      <c r="L17" s="175" t="s">
        <v>255</v>
      </c>
      <c r="M17" s="176" t="str">
        <f ca="1">IF($D17&lt;&gt;"Serviço","",IF(AUTOEVENTO="manual",$A17,IF(ISERROR(MATCH($A17,$A$15:OFFSET($A17,-1,0),0)),MAX($M$15:OFFSET(M17,-1,0))+1,INDEX($M$15:OFFSET(M17,-1,0),MATCH($A17,$A$15:OFFSET($A17,-1,0),0)))))</f>
        <v/>
      </c>
      <c r="N17" s="177" t="str">
        <f ca="1">IF($D17&lt;&gt;"Serviço","",IF(AUTOEVENTO="Manual",IF($A17=0,"&lt;-- defina o número do agrupador",OFFSET(EVENTOS!$D$14,$A17,0)),OFFSET($F$15,$A17,0)))</f>
        <v/>
      </c>
      <c r="O17" s="178"/>
      <c r="Q17" s="178"/>
      <c r="R17" s="179"/>
      <c r="S17" s="179"/>
      <c r="T17" s="179"/>
      <c r="U17" s="179"/>
      <c r="V17" s="179"/>
      <c r="W17" s="179"/>
      <c r="X17" s="179"/>
      <c r="Y17" s="179"/>
      <c r="Z17" s="180"/>
      <c r="AB17" s="544">
        <f ca="1">IF(AND($D17="Serviço",AB$12&lt;&gt;0,$H17&gt;0,OR(AUTOEVENTO&lt;&gt;"manual",$M17&lt;&gt;1)),
IF(Import.TipoArredondamento&lt;&gt;"TransfereGOV",
ROUND(OFFSET($P17,0,AB$13),15-13*ORÇAMENTO!$AF$7)/$H17*OFFSET(ORÇAMENTO!$X$15,ROW(AB17)-ROW(AB$15),0),
ROUND(ROUND(OFFSET($P17,0,AB$13),15-13*ORÇAMENTO!$AF$7)*OFFSET(ORÇAMENTO!$W$15,ROW(AB17)-ROW(AB$15),0),15-13*ORÇAMENTO!$AF$11)),0)</f>
        <v>0</v>
      </c>
      <c r="AC17" s="545">
        <f ca="1">IF(AND($D17="Serviço",AC$12&lt;&gt;0,$H17&gt;0,OR(AUTOEVENTO&lt;&gt;"manual",$M17&lt;&gt;1)),
IF(Import.TipoArredondamento&lt;&gt;"TransfereGOV",
ROUND(OFFSET($P17,0,AC$13),15-13*ORÇAMENTO!$AF$7)/$H17*OFFSET(ORÇAMENTO!$X$15,ROW(AC17)-ROW(AC$15),0),
ROUND(ROUND(OFFSET($P17,0,AC$13),15-13*ORÇAMENTO!$AF$7)*OFFSET(ORÇAMENTO!$W$15,ROW(AC17)-ROW(AC$15),0),15-13*ORÇAMENTO!$AF$11)),0)</f>
        <v>0</v>
      </c>
      <c r="AD17" s="545">
        <f ca="1">IF(AND($D17="Serviço",AD$12&lt;&gt;0,$H17&gt;0,OR(AUTOEVENTO&lt;&gt;"manual",$M17&lt;&gt;1)),
IF(Import.TipoArredondamento&lt;&gt;"TransfereGOV",
ROUND(OFFSET($P17,0,AD$13),15-13*ORÇAMENTO!$AF$7)/$H17*OFFSET(ORÇAMENTO!$X$15,ROW(AD17)-ROW(AD$15),0),
ROUND(ROUND(OFFSET($P17,0,AD$13),15-13*ORÇAMENTO!$AF$7)*OFFSET(ORÇAMENTO!$W$15,ROW(AD17)-ROW(AD$15),0),15-13*ORÇAMENTO!$AF$11)),0)</f>
        <v>0</v>
      </c>
      <c r="AE17" s="545">
        <f ca="1">IF(AND($D17="Serviço",AE$12&lt;&gt;0,$H17&gt;0,OR(AUTOEVENTO&lt;&gt;"manual",$M17&lt;&gt;1)),
IF(Import.TipoArredondamento&lt;&gt;"TransfereGOV",
ROUND(OFFSET($P17,0,AE$13),15-13*ORÇAMENTO!$AF$7)/$H17*OFFSET(ORÇAMENTO!$X$15,ROW(AE17)-ROW(AE$15),0),
ROUND(ROUND(OFFSET($P17,0,AE$13),15-13*ORÇAMENTO!$AF$7)*OFFSET(ORÇAMENTO!$W$15,ROW(AE17)-ROW(AE$15),0),15-13*ORÇAMENTO!$AF$11)),0)</f>
        <v>0</v>
      </c>
      <c r="AF17" s="545">
        <f ca="1">IF(AND($D17="Serviço",AF$12&lt;&gt;0,$H17&gt;0,OR(AUTOEVENTO&lt;&gt;"manual",$M17&lt;&gt;1)),
IF(Import.TipoArredondamento&lt;&gt;"TransfereGOV",
ROUND(OFFSET($P17,0,AF$13),15-13*ORÇAMENTO!$AF$7)/$H17*OFFSET(ORÇAMENTO!$X$15,ROW(AF17)-ROW(AF$15),0),
ROUND(ROUND(OFFSET($P17,0,AF$13),15-13*ORÇAMENTO!$AF$7)*OFFSET(ORÇAMENTO!$W$15,ROW(AF17)-ROW(AF$15),0),15-13*ORÇAMENTO!$AF$11)),0)</f>
        <v>0</v>
      </c>
      <c r="AG17" s="545">
        <f ca="1">IF(AND($D17="Serviço",AG$12&lt;&gt;0,$H17&gt;0,OR(AUTOEVENTO&lt;&gt;"manual",$M17&lt;&gt;1)),
IF(Import.TipoArredondamento&lt;&gt;"TransfereGOV",
ROUND(OFFSET($P17,0,AG$13),15-13*ORÇAMENTO!$AF$7)/$H17*OFFSET(ORÇAMENTO!$X$15,ROW(AG17)-ROW(AG$15),0),
ROUND(ROUND(OFFSET($P17,0,AG$13),15-13*ORÇAMENTO!$AF$7)*OFFSET(ORÇAMENTO!$W$15,ROW(AG17)-ROW(AG$15),0),15-13*ORÇAMENTO!$AF$11)),0)</f>
        <v>0</v>
      </c>
      <c r="AH17" s="545">
        <f ca="1">IF(AND($D17="Serviço",AH$12&lt;&gt;0,$H17&gt;0,OR(AUTOEVENTO&lt;&gt;"manual",$M17&lt;&gt;1)),
IF(Import.TipoArredondamento&lt;&gt;"TransfereGOV",
ROUND(OFFSET($P17,0,AH$13),15-13*ORÇAMENTO!$AF$7)/$H17*OFFSET(ORÇAMENTO!$X$15,ROW(AH17)-ROW(AH$15),0),
ROUND(ROUND(OFFSET($P17,0,AH$13),15-13*ORÇAMENTO!$AF$7)*OFFSET(ORÇAMENTO!$W$15,ROW(AH17)-ROW(AH$15),0),15-13*ORÇAMENTO!$AF$11)),0)</f>
        <v>0</v>
      </c>
      <c r="AI17" s="545">
        <f ca="1">IF(AND($D17="Serviço",AI$12&lt;&gt;0,$H17&gt;0,OR(AUTOEVENTO&lt;&gt;"manual",$M17&lt;&gt;1)),
IF(Import.TipoArredondamento&lt;&gt;"TransfereGOV",
ROUND(OFFSET($P17,0,AI$13),15-13*ORÇAMENTO!$AF$7)/$H17*OFFSET(ORÇAMENTO!$X$15,ROW(AI17)-ROW(AI$15),0),
ROUND(ROUND(OFFSET($P17,0,AI$13),15-13*ORÇAMENTO!$AF$7)*OFFSET(ORÇAMENTO!$W$15,ROW(AI17)-ROW(AI$15),0),15-13*ORÇAMENTO!$AF$11)),0)</f>
        <v>0</v>
      </c>
      <c r="AJ17" s="545">
        <f ca="1">IF(AND($D17="Serviço",AJ$12&lt;&gt;0,$H17&gt;0,OR(AUTOEVENTO&lt;&gt;"manual",$M17&lt;&gt;1)),
IF(Import.TipoArredondamento&lt;&gt;"TransfereGOV",
ROUND(OFFSET($P17,0,AJ$13),15-13*ORÇAMENTO!$AF$7)/$H17*OFFSET(ORÇAMENTO!$X$15,ROW(AJ17)-ROW(AJ$15),0),
ROUND(ROUND(OFFSET($P17,0,AJ$13),15-13*ORÇAMENTO!$AF$7)*OFFSET(ORÇAMENTO!$W$15,ROW(AJ17)-ROW(AJ$15),0),15-13*ORÇAMENTO!$AF$11)),0)</f>
        <v>0</v>
      </c>
      <c r="AK17" s="546">
        <f ca="1">IF(AND($D17="Serviço",AK$12&lt;&gt;0,$H17&gt;0,OR(AUTOEVENTO&lt;&gt;"manual",$M17&lt;&gt;1)),
IF(Import.TipoArredondamento&lt;&gt;"TransfereGOV",
ROUND(OFFSET($P17,0,AK$13),15-13*ORÇAMENTO!$AF$7)/$H17*OFFSET(ORÇAMENTO!$X$15,ROW(AK17)-ROW(AK$15),0),
ROUND(ROUND(OFFSET($P17,0,AK$13),15-13*ORÇAMENTO!$AF$7)*OFFSET(ORÇAMENTO!$W$15,ROW(AK17)-ROW(AK$15),0),15-13*ORÇAMENTO!$AF$11)),0)</f>
        <v>0</v>
      </c>
      <c r="AM17" s="181">
        <f ca="1">IF($D17&lt;&gt;"Serviço",0,IF(AND(AUTOEVENTO="Manual",$M17=1),0,IF(OFFSET(CRONOPLE!$F$14,$M17,AM$13)="",10^12,OFFSET(CRONOPLE!$F$14,$M17,AM$13))))</f>
        <v>0</v>
      </c>
      <c r="AN17" s="181">
        <f ca="1">IF($D17&lt;&gt;"Serviço",0,IF(AND(AUTOEVENTO="Manual",$M17=1),0,IF(OFFSET(CRONOPLE!$F$14,$M17,AN$13)="",10^12,OFFSET(CRONOPLE!$F$14,$M17,AN$13))))</f>
        <v>0</v>
      </c>
      <c r="AO17" s="181">
        <f ca="1">IF($D17&lt;&gt;"Serviço",0,IF(AND(AUTOEVENTO="Manual",$M17=1),0,IF(OFFSET(CRONOPLE!$F$14,$M17,AO$13)="",10^12,OFFSET(CRONOPLE!$F$14,$M17,AO$13))))</f>
        <v>0</v>
      </c>
      <c r="AP17" s="181">
        <f ca="1">IF($D17&lt;&gt;"Serviço",0,IF(AND(AUTOEVENTO="Manual",$M17=1),0,IF(OFFSET(CRONOPLE!$F$14,$M17,AP$13)="",10^12,OFFSET(CRONOPLE!$F$14,$M17,AP$13))))</f>
        <v>0</v>
      </c>
      <c r="AQ17" s="181">
        <f ca="1">IF($D17&lt;&gt;"Serviço",0,IF(AND(AUTOEVENTO="Manual",$M17=1),0,IF(OFFSET(CRONOPLE!$F$14,$M17,AQ$13)="",10^12,OFFSET(CRONOPLE!$F$14,$M17,AQ$13))))</f>
        <v>0</v>
      </c>
      <c r="AR17" s="181">
        <f ca="1">IF($D17&lt;&gt;"Serviço",0,IF(AND(AUTOEVENTO="Manual",$M17=1),0,IF(OFFSET(CRONOPLE!$F$14,$M17,AR$13)="",10^12,OFFSET(CRONOPLE!$F$14,$M17,AR$13))))</f>
        <v>0</v>
      </c>
      <c r="AS17" s="181">
        <f ca="1">IF($D17&lt;&gt;"Serviço",0,IF(AND(AUTOEVENTO="Manual",$M17=1),0,IF(OFFSET(CRONOPLE!$F$14,$M17,AS$13)="",10^12,OFFSET(CRONOPLE!$F$14,$M17,AS$13))))</f>
        <v>0</v>
      </c>
      <c r="AT17" s="181">
        <f ca="1">IF($D17&lt;&gt;"Serviço",0,IF(AND(AUTOEVENTO="Manual",$M17=1),0,IF(OFFSET(CRONOPLE!$F$14,$M17,AT$13)="",10^12,OFFSET(CRONOPLE!$F$14,$M17,AT$13))))</f>
        <v>0</v>
      </c>
      <c r="AU17" s="181">
        <f ca="1">IF($D17&lt;&gt;"Serviço",0,IF(AND(AUTOEVENTO="Manual",$M17=1),0,IF(OFFSET(CRONOPLE!$F$14,$M17,AU$13)="",10^12,OFFSET(CRONOPLE!$F$14,$M17,AU$13))))</f>
        <v>0</v>
      </c>
      <c r="AV17" s="181">
        <f ca="1">IF($D17&lt;&gt;"Serviço",0,IF(AND(AUTOEVENTO="Manual",$M17=1),0,IF(OFFSET(CRONOPLE!$F$14,$M17,AV$13)="",10^12,OFFSET(CRONOPLE!$F$14,$M17,AV$13))))</f>
        <v>0</v>
      </c>
      <c r="AX17" s="182">
        <f ca="1">IF($D17&lt;&gt;"Serviço",0,IF(OR(AND(AUTOEVENTO="Manual",$M17=1),$M17&gt;(ROW(PLE.lastrow)-ROW(PLE.firstrow))),0,IF(OFFSET(PLE!$G$14,$M17,AX$13)="",10^12,OFFSET(PLE!$G$14,$M17,AX$13))))</f>
        <v>0</v>
      </c>
      <c r="AY17" s="182">
        <f ca="1">IF($D17&lt;&gt;"Serviço",0,IF(OR(AND(AUTOEVENTO="Manual",$M17=1),$M17&gt;(ROW(PLE.lastrow)-ROW(PLE.firstrow))),0,IF(OFFSET(PLE!$G$14,$M17,AY$13)="",10^12,OFFSET(PLE!$G$14,$M17,AY$13))))</f>
        <v>0</v>
      </c>
      <c r="AZ17" s="182">
        <f ca="1">IF($D17&lt;&gt;"Serviço",0,IF(OR(AND(AUTOEVENTO="Manual",$M17=1),$M17&gt;(ROW(PLE.lastrow)-ROW(PLE.firstrow))),0,IF(OFFSET(PLE!$G$14,$M17,AZ$13)="",10^12,OFFSET(PLE!$G$14,$M17,AZ$13))))</f>
        <v>0</v>
      </c>
      <c r="BA17" s="182">
        <f ca="1">IF($D17&lt;&gt;"Serviço",0,IF(OR(AND(AUTOEVENTO="Manual",$M17=1),$M17&gt;(ROW(PLE.lastrow)-ROW(PLE.firstrow))),0,IF(OFFSET(PLE!$G$14,$M17,BA$13)="",10^12,OFFSET(PLE!$G$14,$M17,BA$13))))</f>
        <v>0</v>
      </c>
      <c r="BB17" s="182">
        <f ca="1">IF($D17&lt;&gt;"Serviço",0,IF(OR(AND(AUTOEVENTO="Manual",$M17=1),$M17&gt;(ROW(PLE.lastrow)-ROW(PLE.firstrow))),0,IF(OFFSET(PLE!$G$14,$M17,BB$13)="",10^12,OFFSET(PLE!$G$14,$M17,BB$13))))</f>
        <v>0</v>
      </c>
      <c r="BC17" s="182">
        <f ca="1">IF($D17&lt;&gt;"Serviço",0,IF(OR(AND(AUTOEVENTO="Manual",$M17=1),$M17&gt;(ROW(PLE.lastrow)-ROW(PLE.firstrow))),0,IF(OFFSET(PLE!$G$14,$M17,BC$13)="",10^12,OFFSET(PLE!$G$14,$M17,BC$13))))</f>
        <v>0</v>
      </c>
      <c r="BD17" s="182">
        <f ca="1">IF($D17&lt;&gt;"Serviço",0,IF(OR(AND(AUTOEVENTO="Manual",$M17=1),$M17&gt;(ROW(PLE.lastrow)-ROW(PLE.firstrow))),0,IF(OFFSET(PLE!$G$14,$M17,BD$13)="",10^12,OFFSET(PLE!$G$14,$M17,BD$13))))</f>
        <v>0</v>
      </c>
      <c r="BE17" s="182">
        <f ca="1">IF($D17&lt;&gt;"Serviço",0,IF(OR(AND(AUTOEVENTO="Manual",$M17=1),$M17&gt;(ROW(PLE.lastrow)-ROW(PLE.firstrow))),0,IF(OFFSET(PLE!$G$14,$M17,BE$13)="",10^12,OFFSET(PLE!$G$14,$M17,BE$13))))</f>
        <v>0</v>
      </c>
      <c r="BF17" s="182">
        <f ca="1">IF($D17&lt;&gt;"Serviço",0,IF(OR(AND(AUTOEVENTO="Manual",$M17=1),$M17&gt;(ROW(PLE.lastrow)-ROW(PLE.firstrow))),0,IF(OFFSET(PLE!$G$14,$M17,BF$13)="",10^12,OFFSET(PLE!$G$14,$M17,BF$13))))</f>
        <v>0</v>
      </c>
      <c r="BG17" s="182">
        <f ca="1">IF($D17&lt;&gt;"Serviço",0,IF(OR(AND(AUTOEVENTO="Manual",$M17=1),$M17&gt;(ROW(PLE.lastrow)-ROW(PLE.firstrow))),0,IF(OFFSET(PLE!$G$14,$M17,BG$13)="",10^12,OFFSET(PLE!$G$14,$M17,BG$13))))</f>
        <v>0</v>
      </c>
    </row>
    <row r="18" spans="1:59" ht="25.5" x14ac:dyDescent="0.2">
      <c r="A18" s="7" t="str">
        <f t="shared" ca="1" si="8"/>
        <v>2</v>
      </c>
      <c r="B18" s="7" t="str">
        <f ca="1">OFFSET(ORÇAMENTO!C$15,ROW(B18)-ROW(B$15),0)</f>
        <v>S</v>
      </c>
      <c r="C18" s="7" t="str">
        <f ca="1">OFFSET(ORÇAMENTO!L$15,ROW(C18)-ROW(C$15),0)</f>
        <v/>
      </c>
      <c r="D18" s="118" t="str">
        <f ca="1">OFFSET(ORÇAMENTO!N$15,ROW(D18)-ROW(D$15),0)</f>
        <v>Serviço</v>
      </c>
      <c r="E18" s="119" t="str">
        <f ca="1">OFFSET(ORÇAMENTO!O$15,ROW(E18)-ROW(E$15),0)</f>
        <v>-</v>
      </c>
      <c r="F18" s="172" t="str">
        <f ca="1">OFFSET(ORÇAMENTO!R$15,ROW(F18)-ROW(F$15),0)</f>
        <v>(abra o arquivo 'Referência 02-2025.xlsm)</v>
      </c>
      <c r="G18" s="173" t="str">
        <f ca="1">IF($D18&lt;&gt;"Serviço","",OFFSET(ORÇAMENTO!S$15,ROW(G18)-ROW(G$15),0))</f>
        <v>-</v>
      </c>
      <c r="H18" s="124">
        <f ca="1">IF($D18&lt;&gt;"Serviço",0,IF(ACOMPANHAMENTO="BM",ROUND(OFFSET(ORÇAMENTO!AJ$15,ROW(H18)-ROW(H$15),0),15-13*ORÇAMENTO!$AF$7),SUMPRODUCT(($Q$12:$AA$12&lt;&gt;"")*ROUND($Q18:$AA18,15-13*ORÇAMENTO!$AF$7))))</f>
        <v>6.48</v>
      </c>
      <c r="I18" s="561" t="s">
        <v>890</v>
      </c>
      <c r="K18" s="174"/>
      <c r="L18" s="175" t="s">
        <v>255</v>
      </c>
      <c r="M18" s="176">
        <f ca="1">IF($D18&lt;&gt;"Serviço","",IF(AUTOEVENTO="manual",$A18,IF(ISERROR(MATCH($A18,$A$15:OFFSET($A18,-1,0),0)),MAX($M$15:OFFSET(M18,-1,0))+1,INDEX($M$15:OFFSET(M18,-1,0),MATCH($A18,$A$15:OFFSET($A18,-1,0),0)))))</f>
        <v>2</v>
      </c>
      <c r="N18" s="177" t="str">
        <f ca="1">IF($D18&lt;&gt;"Serviço","",IF(AUTOEVENTO="Manual",IF($A18=0,"&lt;-- defina o número do agrupador",OFFSET(EVENTOS!$D$14,$A18,0)),OFFSET($F$15,$A18,0)))</f>
        <v>SERVIÇOS PRELIMINARES</v>
      </c>
      <c r="O18" s="178"/>
      <c r="Q18" s="178"/>
      <c r="R18" s="179"/>
      <c r="S18" s="179"/>
      <c r="T18" s="179"/>
      <c r="U18" s="179"/>
      <c r="V18" s="179"/>
      <c r="W18" s="179"/>
      <c r="X18" s="179"/>
      <c r="Y18" s="179"/>
      <c r="Z18" s="180"/>
      <c r="AB18" s="544">
        <f ca="1">IF(AND($D18="Serviço",AB$12&lt;&gt;0,$H18&gt;0,OR(AUTOEVENTO&lt;&gt;"manual",$M18&lt;&gt;1)),
IF(Import.TipoArredondamento&lt;&gt;"TransfereGOV",
ROUND(OFFSET($P18,0,AB$13),15-13*ORÇAMENTO!$AF$7)/$H18*OFFSET(ORÇAMENTO!$X$15,ROW(AB18)-ROW(AB$15),0),
ROUND(ROUND(OFFSET($P18,0,AB$13),15-13*ORÇAMENTO!$AF$7)*OFFSET(ORÇAMENTO!$W$15,ROW(AB18)-ROW(AB$15),0),15-13*ORÇAMENTO!$AF$11)),0)</f>
        <v>0</v>
      </c>
      <c r="AC18" s="545">
        <f ca="1">IF(AND($D18="Serviço",AC$12&lt;&gt;0,$H18&gt;0,OR(AUTOEVENTO&lt;&gt;"manual",$M18&lt;&gt;1)),
IF(Import.TipoArredondamento&lt;&gt;"TransfereGOV",
ROUND(OFFSET($P18,0,AC$13),15-13*ORÇAMENTO!$AF$7)/$H18*OFFSET(ORÇAMENTO!$X$15,ROW(AC18)-ROW(AC$15),0),
ROUND(ROUND(OFFSET($P18,0,AC$13),15-13*ORÇAMENTO!$AF$7)*OFFSET(ORÇAMENTO!$W$15,ROW(AC18)-ROW(AC$15),0),15-13*ORÇAMENTO!$AF$11)),0)</f>
        <v>0</v>
      </c>
      <c r="AD18" s="545">
        <f ca="1">IF(AND($D18="Serviço",AD$12&lt;&gt;0,$H18&gt;0,OR(AUTOEVENTO&lt;&gt;"manual",$M18&lt;&gt;1)),
IF(Import.TipoArredondamento&lt;&gt;"TransfereGOV",
ROUND(OFFSET($P18,0,AD$13),15-13*ORÇAMENTO!$AF$7)/$H18*OFFSET(ORÇAMENTO!$X$15,ROW(AD18)-ROW(AD$15),0),
ROUND(ROUND(OFFSET($P18,0,AD$13),15-13*ORÇAMENTO!$AF$7)*OFFSET(ORÇAMENTO!$W$15,ROW(AD18)-ROW(AD$15),0),15-13*ORÇAMENTO!$AF$11)),0)</f>
        <v>0</v>
      </c>
      <c r="AE18" s="545">
        <f ca="1">IF(AND($D18="Serviço",AE$12&lt;&gt;0,$H18&gt;0,OR(AUTOEVENTO&lt;&gt;"manual",$M18&lt;&gt;1)),
IF(Import.TipoArredondamento&lt;&gt;"TransfereGOV",
ROUND(OFFSET($P18,0,AE$13),15-13*ORÇAMENTO!$AF$7)/$H18*OFFSET(ORÇAMENTO!$X$15,ROW(AE18)-ROW(AE$15),0),
ROUND(ROUND(OFFSET($P18,0,AE$13),15-13*ORÇAMENTO!$AF$7)*OFFSET(ORÇAMENTO!$W$15,ROW(AE18)-ROW(AE$15),0),15-13*ORÇAMENTO!$AF$11)),0)</f>
        <v>0</v>
      </c>
      <c r="AF18" s="545">
        <f ca="1">IF(AND($D18="Serviço",AF$12&lt;&gt;0,$H18&gt;0,OR(AUTOEVENTO&lt;&gt;"manual",$M18&lt;&gt;1)),
IF(Import.TipoArredondamento&lt;&gt;"TransfereGOV",
ROUND(OFFSET($P18,0,AF$13),15-13*ORÇAMENTO!$AF$7)/$H18*OFFSET(ORÇAMENTO!$X$15,ROW(AF18)-ROW(AF$15),0),
ROUND(ROUND(OFFSET($P18,0,AF$13),15-13*ORÇAMENTO!$AF$7)*OFFSET(ORÇAMENTO!$W$15,ROW(AF18)-ROW(AF$15),0),15-13*ORÇAMENTO!$AF$11)),0)</f>
        <v>0</v>
      </c>
      <c r="AG18" s="545">
        <f ca="1">IF(AND($D18="Serviço",AG$12&lt;&gt;0,$H18&gt;0,OR(AUTOEVENTO&lt;&gt;"manual",$M18&lt;&gt;1)),
IF(Import.TipoArredondamento&lt;&gt;"TransfereGOV",
ROUND(OFFSET($P18,0,AG$13),15-13*ORÇAMENTO!$AF$7)/$H18*OFFSET(ORÇAMENTO!$X$15,ROW(AG18)-ROW(AG$15),0),
ROUND(ROUND(OFFSET($P18,0,AG$13),15-13*ORÇAMENTO!$AF$7)*OFFSET(ORÇAMENTO!$W$15,ROW(AG18)-ROW(AG$15),0),15-13*ORÇAMENTO!$AF$11)),0)</f>
        <v>0</v>
      </c>
      <c r="AH18" s="545">
        <f ca="1">IF(AND($D18="Serviço",AH$12&lt;&gt;0,$H18&gt;0,OR(AUTOEVENTO&lt;&gt;"manual",$M18&lt;&gt;1)),
IF(Import.TipoArredondamento&lt;&gt;"TransfereGOV",
ROUND(OFFSET($P18,0,AH$13),15-13*ORÇAMENTO!$AF$7)/$H18*OFFSET(ORÇAMENTO!$X$15,ROW(AH18)-ROW(AH$15),0),
ROUND(ROUND(OFFSET($P18,0,AH$13),15-13*ORÇAMENTO!$AF$7)*OFFSET(ORÇAMENTO!$W$15,ROW(AH18)-ROW(AH$15),0),15-13*ORÇAMENTO!$AF$11)),0)</f>
        <v>0</v>
      </c>
      <c r="AI18" s="545">
        <f ca="1">IF(AND($D18="Serviço",AI$12&lt;&gt;0,$H18&gt;0,OR(AUTOEVENTO&lt;&gt;"manual",$M18&lt;&gt;1)),
IF(Import.TipoArredondamento&lt;&gt;"TransfereGOV",
ROUND(OFFSET($P18,0,AI$13),15-13*ORÇAMENTO!$AF$7)/$H18*OFFSET(ORÇAMENTO!$X$15,ROW(AI18)-ROW(AI$15),0),
ROUND(ROUND(OFFSET($P18,0,AI$13),15-13*ORÇAMENTO!$AF$7)*OFFSET(ORÇAMENTO!$W$15,ROW(AI18)-ROW(AI$15),0),15-13*ORÇAMENTO!$AF$11)),0)</f>
        <v>0</v>
      </c>
      <c r="AJ18" s="545">
        <f ca="1">IF(AND($D18="Serviço",AJ$12&lt;&gt;0,$H18&gt;0,OR(AUTOEVENTO&lt;&gt;"manual",$M18&lt;&gt;1)),
IF(Import.TipoArredondamento&lt;&gt;"TransfereGOV",
ROUND(OFFSET($P18,0,AJ$13),15-13*ORÇAMENTO!$AF$7)/$H18*OFFSET(ORÇAMENTO!$X$15,ROW(AJ18)-ROW(AJ$15),0),
ROUND(ROUND(OFFSET($P18,0,AJ$13),15-13*ORÇAMENTO!$AF$7)*OFFSET(ORÇAMENTO!$W$15,ROW(AJ18)-ROW(AJ$15),0),15-13*ORÇAMENTO!$AF$11)),0)</f>
        <v>0</v>
      </c>
      <c r="AK18" s="546">
        <f ca="1">IF(AND($D18="Serviço",AK$12&lt;&gt;0,$H18&gt;0,OR(AUTOEVENTO&lt;&gt;"manual",$M18&lt;&gt;1)),
IF(Import.TipoArredondamento&lt;&gt;"TransfereGOV",
ROUND(OFFSET($P18,0,AK$13),15-13*ORÇAMENTO!$AF$7)/$H18*OFFSET(ORÇAMENTO!$X$15,ROW(AK18)-ROW(AK$15),0),
ROUND(ROUND(OFFSET($P18,0,AK$13),15-13*ORÇAMENTO!$AF$7)*OFFSET(ORÇAMENTO!$W$15,ROW(AK18)-ROW(AK$15),0),15-13*ORÇAMENTO!$AF$11)),0)</f>
        <v>0</v>
      </c>
      <c r="AM18" s="181">
        <f ca="1">IF($D18&lt;&gt;"Serviço",0,IF(AND(AUTOEVENTO="Manual",$M18=1),0,IF(OFFSET(CRONOPLE!$F$14,$M18,AM$13)="",10^12,OFFSET(CRONOPLE!$F$14,$M18,AM$13))))</f>
        <v>1000000000000</v>
      </c>
      <c r="AN18" s="181">
        <f ca="1">IF($D18&lt;&gt;"Serviço",0,IF(AND(AUTOEVENTO="Manual",$M18=1),0,IF(OFFSET(CRONOPLE!$F$14,$M18,AN$13)="",10^12,OFFSET(CRONOPLE!$F$14,$M18,AN$13))))</f>
        <v>1000000000000</v>
      </c>
      <c r="AO18" s="181">
        <f ca="1">IF($D18&lt;&gt;"Serviço",0,IF(AND(AUTOEVENTO="Manual",$M18=1),0,IF(OFFSET(CRONOPLE!$F$14,$M18,AO$13)="",10^12,OFFSET(CRONOPLE!$F$14,$M18,AO$13))))</f>
        <v>1000000000000</v>
      </c>
      <c r="AP18" s="181">
        <f ca="1">IF($D18&lt;&gt;"Serviço",0,IF(AND(AUTOEVENTO="Manual",$M18=1),0,IF(OFFSET(CRONOPLE!$F$14,$M18,AP$13)="",10^12,OFFSET(CRONOPLE!$F$14,$M18,AP$13))))</f>
        <v>1000000000000</v>
      </c>
      <c r="AQ18" s="181">
        <f ca="1">IF($D18&lt;&gt;"Serviço",0,IF(AND(AUTOEVENTO="Manual",$M18=1),0,IF(OFFSET(CRONOPLE!$F$14,$M18,AQ$13)="",10^12,OFFSET(CRONOPLE!$F$14,$M18,AQ$13))))</f>
        <v>1000000000000</v>
      </c>
      <c r="AR18" s="181">
        <f ca="1">IF($D18&lt;&gt;"Serviço",0,IF(AND(AUTOEVENTO="Manual",$M18=1),0,IF(OFFSET(CRONOPLE!$F$14,$M18,AR$13)="",10^12,OFFSET(CRONOPLE!$F$14,$M18,AR$13))))</f>
        <v>1000000000000</v>
      </c>
      <c r="AS18" s="181">
        <f ca="1">IF($D18&lt;&gt;"Serviço",0,IF(AND(AUTOEVENTO="Manual",$M18=1),0,IF(OFFSET(CRONOPLE!$F$14,$M18,AS$13)="",10^12,OFFSET(CRONOPLE!$F$14,$M18,AS$13))))</f>
        <v>1000000000000</v>
      </c>
      <c r="AT18" s="181">
        <f ca="1">IF($D18&lt;&gt;"Serviço",0,IF(AND(AUTOEVENTO="Manual",$M18=1),0,IF(OFFSET(CRONOPLE!$F$14,$M18,AT$13)="",10^12,OFFSET(CRONOPLE!$F$14,$M18,AT$13))))</f>
        <v>1000000000000</v>
      </c>
      <c r="AU18" s="181">
        <f ca="1">IF($D18&lt;&gt;"Serviço",0,IF(AND(AUTOEVENTO="Manual",$M18=1),0,IF(OFFSET(CRONOPLE!$F$14,$M18,AU$13)="",10^12,OFFSET(CRONOPLE!$F$14,$M18,AU$13))))</f>
        <v>1000000000000</v>
      </c>
      <c r="AV18" s="181">
        <f ca="1">IF($D18&lt;&gt;"Serviço",0,IF(AND(AUTOEVENTO="Manual",$M18=1),0,IF(OFFSET(CRONOPLE!$F$14,$M18,AV$13)="",10^12,OFFSET(CRONOPLE!$F$14,$M18,AV$13))))</f>
        <v>1000000000000</v>
      </c>
      <c r="AX18" s="182">
        <f ca="1">IF($D18&lt;&gt;"Serviço",0,IF(OR(AND(AUTOEVENTO="Manual",$M18=1),$M18&gt;(ROW(PLE.lastrow)-ROW(PLE.firstrow))),0,IF(OFFSET(PLE!$G$14,$M18,AX$13)="",10^12,OFFSET(PLE!$G$14,$M18,AX$13))))</f>
        <v>1000000000000</v>
      </c>
      <c r="AY18" s="182">
        <f ca="1">IF($D18&lt;&gt;"Serviço",0,IF(OR(AND(AUTOEVENTO="Manual",$M18=1),$M18&gt;(ROW(PLE.lastrow)-ROW(PLE.firstrow))),0,IF(OFFSET(PLE!$G$14,$M18,AY$13)="",10^12,OFFSET(PLE!$G$14,$M18,AY$13))))</f>
        <v>1000000000000</v>
      </c>
      <c r="AZ18" s="182">
        <f ca="1">IF($D18&lt;&gt;"Serviço",0,IF(OR(AND(AUTOEVENTO="Manual",$M18=1),$M18&gt;(ROW(PLE.lastrow)-ROW(PLE.firstrow))),0,IF(OFFSET(PLE!$G$14,$M18,AZ$13)="",10^12,OFFSET(PLE!$G$14,$M18,AZ$13))))</f>
        <v>1000000000000</v>
      </c>
      <c r="BA18" s="182">
        <f ca="1">IF($D18&lt;&gt;"Serviço",0,IF(OR(AND(AUTOEVENTO="Manual",$M18=1),$M18&gt;(ROW(PLE.lastrow)-ROW(PLE.firstrow))),0,IF(OFFSET(PLE!$G$14,$M18,BA$13)="",10^12,OFFSET(PLE!$G$14,$M18,BA$13))))</f>
        <v>1000000000000</v>
      </c>
      <c r="BB18" s="182">
        <f ca="1">IF($D18&lt;&gt;"Serviço",0,IF(OR(AND(AUTOEVENTO="Manual",$M18=1),$M18&gt;(ROW(PLE.lastrow)-ROW(PLE.firstrow))),0,IF(OFFSET(PLE!$G$14,$M18,BB$13)="",10^12,OFFSET(PLE!$G$14,$M18,BB$13))))</f>
        <v>1000000000000</v>
      </c>
      <c r="BC18" s="182">
        <f ca="1">IF($D18&lt;&gt;"Serviço",0,IF(OR(AND(AUTOEVENTO="Manual",$M18=1),$M18&gt;(ROW(PLE.lastrow)-ROW(PLE.firstrow))),0,IF(OFFSET(PLE!$G$14,$M18,BC$13)="",10^12,OFFSET(PLE!$G$14,$M18,BC$13))))</f>
        <v>1000000000000</v>
      </c>
      <c r="BD18" s="182">
        <f ca="1">IF($D18&lt;&gt;"Serviço",0,IF(OR(AND(AUTOEVENTO="Manual",$M18=1),$M18&gt;(ROW(PLE.lastrow)-ROW(PLE.firstrow))),0,IF(OFFSET(PLE!$G$14,$M18,BD$13)="",10^12,OFFSET(PLE!$G$14,$M18,BD$13))))</f>
        <v>1000000000000</v>
      </c>
      <c r="BE18" s="182">
        <f ca="1">IF($D18&lt;&gt;"Serviço",0,IF(OR(AND(AUTOEVENTO="Manual",$M18=1),$M18&gt;(ROW(PLE.lastrow)-ROW(PLE.firstrow))),0,IF(OFFSET(PLE!$G$14,$M18,BE$13)="",10^12,OFFSET(PLE!$G$14,$M18,BE$13))))</f>
        <v>1000000000000</v>
      </c>
      <c r="BF18" s="182">
        <f ca="1">IF($D18&lt;&gt;"Serviço",0,IF(OR(AND(AUTOEVENTO="Manual",$M18=1),$M18&gt;(ROW(PLE.lastrow)-ROW(PLE.firstrow))),0,IF(OFFSET(PLE!$G$14,$M18,BF$13)="",10^12,OFFSET(PLE!$G$14,$M18,BF$13))))</f>
        <v>1000000000000</v>
      </c>
      <c r="BG18" s="182">
        <f ca="1">IF($D18&lt;&gt;"Serviço",0,IF(OR(AND(AUTOEVENTO="Manual",$M18=1),$M18&gt;(ROW(PLE.lastrow)-ROW(PLE.firstrow))),0,IF(OFFSET(PLE!$G$14,$M18,BG$13)="",10^12,OFFSET(PLE!$G$14,$M18,BG$13))))</f>
        <v>1000000000000</v>
      </c>
    </row>
    <row r="19" spans="1:59" ht="12.75" x14ac:dyDescent="0.2">
      <c r="A19" s="7" t="str">
        <f t="shared" ca="1" si="8"/>
        <v>2</v>
      </c>
      <c r="B19" s="7" t="str">
        <f ca="1">OFFSET(ORÇAMENTO!C$15,ROW(B19)-ROW(B$15),0)</f>
        <v>S</v>
      </c>
      <c r="C19" s="7" t="str">
        <f ca="1">OFFSET(ORÇAMENTO!L$15,ROW(C19)-ROW(C$15),0)</f>
        <v/>
      </c>
      <c r="D19" s="118" t="str">
        <f ca="1">OFFSET(ORÇAMENTO!N$15,ROW(D19)-ROW(D$15),0)</f>
        <v>Serviço</v>
      </c>
      <c r="E19" s="119" t="str">
        <f ca="1">OFFSET(ORÇAMENTO!O$15,ROW(E19)-ROW(E$15),0)</f>
        <v>-</v>
      </c>
      <c r="F19" s="172" t="str">
        <f ca="1">OFFSET(ORÇAMENTO!R$15,ROW(F19)-ROW(F$15),0)</f>
        <v>(abra o arquivo 'Referência 02-2025.xlsm)</v>
      </c>
      <c r="G19" s="173" t="str">
        <f ca="1">IF($D19&lt;&gt;"Serviço","",OFFSET(ORÇAMENTO!S$15,ROW(G19)-ROW(G$15),0))</f>
        <v>-</v>
      </c>
      <c r="H19" s="124">
        <f ca="1">IF($D19&lt;&gt;"Serviço",0,IF(ACOMPANHAMENTO="BM",ROUND(OFFSET(ORÇAMENTO!AJ$15,ROW(H19)-ROW(H$15),0),15-13*ORÇAMENTO!$AF$7),SUMPRODUCT(($Q$12:$AA$12&lt;&gt;"")*ROUND($Q19:$AA19,15-13*ORÇAMENTO!$AF$7))))</f>
        <v>501.6</v>
      </c>
      <c r="I19" s="561" t="s">
        <v>890</v>
      </c>
      <c r="K19" s="174"/>
      <c r="L19" s="175" t="s">
        <v>255</v>
      </c>
      <c r="M19" s="176">
        <f ca="1">IF($D19&lt;&gt;"Serviço","",IF(AUTOEVENTO="manual",$A19,IF(ISERROR(MATCH($A19,$A$15:OFFSET($A19,-1,0),0)),MAX($M$15:OFFSET(M19,-1,0))+1,INDEX($M$15:OFFSET(M19,-1,0),MATCH($A19,$A$15:OFFSET($A19,-1,0),0)))))</f>
        <v>2</v>
      </c>
      <c r="N19" s="177" t="str">
        <f ca="1">IF($D19&lt;&gt;"Serviço","",IF(AUTOEVENTO="Manual",IF($A19=0,"&lt;-- defina o número do agrupador",OFFSET(EVENTOS!$D$14,$A19,0)),OFFSET($F$15,$A19,0)))</f>
        <v>SERVIÇOS PRELIMINARES</v>
      </c>
      <c r="O19" s="178"/>
      <c r="Q19" s="178"/>
      <c r="R19" s="179"/>
      <c r="S19" s="179"/>
      <c r="T19" s="179"/>
      <c r="U19" s="179"/>
      <c r="V19" s="179"/>
      <c r="W19" s="179"/>
      <c r="X19" s="179"/>
      <c r="Y19" s="179"/>
      <c r="Z19" s="180"/>
      <c r="AB19" s="544">
        <f ca="1">IF(AND($D19="Serviço",AB$12&lt;&gt;0,$H19&gt;0,OR(AUTOEVENTO&lt;&gt;"manual",$M19&lt;&gt;1)),
IF(Import.TipoArredondamento&lt;&gt;"TransfereGOV",
ROUND(OFFSET($P19,0,AB$13),15-13*ORÇAMENTO!$AF$7)/$H19*OFFSET(ORÇAMENTO!$X$15,ROW(AB19)-ROW(AB$15),0),
ROUND(ROUND(OFFSET($P19,0,AB$13),15-13*ORÇAMENTO!$AF$7)*OFFSET(ORÇAMENTO!$W$15,ROW(AB19)-ROW(AB$15),0),15-13*ORÇAMENTO!$AF$11)),0)</f>
        <v>0</v>
      </c>
      <c r="AC19" s="545">
        <f ca="1">IF(AND($D19="Serviço",AC$12&lt;&gt;0,$H19&gt;0,OR(AUTOEVENTO&lt;&gt;"manual",$M19&lt;&gt;1)),
IF(Import.TipoArredondamento&lt;&gt;"TransfereGOV",
ROUND(OFFSET($P19,0,AC$13),15-13*ORÇAMENTO!$AF$7)/$H19*OFFSET(ORÇAMENTO!$X$15,ROW(AC19)-ROW(AC$15),0),
ROUND(ROUND(OFFSET($P19,0,AC$13),15-13*ORÇAMENTO!$AF$7)*OFFSET(ORÇAMENTO!$W$15,ROW(AC19)-ROW(AC$15),0),15-13*ORÇAMENTO!$AF$11)),0)</f>
        <v>0</v>
      </c>
      <c r="AD19" s="545">
        <f ca="1">IF(AND($D19="Serviço",AD$12&lt;&gt;0,$H19&gt;0,OR(AUTOEVENTO&lt;&gt;"manual",$M19&lt;&gt;1)),
IF(Import.TipoArredondamento&lt;&gt;"TransfereGOV",
ROUND(OFFSET($P19,0,AD$13),15-13*ORÇAMENTO!$AF$7)/$H19*OFFSET(ORÇAMENTO!$X$15,ROW(AD19)-ROW(AD$15),0),
ROUND(ROUND(OFFSET($P19,0,AD$13),15-13*ORÇAMENTO!$AF$7)*OFFSET(ORÇAMENTO!$W$15,ROW(AD19)-ROW(AD$15),0),15-13*ORÇAMENTO!$AF$11)),0)</f>
        <v>0</v>
      </c>
      <c r="AE19" s="545">
        <f ca="1">IF(AND($D19="Serviço",AE$12&lt;&gt;0,$H19&gt;0,OR(AUTOEVENTO&lt;&gt;"manual",$M19&lt;&gt;1)),
IF(Import.TipoArredondamento&lt;&gt;"TransfereGOV",
ROUND(OFFSET($P19,0,AE$13),15-13*ORÇAMENTO!$AF$7)/$H19*OFFSET(ORÇAMENTO!$X$15,ROW(AE19)-ROW(AE$15),0),
ROUND(ROUND(OFFSET($P19,0,AE$13),15-13*ORÇAMENTO!$AF$7)*OFFSET(ORÇAMENTO!$W$15,ROW(AE19)-ROW(AE$15),0),15-13*ORÇAMENTO!$AF$11)),0)</f>
        <v>0</v>
      </c>
      <c r="AF19" s="545">
        <f ca="1">IF(AND($D19="Serviço",AF$12&lt;&gt;0,$H19&gt;0,OR(AUTOEVENTO&lt;&gt;"manual",$M19&lt;&gt;1)),
IF(Import.TipoArredondamento&lt;&gt;"TransfereGOV",
ROUND(OFFSET($P19,0,AF$13),15-13*ORÇAMENTO!$AF$7)/$H19*OFFSET(ORÇAMENTO!$X$15,ROW(AF19)-ROW(AF$15),0),
ROUND(ROUND(OFFSET($P19,0,AF$13),15-13*ORÇAMENTO!$AF$7)*OFFSET(ORÇAMENTO!$W$15,ROW(AF19)-ROW(AF$15),0),15-13*ORÇAMENTO!$AF$11)),0)</f>
        <v>0</v>
      </c>
      <c r="AG19" s="545">
        <f ca="1">IF(AND($D19="Serviço",AG$12&lt;&gt;0,$H19&gt;0,OR(AUTOEVENTO&lt;&gt;"manual",$M19&lt;&gt;1)),
IF(Import.TipoArredondamento&lt;&gt;"TransfereGOV",
ROUND(OFFSET($P19,0,AG$13),15-13*ORÇAMENTO!$AF$7)/$H19*OFFSET(ORÇAMENTO!$X$15,ROW(AG19)-ROW(AG$15),0),
ROUND(ROUND(OFFSET($P19,0,AG$13),15-13*ORÇAMENTO!$AF$7)*OFFSET(ORÇAMENTO!$W$15,ROW(AG19)-ROW(AG$15),0),15-13*ORÇAMENTO!$AF$11)),0)</f>
        <v>0</v>
      </c>
      <c r="AH19" s="545">
        <f ca="1">IF(AND($D19="Serviço",AH$12&lt;&gt;0,$H19&gt;0,OR(AUTOEVENTO&lt;&gt;"manual",$M19&lt;&gt;1)),
IF(Import.TipoArredondamento&lt;&gt;"TransfereGOV",
ROUND(OFFSET($P19,0,AH$13),15-13*ORÇAMENTO!$AF$7)/$H19*OFFSET(ORÇAMENTO!$X$15,ROW(AH19)-ROW(AH$15),0),
ROUND(ROUND(OFFSET($P19,0,AH$13),15-13*ORÇAMENTO!$AF$7)*OFFSET(ORÇAMENTO!$W$15,ROW(AH19)-ROW(AH$15),0),15-13*ORÇAMENTO!$AF$11)),0)</f>
        <v>0</v>
      </c>
      <c r="AI19" s="545">
        <f ca="1">IF(AND($D19="Serviço",AI$12&lt;&gt;0,$H19&gt;0,OR(AUTOEVENTO&lt;&gt;"manual",$M19&lt;&gt;1)),
IF(Import.TipoArredondamento&lt;&gt;"TransfereGOV",
ROUND(OFFSET($P19,0,AI$13),15-13*ORÇAMENTO!$AF$7)/$H19*OFFSET(ORÇAMENTO!$X$15,ROW(AI19)-ROW(AI$15),0),
ROUND(ROUND(OFFSET($P19,0,AI$13),15-13*ORÇAMENTO!$AF$7)*OFFSET(ORÇAMENTO!$W$15,ROW(AI19)-ROW(AI$15),0),15-13*ORÇAMENTO!$AF$11)),0)</f>
        <v>0</v>
      </c>
      <c r="AJ19" s="545">
        <f ca="1">IF(AND($D19="Serviço",AJ$12&lt;&gt;0,$H19&gt;0,OR(AUTOEVENTO&lt;&gt;"manual",$M19&lt;&gt;1)),
IF(Import.TipoArredondamento&lt;&gt;"TransfereGOV",
ROUND(OFFSET($P19,0,AJ$13),15-13*ORÇAMENTO!$AF$7)/$H19*OFFSET(ORÇAMENTO!$X$15,ROW(AJ19)-ROW(AJ$15),0),
ROUND(ROUND(OFFSET($P19,0,AJ$13),15-13*ORÇAMENTO!$AF$7)*OFFSET(ORÇAMENTO!$W$15,ROW(AJ19)-ROW(AJ$15),0),15-13*ORÇAMENTO!$AF$11)),0)</f>
        <v>0</v>
      </c>
      <c r="AK19" s="546">
        <f ca="1">IF(AND($D19="Serviço",AK$12&lt;&gt;0,$H19&gt;0,OR(AUTOEVENTO&lt;&gt;"manual",$M19&lt;&gt;1)),
IF(Import.TipoArredondamento&lt;&gt;"TransfereGOV",
ROUND(OFFSET($P19,0,AK$13),15-13*ORÇAMENTO!$AF$7)/$H19*OFFSET(ORÇAMENTO!$X$15,ROW(AK19)-ROW(AK$15),0),
ROUND(ROUND(OFFSET($P19,0,AK$13),15-13*ORÇAMENTO!$AF$7)*OFFSET(ORÇAMENTO!$W$15,ROW(AK19)-ROW(AK$15),0),15-13*ORÇAMENTO!$AF$11)),0)</f>
        <v>0</v>
      </c>
      <c r="AM19" s="181">
        <f ca="1">IF($D19&lt;&gt;"Serviço",0,IF(AND(AUTOEVENTO="Manual",$M19=1),0,IF(OFFSET(CRONOPLE!$F$14,$M19,AM$13)="",10^12,OFFSET(CRONOPLE!$F$14,$M19,AM$13))))</f>
        <v>1000000000000</v>
      </c>
      <c r="AN19" s="181">
        <f ca="1">IF($D19&lt;&gt;"Serviço",0,IF(AND(AUTOEVENTO="Manual",$M19=1),0,IF(OFFSET(CRONOPLE!$F$14,$M19,AN$13)="",10^12,OFFSET(CRONOPLE!$F$14,$M19,AN$13))))</f>
        <v>1000000000000</v>
      </c>
      <c r="AO19" s="181">
        <f ca="1">IF($D19&lt;&gt;"Serviço",0,IF(AND(AUTOEVENTO="Manual",$M19=1),0,IF(OFFSET(CRONOPLE!$F$14,$M19,AO$13)="",10^12,OFFSET(CRONOPLE!$F$14,$M19,AO$13))))</f>
        <v>1000000000000</v>
      </c>
      <c r="AP19" s="181">
        <f ca="1">IF($D19&lt;&gt;"Serviço",0,IF(AND(AUTOEVENTO="Manual",$M19=1),0,IF(OFFSET(CRONOPLE!$F$14,$M19,AP$13)="",10^12,OFFSET(CRONOPLE!$F$14,$M19,AP$13))))</f>
        <v>1000000000000</v>
      </c>
      <c r="AQ19" s="181">
        <f ca="1">IF($D19&lt;&gt;"Serviço",0,IF(AND(AUTOEVENTO="Manual",$M19=1),0,IF(OFFSET(CRONOPLE!$F$14,$M19,AQ$13)="",10^12,OFFSET(CRONOPLE!$F$14,$M19,AQ$13))))</f>
        <v>1000000000000</v>
      </c>
      <c r="AR19" s="181">
        <f ca="1">IF($D19&lt;&gt;"Serviço",0,IF(AND(AUTOEVENTO="Manual",$M19=1),0,IF(OFFSET(CRONOPLE!$F$14,$M19,AR$13)="",10^12,OFFSET(CRONOPLE!$F$14,$M19,AR$13))))</f>
        <v>1000000000000</v>
      </c>
      <c r="AS19" s="181">
        <f ca="1">IF($D19&lt;&gt;"Serviço",0,IF(AND(AUTOEVENTO="Manual",$M19=1),0,IF(OFFSET(CRONOPLE!$F$14,$M19,AS$13)="",10^12,OFFSET(CRONOPLE!$F$14,$M19,AS$13))))</f>
        <v>1000000000000</v>
      </c>
      <c r="AT19" s="181">
        <f ca="1">IF($D19&lt;&gt;"Serviço",0,IF(AND(AUTOEVENTO="Manual",$M19=1),0,IF(OFFSET(CRONOPLE!$F$14,$M19,AT$13)="",10^12,OFFSET(CRONOPLE!$F$14,$M19,AT$13))))</f>
        <v>1000000000000</v>
      </c>
      <c r="AU19" s="181">
        <f ca="1">IF($D19&lt;&gt;"Serviço",0,IF(AND(AUTOEVENTO="Manual",$M19=1),0,IF(OFFSET(CRONOPLE!$F$14,$M19,AU$13)="",10^12,OFFSET(CRONOPLE!$F$14,$M19,AU$13))))</f>
        <v>1000000000000</v>
      </c>
      <c r="AV19" s="181">
        <f ca="1">IF($D19&lt;&gt;"Serviço",0,IF(AND(AUTOEVENTO="Manual",$M19=1),0,IF(OFFSET(CRONOPLE!$F$14,$M19,AV$13)="",10^12,OFFSET(CRONOPLE!$F$14,$M19,AV$13))))</f>
        <v>1000000000000</v>
      </c>
      <c r="AX19" s="182">
        <f ca="1">IF($D19&lt;&gt;"Serviço",0,IF(OR(AND(AUTOEVENTO="Manual",$M19=1),$M19&gt;(ROW(PLE.lastrow)-ROW(PLE.firstrow))),0,IF(OFFSET(PLE!$G$14,$M19,AX$13)="",10^12,OFFSET(PLE!$G$14,$M19,AX$13))))</f>
        <v>1000000000000</v>
      </c>
      <c r="AY19" s="182">
        <f ca="1">IF($D19&lt;&gt;"Serviço",0,IF(OR(AND(AUTOEVENTO="Manual",$M19=1),$M19&gt;(ROW(PLE.lastrow)-ROW(PLE.firstrow))),0,IF(OFFSET(PLE!$G$14,$M19,AY$13)="",10^12,OFFSET(PLE!$G$14,$M19,AY$13))))</f>
        <v>1000000000000</v>
      </c>
      <c r="AZ19" s="182">
        <f ca="1">IF($D19&lt;&gt;"Serviço",0,IF(OR(AND(AUTOEVENTO="Manual",$M19=1),$M19&gt;(ROW(PLE.lastrow)-ROW(PLE.firstrow))),0,IF(OFFSET(PLE!$G$14,$M19,AZ$13)="",10^12,OFFSET(PLE!$G$14,$M19,AZ$13))))</f>
        <v>1000000000000</v>
      </c>
      <c r="BA19" s="182">
        <f ca="1">IF($D19&lt;&gt;"Serviço",0,IF(OR(AND(AUTOEVENTO="Manual",$M19=1),$M19&gt;(ROW(PLE.lastrow)-ROW(PLE.firstrow))),0,IF(OFFSET(PLE!$G$14,$M19,BA$13)="",10^12,OFFSET(PLE!$G$14,$M19,BA$13))))</f>
        <v>1000000000000</v>
      </c>
      <c r="BB19" s="182">
        <f ca="1">IF($D19&lt;&gt;"Serviço",0,IF(OR(AND(AUTOEVENTO="Manual",$M19=1),$M19&gt;(ROW(PLE.lastrow)-ROW(PLE.firstrow))),0,IF(OFFSET(PLE!$G$14,$M19,BB$13)="",10^12,OFFSET(PLE!$G$14,$M19,BB$13))))</f>
        <v>1000000000000</v>
      </c>
      <c r="BC19" s="182">
        <f ca="1">IF($D19&lt;&gt;"Serviço",0,IF(OR(AND(AUTOEVENTO="Manual",$M19=1),$M19&gt;(ROW(PLE.lastrow)-ROW(PLE.firstrow))),0,IF(OFFSET(PLE!$G$14,$M19,BC$13)="",10^12,OFFSET(PLE!$G$14,$M19,BC$13))))</f>
        <v>1000000000000</v>
      </c>
      <c r="BD19" s="182">
        <f ca="1">IF($D19&lt;&gt;"Serviço",0,IF(OR(AND(AUTOEVENTO="Manual",$M19=1),$M19&gt;(ROW(PLE.lastrow)-ROW(PLE.firstrow))),0,IF(OFFSET(PLE!$G$14,$M19,BD$13)="",10^12,OFFSET(PLE!$G$14,$M19,BD$13))))</f>
        <v>1000000000000</v>
      </c>
      <c r="BE19" s="182">
        <f ca="1">IF($D19&lt;&gt;"Serviço",0,IF(OR(AND(AUTOEVENTO="Manual",$M19=1),$M19&gt;(ROW(PLE.lastrow)-ROW(PLE.firstrow))),0,IF(OFFSET(PLE!$G$14,$M19,BE$13)="",10^12,OFFSET(PLE!$G$14,$M19,BE$13))))</f>
        <v>1000000000000</v>
      </c>
      <c r="BF19" s="182">
        <f ca="1">IF($D19&lt;&gt;"Serviço",0,IF(OR(AND(AUTOEVENTO="Manual",$M19=1),$M19&gt;(ROW(PLE.lastrow)-ROW(PLE.firstrow))),0,IF(OFFSET(PLE!$G$14,$M19,BF$13)="",10^12,OFFSET(PLE!$G$14,$M19,BF$13))))</f>
        <v>1000000000000</v>
      </c>
      <c r="BG19" s="182">
        <f ca="1">IF($D19&lt;&gt;"Serviço",0,IF(OR(AND(AUTOEVENTO="Manual",$M19=1),$M19&gt;(ROW(PLE.lastrow)-ROW(PLE.firstrow))),0,IF(OFFSET(PLE!$G$14,$M19,BG$13)="",10^12,OFFSET(PLE!$G$14,$M19,BG$13))))</f>
        <v>1000000000000</v>
      </c>
    </row>
    <row r="20" spans="1:59" ht="38.25" x14ac:dyDescent="0.2">
      <c r="A20" s="7" t="str">
        <f t="shared" ca="1" si="8"/>
        <v>2</v>
      </c>
      <c r="B20" s="7" t="str">
        <f ca="1">OFFSET(ORÇAMENTO!C$15,ROW(B20)-ROW(B$15),0)</f>
        <v>S</v>
      </c>
      <c r="C20" s="7" t="str">
        <f ca="1">OFFSET(ORÇAMENTO!L$15,ROW(C20)-ROW(C$15),0)</f>
        <v/>
      </c>
      <c r="D20" s="118" t="str">
        <f ca="1">OFFSET(ORÇAMENTO!N$15,ROW(D20)-ROW(D$15),0)</f>
        <v>Serviço</v>
      </c>
      <c r="E20" s="119" t="str">
        <f ca="1">OFFSET(ORÇAMENTO!O$15,ROW(E20)-ROW(E$15),0)</f>
        <v>-</v>
      </c>
      <c r="F20" s="172" t="str">
        <f ca="1">OFFSET(ORÇAMENTO!R$15,ROW(F20)-ROW(F$15),0)</f>
        <v>(abra o arquivo 'Referência 02-2025.xlsm)</v>
      </c>
      <c r="G20" s="173" t="str">
        <f ca="1">IF($D20&lt;&gt;"Serviço","",OFFSET(ORÇAMENTO!S$15,ROW(G20)-ROW(G$15),0))</f>
        <v>-</v>
      </c>
      <c r="H20" s="124">
        <f ca="1">IF($D20&lt;&gt;"Serviço",0,IF(ACOMPANHAMENTO="BM",ROUND(OFFSET(ORÇAMENTO!AJ$15,ROW(H20)-ROW(H$15),0),15-13*ORÇAMENTO!$AF$7),SUMPRODUCT(($Q$12:$AA$12&lt;&gt;"")*ROUND($Q20:$AA20,15-13*ORÇAMENTO!$AF$7))))</f>
        <v>1</v>
      </c>
      <c r="I20" s="561" t="s">
        <v>890</v>
      </c>
      <c r="K20" s="174"/>
      <c r="L20" s="175" t="s">
        <v>255</v>
      </c>
      <c r="M20" s="176">
        <f ca="1">IF($D20&lt;&gt;"Serviço","",IF(AUTOEVENTO="manual",$A20,IF(ISERROR(MATCH($A20,$A$15:OFFSET($A20,-1,0),0)),MAX($M$15:OFFSET(M20,-1,0))+1,INDEX($M$15:OFFSET(M20,-1,0),MATCH($A20,$A$15:OFFSET($A20,-1,0),0)))))</f>
        <v>2</v>
      </c>
      <c r="N20" s="177" t="str">
        <f ca="1">IF($D20&lt;&gt;"Serviço","",IF(AUTOEVENTO="Manual",IF($A20=0,"&lt;-- defina o número do agrupador",OFFSET(EVENTOS!$D$14,$A20,0)),OFFSET($F$15,$A20,0)))</f>
        <v>SERVIÇOS PRELIMINARES</v>
      </c>
      <c r="O20" s="178"/>
      <c r="Q20" s="178"/>
      <c r="R20" s="179"/>
      <c r="S20" s="179"/>
      <c r="T20" s="179"/>
      <c r="U20" s="179"/>
      <c r="V20" s="179"/>
      <c r="W20" s="179"/>
      <c r="X20" s="179"/>
      <c r="Y20" s="179"/>
      <c r="Z20" s="180"/>
      <c r="AB20" s="544">
        <f ca="1">IF(AND($D20="Serviço",AB$12&lt;&gt;0,$H20&gt;0,OR(AUTOEVENTO&lt;&gt;"manual",$M20&lt;&gt;1)),
IF(Import.TipoArredondamento&lt;&gt;"TransfereGOV",
ROUND(OFFSET($P20,0,AB$13),15-13*ORÇAMENTO!$AF$7)/$H20*OFFSET(ORÇAMENTO!$X$15,ROW(AB20)-ROW(AB$15),0),
ROUND(ROUND(OFFSET($P20,0,AB$13),15-13*ORÇAMENTO!$AF$7)*OFFSET(ORÇAMENTO!$W$15,ROW(AB20)-ROW(AB$15),0),15-13*ORÇAMENTO!$AF$11)),0)</f>
        <v>0</v>
      </c>
      <c r="AC20" s="545">
        <f ca="1">IF(AND($D20="Serviço",AC$12&lt;&gt;0,$H20&gt;0,OR(AUTOEVENTO&lt;&gt;"manual",$M20&lt;&gt;1)),
IF(Import.TipoArredondamento&lt;&gt;"TransfereGOV",
ROUND(OFFSET($P20,0,AC$13),15-13*ORÇAMENTO!$AF$7)/$H20*OFFSET(ORÇAMENTO!$X$15,ROW(AC20)-ROW(AC$15),0),
ROUND(ROUND(OFFSET($P20,0,AC$13),15-13*ORÇAMENTO!$AF$7)*OFFSET(ORÇAMENTO!$W$15,ROW(AC20)-ROW(AC$15),0),15-13*ORÇAMENTO!$AF$11)),0)</f>
        <v>0</v>
      </c>
      <c r="AD20" s="545">
        <f ca="1">IF(AND($D20="Serviço",AD$12&lt;&gt;0,$H20&gt;0,OR(AUTOEVENTO&lt;&gt;"manual",$M20&lt;&gt;1)),
IF(Import.TipoArredondamento&lt;&gt;"TransfereGOV",
ROUND(OFFSET($P20,0,AD$13),15-13*ORÇAMENTO!$AF$7)/$H20*OFFSET(ORÇAMENTO!$X$15,ROW(AD20)-ROW(AD$15),0),
ROUND(ROUND(OFFSET($P20,0,AD$13),15-13*ORÇAMENTO!$AF$7)*OFFSET(ORÇAMENTO!$W$15,ROW(AD20)-ROW(AD$15),0),15-13*ORÇAMENTO!$AF$11)),0)</f>
        <v>0</v>
      </c>
      <c r="AE20" s="545">
        <f ca="1">IF(AND($D20="Serviço",AE$12&lt;&gt;0,$H20&gt;0,OR(AUTOEVENTO&lt;&gt;"manual",$M20&lt;&gt;1)),
IF(Import.TipoArredondamento&lt;&gt;"TransfereGOV",
ROUND(OFFSET($P20,0,AE$13),15-13*ORÇAMENTO!$AF$7)/$H20*OFFSET(ORÇAMENTO!$X$15,ROW(AE20)-ROW(AE$15),0),
ROUND(ROUND(OFFSET($P20,0,AE$13),15-13*ORÇAMENTO!$AF$7)*OFFSET(ORÇAMENTO!$W$15,ROW(AE20)-ROW(AE$15),0),15-13*ORÇAMENTO!$AF$11)),0)</f>
        <v>0</v>
      </c>
      <c r="AF20" s="545">
        <f ca="1">IF(AND($D20="Serviço",AF$12&lt;&gt;0,$H20&gt;0,OR(AUTOEVENTO&lt;&gt;"manual",$M20&lt;&gt;1)),
IF(Import.TipoArredondamento&lt;&gt;"TransfereGOV",
ROUND(OFFSET($P20,0,AF$13),15-13*ORÇAMENTO!$AF$7)/$H20*OFFSET(ORÇAMENTO!$X$15,ROW(AF20)-ROW(AF$15),0),
ROUND(ROUND(OFFSET($P20,0,AF$13),15-13*ORÇAMENTO!$AF$7)*OFFSET(ORÇAMENTO!$W$15,ROW(AF20)-ROW(AF$15),0),15-13*ORÇAMENTO!$AF$11)),0)</f>
        <v>0</v>
      </c>
      <c r="AG20" s="545">
        <f ca="1">IF(AND($D20="Serviço",AG$12&lt;&gt;0,$H20&gt;0,OR(AUTOEVENTO&lt;&gt;"manual",$M20&lt;&gt;1)),
IF(Import.TipoArredondamento&lt;&gt;"TransfereGOV",
ROUND(OFFSET($P20,0,AG$13),15-13*ORÇAMENTO!$AF$7)/$H20*OFFSET(ORÇAMENTO!$X$15,ROW(AG20)-ROW(AG$15),0),
ROUND(ROUND(OFFSET($P20,0,AG$13),15-13*ORÇAMENTO!$AF$7)*OFFSET(ORÇAMENTO!$W$15,ROW(AG20)-ROW(AG$15),0),15-13*ORÇAMENTO!$AF$11)),0)</f>
        <v>0</v>
      </c>
      <c r="AH20" s="545">
        <f ca="1">IF(AND($D20="Serviço",AH$12&lt;&gt;0,$H20&gt;0,OR(AUTOEVENTO&lt;&gt;"manual",$M20&lt;&gt;1)),
IF(Import.TipoArredondamento&lt;&gt;"TransfereGOV",
ROUND(OFFSET($P20,0,AH$13),15-13*ORÇAMENTO!$AF$7)/$H20*OFFSET(ORÇAMENTO!$X$15,ROW(AH20)-ROW(AH$15),0),
ROUND(ROUND(OFFSET($P20,0,AH$13),15-13*ORÇAMENTO!$AF$7)*OFFSET(ORÇAMENTO!$W$15,ROW(AH20)-ROW(AH$15),0),15-13*ORÇAMENTO!$AF$11)),0)</f>
        <v>0</v>
      </c>
      <c r="AI20" s="545">
        <f ca="1">IF(AND($D20="Serviço",AI$12&lt;&gt;0,$H20&gt;0,OR(AUTOEVENTO&lt;&gt;"manual",$M20&lt;&gt;1)),
IF(Import.TipoArredondamento&lt;&gt;"TransfereGOV",
ROUND(OFFSET($P20,0,AI$13),15-13*ORÇAMENTO!$AF$7)/$H20*OFFSET(ORÇAMENTO!$X$15,ROW(AI20)-ROW(AI$15),0),
ROUND(ROUND(OFFSET($P20,0,AI$13),15-13*ORÇAMENTO!$AF$7)*OFFSET(ORÇAMENTO!$W$15,ROW(AI20)-ROW(AI$15),0),15-13*ORÇAMENTO!$AF$11)),0)</f>
        <v>0</v>
      </c>
      <c r="AJ20" s="545">
        <f ca="1">IF(AND($D20="Serviço",AJ$12&lt;&gt;0,$H20&gt;0,OR(AUTOEVENTO&lt;&gt;"manual",$M20&lt;&gt;1)),
IF(Import.TipoArredondamento&lt;&gt;"TransfereGOV",
ROUND(OFFSET($P20,0,AJ$13),15-13*ORÇAMENTO!$AF$7)/$H20*OFFSET(ORÇAMENTO!$X$15,ROW(AJ20)-ROW(AJ$15),0),
ROUND(ROUND(OFFSET($P20,0,AJ$13),15-13*ORÇAMENTO!$AF$7)*OFFSET(ORÇAMENTO!$W$15,ROW(AJ20)-ROW(AJ$15),0),15-13*ORÇAMENTO!$AF$11)),0)</f>
        <v>0</v>
      </c>
      <c r="AK20" s="546">
        <f ca="1">IF(AND($D20="Serviço",AK$12&lt;&gt;0,$H20&gt;0,OR(AUTOEVENTO&lt;&gt;"manual",$M20&lt;&gt;1)),
IF(Import.TipoArredondamento&lt;&gt;"TransfereGOV",
ROUND(OFFSET($P20,0,AK$13),15-13*ORÇAMENTO!$AF$7)/$H20*OFFSET(ORÇAMENTO!$X$15,ROW(AK20)-ROW(AK$15),0),
ROUND(ROUND(OFFSET($P20,0,AK$13),15-13*ORÇAMENTO!$AF$7)*OFFSET(ORÇAMENTO!$W$15,ROW(AK20)-ROW(AK$15),0),15-13*ORÇAMENTO!$AF$11)),0)</f>
        <v>0</v>
      </c>
      <c r="AM20" s="181">
        <f ca="1">IF($D20&lt;&gt;"Serviço",0,IF(AND(AUTOEVENTO="Manual",$M20=1),0,IF(OFFSET(CRONOPLE!$F$14,$M20,AM$13)="",10^12,OFFSET(CRONOPLE!$F$14,$M20,AM$13))))</f>
        <v>1000000000000</v>
      </c>
      <c r="AN20" s="181">
        <f ca="1">IF($D20&lt;&gt;"Serviço",0,IF(AND(AUTOEVENTO="Manual",$M20=1),0,IF(OFFSET(CRONOPLE!$F$14,$M20,AN$13)="",10^12,OFFSET(CRONOPLE!$F$14,$M20,AN$13))))</f>
        <v>1000000000000</v>
      </c>
      <c r="AO20" s="181">
        <f ca="1">IF($D20&lt;&gt;"Serviço",0,IF(AND(AUTOEVENTO="Manual",$M20=1),0,IF(OFFSET(CRONOPLE!$F$14,$M20,AO$13)="",10^12,OFFSET(CRONOPLE!$F$14,$M20,AO$13))))</f>
        <v>1000000000000</v>
      </c>
      <c r="AP20" s="181">
        <f ca="1">IF($D20&lt;&gt;"Serviço",0,IF(AND(AUTOEVENTO="Manual",$M20=1),0,IF(OFFSET(CRONOPLE!$F$14,$M20,AP$13)="",10^12,OFFSET(CRONOPLE!$F$14,$M20,AP$13))))</f>
        <v>1000000000000</v>
      </c>
      <c r="AQ20" s="181">
        <f ca="1">IF($D20&lt;&gt;"Serviço",0,IF(AND(AUTOEVENTO="Manual",$M20=1),0,IF(OFFSET(CRONOPLE!$F$14,$M20,AQ$13)="",10^12,OFFSET(CRONOPLE!$F$14,$M20,AQ$13))))</f>
        <v>1000000000000</v>
      </c>
      <c r="AR20" s="181">
        <f ca="1">IF($D20&lt;&gt;"Serviço",0,IF(AND(AUTOEVENTO="Manual",$M20=1),0,IF(OFFSET(CRONOPLE!$F$14,$M20,AR$13)="",10^12,OFFSET(CRONOPLE!$F$14,$M20,AR$13))))</f>
        <v>1000000000000</v>
      </c>
      <c r="AS20" s="181">
        <f ca="1">IF($D20&lt;&gt;"Serviço",0,IF(AND(AUTOEVENTO="Manual",$M20=1),0,IF(OFFSET(CRONOPLE!$F$14,$M20,AS$13)="",10^12,OFFSET(CRONOPLE!$F$14,$M20,AS$13))))</f>
        <v>1000000000000</v>
      </c>
      <c r="AT20" s="181">
        <f ca="1">IF($D20&lt;&gt;"Serviço",0,IF(AND(AUTOEVENTO="Manual",$M20=1),0,IF(OFFSET(CRONOPLE!$F$14,$M20,AT$13)="",10^12,OFFSET(CRONOPLE!$F$14,$M20,AT$13))))</f>
        <v>1000000000000</v>
      </c>
      <c r="AU20" s="181">
        <f ca="1">IF($D20&lt;&gt;"Serviço",0,IF(AND(AUTOEVENTO="Manual",$M20=1),0,IF(OFFSET(CRONOPLE!$F$14,$M20,AU$13)="",10^12,OFFSET(CRONOPLE!$F$14,$M20,AU$13))))</f>
        <v>1000000000000</v>
      </c>
      <c r="AV20" s="181">
        <f ca="1">IF($D20&lt;&gt;"Serviço",0,IF(AND(AUTOEVENTO="Manual",$M20=1),0,IF(OFFSET(CRONOPLE!$F$14,$M20,AV$13)="",10^12,OFFSET(CRONOPLE!$F$14,$M20,AV$13))))</f>
        <v>1000000000000</v>
      </c>
      <c r="AX20" s="182">
        <f ca="1">IF($D20&lt;&gt;"Serviço",0,IF(OR(AND(AUTOEVENTO="Manual",$M20=1),$M20&gt;(ROW(PLE.lastrow)-ROW(PLE.firstrow))),0,IF(OFFSET(PLE!$G$14,$M20,AX$13)="",10^12,OFFSET(PLE!$G$14,$M20,AX$13))))</f>
        <v>1000000000000</v>
      </c>
      <c r="AY20" s="182">
        <f ca="1">IF($D20&lt;&gt;"Serviço",0,IF(OR(AND(AUTOEVENTO="Manual",$M20=1),$M20&gt;(ROW(PLE.lastrow)-ROW(PLE.firstrow))),0,IF(OFFSET(PLE!$G$14,$M20,AY$13)="",10^12,OFFSET(PLE!$G$14,$M20,AY$13))))</f>
        <v>1000000000000</v>
      </c>
      <c r="AZ20" s="182">
        <f ca="1">IF($D20&lt;&gt;"Serviço",0,IF(OR(AND(AUTOEVENTO="Manual",$M20=1),$M20&gt;(ROW(PLE.lastrow)-ROW(PLE.firstrow))),0,IF(OFFSET(PLE!$G$14,$M20,AZ$13)="",10^12,OFFSET(PLE!$G$14,$M20,AZ$13))))</f>
        <v>1000000000000</v>
      </c>
      <c r="BA20" s="182">
        <f ca="1">IF($D20&lt;&gt;"Serviço",0,IF(OR(AND(AUTOEVENTO="Manual",$M20=1),$M20&gt;(ROW(PLE.lastrow)-ROW(PLE.firstrow))),0,IF(OFFSET(PLE!$G$14,$M20,BA$13)="",10^12,OFFSET(PLE!$G$14,$M20,BA$13))))</f>
        <v>1000000000000</v>
      </c>
      <c r="BB20" s="182">
        <f ca="1">IF($D20&lt;&gt;"Serviço",0,IF(OR(AND(AUTOEVENTO="Manual",$M20=1),$M20&gt;(ROW(PLE.lastrow)-ROW(PLE.firstrow))),0,IF(OFFSET(PLE!$G$14,$M20,BB$13)="",10^12,OFFSET(PLE!$G$14,$M20,BB$13))))</f>
        <v>1000000000000</v>
      </c>
      <c r="BC20" s="182">
        <f ca="1">IF($D20&lt;&gt;"Serviço",0,IF(OR(AND(AUTOEVENTO="Manual",$M20=1),$M20&gt;(ROW(PLE.lastrow)-ROW(PLE.firstrow))),0,IF(OFFSET(PLE!$G$14,$M20,BC$13)="",10^12,OFFSET(PLE!$G$14,$M20,BC$13))))</f>
        <v>1000000000000</v>
      </c>
      <c r="BD20" s="182">
        <f ca="1">IF($D20&lt;&gt;"Serviço",0,IF(OR(AND(AUTOEVENTO="Manual",$M20=1),$M20&gt;(ROW(PLE.lastrow)-ROW(PLE.firstrow))),0,IF(OFFSET(PLE!$G$14,$M20,BD$13)="",10^12,OFFSET(PLE!$G$14,$M20,BD$13))))</f>
        <v>1000000000000</v>
      </c>
      <c r="BE20" s="182">
        <f ca="1">IF($D20&lt;&gt;"Serviço",0,IF(OR(AND(AUTOEVENTO="Manual",$M20=1),$M20&gt;(ROW(PLE.lastrow)-ROW(PLE.firstrow))),0,IF(OFFSET(PLE!$G$14,$M20,BE$13)="",10^12,OFFSET(PLE!$G$14,$M20,BE$13))))</f>
        <v>1000000000000</v>
      </c>
      <c r="BF20" s="182">
        <f ca="1">IF($D20&lt;&gt;"Serviço",0,IF(OR(AND(AUTOEVENTO="Manual",$M20=1),$M20&gt;(ROW(PLE.lastrow)-ROW(PLE.firstrow))),0,IF(OFFSET(PLE!$G$14,$M20,BF$13)="",10^12,OFFSET(PLE!$G$14,$M20,BF$13))))</f>
        <v>1000000000000</v>
      </c>
      <c r="BG20" s="182">
        <f ca="1">IF($D20&lt;&gt;"Serviço",0,IF(OR(AND(AUTOEVENTO="Manual",$M20=1),$M20&gt;(ROW(PLE.lastrow)-ROW(PLE.firstrow))),0,IF(OFFSET(PLE!$G$14,$M20,BG$13)="",10^12,OFFSET(PLE!$G$14,$M20,BG$13))))</f>
        <v>1000000000000</v>
      </c>
    </row>
    <row r="21" spans="1:59" ht="12.75" x14ac:dyDescent="0.2">
      <c r="A21" s="7" t="str">
        <f t="shared" ca="1" si="8"/>
        <v>2</v>
      </c>
      <c r="B21" s="7" t="str">
        <f ca="1">OFFSET(ORÇAMENTO!C$15,ROW(B21)-ROW(B$15),0)</f>
        <v>S</v>
      </c>
      <c r="C21" s="7" t="str">
        <f ca="1">OFFSET(ORÇAMENTO!L$15,ROW(C21)-ROW(C$15),0)</f>
        <v/>
      </c>
      <c r="D21" s="118" t="str">
        <f ca="1">OFFSET(ORÇAMENTO!N$15,ROW(D21)-ROW(D$15),0)</f>
        <v>Serviço</v>
      </c>
      <c r="E21" s="119" t="str">
        <f ca="1">OFFSET(ORÇAMENTO!O$15,ROW(E21)-ROW(E$15),0)</f>
        <v>-</v>
      </c>
      <c r="F21" s="172" t="str">
        <f ca="1">OFFSET(ORÇAMENTO!R$15,ROW(F21)-ROW(F$15),0)</f>
        <v>(abra o arquivo 'Referência 02-2025.xlsm)</v>
      </c>
      <c r="G21" s="173" t="str">
        <f ca="1">IF($D21&lt;&gt;"Serviço","",OFFSET(ORÇAMENTO!S$15,ROW(G21)-ROW(G$15),0))</f>
        <v>-</v>
      </c>
      <c r="H21" s="124">
        <f ca="1">IF($D21&lt;&gt;"Serviço",0,IF(ACOMPANHAMENTO="BM",ROUND(OFFSET(ORÇAMENTO!AJ$15,ROW(H21)-ROW(H$15),0),15-13*ORÇAMENTO!$AF$7),SUMPRODUCT(($Q$12:$AA$12&lt;&gt;"")*ROUND($Q21:$AA21,15-13*ORÇAMENTO!$AF$7))))</f>
        <v>1</v>
      </c>
      <c r="I21" s="561" t="s">
        <v>890</v>
      </c>
      <c r="K21" s="174"/>
      <c r="L21" s="175" t="s">
        <v>255</v>
      </c>
      <c r="M21" s="176">
        <f ca="1">IF($D21&lt;&gt;"Serviço","",IF(AUTOEVENTO="manual",$A21,IF(ISERROR(MATCH($A21,$A$15:OFFSET($A21,-1,0),0)),MAX($M$15:OFFSET(M21,-1,0))+1,INDEX($M$15:OFFSET(M21,-1,0),MATCH($A21,$A$15:OFFSET($A21,-1,0),0)))))</f>
        <v>2</v>
      </c>
      <c r="N21" s="177" t="str">
        <f ca="1">IF($D21&lt;&gt;"Serviço","",IF(AUTOEVENTO="Manual",IF($A21=0,"&lt;-- defina o número do agrupador",OFFSET(EVENTOS!$D$14,$A21,0)),OFFSET($F$15,$A21,0)))</f>
        <v>SERVIÇOS PRELIMINARES</v>
      </c>
      <c r="O21" s="178"/>
      <c r="Q21" s="178"/>
      <c r="R21" s="179"/>
      <c r="S21" s="179"/>
      <c r="T21" s="179"/>
      <c r="U21" s="179"/>
      <c r="V21" s="179"/>
      <c r="W21" s="179"/>
      <c r="X21" s="179"/>
      <c r="Y21" s="179"/>
      <c r="Z21" s="180"/>
      <c r="AB21" s="544">
        <f ca="1">IF(AND($D21="Serviço",AB$12&lt;&gt;0,$H21&gt;0,OR(AUTOEVENTO&lt;&gt;"manual",$M21&lt;&gt;1)),
IF(Import.TipoArredondamento&lt;&gt;"TransfereGOV",
ROUND(OFFSET($P21,0,AB$13),15-13*ORÇAMENTO!$AF$7)/$H21*OFFSET(ORÇAMENTO!$X$15,ROW(AB21)-ROW(AB$15),0),
ROUND(ROUND(OFFSET($P21,0,AB$13),15-13*ORÇAMENTO!$AF$7)*OFFSET(ORÇAMENTO!$W$15,ROW(AB21)-ROW(AB$15),0),15-13*ORÇAMENTO!$AF$11)),0)</f>
        <v>0</v>
      </c>
      <c r="AC21" s="545">
        <f ca="1">IF(AND($D21="Serviço",AC$12&lt;&gt;0,$H21&gt;0,OR(AUTOEVENTO&lt;&gt;"manual",$M21&lt;&gt;1)),
IF(Import.TipoArredondamento&lt;&gt;"TransfereGOV",
ROUND(OFFSET($P21,0,AC$13),15-13*ORÇAMENTO!$AF$7)/$H21*OFFSET(ORÇAMENTO!$X$15,ROW(AC21)-ROW(AC$15),0),
ROUND(ROUND(OFFSET($P21,0,AC$13),15-13*ORÇAMENTO!$AF$7)*OFFSET(ORÇAMENTO!$W$15,ROW(AC21)-ROW(AC$15),0),15-13*ORÇAMENTO!$AF$11)),0)</f>
        <v>0</v>
      </c>
      <c r="AD21" s="545">
        <f ca="1">IF(AND($D21="Serviço",AD$12&lt;&gt;0,$H21&gt;0,OR(AUTOEVENTO&lt;&gt;"manual",$M21&lt;&gt;1)),
IF(Import.TipoArredondamento&lt;&gt;"TransfereGOV",
ROUND(OFFSET($P21,0,AD$13),15-13*ORÇAMENTO!$AF$7)/$H21*OFFSET(ORÇAMENTO!$X$15,ROW(AD21)-ROW(AD$15),0),
ROUND(ROUND(OFFSET($P21,0,AD$13),15-13*ORÇAMENTO!$AF$7)*OFFSET(ORÇAMENTO!$W$15,ROW(AD21)-ROW(AD$15),0),15-13*ORÇAMENTO!$AF$11)),0)</f>
        <v>0</v>
      </c>
      <c r="AE21" s="545">
        <f ca="1">IF(AND($D21="Serviço",AE$12&lt;&gt;0,$H21&gt;0,OR(AUTOEVENTO&lt;&gt;"manual",$M21&lt;&gt;1)),
IF(Import.TipoArredondamento&lt;&gt;"TransfereGOV",
ROUND(OFFSET($P21,0,AE$13),15-13*ORÇAMENTO!$AF$7)/$H21*OFFSET(ORÇAMENTO!$X$15,ROW(AE21)-ROW(AE$15),0),
ROUND(ROUND(OFFSET($P21,0,AE$13),15-13*ORÇAMENTO!$AF$7)*OFFSET(ORÇAMENTO!$W$15,ROW(AE21)-ROW(AE$15),0),15-13*ORÇAMENTO!$AF$11)),0)</f>
        <v>0</v>
      </c>
      <c r="AF21" s="545">
        <f ca="1">IF(AND($D21="Serviço",AF$12&lt;&gt;0,$H21&gt;0,OR(AUTOEVENTO&lt;&gt;"manual",$M21&lt;&gt;1)),
IF(Import.TipoArredondamento&lt;&gt;"TransfereGOV",
ROUND(OFFSET($P21,0,AF$13),15-13*ORÇAMENTO!$AF$7)/$H21*OFFSET(ORÇAMENTO!$X$15,ROW(AF21)-ROW(AF$15),0),
ROUND(ROUND(OFFSET($P21,0,AF$13),15-13*ORÇAMENTO!$AF$7)*OFFSET(ORÇAMENTO!$W$15,ROW(AF21)-ROW(AF$15),0),15-13*ORÇAMENTO!$AF$11)),0)</f>
        <v>0</v>
      </c>
      <c r="AG21" s="545">
        <f ca="1">IF(AND($D21="Serviço",AG$12&lt;&gt;0,$H21&gt;0,OR(AUTOEVENTO&lt;&gt;"manual",$M21&lt;&gt;1)),
IF(Import.TipoArredondamento&lt;&gt;"TransfereGOV",
ROUND(OFFSET($P21,0,AG$13),15-13*ORÇAMENTO!$AF$7)/$H21*OFFSET(ORÇAMENTO!$X$15,ROW(AG21)-ROW(AG$15),0),
ROUND(ROUND(OFFSET($P21,0,AG$13),15-13*ORÇAMENTO!$AF$7)*OFFSET(ORÇAMENTO!$W$15,ROW(AG21)-ROW(AG$15),0),15-13*ORÇAMENTO!$AF$11)),0)</f>
        <v>0</v>
      </c>
      <c r="AH21" s="545">
        <f ca="1">IF(AND($D21="Serviço",AH$12&lt;&gt;0,$H21&gt;0,OR(AUTOEVENTO&lt;&gt;"manual",$M21&lt;&gt;1)),
IF(Import.TipoArredondamento&lt;&gt;"TransfereGOV",
ROUND(OFFSET($P21,0,AH$13),15-13*ORÇAMENTO!$AF$7)/$H21*OFFSET(ORÇAMENTO!$X$15,ROW(AH21)-ROW(AH$15),0),
ROUND(ROUND(OFFSET($P21,0,AH$13),15-13*ORÇAMENTO!$AF$7)*OFFSET(ORÇAMENTO!$W$15,ROW(AH21)-ROW(AH$15),0),15-13*ORÇAMENTO!$AF$11)),0)</f>
        <v>0</v>
      </c>
      <c r="AI21" s="545">
        <f ca="1">IF(AND($D21="Serviço",AI$12&lt;&gt;0,$H21&gt;0,OR(AUTOEVENTO&lt;&gt;"manual",$M21&lt;&gt;1)),
IF(Import.TipoArredondamento&lt;&gt;"TransfereGOV",
ROUND(OFFSET($P21,0,AI$13),15-13*ORÇAMENTO!$AF$7)/$H21*OFFSET(ORÇAMENTO!$X$15,ROW(AI21)-ROW(AI$15),0),
ROUND(ROUND(OFFSET($P21,0,AI$13),15-13*ORÇAMENTO!$AF$7)*OFFSET(ORÇAMENTO!$W$15,ROW(AI21)-ROW(AI$15),0),15-13*ORÇAMENTO!$AF$11)),0)</f>
        <v>0</v>
      </c>
      <c r="AJ21" s="545">
        <f ca="1">IF(AND($D21="Serviço",AJ$12&lt;&gt;0,$H21&gt;0,OR(AUTOEVENTO&lt;&gt;"manual",$M21&lt;&gt;1)),
IF(Import.TipoArredondamento&lt;&gt;"TransfereGOV",
ROUND(OFFSET($P21,0,AJ$13),15-13*ORÇAMENTO!$AF$7)/$H21*OFFSET(ORÇAMENTO!$X$15,ROW(AJ21)-ROW(AJ$15),0),
ROUND(ROUND(OFFSET($P21,0,AJ$13),15-13*ORÇAMENTO!$AF$7)*OFFSET(ORÇAMENTO!$W$15,ROW(AJ21)-ROW(AJ$15),0),15-13*ORÇAMENTO!$AF$11)),0)</f>
        <v>0</v>
      </c>
      <c r="AK21" s="546">
        <f ca="1">IF(AND($D21="Serviço",AK$12&lt;&gt;0,$H21&gt;0,OR(AUTOEVENTO&lt;&gt;"manual",$M21&lt;&gt;1)),
IF(Import.TipoArredondamento&lt;&gt;"TransfereGOV",
ROUND(OFFSET($P21,0,AK$13),15-13*ORÇAMENTO!$AF$7)/$H21*OFFSET(ORÇAMENTO!$X$15,ROW(AK21)-ROW(AK$15),0),
ROUND(ROUND(OFFSET($P21,0,AK$13),15-13*ORÇAMENTO!$AF$7)*OFFSET(ORÇAMENTO!$W$15,ROW(AK21)-ROW(AK$15),0),15-13*ORÇAMENTO!$AF$11)),0)</f>
        <v>0</v>
      </c>
      <c r="AM21" s="181">
        <f ca="1">IF($D21&lt;&gt;"Serviço",0,IF(AND(AUTOEVENTO="Manual",$M21=1),0,IF(OFFSET(CRONOPLE!$F$14,$M21,AM$13)="",10^12,OFFSET(CRONOPLE!$F$14,$M21,AM$13))))</f>
        <v>1000000000000</v>
      </c>
      <c r="AN21" s="181">
        <f ca="1">IF($D21&lt;&gt;"Serviço",0,IF(AND(AUTOEVENTO="Manual",$M21=1),0,IF(OFFSET(CRONOPLE!$F$14,$M21,AN$13)="",10^12,OFFSET(CRONOPLE!$F$14,$M21,AN$13))))</f>
        <v>1000000000000</v>
      </c>
      <c r="AO21" s="181">
        <f ca="1">IF($D21&lt;&gt;"Serviço",0,IF(AND(AUTOEVENTO="Manual",$M21=1),0,IF(OFFSET(CRONOPLE!$F$14,$M21,AO$13)="",10^12,OFFSET(CRONOPLE!$F$14,$M21,AO$13))))</f>
        <v>1000000000000</v>
      </c>
      <c r="AP21" s="181">
        <f ca="1">IF($D21&lt;&gt;"Serviço",0,IF(AND(AUTOEVENTO="Manual",$M21=1),0,IF(OFFSET(CRONOPLE!$F$14,$M21,AP$13)="",10^12,OFFSET(CRONOPLE!$F$14,$M21,AP$13))))</f>
        <v>1000000000000</v>
      </c>
      <c r="AQ21" s="181">
        <f ca="1">IF($D21&lt;&gt;"Serviço",0,IF(AND(AUTOEVENTO="Manual",$M21=1),0,IF(OFFSET(CRONOPLE!$F$14,$M21,AQ$13)="",10^12,OFFSET(CRONOPLE!$F$14,$M21,AQ$13))))</f>
        <v>1000000000000</v>
      </c>
      <c r="AR21" s="181">
        <f ca="1">IF($D21&lt;&gt;"Serviço",0,IF(AND(AUTOEVENTO="Manual",$M21=1),0,IF(OFFSET(CRONOPLE!$F$14,$M21,AR$13)="",10^12,OFFSET(CRONOPLE!$F$14,$M21,AR$13))))</f>
        <v>1000000000000</v>
      </c>
      <c r="AS21" s="181">
        <f ca="1">IF($D21&lt;&gt;"Serviço",0,IF(AND(AUTOEVENTO="Manual",$M21=1),0,IF(OFFSET(CRONOPLE!$F$14,$M21,AS$13)="",10^12,OFFSET(CRONOPLE!$F$14,$M21,AS$13))))</f>
        <v>1000000000000</v>
      </c>
      <c r="AT21" s="181">
        <f ca="1">IF($D21&lt;&gt;"Serviço",0,IF(AND(AUTOEVENTO="Manual",$M21=1),0,IF(OFFSET(CRONOPLE!$F$14,$M21,AT$13)="",10^12,OFFSET(CRONOPLE!$F$14,$M21,AT$13))))</f>
        <v>1000000000000</v>
      </c>
      <c r="AU21" s="181">
        <f ca="1">IF($D21&lt;&gt;"Serviço",0,IF(AND(AUTOEVENTO="Manual",$M21=1),0,IF(OFFSET(CRONOPLE!$F$14,$M21,AU$13)="",10^12,OFFSET(CRONOPLE!$F$14,$M21,AU$13))))</f>
        <v>1000000000000</v>
      </c>
      <c r="AV21" s="181">
        <f ca="1">IF($D21&lt;&gt;"Serviço",0,IF(AND(AUTOEVENTO="Manual",$M21=1),0,IF(OFFSET(CRONOPLE!$F$14,$M21,AV$13)="",10^12,OFFSET(CRONOPLE!$F$14,$M21,AV$13))))</f>
        <v>1000000000000</v>
      </c>
      <c r="AX21" s="182">
        <f ca="1">IF($D21&lt;&gt;"Serviço",0,IF(OR(AND(AUTOEVENTO="Manual",$M21=1),$M21&gt;(ROW(PLE.lastrow)-ROW(PLE.firstrow))),0,IF(OFFSET(PLE!$G$14,$M21,AX$13)="",10^12,OFFSET(PLE!$G$14,$M21,AX$13))))</f>
        <v>1000000000000</v>
      </c>
      <c r="AY21" s="182">
        <f ca="1">IF($D21&lt;&gt;"Serviço",0,IF(OR(AND(AUTOEVENTO="Manual",$M21=1),$M21&gt;(ROW(PLE.lastrow)-ROW(PLE.firstrow))),0,IF(OFFSET(PLE!$G$14,$M21,AY$13)="",10^12,OFFSET(PLE!$G$14,$M21,AY$13))))</f>
        <v>1000000000000</v>
      </c>
      <c r="AZ21" s="182">
        <f ca="1">IF($D21&lt;&gt;"Serviço",0,IF(OR(AND(AUTOEVENTO="Manual",$M21=1),$M21&gt;(ROW(PLE.lastrow)-ROW(PLE.firstrow))),0,IF(OFFSET(PLE!$G$14,$M21,AZ$13)="",10^12,OFFSET(PLE!$G$14,$M21,AZ$13))))</f>
        <v>1000000000000</v>
      </c>
      <c r="BA21" s="182">
        <f ca="1">IF($D21&lt;&gt;"Serviço",0,IF(OR(AND(AUTOEVENTO="Manual",$M21=1),$M21&gt;(ROW(PLE.lastrow)-ROW(PLE.firstrow))),0,IF(OFFSET(PLE!$G$14,$M21,BA$13)="",10^12,OFFSET(PLE!$G$14,$M21,BA$13))))</f>
        <v>1000000000000</v>
      </c>
      <c r="BB21" s="182">
        <f ca="1">IF($D21&lt;&gt;"Serviço",0,IF(OR(AND(AUTOEVENTO="Manual",$M21=1),$M21&gt;(ROW(PLE.lastrow)-ROW(PLE.firstrow))),0,IF(OFFSET(PLE!$G$14,$M21,BB$13)="",10^12,OFFSET(PLE!$G$14,$M21,BB$13))))</f>
        <v>1000000000000</v>
      </c>
      <c r="BC21" s="182">
        <f ca="1">IF($D21&lt;&gt;"Serviço",0,IF(OR(AND(AUTOEVENTO="Manual",$M21=1),$M21&gt;(ROW(PLE.lastrow)-ROW(PLE.firstrow))),0,IF(OFFSET(PLE!$G$14,$M21,BC$13)="",10^12,OFFSET(PLE!$G$14,$M21,BC$13))))</f>
        <v>1000000000000</v>
      </c>
      <c r="BD21" s="182">
        <f ca="1">IF($D21&lt;&gt;"Serviço",0,IF(OR(AND(AUTOEVENTO="Manual",$M21=1),$M21&gt;(ROW(PLE.lastrow)-ROW(PLE.firstrow))),0,IF(OFFSET(PLE!$G$14,$M21,BD$13)="",10^12,OFFSET(PLE!$G$14,$M21,BD$13))))</f>
        <v>1000000000000</v>
      </c>
      <c r="BE21" s="182">
        <f ca="1">IF($D21&lt;&gt;"Serviço",0,IF(OR(AND(AUTOEVENTO="Manual",$M21=1),$M21&gt;(ROW(PLE.lastrow)-ROW(PLE.firstrow))),0,IF(OFFSET(PLE!$G$14,$M21,BE$13)="",10^12,OFFSET(PLE!$G$14,$M21,BE$13))))</f>
        <v>1000000000000</v>
      </c>
      <c r="BF21" s="182">
        <f ca="1">IF($D21&lt;&gt;"Serviço",0,IF(OR(AND(AUTOEVENTO="Manual",$M21=1),$M21&gt;(ROW(PLE.lastrow)-ROW(PLE.firstrow))),0,IF(OFFSET(PLE!$G$14,$M21,BF$13)="",10^12,OFFSET(PLE!$G$14,$M21,BF$13))))</f>
        <v>1000000000000</v>
      </c>
      <c r="BG21" s="182">
        <f ca="1">IF($D21&lt;&gt;"Serviço",0,IF(OR(AND(AUTOEVENTO="Manual",$M21=1),$M21&gt;(ROW(PLE.lastrow)-ROW(PLE.firstrow))),0,IF(OFFSET(PLE!$G$14,$M21,BG$13)="",10^12,OFFSET(PLE!$G$14,$M21,BG$13))))</f>
        <v>1000000000000</v>
      </c>
    </row>
    <row r="22" spans="1:59" ht="38.25" x14ac:dyDescent="0.2">
      <c r="A22" s="7" t="str">
        <f t="shared" ca="1" si="8"/>
        <v>2</v>
      </c>
      <c r="B22" s="7" t="str">
        <f ca="1">OFFSET(ORÇAMENTO!C$15,ROW(B22)-ROW(B$15),0)</f>
        <v>S</v>
      </c>
      <c r="C22" s="7" t="str">
        <f ca="1">OFFSET(ORÇAMENTO!L$15,ROW(C22)-ROW(C$15),0)</f>
        <v/>
      </c>
      <c r="D22" s="118" t="str">
        <f ca="1">OFFSET(ORÇAMENTO!N$15,ROW(D22)-ROW(D$15),0)</f>
        <v>Serviço</v>
      </c>
      <c r="E22" s="119" t="str">
        <f ca="1">OFFSET(ORÇAMENTO!O$15,ROW(E22)-ROW(E$15),0)</f>
        <v>-</v>
      </c>
      <c r="F22" s="172" t="str">
        <f ca="1">OFFSET(ORÇAMENTO!R$15,ROW(F22)-ROW(F$15),0)</f>
        <v>(abra o arquivo 'Referência 02-2025.xlsm)</v>
      </c>
      <c r="G22" s="173" t="str">
        <f ca="1">IF($D22&lt;&gt;"Serviço","",OFFSET(ORÇAMENTO!S$15,ROW(G22)-ROW(G$15),0))</f>
        <v>-</v>
      </c>
      <c r="H22" s="124">
        <f ca="1">IF($D22&lt;&gt;"Serviço",0,IF(ACOMPANHAMENTO="BM",ROUND(OFFSET(ORÇAMENTO!AJ$15,ROW(H22)-ROW(H$15),0),15-13*ORÇAMENTO!$AF$7),SUMPRODUCT(($Q$12:$AA$12&lt;&gt;"")*ROUND($Q22:$AA22,15-13*ORÇAMENTO!$AF$7))))</f>
        <v>254</v>
      </c>
      <c r="I22" s="561" t="s">
        <v>890</v>
      </c>
      <c r="K22" s="174"/>
      <c r="L22" s="175" t="s">
        <v>255</v>
      </c>
      <c r="M22" s="176">
        <f ca="1">IF($D22&lt;&gt;"Serviço","",IF(AUTOEVENTO="manual",$A22,IF(ISERROR(MATCH($A22,$A$15:OFFSET($A22,-1,0),0)),MAX($M$15:OFFSET(M22,-1,0))+1,INDEX($M$15:OFFSET(M22,-1,0),MATCH($A22,$A$15:OFFSET($A22,-1,0),0)))))</f>
        <v>2</v>
      </c>
      <c r="N22" s="177" t="str">
        <f ca="1">IF($D22&lt;&gt;"Serviço","",IF(AUTOEVENTO="Manual",IF($A22=0,"&lt;-- defina o número do agrupador",OFFSET(EVENTOS!$D$14,$A22,0)),OFFSET($F$15,$A22,0)))</f>
        <v>SERVIÇOS PRELIMINARES</v>
      </c>
      <c r="O22" s="178"/>
      <c r="Q22" s="178"/>
      <c r="R22" s="179"/>
      <c r="S22" s="179"/>
      <c r="T22" s="179"/>
      <c r="U22" s="179"/>
      <c r="V22" s="179"/>
      <c r="W22" s="179"/>
      <c r="X22" s="179"/>
      <c r="Y22" s="179"/>
      <c r="Z22" s="180"/>
      <c r="AB22" s="544">
        <f ca="1">IF(AND($D22="Serviço",AB$12&lt;&gt;0,$H22&gt;0,OR(AUTOEVENTO&lt;&gt;"manual",$M22&lt;&gt;1)),
IF(Import.TipoArredondamento&lt;&gt;"TransfereGOV",
ROUND(OFFSET($P22,0,AB$13),15-13*ORÇAMENTO!$AF$7)/$H22*OFFSET(ORÇAMENTO!$X$15,ROW(AB22)-ROW(AB$15),0),
ROUND(ROUND(OFFSET($P22,0,AB$13),15-13*ORÇAMENTO!$AF$7)*OFFSET(ORÇAMENTO!$W$15,ROW(AB22)-ROW(AB$15),0),15-13*ORÇAMENTO!$AF$11)),0)</f>
        <v>0</v>
      </c>
      <c r="AC22" s="545">
        <f ca="1">IF(AND($D22="Serviço",AC$12&lt;&gt;0,$H22&gt;0,OR(AUTOEVENTO&lt;&gt;"manual",$M22&lt;&gt;1)),
IF(Import.TipoArredondamento&lt;&gt;"TransfereGOV",
ROUND(OFFSET($P22,0,AC$13),15-13*ORÇAMENTO!$AF$7)/$H22*OFFSET(ORÇAMENTO!$X$15,ROW(AC22)-ROW(AC$15),0),
ROUND(ROUND(OFFSET($P22,0,AC$13),15-13*ORÇAMENTO!$AF$7)*OFFSET(ORÇAMENTO!$W$15,ROW(AC22)-ROW(AC$15),0),15-13*ORÇAMENTO!$AF$11)),0)</f>
        <v>0</v>
      </c>
      <c r="AD22" s="545">
        <f ca="1">IF(AND($D22="Serviço",AD$12&lt;&gt;0,$H22&gt;0,OR(AUTOEVENTO&lt;&gt;"manual",$M22&lt;&gt;1)),
IF(Import.TipoArredondamento&lt;&gt;"TransfereGOV",
ROUND(OFFSET($P22,0,AD$13),15-13*ORÇAMENTO!$AF$7)/$H22*OFFSET(ORÇAMENTO!$X$15,ROW(AD22)-ROW(AD$15),0),
ROUND(ROUND(OFFSET($P22,0,AD$13),15-13*ORÇAMENTO!$AF$7)*OFFSET(ORÇAMENTO!$W$15,ROW(AD22)-ROW(AD$15),0),15-13*ORÇAMENTO!$AF$11)),0)</f>
        <v>0</v>
      </c>
      <c r="AE22" s="545">
        <f ca="1">IF(AND($D22="Serviço",AE$12&lt;&gt;0,$H22&gt;0,OR(AUTOEVENTO&lt;&gt;"manual",$M22&lt;&gt;1)),
IF(Import.TipoArredondamento&lt;&gt;"TransfereGOV",
ROUND(OFFSET($P22,0,AE$13),15-13*ORÇAMENTO!$AF$7)/$H22*OFFSET(ORÇAMENTO!$X$15,ROW(AE22)-ROW(AE$15),0),
ROUND(ROUND(OFFSET($P22,0,AE$13),15-13*ORÇAMENTO!$AF$7)*OFFSET(ORÇAMENTO!$W$15,ROW(AE22)-ROW(AE$15),0),15-13*ORÇAMENTO!$AF$11)),0)</f>
        <v>0</v>
      </c>
      <c r="AF22" s="545">
        <f ca="1">IF(AND($D22="Serviço",AF$12&lt;&gt;0,$H22&gt;0,OR(AUTOEVENTO&lt;&gt;"manual",$M22&lt;&gt;1)),
IF(Import.TipoArredondamento&lt;&gt;"TransfereGOV",
ROUND(OFFSET($P22,0,AF$13),15-13*ORÇAMENTO!$AF$7)/$H22*OFFSET(ORÇAMENTO!$X$15,ROW(AF22)-ROW(AF$15),0),
ROUND(ROUND(OFFSET($P22,0,AF$13),15-13*ORÇAMENTO!$AF$7)*OFFSET(ORÇAMENTO!$W$15,ROW(AF22)-ROW(AF$15),0),15-13*ORÇAMENTO!$AF$11)),0)</f>
        <v>0</v>
      </c>
      <c r="AG22" s="545">
        <f ca="1">IF(AND($D22="Serviço",AG$12&lt;&gt;0,$H22&gt;0,OR(AUTOEVENTO&lt;&gt;"manual",$M22&lt;&gt;1)),
IF(Import.TipoArredondamento&lt;&gt;"TransfereGOV",
ROUND(OFFSET($P22,0,AG$13),15-13*ORÇAMENTO!$AF$7)/$H22*OFFSET(ORÇAMENTO!$X$15,ROW(AG22)-ROW(AG$15),0),
ROUND(ROUND(OFFSET($P22,0,AG$13),15-13*ORÇAMENTO!$AF$7)*OFFSET(ORÇAMENTO!$W$15,ROW(AG22)-ROW(AG$15),0),15-13*ORÇAMENTO!$AF$11)),0)</f>
        <v>0</v>
      </c>
      <c r="AH22" s="545">
        <f ca="1">IF(AND($D22="Serviço",AH$12&lt;&gt;0,$H22&gt;0,OR(AUTOEVENTO&lt;&gt;"manual",$M22&lt;&gt;1)),
IF(Import.TipoArredondamento&lt;&gt;"TransfereGOV",
ROUND(OFFSET($P22,0,AH$13),15-13*ORÇAMENTO!$AF$7)/$H22*OFFSET(ORÇAMENTO!$X$15,ROW(AH22)-ROW(AH$15),0),
ROUND(ROUND(OFFSET($P22,0,AH$13),15-13*ORÇAMENTO!$AF$7)*OFFSET(ORÇAMENTO!$W$15,ROW(AH22)-ROW(AH$15),0),15-13*ORÇAMENTO!$AF$11)),0)</f>
        <v>0</v>
      </c>
      <c r="AI22" s="545">
        <f ca="1">IF(AND($D22="Serviço",AI$12&lt;&gt;0,$H22&gt;0,OR(AUTOEVENTO&lt;&gt;"manual",$M22&lt;&gt;1)),
IF(Import.TipoArredondamento&lt;&gt;"TransfereGOV",
ROUND(OFFSET($P22,0,AI$13),15-13*ORÇAMENTO!$AF$7)/$H22*OFFSET(ORÇAMENTO!$X$15,ROW(AI22)-ROW(AI$15),0),
ROUND(ROUND(OFFSET($P22,0,AI$13),15-13*ORÇAMENTO!$AF$7)*OFFSET(ORÇAMENTO!$W$15,ROW(AI22)-ROW(AI$15),0),15-13*ORÇAMENTO!$AF$11)),0)</f>
        <v>0</v>
      </c>
      <c r="AJ22" s="545">
        <f ca="1">IF(AND($D22="Serviço",AJ$12&lt;&gt;0,$H22&gt;0,OR(AUTOEVENTO&lt;&gt;"manual",$M22&lt;&gt;1)),
IF(Import.TipoArredondamento&lt;&gt;"TransfereGOV",
ROUND(OFFSET($P22,0,AJ$13),15-13*ORÇAMENTO!$AF$7)/$H22*OFFSET(ORÇAMENTO!$X$15,ROW(AJ22)-ROW(AJ$15),0),
ROUND(ROUND(OFFSET($P22,0,AJ$13),15-13*ORÇAMENTO!$AF$7)*OFFSET(ORÇAMENTO!$W$15,ROW(AJ22)-ROW(AJ$15),0),15-13*ORÇAMENTO!$AF$11)),0)</f>
        <v>0</v>
      </c>
      <c r="AK22" s="546">
        <f ca="1">IF(AND($D22="Serviço",AK$12&lt;&gt;0,$H22&gt;0,OR(AUTOEVENTO&lt;&gt;"manual",$M22&lt;&gt;1)),
IF(Import.TipoArredondamento&lt;&gt;"TransfereGOV",
ROUND(OFFSET($P22,0,AK$13),15-13*ORÇAMENTO!$AF$7)/$H22*OFFSET(ORÇAMENTO!$X$15,ROW(AK22)-ROW(AK$15),0),
ROUND(ROUND(OFFSET($P22,0,AK$13),15-13*ORÇAMENTO!$AF$7)*OFFSET(ORÇAMENTO!$W$15,ROW(AK22)-ROW(AK$15),0),15-13*ORÇAMENTO!$AF$11)),0)</f>
        <v>0</v>
      </c>
      <c r="AM22" s="181">
        <f ca="1">IF($D22&lt;&gt;"Serviço",0,IF(AND(AUTOEVENTO="Manual",$M22=1),0,IF(OFFSET(CRONOPLE!$F$14,$M22,AM$13)="",10^12,OFFSET(CRONOPLE!$F$14,$M22,AM$13))))</f>
        <v>1000000000000</v>
      </c>
      <c r="AN22" s="181">
        <f ca="1">IF($D22&lt;&gt;"Serviço",0,IF(AND(AUTOEVENTO="Manual",$M22=1),0,IF(OFFSET(CRONOPLE!$F$14,$M22,AN$13)="",10^12,OFFSET(CRONOPLE!$F$14,$M22,AN$13))))</f>
        <v>1000000000000</v>
      </c>
      <c r="AO22" s="181">
        <f ca="1">IF($D22&lt;&gt;"Serviço",0,IF(AND(AUTOEVENTO="Manual",$M22=1),0,IF(OFFSET(CRONOPLE!$F$14,$M22,AO$13)="",10^12,OFFSET(CRONOPLE!$F$14,$M22,AO$13))))</f>
        <v>1000000000000</v>
      </c>
      <c r="AP22" s="181">
        <f ca="1">IF($D22&lt;&gt;"Serviço",0,IF(AND(AUTOEVENTO="Manual",$M22=1),0,IF(OFFSET(CRONOPLE!$F$14,$M22,AP$13)="",10^12,OFFSET(CRONOPLE!$F$14,$M22,AP$13))))</f>
        <v>1000000000000</v>
      </c>
      <c r="AQ22" s="181">
        <f ca="1">IF($D22&lt;&gt;"Serviço",0,IF(AND(AUTOEVENTO="Manual",$M22=1),0,IF(OFFSET(CRONOPLE!$F$14,$M22,AQ$13)="",10^12,OFFSET(CRONOPLE!$F$14,$M22,AQ$13))))</f>
        <v>1000000000000</v>
      </c>
      <c r="AR22" s="181">
        <f ca="1">IF($D22&lt;&gt;"Serviço",0,IF(AND(AUTOEVENTO="Manual",$M22=1),0,IF(OFFSET(CRONOPLE!$F$14,$M22,AR$13)="",10^12,OFFSET(CRONOPLE!$F$14,$M22,AR$13))))</f>
        <v>1000000000000</v>
      </c>
      <c r="AS22" s="181">
        <f ca="1">IF($D22&lt;&gt;"Serviço",0,IF(AND(AUTOEVENTO="Manual",$M22=1),0,IF(OFFSET(CRONOPLE!$F$14,$M22,AS$13)="",10^12,OFFSET(CRONOPLE!$F$14,$M22,AS$13))))</f>
        <v>1000000000000</v>
      </c>
      <c r="AT22" s="181">
        <f ca="1">IF($D22&lt;&gt;"Serviço",0,IF(AND(AUTOEVENTO="Manual",$M22=1),0,IF(OFFSET(CRONOPLE!$F$14,$M22,AT$13)="",10^12,OFFSET(CRONOPLE!$F$14,$M22,AT$13))))</f>
        <v>1000000000000</v>
      </c>
      <c r="AU22" s="181">
        <f ca="1">IF($D22&lt;&gt;"Serviço",0,IF(AND(AUTOEVENTO="Manual",$M22=1),0,IF(OFFSET(CRONOPLE!$F$14,$M22,AU$13)="",10^12,OFFSET(CRONOPLE!$F$14,$M22,AU$13))))</f>
        <v>1000000000000</v>
      </c>
      <c r="AV22" s="181">
        <f ca="1">IF($D22&lt;&gt;"Serviço",0,IF(AND(AUTOEVENTO="Manual",$M22=1),0,IF(OFFSET(CRONOPLE!$F$14,$M22,AV$13)="",10^12,OFFSET(CRONOPLE!$F$14,$M22,AV$13))))</f>
        <v>1000000000000</v>
      </c>
      <c r="AX22" s="182">
        <f ca="1">IF($D22&lt;&gt;"Serviço",0,IF(OR(AND(AUTOEVENTO="Manual",$M22=1),$M22&gt;(ROW(PLE.lastrow)-ROW(PLE.firstrow))),0,IF(OFFSET(PLE!$G$14,$M22,AX$13)="",10^12,OFFSET(PLE!$G$14,$M22,AX$13))))</f>
        <v>1000000000000</v>
      </c>
      <c r="AY22" s="182">
        <f ca="1">IF($D22&lt;&gt;"Serviço",0,IF(OR(AND(AUTOEVENTO="Manual",$M22=1),$M22&gt;(ROW(PLE.lastrow)-ROW(PLE.firstrow))),0,IF(OFFSET(PLE!$G$14,$M22,AY$13)="",10^12,OFFSET(PLE!$G$14,$M22,AY$13))))</f>
        <v>1000000000000</v>
      </c>
      <c r="AZ22" s="182">
        <f ca="1">IF($D22&lt;&gt;"Serviço",0,IF(OR(AND(AUTOEVENTO="Manual",$M22=1),$M22&gt;(ROW(PLE.lastrow)-ROW(PLE.firstrow))),0,IF(OFFSET(PLE!$G$14,$M22,AZ$13)="",10^12,OFFSET(PLE!$G$14,$M22,AZ$13))))</f>
        <v>1000000000000</v>
      </c>
      <c r="BA22" s="182">
        <f ca="1">IF($D22&lt;&gt;"Serviço",0,IF(OR(AND(AUTOEVENTO="Manual",$M22=1),$M22&gt;(ROW(PLE.lastrow)-ROW(PLE.firstrow))),0,IF(OFFSET(PLE!$G$14,$M22,BA$13)="",10^12,OFFSET(PLE!$G$14,$M22,BA$13))))</f>
        <v>1000000000000</v>
      </c>
      <c r="BB22" s="182">
        <f ca="1">IF($D22&lt;&gt;"Serviço",0,IF(OR(AND(AUTOEVENTO="Manual",$M22=1),$M22&gt;(ROW(PLE.lastrow)-ROW(PLE.firstrow))),0,IF(OFFSET(PLE!$G$14,$M22,BB$13)="",10^12,OFFSET(PLE!$G$14,$M22,BB$13))))</f>
        <v>1000000000000</v>
      </c>
      <c r="BC22" s="182">
        <f ca="1">IF($D22&lt;&gt;"Serviço",0,IF(OR(AND(AUTOEVENTO="Manual",$M22=1),$M22&gt;(ROW(PLE.lastrow)-ROW(PLE.firstrow))),0,IF(OFFSET(PLE!$G$14,$M22,BC$13)="",10^12,OFFSET(PLE!$G$14,$M22,BC$13))))</f>
        <v>1000000000000</v>
      </c>
      <c r="BD22" s="182">
        <f ca="1">IF($D22&lt;&gt;"Serviço",0,IF(OR(AND(AUTOEVENTO="Manual",$M22=1),$M22&gt;(ROW(PLE.lastrow)-ROW(PLE.firstrow))),0,IF(OFFSET(PLE!$G$14,$M22,BD$13)="",10^12,OFFSET(PLE!$G$14,$M22,BD$13))))</f>
        <v>1000000000000</v>
      </c>
      <c r="BE22" s="182">
        <f ca="1">IF($D22&lt;&gt;"Serviço",0,IF(OR(AND(AUTOEVENTO="Manual",$M22=1),$M22&gt;(ROW(PLE.lastrow)-ROW(PLE.firstrow))),0,IF(OFFSET(PLE!$G$14,$M22,BE$13)="",10^12,OFFSET(PLE!$G$14,$M22,BE$13))))</f>
        <v>1000000000000</v>
      </c>
      <c r="BF22" s="182">
        <f ca="1">IF($D22&lt;&gt;"Serviço",0,IF(OR(AND(AUTOEVENTO="Manual",$M22=1),$M22&gt;(ROW(PLE.lastrow)-ROW(PLE.firstrow))),0,IF(OFFSET(PLE!$G$14,$M22,BF$13)="",10^12,OFFSET(PLE!$G$14,$M22,BF$13))))</f>
        <v>1000000000000</v>
      </c>
      <c r="BG22" s="182">
        <f ca="1">IF($D22&lt;&gt;"Serviço",0,IF(OR(AND(AUTOEVENTO="Manual",$M22=1),$M22&gt;(ROW(PLE.lastrow)-ROW(PLE.firstrow))),0,IF(OFFSET(PLE!$G$14,$M22,BG$13)="",10^12,OFFSET(PLE!$G$14,$M22,BG$13))))</f>
        <v>1000000000000</v>
      </c>
    </row>
    <row r="23" spans="1:59" ht="12.75" x14ac:dyDescent="0.2">
      <c r="A23" s="7" t="str">
        <f t="shared" ca="1" si="8"/>
        <v>2</v>
      </c>
      <c r="B23" s="7" t="str">
        <f ca="1">OFFSET(ORÇAMENTO!C$15,ROW(B23)-ROW(B$15),0)</f>
        <v>S</v>
      </c>
      <c r="C23" s="7" t="str">
        <f ca="1">OFFSET(ORÇAMENTO!L$15,ROW(C23)-ROW(C$15),0)</f>
        <v/>
      </c>
      <c r="D23" s="118" t="str">
        <f ca="1">OFFSET(ORÇAMENTO!N$15,ROW(D23)-ROW(D$15),0)</f>
        <v>Serviço</v>
      </c>
      <c r="E23" s="119" t="str">
        <f ca="1">OFFSET(ORÇAMENTO!O$15,ROW(E23)-ROW(E$15),0)</f>
        <v>-</v>
      </c>
      <c r="F23" s="172" t="str">
        <f ca="1">OFFSET(ORÇAMENTO!R$15,ROW(F23)-ROW(F$15),0)</f>
        <v>(abra o arquivo 'Referência 02-2025.xlsm)</v>
      </c>
      <c r="G23" s="173" t="str">
        <f ca="1">IF($D23&lt;&gt;"Serviço","",OFFSET(ORÇAMENTO!S$15,ROW(G23)-ROW(G$15),0))</f>
        <v>-</v>
      </c>
      <c r="H23" s="124">
        <f ca="1">IF($D23&lt;&gt;"Serviço",0,IF(ACOMPANHAMENTO="BM",ROUND(OFFSET(ORÇAMENTO!AJ$15,ROW(H23)-ROW(H$15),0),15-13*ORÇAMENTO!$AF$7),SUMPRODUCT(($Q$12:$AA$12&lt;&gt;"")*ROUND($Q23:$AA23,15-13*ORÇAMENTO!$AF$7))))</f>
        <v>1</v>
      </c>
      <c r="I23" s="561" t="s">
        <v>890</v>
      </c>
      <c r="K23" s="174"/>
      <c r="L23" s="175" t="s">
        <v>255</v>
      </c>
      <c r="M23" s="176">
        <f ca="1">IF($D23&lt;&gt;"Serviço","",IF(AUTOEVENTO="manual",$A23,IF(ISERROR(MATCH($A23,$A$15:OFFSET($A23,-1,0),0)),MAX($M$15:OFFSET(M23,-1,0))+1,INDEX($M$15:OFFSET(M23,-1,0),MATCH($A23,$A$15:OFFSET($A23,-1,0),0)))))</f>
        <v>2</v>
      </c>
      <c r="N23" s="177" t="str">
        <f ca="1">IF($D23&lt;&gt;"Serviço","",IF(AUTOEVENTO="Manual",IF($A23=0,"&lt;-- defina o número do agrupador",OFFSET(EVENTOS!$D$14,$A23,0)),OFFSET($F$15,$A23,0)))</f>
        <v>SERVIÇOS PRELIMINARES</v>
      </c>
      <c r="O23" s="178"/>
      <c r="Q23" s="178"/>
      <c r="R23" s="179"/>
      <c r="S23" s="179"/>
      <c r="T23" s="179"/>
      <c r="U23" s="179"/>
      <c r="V23" s="179"/>
      <c r="W23" s="179"/>
      <c r="X23" s="179"/>
      <c r="Y23" s="179"/>
      <c r="Z23" s="180"/>
      <c r="AB23" s="544">
        <f ca="1">IF(AND($D23="Serviço",AB$12&lt;&gt;0,$H23&gt;0,OR(AUTOEVENTO&lt;&gt;"manual",$M23&lt;&gt;1)),
IF(Import.TipoArredondamento&lt;&gt;"TransfereGOV",
ROUND(OFFSET($P23,0,AB$13),15-13*ORÇAMENTO!$AF$7)/$H23*OFFSET(ORÇAMENTO!$X$15,ROW(AB23)-ROW(AB$15),0),
ROUND(ROUND(OFFSET($P23,0,AB$13),15-13*ORÇAMENTO!$AF$7)*OFFSET(ORÇAMENTO!$W$15,ROW(AB23)-ROW(AB$15),0),15-13*ORÇAMENTO!$AF$11)),0)</f>
        <v>0</v>
      </c>
      <c r="AC23" s="545">
        <f ca="1">IF(AND($D23="Serviço",AC$12&lt;&gt;0,$H23&gt;0,OR(AUTOEVENTO&lt;&gt;"manual",$M23&lt;&gt;1)),
IF(Import.TipoArredondamento&lt;&gt;"TransfereGOV",
ROUND(OFFSET($P23,0,AC$13),15-13*ORÇAMENTO!$AF$7)/$H23*OFFSET(ORÇAMENTO!$X$15,ROW(AC23)-ROW(AC$15),0),
ROUND(ROUND(OFFSET($P23,0,AC$13),15-13*ORÇAMENTO!$AF$7)*OFFSET(ORÇAMENTO!$W$15,ROW(AC23)-ROW(AC$15),0),15-13*ORÇAMENTO!$AF$11)),0)</f>
        <v>0</v>
      </c>
      <c r="AD23" s="545">
        <f ca="1">IF(AND($D23="Serviço",AD$12&lt;&gt;0,$H23&gt;0,OR(AUTOEVENTO&lt;&gt;"manual",$M23&lt;&gt;1)),
IF(Import.TipoArredondamento&lt;&gt;"TransfereGOV",
ROUND(OFFSET($P23,0,AD$13),15-13*ORÇAMENTO!$AF$7)/$H23*OFFSET(ORÇAMENTO!$X$15,ROW(AD23)-ROW(AD$15),0),
ROUND(ROUND(OFFSET($P23,0,AD$13),15-13*ORÇAMENTO!$AF$7)*OFFSET(ORÇAMENTO!$W$15,ROW(AD23)-ROW(AD$15),0),15-13*ORÇAMENTO!$AF$11)),0)</f>
        <v>0</v>
      </c>
      <c r="AE23" s="545">
        <f ca="1">IF(AND($D23="Serviço",AE$12&lt;&gt;0,$H23&gt;0,OR(AUTOEVENTO&lt;&gt;"manual",$M23&lt;&gt;1)),
IF(Import.TipoArredondamento&lt;&gt;"TransfereGOV",
ROUND(OFFSET($P23,0,AE$13),15-13*ORÇAMENTO!$AF$7)/$H23*OFFSET(ORÇAMENTO!$X$15,ROW(AE23)-ROW(AE$15),0),
ROUND(ROUND(OFFSET($P23,0,AE$13),15-13*ORÇAMENTO!$AF$7)*OFFSET(ORÇAMENTO!$W$15,ROW(AE23)-ROW(AE$15),0),15-13*ORÇAMENTO!$AF$11)),0)</f>
        <v>0</v>
      </c>
      <c r="AF23" s="545">
        <f ca="1">IF(AND($D23="Serviço",AF$12&lt;&gt;0,$H23&gt;0,OR(AUTOEVENTO&lt;&gt;"manual",$M23&lt;&gt;1)),
IF(Import.TipoArredondamento&lt;&gt;"TransfereGOV",
ROUND(OFFSET($P23,0,AF$13),15-13*ORÇAMENTO!$AF$7)/$H23*OFFSET(ORÇAMENTO!$X$15,ROW(AF23)-ROW(AF$15),0),
ROUND(ROUND(OFFSET($P23,0,AF$13),15-13*ORÇAMENTO!$AF$7)*OFFSET(ORÇAMENTO!$W$15,ROW(AF23)-ROW(AF$15),0),15-13*ORÇAMENTO!$AF$11)),0)</f>
        <v>0</v>
      </c>
      <c r="AG23" s="545">
        <f ca="1">IF(AND($D23="Serviço",AG$12&lt;&gt;0,$H23&gt;0,OR(AUTOEVENTO&lt;&gt;"manual",$M23&lt;&gt;1)),
IF(Import.TipoArredondamento&lt;&gt;"TransfereGOV",
ROUND(OFFSET($P23,0,AG$13),15-13*ORÇAMENTO!$AF$7)/$H23*OFFSET(ORÇAMENTO!$X$15,ROW(AG23)-ROW(AG$15),0),
ROUND(ROUND(OFFSET($P23,0,AG$13),15-13*ORÇAMENTO!$AF$7)*OFFSET(ORÇAMENTO!$W$15,ROW(AG23)-ROW(AG$15),0),15-13*ORÇAMENTO!$AF$11)),0)</f>
        <v>0</v>
      </c>
      <c r="AH23" s="545">
        <f ca="1">IF(AND($D23="Serviço",AH$12&lt;&gt;0,$H23&gt;0,OR(AUTOEVENTO&lt;&gt;"manual",$M23&lt;&gt;1)),
IF(Import.TipoArredondamento&lt;&gt;"TransfereGOV",
ROUND(OFFSET($P23,0,AH$13),15-13*ORÇAMENTO!$AF$7)/$H23*OFFSET(ORÇAMENTO!$X$15,ROW(AH23)-ROW(AH$15),0),
ROUND(ROUND(OFFSET($P23,0,AH$13),15-13*ORÇAMENTO!$AF$7)*OFFSET(ORÇAMENTO!$W$15,ROW(AH23)-ROW(AH$15),0),15-13*ORÇAMENTO!$AF$11)),0)</f>
        <v>0</v>
      </c>
      <c r="AI23" s="545">
        <f ca="1">IF(AND($D23="Serviço",AI$12&lt;&gt;0,$H23&gt;0,OR(AUTOEVENTO&lt;&gt;"manual",$M23&lt;&gt;1)),
IF(Import.TipoArredondamento&lt;&gt;"TransfereGOV",
ROUND(OFFSET($P23,0,AI$13),15-13*ORÇAMENTO!$AF$7)/$H23*OFFSET(ORÇAMENTO!$X$15,ROW(AI23)-ROW(AI$15),0),
ROUND(ROUND(OFFSET($P23,0,AI$13),15-13*ORÇAMENTO!$AF$7)*OFFSET(ORÇAMENTO!$W$15,ROW(AI23)-ROW(AI$15),0),15-13*ORÇAMENTO!$AF$11)),0)</f>
        <v>0</v>
      </c>
      <c r="AJ23" s="545">
        <f ca="1">IF(AND($D23="Serviço",AJ$12&lt;&gt;0,$H23&gt;0,OR(AUTOEVENTO&lt;&gt;"manual",$M23&lt;&gt;1)),
IF(Import.TipoArredondamento&lt;&gt;"TransfereGOV",
ROUND(OFFSET($P23,0,AJ$13),15-13*ORÇAMENTO!$AF$7)/$H23*OFFSET(ORÇAMENTO!$X$15,ROW(AJ23)-ROW(AJ$15),0),
ROUND(ROUND(OFFSET($P23,0,AJ$13),15-13*ORÇAMENTO!$AF$7)*OFFSET(ORÇAMENTO!$W$15,ROW(AJ23)-ROW(AJ$15),0),15-13*ORÇAMENTO!$AF$11)),0)</f>
        <v>0</v>
      </c>
      <c r="AK23" s="546">
        <f ca="1">IF(AND($D23="Serviço",AK$12&lt;&gt;0,$H23&gt;0,OR(AUTOEVENTO&lt;&gt;"manual",$M23&lt;&gt;1)),
IF(Import.TipoArredondamento&lt;&gt;"TransfereGOV",
ROUND(OFFSET($P23,0,AK$13),15-13*ORÇAMENTO!$AF$7)/$H23*OFFSET(ORÇAMENTO!$X$15,ROW(AK23)-ROW(AK$15),0),
ROUND(ROUND(OFFSET($P23,0,AK$13),15-13*ORÇAMENTO!$AF$7)*OFFSET(ORÇAMENTO!$W$15,ROW(AK23)-ROW(AK$15),0),15-13*ORÇAMENTO!$AF$11)),0)</f>
        <v>0</v>
      </c>
      <c r="AM23" s="181">
        <f ca="1">IF($D23&lt;&gt;"Serviço",0,IF(AND(AUTOEVENTO="Manual",$M23=1),0,IF(OFFSET(CRONOPLE!$F$14,$M23,AM$13)="",10^12,OFFSET(CRONOPLE!$F$14,$M23,AM$13))))</f>
        <v>1000000000000</v>
      </c>
      <c r="AN23" s="181">
        <f ca="1">IF($D23&lt;&gt;"Serviço",0,IF(AND(AUTOEVENTO="Manual",$M23=1),0,IF(OFFSET(CRONOPLE!$F$14,$M23,AN$13)="",10^12,OFFSET(CRONOPLE!$F$14,$M23,AN$13))))</f>
        <v>1000000000000</v>
      </c>
      <c r="AO23" s="181">
        <f ca="1">IF($D23&lt;&gt;"Serviço",0,IF(AND(AUTOEVENTO="Manual",$M23=1),0,IF(OFFSET(CRONOPLE!$F$14,$M23,AO$13)="",10^12,OFFSET(CRONOPLE!$F$14,$M23,AO$13))))</f>
        <v>1000000000000</v>
      </c>
      <c r="AP23" s="181">
        <f ca="1">IF($D23&lt;&gt;"Serviço",0,IF(AND(AUTOEVENTO="Manual",$M23=1),0,IF(OFFSET(CRONOPLE!$F$14,$M23,AP$13)="",10^12,OFFSET(CRONOPLE!$F$14,$M23,AP$13))))</f>
        <v>1000000000000</v>
      </c>
      <c r="AQ23" s="181">
        <f ca="1">IF($D23&lt;&gt;"Serviço",0,IF(AND(AUTOEVENTO="Manual",$M23=1),0,IF(OFFSET(CRONOPLE!$F$14,$M23,AQ$13)="",10^12,OFFSET(CRONOPLE!$F$14,$M23,AQ$13))))</f>
        <v>1000000000000</v>
      </c>
      <c r="AR23" s="181">
        <f ca="1">IF($D23&lt;&gt;"Serviço",0,IF(AND(AUTOEVENTO="Manual",$M23=1),0,IF(OFFSET(CRONOPLE!$F$14,$M23,AR$13)="",10^12,OFFSET(CRONOPLE!$F$14,$M23,AR$13))))</f>
        <v>1000000000000</v>
      </c>
      <c r="AS23" s="181">
        <f ca="1">IF($D23&lt;&gt;"Serviço",0,IF(AND(AUTOEVENTO="Manual",$M23=1),0,IF(OFFSET(CRONOPLE!$F$14,$M23,AS$13)="",10^12,OFFSET(CRONOPLE!$F$14,$M23,AS$13))))</f>
        <v>1000000000000</v>
      </c>
      <c r="AT23" s="181">
        <f ca="1">IF($D23&lt;&gt;"Serviço",0,IF(AND(AUTOEVENTO="Manual",$M23=1),0,IF(OFFSET(CRONOPLE!$F$14,$M23,AT$13)="",10^12,OFFSET(CRONOPLE!$F$14,$M23,AT$13))))</f>
        <v>1000000000000</v>
      </c>
      <c r="AU23" s="181">
        <f ca="1">IF($D23&lt;&gt;"Serviço",0,IF(AND(AUTOEVENTO="Manual",$M23=1),0,IF(OFFSET(CRONOPLE!$F$14,$M23,AU$13)="",10^12,OFFSET(CRONOPLE!$F$14,$M23,AU$13))))</f>
        <v>1000000000000</v>
      </c>
      <c r="AV23" s="181">
        <f ca="1">IF($D23&lt;&gt;"Serviço",0,IF(AND(AUTOEVENTO="Manual",$M23=1),0,IF(OFFSET(CRONOPLE!$F$14,$M23,AV$13)="",10^12,OFFSET(CRONOPLE!$F$14,$M23,AV$13))))</f>
        <v>1000000000000</v>
      </c>
      <c r="AX23" s="182">
        <f ca="1">IF($D23&lt;&gt;"Serviço",0,IF(OR(AND(AUTOEVENTO="Manual",$M23=1),$M23&gt;(ROW(PLE.lastrow)-ROW(PLE.firstrow))),0,IF(OFFSET(PLE!$G$14,$M23,AX$13)="",10^12,OFFSET(PLE!$G$14,$M23,AX$13))))</f>
        <v>1000000000000</v>
      </c>
      <c r="AY23" s="182">
        <f ca="1">IF($D23&lt;&gt;"Serviço",0,IF(OR(AND(AUTOEVENTO="Manual",$M23=1),$M23&gt;(ROW(PLE.lastrow)-ROW(PLE.firstrow))),0,IF(OFFSET(PLE!$G$14,$M23,AY$13)="",10^12,OFFSET(PLE!$G$14,$M23,AY$13))))</f>
        <v>1000000000000</v>
      </c>
      <c r="AZ23" s="182">
        <f ca="1">IF($D23&lt;&gt;"Serviço",0,IF(OR(AND(AUTOEVENTO="Manual",$M23=1),$M23&gt;(ROW(PLE.lastrow)-ROW(PLE.firstrow))),0,IF(OFFSET(PLE!$G$14,$M23,AZ$13)="",10^12,OFFSET(PLE!$G$14,$M23,AZ$13))))</f>
        <v>1000000000000</v>
      </c>
      <c r="BA23" s="182">
        <f ca="1">IF($D23&lt;&gt;"Serviço",0,IF(OR(AND(AUTOEVENTO="Manual",$M23=1),$M23&gt;(ROW(PLE.lastrow)-ROW(PLE.firstrow))),0,IF(OFFSET(PLE!$G$14,$M23,BA$13)="",10^12,OFFSET(PLE!$G$14,$M23,BA$13))))</f>
        <v>1000000000000</v>
      </c>
      <c r="BB23" s="182">
        <f ca="1">IF($D23&lt;&gt;"Serviço",0,IF(OR(AND(AUTOEVENTO="Manual",$M23=1),$M23&gt;(ROW(PLE.lastrow)-ROW(PLE.firstrow))),0,IF(OFFSET(PLE!$G$14,$M23,BB$13)="",10^12,OFFSET(PLE!$G$14,$M23,BB$13))))</f>
        <v>1000000000000</v>
      </c>
      <c r="BC23" s="182">
        <f ca="1">IF($D23&lt;&gt;"Serviço",0,IF(OR(AND(AUTOEVENTO="Manual",$M23=1),$M23&gt;(ROW(PLE.lastrow)-ROW(PLE.firstrow))),0,IF(OFFSET(PLE!$G$14,$M23,BC$13)="",10^12,OFFSET(PLE!$G$14,$M23,BC$13))))</f>
        <v>1000000000000</v>
      </c>
      <c r="BD23" s="182">
        <f ca="1">IF($D23&lt;&gt;"Serviço",0,IF(OR(AND(AUTOEVENTO="Manual",$M23=1),$M23&gt;(ROW(PLE.lastrow)-ROW(PLE.firstrow))),0,IF(OFFSET(PLE!$G$14,$M23,BD$13)="",10^12,OFFSET(PLE!$G$14,$M23,BD$13))))</f>
        <v>1000000000000</v>
      </c>
      <c r="BE23" s="182">
        <f ca="1">IF($D23&lt;&gt;"Serviço",0,IF(OR(AND(AUTOEVENTO="Manual",$M23=1),$M23&gt;(ROW(PLE.lastrow)-ROW(PLE.firstrow))),0,IF(OFFSET(PLE!$G$14,$M23,BE$13)="",10^12,OFFSET(PLE!$G$14,$M23,BE$13))))</f>
        <v>1000000000000</v>
      </c>
      <c r="BF23" s="182">
        <f ca="1">IF($D23&lt;&gt;"Serviço",0,IF(OR(AND(AUTOEVENTO="Manual",$M23=1),$M23&gt;(ROW(PLE.lastrow)-ROW(PLE.firstrow))),0,IF(OFFSET(PLE!$G$14,$M23,BF$13)="",10^12,OFFSET(PLE!$G$14,$M23,BF$13))))</f>
        <v>1000000000000</v>
      </c>
      <c r="BG23" s="182">
        <f ca="1">IF($D23&lt;&gt;"Serviço",0,IF(OR(AND(AUTOEVENTO="Manual",$M23=1),$M23&gt;(ROW(PLE.lastrow)-ROW(PLE.firstrow))),0,IF(OFFSET(PLE!$G$14,$M23,BG$13)="",10^12,OFFSET(PLE!$G$14,$M23,BG$13))))</f>
        <v>1000000000000</v>
      </c>
    </row>
    <row r="24" spans="1:59" ht="38.25" x14ac:dyDescent="0.2">
      <c r="A24" s="7" t="str">
        <f t="shared" ca="1" si="8"/>
        <v>2</v>
      </c>
      <c r="B24" s="7" t="str">
        <f ca="1">OFFSET(ORÇAMENTO!C$15,ROW(B24)-ROW(B$15),0)</f>
        <v>S</v>
      </c>
      <c r="C24" s="7" t="str">
        <f ca="1">OFFSET(ORÇAMENTO!L$15,ROW(C24)-ROW(C$15),0)</f>
        <v/>
      </c>
      <c r="D24" s="118" t="str">
        <f ca="1">OFFSET(ORÇAMENTO!N$15,ROW(D24)-ROW(D$15),0)</f>
        <v>Serviço</v>
      </c>
      <c r="E24" s="119" t="str">
        <f ca="1">OFFSET(ORÇAMENTO!O$15,ROW(E24)-ROW(E$15),0)</f>
        <v>-</v>
      </c>
      <c r="F24" s="172" t="str">
        <f ca="1">OFFSET(ORÇAMENTO!R$15,ROW(F24)-ROW(F$15),0)</f>
        <v>(abra o arquivo 'Referência 02-2025.xlsm)</v>
      </c>
      <c r="G24" s="173" t="str">
        <f ca="1">IF($D24&lt;&gt;"Serviço","",OFFSET(ORÇAMENTO!S$15,ROW(G24)-ROW(G$15),0))</f>
        <v>-</v>
      </c>
      <c r="H24" s="124">
        <f ca="1">IF($D24&lt;&gt;"Serviço",0,IF(ACOMPANHAMENTO="BM",ROUND(OFFSET(ORÇAMENTO!AJ$15,ROW(H24)-ROW(H$15),0),15-13*ORÇAMENTO!$AF$7),SUMPRODUCT(($Q$12:$AA$12&lt;&gt;"")*ROUND($Q24:$AA24,15-13*ORÇAMENTO!$AF$7))))</f>
        <v>10</v>
      </c>
      <c r="I24" s="561" t="s">
        <v>890</v>
      </c>
      <c r="K24" s="174"/>
      <c r="L24" s="175" t="s">
        <v>255</v>
      </c>
      <c r="M24" s="176">
        <f ca="1">IF($D24&lt;&gt;"Serviço","",IF(AUTOEVENTO="manual",$A24,IF(ISERROR(MATCH($A24,$A$15:OFFSET($A24,-1,0),0)),MAX($M$15:OFFSET(M24,-1,0))+1,INDEX($M$15:OFFSET(M24,-1,0),MATCH($A24,$A$15:OFFSET($A24,-1,0),0)))))</f>
        <v>2</v>
      </c>
      <c r="N24" s="177" t="str">
        <f ca="1">IF($D24&lt;&gt;"Serviço","",IF(AUTOEVENTO="Manual",IF($A24=0,"&lt;-- defina o número do agrupador",OFFSET(EVENTOS!$D$14,$A24,0)),OFFSET($F$15,$A24,0)))</f>
        <v>SERVIÇOS PRELIMINARES</v>
      </c>
      <c r="O24" s="178"/>
      <c r="Q24" s="178"/>
      <c r="R24" s="179"/>
      <c r="S24" s="179"/>
      <c r="T24" s="179"/>
      <c r="U24" s="179"/>
      <c r="V24" s="179"/>
      <c r="W24" s="179"/>
      <c r="X24" s="179"/>
      <c r="Y24" s="179"/>
      <c r="Z24" s="180"/>
      <c r="AB24" s="544">
        <f ca="1">IF(AND($D24="Serviço",AB$12&lt;&gt;0,$H24&gt;0,OR(AUTOEVENTO&lt;&gt;"manual",$M24&lt;&gt;1)),
IF(Import.TipoArredondamento&lt;&gt;"TransfereGOV",
ROUND(OFFSET($P24,0,AB$13),15-13*ORÇAMENTO!$AF$7)/$H24*OFFSET(ORÇAMENTO!$X$15,ROW(AB24)-ROW(AB$15),0),
ROUND(ROUND(OFFSET($P24,0,AB$13),15-13*ORÇAMENTO!$AF$7)*OFFSET(ORÇAMENTO!$W$15,ROW(AB24)-ROW(AB$15),0),15-13*ORÇAMENTO!$AF$11)),0)</f>
        <v>0</v>
      </c>
      <c r="AC24" s="545">
        <f ca="1">IF(AND($D24="Serviço",AC$12&lt;&gt;0,$H24&gt;0,OR(AUTOEVENTO&lt;&gt;"manual",$M24&lt;&gt;1)),
IF(Import.TipoArredondamento&lt;&gt;"TransfereGOV",
ROUND(OFFSET($P24,0,AC$13),15-13*ORÇAMENTO!$AF$7)/$H24*OFFSET(ORÇAMENTO!$X$15,ROW(AC24)-ROW(AC$15),0),
ROUND(ROUND(OFFSET($P24,0,AC$13),15-13*ORÇAMENTO!$AF$7)*OFFSET(ORÇAMENTO!$W$15,ROW(AC24)-ROW(AC$15),0),15-13*ORÇAMENTO!$AF$11)),0)</f>
        <v>0</v>
      </c>
      <c r="AD24" s="545">
        <f ca="1">IF(AND($D24="Serviço",AD$12&lt;&gt;0,$H24&gt;0,OR(AUTOEVENTO&lt;&gt;"manual",$M24&lt;&gt;1)),
IF(Import.TipoArredondamento&lt;&gt;"TransfereGOV",
ROUND(OFFSET($P24,0,AD$13),15-13*ORÇAMENTO!$AF$7)/$H24*OFFSET(ORÇAMENTO!$X$15,ROW(AD24)-ROW(AD$15),0),
ROUND(ROUND(OFFSET($P24,0,AD$13),15-13*ORÇAMENTO!$AF$7)*OFFSET(ORÇAMENTO!$W$15,ROW(AD24)-ROW(AD$15),0),15-13*ORÇAMENTO!$AF$11)),0)</f>
        <v>0</v>
      </c>
      <c r="AE24" s="545">
        <f ca="1">IF(AND($D24="Serviço",AE$12&lt;&gt;0,$H24&gt;0,OR(AUTOEVENTO&lt;&gt;"manual",$M24&lt;&gt;1)),
IF(Import.TipoArredondamento&lt;&gt;"TransfereGOV",
ROUND(OFFSET($P24,0,AE$13),15-13*ORÇAMENTO!$AF$7)/$H24*OFFSET(ORÇAMENTO!$X$15,ROW(AE24)-ROW(AE$15),0),
ROUND(ROUND(OFFSET($P24,0,AE$13),15-13*ORÇAMENTO!$AF$7)*OFFSET(ORÇAMENTO!$W$15,ROW(AE24)-ROW(AE$15),0),15-13*ORÇAMENTO!$AF$11)),0)</f>
        <v>0</v>
      </c>
      <c r="AF24" s="545">
        <f ca="1">IF(AND($D24="Serviço",AF$12&lt;&gt;0,$H24&gt;0,OR(AUTOEVENTO&lt;&gt;"manual",$M24&lt;&gt;1)),
IF(Import.TipoArredondamento&lt;&gt;"TransfereGOV",
ROUND(OFFSET($P24,0,AF$13),15-13*ORÇAMENTO!$AF$7)/$H24*OFFSET(ORÇAMENTO!$X$15,ROW(AF24)-ROW(AF$15),0),
ROUND(ROUND(OFFSET($P24,0,AF$13),15-13*ORÇAMENTO!$AF$7)*OFFSET(ORÇAMENTO!$W$15,ROW(AF24)-ROW(AF$15),0),15-13*ORÇAMENTO!$AF$11)),0)</f>
        <v>0</v>
      </c>
      <c r="AG24" s="545">
        <f ca="1">IF(AND($D24="Serviço",AG$12&lt;&gt;0,$H24&gt;0,OR(AUTOEVENTO&lt;&gt;"manual",$M24&lt;&gt;1)),
IF(Import.TipoArredondamento&lt;&gt;"TransfereGOV",
ROUND(OFFSET($P24,0,AG$13),15-13*ORÇAMENTO!$AF$7)/$H24*OFFSET(ORÇAMENTO!$X$15,ROW(AG24)-ROW(AG$15),0),
ROUND(ROUND(OFFSET($P24,0,AG$13),15-13*ORÇAMENTO!$AF$7)*OFFSET(ORÇAMENTO!$W$15,ROW(AG24)-ROW(AG$15),0),15-13*ORÇAMENTO!$AF$11)),0)</f>
        <v>0</v>
      </c>
      <c r="AH24" s="545">
        <f ca="1">IF(AND($D24="Serviço",AH$12&lt;&gt;0,$H24&gt;0,OR(AUTOEVENTO&lt;&gt;"manual",$M24&lt;&gt;1)),
IF(Import.TipoArredondamento&lt;&gt;"TransfereGOV",
ROUND(OFFSET($P24,0,AH$13),15-13*ORÇAMENTO!$AF$7)/$H24*OFFSET(ORÇAMENTO!$X$15,ROW(AH24)-ROW(AH$15),0),
ROUND(ROUND(OFFSET($P24,0,AH$13),15-13*ORÇAMENTO!$AF$7)*OFFSET(ORÇAMENTO!$W$15,ROW(AH24)-ROW(AH$15),0),15-13*ORÇAMENTO!$AF$11)),0)</f>
        <v>0</v>
      </c>
      <c r="AI24" s="545">
        <f ca="1">IF(AND($D24="Serviço",AI$12&lt;&gt;0,$H24&gt;0,OR(AUTOEVENTO&lt;&gt;"manual",$M24&lt;&gt;1)),
IF(Import.TipoArredondamento&lt;&gt;"TransfereGOV",
ROUND(OFFSET($P24,0,AI$13),15-13*ORÇAMENTO!$AF$7)/$H24*OFFSET(ORÇAMENTO!$X$15,ROW(AI24)-ROW(AI$15),0),
ROUND(ROUND(OFFSET($P24,0,AI$13),15-13*ORÇAMENTO!$AF$7)*OFFSET(ORÇAMENTO!$W$15,ROW(AI24)-ROW(AI$15),0),15-13*ORÇAMENTO!$AF$11)),0)</f>
        <v>0</v>
      </c>
      <c r="AJ24" s="545">
        <f ca="1">IF(AND($D24="Serviço",AJ$12&lt;&gt;0,$H24&gt;0,OR(AUTOEVENTO&lt;&gt;"manual",$M24&lt;&gt;1)),
IF(Import.TipoArredondamento&lt;&gt;"TransfereGOV",
ROUND(OFFSET($P24,0,AJ$13),15-13*ORÇAMENTO!$AF$7)/$H24*OFFSET(ORÇAMENTO!$X$15,ROW(AJ24)-ROW(AJ$15),0),
ROUND(ROUND(OFFSET($P24,0,AJ$13),15-13*ORÇAMENTO!$AF$7)*OFFSET(ORÇAMENTO!$W$15,ROW(AJ24)-ROW(AJ$15),0),15-13*ORÇAMENTO!$AF$11)),0)</f>
        <v>0</v>
      </c>
      <c r="AK24" s="546">
        <f ca="1">IF(AND($D24="Serviço",AK$12&lt;&gt;0,$H24&gt;0,OR(AUTOEVENTO&lt;&gt;"manual",$M24&lt;&gt;1)),
IF(Import.TipoArredondamento&lt;&gt;"TransfereGOV",
ROUND(OFFSET($P24,0,AK$13),15-13*ORÇAMENTO!$AF$7)/$H24*OFFSET(ORÇAMENTO!$X$15,ROW(AK24)-ROW(AK$15),0),
ROUND(ROUND(OFFSET($P24,0,AK$13),15-13*ORÇAMENTO!$AF$7)*OFFSET(ORÇAMENTO!$W$15,ROW(AK24)-ROW(AK$15),0),15-13*ORÇAMENTO!$AF$11)),0)</f>
        <v>0</v>
      </c>
      <c r="AM24" s="181">
        <f ca="1">IF($D24&lt;&gt;"Serviço",0,IF(AND(AUTOEVENTO="Manual",$M24=1),0,IF(OFFSET(CRONOPLE!$F$14,$M24,AM$13)="",10^12,OFFSET(CRONOPLE!$F$14,$M24,AM$13))))</f>
        <v>1000000000000</v>
      </c>
      <c r="AN24" s="181">
        <f ca="1">IF($D24&lt;&gt;"Serviço",0,IF(AND(AUTOEVENTO="Manual",$M24=1),0,IF(OFFSET(CRONOPLE!$F$14,$M24,AN$13)="",10^12,OFFSET(CRONOPLE!$F$14,$M24,AN$13))))</f>
        <v>1000000000000</v>
      </c>
      <c r="AO24" s="181">
        <f ca="1">IF($D24&lt;&gt;"Serviço",0,IF(AND(AUTOEVENTO="Manual",$M24=1),0,IF(OFFSET(CRONOPLE!$F$14,$M24,AO$13)="",10^12,OFFSET(CRONOPLE!$F$14,$M24,AO$13))))</f>
        <v>1000000000000</v>
      </c>
      <c r="AP24" s="181">
        <f ca="1">IF($D24&lt;&gt;"Serviço",0,IF(AND(AUTOEVENTO="Manual",$M24=1),0,IF(OFFSET(CRONOPLE!$F$14,$M24,AP$13)="",10^12,OFFSET(CRONOPLE!$F$14,$M24,AP$13))))</f>
        <v>1000000000000</v>
      </c>
      <c r="AQ24" s="181">
        <f ca="1">IF($D24&lt;&gt;"Serviço",0,IF(AND(AUTOEVENTO="Manual",$M24=1),0,IF(OFFSET(CRONOPLE!$F$14,$M24,AQ$13)="",10^12,OFFSET(CRONOPLE!$F$14,$M24,AQ$13))))</f>
        <v>1000000000000</v>
      </c>
      <c r="AR24" s="181">
        <f ca="1">IF($D24&lt;&gt;"Serviço",0,IF(AND(AUTOEVENTO="Manual",$M24=1),0,IF(OFFSET(CRONOPLE!$F$14,$M24,AR$13)="",10^12,OFFSET(CRONOPLE!$F$14,$M24,AR$13))))</f>
        <v>1000000000000</v>
      </c>
      <c r="AS24" s="181">
        <f ca="1">IF($D24&lt;&gt;"Serviço",0,IF(AND(AUTOEVENTO="Manual",$M24=1),0,IF(OFFSET(CRONOPLE!$F$14,$M24,AS$13)="",10^12,OFFSET(CRONOPLE!$F$14,$M24,AS$13))))</f>
        <v>1000000000000</v>
      </c>
      <c r="AT24" s="181">
        <f ca="1">IF($D24&lt;&gt;"Serviço",0,IF(AND(AUTOEVENTO="Manual",$M24=1),0,IF(OFFSET(CRONOPLE!$F$14,$M24,AT$13)="",10^12,OFFSET(CRONOPLE!$F$14,$M24,AT$13))))</f>
        <v>1000000000000</v>
      </c>
      <c r="AU24" s="181">
        <f ca="1">IF($D24&lt;&gt;"Serviço",0,IF(AND(AUTOEVENTO="Manual",$M24=1),0,IF(OFFSET(CRONOPLE!$F$14,$M24,AU$13)="",10^12,OFFSET(CRONOPLE!$F$14,$M24,AU$13))))</f>
        <v>1000000000000</v>
      </c>
      <c r="AV24" s="181">
        <f ca="1">IF($D24&lt;&gt;"Serviço",0,IF(AND(AUTOEVENTO="Manual",$M24=1),0,IF(OFFSET(CRONOPLE!$F$14,$M24,AV$13)="",10^12,OFFSET(CRONOPLE!$F$14,$M24,AV$13))))</f>
        <v>1000000000000</v>
      </c>
      <c r="AX24" s="182">
        <f ca="1">IF($D24&lt;&gt;"Serviço",0,IF(OR(AND(AUTOEVENTO="Manual",$M24=1),$M24&gt;(ROW(PLE.lastrow)-ROW(PLE.firstrow))),0,IF(OFFSET(PLE!$G$14,$M24,AX$13)="",10^12,OFFSET(PLE!$G$14,$M24,AX$13))))</f>
        <v>1000000000000</v>
      </c>
      <c r="AY24" s="182">
        <f ca="1">IF($D24&lt;&gt;"Serviço",0,IF(OR(AND(AUTOEVENTO="Manual",$M24=1),$M24&gt;(ROW(PLE.lastrow)-ROW(PLE.firstrow))),0,IF(OFFSET(PLE!$G$14,$M24,AY$13)="",10^12,OFFSET(PLE!$G$14,$M24,AY$13))))</f>
        <v>1000000000000</v>
      </c>
      <c r="AZ24" s="182">
        <f ca="1">IF($D24&lt;&gt;"Serviço",0,IF(OR(AND(AUTOEVENTO="Manual",$M24=1),$M24&gt;(ROW(PLE.lastrow)-ROW(PLE.firstrow))),0,IF(OFFSET(PLE!$G$14,$M24,AZ$13)="",10^12,OFFSET(PLE!$G$14,$M24,AZ$13))))</f>
        <v>1000000000000</v>
      </c>
      <c r="BA24" s="182">
        <f ca="1">IF($D24&lt;&gt;"Serviço",0,IF(OR(AND(AUTOEVENTO="Manual",$M24=1),$M24&gt;(ROW(PLE.lastrow)-ROW(PLE.firstrow))),0,IF(OFFSET(PLE!$G$14,$M24,BA$13)="",10^12,OFFSET(PLE!$G$14,$M24,BA$13))))</f>
        <v>1000000000000</v>
      </c>
      <c r="BB24" s="182">
        <f ca="1">IF($D24&lt;&gt;"Serviço",0,IF(OR(AND(AUTOEVENTO="Manual",$M24=1),$M24&gt;(ROW(PLE.lastrow)-ROW(PLE.firstrow))),0,IF(OFFSET(PLE!$G$14,$M24,BB$13)="",10^12,OFFSET(PLE!$G$14,$M24,BB$13))))</f>
        <v>1000000000000</v>
      </c>
      <c r="BC24" s="182">
        <f ca="1">IF($D24&lt;&gt;"Serviço",0,IF(OR(AND(AUTOEVENTO="Manual",$M24=1),$M24&gt;(ROW(PLE.lastrow)-ROW(PLE.firstrow))),0,IF(OFFSET(PLE!$G$14,$M24,BC$13)="",10^12,OFFSET(PLE!$G$14,$M24,BC$13))))</f>
        <v>1000000000000</v>
      </c>
      <c r="BD24" s="182">
        <f ca="1">IF($D24&lt;&gt;"Serviço",0,IF(OR(AND(AUTOEVENTO="Manual",$M24=1),$M24&gt;(ROW(PLE.lastrow)-ROW(PLE.firstrow))),0,IF(OFFSET(PLE!$G$14,$M24,BD$13)="",10^12,OFFSET(PLE!$G$14,$M24,BD$13))))</f>
        <v>1000000000000</v>
      </c>
      <c r="BE24" s="182">
        <f ca="1">IF($D24&lt;&gt;"Serviço",0,IF(OR(AND(AUTOEVENTO="Manual",$M24=1),$M24&gt;(ROW(PLE.lastrow)-ROW(PLE.firstrow))),0,IF(OFFSET(PLE!$G$14,$M24,BE$13)="",10^12,OFFSET(PLE!$G$14,$M24,BE$13))))</f>
        <v>1000000000000</v>
      </c>
      <c r="BF24" s="182">
        <f ca="1">IF($D24&lt;&gt;"Serviço",0,IF(OR(AND(AUTOEVENTO="Manual",$M24=1),$M24&gt;(ROW(PLE.lastrow)-ROW(PLE.firstrow))),0,IF(OFFSET(PLE!$G$14,$M24,BF$13)="",10^12,OFFSET(PLE!$G$14,$M24,BF$13))))</f>
        <v>1000000000000</v>
      </c>
      <c r="BG24" s="182">
        <f ca="1">IF($D24&lt;&gt;"Serviço",0,IF(OR(AND(AUTOEVENTO="Manual",$M24=1),$M24&gt;(ROW(PLE.lastrow)-ROW(PLE.firstrow))),0,IF(OFFSET(PLE!$G$14,$M24,BG$13)="",10^12,OFFSET(PLE!$G$14,$M24,BG$13))))</f>
        <v>1000000000000</v>
      </c>
    </row>
    <row r="25" spans="1:59" ht="38.25" x14ac:dyDescent="0.2">
      <c r="A25" s="7" t="str">
        <f t="shared" ca="1" si="8"/>
        <v>2</v>
      </c>
      <c r="B25" s="7" t="str">
        <f ca="1">OFFSET(ORÇAMENTO!C$15,ROW(B25)-ROW(B$15),0)</f>
        <v>S</v>
      </c>
      <c r="C25" s="7" t="str">
        <f ca="1">OFFSET(ORÇAMENTO!L$15,ROW(C25)-ROW(C$15),0)</f>
        <v/>
      </c>
      <c r="D25" s="118" t="str">
        <f ca="1">OFFSET(ORÇAMENTO!N$15,ROW(D25)-ROW(D$15),0)</f>
        <v>Serviço</v>
      </c>
      <c r="E25" s="119" t="str">
        <f ca="1">OFFSET(ORÇAMENTO!O$15,ROW(E25)-ROW(E$15),0)</f>
        <v>-</v>
      </c>
      <c r="F25" s="172" t="str">
        <f ca="1">OFFSET(ORÇAMENTO!R$15,ROW(F25)-ROW(F$15),0)</f>
        <v>(abra o arquivo 'Referência 02-2025.xlsm)</v>
      </c>
      <c r="G25" s="173" t="str">
        <f ca="1">IF($D25&lt;&gt;"Serviço","",OFFSET(ORÇAMENTO!S$15,ROW(G25)-ROW(G$15),0))</f>
        <v>-</v>
      </c>
      <c r="H25" s="124">
        <f ca="1">IF($D25&lt;&gt;"Serviço",0,IF(ACOMPANHAMENTO="BM",ROUND(OFFSET(ORÇAMENTO!AJ$15,ROW(H25)-ROW(H$15),0),15-13*ORÇAMENTO!$AF$7),SUMPRODUCT(($Q$12:$AA$12&lt;&gt;"")*ROUND($Q25:$AA25,15-13*ORÇAMENTO!$AF$7))))</f>
        <v>10</v>
      </c>
      <c r="I25" s="561" t="s">
        <v>890</v>
      </c>
      <c r="K25" s="174"/>
      <c r="L25" s="175" t="s">
        <v>255</v>
      </c>
      <c r="M25" s="176">
        <f ca="1">IF($D25&lt;&gt;"Serviço","",IF(AUTOEVENTO="manual",$A25,IF(ISERROR(MATCH($A25,$A$15:OFFSET($A25,-1,0),0)),MAX($M$15:OFFSET(M25,-1,0))+1,INDEX($M$15:OFFSET(M25,-1,0),MATCH($A25,$A$15:OFFSET($A25,-1,0),0)))))</f>
        <v>2</v>
      </c>
      <c r="N25" s="177" t="str">
        <f ca="1">IF($D25&lt;&gt;"Serviço","",IF(AUTOEVENTO="Manual",IF($A25=0,"&lt;-- defina o número do agrupador",OFFSET(EVENTOS!$D$14,$A25,0)),OFFSET($F$15,$A25,0)))</f>
        <v>SERVIÇOS PRELIMINARES</v>
      </c>
      <c r="O25" s="178"/>
      <c r="Q25" s="178"/>
      <c r="R25" s="179"/>
      <c r="S25" s="179"/>
      <c r="T25" s="179"/>
      <c r="U25" s="179"/>
      <c r="V25" s="179"/>
      <c r="W25" s="179"/>
      <c r="X25" s="179"/>
      <c r="Y25" s="179"/>
      <c r="Z25" s="180"/>
      <c r="AB25" s="544">
        <f ca="1">IF(AND($D25="Serviço",AB$12&lt;&gt;0,$H25&gt;0,OR(AUTOEVENTO&lt;&gt;"manual",$M25&lt;&gt;1)),
IF(Import.TipoArredondamento&lt;&gt;"TransfereGOV",
ROUND(OFFSET($P25,0,AB$13),15-13*ORÇAMENTO!$AF$7)/$H25*OFFSET(ORÇAMENTO!$X$15,ROW(AB25)-ROW(AB$15),0),
ROUND(ROUND(OFFSET($P25,0,AB$13),15-13*ORÇAMENTO!$AF$7)*OFFSET(ORÇAMENTO!$W$15,ROW(AB25)-ROW(AB$15),0),15-13*ORÇAMENTO!$AF$11)),0)</f>
        <v>0</v>
      </c>
      <c r="AC25" s="545">
        <f ca="1">IF(AND($D25="Serviço",AC$12&lt;&gt;0,$H25&gt;0,OR(AUTOEVENTO&lt;&gt;"manual",$M25&lt;&gt;1)),
IF(Import.TipoArredondamento&lt;&gt;"TransfereGOV",
ROUND(OFFSET($P25,0,AC$13),15-13*ORÇAMENTO!$AF$7)/$H25*OFFSET(ORÇAMENTO!$X$15,ROW(AC25)-ROW(AC$15),0),
ROUND(ROUND(OFFSET($P25,0,AC$13),15-13*ORÇAMENTO!$AF$7)*OFFSET(ORÇAMENTO!$W$15,ROW(AC25)-ROW(AC$15),0),15-13*ORÇAMENTO!$AF$11)),0)</f>
        <v>0</v>
      </c>
      <c r="AD25" s="545">
        <f ca="1">IF(AND($D25="Serviço",AD$12&lt;&gt;0,$H25&gt;0,OR(AUTOEVENTO&lt;&gt;"manual",$M25&lt;&gt;1)),
IF(Import.TipoArredondamento&lt;&gt;"TransfereGOV",
ROUND(OFFSET($P25,0,AD$13),15-13*ORÇAMENTO!$AF$7)/$H25*OFFSET(ORÇAMENTO!$X$15,ROW(AD25)-ROW(AD$15),0),
ROUND(ROUND(OFFSET($P25,0,AD$13),15-13*ORÇAMENTO!$AF$7)*OFFSET(ORÇAMENTO!$W$15,ROW(AD25)-ROW(AD$15),0),15-13*ORÇAMENTO!$AF$11)),0)</f>
        <v>0</v>
      </c>
      <c r="AE25" s="545">
        <f ca="1">IF(AND($D25="Serviço",AE$12&lt;&gt;0,$H25&gt;0,OR(AUTOEVENTO&lt;&gt;"manual",$M25&lt;&gt;1)),
IF(Import.TipoArredondamento&lt;&gt;"TransfereGOV",
ROUND(OFFSET($P25,0,AE$13),15-13*ORÇAMENTO!$AF$7)/$H25*OFFSET(ORÇAMENTO!$X$15,ROW(AE25)-ROW(AE$15),0),
ROUND(ROUND(OFFSET($P25,0,AE$13),15-13*ORÇAMENTO!$AF$7)*OFFSET(ORÇAMENTO!$W$15,ROW(AE25)-ROW(AE$15),0),15-13*ORÇAMENTO!$AF$11)),0)</f>
        <v>0</v>
      </c>
      <c r="AF25" s="545">
        <f ca="1">IF(AND($D25="Serviço",AF$12&lt;&gt;0,$H25&gt;0,OR(AUTOEVENTO&lt;&gt;"manual",$M25&lt;&gt;1)),
IF(Import.TipoArredondamento&lt;&gt;"TransfereGOV",
ROUND(OFFSET($P25,0,AF$13),15-13*ORÇAMENTO!$AF$7)/$H25*OFFSET(ORÇAMENTO!$X$15,ROW(AF25)-ROW(AF$15),0),
ROUND(ROUND(OFFSET($P25,0,AF$13),15-13*ORÇAMENTO!$AF$7)*OFFSET(ORÇAMENTO!$W$15,ROW(AF25)-ROW(AF$15),0),15-13*ORÇAMENTO!$AF$11)),0)</f>
        <v>0</v>
      </c>
      <c r="AG25" s="545">
        <f ca="1">IF(AND($D25="Serviço",AG$12&lt;&gt;0,$H25&gt;0,OR(AUTOEVENTO&lt;&gt;"manual",$M25&lt;&gt;1)),
IF(Import.TipoArredondamento&lt;&gt;"TransfereGOV",
ROUND(OFFSET($P25,0,AG$13),15-13*ORÇAMENTO!$AF$7)/$H25*OFFSET(ORÇAMENTO!$X$15,ROW(AG25)-ROW(AG$15),0),
ROUND(ROUND(OFFSET($P25,0,AG$13),15-13*ORÇAMENTO!$AF$7)*OFFSET(ORÇAMENTO!$W$15,ROW(AG25)-ROW(AG$15),0),15-13*ORÇAMENTO!$AF$11)),0)</f>
        <v>0</v>
      </c>
      <c r="AH25" s="545">
        <f ca="1">IF(AND($D25="Serviço",AH$12&lt;&gt;0,$H25&gt;0,OR(AUTOEVENTO&lt;&gt;"manual",$M25&lt;&gt;1)),
IF(Import.TipoArredondamento&lt;&gt;"TransfereGOV",
ROUND(OFFSET($P25,0,AH$13),15-13*ORÇAMENTO!$AF$7)/$H25*OFFSET(ORÇAMENTO!$X$15,ROW(AH25)-ROW(AH$15),0),
ROUND(ROUND(OFFSET($P25,0,AH$13),15-13*ORÇAMENTO!$AF$7)*OFFSET(ORÇAMENTO!$W$15,ROW(AH25)-ROW(AH$15),0),15-13*ORÇAMENTO!$AF$11)),0)</f>
        <v>0</v>
      </c>
      <c r="AI25" s="545">
        <f ca="1">IF(AND($D25="Serviço",AI$12&lt;&gt;0,$H25&gt;0,OR(AUTOEVENTO&lt;&gt;"manual",$M25&lt;&gt;1)),
IF(Import.TipoArredondamento&lt;&gt;"TransfereGOV",
ROUND(OFFSET($P25,0,AI$13),15-13*ORÇAMENTO!$AF$7)/$H25*OFFSET(ORÇAMENTO!$X$15,ROW(AI25)-ROW(AI$15),0),
ROUND(ROUND(OFFSET($P25,0,AI$13),15-13*ORÇAMENTO!$AF$7)*OFFSET(ORÇAMENTO!$W$15,ROW(AI25)-ROW(AI$15),0),15-13*ORÇAMENTO!$AF$11)),0)</f>
        <v>0</v>
      </c>
      <c r="AJ25" s="545">
        <f ca="1">IF(AND($D25="Serviço",AJ$12&lt;&gt;0,$H25&gt;0,OR(AUTOEVENTO&lt;&gt;"manual",$M25&lt;&gt;1)),
IF(Import.TipoArredondamento&lt;&gt;"TransfereGOV",
ROUND(OFFSET($P25,0,AJ$13),15-13*ORÇAMENTO!$AF$7)/$H25*OFFSET(ORÇAMENTO!$X$15,ROW(AJ25)-ROW(AJ$15),0),
ROUND(ROUND(OFFSET($P25,0,AJ$13),15-13*ORÇAMENTO!$AF$7)*OFFSET(ORÇAMENTO!$W$15,ROW(AJ25)-ROW(AJ$15),0),15-13*ORÇAMENTO!$AF$11)),0)</f>
        <v>0</v>
      </c>
      <c r="AK25" s="546">
        <f ca="1">IF(AND($D25="Serviço",AK$12&lt;&gt;0,$H25&gt;0,OR(AUTOEVENTO&lt;&gt;"manual",$M25&lt;&gt;1)),
IF(Import.TipoArredondamento&lt;&gt;"TransfereGOV",
ROUND(OFFSET($P25,0,AK$13),15-13*ORÇAMENTO!$AF$7)/$H25*OFFSET(ORÇAMENTO!$X$15,ROW(AK25)-ROW(AK$15),0),
ROUND(ROUND(OFFSET($P25,0,AK$13),15-13*ORÇAMENTO!$AF$7)*OFFSET(ORÇAMENTO!$W$15,ROW(AK25)-ROW(AK$15),0),15-13*ORÇAMENTO!$AF$11)),0)</f>
        <v>0</v>
      </c>
      <c r="AM25" s="181">
        <f ca="1">IF($D25&lt;&gt;"Serviço",0,IF(AND(AUTOEVENTO="Manual",$M25=1),0,IF(OFFSET(CRONOPLE!$F$14,$M25,AM$13)="",10^12,OFFSET(CRONOPLE!$F$14,$M25,AM$13))))</f>
        <v>1000000000000</v>
      </c>
      <c r="AN25" s="181">
        <f ca="1">IF($D25&lt;&gt;"Serviço",0,IF(AND(AUTOEVENTO="Manual",$M25=1),0,IF(OFFSET(CRONOPLE!$F$14,$M25,AN$13)="",10^12,OFFSET(CRONOPLE!$F$14,$M25,AN$13))))</f>
        <v>1000000000000</v>
      </c>
      <c r="AO25" s="181">
        <f ca="1">IF($D25&lt;&gt;"Serviço",0,IF(AND(AUTOEVENTO="Manual",$M25=1),0,IF(OFFSET(CRONOPLE!$F$14,$M25,AO$13)="",10^12,OFFSET(CRONOPLE!$F$14,$M25,AO$13))))</f>
        <v>1000000000000</v>
      </c>
      <c r="AP25" s="181">
        <f ca="1">IF($D25&lt;&gt;"Serviço",0,IF(AND(AUTOEVENTO="Manual",$M25=1),0,IF(OFFSET(CRONOPLE!$F$14,$M25,AP$13)="",10^12,OFFSET(CRONOPLE!$F$14,$M25,AP$13))))</f>
        <v>1000000000000</v>
      </c>
      <c r="AQ25" s="181">
        <f ca="1">IF($D25&lt;&gt;"Serviço",0,IF(AND(AUTOEVENTO="Manual",$M25=1),0,IF(OFFSET(CRONOPLE!$F$14,$M25,AQ$13)="",10^12,OFFSET(CRONOPLE!$F$14,$M25,AQ$13))))</f>
        <v>1000000000000</v>
      </c>
      <c r="AR25" s="181">
        <f ca="1">IF($D25&lt;&gt;"Serviço",0,IF(AND(AUTOEVENTO="Manual",$M25=1),0,IF(OFFSET(CRONOPLE!$F$14,$M25,AR$13)="",10^12,OFFSET(CRONOPLE!$F$14,$M25,AR$13))))</f>
        <v>1000000000000</v>
      </c>
      <c r="AS25" s="181">
        <f ca="1">IF($D25&lt;&gt;"Serviço",0,IF(AND(AUTOEVENTO="Manual",$M25=1),0,IF(OFFSET(CRONOPLE!$F$14,$M25,AS$13)="",10^12,OFFSET(CRONOPLE!$F$14,$M25,AS$13))))</f>
        <v>1000000000000</v>
      </c>
      <c r="AT25" s="181">
        <f ca="1">IF($D25&lt;&gt;"Serviço",0,IF(AND(AUTOEVENTO="Manual",$M25=1),0,IF(OFFSET(CRONOPLE!$F$14,$M25,AT$13)="",10^12,OFFSET(CRONOPLE!$F$14,$M25,AT$13))))</f>
        <v>1000000000000</v>
      </c>
      <c r="AU25" s="181">
        <f ca="1">IF($D25&lt;&gt;"Serviço",0,IF(AND(AUTOEVENTO="Manual",$M25=1),0,IF(OFFSET(CRONOPLE!$F$14,$M25,AU$13)="",10^12,OFFSET(CRONOPLE!$F$14,$M25,AU$13))))</f>
        <v>1000000000000</v>
      </c>
      <c r="AV25" s="181">
        <f ca="1">IF($D25&lt;&gt;"Serviço",0,IF(AND(AUTOEVENTO="Manual",$M25=1),0,IF(OFFSET(CRONOPLE!$F$14,$M25,AV$13)="",10^12,OFFSET(CRONOPLE!$F$14,$M25,AV$13))))</f>
        <v>1000000000000</v>
      </c>
      <c r="AX25" s="182">
        <f ca="1">IF($D25&lt;&gt;"Serviço",0,IF(OR(AND(AUTOEVENTO="Manual",$M25=1),$M25&gt;(ROW(PLE.lastrow)-ROW(PLE.firstrow))),0,IF(OFFSET(PLE!$G$14,$M25,AX$13)="",10^12,OFFSET(PLE!$G$14,$M25,AX$13))))</f>
        <v>1000000000000</v>
      </c>
      <c r="AY25" s="182">
        <f ca="1">IF($D25&lt;&gt;"Serviço",0,IF(OR(AND(AUTOEVENTO="Manual",$M25=1),$M25&gt;(ROW(PLE.lastrow)-ROW(PLE.firstrow))),0,IF(OFFSET(PLE!$G$14,$M25,AY$13)="",10^12,OFFSET(PLE!$G$14,$M25,AY$13))))</f>
        <v>1000000000000</v>
      </c>
      <c r="AZ25" s="182">
        <f ca="1">IF($D25&lt;&gt;"Serviço",0,IF(OR(AND(AUTOEVENTO="Manual",$M25=1),$M25&gt;(ROW(PLE.lastrow)-ROW(PLE.firstrow))),0,IF(OFFSET(PLE!$G$14,$M25,AZ$13)="",10^12,OFFSET(PLE!$G$14,$M25,AZ$13))))</f>
        <v>1000000000000</v>
      </c>
      <c r="BA25" s="182">
        <f ca="1">IF($D25&lt;&gt;"Serviço",0,IF(OR(AND(AUTOEVENTO="Manual",$M25=1),$M25&gt;(ROW(PLE.lastrow)-ROW(PLE.firstrow))),0,IF(OFFSET(PLE!$G$14,$M25,BA$13)="",10^12,OFFSET(PLE!$G$14,$M25,BA$13))))</f>
        <v>1000000000000</v>
      </c>
      <c r="BB25" s="182">
        <f ca="1">IF($D25&lt;&gt;"Serviço",0,IF(OR(AND(AUTOEVENTO="Manual",$M25=1),$M25&gt;(ROW(PLE.lastrow)-ROW(PLE.firstrow))),0,IF(OFFSET(PLE!$G$14,$M25,BB$13)="",10^12,OFFSET(PLE!$G$14,$M25,BB$13))))</f>
        <v>1000000000000</v>
      </c>
      <c r="BC25" s="182">
        <f ca="1">IF($D25&lt;&gt;"Serviço",0,IF(OR(AND(AUTOEVENTO="Manual",$M25=1),$M25&gt;(ROW(PLE.lastrow)-ROW(PLE.firstrow))),0,IF(OFFSET(PLE!$G$14,$M25,BC$13)="",10^12,OFFSET(PLE!$G$14,$M25,BC$13))))</f>
        <v>1000000000000</v>
      </c>
      <c r="BD25" s="182">
        <f ca="1">IF($D25&lt;&gt;"Serviço",0,IF(OR(AND(AUTOEVENTO="Manual",$M25=1),$M25&gt;(ROW(PLE.lastrow)-ROW(PLE.firstrow))),0,IF(OFFSET(PLE!$G$14,$M25,BD$13)="",10^12,OFFSET(PLE!$G$14,$M25,BD$13))))</f>
        <v>1000000000000</v>
      </c>
      <c r="BE25" s="182">
        <f ca="1">IF($D25&lt;&gt;"Serviço",0,IF(OR(AND(AUTOEVENTO="Manual",$M25=1),$M25&gt;(ROW(PLE.lastrow)-ROW(PLE.firstrow))),0,IF(OFFSET(PLE!$G$14,$M25,BE$13)="",10^12,OFFSET(PLE!$G$14,$M25,BE$13))))</f>
        <v>1000000000000</v>
      </c>
      <c r="BF25" s="182">
        <f ca="1">IF($D25&lt;&gt;"Serviço",0,IF(OR(AND(AUTOEVENTO="Manual",$M25=1),$M25&gt;(ROW(PLE.lastrow)-ROW(PLE.firstrow))),0,IF(OFFSET(PLE!$G$14,$M25,BF$13)="",10^12,OFFSET(PLE!$G$14,$M25,BF$13))))</f>
        <v>1000000000000</v>
      </c>
      <c r="BG25" s="182">
        <f ca="1">IF($D25&lt;&gt;"Serviço",0,IF(OR(AND(AUTOEVENTO="Manual",$M25=1),$M25&gt;(ROW(PLE.lastrow)-ROW(PLE.firstrow))),0,IF(OFFSET(PLE!$G$14,$M25,BG$13)="",10^12,OFFSET(PLE!$G$14,$M25,BG$13))))</f>
        <v>1000000000000</v>
      </c>
    </row>
    <row r="26" spans="1:59" ht="38.25" x14ac:dyDescent="0.2">
      <c r="A26" s="7" t="str">
        <f t="shared" ca="1" si="8"/>
        <v>2</v>
      </c>
      <c r="B26" s="7" t="str">
        <f ca="1">OFFSET(ORÇAMENTO!C$15,ROW(B26)-ROW(B$15),0)</f>
        <v>S</v>
      </c>
      <c r="C26" s="7" t="str">
        <f ca="1">OFFSET(ORÇAMENTO!L$15,ROW(C26)-ROW(C$15),0)</f>
        <v/>
      </c>
      <c r="D26" s="118" t="str">
        <f ca="1">OFFSET(ORÇAMENTO!N$15,ROW(D26)-ROW(D$15),0)</f>
        <v>Serviço</v>
      </c>
      <c r="E26" s="119" t="str">
        <f ca="1">OFFSET(ORÇAMENTO!O$15,ROW(E26)-ROW(E$15),0)</f>
        <v>-</v>
      </c>
      <c r="F26" s="172" t="str">
        <f ca="1">OFFSET(ORÇAMENTO!R$15,ROW(F26)-ROW(F$15),0)</f>
        <v>(abra o arquivo 'Referência 02-2025.xlsm)</v>
      </c>
      <c r="G26" s="173" t="str">
        <f ca="1">IF($D26&lt;&gt;"Serviço","",OFFSET(ORÇAMENTO!S$15,ROW(G26)-ROW(G$15),0))</f>
        <v>-</v>
      </c>
      <c r="H26" s="124">
        <f ca="1">IF($D26&lt;&gt;"Serviço",0,IF(ACOMPANHAMENTO="BM",ROUND(OFFSET(ORÇAMENTO!AJ$15,ROW(H26)-ROW(H$15),0),15-13*ORÇAMENTO!$AF$7),SUMPRODUCT(($Q$12:$AA$12&lt;&gt;"")*ROUND($Q26:$AA26,15-13*ORÇAMENTO!$AF$7))))</f>
        <v>10</v>
      </c>
      <c r="I26" s="561" t="s">
        <v>890</v>
      </c>
      <c r="K26" s="174"/>
      <c r="L26" s="175" t="s">
        <v>255</v>
      </c>
      <c r="M26" s="176">
        <f ca="1">IF($D26&lt;&gt;"Serviço","",IF(AUTOEVENTO="manual",$A26,IF(ISERROR(MATCH($A26,$A$15:OFFSET($A26,-1,0),0)),MAX($M$15:OFFSET(M26,-1,0))+1,INDEX($M$15:OFFSET(M26,-1,0),MATCH($A26,$A$15:OFFSET($A26,-1,0),0)))))</f>
        <v>2</v>
      </c>
      <c r="N26" s="177" t="str">
        <f ca="1">IF($D26&lt;&gt;"Serviço","",IF(AUTOEVENTO="Manual",IF($A26=0,"&lt;-- defina o número do agrupador",OFFSET(EVENTOS!$D$14,$A26,0)),OFFSET($F$15,$A26,0)))</f>
        <v>SERVIÇOS PRELIMINARES</v>
      </c>
      <c r="O26" s="178"/>
      <c r="Q26" s="178"/>
      <c r="R26" s="179"/>
      <c r="S26" s="179"/>
      <c r="T26" s="179"/>
      <c r="U26" s="179"/>
      <c r="V26" s="179"/>
      <c r="W26" s="179"/>
      <c r="X26" s="179"/>
      <c r="Y26" s="179"/>
      <c r="Z26" s="180"/>
      <c r="AB26" s="544">
        <f ca="1">IF(AND($D26="Serviço",AB$12&lt;&gt;0,$H26&gt;0,OR(AUTOEVENTO&lt;&gt;"manual",$M26&lt;&gt;1)),
IF(Import.TipoArredondamento&lt;&gt;"TransfereGOV",
ROUND(OFFSET($P26,0,AB$13),15-13*ORÇAMENTO!$AF$7)/$H26*OFFSET(ORÇAMENTO!$X$15,ROW(AB26)-ROW(AB$15),0),
ROUND(ROUND(OFFSET($P26,0,AB$13),15-13*ORÇAMENTO!$AF$7)*OFFSET(ORÇAMENTO!$W$15,ROW(AB26)-ROW(AB$15),0),15-13*ORÇAMENTO!$AF$11)),0)</f>
        <v>0</v>
      </c>
      <c r="AC26" s="545">
        <f ca="1">IF(AND($D26="Serviço",AC$12&lt;&gt;0,$H26&gt;0,OR(AUTOEVENTO&lt;&gt;"manual",$M26&lt;&gt;1)),
IF(Import.TipoArredondamento&lt;&gt;"TransfereGOV",
ROUND(OFFSET($P26,0,AC$13),15-13*ORÇAMENTO!$AF$7)/$H26*OFFSET(ORÇAMENTO!$X$15,ROW(AC26)-ROW(AC$15),0),
ROUND(ROUND(OFFSET($P26,0,AC$13),15-13*ORÇAMENTO!$AF$7)*OFFSET(ORÇAMENTO!$W$15,ROW(AC26)-ROW(AC$15),0),15-13*ORÇAMENTO!$AF$11)),0)</f>
        <v>0</v>
      </c>
      <c r="AD26" s="545">
        <f ca="1">IF(AND($D26="Serviço",AD$12&lt;&gt;0,$H26&gt;0,OR(AUTOEVENTO&lt;&gt;"manual",$M26&lt;&gt;1)),
IF(Import.TipoArredondamento&lt;&gt;"TransfereGOV",
ROUND(OFFSET($P26,0,AD$13),15-13*ORÇAMENTO!$AF$7)/$H26*OFFSET(ORÇAMENTO!$X$15,ROW(AD26)-ROW(AD$15),0),
ROUND(ROUND(OFFSET($P26,0,AD$13),15-13*ORÇAMENTO!$AF$7)*OFFSET(ORÇAMENTO!$W$15,ROW(AD26)-ROW(AD$15),0),15-13*ORÇAMENTO!$AF$11)),0)</f>
        <v>0</v>
      </c>
      <c r="AE26" s="545">
        <f ca="1">IF(AND($D26="Serviço",AE$12&lt;&gt;0,$H26&gt;0,OR(AUTOEVENTO&lt;&gt;"manual",$M26&lt;&gt;1)),
IF(Import.TipoArredondamento&lt;&gt;"TransfereGOV",
ROUND(OFFSET($P26,0,AE$13),15-13*ORÇAMENTO!$AF$7)/$H26*OFFSET(ORÇAMENTO!$X$15,ROW(AE26)-ROW(AE$15),0),
ROUND(ROUND(OFFSET($P26,0,AE$13),15-13*ORÇAMENTO!$AF$7)*OFFSET(ORÇAMENTO!$W$15,ROW(AE26)-ROW(AE$15),0),15-13*ORÇAMENTO!$AF$11)),0)</f>
        <v>0</v>
      </c>
      <c r="AF26" s="545">
        <f ca="1">IF(AND($D26="Serviço",AF$12&lt;&gt;0,$H26&gt;0,OR(AUTOEVENTO&lt;&gt;"manual",$M26&lt;&gt;1)),
IF(Import.TipoArredondamento&lt;&gt;"TransfereGOV",
ROUND(OFFSET($P26,0,AF$13),15-13*ORÇAMENTO!$AF$7)/$H26*OFFSET(ORÇAMENTO!$X$15,ROW(AF26)-ROW(AF$15),0),
ROUND(ROUND(OFFSET($P26,0,AF$13),15-13*ORÇAMENTO!$AF$7)*OFFSET(ORÇAMENTO!$W$15,ROW(AF26)-ROW(AF$15),0),15-13*ORÇAMENTO!$AF$11)),0)</f>
        <v>0</v>
      </c>
      <c r="AG26" s="545">
        <f ca="1">IF(AND($D26="Serviço",AG$12&lt;&gt;0,$H26&gt;0,OR(AUTOEVENTO&lt;&gt;"manual",$M26&lt;&gt;1)),
IF(Import.TipoArredondamento&lt;&gt;"TransfereGOV",
ROUND(OFFSET($P26,0,AG$13),15-13*ORÇAMENTO!$AF$7)/$H26*OFFSET(ORÇAMENTO!$X$15,ROW(AG26)-ROW(AG$15),0),
ROUND(ROUND(OFFSET($P26,0,AG$13),15-13*ORÇAMENTO!$AF$7)*OFFSET(ORÇAMENTO!$W$15,ROW(AG26)-ROW(AG$15),0),15-13*ORÇAMENTO!$AF$11)),0)</f>
        <v>0</v>
      </c>
      <c r="AH26" s="545">
        <f ca="1">IF(AND($D26="Serviço",AH$12&lt;&gt;0,$H26&gt;0,OR(AUTOEVENTO&lt;&gt;"manual",$M26&lt;&gt;1)),
IF(Import.TipoArredondamento&lt;&gt;"TransfereGOV",
ROUND(OFFSET($P26,0,AH$13),15-13*ORÇAMENTO!$AF$7)/$H26*OFFSET(ORÇAMENTO!$X$15,ROW(AH26)-ROW(AH$15),0),
ROUND(ROUND(OFFSET($P26,0,AH$13),15-13*ORÇAMENTO!$AF$7)*OFFSET(ORÇAMENTO!$W$15,ROW(AH26)-ROW(AH$15),0),15-13*ORÇAMENTO!$AF$11)),0)</f>
        <v>0</v>
      </c>
      <c r="AI26" s="545">
        <f ca="1">IF(AND($D26="Serviço",AI$12&lt;&gt;0,$H26&gt;0,OR(AUTOEVENTO&lt;&gt;"manual",$M26&lt;&gt;1)),
IF(Import.TipoArredondamento&lt;&gt;"TransfereGOV",
ROUND(OFFSET($P26,0,AI$13),15-13*ORÇAMENTO!$AF$7)/$H26*OFFSET(ORÇAMENTO!$X$15,ROW(AI26)-ROW(AI$15),0),
ROUND(ROUND(OFFSET($P26,0,AI$13),15-13*ORÇAMENTO!$AF$7)*OFFSET(ORÇAMENTO!$W$15,ROW(AI26)-ROW(AI$15),0),15-13*ORÇAMENTO!$AF$11)),0)</f>
        <v>0</v>
      </c>
      <c r="AJ26" s="545">
        <f ca="1">IF(AND($D26="Serviço",AJ$12&lt;&gt;0,$H26&gt;0,OR(AUTOEVENTO&lt;&gt;"manual",$M26&lt;&gt;1)),
IF(Import.TipoArredondamento&lt;&gt;"TransfereGOV",
ROUND(OFFSET($P26,0,AJ$13),15-13*ORÇAMENTO!$AF$7)/$H26*OFFSET(ORÇAMENTO!$X$15,ROW(AJ26)-ROW(AJ$15),0),
ROUND(ROUND(OFFSET($P26,0,AJ$13),15-13*ORÇAMENTO!$AF$7)*OFFSET(ORÇAMENTO!$W$15,ROW(AJ26)-ROW(AJ$15),0),15-13*ORÇAMENTO!$AF$11)),0)</f>
        <v>0</v>
      </c>
      <c r="AK26" s="546">
        <f ca="1">IF(AND($D26="Serviço",AK$12&lt;&gt;0,$H26&gt;0,OR(AUTOEVENTO&lt;&gt;"manual",$M26&lt;&gt;1)),
IF(Import.TipoArredondamento&lt;&gt;"TransfereGOV",
ROUND(OFFSET($P26,0,AK$13),15-13*ORÇAMENTO!$AF$7)/$H26*OFFSET(ORÇAMENTO!$X$15,ROW(AK26)-ROW(AK$15),0),
ROUND(ROUND(OFFSET($P26,0,AK$13),15-13*ORÇAMENTO!$AF$7)*OFFSET(ORÇAMENTO!$W$15,ROW(AK26)-ROW(AK$15),0),15-13*ORÇAMENTO!$AF$11)),0)</f>
        <v>0</v>
      </c>
      <c r="AM26" s="181">
        <f ca="1">IF($D26&lt;&gt;"Serviço",0,IF(AND(AUTOEVENTO="Manual",$M26=1),0,IF(OFFSET(CRONOPLE!$F$14,$M26,AM$13)="",10^12,OFFSET(CRONOPLE!$F$14,$M26,AM$13))))</f>
        <v>1000000000000</v>
      </c>
      <c r="AN26" s="181">
        <f ca="1">IF($D26&lt;&gt;"Serviço",0,IF(AND(AUTOEVENTO="Manual",$M26=1),0,IF(OFFSET(CRONOPLE!$F$14,$M26,AN$13)="",10^12,OFFSET(CRONOPLE!$F$14,$M26,AN$13))))</f>
        <v>1000000000000</v>
      </c>
      <c r="AO26" s="181">
        <f ca="1">IF($D26&lt;&gt;"Serviço",0,IF(AND(AUTOEVENTO="Manual",$M26=1),0,IF(OFFSET(CRONOPLE!$F$14,$M26,AO$13)="",10^12,OFFSET(CRONOPLE!$F$14,$M26,AO$13))))</f>
        <v>1000000000000</v>
      </c>
      <c r="AP26" s="181">
        <f ca="1">IF($D26&lt;&gt;"Serviço",0,IF(AND(AUTOEVENTO="Manual",$M26=1),0,IF(OFFSET(CRONOPLE!$F$14,$M26,AP$13)="",10^12,OFFSET(CRONOPLE!$F$14,$M26,AP$13))))</f>
        <v>1000000000000</v>
      </c>
      <c r="AQ26" s="181">
        <f ca="1">IF($D26&lt;&gt;"Serviço",0,IF(AND(AUTOEVENTO="Manual",$M26=1),0,IF(OFFSET(CRONOPLE!$F$14,$M26,AQ$13)="",10^12,OFFSET(CRONOPLE!$F$14,$M26,AQ$13))))</f>
        <v>1000000000000</v>
      </c>
      <c r="AR26" s="181">
        <f ca="1">IF($D26&lt;&gt;"Serviço",0,IF(AND(AUTOEVENTO="Manual",$M26=1),0,IF(OFFSET(CRONOPLE!$F$14,$M26,AR$13)="",10^12,OFFSET(CRONOPLE!$F$14,$M26,AR$13))))</f>
        <v>1000000000000</v>
      </c>
      <c r="AS26" s="181">
        <f ca="1">IF($D26&lt;&gt;"Serviço",0,IF(AND(AUTOEVENTO="Manual",$M26=1),0,IF(OFFSET(CRONOPLE!$F$14,$M26,AS$13)="",10^12,OFFSET(CRONOPLE!$F$14,$M26,AS$13))))</f>
        <v>1000000000000</v>
      </c>
      <c r="AT26" s="181">
        <f ca="1">IF($D26&lt;&gt;"Serviço",0,IF(AND(AUTOEVENTO="Manual",$M26=1),0,IF(OFFSET(CRONOPLE!$F$14,$M26,AT$13)="",10^12,OFFSET(CRONOPLE!$F$14,$M26,AT$13))))</f>
        <v>1000000000000</v>
      </c>
      <c r="AU26" s="181">
        <f ca="1">IF($D26&lt;&gt;"Serviço",0,IF(AND(AUTOEVENTO="Manual",$M26=1),0,IF(OFFSET(CRONOPLE!$F$14,$M26,AU$13)="",10^12,OFFSET(CRONOPLE!$F$14,$M26,AU$13))))</f>
        <v>1000000000000</v>
      </c>
      <c r="AV26" s="181">
        <f ca="1">IF($D26&lt;&gt;"Serviço",0,IF(AND(AUTOEVENTO="Manual",$M26=1),0,IF(OFFSET(CRONOPLE!$F$14,$M26,AV$13)="",10^12,OFFSET(CRONOPLE!$F$14,$M26,AV$13))))</f>
        <v>1000000000000</v>
      </c>
      <c r="AX26" s="182">
        <f ca="1">IF($D26&lt;&gt;"Serviço",0,IF(OR(AND(AUTOEVENTO="Manual",$M26=1),$M26&gt;(ROW(PLE.lastrow)-ROW(PLE.firstrow))),0,IF(OFFSET(PLE!$G$14,$M26,AX$13)="",10^12,OFFSET(PLE!$G$14,$M26,AX$13))))</f>
        <v>1000000000000</v>
      </c>
      <c r="AY26" s="182">
        <f ca="1">IF($D26&lt;&gt;"Serviço",0,IF(OR(AND(AUTOEVENTO="Manual",$M26=1),$M26&gt;(ROW(PLE.lastrow)-ROW(PLE.firstrow))),0,IF(OFFSET(PLE!$G$14,$M26,AY$13)="",10^12,OFFSET(PLE!$G$14,$M26,AY$13))))</f>
        <v>1000000000000</v>
      </c>
      <c r="AZ26" s="182">
        <f ca="1">IF($D26&lt;&gt;"Serviço",0,IF(OR(AND(AUTOEVENTO="Manual",$M26=1),$M26&gt;(ROW(PLE.lastrow)-ROW(PLE.firstrow))),0,IF(OFFSET(PLE!$G$14,$M26,AZ$13)="",10^12,OFFSET(PLE!$G$14,$M26,AZ$13))))</f>
        <v>1000000000000</v>
      </c>
      <c r="BA26" s="182">
        <f ca="1">IF($D26&lt;&gt;"Serviço",0,IF(OR(AND(AUTOEVENTO="Manual",$M26=1),$M26&gt;(ROW(PLE.lastrow)-ROW(PLE.firstrow))),0,IF(OFFSET(PLE!$G$14,$M26,BA$13)="",10^12,OFFSET(PLE!$G$14,$M26,BA$13))))</f>
        <v>1000000000000</v>
      </c>
      <c r="BB26" s="182">
        <f ca="1">IF($D26&lt;&gt;"Serviço",0,IF(OR(AND(AUTOEVENTO="Manual",$M26=1),$M26&gt;(ROW(PLE.lastrow)-ROW(PLE.firstrow))),0,IF(OFFSET(PLE!$G$14,$M26,BB$13)="",10^12,OFFSET(PLE!$G$14,$M26,BB$13))))</f>
        <v>1000000000000</v>
      </c>
      <c r="BC26" s="182">
        <f ca="1">IF($D26&lt;&gt;"Serviço",0,IF(OR(AND(AUTOEVENTO="Manual",$M26=1),$M26&gt;(ROW(PLE.lastrow)-ROW(PLE.firstrow))),0,IF(OFFSET(PLE!$G$14,$M26,BC$13)="",10^12,OFFSET(PLE!$G$14,$M26,BC$13))))</f>
        <v>1000000000000</v>
      </c>
      <c r="BD26" s="182">
        <f ca="1">IF($D26&lt;&gt;"Serviço",0,IF(OR(AND(AUTOEVENTO="Manual",$M26=1),$M26&gt;(ROW(PLE.lastrow)-ROW(PLE.firstrow))),0,IF(OFFSET(PLE!$G$14,$M26,BD$13)="",10^12,OFFSET(PLE!$G$14,$M26,BD$13))))</f>
        <v>1000000000000</v>
      </c>
      <c r="BE26" s="182">
        <f ca="1">IF($D26&lt;&gt;"Serviço",0,IF(OR(AND(AUTOEVENTO="Manual",$M26=1),$M26&gt;(ROW(PLE.lastrow)-ROW(PLE.firstrow))),0,IF(OFFSET(PLE!$G$14,$M26,BE$13)="",10^12,OFFSET(PLE!$G$14,$M26,BE$13))))</f>
        <v>1000000000000</v>
      </c>
      <c r="BF26" s="182">
        <f ca="1">IF($D26&lt;&gt;"Serviço",0,IF(OR(AND(AUTOEVENTO="Manual",$M26=1),$M26&gt;(ROW(PLE.lastrow)-ROW(PLE.firstrow))),0,IF(OFFSET(PLE!$G$14,$M26,BF$13)="",10^12,OFFSET(PLE!$G$14,$M26,BF$13))))</f>
        <v>1000000000000</v>
      </c>
      <c r="BG26" s="182">
        <f ca="1">IF($D26&lt;&gt;"Serviço",0,IF(OR(AND(AUTOEVENTO="Manual",$M26=1),$M26&gt;(ROW(PLE.lastrow)-ROW(PLE.firstrow))),0,IF(OFFSET(PLE!$G$14,$M26,BG$13)="",10^12,OFFSET(PLE!$G$14,$M26,BG$13))))</f>
        <v>1000000000000</v>
      </c>
    </row>
    <row r="27" spans="1:59" ht="12.75" x14ac:dyDescent="0.2">
      <c r="A27" s="7" t="str">
        <f t="shared" ca="1" si="8"/>
        <v>12.</v>
      </c>
      <c r="B27" s="7">
        <f ca="1">OFFSET(ORÇAMENTO!C$15,ROW(B27)-ROW(B$15),0)</f>
        <v>2</v>
      </c>
      <c r="C27" s="7" t="str">
        <f ca="1">OFFSET(ORÇAMENTO!L$15,ROW(C27)-ROW(C$15),0)</f>
        <v>F</v>
      </c>
      <c r="D27" s="118" t="str">
        <f ca="1">OFFSET(ORÇAMENTO!N$15,ROW(D27)-ROW(D$15),0)</f>
        <v>Nível 2</v>
      </c>
      <c r="E27" s="119" t="str">
        <f ca="1">OFFSET(ORÇAMENTO!O$15,ROW(E27)-ROW(E$15),0)</f>
        <v>1.2.</v>
      </c>
      <c r="F27" s="172" t="str">
        <f ca="1">OFFSET(ORÇAMENTO!R$15,ROW(F27)-ROW(F$15),0)</f>
        <v>MOVIMENTO DE TERRA PARA FUNDAÇÕES</v>
      </c>
      <c r="G27" s="173" t="str">
        <f ca="1">IF($D27&lt;&gt;"Serviço","",OFFSET(ORÇAMENTO!S$15,ROW(G27)-ROW(G$15),0))</f>
        <v/>
      </c>
      <c r="H27" s="124">
        <f ca="1">IF($D27&lt;&gt;"Serviço",0,IF(ACOMPANHAMENTO="BM",ROUND(OFFSET(ORÇAMENTO!AJ$15,ROW(H27)-ROW(H$15),0),15-13*ORÇAMENTO!$AF$7),SUMPRODUCT(($Q$12:$AA$12&lt;&gt;"")*ROUND($Q27:$AA27,15-13*ORÇAMENTO!$AF$7))))</f>
        <v>0</v>
      </c>
      <c r="I27" s="561"/>
      <c r="K27" s="174"/>
      <c r="L27" s="175" t="s">
        <v>255</v>
      </c>
      <c r="M27" s="176" t="str">
        <f ca="1">IF($D27&lt;&gt;"Serviço","",IF(AUTOEVENTO="manual",$A27,IF(ISERROR(MATCH($A27,$A$15:OFFSET($A27,-1,0),0)),MAX($M$15:OFFSET(M27,-1,0))+1,INDEX($M$15:OFFSET(M27,-1,0),MATCH($A27,$A$15:OFFSET($A27,-1,0),0)))))</f>
        <v/>
      </c>
      <c r="N27" s="177" t="str">
        <f ca="1">IF($D27&lt;&gt;"Serviço","",IF(AUTOEVENTO="Manual",IF($A27=0,"&lt;-- defina o número do agrupador",OFFSET(EVENTOS!$D$14,$A27,0)),OFFSET($F$15,$A27,0)))</f>
        <v/>
      </c>
      <c r="O27" s="178"/>
      <c r="Q27" s="178"/>
      <c r="R27" s="179"/>
      <c r="S27" s="179"/>
      <c r="T27" s="179"/>
      <c r="U27" s="179"/>
      <c r="V27" s="179"/>
      <c r="W27" s="179"/>
      <c r="X27" s="179"/>
      <c r="Y27" s="179"/>
      <c r="Z27" s="180"/>
      <c r="AB27" s="544">
        <f ca="1">IF(AND($D27="Serviço",AB$12&lt;&gt;0,$H27&gt;0,OR(AUTOEVENTO&lt;&gt;"manual",$M27&lt;&gt;1)),
IF(Import.TipoArredondamento&lt;&gt;"TransfereGOV",
ROUND(OFFSET($P27,0,AB$13),15-13*ORÇAMENTO!$AF$7)/$H27*OFFSET(ORÇAMENTO!$X$15,ROW(AB27)-ROW(AB$15),0),
ROUND(ROUND(OFFSET($P27,0,AB$13),15-13*ORÇAMENTO!$AF$7)*OFFSET(ORÇAMENTO!$W$15,ROW(AB27)-ROW(AB$15),0),15-13*ORÇAMENTO!$AF$11)),0)</f>
        <v>0</v>
      </c>
      <c r="AC27" s="545">
        <f ca="1">IF(AND($D27="Serviço",AC$12&lt;&gt;0,$H27&gt;0,OR(AUTOEVENTO&lt;&gt;"manual",$M27&lt;&gt;1)),
IF(Import.TipoArredondamento&lt;&gt;"TransfereGOV",
ROUND(OFFSET($P27,0,AC$13),15-13*ORÇAMENTO!$AF$7)/$H27*OFFSET(ORÇAMENTO!$X$15,ROW(AC27)-ROW(AC$15),0),
ROUND(ROUND(OFFSET($P27,0,AC$13),15-13*ORÇAMENTO!$AF$7)*OFFSET(ORÇAMENTO!$W$15,ROW(AC27)-ROW(AC$15),0),15-13*ORÇAMENTO!$AF$11)),0)</f>
        <v>0</v>
      </c>
      <c r="AD27" s="545">
        <f ca="1">IF(AND($D27="Serviço",AD$12&lt;&gt;0,$H27&gt;0,OR(AUTOEVENTO&lt;&gt;"manual",$M27&lt;&gt;1)),
IF(Import.TipoArredondamento&lt;&gt;"TransfereGOV",
ROUND(OFFSET($P27,0,AD$13),15-13*ORÇAMENTO!$AF$7)/$H27*OFFSET(ORÇAMENTO!$X$15,ROW(AD27)-ROW(AD$15),0),
ROUND(ROUND(OFFSET($P27,0,AD$13),15-13*ORÇAMENTO!$AF$7)*OFFSET(ORÇAMENTO!$W$15,ROW(AD27)-ROW(AD$15),0),15-13*ORÇAMENTO!$AF$11)),0)</f>
        <v>0</v>
      </c>
      <c r="AE27" s="545">
        <f ca="1">IF(AND($D27="Serviço",AE$12&lt;&gt;0,$H27&gt;0,OR(AUTOEVENTO&lt;&gt;"manual",$M27&lt;&gt;1)),
IF(Import.TipoArredondamento&lt;&gt;"TransfereGOV",
ROUND(OFFSET($P27,0,AE$13),15-13*ORÇAMENTO!$AF$7)/$H27*OFFSET(ORÇAMENTO!$X$15,ROW(AE27)-ROW(AE$15),0),
ROUND(ROUND(OFFSET($P27,0,AE$13),15-13*ORÇAMENTO!$AF$7)*OFFSET(ORÇAMENTO!$W$15,ROW(AE27)-ROW(AE$15),0),15-13*ORÇAMENTO!$AF$11)),0)</f>
        <v>0</v>
      </c>
      <c r="AF27" s="545">
        <f ca="1">IF(AND($D27="Serviço",AF$12&lt;&gt;0,$H27&gt;0,OR(AUTOEVENTO&lt;&gt;"manual",$M27&lt;&gt;1)),
IF(Import.TipoArredondamento&lt;&gt;"TransfereGOV",
ROUND(OFFSET($P27,0,AF$13),15-13*ORÇAMENTO!$AF$7)/$H27*OFFSET(ORÇAMENTO!$X$15,ROW(AF27)-ROW(AF$15),0),
ROUND(ROUND(OFFSET($P27,0,AF$13),15-13*ORÇAMENTO!$AF$7)*OFFSET(ORÇAMENTO!$W$15,ROW(AF27)-ROW(AF$15),0),15-13*ORÇAMENTO!$AF$11)),0)</f>
        <v>0</v>
      </c>
      <c r="AG27" s="545">
        <f ca="1">IF(AND($D27="Serviço",AG$12&lt;&gt;0,$H27&gt;0,OR(AUTOEVENTO&lt;&gt;"manual",$M27&lt;&gt;1)),
IF(Import.TipoArredondamento&lt;&gt;"TransfereGOV",
ROUND(OFFSET($P27,0,AG$13),15-13*ORÇAMENTO!$AF$7)/$H27*OFFSET(ORÇAMENTO!$X$15,ROW(AG27)-ROW(AG$15),0),
ROUND(ROUND(OFFSET($P27,0,AG$13),15-13*ORÇAMENTO!$AF$7)*OFFSET(ORÇAMENTO!$W$15,ROW(AG27)-ROW(AG$15),0),15-13*ORÇAMENTO!$AF$11)),0)</f>
        <v>0</v>
      </c>
      <c r="AH27" s="545">
        <f ca="1">IF(AND($D27="Serviço",AH$12&lt;&gt;0,$H27&gt;0,OR(AUTOEVENTO&lt;&gt;"manual",$M27&lt;&gt;1)),
IF(Import.TipoArredondamento&lt;&gt;"TransfereGOV",
ROUND(OFFSET($P27,0,AH$13),15-13*ORÇAMENTO!$AF$7)/$H27*OFFSET(ORÇAMENTO!$X$15,ROW(AH27)-ROW(AH$15),0),
ROUND(ROUND(OFFSET($P27,0,AH$13),15-13*ORÇAMENTO!$AF$7)*OFFSET(ORÇAMENTO!$W$15,ROW(AH27)-ROW(AH$15),0),15-13*ORÇAMENTO!$AF$11)),0)</f>
        <v>0</v>
      </c>
      <c r="AI27" s="545">
        <f ca="1">IF(AND($D27="Serviço",AI$12&lt;&gt;0,$H27&gt;0,OR(AUTOEVENTO&lt;&gt;"manual",$M27&lt;&gt;1)),
IF(Import.TipoArredondamento&lt;&gt;"TransfereGOV",
ROUND(OFFSET($P27,0,AI$13),15-13*ORÇAMENTO!$AF$7)/$H27*OFFSET(ORÇAMENTO!$X$15,ROW(AI27)-ROW(AI$15),0),
ROUND(ROUND(OFFSET($P27,0,AI$13),15-13*ORÇAMENTO!$AF$7)*OFFSET(ORÇAMENTO!$W$15,ROW(AI27)-ROW(AI$15),0),15-13*ORÇAMENTO!$AF$11)),0)</f>
        <v>0</v>
      </c>
      <c r="AJ27" s="545">
        <f ca="1">IF(AND($D27="Serviço",AJ$12&lt;&gt;0,$H27&gt;0,OR(AUTOEVENTO&lt;&gt;"manual",$M27&lt;&gt;1)),
IF(Import.TipoArredondamento&lt;&gt;"TransfereGOV",
ROUND(OFFSET($P27,0,AJ$13),15-13*ORÇAMENTO!$AF$7)/$H27*OFFSET(ORÇAMENTO!$X$15,ROW(AJ27)-ROW(AJ$15),0),
ROUND(ROUND(OFFSET($P27,0,AJ$13),15-13*ORÇAMENTO!$AF$7)*OFFSET(ORÇAMENTO!$W$15,ROW(AJ27)-ROW(AJ$15),0),15-13*ORÇAMENTO!$AF$11)),0)</f>
        <v>0</v>
      </c>
      <c r="AK27" s="546">
        <f ca="1">IF(AND($D27="Serviço",AK$12&lt;&gt;0,$H27&gt;0,OR(AUTOEVENTO&lt;&gt;"manual",$M27&lt;&gt;1)),
IF(Import.TipoArredondamento&lt;&gt;"TransfereGOV",
ROUND(OFFSET($P27,0,AK$13),15-13*ORÇAMENTO!$AF$7)/$H27*OFFSET(ORÇAMENTO!$X$15,ROW(AK27)-ROW(AK$15),0),
ROUND(ROUND(OFFSET($P27,0,AK$13),15-13*ORÇAMENTO!$AF$7)*OFFSET(ORÇAMENTO!$W$15,ROW(AK27)-ROW(AK$15),0),15-13*ORÇAMENTO!$AF$11)),0)</f>
        <v>0</v>
      </c>
      <c r="AM27" s="181">
        <f ca="1">IF($D27&lt;&gt;"Serviço",0,IF(AND(AUTOEVENTO="Manual",$M27=1),0,IF(OFFSET(CRONOPLE!$F$14,$M27,AM$13)="",10^12,OFFSET(CRONOPLE!$F$14,$M27,AM$13))))</f>
        <v>0</v>
      </c>
      <c r="AN27" s="181">
        <f ca="1">IF($D27&lt;&gt;"Serviço",0,IF(AND(AUTOEVENTO="Manual",$M27=1),0,IF(OFFSET(CRONOPLE!$F$14,$M27,AN$13)="",10^12,OFFSET(CRONOPLE!$F$14,$M27,AN$13))))</f>
        <v>0</v>
      </c>
      <c r="AO27" s="181">
        <f ca="1">IF($D27&lt;&gt;"Serviço",0,IF(AND(AUTOEVENTO="Manual",$M27=1),0,IF(OFFSET(CRONOPLE!$F$14,$M27,AO$13)="",10^12,OFFSET(CRONOPLE!$F$14,$M27,AO$13))))</f>
        <v>0</v>
      </c>
      <c r="AP27" s="181">
        <f ca="1">IF($D27&lt;&gt;"Serviço",0,IF(AND(AUTOEVENTO="Manual",$M27=1),0,IF(OFFSET(CRONOPLE!$F$14,$M27,AP$13)="",10^12,OFFSET(CRONOPLE!$F$14,$M27,AP$13))))</f>
        <v>0</v>
      </c>
      <c r="AQ27" s="181">
        <f ca="1">IF($D27&lt;&gt;"Serviço",0,IF(AND(AUTOEVENTO="Manual",$M27=1),0,IF(OFFSET(CRONOPLE!$F$14,$M27,AQ$13)="",10^12,OFFSET(CRONOPLE!$F$14,$M27,AQ$13))))</f>
        <v>0</v>
      </c>
      <c r="AR27" s="181">
        <f ca="1">IF($D27&lt;&gt;"Serviço",0,IF(AND(AUTOEVENTO="Manual",$M27=1),0,IF(OFFSET(CRONOPLE!$F$14,$M27,AR$13)="",10^12,OFFSET(CRONOPLE!$F$14,$M27,AR$13))))</f>
        <v>0</v>
      </c>
      <c r="AS27" s="181">
        <f ca="1">IF($D27&lt;&gt;"Serviço",0,IF(AND(AUTOEVENTO="Manual",$M27=1),0,IF(OFFSET(CRONOPLE!$F$14,$M27,AS$13)="",10^12,OFFSET(CRONOPLE!$F$14,$M27,AS$13))))</f>
        <v>0</v>
      </c>
      <c r="AT27" s="181">
        <f ca="1">IF($D27&lt;&gt;"Serviço",0,IF(AND(AUTOEVENTO="Manual",$M27=1),0,IF(OFFSET(CRONOPLE!$F$14,$M27,AT$13)="",10^12,OFFSET(CRONOPLE!$F$14,$M27,AT$13))))</f>
        <v>0</v>
      </c>
      <c r="AU27" s="181">
        <f ca="1">IF($D27&lt;&gt;"Serviço",0,IF(AND(AUTOEVENTO="Manual",$M27=1),0,IF(OFFSET(CRONOPLE!$F$14,$M27,AU$13)="",10^12,OFFSET(CRONOPLE!$F$14,$M27,AU$13))))</f>
        <v>0</v>
      </c>
      <c r="AV27" s="181">
        <f ca="1">IF($D27&lt;&gt;"Serviço",0,IF(AND(AUTOEVENTO="Manual",$M27=1),0,IF(OFFSET(CRONOPLE!$F$14,$M27,AV$13)="",10^12,OFFSET(CRONOPLE!$F$14,$M27,AV$13))))</f>
        <v>0</v>
      </c>
      <c r="AX27" s="182">
        <f ca="1">IF($D27&lt;&gt;"Serviço",0,IF(OR(AND(AUTOEVENTO="Manual",$M27=1),$M27&gt;(ROW(PLE.lastrow)-ROW(PLE.firstrow))),0,IF(OFFSET(PLE!$G$14,$M27,AX$13)="",10^12,OFFSET(PLE!$G$14,$M27,AX$13))))</f>
        <v>0</v>
      </c>
      <c r="AY27" s="182">
        <f ca="1">IF($D27&lt;&gt;"Serviço",0,IF(OR(AND(AUTOEVENTO="Manual",$M27=1),$M27&gt;(ROW(PLE.lastrow)-ROW(PLE.firstrow))),0,IF(OFFSET(PLE!$G$14,$M27,AY$13)="",10^12,OFFSET(PLE!$G$14,$M27,AY$13))))</f>
        <v>0</v>
      </c>
      <c r="AZ27" s="182">
        <f ca="1">IF($D27&lt;&gt;"Serviço",0,IF(OR(AND(AUTOEVENTO="Manual",$M27=1),$M27&gt;(ROW(PLE.lastrow)-ROW(PLE.firstrow))),0,IF(OFFSET(PLE!$G$14,$M27,AZ$13)="",10^12,OFFSET(PLE!$G$14,$M27,AZ$13))))</f>
        <v>0</v>
      </c>
      <c r="BA27" s="182">
        <f ca="1">IF($D27&lt;&gt;"Serviço",0,IF(OR(AND(AUTOEVENTO="Manual",$M27=1),$M27&gt;(ROW(PLE.lastrow)-ROW(PLE.firstrow))),0,IF(OFFSET(PLE!$G$14,$M27,BA$13)="",10^12,OFFSET(PLE!$G$14,$M27,BA$13))))</f>
        <v>0</v>
      </c>
      <c r="BB27" s="182">
        <f ca="1">IF($D27&lt;&gt;"Serviço",0,IF(OR(AND(AUTOEVENTO="Manual",$M27=1),$M27&gt;(ROW(PLE.lastrow)-ROW(PLE.firstrow))),0,IF(OFFSET(PLE!$G$14,$M27,BB$13)="",10^12,OFFSET(PLE!$G$14,$M27,BB$13))))</f>
        <v>0</v>
      </c>
      <c r="BC27" s="182">
        <f ca="1">IF($D27&lt;&gt;"Serviço",0,IF(OR(AND(AUTOEVENTO="Manual",$M27=1),$M27&gt;(ROW(PLE.lastrow)-ROW(PLE.firstrow))),0,IF(OFFSET(PLE!$G$14,$M27,BC$13)="",10^12,OFFSET(PLE!$G$14,$M27,BC$13))))</f>
        <v>0</v>
      </c>
      <c r="BD27" s="182">
        <f ca="1">IF($D27&lt;&gt;"Serviço",0,IF(OR(AND(AUTOEVENTO="Manual",$M27=1),$M27&gt;(ROW(PLE.lastrow)-ROW(PLE.firstrow))),0,IF(OFFSET(PLE!$G$14,$M27,BD$13)="",10^12,OFFSET(PLE!$G$14,$M27,BD$13))))</f>
        <v>0</v>
      </c>
      <c r="BE27" s="182">
        <f ca="1">IF($D27&lt;&gt;"Serviço",0,IF(OR(AND(AUTOEVENTO="Manual",$M27=1),$M27&gt;(ROW(PLE.lastrow)-ROW(PLE.firstrow))),0,IF(OFFSET(PLE!$G$14,$M27,BE$13)="",10^12,OFFSET(PLE!$G$14,$M27,BE$13))))</f>
        <v>0</v>
      </c>
      <c r="BF27" s="182">
        <f ca="1">IF($D27&lt;&gt;"Serviço",0,IF(OR(AND(AUTOEVENTO="Manual",$M27=1),$M27&gt;(ROW(PLE.lastrow)-ROW(PLE.firstrow))),0,IF(OFFSET(PLE!$G$14,$M27,BF$13)="",10^12,OFFSET(PLE!$G$14,$M27,BF$13))))</f>
        <v>0</v>
      </c>
      <c r="BG27" s="182">
        <f ca="1">IF($D27&lt;&gt;"Serviço",0,IF(OR(AND(AUTOEVENTO="Manual",$M27=1),$M27&gt;(ROW(PLE.lastrow)-ROW(PLE.firstrow))),0,IF(OFFSET(PLE!$G$14,$M27,BG$13)="",10^12,OFFSET(PLE!$G$14,$M27,BG$13))))</f>
        <v>0</v>
      </c>
    </row>
    <row r="28" spans="1:59" ht="38.25" x14ac:dyDescent="0.2">
      <c r="A28" s="7" t="str">
        <f t="shared" ca="1" si="8"/>
        <v>12</v>
      </c>
      <c r="B28" s="7" t="str">
        <f ca="1">OFFSET(ORÇAMENTO!C$15,ROW(B28)-ROW(B$15),0)</f>
        <v>S</v>
      </c>
      <c r="C28" s="7" t="str">
        <f ca="1">OFFSET(ORÇAMENTO!L$15,ROW(C28)-ROW(C$15),0)</f>
        <v/>
      </c>
      <c r="D28" s="118" t="str">
        <f ca="1">OFFSET(ORÇAMENTO!N$15,ROW(D28)-ROW(D$15),0)</f>
        <v>Serviço</v>
      </c>
      <c r="E28" s="119" t="str">
        <f ca="1">OFFSET(ORÇAMENTO!O$15,ROW(E28)-ROW(E$15),0)</f>
        <v>-</v>
      </c>
      <c r="F28" s="172" t="str">
        <f ca="1">OFFSET(ORÇAMENTO!R$15,ROW(F28)-ROW(F$15),0)</f>
        <v>(abra o arquivo 'Referência 02-2025.xlsm)</v>
      </c>
      <c r="G28" s="173" t="str">
        <f ca="1">IF($D28&lt;&gt;"Serviço","",OFFSET(ORÇAMENTO!S$15,ROW(G28)-ROW(G$15),0))</f>
        <v>-</v>
      </c>
      <c r="H28" s="124">
        <f ca="1">IF($D28&lt;&gt;"Serviço",0,IF(ACOMPANHAMENTO="BM",ROUND(OFFSET(ORÇAMENTO!AJ$15,ROW(H28)-ROW(H$15),0),15-13*ORÇAMENTO!$AF$7),SUMPRODUCT(($Q$12:$AA$12&lt;&gt;"")*ROUND($Q28:$AA28,15-13*ORÇAMENTO!$AF$7))))</f>
        <v>2925</v>
      </c>
      <c r="I28" s="561" t="s">
        <v>890</v>
      </c>
      <c r="K28" s="174"/>
      <c r="L28" s="175" t="s">
        <v>255</v>
      </c>
      <c r="M28" s="176">
        <f ca="1">IF($D28&lt;&gt;"Serviço","",IF(AUTOEVENTO="manual",$A28,IF(ISERROR(MATCH($A28,$A$15:OFFSET($A28,-1,0),0)),MAX($M$15:OFFSET(M28,-1,0))+1,INDEX($M$15:OFFSET(M28,-1,0),MATCH($A28,$A$15:OFFSET($A28,-1,0),0)))))</f>
        <v>3</v>
      </c>
      <c r="N28" s="177" t="str">
        <f ca="1">IF($D28&lt;&gt;"Serviço","",IF(AUTOEVENTO="Manual",IF($A28=0,"&lt;-- defina o número do agrupador",OFFSET(EVENTOS!$D$14,$A28,0)),OFFSET($F$15,$A28,0)))</f>
        <v>MOVIMENTO DE TERRA PARA FUNDAÇÕES</v>
      </c>
      <c r="O28" s="178"/>
      <c r="Q28" s="178"/>
      <c r="R28" s="179"/>
      <c r="S28" s="179"/>
      <c r="T28" s="179"/>
      <c r="U28" s="179"/>
      <c r="V28" s="179"/>
      <c r="W28" s="179"/>
      <c r="X28" s="179"/>
      <c r="Y28" s="179"/>
      <c r="Z28" s="180"/>
      <c r="AB28" s="544">
        <f ca="1">IF(AND($D28="Serviço",AB$12&lt;&gt;0,$H28&gt;0,OR(AUTOEVENTO&lt;&gt;"manual",$M28&lt;&gt;1)),
IF(Import.TipoArredondamento&lt;&gt;"TransfereGOV",
ROUND(OFFSET($P28,0,AB$13),15-13*ORÇAMENTO!$AF$7)/$H28*OFFSET(ORÇAMENTO!$X$15,ROW(AB28)-ROW(AB$15),0),
ROUND(ROUND(OFFSET($P28,0,AB$13),15-13*ORÇAMENTO!$AF$7)*OFFSET(ORÇAMENTO!$W$15,ROW(AB28)-ROW(AB$15),0),15-13*ORÇAMENTO!$AF$11)),0)</f>
        <v>0</v>
      </c>
      <c r="AC28" s="545">
        <f ca="1">IF(AND($D28="Serviço",AC$12&lt;&gt;0,$H28&gt;0,OR(AUTOEVENTO&lt;&gt;"manual",$M28&lt;&gt;1)),
IF(Import.TipoArredondamento&lt;&gt;"TransfereGOV",
ROUND(OFFSET($P28,0,AC$13),15-13*ORÇAMENTO!$AF$7)/$H28*OFFSET(ORÇAMENTO!$X$15,ROW(AC28)-ROW(AC$15),0),
ROUND(ROUND(OFFSET($P28,0,AC$13),15-13*ORÇAMENTO!$AF$7)*OFFSET(ORÇAMENTO!$W$15,ROW(AC28)-ROW(AC$15),0),15-13*ORÇAMENTO!$AF$11)),0)</f>
        <v>0</v>
      </c>
      <c r="AD28" s="545">
        <f ca="1">IF(AND($D28="Serviço",AD$12&lt;&gt;0,$H28&gt;0,OR(AUTOEVENTO&lt;&gt;"manual",$M28&lt;&gt;1)),
IF(Import.TipoArredondamento&lt;&gt;"TransfereGOV",
ROUND(OFFSET($P28,0,AD$13),15-13*ORÇAMENTO!$AF$7)/$H28*OFFSET(ORÇAMENTO!$X$15,ROW(AD28)-ROW(AD$15),0),
ROUND(ROUND(OFFSET($P28,0,AD$13),15-13*ORÇAMENTO!$AF$7)*OFFSET(ORÇAMENTO!$W$15,ROW(AD28)-ROW(AD$15),0),15-13*ORÇAMENTO!$AF$11)),0)</f>
        <v>0</v>
      </c>
      <c r="AE28" s="545">
        <f ca="1">IF(AND($D28="Serviço",AE$12&lt;&gt;0,$H28&gt;0,OR(AUTOEVENTO&lt;&gt;"manual",$M28&lt;&gt;1)),
IF(Import.TipoArredondamento&lt;&gt;"TransfereGOV",
ROUND(OFFSET($P28,0,AE$13),15-13*ORÇAMENTO!$AF$7)/$H28*OFFSET(ORÇAMENTO!$X$15,ROW(AE28)-ROW(AE$15),0),
ROUND(ROUND(OFFSET($P28,0,AE$13),15-13*ORÇAMENTO!$AF$7)*OFFSET(ORÇAMENTO!$W$15,ROW(AE28)-ROW(AE$15),0),15-13*ORÇAMENTO!$AF$11)),0)</f>
        <v>0</v>
      </c>
      <c r="AF28" s="545">
        <f ca="1">IF(AND($D28="Serviço",AF$12&lt;&gt;0,$H28&gt;0,OR(AUTOEVENTO&lt;&gt;"manual",$M28&lt;&gt;1)),
IF(Import.TipoArredondamento&lt;&gt;"TransfereGOV",
ROUND(OFFSET($P28,0,AF$13),15-13*ORÇAMENTO!$AF$7)/$H28*OFFSET(ORÇAMENTO!$X$15,ROW(AF28)-ROW(AF$15),0),
ROUND(ROUND(OFFSET($P28,0,AF$13),15-13*ORÇAMENTO!$AF$7)*OFFSET(ORÇAMENTO!$W$15,ROW(AF28)-ROW(AF$15),0),15-13*ORÇAMENTO!$AF$11)),0)</f>
        <v>0</v>
      </c>
      <c r="AG28" s="545">
        <f ca="1">IF(AND($D28="Serviço",AG$12&lt;&gt;0,$H28&gt;0,OR(AUTOEVENTO&lt;&gt;"manual",$M28&lt;&gt;1)),
IF(Import.TipoArredondamento&lt;&gt;"TransfereGOV",
ROUND(OFFSET($P28,0,AG$13),15-13*ORÇAMENTO!$AF$7)/$H28*OFFSET(ORÇAMENTO!$X$15,ROW(AG28)-ROW(AG$15),0),
ROUND(ROUND(OFFSET($P28,0,AG$13),15-13*ORÇAMENTO!$AF$7)*OFFSET(ORÇAMENTO!$W$15,ROW(AG28)-ROW(AG$15),0),15-13*ORÇAMENTO!$AF$11)),0)</f>
        <v>0</v>
      </c>
      <c r="AH28" s="545">
        <f ca="1">IF(AND($D28="Serviço",AH$12&lt;&gt;0,$H28&gt;0,OR(AUTOEVENTO&lt;&gt;"manual",$M28&lt;&gt;1)),
IF(Import.TipoArredondamento&lt;&gt;"TransfereGOV",
ROUND(OFFSET($P28,0,AH$13),15-13*ORÇAMENTO!$AF$7)/$H28*OFFSET(ORÇAMENTO!$X$15,ROW(AH28)-ROW(AH$15),0),
ROUND(ROUND(OFFSET($P28,0,AH$13),15-13*ORÇAMENTO!$AF$7)*OFFSET(ORÇAMENTO!$W$15,ROW(AH28)-ROW(AH$15),0),15-13*ORÇAMENTO!$AF$11)),0)</f>
        <v>0</v>
      </c>
      <c r="AI28" s="545">
        <f ca="1">IF(AND($D28="Serviço",AI$12&lt;&gt;0,$H28&gt;0,OR(AUTOEVENTO&lt;&gt;"manual",$M28&lt;&gt;1)),
IF(Import.TipoArredondamento&lt;&gt;"TransfereGOV",
ROUND(OFFSET($P28,0,AI$13),15-13*ORÇAMENTO!$AF$7)/$H28*OFFSET(ORÇAMENTO!$X$15,ROW(AI28)-ROW(AI$15),0),
ROUND(ROUND(OFFSET($P28,0,AI$13),15-13*ORÇAMENTO!$AF$7)*OFFSET(ORÇAMENTO!$W$15,ROW(AI28)-ROW(AI$15),0),15-13*ORÇAMENTO!$AF$11)),0)</f>
        <v>0</v>
      </c>
      <c r="AJ28" s="545">
        <f ca="1">IF(AND($D28="Serviço",AJ$12&lt;&gt;0,$H28&gt;0,OR(AUTOEVENTO&lt;&gt;"manual",$M28&lt;&gt;1)),
IF(Import.TipoArredondamento&lt;&gt;"TransfereGOV",
ROUND(OFFSET($P28,0,AJ$13),15-13*ORÇAMENTO!$AF$7)/$H28*OFFSET(ORÇAMENTO!$X$15,ROW(AJ28)-ROW(AJ$15),0),
ROUND(ROUND(OFFSET($P28,0,AJ$13),15-13*ORÇAMENTO!$AF$7)*OFFSET(ORÇAMENTO!$W$15,ROW(AJ28)-ROW(AJ$15),0),15-13*ORÇAMENTO!$AF$11)),0)</f>
        <v>0</v>
      </c>
      <c r="AK28" s="546">
        <f ca="1">IF(AND($D28="Serviço",AK$12&lt;&gt;0,$H28&gt;0,OR(AUTOEVENTO&lt;&gt;"manual",$M28&lt;&gt;1)),
IF(Import.TipoArredondamento&lt;&gt;"TransfereGOV",
ROUND(OFFSET($P28,0,AK$13),15-13*ORÇAMENTO!$AF$7)/$H28*OFFSET(ORÇAMENTO!$X$15,ROW(AK28)-ROW(AK$15),0),
ROUND(ROUND(OFFSET($P28,0,AK$13),15-13*ORÇAMENTO!$AF$7)*OFFSET(ORÇAMENTO!$W$15,ROW(AK28)-ROW(AK$15),0),15-13*ORÇAMENTO!$AF$11)),0)</f>
        <v>0</v>
      </c>
      <c r="AM28" s="181">
        <f ca="1">IF($D28&lt;&gt;"Serviço",0,IF(AND(AUTOEVENTO="Manual",$M28=1),0,IF(OFFSET(CRONOPLE!$F$14,$M28,AM$13)="",10^12,OFFSET(CRONOPLE!$F$14,$M28,AM$13))))</f>
        <v>1000000000000</v>
      </c>
      <c r="AN28" s="181">
        <f ca="1">IF($D28&lt;&gt;"Serviço",0,IF(AND(AUTOEVENTO="Manual",$M28=1),0,IF(OFFSET(CRONOPLE!$F$14,$M28,AN$13)="",10^12,OFFSET(CRONOPLE!$F$14,$M28,AN$13))))</f>
        <v>1000000000000</v>
      </c>
      <c r="AO28" s="181">
        <f ca="1">IF($D28&lt;&gt;"Serviço",0,IF(AND(AUTOEVENTO="Manual",$M28=1),0,IF(OFFSET(CRONOPLE!$F$14,$M28,AO$13)="",10^12,OFFSET(CRONOPLE!$F$14,$M28,AO$13))))</f>
        <v>1000000000000</v>
      </c>
      <c r="AP28" s="181">
        <f ca="1">IF($D28&lt;&gt;"Serviço",0,IF(AND(AUTOEVENTO="Manual",$M28=1),0,IF(OFFSET(CRONOPLE!$F$14,$M28,AP$13)="",10^12,OFFSET(CRONOPLE!$F$14,$M28,AP$13))))</f>
        <v>1000000000000</v>
      </c>
      <c r="AQ28" s="181">
        <f ca="1">IF($D28&lt;&gt;"Serviço",0,IF(AND(AUTOEVENTO="Manual",$M28=1),0,IF(OFFSET(CRONOPLE!$F$14,$M28,AQ$13)="",10^12,OFFSET(CRONOPLE!$F$14,$M28,AQ$13))))</f>
        <v>1000000000000</v>
      </c>
      <c r="AR28" s="181">
        <f ca="1">IF($D28&lt;&gt;"Serviço",0,IF(AND(AUTOEVENTO="Manual",$M28=1),0,IF(OFFSET(CRONOPLE!$F$14,$M28,AR$13)="",10^12,OFFSET(CRONOPLE!$F$14,$M28,AR$13))))</f>
        <v>1000000000000</v>
      </c>
      <c r="AS28" s="181">
        <f ca="1">IF($D28&lt;&gt;"Serviço",0,IF(AND(AUTOEVENTO="Manual",$M28=1),0,IF(OFFSET(CRONOPLE!$F$14,$M28,AS$13)="",10^12,OFFSET(CRONOPLE!$F$14,$M28,AS$13))))</f>
        <v>1000000000000</v>
      </c>
      <c r="AT28" s="181">
        <f ca="1">IF($D28&lt;&gt;"Serviço",0,IF(AND(AUTOEVENTO="Manual",$M28=1),0,IF(OFFSET(CRONOPLE!$F$14,$M28,AT$13)="",10^12,OFFSET(CRONOPLE!$F$14,$M28,AT$13))))</f>
        <v>1000000000000</v>
      </c>
      <c r="AU28" s="181">
        <f ca="1">IF($D28&lt;&gt;"Serviço",0,IF(AND(AUTOEVENTO="Manual",$M28=1),0,IF(OFFSET(CRONOPLE!$F$14,$M28,AU$13)="",10^12,OFFSET(CRONOPLE!$F$14,$M28,AU$13))))</f>
        <v>1000000000000</v>
      </c>
      <c r="AV28" s="181">
        <f ca="1">IF($D28&lt;&gt;"Serviço",0,IF(AND(AUTOEVENTO="Manual",$M28=1),0,IF(OFFSET(CRONOPLE!$F$14,$M28,AV$13)="",10^12,OFFSET(CRONOPLE!$F$14,$M28,AV$13))))</f>
        <v>1000000000000</v>
      </c>
      <c r="AX28" s="182">
        <f ca="1">IF($D28&lt;&gt;"Serviço",0,IF(OR(AND(AUTOEVENTO="Manual",$M28=1),$M28&gt;(ROW(PLE.lastrow)-ROW(PLE.firstrow))),0,IF(OFFSET(PLE!$G$14,$M28,AX$13)="",10^12,OFFSET(PLE!$G$14,$M28,AX$13))))</f>
        <v>1000000000000</v>
      </c>
      <c r="AY28" s="182">
        <f ca="1">IF($D28&lt;&gt;"Serviço",0,IF(OR(AND(AUTOEVENTO="Manual",$M28=1),$M28&gt;(ROW(PLE.lastrow)-ROW(PLE.firstrow))),0,IF(OFFSET(PLE!$G$14,$M28,AY$13)="",10^12,OFFSET(PLE!$G$14,$M28,AY$13))))</f>
        <v>1000000000000</v>
      </c>
      <c r="AZ28" s="182">
        <f ca="1">IF($D28&lt;&gt;"Serviço",0,IF(OR(AND(AUTOEVENTO="Manual",$M28=1),$M28&gt;(ROW(PLE.lastrow)-ROW(PLE.firstrow))),0,IF(OFFSET(PLE!$G$14,$M28,AZ$13)="",10^12,OFFSET(PLE!$G$14,$M28,AZ$13))))</f>
        <v>1000000000000</v>
      </c>
      <c r="BA28" s="182">
        <f ca="1">IF($D28&lt;&gt;"Serviço",0,IF(OR(AND(AUTOEVENTO="Manual",$M28=1),$M28&gt;(ROW(PLE.lastrow)-ROW(PLE.firstrow))),0,IF(OFFSET(PLE!$G$14,$M28,BA$13)="",10^12,OFFSET(PLE!$G$14,$M28,BA$13))))</f>
        <v>1000000000000</v>
      </c>
      <c r="BB28" s="182">
        <f ca="1">IF($D28&lt;&gt;"Serviço",0,IF(OR(AND(AUTOEVENTO="Manual",$M28=1),$M28&gt;(ROW(PLE.lastrow)-ROW(PLE.firstrow))),0,IF(OFFSET(PLE!$G$14,$M28,BB$13)="",10^12,OFFSET(PLE!$G$14,$M28,BB$13))))</f>
        <v>1000000000000</v>
      </c>
      <c r="BC28" s="182">
        <f ca="1">IF($D28&lt;&gt;"Serviço",0,IF(OR(AND(AUTOEVENTO="Manual",$M28=1),$M28&gt;(ROW(PLE.lastrow)-ROW(PLE.firstrow))),0,IF(OFFSET(PLE!$G$14,$M28,BC$13)="",10^12,OFFSET(PLE!$G$14,$M28,BC$13))))</f>
        <v>1000000000000</v>
      </c>
      <c r="BD28" s="182">
        <f ca="1">IF($D28&lt;&gt;"Serviço",0,IF(OR(AND(AUTOEVENTO="Manual",$M28=1),$M28&gt;(ROW(PLE.lastrow)-ROW(PLE.firstrow))),0,IF(OFFSET(PLE!$G$14,$M28,BD$13)="",10^12,OFFSET(PLE!$G$14,$M28,BD$13))))</f>
        <v>1000000000000</v>
      </c>
      <c r="BE28" s="182">
        <f ca="1">IF($D28&lt;&gt;"Serviço",0,IF(OR(AND(AUTOEVENTO="Manual",$M28=1),$M28&gt;(ROW(PLE.lastrow)-ROW(PLE.firstrow))),0,IF(OFFSET(PLE!$G$14,$M28,BE$13)="",10^12,OFFSET(PLE!$G$14,$M28,BE$13))))</f>
        <v>1000000000000</v>
      </c>
      <c r="BF28" s="182">
        <f ca="1">IF($D28&lt;&gt;"Serviço",0,IF(OR(AND(AUTOEVENTO="Manual",$M28=1),$M28&gt;(ROW(PLE.lastrow)-ROW(PLE.firstrow))),0,IF(OFFSET(PLE!$G$14,$M28,BF$13)="",10^12,OFFSET(PLE!$G$14,$M28,BF$13))))</f>
        <v>1000000000000</v>
      </c>
      <c r="BG28" s="182">
        <f ca="1">IF($D28&lt;&gt;"Serviço",0,IF(OR(AND(AUTOEVENTO="Manual",$M28=1),$M28&gt;(ROW(PLE.lastrow)-ROW(PLE.firstrow))),0,IF(OFFSET(PLE!$G$14,$M28,BG$13)="",10^12,OFFSET(PLE!$G$14,$M28,BG$13))))</f>
        <v>1000000000000</v>
      </c>
    </row>
    <row r="29" spans="1:59" ht="51" x14ac:dyDescent="0.2">
      <c r="A29" s="7" t="str">
        <f t="shared" ca="1" si="8"/>
        <v>12</v>
      </c>
      <c r="B29" s="7" t="str">
        <f ca="1">OFFSET(ORÇAMENTO!C$15,ROW(B29)-ROW(B$15),0)</f>
        <v>S</v>
      </c>
      <c r="C29" s="7" t="str">
        <f ca="1">OFFSET(ORÇAMENTO!L$15,ROW(C29)-ROW(C$15),0)</f>
        <v/>
      </c>
      <c r="D29" s="118" t="str">
        <f ca="1">OFFSET(ORÇAMENTO!N$15,ROW(D29)-ROW(D$15),0)</f>
        <v>Serviço</v>
      </c>
      <c r="E29" s="119" t="str">
        <f ca="1">OFFSET(ORÇAMENTO!O$15,ROW(E29)-ROW(E$15),0)</f>
        <v>-</v>
      </c>
      <c r="F29" s="172" t="str">
        <f ca="1">OFFSET(ORÇAMENTO!R$15,ROW(F29)-ROW(F$15),0)</f>
        <v>(abra o arquivo 'Referência 02-2025.xlsm)</v>
      </c>
      <c r="G29" s="173" t="str">
        <f ca="1">IF($D29&lt;&gt;"Serviço","",OFFSET(ORÇAMENTO!S$15,ROW(G29)-ROW(G$15),0))</f>
        <v>-</v>
      </c>
      <c r="H29" s="124">
        <f ca="1">IF($D29&lt;&gt;"Serviço",0,IF(ACOMPANHAMENTO="BM",ROUND(OFFSET(ORÇAMENTO!AJ$15,ROW(H29)-ROW(H$15),0),15-13*ORÇAMENTO!$AF$7),SUMPRODUCT(($Q$12:$AA$12&lt;&gt;"")*ROUND($Q29:$AA29,15-13*ORÇAMENTO!$AF$7))))</f>
        <v>585</v>
      </c>
      <c r="I29" s="561" t="s">
        <v>890</v>
      </c>
      <c r="K29" s="174"/>
      <c r="L29" s="175" t="s">
        <v>255</v>
      </c>
      <c r="M29" s="176">
        <f ca="1">IF($D29&lt;&gt;"Serviço","",IF(AUTOEVENTO="manual",$A29,IF(ISERROR(MATCH($A29,$A$15:OFFSET($A29,-1,0),0)),MAX($M$15:OFFSET(M29,-1,0))+1,INDEX($M$15:OFFSET(M29,-1,0),MATCH($A29,$A$15:OFFSET($A29,-1,0),0)))))</f>
        <v>3</v>
      </c>
      <c r="N29" s="177" t="str">
        <f ca="1">IF($D29&lt;&gt;"Serviço","",IF(AUTOEVENTO="Manual",IF($A29=0,"&lt;-- defina o número do agrupador",OFFSET(EVENTOS!$D$14,$A29,0)),OFFSET($F$15,$A29,0)))</f>
        <v>MOVIMENTO DE TERRA PARA FUNDAÇÕES</v>
      </c>
      <c r="O29" s="178"/>
      <c r="Q29" s="178"/>
      <c r="R29" s="179"/>
      <c r="S29" s="179"/>
      <c r="T29" s="179"/>
      <c r="U29" s="179"/>
      <c r="V29" s="179"/>
      <c r="W29" s="179"/>
      <c r="X29" s="179"/>
      <c r="Y29" s="179"/>
      <c r="Z29" s="180"/>
      <c r="AB29" s="544">
        <f ca="1">IF(AND($D29="Serviço",AB$12&lt;&gt;0,$H29&gt;0,OR(AUTOEVENTO&lt;&gt;"manual",$M29&lt;&gt;1)),
IF(Import.TipoArredondamento&lt;&gt;"TransfereGOV",
ROUND(OFFSET($P29,0,AB$13),15-13*ORÇAMENTO!$AF$7)/$H29*OFFSET(ORÇAMENTO!$X$15,ROW(AB29)-ROW(AB$15),0),
ROUND(ROUND(OFFSET($P29,0,AB$13),15-13*ORÇAMENTO!$AF$7)*OFFSET(ORÇAMENTO!$W$15,ROW(AB29)-ROW(AB$15),0),15-13*ORÇAMENTO!$AF$11)),0)</f>
        <v>0</v>
      </c>
      <c r="AC29" s="545">
        <f ca="1">IF(AND($D29="Serviço",AC$12&lt;&gt;0,$H29&gt;0,OR(AUTOEVENTO&lt;&gt;"manual",$M29&lt;&gt;1)),
IF(Import.TipoArredondamento&lt;&gt;"TransfereGOV",
ROUND(OFFSET($P29,0,AC$13),15-13*ORÇAMENTO!$AF$7)/$H29*OFFSET(ORÇAMENTO!$X$15,ROW(AC29)-ROW(AC$15),0),
ROUND(ROUND(OFFSET($P29,0,AC$13),15-13*ORÇAMENTO!$AF$7)*OFFSET(ORÇAMENTO!$W$15,ROW(AC29)-ROW(AC$15),0),15-13*ORÇAMENTO!$AF$11)),0)</f>
        <v>0</v>
      </c>
      <c r="AD29" s="545">
        <f ca="1">IF(AND($D29="Serviço",AD$12&lt;&gt;0,$H29&gt;0,OR(AUTOEVENTO&lt;&gt;"manual",$M29&lt;&gt;1)),
IF(Import.TipoArredondamento&lt;&gt;"TransfereGOV",
ROUND(OFFSET($P29,0,AD$13),15-13*ORÇAMENTO!$AF$7)/$H29*OFFSET(ORÇAMENTO!$X$15,ROW(AD29)-ROW(AD$15),0),
ROUND(ROUND(OFFSET($P29,0,AD$13),15-13*ORÇAMENTO!$AF$7)*OFFSET(ORÇAMENTO!$W$15,ROW(AD29)-ROW(AD$15),0),15-13*ORÇAMENTO!$AF$11)),0)</f>
        <v>0</v>
      </c>
      <c r="AE29" s="545">
        <f ca="1">IF(AND($D29="Serviço",AE$12&lt;&gt;0,$H29&gt;0,OR(AUTOEVENTO&lt;&gt;"manual",$M29&lt;&gt;1)),
IF(Import.TipoArredondamento&lt;&gt;"TransfereGOV",
ROUND(OFFSET($P29,0,AE$13),15-13*ORÇAMENTO!$AF$7)/$H29*OFFSET(ORÇAMENTO!$X$15,ROW(AE29)-ROW(AE$15),0),
ROUND(ROUND(OFFSET($P29,0,AE$13),15-13*ORÇAMENTO!$AF$7)*OFFSET(ORÇAMENTO!$W$15,ROW(AE29)-ROW(AE$15),0),15-13*ORÇAMENTO!$AF$11)),0)</f>
        <v>0</v>
      </c>
      <c r="AF29" s="545">
        <f ca="1">IF(AND($D29="Serviço",AF$12&lt;&gt;0,$H29&gt;0,OR(AUTOEVENTO&lt;&gt;"manual",$M29&lt;&gt;1)),
IF(Import.TipoArredondamento&lt;&gt;"TransfereGOV",
ROUND(OFFSET($P29,0,AF$13),15-13*ORÇAMENTO!$AF$7)/$H29*OFFSET(ORÇAMENTO!$X$15,ROW(AF29)-ROW(AF$15),0),
ROUND(ROUND(OFFSET($P29,0,AF$13),15-13*ORÇAMENTO!$AF$7)*OFFSET(ORÇAMENTO!$W$15,ROW(AF29)-ROW(AF$15),0),15-13*ORÇAMENTO!$AF$11)),0)</f>
        <v>0</v>
      </c>
      <c r="AG29" s="545">
        <f ca="1">IF(AND($D29="Serviço",AG$12&lt;&gt;0,$H29&gt;0,OR(AUTOEVENTO&lt;&gt;"manual",$M29&lt;&gt;1)),
IF(Import.TipoArredondamento&lt;&gt;"TransfereGOV",
ROUND(OFFSET($P29,0,AG$13),15-13*ORÇAMENTO!$AF$7)/$H29*OFFSET(ORÇAMENTO!$X$15,ROW(AG29)-ROW(AG$15),0),
ROUND(ROUND(OFFSET($P29,0,AG$13),15-13*ORÇAMENTO!$AF$7)*OFFSET(ORÇAMENTO!$W$15,ROW(AG29)-ROW(AG$15),0),15-13*ORÇAMENTO!$AF$11)),0)</f>
        <v>0</v>
      </c>
      <c r="AH29" s="545">
        <f ca="1">IF(AND($D29="Serviço",AH$12&lt;&gt;0,$H29&gt;0,OR(AUTOEVENTO&lt;&gt;"manual",$M29&lt;&gt;1)),
IF(Import.TipoArredondamento&lt;&gt;"TransfereGOV",
ROUND(OFFSET($P29,0,AH$13),15-13*ORÇAMENTO!$AF$7)/$H29*OFFSET(ORÇAMENTO!$X$15,ROW(AH29)-ROW(AH$15),0),
ROUND(ROUND(OFFSET($P29,0,AH$13),15-13*ORÇAMENTO!$AF$7)*OFFSET(ORÇAMENTO!$W$15,ROW(AH29)-ROW(AH$15),0),15-13*ORÇAMENTO!$AF$11)),0)</f>
        <v>0</v>
      </c>
      <c r="AI29" s="545">
        <f ca="1">IF(AND($D29="Serviço",AI$12&lt;&gt;0,$H29&gt;0,OR(AUTOEVENTO&lt;&gt;"manual",$M29&lt;&gt;1)),
IF(Import.TipoArredondamento&lt;&gt;"TransfereGOV",
ROUND(OFFSET($P29,0,AI$13),15-13*ORÇAMENTO!$AF$7)/$H29*OFFSET(ORÇAMENTO!$X$15,ROW(AI29)-ROW(AI$15),0),
ROUND(ROUND(OFFSET($P29,0,AI$13),15-13*ORÇAMENTO!$AF$7)*OFFSET(ORÇAMENTO!$W$15,ROW(AI29)-ROW(AI$15),0),15-13*ORÇAMENTO!$AF$11)),0)</f>
        <v>0</v>
      </c>
      <c r="AJ29" s="545">
        <f ca="1">IF(AND($D29="Serviço",AJ$12&lt;&gt;0,$H29&gt;0,OR(AUTOEVENTO&lt;&gt;"manual",$M29&lt;&gt;1)),
IF(Import.TipoArredondamento&lt;&gt;"TransfereGOV",
ROUND(OFFSET($P29,0,AJ$13),15-13*ORÇAMENTO!$AF$7)/$H29*OFFSET(ORÇAMENTO!$X$15,ROW(AJ29)-ROW(AJ$15),0),
ROUND(ROUND(OFFSET($P29,0,AJ$13),15-13*ORÇAMENTO!$AF$7)*OFFSET(ORÇAMENTO!$W$15,ROW(AJ29)-ROW(AJ$15),0),15-13*ORÇAMENTO!$AF$11)),0)</f>
        <v>0</v>
      </c>
      <c r="AK29" s="546">
        <f ca="1">IF(AND($D29="Serviço",AK$12&lt;&gt;0,$H29&gt;0,OR(AUTOEVENTO&lt;&gt;"manual",$M29&lt;&gt;1)),
IF(Import.TipoArredondamento&lt;&gt;"TransfereGOV",
ROUND(OFFSET($P29,0,AK$13),15-13*ORÇAMENTO!$AF$7)/$H29*OFFSET(ORÇAMENTO!$X$15,ROW(AK29)-ROW(AK$15),0),
ROUND(ROUND(OFFSET($P29,0,AK$13),15-13*ORÇAMENTO!$AF$7)*OFFSET(ORÇAMENTO!$W$15,ROW(AK29)-ROW(AK$15),0),15-13*ORÇAMENTO!$AF$11)),0)</f>
        <v>0</v>
      </c>
      <c r="AM29" s="181">
        <f ca="1">IF($D29&lt;&gt;"Serviço",0,IF(AND(AUTOEVENTO="Manual",$M29=1),0,IF(OFFSET(CRONOPLE!$F$14,$M29,AM$13)="",10^12,OFFSET(CRONOPLE!$F$14,$M29,AM$13))))</f>
        <v>1000000000000</v>
      </c>
      <c r="AN29" s="181">
        <f ca="1">IF($D29&lt;&gt;"Serviço",0,IF(AND(AUTOEVENTO="Manual",$M29=1),0,IF(OFFSET(CRONOPLE!$F$14,$M29,AN$13)="",10^12,OFFSET(CRONOPLE!$F$14,$M29,AN$13))))</f>
        <v>1000000000000</v>
      </c>
      <c r="AO29" s="181">
        <f ca="1">IF($D29&lt;&gt;"Serviço",0,IF(AND(AUTOEVENTO="Manual",$M29=1),0,IF(OFFSET(CRONOPLE!$F$14,$M29,AO$13)="",10^12,OFFSET(CRONOPLE!$F$14,$M29,AO$13))))</f>
        <v>1000000000000</v>
      </c>
      <c r="AP29" s="181">
        <f ca="1">IF($D29&lt;&gt;"Serviço",0,IF(AND(AUTOEVENTO="Manual",$M29=1),0,IF(OFFSET(CRONOPLE!$F$14,$M29,AP$13)="",10^12,OFFSET(CRONOPLE!$F$14,$M29,AP$13))))</f>
        <v>1000000000000</v>
      </c>
      <c r="AQ29" s="181">
        <f ca="1">IF($D29&lt;&gt;"Serviço",0,IF(AND(AUTOEVENTO="Manual",$M29=1),0,IF(OFFSET(CRONOPLE!$F$14,$M29,AQ$13)="",10^12,OFFSET(CRONOPLE!$F$14,$M29,AQ$13))))</f>
        <v>1000000000000</v>
      </c>
      <c r="AR29" s="181">
        <f ca="1">IF($D29&lt;&gt;"Serviço",0,IF(AND(AUTOEVENTO="Manual",$M29=1),0,IF(OFFSET(CRONOPLE!$F$14,$M29,AR$13)="",10^12,OFFSET(CRONOPLE!$F$14,$M29,AR$13))))</f>
        <v>1000000000000</v>
      </c>
      <c r="AS29" s="181">
        <f ca="1">IF($D29&lt;&gt;"Serviço",0,IF(AND(AUTOEVENTO="Manual",$M29=1),0,IF(OFFSET(CRONOPLE!$F$14,$M29,AS$13)="",10^12,OFFSET(CRONOPLE!$F$14,$M29,AS$13))))</f>
        <v>1000000000000</v>
      </c>
      <c r="AT29" s="181">
        <f ca="1">IF($D29&lt;&gt;"Serviço",0,IF(AND(AUTOEVENTO="Manual",$M29=1),0,IF(OFFSET(CRONOPLE!$F$14,$M29,AT$13)="",10^12,OFFSET(CRONOPLE!$F$14,$M29,AT$13))))</f>
        <v>1000000000000</v>
      </c>
      <c r="AU29" s="181">
        <f ca="1">IF($D29&lt;&gt;"Serviço",0,IF(AND(AUTOEVENTO="Manual",$M29=1),0,IF(OFFSET(CRONOPLE!$F$14,$M29,AU$13)="",10^12,OFFSET(CRONOPLE!$F$14,$M29,AU$13))))</f>
        <v>1000000000000</v>
      </c>
      <c r="AV29" s="181">
        <f ca="1">IF($D29&lt;&gt;"Serviço",0,IF(AND(AUTOEVENTO="Manual",$M29=1),0,IF(OFFSET(CRONOPLE!$F$14,$M29,AV$13)="",10^12,OFFSET(CRONOPLE!$F$14,$M29,AV$13))))</f>
        <v>1000000000000</v>
      </c>
      <c r="AX29" s="182">
        <f ca="1">IF($D29&lt;&gt;"Serviço",0,IF(OR(AND(AUTOEVENTO="Manual",$M29=1),$M29&gt;(ROW(PLE.lastrow)-ROW(PLE.firstrow))),0,IF(OFFSET(PLE!$G$14,$M29,AX$13)="",10^12,OFFSET(PLE!$G$14,$M29,AX$13))))</f>
        <v>1000000000000</v>
      </c>
      <c r="AY29" s="182">
        <f ca="1">IF($D29&lt;&gt;"Serviço",0,IF(OR(AND(AUTOEVENTO="Manual",$M29=1),$M29&gt;(ROW(PLE.lastrow)-ROW(PLE.firstrow))),0,IF(OFFSET(PLE!$G$14,$M29,AY$13)="",10^12,OFFSET(PLE!$G$14,$M29,AY$13))))</f>
        <v>1000000000000</v>
      </c>
      <c r="AZ29" s="182">
        <f ca="1">IF($D29&lt;&gt;"Serviço",0,IF(OR(AND(AUTOEVENTO="Manual",$M29=1),$M29&gt;(ROW(PLE.lastrow)-ROW(PLE.firstrow))),0,IF(OFFSET(PLE!$G$14,$M29,AZ$13)="",10^12,OFFSET(PLE!$G$14,$M29,AZ$13))))</f>
        <v>1000000000000</v>
      </c>
      <c r="BA29" s="182">
        <f ca="1">IF($D29&lt;&gt;"Serviço",0,IF(OR(AND(AUTOEVENTO="Manual",$M29=1),$M29&gt;(ROW(PLE.lastrow)-ROW(PLE.firstrow))),0,IF(OFFSET(PLE!$G$14,$M29,BA$13)="",10^12,OFFSET(PLE!$G$14,$M29,BA$13))))</f>
        <v>1000000000000</v>
      </c>
      <c r="BB29" s="182">
        <f ca="1">IF($D29&lt;&gt;"Serviço",0,IF(OR(AND(AUTOEVENTO="Manual",$M29=1),$M29&gt;(ROW(PLE.lastrow)-ROW(PLE.firstrow))),0,IF(OFFSET(PLE!$G$14,$M29,BB$13)="",10^12,OFFSET(PLE!$G$14,$M29,BB$13))))</f>
        <v>1000000000000</v>
      </c>
      <c r="BC29" s="182">
        <f ca="1">IF($D29&lt;&gt;"Serviço",0,IF(OR(AND(AUTOEVENTO="Manual",$M29=1),$M29&gt;(ROW(PLE.lastrow)-ROW(PLE.firstrow))),0,IF(OFFSET(PLE!$G$14,$M29,BC$13)="",10^12,OFFSET(PLE!$G$14,$M29,BC$13))))</f>
        <v>1000000000000</v>
      </c>
      <c r="BD29" s="182">
        <f ca="1">IF($D29&lt;&gt;"Serviço",0,IF(OR(AND(AUTOEVENTO="Manual",$M29=1),$M29&gt;(ROW(PLE.lastrow)-ROW(PLE.firstrow))),0,IF(OFFSET(PLE!$G$14,$M29,BD$13)="",10^12,OFFSET(PLE!$G$14,$M29,BD$13))))</f>
        <v>1000000000000</v>
      </c>
      <c r="BE29" s="182">
        <f ca="1">IF($D29&lt;&gt;"Serviço",0,IF(OR(AND(AUTOEVENTO="Manual",$M29=1),$M29&gt;(ROW(PLE.lastrow)-ROW(PLE.firstrow))),0,IF(OFFSET(PLE!$G$14,$M29,BE$13)="",10^12,OFFSET(PLE!$G$14,$M29,BE$13))))</f>
        <v>1000000000000</v>
      </c>
      <c r="BF29" s="182">
        <f ca="1">IF($D29&lt;&gt;"Serviço",0,IF(OR(AND(AUTOEVENTO="Manual",$M29=1),$M29&gt;(ROW(PLE.lastrow)-ROW(PLE.firstrow))),0,IF(OFFSET(PLE!$G$14,$M29,BF$13)="",10^12,OFFSET(PLE!$G$14,$M29,BF$13))))</f>
        <v>1000000000000</v>
      </c>
      <c r="BG29" s="182">
        <f ca="1">IF($D29&lt;&gt;"Serviço",0,IF(OR(AND(AUTOEVENTO="Manual",$M29=1),$M29&gt;(ROW(PLE.lastrow)-ROW(PLE.firstrow))),0,IF(OFFSET(PLE!$G$14,$M29,BG$13)="",10^12,OFFSET(PLE!$G$14,$M29,BG$13))))</f>
        <v>1000000000000</v>
      </c>
    </row>
    <row r="30" spans="1:59" ht="38.25" x14ac:dyDescent="0.2">
      <c r="A30" s="7" t="str">
        <f t="shared" ca="1" si="8"/>
        <v>12</v>
      </c>
      <c r="B30" s="7" t="str">
        <f ca="1">OFFSET(ORÇAMENTO!C$15,ROW(B30)-ROW(B$15),0)</f>
        <v>S</v>
      </c>
      <c r="C30" s="7" t="str">
        <f ca="1">OFFSET(ORÇAMENTO!L$15,ROW(C30)-ROW(C$15),0)</f>
        <v/>
      </c>
      <c r="D30" s="118" t="str">
        <f ca="1">OFFSET(ORÇAMENTO!N$15,ROW(D30)-ROW(D$15),0)</f>
        <v>Serviço</v>
      </c>
      <c r="E30" s="119" t="str">
        <f ca="1">OFFSET(ORÇAMENTO!O$15,ROW(E30)-ROW(E$15),0)</f>
        <v>-</v>
      </c>
      <c r="F30" s="172" t="str">
        <f ca="1">OFFSET(ORÇAMENTO!R$15,ROW(F30)-ROW(F$15),0)</f>
        <v>(abra o arquivo 'Referência 02-2025.xlsm)</v>
      </c>
      <c r="G30" s="173" t="str">
        <f ca="1">IF($D30&lt;&gt;"Serviço","",OFFSET(ORÇAMENTO!S$15,ROW(G30)-ROW(G$15),0))</f>
        <v>-</v>
      </c>
      <c r="H30" s="124">
        <f ca="1">IF($D30&lt;&gt;"Serviço",0,IF(ACOMPANHAMENTO="BM",ROUND(OFFSET(ORÇAMENTO!AJ$15,ROW(H30)-ROW(H$15),0),15-13*ORÇAMENTO!$AF$7),SUMPRODUCT(($Q$12:$AA$12&lt;&gt;"")*ROUND($Q30:$AA30,15-13*ORÇAMENTO!$AF$7))))</f>
        <v>457.05</v>
      </c>
      <c r="I30" s="561" t="s">
        <v>890</v>
      </c>
      <c r="K30" s="174"/>
      <c r="L30" s="175" t="s">
        <v>255</v>
      </c>
      <c r="M30" s="176">
        <f ca="1">IF($D30&lt;&gt;"Serviço","",IF(AUTOEVENTO="manual",$A30,IF(ISERROR(MATCH($A30,$A$15:OFFSET($A30,-1,0),0)),MAX($M$15:OFFSET(M30,-1,0))+1,INDEX($M$15:OFFSET(M30,-1,0),MATCH($A30,$A$15:OFFSET($A30,-1,0),0)))))</f>
        <v>3</v>
      </c>
      <c r="N30" s="177" t="str">
        <f ca="1">IF($D30&lt;&gt;"Serviço","",IF(AUTOEVENTO="Manual",IF($A30=0,"&lt;-- defina o número do agrupador",OFFSET(EVENTOS!$D$14,$A30,0)),OFFSET($F$15,$A30,0)))</f>
        <v>MOVIMENTO DE TERRA PARA FUNDAÇÕES</v>
      </c>
      <c r="O30" s="178"/>
      <c r="Q30" s="178"/>
      <c r="R30" s="179"/>
      <c r="S30" s="179"/>
      <c r="T30" s="179"/>
      <c r="U30" s="179"/>
      <c r="V30" s="179"/>
      <c r="W30" s="179"/>
      <c r="X30" s="179"/>
      <c r="Y30" s="179"/>
      <c r="Z30" s="180"/>
      <c r="AB30" s="544">
        <f ca="1">IF(AND($D30="Serviço",AB$12&lt;&gt;0,$H30&gt;0,OR(AUTOEVENTO&lt;&gt;"manual",$M30&lt;&gt;1)),
IF(Import.TipoArredondamento&lt;&gt;"TransfereGOV",
ROUND(OFFSET($P30,0,AB$13),15-13*ORÇAMENTO!$AF$7)/$H30*OFFSET(ORÇAMENTO!$X$15,ROW(AB30)-ROW(AB$15),0),
ROUND(ROUND(OFFSET($P30,0,AB$13),15-13*ORÇAMENTO!$AF$7)*OFFSET(ORÇAMENTO!$W$15,ROW(AB30)-ROW(AB$15),0),15-13*ORÇAMENTO!$AF$11)),0)</f>
        <v>0</v>
      </c>
      <c r="AC30" s="545">
        <f ca="1">IF(AND($D30="Serviço",AC$12&lt;&gt;0,$H30&gt;0,OR(AUTOEVENTO&lt;&gt;"manual",$M30&lt;&gt;1)),
IF(Import.TipoArredondamento&lt;&gt;"TransfereGOV",
ROUND(OFFSET($P30,0,AC$13),15-13*ORÇAMENTO!$AF$7)/$H30*OFFSET(ORÇAMENTO!$X$15,ROW(AC30)-ROW(AC$15),0),
ROUND(ROUND(OFFSET($P30,0,AC$13),15-13*ORÇAMENTO!$AF$7)*OFFSET(ORÇAMENTO!$W$15,ROW(AC30)-ROW(AC$15),0),15-13*ORÇAMENTO!$AF$11)),0)</f>
        <v>0</v>
      </c>
      <c r="AD30" s="545">
        <f ca="1">IF(AND($D30="Serviço",AD$12&lt;&gt;0,$H30&gt;0,OR(AUTOEVENTO&lt;&gt;"manual",$M30&lt;&gt;1)),
IF(Import.TipoArredondamento&lt;&gt;"TransfereGOV",
ROUND(OFFSET($P30,0,AD$13),15-13*ORÇAMENTO!$AF$7)/$H30*OFFSET(ORÇAMENTO!$X$15,ROW(AD30)-ROW(AD$15),0),
ROUND(ROUND(OFFSET($P30,0,AD$13),15-13*ORÇAMENTO!$AF$7)*OFFSET(ORÇAMENTO!$W$15,ROW(AD30)-ROW(AD$15),0),15-13*ORÇAMENTO!$AF$11)),0)</f>
        <v>0</v>
      </c>
      <c r="AE30" s="545">
        <f ca="1">IF(AND($D30="Serviço",AE$12&lt;&gt;0,$H30&gt;0,OR(AUTOEVENTO&lt;&gt;"manual",$M30&lt;&gt;1)),
IF(Import.TipoArredondamento&lt;&gt;"TransfereGOV",
ROUND(OFFSET($P30,0,AE$13),15-13*ORÇAMENTO!$AF$7)/$H30*OFFSET(ORÇAMENTO!$X$15,ROW(AE30)-ROW(AE$15),0),
ROUND(ROUND(OFFSET($P30,0,AE$13),15-13*ORÇAMENTO!$AF$7)*OFFSET(ORÇAMENTO!$W$15,ROW(AE30)-ROW(AE$15),0),15-13*ORÇAMENTO!$AF$11)),0)</f>
        <v>0</v>
      </c>
      <c r="AF30" s="545">
        <f ca="1">IF(AND($D30="Serviço",AF$12&lt;&gt;0,$H30&gt;0,OR(AUTOEVENTO&lt;&gt;"manual",$M30&lt;&gt;1)),
IF(Import.TipoArredondamento&lt;&gt;"TransfereGOV",
ROUND(OFFSET($P30,0,AF$13),15-13*ORÇAMENTO!$AF$7)/$H30*OFFSET(ORÇAMENTO!$X$15,ROW(AF30)-ROW(AF$15),0),
ROUND(ROUND(OFFSET($P30,0,AF$13),15-13*ORÇAMENTO!$AF$7)*OFFSET(ORÇAMENTO!$W$15,ROW(AF30)-ROW(AF$15),0),15-13*ORÇAMENTO!$AF$11)),0)</f>
        <v>0</v>
      </c>
      <c r="AG30" s="545">
        <f ca="1">IF(AND($D30="Serviço",AG$12&lt;&gt;0,$H30&gt;0,OR(AUTOEVENTO&lt;&gt;"manual",$M30&lt;&gt;1)),
IF(Import.TipoArredondamento&lt;&gt;"TransfereGOV",
ROUND(OFFSET($P30,0,AG$13),15-13*ORÇAMENTO!$AF$7)/$H30*OFFSET(ORÇAMENTO!$X$15,ROW(AG30)-ROW(AG$15),0),
ROUND(ROUND(OFFSET($P30,0,AG$13),15-13*ORÇAMENTO!$AF$7)*OFFSET(ORÇAMENTO!$W$15,ROW(AG30)-ROW(AG$15),0),15-13*ORÇAMENTO!$AF$11)),0)</f>
        <v>0</v>
      </c>
      <c r="AH30" s="545">
        <f ca="1">IF(AND($D30="Serviço",AH$12&lt;&gt;0,$H30&gt;0,OR(AUTOEVENTO&lt;&gt;"manual",$M30&lt;&gt;1)),
IF(Import.TipoArredondamento&lt;&gt;"TransfereGOV",
ROUND(OFFSET($P30,0,AH$13),15-13*ORÇAMENTO!$AF$7)/$H30*OFFSET(ORÇAMENTO!$X$15,ROW(AH30)-ROW(AH$15),0),
ROUND(ROUND(OFFSET($P30,0,AH$13),15-13*ORÇAMENTO!$AF$7)*OFFSET(ORÇAMENTO!$W$15,ROW(AH30)-ROW(AH$15),0),15-13*ORÇAMENTO!$AF$11)),0)</f>
        <v>0</v>
      </c>
      <c r="AI30" s="545">
        <f ca="1">IF(AND($D30="Serviço",AI$12&lt;&gt;0,$H30&gt;0,OR(AUTOEVENTO&lt;&gt;"manual",$M30&lt;&gt;1)),
IF(Import.TipoArredondamento&lt;&gt;"TransfereGOV",
ROUND(OFFSET($P30,0,AI$13),15-13*ORÇAMENTO!$AF$7)/$H30*OFFSET(ORÇAMENTO!$X$15,ROW(AI30)-ROW(AI$15),0),
ROUND(ROUND(OFFSET($P30,0,AI$13),15-13*ORÇAMENTO!$AF$7)*OFFSET(ORÇAMENTO!$W$15,ROW(AI30)-ROW(AI$15),0),15-13*ORÇAMENTO!$AF$11)),0)</f>
        <v>0</v>
      </c>
      <c r="AJ30" s="545">
        <f ca="1">IF(AND($D30="Serviço",AJ$12&lt;&gt;0,$H30&gt;0,OR(AUTOEVENTO&lt;&gt;"manual",$M30&lt;&gt;1)),
IF(Import.TipoArredondamento&lt;&gt;"TransfereGOV",
ROUND(OFFSET($P30,0,AJ$13),15-13*ORÇAMENTO!$AF$7)/$H30*OFFSET(ORÇAMENTO!$X$15,ROW(AJ30)-ROW(AJ$15),0),
ROUND(ROUND(OFFSET($P30,0,AJ$13),15-13*ORÇAMENTO!$AF$7)*OFFSET(ORÇAMENTO!$W$15,ROW(AJ30)-ROW(AJ$15),0),15-13*ORÇAMENTO!$AF$11)),0)</f>
        <v>0</v>
      </c>
      <c r="AK30" s="546">
        <f ca="1">IF(AND($D30="Serviço",AK$12&lt;&gt;0,$H30&gt;0,OR(AUTOEVENTO&lt;&gt;"manual",$M30&lt;&gt;1)),
IF(Import.TipoArredondamento&lt;&gt;"TransfereGOV",
ROUND(OFFSET($P30,0,AK$13),15-13*ORÇAMENTO!$AF$7)/$H30*OFFSET(ORÇAMENTO!$X$15,ROW(AK30)-ROW(AK$15),0),
ROUND(ROUND(OFFSET($P30,0,AK$13),15-13*ORÇAMENTO!$AF$7)*OFFSET(ORÇAMENTO!$W$15,ROW(AK30)-ROW(AK$15),0),15-13*ORÇAMENTO!$AF$11)),0)</f>
        <v>0</v>
      </c>
      <c r="AM30" s="181">
        <f ca="1">IF($D30&lt;&gt;"Serviço",0,IF(AND(AUTOEVENTO="Manual",$M30=1),0,IF(OFFSET(CRONOPLE!$F$14,$M30,AM$13)="",10^12,OFFSET(CRONOPLE!$F$14,$M30,AM$13))))</f>
        <v>1000000000000</v>
      </c>
      <c r="AN30" s="181">
        <f ca="1">IF($D30&lt;&gt;"Serviço",0,IF(AND(AUTOEVENTO="Manual",$M30=1),0,IF(OFFSET(CRONOPLE!$F$14,$M30,AN$13)="",10^12,OFFSET(CRONOPLE!$F$14,$M30,AN$13))))</f>
        <v>1000000000000</v>
      </c>
      <c r="AO30" s="181">
        <f ca="1">IF($D30&lt;&gt;"Serviço",0,IF(AND(AUTOEVENTO="Manual",$M30=1),0,IF(OFFSET(CRONOPLE!$F$14,$M30,AO$13)="",10^12,OFFSET(CRONOPLE!$F$14,$M30,AO$13))))</f>
        <v>1000000000000</v>
      </c>
      <c r="AP30" s="181">
        <f ca="1">IF($D30&lt;&gt;"Serviço",0,IF(AND(AUTOEVENTO="Manual",$M30=1),0,IF(OFFSET(CRONOPLE!$F$14,$M30,AP$13)="",10^12,OFFSET(CRONOPLE!$F$14,$M30,AP$13))))</f>
        <v>1000000000000</v>
      </c>
      <c r="AQ30" s="181">
        <f ca="1">IF($D30&lt;&gt;"Serviço",0,IF(AND(AUTOEVENTO="Manual",$M30=1),0,IF(OFFSET(CRONOPLE!$F$14,$M30,AQ$13)="",10^12,OFFSET(CRONOPLE!$F$14,$M30,AQ$13))))</f>
        <v>1000000000000</v>
      </c>
      <c r="AR30" s="181">
        <f ca="1">IF($D30&lt;&gt;"Serviço",0,IF(AND(AUTOEVENTO="Manual",$M30=1),0,IF(OFFSET(CRONOPLE!$F$14,$M30,AR$13)="",10^12,OFFSET(CRONOPLE!$F$14,$M30,AR$13))))</f>
        <v>1000000000000</v>
      </c>
      <c r="AS30" s="181">
        <f ca="1">IF($D30&lt;&gt;"Serviço",0,IF(AND(AUTOEVENTO="Manual",$M30=1),0,IF(OFFSET(CRONOPLE!$F$14,$M30,AS$13)="",10^12,OFFSET(CRONOPLE!$F$14,$M30,AS$13))))</f>
        <v>1000000000000</v>
      </c>
      <c r="AT30" s="181">
        <f ca="1">IF($D30&lt;&gt;"Serviço",0,IF(AND(AUTOEVENTO="Manual",$M30=1),0,IF(OFFSET(CRONOPLE!$F$14,$M30,AT$13)="",10^12,OFFSET(CRONOPLE!$F$14,$M30,AT$13))))</f>
        <v>1000000000000</v>
      </c>
      <c r="AU30" s="181">
        <f ca="1">IF($D30&lt;&gt;"Serviço",0,IF(AND(AUTOEVENTO="Manual",$M30=1),0,IF(OFFSET(CRONOPLE!$F$14,$M30,AU$13)="",10^12,OFFSET(CRONOPLE!$F$14,$M30,AU$13))))</f>
        <v>1000000000000</v>
      </c>
      <c r="AV30" s="181">
        <f ca="1">IF($D30&lt;&gt;"Serviço",0,IF(AND(AUTOEVENTO="Manual",$M30=1),0,IF(OFFSET(CRONOPLE!$F$14,$M30,AV$13)="",10^12,OFFSET(CRONOPLE!$F$14,$M30,AV$13))))</f>
        <v>1000000000000</v>
      </c>
      <c r="AX30" s="182">
        <f ca="1">IF($D30&lt;&gt;"Serviço",0,IF(OR(AND(AUTOEVENTO="Manual",$M30=1),$M30&gt;(ROW(PLE.lastrow)-ROW(PLE.firstrow))),0,IF(OFFSET(PLE!$G$14,$M30,AX$13)="",10^12,OFFSET(PLE!$G$14,$M30,AX$13))))</f>
        <v>1000000000000</v>
      </c>
      <c r="AY30" s="182">
        <f ca="1">IF($D30&lt;&gt;"Serviço",0,IF(OR(AND(AUTOEVENTO="Manual",$M30=1),$M30&gt;(ROW(PLE.lastrow)-ROW(PLE.firstrow))),0,IF(OFFSET(PLE!$G$14,$M30,AY$13)="",10^12,OFFSET(PLE!$G$14,$M30,AY$13))))</f>
        <v>1000000000000</v>
      </c>
      <c r="AZ30" s="182">
        <f ca="1">IF($D30&lt;&gt;"Serviço",0,IF(OR(AND(AUTOEVENTO="Manual",$M30=1),$M30&gt;(ROW(PLE.lastrow)-ROW(PLE.firstrow))),0,IF(OFFSET(PLE!$G$14,$M30,AZ$13)="",10^12,OFFSET(PLE!$G$14,$M30,AZ$13))))</f>
        <v>1000000000000</v>
      </c>
      <c r="BA30" s="182">
        <f ca="1">IF($D30&lt;&gt;"Serviço",0,IF(OR(AND(AUTOEVENTO="Manual",$M30=1),$M30&gt;(ROW(PLE.lastrow)-ROW(PLE.firstrow))),0,IF(OFFSET(PLE!$G$14,$M30,BA$13)="",10^12,OFFSET(PLE!$G$14,$M30,BA$13))))</f>
        <v>1000000000000</v>
      </c>
      <c r="BB30" s="182">
        <f ca="1">IF($D30&lt;&gt;"Serviço",0,IF(OR(AND(AUTOEVENTO="Manual",$M30=1),$M30&gt;(ROW(PLE.lastrow)-ROW(PLE.firstrow))),0,IF(OFFSET(PLE!$G$14,$M30,BB$13)="",10^12,OFFSET(PLE!$G$14,$M30,BB$13))))</f>
        <v>1000000000000</v>
      </c>
      <c r="BC30" s="182">
        <f ca="1">IF($D30&lt;&gt;"Serviço",0,IF(OR(AND(AUTOEVENTO="Manual",$M30=1),$M30&gt;(ROW(PLE.lastrow)-ROW(PLE.firstrow))),0,IF(OFFSET(PLE!$G$14,$M30,BC$13)="",10^12,OFFSET(PLE!$G$14,$M30,BC$13))))</f>
        <v>1000000000000</v>
      </c>
      <c r="BD30" s="182">
        <f ca="1">IF($D30&lt;&gt;"Serviço",0,IF(OR(AND(AUTOEVENTO="Manual",$M30=1),$M30&gt;(ROW(PLE.lastrow)-ROW(PLE.firstrow))),0,IF(OFFSET(PLE!$G$14,$M30,BD$13)="",10^12,OFFSET(PLE!$G$14,$M30,BD$13))))</f>
        <v>1000000000000</v>
      </c>
      <c r="BE30" s="182">
        <f ca="1">IF($D30&lt;&gt;"Serviço",0,IF(OR(AND(AUTOEVENTO="Manual",$M30=1),$M30&gt;(ROW(PLE.lastrow)-ROW(PLE.firstrow))),0,IF(OFFSET(PLE!$G$14,$M30,BE$13)="",10^12,OFFSET(PLE!$G$14,$M30,BE$13))))</f>
        <v>1000000000000</v>
      </c>
      <c r="BF30" s="182">
        <f ca="1">IF($D30&lt;&gt;"Serviço",0,IF(OR(AND(AUTOEVENTO="Manual",$M30=1),$M30&gt;(ROW(PLE.lastrow)-ROW(PLE.firstrow))),0,IF(OFFSET(PLE!$G$14,$M30,BF$13)="",10^12,OFFSET(PLE!$G$14,$M30,BF$13))))</f>
        <v>1000000000000</v>
      </c>
      <c r="BG30" s="182">
        <f ca="1">IF($D30&lt;&gt;"Serviço",0,IF(OR(AND(AUTOEVENTO="Manual",$M30=1),$M30&gt;(ROW(PLE.lastrow)-ROW(PLE.firstrow))),0,IF(OFFSET(PLE!$G$14,$M30,BG$13)="",10^12,OFFSET(PLE!$G$14,$M30,BG$13))))</f>
        <v>1000000000000</v>
      </c>
    </row>
    <row r="31" spans="1:59" ht="38.25" x14ac:dyDescent="0.2">
      <c r="A31" s="7" t="str">
        <f t="shared" ca="1" si="8"/>
        <v>12</v>
      </c>
      <c r="B31" s="7" t="str">
        <f ca="1">OFFSET(ORÇAMENTO!C$15,ROW(B31)-ROW(B$15),0)</f>
        <v>S</v>
      </c>
      <c r="C31" s="7" t="str">
        <f ca="1">OFFSET(ORÇAMENTO!L$15,ROW(C31)-ROW(C$15),0)</f>
        <v/>
      </c>
      <c r="D31" s="118" t="str">
        <f ca="1">OFFSET(ORÇAMENTO!N$15,ROW(D31)-ROW(D$15),0)</f>
        <v>Serviço</v>
      </c>
      <c r="E31" s="119" t="str">
        <f ca="1">OFFSET(ORÇAMENTO!O$15,ROW(E31)-ROW(E$15),0)</f>
        <v>-</v>
      </c>
      <c r="F31" s="172" t="str">
        <f ca="1">OFFSET(ORÇAMENTO!R$15,ROW(F31)-ROW(F$15),0)</f>
        <v>(abra o arquivo 'Referência 02-2025.xlsm)</v>
      </c>
      <c r="G31" s="173" t="str">
        <f ca="1">IF($D31&lt;&gt;"Serviço","",OFFSET(ORÇAMENTO!S$15,ROW(G31)-ROW(G$15),0))</f>
        <v>-</v>
      </c>
      <c r="H31" s="124">
        <f ca="1">IF($D31&lt;&gt;"Serviço",0,IF(ACOMPANHAMENTO="BM",ROUND(OFFSET(ORÇAMENTO!AJ$15,ROW(H31)-ROW(H$15),0),15-13*ORÇAMENTO!$AF$7),SUMPRODUCT(($Q$12:$AA$12&lt;&gt;"")*ROUND($Q31:$AA31,15-13*ORÇAMENTO!$AF$7))))</f>
        <v>264.04000000000002</v>
      </c>
      <c r="I31" s="561" t="s">
        <v>890</v>
      </c>
      <c r="K31" s="174"/>
      <c r="L31" s="175" t="s">
        <v>255</v>
      </c>
      <c r="M31" s="176">
        <f ca="1">IF($D31&lt;&gt;"Serviço","",IF(AUTOEVENTO="manual",$A31,IF(ISERROR(MATCH($A31,$A$15:OFFSET($A31,-1,0),0)),MAX($M$15:OFFSET(M31,-1,0))+1,INDEX($M$15:OFFSET(M31,-1,0),MATCH($A31,$A$15:OFFSET($A31,-1,0),0)))))</f>
        <v>3</v>
      </c>
      <c r="N31" s="177" t="str">
        <f ca="1">IF($D31&lt;&gt;"Serviço","",IF(AUTOEVENTO="Manual",IF($A31=0,"&lt;-- defina o número do agrupador",OFFSET(EVENTOS!$D$14,$A31,0)),OFFSET($F$15,$A31,0)))</f>
        <v>MOVIMENTO DE TERRA PARA FUNDAÇÕES</v>
      </c>
      <c r="O31" s="178"/>
      <c r="Q31" s="178"/>
      <c r="R31" s="179"/>
      <c r="S31" s="179"/>
      <c r="T31" s="179"/>
      <c r="U31" s="179"/>
      <c r="V31" s="179"/>
      <c r="W31" s="179"/>
      <c r="X31" s="179"/>
      <c r="Y31" s="179"/>
      <c r="Z31" s="180"/>
      <c r="AB31" s="544">
        <f ca="1">IF(AND($D31="Serviço",AB$12&lt;&gt;0,$H31&gt;0,OR(AUTOEVENTO&lt;&gt;"manual",$M31&lt;&gt;1)),
IF(Import.TipoArredondamento&lt;&gt;"TransfereGOV",
ROUND(OFFSET($P31,0,AB$13),15-13*ORÇAMENTO!$AF$7)/$H31*OFFSET(ORÇAMENTO!$X$15,ROW(AB31)-ROW(AB$15),0),
ROUND(ROUND(OFFSET($P31,0,AB$13),15-13*ORÇAMENTO!$AF$7)*OFFSET(ORÇAMENTO!$W$15,ROW(AB31)-ROW(AB$15),0),15-13*ORÇAMENTO!$AF$11)),0)</f>
        <v>0</v>
      </c>
      <c r="AC31" s="545">
        <f ca="1">IF(AND($D31="Serviço",AC$12&lt;&gt;0,$H31&gt;0,OR(AUTOEVENTO&lt;&gt;"manual",$M31&lt;&gt;1)),
IF(Import.TipoArredondamento&lt;&gt;"TransfereGOV",
ROUND(OFFSET($P31,0,AC$13),15-13*ORÇAMENTO!$AF$7)/$H31*OFFSET(ORÇAMENTO!$X$15,ROW(AC31)-ROW(AC$15),0),
ROUND(ROUND(OFFSET($P31,0,AC$13),15-13*ORÇAMENTO!$AF$7)*OFFSET(ORÇAMENTO!$W$15,ROW(AC31)-ROW(AC$15),0),15-13*ORÇAMENTO!$AF$11)),0)</f>
        <v>0</v>
      </c>
      <c r="AD31" s="545">
        <f ca="1">IF(AND($D31="Serviço",AD$12&lt;&gt;0,$H31&gt;0,OR(AUTOEVENTO&lt;&gt;"manual",$M31&lt;&gt;1)),
IF(Import.TipoArredondamento&lt;&gt;"TransfereGOV",
ROUND(OFFSET($P31,0,AD$13),15-13*ORÇAMENTO!$AF$7)/$H31*OFFSET(ORÇAMENTO!$X$15,ROW(AD31)-ROW(AD$15),0),
ROUND(ROUND(OFFSET($P31,0,AD$13),15-13*ORÇAMENTO!$AF$7)*OFFSET(ORÇAMENTO!$W$15,ROW(AD31)-ROW(AD$15),0),15-13*ORÇAMENTO!$AF$11)),0)</f>
        <v>0</v>
      </c>
      <c r="AE31" s="545">
        <f ca="1">IF(AND($D31="Serviço",AE$12&lt;&gt;0,$H31&gt;0,OR(AUTOEVENTO&lt;&gt;"manual",$M31&lt;&gt;1)),
IF(Import.TipoArredondamento&lt;&gt;"TransfereGOV",
ROUND(OFFSET($P31,0,AE$13),15-13*ORÇAMENTO!$AF$7)/$H31*OFFSET(ORÇAMENTO!$X$15,ROW(AE31)-ROW(AE$15),0),
ROUND(ROUND(OFFSET($P31,0,AE$13),15-13*ORÇAMENTO!$AF$7)*OFFSET(ORÇAMENTO!$W$15,ROW(AE31)-ROW(AE$15),0),15-13*ORÇAMENTO!$AF$11)),0)</f>
        <v>0</v>
      </c>
      <c r="AF31" s="545">
        <f ca="1">IF(AND($D31="Serviço",AF$12&lt;&gt;0,$H31&gt;0,OR(AUTOEVENTO&lt;&gt;"manual",$M31&lt;&gt;1)),
IF(Import.TipoArredondamento&lt;&gt;"TransfereGOV",
ROUND(OFFSET($P31,0,AF$13),15-13*ORÇAMENTO!$AF$7)/$H31*OFFSET(ORÇAMENTO!$X$15,ROW(AF31)-ROW(AF$15),0),
ROUND(ROUND(OFFSET($P31,0,AF$13),15-13*ORÇAMENTO!$AF$7)*OFFSET(ORÇAMENTO!$W$15,ROW(AF31)-ROW(AF$15),0),15-13*ORÇAMENTO!$AF$11)),0)</f>
        <v>0</v>
      </c>
      <c r="AG31" s="545">
        <f ca="1">IF(AND($D31="Serviço",AG$12&lt;&gt;0,$H31&gt;0,OR(AUTOEVENTO&lt;&gt;"manual",$M31&lt;&gt;1)),
IF(Import.TipoArredondamento&lt;&gt;"TransfereGOV",
ROUND(OFFSET($P31,0,AG$13),15-13*ORÇAMENTO!$AF$7)/$H31*OFFSET(ORÇAMENTO!$X$15,ROW(AG31)-ROW(AG$15),0),
ROUND(ROUND(OFFSET($P31,0,AG$13),15-13*ORÇAMENTO!$AF$7)*OFFSET(ORÇAMENTO!$W$15,ROW(AG31)-ROW(AG$15),0),15-13*ORÇAMENTO!$AF$11)),0)</f>
        <v>0</v>
      </c>
      <c r="AH31" s="545">
        <f ca="1">IF(AND($D31="Serviço",AH$12&lt;&gt;0,$H31&gt;0,OR(AUTOEVENTO&lt;&gt;"manual",$M31&lt;&gt;1)),
IF(Import.TipoArredondamento&lt;&gt;"TransfereGOV",
ROUND(OFFSET($P31,0,AH$13),15-13*ORÇAMENTO!$AF$7)/$H31*OFFSET(ORÇAMENTO!$X$15,ROW(AH31)-ROW(AH$15),0),
ROUND(ROUND(OFFSET($P31,0,AH$13),15-13*ORÇAMENTO!$AF$7)*OFFSET(ORÇAMENTO!$W$15,ROW(AH31)-ROW(AH$15),0),15-13*ORÇAMENTO!$AF$11)),0)</f>
        <v>0</v>
      </c>
      <c r="AI31" s="545">
        <f ca="1">IF(AND($D31="Serviço",AI$12&lt;&gt;0,$H31&gt;0,OR(AUTOEVENTO&lt;&gt;"manual",$M31&lt;&gt;1)),
IF(Import.TipoArredondamento&lt;&gt;"TransfereGOV",
ROUND(OFFSET($P31,0,AI$13),15-13*ORÇAMENTO!$AF$7)/$H31*OFFSET(ORÇAMENTO!$X$15,ROW(AI31)-ROW(AI$15),0),
ROUND(ROUND(OFFSET($P31,0,AI$13),15-13*ORÇAMENTO!$AF$7)*OFFSET(ORÇAMENTO!$W$15,ROW(AI31)-ROW(AI$15),0),15-13*ORÇAMENTO!$AF$11)),0)</f>
        <v>0</v>
      </c>
      <c r="AJ31" s="545">
        <f ca="1">IF(AND($D31="Serviço",AJ$12&lt;&gt;0,$H31&gt;0,OR(AUTOEVENTO&lt;&gt;"manual",$M31&lt;&gt;1)),
IF(Import.TipoArredondamento&lt;&gt;"TransfereGOV",
ROUND(OFFSET($P31,0,AJ$13),15-13*ORÇAMENTO!$AF$7)/$H31*OFFSET(ORÇAMENTO!$X$15,ROW(AJ31)-ROW(AJ$15),0),
ROUND(ROUND(OFFSET($P31,0,AJ$13),15-13*ORÇAMENTO!$AF$7)*OFFSET(ORÇAMENTO!$W$15,ROW(AJ31)-ROW(AJ$15),0),15-13*ORÇAMENTO!$AF$11)),0)</f>
        <v>0</v>
      </c>
      <c r="AK31" s="546">
        <f ca="1">IF(AND($D31="Serviço",AK$12&lt;&gt;0,$H31&gt;0,OR(AUTOEVENTO&lt;&gt;"manual",$M31&lt;&gt;1)),
IF(Import.TipoArredondamento&lt;&gt;"TransfereGOV",
ROUND(OFFSET($P31,0,AK$13),15-13*ORÇAMENTO!$AF$7)/$H31*OFFSET(ORÇAMENTO!$X$15,ROW(AK31)-ROW(AK$15),0),
ROUND(ROUND(OFFSET($P31,0,AK$13),15-13*ORÇAMENTO!$AF$7)*OFFSET(ORÇAMENTO!$W$15,ROW(AK31)-ROW(AK$15),0),15-13*ORÇAMENTO!$AF$11)),0)</f>
        <v>0</v>
      </c>
      <c r="AM31" s="181">
        <f ca="1">IF($D31&lt;&gt;"Serviço",0,IF(AND(AUTOEVENTO="Manual",$M31=1),0,IF(OFFSET(CRONOPLE!$F$14,$M31,AM$13)="",10^12,OFFSET(CRONOPLE!$F$14,$M31,AM$13))))</f>
        <v>1000000000000</v>
      </c>
      <c r="AN31" s="181">
        <f ca="1">IF($D31&lt;&gt;"Serviço",0,IF(AND(AUTOEVENTO="Manual",$M31=1),0,IF(OFFSET(CRONOPLE!$F$14,$M31,AN$13)="",10^12,OFFSET(CRONOPLE!$F$14,$M31,AN$13))))</f>
        <v>1000000000000</v>
      </c>
      <c r="AO31" s="181">
        <f ca="1">IF($D31&lt;&gt;"Serviço",0,IF(AND(AUTOEVENTO="Manual",$M31=1),0,IF(OFFSET(CRONOPLE!$F$14,$M31,AO$13)="",10^12,OFFSET(CRONOPLE!$F$14,$M31,AO$13))))</f>
        <v>1000000000000</v>
      </c>
      <c r="AP31" s="181">
        <f ca="1">IF($D31&lt;&gt;"Serviço",0,IF(AND(AUTOEVENTO="Manual",$M31=1),0,IF(OFFSET(CRONOPLE!$F$14,$M31,AP$13)="",10^12,OFFSET(CRONOPLE!$F$14,$M31,AP$13))))</f>
        <v>1000000000000</v>
      </c>
      <c r="AQ31" s="181">
        <f ca="1">IF($D31&lt;&gt;"Serviço",0,IF(AND(AUTOEVENTO="Manual",$M31=1),0,IF(OFFSET(CRONOPLE!$F$14,$M31,AQ$13)="",10^12,OFFSET(CRONOPLE!$F$14,$M31,AQ$13))))</f>
        <v>1000000000000</v>
      </c>
      <c r="AR31" s="181">
        <f ca="1">IF($D31&lt;&gt;"Serviço",0,IF(AND(AUTOEVENTO="Manual",$M31=1),0,IF(OFFSET(CRONOPLE!$F$14,$M31,AR$13)="",10^12,OFFSET(CRONOPLE!$F$14,$M31,AR$13))))</f>
        <v>1000000000000</v>
      </c>
      <c r="AS31" s="181">
        <f ca="1">IF($D31&lt;&gt;"Serviço",0,IF(AND(AUTOEVENTO="Manual",$M31=1),0,IF(OFFSET(CRONOPLE!$F$14,$M31,AS$13)="",10^12,OFFSET(CRONOPLE!$F$14,$M31,AS$13))))</f>
        <v>1000000000000</v>
      </c>
      <c r="AT31" s="181">
        <f ca="1">IF($D31&lt;&gt;"Serviço",0,IF(AND(AUTOEVENTO="Manual",$M31=1),0,IF(OFFSET(CRONOPLE!$F$14,$M31,AT$13)="",10^12,OFFSET(CRONOPLE!$F$14,$M31,AT$13))))</f>
        <v>1000000000000</v>
      </c>
      <c r="AU31" s="181">
        <f ca="1">IF($D31&lt;&gt;"Serviço",0,IF(AND(AUTOEVENTO="Manual",$M31=1),0,IF(OFFSET(CRONOPLE!$F$14,$M31,AU$13)="",10^12,OFFSET(CRONOPLE!$F$14,$M31,AU$13))))</f>
        <v>1000000000000</v>
      </c>
      <c r="AV31" s="181">
        <f ca="1">IF($D31&lt;&gt;"Serviço",0,IF(AND(AUTOEVENTO="Manual",$M31=1),0,IF(OFFSET(CRONOPLE!$F$14,$M31,AV$13)="",10^12,OFFSET(CRONOPLE!$F$14,$M31,AV$13))))</f>
        <v>1000000000000</v>
      </c>
      <c r="AX31" s="182">
        <f ca="1">IF($D31&lt;&gt;"Serviço",0,IF(OR(AND(AUTOEVENTO="Manual",$M31=1),$M31&gt;(ROW(PLE.lastrow)-ROW(PLE.firstrow))),0,IF(OFFSET(PLE!$G$14,$M31,AX$13)="",10^12,OFFSET(PLE!$G$14,$M31,AX$13))))</f>
        <v>1000000000000</v>
      </c>
      <c r="AY31" s="182">
        <f ca="1">IF($D31&lt;&gt;"Serviço",0,IF(OR(AND(AUTOEVENTO="Manual",$M31=1),$M31&gt;(ROW(PLE.lastrow)-ROW(PLE.firstrow))),0,IF(OFFSET(PLE!$G$14,$M31,AY$13)="",10^12,OFFSET(PLE!$G$14,$M31,AY$13))))</f>
        <v>1000000000000</v>
      </c>
      <c r="AZ31" s="182">
        <f ca="1">IF($D31&lt;&gt;"Serviço",0,IF(OR(AND(AUTOEVENTO="Manual",$M31=1),$M31&gt;(ROW(PLE.lastrow)-ROW(PLE.firstrow))),0,IF(OFFSET(PLE!$G$14,$M31,AZ$13)="",10^12,OFFSET(PLE!$G$14,$M31,AZ$13))))</f>
        <v>1000000000000</v>
      </c>
      <c r="BA31" s="182">
        <f ca="1">IF($D31&lt;&gt;"Serviço",0,IF(OR(AND(AUTOEVENTO="Manual",$M31=1),$M31&gt;(ROW(PLE.lastrow)-ROW(PLE.firstrow))),0,IF(OFFSET(PLE!$G$14,$M31,BA$13)="",10^12,OFFSET(PLE!$G$14,$M31,BA$13))))</f>
        <v>1000000000000</v>
      </c>
      <c r="BB31" s="182">
        <f ca="1">IF($D31&lt;&gt;"Serviço",0,IF(OR(AND(AUTOEVENTO="Manual",$M31=1),$M31&gt;(ROW(PLE.lastrow)-ROW(PLE.firstrow))),0,IF(OFFSET(PLE!$G$14,$M31,BB$13)="",10^12,OFFSET(PLE!$G$14,$M31,BB$13))))</f>
        <v>1000000000000</v>
      </c>
      <c r="BC31" s="182">
        <f ca="1">IF($D31&lt;&gt;"Serviço",0,IF(OR(AND(AUTOEVENTO="Manual",$M31=1),$M31&gt;(ROW(PLE.lastrow)-ROW(PLE.firstrow))),0,IF(OFFSET(PLE!$G$14,$M31,BC$13)="",10^12,OFFSET(PLE!$G$14,$M31,BC$13))))</f>
        <v>1000000000000</v>
      </c>
      <c r="BD31" s="182">
        <f ca="1">IF($D31&lt;&gt;"Serviço",0,IF(OR(AND(AUTOEVENTO="Manual",$M31=1),$M31&gt;(ROW(PLE.lastrow)-ROW(PLE.firstrow))),0,IF(OFFSET(PLE!$G$14,$M31,BD$13)="",10^12,OFFSET(PLE!$G$14,$M31,BD$13))))</f>
        <v>1000000000000</v>
      </c>
      <c r="BE31" s="182">
        <f ca="1">IF($D31&lt;&gt;"Serviço",0,IF(OR(AND(AUTOEVENTO="Manual",$M31=1),$M31&gt;(ROW(PLE.lastrow)-ROW(PLE.firstrow))),0,IF(OFFSET(PLE!$G$14,$M31,BE$13)="",10^12,OFFSET(PLE!$G$14,$M31,BE$13))))</f>
        <v>1000000000000</v>
      </c>
      <c r="BF31" s="182">
        <f ca="1">IF($D31&lt;&gt;"Serviço",0,IF(OR(AND(AUTOEVENTO="Manual",$M31=1),$M31&gt;(ROW(PLE.lastrow)-ROW(PLE.firstrow))),0,IF(OFFSET(PLE!$G$14,$M31,BF$13)="",10^12,OFFSET(PLE!$G$14,$M31,BF$13))))</f>
        <v>1000000000000</v>
      </c>
      <c r="BG31" s="182">
        <f ca="1">IF($D31&lt;&gt;"Serviço",0,IF(OR(AND(AUTOEVENTO="Manual",$M31=1),$M31&gt;(ROW(PLE.lastrow)-ROW(PLE.firstrow))),0,IF(OFFSET(PLE!$G$14,$M31,BG$13)="",10^12,OFFSET(PLE!$G$14,$M31,BG$13))))</f>
        <v>1000000000000</v>
      </c>
    </row>
    <row r="32" spans="1:59" ht="25.5" x14ac:dyDescent="0.2">
      <c r="A32" s="7" t="str">
        <f t="shared" ca="1" si="8"/>
        <v>12</v>
      </c>
      <c r="B32" s="7" t="str">
        <f ca="1">OFFSET(ORÇAMENTO!C$15,ROW(B32)-ROW(B$15),0)</f>
        <v>S</v>
      </c>
      <c r="C32" s="7" t="str">
        <f ca="1">OFFSET(ORÇAMENTO!L$15,ROW(C32)-ROW(C$15),0)</f>
        <v/>
      </c>
      <c r="D32" s="118" t="str">
        <f ca="1">OFFSET(ORÇAMENTO!N$15,ROW(D32)-ROW(D$15),0)</f>
        <v>Serviço</v>
      </c>
      <c r="E32" s="119" t="str">
        <f ca="1">OFFSET(ORÇAMENTO!O$15,ROW(E32)-ROW(E$15),0)</f>
        <v>-</v>
      </c>
      <c r="F32" s="172" t="str">
        <f ca="1">OFFSET(ORÇAMENTO!R$15,ROW(F32)-ROW(F$15),0)</f>
        <v>(abra o arquivo 'Referência 02-2025.xlsm)</v>
      </c>
      <c r="G32" s="173" t="str">
        <f ca="1">IF($D32&lt;&gt;"Serviço","",OFFSET(ORÇAMENTO!S$15,ROW(G32)-ROW(G$15),0))</f>
        <v>-</v>
      </c>
      <c r="H32" s="124">
        <f ca="1">IF($D32&lt;&gt;"Serviço",0,IF(ACOMPANHAMENTO="BM",ROUND(OFFSET(ORÇAMENTO!AJ$15,ROW(H32)-ROW(H$15),0),15-13*ORÇAMENTO!$AF$7),SUMPRODUCT(($Q$12:$AA$12&lt;&gt;"")*ROUND($Q32:$AA32,15-13*ORÇAMENTO!$AF$7))))</f>
        <v>1317.99</v>
      </c>
      <c r="I32" s="561" t="s">
        <v>890</v>
      </c>
      <c r="K32" s="174"/>
      <c r="L32" s="175" t="s">
        <v>255</v>
      </c>
      <c r="M32" s="176">
        <f ca="1">IF($D32&lt;&gt;"Serviço","",IF(AUTOEVENTO="manual",$A32,IF(ISERROR(MATCH($A32,$A$15:OFFSET($A32,-1,0),0)),MAX($M$15:OFFSET(M32,-1,0))+1,INDEX($M$15:OFFSET(M32,-1,0),MATCH($A32,$A$15:OFFSET($A32,-1,0),0)))))</f>
        <v>3</v>
      </c>
      <c r="N32" s="177" t="str">
        <f ca="1">IF($D32&lt;&gt;"Serviço","",IF(AUTOEVENTO="Manual",IF($A32=0,"&lt;-- defina o número do agrupador",OFFSET(EVENTOS!$D$14,$A32,0)),OFFSET($F$15,$A32,0)))</f>
        <v>MOVIMENTO DE TERRA PARA FUNDAÇÕES</v>
      </c>
      <c r="O32" s="178"/>
      <c r="Q32" s="178"/>
      <c r="R32" s="179"/>
      <c r="S32" s="179"/>
      <c r="T32" s="179"/>
      <c r="U32" s="179"/>
      <c r="V32" s="179"/>
      <c r="W32" s="179"/>
      <c r="X32" s="179"/>
      <c r="Y32" s="179"/>
      <c r="Z32" s="180"/>
      <c r="AB32" s="544">
        <f ca="1">IF(AND($D32="Serviço",AB$12&lt;&gt;0,$H32&gt;0,OR(AUTOEVENTO&lt;&gt;"manual",$M32&lt;&gt;1)),
IF(Import.TipoArredondamento&lt;&gt;"TransfereGOV",
ROUND(OFFSET($P32,0,AB$13),15-13*ORÇAMENTO!$AF$7)/$H32*OFFSET(ORÇAMENTO!$X$15,ROW(AB32)-ROW(AB$15),0),
ROUND(ROUND(OFFSET($P32,0,AB$13),15-13*ORÇAMENTO!$AF$7)*OFFSET(ORÇAMENTO!$W$15,ROW(AB32)-ROW(AB$15),0),15-13*ORÇAMENTO!$AF$11)),0)</f>
        <v>0</v>
      </c>
      <c r="AC32" s="545">
        <f ca="1">IF(AND($D32="Serviço",AC$12&lt;&gt;0,$H32&gt;0,OR(AUTOEVENTO&lt;&gt;"manual",$M32&lt;&gt;1)),
IF(Import.TipoArredondamento&lt;&gt;"TransfereGOV",
ROUND(OFFSET($P32,0,AC$13),15-13*ORÇAMENTO!$AF$7)/$H32*OFFSET(ORÇAMENTO!$X$15,ROW(AC32)-ROW(AC$15),0),
ROUND(ROUND(OFFSET($P32,0,AC$13),15-13*ORÇAMENTO!$AF$7)*OFFSET(ORÇAMENTO!$W$15,ROW(AC32)-ROW(AC$15),0),15-13*ORÇAMENTO!$AF$11)),0)</f>
        <v>0</v>
      </c>
      <c r="AD32" s="545">
        <f ca="1">IF(AND($D32="Serviço",AD$12&lt;&gt;0,$H32&gt;0,OR(AUTOEVENTO&lt;&gt;"manual",$M32&lt;&gt;1)),
IF(Import.TipoArredondamento&lt;&gt;"TransfereGOV",
ROUND(OFFSET($P32,0,AD$13),15-13*ORÇAMENTO!$AF$7)/$H32*OFFSET(ORÇAMENTO!$X$15,ROW(AD32)-ROW(AD$15),0),
ROUND(ROUND(OFFSET($P32,0,AD$13),15-13*ORÇAMENTO!$AF$7)*OFFSET(ORÇAMENTO!$W$15,ROW(AD32)-ROW(AD$15),0),15-13*ORÇAMENTO!$AF$11)),0)</f>
        <v>0</v>
      </c>
      <c r="AE32" s="545">
        <f ca="1">IF(AND($D32="Serviço",AE$12&lt;&gt;0,$H32&gt;0,OR(AUTOEVENTO&lt;&gt;"manual",$M32&lt;&gt;1)),
IF(Import.TipoArredondamento&lt;&gt;"TransfereGOV",
ROUND(OFFSET($P32,0,AE$13),15-13*ORÇAMENTO!$AF$7)/$H32*OFFSET(ORÇAMENTO!$X$15,ROW(AE32)-ROW(AE$15),0),
ROUND(ROUND(OFFSET($P32,0,AE$13),15-13*ORÇAMENTO!$AF$7)*OFFSET(ORÇAMENTO!$W$15,ROW(AE32)-ROW(AE$15),0),15-13*ORÇAMENTO!$AF$11)),0)</f>
        <v>0</v>
      </c>
      <c r="AF32" s="545">
        <f ca="1">IF(AND($D32="Serviço",AF$12&lt;&gt;0,$H32&gt;0,OR(AUTOEVENTO&lt;&gt;"manual",$M32&lt;&gt;1)),
IF(Import.TipoArredondamento&lt;&gt;"TransfereGOV",
ROUND(OFFSET($P32,0,AF$13),15-13*ORÇAMENTO!$AF$7)/$H32*OFFSET(ORÇAMENTO!$X$15,ROW(AF32)-ROW(AF$15),0),
ROUND(ROUND(OFFSET($P32,0,AF$13),15-13*ORÇAMENTO!$AF$7)*OFFSET(ORÇAMENTO!$W$15,ROW(AF32)-ROW(AF$15),0),15-13*ORÇAMENTO!$AF$11)),0)</f>
        <v>0</v>
      </c>
      <c r="AG32" s="545">
        <f ca="1">IF(AND($D32="Serviço",AG$12&lt;&gt;0,$H32&gt;0,OR(AUTOEVENTO&lt;&gt;"manual",$M32&lt;&gt;1)),
IF(Import.TipoArredondamento&lt;&gt;"TransfereGOV",
ROUND(OFFSET($P32,0,AG$13),15-13*ORÇAMENTO!$AF$7)/$H32*OFFSET(ORÇAMENTO!$X$15,ROW(AG32)-ROW(AG$15),0),
ROUND(ROUND(OFFSET($P32,0,AG$13),15-13*ORÇAMENTO!$AF$7)*OFFSET(ORÇAMENTO!$W$15,ROW(AG32)-ROW(AG$15),0),15-13*ORÇAMENTO!$AF$11)),0)</f>
        <v>0</v>
      </c>
      <c r="AH32" s="545">
        <f ca="1">IF(AND($D32="Serviço",AH$12&lt;&gt;0,$H32&gt;0,OR(AUTOEVENTO&lt;&gt;"manual",$M32&lt;&gt;1)),
IF(Import.TipoArredondamento&lt;&gt;"TransfereGOV",
ROUND(OFFSET($P32,0,AH$13),15-13*ORÇAMENTO!$AF$7)/$H32*OFFSET(ORÇAMENTO!$X$15,ROW(AH32)-ROW(AH$15),0),
ROUND(ROUND(OFFSET($P32,0,AH$13),15-13*ORÇAMENTO!$AF$7)*OFFSET(ORÇAMENTO!$W$15,ROW(AH32)-ROW(AH$15),0),15-13*ORÇAMENTO!$AF$11)),0)</f>
        <v>0</v>
      </c>
      <c r="AI32" s="545">
        <f ca="1">IF(AND($D32="Serviço",AI$12&lt;&gt;0,$H32&gt;0,OR(AUTOEVENTO&lt;&gt;"manual",$M32&lt;&gt;1)),
IF(Import.TipoArredondamento&lt;&gt;"TransfereGOV",
ROUND(OFFSET($P32,0,AI$13),15-13*ORÇAMENTO!$AF$7)/$H32*OFFSET(ORÇAMENTO!$X$15,ROW(AI32)-ROW(AI$15),0),
ROUND(ROUND(OFFSET($P32,0,AI$13),15-13*ORÇAMENTO!$AF$7)*OFFSET(ORÇAMENTO!$W$15,ROW(AI32)-ROW(AI$15),0),15-13*ORÇAMENTO!$AF$11)),0)</f>
        <v>0</v>
      </c>
      <c r="AJ32" s="545">
        <f ca="1">IF(AND($D32="Serviço",AJ$12&lt;&gt;0,$H32&gt;0,OR(AUTOEVENTO&lt;&gt;"manual",$M32&lt;&gt;1)),
IF(Import.TipoArredondamento&lt;&gt;"TransfereGOV",
ROUND(OFFSET($P32,0,AJ$13),15-13*ORÇAMENTO!$AF$7)/$H32*OFFSET(ORÇAMENTO!$X$15,ROW(AJ32)-ROW(AJ$15),0),
ROUND(ROUND(OFFSET($P32,0,AJ$13),15-13*ORÇAMENTO!$AF$7)*OFFSET(ORÇAMENTO!$W$15,ROW(AJ32)-ROW(AJ$15),0),15-13*ORÇAMENTO!$AF$11)),0)</f>
        <v>0</v>
      </c>
      <c r="AK32" s="546">
        <f ca="1">IF(AND($D32="Serviço",AK$12&lt;&gt;0,$H32&gt;0,OR(AUTOEVENTO&lt;&gt;"manual",$M32&lt;&gt;1)),
IF(Import.TipoArredondamento&lt;&gt;"TransfereGOV",
ROUND(OFFSET($P32,0,AK$13),15-13*ORÇAMENTO!$AF$7)/$H32*OFFSET(ORÇAMENTO!$X$15,ROW(AK32)-ROW(AK$15),0),
ROUND(ROUND(OFFSET($P32,0,AK$13),15-13*ORÇAMENTO!$AF$7)*OFFSET(ORÇAMENTO!$W$15,ROW(AK32)-ROW(AK$15),0),15-13*ORÇAMENTO!$AF$11)),0)</f>
        <v>0</v>
      </c>
      <c r="AM32" s="181">
        <f ca="1">IF($D32&lt;&gt;"Serviço",0,IF(AND(AUTOEVENTO="Manual",$M32=1),0,IF(OFFSET(CRONOPLE!$F$14,$M32,AM$13)="",10^12,OFFSET(CRONOPLE!$F$14,$M32,AM$13))))</f>
        <v>1000000000000</v>
      </c>
      <c r="AN32" s="181">
        <f ca="1">IF($D32&lt;&gt;"Serviço",0,IF(AND(AUTOEVENTO="Manual",$M32=1),0,IF(OFFSET(CRONOPLE!$F$14,$M32,AN$13)="",10^12,OFFSET(CRONOPLE!$F$14,$M32,AN$13))))</f>
        <v>1000000000000</v>
      </c>
      <c r="AO32" s="181">
        <f ca="1">IF($D32&lt;&gt;"Serviço",0,IF(AND(AUTOEVENTO="Manual",$M32=1),0,IF(OFFSET(CRONOPLE!$F$14,$M32,AO$13)="",10^12,OFFSET(CRONOPLE!$F$14,$M32,AO$13))))</f>
        <v>1000000000000</v>
      </c>
      <c r="AP32" s="181">
        <f ca="1">IF($D32&lt;&gt;"Serviço",0,IF(AND(AUTOEVENTO="Manual",$M32=1),0,IF(OFFSET(CRONOPLE!$F$14,$M32,AP$13)="",10^12,OFFSET(CRONOPLE!$F$14,$M32,AP$13))))</f>
        <v>1000000000000</v>
      </c>
      <c r="AQ32" s="181">
        <f ca="1">IF($D32&lt;&gt;"Serviço",0,IF(AND(AUTOEVENTO="Manual",$M32=1),0,IF(OFFSET(CRONOPLE!$F$14,$M32,AQ$13)="",10^12,OFFSET(CRONOPLE!$F$14,$M32,AQ$13))))</f>
        <v>1000000000000</v>
      </c>
      <c r="AR32" s="181">
        <f ca="1">IF($D32&lt;&gt;"Serviço",0,IF(AND(AUTOEVENTO="Manual",$M32=1),0,IF(OFFSET(CRONOPLE!$F$14,$M32,AR$13)="",10^12,OFFSET(CRONOPLE!$F$14,$M32,AR$13))))</f>
        <v>1000000000000</v>
      </c>
      <c r="AS32" s="181">
        <f ca="1">IF($D32&lt;&gt;"Serviço",0,IF(AND(AUTOEVENTO="Manual",$M32=1),0,IF(OFFSET(CRONOPLE!$F$14,$M32,AS$13)="",10^12,OFFSET(CRONOPLE!$F$14,$M32,AS$13))))</f>
        <v>1000000000000</v>
      </c>
      <c r="AT32" s="181">
        <f ca="1">IF($D32&lt;&gt;"Serviço",0,IF(AND(AUTOEVENTO="Manual",$M32=1),0,IF(OFFSET(CRONOPLE!$F$14,$M32,AT$13)="",10^12,OFFSET(CRONOPLE!$F$14,$M32,AT$13))))</f>
        <v>1000000000000</v>
      </c>
      <c r="AU32" s="181">
        <f ca="1">IF($D32&lt;&gt;"Serviço",0,IF(AND(AUTOEVENTO="Manual",$M32=1),0,IF(OFFSET(CRONOPLE!$F$14,$M32,AU$13)="",10^12,OFFSET(CRONOPLE!$F$14,$M32,AU$13))))</f>
        <v>1000000000000</v>
      </c>
      <c r="AV32" s="181">
        <f ca="1">IF($D32&lt;&gt;"Serviço",0,IF(AND(AUTOEVENTO="Manual",$M32=1),0,IF(OFFSET(CRONOPLE!$F$14,$M32,AV$13)="",10^12,OFFSET(CRONOPLE!$F$14,$M32,AV$13))))</f>
        <v>1000000000000</v>
      </c>
      <c r="AX32" s="182">
        <f ca="1">IF($D32&lt;&gt;"Serviço",0,IF(OR(AND(AUTOEVENTO="Manual",$M32=1),$M32&gt;(ROW(PLE.lastrow)-ROW(PLE.firstrow))),0,IF(OFFSET(PLE!$G$14,$M32,AX$13)="",10^12,OFFSET(PLE!$G$14,$M32,AX$13))))</f>
        <v>1000000000000</v>
      </c>
      <c r="AY32" s="182">
        <f ca="1">IF($D32&lt;&gt;"Serviço",0,IF(OR(AND(AUTOEVENTO="Manual",$M32=1),$M32&gt;(ROW(PLE.lastrow)-ROW(PLE.firstrow))),0,IF(OFFSET(PLE!$G$14,$M32,AY$13)="",10^12,OFFSET(PLE!$G$14,$M32,AY$13))))</f>
        <v>1000000000000</v>
      </c>
      <c r="AZ32" s="182">
        <f ca="1">IF($D32&lt;&gt;"Serviço",0,IF(OR(AND(AUTOEVENTO="Manual",$M32=1),$M32&gt;(ROW(PLE.lastrow)-ROW(PLE.firstrow))),0,IF(OFFSET(PLE!$G$14,$M32,AZ$13)="",10^12,OFFSET(PLE!$G$14,$M32,AZ$13))))</f>
        <v>1000000000000</v>
      </c>
      <c r="BA32" s="182">
        <f ca="1">IF($D32&lt;&gt;"Serviço",0,IF(OR(AND(AUTOEVENTO="Manual",$M32=1),$M32&gt;(ROW(PLE.lastrow)-ROW(PLE.firstrow))),0,IF(OFFSET(PLE!$G$14,$M32,BA$13)="",10^12,OFFSET(PLE!$G$14,$M32,BA$13))))</f>
        <v>1000000000000</v>
      </c>
      <c r="BB32" s="182">
        <f ca="1">IF($D32&lt;&gt;"Serviço",0,IF(OR(AND(AUTOEVENTO="Manual",$M32=1),$M32&gt;(ROW(PLE.lastrow)-ROW(PLE.firstrow))),0,IF(OFFSET(PLE!$G$14,$M32,BB$13)="",10^12,OFFSET(PLE!$G$14,$M32,BB$13))))</f>
        <v>1000000000000</v>
      </c>
      <c r="BC32" s="182">
        <f ca="1">IF($D32&lt;&gt;"Serviço",0,IF(OR(AND(AUTOEVENTO="Manual",$M32=1),$M32&gt;(ROW(PLE.lastrow)-ROW(PLE.firstrow))),0,IF(OFFSET(PLE!$G$14,$M32,BC$13)="",10^12,OFFSET(PLE!$G$14,$M32,BC$13))))</f>
        <v>1000000000000</v>
      </c>
      <c r="BD32" s="182">
        <f ca="1">IF($D32&lt;&gt;"Serviço",0,IF(OR(AND(AUTOEVENTO="Manual",$M32=1),$M32&gt;(ROW(PLE.lastrow)-ROW(PLE.firstrow))),0,IF(OFFSET(PLE!$G$14,$M32,BD$13)="",10^12,OFFSET(PLE!$G$14,$M32,BD$13))))</f>
        <v>1000000000000</v>
      </c>
      <c r="BE32" s="182">
        <f ca="1">IF($D32&lt;&gt;"Serviço",0,IF(OR(AND(AUTOEVENTO="Manual",$M32=1),$M32&gt;(ROW(PLE.lastrow)-ROW(PLE.firstrow))),0,IF(OFFSET(PLE!$G$14,$M32,BE$13)="",10^12,OFFSET(PLE!$G$14,$M32,BE$13))))</f>
        <v>1000000000000</v>
      </c>
      <c r="BF32" s="182">
        <f ca="1">IF($D32&lt;&gt;"Serviço",0,IF(OR(AND(AUTOEVENTO="Manual",$M32=1),$M32&gt;(ROW(PLE.lastrow)-ROW(PLE.firstrow))),0,IF(OFFSET(PLE!$G$14,$M32,BF$13)="",10^12,OFFSET(PLE!$G$14,$M32,BF$13))))</f>
        <v>1000000000000</v>
      </c>
      <c r="BG32" s="182">
        <f ca="1">IF($D32&lt;&gt;"Serviço",0,IF(OR(AND(AUTOEVENTO="Manual",$M32=1),$M32&gt;(ROW(PLE.lastrow)-ROW(PLE.firstrow))),0,IF(OFFSET(PLE!$G$14,$M32,BG$13)="",10^12,OFFSET(PLE!$G$14,$M32,BG$13))))</f>
        <v>1000000000000</v>
      </c>
    </row>
    <row r="33" spans="1:59" ht="25.5" x14ac:dyDescent="0.2">
      <c r="A33" s="7" t="str">
        <f t="shared" ca="1" si="8"/>
        <v>12</v>
      </c>
      <c r="B33" s="7" t="str">
        <f ca="1">OFFSET(ORÇAMENTO!C$15,ROW(B33)-ROW(B$15),0)</f>
        <v>S</v>
      </c>
      <c r="C33" s="7" t="str">
        <f ca="1">OFFSET(ORÇAMENTO!L$15,ROW(C33)-ROW(C$15),0)</f>
        <v/>
      </c>
      <c r="D33" s="118" t="str">
        <f ca="1">OFFSET(ORÇAMENTO!N$15,ROW(D33)-ROW(D$15),0)</f>
        <v>Serviço</v>
      </c>
      <c r="E33" s="119" t="str">
        <f ca="1">OFFSET(ORÇAMENTO!O$15,ROW(E33)-ROW(E$15),0)</f>
        <v>-</v>
      </c>
      <c r="F33" s="172" t="str">
        <f ca="1">OFFSET(ORÇAMENTO!R$15,ROW(F33)-ROW(F$15),0)</f>
        <v>(abra o arquivo 'Referência 02-2025.xlsm)</v>
      </c>
      <c r="G33" s="173" t="str">
        <f ca="1">IF($D33&lt;&gt;"Serviço","",OFFSET(ORÇAMENTO!S$15,ROW(G33)-ROW(G$15),0))</f>
        <v>-</v>
      </c>
      <c r="H33" s="124">
        <f ca="1">IF($D33&lt;&gt;"Serviço",0,IF(ACOMPANHAMENTO="BM",ROUND(OFFSET(ORÇAMENTO!AJ$15,ROW(H33)-ROW(H$15),0),15-13*ORÇAMENTO!$AF$7),SUMPRODUCT(($Q$12:$AA$12&lt;&gt;"")*ROUND($Q33:$AA33,15-13*ORÇAMENTO!$AF$7))))</f>
        <v>619.96</v>
      </c>
      <c r="I33" s="561" t="s">
        <v>890</v>
      </c>
      <c r="K33" s="174"/>
      <c r="L33" s="175" t="s">
        <v>255</v>
      </c>
      <c r="M33" s="176">
        <f ca="1">IF($D33&lt;&gt;"Serviço","",IF(AUTOEVENTO="manual",$A33,IF(ISERROR(MATCH($A33,$A$15:OFFSET($A33,-1,0),0)),MAX($M$15:OFFSET(M33,-1,0))+1,INDEX($M$15:OFFSET(M33,-1,0),MATCH($A33,$A$15:OFFSET($A33,-1,0),0)))))</f>
        <v>3</v>
      </c>
      <c r="N33" s="177" t="str">
        <f ca="1">IF($D33&lt;&gt;"Serviço","",IF(AUTOEVENTO="Manual",IF($A33=0,"&lt;-- defina o número do agrupador",OFFSET(EVENTOS!$D$14,$A33,0)),OFFSET($F$15,$A33,0)))</f>
        <v>MOVIMENTO DE TERRA PARA FUNDAÇÕES</v>
      </c>
      <c r="O33" s="178"/>
      <c r="Q33" s="178"/>
      <c r="R33" s="179"/>
      <c r="S33" s="179"/>
      <c r="T33" s="179"/>
      <c r="U33" s="179"/>
      <c r="V33" s="179"/>
      <c r="W33" s="179"/>
      <c r="X33" s="179"/>
      <c r="Y33" s="179"/>
      <c r="Z33" s="180"/>
      <c r="AB33" s="544">
        <f ca="1">IF(AND($D33="Serviço",AB$12&lt;&gt;0,$H33&gt;0,OR(AUTOEVENTO&lt;&gt;"manual",$M33&lt;&gt;1)),
IF(Import.TipoArredondamento&lt;&gt;"TransfereGOV",
ROUND(OFFSET($P33,0,AB$13),15-13*ORÇAMENTO!$AF$7)/$H33*OFFSET(ORÇAMENTO!$X$15,ROW(AB33)-ROW(AB$15),0),
ROUND(ROUND(OFFSET($P33,0,AB$13),15-13*ORÇAMENTO!$AF$7)*OFFSET(ORÇAMENTO!$W$15,ROW(AB33)-ROW(AB$15),0),15-13*ORÇAMENTO!$AF$11)),0)</f>
        <v>0</v>
      </c>
      <c r="AC33" s="545">
        <f ca="1">IF(AND($D33="Serviço",AC$12&lt;&gt;0,$H33&gt;0,OR(AUTOEVENTO&lt;&gt;"manual",$M33&lt;&gt;1)),
IF(Import.TipoArredondamento&lt;&gt;"TransfereGOV",
ROUND(OFFSET($P33,0,AC$13),15-13*ORÇAMENTO!$AF$7)/$H33*OFFSET(ORÇAMENTO!$X$15,ROW(AC33)-ROW(AC$15),0),
ROUND(ROUND(OFFSET($P33,0,AC$13),15-13*ORÇAMENTO!$AF$7)*OFFSET(ORÇAMENTO!$W$15,ROW(AC33)-ROW(AC$15),0),15-13*ORÇAMENTO!$AF$11)),0)</f>
        <v>0</v>
      </c>
      <c r="AD33" s="545">
        <f ca="1">IF(AND($D33="Serviço",AD$12&lt;&gt;0,$H33&gt;0,OR(AUTOEVENTO&lt;&gt;"manual",$M33&lt;&gt;1)),
IF(Import.TipoArredondamento&lt;&gt;"TransfereGOV",
ROUND(OFFSET($P33,0,AD$13),15-13*ORÇAMENTO!$AF$7)/$H33*OFFSET(ORÇAMENTO!$X$15,ROW(AD33)-ROW(AD$15),0),
ROUND(ROUND(OFFSET($P33,0,AD$13),15-13*ORÇAMENTO!$AF$7)*OFFSET(ORÇAMENTO!$W$15,ROW(AD33)-ROW(AD$15),0),15-13*ORÇAMENTO!$AF$11)),0)</f>
        <v>0</v>
      </c>
      <c r="AE33" s="545">
        <f ca="1">IF(AND($D33="Serviço",AE$12&lt;&gt;0,$H33&gt;0,OR(AUTOEVENTO&lt;&gt;"manual",$M33&lt;&gt;1)),
IF(Import.TipoArredondamento&lt;&gt;"TransfereGOV",
ROUND(OFFSET($P33,0,AE$13),15-13*ORÇAMENTO!$AF$7)/$H33*OFFSET(ORÇAMENTO!$X$15,ROW(AE33)-ROW(AE$15),0),
ROUND(ROUND(OFFSET($P33,0,AE$13),15-13*ORÇAMENTO!$AF$7)*OFFSET(ORÇAMENTO!$W$15,ROW(AE33)-ROW(AE$15),0),15-13*ORÇAMENTO!$AF$11)),0)</f>
        <v>0</v>
      </c>
      <c r="AF33" s="545">
        <f ca="1">IF(AND($D33="Serviço",AF$12&lt;&gt;0,$H33&gt;0,OR(AUTOEVENTO&lt;&gt;"manual",$M33&lt;&gt;1)),
IF(Import.TipoArredondamento&lt;&gt;"TransfereGOV",
ROUND(OFFSET($P33,0,AF$13),15-13*ORÇAMENTO!$AF$7)/$H33*OFFSET(ORÇAMENTO!$X$15,ROW(AF33)-ROW(AF$15),0),
ROUND(ROUND(OFFSET($P33,0,AF$13),15-13*ORÇAMENTO!$AF$7)*OFFSET(ORÇAMENTO!$W$15,ROW(AF33)-ROW(AF$15),0),15-13*ORÇAMENTO!$AF$11)),0)</f>
        <v>0</v>
      </c>
      <c r="AG33" s="545">
        <f ca="1">IF(AND($D33="Serviço",AG$12&lt;&gt;0,$H33&gt;0,OR(AUTOEVENTO&lt;&gt;"manual",$M33&lt;&gt;1)),
IF(Import.TipoArredondamento&lt;&gt;"TransfereGOV",
ROUND(OFFSET($P33,0,AG$13),15-13*ORÇAMENTO!$AF$7)/$H33*OFFSET(ORÇAMENTO!$X$15,ROW(AG33)-ROW(AG$15),0),
ROUND(ROUND(OFFSET($P33,0,AG$13),15-13*ORÇAMENTO!$AF$7)*OFFSET(ORÇAMENTO!$W$15,ROW(AG33)-ROW(AG$15),0),15-13*ORÇAMENTO!$AF$11)),0)</f>
        <v>0</v>
      </c>
      <c r="AH33" s="545">
        <f ca="1">IF(AND($D33="Serviço",AH$12&lt;&gt;0,$H33&gt;0,OR(AUTOEVENTO&lt;&gt;"manual",$M33&lt;&gt;1)),
IF(Import.TipoArredondamento&lt;&gt;"TransfereGOV",
ROUND(OFFSET($P33,0,AH$13),15-13*ORÇAMENTO!$AF$7)/$H33*OFFSET(ORÇAMENTO!$X$15,ROW(AH33)-ROW(AH$15),0),
ROUND(ROUND(OFFSET($P33,0,AH$13),15-13*ORÇAMENTO!$AF$7)*OFFSET(ORÇAMENTO!$W$15,ROW(AH33)-ROW(AH$15),0),15-13*ORÇAMENTO!$AF$11)),0)</f>
        <v>0</v>
      </c>
      <c r="AI33" s="545">
        <f ca="1">IF(AND($D33="Serviço",AI$12&lt;&gt;0,$H33&gt;0,OR(AUTOEVENTO&lt;&gt;"manual",$M33&lt;&gt;1)),
IF(Import.TipoArredondamento&lt;&gt;"TransfereGOV",
ROUND(OFFSET($P33,0,AI$13),15-13*ORÇAMENTO!$AF$7)/$H33*OFFSET(ORÇAMENTO!$X$15,ROW(AI33)-ROW(AI$15),0),
ROUND(ROUND(OFFSET($P33,0,AI$13),15-13*ORÇAMENTO!$AF$7)*OFFSET(ORÇAMENTO!$W$15,ROW(AI33)-ROW(AI$15),0),15-13*ORÇAMENTO!$AF$11)),0)</f>
        <v>0</v>
      </c>
      <c r="AJ33" s="545">
        <f ca="1">IF(AND($D33="Serviço",AJ$12&lt;&gt;0,$H33&gt;0,OR(AUTOEVENTO&lt;&gt;"manual",$M33&lt;&gt;1)),
IF(Import.TipoArredondamento&lt;&gt;"TransfereGOV",
ROUND(OFFSET($P33,0,AJ$13),15-13*ORÇAMENTO!$AF$7)/$H33*OFFSET(ORÇAMENTO!$X$15,ROW(AJ33)-ROW(AJ$15),0),
ROUND(ROUND(OFFSET($P33,0,AJ$13),15-13*ORÇAMENTO!$AF$7)*OFFSET(ORÇAMENTO!$W$15,ROW(AJ33)-ROW(AJ$15),0),15-13*ORÇAMENTO!$AF$11)),0)</f>
        <v>0</v>
      </c>
      <c r="AK33" s="546">
        <f ca="1">IF(AND($D33="Serviço",AK$12&lt;&gt;0,$H33&gt;0,OR(AUTOEVENTO&lt;&gt;"manual",$M33&lt;&gt;1)),
IF(Import.TipoArredondamento&lt;&gt;"TransfereGOV",
ROUND(OFFSET($P33,0,AK$13),15-13*ORÇAMENTO!$AF$7)/$H33*OFFSET(ORÇAMENTO!$X$15,ROW(AK33)-ROW(AK$15),0),
ROUND(ROUND(OFFSET($P33,0,AK$13),15-13*ORÇAMENTO!$AF$7)*OFFSET(ORÇAMENTO!$W$15,ROW(AK33)-ROW(AK$15),0),15-13*ORÇAMENTO!$AF$11)),0)</f>
        <v>0</v>
      </c>
      <c r="AM33" s="181">
        <f ca="1">IF($D33&lt;&gt;"Serviço",0,IF(AND(AUTOEVENTO="Manual",$M33=1),0,IF(OFFSET(CRONOPLE!$F$14,$M33,AM$13)="",10^12,OFFSET(CRONOPLE!$F$14,$M33,AM$13))))</f>
        <v>1000000000000</v>
      </c>
      <c r="AN33" s="181">
        <f ca="1">IF($D33&lt;&gt;"Serviço",0,IF(AND(AUTOEVENTO="Manual",$M33=1),0,IF(OFFSET(CRONOPLE!$F$14,$M33,AN$13)="",10^12,OFFSET(CRONOPLE!$F$14,$M33,AN$13))))</f>
        <v>1000000000000</v>
      </c>
      <c r="AO33" s="181">
        <f ca="1">IF($D33&lt;&gt;"Serviço",0,IF(AND(AUTOEVENTO="Manual",$M33=1),0,IF(OFFSET(CRONOPLE!$F$14,$M33,AO$13)="",10^12,OFFSET(CRONOPLE!$F$14,$M33,AO$13))))</f>
        <v>1000000000000</v>
      </c>
      <c r="AP33" s="181">
        <f ca="1">IF($D33&lt;&gt;"Serviço",0,IF(AND(AUTOEVENTO="Manual",$M33=1),0,IF(OFFSET(CRONOPLE!$F$14,$M33,AP$13)="",10^12,OFFSET(CRONOPLE!$F$14,$M33,AP$13))))</f>
        <v>1000000000000</v>
      </c>
      <c r="AQ33" s="181">
        <f ca="1">IF($D33&lt;&gt;"Serviço",0,IF(AND(AUTOEVENTO="Manual",$M33=1),0,IF(OFFSET(CRONOPLE!$F$14,$M33,AQ$13)="",10^12,OFFSET(CRONOPLE!$F$14,$M33,AQ$13))))</f>
        <v>1000000000000</v>
      </c>
      <c r="AR33" s="181">
        <f ca="1">IF($D33&lt;&gt;"Serviço",0,IF(AND(AUTOEVENTO="Manual",$M33=1),0,IF(OFFSET(CRONOPLE!$F$14,$M33,AR$13)="",10^12,OFFSET(CRONOPLE!$F$14,$M33,AR$13))))</f>
        <v>1000000000000</v>
      </c>
      <c r="AS33" s="181">
        <f ca="1">IF($D33&lt;&gt;"Serviço",0,IF(AND(AUTOEVENTO="Manual",$M33=1),0,IF(OFFSET(CRONOPLE!$F$14,$M33,AS$13)="",10^12,OFFSET(CRONOPLE!$F$14,$M33,AS$13))))</f>
        <v>1000000000000</v>
      </c>
      <c r="AT33" s="181">
        <f ca="1">IF($D33&lt;&gt;"Serviço",0,IF(AND(AUTOEVENTO="Manual",$M33=1),0,IF(OFFSET(CRONOPLE!$F$14,$M33,AT$13)="",10^12,OFFSET(CRONOPLE!$F$14,$M33,AT$13))))</f>
        <v>1000000000000</v>
      </c>
      <c r="AU33" s="181">
        <f ca="1">IF($D33&lt;&gt;"Serviço",0,IF(AND(AUTOEVENTO="Manual",$M33=1),0,IF(OFFSET(CRONOPLE!$F$14,$M33,AU$13)="",10^12,OFFSET(CRONOPLE!$F$14,$M33,AU$13))))</f>
        <v>1000000000000</v>
      </c>
      <c r="AV33" s="181">
        <f ca="1">IF($D33&lt;&gt;"Serviço",0,IF(AND(AUTOEVENTO="Manual",$M33=1),0,IF(OFFSET(CRONOPLE!$F$14,$M33,AV$13)="",10^12,OFFSET(CRONOPLE!$F$14,$M33,AV$13))))</f>
        <v>1000000000000</v>
      </c>
      <c r="AX33" s="182">
        <f ca="1">IF($D33&lt;&gt;"Serviço",0,IF(OR(AND(AUTOEVENTO="Manual",$M33=1),$M33&gt;(ROW(PLE.lastrow)-ROW(PLE.firstrow))),0,IF(OFFSET(PLE!$G$14,$M33,AX$13)="",10^12,OFFSET(PLE!$G$14,$M33,AX$13))))</f>
        <v>1000000000000</v>
      </c>
      <c r="AY33" s="182">
        <f ca="1">IF($D33&lt;&gt;"Serviço",0,IF(OR(AND(AUTOEVENTO="Manual",$M33=1),$M33&gt;(ROW(PLE.lastrow)-ROW(PLE.firstrow))),0,IF(OFFSET(PLE!$G$14,$M33,AY$13)="",10^12,OFFSET(PLE!$G$14,$M33,AY$13))))</f>
        <v>1000000000000</v>
      </c>
      <c r="AZ33" s="182">
        <f ca="1">IF($D33&lt;&gt;"Serviço",0,IF(OR(AND(AUTOEVENTO="Manual",$M33=1),$M33&gt;(ROW(PLE.lastrow)-ROW(PLE.firstrow))),0,IF(OFFSET(PLE!$G$14,$M33,AZ$13)="",10^12,OFFSET(PLE!$G$14,$M33,AZ$13))))</f>
        <v>1000000000000</v>
      </c>
      <c r="BA33" s="182">
        <f ca="1">IF($D33&lt;&gt;"Serviço",0,IF(OR(AND(AUTOEVENTO="Manual",$M33=1),$M33&gt;(ROW(PLE.lastrow)-ROW(PLE.firstrow))),0,IF(OFFSET(PLE!$G$14,$M33,BA$13)="",10^12,OFFSET(PLE!$G$14,$M33,BA$13))))</f>
        <v>1000000000000</v>
      </c>
      <c r="BB33" s="182">
        <f ca="1">IF($D33&lt;&gt;"Serviço",0,IF(OR(AND(AUTOEVENTO="Manual",$M33=1),$M33&gt;(ROW(PLE.lastrow)-ROW(PLE.firstrow))),0,IF(OFFSET(PLE!$G$14,$M33,BB$13)="",10^12,OFFSET(PLE!$G$14,$M33,BB$13))))</f>
        <v>1000000000000</v>
      </c>
      <c r="BC33" s="182">
        <f ca="1">IF($D33&lt;&gt;"Serviço",0,IF(OR(AND(AUTOEVENTO="Manual",$M33=1),$M33&gt;(ROW(PLE.lastrow)-ROW(PLE.firstrow))),0,IF(OFFSET(PLE!$G$14,$M33,BC$13)="",10^12,OFFSET(PLE!$G$14,$M33,BC$13))))</f>
        <v>1000000000000</v>
      </c>
      <c r="BD33" s="182">
        <f ca="1">IF($D33&lt;&gt;"Serviço",0,IF(OR(AND(AUTOEVENTO="Manual",$M33=1),$M33&gt;(ROW(PLE.lastrow)-ROW(PLE.firstrow))),0,IF(OFFSET(PLE!$G$14,$M33,BD$13)="",10^12,OFFSET(PLE!$G$14,$M33,BD$13))))</f>
        <v>1000000000000</v>
      </c>
      <c r="BE33" s="182">
        <f ca="1">IF($D33&lt;&gt;"Serviço",0,IF(OR(AND(AUTOEVENTO="Manual",$M33=1),$M33&gt;(ROW(PLE.lastrow)-ROW(PLE.firstrow))),0,IF(OFFSET(PLE!$G$14,$M33,BE$13)="",10^12,OFFSET(PLE!$G$14,$M33,BE$13))))</f>
        <v>1000000000000</v>
      </c>
      <c r="BF33" s="182">
        <f ca="1">IF($D33&lt;&gt;"Serviço",0,IF(OR(AND(AUTOEVENTO="Manual",$M33=1),$M33&gt;(ROW(PLE.lastrow)-ROW(PLE.firstrow))),0,IF(OFFSET(PLE!$G$14,$M33,BF$13)="",10^12,OFFSET(PLE!$G$14,$M33,BF$13))))</f>
        <v>1000000000000</v>
      </c>
      <c r="BG33" s="182">
        <f ca="1">IF($D33&lt;&gt;"Serviço",0,IF(OR(AND(AUTOEVENTO="Manual",$M33=1),$M33&gt;(ROW(PLE.lastrow)-ROW(PLE.firstrow))),0,IF(OFFSET(PLE!$G$14,$M33,BG$13)="",10^12,OFFSET(PLE!$G$14,$M33,BG$13))))</f>
        <v>1000000000000</v>
      </c>
    </row>
    <row r="34" spans="1:59" ht="25.5" x14ac:dyDescent="0.2">
      <c r="A34" s="7" t="str">
        <f t="shared" ca="1" si="8"/>
        <v>12</v>
      </c>
      <c r="B34" s="7" t="str">
        <f ca="1">OFFSET(ORÇAMENTO!C$15,ROW(B34)-ROW(B$15),0)</f>
        <v>S</v>
      </c>
      <c r="C34" s="7" t="str">
        <f ca="1">OFFSET(ORÇAMENTO!L$15,ROW(C34)-ROW(C$15),0)</f>
        <v/>
      </c>
      <c r="D34" s="118" t="str">
        <f ca="1">OFFSET(ORÇAMENTO!N$15,ROW(D34)-ROW(D$15),0)</f>
        <v>Serviço</v>
      </c>
      <c r="E34" s="119" t="str">
        <f ca="1">OFFSET(ORÇAMENTO!O$15,ROW(E34)-ROW(E$15),0)</f>
        <v>-</v>
      </c>
      <c r="F34" s="172" t="str">
        <f ca="1">OFFSET(ORÇAMENTO!R$15,ROW(F34)-ROW(F$15),0)</f>
        <v>(abra o arquivo 'Referência 02-2025.xlsm)</v>
      </c>
      <c r="G34" s="173" t="str">
        <f ca="1">IF($D34&lt;&gt;"Serviço","",OFFSET(ORÇAMENTO!S$15,ROW(G34)-ROW(G$15),0))</f>
        <v>-</v>
      </c>
      <c r="H34" s="124">
        <f ca="1">IF($D34&lt;&gt;"Serviço",0,IF(ACOMPANHAMENTO="BM",ROUND(OFFSET(ORÇAMENTO!AJ$15,ROW(H34)-ROW(H$15),0),15-13*ORÇAMENTO!$AF$7),SUMPRODUCT(($Q$12:$AA$12&lt;&gt;"")*ROUND($Q34:$AA34,15-13*ORÇAMENTO!$AF$7))))</f>
        <v>247.36</v>
      </c>
      <c r="I34" s="561" t="s">
        <v>890</v>
      </c>
      <c r="K34" s="174"/>
      <c r="L34" s="175" t="s">
        <v>255</v>
      </c>
      <c r="M34" s="176">
        <f ca="1">IF($D34&lt;&gt;"Serviço","",IF(AUTOEVENTO="manual",$A34,IF(ISERROR(MATCH($A34,$A$15:OFFSET($A34,-1,0),0)),MAX($M$15:OFFSET(M34,-1,0))+1,INDEX($M$15:OFFSET(M34,-1,0),MATCH($A34,$A$15:OFFSET($A34,-1,0),0)))))</f>
        <v>3</v>
      </c>
      <c r="N34" s="177" t="str">
        <f ca="1">IF($D34&lt;&gt;"Serviço","",IF(AUTOEVENTO="Manual",IF($A34=0,"&lt;-- defina o número do agrupador",OFFSET(EVENTOS!$D$14,$A34,0)),OFFSET($F$15,$A34,0)))</f>
        <v>MOVIMENTO DE TERRA PARA FUNDAÇÕES</v>
      </c>
      <c r="O34" s="178"/>
      <c r="Q34" s="178"/>
      <c r="R34" s="179"/>
      <c r="S34" s="179"/>
      <c r="T34" s="179"/>
      <c r="U34" s="179"/>
      <c r="V34" s="179"/>
      <c r="W34" s="179"/>
      <c r="X34" s="179"/>
      <c r="Y34" s="179"/>
      <c r="Z34" s="180"/>
      <c r="AB34" s="544">
        <f ca="1">IF(AND($D34="Serviço",AB$12&lt;&gt;0,$H34&gt;0,OR(AUTOEVENTO&lt;&gt;"manual",$M34&lt;&gt;1)),
IF(Import.TipoArredondamento&lt;&gt;"TransfereGOV",
ROUND(OFFSET($P34,0,AB$13),15-13*ORÇAMENTO!$AF$7)/$H34*OFFSET(ORÇAMENTO!$X$15,ROW(AB34)-ROW(AB$15),0),
ROUND(ROUND(OFFSET($P34,0,AB$13),15-13*ORÇAMENTO!$AF$7)*OFFSET(ORÇAMENTO!$W$15,ROW(AB34)-ROW(AB$15),0),15-13*ORÇAMENTO!$AF$11)),0)</f>
        <v>0</v>
      </c>
      <c r="AC34" s="545">
        <f ca="1">IF(AND($D34="Serviço",AC$12&lt;&gt;0,$H34&gt;0,OR(AUTOEVENTO&lt;&gt;"manual",$M34&lt;&gt;1)),
IF(Import.TipoArredondamento&lt;&gt;"TransfereGOV",
ROUND(OFFSET($P34,0,AC$13),15-13*ORÇAMENTO!$AF$7)/$H34*OFFSET(ORÇAMENTO!$X$15,ROW(AC34)-ROW(AC$15),0),
ROUND(ROUND(OFFSET($P34,0,AC$13),15-13*ORÇAMENTO!$AF$7)*OFFSET(ORÇAMENTO!$W$15,ROW(AC34)-ROW(AC$15),0),15-13*ORÇAMENTO!$AF$11)),0)</f>
        <v>0</v>
      </c>
      <c r="AD34" s="545">
        <f ca="1">IF(AND($D34="Serviço",AD$12&lt;&gt;0,$H34&gt;0,OR(AUTOEVENTO&lt;&gt;"manual",$M34&lt;&gt;1)),
IF(Import.TipoArredondamento&lt;&gt;"TransfereGOV",
ROUND(OFFSET($P34,0,AD$13),15-13*ORÇAMENTO!$AF$7)/$H34*OFFSET(ORÇAMENTO!$X$15,ROW(AD34)-ROW(AD$15),0),
ROUND(ROUND(OFFSET($P34,0,AD$13),15-13*ORÇAMENTO!$AF$7)*OFFSET(ORÇAMENTO!$W$15,ROW(AD34)-ROW(AD$15),0),15-13*ORÇAMENTO!$AF$11)),0)</f>
        <v>0</v>
      </c>
      <c r="AE34" s="545">
        <f ca="1">IF(AND($D34="Serviço",AE$12&lt;&gt;0,$H34&gt;0,OR(AUTOEVENTO&lt;&gt;"manual",$M34&lt;&gt;1)),
IF(Import.TipoArredondamento&lt;&gt;"TransfereGOV",
ROUND(OFFSET($P34,0,AE$13),15-13*ORÇAMENTO!$AF$7)/$H34*OFFSET(ORÇAMENTO!$X$15,ROW(AE34)-ROW(AE$15),0),
ROUND(ROUND(OFFSET($P34,0,AE$13),15-13*ORÇAMENTO!$AF$7)*OFFSET(ORÇAMENTO!$W$15,ROW(AE34)-ROW(AE$15),0),15-13*ORÇAMENTO!$AF$11)),0)</f>
        <v>0</v>
      </c>
      <c r="AF34" s="545">
        <f ca="1">IF(AND($D34="Serviço",AF$12&lt;&gt;0,$H34&gt;0,OR(AUTOEVENTO&lt;&gt;"manual",$M34&lt;&gt;1)),
IF(Import.TipoArredondamento&lt;&gt;"TransfereGOV",
ROUND(OFFSET($P34,0,AF$13),15-13*ORÇAMENTO!$AF$7)/$H34*OFFSET(ORÇAMENTO!$X$15,ROW(AF34)-ROW(AF$15),0),
ROUND(ROUND(OFFSET($P34,0,AF$13),15-13*ORÇAMENTO!$AF$7)*OFFSET(ORÇAMENTO!$W$15,ROW(AF34)-ROW(AF$15),0),15-13*ORÇAMENTO!$AF$11)),0)</f>
        <v>0</v>
      </c>
      <c r="AG34" s="545">
        <f ca="1">IF(AND($D34="Serviço",AG$12&lt;&gt;0,$H34&gt;0,OR(AUTOEVENTO&lt;&gt;"manual",$M34&lt;&gt;1)),
IF(Import.TipoArredondamento&lt;&gt;"TransfereGOV",
ROUND(OFFSET($P34,0,AG$13),15-13*ORÇAMENTO!$AF$7)/$H34*OFFSET(ORÇAMENTO!$X$15,ROW(AG34)-ROW(AG$15),0),
ROUND(ROUND(OFFSET($P34,0,AG$13),15-13*ORÇAMENTO!$AF$7)*OFFSET(ORÇAMENTO!$W$15,ROW(AG34)-ROW(AG$15),0),15-13*ORÇAMENTO!$AF$11)),0)</f>
        <v>0</v>
      </c>
      <c r="AH34" s="545">
        <f ca="1">IF(AND($D34="Serviço",AH$12&lt;&gt;0,$H34&gt;0,OR(AUTOEVENTO&lt;&gt;"manual",$M34&lt;&gt;1)),
IF(Import.TipoArredondamento&lt;&gt;"TransfereGOV",
ROUND(OFFSET($P34,0,AH$13),15-13*ORÇAMENTO!$AF$7)/$H34*OFFSET(ORÇAMENTO!$X$15,ROW(AH34)-ROW(AH$15),0),
ROUND(ROUND(OFFSET($P34,0,AH$13),15-13*ORÇAMENTO!$AF$7)*OFFSET(ORÇAMENTO!$W$15,ROW(AH34)-ROW(AH$15),0),15-13*ORÇAMENTO!$AF$11)),0)</f>
        <v>0</v>
      </c>
      <c r="AI34" s="545">
        <f ca="1">IF(AND($D34="Serviço",AI$12&lt;&gt;0,$H34&gt;0,OR(AUTOEVENTO&lt;&gt;"manual",$M34&lt;&gt;1)),
IF(Import.TipoArredondamento&lt;&gt;"TransfereGOV",
ROUND(OFFSET($P34,0,AI$13),15-13*ORÇAMENTO!$AF$7)/$H34*OFFSET(ORÇAMENTO!$X$15,ROW(AI34)-ROW(AI$15),0),
ROUND(ROUND(OFFSET($P34,0,AI$13),15-13*ORÇAMENTO!$AF$7)*OFFSET(ORÇAMENTO!$W$15,ROW(AI34)-ROW(AI$15),0),15-13*ORÇAMENTO!$AF$11)),0)</f>
        <v>0</v>
      </c>
      <c r="AJ34" s="545">
        <f ca="1">IF(AND($D34="Serviço",AJ$12&lt;&gt;0,$H34&gt;0,OR(AUTOEVENTO&lt;&gt;"manual",$M34&lt;&gt;1)),
IF(Import.TipoArredondamento&lt;&gt;"TransfereGOV",
ROUND(OFFSET($P34,0,AJ$13),15-13*ORÇAMENTO!$AF$7)/$H34*OFFSET(ORÇAMENTO!$X$15,ROW(AJ34)-ROW(AJ$15),0),
ROUND(ROUND(OFFSET($P34,0,AJ$13),15-13*ORÇAMENTO!$AF$7)*OFFSET(ORÇAMENTO!$W$15,ROW(AJ34)-ROW(AJ$15),0),15-13*ORÇAMENTO!$AF$11)),0)</f>
        <v>0</v>
      </c>
      <c r="AK34" s="546">
        <f ca="1">IF(AND($D34="Serviço",AK$12&lt;&gt;0,$H34&gt;0,OR(AUTOEVENTO&lt;&gt;"manual",$M34&lt;&gt;1)),
IF(Import.TipoArredondamento&lt;&gt;"TransfereGOV",
ROUND(OFFSET($P34,0,AK$13),15-13*ORÇAMENTO!$AF$7)/$H34*OFFSET(ORÇAMENTO!$X$15,ROW(AK34)-ROW(AK$15),0),
ROUND(ROUND(OFFSET($P34,0,AK$13),15-13*ORÇAMENTO!$AF$7)*OFFSET(ORÇAMENTO!$W$15,ROW(AK34)-ROW(AK$15),0),15-13*ORÇAMENTO!$AF$11)),0)</f>
        <v>0</v>
      </c>
      <c r="AM34" s="181">
        <f ca="1">IF($D34&lt;&gt;"Serviço",0,IF(AND(AUTOEVENTO="Manual",$M34=1),0,IF(OFFSET(CRONOPLE!$F$14,$M34,AM$13)="",10^12,OFFSET(CRONOPLE!$F$14,$M34,AM$13))))</f>
        <v>1000000000000</v>
      </c>
      <c r="AN34" s="181">
        <f ca="1">IF($D34&lt;&gt;"Serviço",0,IF(AND(AUTOEVENTO="Manual",$M34=1),0,IF(OFFSET(CRONOPLE!$F$14,$M34,AN$13)="",10^12,OFFSET(CRONOPLE!$F$14,$M34,AN$13))))</f>
        <v>1000000000000</v>
      </c>
      <c r="AO34" s="181">
        <f ca="1">IF($D34&lt;&gt;"Serviço",0,IF(AND(AUTOEVENTO="Manual",$M34=1),0,IF(OFFSET(CRONOPLE!$F$14,$M34,AO$13)="",10^12,OFFSET(CRONOPLE!$F$14,$M34,AO$13))))</f>
        <v>1000000000000</v>
      </c>
      <c r="AP34" s="181">
        <f ca="1">IF($D34&lt;&gt;"Serviço",0,IF(AND(AUTOEVENTO="Manual",$M34=1),0,IF(OFFSET(CRONOPLE!$F$14,$M34,AP$13)="",10^12,OFFSET(CRONOPLE!$F$14,$M34,AP$13))))</f>
        <v>1000000000000</v>
      </c>
      <c r="AQ34" s="181">
        <f ca="1">IF($D34&lt;&gt;"Serviço",0,IF(AND(AUTOEVENTO="Manual",$M34=1),0,IF(OFFSET(CRONOPLE!$F$14,$M34,AQ$13)="",10^12,OFFSET(CRONOPLE!$F$14,$M34,AQ$13))))</f>
        <v>1000000000000</v>
      </c>
      <c r="AR34" s="181">
        <f ca="1">IF($D34&lt;&gt;"Serviço",0,IF(AND(AUTOEVENTO="Manual",$M34=1),0,IF(OFFSET(CRONOPLE!$F$14,$M34,AR$13)="",10^12,OFFSET(CRONOPLE!$F$14,$M34,AR$13))))</f>
        <v>1000000000000</v>
      </c>
      <c r="AS34" s="181">
        <f ca="1">IF($D34&lt;&gt;"Serviço",0,IF(AND(AUTOEVENTO="Manual",$M34=1),0,IF(OFFSET(CRONOPLE!$F$14,$M34,AS$13)="",10^12,OFFSET(CRONOPLE!$F$14,$M34,AS$13))))</f>
        <v>1000000000000</v>
      </c>
      <c r="AT34" s="181">
        <f ca="1">IF($D34&lt;&gt;"Serviço",0,IF(AND(AUTOEVENTO="Manual",$M34=1),0,IF(OFFSET(CRONOPLE!$F$14,$M34,AT$13)="",10^12,OFFSET(CRONOPLE!$F$14,$M34,AT$13))))</f>
        <v>1000000000000</v>
      </c>
      <c r="AU34" s="181">
        <f ca="1">IF($D34&lt;&gt;"Serviço",0,IF(AND(AUTOEVENTO="Manual",$M34=1),0,IF(OFFSET(CRONOPLE!$F$14,$M34,AU$13)="",10^12,OFFSET(CRONOPLE!$F$14,$M34,AU$13))))</f>
        <v>1000000000000</v>
      </c>
      <c r="AV34" s="181">
        <f ca="1">IF($D34&lt;&gt;"Serviço",0,IF(AND(AUTOEVENTO="Manual",$M34=1),0,IF(OFFSET(CRONOPLE!$F$14,$M34,AV$13)="",10^12,OFFSET(CRONOPLE!$F$14,$M34,AV$13))))</f>
        <v>1000000000000</v>
      </c>
      <c r="AX34" s="182">
        <f ca="1">IF($D34&lt;&gt;"Serviço",0,IF(OR(AND(AUTOEVENTO="Manual",$M34=1),$M34&gt;(ROW(PLE.lastrow)-ROW(PLE.firstrow))),0,IF(OFFSET(PLE!$G$14,$M34,AX$13)="",10^12,OFFSET(PLE!$G$14,$M34,AX$13))))</f>
        <v>1000000000000</v>
      </c>
      <c r="AY34" s="182">
        <f ca="1">IF($D34&lt;&gt;"Serviço",0,IF(OR(AND(AUTOEVENTO="Manual",$M34=1),$M34&gt;(ROW(PLE.lastrow)-ROW(PLE.firstrow))),0,IF(OFFSET(PLE!$G$14,$M34,AY$13)="",10^12,OFFSET(PLE!$G$14,$M34,AY$13))))</f>
        <v>1000000000000</v>
      </c>
      <c r="AZ34" s="182">
        <f ca="1">IF($D34&lt;&gt;"Serviço",0,IF(OR(AND(AUTOEVENTO="Manual",$M34=1),$M34&gt;(ROW(PLE.lastrow)-ROW(PLE.firstrow))),0,IF(OFFSET(PLE!$G$14,$M34,AZ$13)="",10^12,OFFSET(PLE!$G$14,$M34,AZ$13))))</f>
        <v>1000000000000</v>
      </c>
      <c r="BA34" s="182">
        <f ca="1">IF($D34&lt;&gt;"Serviço",0,IF(OR(AND(AUTOEVENTO="Manual",$M34=1),$M34&gt;(ROW(PLE.lastrow)-ROW(PLE.firstrow))),0,IF(OFFSET(PLE!$G$14,$M34,BA$13)="",10^12,OFFSET(PLE!$G$14,$M34,BA$13))))</f>
        <v>1000000000000</v>
      </c>
      <c r="BB34" s="182">
        <f ca="1">IF($D34&lt;&gt;"Serviço",0,IF(OR(AND(AUTOEVENTO="Manual",$M34=1),$M34&gt;(ROW(PLE.lastrow)-ROW(PLE.firstrow))),0,IF(OFFSET(PLE!$G$14,$M34,BB$13)="",10^12,OFFSET(PLE!$G$14,$M34,BB$13))))</f>
        <v>1000000000000</v>
      </c>
      <c r="BC34" s="182">
        <f ca="1">IF($D34&lt;&gt;"Serviço",0,IF(OR(AND(AUTOEVENTO="Manual",$M34=1),$M34&gt;(ROW(PLE.lastrow)-ROW(PLE.firstrow))),0,IF(OFFSET(PLE!$G$14,$M34,BC$13)="",10^12,OFFSET(PLE!$G$14,$M34,BC$13))))</f>
        <v>1000000000000</v>
      </c>
      <c r="BD34" s="182">
        <f ca="1">IF($D34&lt;&gt;"Serviço",0,IF(OR(AND(AUTOEVENTO="Manual",$M34=1),$M34&gt;(ROW(PLE.lastrow)-ROW(PLE.firstrow))),0,IF(OFFSET(PLE!$G$14,$M34,BD$13)="",10^12,OFFSET(PLE!$G$14,$M34,BD$13))))</f>
        <v>1000000000000</v>
      </c>
      <c r="BE34" s="182">
        <f ca="1">IF($D34&lt;&gt;"Serviço",0,IF(OR(AND(AUTOEVENTO="Manual",$M34=1),$M34&gt;(ROW(PLE.lastrow)-ROW(PLE.firstrow))),0,IF(OFFSET(PLE!$G$14,$M34,BE$13)="",10^12,OFFSET(PLE!$G$14,$M34,BE$13))))</f>
        <v>1000000000000</v>
      </c>
      <c r="BF34" s="182">
        <f ca="1">IF($D34&lt;&gt;"Serviço",0,IF(OR(AND(AUTOEVENTO="Manual",$M34=1),$M34&gt;(ROW(PLE.lastrow)-ROW(PLE.firstrow))),0,IF(OFFSET(PLE!$G$14,$M34,BF$13)="",10^12,OFFSET(PLE!$G$14,$M34,BF$13))))</f>
        <v>1000000000000</v>
      </c>
      <c r="BG34" s="182">
        <f ca="1">IF($D34&lt;&gt;"Serviço",0,IF(OR(AND(AUTOEVENTO="Manual",$M34=1),$M34&gt;(ROW(PLE.lastrow)-ROW(PLE.firstrow))),0,IF(OFFSET(PLE!$G$14,$M34,BG$13)="",10^12,OFFSET(PLE!$G$14,$M34,BG$13))))</f>
        <v>1000000000000</v>
      </c>
    </row>
    <row r="35" spans="1:59" ht="12.75" x14ac:dyDescent="0.2">
      <c r="A35" s="7" t="str">
        <f t="shared" ca="1" si="8"/>
        <v>20.</v>
      </c>
      <c r="B35" s="7">
        <f ca="1">OFFSET(ORÇAMENTO!C$15,ROW(B35)-ROW(B$15),0)</f>
        <v>2</v>
      </c>
      <c r="C35" s="7" t="str">
        <f ca="1">OFFSET(ORÇAMENTO!L$15,ROW(C35)-ROW(C$15),0)</f>
        <v>F</v>
      </c>
      <c r="D35" s="118" t="str">
        <f ca="1">OFFSET(ORÇAMENTO!N$15,ROW(D35)-ROW(D$15),0)</f>
        <v>Nível 2</v>
      </c>
      <c r="E35" s="119" t="str">
        <f ca="1">OFFSET(ORÇAMENTO!O$15,ROW(E35)-ROW(E$15),0)</f>
        <v>1.3.</v>
      </c>
      <c r="F35" s="172" t="str">
        <f ca="1">OFFSET(ORÇAMENTO!R$15,ROW(F35)-ROW(F$15),0)</f>
        <v>FUNDAÇÕES</v>
      </c>
      <c r="G35" s="173" t="str">
        <f ca="1">IF($D35&lt;&gt;"Serviço","",OFFSET(ORÇAMENTO!S$15,ROW(G35)-ROW(G$15),0))</f>
        <v/>
      </c>
      <c r="H35" s="124">
        <f ca="1">IF($D35&lt;&gt;"Serviço",0,IF(ACOMPANHAMENTO="BM",ROUND(OFFSET(ORÇAMENTO!AJ$15,ROW(H35)-ROW(H$15),0),15-13*ORÇAMENTO!$AF$7),SUMPRODUCT(($Q$12:$AA$12&lt;&gt;"")*ROUND($Q35:$AA35,15-13*ORÇAMENTO!$AF$7))))</f>
        <v>0</v>
      </c>
      <c r="I35" s="561"/>
      <c r="K35" s="174"/>
      <c r="L35" s="175" t="s">
        <v>255</v>
      </c>
      <c r="M35" s="176" t="str">
        <f ca="1">IF($D35&lt;&gt;"Serviço","",IF(AUTOEVENTO="manual",$A35,IF(ISERROR(MATCH($A35,$A$15:OFFSET($A35,-1,0),0)),MAX($M$15:OFFSET(M35,-1,0))+1,INDEX($M$15:OFFSET(M35,-1,0),MATCH($A35,$A$15:OFFSET($A35,-1,0),0)))))</f>
        <v/>
      </c>
      <c r="N35" s="177" t="str">
        <f ca="1">IF($D35&lt;&gt;"Serviço","",IF(AUTOEVENTO="Manual",IF($A35=0,"&lt;-- defina o número do agrupador",OFFSET(EVENTOS!$D$14,$A35,0)),OFFSET($F$15,$A35,0)))</f>
        <v/>
      </c>
      <c r="O35" s="178"/>
      <c r="Q35" s="178"/>
      <c r="R35" s="179"/>
      <c r="S35" s="179"/>
      <c r="T35" s="179"/>
      <c r="U35" s="179"/>
      <c r="V35" s="179"/>
      <c r="W35" s="179"/>
      <c r="X35" s="179"/>
      <c r="Y35" s="179"/>
      <c r="Z35" s="180"/>
      <c r="AB35" s="544">
        <f ca="1">IF(AND($D35="Serviço",AB$12&lt;&gt;0,$H35&gt;0,OR(AUTOEVENTO&lt;&gt;"manual",$M35&lt;&gt;1)),
IF(Import.TipoArredondamento&lt;&gt;"TransfereGOV",
ROUND(OFFSET($P35,0,AB$13),15-13*ORÇAMENTO!$AF$7)/$H35*OFFSET(ORÇAMENTO!$X$15,ROW(AB35)-ROW(AB$15),0),
ROUND(ROUND(OFFSET($P35,0,AB$13),15-13*ORÇAMENTO!$AF$7)*OFFSET(ORÇAMENTO!$W$15,ROW(AB35)-ROW(AB$15),0),15-13*ORÇAMENTO!$AF$11)),0)</f>
        <v>0</v>
      </c>
      <c r="AC35" s="545">
        <f ca="1">IF(AND($D35="Serviço",AC$12&lt;&gt;0,$H35&gt;0,OR(AUTOEVENTO&lt;&gt;"manual",$M35&lt;&gt;1)),
IF(Import.TipoArredondamento&lt;&gt;"TransfereGOV",
ROUND(OFFSET($P35,0,AC$13),15-13*ORÇAMENTO!$AF$7)/$H35*OFFSET(ORÇAMENTO!$X$15,ROW(AC35)-ROW(AC$15),0),
ROUND(ROUND(OFFSET($P35,0,AC$13),15-13*ORÇAMENTO!$AF$7)*OFFSET(ORÇAMENTO!$W$15,ROW(AC35)-ROW(AC$15),0),15-13*ORÇAMENTO!$AF$11)),0)</f>
        <v>0</v>
      </c>
      <c r="AD35" s="545">
        <f ca="1">IF(AND($D35="Serviço",AD$12&lt;&gt;0,$H35&gt;0,OR(AUTOEVENTO&lt;&gt;"manual",$M35&lt;&gt;1)),
IF(Import.TipoArredondamento&lt;&gt;"TransfereGOV",
ROUND(OFFSET($P35,0,AD$13),15-13*ORÇAMENTO!$AF$7)/$H35*OFFSET(ORÇAMENTO!$X$15,ROW(AD35)-ROW(AD$15),0),
ROUND(ROUND(OFFSET($P35,0,AD$13),15-13*ORÇAMENTO!$AF$7)*OFFSET(ORÇAMENTO!$W$15,ROW(AD35)-ROW(AD$15),0),15-13*ORÇAMENTO!$AF$11)),0)</f>
        <v>0</v>
      </c>
      <c r="AE35" s="545">
        <f ca="1">IF(AND($D35="Serviço",AE$12&lt;&gt;0,$H35&gt;0,OR(AUTOEVENTO&lt;&gt;"manual",$M35&lt;&gt;1)),
IF(Import.TipoArredondamento&lt;&gt;"TransfereGOV",
ROUND(OFFSET($P35,0,AE$13),15-13*ORÇAMENTO!$AF$7)/$H35*OFFSET(ORÇAMENTO!$X$15,ROW(AE35)-ROW(AE$15),0),
ROUND(ROUND(OFFSET($P35,0,AE$13),15-13*ORÇAMENTO!$AF$7)*OFFSET(ORÇAMENTO!$W$15,ROW(AE35)-ROW(AE$15),0),15-13*ORÇAMENTO!$AF$11)),0)</f>
        <v>0</v>
      </c>
      <c r="AF35" s="545">
        <f ca="1">IF(AND($D35="Serviço",AF$12&lt;&gt;0,$H35&gt;0,OR(AUTOEVENTO&lt;&gt;"manual",$M35&lt;&gt;1)),
IF(Import.TipoArredondamento&lt;&gt;"TransfereGOV",
ROUND(OFFSET($P35,0,AF$13),15-13*ORÇAMENTO!$AF$7)/$H35*OFFSET(ORÇAMENTO!$X$15,ROW(AF35)-ROW(AF$15),0),
ROUND(ROUND(OFFSET($P35,0,AF$13),15-13*ORÇAMENTO!$AF$7)*OFFSET(ORÇAMENTO!$W$15,ROW(AF35)-ROW(AF$15),0),15-13*ORÇAMENTO!$AF$11)),0)</f>
        <v>0</v>
      </c>
      <c r="AG35" s="545">
        <f ca="1">IF(AND($D35="Serviço",AG$12&lt;&gt;0,$H35&gt;0,OR(AUTOEVENTO&lt;&gt;"manual",$M35&lt;&gt;1)),
IF(Import.TipoArredondamento&lt;&gt;"TransfereGOV",
ROUND(OFFSET($P35,0,AG$13),15-13*ORÇAMENTO!$AF$7)/$H35*OFFSET(ORÇAMENTO!$X$15,ROW(AG35)-ROW(AG$15),0),
ROUND(ROUND(OFFSET($P35,0,AG$13),15-13*ORÇAMENTO!$AF$7)*OFFSET(ORÇAMENTO!$W$15,ROW(AG35)-ROW(AG$15),0),15-13*ORÇAMENTO!$AF$11)),0)</f>
        <v>0</v>
      </c>
      <c r="AH35" s="545">
        <f ca="1">IF(AND($D35="Serviço",AH$12&lt;&gt;0,$H35&gt;0,OR(AUTOEVENTO&lt;&gt;"manual",$M35&lt;&gt;1)),
IF(Import.TipoArredondamento&lt;&gt;"TransfereGOV",
ROUND(OFFSET($P35,0,AH$13),15-13*ORÇAMENTO!$AF$7)/$H35*OFFSET(ORÇAMENTO!$X$15,ROW(AH35)-ROW(AH$15),0),
ROUND(ROUND(OFFSET($P35,0,AH$13),15-13*ORÇAMENTO!$AF$7)*OFFSET(ORÇAMENTO!$W$15,ROW(AH35)-ROW(AH$15),0),15-13*ORÇAMENTO!$AF$11)),0)</f>
        <v>0</v>
      </c>
      <c r="AI35" s="545">
        <f ca="1">IF(AND($D35="Serviço",AI$12&lt;&gt;0,$H35&gt;0,OR(AUTOEVENTO&lt;&gt;"manual",$M35&lt;&gt;1)),
IF(Import.TipoArredondamento&lt;&gt;"TransfereGOV",
ROUND(OFFSET($P35,0,AI$13),15-13*ORÇAMENTO!$AF$7)/$H35*OFFSET(ORÇAMENTO!$X$15,ROW(AI35)-ROW(AI$15),0),
ROUND(ROUND(OFFSET($P35,0,AI$13),15-13*ORÇAMENTO!$AF$7)*OFFSET(ORÇAMENTO!$W$15,ROW(AI35)-ROW(AI$15),0),15-13*ORÇAMENTO!$AF$11)),0)</f>
        <v>0</v>
      </c>
      <c r="AJ35" s="545">
        <f ca="1">IF(AND($D35="Serviço",AJ$12&lt;&gt;0,$H35&gt;0,OR(AUTOEVENTO&lt;&gt;"manual",$M35&lt;&gt;1)),
IF(Import.TipoArredondamento&lt;&gt;"TransfereGOV",
ROUND(OFFSET($P35,0,AJ$13),15-13*ORÇAMENTO!$AF$7)/$H35*OFFSET(ORÇAMENTO!$X$15,ROW(AJ35)-ROW(AJ$15),0),
ROUND(ROUND(OFFSET($P35,0,AJ$13),15-13*ORÇAMENTO!$AF$7)*OFFSET(ORÇAMENTO!$W$15,ROW(AJ35)-ROW(AJ$15),0),15-13*ORÇAMENTO!$AF$11)),0)</f>
        <v>0</v>
      </c>
      <c r="AK35" s="546">
        <f ca="1">IF(AND($D35="Serviço",AK$12&lt;&gt;0,$H35&gt;0,OR(AUTOEVENTO&lt;&gt;"manual",$M35&lt;&gt;1)),
IF(Import.TipoArredondamento&lt;&gt;"TransfereGOV",
ROUND(OFFSET($P35,0,AK$13),15-13*ORÇAMENTO!$AF$7)/$H35*OFFSET(ORÇAMENTO!$X$15,ROW(AK35)-ROW(AK$15),0),
ROUND(ROUND(OFFSET($P35,0,AK$13),15-13*ORÇAMENTO!$AF$7)*OFFSET(ORÇAMENTO!$W$15,ROW(AK35)-ROW(AK$15),0),15-13*ORÇAMENTO!$AF$11)),0)</f>
        <v>0</v>
      </c>
      <c r="AM35" s="181">
        <f ca="1">IF($D35&lt;&gt;"Serviço",0,IF(AND(AUTOEVENTO="Manual",$M35=1),0,IF(OFFSET(CRONOPLE!$F$14,$M35,AM$13)="",10^12,OFFSET(CRONOPLE!$F$14,$M35,AM$13))))</f>
        <v>0</v>
      </c>
      <c r="AN35" s="181">
        <f ca="1">IF($D35&lt;&gt;"Serviço",0,IF(AND(AUTOEVENTO="Manual",$M35=1),0,IF(OFFSET(CRONOPLE!$F$14,$M35,AN$13)="",10^12,OFFSET(CRONOPLE!$F$14,$M35,AN$13))))</f>
        <v>0</v>
      </c>
      <c r="AO35" s="181">
        <f ca="1">IF($D35&lt;&gt;"Serviço",0,IF(AND(AUTOEVENTO="Manual",$M35=1),0,IF(OFFSET(CRONOPLE!$F$14,$M35,AO$13)="",10^12,OFFSET(CRONOPLE!$F$14,$M35,AO$13))))</f>
        <v>0</v>
      </c>
      <c r="AP35" s="181">
        <f ca="1">IF($D35&lt;&gt;"Serviço",0,IF(AND(AUTOEVENTO="Manual",$M35=1),0,IF(OFFSET(CRONOPLE!$F$14,$M35,AP$13)="",10^12,OFFSET(CRONOPLE!$F$14,$M35,AP$13))))</f>
        <v>0</v>
      </c>
      <c r="AQ35" s="181">
        <f ca="1">IF($D35&lt;&gt;"Serviço",0,IF(AND(AUTOEVENTO="Manual",$M35=1),0,IF(OFFSET(CRONOPLE!$F$14,$M35,AQ$13)="",10^12,OFFSET(CRONOPLE!$F$14,$M35,AQ$13))))</f>
        <v>0</v>
      </c>
      <c r="AR35" s="181">
        <f ca="1">IF($D35&lt;&gt;"Serviço",0,IF(AND(AUTOEVENTO="Manual",$M35=1),0,IF(OFFSET(CRONOPLE!$F$14,$M35,AR$13)="",10^12,OFFSET(CRONOPLE!$F$14,$M35,AR$13))))</f>
        <v>0</v>
      </c>
      <c r="AS35" s="181">
        <f ca="1">IF($D35&lt;&gt;"Serviço",0,IF(AND(AUTOEVENTO="Manual",$M35=1),0,IF(OFFSET(CRONOPLE!$F$14,$M35,AS$13)="",10^12,OFFSET(CRONOPLE!$F$14,$M35,AS$13))))</f>
        <v>0</v>
      </c>
      <c r="AT35" s="181">
        <f ca="1">IF($D35&lt;&gt;"Serviço",0,IF(AND(AUTOEVENTO="Manual",$M35=1),0,IF(OFFSET(CRONOPLE!$F$14,$M35,AT$13)="",10^12,OFFSET(CRONOPLE!$F$14,$M35,AT$13))))</f>
        <v>0</v>
      </c>
      <c r="AU35" s="181">
        <f ca="1">IF($D35&lt;&gt;"Serviço",0,IF(AND(AUTOEVENTO="Manual",$M35=1),0,IF(OFFSET(CRONOPLE!$F$14,$M35,AU$13)="",10^12,OFFSET(CRONOPLE!$F$14,$M35,AU$13))))</f>
        <v>0</v>
      </c>
      <c r="AV35" s="181">
        <f ca="1">IF($D35&lt;&gt;"Serviço",0,IF(AND(AUTOEVENTO="Manual",$M35=1),0,IF(OFFSET(CRONOPLE!$F$14,$M35,AV$13)="",10^12,OFFSET(CRONOPLE!$F$14,$M35,AV$13))))</f>
        <v>0</v>
      </c>
      <c r="AX35" s="182">
        <f ca="1">IF($D35&lt;&gt;"Serviço",0,IF(OR(AND(AUTOEVENTO="Manual",$M35=1),$M35&gt;(ROW(PLE.lastrow)-ROW(PLE.firstrow))),0,IF(OFFSET(PLE!$G$14,$M35,AX$13)="",10^12,OFFSET(PLE!$G$14,$M35,AX$13))))</f>
        <v>0</v>
      </c>
      <c r="AY35" s="182">
        <f ca="1">IF($D35&lt;&gt;"Serviço",0,IF(OR(AND(AUTOEVENTO="Manual",$M35=1),$M35&gt;(ROW(PLE.lastrow)-ROW(PLE.firstrow))),0,IF(OFFSET(PLE!$G$14,$M35,AY$13)="",10^12,OFFSET(PLE!$G$14,$M35,AY$13))))</f>
        <v>0</v>
      </c>
      <c r="AZ35" s="182">
        <f ca="1">IF($D35&lt;&gt;"Serviço",0,IF(OR(AND(AUTOEVENTO="Manual",$M35=1),$M35&gt;(ROW(PLE.lastrow)-ROW(PLE.firstrow))),0,IF(OFFSET(PLE!$G$14,$M35,AZ$13)="",10^12,OFFSET(PLE!$G$14,$M35,AZ$13))))</f>
        <v>0</v>
      </c>
      <c r="BA35" s="182">
        <f ca="1">IF($D35&lt;&gt;"Serviço",0,IF(OR(AND(AUTOEVENTO="Manual",$M35=1),$M35&gt;(ROW(PLE.lastrow)-ROW(PLE.firstrow))),0,IF(OFFSET(PLE!$G$14,$M35,BA$13)="",10^12,OFFSET(PLE!$G$14,$M35,BA$13))))</f>
        <v>0</v>
      </c>
      <c r="BB35" s="182">
        <f ca="1">IF($D35&lt;&gt;"Serviço",0,IF(OR(AND(AUTOEVENTO="Manual",$M35=1),$M35&gt;(ROW(PLE.lastrow)-ROW(PLE.firstrow))),0,IF(OFFSET(PLE!$G$14,$M35,BB$13)="",10^12,OFFSET(PLE!$G$14,$M35,BB$13))))</f>
        <v>0</v>
      </c>
      <c r="BC35" s="182">
        <f ca="1">IF($D35&lt;&gt;"Serviço",0,IF(OR(AND(AUTOEVENTO="Manual",$M35=1),$M35&gt;(ROW(PLE.lastrow)-ROW(PLE.firstrow))),0,IF(OFFSET(PLE!$G$14,$M35,BC$13)="",10^12,OFFSET(PLE!$G$14,$M35,BC$13))))</f>
        <v>0</v>
      </c>
      <c r="BD35" s="182">
        <f ca="1">IF($D35&lt;&gt;"Serviço",0,IF(OR(AND(AUTOEVENTO="Manual",$M35=1),$M35&gt;(ROW(PLE.lastrow)-ROW(PLE.firstrow))),0,IF(OFFSET(PLE!$G$14,$M35,BD$13)="",10^12,OFFSET(PLE!$G$14,$M35,BD$13))))</f>
        <v>0</v>
      </c>
      <c r="BE35" s="182">
        <f ca="1">IF($D35&lt;&gt;"Serviço",0,IF(OR(AND(AUTOEVENTO="Manual",$M35=1),$M35&gt;(ROW(PLE.lastrow)-ROW(PLE.firstrow))),0,IF(OFFSET(PLE!$G$14,$M35,BE$13)="",10^12,OFFSET(PLE!$G$14,$M35,BE$13))))</f>
        <v>0</v>
      </c>
      <c r="BF35" s="182">
        <f ca="1">IF($D35&lt;&gt;"Serviço",0,IF(OR(AND(AUTOEVENTO="Manual",$M35=1),$M35&gt;(ROW(PLE.lastrow)-ROW(PLE.firstrow))),0,IF(OFFSET(PLE!$G$14,$M35,BF$13)="",10^12,OFFSET(PLE!$G$14,$M35,BF$13))))</f>
        <v>0</v>
      </c>
      <c r="BG35" s="182">
        <f ca="1">IF($D35&lt;&gt;"Serviço",0,IF(OR(AND(AUTOEVENTO="Manual",$M35=1),$M35&gt;(ROW(PLE.lastrow)-ROW(PLE.firstrow))),0,IF(OFFSET(PLE!$G$14,$M35,BG$13)="",10^12,OFFSET(PLE!$G$14,$M35,BG$13))))</f>
        <v>0</v>
      </c>
    </row>
    <row r="36" spans="1:59" ht="12.75" x14ac:dyDescent="0.2">
      <c r="A36" s="7" t="str">
        <f t="shared" ca="1" si="8"/>
        <v>20.</v>
      </c>
      <c r="B36" s="7">
        <f ca="1">OFFSET(ORÇAMENTO!C$15,ROW(B36)-ROW(B$15),0)</f>
        <v>3</v>
      </c>
      <c r="C36" s="7" t="str">
        <f ca="1">OFFSET(ORÇAMENTO!L$15,ROW(C36)-ROW(C$15),0)</f>
        <v>F</v>
      </c>
      <c r="D36" s="118" t="str">
        <f ca="1">OFFSET(ORÇAMENTO!N$15,ROW(D36)-ROW(D$15),0)</f>
        <v>Nível 3</v>
      </c>
      <c r="E36" s="119" t="str">
        <f ca="1">OFFSET(ORÇAMENTO!O$15,ROW(E36)-ROW(E$15),0)</f>
        <v>1.3.1.</v>
      </c>
      <c r="F36" s="172" t="str">
        <f ca="1">OFFSET(ORÇAMENTO!R$15,ROW(F36)-ROW(F$15),0)</f>
        <v xml:space="preserve">CONCRETO ARMADO PARA FUNDAÇÕES </v>
      </c>
      <c r="G36" s="173" t="str">
        <f ca="1">IF($D36&lt;&gt;"Serviço","",OFFSET(ORÇAMENTO!S$15,ROW(G36)-ROW(G$15),0))</f>
        <v/>
      </c>
      <c r="H36" s="124">
        <f ca="1">IF($D36&lt;&gt;"Serviço",0,IF(ACOMPANHAMENTO="BM",ROUND(OFFSET(ORÇAMENTO!AJ$15,ROW(H36)-ROW(H$15),0),15-13*ORÇAMENTO!$AF$7),SUMPRODUCT(($Q$12:$AA$12&lt;&gt;"")*ROUND($Q36:$AA36,15-13*ORÇAMENTO!$AF$7))))</f>
        <v>0</v>
      </c>
      <c r="I36" s="561"/>
      <c r="K36" s="174"/>
      <c r="L36" s="175" t="s">
        <v>255</v>
      </c>
      <c r="M36" s="176" t="str">
        <f ca="1">IF($D36&lt;&gt;"Serviço","",IF(AUTOEVENTO="manual",$A36,IF(ISERROR(MATCH($A36,$A$15:OFFSET($A36,-1,0),0)),MAX($M$15:OFFSET(M36,-1,0))+1,INDEX($M$15:OFFSET(M36,-1,0),MATCH($A36,$A$15:OFFSET($A36,-1,0),0)))))</f>
        <v/>
      </c>
      <c r="N36" s="177" t="str">
        <f ca="1">IF($D36&lt;&gt;"Serviço","",IF(AUTOEVENTO="Manual",IF($A36=0,"&lt;-- defina o número do agrupador",OFFSET(EVENTOS!$D$14,$A36,0)),OFFSET($F$15,$A36,0)))</f>
        <v/>
      </c>
      <c r="O36" s="178"/>
      <c r="Q36" s="178"/>
      <c r="R36" s="179"/>
      <c r="S36" s="179"/>
      <c r="T36" s="179"/>
      <c r="U36" s="179"/>
      <c r="V36" s="179"/>
      <c r="W36" s="179"/>
      <c r="X36" s="179"/>
      <c r="Y36" s="179"/>
      <c r="Z36" s="180"/>
      <c r="AB36" s="544">
        <f ca="1">IF(AND($D36="Serviço",AB$12&lt;&gt;0,$H36&gt;0,OR(AUTOEVENTO&lt;&gt;"manual",$M36&lt;&gt;1)),
IF(Import.TipoArredondamento&lt;&gt;"TransfereGOV",
ROUND(OFFSET($P36,0,AB$13),15-13*ORÇAMENTO!$AF$7)/$H36*OFFSET(ORÇAMENTO!$X$15,ROW(AB36)-ROW(AB$15),0),
ROUND(ROUND(OFFSET($P36,0,AB$13),15-13*ORÇAMENTO!$AF$7)*OFFSET(ORÇAMENTO!$W$15,ROW(AB36)-ROW(AB$15),0),15-13*ORÇAMENTO!$AF$11)),0)</f>
        <v>0</v>
      </c>
      <c r="AC36" s="545">
        <f ca="1">IF(AND($D36="Serviço",AC$12&lt;&gt;0,$H36&gt;0,OR(AUTOEVENTO&lt;&gt;"manual",$M36&lt;&gt;1)),
IF(Import.TipoArredondamento&lt;&gt;"TransfereGOV",
ROUND(OFFSET($P36,0,AC$13),15-13*ORÇAMENTO!$AF$7)/$H36*OFFSET(ORÇAMENTO!$X$15,ROW(AC36)-ROW(AC$15),0),
ROUND(ROUND(OFFSET($P36,0,AC$13),15-13*ORÇAMENTO!$AF$7)*OFFSET(ORÇAMENTO!$W$15,ROW(AC36)-ROW(AC$15),0),15-13*ORÇAMENTO!$AF$11)),0)</f>
        <v>0</v>
      </c>
      <c r="AD36" s="545">
        <f ca="1">IF(AND($D36="Serviço",AD$12&lt;&gt;0,$H36&gt;0,OR(AUTOEVENTO&lt;&gt;"manual",$M36&lt;&gt;1)),
IF(Import.TipoArredondamento&lt;&gt;"TransfereGOV",
ROUND(OFFSET($P36,0,AD$13),15-13*ORÇAMENTO!$AF$7)/$H36*OFFSET(ORÇAMENTO!$X$15,ROW(AD36)-ROW(AD$15),0),
ROUND(ROUND(OFFSET($P36,0,AD$13),15-13*ORÇAMENTO!$AF$7)*OFFSET(ORÇAMENTO!$W$15,ROW(AD36)-ROW(AD$15),0),15-13*ORÇAMENTO!$AF$11)),0)</f>
        <v>0</v>
      </c>
      <c r="AE36" s="545">
        <f ca="1">IF(AND($D36="Serviço",AE$12&lt;&gt;0,$H36&gt;0,OR(AUTOEVENTO&lt;&gt;"manual",$M36&lt;&gt;1)),
IF(Import.TipoArredondamento&lt;&gt;"TransfereGOV",
ROUND(OFFSET($P36,0,AE$13),15-13*ORÇAMENTO!$AF$7)/$H36*OFFSET(ORÇAMENTO!$X$15,ROW(AE36)-ROW(AE$15),0),
ROUND(ROUND(OFFSET($P36,0,AE$13),15-13*ORÇAMENTO!$AF$7)*OFFSET(ORÇAMENTO!$W$15,ROW(AE36)-ROW(AE$15),0),15-13*ORÇAMENTO!$AF$11)),0)</f>
        <v>0</v>
      </c>
      <c r="AF36" s="545">
        <f ca="1">IF(AND($D36="Serviço",AF$12&lt;&gt;0,$H36&gt;0,OR(AUTOEVENTO&lt;&gt;"manual",$M36&lt;&gt;1)),
IF(Import.TipoArredondamento&lt;&gt;"TransfereGOV",
ROUND(OFFSET($P36,0,AF$13),15-13*ORÇAMENTO!$AF$7)/$H36*OFFSET(ORÇAMENTO!$X$15,ROW(AF36)-ROW(AF$15),0),
ROUND(ROUND(OFFSET($P36,0,AF$13),15-13*ORÇAMENTO!$AF$7)*OFFSET(ORÇAMENTO!$W$15,ROW(AF36)-ROW(AF$15),0),15-13*ORÇAMENTO!$AF$11)),0)</f>
        <v>0</v>
      </c>
      <c r="AG36" s="545">
        <f ca="1">IF(AND($D36="Serviço",AG$12&lt;&gt;0,$H36&gt;0,OR(AUTOEVENTO&lt;&gt;"manual",$M36&lt;&gt;1)),
IF(Import.TipoArredondamento&lt;&gt;"TransfereGOV",
ROUND(OFFSET($P36,0,AG$13),15-13*ORÇAMENTO!$AF$7)/$H36*OFFSET(ORÇAMENTO!$X$15,ROW(AG36)-ROW(AG$15),0),
ROUND(ROUND(OFFSET($P36,0,AG$13),15-13*ORÇAMENTO!$AF$7)*OFFSET(ORÇAMENTO!$W$15,ROW(AG36)-ROW(AG$15),0),15-13*ORÇAMENTO!$AF$11)),0)</f>
        <v>0</v>
      </c>
      <c r="AH36" s="545">
        <f ca="1">IF(AND($D36="Serviço",AH$12&lt;&gt;0,$H36&gt;0,OR(AUTOEVENTO&lt;&gt;"manual",$M36&lt;&gt;1)),
IF(Import.TipoArredondamento&lt;&gt;"TransfereGOV",
ROUND(OFFSET($P36,0,AH$13),15-13*ORÇAMENTO!$AF$7)/$H36*OFFSET(ORÇAMENTO!$X$15,ROW(AH36)-ROW(AH$15),0),
ROUND(ROUND(OFFSET($P36,0,AH$13),15-13*ORÇAMENTO!$AF$7)*OFFSET(ORÇAMENTO!$W$15,ROW(AH36)-ROW(AH$15),0),15-13*ORÇAMENTO!$AF$11)),0)</f>
        <v>0</v>
      </c>
      <c r="AI36" s="545">
        <f ca="1">IF(AND($D36="Serviço",AI$12&lt;&gt;0,$H36&gt;0,OR(AUTOEVENTO&lt;&gt;"manual",$M36&lt;&gt;1)),
IF(Import.TipoArredondamento&lt;&gt;"TransfereGOV",
ROUND(OFFSET($P36,0,AI$13),15-13*ORÇAMENTO!$AF$7)/$H36*OFFSET(ORÇAMENTO!$X$15,ROW(AI36)-ROW(AI$15),0),
ROUND(ROUND(OFFSET($P36,0,AI$13),15-13*ORÇAMENTO!$AF$7)*OFFSET(ORÇAMENTO!$W$15,ROW(AI36)-ROW(AI$15),0),15-13*ORÇAMENTO!$AF$11)),0)</f>
        <v>0</v>
      </c>
      <c r="AJ36" s="545">
        <f ca="1">IF(AND($D36="Serviço",AJ$12&lt;&gt;0,$H36&gt;0,OR(AUTOEVENTO&lt;&gt;"manual",$M36&lt;&gt;1)),
IF(Import.TipoArredondamento&lt;&gt;"TransfereGOV",
ROUND(OFFSET($P36,0,AJ$13),15-13*ORÇAMENTO!$AF$7)/$H36*OFFSET(ORÇAMENTO!$X$15,ROW(AJ36)-ROW(AJ$15),0),
ROUND(ROUND(OFFSET($P36,0,AJ$13),15-13*ORÇAMENTO!$AF$7)*OFFSET(ORÇAMENTO!$W$15,ROW(AJ36)-ROW(AJ$15),0),15-13*ORÇAMENTO!$AF$11)),0)</f>
        <v>0</v>
      </c>
      <c r="AK36" s="546">
        <f ca="1">IF(AND($D36="Serviço",AK$12&lt;&gt;0,$H36&gt;0,OR(AUTOEVENTO&lt;&gt;"manual",$M36&lt;&gt;1)),
IF(Import.TipoArredondamento&lt;&gt;"TransfereGOV",
ROUND(OFFSET($P36,0,AK$13),15-13*ORÇAMENTO!$AF$7)/$H36*OFFSET(ORÇAMENTO!$X$15,ROW(AK36)-ROW(AK$15),0),
ROUND(ROUND(OFFSET($P36,0,AK$13),15-13*ORÇAMENTO!$AF$7)*OFFSET(ORÇAMENTO!$W$15,ROW(AK36)-ROW(AK$15),0),15-13*ORÇAMENTO!$AF$11)),0)</f>
        <v>0</v>
      </c>
      <c r="AM36" s="181">
        <f ca="1">IF($D36&lt;&gt;"Serviço",0,IF(AND(AUTOEVENTO="Manual",$M36=1),0,IF(OFFSET(CRONOPLE!$F$14,$M36,AM$13)="",10^12,OFFSET(CRONOPLE!$F$14,$M36,AM$13))))</f>
        <v>0</v>
      </c>
      <c r="AN36" s="181">
        <f ca="1">IF($D36&lt;&gt;"Serviço",0,IF(AND(AUTOEVENTO="Manual",$M36=1),0,IF(OFFSET(CRONOPLE!$F$14,$M36,AN$13)="",10^12,OFFSET(CRONOPLE!$F$14,$M36,AN$13))))</f>
        <v>0</v>
      </c>
      <c r="AO36" s="181">
        <f ca="1">IF($D36&lt;&gt;"Serviço",0,IF(AND(AUTOEVENTO="Manual",$M36=1),0,IF(OFFSET(CRONOPLE!$F$14,$M36,AO$13)="",10^12,OFFSET(CRONOPLE!$F$14,$M36,AO$13))))</f>
        <v>0</v>
      </c>
      <c r="AP36" s="181">
        <f ca="1">IF($D36&lt;&gt;"Serviço",0,IF(AND(AUTOEVENTO="Manual",$M36=1),0,IF(OFFSET(CRONOPLE!$F$14,$M36,AP$13)="",10^12,OFFSET(CRONOPLE!$F$14,$M36,AP$13))))</f>
        <v>0</v>
      </c>
      <c r="AQ36" s="181">
        <f ca="1">IF($D36&lt;&gt;"Serviço",0,IF(AND(AUTOEVENTO="Manual",$M36=1),0,IF(OFFSET(CRONOPLE!$F$14,$M36,AQ$13)="",10^12,OFFSET(CRONOPLE!$F$14,$M36,AQ$13))))</f>
        <v>0</v>
      </c>
      <c r="AR36" s="181">
        <f ca="1">IF($D36&lt;&gt;"Serviço",0,IF(AND(AUTOEVENTO="Manual",$M36=1),0,IF(OFFSET(CRONOPLE!$F$14,$M36,AR$13)="",10^12,OFFSET(CRONOPLE!$F$14,$M36,AR$13))))</f>
        <v>0</v>
      </c>
      <c r="AS36" s="181">
        <f ca="1">IF($D36&lt;&gt;"Serviço",0,IF(AND(AUTOEVENTO="Manual",$M36=1),0,IF(OFFSET(CRONOPLE!$F$14,$M36,AS$13)="",10^12,OFFSET(CRONOPLE!$F$14,$M36,AS$13))))</f>
        <v>0</v>
      </c>
      <c r="AT36" s="181">
        <f ca="1">IF($D36&lt;&gt;"Serviço",0,IF(AND(AUTOEVENTO="Manual",$M36=1),0,IF(OFFSET(CRONOPLE!$F$14,$M36,AT$13)="",10^12,OFFSET(CRONOPLE!$F$14,$M36,AT$13))))</f>
        <v>0</v>
      </c>
      <c r="AU36" s="181">
        <f ca="1">IF($D36&lt;&gt;"Serviço",0,IF(AND(AUTOEVENTO="Manual",$M36=1),0,IF(OFFSET(CRONOPLE!$F$14,$M36,AU$13)="",10^12,OFFSET(CRONOPLE!$F$14,$M36,AU$13))))</f>
        <v>0</v>
      </c>
      <c r="AV36" s="181">
        <f ca="1">IF($D36&lt;&gt;"Serviço",0,IF(AND(AUTOEVENTO="Manual",$M36=1),0,IF(OFFSET(CRONOPLE!$F$14,$M36,AV$13)="",10^12,OFFSET(CRONOPLE!$F$14,$M36,AV$13))))</f>
        <v>0</v>
      </c>
      <c r="AX36" s="182">
        <f ca="1">IF($D36&lt;&gt;"Serviço",0,IF(OR(AND(AUTOEVENTO="Manual",$M36=1),$M36&gt;(ROW(PLE.lastrow)-ROW(PLE.firstrow))),0,IF(OFFSET(PLE!$G$14,$M36,AX$13)="",10^12,OFFSET(PLE!$G$14,$M36,AX$13))))</f>
        <v>0</v>
      </c>
      <c r="AY36" s="182">
        <f ca="1">IF($D36&lt;&gt;"Serviço",0,IF(OR(AND(AUTOEVENTO="Manual",$M36=1),$M36&gt;(ROW(PLE.lastrow)-ROW(PLE.firstrow))),0,IF(OFFSET(PLE!$G$14,$M36,AY$13)="",10^12,OFFSET(PLE!$G$14,$M36,AY$13))))</f>
        <v>0</v>
      </c>
      <c r="AZ36" s="182">
        <f ca="1">IF($D36&lt;&gt;"Serviço",0,IF(OR(AND(AUTOEVENTO="Manual",$M36=1),$M36&gt;(ROW(PLE.lastrow)-ROW(PLE.firstrow))),0,IF(OFFSET(PLE!$G$14,$M36,AZ$13)="",10^12,OFFSET(PLE!$G$14,$M36,AZ$13))))</f>
        <v>0</v>
      </c>
      <c r="BA36" s="182">
        <f ca="1">IF($D36&lt;&gt;"Serviço",0,IF(OR(AND(AUTOEVENTO="Manual",$M36=1),$M36&gt;(ROW(PLE.lastrow)-ROW(PLE.firstrow))),0,IF(OFFSET(PLE!$G$14,$M36,BA$13)="",10^12,OFFSET(PLE!$G$14,$M36,BA$13))))</f>
        <v>0</v>
      </c>
      <c r="BB36" s="182">
        <f ca="1">IF($D36&lt;&gt;"Serviço",0,IF(OR(AND(AUTOEVENTO="Manual",$M36=1),$M36&gt;(ROW(PLE.lastrow)-ROW(PLE.firstrow))),0,IF(OFFSET(PLE!$G$14,$M36,BB$13)="",10^12,OFFSET(PLE!$G$14,$M36,BB$13))))</f>
        <v>0</v>
      </c>
      <c r="BC36" s="182">
        <f ca="1">IF($D36&lt;&gt;"Serviço",0,IF(OR(AND(AUTOEVENTO="Manual",$M36=1),$M36&gt;(ROW(PLE.lastrow)-ROW(PLE.firstrow))),0,IF(OFFSET(PLE!$G$14,$M36,BC$13)="",10^12,OFFSET(PLE!$G$14,$M36,BC$13))))</f>
        <v>0</v>
      </c>
      <c r="BD36" s="182">
        <f ca="1">IF($D36&lt;&gt;"Serviço",0,IF(OR(AND(AUTOEVENTO="Manual",$M36=1),$M36&gt;(ROW(PLE.lastrow)-ROW(PLE.firstrow))),0,IF(OFFSET(PLE!$G$14,$M36,BD$13)="",10^12,OFFSET(PLE!$G$14,$M36,BD$13))))</f>
        <v>0</v>
      </c>
      <c r="BE36" s="182">
        <f ca="1">IF($D36&lt;&gt;"Serviço",0,IF(OR(AND(AUTOEVENTO="Manual",$M36=1),$M36&gt;(ROW(PLE.lastrow)-ROW(PLE.firstrow))),0,IF(OFFSET(PLE!$G$14,$M36,BE$13)="",10^12,OFFSET(PLE!$G$14,$M36,BE$13))))</f>
        <v>0</v>
      </c>
      <c r="BF36" s="182">
        <f ca="1">IF($D36&lt;&gt;"Serviço",0,IF(OR(AND(AUTOEVENTO="Manual",$M36=1),$M36&gt;(ROW(PLE.lastrow)-ROW(PLE.firstrow))),0,IF(OFFSET(PLE!$G$14,$M36,BF$13)="",10^12,OFFSET(PLE!$G$14,$M36,BF$13))))</f>
        <v>0</v>
      </c>
      <c r="BG36" s="182">
        <f ca="1">IF($D36&lt;&gt;"Serviço",0,IF(OR(AND(AUTOEVENTO="Manual",$M36=1),$M36&gt;(ROW(PLE.lastrow)-ROW(PLE.firstrow))),0,IF(OFFSET(PLE!$G$14,$M36,BG$13)="",10^12,OFFSET(PLE!$G$14,$M36,BG$13))))</f>
        <v>0</v>
      </c>
    </row>
    <row r="37" spans="1:59" ht="38.25" x14ac:dyDescent="0.2">
      <c r="A37" s="7" t="str">
        <f t="shared" ca="1" si="8"/>
        <v>20</v>
      </c>
      <c r="B37" s="7" t="str">
        <f ca="1">OFFSET(ORÇAMENTO!C$15,ROW(B37)-ROW(B$15),0)</f>
        <v>S</v>
      </c>
      <c r="C37" s="7" t="str">
        <f ca="1">OFFSET(ORÇAMENTO!L$15,ROW(C37)-ROW(C$15),0)</f>
        <v/>
      </c>
      <c r="D37" s="118" t="str">
        <f ca="1">OFFSET(ORÇAMENTO!N$15,ROW(D37)-ROW(D$15),0)</f>
        <v>Serviço</v>
      </c>
      <c r="E37" s="119" t="str">
        <f ca="1">OFFSET(ORÇAMENTO!O$15,ROW(E37)-ROW(E$15),0)</f>
        <v>-</v>
      </c>
      <c r="F37" s="172" t="str">
        <f ca="1">OFFSET(ORÇAMENTO!R$15,ROW(F37)-ROW(F$15),0)</f>
        <v>(abra o arquivo 'Referência 02-2025.xlsm)</v>
      </c>
      <c r="G37" s="173" t="str">
        <f ca="1">IF($D37&lt;&gt;"Serviço","",OFFSET(ORÇAMENTO!S$15,ROW(G37)-ROW(G$15),0))</f>
        <v>-</v>
      </c>
      <c r="H37" s="124">
        <f ca="1">IF($D37&lt;&gt;"Serviço",0,IF(ACOMPANHAMENTO="BM",ROUND(OFFSET(ORÇAMENTO!AJ$15,ROW(H37)-ROW(H$15),0),15-13*ORÇAMENTO!$AF$7),SUMPRODUCT(($Q$12:$AA$12&lt;&gt;"")*ROUND($Q37:$AA37,15-13*ORÇAMENTO!$AF$7))))</f>
        <v>880</v>
      </c>
      <c r="I37" s="561" t="s">
        <v>890</v>
      </c>
      <c r="K37" s="174"/>
      <c r="L37" s="175" t="s">
        <v>255</v>
      </c>
      <c r="M37" s="176">
        <f ca="1">IF($D37&lt;&gt;"Serviço","",IF(AUTOEVENTO="manual",$A37,IF(ISERROR(MATCH($A37,$A$15:OFFSET($A37,-1,0),0)),MAX($M$15:OFFSET(M37,-1,0))+1,INDEX($M$15:OFFSET(M37,-1,0),MATCH($A37,$A$15:OFFSET($A37,-1,0),0)))))</f>
        <v>4</v>
      </c>
      <c r="N37" s="177" t="str">
        <f ca="1">IF($D37&lt;&gt;"Serviço","",IF(AUTOEVENTO="Manual",IF($A37=0,"&lt;-- defina o número do agrupador",OFFSET(EVENTOS!$D$14,$A37,0)),OFFSET($F$15,$A37,0)))</f>
        <v>FUNDAÇÕES</v>
      </c>
      <c r="O37" s="178"/>
      <c r="Q37" s="178"/>
      <c r="R37" s="179"/>
      <c r="S37" s="179"/>
      <c r="T37" s="179"/>
      <c r="U37" s="179"/>
      <c r="V37" s="179"/>
      <c r="W37" s="179"/>
      <c r="X37" s="179"/>
      <c r="Y37" s="179"/>
      <c r="Z37" s="180"/>
      <c r="AB37" s="544">
        <f ca="1">IF(AND($D37="Serviço",AB$12&lt;&gt;0,$H37&gt;0,OR(AUTOEVENTO&lt;&gt;"manual",$M37&lt;&gt;1)),
IF(Import.TipoArredondamento&lt;&gt;"TransfereGOV",
ROUND(OFFSET($P37,0,AB$13),15-13*ORÇAMENTO!$AF$7)/$H37*OFFSET(ORÇAMENTO!$X$15,ROW(AB37)-ROW(AB$15),0),
ROUND(ROUND(OFFSET($P37,0,AB$13),15-13*ORÇAMENTO!$AF$7)*OFFSET(ORÇAMENTO!$W$15,ROW(AB37)-ROW(AB$15),0),15-13*ORÇAMENTO!$AF$11)),0)</f>
        <v>0</v>
      </c>
      <c r="AC37" s="545">
        <f ca="1">IF(AND($D37="Serviço",AC$12&lt;&gt;0,$H37&gt;0,OR(AUTOEVENTO&lt;&gt;"manual",$M37&lt;&gt;1)),
IF(Import.TipoArredondamento&lt;&gt;"TransfereGOV",
ROUND(OFFSET($P37,0,AC$13),15-13*ORÇAMENTO!$AF$7)/$H37*OFFSET(ORÇAMENTO!$X$15,ROW(AC37)-ROW(AC$15),0),
ROUND(ROUND(OFFSET($P37,0,AC$13),15-13*ORÇAMENTO!$AF$7)*OFFSET(ORÇAMENTO!$W$15,ROW(AC37)-ROW(AC$15),0),15-13*ORÇAMENTO!$AF$11)),0)</f>
        <v>0</v>
      </c>
      <c r="AD37" s="545">
        <f ca="1">IF(AND($D37="Serviço",AD$12&lt;&gt;0,$H37&gt;0,OR(AUTOEVENTO&lt;&gt;"manual",$M37&lt;&gt;1)),
IF(Import.TipoArredondamento&lt;&gt;"TransfereGOV",
ROUND(OFFSET($P37,0,AD$13),15-13*ORÇAMENTO!$AF$7)/$H37*OFFSET(ORÇAMENTO!$X$15,ROW(AD37)-ROW(AD$15),0),
ROUND(ROUND(OFFSET($P37,0,AD$13),15-13*ORÇAMENTO!$AF$7)*OFFSET(ORÇAMENTO!$W$15,ROW(AD37)-ROW(AD$15),0),15-13*ORÇAMENTO!$AF$11)),0)</f>
        <v>0</v>
      </c>
      <c r="AE37" s="545">
        <f ca="1">IF(AND($D37="Serviço",AE$12&lt;&gt;0,$H37&gt;0,OR(AUTOEVENTO&lt;&gt;"manual",$M37&lt;&gt;1)),
IF(Import.TipoArredondamento&lt;&gt;"TransfereGOV",
ROUND(OFFSET($P37,0,AE$13),15-13*ORÇAMENTO!$AF$7)/$H37*OFFSET(ORÇAMENTO!$X$15,ROW(AE37)-ROW(AE$15),0),
ROUND(ROUND(OFFSET($P37,0,AE$13),15-13*ORÇAMENTO!$AF$7)*OFFSET(ORÇAMENTO!$W$15,ROW(AE37)-ROW(AE$15),0),15-13*ORÇAMENTO!$AF$11)),0)</f>
        <v>0</v>
      </c>
      <c r="AF37" s="545">
        <f ca="1">IF(AND($D37="Serviço",AF$12&lt;&gt;0,$H37&gt;0,OR(AUTOEVENTO&lt;&gt;"manual",$M37&lt;&gt;1)),
IF(Import.TipoArredondamento&lt;&gt;"TransfereGOV",
ROUND(OFFSET($P37,0,AF$13),15-13*ORÇAMENTO!$AF$7)/$H37*OFFSET(ORÇAMENTO!$X$15,ROW(AF37)-ROW(AF$15),0),
ROUND(ROUND(OFFSET($P37,0,AF$13),15-13*ORÇAMENTO!$AF$7)*OFFSET(ORÇAMENTO!$W$15,ROW(AF37)-ROW(AF$15),0),15-13*ORÇAMENTO!$AF$11)),0)</f>
        <v>0</v>
      </c>
      <c r="AG37" s="545">
        <f ca="1">IF(AND($D37="Serviço",AG$12&lt;&gt;0,$H37&gt;0,OR(AUTOEVENTO&lt;&gt;"manual",$M37&lt;&gt;1)),
IF(Import.TipoArredondamento&lt;&gt;"TransfereGOV",
ROUND(OFFSET($P37,0,AG$13),15-13*ORÇAMENTO!$AF$7)/$H37*OFFSET(ORÇAMENTO!$X$15,ROW(AG37)-ROW(AG$15),0),
ROUND(ROUND(OFFSET($P37,0,AG$13),15-13*ORÇAMENTO!$AF$7)*OFFSET(ORÇAMENTO!$W$15,ROW(AG37)-ROW(AG$15),0),15-13*ORÇAMENTO!$AF$11)),0)</f>
        <v>0</v>
      </c>
      <c r="AH37" s="545">
        <f ca="1">IF(AND($D37="Serviço",AH$12&lt;&gt;0,$H37&gt;0,OR(AUTOEVENTO&lt;&gt;"manual",$M37&lt;&gt;1)),
IF(Import.TipoArredondamento&lt;&gt;"TransfereGOV",
ROUND(OFFSET($P37,0,AH$13),15-13*ORÇAMENTO!$AF$7)/$H37*OFFSET(ORÇAMENTO!$X$15,ROW(AH37)-ROW(AH$15),0),
ROUND(ROUND(OFFSET($P37,0,AH$13),15-13*ORÇAMENTO!$AF$7)*OFFSET(ORÇAMENTO!$W$15,ROW(AH37)-ROW(AH$15),0),15-13*ORÇAMENTO!$AF$11)),0)</f>
        <v>0</v>
      </c>
      <c r="AI37" s="545">
        <f ca="1">IF(AND($D37="Serviço",AI$12&lt;&gt;0,$H37&gt;0,OR(AUTOEVENTO&lt;&gt;"manual",$M37&lt;&gt;1)),
IF(Import.TipoArredondamento&lt;&gt;"TransfereGOV",
ROUND(OFFSET($P37,0,AI$13),15-13*ORÇAMENTO!$AF$7)/$H37*OFFSET(ORÇAMENTO!$X$15,ROW(AI37)-ROW(AI$15),0),
ROUND(ROUND(OFFSET($P37,0,AI$13),15-13*ORÇAMENTO!$AF$7)*OFFSET(ORÇAMENTO!$W$15,ROW(AI37)-ROW(AI$15),0),15-13*ORÇAMENTO!$AF$11)),0)</f>
        <v>0</v>
      </c>
      <c r="AJ37" s="545">
        <f ca="1">IF(AND($D37="Serviço",AJ$12&lt;&gt;0,$H37&gt;0,OR(AUTOEVENTO&lt;&gt;"manual",$M37&lt;&gt;1)),
IF(Import.TipoArredondamento&lt;&gt;"TransfereGOV",
ROUND(OFFSET($P37,0,AJ$13),15-13*ORÇAMENTO!$AF$7)/$H37*OFFSET(ORÇAMENTO!$X$15,ROW(AJ37)-ROW(AJ$15),0),
ROUND(ROUND(OFFSET($P37,0,AJ$13),15-13*ORÇAMENTO!$AF$7)*OFFSET(ORÇAMENTO!$W$15,ROW(AJ37)-ROW(AJ$15),0),15-13*ORÇAMENTO!$AF$11)),0)</f>
        <v>0</v>
      </c>
      <c r="AK37" s="546">
        <f ca="1">IF(AND($D37="Serviço",AK$12&lt;&gt;0,$H37&gt;0,OR(AUTOEVENTO&lt;&gt;"manual",$M37&lt;&gt;1)),
IF(Import.TipoArredondamento&lt;&gt;"TransfereGOV",
ROUND(OFFSET($P37,0,AK$13),15-13*ORÇAMENTO!$AF$7)/$H37*OFFSET(ORÇAMENTO!$X$15,ROW(AK37)-ROW(AK$15),0),
ROUND(ROUND(OFFSET($P37,0,AK$13),15-13*ORÇAMENTO!$AF$7)*OFFSET(ORÇAMENTO!$W$15,ROW(AK37)-ROW(AK$15),0),15-13*ORÇAMENTO!$AF$11)),0)</f>
        <v>0</v>
      </c>
      <c r="AM37" s="181">
        <f ca="1">IF($D37&lt;&gt;"Serviço",0,IF(AND(AUTOEVENTO="Manual",$M37=1),0,IF(OFFSET(CRONOPLE!$F$14,$M37,AM$13)="",10^12,OFFSET(CRONOPLE!$F$14,$M37,AM$13))))</f>
        <v>1000000000000</v>
      </c>
      <c r="AN37" s="181">
        <f ca="1">IF($D37&lt;&gt;"Serviço",0,IF(AND(AUTOEVENTO="Manual",$M37=1),0,IF(OFFSET(CRONOPLE!$F$14,$M37,AN$13)="",10^12,OFFSET(CRONOPLE!$F$14,$M37,AN$13))))</f>
        <v>1000000000000</v>
      </c>
      <c r="AO37" s="181">
        <f ca="1">IF($D37&lt;&gt;"Serviço",0,IF(AND(AUTOEVENTO="Manual",$M37=1),0,IF(OFFSET(CRONOPLE!$F$14,$M37,AO$13)="",10^12,OFFSET(CRONOPLE!$F$14,$M37,AO$13))))</f>
        <v>1000000000000</v>
      </c>
      <c r="AP37" s="181">
        <f ca="1">IF($D37&lt;&gt;"Serviço",0,IF(AND(AUTOEVENTO="Manual",$M37=1),0,IF(OFFSET(CRONOPLE!$F$14,$M37,AP$13)="",10^12,OFFSET(CRONOPLE!$F$14,$M37,AP$13))))</f>
        <v>1000000000000</v>
      </c>
      <c r="AQ37" s="181">
        <f ca="1">IF($D37&lt;&gt;"Serviço",0,IF(AND(AUTOEVENTO="Manual",$M37=1),0,IF(OFFSET(CRONOPLE!$F$14,$M37,AQ$13)="",10^12,OFFSET(CRONOPLE!$F$14,$M37,AQ$13))))</f>
        <v>1000000000000</v>
      </c>
      <c r="AR37" s="181">
        <f ca="1">IF($D37&lt;&gt;"Serviço",0,IF(AND(AUTOEVENTO="Manual",$M37=1),0,IF(OFFSET(CRONOPLE!$F$14,$M37,AR$13)="",10^12,OFFSET(CRONOPLE!$F$14,$M37,AR$13))))</f>
        <v>1000000000000</v>
      </c>
      <c r="AS37" s="181">
        <f ca="1">IF($D37&lt;&gt;"Serviço",0,IF(AND(AUTOEVENTO="Manual",$M37=1),0,IF(OFFSET(CRONOPLE!$F$14,$M37,AS$13)="",10^12,OFFSET(CRONOPLE!$F$14,$M37,AS$13))))</f>
        <v>1000000000000</v>
      </c>
      <c r="AT37" s="181">
        <f ca="1">IF($D37&lt;&gt;"Serviço",0,IF(AND(AUTOEVENTO="Manual",$M37=1),0,IF(OFFSET(CRONOPLE!$F$14,$M37,AT$13)="",10^12,OFFSET(CRONOPLE!$F$14,$M37,AT$13))))</f>
        <v>1000000000000</v>
      </c>
      <c r="AU37" s="181">
        <f ca="1">IF($D37&lt;&gt;"Serviço",0,IF(AND(AUTOEVENTO="Manual",$M37=1),0,IF(OFFSET(CRONOPLE!$F$14,$M37,AU$13)="",10^12,OFFSET(CRONOPLE!$F$14,$M37,AU$13))))</f>
        <v>1000000000000</v>
      </c>
      <c r="AV37" s="181">
        <f ca="1">IF($D37&lt;&gt;"Serviço",0,IF(AND(AUTOEVENTO="Manual",$M37=1),0,IF(OFFSET(CRONOPLE!$F$14,$M37,AV$13)="",10^12,OFFSET(CRONOPLE!$F$14,$M37,AV$13))))</f>
        <v>1000000000000</v>
      </c>
      <c r="AX37" s="182">
        <f ca="1">IF($D37&lt;&gt;"Serviço",0,IF(OR(AND(AUTOEVENTO="Manual",$M37=1),$M37&gt;(ROW(PLE.lastrow)-ROW(PLE.firstrow))),0,IF(OFFSET(PLE!$G$14,$M37,AX$13)="",10^12,OFFSET(PLE!$G$14,$M37,AX$13))))</f>
        <v>1000000000000</v>
      </c>
      <c r="AY37" s="182">
        <f ca="1">IF($D37&lt;&gt;"Serviço",0,IF(OR(AND(AUTOEVENTO="Manual",$M37=1),$M37&gt;(ROW(PLE.lastrow)-ROW(PLE.firstrow))),0,IF(OFFSET(PLE!$G$14,$M37,AY$13)="",10^12,OFFSET(PLE!$G$14,$M37,AY$13))))</f>
        <v>1000000000000</v>
      </c>
      <c r="AZ37" s="182">
        <f ca="1">IF($D37&lt;&gt;"Serviço",0,IF(OR(AND(AUTOEVENTO="Manual",$M37=1),$M37&gt;(ROW(PLE.lastrow)-ROW(PLE.firstrow))),0,IF(OFFSET(PLE!$G$14,$M37,AZ$13)="",10^12,OFFSET(PLE!$G$14,$M37,AZ$13))))</f>
        <v>1000000000000</v>
      </c>
      <c r="BA37" s="182">
        <f ca="1">IF($D37&lt;&gt;"Serviço",0,IF(OR(AND(AUTOEVENTO="Manual",$M37=1),$M37&gt;(ROW(PLE.lastrow)-ROW(PLE.firstrow))),0,IF(OFFSET(PLE!$G$14,$M37,BA$13)="",10^12,OFFSET(PLE!$G$14,$M37,BA$13))))</f>
        <v>1000000000000</v>
      </c>
      <c r="BB37" s="182">
        <f ca="1">IF($D37&lt;&gt;"Serviço",0,IF(OR(AND(AUTOEVENTO="Manual",$M37=1),$M37&gt;(ROW(PLE.lastrow)-ROW(PLE.firstrow))),0,IF(OFFSET(PLE!$G$14,$M37,BB$13)="",10^12,OFFSET(PLE!$G$14,$M37,BB$13))))</f>
        <v>1000000000000</v>
      </c>
      <c r="BC37" s="182">
        <f ca="1">IF($D37&lt;&gt;"Serviço",0,IF(OR(AND(AUTOEVENTO="Manual",$M37=1),$M37&gt;(ROW(PLE.lastrow)-ROW(PLE.firstrow))),0,IF(OFFSET(PLE!$G$14,$M37,BC$13)="",10^12,OFFSET(PLE!$G$14,$M37,BC$13))))</f>
        <v>1000000000000</v>
      </c>
      <c r="BD37" s="182">
        <f ca="1">IF($D37&lt;&gt;"Serviço",0,IF(OR(AND(AUTOEVENTO="Manual",$M37=1),$M37&gt;(ROW(PLE.lastrow)-ROW(PLE.firstrow))),0,IF(OFFSET(PLE!$G$14,$M37,BD$13)="",10^12,OFFSET(PLE!$G$14,$M37,BD$13))))</f>
        <v>1000000000000</v>
      </c>
      <c r="BE37" s="182">
        <f ca="1">IF($D37&lt;&gt;"Serviço",0,IF(OR(AND(AUTOEVENTO="Manual",$M37=1),$M37&gt;(ROW(PLE.lastrow)-ROW(PLE.firstrow))),0,IF(OFFSET(PLE!$G$14,$M37,BE$13)="",10^12,OFFSET(PLE!$G$14,$M37,BE$13))))</f>
        <v>1000000000000</v>
      </c>
      <c r="BF37" s="182">
        <f ca="1">IF($D37&lt;&gt;"Serviço",0,IF(OR(AND(AUTOEVENTO="Manual",$M37=1),$M37&gt;(ROW(PLE.lastrow)-ROW(PLE.firstrow))),0,IF(OFFSET(PLE!$G$14,$M37,BF$13)="",10^12,OFFSET(PLE!$G$14,$M37,BF$13))))</f>
        <v>1000000000000</v>
      </c>
      <c r="BG37" s="182">
        <f ca="1">IF($D37&lt;&gt;"Serviço",0,IF(OR(AND(AUTOEVENTO="Manual",$M37=1),$M37&gt;(ROW(PLE.lastrow)-ROW(PLE.firstrow))),0,IF(OFFSET(PLE!$G$14,$M37,BG$13)="",10^12,OFFSET(PLE!$G$14,$M37,BG$13))))</f>
        <v>1000000000000</v>
      </c>
    </row>
    <row r="38" spans="1:59" ht="38.25" x14ac:dyDescent="0.2">
      <c r="A38" s="7" t="str">
        <f t="shared" ca="1" si="8"/>
        <v>20</v>
      </c>
      <c r="B38" s="7" t="str">
        <f ca="1">OFFSET(ORÇAMENTO!C$15,ROW(B38)-ROW(B$15),0)</f>
        <v>S</v>
      </c>
      <c r="C38" s="7" t="str">
        <f ca="1">OFFSET(ORÇAMENTO!L$15,ROW(C38)-ROW(C$15),0)</f>
        <v/>
      </c>
      <c r="D38" s="118" t="str">
        <f ca="1">OFFSET(ORÇAMENTO!N$15,ROW(D38)-ROW(D$15),0)</f>
        <v>Serviço</v>
      </c>
      <c r="E38" s="119" t="str">
        <f ca="1">OFFSET(ORÇAMENTO!O$15,ROW(E38)-ROW(E$15),0)</f>
        <v>-</v>
      </c>
      <c r="F38" s="172" t="str">
        <f ca="1">OFFSET(ORÇAMENTO!R$15,ROW(F38)-ROW(F$15),0)</f>
        <v>(abra o arquivo 'Referência 02-2025.xlsm)</v>
      </c>
      <c r="G38" s="173" t="str">
        <f ca="1">IF($D38&lt;&gt;"Serviço","",OFFSET(ORÇAMENTO!S$15,ROW(G38)-ROW(G$15),0))</f>
        <v>-</v>
      </c>
      <c r="H38" s="124">
        <f ca="1">IF($D38&lt;&gt;"Serviço",0,IF(ACOMPANHAMENTO="BM",ROUND(OFFSET(ORÇAMENTO!AJ$15,ROW(H38)-ROW(H$15),0),15-13*ORÇAMENTO!$AF$7),SUMPRODUCT(($Q$12:$AA$12&lt;&gt;"")*ROUND($Q38:$AA38,15-13*ORÇAMENTO!$AF$7))))</f>
        <v>448</v>
      </c>
      <c r="I38" s="561" t="s">
        <v>890</v>
      </c>
      <c r="K38" s="174"/>
      <c r="L38" s="175" t="s">
        <v>255</v>
      </c>
      <c r="M38" s="176">
        <f ca="1">IF($D38&lt;&gt;"Serviço","",IF(AUTOEVENTO="manual",$A38,IF(ISERROR(MATCH($A38,$A$15:OFFSET($A38,-1,0),0)),MAX($M$15:OFFSET(M38,-1,0))+1,INDEX($M$15:OFFSET(M38,-1,0),MATCH($A38,$A$15:OFFSET($A38,-1,0),0)))))</f>
        <v>4</v>
      </c>
      <c r="N38" s="177" t="str">
        <f ca="1">IF($D38&lt;&gt;"Serviço","",IF(AUTOEVENTO="Manual",IF($A38=0,"&lt;-- defina o número do agrupador",OFFSET(EVENTOS!$D$14,$A38,0)),OFFSET($F$15,$A38,0)))</f>
        <v>FUNDAÇÕES</v>
      </c>
      <c r="O38" s="178"/>
      <c r="Q38" s="178"/>
      <c r="R38" s="179"/>
      <c r="S38" s="179"/>
      <c r="T38" s="179"/>
      <c r="U38" s="179"/>
      <c r="V38" s="179"/>
      <c r="W38" s="179"/>
      <c r="X38" s="179"/>
      <c r="Y38" s="179"/>
      <c r="Z38" s="180"/>
      <c r="AB38" s="544">
        <f ca="1">IF(AND($D38="Serviço",AB$12&lt;&gt;0,$H38&gt;0,OR(AUTOEVENTO&lt;&gt;"manual",$M38&lt;&gt;1)),
IF(Import.TipoArredondamento&lt;&gt;"TransfereGOV",
ROUND(OFFSET($P38,0,AB$13),15-13*ORÇAMENTO!$AF$7)/$H38*OFFSET(ORÇAMENTO!$X$15,ROW(AB38)-ROW(AB$15),0),
ROUND(ROUND(OFFSET($P38,0,AB$13),15-13*ORÇAMENTO!$AF$7)*OFFSET(ORÇAMENTO!$W$15,ROW(AB38)-ROW(AB$15),0),15-13*ORÇAMENTO!$AF$11)),0)</f>
        <v>0</v>
      </c>
      <c r="AC38" s="545">
        <f ca="1">IF(AND($D38="Serviço",AC$12&lt;&gt;0,$H38&gt;0,OR(AUTOEVENTO&lt;&gt;"manual",$M38&lt;&gt;1)),
IF(Import.TipoArredondamento&lt;&gt;"TransfereGOV",
ROUND(OFFSET($P38,0,AC$13),15-13*ORÇAMENTO!$AF$7)/$H38*OFFSET(ORÇAMENTO!$X$15,ROW(AC38)-ROW(AC$15),0),
ROUND(ROUND(OFFSET($P38,0,AC$13),15-13*ORÇAMENTO!$AF$7)*OFFSET(ORÇAMENTO!$W$15,ROW(AC38)-ROW(AC$15),0),15-13*ORÇAMENTO!$AF$11)),0)</f>
        <v>0</v>
      </c>
      <c r="AD38" s="545">
        <f ca="1">IF(AND($D38="Serviço",AD$12&lt;&gt;0,$H38&gt;0,OR(AUTOEVENTO&lt;&gt;"manual",$M38&lt;&gt;1)),
IF(Import.TipoArredondamento&lt;&gt;"TransfereGOV",
ROUND(OFFSET($P38,0,AD$13),15-13*ORÇAMENTO!$AF$7)/$H38*OFFSET(ORÇAMENTO!$X$15,ROW(AD38)-ROW(AD$15),0),
ROUND(ROUND(OFFSET($P38,0,AD$13),15-13*ORÇAMENTO!$AF$7)*OFFSET(ORÇAMENTO!$W$15,ROW(AD38)-ROW(AD$15),0),15-13*ORÇAMENTO!$AF$11)),0)</f>
        <v>0</v>
      </c>
      <c r="AE38" s="545">
        <f ca="1">IF(AND($D38="Serviço",AE$12&lt;&gt;0,$H38&gt;0,OR(AUTOEVENTO&lt;&gt;"manual",$M38&lt;&gt;1)),
IF(Import.TipoArredondamento&lt;&gt;"TransfereGOV",
ROUND(OFFSET($P38,0,AE$13),15-13*ORÇAMENTO!$AF$7)/$H38*OFFSET(ORÇAMENTO!$X$15,ROW(AE38)-ROW(AE$15),0),
ROUND(ROUND(OFFSET($P38,0,AE$13),15-13*ORÇAMENTO!$AF$7)*OFFSET(ORÇAMENTO!$W$15,ROW(AE38)-ROW(AE$15),0),15-13*ORÇAMENTO!$AF$11)),0)</f>
        <v>0</v>
      </c>
      <c r="AF38" s="545">
        <f ca="1">IF(AND($D38="Serviço",AF$12&lt;&gt;0,$H38&gt;0,OR(AUTOEVENTO&lt;&gt;"manual",$M38&lt;&gt;1)),
IF(Import.TipoArredondamento&lt;&gt;"TransfereGOV",
ROUND(OFFSET($P38,0,AF$13),15-13*ORÇAMENTO!$AF$7)/$H38*OFFSET(ORÇAMENTO!$X$15,ROW(AF38)-ROW(AF$15),0),
ROUND(ROUND(OFFSET($P38,0,AF$13),15-13*ORÇAMENTO!$AF$7)*OFFSET(ORÇAMENTO!$W$15,ROW(AF38)-ROW(AF$15),0),15-13*ORÇAMENTO!$AF$11)),0)</f>
        <v>0</v>
      </c>
      <c r="AG38" s="545">
        <f ca="1">IF(AND($D38="Serviço",AG$12&lt;&gt;0,$H38&gt;0,OR(AUTOEVENTO&lt;&gt;"manual",$M38&lt;&gt;1)),
IF(Import.TipoArredondamento&lt;&gt;"TransfereGOV",
ROUND(OFFSET($P38,0,AG$13),15-13*ORÇAMENTO!$AF$7)/$H38*OFFSET(ORÇAMENTO!$X$15,ROW(AG38)-ROW(AG$15),0),
ROUND(ROUND(OFFSET($P38,0,AG$13),15-13*ORÇAMENTO!$AF$7)*OFFSET(ORÇAMENTO!$W$15,ROW(AG38)-ROW(AG$15),0),15-13*ORÇAMENTO!$AF$11)),0)</f>
        <v>0</v>
      </c>
      <c r="AH38" s="545">
        <f ca="1">IF(AND($D38="Serviço",AH$12&lt;&gt;0,$H38&gt;0,OR(AUTOEVENTO&lt;&gt;"manual",$M38&lt;&gt;1)),
IF(Import.TipoArredondamento&lt;&gt;"TransfereGOV",
ROUND(OFFSET($P38,0,AH$13),15-13*ORÇAMENTO!$AF$7)/$H38*OFFSET(ORÇAMENTO!$X$15,ROW(AH38)-ROW(AH$15),0),
ROUND(ROUND(OFFSET($P38,0,AH$13),15-13*ORÇAMENTO!$AF$7)*OFFSET(ORÇAMENTO!$W$15,ROW(AH38)-ROW(AH$15),0),15-13*ORÇAMENTO!$AF$11)),0)</f>
        <v>0</v>
      </c>
      <c r="AI38" s="545">
        <f ca="1">IF(AND($D38="Serviço",AI$12&lt;&gt;0,$H38&gt;0,OR(AUTOEVENTO&lt;&gt;"manual",$M38&lt;&gt;1)),
IF(Import.TipoArredondamento&lt;&gt;"TransfereGOV",
ROUND(OFFSET($P38,0,AI$13),15-13*ORÇAMENTO!$AF$7)/$H38*OFFSET(ORÇAMENTO!$X$15,ROW(AI38)-ROW(AI$15),0),
ROUND(ROUND(OFFSET($P38,0,AI$13),15-13*ORÇAMENTO!$AF$7)*OFFSET(ORÇAMENTO!$W$15,ROW(AI38)-ROW(AI$15),0),15-13*ORÇAMENTO!$AF$11)),0)</f>
        <v>0</v>
      </c>
      <c r="AJ38" s="545">
        <f ca="1">IF(AND($D38="Serviço",AJ$12&lt;&gt;0,$H38&gt;0,OR(AUTOEVENTO&lt;&gt;"manual",$M38&lt;&gt;1)),
IF(Import.TipoArredondamento&lt;&gt;"TransfereGOV",
ROUND(OFFSET($P38,0,AJ$13),15-13*ORÇAMENTO!$AF$7)/$H38*OFFSET(ORÇAMENTO!$X$15,ROW(AJ38)-ROW(AJ$15),0),
ROUND(ROUND(OFFSET($P38,0,AJ$13),15-13*ORÇAMENTO!$AF$7)*OFFSET(ORÇAMENTO!$W$15,ROW(AJ38)-ROW(AJ$15),0),15-13*ORÇAMENTO!$AF$11)),0)</f>
        <v>0</v>
      </c>
      <c r="AK38" s="546">
        <f ca="1">IF(AND($D38="Serviço",AK$12&lt;&gt;0,$H38&gt;0,OR(AUTOEVENTO&lt;&gt;"manual",$M38&lt;&gt;1)),
IF(Import.TipoArredondamento&lt;&gt;"TransfereGOV",
ROUND(OFFSET($P38,0,AK$13),15-13*ORÇAMENTO!$AF$7)/$H38*OFFSET(ORÇAMENTO!$X$15,ROW(AK38)-ROW(AK$15),0),
ROUND(ROUND(OFFSET($P38,0,AK$13),15-13*ORÇAMENTO!$AF$7)*OFFSET(ORÇAMENTO!$W$15,ROW(AK38)-ROW(AK$15),0),15-13*ORÇAMENTO!$AF$11)),0)</f>
        <v>0</v>
      </c>
      <c r="AM38" s="181">
        <f ca="1">IF($D38&lt;&gt;"Serviço",0,IF(AND(AUTOEVENTO="Manual",$M38=1),0,IF(OFFSET(CRONOPLE!$F$14,$M38,AM$13)="",10^12,OFFSET(CRONOPLE!$F$14,$M38,AM$13))))</f>
        <v>1000000000000</v>
      </c>
      <c r="AN38" s="181">
        <f ca="1">IF($D38&lt;&gt;"Serviço",0,IF(AND(AUTOEVENTO="Manual",$M38=1),0,IF(OFFSET(CRONOPLE!$F$14,$M38,AN$13)="",10^12,OFFSET(CRONOPLE!$F$14,$M38,AN$13))))</f>
        <v>1000000000000</v>
      </c>
      <c r="AO38" s="181">
        <f ca="1">IF($D38&lt;&gt;"Serviço",0,IF(AND(AUTOEVENTO="Manual",$M38=1),0,IF(OFFSET(CRONOPLE!$F$14,$M38,AO$13)="",10^12,OFFSET(CRONOPLE!$F$14,$M38,AO$13))))</f>
        <v>1000000000000</v>
      </c>
      <c r="AP38" s="181">
        <f ca="1">IF($D38&lt;&gt;"Serviço",0,IF(AND(AUTOEVENTO="Manual",$M38=1),0,IF(OFFSET(CRONOPLE!$F$14,$M38,AP$13)="",10^12,OFFSET(CRONOPLE!$F$14,$M38,AP$13))))</f>
        <v>1000000000000</v>
      </c>
      <c r="AQ38" s="181">
        <f ca="1">IF($D38&lt;&gt;"Serviço",0,IF(AND(AUTOEVENTO="Manual",$M38=1),0,IF(OFFSET(CRONOPLE!$F$14,$M38,AQ$13)="",10^12,OFFSET(CRONOPLE!$F$14,$M38,AQ$13))))</f>
        <v>1000000000000</v>
      </c>
      <c r="AR38" s="181">
        <f ca="1">IF($D38&lt;&gt;"Serviço",0,IF(AND(AUTOEVENTO="Manual",$M38=1),0,IF(OFFSET(CRONOPLE!$F$14,$M38,AR$13)="",10^12,OFFSET(CRONOPLE!$F$14,$M38,AR$13))))</f>
        <v>1000000000000</v>
      </c>
      <c r="AS38" s="181">
        <f ca="1">IF($D38&lt;&gt;"Serviço",0,IF(AND(AUTOEVENTO="Manual",$M38=1),0,IF(OFFSET(CRONOPLE!$F$14,$M38,AS$13)="",10^12,OFFSET(CRONOPLE!$F$14,$M38,AS$13))))</f>
        <v>1000000000000</v>
      </c>
      <c r="AT38" s="181">
        <f ca="1">IF($D38&lt;&gt;"Serviço",0,IF(AND(AUTOEVENTO="Manual",$M38=1),0,IF(OFFSET(CRONOPLE!$F$14,$M38,AT$13)="",10^12,OFFSET(CRONOPLE!$F$14,$M38,AT$13))))</f>
        <v>1000000000000</v>
      </c>
      <c r="AU38" s="181">
        <f ca="1">IF($D38&lt;&gt;"Serviço",0,IF(AND(AUTOEVENTO="Manual",$M38=1),0,IF(OFFSET(CRONOPLE!$F$14,$M38,AU$13)="",10^12,OFFSET(CRONOPLE!$F$14,$M38,AU$13))))</f>
        <v>1000000000000</v>
      </c>
      <c r="AV38" s="181">
        <f ca="1">IF($D38&lt;&gt;"Serviço",0,IF(AND(AUTOEVENTO="Manual",$M38=1),0,IF(OFFSET(CRONOPLE!$F$14,$M38,AV$13)="",10^12,OFFSET(CRONOPLE!$F$14,$M38,AV$13))))</f>
        <v>1000000000000</v>
      </c>
      <c r="AX38" s="182">
        <f ca="1">IF($D38&lt;&gt;"Serviço",0,IF(OR(AND(AUTOEVENTO="Manual",$M38=1),$M38&gt;(ROW(PLE.lastrow)-ROW(PLE.firstrow))),0,IF(OFFSET(PLE!$G$14,$M38,AX$13)="",10^12,OFFSET(PLE!$G$14,$M38,AX$13))))</f>
        <v>1000000000000</v>
      </c>
      <c r="AY38" s="182">
        <f ca="1">IF($D38&lt;&gt;"Serviço",0,IF(OR(AND(AUTOEVENTO="Manual",$M38=1),$M38&gt;(ROW(PLE.lastrow)-ROW(PLE.firstrow))),0,IF(OFFSET(PLE!$G$14,$M38,AY$13)="",10^12,OFFSET(PLE!$G$14,$M38,AY$13))))</f>
        <v>1000000000000</v>
      </c>
      <c r="AZ38" s="182">
        <f ca="1">IF($D38&lt;&gt;"Serviço",0,IF(OR(AND(AUTOEVENTO="Manual",$M38=1),$M38&gt;(ROW(PLE.lastrow)-ROW(PLE.firstrow))),0,IF(OFFSET(PLE!$G$14,$M38,AZ$13)="",10^12,OFFSET(PLE!$G$14,$M38,AZ$13))))</f>
        <v>1000000000000</v>
      </c>
      <c r="BA38" s="182">
        <f ca="1">IF($D38&lt;&gt;"Serviço",0,IF(OR(AND(AUTOEVENTO="Manual",$M38=1),$M38&gt;(ROW(PLE.lastrow)-ROW(PLE.firstrow))),0,IF(OFFSET(PLE!$G$14,$M38,BA$13)="",10^12,OFFSET(PLE!$G$14,$M38,BA$13))))</f>
        <v>1000000000000</v>
      </c>
      <c r="BB38" s="182">
        <f ca="1">IF($D38&lt;&gt;"Serviço",0,IF(OR(AND(AUTOEVENTO="Manual",$M38=1),$M38&gt;(ROW(PLE.lastrow)-ROW(PLE.firstrow))),0,IF(OFFSET(PLE!$G$14,$M38,BB$13)="",10^12,OFFSET(PLE!$G$14,$M38,BB$13))))</f>
        <v>1000000000000</v>
      </c>
      <c r="BC38" s="182">
        <f ca="1">IF($D38&lt;&gt;"Serviço",0,IF(OR(AND(AUTOEVENTO="Manual",$M38=1),$M38&gt;(ROW(PLE.lastrow)-ROW(PLE.firstrow))),0,IF(OFFSET(PLE!$G$14,$M38,BC$13)="",10^12,OFFSET(PLE!$G$14,$M38,BC$13))))</f>
        <v>1000000000000</v>
      </c>
      <c r="BD38" s="182">
        <f ca="1">IF($D38&lt;&gt;"Serviço",0,IF(OR(AND(AUTOEVENTO="Manual",$M38=1),$M38&gt;(ROW(PLE.lastrow)-ROW(PLE.firstrow))),0,IF(OFFSET(PLE!$G$14,$M38,BD$13)="",10^12,OFFSET(PLE!$G$14,$M38,BD$13))))</f>
        <v>1000000000000</v>
      </c>
      <c r="BE38" s="182">
        <f ca="1">IF($D38&lt;&gt;"Serviço",0,IF(OR(AND(AUTOEVENTO="Manual",$M38=1),$M38&gt;(ROW(PLE.lastrow)-ROW(PLE.firstrow))),0,IF(OFFSET(PLE!$G$14,$M38,BE$13)="",10^12,OFFSET(PLE!$G$14,$M38,BE$13))))</f>
        <v>1000000000000</v>
      </c>
      <c r="BF38" s="182">
        <f ca="1">IF($D38&lt;&gt;"Serviço",0,IF(OR(AND(AUTOEVENTO="Manual",$M38=1),$M38&gt;(ROW(PLE.lastrow)-ROW(PLE.firstrow))),0,IF(OFFSET(PLE!$G$14,$M38,BF$13)="",10^12,OFFSET(PLE!$G$14,$M38,BF$13))))</f>
        <v>1000000000000</v>
      </c>
      <c r="BG38" s="182">
        <f ca="1">IF($D38&lt;&gt;"Serviço",0,IF(OR(AND(AUTOEVENTO="Manual",$M38=1),$M38&gt;(ROW(PLE.lastrow)-ROW(PLE.firstrow))),0,IF(OFFSET(PLE!$G$14,$M38,BG$13)="",10^12,OFFSET(PLE!$G$14,$M38,BG$13))))</f>
        <v>1000000000000</v>
      </c>
    </row>
    <row r="39" spans="1:59" ht="25.5" x14ac:dyDescent="0.2">
      <c r="A39" s="7" t="str">
        <f ca="1">IF(AUTOEVENTO="Manual",IF(K39&lt;&gt;"",MIN(VALUE(LEFT(K39,FIND(".",K39)-1)),COUNTA(EVENTOS.Lista)),0),IF(OR($B39&gt;AUTOEVENTO,$B39="S",$B39=0),SUBSTITUTE(OFFSET($A39,-1,0),IF($D39="Serviço",".",""),""),ROW(A39)-ROW($A$15)&amp;"."))</f>
        <v>20</v>
      </c>
      <c r="B39" s="7" t="str">
        <f ca="1">OFFSET(ORÇAMENTO!C$15,ROW(B39)-ROW(B$15),0)</f>
        <v>S</v>
      </c>
      <c r="C39" s="7" t="str">
        <f ca="1">OFFSET(ORÇAMENTO!L$15,ROW(C39)-ROW(C$15),0)</f>
        <v/>
      </c>
      <c r="D39" s="118" t="str">
        <f ca="1">OFFSET(ORÇAMENTO!N$15,ROW(D39)-ROW(D$15),0)</f>
        <v>Serviço</v>
      </c>
      <c r="E39" s="119" t="str">
        <f ca="1">OFFSET(ORÇAMENTO!O$15,ROW(E39)-ROW(E$15),0)</f>
        <v>-</v>
      </c>
      <c r="F39" s="172" t="str">
        <f ca="1">OFFSET(ORÇAMENTO!R$15,ROW(F39)-ROW(F$15),0)</f>
        <v>ARRASAMENTO MECANICO DE ESTACA DE CONCRETO ARMADO, DIAMETROS DE ATÉ 40 CM. AF_05/2021</v>
      </c>
      <c r="G39" s="173" t="str">
        <f ca="1">IF($D39&lt;&gt;"Serviço","",OFFSET(ORÇAMENTO!S$15,ROW(G39)-ROW(G$15),0))</f>
        <v>-</v>
      </c>
      <c r="H39" s="124">
        <f ca="1">IF($D39&lt;&gt;"Serviço",0,IF(ACOMPANHAMENTO="BM",ROUND(OFFSET(ORÇAMENTO!AJ$15,ROW(H39)-ROW(H$15),0),15-13*ORÇAMENTO!$AF$7),SUMPRODUCT(($Q$12:$AA$12&lt;&gt;"")*ROUND($Q39:$AA39,15-13*ORÇAMENTO!$AF$7))))</f>
        <v>166</v>
      </c>
      <c r="I39" s="561"/>
      <c r="K39" s="174"/>
      <c r="L39" s="175" t="s">
        <v>255</v>
      </c>
      <c r="M39" s="176">
        <f ca="1">IF($D39&lt;&gt;"Serviço","",IF(AUTOEVENTO="manual",$A39,IF(ISERROR(MATCH($A39,$A$15:OFFSET($A39,-1,0),0)),MAX($M$15:OFFSET(M39,-1,0))+1,INDEX($M$15:OFFSET(M39,-1,0),MATCH($A39,$A$15:OFFSET($A39,-1,0),0)))))</f>
        <v>4</v>
      </c>
      <c r="N39" s="177" t="str">
        <f ca="1">IF($D39&lt;&gt;"Serviço","",IF(AUTOEVENTO="Manual",IF($A39=0,"&lt;-- defina o número do agrupador",OFFSET(EVENTOS!$D$14,$A39,0)),OFFSET($F$15,$A39,0)))</f>
        <v>FUNDAÇÕES</v>
      </c>
      <c r="O39" s="178"/>
      <c r="Q39" s="178"/>
      <c r="R39" s="179"/>
      <c r="S39" s="179"/>
      <c r="T39" s="179"/>
      <c r="U39" s="179"/>
      <c r="V39" s="179"/>
      <c r="W39" s="179"/>
      <c r="X39" s="179"/>
      <c r="Y39" s="179"/>
      <c r="Z39" s="180"/>
      <c r="AB39" s="544">
        <f ca="1">IF(AND($D39="Serviço",AB$12&lt;&gt;0,$H39&gt;0,OR(AUTOEVENTO&lt;&gt;"manual",$M39&lt;&gt;1)),
IF(Import.TipoArredondamento&lt;&gt;"TransfereGOV",
ROUND(OFFSET($P39,0,AB$13),15-13*ORÇAMENTO!$AF$7)/$H39*OFFSET(ORÇAMENTO!$X$15,ROW(AB39)-ROW(AB$15),0),
ROUND(ROUND(OFFSET($P39,0,AB$13),15-13*ORÇAMENTO!$AF$7)*OFFSET(ORÇAMENTO!$W$15,ROW(AB39)-ROW(AB$15),0),15-13*ORÇAMENTO!$AF$11)),0)</f>
        <v>0</v>
      </c>
      <c r="AC39" s="545">
        <f ca="1">IF(AND($D39="Serviço",AC$12&lt;&gt;0,$H39&gt;0,OR(AUTOEVENTO&lt;&gt;"manual",$M39&lt;&gt;1)),
IF(Import.TipoArredondamento&lt;&gt;"TransfereGOV",
ROUND(OFFSET($P39,0,AC$13),15-13*ORÇAMENTO!$AF$7)/$H39*OFFSET(ORÇAMENTO!$X$15,ROW(AC39)-ROW(AC$15),0),
ROUND(ROUND(OFFSET($P39,0,AC$13),15-13*ORÇAMENTO!$AF$7)*OFFSET(ORÇAMENTO!$W$15,ROW(AC39)-ROW(AC$15),0),15-13*ORÇAMENTO!$AF$11)),0)</f>
        <v>0</v>
      </c>
      <c r="AD39" s="545">
        <f ca="1">IF(AND($D39="Serviço",AD$12&lt;&gt;0,$H39&gt;0,OR(AUTOEVENTO&lt;&gt;"manual",$M39&lt;&gt;1)),
IF(Import.TipoArredondamento&lt;&gt;"TransfereGOV",
ROUND(OFFSET($P39,0,AD$13),15-13*ORÇAMENTO!$AF$7)/$H39*OFFSET(ORÇAMENTO!$X$15,ROW(AD39)-ROW(AD$15),0),
ROUND(ROUND(OFFSET($P39,0,AD$13),15-13*ORÇAMENTO!$AF$7)*OFFSET(ORÇAMENTO!$W$15,ROW(AD39)-ROW(AD$15),0),15-13*ORÇAMENTO!$AF$11)),0)</f>
        <v>0</v>
      </c>
      <c r="AE39" s="545">
        <f ca="1">IF(AND($D39="Serviço",AE$12&lt;&gt;0,$H39&gt;0,OR(AUTOEVENTO&lt;&gt;"manual",$M39&lt;&gt;1)),
IF(Import.TipoArredondamento&lt;&gt;"TransfereGOV",
ROUND(OFFSET($P39,0,AE$13),15-13*ORÇAMENTO!$AF$7)/$H39*OFFSET(ORÇAMENTO!$X$15,ROW(AE39)-ROW(AE$15),0),
ROUND(ROUND(OFFSET($P39,0,AE$13),15-13*ORÇAMENTO!$AF$7)*OFFSET(ORÇAMENTO!$W$15,ROW(AE39)-ROW(AE$15),0),15-13*ORÇAMENTO!$AF$11)),0)</f>
        <v>0</v>
      </c>
      <c r="AF39" s="545">
        <f ca="1">IF(AND($D39="Serviço",AF$12&lt;&gt;0,$H39&gt;0,OR(AUTOEVENTO&lt;&gt;"manual",$M39&lt;&gt;1)),
IF(Import.TipoArredondamento&lt;&gt;"TransfereGOV",
ROUND(OFFSET($P39,0,AF$13),15-13*ORÇAMENTO!$AF$7)/$H39*OFFSET(ORÇAMENTO!$X$15,ROW(AF39)-ROW(AF$15),0),
ROUND(ROUND(OFFSET($P39,0,AF$13),15-13*ORÇAMENTO!$AF$7)*OFFSET(ORÇAMENTO!$W$15,ROW(AF39)-ROW(AF$15),0),15-13*ORÇAMENTO!$AF$11)),0)</f>
        <v>0</v>
      </c>
      <c r="AG39" s="545">
        <f ca="1">IF(AND($D39="Serviço",AG$12&lt;&gt;0,$H39&gt;0,OR(AUTOEVENTO&lt;&gt;"manual",$M39&lt;&gt;1)),
IF(Import.TipoArredondamento&lt;&gt;"TransfereGOV",
ROUND(OFFSET($P39,0,AG$13),15-13*ORÇAMENTO!$AF$7)/$H39*OFFSET(ORÇAMENTO!$X$15,ROW(AG39)-ROW(AG$15),0),
ROUND(ROUND(OFFSET($P39,0,AG$13),15-13*ORÇAMENTO!$AF$7)*OFFSET(ORÇAMENTO!$W$15,ROW(AG39)-ROW(AG$15),0),15-13*ORÇAMENTO!$AF$11)),0)</f>
        <v>0</v>
      </c>
      <c r="AH39" s="545">
        <f ca="1">IF(AND($D39="Serviço",AH$12&lt;&gt;0,$H39&gt;0,OR(AUTOEVENTO&lt;&gt;"manual",$M39&lt;&gt;1)),
IF(Import.TipoArredondamento&lt;&gt;"TransfereGOV",
ROUND(OFFSET($P39,0,AH$13),15-13*ORÇAMENTO!$AF$7)/$H39*OFFSET(ORÇAMENTO!$X$15,ROW(AH39)-ROW(AH$15),0),
ROUND(ROUND(OFFSET($P39,0,AH$13),15-13*ORÇAMENTO!$AF$7)*OFFSET(ORÇAMENTO!$W$15,ROW(AH39)-ROW(AH$15),0),15-13*ORÇAMENTO!$AF$11)),0)</f>
        <v>0</v>
      </c>
      <c r="AI39" s="545">
        <f ca="1">IF(AND($D39="Serviço",AI$12&lt;&gt;0,$H39&gt;0,OR(AUTOEVENTO&lt;&gt;"manual",$M39&lt;&gt;1)),
IF(Import.TipoArredondamento&lt;&gt;"TransfereGOV",
ROUND(OFFSET($P39,0,AI$13),15-13*ORÇAMENTO!$AF$7)/$H39*OFFSET(ORÇAMENTO!$X$15,ROW(AI39)-ROW(AI$15),0),
ROUND(ROUND(OFFSET($P39,0,AI$13),15-13*ORÇAMENTO!$AF$7)*OFFSET(ORÇAMENTO!$W$15,ROW(AI39)-ROW(AI$15),0),15-13*ORÇAMENTO!$AF$11)),0)</f>
        <v>0</v>
      </c>
      <c r="AJ39" s="545">
        <f ca="1">IF(AND($D39="Serviço",AJ$12&lt;&gt;0,$H39&gt;0,OR(AUTOEVENTO&lt;&gt;"manual",$M39&lt;&gt;1)),
IF(Import.TipoArredondamento&lt;&gt;"TransfereGOV",
ROUND(OFFSET($P39,0,AJ$13),15-13*ORÇAMENTO!$AF$7)/$H39*OFFSET(ORÇAMENTO!$X$15,ROW(AJ39)-ROW(AJ$15),0),
ROUND(ROUND(OFFSET($P39,0,AJ$13),15-13*ORÇAMENTO!$AF$7)*OFFSET(ORÇAMENTO!$W$15,ROW(AJ39)-ROW(AJ$15),0),15-13*ORÇAMENTO!$AF$11)),0)</f>
        <v>0</v>
      </c>
      <c r="AK39" s="546">
        <f ca="1">IF(AND($D39="Serviço",AK$12&lt;&gt;0,$H39&gt;0,OR(AUTOEVENTO&lt;&gt;"manual",$M39&lt;&gt;1)),
IF(Import.TipoArredondamento&lt;&gt;"TransfereGOV",
ROUND(OFFSET($P39,0,AK$13),15-13*ORÇAMENTO!$AF$7)/$H39*OFFSET(ORÇAMENTO!$X$15,ROW(AK39)-ROW(AK$15),0),
ROUND(ROUND(OFFSET($P39,0,AK$13),15-13*ORÇAMENTO!$AF$7)*OFFSET(ORÇAMENTO!$W$15,ROW(AK39)-ROW(AK$15),0),15-13*ORÇAMENTO!$AF$11)),0)</f>
        <v>0</v>
      </c>
      <c r="AM39" s="181">
        <f ca="1">IF($D39&lt;&gt;"Serviço",0,IF(AND(AUTOEVENTO="Manual",$M39=1),0,IF(OFFSET(CRONOPLE!$F$14,$M39,AM$13)="",10^12,OFFSET(CRONOPLE!$F$14,$M39,AM$13))))</f>
        <v>1000000000000</v>
      </c>
      <c r="AN39" s="181">
        <f ca="1">IF($D39&lt;&gt;"Serviço",0,IF(AND(AUTOEVENTO="Manual",$M39=1),0,IF(OFFSET(CRONOPLE!$F$14,$M39,AN$13)="",10^12,OFFSET(CRONOPLE!$F$14,$M39,AN$13))))</f>
        <v>1000000000000</v>
      </c>
      <c r="AO39" s="181">
        <f ca="1">IF($D39&lt;&gt;"Serviço",0,IF(AND(AUTOEVENTO="Manual",$M39=1),0,IF(OFFSET(CRONOPLE!$F$14,$M39,AO$13)="",10^12,OFFSET(CRONOPLE!$F$14,$M39,AO$13))))</f>
        <v>1000000000000</v>
      </c>
      <c r="AP39" s="181">
        <f ca="1">IF($D39&lt;&gt;"Serviço",0,IF(AND(AUTOEVENTO="Manual",$M39=1),0,IF(OFFSET(CRONOPLE!$F$14,$M39,AP$13)="",10^12,OFFSET(CRONOPLE!$F$14,$M39,AP$13))))</f>
        <v>1000000000000</v>
      </c>
      <c r="AQ39" s="181">
        <f ca="1">IF($D39&lt;&gt;"Serviço",0,IF(AND(AUTOEVENTO="Manual",$M39=1),0,IF(OFFSET(CRONOPLE!$F$14,$M39,AQ$13)="",10^12,OFFSET(CRONOPLE!$F$14,$M39,AQ$13))))</f>
        <v>1000000000000</v>
      </c>
      <c r="AR39" s="181">
        <f ca="1">IF($D39&lt;&gt;"Serviço",0,IF(AND(AUTOEVENTO="Manual",$M39=1),0,IF(OFFSET(CRONOPLE!$F$14,$M39,AR$13)="",10^12,OFFSET(CRONOPLE!$F$14,$M39,AR$13))))</f>
        <v>1000000000000</v>
      </c>
      <c r="AS39" s="181">
        <f ca="1">IF($D39&lt;&gt;"Serviço",0,IF(AND(AUTOEVENTO="Manual",$M39=1),0,IF(OFFSET(CRONOPLE!$F$14,$M39,AS$13)="",10^12,OFFSET(CRONOPLE!$F$14,$M39,AS$13))))</f>
        <v>1000000000000</v>
      </c>
      <c r="AT39" s="181">
        <f ca="1">IF($D39&lt;&gt;"Serviço",0,IF(AND(AUTOEVENTO="Manual",$M39=1),0,IF(OFFSET(CRONOPLE!$F$14,$M39,AT$13)="",10^12,OFFSET(CRONOPLE!$F$14,$M39,AT$13))))</f>
        <v>1000000000000</v>
      </c>
      <c r="AU39" s="181">
        <f ca="1">IF($D39&lt;&gt;"Serviço",0,IF(AND(AUTOEVENTO="Manual",$M39=1),0,IF(OFFSET(CRONOPLE!$F$14,$M39,AU$13)="",10^12,OFFSET(CRONOPLE!$F$14,$M39,AU$13))))</f>
        <v>1000000000000</v>
      </c>
      <c r="AV39" s="181">
        <f ca="1">IF($D39&lt;&gt;"Serviço",0,IF(AND(AUTOEVENTO="Manual",$M39=1),0,IF(OFFSET(CRONOPLE!$F$14,$M39,AV$13)="",10^12,OFFSET(CRONOPLE!$F$14,$M39,AV$13))))</f>
        <v>1000000000000</v>
      </c>
      <c r="AX39" s="182">
        <f ca="1">IF($D39&lt;&gt;"Serviço",0,IF(OR(AND(AUTOEVENTO="Manual",$M39=1),$M39&gt;(ROW(PLE.lastrow)-ROW(PLE.firstrow))),0,IF(OFFSET(PLE!$G$14,$M39,AX$13)="",10^12,OFFSET(PLE!$G$14,$M39,AX$13))))</f>
        <v>1000000000000</v>
      </c>
      <c r="AY39" s="182">
        <f ca="1">IF($D39&lt;&gt;"Serviço",0,IF(OR(AND(AUTOEVENTO="Manual",$M39=1),$M39&gt;(ROW(PLE.lastrow)-ROW(PLE.firstrow))),0,IF(OFFSET(PLE!$G$14,$M39,AY$13)="",10^12,OFFSET(PLE!$G$14,$M39,AY$13))))</f>
        <v>1000000000000</v>
      </c>
      <c r="AZ39" s="182">
        <f ca="1">IF($D39&lt;&gt;"Serviço",0,IF(OR(AND(AUTOEVENTO="Manual",$M39=1),$M39&gt;(ROW(PLE.lastrow)-ROW(PLE.firstrow))),0,IF(OFFSET(PLE!$G$14,$M39,AZ$13)="",10^12,OFFSET(PLE!$G$14,$M39,AZ$13))))</f>
        <v>1000000000000</v>
      </c>
      <c r="BA39" s="182">
        <f ca="1">IF($D39&lt;&gt;"Serviço",0,IF(OR(AND(AUTOEVENTO="Manual",$M39=1),$M39&gt;(ROW(PLE.lastrow)-ROW(PLE.firstrow))),0,IF(OFFSET(PLE!$G$14,$M39,BA$13)="",10^12,OFFSET(PLE!$G$14,$M39,BA$13))))</f>
        <v>1000000000000</v>
      </c>
      <c r="BB39" s="182">
        <f ca="1">IF($D39&lt;&gt;"Serviço",0,IF(OR(AND(AUTOEVENTO="Manual",$M39=1),$M39&gt;(ROW(PLE.lastrow)-ROW(PLE.firstrow))),0,IF(OFFSET(PLE!$G$14,$M39,BB$13)="",10^12,OFFSET(PLE!$G$14,$M39,BB$13))))</f>
        <v>1000000000000</v>
      </c>
      <c r="BC39" s="182">
        <f ca="1">IF($D39&lt;&gt;"Serviço",0,IF(OR(AND(AUTOEVENTO="Manual",$M39=1),$M39&gt;(ROW(PLE.lastrow)-ROW(PLE.firstrow))),0,IF(OFFSET(PLE!$G$14,$M39,BC$13)="",10^12,OFFSET(PLE!$G$14,$M39,BC$13))))</f>
        <v>1000000000000</v>
      </c>
      <c r="BD39" s="182">
        <f ca="1">IF($D39&lt;&gt;"Serviço",0,IF(OR(AND(AUTOEVENTO="Manual",$M39=1),$M39&gt;(ROW(PLE.lastrow)-ROW(PLE.firstrow))),0,IF(OFFSET(PLE!$G$14,$M39,BD$13)="",10^12,OFFSET(PLE!$G$14,$M39,BD$13))))</f>
        <v>1000000000000</v>
      </c>
      <c r="BE39" s="182">
        <f ca="1">IF($D39&lt;&gt;"Serviço",0,IF(OR(AND(AUTOEVENTO="Manual",$M39=1),$M39&gt;(ROW(PLE.lastrow)-ROW(PLE.firstrow))),0,IF(OFFSET(PLE!$G$14,$M39,BE$13)="",10^12,OFFSET(PLE!$G$14,$M39,BE$13))))</f>
        <v>1000000000000</v>
      </c>
      <c r="BF39" s="182">
        <f ca="1">IF($D39&lt;&gt;"Serviço",0,IF(OR(AND(AUTOEVENTO="Manual",$M39=1),$M39&gt;(ROW(PLE.lastrow)-ROW(PLE.firstrow))),0,IF(OFFSET(PLE!$G$14,$M39,BF$13)="",10^12,OFFSET(PLE!$G$14,$M39,BF$13))))</f>
        <v>1000000000000</v>
      </c>
      <c r="BG39" s="182">
        <f ca="1">IF($D39&lt;&gt;"Serviço",0,IF(OR(AND(AUTOEVENTO="Manual",$M39=1),$M39&gt;(ROW(PLE.lastrow)-ROW(PLE.firstrow))),0,IF(OFFSET(PLE!$G$14,$M39,BG$13)="",10^12,OFFSET(PLE!$G$14,$M39,BG$13))))</f>
        <v>1000000000000</v>
      </c>
    </row>
    <row r="40" spans="1:59" ht="12.75" x14ac:dyDescent="0.2">
      <c r="A40" s="7" t="str">
        <f t="shared" ca="1" si="8"/>
        <v>20</v>
      </c>
      <c r="B40" s="7">
        <f ca="1">OFFSET(ORÇAMENTO!C$15,ROW(B40)-ROW(B$15),0)</f>
        <v>3</v>
      </c>
      <c r="C40" s="7" t="str">
        <f ca="1">OFFSET(ORÇAMENTO!L$15,ROW(C40)-ROW(C$15),0)</f>
        <v>F</v>
      </c>
      <c r="D40" s="118" t="str">
        <f ca="1">OFFSET(ORÇAMENTO!N$15,ROW(D40)-ROW(D$15),0)</f>
        <v>Nível 3</v>
      </c>
      <c r="E40" s="119" t="str">
        <f ca="1">OFFSET(ORÇAMENTO!O$15,ROW(E40)-ROW(E$15),0)</f>
        <v>1.3.2.</v>
      </c>
      <c r="F40" s="172" t="str">
        <f ca="1">OFFSET(ORÇAMENTO!R$15,ROW(F40)-ROW(F$15),0)</f>
        <v>CONCRETO ARMADO PARA SAPATAS</v>
      </c>
      <c r="G40" s="173" t="str">
        <f ca="1">IF($D40&lt;&gt;"Serviço","",OFFSET(ORÇAMENTO!S$15,ROW(G40)-ROW(G$15),0))</f>
        <v/>
      </c>
      <c r="H40" s="124">
        <f ca="1">IF($D40&lt;&gt;"Serviço",0,IF(ACOMPANHAMENTO="BM",ROUND(OFFSET(ORÇAMENTO!AJ$15,ROW(H40)-ROW(H$15),0),15-13*ORÇAMENTO!$AF$7),SUMPRODUCT(($Q$12:$AA$12&lt;&gt;"")*ROUND($Q40:$AA40,15-13*ORÇAMENTO!$AF$7))))</f>
        <v>0</v>
      </c>
      <c r="I40" s="561"/>
      <c r="K40" s="174"/>
      <c r="L40" s="175" t="s">
        <v>255</v>
      </c>
      <c r="M40" s="176" t="str">
        <f ca="1">IF($D40&lt;&gt;"Serviço","",IF(AUTOEVENTO="manual",$A40,IF(ISERROR(MATCH($A40,$A$15:OFFSET($A40,-1,0),0)),MAX($M$15:OFFSET(M40,-1,0))+1,INDEX($M$15:OFFSET(M40,-1,0),MATCH($A40,$A$15:OFFSET($A40,-1,0),0)))))</f>
        <v/>
      </c>
      <c r="N40" s="177" t="str">
        <f ca="1">IF($D40&lt;&gt;"Serviço","",IF(AUTOEVENTO="Manual",IF($A40=0,"&lt;-- defina o número do agrupador",OFFSET(EVENTOS!$D$14,$A40,0)),OFFSET($F$15,$A40,0)))</f>
        <v/>
      </c>
      <c r="O40" s="178"/>
      <c r="Q40" s="178"/>
      <c r="R40" s="179"/>
      <c r="S40" s="179"/>
      <c r="T40" s="179"/>
      <c r="U40" s="179"/>
      <c r="V40" s="179"/>
      <c r="W40" s="179"/>
      <c r="X40" s="179"/>
      <c r="Y40" s="179"/>
      <c r="Z40" s="180"/>
      <c r="AB40" s="544">
        <f ca="1">IF(AND($D40="Serviço",AB$12&lt;&gt;0,$H40&gt;0,OR(AUTOEVENTO&lt;&gt;"manual",$M40&lt;&gt;1)),
IF(Import.TipoArredondamento&lt;&gt;"TransfereGOV",
ROUND(OFFSET($P40,0,AB$13),15-13*ORÇAMENTO!$AF$7)/$H40*OFFSET(ORÇAMENTO!$X$15,ROW(AB40)-ROW(AB$15),0),
ROUND(ROUND(OFFSET($P40,0,AB$13),15-13*ORÇAMENTO!$AF$7)*OFFSET(ORÇAMENTO!$W$15,ROW(AB40)-ROW(AB$15),0),15-13*ORÇAMENTO!$AF$11)),0)</f>
        <v>0</v>
      </c>
      <c r="AC40" s="545">
        <f ca="1">IF(AND($D40="Serviço",AC$12&lt;&gt;0,$H40&gt;0,OR(AUTOEVENTO&lt;&gt;"manual",$M40&lt;&gt;1)),
IF(Import.TipoArredondamento&lt;&gt;"TransfereGOV",
ROUND(OFFSET($P40,0,AC$13),15-13*ORÇAMENTO!$AF$7)/$H40*OFFSET(ORÇAMENTO!$X$15,ROW(AC40)-ROW(AC$15),0),
ROUND(ROUND(OFFSET($P40,0,AC$13),15-13*ORÇAMENTO!$AF$7)*OFFSET(ORÇAMENTO!$W$15,ROW(AC40)-ROW(AC$15),0),15-13*ORÇAMENTO!$AF$11)),0)</f>
        <v>0</v>
      </c>
      <c r="AD40" s="545">
        <f ca="1">IF(AND($D40="Serviço",AD$12&lt;&gt;0,$H40&gt;0,OR(AUTOEVENTO&lt;&gt;"manual",$M40&lt;&gt;1)),
IF(Import.TipoArredondamento&lt;&gt;"TransfereGOV",
ROUND(OFFSET($P40,0,AD$13),15-13*ORÇAMENTO!$AF$7)/$H40*OFFSET(ORÇAMENTO!$X$15,ROW(AD40)-ROW(AD$15),0),
ROUND(ROUND(OFFSET($P40,0,AD$13),15-13*ORÇAMENTO!$AF$7)*OFFSET(ORÇAMENTO!$W$15,ROW(AD40)-ROW(AD$15),0),15-13*ORÇAMENTO!$AF$11)),0)</f>
        <v>0</v>
      </c>
      <c r="AE40" s="545">
        <f ca="1">IF(AND($D40="Serviço",AE$12&lt;&gt;0,$H40&gt;0,OR(AUTOEVENTO&lt;&gt;"manual",$M40&lt;&gt;1)),
IF(Import.TipoArredondamento&lt;&gt;"TransfereGOV",
ROUND(OFFSET($P40,0,AE$13),15-13*ORÇAMENTO!$AF$7)/$H40*OFFSET(ORÇAMENTO!$X$15,ROW(AE40)-ROW(AE$15),0),
ROUND(ROUND(OFFSET($P40,0,AE$13),15-13*ORÇAMENTO!$AF$7)*OFFSET(ORÇAMENTO!$W$15,ROW(AE40)-ROW(AE$15),0),15-13*ORÇAMENTO!$AF$11)),0)</f>
        <v>0</v>
      </c>
      <c r="AF40" s="545">
        <f ca="1">IF(AND($D40="Serviço",AF$12&lt;&gt;0,$H40&gt;0,OR(AUTOEVENTO&lt;&gt;"manual",$M40&lt;&gt;1)),
IF(Import.TipoArredondamento&lt;&gt;"TransfereGOV",
ROUND(OFFSET($P40,0,AF$13),15-13*ORÇAMENTO!$AF$7)/$H40*OFFSET(ORÇAMENTO!$X$15,ROW(AF40)-ROW(AF$15),0),
ROUND(ROUND(OFFSET($P40,0,AF$13),15-13*ORÇAMENTO!$AF$7)*OFFSET(ORÇAMENTO!$W$15,ROW(AF40)-ROW(AF$15),0),15-13*ORÇAMENTO!$AF$11)),0)</f>
        <v>0</v>
      </c>
      <c r="AG40" s="545">
        <f ca="1">IF(AND($D40="Serviço",AG$12&lt;&gt;0,$H40&gt;0,OR(AUTOEVENTO&lt;&gt;"manual",$M40&lt;&gt;1)),
IF(Import.TipoArredondamento&lt;&gt;"TransfereGOV",
ROUND(OFFSET($P40,0,AG$13),15-13*ORÇAMENTO!$AF$7)/$H40*OFFSET(ORÇAMENTO!$X$15,ROW(AG40)-ROW(AG$15),0),
ROUND(ROUND(OFFSET($P40,0,AG$13),15-13*ORÇAMENTO!$AF$7)*OFFSET(ORÇAMENTO!$W$15,ROW(AG40)-ROW(AG$15),0),15-13*ORÇAMENTO!$AF$11)),0)</f>
        <v>0</v>
      </c>
      <c r="AH40" s="545">
        <f ca="1">IF(AND($D40="Serviço",AH$12&lt;&gt;0,$H40&gt;0,OR(AUTOEVENTO&lt;&gt;"manual",$M40&lt;&gt;1)),
IF(Import.TipoArredondamento&lt;&gt;"TransfereGOV",
ROUND(OFFSET($P40,0,AH$13),15-13*ORÇAMENTO!$AF$7)/$H40*OFFSET(ORÇAMENTO!$X$15,ROW(AH40)-ROW(AH$15),0),
ROUND(ROUND(OFFSET($P40,0,AH$13),15-13*ORÇAMENTO!$AF$7)*OFFSET(ORÇAMENTO!$W$15,ROW(AH40)-ROW(AH$15),0),15-13*ORÇAMENTO!$AF$11)),0)</f>
        <v>0</v>
      </c>
      <c r="AI40" s="545">
        <f ca="1">IF(AND($D40="Serviço",AI$12&lt;&gt;0,$H40&gt;0,OR(AUTOEVENTO&lt;&gt;"manual",$M40&lt;&gt;1)),
IF(Import.TipoArredondamento&lt;&gt;"TransfereGOV",
ROUND(OFFSET($P40,0,AI$13),15-13*ORÇAMENTO!$AF$7)/$H40*OFFSET(ORÇAMENTO!$X$15,ROW(AI40)-ROW(AI$15),0),
ROUND(ROUND(OFFSET($P40,0,AI$13),15-13*ORÇAMENTO!$AF$7)*OFFSET(ORÇAMENTO!$W$15,ROW(AI40)-ROW(AI$15),0),15-13*ORÇAMENTO!$AF$11)),0)</f>
        <v>0</v>
      </c>
      <c r="AJ40" s="545">
        <f ca="1">IF(AND($D40="Serviço",AJ$12&lt;&gt;0,$H40&gt;0,OR(AUTOEVENTO&lt;&gt;"manual",$M40&lt;&gt;1)),
IF(Import.TipoArredondamento&lt;&gt;"TransfereGOV",
ROUND(OFFSET($P40,0,AJ$13),15-13*ORÇAMENTO!$AF$7)/$H40*OFFSET(ORÇAMENTO!$X$15,ROW(AJ40)-ROW(AJ$15),0),
ROUND(ROUND(OFFSET($P40,0,AJ$13),15-13*ORÇAMENTO!$AF$7)*OFFSET(ORÇAMENTO!$W$15,ROW(AJ40)-ROW(AJ$15),0),15-13*ORÇAMENTO!$AF$11)),0)</f>
        <v>0</v>
      </c>
      <c r="AK40" s="546">
        <f ca="1">IF(AND($D40="Serviço",AK$12&lt;&gt;0,$H40&gt;0,OR(AUTOEVENTO&lt;&gt;"manual",$M40&lt;&gt;1)),
IF(Import.TipoArredondamento&lt;&gt;"TransfereGOV",
ROUND(OFFSET($P40,0,AK$13),15-13*ORÇAMENTO!$AF$7)/$H40*OFFSET(ORÇAMENTO!$X$15,ROW(AK40)-ROW(AK$15),0),
ROUND(ROUND(OFFSET($P40,0,AK$13),15-13*ORÇAMENTO!$AF$7)*OFFSET(ORÇAMENTO!$W$15,ROW(AK40)-ROW(AK$15),0),15-13*ORÇAMENTO!$AF$11)),0)</f>
        <v>0</v>
      </c>
      <c r="AM40" s="181">
        <f ca="1">IF($D40&lt;&gt;"Serviço",0,IF(AND(AUTOEVENTO="Manual",$M40=1),0,IF(OFFSET(CRONOPLE!$F$14,$M40,AM$13)="",10^12,OFFSET(CRONOPLE!$F$14,$M40,AM$13))))</f>
        <v>0</v>
      </c>
      <c r="AN40" s="181">
        <f ca="1">IF($D40&lt;&gt;"Serviço",0,IF(AND(AUTOEVENTO="Manual",$M40=1),0,IF(OFFSET(CRONOPLE!$F$14,$M40,AN$13)="",10^12,OFFSET(CRONOPLE!$F$14,$M40,AN$13))))</f>
        <v>0</v>
      </c>
      <c r="AO40" s="181">
        <f ca="1">IF($D40&lt;&gt;"Serviço",0,IF(AND(AUTOEVENTO="Manual",$M40=1),0,IF(OFFSET(CRONOPLE!$F$14,$M40,AO$13)="",10^12,OFFSET(CRONOPLE!$F$14,$M40,AO$13))))</f>
        <v>0</v>
      </c>
      <c r="AP40" s="181">
        <f ca="1">IF($D40&lt;&gt;"Serviço",0,IF(AND(AUTOEVENTO="Manual",$M40=1),0,IF(OFFSET(CRONOPLE!$F$14,$M40,AP$13)="",10^12,OFFSET(CRONOPLE!$F$14,$M40,AP$13))))</f>
        <v>0</v>
      </c>
      <c r="AQ40" s="181">
        <f ca="1">IF($D40&lt;&gt;"Serviço",0,IF(AND(AUTOEVENTO="Manual",$M40=1),0,IF(OFFSET(CRONOPLE!$F$14,$M40,AQ$13)="",10^12,OFFSET(CRONOPLE!$F$14,$M40,AQ$13))))</f>
        <v>0</v>
      </c>
      <c r="AR40" s="181">
        <f ca="1">IF($D40&lt;&gt;"Serviço",0,IF(AND(AUTOEVENTO="Manual",$M40=1),0,IF(OFFSET(CRONOPLE!$F$14,$M40,AR$13)="",10^12,OFFSET(CRONOPLE!$F$14,$M40,AR$13))))</f>
        <v>0</v>
      </c>
      <c r="AS40" s="181">
        <f ca="1">IF($D40&lt;&gt;"Serviço",0,IF(AND(AUTOEVENTO="Manual",$M40=1),0,IF(OFFSET(CRONOPLE!$F$14,$M40,AS$13)="",10^12,OFFSET(CRONOPLE!$F$14,$M40,AS$13))))</f>
        <v>0</v>
      </c>
      <c r="AT40" s="181">
        <f ca="1">IF($D40&lt;&gt;"Serviço",0,IF(AND(AUTOEVENTO="Manual",$M40=1),0,IF(OFFSET(CRONOPLE!$F$14,$M40,AT$13)="",10^12,OFFSET(CRONOPLE!$F$14,$M40,AT$13))))</f>
        <v>0</v>
      </c>
      <c r="AU40" s="181">
        <f ca="1">IF($D40&lt;&gt;"Serviço",0,IF(AND(AUTOEVENTO="Manual",$M40=1),0,IF(OFFSET(CRONOPLE!$F$14,$M40,AU$13)="",10^12,OFFSET(CRONOPLE!$F$14,$M40,AU$13))))</f>
        <v>0</v>
      </c>
      <c r="AV40" s="181">
        <f ca="1">IF($D40&lt;&gt;"Serviço",0,IF(AND(AUTOEVENTO="Manual",$M40=1),0,IF(OFFSET(CRONOPLE!$F$14,$M40,AV$13)="",10^12,OFFSET(CRONOPLE!$F$14,$M40,AV$13))))</f>
        <v>0</v>
      </c>
      <c r="AX40" s="182">
        <f ca="1">IF($D40&lt;&gt;"Serviço",0,IF(OR(AND(AUTOEVENTO="Manual",$M40=1),$M40&gt;(ROW(PLE.lastrow)-ROW(PLE.firstrow))),0,IF(OFFSET(PLE!$G$14,$M40,AX$13)="",10^12,OFFSET(PLE!$G$14,$M40,AX$13))))</f>
        <v>0</v>
      </c>
      <c r="AY40" s="182">
        <f ca="1">IF($D40&lt;&gt;"Serviço",0,IF(OR(AND(AUTOEVENTO="Manual",$M40=1),$M40&gt;(ROW(PLE.lastrow)-ROW(PLE.firstrow))),0,IF(OFFSET(PLE!$G$14,$M40,AY$13)="",10^12,OFFSET(PLE!$G$14,$M40,AY$13))))</f>
        <v>0</v>
      </c>
      <c r="AZ40" s="182">
        <f ca="1">IF($D40&lt;&gt;"Serviço",0,IF(OR(AND(AUTOEVENTO="Manual",$M40=1),$M40&gt;(ROW(PLE.lastrow)-ROW(PLE.firstrow))),0,IF(OFFSET(PLE!$G$14,$M40,AZ$13)="",10^12,OFFSET(PLE!$G$14,$M40,AZ$13))))</f>
        <v>0</v>
      </c>
      <c r="BA40" s="182">
        <f ca="1">IF($D40&lt;&gt;"Serviço",0,IF(OR(AND(AUTOEVENTO="Manual",$M40=1),$M40&gt;(ROW(PLE.lastrow)-ROW(PLE.firstrow))),0,IF(OFFSET(PLE!$G$14,$M40,BA$13)="",10^12,OFFSET(PLE!$G$14,$M40,BA$13))))</f>
        <v>0</v>
      </c>
      <c r="BB40" s="182">
        <f ca="1">IF($D40&lt;&gt;"Serviço",0,IF(OR(AND(AUTOEVENTO="Manual",$M40=1),$M40&gt;(ROW(PLE.lastrow)-ROW(PLE.firstrow))),0,IF(OFFSET(PLE!$G$14,$M40,BB$13)="",10^12,OFFSET(PLE!$G$14,$M40,BB$13))))</f>
        <v>0</v>
      </c>
      <c r="BC40" s="182">
        <f ca="1">IF($D40&lt;&gt;"Serviço",0,IF(OR(AND(AUTOEVENTO="Manual",$M40=1),$M40&gt;(ROW(PLE.lastrow)-ROW(PLE.firstrow))),0,IF(OFFSET(PLE!$G$14,$M40,BC$13)="",10^12,OFFSET(PLE!$G$14,$M40,BC$13))))</f>
        <v>0</v>
      </c>
      <c r="BD40" s="182">
        <f ca="1">IF($D40&lt;&gt;"Serviço",0,IF(OR(AND(AUTOEVENTO="Manual",$M40=1),$M40&gt;(ROW(PLE.lastrow)-ROW(PLE.firstrow))),0,IF(OFFSET(PLE!$G$14,$M40,BD$13)="",10^12,OFFSET(PLE!$G$14,$M40,BD$13))))</f>
        <v>0</v>
      </c>
      <c r="BE40" s="182">
        <f ca="1">IF($D40&lt;&gt;"Serviço",0,IF(OR(AND(AUTOEVENTO="Manual",$M40=1),$M40&gt;(ROW(PLE.lastrow)-ROW(PLE.firstrow))),0,IF(OFFSET(PLE!$G$14,$M40,BE$13)="",10^12,OFFSET(PLE!$G$14,$M40,BE$13))))</f>
        <v>0</v>
      </c>
      <c r="BF40" s="182">
        <f ca="1">IF($D40&lt;&gt;"Serviço",0,IF(OR(AND(AUTOEVENTO="Manual",$M40=1),$M40&gt;(ROW(PLE.lastrow)-ROW(PLE.firstrow))),0,IF(OFFSET(PLE!$G$14,$M40,BF$13)="",10^12,OFFSET(PLE!$G$14,$M40,BF$13))))</f>
        <v>0</v>
      </c>
      <c r="BG40" s="182">
        <f ca="1">IF($D40&lt;&gt;"Serviço",0,IF(OR(AND(AUTOEVENTO="Manual",$M40=1),$M40&gt;(ROW(PLE.lastrow)-ROW(PLE.firstrow))),0,IF(OFFSET(PLE!$G$14,$M40,BG$13)="",10^12,OFFSET(PLE!$G$14,$M40,BG$13))))</f>
        <v>0</v>
      </c>
    </row>
    <row r="41" spans="1:59" ht="25.5" x14ac:dyDescent="0.2">
      <c r="A41" s="7" t="str">
        <f t="shared" ca="1" si="8"/>
        <v>20</v>
      </c>
      <c r="B41" s="7" t="str">
        <f ca="1">OFFSET(ORÇAMENTO!C$15,ROW(B41)-ROW(B$15),0)</f>
        <v>S</v>
      </c>
      <c r="C41" s="7" t="str">
        <f ca="1">OFFSET(ORÇAMENTO!L$15,ROW(C41)-ROW(C$15),0)</f>
        <v/>
      </c>
      <c r="D41" s="118" t="str">
        <f ca="1">OFFSET(ORÇAMENTO!N$15,ROW(D41)-ROW(D$15),0)</f>
        <v>Serviço</v>
      </c>
      <c r="E41" s="119" t="str">
        <f ca="1">OFFSET(ORÇAMENTO!O$15,ROW(E41)-ROW(E$15),0)</f>
        <v>-</v>
      </c>
      <c r="F41" s="172" t="str">
        <f ca="1">OFFSET(ORÇAMENTO!R$15,ROW(F41)-ROW(F$15),0)</f>
        <v>(abra o arquivo 'Referência 02-2025.xlsm)</v>
      </c>
      <c r="G41" s="173" t="str">
        <f ca="1">IF($D41&lt;&gt;"Serviço","",OFFSET(ORÇAMENTO!S$15,ROW(G41)-ROW(G$15),0))</f>
        <v>-</v>
      </c>
      <c r="H41" s="124">
        <f ca="1">IF($D41&lt;&gt;"Serviço",0,IF(ACOMPANHAMENTO="BM",ROUND(OFFSET(ORÇAMENTO!AJ$15,ROW(H41)-ROW(H$15),0),15-13*ORÇAMENTO!$AF$7),SUMPRODUCT(($Q$12:$AA$12&lt;&gt;"")*ROUND($Q41:$AA41,15-13*ORÇAMENTO!$AF$7))))</f>
        <v>1.37</v>
      </c>
      <c r="I41" s="561" t="s">
        <v>890</v>
      </c>
      <c r="K41" s="174"/>
      <c r="L41" s="175" t="s">
        <v>255</v>
      </c>
      <c r="M41" s="176">
        <f ca="1">IF($D41&lt;&gt;"Serviço","",IF(AUTOEVENTO="manual",$A41,IF(ISERROR(MATCH($A41,$A$15:OFFSET($A41,-1,0),0)),MAX($M$15:OFFSET(M41,-1,0))+1,INDEX($M$15:OFFSET(M41,-1,0),MATCH($A41,$A$15:OFFSET($A41,-1,0),0)))))</f>
        <v>4</v>
      </c>
      <c r="N41" s="177" t="str">
        <f ca="1">IF($D41&lt;&gt;"Serviço","",IF(AUTOEVENTO="Manual",IF($A41=0,"&lt;-- defina o número do agrupador",OFFSET(EVENTOS!$D$14,$A41,0)),OFFSET($F$15,$A41,0)))</f>
        <v>FUNDAÇÕES</v>
      </c>
      <c r="O41" s="178"/>
      <c r="Q41" s="178"/>
      <c r="R41" s="179"/>
      <c r="S41" s="179"/>
      <c r="T41" s="179"/>
      <c r="U41" s="179"/>
      <c r="V41" s="179"/>
      <c r="W41" s="179"/>
      <c r="X41" s="179"/>
      <c r="Y41" s="179"/>
      <c r="Z41" s="180"/>
      <c r="AB41" s="544">
        <f ca="1">IF(AND($D41="Serviço",AB$12&lt;&gt;0,$H41&gt;0,OR(AUTOEVENTO&lt;&gt;"manual",$M41&lt;&gt;1)),
IF(Import.TipoArredondamento&lt;&gt;"TransfereGOV",
ROUND(OFFSET($P41,0,AB$13),15-13*ORÇAMENTO!$AF$7)/$H41*OFFSET(ORÇAMENTO!$X$15,ROW(AB41)-ROW(AB$15),0),
ROUND(ROUND(OFFSET($P41,0,AB$13),15-13*ORÇAMENTO!$AF$7)*OFFSET(ORÇAMENTO!$W$15,ROW(AB41)-ROW(AB$15),0),15-13*ORÇAMENTO!$AF$11)),0)</f>
        <v>0</v>
      </c>
      <c r="AC41" s="545">
        <f ca="1">IF(AND($D41="Serviço",AC$12&lt;&gt;0,$H41&gt;0,OR(AUTOEVENTO&lt;&gt;"manual",$M41&lt;&gt;1)),
IF(Import.TipoArredondamento&lt;&gt;"TransfereGOV",
ROUND(OFFSET($P41,0,AC$13),15-13*ORÇAMENTO!$AF$7)/$H41*OFFSET(ORÇAMENTO!$X$15,ROW(AC41)-ROW(AC$15),0),
ROUND(ROUND(OFFSET($P41,0,AC$13),15-13*ORÇAMENTO!$AF$7)*OFFSET(ORÇAMENTO!$W$15,ROW(AC41)-ROW(AC$15),0),15-13*ORÇAMENTO!$AF$11)),0)</f>
        <v>0</v>
      </c>
      <c r="AD41" s="545">
        <f ca="1">IF(AND($D41="Serviço",AD$12&lt;&gt;0,$H41&gt;0,OR(AUTOEVENTO&lt;&gt;"manual",$M41&lt;&gt;1)),
IF(Import.TipoArredondamento&lt;&gt;"TransfereGOV",
ROUND(OFFSET($P41,0,AD$13),15-13*ORÇAMENTO!$AF$7)/$H41*OFFSET(ORÇAMENTO!$X$15,ROW(AD41)-ROW(AD$15),0),
ROUND(ROUND(OFFSET($P41,0,AD$13),15-13*ORÇAMENTO!$AF$7)*OFFSET(ORÇAMENTO!$W$15,ROW(AD41)-ROW(AD$15),0),15-13*ORÇAMENTO!$AF$11)),0)</f>
        <v>0</v>
      </c>
      <c r="AE41" s="545">
        <f ca="1">IF(AND($D41="Serviço",AE$12&lt;&gt;0,$H41&gt;0,OR(AUTOEVENTO&lt;&gt;"manual",$M41&lt;&gt;1)),
IF(Import.TipoArredondamento&lt;&gt;"TransfereGOV",
ROUND(OFFSET($P41,0,AE$13),15-13*ORÇAMENTO!$AF$7)/$H41*OFFSET(ORÇAMENTO!$X$15,ROW(AE41)-ROW(AE$15),0),
ROUND(ROUND(OFFSET($P41,0,AE$13),15-13*ORÇAMENTO!$AF$7)*OFFSET(ORÇAMENTO!$W$15,ROW(AE41)-ROW(AE$15),0),15-13*ORÇAMENTO!$AF$11)),0)</f>
        <v>0</v>
      </c>
      <c r="AF41" s="545">
        <f ca="1">IF(AND($D41="Serviço",AF$12&lt;&gt;0,$H41&gt;0,OR(AUTOEVENTO&lt;&gt;"manual",$M41&lt;&gt;1)),
IF(Import.TipoArredondamento&lt;&gt;"TransfereGOV",
ROUND(OFFSET($P41,0,AF$13),15-13*ORÇAMENTO!$AF$7)/$H41*OFFSET(ORÇAMENTO!$X$15,ROW(AF41)-ROW(AF$15),0),
ROUND(ROUND(OFFSET($P41,0,AF$13),15-13*ORÇAMENTO!$AF$7)*OFFSET(ORÇAMENTO!$W$15,ROW(AF41)-ROW(AF$15),0),15-13*ORÇAMENTO!$AF$11)),0)</f>
        <v>0</v>
      </c>
      <c r="AG41" s="545">
        <f ca="1">IF(AND($D41="Serviço",AG$12&lt;&gt;0,$H41&gt;0,OR(AUTOEVENTO&lt;&gt;"manual",$M41&lt;&gt;1)),
IF(Import.TipoArredondamento&lt;&gt;"TransfereGOV",
ROUND(OFFSET($P41,0,AG$13),15-13*ORÇAMENTO!$AF$7)/$H41*OFFSET(ORÇAMENTO!$X$15,ROW(AG41)-ROW(AG$15),0),
ROUND(ROUND(OFFSET($P41,0,AG$13),15-13*ORÇAMENTO!$AF$7)*OFFSET(ORÇAMENTO!$W$15,ROW(AG41)-ROW(AG$15),0),15-13*ORÇAMENTO!$AF$11)),0)</f>
        <v>0</v>
      </c>
      <c r="AH41" s="545">
        <f ca="1">IF(AND($D41="Serviço",AH$12&lt;&gt;0,$H41&gt;0,OR(AUTOEVENTO&lt;&gt;"manual",$M41&lt;&gt;1)),
IF(Import.TipoArredondamento&lt;&gt;"TransfereGOV",
ROUND(OFFSET($P41,0,AH$13),15-13*ORÇAMENTO!$AF$7)/$H41*OFFSET(ORÇAMENTO!$X$15,ROW(AH41)-ROW(AH$15),0),
ROUND(ROUND(OFFSET($P41,0,AH$13),15-13*ORÇAMENTO!$AF$7)*OFFSET(ORÇAMENTO!$W$15,ROW(AH41)-ROW(AH$15),0),15-13*ORÇAMENTO!$AF$11)),0)</f>
        <v>0</v>
      </c>
      <c r="AI41" s="545">
        <f ca="1">IF(AND($D41="Serviço",AI$12&lt;&gt;0,$H41&gt;0,OR(AUTOEVENTO&lt;&gt;"manual",$M41&lt;&gt;1)),
IF(Import.TipoArredondamento&lt;&gt;"TransfereGOV",
ROUND(OFFSET($P41,0,AI$13),15-13*ORÇAMENTO!$AF$7)/$H41*OFFSET(ORÇAMENTO!$X$15,ROW(AI41)-ROW(AI$15),0),
ROUND(ROUND(OFFSET($P41,0,AI$13),15-13*ORÇAMENTO!$AF$7)*OFFSET(ORÇAMENTO!$W$15,ROW(AI41)-ROW(AI$15),0),15-13*ORÇAMENTO!$AF$11)),0)</f>
        <v>0</v>
      </c>
      <c r="AJ41" s="545">
        <f ca="1">IF(AND($D41="Serviço",AJ$12&lt;&gt;0,$H41&gt;0,OR(AUTOEVENTO&lt;&gt;"manual",$M41&lt;&gt;1)),
IF(Import.TipoArredondamento&lt;&gt;"TransfereGOV",
ROUND(OFFSET($P41,0,AJ$13),15-13*ORÇAMENTO!$AF$7)/$H41*OFFSET(ORÇAMENTO!$X$15,ROW(AJ41)-ROW(AJ$15),0),
ROUND(ROUND(OFFSET($P41,0,AJ$13),15-13*ORÇAMENTO!$AF$7)*OFFSET(ORÇAMENTO!$W$15,ROW(AJ41)-ROW(AJ$15),0),15-13*ORÇAMENTO!$AF$11)),0)</f>
        <v>0</v>
      </c>
      <c r="AK41" s="546">
        <f ca="1">IF(AND($D41="Serviço",AK$12&lt;&gt;0,$H41&gt;0,OR(AUTOEVENTO&lt;&gt;"manual",$M41&lt;&gt;1)),
IF(Import.TipoArredondamento&lt;&gt;"TransfereGOV",
ROUND(OFFSET($P41,0,AK$13),15-13*ORÇAMENTO!$AF$7)/$H41*OFFSET(ORÇAMENTO!$X$15,ROW(AK41)-ROW(AK$15),0),
ROUND(ROUND(OFFSET($P41,0,AK$13),15-13*ORÇAMENTO!$AF$7)*OFFSET(ORÇAMENTO!$W$15,ROW(AK41)-ROW(AK$15),0),15-13*ORÇAMENTO!$AF$11)),0)</f>
        <v>0</v>
      </c>
      <c r="AM41" s="181">
        <f ca="1">IF($D41&lt;&gt;"Serviço",0,IF(AND(AUTOEVENTO="Manual",$M41=1),0,IF(OFFSET(CRONOPLE!$F$14,$M41,AM$13)="",10^12,OFFSET(CRONOPLE!$F$14,$M41,AM$13))))</f>
        <v>1000000000000</v>
      </c>
      <c r="AN41" s="181">
        <f ca="1">IF($D41&lt;&gt;"Serviço",0,IF(AND(AUTOEVENTO="Manual",$M41=1),0,IF(OFFSET(CRONOPLE!$F$14,$M41,AN$13)="",10^12,OFFSET(CRONOPLE!$F$14,$M41,AN$13))))</f>
        <v>1000000000000</v>
      </c>
      <c r="AO41" s="181">
        <f ca="1">IF($D41&lt;&gt;"Serviço",0,IF(AND(AUTOEVENTO="Manual",$M41=1),0,IF(OFFSET(CRONOPLE!$F$14,$M41,AO$13)="",10^12,OFFSET(CRONOPLE!$F$14,$M41,AO$13))))</f>
        <v>1000000000000</v>
      </c>
      <c r="AP41" s="181">
        <f ca="1">IF($D41&lt;&gt;"Serviço",0,IF(AND(AUTOEVENTO="Manual",$M41=1),0,IF(OFFSET(CRONOPLE!$F$14,$M41,AP$13)="",10^12,OFFSET(CRONOPLE!$F$14,$M41,AP$13))))</f>
        <v>1000000000000</v>
      </c>
      <c r="AQ41" s="181">
        <f ca="1">IF($D41&lt;&gt;"Serviço",0,IF(AND(AUTOEVENTO="Manual",$M41=1),0,IF(OFFSET(CRONOPLE!$F$14,$M41,AQ$13)="",10^12,OFFSET(CRONOPLE!$F$14,$M41,AQ$13))))</f>
        <v>1000000000000</v>
      </c>
      <c r="AR41" s="181">
        <f ca="1">IF($D41&lt;&gt;"Serviço",0,IF(AND(AUTOEVENTO="Manual",$M41=1),0,IF(OFFSET(CRONOPLE!$F$14,$M41,AR$13)="",10^12,OFFSET(CRONOPLE!$F$14,$M41,AR$13))))</f>
        <v>1000000000000</v>
      </c>
      <c r="AS41" s="181">
        <f ca="1">IF($D41&lt;&gt;"Serviço",0,IF(AND(AUTOEVENTO="Manual",$M41=1),0,IF(OFFSET(CRONOPLE!$F$14,$M41,AS$13)="",10^12,OFFSET(CRONOPLE!$F$14,$M41,AS$13))))</f>
        <v>1000000000000</v>
      </c>
      <c r="AT41" s="181">
        <f ca="1">IF($D41&lt;&gt;"Serviço",0,IF(AND(AUTOEVENTO="Manual",$M41=1),0,IF(OFFSET(CRONOPLE!$F$14,$M41,AT$13)="",10^12,OFFSET(CRONOPLE!$F$14,$M41,AT$13))))</f>
        <v>1000000000000</v>
      </c>
      <c r="AU41" s="181">
        <f ca="1">IF($D41&lt;&gt;"Serviço",0,IF(AND(AUTOEVENTO="Manual",$M41=1),0,IF(OFFSET(CRONOPLE!$F$14,$M41,AU$13)="",10^12,OFFSET(CRONOPLE!$F$14,$M41,AU$13))))</f>
        <v>1000000000000</v>
      </c>
      <c r="AV41" s="181">
        <f ca="1">IF($D41&lt;&gt;"Serviço",0,IF(AND(AUTOEVENTO="Manual",$M41=1),0,IF(OFFSET(CRONOPLE!$F$14,$M41,AV$13)="",10^12,OFFSET(CRONOPLE!$F$14,$M41,AV$13))))</f>
        <v>1000000000000</v>
      </c>
      <c r="AX41" s="182">
        <f ca="1">IF($D41&lt;&gt;"Serviço",0,IF(OR(AND(AUTOEVENTO="Manual",$M41=1),$M41&gt;(ROW(PLE.lastrow)-ROW(PLE.firstrow))),0,IF(OFFSET(PLE!$G$14,$M41,AX$13)="",10^12,OFFSET(PLE!$G$14,$M41,AX$13))))</f>
        <v>1000000000000</v>
      </c>
      <c r="AY41" s="182">
        <f ca="1">IF($D41&lt;&gt;"Serviço",0,IF(OR(AND(AUTOEVENTO="Manual",$M41=1),$M41&gt;(ROW(PLE.lastrow)-ROW(PLE.firstrow))),0,IF(OFFSET(PLE!$G$14,$M41,AY$13)="",10^12,OFFSET(PLE!$G$14,$M41,AY$13))))</f>
        <v>1000000000000</v>
      </c>
      <c r="AZ41" s="182">
        <f ca="1">IF($D41&lt;&gt;"Serviço",0,IF(OR(AND(AUTOEVENTO="Manual",$M41=1),$M41&gt;(ROW(PLE.lastrow)-ROW(PLE.firstrow))),0,IF(OFFSET(PLE!$G$14,$M41,AZ$13)="",10^12,OFFSET(PLE!$G$14,$M41,AZ$13))))</f>
        <v>1000000000000</v>
      </c>
      <c r="BA41" s="182">
        <f ca="1">IF($D41&lt;&gt;"Serviço",0,IF(OR(AND(AUTOEVENTO="Manual",$M41=1),$M41&gt;(ROW(PLE.lastrow)-ROW(PLE.firstrow))),0,IF(OFFSET(PLE!$G$14,$M41,BA$13)="",10^12,OFFSET(PLE!$G$14,$M41,BA$13))))</f>
        <v>1000000000000</v>
      </c>
      <c r="BB41" s="182">
        <f ca="1">IF($D41&lt;&gt;"Serviço",0,IF(OR(AND(AUTOEVENTO="Manual",$M41=1),$M41&gt;(ROW(PLE.lastrow)-ROW(PLE.firstrow))),0,IF(OFFSET(PLE!$G$14,$M41,BB$13)="",10^12,OFFSET(PLE!$G$14,$M41,BB$13))))</f>
        <v>1000000000000</v>
      </c>
      <c r="BC41" s="182">
        <f ca="1">IF($D41&lt;&gt;"Serviço",0,IF(OR(AND(AUTOEVENTO="Manual",$M41=1),$M41&gt;(ROW(PLE.lastrow)-ROW(PLE.firstrow))),0,IF(OFFSET(PLE!$G$14,$M41,BC$13)="",10^12,OFFSET(PLE!$G$14,$M41,BC$13))))</f>
        <v>1000000000000</v>
      </c>
      <c r="BD41" s="182">
        <f ca="1">IF($D41&lt;&gt;"Serviço",0,IF(OR(AND(AUTOEVENTO="Manual",$M41=1),$M41&gt;(ROW(PLE.lastrow)-ROW(PLE.firstrow))),0,IF(OFFSET(PLE!$G$14,$M41,BD$13)="",10^12,OFFSET(PLE!$G$14,$M41,BD$13))))</f>
        <v>1000000000000</v>
      </c>
      <c r="BE41" s="182">
        <f ca="1">IF($D41&lt;&gt;"Serviço",0,IF(OR(AND(AUTOEVENTO="Manual",$M41=1),$M41&gt;(ROW(PLE.lastrow)-ROW(PLE.firstrow))),0,IF(OFFSET(PLE!$G$14,$M41,BE$13)="",10^12,OFFSET(PLE!$G$14,$M41,BE$13))))</f>
        <v>1000000000000</v>
      </c>
      <c r="BF41" s="182">
        <f ca="1">IF($D41&lt;&gt;"Serviço",0,IF(OR(AND(AUTOEVENTO="Manual",$M41=1),$M41&gt;(ROW(PLE.lastrow)-ROW(PLE.firstrow))),0,IF(OFFSET(PLE!$G$14,$M41,BF$13)="",10^12,OFFSET(PLE!$G$14,$M41,BF$13))))</f>
        <v>1000000000000</v>
      </c>
      <c r="BG41" s="182">
        <f ca="1">IF($D41&lt;&gt;"Serviço",0,IF(OR(AND(AUTOEVENTO="Manual",$M41=1),$M41&gt;(ROW(PLE.lastrow)-ROW(PLE.firstrow))),0,IF(OFFSET(PLE!$G$14,$M41,BG$13)="",10^12,OFFSET(PLE!$G$14,$M41,BG$13))))</f>
        <v>1000000000000</v>
      </c>
    </row>
    <row r="42" spans="1:59" ht="25.5" x14ac:dyDescent="0.2">
      <c r="A42" s="7" t="str">
        <f t="shared" ca="1" si="8"/>
        <v>20</v>
      </c>
      <c r="B42" s="7" t="str">
        <f ca="1">OFFSET(ORÇAMENTO!C$15,ROW(B42)-ROW(B$15),0)</f>
        <v>S</v>
      </c>
      <c r="C42" s="7" t="str">
        <f ca="1">OFFSET(ORÇAMENTO!L$15,ROW(C42)-ROW(C$15),0)</f>
        <v/>
      </c>
      <c r="D42" s="118" t="str">
        <f ca="1">OFFSET(ORÇAMENTO!N$15,ROW(D42)-ROW(D$15),0)</f>
        <v>Serviço</v>
      </c>
      <c r="E42" s="119" t="str">
        <f ca="1">OFFSET(ORÇAMENTO!O$15,ROW(E42)-ROW(E$15),0)</f>
        <v>-</v>
      </c>
      <c r="F42" s="172" t="str">
        <f ca="1">OFFSET(ORÇAMENTO!R$15,ROW(F42)-ROW(F$15),0)</f>
        <v>(abra o arquivo 'Referência 02-2025.xlsm)</v>
      </c>
      <c r="G42" s="173" t="str">
        <f ca="1">IF($D42&lt;&gt;"Serviço","",OFFSET(ORÇAMENTO!S$15,ROW(G42)-ROW(G$15),0))</f>
        <v>-</v>
      </c>
      <c r="H42" s="124">
        <f ca="1">IF($D42&lt;&gt;"Serviço",0,IF(ACOMPANHAMENTO="BM",ROUND(OFFSET(ORÇAMENTO!AJ$15,ROW(H42)-ROW(H$15),0),15-13*ORÇAMENTO!$AF$7),SUMPRODUCT(($Q$12:$AA$12&lt;&gt;"")*ROUND($Q42:$AA42,15-13*ORÇAMENTO!$AF$7))))</f>
        <v>27.34</v>
      </c>
      <c r="I42" s="561" t="s">
        <v>890</v>
      </c>
      <c r="K42" s="174"/>
      <c r="L42" s="175" t="s">
        <v>255</v>
      </c>
      <c r="M42" s="176">
        <f ca="1">IF($D42&lt;&gt;"Serviço","",IF(AUTOEVENTO="manual",$A42,IF(ISERROR(MATCH($A42,$A$15:OFFSET($A42,-1,0),0)),MAX($M$15:OFFSET(M42,-1,0))+1,INDEX($M$15:OFFSET(M42,-1,0),MATCH($A42,$A$15:OFFSET($A42,-1,0),0)))))</f>
        <v>4</v>
      </c>
      <c r="N42" s="177" t="str">
        <f ca="1">IF($D42&lt;&gt;"Serviço","",IF(AUTOEVENTO="Manual",IF($A42=0,"&lt;-- defina o número do agrupador",OFFSET(EVENTOS!$D$14,$A42,0)),OFFSET($F$15,$A42,0)))</f>
        <v>FUNDAÇÕES</v>
      </c>
      <c r="O42" s="178"/>
      <c r="Q42" s="178"/>
      <c r="R42" s="179"/>
      <c r="S42" s="179"/>
      <c r="T42" s="179"/>
      <c r="U42" s="179"/>
      <c r="V42" s="179"/>
      <c r="W42" s="179"/>
      <c r="X42" s="179"/>
      <c r="Y42" s="179"/>
      <c r="Z42" s="180"/>
      <c r="AB42" s="544">
        <f ca="1">IF(AND($D42="Serviço",AB$12&lt;&gt;0,$H42&gt;0,OR(AUTOEVENTO&lt;&gt;"manual",$M42&lt;&gt;1)),
IF(Import.TipoArredondamento&lt;&gt;"TransfereGOV",
ROUND(OFFSET($P42,0,AB$13),15-13*ORÇAMENTO!$AF$7)/$H42*OFFSET(ORÇAMENTO!$X$15,ROW(AB42)-ROW(AB$15),0),
ROUND(ROUND(OFFSET($P42,0,AB$13),15-13*ORÇAMENTO!$AF$7)*OFFSET(ORÇAMENTO!$W$15,ROW(AB42)-ROW(AB$15),0),15-13*ORÇAMENTO!$AF$11)),0)</f>
        <v>0</v>
      </c>
      <c r="AC42" s="545">
        <f ca="1">IF(AND($D42="Serviço",AC$12&lt;&gt;0,$H42&gt;0,OR(AUTOEVENTO&lt;&gt;"manual",$M42&lt;&gt;1)),
IF(Import.TipoArredondamento&lt;&gt;"TransfereGOV",
ROUND(OFFSET($P42,0,AC$13),15-13*ORÇAMENTO!$AF$7)/$H42*OFFSET(ORÇAMENTO!$X$15,ROW(AC42)-ROW(AC$15),0),
ROUND(ROUND(OFFSET($P42,0,AC$13),15-13*ORÇAMENTO!$AF$7)*OFFSET(ORÇAMENTO!$W$15,ROW(AC42)-ROW(AC$15),0),15-13*ORÇAMENTO!$AF$11)),0)</f>
        <v>0</v>
      </c>
      <c r="AD42" s="545">
        <f ca="1">IF(AND($D42="Serviço",AD$12&lt;&gt;0,$H42&gt;0,OR(AUTOEVENTO&lt;&gt;"manual",$M42&lt;&gt;1)),
IF(Import.TipoArredondamento&lt;&gt;"TransfereGOV",
ROUND(OFFSET($P42,0,AD$13),15-13*ORÇAMENTO!$AF$7)/$H42*OFFSET(ORÇAMENTO!$X$15,ROW(AD42)-ROW(AD$15),0),
ROUND(ROUND(OFFSET($P42,0,AD$13),15-13*ORÇAMENTO!$AF$7)*OFFSET(ORÇAMENTO!$W$15,ROW(AD42)-ROW(AD$15),0),15-13*ORÇAMENTO!$AF$11)),0)</f>
        <v>0</v>
      </c>
      <c r="AE42" s="545">
        <f ca="1">IF(AND($D42="Serviço",AE$12&lt;&gt;0,$H42&gt;0,OR(AUTOEVENTO&lt;&gt;"manual",$M42&lt;&gt;1)),
IF(Import.TipoArredondamento&lt;&gt;"TransfereGOV",
ROUND(OFFSET($P42,0,AE$13),15-13*ORÇAMENTO!$AF$7)/$H42*OFFSET(ORÇAMENTO!$X$15,ROW(AE42)-ROW(AE$15),0),
ROUND(ROUND(OFFSET($P42,0,AE$13),15-13*ORÇAMENTO!$AF$7)*OFFSET(ORÇAMENTO!$W$15,ROW(AE42)-ROW(AE$15),0),15-13*ORÇAMENTO!$AF$11)),0)</f>
        <v>0</v>
      </c>
      <c r="AF42" s="545">
        <f ca="1">IF(AND($D42="Serviço",AF$12&lt;&gt;0,$H42&gt;0,OR(AUTOEVENTO&lt;&gt;"manual",$M42&lt;&gt;1)),
IF(Import.TipoArredondamento&lt;&gt;"TransfereGOV",
ROUND(OFFSET($P42,0,AF$13),15-13*ORÇAMENTO!$AF$7)/$H42*OFFSET(ORÇAMENTO!$X$15,ROW(AF42)-ROW(AF$15),0),
ROUND(ROUND(OFFSET($P42,0,AF$13),15-13*ORÇAMENTO!$AF$7)*OFFSET(ORÇAMENTO!$W$15,ROW(AF42)-ROW(AF$15),0),15-13*ORÇAMENTO!$AF$11)),0)</f>
        <v>0</v>
      </c>
      <c r="AG42" s="545">
        <f ca="1">IF(AND($D42="Serviço",AG$12&lt;&gt;0,$H42&gt;0,OR(AUTOEVENTO&lt;&gt;"manual",$M42&lt;&gt;1)),
IF(Import.TipoArredondamento&lt;&gt;"TransfereGOV",
ROUND(OFFSET($P42,0,AG$13),15-13*ORÇAMENTO!$AF$7)/$H42*OFFSET(ORÇAMENTO!$X$15,ROW(AG42)-ROW(AG$15),0),
ROUND(ROUND(OFFSET($P42,0,AG$13),15-13*ORÇAMENTO!$AF$7)*OFFSET(ORÇAMENTO!$W$15,ROW(AG42)-ROW(AG$15),0),15-13*ORÇAMENTO!$AF$11)),0)</f>
        <v>0</v>
      </c>
      <c r="AH42" s="545">
        <f ca="1">IF(AND($D42="Serviço",AH$12&lt;&gt;0,$H42&gt;0,OR(AUTOEVENTO&lt;&gt;"manual",$M42&lt;&gt;1)),
IF(Import.TipoArredondamento&lt;&gt;"TransfereGOV",
ROUND(OFFSET($P42,0,AH$13),15-13*ORÇAMENTO!$AF$7)/$H42*OFFSET(ORÇAMENTO!$X$15,ROW(AH42)-ROW(AH$15),0),
ROUND(ROUND(OFFSET($P42,0,AH$13),15-13*ORÇAMENTO!$AF$7)*OFFSET(ORÇAMENTO!$W$15,ROW(AH42)-ROW(AH$15),0),15-13*ORÇAMENTO!$AF$11)),0)</f>
        <v>0</v>
      </c>
      <c r="AI42" s="545">
        <f ca="1">IF(AND($D42="Serviço",AI$12&lt;&gt;0,$H42&gt;0,OR(AUTOEVENTO&lt;&gt;"manual",$M42&lt;&gt;1)),
IF(Import.TipoArredondamento&lt;&gt;"TransfereGOV",
ROUND(OFFSET($P42,0,AI$13),15-13*ORÇAMENTO!$AF$7)/$H42*OFFSET(ORÇAMENTO!$X$15,ROW(AI42)-ROW(AI$15),0),
ROUND(ROUND(OFFSET($P42,0,AI$13),15-13*ORÇAMENTO!$AF$7)*OFFSET(ORÇAMENTO!$W$15,ROW(AI42)-ROW(AI$15),0),15-13*ORÇAMENTO!$AF$11)),0)</f>
        <v>0</v>
      </c>
      <c r="AJ42" s="545">
        <f ca="1">IF(AND($D42="Serviço",AJ$12&lt;&gt;0,$H42&gt;0,OR(AUTOEVENTO&lt;&gt;"manual",$M42&lt;&gt;1)),
IF(Import.TipoArredondamento&lt;&gt;"TransfereGOV",
ROUND(OFFSET($P42,0,AJ$13),15-13*ORÇAMENTO!$AF$7)/$H42*OFFSET(ORÇAMENTO!$X$15,ROW(AJ42)-ROW(AJ$15),0),
ROUND(ROUND(OFFSET($P42,0,AJ$13),15-13*ORÇAMENTO!$AF$7)*OFFSET(ORÇAMENTO!$W$15,ROW(AJ42)-ROW(AJ$15),0),15-13*ORÇAMENTO!$AF$11)),0)</f>
        <v>0</v>
      </c>
      <c r="AK42" s="546">
        <f ca="1">IF(AND($D42="Serviço",AK$12&lt;&gt;0,$H42&gt;0,OR(AUTOEVENTO&lt;&gt;"manual",$M42&lt;&gt;1)),
IF(Import.TipoArredondamento&lt;&gt;"TransfereGOV",
ROUND(OFFSET($P42,0,AK$13),15-13*ORÇAMENTO!$AF$7)/$H42*OFFSET(ORÇAMENTO!$X$15,ROW(AK42)-ROW(AK$15),0),
ROUND(ROUND(OFFSET($P42,0,AK$13),15-13*ORÇAMENTO!$AF$7)*OFFSET(ORÇAMENTO!$W$15,ROW(AK42)-ROW(AK$15),0),15-13*ORÇAMENTO!$AF$11)),0)</f>
        <v>0</v>
      </c>
      <c r="AM42" s="181">
        <f ca="1">IF($D42&lt;&gt;"Serviço",0,IF(AND(AUTOEVENTO="Manual",$M42=1),0,IF(OFFSET(CRONOPLE!$F$14,$M42,AM$13)="",10^12,OFFSET(CRONOPLE!$F$14,$M42,AM$13))))</f>
        <v>1000000000000</v>
      </c>
      <c r="AN42" s="181">
        <f ca="1">IF($D42&lt;&gt;"Serviço",0,IF(AND(AUTOEVENTO="Manual",$M42=1),0,IF(OFFSET(CRONOPLE!$F$14,$M42,AN$13)="",10^12,OFFSET(CRONOPLE!$F$14,$M42,AN$13))))</f>
        <v>1000000000000</v>
      </c>
      <c r="AO42" s="181">
        <f ca="1">IF($D42&lt;&gt;"Serviço",0,IF(AND(AUTOEVENTO="Manual",$M42=1),0,IF(OFFSET(CRONOPLE!$F$14,$M42,AO$13)="",10^12,OFFSET(CRONOPLE!$F$14,$M42,AO$13))))</f>
        <v>1000000000000</v>
      </c>
      <c r="AP42" s="181">
        <f ca="1">IF($D42&lt;&gt;"Serviço",0,IF(AND(AUTOEVENTO="Manual",$M42=1),0,IF(OFFSET(CRONOPLE!$F$14,$M42,AP$13)="",10^12,OFFSET(CRONOPLE!$F$14,$M42,AP$13))))</f>
        <v>1000000000000</v>
      </c>
      <c r="AQ42" s="181">
        <f ca="1">IF($D42&lt;&gt;"Serviço",0,IF(AND(AUTOEVENTO="Manual",$M42=1),0,IF(OFFSET(CRONOPLE!$F$14,$M42,AQ$13)="",10^12,OFFSET(CRONOPLE!$F$14,$M42,AQ$13))))</f>
        <v>1000000000000</v>
      </c>
      <c r="AR42" s="181">
        <f ca="1">IF($D42&lt;&gt;"Serviço",0,IF(AND(AUTOEVENTO="Manual",$M42=1),0,IF(OFFSET(CRONOPLE!$F$14,$M42,AR$13)="",10^12,OFFSET(CRONOPLE!$F$14,$M42,AR$13))))</f>
        <v>1000000000000</v>
      </c>
      <c r="AS42" s="181">
        <f ca="1">IF($D42&lt;&gt;"Serviço",0,IF(AND(AUTOEVENTO="Manual",$M42=1),0,IF(OFFSET(CRONOPLE!$F$14,$M42,AS$13)="",10^12,OFFSET(CRONOPLE!$F$14,$M42,AS$13))))</f>
        <v>1000000000000</v>
      </c>
      <c r="AT42" s="181">
        <f ca="1">IF($D42&lt;&gt;"Serviço",0,IF(AND(AUTOEVENTO="Manual",$M42=1),0,IF(OFFSET(CRONOPLE!$F$14,$M42,AT$13)="",10^12,OFFSET(CRONOPLE!$F$14,$M42,AT$13))))</f>
        <v>1000000000000</v>
      </c>
      <c r="AU42" s="181">
        <f ca="1">IF($D42&lt;&gt;"Serviço",0,IF(AND(AUTOEVENTO="Manual",$M42=1),0,IF(OFFSET(CRONOPLE!$F$14,$M42,AU$13)="",10^12,OFFSET(CRONOPLE!$F$14,$M42,AU$13))))</f>
        <v>1000000000000</v>
      </c>
      <c r="AV42" s="181">
        <f ca="1">IF($D42&lt;&gt;"Serviço",0,IF(AND(AUTOEVENTO="Manual",$M42=1),0,IF(OFFSET(CRONOPLE!$F$14,$M42,AV$13)="",10^12,OFFSET(CRONOPLE!$F$14,$M42,AV$13))))</f>
        <v>1000000000000</v>
      </c>
      <c r="AX42" s="182">
        <f ca="1">IF($D42&lt;&gt;"Serviço",0,IF(OR(AND(AUTOEVENTO="Manual",$M42=1),$M42&gt;(ROW(PLE.lastrow)-ROW(PLE.firstrow))),0,IF(OFFSET(PLE!$G$14,$M42,AX$13)="",10^12,OFFSET(PLE!$G$14,$M42,AX$13))))</f>
        <v>1000000000000</v>
      </c>
      <c r="AY42" s="182">
        <f ca="1">IF($D42&lt;&gt;"Serviço",0,IF(OR(AND(AUTOEVENTO="Manual",$M42=1),$M42&gt;(ROW(PLE.lastrow)-ROW(PLE.firstrow))),0,IF(OFFSET(PLE!$G$14,$M42,AY$13)="",10^12,OFFSET(PLE!$G$14,$M42,AY$13))))</f>
        <v>1000000000000</v>
      </c>
      <c r="AZ42" s="182">
        <f ca="1">IF($D42&lt;&gt;"Serviço",0,IF(OR(AND(AUTOEVENTO="Manual",$M42=1),$M42&gt;(ROW(PLE.lastrow)-ROW(PLE.firstrow))),0,IF(OFFSET(PLE!$G$14,$M42,AZ$13)="",10^12,OFFSET(PLE!$G$14,$M42,AZ$13))))</f>
        <v>1000000000000</v>
      </c>
      <c r="BA42" s="182">
        <f ca="1">IF($D42&lt;&gt;"Serviço",0,IF(OR(AND(AUTOEVENTO="Manual",$M42=1),$M42&gt;(ROW(PLE.lastrow)-ROW(PLE.firstrow))),0,IF(OFFSET(PLE!$G$14,$M42,BA$13)="",10^12,OFFSET(PLE!$G$14,$M42,BA$13))))</f>
        <v>1000000000000</v>
      </c>
      <c r="BB42" s="182">
        <f ca="1">IF($D42&lt;&gt;"Serviço",0,IF(OR(AND(AUTOEVENTO="Manual",$M42=1),$M42&gt;(ROW(PLE.lastrow)-ROW(PLE.firstrow))),0,IF(OFFSET(PLE!$G$14,$M42,BB$13)="",10^12,OFFSET(PLE!$G$14,$M42,BB$13))))</f>
        <v>1000000000000</v>
      </c>
      <c r="BC42" s="182">
        <f ca="1">IF($D42&lt;&gt;"Serviço",0,IF(OR(AND(AUTOEVENTO="Manual",$M42=1),$M42&gt;(ROW(PLE.lastrow)-ROW(PLE.firstrow))),0,IF(OFFSET(PLE!$G$14,$M42,BC$13)="",10^12,OFFSET(PLE!$G$14,$M42,BC$13))))</f>
        <v>1000000000000</v>
      </c>
      <c r="BD42" s="182">
        <f ca="1">IF($D42&lt;&gt;"Serviço",0,IF(OR(AND(AUTOEVENTO="Manual",$M42=1),$M42&gt;(ROW(PLE.lastrow)-ROW(PLE.firstrow))),0,IF(OFFSET(PLE!$G$14,$M42,BD$13)="",10^12,OFFSET(PLE!$G$14,$M42,BD$13))))</f>
        <v>1000000000000</v>
      </c>
      <c r="BE42" s="182">
        <f ca="1">IF($D42&lt;&gt;"Serviço",0,IF(OR(AND(AUTOEVENTO="Manual",$M42=1),$M42&gt;(ROW(PLE.lastrow)-ROW(PLE.firstrow))),0,IF(OFFSET(PLE!$G$14,$M42,BE$13)="",10^12,OFFSET(PLE!$G$14,$M42,BE$13))))</f>
        <v>1000000000000</v>
      </c>
      <c r="BF42" s="182">
        <f ca="1">IF($D42&lt;&gt;"Serviço",0,IF(OR(AND(AUTOEVENTO="Manual",$M42=1),$M42&gt;(ROW(PLE.lastrow)-ROW(PLE.firstrow))),0,IF(OFFSET(PLE!$G$14,$M42,BF$13)="",10^12,OFFSET(PLE!$G$14,$M42,BF$13))))</f>
        <v>1000000000000</v>
      </c>
      <c r="BG42" s="182">
        <f ca="1">IF($D42&lt;&gt;"Serviço",0,IF(OR(AND(AUTOEVENTO="Manual",$M42=1),$M42&gt;(ROW(PLE.lastrow)-ROW(PLE.firstrow))),0,IF(OFFSET(PLE!$G$14,$M42,BG$13)="",10^12,OFFSET(PLE!$G$14,$M42,BG$13))))</f>
        <v>1000000000000</v>
      </c>
    </row>
    <row r="43" spans="1:59" ht="38.25" x14ac:dyDescent="0.2">
      <c r="A43" s="7" t="str">
        <f t="shared" ca="1" si="8"/>
        <v>20</v>
      </c>
      <c r="B43" s="7" t="str">
        <f ca="1">OFFSET(ORÇAMENTO!C$15,ROW(B43)-ROW(B$15),0)</f>
        <v>S</v>
      </c>
      <c r="C43" s="7" t="str">
        <f ca="1">OFFSET(ORÇAMENTO!L$15,ROW(C43)-ROW(C$15),0)</f>
        <v/>
      </c>
      <c r="D43" s="118" t="str">
        <f ca="1">OFFSET(ORÇAMENTO!N$15,ROW(D43)-ROW(D$15),0)</f>
        <v>Serviço</v>
      </c>
      <c r="E43" s="119" t="str">
        <f ca="1">OFFSET(ORÇAMENTO!O$15,ROW(E43)-ROW(E$15),0)</f>
        <v>-</v>
      </c>
      <c r="F43" s="172" t="str">
        <f ca="1">OFFSET(ORÇAMENTO!R$15,ROW(F43)-ROW(F$15),0)</f>
        <v>(abra o arquivo 'Referência 02-2025.xlsm)</v>
      </c>
      <c r="G43" s="173" t="str">
        <f ca="1">IF($D43&lt;&gt;"Serviço","",OFFSET(ORÇAMENTO!S$15,ROW(G43)-ROW(G$15),0))</f>
        <v>-</v>
      </c>
      <c r="H43" s="124">
        <f ca="1">IF($D43&lt;&gt;"Serviço",0,IF(ACOMPANHAMENTO="BM",ROUND(OFFSET(ORÇAMENTO!AJ$15,ROW(H43)-ROW(H$15),0),15-13*ORÇAMENTO!$AF$7),SUMPRODUCT(($Q$12:$AA$12&lt;&gt;"")*ROUND($Q43:$AA43,15-13*ORÇAMENTO!$AF$7))))</f>
        <v>20.39</v>
      </c>
      <c r="I43" s="561" t="s">
        <v>890</v>
      </c>
      <c r="K43" s="174"/>
      <c r="L43" s="175" t="s">
        <v>255</v>
      </c>
      <c r="M43" s="176">
        <f ca="1">IF($D43&lt;&gt;"Serviço","",IF(AUTOEVENTO="manual",$A43,IF(ISERROR(MATCH($A43,$A$15:OFFSET($A43,-1,0),0)),MAX($M$15:OFFSET(M43,-1,0))+1,INDEX($M$15:OFFSET(M43,-1,0),MATCH($A43,$A$15:OFFSET($A43,-1,0),0)))))</f>
        <v>4</v>
      </c>
      <c r="N43" s="177" t="str">
        <f ca="1">IF($D43&lt;&gt;"Serviço","",IF(AUTOEVENTO="Manual",IF($A43=0,"&lt;-- defina o número do agrupador",OFFSET(EVENTOS!$D$14,$A43,0)),OFFSET($F$15,$A43,0)))</f>
        <v>FUNDAÇÕES</v>
      </c>
      <c r="O43" s="178"/>
      <c r="Q43" s="178"/>
      <c r="R43" s="179"/>
      <c r="S43" s="179"/>
      <c r="T43" s="179"/>
      <c r="U43" s="179"/>
      <c r="V43" s="179"/>
      <c r="W43" s="179"/>
      <c r="X43" s="179"/>
      <c r="Y43" s="179"/>
      <c r="Z43" s="180"/>
      <c r="AB43" s="544">
        <f ca="1">IF(AND($D43="Serviço",AB$12&lt;&gt;0,$H43&gt;0,OR(AUTOEVENTO&lt;&gt;"manual",$M43&lt;&gt;1)),
IF(Import.TipoArredondamento&lt;&gt;"TransfereGOV",
ROUND(OFFSET($P43,0,AB$13),15-13*ORÇAMENTO!$AF$7)/$H43*OFFSET(ORÇAMENTO!$X$15,ROW(AB43)-ROW(AB$15),0),
ROUND(ROUND(OFFSET($P43,0,AB$13),15-13*ORÇAMENTO!$AF$7)*OFFSET(ORÇAMENTO!$W$15,ROW(AB43)-ROW(AB$15),0),15-13*ORÇAMENTO!$AF$11)),0)</f>
        <v>0</v>
      </c>
      <c r="AC43" s="545">
        <f ca="1">IF(AND($D43="Serviço",AC$12&lt;&gt;0,$H43&gt;0,OR(AUTOEVENTO&lt;&gt;"manual",$M43&lt;&gt;1)),
IF(Import.TipoArredondamento&lt;&gt;"TransfereGOV",
ROUND(OFFSET($P43,0,AC$13),15-13*ORÇAMENTO!$AF$7)/$H43*OFFSET(ORÇAMENTO!$X$15,ROW(AC43)-ROW(AC$15),0),
ROUND(ROUND(OFFSET($P43,0,AC$13),15-13*ORÇAMENTO!$AF$7)*OFFSET(ORÇAMENTO!$W$15,ROW(AC43)-ROW(AC$15),0),15-13*ORÇAMENTO!$AF$11)),0)</f>
        <v>0</v>
      </c>
      <c r="AD43" s="545">
        <f ca="1">IF(AND($D43="Serviço",AD$12&lt;&gt;0,$H43&gt;0,OR(AUTOEVENTO&lt;&gt;"manual",$M43&lt;&gt;1)),
IF(Import.TipoArredondamento&lt;&gt;"TransfereGOV",
ROUND(OFFSET($P43,0,AD$13),15-13*ORÇAMENTO!$AF$7)/$H43*OFFSET(ORÇAMENTO!$X$15,ROW(AD43)-ROW(AD$15),0),
ROUND(ROUND(OFFSET($P43,0,AD$13),15-13*ORÇAMENTO!$AF$7)*OFFSET(ORÇAMENTO!$W$15,ROW(AD43)-ROW(AD$15),0),15-13*ORÇAMENTO!$AF$11)),0)</f>
        <v>0</v>
      </c>
      <c r="AE43" s="545">
        <f ca="1">IF(AND($D43="Serviço",AE$12&lt;&gt;0,$H43&gt;0,OR(AUTOEVENTO&lt;&gt;"manual",$M43&lt;&gt;1)),
IF(Import.TipoArredondamento&lt;&gt;"TransfereGOV",
ROUND(OFFSET($P43,0,AE$13),15-13*ORÇAMENTO!$AF$7)/$H43*OFFSET(ORÇAMENTO!$X$15,ROW(AE43)-ROW(AE$15),0),
ROUND(ROUND(OFFSET($P43,0,AE$13),15-13*ORÇAMENTO!$AF$7)*OFFSET(ORÇAMENTO!$W$15,ROW(AE43)-ROW(AE$15),0),15-13*ORÇAMENTO!$AF$11)),0)</f>
        <v>0</v>
      </c>
      <c r="AF43" s="545">
        <f ca="1">IF(AND($D43="Serviço",AF$12&lt;&gt;0,$H43&gt;0,OR(AUTOEVENTO&lt;&gt;"manual",$M43&lt;&gt;1)),
IF(Import.TipoArredondamento&lt;&gt;"TransfereGOV",
ROUND(OFFSET($P43,0,AF$13),15-13*ORÇAMENTO!$AF$7)/$H43*OFFSET(ORÇAMENTO!$X$15,ROW(AF43)-ROW(AF$15),0),
ROUND(ROUND(OFFSET($P43,0,AF$13),15-13*ORÇAMENTO!$AF$7)*OFFSET(ORÇAMENTO!$W$15,ROW(AF43)-ROW(AF$15),0),15-13*ORÇAMENTO!$AF$11)),0)</f>
        <v>0</v>
      </c>
      <c r="AG43" s="545">
        <f ca="1">IF(AND($D43="Serviço",AG$12&lt;&gt;0,$H43&gt;0,OR(AUTOEVENTO&lt;&gt;"manual",$M43&lt;&gt;1)),
IF(Import.TipoArredondamento&lt;&gt;"TransfereGOV",
ROUND(OFFSET($P43,0,AG$13),15-13*ORÇAMENTO!$AF$7)/$H43*OFFSET(ORÇAMENTO!$X$15,ROW(AG43)-ROW(AG$15),0),
ROUND(ROUND(OFFSET($P43,0,AG$13),15-13*ORÇAMENTO!$AF$7)*OFFSET(ORÇAMENTO!$W$15,ROW(AG43)-ROW(AG$15),0),15-13*ORÇAMENTO!$AF$11)),0)</f>
        <v>0</v>
      </c>
      <c r="AH43" s="545">
        <f ca="1">IF(AND($D43="Serviço",AH$12&lt;&gt;0,$H43&gt;0,OR(AUTOEVENTO&lt;&gt;"manual",$M43&lt;&gt;1)),
IF(Import.TipoArredondamento&lt;&gt;"TransfereGOV",
ROUND(OFFSET($P43,0,AH$13),15-13*ORÇAMENTO!$AF$7)/$H43*OFFSET(ORÇAMENTO!$X$15,ROW(AH43)-ROW(AH$15),0),
ROUND(ROUND(OFFSET($P43,0,AH$13),15-13*ORÇAMENTO!$AF$7)*OFFSET(ORÇAMENTO!$W$15,ROW(AH43)-ROW(AH$15),0),15-13*ORÇAMENTO!$AF$11)),0)</f>
        <v>0</v>
      </c>
      <c r="AI43" s="545">
        <f ca="1">IF(AND($D43="Serviço",AI$12&lt;&gt;0,$H43&gt;0,OR(AUTOEVENTO&lt;&gt;"manual",$M43&lt;&gt;1)),
IF(Import.TipoArredondamento&lt;&gt;"TransfereGOV",
ROUND(OFFSET($P43,0,AI$13),15-13*ORÇAMENTO!$AF$7)/$H43*OFFSET(ORÇAMENTO!$X$15,ROW(AI43)-ROW(AI$15),0),
ROUND(ROUND(OFFSET($P43,0,AI$13),15-13*ORÇAMENTO!$AF$7)*OFFSET(ORÇAMENTO!$W$15,ROW(AI43)-ROW(AI$15),0),15-13*ORÇAMENTO!$AF$11)),0)</f>
        <v>0</v>
      </c>
      <c r="AJ43" s="545">
        <f ca="1">IF(AND($D43="Serviço",AJ$12&lt;&gt;0,$H43&gt;0,OR(AUTOEVENTO&lt;&gt;"manual",$M43&lt;&gt;1)),
IF(Import.TipoArredondamento&lt;&gt;"TransfereGOV",
ROUND(OFFSET($P43,0,AJ$13),15-13*ORÇAMENTO!$AF$7)/$H43*OFFSET(ORÇAMENTO!$X$15,ROW(AJ43)-ROW(AJ$15),0),
ROUND(ROUND(OFFSET($P43,0,AJ$13),15-13*ORÇAMENTO!$AF$7)*OFFSET(ORÇAMENTO!$W$15,ROW(AJ43)-ROW(AJ$15),0),15-13*ORÇAMENTO!$AF$11)),0)</f>
        <v>0</v>
      </c>
      <c r="AK43" s="546">
        <f ca="1">IF(AND($D43="Serviço",AK$12&lt;&gt;0,$H43&gt;0,OR(AUTOEVENTO&lt;&gt;"manual",$M43&lt;&gt;1)),
IF(Import.TipoArredondamento&lt;&gt;"TransfereGOV",
ROUND(OFFSET($P43,0,AK$13),15-13*ORÇAMENTO!$AF$7)/$H43*OFFSET(ORÇAMENTO!$X$15,ROW(AK43)-ROW(AK$15),0),
ROUND(ROUND(OFFSET($P43,0,AK$13),15-13*ORÇAMENTO!$AF$7)*OFFSET(ORÇAMENTO!$W$15,ROW(AK43)-ROW(AK$15),0),15-13*ORÇAMENTO!$AF$11)),0)</f>
        <v>0</v>
      </c>
      <c r="AM43" s="181">
        <f ca="1">IF($D43&lt;&gt;"Serviço",0,IF(AND(AUTOEVENTO="Manual",$M43=1),0,IF(OFFSET(CRONOPLE!$F$14,$M43,AM$13)="",10^12,OFFSET(CRONOPLE!$F$14,$M43,AM$13))))</f>
        <v>1000000000000</v>
      </c>
      <c r="AN43" s="181">
        <f ca="1">IF($D43&lt;&gt;"Serviço",0,IF(AND(AUTOEVENTO="Manual",$M43=1),0,IF(OFFSET(CRONOPLE!$F$14,$M43,AN$13)="",10^12,OFFSET(CRONOPLE!$F$14,$M43,AN$13))))</f>
        <v>1000000000000</v>
      </c>
      <c r="AO43" s="181">
        <f ca="1">IF($D43&lt;&gt;"Serviço",0,IF(AND(AUTOEVENTO="Manual",$M43=1),0,IF(OFFSET(CRONOPLE!$F$14,$M43,AO$13)="",10^12,OFFSET(CRONOPLE!$F$14,$M43,AO$13))))</f>
        <v>1000000000000</v>
      </c>
      <c r="AP43" s="181">
        <f ca="1">IF($D43&lt;&gt;"Serviço",0,IF(AND(AUTOEVENTO="Manual",$M43=1),0,IF(OFFSET(CRONOPLE!$F$14,$M43,AP$13)="",10^12,OFFSET(CRONOPLE!$F$14,$M43,AP$13))))</f>
        <v>1000000000000</v>
      </c>
      <c r="AQ43" s="181">
        <f ca="1">IF($D43&lt;&gt;"Serviço",0,IF(AND(AUTOEVENTO="Manual",$M43=1),0,IF(OFFSET(CRONOPLE!$F$14,$M43,AQ$13)="",10^12,OFFSET(CRONOPLE!$F$14,$M43,AQ$13))))</f>
        <v>1000000000000</v>
      </c>
      <c r="AR43" s="181">
        <f ca="1">IF($D43&lt;&gt;"Serviço",0,IF(AND(AUTOEVENTO="Manual",$M43=1),0,IF(OFFSET(CRONOPLE!$F$14,$M43,AR$13)="",10^12,OFFSET(CRONOPLE!$F$14,$M43,AR$13))))</f>
        <v>1000000000000</v>
      </c>
      <c r="AS43" s="181">
        <f ca="1">IF($D43&lt;&gt;"Serviço",0,IF(AND(AUTOEVENTO="Manual",$M43=1),0,IF(OFFSET(CRONOPLE!$F$14,$M43,AS$13)="",10^12,OFFSET(CRONOPLE!$F$14,$M43,AS$13))))</f>
        <v>1000000000000</v>
      </c>
      <c r="AT43" s="181">
        <f ca="1">IF($D43&lt;&gt;"Serviço",0,IF(AND(AUTOEVENTO="Manual",$M43=1),0,IF(OFFSET(CRONOPLE!$F$14,$M43,AT$13)="",10^12,OFFSET(CRONOPLE!$F$14,$M43,AT$13))))</f>
        <v>1000000000000</v>
      </c>
      <c r="AU43" s="181">
        <f ca="1">IF($D43&lt;&gt;"Serviço",0,IF(AND(AUTOEVENTO="Manual",$M43=1),0,IF(OFFSET(CRONOPLE!$F$14,$M43,AU$13)="",10^12,OFFSET(CRONOPLE!$F$14,$M43,AU$13))))</f>
        <v>1000000000000</v>
      </c>
      <c r="AV43" s="181">
        <f ca="1">IF($D43&lt;&gt;"Serviço",0,IF(AND(AUTOEVENTO="Manual",$M43=1),0,IF(OFFSET(CRONOPLE!$F$14,$M43,AV$13)="",10^12,OFFSET(CRONOPLE!$F$14,$M43,AV$13))))</f>
        <v>1000000000000</v>
      </c>
      <c r="AX43" s="182">
        <f ca="1">IF($D43&lt;&gt;"Serviço",0,IF(OR(AND(AUTOEVENTO="Manual",$M43=1),$M43&gt;(ROW(PLE.lastrow)-ROW(PLE.firstrow))),0,IF(OFFSET(PLE!$G$14,$M43,AX$13)="",10^12,OFFSET(PLE!$G$14,$M43,AX$13))))</f>
        <v>1000000000000</v>
      </c>
      <c r="AY43" s="182">
        <f ca="1">IF($D43&lt;&gt;"Serviço",0,IF(OR(AND(AUTOEVENTO="Manual",$M43=1),$M43&gt;(ROW(PLE.lastrow)-ROW(PLE.firstrow))),0,IF(OFFSET(PLE!$G$14,$M43,AY$13)="",10^12,OFFSET(PLE!$G$14,$M43,AY$13))))</f>
        <v>1000000000000</v>
      </c>
      <c r="AZ43" s="182">
        <f ca="1">IF($D43&lt;&gt;"Serviço",0,IF(OR(AND(AUTOEVENTO="Manual",$M43=1),$M43&gt;(ROW(PLE.lastrow)-ROW(PLE.firstrow))),0,IF(OFFSET(PLE!$G$14,$M43,AZ$13)="",10^12,OFFSET(PLE!$G$14,$M43,AZ$13))))</f>
        <v>1000000000000</v>
      </c>
      <c r="BA43" s="182">
        <f ca="1">IF($D43&lt;&gt;"Serviço",0,IF(OR(AND(AUTOEVENTO="Manual",$M43=1),$M43&gt;(ROW(PLE.lastrow)-ROW(PLE.firstrow))),0,IF(OFFSET(PLE!$G$14,$M43,BA$13)="",10^12,OFFSET(PLE!$G$14,$M43,BA$13))))</f>
        <v>1000000000000</v>
      </c>
      <c r="BB43" s="182">
        <f ca="1">IF($D43&lt;&gt;"Serviço",0,IF(OR(AND(AUTOEVENTO="Manual",$M43=1),$M43&gt;(ROW(PLE.lastrow)-ROW(PLE.firstrow))),0,IF(OFFSET(PLE!$G$14,$M43,BB$13)="",10^12,OFFSET(PLE!$G$14,$M43,BB$13))))</f>
        <v>1000000000000</v>
      </c>
      <c r="BC43" s="182">
        <f ca="1">IF($D43&lt;&gt;"Serviço",0,IF(OR(AND(AUTOEVENTO="Manual",$M43=1),$M43&gt;(ROW(PLE.lastrow)-ROW(PLE.firstrow))),0,IF(OFFSET(PLE!$G$14,$M43,BC$13)="",10^12,OFFSET(PLE!$G$14,$M43,BC$13))))</f>
        <v>1000000000000</v>
      </c>
      <c r="BD43" s="182">
        <f ca="1">IF($D43&lt;&gt;"Serviço",0,IF(OR(AND(AUTOEVENTO="Manual",$M43=1),$M43&gt;(ROW(PLE.lastrow)-ROW(PLE.firstrow))),0,IF(OFFSET(PLE!$G$14,$M43,BD$13)="",10^12,OFFSET(PLE!$G$14,$M43,BD$13))))</f>
        <v>1000000000000</v>
      </c>
      <c r="BE43" s="182">
        <f ca="1">IF($D43&lt;&gt;"Serviço",0,IF(OR(AND(AUTOEVENTO="Manual",$M43=1),$M43&gt;(ROW(PLE.lastrow)-ROW(PLE.firstrow))),0,IF(OFFSET(PLE!$G$14,$M43,BE$13)="",10^12,OFFSET(PLE!$G$14,$M43,BE$13))))</f>
        <v>1000000000000</v>
      </c>
      <c r="BF43" s="182">
        <f ca="1">IF($D43&lt;&gt;"Serviço",0,IF(OR(AND(AUTOEVENTO="Manual",$M43=1),$M43&gt;(ROW(PLE.lastrow)-ROW(PLE.firstrow))),0,IF(OFFSET(PLE!$G$14,$M43,BF$13)="",10^12,OFFSET(PLE!$G$14,$M43,BF$13))))</f>
        <v>1000000000000</v>
      </c>
      <c r="BG43" s="182">
        <f ca="1">IF($D43&lt;&gt;"Serviço",0,IF(OR(AND(AUTOEVENTO="Manual",$M43=1),$M43&gt;(ROW(PLE.lastrow)-ROW(PLE.firstrow))),0,IF(OFFSET(PLE!$G$14,$M43,BG$13)="",10^12,OFFSET(PLE!$G$14,$M43,BG$13))))</f>
        <v>1000000000000</v>
      </c>
    </row>
    <row r="44" spans="1:59" ht="25.5" x14ac:dyDescent="0.2">
      <c r="A44" s="7" t="str">
        <f t="shared" ca="1" si="8"/>
        <v>20</v>
      </c>
      <c r="B44" s="7" t="str">
        <f ca="1">OFFSET(ORÇAMENTO!C$15,ROW(B44)-ROW(B$15),0)</f>
        <v>S</v>
      </c>
      <c r="C44" s="7" t="str">
        <f ca="1">OFFSET(ORÇAMENTO!L$15,ROW(C44)-ROW(C$15),0)</f>
        <v/>
      </c>
      <c r="D44" s="118" t="str">
        <f ca="1">OFFSET(ORÇAMENTO!N$15,ROW(D44)-ROW(D$15),0)</f>
        <v>Serviço</v>
      </c>
      <c r="E44" s="119" t="str">
        <f ca="1">OFFSET(ORÇAMENTO!O$15,ROW(E44)-ROW(E$15),0)</f>
        <v>-</v>
      </c>
      <c r="F44" s="172" t="str">
        <f ca="1">OFFSET(ORÇAMENTO!R$15,ROW(F44)-ROW(F$15),0)</f>
        <v>(abra o arquivo 'Referência 02-2025.xlsm)</v>
      </c>
      <c r="G44" s="173" t="str">
        <f ca="1">IF($D44&lt;&gt;"Serviço","",OFFSET(ORÇAMENTO!S$15,ROW(G44)-ROW(G$15),0))</f>
        <v>-</v>
      </c>
      <c r="H44" s="124">
        <f ca="1">IF($D44&lt;&gt;"Serviço",0,IF(ACOMPANHAMENTO="BM",ROUND(OFFSET(ORÇAMENTO!AJ$15,ROW(H44)-ROW(H$15),0),15-13*ORÇAMENTO!$AF$7),SUMPRODUCT(($Q$12:$AA$12&lt;&gt;"")*ROUND($Q44:$AA44,15-13*ORÇAMENTO!$AF$7))))</f>
        <v>762.7</v>
      </c>
      <c r="I44" s="561" t="s">
        <v>890</v>
      </c>
      <c r="K44" s="174"/>
      <c r="L44" s="175" t="s">
        <v>255</v>
      </c>
      <c r="M44" s="176">
        <f ca="1">IF($D44&lt;&gt;"Serviço","",IF(AUTOEVENTO="manual",$A44,IF(ISERROR(MATCH($A44,$A$15:OFFSET($A44,-1,0),0)),MAX($M$15:OFFSET(M44,-1,0))+1,INDEX($M$15:OFFSET(M44,-1,0),MATCH($A44,$A$15:OFFSET($A44,-1,0),0)))))</f>
        <v>4</v>
      </c>
      <c r="N44" s="177" t="str">
        <f ca="1">IF($D44&lt;&gt;"Serviço","",IF(AUTOEVENTO="Manual",IF($A44=0,"&lt;-- defina o número do agrupador",OFFSET(EVENTOS!$D$14,$A44,0)),OFFSET($F$15,$A44,0)))</f>
        <v>FUNDAÇÕES</v>
      </c>
      <c r="O44" s="178"/>
      <c r="Q44" s="178"/>
      <c r="R44" s="179"/>
      <c r="S44" s="179"/>
      <c r="T44" s="179"/>
      <c r="U44" s="179"/>
      <c r="V44" s="179"/>
      <c r="W44" s="179"/>
      <c r="X44" s="179"/>
      <c r="Y44" s="179"/>
      <c r="Z44" s="180"/>
      <c r="AB44" s="544">
        <f ca="1">IF(AND($D44="Serviço",AB$12&lt;&gt;0,$H44&gt;0,OR(AUTOEVENTO&lt;&gt;"manual",$M44&lt;&gt;1)),
IF(Import.TipoArredondamento&lt;&gt;"TransfereGOV",
ROUND(OFFSET($P44,0,AB$13),15-13*ORÇAMENTO!$AF$7)/$H44*OFFSET(ORÇAMENTO!$X$15,ROW(AB44)-ROW(AB$15),0),
ROUND(ROUND(OFFSET($P44,0,AB$13),15-13*ORÇAMENTO!$AF$7)*OFFSET(ORÇAMENTO!$W$15,ROW(AB44)-ROW(AB$15),0),15-13*ORÇAMENTO!$AF$11)),0)</f>
        <v>0</v>
      </c>
      <c r="AC44" s="545">
        <f ca="1">IF(AND($D44="Serviço",AC$12&lt;&gt;0,$H44&gt;0,OR(AUTOEVENTO&lt;&gt;"manual",$M44&lt;&gt;1)),
IF(Import.TipoArredondamento&lt;&gt;"TransfereGOV",
ROUND(OFFSET($P44,0,AC$13),15-13*ORÇAMENTO!$AF$7)/$H44*OFFSET(ORÇAMENTO!$X$15,ROW(AC44)-ROW(AC$15),0),
ROUND(ROUND(OFFSET($P44,0,AC$13),15-13*ORÇAMENTO!$AF$7)*OFFSET(ORÇAMENTO!$W$15,ROW(AC44)-ROW(AC$15),0),15-13*ORÇAMENTO!$AF$11)),0)</f>
        <v>0</v>
      </c>
      <c r="AD44" s="545">
        <f ca="1">IF(AND($D44="Serviço",AD$12&lt;&gt;0,$H44&gt;0,OR(AUTOEVENTO&lt;&gt;"manual",$M44&lt;&gt;1)),
IF(Import.TipoArredondamento&lt;&gt;"TransfereGOV",
ROUND(OFFSET($P44,0,AD$13),15-13*ORÇAMENTO!$AF$7)/$H44*OFFSET(ORÇAMENTO!$X$15,ROW(AD44)-ROW(AD$15),0),
ROUND(ROUND(OFFSET($P44,0,AD$13),15-13*ORÇAMENTO!$AF$7)*OFFSET(ORÇAMENTO!$W$15,ROW(AD44)-ROW(AD$15),0),15-13*ORÇAMENTO!$AF$11)),0)</f>
        <v>0</v>
      </c>
      <c r="AE44" s="545">
        <f ca="1">IF(AND($D44="Serviço",AE$12&lt;&gt;0,$H44&gt;0,OR(AUTOEVENTO&lt;&gt;"manual",$M44&lt;&gt;1)),
IF(Import.TipoArredondamento&lt;&gt;"TransfereGOV",
ROUND(OFFSET($P44,0,AE$13),15-13*ORÇAMENTO!$AF$7)/$H44*OFFSET(ORÇAMENTO!$X$15,ROW(AE44)-ROW(AE$15),0),
ROUND(ROUND(OFFSET($P44,0,AE$13),15-13*ORÇAMENTO!$AF$7)*OFFSET(ORÇAMENTO!$W$15,ROW(AE44)-ROW(AE$15),0),15-13*ORÇAMENTO!$AF$11)),0)</f>
        <v>0</v>
      </c>
      <c r="AF44" s="545">
        <f ca="1">IF(AND($D44="Serviço",AF$12&lt;&gt;0,$H44&gt;0,OR(AUTOEVENTO&lt;&gt;"manual",$M44&lt;&gt;1)),
IF(Import.TipoArredondamento&lt;&gt;"TransfereGOV",
ROUND(OFFSET($P44,0,AF$13),15-13*ORÇAMENTO!$AF$7)/$H44*OFFSET(ORÇAMENTO!$X$15,ROW(AF44)-ROW(AF$15),0),
ROUND(ROUND(OFFSET($P44,0,AF$13),15-13*ORÇAMENTO!$AF$7)*OFFSET(ORÇAMENTO!$W$15,ROW(AF44)-ROW(AF$15),0),15-13*ORÇAMENTO!$AF$11)),0)</f>
        <v>0</v>
      </c>
      <c r="AG44" s="545">
        <f ca="1">IF(AND($D44="Serviço",AG$12&lt;&gt;0,$H44&gt;0,OR(AUTOEVENTO&lt;&gt;"manual",$M44&lt;&gt;1)),
IF(Import.TipoArredondamento&lt;&gt;"TransfereGOV",
ROUND(OFFSET($P44,0,AG$13),15-13*ORÇAMENTO!$AF$7)/$H44*OFFSET(ORÇAMENTO!$X$15,ROW(AG44)-ROW(AG$15),0),
ROUND(ROUND(OFFSET($P44,0,AG$13),15-13*ORÇAMENTO!$AF$7)*OFFSET(ORÇAMENTO!$W$15,ROW(AG44)-ROW(AG$15),0),15-13*ORÇAMENTO!$AF$11)),0)</f>
        <v>0</v>
      </c>
      <c r="AH44" s="545">
        <f ca="1">IF(AND($D44="Serviço",AH$12&lt;&gt;0,$H44&gt;0,OR(AUTOEVENTO&lt;&gt;"manual",$M44&lt;&gt;1)),
IF(Import.TipoArredondamento&lt;&gt;"TransfereGOV",
ROUND(OFFSET($P44,0,AH$13),15-13*ORÇAMENTO!$AF$7)/$H44*OFFSET(ORÇAMENTO!$X$15,ROW(AH44)-ROW(AH$15),0),
ROUND(ROUND(OFFSET($P44,0,AH$13),15-13*ORÇAMENTO!$AF$7)*OFFSET(ORÇAMENTO!$W$15,ROW(AH44)-ROW(AH$15),0),15-13*ORÇAMENTO!$AF$11)),0)</f>
        <v>0</v>
      </c>
      <c r="AI44" s="545">
        <f ca="1">IF(AND($D44="Serviço",AI$12&lt;&gt;0,$H44&gt;0,OR(AUTOEVENTO&lt;&gt;"manual",$M44&lt;&gt;1)),
IF(Import.TipoArredondamento&lt;&gt;"TransfereGOV",
ROUND(OFFSET($P44,0,AI$13),15-13*ORÇAMENTO!$AF$7)/$H44*OFFSET(ORÇAMENTO!$X$15,ROW(AI44)-ROW(AI$15),0),
ROUND(ROUND(OFFSET($P44,0,AI$13),15-13*ORÇAMENTO!$AF$7)*OFFSET(ORÇAMENTO!$W$15,ROW(AI44)-ROW(AI$15),0),15-13*ORÇAMENTO!$AF$11)),0)</f>
        <v>0</v>
      </c>
      <c r="AJ44" s="545">
        <f ca="1">IF(AND($D44="Serviço",AJ$12&lt;&gt;0,$H44&gt;0,OR(AUTOEVENTO&lt;&gt;"manual",$M44&lt;&gt;1)),
IF(Import.TipoArredondamento&lt;&gt;"TransfereGOV",
ROUND(OFFSET($P44,0,AJ$13),15-13*ORÇAMENTO!$AF$7)/$H44*OFFSET(ORÇAMENTO!$X$15,ROW(AJ44)-ROW(AJ$15),0),
ROUND(ROUND(OFFSET($P44,0,AJ$13),15-13*ORÇAMENTO!$AF$7)*OFFSET(ORÇAMENTO!$W$15,ROW(AJ44)-ROW(AJ$15),0),15-13*ORÇAMENTO!$AF$11)),0)</f>
        <v>0</v>
      </c>
      <c r="AK44" s="546">
        <f ca="1">IF(AND($D44="Serviço",AK$12&lt;&gt;0,$H44&gt;0,OR(AUTOEVENTO&lt;&gt;"manual",$M44&lt;&gt;1)),
IF(Import.TipoArredondamento&lt;&gt;"TransfereGOV",
ROUND(OFFSET($P44,0,AK$13),15-13*ORÇAMENTO!$AF$7)/$H44*OFFSET(ORÇAMENTO!$X$15,ROW(AK44)-ROW(AK$15),0),
ROUND(ROUND(OFFSET($P44,0,AK$13),15-13*ORÇAMENTO!$AF$7)*OFFSET(ORÇAMENTO!$W$15,ROW(AK44)-ROW(AK$15),0),15-13*ORÇAMENTO!$AF$11)),0)</f>
        <v>0</v>
      </c>
      <c r="AM44" s="181">
        <f ca="1">IF($D44&lt;&gt;"Serviço",0,IF(AND(AUTOEVENTO="Manual",$M44=1),0,IF(OFFSET(CRONOPLE!$F$14,$M44,AM$13)="",10^12,OFFSET(CRONOPLE!$F$14,$M44,AM$13))))</f>
        <v>1000000000000</v>
      </c>
      <c r="AN44" s="181">
        <f ca="1">IF($D44&lt;&gt;"Serviço",0,IF(AND(AUTOEVENTO="Manual",$M44=1),0,IF(OFFSET(CRONOPLE!$F$14,$M44,AN$13)="",10^12,OFFSET(CRONOPLE!$F$14,$M44,AN$13))))</f>
        <v>1000000000000</v>
      </c>
      <c r="AO44" s="181">
        <f ca="1">IF($D44&lt;&gt;"Serviço",0,IF(AND(AUTOEVENTO="Manual",$M44=1),0,IF(OFFSET(CRONOPLE!$F$14,$M44,AO$13)="",10^12,OFFSET(CRONOPLE!$F$14,$M44,AO$13))))</f>
        <v>1000000000000</v>
      </c>
      <c r="AP44" s="181">
        <f ca="1">IF($D44&lt;&gt;"Serviço",0,IF(AND(AUTOEVENTO="Manual",$M44=1),0,IF(OFFSET(CRONOPLE!$F$14,$M44,AP$13)="",10^12,OFFSET(CRONOPLE!$F$14,$M44,AP$13))))</f>
        <v>1000000000000</v>
      </c>
      <c r="AQ44" s="181">
        <f ca="1">IF($D44&lt;&gt;"Serviço",0,IF(AND(AUTOEVENTO="Manual",$M44=1),0,IF(OFFSET(CRONOPLE!$F$14,$M44,AQ$13)="",10^12,OFFSET(CRONOPLE!$F$14,$M44,AQ$13))))</f>
        <v>1000000000000</v>
      </c>
      <c r="AR44" s="181">
        <f ca="1">IF($D44&lt;&gt;"Serviço",0,IF(AND(AUTOEVENTO="Manual",$M44=1),0,IF(OFFSET(CRONOPLE!$F$14,$M44,AR$13)="",10^12,OFFSET(CRONOPLE!$F$14,$M44,AR$13))))</f>
        <v>1000000000000</v>
      </c>
      <c r="AS44" s="181">
        <f ca="1">IF($D44&lt;&gt;"Serviço",0,IF(AND(AUTOEVENTO="Manual",$M44=1),0,IF(OFFSET(CRONOPLE!$F$14,$M44,AS$13)="",10^12,OFFSET(CRONOPLE!$F$14,$M44,AS$13))))</f>
        <v>1000000000000</v>
      </c>
      <c r="AT44" s="181">
        <f ca="1">IF($D44&lt;&gt;"Serviço",0,IF(AND(AUTOEVENTO="Manual",$M44=1),0,IF(OFFSET(CRONOPLE!$F$14,$M44,AT$13)="",10^12,OFFSET(CRONOPLE!$F$14,$M44,AT$13))))</f>
        <v>1000000000000</v>
      </c>
      <c r="AU44" s="181">
        <f ca="1">IF($D44&lt;&gt;"Serviço",0,IF(AND(AUTOEVENTO="Manual",$M44=1),0,IF(OFFSET(CRONOPLE!$F$14,$M44,AU$13)="",10^12,OFFSET(CRONOPLE!$F$14,$M44,AU$13))))</f>
        <v>1000000000000</v>
      </c>
      <c r="AV44" s="181">
        <f ca="1">IF($D44&lt;&gt;"Serviço",0,IF(AND(AUTOEVENTO="Manual",$M44=1),0,IF(OFFSET(CRONOPLE!$F$14,$M44,AV$13)="",10^12,OFFSET(CRONOPLE!$F$14,$M44,AV$13))))</f>
        <v>1000000000000</v>
      </c>
      <c r="AX44" s="182">
        <f ca="1">IF($D44&lt;&gt;"Serviço",0,IF(OR(AND(AUTOEVENTO="Manual",$M44=1),$M44&gt;(ROW(PLE.lastrow)-ROW(PLE.firstrow))),0,IF(OFFSET(PLE!$G$14,$M44,AX$13)="",10^12,OFFSET(PLE!$G$14,$M44,AX$13))))</f>
        <v>1000000000000</v>
      </c>
      <c r="AY44" s="182">
        <f ca="1">IF($D44&lt;&gt;"Serviço",0,IF(OR(AND(AUTOEVENTO="Manual",$M44=1),$M44&gt;(ROW(PLE.lastrow)-ROW(PLE.firstrow))),0,IF(OFFSET(PLE!$G$14,$M44,AY$13)="",10^12,OFFSET(PLE!$G$14,$M44,AY$13))))</f>
        <v>1000000000000</v>
      </c>
      <c r="AZ44" s="182">
        <f ca="1">IF($D44&lt;&gt;"Serviço",0,IF(OR(AND(AUTOEVENTO="Manual",$M44=1),$M44&gt;(ROW(PLE.lastrow)-ROW(PLE.firstrow))),0,IF(OFFSET(PLE!$G$14,$M44,AZ$13)="",10^12,OFFSET(PLE!$G$14,$M44,AZ$13))))</f>
        <v>1000000000000</v>
      </c>
      <c r="BA44" s="182">
        <f ca="1">IF($D44&lt;&gt;"Serviço",0,IF(OR(AND(AUTOEVENTO="Manual",$M44=1),$M44&gt;(ROW(PLE.lastrow)-ROW(PLE.firstrow))),0,IF(OFFSET(PLE!$G$14,$M44,BA$13)="",10^12,OFFSET(PLE!$G$14,$M44,BA$13))))</f>
        <v>1000000000000</v>
      </c>
      <c r="BB44" s="182">
        <f ca="1">IF($D44&lt;&gt;"Serviço",0,IF(OR(AND(AUTOEVENTO="Manual",$M44=1),$M44&gt;(ROW(PLE.lastrow)-ROW(PLE.firstrow))),0,IF(OFFSET(PLE!$G$14,$M44,BB$13)="",10^12,OFFSET(PLE!$G$14,$M44,BB$13))))</f>
        <v>1000000000000</v>
      </c>
      <c r="BC44" s="182">
        <f ca="1">IF($D44&lt;&gt;"Serviço",0,IF(OR(AND(AUTOEVENTO="Manual",$M44=1),$M44&gt;(ROW(PLE.lastrow)-ROW(PLE.firstrow))),0,IF(OFFSET(PLE!$G$14,$M44,BC$13)="",10^12,OFFSET(PLE!$G$14,$M44,BC$13))))</f>
        <v>1000000000000</v>
      </c>
      <c r="BD44" s="182">
        <f ca="1">IF($D44&lt;&gt;"Serviço",0,IF(OR(AND(AUTOEVENTO="Manual",$M44=1),$M44&gt;(ROW(PLE.lastrow)-ROW(PLE.firstrow))),0,IF(OFFSET(PLE!$G$14,$M44,BD$13)="",10^12,OFFSET(PLE!$G$14,$M44,BD$13))))</f>
        <v>1000000000000</v>
      </c>
      <c r="BE44" s="182">
        <f ca="1">IF($D44&lt;&gt;"Serviço",0,IF(OR(AND(AUTOEVENTO="Manual",$M44=1),$M44&gt;(ROW(PLE.lastrow)-ROW(PLE.firstrow))),0,IF(OFFSET(PLE!$G$14,$M44,BE$13)="",10^12,OFFSET(PLE!$G$14,$M44,BE$13))))</f>
        <v>1000000000000</v>
      </c>
      <c r="BF44" s="182">
        <f ca="1">IF($D44&lt;&gt;"Serviço",0,IF(OR(AND(AUTOEVENTO="Manual",$M44=1),$M44&gt;(ROW(PLE.lastrow)-ROW(PLE.firstrow))),0,IF(OFFSET(PLE!$G$14,$M44,BF$13)="",10^12,OFFSET(PLE!$G$14,$M44,BF$13))))</f>
        <v>1000000000000</v>
      </c>
      <c r="BG44" s="182">
        <f ca="1">IF($D44&lt;&gt;"Serviço",0,IF(OR(AND(AUTOEVENTO="Manual",$M44=1),$M44&gt;(ROW(PLE.lastrow)-ROW(PLE.firstrow))),0,IF(OFFSET(PLE!$G$14,$M44,BG$13)="",10^12,OFFSET(PLE!$G$14,$M44,BG$13))))</f>
        <v>1000000000000</v>
      </c>
    </row>
    <row r="45" spans="1:59" ht="25.5" x14ac:dyDescent="0.2">
      <c r="A45" s="7" t="str">
        <f t="shared" ca="1" si="8"/>
        <v>20</v>
      </c>
      <c r="B45" s="7" t="str">
        <f ca="1">OFFSET(ORÇAMENTO!C$15,ROW(B45)-ROW(B$15),0)</f>
        <v>S</v>
      </c>
      <c r="C45" s="7" t="str">
        <f ca="1">OFFSET(ORÇAMENTO!L$15,ROW(C45)-ROW(C$15),0)</f>
        <v/>
      </c>
      <c r="D45" s="118" t="str">
        <f ca="1">OFFSET(ORÇAMENTO!N$15,ROW(D45)-ROW(D$15),0)</f>
        <v>Serviço</v>
      </c>
      <c r="E45" s="119" t="str">
        <f ca="1">OFFSET(ORÇAMENTO!O$15,ROW(E45)-ROW(E$15),0)</f>
        <v>-</v>
      </c>
      <c r="F45" s="172" t="str">
        <f ca="1">OFFSET(ORÇAMENTO!R$15,ROW(F45)-ROW(F$15),0)</f>
        <v>(abra o arquivo 'Referência 02-2025.xlsm)</v>
      </c>
      <c r="G45" s="173" t="str">
        <f ca="1">IF($D45&lt;&gt;"Serviço","",OFFSET(ORÇAMENTO!S$15,ROW(G45)-ROW(G$15),0))</f>
        <v>-</v>
      </c>
      <c r="H45" s="124">
        <f ca="1">IF($D45&lt;&gt;"Serviço",0,IF(ACOMPANHAMENTO="BM",ROUND(OFFSET(ORÇAMENTO!AJ$15,ROW(H45)-ROW(H$15),0),15-13*ORÇAMENTO!$AF$7),SUMPRODUCT(($Q$12:$AA$12&lt;&gt;"")*ROUND($Q45:$AA45,15-13*ORÇAMENTO!$AF$7))))</f>
        <v>54.16</v>
      </c>
      <c r="I45" s="561" t="s">
        <v>890</v>
      </c>
      <c r="K45" s="174"/>
      <c r="L45" s="175" t="s">
        <v>255</v>
      </c>
      <c r="M45" s="176">
        <f ca="1">IF($D45&lt;&gt;"Serviço","",IF(AUTOEVENTO="manual",$A45,IF(ISERROR(MATCH($A45,$A$15:OFFSET($A45,-1,0),0)),MAX($M$15:OFFSET(M45,-1,0))+1,INDEX($M$15:OFFSET(M45,-1,0),MATCH($A45,$A$15:OFFSET($A45,-1,0),0)))))</f>
        <v>4</v>
      </c>
      <c r="N45" s="177" t="str">
        <f ca="1">IF($D45&lt;&gt;"Serviço","",IF(AUTOEVENTO="Manual",IF($A45=0,"&lt;-- defina o número do agrupador",OFFSET(EVENTOS!$D$14,$A45,0)),OFFSET($F$15,$A45,0)))</f>
        <v>FUNDAÇÕES</v>
      </c>
      <c r="O45" s="178"/>
      <c r="Q45" s="178"/>
      <c r="R45" s="179"/>
      <c r="S45" s="179"/>
      <c r="T45" s="179"/>
      <c r="U45" s="179"/>
      <c r="V45" s="179"/>
      <c r="W45" s="179"/>
      <c r="X45" s="179"/>
      <c r="Y45" s="179"/>
      <c r="Z45" s="180"/>
      <c r="AB45" s="544">
        <f ca="1">IF(AND($D45="Serviço",AB$12&lt;&gt;0,$H45&gt;0,OR(AUTOEVENTO&lt;&gt;"manual",$M45&lt;&gt;1)),
IF(Import.TipoArredondamento&lt;&gt;"TransfereGOV",
ROUND(OFFSET($P45,0,AB$13),15-13*ORÇAMENTO!$AF$7)/$H45*OFFSET(ORÇAMENTO!$X$15,ROW(AB45)-ROW(AB$15),0),
ROUND(ROUND(OFFSET($P45,0,AB$13),15-13*ORÇAMENTO!$AF$7)*OFFSET(ORÇAMENTO!$W$15,ROW(AB45)-ROW(AB$15),0),15-13*ORÇAMENTO!$AF$11)),0)</f>
        <v>0</v>
      </c>
      <c r="AC45" s="545">
        <f ca="1">IF(AND($D45="Serviço",AC$12&lt;&gt;0,$H45&gt;0,OR(AUTOEVENTO&lt;&gt;"manual",$M45&lt;&gt;1)),
IF(Import.TipoArredondamento&lt;&gt;"TransfereGOV",
ROUND(OFFSET($P45,0,AC$13),15-13*ORÇAMENTO!$AF$7)/$H45*OFFSET(ORÇAMENTO!$X$15,ROW(AC45)-ROW(AC$15),0),
ROUND(ROUND(OFFSET($P45,0,AC$13),15-13*ORÇAMENTO!$AF$7)*OFFSET(ORÇAMENTO!$W$15,ROW(AC45)-ROW(AC$15),0),15-13*ORÇAMENTO!$AF$11)),0)</f>
        <v>0</v>
      </c>
      <c r="AD45" s="545">
        <f ca="1">IF(AND($D45="Serviço",AD$12&lt;&gt;0,$H45&gt;0,OR(AUTOEVENTO&lt;&gt;"manual",$M45&lt;&gt;1)),
IF(Import.TipoArredondamento&lt;&gt;"TransfereGOV",
ROUND(OFFSET($P45,0,AD$13),15-13*ORÇAMENTO!$AF$7)/$H45*OFFSET(ORÇAMENTO!$X$15,ROW(AD45)-ROW(AD$15),0),
ROUND(ROUND(OFFSET($P45,0,AD$13),15-13*ORÇAMENTO!$AF$7)*OFFSET(ORÇAMENTO!$W$15,ROW(AD45)-ROW(AD$15),0),15-13*ORÇAMENTO!$AF$11)),0)</f>
        <v>0</v>
      </c>
      <c r="AE45" s="545">
        <f ca="1">IF(AND($D45="Serviço",AE$12&lt;&gt;0,$H45&gt;0,OR(AUTOEVENTO&lt;&gt;"manual",$M45&lt;&gt;1)),
IF(Import.TipoArredondamento&lt;&gt;"TransfereGOV",
ROUND(OFFSET($P45,0,AE$13),15-13*ORÇAMENTO!$AF$7)/$H45*OFFSET(ORÇAMENTO!$X$15,ROW(AE45)-ROW(AE$15),0),
ROUND(ROUND(OFFSET($P45,0,AE$13),15-13*ORÇAMENTO!$AF$7)*OFFSET(ORÇAMENTO!$W$15,ROW(AE45)-ROW(AE$15),0),15-13*ORÇAMENTO!$AF$11)),0)</f>
        <v>0</v>
      </c>
      <c r="AF45" s="545">
        <f ca="1">IF(AND($D45="Serviço",AF$12&lt;&gt;0,$H45&gt;0,OR(AUTOEVENTO&lt;&gt;"manual",$M45&lt;&gt;1)),
IF(Import.TipoArredondamento&lt;&gt;"TransfereGOV",
ROUND(OFFSET($P45,0,AF$13),15-13*ORÇAMENTO!$AF$7)/$H45*OFFSET(ORÇAMENTO!$X$15,ROW(AF45)-ROW(AF$15),0),
ROUND(ROUND(OFFSET($P45,0,AF$13),15-13*ORÇAMENTO!$AF$7)*OFFSET(ORÇAMENTO!$W$15,ROW(AF45)-ROW(AF$15),0),15-13*ORÇAMENTO!$AF$11)),0)</f>
        <v>0</v>
      </c>
      <c r="AG45" s="545">
        <f ca="1">IF(AND($D45="Serviço",AG$12&lt;&gt;0,$H45&gt;0,OR(AUTOEVENTO&lt;&gt;"manual",$M45&lt;&gt;1)),
IF(Import.TipoArredondamento&lt;&gt;"TransfereGOV",
ROUND(OFFSET($P45,0,AG$13),15-13*ORÇAMENTO!$AF$7)/$H45*OFFSET(ORÇAMENTO!$X$15,ROW(AG45)-ROW(AG$15),0),
ROUND(ROUND(OFFSET($P45,0,AG$13),15-13*ORÇAMENTO!$AF$7)*OFFSET(ORÇAMENTO!$W$15,ROW(AG45)-ROW(AG$15),0),15-13*ORÇAMENTO!$AF$11)),0)</f>
        <v>0</v>
      </c>
      <c r="AH45" s="545">
        <f ca="1">IF(AND($D45="Serviço",AH$12&lt;&gt;0,$H45&gt;0,OR(AUTOEVENTO&lt;&gt;"manual",$M45&lt;&gt;1)),
IF(Import.TipoArredondamento&lt;&gt;"TransfereGOV",
ROUND(OFFSET($P45,0,AH$13),15-13*ORÇAMENTO!$AF$7)/$H45*OFFSET(ORÇAMENTO!$X$15,ROW(AH45)-ROW(AH$15),0),
ROUND(ROUND(OFFSET($P45,0,AH$13),15-13*ORÇAMENTO!$AF$7)*OFFSET(ORÇAMENTO!$W$15,ROW(AH45)-ROW(AH$15),0),15-13*ORÇAMENTO!$AF$11)),0)</f>
        <v>0</v>
      </c>
      <c r="AI45" s="545">
        <f ca="1">IF(AND($D45="Serviço",AI$12&lt;&gt;0,$H45&gt;0,OR(AUTOEVENTO&lt;&gt;"manual",$M45&lt;&gt;1)),
IF(Import.TipoArredondamento&lt;&gt;"TransfereGOV",
ROUND(OFFSET($P45,0,AI$13),15-13*ORÇAMENTO!$AF$7)/$H45*OFFSET(ORÇAMENTO!$X$15,ROW(AI45)-ROW(AI$15),0),
ROUND(ROUND(OFFSET($P45,0,AI$13),15-13*ORÇAMENTO!$AF$7)*OFFSET(ORÇAMENTO!$W$15,ROW(AI45)-ROW(AI$15),0),15-13*ORÇAMENTO!$AF$11)),0)</f>
        <v>0</v>
      </c>
      <c r="AJ45" s="545">
        <f ca="1">IF(AND($D45="Serviço",AJ$12&lt;&gt;0,$H45&gt;0,OR(AUTOEVENTO&lt;&gt;"manual",$M45&lt;&gt;1)),
IF(Import.TipoArredondamento&lt;&gt;"TransfereGOV",
ROUND(OFFSET($P45,0,AJ$13),15-13*ORÇAMENTO!$AF$7)/$H45*OFFSET(ORÇAMENTO!$X$15,ROW(AJ45)-ROW(AJ$15),0),
ROUND(ROUND(OFFSET($P45,0,AJ$13),15-13*ORÇAMENTO!$AF$7)*OFFSET(ORÇAMENTO!$W$15,ROW(AJ45)-ROW(AJ$15),0),15-13*ORÇAMENTO!$AF$11)),0)</f>
        <v>0</v>
      </c>
      <c r="AK45" s="546">
        <f ca="1">IF(AND($D45="Serviço",AK$12&lt;&gt;0,$H45&gt;0,OR(AUTOEVENTO&lt;&gt;"manual",$M45&lt;&gt;1)),
IF(Import.TipoArredondamento&lt;&gt;"TransfereGOV",
ROUND(OFFSET($P45,0,AK$13),15-13*ORÇAMENTO!$AF$7)/$H45*OFFSET(ORÇAMENTO!$X$15,ROW(AK45)-ROW(AK$15),0),
ROUND(ROUND(OFFSET($P45,0,AK$13),15-13*ORÇAMENTO!$AF$7)*OFFSET(ORÇAMENTO!$W$15,ROW(AK45)-ROW(AK$15),0),15-13*ORÇAMENTO!$AF$11)),0)</f>
        <v>0</v>
      </c>
      <c r="AM45" s="181">
        <f ca="1">IF($D45&lt;&gt;"Serviço",0,IF(AND(AUTOEVENTO="Manual",$M45=1),0,IF(OFFSET(CRONOPLE!$F$14,$M45,AM$13)="",10^12,OFFSET(CRONOPLE!$F$14,$M45,AM$13))))</f>
        <v>1000000000000</v>
      </c>
      <c r="AN45" s="181">
        <f ca="1">IF($D45&lt;&gt;"Serviço",0,IF(AND(AUTOEVENTO="Manual",$M45=1),0,IF(OFFSET(CRONOPLE!$F$14,$M45,AN$13)="",10^12,OFFSET(CRONOPLE!$F$14,$M45,AN$13))))</f>
        <v>1000000000000</v>
      </c>
      <c r="AO45" s="181">
        <f ca="1">IF($D45&lt;&gt;"Serviço",0,IF(AND(AUTOEVENTO="Manual",$M45=1),0,IF(OFFSET(CRONOPLE!$F$14,$M45,AO$13)="",10^12,OFFSET(CRONOPLE!$F$14,$M45,AO$13))))</f>
        <v>1000000000000</v>
      </c>
      <c r="AP45" s="181">
        <f ca="1">IF($D45&lt;&gt;"Serviço",0,IF(AND(AUTOEVENTO="Manual",$M45=1),0,IF(OFFSET(CRONOPLE!$F$14,$M45,AP$13)="",10^12,OFFSET(CRONOPLE!$F$14,$M45,AP$13))))</f>
        <v>1000000000000</v>
      </c>
      <c r="AQ45" s="181">
        <f ca="1">IF($D45&lt;&gt;"Serviço",0,IF(AND(AUTOEVENTO="Manual",$M45=1),0,IF(OFFSET(CRONOPLE!$F$14,$M45,AQ$13)="",10^12,OFFSET(CRONOPLE!$F$14,$M45,AQ$13))))</f>
        <v>1000000000000</v>
      </c>
      <c r="AR45" s="181">
        <f ca="1">IF($D45&lt;&gt;"Serviço",0,IF(AND(AUTOEVENTO="Manual",$M45=1),0,IF(OFFSET(CRONOPLE!$F$14,$M45,AR$13)="",10^12,OFFSET(CRONOPLE!$F$14,$M45,AR$13))))</f>
        <v>1000000000000</v>
      </c>
      <c r="AS45" s="181">
        <f ca="1">IF($D45&lt;&gt;"Serviço",0,IF(AND(AUTOEVENTO="Manual",$M45=1),0,IF(OFFSET(CRONOPLE!$F$14,$M45,AS$13)="",10^12,OFFSET(CRONOPLE!$F$14,$M45,AS$13))))</f>
        <v>1000000000000</v>
      </c>
      <c r="AT45" s="181">
        <f ca="1">IF($D45&lt;&gt;"Serviço",0,IF(AND(AUTOEVENTO="Manual",$M45=1),0,IF(OFFSET(CRONOPLE!$F$14,$M45,AT$13)="",10^12,OFFSET(CRONOPLE!$F$14,$M45,AT$13))))</f>
        <v>1000000000000</v>
      </c>
      <c r="AU45" s="181">
        <f ca="1">IF($D45&lt;&gt;"Serviço",0,IF(AND(AUTOEVENTO="Manual",$M45=1),0,IF(OFFSET(CRONOPLE!$F$14,$M45,AU$13)="",10^12,OFFSET(CRONOPLE!$F$14,$M45,AU$13))))</f>
        <v>1000000000000</v>
      </c>
      <c r="AV45" s="181">
        <f ca="1">IF($D45&lt;&gt;"Serviço",0,IF(AND(AUTOEVENTO="Manual",$M45=1),0,IF(OFFSET(CRONOPLE!$F$14,$M45,AV$13)="",10^12,OFFSET(CRONOPLE!$F$14,$M45,AV$13))))</f>
        <v>1000000000000</v>
      </c>
      <c r="AX45" s="182">
        <f ca="1">IF($D45&lt;&gt;"Serviço",0,IF(OR(AND(AUTOEVENTO="Manual",$M45=1),$M45&gt;(ROW(PLE.lastrow)-ROW(PLE.firstrow))),0,IF(OFFSET(PLE!$G$14,$M45,AX$13)="",10^12,OFFSET(PLE!$G$14,$M45,AX$13))))</f>
        <v>1000000000000</v>
      </c>
      <c r="AY45" s="182">
        <f ca="1">IF($D45&lt;&gt;"Serviço",0,IF(OR(AND(AUTOEVENTO="Manual",$M45=1),$M45&gt;(ROW(PLE.lastrow)-ROW(PLE.firstrow))),0,IF(OFFSET(PLE!$G$14,$M45,AY$13)="",10^12,OFFSET(PLE!$G$14,$M45,AY$13))))</f>
        <v>1000000000000</v>
      </c>
      <c r="AZ45" s="182">
        <f ca="1">IF($D45&lt;&gt;"Serviço",0,IF(OR(AND(AUTOEVENTO="Manual",$M45=1),$M45&gt;(ROW(PLE.lastrow)-ROW(PLE.firstrow))),0,IF(OFFSET(PLE!$G$14,$M45,AZ$13)="",10^12,OFFSET(PLE!$G$14,$M45,AZ$13))))</f>
        <v>1000000000000</v>
      </c>
      <c r="BA45" s="182">
        <f ca="1">IF($D45&lt;&gt;"Serviço",0,IF(OR(AND(AUTOEVENTO="Manual",$M45=1),$M45&gt;(ROW(PLE.lastrow)-ROW(PLE.firstrow))),0,IF(OFFSET(PLE!$G$14,$M45,BA$13)="",10^12,OFFSET(PLE!$G$14,$M45,BA$13))))</f>
        <v>1000000000000</v>
      </c>
      <c r="BB45" s="182">
        <f ca="1">IF($D45&lt;&gt;"Serviço",0,IF(OR(AND(AUTOEVENTO="Manual",$M45=1),$M45&gt;(ROW(PLE.lastrow)-ROW(PLE.firstrow))),0,IF(OFFSET(PLE!$G$14,$M45,BB$13)="",10^12,OFFSET(PLE!$G$14,$M45,BB$13))))</f>
        <v>1000000000000</v>
      </c>
      <c r="BC45" s="182">
        <f ca="1">IF($D45&lt;&gt;"Serviço",0,IF(OR(AND(AUTOEVENTO="Manual",$M45=1),$M45&gt;(ROW(PLE.lastrow)-ROW(PLE.firstrow))),0,IF(OFFSET(PLE!$G$14,$M45,BC$13)="",10^12,OFFSET(PLE!$G$14,$M45,BC$13))))</f>
        <v>1000000000000</v>
      </c>
      <c r="BD45" s="182">
        <f ca="1">IF($D45&lt;&gt;"Serviço",0,IF(OR(AND(AUTOEVENTO="Manual",$M45=1),$M45&gt;(ROW(PLE.lastrow)-ROW(PLE.firstrow))),0,IF(OFFSET(PLE!$G$14,$M45,BD$13)="",10^12,OFFSET(PLE!$G$14,$M45,BD$13))))</f>
        <v>1000000000000</v>
      </c>
      <c r="BE45" s="182">
        <f ca="1">IF($D45&lt;&gt;"Serviço",0,IF(OR(AND(AUTOEVENTO="Manual",$M45=1),$M45&gt;(ROW(PLE.lastrow)-ROW(PLE.firstrow))),0,IF(OFFSET(PLE!$G$14,$M45,BE$13)="",10^12,OFFSET(PLE!$G$14,$M45,BE$13))))</f>
        <v>1000000000000</v>
      </c>
      <c r="BF45" s="182">
        <f ca="1">IF($D45&lt;&gt;"Serviço",0,IF(OR(AND(AUTOEVENTO="Manual",$M45=1),$M45&gt;(ROW(PLE.lastrow)-ROW(PLE.firstrow))),0,IF(OFFSET(PLE!$G$14,$M45,BF$13)="",10^12,OFFSET(PLE!$G$14,$M45,BF$13))))</f>
        <v>1000000000000</v>
      </c>
      <c r="BG45" s="182">
        <f ca="1">IF($D45&lt;&gt;"Serviço",0,IF(OR(AND(AUTOEVENTO="Manual",$M45=1),$M45&gt;(ROW(PLE.lastrow)-ROW(PLE.firstrow))),0,IF(OFFSET(PLE!$G$14,$M45,BG$13)="",10^12,OFFSET(PLE!$G$14,$M45,BG$13))))</f>
        <v>1000000000000</v>
      </c>
    </row>
    <row r="46" spans="1:59" ht="25.5" x14ac:dyDescent="0.2">
      <c r="A46" s="7" t="str">
        <f t="shared" ca="1" si="8"/>
        <v>20</v>
      </c>
      <c r="B46" s="7" t="str">
        <f ca="1">OFFSET(ORÇAMENTO!C$15,ROW(B46)-ROW(B$15),0)</f>
        <v>S</v>
      </c>
      <c r="C46" s="7" t="str">
        <f ca="1">OFFSET(ORÇAMENTO!L$15,ROW(C46)-ROW(C$15),0)</f>
        <v/>
      </c>
      <c r="D46" s="118" t="str">
        <f ca="1">OFFSET(ORÇAMENTO!N$15,ROW(D46)-ROW(D$15),0)</f>
        <v>Serviço</v>
      </c>
      <c r="E46" s="119" t="str">
        <f ca="1">OFFSET(ORÇAMENTO!O$15,ROW(E46)-ROW(E$15),0)</f>
        <v>-</v>
      </c>
      <c r="F46" s="172" t="str">
        <f ca="1">OFFSET(ORÇAMENTO!R$15,ROW(F46)-ROW(F$15),0)</f>
        <v>(abra o arquivo 'Referência 02-2025.xlsm)</v>
      </c>
      <c r="G46" s="173" t="str">
        <f ca="1">IF($D46&lt;&gt;"Serviço","",OFFSET(ORÇAMENTO!S$15,ROW(G46)-ROW(G$15),0))</f>
        <v>-</v>
      </c>
      <c r="H46" s="124">
        <f ca="1">IF($D46&lt;&gt;"Serviço",0,IF(ACOMPANHAMENTO="BM",ROUND(OFFSET(ORÇAMENTO!AJ$15,ROW(H46)-ROW(H$15),0),15-13*ORÇAMENTO!$AF$7),SUMPRODUCT(($Q$12:$AA$12&lt;&gt;"")*ROUND($Q46:$AA46,15-13*ORÇAMENTO!$AF$7))))</f>
        <v>16.11</v>
      </c>
      <c r="I46" s="561" t="s">
        <v>890</v>
      </c>
      <c r="K46" s="174"/>
      <c r="L46" s="175" t="s">
        <v>255</v>
      </c>
      <c r="M46" s="176">
        <f ca="1">IF($D46&lt;&gt;"Serviço","",IF(AUTOEVENTO="manual",$A46,IF(ISERROR(MATCH($A46,$A$15:OFFSET($A46,-1,0),0)),MAX($M$15:OFFSET(M46,-1,0))+1,INDEX($M$15:OFFSET(M46,-1,0),MATCH($A46,$A$15:OFFSET($A46,-1,0),0)))))</f>
        <v>4</v>
      </c>
      <c r="N46" s="177" t="str">
        <f ca="1">IF($D46&lt;&gt;"Serviço","",IF(AUTOEVENTO="Manual",IF($A46=0,"&lt;-- defina o número do agrupador",OFFSET(EVENTOS!$D$14,$A46,0)),OFFSET($F$15,$A46,0)))</f>
        <v>FUNDAÇÕES</v>
      </c>
      <c r="O46" s="178"/>
      <c r="Q46" s="178"/>
      <c r="R46" s="179"/>
      <c r="S46" s="179"/>
      <c r="T46" s="179"/>
      <c r="U46" s="179"/>
      <c r="V46" s="179"/>
      <c r="W46" s="179"/>
      <c r="X46" s="179"/>
      <c r="Y46" s="179"/>
      <c r="Z46" s="180"/>
      <c r="AB46" s="544">
        <f ca="1">IF(AND($D46="Serviço",AB$12&lt;&gt;0,$H46&gt;0,OR(AUTOEVENTO&lt;&gt;"manual",$M46&lt;&gt;1)),
IF(Import.TipoArredondamento&lt;&gt;"TransfereGOV",
ROUND(OFFSET($P46,0,AB$13),15-13*ORÇAMENTO!$AF$7)/$H46*OFFSET(ORÇAMENTO!$X$15,ROW(AB46)-ROW(AB$15),0),
ROUND(ROUND(OFFSET($P46,0,AB$13),15-13*ORÇAMENTO!$AF$7)*OFFSET(ORÇAMENTO!$W$15,ROW(AB46)-ROW(AB$15),0),15-13*ORÇAMENTO!$AF$11)),0)</f>
        <v>0</v>
      </c>
      <c r="AC46" s="545">
        <f ca="1">IF(AND($D46="Serviço",AC$12&lt;&gt;0,$H46&gt;0,OR(AUTOEVENTO&lt;&gt;"manual",$M46&lt;&gt;1)),
IF(Import.TipoArredondamento&lt;&gt;"TransfereGOV",
ROUND(OFFSET($P46,0,AC$13),15-13*ORÇAMENTO!$AF$7)/$H46*OFFSET(ORÇAMENTO!$X$15,ROW(AC46)-ROW(AC$15),0),
ROUND(ROUND(OFFSET($P46,0,AC$13),15-13*ORÇAMENTO!$AF$7)*OFFSET(ORÇAMENTO!$W$15,ROW(AC46)-ROW(AC$15),0),15-13*ORÇAMENTO!$AF$11)),0)</f>
        <v>0</v>
      </c>
      <c r="AD46" s="545">
        <f ca="1">IF(AND($D46="Serviço",AD$12&lt;&gt;0,$H46&gt;0,OR(AUTOEVENTO&lt;&gt;"manual",$M46&lt;&gt;1)),
IF(Import.TipoArredondamento&lt;&gt;"TransfereGOV",
ROUND(OFFSET($P46,0,AD$13),15-13*ORÇAMENTO!$AF$7)/$H46*OFFSET(ORÇAMENTO!$X$15,ROW(AD46)-ROW(AD$15),0),
ROUND(ROUND(OFFSET($P46,0,AD$13),15-13*ORÇAMENTO!$AF$7)*OFFSET(ORÇAMENTO!$W$15,ROW(AD46)-ROW(AD$15),0),15-13*ORÇAMENTO!$AF$11)),0)</f>
        <v>0</v>
      </c>
      <c r="AE46" s="545">
        <f ca="1">IF(AND($D46="Serviço",AE$12&lt;&gt;0,$H46&gt;0,OR(AUTOEVENTO&lt;&gt;"manual",$M46&lt;&gt;1)),
IF(Import.TipoArredondamento&lt;&gt;"TransfereGOV",
ROUND(OFFSET($P46,0,AE$13),15-13*ORÇAMENTO!$AF$7)/$H46*OFFSET(ORÇAMENTO!$X$15,ROW(AE46)-ROW(AE$15),0),
ROUND(ROUND(OFFSET($P46,0,AE$13),15-13*ORÇAMENTO!$AF$7)*OFFSET(ORÇAMENTO!$W$15,ROW(AE46)-ROW(AE$15),0),15-13*ORÇAMENTO!$AF$11)),0)</f>
        <v>0</v>
      </c>
      <c r="AF46" s="545">
        <f ca="1">IF(AND($D46="Serviço",AF$12&lt;&gt;0,$H46&gt;0,OR(AUTOEVENTO&lt;&gt;"manual",$M46&lt;&gt;1)),
IF(Import.TipoArredondamento&lt;&gt;"TransfereGOV",
ROUND(OFFSET($P46,0,AF$13),15-13*ORÇAMENTO!$AF$7)/$H46*OFFSET(ORÇAMENTO!$X$15,ROW(AF46)-ROW(AF$15),0),
ROUND(ROUND(OFFSET($P46,0,AF$13),15-13*ORÇAMENTO!$AF$7)*OFFSET(ORÇAMENTO!$W$15,ROW(AF46)-ROW(AF$15),0),15-13*ORÇAMENTO!$AF$11)),0)</f>
        <v>0</v>
      </c>
      <c r="AG46" s="545">
        <f ca="1">IF(AND($D46="Serviço",AG$12&lt;&gt;0,$H46&gt;0,OR(AUTOEVENTO&lt;&gt;"manual",$M46&lt;&gt;1)),
IF(Import.TipoArredondamento&lt;&gt;"TransfereGOV",
ROUND(OFFSET($P46,0,AG$13),15-13*ORÇAMENTO!$AF$7)/$H46*OFFSET(ORÇAMENTO!$X$15,ROW(AG46)-ROW(AG$15),0),
ROUND(ROUND(OFFSET($P46,0,AG$13),15-13*ORÇAMENTO!$AF$7)*OFFSET(ORÇAMENTO!$W$15,ROW(AG46)-ROW(AG$15),0),15-13*ORÇAMENTO!$AF$11)),0)</f>
        <v>0</v>
      </c>
      <c r="AH46" s="545">
        <f ca="1">IF(AND($D46="Serviço",AH$12&lt;&gt;0,$H46&gt;0,OR(AUTOEVENTO&lt;&gt;"manual",$M46&lt;&gt;1)),
IF(Import.TipoArredondamento&lt;&gt;"TransfereGOV",
ROUND(OFFSET($P46,0,AH$13),15-13*ORÇAMENTO!$AF$7)/$H46*OFFSET(ORÇAMENTO!$X$15,ROW(AH46)-ROW(AH$15),0),
ROUND(ROUND(OFFSET($P46,0,AH$13),15-13*ORÇAMENTO!$AF$7)*OFFSET(ORÇAMENTO!$W$15,ROW(AH46)-ROW(AH$15),0),15-13*ORÇAMENTO!$AF$11)),0)</f>
        <v>0</v>
      </c>
      <c r="AI46" s="545">
        <f ca="1">IF(AND($D46="Serviço",AI$12&lt;&gt;0,$H46&gt;0,OR(AUTOEVENTO&lt;&gt;"manual",$M46&lt;&gt;1)),
IF(Import.TipoArredondamento&lt;&gt;"TransfereGOV",
ROUND(OFFSET($P46,0,AI$13),15-13*ORÇAMENTO!$AF$7)/$H46*OFFSET(ORÇAMENTO!$X$15,ROW(AI46)-ROW(AI$15),0),
ROUND(ROUND(OFFSET($P46,0,AI$13),15-13*ORÇAMENTO!$AF$7)*OFFSET(ORÇAMENTO!$W$15,ROW(AI46)-ROW(AI$15),0),15-13*ORÇAMENTO!$AF$11)),0)</f>
        <v>0</v>
      </c>
      <c r="AJ46" s="545">
        <f ca="1">IF(AND($D46="Serviço",AJ$12&lt;&gt;0,$H46&gt;0,OR(AUTOEVENTO&lt;&gt;"manual",$M46&lt;&gt;1)),
IF(Import.TipoArredondamento&lt;&gt;"TransfereGOV",
ROUND(OFFSET($P46,0,AJ$13),15-13*ORÇAMENTO!$AF$7)/$H46*OFFSET(ORÇAMENTO!$X$15,ROW(AJ46)-ROW(AJ$15),0),
ROUND(ROUND(OFFSET($P46,0,AJ$13),15-13*ORÇAMENTO!$AF$7)*OFFSET(ORÇAMENTO!$W$15,ROW(AJ46)-ROW(AJ$15),0),15-13*ORÇAMENTO!$AF$11)),0)</f>
        <v>0</v>
      </c>
      <c r="AK46" s="546">
        <f ca="1">IF(AND($D46="Serviço",AK$12&lt;&gt;0,$H46&gt;0,OR(AUTOEVENTO&lt;&gt;"manual",$M46&lt;&gt;1)),
IF(Import.TipoArredondamento&lt;&gt;"TransfereGOV",
ROUND(OFFSET($P46,0,AK$13),15-13*ORÇAMENTO!$AF$7)/$H46*OFFSET(ORÇAMENTO!$X$15,ROW(AK46)-ROW(AK$15),0),
ROUND(ROUND(OFFSET($P46,0,AK$13),15-13*ORÇAMENTO!$AF$7)*OFFSET(ORÇAMENTO!$W$15,ROW(AK46)-ROW(AK$15),0),15-13*ORÇAMENTO!$AF$11)),0)</f>
        <v>0</v>
      </c>
      <c r="AM46" s="181">
        <f ca="1">IF($D46&lt;&gt;"Serviço",0,IF(AND(AUTOEVENTO="Manual",$M46=1),0,IF(OFFSET(CRONOPLE!$F$14,$M46,AM$13)="",10^12,OFFSET(CRONOPLE!$F$14,$M46,AM$13))))</f>
        <v>1000000000000</v>
      </c>
      <c r="AN46" s="181">
        <f ca="1">IF($D46&lt;&gt;"Serviço",0,IF(AND(AUTOEVENTO="Manual",$M46=1),0,IF(OFFSET(CRONOPLE!$F$14,$M46,AN$13)="",10^12,OFFSET(CRONOPLE!$F$14,$M46,AN$13))))</f>
        <v>1000000000000</v>
      </c>
      <c r="AO46" s="181">
        <f ca="1">IF($D46&lt;&gt;"Serviço",0,IF(AND(AUTOEVENTO="Manual",$M46=1),0,IF(OFFSET(CRONOPLE!$F$14,$M46,AO$13)="",10^12,OFFSET(CRONOPLE!$F$14,$M46,AO$13))))</f>
        <v>1000000000000</v>
      </c>
      <c r="AP46" s="181">
        <f ca="1">IF($D46&lt;&gt;"Serviço",0,IF(AND(AUTOEVENTO="Manual",$M46=1),0,IF(OFFSET(CRONOPLE!$F$14,$M46,AP$13)="",10^12,OFFSET(CRONOPLE!$F$14,$M46,AP$13))))</f>
        <v>1000000000000</v>
      </c>
      <c r="AQ46" s="181">
        <f ca="1">IF($D46&lt;&gt;"Serviço",0,IF(AND(AUTOEVENTO="Manual",$M46=1),0,IF(OFFSET(CRONOPLE!$F$14,$M46,AQ$13)="",10^12,OFFSET(CRONOPLE!$F$14,$M46,AQ$13))))</f>
        <v>1000000000000</v>
      </c>
      <c r="AR46" s="181">
        <f ca="1">IF($D46&lt;&gt;"Serviço",0,IF(AND(AUTOEVENTO="Manual",$M46=1),0,IF(OFFSET(CRONOPLE!$F$14,$M46,AR$13)="",10^12,OFFSET(CRONOPLE!$F$14,$M46,AR$13))))</f>
        <v>1000000000000</v>
      </c>
      <c r="AS46" s="181">
        <f ca="1">IF($D46&lt;&gt;"Serviço",0,IF(AND(AUTOEVENTO="Manual",$M46=1),0,IF(OFFSET(CRONOPLE!$F$14,$M46,AS$13)="",10^12,OFFSET(CRONOPLE!$F$14,$M46,AS$13))))</f>
        <v>1000000000000</v>
      </c>
      <c r="AT46" s="181">
        <f ca="1">IF($D46&lt;&gt;"Serviço",0,IF(AND(AUTOEVENTO="Manual",$M46=1),0,IF(OFFSET(CRONOPLE!$F$14,$M46,AT$13)="",10^12,OFFSET(CRONOPLE!$F$14,$M46,AT$13))))</f>
        <v>1000000000000</v>
      </c>
      <c r="AU46" s="181">
        <f ca="1">IF($D46&lt;&gt;"Serviço",0,IF(AND(AUTOEVENTO="Manual",$M46=1),0,IF(OFFSET(CRONOPLE!$F$14,$M46,AU$13)="",10^12,OFFSET(CRONOPLE!$F$14,$M46,AU$13))))</f>
        <v>1000000000000</v>
      </c>
      <c r="AV46" s="181">
        <f ca="1">IF($D46&lt;&gt;"Serviço",0,IF(AND(AUTOEVENTO="Manual",$M46=1),0,IF(OFFSET(CRONOPLE!$F$14,$M46,AV$13)="",10^12,OFFSET(CRONOPLE!$F$14,$M46,AV$13))))</f>
        <v>1000000000000</v>
      </c>
      <c r="AX46" s="182">
        <f ca="1">IF($D46&lt;&gt;"Serviço",0,IF(OR(AND(AUTOEVENTO="Manual",$M46=1),$M46&gt;(ROW(PLE.lastrow)-ROW(PLE.firstrow))),0,IF(OFFSET(PLE!$G$14,$M46,AX$13)="",10^12,OFFSET(PLE!$G$14,$M46,AX$13))))</f>
        <v>1000000000000</v>
      </c>
      <c r="AY46" s="182">
        <f ca="1">IF($D46&lt;&gt;"Serviço",0,IF(OR(AND(AUTOEVENTO="Manual",$M46=1),$M46&gt;(ROW(PLE.lastrow)-ROW(PLE.firstrow))),0,IF(OFFSET(PLE!$G$14,$M46,AY$13)="",10^12,OFFSET(PLE!$G$14,$M46,AY$13))))</f>
        <v>1000000000000</v>
      </c>
      <c r="AZ46" s="182">
        <f ca="1">IF($D46&lt;&gt;"Serviço",0,IF(OR(AND(AUTOEVENTO="Manual",$M46=1),$M46&gt;(ROW(PLE.lastrow)-ROW(PLE.firstrow))),0,IF(OFFSET(PLE!$G$14,$M46,AZ$13)="",10^12,OFFSET(PLE!$G$14,$M46,AZ$13))))</f>
        <v>1000000000000</v>
      </c>
      <c r="BA46" s="182">
        <f ca="1">IF($D46&lt;&gt;"Serviço",0,IF(OR(AND(AUTOEVENTO="Manual",$M46=1),$M46&gt;(ROW(PLE.lastrow)-ROW(PLE.firstrow))),0,IF(OFFSET(PLE!$G$14,$M46,BA$13)="",10^12,OFFSET(PLE!$G$14,$M46,BA$13))))</f>
        <v>1000000000000</v>
      </c>
      <c r="BB46" s="182">
        <f ca="1">IF($D46&lt;&gt;"Serviço",0,IF(OR(AND(AUTOEVENTO="Manual",$M46=1),$M46&gt;(ROW(PLE.lastrow)-ROW(PLE.firstrow))),0,IF(OFFSET(PLE!$G$14,$M46,BB$13)="",10^12,OFFSET(PLE!$G$14,$M46,BB$13))))</f>
        <v>1000000000000</v>
      </c>
      <c r="BC46" s="182">
        <f ca="1">IF($D46&lt;&gt;"Serviço",0,IF(OR(AND(AUTOEVENTO="Manual",$M46=1),$M46&gt;(ROW(PLE.lastrow)-ROW(PLE.firstrow))),0,IF(OFFSET(PLE!$G$14,$M46,BC$13)="",10^12,OFFSET(PLE!$G$14,$M46,BC$13))))</f>
        <v>1000000000000</v>
      </c>
      <c r="BD46" s="182">
        <f ca="1">IF($D46&lt;&gt;"Serviço",0,IF(OR(AND(AUTOEVENTO="Manual",$M46=1),$M46&gt;(ROW(PLE.lastrow)-ROW(PLE.firstrow))),0,IF(OFFSET(PLE!$G$14,$M46,BD$13)="",10^12,OFFSET(PLE!$G$14,$M46,BD$13))))</f>
        <v>1000000000000</v>
      </c>
      <c r="BE46" s="182">
        <f ca="1">IF($D46&lt;&gt;"Serviço",0,IF(OR(AND(AUTOEVENTO="Manual",$M46=1),$M46&gt;(ROW(PLE.lastrow)-ROW(PLE.firstrow))),0,IF(OFFSET(PLE!$G$14,$M46,BE$13)="",10^12,OFFSET(PLE!$G$14,$M46,BE$13))))</f>
        <v>1000000000000</v>
      </c>
      <c r="BF46" s="182">
        <f ca="1">IF($D46&lt;&gt;"Serviço",0,IF(OR(AND(AUTOEVENTO="Manual",$M46=1),$M46&gt;(ROW(PLE.lastrow)-ROW(PLE.firstrow))),0,IF(OFFSET(PLE!$G$14,$M46,BF$13)="",10^12,OFFSET(PLE!$G$14,$M46,BF$13))))</f>
        <v>1000000000000</v>
      </c>
      <c r="BG46" s="182">
        <f ca="1">IF($D46&lt;&gt;"Serviço",0,IF(OR(AND(AUTOEVENTO="Manual",$M46=1),$M46&gt;(ROW(PLE.lastrow)-ROW(PLE.firstrow))),0,IF(OFFSET(PLE!$G$14,$M46,BG$13)="",10^12,OFFSET(PLE!$G$14,$M46,BG$13))))</f>
        <v>1000000000000</v>
      </c>
    </row>
    <row r="47" spans="1:59" ht="25.5" x14ac:dyDescent="0.2">
      <c r="A47" s="7" t="str">
        <f ca="1">IF(AUTOEVENTO="Manual",IF(K47&lt;&gt;"",MIN(VALUE(LEFT(K47,FIND(".",K47)-1)),COUNTA(EVENTOS.Lista)),0),IF(OR($B47&gt;AUTOEVENTO,$B47="S",$B47=0),SUBSTITUTE(OFFSET($A47,-1,0),IF($D47="Serviço",".",""),""),ROW(A47)-ROW($A$15)&amp;"."))</f>
        <v>20</v>
      </c>
      <c r="B47" s="7" t="str">
        <f ca="1">OFFSET(ORÇAMENTO!C$15,ROW(B47)-ROW(B$15),0)</f>
        <v>S</v>
      </c>
      <c r="C47" s="7" t="str">
        <f ca="1">OFFSET(ORÇAMENTO!L$15,ROW(C47)-ROW(C$15),0)</f>
        <v/>
      </c>
      <c r="D47" s="118" t="str">
        <f ca="1">OFFSET(ORÇAMENTO!N$15,ROW(D47)-ROW(D$15),0)</f>
        <v>Serviço</v>
      </c>
      <c r="E47" s="119" t="str">
        <f ca="1">OFFSET(ORÇAMENTO!O$15,ROW(E47)-ROW(E$15),0)</f>
        <v>-</v>
      </c>
      <c r="F47" s="172" t="str">
        <f ca="1">OFFSET(ORÇAMENTO!R$15,ROW(F47)-ROW(F$15),0)</f>
        <v>(abra o arquivo 'Referência 02-2025.xlsm)</v>
      </c>
      <c r="G47" s="173" t="str">
        <f ca="1">IF($D47&lt;&gt;"Serviço","",OFFSET(ORÇAMENTO!S$15,ROW(G47)-ROW(G$15),0))</f>
        <v>-</v>
      </c>
      <c r="H47" s="124">
        <f ca="1">IF($D47&lt;&gt;"Serviço",0,IF(ACOMPANHAMENTO="BM",ROUND(OFFSET(ORÇAMENTO!AJ$15,ROW(H47)-ROW(H$15),0),15-13*ORÇAMENTO!$AF$7),SUMPRODUCT(($Q$12:$AA$12&lt;&gt;"")*ROUND($Q47:$AA47,15-13*ORÇAMENTO!$AF$7))))</f>
        <v>3.38</v>
      </c>
      <c r="I47" s="561"/>
      <c r="K47" s="174"/>
      <c r="L47" s="175" t="s">
        <v>255</v>
      </c>
      <c r="M47" s="176">
        <f ca="1">IF($D47&lt;&gt;"Serviço","",IF(AUTOEVENTO="manual",$A47,IF(ISERROR(MATCH($A47,$A$15:OFFSET($A47,-1,0),0)),MAX($M$15:OFFSET(M47,-1,0))+1,INDEX($M$15:OFFSET(M47,-1,0),MATCH($A47,$A$15:OFFSET($A47,-1,0),0)))))</f>
        <v>4</v>
      </c>
      <c r="N47" s="177" t="str">
        <f ca="1">IF($D47&lt;&gt;"Serviço","",IF(AUTOEVENTO="Manual",IF($A47=0,"&lt;-- defina o número do agrupador",OFFSET(EVENTOS!$D$14,$A47,0)),OFFSET($F$15,$A47,0)))</f>
        <v>FUNDAÇÕES</v>
      </c>
      <c r="O47" s="178"/>
      <c r="Q47" s="178"/>
      <c r="R47" s="179"/>
      <c r="S47" s="179"/>
      <c r="T47" s="179"/>
      <c r="U47" s="179"/>
      <c r="V47" s="179"/>
      <c r="W47" s="179"/>
      <c r="X47" s="179"/>
      <c r="Y47" s="179"/>
      <c r="Z47" s="180"/>
      <c r="AB47" s="544">
        <f ca="1">IF(AND($D47="Serviço",AB$12&lt;&gt;0,$H47&gt;0,OR(AUTOEVENTO&lt;&gt;"manual",$M47&lt;&gt;1)),
IF(Import.TipoArredondamento&lt;&gt;"TransfereGOV",
ROUND(OFFSET($P47,0,AB$13),15-13*ORÇAMENTO!$AF$7)/$H47*OFFSET(ORÇAMENTO!$X$15,ROW(AB47)-ROW(AB$15),0),
ROUND(ROUND(OFFSET($P47,0,AB$13),15-13*ORÇAMENTO!$AF$7)*OFFSET(ORÇAMENTO!$W$15,ROW(AB47)-ROW(AB$15),0),15-13*ORÇAMENTO!$AF$11)),0)</f>
        <v>0</v>
      </c>
      <c r="AC47" s="545">
        <f ca="1">IF(AND($D47="Serviço",AC$12&lt;&gt;0,$H47&gt;0,OR(AUTOEVENTO&lt;&gt;"manual",$M47&lt;&gt;1)),
IF(Import.TipoArredondamento&lt;&gt;"TransfereGOV",
ROUND(OFFSET($P47,0,AC$13),15-13*ORÇAMENTO!$AF$7)/$H47*OFFSET(ORÇAMENTO!$X$15,ROW(AC47)-ROW(AC$15),0),
ROUND(ROUND(OFFSET($P47,0,AC$13),15-13*ORÇAMENTO!$AF$7)*OFFSET(ORÇAMENTO!$W$15,ROW(AC47)-ROW(AC$15),0),15-13*ORÇAMENTO!$AF$11)),0)</f>
        <v>0</v>
      </c>
      <c r="AD47" s="545">
        <f ca="1">IF(AND($D47="Serviço",AD$12&lt;&gt;0,$H47&gt;0,OR(AUTOEVENTO&lt;&gt;"manual",$M47&lt;&gt;1)),
IF(Import.TipoArredondamento&lt;&gt;"TransfereGOV",
ROUND(OFFSET($P47,0,AD$13),15-13*ORÇAMENTO!$AF$7)/$H47*OFFSET(ORÇAMENTO!$X$15,ROW(AD47)-ROW(AD$15),0),
ROUND(ROUND(OFFSET($P47,0,AD$13),15-13*ORÇAMENTO!$AF$7)*OFFSET(ORÇAMENTO!$W$15,ROW(AD47)-ROW(AD$15),0),15-13*ORÇAMENTO!$AF$11)),0)</f>
        <v>0</v>
      </c>
      <c r="AE47" s="545">
        <f ca="1">IF(AND($D47="Serviço",AE$12&lt;&gt;0,$H47&gt;0,OR(AUTOEVENTO&lt;&gt;"manual",$M47&lt;&gt;1)),
IF(Import.TipoArredondamento&lt;&gt;"TransfereGOV",
ROUND(OFFSET($P47,0,AE$13),15-13*ORÇAMENTO!$AF$7)/$H47*OFFSET(ORÇAMENTO!$X$15,ROW(AE47)-ROW(AE$15),0),
ROUND(ROUND(OFFSET($P47,0,AE$13),15-13*ORÇAMENTO!$AF$7)*OFFSET(ORÇAMENTO!$W$15,ROW(AE47)-ROW(AE$15),0),15-13*ORÇAMENTO!$AF$11)),0)</f>
        <v>0</v>
      </c>
      <c r="AF47" s="545">
        <f ca="1">IF(AND($D47="Serviço",AF$12&lt;&gt;0,$H47&gt;0,OR(AUTOEVENTO&lt;&gt;"manual",$M47&lt;&gt;1)),
IF(Import.TipoArredondamento&lt;&gt;"TransfereGOV",
ROUND(OFFSET($P47,0,AF$13),15-13*ORÇAMENTO!$AF$7)/$H47*OFFSET(ORÇAMENTO!$X$15,ROW(AF47)-ROW(AF$15),0),
ROUND(ROUND(OFFSET($P47,0,AF$13),15-13*ORÇAMENTO!$AF$7)*OFFSET(ORÇAMENTO!$W$15,ROW(AF47)-ROW(AF$15),0),15-13*ORÇAMENTO!$AF$11)),0)</f>
        <v>0</v>
      </c>
      <c r="AG47" s="545">
        <f ca="1">IF(AND($D47="Serviço",AG$12&lt;&gt;0,$H47&gt;0,OR(AUTOEVENTO&lt;&gt;"manual",$M47&lt;&gt;1)),
IF(Import.TipoArredondamento&lt;&gt;"TransfereGOV",
ROUND(OFFSET($P47,0,AG$13),15-13*ORÇAMENTO!$AF$7)/$H47*OFFSET(ORÇAMENTO!$X$15,ROW(AG47)-ROW(AG$15),0),
ROUND(ROUND(OFFSET($P47,0,AG$13),15-13*ORÇAMENTO!$AF$7)*OFFSET(ORÇAMENTO!$W$15,ROW(AG47)-ROW(AG$15),0),15-13*ORÇAMENTO!$AF$11)),0)</f>
        <v>0</v>
      </c>
      <c r="AH47" s="545">
        <f ca="1">IF(AND($D47="Serviço",AH$12&lt;&gt;0,$H47&gt;0,OR(AUTOEVENTO&lt;&gt;"manual",$M47&lt;&gt;1)),
IF(Import.TipoArredondamento&lt;&gt;"TransfereGOV",
ROUND(OFFSET($P47,0,AH$13),15-13*ORÇAMENTO!$AF$7)/$H47*OFFSET(ORÇAMENTO!$X$15,ROW(AH47)-ROW(AH$15),0),
ROUND(ROUND(OFFSET($P47,0,AH$13),15-13*ORÇAMENTO!$AF$7)*OFFSET(ORÇAMENTO!$W$15,ROW(AH47)-ROW(AH$15),0),15-13*ORÇAMENTO!$AF$11)),0)</f>
        <v>0</v>
      </c>
      <c r="AI47" s="545">
        <f ca="1">IF(AND($D47="Serviço",AI$12&lt;&gt;0,$H47&gt;0,OR(AUTOEVENTO&lt;&gt;"manual",$M47&lt;&gt;1)),
IF(Import.TipoArredondamento&lt;&gt;"TransfereGOV",
ROUND(OFFSET($P47,0,AI$13),15-13*ORÇAMENTO!$AF$7)/$H47*OFFSET(ORÇAMENTO!$X$15,ROW(AI47)-ROW(AI$15),0),
ROUND(ROUND(OFFSET($P47,0,AI$13),15-13*ORÇAMENTO!$AF$7)*OFFSET(ORÇAMENTO!$W$15,ROW(AI47)-ROW(AI$15),0),15-13*ORÇAMENTO!$AF$11)),0)</f>
        <v>0</v>
      </c>
      <c r="AJ47" s="545">
        <f ca="1">IF(AND($D47="Serviço",AJ$12&lt;&gt;0,$H47&gt;0,OR(AUTOEVENTO&lt;&gt;"manual",$M47&lt;&gt;1)),
IF(Import.TipoArredondamento&lt;&gt;"TransfereGOV",
ROUND(OFFSET($P47,0,AJ$13),15-13*ORÇAMENTO!$AF$7)/$H47*OFFSET(ORÇAMENTO!$X$15,ROW(AJ47)-ROW(AJ$15),0),
ROUND(ROUND(OFFSET($P47,0,AJ$13),15-13*ORÇAMENTO!$AF$7)*OFFSET(ORÇAMENTO!$W$15,ROW(AJ47)-ROW(AJ$15),0),15-13*ORÇAMENTO!$AF$11)),0)</f>
        <v>0</v>
      </c>
      <c r="AK47" s="546">
        <f ca="1">IF(AND($D47="Serviço",AK$12&lt;&gt;0,$H47&gt;0,OR(AUTOEVENTO&lt;&gt;"manual",$M47&lt;&gt;1)),
IF(Import.TipoArredondamento&lt;&gt;"TransfereGOV",
ROUND(OFFSET($P47,0,AK$13),15-13*ORÇAMENTO!$AF$7)/$H47*OFFSET(ORÇAMENTO!$X$15,ROW(AK47)-ROW(AK$15),0),
ROUND(ROUND(OFFSET($P47,0,AK$13),15-13*ORÇAMENTO!$AF$7)*OFFSET(ORÇAMENTO!$W$15,ROW(AK47)-ROW(AK$15),0),15-13*ORÇAMENTO!$AF$11)),0)</f>
        <v>0</v>
      </c>
      <c r="AM47" s="181">
        <f ca="1">IF($D47&lt;&gt;"Serviço",0,IF(AND(AUTOEVENTO="Manual",$M47=1),0,IF(OFFSET(CRONOPLE!$F$14,$M47,AM$13)="",10^12,OFFSET(CRONOPLE!$F$14,$M47,AM$13))))</f>
        <v>1000000000000</v>
      </c>
      <c r="AN47" s="181">
        <f ca="1">IF($D47&lt;&gt;"Serviço",0,IF(AND(AUTOEVENTO="Manual",$M47=1),0,IF(OFFSET(CRONOPLE!$F$14,$M47,AN$13)="",10^12,OFFSET(CRONOPLE!$F$14,$M47,AN$13))))</f>
        <v>1000000000000</v>
      </c>
      <c r="AO47" s="181">
        <f ca="1">IF($D47&lt;&gt;"Serviço",0,IF(AND(AUTOEVENTO="Manual",$M47=1),0,IF(OFFSET(CRONOPLE!$F$14,$M47,AO$13)="",10^12,OFFSET(CRONOPLE!$F$14,$M47,AO$13))))</f>
        <v>1000000000000</v>
      </c>
      <c r="AP47" s="181">
        <f ca="1">IF($D47&lt;&gt;"Serviço",0,IF(AND(AUTOEVENTO="Manual",$M47=1),0,IF(OFFSET(CRONOPLE!$F$14,$M47,AP$13)="",10^12,OFFSET(CRONOPLE!$F$14,$M47,AP$13))))</f>
        <v>1000000000000</v>
      </c>
      <c r="AQ47" s="181">
        <f ca="1">IF($D47&lt;&gt;"Serviço",0,IF(AND(AUTOEVENTO="Manual",$M47=1),0,IF(OFFSET(CRONOPLE!$F$14,$M47,AQ$13)="",10^12,OFFSET(CRONOPLE!$F$14,$M47,AQ$13))))</f>
        <v>1000000000000</v>
      </c>
      <c r="AR47" s="181">
        <f ca="1">IF($D47&lt;&gt;"Serviço",0,IF(AND(AUTOEVENTO="Manual",$M47=1),0,IF(OFFSET(CRONOPLE!$F$14,$M47,AR$13)="",10^12,OFFSET(CRONOPLE!$F$14,$M47,AR$13))))</f>
        <v>1000000000000</v>
      </c>
      <c r="AS47" s="181">
        <f ca="1">IF($D47&lt;&gt;"Serviço",0,IF(AND(AUTOEVENTO="Manual",$M47=1),0,IF(OFFSET(CRONOPLE!$F$14,$M47,AS$13)="",10^12,OFFSET(CRONOPLE!$F$14,$M47,AS$13))))</f>
        <v>1000000000000</v>
      </c>
      <c r="AT47" s="181">
        <f ca="1">IF($D47&lt;&gt;"Serviço",0,IF(AND(AUTOEVENTO="Manual",$M47=1),0,IF(OFFSET(CRONOPLE!$F$14,$M47,AT$13)="",10^12,OFFSET(CRONOPLE!$F$14,$M47,AT$13))))</f>
        <v>1000000000000</v>
      </c>
      <c r="AU47" s="181">
        <f ca="1">IF($D47&lt;&gt;"Serviço",0,IF(AND(AUTOEVENTO="Manual",$M47=1),0,IF(OFFSET(CRONOPLE!$F$14,$M47,AU$13)="",10^12,OFFSET(CRONOPLE!$F$14,$M47,AU$13))))</f>
        <v>1000000000000</v>
      </c>
      <c r="AV47" s="181">
        <f ca="1">IF($D47&lt;&gt;"Serviço",0,IF(AND(AUTOEVENTO="Manual",$M47=1),0,IF(OFFSET(CRONOPLE!$F$14,$M47,AV$13)="",10^12,OFFSET(CRONOPLE!$F$14,$M47,AV$13))))</f>
        <v>1000000000000</v>
      </c>
      <c r="AX47" s="182">
        <f ca="1">IF($D47&lt;&gt;"Serviço",0,IF(OR(AND(AUTOEVENTO="Manual",$M47=1),$M47&gt;(ROW(PLE.lastrow)-ROW(PLE.firstrow))),0,IF(OFFSET(PLE!$G$14,$M47,AX$13)="",10^12,OFFSET(PLE!$G$14,$M47,AX$13))))</f>
        <v>1000000000000</v>
      </c>
      <c r="AY47" s="182">
        <f ca="1">IF($D47&lt;&gt;"Serviço",0,IF(OR(AND(AUTOEVENTO="Manual",$M47=1),$M47&gt;(ROW(PLE.lastrow)-ROW(PLE.firstrow))),0,IF(OFFSET(PLE!$G$14,$M47,AY$13)="",10^12,OFFSET(PLE!$G$14,$M47,AY$13))))</f>
        <v>1000000000000</v>
      </c>
      <c r="AZ47" s="182">
        <f ca="1">IF($D47&lt;&gt;"Serviço",0,IF(OR(AND(AUTOEVENTO="Manual",$M47=1),$M47&gt;(ROW(PLE.lastrow)-ROW(PLE.firstrow))),0,IF(OFFSET(PLE!$G$14,$M47,AZ$13)="",10^12,OFFSET(PLE!$G$14,$M47,AZ$13))))</f>
        <v>1000000000000</v>
      </c>
      <c r="BA47" s="182">
        <f ca="1">IF($D47&lt;&gt;"Serviço",0,IF(OR(AND(AUTOEVENTO="Manual",$M47=1),$M47&gt;(ROW(PLE.lastrow)-ROW(PLE.firstrow))),0,IF(OFFSET(PLE!$G$14,$M47,BA$13)="",10^12,OFFSET(PLE!$G$14,$M47,BA$13))))</f>
        <v>1000000000000</v>
      </c>
      <c r="BB47" s="182">
        <f ca="1">IF($D47&lt;&gt;"Serviço",0,IF(OR(AND(AUTOEVENTO="Manual",$M47=1),$M47&gt;(ROW(PLE.lastrow)-ROW(PLE.firstrow))),0,IF(OFFSET(PLE!$G$14,$M47,BB$13)="",10^12,OFFSET(PLE!$G$14,$M47,BB$13))))</f>
        <v>1000000000000</v>
      </c>
      <c r="BC47" s="182">
        <f ca="1">IF($D47&lt;&gt;"Serviço",0,IF(OR(AND(AUTOEVENTO="Manual",$M47=1),$M47&gt;(ROW(PLE.lastrow)-ROW(PLE.firstrow))),0,IF(OFFSET(PLE!$G$14,$M47,BC$13)="",10^12,OFFSET(PLE!$G$14,$M47,BC$13))))</f>
        <v>1000000000000</v>
      </c>
      <c r="BD47" s="182">
        <f ca="1">IF($D47&lt;&gt;"Serviço",0,IF(OR(AND(AUTOEVENTO="Manual",$M47=1),$M47&gt;(ROW(PLE.lastrow)-ROW(PLE.firstrow))),0,IF(OFFSET(PLE!$G$14,$M47,BD$13)="",10^12,OFFSET(PLE!$G$14,$M47,BD$13))))</f>
        <v>1000000000000</v>
      </c>
      <c r="BE47" s="182">
        <f ca="1">IF($D47&lt;&gt;"Serviço",0,IF(OR(AND(AUTOEVENTO="Manual",$M47=1),$M47&gt;(ROW(PLE.lastrow)-ROW(PLE.firstrow))),0,IF(OFFSET(PLE!$G$14,$M47,BE$13)="",10^12,OFFSET(PLE!$G$14,$M47,BE$13))))</f>
        <v>1000000000000</v>
      </c>
      <c r="BF47" s="182">
        <f ca="1">IF($D47&lt;&gt;"Serviço",0,IF(OR(AND(AUTOEVENTO="Manual",$M47=1),$M47&gt;(ROW(PLE.lastrow)-ROW(PLE.firstrow))),0,IF(OFFSET(PLE!$G$14,$M47,BF$13)="",10^12,OFFSET(PLE!$G$14,$M47,BF$13))))</f>
        <v>1000000000000</v>
      </c>
      <c r="BG47" s="182">
        <f ca="1">IF($D47&lt;&gt;"Serviço",0,IF(OR(AND(AUTOEVENTO="Manual",$M47=1),$M47&gt;(ROW(PLE.lastrow)-ROW(PLE.firstrow))),0,IF(OFFSET(PLE!$G$14,$M47,BG$13)="",10^12,OFFSET(PLE!$G$14,$M47,BG$13))))</f>
        <v>1000000000000</v>
      </c>
    </row>
    <row r="48" spans="1:59" ht="12.75" x14ac:dyDescent="0.2">
      <c r="A48" s="7" t="str">
        <f t="shared" ca="1" si="8"/>
        <v>20</v>
      </c>
      <c r="B48" s="7">
        <f ca="1">OFFSET(ORÇAMENTO!C$15,ROW(B48)-ROW(B$15),0)</f>
        <v>3</v>
      </c>
      <c r="C48" s="7" t="str">
        <f ca="1">OFFSET(ORÇAMENTO!L$15,ROW(C48)-ROW(C$15),0)</f>
        <v>F</v>
      </c>
      <c r="D48" s="118" t="str">
        <f ca="1">OFFSET(ORÇAMENTO!N$15,ROW(D48)-ROW(D$15),0)</f>
        <v>Nível 3</v>
      </c>
      <c r="E48" s="119" t="str">
        <f ca="1">OFFSET(ORÇAMENTO!O$15,ROW(E48)-ROW(E$15),0)</f>
        <v>1.3.3.</v>
      </c>
      <c r="F48" s="172" t="str">
        <f ca="1">OFFSET(ORÇAMENTO!R$15,ROW(F48)-ROW(F$15),0)</f>
        <v>CONCRETO ARMADO PARA BLOCOS</v>
      </c>
      <c r="G48" s="173" t="str">
        <f ca="1">IF($D48&lt;&gt;"Serviço","",OFFSET(ORÇAMENTO!S$15,ROW(G48)-ROW(G$15),0))</f>
        <v/>
      </c>
      <c r="H48" s="124">
        <f ca="1">IF($D48&lt;&gt;"Serviço",0,IF(ACOMPANHAMENTO="BM",ROUND(OFFSET(ORÇAMENTO!AJ$15,ROW(H48)-ROW(H$15),0),15-13*ORÇAMENTO!$AF$7),SUMPRODUCT(($Q$12:$AA$12&lt;&gt;"")*ROUND($Q48:$AA48,15-13*ORÇAMENTO!$AF$7))))</f>
        <v>0</v>
      </c>
      <c r="I48" s="561"/>
      <c r="K48" s="174"/>
      <c r="L48" s="175" t="s">
        <v>255</v>
      </c>
      <c r="M48" s="176" t="str">
        <f ca="1">IF($D48&lt;&gt;"Serviço","",IF(AUTOEVENTO="manual",$A48,IF(ISERROR(MATCH($A48,$A$15:OFFSET($A48,-1,0),0)),MAX($M$15:OFFSET(M48,-1,0))+1,INDEX($M$15:OFFSET(M48,-1,0),MATCH($A48,$A$15:OFFSET($A48,-1,0),0)))))</f>
        <v/>
      </c>
      <c r="N48" s="177" t="str">
        <f ca="1">IF($D48&lt;&gt;"Serviço","",IF(AUTOEVENTO="Manual",IF($A48=0,"&lt;-- defina o número do agrupador",OFFSET(EVENTOS!$D$14,$A48,0)),OFFSET($F$15,$A48,0)))</f>
        <v/>
      </c>
      <c r="O48" s="178"/>
      <c r="Q48" s="178"/>
      <c r="R48" s="179"/>
      <c r="S48" s="179"/>
      <c r="T48" s="179"/>
      <c r="U48" s="179"/>
      <c r="V48" s="179"/>
      <c r="W48" s="179"/>
      <c r="X48" s="179"/>
      <c r="Y48" s="179"/>
      <c r="Z48" s="180"/>
      <c r="AB48" s="544">
        <f ca="1">IF(AND($D48="Serviço",AB$12&lt;&gt;0,$H48&gt;0,OR(AUTOEVENTO&lt;&gt;"manual",$M48&lt;&gt;1)),
IF(Import.TipoArredondamento&lt;&gt;"TransfereGOV",
ROUND(OFFSET($P48,0,AB$13),15-13*ORÇAMENTO!$AF$7)/$H48*OFFSET(ORÇAMENTO!$X$15,ROW(AB48)-ROW(AB$15),0),
ROUND(ROUND(OFFSET($P48,0,AB$13),15-13*ORÇAMENTO!$AF$7)*OFFSET(ORÇAMENTO!$W$15,ROW(AB48)-ROW(AB$15),0),15-13*ORÇAMENTO!$AF$11)),0)</f>
        <v>0</v>
      </c>
      <c r="AC48" s="545">
        <f ca="1">IF(AND($D48="Serviço",AC$12&lt;&gt;0,$H48&gt;0,OR(AUTOEVENTO&lt;&gt;"manual",$M48&lt;&gt;1)),
IF(Import.TipoArredondamento&lt;&gt;"TransfereGOV",
ROUND(OFFSET($P48,0,AC$13),15-13*ORÇAMENTO!$AF$7)/$H48*OFFSET(ORÇAMENTO!$X$15,ROW(AC48)-ROW(AC$15),0),
ROUND(ROUND(OFFSET($P48,0,AC$13),15-13*ORÇAMENTO!$AF$7)*OFFSET(ORÇAMENTO!$W$15,ROW(AC48)-ROW(AC$15),0),15-13*ORÇAMENTO!$AF$11)),0)</f>
        <v>0</v>
      </c>
      <c r="AD48" s="545">
        <f ca="1">IF(AND($D48="Serviço",AD$12&lt;&gt;0,$H48&gt;0,OR(AUTOEVENTO&lt;&gt;"manual",$M48&lt;&gt;1)),
IF(Import.TipoArredondamento&lt;&gt;"TransfereGOV",
ROUND(OFFSET($P48,0,AD$13),15-13*ORÇAMENTO!$AF$7)/$H48*OFFSET(ORÇAMENTO!$X$15,ROW(AD48)-ROW(AD$15),0),
ROUND(ROUND(OFFSET($P48,0,AD$13),15-13*ORÇAMENTO!$AF$7)*OFFSET(ORÇAMENTO!$W$15,ROW(AD48)-ROW(AD$15),0),15-13*ORÇAMENTO!$AF$11)),0)</f>
        <v>0</v>
      </c>
      <c r="AE48" s="545">
        <f ca="1">IF(AND($D48="Serviço",AE$12&lt;&gt;0,$H48&gt;0,OR(AUTOEVENTO&lt;&gt;"manual",$M48&lt;&gt;1)),
IF(Import.TipoArredondamento&lt;&gt;"TransfereGOV",
ROUND(OFFSET($P48,0,AE$13),15-13*ORÇAMENTO!$AF$7)/$H48*OFFSET(ORÇAMENTO!$X$15,ROW(AE48)-ROW(AE$15),0),
ROUND(ROUND(OFFSET($P48,0,AE$13),15-13*ORÇAMENTO!$AF$7)*OFFSET(ORÇAMENTO!$W$15,ROW(AE48)-ROW(AE$15),0),15-13*ORÇAMENTO!$AF$11)),0)</f>
        <v>0</v>
      </c>
      <c r="AF48" s="545">
        <f ca="1">IF(AND($D48="Serviço",AF$12&lt;&gt;0,$H48&gt;0,OR(AUTOEVENTO&lt;&gt;"manual",$M48&lt;&gt;1)),
IF(Import.TipoArredondamento&lt;&gt;"TransfereGOV",
ROUND(OFFSET($P48,0,AF$13),15-13*ORÇAMENTO!$AF$7)/$H48*OFFSET(ORÇAMENTO!$X$15,ROW(AF48)-ROW(AF$15),0),
ROUND(ROUND(OFFSET($P48,0,AF$13),15-13*ORÇAMENTO!$AF$7)*OFFSET(ORÇAMENTO!$W$15,ROW(AF48)-ROW(AF$15),0),15-13*ORÇAMENTO!$AF$11)),0)</f>
        <v>0</v>
      </c>
      <c r="AG48" s="545">
        <f ca="1">IF(AND($D48="Serviço",AG$12&lt;&gt;0,$H48&gt;0,OR(AUTOEVENTO&lt;&gt;"manual",$M48&lt;&gt;1)),
IF(Import.TipoArredondamento&lt;&gt;"TransfereGOV",
ROUND(OFFSET($P48,0,AG$13),15-13*ORÇAMENTO!$AF$7)/$H48*OFFSET(ORÇAMENTO!$X$15,ROW(AG48)-ROW(AG$15),0),
ROUND(ROUND(OFFSET($P48,0,AG$13),15-13*ORÇAMENTO!$AF$7)*OFFSET(ORÇAMENTO!$W$15,ROW(AG48)-ROW(AG$15),0),15-13*ORÇAMENTO!$AF$11)),0)</f>
        <v>0</v>
      </c>
      <c r="AH48" s="545">
        <f ca="1">IF(AND($D48="Serviço",AH$12&lt;&gt;0,$H48&gt;0,OR(AUTOEVENTO&lt;&gt;"manual",$M48&lt;&gt;1)),
IF(Import.TipoArredondamento&lt;&gt;"TransfereGOV",
ROUND(OFFSET($P48,0,AH$13),15-13*ORÇAMENTO!$AF$7)/$H48*OFFSET(ORÇAMENTO!$X$15,ROW(AH48)-ROW(AH$15),0),
ROUND(ROUND(OFFSET($P48,0,AH$13),15-13*ORÇAMENTO!$AF$7)*OFFSET(ORÇAMENTO!$W$15,ROW(AH48)-ROW(AH$15),0),15-13*ORÇAMENTO!$AF$11)),0)</f>
        <v>0</v>
      </c>
      <c r="AI48" s="545">
        <f ca="1">IF(AND($D48="Serviço",AI$12&lt;&gt;0,$H48&gt;0,OR(AUTOEVENTO&lt;&gt;"manual",$M48&lt;&gt;1)),
IF(Import.TipoArredondamento&lt;&gt;"TransfereGOV",
ROUND(OFFSET($P48,0,AI$13),15-13*ORÇAMENTO!$AF$7)/$H48*OFFSET(ORÇAMENTO!$X$15,ROW(AI48)-ROW(AI$15),0),
ROUND(ROUND(OFFSET($P48,0,AI$13),15-13*ORÇAMENTO!$AF$7)*OFFSET(ORÇAMENTO!$W$15,ROW(AI48)-ROW(AI$15),0),15-13*ORÇAMENTO!$AF$11)),0)</f>
        <v>0</v>
      </c>
      <c r="AJ48" s="545">
        <f ca="1">IF(AND($D48="Serviço",AJ$12&lt;&gt;0,$H48&gt;0,OR(AUTOEVENTO&lt;&gt;"manual",$M48&lt;&gt;1)),
IF(Import.TipoArredondamento&lt;&gt;"TransfereGOV",
ROUND(OFFSET($P48,0,AJ$13),15-13*ORÇAMENTO!$AF$7)/$H48*OFFSET(ORÇAMENTO!$X$15,ROW(AJ48)-ROW(AJ$15),0),
ROUND(ROUND(OFFSET($P48,0,AJ$13),15-13*ORÇAMENTO!$AF$7)*OFFSET(ORÇAMENTO!$W$15,ROW(AJ48)-ROW(AJ$15),0),15-13*ORÇAMENTO!$AF$11)),0)</f>
        <v>0</v>
      </c>
      <c r="AK48" s="546">
        <f ca="1">IF(AND($D48="Serviço",AK$12&lt;&gt;0,$H48&gt;0,OR(AUTOEVENTO&lt;&gt;"manual",$M48&lt;&gt;1)),
IF(Import.TipoArredondamento&lt;&gt;"TransfereGOV",
ROUND(OFFSET($P48,0,AK$13),15-13*ORÇAMENTO!$AF$7)/$H48*OFFSET(ORÇAMENTO!$X$15,ROW(AK48)-ROW(AK$15),0),
ROUND(ROUND(OFFSET($P48,0,AK$13),15-13*ORÇAMENTO!$AF$7)*OFFSET(ORÇAMENTO!$W$15,ROW(AK48)-ROW(AK$15),0),15-13*ORÇAMENTO!$AF$11)),0)</f>
        <v>0</v>
      </c>
      <c r="AM48" s="181">
        <f ca="1">IF($D48&lt;&gt;"Serviço",0,IF(AND(AUTOEVENTO="Manual",$M48=1),0,IF(OFFSET(CRONOPLE!$F$14,$M48,AM$13)="",10^12,OFFSET(CRONOPLE!$F$14,$M48,AM$13))))</f>
        <v>0</v>
      </c>
      <c r="AN48" s="181">
        <f ca="1">IF($D48&lt;&gt;"Serviço",0,IF(AND(AUTOEVENTO="Manual",$M48=1),0,IF(OFFSET(CRONOPLE!$F$14,$M48,AN$13)="",10^12,OFFSET(CRONOPLE!$F$14,$M48,AN$13))))</f>
        <v>0</v>
      </c>
      <c r="AO48" s="181">
        <f ca="1">IF($D48&lt;&gt;"Serviço",0,IF(AND(AUTOEVENTO="Manual",$M48=1),0,IF(OFFSET(CRONOPLE!$F$14,$M48,AO$13)="",10^12,OFFSET(CRONOPLE!$F$14,$M48,AO$13))))</f>
        <v>0</v>
      </c>
      <c r="AP48" s="181">
        <f ca="1">IF($D48&lt;&gt;"Serviço",0,IF(AND(AUTOEVENTO="Manual",$M48=1),0,IF(OFFSET(CRONOPLE!$F$14,$M48,AP$13)="",10^12,OFFSET(CRONOPLE!$F$14,$M48,AP$13))))</f>
        <v>0</v>
      </c>
      <c r="AQ48" s="181">
        <f ca="1">IF($D48&lt;&gt;"Serviço",0,IF(AND(AUTOEVENTO="Manual",$M48=1),0,IF(OFFSET(CRONOPLE!$F$14,$M48,AQ$13)="",10^12,OFFSET(CRONOPLE!$F$14,$M48,AQ$13))))</f>
        <v>0</v>
      </c>
      <c r="AR48" s="181">
        <f ca="1">IF($D48&lt;&gt;"Serviço",0,IF(AND(AUTOEVENTO="Manual",$M48=1),0,IF(OFFSET(CRONOPLE!$F$14,$M48,AR$13)="",10^12,OFFSET(CRONOPLE!$F$14,$M48,AR$13))))</f>
        <v>0</v>
      </c>
      <c r="AS48" s="181">
        <f ca="1">IF($D48&lt;&gt;"Serviço",0,IF(AND(AUTOEVENTO="Manual",$M48=1),0,IF(OFFSET(CRONOPLE!$F$14,$M48,AS$13)="",10^12,OFFSET(CRONOPLE!$F$14,$M48,AS$13))))</f>
        <v>0</v>
      </c>
      <c r="AT48" s="181">
        <f ca="1">IF($D48&lt;&gt;"Serviço",0,IF(AND(AUTOEVENTO="Manual",$M48=1),0,IF(OFFSET(CRONOPLE!$F$14,$M48,AT$13)="",10^12,OFFSET(CRONOPLE!$F$14,$M48,AT$13))))</f>
        <v>0</v>
      </c>
      <c r="AU48" s="181">
        <f ca="1">IF($D48&lt;&gt;"Serviço",0,IF(AND(AUTOEVENTO="Manual",$M48=1),0,IF(OFFSET(CRONOPLE!$F$14,$M48,AU$13)="",10^12,OFFSET(CRONOPLE!$F$14,$M48,AU$13))))</f>
        <v>0</v>
      </c>
      <c r="AV48" s="181">
        <f ca="1">IF($D48&lt;&gt;"Serviço",0,IF(AND(AUTOEVENTO="Manual",$M48=1),0,IF(OFFSET(CRONOPLE!$F$14,$M48,AV$13)="",10^12,OFFSET(CRONOPLE!$F$14,$M48,AV$13))))</f>
        <v>0</v>
      </c>
      <c r="AX48" s="182">
        <f ca="1">IF($D48&lt;&gt;"Serviço",0,IF(OR(AND(AUTOEVENTO="Manual",$M48=1),$M48&gt;(ROW(PLE.lastrow)-ROW(PLE.firstrow))),0,IF(OFFSET(PLE!$G$14,$M48,AX$13)="",10^12,OFFSET(PLE!$G$14,$M48,AX$13))))</f>
        <v>0</v>
      </c>
      <c r="AY48" s="182">
        <f ca="1">IF($D48&lt;&gt;"Serviço",0,IF(OR(AND(AUTOEVENTO="Manual",$M48=1),$M48&gt;(ROW(PLE.lastrow)-ROW(PLE.firstrow))),0,IF(OFFSET(PLE!$G$14,$M48,AY$13)="",10^12,OFFSET(PLE!$G$14,$M48,AY$13))))</f>
        <v>0</v>
      </c>
      <c r="AZ48" s="182">
        <f ca="1">IF($D48&lt;&gt;"Serviço",0,IF(OR(AND(AUTOEVENTO="Manual",$M48=1),$M48&gt;(ROW(PLE.lastrow)-ROW(PLE.firstrow))),0,IF(OFFSET(PLE!$G$14,$M48,AZ$13)="",10^12,OFFSET(PLE!$G$14,$M48,AZ$13))))</f>
        <v>0</v>
      </c>
      <c r="BA48" s="182">
        <f ca="1">IF($D48&lt;&gt;"Serviço",0,IF(OR(AND(AUTOEVENTO="Manual",$M48=1),$M48&gt;(ROW(PLE.lastrow)-ROW(PLE.firstrow))),0,IF(OFFSET(PLE!$G$14,$M48,BA$13)="",10^12,OFFSET(PLE!$G$14,$M48,BA$13))))</f>
        <v>0</v>
      </c>
      <c r="BB48" s="182">
        <f ca="1">IF($D48&lt;&gt;"Serviço",0,IF(OR(AND(AUTOEVENTO="Manual",$M48=1),$M48&gt;(ROW(PLE.lastrow)-ROW(PLE.firstrow))),0,IF(OFFSET(PLE!$G$14,$M48,BB$13)="",10^12,OFFSET(PLE!$G$14,$M48,BB$13))))</f>
        <v>0</v>
      </c>
      <c r="BC48" s="182">
        <f ca="1">IF($D48&lt;&gt;"Serviço",0,IF(OR(AND(AUTOEVENTO="Manual",$M48=1),$M48&gt;(ROW(PLE.lastrow)-ROW(PLE.firstrow))),0,IF(OFFSET(PLE!$G$14,$M48,BC$13)="",10^12,OFFSET(PLE!$G$14,$M48,BC$13))))</f>
        <v>0</v>
      </c>
      <c r="BD48" s="182">
        <f ca="1">IF($D48&lt;&gt;"Serviço",0,IF(OR(AND(AUTOEVENTO="Manual",$M48=1),$M48&gt;(ROW(PLE.lastrow)-ROW(PLE.firstrow))),0,IF(OFFSET(PLE!$G$14,$M48,BD$13)="",10^12,OFFSET(PLE!$G$14,$M48,BD$13))))</f>
        <v>0</v>
      </c>
      <c r="BE48" s="182">
        <f ca="1">IF($D48&lt;&gt;"Serviço",0,IF(OR(AND(AUTOEVENTO="Manual",$M48=1),$M48&gt;(ROW(PLE.lastrow)-ROW(PLE.firstrow))),0,IF(OFFSET(PLE!$G$14,$M48,BE$13)="",10^12,OFFSET(PLE!$G$14,$M48,BE$13))))</f>
        <v>0</v>
      </c>
      <c r="BF48" s="182">
        <f ca="1">IF($D48&lt;&gt;"Serviço",0,IF(OR(AND(AUTOEVENTO="Manual",$M48=1),$M48&gt;(ROW(PLE.lastrow)-ROW(PLE.firstrow))),0,IF(OFFSET(PLE!$G$14,$M48,BF$13)="",10^12,OFFSET(PLE!$G$14,$M48,BF$13))))</f>
        <v>0</v>
      </c>
      <c r="BG48" s="182">
        <f ca="1">IF($D48&lt;&gt;"Serviço",0,IF(OR(AND(AUTOEVENTO="Manual",$M48=1),$M48&gt;(ROW(PLE.lastrow)-ROW(PLE.firstrow))),0,IF(OFFSET(PLE!$G$14,$M48,BG$13)="",10^12,OFFSET(PLE!$G$14,$M48,BG$13))))</f>
        <v>0</v>
      </c>
    </row>
    <row r="49" spans="1:59" ht="25.5" x14ac:dyDescent="0.2">
      <c r="A49" s="7" t="str">
        <f t="shared" ca="1" si="8"/>
        <v>20</v>
      </c>
      <c r="B49" s="7" t="str">
        <f ca="1">OFFSET(ORÇAMENTO!C$15,ROW(B49)-ROW(B$15),0)</f>
        <v>S</v>
      </c>
      <c r="C49" s="7" t="str">
        <f ca="1">OFFSET(ORÇAMENTO!L$15,ROW(C49)-ROW(C$15),0)</f>
        <v/>
      </c>
      <c r="D49" s="118" t="str">
        <f ca="1">OFFSET(ORÇAMENTO!N$15,ROW(D49)-ROW(D$15),0)</f>
        <v>Serviço</v>
      </c>
      <c r="E49" s="119" t="str">
        <f ca="1">OFFSET(ORÇAMENTO!O$15,ROW(E49)-ROW(E$15),0)</f>
        <v>-</v>
      </c>
      <c r="F49" s="172" t="str">
        <f ca="1">OFFSET(ORÇAMENTO!R$15,ROW(F49)-ROW(F$15),0)</f>
        <v>(abra o arquivo 'Referência 02-2025.xlsm)</v>
      </c>
      <c r="G49" s="173" t="str">
        <f ca="1">IF($D49&lt;&gt;"Serviço","",OFFSET(ORÇAMENTO!S$15,ROW(G49)-ROW(G$15),0))</f>
        <v>-</v>
      </c>
      <c r="H49" s="124">
        <f ca="1">IF($D49&lt;&gt;"Serviço",0,IF(ACOMPANHAMENTO="BM",ROUND(OFFSET(ORÇAMENTO!AJ$15,ROW(H49)-ROW(H$15),0),15-13*ORÇAMENTO!$AF$7),SUMPRODUCT(($Q$12:$AA$12&lt;&gt;"")*ROUND($Q49:$AA49,15-13*ORÇAMENTO!$AF$7))))</f>
        <v>20.239999999999998</v>
      </c>
      <c r="I49" s="561" t="s">
        <v>890</v>
      </c>
      <c r="K49" s="174"/>
      <c r="L49" s="175" t="s">
        <v>255</v>
      </c>
      <c r="M49" s="176">
        <f ca="1">IF($D49&lt;&gt;"Serviço","",IF(AUTOEVENTO="manual",$A49,IF(ISERROR(MATCH($A49,$A$15:OFFSET($A49,-1,0),0)),MAX($M$15:OFFSET(M49,-1,0))+1,INDEX($M$15:OFFSET(M49,-1,0),MATCH($A49,$A$15:OFFSET($A49,-1,0),0)))))</f>
        <v>4</v>
      </c>
      <c r="N49" s="177" t="str">
        <f ca="1">IF($D49&lt;&gt;"Serviço","",IF(AUTOEVENTO="Manual",IF($A49=0,"&lt;-- defina o número do agrupador",OFFSET(EVENTOS!$D$14,$A49,0)),OFFSET($F$15,$A49,0)))</f>
        <v>FUNDAÇÕES</v>
      </c>
      <c r="O49" s="178"/>
      <c r="Q49" s="178"/>
      <c r="R49" s="179"/>
      <c r="S49" s="179"/>
      <c r="T49" s="179"/>
      <c r="U49" s="179"/>
      <c r="V49" s="179"/>
      <c r="W49" s="179"/>
      <c r="X49" s="179"/>
      <c r="Y49" s="179"/>
      <c r="Z49" s="180"/>
      <c r="AB49" s="544">
        <f ca="1">IF(AND($D49="Serviço",AB$12&lt;&gt;0,$H49&gt;0,OR(AUTOEVENTO&lt;&gt;"manual",$M49&lt;&gt;1)),
IF(Import.TipoArredondamento&lt;&gt;"TransfereGOV",
ROUND(OFFSET($P49,0,AB$13),15-13*ORÇAMENTO!$AF$7)/$H49*OFFSET(ORÇAMENTO!$X$15,ROW(AB49)-ROW(AB$15),0),
ROUND(ROUND(OFFSET($P49,0,AB$13),15-13*ORÇAMENTO!$AF$7)*OFFSET(ORÇAMENTO!$W$15,ROW(AB49)-ROW(AB$15),0),15-13*ORÇAMENTO!$AF$11)),0)</f>
        <v>0</v>
      </c>
      <c r="AC49" s="545">
        <f ca="1">IF(AND($D49="Serviço",AC$12&lt;&gt;0,$H49&gt;0,OR(AUTOEVENTO&lt;&gt;"manual",$M49&lt;&gt;1)),
IF(Import.TipoArredondamento&lt;&gt;"TransfereGOV",
ROUND(OFFSET($P49,0,AC$13),15-13*ORÇAMENTO!$AF$7)/$H49*OFFSET(ORÇAMENTO!$X$15,ROW(AC49)-ROW(AC$15),0),
ROUND(ROUND(OFFSET($P49,0,AC$13),15-13*ORÇAMENTO!$AF$7)*OFFSET(ORÇAMENTO!$W$15,ROW(AC49)-ROW(AC$15),0),15-13*ORÇAMENTO!$AF$11)),0)</f>
        <v>0</v>
      </c>
      <c r="AD49" s="545">
        <f ca="1">IF(AND($D49="Serviço",AD$12&lt;&gt;0,$H49&gt;0,OR(AUTOEVENTO&lt;&gt;"manual",$M49&lt;&gt;1)),
IF(Import.TipoArredondamento&lt;&gt;"TransfereGOV",
ROUND(OFFSET($P49,0,AD$13),15-13*ORÇAMENTO!$AF$7)/$H49*OFFSET(ORÇAMENTO!$X$15,ROW(AD49)-ROW(AD$15),0),
ROUND(ROUND(OFFSET($P49,0,AD$13),15-13*ORÇAMENTO!$AF$7)*OFFSET(ORÇAMENTO!$W$15,ROW(AD49)-ROW(AD$15),0),15-13*ORÇAMENTO!$AF$11)),0)</f>
        <v>0</v>
      </c>
      <c r="AE49" s="545">
        <f ca="1">IF(AND($D49="Serviço",AE$12&lt;&gt;0,$H49&gt;0,OR(AUTOEVENTO&lt;&gt;"manual",$M49&lt;&gt;1)),
IF(Import.TipoArredondamento&lt;&gt;"TransfereGOV",
ROUND(OFFSET($P49,0,AE$13),15-13*ORÇAMENTO!$AF$7)/$H49*OFFSET(ORÇAMENTO!$X$15,ROW(AE49)-ROW(AE$15),0),
ROUND(ROUND(OFFSET($P49,0,AE$13),15-13*ORÇAMENTO!$AF$7)*OFFSET(ORÇAMENTO!$W$15,ROW(AE49)-ROW(AE$15),0),15-13*ORÇAMENTO!$AF$11)),0)</f>
        <v>0</v>
      </c>
      <c r="AF49" s="545">
        <f ca="1">IF(AND($D49="Serviço",AF$12&lt;&gt;0,$H49&gt;0,OR(AUTOEVENTO&lt;&gt;"manual",$M49&lt;&gt;1)),
IF(Import.TipoArredondamento&lt;&gt;"TransfereGOV",
ROUND(OFFSET($P49,0,AF$13),15-13*ORÇAMENTO!$AF$7)/$H49*OFFSET(ORÇAMENTO!$X$15,ROW(AF49)-ROW(AF$15),0),
ROUND(ROUND(OFFSET($P49,0,AF$13),15-13*ORÇAMENTO!$AF$7)*OFFSET(ORÇAMENTO!$W$15,ROW(AF49)-ROW(AF$15),0),15-13*ORÇAMENTO!$AF$11)),0)</f>
        <v>0</v>
      </c>
      <c r="AG49" s="545">
        <f ca="1">IF(AND($D49="Serviço",AG$12&lt;&gt;0,$H49&gt;0,OR(AUTOEVENTO&lt;&gt;"manual",$M49&lt;&gt;1)),
IF(Import.TipoArredondamento&lt;&gt;"TransfereGOV",
ROUND(OFFSET($P49,0,AG$13),15-13*ORÇAMENTO!$AF$7)/$H49*OFFSET(ORÇAMENTO!$X$15,ROW(AG49)-ROW(AG$15),0),
ROUND(ROUND(OFFSET($P49,0,AG$13),15-13*ORÇAMENTO!$AF$7)*OFFSET(ORÇAMENTO!$W$15,ROW(AG49)-ROW(AG$15),0),15-13*ORÇAMENTO!$AF$11)),0)</f>
        <v>0</v>
      </c>
      <c r="AH49" s="545">
        <f ca="1">IF(AND($D49="Serviço",AH$12&lt;&gt;0,$H49&gt;0,OR(AUTOEVENTO&lt;&gt;"manual",$M49&lt;&gt;1)),
IF(Import.TipoArredondamento&lt;&gt;"TransfereGOV",
ROUND(OFFSET($P49,0,AH$13),15-13*ORÇAMENTO!$AF$7)/$H49*OFFSET(ORÇAMENTO!$X$15,ROW(AH49)-ROW(AH$15),0),
ROUND(ROUND(OFFSET($P49,0,AH$13),15-13*ORÇAMENTO!$AF$7)*OFFSET(ORÇAMENTO!$W$15,ROW(AH49)-ROW(AH$15),0),15-13*ORÇAMENTO!$AF$11)),0)</f>
        <v>0</v>
      </c>
      <c r="AI49" s="545">
        <f ca="1">IF(AND($D49="Serviço",AI$12&lt;&gt;0,$H49&gt;0,OR(AUTOEVENTO&lt;&gt;"manual",$M49&lt;&gt;1)),
IF(Import.TipoArredondamento&lt;&gt;"TransfereGOV",
ROUND(OFFSET($P49,0,AI$13),15-13*ORÇAMENTO!$AF$7)/$H49*OFFSET(ORÇAMENTO!$X$15,ROW(AI49)-ROW(AI$15),0),
ROUND(ROUND(OFFSET($P49,0,AI$13),15-13*ORÇAMENTO!$AF$7)*OFFSET(ORÇAMENTO!$W$15,ROW(AI49)-ROW(AI$15),0),15-13*ORÇAMENTO!$AF$11)),0)</f>
        <v>0</v>
      </c>
      <c r="AJ49" s="545">
        <f ca="1">IF(AND($D49="Serviço",AJ$12&lt;&gt;0,$H49&gt;0,OR(AUTOEVENTO&lt;&gt;"manual",$M49&lt;&gt;1)),
IF(Import.TipoArredondamento&lt;&gt;"TransfereGOV",
ROUND(OFFSET($P49,0,AJ$13),15-13*ORÇAMENTO!$AF$7)/$H49*OFFSET(ORÇAMENTO!$X$15,ROW(AJ49)-ROW(AJ$15),0),
ROUND(ROUND(OFFSET($P49,0,AJ$13),15-13*ORÇAMENTO!$AF$7)*OFFSET(ORÇAMENTO!$W$15,ROW(AJ49)-ROW(AJ$15),0),15-13*ORÇAMENTO!$AF$11)),0)</f>
        <v>0</v>
      </c>
      <c r="AK49" s="546">
        <f ca="1">IF(AND($D49="Serviço",AK$12&lt;&gt;0,$H49&gt;0,OR(AUTOEVENTO&lt;&gt;"manual",$M49&lt;&gt;1)),
IF(Import.TipoArredondamento&lt;&gt;"TransfereGOV",
ROUND(OFFSET($P49,0,AK$13),15-13*ORÇAMENTO!$AF$7)/$H49*OFFSET(ORÇAMENTO!$X$15,ROW(AK49)-ROW(AK$15),0),
ROUND(ROUND(OFFSET($P49,0,AK$13),15-13*ORÇAMENTO!$AF$7)*OFFSET(ORÇAMENTO!$W$15,ROW(AK49)-ROW(AK$15),0),15-13*ORÇAMENTO!$AF$11)),0)</f>
        <v>0</v>
      </c>
      <c r="AM49" s="181">
        <f ca="1">IF($D49&lt;&gt;"Serviço",0,IF(AND(AUTOEVENTO="Manual",$M49=1),0,IF(OFFSET(CRONOPLE!$F$14,$M49,AM$13)="",10^12,OFFSET(CRONOPLE!$F$14,$M49,AM$13))))</f>
        <v>1000000000000</v>
      </c>
      <c r="AN49" s="181">
        <f ca="1">IF($D49&lt;&gt;"Serviço",0,IF(AND(AUTOEVENTO="Manual",$M49=1),0,IF(OFFSET(CRONOPLE!$F$14,$M49,AN$13)="",10^12,OFFSET(CRONOPLE!$F$14,$M49,AN$13))))</f>
        <v>1000000000000</v>
      </c>
      <c r="AO49" s="181">
        <f ca="1">IF($D49&lt;&gt;"Serviço",0,IF(AND(AUTOEVENTO="Manual",$M49=1),0,IF(OFFSET(CRONOPLE!$F$14,$M49,AO$13)="",10^12,OFFSET(CRONOPLE!$F$14,$M49,AO$13))))</f>
        <v>1000000000000</v>
      </c>
      <c r="AP49" s="181">
        <f ca="1">IF($D49&lt;&gt;"Serviço",0,IF(AND(AUTOEVENTO="Manual",$M49=1),0,IF(OFFSET(CRONOPLE!$F$14,$M49,AP$13)="",10^12,OFFSET(CRONOPLE!$F$14,$M49,AP$13))))</f>
        <v>1000000000000</v>
      </c>
      <c r="AQ49" s="181">
        <f ca="1">IF($D49&lt;&gt;"Serviço",0,IF(AND(AUTOEVENTO="Manual",$M49=1),0,IF(OFFSET(CRONOPLE!$F$14,$M49,AQ$13)="",10^12,OFFSET(CRONOPLE!$F$14,$M49,AQ$13))))</f>
        <v>1000000000000</v>
      </c>
      <c r="AR49" s="181">
        <f ca="1">IF($D49&lt;&gt;"Serviço",0,IF(AND(AUTOEVENTO="Manual",$M49=1),0,IF(OFFSET(CRONOPLE!$F$14,$M49,AR$13)="",10^12,OFFSET(CRONOPLE!$F$14,$M49,AR$13))))</f>
        <v>1000000000000</v>
      </c>
      <c r="AS49" s="181">
        <f ca="1">IF($D49&lt;&gt;"Serviço",0,IF(AND(AUTOEVENTO="Manual",$M49=1),0,IF(OFFSET(CRONOPLE!$F$14,$M49,AS$13)="",10^12,OFFSET(CRONOPLE!$F$14,$M49,AS$13))))</f>
        <v>1000000000000</v>
      </c>
      <c r="AT49" s="181">
        <f ca="1">IF($D49&lt;&gt;"Serviço",0,IF(AND(AUTOEVENTO="Manual",$M49=1),0,IF(OFFSET(CRONOPLE!$F$14,$M49,AT$13)="",10^12,OFFSET(CRONOPLE!$F$14,$M49,AT$13))))</f>
        <v>1000000000000</v>
      </c>
      <c r="AU49" s="181">
        <f ca="1">IF($D49&lt;&gt;"Serviço",0,IF(AND(AUTOEVENTO="Manual",$M49=1),0,IF(OFFSET(CRONOPLE!$F$14,$M49,AU$13)="",10^12,OFFSET(CRONOPLE!$F$14,$M49,AU$13))))</f>
        <v>1000000000000</v>
      </c>
      <c r="AV49" s="181">
        <f ca="1">IF($D49&lt;&gt;"Serviço",0,IF(AND(AUTOEVENTO="Manual",$M49=1),0,IF(OFFSET(CRONOPLE!$F$14,$M49,AV$13)="",10^12,OFFSET(CRONOPLE!$F$14,$M49,AV$13))))</f>
        <v>1000000000000</v>
      </c>
      <c r="AX49" s="182">
        <f ca="1">IF($D49&lt;&gt;"Serviço",0,IF(OR(AND(AUTOEVENTO="Manual",$M49=1),$M49&gt;(ROW(PLE.lastrow)-ROW(PLE.firstrow))),0,IF(OFFSET(PLE!$G$14,$M49,AX$13)="",10^12,OFFSET(PLE!$G$14,$M49,AX$13))))</f>
        <v>1000000000000</v>
      </c>
      <c r="AY49" s="182">
        <f ca="1">IF($D49&lt;&gt;"Serviço",0,IF(OR(AND(AUTOEVENTO="Manual",$M49=1),$M49&gt;(ROW(PLE.lastrow)-ROW(PLE.firstrow))),0,IF(OFFSET(PLE!$G$14,$M49,AY$13)="",10^12,OFFSET(PLE!$G$14,$M49,AY$13))))</f>
        <v>1000000000000</v>
      </c>
      <c r="AZ49" s="182">
        <f ca="1">IF($D49&lt;&gt;"Serviço",0,IF(OR(AND(AUTOEVENTO="Manual",$M49=1),$M49&gt;(ROW(PLE.lastrow)-ROW(PLE.firstrow))),0,IF(OFFSET(PLE!$G$14,$M49,AZ$13)="",10^12,OFFSET(PLE!$G$14,$M49,AZ$13))))</f>
        <v>1000000000000</v>
      </c>
      <c r="BA49" s="182">
        <f ca="1">IF($D49&lt;&gt;"Serviço",0,IF(OR(AND(AUTOEVENTO="Manual",$M49=1),$M49&gt;(ROW(PLE.lastrow)-ROW(PLE.firstrow))),0,IF(OFFSET(PLE!$G$14,$M49,BA$13)="",10^12,OFFSET(PLE!$G$14,$M49,BA$13))))</f>
        <v>1000000000000</v>
      </c>
      <c r="BB49" s="182">
        <f ca="1">IF($D49&lt;&gt;"Serviço",0,IF(OR(AND(AUTOEVENTO="Manual",$M49=1),$M49&gt;(ROW(PLE.lastrow)-ROW(PLE.firstrow))),0,IF(OFFSET(PLE!$G$14,$M49,BB$13)="",10^12,OFFSET(PLE!$G$14,$M49,BB$13))))</f>
        <v>1000000000000</v>
      </c>
      <c r="BC49" s="182">
        <f ca="1">IF($D49&lt;&gt;"Serviço",0,IF(OR(AND(AUTOEVENTO="Manual",$M49=1),$M49&gt;(ROW(PLE.lastrow)-ROW(PLE.firstrow))),0,IF(OFFSET(PLE!$G$14,$M49,BC$13)="",10^12,OFFSET(PLE!$G$14,$M49,BC$13))))</f>
        <v>1000000000000</v>
      </c>
      <c r="BD49" s="182">
        <f ca="1">IF($D49&lt;&gt;"Serviço",0,IF(OR(AND(AUTOEVENTO="Manual",$M49=1),$M49&gt;(ROW(PLE.lastrow)-ROW(PLE.firstrow))),0,IF(OFFSET(PLE!$G$14,$M49,BD$13)="",10^12,OFFSET(PLE!$G$14,$M49,BD$13))))</f>
        <v>1000000000000</v>
      </c>
      <c r="BE49" s="182">
        <f ca="1">IF($D49&lt;&gt;"Serviço",0,IF(OR(AND(AUTOEVENTO="Manual",$M49=1),$M49&gt;(ROW(PLE.lastrow)-ROW(PLE.firstrow))),0,IF(OFFSET(PLE!$G$14,$M49,BE$13)="",10^12,OFFSET(PLE!$G$14,$M49,BE$13))))</f>
        <v>1000000000000</v>
      </c>
      <c r="BF49" s="182">
        <f ca="1">IF($D49&lt;&gt;"Serviço",0,IF(OR(AND(AUTOEVENTO="Manual",$M49=1),$M49&gt;(ROW(PLE.lastrow)-ROW(PLE.firstrow))),0,IF(OFFSET(PLE!$G$14,$M49,BF$13)="",10^12,OFFSET(PLE!$G$14,$M49,BF$13))))</f>
        <v>1000000000000</v>
      </c>
      <c r="BG49" s="182">
        <f ca="1">IF($D49&lt;&gt;"Serviço",0,IF(OR(AND(AUTOEVENTO="Manual",$M49=1),$M49&gt;(ROW(PLE.lastrow)-ROW(PLE.firstrow))),0,IF(OFFSET(PLE!$G$14,$M49,BG$13)="",10^12,OFFSET(PLE!$G$14,$M49,BG$13))))</f>
        <v>1000000000000</v>
      </c>
    </row>
    <row r="50" spans="1:59" ht="25.5" x14ac:dyDescent="0.2">
      <c r="A50" s="7" t="str">
        <f t="shared" ca="1" si="8"/>
        <v>20</v>
      </c>
      <c r="B50" s="7" t="str">
        <f ca="1">OFFSET(ORÇAMENTO!C$15,ROW(B50)-ROW(B$15),0)</f>
        <v>S</v>
      </c>
      <c r="C50" s="7" t="str">
        <f ca="1">OFFSET(ORÇAMENTO!L$15,ROW(C50)-ROW(C$15),0)</f>
        <v/>
      </c>
      <c r="D50" s="118" t="str">
        <f ca="1">OFFSET(ORÇAMENTO!N$15,ROW(D50)-ROW(D$15),0)</f>
        <v>Serviço</v>
      </c>
      <c r="E50" s="119" t="str">
        <f ca="1">OFFSET(ORÇAMENTO!O$15,ROW(E50)-ROW(E$15),0)</f>
        <v>-</v>
      </c>
      <c r="F50" s="172" t="str">
        <f ca="1">OFFSET(ORÇAMENTO!R$15,ROW(F50)-ROW(F$15),0)</f>
        <v>(abra o arquivo 'Referência 02-2025.xlsm)</v>
      </c>
      <c r="G50" s="173" t="str">
        <f ca="1">IF($D50&lt;&gt;"Serviço","",OFFSET(ORÇAMENTO!S$15,ROW(G50)-ROW(G$15),0))</f>
        <v>-</v>
      </c>
      <c r="H50" s="124">
        <f ca="1">IF($D50&lt;&gt;"Serviço",0,IF(ACOMPANHAMENTO="BM",ROUND(OFFSET(ORÇAMENTO!AJ$15,ROW(H50)-ROW(H$15),0),15-13*ORÇAMENTO!$AF$7),SUMPRODUCT(($Q$12:$AA$12&lt;&gt;"")*ROUND($Q50:$AA50,15-13*ORÇAMENTO!$AF$7))))</f>
        <v>404.84</v>
      </c>
      <c r="I50" s="561" t="s">
        <v>890</v>
      </c>
      <c r="K50" s="174"/>
      <c r="L50" s="175" t="s">
        <v>255</v>
      </c>
      <c r="M50" s="176">
        <f ca="1">IF($D50&lt;&gt;"Serviço","",IF(AUTOEVENTO="manual",$A50,IF(ISERROR(MATCH($A50,$A$15:OFFSET($A50,-1,0),0)),MAX($M$15:OFFSET(M50,-1,0))+1,INDEX($M$15:OFFSET(M50,-1,0),MATCH($A50,$A$15:OFFSET($A50,-1,0),0)))))</f>
        <v>4</v>
      </c>
      <c r="N50" s="177" t="str">
        <f ca="1">IF($D50&lt;&gt;"Serviço","",IF(AUTOEVENTO="Manual",IF($A50=0,"&lt;-- defina o número do agrupador",OFFSET(EVENTOS!$D$14,$A50,0)),OFFSET($F$15,$A50,0)))</f>
        <v>FUNDAÇÕES</v>
      </c>
      <c r="O50" s="178"/>
      <c r="Q50" s="178"/>
      <c r="R50" s="179"/>
      <c r="S50" s="179"/>
      <c r="T50" s="179"/>
      <c r="U50" s="179"/>
      <c r="V50" s="179"/>
      <c r="W50" s="179"/>
      <c r="X50" s="179"/>
      <c r="Y50" s="179"/>
      <c r="Z50" s="180"/>
      <c r="AB50" s="544">
        <f ca="1">IF(AND($D50="Serviço",AB$12&lt;&gt;0,$H50&gt;0,OR(AUTOEVENTO&lt;&gt;"manual",$M50&lt;&gt;1)),
IF(Import.TipoArredondamento&lt;&gt;"TransfereGOV",
ROUND(OFFSET($P50,0,AB$13),15-13*ORÇAMENTO!$AF$7)/$H50*OFFSET(ORÇAMENTO!$X$15,ROW(AB50)-ROW(AB$15),0),
ROUND(ROUND(OFFSET($P50,0,AB$13),15-13*ORÇAMENTO!$AF$7)*OFFSET(ORÇAMENTO!$W$15,ROW(AB50)-ROW(AB$15),0),15-13*ORÇAMENTO!$AF$11)),0)</f>
        <v>0</v>
      </c>
      <c r="AC50" s="545">
        <f ca="1">IF(AND($D50="Serviço",AC$12&lt;&gt;0,$H50&gt;0,OR(AUTOEVENTO&lt;&gt;"manual",$M50&lt;&gt;1)),
IF(Import.TipoArredondamento&lt;&gt;"TransfereGOV",
ROUND(OFFSET($P50,0,AC$13),15-13*ORÇAMENTO!$AF$7)/$H50*OFFSET(ORÇAMENTO!$X$15,ROW(AC50)-ROW(AC$15),0),
ROUND(ROUND(OFFSET($P50,0,AC$13),15-13*ORÇAMENTO!$AF$7)*OFFSET(ORÇAMENTO!$W$15,ROW(AC50)-ROW(AC$15),0),15-13*ORÇAMENTO!$AF$11)),0)</f>
        <v>0</v>
      </c>
      <c r="AD50" s="545">
        <f ca="1">IF(AND($D50="Serviço",AD$12&lt;&gt;0,$H50&gt;0,OR(AUTOEVENTO&lt;&gt;"manual",$M50&lt;&gt;1)),
IF(Import.TipoArredondamento&lt;&gt;"TransfereGOV",
ROUND(OFFSET($P50,0,AD$13),15-13*ORÇAMENTO!$AF$7)/$H50*OFFSET(ORÇAMENTO!$X$15,ROW(AD50)-ROW(AD$15),0),
ROUND(ROUND(OFFSET($P50,0,AD$13),15-13*ORÇAMENTO!$AF$7)*OFFSET(ORÇAMENTO!$W$15,ROW(AD50)-ROW(AD$15),0),15-13*ORÇAMENTO!$AF$11)),0)</f>
        <v>0</v>
      </c>
      <c r="AE50" s="545">
        <f ca="1">IF(AND($D50="Serviço",AE$12&lt;&gt;0,$H50&gt;0,OR(AUTOEVENTO&lt;&gt;"manual",$M50&lt;&gt;1)),
IF(Import.TipoArredondamento&lt;&gt;"TransfereGOV",
ROUND(OFFSET($P50,0,AE$13),15-13*ORÇAMENTO!$AF$7)/$H50*OFFSET(ORÇAMENTO!$X$15,ROW(AE50)-ROW(AE$15),0),
ROUND(ROUND(OFFSET($P50,0,AE$13),15-13*ORÇAMENTO!$AF$7)*OFFSET(ORÇAMENTO!$W$15,ROW(AE50)-ROW(AE$15),0),15-13*ORÇAMENTO!$AF$11)),0)</f>
        <v>0</v>
      </c>
      <c r="AF50" s="545">
        <f ca="1">IF(AND($D50="Serviço",AF$12&lt;&gt;0,$H50&gt;0,OR(AUTOEVENTO&lt;&gt;"manual",$M50&lt;&gt;1)),
IF(Import.TipoArredondamento&lt;&gt;"TransfereGOV",
ROUND(OFFSET($P50,0,AF$13),15-13*ORÇAMENTO!$AF$7)/$H50*OFFSET(ORÇAMENTO!$X$15,ROW(AF50)-ROW(AF$15),0),
ROUND(ROUND(OFFSET($P50,0,AF$13),15-13*ORÇAMENTO!$AF$7)*OFFSET(ORÇAMENTO!$W$15,ROW(AF50)-ROW(AF$15),0),15-13*ORÇAMENTO!$AF$11)),0)</f>
        <v>0</v>
      </c>
      <c r="AG50" s="545">
        <f ca="1">IF(AND($D50="Serviço",AG$12&lt;&gt;0,$H50&gt;0,OR(AUTOEVENTO&lt;&gt;"manual",$M50&lt;&gt;1)),
IF(Import.TipoArredondamento&lt;&gt;"TransfereGOV",
ROUND(OFFSET($P50,0,AG$13),15-13*ORÇAMENTO!$AF$7)/$H50*OFFSET(ORÇAMENTO!$X$15,ROW(AG50)-ROW(AG$15),0),
ROUND(ROUND(OFFSET($P50,0,AG$13),15-13*ORÇAMENTO!$AF$7)*OFFSET(ORÇAMENTO!$W$15,ROW(AG50)-ROW(AG$15),0),15-13*ORÇAMENTO!$AF$11)),0)</f>
        <v>0</v>
      </c>
      <c r="AH50" s="545">
        <f ca="1">IF(AND($D50="Serviço",AH$12&lt;&gt;0,$H50&gt;0,OR(AUTOEVENTO&lt;&gt;"manual",$M50&lt;&gt;1)),
IF(Import.TipoArredondamento&lt;&gt;"TransfereGOV",
ROUND(OFFSET($P50,0,AH$13),15-13*ORÇAMENTO!$AF$7)/$H50*OFFSET(ORÇAMENTO!$X$15,ROW(AH50)-ROW(AH$15),0),
ROUND(ROUND(OFFSET($P50,0,AH$13),15-13*ORÇAMENTO!$AF$7)*OFFSET(ORÇAMENTO!$W$15,ROW(AH50)-ROW(AH$15),0),15-13*ORÇAMENTO!$AF$11)),0)</f>
        <v>0</v>
      </c>
      <c r="AI50" s="545">
        <f ca="1">IF(AND($D50="Serviço",AI$12&lt;&gt;0,$H50&gt;0,OR(AUTOEVENTO&lt;&gt;"manual",$M50&lt;&gt;1)),
IF(Import.TipoArredondamento&lt;&gt;"TransfereGOV",
ROUND(OFFSET($P50,0,AI$13),15-13*ORÇAMENTO!$AF$7)/$H50*OFFSET(ORÇAMENTO!$X$15,ROW(AI50)-ROW(AI$15),0),
ROUND(ROUND(OFFSET($P50,0,AI$13),15-13*ORÇAMENTO!$AF$7)*OFFSET(ORÇAMENTO!$W$15,ROW(AI50)-ROW(AI$15),0),15-13*ORÇAMENTO!$AF$11)),0)</f>
        <v>0</v>
      </c>
      <c r="AJ50" s="545">
        <f ca="1">IF(AND($D50="Serviço",AJ$12&lt;&gt;0,$H50&gt;0,OR(AUTOEVENTO&lt;&gt;"manual",$M50&lt;&gt;1)),
IF(Import.TipoArredondamento&lt;&gt;"TransfereGOV",
ROUND(OFFSET($P50,0,AJ$13),15-13*ORÇAMENTO!$AF$7)/$H50*OFFSET(ORÇAMENTO!$X$15,ROW(AJ50)-ROW(AJ$15),0),
ROUND(ROUND(OFFSET($P50,0,AJ$13),15-13*ORÇAMENTO!$AF$7)*OFFSET(ORÇAMENTO!$W$15,ROW(AJ50)-ROW(AJ$15),0),15-13*ORÇAMENTO!$AF$11)),0)</f>
        <v>0</v>
      </c>
      <c r="AK50" s="546">
        <f ca="1">IF(AND($D50="Serviço",AK$12&lt;&gt;0,$H50&gt;0,OR(AUTOEVENTO&lt;&gt;"manual",$M50&lt;&gt;1)),
IF(Import.TipoArredondamento&lt;&gt;"TransfereGOV",
ROUND(OFFSET($P50,0,AK$13),15-13*ORÇAMENTO!$AF$7)/$H50*OFFSET(ORÇAMENTO!$X$15,ROW(AK50)-ROW(AK$15),0),
ROUND(ROUND(OFFSET($P50,0,AK$13),15-13*ORÇAMENTO!$AF$7)*OFFSET(ORÇAMENTO!$W$15,ROW(AK50)-ROW(AK$15),0),15-13*ORÇAMENTO!$AF$11)),0)</f>
        <v>0</v>
      </c>
      <c r="AM50" s="181">
        <f ca="1">IF($D50&lt;&gt;"Serviço",0,IF(AND(AUTOEVENTO="Manual",$M50=1),0,IF(OFFSET(CRONOPLE!$F$14,$M50,AM$13)="",10^12,OFFSET(CRONOPLE!$F$14,$M50,AM$13))))</f>
        <v>1000000000000</v>
      </c>
      <c r="AN50" s="181">
        <f ca="1">IF($D50&lt;&gt;"Serviço",0,IF(AND(AUTOEVENTO="Manual",$M50=1),0,IF(OFFSET(CRONOPLE!$F$14,$M50,AN$13)="",10^12,OFFSET(CRONOPLE!$F$14,$M50,AN$13))))</f>
        <v>1000000000000</v>
      </c>
      <c r="AO50" s="181">
        <f ca="1">IF($D50&lt;&gt;"Serviço",0,IF(AND(AUTOEVENTO="Manual",$M50=1),0,IF(OFFSET(CRONOPLE!$F$14,$M50,AO$13)="",10^12,OFFSET(CRONOPLE!$F$14,$M50,AO$13))))</f>
        <v>1000000000000</v>
      </c>
      <c r="AP50" s="181">
        <f ca="1">IF($D50&lt;&gt;"Serviço",0,IF(AND(AUTOEVENTO="Manual",$M50=1),0,IF(OFFSET(CRONOPLE!$F$14,$M50,AP$13)="",10^12,OFFSET(CRONOPLE!$F$14,$M50,AP$13))))</f>
        <v>1000000000000</v>
      </c>
      <c r="AQ50" s="181">
        <f ca="1">IF($D50&lt;&gt;"Serviço",0,IF(AND(AUTOEVENTO="Manual",$M50=1),0,IF(OFFSET(CRONOPLE!$F$14,$M50,AQ$13)="",10^12,OFFSET(CRONOPLE!$F$14,$M50,AQ$13))))</f>
        <v>1000000000000</v>
      </c>
      <c r="AR50" s="181">
        <f ca="1">IF($D50&lt;&gt;"Serviço",0,IF(AND(AUTOEVENTO="Manual",$M50=1),0,IF(OFFSET(CRONOPLE!$F$14,$M50,AR$13)="",10^12,OFFSET(CRONOPLE!$F$14,$M50,AR$13))))</f>
        <v>1000000000000</v>
      </c>
      <c r="AS50" s="181">
        <f ca="1">IF($D50&lt;&gt;"Serviço",0,IF(AND(AUTOEVENTO="Manual",$M50=1),0,IF(OFFSET(CRONOPLE!$F$14,$M50,AS$13)="",10^12,OFFSET(CRONOPLE!$F$14,$M50,AS$13))))</f>
        <v>1000000000000</v>
      </c>
      <c r="AT50" s="181">
        <f ca="1">IF($D50&lt;&gt;"Serviço",0,IF(AND(AUTOEVENTO="Manual",$M50=1),0,IF(OFFSET(CRONOPLE!$F$14,$M50,AT$13)="",10^12,OFFSET(CRONOPLE!$F$14,$M50,AT$13))))</f>
        <v>1000000000000</v>
      </c>
      <c r="AU50" s="181">
        <f ca="1">IF($D50&lt;&gt;"Serviço",0,IF(AND(AUTOEVENTO="Manual",$M50=1),0,IF(OFFSET(CRONOPLE!$F$14,$M50,AU$13)="",10^12,OFFSET(CRONOPLE!$F$14,$M50,AU$13))))</f>
        <v>1000000000000</v>
      </c>
      <c r="AV50" s="181">
        <f ca="1">IF($D50&lt;&gt;"Serviço",0,IF(AND(AUTOEVENTO="Manual",$M50=1),0,IF(OFFSET(CRONOPLE!$F$14,$M50,AV$13)="",10^12,OFFSET(CRONOPLE!$F$14,$M50,AV$13))))</f>
        <v>1000000000000</v>
      </c>
      <c r="AX50" s="182">
        <f ca="1">IF($D50&lt;&gt;"Serviço",0,IF(OR(AND(AUTOEVENTO="Manual",$M50=1),$M50&gt;(ROW(PLE.lastrow)-ROW(PLE.firstrow))),0,IF(OFFSET(PLE!$G$14,$M50,AX$13)="",10^12,OFFSET(PLE!$G$14,$M50,AX$13))))</f>
        <v>1000000000000</v>
      </c>
      <c r="AY50" s="182">
        <f ca="1">IF($D50&lt;&gt;"Serviço",0,IF(OR(AND(AUTOEVENTO="Manual",$M50=1),$M50&gt;(ROW(PLE.lastrow)-ROW(PLE.firstrow))),0,IF(OFFSET(PLE!$G$14,$M50,AY$13)="",10^12,OFFSET(PLE!$G$14,$M50,AY$13))))</f>
        <v>1000000000000</v>
      </c>
      <c r="AZ50" s="182">
        <f ca="1">IF($D50&lt;&gt;"Serviço",0,IF(OR(AND(AUTOEVENTO="Manual",$M50=1),$M50&gt;(ROW(PLE.lastrow)-ROW(PLE.firstrow))),0,IF(OFFSET(PLE!$G$14,$M50,AZ$13)="",10^12,OFFSET(PLE!$G$14,$M50,AZ$13))))</f>
        <v>1000000000000</v>
      </c>
      <c r="BA50" s="182">
        <f ca="1">IF($D50&lt;&gt;"Serviço",0,IF(OR(AND(AUTOEVENTO="Manual",$M50=1),$M50&gt;(ROW(PLE.lastrow)-ROW(PLE.firstrow))),0,IF(OFFSET(PLE!$G$14,$M50,BA$13)="",10^12,OFFSET(PLE!$G$14,$M50,BA$13))))</f>
        <v>1000000000000</v>
      </c>
      <c r="BB50" s="182">
        <f ca="1">IF($D50&lt;&gt;"Serviço",0,IF(OR(AND(AUTOEVENTO="Manual",$M50=1),$M50&gt;(ROW(PLE.lastrow)-ROW(PLE.firstrow))),0,IF(OFFSET(PLE!$G$14,$M50,BB$13)="",10^12,OFFSET(PLE!$G$14,$M50,BB$13))))</f>
        <v>1000000000000</v>
      </c>
      <c r="BC50" s="182">
        <f ca="1">IF($D50&lt;&gt;"Serviço",0,IF(OR(AND(AUTOEVENTO="Manual",$M50=1),$M50&gt;(ROW(PLE.lastrow)-ROW(PLE.firstrow))),0,IF(OFFSET(PLE!$G$14,$M50,BC$13)="",10^12,OFFSET(PLE!$G$14,$M50,BC$13))))</f>
        <v>1000000000000</v>
      </c>
      <c r="BD50" s="182">
        <f ca="1">IF($D50&lt;&gt;"Serviço",0,IF(OR(AND(AUTOEVENTO="Manual",$M50=1),$M50&gt;(ROW(PLE.lastrow)-ROW(PLE.firstrow))),0,IF(OFFSET(PLE!$G$14,$M50,BD$13)="",10^12,OFFSET(PLE!$G$14,$M50,BD$13))))</f>
        <v>1000000000000</v>
      </c>
      <c r="BE50" s="182">
        <f ca="1">IF($D50&lt;&gt;"Serviço",0,IF(OR(AND(AUTOEVENTO="Manual",$M50=1),$M50&gt;(ROW(PLE.lastrow)-ROW(PLE.firstrow))),0,IF(OFFSET(PLE!$G$14,$M50,BE$13)="",10^12,OFFSET(PLE!$G$14,$M50,BE$13))))</f>
        <v>1000000000000</v>
      </c>
      <c r="BF50" s="182">
        <f ca="1">IF($D50&lt;&gt;"Serviço",0,IF(OR(AND(AUTOEVENTO="Manual",$M50=1),$M50&gt;(ROW(PLE.lastrow)-ROW(PLE.firstrow))),0,IF(OFFSET(PLE!$G$14,$M50,BF$13)="",10^12,OFFSET(PLE!$G$14,$M50,BF$13))))</f>
        <v>1000000000000</v>
      </c>
      <c r="BG50" s="182">
        <f ca="1">IF($D50&lt;&gt;"Serviço",0,IF(OR(AND(AUTOEVENTO="Manual",$M50=1),$M50&gt;(ROW(PLE.lastrow)-ROW(PLE.firstrow))),0,IF(OFFSET(PLE!$G$14,$M50,BG$13)="",10^12,OFFSET(PLE!$G$14,$M50,BG$13))))</f>
        <v>1000000000000</v>
      </c>
    </row>
    <row r="51" spans="1:59" ht="38.25" x14ac:dyDescent="0.2">
      <c r="A51" s="7" t="str">
        <f t="shared" ca="1" si="8"/>
        <v>20</v>
      </c>
      <c r="B51" s="7" t="str">
        <f ca="1">OFFSET(ORÇAMENTO!C$15,ROW(B51)-ROW(B$15),0)</f>
        <v>S</v>
      </c>
      <c r="C51" s="7" t="str">
        <f ca="1">OFFSET(ORÇAMENTO!L$15,ROW(C51)-ROW(C$15),0)</f>
        <v/>
      </c>
      <c r="D51" s="118" t="str">
        <f ca="1">OFFSET(ORÇAMENTO!N$15,ROW(D51)-ROW(D$15),0)</f>
        <v>Serviço</v>
      </c>
      <c r="E51" s="119" t="str">
        <f ca="1">OFFSET(ORÇAMENTO!O$15,ROW(E51)-ROW(E$15),0)</f>
        <v>-</v>
      </c>
      <c r="F51" s="172" t="str">
        <f ca="1">OFFSET(ORÇAMENTO!R$15,ROW(F51)-ROW(F$15),0)</f>
        <v>(abra o arquivo 'Referência 02-2025.xlsm)</v>
      </c>
      <c r="G51" s="173" t="str">
        <f ca="1">IF($D51&lt;&gt;"Serviço","",OFFSET(ORÇAMENTO!S$15,ROW(G51)-ROW(G$15),0))</f>
        <v>-</v>
      </c>
      <c r="H51" s="124">
        <f ca="1">IF($D51&lt;&gt;"Serviço",0,IF(ACOMPANHAMENTO="BM",ROUND(OFFSET(ORÇAMENTO!AJ$15,ROW(H51)-ROW(H$15),0),15-13*ORÇAMENTO!$AF$7),SUMPRODUCT(($Q$12:$AA$12&lt;&gt;"")*ROUND($Q51:$AA51,15-13*ORÇAMENTO!$AF$7))))</f>
        <v>311.32</v>
      </c>
      <c r="I51" s="561" t="s">
        <v>890</v>
      </c>
      <c r="K51" s="174"/>
      <c r="L51" s="175" t="s">
        <v>255</v>
      </c>
      <c r="M51" s="176">
        <f ca="1">IF($D51&lt;&gt;"Serviço","",IF(AUTOEVENTO="manual",$A51,IF(ISERROR(MATCH($A51,$A$15:OFFSET($A51,-1,0),0)),MAX($M$15:OFFSET(M51,-1,0))+1,INDEX($M$15:OFFSET(M51,-1,0),MATCH($A51,$A$15:OFFSET($A51,-1,0),0)))))</f>
        <v>4</v>
      </c>
      <c r="N51" s="177" t="str">
        <f ca="1">IF($D51&lt;&gt;"Serviço","",IF(AUTOEVENTO="Manual",IF($A51=0,"&lt;-- defina o número do agrupador",OFFSET(EVENTOS!$D$14,$A51,0)),OFFSET($F$15,$A51,0)))</f>
        <v>FUNDAÇÕES</v>
      </c>
      <c r="O51" s="178"/>
      <c r="Q51" s="178"/>
      <c r="R51" s="179"/>
      <c r="S51" s="179"/>
      <c r="T51" s="179"/>
      <c r="U51" s="179"/>
      <c r="V51" s="179"/>
      <c r="W51" s="179"/>
      <c r="X51" s="179"/>
      <c r="Y51" s="179"/>
      <c r="Z51" s="180"/>
      <c r="AB51" s="544">
        <f ca="1">IF(AND($D51="Serviço",AB$12&lt;&gt;0,$H51&gt;0,OR(AUTOEVENTO&lt;&gt;"manual",$M51&lt;&gt;1)),
IF(Import.TipoArredondamento&lt;&gt;"TransfereGOV",
ROUND(OFFSET($P51,0,AB$13),15-13*ORÇAMENTO!$AF$7)/$H51*OFFSET(ORÇAMENTO!$X$15,ROW(AB51)-ROW(AB$15),0),
ROUND(ROUND(OFFSET($P51,0,AB$13),15-13*ORÇAMENTO!$AF$7)*OFFSET(ORÇAMENTO!$W$15,ROW(AB51)-ROW(AB$15),0),15-13*ORÇAMENTO!$AF$11)),0)</f>
        <v>0</v>
      </c>
      <c r="AC51" s="545">
        <f ca="1">IF(AND($D51="Serviço",AC$12&lt;&gt;0,$H51&gt;0,OR(AUTOEVENTO&lt;&gt;"manual",$M51&lt;&gt;1)),
IF(Import.TipoArredondamento&lt;&gt;"TransfereGOV",
ROUND(OFFSET($P51,0,AC$13),15-13*ORÇAMENTO!$AF$7)/$H51*OFFSET(ORÇAMENTO!$X$15,ROW(AC51)-ROW(AC$15),0),
ROUND(ROUND(OFFSET($P51,0,AC$13),15-13*ORÇAMENTO!$AF$7)*OFFSET(ORÇAMENTO!$W$15,ROW(AC51)-ROW(AC$15),0),15-13*ORÇAMENTO!$AF$11)),0)</f>
        <v>0</v>
      </c>
      <c r="AD51" s="545">
        <f ca="1">IF(AND($D51="Serviço",AD$12&lt;&gt;0,$H51&gt;0,OR(AUTOEVENTO&lt;&gt;"manual",$M51&lt;&gt;1)),
IF(Import.TipoArredondamento&lt;&gt;"TransfereGOV",
ROUND(OFFSET($P51,0,AD$13),15-13*ORÇAMENTO!$AF$7)/$H51*OFFSET(ORÇAMENTO!$X$15,ROW(AD51)-ROW(AD$15),0),
ROUND(ROUND(OFFSET($P51,0,AD$13),15-13*ORÇAMENTO!$AF$7)*OFFSET(ORÇAMENTO!$W$15,ROW(AD51)-ROW(AD$15),0),15-13*ORÇAMENTO!$AF$11)),0)</f>
        <v>0</v>
      </c>
      <c r="AE51" s="545">
        <f ca="1">IF(AND($D51="Serviço",AE$12&lt;&gt;0,$H51&gt;0,OR(AUTOEVENTO&lt;&gt;"manual",$M51&lt;&gt;1)),
IF(Import.TipoArredondamento&lt;&gt;"TransfereGOV",
ROUND(OFFSET($P51,0,AE$13),15-13*ORÇAMENTO!$AF$7)/$H51*OFFSET(ORÇAMENTO!$X$15,ROW(AE51)-ROW(AE$15),0),
ROUND(ROUND(OFFSET($P51,0,AE$13),15-13*ORÇAMENTO!$AF$7)*OFFSET(ORÇAMENTO!$W$15,ROW(AE51)-ROW(AE$15),0),15-13*ORÇAMENTO!$AF$11)),0)</f>
        <v>0</v>
      </c>
      <c r="AF51" s="545">
        <f ca="1">IF(AND($D51="Serviço",AF$12&lt;&gt;0,$H51&gt;0,OR(AUTOEVENTO&lt;&gt;"manual",$M51&lt;&gt;1)),
IF(Import.TipoArredondamento&lt;&gt;"TransfereGOV",
ROUND(OFFSET($P51,0,AF$13),15-13*ORÇAMENTO!$AF$7)/$H51*OFFSET(ORÇAMENTO!$X$15,ROW(AF51)-ROW(AF$15),0),
ROUND(ROUND(OFFSET($P51,0,AF$13),15-13*ORÇAMENTO!$AF$7)*OFFSET(ORÇAMENTO!$W$15,ROW(AF51)-ROW(AF$15),0),15-13*ORÇAMENTO!$AF$11)),0)</f>
        <v>0</v>
      </c>
      <c r="AG51" s="545">
        <f ca="1">IF(AND($D51="Serviço",AG$12&lt;&gt;0,$H51&gt;0,OR(AUTOEVENTO&lt;&gt;"manual",$M51&lt;&gt;1)),
IF(Import.TipoArredondamento&lt;&gt;"TransfereGOV",
ROUND(OFFSET($P51,0,AG$13),15-13*ORÇAMENTO!$AF$7)/$H51*OFFSET(ORÇAMENTO!$X$15,ROW(AG51)-ROW(AG$15),0),
ROUND(ROUND(OFFSET($P51,0,AG$13),15-13*ORÇAMENTO!$AF$7)*OFFSET(ORÇAMENTO!$W$15,ROW(AG51)-ROW(AG$15),0),15-13*ORÇAMENTO!$AF$11)),0)</f>
        <v>0</v>
      </c>
      <c r="AH51" s="545">
        <f ca="1">IF(AND($D51="Serviço",AH$12&lt;&gt;0,$H51&gt;0,OR(AUTOEVENTO&lt;&gt;"manual",$M51&lt;&gt;1)),
IF(Import.TipoArredondamento&lt;&gt;"TransfereGOV",
ROUND(OFFSET($P51,0,AH$13),15-13*ORÇAMENTO!$AF$7)/$H51*OFFSET(ORÇAMENTO!$X$15,ROW(AH51)-ROW(AH$15),0),
ROUND(ROUND(OFFSET($P51,0,AH$13),15-13*ORÇAMENTO!$AF$7)*OFFSET(ORÇAMENTO!$W$15,ROW(AH51)-ROW(AH$15),0),15-13*ORÇAMENTO!$AF$11)),0)</f>
        <v>0</v>
      </c>
      <c r="AI51" s="545">
        <f ca="1">IF(AND($D51="Serviço",AI$12&lt;&gt;0,$H51&gt;0,OR(AUTOEVENTO&lt;&gt;"manual",$M51&lt;&gt;1)),
IF(Import.TipoArredondamento&lt;&gt;"TransfereGOV",
ROUND(OFFSET($P51,0,AI$13),15-13*ORÇAMENTO!$AF$7)/$H51*OFFSET(ORÇAMENTO!$X$15,ROW(AI51)-ROW(AI$15),0),
ROUND(ROUND(OFFSET($P51,0,AI$13),15-13*ORÇAMENTO!$AF$7)*OFFSET(ORÇAMENTO!$W$15,ROW(AI51)-ROW(AI$15),0),15-13*ORÇAMENTO!$AF$11)),0)</f>
        <v>0</v>
      </c>
      <c r="AJ51" s="545">
        <f ca="1">IF(AND($D51="Serviço",AJ$12&lt;&gt;0,$H51&gt;0,OR(AUTOEVENTO&lt;&gt;"manual",$M51&lt;&gt;1)),
IF(Import.TipoArredondamento&lt;&gt;"TransfereGOV",
ROUND(OFFSET($P51,0,AJ$13),15-13*ORÇAMENTO!$AF$7)/$H51*OFFSET(ORÇAMENTO!$X$15,ROW(AJ51)-ROW(AJ$15),0),
ROUND(ROUND(OFFSET($P51,0,AJ$13),15-13*ORÇAMENTO!$AF$7)*OFFSET(ORÇAMENTO!$W$15,ROW(AJ51)-ROW(AJ$15),0),15-13*ORÇAMENTO!$AF$11)),0)</f>
        <v>0</v>
      </c>
      <c r="AK51" s="546">
        <f ca="1">IF(AND($D51="Serviço",AK$12&lt;&gt;0,$H51&gt;0,OR(AUTOEVENTO&lt;&gt;"manual",$M51&lt;&gt;1)),
IF(Import.TipoArredondamento&lt;&gt;"TransfereGOV",
ROUND(OFFSET($P51,0,AK$13),15-13*ORÇAMENTO!$AF$7)/$H51*OFFSET(ORÇAMENTO!$X$15,ROW(AK51)-ROW(AK$15),0),
ROUND(ROUND(OFFSET($P51,0,AK$13),15-13*ORÇAMENTO!$AF$7)*OFFSET(ORÇAMENTO!$W$15,ROW(AK51)-ROW(AK$15),0),15-13*ORÇAMENTO!$AF$11)),0)</f>
        <v>0</v>
      </c>
      <c r="AM51" s="181">
        <f ca="1">IF($D51&lt;&gt;"Serviço",0,IF(AND(AUTOEVENTO="Manual",$M51=1),0,IF(OFFSET(CRONOPLE!$F$14,$M51,AM$13)="",10^12,OFFSET(CRONOPLE!$F$14,$M51,AM$13))))</f>
        <v>1000000000000</v>
      </c>
      <c r="AN51" s="181">
        <f ca="1">IF($D51&lt;&gt;"Serviço",0,IF(AND(AUTOEVENTO="Manual",$M51=1),0,IF(OFFSET(CRONOPLE!$F$14,$M51,AN$13)="",10^12,OFFSET(CRONOPLE!$F$14,$M51,AN$13))))</f>
        <v>1000000000000</v>
      </c>
      <c r="AO51" s="181">
        <f ca="1">IF($D51&lt;&gt;"Serviço",0,IF(AND(AUTOEVENTO="Manual",$M51=1),0,IF(OFFSET(CRONOPLE!$F$14,$M51,AO$13)="",10^12,OFFSET(CRONOPLE!$F$14,$M51,AO$13))))</f>
        <v>1000000000000</v>
      </c>
      <c r="AP51" s="181">
        <f ca="1">IF($D51&lt;&gt;"Serviço",0,IF(AND(AUTOEVENTO="Manual",$M51=1),0,IF(OFFSET(CRONOPLE!$F$14,$M51,AP$13)="",10^12,OFFSET(CRONOPLE!$F$14,$M51,AP$13))))</f>
        <v>1000000000000</v>
      </c>
      <c r="AQ51" s="181">
        <f ca="1">IF($D51&lt;&gt;"Serviço",0,IF(AND(AUTOEVENTO="Manual",$M51=1),0,IF(OFFSET(CRONOPLE!$F$14,$M51,AQ$13)="",10^12,OFFSET(CRONOPLE!$F$14,$M51,AQ$13))))</f>
        <v>1000000000000</v>
      </c>
      <c r="AR51" s="181">
        <f ca="1">IF($D51&lt;&gt;"Serviço",0,IF(AND(AUTOEVENTO="Manual",$M51=1),0,IF(OFFSET(CRONOPLE!$F$14,$M51,AR$13)="",10^12,OFFSET(CRONOPLE!$F$14,$M51,AR$13))))</f>
        <v>1000000000000</v>
      </c>
      <c r="AS51" s="181">
        <f ca="1">IF($D51&lt;&gt;"Serviço",0,IF(AND(AUTOEVENTO="Manual",$M51=1),0,IF(OFFSET(CRONOPLE!$F$14,$M51,AS$13)="",10^12,OFFSET(CRONOPLE!$F$14,$M51,AS$13))))</f>
        <v>1000000000000</v>
      </c>
      <c r="AT51" s="181">
        <f ca="1">IF($D51&lt;&gt;"Serviço",0,IF(AND(AUTOEVENTO="Manual",$M51=1),0,IF(OFFSET(CRONOPLE!$F$14,$M51,AT$13)="",10^12,OFFSET(CRONOPLE!$F$14,$M51,AT$13))))</f>
        <v>1000000000000</v>
      </c>
      <c r="AU51" s="181">
        <f ca="1">IF($D51&lt;&gt;"Serviço",0,IF(AND(AUTOEVENTO="Manual",$M51=1),0,IF(OFFSET(CRONOPLE!$F$14,$M51,AU$13)="",10^12,OFFSET(CRONOPLE!$F$14,$M51,AU$13))))</f>
        <v>1000000000000</v>
      </c>
      <c r="AV51" s="181">
        <f ca="1">IF($D51&lt;&gt;"Serviço",0,IF(AND(AUTOEVENTO="Manual",$M51=1),0,IF(OFFSET(CRONOPLE!$F$14,$M51,AV$13)="",10^12,OFFSET(CRONOPLE!$F$14,$M51,AV$13))))</f>
        <v>1000000000000</v>
      </c>
      <c r="AX51" s="182">
        <f ca="1">IF($D51&lt;&gt;"Serviço",0,IF(OR(AND(AUTOEVENTO="Manual",$M51=1),$M51&gt;(ROW(PLE.lastrow)-ROW(PLE.firstrow))),0,IF(OFFSET(PLE!$G$14,$M51,AX$13)="",10^12,OFFSET(PLE!$G$14,$M51,AX$13))))</f>
        <v>1000000000000</v>
      </c>
      <c r="AY51" s="182">
        <f ca="1">IF($D51&lt;&gt;"Serviço",0,IF(OR(AND(AUTOEVENTO="Manual",$M51=1),$M51&gt;(ROW(PLE.lastrow)-ROW(PLE.firstrow))),0,IF(OFFSET(PLE!$G$14,$M51,AY$13)="",10^12,OFFSET(PLE!$G$14,$M51,AY$13))))</f>
        <v>1000000000000</v>
      </c>
      <c r="AZ51" s="182">
        <f ca="1">IF($D51&lt;&gt;"Serviço",0,IF(OR(AND(AUTOEVENTO="Manual",$M51=1),$M51&gt;(ROW(PLE.lastrow)-ROW(PLE.firstrow))),0,IF(OFFSET(PLE!$G$14,$M51,AZ$13)="",10^12,OFFSET(PLE!$G$14,$M51,AZ$13))))</f>
        <v>1000000000000</v>
      </c>
      <c r="BA51" s="182">
        <f ca="1">IF($D51&lt;&gt;"Serviço",0,IF(OR(AND(AUTOEVENTO="Manual",$M51=1),$M51&gt;(ROW(PLE.lastrow)-ROW(PLE.firstrow))),0,IF(OFFSET(PLE!$G$14,$M51,BA$13)="",10^12,OFFSET(PLE!$G$14,$M51,BA$13))))</f>
        <v>1000000000000</v>
      </c>
      <c r="BB51" s="182">
        <f ca="1">IF($D51&lt;&gt;"Serviço",0,IF(OR(AND(AUTOEVENTO="Manual",$M51=1),$M51&gt;(ROW(PLE.lastrow)-ROW(PLE.firstrow))),0,IF(OFFSET(PLE!$G$14,$M51,BB$13)="",10^12,OFFSET(PLE!$G$14,$M51,BB$13))))</f>
        <v>1000000000000</v>
      </c>
      <c r="BC51" s="182">
        <f ca="1">IF($D51&lt;&gt;"Serviço",0,IF(OR(AND(AUTOEVENTO="Manual",$M51=1),$M51&gt;(ROW(PLE.lastrow)-ROW(PLE.firstrow))),0,IF(OFFSET(PLE!$G$14,$M51,BC$13)="",10^12,OFFSET(PLE!$G$14,$M51,BC$13))))</f>
        <v>1000000000000</v>
      </c>
      <c r="BD51" s="182">
        <f ca="1">IF($D51&lt;&gt;"Serviço",0,IF(OR(AND(AUTOEVENTO="Manual",$M51=1),$M51&gt;(ROW(PLE.lastrow)-ROW(PLE.firstrow))),0,IF(OFFSET(PLE!$G$14,$M51,BD$13)="",10^12,OFFSET(PLE!$G$14,$M51,BD$13))))</f>
        <v>1000000000000</v>
      </c>
      <c r="BE51" s="182">
        <f ca="1">IF($D51&lt;&gt;"Serviço",0,IF(OR(AND(AUTOEVENTO="Manual",$M51=1),$M51&gt;(ROW(PLE.lastrow)-ROW(PLE.firstrow))),0,IF(OFFSET(PLE!$G$14,$M51,BE$13)="",10^12,OFFSET(PLE!$G$14,$M51,BE$13))))</f>
        <v>1000000000000</v>
      </c>
      <c r="BF51" s="182">
        <f ca="1">IF($D51&lt;&gt;"Serviço",0,IF(OR(AND(AUTOEVENTO="Manual",$M51=1),$M51&gt;(ROW(PLE.lastrow)-ROW(PLE.firstrow))),0,IF(OFFSET(PLE!$G$14,$M51,BF$13)="",10^12,OFFSET(PLE!$G$14,$M51,BF$13))))</f>
        <v>1000000000000</v>
      </c>
      <c r="BG51" s="182">
        <f ca="1">IF($D51&lt;&gt;"Serviço",0,IF(OR(AND(AUTOEVENTO="Manual",$M51=1),$M51&gt;(ROW(PLE.lastrow)-ROW(PLE.firstrow))),0,IF(OFFSET(PLE!$G$14,$M51,BG$13)="",10^12,OFFSET(PLE!$G$14,$M51,BG$13))))</f>
        <v>1000000000000</v>
      </c>
    </row>
    <row r="52" spans="1:59" ht="25.5" x14ac:dyDescent="0.2">
      <c r="A52" s="7" t="str">
        <f t="shared" ca="1" si="8"/>
        <v>20</v>
      </c>
      <c r="B52" s="7" t="str">
        <f ca="1">OFFSET(ORÇAMENTO!C$15,ROW(B52)-ROW(B$15),0)</f>
        <v>S</v>
      </c>
      <c r="C52" s="7" t="str">
        <f ca="1">OFFSET(ORÇAMENTO!L$15,ROW(C52)-ROW(C$15),0)</f>
        <v/>
      </c>
      <c r="D52" s="118" t="str">
        <f ca="1">OFFSET(ORÇAMENTO!N$15,ROW(D52)-ROW(D$15),0)</f>
        <v>Serviço</v>
      </c>
      <c r="E52" s="119" t="str">
        <f ca="1">OFFSET(ORÇAMENTO!O$15,ROW(E52)-ROW(E$15),0)</f>
        <v>-</v>
      </c>
      <c r="F52" s="172" t="str">
        <f ca="1">OFFSET(ORÇAMENTO!R$15,ROW(F52)-ROW(F$15),0)</f>
        <v>(abra o arquivo 'Referência 02-2025.xlsm)</v>
      </c>
      <c r="G52" s="173" t="str">
        <f ca="1">IF($D52&lt;&gt;"Serviço","",OFFSET(ORÇAMENTO!S$15,ROW(G52)-ROW(G$15),0))</f>
        <v>-</v>
      </c>
      <c r="H52" s="124">
        <f ca="1">IF($D52&lt;&gt;"Serviço",0,IF(ACOMPANHAMENTO="BM",ROUND(OFFSET(ORÇAMENTO!AJ$15,ROW(H52)-ROW(H$15),0),15-13*ORÇAMENTO!$AF$7),SUMPRODUCT(($Q$12:$AA$12&lt;&gt;"")*ROUND($Q52:$AA52,15-13*ORÇAMENTO!$AF$7))))</f>
        <v>394.89</v>
      </c>
      <c r="I52" s="561" t="s">
        <v>890</v>
      </c>
      <c r="K52" s="174"/>
      <c r="L52" s="175" t="s">
        <v>255</v>
      </c>
      <c r="M52" s="176">
        <f ca="1">IF($D52&lt;&gt;"Serviço","",IF(AUTOEVENTO="manual",$A52,IF(ISERROR(MATCH($A52,$A$15:OFFSET($A52,-1,0),0)),MAX($M$15:OFFSET(M52,-1,0))+1,INDEX($M$15:OFFSET(M52,-1,0),MATCH($A52,$A$15:OFFSET($A52,-1,0),0)))))</f>
        <v>4</v>
      </c>
      <c r="N52" s="177" t="str">
        <f ca="1">IF($D52&lt;&gt;"Serviço","",IF(AUTOEVENTO="Manual",IF($A52=0,"&lt;-- defina o número do agrupador",OFFSET(EVENTOS!$D$14,$A52,0)),OFFSET($F$15,$A52,0)))</f>
        <v>FUNDAÇÕES</v>
      </c>
      <c r="O52" s="178"/>
      <c r="Q52" s="178"/>
      <c r="R52" s="179"/>
      <c r="S52" s="179"/>
      <c r="T52" s="179"/>
      <c r="U52" s="179"/>
      <c r="V52" s="179"/>
      <c r="W52" s="179"/>
      <c r="X52" s="179"/>
      <c r="Y52" s="179"/>
      <c r="Z52" s="180"/>
      <c r="AB52" s="544">
        <f ca="1">IF(AND($D52="Serviço",AB$12&lt;&gt;0,$H52&gt;0,OR(AUTOEVENTO&lt;&gt;"manual",$M52&lt;&gt;1)),
IF(Import.TipoArredondamento&lt;&gt;"TransfereGOV",
ROUND(OFFSET($P52,0,AB$13),15-13*ORÇAMENTO!$AF$7)/$H52*OFFSET(ORÇAMENTO!$X$15,ROW(AB52)-ROW(AB$15),0),
ROUND(ROUND(OFFSET($P52,0,AB$13),15-13*ORÇAMENTO!$AF$7)*OFFSET(ORÇAMENTO!$W$15,ROW(AB52)-ROW(AB$15),0),15-13*ORÇAMENTO!$AF$11)),0)</f>
        <v>0</v>
      </c>
      <c r="AC52" s="545">
        <f ca="1">IF(AND($D52="Serviço",AC$12&lt;&gt;0,$H52&gt;0,OR(AUTOEVENTO&lt;&gt;"manual",$M52&lt;&gt;1)),
IF(Import.TipoArredondamento&lt;&gt;"TransfereGOV",
ROUND(OFFSET($P52,0,AC$13),15-13*ORÇAMENTO!$AF$7)/$H52*OFFSET(ORÇAMENTO!$X$15,ROW(AC52)-ROW(AC$15),0),
ROUND(ROUND(OFFSET($P52,0,AC$13),15-13*ORÇAMENTO!$AF$7)*OFFSET(ORÇAMENTO!$W$15,ROW(AC52)-ROW(AC$15),0),15-13*ORÇAMENTO!$AF$11)),0)</f>
        <v>0</v>
      </c>
      <c r="AD52" s="545">
        <f ca="1">IF(AND($D52="Serviço",AD$12&lt;&gt;0,$H52&gt;0,OR(AUTOEVENTO&lt;&gt;"manual",$M52&lt;&gt;1)),
IF(Import.TipoArredondamento&lt;&gt;"TransfereGOV",
ROUND(OFFSET($P52,0,AD$13),15-13*ORÇAMENTO!$AF$7)/$H52*OFFSET(ORÇAMENTO!$X$15,ROW(AD52)-ROW(AD$15),0),
ROUND(ROUND(OFFSET($P52,0,AD$13),15-13*ORÇAMENTO!$AF$7)*OFFSET(ORÇAMENTO!$W$15,ROW(AD52)-ROW(AD$15),0),15-13*ORÇAMENTO!$AF$11)),0)</f>
        <v>0</v>
      </c>
      <c r="AE52" s="545">
        <f ca="1">IF(AND($D52="Serviço",AE$12&lt;&gt;0,$H52&gt;0,OR(AUTOEVENTO&lt;&gt;"manual",$M52&lt;&gt;1)),
IF(Import.TipoArredondamento&lt;&gt;"TransfereGOV",
ROUND(OFFSET($P52,0,AE$13),15-13*ORÇAMENTO!$AF$7)/$H52*OFFSET(ORÇAMENTO!$X$15,ROW(AE52)-ROW(AE$15),0),
ROUND(ROUND(OFFSET($P52,0,AE$13),15-13*ORÇAMENTO!$AF$7)*OFFSET(ORÇAMENTO!$W$15,ROW(AE52)-ROW(AE$15),0),15-13*ORÇAMENTO!$AF$11)),0)</f>
        <v>0</v>
      </c>
      <c r="AF52" s="545">
        <f ca="1">IF(AND($D52="Serviço",AF$12&lt;&gt;0,$H52&gt;0,OR(AUTOEVENTO&lt;&gt;"manual",$M52&lt;&gt;1)),
IF(Import.TipoArredondamento&lt;&gt;"TransfereGOV",
ROUND(OFFSET($P52,0,AF$13),15-13*ORÇAMENTO!$AF$7)/$H52*OFFSET(ORÇAMENTO!$X$15,ROW(AF52)-ROW(AF$15),0),
ROUND(ROUND(OFFSET($P52,0,AF$13),15-13*ORÇAMENTO!$AF$7)*OFFSET(ORÇAMENTO!$W$15,ROW(AF52)-ROW(AF$15),0),15-13*ORÇAMENTO!$AF$11)),0)</f>
        <v>0</v>
      </c>
      <c r="AG52" s="545">
        <f ca="1">IF(AND($D52="Serviço",AG$12&lt;&gt;0,$H52&gt;0,OR(AUTOEVENTO&lt;&gt;"manual",$M52&lt;&gt;1)),
IF(Import.TipoArredondamento&lt;&gt;"TransfereGOV",
ROUND(OFFSET($P52,0,AG$13),15-13*ORÇAMENTO!$AF$7)/$H52*OFFSET(ORÇAMENTO!$X$15,ROW(AG52)-ROW(AG$15),0),
ROUND(ROUND(OFFSET($P52,0,AG$13),15-13*ORÇAMENTO!$AF$7)*OFFSET(ORÇAMENTO!$W$15,ROW(AG52)-ROW(AG$15),0),15-13*ORÇAMENTO!$AF$11)),0)</f>
        <v>0</v>
      </c>
      <c r="AH52" s="545">
        <f ca="1">IF(AND($D52="Serviço",AH$12&lt;&gt;0,$H52&gt;0,OR(AUTOEVENTO&lt;&gt;"manual",$M52&lt;&gt;1)),
IF(Import.TipoArredondamento&lt;&gt;"TransfereGOV",
ROUND(OFFSET($P52,0,AH$13),15-13*ORÇAMENTO!$AF$7)/$H52*OFFSET(ORÇAMENTO!$X$15,ROW(AH52)-ROW(AH$15),0),
ROUND(ROUND(OFFSET($P52,0,AH$13),15-13*ORÇAMENTO!$AF$7)*OFFSET(ORÇAMENTO!$W$15,ROW(AH52)-ROW(AH$15),0),15-13*ORÇAMENTO!$AF$11)),0)</f>
        <v>0</v>
      </c>
      <c r="AI52" s="545">
        <f ca="1">IF(AND($D52="Serviço",AI$12&lt;&gt;0,$H52&gt;0,OR(AUTOEVENTO&lt;&gt;"manual",$M52&lt;&gt;1)),
IF(Import.TipoArredondamento&lt;&gt;"TransfereGOV",
ROUND(OFFSET($P52,0,AI$13),15-13*ORÇAMENTO!$AF$7)/$H52*OFFSET(ORÇAMENTO!$X$15,ROW(AI52)-ROW(AI$15),0),
ROUND(ROUND(OFFSET($P52,0,AI$13),15-13*ORÇAMENTO!$AF$7)*OFFSET(ORÇAMENTO!$W$15,ROW(AI52)-ROW(AI$15),0),15-13*ORÇAMENTO!$AF$11)),0)</f>
        <v>0</v>
      </c>
      <c r="AJ52" s="545">
        <f ca="1">IF(AND($D52="Serviço",AJ$12&lt;&gt;0,$H52&gt;0,OR(AUTOEVENTO&lt;&gt;"manual",$M52&lt;&gt;1)),
IF(Import.TipoArredondamento&lt;&gt;"TransfereGOV",
ROUND(OFFSET($P52,0,AJ$13),15-13*ORÇAMENTO!$AF$7)/$H52*OFFSET(ORÇAMENTO!$X$15,ROW(AJ52)-ROW(AJ$15),0),
ROUND(ROUND(OFFSET($P52,0,AJ$13),15-13*ORÇAMENTO!$AF$7)*OFFSET(ORÇAMENTO!$W$15,ROW(AJ52)-ROW(AJ$15),0),15-13*ORÇAMENTO!$AF$11)),0)</f>
        <v>0</v>
      </c>
      <c r="AK52" s="546">
        <f ca="1">IF(AND($D52="Serviço",AK$12&lt;&gt;0,$H52&gt;0,OR(AUTOEVENTO&lt;&gt;"manual",$M52&lt;&gt;1)),
IF(Import.TipoArredondamento&lt;&gt;"TransfereGOV",
ROUND(OFFSET($P52,0,AK$13),15-13*ORÇAMENTO!$AF$7)/$H52*OFFSET(ORÇAMENTO!$X$15,ROW(AK52)-ROW(AK$15),0),
ROUND(ROUND(OFFSET($P52,0,AK$13),15-13*ORÇAMENTO!$AF$7)*OFFSET(ORÇAMENTO!$W$15,ROW(AK52)-ROW(AK$15),0),15-13*ORÇAMENTO!$AF$11)),0)</f>
        <v>0</v>
      </c>
      <c r="AM52" s="181">
        <f ca="1">IF($D52&lt;&gt;"Serviço",0,IF(AND(AUTOEVENTO="Manual",$M52=1),0,IF(OFFSET(CRONOPLE!$F$14,$M52,AM$13)="",10^12,OFFSET(CRONOPLE!$F$14,$M52,AM$13))))</f>
        <v>1000000000000</v>
      </c>
      <c r="AN52" s="181">
        <f ca="1">IF($D52&lt;&gt;"Serviço",0,IF(AND(AUTOEVENTO="Manual",$M52=1),0,IF(OFFSET(CRONOPLE!$F$14,$M52,AN$13)="",10^12,OFFSET(CRONOPLE!$F$14,$M52,AN$13))))</f>
        <v>1000000000000</v>
      </c>
      <c r="AO52" s="181">
        <f ca="1">IF($D52&lt;&gt;"Serviço",0,IF(AND(AUTOEVENTO="Manual",$M52=1),0,IF(OFFSET(CRONOPLE!$F$14,$M52,AO$13)="",10^12,OFFSET(CRONOPLE!$F$14,$M52,AO$13))))</f>
        <v>1000000000000</v>
      </c>
      <c r="AP52" s="181">
        <f ca="1">IF($D52&lt;&gt;"Serviço",0,IF(AND(AUTOEVENTO="Manual",$M52=1),0,IF(OFFSET(CRONOPLE!$F$14,$M52,AP$13)="",10^12,OFFSET(CRONOPLE!$F$14,$M52,AP$13))))</f>
        <v>1000000000000</v>
      </c>
      <c r="AQ52" s="181">
        <f ca="1">IF($D52&lt;&gt;"Serviço",0,IF(AND(AUTOEVENTO="Manual",$M52=1),0,IF(OFFSET(CRONOPLE!$F$14,$M52,AQ$13)="",10^12,OFFSET(CRONOPLE!$F$14,$M52,AQ$13))))</f>
        <v>1000000000000</v>
      </c>
      <c r="AR52" s="181">
        <f ca="1">IF($D52&lt;&gt;"Serviço",0,IF(AND(AUTOEVENTO="Manual",$M52=1),0,IF(OFFSET(CRONOPLE!$F$14,$M52,AR$13)="",10^12,OFFSET(CRONOPLE!$F$14,$M52,AR$13))))</f>
        <v>1000000000000</v>
      </c>
      <c r="AS52" s="181">
        <f ca="1">IF($D52&lt;&gt;"Serviço",0,IF(AND(AUTOEVENTO="Manual",$M52=1),0,IF(OFFSET(CRONOPLE!$F$14,$M52,AS$13)="",10^12,OFFSET(CRONOPLE!$F$14,$M52,AS$13))))</f>
        <v>1000000000000</v>
      </c>
      <c r="AT52" s="181">
        <f ca="1">IF($D52&lt;&gt;"Serviço",0,IF(AND(AUTOEVENTO="Manual",$M52=1),0,IF(OFFSET(CRONOPLE!$F$14,$M52,AT$13)="",10^12,OFFSET(CRONOPLE!$F$14,$M52,AT$13))))</f>
        <v>1000000000000</v>
      </c>
      <c r="AU52" s="181">
        <f ca="1">IF($D52&lt;&gt;"Serviço",0,IF(AND(AUTOEVENTO="Manual",$M52=1),0,IF(OFFSET(CRONOPLE!$F$14,$M52,AU$13)="",10^12,OFFSET(CRONOPLE!$F$14,$M52,AU$13))))</f>
        <v>1000000000000</v>
      </c>
      <c r="AV52" s="181">
        <f ca="1">IF($D52&lt;&gt;"Serviço",0,IF(AND(AUTOEVENTO="Manual",$M52=1),0,IF(OFFSET(CRONOPLE!$F$14,$M52,AV$13)="",10^12,OFFSET(CRONOPLE!$F$14,$M52,AV$13))))</f>
        <v>1000000000000</v>
      </c>
      <c r="AX52" s="182">
        <f ca="1">IF($D52&lt;&gt;"Serviço",0,IF(OR(AND(AUTOEVENTO="Manual",$M52=1),$M52&gt;(ROW(PLE.lastrow)-ROW(PLE.firstrow))),0,IF(OFFSET(PLE!$G$14,$M52,AX$13)="",10^12,OFFSET(PLE!$G$14,$M52,AX$13))))</f>
        <v>1000000000000</v>
      </c>
      <c r="AY52" s="182">
        <f ca="1">IF($D52&lt;&gt;"Serviço",0,IF(OR(AND(AUTOEVENTO="Manual",$M52=1),$M52&gt;(ROW(PLE.lastrow)-ROW(PLE.firstrow))),0,IF(OFFSET(PLE!$G$14,$M52,AY$13)="",10^12,OFFSET(PLE!$G$14,$M52,AY$13))))</f>
        <v>1000000000000</v>
      </c>
      <c r="AZ52" s="182">
        <f ca="1">IF($D52&lt;&gt;"Serviço",0,IF(OR(AND(AUTOEVENTO="Manual",$M52=1),$M52&gt;(ROW(PLE.lastrow)-ROW(PLE.firstrow))),0,IF(OFFSET(PLE!$G$14,$M52,AZ$13)="",10^12,OFFSET(PLE!$G$14,$M52,AZ$13))))</f>
        <v>1000000000000</v>
      </c>
      <c r="BA52" s="182">
        <f ca="1">IF($D52&lt;&gt;"Serviço",0,IF(OR(AND(AUTOEVENTO="Manual",$M52=1),$M52&gt;(ROW(PLE.lastrow)-ROW(PLE.firstrow))),0,IF(OFFSET(PLE!$G$14,$M52,BA$13)="",10^12,OFFSET(PLE!$G$14,$M52,BA$13))))</f>
        <v>1000000000000</v>
      </c>
      <c r="BB52" s="182">
        <f ca="1">IF($D52&lt;&gt;"Serviço",0,IF(OR(AND(AUTOEVENTO="Manual",$M52=1),$M52&gt;(ROW(PLE.lastrow)-ROW(PLE.firstrow))),0,IF(OFFSET(PLE!$G$14,$M52,BB$13)="",10^12,OFFSET(PLE!$G$14,$M52,BB$13))))</f>
        <v>1000000000000</v>
      </c>
      <c r="BC52" s="182">
        <f ca="1">IF($D52&lt;&gt;"Serviço",0,IF(OR(AND(AUTOEVENTO="Manual",$M52=1),$M52&gt;(ROW(PLE.lastrow)-ROW(PLE.firstrow))),0,IF(OFFSET(PLE!$G$14,$M52,BC$13)="",10^12,OFFSET(PLE!$G$14,$M52,BC$13))))</f>
        <v>1000000000000</v>
      </c>
      <c r="BD52" s="182">
        <f ca="1">IF($D52&lt;&gt;"Serviço",0,IF(OR(AND(AUTOEVENTO="Manual",$M52=1),$M52&gt;(ROW(PLE.lastrow)-ROW(PLE.firstrow))),0,IF(OFFSET(PLE!$G$14,$M52,BD$13)="",10^12,OFFSET(PLE!$G$14,$M52,BD$13))))</f>
        <v>1000000000000</v>
      </c>
      <c r="BE52" s="182">
        <f ca="1">IF($D52&lt;&gt;"Serviço",0,IF(OR(AND(AUTOEVENTO="Manual",$M52=1),$M52&gt;(ROW(PLE.lastrow)-ROW(PLE.firstrow))),0,IF(OFFSET(PLE!$G$14,$M52,BE$13)="",10^12,OFFSET(PLE!$G$14,$M52,BE$13))))</f>
        <v>1000000000000</v>
      </c>
      <c r="BF52" s="182">
        <f ca="1">IF($D52&lt;&gt;"Serviço",0,IF(OR(AND(AUTOEVENTO="Manual",$M52=1),$M52&gt;(ROW(PLE.lastrow)-ROW(PLE.firstrow))),0,IF(OFFSET(PLE!$G$14,$M52,BF$13)="",10^12,OFFSET(PLE!$G$14,$M52,BF$13))))</f>
        <v>1000000000000</v>
      </c>
      <c r="BG52" s="182">
        <f ca="1">IF($D52&lt;&gt;"Serviço",0,IF(OR(AND(AUTOEVENTO="Manual",$M52=1),$M52&gt;(ROW(PLE.lastrow)-ROW(PLE.firstrow))),0,IF(OFFSET(PLE!$G$14,$M52,BG$13)="",10^12,OFFSET(PLE!$G$14,$M52,BG$13))))</f>
        <v>1000000000000</v>
      </c>
    </row>
    <row r="53" spans="1:59" ht="25.5" x14ac:dyDescent="0.2">
      <c r="A53" s="7" t="str">
        <f t="shared" ca="1" si="8"/>
        <v>20</v>
      </c>
      <c r="B53" s="7" t="str">
        <f ca="1">OFFSET(ORÇAMENTO!C$15,ROW(B53)-ROW(B$15),0)</f>
        <v>S</v>
      </c>
      <c r="C53" s="7" t="str">
        <f ca="1">OFFSET(ORÇAMENTO!L$15,ROW(C53)-ROW(C$15),0)</f>
        <v/>
      </c>
      <c r="D53" s="118" t="str">
        <f ca="1">OFFSET(ORÇAMENTO!N$15,ROW(D53)-ROW(D$15),0)</f>
        <v>Serviço</v>
      </c>
      <c r="E53" s="119" t="str">
        <f ca="1">OFFSET(ORÇAMENTO!O$15,ROW(E53)-ROW(E$15),0)</f>
        <v>-</v>
      </c>
      <c r="F53" s="172" t="str">
        <f ca="1">OFFSET(ORÇAMENTO!R$15,ROW(F53)-ROW(F$15),0)</f>
        <v>(abra o arquivo 'Referência 02-2025.xlsm)</v>
      </c>
      <c r="G53" s="173" t="str">
        <f ca="1">IF($D53&lt;&gt;"Serviço","",OFFSET(ORÇAMENTO!S$15,ROW(G53)-ROW(G$15),0))</f>
        <v>-</v>
      </c>
      <c r="H53" s="124">
        <f ca="1">IF($D53&lt;&gt;"Serviço",0,IF(ACOMPANHAMENTO="BM",ROUND(OFFSET(ORÇAMENTO!AJ$15,ROW(H53)-ROW(H$15),0),15-13*ORÇAMENTO!$AF$7),SUMPRODUCT(($Q$12:$AA$12&lt;&gt;"")*ROUND($Q53:$AA53,15-13*ORÇAMENTO!$AF$7))))</f>
        <v>125.91</v>
      </c>
      <c r="I53" s="561" t="s">
        <v>890</v>
      </c>
      <c r="K53" s="174"/>
      <c r="L53" s="175" t="s">
        <v>255</v>
      </c>
      <c r="M53" s="176">
        <f ca="1">IF($D53&lt;&gt;"Serviço","",IF(AUTOEVENTO="manual",$A53,IF(ISERROR(MATCH($A53,$A$15:OFFSET($A53,-1,0),0)),MAX($M$15:OFFSET(M53,-1,0))+1,INDEX($M$15:OFFSET(M53,-1,0),MATCH($A53,$A$15:OFFSET($A53,-1,0),0)))))</f>
        <v>4</v>
      </c>
      <c r="N53" s="177" t="str">
        <f ca="1">IF($D53&lt;&gt;"Serviço","",IF(AUTOEVENTO="Manual",IF($A53=0,"&lt;-- defina o número do agrupador",OFFSET(EVENTOS!$D$14,$A53,0)),OFFSET($F$15,$A53,0)))</f>
        <v>FUNDAÇÕES</v>
      </c>
      <c r="O53" s="178"/>
      <c r="Q53" s="178"/>
      <c r="R53" s="179"/>
      <c r="S53" s="179"/>
      <c r="T53" s="179"/>
      <c r="U53" s="179"/>
      <c r="V53" s="179"/>
      <c r="W53" s="179"/>
      <c r="X53" s="179"/>
      <c r="Y53" s="179"/>
      <c r="Z53" s="180"/>
      <c r="AB53" s="544">
        <f ca="1">IF(AND($D53="Serviço",AB$12&lt;&gt;0,$H53&gt;0,OR(AUTOEVENTO&lt;&gt;"manual",$M53&lt;&gt;1)),
IF(Import.TipoArredondamento&lt;&gt;"TransfereGOV",
ROUND(OFFSET($P53,0,AB$13),15-13*ORÇAMENTO!$AF$7)/$H53*OFFSET(ORÇAMENTO!$X$15,ROW(AB53)-ROW(AB$15),0),
ROUND(ROUND(OFFSET($P53,0,AB$13),15-13*ORÇAMENTO!$AF$7)*OFFSET(ORÇAMENTO!$W$15,ROW(AB53)-ROW(AB$15),0),15-13*ORÇAMENTO!$AF$11)),0)</f>
        <v>0</v>
      </c>
      <c r="AC53" s="545">
        <f ca="1">IF(AND($D53="Serviço",AC$12&lt;&gt;0,$H53&gt;0,OR(AUTOEVENTO&lt;&gt;"manual",$M53&lt;&gt;1)),
IF(Import.TipoArredondamento&lt;&gt;"TransfereGOV",
ROUND(OFFSET($P53,0,AC$13),15-13*ORÇAMENTO!$AF$7)/$H53*OFFSET(ORÇAMENTO!$X$15,ROW(AC53)-ROW(AC$15),0),
ROUND(ROUND(OFFSET($P53,0,AC$13),15-13*ORÇAMENTO!$AF$7)*OFFSET(ORÇAMENTO!$W$15,ROW(AC53)-ROW(AC$15),0),15-13*ORÇAMENTO!$AF$11)),0)</f>
        <v>0</v>
      </c>
      <c r="AD53" s="545">
        <f ca="1">IF(AND($D53="Serviço",AD$12&lt;&gt;0,$H53&gt;0,OR(AUTOEVENTO&lt;&gt;"manual",$M53&lt;&gt;1)),
IF(Import.TipoArredondamento&lt;&gt;"TransfereGOV",
ROUND(OFFSET($P53,0,AD$13),15-13*ORÇAMENTO!$AF$7)/$H53*OFFSET(ORÇAMENTO!$X$15,ROW(AD53)-ROW(AD$15),0),
ROUND(ROUND(OFFSET($P53,0,AD$13),15-13*ORÇAMENTO!$AF$7)*OFFSET(ORÇAMENTO!$W$15,ROW(AD53)-ROW(AD$15),0),15-13*ORÇAMENTO!$AF$11)),0)</f>
        <v>0</v>
      </c>
      <c r="AE53" s="545">
        <f ca="1">IF(AND($D53="Serviço",AE$12&lt;&gt;0,$H53&gt;0,OR(AUTOEVENTO&lt;&gt;"manual",$M53&lt;&gt;1)),
IF(Import.TipoArredondamento&lt;&gt;"TransfereGOV",
ROUND(OFFSET($P53,0,AE$13),15-13*ORÇAMENTO!$AF$7)/$H53*OFFSET(ORÇAMENTO!$X$15,ROW(AE53)-ROW(AE$15),0),
ROUND(ROUND(OFFSET($P53,0,AE$13),15-13*ORÇAMENTO!$AF$7)*OFFSET(ORÇAMENTO!$W$15,ROW(AE53)-ROW(AE$15),0),15-13*ORÇAMENTO!$AF$11)),0)</f>
        <v>0</v>
      </c>
      <c r="AF53" s="545">
        <f ca="1">IF(AND($D53="Serviço",AF$12&lt;&gt;0,$H53&gt;0,OR(AUTOEVENTO&lt;&gt;"manual",$M53&lt;&gt;1)),
IF(Import.TipoArredondamento&lt;&gt;"TransfereGOV",
ROUND(OFFSET($P53,0,AF$13),15-13*ORÇAMENTO!$AF$7)/$H53*OFFSET(ORÇAMENTO!$X$15,ROW(AF53)-ROW(AF$15),0),
ROUND(ROUND(OFFSET($P53,0,AF$13),15-13*ORÇAMENTO!$AF$7)*OFFSET(ORÇAMENTO!$W$15,ROW(AF53)-ROW(AF$15),0),15-13*ORÇAMENTO!$AF$11)),0)</f>
        <v>0</v>
      </c>
      <c r="AG53" s="545">
        <f ca="1">IF(AND($D53="Serviço",AG$12&lt;&gt;0,$H53&gt;0,OR(AUTOEVENTO&lt;&gt;"manual",$M53&lt;&gt;1)),
IF(Import.TipoArredondamento&lt;&gt;"TransfereGOV",
ROUND(OFFSET($P53,0,AG$13),15-13*ORÇAMENTO!$AF$7)/$H53*OFFSET(ORÇAMENTO!$X$15,ROW(AG53)-ROW(AG$15),0),
ROUND(ROUND(OFFSET($P53,0,AG$13),15-13*ORÇAMENTO!$AF$7)*OFFSET(ORÇAMENTO!$W$15,ROW(AG53)-ROW(AG$15),0),15-13*ORÇAMENTO!$AF$11)),0)</f>
        <v>0</v>
      </c>
      <c r="AH53" s="545">
        <f ca="1">IF(AND($D53="Serviço",AH$12&lt;&gt;0,$H53&gt;0,OR(AUTOEVENTO&lt;&gt;"manual",$M53&lt;&gt;1)),
IF(Import.TipoArredondamento&lt;&gt;"TransfereGOV",
ROUND(OFFSET($P53,0,AH$13),15-13*ORÇAMENTO!$AF$7)/$H53*OFFSET(ORÇAMENTO!$X$15,ROW(AH53)-ROW(AH$15),0),
ROUND(ROUND(OFFSET($P53,0,AH$13),15-13*ORÇAMENTO!$AF$7)*OFFSET(ORÇAMENTO!$W$15,ROW(AH53)-ROW(AH$15),0),15-13*ORÇAMENTO!$AF$11)),0)</f>
        <v>0</v>
      </c>
      <c r="AI53" s="545">
        <f ca="1">IF(AND($D53="Serviço",AI$12&lt;&gt;0,$H53&gt;0,OR(AUTOEVENTO&lt;&gt;"manual",$M53&lt;&gt;1)),
IF(Import.TipoArredondamento&lt;&gt;"TransfereGOV",
ROUND(OFFSET($P53,0,AI$13),15-13*ORÇAMENTO!$AF$7)/$H53*OFFSET(ORÇAMENTO!$X$15,ROW(AI53)-ROW(AI$15),0),
ROUND(ROUND(OFFSET($P53,0,AI$13),15-13*ORÇAMENTO!$AF$7)*OFFSET(ORÇAMENTO!$W$15,ROW(AI53)-ROW(AI$15),0),15-13*ORÇAMENTO!$AF$11)),0)</f>
        <v>0</v>
      </c>
      <c r="AJ53" s="545">
        <f ca="1">IF(AND($D53="Serviço",AJ$12&lt;&gt;0,$H53&gt;0,OR(AUTOEVENTO&lt;&gt;"manual",$M53&lt;&gt;1)),
IF(Import.TipoArredondamento&lt;&gt;"TransfereGOV",
ROUND(OFFSET($P53,0,AJ$13),15-13*ORÇAMENTO!$AF$7)/$H53*OFFSET(ORÇAMENTO!$X$15,ROW(AJ53)-ROW(AJ$15),0),
ROUND(ROUND(OFFSET($P53,0,AJ$13),15-13*ORÇAMENTO!$AF$7)*OFFSET(ORÇAMENTO!$W$15,ROW(AJ53)-ROW(AJ$15),0),15-13*ORÇAMENTO!$AF$11)),0)</f>
        <v>0</v>
      </c>
      <c r="AK53" s="546">
        <f ca="1">IF(AND($D53="Serviço",AK$12&lt;&gt;0,$H53&gt;0,OR(AUTOEVENTO&lt;&gt;"manual",$M53&lt;&gt;1)),
IF(Import.TipoArredondamento&lt;&gt;"TransfereGOV",
ROUND(OFFSET($P53,0,AK$13),15-13*ORÇAMENTO!$AF$7)/$H53*OFFSET(ORÇAMENTO!$X$15,ROW(AK53)-ROW(AK$15),0),
ROUND(ROUND(OFFSET($P53,0,AK$13),15-13*ORÇAMENTO!$AF$7)*OFFSET(ORÇAMENTO!$W$15,ROW(AK53)-ROW(AK$15),0),15-13*ORÇAMENTO!$AF$11)),0)</f>
        <v>0</v>
      </c>
      <c r="AM53" s="181">
        <f ca="1">IF($D53&lt;&gt;"Serviço",0,IF(AND(AUTOEVENTO="Manual",$M53=1),0,IF(OFFSET(CRONOPLE!$F$14,$M53,AM$13)="",10^12,OFFSET(CRONOPLE!$F$14,$M53,AM$13))))</f>
        <v>1000000000000</v>
      </c>
      <c r="AN53" s="181">
        <f ca="1">IF($D53&lt;&gt;"Serviço",0,IF(AND(AUTOEVENTO="Manual",$M53=1),0,IF(OFFSET(CRONOPLE!$F$14,$M53,AN$13)="",10^12,OFFSET(CRONOPLE!$F$14,$M53,AN$13))))</f>
        <v>1000000000000</v>
      </c>
      <c r="AO53" s="181">
        <f ca="1">IF($D53&lt;&gt;"Serviço",0,IF(AND(AUTOEVENTO="Manual",$M53=1),0,IF(OFFSET(CRONOPLE!$F$14,$M53,AO$13)="",10^12,OFFSET(CRONOPLE!$F$14,$M53,AO$13))))</f>
        <v>1000000000000</v>
      </c>
      <c r="AP53" s="181">
        <f ca="1">IF($D53&lt;&gt;"Serviço",0,IF(AND(AUTOEVENTO="Manual",$M53=1),0,IF(OFFSET(CRONOPLE!$F$14,$M53,AP$13)="",10^12,OFFSET(CRONOPLE!$F$14,$M53,AP$13))))</f>
        <v>1000000000000</v>
      </c>
      <c r="AQ53" s="181">
        <f ca="1">IF($D53&lt;&gt;"Serviço",0,IF(AND(AUTOEVENTO="Manual",$M53=1),0,IF(OFFSET(CRONOPLE!$F$14,$M53,AQ$13)="",10^12,OFFSET(CRONOPLE!$F$14,$M53,AQ$13))))</f>
        <v>1000000000000</v>
      </c>
      <c r="AR53" s="181">
        <f ca="1">IF($D53&lt;&gt;"Serviço",0,IF(AND(AUTOEVENTO="Manual",$M53=1),0,IF(OFFSET(CRONOPLE!$F$14,$M53,AR$13)="",10^12,OFFSET(CRONOPLE!$F$14,$M53,AR$13))))</f>
        <v>1000000000000</v>
      </c>
      <c r="AS53" s="181">
        <f ca="1">IF($D53&lt;&gt;"Serviço",0,IF(AND(AUTOEVENTO="Manual",$M53=1),0,IF(OFFSET(CRONOPLE!$F$14,$M53,AS$13)="",10^12,OFFSET(CRONOPLE!$F$14,$M53,AS$13))))</f>
        <v>1000000000000</v>
      </c>
      <c r="AT53" s="181">
        <f ca="1">IF($D53&lt;&gt;"Serviço",0,IF(AND(AUTOEVENTO="Manual",$M53=1),0,IF(OFFSET(CRONOPLE!$F$14,$M53,AT$13)="",10^12,OFFSET(CRONOPLE!$F$14,$M53,AT$13))))</f>
        <v>1000000000000</v>
      </c>
      <c r="AU53" s="181">
        <f ca="1">IF($D53&lt;&gt;"Serviço",0,IF(AND(AUTOEVENTO="Manual",$M53=1),0,IF(OFFSET(CRONOPLE!$F$14,$M53,AU$13)="",10^12,OFFSET(CRONOPLE!$F$14,$M53,AU$13))))</f>
        <v>1000000000000</v>
      </c>
      <c r="AV53" s="181">
        <f ca="1">IF($D53&lt;&gt;"Serviço",0,IF(AND(AUTOEVENTO="Manual",$M53=1),0,IF(OFFSET(CRONOPLE!$F$14,$M53,AV$13)="",10^12,OFFSET(CRONOPLE!$F$14,$M53,AV$13))))</f>
        <v>1000000000000</v>
      </c>
      <c r="AX53" s="182">
        <f ca="1">IF($D53&lt;&gt;"Serviço",0,IF(OR(AND(AUTOEVENTO="Manual",$M53=1),$M53&gt;(ROW(PLE.lastrow)-ROW(PLE.firstrow))),0,IF(OFFSET(PLE!$G$14,$M53,AX$13)="",10^12,OFFSET(PLE!$G$14,$M53,AX$13))))</f>
        <v>1000000000000</v>
      </c>
      <c r="AY53" s="182">
        <f ca="1">IF($D53&lt;&gt;"Serviço",0,IF(OR(AND(AUTOEVENTO="Manual",$M53=1),$M53&gt;(ROW(PLE.lastrow)-ROW(PLE.firstrow))),0,IF(OFFSET(PLE!$G$14,$M53,AY$13)="",10^12,OFFSET(PLE!$G$14,$M53,AY$13))))</f>
        <v>1000000000000</v>
      </c>
      <c r="AZ53" s="182">
        <f ca="1">IF($D53&lt;&gt;"Serviço",0,IF(OR(AND(AUTOEVENTO="Manual",$M53=1),$M53&gt;(ROW(PLE.lastrow)-ROW(PLE.firstrow))),0,IF(OFFSET(PLE!$G$14,$M53,AZ$13)="",10^12,OFFSET(PLE!$G$14,$M53,AZ$13))))</f>
        <v>1000000000000</v>
      </c>
      <c r="BA53" s="182">
        <f ca="1">IF($D53&lt;&gt;"Serviço",0,IF(OR(AND(AUTOEVENTO="Manual",$M53=1),$M53&gt;(ROW(PLE.lastrow)-ROW(PLE.firstrow))),0,IF(OFFSET(PLE!$G$14,$M53,BA$13)="",10^12,OFFSET(PLE!$G$14,$M53,BA$13))))</f>
        <v>1000000000000</v>
      </c>
      <c r="BB53" s="182">
        <f ca="1">IF($D53&lt;&gt;"Serviço",0,IF(OR(AND(AUTOEVENTO="Manual",$M53=1),$M53&gt;(ROW(PLE.lastrow)-ROW(PLE.firstrow))),0,IF(OFFSET(PLE!$G$14,$M53,BB$13)="",10^12,OFFSET(PLE!$G$14,$M53,BB$13))))</f>
        <v>1000000000000</v>
      </c>
      <c r="BC53" s="182">
        <f ca="1">IF($D53&lt;&gt;"Serviço",0,IF(OR(AND(AUTOEVENTO="Manual",$M53=1),$M53&gt;(ROW(PLE.lastrow)-ROW(PLE.firstrow))),0,IF(OFFSET(PLE!$G$14,$M53,BC$13)="",10^12,OFFSET(PLE!$G$14,$M53,BC$13))))</f>
        <v>1000000000000</v>
      </c>
      <c r="BD53" s="182">
        <f ca="1">IF($D53&lt;&gt;"Serviço",0,IF(OR(AND(AUTOEVENTO="Manual",$M53=1),$M53&gt;(ROW(PLE.lastrow)-ROW(PLE.firstrow))),0,IF(OFFSET(PLE!$G$14,$M53,BD$13)="",10^12,OFFSET(PLE!$G$14,$M53,BD$13))))</f>
        <v>1000000000000</v>
      </c>
      <c r="BE53" s="182">
        <f ca="1">IF($D53&lt;&gt;"Serviço",0,IF(OR(AND(AUTOEVENTO="Manual",$M53=1),$M53&gt;(ROW(PLE.lastrow)-ROW(PLE.firstrow))),0,IF(OFFSET(PLE!$G$14,$M53,BE$13)="",10^12,OFFSET(PLE!$G$14,$M53,BE$13))))</f>
        <v>1000000000000</v>
      </c>
      <c r="BF53" s="182">
        <f ca="1">IF($D53&lt;&gt;"Serviço",0,IF(OR(AND(AUTOEVENTO="Manual",$M53=1),$M53&gt;(ROW(PLE.lastrow)-ROW(PLE.firstrow))),0,IF(OFFSET(PLE!$G$14,$M53,BF$13)="",10^12,OFFSET(PLE!$G$14,$M53,BF$13))))</f>
        <v>1000000000000</v>
      </c>
      <c r="BG53" s="182">
        <f ca="1">IF($D53&lt;&gt;"Serviço",0,IF(OR(AND(AUTOEVENTO="Manual",$M53=1),$M53&gt;(ROW(PLE.lastrow)-ROW(PLE.firstrow))),0,IF(OFFSET(PLE!$G$14,$M53,BG$13)="",10^12,OFFSET(PLE!$G$14,$M53,BG$13))))</f>
        <v>1000000000000</v>
      </c>
    </row>
    <row r="54" spans="1:59" ht="25.5" x14ac:dyDescent="0.2">
      <c r="A54" s="7" t="str">
        <f t="shared" ca="1" si="8"/>
        <v>20</v>
      </c>
      <c r="B54" s="7" t="str">
        <f ca="1">OFFSET(ORÇAMENTO!C$15,ROW(B54)-ROW(B$15),0)</f>
        <v>S</v>
      </c>
      <c r="C54" s="7" t="str">
        <f ca="1">OFFSET(ORÇAMENTO!L$15,ROW(C54)-ROW(C$15),0)</f>
        <v/>
      </c>
      <c r="D54" s="118" t="str">
        <f ca="1">OFFSET(ORÇAMENTO!N$15,ROW(D54)-ROW(D$15),0)</f>
        <v>Serviço</v>
      </c>
      <c r="E54" s="119" t="str">
        <f ca="1">OFFSET(ORÇAMENTO!O$15,ROW(E54)-ROW(E$15),0)</f>
        <v>-</v>
      </c>
      <c r="F54" s="172" t="str">
        <f ca="1">OFFSET(ORÇAMENTO!R$15,ROW(F54)-ROW(F$15),0)</f>
        <v>(abra o arquivo 'Referência 02-2025.xlsm)</v>
      </c>
      <c r="G54" s="173" t="str">
        <f ca="1">IF($D54&lt;&gt;"Serviço","",OFFSET(ORÇAMENTO!S$15,ROW(G54)-ROW(G$15),0))</f>
        <v>-</v>
      </c>
      <c r="H54" s="124">
        <f ca="1">IF($D54&lt;&gt;"Serviço",0,IF(ACOMPANHAMENTO="BM",ROUND(OFFSET(ORÇAMENTO!AJ$15,ROW(H54)-ROW(H$15),0),15-13*ORÇAMENTO!$AF$7),SUMPRODUCT(($Q$12:$AA$12&lt;&gt;"")*ROUND($Q54:$AA54,15-13*ORÇAMENTO!$AF$7))))</f>
        <v>608.95000000000005</v>
      </c>
      <c r="I54" s="561" t="s">
        <v>890</v>
      </c>
      <c r="K54" s="174"/>
      <c r="L54" s="175" t="s">
        <v>255</v>
      </c>
      <c r="M54" s="176">
        <f ca="1">IF($D54&lt;&gt;"Serviço","",IF(AUTOEVENTO="manual",$A54,IF(ISERROR(MATCH($A54,$A$15:OFFSET($A54,-1,0),0)),MAX($M$15:OFFSET(M54,-1,0))+1,INDEX($M$15:OFFSET(M54,-1,0),MATCH($A54,$A$15:OFFSET($A54,-1,0),0)))))</f>
        <v>4</v>
      </c>
      <c r="N54" s="177" t="str">
        <f ca="1">IF($D54&lt;&gt;"Serviço","",IF(AUTOEVENTO="Manual",IF($A54=0,"&lt;-- defina o número do agrupador",OFFSET(EVENTOS!$D$14,$A54,0)),OFFSET($F$15,$A54,0)))</f>
        <v>FUNDAÇÕES</v>
      </c>
      <c r="O54" s="178"/>
      <c r="Q54" s="178"/>
      <c r="R54" s="179"/>
      <c r="S54" s="179"/>
      <c r="T54" s="179"/>
      <c r="U54" s="179"/>
      <c r="V54" s="179"/>
      <c r="W54" s="179"/>
      <c r="X54" s="179"/>
      <c r="Y54" s="179"/>
      <c r="Z54" s="180"/>
      <c r="AB54" s="544">
        <f ca="1">IF(AND($D54="Serviço",AB$12&lt;&gt;0,$H54&gt;0,OR(AUTOEVENTO&lt;&gt;"manual",$M54&lt;&gt;1)),
IF(Import.TipoArredondamento&lt;&gt;"TransfereGOV",
ROUND(OFFSET($P54,0,AB$13),15-13*ORÇAMENTO!$AF$7)/$H54*OFFSET(ORÇAMENTO!$X$15,ROW(AB54)-ROW(AB$15),0),
ROUND(ROUND(OFFSET($P54,0,AB$13),15-13*ORÇAMENTO!$AF$7)*OFFSET(ORÇAMENTO!$W$15,ROW(AB54)-ROW(AB$15),0),15-13*ORÇAMENTO!$AF$11)),0)</f>
        <v>0</v>
      </c>
      <c r="AC54" s="545">
        <f ca="1">IF(AND($D54="Serviço",AC$12&lt;&gt;0,$H54&gt;0,OR(AUTOEVENTO&lt;&gt;"manual",$M54&lt;&gt;1)),
IF(Import.TipoArredondamento&lt;&gt;"TransfereGOV",
ROUND(OFFSET($P54,0,AC$13),15-13*ORÇAMENTO!$AF$7)/$H54*OFFSET(ORÇAMENTO!$X$15,ROW(AC54)-ROW(AC$15),0),
ROUND(ROUND(OFFSET($P54,0,AC$13),15-13*ORÇAMENTO!$AF$7)*OFFSET(ORÇAMENTO!$W$15,ROW(AC54)-ROW(AC$15),0),15-13*ORÇAMENTO!$AF$11)),0)</f>
        <v>0</v>
      </c>
      <c r="AD54" s="545">
        <f ca="1">IF(AND($D54="Serviço",AD$12&lt;&gt;0,$H54&gt;0,OR(AUTOEVENTO&lt;&gt;"manual",$M54&lt;&gt;1)),
IF(Import.TipoArredondamento&lt;&gt;"TransfereGOV",
ROUND(OFFSET($P54,0,AD$13),15-13*ORÇAMENTO!$AF$7)/$H54*OFFSET(ORÇAMENTO!$X$15,ROW(AD54)-ROW(AD$15),0),
ROUND(ROUND(OFFSET($P54,0,AD$13),15-13*ORÇAMENTO!$AF$7)*OFFSET(ORÇAMENTO!$W$15,ROW(AD54)-ROW(AD$15),0),15-13*ORÇAMENTO!$AF$11)),0)</f>
        <v>0</v>
      </c>
      <c r="AE54" s="545">
        <f ca="1">IF(AND($D54="Serviço",AE$12&lt;&gt;0,$H54&gt;0,OR(AUTOEVENTO&lt;&gt;"manual",$M54&lt;&gt;1)),
IF(Import.TipoArredondamento&lt;&gt;"TransfereGOV",
ROUND(OFFSET($P54,0,AE$13),15-13*ORÇAMENTO!$AF$7)/$H54*OFFSET(ORÇAMENTO!$X$15,ROW(AE54)-ROW(AE$15),0),
ROUND(ROUND(OFFSET($P54,0,AE$13),15-13*ORÇAMENTO!$AF$7)*OFFSET(ORÇAMENTO!$W$15,ROW(AE54)-ROW(AE$15),0),15-13*ORÇAMENTO!$AF$11)),0)</f>
        <v>0</v>
      </c>
      <c r="AF54" s="545">
        <f ca="1">IF(AND($D54="Serviço",AF$12&lt;&gt;0,$H54&gt;0,OR(AUTOEVENTO&lt;&gt;"manual",$M54&lt;&gt;1)),
IF(Import.TipoArredondamento&lt;&gt;"TransfereGOV",
ROUND(OFFSET($P54,0,AF$13),15-13*ORÇAMENTO!$AF$7)/$H54*OFFSET(ORÇAMENTO!$X$15,ROW(AF54)-ROW(AF$15),0),
ROUND(ROUND(OFFSET($P54,0,AF$13),15-13*ORÇAMENTO!$AF$7)*OFFSET(ORÇAMENTO!$W$15,ROW(AF54)-ROW(AF$15),0),15-13*ORÇAMENTO!$AF$11)),0)</f>
        <v>0</v>
      </c>
      <c r="AG54" s="545">
        <f ca="1">IF(AND($D54="Serviço",AG$12&lt;&gt;0,$H54&gt;0,OR(AUTOEVENTO&lt;&gt;"manual",$M54&lt;&gt;1)),
IF(Import.TipoArredondamento&lt;&gt;"TransfereGOV",
ROUND(OFFSET($P54,0,AG$13),15-13*ORÇAMENTO!$AF$7)/$H54*OFFSET(ORÇAMENTO!$X$15,ROW(AG54)-ROW(AG$15),0),
ROUND(ROUND(OFFSET($P54,0,AG$13),15-13*ORÇAMENTO!$AF$7)*OFFSET(ORÇAMENTO!$W$15,ROW(AG54)-ROW(AG$15),0),15-13*ORÇAMENTO!$AF$11)),0)</f>
        <v>0</v>
      </c>
      <c r="AH54" s="545">
        <f ca="1">IF(AND($D54="Serviço",AH$12&lt;&gt;0,$H54&gt;0,OR(AUTOEVENTO&lt;&gt;"manual",$M54&lt;&gt;1)),
IF(Import.TipoArredondamento&lt;&gt;"TransfereGOV",
ROUND(OFFSET($P54,0,AH$13),15-13*ORÇAMENTO!$AF$7)/$H54*OFFSET(ORÇAMENTO!$X$15,ROW(AH54)-ROW(AH$15),0),
ROUND(ROUND(OFFSET($P54,0,AH$13),15-13*ORÇAMENTO!$AF$7)*OFFSET(ORÇAMENTO!$W$15,ROW(AH54)-ROW(AH$15),0),15-13*ORÇAMENTO!$AF$11)),0)</f>
        <v>0</v>
      </c>
      <c r="AI54" s="545">
        <f ca="1">IF(AND($D54="Serviço",AI$12&lt;&gt;0,$H54&gt;0,OR(AUTOEVENTO&lt;&gt;"manual",$M54&lt;&gt;1)),
IF(Import.TipoArredondamento&lt;&gt;"TransfereGOV",
ROUND(OFFSET($P54,0,AI$13),15-13*ORÇAMENTO!$AF$7)/$H54*OFFSET(ORÇAMENTO!$X$15,ROW(AI54)-ROW(AI$15),0),
ROUND(ROUND(OFFSET($P54,0,AI$13),15-13*ORÇAMENTO!$AF$7)*OFFSET(ORÇAMENTO!$W$15,ROW(AI54)-ROW(AI$15),0),15-13*ORÇAMENTO!$AF$11)),0)</f>
        <v>0</v>
      </c>
      <c r="AJ54" s="545">
        <f ca="1">IF(AND($D54="Serviço",AJ$12&lt;&gt;0,$H54&gt;0,OR(AUTOEVENTO&lt;&gt;"manual",$M54&lt;&gt;1)),
IF(Import.TipoArredondamento&lt;&gt;"TransfereGOV",
ROUND(OFFSET($P54,0,AJ$13),15-13*ORÇAMENTO!$AF$7)/$H54*OFFSET(ORÇAMENTO!$X$15,ROW(AJ54)-ROW(AJ$15),0),
ROUND(ROUND(OFFSET($P54,0,AJ$13),15-13*ORÇAMENTO!$AF$7)*OFFSET(ORÇAMENTO!$W$15,ROW(AJ54)-ROW(AJ$15),0),15-13*ORÇAMENTO!$AF$11)),0)</f>
        <v>0</v>
      </c>
      <c r="AK54" s="546">
        <f ca="1">IF(AND($D54="Serviço",AK$12&lt;&gt;0,$H54&gt;0,OR(AUTOEVENTO&lt;&gt;"manual",$M54&lt;&gt;1)),
IF(Import.TipoArredondamento&lt;&gt;"TransfereGOV",
ROUND(OFFSET($P54,0,AK$13),15-13*ORÇAMENTO!$AF$7)/$H54*OFFSET(ORÇAMENTO!$X$15,ROW(AK54)-ROW(AK$15),0),
ROUND(ROUND(OFFSET($P54,0,AK$13),15-13*ORÇAMENTO!$AF$7)*OFFSET(ORÇAMENTO!$W$15,ROW(AK54)-ROW(AK$15),0),15-13*ORÇAMENTO!$AF$11)),0)</f>
        <v>0</v>
      </c>
      <c r="AM54" s="181">
        <f ca="1">IF($D54&lt;&gt;"Serviço",0,IF(AND(AUTOEVENTO="Manual",$M54=1),0,IF(OFFSET(CRONOPLE!$F$14,$M54,AM$13)="",10^12,OFFSET(CRONOPLE!$F$14,$M54,AM$13))))</f>
        <v>1000000000000</v>
      </c>
      <c r="AN54" s="181">
        <f ca="1">IF($D54&lt;&gt;"Serviço",0,IF(AND(AUTOEVENTO="Manual",$M54=1),0,IF(OFFSET(CRONOPLE!$F$14,$M54,AN$13)="",10^12,OFFSET(CRONOPLE!$F$14,$M54,AN$13))))</f>
        <v>1000000000000</v>
      </c>
      <c r="AO54" s="181">
        <f ca="1">IF($D54&lt;&gt;"Serviço",0,IF(AND(AUTOEVENTO="Manual",$M54=1),0,IF(OFFSET(CRONOPLE!$F$14,$M54,AO$13)="",10^12,OFFSET(CRONOPLE!$F$14,$M54,AO$13))))</f>
        <v>1000000000000</v>
      </c>
      <c r="AP54" s="181">
        <f ca="1">IF($D54&lt;&gt;"Serviço",0,IF(AND(AUTOEVENTO="Manual",$M54=1),0,IF(OFFSET(CRONOPLE!$F$14,$M54,AP$13)="",10^12,OFFSET(CRONOPLE!$F$14,$M54,AP$13))))</f>
        <v>1000000000000</v>
      </c>
      <c r="AQ54" s="181">
        <f ca="1">IF($D54&lt;&gt;"Serviço",0,IF(AND(AUTOEVENTO="Manual",$M54=1),0,IF(OFFSET(CRONOPLE!$F$14,$M54,AQ$13)="",10^12,OFFSET(CRONOPLE!$F$14,$M54,AQ$13))))</f>
        <v>1000000000000</v>
      </c>
      <c r="AR54" s="181">
        <f ca="1">IF($D54&lt;&gt;"Serviço",0,IF(AND(AUTOEVENTO="Manual",$M54=1),0,IF(OFFSET(CRONOPLE!$F$14,$M54,AR$13)="",10^12,OFFSET(CRONOPLE!$F$14,$M54,AR$13))))</f>
        <v>1000000000000</v>
      </c>
      <c r="AS54" s="181">
        <f ca="1">IF($D54&lt;&gt;"Serviço",0,IF(AND(AUTOEVENTO="Manual",$M54=1),0,IF(OFFSET(CRONOPLE!$F$14,$M54,AS$13)="",10^12,OFFSET(CRONOPLE!$F$14,$M54,AS$13))))</f>
        <v>1000000000000</v>
      </c>
      <c r="AT54" s="181">
        <f ca="1">IF($D54&lt;&gt;"Serviço",0,IF(AND(AUTOEVENTO="Manual",$M54=1),0,IF(OFFSET(CRONOPLE!$F$14,$M54,AT$13)="",10^12,OFFSET(CRONOPLE!$F$14,$M54,AT$13))))</f>
        <v>1000000000000</v>
      </c>
      <c r="AU54" s="181">
        <f ca="1">IF($D54&lt;&gt;"Serviço",0,IF(AND(AUTOEVENTO="Manual",$M54=1),0,IF(OFFSET(CRONOPLE!$F$14,$M54,AU$13)="",10^12,OFFSET(CRONOPLE!$F$14,$M54,AU$13))))</f>
        <v>1000000000000</v>
      </c>
      <c r="AV54" s="181">
        <f ca="1">IF($D54&lt;&gt;"Serviço",0,IF(AND(AUTOEVENTO="Manual",$M54=1),0,IF(OFFSET(CRONOPLE!$F$14,$M54,AV$13)="",10^12,OFFSET(CRONOPLE!$F$14,$M54,AV$13))))</f>
        <v>1000000000000</v>
      </c>
      <c r="AX54" s="182">
        <f ca="1">IF($D54&lt;&gt;"Serviço",0,IF(OR(AND(AUTOEVENTO="Manual",$M54=1),$M54&gt;(ROW(PLE.lastrow)-ROW(PLE.firstrow))),0,IF(OFFSET(PLE!$G$14,$M54,AX$13)="",10^12,OFFSET(PLE!$G$14,$M54,AX$13))))</f>
        <v>1000000000000</v>
      </c>
      <c r="AY54" s="182">
        <f ca="1">IF($D54&lt;&gt;"Serviço",0,IF(OR(AND(AUTOEVENTO="Manual",$M54=1),$M54&gt;(ROW(PLE.lastrow)-ROW(PLE.firstrow))),0,IF(OFFSET(PLE!$G$14,$M54,AY$13)="",10^12,OFFSET(PLE!$G$14,$M54,AY$13))))</f>
        <v>1000000000000</v>
      </c>
      <c r="AZ54" s="182">
        <f ca="1">IF($D54&lt;&gt;"Serviço",0,IF(OR(AND(AUTOEVENTO="Manual",$M54=1),$M54&gt;(ROW(PLE.lastrow)-ROW(PLE.firstrow))),0,IF(OFFSET(PLE!$G$14,$M54,AZ$13)="",10^12,OFFSET(PLE!$G$14,$M54,AZ$13))))</f>
        <v>1000000000000</v>
      </c>
      <c r="BA54" s="182">
        <f ca="1">IF($D54&lt;&gt;"Serviço",0,IF(OR(AND(AUTOEVENTO="Manual",$M54=1),$M54&gt;(ROW(PLE.lastrow)-ROW(PLE.firstrow))),0,IF(OFFSET(PLE!$G$14,$M54,BA$13)="",10^12,OFFSET(PLE!$G$14,$M54,BA$13))))</f>
        <v>1000000000000</v>
      </c>
      <c r="BB54" s="182">
        <f ca="1">IF($D54&lt;&gt;"Serviço",0,IF(OR(AND(AUTOEVENTO="Manual",$M54=1),$M54&gt;(ROW(PLE.lastrow)-ROW(PLE.firstrow))),0,IF(OFFSET(PLE!$G$14,$M54,BB$13)="",10^12,OFFSET(PLE!$G$14,$M54,BB$13))))</f>
        <v>1000000000000</v>
      </c>
      <c r="BC54" s="182">
        <f ca="1">IF($D54&lt;&gt;"Serviço",0,IF(OR(AND(AUTOEVENTO="Manual",$M54=1),$M54&gt;(ROW(PLE.lastrow)-ROW(PLE.firstrow))),0,IF(OFFSET(PLE!$G$14,$M54,BC$13)="",10^12,OFFSET(PLE!$G$14,$M54,BC$13))))</f>
        <v>1000000000000</v>
      </c>
      <c r="BD54" s="182">
        <f ca="1">IF($D54&lt;&gt;"Serviço",0,IF(OR(AND(AUTOEVENTO="Manual",$M54=1),$M54&gt;(ROW(PLE.lastrow)-ROW(PLE.firstrow))),0,IF(OFFSET(PLE!$G$14,$M54,BD$13)="",10^12,OFFSET(PLE!$G$14,$M54,BD$13))))</f>
        <v>1000000000000</v>
      </c>
      <c r="BE54" s="182">
        <f ca="1">IF($D54&lt;&gt;"Serviço",0,IF(OR(AND(AUTOEVENTO="Manual",$M54=1),$M54&gt;(ROW(PLE.lastrow)-ROW(PLE.firstrow))),0,IF(OFFSET(PLE!$G$14,$M54,BE$13)="",10^12,OFFSET(PLE!$G$14,$M54,BE$13))))</f>
        <v>1000000000000</v>
      </c>
      <c r="BF54" s="182">
        <f ca="1">IF($D54&lt;&gt;"Serviço",0,IF(OR(AND(AUTOEVENTO="Manual",$M54=1),$M54&gt;(ROW(PLE.lastrow)-ROW(PLE.firstrow))),0,IF(OFFSET(PLE!$G$14,$M54,BF$13)="",10^12,OFFSET(PLE!$G$14,$M54,BF$13))))</f>
        <v>1000000000000</v>
      </c>
      <c r="BG54" s="182">
        <f ca="1">IF($D54&lt;&gt;"Serviço",0,IF(OR(AND(AUTOEVENTO="Manual",$M54=1),$M54&gt;(ROW(PLE.lastrow)-ROW(PLE.firstrow))),0,IF(OFFSET(PLE!$G$14,$M54,BG$13)="",10^12,OFFSET(PLE!$G$14,$M54,BG$13))))</f>
        <v>1000000000000</v>
      </c>
    </row>
    <row r="55" spans="1:59" ht="38.25" x14ac:dyDescent="0.2">
      <c r="A55" s="7" t="str">
        <f t="shared" ca="1" si="8"/>
        <v>20</v>
      </c>
      <c r="B55" s="7" t="str">
        <f ca="1">OFFSET(ORÇAMENTO!C$15,ROW(B55)-ROW(B$15),0)</f>
        <v>S</v>
      </c>
      <c r="C55" s="7" t="str">
        <f ca="1">OFFSET(ORÇAMENTO!L$15,ROW(C55)-ROW(C$15),0)</f>
        <v/>
      </c>
      <c r="D55" s="118" t="str">
        <f ca="1">OFFSET(ORÇAMENTO!N$15,ROW(D55)-ROW(D$15),0)</f>
        <v>Serviço</v>
      </c>
      <c r="E55" s="119" t="str">
        <f ca="1">OFFSET(ORÇAMENTO!O$15,ROW(E55)-ROW(E$15),0)</f>
        <v>-</v>
      </c>
      <c r="F55" s="172" t="str">
        <f ca="1">OFFSET(ORÇAMENTO!R$15,ROW(F55)-ROW(F$15),0)</f>
        <v>(abra o arquivo 'Referência 02-2025.xlsm)</v>
      </c>
      <c r="G55" s="173" t="str">
        <f ca="1">IF($D55&lt;&gt;"Serviço","",OFFSET(ORÇAMENTO!S$15,ROW(G55)-ROW(G$15),0))</f>
        <v>-</v>
      </c>
      <c r="H55" s="124">
        <f ca="1">IF($D55&lt;&gt;"Serviço",0,IF(ACOMPANHAMENTO="BM",ROUND(OFFSET(ORÇAMENTO!AJ$15,ROW(H55)-ROW(H$15),0),15-13*ORÇAMENTO!$AF$7),SUMPRODUCT(($Q$12:$AA$12&lt;&gt;"")*ROUND($Q55:$AA55,15-13*ORÇAMENTO!$AF$7))))</f>
        <v>6.88</v>
      </c>
      <c r="I55" s="561" t="s">
        <v>890</v>
      </c>
      <c r="K55" s="174"/>
      <c r="L55" s="175" t="s">
        <v>255</v>
      </c>
      <c r="M55" s="176">
        <f ca="1">IF($D55&lt;&gt;"Serviço","",IF(AUTOEVENTO="manual",$A55,IF(ISERROR(MATCH($A55,$A$15:OFFSET($A55,-1,0),0)),MAX($M$15:OFFSET(M55,-1,0))+1,INDEX($M$15:OFFSET(M55,-1,0),MATCH($A55,$A$15:OFFSET($A55,-1,0),0)))))</f>
        <v>4</v>
      </c>
      <c r="N55" s="177" t="str">
        <f ca="1">IF($D55&lt;&gt;"Serviço","",IF(AUTOEVENTO="Manual",IF($A55=0,"&lt;-- defina o número do agrupador",OFFSET(EVENTOS!$D$14,$A55,0)),OFFSET($F$15,$A55,0)))</f>
        <v>FUNDAÇÕES</v>
      </c>
      <c r="O55" s="178"/>
      <c r="Q55" s="178"/>
      <c r="R55" s="179"/>
      <c r="S55" s="179"/>
      <c r="T55" s="179"/>
      <c r="U55" s="179"/>
      <c r="V55" s="179"/>
      <c r="W55" s="179"/>
      <c r="X55" s="179"/>
      <c r="Y55" s="179"/>
      <c r="Z55" s="180"/>
      <c r="AB55" s="544">
        <f ca="1">IF(AND($D55="Serviço",AB$12&lt;&gt;0,$H55&gt;0,OR(AUTOEVENTO&lt;&gt;"manual",$M55&lt;&gt;1)),
IF(Import.TipoArredondamento&lt;&gt;"TransfereGOV",
ROUND(OFFSET($P55,0,AB$13),15-13*ORÇAMENTO!$AF$7)/$H55*OFFSET(ORÇAMENTO!$X$15,ROW(AB55)-ROW(AB$15),0),
ROUND(ROUND(OFFSET($P55,0,AB$13),15-13*ORÇAMENTO!$AF$7)*OFFSET(ORÇAMENTO!$W$15,ROW(AB55)-ROW(AB$15),0),15-13*ORÇAMENTO!$AF$11)),0)</f>
        <v>0</v>
      </c>
      <c r="AC55" s="545">
        <f ca="1">IF(AND($D55="Serviço",AC$12&lt;&gt;0,$H55&gt;0,OR(AUTOEVENTO&lt;&gt;"manual",$M55&lt;&gt;1)),
IF(Import.TipoArredondamento&lt;&gt;"TransfereGOV",
ROUND(OFFSET($P55,0,AC$13),15-13*ORÇAMENTO!$AF$7)/$H55*OFFSET(ORÇAMENTO!$X$15,ROW(AC55)-ROW(AC$15),0),
ROUND(ROUND(OFFSET($P55,0,AC$13),15-13*ORÇAMENTO!$AF$7)*OFFSET(ORÇAMENTO!$W$15,ROW(AC55)-ROW(AC$15),0),15-13*ORÇAMENTO!$AF$11)),0)</f>
        <v>0</v>
      </c>
      <c r="AD55" s="545">
        <f ca="1">IF(AND($D55="Serviço",AD$12&lt;&gt;0,$H55&gt;0,OR(AUTOEVENTO&lt;&gt;"manual",$M55&lt;&gt;1)),
IF(Import.TipoArredondamento&lt;&gt;"TransfereGOV",
ROUND(OFFSET($P55,0,AD$13),15-13*ORÇAMENTO!$AF$7)/$H55*OFFSET(ORÇAMENTO!$X$15,ROW(AD55)-ROW(AD$15),0),
ROUND(ROUND(OFFSET($P55,0,AD$13),15-13*ORÇAMENTO!$AF$7)*OFFSET(ORÇAMENTO!$W$15,ROW(AD55)-ROW(AD$15),0),15-13*ORÇAMENTO!$AF$11)),0)</f>
        <v>0</v>
      </c>
      <c r="AE55" s="545">
        <f ca="1">IF(AND($D55="Serviço",AE$12&lt;&gt;0,$H55&gt;0,OR(AUTOEVENTO&lt;&gt;"manual",$M55&lt;&gt;1)),
IF(Import.TipoArredondamento&lt;&gt;"TransfereGOV",
ROUND(OFFSET($P55,0,AE$13),15-13*ORÇAMENTO!$AF$7)/$H55*OFFSET(ORÇAMENTO!$X$15,ROW(AE55)-ROW(AE$15),0),
ROUND(ROUND(OFFSET($P55,0,AE$13),15-13*ORÇAMENTO!$AF$7)*OFFSET(ORÇAMENTO!$W$15,ROW(AE55)-ROW(AE$15),0),15-13*ORÇAMENTO!$AF$11)),0)</f>
        <v>0</v>
      </c>
      <c r="AF55" s="545">
        <f ca="1">IF(AND($D55="Serviço",AF$12&lt;&gt;0,$H55&gt;0,OR(AUTOEVENTO&lt;&gt;"manual",$M55&lt;&gt;1)),
IF(Import.TipoArredondamento&lt;&gt;"TransfereGOV",
ROUND(OFFSET($P55,0,AF$13),15-13*ORÇAMENTO!$AF$7)/$H55*OFFSET(ORÇAMENTO!$X$15,ROW(AF55)-ROW(AF$15),0),
ROUND(ROUND(OFFSET($P55,0,AF$13),15-13*ORÇAMENTO!$AF$7)*OFFSET(ORÇAMENTO!$W$15,ROW(AF55)-ROW(AF$15),0),15-13*ORÇAMENTO!$AF$11)),0)</f>
        <v>0</v>
      </c>
      <c r="AG55" s="545">
        <f ca="1">IF(AND($D55="Serviço",AG$12&lt;&gt;0,$H55&gt;0,OR(AUTOEVENTO&lt;&gt;"manual",$M55&lt;&gt;1)),
IF(Import.TipoArredondamento&lt;&gt;"TransfereGOV",
ROUND(OFFSET($P55,0,AG$13),15-13*ORÇAMENTO!$AF$7)/$H55*OFFSET(ORÇAMENTO!$X$15,ROW(AG55)-ROW(AG$15),0),
ROUND(ROUND(OFFSET($P55,0,AG$13),15-13*ORÇAMENTO!$AF$7)*OFFSET(ORÇAMENTO!$W$15,ROW(AG55)-ROW(AG$15),0),15-13*ORÇAMENTO!$AF$11)),0)</f>
        <v>0</v>
      </c>
      <c r="AH55" s="545">
        <f ca="1">IF(AND($D55="Serviço",AH$12&lt;&gt;0,$H55&gt;0,OR(AUTOEVENTO&lt;&gt;"manual",$M55&lt;&gt;1)),
IF(Import.TipoArredondamento&lt;&gt;"TransfereGOV",
ROUND(OFFSET($P55,0,AH$13),15-13*ORÇAMENTO!$AF$7)/$H55*OFFSET(ORÇAMENTO!$X$15,ROW(AH55)-ROW(AH$15),0),
ROUND(ROUND(OFFSET($P55,0,AH$13),15-13*ORÇAMENTO!$AF$7)*OFFSET(ORÇAMENTO!$W$15,ROW(AH55)-ROW(AH$15),0),15-13*ORÇAMENTO!$AF$11)),0)</f>
        <v>0</v>
      </c>
      <c r="AI55" s="545">
        <f ca="1">IF(AND($D55="Serviço",AI$12&lt;&gt;0,$H55&gt;0,OR(AUTOEVENTO&lt;&gt;"manual",$M55&lt;&gt;1)),
IF(Import.TipoArredondamento&lt;&gt;"TransfereGOV",
ROUND(OFFSET($P55,0,AI$13),15-13*ORÇAMENTO!$AF$7)/$H55*OFFSET(ORÇAMENTO!$X$15,ROW(AI55)-ROW(AI$15),0),
ROUND(ROUND(OFFSET($P55,0,AI$13),15-13*ORÇAMENTO!$AF$7)*OFFSET(ORÇAMENTO!$W$15,ROW(AI55)-ROW(AI$15),0),15-13*ORÇAMENTO!$AF$11)),0)</f>
        <v>0</v>
      </c>
      <c r="AJ55" s="545">
        <f ca="1">IF(AND($D55="Serviço",AJ$12&lt;&gt;0,$H55&gt;0,OR(AUTOEVENTO&lt;&gt;"manual",$M55&lt;&gt;1)),
IF(Import.TipoArredondamento&lt;&gt;"TransfereGOV",
ROUND(OFFSET($P55,0,AJ$13),15-13*ORÇAMENTO!$AF$7)/$H55*OFFSET(ORÇAMENTO!$X$15,ROW(AJ55)-ROW(AJ$15),0),
ROUND(ROUND(OFFSET($P55,0,AJ$13),15-13*ORÇAMENTO!$AF$7)*OFFSET(ORÇAMENTO!$W$15,ROW(AJ55)-ROW(AJ$15),0),15-13*ORÇAMENTO!$AF$11)),0)</f>
        <v>0</v>
      </c>
      <c r="AK55" s="546">
        <f ca="1">IF(AND($D55="Serviço",AK$12&lt;&gt;0,$H55&gt;0,OR(AUTOEVENTO&lt;&gt;"manual",$M55&lt;&gt;1)),
IF(Import.TipoArredondamento&lt;&gt;"TransfereGOV",
ROUND(OFFSET($P55,0,AK$13),15-13*ORÇAMENTO!$AF$7)/$H55*OFFSET(ORÇAMENTO!$X$15,ROW(AK55)-ROW(AK$15),0),
ROUND(ROUND(OFFSET($P55,0,AK$13),15-13*ORÇAMENTO!$AF$7)*OFFSET(ORÇAMENTO!$W$15,ROW(AK55)-ROW(AK$15),0),15-13*ORÇAMENTO!$AF$11)),0)</f>
        <v>0</v>
      </c>
      <c r="AM55" s="181">
        <f ca="1">IF($D55&lt;&gt;"Serviço",0,IF(AND(AUTOEVENTO="Manual",$M55=1),0,IF(OFFSET(CRONOPLE!$F$14,$M55,AM$13)="",10^12,OFFSET(CRONOPLE!$F$14,$M55,AM$13))))</f>
        <v>1000000000000</v>
      </c>
      <c r="AN55" s="181">
        <f ca="1">IF($D55&lt;&gt;"Serviço",0,IF(AND(AUTOEVENTO="Manual",$M55=1),0,IF(OFFSET(CRONOPLE!$F$14,$M55,AN$13)="",10^12,OFFSET(CRONOPLE!$F$14,$M55,AN$13))))</f>
        <v>1000000000000</v>
      </c>
      <c r="AO55" s="181">
        <f ca="1">IF($D55&lt;&gt;"Serviço",0,IF(AND(AUTOEVENTO="Manual",$M55=1),0,IF(OFFSET(CRONOPLE!$F$14,$M55,AO$13)="",10^12,OFFSET(CRONOPLE!$F$14,$M55,AO$13))))</f>
        <v>1000000000000</v>
      </c>
      <c r="AP55" s="181">
        <f ca="1">IF($D55&lt;&gt;"Serviço",0,IF(AND(AUTOEVENTO="Manual",$M55=1),0,IF(OFFSET(CRONOPLE!$F$14,$M55,AP$13)="",10^12,OFFSET(CRONOPLE!$F$14,$M55,AP$13))))</f>
        <v>1000000000000</v>
      </c>
      <c r="AQ55" s="181">
        <f ca="1">IF($D55&lt;&gt;"Serviço",0,IF(AND(AUTOEVENTO="Manual",$M55=1),0,IF(OFFSET(CRONOPLE!$F$14,$M55,AQ$13)="",10^12,OFFSET(CRONOPLE!$F$14,$M55,AQ$13))))</f>
        <v>1000000000000</v>
      </c>
      <c r="AR55" s="181">
        <f ca="1">IF($D55&lt;&gt;"Serviço",0,IF(AND(AUTOEVENTO="Manual",$M55=1),0,IF(OFFSET(CRONOPLE!$F$14,$M55,AR$13)="",10^12,OFFSET(CRONOPLE!$F$14,$M55,AR$13))))</f>
        <v>1000000000000</v>
      </c>
      <c r="AS55" s="181">
        <f ca="1">IF($D55&lt;&gt;"Serviço",0,IF(AND(AUTOEVENTO="Manual",$M55=1),0,IF(OFFSET(CRONOPLE!$F$14,$M55,AS$13)="",10^12,OFFSET(CRONOPLE!$F$14,$M55,AS$13))))</f>
        <v>1000000000000</v>
      </c>
      <c r="AT55" s="181">
        <f ca="1">IF($D55&lt;&gt;"Serviço",0,IF(AND(AUTOEVENTO="Manual",$M55=1),0,IF(OFFSET(CRONOPLE!$F$14,$M55,AT$13)="",10^12,OFFSET(CRONOPLE!$F$14,$M55,AT$13))))</f>
        <v>1000000000000</v>
      </c>
      <c r="AU55" s="181">
        <f ca="1">IF($D55&lt;&gt;"Serviço",0,IF(AND(AUTOEVENTO="Manual",$M55=1),0,IF(OFFSET(CRONOPLE!$F$14,$M55,AU$13)="",10^12,OFFSET(CRONOPLE!$F$14,$M55,AU$13))))</f>
        <v>1000000000000</v>
      </c>
      <c r="AV55" s="181">
        <f ca="1">IF($D55&lt;&gt;"Serviço",0,IF(AND(AUTOEVENTO="Manual",$M55=1),0,IF(OFFSET(CRONOPLE!$F$14,$M55,AV$13)="",10^12,OFFSET(CRONOPLE!$F$14,$M55,AV$13))))</f>
        <v>1000000000000</v>
      </c>
      <c r="AX55" s="182">
        <f ca="1">IF($D55&lt;&gt;"Serviço",0,IF(OR(AND(AUTOEVENTO="Manual",$M55=1),$M55&gt;(ROW(PLE.lastrow)-ROW(PLE.firstrow))),0,IF(OFFSET(PLE!$G$14,$M55,AX$13)="",10^12,OFFSET(PLE!$G$14,$M55,AX$13))))</f>
        <v>1000000000000</v>
      </c>
      <c r="AY55" s="182">
        <f ca="1">IF($D55&lt;&gt;"Serviço",0,IF(OR(AND(AUTOEVENTO="Manual",$M55=1),$M55&gt;(ROW(PLE.lastrow)-ROW(PLE.firstrow))),0,IF(OFFSET(PLE!$G$14,$M55,AY$13)="",10^12,OFFSET(PLE!$G$14,$M55,AY$13))))</f>
        <v>1000000000000</v>
      </c>
      <c r="AZ55" s="182">
        <f ca="1">IF($D55&lt;&gt;"Serviço",0,IF(OR(AND(AUTOEVENTO="Manual",$M55=1),$M55&gt;(ROW(PLE.lastrow)-ROW(PLE.firstrow))),0,IF(OFFSET(PLE!$G$14,$M55,AZ$13)="",10^12,OFFSET(PLE!$G$14,$M55,AZ$13))))</f>
        <v>1000000000000</v>
      </c>
      <c r="BA55" s="182">
        <f ca="1">IF($D55&lt;&gt;"Serviço",0,IF(OR(AND(AUTOEVENTO="Manual",$M55=1),$M55&gt;(ROW(PLE.lastrow)-ROW(PLE.firstrow))),0,IF(OFFSET(PLE!$G$14,$M55,BA$13)="",10^12,OFFSET(PLE!$G$14,$M55,BA$13))))</f>
        <v>1000000000000</v>
      </c>
      <c r="BB55" s="182">
        <f ca="1">IF($D55&lt;&gt;"Serviço",0,IF(OR(AND(AUTOEVENTO="Manual",$M55=1),$M55&gt;(ROW(PLE.lastrow)-ROW(PLE.firstrow))),0,IF(OFFSET(PLE!$G$14,$M55,BB$13)="",10^12,OFFSET(PLE!$G$14,$M55,BB$13))))</f>
        <v>1000000000000</v>
      </c>
      <c r="BC55" s="182">
        <f ca="1">IF($D55&lt;&gt;"Serviço",0,IF(OR(AND(AUTOEVENTO="Manual",$M55=1),$M55&gt;(ROW(PLE.lastrow)-ROW(PLE.firstrow))),0,IF(OFFSET(PLE!$G$14,$M55,BC$13)="",10^12,OFFSET(PLE!$G$14,$M55,BC$13))))</f>
        <v>1000000000000</v>
      </c>
      <c r="BD55" s="182">
        <f ca="1">IF($D55&lt;&gt;"Serviço",0,IF(OR(AND(AUTOEVENTO="Manual",$M55=1),$M55&gt;(ROW(PLE.lastrow)-ROW(PLE.firstrow))),0,IF(OFFSET(PLE!$G$14,$M55,BD$13)="",10^12,OFFSET(PLE!$G$14,$M55,BD$13))))</f>
        <v>1000000000000</v>
      </c>
      <c r="BE55" s="182">
        <f ca="1">IF($D55&lt;&gt;"Serviço",0,IF(OR(AND(AUTOEVENTO="Manual",$M55=1),$M55&gt;(ROW(PLE.lastrow)-ROW(PLE.firstrow))),0,IF(OFFSET(PLE!$G$14,$M55,BE$13)="",10^12,OFFSET(PLE!$G$14,$M55,BE$13))))</f>
        <v>1000000000000</v>
      </c>
      <c r="BF55" s="182">
        <f ca="1">IF($D55&lt;&gt;"Serviço",0,IF(OR(AND(AUTOEVENTO="Manual",$M55=1),$M55&gt;(ROW(PLE.lastrow)-ROW(PLE.firstrow))),0,IF(OFFSET(PLE!$G$14,$M55,BF$13)="",10^12,OFFSET(PLE!$G$14,$M55,BF$13))))</f>
        <v>1000000000000</v>
      </c>
      <c r="BG55" s="182">
        <f ca="1">IF($D55&lt;&gt;"Serviço",0,IF(OR(AND(AUTOEVENTO="Manual",$M55=1),$M55&gt;(ROW(PLE.lastrow)-ROW(PLE.firstrow))),0,IF(OFFSET(PLE!$G$14,$M55,BG$13)="",10^12,OFFSET(PLE!$G$14,$M55,BG$13))))</f>
        <v>1000000000000</v>
      </c>
    </row>
    <row r="56" spans="1:59" ht="38.25" x14ac:dyDescent="0.2">
      <c r="A56" s="7" t="str">
        <f t="shared" ca="1" si="8"/>
        <v>20</v>
      </c>
      <c r="B56" s="7" t="str">
        <f ca="1">OFFSET(ORÇAMENTO!C$15,ROW(B56)-ROW(B$15),0)</f>
        <v>S</v>
      </c>
      <c r="C56" s="7" t="str">
        <f ca="1">OFFSET(ORÇAMENTO!L$15,ROW(C56)-ROW(C$15),0)</f>
        <v/>
      </c>
      <c r="D56" s="118" t="str">
        <f ca="1">OFFSET(ORÇAMENTO!N$15,ROW(D56)-ROW(D$15),0)</f>
        <v>Serviço</v>
      </c>
      <c r="E56" s="119" t="str">
        <f ca="1">OFFSET(ORÇAMENTO!O$15,ROW(E56)-ROW(E$15),0)</f>
        <v>-</v>
      </c>
      <c r="F56" s="172" t="str">
        <f ca="1">OFFSET(ORÇAMENTO!R$15,ROW(F56)-ROW(F$15),0)</f>
        <v>(abra o arquivo 'Referência 02-2025.xlsm)</v>
      </c>
      <c r="G56" s="173" t="str">
        <f ca="1">IF($D56&lt;&gt;"Serviço","",OFFSET(ORÇAMENTO!S$15,ROW(G56)-ROW(G$15),0))</f>
        <v>-</v>
      </c>
      <c r="H56" s="124">
        <f ca="1">IF($D56&lt;&gt;"Serviço",0,IF(ACOMPANHAMENTO="BM",ROUND(OFFSET(ORÇAMENTO!AJ$15,ROW(H56)-ROW(H$15),0),15-13*ORÇAMENTO!$AF$7),SUMPRODUCT(($Q$12:$AA$12&lt;&gt;"")*ROUND($Q56:$AA56,15-13*ORÇAMENTO!$AF$7))))</f>
        <v>10.130000000000001</v>
      </c>
      <c r="I56" s="561" t="s">
        <v>890</v>
      </c>
      <c r="K56" s="174"/>
      <c r="L56" s="175" t="s">
        <v>255</v>
      </c>
      <c r="M56" s="176">
        <f ca="1">IF($D56&lt;&gt;"Serviço","",IF(AUTOEVENTO="manual",$A56,IF(ISERROR(MATCH($A56,$A$15:OFFSET($A56,-1,0),0)),MAX($M$15:OFFSET(M56,-1,0))+1,INDEX($M$15:OFFSET(M56,-1,0),MATCH($A56,$A$15:OFFSET($A56,-1,0),0)))))</f>
        <v>4</v>
      </c>
      <c r="N56" s="177" t="str">
        <f ca="1">IF($D56&lt;&gt;"Serviço","",IF(AUTOEVENTO="Manual",IF($A56=0,"&lt;-- defina o número do agrupador",OFFSET(EVENTOS!$D$14,$A56,0)),OFFSET($F$15,$A56,0)))</f>
        <v>FUNDAÇÕES</v>
      </c>
      <c r="O56" s="178"/>
      <c r="Q56" s="178"/>
      <c r="R56" s="179"/>
      <c r="S56" s="179"/>
      <c r="T56" s="179"/>
      <c r="U56" s="179"/>
      <c r="V56" s="179"/>
      <c r="W56" s="179"/>
      <c r="X56" s="179"/>
      <c r="Y56" s="179"/>
      <c r="Z56" s="180"/>
      <c r="AB56" s="544">
        <f ca="1">IF(AND($D56="Serviço",AB$12&lt;&gt;0,$H56&gt;0,OR(AUTOEVENTO&lt;&gt;"manual",$M56&lt;&gt;1)),
IF(Import.TipoArredondamento&lt;&gt;"TransfereGOV",
ROUND(OFFSET($P56,0,AB$13),15-13*ORÇAMENTO!$AF$7)/$H56*OFFSET(ORÇAMENTO!$X$15,ROW(AB56)-ROW(AB$15),0),
ROUND(ROUND(OFFSET($P56,0,AB$13),15-13*ORÇAMENTO!$AF$7)*OFFSET(ORÇAMENTO!$W$15,ROW(AB56)-ROW(AB$15),0),15-13*ORÇAMENTO!$AF$11)),0)</f>
        <v>0</v>
      </c>
      <c r="AC56" s="545">
        <f ca="1">IF(AND($D56="Serviço",AC$12&lt;&gt;0,$H56&gt;0,OR(AUTOEVENTO&lt;&gt;"manual",$M56&lt;&gt;1)),
IF(Import.TipoArredondamento&lt;&gt;"TransfereGOV",
ROUND(OFFSET($P56,0,AC$13),15-13*ORÇAMENTO!$AF$7)/$H56*OFFSET(ORÇAMENTO!$X$15,ROW(AC56)-ROW(AC$15),0),
ROUND(ROUND(OFFSET($P56,0,AC$13),15-13*ORÇAMENTO!$AF$7)*OFFSET(ORÇAMENTO!$W$15,ROW(AC56)-ROW(AC$15),0),15-13*ORÇAMENTO!$AF$11)),0)</f>
        <v>0</v>
      </c>
      <c r="AD56" s="545">
        <f ca="1">IF(AND($D56="Serviço",AD$12&lt;&gt;0,$H56&gt;0,OR(AUTOEVENTO&lt;&gt;"manual",$M56&lt;&gt;1)),
IF(Import.TipoArredondamento&lt;&gt;"TransfereGOV",
ROUND(OFFSET($P56,0,AD$13),15-13*ORÇAMENTO!$AF$7)/$H56*OFFSET(ORÇAMENTO!$X$15,ROW(AD56)-ROW(AD$15),0),
ROUND(ROUND(OFFSET($P56,0,AD$13),15-13*ORÇAMENTO!$AF$7)*OFFSET(ORÇAMENTO!$W$15,ROW(AD56)-ROW(AD$15),0),15-13*ORÇAMENTO!$AF$11)),0)</f>
        <v>0</v>
      </c>
      <c r="AE56" s="545">
        <f ca="1">IF(AND($D56="Serviço",AE$12&lt;&gt;0,$H56&gt;0,OR(AUTOEVENTO&lt;&gt;"manual",$M56&lt;&gt;1)),
IF(Import.TipoArredondamento&lt;&gt;"TransfereGOV",
ROUND(OFFSET($P56,0,AE$13),15-13*ORÇAMENTO!$AF$7)/$H56*OFFSET(ORÇAMENTO!$X$15,ROW(AE56)-ROW(AE$15),0),
ROUND(ROUND(OFFSET($P56,0,AE$13),15-13*ORÇAMENTO!$AF$7)*OFFSET(ORÇAMENTO!$W$15,ROW(AE56)-ROW(AE$15),0),15-13*ORÇAMENTO!$AF$11)),0)</f>
        <v>0</v>
      </c>
      <c r="AF56" s="545">
        <f ca="1">IF(AND($D56="Serviço",AF$12&lt;&gt;0,$H56&gt;0,OR(AUTOEVENTO&lt;&gt;"manual",$M56&lt;&gt;1)),
IF(Import.TipoArredondamento&lt;&gt;"TransfereGOV",
ROUND(OFFSET($P56,0,AF$13),15-13*ORÇAMENTO!$AF$7)/$H56*OFFSET(ORÇAMENTO!$X$15,ROW(AF56)-ROW(AF$15),0),
ROUND(ROUND(OFFSET($P56,0,AF$13),15-13*ORÇAMENTO!$AF$7)*OFFSET(ORÇAMENTO!$W$15,ROW(AF56)-ROW(AF$15),0),15-13*ORÇAMENTO!$AF$11)),0)</f>
        <v>0</v>
      </c>
      <c r="AG56" s="545">
        <f ca="1">IF(AND($D56="Serviço",AG$12&lt;&gt;0,$H56&gt;0,OR(AUTOEVENTO&lt;&gt;"manual",$M56&lt;&gt;1)),
IF(Import.TipoArredondamento&lt;&gt;"TransfereGOV",
ROUND(OFFSET($P56,0,AG$13),15-13*ORÇAMENTO!$AF$7)/$H56*OFFSET(ORÇAMENTO!$X$15,ROW(AG56)-ROW(AG$15),0),
ROUND(ROUND(OFFSET($P56,0,AG$13),15-13*ORÇAMENTO!$AF$7)*OFFSET(ORÇAMENTO!$W$15,ROW(AG56)-ROW(AG$15),0),15-13*ORÇAMENTO!$AF$11)),0)</f>
        <v>0</v>
      </c>
      <c r="AH56" s="545">
        <f ca="1">IF(AND($D56="Serviço",AH$12&lt;&gt;0,$H56&gt;0,OR(AUTOEVENTO&lt;&gt;"manual",$M56&lt;&gt;1)),
IF(Import.TipoArredondamento&lt;&gt;"TransfereGOV",
ROUND(OFFSET($P56,0,AH$13),15-13*ORÇAMENTO!$AF$7)/$H56*OFFSET(ORÇAMENTO!$X$15,ROW(AH56)-ROW(AH$15),0),
ROUND(ROUND(OFFSET($P56,0,AH$13),15-13*ORÇAMENTO!$AF$7)*OFFSET(ORÇAMENTO!$W$15,ROW(AH56)-ROW(AH$15),0),15-13*ORÇAMENTO!$AF$11)),0)</f>
        <v>0</v>
      </c>
      <c r="AI56" s="545">
        <f ca="1">IF(AND($D56="Serviço",AI$12&lt;&gt;0,$H56&gt;0,OR(AUTOEVENTO&lt;&gt;"manual",$M56&lt;&gt;1)),
IF(Import.TipoArredondamento&lt;&gt;"TransfereGOV",
ROUND(OFFSET($P56,0,AI$13),15-13*ORÇAMENTO!$AF$7)/$H56*OFFSET(ORÇAMENTO!$X$15,ROW(AI56)-ROW(AI$15),0),
ROUND(ROUND(OFFSET($P56,0,AI$13),15-13*ORÇAMENTO!$AF$7)*OFFSET(ORÇAMENTO!$W$15,ROW(AI56)-ROW(AI$15),0),15-13*ORÇAMENTO!$AF$11)),0)</f>
        <v>0</v>
      </c>
      <c r="AJ56" s="545">
        <f ca="1">IF(AND($D56="Serviço",AJ$12&lt;&gt;0,$H56&gt;0,OR(AUTOEVENTO&lt;&gt;"manual",$M56&lt;&gt;1)),
IF(Import.TipoArredondamento&lt;&gt;"TransfereGOV",
ROUND(OFFSET($P56,0,AJ$13),15-13*ORÇAMENTO!$AF$7)/$H56*OFFSET(ORÇAMENTO!$X$15,ROW(AJ56)-ROW(AJ$15),0),
ROUND(ROUND(OFFSET($P56,0,AJ$13),15-13*ORÇAMENTO!$AF$7)*OFFSET(ORÇAMENTO!$W$15,ROW(AJ56)-ROW(AJ$15),0),15-13*ORÇAMENTO!$AF$11)),0)</f>
        <v>0</v>
      </c>
      <c r="AK56" s="546">
        <f ca="1">IF(AND($D56="Serviço",AK$12&lt;&gt;0,$H56&gt;0,OR(AUTOEVENTO&lt;&gt;"manual",$M56&lt;&gt;1)),
IF(Import.TipoArredondamento&lt;&gt;"TransfereGOV",
ROUND(OFFSET($P56,0,AK$13),15-13*ORÇAMENTO!$AF$7)/$H56*OFFSET(ORÇAMENTO!$X$15,ROW(AK56)-ROW(AK$15),0),
ROUND(ROUND(OFFSET($P56,0,AK$13),15-13*ORÇAMENTO!$AF$7)*OFFSET(ORÇAMENTO!$W$15,ROW(AK56)-ROW(AK$15),0),15-13*ORÇAMENTO!$AF$11)),0)</f>
        <v>0</v>
      </c>
      <c r="AM56" s="181">
        <f ca="1">IF($D56&lt;&gt;"Serviço",0,IF(AND(AUTOEVENTO="Manual",$M56=1),0,IF(OFFSET(CRONOPLE!$F$14,$M56,AM$13)="",10^12,OFFSET(CRONOPLE!$F$14,$M56,AM$13))))</f>
        <v>1000000000000</v>
      </c>
      <c r="AN56" s="181">
        <f ca="1">IF($D56&lt;&gt;"Serviço",0,IF(AND(AUTOEVENTO="Manual",$M56=1),0,IF(OFFSET(CRONOPLE!$F$14,$M56,AN$13)="",10^12,OFFSET(CRONOPLE!$F$14,$M56,AN$13))))</f>
        <v>1000000000000</v>
      </c>
      <c r="AO56" s="181">
        <f ca="1">IF($D56&lt;&gt;"Serviço",0,IF(AND(AUTOEVENTO="Manual",$M56=1),0,IF(OFFSET(CRONOPLE!$F$14,$M56,AO$13)="",10^12,OFFSET(CRONOPLE!$F$14,$M56,AO$13))))</f>
        <v>1000000000000</v>
      </c>
      <c r="AP56" s="181">
        <f ca="1">IF($D56&lt;&gt;"Serviço",0,IF(AND(AUTOEVENTO="Manual",$M56=1),0,IF(OFFSET(CRONOPLE!$F$14,$M56,AP$13)="",10^12,OFFSET(CRONOPLE!$F$14,$M56,AP$13))))</f>
        <v>1000000000000</v>
      </c>
      <c r="AQ56" s="181">
        <f ca="1">IF($D56&lt;&gt;"Serviço",0,IF(AND(AUTOEVENTO="Manual",$M56=1),0,IF(OFFSET(CRONOPLE!$F$14,$M56,AQ$13)="",10^12,OFFSET(CRONOPLE!$F$14,$M56,AQ$13))))</f>
        <v>1000000000000</v>
      </c>
      <c r="AR56" s="181">
        <f ca="1">IF($D56&lt;&gt;"Serviço",0,IF(AND(AUTOEVENTO="Manual",$M56=1),0,IF(OFFSET(CRONOPLE!$F$14,$M56,AR$13)="",10^12,OFFSET(CRONOPLE!$F$14,$M56,AR$13))))</f>
        <v>1000000000000</v>
      </c>
      <c r="AS56" s="181">
        <f ca="1">IF($D56&lt;&gt;"Serviço",0,IF(AND(AUTOEVENTO="Manual",$M56=1),0,IF(OFFSET(CRONOPLE!$F$14,$M56,AS$13)="",10^12,OFFSET(CRONOPLE!$F$14,$M56,AS$13))))</f>
        <v>1000000000000</v>
      </c>
      <c r="AT56" s="181">
        <f ca="1">IF($D56&lt;&gt;"Serviço",0,IF(AND(AUTOEVENTO="Manual",$M56=1),0,IF(OFFSET(CRONOPLE!$F$14,$M56,AT$13)="",10^12,OFFSET(CRONOPLE!$F$14,$M56,AT$13))))</f>
        <v>1000000000000</v>
      </c>
      <c r="AU56" s="181">
        <f ca="1">IF($D56&lt;&gt;"Serviço",0,IF(AND(AUTOEVENTO="Manual",$M56=1),0,IF(OFFSET(CRONOPLE!$F$14,$M56,AU$13)="",10^12,OFFSET(CRONOPLE!$F$14,$M56,AU$13))))</f>
        <v>1000000000000</v>
      </c>
      <c r="AV56" s="181">
        <f ca="1">IF($D56&lt;&gt;"Serviço",0,IF(AND(AUTOEVENTO="Manual",$M56=1),0,IF(OFFSET(CRONOPLE!$F$14,$M56,AV$13)="",10^12,OFFSET(CRONOPLE!$F$14,$M56,AV$13))))</f>
        <v>1000000000000</v>
      </c>
      <c r="AX56" s="182">
        <f ca="1">IF($D56&lt;&gt;"Serviço",0,IF(OR(AND(AUTOEVENTO="Manual",$M56=1),$M56&gt;(ROW(PLE.lastrow)-ROW(PLE.firstrow))),0,IF(OFFSET(PLE!$G$14,$M56,AX$13)="",10^12,OFFSET(PLE!$G$14,$M56,AX$13))))</f>
        <v>1000000000000</v>
      </c>
      <c r="AY56" s="182">
        <f ca="1">IF($D56&lt;&gt;"Serviço",0,IF(OR(AND(AUTOEVENTO="Manual",$M56=1),$M56&gt;(ROW(PLE.lastrow)-ROW(PLE.firstrow))),0,IF(OFFSET(PLE!$G$14,$M56,AY$13)="",10^12,OFFSET(PLE!$G$14,$M56,AY$13))))</f>
        <v>1000000000000</v>
      </c>
      <c r="AZ56" s="182">
        <f ca="1">IF($D56&lt;&gt;"Serviço",0,IF(OR(AND(AUTOEVENTO="Manual",$M56=1),$M56&gt;(ROW(PLE.lastrow)-ROW(PLE.firstrow))),0,IF(OFFSET(PLE!$G$14,$M56,AZ$13)="",10^12,OFFSET(PLE!$G$14,$M56,AZ$13))))</f>
        <v>1000000000000</v>
      </c>
      <c r="BA56" s="182">
        <f ca="1">IF($D56&lt;&gt;"Serviço",0,IF(OR(AND(AUTOEVENTO="Manual",$M56=1),$M56&gt;(ROW(PLE.lastrow)-ROW(PLE.firstrow))),0,IF(OFFSET(PLE!$G$14,$M56,BA$13)="",10^12,OFFSET(PLE!$G$14,$M56,BA$13))))</f>
        <v>1000000000000</v>
      </c>
      <c r="BB56" s="182">
        <f ca="1">IF($D56&lt;&gt;"Serviço",0,IF(OR(AND(AUTOEVENTO="Manual",$M56=1),$M56&gt;(ROW(PLE.lastrow)-ROW(PLE.firstrow))),0,IF(OFFSET(PLE!$G$14,$M56,BB$13)="",10^12,OFFSET(PLE!$G$14,$M56,BB$13))))</f>
        <v>1000000000000</v>
      </c>
      <c r="BC56" s="182">
        <f ca="1">IF($D56&lt;&gt;"Serviço",0,IF(OR(AND(AUTOEVENTO="Manual",$M56=1),$M56&gt;(ROW(PLE.lastrow)-ROW(PLE.firstrow))),0,IF(OFFSET(PLE!$G$14,$M56,BC$13)="",10^12,OFFSET(PLE!$G$14,$M56,BC$13))))</f>
        <v>1000000000000</v>
      </c>
      <c r="BD56" s="182">
        <f ca="1">IF($D56&lt;&gt;"Serviço",0,IF(OR(AND(AUTOEVENTO="Manual",$M56=1),$M56&gt;(ROW(PLE.lastrow)-ROW(PLE.firstrow))),0,IF(OFFSET(PLE!$G$14,$M56,BD$13)="",10^12,OFFSET(PLE!$G$14,$M56,BD$13))))</f>
        <v>1000000000000</v>
      </c>
      <c r="BE56" s="182">
        <f ca="1">IF($D56&lt;&gt;"Serviço",0,IF(OR(AND(AUTOEVENTO="Manual",$M56=1),$M56&gt;(ROW(PLE.lastrow)-ROW(PLE.firstrow))),0,IF(OFFSET(PLE!$G$14,$M56,BE$13)="",10^12,OFFSET(PLE!$G$14,$M56,BE$13))))</f>
        <v>1000000000000</v>
      </c>
      <c r="BF56" s="182">
        <f ca="1">IF($D56&lt;&gt;"Serviço",0,IF(OR(AND(AUTOEVENTO="Manual",$M56=1),$M56&gt;(ROW(PLE.lastrow)-ROW(PLE.firstrow))),0,IF(OFFSET(PLE!$G$14,$M56,BF$13)="",10^12,OFFSET(PLE!$G$14,$M56,BF$13))))</f>
        <v>1000000000000</v>
      </c>
      <c r="BG56" s="182">
        <f ca="1">IF($D56&lt;&gt;"Serviço",0,IF(OR(AND(AUTOEVENTO="Manual",$M56=1),$M56&gt;(ROW(PLE.lastrow)-ROW(PLE.firstrow))),0,IF(OFFSET(PLE!$G$14,$M56,BG$13)="",10^12,OFFSET(PLE!$G$14,$M56,BG$13))))</f>
        <v>1000000000000</v>
      </c>
    </row>
    <row r="57" spans="1:59" ht="25.5" x14ac:dyDescent="0.2">
      <c r="A57" s="7" t="str">
        <f t="shared" ca="1" si="8"/>
        <v>20</v>
      </c>
      <c r="B57" s="7" t="str">
        <f ca="1">OFFSET(ORÇAMENTO!C$15,ROW(B57)-ROW(B$15),0)</f>
        <v>S</v>
      </c>
      <c r="C57" s="7" t="str">
        <f ca="1">OFFSET(ORÇAMENTO!L$15,ROW(C57)-ROW(C$15),0)</f>
        <v/>
      </c>
      <c r="D57" s="118" t="str">
        <f ca="1">OFFSET(ORÇAMENTO!N$15,ROW(D57)-ROW(D$15),0)</f>
        <v>Serviço</v>
      </c>
      <c r="E57" s="119" t="str">
        <f ca="1">OFFSET(ORÇAMENTO!O$15,ROW(E57)-ROW(E$15),0)</f>
        <v>-</v>
      </c>
      <c r="F57" s="172" t="str">
        <f ca="1">OFFSET(ORÇAMENTO!R$15,ROW(F57)-ROW(F$15),0)</f>
        <v>(abra o arquivo 'Referência 02-2025.xlsm)</v>
      </c>
      <c r="G57" s="173" t="str">
        <f ca="1">IF($D57&lt;&gt;"Serviço","",OFFSET(ORÇAMENTO!S$15,ROW(G57)-ROW(G$15),0))</f>
        <v>-</v>
      </c>
      <c r="H57" s="124">
        <f ca="1">IF($D57&lt;&gt;"Serviço",0,IF(ACOMPANHAMENTO="BM",ROUND(OFFSET(ORÇAMENTO!AJ$15,ROW(H57)-ROW(H$15),0),15-13*ORÇAMENTO!$AF$7),SUMPRODUCT(($Q$12:$AA$12&lt;&gt;"")*ROUND($Q57:$AA57,15-13*ORÇAMENTO!$AF$7))))</f>
        <v>296.77999999999997</v>
      </c>
      <c r="I57" s="561" t="s">
        <v>890</v>
      </c>
      <c r="K57" s="174"/>
      <c r="L57" s="175" t="s">
        <v>255</v>
      </c>
      <c r="M57" s="176">
        <f ca="1">IF($D57&lt;&gt;"Serviço","",IF(AUTOEVENTO="manual",$A57,IF(ISERROR(MATCH($A57,$A$15:OFFSET($A57,-1,0),0)),MAX($M$15:OFFSET(M57,-1,0))+1,INDEX($M$15:OFFSET(M57,-1,0),MATCH($A57,$A$15:OFFSET($A57,-1,0),0)))))</f>
        <v>4</v>
      </c>
      <c r="N57" s="177" t="str">
        <f ca="1">IF($D57&lt;&gt;"Serviço","",IF(AUTOEVENTO="Manual",IF($A57=0,"&lt;-- defina o número do agrupador",OFFSET(EVENTOS!$D$14,$A57,0)),OFFSET($F$15,$A57,0)))</f>
        <v>FUNDAÇÕES</v>
      </c>
      <c r="O57" s="178"/>
      <c r="Q57" s="178"/>
      <c r="R57" s="179"/>
      <c r="S57" s="179"/>
      <c r="T57" s="179"/>
      <c r="U57" s="179"/>
      <c r="V57" s="179"/>
      <c r="W57" s="179"/>
      <c r="X57" s="179"/>
      <c r="Y57" s="179"/>
      <c r="Z57" s="180"/>
      <c r="AB57" s="544">
        <f ca="1">IF(AND($D57="Serviço",AB$12&lt;&gt;0,$H57&gt;0,OR(AUTOEVENTO&lt;&gt;"manual",$M57&lt;&gt;1)),
IF(Import.TipoArredondamento&lt;&gt;"TransfereGOV",
ROUND(OFFSET($P57,0,AB$13),15-13*ORÇAMENTO!$AF$7)/$H57*OFFSET(ORÇAMENTO!$X$15,ROW(AB57)-ROW(AB$15),0),
ROUND(ROUND(OFFSET($P57,0,AB$13),15-13*ORÇAMENTO!$AF$7)*OFFSET(ORÇAMENTO!$W$15,ROW(AB57)-ROW(AB$15),0),15-13*ORÇAMENTO!$AF$11)),0)</f>
        <v>0</v>
      </c>
      <c r="AC57" s="545">
        <f ca="1">IF(AND($D57="Serviço",AC$12&lt;&gt;0,$H57&gt;0,OR(AUTOEVENTO&lt;&gt;"manual",$M57&lt;&gt;1)),
IF(Import.TipoArredondamento&lt;&gt;"TransfereGOV",
ROUND(OFFSET($P57,0,AC$13),15-13*ORÇAMENTO!$AF$7)/$H57*OFFSET(ORÇAMENTO!$X$15,ROW(AC57)-ROW(AC$15),0),
ROUND(ROUND(OFFSET($P57,0,AC$13),15-13*ORÇAMENTO!$AF$7)*OFFSET(ORÇAMENTO!$W$15,ROW(AC57)-ROW(AC$15),0),15-13*ORÇAMENTO!$AF$11)),0)</f>
        <v>0</v>
      </c>
      <c r="AD57" s="545">
        <f ca="1">IF(AND($D57="Serviço",AD$12&lt;&gt;0,$H57&gt;0,OR(AUTOEVENTO&lt;&gt;"manual",$M57&lt;&gt;1)),
IF(Import.TipoArredondamento&lt;&gt;"TransfereGOV",
ROUND(OFFSET($P57,0,AD$13),15-13*ORÇAMENTO!$AF$7)/$H57*OFFSET(ORÇAMENTO!$X$15,ROW(AD57)-ROW(AD$15),0),
ROUND(ROUND(OFFSET($P57,0,AD$13),15-13*ORÇAMENTO!$AF$7)*OFFSET(ORÇAMENTO!$W$15,ROW(AD57)-ROW(AD$15),0),15-13*ORÇAMENTO!$AF$11)),0)</f>
        <v>0</v>
      </c>
      <c r="AE57" s="545">
        <f ca="1">IF(AND($D57="Serviço",AE$12&lt;&gt;0,$H57&gt;0,OR(AUTOEVENTO&lt;&gt;"manual",$M57&lt;&gt;1)),
IF(Import.TipoArredondamento&lt;&gt;"TransfereGOV",
ROUND(OFFSET($P57,0,AE$13),15-13*ORÇAMENTO!$AF$7)/$H57*OFFSET(ORÇAMENTO!$X$15,ROW(AE57)-ROW(AE$15),0),
ROUND(ROUND(OFFSET($P57,0,AE$13),15-13*ORÇAMENTO!$AF$7)*OFFSET(ORÇAMENTO!$W$15,ROW(AE57)-ROW(AE$15),0),15-13*ORÇAMENTO!$AF$11)),0)</f>
        <v>0</v>
      </c>
      <c r="AF57" s="545">
        <f ca="1">IF(AND($D57="Serviço",AF$12&lt;&gt;0,$H57&gt;0,OR(AUTOEVENTO&lt;&gt;"manual",$M57&lt;&gt;1)),
IF(Import.TipoArredondamento&lt;&gt;"TransfereGOV",
ROUND(OFFSET($P57,0,AF$13),15-13*ORÇAMENTO!$AF$7)/$H57*OFFSET(ORÇAMENTO!$X$15,ROW(AF57)-ROW(AF$15),0),
ROUND(ROUND(OFFSET($P57,0,AF$13),15-13*ORÇAMENTO!$AF$7)*OFFSET(ORÇAMENTO!$W$15,ROW(AF57)-ROW(AF$15),0),15-13*ORÇAMENTO!$AF$11)),0)</f>
        <v>0</v>
      </c>
      <c r="AG57" s="545">
        <f ca="1">IF(AND($D57="Serviço",AG$12&lt;&gt;0,$H57&gt;0,OR(AUTOEVENTO&lt;&gt;"manual",$M57&lt;&gt;1)),
IF(Import.TipoArredondamento&lt;&gt;"TransfereGOV",
ROUND(OFFSET($P57,0,AG$13),15-13*ORÇAMENTO!$AF$7)/$H57*OFFSET(ORÇAMENTO!$X$15,ROW(AG57)-ROW(AG$15),0),
ROUND(ROUND(OFFSET($P57,0,AG$13),15-13*ORÇAMENTO!$AF$7)*OFFSET(ORÇAMENTO!$W$15,ROW(AG57)-ROW(AG$15),0),15-13*ORÇAMENTO!$AF$11)),0)</f>
        <v>0</v>
      </c>
      <c r="AH57" s="545">
        <f ca="1">IF(AND($D57="Serviço",AH$12&lt;&gt;0,$H57&gt;0,OR(AUTOEVENTO&lt;&gt;"manual",$M57&lt;&gt;1)),
IF(Import.TipoArredondamento&lt;&gt;"TransfereGOV",
ROUND(OFFSET($P57,0,AH$13),15-13*ORÇAMENTO!$AF$7)/$H57*OFFSET(ORÇAMENTO!$X$15,ROW(AH57)-ROW(AH$15),0),
ROUND(ROUND(OFFSET($P57,0,AH$13),15-13*ORÇAMENTO!$AF$7)*OFFSET(ORÇAMENTO!$W$15,ROW(AH57)-ROW(AH$15),0),15-13*ORÇAMENTO!$AF$11)),0)</f>
        <v>0</v>
      </c>
      <c r="AI57" s="545">
        <f ca="1">IF(AND($D57="Serviço",AI$12&lt;&gt;0,$H57&gt;0,OR(AUTOEVENTO&lt;&gt;"manual",$M57&lt;&gt;1)),
IF(Import.TipoArredondamento&lt;&gt;"TransfereGOV",
ROUND(OFFSET($P57,0,AI$13),15-13*ORÇAMENTO!$AF$7)/$H57*OFFSET(ORÇAMENTO!$X$15,ROW(AI57)-ROW(AI$15),0),
ROUND(ROUND(OFFSET($P57,0,AI$13),15-13*ORÇAMENTO!$AF$7)*OFFSET(ORÇAMENTO!$W$15,ROW(AI57)-ROW(AI$15),0),15-13*ORÇAMENTO!$AF$11)),0)</f>
        <v>0</v>
      </c>
      <c r="AJ57" s="545">
        <f ca="1">IF(AND($D57="Serviço",AJ$12&lt;&gt;0,$H57&gt;0,OR(AUTOEVENTO&lt;&gt;"manual",$M57&lt;&gt;1)),
IF(Import.TipoArredondamento&lt;&gt;"TransfereGOV",
ROUND(OFFSET($P57,0,AJ$13),15-13*ORÇAMENTO!$AF$7)/$H57*OFFSET(ORÇAMENTO!$X$15,ROW(AJ57)-ROW(AJ$15),0),
ROUND(ROUND(OFFSET($P57,0,AJ$13),15-13*ORÇAMENTO!$AF$7)*OFFSET(ORÇAMENTO!$W$15,ROW(AJ57)-ROW(AJ$15),0),15-13*ORÇAMENTO!$AF$11)),0)</f>
        <v>0</v>
      </c>
      <c r="AK57" s="546">
        <f ca="1">IF(AND($D57="Serviço",AK$12&lt;&gt;0,$H57&gt;0,OR(AUTOEVENTO&lt;&gt;"manual",$M57&lt;&gt;1)),
IF(Import.TipoArredondamento&lt;&gt;"TransfereGOV",
ROUND(OFFSET($P57,0,AK$13),15-13*ORÇAMENTO!$AF$7)/$H57*OFFSET(ORÇAMENTO!$X$15,ROW(AK57)-ROW(AK$15),0),
ROUND(ROUND(OFFSET($P57,0,AK$13),15-13*ORÇAMENTO!$AF$7)*OFFSET(ORÇAMENTO!$W$15,ROW(AK57)-ROW(AK$15),0),15-13*ORÇAMENTO!$AF$11)),0)</f>
        <v>0</v>
      </c>
      <c r="AM57" s="181">
        <f ca="1">IF($D57&lt;&gt;"Serviço",0,IF(AND(AUTOEVENTO="Manual",$M57=1),0,IF(OFFSET(CRONOPLE!$F$14,$M57,AM$13)="",10^12,OFFSET(CRONOPLE!$F$14,$M57,AM$13))))</f>
        <v>1000000000000</v>
      </c>
      <c r="AN57" s="181">
        <f ca="1">IF($D57&lt;&gt;"Serviço",0,IF(AND(AUTOEVENTO="Manual",$M57=1),0,IF(OFFSET(CRONOPLE!$F$14,$M57,AN$13)="",10^12,OFFSET(CRONOPLE!$F$14,$M57,AN$13))))</f>
        <v>1000000000000</v>
      </c>
      <c r="AO57" s="181">
        <f ca="1">IF($D57&lt;&gt;"Serviço",0,IF(AND(AUTOEVENTO="Manual",$M57=1),0,IF(OFFSET(CRONOPLE!$F$14,$M57,AO$13)="",10^12,OFFSET(CRONOPLE!$F$14,$M57,AO$13))))</f>
        <v>1000000000000</v>
      </c>
      <c r="AP57" s="181">
        <f ca="1">IF($D57&lt;&gt;"Serviço",0,IF(AND(AUTOEVENTO="Manual",$M57=1),0,IF(OFFSET(CRONOPLE!$F$14,$M57,AP$13)="",10^12,OFFSET(CRONOPLE!$F$14,$M57,AP$13))))</f>
        <v>1000000000000</v>
      </c>
      <c r="AQ57" s="181">
        <f ca="1">IF($D57&lt;&gt;"Serviço",0,IF(AND(AUTOEVENTO="Manual",$M57=1),0,IF(OFFSET(CRONOPLE!$F$14,$M57,AQ$13)="",10^12,OFFSET(CRONOPLE!$F$14,$M57,AQ$13))))</f>
        <v>1000000000000</v>
      </c>
      <c r="AR57" s="181">
        <f ca="1">IF($D57&lt;&gt;"Serviço",0,IF(AND(AUTOEVENTO="Manual",$M57=1),0,IF(OFFSET(CRONOPLE!$F$14,$M57,AR$13)="",10^12,OFFSET(CRONOPLE!$F$14,$M57,AR$13))))</f>
        <v>1000000000000</v>
      </c>
      <c r="AS57" s="181">
        <f ca="1">IF($D57&lt;&gt;"Serviço",0,IF(AND(AUTOEVENTO="Manual",$M57=1),0,IF(OFFSET(CRONOPLE!$F$14,$M57,AS$13)="",10^12,OFFSET(CRONOPLE!$F$14,$M57,AS$13))))</f>
        <v>1000000000000</v>
      </c>
      <c r="AT57" s="181">
        <f ca="1">IF($D57&lt;&gt;"Serviço",0,IF(AND(AUTOEVENTO="Manual",$M57=1),0,IF(OFFSET(CRONOPLE!$F$14,$M57,AT$13)="",10^12,OFFSET(CRONOPLE!$F$14,$M57,AT$13))))</f>
        <v>1000000000000</v>
      </c>
      <c r="AU57" s="181">
        <f ca="1">IF($D57&lt;&gt;"Serviço",0,IF(AND(AUTOEVENTO="Manual",$M57=1),0,IF(OFFSET(CRONOPLE!$F$14,$M57,AU$13)="",10^12,OFFSET(CRONOPLE!$F$14,$M57,AU$13))))</f>
        <v>1000000000000</v>
      </c>
      <c r="AV57" s="181">
        <f ca="1">IF($D57&lt;&gt;"Serviço",0,IF(AND(AUTOEVENTO="Manual",$M57=1),0,IF(OFFSET(CRONOPLE!$F$14,$M57,AV$13)="",10^12,OFFSET(CRONOPLE!$F$14,$M57,AV$13))))</f>
        <v>1000000000000</v>
      </c>
      <c r="AX57" s="182">
        <f ca="1">IF($D57&lt;&gt;"Serviço",0,IF(OR(AND(AUTOEVENTO="Manual",$M57=1),$M57&gt;(ROW(PLE.lastrow)-ROW(PLE.firstrow))),0,IF(OFFSET(PLE!$G$14,$M57,AX$13)="",10^12,OFFSET(PLE!$G$14,$M57,AX$13))))</f>
        <v>1000000000000</v>
      </c>
      <c r="AY57" s="182">
        <f ca="1">IF($D57&lt;&gt;"Serviço",0,IF(OR(AND(AUTOEVENTO="Manual",$M57=1),$M57&gt;(ROW(PLE.lastrow)-ROW(PLE.firstrow))),0,IF(OFFSET(PLE!$G$14,$M57,AY$13)="",10^12,OFFSET(PLE!$G$14,$M57,AY$13))))</f>
        <v>1000000000000</v>
      </c>
      <c r="AZ57" s="182">
        <f ca="1">IF($D57&lt;&gt;"Serviço",0,IF(OR(AND(AUTOEVENTO="Manual",$M57=1),$M57&gt;(ROW(PLE.lastrow)-ROW(PLE.firstrow))),0,IF(OFFSET(PLE!$G$14,$M57,AZ$13)="",10^12,OFFSET(PLE!$G$14,$M57,AZ$13))))</f>
        <v>1000000000000</v>
      </c>
      <c r="BA57" s="182">
        <f ca="1">IF($D57&lt;&gt;"Serviço",0,IF(OR(AND(AUTOEVENTO="Manual",$M57=1),$M57&gt;(ROW(PLE.lastrow)-ROW(PLE.firstrow))),0,IF(OFFSET(PLE!$G$14,$M57,BA$13)="",10^12,OFFSET(PLE!$G$14,$M57,BA$13))))</f>
        <v>1000000000000</v>
      </c>
      <c r="BB57" s="182">
        <f ca="1">IF($D57&lt;&gt;"Serviço",0,IF(OR(AND(AUTOEVENTO="Manual",$M57=1),$M57&gt;(ROW(PLE.lastrow)-ROW(PLE.firstrow))),0,IF(OFFSET(PLE!$G$14,$M57,BB$13)="",10^12,OFFSET(PLE!$G$14,$M57,BB$13))))</f>
        <v>1000000000000</v>
      </c>
      <c r="BC57" s="182">
        <f ca="1">IF($D57&lt;&gt;"Serviço",0,IF(OR(AND(AUTOEVENTO="Manual",$M57=1),$M57&gt;(ROW(PLE.lastrow)-ROW(PLE.firstrow))),0,IF(OFFSET(PLE!$G$14,$M57,BC$13)="",10^12,OFFSET(PLE!$G$14,$M57,BC$13))))</f>
        <v>1000000000000</v>
      </c>
      <c r="BD57" s="182">
        <f ca="1">IF($D57&lt;&gt;"Serviço",0,IF(OR(AND(AUTOEVENTO="Manual",$M57=1),$M57&gt;(ROW(PLE.lastrow)-ROW(PLE.firstrow))),0,IF(OFFSET(PLE!$G$14,$M57,BD$13)="",10^12,OFFSET(PLE!$G$14,$M57,BD$13))))</f>
        <v>1000000000000</v>
      </c>
      <c r="BE57" s="182">
        <f ca="1">IF($D57&lt;&gt;"Serviço",0,IF(OR(AND(AUTOEVENTO="Manual",$M57=1),$M57&gt;(ROW(PLE.lastrow)-ROW(PLE.firstrow))),0,IF(OFFSET(PLE!$G$14,$M57,BE$13)="",10^12,OFFSET(PLE!$G$14,$M57,BE$13))))</f>
        <v>1000000000000</v>
      </c>
      <c r="BF57" s="182">
        <f ca="1">IF($D57&lt;&gt;"Serviço",0,IF(OR(AND(AUTOEVENTO="Manual",$M57=1),$M57&gt;(ROW(PLE.lastrow)-ROW(PLE.firstrow))),0,IF(OFFSET(PLE!$G$14,$M57,BF$13)="",10^12,OFFSET(PLE!$G$14,$M57,BF$13))))</f>
        <v>1000000000000</v>
      </c>
      <c r="BG57" s="182">
        <f ca="1">IF($D57&lt;&gt;"Serviço",0,IF(OR(AND(AUTOEVENTO="Manual",$M57=1),$M57&gt;(ROW(PLE.lastrow)-ROW(PLE.firstrow))),0,IF(OFFSET(PLE!$G$14,$M57,BG$13)="",10^12,OFFSET(PLE!$G$14,$M57,BG$13))))</f>
        <v>1000000000000</v>
      </c>
    </row>
    <row r="58" spans="1:59" ht="38.25" x14ac:dyDescent="0.2">
      <c r="A58" s="7" t="str">
        <f ca="1">IF(AUTOEVENTO="Manual",IF(K58&lt;&gt;"",MIN(VALUE(LEFT(K58,FIND(".",K58)-1)),COUNTA(EVENTOS.Lista)),0),IF(OR($B58&gt;AUTOEVENTO,$B58="S",$B58=0),SUBSTITUTE(OFFSET($A58,-1,0),IF($D58="Serviço",".",""),""),ROW(A58)-ROW($A$15)&amp;"."))</f>
        <v>20</v>
      </c>
      <c r="B58" s="7" t="str">
        <f ca="1">OFFSET(ORÇAMENTO!C$15,ROW(B58)-ROW(B$15),0)</f>
        <v>S</v>
      </c>
      <c r="C58" s="7" t="str">
        <f ca="1">OFFSET(ORÇAMENTO!L$15,ROW(C58)-ROW(C$15),0)</f>
        <v/>
      </c>
      <c r="D58" s="118" t="str">
        <f ca="1">OFFSET(ORÇAMENTO!N$15,ROW(D58)-ROW(D$15),0)</f>
        <v>Serviço</v>
      </c>
      <c r="E58" s="119" t="str">
        <f ca="1">OFFSET(ORÇAMENTO!O$15,ROW(E58)-ROW(E$15),0)</f>
        <v>-</v>
      </c>
      <c r="F58" s="172" t="str">
        <f ca="1">OFFSET(ORÇAMENTO!R$15,ROW(F58)-ROW(F$15),0)</f>
        <v>(abra o arquivo 'Referência 02-2025.xlsm)</v>
      </c>
      <c r="G58" s="173" t="str">
        <f ca="1">IF($D58&lt;&gt;"Serviço","",OFFSET(ORÇAMENTO!S$15,ROW(G58)-ROW(G$15),0))</f>
        <v>-</v>
      </c>
      <c r="H58" s="124">
        <f ca="1">IF($D58&lt;&gt;"Serviço",0,IF(ACOMPANHAMENTO="BM",ROUND(OFFSET(ORÇAMENTO!AJ$15,ROW(H58)-ROW(H$15),0),15-13*ORÇAMENTO!$AF$7),SUMPRODUCT(($Q$12:$AA$12&lt;&gt;"")*ROUND($Q58:$AA58,15-13*ORÇAMENTO!$AF$7))))</f>
        <v>45.14</v>
      </c>
      <c r="I58" s="561"/>
      <c r="K58" s="174"/>
      <c r="L58" s="175" t="s">
        <v>255</v>
      </c>
      <c r="M58" s="176">
        <f ca="1">IF($D58&lt;&gt;"Serviço","",IF(AUTOEVENTO="manual",$A58,IF(ISERROR(MATCH($A58,$A$15:OFFSET($A58,-1,0),0)),MAX($M$15:OFFSET(M58,-1,0))+1,INDEX($M$15:OFFSET(M58,-1,0),MATCH($A58,$A$15:OFFSET($A58,-1,0),0)))))</f>
        <v>4</v>
      </c>
      <c r="N58" s="177" t="str">
        <f ca="1">IF($D58&lt;&gt;"Serviço","",IF(AUTOEVENTO="Manual",IF($A58=0,"&lt;-- defina o número do agrupador",OFFSET(EVENTOS!$D$14,$A58,0)),OFFSET($F$15,$A58,0)))</f>
        <v>FUNDAÇÕES</v>
      </c>
      <c r="O58" s="178"/>
      <c r="Q58" s="178"/>
      <c r="R58" s="179"/>
      <c r="S58" s="179"/>
      <c r="T58" s="179"/>
      <c r="U58" s="179"/>
      <c r="V58" s="179"/>
      <c r="W58" s="179"/>
      <c r="X58" s="179"/>
      <c r="Y58" s="179"/>
      <c r="Z58" s="180"/>
      <c r="AB58" s="544">
        <f ca="1">IF(AND($D58="Serviço",AB$12&lt;&gt;0,$H58&gt;0,OR(AUTOEVENTO&lt;&gt;"manual",$M58&lt;&gt;1)),
IF(Import.TipoArredondamento&lt;&gt;"TransfereGOV",
ROUND(OFFSET($P58,0,AB$13),15-13*ORÇAMENTO!$AF$7)/$H58*OFFSET(ORÇAMENTO!$X$15,ROW(AB58)-ROW(AB$15),0),
ROUND(ROUND(OFFSET($P58,0,AB$13),15-13*ORÇAMENTO!$AF$7)*OFFSET(ORÇAMENTO!$W$15,ROW(AB58)-ROW(AB$15),0),15-13*ORÇAMENTO!$AF$11)),0)</f>
        <v>0</v>
      </c>
      <c r="AC58" s="545">
        <f ca="1">IF(AND($D58="Serviço",AC$12&lt;&gt;0,$H58&gt;0,OR(AUTOEVENTO&lt;&gt;"manual",$M58&lt;&gt;1)),
IF(Import.TipoArredondamento&lt;&gt;"TransfereGOV",
ROUND(OFFSET($P58,0,AC$13),15-13*ORÇAMENTO!$AF$7)/$H58*OFFSET(ORÇAMENTO!$X$15,ROW(AC58)-ROW(AC$15),0),
ROUND(ROUND(OFFSET($P58,0,AC$13),15-13*ORÇAMENTO!$AF$7)*OFFSET(ORÇAMENTO!$W$15,ROW(AC58)-ROW(AC$15),0),15-13*ORÇAMENTO!$AF$11)),0)</f>
        <v>0</v>
      </c>
      <c r="AD58" s="545">
        <f ca="1">IF(AND($D58="Serviço",AD$12&lt;&gt;0,$H58&gt;0,OR(AUTOEVENTO&lt;&gt;"manual",$M58&lt;&gt;1)),
IF(Import.TipoArredondamento&lt;&gt;"TransfereGOV",
ROUND(OFFSET($P58,0,AD$13),15-13*ORÇAMENTO!$AF$7)/$H58*OFFSET(ORÇAMENTO!$X$15,ROW(AD58)-ROW(AD$15),0),
ROUND(ROUND(OFFSET($P58,0,AD$13),15-13*ORÇAMENTO!$AF$7)*OFFSET(ORÇAMENTO!$W$15,ROW(AD58)-ROW(AD$15),0),15-13*ORÇAMENTO!$AF$11)),0)</f>
        <v>0</v>
      </c>
      <c r="AE58" s="545">
        <f ca="1">IF(AND($D58="Serviço",AE$12&lt;&gt;0,$H58&gt;0,OR(AUTOEVENTO&lt;&gt;"manual",$M58&lt;&gt;1)),
IF(Import.TipoArredondamento&lt;&gt;"TransfereGOV",
ROUND(OFFSET($P58,0,AE$13),15-13*ORÇAMENTO!$AF$7)/$H58*OFFSET(ORÇAMENTO!$X$15,ROW(AE58)-ROW(AE$15),0),
ROUND(ROUND(OFFSET($P58,0,AE$13),15-13*ORÇAMENTO!$AF$7)*OFFSET(ORÇAMENTO!$W$15,ROW(AE58)-ROW(AE$15),0),15-13*ORÇAMENTO!$AF$11)),0)</f>
        <v>0</v>
      </c>
      <c r="AF58" s="545">
        <f ca="1">IF(AND($D58="Serviço",AF$12&lt;&gt;0,$H58&gt;0,OR(AUTOEVENTO&lt;&gt;"manual",$M58&lt;&gt;1)),
IF(Import.TipoArredondamento&lt;&gt;"TransfereGOV",
ROUND(OFFSET($P58,0,AF$13),15-13*ORÇAMENTO!$AF$7)/$H58*OFFSET(ORÇAMENTO!$X$15,ROW(AF58)-ROW(AF$15),0),
ROUND(ROUND(OFFSET($P58,0,AF$13),15-13*ORÇAMENTO!$AF$7)*OFFSET(ORÇAMENTO!$W$15,ROW(AF58)-ROW(AF$15),0),15-13*ORÇAMENTO!$AF$11)),0)</f>
        <v>0</v>
      </c>
      <c r="AG58" s="545">
        <f ca="1">IF(AND($D58="Serviço",AG$12&lt;&gt;0,$H58&gt;0,OR(AUTOEVENTO&lt;&gt;"manual",$M58&lt;&gt;1)),
IF(Import.TipoArredondamento&lt;&gt;"TransfereGOV",
ROUND(OFFSET($P58,0,AG$13),15-13*ORÇAMENTO!$AF$7)/$H58*OFFSET(ORÇAMENTO!$X$15,ROW(AG58)-ROW(AG$15),0),
ROUND(ROUND(OFFSET($P58,0,AG$13),15-13*ORÇAMENTO!$AF$7)*OFFSET(ORÇAMENTO!$W$15,ROW(AG58)-ROW(AG$15),0),15-13*ORÇAMENTO!$AF$11)),0)</f>
        <v>0</v>
      </c>
      <c r="AH58" s="545">
        <f ca="1">IF(AND($D58="Serviço",AH$12&lt;&gt;0,$H58&gt;0,OR(AUTOEVENTO&lt;&gt;"manual",$M58&lt;&gt;1)),
IF(Import.TipoArredondamento&lt;&gt;"TransfereGOV",
ROUND(OFFSET($P58,0,AH$13),15-13*ORÇAMENTO!$AF$7)/$H58*OFFSET(ORÇAMENTO!$X$15,ROW(AH58)-ROW(AH$15),0),
ROUND(ROUND(OFFSET($P58,0,AH$13),15-13*ORÇAMENTO!$AF$7)*OFFSET(ORÇAMENTO!$W$15,ROW(AH58)-ROW(AH$15),0),15-13*ORÇAMENTO!$AF$11)),0)</f>
        <v>0</v>
      </c>
      <c r="AI58" s="545">
        <f ca="1">IF(AND($D58="Serviço",AI$12&lt;&gt;0,$H58&gt;0,OR(AUTOEVENTO&lt;&gt;"manual",$M58&lt;&gt;1)),
IF(Import.TipoArredondamento&lt;&gt;"TransfereGOV",
ROUND(OFFSET($P58,0,AI$13),15-13*ORÇAMENTO!$AF$7)/$H58*OFFSET(ORÇAMENTO!$X$15,ROW(AI58)-ROW(AI$15),0),
ROUND(ROUND(OFFSET($P58,0,AI$13),15-13*ORÇAMENTO!$AF$7)*OFFSET(ORÇAMENTO!$W$15,ROW(AI58)-ROW(AI$15),0),15-13*ORÇAMENTO!$AF$11)),0)</f>
        <v>0</v>
      </c>
      <c r="AJ58" s="545">
        <f ca="1">IF(AND($D58="Serviço",AJ$12&lt;&gt;0,$H58&gt;0,OR(AUTOEVENTO&lt;&gt;"manual",$M58&lt;&gt;1)),
IF(Import.TipoArredondamento&lt;&gt;"TransfereGOV",
ROUND(OFFSET($P58,0,AJ$13),15-13*ORÇAMENTO!$AF$7)/$H58*OFFSET(ORÇAMENTO!$X$15,ROW(AJ58)-ROW(AJ$15),0),
ROUND(ROUND(OFFSET($P58,0,AJ$13),15-13*ORÇAMENTO!$AF$7)*OFFSET(ORÇAMENTO!$W$15,ROW(AJ58)-ROW(AJ$15),0),15-13*ORÇAMENTO!$AF$11)),0)</f>
        <v>0</v>
      </c>
      <c r="AK58" s="546">
        <f ca="1">IF(AND($D58="Serviço",AK$12&lt;&gt;0,$H58&gt;0,OR(AUTOEVENTO&lt;&gt;"manual",$M58&lt;&gt;1)),
IF(Import.TipoArredondamento&lt;&gt;"TransfereGOV",
ROUND(OFFSET($P58,0,AK$13),15-13*ORÇAMENTO!$AF$7)/$H58*OFFSET(ORÇAMENTO!$X$15,ROW(AK58)-ROW(AK$15),0),
ROUND(ROUND(OFFSET($P58,0,AK$13),15-13*ORÇAMENTO!$AF$7)*OFFSET(ORÇAMENTO!$W$15,ROW(AK58)-ROW(AK$15),0),15-13*ORÇAMENTO!$AF$11)),0)</f>
        <v>0</v>
      </c>
      <c r="AM58" s="181">
        <f ca="1">IF($D58&lt;&gt;"Serviço",0,IF(AND(AUTOEVENTO="Manual",$M58=1),0,IF(OFFSET(CRONOPLE!$F$14,$M58,AM$13)="",10^12,OFFSET(CRONOPLE!$F$14,$M58,AM$13))))</f>
        <v>1000000000000</v>
      </c>
      <c r="AN58" s="181">
        <f ca="1">IF($D58&lt;&gt;"Serviço",0,IF(AND(AUTOEVENTO="Manual",$M58=1),0,IF(OFFSET(CRONOPLE!$F$14,$M58,AN$13)="",10^12,OFFSET(CRONOPLE!$F$14,$M58,AN$13))))</f>
        <v>1000000000000</v>
      </c>
      <c r="AO58" s="181">
        <f ca="1">IF($D58&lt;&gt;"Serviço",0,IF(AND(AUTOEVENTO="Manual",$M58=1),0,IF(OFFSET(CRONOPLE!$F$14,$M58,AO$13)="",10^12,OFFSET(CRONOPLE!$F$14,$M58,AO$13))))</f>
        <v>1000000000000</v>
      </c>
      <c r="AP58" s="181">
        <f ca="1">IF($D58&lt;&gt;"Serviço",0,IF(AND(AUTOEVENTO="Manual",$M58=1),0,IF(OFFSET(CRONOPLE!$F$14,$M58,AP$13)="",10^12,OFFSET(CRONOPLE!$F$14,$M58,AP$13))))</f>
        <v>1000000000000</v>
      </c>
      <c r="AQ58" s="181">
        <f ca="1">IF($D58&lt;&gt;"Serviço",0,IF(AND(AUTOEVENTO="Manual",$M58=1),0,IF(OFFSET(CRONOPLE!$F$14,$M58,AQ$13)="",10^12,OFFSET(CRONOPLE!$F$14,$M58,AQ$13))))</f>
        <v>1000000000000</v>
      </c>
      <c r="AR58" s="181">
        <f ca="1">IF($D58&lt;&gt;"Serviço",0,IF(AND(AUTOEVENTO="Manual",$M58=1),0,IF(OFFSET(CRONOPLE!$F$14,$M58,AR$13)="",10^12,OFFSET(CRONOPLE!$F$14,$M58,AR$13))))</f>
        <v>1000000000000</v>
      </c>
      <c r="AS58" s="181">
        <f ca="1">IF($D58&lt;&gt;"Serviço",0,IF(AND(AUTOEVENTO="Manual",$M58=1),0,IF(OFFSET(CRONOPLE!$F$14,$M58,AS$13)="",10^12,OFFSET(CRONOPLE!$F$14,$M58,AS$13))))</f>
        <v>1000000000000</v>
      </c>
      <c r="AT58" s="181">
        <f ca="1">IF($D58&lt;&gt;"Serviço",0,IF(AND(AUTOEVENTO="Manual",$M58=1),0,IF(OFFSET(CRONOPLE!$F$14,$M58,AT$13)="",10^12,OFFSET(CRONOPLE!$F$14,$M58,AT$13))))</f>
        <v>1000000000000</v>
      </c>
      <c r="AU58" s="181">
        <f ca="1">IF($D58&lt;&gt;"Serviço",0,IF(AND(AUTOEVENTO="Manual",$M58=1),0,IF(OFFSET(CRONOPLE!$F$14,$M58,AU$13)="",10^12,OFFSET(CRONOPLE!$F$14,$M58,AU$13))))</f>
        <v>1000000000000</v>
      </c>
      <c r="AV58" s="181">
        <f ca="1">IF($D58&lt;&gt;"Serviço",0,IF(AND(AUTOEVENTO="Manual",$M58=1),0,IF(OFFSET(CRONOPLE!$F$14,$M58,AV$13)="",10^12,OFFSET(CRONOPLE!$F$14,$M58,AV$13))))</f>
        <v>1000000000000</v>
      </c>
      <c r="AX58" s="182">
        <f ca="1">IF($D58&lt;&gt;"Serviço",0,IF(OR(AND(AUTOEVENTO="Manual",$M58=1),$M58&gt;(ROW(PLE.lastrow)-ROW(PLE.firstrow))),0,IF(OFFSET(PLE!$G$14,$M58,AX$13)="",10^12,OFFSET(PLE!$G$14,$M58,AX$13))))</f>
        <v>1000000000000</v>
      </c>
      <c r="AY58" s="182">
        <f ca="1">IF($D58&lt;&gt;"Serviço",0,IF(OR(AND(AUTOEVENTO="Manual",$M58=1),$M58&gt;(ROW(PLE.lastrow)-ROW(PLE.firstrow))),0,IF(OFFSET(PLE!$G$14,$M58,AY$13)="",10^12,OFFSET(PLE!$G$14,$M58,AY$13))))</f>
        <v>1000000000000</v>
      </c>
      <c r="AZ58" s="182">
        <f ca="1">IF($D58&lt;&gt;"Serviço",0,IF(OR(AND(AUTOEVENTO="Manual",$M58=1),$M58&gt;(ROW(PLE.lastrow)-ROW(PLE.firstrow))),0,IF(OFFSET(PLE!$G$14,$M58,AZ$13)="",10^12,OFFSET(PLE!$G$14,$M58,AZ$13))))</f>
        <v>1000000000000</v>
      </c>
      <c r="BA58" s="182">
        <f ca="1">IF($D58&lt;&gt;"Serviço",0,IF(OR(AND(AUTOEVENTO="Manual",$M58=1),$M58&gt;(ROW(PLE.lastrow)-ROW(PLE.firstrow))),0,IF(OFFSET(PLE!$G$14,$M58,BA$13)="",10^12,OFFSET(PLE!$G$14,$M58,BA$13))))</f>
        <v>1000000000000</v>
      </c>
      <c r="BB58" s="182">
        <f ca="1">IF($D58&lt;&gt;"Serviço",0,IF(OR(AND(AUTOEVENTO="Manual",$M58=1),$M58&gt;(ROW(PLE.lastrow)-ROW(PLE.firstrow))),0,IF(OFFSET(PLE!$G$14,$M58,BB$13)="",10^12,OFFSET(PLE!$G$14,$M58,BB$13))))</f>
        <v>1000000000000</v>
      </c>
      <c r="BC58" s="182">
        <f ca="1">IF($D58&lt;&gt;"Serviço",0,IF(OR(AND(AUTOEVENTO="Manual",$M58=1),$M58&gt;(ROW(PLE.lastrow)-ROW(PLE.firstrow))),0,IF(OFFSET(PLE!$G$14,$M58,BC$13)="",10^12,OFFSET(PLE!$G$14,$M58,BC$13))))</f>
        <v>1000000000000</v>
      </c>
      <c r="BD58" s="182">
        <f ca="1">IF($D58&lt;&gt;"Serviço",0,IF(OR(AND(AUTOEVENTO="Manual",$M58=1),$M58&gt;(ROW(PLE.lastrow)-ROW(PLE.firstrow))),0,IF(OFFSET(PLE!$G$14,$M58,BD$13)="",10^12,OFFSET(PLE!$G$14,$M58,BD$13))))</f>
        <v>1000000000000</v>
      </c>
      <c r="BE58" s="182">
        <f ca="1">IF($D58&lt;&gt;"Serviço",0,IF(OR(AND(AUTOEVENTO="Manual",$M58=1),$M58&gt;(ROW(PLE.lastrow)-ROW(PLE.firstrow))),0,IF(OFFSET(PLE!$G$14,$M58,BE$13)="",10^12,OFFSET(PLE!$G$14,$M58,BE$13))))</f>
        <v>1000000000000</v>
      </c>
      <c r="BF58" s="182">
        <f ca="1">IF($D58&lt;&gt;"Serviço",0,IF(OR(AND(AUTOEVENTO="Manual",$M58=1),$M58&gt;(ROW(PLE.lastrow)-ROW(PLE.firstrow))),0,IF(OFFSET(PLE!$G$14,$M58,BF$13)="",10^12,OFFSET(PLE!$G$14,$M58,BF$13))))</f>
        <v>1000000000000</v>
      </c>
      <c r="BG58" s="182">
        <f ca="1">IF($D58&lt;&gt;"Serviço",0,IF(OR(AND(AUTOEVENTO="Manual",$M58=1),$M58&gt;(ROW(PLE.lastrow)-ROW(PLE.firstrow))),0,IF(OFFSET(PLE!$G$14,$M58,BG$13)="",10^12,OFFSET(PLE!$G$14,$M58,BG$13))))</f>
        <v>1000000000000</v>
      </c>
    </row>
    <row r="59" spans="1:59" ht="12.75" x14ac:dyDescent="0.2">
      <c r="A59" s="7" t="str">
        <f t="shared" ca="1" si="8"/>
        <v>44.</v>
      </c>
      <c r="B59" s="7">
        <f ca="1">OFFSET(ORÇAMENTO!C$15,ROW(B59)-ROW(B$15),0)</f>
        <v>2</v>
      </c>
      <c r="C59" s="7" t="str">
        <f ca="1">OFFSET(ORÇAMENTO!L$15,ROW(C59)-ROW(C$15),0)</f>
        <v>F</v>
      </c>
      <c r="D59" s="118" t="str">
        <f ca="1">OFFSET(ORÇAMENTO!N$15,ROW(D59)-ROW(D$15),0)</f>
        <v>Nível 2</v>
      </c>
      <c r="E59" s="119" t="str">
        <f ca="1">OFFSET(ORÇAMENTO!O$15,ROW(E59)-ROW(E$15),0)</f>
        <v>1.4.</v>
      </c>
      <c r="F59" s="172" t="str">
        <f ca="1">OFFSET(ORÇAMENTO!R$15,ROW(F59)-ROW(F$15),0)</f>
        <v>SUPERESTRUTURA</v>
      </c>
      <c r="G59" s="173" t="str">
        <f ca="1">IF($D59&lt;&gt;"Serviço","",OFFSET(ORÇAMENTO!S$15,ROW(G59)-ROW(G$15),0))</f>
        <v/>
      </c>
      <c r="H59" s="124">
        <f ca="1">IF($D59&lt;&gt;"Serviço",0,IF(ACOMPANHAMENTO="BM",ROUND(OFFSET(ORÇAMENTO!AJ$15,ROW(H59)-ROW(H$15),0),15-13*ORÇAMENTO!$AF$7),SUMPRODUCT(($Q$12:$AA$12&lt;&gt;"")*ROUND($Q59:$AA59,15-13*ORÇAMENTO!$AF$7))))</f>
        <v>0</v>
      </c>
      <c r="I59" s="561"/>
      <c r="K59" s="174"/>
      <c r="L59" s="175" t="s">
        <v>255</v>
      </c>
      <c r="M59" s="176" t="str">
        <f ca="1">IF($D59&lt;&gt;"Serviço","",IF(AUTOEVENTO="manual",$A59,IF(ISERROR(MATCH($A59,$A$15:OFFSET($A59,-1,0),0)),MAX($M$15:OFFSET(M59,-1,0))+1,INDEX($M$15:OFFSET(M59,-1,0),MATCH($A59,$A$15:OFFSET($A59,-1,0),0)))))</f>
        <v/>
      </c>
      <c r="N59" s="177" t="str">
        <f ca="1">IF($D59&lt;&gt;"Serviço","",IF(AUTOEVENTO="Manual",IF($A59=0,"&lt;-- defina o número do agrupador",OFFSET(EVENTOS!$D$14,$A59,0)),OFFSET($F$15,$A59,0)))</f>
        <v/>
      </c>
      <c r="O59" s="178"/>
      <c r="Q59" s="178"/>
      <c r="R59" s="179"/>
      <c r="S59" s="179"/>
      <c r="T59" s="179"/>
      <c r="U59" s="179"/>
      <c r="V59" s="179"/>
      <c r="W59" s="179"/>
      <c r="X59" s="179"/>
      <c r="Y59" s="179"/>
      <c r="Z59" s="180"/>
      <c r="AB59" s="544">
        <f ca="1">IF(AND($D59="Serviço",AB$12&lt;&gt;0,$H59&gt;0,OR(AUTOEVENTO&lt;&gt;"manual",$M59&lt;&gt;1)),
IF(Import.TipoArredondamento&lt;&gt;"TransfereGOV",
ROUND(OFFSET($P59,0,AB$13),15-13*ORÇAMENTO!$AF$7)/$H59*OFFSET(ORÇAMENTO!$X$15,ROW(AB59)-ROW(AB$15),0),
ROUND(ROUND(OFFSET($P59,0,AB$13),15-13*ORÇAMENTO!$AF$7)*OFFSET(ORÇAMENTO!$W$15,ROW(AB59)-ROW(AB$15),0),15-13*ORÇAMENTO!$AF$11)),0)</f>
        <v>0</v>
      </c>
      <c r="AC59" s="545">
        <f ca="1">IF(AND($D59="Serviço",AC$12&lt;&gt;0,$H59&gt;0,OR(AUTOEVENTO&lt;&gt;"manual",$M59&lt;&gt;1)),
IF(Import.TipoArredondamento&lt;&gt;"TransfereGOV",
ROUND(OFFSET($P59,0,AC$13),15-13*ORÇAMENTO!$AF$7)/$H59*OFFSET(ORÇAMENTO!$X$15,ROW(AC59)-ROW(AC$15),0),
ROUND(ROUND(OFFSET($P59,0,AC$13),15-13*ORÇAMENTO!$AF$7)*OFFSET(ORÇAMENTO!$W$15,ROW(AC59)-ROW(AC$15),0),15-13*ORÇAMENTO!$AF$11)),0)</f>
        <v>0</v>
      </c>
      <c r="AD59" s="545">
        <f ca="1">IF(AND($D59="Serviço",AD$12&lt;&gt;0,$H59&gt;0,OR(AUTOEVENTO&lt;&gt;"manual",$M59&lt;&gt;1)),
IF(Import.TipoArredondamento&lt;&gt;"TransfereGOV",
ROUND(OFFSET($P59,0,AD$13),15-13*ORÇAMENTO!$AF$7)/$H59*OFFSET(ORÇAMENTO!$X$15,ROW(AD59)-ROW(AD$15),0),
ROUND(ROUND(OFFSET($P59,0,AD$13),15-13*ORÇAMENTO!$AF$7)*OFFSET(ORÇAMENTO!$W$15,ROW(AD59)-ROW(AD$15),0),15-13*ORÇAMENTO!$AF$11)),0)</f>
        <v>0</v>
      </c>
      <c r="AE59" s="545">
        <f ca="1">IF(AND($D59="Serviço",AE$12&lt;&gt;0,$H59&gt;0,OR(AUTOEVENTO&lt;&gt;"manual",$M59&lt;&gt;1)),
IF(Import.TipoArredondamento&lt;&gt;"TransfereGOV",
ROUND(OFFSET($P59,0,AE$13),15-13*ORÇAMENTO!$AF$7)/$H59*OFFSET(ORÇAMENTO!$X$15,ROW(AE59)-ROW(AE$15),0),
ROUND(ROUND(OFFSET($P59,0,AE$13),15-13*ORÇAMENTO!$AF$7)*OFFSET(ORÇAMENTO!$W$15,ROW(AE59)-ROW(AE$15),0),15-13*ORÇAMENTO!$AF$11)),0)</f>
        <v>0</v>
      </c>
      <c r="AF59" s="545">
        <f ca="1">IF(AND($D59="Serviço",AF$12&lt;&gt;0,$H59&gt;0,OR(AUTOEVENTO&lt;&gt;"manual",$M59&lt;&gt;1)),
IF(Import.TipoArredondamento&lt;&gt;"TransfereGOV",
ROUND(OFFSET($P59,0,AF$13),15-13*ORÇAMENTO!$AF$7)/$H59*OFFSET(ORÇAMENTO!$X$15,ROW(AF59)-ROW(AF$15),0),
ROUND(ROUND(OFFSET($P59,0,AF$13),15-13*ORÇAMENTO!$AF$7)*OFFSET(ORÇAMENTO!$W$15,ROW(AF59)-ROW(AF$15),0),15-13*ORÇAMENTO!$AF$11)),0)</f>
        <v>0</v>
      </c>
      <c r="AG59" s="545">
        <f ca="1">IF(AND($D59="Serviço",AG$12&lt;&gt;0,$H59&gt;0,OR(AUTOEVENTO&lt;&gt;"manual",$M59&lt;&gt;1)),
IF(Import.TipoArredondamento&lt;&gt;"TransfereGOV",
ROUND(OFFSET($P59,0,AG$13),15-13*ORÇAMENTO!$AF$7)/$H59*OFFSET(ORÇAMENTO!$X$15,ROW(AG59)-ROW(AG$15),0),
ROUND(ROUND(OFFSET($P59,0,AG$13),15-13*ORÇAMENTO!$AF$7)*OFFSET(ORÇAMENTO!$W$15,ROW(AG59)-ROW(AG$15),0),15-13*ORÇAMENTO!$AF$11)),0)</f>
        <v>0</v>
      </c>
      <c r="AH59" s="545">
        <f ca="1">IF(AND($D59="Serviço",AH$12&lt;&gt;0,$H59&gt;0,OR(AUTOEVENTO&lt;&gt;"manual",$M59&lt;&gt;1)),
IF(Import.TipoArredondamento&lt;&gt;"TransfereGOV",
ROUND(OFFSET($P59,0,AH$13),15-13*ORÇAMENTO!$AF$7)/$H59*OFFSET(ORÇAMENTO!$X$15,ROW(AH59)-ROW(AH$15),0),
ROUND(ROUND(OFFSET($P59,0,AH$13),15-13*ORÇAMENTO!$AF$7)*OFFSET(ORÇAMENTO!$W$15,ROW(AH59)-ROW(AH$15),0),15-13*ORÇAMENTO!$AF$11)),0)</f>
        <v>0</v>
      </c>
      <c r="AI59" s="545">
        <f ca="1">IF(AND($D59="Serviço",AI$12&lt;&gt;0,$H59&gt;0,OR(AUTOEVENTO&lt;&gt;"manual",$M59&lt;&gt;1)),
IF(Import.TipoArredondamento&lt;&gt;"TransfereGOV",
ROUND(OFFSET($P59,0,AI$13),15-13*ORÇAMENTO!$AF$7)/$H59*OFFSET(ORÇAMENTO!$X$15,ROW(AI59)-ROW(AI$15),0),
ROUND(ROUND(OFFSET($P59,0,AI$13),15-13*ORÇAMENTO!$AF$7)*OFFSET(ORÇAMENTO!$W$15,ROW(AI59)-ROW(AI$15),0),15-13*ORÇAMENTO!$AF$11)),0)</f>
        <v>0</v>
      </c>
      <c r="AJ59" s="545">
        <f ca="1">IF(AND($D59="Serviço",AJ$12&lt;&gt;0,$H59&gt;0,OR(AUTOEVENTO&lt;&gt;"manual",$M59&lt;&gt;1)),
IF(Import.TipoArredondamento&lt;&gt;"TransfereGOV",
ROUND(OFFSET($P59,0,AJ$13),15-13*ORÇAMENTO!$AF$7)/$H59*OFFSET(ORÇAMENTO!$X$15,ROW(AJ59)-ROW(AJ$15),0),
ROUND(ROUND(OFFSET($P59,0,AJ$13),15-13*ORÇAMENTO!$AF$7)*OFFSET(ORÇAMENTO!$W$15,ROW(AJ59)-ROW(AJ$15),0),15-13*ORÇAMENTO!$AF$11)),0)</f>
        <v>0</v>
      </c>
      <c r="AK59" s="546">
        <f ca="1">IF(AND($D59="Serviço",AK$12&lt;&gt;0,$H59&gt;0,OR(AUTOEVENTO&lt;&gt;"manual",$M59&lt;&gt;1)),
IF(Import.TipoArredondamento&lt;&gt;"TransfereGOV",
ROUND(OFFSET($P59,0,AK$13),15-13*ORÇAMENTO!$AF$7)/$H59*OFFSET(ORÇAMENTO!$X$15,ROW(AK59)-ROW(AK$15),0),
ROUND(ROUND(OFFSET($P59,0,AK$13),15-13*ORÇAMENTO!$AF$7)*OFFSET(ORÇAMENTO!$W$15,ROW(AK59)-ROW(AK$15),0),15-13*ORÇAMENTO!$AF$11)),0)</f>
        <v>0</v>
      </c>
      <c r="AM59" s="181">
        <f ca="1">IF($D59&lt;&gt;"Serviço",0,IF(AND(AUTOEVENTO="Manual",$M59=1),0,IF(OFFSET(CRONOPLE!$F$14,$M59,AM$13)="",10^12,OFFSET(CRONOPLE!$F$14,$M59,AM$13))))</f>
        <v>0</v>
      </c>
      <c r="AN59" s="181">
        <f ca="1">IF($D59&lt;&gt;"Serviço",0,IF(AND(AUTOEVENTO="Manual",$M59=1),0,IF(OFFSET(CRONOPLE!$F$14,$M59,AN$13)="",10^12,OFFSET(CRONOPLE!$F$14,$M59,AN$13))))</f>
        <v>0</v>
      </c>
      <c r="AO59" s="181">
        <f ca="1">IF($D59&lt;&gt;"Serviço",0,IF(AND(AUTOEVENTO="Manual",$M59=1),0,IF(OFFSET(CRONOPLE!$F$14,$M59,AO$13)="",10^12,OFFSET(CRONOPLE!$F$14,$M59,AO$13))))</f>
        <v>0</v>
      </c>
      <c r="AP59" s="181">
        <f ca="1">IF($D59&lt;&gt;"Serviço",0,IF(AND(AUTOEVENTO="Manual",$M59=1),0,IF(OFFSET(CRONOPLE!$F$14,$M59,AP$13)="",10^12,OFFSET(CRONOPLE!$F$14,$M59,AP$13))))</f>
        <v>0</v>
      </c>
      <c r="AQ59" s="181">
        <f ca="1">IF($D59&lt;&gt;"Serviço",0,IF(AND(AUTOEVENTO="Manual",$M59=1),0,IF(OFFSET(CRONOPLE!$F$14,$M59,AQ$13)="",10^12,OFFSET(CRONOPLE!$F$14,$M59,AQ$13))))</f>
        <v>0</v>
      </c>
      <c r="AR59" s="181">
        <f ca="1">IF($D59&lt;&gt;"Serviço",0,IF(AND(AUTOEVENTO="Manual",$M59=1),0,IF(OFFSET(CRONOPLE!$F$14,$M59,AR$13)="",10^12,OFFSET(CRONOPLE!$F$14,$M59,AR$13))))</f>
        <v>0</v>
      </c>
      <c r="AS59" s="181">
        <f ca="1">IF($D59&lt;&gt;"Serviço",0,IF(AND(AUTOEVENTO="Manual",$M59=1),0,IF(OFFSET(CRONOPLE!$F$14,$M59,AS$13)="",10^12,OFFSET(CRONOPLE!$F$14,$M59,AS$13))))</f>
        <v>0</v>
      </c>
      <c r="AT59" s="181">
        <f ca="1">IF($D59&lt;&gt;"Serviço",0,IF(AND(AUTOEVENTO="Manual",$M59=1),0,IF(OFFSET(CRONOPLE!$F$14,$M59,AT$13)="",10^12,OFFSET(CRONOPLE!$F$14,$M59,AT$13))))</f>
        <v>0</v>
      </c>
      <c r="AU59" s="181">
        <f ca="1">IF($D59&lt;&gt;"Serviço",0,IF(AND(AUTOEVENTO="Manual",$M59=1),0,IF(OFFSET(CRONOPLE!$F$14,$M59,AU$13)="",10^12,OFFSET(CRONOPLE!$F$14,$M59,AU$13))))</f>
        <v>0</v>
      </c>
      <c r="AV59" s="181">
        <f ca="1">IF($D59&lt;&gt;"Serviço",0,IF(AND(AUTOEVENTO="Manual",$M59=1),0,IF(OFFSET(CRONOPLE!$F$14,$M59,AV$13)="",10^12,OFFSET(CRONOPLE!$F$14,$M59,AV$13))))</f>
        <v>0</v>
      </c>
      <c r="AX59" s="182">
        <f ca="1">IF($D59&lt;&gt;"Serviço",0,IF(OR(AND(AUTOEVENTO="Manual",$M59=1),$M59&gt;(ROW(PLE.lastrow)-ROW(PLE.firstrow))),0,IF(OFFSET(PLE!$G$14,$M59,AX$13)="",10^12,OFFSET(PLE!$G$14,$M59,AX$13))))</f>
        <v>0</v>
      </c>
      <c r="AY59" s="182">
        <f ca="1">IF($D59&lt;&gt;"Serviço",0,IF(OR(AND(AUTOEVENTO="Manual",$M59=1),$M59&gt;(ROW(PLE.lastrow)-ROW(PLE.firstrow))),0,IF(OFFSET(PLE!$G$14,$M59,AY$13)="",10^12,OFFSET(PLE!$G$14,$M59,AY$13))))</f>
        <v>0</v>
      </c>
      <c r="AZ59" s="182">
        <f ca="1">IF($D59&lt;&gt;"Serviço",0,IF(OR(AND(AUTOEVENTO="Manual",$M59=1),$M59&gt;(ROW(PLE.lastrow)-ROW(PLE.firstrow))),0,IF(OFFSET(PLE!$G$14,$M59,AZ$13)="",10^12,OFFSET(PLE!$G$14,$M59,AZ$13))))</f>
        <v>0</v>
      </c>
      <c r="BA59" s="182">
        <f ca="1">IF($D59&lt;&gt;"Serviço",0,IF(OR(AND(AUTOEVENTO="Manual",$M59=1),$M59&gt;(ROW(PLE.lastrow)-ROW(PLE.firstrow))),0,IF(OFFSET(PLE!$G$14,$M59,BA$13)="",10^12,OFFSET(PLE!$G$14,$M59,BA$13))))</f>
        <v>0</v>
      </c>
      <c r="BB59" s="182">
        <f ca="1">IF($D59&lt;&gt;"Serviço",0,IF(OR(AND(AUTOEVENTO="Manual",$M59=1),$M59&gt;(ROW(PLE.lastrow)-ROW(PLE.firstrow))),0,IF(OFFSET(PLE!$G$14,$M59,BB$13)="",10^12,OFFSET(PLE!$G$14,$M59,BB$13))))</f>
        <v>0</v>
      </c>
      <c r="BC59" s="182">
        <f ca="1">IF($D59&lt;&gt;"Serviço",0,IF(OR(AND(AUTOEVENTO="Manual",$M59=1),$M59&gt;(ROW(PLE.lastrow)-ROW(PLE.firstrow))),0,IF(OFFSET(PLE!$G$14,$M59,BC$13)="",10^12,OFFSET(PLE!$G$14,$M59,BC$13))))</f>
        <v>0</v>
      </c>
      <c r="BD59" s="182">
        <f ca="1">IF($D59&lt;&gt;"Serviço",0,IF(OR(AND(AUTOEVENTO="Manual",$M59=1),$M59&gt;(ROW(PLE.lastrow)-ROW(PLE.firstrow))),0,IF(OFFSET(PLE!$G$14,$M59,BD$13)="",10^12,OFFSET(PLE!$G$14,$M59,BD$13))))</f>
        <v>0</v>
      </c>
      <c r="BE59" s="182">
        <f ca="1">IF($D59&lt;&gt;"Serviço",0,IF(OR(AND(AUTOEVENTO="Manual",$M59=1),$M59&gt;(ROW(PLE.lastrow)-ROW(PLE.firstrow))),0,IF(OFFSET(PLE!$G$14,$M59,BE$13)="",10^12,OFFSET(PLE!$G$14,$M59,BE$13))))</f>
        <v>0</v>
      </c>
      <c r="BF59" s="182">
        <f ca="1">IF($D59&lt;&gt;"Serviço",0,IF(OR(AND(AUTOEVENTO="Manual",$M59=1),$M59&gt;(ROW(PLE.lastrow)-ROW(PLE.firstrow))),0,IF(OFFSET(PLE!$G$14,$M59,BF$13)="",10^12,OFFSET(PLE!$G$14,$M59,BF$13))))</f>
        <v>0</v>
      </c>
      <c r="BG59" s="182">
        <f ca="1">IF($D59&lt;&gt;"Serviço",0,IF(OR(AND(AUTOEVENTO="Manual",$M59=1),$M59&gt;(ROW(PLE.lastrow)-ROW(PLE.firstrow))),0,IF(OFFSET(PLE!$G$14,$M59,BG$13)="",10^12,OFFSET(PLE!$G$14,$M59,BG$13))))</f>
        <v>0</v>
      </c>
    </row>
    <row r="60" spans="1:59" ht="12.75" x14ac:dyDescent="0.2">
      <c r="A60" s="7" t="str">
        <f t="shared" ca="1" si="8"/>
        <v>44.</v>
      </c>
      <c r="B60" s="7">
        <f ca="1">OFFSET(ORÇAMENTO!C$15,ROW(B60)-ROW(B$15),0)</f>
        <v>3</v>
      </c>
      <c r="C60" s="7" t="str">
        <f ca="1">OFFSET(ORÇAMENTO!L$15,ROW(C60)-ROW(C$15),0)</f>
        <v>F</v>
      </c>
      <c r="D60" s="118" t="str">
        <f ca="1">OFFSET(ORÇAMENTO!N$15,ROW(D60)-ROW(D$15),0)</f>
        <v>Nível 3</v>
      </c>
      <c r="E60" s="119" t="str">
        <f ca="1">OFFSET(ORÇAMENTO!O$15,ROW(E60)-ROW(E$15),0)</f>
        <v>1.4.1.</v>
      </c>
      <c r="F60" s="172" t="str">
        <f ca="1">OFFSET(ORÇAMENTO!R$15,ROW(F60)-ROW(F$15),0)</f>
        <v>CONCRETO ARMADO - VIGAS BALDRAME</v>
      </c>
      <c r="G60" s="173" t="str">
        <f ca="1">IF($D60&lt;&gt;"Serviço","",OFFSET(ORÇAMENTO!S$15,ROW(G60)-ROW(G$15),0))</f>
        <v/>
      </c>
      <c r="H60" s="124">
        <f ca="1">IF($D60&lt;&gt;"Serviço",0,IF(ACOMPANHAMENTO="BM",ROUND(OFFSET(ORÇAMENTO!AJ$15,ROW(H60)-ROW(H$15),0),15-13*ORÇAMENTO!$AF$7),SUMPRODUCT(($Q$12:$AA$12&lt;&gt;"")*ROUND($Q60:$AA60,15-13*ORÇAMENTO!$AF$7))))</f>
        <v>0</v>
      </c>
      <c r="I60" s="561"/>
      <c r="K60" s="174"/>
      <c r="L60" s="175" t="s">
        <v>255</v>
      </c>
      <c r="M60" s="176" t="str">
        <f ca="1">IF($D60&lt;&gt;"Serviço","",IF(AUTOEVENTO="manual",$A60,IF(ISERROR(MATCH($A60,$A$15:OFFSET($A60,-1,0),0)),MAX($M$15:OFFSET(M60,-1,0))+1,INDEX($M$15:OFFSET(M60,-1,0),MATCH($A60,$A$15:OFFSET($A60,-1,0),0)))))</f>
        <v/>
      </c>
      <c r="N60" s="177" t="str">
        <f ca="1">IF($D60&lt;&gt;"Serviço","",IF(AUTOEVENTO="Manual",IF($A60=0,"&lt;-- defina o número do agrupador",OFFSET(EVENTOS!$D$14,$A60,0)),OFFSET($F$15,$A60,0)))</f>
        <v/>
      </c>
      <c r="O60" s="178"/>
      <c r="Q60" s="178"/>
      <c r="R60" s="179"/>
      <c r="S60" s="179"/>
      <c r="T60" s="179"/>
      <c r="U60" s="179"/>
      <c r="V60" s="179"/>
      <c r="W60" s="179"/>
      <c r="X60" s="179"/>
      <c r="Y60" s="179"/>
      <c r="Z60" s="180"/>
      <c r="AB60" s="544">
        <f ca="1">IF(AND($D60="Serviço",AB$12&lt;&gt;0,$H60&gt;0,OR(AUTOEVENTO&lt;&gt;"manual",$M60&lt;&gt;1)),
IF(Import.TipoArredondamento&lt;&gt;"TransfereGOV",
ROUND(OFFSET($P60,0,AB$13),15-13*ORÇAMENTO!$AF$7)/$H60*OFFSET(ORÇAMENTO!$X$15,ROW(AB60)-ROW(AB$15),0),
ROUND(ROUND(OFFSET($P60,0,AB$13),15-13*ORÇAMENTO!$AF$7)*OFFSET(ORÇAMENTO!$W$15,ROW(AB60)-ROW(AB$15),0),15-13*ORÇAMENTO!$AF$11)),0)</f>
        <v>0</v>
      </c>
      <c r="AC60" s="545">
        <f ca="1">IF(AND($D60="Serviço",AC$12&lt;&gt;0,$H60&gt;0,OR(AUTOEVENTO&lt;&gt;"manual",$M60&lt;&gt;1)),
IF(Import.TipoArredondamento&lt;&gt;"TransfereGOV",
ROUND(OFFSET($P60,0,AC$13),15-13*ORÇAMENTO!$AF$7)/$H60*OFFSET(ORÇAMENTO!$X$15,ROW(AC60)-ROW(AC$15),0),
ROUND(ROUND(OFFSET($P60,0,AC$13),15-13*ORÇAMENTO!$AF$7)*OFFSET(ORÇAMENTO!$W$15,ROW(AC60)-ROW(AC$15),0),15-13*ORÇAMENTO!$AF$11)),0)</f>
        <v>0</v>
      </c>
      <c r="AD60" s="545">
        <f ca="1">IF(AND($D60="Serviço",AD$12&lt;&gt;0,$H60&gt;0,OR(AUTOEVENTO&lt;&gt;"manual",$M60&lt;&gt;1)),
IF(Import.TipoArredondamento&lt;&gt;"TransfereGOV",
ROUND(OFFSET($P60,0,AD$13),15-13*ORÇAMENTO!$AF$7)/$H60*OFFSET(ORÇAMENTO!$X$15,ROW(AD60)-ROW(AD$15),0),
ROUND(ROUND(OFFSET($P60,0,AD$13),15-13*ORÇAMENTO!$AF$7)*OFFSET(ORÇAMENTO!$W$15,ROW(AD60)-ROW(AD$15),0),15-13*ORÇAMENTO!$AF$11)),0)</f>
        <v>0</v>
      </c>
      <c r="AE60" s="545">
        <f ca="1">IF(AND($D60="Serviço",AE$12&lt;&gt;0,$H60&gt;0,OR(AUTOEVENTO&lt;&gt;"manual",$M60&lt;&gt;1)),
IF(Import.TipoArredondamento&lt;&gt;"TransfereGOV",
ROUND(OFFSET($P60,0,AE$13),15-13*ORÇAMENTO!$AF$7)/$H60*OFFSET(ORÇAMENTO!$X$15,ROW(AE60)-ROW(AE$15),0),
ROUND(ROUND(OFFSET($P60,0,AE$13),15-13*ORÇAMENTO!$AF$7)*OFFSET(ORÇAMENTO!$W$15,ROW(AE60)-ROW(AE$15),0),15-13*ORÇAMENTO!$AF$11)),0)</f>
        <v>0</v>
      </c>
      <c r="AF60" s="545">
        <f ca="1">IF(AND($D60="Serviço",AF$12&lt;&gt;0,$H60&gt;0,OR(AUTOEVENTO&lt;&gt;"manual",$M60&lt;&gt;1)),
IF(Import.TipoArredondamento&lt;&gt;"TransfereGOV",
ROUND(OFFSET($P60,0,AF$13),15-13*ORÇAMENTO!$AF$7)/$H60*OFFSET(ORÇAMENTO!$X$15,ROW(AF60)-ROW(AF$15),0),
ROUND(ROUND(OFFSET($P60,0,AF$13),15-13*ORÇAMENTO!$AF$7)*OFFSET(ORÇAMENTO!$W$15,ROW(AF60)-ROW(AF$15),0),15-13*ORÇAMENTO!$AF$11)),0)</f>
        <v>0</v>
      </c>
      <c r="AG60" s="545">
        <f ca="1">IF(AND($D60="Serviço",AG$12&lt;&gt;0,$H60&gt;0,OR(AUTOEVENTO&lt;&gt;"manual",$M60&lt;&gt;1)),
IF(Import.TipoArredondamento&lt;&gt;"TransfereGOV",
ROUND(OFFSET($P60,0,AG$13),15-13*ORÇAMENTO!$AF$7)/$H60*OFFSET(ORÇAMENTO!$X$15,ROW(AG60)-ROW(AG$15),0),
ROUND(ROUND(OFFSET($P60,0,AG$13),15-13*ORÇAMENTO!$AF$7)*OFFSET(ORÇAMENTO!$W$15,ROW(AG60)-ROW(AG$15),0),15-13*ORÇAMENTO!$AF$11)),0)</f>
        <v>0</v>
      </c>
      <c r="AH60" s="545">
        <f ca="1">IF(AND($D60="Serviço",AH$12&lt;&gt;0,$H60&gt;0,OR(AUTOEVENTO&lt;&gt;"manual",$M60&lt;&gt;1)),
IF(Import.TipoArredondamento&lt;&gt;"TransfereGOV",
ROUND(OFFSET($P60,0,AH$13),15-13*ORÇAMENTO!$AF$7)/$H60*OFFSET(ORÇAMENTO!$X$15,ROW(AH60)-ROW(AH$15),0),
ROUND(ROUND(OFFSET($P60,0,AH$13),15-13*ORÇAMENTO!$AF$7)*OFFSET(ORÇAMENTO!$W$15,ROW(AH60)-ROW(AH$15),0),15-13*ORÇAMENTO!$AF$11)),0)</f>
        <v>0</v>
      </c>
      <c r="AI60" s="545">
        <f ca="1">IF(AND($D60="Serviço",AI$12&lt;&gt;0,$H60&gt;0,OR(AUTOEVENTO&lt;&gt;"manual",$M60&lt;&gt;1)),
IF(Import.TipoArredondamento&lt;&gt;"TransfereGOV",
ROUND(OFFSET($P60,0,AI$13),15-13*ORÇAMENTO!$AF$7)/$H60*OFFSET(ORÇAMENTO!$X$15,ROW(AI60)-ROW(AI$15),0),
ROUND(ROUND(OFFSET($P60,0,AI$13),15-13*ORÇAMENTO!$AF$7)*OFFSET(ORÇAMENTO!$W$15,ROW(AI60)-ROW(AI$15),0),15-13*ORÇAMENTO!$AF$11)),0)</f>
        <v>0</v>
      </c>
      <c r="AJ60" s="545">
        <f ca="1">IF(AND($D60="Serviço",AJ$12&lt;&gt;0,$H60&gt;0,OR(AUTOEVENTO&lt;&gt;"manual",$M60&lt;&gt;1)),
IF(Import.TipoArredondamento&lt;&gt;"TransfereGOV",
ROUND(OFFSET($P60,0,AJ$13),15-13*ORÇAMENTO!$AF$7)/$H60*OFFSET(ORÇAMENTO!$X$15,ROW(AJ60)-ROW(AJ$15),0),
ROUND(ROUND(OFFSET($P60,0,AJ$13),15-13*ORÇAMENTO!$AF$7)*OFFSET(ORÇAMENTO!$W$15,ROW(AJ60)-ROW(AJ$15),0),15-13*ORÇAMENTO!$AF$11)),0)</f>
        <v>0</v>
      </c>
      <c r="AK60" s="546">
        <f ca="1">IF(AND($D60="Serviço",AK$12&lt;&gt;0,$H60&gt;0,OR(AUTOEVENTO&lt;&gt;"manual",$M60&lt;&gt;1)),
IF(Import.TipoArredondamento&lt;&gt;"TransfereGOV",
ROUND(OFFSET($P60,0,AK$13),15-13*ORÇAMENTO!$AF$7)/$H60*OFFSET(ORÇAMENTO!$X$15,ROW(AK60)-ROW(AK$15),0),
ROUND(ROUND(OFFSET($P60,0,AK$13),15-13*ORÇAMENTO!$AF$7)*OFFSET(ORÇAMENTO!$W$15,ROW(AK60)-ROW(AK$15),0),15-13*ORÇAMENTO!$AF$11)),0)</f>
        <v>0</v>
      </c>
      <c r="AM60" s="181">
        <f ca="1">IF($D60&lt;&gt;"Serviço",0,IF(AND(AUTOEVENTO="Manual",$M60=1),0,IF(OFFSET(CRONOPLE!$F$14,$M60,AM$13)="",10^12,OFFSET(CRONOPLE!$F$14,$M60,AM$13))))</f>
        <v>0</v>
      </c>
      <c r="AN60" s="181">
        <f ca="1">IF($D60&lt;&gt;"Serviço",0,IF(AND(AUTOEVENTO="Manual",$M60=1),0,IF(OFFSET(CRONOPLE!$F$14,$M60,AN$13)="",10^12,OFFSET(CRONOPLE!$F$14,$M60,AN$13))))</f>
        <v>0</v>
      </c>
      <c r="AO60" s="181">
        <f ca="1">IF($D60&lt;&gt;"Serviço",0,IF(AND(AUTOEVENTO="Manual",$M60=1),0,IF(OFFSET(CRONOPLE!$F$14,$M60,AO$13)="",10^12,OFFSET(CRONOPLE!$F$14,$M60,AO$13))))</f>
        <v>0</v>
      </c>
      <c r="AP60" s="181">
        <f ca="1">IF($D60&lt;&gt;"Serviço",0,IF(AND(AUTOEVENTO="Manual",$M60=1),0,IF(OFFSET(CRONOPLE!$F$14,$M60,AP$13)="",10^12,OFFSET(CRONOPLE!$F$14,$M60,AP$13))))</f>
        <v>0</v>
      </c>
      <c r="AQ60" s="181">
        <f ca="1">IF($D60&lt;&gt;"Serviço",0,IF(AND(AUTOEVENTO="Manual",$M60=1),0,IF(OFFSET(CRONOPLE!$F$14,$M60,AQ$13)="",10^12,OFFSET(CRONOPLE!$F$14,$M60,AQ$13))))</f>
        <v>0</v>
      </c>
      <c r="AR60" s="181">
        <f ca="1">IF($D60&lt;&gt;"Serviço",0,IF(AND(AUTOEVENTO="Manual",$M60=1),0,IF(OFFSET(CRONOPLE!$F$14,$M60,AR$13)="",10^12,OFFSET(CRONOPLE!$F$14,$M60,AR$13))))</f>
        <v>0</v>
      </c>
      <c r="AS60" s="181">
        <f ca="1">IF($D60&lt;&gt;"Serviço",0,IF(AND(AUTOEVENTO="Manual",$M60=1),0,IF(OFFSET(CRONOPLE!$F$14,$M60,AS$13)="",10^12,OFFSET(CRONOPLE!$F$14,$M60,AS$13))))</f>
        <v>0</v>
      </c>
      <c r="AT60" s="181">
        <f ca="1">IF($D60&lt;&gt;"Serviço",0,IF(AND(AUTOEVENTO="Manual",$M60=1),0,IF(OFFSET(CRONOPLE!$F$14,$M60,AT$13)="",10^12,OFFSET(CRONOPLE!$F$14,$M60,AT$13))))</f>
        <v>0</v>
      </c>
      <c r="AU60" s="181">
        <f ca="1">IF($D60&lt;&gt;"Serviço",0,IF(AND(AUTOEVENTO="Manual",$M60=1),0,IF(OFFSET(CRONOPLE!$F$14,$M60,AU$13)="",10^12,OFFSET(CRONOPLE!$F$14,$M60,AU$13))))</f>
        <v>0</v>
      </c>
      <c r="AV60" s="181">
        <f ca="1">IF($D60&lt;&gt;"Serviço",0,IF(AND(AUTOEVENTO="Manual",$M60=1),0,IF(OFFSET(CRONOPLE!$F$14,$M60,AV$13)="",10^12,OFFSET(CRONOPLE!$F$14,$M60,AV$13))))</f>
        <v>0</v>
      </c>
      <c r="AX60" s="182">
        <f ca="1">IF($D60&lt;&gt;"Serviço",0,IF(OR(AND(AUTOEVENTO="Manual",$M60=1),$M60&gt;(ROW(PLE.lastrow)-ROW(PLE.firstrow))),0,IF(OFFSET(PLE!$G$14,$M60,AX$13)="",10^12,OFFSET(PLE!$G$14,$M60,AX$13))))</f>
        <v>0</v>
      </c>
      <c r="AY60" s="182">
        <f ca="1">IF($D60&lt;&gt;"Serviço",0,IF(OR(AND(AUTOEVENTO="Manual",$M60=1),$M60&gt;(ROW(PLE.lastrow)-ROW(PLE.firstrow))),0,IF(OFFSET(PLE!$G$14,$M60,AY$13)="",10^12,OFFSET(PLE!$G$14,$M60,AY$13))))</f>
        <v>0</v>
      </c>
      <c r="AZ60" s="182">
        <f ca="1">IF($D60&lt;&gt;"Serviço",0,IF(OR(AND(AUTOEVENTO="Manual",$M60=1),$M60&gt;(ROW(PLE.lastrow)-ROW(PLE.firstrow))),0,IF(OFFSET(PLE!$G$14,$M60,AZ$13)="",10^12,OFFSET(PLE!$G$14,$M60,AZ$13))))</f>
        <v>0</v>
      </c>
      <c r="BA60" s="182">
        <f ca="1">IF($D60&lt;&gt;"Serviço",0,IF(OR(AND(AUTOEVENTO="Manual",$M60=1),$M60&gt;(ROW(PLE.lastrow)-ROW(PLE.firstrow))),0,IF(OFFSET(PLE!$G$14,$M60,BA$13)="",10^12,OFFSET(PLE!$G$14,$M60,BA$13))))</f>
        <v>0</v>
      </c>
      <c r="BB60" s="182">
        <f ca="1">IF($D60&lt;&gt;"Serviço",0,IF(OR(AND(AUTOEVENTO="Manual",$M60=1),$M60&gt;(ROW(PLE.lastrow)-ROW(PLE.firstrow))),0,IF(OFFSET(PLE!$G$14,$M60,BB$13)="",10^12,OFFSET(PLE!$G$14,$M60,BB$13))))</f>
        <v>0</v>
      </c>
      <c r="BC60" s="182">
        <f ca="1">IF($D60&lt;&gt;"Serviço",0,IF(OR(AND(AUTOEVENTO="Manual",$M60=1),$M60&gt;(ROW(PLE.lastrow)-ROW(PLE.firstrow))),0,IF(OFFSET(PLE!$G$14,$M60,BC$13)="",10^12,OFFSET(PLE!$G$14,$M60,BC$13))))</f>
        <v>0</v>
      </c>
      <c r="BD60" s="182">
        <f ca="1">IF($D60&lt;&gt;"Serviço",0,IF(OR(AND(AUTOEVENTO="Manual",$M60=1),$M60&gt;(ROW(PLE.lastrow)-ROW(PLE.firstrow))),0,IF(OFFSET(PLE!$G$14,$M60,BD$13)="",10^12,OFFSET(PLE!$G$14,$M60,BD$13))))</f>
        <v>0</v>
      </c>
      <c r="BE60" s="182">
        <f ca="1">IF($D60&lt;&gt;"Serviço",0,IF(OR(AND(AUTOEVENTO="Manual",$M60=1),$M60&gt;(ROW(PLE.lastrow)-ROW(PLE.firstrow))),0,IF(OFFSET(PLE!$G$14,$M60,BE$13)="",10^12,OFFSET(PLE!$G$14,$M60,BE$13))))</f>
        <v>0</v>
      </c>
      <c r="BF60" s="182">
        <f ca="1">IF($D60&lt;&gt;"Serviço",0,IF(OR(AND(AUTOEVENTO="Manual",$M60=1),$M60&gt;(ROW(PLE.lastrow)-ROW(PLE.firstrow))),0,IF(OFFSET(PLE!$G$14,$M60,BF$13)="",10^12,OFFSET(PLE!$G$14,$M60,BF$13))))</f>
        <v>0</v>
      </c>
      <c r="BG60" s="182">
        <f ca="1">IF($D60&lt;&gt;"Serviço",0,IF(OR(AND(AUTOEVENTO="Manual",$M60=1),$M60&gt;(ROW(PLE.lastrow)-ROW(PLE.firstrow))),0,IF(OFFSET(PLE!$G$14,$M60,BG$13)="",10^12,OFFSET(PLE!$G$14,$M60,BG$13))))</f>
        <v>0</v>
      </c>
    </row>
    <row r="61" spans="1:59" ht="25.5" x14ac:dyDescent="0.2">
      <c r="A61" s="7" t="str">
        <f t="shared" ca="1" si="8"/>
        <v>44</v>
      </c>
      <c r="B61" s="7" t="str">
        <f ca="1">OFFSET(ORÇAMENTO!C$15,ROW(B61)-ROW(B$15),0)</f>
        <v>S</v>
      </c>
      <c r="C61" s="7" t="str">
        <f ca="1">OFFSET(ORÇAMENTO!L$15,ROW(C61)-ROW(C$15),0)</f>
        <v/>
      </c>
      <c r="D61" s="118" t="str">
        <f ca="1">OFFSET(ORÇAMENTO!N$15,ROW(D61)-ROW(D$15),0)</f>
        <v>Serviço</v>
      </c>
      <c r="E61" s="119" t="str">
        <f ca="1">OFFSET(ORÇAMENTO!O$15,ROW(E61)-ROW(E$15),0)</f>
        <v>-</v>
      </c>
      <c r="F61" s="172" t="str">
        <f ca="1">OFFSET(ORÇAMENTO!R$15,ROW(F61)-ROW(F$15),0)</f>
        <v>(abra o arquivo 'Referência 02-2025.xlsm)</v>
      </c>
      <c r="G61" s="173" t="str">
        <f ca="1">IF($D61&lt;&gt;"Serviço","",OFFSET(ORÇAMENTO!S$15,ROW(G61)-ROW(G$15),0))</f>
        <v>-</v>
      </c>
      <c r="H61" s="124">
        <f ca="1">IF($D61&lt;&gt;"Serviço",0,IF(ACOMPANHAMENTO="BM",ROUND(OFFSET(ORÇAMENTO!AJ$15,ROW(H61)-ROW(H$15),0),15-13*ORÇAMENTO!$AF$7),SUMPRODUCT(($Q$12:$AA$12&lt;&gt;"")*ROUND($Q61:$AA61,15-13*ORÇAMENTO!$AF$7))))</f>
        <v>43.64</v>
      </c>
      <c r="I61" s="561" t="s">
        <v>890</v>
      </c>
      <c r="K61" s="174"/>
      <c r="L61" s="175" t="s">
        <v>255</v>
      </c>
      <c r="M61" s="176">
        <f ca="1">IF($D61&lt;&gt;"Serviço","",IF(AUTOEVENTO="manual",$A61,IF(ISERROR(MATCH($A61,$A$15:OFFSET($A61,-1,0),0)),MAX($M$15:OFFSET(M61,-1,0))+1,INDEX($M$15:OFFSET(M61,-1,0),MATCH($A61,$A$15:OFFSET($A61,-1,0),0)))))</f>
        <v>5</v>
      </c>
      <c r="N61" s="177" t="str">
        <f ca="1">IF($D61&lt;&gt;"Serviço","",IF(AUTOEVENTO="Manual",IF($A61=0,"&lt;-- defina o número do agrupador",OFFSET(EVENTOS!$D$14,$A61,0)),OFFSET($F$15,$A61,0)))</f>
        <v>SUPERESTRUTURA</v>
      </c>
      <c r="O61" s="178"/>
      <c r="Q61" s="178"/>
      <c r="R61" s="179"/>
      <c r="S61" s="179"/>
      <c r="T61" s="179"/>
      <c r="U61" s="179"/>
      <c r="V61" s="179"/>
      <c r="W61" s="179"/>
      <c r="X61" s="179"/>
      <c r="Y61" s="179"/>
      <c r="Z61" s="180"/>
      <c r="AB61" s="544">
        <f ca="1">IF(AND($D61="Serviço",AB$12&lt;&gt;0,$H61&gt;0,OR(AUTOEVENTO&lt;&gt;"manual",$M61&lt;&gt;1)),
IF(Import.TipoArredondamento&lt;&gt;"TransfereGOV",
ROUND(OFFSET($P61,0,AB$13),15-13*ORÇAMENTO!$AF$7)/$H61*OFFSET(ORÇAMENTO!$X$15,ROW(AB61)-ROW(AB$15),0),
ROUND(ROUND(OFFSET($P61,0,AB$13),15-13*ORÇAMENTO!$AF$7)*OFFSET(ORÇAMENTO!$W$15,ROW(AB61)-ROW(AB$15),0),15-13*ORÇAMENTO!$AF$11)),0)</f>
        <v>0</v>
      </c>
      <c r="AC61" s="545">
        <f ca="1">IF(AND($D61="Serviço",AC$12&lt;&gt;0,$H61&gt;0,OR(AUTOEVENTO&lt;&gt;"manual",$M61&lt;&gt;1)),
IF(Import.TipoArredondamento&lt;&gt;"TransfereGOV",
ROUND(OFFSET($P61,0,AC$13),15-13*ORÇAMENTO!$AF$7)/$H61*OFFSET(ORÇAMENTO!$X$15,ROW(AC61)-ROW(AC$15),0),
ROUND(ROUND(OFFSET($P61,0,AC$13),15-13*ORÇAMENTO!$AF$7)*OFFSET(ORÇAMENTO!$W$15,ROW(AC61)-ROW(AC$15),0),15-13*ORÇAMENTO!$AF$11)),0)</f>
        <v>0</v>
      </c>
      <c r="AD61" s="545">
        <f ca="1">IF(AND($D61="Serviço",AD$12&lt;&gt;0,$H61&gt;0,OR(AUTOEVENTO&lt;&gt;"manual",$M61&lt;&gt;1)),
IF(Import.TipoArredondamento&lt;&gt;"TransfereGOV",
ROUND(OFFSET($P61,0,AD$13),15-13*ORÇAMENTO!$AF$7)/$H61*OFFSET(ORÇAMENTO!$X$15,ROW(AD61)-ROW(AD$15),0),
ROUND(ROUND(OFFSET($P61,0,AD$13),15-13*ORÇAMENTO!$AF$7)*OFFSET(ORÇAMENTO!$W$15,ROW(AD61)-ROW(AD$15),0),15-13*ORÇAMENTO!$AF$11)),0)</f>
        <v>0</v>
      </c>
      <c r="AE61" s="545">
        <f ca="1">IF(AND($D61="Serviço",AE$12&lt;&gt;0,$H61&gt;0,OR(AUTOEVENTO&lt;&gt;"manual",$M61&lt;&gt;1)),
IF(Import.TipoArredondamento&lt;&gt;"TransfereGOV",
ROUND(OFFSET($P61,0,AE$13),15-13*ORÇAMENTO!$AF$7)/$H61*OFFSET(ORÇAMENTO!$X$15,ROW(AE61)-ROW(AE$15),0),
ROUND(ROUND(OFFSET($P61,0,AE$13),15-13*ORÇAMENTO!$AF$7)*OFFSET(ORÇAMENTO!$W$15,ROW(AE61)-ROW(AE$15),0),15-13*ORÇAMENTO!$AF$11)),0)</f>
        <v>0</v>
      </c>
      <c r="AF61" s="545">
        <f ca="1">IF(AND($D61="Serviço",AF$12&lt;&gt;0,$H61&gt;0,OR(AUTOEVENTO&lt;&gt;"manual",$M61&lt;&gt;1)),
IF(Import.TipoArredondamento&lt;&gt;"TransfereGOV",
ROUND(OFFSET($P61,0,AF$13),15-13*ORÇAMENTO!$AF$7)/$H61*OFFSET(ORÇAMENTO!$X$15,ROW(AF61)-ROW(AF$15),0),
ROUND(ROUND(OFFSET($P61,0,AF$13),15-13*ORÇAMENTO!$AF$7)*OFFSET(ORÇAMENTO!$W$15,ROW(AF61)-ROW(AF$15),0),15-13*ORÇAMENTO!$AF$11)),0)</f>
        <v>0</v>
      </c>
      <c r="AG61" s="545">
        <f ca="1">IF(AND($D61="Serviço",AG$12&lt;&gt;0,$H61&gt;0,OR(AUTOEVENTO&lt;&gt;"manual",$M61&lt;&gt;1)),
IF(Import.TipoArredondamento&lt;&gt;"TransfereGOV",
ROUND(OFFSET($P61,0,AG$13),15-13*ORÇAMENTO!$AF$7)/$H61*OFFSET(ORÇAMENTO!$X$15,ROW(AG61)-ROW(AG$15),0),
ROUND(ROUND(OFFSET($P61,0,AG$13),15-13*ORÇAMENTO!$AF$7)*OFFSET(ORÇAMENTO!$W$15,ROW(AG61)-ROW(AG$15),0),15-13*ORÇAMENTO!$AF$11)),0)</f>
        <v>0</v>
      </c>
      <c r="AH61" s="545">
        <f ca="1">IF(AND($D61="Serviço",AH$12&lt;&gt;0,$H61&gt;0,OR(AUTOEVENTO&lt;&gt;"manual",$M61&lt;&gt;1)),
IF(Import.TipoArredondamento&lt;&gt;"TransfereGOV",
ROUND(OFFSET($P61,0,AH$13),15-13*ORÇAMENTO!$AF$7)/$H61*OFFSET(ORÇAMENTO!$X$15,ROW(AH61)-ROW(AH$15),0),
ROUND(ROUND(OFFSET($P61,0,AH$13),15-13*ORÇAMENTO!$AF$7)*OFFSET(ORÇAMENTO!$W$15,ROW(AH61)-ROW(AH$15),0),15-13*ORÇAMENTO!$AF$11)),0)</f>
        <v>0</v>
      </c>
      <c r="AI61" s="545">
        <f ca="1">IF(AND($D61="Serviço",AI$12&lt;&gt;0,$H61&gt;0,OR(AUTOEVENTO&lt;&gt;"manual",$M61&lt;&gt;1)),
IF(Import.TipoArredondamento&lt;&gt;"TransfereGOV",
ROUND(OFFSET($P61,0,AI$13),15-13*ORÇAMENTO!$AF$7)/$H61*OFFSET(ORÇAMENTO!$X$15,ROW(AI61)-ROW(AI$15),0),
ROUND(ROUND(OFFSET($P61,0,AI$13),15-13*ORÇAMENTO!$AF$7)*OFFSET(ORÇAMENTO!$W$15,ROW(AI61)-ROW(AI$15),0),15-13*ORÇAMENTO!$AF$11)),0)</f>
        <v>0</v>
      </c>
      <c r="AJ61" s="545">
        <f ca="1">IF(AND($D61="Serviço",AJ$12&lt;&gt;0,$H61&gt;0,OR(AUTOEVENTO&lt;&gt;"manual",$M61&lt;&gt;1)),
IF(Import.TipoArredondamento&lt;&gt;"TransfereGOV",
ROUND(OFFSET($P61,0,AJ$13),15-13*ORÇAMENTO!$AF$7)/$H61*OFFSET(ORÇAMENTO!$X$15,ROW(AJ61)-ROW(AJ$15),0),
ROUND(ROUND(OFFSET($P61,0,AJ$13),15-13*ORÇAMENTO!$AF$7)*OFFSET(ORÇAMENTO!$W$15,ROW(AJ61)-ROW(AJ$15),0),15-13*ORÇAMENTO!$AF$11)),0)</f>
        <v>0</v>
      </c>
      <c r="AK61" s="546">
        <f ca="1">IF(AND($D61="Serviço",AK$12&lt;&gt;0,$H61&gt;0,OR(AUTOEVENTO&lt;&gt;"manual",$M61&lt;&gt;1)),
IF(Import.TipoArredondamento&lt;&gt;"TransfereGOV",
ROUND(OFFSET($P61,0,AK$13),15-13*ORÇAMENTO!$AF$7)/$H61*OFFSET(ORÇAMENTO!$X$15,ROW(AK61)-ROW(AK$15),0),
ROUND(ROUND(OFFSET($P61,0,AK$13),15-13*ORÇAMENTO!$AF$7)*OFFSET(ORÇAMENTO!$W$15,ROW(AK61)-ROW(AK$15),0),15-13*ORÇAMENTO!$AF$11)),0)</f>
        <v>0</v>
      </c>
      <c r="AM61" s="181">
        <f ca="1">IF($D61&lt;&gt;"Serviço",0,IF(AND(AUTOEVENTO="Manual",$M61=1),0,IF(OFFSET(CRONOPLE!$F$14,$M61,AM$13)="",10^12,OFFSET(CRONOPLE!$F$14,$M61,AM$13))))</f>
        <v>1000000000000</v>
      </c>
      <c r="AN61" s="181">
        <f ca="1">IF($D61&lt;&gt;"Serviço",0,IF(AND(AUTOEVENTO="Manual",$M61=1),0,IF(OFFSET(CRONOPLE!$F$14,$M61,AN$13)="",10^12,OFFSET(CRONOPLE!$F$14,$M61,AN$13))))</f>
        <v>1000000000000</v>
      </c>
      <c r="AO61" s="181">
        <f ca="1">IF($D61&lt;&gt;"Serviço",0,IF(AND(AUTOEVENTO="Manual",$M61=1),0,IF(OFFSET(CRONOPLE!$F$14,$M61,AO$13)="",10^12,OFFSET(CRONOPLE!$F$14,$M61,AO$13))))</f>
        <v>1000000000000</v>
      </c>
      <c r="AP61" s="181">
        <f ca="1">IF($D61&lt;&gt;"Serviço",0,IF(AND(AUTOEVENTO="Manual",$M61=1),0,IF(OFFSET(CRONOPLE!$F$14,$M61,AP$13)="",10^12,OFFSET(CRONOPLE!$F$14,$M61,AP$13))))</f>
        <v>1000000000000</v>
      </c>
      <c r="AQ61" s="181">
        <f ca="1">IF($D61&lt;&gt;"Serviço",0,IF(AND(AUTOEVENTO="Manual",$M61=1),0,IF(OFFSET(CRONOPLE!$F$14,$M61,AQ$13)="",10^12,OFFSET(CRONOPLE!$F$14,$M61,AQ$13))))</f>
        <v>1000000000000</v>
      </c>
      <c r="AR61" s="181">
        <f ca="1">IF($D61&lt;&gt;"Serviço",0,IF(AND(AUTOEVENTO="Manual",$M61=1),0,IF(OFFSET(CRONOPLE!$F$14,$M61,AR$13)="",10^12,OFFSET(CRONOPLE!$F$14,$M61,AR$13))))</f>
        <v>1000000000000</v>
      </c>
      <c r="AS61" s="181">
        <f ca="1">IF($D61&lt;&gt;"Serviço",0,IF(AND(AUTOEVENTO="Manual",$M61=1),0,IF(OFFSET(CRONOPLE!$F$14,$M61,AS$13)="",10^12,OFFSET(CRONOPLE!$F$14,$M61,AS$13))))</f>
        <v>1000000000000</v>
      </c>
      <c r="AT61" s="181">
        <f ca="1">IF($D61&lt;&gt;"Serviço",0,IF(AND(AUTOEVENTO="Manual",$M61=1),0,IF(OFFSET(CRONOPLE!$F$14,$M61,AT$13)="",10^12,OFFSET(CRONOPLE!$F$14,$M61,AT$13))))</f>
        <v>1000000000000</v>
      </c>
      <c r="AU61" s="181">
        <f ca="1">IF($D61&lt;&gt;"Serviço",0,IF(AND(AUTOEVENTO="Manual",$M61=1),0,IF(OFFSET(CRONOPLE!$F$14,$M61,AU$13)="",10^12,OFFSET(CRONOPLE!$F$14,$M61,AU$13))))</f>
        <v>1000000000000</v>
      </c>
      <c r="AV61" s="181">
        <f ca="1">IF($D61&lt;&gt;"Serviço",0,IF(AND(AUTOEVENTO="Manual",$M61=1),0,IF(OFFSET(CRONOPLE!$F$14,$M61,AV$13)="",10^12,OFFSET(CRONOPLE!$F$14,$M61,AV$13))))</f>
        <v>1000000000000</v>
      </c>
      <c r="AX61" s="182">
        <f ca="1">IF($D61&lt;&gt;"Serviço",0,IF(OR(AND(AUTOEVENTO="Manual",$M61=1),$M61&gt;(ROW(PLE.lastrow)-ROW(PLE.firstrow))),0,IF(OFFSET(PLE!$G$14,$M61,AX$13)="",10^12,OFFSET(PLE!$G$14,$M61,AX$13))))</f>
        <v>1000000000000</v>
      </c>
      <c r="AY61" s="182">
        <f ca="1">IF($D61&lt;&gt;"Serviço",0,IF(OR(AND(AUTOEVENTO="Manual",$M61=1),$M61&gt;(ROW(PLE.lastrow)-ROW(PLE.firstrow))),0,IF(OFFSET(PLE!$G$14,$M61,AY$13)="",10^12,OFFSET(PLE!$G$14,$M61,AY$13))))</f>
        <v>1000000000000</v>
      </c>
      <c r="AZ61" s="182">
        <f ca="1">IF($D61&lt;&gt;"Serviço",0,IF(OR(AND(AUTOEVENTO="Manual",$M61=1),$M61&gt;(ROW(PLE.lastrow)-ROW(PLE.firstrow))),0,IF(OFFSET(PLE!$G$14,$M61,AZ$13)="",10^12,OFFSET(PLE!$G$14,$M61,AZ$13))))</f>
        <v>1000000000000</v>
      </c>
      <c r="BA61" s="182">
        <f ca="1">IF($D61&lt;&gt;"Serviço",0,IF(OR(AND(AUTOEVENTO="Manual",$M61=1),$M61&gt;(ROW(PLE.lastrow)-ROW(PLE.firstrow))),0,IF(OFFSET(PLE!$G$14,$M61,BA$13)="",10^12,OFFSET(PLE!$G$14,$M61,BA$13))))</f>
        <v>1000000000000</v>
      </c>
      <c r="BB61" s="182">
        <f ca="1">IF($D61&lt;&gt;"Serviço",0,IF(OR(AND(AUTOEVENTO="Manual",$M61=1),$M61&gt;(ROW(PLE.lastrow)-ROW(PLE.firstrow))),0,IF(OFFSET(PLE!$G$14,$M61,BB$13)="",10^12,OFFSET(PLE!$G$14,$M61,BB$13))))</f>
        <v>1000000000000</v>
      </c>
      <c r="BC61" s="182">
        <f ca="1">IF($D61&lt;&gt;"Serviço",0,IF(OR(AND(AUTOEVENTO="Manual",$M61=1),$M61&gt;(ROW(PLE.lastrow)-ROW(PLE.firstrow))),0,IF(OFFSET(PLE!$G$14,$M61,BC$13)="",10^12,OFFSET(PLE!$G$14,$M61,BC$13))))</f>
        <v>1000000000000</v>
      </c>
      <c r="BD61" s="182">
        <f ca="1">IF($D61&lt;&gt;"Serviço",0,IF(OR(AND(AUTOEVENTO="Manual",$M61=1),$M61&gt;(ROW(PLE.lastrow)-ROW(PLE.firstrow))),0,IF(OFFSET(PLE!$G$14,$M61,BD$13)="",10^12,OFFSET(PLE!$G$14,$M61,BD$13))))</f>
        <v>1000000000000</v>
      </c>
      <c r="BE61" s="182">
        <f ca="1">IF($D61&lt;&gt;"Serviço",0,IF(OR(AND(AUTOEVENTO="Manual",$M61=1),$M61&gt;(ROW(PLE.lastrow)-ROW(PLE.firstrow))),0,IF(OFFSET(PLE!$G$14,$M61,BE$13)="",10^12,OFFSET(PLE!$G$14,$M61,BE$13))))</f>
        <v>1000000000000</v>
      </c>
      <c r="BF61" s="182">
        <f ca="1">IF($D61&lt;&gt;"Serviço",0,IF(OR(AND(AUTOEVENTO="Manual",$M61=1),$M61&gt;(ROW(PLE.lastrow)-ROW(PLE.firstrow))),0,IF(OFFSET(PLE!$G$14,$M61,BF$13)="",10^12,OFFSET(PLE!$G$14,$M61,BF$13))))</f>
        <v>1000000000000</v>
      </c>
      <c r="BG61" s="182">
        <f ca="1">IF($D61&lt;&gt;"Serviço",0,IF(OR(AND(AUTOEVENTO="Manual",$M61=1),$M61&gt;(ROW(PLE.lastrow)-ROW(PLE.firstrow))),0,IF(OFFSET(PLE!$G$14,$M61,BG$13)="",10^12,OFFSET(PLE!$G$14,$M61,BG$13))))</f>
        <v>1000000000000</v>
      </c>
    </row>
    <row r="62" spans="1:59" ht="25.5" x14ac:dyDescent="0.2">
      <c r="A62" s="7" t="str">
        <f t="shared" ca="1" si="8"/>
        <v>44</v>
      </c>
      <c r="B62" s="7" t="str">
        <f ca="1">OFFSET(ORÇAMENTO!C$15,ROW(B62)-ROW(B$15),0)</f>
        <v>S</v>
      </c>
      <c r="C62" s="7" t="str">
        <f ca="1">OFFSET(ORÇAMENTO!L$15,ROW(C62)-ROW(C$15),0)</f>
        <v/>
      </c>
      <c r="D62" s="118" t="str">
        <f ca="1">OFFSET(ORÇAMENTO!N$15,ROW(D62)-ROW(D$15),0)</f>
        <v>Serviço</v>
      </c>
      <c r="E62" s="119" t="str">
        <f ca="1">OFFSET(ORÇAMENTO!O$15,ROW(E62)-ROW(E$15),0)</f>
        <v>-</v>
      </c>
      <c r="F62" s="172" t="str">
        <f ca="1">OFFSET(ORÇAMENTO!R$15,ROW(F62)-ROW(F$15),0)</f>
        <v>(abra o arquivo 'Referência 02-2025.xlsm)</v>
      </c>
      <c r="G62" s="173" t="str">
        <f ca="1">IF($D62&lt;&gt;"Serviço","",OFFSET(ORÇAMENTO!S$15,ROW(G62)-ROW(G$15),0))</f>
        <v>-</v>
      </c>
      <c r="H62" s="124">
        <f ca="1">IF($D62&lt;&gt;"Serviço",0,IF(ACOMPANHAMENTO="BM",ROUND(OFFSET(ORÇAMENTO!AJ$15,ROW(H62)-ROW(H$15),0),15-13*ORÇAMENTO!$AF$7),SUMPRODUCT(($Q$12:$AA$12&lt;&gt;"")*ROUND($Q62:$AA62,15-13*ORÇAMENTO!$AF$7))))</f>
        <v>872.87</v>
      </c>
      <c r="I62" s="561"/>
      <c r="K62" s="174"/>
      <c r="L62" s="175" t="s">
        <v>255</v>
      </c>
      <c r="M62" s="176">
        <f ca="1">IF($D62&lt;&gt;"Serviço","",IF(AUTOEVENTO="manual",$A62,IF(ISERROR(MATCH($A62,$A$15:OFFSET($A62,-1,0),0)),MAX($M$15:OFFSET(M62,-1,0))+1,INDEX($M$15:OFFSET(M62,-1,0),MATCH($A62,$A$15:OFFSET($A62,-1,0),0)))))</f>
        <v>5</v>
      </c>
      <c r="N62" s="177" t="str">
        <f ca="1">IF($D62&lt;&gt;"Serviço","",IF(AUTOEVENTO="Manual",IF($A62=0,"&lt;-- defina o número do agrupador",OFFSET(EVENTOS!$D$14,$A62,0)),OFFSET($F$15,$A62,0)))</f>
        <v>SUPERESTRUTURA</v>
      </c>
      <c r="O62" s="178"/>
      <c r="Q62" s="178"/>
      <c r="R62" s="179"/>
      <c r="S62" s="179"/>
      <c r="T62" s="179"/>
      <c r="U62" s="179"/>
      <c r="V62" s="179"/>
      <c r="W62" s="179"/>
      <c r="X62" s="179"/>
      <c r="Y62" s="179"/>
      <c r="Z62" s="180"/>
      <c r="AB62" s="544">
        <f ca="1">IF(AND($D62="Serviço",AB$12&lt;&gt;0,$H62&gt;0,OR(AUTOEVENTO&lt;&gt;"manual",$M62&lt;&gt;1)),
IF(Import.TipoArredondamento&lt;&gt;"TransfereGOV",
ROUND(OFFSET($P62,0,AB$13),15-13*ORÇAMENTO!$AF$7)/$H62*OFFSET(ORÇAMENTO!$X$15,ROW(AB62)-ROW(AB$15),0),
ROUND(ROUND(OFFSET($P62,0,AB$13),15-13*ORÇAMENTO!$AF$7)*OFFSET(ORÇAMENTO!$W$15,ROW(AB62)-ROW(AB$15),0),15-13*ORÇAMENTO!$AF$11)),0)</f>
        <v>0</v>
      </c>
      <c r="AC62" s="545">
        <f ca="1">IF(AND($D62="Serviço",AC$12&lt;&gt;0,$H62&gt;0,OR(AUTOEVENTO&lt;&gt;"manual",$M62&lt;&gt;1)),
IF(Import.TipoArredondamento&lt;&gt;"TransfereGOV",
ROUND(OFFSET($P62,0,AC$13),15-13*ORÇAMENTO!$AF$7)/$H62*OFFSET(ORÇAMENTO!$X$15,ROW(AC62)-ROW(AC$15),0),
ROUND(ROUND(OFFSET($P62,0,AC$13),15-13*ORÇAMENTO!$AF$7)*OFFSET(ORÇAMENTO!$W$15,ROW(AC62)-ROW(AC$15),0),15-13*ORÇAMENTO!$AF$11)),0)</f>
        <v>0</v>
      </c>
      <c r="AD62" s="545">
        <f ca="1">IF(AND($D62="Serviço",AD$12&lt;&gt;0,$H62&gt;0,OR(AUTOEVENTO&lt;&gt;"manual",$M62&lt;&gt;1)),
IF(Import.TipoArredondamento&lt;&gt;"TransfereGOV",
ROUND(OFFSET($P62,0,AD$13),15-13*ORÇAMENTO!$AF$7)/$H62*OFFSET(ORÇAMENTO!$X$15,ROW(AD62)-ROW(AD$15),0),
ROUND(ROUND(OFFSET($P62,0,AD$13),15-13*ORÇAMENTO!$AF$7)*OFFSET(ORÇAMENTO!$W$15,ROW(AD62)-ROW(AD$15),0),15-13*ORÇAMENTO!$AF$11)),0)</f>
        <v>0</v>
      </c>
      <c r="AE62" s="545">
        <f ca="1">IF(AND($D62="Serviço",AE$12&lt;&gt;0,$H62&gt;0,OR(AUTOEVENTO&lt;&gt;"manual",$M62&lt;&gt;1)),
IF(Import.TipoArredondamento&lt;&gt;"TransfereGOV",
ROUND(OFFSET($P62,0,AE$13),15-13*ORÇAMENTO!$AF$7)/$H62*OFFSET(ORÇAMENTO!$X$15,ROW(AE62)-ROW(AE$15),0),
ROUND(ROUND(OFFSET($P62,0,AE$13),15-13*ORÇAMENTO!$AF$7)*OFFSET(ORÇAMENTO!$W$15,ROW(AE62)-ROW(AE$15),0),15-13*ORÇAMENTO!$AF$11)),0)</f>
        <v>0</v>
      </c>
      <c r="AF62" s="545">
        <f ca="1">IF(AND($D62="Serviço",AF$12&lt;&gt;0,$H62&gt;0,OR(AUTOEVENTO&lt;&gt;"manual",$M62&lt;&gt;1)),
IF(Import.TipoArredondamento&lt;&gt;"TransfereGOV",
ROUND(OFFSET($P62,0,AF$13),15-13*ORÇAMENTO!$AF$7)/$H62*OFFSET(ORÇAMENTO!$X$15,ROW(AF62)-ROW(AF$15),0),
ROUND(ROUND(OFFSET($P62,0,AF$13),15-13*ORÇAMENTO!$AF$7)*OFFSET(ORÇAMENTO!$W$15,ROW(AF62)-ROW(AF$15),0),15-13*ORÇAMENTO!$AF$11)),0)</f>
        <v>0</v>
      </c>
      <c r="AG62" s="545">
        <f ca="1">IF(AND($D62="Serviço",AG$12&lt;&gt;0,$H62&gt;0,OR(AUTOEVENTO&lt;&gt;"manual",$M62&lt;&gt;1)),
IF(Import.TipoArredondamento&lt;&gt;"TransfereGOV",
ROUND(OFFSET($P62,0,AG$13),15-13*ORÇAMENTO!$AF$7)/$H62*OFFSET(ORÇAMENTO!$X$15,ROW(AG62)-ROW(AG$15),0),
ROUND(ROUND(OFFSET($P62,0,AG$13),15-13*ORÇAMENTO!$AF$7)*OFFSET(ORÇAMENTO!$W$15,ROW(AG62)-ROW(AG$15),0),15-13*ORÇAMENTO!$AF$11)),0)</f>
        <v>0</v>
      </c>
      <c r="AH62" s="545">
        <f ca="1">IF(AND($D62="Serviço",AH$12&lt;&gt;0,$H62&gt;0,OR(AUTOEVENTO&lt;&gt;"manual",$M62&lt;&gt;1)),
IF(Import.TipoArredondamento&lt;&gt;"TransfereGOV",
ROUND(OFFSET($P62,0,AH$13),15-13*ORÇAMENTO!$AF$7)/$H62*OFFSET(ORÇAMENTO!$X$15,ROW(AH62)-ROW(AH$15),0),
ROUND(ROUND(OFFSET($P62,0,AH$13),15-13*ORÇAMENTO!$AF$7)*OFFSET(ORÇAMENTO!$W$15,ROW(AH62)-ROW(AH$15),0),15-13*ORÇAMENTO!$AF$11)),0)</f>
        <v>0</v>
      </c>
      <c r="AI62" s="545">
        <f ca="1">IF(AND($D62="Serviço",AI$12&lt;&gt;0,$H62&gt;0,OR(AUTOEVENTO&lt;&gt;"manual",$M62&lt;&gt;1)),
IF(Import.TipoArredondamento&lt;&gt;"TransfereGOV",
ROUND(OFFSET($P62,0,AI$13),15-13*ORÇAMENTO!$AF$7)/$H62*OFFSET(ORÇAMENTO!$X$15,ROW(AI62)-ROW(AI$15),0),
ROUND(ROUND(OFFSET($P62,0,AI$13),15-13*ORÇAMENTO!$AF$7)*OFFSET(ORÇAMENTO!$W$15,ROW(AI62)-ROW(AI$15),0),15-13*ORÇAMENTO!$AF$11)),0)</f>
        <v>0</v>
      </c>
      <c r="AJ62" s="545">
        <f ca="1">IF(AND($D62="Serviço",AJ$12&lt;&gt;0,$H62&gt;0,OR(AUTOEVENTO&lt;&gt;"manual",$M62&lt;&gt;1)),
IF(Import.TipoArredondamento&lt;&gt;"TransfereGOV",
ROUND(OFFSET($P62,0,AJ$13),15-13*ORÇAMENTO!$AF$7)/$H62*OFFSET(ORÇAMENTO!$X$15,ROW(AJ62)-ROW(AJ$15),0),
ROUND(ROUND(OFFSET($P62,0,AJ$13),15-13*ORÇAMENTO!$AF$7)*OFFSET(ORÇAMENTO!$W$15,ROW(AJ62)-ROW(AJ$15),0),15-13*ORÇAMENTO!$AF$11)),0)</f>
        <v>0</v>
      </c>
      <c r="AK62" s="546">
        <f ca="1">IF(AND($D62="Serviço",AK$12&lt;&gt;0,$H62&gt;0,OR(AUTOEVENTO&lt;&gt;"manual",$M62&lt;&gt;1)),
IF(Import.TipoArredondamento&lt;&gt;"TransfereGOV",
ROUND(OFFSET($P62,0,AK$13),15-13*ORÇAMENTO!$AF$7)/$H62*OFFSET(ORÇAMENTO!$X$15,ROW(AK62)-ROW(AK$15),0),
ROUND(ROUND(OFFSET($P62,0,AK$13),15-13*ORÇAMENTO!$AF$7)*OFFSET(ORÇAMENTO!$W$15,ROW(AK62)-ROW(AK$15),0),15-13*ORÇAMENTO!$AF$11)),0)</f>
        <v>0</v>
      </c>
      <c r="AM62" s="181">
        <f ca="1">IF($D62&lt;&gt;"Serviço",0,IF(AND(AUTOEVENTO="Manual",$M62=1),0,IF(OFFSET(CRONOPLE!$F$14,$M62,AM$13)="",10^12,OFFSET(CRONOPLE!$F$14,$M62,AM$13))))</f>
        <v>1000000000000</v>
      </c>
      <c r="AN62" s="181">
        <f ca="1">IF($D62&lt;&gt;"Serviço",0,IF(AND(AUTOEVENTO="Manual",$M62=1),0,IF(OFFSET(CRONOPLE!$F$14,$M62,AN$13)="",10^12,OFFSET(CRONOPLE!$F$14,$M62,AN$13))))</f>
        <v>1000000000000</v>
      </c>
      <c r="AO62" s="181">
        <f ca="1">IF($D62&lt;&gt;"Serviço",0,IF(AND(AUTOEVENTO="Manual",$M62=1),0,IF(OFFSET(CRONOPLE!$F$14,$M62,AO$13)="",10^12,OFFSET(CRONOPLE!$F$14,$M62,AO$13))))</f>
        <v>1000000000000</v>
      </c>
      <c r="AP62" s="181">
        <f ca="1">IF($D62&lt;&gt;"Serviço",0,IF(AND(AUTOEVENTO="Manual",$M62=1),0,IF(OFFSET(CRONOPLE!$F$14,$M62,AP$13)="",10^12,OFFSET(CRONOPLE!$F$14,$M62,AP$13))))</f>
        <v>1000000000000</v>
      </c>
      <c r="AQ62" s="181">
        <f ca="1">IF($D62&lt;&gt;"Serviço",0,IF(AND(AUTOEVENTO="Manual",$M62=1),0,IF(OFFSET(CRONOPLE!$F$14,$M62,AQ$13)="",10^12,OFFSET(CRONOPLE!$F$14,$M62,AQ$13))))</f>
        <v>1000000000000</v>
      </c>
      <c r="AR62" s="181">
        <f ca="1">IF($D62&lt;&gt;"Serviço",0,IF(AND(AUTOEVENTO="Manual",$M62=1),0,IF(OFFSET(CRONOPLE!$F$14,$M62,AR$13)="",10^12,OFFSET(CRONOPLE!$F$14,$M62,AR$13))))</f>
        <v>1000000000000</v>
      </c>
      <c r="AS62" s="181">
        <f ca="1">IF($D62&lt;&gt;"Serviço",0,IF(AND(AUTOEVENTO="Manual",$M62=1),0,IF(OFFSET(CRONOPLE!$F$14,$M62,AS$13)="",10^12,OFFSET(CRONOPLE!$F$14,$M62,AS$13))))</f>
        <v>1000000000000</v>
      </c>
      <c r="AT62" s="181">
        <f ca="1">IF($D62&lt;&gt;"Serviço",0,IF(AND(AUTOEVENTO="Manual",$M62=1),0,IF(OFFSET(CRONOPLE!$F$14,$M62,AT$13)="",10^12,OFFSET(CRONOPLE!$F$14,$M62,AT$13))))</f>
        <v>1000000000000</v>
      </c>
      <c r="AU62" s="181">
        <f ca="1">IF($D62&lt;&gt;"Serviço",0,IF(AND(AUTOEVENTO="Manual",$M62=1),0,IF(OFFSET(CRONOPLE!$F$14,$M62,AU$13)="",10^12,OFFSET(CRONOPLE!$F$14,$M62,AU$13))))</f>
        <v>1000000000000</v>
      </c>
      <c r="AV62" s="181">
        <f ca="1">IF($D62&lt;&gt;"Serviço",0,IF(AND(AUTOEVENTO="Manual",$M62=1),0,IF(OFFSET(CRONOPLE!$F$14,$M62,AV$13)="",10^12,OFFSET(CRONOPLE!$F$14,$M62,AV$13))))</f>
        <v>1000000000000</v>
      </c>
      <c r="AX62" s="182">
        <f ca="1">IF($D62&lt;&gt;"Serviço",0,IF(OR(AND(AUTOEVENTO="Manual",$M62=1),$M62&gt;(ROW(PLE.lastrow)-ROW(PLE.firstrow))),0,IF(OFFSET(PLE!$G$14,$M62,AX$13)="",10^12,OFFSET(PLE!$G$14,$M62,AX$13))))</f>
        <v>1000000000000</v>
      </c>
      <c r="AY62" s="182">
        <f ca="1">IF($D62&lt;&gt;"Serviço",0,IF(OR(AND(AUTOEVENTO="Manual",$M62=1),$M62&gt;(ROW(PLE.lastrow)-ROW(PLE.firstrow))),0,IF(OFFSET(PLE!$G$14,$M62,AY$13)="",10^12,OFFSET(PLE!$G$14,$M62,AY$13))))</f>
        <v>1000000000000</v>
      </c>
      <c r="AZ62" s="182">
        <f ca="1">IF($D62&lt;&gt;"Serviço",0,IF(OR(AND(AUTOEVENTO="Manual",$M62=1),$M62&gt;(ROW(PLE.lastrow)-ROW(PLE.firstrow))),0,IF(OFFSET(PLE!$G$14,$M62,AZ$13)="",10^12,OFFSET(PLE!$G$14,$M62,AZ$13))))</f>
        <v>1000000000000</v>
      </c>
      <c r="BA62" s="182">
        <f ca="1">IF($D62&lt;&gt;"Serviço",0,IF(OR(AND(AUTOEVENTO="Manual",$M62=1),$M62&gt;(ROW(PLE.lastrow)-ROW(PLE.firstrow))),0,IF(OFFSET(PLE!$G$14,$M62,BA$13)="",10^12,OFFSET(PLE!$G$14,$M62,BA$13))))</f>
        <v>1000000000000</v>
      </c>
      <c r="BB62" s="182">
        <f ca="1">IF($D62&lt;&gt;"Serviço",0,IF(OR(AND(AUTOEVENTO="Manual",$M62=1),$M62&gt;(ROW(PLE.lastrow)-ROW(PLE.firstrow))),0,IF(OFFSET(PLE!$G$14,$M62,BB$13)="",10^12,OFFSET(PLE!$G$14,$M62,BB$13))))</f>
        <v>1000000000000</v>
      </c>
      <c r="BC62" s="182">
        <f ca="1">IF($D62&lt;&gt;"Serviço",0,IF(OR(AND(AUTOEVENTO="Manual",$M62=1),$M62&gt;(ROW(PLE.lastrow)-ROW(PLE.firstrow))),0,IF(OFFSET(PLE!$G$14,$M62,BC$13)="",10^12,OFFSET(PLE!$G$14,$M62,BC$13))))</f>
        <v>1000000000000</v>
      </c>
      <c r="BD62" s="182">
        <f ca="1">IF($D62&lt;&gt;"Serviço",0,IF(OR(AND(AUTOEVENTO="Manual",$M62=1),$M62&gt;(ROW(PLE.lastrow)-ROW(PLE.firstrow))),0,IF(OFFSET(PLE!$G$14,$M62,BD$13)="",10^12,OFFSET(PLE!$G$14,$M62,BD$13))))</f>
        <v>1000000000000</v>
      </c>
      <c r="BE62" s="182">
        <f ca="1">IF($D62&lt;&gt;"Serviço",0,IF(OR(AND(AUTOEVENTO="Manual",$M62=1),$M62&gt;(ROW(PLE.lastrow)-ROW(PLE.firstrow))),0,IF(OFFSET(PLE!$G$14,$M62,BE$13)="",10^12,OFFSET(PLE!$G$14,$M62,BE$13))))</f>
        <v>1000000000000</v>
      </c>
      <c r="BF62" s="182">
        <f ca="1">IF($D62&lt;&gt;"Serviço",0,IF(OR(AND(AUTOEVENTO="Manual",$M62=1),$M62&gt;(ROW(PLE.lastrow)-ROW(PLE.firstrow))),0,IF(OFFSET(PLE!$G$14,$M62,BF$13)="",10^12,OFFSET(PLE!$G$14,$M62,BF$13))))</f>
        <v>1000000000000</v>
      </c>
      <c r="BG62" s="182">
        <f ca="1">IF($D62&lt;&gt;"Serviço",0,IF(OR(AND(AUTOEVENTO="Manual",$M62=1),$M62&gt;(ROW(PLE.lastrow)-ROW(PLE.firstrow))),0,IF(OFFSET(PLE!$G$14,$M62,BG$13)="",10^12,OFFSET(PLE!$G$14,$M62,BG$13))))</f>
        <v>1000000000000</v>
      </c>
    </row>
    <row r="63" spans="1:59" ht="38.25" x14ac:dyDescent="0.2">
      <c r="A63" s="7" t="str">
        <f t="shared" ca="1" si="8"/>
        <v>44</v>
      </c>
      <c r="B63" s="7" t="str">
        <f ca="1">OFFSET(ORÇAMENTO!C$15,ROW(B63)-ROW(B$15),0)</f>
        <v>S</v>
      </c>
      <c r="C63" s="7" t="str">
        <f ca="1">OFFSET(ORÇAMENTO!L$15,ROW(C63)-ROW(C$15),0)</f>
        <v/>
      </c>
      <c r="D63" s="118" t="str">
        <f ca="1">OFFSET(ORÇAMENTO!N$15,ROW(D63)-ROW(D$15),0)</f>
        <v>Serviço</v>
      </c>
      <c r="E63" s="119" t="str">
        <f ca="1">OFFSET(ORÇAMENTO!O$15,ROW(E63)-ROW(E$15),0)</f>
        <v>-</v>
      </c>
      <c r="F63" s="172" t="str">
        <f ca="1">OFFSET(ORÇAMENTO!R$15,ROW(F63)-ROW(F$15),0)</f>
        <v>(abra o arquivo 'Referência 02-2025.xlsm)</v>
      </c>
      <c r="G63" s="173" t="str">
        <f ca="1">IF($D63&lt;&gt;"Serviço","",OFFSET(ORÇAMENTO!S$15,ROW(G63)-ROW(G$15),0))</f>
        <v>-</v>
      </c>
      <c r="H63" s="124">
        <f ca="1">IF($D63&lt;&gt;"Serviço",0,IF(ACOMPANHAMENTO="BM",ROUND(OFFSET(ORÇAMENTO!AJ$15,ROW(H63)-ROW(H$15),0),15-13*ORÇAMENTO!$AF$7),SUMPRODUCT(($Q$12:$AA$12&lt;&gt;"")*ROUND($Q63:$AA63,15-13*ORÇAMENTO!$AF$7))))</f>
        <v>525.29999999999995</v>
      </c>
      <c r="I63" s="561"/>
      <c r="K63" s="174"/>
      <c r="L63" s="175" t="s">
        <v>255</v>
      </c>
      <c r="M63" s="176">
        <f ca="1">IF($D63&lt;&gt;"Serviço","",IF(AUTOEVENTO="manual",$A63,IF(ISERROR(MATCH($A63,$A$15:OFFSET($A63,-1,0),0)),MAX($M$15:OFFSET(M63,-1,0))+1,INDEX($M$15:OFFSET(M63,-1,0),MATCH($A63,$A$15:OFFSET($A63,-1,0),0)))))</f>
        <v>5</v>
      </c>
      <c r="N63" s="177" t="str">
        <f ca="1">IF($D63&lt;&gt;"Serviço","",IF(AUTOEVENTO="Manual",IF($A63=0,"&lt;-- defina o número do agrupador",OFFSET(EVENTOS!$D$14,$A63,0)),OFFSET($F$15,$A63,0)))</f>
        <v>SUPERESTRUTURA</v>
      </c>
      <c r="O63" s="178"/>
      <c r="Q63" s="178"/>
      <c r="R63" s="179"/>
      <c r="S63" s="179"/>
      <c r="T63" s="179"/>
      <c r="U63" s="179"/>
      <c r="V63" s="179"/>
      <c r="W63" s="179"/>
      <c r="X63" s="179"/>
      <c r="Y63" s="179"/>
      <c r="Z63" s="180"/>
      <c r="AB63" s="544">
        <f ca="1">IF(AND($D63="Serviço",AB$12&lt;&gt;0,$H63&gt;0,OR(AUTOEVENTO&lt;&gt;"manual",$M63&lt;&gt;1)),
IF(Import.TipoArredondamento&lt;&gt;"TransfereGOV",
ROUND(OFFSET($P63,0,AB$13),15-13*ORÇAMENTO!$AF$7)/$H63*OFFSET(ORÇAMENTO!$X$15,ROW(AB63)-ROW(AB$15),0),
ROUND(ROUND(OFFSET($P63,0,AB$13),15-13*ORÇAMENTO!$AF$7)*OFFSET(ORÇAMENTO!$W$15,ROW(AB63)-ROW(AB$15),0),15-13*ORÇAMENTO!$AF$11)),0)</f>
        <v>0</v>
      </c>
      <c r="AC63" s="545">
        <f ca="1">IF(AND($D63="Serviço",AC$12&lt;&gt;0,$H63&gt;0,OR(AUTOEVENTO&lt;&gt;"manual",$M63&lt;&gt;1)),
IF(Import.TipoArredondamento&lt;&gt;"TransfereGOV",
ROUND(OFFSET($P63,0,AC$13),15-13*ORÇAMENTO!$AF$7)/$H63*OFFSET(ORÇAMENTO!$X$15,ROW(AC63)-ROW(AC$15),0),
ROUND(ROUND(OFFSET($P63,0,AC$13),15-13*ORÇAMENTO!$AF$7)*OFFSET(ORÇAMENTO!$W$15,ROW(AC63)-ROW(AC$15),0),15-13*ORÇAMENTO!$AF$11)),0)</f>
        <v>0</v>
      </c>
      <c r="AD63" s="545">
        <f ca="1">IF(AND($D63="Serviço",AD$12&lt;&gt;0,$H63&gt;0,OR(AUTOEVENTO&lt;&gt;"manual",$M63&lt;&gt;1)),
IF(Import.TipoArredondamento&lt;&gt;"TransfereGOV",
ROUND(OFFSET($P63,0,AD$13),15-13*ORÇAMENTO!$AF$7)/$H63*OFFSET(ORÇAMENTO!$X$15,ROW(AD63)-ROW(AD$15),0),
ROUND(ROUND(OFFSET($P63,0,AD$13),15-13*ORÇAMENTO!$AF$7)*OFFSET(ORÇAMENTO!$W$15,ROW(AD63)-ROW(AD$15),0),15-13*ORÇAMENTO!$AF$11)),0)</f>
        <v>0</v>
      </c>
      <c r="AE63" s="545">
        <f ca="1">IF(AND($D63="Serviço",AE$12&lt;&gt;0,$H63&gt;0,OR(AUTOEVENTO&lt;&gt;"manual",$M63&lt;&gt;1)),
IF(Import.TipoArredondamento&lt;&gt;"TransfereGOV",
ROUND(OFFSET($P63,0,AE$13),15-13*ORÇAMENTO!$AF$7)/$H63*OFFSET(ORÇAMENTO!$X$15,ROW(AE63)-ROW(AE$15),0),
ROUND(ROUND(OFFSET($P63,0,AE$13),15-13*ORÇAMENTO!$AF$7)*OFFSET(ORÇAMENTO!$W$15,ROW(AE63)-ROW(AE$15),0),15-13*ORÇAMENTO!$AF$11)),0)</f>
        <v>0</v>
      </c>
      <c r="AF63" s="545">
        <f ca="1">IF(AND($D63="Serviço",AF$12&lt;&gt;0,$H63&gt;0,OR(AUTOEVENTO&lt;&gt;"manual",$M63&lt;&gt;1)),
IF(Import.TipoArredondamento&lt;&gt;"TransfereGOV",
ROUND(OFFSET($P63,0,AF$13),15-13*ORÇAMENTO!$AF$7)/$H63*OFFSET(ORÇAMENTO!$X$15,ROW(AF63)-ROW(AF$15),0),
ROUND(ROUND(OFFSET($P63,0,AF$13),15-13*ORÇAMENTO!$AF$7)*OFFSET(ORÇAMENTO!$W$15,ROW(AF63)-ROW(AF$15),0),15-13*ORÇAMENTO!$AF$11)),0)</f>
        <v>0</v>
      </c>
      <c r="AG63" s="545">
        <f ca="1">IF(AND($D63="Serviço",AG$12&lt;&gt;0,$H63&gt;0,OR(AUTOEVENTO&lt;&gt;"manual",$M63&lt;&gt;1)),
IF(Import.TipoArredondamento&lt;&gt;"TransfereGOV",
ROUND(OFFSET($P63,0,AG$13),15-13*ORÇAMENTO!$AF$7)/$H63*OFFSET(ORÇAMENTO!$X$15,ROW(AG63)-ROW(AG$15),0),
ROUND(ROUND(OFFSET($P63,0,AG$13),15-13*ORÇAMENTO!$AF$7)*OFFSET(ORÇAMENTO!$W$15,ROW(AG63)-ROW(AG$15),0),15-13*ORÇAMENTO!$AF$11)),0)</f>
        <v>0</v>
      </c>
      <c r="AH63" s="545">
        <f ca="1">IF(AND($D63="Serviço",AH$12&lt;&gt;0,$H63&gt;0,OR(AUTOEVENTO&lt;&gt;"manual",$M63&lt;&gt;1)),
IF(Import.TipoArredondamento&lt;&gt;"TransfereGOV",
ROUND(OFFSET($P63,0,AH$13),15-13*ORÇAMENTO!$AF$7)/$H63*OFFSET(ORÇAMENTO!$X$15,ROW(AH63)-ROW(AH$15),0),
ROUND(ROUND(OFFSET($P63,0,AH$13),15-13*ORÇAMENTO!$AF$7)*OFFSET(ORÇAMENTO!$W$15,ROW(AH63)-ROW(AH$15),0),15-13*ORÇAMENTO!$AF$11)),0)</f>
        <v>0</v>
      </c>
      <c r="AI63" s="545">
        <f ca="1">IF(AND($D63="Serviço",AI$12&lt;&gt;0,$H63&gt;0,OR(AUTOEVENTO&lt;&gt;"manual",$M63&lt;&gt;1)),
IF(Import.TipoArredondamento&lt;&gt;"TransfereGOV",
ROUND(OFFSET($P63,0,AI$13),15-13*ORÇAMENTO!$AF$7)/$H63*OFFSET(ORÇAMENTO!$X$15,ROW(AI63)-ROW(AI$15),0),
ROUND(ROUND(OFFSET($P63,0,AI$13),15-13*ORÇAMENTO!$AF$7)*OFFSET(ORÇAMENTO!$W$15,ROW(AI63)-ROW(AI$15),0),15-13*ORÇAMENTO!$AF$11)),0)</f>
        <v>0</v>
      </c>
      <c r="AJ63" s="545">
        <f ca="1">IF(AND($D63="Serviço",AJ$12&lt;&gt;0,$H63&gt;0,OR(AUTOEVENTO&lt;&gt;"manual",$M63&lt;&gt;1)),
IF(Import.TipoArredondamento&lt;&gt;"TransfereGOV",
ROUND(OFFSET($P63,0,AJ$13),15-13*ORÇAMENTO!$AF$7)/$H63*OFFSET(ORÇAMENTO!$X$15,ROW(AJ63)-ROW(AJ$15),0),
ROUND(ROUND(OFFSET($P63,0,AJ$13),15-13*ORÇAMENTO!$AF$7)*OFFSET(ORÇAMENTO!$W$15,ROW(AJ63)-ROW(AJ$15),0),15-13*ORÇAMENTO!$AF$11)),0)</f>
        <v>0</v>
      </c>
      <c r="AK63" s="546">
        <f ca="1">IF(AND($D63="Serviço",AK$12&lt;&gt;0,$H63&gt;0,OR(AUTOEVENTO&lt;&gt;"manual",$M63&lt;&gt;1)),
IF(Import.TipoArredondamento&lt;&gt;"TransfereGOV",
ROUND(OFFSET($P63,0,AK$13),15-13*ORÇAMENTO!$AF$7)/$H63*OFFSET(ORÇAMENTO!$X$15,ROW(AK63)-ROW(AK$15),0),
ROUND(ROUND(OFFSET($P63,0,AK$13),15-13*ORÇAMENTO!$AF$7)*OFFSET(ORÇAMENTO!$W$15,ROW(AK63)-ROW(AK$15),0),15-13*ORÇAMENTO!$AF$11)),0)</f>
        <v>0</v>
      </c>
      <c r="AM63" s="181">
        <f ca="1">IF($D63&lt;&gt;"Serviço",0,IF(AND(AUTOEVENTO="Manual",$M63=1),0,IF(OFFSET(CRONOPLE!$F$14,$M63,AM$13)="",10^12,OFFSET(CRONOPLE!$F$14,$M63,AM$13))))</f>
        <v>1000000000000</v>
      </c>
      <c r="AN63" s="181">
        <f ca="1">IF($D63&lt;&gt;"Serviço",0,IF(AND(AUTOEVENTO="Manual",$M63=1),0,IF(OFFSET(CRONOPLE!$F$14,$M63,AN$13)="",10^12,OFFSET(CRONOPLE!$F$14,$M63,AN$13))))</f>
        <v>1000000000000</v>
      </c>
      <c r="AO63" s="181">
        <f ca="1">IF($D63&lt;&gt;"Serviço",0,IF(AND(AUTOEVENTO="Manual",$M63=1),0,IF(OFFSET(CRONOPLE!$F$14,$M63,AO$13)="",10^12,OFFSET(CRONOPLE!$F$14,$M63,AO$13))))</f>
        <v>1000000000000</v>
      </c>
      <c r="AP63" s="181">
        <f ca="1">IF($D63&lt;&gt;"Serviço",0,IF(AND(AUTOEVENTO="Manual",$M63=1),0,IF(OFFSET(CRONOPLE!$F$14,$M63,AP$13)="",10^12,OFFSET(CRONOPLE!$F$14,$M63,AP$13))))</f>
        <v>1000000000000</v>
      </c>
      <c r="AQ63" s="181">
        <f ca="1">IF($D63&lt;&gt;"Serviço",0,IF(AND(AUTOEVENTO="Manual",$M63=1),0,IF(OFFSET(CRONOPLE!$F$14,$M63,AQ$13)="",10^12,OFFSET(CRONOPLE!$F$14,$M63,AQ$13))))</f>
        <v>1000000000000</v>
      </c>
      <c r="AR63" s="181">
        <f ca="1">IF($D63&lt;&gt;"Serviço",0,IF(AND(AUTOEVENTO="Manual",$M63=1),0,IF(OFFSET(CRONOPLE!$F$14,$M63,AR$13)="",10^12,OFFSET(CRONOPLE!$F$14,$M63,AR$13))))</f>
        <v>1000000000000</v>
      </c>
      <c r="AS63" s="181">
        <f ca="1">IF($D63&lt;&gt;"Serviço",0,IF(AND(AUTOEVENTO="Manual",$M63=1),0,IF(OFFSET(CRONOPLE!$F$14,$M63,AS$13)="",10^12,OFFSET(CRONOPLE!$F$14,$M63,AS$13))))</f>
        <v>1000000000000</v>
      </c>
      <c r="AT63" s="181">
        <f ca="1">IF($D63&lt;&gt;"Serviço",0,IF(AND(AUTOEVENTO="Manual",$M63=1),0,IF(OFFSET(CRONOPLE!$F$14,$M63,AT$13)="",10^12,OFFSET(CRONOPLE!$F$14,$M63,AT$13))))</f>
        <v>1000000000000</v>
      </c>
      <c r="AU63" s="181">
        <f ca="1">IF($D63&lt;&gt;"Serviço",0,IF(AND(AUTOEVENTO="Manual",$M63=1),0,IF(OFFSET(CRONOPLE!$F$14,$M63,AU$13)="",10^12,OFFSET(CRONOPLE!$F$14,$M63,AU$13))))</f>
        <v>1000000000000</v>
      </c>
      <c r="AV63" s="181">
        <f ca="1">IF($D63&lt;&gt;"Serviço",0,IF(AND(AUTOEVENTO="Manual",$M63=1),0,IF(OFFSET(CRONOPLE!$F$14,$M63,AV$13)="",10^12,OFFSET(CRONOPLE!$F$14,$M63,AV$13))))</f>
        <v>1000000000000</v>
      </c>
      <c r="AX63" s="182">
        <f ca="1">IF($D63&lt;&gt;"Serviço",0,IF(OR(AND(AUTOEVENTO="Manual",$M63=1),$M63&gt;(ROW(PLE.lastrow)-ROW(PLE.firstrow))),0,IF(OFFSET(PLE!$G$14,$M63,AX$13)="",10^12,OFFSET(PLE!$G$14,$M63,AX$13))))</f>
        <v>1000000000000</v>
      </c>
      <c r="AY63" s="182">
        <f ca="1">IF($D63&lt;&gt;"Serviço",0,IF(OR(AND(AUTOEVENTO="Manual",$M63=1),$M63&gt;(ROW(PLE.lastrow)-ROW(PLE.firstrow))),0,IF(OFFSET(PLE!$G$14,$M63,AY$13)="",10^12,OFFSET(PLE!$G$14,$M63,AY$13))))</f>
        <v>1000000000000</v>
      </c>
      <c r="AZ63" s="182">
        <f ca="1">IF($D63&lt;&gt;"Serviço",0,IF(OR(AND(AUTOEVENTO="Manual",$M63=1),$M63&gt;(ROW(PLE.lastrow)-ROW(PLE.firstrow))),0,IF(OFFSET(PLE!$G$14,$M63,AZ$13)="",10^12,OFFSET(PLE!$G$14,$M63,AZ$13))))</f>
        <v>1000000000000</v>
      </c>
      <c r="BA63" s="182">
        <f ca="1">IF($D63&lt;&gt;"Serviço",0,IF(OR(AND(AUTOEVENTO="Manual",$M63=1),$M63&gt;(ROW(PLE.lastrow)-ROW(PLE.firstrow))),0,IF(OFFSET(PLE!$G$14,$M63,BA$13)="",10^12,OFFSET(PLE!$G$14,$M63,BA$13))))</f>
        <v>1000000000000</v>
      </c>
      <c r="BB63" s="182">
        <f ca="1">IF($D63&lt;&gt;"Serviço",0,IF(OR(AND(AUTOEVENTO="Manual",$M63=1),$M63&gt;(ROW(PLE.lastrow)-ROW(PLE.firstrow))),0,IF(OFFSET(PLE!$G$14,$M63,BB$13)="",10^12,OFFSET(PLE!$G$14,$M63,BB$13))))</f>
        <v>1000000000000</v>
      </c>
      <c r="BC63" s="182">
        <f ca="1">IF($D63&lt;&gt;"Serviço",0,IF(OR(AND(AUTOEVENTO="Manual",$M63=1),$M63&gt;(ROW(PLE.lastrow)-ROW(PLE.firstrow))),0,IF(OFFSET(PLE!$G$14,$M63,BC$13)="",10^12,OFFSET(PLE!$G$14,$M63,BC$13))))</f>
        <v>1000000000000</v>
      </c>
      <c r="BD63" s="182">
        <f ca="1">IF($D63&lt;&gt;"Serviço",0,IF(OR(AND(AUTOEVENTO="Manual",$M63=1),$M63&gt;(ROW(PLE.lastrow)-ROW(PLE.firstrow))),0,IF(OFFSET(PLE!$G$14,$M63,BD$13)="",10^12,OFFSET(PLE!$G$14,$M63,BD$13))))</f>
        <v>1000000000000</v>
      </c>
      <c r="BE63" s="182">
        <f ca="1">IF($D63&lt;&gt;"Serviço",0,IF(OR(AND(AUTOEVENTO="Manual",$M63=1),$M63&gt;(ROW(PLE.lastrow)-ROW(PLE.firstrow))),0,IF(OFFSET(PLE!$G$14,$M63,BE$13)="",10^12,OFFSET(PLE!$G$14,$M63,BE$13))))</f>
        <v>1000000000000</v>
      </c>
      <c r="BF63" s="182">
        <f ca="1">IF($D63&lt;&gt;"Serviço",0,IF(OR(AND(AUTOEVENTO="Manual",$M63=1),$M63&gt;(ROW(PLE.lastrow)-ROW(PLE.firstrow))),0,IF(OFFSET(PLE!$G$14,$M63,BF$13)="",10^12,OFFSET(PLE!$G$14,$M63,BF$13))))</f>
        <v>1000000000000</v>
      </c>
      <c r="BG63" s="182">
        <f ca="1">IF($D63&lt;&gt;"Serviço",0,IF(OR(AND(AUTOEVENTO="Manual",$M63=1),$M63&gt;(ROW(PLE.lastrow)-ROW(PLE.firstrow))),0,IF(OFFSET(PLE!$G$14,$M63,BG$13)="",10^12,OFFSET(PLE!$G$14,$M63,BG$13))))</f>
        <v>1000000000000</v>
      </c>
    </row>
    <row r="64" spans="1:59" ht="25.5" x14ac:dyDescent="0.2">
      <c r="A64" s="7" t="str">
        <f t="shared" ca="1" si="8"/>
        <v>44</v>
      </c>
      <c r="B64" s="7" t="str">
        <f ca="1">OFFSET(ORÇAMENTO!C$15,ROW(B64)-ROW(B$15),0)</f>
        <v>S</v>
      </c>
      <c r="C64" s="7" t="str">
        <f ca="1">OFFSET(ORÇAMENTO!L$15,ROW(C64)-ROW(C$15),0)</f>
        <v/>
      </c>
      <c r="D64" s="118" t="str">
        <f ca="1">OFFSET(ORÇAMENTO!N$15,ROW(D64)-ROW(D$15),0)</f>
        <v>Serviço</v>
      </c>
      <c r="E64" s="119" t="str">
        <f ca="1">OFFSET(ORÇAMENTO!O$15,ROW(E64)-ROW(E$15),0)</f>
        <v>-</v>
      </c>
      <c r="F64" s="172" t="str">
        <f ca="1">OFFSET(ORÇAMENTO!R$15,ROW(F64)-ROW(F$15),0)</f>
        <v>(abra o arquivo 'Referência 02-2025.xlsm)</v>
      </c>
      <c r="G64" s="173" t="str">
        <f ca="1">IF($D64&lt;&gt;"Serviço","",OFFSET(ORÇAMENTO!S$15,ROW(G64)-ROW(G$15),0))</f>
        <v>-</v>
      </c>
      <c r="H64" s="124">
        <f ca="1">IF($D64&lt;&gt;"Serviço",0,IF(ACOMPANHAMENTO="BM",ROUND(OFFSET(ORÇAMENTO!AJ$15,ROW(H64)-ROW(H$15),0),15-13*ORÇAMENTO!$AF$7),SUMPRODUCT(($Q$12:$AA$12&lt;&gt;"")*ROUND($Q64:$AA64,15-13*ORÇAMENTO!$AF$7))))</f>
        <v>589.1</v>
      </c>
      <c r="I64" s="561"/>
      <c r="K64" s="174"/>
      <c r="L64" s="175" t="s">
        <v>255</v>
      </c>
      <c r="M64" s="176">
        <f ca="1">IF($D64&lt;&gt;"Serviço","",IF(AUTOEVENTO="manual",$A64,IF(ISERROR(MATCH($A64,$A$15:OFFSET($A64,-1,0),0)),MAX($M$15:OFFSET(M64,-1,0))+1,INDEX($M$15:OFFSET(M64,-1,0),MATCH($A64,$A$15:OFFSET($A64,-1,0),0)))))</f>
        <v>5</v>
      </c>
      <c r="N64" s="177" t="str">
        <f ca="1">IF($D64&lt;&gt;"Serviço","",IF(AUTOEVENTO="Manual",IF($A64=0,"&lt;-- defina o número do agrupador",OFFSET(EVENTOS!$D$14,$A64,0)),OFFSET($F$15,$A64,0)))</f>
        <v>SUPERESTRUTURA</v>
      </c>
      <c r="O64" s="178"/>
      <c r="Q64" s="178"/>
      <c r="R64" s="179"/>
      <c r="S64" s="179"/>
      <c r="T64" s="179"/>
      <c r="U64" s="179"/>
      <c r="V64" s="179"/>
      <c r="W64" s="179"/>
      <c r="X64" s="179"/>
      <c r="Y64" s="179"/>
      <c r="Z64" s="180"/>
      <c r="AB64" s="544">
        <f ca="1">IF(AND($D64="Serviço",AB$12&lt;&gt;0,$H64&gt;0,OR(AUTOEVENTO&lt;&gt;"manual",$M64&lt;&gt;1)),
IF(Import.TipoArredondamento&lt;&gt;"TransfereGOV",
ROUND(OFFSET($P64,0,AB$13),15-13*ORÇAMENTO!$AF$7)/$H64*OFFSET(ORÇAMENTO!$X$15,ROW(AB64)-ROW(AB$15),0),
ROUND(ROUND(OFFSET($P64,0,AB$13),15-13*ORÇAMENTO!$AF$7)*OFFSET(ORÇAMENTO!$W$15,ROW(AB64)-ROW(AB$15),0),15-13*ORÇAMENTO!$AF$11)),0)</f>
        <v>0</v>
      </c>
      <c r="AC64" s="545">
        <f ca="1">IF(AND($D64="Serviço",AC$12&lt;&gt;0,$H64&gt;0,OR(AUTOEVENTO&lt;&gt;"manual",$M64&lt;&gt;1)),
IF(Import.TipoArredondamento&lt;&gt;"TransfereGOV",
ROUND(OFFSET($P64,0,AC$13),15-13*ORÇAMENTO!$AF$7)/$H64*OFFSET(ORÇAMENTO!$X$15,ROW(AC64)-ROW(AC$15),0),
ROUND(ROUND(OFFSET($P64,0,AC$13),15-13*ORÇAMENTO!$AF$7)*OFFSET(ORÇAMENTO!$W$15,ROW(AC64)-ROW(AC$15),0),15-13*ORÇAMENTO!$AF$11)),0)</f>
        <v>0</v>
      </c>
      <c r="AD64" s="545">
        <f ca="1">IF(AND($D64="Serviço",AD$12&lt;&gt;0,$H64&gt;0,OR(AUTOEVENTO&lt;&gt;"manual",$M64&lt;&gt;1)),
IF(Import.TipoArredondamento&lt;&gt;"TransfereGOV",
ROUND(OFFSET($P64,0,AD$13),15-13*ORÇAMENTO!$AF$7)/$H64*OFFSET(ORÇAMENTO!$X$15,ROW(AD64)-ROW(AD$15),0),
ROUND(ROUND(OFFSET($P64,0,AD$13),15-13*ORÇAMENTO!$AF$7)*OFFSET(ORÇAMENTO!$W$15,ROW(AD64)-ROW(AD$15),0),15-13*ORÇAMENTO!$AF$11)),0)</f>
        <v>0</v>
      </c>
      <c r="AE64" s="545">
        <f ca="1">IF(AND($D64="Serviço",AE$12&lt;&gt;0,$H64&gt;0,OR(AUTOEVENTO&lt;&gt;"manual",$M64&lt;&gt;1)),
IF(Import.TipoArredondamento&lt;&gt;"TransfereGOV",
ROUND(OFFSET($P64,0,AE$13),15-13*ORÇAMENTO!$AF$7)/$H64*OFFSET(ORÇAMENTO!$X$15,ROW(AE64)-ROW(AE$15),0),
ROUND(ROUND(OFFSET($P64,0,AE$13),15-13*ORÇAMENTO!$AF$7)*OFFSET(ORÇAMENTO!$W$15,ROW(AE64)-ROW(AE$15),0),15-13*ORÇAMENTO!$AF$11)),0)</f>
        <v>0</v>
      </c>
      <c r="AF64" s="545">
        <f ca="1">IF(AND($D64="Serviço",AF$12&lt;&gt;0,$H64&gt;0,OR(AUTOEVENTO&lt;&gt;"manual",$M64&lt;&gt;1)),
IF(Import.TipoArredondamento&lt;&gt;"TransfereGOV",
ROUND(OFFSET($P64,0,AF$13),15-13*ORÇAMENTO!$AF$7)/$H64*OFFSET(ORÇAMENTO!$X$15,ROW(AF64)-ROW(AF$15),0),
ROUND(ROUND(OFFSET($P64,0,AF$13),15-13*ORÇAMENTO!$AF$7)*OFFSET(ORÇAMENTO!$W$15,ROW(AF64)-ROW(AF$15),0),15-13*ORÇAMENTO!$AF$11)),0)</f>
        <v>0</v>
      </c>
      <c r="AG64" s="545">
        <f ca="1">IF(AND($D64="Serviço",AG$12&lt;&gt;0,$H64&gt;0,OR(AUTOEVENTO&lt;&gt;"manual",$M64&lt;&gt;1)),
IF(Import.TipoArredondamento&lt;&gt;"TransfereGOV",
ROUND(OFFSET($P64,0,AG$13),15-13*ORÇAMENTO!$AF$7)/$H64*OFFSET(ORÇAMENTO!$X$15,ROW(AG64)-ROW(AG$15),0),
ROUND(ROUND(OFFSET($P64,0,AG$13),15-13*ORÇAMENTO!$AF$7)*OFFSET(ORÇAMENTO!$W$15,ROW(AG64)-ROW(AG$15),0),15-13*ORÇAMENTO!$AF$11)),0)</f>
        <v>0</v>
      </c>
      <c r="AH64" s="545">
        <f ca="1">IF(AND($D64="Serviço",AH$12&lt;&gt;0,$H64&gt;0,OR(AUTOEVENTO&lt;&gt;"manual",$M64&lt;&gt;1)),
IF(Import.TipoArredondamento&lt;&gt;"TransfereGOV",
ROUND(OFFSET($P64,0,AH$13),15-13*ORÇAMENTO!$AF$7)/$H64*OFFSET(ORÇAMENTO!$X$15,ROW(AH64)-ROW(AH$15),0),
ROUND(ROUND(OFFSET($P64,0,AH$13),15-13*ORÇAMENTO!$AF$7)*OFFSET(ORÇAMENTO!$W$15,ROW(AH64)-ROW(AH$15),0),15-13*ORÇAMENTO!$AF$11)),0)</f>
        <v>0</v>
      </c>
      <c r="AI64" s="545">
        <f ca="1">IF(AND($D64="Serviço",AI$12&lt;&gt;0,$H64&gt;0,OR(AUTOEVENTO&lt;&gt;"manual",$M64&lt;&gt;1)),
IF(Import.TipoArredondamento&lt;&gt;"TransfereGOV",
ROUND(OFFSET($P64,0,AI$13),15-13*ORÇAMENTO!$AF$7)/$H64*OFFSET(ORÇAMENTO!$X$15,ROW(AI64)-ROW(AI$15),0),
ROUND(ROUND(OFFSET($P64,0,AI$13),15-13*ORÇAMENTO!$AF$7)*OFFSET(ORÇAMENTO!$W$15,ROW(AI64)-ROW(AI$15),0),15-13*ORÇAMENTO!$AF$11)),0)</f>
        <v>0</v>
      </c>
      <c r="AJ64" s="545">
        <f ca="1">IF(AND($D64="Serviço",AJ$12&lt;&gt;0,$H64&gt;0,OR(AUTOEVENTO&lt;&gt;"manual",$M64&lt;&gt;1)),
IF(Import.TipoArredondamento&lt;&gt;"TransfereGOV",
ROUND(OFFSET($P64,0,AJ$13),15-13*ORÇAMENTO!$AF$7)/$H64*OFFSET(ORÇAMENTO!$X$15,ROW(AJ64)-ROW(AJ$15),0),
ROUND(ROUND(OFFSET($P64,0,AJ$13),15-13*ORÇAMENTO!$AF$7)*OFFSET(ORÇAMENTO!$W$15,ROW(AJ64)-ROW(AJ$15),0),15-13*ORÇAMENTO!$AF$11)),0)</f>
        <v>0</v>
      </c>
      <c r="AK64" s="546">
        <f ca="1">IF(AND($D64="Serviço",AK$12&lt;&gt;0,$H64&gt;0,OR(AUTOEVENTO&lt;&gt;"manual",$M64&lt;&gt;1)),
IF(Import.TipoArredondamento&lt;&gt;"TransfereGOV",
ROUND(OFFSET($P64,0,AK$13),15-13*ORÇAMENTO!$AF$7)/$H64*OFFSET(ORÇAMENTO!$X$15,ROW(AK64)-ROW(AK$15),0),
ROUND(ROUND(OFFSET($P64,0,AK$13),15-13*ORÇAMENTO!$AF$7)*OFFSET(ORÇAMENTO!$W$15,ROW(AK64)-ROW(AK$15),0),15-13*ORÇAMENTO!$AF$11)),0)</f>
        <v>0</v>
      </c>
      <c r="AM64" s="181">
        <f ca="1">IF($D64&lt;&gt;"Serviço",0,IF(AND(AUTOEVENTO="Manual",$M64=1),0,IF(OFFSET(CRONOPLE!$F$14,$M64,AM$13)="",10^12,OFFSET(CRONOPLE!$F$14,$M64,AM$13))))</f>
        <v>1000000000000</v>
      </c>
      <c r="AN64" s="181">
        <f ca="1">IF($D64&lt;&gt;"Serviço",0,IF(AND(AUTOEVENTO="Manual",$M64=1),0,IF(OFFSET(CRONOPLE!$F$14,$M64,AN$13)="",10^12,OFFSET(CRONOPLE!$F$14,$M64,AN$13))))</f>
        <v>1000000000000</v>
      </c>
      <c r="AO64" s="181">
        <f ca="1">IF($D64&lt;&gt;"Serviço",0,IF(AND(AUTOEVENTO="Manual",$M64=1),0,IF(OFFSET(CRONOPLE!$F$14,$M64,AO$13)="",10^12,OFFSET(CRONOPLE!$F$14,$M64,AO$13))))</f>
        <v>1000000000000</v>
      </c>
      <c r="AP64" s="181">
        <f ca="1">IF($D64&lt;&gt;"Serviço",0,IF(AND(AUTOEVENTO="Manual",$M64=1),0,IF(OFFSET(CRONOPLE!$F$14,$M64,AP$13)="",10^12,OFFSET(CRONOPLE!$F$14,$M64,AP$13))))</f>
        <v>1000000000000</v>
      </c>
      <c r="AQ64" s="181">
        <f ca="1">IF($D64&lt;&gt;"Serviço",0,IF(AND(AUTOEVENTO="Manual",$M64=1),0,IF(OFFSET(CRONOPLE!$F$14,$M64,AQ$13)="",10^12,OFFSET(CRONOPLE!$F$14,$M64,AQ$13))))</f>
        <v>1000000000000</v>
      </c>
      <c r="AR64" s="181">
        <f ca="1">IF($D64&lt;&gt;"Serviço",0,IF(AND(AUTOEVENTO="Manual",$M64=1),0,IF(OFFSET(CRONOPLE!$F$14,$M64,AR$13)="",10^12,OFFSET(CRONOPLE!$F$14,$M64,AR$13))))</f>
        <v>1000000000000</v>
      </c>
      <c r="AS64" s="181">
        <f ca="1">IF($D64&lt;&gt;"Serviço",0,IF(AND(AUTOEVENTO="Manual",$M64=1),0,IF(OFFSET(CRONOPLE!$F$14,$M64,AS$13)="",10^12,OFFSET(CRONOPLE!$F$14,$M64,AS$13))))</f>
        <v>1000000000000</v>
      </c>
      <c r="AT64" s="181">
        <f ca="1">IF($D64&lt;&gt;"Serviço",0,IF(AND(AUTOEVENTO="Manual",$M64=1),0,IF(OFFSET(CRONOPLE!$F$14,$M64,AT$13)="",10^12,OFFSET(CRONOPLE!$F$14,$M64,AT$13))))</f>
        <v>1000000000000</v>
      </c>
      <c r="AU64" s="181">
        <f ca="1">IF($D64&lt;&gt;"Serviço",0,IF(AND(AUTOEVENTO="Manual",$M64=1),0,IF(OFFSET(CRONOPLE!$F$14,$M64,AU$13)="",10^12,OFFSET(CRONOPLE!$F$14,$M64,AU$13))))</f>
        <v>1000000000000</v>
      </c>
      <c r="AV64" s="181">
        <f ca="1">IF($D64&lt;&gt;"Serviço",0,IF(AND(AUTOEVENTO="Manual",$M64=1),0,IF(OFFSET(CRONOPLE!$F$14,$M64,AV$13)="",10^12,OFFSET(CRONOPLE!$F$14,$M64,AV$13))))</f>
        <v>1000000000000</v>
      </c>
      <c r="AX64" s="182">
        <f ca="1">IF($D64&lt;&gt;"Serviço",0,IF(OR(AND(AUTOEVENTO="Manual",$M64=1),$M64&gt;(ROW(PLE.lastrow)-ROW(PLE.firstrow))),0,IF(OFFSET(PLE!$G$14,$M64,AX$13)="",10^12,OFFSET(PLE!$G$14,$M64,AX$13))))</f>
        <v>1000000000000</v>
      </c>
      <c r="AY64" s="182">
        <f ca="1">IF($D64&lt;&gt;"Serviço",0,IF(OR(AND(AUTOEVENTO="Manual",$M64=1),$M64&gt;(ROW(PLE.lastrow)-ROW(PLE.firstrow))),0,IF(OFFSET(PLE!$G$14,$M64,AY$13)="",10^12,OFFSET(PLE!$G$14,$M64,AY$13))))</f>
        <v>1000000000000</v>
      </c>
      <c r="AZ64" s="182">
        <f ca="1">IF($D64&lt;&gt;"Serviço",0,IF(OR(AND(AUTOEVENTO="Manual",$M64=1),$M64&gt;(ROW(PLE.lastrow)-ROW(PLE.firstrow))),0,IF(OFFSET(PLE!$G$14,$M64,AZ$13)="",10^12,OFFSET(PLE!$G$14,$M64,AZ$13))))</f>
        <v>1000000000000</v>
      </c>
      <c r="BA64" s="182">
        <f ca="1">IF($D64&lt;&gt;"Serviço",0,IF(OR(AND(AUTOEVENTO="Manual",$M64=1),$M64&gt;(ROW(PLE.lastrow)-ROW(PLE.firstrow))),0,IF(OFFSET(PLE!$G$14,$M64,BA$13)="",10^12,OFFSET(PLE!$G$14,$M64,BA$13))))</f>
        <v>1000000000000</v>
      </c>
      <c r="BB64" s="182">
        <f ca="1">IF($D64&lt;&gt;"Serviço",0,IF(OR(AND(AUTOEVENTO="Manual",$M64=1),$M64&gt;(ROW(PLE.lastrow)-ROW(PLE.firstrow))),0,IF(OFFSET(PLE!$G$14,$M64,BB$13)="",10^12,OFFSET(PLE!$G$14,$M64,BB$13))))</f>
        <v>1000000000000</v>
      </c>
      <c r="BC64" s="182">
        <f ca="1">IF($D64&lt;&gt;"Serviço",0,IF(OR(AND(AUTOEVENTO="Manual",$M64=1),$M64&gt;(ROW(PLE.lastrow)-ROW(PLE.firstrow))),0,IF(OFFSET(PLE!$G$14,$M64,BC$13)="",10^12,OFFSET(PLE!$G$14,$M64,BC$13))))</f>
        <v>1000000000000</v>
      </c>
      <c r="BD64" s="182">
        <f ca="1">IF($D64&lt;&gt;"Serviço",0,IF(OR(AND(AUTOEVENTO="Manual",$M64=1),$M64&gt;(ROW(PLE.lastrow)-ROW(PLE.firstrow))),0,IF(OFFSET(PLE!$G$14,$M64,BD$13)="",10^12,OFFSET(PLE!$G$14,$M64,BD$13))))</f>
        <v>1000000000000</v>
      </c>
      <c r="BE64" s="182">
        <f ca="1">IF($D64&lt;&gt;"Serviço",0,IF(OR(AND(AUTOEVENTO="Manual",$M64=1),$M64&gt;(ROW(PLE.lastrow)-ROW(PLE.firstrow))),0,IF(OFFSET(PLE!$G$14,$M64,BE$13)="",10^12,OFFSET(PLE!$G$14,$M64,BE$13))))</f>
        <v>1000000000000</v>
      </c>
      <c r="BF64" s="182">
        <f ca="1">IF($D64&lt;&gt;"Serviço",0,IF(OR(AND(AUTOEVENTO="Manual",$M64=1),$M64&gt;(ROW(PLE.lastrow)-ROW(PLE.firstrow))),0,IF(OFFSET(PLE!$G$14,$M64,BF$13)="",10^12,OFFSET(PLE!$G$14,$M64,BF$13))))</f>
        <v>1000000000000</v>
      </c>
      <c r="BG64" s="182">
        <f ca="1">IF($D64&lt;&gt;"Serviço",0,IF(OR(AND(AUTOEVENTO="Manual",$M64=1),$M64&gt;(ROW(PLE.lastrow)-ROW(PLE.firstrow))),0,IF(OFFSET(PLE!$G$14,$M64,BG$13)="",10^12,OFFSET(PLE!$G$14,$M64,BG$13))))</f>
        <v>1000000000000</v>
      </c>
    </row>
    <row r="65" spans="1:59" ht="25.5" x14ac:dyDescent="0.2">
      <c r="A65" s="7" t="str">
        <f t="shared" ca="1" si="8"/>
        <v>44</v>
      </c>
      <c r="B65" s="7" t="str">
        <f ca="1">OFFSET(ORÇAMENTO!C$15,ROW(B65)-ROW(B$15),0)</f>
        <v>S</v>
      </c>
      <c r="C65" s="7" t="str">
        <f ca="1">OFFSET(ORÇAMENTO!L$15,ROW(C65)-ROW(C$15),0)</f>
        <v/>
      </c>
      <c r="D65" s="118" t="str">
        <f ca="1">OFFSET(ORÇAMENTO!N$15,ROW(D65)-ROW(D$15),0)</f>
        <v>Serviço</v>
      </c>
      <c r="E65" s="119" t="str">
        <f ca="1">OFFSET(ORÇAMENTO!O$15,ROW(E65)-ROW(E$15),0)</f>
        <v>-</v>
      </c>
      <c r="F65" s="172" t="str">
        <f ca="1">OFFSET(ORÇAMENTO!R$15,ROW(F65)-ROW(F$15),0)</f>
        <v>(abra o arquivo 'Referência 02-2025.xlsm)</v>
      </c>
      <c r="G65" s="173" t="str">
        <f ca="1">IF($D65&lt;&gt;"Serviço","",OFFSET(ORÇAMENTO!S$15,ROW(G65)-ROW(G$15),0))</f>
        <v>-</v>
      </c>
      <c r="H65" s="124">
        <f ca="1">IF($D65&lt;&gt;"Serviço",0,IF(ACOMPANHAMENTO="BM",ROUND(OFFSET(ORÇAMENTO!AJ$15,ROW(H65)-ROW(H$15),0),15-13*ORÇAMENTO!$AF$7),SUMPRODUCT(($Q$12:$AA$12&lt;&gt;"")*ROUND($Q65:$AA65,15-13*ORÇAMENTO!$AF$7))))</f>
        <v>521.54999999999995</v>
      </c>
      <c r="I65" s="561"/>
      <c r="K65" s="174"/>
      <c r="L65" s="175" t="s">
        <v>255</v>
      </c>
      <c r="M65" s="176">
        <f ca="1">IF($D65&lt;&gt;"Serviço","",IF(AUTOEVENTO="manual",$A65,IF(ISERROR(MATCH($A65,$A$15:OFFSET($A65,-1,0),0)),MAX($M$15:OFFSET(M65,-1,0))+1,INDEX($M$15:OFFSET(M65,-1,0),MATCH($A65,$A$15:OFFSET($A65,-1,0),0)))))</f>
        <v>5</v>
      </c>
      <c r="N65" s="177" t="str">
        <f ca="1">IF($D65&lt;&gt;"Serviço","",IF(AUTOEVENTO="Manual",IF($A65=0,"&lt;-- defina o número do agrupador",OFFSET(EVENTOS!$D$14,$A65,0)),OFFSET($F$15,$A65,0)))</f>
        <v>SUPERESTRUTURA</v>
      </c>
      <c r="O65" s="178"/>
      <c r="Q65" s="178"/>
      <c r="R65" s="179"/>
      <c r="S65" s="179"/>
      <c r="T65" s="179"/>
      <c r="U65" s="179"/>
      <c r="V65" s="179"/>
      <c r="W65" s="179"/>
      <c r="X65" s="179"/>
      <c r="Y65" s="179"/>
      <c r="Z65" s="180"/>
      <c r="AB65" s="544">
        <f ca="1">IF(AND($D65="Serviço",AB$12&lt;&gt;0,$H65&gt;0,OR(AUTOEVENTO&lt;&gt;"manual",$M65&lt;&gt;1)),
IF(Import.TipoArredondamento&lt;&gt;"TransfereGOV",
ROUND(OFFSET($P65,0,AB$13),15-13*ORÇAMENTO!$AF$7)/$H65*OFFSET(ORÇAMENTO!$X$15,ROW(AB65)-ROW(AB$15),0),
ROUND(ROUND(OFFSET($P65,0,AB$13),15-13*ORÇAMENTO!$AF$7)*OFFSET(ORÇAMENTO!$W$15,ROW(AB65)-ROW(AB$15),0),15-13*ORÇAMENTO!$AF$11)),0)</f>
        <v>0</v>
      </c>
      <c r="AC65" s="545">
        <f ca="1">IF(AND($D65="Serviço",AC$12&lt;&gt;0,$H65&gt;0,OR(AUTOEVENTO&lt;&gt;"manual",$M65&lt;&gt;1)),
IF(Import.TipoArredondamento&lt;&gt;"TransfereGOV",
ROUND(OFFSET($P65,0,AC$13),15-13*ORÇAMENTO!$AF$7)/$H65*OFFSET(ORÇAMENTO!$X$15,ROW(AC65)-ROW(AC$15),0),
ROUND(ROUND(OFFSET($P65,0,AC$13),15-13*ORÇAMENTO!$AF$7)*OFFSET(ORÇAMENTO!$W$15,ROW(AC65)-ROW(AC$15),0),15-13*ORÇAMENTO!$AF$11)),0)</f>
        <v>0</v>
      </c>
      <c r="AD65" s="545">
        <f ca="1">IF(AND($D65="Serviço",AD$12&lt;&gt;0,$H65&gt;0,OR(AUTOEVENTO&lt;&gt;"manual",$M65&lt;&gt;1)),
IF(Import.TipoArredondamento&lt;&gt;"TransfereGOV",
ROUND(OFFSET($P65,0,AD$13),15-13*ORÇAMENTO!$AF$7)/$H65*OFFSET(ORÇAMENTO!$X$15,ROW(AD65)-ROW(AD$15),0),
ROUND(ROUND(OFFSET($P65,0,AD$13),15-13*ORÇAMENTO!$AF$7)*OFFSET(ORÇAMENTO!$W$15,ROW(AD65)-ROW(AD$15),0),15-13*ORÇAMENTO!$AF$11)),0)</f>
        <v>0</v>
      </c>
      <c r="AE65" s="545">
        <f ca="1">IF(AND($D65="Serviço",AE$12&lt;&gt;0,$H65&gt;0,OR(AUTOEVENTO&lt;&gt;"manual",$M65&lt;&gt;1)),
IF(Import.TipoArredondamento&lt;&gt;"TransfereGOV",
ROUND(OFFSET($P65,0,AE$13),15-13*ORÇAMENTO!$AF$7)/$H65*OFFSET(ORÇAMENTO!$X$15,ROW(AE65)-ROW(AE$15),0),
ROUND(ROUND(OFFSET($P65,0,AE$13),15-13*ORÇAMENTO!$AF$7)*OFFSET(ORÇAMENTO!$W$15,ROW(AE65)-ROW(AE$15),0),15-13*ORÇAMENTO!$AF$11)),0)</f>
        <v>0</v>
      </c>
      <c r="AF65" s="545">
        <f ca="1">IF(AND($D65="Serviço",AF$12&lt;&gt;0,$H65&gt;0,OR(AUTOEVENTO&lt;&gt;"manual",$M65&lt;&gt;1)),
IF(Import.TipoArredondamento&lt;&gt;"TransfereGOV",
ROUND(OFFSET($P65,0,AF$13),15-13*ORÇAMENTO!$AF$7)/$H65*OFFSET(ORÇAMENTO!$X$15,ROW(AF65)-ROW(AF$15),0),
ROUND(ROUND(OFFSET($P65,0,AF$13),15-13*ORÇAMENTO!$AF$7)*OFFSET(ORÇAMENTO!$W$15,ROW(AF65)-ROW(AF$15),0),15-13*ORÇAMENTO!$AF$11)),0)</f>
        <v>0</v>
      </c>
      <c r="AG65" s="545">
        <f ca="1">IF(AND($D65="Serviço",AG$12&lt;&gt;0,$H65&gt;0,OR(AUTOEVENTO&lt;&gt;"manual",$M65&lt;&gt;1)),
IF(Import.TipoArredondamento&lt;&gt;"TransfereGOV",
ROUND(OFFSET($P65,0,AG$13),15-13*ORÇAMENTO!$AF$7)/$H65*OFFSET(ORÇAMENTO!$X$15,ROW(AG65)-ROW(AG$15),0),
ROUND(ROUND(OFFSET($P65,0,AG$13),15-13*ORÇAMENTO!$AF$7)*OFFSET(ORÇAMENTO!$W$15,ROW(AG65)-ROW(AG$15),0),15-13*ORÇAMENTO!$AF$11)),0)</f>
        <v>0</v>
      </c>
      <c r="AH65" s="545">
        <f ca="1">IF(AND($D65="Serviço",AH$12&lt;&gt;0,$H65&gt;0,OR(AUTOEVENTO&lt;&gt;"manual",$M65&lt;&gt;1)),
IF(Import.TipoArredondamento&lt;&gt;"TransfereGOV",
ROUND(OFFSET($P65,0,AH$13),15-13*ORÇAMENTO!$AF$7)/$H65*OFFSET(ORÇAMENTO!$X$15,ROW(AH65)-ROW(AH$15),0),
ROUND(ROUND(OFFSET($P65,0,AH$13),15-13*ORÇAMENTO!$AF$7)*OFFSET(ORÇAMENTO!$W$15,ROW(AH65)-ROW(AH$15),0),15-13*ORÇAMENTO!$AF$11)),0)</f>
        <v>0</v>
      </c>
      <c r="AI65" s="545">
        <f ca="1">IF(AND($D65="Serviço",AI$12&lt;&gt;0,$H65&gt;0,OR(AUTOEVENTO&lt;&gt;"manual",$M65&lt;&gt;1)),
IF(Import.TipoArredondamento&lt;&gt;"TransfereGOV",
ROUND(OFFSET($P65,0,AI$13),15-13*ORÇAMENTO!$AF$7)/$H65*OFFSET(ORÇAMENTO!$X$15,ROW(AI65)-ROW(AI$15),0),
ROUND(ROUND(OFFSET($P65,0,AI$13),15-13*ORÇAMENTO!$AF$7)*OFFSET(ORÇAMENTO!$W$15,ROW(AI65)-ROW(AI$15),0),15-13*ORÇAMENTO!$AF$11)),0)</f>
        <v>0</v>
      </c>
      <c r="AJ65" s="545">
        <f ca="1">IF(AND($D65="Serviço",AJ$12&lt;&gt;0,$H65&gt;0,OR(AUTOEVENTO&lt;&gt;"manual",$M65&lt;&gt;1)),
IF(Import.TipoArredondamento&lt;&gt;"TransfereGOV",
ROUND(OFFSET($P65,0,AJ$13),15-13*ORÇAMENTO!$AF$7)/$H65*OFFSET(ORÇAMENTO!$X$15,ROW(AJ65)-ROW(AJ$15),0),
ROUND(ROUND(OFFSET($P65,0,AJ$13),15-13*ORÇAMENTO!$AF$7)*OFFSET(ORÇAMENTO!$W$15,ROW(AJ65)-ROW(AJ$15),0),15-13*ORÇAMENTO!$AF$11)),0)</f>
        <v>0</v>
      </c>
      <c r="AK65" s="546">
        <f ca="1">IF(AND($D65="Serviço",AK$12&lt;&gt;0,$H65&gt;0,OR(AUTOEVENTO&lt;&gt;"manual",$M65&lt;&gt;1)),
IF(Import.TipoArredondamento&lt;&gt;"TransfereGOV",
ROUND(OFFSET($P65,0,AK$13),15-13*ORÇAMENTO!$AF$7)/$H65*OFFSET(ORÇAMENTO!$X$15,ROW(AK65)-ROW(AK$15),0),
ROUND(ROUND(OFFSET($P65,0,AK$13),15-13*ORÇAMENTO!$AF$7)*OFFSET(ORÇAMENTO!$W$15,ROW(AK65)-ROW(AK$15),0),15-13*ORÇAMENTO!$AF$11)),0)</f>
        <v>0</v>
      </c>
      <c r="AM65" s="181">
        <f ca="1">IF($D65&lt;&gt;"Serviço",0,IF(AND(AUTOEVENTO="Manual",$M65=1),0,IF(OFFSET(CRONOPLE!$F$14,$M65,AM$13)="",10^12,OFFSET(CRONOPLE!$F$14,$M65,AM$13))))</f>
        <v>1000000000000</v>
      </c>
      <c r="AN65" s="181">
        <f ca="1">IF($D65&lt;&gt;"Serviço",0,IF(AND(AUTOEVENTO="Manual",$M65=1),0,IF(OFFSET(CRONOPLE!$F$14,$M65,AN$13)="",10^12,OFFSET(CRONOPLE!$F$14,$M65,AN$13))))</f>
        <v>1000000000000</v>
      </c>
      <c r="AO65" s="181">
        <f ca="1">IF($D65&lt;&gt;"Serviço",0,IF(AND(AUTOEVENTO="Manual",$M65=1),0,IF(OFFSET(CRONOPLE!$F$14,$M65,AO$13)="",10^12,OFFSET(CRONOPLE!$F$14,$M65,AO$13))))</f>
        <v>1000000000000</v>
      </c>
      <c r="AP65" s="181">
        <f ca="1">IF($D65&lt;&gt;"Serviço",0,IF(AND(AUTOEVENTO="Manual",$M65=1),0,IF(OFFSET(CRONOPLE!$F$14,$M65,AP$13)="",10^12,OFFSET(CRONOPLE!$F$14,$M65,AP$13))))</f>
        <v>1000000000000</v>
      </c>
      <c r="AQ65" s="181">
        <f ca="1">IF($D65&lt;&gt;"Serviço",0,IF(AND(AUTOEVENTO="Manual",$M65=1),0,IF(OFFSET(CRONOPLE!$F$14,$M65,AQ$13)="",10^12,OFFSET(CRONOPLE!$F$14,$M65,AQ$13))))</f>
        <v>1000000000000</v>
      </c>
      <c r="AR65" s="181">
        <f ca="1">IF($D65&lt;&gt;"Serviço",0,IF(AND(AUTOEVENTO="Manual",$M65=1),0,IF(OFFSET(CRONOPLE!$F$14,$M65,AR$13)="",10^12,OFFSET(CRONOPLE!$F$14,$M65,AR$13))))</f>
        <v>1000000000000</v>
      </c>
      <c r="AS65" s="181">
        <f ca="1">IF($D65&lt;&gt;"Serviço",0,IF(AND(AUTOEVENTO="Manual",$M65=1),0,IF(OFFSET(CRONOPLE!$F$14,$M65,AS$13)="",10^12,OFFSET(CRONOPLE!$F$14,$M65,AS$13))))</f>
        <v>1000000000000</v>
      </c>
      <c r="AT65" s="181">
        <f ca="1">IF($D65&lt;&gt;"Serviço",0,IF(AND(AUTOEVENTO="Manual",$M65=1),0,IF(OFFSET(CRONOPLE!$F$14,$M65,AT$13)="",10^12,OFFSET(CRONOPLE!$F$14,$M65,AT$13))))</f>
        <v>1000000000000</v>
      </c>
      <c r="AU65" s="181">
        <f ca="1">IF($D65&lt;&gt;"Serviço",0,IF(AND(AUTOEVENTO="Manual",$M65=1),0,IF(OFFSET(CRONOPLE!$F$14,$M65,AU$13)="",10^12,OFFSET(CRONOPLE!$F$14,$M65,AU$13))))</f>
        <v>1000000000000</v>
      </c>
      <c r="AV65" s="181">
        <f ca="1">IF($D65&lt;&gt;"Serviço",0,IF(AND(AUTOEVENTO="Manual",$M65=1),0,IF(OFFSET(CRONOPLE!$F$14,$M65,AV$13)="",10^12,OFFSET(CRONOPLE!$F$14,$M65,AV$13))))</f>
        <v>1000000000000</v>
      </c>
      <c r="AX65" s="182">
        <f ca="1">IF($D65&lt;&gt;"Serviço",0,IF(OR(AND(AUTOEVENTO="Manual",$M65=1),$M65&gt;(ROW(PLE.lastrow)-ROW(PLE.firstrow))),0,IF(OFFSET(PLE!$G$14,$M65,AX$13)="",10^12,OFFSET(PLE!$G$14,$M65,AX$13))))</f>
        <v>1000000000000</v>
      </c>
      <c r="AY65" s="182">
        <f ca="1">IF($D65&lt;&gt;"Serviço",0,IF(OR(AND(AUTOEVENTO="Manual",$M65=1),$M65&gt;(ROW(PLE.lastrow)-ROW(PLE.firstrow))),0,IF(OFFSET(PLE!$G$14,$M65,AY$13)="",10^12,OFFSET(PLE!$G$14,$M65,AY$13))))</f>
        <v>1000000000000</v>
      </c>
      <c r="AZ65" s="182">
        <f ca="1">IF($D65&lt;&gt;"Serviço",0,IF(OR(AND(AUTOEVENTO="Manual",$M65=1),$M65&gt;(ROW(PLE.lastrow)-ROW(PLE.firstrow))),0,IF(OFFSET(PLE!$G$14,$M65,AZ$13)="",10^12,OFFSET(PLE!$G$14,$M65,AZ$13))))</f>
        <v>1000000000000</v>
      </c>
      <c r="BA65" s="182">
        <f ca="1">IF($D65&lt;&gt;"Serviço",0,IF(OR(AND(AUTOEVENTO="Manual",$M65=1),$M65&gt;(ROW(PLE.lastrow)-ROW(PLE.firstrow))),0,IF(OFFSET(PLE!$G$14,$M65,BA$13)="",10^12,OFFSET(PLE!$G$14,$M65,BA$13))))</f>
        <v>1000000000000</v>
      </c>
      <c r="BB65" s="182">
        <f ca="1">IF($D65&lt;&gt;"Serviço",0,IF(OR(AND(AUTOEVENTO="Manual",$M65=1),$M65&gt;(ROW(PLE.lastrow)-ROW(PLE.firstrow))),0,IF(OFFSET(PLE!$G$14,$M65,BB$13)="",10^12,OFFSET(PLE!$G$14,$M65,BB$13))))</f>
        <v>1000000000000</v>
      </c>
      <c r="BC65" s="182">
        <f ca="1">IF($D65&lt;&gt;"Serviço",0,IF(OR(AND(AUTOEVENTO="Manual",$M65=1),$M65&gt;(ROW(PLE.lastrow)-ROW(PLE.firstrow))),0,IF(OFFSET(PLE!$G$14,$M65,BC$13)="",10^12,OFFSET(PLE!$G$14,$M65,BC$13))))</f>
        <v>1000000000000</v>
      </c>
      <c r="BD65" s="182">
        <f ca="1">IF($D65&lt;&gt;"Serviço",0,IF(OR(AND(AUTOEVENTO="Manual",$M65=1),$M65&gt;(ROW(PLE.lastrow)-ROW(PLE.firstrow))),0,IF(OFFSET(PLE!$G$14,$M65,BD$13)="",10^12,OFFSET(PLE!$G$14,$M65,BD$13))))</f>
        <v>1000000000000</v>
      </c>
      <c r="BE65" s="182">
        <f ca="1">IF($D65&lt;&gt;"Serviço",0,IF(OR(AND(AUTOEVENTO="Manual",$M65=1),$M65&gt;(ROW(PLE.lastrow)-ROW(PLE.firstrow))),0,IF(OFFSET(PLE!$G$14,$M65,BE$13)="",10^12,OFFSET(PLE!$G$14,$M65,BE$13))))</f>
        <v>1000000000000</v>
      </c>
      <c r="BF65" s="182">
        <f ca="1">IF($D65&lt;&gt;"Serviço",0,IF(OR(AND(AUTOEVENTO="Manual",$M65=1),$M65&gt;(ROW(PLE.lastrow)-ROW(PLE.firstrow))),0,IF(OFFSET(PLE!$G$14,$M65,BF$13)="",10^12,OFFSET(PLE!$G$14,$M65,BF$13))))</f>
        <v>1000000000000</v>
      </c>
      <c r="BG65" s="182">
        <f ca="1">IF($D65&lt;&gt;"Serviço",0,IF(OR(AND(AUTOEVENTO="Manual",$M65=1),$M65&gt;(ROW(PLE.lastrow)-ROW(PLE.firstrow))),0,IF(OFFSET(PLE!$G$14,$M65,BG$13)="",10^12,OFFSET(PLE!$G$14,$M65,BG$13))))</f>
        <v>1000000000000</v>
      </c>
    </row>
    <row r="66" spans="1:59" ht="38.25" x14ac:dyDescent="0.2">
      <c r="A66" s="7" t="str">
        <f t="shared" ca="1" si="8"/>
        <v>44</v>
      </c>
      <c r="B66" s="7" t="str">
        <f ca="1">OFFSET(ORÇAMENTO!C$15,ROW(B66)-ROW(B$15),0)</f>
        <v>S</v>
      </c>
      <c r="C66" s="7" t="str">
        <f ca="1">OFFSET(ORÇAMENTO!L$15,ROW(C66)-ROW(C$15),0)</f>
        <v/>
      </c>
      <c r="D66" s="118" t="str">
        <f ca="1">OFFSET(ORÇAMENTO!N$15,ROW(D66)-ROW(D$15),0)</f>
        <v>Serviço</v>
      </c>
      <c r="E66" s="119" t="str">
        <f ca="1">OFFSET(ORÇAMENTO!O$15,ROW(E66)-ROW(E$15),0)</f>
        <v>-</v>
      </c>
      <c r="F66" s="172" t="str">
        <f ca="1">OFFSET(ORÇAMENTO!R$15,ROW(F66)-ROW(F$15),0)</f>
        <v>(abra o arquivo 'Referência 02-2025.xlsm)</v>
      </c>
      <c r="G66" s="173" t="str">
        <f ca="1">IF($D66&lt;&gt;"Serviço","",OFFSET(ORÇAMENTO!S$15,ROW(G66)-ROW(G$15),0))</f>
        <v>-</v>
      </c>
      <c r="H66" s="124">
        <f ca="1">IF($D66&lt;&gt;"Serviço",0,IF(ACOMPANHAMENTO="BM",ROUND(OFFSET(ORÇAMENTO!AJ$15,ROW(H66)-ROW(H$15),0),15-13*ORÇAMENTO!$AF$7),SUMPRODUCT(($Q$12:$AA$12&lt;&gt;"")*ROUND($Q66:$AA66,15-13*ORÇAMENTO!$AF$7))))</f>
        <v>1219.83</v>
      </c>
      <c r="I66" s="561"/>
      <c r="K66" s="174"/>
      <c r="L66" s="175" t="s">
        <v>255</v>
      </c>
      <c r="M66" s="176">
        <f ca="1">IF($D66&lt;&gt;"Serviço","",IF(AUTOEVENTO="manual",$A66,IF(ISERROR(MATCH($A66,$A$15:OFFSET($A66,-1,0),0)),MAX($M$15:OFFSET(M66,-1,0))+1,INDEX($M$15:OFFSET(M66,-1,0),MATCH($A66,$A$15:OFFSET($A66,-1,0),0)))))</f>
        <v>5</v>
      </c>
      <c r="N66" s="177" t="str">
        <f ca="1">IF($D66&lt;&gt;"Serviço","",IF(AUTOEVENTO="Manual",IF($A66=0,"&lt;-- defina o número do agrupador",OFFSET(EVENTOS!$D$14,$A66,0)),OFFSET($F$15,$A66,0)))</f>
        <v>SUPERESTRUTURA</v>
      </c>
      <c r="O66" s="178"/>
      <c r="Q66" s="178"/>
      <c r="R66" s="179"/>
      <c r="S66" s="179"/>
      <c r="T66" s="179"/>
      <c r="U66" s="179"/>
      <c r="V66" s="179"/>
      <c r="W66" s="179"/>
      <c r="X66" s="179"/>
      <c r="Y66" s="179"/>
      <c r="Z66" s="180"/>
      <c r="AB66" s="544">
        <f ca="1">IF(AND($D66="Serviço",AB$12&lt;&gt;0,$H66&gt;0,OR(AUTOEVENTO&lt;&gt;"manual",$M66&lt;&gt;1)),
IF(Import.TipoArredondamento&lt;&gt;"TransfereGOV",
ROUND(OFFSET($P66,0,AB$13),15-13*ORÇAMENTO!$AF$7)/$H66*OFFSET(ORÇAMENTO!$X$15,ROW(AB66)-ROW(AB$15),0),
ROUND(ROUND(OFFSET($P66,0,AB$13),15-13*ORÇAMENTO!$AF$7)*OFFSET(ORÇAMENTO!$W$15,ROW(AB66)-ROW(AB$15),0),15-13*ORÇAMENTO!$AF$11)),0)</f>
        <v>0</v>
      </c>
      <c r="AC66" s="545">
        <f ca="1">IF(AND($D66="Serviço",AC$12&lt;&gt;0,$H66&gt;0,OR(AUTOEVENTO&lt;&gt;"manual",$M66&lt;&gt;1)),
IF(Import.TipoArredondamento&lt;&gt;"TransfereGOV",
ROUND(OFFSET($P66,0,AC$13),15-13*ORÇAMENTO!$AF$7)/$H66*OFFSET(ORÇAMENTO!$X$15,ROW(AC66)-ROW(AC$15),0),
ROUND(ROUND(OFFSET($P66,0,AC$13),15-13*ORÇAMENTO!$AF$7)*OFFSET(ORÇAMENTO!$W$15,ROW(AC66)-ROW(AC$15),0),15-13*ORÇAMENTO!$AF$11)),0)</f>
        <v>0</v>
      </c>
      <c r="AD66" s="545">
        <f ca="1">IF(AND($D66="Serviço",AD$12&lt;&gt;0,$H66&gt;0,OR(AUTOEVENTO&lt;&gt;"manual",$M66&lt;&gt;1)),
IF(Import.TipoArredondamento&lt;&gt;"TransfereGOV",
ROUND(OFFSET($P66,0,AD$13),15-13*ORÇAMENTO!$AF$7)/$H66*OFFSET(ORÇAMENTO!$X$15,ROW(AD66)-ROW(AD$15),0),
ROUND(ROUND(OFFSET($P66,0,AD$13),15-13*ORÇAMENTO!$AF$7)*OFFSET(ORÇAMENTO!$W$15,ROW(AD66)-ROW(AD$15),0),15-13*ORÇAMENTO!$AF$11)),0)</f>
        <v>0</v>
      </c>
      <c r="AE66" s="545">
        <f ca="1">IF(AND($D66="Serviço",AE$12&lt;&gt;0,$H66&gt;0,OR(AUTOEVENTO&lt;&gt;"manual",$M66&lt;&gt;1)),
IF(Import.TipoArredondamento&lt;&gt;"TransfereGOV",
ROUND(OFFSET($P66,0,AE$13),15-13*ORÇAMENTO!$AF$7)/$H66*OFFSET(ORÇAMENTO!$X$15,ROW(AE66)-ROW(AE$15),0),
ROUND(ROUND(OFFSET($P66,0,AE$13),15-13*ORÇAMENTO!$AF$7)*OFFSET(ORÇAMENTO!$W$15,ROW(AE66)-ROW(AE$15),0),15-13*ORÇAMENTO!$AF$11)),0)</f>
        <v>0</v>
      </c>
      <c r="AF66" s="545">
        <f ca="1">IF(AND($D66="Serviço",AF$12&lt;&gt;0,$H66&gt;0,OR(AUTOEVENTO&lt;&gt;"manual",$M66&lt;&gt;1)),
IF(Import.TipoArredondamento&lt;&gt;"TransfereGOV",
ROUND(OFFSET($P66,0,AF$13),15-13*ORÇAMENTO!$AF$7)/$H66*OFFSET(ORÇAMENTO!$X$15,ROW(AF66)-ROW(AF$15),0),
ROUND(ROUND(OFFSET($P66,0,AF$13),15-13*ORÇAMENTO!$AF$7)*OFFSET(ORÇAMENTO!$W$15,ROW(AF66)-ROW(AF$15),0),15-13*ORÇAMENTO!$AF$11)),0)</f>
        <v>0</v>
      </c>
      <c r="AG66" s="545">
        <f ca="1">IF(AND($D66="Serviço",AG$12&lt;&gt;0,$H66&gt;0,OR(AUTOEVENTO&lt;&gt;"manual",$M66&lt;&gt;1)),
IF(Import.TipoArredondamento&lt;&gt;"TransfereGOV",
ROUND(OFFSET($P66,0,AG$13),15-13*ORÇAMENTO!$AF$7)/$H66*OFFSET(ORÇAMENTO!$X$15,ROW(AG66)-ROW(AG$15),0),
ROUND(ROUND(OFFSET($P66,0,AG$13),15-13*ORÇAMENTO!$AF$7)*OFFSET(ORÇAMENTO!$W$15,ROW(AG66)-ROW(AG$15),0),15-13*ORÇAMENTO!$AF$11)),0)</f>
        <v>0</v>
      </c>
      <c r="AH66" s="545">
        <f ca="1">IF(AND($D66="Serviço",AH$12&lt;&gt;0,$H66&gt;0,OR(AUTOEVENTO&lt;&gt;"manual",$M66&lt;&gt;1)),
IF(Import.TipoArredondamento&lt;&gt;"TransfereGOV",
ROUND(OFFSET($P66,0,AH$13),15-13*ORÇAMENTO!$AF$7)/$H66*OFFSET(ORÇAMENTO!$X$15,ROW(AH66)-ROW(AH$15),0),
ROUND(ROUND(OFFSET($P66,0,AH$13),15-13*ORÇAMENTO!$AF$7)*OFFSET(ORÇAMENTO!$W$15,ROW(AH66)-ROW(AH$15),0),15-13*ORÇAMENTO!$AF$11)),0)</f>
        <v>0</v>
      </c>
      <c r="AI66" s="545">
        <f ca="1">IF(AND($D66="Serviço",AI$12&lt;&gt;0,$H66&gt;0,OR(AUTOEVENTO&lt;&gt;"manual",$M66&lt;&gt;1)),
IF(Import.TipoArredondamento&lt;&gt;"TransfereGOV",
ROUND(OFFSET($P66,0,AI$13),15-13*ORÇAMENTO!$AF$7)/$H66*OFFSET(ORÇAMENTO!$X$15,ROW(AI66)-ROW(AI$15),0),
ROUND(ROUND(OFFSET($P66,0,AI$13),15-13*ORÇAMENTO!$AF$7)*OFFSET(ORÇAMENTO!$W$15,ROW(AI66)-ROW(AI$15),0),15-13*ORÇAMENTO!$AF$11)),0)</f>
        <v>0</v>
      </c>
      <c r="AJ66" s="545">
        <f ca="1">IF(AND($D66="Serviço",AJ$12&lt;&gt;0,$H66&gt;0,OR(AUTOEVENTO&lt;&gt;"manual",$M66&lt;&gt;1)),
IF(Import.TipoArredondamento&lt;&gt;"TransfereGOV",
ROUND(OFFSET($P66,0,AJ$13),15-13*ORÇAMENTO!$AF$7)/$H66*OFFSET(ORÇAMENTO!$X$15,ROW(AJ66)-ROW(AJ$15),0),
ROUND(ROUND(OFFSET($P66,0,AJ$13),15-13*ORÇAMENTO!$AF$7)*OFFSET(ORÇAMENTO!$W$15,ROW(AJ66)-ROW(AJ$15),0),15-13*ORÇAMENTO!$AF$11)),0)</f>
        <v>0</v>
      </c>
      <c r="AK66" s="546">
        <f ca="1">IF(AND($D66="Serviço",AK$12&lt;&gt;0,$H66&gt;0,OR(AUTOEVENTO&lt;&gt;"manual",$M66&lt;&gt;1)),
IF(Import.TipoArredondamento&lt;&gt;"TransfereGOV",
ROUND(OFFSET($P66,0,AK$13),15-13*ORÇAMENTO!$AF$7)/$H66*OFFSET(ORÇAMENTO!$X$15,ROW(AK66)-ROW(AK$15),0),
ROUND(ROUND(OFFSET($P66,0,AK$13),15-13*ORÇAMENTO!$AF$7)*OFFSET(ORÇAMENTO!$W$15,ROW(AK66)-ROW(AK$15),0),15-13*ORÇAMENTO!$AF$11)),0)</f>
        <v>0</v>
      </c>
      <c r="AM66" s="181">
        <f ca="1">IF($D66&lt;&gt;"Serviço",0,IF(AND(AUTOEVENTO="Manual",$M66=1),0,IF(OFFSET(CRONOPLE!$F$14,$M66,AM$13)="",10^12,OFFSET(CRONOPLE!$F$14,$M66,AM$13))))</f>
        <v>1000000000000</v>
      </c>
      <c r="AN66" s="181">
        <f ca="1">IF($D66&lt;&gt;"Serviço",0,IF(AND(AUTOEVENTO="Manual",$M66=1),0,IF(OFFSET(CRONOPLE!$F$14,$M66,AN$13)="",10^12,OFFSET(CRONOPLE!$F$14,$M66,AN$13))))</f>
        <v>1000000000000</v>
      </c>
      <c r="AO66" s="181">
        <f ca="1">IF($D66&lt;&gt;"Serviço",0,IF(AND(AUTOEVENTO="Manual",$M66=1),0,IF(OFFSET(CRONOPLE!$F$14,$M66,AO$13)="",10^12,OFFSET(CRONOPLE!$F$14,$M66,AO$13))))</f>
        <v>1000000000000</v>
      </c>
      <c r="AP66" s="181">
        <f ca="1">IF($D66&lt;&gt;"Serviço",0,IF(AND(AUTOEVENTO="Manual",$M66=1),0,IF(OFFSET(CRONOPLE!$F$14,$M66,AP$13)="",10^12,OFFSET(CRONOPLE!$F$14,$M66,AP$13))))</f>
        <v>1000000000000</v>
      </c>
      <c r="AQ66" s="181">
        <f ca="1">IF($D66&lt;&gt;"Serviço",0,IF(AND(AUTOEVENTO="Manual",$M66=1),0,IF(OFFSET(CRONOPLE!$F$14,$M66,AQ$13)="",10^12,OFFSET(CRONOPLE!$F$14,$M66,AQ$13))))</f>
        <v>1000000000000</v>
      </c>
      <c r="AR66" s="181">
        <f ca="1">IF($D66&lt;&gt;"Serviço",0,IF(AND(AUTOEVENTO="Manual",$M66=1),0,IF(OFFSET(CRONOPLE!$F$14,$M66,AR$13)="",10^12,OFFSET(CRONOPLE!$F$14,$M66,AR$13))))</f>
        <v>1000000000000</v>
      </c>
      <c r="AS66" s="181">
        <f ca="1">IF($D66&lt;&gt;"Serviço",0,IF(AND(AUTOEVENTO="Manual",$M66=1),0,IF(OFFSET(CRONOPLE!$F$14,$M66,AS$13)="",10^12,OFFSET(CRONOPLE!$F$14,$M66,AS$13))))</f>
        <v>1000000000000</v>
      </c>
      <c r="AT66" s="181">
        <f ca="1">IF($D66&lt;&gt;"Serviço",0,IF(AND(AUTOEVENTO="Manual",$M66=1),0,IF(OFFSET(CRONOPLE!$F$14,$M66,AT$13)="",10^12,OFFSET(CRONOPLE!$F$14,$M66,AT$13))))</f>
        <v>1000000000000</v>
      </c>
      <c r="AU66" s="181">
        <f ca="1">IF($D66&lt;&gt;"Serviço",0,IF(AND(AUTOEVENTO="Manual",$M66=1),0,IF(OFFSET(CRONOPLE!$F$14,$M66,AU$13)="",10^12,OFFSET(CRONOPLE!$F$14,$M66,AU$13))))</f>
        <v>1000000000000</v>
      </c>
      <c r="AV66" s="181">
        <f ca="1">IF($D66&lt;&gt;"Serviço",0,IF(AND(AUTOEVENTO="Manual",$M66=1),0,IF(OFFSET(CRONOPLE!$F$14,$M66,AV$13)="",10^12,OFFSET(CRONOPLE!$F$14,$M66,AV$13))))</f>
        <v>1000000000000</v>
      </c>
      <c r="AX66" s="182">
        <f ca="1">IF($D66&lt;&gt;"Serviço",0,IF(OR(AND(AUTOEVENTO="Manual",$M66=1),$M66&gt;(ROW(PLE.lastrow)-ROW(PLE.firstrow))),0,IF(OFFSET(PLE!$G$14,$M66,AX$13)="",10^12,OFFSET(PLE!$G$14,$M66,AX$13))))</f>
        <v>1000000000000</v>
      </c>
      <c r="AY66" s="182">
        <f ca="1">IF($D66&lt;&gt;"Serviço",0,IF(OR(AND(AUTOEVENTO="Manual",$M66=1),$M66&gt;(ROW(PLE.lastrow)-ROW(PLE.firstrow))),0,IF(OFFSET(PLE!$G$14,$M66,AY$13)="",10^12,OFFSET(PLE!$G$14,$M66,AY$13))))</f>
        <v>1000000000000</v>
      </c>
      <c r="AZ66" s="182">
        <f ca="1">IF($D66&lt;&gt;"Serviço",0,IF(OR(AND(AUTOEVENTO="Manual",$M66=1),$M66&gt;(ROW(PLE.lastrow)-ROW(PLE.firstrow))),0,IF(OFFSET(PLE!$G$14,$M66,AZ$13)="",10^12,OFFSET(PLE!$G$14,$M66,AZ$13))))</f>
        <v>1000000000000</v>
      </c>
      <c r="BA66" s="182">
        <f ca="1">IF($D66&lt;&gt;"Serviço",0,IF(OR(AND(AUTOEVENTO="Manual",$M66=1),$M66&gt;(ROW(PLE.lastrow)-ROW(PLE.firstrow))),0,IF(OFFSET(PLE!$G$14,$M66,BA$13)="",10^12,OFFSET(PLE!$G$14,$M66,BA$13))))</f>
        <v>1000000000000</v>
      </c>
      <c r="BB66" s="182">
        <f ca="1">IF($D66&lt;&gt;"Serviço",0,IF(OR(AND(AUTOEVENTO="Manual",$M66=1),$M66&gt;(ROW(PLE.lastrow)-ROW(PLE.firstrow))),0,IF(OFFSET(PLE!$G$14,$M66,BB$13)="",10^12,OFFSET(PLE!$G$14,$M66,BB$13))))</f>
        <v>1000000000000</v>
      </c>
      <c r="BC66" s="182">
        <f ca="1">IF($D66&lt;&gt;"Serviço",0,IF(OR(AND(AUTOEVENTO="Manual",$M66=1),$M66&gt;(ROW(PLE.lastrow)-ROW(PLE.firstrow))),0,IF(OFFSET(PLE!$G$14,$M66,BC$13)="",10^12,OFFSET(PLE!$G$14,$M66,BC$13))))</f>
        <v>1000000000000</v>
      </c>
      <c r="BD66" s="182">
        <f ca="1">IF($D66&lt;&gt;"Serviço",0,IF(OR(AND(AUTOEVENTO="Manual",$M66=1),$M66&gt;(ROW(PLE.lastrow)-ROW(PLE.firstrow))),0,IF(OFFSET(PLE!$G$14,$M66,BD$13)="",10^12,OFFSET(PLE!$G$14,$M66,BD$13))))</f>
        <v>1000000000000</v>
      </c>
      <c r="BE66" s="182">
        <f ca="1">IF($D66&lt;&gt;"Serviço",0,IF(OR(AND(AUTOEVENTO="Manual",$M66=1),$M66&gt;(ROW(PLE.lastrow)-ROW(PLE.firstrow))),0,IF(OFFSET(PLE!$G$14,$M66,BE$13)="",10^12,OFFSET(PLE!$G$14,$M66,BE$13))))</f>
        <v>1000000000000</v>
      </c>
      <c r="BF66" s="182">
        <f ca="1">IF($D66&lt;&gt;"Serviço",0,IF(OR(AND(AUTOEVENTO="Manual",$M66=1),$M66&gt;(ROW(PLE.lastrow)-ROW(PLE.firstrow))),0,IF(OFFSET(PLE!$G$14,$M66,BF$13)="",10^12,OFFSET(PLE!$G$14,$M66,BF$13))))</f>
        <v>1000000000000</v>
      </c>
      <c r="BG66" s="182">
        <f ca="1">IF($D66&lt;&gt;"Serviço",0,IF(OR(AND(AUTOEVENTO="Manual",$M66=1),$M66&gt;(ROW(PLE.lastrow)-ROW(PLE.firstrow))),0,IF(OFFSET(PLE!$G$14,$M66,BG$13)="",10^12,OFFSET(PLE!$G$14,$M66,BG$13))))</f>
        <v>1000000000000</v>
      </c>
    </row>
    <row r="67" spans="1:59" ht="38.25" x14ac:dyDescent="0.2">
      <c r="A67" s="7" t="str">
        <f t="shared" ca="1" si="8"/>
        <v>44</v>
      </c>
      <c r="B67" s="7" t="str">
        <f ca="1">OFFSET(ORÇAMENTO!C$15,ROW(B67)-ROW(B$15),0)</f>
        <v>S</v>
      </c>
      <c r="C67" s="7" t="str">
        <f ca="1">OFFSET(ORÇAMENTO!L$15,ROW(C67)-ROW(C$15),0)</f>
        <v/>
      </c>
      <c r="D67" s="118" t="str">
        <f ca="1">OFFSET(ORÇAMENTO!N$15,ROW(D67)-ROW(D$15),0)</f>
        <v>Serviço</v>
      </c>
      <c r="E67" s="119" t="str">
        <f ca="1">OFFSET(ORÇAMENTO!O$15,ROW(E67)-ROW(E$15),0)</f>
        <v>-</v>
      </c>
      <c r="F67" s="172" t="str">
        <f ca="1">OFFSET(ORÇAMENTO!R$15,ROW(F67)-ROW(F$15),0)</f>
        <v>(abra o arquivo 'Referência 02-2025.xlsm)</v>
      </c>
      <c r="G67" s="173" t="str">
        <f ca="1">IF($D67&lt;&gt;"Serviço","",OFFSET(ORÇAMENTO!S$15,ROW(G67)-ROW(G$15),0))</f>
        <v>-</v>
      </c>
      <c r="H67" s="124">
        <f ca="1">IF($D67&lt;&gt;"Serviço",0,IF(ACOMPANHAMENTO="BM",ROUND(OFFSET(ORÇAMENTO!AJ$15,ROW(H67)-ROW(H$15),0),15-13*ORÇAMENTO!$AF$7),SUMPRODUCT(($Q$12:$AA$12&lt;&gt;"")*ROUND($Q67:$AA67,15-13*ORÇAMENTO!$AF$7))))</f>
        <v>171.64</v>
      </c>
      <c r="I67" s="561"/>
      <c r="K67" s="174"/>
      <c r="L67" s="175" t="s">
        <v>255</v>
      </c>
      <c r="M67" s="176">
        <f ca="1">IF($D67&lt;&gt;"Serviço","",IF(AUTOEVENTO="manual",$A67,IF(ISERROR(MATCH($A67,$A$15:OFFSET($A67,-1,0),0)),MAX($M$15:OFFSET(M67,-1,0))+1,INDEX($M$15:OFFSET(M67,-1,0),MATCH($A67,$A$15:OFFSET($A67,-1,0),0)))))</f>
        <v>5</v>
      </c>
      <c r="N67" s="177" t="str">
        <f ca="1">IF($D67&lt;&gt;"Serviço","",IF(AUTOEVENTO="Manual",IF($A67=0,"&lt;-- defina o número do agrupador",OFFSET(EVENTOS!$D$14,$A67,0)),OFFSET($F$15,$A67,0)))</f>
        <v>SUPERESTRUTURA</v>
      </c>
      <c r="O67" s="178"/>
      <c r="Q67" s="178"/>
      <c r="R67" s="179"/>
      <c r="S67" s="179"/>
      <c r="T67" s="179"/>
      <c r="U67" s="179"/>
      <c r="V67" s="179"/>
      <c r="W67" s="179"/>
      <c r="X67" s="179"/>
      <c r="Y67" s="179"/>
      <c r="Z67" s="180"/>
      <c r="AB67" s="544">
        <f ca="1">IF(AND($D67="Serviço",AB$12&lt;&gt;0,$H67&gt;0,OR(AUTOEVENTO&lt;&gt;"manual",$M67&lt;&gt;1)),
IF(Import.TipoArredondamento&lt;&gt;"TransfereGOV",
ROUND(OFFSET($P67,0,AB$13),15-13*ORÇAMENTO!$AF$7)/$H67*OFFSET(ORÇAMENTO!$X$15,ROW(AB67)-ROW(AB$15),0),
ROUND(ROUND(OFFSET($P67,0,AB$13),15-13*ORÇAMENTO!$AF$7)*OFFSET(ORÇAMENTO!$W$15,ROW(AB67)-ROW(AB$15),0),15-13*ORÇAMENTO!$AF$11)),0)</f>
        <v>0</v>
      </c>
      <c r="AC67" s="545">
        <f ca="1">IF(AND($D67="Serviço",AC$12&lt;&gt;0,$H67&gt;0,OR(AUTOEVENTO&lt;&gt;"manual",$M67&lt;&gt;1)),
IF(Import.TipoArredondamento&lt;&gt;"TransfereGOV",
ROUND(OFFSET($P67,0,AC$13),15-13*ORÇAMENTO!$AF$7)/$H67*OFFSET(ORÇAMENTO!$X$15,ROW(AC67)-ROW(AC$15),0),
ROUND(ROUND(OFFSET($P67,0,AC$13),15-13*ORÇAMENTO!$AF$7)*OFFSET(ORÇAMENTO!$W$15,ROW(AC67)-ROW(AC$15),0),15-13*ORÇAMENTO!$AF$11)),0)</f>
        <v>0</v>
      </c>
      <c r="AD67" s="545">
        <f ca="1">IF(AND($D67="Serviço",AD$12&lt;&gt;0,$H67&gt;0,OR(AUTOEVENTO&lt;&gt;"manual",$M67&lt;&gt;1)),
IF(Import.TipoArredondamento&lt;&gt;"TransfereGOV",
ROUND(OFFSET($P67,0,AD$13),15-13*ORÇAMENTO!$AF$7)/$H67*OFFSET(ORÇAMENTO!$X$15,ROW(AD67)-ROW(AD$15),0),
ROUND(ROUND(OFFSET($P67,0,AD$13),15-13*ORÇAMENTO!$AF$7)*OFFSET(ORÇAMENTO!$W$15,ROW(AD67)-ROW(AD$15),0),15-13*ORÇAMENTO!$AF$11)),0)</f>
        <v>0</v>
      </c>
      <c r="AE67" s="545">
        <f ca="1">IF(AND($D67="Serviço",AE$12&lt;&gt;0,$H67&gt;0,OR(AUTOEVENTO&lt;&gt;"manual",$M67&lt;&gt;1)),
IF(Import.TipoArredondamento&lt;&gt;"TransfereGOV",
ROUND(OFFSET($P67,0,AE$13),15-13*ORÇAMENTO!$AF$7)/$H67*OFFSET(ORÇAMENTO!$X$15,ROW(AE67)-ROW(AE$15),0),
ROUND(ROUND(OFFSET($P67,0,AE$13),15-13*ORÇAMENTO!$AF$7)*OFFSET(ORÇAMENTO!$W$15,ROW(AE67)-ROW(AE$15),0),15-13*ORÇAMENTO!$AF$11)),0)</f>
        <v>0</v>
      </c>
      <c r="AF67" s="545">
        <f ca="1">IF(AND($D67="Serviço",AF$12&lt;&gt;0,$H67&gt;0,OR(AUTOEVENTO&lt;&gt;"manual",$M67&lt;&gt;1)),
IF(Import.TipoArredondamento&lt;&gt;"TransfereGOV",
ROUND(OFFSET($P67,0,AF$13),15-13*ORÇAMENTO!$AF$7)/$H67*OFFSET(ORÇAMENTO!$X$15,ROW(AF67)-ROW(AF$15),0),
ROUND(ROUND(OFFSET($P67,0,AF$13),15-13*ORÇAMENTO!$AF$7)*OFFSET(ORÇAMENTO!$W$15,ROW(AF67)-ROW(AF$15),0),15-13*ORÇAMENTO!$AF$11)),0)</f>
        <v>0</v>
      </c>
      <c r="AG67" s="545">
        <f ca="1">IF(AND($D67="Serviço",AG$12&lt;&gt;0,$H67&gt;0,OR(AUTOEVENTO&lt;&gt;"manual",$M67&lt;&gt;1)),
IF(Import.TipoArredondamento&lt;&gt;"TransfereGOV",
ROUND(OFFSET($P67,0,AG$13),15-13*ORÇAMENTO!$AF$7)/$H67*OFFSET(ORÇAMENTO!$X$15,ROW(AG67)-ROW(AG$15),0),
ROUND(ROUND(OFFSET($P67,0,AG$13),15-13*ORÇAMENTO!$AF$7)*OFFSET(ORÇAMENTO!$W$15,ROW(AG67)-ROW(AG$15),0),15-13*ORÇAMENTO!$AF$11)),0)</f>
        <v>0</v>
      </c>
      <c r="AH67" s="545">
        <f ca="1">IF(AND($D67="Serviço",AH$12&lt;&gt;0,$H67&gt;0,OR(AUTOEVENTO&lt;&gt;"manual",$M67&lt;&gt;1)),
IF(Import.TipoArredondamento&lt;&gt;"TransfereGOV",
ROUND(OFFSET($P67,0,AH$13),15-13*ORÇAMENTO!$AF$7)/$H67*OFFSET(ORÇAMENTO!$X$15,ROW(AH67)-ROW(AH$15),0),
ROUND(ROUND(OFFSET($P67,0,AH$13),15-13*ORÇAMENTO!$AF$7)*OFFSET(ORÇAMENTO!$W$15,ROW(AH67)-ROW(AH$15),0),15-13*ORÇAMENTO!$AF$11)),0)</f>
        <v>0</v>
      </c>
      <c r="AI67" s="545">
        <f ca="1">IF(AND($D67="Serviço",AI$12&lt;&gt;0,$H67&gt;0,OR(AUTOEVENTO&lt;&gt;"manual",$M67&lt;&gt;1)),
IF(Import.TipoArredondamento&lt;&gt;"TransfereGOV",
ROUND(OFFSET($P67,0,AI$13),15-13*ORÇAMENTO!$AF$7)/$H67*OFFSET(ORÇAMENTO!$X$15,ROW(AI67)-ROW(AI$15),0),
ROUND(ROUND(OFFSET($P67,0,AI$13),15-13*ORÇAMENTO!$AF$7)*OFFSET(ORÇAMENTO!$W$15,ROW(AI67)-ROW(AI$15),0),15-13*ORÇAMENTO!$AF$11)),0)</f>
        <v>0</v>
      </c>
      <c r="AJ67" s="545">
        <f ca="1">IF(AND($D67="Serviço",AJ$12&lt;&gt;0,$H67&gt;0,OR(AUTOEVENTO&lt;&gt;"manual",$M67&lt;&gt;1)),
IF(Import.TipoArredondamento&lt;&gt;"TransfereGOV",
ROUND(OFFSET($P67,0,AJ$13),15-13*ORÇAMENTO!$AF$7)/$H67*OFFSET(ORÇAMENTO!$X$15,ROW(AJ67)-ROW(AJ$15),0),
ROUND(ROUND(OFFSET($P67,0,AJ$13),15-13*ORÇAMENTO!$AF$7)*OFFSET(ORÇAMENTO!$W$15,ROW(AJ67)-ROW(AJ$15),0),15-13*ORÇAMENTO!$AF$11)),0)</f>
        <v>0</v>
      </c>
      <c r="AK67" s="546">
        <f ca="1">IF(AND($D67="Serviço",AK$12&lt;&gt;0,$H67&gt;0,OR(AUTOEVENTO&lt;&gt;"manual",$M67&lt;&gt;1)),
IF(Import.TipoArredondamento&lt;&gt;"TransfereGOV",
ROUND(OFFSET($P67,0,AK$13),15-13*ORÇAMENTO!$AF$7)/$H67*OFFSET(ORÇAMENTO!$X$15,ROW(AK67)-ROW(AK$15),0),
ROUND(ROUND(OFFSET($P67,0,AK$13),15-13*ORÇAMENTO!$AF$7)*OFFSET(ORÇAMENTO!$W$15,ROW(AK67)-ROW(AK$15),0),15-13*ORÇAMENTO!$AF$11)),0)</f>
        <v>0</v>
      </c>
      <c r="AM67" s="181">
        <f ca="1">IF($D67&lt;&gt;"Serviço",0,IF(AND(AUTOEVENTO="Manual",$M67=1),0,IF(OFFSET(CRONOPLE!$F$14,$M67,AM$13)="",10^12,OFFSET(CRONOPLE!$F$14,$M67,AM$13))))</f>
        <v>1000000000000</v>
      </c>
      <c r="AN67" s="181">
        <f ca="1">IF($D67&lt;&gt;"Serviço",0,IF(AND(AUTOEVENTO="Manual",$M67=1),0,IF(OFFSET(CRONOPLE!$F$14,$M67,AN$13)="",10^12,OFFSET(CRONOPLE!$F$14,$M67,AN$13))))</f>
        <v>1000000000000</v>
      </c>
      <c r="AO67" s="181">
        <f ca="1">IF($D67&lt;&gt;"Serviço",0,IF(AND(AUTOEVENTO="Manual",$M67=1),0,IF(OFFSET(CRONOPLE!$F$14,$M67,AO$13)="",10^12,OFFSET(CRONOPLE!$F$14,$M67,AO$13))))</f>
        <v>1000000000000</v>
      </c>
      <c r="AP67" s="181">
        <f ca="1">IF($D67&lt;&gt;"Serviço",0,IF(AND(AUTOEVENTO="Manual",$M67=1),0,IF(OFFSET(CRONOPLE!$F$14,$M67,AP$13)="",10^12,OFFSET(CRONOPLE!$F$14,$M67,AP$13))))</f>
        <v>1000000000000</v>
      </c>
      <c r="AQ67" s="181">
        <f ca="1">IF($D67&lt;&gt;"Serviço",0,IF(AND(AUTOEVENTO="Manual",$M67=1),0,IF(OFFSET(CRONOPLE!$F$14,$M67,AQ$13)="",10^12,OFFSET(CRONOPLE!$F$14,$M67,AQ$13))))</f>
        <v>1000000000000</v>
      </c>
      <c r="AR67" s="181">
        <f ca="1">IF($D67&lt;&gt;"Serviço",0,IF(AND(AUTOEVENTO="Manual",$M67=1),0,IF(OFFSET(CRONOPLE!$F$14,$M67,AR$13)="",10^12,OFFSET(CRONOPLE!$F$14,$M67,AR$13))))</f>
        <v>1000000000000</v>
      </c>
      <c r="AS67" s="181">
        <f ca="1">IF($D67&lt;&gt;"Serviço",0,IF(AND(AUTOEVENTO="Manual",$M67=1),0,IF(OFFSET(CRONOPLE!$F$14,$M67,AS$13)="",10^12,OFFSET(CRONOPLE!$F$14,$M67,AS$13))))</f>
        <v>1000000000000</v>
      </c>
      <c r="AT67" s="181">
        <f ca="1">IF($D67&lt;&gt;"Serviço",0,IF(AND(AUTOEVENTO="Manual",$M67=1),0,IF(OFFSET(CRONOPLE!$F$14,$M67,AT$13)="",10^12,OFFSET(CRONOPLE!$F$14,$M67,AT$13))))</f>
        <v>1000000000000</v>
      </c>
      <c r="AU67" s="181">
        <f ca="1">IF($D67&lt;&gt;"Serviço",0,IF(AND(AUTOEVENTO="Manual",$M67=1),0,IF(OFFSET(CRONOPLE!$F$14,$M67,AU$13)="",10^12,OFFSET(CRONOPLE!$F$14,$M67,AU$13))))</f>
        <v>1000000000000</v>
      </c>
      <c r="AV67" s="181">
        <f ca="1">IF($D67&lt;&gt;"Serviço",0,IF(AND(AUTOEVENTO="Manual",$M67=1),0,IF(OFFSET(CRONOPLE!$F$14,$M67,AV$13)="",10^12,OFFSET(CRONOPLE!$F$14,$M67,AV$13))))</f>
        <v>1000000000000</v>
      </c>
      <c r="AX67" s="182">
        <f ca="1">IF($D67&lt;&gt;"Serviço",0,IF(OR(AND(AUTOEVENTO="Manual",$M67=1),$M67&gt;(ROW(PLE.lastrow)-ROW(PLE.firstrow))),0,IF(OFFSET(PLE!$G$14,$M67,AX$13)="",10^12,OFFSET(PLE!$G$14,$M67,AX$13))))</f>
        <v>1000000000000</v>
      </c>
      <c r="AY67" s="182">
        <f ca="1">IF($D67&lt;&gt;"Serviço",0,IF(OR(AND(AUTOEVENTO="Manual",$M67=1),$M67&gt;(ROW(PLE.lastrow)-ROW(PLE.firstrow))),0,IF(OFFSET(PLE!$G$14,$M67,AY$13)="",10^12,OFFSET(PLE!$G$14,$M67,AY$13))))</f>
        <v>1000000000000</v>
      </c>
      <c r="AZ67" s="182">
        <f ca="1">IF($D67&lt;&gt;"Serviço",0,IF(OR(AND(AUTOEVENTO="Manual",$M67=1),$M67&gt;(ROW(PLE.lastrow)-ROW(PLE.firstrow))),0,IF(OFFSET(PLE!$G$14,$M67,AZ$13)="",10^12,OFFSET(PLE!$G$14,$M67,AZ$13))))</f>
        <v>1000000000000</v>
      </c>
      <c r="BA67" s="182">
        <f ca="1">IF($D67&lt;&gt;"Serviço",0,IF(OR(AND(AUTOEVENTO="Manual",$M67=1),$M67&gt;(ROW(PLE.lastrow)-ROW(PLE.firstrow))),0,IF(OFFSET(PLE!$G$14,$M67,BA$13)="",10^12,OFFSET(PLE!$G$14,$M67,BA$13))))</f>
        <v>1000000000000</v>
      </c>
      <c r="BB67" s="182">
        <f ca="1">IF($D67&lt;&gt;"Serviço",0,IF(OR(AND(AUTOEVENTO="Manual",$M67=1),$M67&gt;(ROW(PLE.lastrow)-ROW(PLE.firstrow))),0,IF(OFFSET(PLE!$G$14,$M67,BB$13)="",10^12,OFFSET(PLE!$G$14,$M67,BB$13))))</f>
        <v>1000000000000</v>
      </c>
      <c r="BC67" s="182">
        <f ca="1">IF($D67&lt;&gt;"Serviço",0,IF(OR(AND(AUTOEVENTO="Manual",$M67=1),$M67&gt;(ROW(PLE.lastrow)-ROW(PLE.firstrow))),0,IF(OFFSET(PLE!$G$14,$M67,BC$13)="",10^12,OFFSET(PLE!$G$14,$M67,BC$13))))</f>
        <v>1000000000000</v>
      </c>
      <c r="BD67" s="182">
        <f ca="1">IF($D67&lt;&gt;"Serviço",0,IF(OR(AND(AUTOEVENTO="Manual",$M67=1),$M67&gt;(ROW(PLE.lastrow)-ROW(PLE.firstrow))),0,IF(OFFSET(PLE!$G$14,$M67,BD$13)="",10^12,OFFSET(PLE!$G$14,$M67,BD$13))))</f>
        <v>1000000000000</v>
      </c>
      <c r="BE67" s="182">
        <f ca="1">IF($D67&lt;&gt;"Serviço",0,IF(OR(AND(AUTOEVENTO="Manual",$M67=1),$M67&gt;(ROW(PLE.lastrow)-ROW(PLE.firstrow))),0,IF(OFFSET(PLE!$G$14,$M67,BE$13)="",10^12,OFFSET(PLE!$G$14,$M67,BE$13))))</f>
        <v>1000000000000</v>
      </c>
      <c r="BF67" s="182">
        <f ca="1">IF($D67&lt;&gt;"Serviço",0,IF(OR(AND(AUTOEVENTO="Manual",$M67=1),$M67&gt;(ROW(PLE.lastrow)-ROW(PLE.firstrow))),0,IF(OFFSET(PLE!$G$14,$M67,BF$13)="",10^12,OFFSET(PLE!$G$14,$M67,BF$13))))</f>
        <v>1000000000000</v>
      </c>
      <c r="BG67" s="182">
        <f ca="1">IF($D67&lt;&gt;"Serviço",0,IF(OR(AND(AUTOEVENTO="Manual",$M67=1),$M67&gt;(ROW(PLE.lastrow)-ROW(PLE.firstrow))),0,IF(OFFSET(PLE!$G$14,$M67,BG$13)="",10^12,OFFSET(PLE!$G$14,$M67,BG$13))))</f>
        <v>1000000000000</v>
      </c>
    </row>
    <row r="68" spans="1:59" ht="25.5" x14ac:dyDescent="0.2">
      <c r="A68" s="7" t="str">
        <f t="shared" ca="1" si="8"/>
        <v>44</v>
      </c>
      <c r="B68" s="7" t="str">
        <f ca="1">OFFSET(ORÇAMENTO!C$15,ROW(B68)-ROW(B$15),0)</f>
        <v>S</v>
      </c>
      <c r="C68" s="7" t="str">
        <f ca="1">OFFSET(ORÇAMENTO!L$15,ROW(C68)-ROW(C$15),0)</f>
        <v/>
      </c>
      <c r="D68" s="118" t="str">
        <f ca="1">OFFSET(ORÇAMENTO!N$15,ROW(D68)-ROW(D$15),0)</f>
        <v>Serviço</v>
      </c>
      <c r="E68" s="119" t="str">
        <f ca="1">OFFSET(ORÇAMENTO!O$15,ROW(E68)-ROW(E$15),0)</f>
        <v>-</v>
      </c>
      <c r="F68" s="172" t="str">
        <f ca="1">OFFSET(ORÇAMENTO!R$15,ROW(F68)-ROW(F$15),0)</f>
        <v>(abra o arquivo 'Referência 02-2025.xlsm)</v>
      </c>
      <c r="G68" s="173" t="str">
        <f ca="1">IF($D68&lt;&gt;"Serviço","",OFFSET(ORÇAMENTO!S$15,ROW(G68)-ROW(G$15),0))</f>
        <v>-</v>
      </c>
      <c r="H68" s="124">
        <f ca="1">IF($D68&lt;&gt;"Serviço",0,IF(ACOMPANHAMENTO="BM",ROUND(OFFSET(ORÇAMENTO!AJ$15,ROW(H68)-ROW(H$15),0),15-13*ORÇAMENTO!$AF$7),SUMPRODUCT(($Q$12:$AA$12&lt;&gt;"")*ROUND($Q68:$AA68,15-13*ORÇAMENTO!$AF$7))))</f>
        <v>32.950000000000003</v>
      </c>
      <c r="I68" s="561"/>
      <c r="K68" s="174"/>
      <c r="L68" s="175" t="s">
        <v>255</v>
      </c>
      <c r="M68" s="176">
        <f ca="1">IF($D68&lt;&gt;"Serviço","",IF(AUTOEVENTO="manual",$A68,IF(ISERROR(MATCH($A68,$A$15:OFFSET($A68,-1,0),0)),MAX($M$15:OFFSET(M68,-1,0))+1,INDEX($M$15:OFFSET(M68,-1,0),MATCH($A68,$A$15:OFFSET($A68,-1,0),0)))))</f>
        <v>5</v>
      </c>
      <c r="N68" s="177" t="str">
        <f ca="1">IF($D68&lt;&gt;"Serviço","",IF(AUTOEVENTO="Manual",IF($A68=0,"&lt;-- defina o número do agrupador",OFFSET(EVENTOS!$D$14,$A68,0)),OFFSET($F$15,$A68,0)))</f>
        <v>SUPERESTRUTURA</v>
      </c>
      <c r="O68" s="178"/>
      <c r="Q68" s="178"/>
      <c r="R68" s="179"/>
      <c r="S68" s="179"/>
      <c r="T68" s="179"/>
      <c r="U68" s="179"/>
      <c r="V68" s="179"/>
      <c r="W68" s="179"/>
      <c r="X68" s="179"/>
      <c r="Y68" s="179"/>
      <c r="Z68" s="180"/>
      <c r="AB68" s="544">
        <f ca="1">IF(AND($D68="Serviço",AB$12&lt;&gt;0,$H68&gt;0,OR(AUTOEVENTO&lt;&gt;"manual",$M68&lt;&gt;1)),
IF(Import.TipoArredondamento&lt;&gt;"TransfereGOV",
ROUND(OFFSET($P68,0,AB$13),15-13*ORÇAMENTO!$AF$7)/$H68*OFFSET(ORÇAMENTO!$X$15,ROW(AB68)-ROW(AB$15),0),
ROUND(ROUND(OFFSET($P68,0,AB$13),15-13*ORÇAMENTO!$AF$7)*OFFSET(ORÇAMENTO!$W$15,ROW(AB68)-ROW(AB$15),0),15-13*ORÇAMENTO!$AF$11)),0)</f>
        <v>0</v>
      </c>
      <c r="AC68" s="545">
        <f ca="1">IF(AND($D68="Serviço",AC$12&lt;&gt;0,$H68&gt;0,OR(AUTOEVENTO&lt;&gt;"manual",$M68&lt;&gt;1)),
IF(Import.TipoArredondamento&lt;&gt;"TransfereGOV",
ROUND(OFFSET($P68,0,AC$13),15-13*ORÇAMENTO!$AF$7)/$H68*OFFSET(ORÇAMENTO!$X$15,ROW(AC68)-ROW(AC$15),0),
ROUND(ROUND(OFFSET($P68,0,AC$13),15-13*ORÇAMENTO!$AF$7)*OFFSET(ORÇAMENTO!$W$15,ROW(AC68)-ROW(AC$15),0),15-13*ORÇAMENTO!$AF$11)),0)</f>
        <v>0</v>
      </c>
      <c r="AD68" s="545">
        <f ca="1">IF(AND($D68="Serviço",AD$12&lt;&gt;0,$H68&gt;0,OR(AUTOEVENTO&lt;&gt;"manual",$M68&lt;&gt;1)),
IF(Import.TipoArredondamento&lt;&gt;"TransfereGOV",
ROUND(OFFSET($P68,0,AD$13),15-13*ORÇAMENTO!$AF$7)/$H68*OFFSET(ORÇAMENTO!$X$15,ROW(AD68)-ROW(AD$15),0),
ROUND(ROUND(OFFSET($P68,0,AD$13),15-13*ORÇAMENTO!$AF$7)*OFFSET(ORÇAMENTO!$W$15,ROW(AD68)-ROW(AD$15),0),15-13*ORÇAMENTO!$AF$11)),0)</f>
        <v>0</v>
      </c>
      <c r="AE68" s="545">
        <f ca="1">IF(AND($D68="Serviço",AE$12&lt;&gt;0,$H68&gt;0,OR(AUTOEVENTO&lt;&gt;"manual",$M68&lt;&gt;1)),
IF(Import.TipoArredondamento&lt;&gt;"TransfereGOV",
ROUND(OFFSET($P68,0,AE$13),15-13*ORÇAMENTO!$AF$7)/$H68*OFFSET(ORÇAMENTO!$X$15,ROW(AE68)-ROW(AE$15),0),
ROUND(ROUND(OFFSET($P68,0,AE$13),15-13*ORÇAMENTO!$AF$7)*OFFSET(ORÇAMENTO!$W$15,ROW(AE68)-ROW(AE$15),0),15-13*ORÇAMENTO!$AF$11)),0)</f>
        <v>0</v>
      </c>
      <c r="AF68" s="545">
        <f ca="1">IF(AND($D68="Serviço",AF$12&lt;&gt;0,$H68&gt;0,OR(AUTOEVENTO&lt;&gt;"manual",$M68&lt;&gt;1)),
IF(Import.TipoArredondamento&lt;&gt;"TransfereGOV",
ROUND(OFFSET($P68,0,AF$13),15-13*ORÇAMENTO!$AF$7)/$H68*OFFSET(ORÇAMENTO!$X$15,ROW(AF68)-ROW(AF$15),0),
ROUND(ROUND(OFFSET($P68,0,AF$13),15-13*ORÇAMENTO!$AF$7)*OFFSET(ORÇAMENTO!$W$15,ROW(AF68)-ROW(AF$15),0),15-13*ORÇAMENTO!$AF$11)),0)</f>
        <v>0</v>
      </c>
      <c r="AG68" s="545">
        <f ca="1">IF(AND($D68="Serviço",AG$12&lt;&gt;0,$H68&gt;0,OR(AUTOEVENTO&lt;&gt;"manual",$M68&lt;&gt;1)),
IF(Import.TipoArredondamento&lt;&gt;"TransfereGOV",
ROUND(OFFSET($P68,0,AG$13),15-13*ORÇAMENTO!$AF$7)/$H68*OFFSET(ORÇAMENTO!$X$15,ROW(AG68)-ROW(AG$15),0),
ROUND(ROUND(OFFSET($P68,0,AG$13),15-13*ORÇAMENTO!$AF$7)*OFFSET(ORÇAMENTO!$W$15,ROW(AG68)-ROW(AG$15),0),15-13*ORÇAMENTO!$AF$11)),0)</f>
        <v>0</v>
      </c>
      <c r="AH68" s="545">
        <f ca="1">IF(AND($D68="Serviço",AH$12&lt;&gt;0,$H68&gt;0,OR(AUTOEVENTO&lt;&gt;"manual",$M68&lt;&gt;1)),
IF(Import.TipoArredondamento&lt;&gt;"TransfereGOV",
ROUND(OFFSET($P68,0,AH$13),15-13*ORÇAMENTO!$AF$7)/$H68*OFFSET(ORÇAMENTO!$X$15,ROW(AH68)-ROW(AH$15),0),
ROUND(ROUND(OFFSET($P68,0,AH$13),15-13*ORÇAMENTO!$AF$7)*OFFSET(ORÇAMENTO!$W$15,ROW(AH68)-ROW(AH$15),0),15-13*ORÇAMENTO!$AF$11)),0)</f>
        <v>0</v>
      </c>
      <c r="AI68" s="545">
        <f ca="1">IF(AND($D68="Serviço",AI$12&lt;&gt;0,$H68&gt;0,OR(AUTOEVENTO&lt;&gt;"manual",$M68&lt;&gt;1)),
IF(Import.TipoArredondamento&lt;&gt;"TransfereGOV",
ROUND(OFFSET($P68,0,AI$13),15-13*ORÇAMENTO!$AF$7)/$H68*OFFSET(ORÇAMENTO!$X$15,ROW(AI68)-ROW(AI$15),0),
ROUND(ROUND(OFFSET($P68,0,AI$13),15-13*ORÇAMENTO!$AF$7)*OFFSET(ORÇAMENTO!$W$15,ROW(AI68)-ROW(AI$15),0),15-13*ORÇAMENTO!$AF$11)),0)</f>
        <v>0</v>
      </c>
      <c r="AJ68" s="545">
        <f ca="1">IF(AND($D68="Serviço",AJ$12&lt;&gt;0,$H68&gt;0,OR(AUTOEVENTO&lt;&gt;"manual",$M68&lt;&gt;1)),
IF(Import.TipoArredondamento&lt;&gt;"TransfereGOV",
ROUND(OFFSET($P68,0,AJ$13),15-13*ORÇAMENTO!$AF$7)/$H68*OFFSET(ORÇAMENTO!$X$15,ROW(AJ68)-ROW(AJ$15),0),
ROUND(ROUND(OFFSET($P68,0,AJ$13),15-13*ORÇAMENTO!$AF$7)*OFFSET(ORÇAMENTO!$W$15,ROW(AJ68)-ROW(AJ$15),0),15-13*ORÇAMENTO!$AF$11)),0)</f>
        <v>0</v>
      </c>
      <c r="AK68" s="546">
        <f ca="1">IF(AND($D68="Serviço",AK$12&lt;&gt;0,$H68&gt;0,OR(AUTOEVENTO&lt;&gt;"manual",$M68&lt;&gt;1)),
IF(Import.TipoArredondamento&lt;&gt;"TransfereGOV",
ROUND(OFFSET($P68,0,AK$13),15-13*ORÇAMENTO!$AF$7)/$H68*OFFSET(ORÇAMENTO!$X$15,ROW(AK68)-ROW(AK$15),0),
ROUND(ROUND(OFFSET($P68,0,AK$13),15-13*ORÇAMENTO!$AF$7)*OFFSET(ORÇAMENTO!$W$15,ROW(AK68)-ROW(AK$15),0),15-13*ORÇAMENTO!$AF$11)),0)</f>
        <v>0</v>
      </c>
      <c r="AM68" s="181">
        <f ca="1">IF($D68&lt;&gt;"Serviço",0,IF(AND(AUTOEVENTO="Manual",$M68=1),0,IF(OFFSET(CRONOPLE!$F$14,$M68,AM$13)="",10^12,OFFSET(CRONOPLE!$F$14,$M68,AM$13))))</f>
        <v>1000000000000</v>
      </c>
      <c r="AN68" s="181">
        <f ca="1">IF($D68&lt;&gt;"Serviço",0,IF(AND(AUTOEVENTO="Manual",$M68=1),0,IF(OFFSET(CRONOPLE!$F$14,$M68,AN$13)="",10^12,OFFSET(CRONOPLE!$F$14,$M68,AN$13))))</f>
        <v>1000000000000</v>
      </c>
      <c r="AO68" s="181">
        <f ca="1">IF($D68&lt;&gt;"Serviço",0,IF(AND(AUTOEVENTO="Manual",$M68=1),0,IF(OFFSET(CRONOPLE!$F$14,$M68,AO$13)="",10^12,OFFSET(CRONOPLE!$F$14,$M68,AO$13))))</f>
        <v>1000000000000</v>
      </c>
      <c r="AP68" s="181">
        <f ca="1">IF($D68&lt;&gt;"Serviço",0,IF(AND(AUTOEVENTO="Manual",$M68=1),0,IF(OFFSET(CRONOPLE!$F$14,$M68,AP$13)="",10^12,OFFSET(CRONOPLE!$F$14,$M68,AP$13))))</f>
        <v>1000000000000</v>
      </c>
      <c r="AQ68" s="181">
        <f ca="1">IF($D68&lt;&gt;"Serviço",0,IF(AND(AUTOEVENTO="Manual",$M68=1),0,IF(OFFSET(CRONOPLE!$F$14,$M68,AQ$13)="",10^12,OFFSET(CRONOPLE!$F$14,$M68,AQ$13))))</f>
        <v>1000000000000</v>
      </c>
      <c r="AR68" s="181">
        <f ca="1">IF($D68&lt;&gt;"Serviço",0,IF(AND(AUTOEVENTO="Manual",$M68=1),0,IF(OFFSET(CRONOPLE!$F$14,$M68,AR$13)="",10^12,OFFSET(CRONOPLE!$F$14,$M68,AR$13))))</f>
        <v>1000000000000</v>
      </c>
      <c r="AS68" s="181">
        <f ca="1">IF($D68&lt;&gt;"Serviço",0,IF(AND(AUTOEVENTO="Manual",$M68=1),0,IF(OFFSET(CRONOPLE!$F$14,$M68,AS$13)="",10^12,OFFSET(CRONOPLE!$F$14,$M68,AS$13))))</f>
        <v>1000000000000</v>
      </c>
      <c r="AT68" s="181">
        <f ca="1">IF($D68&lt;&gt;"Serviço",0,IF(AND(AUTOEVENTO="Manual",$M68=1),0,IF(OFFSET(CRONOPLE!$F$14,$M68,AT$13)="",10^12,OFFSET(CRONOPLE!$F$14,$M68,AT$13))))</f>
        <v>1000000000000</v>
      </c>
      <c r="AU68" s="181">
        <f ca="1">IF($D68&lt;&gt;"Serviço",0,IF(AND(AUTOEVENTO="Manual",$M68=1),0,IF(OFFSET(CRONOPLE!$F$14,$M68,AU$13)="",10^12,OFFSET(CRONOPLE!$F$14,$M68,AU$13))))</f>
        <v>1000000000000</v>
      </c>
      <c r="AV68" s="181">
        <f ca="1">IF($D68&lt;&gt;"Serviço",0,IF(AND(AUTOEVENTO="Manual",$M68=1),0,IF(OFFSET(CRONOPLE!$F$14,$M68,AV$13)="",10^12,OFFSET(CRONOPLE!$F$14,$M68,AV$13))))</f>
        <v>1000000000000</v>
      </c>
      <c r="AX68" s="182">
        <f ca="1">IF($D68&lt;&gt;"Serviço",0,IF(OR(AND(AUTOEVENTO="Manual",$M68=1),$M68&gt;(ROW(PLE.lastrow)-ROW(PLE.firstrow))),0,IF(OFFSET(PLE!$G$14,$M68,AX$13)="",10^12,OFFSET(PLE!$G$14,$M68,AX$13))))</f>
        <v>1000000000000</v>
      </c>
      <c r="AY68" s="182">
        <f ca="1">IF($D68&lt;&gt;"Serviço",0,IF(OR(AND(AUTOEVENTO="Manual",$M68=1),$M68&gt;(ROW(PLE.lastrow)-ROW(PLE.firstrow))),0,IF(OFFSET(PLE!$G$14,$M68,AY$13)="",10^12,OFFSET(PLE!$G$14,$M68,AY$13))))</f>
        <v>1000000000000</v>
      </c>
      <c r="AZ68" s="182">
        <f ca="1">IF($D68&lt;&gt;"Serviço",0,IF(OR(AND(AUTOEVENTO="Manual",$M68=1),$M68&gt;(ROW(PLE.lastrow)-ROW(PLE.firstrow))),0,IF(OFFSET(PLE!$G$14,$M68,AZ$13)="",10^12,OFFSET(PLE!$G$14,$M68,AZ$13))))</f>
        <v>1000000000000</v>
      </c>
      <c r="BA68" s="182">
        <f ca="1">IF($D68&lt;&gt;"Serviço",0,IF(OR(AND(AUTOEVENTO="Manual",$M68=1),$M68&gt;(ROW(PLE.lastrow)-ROW(PLE.firstrow))),0,IF(OFFSET(PLE!$G$14,$M68,BA$13)="",10^12,OFFSET(PLE!$G$14,$M68,BA$13))))</f>
        <v>1000000000000</v>
      </c>
      <c r="BB68" s="182">
        <f ca="1">IF($D68&lt;&gt;"Serviço",0,IF(OR(AND(AUTOEVENTO="Manual",$M68=1),$M68&gt;(ROW(PLE.lastrow)-ROW(PLE.firstrow))),0,IF(OFFSET(PLE!$G$14,$M68,BB$13)="",10^12,OFFSET(PLE!$G$14,$M68,BB$13))))</f>
        <v>1000000000000</v>
      </c>
      <c r="BC68" s="182">
        <f ca="1">IF($D68&lt;&gt;"Serviço",0,IF(OR(AND(AUTOEVENTO="Manual",$M68=1),$M68&gt;(ROW(PLE.lastrow)-ROW(PLE.firstrow))),0,IF(OFFSET(PLE!$G$14,$M68,BC$13)="",10^12,OFFSET(PLE!$G$14,$M68,BC$13))))</f>
        <v>1000000000000</v>
      </c>
      <c r="BD68" s="182">
        <f ca="1">IF($D68&lt;&gt;"Serviço",0,IF(OR(AND(AUTOEVENTO="Manual",$M68=1),$M68&gt;(ROW(PLE.lastrow)-ROW(PLE.firstrow))),0,IF(OFFSET(PLE!$G$14,$M68,BD$13)="",10^12,OFFSET(PLE!$G$14,$M68,BD$13))))</f>
        <v>1000000000000</v>
      </c>
      <c r="BE68" s="182">
        <f ca="1">IF($D68&lt;&gt;"Serviço",0,IF(OR(AND(AUTOEVENTO="Manual",$M68=1),$M68&gt;(ROW(PLE.lastrow)-ROW(PLE.firstrow))),0,IF(OFFSET(PLE!$G$14,$M68,BE$13)="",10^12,OFFSET(PLE!$G$14,$M68,BE$13))))</f>
        <v>1000000000000</v>
      </c>
      <c r="BF68" s="182">
        <f ca="1">IF($D68&lt;&gt;"Serviço",0,IF(OR(AND(AUTOEVENTO="Manual",$M68=1),$M68&gt;(ROW(PLE.lastrow)-ROW(PLE.firstrow))),0,IF(OFFSET(PLE!$G$14,$M68,BF$13)="",10^12,OFFSET(PLE!$G$14,$M68,BF$13))))</f>
        <v>1000000000000</v>
      </c>
      <c r="BG68" s="182">
        <f ca="1">IF($D68&lt;&gt;"Serviço",0,IF(OR(AND(AUTOEVENTO="Manual",$M68=1),$M68&gt;(ROW(PLE.lastrow)-ROW(PLE.firstrow))),0,IF(OFFSET(PLE!$G$14,$M68,BG$13)="",10^12,OFFSET(PLE!$G$14,$M68,BG$13))))</f>
        <v>1000000000000</v>
      </c>
    </row>
    <row r="69" spans="1:59" ht="25.5" x14ac:dyDescent="0.2">
      <c r="A69" s="7" t="str">
        <f t="shared" ca="1" si="8"/>
        <v>44</v>
      </c>
      <c r="B69" s="7" t="str">
        <f ca="1">OFFSET(ORÇAMENTO!C$15,ROW(B69)-ROW(B$15),0)</f>
        <v>S</v>
      </c>
      <c r="C69" s="7" t="str">
        <f ca="1">OFFSET(ORÇAMENTO!L$15,ROW(C69)-ROW(C$15),0)</f>
        <v/>
      </c>
      <c r="D69" s="118" t="str">
        <f ca="1">OFFSET(ORÇAMENTO!N$15,ROW(D69)-ROW(D$15),0)</f>
        <v>Serviço</v>
      </c>
      <c r="E69" s="119" t="str">
        <f ca="1">OFFSET(ORÇAMENTO!O$15,ROW(E69)-ROW(E$15),0)</f>
        <v>-</v>
      </c>
      <c r="F69" s="172" t="str">
        <f ca="1">OFFSET(ORÇAMENTO!R$15,ROW(F69)-ROW(F$15),0)</f>
        <v>(abra o arquivo 'Referência 02-2025.xlsm)</v>
      </c>
      <c r="G69" s="173" t="str">
        <f ca="1">IF($D69&lt;&gt;"Serviço","",OFFSET(ORÇAMENTO!S$15,ROW(G69)-ROW(G$15),0))</f>
        <v>-</v>
      </c>
      <c r="H69" s="124">
        <f ca="1">IF($D69&lt;&gt;"Serviço",0,IF(ACOMPANHAMENTO="BM",ROUND(OFFSET(ORÇAMENTO!AJ$15,ROW(H69)-ROW(H$15),0),15-13*ORÇAMENTO!$AF$7),SUMPRODUCT(($Q$12:$AA$12&lt;&gt;"")*ROUND($Q69:$AA69,15-13*ORÇAMENTO!$AF$7))))</f>
        <v>795.26</v>
      </c>
      <c r="I69" s="561"/>
      <c r="K69" s="174"/>
      <c r="L69" s="175" t="s">
        <v>255</v>
      </c>
      <c r="M69" s="176">
        <f ca="1">IF($D69&lt;&gt;"Serviço","",IF(AUTOEVENTO="manual",$A69,IF(ISERROR(MATCH($A69,$A$15:OFFSET($A69,-1,0),0)),MAX($M$15:OFFSET(M69,-1,0))+1,INDEX($M$15:OFFSET(M69,-1,0),MATCH($A69,$A$15:OFFSET($A69,-1,0),0)))))</f>
        <v>5</v>
      </c>
      <c r="N69" s="177" t="str">
        <f ca="1">IF($D69&lt;&gt;"Serviço","",IF(AUTOEVENTO="Manual",IF($A69=0,"&lt;-- defina o número do agrupador",OFFSET(EVENTOS!$D$14,$A69,0)),OFFSET($F$15,$A69,0)))</f>
        <v>SUPERESTRUTURA</v>
      </c>
      <c r="O69" s="178"/>
      <c r="Q69" s="178"/>
      <c r="R69" s="179"/>
      <c r="S69" s="179"/>
      <c r="T69" s="179"/>
      <c r="U69" s="179"/>
      <c r="V69" s="179"/>
      <c r="W69" s="179"/>
      <c r="X69" s="179"/>
      <c r="Y69" s="179"/>
      <c r="Z69" s="180"/>
      <c r="AB69" s="544">
        <f ca="1">IF(AND($D69="Serviço",AB$12&lt;&gt;0,$H69&gt;0,OR(AUTOEVENTO&lt;&gt;"manual",$M69&lt;&gt;1)),
IF(Import.TipoArredondamento&lt;&gt;"TransfereGOV",
ROUND(OFFSET($P69,0,AB$13),15-13*ORÇAMENTO!$AF$7)/$H69*OFFSET(ORÇAMENTO!$X$15,ROW(AB69)-ROW(AB$15),0),
ROUND(ROUND(OFFSET($P69,0,AB$13),15-13*ORÇAMENTO!$AF$7)*OFFSET(ORÇAMENTO!$W$15,ROW(AB69)-ROW(AB$15),0),15-13*ORÇAMENTO!$AF$11)),0)</f>
        <v>0</v>
      </c>
      <c r="AC69" s="545">
        <f ca="1">IF(AND($D69="Serviço",AC$12&lt;&gt;0,$H69&gt;0,OR(AUTOEVENTO&lt;&gt;"manual",$M69&lt;&gt;1)),
IF(Import.TipoArredondamento&lt;&gt;"TransfereGOV",
ROUND(OFFSET($P69,0,AC$13),15-13*ORÇAMENTO!$AF$7)/$H69*OFFSET(ORÇAMENTO!$X$15,ROW(AC69)-ROW(AC$15),0),
ROUND(ROUND(OFFSET($P69,0,AC$13),15-13*ORÇAMENTO!$AF$7)*OFFSET(ORÇAMENTO!$W$15,ROW(AC69)-ROW(AC$15),0),15-13*ORÇAMENTO!$AF$11)),0)</f>
        <v>0</v>
      </c>
      <c r="AD69" s="545">
        <f ca="1">IF(AND($D69="Serviço",AD$12&lt;&gt;0,$H69&gt;0,OR(AUTOEVENTO&lt;&gt;"manual",$M69&lt;&gt;1)),
IF(Import.TipoArredondamento&lt;&gt;"TransfereGOV",
ROUND(OFFSET($P69,0,AD$13),15-13*ORÇAMENTO!$AF$7)/$H69*OFFSET(ORÇAMENTO!$X$15,ROW(AD69)-ROW(AD$15),0),
ROUND(ROUND(OFFSET($P69,0,AD$13),15-13*ORÇAMENTO!$AF$7)*OFFSET(ORÇAMENTO!$W$15,ROW(AD69)-ROW(AD$15),0),15-13*ORÇAMENTO!$AF$11)),0)</f>
        <v>0</v>
      </c>
      <c r="AE69" s="545">
        <f ca="1">IF(AND($D69="Serviço",AE$12&lt;&gt;0,$H69&gt;0,OR(AUTOEVENTO&lt;&gt;"manual",$M69&lt;&gt;1)),
IF(Import.TipoArredondamento&lt;&gt;"TransfereGOV",
ROUND(OFFSET($P69,0,AE$13),15-13*ORÇAMENTO!$AF$7)/$H69*OFFSET(ORÇAMENTO!$X$15,ROW(AE69)-ROW(AE$15),0),
ROUND(ROUND(OFFSET($P69,0,AE$13),15-13*ORÇAMENTO!$AF$7)*OFFSET(ORÇAMENTO!$W$15,ROW(AE69)-ROW(AE$15),0),15-13*ORÇAMENTO!$AF$11)),0)</f>
        <v>0</v>
      </c>
      <c r="AF69" s="545">
        <f ca="1">IF(AND($D69="Serviço",AF$12&lt;&gt;0,$H69&gt;0,OR(AUTOEVENTO&lt;&gt;"manual",$M69&lt;&gt;1)),
IF(Import.TipoArredondamento&lt;&gt;"TransfereGOV",
ROUND(OFFSET($P69,0,AF$13),15-13*ORÇAMENTO!$AF$7)/$H69*OFFSET(ORÇAMENTO!$X$15,ROW(AF69)-ROW(AF$15),0),
ROUND(ROUND(OFFSET($P69,0,AF$13),15-13*ORÇAMENTO!$AF$7)*OFFSET(ORÇAMENTO!$W$15,ROW(AF69)-ROW(AF$15),0),15-13*ORÇAMENTO!$AF$11)),0)</f>
        <v>0</v>
      </c>
      <c r="AG69" s="545">
        <f ca="1">IF(AND($D69="Serviço",AG$12&lt;&gt;0,$H69&gt;0,OR(AUTOEVENTO&lt;&gt;"manual",$M69&lt;&gt;1)),
IF(Import.TipoArredondamento&lt;&gt;"TransfereGOV",
ROUND(OFFSET($P69,0,AG$13),15-13*ORÇAMENTO!$AF$7)/$H69*OFFSET(ORÇAMENTO!$X$15,ROW(AG69)-ROW(AG$15),0),
ROUND(ROUND(OFFSET($P69,0,AG$13),15-13*ORÇAMENTO!$AF$7)*OFFSET(ORÇAMENTO!$W$15,ROW(AG69)-ROW(AG$15),0),15-13*ORÇAMENTO!$AF$11)),0)</f>
        <v>0</v>
      </c>
      <c r="AH69" s="545">
        <f ca="1">IF(AND($D69="Serviço",AH$12&lt;&gt;0,$H69&gt;0,OR(AUTOEVENTO&lt;&gt;"manual",$M69&lt;&gt;1)),
IF(Import.TipoArredondamento&lt;&gt;"TransfereGOV",
ROUND(OFFSET($P69,0,AH$13),15-13*ORÇAMENTO!$AF$7)/$H69*OFFSET(ORÇAMENTO!$X$15,ROW(AH69)-ROW(AH$15),0),
ROUND(ROUND(OFFSET($P69,0,AH$13),15-13*ORÇAMENTO!$AF$7)*OFFSET(ORÇAMENTO!$W$15,ROW(AH69)-ROW(AH$15),0),15-13*ORÇAMENTO!$AF$11)),0)</f>
        <v>0</v>
      </c>
      <c r="AI69" s="545">
        <f ca="1">IF(AND($D69="Serviço",AI$12&lt;&gt;0,$H69&gt;0,OR(AUTOEVENTO&lt;&gt;"manual",$M69&lt;&gt;1)),
IF(Import.TipoArredondamento&lt;&gt;"TransfereGOV",
ROUND(OFFSET($P69,0,AI$13),15-13*ORÇAMENTO!$AF$7)/$H69*OFFSET(ORÇAMENTO!$X$15,ROW(AI69)-ROW(AI$15),0),
ROUND(ROUND(OFFSET($P69,0,AI$13),15-13*ORÇAMENTO!$AF$7)*OFFSET(ORÇAMENTO!$W$15,ROW(AI69)-ROW(AI$15),0),15-13*ORÇAMENTO!$AF$11)),0)</f>
        <v>0</v>
      </c>
      <c r="AJ69" s="545">
        <f ca="1">IF(AND($D69="Serviço",AJ$12&lt;&gt;0,$H69&gt;0,OR(AUTOEVENTO&lt;&gt;"manual",$M69&lt;&gt;1)),
IF(Import.TipoArredondamento&lt;&gt;"TransfereGOV",
ROUND(OFFSET($P69,0,AJ$13),15-13*ORÇAMENTO!$AF$7)/$H69*OFFSET(ORÇAMENTO!$X$15,ROW(AJ69)-ROW(AJ$15),0),
ROUND(ROUND(OFFSET($P69,0,AJ$13),15-13*ORÇAMENTO!$AF$7)*OFFSET(ORÇAMENTO!$W$15,ROW(AJ69)-ROW(AJ$15),0),15-13*ORÇAMENTO!$AF$11)),0)</f>
        <v>0</v>
      </c>
      <c r="AK69" s="546">
        <f ca="1">IF(AND($D69="Serviço",AK$12&lt;&gt;0,$H69&gt;0,OR(AUTOEVENTO&lt;&gt;"manual",$M69&lt;&gt;1)),
IF(Import.TipoArredondamento&lt;&gt;"TransfereGOV",
ROUND(OFFSET($P69,0,AK$13),15-13*ORÇAMENTO!$AF$7)/$H69*OFFSET(ORÇAMENTO!$X$15,ROW(AK69)-ROW(AK$15),0),
ROUND(ROUND(OFFSET($P69,0,AK$13),15-13*ORÇAMENTO!$AF$7)*OFFSET(ORÇAMENTO!$W$15,ROW(AK69)-ROW(AK$15),0),15-13*ORÇAMENTO!$AF$11)),0)</f>
        <v>0</v>
      </c>
      <c r="AM69" s="181">
        <f ca="1">IF($D69&lt;&gt;"Serviço",0,IF(AND(AUTOEVENTO="Manual",$M69=1),0,IF(OFFSET(CRONOPLE!$F$14,$M69,AM$13)="",10^12,OFFSET(CRONOPLE!$F$14,$M69,AM$13))))</f>
        <v>1000000000000</v>
      </c>
      <c r="AN69" s="181">
        <f ca="1">IF($D69&lt;&gt;"Serviço",0,IF(AND(AUTOEVENTO="Manual",$M69=1),0,IF(OFFSET(CRONOPLE!$F$14,$M69,AN$13)="",10^12,OFFSET(CRONOPLE!$F$14,$M69,AN$13))))</f>
        <v>1000000000000</v>
      </c>
      <c r="AO69" s="181">
        <f ca="1">IF($D69&lt;&gt;"Serviço",0,IF(AND(AUTOEVENTO="Manual",$M69=1),0,IF(OFFSET(CRONOPLE!$F$14,$M69,AO$13)="",10^12,OFFSET(CRONOPLE!$F$14,$M69,AO$13))))</f>
        <v>1000000000000</v>
      </c>
      <c r="AP69" s="181">
        <f ca="1">IF($D69&lt;&gt;"Serviço",0,IF(AND(AUTOEVENTO="Manual",$M69=1),0,IF(OFFSET(CRONOPLE!$F$14,$M69,AP$13)="",10^12,OFFSET(CRONOPLE!$F$14,$M69,AP$13))))</f>
        <v>1000000000000</v>
      </c>
      <c r="AQ69" s="181">
        <f ca="1">IF($D69&lt;&gt;"Serviço",0,IF(AND(AUTOEVENTO="Manual",$M69=1),0,IF(OFFSET(CRONOPLE!$F$14,$M69,AQ$13)="",10^12,OFFSET(CRONOPLE!$F$14,$M69,AQ$13))))</f>
        <v>1000000000000</v>
      </c>
      <c r="AR69" s="181">
        <f ca="1">IF($D69&lt;&gt;"Serviço",0,IF(AND(AUTOEVENTO="Manual",$M69=1),0,IF(OFFSET(CRONOPLE!$F$14,$M69,AR$13)="",10^12,OFFSET(CRONOPLE!$F$14,$M69,AR$13))))</f>
        <v>1000000000000</v>
      </c>
      <c r="AS69" s="181">
        <f ca="1">IF($D69&lt;&gt;"Serviço",0,IF(AND(AUTOEVENTO="Manual",$M69=1),0,IF(OFFSET(CRONOPLE!$F$14,$M69,AS$13)="",10^12,OFFSET(CRONOPLE!$F$14,$M69,AS$13))))</f>
        <v>1000000000000</v>
      </c>
      <c r="AT69" s="181">
        <f ca="1">IF($D69&lt;&gt;"Serviço",0,IF(AND(AUTOEVENTO="Manual",$M69=1),0,IF(OFFSET(CRONOPLE!$F$14,$M69,AT$13)="",10^12,OFFSET(CRONOPLE!$F$14,$M69,AT$13))))</f>
        <v>1000000000000</v>
      </c>
      <c r="AU69" s="181">
        <f ca="1">IF($D69&lt;&gt;"Serviço",0,IF(AND(AUTOEVENTO="Manual",$M69=1),0,IF(OFFSET(CRONOPLE!$F$14,$M69,AU$13)="",10^12,OFFSET(CRONOPLE!$F$14,$M69,AU$13))))</f>
        <v>1000000000000</v>
      </c>
      <c r="AV69" s="181">
        <f ca="1">IF($D69&lt;&gt;"Serviço",0,IF(AND(AUTOEVENTO="Manual",$M69=1),0,IF(OFFSET(CRONOPLE!$F$14,$M69,AV$13)="",10^12,OFFSET(CRONOPLE!$F$14,$M69,AV$13))))</f>
        <v>1000000000000</v>
      </c>
      <c r="AX69" s="182">
        <f ca="1">IF($D69&lt;&gt;"Serviço",0,IF(OR(AND(AUTOEVENTO="Manual",$M69=1),$M69&gt;(ROW(PLE.lastrow)-ROW(PLE.firstrow))),0,IF(OFFSET(PLE!$G$14,$M69,AX$13)="",10^12,OFFSET(PLE!$G$14,$M69,AX$13))))</f>
        <v>1000000000000</v>
      </c>
      <c r="AY69" s="182">
        <f ca="1">IF($D69&lt;&gt;"Serviço",0,IF(OR(AND(AUTOEVENTO="Manual",$M69=1),$M69&gt;(ROW(PLE.lastrow)-ROW(PLE.firstrow))),0,IF(OFFSET(PLE!$G$14,$M69,AY$13)="",10^12,OFFSET(PLE!$G$14,$M69,AY$13))))</f>
        <v>1000000000000</v>
      </c>
      <c r="AZ69" s="182">
        <f ca="1">IF($D69&lt;&gt;"Serviço",0,IF(OR(AND(AUTOEVENTO="Manual",$M69=1),$M69&gt;(ROW(PLE.lastrow)-ROW(PLE.firstrow))),0,IF(OFFSET(PLE!$G$14,$M69,AZ$13)="",10^12,OFFSET(PLE!$G$14,$M69,AZ$13))))</f>
        <v>1000000000000</v>
      </c>
      <c r="BA69" s="182">
        <f ca="1">IF($D69&lt;&gt;"Serviço",0,IF(OR(AND(AUTOEVENTO="Manual",$M69=1),$M69&gt;(ROW(PLE.lastrow)-ROW(PLE.firstrow))),0,IF(OFFSET(PLE!$G$14,$M69,BA$13)="",10^12,OFFSET(PLE!$G$14,$M69,BA$13))))</f>
        <v>1000000000000</v>
      </c>
      <c r="BB69" s="182">
        <f ca="1">IF($D69&lt;&gt;"Serviço",0,IF(OR(AND(AUTOEVENTO="Manual",$M69=1),$M69&gt;(ROW(PLE.lastrow)-ROW(PLE.firstrow))),0,IF(OFFSET(PLE!$G$14,$M69,BB$13)="",10^12,OFFSET(PLE!$G$14,$M69,BB$13))))</f>
        <v>1000000000000</v>
      </c>
      <c r="BC69" s="182">
        <f ca="1">IF($D69&lt;&gt;"Serviço",0,IF(OR(AND(AUTOEVENTO="Manual",$M69=1),$M69&gt;(ROW(PLE.lastrow)-ROW(PLE.firstrow))),0,IF(OFFSET(PLE!$G$14,$M69,BC$13)="",10^12,OFFSET(PLE!$G$14,$M69,BC$13))))</f>
        <v>1000000000000</v>
      </c>
      <c r="BD69" s="182">
        <f ca="1">IF($D69&lt;&gt;"Serviço",0,IF(OR(AND(AUTOEVENTO="Manual",$M69=1),$M69&gt;(ROW(PLE.lastrow)-ROW(PLE.firstrow))),0,IF(OFFSET(PLE!$G$14,$M69,BD$13)="",10^12,OFFSET(PLE!$G$14,$M69,BD$13))))</f>
        <v>1000000000000</v>
      </c>
      <c r="BE69" s="182">
        <f ca="1">IF($D69&lt;&gt;"Serviço",0,IF(OR(AND(AUTOEVENTO="Manual",$M69=1),$M69&gt;(ROW(PLE.lastrow)-ROW(PLE.firstrow))),0,IF(OFFSET(PLE!$G$14,$M69,BE$13)="",10^12,OFFSET(PLE!$G$14,$M69,BE$13))))</f>
        <v>1000000000000</v>
      </c>
      <c r="BF69" s="182">
        <f ca="1">IF($D69&lt;&gt;"Serviço",0,IF(OR(AND(AUTOEVENTO="Manual",$M69=1),$M69&gt;(ROW(PLE.lastrow)-ROW(PLE.firstrow))),0,IF(OFFSET(PLE!$G$14,$M69,BF$13)="",10^12,OFFSET(PLE!$G$14,$M69,BF$13))))</f>
        <v>1000000000000</v>
      </c>
      <c r="BG69" s="182">
        <f ca="1">IF($D69&lt;&gt;"Serviço",0,IF(OR(AND(AUTOEVENTO="Manual",$M69=1),$M69&gt;(ROW(PLE.lastrow)-ROW(PLE.firstrow))),0,IF(OFFSET(PLE!$G$14,$M69,BG$13)="",10^12,OFFSET(PLE!$G$14,$M69,BG$13))))</f>
        <v>1000000000000</v>
      </c>
    </row>
    <row r="70" spans="1:59" ht="38.25" x14ac:dyDescent="0.2">
      <c r="A70" s="7" t="str">
        <f t="shared" ca="1" si="8"/>
        <v>44</v>
      </c>
      <c r="B70" s="7" t="str">
        <f ca="1">OFFSET(ORÇAMENTO!C$15,ROW(B70)-ROW(B$15),0)</f>
        <v>S</v>
      </c>
      <c r="C70" s="7" t="str">
        <f ca="1">OFFSET(ORÇAMENTO!L$15,ROW(C70)-ROW(C$15),0)</f>
        <v/>
      </c>
      <c r="D70" s="118" t="str">
        <f ca="1">OFFSET(ORÇAMENTO!N$15,ROW(D70)-ROW(D$15),0)</f>
        <v>Serviço</v>
      </c>
      <c r="E70" s="119" t="str">
        <f ca="1">OFFSET(ORÇAMENTO!O$15,ROW(E70)-ROW(E$15),0)</f>
        <v>-</v>
      </c>
      <c r="F70" s="172" t="str">
        <f ca="1">OFFSET(ORÇAMENTO!R$15,ROW(F70)-ROW(F$15),0)</f>
        <v>(abra o arquivo 'Referência 02-2025.xlsm)</v>
      </c>
      <c r="G70" s="173" t="str">
        <f ca="1">IF($D70&lt;&gt;"Serviço","",OFFSET(ORÇAMENTO!S$15,ROW(G70)-ROW(G$15),0))</f>
        <v>-</v>
      </c>
      <c r="H70" s="124">
        <f ca="1">IF($D70&lt;&gt;"Serviço",0,IF(ACOMPANHAMENTO="BM",ROUND(OFFSET(ORÇAMENTO!AJ$15,ROW(H70)-ROW(H$15),0),15-13*ORÇAMENTO!$AF$7),SUMPRODUCT(($Q$12:$AA$12&lt;&gt;"")*ROUND($Q70:$AA70,15-13*ORÇAMENTO!$AF$7))))</f>
        <v>51.33</v>
      </c>
      <c r="I70" s="561"/>
      <c r="K70" s="174"/>
      <c r="L70" s="175" t="s">
        <v>255</v>
      </c>
      <c r="M70" s="176">
        <f ca="1">IF($D70&lt;&gt;"Serviço","",IF(AUTOEVENTO="manual",$A70,IF(ISERROR(MATCH($A70,$A$15:OFFSET($A70,-1,0),0)),MAX($M$15:OFFSET(M70,-1,0))+1,INDEX($M$15:OFFSET(M70,-1,0),MATCH($A70,$A$15:OFFSET($A70,-1,0),0)))))</f>
        <v>5</v>
      </c>
      <c r="N70" s="177" t="str">
        <f ca="1">IF($D70&lt;&gt;"Serviço","",IF(AUTOEVENTO="Manual",IF($A70=0,"&lt;-- defina o número do agrupador",OFFSET(EVENTOS!$D$14,$A70,0)),OFFSET($F$15,$A70,0)))</f>
        <v>SUPERESTRUTURA</v>
      </c>
      <c r="O70" s="178"/>
      <c r="Q70" s="178"/>
      <c r="R70" s="179"/>
      <c r="S70" s="179"/>
      <c r="T70" s="179"/>
      <c r="U70" s="179"/>
      <c r="V70" s="179"/>
      <c r="W70" s="179"/>
      <c r="X70" s="179"/>
      <c r="Y70" s="179"/>
      <c r="Z70" s="180"/>
      <c r="AB70" s="544">
        <f ca="1">IF(AND($D70="Serviço",AB$12&lt;&gt;0,$H70&gt;0,OR(AUTOEVENTO&lt;&gt;"manual",$M70&lt;&gt;1)),
IF(Import.TipoArredondamento&lt;&gt;"TransfereGOV",
ROUND(OFFSET($P70,0,AB$13),15-13*ORÇAMENTO!$AF$7)/$H70*OFFSET(ORÇAMENTO!$X$15,ROW(AB70)-ROW(AB$15),0),
ROUND(ROUND(OFFSET($P70,0,AB$13),15-13*ORÇAMENTO!$AF$7)*OFFSET(ORÇAMENTO!$W$15,ROW(AB70)-ROW(AB$15),0),15-13*ORÇAMENTO!$AF$11)),0)</f>
        <v>0</v>
      </c>
      <c r="AC70" s="545">
        <f ca="1">IF(AND($D70="Serviço",AC$12&lt;&gt;0,$H70&gt;0,OR(AUTOEVENTO&lt;&gt;"manual",$M70&lt;&gt;1)),
IF(Import.TipoArredondamento&lt;&gt;"TransfereGOV",
ROUND(OFFSET($P70,0,AC$13),15-13*ORÇAMENTO!$AF$7)/$H70*OFFSET(ORÇAMENTO!$X$15,ROW(AC70)-ROW(AC$15),0),
ROUND(ROUND(OFFSET($P70,0,AC$13),15-13*ORÇAMENTO!$AF$7)*OFFSET(ORÇAMENTO!$W$15,ROW(AC70)-ROW(AC$15),0),15-13*ORÇAMENTO!$AF$11)),0)</f>
        <v>0</v>
      </c>
      <c r="AD70" s="545">
        <f ca="1">IF(AND($D70="Serviço",AD$12&lt;&gt;0,$H70&gt;0,OR(AUTOEVENTO&lt;&gt;"manual",$M70&lt;&gt;1)),
IF(Import.TipoArredondamento&lt;&gt;"TransfereGOV",
ROUND(OFFSET($P70,0,AD$13),15-13*ORÇAMENTO!$AF$7)/$H70*OFFSET(ORÇAMENTO!$X$15,ROW(AD70)-ROW(AD$15),0),
ROUND(ROUND(OFFSET($P70,0,AD$13),15-13*ORÇAMENTO!$AF$7)*OFFSET(ORÇAMENTO!$W$15,ROW(AD70)-ROW(AD$15),0),15-13*ORÇAMENTO!$AF$11)),0)</f>
        <v>0</v>
      </c>
      <c r="AE70" s="545">
        <f ca="1">IF(AND($D70="Serviço",AE$12&lt;&gt;0,$H70&gt;0,OR(AUTOEVENTO&lt;&gt;"manual",$M70&lt;&gt;1)),
IF(Import.TipoArredondamento&lt;&gt;"TransfereGOV",
ROUND(OFFSET($P70,0,AE$13),15-13*ORÇAMENTO!$AF$7)/$H70*OFFSET(ORÇAMENTO!$X$15,ROW(AE70)-ROW(AE$15),0),
ROUND(ROUND(OFFSET($P70,0,AE$13),15-13*ORÇAMENTO!$AF$7)*OFFSET(ORÇAMENTO!$W$15,ROW(AE70)-ROW(AE$15),0),15-13*ORÇAMENTO!$AF$11)),0)</f>
        <v>0</v>
      </c>
      <c r="AF70" s="545">
        <f ca="1">IF(AND($D70="Serviço",AF$12&lt;&gt;0,$H70&gt;0,OR(AUTOEVENTO&lt;&gt;"manual",$M70&lt;&gt;1)),
IF(Import.TipoArredondamento&lt;&gt;"TransfereGOV",
ROUND(OFFSET($P70,0,AF$13),15-13*ORÇAMENTO!$AF$7)/$H70*OFFSET(ORÇAMENTO!$X$15,ROW(AF70)-ROW(AF$15),0),
ROUND(ROUND(OFFSET($P70,0,AF$13),15-13*ORÇAMENTO!$AF$7)*OFFSET(ORÇAMENTO!$W$15,ROW(AF70)-ROW(AF$15),0),15-13*ORÇAMENTO!$AF$11)),0)</f>
        <v>0</v>
      </c>
      <c r="AG70" s="545">
        <f ca="1">IF(AND($D70="Serviço",AG$12&lt;&gt;0,$H70&gt;0,OR(AUTOEVENTO&lt;&gt;"manual",$M70&lt;&gt;1)),
IF(Import.TipoArredondamento&lt;&gt;"TransfereGOV",
ROUND(OFFSET($P70,0,AG$13),15-13*ORÇAMENTO!$AF$7)/$H70*OFFSET(ORÇAMENTO!$X$15,ROW(AG70)-ROW(AG$15),0),
ROUND(ROUND(OFFSET($P70,0,AG$13),15-13*ORÇAMENTO!$AF$7)*OFFSET(ORÇAMENTO!$W$15,ROW(AG70)-ROW(AG$15),0),15-13*ORÇAMENTO!$AF$11)),0)</f>
        <v>0</v>
      </c>
      <c r="AH70" s="545">
        <f ca="1">IF(AND($D70="Serviço",AH$12&lt;&gt;0,$H70&gt;0,OR(AUTOEVENTO&lt;&gt;"manual",$M70&lt;&gt;1)),
IF(Import.TipoArredondamento&lt;&gt;"TransfereGOV",
ROUND(OFFSET($P70,0,AH$13),15-13*ORÇAMENTO!$AF$7)/$H70*OFFSET(ORÇAMENTO!$X$15,ROW(AH70)-ROW(AH$15),0),
ROUND(ROUND(OFFSET($P70,0,AH$13),15-13*ORÇAMENTO!$AF$7)*OFFSET(ORÇAMENTO!$W$15,ROW(AH70)-ROW(AH$15),0),15-13*ORÇAMENTO!$AF$11)),0)</f>
        <v>0</v>
      </c>
      <c r="AI70" s="545">
        <f ca="1">IF(AND($D70="Serviço",AI$12&lt;&gt;0,$H70&gt;0,OR(AUTOEVENTO&lt;&gt;"manual",$M70&lt;&gt;1)),
IF(Import.TipoArredondamento&lt;&gt;"TransfereGOV",
ROUND(OFFSET($P70,0,AI$13),15-13*ORÇAMENTO!$AF$7)/$H70*OFFSET(ORÇAMENTO!$X$15,ROW(AI70)-ROW(AI$15),0),
ROUND(ROUND(OFFSET($P70,0,AI$13),15-13*ORÇAMENTO!$AF$7)*OFFSET(ORÇAMENTO!$W$15,ROW(AI70)-ROW(AI$15),0),15-13*ORÇAMENTO!$AF$11)),0)</f>
        <v>0</v>
      </c>
      <c r="AJ70" s="545">
        <f ca="1">IF(AND($D70="Serviço",AJ$12&lt;&gt;0,$H70&gt;0,OR(AUTOEVENTO&lt;&gt;"manual",$M70&lt;&gt;1)),
IF(Import.TipoArredondamento&lt;&gt;"TransfereGOV",
ROUND(OFFSET($P70,0,AJ$13),15-13*ORÇAMENTO!$AF$7)/$H70*OFFSET(ORÇAMENTO!$X$15,ROW(AJ70)-ROW(AJ$15),0),
ROUND(ROUND(OFFSET($P70,0,AJ$13),15-13*ORÇAMENTO!$AF$7)*OFFSET(ORÇAMENTO!$W$15,ROW(AJ70)-ROW(AJ$15),0),15-13*ORÇAMENTO!$AF$11)),0)</f>
        <v>0</v>
      </c>
      <c r="AK70" s="546">
        <f ca="1">IF(AND($D70="Serviço",AK$12&lt;&gt;0,$H70&gt;0,OR(AUTOEVENTO&lt;&gt;"manual",$M70&lt;&gt;1)),
IF(Import.TipoArredondamento&lt;&gt;"TransfereGOV",
ROUND(OFFSET($P70,0,AK$13),15-13*ORÇAMENTO!$AF$7)/$H70*OFFSET(ORÇAMENTO!$X$15,ROW(AK70)-ROW(AK$15),0),
ROUND(ROUND(OFFSET($P70,0,AK$13),15-13*ORÇAMENTO!$AF$7)*OFFSET(ORÇAMENTO!$W$15,ROW(AK70)-ROW(AK$15),0),15-13*ORÇAMENTO!$AF$11)),0)</f>
        <v>0</v>
      </c>
      <c r="AM70" s="181">
        <f ca="1">IF($D70&lt;&gt;"Serviço",0,IF(AND(AUTOEVENTO="Manual",$M70=1),0,IF(OFFSET(CRONOPLE!$F$14,$M70,AM$13)="",10^12,OFFSET(CRONOPLE!$F$14,$M70,AM$13))))</f>
        <v>1000000000000</v>
      </c>
      <c r="AN70" s="181">
        <f ca="1">IF($D70&lt;&gt;"Serviço",0,IF(AND(AUTOEVENTO="Manual",$M70=1),0,IF(OFFSET(CRONOPLE!$F$14,$M70,AN$13)="",10^12,OFFSET(CRONOPLE!$F$14,$M70,AN$13))))</f>
        <v>1000000000000</v>
      </c>
      <c r="AO70" s="181">
        <f ca="1">IF($D70&lt;&gt;"Serviço",0,IF(AND(AUTOEVENTO="Manual",$M70=1),0,IF(OFFSET(CRONOPLE!$F$14,$M70,AO$13)="",10^12,OFFSET(CRONOPLE!$F$14,$M70,AO$13))))</f>
        <v>1000000000000</v>
      </c>
      <c r="AP70" s="181">
        <f ca="1">IF($D70&lt;&gt;"Serviço",0,IF(AND(AUTOEVENTO="Manual",$M70=1),0,IF(OFFSET(CRONOPLE!$F$14,$M70,AP$13)="",10^12,OFFSET(CRONOPLE!$F$14,$M70,AP$13))))</f>
        <v>1000000000000</v>
      </c>
      <c r="AQ70" s="181">
        <f ca="1">IF($D70&lt;&gt;"Serviço",0,IF(AND(AUTOEVENTO="Manual",$M70=1),0,IF(OFFSET(CRONOPLE!$F$14,$M70,AQ$13)="",10^12,OFFSET(CRONOPLE!$F$14,$M70,AQ$13))))</f>
        <v>1000000000000</v>
      </c>
      <c r="AR70" s="181">
        <f ca="1">IF($D70&lt;&gt;"Serviço",0,IF(AND(AUTOEVENTO="Manual",$M70=1),0,IF(OFFSET(CRONOPLE!$F$14,$M70,AR$13)="",10^12,OFFSET(CRONOPLE!$F$14,$M70,AR$13))))</f>
        <v>1000000000000</v>
      </c>
      <c r="AS70" s="181">
        <f ca="1">IF($D70&lt;&gt;"Serviço",0,IF(AND(AUTOEVENTO="Manual",$M70=1),0,IF(OFFSET(CRONOPLE!$F$14,$M70,AS$13)="",10^12,OFFSET(CRONOPLE!$F$14,$M70,AS$13))))</f>
        <v>1000000000000</v>
      </c>
      <c r="AT70" s="181">
        <f ca="1">IF($D70&lt;&gt;"Serviço",0,IF(AND(AUTOEVENTO="Manual",$M70=1),0,IF(OFFSET(CRONOPLE!$F$14,$M70,AT$13)="",10^12,OFFSET(CRONOPLE!$F$14,$M70,AT$13))))</f>
        <v>1000000000000</v>
      </c>
      <c r="AU70" s="181">
        <f ca="1">IF($D70&lt;&gt;"Serviço",0,IF(AND(AUTOEVENTO="Manual",$M70=1),0,IF(OFFSET(CRONOPLE!$F$14,$M70,AU$13)="",10^12,OFFSET(CRONOPLE!$F$14,$M70,AU$13))))</f>
        <v>1000000000000</v>
      </c>
      <c r="AV70" s="181">
        <f ca="1">IF($D70&lt;&gt;"Serviço",0,IF(AND(AUTOEVENTO="Manual",$M70=1),0,IF(OFFSET(CRONOPLE!$F$14,$M70,AV$13)="",10^12,OFFSET(CRONOPLE!$F$14,$M70,AV$13))))</f>
        <v>1000000000000</v>
      </c>
      <c r="AX70" s="182">
        <f ca="1">IF($D70&lt;&gt;"Serviço",0,IF(OR(AND(AUTOEVENTO="Manual",$M70=1),$M70&gt;(ROW(PLE.lastrow)-ROW(PLE.firstrow))),0,IF(OFFSET(PLE!$G$14,$M70,AX$13)="",10^12,OFFSET(PLE!$G$14,$M70,AX$13))))</f>
        <v>1000000000000</v>
      </c>
      <c r="AY70" s="182">
        <f ca="1">IF($D70&lt;&gt;"Serviço",0,IF(OR(AND(AUTOEVENTO="Manual",$M70=1),$M70&gt;(ROW(PLE.lastrow)-ROW(PLE.firstrow))),0,IF(OFFSET(PLE!$G$14,$M70,AY$13)="",10^12,OFFSET(PLE!$G$14,$M70,AY$13))))</f>
        <v>1000000000000</v>
      </c>
      <c r="AZ70" s="182">
        <f ca="1">IF($D70&lt;&gt;"Serviço",0,IF(OR(AND(AUTOEVENTO="Manual",$M70=1),$M70&gt;(ROW(PLE.lastrow)-ROW(PLE.firstrow))),0,IF(OFFSET(PLE!$G$14,$M70,AZ$13)="",10^12,OFFSET(PLE!$G$14,$M70,AZ$13))))</f>
        <v>1000000000000</v>
      </c>
      <c r="BA70" s="182">
        <f ca="1">IF($D70&lt;&gt;"Serviço",0,IF(OR(AND(AUTOEVENTO="Manual",$M70=1),$M70&gt;(ROW(PLE.lastrow)-ROW(PLE.firstrow))),0,IF(OFFSET(PLE!$G$14,$M70,BA$13)="",10^12,OFFSET(PLE!$G$14,$M70,BA$13))))</f>
        <v>1000000000000</v>
      </c>
      <c r="BB70" s="182">
        <f ca="1">IF($D70&lt;&gt;"Serviço",0,IF(OR(AND(AUTOEVENTO="Manual",$M70=1),$M70&gt;(ROW(PLE.lastrow)-ROW(PLE.firstrow))),0,IF(OFFSET(PLE!$G$14,$M70,BB$13)="",10^12,OFFSET(PLE!$G$14,$M70,BB$13))))</f>
        <v>1000000000000</v>
      </c>
      <c r="BC70" s="182">
        <f ca="1">IF($D70&lt;&gt;"Serviço",0,IF(OR(AND(AUTOEVENTO="Manual",$M70=1),$M70&gt;(ROW(PLE.lastrow)-ROW(PLE.firstrow))),0,IF(OFFSET(PLE!$G$14,$M70,BC$13)="",10^12,OFFSET(PLE!$G$14,$M70,BC$13))))</f>
        <v>1000000000000</v>
      </c>
      <c r="BD70" s="182">
        <f ca="1">IF($D70&lt;&gt;"Serviço",0,IF(OR(AND(AUTOEVENTO="Manual",$M70=1),$M70&gt;(ROW(PLE.lastrow)-ROW(PLE.firstrow))),0,IF(OFFSET(PLE!$G$14,$M70,BD$13)="",10^12,OFFSET(PLE!$G$14,$M70,BD$13))))</f>
        <v>1000000000000</v>
      </c>
      <c r="BE70" s="182">
        <f ca="1">IF($D70&lt;&gt;"Serviço",0,IF(OR(AND(AUTOEVENTO="Manual",$M70=1),$M70&gt;(ROW(PLE.lastrow)-ROW(PLE.firstrow))),0,IF(OFFSET(PLE!$G$14,$M70,BE$13)="",10^12,OFFSET(PLE!$G$14,$M70,BE$13))))</f>
        <v>1000000000000</v>
      </c>
      <c r="BF70" s="182">
        <f ca="1">IF($D70&lt;&gt;"Serviço",0,IF(OR(AND(AUTOEVENTO="Manual",$M70=1),$M70&gt;(ROW(PLE.lastrow)-ROW(PLE.firstrow))),0,IF(OFFSET(PLE!$G$14,$M70,BF$13)="",10^12,OFFSET(PLE!$G$14,$M70,BF$13))))</f>
        <v>1000000000000</v>
      </c>
      <c r="BG70" s="182">
        <f ca="1">IF($D70&lt;&gt;"Serviço",0,IF(OR(AND(AUTOEVENTO="Manual",$M70=1),$M70&gt;(ROW(PLE.lastrow)-ROW(PLE.firstrow))),0,IF(OFFSET(PLE!$G$14,$M70,BG$13)="",10^12,OFFSET(PLE!$G$14,$M70,BG$13))))</f>
        <v>1000000000000</v>
      </c>
    </row>
    <row r="71" spans="1:59" ht="12.75" x14ac:dyDescent="0.2">
      <c r="A71" s="7" t="str">
        <f t="shared" ca="1" si="8"/>
        <v>44</v>
      </c>
      <c r="B71" s="7">
        <f ca="1">OFFSET(ORÇAMENTO!C$15,ROW(B71)-ROW(B$15),0)</f>
        <v>3</v>
      </c>
      <c r="C71" s="7" t="str">
        <f ca="1">OFFSET(ORÇAMENTO!L$15,ROW(C71)-ROW(C$15),0)</f>
        <v>F</v>
      </c>
      <c r="D71" s="118" t="str">
        <f ca="1">OFFSET(ORÇAMENTO!N$15,ROW(D71)-ROW(D$15),0)</f>
        <v>Nível 3</v>
      </c>
      <c r="E71" s="119" t="str">
        <f ca="1">OFFSET(ORÇAMENTO!O$15,ROW(E71)-ROW(E$15),0)</f>
        <v>1.4.2.</v>
      </c>
      <c r="F71" s="172" t="str">
        <f ca="1">OFFSET(ORÇAMENTO!R$15,ROW(F71)-ROW(F$15),0)</f>
        <v>CONCRETO ARMADO - PILARES</v>
      </c>
      <c r="G71" s="173" t="str">
        <f ca="1">IF($D71&lt;&gt;"Serviço","",OFFSET(ORÇAMENTO!S$15,ROW(G71)-ROW(G$15),0))</f>
        <v/>
      </c>
      <c r="H71" s="124">
        <f ca="1">IF($D71&lt;&gt;"Serviço",0,IF(ACOMPANHAMENTO="BM",ROUND(OFFSET(ORÇAMENTO!AJ$15,ROW(H71)-ROW(H$15),0),15-13*ORÇAMENTO!$AF$7),SUMPRODUCT(($Q$12:$AA$12&lt;&gt;"")*ROUND($Q71:$AA71,15-13*ORÇAMENTO!$AF$7))))</f>
        <v>0</v>
      </c>
      <c r="I71" s="561"/>
      <c r="K71" s="174"/>
      <c r="L71" s="175" t="s">
        <v>255</v>
      </c>
      <c r="M71" s="176" t="str">
        <f ca="1">IF($D71&lt;&gt;"Serviço","",IF(AUTOEVENTO="manual",$A71,IF(ISERROR(MATCH($A71,$A$15:OFFSET($A71,-1,0),0)),MAX($M$15:OFFSET(M71,-1,0))+1,INDEX($M$15:OFFSET(M71,-1,0),MATCH($A71,$A$15:OFFSET($A71,-1,0),0)))))</f>
        <v/>
      </c>
      <c r="N71" s="177" t="str">
        <f ca="1">IF($D71&lt;&gt;"Serviço","",IF(AUTOEVENTO="Manual",IF($A71=0,"&lt;-- defina o número do agrupador",OFFSET(EVENTOS!$D$14,$A71,0)),OFFSET($F$15,$A71,0)))</f>
        <v/>
      </c>
      <c r="O71" s="178"/>
      <c r="Q71" s="178"/>
      <c r="R71" s="179"/>
      <c r="S71" s="179"/>
      <c r="T71" s="179"/>
      <c r="U71" s="179"/>
      <c r="V71" s="179"/>
      <c r="W71" s="179"/>
      <c r="X71" s="179"/>
      <c r="Y71" s="179"/>
      <c r="Z71" s="180"/>
      <c r="AB71" s="544">
        <f ca="1">IF(AND($D71="Serviço",AB$12&lt;&gt;0,$H71&gt;0,OR(AUTOEVENTO&lt;&gt;"manual",$M71&lt;&gt;1)),
IF(Import.TipoArredondamento&lt;&gt;"TransfereGOV",
ROUND(OFFSET($P71,0,AB$13),15-13*ORÇAMENTO!$AF$7)/$H71*OFFSET(ORÇAMENTO!$X$15,ROW(AB71)-ROW(AB$15),0),
ROUND(ROUND(OFFSET($P71,0,AB$13),15-13*ORÇAMENTO!$AF$7)*OFFSET(ORÇAMENTO!$W$15,ROW(AB71)-ROW(AB$15),0),15-13*ORÇAMENTO!$AF$11)),0)</f>
        <v>0</v>
      </c>
      <c r="AC71" s="545">
        <f ca="1">IF(AND($D71="Serviço",AC$12&lt;&gt;0,$H71&gt;0,OR(AUTOEVENTO&lt;&gt;"manual",$M71&lt;&gt;1)),
IF(Import.TipoArredondamento&lt;&gt;"TransfereGOV",
ROUND(OFFSET($P71,0,AC$13),15-13*ORÇAMENTO!$AF$7)/$H71*OFFSET(ORÇAMENTO!$X$15,ROW(AC71)-ROW(AC$15),0),
ROUND(ROUND(OFFSET($P71,0,AC$13),15-13*ORÇAMENTO!$AF$7)*OFFSET(ORÇAMENTO!$W$15,ROW(AC71)-ROW(AC$15),0),15-13*ORÇAMENTO!$AF$11)),0)</f>
        <v>0</v>
      </c>
      <c r="AD71" s="545">
        <f ca="1">IF(AND($D71="Serviço",AD$12&lt;&gt;0,$H71&gt;0,OR(AUTOEVENTO&lt;&gt;"manual",$M71&lt;&gt;1)),
IF(Import.TipoArredondamento&lt;&gt;"TransfereGOV",
ROUND(OFFSET($P71,0,AD$13),15-13*ORÇAMENTO!$AF$7)/$H71*OFFSET(ORÇAMENTO!$X$15,ROW(AD71)-ROW(AD$15),0),
ROUND(ROUND(OFFSET($P71,0,AD$13),15-13*ORÇAMENTO!$AF$7)*OFFSET(ORÇAMENTO!$W$15,ROW(AD71)-ROW(AD$15),0),15-13*ORÇAMENTO!$AF$11)),0)</f>
        <v>0</v>
      </c>
      <c r="AE71" s="545">
        <f ca="1">IF(AND($D71="Serviço",AE$12&lt;&gt;0,$H71&gt;0,OR(AUTOEVENTO&lt;&gt;"manual",$M71&lt;&gt;1)),
IF(Import.TipoArredondamento&lt;&gt;"TransfereGOV",
ROUND(OFFSET($P71,0,AE$13),15-13*ORÇAMENTO!$AF$7)/$H71*OFFSET(ORÇAMENTO!$X$15,ROW(AE71)-ROW(AE$15),0),
ROUND(ROUND(OFFSET($P71,0,AE$13),15-13*ORÇAMENTO!$AF$7)*OFFSET(ORÇAMENTO!$W$15,ROW(AE71)-ROW(AE$15),0),15-13*ORÇAMENTO!$AF$11)),0)</f>
        <v>0</v>
      </c>
      <c r="AF71" s="545">
        <f ca="1">IF(AND($D71="Serviço",AF$12&lt;&gt;0,$H71&gt;0,OR(AUTOEVENTO&lt;&gt;"manual",$M71&lt;&gt;1)),
IF(Import.TipoArredondamento&lt;&gt;"TransfereGOV",
ROUND(OFFSET($P71,0,AF$13),15-13*ORÇAMENTO!$AF$7)/$H71*OFFSET(ORÇAMENTO!$X$15,ROW(AF71)-ROW(AF$15),0),
ROUND(ROUND(OFFSET($P71,0,AF$13),15-13*ORÇAMENTO!$AF$7)*OFFSET(ORÇAMENTO!$W$15,ROW(AF71)-ROW(AF$15),0),15-13*ORÇAMENTO!$AF$11)),0)</f>
        <v>0</v>
      </c>
      <c r="AG71" s="545">
        <f ca="1">IF(AND($D71="Serviço",AG$12&lt;&gt;0,$H71&gt;0,OR(AUTOEVENTO&lt;&gt;"manual",$M71&lt;&gt;1)),
IF(Import.TipoArredondamento&lt;&gt;"TransfereGOV",
ROUND(OFFSET($P71,0,AG$13),15-13*ORÇAMENTO!$AF$7)/$H71*OFFSET(ORÇAMENTO!$X$15,ROW(AG71)-ROW(AG$15),0),
ROUND(ROUND(OFFSET($P71,0,AG$13),15-13*ORÇAMENTO!$AF$7)*OFFSET(ORÇAMENTO!$W$15,ROW(AG71)-ROW(AG$15),0),15-13*ORÇAMENTO!$AF$11)),0)</f>
        <v>0</v>
      </c>
      <c r="AH71" s="545">
        <f ca="1">IF(AND($D71="Serviço",AH$12&lt;&gt;0,$H71&gt;0,OR(AUTOEVENTO&lt;&gt;"manual",$M71&lt;&gt;1)),
IF(Import.TipoArredondamento&lt;&gt;"TransfereGOV",
ROUND(OFFSET($P71,0,AH$13),15-13*ORÇAMENTO!$AF$7)/$H71*OFFSET(ORÇAMENTO!$X$15,ROW(AH71)-ROW(AH$15),0),
ROUND(ROUND(OFFSET($P71,0,AH$13),15-13*ORÇAMENTO!$AF$7)*OFFSET(ORÇAMENTO!$W$15,ROW(AH71)-ROW(AH$15),0),15-13*ORÇAMENTO!$AF$11)),0)</f>
        <v>0</v>
      </c>
      <c r="AI71" s="545">
        <f ca="1">IF(AND($D71="Serviço",AI$12&lt;&gt;0,$H71&gt;0,OR(AUTOEVENTO&lt;&gt;"manual",$M71&lt;&gt;1)),
IF(Import.TipoArredondamento&lt;&gt;"TransfereGOV",
ROUND(OFFSET($P71,0,AI$13),15-13*ORÇAMENTO!$AF$7)/$H71*OFFSET(ORÇAMENTO!$X$15,ROW(AI71)-ROW(AI$15),0),
ROUND(ROUND(OFFSET($P71,0,AI$13),15-13*ORÇAMENTO!$AF$7)*OFFSET(ORÇAMENTO!$W$15,ROW(AI71)-ROW(AI$15),0),15-13*ORÇAMENTO!$AF$11)),0)</f>
        <v>0</v>
      </c>
      <c r="AJ71" s="545">
        <f ca="1">IF(AND($D71="Serviço",AJ$12&lt;&gt;0,$H71&gt;0,OR(AUTOEVENTO&lt;&gt;"manual",$M71&lt;&gt;1)),
IF(Import.TipoArredondamento&lt;&gt;"TransfereGOV",
ROUND(OFFSET($P71,0,AJ$13),15-13*ORÇAMENTO!$AF$7)/$H71*OFFSET(ORÇAMENTO!$X$15,ROW(AJ71)-ROW(AJ$15),0),
ROUND(ROUND(OFFSET($P71,0,AJ$13),15-13*ORÇAMENTO!$AF$7)*OFFSET(ORÇAMENTO!$W$15,ROW(AJ71)-ROW(AJ$15),0),15-13*ORÇAMENTO!$AF$11)),0)</f>
        <v>0</v>
      </c>
      <c r="AK71" s="546">
        <f ca="1">IF(AND($D71="Serviço",AK$12&lt;&gt;0,$H71&gt;0,OR(AUTOEVENTO&lt;&gt;"manual",$M71&lt;&gt;1)),
IF(Import.TipoArredondamento&lt;&gt;"TransfereGOV",
ROUND(OFFSET($P71,0,AK$13),15-13*ORÇAMENTO!$AF$7)/$H71*OFFSET(ORÇAMENTO!$X$15,ROW(AK71)-ROW(AK$15),0),
ROUND(ROUND(OFFSET($P71,0,AK$13),15-13*ORÇAMENTO!$AF$7)*OFFSET(ORÇAMENTO!$W$15,ROW(AK71)-ROW(AK$15),0),15-13*ORÇAMENTO!$AF$11)),0)</f>
        <v>0</v>
      </c>
      <c r="AM71" s="181">
        <f ca="1">IF($D71&lt;&gt;"Serviço",0,IF(AND(AUTOEVENTO="Manual",$M71=1),0,IF(OFFSET(CRONOPLE!$F$14,$M71,AM$13)="",10^12,OFFSET(CRONOPLE!$F$14,$M71,AM$13))))</f>
        <v>0</v>
      </c>
      <c r="AN71" s="181">
        <f ca="1">IF($D71&lt;&gt;"Serviço",0,IF(AND(AUTOEVENTO="Manual",$M71=1),0,IF(OFFSET(CRONOPLE!$F$14,$M71,AN$13)="",10^12,OFFSET(CRONOPLE!$F$14,$M71,AN$13))))</f>
        <v>0</v>
      </c>
      <c r="AO71" s="181">
        <f ca="1">IF($D71&lt;&gt;"Serviço",0,IF(AND(AUTOEVENTO="Manual",$M71=1),0,IF(OFFSET(CRONOPLE!$F$14,$M71,AO$13)="",10^12,OFFSET(CRONOPLE!$F$14,$M71,AO$13))))</f>
        <v>0</v>
      </c>
      <c r="AP71" s="181">
        <f ca="1">IF($D71&lt;&gt;"Serviço",0,IF(AND(AUTOEVENTO="Manual",$M71=1),0,IF(OFFSET(CRONOPLE!$F$14,$M71,AP$13)="",10^12,OFFSET(CRONOPLE!$F$14,$M71,AP$13))))</f>
        <v>0</v>
      </c>
      <c r="AQ71" s="181">
        <f ca="1">IF($D71&lt;&gt;"Serviço",0,IF(AND(AUTOEVENTO="Manual",$M71=1),0,IF(OFFSET(CRONOPLE!$F$14,$M71,AQ$13)="",10^12,OFFSET(CRONOPLE!$F$14,$M71,AQ$13))))</f>
        <v>0</v>
      </c>
      <c r="AR71" s="181">
        <f ca="1">IF($D71&lt;&gt;"Serviço",0,IF(AND(AUTOEVENTO="Manual",$M71=1),0,IF(OFFSET(CRONOPLE!$F$14,$M71,AR$13)="",10^12,OFFSET(CRONOPLE!$F$14,$M71,AR$13))))</f>
        <v>0</v>
      </c>
      <c r="AS71" s="181">
        <f ca="1">IF($D71&lt;&gt;"Serviço",0,IF(AND(AUTOEVENTO="Manual",$M71=1),0,IF(OFFSET(CRONOPLE!$F$14,$M71,AS$13)="",10^12,OFFSET(CRONOPLE!$F$14,$M71,AS$13))))</f>
        <v>0</v>
      </c>
      <c r="AT71" s="181">
        <f ca="1">IF($D71&lt;&gt;"Serviço",0,IF(AND(AUTOEVENTO="Manual",$M71=1),0,IF(OFFSET(CRONOPLE!$F$14,$M71,AT$13)="",10^12,OFFSET(CRONOPLE!$F$14,$M71,AT$13))))</f>
        <v>0</v>
      </c>
      <c r="AU71" s="181">
        <f ca="1">IF($D71&lt;&gt;"Serviço",0,IF(AND(AUTOEVENTO="Manual",$M71=1),0,IF(OFFSET(CRONOPLE!$F$14,$M71,AU$13)="",10^12,OFFSET(CRONOPLE!$F$14,$M71,AU$13))))</f>
        <v>0</v>
      </c>
      <c r="AV71" s="181">
        <f ca="1">IF($D71&lt;&gt;"Serviço",0,IF(AND(AUTOEVENTO="Manual",$M71=1),0,IF(OFFSET(CRONOPLE!$F$14,$M71,AV$13)="",10^12,OFFSET(CRONOPLE!$F$14,$M71,AV$13))))</f>
        <v>0</v>
      </c>
      <c r="AX71" s="182">
        <f ca="1">IF($D71&lt;&gt;"Serviço",0,IF(OR(AND(AUTOEVENTO="Manual",$M71=1),$M71&gt;(ROW(PLE.lastrow)-ROW(PLE.firstrow))),0,IF(OFFSET(PLE!$G$14,$M71,AX$13)="",10^12,OFFSET(PLE!$G$14,$M71,AX$13))))</f>
        <v>0</v>
      </c>
      <c r="AY71" s="182">
        <f ca="1">IF($D71&lt;&gt;"Serviço",0,IF(OR(AND(AUTOEVENTO="Manual",$M71=1),$M71&gt;(ROW(PLE.lastrow)-ROW(PLE.firstrow))),0,IF(OFFSET(PLE!$G$14,$M71,AY$13)="",10^12,OFFSET(PLE!$G$14,$M71,AY$13))))</f>
        <v>0</v>
      </c>
      <c r="AZ71" s="182">
        <f ca="1">IF($D71&lt;&gt;"Serviço",0,IF(OR(AND(AUTOEVENTO="Manual",$M71=1),$M71&gt;(ROW(PLE.lastrow)-ROW(PLE.firstrow))),0,IF(OFFSET(PLE!$G$14,$M71,AZ$13)="",10^12,OFFSET(PLE!$G$14,$M71,AZ$13))))</f>
        <v>0</v>
      </c>
      <c r="BA71" s="182">
        <f ca="1">IF($D71&lt;&gt;"Serviço",0,IF(OR(AND(AUTOEVENTO="Manual",$M71=1),$M71&gt;(ROW(PLE.lastrow)-ROW(PLE.firstrow))),0,IF(OFFSET(PLE!$G$14,$M71,BA$13)="",10^12,OFFSET(PLE!$G$14,$M71,BA$13))))</f>
        <v>0</v>
      </c>
      <c r="BB71" s="182">
        <f ca="1">IF($D71&lt;&gt;"Serviço",0,IF(OR(AND(AUTOEVENTO="Manual",$M71=1),$M71&gt;(ROW(PLE.lastrow)-ROW(PLE.firstrow))),0,IF(OFFSET(PLE!$G$14,$M71,BB$13)="",10^12,OFFSET(PLE!$G$14,$M71,BB$13))))</f>
        <v>0</v>
      </c>
      <c r="BC71" s="182">
        <f ca="1">IF($D71&lt;&gt;"Serviço",0,IF(OR(AND(AUTOEVENTO="Manual",$M71=1),$M71&gt;(ROW(PLE.lastrow)-ROW(PLE.firstrow))),0,IF(OFFSET(PLE!$G$14,$M71,BC$13)="",10^12,OFFSET(PLE!$G$14,$M71,BC$13))))</f>
        <v>0</v>
      </c>
      <c r="BD71" s="182">
        <f ca="1">IF($D71&lt;&gt;"Serviço",0,IF(OR(AND(AUTOEVENTO="Manual",$M71=1),$M71&gt;(ROW(PLE.lastrow)-ROW(PLE.firstrow))),0,IF(OFFSET(PLE!$G$14,$M71,BD$13)="",10^12,OFFSET(PLE!$G$14,$M71,BD$13))))</f>
        <v>0</v>
      </c>
      <c r="BE71" s="182">
        <f ca="1">IF($D71&lt;&gt;"Serviço",0,IF(OR(AND(AUTOEVENTO="Manual",$M71=1),$M71&gt;(ROW(PLE.lastrow)-ROW(PLE.firstrow))),0,IF(OFFSET(PLE!$G$14,$M71,BE$13)="",10^12,OFFSET(PLE!$G$14,$M71,BE$13))))</f>
        <v>0</v>
      </c>
      <c r="BF71" s="182">
        <f ca="1">IF($D71&lt;&gt;"Serviço",0,IF(OR(AND(AUTOEVENTO="Manual",$M71=1),$M71&gt;(ROW(PLE.lastrow)-ROW(PLE.firstrow))),0,IF(OFFSET(PLE!$G$14,$M71,BF$13)="",10^12,OFFSET(PLE!$G$14,$M71,BF$13))))</f>
        <v>0</v>
      </c>
      <c r="BG71" s="182">
        <f ca="1">IF($D71&lt;&gt;"Serviço",0,IF(OR(AND(AUTOEVENTO="Manual",$M71=1),$M71&gt;(ROW(PLE.lastrow)-ROW(PLE.firstrow))),0,IF(OFFSET(PLE!$G$14,$M71,BG$13)="",10^12,OFFSET(PLE!$G$14,$M71,BG$13))))</f>
        <v>0</v>
      </c>
    </row>
    <row r="72" spans="1:59" ht="51" x14ac:dyDescent="0.2">
      <c r="A72" s="7" t="str">
        <f t="shared" ca="1" si="8"/>
        <v>44</v>
      </c>
      <c r="B72" s="7" t="str">
        <f ca="1">OFFSET(ORÇAMENTO!C$15,ROW(B72)-ROW(B$15),0)</f>
        <v>S</v>
      </c>
      <c r="C72" s="7" t="str">
        <f ca="1">OFFSET(ORÇAMENTO!L$15,ROW(C72)-ROW(C$15),0)</f>
        <v/>
      </c>
      <c r="D72" s="118" t="str">
        <f ca="1">OFFSET(ORÇAMENTO!N$15,ROW(D72)-ROW(D$15),0)</f>
        <v>Serviço</v>
      </c>
      <c r="E72" s="119" t="str">
        <f ca="1">OFFSET(ORÇAMENTO!O$15,ROW(E72)-ROW(E$15),0)</f>
        <v>-</v>
      </c>
      <c r="F72" s="172" t="str">
        <f ca="1">OFFSET(ORÇAMENTO!R$15,ROW(F72)-ROW(F$15),0)</f>
        <v>(abra o arquivo 'Referência 02-2025.xlsm)</v>
      </c>
      <c r="G72" s="173" t="str">
        <f ca="1">IF($D72&lt;&gt;"Serviço","",OFFSET(ORÇAMENTO!S$15,ROW(G72)-ROW(G$15),0))</f>
        <v>-</v>
      </c>
      <c r="H72" s="124">
        <f ca="1">IF($D72&lt;&gt;"Serviço",0,IF(ACOMPANHAMENTO="BM",ROUND(OFFSET(ORÇAMENTO!AJ$15,ROW(H72)-ROW(H$15),0),15-13*ORÇAMENTO!$AF$7),SUMPRODUCT(($Q$12:$AA$12&lt;&gt;"")*ROUND($Q72:$AA72,15-13*ORÇAMENTO!$AF$7))))</f>
        <v>581.21</v>
      </c>
      <c r="I72" s="561"/>
      <c r="K72" s="174"/>
      <c r="L72" s="175" t="s">
        <v>255</v>
      </c>
      <c r="M72" s="176">
        <f ca="1">IF($D72&lt;&gt;"Serviço","",IF(AUTOEVENTO="manual",$A72,IF(ISERROR(MATCH($A72,$A$15:OFFSET($A72,-1,0),0)),MAX($M$15:OFFSET(M72,-1,0))+1,INDEX($M$15:OFFSET(M72,-1,0),MATCH($A72,$A$15:OFFSET($A72,-1,0),0)))))</f>
        <v>5</v>
      </c>
      <c r="N72" s="177" t="str">
        <f ca="1">IF($D72&lt;&gt;"Serviço","",IF(AUTOEVENTO="Manual",IF($A72=0,"&lt;-- defina o número do agrupador",OFFSET(EVENTOS!$D$14,$A72,0)),OFFSET($F$15,$A72,0)))</f>
        <v>SUPERESTRUTURA</v>
      </c>
      <c r="O72" s="178"/>
      <c r="Q72" s="178"/>
      <c r="R72" s="179"/>
      <c r="S72" s="179"/>
      <c r="T72" s="179"/>
      <c r="U72" s="179"/>
      <c r="V72" s="179"/>
      <c r="W72" s="179"/>
      <c r="X72" s="179"/>
      <c r="Y72" s="179"/>
      <c r="Z72" s="180"/>
      <c r="AB72" s="544">
        <f ca="1">IF(AND($D72="Serviço",AB$12&lt;&gt;0,$H72&gt;0,OR(AUTOEVENTO&lt;&gt;"manual",$M72&lt;&gt;1)),
IF(Import.TipoArredondamento&lt;&gt;"TransfereGOV",
ROUND(OFFSET($P72,0,AB$13),15-13*ORÇAMENTO!$AF$7)/$H72*OFFSET(ORÇAMENTO!$X$15,ROW(AB72)-ROW(AB$15),0),
ROUND(ROUND(OFFSET($P72,0,AB$13),15-13*ORÇAMENTO!$AF$7)*OFFSET(ORÇAMENTO!$W$15,ROW(AB72)-ROW(AB$15),0),15-13*ORÇAMENTO!$AF$11)),0)</f>
        <v>0</v>
      </c>
      <c r="AC72" s="545">
        <f ca="1">IF(AND($D72="Serviço",AC$12&lt;&gt;0,$H72&gt;0,OR(AUTOEVENTO&lt;&gt;"manual",$M72&lt;&gt;1)),
IF(Import.TipoArredondamento&lt;&gt;"TransfereGOV",
ROUND(OFFSET($P72,0,AC$13),15-13*ORÇAMENTO!$AF$7)/$H72*OFFSET(ORÇAMENTO!$X$15,ROW(AC72)-ROW(AC$15),0),
ROUND(ROUND(OFFSET($P72,0,AC$13),15-13*ORÇAMENTO!$AF$7)*OFFSET(ORÇAMENTO!$W$15,ROW(AC72)-ROW(AC$15),0),15-13*ORÇAMENTO!$AF$11)),0)</f>
        <v>0</v>
      </c>
      <c r="AD72" s="545">
        <f ca="1">IF(AND($D72="Serviço",AD$12&lt;&gt;0,$H72&gt;0,OR(AUTOEVENTO&lt;&gt;"manual",$M72&lt;&gt;1)),
IF(Import.TipoArredondamento&lt;&gt;"TransfereGOV",
ROUND(OFFSET($P72,0,AD$13),15-13*ORÇAMENTO!$AF$7)/$H72*OFFSET(ORÇAMENTO!$X$15,ROW(AD72)-ROW(AD$15),0),
ROUND(ROUND(OFFSET($P72,0,AD$13),15-13*ORÇAMENTO!$AF$7)*OFFSET(ORÇAMENTO!$W$15,ROW(AD72)-ROW(AD$15),0),15-13*ORÇAMENTO!$AF$11)),0)</f>
        <v>0</v>
      </c>
      <c r="AE72" s="545">
        <f ca="1">IF(AND($D72="Serviço",AE$12&lt;&gt;0,$H72&gt;0,OR(AUTOEVENTO&lt;&gt;"manual",$M72&lt;&gt;1)),
IF(Import.TipoArredondamento&lt;&gt;"TransfereGOV",
ROUND(OFFSET($P72,0,AE$13),15-13*ORÇAMENTO!$AF$7)/$H72*OFFSET(ORÇAMENTO!$X$15,ROW(AE72)-ROW(AE$15),0),
ROUND(ROUND(OFFSET($P72,0,AE$13),15-13*ORÇAMENTO!$AF$7)*OFFSET(ORÇAMENTO!$W$15,ROW(AE72)-ROW(AE$15),0),15-13*ORÇAMENTO!$AF$11)),0)</f>
        <v>0</v>
      </c>
      <c r="AF72" s="545">
        <f ca="1">IF(AND($D72="Serviço",AF$12&lt;&gt;0,$H72&gt;0,OR(AUTOEVENTO&lt;&gt;"manual",$M72&lt;&gt;1)),
IF(Import.TipoArredondamento&lt;&gt;"TransfereGOV",
ROUND(OFFSET($P72,0,AF$13),15-13*ORÇAMENTO!$AF$7)/$H72*OFFSET(ORÇAMENTO!$X$15,ROW(AF72)-ROW(AF$15),0),
ROUND(ROUND(OFFSET($P72,0,AF$13),15-13*ORÇAMENTO!$AF$7)*OFFSET(ORÇAMENTO!$W$15,ROW(AF72)-ROW(AF$15),0),15-13*ORÇAMENTO!$AF$11)),0)</f>
        <v>0</v>
      </c>
      <c r="AG72" s="545">
        <f ca="1">IF(AND($D72="Serviço",AG$12&lt;&gt;0,$H72&gt;0,OR(AUTOEVENTO&lt;&gt;"manual",$M72&lt;&gt;1)),
IF(Import.TipoArredondamento&lt;&gt;"TransfereGOV",
ROUND(OFFSET($P72,0,AG$13),15-13*ORÇAMENTO!$AF$7)/$H72*OFFSET(ORÇAMENTO!$X$15,ROW(AG72)-ROW(AG$15),0),
ROUND(ROUND(OFFSET($P72,0,AG$13),15-13*ORÇAMENTO!$AF$7)*OFFSET(ORÇAMENTO!$W$15,ROW(AG72)-ROW(AG$15),0),15-13*ORÇAMENTO!$AF$11)),0)</f>
        <v>0</v>
      </c>
      <c r="AH72" s="545">
        <f ca="1">IF(AND($D72="Serviço",AH$12&lt;&gt;0,$H72&gt;0,OR(AUTOEVENTO&lt;&gt;"manual",$M72&lt;&gt;1)),
IF(Import.TipoArredondamento&lt;&gt;"TransfereGOV",
ROUND(OFFSET($P72,0,AH$13),15-13*ORÇAMENTO!$AF$7)/$H72*OFFSET(ORÇAMENTO!$X$15,ROW(AH72)-ROW(AH$15),0),
ROUND(ROUND(OFFSET($P72,0,AH$13),15-13*ORÇAMENTO!$AF$7)*OFFSET(ORÇAMENTO!$W$15,ROW(AH72)-ROW(AH$15),0),15-13*ORÇAMENTO!$AF$11)),0)</f>
        <v>0</v>
      </c>
      <c r="AI72" s="545">
        <f ca="1">IF(AND($D72="Serviço",AI$12&lt;&gt;0,$H72&gt;0,OR(AUTOEVENTO&lt;&gt;"manual",$M72&lt;&gt;1)),
IF(Import.TipoArredondamento&lt;&gt;"TransfereGOV",
ROUND(OFFSET($P72,0,AI$13),15-13*ORÇAMENTO!$AF$7)/$H72*OFFSET(ORÇAMENTO!$X$15,ROW(AI72)-ROW(AI$15),0),
ROUND(ROUND(OFFSET($P72,0,AI$13),15-13*ORÇAMENTO!$AF$7)*OFFSET(ORÇAMENTO!$W$15,ROW(AI72)-ROW(AI$15),0),15-13*ORÇAMENTO!$AF$11)),0)</f>
        <v>0</v>
      </c>
      <c r="AJ72" s="545">
        <f ca="1">IF(AND($D72="Serviço",AJ$12&lt;&gt;0,$H72&gt;0,OR(AUTOEVENTO&lt;&gt;"manual",$M72&lt;&gt;1)),
IF(Import.TipoArredondamento&lt;&gt;"TransfereGOV",
ROUND(OFFSET($P72,0,AJ$13),15-13*ORÇAMENTO!$AF$7)/$H72*OFFSET(ORÇAMENTO!$X$15,ROW(AJ72)-ROW(AJ$15),0),
ROUND(ROUND(OFFSET($P72,0,AJ$13),15-13*ORÇAMENTO!$AF$7)*OFFSET(ORÇAMENTO!$W$15,ROW(AJ72)-ROW(AJ$15),0),15-13*ORÇAMENTO!$AF$11)),0)</f>
        <v>0</v>
      </c>
      <c r="AK72" s="546">
        <f ca="1">IF(AND($D72="Serviço",AK$12&lt;&gt;0,$H72&gt;0,OR(AUTOEVENTO&lt;&gt;"manual",$M72&lt;&gt;1)),
IF(Import.TipoArredondamento&lt;&gt;"TransfereGOV",
ROUND(OFFSET($P72,0,AK$13),15-13*ORÇAMENTO!$AF$7)/$H72*OFFSET(ORÇAMENTO!$X$15,ROW(AK72)-ROW(AK$15),0),
ROUND(ROUND(OFFSET($P72,0,AK$13),15-13*ORÇAMENTO!$AF$7)*OFFSET(ORÇAMENTO!$W$15,ROW(AK72)-ROW(AK$15),0),15-13*ORÇAMENTO!$AF$11)),0)</f>
        <v>0</v>
      </c>
      <c r="AM72" s="181">
        <f ca="1">IF($D72&lt;&gt;"Serviço",0,IF(AND(AUTOEVENTO="Manual",$M72=1),0,IF(OFFSET(CRONOPLE!$F$14,$M72,AM$13)="",10^12,OFFSET(CRONOPLE!$F$14,$M72,AM$13))))</f>
        <v>1000000000000</v>
      </c>
      <c r="AN72" s="181">
        <f ca="1">IF($D72&lt;&gt;"Serviço",0,IF(AND(AUTOEVENTO="Manual",$M72=1),0,IF(OFFSET(CRONOPLE!$F$14,$M72,AN$13)="",10^12,OFFSET(CRONOPLE!$F$14,$M72,AN$13))))</f>
        <v>1000000000000</v>
      </c>
      <c r="AO72" s="181">
        <f ca="1">IF($D72&lt;&gt;"Serviço",0,IF(AND(AUTOEVENTO="Manual",$M72=1),0,IF(OFFSET(CRONOPLE!$F$14,$M72,AO$13)="",10^12,OFFSET(CRONOPLE!$F$14,$M72,AO$13))))</f>
        <v>1000000000000</v>
      </c>
      <c r="AP72" s="181">
        <f ca="1">IF($D72&lt;&gt;"Serviço",0,IF(AND(AUTOEVENTO="Manual",$M72=1),0,IF(OFFSET(CRONOPLE!$F$14,$M72,AP$13)="",10^12,OFFSET(CRONOPLE!$F$14,$M72,AP$13))))</f>
        <v>1000000000000</v>
      </c>
      <c r="AQ72" s="181">
        <f ca="1">IF($D72&lt;&gt;"Serviço",0,IF(AND(AUTOEVENTO="Manual",$M72=1),0,IF(OFFSET(CRONOPLE!$F$14,$M72,AQ$13)="",10^12,OFFSET(CRONOPLE!$F$14,$M72,AQ$13))))</f>
        <v>1000000000000</v>
      </c>
      <c r="AR72" s="181">
        <f ca="1">IF($D72&lt;&gt;"Serviço",0,IF(AND(AUTOEVENTO="Manual",$M72=1),0,IF(OFFSET(CRONOPLE!$F$14,$M72,AR$13)="",10^12,OFFSET(CRONOPLE!$F$14,$M72,AR$13))))</f>
        <v>1000000000000</v>
      </c>
      <c r="AS72" s="181">
        <f ca="1">IF($D72&lt;&gt;"Serviço",0,IF(AND(AUTOEVENTO="Manual",$M72=1),0,IF(OFFSET(CRONOPLE!$F$14,$M72,AS$13)="",10^12,OFFSET(CRONOPLE!$F$14,$M72,AS$13))))</f>
        <v>1000000000000</v>
      </c>
      <c r="AT72" s="181">
        <f ca="1">IF($D72&lt;&gt;"Serviço",0,IF(AND(AUTOEVENTO="Manual",$M72=1),0,IF(OFFSET(CRONOPLE!$F$14,$M72,AT$13)="",10^12,OFFSET(CRONOPLE!$F$14,$M72,AT$13))))</f>
        <v>1000000000000</v>
      </c>
      <c r="AU72" s="181">
        <f ca="1">IF($D72&lt;&gt;"Serviço",0,IF(AND(AUTOEVENTO="Manual",$M72=1),0,IF(OFFSET(CRONOPLE!$F$14,$M72,AU$13)="",10^12,OFFSET(CRONOPLE!$F$14,$M72,AU$13))))</f>
        <v>1000000000000</v>
      </c>
      <c r="AV72" s="181">
        <f ca="1">IF($D72&lt;&gt;"Serviço",0,IF(AND(AUTOEVENTO="Manual",$M72=1),0,IF(OFFSET(CRONOPLE!$F$14,$M72,AV$13)="",10^12,OFFSET(CRONOPLE!$F$14,$M72,AV$13))))</f>
        <v>1000000000000</v>
      </c>
      <c r="AX72" s="182">
        <f ca="1">IF($D72&lt;&gt;"Serviço",0,IF(OR(AND(AUTOEVENTO="Manual",$M72=1),$M72&gt;(ROW(PLE.lastrow)-ROW(PLE.firstrow))),0,IF(OFFSET(PLE!$G$14,$M72,AX$13)="",10^12,OFFSET(PLE!$G$14,$M72,AX$13))))</f>
        <v>1000000000000</v>
      </c>
      <c r="AY72" s="182">
        <f ca="1">IF($D72&lt;&gt;"Serviço",0,IF(OR(AND(AUTOEVENTO="Manual",$M72=1),$M72&gt;(ROW(PLE.lastrow)-ROW(PLE.firstrow))),0,IF(OFFSET(PLE!$G$14,$M72,AY$13)="",10^12,OFFSET(PLE!$G$14,$M72,AY$13))))</f>
        <v>1000000000000</v>
      </c>
      <c r="AZ72" s="182">
        <f ca="1">IF($D72&lt;&gt;"Serviço",0,IF(OR(AND(AUTOEVENTO="Manual",$M72=1),$M72&gt;(ROW(PLE.lastrow)-ROW(PLE.firstrow))),0,IF(OFFSET(PLE!$G$14,$M72,AZ$13)="",10^12,OFFSET(PLE!$G$14,$M72,AZ$13))))</f>
        <v>1000000000000</v>
      </c>
      <c r="BA72" s="182">
        <f ca="1">IF($D72&lt;&gt;"Serviço",0,IF(OR(AND(AUTOEVENTO="Manual",$M72=1),$M72&gt;(ROW(PLE.lastrow)-ROW(PLE.firstrow))),0,IF(OFFSET(PLE!$G$14,$M72,BA$13)="",10^12,OFFSET(PLE!$G$14,$M72,BA$13))))</f>
        <v>1000000000000</v>
      </c>
      <c r="BB72" s="182">
        <f ca="1">IF($D72&lt;&gt;"Serviço",0,IF(OR(AND(AUTOEVENTO="Manual",$M72=1),$M72&gt;(ROW(PLE.lastrow)-ROW(PLE.firstrow))),0,IF(OFFSET(PLE!$G$14,$M72,BB$13)="",10^12,OFFSET(PLE!$G$14,$M72,BB$13))))</f>
        <v>1000000000000</v>
      </c>
      <c r="BC72" s="182">
        <f ca="1">IF($D72&lt;&gt;"Serviço",0,IF(OR(AND(AUTOEVENTO="Manual",$M72=1),$M72&gt;(ROW(PLE.lastrow)-ROW(PLE.firstrow))),0,IF(OFFSET(PLE!$G$14,$M72,BC$13)="",10^12,OFFSET(PLE!$G$14,$M72,BC$13))))</f>
        <v>1000000000000</v>
      </c>
      <c r="BD72" s="182">
        <f ca="1">IF($D72&lt;&gt;"Serviço",0,IF(OR(AND(AUTOEVENTO="Manual",$M72=1),$M72&gt;(ROW(PLE.lastrow)-ROW(PLE.firstrow))),0,IF(OFFSET(PLE!$G$14,$M72,BD$13)="",10^12,OFFSET(PLE!$G$14,$M72,BD$13))))</f>
        <v>1000000000000</v>
      </c>
      <c r="BE72" s="182">
        <f ca="1">IF($D72&lt;&gt;"Serviço",0,IF(OR(AND(AUTOEVENTO="Manual",$M72=1),$M72&gt;(ROW(PLE.lastrow)-ROW(PLE.firstrow))),0,IF(OFFSET(PLE!$G$14,$M72,BE$13)="",10^12,OFFSET(PLE!$G$14,$M72,BE$13))))</f>
        <v>1000000000000</v>
      </c>
      <c r="BF72" s="182">
        <f ca="1">IF($D72&lt;&gt;"Serviço",0,IF(OR(AND(AUTOEVENTO="Manual",$M72=1),$M72&gt;(ROW(PLE.lastrow)-ROW(PLE.firstrow))),0,IF(OFFSET(PLE!$G$14,$M72,BF$13)="",10^12,OFFSET(PLE!$G$14,$M72,BF$13))))</f>
        <v>1000000000000</v>
      </c>
      <c r="BG72" s="182">
        <f ca="1">IF($D72&lt;&gt;"Serviço",0,IF(OR(AND(AUTOEVENTO="Manual",$M72=1),$M72&gt;(ROW(PLE.lastrow)-ROW(PLE.firstrow))),0,IF(OFFSET(PLE!$G$14,$M72,BG$13)="",10^12,OFFSET(PLE!$G$14,$M72,BG$13))))</f>
        <v>1000000000000</v>
      </c>
    </row>
    <row r="73" spans="1:59" ht="38.25" x14ac:dyDescent="0.2">
      <c r="A73" s="7" t="str">
        <f t="shared" ca="1" si="8"/>
        <v>44</v>
      </c>
      <c r="B73" s="7" t="str">
        <f ca="1">OFFSET(ORÇAMENTO!C$15,ROW(B73)-ROW(B$15),0)</f>
        <v>S</v>
      </c>
      <c r="C73" s="7" t="str">
        <f ca="1">OFFSET(ORÇAMENTO!L$15,ROW(C73)-ROW(C$15),0)</f>
        <v/>
      </c>
      <c r="D73" s="118" t="str">
        <f ca="1">OFFSET(ORÇAMENTO!N$15,ROW(D73)-ROW(D$15),0)</f>
        <v>Serviço</v>
      </c>
      <c r="E73" s="119" t="str">
        <f ca="1">OFFSET(ORÇAMENTO!O$15,ROW(E73)-ROW(E$15),0)</f>
        <v>-</v>
      </c>
      <c r="F73" s="172" t="str">
        <f ca="1">OFFSET(ORÇAMENTO!R$15,ROW(F73)-ROW(F$15),0)</f>
        <v>(abra o arquivo 'Referência 02-2025.xlsm)</v>
      </c>
      <c r="G73" s="173" t="str">
        <f ca="1">IF($D73&lt;&gt;"Serviço","",OFFSET(ORÇAMENTO!S$15,ROW(G73)-ROW(G$15),0))</f>
        <v>-</v>
      </c>
      <c r="H73" s="124">
        <f ca="1">IF($D73&lt;&gt;"Serviço",0,IF(ACOMPANHAMENTO="BM",ROUND(OFFSET(ORÇAMENTO!AJ$15,ROW(H73)-ROW(H$15),0),15-13*ORÇAMENTO!$AF$7),SUMPRODUCT(($Q$12:$AA$12&lt;&gt;"")*ROUND($Q73:$AA73,15-13*ORÇAMENTO!$AF$7))))</f>
        <v>1755.23</v>
      </c>
      <c r="I73" s="561"/>
      <c r="K73" s="174"/>
      <c r="L73" s="175" t="s">
        <v>255</v>
      </c>
      <c r="M73" s="176">
        <f ca="1">IF($D73&lt;&gt;"Serviço","",IF(AUTOEVENTO="manual",$A73,IF(ISERROR(MATCH($A73,$A$15:OFFSET($A73,-1,0),0)),MAX($M$15:OFFSET(M73,-1,0))+1,INDEX($M$15:OFFSET(M73,-1,0),MATCH($A73,$A$15:OFFSET($A73,-1,0),0)))))</f>
        <v>5</v>
      </c>
      <c r="N73" s="177" t="str">
        <f ca="1">IF($D73&lt;&gt;"Serviço","",IF(AUTOEVENTO="Manual",IF($A73=0,"&lt;-- defina o número do agrupador",OFFSET(EVENTOS!$D$14,$A73,0)),OFFSET($F$15,$A73,0)))</f>
        <v>SUPERESTRUTURA</v>
      </c>
      <c r="O73" s="178"/>
      <c r="Q73" s="178"/>
      <c r="R73" s="179"/>
      <c r="S73" s="179"/>
      <c r="T73" s="179"/>
      <c r="U73" s="179"/>
      <c r="V73" s="179"/>
      <c r="W73" s="179"/>
      <c r="X73" s="179"/>
      <c r="Y73" s="179"/>
      <c r="Z73" s="180"/>
      <c r="AB73" s="544">
        <f ca="1">IF(AND($D73="Serviço",AB$12&lt;&gt;0,$H73&gt;0,OR(AUTOEVENTO&lt;&gt;"manual",$M73&lt;&gt;1)),
IF(Import.TipoArredondamento&lt;&gt;"TransfereGOV",
ROUND(OFFSET($P73,0,AB$13),15-13*ORÇAMENTO!$AF$7)/$H73*OFFSET(ORÇAMENTO!$X$15,ROW(AB73)-ROW(AB$15),0),
ROUND(ROUND(OFFSET($P73,0,AB$13),15-13*ORÇAMENTO!$AF$7)*OFFSET(ORÇAMENTO!$W$15,ROW(AB73)-ROW(AB$15),0),15-13*ORÇAMENTO!$AF$11)),0)</f>
        <v>0</v>
      </c>
      <c r="AC73" s="545">
        <f ca="1">IF(AND($D73="Serviço",AC$12&lt;&gt;0,$H73&gt;0,OR(AUTOEVENTO&lt;&gt;"manual",$M73&lt;&gt;1)),
IF(Import.TipoArredondamento&lt;&gt;"TransfereGOV",
ROUND(OFFSET($P73,0,AC$13),15-13*ORÇAMENTO!$AF$7)/$H73*OFFSET(ORÇAMENTO!$X$15,ROW(AC73)-ROW(AC$15),0),
ROUND(ROUND(OFFSET($P73,0,AC$13),15-13*ORÇAMENTO!$AF$7)*OFFSET(ORÇAMENTO!$W$15,ROW(AC73)-ROW(AC$15),0),15-13*ORÇAMENTO!$AF$11)),0)</f>
        <v>0</v>
      </c>
      <c r="AD73" s="545">
        <f ca="1">IF(AND($D73="Serviço",AD$12&lt;&gt;0,$H73&gt;0,OR(AUTOEVENTO&lt;&gt;"manual",$M73&lt;&gt;1)),
IF(Import.TipoArredondamento&lt;&gt;"TransfereGOV",
ROUND(OFFSET($P73,0,AD$13),15-13*ORÇAMENTO!$AF$7)/$H73*OFFSET(ORÇAMENTO!$X$15,ROW(AD73)-ROW(AD$15),0),
ROUND(ROUND(OFFSET($P73,0,AD$13),15-13*ORÇAMENTO!$AF$7)*OFFSET(ORÇAMENTO!$W$15,ROW(AD73)-ROW(AD$15),0),15-13*ORÇAMENTO!$AF$11)),0)</f>
        <v>0</v>
      </c>
      <c r="AE73" s="545">
        <f ca="1">IF(AND($D73="Serviço",AE$12&lt;&gt;0,$H73&gt;0,OR(AUTOEVENTO&lt;&gt;"manual",$M73&lt;&gt;1)),
IF(Import.TipoArredondamento&lt;&gt;"TransfereGOV",
ROUND(OFFSET($P73,0,AE$13),15-13*ORÇAMENTO!$AF$7)/$H73*OFFSET(ORÇAMENTO!$X$15,ROW(AE73)-ROW(AE$15),0),
ROUND(ROUND(OFFSET($P73,0,AE$13),15-13*ORÇAMENTO!$AF$7)*OFFSET(ORÇAMENTO!$W$15,ROW(AE73)-ROW(AE$15),0),15-13*ORÇAMENTO!$AF$11)),0)</f>
        <v>0</v>
      </c>
      <c r="AF73" s="545">
        <f ca="1">IF(AND($D73="Serviço",AF$12&lt;&gt;0,$H73&gt;0,OR(AUTOEVENTO&lt;&gt;"manual",$M73&lt;&gt;1)),
IF(Import.TipoArredondamento&lt;&gt;"TransfereGOV",
ROUND(OFFSET($P73,0,AF$13),15-13*ORÇAMENTO!$AF$7)/$H73*OFFSET(ORÇAMENTO!$X$15,ROW(AF73)-ROW(AF$15),0),
ROUND(ROUND(OFFSET($P73,0,AF$13),15-13*ORÇAMENTO!$AF$7)*OFFSET(ORÇAMENTO!$W$15,ROW(AF73)-ROW(AF$15),0),15-13*ORÇAMENTO!$AF$11)),0)</f>
        <v>0</v>
      </c>
      <c r="AG73" s="545">
        <f ca="1">IF(AND($D73="Serviço",AG$12&lt;&gt;0,$H73&gt;0,OR(AUTOEVENTO&lt;&gt;"manual",$M73&lt;&gt;1)),
IF(Import.TipoArredondamento&lt;&gt;"TransfereGOV",
ROUND(OFFSET($P73,0,AG$13),15-13*ORÇAMENTO!$AF$7)/$H73*OFFSET(ORÇAMENTO!$X$15,ROW(AG73)-ROW(AG$15),0),
ROUND(ROUND(OFFSET($P73,0,AG$13),15-13*ORÇAMENTO!$AF$7)*OFFSET(ORÇAMENTO!$W$15,ROW(AG73)-ROW(AG$15),0),15-13*ORÇAMENTO!$AF$11)),0)</f>
        <v>0</v>
      </c>
      <c r="AH73" s="545">
        <f ca="1">IF(AND($D73="Serviço",AH$12&lt;&gt;0,$H73&gt;0,OR(AUTOEVENTO&lt;&gt;"manual",$M73&lt;&gt;1)),
IF(Import.TipoArredondamento&lt;&gt;"TransfereGOV",
ROUND(OFFSET($P73,0,AH$13),15-13*ORÇAMENTO!$AF$7)/$H73*OFFSET(ORÇAMENTO!$X$15,ROW(AH73)-ROW(AH$15),0),
ROUND(ROUND(OFFSET($P73,0,AH$13),15-13*ORÇAMENTO!$AF$7)*OFFSET(ORÇAMENTO!$W$15,ROW(AH73)-ROW(AH$15),0),15-13*ORÇAMENTO!$AF$11)),0)</f>
        <v>0</v>
      </c>
      <c r="AI73" s="545">
        <f ca="1">IF(AND($D73="Serviço",AI$12&lt;&gt;0,$H73&gt;0,OR(AUTOEVENTO&lt;&gt;"manual",$M73&lt;&gt;1)),
IF(Import.TipoArredondamento&lt;&gt;"TransfereGOV",
ROUND(OFFSET($P73,0,AI$13),15-13*ORÇAMENTO!$AF$7)/$H73*OFFSET(ORÇAMENTO!$X$15,ROW(AI73)-ROW(AI$15),0),
ROUND(ROUND(OFFSET($P73,0,AI$13),15-13*ORÇAMENTO!$AF$7)*OFFSET(ORÇAMENTO!$W$15,ROW(AI73)-ROW(AI$15),0),15-13*ORÇAMENTO!$AF$11)),0)</f>
        <v>0</v>
      </c>
      <c r="AJ73" s="545">
        <f ca="1">IF(AND($D73="Serviço",AJ$12&lt;&gt;0,$H73&gt;0,OR(AUTOEVENTO&lt;&gt;"manual",$M73&lt;&gt;1)),
IF(Import.TipoArredondamento&lt;&gt;"TransfereGOV",
ROUND(OFFSET($P73,0,AJ$13),15-13*ORÇAMENTO!$AF$7)/$H73*OFFSET(ORÇAMENTO!$X$15,ROW(AJ73)-ROW(AJ$15),0),
ROUND(ROUND(OFFSET($P73,0,AJ$13),15-13*ORÇAMENTO!$AF$7)*OFFSET(ORÇAMENTO!$W$15,ROW(AJ73)-ROW(AJ$15),0),15-13*ORÇAMENTO!$AF$11)),0)</f>
        <v>0</v>
      </c>
      <c r="AK73" s="546">
        <f ca="1">IF(AND($D73="Serviço",AK$12&lt;&gt;0,$H73&gt;0,OR(AUTOEVENTO&lt;&gt;"manual",$M73&lt;&gt;1)),
IF(Import.TipoArredondamento&lt;&gt;"TransfereGOV",
ROUND(OFFSET($P73,0,AK$13),15-13*ORÇAMENTO!$AF$7)/$H73*OFFSET(ORÇAMENTO!$X$15,ROW(AK73)-ROW(AK$15),0),
ROUND(ROUND(OFFSET($P73,0,AK$13),15-13*ORÇAMENTO!$AF$7)*OFFSET(ORÇAMENTO!$W$15,ROW(AK73)-ROW(AK$15),0),15-13*ORÇAMENTO!$AF$11)),0)</f>
        <v>0</v>
      </c>
      <c r="AM73" s="181">
        <f ca="1">IF($D73&lt;&gt;"Serviço",0,IF(AND(AUTOEVENTO="Manual",$M73=1),0,IF(OFFSET(CRONOPLE!$F$14,$M73,AM$13)="",10^12,OFFSET(CRONOPLE!$F$14,$M73,AM$13))))</f>
        <v>1000000000000</v>
      </c>
      <c r="AN73" s="181">
        <f ca="1">IF($D73&lt;&gt;"Serviço",0,IF(AND(AUTOEVENTO="Manual",$M73=1),0,IF(OFFSET(CRONOPLE!$F$14,$M73,AN$13)="",10^12,OFFSET(CRONOPLE!$F$14,$M73,AN$13))))</f>
        <v>1000000000000</v>
      </c>
      <c r="AO73" s="181">
        <f ca="1">IF($D73&lt;&gt;"Serviço",0,IF(AND(AUTOEVENTO="Manual",$M73=1),0,IF(OFFSET(CRONOPLE!$F$14,$M73,AO$13)="",10^12,OFFSET(CRONOPLE!$F$14,$M73,AO$13))))</f>
        <v>1000000000000</v>
      </c>
      <c r="AP73" s="181">
        <f ca="1">IF($D73&lt;&gt;"Serviço",0,IF(AND(AUTOEVENTO="Manual",$M73=1),0,IF(OFFSET(CRONOPLE!$F$14,$M73,AP$13)="",10^12,OFFSET(CRONOPLE!$F$14,$M73,AP$13))))</f>
        <v>1000000000000</v>
      </c>
      <c r="AQ73" s="181">
        <f ca="1">IF($D73&lt;&gt;"Serviço",0,IF(AND(AUTOEVENTO="Manual",$M73=1),0,IF(OFFSET(CRONOPLE!$F$14,$M73,AQ$13)="",10^12,OFFSET(CRONOPLE!$F$14,$M73,AQ$13))))</f>
        <v>1000000000000</v>
      </c>
      <c r="AR73" s="181">
        <f ca="1">IF($D73&lt;&gt;"Serviço",0,IF(AND(AUTOEVENTO="Manual",$M73=1),0,IF(OFFSET(CRONOPLE!$F$14,$M73,AR$13)="",10^12,OFFSET(CRONOPLE!$F$14,$M73,AR$13))))</f>
        <v>1000000000000</v>
      </c>
      <c r="AS73" s="181">
        <f ca="1">IF($D73&lt;&gt;"Serviço",0,IF(AND(AUTOEVENTO="Manual",$M73=1),0,IF(OFFSET(CRONOPLE!$F$14,$M73,AS$13)="",10^12,OFFSET(CRONOPLE!$F$14,$M73,AS$13))))</f>
        <v>1000000000000</v>
      </c>
      <c r="AT73" s="181">
        <f ca="1">IF($D73&lt;&gt;"Serviço",0,IF(AND(AUTOEVENTO="Manual",$M73=1),0,IF(OFFSET(CRONOPLE!$F$14,$M73,AT$13)="",10^12,OFFSET(CRONOPLE!$F$14,$M73,AT$13))))</f>
        <v>1000000000000</v>
      </c>
      <c r="AU73" s="181">
        <f ca="1">IF($D73&lt;&gt;"Serviço",0,IF(AND(AUTOEVENTO="Manual",$M73=1),0,IF(OFFSET(CRONOPLE!$F$14,$M73,AU$13)="",10^12,OFFSET(CRONOPLE!$F$14,$M73,AU$13))))</f>
        <v>1000000000000</v>
      </c>
      <c r="AV73" s="181">
        <f ca="1">IF($D73&lt;&gt;"Serviço",0,IF(AND(AUTOEVENTO="Manual",$M73=1),0,IF(OFFSET(CRONOPLE!$F$14,$M73,AV$13)="",10^12,OFFSET(CRONOPLE!$F$14,$M73,AV$13))))</f>
        <v>1000000000000</v>
      </c>
      <c r="AX73" s="182">
        <f ca="1">IF($D73&lt;&gt;"Serviço",0,IF(OR(AND(AUTOEVENTO="Manual",$M73=1),$M73&gt;(ROW(PLE.lastrow)-ROW(PLE.firstrow))),0,IF(OFFSET(PLE!$G$14,$M73,AX$13)="",10^12,OFFSET(PLE!$G$14,$M73,AX$13))))</f>
        <v>1000000000000</v>
      </c>
      <c r="AY73" s="182">
        <f ca="1">IF($D73&lt;&gt;"Serviço",0,IF(OR(AND(AUTOEVENTO="Manual",$M73=1),$M73&gt;(ROW(PLE.lastrow)-ROW(PLE.firstrow))),0,IF(OFFSET(PLE!$G$14,$M73,AY$13)="",10^12,OFFSET(PLE!$G$14,$M73,AY$13))))</f>
        <v>1000000000000</v>
      </c>
      <c r="AZ73" s="182">
        <f ca="1">IF($D73&lt;&gt;"Serviço",0,IF(OR(AND(AUTOEVENTO="Manual",$M73=1),$M73&gt;(ROW(PLE.lastrow)-ROW(PLE.firstrow))),0,IF(OFFSET(PLE!$G$14,$M73,AZ$13)="",10^12,OFFSET(PLE!$G$14,$M73,AZ$13))))</f>
        <v>1000000000000</v>
      </c>
      <c r="BA73" s="182">
        <f ca="1">IF($D73&lt;&gt;"Serviço",0,IF(OR(AND(AUTOEVENTO="Manual",$M73=1),$M73&gt;(ROW(PLE.lastrow)-ROW(PLE.firstrow))),0,IF(OFFSET(PLE!$G$14,$M73,BA$13)="",10^12,OFFSET(PLE!$G$14,$M73,BA$13))))</f>
        <v>1000000000000</v>
      </c>
      <c r="BB73" s="182">
        <f ca="1">IF($D73&lt;&gt;"Serviço",0,IF(OR(AND(AUTOEVENTO="Manual",$M73=1),$M73&gt;(ROW(PLE.lastrow)-ROW(PLE.firstrow))),0,IF(OFFSET(PLE!$G$14,$M73,BB$13)="",10^12,OFFSET(PLE!$G$14,$M73,BB$13))))</f>
        <v>1000000000000</v>
      </c>
      <c r="BC73" s="182">
        <f ca="1">IF($D73&lt;&gt;"Serviço",0,IF(OR(AND(AUTOEVENTO="Manual",$M73=1),$M73&gt;(ROW(PLE.lastrow)-ROW(PLE.firstrow))),0,IF(OFFSET(PLE!$G$14,$M73,BC$13)="",10^12,OFFSET(PLE!$G$14,$M73,BC$13))))</f>
        <v>1000000000000</v>
      </c>
      <c r="BD73" s="182">
        <f ca="1">IF($D73&lt;&gt;"Serviço",0,IF(OR(AND(AUTOEVENTO="Manual",$M73=1),$M73&gt;(ROW(PLE.lastrow)-ROW(PLE.firstrow))),0,IF(OFFSET(PLE!$G$14,$M73,BD$13)="",10^12,OFFSET(PLE!$G$14,$M73,BD$13))))</f>
        <v>1000000000000</v>
      </c>
      <c r="BE73" s="182">
        <f ca="1">IF($D73&lt;&gt;"Serviço",0,IF(OR(AND(AUTOEVENTO="Manual",$M73=1),$M73&gt;(ROW(PLE.lastrow)-ROW(PLE.firstrow))),0,IF(OFFSET(PLE!$G$14,$M73,BE$13)="",10^12,OFFSET(PLE!$G$14,$M73,BE$13))))</f>
        <v>1000000000000</v>
      </c>
      <c r="BF73" s="182">
        <f ca="1">IF($D73&lt;&gt;"Serviço",0,IF(OR(AND(AUTOEVENTO="Manual",$M73=1),$M73&gt;(ROW(PLE.lastrow)-ROW(PLE.firstrow))),0,IF(OFFSET(PLE!$G$14,$M73,BF$13)="",10^12,OFFSET(PLE!$G$14,$M73,BF$13))))</f>
        <v>1000000000000</v>
      </c>
      <c r="BG73" s="182">
        <f ca="1">IF($D73&lt;&gt;"Serviço",0,IF(OR(AND(AUTOEVENTO="Manual",$M73=1),$M73&gt;(ROW(PLE.lastrow)-ROW(PLE.firstrow))),0,IF(OFFSET(PLE!$G$14,$M73,BG$13)="",10^12,OFFSET(PLE!$G$14,$M73,BG$13))))</f>
        <v>1000000000000</v>
      </c>
    </row>
    <row r="74" spans="1:59" ht="38.25" x14ac:dyDescent="0.2">
      <c r="A74" s="7" t="str">
        <f t="shared" ca="1" si="8"/>
        <v>44</v>
      </c>
      <c r="B74" s="7" t="str">
        <f ca="1">OFFSET(ORÇAMENTO!C$15,ROW(B74)-ROW(B$15),0)</f>
        <v>S</v>
      </c>
      <c r="C74" s="7" t="str">
        <f ca="1">OFFSET(ORÇAMENTO!L$15,ROW(C74)-ROW(C$15),0)</f>
        <v/>
      </c>
      <c r="D74" s="118" t="str">
        <f ca="1">OFFSET(ORÇAMENTO!N$15,ROW(D74)-ROW(D$15),0)</f>
        <v>Serviço</v>
      </c>
      <c r="E74" s="119" t="str">
        <f ca="1">OFFSET(ORÇAMENTO!O$15,ROW(E74)-ROW(E$15),0)</f>
        <v>-</v>
      </c>
      <c r="F74" s="172" t="str">
        <f ca="1">OFFSET(ORÇAMENTO!R$15,ROW(F74)-ROW(F$15),0)</f>
        <v>(abra o arquivo 'Referência 02-2025.xlsm)</v>
      </c>
      <c r="G74" s="173" t="str">
        <f ca="1">IF($D74&lt;&gt;"Serviço","",OFFSET(ORÇAMENTO!S$15,ROW(G74)-ROW(G$15),0))</f>
        <v>-</v>
      </c>
      <c r="H74" s="124">
        <f ca="1">IF($D74&lt;&gt;"Serviço",0,IF(ACOMPANHAMENTO="BM",ROUND(OFFSET(ORÇAMENTO!AJ$15,ROW(H74)-ROW(H$15),0),15-13*ORÇAMENTO!$AF$7),SUMPRODUCT(($Q$12:$AA$12&lt;&gt;"")*ROUND($Q74:$AA74,15-13*ORÇAMENTO!$AF$7))))</f>
        <v>41.25</v>
      </c>
      <c r="I74" s="561"/>
      <c r="K74" s="174"/>
      <c r="L74" s="175" t="s">
        <v>255</v>
      </c>
      <c r="M74" s="176">
        <f ca="1">IF($D74&lt;&gt;"Serviço","",IF(AUTOEVENTO="manual",$A74,IF(ISERROR(MATCH($A74,$A$15:OFFSET($A74,-1,0),0)),MAX($M$15:OFFSET(M74,-1,0))+1,INDEX($M$15:OFFSET(M74,-1,0),MATCH($A74,$A$15:OFFSET($A74,-1,0),0)))))</f>
        <v>5</v>
      </c>
      <c r="N74" s="177" t="str">
        <f ca="1">IF($D74&lt;&gt;"Serviço","",IF(AUTOEVENTO="Manual",IF($A74=0,"&lt;-- defina o número do agrupador",OFFSET(EVENTOS!$D$14,$A74,0)),OFFSET($F$15,$A74,0)))</f>
        <v>SUPERESTRUTURA</v>
      </c>
      <c r="O74" s="178"/>
      <c r="Q74" s="178"/>
      <c r="R74" s="179"/>
      <c r="S74" s="179"/>
      <c r="T74" s="179"/>
      <c r="U74" s="179"/>
      <c r="V74" s="179"/>
      <c r="W74" s="179"/>
      <c r="X74" s="179"/>
      <c r="Y74" s="179"/>
      <c r="Z74" s="180"/>
      <c r="AB74" s="544">
        <f ca="1">IF(AND($D74="Serviço",AB$12&lt;&gt;0,$H74&gt;0,OR(AUTOEVENTO&lt;&gt;"manual",$M74&lt;&gt;1)),
IF(Import.TipoArredondamento&lt;&gt;"TransfereGOV",
ROUND(OFFSET($P74,0,AB$13),15-13*ORÇAMENTO!$AF$7)/$H74*OFFSET(ORÇAMENTO!$X$15,ROW(AB74)-ROW(AB$15),0),
ROUND(ROUND(OFFSET($P74,0,AB$13),15-13*ORÇAMENTO!$AF$7)*OFFSET(ORÇAMENTO!$W$15,ROW(AB74)-ROW(AB$15),0),15-13*ORÇAMENTO!$AF$11)),0)</f>
        <v>0</v>
      </c>
      <c r="AC74" s="545">
        <f ca="1">IF(AND($D74="Serviço",AC$12&lt;&gt;0,$H74&gt;0,OR(AUTOEVENTO&lt;&gt;"manual",$M74&lt;&gt;1)),
IF(Import.TipoArredondamento&lt;&gt;"TransfereGOV",
ROUND(OFFSET($P74,0,AC$13),15-13*ORÇAMENTO!$AF$7)/$H74*OFFSET(ORÇAMENTO!$X$15,ROW(AC74)-ROW(AC$15),0),
ROUND(ROUND(OFFSET($P74,0,AC$13),15-13*ORÇAMENTO!$AF$7)*OFFSET(ORÇAMENTO!$W$15,ROW(AC74)-ROW(AC$15),0),15-13*ORÇAMENTO!$AF$11)),0)</f>
        <v>0</v>
      </c>
      <c r="AD74" s="545">
        <f ca="1">IF(AND($D74="Serviço",AD$12&lt;&gt;0,$H74&gt;0,OR(AUTOEVENTO&lt;&gt;"manual",$M74&lt;&gt;1)),
IF(Import.TipoArredondamento&lt;&gt;"TransfereGOV",
ROUND(OFFSET($P74,0,AD$13),15-13*ORÇAMENTO!$AF$7)/$H74*OFFSET(ORÇAMENTO!$X$15,ROW(AD74)-ROW(AD$15),0),
ROUND(ROUND(OFFSET($P74,0,AD$13),15-13*ORÇAMENTO!$AF$7)*OFFSET(ORÇAMENTO!$W$15,ROW(AD74)-ROW(AD$15),0),15-13*ORÇAMENTO!$AF$11)),0)</f>
        <v>0</v>
      </c>
      <c r="AE74" s="545">
        <f ca="1">IF(AND($D74="Serviço",AE$12&lt;&gt;0,$H74&gt;0,OR(AUTOEVENTO&lt;&gt;"manual",$M74&lt;&gt;1)),
IF(Import.TipoArredondamento&lt;&gt;"TransfereGOV",
ROUND(OFFSET($P74,0,AE$13),15-13*ORÇAMENTO!$AF$7)/$H74*OFFSET(ORÇAMENTO!$X$15,ROW(AE74)-ROW(AE$15),0),
ROUND(ROUND(OFFSET($P74,0,AE$13),15-13*ORÇAMENTO!$AF$7)*OFFSET(ORÇAMENTO!$W$15,ROW(AE74)-ROW(AE$15),0),15-13*ORÇAMENTO!$AF$11)),0)</f>
        <v>0</v>
      </c>
      <c r="AF74" s="545">
        <f ca="1">IF(AND($D74="Serviço",AF$12&lt;&gt;0,$H74&gt;0,OR(AUTOEVENTO&lt;&gt;"manual",$M74&lt;&gt;1)),
IF(Import.TipoArredondamento&lt;&gt;"TransfereGOV",
ROUND(OFFSET($P74,0,AF$13),15-13*ORÇAMENTO!$AF$7)/$H74*OFFSET(ORÇAMENTO!$X$15,ROW(AF74)-ROW(AF$15),0),
ROUND(ROUND(OFFSET($P74,0,AF$13),15-13*ORÇAMENTO!$AF$7)*OFFSET(ORÇAMENTO!$W$15,ROW(AF74)-ROW(AF$15),0),15-13*ORÇAMENTO!$AF$11)),0)</f>
        <v>0</v>
      </c>
      <c r="AG74" s="545">
        <f ca="1">IF(AND($D74="Serviço",AG$12&lt;&gt;0,$H74&gt;0,OR(AUTOEVENTO&lt;&gt;"manual",$M74&lt;&gt;1)),
IF(Import.TipoArredondamento&lt;&gt;"TransfereGOV",
ROUND(OFFSET($P74,0,AG$13),15-13*ORÇAMENTO!$AF$7)/$H74*OFFSET(ORÇAMENTO!$X$15,ROW(AG74)-ROW(AG$15),0),
ROUND(ROUND(OFFSET($P74,0,AG$13),15-13*ORÇAMENTO!$AF$7)*OFFSET(ORÇAMENTO!$W$15,ROW(AG74)-ROW(AG$15),0),15-13*ORÇAMENTO!$AF$11)),0)</f>
        <v>0</v>
      </c>
      <c r="AH74" s="545">
        <f ca="1">IF(AND($D74="Serviço",AH$12&lt;&gt;0,$H74&gt;0,OR(AUTOEVENTO&lt;&gt;"manual",$M74&lt;&gt;1)),
IF(Import.TipoArredondamento&lt;&gt;"TransfereGOV",
ROUND(OFFSET($P74,0,AH$13),15-13*ORÇAMENTO!$AF$7)/$H74*OFFSET(ORÇAMENTO!$X$15,ROW(AH74)-ROW(AH$15),0),
ROUND(ROUND(OFFSET($P74,0,AH$13),15-13*ORÇAMENTO!$AF$7)*OFFSET(ORÇAMENTO!$W$15,ROW(AH74)-ROW(AH$15),0),15-13*ORÇAMENTO!$AF$11)),0)</f>
        <v>0</v>
      </c>
      <c r="AI74" s="545">
        <f ca="1">IF(AND($D74="Serviço",AI$12&lt;&gt;0,$H74&gt;0,OR(AUTOEVENTO&lt;&gt;"manual",$M74&lt;&gt;1)),
IF(Import.TipoArredondamento&lt;&gt;"TransfereGOV",
ROUND(OFFSET($P74,0,AI$13),15-13*ORÇAMENTO!$AF$7)/$H74*OFFSET(ORÇAMENTO!$X$15,ROW(AI74)-ROW(AI$15),0),
ROUND(ROUND(OFFSET($P74,0,AI$13),15-13*ORÇAMENTO!$AF$7)*OFFSET(ORÇAMENTO!$W$15,ROW(AI74)-ROW(AI$15),0),15-13*ORÇAMENTO!$AF$11)),0)</f>
        <v>0</v>
      </c>
      <c r="AJ74" s="545">
        <f ca="1">IF(AND($D74="Serviço",AJ$12&lt;&gt;0,$H74&gt;0,OR(AUTOEVENTO&lt;&gt;"manual",$M74&lt;&gt;1)),
IF(Import.TipoArredondamento&lt;&gt;"TransfereGOV",
ROUND(OFFSET($P74,0,AJ$13),15-13*ORÇAMENTO!$AF$7)/$H74*OFFSET(ORÇAMENTO!$X$15,ROW(AJ74)-ROW(AJ$15),0),
ROUND(ROUND(OFFSET($P74,0,AJ$13),15-13*ORÇAMENTO!$AF$7)*OFFSET(ORÇAMENTO!$W$15,ROW(AJ74)-ROW(AJ$15),0),15-13*ORÇAMENTO!$AF$11)),0)</f>
        <v>0</v>
      </c>
      <c r="AK74" s="546">
        <f ca="1">IF(AND($D74="Serviço",AK$12&lt;&gt;0,$H74&gt;0,OR(AUTOEVENTO&lt;&gt;"manual",$M74&lt;&gt;1)),
IF(Import.TipoArredondamento&lt;&gt;"TransfereGOV",
ROUND(OFFSET($P74,0,AK$13),15-13*ORÇAMENTO!$AF$7)/$H74*OFFSET(ORÇAMENTO!$X$15,ROW(AK74)-ROW(AK$15),0),
ROUND(ROUND(OFFSET($P74,0,AK$13),15-13*ORÇAMENTO!$AF$7)*OFFSET(ORÇAMENTO!$W$15,ROW(AK74)-ROW(AK$15),0),15-13*ORÇAMENTO!$AF$11)),0)</f>
        <v>0</v>
      </c>
      <c r="AM74" s="181">
        <f ca="1">IF($D74&lt;&gt;"Serviço",0,IF(AND(AUTOEVENTO="Manual",$M74=1),0,IF(OFFSET(CRONOPLE!$F$14,$M74,AM$13)="",10^12,OFFSET(CRONOPLE!$F$14,$M74,AM$13))))</f>
        <v>1000000000000</v>
      </c>
      <c r="AN74" s="181">
        <f ca="1">IF($D74&lt;&gt;"Serviço",0,IF(AND(AUTOEVENTO="Manual",$M74=1),0,IF(OFFSET(CRONOPLE!$F$14,$M74,AN$13)="",10^12,OFFSET(CRONOPLE!$F$14,$M74,AN$13))))</f>
        <v>1000000000000</v>
      </c>
      <c r="AO74" s="181">
        <f ca="1">IF($D74&lt;&gt;"Serviço",0,IF(AND(AUTOEVENTO="Manual",$M74=1),0,IF(OFFSET(CRONOPLE!$F$14,$M74,AO$13)="",10^12,OFFSET(CRONOPLE!$F$14,$M74,AO$13))))</f>
        <v>1000000000000</v>
      </c>
      <c r="AP74" s="181">
        <f ca="1">IF($D74&lt;&gt;"Serviço",0,IF(AND(AUTOEVENTO="Manual",$M74=1),0,IF(OFFSET(CRONOPLE!$F$14,$M74,AP$13)="",10^12,OFFSET(CRONOPLE!$F$14,$M74,AP$13))))</f>
        <v>1000000000000</v>
      </c>
      <c r="AQ74" s="181">
        <f ca="1">IF($D74&lt;&gt;"Serviço",0,IF(AND(AUTOEVENTO="Manual",$M74=1),0,IF(OFFSET(CRONOPLE!$F$14,$M74,AQ$13)="",10^12,OFFSET(CRONOPLE!$F$14,$M74,AQ$13))))</f>
        <v>1000000000000</v>
      </c>
      <c r="AR74" s="181">
        <f ca="1">IF($D74&lt;&gt;"Serviço",0,IF(AND(AUTOEVENTO="Manual",$M74=1),0,IF(OFFSET(CRONOPLE!$F$14,$M74,AR$13)="",10^12,OFFSET(CRONOPLE!$F$14,$M74,AR$13))))</f>
        <v>1000000000000</v>
      </c>
      <c r="AS74" s="181">
        <f ca="1">IF($D74&lt;&gt;"Serviço",0,IF(AND(AUTOEVENTO="Manual",$M74=1),0,IF(OFFSET(CRONOPLE!$F$14,$M74,AS$13)="",10^12,OFFSET(CRONOPLE!$F$14,$M74,AS$13))))</f>
        <v>1000000000000</v>
      </c>
      <c r="AT74" s="181">
        <f ca="1">IF($D74&lt;&gt;"Serviço",0,IF(AND(AUTOEVENTO="Manual",$M74=1),0,IF(OFFSET(CRONOPLE!$F$14,$M74,AT$13)="",10^12,OFFSET(CRONOPLE!$F$14,$M74,AT$13))))</f>
        <v>1000000000000</v>
      </c>
      <c r="AU74" s="181">
        <f ca="1">IF($D74&lt;&gt;"Serviço",0,IF(AND(AUTOEVENTO="Manual",$M74=1),0,IF(OFFSET(CRONOPLE!$F$14,$M74,AU$13)="",10^12,OFFSET(CRONOPLE!$F$14,$M74,AU$13))))</f>
        <v>1000000000000</v>
      </c>
      <c r="AV74" s="181">
        <f ca="1">IF($D74&lt;&gt;"Serviço",0,IF(AND(AUTOEVENTO="Manual",$M74=1),0,IF(OFFSET(CRONOPLE!$F$14,$M74,AV$13)="",10^12,OFFSET(CRONOPLE!$F$14,$M74,AV$13))))</f>
        <v>1000000000000</v>
      </c>
      <c r="AX74" s="182">
        <f ca="1">IF($D74&lt;&gt;"Serviço",0,IF(OR(AND(AUTOEVENTO="Manual",$M74=1),$M74&gt;(ROW(PLE.lastrow)-ROW(PLE.firstrow))),0,IF(OFFSET(PLE!$G$14,$M74,AX$13)="",10^12,OFFSET(PLE!$G$14,$M74,AX$13))))</f>
        <v>1000000000000</v>
      </c>
      <c r="AY74" s="182">
        <f ca="1">IF($D74&lt;&gt;"Serviço",0,IF(OR(AND(AUTOEVENTO="Manual",$M74=1),$M74&gt;(ROW(PLE.lastrow)-ROW(PLE.firstrow))),0,IF(OFFSET(PLE!$G$14,$M74,AY$13)="",10^12,OFFSET(PLE!$G$14,$M74,AY$13))))</f>
        <v>1000000000000</v>
      </c>
      <c r="AZ74" s="182">
        <f ca="1">IF($D74&lt;&gt;"Serviço",0,IF(OR(AND(AUTOEVENTO="Manual",$M74=1),$M74&gt;(ROW(PLE.lastrow)-ROW(PLE.firstrow))),0,IF(OFFSET(PLE!$G$14,$M74,AZ$13)="",10^12,OFFSET(PLE!$G$14,$M74,AZ$13))))</f>
        <v>1000000000000</v>
      </c>
      <c r="BA74" s="182">
        <f ca="1">IF($D74&lt;&gt;"Serviço",0,IF(OR(AND(AUTOEVENTO="Manual",$M74=1),$M74&gt;(ROW(PLE.lastrow)-ROW(PLE.firstrow))),0,IF(OFFSET(PLE!$G$14,$M74,BA$13)="",10^12,OFFSET(PLE!$G$14,$M74,BA$13))))</f>
        <v>1000000000000</v>
      </c>
      <c r="BB74" s="182">
        <f ca="1">IF($D74&lt;&gt;"Serviço",0,IF(OR(AND(AUTOEVENTO="Manual",$M74=1),$M74&gt;(ROW(PLE.lastrow)-ROW(PLE.firstrow))),0,IF(OFFSET(PLE!$G$14,$M74,BB$13)="",10^12,OFFSET(PLE!$G$14,$M74,BB$13))))</f>
        <v>1000000000000</v>
      </c>
      <c r="BC74" s="182">
        <f ca="1">IF($D74&lt;&gt;"Serviço",0,IF(OR(AND(AUTOEVENTO="Manual",$M74=1),$M74&gt;(ROW(PLE.lastrow)-ROW(PLE.firstrow))),0,IF(OFFSET(PLE!$G$14,$M74,BC$13)="",10^12,OFFSET(PLE!$G$14,$M74,BC$13))))</f>
        <v>1000000000000</v>
      </c>
      <c r="BD74" s="182">
        <f ca="1">IF($D74&lt;&gt;"Serviço",0,IF(OR(AND(AUTOEVENTO="Manual",$M74=1),$M74&gt;(ROW(PLE.lastrow)-ROW(PLE.firstrow))),0,IF(OFFSET(PLE!$G$14,$M74,BD$13)="",10^12,OFFSET(PLE!$G$14,$M74,BD$13))))</f>
        <v>1000000000000</v>
      </c>
      <c r="BE74" s="182">
        <f ca="1">IF($D74&lt;&gt;"Serviço",0,IF(OR(AND(AUTOEVENTO="Manual",$M74=1),$M74&gt;(ROW(PLE.lastrow)-ROW(PLE.firstrow))),0,IF(OFFSET(PLE!$G$14,$M74,BE$13)="",10^12,OFFSET(PLE!$G$14,$M74,BE$13))))</f>
        <v>1000000000000</v>
      </c>
      <c r="BF74" s="182">
        <f ca="1">IF($D74&lt;&gt;"Serviço",0,IF(OR(AND(AUTOEVENTO="Manual",$M74=1),$M74&gt;(ROW(PLE.lastrow)-ROW(PLE.firstrow))),0,IF(OFFSET(PLE!$G$14,$M74,BF$13)="",10^12,OFFSET(PLE!$G$14,$M74,BF$13))))</f>
        <v>1000000000000</v>
      </c>
      <c r="BG74" s="182">
        <f ca="1">IF($D74&lt;&gt;"Serviço",0,IF(OR(AND(AUTOEVENTO="Manual",$M74=1),$M74&gt;(ROW(PLE.lastrow)-ROW(PLE.firstrow))),0,IF(OFFSET(PLE!$G$14,$M74,BG$13)="",10^12,OFFSET(PLE!$G$14,$M74,BG$13))))</f>
        <v>1000000000000</v>
      </c>
    </row>
    <row r="75" spans="1:59" ht="38.25" x14ac:dyDescent="0.2">
      <c r="A75" s="7" t="str">
        <f t="shared" ca="1" si="8"/>
        <v>44</v>
      </c>
      <c r="B75" s="7" t="str">
        <f ca="1">OFFSET(ORÇAMENTO!C$15,ROW(B75)-ROW(B$15),0)</f>
        <v>S</v>
      </c>
      <c r="C75" s="7" t="str">
        <f ca="1">OFFSET(ORÇAMENTO!L$15,ROW(C75)-ROW(C$15),0)</f>
        <v/>
      </c>
      <c r="D75" s="118" t="str">
        <f ca="1">OFFSET(ORÇAMENTO!N$15,ROW(D75)-ROW(D$15),0)</f>
        <v>Serviço</v>
      </c>
      <c r="E75" s="119" t="str">
        <f ca="1">OFFSET(ORÇAMENTO!O$15,ROW(E75)-ROW(E$15),0)</f>
        <v>-</v>
      </c>
      <c r="F75" s="172" t="str">
        <f ca="1">OFFSET(ORÇAMENTO!R$15,ROW(F75)-ROW(F$15),0)</f>
        <v>(abra o arquivo 'Referência 02-2025.xlsm)</v>
      </c>
      <c r="G75" s="173" t="str">
        <f ca="1">IF($D75&lt;&gt;"Serviço","",OFFSET(ORÇAMENTO!S$15,ROW(G75)-ROW(G$15),0))</f>
        <v>-</v>
      </c>
      <c r="H75" s="124">
        <f ca="1">IF($D75&lt;&gt;"Serviço",0,IF(ACOMPANHAMENTO="BM",ROUND(OFFSET(ORÇAMENTO!AJ$15,ROW(H75)-ROW(H$15),0),15-13*ORÇAMENTO!$AF$7),SUMPRODUCT(($Q$12:$AA$12&lt;&gt;"")*ROUND($Q75:$AA75,15-13*ORÇAMENTO!$AF$7))))</f>
        <v>13.26</v>
      </c>
      <c r="I75" s="561" t="s">
        <v>890</v>
      </c>
      <c r="K75" s="174"/>
      <c r="L75" s="175" t="s">
        <v>255</v>
      </c>
      <c r="M75" s="176">
        <f ca="1">IF($D75&lt;&gt;"Serviço","",IF(AUTOEVENTO="manual",$A75,IF(ISERROR(MATCH($A75,$A$15:OFFSET($A75,-1,0),0)),MAX($M$15:OFFSET(M75,-1,0))+1,INDEX($M$15:OFFSET(M75,-1,0),MATCH($A75,$A$15:OFFSET($A75,-1,0),0)))))</f>
        <v>5</v>
      </c>
      <c r="N75" s="177" t="str">
        <f ca="1">IF($D75&lt;&gt;"Serviço","",IF(AUTOEVENTO="Manual",IF($A75=0,"&lt;-- defina o número do agrupador",OFFSET(EVENTOS!$D$14,$A75,0)),OFFSET($F$15,$A75,0)))</f>
        <v>SUPERESTRUTURA</v>
      </c>
      <c r="O75" s="178"/>
      <c r="Q75" s="178"/>
      <c r="R75" s="179"/>
      <c r="S75" s="179"/>
      <c r="T75" s="179"/>
      <c r="U75" s="179"/>
      <c r="V75" s="179"/>
      <c r="W75" s="179"/>
      <c r="X75" s="179"/>
      <c r="Y75" s="179"/>
      <c r="Z75" s="180"/>
      <c r="AB75" s="544">
        <f ca="1">IF(AND($D75="Serviço",AB$12&lt;&gt;0,$H75&gt;0,OR(AUTOEVENTO&lt;&gt;"manual",$M75&lt;&gt;1)),
IF(Import.TipoArredondamento&lt;&gt;"TransfereGOV",
ROUND(OFFSET($P75,0,AB$13),15-13*ORÇAMENTO!$AF$7)/$H75*OFFSET(ORÇAMENTO!$X$15,ROW(AB75)-ROW(AB$15),0),
ROUND(ROUND(OFFSET($P75,0,AB$13),15-13*ORÇAMENTO!$AF$7)*OFFSET(ORÇAMENTO!$W$15,ROW(AB75)-ROW(AB$15),0),15-13*ORÇAMENTO!$AF$11)),0)</f>
        <v>0</v>
      </c>
      <c r="AC75" s="545">
        <f ca="1">IF(AND($D75="Serviço",AC$12&lt;&gt;0,$H75&gt;0,OR(AUTOEVENTO&lt;&gt;"manual",$M75&lt;&gt;1)),
IF(Import.TipoArredondamento&lt;&gt;"TransfereGOV",
ROUND(OFFSET($P75,0,AC$13),15-13*ORÇAMENTO!$AF$7)/$H75*OFFSET(ORÇAMENTO!$X$15,ROW(AC75)-ROW(AC$15),0),
ROUND(ROUND(OFFSET($P75,0,AC$13),15-13*ORÇAMENTO!$AF$7)*OFFSET(ORÇAMENTO!$W$15,ROW(AC75)-ROW(AC$15),0),15-13*ORÇAMENTO!$AF$11)),0)</f>
        <v>0</v>
      </c>
      <c r="AD75" s="545">
        <f ca="1">IF(AND($D75="Serviço",AD$12&lt;&gt;0,$H75&gt;0,OR(AUTOEVENTO&lt;&gt;"manual",$M75&lt;&gt;1)),
IF(Import.TipoArredondamento&lt;&gt;"TransfereGOV",
ROUND(OFFSET($P75,0,AD$13),15-13*ORÇAMENTO!$AF$7)/$H75*OFFSET(ORÇAMENTO!$X$15,ROW(AD75)-ROW(AD$15),0),
ROUND(ROUND(OFFSET($P75,0,AD$13),15-13*ORÇAMENTO!$AF$7)*OFFSET(ORÇAMENTO!$W$15,ROW(AD75)-ROW(AD$15),0),15-13*ORÇAMENTO!$AF$11)),0)</f>
        <v>0</v>
      </c>
      <c r="AE75" s="545">
        <f ca="1">IF(AND($D75="Serviço",AE$12&lt;&gt;0,$H75&gt;0,OR(AUTOEVENTO&lt;&gt;"manual",$M75&lt;&gt;1)),
IF(Import.TipoArredondamento&lt;&gt;"TransfereGOV",
ROUND(OFFSET($P75,0,AE$13),15-13*ORÇAMENTO!$AF$7)/$H75*OFFSET(ORÇAMENTO!$X$15,ROW(AE75)-ROW(AE$15),0),
ROUND(ROUND(OFFSET($P75,0,AE$13),15-13*ORÇAMENTO!$AF$7)*OFFSET(ORÇAMENTO!$W$15,ROW(AE75)-ROW(AE$15),0),15-13*ORÇAMENTO!$AF$11)),0)</f>
        <v>0</v>
      </c>
      <c r="AF75" s="545">
        <f ca="1">IF(AND($D75="Serviço",AF$12&lt;&gt;0,$H75&gt;0,OR(AUTOEVENTO&lt;&gt;"manual",$M75&lt;&gt;1)),
IF(Import.TipoArredondamento&lt;&gt;"TransfereGOV",
ROUND(OFFSET($P75,0,AF$13),15-13*ORÇAMENTO!$AF$7)/$H75*OFFSET(ORÇAMENTO!$X$15,ROW(AF75)-ROW(AF$15),0),
ROUND(ROUND(OFFSET($P75,0,AF$13),15-13*ORÇAMENTO!$AF$7)*OFFSET(ORÇAMENTO!$W$15,ROW(AF75)-ROW(AF$15),0),15-13*ORÇAMENTO!$AF$11)),0)</f>
        <v>0</v>
      </c>
      <c r="AG75" s="545">
        <f ca="1">IF(AND($D75="Serviço",AG$12&lt;&gt;0,$H75&gt;0,OR(AUTOEVENTO&lt;&gt;"manual",$M75&lt;&gt;1)),
IF(Import.TipoArredondamento&lt;&gt;"TransfereGOV",
ROUND(OFFSET($P75,0,AG$13),15-13*ORÇAMENTO!$AF$7)/$H75*OFFSET(ORÇAMENTO!$X$15,ROW(AG75)-ROW(AG$15),0),
ROUND(ROUND(OFFSET($P75,0,AG$13),15-13*ORÇAMENTO!$AF$7)*OFFSET(ORÇAMENTO!$W$15,ROW(AG75)-ROW(AG$15),0),15-13*ORÇAMENTO!$AF$11)),0)</f>
        <v>0</v>
      </c>
      <c r="AH75" s="545">
        <f ca="1">IF(AND($D75="Serviço",AH$12&lt;&gt;0,$H75&gt;0,OR(AUTOEVENTO&lt;&gt;"manual",$M75&lt;&gt;1)),
IF(Import.TipoArredondamento&lt;&gt;"TransfereGOV",
ROUND(OFFSET($P75,0,AH$13),15-13*ORÇAMENTO!$AF$7)/$H75*OFFSET(ORÇAMENTO!$X$15,ROW(AH75)-ROW(AH$15),0),
ROUND(ROUND(OFFSET($P75,0,AH$13),15-13*ORÇAMENTO!$AF$7)*OFFSET(ORÇAMENTO!$W$15,ROW(AH75)-ROW(AH$15),0),15-13*ORÇAMENTO!$AF$11)),0)</f>
        <v>0</v>
      </c>
      <c r="AI75" s="545">
        <f ca="1">IF(AND($D75="Serviço",AI$12&lt;&gt;0,$H75&gt;0,OR(AUTOEVENTO&lt;&gt;"manual",$M75&lt;&gt;1)),
IF(Import.TipoArredondamento&lt;&gt;"TransfereGOV",
ROUND(OFFSET($P75,0,AI$13),15-13*ORÇAMENTO!$AF$7)/$H75*OFFSET(ORÇAMENTO!$X$15,ROW(AI75)-ROW(AI$15),0),
ROUND(ROUND(OFFSET($P75,0,AI$13),15-13*ORÇAMENTO!$AF$7)*OFFSET(ORÇAMENTO!$W$15,ROW(AI75)-ROW(AI$15),0),15-13*ORÇAMENTO!$AF$11)),0)</f>
        <v>0</v>
      </c>
      <c r="AJ75" s="545">
        <f ca="1">IF(AND($D75="Serviço",AJ$12&lt;&gt;0,$H75&gt;0,OR(AUTOEVENTO&lt;&gt;"manual",$M75&lt;&gt;1)),
IF(Import.TipoArredondamento&lt;&gt;"TransfereGOV",
ROUND(OFFSET($P75,0,AJ$13),15-13*ORÇAMENTO!$AF$7)/$H75*OFFSET(ORÇAMENTO!$X$15,ROW(AJ75)-ROW(AJ$15),0),
ROUND(ROUND(OFFSET($P75,0,AJ$13),15-13*ORÇAMENTO!$AF$7)*OFFSET(ORÇAMENTO!$W$15,ROW(AJ75)-ROW(AJ$15),0),15-13*ORÇAMENTO!$AF$11)),0)</f>
        <v>0</v>
      </c>
      <c r="AK75" s="546">
        <f ca="1">IF(AND($D75="Serviço",AK$12&lt;&gt;0,$H75&gt;0,OR(AUTOEVENTO&lt;&gt;"manual",$M75&lt;&gt;1)),
IF(Import.TipoArredondamento&lt;&gt;"TransfereGOV",
ROUND(OFFSET($P75,0,AK$13),15-13*ORÇAMENTO!$AF$7)/$H75*OFFSET(ORÇAMENTO!$X$15,ROW(AK75)-ROW(AK$15),0),
ROUND(ROUND(OFFSET($P75,0,AK$13),15-13*ORÇAMENTO!$AF$7)*OFFSET(ORÇAMENTO!$W$15,ROW(AK75)-ROW(AK$15),0),15-13*ORÇAMENTO!$AF$11)),0)</f>
        <v>0</v>
      </c>
      <c r="AM75" s="181">
        <f ca="1">IF($D75&lt;&gt;"Serviço",0,IF(AND(AUTOEVENTO="Manual",$M75=1),0,IF(OFFSET(CRONOPLE!$F$14,$M75,AM$13)="",10^12,OFFSET(CRONOPLE!$F$14,$M75,AM$13))))</f>
        <v>1000000000000</v>
      </c>
      <c r="AN75" s="181">
        <f ca="1">IF($D75&lt;&gt;"Serviço",0,IF(AND(AUTOEVENTO="Manual",$M75=1),0,IF(OFFSET(CRONOPLE!$F$14,$M75,AN$13)="",10^12,OFFSET(CRONOPLE!$F$14,$M75,AN$13))))</f>
        <v>1000000000000</v>
      </c>
      <c r="AO75" s="181">
        <f ca="1">IF($D75&lt;&gt;"Serviço",0,IF(AND(AUTOEVENTO="Manual",$M75=1),0,IF(OFFSET(CRONOPLE!$F$14,$M75,AO$13)="",10^12,OFFSET(CRONOPLE!$F$14,$M75,AO$13))))</f>
        <v>1000000000000</v>
      </c>
      <c r="AP75" s="181">
        <f ca="1">IF($D75&lt;&gt;"Serviço",0,IF(AND(AUTOEVENTO="Manual",$M75=1),0,IF(OFFSET(CRONOPLE!$F$14,$M75,AP$13)="",10^12,OFFSET(CRONOPLE!$F$14,$M75,AP$13))))</f>
        <v>1000000000000</v>
      </c>
      <c r="AQ75" s="181">
        <f ca="1">IF($D75&lt;&gt;"Serviço",0,IF(AND(AUTOEVENTO="Manual",$M75=1),0,IF(OFFSET(CRONOPLE!$F$14,$M75,AQ$13)="",10^12,OFFSET(CRONOPLE!$F$14,$M75,AQ$13))))</f>
        <v>1000000000000</v>
      </c>
      <c r="AR75" s="181">
        <f ca="1">IF($D75&lt;&gt;"Serviço",0,IF(AND(AUTOEVENTO="Manual",$M75=1),0,IF(OFFSET(CRONOPLE!$F$14,$M75,AR$13)="",10^12,OFFSET(CRONOPLE!$F$14,$M75,AR$13))))</f>
        <v>1000000000000</v>
      </c>
      <c r="AS75" s="181">
        <f ca="1">IF($D75&lt;&gt;"Serviço",0,IF(AND(AUTOEVENTO="Manual",$M75=1),0,IF(OFFSET(CRONOPLE!$F$14,$M75,AS$13)="",10^12,OFFSET(CRONOPLE!$F$14,$M75,AS$13))))</f>
        <v>1000000000000</v>
      </c>
      <c r="AT75" s="181">
        <f ca="1">IF($D75&lt;&gt;"Serviço",0,IF(AND(AUTOEVENTO="Manual",$M75=1),0,IF(OFFSET(CRONOPLE!$F$14,$M75,AT$13)="",10^12,OFFSET(CRONOPLE!$F$14,$M75,AT$13))))</f>
        <v>1000000000000</v>
      </c>
      <c r="AU75" s="181">
        <f ca="1">IF($D75&lt;&gt;"Serviço",0,IF(AND(AUTOEVENTO="Manual",$M75=1),0,IF(OFFSET(CRONOPLE!$F$14,$M75,AU$13)="",10^12,OFFSET(CRONOPLE!$F$14,$M75,AU$13))))</f>
        <v>1000000000000</v>
      </c>
      <c r="AV75" s="181">
        <f ca="1">IF($D75&lt;&gt;"Serviço",0,IF(AND(AUTOEVENTO="Manual",$M75=1),0,IF(OFFSET(CRONOPLE!$F$14,$M75,AV$13)="",10^12,OFFSET(CRONOPLE!$F$14,$M75,AV$13))))</f>
        <v>1000000000000</v>
      </c>
      <c r="AX75" s="182">
        <f ca="1">IF($D75&lt;&gt;"Serviço",0,IF(OR(AND(AUTOEVENTO="Manual",$M75=1),$M75&gt;(ROW(PLE.lastrow)-ROW(PLE.firstrow))),0,IF(OFFSET(PLE!$G$14,$M75,AX$13)="",10^12,OFFSET(PLE!$G$14,$M75,AX$13))))</f>
        <v>1000000000000</v>
      </c>
      <c r="AY75" s="182">
        <f ca="1">IF($D75&lt;&gt;"Serviço",0,IF(OR(AND(AUTOEVENTO="Manual",$M75=1),$M75&gt;(ROW(PLE.lastrow)-ROW(PLE.firstrow))),0,IF(OFFSET(PLE!$G$14,$M75,AY$13)="",10^12,OFFSET(PLE!$G$14,$M75,AY$13))))</f>
        <v>1000000000000</v>
      </c>
      <c r="AZ75" s="182">
        <f ca="1">IF($D75&lt;&gt;"Serviço",0,IF(OR(AND(AUTOEVENTO="Manual",$M75=1),$M75&gt;(ROW(PLE.lastrow)-ROW(PLE.firstrow))),0,IF(OFFSET(PLE!$G$14,$M75,AZ$13)="",10^12,OFFSET(PLE!$G$14,$M75,AZ$13))))</f>
        <v>1000000000000</v>
      </c>
      <c r="BA75" s="182">
        <f ca="1">IF($D75&lt;&gt;"Serviço",0,IF(OR(AND(AUTOEVENTO="Manual",$M75=1),$M75&gt;(ROW(PLE.lastrow)-ROW(PLE.firstrow))),0,IF(OFFSET(PLE!$G$14,$M75,BA$13)="",10^12,OFFSET(PLE!$G$14,$M75,BA$13))))</f>
        <v>1000000000000</v>
      </c>
      <c r="BB75" s="182">
        <f ca="1">IF($D75&lt;&gt;"Serviço",0,IF(OR(AND(AUTOEVENTO="Manual",$M75=1),$M75&gt;(ROW(PLE.lastrow)-ROW(PLE.firstrow))),0,IF(OFFSET(PLE!$G$14,$M75,BB$13)="",10^12,OFFSET(PLE!$G$14,$M75,BB$13))))</f>
        <v>1000000000000</v>
      </c>
      <c r="BC75" s="182">
        <f ca="1">IF($D75&lt;&gt;"Serviço",0,IF(OR(AND(AUTOEVENTO="Manual",$M75=1),$M75&gt;(ROW(PLE.lastrow)-ROW(PLE.firstrow))),0,IF(OFFSET(PLE!$G$14,$M75,BC$13)="",10^12,OFFSET(PLE!$G$14,$M75,BC$13))))</f>
        <v>1000000000000</v>
      </c>
      <c r="BD75" s="182">
        <f ca="1">IF($D75&lt;&gt;"Serviço",0,IF(OR(AND(AUTOEVENTO="Manual",$M75=1),$M75&gt;(ROW(PLE.lastrow)-ROW(PLE.firstrow))),0,IF(OFFSET(PLE!$G$14,$M75,BD$13)="",10^12,OFFSET(PLE!$G$14,$M75,BD$13))))</f>
        <v>1000000000000</v>
      </c>
      <c r="BE75" s="182">
        <f ca="1">IF($D75&lt;&gt;"Serviço",0,IF(OR(AND(AUTOEVENTO="Manual",$M75=1),$M75&gt;(ROW(PLE.lastrow)-ROW(PLE.firstrow))),0,IF(OFFSET(PLE!$G$14,$M75,BE$13)="",10^12,OFFSET(PLE!$G$14,$M75,BE$13))))</f>
        <v>1000000000000</v>
      </c>
      <c r="BF75" s="182">
        <f ca="1">IF($D75&lt;&gt;"Serviço",0,IF(OR(AND(AUTOEVENTO="Manual",$M75=1),$M75&gt;(ROW(PLE.lastrow)-ROW(PLE.firstrow))),0,IF(OFFSET(PLE!$G$14,$M75,BF$13)="",10^12,OFFSET(PLE!$G$14,$M75,BF$13))))</f>
        <v>1000000000000</v>
      </c>
      <c r="BG75" s="182">
        <f ca="1">IF($D75&lt;&gt;"Serviço",0,IF(OR(AND(AUTOEVENTO="Manual",$M75=1),$M75&gt;(ROW(PLE.lastrow)-ROW(PLE.firstrow))),0,IF(OFFSET(PLE!$G$14,$M75,BG$13)="",10^12,OFFSET(PLE!$G$14,$M75,BG$13))))</f>
        <v>1000000000000</v>
      </c>
    </row>
    <row r="76" spans="1:59" ht="38.25" x14ac:dyDescent="0.2">
      <c r="A76" s="7" t="str">
        <f t="shared" ca="1" si="8"/>
        <v>44</v>
      </c>
      <c r="B76" s="7" t="str">
        <f ca="1">OFFSET(ORÇAMENTO!C$15,ROW(B76)-ROW(B$15),0)</f>
        <v>S</v>
      </c>
      <c r="C76" s="7" t="str">
        <f ca="1">OFFSET(ORÇAMENTO!L$15,ROW(C76)-ROW(C$15),0)</f>
        <v/>
      </c>
      <c r="D76" s="118" t="str">
        <f ca="1">OFFSET(ORÇAMENTO!N$15,ROW(D76)-ROW(D$15),0)</f>
        <v>Serviço</v>
      </c>
      <c r="E76" s="119" t="str">
        <f ca="1">OFFSET(ORÇAMENTO!O$15,ROW(E76)-ROW(E$15),0)</f>
        <v>-</v>
      </c>
      <c r="F76" s="172" t="str">
        <f ca="1">OFFSET(ORÇAMENTO!R$15,ROW(F76)-ROW(F$15),0)</f>
        <v>(abra o arquivo 'Referência 02-2025.xlsm)</v>
      </c>
      <c r="G76" s="173" t="str">
        <f ca="1">IF($D76&lt;&gt;"Serviço","",OFFSET(ORÇAMENTO!S$15,ROW(G76)-ROW(G$15),0))</f>
        <v>-</v>
      </c>
      <c r="H76" s="124">
        <f ca="1">IF($D76&lt;&gt;"Serviço",0,IF(ACOMPANHAMENTO="BM",ROUND(OFFSET(ORÇAMENTO!AJ$15,ROW(H76)-ROW(H$15),0),15-13*ORÇAMENTO!$AF$7),SUMPRODUCT(($Q$12:$AA$12&lt;&gt;"")*ROUND($Q76:$AA76,15-13*ORÇAMENTO!$AF$7))))</f>
        <v>803.5</v>
      </c>
      <c r="I76" s="561" t="s">
        <v>890</v>
      </c>
      <c r="K76" s="174"/>
      <c r="L76" s="175" t="s">
        <v>255</v>
      </c>
      <c r="M76" s="176">
        <f ca="1">IF($D76&lt;&gt;"Serviço","",IF(AUTOEVENTO="manual",$A76,IF(ISERROR(MATCH($A76,$A$15:OFFSET($A76,-1,0),0)),MAX($M$15:OFFSET(M76,-1,0))+1,INDEX($M$15:OFFSET(M76,-1,0),MATCH($A76,$A$15:OFFSET($A76,-1,0),0)))))</f>
        <v>5</v>
      </c>
      <c r="N76" s="177" t="str">
        <f ca="1">IF($D76&lt;&gt;"Serviço","",IF(AUTOEVENTO="Manual",IF($A76=0,"&lt;-- defina o número do agrupador",OFFSET(EVENTOS!$D$14,$A76,0)),OFFSET($F$15,$A76,0)))</f>
        <v>SUPERESTRUTURA</v>
      </c>
      <c r="O76" s="178"/>
      <c r="Q76" s="178"/>
      <c r="R76" s="179"/>
      <c r="S76" s="179"/>
      <c r="T76" s="179"/>
      <c r="U76" s="179"/>
      <c r="V76" s="179"/>
      <c r="W76" s="179"/>
      <c r="X76" s="179"/>
      <c r="Y76" s="179"/>
      <c r="Z76" s="180"/>
      <c r="AB76" s="544">
        <f ca="1">IF(AND($D76="Serviço",AB$12&lt;&gt;0,$H76&gt;0,OR(AUTOEVENTO&lt;&gt;"manual",$M76&lt;&gt;1)),
IF(Import.TipoArredondamento&lt;&gt;"TransfereGOV",
ROUND(OFFSET($P76,0,AB$13),15-13*ORÇAMENTO!$AF$7)/$H76*OFFSET(ORÇAMENTO!$X$15,ROW(AB76)-ROW(AB$15),0),
ROUND(ROUND(OFFSET($P76,0,AB$13),15-13*ORÇAMENTO!$AF$7)*OFFSET(ORÇAMENTO!$W$15,ROW(AB76)-ROW(AB$15),0),15-13*ORÇAMENTO!$AF$11)),0)</f>
        <v>0</v>
      </c>
      <c r="AC76" s="545">
        <f ca="1">IF(AND($D76="Serviço",AC$12&lt;&gt;0,$H76&gt;0,OR(AUTOEVENTO&lt;&gt;"manual",$M76&lt;&gt;1)),
IF(Import.TipoArredondamento&lt;&gt;"TransfereGOV",
ROUND(OFFSET($P76,0,AC$13),15-13*ORÇAMENTO!$AF$7)/$H76*OFFSET(ORÇAMENTO!$X$15,ROW(AC76)-ROW(AC$15),0),
ROUND(ROUND(OFFSET($P76,0,AC$13),15-13*ORÇAMENTO!$AF$7)*OFFSET(ORÇAMENTO!$W$15,ROW(AC76)-ROW(AC$15),0),15-13*ORÇAMENTO!$AF$11)),0)</f>
        <v>0</v>
      </c>
      <c r="AD76" s="545">
        <f ca="1">IF(AND($D76="Serviço",AD$12&lt;&gt;0,$H76&gt;0,OR(AUTOEVENTO&lt;&gt;"manual",$M76&lt;&gt;1)),
IF(Import.TipoArredondamento&lt;&gt;"TransfereGOV",
ROUND(OFFSET($P76,0,AD$13),15-13*ORÇAMENTO!$AF$7)/$H76*OFFSET(ORÇAMENTO!$X$15,ROW(AD76)-ROW(AD$15),0),
ROUND(ROUND(OFFSET($P76,0,AD$13),15-13*ORÇAMENTO!$AF$7)*OFFSET(ORÇAMENTO!$W$15,ROW(AD76)-ROW(AD$15),0),15-13*ORÇAMENTO!$AF$11)),0)</f>
        <v>0</v>
      </c>
      <c r="AE76" s="545">
        <f ca="1">IF(AND($D76="Serviço",AE$12&lt;&gt;0,$H76&gt;0,OR(AUTOEVENTO&lt;&gt;"manual",$M76&lt;&gt;1)),
IF(Import.TipoArredondamento&lt;&gt;"TransfereGOV",
ROUND(OFFSET($P76,0,AE$13),15-13*ORÇAMENTO!$AF$7)/$H76*OFFSET(ORÇAMENTO!$X$15,ROW(AE76)-ROW(AE$15),0),
ROUND(ROUND(OFFSET($P76,0,AE$13),15-13*ORÇAMENTO!$AF$7)*OFFSET(ORÇAMENTO!$W$15,ROW(AE76)-ROW(AE$15),0),15-13*ORÇAMENTO!$AF$11)),0)</f>
        <v>0</v>
      </c>
      <c r="AF76" s="545">
        <f ca="1">IF(AND($D76="Serviço",AF$12&lt;&gt;0,$H76&gt;0,OR(AUTOEVENTO&lt;&gt;"manual",$M76&lt;&gt;1)),
IF(Import.TipoArredondamento&lt;&gt;"TransfereGOV",
ROUND(OFFSET($P76,0,AF$13),15-13*ORÇAMENTO!$AF$7)/$H76*OFFSET(ORÇAMENTO!$X$15,ROW(AF76)-ROW(AF$15),0),
ROUND(ROUND(OFFSET($P76,0,AF$13),15-13*ORÇAMENTO!$AF$7)*OFFSET(ORÇAMENTO!$W$15,ROW(AF76)-ROW(AF$15),0),15-13*ORÇAMENTO!$AF$11)),0)</f>
        <v>0</v>
      </c>
      <c r="AG76" s="545">
        <f ca="1">IF(AND($D76="Serviço",AG$12&lt;&gt;0,$H76&gt;0,OR(AUTOEVENTO&lt;&gt;"manual",$M76&lt;&gt;1)),
IF(Import.TipoArredondamento&lt;&gt;"TransfereGOV",
ROUND(OFFSET($P76,0,AG$13),15-13*ORÇAMENTO!$AF$7)/$H76*OFFSET(ORÇAMENTO!$X$15,ROW(AG76)-ROW(AG$15),0),
ROUND(ROUND(OFFSET($P76,0,AG$13),15-13*ORÇAMENTO!$AF$7)*OFFSET(ORÇAMENTO!$W$15,ROW(AG76)-ROW(AG$15),0),15-13*ORÇAMENTO!$AF$11)),0)</f>
        <v>0</v>
      </c>
      <c r="AH76" s="545">
        <f ca="1">IF(AND($D76="Serviço",AH$12&lt;&gt;0,$H76&gt;0,OR(AUTOEVENTO&lt;&gt;"manual",$M76&lt;&gt;1)),
IF(Import.TipoArredondamento&lt;&gt;"TransfereGOV",
ROUND(OFFSET($P76,0,AH$13),15-13*ORÇAMENTO!$AF$7)/$H76*OFFSET(ORÇAMENTO!$X$15,ROW(AH76)-ROW(AH$15),0),
ROUND(ROUND(OFFSET($P76,0,AH$13),15-13*ORÇAMENTO!$AF$7)*OFFSET(ORÇAMENTO!$W$15,ROW(AH76)-ROW(AH$15),0),15-13*ORÇAMENTO!$AF$11)),0)</f>
        <v>0</v>
      </c>
      <c r="AI76" s="545">
        <f ca="1">IF(AND($D76="Serviço",AI$12&lt;&gt;0,$H76&gt;0,OR(AUTOEVENTO&lt;&gt;"manual",$M76&lt;&gt;1)),
IF(Import.TipoArredondamento&lt;&gt;"TransfereGOV",
ROUND(OFFSET($P76,0,AI$13),15-13*ORÇAMENTO!$AF$7)/$H76*OFFSET(ORÇAMENTO!$X$15,ROW(AI76)-ROW(AI$15),0),
ROUND(ROUND(OFFSET($P76,0,AI$13),15-13*ORÇAMENTO!$AF$7)*OFFSET(ORÇAMENTO!$W$15,ROW(AI76)-ROW(AI$15),0),15-13*ORÇAMENTO!$AF$11)),0)</f>
        <v>0</v>
      </c>
      <c r="AJ76" s="545">
        <f ca="1">IF(AND($D76="Serviço",AJ$12&lt;&gt;0,$H76&gt;0,OR(AUTOEVENTO&lt;&gt;"manual",$M76&lt;&gt;1)),
IF(Import.TipoArredondamento&lt;&gt;"TransfereGOV",
ROUND(OFFSET($P76,0,AJ$13),15-13*ORÇAMENTO!$AF$7)/$H76*OFFSET(ORÇAMENTO!$X$15,ROW(AJ76)-ROW(AJ$15),0),
ROUND(ROUND(OFFSET($P76,0,AJ$13),15-13*ORÇAMENTO!$AF$7)*OFFSET(ORÇAMENTO!$W$15,ROW(AJ76)-ROW(AJ$15),0),15-13*ORÇAMENTO!$AF$11)),0)</f>
        <v>0</v>
      </c>
      <c r="AK76" s="546">
        <f ca="1">IF(AND($D76="Serviço",AK$12&lt;&gt;0,$H76&gt;0,OR(AUTOEVENTO&lt;&gt;"manual",$M76&lt;&gt;1)),
IF(Import.TipoArredondamento&lt;&gt;"TransfereGOV",
ROUND(OFFSET($P76,0,AK$13),15-13*ORÇAMENTO!$AF$7)/$H76*OFFSET(ORÇAMENTO!$X$15,ROW(AK76)-ROW(AK$15),0),
ROUND(ROUND(OFFSET($P76,0,AK$13),15-13*ORÇAMENTO!$AF$7)*OFFSET(ORÇAMENTO!$W$15,ROW(AK76)-ROW(AK$15),0),15-13*ORÇAMENTO!$AF$11)),0)</f>
        <v>0</v>
      </c>
      <c r="AM76" s="181">
        <f ca="1">IF($D76&lt;&gt;"Serviço",0,IF(AND(AUTOEVENTO="Manual",$M76=1),0,IF(OFFSET(CRONOPLE!$F$14,$M76,AM$13)="",10^12,OFFSET(CRONOPLE!$F$14,$M76,AM$13))))</f>
        <v>1000000000000</v>
      </c>
      <c r="AN76" s="181">
        <f ca="1">IF($D76&lt;&gt;"Serviço",0,IF(AND(AUTOEVENTO="Manual",$M76=1),0,IF(OFFSET(CRONOPLE!$F$14,$M76,AN$13)="",10^12,OFFSET(CRONOPLE!$F$14,$M76,AN$13))))</f>
        <v>1000000000000</v>
      </c>
      <c r="AO76" s="181">
        <f ca="1">IF($D76&lt;&gt;"Serviço",0,IF(AND(AUTOEVENTO="Manual",$M76=1),0,IF(OFFSET(CRONOPLE!$F$14,$M76,AO$13)="",10^12,OFFSET(CRONOPLE!$F$14,$M76,AO$13))))</f>
        <v>1000000000000</v>
      </c>
      <c r="AP76" s="181">
        <f ca="1">IF($D76&lt;&gt;"Serviço",0,IF(AND(AUTOEVENTO="Manual",$M76=1),0,IF(OFFSET(CRONOPLE!$F$14,$M76,AP$13)="",10^12,OFFSET(CRONOPLE!$F$14,$M76,AP$13))))</f>
        <v>1000000000000</v>
      </c>
      <c r="AQ76" s="181">
        <f ca="1">IF($D76&lt;&gt;"Serviço",0,IF(AND(AUTOEVENTO="Manual",$M76=1),0,IF(OFFSET(CRONOPLE!$F$14,$M76,AQ$13)="",10^12,OFFSET(CRONOPLE!$F$14,$M76,AQ$13))))</f>
        <v>1000000000000</v>
      </c>
      <c r="AR76" s="181">
        <f ca="1">IF($D76&lt;&gt;"Serviço",0,IF(AND(AUTOEVENTO="Manual",$M76=1),0,IF(OFFSET(CRONOPLE!$F$14,$M76,AR$13)="",10^12,OFFSET(CRONOPLE!$F$14,$M76,AR$13))))</f>
        <v>1000000000000</v>
      </c>
      <c r="AS76" s="181">
        <f ca="1">IF($D76&lt;&gt;"Serviço",0,IF(AND(AUTOEVENTO="Manual",$M76=1),0,IF(OFFSET(CRONOPLE!$F$14,$M76,AS$13)="",10^12,OFFSET(CRONOPLE!$F$14,$M76,AS$13))))</f>
        <v>1000000000000</v>
      </c>
      <c r="AT76" s="181">
        <f ca="1">IF($D76&lt;&gt;"Serviço",0,IF(AND(AUTOEVENTO="Manual",$M76=1),0,IF(OFFSET(CRONOPLE!$F$14,$M76,AT$13)="",10^12,OFFSET(CRONOPLE!$F$14,$M76,AT$13))))</f>
        <v>1000000000000</v>
      </c>
      <c r="AU76" s="181">
        <f ca="1">IF($D76&lt;&gt;"Serviço",0,IF(AND(AUTOEVENTO="Manual",$M76=1),0,IF(OFFSET(CRONOPLE!$F$14,$M76,AU$13)="",10^12,OFFSET(CRONOPLE!$F$14,$M76,AU$13))))</f>
        <v>1000000000000</v>
      </c>
      <c r="AV76" s="181">
        <f ca="1">IF($D76&lt;&gt;"Serviço",0,IF(AND(AUTOEVENTO="Manual",$M76=1),0,IF(OFFSET(CRONOPLE!$F$14,$M76,AV$13)="",10^12,OFFSET(CRONOPLE!$F$14,$M76,AV$13))))</f>
        <v>1000000000000</v>
      </c>
      <c r="AX76" s="182">
        <f ca="1">IF($D76&lt;&gt;"Serviço",0,IF(OR(AND(AUTOEVENTO="Manual",$M76=1),$M76&gt;(ROW(PLE.lastrow)-ROW(PLE.firstrow))),0,IF(OFFSET(PLE!$G$14,$M76,AX$13)="",10^12,OFFSET(PLE!$G$14,$M76,AX$13))))</f>
        <v>1000000000000</v>
      </c>
      <c r="AY76" s="182">
        <f ca="1">IF($D76&lt;&gt;"Serviço",0,IF(OR(AND(AUTOEVENTO="Manual",$M76=1),$M76&gt;(ROW(PLE.lastrow)-ROW(PLE.firstrow))),0,IF(OFFSET(PLE!$G$14,$M76,AY$13)="",10^12,OFFSET(PLE!$G$14,$M76,AY$13))))</f>
        <v>1000000000000</v>
      </c>
      <c r="AZ76" s="182">
        <f ca="1">IF($D76&lt;&gt;"Serviço",0,IF(OR(AND(AUTOEVENTO="Manual",$M76=1),$M76&gt;(ROW(PLE.lastrow)-ROW(PLE.firstrow))),0,IF(OFFSET(PLE!$G$14,$M76,AZ$13)="",10^12,OFFSET(PLE!$G$14,$M76,AZ$13))))</f>
        <v>1000000000000</v>
      </c>
      <c r="BA76" s="182">
        <f ca="1">IF($D76&lt;&gt;"Serviço",0,IF(OR(AND(AUTOEVENTO="Manual",$M76=1),$M76&gt;(ROW(PLE.lastrow)-ROW(PLE.firstrow))),0,IF(OFFSET(PLE!$G$14,$M76,BA$13)="",10^12,OFFSET(PLE!$G$14,$M76,BA$13))))</f>
        <v>1000000000000</v>
      </c>
      <c r="BB76" s="182">
        <f ca="1">IF($D76&lt;&gt;"Serviço",0,IF(OR(AND(AUTOEVENTO="Manual",$M76=1),$M76&gt;(ROW(PLE.lastrow)-ROW(PLE.firstrow))),0,IF(OFFSET(PLE!$G$14,$M76,BB$13)="",10^12,OFFSET(PLE!$G$14,$M76,BB$13))))</f>
        <v>1000000000000</v>
      </c>
      <c r="BC76" s="182">
        <f ca="1">IF($D76&lt;&gt;"Serviço",0,IF(OR(AND(AUTOEVENTO="Manual",$M76=1),$M76&gt;(ROW(PLE.lastrow)-ROW(PLE.firstrow))),0,IF(OFFSET(PLE!$G$14,$M76,BC$13)="",10^12,OFFSET(PLE!$G$14,$M76,BC$13))))</f>
        <v>1000000000000</v>
      </c>
      <c r="BD76" s="182">
        <f ca="1">IF($D76&lt;&gt;"Serviço",0,IF(OR(AND(AUTOEVENTO="Manual",$M76=1),$M76&gt;(ROW(PLE.lastrow)-ROW(PLE.firstrow))),0,IF(OFFSET(PLE!$G$14,$M76,BD$13)="",10^12,OFFSET(PLE!$G$14,$M76,BD$13))))</f>
        <v>1000000000000</v>
      </c>
      <c r="BE76" s="182">
        <f ca="1">IF($D76&lt;&gt;"Serviço",0,IF(OR(AND(AUTOEVENTO="Manual",$M76=1),$M76&gt;(ROW(PLE.lastrow)-ROW(PLE.firstrow))),0,IF(OFFSET(PLE!$G$14,$M76,BE$13)="",10^12,OFFSET(PLE!$G$14,$M76,BE$13))))</f>
        <v>1000000000000</v>
      </c>
      <c r="BF76" s="182">
        <f ca="1">IF($D76&lt;&gt;"Serviço",0,IF(OR(AND(AUTOEVENTO="Manual",$M76=1),$M76&gt;(ROW(PLE.lastrow)-ROW(PLE.firstrow))),0,IF(OFFSET(PLE!$G$14,$M76,BF$13)="",10^12,OFFSET(PLE!$G$14,$M76,BF$13))))</f>
        <v>1000000000000</v>
      </c>
      <c r="BG76" s="182">
        <f ca="1">IF($D76&lt;&gt;"Serviço",0,IF(OR(AND(AUTOEVENTO="Manual",$M76=1),$M76&gt;(ROW(PLE.lastrow)-ROW(PLE.firstrow))),0,IF(OFFSET(PLE!$G$14,$M76,BG$13)="",10^12,OFFSET(PLE!$G$14,$M76,BG$13))))</f>
        <v>1000000000000</v>
      </c>
    </row>
    <row r="77" spans="1:59" ht="25.5" x14ac:dyDescent="0.2">
      <c r="A77" s="7" t="str">
        <f t="shared" ca="1" si="8"/>
        <v>44</v>
      </c>
      <c r="B77" s="7" t="str">
        <f ca="1">OFFSET(ORÇAMENTO!C$15,ROW(B77)-ROW(B$15),0)</f>
        <v>S</v>
      </c>
      <c r="C77" s="7" t="str">
        <f ca="1">OFFSET(ORÇAMENTO!L$15,ROW(C77)-ROW(C$15),0)</f>
        <v/>
      </c>
      <c r="D77" s="118" t="str">
        <f ca="1">OFFSET(ORÇAMENTO!N$15,ROW(D77)-ROW(D$15),0)</f>
        <v>Serviço</v>
      </c>
      <c r="E77" s="119" t="str">
        <f ca="1">OFFSET(ORÇAMENTO!O$15,ROW(E77)-ROW(E$15),0)</f>
        <v>-</v>
      </c>
      <c r="F77" s="172" t="str">
        <f ca="1">OFFSET(ORÇAMENTO!R$15,ROW(F77)-ROW(F$15),0)</f>
        <v>(abra o arquivo 'Referência 02-2025.xlsm)</v>
      </c>
      <c r="G77" s="173" t="str">
        <f ca="1">IF($D77&lt;&gt;"Serviço","",OFFSET(ORÇAMENTO!S$15,ROW(G77)-ROW(G$15),0))</f>
        <v>-</v>
      </c>
      <c r="H77" s="124">
        <f ca="1">IF($D77&lt;&gt;"Serviço",0,IF(ACOMPANHAMENTO="BM",ROUND(OFFSET(ORÇAMENTO!AJ$15,ROW(H77)-ROW(H$15),0),15-13*ORÇAMENTO!$AF$7),SUMPRODUCT(($Q$12:$AA$12&lt;&gt;"")*ROUND($Q77:$AA77,15-13*ORÇAMENTO!$AF$7))))</f>
        <v>29.2</v>
      </c>
      <c r="I77" s="561" t="s">
        <v>890</v>
      </c>
      <c r="K77" s="174"/>
      <c r="L77" s="175" t="s">
        <v>255</v>
      </c>
      <c r="M77" s="176">
        <f ca="1">IF($D77&lt;&gt;"Serviço","",IF(AUTOEVENTO="manual",$A77,IF(ISERROR(MATCH($A77,$A$15:OFFSET($A77,-1,0),0)),MAX($M$15:OFFSET(M77,-1,0))+1,INDEX($M$15:OFFSET(M77,-1,0),MATCH($A77,$A$15:OFFSET($A77,-1,0),0)))))</f>
        <v>5</v>
      </c>
      <c r="N77" s="177" t="str">
        <f ca="1">IF($D77&lt;&gt;"Serviço","",IF(AUTOEVENTO="Manual",IF($A77=0,"&lt;-- defina o número do agrupador",OFFSET(EVENTOS!$D$14,$A77,0)),OFFSET($F$15,$A77,0)))</f>
        <v>SUPERESTRUTURA</v>
      </c>
      <c r="O77" s="178"/>
      <c r="Q77" s="178"/>
      <c r="R77" s="179"/>
      <c r="S77" s="179"/>
      <c r="T77" s="179"/>
      <c r="U77" s="179"/>
      <c r="V77" s="179"/>
      <c r="W77" s="179"/>
      <c r="X77" s="179"/>
      <c r="Y77" s="179"/>
      <c r="Z77" s="180"/>
      <c r="AB77" s="544">
        <f ca="1">IF(AND($D77="Serviço",AB$12&lt;&gt;0,$H77&gt;0,OR(AUTOEVENTO&lt;&gt;"manual",$M77&lt;&gt;1)),
IF(Import.TipoArredondamento&lt;&gt;"TransfereGOV",
ROUND(OFFSET($P77,0,AB$13),15-13*ORÇAMENTO!$AF$7)/$H77*OFFSET(ORÇAMENTO!$X$15,ROW(AB77)-ROW(AB$15),0),
ROUND(ROUND(OFFSET($P77,0,AB$13),15-13*ORÇAMENTO!$AF$7)*OFFSET(ORÇAMENTO!$W$15,ROW(AB77)-ROW(AB$15),0),15-13*ORÇAMENTO!$AF$11)),0)</f>
        <v>0</v>
      </c>
      <c r="AC77" s="545">
        <f ca="1">IF(AND($D77="Serviço",AC$12&lt;&gt;0,$H77&gt;0,OR(AUTOEVENTO&lt;&gt;"manual",$M77&lt;&gt;1)),
IF(Import.TipoArredondamento&lt;&gt;"TransfereGOV",
ROUND(OFFSET($P77,0,AC$13),15-13*ORÇAMENTO!$AF$7)/$H77*OFFSET(ORÇAMENTO!$X$15,ROW(AC77)-ROW(AC$15),0),
ROUND(ROUND(OFFSET($P77,0,AC$13),15-13*ORÇAMENTO!$AF$7)*OFFSET(ORÇAMENTO!$W$15,ROW(AC77)-ROW(AC$15),0),15-13*ORÇAMENTO!$AF$11)),0)</f>
        <v>0</v>
      </c>
      <c r="AD77" s="545">
        <f ca="1">IF(AND($D77="Serviço",AD$12&lt;&gt;0,$H77&gt;0,OR(AUTOEVENTO&lt;&gt;"manual",$M77&lt;&gt;1)),
IF(Import.TipoArredondamento&lt;&gt;"TransfereGOV",
ROUND(OFFSET($P77,0,AD$13),15-13*ORÇAMENTO!$AF$7)/$H77*OFFSET(ORÇAMENTO!$X$15,ROW(AD77)-ROW(AD$15),0),
ROUND(ROUND(OFFSET($P77,0,AD$13),15-13*ORÇAMENTO!$AF$7)*OFFSET(ORÇAMENTO!$W$15,ROW(AD77)-ROW(AD$15),0),15-13*ORÇAMENTO!$AF$11)),0)</f>
        <v>0</v>
      </c>
      <c r="AE77" s="545">
        <f ca="1">IF(AND($D77="Serviço",AE$12&lt;&gt;0,$H77&gt;0,OR(AUTOEVENTO&lt;&gt;"manual",$M77&lt;&gt;1)),
IF(Import.TipoArredondamento&lt;&gt;"TransfereGOV",
ROUND(OFFSET($P77,0,AE$13),15-13*ORÇAMENTO!$AF$7)/$H77*OFFSET(ORÇAMENTO!$X$15,ROW(AE77)-ROW(AE$15),0),
ROUND(ROUND(OFFSET($P77,0,AE$13),15-13*ORÇAMENTO!$AF$7)*OFFSET(ORÇAMENTO!$W$15,ROW(AE77)-ROW(AE$15),0),15-13*ORÇAMENTO!$AF$11)),0)</f>
        <v>0</v>
      </c>
      <c r="AF77" s="545">
        <f ca="1">IF(AND($D77="Serviço",AF$12&lt;&gt;0,$H77&gt;0,OR(AUTOEVENTO&lt;&gt;"manual",$M77&lt;&gt;1)),
IF(Import.TipoArredondamento&lt;&gt;"TransfereGOV",
ROUND(OFFSET($P77,0,AF$13),15-13*ORÇAMENTO!$AF$7)/$H77*OFFSET(ORÇAMENTO!$X$15,ROW(AF77)-ROW(AF$15),0),
ROUND(ROUND(OFFSET($P77,0,AF$13),15-13*ORÇAMENTO!$AF$7)*OFFSET(ORÇAMENTO!$W$15,ROW(AF77)-ROW(AF$15),0),15-13*ORÇAMENTO!$AF$11)),0)</f>
        <v>0</v>
      </c>
      <c r="AG77" s="545">
        <f ca="1">IF(AND($D77="Serviço",AG$12&lt;&gt;0,$H77&gt;0,OR(AUTOEVENTO&lt;&gt;"manual",$M77&lt;&gt;1)),
IF(Import.TipoArredondamento&lt;&gt;"TransfereGOV",
ROUND(OFFSET($P77,0,AG$13),15-13*ORÇAMENTO!$AF$7)/$H77*OFFSET(ORÇAMENTO!$X$15,ROW(AG77)-ROW(AG$15),0),
ROUND(ROUND(OFFSET($P77,0,AG$13),15-13*ORÇAMENTO!$AF$7)*OFFSET(ORÇAMENTO!$W$15,ROW(AG77)-ROW(AG$15),0),15-13*ORÇAMENTO!$AF$11)),0)</f>
        <v>0</v>
      </c>
      <c r="AH77" s="545">
        <f ca="1">IF(AND($D77="Serviço",AH$12&lt;&gt;0,$H77&gt;0,OR(AUTOEVENTO&lt;&gt;"manual",$M77&lt;&gt;1)),
IF(Import.TipoArredondamento&lt;&gt;"TransfereGOV",
ROUND(OFFSET($P77,0,AH$13),15-13*ORÇAMENTO!$AF$7)/$H77*OFFSET(ORÇAMENTO!$X$15,ROW(AH77)-ROW(AH$15),0),
ROUND(ROUND(OFFSET($P77,0,AH$13),15-13*ORÇAMENTO!$AF$7)*OFFSET(ORÇAMENTO!$W$15,ROW(AH77)-ROW(AH$15),0),15-13*ORÇAMENTO!$AF$11)),0)</f>
        <v>0</v>
      </c>
      <c r="AI77" s="545">
        <f ca="1">IF(AND($D77="Serviço",AI$12&lt;&gt;0,$H77&gt;0,OR(AUTOEVENTO&lt;&gt;"manual",$M77&lt;&gt;1)),
IF(Import.TipoArredondamento&lt;&gt;"TransfereGOV",
ROUND(OFFSET($P77,0,AI$13),15-13*ORÇAMENTO!$AF$7)/$H77*OFFSET(ORÇAMENTO!$X$15,ROW(AI77)-ROW(AI$15),0),
ROUND(ROUND(OFFSET($P77,0,AI$13),15-13*ORÇAMENTO!$AF$7)*OFFSET(ORÇAMENTO!$W$15,ROW(AI77)-ROW(AI$15),0),15-13*ORÇAMENTO!$AF$11)),0)</f>
        <v>0</v>
      </c>
      <c r="AJ77" s="545">
        <f ca="1">IF(AND($D77="Serviço",AJ$12&lt;&gt;0,$H77&gt;0,OR(AUTOEVENTO&lt;&gt;"manual",$M77&lt;&gt;1)),
IF(Import.TipoArredondamento&lt;&gt;"TransfereGOV",
ROUND(OFFSET($P77,0,AJ$13),15-13*ORÇAMENTO!$AF$7)/$H77*OFFSET(ORÇAMENTO!$X$15,ROW(AJ77)-ROW(AJ$15),0),
ROUND(ROUND(OFFSET($P77,0,AJ$13),15-13*ORÇAMENTO!$AF$7)*OFFSET(ORÇAMENTO!$W$15,ROW(AJ77)-ROW(AJ$15),0),15-13*ORÇAMENTO!$AF$11)),0)</f>
        <v>0</v>
      </c>
      <c r="AK77" s="546">
        <f ca="1">IF(AND($D77="Serviço",AK$12&lt;&gt;0,$H77&gt;0,OR(AUTOEVENTO&lt;&gt;"manual",$M77&lt;&gt;1)),
IF(Import.TipoArredondamento&lt;&gt;"TransfereGOV",
ROUND(OFFSET($P77,0,AK$13),15-13*ORÇAMENTO!$AF$7)/$H77*OFFSET(ORÇAMENTO!$X$15,ROW(AK77)-ROW(AK$15),0),
ROUND(ROUND(OFFSET($P77,0,AK$13),15-13*ORÇAMENTO!$AF$7)*OFFSET(ORÇAMENTO!$W$15,ROW(AK77)-ROW(AK$15),0),15-13*ORÇAMENTO!$AF$11)),0)</f>
        <v>0</v>
      </c>
      <c r="AM77" s="181">
        <f ca="1">IF($D77&lt;&gt;"Serviço",0,IF(AND(AUTOEVENTO="Manual",$M77=1),0,IF(OFFSET(CRONOPLE!$F$14,$M77,AM$13)="",10^12,OFFSET(CRONOPLE!$F$14,$M77,AM$13))))</f>
        <v>1000000000000</v>
      </c>
      <c r="AN77" s="181">
        <f ca="1">IF($D77&lt;&gt;"Serviço",0,IF(AND(AUTOEVENTO="Manual",$M77=1),0,IF(OFFSET(CRONOPLE!$F$14,$M77,AN$13)="",10^12,OFFSET(CRONOPLE!$F$14,$M77,AN$13))))</f>
        <v>1000000000000</v>
      </c>
      <c r="AO77" s="181">
        <f ca="1">IF($D77&lt;&gt;"Serviço",0,IF(AND(AUTOEVENTO="Manual",$M77=1),0,IF(OFFSET(CRONOPLE!$F$14,$M77,AO$13)="",10^12,OFFSET(CRONOPLE!$F$14,$M77,AO$13))))</f>
        <v>1000000000000</v>
      </c>
      <c r="AP77" s="181">
        <f ca="1">IF($D77&lt;&gt;"Serviço",0,IF(AND(AUTOEVENTO="Manual",$M77=1),0,IF(OFFSET(CRONOPLE!$F$14,$M77,AP$13)="",10^12,OFFSET(CRONOPLE!$F$14,$M77,AP$13))))</f>
        <v>1000000000000</v>
      </c>
      <c r="AQ77" s="181">
        <f ca="1">IF($D77&lt;&gt;"Serviço",0,IF(AND(AUTOEVENTO="Manual",$M77=1),0,IF(OFFSET(CRONOPLE!$F$14,$M77,AQ$13)="",10^12,OFFSET(CRONOPLE!$F$14,$M77,AQ$13))))</f>
        <v>1000000000000</v>
      </c>
      <c r="AR77" s="181">
        <f ca="1">IF($D77&lt;&gt;"Serviço",0,IF(AND(AUTOEVENTO="Manual",$M77=1),0,IF(OFFSET(CRONOPLE!$F$14,$M77,AR$13)="",10^12,OFFSET(CRONOPLE!$F$14,$M77,AR$13))))</f>
        <v>1000000000000</v>
      </c>
      <c r="AS77" s="181">
        <f ca="1">IF($D77&lt;&gt;"Serviço",0,IF(AND(AUTOEVENTO="Manual",$M77=1),0,IF(OFFSET(CRONOPLE!$F$14,$M77,AS$13)="",10^12,OFFSET(CRONOPLE!$F$14,$M77,AS$13))))</f>
        <v>1000000000000</v>
      </c>
      <c r="AT77" s="181">
        <f ca="1">IF($D77&lt;&gt;"Serviço",0,IF(AND(AUTOEVENTO="Manual",$M77=1),0,IF(OFFSET(CRONOPLE!$F$14,$M77,AT$13)="",10^12,OFFSET(CRONOPLE!$F$14,$M77,AT$13))))</f>
        <v>1000000000000</v>
      </c>
      <c r="AU77" s="181">
        <f ca="1">IF($D77&lt;&gt;"Serviço",0,IF(AND(AUTOEVENTO="Manual",$M77=1),0,IF(OFFSET(CRONOPLE!$F$14,$M77,AU$13)="",10^12,OFFSET(CRONOPLE!$F$14,$M77,AU$13))))</f>
        <v>1000000000000</v>
      </c>
      <c r="AV77" s="181">
        <f ca="1">IF($D77&lt;&gt;"Serviço",0,IF(AND(AUTOEVENTO="Manual",$M77=1),0,IF(OFFSET(CRONOPLE!$F$14,$M77,AV$13)="",10^12,OFFSET(CRONOPLE!$F$14,$M77,AV$13))))</f>
        <v>1000000000000</v>
      </c>
      <c r="AX77" s="182">
        <f ca="1">IF($D77&lt;&gt;"Serviço",0,IF(OR(AND(AUTOEVENTO="Manual",$M77=1),$M77&gt;(ROW(PLE.lastrow)-ROW(PLE.firstrow))),0,IF(OFFSET(PLE!$G$14,$M77,AX$13)="",10^12,OFFSET(PLE!$G$14,$M77,AX$13))))</f>
        <v>1000000000000</v>
      </c>
      <c r="AY77" s="182">
        <f ca="1">IF($D77&lt;&gt;"Serviço",0,IF(OR(AND(AUTOEVENTO="Manual",$M77=1),$M77&gt;(ROW(PLE.lastrow)-ROW(PLE.firstrow))),0,IF(OFFSET(PLE!$G$14,$M77,AY$13)="",10^12,OFFSET(PLE!$G$14,$M77,AY$13))))</f>
        <v>1000000000000</v>
      </c>
      <c r="AZ77" s="182">
        <f ca="1">IF($D77&lt;&gt;"Serviço",0,IF(OR(AND(AUTOEVENTO="Manual",$M77=1),$M77&gt;(ROW(PLE.lastrow)-ROW(PLE.firstrow))),0,IF(OFFSET(PLE!$G$14,$M77,AZ$13)="",10^12,OFFSET(PLE!$G$14,$M77,AZ$13))))</f>
        <v>1000000000000</v>
      </c>
      <c r="BA77" s="182">
        <f ca="1">IF($D77&lt;&gt;"Serviço",0,IF(OR(AND(AUTOEVENTO="Manual",$M77=1),$M77&gt;(ROW(PLE.lastrow)-ROW(PLE.firstrow))),0,IF(OFFSET(PLE!$G$14,$M77,BA$13)="",10^12,OFFSET(PLE!$G$14,$M77,BA$13))))</f>
        <v>1000000000000</v>
      </c>
      <c r="BB77" s="182">
        <f ca="1">IF($D77&lt;&gt;"Serviço",0,IF(OR(AND(AUTOEVENTO="Manual",$M77=1),$M77&gt;(ROW(PLE.lastrow)-ROW(PLE.firstrow))),0,IF(OFFSET(PLE!$G$14,$M77,BB$13)="",10^12,OFFSET(PLE!$G$14,$M77,BB$13))))</f>
        <v>1000000000000</v>
      </c>
      <c r="BC77" s="182">
        <f ca="1">IF($D77&lt;&gt;"Serviço",0,IF(OR(AND(AUTOEVENTO="Manual",$M77=1),$M77&gt;(ROW(PLE.lastrow)-ROW(PLE.firstrow))),0,IF(OFFSET(PLE!$G$14,$M77,BC$13)="",10^12,OFFSET(PLE!$G$14,$M77,BC$13))))</f>
        <v>1000000000000</v>
      </c>
      <c r="BD77" s="182">
        <f ca="1">IF($D77&lt;&gt;"Serviço",0,IF(OR(AND(AUTOEVENTO="Manual",$M77=1),$M77&gt;(ROW(PLE.lastrow)-ROW(PLE.firstrow))),0,IF(OFFSET(PLE!$G$14,$M77,BD$13)="",10^12,OFFSET(PLE!$G$14,$M77,BD$13))))</f>
        <v>1000000000000</v>
      </c>
      <c r="BE77" s="182">
        <f ca="1">IF($D77&lt;&gt;"Serviço",0,IF(OR(AND(AUTOEVENTO="Manual",$M77=1),$M77&gt;(ROW(PLE.lastrow)-ROW(PLE.firstrow))),0,IF(OFFSET(PLE!$G$14,$M77,BE$13)="",10^12,OFFSET(PLE!$G$14,$M77,BE$13))))</f>
        <v>1000000000000</v>
      </c>
      <c r="BF77" s="182">
        <f ca="1">IF($D77&lt;&gt;"Serviço",0,IF(OR(AND(AUTOEVENTO="Manual",$M77=1),$M77&gt;(ROW(PLE.lastrow)-ROW(PLE.firstrow))),0,IF(OFFSET(PLE!$G$14,$M77,BF$13)="",10^12,OFFSET(PLE!$G$14,$M77,BF$13))))</f>
        <v>1000000000000</v>
      </c>
      <c r="BG77" s="182">
        <f ca="1">IF($D77&lt;&gt;"Serviço",0,IF(OR(AND(AUTOEVENTO="Manual",$M77=1),$M77&gt;(ROW(PLE.lastrow)-ROW(PLE.firstrow))),0,IF(OFFSET(PLE!$G$14,$M77,BG$13)="",10^12,OFFSET(PLE!$G$14,$M77,BG$13))))</f>
        <v>1000000000000</v>
      </c>
    </row>
    <row r="78" spans="1:59" ht="12.75" x14ac:dyDescent="0.2">
      <c r="A78" s="7" t="str">
        <f t="shared" ca="1" si="8"/>
        <v>44</v>
      </c>
      <c r="B78" s="7">
        <f ca="1">OFFSET(ORÇAMENTO!C$15,ROW(B78)-ROW(B$15),0)</f>
        <v>3</v>
      </c>
      <c r="C78" s="7" t="str">
        <f ca="1">OFFSET(ORÇAMENTO!L$15,ROW(C78)-ROW(C$15),0)</f>
        <v>F</v>
      </c>
      <c r="D78" s="118" t="str">
        <f ca="1">OFFSET(ORÇAMENTO!N$15,ROW(D78)-ROW(D$15),0)</f>
        <v>Nível 3</v>
      </c>
      <c r="E78" s="119" t="str">
        <f ca="1">OFFSET(ORÇAMENTO!O$15,ROW(E78)-ROW(E$15),0)</f>
        <v>1.4.3.</v>
      </c>
      <c r="F78" s="172" t="str">
        <f ca="1">OFFSET(ORÇAMENTO!R$15,ROW(F78)-ROW(F$15),0)</f>
        <v>CONCRETO ARMADO PARA VERGAS</v>
      </c>
      <c r="G78" s="173" t="str">
        <f ca="1">IF($D78&lt;&gt;"Serviço","",OFFSET(ORÇAMENTO!S$15,ROW(G78)-ROW(G$15),0))</f>
        <v/>
      </c>
      <c r="H78" s="124">
        <f ca="1">IF($D78&lt;&gt;"Serviço",0,IF(ACOMPANHAMENTO="BM",ROUND(OFFSET(ORÇAMENTO!AJ$15,ROW(H78)-ROW(H$15),0),15-13*ORÇAMENTO!$AF$7),SUMPRODUCT(($Q$12:$AA$12&lt;&gt;"")*ROUND($Q78:$AA78,15-13*ORÇAMENTO!$AF$7))))</f>
        <v>0</v>
      </c>
      <c r="I78" s="561"/>
      <c r="K78" s="174"/>
      <c r="L78" s="175" t="s">
        <v>255</v>
      </c>
      <c r="M78" s="176" t="str">
        <f ca="1">IF($D78&lt;&gt;"Serviço","",IF(AUTOEVENTO="manual",$A78,IF(ISERROR(MATCH($A78,$A$15:OFFSET($A78,-1,0),0)),MAX($M$15:OFFSET(M78,-1,0))+1,INDEX($M$15:OFFSET(M78,-1,0),MATCH($A78,$A$15:OFFSET($A78,-1,0),0)))))</f>
        <v/>
      </c>
      <c r="N78" s="177" t="str">
        <f ca="1">IF($D78&lt;&gt;"Serviço","",IF(AUTOEVENTO="Manual",IF($A78=0,"&lt;-- defina o número do agrupador",OFFSET(EVENTOS!$D$14,$A78,0)),OFFSET($F$15,$A78,0)))</f>
        <v/>
      </c>
      <c r="O78" s="178"/>
      <c r="Q78" s="178"/>
      <c r="R78" s="179"/>
      <c r="S78" s="179"/>
      <c r="T78" s="179"/>
      <c r="U78" s="179"/>
      <c r="V78" s="179"/>
      <c r="W78" s="179"/>
      <c r="X78" s="179"/>
      <c r="Y78" s="179"/>
      <c r="Z78" s="180"/>
      <c r="AB78" s="544">
        <f ca="1">IF(AND($D78="Serviço",AB$12&lt;&gt;0,$H78&gt;0,OR(AUTOEVENTO&lt;&gt;"manual",$M78&lt;&gt;1)),
IF(Import.TipoArredondamento&lt;&gt;"TransfereGOV",
ROUND(OFFSET($P78,0,AB$13),15-13*ORÇAMENTO!$AF$7)/$H78*OFFSET(ORÇAMENTO!$X$15,ROW(AB78)-ROW(AB$15),0),
ROUND(ROUND(OFFSET($P78,0,AB$13),15-13*ORÇAMENTO!$AF$7)*OFFSET(ORÇAMENTO!$W$15,ROW(AB78)-ROW(AB$15),0),15-13*ORÇAMENTO!$AF$11)),0)</f>
        <v>0</v>
      </c>
      <c r="AC78" s="545">
        <f ca="1">IF(AND($D78="Serviço",AC$12&lt;&gt;0,$H78&gt;0,OR(AUTOEVENTO&lt;&gt;"manual",$M78&lt;&gt;1)),
IF(Import.TipoArredondamento&lt;&gt;"TransfereGOV",
ROUND(OFFSET($P78,0,AC$13),15-13*ORÇAMENTO!$AF$7)/$H78*OFFSET(ORÇAMENTO!$X$15,ROW(AC78)-ROW(AC$15),0),
ROUND(ROUND(OFFSET($P78,0,AC$13),15-13*ORÇAMENTO!$AF$7)*OFFSET(ORÇAMENTO!$W$15,ROW(AC78)-ROW(AC$15),0),15-13*ORÇAMENTO!$AF$11)),0)</f>
        <v>0</v>
      </c>
      <c r="AD78" s="545">
        <f ca="1">IF(AND($D78="Serviço",AD$12&lt;&gt;0,$H78&gt;0,OR(AUTOEVENTO&lt;&gt;"manual",$M78&lt;&gt;1)),
IF(Import.TipoArredondamento&lt;&gt;"TransfereGOV",
ROUND(OFFSET($P78,0,AD$13),15-13*ORÇAMENTO!$AF$7)/$H78*OFFSET(ORÇAMENTO!$X$15,ROW(AD78)-ROW(AD$15),0),
ROUND(ROUND(OFFSET($P78,0,AD$13),15-13*ORÇAMENTO!$AF$7)*OFFSET(ORÇAMENTO!$W$15,ROW(AD78)-ROW(AD$15),0),15-13*ORÇAMENTO!$AF$11)),0)</f>
        <v>0</v>
      </c>
      <c r="AE78" s="545">
        <f ca="1">IF(AND($D78="Serviço",AE$12&lt;&gt;0,$H78&gt;0,OR(AUTOEVENTO&lt;&gt;"manual",$M78&lt;&gt;1)),
IF(Import.TipoArredondamento&lt;&gt;"TransfereGOV",
ROUND(OFFSET($P78,0,AE$13),15-13*ORÇAMENTO!$AF$7)/$H78*OFFSET(ORÇAMENTO!$X$15,ROW(AE78)-ROW(AE$15),0),
ROUND(ROUND(OFFSET($P78,0,AE$13),15-13*ORÇAMENTO!$AF$7)*OFFSET(ORÇAMENTO!$W$15,ROW(AE78)-ROW(AE$15),0),15-13*ORÇAMENTO!$AF$11)),0)</f>
        <v>0</v>
      </c>
      <c r="AF78" s="545">
        <f ca="1">IF(AND($D78="Serviço",AF$12&lt;&gt;0,$H78&gt;0,OR(AUTOEVENTO&lt;&gt;"manual",$M78&lt;&gt;1)),
IF(Import.TipoArredondamento&lt;&gt;"TransfereGOV",
ROUND(OFFSET($P78,0,AF$13),15-13*ORÇAMENTO!$AF$7)/$H78*OFFSET(ORÇAMENTO!$X$15,ROW(AF78)-ROW(AF$15),0),
ROUND(ROUND(OFFSET($P78,0,AF$13),15-13*ORÇAMENTO!$AF$7)*OFFSET(ORÇAMENTO!$W$15,ROW(AF78)-ROW(AF$15),0),15-13*ORÇAMENTO!$AF$11)),0)</f>
        <v>0</v>
      </c>
      <c r="AG78" s="545">
        <f ca="1">IF(AND($D78="Serviço",AG$12&lt;&gt;0,$H78&gt;0,OR(AUTOEVENTO&lt;&gt;"manual",$M78&lt;&gt;1)),
IF(Import.TipoArredondamento&lt;&gt;"TransfereGOV",
ROUND(OFFSET($P78,0,AG$13),15-13*ORÇAMENTO!$AF$7)/$H78*OFFSET(ORÇAMENTO!$X$15,ROW(AG78)-ROW(AG$15),0),
ROUND(ROUND(OFFSET($P78,0,AG$13),15-13*ORÇAMENTO!$AF$7)*OFFSET(ORÇAMENTO!$W$15,ROW(AG78)-ROW(AG$15),0),15-13*ORÇAMENTO!$AF$11)),0)</f>
        <v>0</v>
      </c>
      <c r="AH78" s="545">
        <f ca="1">IF(AND($D78="Serviço",AH$12&lt;&gt;0,$H78&gt;0,OR(AUTOEVENTO&lt;&gt;"manual",$M78&lt;&gt;1)),
IF(Import.TipoArredondamento&lt;&gt;"TransfereGOV",
ROUND(OFFSET($P78,0,AH$13),15-13*ORÇAMENTO!$AF$7)/$H78*OFFSET(ORÇAMENTO!$X$15,ROW(AH78)-ROW(AH$15),0),
ROUND(ROUND(OFFSET($P78,0,AH$13),15-13*ORÇAMENTO!$AF$7)*OFFSET(ORÇAMENTO!$W$15,ROW(AH78)-ROW(AH$15),0),15-13*ORÇAMENTO!$AF$11)),0)</f>
        <v>0</v>
      </c>
      <c r="AI78" s="545">
        <f ca="1">IF(AND($D78="Serviço",AI$12&lt;&gt;0,$H78&gt;0,OR(AUTOEVENTO&lt;&gt;"manual",$M78&lt;&gt;1)),
IF(Import.TipoArredondamento&lt;&gt;"TransfereGOV",
ROUND(OFFSET($P78,0,AI$13),15-13*ORÇAMENTO!$AF$7)/$H78*OFFSET(ORÇAMENTO!$X$15,ROW(AI78)-ROW(AI$15),0),
ROUND(ROUND(OFFSET($P78,0,AI$13),15-13*ORÇAMENTO!$AF$7)*OFFSET(ORÇAMENTO!$W$15,ROW(AI78)-ROW(AI$15),0),15-13*ORÇAMENTO!$AF$11)),0)</f>
        <v>0</v>
      </c>
      <c r="AJ78" s="545">
        <f ca="1">IF(AND($D78="Serviço",AJ$12&lt;&gt;0,$H78&gt;0,OR(AUTOEVENTO&lt;&gt;"manual",$M78&lt;&gt;1)),
IF(Import.TipoArredondamento&lt;&gt;"TransfereGOV",
ROUND(OFFSET($P78,0,AJ$13),15-13*ORÇAMENTO!$AF$7)/$H78*OFFSET(ORÇAMENTO!$X$15,ROW(AJ78)-ROW(AJ$15),0),
ROUND(ROUND(OFFSET($P78,0,AJ$13),15-13*ORÇAMENTO!$AF$7)*OFFSET(ORÇAMENTO!$W$15,ROW(AJ78)-ROW(AJ$15),0),15-13*ORÇAMENTO!$AF$11)),0)</f>
        <v>0</v>
      </c>
      <c r="AK78" s="546">
        <f ca="1">IF(AND($D78="Serviço",AK$12&lt;&gt;0,$H78&gt;0,OR(AUTOEVENTO&lt;&gt;"manual",$M78&lt;&gt;1)),
IF(Import.TipoArredondamento&lt;&gt;"TransfereGOV",
ROUND(OFFSET($P78,0,AK$13),15-13*ORÇAMENTO!$AF$7)/$H78*OFFSET(ORÇAMENTO!$X$15,ROW(AK78)-ROW(AK$15),0),
ROUND(ROUND(OFFSET($P78,0,AK$13),15-13*ORÇAMENTO!$AF$7)*OFFSET(ORÇAMENTO!$W$15,ROW(AK78)-ROW(AK$15),0),15-13*ORÇAMENTO!$AF$11)),0)</f>
        <v>0</v>
      </c>
      <c r="AM78" s="181">
        <f ca="1">IF($D78&lt;&gt;"Serviço",0,IF(AND(AUTOEVENTO="Manual",$M78=1),0,IF(OFFSET(CRONOPLE!$F$14,$M78,AM$13)="",10^12,OFFSET(CRONOPLE!$F$14,$M78,AM$13))))</f>
        <v>0</v>
      </c>
      <c r="AN78" s="181">
        <f ca="1">IF($D78&lt;&gt;"Serviço",0,IF(AND(AUTOEVENTO="Manual",$M78=1),0,IF(OFFSET(CRONOPLE!$F$14,$M78,AN$13)="",10^12,OFFSET(CRONOPLE!$F$14,$M78,AN$13))))</f>
        <v>0</v>
      </c>
      <c r="AO78" s="181">
        <f ca="1">IF($D78&lt;&gt;"Serviço",0,IF(AND(AUTOEVENTO="Manual",$M78=1),0,IF(OFFSET(CRONOPLE!$F$14,$M78,AO$13)="",10^12,OFFSET(CRONOPLE!$F$14,$M78,AO$13))))</f>
        <v>0</v>
      </c>
      <c r="AP78" s="181">
        <f ca="1">IF($D78&lt;&gt;"Serviço",0,IF(AND(AUTOEVENTO="Manual",$M78=1),0,IF(OFFSET(CRONOPLE!$F$14,$M78,AP$13)="",10^12,OFFSET(CRONOPLE!$F$14,$M78,AP$13))))</f>
        <v>0</v>
      </c>
      <c r="AQ78" s="181">
        <f ca="1">IF($D78&lt;&gt;"Serviço",0,IF(AND(AUTOEVENTO="Manual",$M78=1),0,IF(OFFSET(CRONOPLE!$F$14,$M78,AQ$13)="",10^12,OFFSET(CRONOPLE!$F$14,$M78,AQ$13))))</f>
        <v>0</v>
      </c>
      <c r="AR78" s="181">
        <f ca="1">IF($D78&lt;&gt;"Serviço",0,IF(AND(AUTOEVENTO="Manual",$M78=1),0,IF(OFFSET(CRONOPLE!$F$14,$M78,AR$13)="",10^12,OFFSET(CRONOPLE!$F$14,$M78,AR$13))))</f>
        <v>0</v>
      </c>
      <c r="AS78" s="181">
        <f ca="1">IF($D78&lt;&gt;"Serviço",0,IF(AND(AUTOEVENTO="Manual",$M78=1),0,IF(OFFSET(CRONOPLE!$F$14,$M78,AS$13)="",10^12,OFFSET(CRONOPLE!$F$14,$M78,AS$13))))</f>
        <v>0</v>
      </c>
      <c r="AT78" s="181">
        <f ca="1">IF($D78&lt;&gt;"Serviço",0,IF(AND(AUTOEVENTO="Manual",$M78=1),0,IF(OFFSET(CRONOPLE!$F$14,$M78,AT$13)="",10^12,OFFSET(CRONOPLE!$F$14,$M78,AT$13))))</f>
        <v>0</v>
      </c>
      <c r="AU78" s="181">
        <f ca="1">IF($D78&lt;&gt;"Serviço",0,IF(AND(AUTOEVENTO="Manual",$M78=1),0,IF(OFFSET(CRONOPLE!$F$14,$M78,AU$13)="",10^12,OFFSET(CRONOPLE!$F$14,$M78,AU$13))))</f>
        <v>0</v>
      </c>
      <c r="AV78" s="181">
        <f ca="1">IF($D78&lt;&gt;"Serviço",0,IF(AND(AUTOEVENTO="Manual",$M78=1),0,IF(OFFSET(CRONOPLE!$F$14,$M78,AV$13)="",10^12,OFFSET(CRONOPLE!$F$14,$M78,AV$13))))</f>
        <v>0</v>
      </c>
      <c r="AX78" s="182">
        <f ca="1">IF($D78&lt;&gt;"Serviço",0,IF(OR(AND(AUTOEVENTO="Manual",$M78=1),$M78&gt;(ROW(PLE.lastrow)-ROW(PLE.firstrow))),0,IF(OFFSET(PLE!$G$14,$M78,AX$13)="",10^12,OFFSET(PLE!$G$14,$M78,AX$13))))</f>
        <v>0</v>
      </c>
      <c r="AY78" s="182">
        <f ca="1">IF($D78&lt;&gt;"Serviço",0,IF(OR(AND(AUTOEVENTO="Manual",$M78=1),$M78&gt;(ROW(PLE.lastrow)-ROW(PLE.firstrow))),0,IF(OFFSET(PLE!$G$14,$M78,AY$13)="",10^12,OFFSET(PLE!$G$14,$M78,AY$13))))</f>
        <v>0</v>
      </c>
      <c r="AZ78" s="182">
        <f ca="1">IF($D78&lt;&gt;"Serviço",0,IF(OR(AND(AUTOEVENTO="Manual",$M78=1),$M78&gt;(ROW(PLE.lastrow)-ROW(PLE.firstrow))),0,IF(OFFSET(PLE!$G$14,$M78,AZ$13)="",10^12,OFFSET(PLE!$G$14,$M78,AZ$13))))</f>
        <v>0</v>
      </c>
      <c r="BA78" s="182">
        <f ca="1">IF($D78&lt;&gt;"Serviço",0,IF(OR(AND(AUTOEVENTO="Manual",$M78=1),$M78&gt;(ROW(PLE.lastrow)-ROW(PLE.firstrow))),0,IF(OFFSET(PLE!$G$14,$M78,BA$13)="",10^12,OFFSET(PLE!$G$14,$M78,BA$13))))</f>
        <v>0</v>
      </c>
      <c r="BB78" s="182">
        <f ca="1">IF($D78&lt;&gt;"Serviço",0,IF(OR(AND(AUTOEVENTO="Manual",$M78=1),$M78&gt;(ROW(PLE.lastrow)-ROW(PLE.firstrow))),0,IF(OFFSET(PLE!$G$14,$M78,BB$13)="",10^12,OFFSET(PLE!$G$14,$M78,BB$13))))</f>
        <v>0</v>
      </c>
      <c r="BC78" s="182">
        <f ca="1">IF($D78&lt;&gt;"Serviço",0,IF(OR(AND(AUTOEVENTO="Manual",$M78=1),$M78&gt;(ROW(PLE.lastrow)-ROW(PLE.firstrow))),0,IF(OFFSET(PLE!$G$14,$M78,BC$13)="",10^12,OFFSET(PLE!$G$14,$M78,BC$13))))</f>
        <v>0</v>
      </c>
      <c r="BD78" s="182">
        <f ca="1">IF($D78&lt;&gt;"Serviço",0,IF(OR(AND(AUTOEVENTO="Manual",$M78=1),$M78&gt;(ROW(PLE.lastrow)-ROW(PLE.firstrow))),0,IF(OFFSET(PLE!$G$14,$M78,BD$13)="",10^12,OFFSET(PLE!$G$14,$M78,BD$13))))</f>
        <v>0</v>
      </c>
      <c r="BE78" s="182">
        <f ca="1">IF($D78&lt;&gt;"Serviço",0,IF(OR(AND(AUTOEVENTO="Manual",$M78=1),$M78&gt;(ROW(PLE.lastrow)-ROW(PLE.firstrow))),0,IF(OFFSET(PLE!$G$14,$M78,BE$13)="",10^12,OFFSET(PLE!$G$14,$M78,BE$13))))</f>
        <v>0</v>
      </c>
      <c r="BF78" s="182">
        <f ca="1">IF($D78&lt;&gt;"Serviço",0,IF(OR(AND(AUTOEVENTO="Manual",$M78=1),$M78&gt;(ROW(PLE.lastrow)-ROW(PLE.firstrow))),0,IF(OFFSET(PLE!$G$14,$M78,BF$13)="",10^12,OFFSET(PLE!$G$14,$M78,BF$13))))</f>
        <v>0</v>
      </c>
      <c r="BG78" s="182">
        <f ca="1">IF($D78&lt;&gt;"Serviço",0,IF(OR(AND(AUTOEVENTO="Manual",$M78=1),$M78&gt;(ROW(PLE.lastrow)-ROW(PLE.firstrow))),0,IF(OFFSET(PLE!$G$14,$M78,BG$13)="",10^12,OFFSET(PLE!$G$14,$M78,BG$13))))</f>
        <v>0</v>
      </c>
    </row>
    <row r="79" spans="1:59" ht="38.25" x14ac:dyDescent="0.2">
      <c r="A79" s="7" t="str">
        <f t="shared" ca="1" si="8"/>
        <v>44</v>
      </c>
      <c r="B79" s="7" t="str">
        <f ca="1">OFFSET(ORÇAMENTO!C$15,ROW(B79)-ROW(B$15),0)</f>
        <v>S</v>
      </c>
      <c r="C79" s="7" t="str">
        <f ca="1">OFFSET(ORÇAMENTO!L$15,ROW(C79)-ROW(C$15),0)</f>
        <v/>
      </c>
      <c r="D79" s="118" t="str">
        <f ca="1">OFFSET(ORÇAMENTO!N$15,ROW(D79)-ROW(D$15),0)</f>
        <v>Serviço</v>
      </c>
      <c r="E79" s="119" t="str">
        <f ca="1">OFFSET(ORÇAMENTO!O$15,ROW(E79)-ROW(E$15),0)</f>
        <v>-</v>
      </c>
      <c r="F79" s="172" t="str">
        <f ca="1">OFFSET(ORÇAMENTO!R$15,ROW(F79)-ROW(F$15),0)</f>
        <v>(abra o arquivo 'Referência 02-2025.xlsm)</v>
      </c>
      <c r="G79" s="173" t="str">
        <f ca="1">IF($D79&lt;&gt;"Serviço","",OFFSET(ORÇAMENTO!S$15,ROW(G79)-ROW(G$15),0))</f>
        <v>-</v>
      </c>
      <c r="H79" s="124">
        <f ca="1">IF($D79&lt;&gt;"Serviço",0,IF(ACOMPANHAMENTO="BM",ROUND(OFFSET(ORÇAMENTO!AJ$15,ROW(H79)-ROW(H$15),0),15-13*ORÇAMENTO!$AF$7),SUMPRODUCT(($Q$12:$AA$12&lt;&gt;"")*ROUND($Q79:$AA79,15-13*ORÇAMENTO!$AF$7))))</f>
        <v>800.94</v>
      </c>
      <c r="I79" s="561" t="s">
        <v>890</v>
      </c>
      <c r="K79" s="174"/>
      <c r="L79" s="175" t="s">
        <v>255</v>
      </c>
      <c r="M79" s="176">
        <f ca="1">IF($D79&lt;&gt;"Serviço","",IF(AUTOEVENTO="manual",$A79,IF(ISERROR(MATCH($A79,$A$15:OFFSET($A79,-1,0),0)),MAX($M$15:OFFSET(M79,-1,0))+1,INDEX($M$15:OFFSET(M79,-1,0),MATCH($A79,$A$15:OFFSET($A79,-1,0),0)))))</f>
        <v>5</v>
      </c>
      <c r="N79" s="177" t="str">
        <f ca="1">IF($D79&lt;&gt;"Serviço","",IF(AUTOEVENTO="Manual",IF($A79=0,"&lt;-- defina o número do agrupador",OFFSET(EVENTOS!$D$14,$A79,0)),OFFSET($F$15,$A79,0)))</f>
        <v>SUPERESTRUTURA</v>
      </c>
      <c r="O79" s="178"/>
      <c r="Q79" s="178"/>
      <c r="R79" s="179"/>
      <c r="S79" s="179"/>
      <c r="T79" s="179"/>
      <c r="U79" s="179"/>
      <c r="V79" s="179"/>
      <c r="W79" s="179"/>
      <c r="X79" s="179"/>
      <c r="Y79" s="179"/>
      <c r="Z79" s="180"/>
      <c r="AB79" s="544">
        <f ca="1">IF(AND($D79="Serviço",AB$12&lt;&gt;0,$H79&gt;0,OR(AUTOEVENTO&lt;&gt;"manual",$M79&lt;&gt;1)),
IF(Import.TipoArredondamento&lt;&gt;"TransfereGOV",
ROUND(OFFSET($P79,0,AB$13),15-13*ORÇAMENTO!$AF$7)/$H79*OFFSET(ORÇAMENTO!$X$15,ROW(AB79)-ROW(AB$15),0),
ROUND(ROUND(OFFSET($P79,0,AB$13),15-13*ORÇAMENTO!$AF$7)*OFFSET(ORÇAMENTO!$W$15,ROW(AB79)-ROW(AB$15),0),15-13*ORÇAMENTO!$AF$11)),0)</f>
        <v>0</v>
      </c>
      <c r="AC79" s="545">
        <f ca="1">IF(AND($D79="Serviço",AC$12&lt;&gt;0,$H79&gt;0,OR(AUTOEVENTO&lt;&gt;"manual",$M79&lt;&gt;1)),
IF(Import.TipoArredondamento&lt;&gt;"TransfereGOV",
ROUND(OFFSET($P79,0,AC$13),15-13*ORÇAMENTO!$AF$7)/$H79*OFFSET(ORÇAMENTO!$X$15,ROW(AC79)-ROW(AC$15),0),
ROUND(ROUND(OFFSET($P79,0,AC$13),15-13*ORÇAMENTO!$AF$7)*OFFSET(ORÇAMENTO!$W$15,ROW(AC79)-ROW(AC$15),0),15-13*ORÇAMENTO!$AF$11)),0)</f>
        <v>0</v>
      </c>
      <c r="AD79" s="545">
        <f ca="1">IF(AND($D79="Serviço",AD$12&lt;&gt;0,$H79&gt;0,OR(AUTOEVENTO&lt;&gt;"manual",$M79&lt;&gt;1)),
IF(Import.TipoArredondamento&lt;&gt;"TransfereGOV",
ROUND(OFFSET($P79,0,AD$13),15-13*ORÇAMENTO!$AF$7)/$H79*OFFSET(ORÇAMENTO!$X$15,ROW(AD79)-ROW(AD$15),0),
ROUND(ROUND(OFFSET($P79,0,AD$13),15-13*ORÇAMENTO!$AF$7)*OFFSET(ORÇAMENTO!$W$15,ROW(AD79)-ROW(AD$15),0),15-13*ORÇAMENTO!$AF$11)),0)</f>
        <v>0</v>
      </c>
      <c r="AE79" s="545">
        <f ca="1">IF(AND($D79="Serviço",AE$12&lt;&gt;0,$H79&gt;0,OR(AUTOEVENTO&lt;&gt;"manual",$M79&lt;&gt;1)),
IF(Import.TipoArredondamento&lt;&gt;"TransfereGOV",
ROUND(OFFSET($P79,0,AE$13),15-13*ORÇAMENTO!$AF$7)/$H79*OFFSET(ORÇAMENTO!$X$15,ROW(AE79)-ROW(AE$15),0),
ROUND(ROUND(OFFSET($P79,0,AE$13),15-13*ORÇAMENTO!$AF$7)*OFFSET(ORÇAMENTO!$W$15,ROW(AE79)-ROW(AE$15),0),15-13*ORÇAMENTO!$AF$11)),0)</f>
        <v>0</v>
      </c>
      <c r="AF79" s="545">
        <f ca="1">IF(AND($D79="Serviço",AF$12&lt;&gt;0,$H79&gt;0,OR(AUTOEVENTO&lt;&gt;"manual",$M79&lt;&gt;1)),
IF(Import.TipoArredondamento&lt;&gt;"TransfereGOV",
ROUND(OFFSET($P79,0,AF$13),15-13*ORÇAMENTO!$AF$7)/$H79*OFFSET(ORÇAMENTO!$X$15,ROW(AF79)-ROW(AF$15),0),
ROUND(ROUND(OFFSET($P79,0,AF$13),15-13*ORÇAMENTO!$AF$7)*OFFSET(ORÇAMENTO!$W$15,ROW(AF79)-ROW(AF$15),0),15-13*ORÇAMENTO!$AF$11)),0)</f>
        <v>0</v>
      </c>
      <c r="AG79" s="545">
        <f ca="1">IF(AND($D79="Serviço",AG$12&lt;&gt;0,$H79&gt;0,OR(AUTOEVENTO&lt;&gt;"manual",$M79&lt;&gt;1)),
IF(Import.TipoArredondamento&lt;&gt;"TransfereGOV",
ROUND(OFFSET($P79,0,AG$13),15-13*ORÇAMENTO!$AF$7)/$H79*OFFSET(ORÇAMENTO!$X$15,ROW(AG79)-ROW(AG$15),0),
ROUND(ROUND(OFFSET($P79,0,AG$13),15-13*ORÇAMENTO!$AF$7)*OFFSET(ORÇAMENTO!$W$15,ROW(AG79)-ROW(AG$15),0),15-13*ORÇAMENTO!$AF$11)),0)</f>
        <v>0</v>
      </c>
      <c r="AH79" s="545">
        <f ca="1">IF(AND($D79="Serviço",AH$12&lt;&gt;0,$H79&gt;0,OR(AUTOEVENTO&lt;&gt;"manual",$M79&lt;&gt;1)),
IF(Import.TipoArredondamento&lt;&gt;"TransfereGOV",
ROUND(OFFSET($P79,0,AH$13),15-13*ORÇAMENTO!$AF$7)/$H79*OFFSET(ORÇAMENTO!$X$15,ROW(AH79)-ROW(AH$15),0),
ROUND(ROUND(OFFSET($P79,0,AH$13),15-13*ORÇAMENTO!$AF$7)*OFFSET(ORÇAMENTO!$W$15,ROW(AH79)-ROW(AH$15),0),15-13*ORÇAMENTO!$AF$11)),0)</f>
        <v>0</v>
      </c>
      <c r="AI79" s="545">
        <f ca="1">IF(AND($D79="Serviço",AI$12&lt;&gt;0,$H79&gt;0,OR(AUTOEVENTO&lt;&gt;"manual",$M79&lt;&gt;1)),
IF(Import.TipoArredondamento&lt;&gt;"TransfereGOV",
ROUND(OFFSET($P79,0,AI$13),15-13*ORÇAMENTO!$AF$7)/$H79*OFFSET(ORÇAMENTO!$X$15,ROW(AI79)-ROW(AI$15),0),
ROUND(ROUND(OFFSET($P79,0,AI$13),15-13*ORÇAMENTO!$AF$7)*OFFSET(ORÇAMENTO!$W$15,ROW(AI79)-ROW(AI$15),0),15-13*ORÇAMENTO!$AF$11)),0)</f>
        <v>0</v>
      </c>
      <c r="AJ79" s="545">
        <f ca="1">IF(AND($D79="Serviço",AJ$12&lt;&gt;0,$H79&gt;0,OR(AUTOEVENTO&lt;&gt;"manual",$M79&lt;&gt;1)),
IF(Import.TipoArredondamento&lt;&gt;"TransfereGOV",
ROUND(OFFSET($P79,0,AJ$13),15-13*ORÇAMENTO!$AF$7)/$H79*OFFSET(ORÇAMENTO!$X$15,ROW(AJ79)-ROW(AJ$15),0),
ROUND(ROUND(OFFSET($P79,0,AJ$13),15-13*ORÇAMENTO!$AF$7)*OFFSET(ORÇAMENTO!$W$15,ROW(AJ79)-ROW(AJ$15),0),15-13*ORÇAMENTO!$AF$11)),0)</f>
        <v>0</v>
      </c>
      <c r="AK79" s="546">
        <f ca="1">IF(AND($D79="Serviço",AK$12&lt;&gt;0,$H79&gt;0,OR(AUTOEVENTO&lt;&gt;"manual",$M79&lt;&gt;1)),
IF(Import.TipoArredondamento&lt;&gt;"TransfereGOV",
ROUND(OFFSET($P79,0,AK$13),15-13*ORÇAMENTO!$AF$7)/$H79*OFFSET(ORÇAMENTO!$X$15,ROW(AK79)-ROW(AK$15),0),
ROUND(ROUND(OFFSET($P79,0,AK$13),15-13*ORÇAMENTO!$AF$7)*OFFSET(ORÇAMENTO!$W$15,ROW(AK79)-ROW(AK$15),0),15-13*ORÇAMENTO!$AF$11)),0)</f>
        <v>0</v>
      </c>
      <c r="AM79" s="181">
        <f ca="1">IF($D79&lt;&gt;"Serviço",0,IF(AND(AUTOEVENTO="Manual",$M79=1),0,IF(OFFSET(CRONOPLE!$F$14,$M79,AM$13)="",10^12,OFFSET(CRONOPLE!$F$14,$M79,AM$13))))</f>
        <v>1000000000000</v>
      </c>
      <c r="AN79" s="181">
        <f ca="1">IF($D79&lt;&gt;"Serviço",0,IF(AND(AUTOEVENTO="Manual",$M79=1),0,IF(OFFSET(CRONOPLE!$F$14,$M79,AN$13)="",10^12,OFFSET(CRONOPLE!$F$14,$M79,AN$13))))</f>
        <v>1000000000000</v>
      </c>
      <c r="AO79" s="181">
        <f ca="1">IF($D79&lt;&gt;"Serviço",0,IF(AND(AUTOEVENTO="Manual",$M79=1),0,IF(OFFSET(CRONOPLE!$F$14,$M79,AO$13)="",10^12,OFFSET(CRONOPLE!$F$14,$M79,AO$13))))</f>
        <v>1000000000000</v>
      </c>
      <c r="AP79" s="181">
        <f ca="1">IF($D79&lt;&gt;"Serviço",0,IF(AND(AUTOEVENTO="Manual",$M79=1),0,IF(OFFSET(CRONOPLE!$F$14,$M79,AP$13)="",10^12,OFFSET(CRONOPLE!$F$14,$M79,AP$13))))</f>
        <v>1000000000000</v>
      </c>
      <c r="AQ79" s="181">
        <f ca="1">IF($D79&lt;&gt;"Serviço",0,IF(AND(AUTOEVENTO="Manual",$M79=1),0,IF(OFFSET(CRONOPLE!$F$14,$M79,AQ$13)="",10^12,OFFSET(CRONOPLE!$F$14,$M79,AQ$13))))</f>
        <v>1000000000000</v>
      </c>
      <c r="AR79" s="181">
        <f ca="1">IF($D79&lt;&gt;"Serviço",0,IF(AND(AUTOEVENTO="Manual",$M79=1),0,IF(OFFSET(CRONOPLE!$F$14,$M79,AR$13)="",10^12,OFFSET(CRONOPLE!$F$14,$M79,AR$13))))</f>
        <v>1000000000000</v>
      </c>
      <c r="AS79" s="181">
        <f ca="1">IF($D79&lt;&gt;"Serviço",0,IF(AND(AUTOEVENTO="Manual",$M79=1),0,IF(OFFSET(CRONOPLE!$F$14,$M79,AS$13)="",10^12,OFFSET(CRONOPLE!$F$14,$M79,AS$13))))</f>
        <v>1000000000000</v>
      </c>
      <c r="AT79" s="181">
        <f ca="1">IF($D79&lt;&gt;"Serviço",0,IF(AND(AUTOEVENTO="Manual",$M79=1),0,IF(OFFSET(CRONOPLE!$F$14,$M79,AT$13)="",10^12,OFFSET(CRONOPLE!$F$14,$M79,AT$13))))</f>
        <v>1000000000000</v>
      </c>
      <c r="AU79" s="181">
        <f ca="1">IF($D79&lt;&gt;"Serviço",0,IF(AND(AUTOEVENTO="Manual",$M79=1),0,IF(OFFSET(CRONOPLE!$F$14,$M79,AU$13)="",10^12,OFFSET(CRONOPLE!$F$14,$M79,AU$13))))</f>
        <v>1000000000000</v>
      </c>
      <c r="AV79" s="181">
        <f ca="1">IF($D79&lt;&gt;"Serviço",0,IF(AND(AUTOEVENTO="Manual",$M79=1),0,IF(OFFSET(CRONOPLE!$F$14,$M79,AV$13)="",10^12,OFFSET(CRONOPLE!$F$14,$M79,AV$13))))</f>
        <v>1000000000000</v>
      </c>
      <c r="AX79" s="182">
        <f ca="1">IF($D79&lt;&gt;"Serviço",0,IF(OR(AND(AUTOEVENTO="Manual",$M79=1),$M79&gt;(ROW(PLE.lastrow)-ROW(PLE.firstrow))),0,IF(OFFSET(PLE!$G$14,$M79,AX$13)="",10^12,OFFSET(PLE!$G$14,$M79,AX$13))))</f>
        <v>1000000000000</v>
      </c>
      <c r="AY79" s="182">
        <f ca="1">IF($D79&lt;&gt;"Serviço",0,IF(OR(AND(AUTOEVENTO="Manual",$M79=1),$M79&gt;(ROW(PLE.lastrow)-ROW(PLE.firstrow))),0,IF(OFFSET(PLE!$G$14,$M79,AY$13)="",10^12,OFFSET(PLE!$G$14,$M79,AY$13))))</f>
        <v>1000000000000</v>
      </c>
      <c r="AZ79" s="182">
        <f ca="1">IF($D79&lt;&gt;"Serviço",0,IF(OR(AND(AUTOEVENTO="Manual",$M79=1),$M79&gt;(ROW(PLE.lastrow)-ROW(PLE.firstrow))),0,IF(OFFSET(PLE!$G$14,$M79,AZ$13)="",10^12,OFFSET(PLE!$G$14,$M79,AZ$13))))</f>
        <v>1000000000000</v>
      </c>
      <c r="BA79" s="182">
        <f ca="1">IF($D79&lt;&gt;"Serviço",0,IF(OR(AND(AUTOEVENTO="Manual",$M79=1),$M79&gt;(ROW(PLE.lastrow)-ROW(PLE.firstrow))),0,IF(OFFSET(PLE!$G$14,$M79,BA$13)="",10^12,OFFSET(PLE!$G$14,$M79,BA$13))))</f>
        <v>1000000000000</v>
      </c>
      <c r="BB79" s="182">
        <f ca="1">IF($D79&lt;&gt;"Serviço",0,IF(OR(AND(AUTOEVENTO="Manual",$M79=1),$M79&gt;(ROW(PLE.lastrow)-ROW(PLE.firstrow))),0,IF(OFFSET(PLE!$G$14,$M79,BB$13)="",10^12,OFFSET(PLE!$G$14,$M79,BB$13))))</f>
        <v>1000000000000</v>
      </c>
      <c r="BC79" s="182">
        <f ca="1">IF($D79&lt;&gt;"Serviço",0,IF(OR(AND(AUTOEVENTO="Manual",$M79=1),$M79&gt;(ROW(PLE.lastrow)-ROW(PLE.firstrow))),0,IF(OFFSET(PLE!$G$14,$M79,BC$13)="",10^12,OFFSET(PLE!$G$14,$M79,BC$13))))</f>
        <v>1000000000000</v>
      </c>
      <c r="BD79" s="182">
        <f ca="1">IF($D79&lt;&gt;"Serviço",0,IF(OR(AND(AUTOEVENTO="Manual",$M79=1),$M79&gt;(ROW(PLE.lastrow)-ROW(PLE.firstrow))),0,IF(OFFSET(PLE!$G$14,$M79,BD$13)="",10^12,OFFSET(PLE!$G$14,$M79,BD$13))))</f>
        <v>1000000000000</v>
      </c>
      <c r="BE79" s="182">
        <f ca="1">IF($D79&lt;&gt;"Serviço",0,IF(OR(AND(AUTOEVENTO="Manual",$M79=1),$M79&gt;(ROW(PLE.lastrow)-ROW(PLE.firstrow))),0,IF(OFFSET(PLE!$G$14,$M79,BE$13)="",10^12,OFFSET(PLE!$G$14,$M79,BE$13))))</f>
        <v>1000000000000</v>
      </c>
      <c r="BF79" s="182">
        <f ca="1">IF($D79&lt;&gt;"Serviço",0,IF(OR(AND(AUTOEVENTO="Manual",$M79=1),$M79&gt;(ROW(PLE.lastrow)-ROW(PLE.firstrow))),0,IF(OFFSET(PLE!$G$14,$M79,BF$13)="",10^12,OFFSET(PLE!$G$14,$M79,BF$13))))</f>
        <v>1000000000000</v>
      </c>
      <c r="BG79" s="182">
        <f ca="1">IF($D79&lt;&gt;"Serviço",0,IF(OR(AND(AUTOEVENTO="Manual",$M79=1),$M79&gt;(ROW(PLE.lastrow)-ROW(PLE.firstrow))),0,IF(OFFSET(PLE!$G$14,$M79,BG$13)="",10^12,OFFSET(PLE!$G$14,$M79,BG$13))))</f>
        <v>1000000000000</v>
      </c>
    </row>
    <row r="80" spans="1:59" ht="38.25" x14ac:dyDescent="0.2">
      <c r="A80" s="7" t="str">
        <f t="shared" ca="1" si="8"/>
        <v>44</v>
      </c>
      <c r="B80" s="7" t="str">
        <f ca="1">OFFSET(ORÇAMENTO!C$15,ROW(B80)-ROW(B$15),0)</f>
        <v>S</v>
      </c>
      <c r="C80" s="7" t="str">
        <f ca="1">OFFSET(ORÇAMENTO!L$15,ROW(C80)-ROW(C$15),0)</f>
        <v/>
      </c>
      <c r="D80" s="118" t="str">
        <f ca="1">OFFSET(ORÇAMENTO!N$15,ROW(D80)-ROW(D$15),0)</f>
        <v>Serviço</v>
      </c>
      <c r="E80" s="119" t="str">
        <f ca="1">OFFSET(ORÇAMENTO!O$15,ROW(E80)-ROW(E$15),0)</f>
        <v>-</v>
      </c>
      <c r="F80" s="172" t="str">
        <f ca="1">OFFSET(ORÇAMENTO!R$15,ROW(F80)-ROW(F$15),0)</f>
        <v>(abra o arquivo 'Referência 02-2025.xlsm)</v>
      </c>
      <c r="G80" s="173" t="str">
        <f ca="1">IF($D80&lt;&gt;"Serviço","",OFFSET(ORÇAMENTO!S$15,ROW(G80)-ROW(G$15),0))</f>
        <v>-</v>
      </c>
      <c r="H80" s="124">
        <f ca="1">IF($D80&lt;&gt;"Serviço",0,IF(ACOMPANHAMENTO="BM",ROUND(OFFSET(ORÇAMENTO!AJ$15,ROW(H80)-ROW(H$15),0),15-13*ORÇAMENTO!$AF$7),SUMPRODUCT(($Q$12:$AA$12&lt;&gt;"")*ROUND($Q80:$AA80,15-13*ORÇAMENTO!$AF$7))))</f>
        <v>958.05</v>
      </c>
      <c r="I80" s="561" t="s">
        <v>890</v>
      </c>
      <c r="K80" s="174"/>
      <c r="L80" s="175" t="s">
        <v>255</v>
      </c>
      <c r="M80" s="176">
        <f ca="1">IF($D80&lt;&gt;"Serviço","",IF(AUTOEVENTO="manual",$A80,IF(ISERROR(MATCH($A80,$A$15:OFFSET($A80,-1,0),0)),MAX($M$15:OFFSET(M80,-1,0))+1,INDEX($M$15:OFFSET(M80,-1,0),MATCH($A80,$A$15:OFFSET($A80,-1,0),0)))))</f>
        <v>5</v>
      </c>
      <c r="N80" s="177" t="str">
        <f ca="1">IF($D80&lt;&gt;"Serviço","",IF(AUTOEVENTO="Manual",IF($A80=0,"&lt;-- defina o número do agrupador",OFFSET(EVENTOS!$D$14,$A80,0)),OFFSET($F$15,$A80,0)))</f>
        <v>SUPERESTRUTURA</v>
      </c>
      <c r="O80" s="178"/>
      <c r="Q80" s="178"/>
      <c r="R80" s="179"/>
      <c r="S80" s="179"/>
      <c r="T80" s="179"/>
      <c r="U80" s="179"/>
      <c r="V80" s="179"/>
      <c r="W80" s="179"/>
      <c r="X80" s="179"/>
      <c r="Y80" s="179"/>
      <c r="Z80" s="180"/>
      <c r="AB80" s="544">
        <f ca="1">IF(AND($D80="Serviço",AB$12&lt;&gt;0,$H80&gt;0,OR(AUTOEVENTO&lt;&gt;"manual",$M80&lt;&gt;1)),
IF(Import.TipoArredondamento&lt;&gt;"TransfereGOV",
ROUND(OFFSET($P80,0,AB$13),15-13*ORÇAMENTO!$AF$7)/$H80*OFFSET(ORÇAMENTO!$X$15,ROW(AB80)-ROW(AB$15),0),
ROUND(ROUND(OFFSET($P80,0,AB$13),15-13*ORÇAMENTO!$AF$7)*OFFSET(ORÇAMENTO!$W$15,ROW(AB80)-ROW(AB$15),0),15-13*ORÇAMENTO!$AF$11)),0)</f>
        <v>0</v>
      </c>
      <c r="AC80" s="545">
        <f ca="1">IF(AND($D80="Serviço",AC$12&lt;&gt;0,$H80&gt;0,OR(AUTOEVENTO&lt;&gt;"manual",$M80&lt;&gt;1)),
IF(Import.TipoArredondamento&lt;&gt;"TransfereGOV",
ROUND(OFFSET($P80,0,AC$13),15-13*ORÇAMENTO!$AF$7)/$H80*OFFSET(ORÇAMENTO!$X$15,ROW(AC80)-ROW(AC$15),0),
ROUND(ROUND(OFFSET($P80,0,AC$13),15-13*ORÇAMENTO!$AF$7)*OFFSET(ORÇAMENTO!$W$15,ROW(AC80)-ROW(AC$15),0),15-13*ORÇAMENTO!$AF$11)),0)</f>
        <v>0</v>
      </c>
      <c r="AD80" s="545">
        <f ca="1">IF(AND($D80="Serviço",AD$12&lt;&gt;0,$H80&gt;0,OR(AUTOEVENTO&lt;&gt;"manual",$M80&lt;&gt;1)),
IF(Import.TipoArredondamento&lt;&gt;"TransfereGOV",
ROUND(OFFSET($P80,0,AD$13),15-13*ORÇAMENTO!$AF$7)/$H80*OFFSET(ORÇAMENTO!$X$15,ROW(AD80)-ROW(AD$15),0),
ROUND(ROUND(OFFSET($P80,0,AD$13),15-13*ORÇAMENTO!$AF$7)*OFFSET(ORÇAMENTO!$W$15,ROW(AD80)-ROW(AD$15),0),15-13*ORÇAMENTO!$AF$11)),0)</f>
        <v>0</v>
      </c>
      <c r="AE80" s="545">
        <f ca="1">IF(AND($D80="Serviço",AE$12&lt;&gt;0,$H80&gt;0,OR(AUTOEVENTO&lt;&gt;"manual",$M80&lt;&gt;1)),
IF(Import.TipoArredondamento&lt;&gt;"TransfereGOV",
ROUND(OFFSET($P80,0,AE$13),15-13*ORÇAMENTO!$AF$7)/$H80*OFFSET(ORÇAMENTO!$X$15,ROW(AE80)-ROW(AE$15),0),
ROUND(ROUND(OFFSET($P80,0,AE$13),15-13*ORÇAMENTO!$AF$7)*OFFSET(ORÇAMENTO!$W$15,ROW(AE80)-ROW(AE$15),0),15-13*ORÇAMENTO!$AF$11)),0)</f>
        <v>0</v>
      </c>
      <c r="AF80" s="545">
        <f ca="1">IF(AND($D80="Serviço",AF$12&lt;&gt;0,$H80&gt;0,OR(AUTOEVENTO&lt;&gt;"manual",$M80&lt;&gt;1)),
IF(Import.TipoArredondamento&lt;&gt;"TransfereGOV",
ROUND(OFFSET($P80,0,AF$13),15-13*ORÇAMENTO!$AF$7)/$H80*OFFSET(ORÇAMENTO!$X$15,ROW(AF80)-ROW(AF$15),0),
ROUND(ROUND(OFFSET($P80,0,AF$13),15-13*ORÇAMENTO!$AF$7)*OFFSET(ORÇAMENTO!$W$15,ROW(AF80)-ROW(AF$15),0),15-13*ORÇAMENTO!$AF$11)),0)</f>
        <v>0</v>
      </c>
      <c r="AG80" s="545">
        <f ca="1">IF(AND($D80="Serviço",AG$12&lt;&gt;0,$H80&gt;0,OR(AUTOEVENTO&lt;&gt;"manual",$M80&lt;&gt;1)),
IF(Import.TipoArredondamento&lt;&gt;"TransfereGOV",
ROUND(OFFSET($P80,0,AG$13),15-13*ORÇAMENTO!$AF$7)/$H80*OFFSET(ORÇAMENTO!$X$15,ROW(AG80)-ROW(AG$15),0),
ROUND(ROUND(OFFSET($P80,0,AG$13),15-13*ORÇAMENTO!$AF$7)*OFFSET(ORÇAMENTO!$W$15,ROW(AG80)-ROW(AG$15),0),15-13*ORÇAMENTO!$AF$11)),0)</f>
        <v>0</v>
      </c>
      <c r="AH80" s="545">
        <f ca="1">IF(AND($D80="Serviço",AH$12&lt;&gt;0,$H80&gt;0,OR(AUTOEVENTO&lt;&gt;"manual",$M80&lt;&gt;1)),
IF(Import.TipoArredondamento&lt;&gt;"TransfereGOV",
ROUND(OFFSET($P80,0,AH$13),15-13*ORÇAMENTO!$AF$7)/$H80*OFFSET(ORÇAMENTO!$X$15,ROW(AH80)-ROW(AH$15),0),
ROUND(ROUND(OFFSET($P80,0,AH$13),15-13*ORÇAMENTO!$AF$7)*OFFSET(ORÇAMENTO!$W$15,ROW(AH80)-ROW(AH$15),0),15-13*ORÇAMENTO!$AF$11)),0)</f>
        <v>0</v>
      </c>
      <c r="AI80" s="545">
        <f ca="1">IF(AND($D80="Serviço",AI$12&lt;&gt;0,$H80&gt;0,OR(AUTOEVENTO&lt;&gt;"manual",$M80&lt;&gt;1)),
IF(Import.TipoArredondamento&lt;&gt;"TransfereGOV",
ROUND(OFFSET($P80,0,AI$13),15-13*ORÇAMENTO!$AF$7)/$H80*OFFSET(ORÇAMENTO!$X$15,ROW(AI80)-ROW(AI$15),0),
ROUND(ROUND(OFFSET($P80,0,AI$13),15-13*ORÇAMENTO!$AF$7)*OFFSET(ORÇAMENTO!$W$15,ROW(AI80)-ROW(AI$15),0),15-13*ORÇAMENTO!$AF$11)),0)</f>
        <v>0</v>
      </c>
      <c r="AJ80" s="545">
        <f ca="1">IF(AND($D80="Serviço",AJ$12&lt;&gt;0,$H80&gt;0,OR(AUTOEVENTO&lt;&gt;"manual",$M80&lt;&gt;1)),
IF(Import.TipoArredondamento&lt;&gt;"TransfereGOV",
ROUND(OFFSET($P80,0,AJ$13),15-13*ORÇAMENTO!$AF$7)/$H80*OFFSET(ORÇAMENTO!$X$15,ROW(AJ80)-ROW(AJ$15),0),
ROUND(ROUND(OFFSET($P80,0,AJ$13),15-13*ORÇAMENTO!$AF$7)*OFFSET(ORÇAMENTO!$W$15,ROW(AJ80)-ROW(AJ$15),0),15-13*ORÇAMENTO!$AF$11)),0)</f>
        <v>0</v>
      </c>
      <c r="AK80" s="546">
        <f ca="1">IF(AND($D80="Serviço",AK$12&lt;&gt;0,$H80&gt;0,OR(AUTOEVENTO&lt;&gt;"manual",$M80&lt;&gt;1)),
IF(Import.TipoArredondamento&lt;&gt;"TransfereGOV",
ROUND(OFFSET($P80,0,AK$13),15-13*ORÇAMENTO!$AF$7)/$H80*OFFSET(ORÇAMENTO!$X$15,ROW(AK80)-ROW(AK$15),0),
ROUND(ROUND(OFFSET($P80,0,AK$13),15-13*ORÇAMENTO!$AF$7)*OFFSET(ORÇAMENTO!$W$15,ROW(AK80)-ROW(AK$15),0),15-13*ORÇAMENTO!$AF$11)),0)</f>
        <v>0</v>
      </c>
      <c r="AM80" s="181">
        <f ca="1">IF($D80&lt;&gt;"Serviço",0,IF(AND(AUTOEVENTO="Manual",$M80=1),0,IF(OFFSET(CRONOPLE!$F$14,$M80,AM$13)="",10^12,OFFSET(CRONOPLE!$F$14,$M80,AM$13))))</f>
        <v>1000000000000</v>
      </c>
      <c r="AN80" s="181">
        <f ca="1">IF($D80&lt;&gt;"Serviço",0,IF(AND(AUTOEVENTO="Manual",$M80=1),0,IF(OFFSET(CRONOPLE!$F$14,$M80,AN$13)="",10^12,OFFSET(CRONOPLE!$F$14,$M80,AN$13))))</f>
        <v>1000000000000</v>
      </c>
      <c r="AO80" s="181">
        <f ca="1">IF($D80&lt;&gt;"Serviço",0,IF(AND(AUTOEVENTO="Manual",$M80=1),0,IF(OFFSET(CRONOPLE!$F$14,$M80,AO$13)="",10^12,OFFSET(CRONOPLE!$F$14,$M80,AO$13))))</f>
        <v>1000000000000</v>
      </c>
      <c r="AP80" s="181">
        <f ca="1">IF($D80&lt;&gt;"Serviço",0,IF(AND(AUTOEVENTO="Manual",$M80=1),0,IF(OFFSET(CRONOPLE!$F$14,$M80,AP$13)="",10^12,OFFSET(CRONOPLE!$F$14,$M80,AP$13))))</f>
        <v>1000000000000</v>
      </c>
      <c r="AQ80" s="181">
        <f ca="1">IF($D80&lt;&gt;"Serviço",0,IF(AND(AUTOEVENTO="Manual",$M80=1),0,IF(OFFSET(CRONOPLE!$F$14,$M80,AQ$13)="",10^12,OFFSET(CRONOPLE!$F$14,$M80,AQ$13))))</f>
        <v>1000000000000</v>
      </c>
      <c r="AR80" s="181">
        <f ca="1">IF($D80&lt;&gt;"Serviço",0,IF(AND(AUTOEVENTO="Manual",$M80=1),0,IF(OFFSET(CRONOPLE!$F$14,$M80,AR$13)="",10^12,OFFSET(CRONOPLE!$F$14,$M80,AR$13))))</f>
        <v>1000000000000</v>
      </c>
      <c r="AS80" s="181">
        <f ca="1">IF($D80&lt;&gt;"Serviço",0,IF(AND(AUTOEVENTO="Manual",$M80=1),0,IF(OFFSET(CRONOPLE!$F$14,$M80,AS$13)="",10^12,OFFSET(CRONOPLE!$F$14,$M80,AS$13))))</f>
        <v>1000000000000</v>
      </c>
      <c r="AT80" s="181">
        <f ca="1">IF($D80&lt;&gt;"Serviço",0,IF(AND(AUTOEVENTO="Manual",$M80=1),0,IF(OFFSET(CRONOPLE!$F$14,$M80,AT$13)="",10^12,OFFSET(CRONOPLE!$F$14,$M80,AT$13))))</f>
        <v>1000000000000</v>
      </c>
      <c r="AU80" s="181">
        <f ca="1">IF($D80&lt;&gt;"Serviço",0,IF(AND(AUTOEVENTO="Manual",$M80=1),0,IF(OFFSET(CRONOPLE!$F$14,$M80,AU$13)="",10^12,OFFSET(CRONOPLE!$F$14,$M80,AU$13))))</f>
        <v>1000000000000</v>
      </c>
      <c r="AV80" s="181">
        <f ca="1">IF($D80&lt;&gt;"Serviço",0,IF(AND(AUTOEVENTO="Manual",$M80=1),0,IF(OFFSET(CRONOPLE!$F$14,$M80,AV$13)="",10^12,OFFSET(CRONOPLE!$F$14,$M80,AV$13))))</f>
        <v>1000000000000</v>
      </c>
      <c r="AX80" s="182">
        <f ca="1">IF($D80&lt;&gt;"Serviço",0,IF(OR(AND(AUTOEVENTO="Manual",$M80=1),$M80&gt;(ROW(PLE.lastrow)-ROW(PLE.firstrow))),0,IF(OFFSET(PLE!$G$14,$M80,AX$13)="",10^12,OFFSET(PLE!$G$14,$M80,AX$13))))</f>
        <v>1000000000000</v>
      </c>
      <c r="AY80" s="182">
        <f ca="1">IF($D80&lt;&gt;"Serviço",0,IF(OR(AND(AUTOEVENTO="Manual",$M80=1),$M80&gt;(ROW(PLE.lastrow)-ROW(PLE.firstrow))),0,IF(OFFSET(PLE!$G$14,$M80,AY$13)="",10^12,OFFSET(PLE!$G$14,$M80,AY$13))))</f>
        <v>1000000000000</v>
      </c>
      <c r="AZ80" s="182">
        <f ca="1">IF($D80&lt;&gt;"Serviço",0,IF(OR(AND(AUTOEVENTO="Manual",$M80=1),$M80&gt;(ROW(PLE.lastrow)-ROW(PLE.firstrow))),0,IF(OFFSET(PLE!$G$14,$M80,AZ$13)="",10^12,OFFSET(PLE!$G$14,$M80,AZ$13))))</f>
        <v>1000000000000</v>
      </c>
      <c r="BA80" s="182">
        <f ca="1">IF($D80&lt;&gt;"Serviço",0,IF(OR(AND(AUTOEVENTO="Manual",$M80=1),$M80&gt;(ROW(PLE.lastrow)-ROW(PLE.firstrow))),0,IF(OFFSET(PLE!$G$14,$M80,BA$13)="",10^12,OFFSET(PLE!$G$14,$M80,BA$13))))</f>
        <v>1000000000000</v>
      </c>
      <c r="BB80" s="182">
        <f ca="1">IF($D80&lt;&gt;"Serviço",0,IF(OR(AND(AUTOEVENTO="Manual",$M80=1),$M80&gt;(ROW(PLE.lastrow)-ROW(PLE.firstrow))),0,IF(OFFSET(PLE!$G$14,$M80,BB$13)="",10^12,OFFSET(PLE!$G$14,$M80,BB$13))))</f>
        <v>1000000000000</v>
      </c>
      <c r="BC80" s="182">
        <f ca="1">IF($D80&lt;&gt;"Serviço",0,IF(OR(AND(AUTOEVENTO="Manual",$M80=1),$M80&gt;(ROW(PLE.lastrow)-ROW(PLE.firstrow))),0,IF(OFFSET(PLE!$G$14,$M80,BC$13)="",10^12,OFFSET(PLE!$G$14,$M80,BC$13))))</f>
        <v>1000000000000</v>
      </c>
      <c r="BD80" s="182">
        <f ca="1">IF($D80&lt;&gt;"Serviço",0,IF(OR(AND(AUTOEVENTO="Manual",$M80=1),$M80&gt;(ROW(PLE.lastrow)-ROW(PLE.firstrow))),0,IF(OFFSET(PLE!$G$14,$M80,BD$13)="",10^12,OFFSET(PLE!$G$14,$M80,BD$13))))</f>
        <v>1000000000000</v>
      </c>
      <c r="BE80" s="182">
        <f ca="1">IF($D80&lt;&gt;"Serviço",0,IF(OR(AND(AUTOEVENTO="Manual",$M80=1),$M80&gt;(ROW(PLE.lastrow)-ROW(PLE.firstrow))),0,IF(OFFSET(PLE!$G$14,$M80,BE$13)="",10^12,OFFSET(PLE!$G$14,$M80,BE$13))))</f>
        <v>1000000000000</v>
      </c>
      <c r="BF80" s="182">
        <f ca="1">IF($D80&lt;&gt;"Serviço",0,IF(OR(AND(AUTOEVENTO="Manual",$M80=1),$M80&gt;(ROW(PLE.lastrow)-ROW(PLE.firstrow))),0,IF(OFFSET(PLE!$G$14,$M80,BF$13)="",10^12,OFFSET(PLE!$G$14,$M80,BF$13))))</f>
        <v>1000000000000</v>
      </c>
      <c r="BG80" s="182">
        <f ca="1">IF($D80&lt;&gt;"Serviço",0,IF(OR(AND(AUTOEVENTO="Manual",$M80=1),$M80&gt;(ROW(PLE.lastrow)-ROW(PLE.firstrow))),0,IF(OFFSET(PLE!$G$14,$M80,BG$13)="",10^12,OFFSET(PLE!$G$14,$M80,BG$13))))</f>
        <v>1000000000000</v>
      </c>
    </row>
    <row r="81" spans="1:59" ht="38.25" x14ac:dyDescent="0.2">
      <c r="A81" s="7" t="str">
        <f t="shared" ca="1" si="8"/>
        <v>44</v>
      </c>
      <c r="B81" s="7" t="str">
        <f ca="1">OFFSET(ORÇAMENTO!C$15,ROW(B81)-ROW(B$15),0)</f>
        <v>S</v>
      </c>
      <c r="C81" s="7" t="str">
        <f ca="1">OFFSET(ORÇAMENTO!L$15,ROW(C81)-ROW(C$15),0)</f>
        <v/>
      </c>
      <c r="D81" s="118" t="str">
        <f ca="1">OFFSET(ORÇAMENTO!N$15,ROW(D81)-ROW(D$15),0)</f>
        <v>Serviço</v>
      </c>
      <c r="E81" s="119" t="str">
        <f ca="1">OFFSET(ORÇAMENTO!O$15,ROW(E81)-ROW(E$15),0)</f>
        <v>-</v>
      </c>
      <c r="F81" s="172" t="str">
        <f ca="1">OFFSET(ORÇAMENTO!R$15,ROW(F81)-ROW(F$15),0)</f>
        <v>(abra o arquivo 'Referência 02-2025.xlsm)</v>
      </c>
      <c r="G81" s="173" t="str">
        <f ca="1">IF($D81&lt;&gt;"Serviço","",OFFSET(ORÇAMENTO!S$15,ROW(G81)-ROW(G$15),0))</f>
        <v>-</v>
      </c>
      <c r="H81" s="124">
        <f ca="1">IF($D81&lt;&gt;"Serviço",0,IF(ACOMPANHAMENTO="BM",ROUND(OFFSET(ORÇAMENTO!AJ$15,ROW(H81)-ROW(H$15),0),15-13*ORÇAMENTO!$AF$7),SUMPRODUCT(($Q$12:$AA$12&lt;&gt;"")*ROUND($Q81:$AA81,15-13*ORÇAMENTO!$AF$7))))</f>
        <v>939.81</v>
      </c>
      <c r="I81" s="561" t="s">
        <v>890</v>
      </c>
      <c r="K81" s="174"/>
      <c r="L81" s="175" t="s">
        <v>255</v>
      </c>
      <c r="M81" s="176">
        <f ca="1">IF($D81&lt;&gt;"Serviço","",IF(AUTOEVENTO="manual",$A81,IF(ISERROR(MATCH($A81,$A$15:OFFSET($A81,-1,0),0)),MAX($M$15:OFFSET(M81,-1,0))+1,INDEX($M$15:OFFSET(M81,-1,0),MATCH($A81,$A$15:OFFSET($A81,-1,0),0)))))</f>
        <v>5</v>
      </c>
      <c r="N81" s="177" t="str">
        <f ca="1">IF($D81&lt;&gt;"Serviço","",IF(AUTOEVENTO="Manual",IF($A81=0,"&lt;-- defina o número do agrupador",OFFSET(EVENTOS!$D$14,$A81,0)),OFFSET($F$15,$A81,0)))</f>
        <v>SUPERESTRUTURA</v>
      </c>
      <c r="O81" s="178"/>
      <c r="Q81" s="178"/>
      <c r="R81" s="179"/>
      <c r="S81" s="179"/>
      <c r="T81" s="179"/>
      <c r="U81" s="179"/>
      <c r="V81" s="179"/>
      <c r="W81" s="179"/>
      <c r="X81" s="179"/>
      <c r="Y81" s="179"/>
      <c r="Z81" s="180"/>
      <c r="AB81" s="544">
        <f ca="1">IF(AND($D81="Serviço",AB$12&lt;&gt;0,$H81&gt;0,OR(AUTOEVENTO&lt;&gt;"manual",$M81&lt;&gt;1)),
IF(Import.TipoArredondamento&lt;&gt;"TransfereGOV",
ROUND(OFFSET($P81,0,AB$13),15-13*ORÇAMENTO!$AF$7)/$H81*OFFSET(ORÇAMENTO!$X$15,ROW(AB81)-ROW(AB$15),0),
ROUND(ROUND(OFFSET($P81,0,AB$13),15-13*ORÇAMENTO!$AF$7)*OFFSET(ORÇAMENTO!$W$15,ROW(AB81)-ROW(AB$15),0),15-13*ORÇAMENTO!$AF$11)),0)</f>
        <v>0</v>
      </c>
      <c r="AC81" s="545">
        <f ca="1">IF(AND($D81="Serviço",AC$12&lt;&gt;0,$H81&gt;0,OR(AUTOEVENTO&lt;&gt;"manual",$M81&lt;&gt;1)),
IF(Import.TipoArredondamento&lt;&gt;"TransfereGOV",
ROUND(OFFSET($P81,0,AC$13),15-13*ORÇAMENTO!$AF$7)/$H81*OFFSET(ORÇAMENTO!$X$15,ROW(AC81)-ROW(AC$15),0),
ROUND(ROUND(OFFSET($P81,0,AC$13),15-13*ORÇAMENTO!$AF$7)*OFFSET(ORÇAMENTO!$W$15,ROW(AC81)-ROW(AC$15),0),15-13*ORÇAMENTO!$AF$11)),0)</f>
        <v>0</v>
      </c>
      <c r="AD81" s="545">
        <f ca="1">IF(AND($D81="Serviço",AD$12&lt;&gt;0,$H81&gt;0,OR(AUTOEVENTO&lt;&gt;"manual",$M81&lt;&gt;1)),
IF(Import.TipoArredondamento&lt;&gt;"TransfereGOV",
ROUND(OFFSET($P81,0,AD$13),15-13*ORÇAMENTO!$AF$7)/$H81*OFFSET(ORÇAMENTO!$X$15,ROW(AD81)-ROW(AD$15),0),
ROUND(ROUND(OFFSET($P81,0,AD$13),15-13*ORÇAMENTO!$AF$7)*OFFSET(ORÇAMENTO!$W$15,ROW(AD81)-ROW(AD$15),0),15-13*ORÇAMENTO!$AF$11)),0)</f>
        <v>0</v>
      </c>
      <c r="AE81" s="545">
        <f ca="1">IF(AND($D81="Serviço",AE$12&lt;&gt;0,$H81&gt;0,OR(AUTOEVENTO&lt;&gt;"manual",$M81&lt;&gt;1)),
IF(Import.TipoArredondamento&lt;&gt;"TransfereGOV",
ROUND(OFFSET($P81,0,AE$13),15-13*ORÇAMENTO!$AF$7)/$H81*OFFSET(ORÇAMENTO!$X$15,ROW(AE81)-ROW(AE$15),0),
ROUND(ROUND(OFFSET($P81,0,AE$13),15-13*ORÇAMENTO!$AF$7)*OFFSET(ORÇAMENTO!$W$15,ROW(AE81)-ROW(AE$15),0),15-13*ORÇAMENTO!$AF$11)),0)</f>
        <v>0</v>
      </c>
      <c r="AF81" s="545">
        <f ca="1">IF(AND($D81="Serviço",AF$12&lt;&gt;0,$H81&gt;0,OR(AUTOEVENTO&lt;&gt;"manual",$M81&lt;&gt;1)),
IF(Import.TipoArredondamento&lt;&gt;"TransfereGOV",
ROUND(OFFSET($P81,0,AF$13),15-13*ORÇAMENTO!$AF$7)/$H81*OFFSET(ORÇAMENTO!$X$15,ROW(AF81)-ROW(AF$15),0),
ROUND(ROUND(OFFSET($P81,0,AF$13),15-13*ORÇAMENTO!$AF$7)*OFFSET(ORÇAMENTO!$W$15,ROW(AF81)-ROW(AF$15),0),15-13*ORÇAMENTO!$AF$11)),0)</f>
        <v>0</v>
      </c>
      <c r="AG81" s="545">
        <f ca="1">IF(AND($D81="Serviço",AG$12&lt;&gt;0,$H81&gt;0,OR(AUTOEVENTO&lt;&gt;"manual",$M81&lt;&gt;1)),
IF(Import.TipoArredondamento&lt;&gt;"TransfereGOV",
ROUND(OFFSET($P81,0,AG$13),15-13*ORÇAMENTO!$AF$7)/$H81*OFFSET(ORÇAMENTO!$X$15,ROW(AG81)-ROW(AG$15),0),
ROUND(ROUND(OFFSET($P81,0,AG$13),15-13*ORÇAMENTO!$AF$7)*OFFSET(ORÇAMENTO!$W$15,ROW(AG81)-ROW(AG$15),0),15-13*ORÇAMENTO!$AF$11)),0)</f>
        <v>0</v>
      </c>
      <c r="AH81" s="545">
        <f ca="1">IF(AND($D81="Serviço",AH$12&lt;&gt;0,$H81&gt;0,OR(AUTOEVENTO&lt;&gt;"manual",$M81&lt;&gt;1)),
IF(Import.TipoArredondamento&lt;&gt;"TransfereGOV",
ROUND(OFFSET($P81,0,AH$13),15-13*ORÇAMENTO!$AF$7)/$H81*OFFSET(ORÇAMENTO!$X$15,ROW(AH81)-ROW(AH$15),0),
ROUND(ROUND(OFFSET($P81,0,AH$13),15-13*ORÇAMENTO!$AF$7)*OFFSET(ORÇAMENTO!$W$15,ROW(AH81)-ROW(AH$15),0),15-13*ORÇAMENTO!$AF$11)),0)</f>
        <v>0</v>
      </c>
      <c r="AI81" s="545">
        <f ca="1">IF(AND($D81="Serviço",AI$12&lt;&gt;0,$H81&gt;0,OR(AUTOEVENTO&lt;&gt;"manual",$M81&lt;&gt;1)),
IF(Import.TipoArredondamento&lt;&gt;"TransfereGOV",
ROUND(OFFSET($P81,0,AI$13),15-13*ORÇAMENTO!$AF$7)/$H81*OFFSET(ORÇAMENTO!$X$15,ROW(AI81)-ROW(AI$15),0),
ROUND(ROUND(OFFSET($P81,0,AI$13),15-13*ORÇAMENTO!$AF$7)*OFFSET(ORÇAMENTO!$W$15,ROW(AI81)-ROW(AI$15),0),15-13*ORÇAMENTO!$AF$11)),0)</f>
        <v>0</v>
      </c>
      <c r="AJ81" s="545">
        <f ca="1">IF(AND($D81="Serviço",AJ$12&lt;&gt;0,$H81&gt;0,OR(AUTOEVENTO&lt;&gt;"manual",$M81&lt;&gt;1)),
IF(Import.TipoArredondamento&lt;&gt;"TransfereGOV",
ROUND(OFFSET($P81,0,AJ$13),15-13*ORÇAMENTO!$AF$7)/$H81*OFFSET(ORÇAMENTO!$X$15,ROW(AJ81)-ROW(AJ$15),0),
ROUND(ROUND(OFFSET($P81,0,AJ$13),15-13*ORÇAMENTO!$AF$7)*OFFSET(ORÇAMENTO!$W$15,ROW(AJ81)-ROW(AJ$15),0),15-13*ORÇAMENTO!$AF$11)),0)</f>
        <v>0</v>
      </c>
      <c r="AK81" s="546">
        <f ca="1">IF(AND($D81="Serviço",AK$12&lt;&gt;0,$H81&gt;0,OR(AUTOEVENTO&lt;&gt;"manual",$M81&lt;&gt;1)),
IF(Import.TipoArredondamento&lt;&gt;"TransfereGOV",
ROUND(OFFSET($P81,0,AK$13),15-13*ORÇAMENTO!$AF$7)/$H81*OFFSET(ORÇAMENTO!$X$15,ROW(AK81)-ROW(AK$15),0),
ROUND(ROUND(OFFSET($P81,0,AK$13),15-13*ORÇAMENTO!$AF$7)*OFFSET(ORÇAMENTO!$W$15,ROW(AK81)-ROW(AK$15),0),15-13*ORÇAMENTO!$AF$11)),0)</f>
        <v>0</v>
      </c>
      <c r="AM81" s="181">
        <f ca="1">IF($D81&lt;&gt;"Serviço",0,IF(AND(AUTOEVENTO="Manual",$M81=1),0,IF(OFFSET(CRONOPLE!$F$14,$M81,AM$13)="",10^12,OFFSET(CRONOPLE!$F$14,$M81,AM$13))))</f>
        <v>1000000000000</v>
      </c>
      <c r="AN81" s="181">
        <f ca="1">IF($D81&lt;&gt;"Serviço",0,IF(AND(AUTOEVENTO="Manual",$M81=1),0,IF(OFFSET(CRONOPLE!$F$14,$M81,AN$13)="",10^12,OFFSET(CRONOPLE!$F$14,$M81,AN$13))))</f>
        <v>1000000000000</v>
      </c>
      <c r="AO81" s="181">
        <f ca="1">IF($D81&lt;&gt;"Serviço",0,IF(AND(AUTOEVENTO="Manual",$M81=1),0,IF(OFFSET(CRONOPLE!$F$14,$M81,AO$13)="",10^12,OFFSET(CRONOPLE!$F$14,$M81,AO$13))))</f>
        <v>1000000000000</v>
      </c>
      <c r="AP81" s="181">
        <f ca="1">IF($D81&lt;&gt;"Serviço",0,IF(AND(AUTOEVENTO="Manual",$M81=1),0,IF(OFFSET(CRONOPLE!$F$14,$M81,AP$13)="",10^12,OFFSET(CRONOPLE!$F$14,$M81,AP$13))))</f>
        <v>1000000000000</v>
      </c>
      <c r="AQ81" s="181">
        <f ca="1">IF($D81&lt;&gt;"Serviço",0,IF(AND(AUTOEVENTO="Manual",$M81=1),0,IF(OFFSET(CRONOPLE!$F$14,$M81,AQ$13)="",10^12,OFFSET(CRONOPLE!$F$14,$M81,AQ$13))))</f>
        <v>1000000000000</v>
      </c>
      <c r="AR81" s="181">
        <f ca="1">IF($D81&lt;&gt;"Serviço",0,IF(AND(AUTOEVENTO="Manual",$M81=1),0,IF(OFFSET(CRONOPLE!$F$14,$M81,AR$13)="",10^12,OFFSET(CRONOPLE!$F$14,$M81,AR$13))))</f>
        <v>1000000000000</v>
      </c>
      <c r="AS81" s="181">
        <f ca="1">IF($D81&lt;&gt;"Serviço",0,IF(AND(AUTOEVENTO="Manual",$M81=1),0,IF(OFFSET(CRONOPLE!$F$14,$M81,AS$13)="",10^12,OFFSET(CRONOPLE!$F$14,$M81,AS$13))))</f>
        <v>1000000000000</v>
      </c>
      <c r="AT81" s="181">
        <f ca="1">IF($D81&lt;&gt;"Serviço",0,IF(AND(AUTOEVENTO="Manual",$M81=1),0,IF(OFFSET(CRONOPLE!$F$14,$M81,AT$13)="",10^12,OFFSET(CRONOPLE!$F$14,$M81,AT$13))))</f>
        <v>1000000000000</v>
      </c>
      <c r="AU81" s="181">
        <f ca="1">IF($D81&lt;&gt;"Serviço",0,IF(AND(AUTOEVENTO="Manual",$M81=1),0,IF(OFFSET(CRONOPLE!$F$14,$M81,AU$13)="",10^12,OFFSET(CRONOPLE!$F$14,$M81,AU$13))))</f>
        <v>1000000000000</v>
      </c>
      <c r="AV81" s="181">
        <f ca="1">IF($D81&lt;&gt;"Serviço",0,IF(AND(AUTOEVENTO="Manual",$M81=1),0,IF(OFFSET(CRONOPLE!$F$14,$M81,AV$13)="",10^12,OFFSET(CRONOPLE!$F$14,$M81,AV$13))))</f>
        <v>1000000000000</v>
      </c>
      <c r="AX81" s="182">
        <f ca="1">IF($D81&lt;&gt;"Serviço",0,IF(OR(AND(AUTOEVENTO="Manual",$M81=1),$M81&gt;(ROW(PLE.lastrow)-ROW(PLE.firstrow))),0,IF(OFFSET(PLE!$G$14,$M81,AX$13)="",10^12,OFFSET(PLE!$G$14,$M81,AX$13))))</f>
        <v>1000000000000</v>
      </c>
      <c r="AY81" s="182">
        <f ca="1">IF($D81&lt;&gt;"Serviço",0,IF(OR(AND(AUTOEVENTO="Manual",$M81=1),$M81&gt;(ROW(PLE.lastrow)-ROW(PLE.firstrow))),0,IF(OFFSET(PLE!$G$14,$M81,AY$13)="",10^12,OFFSET(PLE!$G$14,$M81,AY$13))))</f>
        <v>1000000000000</v>
      </c>
      <c r="AZ81" s="182">
        <f ca="1">IF($D81&lt;&gt;"Serviço",0,IF(OR(AND(AUTOEVENTO="Manual",$M81=1),$M81&gt;(ROW(PLE.lastrow)-ROW(PLE.firstrow))),0,IF(OFFSET(PLE!$G$14,$M81,AZ$13)="",10^12,OFFSET(PLE!$G$14,$M81,AZ$13))))</f>
        <v>1000000000000</v>
      </c>
      <c r="BA81" s="182">
        <f ca="1">IF($D81&lt;&gt;"Serviço",0,IF(OR(AND(AUTOEVENTO="Manual",$M81=1),$M81&gt;(ROW(PLE.lastrow)-ROW(PLE.firstrow))),0,IF(OFFSET(PLE!$G$14,$M81,BA$13)="",10^12,OFFSET(PLE!$G$14,$M81,BA$13))))</f>
        <v>1000000000000</v>
      </c>
      <c r="BB81" s="182">
        <f ca="1">IF($D81&lt;&gt;"Serviço",0,IF(OR(AND(AUTOEVENTO="Manual",$M81=1),$M81&gt;(ROW(PLE.lastrow)-ROW(PLE.firstrow))),0,IF(OFFSET(PLE!$G$14,$M81,BB$13)="",10^12,OFFSET(PLE!$G$14,$M81,BB$13))))</f>
        <v>1000000000000</v>
      </c>
      <c r="BC81" s="182">
        <f ca="1">IF($D81&lt;&gt;"Serviço",0,IF(OR(AND(AUTOEVENTO="Manual",$M81=1),$M81&gt;(ROW(PLE.lastrow)-ROW(PLE.firstrow))),0,IF(OFFSET(PLE!$G$14,$M81,BC$13)="",10^12,OFFSET(PLE!$G$14,$M81,BC$13))))</f>
        <v>1000000000000</v>
      </c>
      <c r="BD81" s="182">
        <f ca="1">IF($D81&lt;&gt;"Serviço",0,IF(OR(AND(AUTOEVENTO="Manual",$M81=1),$M81&gt;(ROW(PLE.lastrow)-ROW(PLE.firstrow))),0,IF(OFFSET(PLE!$G$14,$M81,BD$13)="",10^12,OFFSET(PLE!$G$14,$M81,BD$13))))</f>
        <v>1000000000000</v>
      </c>
      <c r="BE81" s="182">
        <f ca="1">IF($D81&lt;&gt;"Serviço",0,IF(OR(AND(AUTOEVENTO="Manual",$M81=1),$M81&gt;(ROW(PLE.lastrow)-ROW(PLE.firstrow))),0,IF(OFFSET(PLE!$G$14,$M81,BE$13)="",10^12,OFFSET(PLE!$G$14,$M81,BE$13))))</f>
        <v>1000000000000</v>
      </c>
      <c r="BF81" s="182">
        <f ca="1">IF($D81&lt;&gt;"Serviço",0,IF(OR(AND(AUTOEVENTO="Manual",$M81=1),$M81&gt;(ROW(PLE.lastrow)-ROW(PLE.firstrow))),0,IF(OFFSET(PLE!$G$14,$M81,BF$13)="",10^12,OFFSET(PLE!$G$14,$M81,BF$13))))</f>
        <v>1000000000000</v>
      </c>
      <c r="BG81" s="182">
        <f ca="1">IF($D81&lt;&gt;"Serviço",0,IF(OR(AND(AUTOEVENTO="Manual",$M81=1),$M81&gt;(ROW(PLE.lastrow)-ROW(PLE.firstrow))),0,IF(OFFSET(PLE!$G$14,$M81,BG$13)="",10^12,OFFSET(PLE!$G$14,$M81,BG$13))))</f>
        <v>1000000000000</v>
      </c>
    </row>
    <row r="82" spans="1:59" ht="38.25" x14ac:dyDescent="0.2">
      <c r="A82" s="7" t="str">
        <f t="shared" ca="1" si="8"/>
        <v>44</v>
      </c>
      <c r="B82" s="7" t="str">
        <f ca="1">OFFSET(ORÇAMENTO!C$15,ROW(B82)-ROW(B$15),0)</f>
        <v>S</v>
      </c>
      <c r="C82" s="7" t="str">
        <f ca="1">OFFSET(ORÇAMENTO!L$15,ROW(C82)-ROW(C$15),0)</f>
        <v/>
      </c>
      <c r="D82" s="118" t="str">
        <f ca="1">OFFSET(ORÇAMENTO!N$15,ROW(D82)-ROW(D$15),0)</f>
        <v>Serviço</v>
      </c>
      <c r="E82" s="119" t="str">
        <f ca="1">OFFSET(ORÇAMENTO!O$15,ROW(E82)-ROW(E$15),0)</f>
        <v>-</v>
      </c>
      <c r="F82" s="172" t="str">
        <f ca="1">OFFSET(ORÇAMENTO!R$15,ROW(F82)-ROW(F$15),0)</f>
        <v>(abra o arquivo 'Referência 02-2025.xlsm)</v>
      </c>
      <c r="G82" s="173" t="str">
        <f ca="1">IF($D82&lt;&gt;"Serviço","",OFFSET(ORÇAMENTO!S$15,ROW(G82)-ROW(G$15),0))</f>
        <v>-</v>
      </c>
      <c r="H82" s="124">
        <f ca="1">IF($D82&lt;&gt;"Serviço",0,IF(ACOMPANHAMENTO="BM",ROUND(OFFSET(ORÇAMENTO!AJ$15,ROW(H82)-ROW(H$15),0),15-13*ORÇAMENTO!$AF$7),SUMPRODUCT(($Q$12:$AA$12&lt;&gt;"")*ROUND($Q82:$AA82,15-13*ORÇAMENTO!$AF$7))))</f>
        <v>164.31</v>
      </c>
      <c r="I82" s="561" t="s">
        <v>890</v>
      </c>
      <c r="K82" s="174"/>
      <c r="L82" s="175" t="s">
        <v>255</v>
      </c>
      <c r="M82" s="176">
        <f ca="1">IF($D82&lt;&gt;"Serviço","",IF(AUTOEVENTO="manual",$A82,IF(ISERROR(MATCH($A82,$A$15:OFFSET($A82,-1,0),0)),MAX($M$15:OFFSET(M82,-1,0))+1,INDEX($M$15:OFFSET(M82,-1,0),MATCH($A82,$A$15:OFFSET($A82,-1,0),0)))))</f>
        <v>5</v>
      </c>
      <c r="N82" s="177" t="str">
        <f ca="1">IF($D82&lt;&gt;"Serviço","",IF(AUTOEVENTO="Manual",IF($A82=0,"&lt;-- defina o número do agrupador",OFFSET(EVENTOS!$D$14,$A82,0)),OFFSET($F$15,$A82,0)))</f>
        <v>SUPERESTRUTURA</v>
      </c>
      <c r="O82" s="178"/>
      <c r="Q82" s="178"/>
      <c r="R82" s="179"/>
      <c r="S82" s="179"/>
      <c r="T82" s="179"/>
      <c r="U82" s="179"/>
      <c r="V82" s="179"/>
      <c r="W82" s="179"/>
      <c r="X82" s="179"/>
      <c r="Y82" s="179"/>
      <c r="Z82" s="180"/>
      <c r="AB82" s="544">
        <f ca="1">IF(AND($D82="Serviço",AB$12&lt;&gt;0,$H82&gt;0,OR(AUTOEVENTO&lt;&gt;"manual",$M82&lt;&gt;1)),
IF(Import.TipoArredondamento&lt;&gt;"TransfereGOV",
ROUND(OFFSET($P82,0,AB$13),15-13*ORÇAMENTO!$AF$7)/$H82*OFFSET(ORÇAMENTO!$X$15,ROW(AB82)-ROW(AB$15),0),
ROUND(ROUND(OFFSET($P82,0,AB$13),15-13*ORÇAMENTO!$AF$7)*OFFSET(ORÇAMENTO!$W$15,ROW(AB82)-ROW(AB$15),0),15-13*ORÇAMENTO!$AF$11)),0)</f>
        <v>0</v>
      </c>
      <c r="AC82" s="545">
        <f ca="1">IF(AND($D82="Serviço",AC$12&lt;&gt;0,$H82&gt;0,OR(AUTOEVENTO&lt;&gt;"manual",$M82&lt;&gt;1)),
IF(Import.TipoArredondamento&lt;&gt;"TransfereGOV",
ROUND(OFFSET($P82,0,AC$13),15-13*ORÇAMENTO!$AF$7)/$H82*OFFSET(ORÇAMENTO!$X$15,ROW(AC82)-ROW(AC$15),0),
ROUND(ROUND(OFFSET($P82,0,AC$13),15-13*ORÇAMENTO!$AF$7)*OFFSET(ORÇAMENTO!$W$15,ROW(AC82)-ROW(AC$15),0),15-13*ORÇAMENTO!$AF$11)),0)</f>
        <v>0</v>
      </c>
      <c r="AD82" s="545">
        <f ca="1">IF(AND($D82="Serviço",AD$12&lt;&gt;0,$H82&gt;0,OR(AUTOEVENTO&lt;&gt;"manual",$M82&lt;&gt;1)),
IF(Import.TipoArredondamento&lt;&gt;"TransfereGOV",
ROUND(OFFSET($P82,0,AD$13),15-13*ORÇAMENTO!$AF$7)/$H82*OFFSET(ORÇAMENTO!$X$15,ROW(AD82)-ROW(AD$15),0),
ROUND(ROUND(OFFSET($P82,0,AD$13),15-13*ORÇAMENTO!$AF$7)*OFFSET(ORÇAMENTO!$W$15,ROW(AD82)-ROW(AD$15),0),15-13*ORÇAMENTO!$AF$11)),0)</f>
        <v>0</v>
      </c>
      <c r="AE82" s="545">
        <f ca="1">IF(AND($D82="Serviço",AE$12&lt;&gt;0,$H82&gt;0,OR(AUTOEVENTO&lt;&gt;"manual",$M82&lt;&gt;1)),
IF(Import.TipoArredondamento&lt;&gt;"TransfereGOV",
ROUND(OFFSET($P82,0,AE$13),15-13*ORÇAMENTO!$AF$7)/$H82*OFFSET(ORÇAMENTO!$X$15,ROW(AE82)-ROW(AE$15),0),
ROUND(ROUND(OFFSET($P82,0,AE$13),15-13*ORÇAMENTO!$AF$7)*OFFSET(ORÇAMENTO!$W$15,ROW(AE82)-ROW(AE$15),0),15-13*ORÇAMENTO!$AF$11)),0)</f>
        <v>0</v>
      </c>
      <c r="AF82" s="545">
        <f ca="1">IF(AND($D82="Serviço",AF$12&lt;&gt;0,$H82&gt;0,OR(AUTOEVENTO&lt;&gt;"manual",$M82&lt;&gt;1)),
IF(Import.TipoArredondamento&lt;&gt;"TransfereGOV",
ROUND(OFFSET($P82,0,AF$13),15-13*ORÇAMENTO!$AF$7)/$H82*OFFSET(ORÇAMENTO!$X$15,ROW(AF82)-ROW(AF$15),0),
ROUND(ROUND(OFFSET($P82,0,AF$13),15-13*ORÇAMENTO!$AF$7)*OFFSET(ORÇAMENTO!$W$15,ROW(AF82)-ROW(AF$15),0),15-13*ORÇAMENTO!$AF$11)),0)</f>
        <v>0</v>
      </c>
      <c r="AG82" s="545">
        <f ca="1">IF(AND($D82="Serviço",AG$12&lt;&gt;0,$H82&gt;0,OR(AUTOEVENTO&lt;&gt;"manual",$M82&lt;&gt;1)),
IF(Import.TipoArredondamento&lt;&gt;"TransfereGOV",
ROUND(OFFSET($P82,0,AG$13),15-13*ORÇAMENTO!$AF$7)/$H82*OFFSET(ORÇAMENTO!$X$15,ROW(AG82)-ROW(AG$15),0),
ROUND(ROUND(OFFSET($P82,0,AG$13),15-13*ORÇAMENTO!$AF$7)*OFFSET(ORÇAMENTO!$W$15,ROW(AG82)-ROW(AG$15),0),15-13*ORÇAMENTO!$AF$11)),0)</f>
        <v>0</v>
      </c>
      <c r="AH82" s="545">
        <f ca="1">IF(AND($D82="Serviço",AH$12&lt;&gt;0,$H82&gt;0,OR(AUTOEVENTO&lt;&gt;"manual",$M82&lt;&gt;1)),
IF(Import.TipoArredondamento&lt;&gt;"TransfereGOV",
ROUND(OFFSET($P82,0,AH$13),15-13*ORÇAMENTO!$AF$7)/$H82*OFFSET(ORÇAMENTO!$X$15,ROW(AH82)-ROW(AH$15),0),
ROUND(ROUND(OFFSET($P82,0,AH$13),15-13*ORÇAMENTO!$AF$7)*OFFSET(ORÇAMENTO!$W$15,ROW(AH82)-ROW(AH$15),0),15-13*ORÇAMENTO!$AF$11)),0)</f>
        <v>0</v>
      </c>
      <c r="AI82" s="545">
        <f ca="1">IF(AND($D82="Serviço",AI$12&lt;&gt;0,$H82&gt;0,OR(AUTOEVENTO&lt;&gt;"manual",$M82&lt;&gt;1)),
IF(Import.TipoArredondamento&lt;&gt;"TransfereGOV",
ROUND(OFFSET($P82,0,AI$13),15-13*ORÇAMENTO!$AF$7)/$H82*OFFSET(ORÇAMENTO!$X$15,ROW(AI82)-ROW(AI$15),0),
ROUND(ROUND(OFFSET($P82,0,AI$13),15-13*ORÇAMENTO!$AF$7)*OFFSET(ORÇAMENTO!$W$15,ROW(AI82)-ROW(AI$15),0),15-13*ORÇAMENTO!$AF$11)),0)</f>
        <v>0</v>
      </c>
      <c r="AJ82" s="545">
        <f ca="1">IF(AND($D82="Serviço",AJ$12&lt;&gt;0,$H82&gt;0,OR(AUTOEVENTO&lt;&gt;"manual",$M82&lt;&gt;1)),
IF(Import.TipoArredondamento&lt;&gt;"TransfereGOV",
ROUND(OFFSET($P82,0,AJ$13),15-13*ORÇAMENTO!$AF$7)/$H82*OFFSET(ORÇAMENTO!$X$15,ROW(AJ82)-ROW(AJ$15),0),
ROUND(ROUND(OFFSET($P82,0,AJ$13),15-13*ORÇAMENTO!$AF$7)*OFFSET(ORÇAMENTO!$W$15,ROW(AJ82)-ROW(AJ$15),0),15-13*ORÇAMENTO!$AF$11)),0)</f>
        <v>0</v>
      </c>
      <c r="AK82" s="546">
        <f ca="1">IF(AND($D82="Serviço",AK$12&lt;&gt;0,$H82&gt;0,OR(AUTOEVENTO&lt;&gt;"manual",$M82&lt;&gt;1)),
IF(Import.TipoArredondamento&lt;&gt;"TransfereGOV",
ROUND(OFFSET($P82,0,AK$13),15-13*ORÇAMENTO!$AF$7)/$H82*OFFSET(ORÇAMENTO!$X$15,ROW(AK82)-ROW(AK$15),0),
ROUND(ROUND(OFFSET($P82,0,AK$13),15-13*ORÇAMENTO!$AF$7)*OFFSET(ORÇAMENTO!$W$15,ROW(AK82)-ROW(AK$15),0),15-13*ORÇAMENTO!$AF$11)),0)</f>
        <v>0</v>
      </c>
      <c r="AM82" s="181">
        <f ca="1">IF($D82&lt;&gt;"Serviço",0,IF(AND(AUTOEVENTO="Manual",$M82=1),0,IF(OFFSET(CRONOPLE!$F$14,$M82,AM$13)="",10^12,OFFSET(CRONOPLE!$F$14,$M82,AM$13))))</f>
        <v>1000000000000</v>
      </c>
      <c r="AN82" s="181">
        <f ca="1">IF($D82&lt;&gt;"Serviço",0,IF(AND(AUTOEVENTO="Manual",$M82=1),0,IF(OFFSET(CRONOPLE!$F$14,$M82,AN$13)="",10^12,OFFSET(CRONOPLE!$F$14,$M82,AN$13))))</f>
        <v>1000000000000</v>
      </c>
      <c r="AO82" s="181">
        <f ca="1">IF($D82&lt;&gt;"Serviço",0,IF(AND(AUTOEVENTO="Manual",$M82=1),0,IF(OFFSET(CRONOPLE!$F$14,$M82,AO$13)="",10^12,OFFSET(CRONOPLE!$F$14,$M82,AO$13))))</f>
        <v>1000000000000</v>
      </c>
      <c r="AP82" s="181">
        <f ca="1">IF($D82&lt;&gt;"Serviço",0,IF(AND(AUTOEVENTO="Manual",$M82=1),0,IF(OFFSET(CRONOPLE!$F$14,$M82,AP$13)="",10^12,OFFSET(CRONOPLE!$F$14,$M82,AP$13))))</f>
        <v>1000000000000</v>
      </c>
      <c r="AQ82" s="181">
        <f ca="1">IF($D82&lt;&gt;"Serviço",0,IF(AND(AUTOEVENTO="Manual",$M82=1),0,IF(OFFSET(CRONOPLE!$F$14,$M82,AQ$13)="",10^12,OFFSET(CRONOPLE!$F$14,$M82,AQ$13))))</f>
        <v>1000000000000</v>
      </c>
      <c r="AR82" s="181">
        <f ca="1">IF($D82&lt;&gt;"Serviço",0,IF(AND(AUTOEVENTO="Manual",$M82=1),0,IF(OFFSET(CRONOPLE!$F$14,$M82,AR$13)="",10^12,OFFSET(CRONOPLE!$F$14,$M82,AR$13))))</f>
        <v>1000000000000</v>
      </c>
      <c r="AS82" s="181">
        <f ca="1">IF($D82&lt;&gt;"Serviço",0,IF(AND(AUTOEVENTO="Manual",$M82=1),0,IF(OFFSET(CRONOPLE!$F$14,$M82,AS$13)="",10^12,OFFSET(CRONOPLE!$F$14,$M82,AS$13))))</f>
        <v>1000000000000</v>
      </c>
      <c r="AT82" s="181">
        <f ca="1">IF($D82&lt;&gt;"Serviço",0,IF(AND(AUTOEVENTO="Manual",$M82=1),0,IF(OFFSET(CRONOPLE!$F$14,$M82,AT$13)="",10^12,OFFSET(CRONOPLE!$F$14,$M82,AT$13))))</f>
        <v>1000000000000</v>
      </c>
      <c r="AU82" s="181">
        <f ca="1">IF($D82&lt;&gt;"Serviço",0,IF(AND(AUTOEVENTO="Manual",$M82=1),0,IF(OFFSET(CRONOPLE!$F$14,$M82,AU$13)="",10^12,OFFSET(CRONOPLE!$F$14,$M82,AU$13))))</f>
        <v>1000000000000</v>
      </c>
      <c r="AV82" s="181">
        <f ca="1">IF($D82&lt;&gt;"Serviço",0,IF(AND(AUTOEVENTO="Manual",$M82=1),0,IF(OFFSET(CRONOPLE!$F$14,$M82,AV$13)="",10^12,OFFSET(CRONOPLE!$F$14,$M82,AV$13))))</f>
        <v>1000000000000</v>
      </c>
      <c r="AX82" s="182">
        <f ca="1">IF($D82&lt;&gt;"Serviço",0,IF(OR(AND(AUTOEVENTO="Manual",$M82=1),$M82&gt;(ROW(PLE.lastrow)-ROW(PLE.firstrow))),0,IF(OFFSET(PLE!$G$14,$M82,AX$13)="",10^12,OFFSET(PLE!$G$14,$M82,AX$13))))</f>
        <v>1000000000000</v>
      </c>
      <c r="AY82" s="182">
        <f ca="1">IF($D82&lt;&gt;"Serviço",0,IF(OR(AND(AUTOEVENTO="Manual",$M82=1),$M82&gt;(ROW(PLE.lastrow)-ROW(PLE.firstrow))),0,IF(OFFSET(PLE!$G$14,$M82,AY$13)="",10^12,OFFSET(PLE!$G$14,$M82,AY$13))))</f>
        <v>1000000000000</v>
      </c>
      <c r="AZ82" s="182">
        <f ca="1">IF($D82&lt;&gt;"Serviço",0,IF(OR(AND(AUTOEVENTO="Manual",$M82=1),$M82&gt;(ROW(PLE.lastrow)-ROW(PLE.firstrow))),0,IF(OFFSET(PLE!$G$14,$M82,AZ$13)="",10^12,OFFSET(PLE!$G$14,$M82,AZ$13))))</f>
        <v>1000000000000</v>
      </c>
      <c r="BA82" s="182">
        <f ca="1">IF($D82&lt;&gt;"Serviço",0,IF(OR(AND(AUTOEVENTO="Manual",$M82=1),$M82&gt;(ROW(PLE.lastrow)-ROW(PLE.firstrow))),0,IF(OFFSET(PLE!$G$14,$M82,BA$13)="",10^12,OFFSET(PLE!$G$14,$M82,BA$13))))</f>
        <v>1000000000000</v>
      </c>
      <c r="BB82" s="182">
        <f ca="1">IF($D82&lt;&gt;"Serviço",0,IF(OR(AND(AUTOEVENTO="Manual",$M82=1),$M82&gt;(ROW(PLE.lastrow)-ROW(PLE.firstrow))),0,IF(OFFSET(PLE!$G$14,$M82,BB$13)="",10^12,OFFSET(PLE!$G$14,$M82,BB$13))))</f>
        <v>1000000000000</v>
      </c>
      <c r="BC82" s="182">
        <f ca="1">IF($D82&lt;&gt;"Serviço",0,IF(OR(AND(AUTOEVENTO="Manual",$M82=1),$M82&gt;(ROW(PLE.lastrow)-ROW(PLE.firstrow))),0,IF(OFFSET(PLE!$G$14,$M82,BC$13)="",10^12,OFFSET(PLE!$G$14,$M82,BC$13))))</f>
        <v>1000000000000</v>
      </c>
      <c r="BD82" s="182">
        <f ca="1">IF($D82&lt;&gt;"Serviço",0,IF(OR(AND(AUTOEVENTO="Manual",$M82=1),$M82&gt;(ROW(PLE.lastrow)-ROW(PLE.firstrow))),0,IF(OFFSET(PLE!$G$14,$M82,BD$13)="",10^12,OFFSET(PLE!$G$14,$M82,BD$13))))</f>
        <v>1000000000000</v>
      </c>
      <c r="BE82" s="182">
        <f ca="1">IF($D82&lt;&gt;"Serviço",0,IF(OR(AND(AUTOEVENTO="Manual",$M82=1),$M82&gt;(ROW(PLE.lastrow)-ROW(PLE.firstrow))),0,IF(OFFSET(PLE!$G$14,$M82,BE$13)="",10^12,OFFSET(PLE!$G$14,$M82,BE$13))))</f>
        <v>1000000000000</v>
      </c>
      <c r="BF82" s="182">
        <f ca="1">IF($D82&lt;&gt;"Serviço",0,IF(OR(AND(AUTOEVENTO="Manual",$M82=1),$M82&gt;(ROW(PLE.lastrow)-ROW(PLE.firstrow))),0,IF(OFFSET(PLE!$G$14,$M82,BF$13)="",10^12,OFFSET(PLE!$G$14,$M82,BF$13))))</f>
        <v>1000000000000</v>
      </c>
      <c r="BG82" s="182">
        <f ca="1">IF($D82&lt;&gt;"Serviço",0,IF(OR(AND(AUTOEVENTO="Manual",$M82=1),$M82&gt;(ROW(PLE.lastrow)-ROW(PLE.firstrow))),0,IF(OFFSET(PLE!$G$14,$M82,BG$13)="",10^12,OFFSET(PLE!$G$14,$M82,BG$13))))</f>
        <v>1000000000000</v>
      </c>
    </row>
    <row r="83" spans="1:59" ht="38.25" x14ac:dyDescent="0.2">
      <c r="A83" s="7" t="str">
        <f t="shared" ca="1" si="8"/>
        <v>44</v>
      </c>
      <c r="B83" s="7" t="str">
        <f ca="1">OFFSET(ORÇAMENTO!C$15,ROW(B83)-ROW(B$15),0)</f>
        <v>S</v>
      </c>
      <c r="C83" s="7" t="str">
        <f ca="1">OFFSET(ORÇAMENTO!L$15,ROW(C83)-ROW(C$15),0)</f>
        <v/>
      </c>
      <c r="D83" s="118" t="str">
        <f ca="1">OFFSET(ORÇAMENTO!N$15,ROW(D83)-ROW(D$15),0)</f>
        <v>Serviço</v>
      </c>
      <c r="E83" s="119" t="str">
        <f ca="1">OFFSET(ORÇAMENTO!O$15,ROW(E83)-ROW(E$15),0)</f>
        <v>-</v>
      </c>
      <c r="F83" s="172" t="str">
        <f ca="1">OFFSET(ORÇAMENTO!R$15,ROW(F83)-ROW(F$15),0)</f>
        <v>(abra o arquivo 'Referência 02-2025.xlsm)</v>
      </c>
      <c r="G83" s="173" t="str">
        <f ca="1">IF($D83&lt;&gt;"Serviço","",OFFSET(ORÇAMENTO!S$15,ROW(G83)-ROW(G$15),0))</f>
        <v>-</v>
      </c>
      <c r="H83" s="124">
        <f ca="1">IF($D83&lt;&gt;"Serviço",0,IF(ACOMPANHAMENTO="BM",ROUND(OFFSET(ORÇAMENTO!AJ$15,ROW(H83)-ROW(H$15),0),15-13*ORÇAMENTO!$AF$7),SUMPRODUCT(($Q$12:$AA$12&lt;&gt;"")*ROUND($Q83:$AA83,15-13*ORÇAMENTO!$AF$7))))</f>
        <v>143.35</v>
      </c>
      <c r="I83" s="561" t="s">
        <v>890</v>
      </c>
      <c r="K83" s="174"/>
      <c r="L83" s="175" t="s">
        <v>255</v>
      </c>
      <c r="M83" s="176">
        <f ca="1">IF($D83&lt;&gt;"Serviço","",IF(AUTOEVENTO="manual",$A83,IF(ISERROR(MATCH($A83,$A$15:OFFSET($A83,-1,0),0)),MAX($M$15:OFFSET(M83,-1,0))+1,INDEX($M$15:OFFSET(M83,-1,0),MATCH($A83,$A$15:OFFSET($A83,-1,0),0)))))</f>
        <v>5</v>
      </c>
      <c r="N83" s="177" t="str">
        <f ca="1">IF($D83&lt;&gt;"Serviço","",IF(AUTOEVENTO="Manual",IF($A83=0,"&lt;-- defina o número do agrupador",OFFSET(EVENTOS!$D$14,$A83,0)),OFFSET($F$15,$A83,0)))</f>
        <v>SUPERESTRUTURA</v>
      </c>
      <c r="O83" s="178"/>
      <c r="Q83" s="178"/>
      <c r="R83" s="179"/>
      <c r="S83" s="179"/>
      <c r="T83" s="179"/>
      <c r="U83" s="179"/>
      <c r="V83" s="179"/>
      <c r="W83" s="179"/>
      <c r="X83" s="179"/>
      <c r="Y83" s="179"/>
      <c r="Z83" s="180"/>
      <c r="AB83" s="544">
        <f ca="1">IF(AND($D83="Serviço",AB$12&lt;&gt;0,$H83&gt;0,OR(AUTOEVENTO&lt;&gt;"manual",$M83&lt;&gt;1)),
IF(Import.TipoArredondamento&lt;&gt;"TransfereGOV",
ROUND(OFFSET($P83,0,AB$13),15-13*ORÇAMENTO!$AF$7)/$H83*OFFSET(ORÇAMENTO!$X$15,ROW(AB83)-ROW(AB$15),0),
ROUND(ROUND(OFFSET($P83,0,AB$13),15-13*ORÇAMENTO!$AF$7)*OFFSET(ORÇAMENTO!$W$15,ROW(AB83)-ROW(AB$15),0),15-13*ORÇAMENTO!$AF$11)),0)</f>
        <v>0</v>
      </c>
      <c r="AC83" s="545">
        <f ca="1">IF(AND($D83="Serviço",AC$12&lt;&gt;0,$H83&gt;0,OR(AUTOEVENTO&lt;&gt;"manual",$M83&lt;&gt;1)),
IF(Import.TipoArredondamento&lt;&gt;"TransfereGOV",
ROUND(OFFSET($P83,0,AC$13),15-13*ORÇAMENTO!$AF$7)/$H83*OFFSET(ORÇAMENTO!$X$15,ROW(AC83)-ROW(AC$15),0),
ROUND(ROUND(OFFSET($P83,0,AC$13),15-13*ORÇAMENTO!$AF$7)*OFFSET(ORÇAMENTO!$W$15,ROW(AC83)-ROW(AC$15),0),15-13*ORÇAMENTO!$AF$11)),0)</f>
        <v>0</v>
      </c>
      <c r="AD83" s="545">
        <f ca="1">IF(AND($D83="Serviço",AD$12&lt;&gt;0,$H83&gt;0,OR(AUTOEVENTO&lt;&gt;"manual",$M83&lt;&gt;1)),
IF(Import.TipoArredondamento&lt;&gt;"TransfereGOV",
ROUND(OFFSET($P83,0,AD$13),15-13*ORÇAMENTO!$AF$7)/$H83*OFFSET(ORÇAMENTO!$X$15,ROW(AD83)-ROW(AD$15),0),
ROUND(ROUND(OFFSET($P83,0,AD$13),15-13*ORÇAMENTO!$AF$7)*OFFSET(ORÇAMENTO!$W$15,ROW(AD83)-ROW(AD$15),0),15-13*ORÇAMENTO!$AF$11)),0)</f>
        <v>0</v>
      </c>
      <c r="AE83" s="545">
        <f ca="1">IF(AND($D83="Serviço",AE$12&lt;&gt;0,$H83&gt;0,OR(AUTOEVENTO&lt;&gt;"manual",$M83&lt;&gt;1)),
IF(Import.TipoArredondamento&lt;&gt;"TransfereGOV",
ROUND(OFFSET($P83,0,AE$13),15-13*ORÇAMENTO!$AF$7)/$H83*OFFSET(ORÇAMENTO!$X$15,ROW(AE83)-ROW(AE$15),0),
ROUND(ROUND(OFFSET($P83,0,AE$13),15-13*ORÇAMENTO!$AF$7)*OFFSET(ORÇAMENTO!$W$15,ROW(AE83)-ROW(AE$15),0),15-13*ORÇAMENTO!$AF$11)),0)</f>
        <v>0</v>
      </c>
      <c r="AF83" s="545">
        <f ca="1">IF(AND($D83="Serviço",AF$12&lt;&gt;0,$H83&gt;0,OR(AUTOEVENTO&lt;&gt;"manual",$M83&lt;&gt;1)),
IF(Import.TipoArredondamento&lt;&gt;"TransfereGOV",
ROUND(OFFSET($P83,0,AF$13),15-13*ORÇAMENTO!$AF$7)/$H83*OFFSET(ORÇAMENTO!$X$15,ROW(AF83)-ROW(AF$15),0),
ROUND(ROUND(OFFSET($P83,0,AF$13),15-13*ORÇAMENTO!$AF$7)*OFFSET(ORÇAMENTO!$W$15,ROW(AF83)-ROW(AF$15),0),15-13*ORÇAMENTO!$AF$11)),0)</f>
        <v>0</v>
      </c>
      <c r="AG83" s="545">
        <f ca="1">IF(AND($D83="Serviço",AG$12&lt;&gt;0,$H83&gt;0,OR(AUTOEVENTO&lt;&gt;"manual",$M83&lt;&gt;1)),
IF(Import.TipoArredondamento&lt;&gt;"TransfereGOV",
ROUND(OFFSET($P83,0,AG$13),15-13*ORÇAMENTO!$AF$7)/$H83*OFFSET(ORÇAMENTO!$X$15,ROW(AG83)-ROW(AG$15),0),
ROUND(ROUND(OFFSET($P83,0,AG$13),15-13*ORÇAMENTO!$AF$7)*OFFSET(ORÇAMENTO!$W$15,ROW(AG83)-ROW(AG$15),0),15-13*ORÇAMENTO!$AF$11)),0)</f>
        <v>0</v>
      </c>
      <c r="AH83" s="545">
        <f ca="1">IF(AND($D83="Serviço",AH$12&lt;&gt;0,$H83&gt;0,OR(AUTOEVENTO&lt;&gt;"manual",$M83&lt;&gt;1)),
IF(Import.TipoArredondamento&lt;&gt;"TransfereGOV",
ROUND(OFFSET($P83,0,AH$13),15-13*ORÇAMENTO!$AF$7)/$H83*OFFSET(ORÇAMENTO!$X$15,ROW(AH83)-ROW(AH$15),0),
ROUND(ROUND(OFFSET($P83,0,AH$13),15-13*ORÇAMENTO!$AF$7)*OFFSET(ORÇAMENTO!$W$15,ROW(AH83)-ROW(AH$15),0),15-13*ORÇAMENTO!$AF$11)),0)</f>
        <v>0</v>
      </c>
      <c r="AI83" s="545">
        <f ca="1">IF(AND($D83="Serviço",AI$12&lt;&gt;0,$H83&gt;0,OR(AUTOEVENTO&lt;&gt;"manual",$M83&lt;&gt;1)),
IF(Import.TipoArredondamento&lt;&gt;"TransfereGOV",
ROUND(OFFSET($P83,0,AI$13),15-13*ORÇAMENTO!$AF$7)/$H83*OFFSET(ORÇAMENTO!$X$15,ROW(AI83)-ROW(AI$15),0),
ROUND(ROUND(OFFSET($P83,0,AI$13),15-13*ORÇAMENTO!$AF$7)*OFFSET(ORÇAMENTO!$W$15,ROW(AI83)-ROW(AI$15),0),15-13*ORÇAMENTO!$AF$11)),0)</f>
        <v>0</v>
      </c>
      <c r="AJ83" s="545">
        <f ca="1">IF(AND($D83="Serviço",AJ$12&lt;&gt;0,$H83&gt;0,OR(AUTOEVENTO&lt;&gt;"manual",$M83&lt;&gt;1)),
IF(Import.TipoArredondamento&lt;&gt;"TransfereGOV",
ROUND(OFFSET($P83,0,AJ$13),15-13*ORÇAMENTO!$AF$7)/$H83*OFFSET(ORÇAMENTO!$X$15,ROW(AJ83)-ROW(AJ$15),0),
ROUND(ROUND(OFFSET($P83,0,AJ$13),15-13*ORÇAMENTO!$AF$7)*OFFSET(ORÇAMENTO!$W$15,ROW(AJ83)-ROW(AJ$15),0),15-13*ORÇAMENTO!$AF$11)),0)</f>
        <v>0</v>
      </c>
      <c r="AK83" s="546">
        <f ca="1">IF(AND($D83="Serviço",AK$12&lt;&gt;0,$H83&gt;0,OR(AUTOEVENTO&lt;&gt;"manual",$M83&lt;&gt;1)),
IF(Import.TipoArredondamento&lt;&gt;"TransfereGOV",
ROUND(OFFSET($P83,0,AK$13),15-13*ORÇAMENTO!$AF$7)/$H83*OFFSET(ORÇAMENTO!$X$15,ROW(AK83)-ROW(AK$15),0),
ROUND(ROUND(OFFSET($P83,0,AK$13),15-13*ORÇAMENTO!$AF$7)*OFFSET(ORÇAMENTO!$W$15,ROW(AK83)-ROW(AK$15),0),15-13*ORÇAMENTO!$AF$11)),0)</f>
        <v>0</v>
      </c>
      <c r="AM83" s="181">
        <f ca="1">IF($D83&lt;&gt;"Serviço",0,IF(AND(AUTOEVENTO="Manual",$M83=1),0,IF(OFFSET(CRONOPLE!$F$14,$M83,AM$13)="",10^12,OFFSET(CRONOPLE!$F$14,$M83,AM$13))))</f>
        <v>1000000000000</v>
      </c>
      <c r="AN83" s="181">
        <f ca="1">IF($D83&lt;&gt;"Serviço",0,IF(AND(AUTOEVENTO="Manual",$M83=1),0,IF(OFFSET(CRONOPLE!$F$14,$M83,AN$13)="",10^12,OFFSET(CRONOPLE!$F$14,$M83,AN$13))))</f>
        <v>1000000000000</v>
      </c>
      <c r="AO83" s="181">
        <f ca="1">IF($D83&lt;&gt;"Serviço",0,IF(AND(AUTOEVENTO="Manual",$M83=1),0,IF(OFFSET(CRONOPLE!$F$14,$M83,AO$13)="",10^12,OFFSET(CRONOPLE!$F$14,$M83,AO$13))))</f>
        <v>1000000000000</v>
      </c>
      <c r="AP83" s="181">
        <f ca="1">IF($D83&lt;&gt;"Serviço",0,IF(AND(AUTOEVENTO="Manual",$M83=1),0,IF(OFFSET(CRONOPLE!$F$14,$M83,AP$13)="",10^12,OFFSET(CRONOPLE!$F$14,$M83,AP$13))))</f>
        <v>1000000000000</v>
      </c>
      <c r="AQ83" s="181">
        <f ca="1">IF($D83&lt;&gt;"Serviço",0,IF(AND(AUTOEVENTO="Manual",$M83=1),0,IF(OFFSET(CRONOPLE!$F$14,$M83,AQ$13)="",10^12,OFFSET(CRONOPLE!$F$14,$M83,AQ$13))))</f>
        <v>1000000000000</v>
      </c>
      <c r="AR83" s="181">
        <f ca="1">IF($D83&lt;&gt;"Serviço",0,IF(AND(AUTOEVENTO="Manual",$M83=1),0,IF(OFFSET(CRONOPLE!$F$14,$M83,AR$13)="",10^12,OFFSET(CRONOPLE!$F$14,$M83,AR$13))))</f>
        <v>1000000000000</v>
      </c>
      <c r="AS83" s="181">
        <f ca="1">IF($D83&lt;&gt;"Serviço",0,IF(AND(AUTOEVENTO="Manual",$M83=1),0,IF(OFFSET(CRONOPLE!$F$14,$M83,AS$13)="",10^12,OFFSET(CRONOPLE!$F$14,$M83,AS$13))))</f>
        <v>1000000000000</v>
      </c>
      <c r="AT83" s="181">
        <f ca="1">IF($D83&lt;&gt;"Serviço",0,IF(AND(AUTOEVENTO="Manual",$M83=1),0,IF(OFFSET(CRONOPLE!$F$14,$M83,AT$13)="",10^12,OFFSET(CRONOPLE!$F$14,$M83,AT$13))))</f>
        <v>1000000000000</v>
      </c>
      <c r="AU83" s="181">
        <f ca="1">IF($D83&lt;&gt;"Serviço",0,IF(AND(AUTOEVENTO="Manual",$M83=1),0,IF(OFFSET(CRONOPLE!$F$14,$M83,AU$13)="",10^12,OFFSET(CRONOPLE!$F$14,$M83,AU$13))))</f>
        <v>1000000000000</v>
      </c>
      <c r="AV83" s="181">
        <f ca="1">IF($D83&lt;&gt;"Serviço",0,IF(AND(AUTOEVENTO="Manual",$M83=1),0,IF(OFFSET(CRONOPLE!$F$14,$M83,AV$13)="",10^12,OFFSET(CRONOPLE!$F$14,$M83,AV$13))))</f>
        <v>1000000000000</v>
      </c>
      <c r="AX83" s="182">
        <f ca="1">IF($D83&lt;&gt;"Serviço",0,IF(OR(AND(AUTOEVENTO="Manual",$M83=1),$M83&gt;(ROW(PLE.lastrow)-ROW(PLE.firstrow))),0,IF(OFFSET(PLE!$G$14,$M83,AX$13)="",10^12,OFFSET(PLE!$G$14,$M83,AX$13))))</f>
        <v>1000000000000</v>
      </c>
      <c r="AY83" s="182">
        <f ca="1">IF($D83&lt;&gt;"Serviço",0,IF(OR(AND(AUTOEVENTO="Manual",$M83=1),$M83&gt;(ROW(PLE.lastrow)-ROW(PLE.firstrow))),0,IF(OFFSET(PLE!$G$14,$M83,AY$13)="",10^12,OFFSET(PLE!$G$14,$M83,AY$13))))</f>
        <v>1000000000000</v>
      </c>
      <c r="AZ83" s="182">
        <f ca="1">IF($D83&lt;&gt;"Serviço",0,IF(OR(AND(AUTOEVENTO="Manual",$M83=1),$M83&gt;(ROW(PLE.lastrow)-ROW(PLE.firstrow))),0,IF(OFFSET(PLE!$G$14,$M83,AZ$13)="",10^12,OFFSET(PLE!$G$14,$M83,AZ$13))))</f>
        <v>1000000000000</v>
      </c>
      <c r="BA83" s="182">
        <f ca="1">IF($D83&lt;&gt;"Serviço",0,IF(OR(AND(AUTOEVENTO="Manual",$M83=1),$M83&gt;(ROW(PLE.lastrow)-ROW(PLE.firstrow))),0,IF(OFFSET(PLE!$G$14,$M83,BA$13)="",10^12,OFFSET(PLE!$G$14,$M83,BA$13))))</f>
        <v>1000000000000</v>
      </c>
      <c r="BB83" s="182">
        <f ca="1">IF($D83&lt;&gt;"Serviço",0,IF(OR(AND(AUTOEVENTO="Manual",$M83=1),$M83&gt;(ROW(PLE.lastrow)-ROW(PLE.firstrow))),0,IF(OFFSET(PLE!$G$14,$M83,BB$13)="",10^12,OFFSET(PLE!$G$14,$M83,BB$13))))</f>
        <v>1000000000000</v>
      </c>
      <c r="BC83" s="182">
        <f ca="1">IF($D83&lt;&gt;"Serviço",0,IF(OR(AND(AUTOEVENTO="Manual",$M83=1),$M83&gt;(ROW(PLE.lastrow)-ROW(PLE.firstrow))),0,IF(OFFSET(PLE!$G$14,$M83,BC$13)="",10^12,OFFSET(PLE!$G$14,$M83,BC$13))))</f>
        <v>1000000000000</v>
      </c>
      <c r="BD83" s="182">
        <f ca="1">IF($D83&lt;&gt;"Serviço",0,IF(OR(AND(AUTOEVENTO="Manual",$M83=1),$M83&gt;(ROW(PLE.lastrow)-ROW(PLE.firstrow))),0,IF(OFFSET(PLE!$G$14,$M83,BD$13)="",10^12,OFFSET(PLE!$G$14,$M83,BD$13))))</f>
        <v>1000000000000</v>
      </c>
      <c r="BE83" s="182">
        <f ca="1">IF($D83&lt;&gt;"Serviço",0,IF(OR(AND(AUTOEVENTO="Manual",$M83=1),$M83&gt;(ROW(PLE.lastrow)-ROW(PLE.firstrow))),0,IF(OFFSET(PLE!$G$14,$M83,BE$13)="",10^12,OFFSET(PLE!$G$14,$M83,BE$13))))</f>
        <v>1000000000000</v>
      </c>
      <c r="BF83" s="182">
        <f ca="1">IF($D83&lt;&gt;"Serviço",0,IF(OR(AND(AUTOEVENTO="Manual",$M83=1),$M83&gt;(ROW(PLE.lastrow)-ROW(PLE.firstrow))),0,IF(OFFSET(PLE!$G$14,$M83,BF$13)="",10^12,OFFSET(PLE!$G$14,$M83,BF$13))))</f>
        <v>1000000000000</v>
      </c>
      <c r="BG83" s="182">
        <f ca="1">IF($D83&lt;&gt;"Serviço",0,IF(OR(AND(AUTOEVENTO="Manual",$M83=1),$M83&gt;(ROW(PLE.lastrow)-ROW(PLE.firstrow))),0,IF(OFFSET(PLE!$G$14,$M83,BG$13)="",10^12,OFFSET(PLE!$G$14,$M83,BG$13))))</f>
        <v>1000000000000</v>
      </c>
    </row>
    <row r="84" spans="1:59" ht="38.25" x14ac:dyDescent="0.2">
      <c r="A84" s="7" t="str">
        <f t="shared" ref="A84:A150" ca="1" si="9">IF(AUTOEVENTO="Manual",IF(K84&lt;&gt;"",MIN(VALUE(LEFT(K84,FIND(".",K84)-1)),COUNTA(EVENTOS.Lista)),0),IF(OR($B84&gt;AUTOEVENTO,$B84="S",$B84=0),SUBSTITUTE(OFFSET($A84,-1,0),IF($D84="Serviço",".",""),""),ROW(A84)-ROW($A$15)&amp;"."))</f>
        <v>44</v>
      </c>
      <c r="B84" s="7" t="str">
        <f ca="1">OFFSET(ORÇAMENTO!C$15,ROW(B84)-ROW(B$15),0)</f>
        <v>S</v>
      </c>
      <c r="C84" s="7" t="str">
        <f ca="1">OFFSET(ORÇAMENTO!L$15,ROW(C84)-ROW(C$15),0)</f>
        <v/>
      </c>
      <c r="D84" s="118" t="str">
        <f ca="1">OFFSET(ORÇAMENTO!N$15,ROW(D84)-ROW(D$15),0)</f>
        <v>Serviço</v>
      </c>
      <c r="E84" s="119" t="str">
        <f ca="1">OFFSET(ORÇAMENTO!O$15,ROW(E84)-ROW(E$15),0)</f>
        <v>-</v>
      </c>
      <c r="F84" s="172" t="str">
        <f ca="1">OFFSET(ORÇAMENTO!R$15,ROW(F84)-ROW(F$15),0)</f>
        <v>(abra o arquivo 'Referência 02-2025.xlsm)</v>
      </c>
      <c r="G84" s="173" t="str">
        <f ca="1">IF($D84&lt;&gt;"Serviço","",OFFSET(ORÇAMENTO!S$15,ROW(G84)-ROW(G$15),0))</f>
        <v>-</v>
      </c>
      <c r="H84" s="124">
        <f ca="1">IF($D84&lt;&gt;"Serviço",0,IF(ACOMPANHAMENTO="BM",ROUND(OFFSET(ORÇAMENTO!AJ$15,ROW(H84)-ROW(H$15),0),15-13*ORÇAMENTO!$AF$7),SUMPRODUCT(($Q$12:$AA$12&lt;&gt;"")*ROUND($Q84:$AA84,15-13*ORÇAMENTO!$AF$7))))</f>
        <v>713.59</v>
      </c>
      <c r="I84" s="561" t="s">
        <v>890</v>
      </c>
      <c r="K84" s="174"/>
      <c r="L84" s="175" t="s">
        <v>255</v>
      </c>
      <c r="M84" s="176">
        <f ca="1">IF($D84&lt;&gt;"Serviço","",IF(AUTOEVENTO="manual",$A84,IF(ISERROR(MATCH($A84,$A$15:OFFSET($A84,-1,0),0)),MAX($M$15:OFFSET(M84,-1,0))+1,INDEX($M$15:OFFSET(M84,-1,0),MATCH($A84,$A$15:OFFSET($A84,-1,0),0)))))</f>
        <v>5</v>
      </c>
      <c r="N84" s="177" t="str">
        <f ca="1">IF($D84&lt;&gt;"Serviço","",IF(AUTOEVENTO="Manual",IF($A84=0,"&lt;-- defina o número do agrupador",OFFSET(EVENTOS!$D$14,$A84,0)),OFFSET($F$15,$A84,0)))</f>
        <v>SUPERESTRUTURA</v>
      </c>
      <c r="O84" s="178"/>
      <c r="Q84" s="178"/>
      <c r="R84" s="179"/>
      <c r="S84" s="179"/>
      <c r="T84" s="179"/>
      <c r="U84" s="179"/>
      <c r="V84" s="179"/>
      <c r="W84" s="179"/>
      <c r="X84" s="179"/>
      <c r="Y84" s="179"/>
      <c r="Z84" s="180"/>
      <c r="AB84" s="544">
        <f ca="1">IF(AND($D84="Serviço",AB$12&lt;&gt;0,$H84&gt;0,OR(AUTOEVENTO&lt;&gt;"manual",$M84&lt;&gt;1)),
IF(Import.TipoArredondamento&lt;&gt;"TransfereGOV",
ROUND(OFFSET($P84,0,AB$13),15-13*ORÇAMENTO!$AF$7)/$H84*OFFSET(ORÇAMENTO!$X$15,ROW(AB84)-ROW(AB$15),0),
ROUND(ROUND(OFFSET($P84,0,AB$13),15-13*ORÇAMENTO!$AF$7)*OFFSET(ORÇAMENTO!$W$15,ROW(AB84)-ROW(AB$15),0),15-13*ORÇAMENTO!$AF$11)),0)</f>
        <v>0</v>
      </c>
      <c r="AC84" s="545">
        <f ca="1">IF(AND($D84="Serviço",AC$12&lt;&gt;0,$H84&gt;0,OR(AUTOEVENTO&lt;&gt;"manual",$M84&lt;&gt;1)),
IF(Import.TipoArredondamento&lt;&gt;"TransfereGOV",
ROUND(OFFSET($P84,0,AC$13),15-13*ORÇAMENTO!$AF$7)/$H84*OFFSET(ORÇAMENTO!$X$15,ROW(AC84)-ROW(AC$15),0),
ROUND(ROUND(OFFSET($P84,0,AC$13),15-13*ORÇAMENTO!$AF$7)*OFFSET(ORÇAMENTO!$W$15,ROW(AC84)-ROW(AC$15),0),15-13*ORÇAMENTO!$AF$11)),0)</f>
        <v>0</v>
      </c>
      <c r="AD84" s="545">
        <f ca="1">IF(AND($D84="Serviço",AD$12&lt;&gt;0,$H84&gt;0,OR(AUTOEVENTO&lt;&gt;"manual",$M84&lt;&gt;1)),
IF(Import.TipoArredondamento&lt;&gt;"TransfereGOV",
ROUND(OFFSET($P84,0,AD$13),15-13*ORÇAMENTO!$AF$7)/$H84*OFFSET(ORÇAMENTO!$X$15,ROW(AD84)-ROW(AD$15),0),
ROUND(ROUND(OFFSET($P84,0,AD$13),15-13*ORÇAMENTO!$AF$7)*OFFSET(ORÇAMENTO!$W$15,ROW(AD84)-ROW(AD$15),0),15-13*ORÇAMENTO!$AF$11)),0)</f>
        <v>0</v>
      </c>
      <c r="AE84" s="545">
        <f ca="1">IF(AND($D84="Serviço",AE$12&lt;&gt;0,$H84&gt;0,OR(AUTOEVENTO&lt;&gt;"manual",$M84&lt;&gt;1)),
IF(Import.TipoArredondamento&lt;&gt;"TransfereGOV",
ROUND(OFFSET($P84,0,AE$13),15-13*ORÇAMENTO!$AF$7)/$H84*OFFSET(ORÇAMENTO!$X$15,ROW(AE84)-ROW(AE$15),0),
ROUND(ROUND(OFFSET($P84,0,AE$13),15-13*ORÇAMENTO!$AF$7)*OFFSET(ORÇAMENTO!$W$15,ROW(AE84)-ROW(AE$15),0),15-13*ORÇAMENTO!$AF$11)),0)</f>
        <v>0</v>
      </c>
      <c r="AF84" s="545">
        <f ca="1">IF(AND($D84="Serviço",AF$12&lt;&gt;0,$H84&gt;0,OR(AUTOEVENTO&lt;&gt;"manual",$M84&lt;&gt;1)),
IF(Import.TipoArredondamento&lt;&gt;"TransfereGOV",
ROUND(OFFSET($P84,0,AF$13),15-13*ORÇAMENTO!$AF$7)/$H84*OFFSET(ORÇAMENTO!$X$15,ROW(AF84)-ROW(AF$15),0),
ROUND(ROUND(OFFSET($P84,0,AF$13),15-13*ORÇAMENTO!$AF$7)*OFFSET(ORÇAMENTO!$W$15,ROW(AF84)-ROW(AF$15),0),15-13*ORÇAMENTO!$AF$11)),0)</f>
        <v>0</v>
      </c>
      <c r="AG84" s="545">
        <f ca="1">IF(AND($D84="Serviço",AG$12&lt;&gt;0,$H84&gt;0,OR(AUTOEVENTO&lt;&gt;"manual",$M84&lt;&gt;1)),
IF(Import.TipoArredondamento&lt;&gt;"TransfereGOV",
ROUND(OFFSET($P84,0,AG$13),15-13*ORÇAMENTO!$AF$7)/$H84*OFFSET(ORÇAMENTO!$X$15,ROW(AG84)-ROW(AG$15),0),
ROUND(ROUND(OFFSET($P84,0,AG$13),15-13*ORÇAMENTO!$AF$7)*OFFSET(ORÇAMENTO!$W$15,ROW(AG84)-ROW(AG$15),0),15-13*ORÇAMENTO!$AF$11)),0)</f>
        <v>0</v>
      </c>
      <c r="AH84" s="545">
        <f ca="1">IF(AND($D84="Serviço",AH$12&lt;&gt;0,$H84&gt;0,OR(AUTOEVENTO&lt;&gt;"manual",$M84&lt;&gt;1)),
IF(Import.TipoArredondamento&lt;&gt;"TransfereGOV",
ROUND(OFFSET($P84,0,AH$13),15-13*ORÇAMENTO!$AF$7)/$H84*OFFSET(ORÇAMENTO!$X$15,ROW(AH84)-ROW(AH$15),0),
ROUND(ROUND(OFFSET($P84,0,AH$13),15-13*ORÇAMENTO!$AF$7)*OFFSET(ORÇAMENTO!$W$15,ROW(AH84)-ROW(AH$15),0),15-13*ORÇAMENTO!$AF$11)),0)</f>
        <v>0</v>
      </c>
      <c r="AI84" s="545">
        <f ca="1">IF(AND($D84="Serviço",AI$12&lt;&gt;0,$H84&gt;0,OR(AUTOEVENTO&lt;&gt;"manual",$M84&lt;&gt;1)),
IF(Import.TipoArredondamento&lt;&gt;"TransfereGOV",
ROUND(OFFSET($P84,0,AI$13),15-13*ORÇAMENTO!$AF$7)/$H84*OFFSET(ORÇAMENTO!$X$15,ROW(AI84)-ROW(AI$15),0),
ROUND(ROUND(OFFSET($P84,0,AI$13),15-13*ORÇAMENTO!$AF$7)*OFFSET(ORÇAMENTO!$W$15,ROW(AI84)-ROW(AI$15),0),15-13*ORÇAMENTO!$AF$11)),0)</f>
        <v>0</v>
      </c>
      <c r="AJ84" s="545">
        <f ca="1">IF(AND($D84="Serviço",AJ$12&lt;&gt;0,$H84&gt;0,OR(AUTOEVENTO&lt;&gt;"manual",$M84&lt;&gt;1)),
IF(Import.TipoArredondamento&lt;&gt;"TransfereGOV",
ROUND(OFFSET($P84,0,AJ$13),15-13*ORÇAMENTO!$AF$7)/$H84*OFFSET(ORÇAMENTO!$X$15,ROW(AJ84)-ROW(AJ$15),0),
ROUND(ROUND(OFFSET($P84,0,AJ$13),15-13*ORÇAMENTO!$AF$7)*OFFSET(ORÇAMENTO!$W$15,ROW(AJ84)-ROW(AJ$15),0),15-13*ORÇAMENTO!$AF$11)),0)</f>
        <v>0</v>
      </c>
      <c r="AK84" s="546">
        <f ca="1">IF(AND($D84="Serviço",AK$12&lt;&gt;0,$H84&gt;0,OR(AUTOEVENTO&lt;&gt;"manual",$M84&lt;&gt;1)),
IF(Import.TipoArredondamento&lt;&gt;"TransfereGOV",
ROUND(OFFSET($P84,0,AK$13),15-13*ORÇAMENTO!$AF$7)/$H84*OFFSET(ORÇAMENTO!$X$15,ROW(AK84)-ROW(AK$15),0),
ROUND(ROUND(OFFSET($P84,0,AK$13),15-13*ORÇAMENTO!$AF$7)*OFFSET(ORÇAMENTO!$W$15,ROW(AK84)-ROW(AK$15),0),15-13*ORÇAMENTO!$AF$11)),0)</f>
        <v>0</v>
      </c>
      <c r="AM84" s="181">
        <f ca="1">IF($D84&lt;&gt;"Serviço",0,IF(AND(AUTOEVENTO="Manual",$M84=1),0,IF(OFFSET(CRONOPLE!$F$14,$M84,AM$13)="",10^12,OFFSET(CRONOPLE!$F$14,$M84,AM$13))))</f>
        <v>1000000000000</v>
      </c>
      <c r="AN84" s="181">
        <f ca="1">IF($D84&lt;&gt;"Serviço",0,IF(AND(AUTOEVENTO="Manual",$M84=1),0,IF(OFFSET(CRONOPLE!$F$14,$M84,AN$13)="",10^12,OFFSET(CRONOPLE!$F$14,$M84,AN$13))))</f>
        <v>1000000000000</v>
      </c>
      <c r="AO84" s="181">
        <f ca="1">IF($D84&lt;&gt;"Serviço",0,IF(AND(AUTOEVENTO="Manual",$M84=1),0,IF(OFFSET(CRONOPLE!$F$14,$M84,AO$13)="",10^12,OFFSET(CRONOPLE!$F$14,$M84,AO$13))))</f>
        <v>1000000000000</v>
      </c>
      <c r="AP84" s="181">
        <f ca="1">IF($D84&lt;&gt;"Serviço",0,IF(AND(AUTOEVENTO="Manual",$M84=1),0,IF(OFFSET(CRONOPLE!$F$14,$M84,AP$13)="",10^12,OFFSET(CRONOPLE!$F$14,$M84,AP$13))))</f>
        <v>1000000000000</v>
      </c>
      <c r="AQ84" s="181">
        <f ca="1">IF($D84&lt;&gt;"Serviço",0,IF(AND(AUTOEVENTO="Manual",$M84=1),0,IF(OFFSET(CRONOPLE!$F$14,$M84,AQ$13)="",10^12,OFFSET(CRONOPLE!$F$14,$M84,AQ$13))))</f>
        <v>1000000000000</v>
      </c>
      <c r="AR84" s="181">
        <f ca="1">IF($D84&lt;&gt;"Serviço",0,IF(AND(AUTOEVENTO="Manual",$M84=1),0,IF(OFFSET(CRONOPLE!$F$14,$M84,AR$13)="",10^12,OFFSET(CRONOPLE!$F$14,$M84,AR$13))))</f>
        <v>1000000000000</v>
      </c>
      <c r="AS84" s="181">
        <f ca="1">IF($D84&lt;&gt;"Serviço",0,IF(AND(AUTOEVENTO="Manual",$M84=1),0,IF(OFFSET(CRONOPLE!$F$14,$M84,AS$13)="",10^12,OFFSET(CRONOPLE!$F$14,$M84,AS$13))))</f>
        <v>1000000000000</v>
      </c>
      <c r="AT84" s="181">
        <f ca="1">IF($D84&lt;&gt;"Serviço",0,IF(AND(AUTOEVENTO="Manual",$M84=1),0,IF(OFFSET(CRONOPLE!$F$14,$M84,AT$13)="",10^12,OFFSET(CRONOPLE!$F$14,$M84,AT$13))))</f>
        <v>1000000000000</v>
      </c>
      <c r="AU84" s="181">
        <f ca="1">IF($D84&lt;&gt;"Serviço",0,IF(AND(AUTOEVENTO="Manual",$M84=1),0,IF(OFFSET(CRONOPLE!$F$14,$M84,AU$13)="",10^12,OFFSET(CRONOPLE!$F$14,$M84,AU$13))))</f>
        <v>1000000000000</v>
      </c>
      <c r="AV84" s="181">
        <f ca="1">IF($D84&lt;&gt;"Serviço",0,IF(AND(AUTOEVENTO="Manual",$M84=1),0,IF(OFFSET(CRONOPLE!$F$14,$M84,AV$13)="",10^12,OFFSET(CRONOPLE!$F$14,$M84,AV$13))))</f>
        <v>1000000000000</v>
      </c>
      <c r="AX84" s="182">
        <f ca="1">IF($D84&lt;&gt;"Serviço",0,IF(OR(AND(AUTOEVENTO="Manual",$M84=1),$M84&gt;(ROW(PLE.lastrow)-ROW(PLE.firstrow))),0,IF(OFFSET(PLE!$G$14,$M84,AX$13)="",10^12,OFFSET(PLE!$G$14,$M84,AX$13))))</f>
        <v>1000000000000</v>
      </c>
      <c r="AY84" s="182">
        <f ca="1">IF($D84&lt;&gt;"Serviço",0,IF(OR(AND(AUTOEVENTO="Manual",$M84=1),$M84&gt;(ROW(PLE.lastrow)-ROW(PLE.firstrow))),0,IF(OFFSET(PLE!$G$14,$M84,AY$13)="",10^12,OFFSET(PLE!$G$14,$M84,AY$13))))</f>
        <v>1000000000000</v>
      </c>
      <c r="AZ84" s="182">
        <f ca="1">IF($D84&lt;&gt;"Serviço",0,IF(OR(AND(AUTOEVENTO="Manual",$M84=1),$M84&gt;(ROW(PLE.lastrow)-ROW(PLE.firstrow))),0,IF(OFFSET(PLE!$G$14,$M84,AZ$13)="",10^12,OFFSET(PLE!$G$14,$M84,AZ$13))))</f>
        <v>1000000000000</v>
      </c>
      <c r="BA84" s="182">
        <f ca="1">IF($D84&lt;&gt;"Serviço",0,IF(OR(AND(AUTOEVENTO="Manual",$M84=1),$M84&gt;(ROW(PLE.lastrow)-ROW(PLE.firstrow))),0,IF(OFFSET(PLE!$G$14,$M84,BA$13)="",10^12,OFFSET(PLE!$G$14,$M84,BA$13))))</f>
        <v>1000000000000</v>
      </c>
      <c r="BB84" s="182">
        <f ca="1">IF($D84&lt;&gt;"Serviço",0,IF(OR(AND(AUTOEVENTO="Manual",$M84=1),$M84&gt;(ROW(PLE.lastrow)-ROW(PLE.firstrow))),0,IF(OFFSET(PLE!$G$14,$M84,BB$13)="",10^12,OFFSET(PLE!$G$14,$M84,BB$13))))</f>
        <v>1000000000000</v>
      </c>
      <c r="BC84" s="182">
        <f ca="1">IF($D84&lt;&gt;"Serviço",0,IF(OR(AND(AUTOEVENTO="Manual",$M84=1),$M84&gt;(ROW(PLE.lastrow)-ROW(PLE.firstrow))),0,IF(OFFSET(PLE!$G$14,$M84,BC$13)="",10^12,OFFSET(PLE!$G$14,$M84,BC$13))))</f>
        <v>1000000000000</v>
      </c>
      <c r="BD84" s="182">
        <f ca="1">IF($D84&lt;&gt;"Serviço",0,IF(OR(AND(AUTOEVENTO="Manual",$M84=1),$M84&gt;(ROW(PLE.lastrow)-ROW(PLE.firstrow))),0,IF(OFFSET(PLE!$G$14,$M84,BD$13)="",10^12,OFFSET(PLE!$G$14,$M84,BD$13))))</f>
        <v>1000000000000</v>
      </c>
      <c r="BE84" s="182">
        <f ca="1">IF($D84&lt;&gt;"Serviço",0,IF(OR(AND(AUTOEVENTO="Manual",$M84=1),$M84&gt;(ROW(PLE.lastrow)-ROW(PLE.firstrow))),0,IF(OFFSET(PLE!$G$14,$M84,BE$13)="",10^12,OFFSET(PLE!$G$14,$M84,BE$13))))</f>
        <v>1000000000000</v>
      </c>
      <c r="BF84" s="182">
        <f ca="1">IF($D84&lt;&gt;"Serviço",0,IF(OR(AND(AUTOEVENTO="Manual",$M84=1),$M84&gt;(ROW(PLE.lastrow)-ROW(PLE.firstrow))),0,IF(OFFSET(PLE!$G$14,$M84,BF$13)="",10^12,OFFSET(PLE!$G$14,$M84,BF$13))))</f>
        <v>1000000000000</v>
      </c>
      <c r="BG84" s="182">
        <f ca="1">IF($D84&lt;&gt;"Serviço",0,IF(OR(AND(AUTOEVENTO="Manual",$M84=1),$M84&gt;(ROW(PLE.lastrow)-ROW(PLE.firstrow))),0,IF(OFFSET(PLE!$G$14,$M84,BG$13)="",10^12,OFFSET(PLE!$G$14,$M84,BG$13))))</f>
        <v>1000000000000</v>
      </c>
    </row>
    <row r="85" spans="1:59" ht="38.25" x14ac:dyDescent="0.2">
      <c r="A85" s="7" t="str">
        <f ca="1">IF(AUTOEVENTO="Manual",IF(K85&lt;&gt;"",MIN(VALUE(LEFT(K85,FIND(".",K85)-1)),COUNTA(EVENTOS.Lista)),0),IF(OR($B85&gt;AUTOEVENTO,$B85="S",$B85=0),SUBSTITUTE(OFFSET($A85,-1,0),IF($D85="Serviço",".",""),""),ROW(A85)-ROW($A$15)&amp;"."))</f>
        <v>44</v>
      </c>
      <c r="B85" s="7" t="str">
        <f ca="1">OFFSET(ORÇAMENTO!C$15,ROW(B85)-ROW(B$15),0)</f>
        <v>S</v>
      </c>
      <c r="C85" s="7" t="str">
        <f ca="1">OFFSET(ORÇAMENTO!L$15,ROW(C85)-ROW(C$15),0)</f>
        <v/>
      </c>
      <c r="D85" s="118" t="str">
        <f ca="1">OFFSET(ORÇAMENTO!N$15,ROW(D85)-ROW(D$15),0)</f>
        <v>Serviço</v>
      </c>
      <c r="E85" s="119" t="str">
        <f ca="1">OFFSET(ORÇAMENTO!O$15,ROW(E85)-ROW(E$15),0)</f>
        <v>-</v>
      </c>
      <c r="F85" s="172" t="str">
        <f ca="1">OFFSET(ORÇAMENTO!R$15,ROW(F85)-ROW(F$15),0)</f>
        <v>(abra o arquivo 'Referência 02-2025.xlsm)</v>
      </c>
      <c r="G85" s="173" t="str">
        <f ca="1">IF($D85&lt;&gt;"Serviço","",OFFSET(ORÇAMENTO!S$15,ROW(G85)-ROW(G$15),0))</f>
        <v>-</v>
      </c>
      <c r="H85" s="124">
        <f ca="1">IF($D85&lt;&gt;"Serviço",0,IF(ACOMPANHAMENTO="BM",ROUND(OFFSET(ORÇAMENTO!AJ$15,ROW(H85)-ROW(H$15),0),15-13*ORÇAMENTO!$AF$7),SUMPRODUCT(($Q$12:$AA$12&lt;&gt;"")*ROUND($Q85:$AA85,15-13*ORÇAMENTO!$AF$7))))</f>
        <v>46.77</v>
      </c>
      <c r="I85" s="561"/>
      <c r="K85" s="174"/>
      <c r="L85" s="175" t="s">
        <v>255</v>
      </c>
      <c r="M85" s="176">
        <f ca="1">IF($D85&lt;&gt;"Serviço","",IF(AUTOEVENTO="manual",$A85,IF(ISERROR(MATCH($A85,$A$15:OFFSET($A85,-1,0),0)),MAX($M$15:OFFSET(M85,-1,0))+1,INDEX($M$15:OFFSET(M85,-1,0),MATCH($A85,$A$15:OFFSET($A85,-1,0),0)))))</f>
        <v>5</v>
      </c>
      <c r="N85" s="177" t="str">
        <f ca="1">IF($D85&lt;&gt;"Serviço","",IF(AUTOEVENTO="Manual",IF($A85=0,"&lt;-- defina o número do agrupador",OFFSET(EVENTOS!$D$14,$A85,0)),OFFSET($F$15,$A85,0)))</f>
        <v>SUPERESTRUTURA</v>
      </c>
      <c r="O85" s="178"/>
      <c r="Q85" s="178"/>
      <c r="R85" s="179"/>
      <c r="S85" s="179"/>
      <c r="T85" s="179"/>
      <c r="U85" s="179"/>
      <c r="V85" s="179"/>
      <c r="W85" s="179"/>
      <c r="X85" s="179"/>
      <c r="Y85" s="179"/>
      <c r="Z85" s="180"/>
      <c r="AB85" s="544">
        <f ca="1">IF(AND($D85="Serviço",AB$12&lt;&gt;0,$H85&gt;0,OR(AUTOEVENTO&lt;&gt;"manual",$M85&lt;&gt;1)),
IF(Import.TipoArredondamento&lt;&gt;"TransfereGOV",
ROUND(OFFSET($P85,0,AB$13),15-13*ORÇAMENTO!$AF$7)/$H85*OFFSET(ORÇAMENTO!$X$15,ROW(AB85)-ROW(AB$15),0),
ROUND(ROUND(OFFSET($P85,0,AB$13),15-13*ORÇAMENTO!$AF$7)*OFFSET(ORÇAMENTO!$W$15,ROW(AB85)-ROW(AB$15),0),15-13*ORÇAMENTO!$AF$11)),0)</f>
        <v>0</v>
      </c>
      <c r="AC85" s="545">
        <f ca="1">IF(AND($D85="Serviço",AC$12&lt;&gt;0,$H85&gt;0,OR(AUTOEVENTO&lt;&gt;"manual",$M85&lt;&gt;1)),
IF(Import.TipoArredondamento&lt;&gt;"TransfereGOV",
ROUND(OFFSET($P85,0,AC$13),15-13*ORÇAMENTO!$AF$7)/$H85*OFFSET(ORÇAMENTO!$X$15,ROW(AC85)-ROW(AC$15),0),
ROUND(ROUND(OFFSET($P85,0,AC$13),15-13*ORÇAMENTO!$AF$7)*OFFSET(ORÇAMENTO!$W$15,ROW(AC85)-ROW(AC$15),0),15-13*ORÇAMENTO!$AF$11)),0)</f>
        <v>0</v>
      </c>
      <c r="AD85" s="545">
        <f ca="1">IF(AND($D85="Serviço",AD$12&lt;&gt;0,$H85&gt;0,OR(AUTOEVENTO&lt;&gt;"manual",$M85&lt;&gt;1)),
IF(Import.TipoArredondamento&lt;&gt;"TransfereGOV",
ROUND(OFFSET($P85,0,AD$13),15-13*ORÇAMENTO!$AF$7)/$H85*OFFSET(ORÇAMENTO!$X$15,ROW(AD85)-ROW(AD$15),0),
ROUND(ROUND(OFFSET($P85,0,AD$13),15-13*ORÇAMENTO!$AF$7)*OFFSET(ORÇAMENTO!$W$15,ROW(AD85)-ROW(AD$15),0),15-13*ORÇAMENTO!$AF$11)),0)</f>
        <v>0</v>
      </c>
      <c r="AE85" s="545">
        <f ca="1">IF(AND($D85="Serviço",AE$12&lt;&gt;0,$H85&gt;0,OR(AUTOEVENTO&lt;&gt;"manual",$M85&lt;&gt;1)),
IF(Import.TipoArredondamento&lt;&gt;"TransfereGOV",
ROUND(OFFSET($P85,0,AE$13),15-13*ORÇAMENTO!$AF$7)/$H85*OFFSET(ORÇAMENTO!$X$15,ROW(AE85)-ROW(AE$15),0),
ROUND(ROUND(OFFSET($P85,0,AE$13),15-13*ORÇAMENTO!$AF$7)*OFFSET(ORÇAMENTO!$W$15,ROW(AE85)-ROW(AE$15),0),15-13*ORÇAMENTO!$AF$11)),0)</f>
        <v>0</v>
      </c>
      <c r="AF85" s="545">
        <f ca="1">IF(AND($D85="Serviço",AF$12&lt;&gt;0,$H85&gt;0,OR(AUTOEVENTO&lt;&gt;"manual",$M85&lt;&gt;1)),
IF(Import.TipoArredondamento&lt;&gt;"TransfereGOV",
ROUND(OFFSET($P85,0,AF$13),15-13*ORÇAMENTO!$AF$7)/$H85*OFFSET(ORÇAMENTO!$X$15,ROW(AF85)-ROW(AF$15),0),
ROUND(ROUND(OFFSET($P85,0,AF$13),15-13*ORÇAMENTO!$AF$7)*OFFSET(ORÇAMENTO!$W$15,ROW(AF85)-ROW(AF$15),0),15-13*ORÇAMENTO!$AF$11)),0)</f>
        <v>0</v>
      </c>
      <c r="AG85" s="545">
        <f ca="1">IF(AND($D85="Serviço",AG$12&lt;&gt;0,$H85&gt;0,OR(AUTOEVENTO&lt;&gt;"manual",$M85&lt;&gt;1)),
IF(Import.TipoArredondamento&lt;&gt;"TransfereGOV",
ROUND(OFFSET($P85,0,AG$13),15-13*ORÇAMENTO!$AF$7)/$H85*OFFSET(ORÇAMENTO!$X$15,ROW(AG85)-ROW(AG$15),0),
ROUND(ROUND(OFFSET($P85,0,AG$13),15-13*ORÇAMENTO!$AF$7)*OFFSET(ORÇAMENTO!$W$15,ROW(AG85)-ROW(AG$15),0),15-13*ORÇAMENTO!$AF$11)),0)</f>
        <v>0</v>
      </c>
      <c r="AH85" s="545">
        <f ca="1">IF(AND($D85="Serviço",AH$12&lt;&gt;0,$H85&gt;0,OR(AUTOEVENTO&lt;&gt;"manual",$M85&lt;&gt;1)),
IF(Import.TipoArredondamento&lt;&gt;"TransfereGOV",
ROUND(OFFSET($P85,0,AH$13),15-13*ORÇAMENTO!$AF$7)/$H85*OFFSET(ORÇAMENTO!$X$15,ROW(AH85)-ROW(AH$15),0),
ROUND(ROUND(OFFSET($P85,0,AH$13),15-13*ORÇAMENTO!$AF$7)*OFFSET(ORÇAMENTO!$W$15,ROW(AH85)-ROW(AH$15),0),15-13*ORÇAMENTO!$AF$11)),0)</f>
        <v>0</v>
      </c>
      <c r="AI85" s="545">
        <f ca="1">IF(AND($D85="Serviço",AI$12&lt;&gt;0,$H85&gt;0,OR(AUTOEVENTO&lt;&gt;"manual",$M85&lt;&gt;1)),
IF(Import.TipoArredondamento&lt;&gt;"TransfereGOV",
ROUND(OFFSET($P85,0,AI$13),15-13*ORÇAMENTO!$AF$7)/$H85*OFFSET(ORÇAMENTO!$X$15,ROW(AI85)-ROW(AI$15),0),
ROUND(ROUND(OFFSET($P85,0,AI$13),15-13*ORÇAMENTO!$AF$7)*OFFSET(ORÇAMENTO!$W$15,ROW(AI85)-ROW(AI$15),0),15-13*ORÇAMENTO!$AF$11)),0)</f>
        <v>0</v>
      </c>
      <c r="AJ85" s="545">
        <f ca="1">IF(AND($D85="Serviço",AJ$12&lt;&gt;0,$H85&gt;0,OR(AUTOEVENTO&lt;&gt;"manual",$M85&lt;&gt;1)),
IF(Import.TipoArredondamento&lt;&gt;"TransfereGOV",
ROUND(OFFSET($P85,0,AJ$13),15-13*ORÇAMENTO!$AF$7)/$H85*OFFSET(ORÇAMENTO!$X$15,ROW(AJ85)-ROW(AJ$15),0),
ROUND(ROUND(OFFSET($P85,0,AJ$13),15-13*ORÇAMENTO!$AF$7)*OFFSET(ORÇAMENTO!$W$15,ROW(AJ85)-ROW(AJ$15),0),15-13*ORÇAMENTO!$AF$11)),0)</f>
        <v>0</v>
      </c>
      <c r="AK85" s="546">
        <f ca="1">IF(AND($D85="Serviço",AK$12&lt;&gt;0,$H85&gt;0,OR(AUTOEVENTO&lt;&gt;"manual",$M85&lt;&gt;1)),
IF(Import.TipoArredondamento&lt;&gt;"TransfereGOV",
ROUND(OFFSET($P85,0,AK$13),15-13*ORÇAMENTO!$AF$7)/$H85*OFFSET(ORÇAMENTO!$X$15,ROW(AK85)-ROW(AK$15),0),
ROUND(ROUND(OFFSET($P85,0,AK$13),15-13*ORÇAMENTO!$AF$7)*OFFSET(ORÇAMENTO!$W$15,ROW(AK85)-ROW(AK$15),0),15-13*ORÇAMENTO!$AF$11)),0)</f>
        <v>0</v>
      </c>
      <c r="AM85" s="181">
        <f ca="1">IF($D85&lt;&gt;"Serviço",0,IF(AND(AUTOEVENTO="Manual",$M85=1),0,IF(OFFSET(CRONOPLE!$F$14,$M85,AM$13)="",10^12,OFFSET(CRONOPLE!$F$14,$M85,AM$13))))</f>
        <v>1000000000000</v>
      </c>
      <c r="AN85" s="181">
        <f ca="1">IF($D85&lt;&gt;"Serviço",0,IF(AND(AUTOEVENTO="Manual",$M85=1),0,IF(OFFSET(CRONOPLE!$F$14,$M85,AN$13)="",10^12,OFFSET(CRONOPLE!$F$14,$M85,AN$13))))</f>
        <v>1000000000000</v>
      </c>
      <c r="AO85" s="181">
        <f ca="1">IF($D85&lt;&gt;"Serviço",0,IF(AND(AUTOEVENTO="Manual",$M85=1),0,IF(OFFSET(CRONOPLE!$F$14,$M85,AO$13)="",10^12,OFFSET(CRONOPLE!$F$14,$M85,AO$13))))</f>
        <v>1000000000000</v>
      </c>
      <c r="AP85" s="181">
        <f ca="1">IF($D85&lt;&gt;"Serviço",0,IF(AND(AUTOEVENTO="Manual",$M85=1),0,IF(OFFSET(CRONOPLE!$F$14,$M85,AP$13)="",10^12,OFFSET(CRONOPLE!$F$14,$M85,AP$13))))</f>
        <v>1000000000000</v>
      </c>
      <c r="AQ85" s="181">
        <f ca="1">IF($D85&lt;&gt;"Serviço",0,IF(AND(AUTOEVENTO="Manual",$M85=1),0,IF(OFFSET(CRONOPLE!$F$14,$M85,AQ$13)="",10^12,OFFSET(CRONOPLE!$F$14,$M85,AQ$13))))</f>
        <v>1000000000000</v>
      </c>
      <c r="AR85" s="181">
        <f ca="1">IF($D85&lt;&gt;"Serviço",0,IF(AND(AUTOEVENTO="Manual",$M85=1),0,IF(OFFSET(CRONOPLE!$F$14,$M85,AR$13)="",10^12,OFFSET(CRONOPLE!$F$14,$M85,AR$13))))</f>
        <v>1000000000000</v>
      </c>
      <c r="AS85" s="181">
        <f ca="1">IF($D85&lt;&gt;"Serviço",0,IF(AND(AUTOEVENTO="Manual",$M85=1),0,IF(OFFSET(CRONOPLE!$F$14,$M85,AS$13)="",10^12,OFFSET(CRONOPLE!$F$14,$M85,AS$13))))</f>
        <v>1000000000000</v>
      </c>
      <c r="AT85" s="181">
        <f ca="1">IF($D85&lt;&gt;"Serviço",0,IF(AND(AUTOEVENTO="Manual",$M85=1),0,IF(OFFSET(CRONOPLE!$F$14,$M85,AT$13)="",10^12,OFFSET(CRONOPLE!$F$14,$M85,AT$13))))</f>
        <v>1000000000000</v>
      </c>
      <c r="AU85" s="181">
        <f ca="1">IF($D85&lt;&gt;"Serviço",0,IF(AND(AUTOEVENTO="Manual",$M85=1),0,IF(OFFSET(CRONOPLE!$F$14,$M85,AU$13)="",10^12,OFFSET(CRONOPLE!$F$14,$M85,AU$13))))</f>
        <v>1000000000000</v>
      </c>
      <c r="AV85" s="181">
        <f ca="1">IF($D85&lt;&gt;"Serviço",0,IF(AND(AUTOEVENTO="Manual",$M85=1),0,IF(OFFSET(CRONOPLE!$F$14,$M85,AV$13)="",10^12,OFFSET(CRONOPLE!$F$14,$M85,AV$13))))</f>
        <v>1000000000000</v>
      </c>
      <c r="AX85" s="182">
        <f ca="1">IF($D85&lt;&gt;"Serviço",0,IF(OR(AND(AUTOEVENTO="Manual",$M85=1),$M85&gt;(ROW(PLE.lastrow)-ROW(PLE.firstrow))),0,IF(OFFSET(PLE!$G$14,$M85,AX$13)="",10^12,OFFSET(PLE!$G$14,$M85,AX$13))))</f>
        <v>1000000000000</v>
      </c>
      <c r="AY85" s="182">
        <f ca="1">IF($D85&lt;&gt;"Serviço",0,IF(OR(AND(AUTOEVENTO="Manual",$M85=1),$M85&gt;(ROW(PLE.lastrow)-ROW(PLE.firstrow))),0,IF(OFFSET(PLE!$G$14,$M85,AY$13)="",10^12,OFFSET(PLE!$G$14,$M85,AY$13))))</f>
        <v>1000000000000</v>
      </c>
      <c r="AZ85" s="182">
        <f ca="1">IF($D85&lt;&gt;"Serviço",0,IF(OR(AND(AUTOEVENTO="Manual",$M85=1),$M85&gt;(ROW(PLE.lastrow)-ROW(PLE.firstrow))),0,IF(OFFSET(PLE!$G$14,$M85,AZ$13)="",10^12,OFFSET(PLE!$G$14,$M85,AZ$13))))</f>
        <v>1000000000000</v>
      </c>
      <c r="BA85" s="182">
        <f ca="1">IF($D85&lt;&gt;"Serviço",0,IF(OR(AND(AUTOEVENTO="Manual",$M85=1),$M85&gt;(ROW(PLE.lastrow)-ROW(PLE.firstrow))),0,IF(OFFSET(PLE!$G$14,$M85,BA$13)="",10^12,OFFSET(PLE!$G$14,$M85,BA$13))))</f>
        <v>1000000000000</v>
      </c>
      <c r="BB85" s="182">
        <f ca="1">IF($D85&lt;&gt;"Serviço",0,IF(OR(AND(AUTOEVENTO="Manual",$M85=1),$M85&gt;(ROW(PLE.lastrow)-ROW(PLE.firstrow))),0,IF(OFFSET(PLE!$G$14,$M85,BB$13)="",10^12,OFFSET(PLE!$G$14,$M85,BB$13))))</f>
        <v>1000000000000</v>
      </c>
      <c r="BC85" s="182">
        <f ca="1">IF($D85&lt;&gt;"Serviço",0,IF(OR(AND(AUTOEVENTO="Manual",$M85=1),$M85&gt;(ROW(PLE.lastrow)-ROW(PLE.firstrow))),0,IF(OFFSET(PLE!$G$14,$M85,BC$13)="",10^12,OFFSET(PLE!$G$14,$M85,BC$13))))</f>
        <v>1000000000000</v>
      </c>
      <c r="BD85" s="182">
        <f ca="1">IF($D85&lt;&gt;"Serviço",0,IF(OR(AND(AUTOEVENTO="Manual",$M85=1),$M85&gt;(ROW(PLE.lastrow)-ROW(PLE.firstrow))),0,IF(OFFSET(PLE!$G$14,$M85,BD$13)="",10^12,OFFSET(PLE!$G$14,$M85,BD$13))))</f>
        <v>1000000000000</v>
      </c>
      <c r="BE85" s="182">
        <f ca="1">IF($D85&lt;&gt;"Serviço",0,IF(OR(AND(AUTOEVENTO="Manual",$M85=1),$M85&gt;(ROW(PLE.lastrow)-ROW(PLE.firstrow))),0,IF(OFFSET(PLE!$G$14,$M85,BE$13)="",10^12,OFFSET(PLE!$G$14,$M85,BE$13))))</f>
        <v>1000000000000</v>
      </c>
      <c r="BF85" s="182">
        <f ca="1">IF($D85&lt;&gt;"Serviço",0,IF(OR(AND(AUTOEVENTO="Manual",$M85=1),$M85&gt;(ROW(PLE.lastrow)-ROW(PLE.firstrow))),0,IF(OFFSET(PLE!$G$14,$M85,BF$13)="",10^12,OFFSET(PLE!$G$14,$M85,BF$13))))</f>
        <v>1000000000000</v>
      </c>
      <c r="BG85" s="182">
        <f ca="1">IF($D85&lt;&gt;"Serviço",0,IF(OR(AND(AUTOEVENTO="Manual",$M85=1),$M85&gt;(ROW(PLE.lastrow)-ROW(PLE.firstrow))),0,IF(OFFSET(PLE!$G$14,$M85,BG$13)="",10^12,OFFSET(PLE!$G$14,$M85,BG$13))))</f>
        <v>1000000000000</v>
      </c>
    </row>
    <row r="86" spans="1:59" ht="12.75" x14ac:dyDescent="0.2">
      <c r="A86" s="7" t="str">
        <f t="shared" ca="1" si="9"/>
        <v>44</v>
      </c>
      <c r="B86" s="7">
        <f ca="1">OFFSET(ORÇAMENTO!C$15,ROW(B86)-ROW(B$15),0)</f>
        <v>3</v>
      </c>
      <c r="C86" s="7" t="str">
        <f ca="1">OFFSET(ORÇAMENTO!L$15,ROW(C86)-ROW(C$15),0)</f>
        <v>F</v>
      </c>
      <c r="D86" s="118" t="str">
        <f ca="1">OFFSET(ORÇAMENTO!N$15,ROW(D86)-ROW(D$15),0)</f>
        <v>Nível 3</v>
      </c>
      <c r="E86" s="119" t="str">
        <f ca="1">OFFSET(ORÇAMENTO!O$15,ROW(E86)-ROW(E$15),0)</f>
        <v>1.4.4.</v>
      </c>
      <c r="F86" s="172" t="str">
        <f ca="1">OFFSET(ORÇAMENTO!R$15,ROW(F86)-ROW(F$15),0)</f>
        <v>CONCRETO ARMADO - LAJE</v>
      </c>
      <c r="G86" s="173" t="str">
        <f ca="1">IF($D86&lt;&gt;"Serviço","",OFFSET(ORÇAMENTO!S$15,ROW(G86)-ROW(G$15),0))</f>
        <v/>
      </c>
      <c r="H86" s="124">
        <f ca="1">IF($D86&lt;&gt;"Serviço",0,IF(ACOMPANHAMENTO="BM",ROUND(OFFSET(ORÇAMENTO!AJ$15,ROW(H86)-ROW(H$15),0),15-13*ORÇAMENTO!$AF$7),SUMPRODUCT(($Q$12:$AA$12&lt;&gt;"")*ROUND($Q86:$AA86,15-13*ORÇAMENTO!$AF$7))))</f>
        <v>0</v>
      </c>
      <c r="I86" s="561"/>
      <c r="K86" s="174"/>
      <c r="L86" s="175" t="s">
        <v>255</v>
      </c>
      <c r="M86" s="176" t="str">
        <f ca="1">IF($D86&lt;&gt;"Serviço","",IF(AUTOEVENTO="manual",$A86,IF(ISERROR(MATCH($A86,$A$15:OFFSET($A86,-1,0),0)),MAX($M$15:OFFSET(M86,-1,0))+1,INDEX($M$15:OFFSET(M86,-1,0),MATCH($A86,$A$15:OFFSET($A86,-1,0),0)))))</f>
        <v/>
      </c>
      <c r="N86" s="177" t="str">
        <f ca="1">IF($D86&lt;&gt;"Serviço","",IF(AUTOEVENTO="Manual",IF($A86=0,"&lt;-- defina o número do agrupador",OFFSET(EVENTOS!$D$14,$A86,0)),OFFSET($F$15,$A86,0)))</f>
        <v/>
      </c>
      <c r="O86" s="178"/>
      <c r="Q86" s="178"/>
      <c r="R86" s="179"/>
      <c r="S86" s="179"/>
      <c r="T86" s="179"/>
      <c r="U86" s="179"/>
      <c r="V86" s="179"/>
      <c r="W86" s="179"/>
      <c r="X86" s="179"/>
      <c r="Y86" s="179"/>
      <c r="Z86" s="180"/>
      <c r="AB86" s="544">
        <f ca="1">IF(AND($D86="Serviço",AB$12&lt;&gt;0,$H86&gt;0,OR(AUTOEVENTO&lt;&gt;"manual",$M86&lt;&gt;1)),
IF(Import.TipoArredondamento&lt;&gt;"TransfereGOV",
ROUND(OFFSET($P86,0,AB$13),15-13*ORÇAMENTO!$AF$7)/$H86*OFFSET(ORÇAMENTO!$X$15,ROW(AB86)-ROW(AB$15),0),
ROUND(ROUND(OFFSET($P86,0,AB$13),15-13*ORÇAMENTO!$AF$7)*OFFSET(ORÇAMENTO!$W$15,ROW(AB86)-ROW(AB$15),0),15-13*ORÇAMENTO!$AF$11)),0)</f>
        <v>0</v>
      </c>
      <c r="AC86" s="545">
        <f ca="1">IF(AND($D86="Serviço",AC$12&lt;&gt;0,$H86&gt;0,OR(AUTOEVENTO&lt;&gt;"manual",$M86&lt;&gt;1)),
IF(Import.TipoArredondamento&lt;&gt;"TransfereGOV",
ROUND(OFFSET($P86,0,AC$13),15-13*ORÇAMENTO!$AF$7)/$H86*OFFSET(ORÇAMENTO!$X$15,ROW(AC86)-ROW(AC$15),0),
ROUND(ROUND(OFFSET($P86,0,AC$13),15-13*ORÇAMENTO!$AF$7)*OFFSET(ORÇAMENTO!$W$15,ROW(AC86)-ROW(AC$15),0),15-13*ORÇAMENTO!$AF$11)),0)</f>
        <v>0</v>
      </c>
      <c r="AD86" s="545">
        <f ca="1">IF(AND($D86="Serviço",AD$12&lt;&gt;0,$H86&gt;0,OR(AUTOEVENTO&lt;&gt;"manual",$M86&lt;&gt;1)),
IF(Import.TipoArredondamento&lt;&gt;"TransfereGOV",
ROUND(OFFSET($P86,0,AD$13),15-13*ORÇAMENTO!$AF$7)/$H86*OFFSET(ORÇAMENTO!$X$15,ROW(AD86)-ROW(AD$15),0),
ROUND(ROUND(OFFSET($P86,0,AD$13),15-13*ORÇAMENTO!$AF$7)*OFFSET(ORÇAMENTO!$W$15,ROW(AD86)-ROW(AD$15),0),15-13*ORÇAMENTO!$AF$11)),0)</f>
        <v>0</v>
      </c>
      <c r="AE86" s="545">
        <f ca="1">IF(AND($D86="Serviço",AE$12&lt;&gt;0,$H86&gt;0,OR(AUTOEVENTO&lt;&gt;"manual",$M86&lt;&gt;1)),
IF(Import.TipoArredondamento&lt;&gt;"TransfereGOV",
ROUND(OFFSET($P86,0,AE$13),15-13*ORÇAMENTO!$AF$7)/$H86*OFFSET(ORÇAMENTO!$X$15,ROW(AE86)-ROW(AE$15),0),
ROUND(ROUND(OFFSET($P86,0,AE$13),15-13*ORÇAMENTO!$AF$7)*OFFSET(ORÇAMENTO!$W$15,ROW(AE86)-ROW(AE$15),0),15-13*ORÇAMENTO!$AF$11)),0)</f>
        <v>0</v>
      </c>
      <c r="AF86" s="545">
        <f ca="1">IF(AND($D86="Serviço",AF$12&lt;&gt;0,$H86&gt;0,OR(AUTOEVENTO&lt;&gt;"manual",$M86&lt;&gt;1)),
IF(Import.TipoArredondamento&lt;&gt;"TransfereGOV",
ROUND(OFFSET($P86,0,AF$13),15-13*ORÇAMENTO!$AF$7)/$H86*OFFSET(ORÇAMENTO!$X$15,ROW(AF86)-ROW(AF$15),0),
ROUND(ROUND(OFFSET($P86,0,AF$13),15-13*ORÇAMENTO!$AF$7)*OFFSET(ORÇAMENTO!$W$15,ROW(AF86)-ROW(AF$15),0),15-13*ORÇAMENTO!$AF$11)),0)</f>
        <v>0</v>
      </c>
      <c r="AG86" s="545">
        <f ca="1">IF(AND($D86="Serviço",AG$12&lt;&gt;0,$H86&gt;0,OR(AUTOEVENTO&lt;&gt;"manual",$M86&lt;&gt;1)),
IF(Import.TipoArredondamento&lt;&gt;"TransfereGOV",
ROUND(OFFSET($P86,0,AG$13),15-13*ORÇAMENTO!$AF$7)/$H86*OFFSET(ORÇAMENTO!$X$15,ROW(AG86)-ROW(AG$15),0),
ROUND(ROUND(OFFSET($P86,0,AG$13),15-13*ORÇAMENTO!$AF$7)*OFFSET(ORÇAMENTO!$W$15,ROW(AG86)-ROW(AG$15),0),15-13*ORÇAMENTO!$AF$11)),0)</f>
        <v>0</v>
      </c>
      <c r="AH86" s="545">
        <f ca="1">IF(AND($D86="Serviço",AH$12&lt;&gt;0,$H86&gt;0,OR(AUTOEVENTO&lt;&gt;"manual",$M86&lt;&gt;1)),
IF(Import.TipoArredondamento&lt;&gt;"TransfereGOV",
ROUND(OFFSET($P86,0,AH$13),15-13*ORÇAMENTO!$AF$7)/$H86*OFFSET(ORÇAMENTO!$X$15,ROW(AH86)-ROW(AH$15),0),
ROUND(ROUND(OFFSET($P86,0,AH$13),15-13*ORÇAMENTO!$AF$7)*OFFSET(ORÇAMENTO!$W$15,ROW(AH86)-ROW(AH$15),0),15-13*ORÇAMENTO!$AF$11)),0)</f>
        <v>0</v>
      </c>
      <c r="AI86" s="545">
        <f ca="1">IF(AND($D86="Serviço",AI$12&lt;&gt;0,$H86&gt;0,OR(AUTOEVENTO&lt;&gt;"manual",$M86&lt;&gt;1)),
IF(Import.TipoArredondamento&lt;&gt;"TransfereGOV",
ROUND(OFFSET($P86,0,AI$13),15-13*ORÇAMENTO!$AF$7)/$H86*OFFSET(ORÇAMENTO!$X$15,ROW(AI86)-ROW(AI$15),0),
ROUND(ROUND(OFFSET($P86,0,AI$13),15-13*ORÇAMENTO!$AF$7)*OFFSET(ORÇAMENTO!$W$15,ROW(AI86)-ROW(AI$15),0),15-13*ORÇAMENTO!$AF$11)),0)</f>
        <v>0</v>
      </c>
      <c r="AJ86" s="545">
        <f ca="1">IF(AND($D86="Serviço",AJ$12&lt;&gt;0,$H86&gt;0,OR(AUTOEVENTO&lt;&gt;"manual",$M86&lt;&gt;1)),
IF(Import.TipoArredondamento&lt;&gt;"TransfereGOV",
ROUND(OFFSET($P86,0,AJ$13),15-13*ORÇAMENTO!$AF$7)/$H86*OFFSET(ORÇAMENTO!$X$15,ROW(AJ86)-ROW(AJ$15),0),
ROUND(ROUND(OFFSET($P86,0,AJ$13),15-13*ORÇAMENTO!$AF$7)*OFFSET(ORÇAMENTO!$W$15,ROW(AJ86)-ROW(AJ$15),0),15-13*ORÇAMENTO!$AF$11)),0)</f>
        <v>0</v>
      </c>
      <c r="AK86" s="546">
        <f ca="1">IF(AND($D86="Serviço",AK$12&lt;&gt;0,$H86&gt;0,OR(AUTOEVENTO&lt;&gt;"manual",$M86&lt;&gt;1)),
IF(Import.TipoArredondamento&lt;&gt;"TransfereGOV",
ROUND(OFFSET($P86,0,AK$13),15-13*ORÇAMENTO!$AF$7)/$H86*OFFSET(ORÇAMENTO!$X$15,ROW(AK86)-ROW(AK$15),0),
ROUND(ROUND(OFFSET($P86,0,AK$13),15-13*ORÇAMENTO!$AF$7)*OFFSET(ORÇAMENTO!$W$15,ROW(AK86)-ROW(AK$15),0),15-13*ORÇAMENTO!$AF$11)),0)</f>
        <v>0</v>
      </c>
      <c r="AM86" s="181">
        <f ca="1">IF($D86&lt;&gt;"Serviço",0,IF(AND(AUTOEVENTO="Manual",$M86=1),0,IF(OFFSET(CRONOPLE!$F$14,$M86,AM$13)="",10^12,OFFSET(CRONOPLE!$F$14,$M86,AM$13))))</f>
        <v>0</v>
      </c>
      <c r="AN86" s="181">
        <f ca="1">IF($D86&lt;&gt;"Serviço",0,IF(AND(AUTOEVENTO="Manual",$M86=1),0,IF(OFFSET(CRONOPLE!$F$14,$M86,AN$13)="",10^12,OFFSET(CRONOPLE!$F$14,$M86,AN$13))))</f>
        <v>0</v>
      </c>
      <c r="AO86" s="181">
        <f ca="1">IF($D86&lt;&gt;"Serviço",0,IF(AND(AUTOEVENTO="Manual",$M86=1),0,IF(OFFSET(CRONOPLE!$F$14,$M86,AO$13)="",10^12,OFFSET(CRONOPLE!$F$14,$M86,AO$13))))</f>
        <v>0</v>
      </c>
      <c r="AP86" s="181">
        <f ca="1">IF($D86&lt;&gt;"Serviço",0,IF(AND(AUTOEVENTO="Manual",$M86=1),0,IF(OFFSET(CRONOPLE!$F$14,$M86,AP$13)="",10^12,OFFSET(CRONOPLE!$F$14,$M86,AP$13))))</f>
        <v>0</v>
      </c>
      <c r="AQ86" s="181">
        <f ca="1">IF($D86&lt;&gt;"Serviço",0,IF(AND(AUTOEVENTO="Manual",$M86=1),0,IF(OFFSET(CRONOPLE!$F$14,$M86,AQ$13)="",10^12,OFFSET(CRONOPLE!$F$14,$M86,AQ$13))))</f>
        <v>0</v>
      </c>
      <c r="AR86" s="181">
        <f ca="1">IF($D86&lt;&gt;"Serviço",0,IF(AND(AUTOEVENTO="Manual",$M86=1),0,IF(OFFSET(CRONOPLE!$F$14,$M86,AR$13)="",10^12,OFFSET(CRONOPLE!$F$14,$M86,AR$13))))</f>
        <v>0</v>
      </c>
      <c r="AS86" s="181">
        <f ca="1">IF($D86&lt;&gt;"Serviço",0,IF(AND(AUTOEVENTO="Manual",$M86=1),0,IF(OFFSET(CRONOPLE!$F$14,$M86,AS$13)="",10^12,OFFSET(CRONOPLE!$F$14,$M86,AS$13))))</f>
        <v>0</v>
      </c>
      <c r="AT86" s="181">
        <f ca="1">IF($D86&lt;&gt;"Serviço",0,IF(AND(AUTOEVENTO="Manual",$M86=1),0,IF(OFFSET(CRONOPLE!$F$14,$M86,AT$13)="",10^12,OFFSET(CRONOPLE!$F$14,$M86,AT$13))))</f>
        <v>0</v>
      </c>
      <c r="AU86" s="181">
        <f ca="1">IF($D86&lt;&gt;"Serviço",0,IF(AND(AUTOEVENTO="Manual",$M86=1),0,IF(OFFSET(CRONOPLE!$F$14,$M86,AU$13)="",10^12,OFFSET(CRONOPLE!$F$14,$M86,AU$13))))</f>
        <v>0</v>
      </c>
      <c r="AV86" s="181">
        <f ca="1">IF($D86&lt;&gt;"Serviço",0,IF(AND(AUTOEVENTO="Manual",$M86=1),0,IF(OFFSET(CRONOPLE!$F$14,$M86,AV$13)="",10^12,OFFSET(CRONOPLE!$F$14,$M86,AV$13))))</f>
        <v>0</v>
      </c>
      <c r="AX86" s="182">
        <f ca="1">IF($D86&lt;&gt;"Serviço",0,IF(OR(AND(AUTOEVENTO="Manual",$M86=1),$M86&gt;(ROW(PLE.lastrow)-ROW(PLE.firstrow))),0,IF(OFFSET(PLE!$G$14,$M86,AX$13)="",10^12,OFFSET(PLE!$G$14,$M86,AX$13))))</f>
        <v>0</v>
      </c>
      <c r="AY86" s="182">
        <f ca="1">IF($D86&lt;&gt;"Serviço",0,IF(OR(AND(AUTOEVENTO="Manual",$M86=1),$M86&gt;(ROW(PLE.lastrow)-ROW(PLE.firstrow))),0,IF(OFFSET(PLE!$G$14,$M86,AY$13)="",10^12,OFFSET(PLE!$G$14,$M86,AY$13))))</f>
        <v>0</v>
      </c>
      <c r="AZ86" s="182">
        <f ca="1">IF($D86&lt;&gt;"Serviço",0,IF(OR(AND(AUTOEVENTO="Manual",$M86=1),$M86&gt;(ROW(PLE.lastrow)-ROW(PLE.firstrow))),0,IF(OFFSET(PLE!$G$14,$M86,AZ$13)="",10^12,OFFSET(PLE!$G$14,$M86,AZ$13))))</f>
        <v>0</v>
      </c>
      <c r="BA86" s="182">
        <f ca="1">IF($D86&lt;&gt;"Serviço",0,IF(OR(AND(AUTOEVENTO="Manual",$M86=1),$M86&gt;(ROW(PLE.lastrow)-ROW(PLE.firstrow))),0,IF(OFFSET(PLE!$G$14,$M86,BA$13)="",10^12,OFFSET(PLE!$G$14,$M86,BA$13))))</f>
        <v>0</v>
      </c>
      <c r="BB86" s="182">
        <f ca="1">IF($D86&lt;&gt;"Serviço",0,IF(OR(AND(AUTOEVENTO="Manual",$M86=1),$M86&gt;(ROW(PLE.lastrow)-ROW(PLE.firstrow))),0,IF(OFFSET(PLE!$G$14,$M86,BB$13)="",10^12,OFFSET(PLE!$G$14,$M86,BB$13))))</f>
        <v>0</v>
      </c>
      <c r="BC86" s="182">
        <f ca="1">IF($D86&lt;&gt;"Serviço",0,IF(OR(AND(AUTOEVENTO="Manual",$M86=1),$M86&gt;(ROW(PLE.lastrow)-ROW(PLE.firstrow))),0,IF(OFFSET(PLE!$G$14,$M86,BC$13)="",10^12,OFFSET(PLE!$G$14,$M86,BC$13))))</f>
        <v>0</v>
      </c>
      <c r="BD86" s="182">
        <f ca="1">IF($D86&lt;&gt;"Serviço",0,IF(OR(AND(AUTOEVENTO="Manual",$M86=1),$M86&gt;(ROW(PLE.lastrow)-ROW(PLE.firstrow))),0,IF(OFFSET(PLE!$G$14,$M86,BD$13)="",10^12,OFFSET(PLE!$G$14,$M86,BD$13))))</f>
        <v>0</v>
      </c>
      <c r="BE86" s="182">
        <f ca="1">IF($D86&lt;&gt;"Serviço",0,IF(OR(AND(AUTOEVENTO="Manual",$M86=1),$M86&gt;(ROW(PLE.lastrow)-ROW(PLE.firstrow))),0,IF(OFFSET(PLE!$G$14,$M86,BE$13)="",10^12,OFFSET(PLE!$G$14,$M86,BE$13))))</f>
        <v>0</v>
      </c>
      <c r="BF86" s="182">
        <f ca="1">IF($D86&lt;&gt;"Serviço",0,IF(OR(AND(AUTOEVENTO="Manual",$M86=1),$M86&gt;(ROW(PLE.lastrow)-ROW(PLE.firstrow))),0,IF(OFFSET(PLE!$G$14,$M86,BF$13)="",10^12,OFFSET(PLE!$G$14,$M86,BF$13))))</f>
        <v>0</v>
      </c>
      <c r="BG86" s="182">
        <f ca="1">IF($D86&lt;&gt;"Serviço",0,IF(OR(AND(AUTOEVENTO="Manual",$M86=1),$M86&gt;(ROW(PLE.lastrow)-ROW(PLE.firstrow))),0,IF(OFFSET(PLE!$G$14,$M86,BG$13)="",10^12,OFFSET(PLE!$G$14,$M86,BG$13))))</f>
        <v>0</v>
      </c>
    </row>
    <row r="87" spans="1:59" ht="12.75" x14ac:dyDescent="0.2">
      <c r="A87" s="7" t="str">
        <f ca="1">IF(AUTOEVENTO="Manual",IF(K87&lt;&gt;"",MIN(VALUE(LEFT(K87,FIND(".",K87)-1)),COUNTA(EVENTOS.Lista)),0),IF(OR($B87&gt;AUTOEVENTO,$B87="S",$B87=0),SUBSTITUTE(OFFSET($A87,-1,0),IF($D87="Serviço",".",""),""),ROW(A87)-ROW($A$15)&amp;"."))</f>
        <v>44</v>
      </c>
      <c r="B87" s="7">
        <f ca="1">OFFSET(ORÇAMENTO!C$15,ROW(B87)-ROW(B$15),0)</f>
        <v>4</v>
      </c>
      <c r="C87" s="7" t="str">
        <f ca="1">OFFSET(ORÇAMENTO!L$15,ROW(C87)-ROW(C$15),0)</f>
        <v>F</v>
      </c>
      <c r="D87" s="118" t="str">
        <f ca="1">OFFSET(ORÇAMENTO!N$15,ROW(D87)-ROW(D$15),0)</f>
        <v>Nível 4</v>
      </c>
      <c r="E87" s="119" t="str">
        <f ca="1">OFFSET(ORÇAMENTO!O$15,ROW(E87)-ROW(E$15),0)</f>
        <v>1.4.4.1.</v>
      </c>
      <c r="F87" s="172" t="str">
        <f ca="1">OFFSET(ORÇAMENTO!R$15,ROW(F87)-ROW(F$15),0)</f>
        <v>LAJE DE PISO - CASA MÁQUINAS E MASTRO</v>
      </c>
      <c r="G87" s="173" t="str">
        <f ca="1">IF($D87&lt;&gt;"Serviço","",OFFSET(ORÇAMENTO!S$15,ROW(G87)-ROW(G$15),0))</f>
        <v/>
      </c>
      <c r="H87" s="124">
        <f ca="1">IF($D87&lt;&gt;"Serviço",0,IF(ACOMPANHAMENTO="BM",ROUND(OFFSET(ORÇAMENTO!AJ$15,ROW(H87)-ROW(H$15),0),15-13*ORÇAMENTO!$AF$7),SUMPRODUCT(($Q$12:$AA$12&lt;&gt;"")*ROUND($Q87:$AA87,15-13*ORÇAMENTO!$AF$7))))</f>
        <v>0</v>
      </c>
      <c r="I87" s="561"/>
      <c r="K87" s="174"/>
      <c r="L87" s="175" t="s">
        <v>255</v>
      </c>
      <c r="M87" s="176" t="str">
        <f ca="1">IF($D87&lt;&gt;"Serviço","",IF(AUTOEVENTO="manual",$A87,IF(ISERROR(MATCH($A87,$A$15:OFFSET($A87,-1,0),0)),MAX($M$15:OFFSET(M87,-1,0))+1,INDEX($M$15:OFFSET(M87,-1,0),MATCH($A87,$A$15:OFFSET($A87,-1,0),0)))))</f>
        <v/>
      </c>
      <c r="N87" s="177" t="str">
        <f ca="1">IF($D87&lt;&gt;"Serviço","",IF(AUTOEVENTO="Manual",IF($A87=0,"&lt;-- defina o número do agrupador",OFFSET(EVENTOS!$D$14,$A87,0)),OFFSET($F$15,$A87,0)))</f>
        <v/>
      </c>
      <c r="O87" s="178"/>
      <c r="Q87" s="178"/>
      <c r="R87" s="179"/>
      <c r="S87" s="179"/>
      <c r="T87" s="179"/>
      <c r="U87" s="179"/>
      <c r="V87" s="179"/>
      <c r="W87" s="179"/>
      <c r="X87" s="179"/>
      <c r="Y87" s="179"/>
      <c r="Z87" s="180"/>
      <c r="AB87" s="544">
        <f ca="1">IF(AND($D87="Serviço",AB$12&lt;&gt;0,$H87&gt;0,OR(AUTOEVENTO&lt;&gt;"manual",$M87&lt;&gt;1)),
IF(Import.TipoArredondamento&lt;&gt;"TransfereGOV",
ROUND(OFFSET($P87,0,AB$13),15-13*ORÇAMENTO!$AF$7)/$H87*OFFSET(ORÇAMENTO!$X$15,ROW(AB87)-ROW(AB$15),0),
ROUND(ROUND(OFFSET($P87,0,AB$13),15-13*ORÇAMENTO!$AF$7)*OFFSET(ORÇAMENTO!$W$15,ROW(AB87)-ROW(AB$15),0),15-13*ORÇAMENTO!$AF$11)),0)</f>
        <v>0</v>
      </c>
      <c r="AC87" s="545">
        <f ca="1">IF(AND($D87="Serviço",AC$12&lt;&gt;0,$H87&gt;0,OR(AUTOEVENTO&lt;&gt;"manual",$M87&lt;&gt;1)),
IF(Import.TipoArredondamento&lt;&gt;"TransfereGOV",
ROUND(OFFSET($P87,0,AC$13),15-13*ORÇAMENTO!$AF$7)/$H87*OFFSET(ORÇAMENTO!$X$15,ROW(AC87)-ROW(AC$15),0),
ROUND(ROUND(OFFSET($P87,0,AC$13),15-13*ORÇAMENTO!$AF$7)*OFFSET(ORÇAMENTO!$W$15,ROW(AC87)-ROW(AC$15),0),15-13*ORÇAMENTO!$AF$11)),0)</f>
        <v>0</v>
      </c>
      <c r="AD87" s="545">
        <f ca="1">IF(AND($D87="Serviço",AD$12&lt;&gt;0,$H87&gt;0,OR(AUTOEVENTO&lt;&gt;"manual",$M87&lt;&gt;1)),
IF(Import.TipoArredondamento&lt;&gt;"TransfereGOV",
ROUND(OFFSET($P87,0,AD$13),15-13*ORÇAMENTO!$AF$7)/$H87*OFFSET(ORÇAMENTO!$X$15,ROW(AD87)-ROW(AD$15),0),
ROUND(ROUND(OFFSET($P87,0,AD$13),15-13*ORÇAMENTO!$AF$7)*OFFSET(ORÇAMENTO!$W$15,ROW(AD87)-ROW(AD$15),0),15-13*ORÇAMENTO!$AF$11)),0)</f>
        <v>0</v>
      </c>
      <c r="AE87" s="545">
        <f ca="1">IF(AND($D87="Serviço",AE$12&lt;&gt;0,$H87&gt;0,OR(AUTOEVENTO&lt;&gt;"manual",$M87&lt;&gt;1)),
IF(Import.TipoArredondamento&lt;&gt;"TransfereGOV",
ROUND(OFFSET($P87,0,AE$13),15-13*ORÇAMENTO!$AF$7)/$H87*OFFSET(ORÇAMENTO!$X$15,ROW(AE87)-ROW(AE$15),0),
ROUND(ROUND(OFFSET($P87,0,AE$13),15-13*ORÇAMENTO!$AF$7)*OFFSET(ORÇAMENTO!$W$15,ROW(AE87)-ROW(AE$15),0),15-13*ORÇAMENTO!$AF$11)),0)</f>
        <v>0</v>
      </c>
      <c r="AF87" s="545">
        <f ca="1">IF(AND($D87="Serviço",AF$12&lt;&gt;0,$H87&gt;0,OR(AUTOEVENTO&lt;&gt;"manual",$M87&lt;&gt;1)),
IF(Import.TipoArredondamento&lt;&gt;"TransfereGOV",
ROUND(OFFSET($P87,0,AF$13),15-13*ORÇAMENTO!$AF$7)/$H87*OFFSET(ORÇAMENTO!$X$15,ROW(AF87)-ROW(AF$15),0),
ROUND(ROUND(OFFSET($P87,0,AF$13),15-13*ORÇAMENTO!$AF$7)*OFFSET(ORÇAMENTO!$W$15,ROW(AF87)-ROW(AF$15),0),15-13*ORÇAMENTO!$AF$11)),0)</f>
        <v>0</v>
      </c>
      <c r="AG87" s="545">
        <f ca="1">IF(AND($D87="Serviço",AG$12&lt;&gt;0,$H87&gt;0,OR(AUTOEVENTO&lt;&gt;"manual",$M87&lt;&gt;1)),
IF(Import.TipoArredondamento&lt;&gt;"TransfereGOV",
ROUND(OFFSET($P87,0,AG$13),15-13*ORÇAMENTO!$AF$7)/$H87*OFFSET(ORÇAMENTO!$X$15,ROW(AG87)-ROW(AG$15),0),
ROUND(ROUND(OFFSET($P87,0,AG$13),15-13*ORÇAMENTO!$AF$7)*OFFSET(ORÇAMENTO!$W$15,ROW(AG87)-ROW(AG$15),0),15-13*ORÇAMENTO!$AF$11)),0)</f>
        <v>0</v>
      </c>
      <c r="AH87" s="545">
        <f ca="1">IF(AND($D87="Serviço",AH$12&lt;&gt;0,$H87&gt;0,OR(AUTOEVENTO&lt;&gt;"manual",$M87&lt;&gt;1)),
IF(Import.TipoArredondamento&lt;&gt;"TransfereGOV",
ROUND(OFFSET($P87,0,AH$13),15-13*ORÇAMENTO!$AF$7)/$H87*OFFSET(ORÇAMENTO!$X$15,ROW(AH87)-ROW(AH$15),0),
ROUND(ROUND(OFFSET($P87,0,AH$13),15-13*ORÇAMENTO!$AF$7)*OFFSET(ORÇAMENTO!$W$15,ROW(AH87)-ROW(AH$15),0),15-13*ORÇAMENTO!$AF$11)),0)</f>
        <v>0</v>
      </c>
      <c r="AI87" s="545">
        <f ca="1">IF(AND($D87="Serviço",AI$12&lt;&gt;0,$H87&gt;0,OR(AUTOEVENTO&lt;&gt;"manual",$M87&lt;&gt;1)),
IF(Import.TipoArredondamento&lt;&gt;"TransfereGOV",
ROUND(OFFSET($P87,0,AI$13),15-13*ORÇAMENTO!$AF$7)/$H87*OFFSET(ORÇAMENTO!$X$15,ROW(AI87)-ROW(AI$15),0),
ROUND(ROUND(OFFSET($P87,0,AI$13),15-13*ORÇAMENTO!$AF$7)*OFFSET(ORÇAMENTO!$W$15,ROW(AI87)-ROW(AI$15),0),15-13*ORÇAMENTO!$AF$11)),0)</f>
        <v>0</v>
      </c>
      <c r="AJ87" s="545">
        <f ca="1">IF(AND($D87="Serviço",AJ$12&lt;&gt;0,$H87&gt;0,OR(AUTOEVENTO&lt;&gt;"manual",$M87&lt;&gt;1)),
IF(Import.TipoArredondamento&lt;&gt;"TransfereGOV",
ROUND(OFFSET($P87,0,AJ$13),15-13*ORÇAMENTO!$AF$7)/$H87*OFFSET(ORÇAMENTO!$X$15,ROW(AJ87)-ROW(AJ$15),0),
ROUND(ROUND(OFFSET($P87,0,AJ$13),15-13*ORÇAMENTO!$AF$7)*OFFSET(ORÇAMENTO!$W$15,ROW(AJ87)-ROW(AJ$15),0),15-13*ORÇAMENTO!$AF$11)),0)</f>
        <v>0</v>
      </c>
      <c r="AK87" s="546">
        <f ca="1">IF(AND($D87="Serviço",AK$12&lt;&gt;0,$H87&gt;0,OR(AUTOEVENTO&lt;&gt;"manual",$M87&lt;&gt;1)),
IF(Import.TipoArredondamento&lt;&gt;"TransfereGOV",
ROUND(OFFSET($P87,0,AK$13),15-13*ORÇAMENTO!$AF$7)/$H87*OFFSET(ORÇAMENTO!$X$15,ROW(AK87)-ROW(AK$15),0),
ROUND(ROUND(OFFSET($P87,0,AK$13),15-13*ORÇAMENTO!$AF$7)*OFFSET(ORÇAMENTO!$W$15,ROW(AK87)-ROW(AK$15),0),15-13*ORÇAMENTO!$AF$11)),0)</f>
        <v>0</v>
      </c>
      <c r="AM87" s="181">
        <f ca="1">IF($D87&lt;&gt;"Serviço",0,IF(AND(AUTOEVENTO="Manual",$M87=1),0,IF(OFFSET(CRONOPLE!$F$14,$M87,AM$13)="",10^12,OFFSET(CRONOPLE!$F$14,$M87,AM$13))))</f>
        <v>0</v>
      </c>
      <c r="AN87" s="181">
        <f ca="1">IF($D87&lt;&gt;"Serviço",0,IF(AND(AUTOEVENTO="Manual",$M87=1),0,IF(OFFSET(CRONOPLE!$F$14,$M87,AN$13)="",10^12,OFFSET(CRONOPLE!$F$14,$M87,AN$13))))</f>
        <v>0</v>
      </c>
      <c r="AO87" s="181">
        <f ca="1">IF($D87&lt;&gt;"Serviço",0,IF(AND(AUTOEVENTO="Manual",$M87=1),0,IF(OFFSET(CRONOPLE!$F$14,$M87,AO$13)="",10^12,OFFSET(CRONOPLE!$F$14,$M87,AO$13))))</f>
        <v>0</v>
      </c>
      <c r="AP87" s="181">
        <f ca="1">IF($D87&lt;&gt;"Serviço",0,IF(AND(AUTOEVENTO="Manual",$M87=1),0,IF(OFFSET(CRONOPLE!$F$14,$M87,AP$13)="",10^12,OFFSET(CRONOPLE!$F$14,$M87,AP$13))))</f>
        <v>0</v>
      </c>
      <c r="AQ87" s="181">
        <f ca="1">IF($D87&lt;&gt;"Serviço",0,IF(AND(AUTOEVENTO="Manual",$M87=1),0,IF(OFFSET(CRONOPLE!$F$14,$M87,AQ$13)="",10^12,OFFSET(CRONOPLE!$F$14,$M87,AQ$13))))</f>
        <v>0</v>
      </c>
      <c r="AR87" s="181">
        <f ca="1">IF($D87&lt;&gt;"Serviço",0,IF(AND(AUTOEVENTO="Manual",$M87=1),0,IF(OFFSET(CRONOPLE!$F$14,$M87,AR$13)="",10^12,OFFSET(CRONOPLE!$F$14,$M87,AR$13))))</f>
        <v>0</v>
      </c>
      <c r="AS87" s="181">
        <f ca="1">IF($D87&lt;&gt;"Serviço",0,IF(AND(AUTOEVENTO="Manual",$M87=1),0,IF(OFFSET(CRONOPLE!$F$14,$M87,AS$13)="",10^12,OFFSET(CRONOPLE!$F$14,$M87,AS$13))))</f>
        <v>0</v>
      </c>
      <c r="AT87" s="181">
        <f ca="1">IF($D87&lt;&gt;"Serviço",0,IF(AND(AUTOEVENTO="Manual",$M87=1),0,IF(OFFSET(CRONOPLE!$F$14,$M87,AT$13)="",10^12,OFFSET(CRONOPLE!$F$14,$M87,AT$13))))</f>
        <v>0</v>
      </c>
      <c r="AU87" s="181">
        <f ca="1">IF($D87&lt;&gt;"Serviço",0,IF(AND(AUTOEVENTO="Manual",$M87=1),0,IF(OFFSET(CRONOPLE!$F$14,$M87,AU$13)="",10^12,OFFSET(CRONOPLE!$F$14,$M87,AU$13))))</f>
        <v>0</v>
      </c>
      <c r="AV87" s="181">
        <f ca="1">IF($D87&lt;&gt;"Serviço",0,IF(AND(AUTOEVENTO="Manual",$M87=1),0,IF(OFFSET(CRONOPLE!$F$14,$M87,AV$13)="",10^12,OFFSET(CRONOPLE!$F$14,$M87,AV$13))))</f>
        <v>0</v>
      </c>
      <c r="AX87" s="182">
        <f ca="1">IF($D87&lt;&gt;"Serviço",0,IF(OR(AND(AUTOEVENTO="Manual",$M87=1),$M87&gt;(ROW(PLE.lastrow)-ROW(PLE.firstrow))),0,IF(OFFSET(PLE!$G$14,$M87,AX$13)="",10^12,OFFSET(PLE!$G$14,$M87,AX$13))))</f>
        <v>0</v>
      </c>
      <c r="AY87" s="182">
        <f ca="1">IF($D87&lt;&gt;"Serviço",0,IF(OR(AND(AUTOEVENTO="Manual",$M87=1),$M87&gt;(ROW(PLE.lastrow)-ROW(PLE.firstrow))),0,IF(OFFSET(PLE!$G$14,$M87,AY$13)="",10^12,OFFSET(PLE!$G$14,$M87,AY$13))))</f>
        <v>0</v>
      </c>
      <c r="AZ87" s="182">
        <f ca="1">IF($D87&lt;&gt;"Serviço",0,IF(OR(AND(AUTOEVENTO="Manual",$M87=1),$M87&gt;(ROW(PLE.lastrow)-ROW(PLE.firstrow))),0,IF(OFFSET(PLE!$G$14,$M87,AZ$13)="",10^12,OFFSET(PLE!$G$14,$M87,AZ$13))))</f>
        <v>0</v>
      </c>
      <c r="BA87" s="182">
        <f ca="1">IF($D87&lt;&gt;"Serviço",0,IF(OR(AND(AUTOEVENTO="Manual",$M87=1),$M87&gt;(ROW(PLE.lastrow)-ROW(PLE.firstrow))),0,IF(OFFSET(PLE!$G$14,$M87,BA$13)="",10^12,OFFSET(PLE!$G$14,$M87,BA$13))))</f>
        <v>0</v>
      </c>
      <c r="BB87" s="182">
        <f ca="1">IF($D87&lt;&gt;"Serviço",0,IF(OR(AND(AUTOEVENTO="Manual",$M87=1),$M87&gt;(ROW(PLE.lastrow)-ROW(PLE.firstrow))),0,IF(OFFSET(PLE!$G$14,$M87,BB$13)="",10^12,OFFSET(PLE!$G$14,$M87,BB$13))))</f>
        <v>0</v>
      </c>
      <c r="BC87" s="182">
        <f ca="1">IF($D87&lt;&gt;"Serviço",0,IF(OR(AND(AUTOEVENTO="Manual",$M87=1),$M87&gt;(ROW(PLE.lastrow)-ROW(PLE.firstrow))),0,IF(OFFSET(PLE!$G$14,$M87,BC$13)="",10^12,OFFSET(PLE!$G$14,$M87,BC$13))))</f>
        <v>0</v>
      </c>
      <c r="BD87" s="182">
        <f ca="1">IF($D87&lt;&gt;"Serviço",0,IF(OR(AND(AUTOEVENTO="Manual",$M87=1),$M87&gt;(ROW(PLE.lastrow)-ROW(PLE.firstrow))),0,IF(OFFSET(PLE!$G$14,$M87,BD$13)="",10^12,OFFSET(PLE!$G$14,$M87,BD$13))))</f>
        <v>0</v>
      </c>
      <c r="BE87" s="182">
        <f ca="1">IF($D87&lt;&gt;"Serviço",0,IF(OR(AND(AUTOEVENTO="Manual",$M87=1),$M87&gt;(ROW(PLE.lastrow)-ROW(PLE.firstrow))),0,IF(OFFSET(PLE!$G$14,$M87,BE$13)="",10^12,OFFSET(PLE!$G$14,$M87,BE$13))))</f>
        <v>0</v>
      </c>
      <c r="BF87" s="182">
        <f ca="1">IF($D87&lt;&gt;"Serviço",0,IF(OR(AND(AUTOEVENTO="Manual",$M87=1),$M87&gt;(ROW(PLE.lastrow)-ROW(PLE.firstrow))),0,IF(OFFSET(PLE!$G$14,$M87,BF$13)="",10^12,OFFSET(PLE!$G$14,$M87,BF$13))))</f>
        <v>0</v>
      </c>
      <c r="BG87" s="182">
        <f ca="1">IF($D87&lt;&gt;"Serviço",0,IF(OR(AND(AUTOEVENTO="Manual",$M87=1),$M87&gt;(ROW(PLE.lastrow)-ROW(PLE.firstrow))),0,IF(OFFSET(PLE!$G$14,$M87,BG$13)="",10^12,OFFSET(PLE!$G$14,$M87,BG$13))))</f>
        <v>0</v>
      </c>
    </row>
    <row r="88" spans="1:59" ht="38.25" x14ac:dyDescent="0.2">
      <c r="A88" s="7" t="str">
        <f t="shared" ca="1" si="9"/>
        <v>44</v>
      </c>
      <c r="B88" s="7" t="str">
        <f ca="1">OFFSET(ORÇAMENTO!C$15,ROW(B88)-ROW(B$15),0)</f>
        <v>S</v>
      </c>
      <c r="C88" s="7" t="str">
        <f ca="1">OFFSET(ORÇAMENTO!L$15,ROW(C88)-ROW(C$15),0)</f>
        <v/>
      </c>
      <c r="D88" s="118" t="str">
        <f ca="1">OFFSET(ORÇAMENTO!N$15,ROW(D88)-ROW(D$15),0)</f>
        <v>Serviço</v>
      </c>
      <c r="E88" s="119" t="str">
        <f ca="1">OFFSET(ORÇAMENTO!O$15,ROW(E88)-ROW(E$15),0)</f>
        <v>-</v>
      </c>
      <c r="F88" s="172" t="str">
        <f ca="1">OFFSET(ORÇAMENTO!R$15,ROW(F88)-ROW(F$15),0)</f>
        <v>(abra o arquivo 'Referência 02-2025.xlsm)</v>
      </c>
      <c r="G88" s="173" t="str">
        <f ca="1">IF($D88&lt;&gt;"Serviço","",OFFSET(ORÇAMENTO!S$15,ROW(G88)-ROW(G$15),0))</f>
        <v>-</v>
      </c>
      <c r="H88" s="124">
        <f ca="1">IF($D88&lt;&gt;"Serviço",0,IF(ACOMPANHAMENTO="BM",ROUND(OFFSET(ORÇAMENTO!AJ$15,ROW(H88)-ROW(H$15),0),15-13*ORÇAMENTO!$AF$7),SUMPRODUCT(($Q$12:$AA$12&lt;&gt;"")*ROUND($Q88:$AA88,15-13*ORÇAMENTO!$AF$7))))</f>
        <v>12.94</v>
      </c>
      <c r="I88" s="561" t="s">
        <v>890</v>
      </c>
      <c r="K88" s="174"/>
      <c r="L88" s="175" t="s">
        <v>255</v>
      </c>
      <c r="M88" s="176">
        <f ca="1">IF($D88&lt;&gt;"Serviço","",IF(AUTOEVENTO="manual",$A88,IF(ISERROR(MATCH($A88,$A$15:OFFSET($A88,-1,0),0)),MAX($M$15:OFFSET(M88,-1,0))+1,INDEX($M$15:OFFSET(M88,-1,0),MATCH($A88,$A$15:OFFSET($A88,-1,0),0)))))</f>
        <v>5</v>
      </c>
      <c r="N88" s="177" t="str">
        <f ca="1">IF($D88&lt;&gt;"Serviço","",IF(AUTOEVENTO="Manual",IF($A88=0,"&lt;-- defina o número do agrupador",OFFSET(EVENTOS!$D$14,$A88,0)),OFFSET($F$15,$A88,0)))</f>
        <v>SUPERESTRUTURA</v>
      </c>
      <c r="O88" s="178"/>
      <c r="Q88" s="178"/>
      <c r="R88" s="179"/>
      <c r="S88" s="179"/>
      <c r="T88" s="179"/>
      <c r="U88" s="179"/>
      <c r="V88" s="179"/>
      <c r="W88" s="179"/>
      <c r="X88" s="179"/>
      <c r="Y88" s="179"/>
      <c r="Z88" s="180"/>
      <c r="AB88" s="544">
        <f ca="1">IF(AND($D88="Serviço",AB$12&lt;&gt;0,$H88&gt;0,OR(AUTOEVENTO&lt;&gt;"manual",$M88&lt;&gt;1)),
IF(Import.TipoArredondamento&lt;&gt;"TransfereGOV",
ROUND(OFFSET($P88,0,AB$13),15-13*ORÇAMENTO!$AF$7)/$H88*OFFSET(ORÇAMENTO!$X$15,ROW(AB88)-ROW(AB$15),0),
ROUND(ROUND(OFFSET($P88,0,AB$13),15-13*ORÇAMENTO!$AF$7)*OFFSET(ORÇAMENTO!$W$15,ROW(AB88)-ROW(AB$15),0),15-13*ORÇAMENTO!$AF$11)),0)</f>
        <v>0</v>
      </c>
      <c r="AC88" s="545">
        <f ca="1">IF(AND($D88="Serviço",AC$12&lt;&gt;0,$H88&gt;0,OR(AUTOEVENTO&lt;&gt;"manual",$M88&lt;&gt;1)),
IF(Import.TipoArredondamento&lt;&gt;"TransfereGOV",
ROUND(OFFSET($P88,0,AC$13),15-13*ORÇAMENTO!$AF$7)/$H88*OFFSET(ORÇAMENTO!$X$15,ROW(AC88)-ROW(AC$15),0),
ROUND(ROUND(OFFSET($P88,0,AC$13),15-13*ORÇAMENTO!$AF$7)*OFFSET(ORÇAMENTO!$W$15,ROW(AC88)-ROW(AC$15),0),15-13*ORÇAMENTO!$AF$11)),0)</f>
        <v>0</v>
      </c>
      <c r="AD88" s="545">
        <f ca="1">IF(AND($D88="Serviço",AD$12&lt;&gt;0,$H88&gt;0,OR(AUTOEVENTO&lt;&gt;"manual",$M88&lt;&gt;1)),
IF(Import.TipoArredondamento&lt;&gt;"TransfereGOV",
ROUND(OFFSET($P88,0,AD$13),15-13*ORÇAMENTO!$AF$7)/$H88*OFFSET(ORÇAMENTO!$X$15,ROW(AD88)-ROW(AD$15),0),
ROUND(ROUND(OFFSET($P88,0,AD$13),15-13*ORÇAMENTO!$AF$7)*OFFSET(ORÇAMENTO!$W$15,ROW(AD88)-ROW(AD$15),0),15-13*ORÇAMENTO!$AF$11)),0)</f>
        <v>0</v>
      </c>
      <c r="AE88" s="545">
        <f ca="1">IF(AND($D88="Serviço",AE$12&lt;&gt;0,$H88&gt;0,OR(AUTOEVENTO&lt;&gt;"manual",$M88&lt;&gt;1)),
IF(Import.TipoArredondamento&lt;&gt;"TransfereGOV",
ROUND(OFFSET($P88,0,AE$13),15-13*ORÇAMENTO!$AF$7)/$H88*OFFSET(ORÇAMENTO!$X$15,ROW(AE88)-ROW(AE$15),0),
ROUND(ROUND(OFFSET($P88,0,AE$13),15-13*ORÇAMENTO!$AF$7)*OFFSET(ORÇAMENTO!$W$15,ROW(AE88)-ROW(AE$15),0),15-13*ORÇAMENTO!$AF$11)),0)</f>
        <v>0</v>
      </c>
      <c r="AF88" s="545">
        <f ca="1">IF(AND($D88="Serviço",AF$12&lt;&gt;0,$H88&gt;0,OR(AUTOEVENTO&lt;&gt;"manual",$M88&lt;&gt;1)),
IF(Import.TipoArredondamento&lt;&gt;"TransfereGOV",
ROUND(OFFSET($P88,0,AF$13),15-13*ORÇAMENTO!$AF$7)/$H88*OFFSET(ORÇAMENTO!$X$15,ROW(AF88)-ROW(AF$15),0),
ROUND(ROUND(OFFSET($P88,0,AF$13),15-13*ORÇAMENTO!$AF$7)*OFFSET(ORÇAMENTO!$W$15,ROW(AF88)-ROW(AF$15),0),15-13*ORÇAMENTO!$AF$11)),0)</f>
        <v>0</v>
      </c>
      <c r="AG88" s="545">
        <f ca="1">IF(AND($D88="Serviço",AG$12&lt;&gt;0,$H88&gt;0,OR(AUTOEVENTO&lt;&gt;"manual",$M88&lt;&gt;1)),
IF(Import.TipoArredondamento&lt;&gt;"TransfereGOV",
ROUND(OFFSET($P88,0,AG$13),15-13*ORÇAMENTO!$AF$7)/$H88*OFFSET(ORÇAMENTO!$X$15,ROW(AG88)-ROW(AG$15),0),
ROUND(ROUND(OFFSET($P88,0,AG$13),15-13*ORÇAMENTO!$AF$7)*OFFSET(ORÇAMENTO!$W$15,ROW(AG88)-ROW(AG$15),0),15-13*ORÇAMENTO!$AF$11)),0)</f>
        <v>0</v>
      </c>
      <c r="AH88" s="545">
        <f ca="1">IF(AND($D88="Serviço",AH$12&lt;&gt;0,$H88&gt;0,OR(AUTOEVENTO&lt;&gt;"manual",$M88&lt;&gt;1)),
IF(Import.TipoArredondamento&lt;&gt;"TransfereGOV",
ROUND(OFFSET($P88,0,AH$13),15-13*ORÇAMENTO!$AF$7)/$H88*OFFSET(ORÇAMENTO!$X$15,ROW(AH88)-ROW(AH$15),0),
ROUND(ROUND(OFFSET($P88,0,AH$13),15-13*ORÇAMENTO!$AF$7)*OFFSET(ORÇAMENTO!$W$15,ROW(AH88)-ROW(AH$15),0),15-13*ORÇAMENTO!$AF$11)),0)</f>
        <v>0</v>
      </c>
      <c r="AI88" s="545">
        <f ca="1">IF(AND($D88="Serviço",AI$12&lt;&gt;0,$H88&gt;0,OR(AUTOEVENTO&lt;&gt;"manual",$M88&lt;&gt;1)),
IF(Import.TipoArredondamento&lt;&gt;"TransfereGOV",
ROUND(OFFSET($P88,0,AI$13),15-13*ORÇAMENTO!$AF$7)/$H88*OFFSET(ORÇAMENTO!$X$15,ROW(AI88)-ROW(AI$15),0),
ROUND(ROUND(OFFSET($P88,0,AI$13),15-13*ORÇAMENTO!$AF$7)*OFFSET(ORÇAMENTO!$W$15,ROW(AI88)-ROW(AI$15),0),15-13*ORÇAMENTO!$AF$11)),0)</f>
        <v>0</v>
      </c>
      <c r="AJ88" s="545">
        <f ca="1">IF(AND($D88="Serviço",AJ$12&lt;&gt;0,$H88&gt;0,OR(AUTOEVENTO&lt;&gt;"manual",$M88&lt;&gt;1)),
IF(Import.TipoArredondamento&lt;&gt;"TransfereGOV",
ROUND(OFFSET($P88,0,AJ$13),15-13*ORÇAMENTO!$AF$7)/$H88*OFFSET(ORÇAMENTO!$X$15,ROW(AJ88)-ROW(AJ$15),0),
ROUND(ROUND(OFFSET($P88,0,AJ$13),15-13*ORÇAMENTO!$AF$7)*OFFSET(ORÇAMENTO!$W$15,ROW(AJ88)-ROW(AJ$15),0),15-13*ORÇAMENTO!$AF$11)),0)</f>
        <v>0</v>
      </c>
      <c r="AK88" s="546">
        <f ca="1">IF(AND($D88="Serviço",AK$12&lt;&gt;0,$H88&gt;0,OR(AUTOEVENTO&lt;&gt;"manual",$M88&lt;&gt;1)),
IF(Import.TipoArredondamento&lt;&gt;"TransfereGOV",
ROUND(OFFSET($P88,0,AK$13),15-13*ORÇAMENTO!$AF$7)/$H88*OFFSET(ORÇAMENTO!$X$15,ROW(AK88)-ROW(AK$15),0),
ROUND(ROUND(OFFSET($P88,0,AK$13),15-13*ORÇAMENTO!$AF$7)*OFFSET(ORÇAMENTO!$W$15,ROW(AK88)-ROW(AK$15),0),15-13*ORÇAMENTO!$AF$11)),0)</f>
        <v>0</v>
      </c>
      <c r="AM88" s="181">
        <f ca="1">IF($D88&lt;&gt;"Serviço",0,IF(AND(AUTOEVENTO="Manual",$M88=1),0,IF(OFFSET(CRONOPLE!$F$14,$M88,AM$13)="",10^12,OFFSET(CRONOPLE!$F$14,$M88,AM$13))))</f>
        <v>1000000000000</v>
      </c>
      <c r="AN88" s="181">
        <f ca="1">IF($D88&lt;&gt;"Serviço",0,IF(AND(AUTOEVENTO="Manual",$M88=1),0,IF(OFFSET(CRONOPLE!$F$14,$M88,AN$13)="",10^12,OFFSET(CRONOPLE!$F$14,$M88,AN$13))))</f>
        <v>1000000000000</v>
      </c>
      <c r="AO88" s="181">
        <f ca="1">IF($D88&lt;&gt;"Serviço",0,IF(AND(AUTOEVENTO="Manual",$M88=1),0,IF(OFFSET(CRONOPLE!$F$14,$M88,AO$13)="",10^12,OFFSET(CRONOPLE!$F$14,$M88,AO$13))))</f>
        <v>1000000000000</v>
      </c>
      <c r="AP88" s="181">
        <f ca="1">IF($D88&lt;&gt;"Serviço",0,IF(AND(AUTOEVENTO="Manual",$M88=1),0,IF(OFFSET(CRONOPLE!$F$14,$M88,AP$13)="",10^12,OFFSET(CRONOPLE!$F$14,$M88,AP$13))))</f>
        <v>1000000000000</v>
      </c>
      <c r="AQ88" s="181">
        <f ca="1">IF($D88&lt;&gt;"Serviço",0,IF(AND(AUTOEVENTO="Manual",$M88=1),0,IF(OFFSET(CRONOPLE!$F$14,$M88,AQ$13)="",10^12,OFFSET(CRONOPLE!$F$14,$M88,AQ$13))))</f>
        <v>1000000000000</v>
      </c>
      <c r="AR88" s="181">
        <f ca="1">IF($D88&lt;&gt;"Serviço",0,IF(AND(AUTOEVENTO="Manual",$M88=1),0,IF(OFFSET(CRONOPLE!$F$14,$M88,AR$13)="",10^12,OFFSET(CRONOPLE!$F$14,$M88,AR$13))))</f>
        <v>1000000000000</v>
      </c>
      <c r="AS88" s="181">
        <f ca="1">IF($D88&lt;&gt;"Serviço",0,IF(AND(AUTOEVENTO="Manual",$M88=1),0,IF(OFFSET(CRONOPLE!$F$14,$M88,AS$13)="",10^12,OFFSET(CRONOPLE!$F$14,$M88,AS$13))))</f>
        <v>1000000000000</v>
      </c>
      <c r="AT88" s="181">
        <f ca="1">IF($D88&lt;&gt;"Serviço",0,IF(AND(AUTOEVENTO="Manual",$M88=1),0,IF(OFFSET(CRONOPLE!$F$14,$M88,AT$13)="",10^12,OFFSET(CRONOPLE!$F$14,$M88,AT$13))))</f>
        <v>1000000000000</v>
      </c>
      <c r="AU88" s="181">
        <f ca="1">IF($D88&lt;&gt;"Serviço",0,IF(AND(AUTOEVENTO="Manual",$M88=1),0,IF(OFFSET(CRONOPLE!$F$14,$M88,AU$13)="",10^12,OFFSET(CRONOPLE!$F$14,$M88,AU$13))))</f>
        <v>1000000000000</v>
      </c>
      <c r="AV88" s="181">
        <f ca="1">IF($D88&lt;&gt;"Serviço",0,IF(AND(AUTOEVENTO="Manual",$M88=1),0,IF(OFFSET(CRONOPLE!$F$14,$M88,AV$13)="",10^12,OFFSET(CRONOPLE!$F$14,$M88,AV$13))))</f>
        <v>1000000000000</v>
      </c>
      <c r="AX88" s="182">
        <f ca="1">IF($D88&lt;&gt;"Serviço",0,IF(OR(AND(AUTOEVENTO="Manual",$M88=1),$M88&gt;(ROW(PLE.lastrow)-ROW(PLE.firstrow))),0,IF(OFFSET(PLE!$G$14,$M88,AX$13)="",10^12,OFFSET(PLE!$G$14,$M88,AX$13))))</f>
        <v>1000000000000</v>
      </c>
      <c r="AY88" s="182">
        <f ca="1">IF($D88&lt;&gt;"Serviço",0,IF(OR(AND(AUTOEVENTO="Manual",$M88=1),$M88&gt;(ROW(PLE.lastrow)-ROW(PLE.firstrow))),0,IF(OFFSET(PLE!$G$14,$M88,AY$13)="",10^12,OFFSET(PLE!$G$14,$M88,AY$13))))</f>
        <v>1000000000000</v>
      </c>
      <c r="AZ88" s="182">
        <f ca="1">IF($D88&lt;&gt;"Serviço",0,IF(OR(AND(AUTOEVENTO="Manual",$M88=1),$M88&gt;(ROW(PLE.lastrow)-ROW(PLE.firstrow))),0,IF(OFFSET(PLE!$G$14,$M88,AZ$13)="",10^12,OFFSET(PLE!$G$14,$M88,AZ$13))))</f>
        <v>1000000000000</v>
      </c>
      <c r="BA88" s="182">
        <f ca="1">IF($D88&lt;&gt;"Serviço",0,IF(OR(AND(AUTOEVENTO="Manual",$M88=1),$M88&gt;(ROW(PLE.lastrow)-ROW(PLE.firstrow))),0,IF(OFFSET(PLE!$G$14,$M88,BA$13)="",10^12,OFFSET(PLE!$G$14,$M88,BA$13))))</f>
        <v>1000000000000</v>
      </c>
      <c r="BB88" s="182">
        <f ca="1">IF($D88&lt;&gt;"Serviço",0,IF(OR(AND(AUTOEVENTO="Manual",$M88=1),$M88&gt;(ROW(PLE.lastrow)-ROW(PLE.firstrow))),0,IF(OFFSET(PLE!$G$14,$M88,BB$13)="",10^12,OFFSET(PLE!$G$14,$M88,BB$13))))</f>
        <v>1000000000000</v>
      </c>
      <c r="BC88" s="182">
        <f ca="1">IF($D88&lt;&gt;"Serviço",0,IF(OR(AND(AUTOEVENTO="Manual",$M88=1),$M88&gt;(ROW(PLE.lastrow)-ROW(PLE.firstrow))),0,IF(OFFSET(PLE!$G$14,$M88,BC$13)="",10^12,OFFSET(PLE!$G$14,$M88,BC$13))))</f>
        <v>1000000000000</v>
      </c>
      <c r="BD88" s="182">
        <f ca="1">IF($D88&lt;&gt;"Serviço",0,IF(OR(AND(AUTOEVENTO="Manual",$M88=1),$M88&gt;(ROW(PLE.lastrow)-ROW(PLE.firstrow))),0,IF(OFFSET(PLE!$G$14,$M88,BD$13)="",10^12,OFFSET(PLE!$G$14,$M88,BD$13))))</f>
        <v>1000000000000</v>
      </c>
      <c r="BE88" s="182">
        <f ca="1">IF($D88&lt;&gt;"Serviço",0,IF(OR(AND(AUTOEVENTO="Manual",$M88=1),$M88&gt;(ROW(PLE.lastrow)-ROW(PLE.firstrow))),0,IF(OFFSET(PLE!$G$14,$M88,BE$13)="",10^12,OFFSET(PLE!$G$14,$M88,BE$13))))</f>
        <v>1000000000000</v>
      </c>
      <c r="BF88" s="182">
        <f ca="1">IF($D88&lt;&gt;"Serviço",0,IF(OR(AND(AUTOEVENTO="Manual",$M88=1),$M88&gt;(ROW(PLE.lastrow)-ROW(PLE.firstrow))),0,IF(OFFSET(PLE!$G$14,$M88,BF$13)="",10^12,OFFSET(PLE!$G$14,$M88,BF$13))))</f>
        <v>1000000000000</v>
      </c>
      <c r="BG88" s="182">
        <f ca="1">IF($D88&lt;&gt;"Serviço",0,IF(OR(AND(AUTOEVENTO="Manual",$M88=1),$M88&gt;(ROW(PLE.lastrow)-ROW(PLE.firstrow))),0,IF(OFFSET(PLE!$G$14,$M88,BG$13)="",10^12,OFFSET(PLE!$G$14,$M88,BG$13))))</f>
        <v>1000000000000</v>
      </c>
    </row>
    <row r="89" spans="1:59" ht="38.25" x14ac:dyDescent="0.2">
      <c r="A89" s="7" t="str">
        <f t="shared" ca="1" si="9"/>
        <v>44</v>
      </c>
      <c r="B89" s="7" t="str">
        <f ca="1">OFFSET(ORÇAMENTO!C$15,ROW(B89)-ROW(B$15),0)</f>
        <v>S</v>
      </c>
      <c r="C89" s="7" t="str">
        <f ca="1">OFFSET(ORÇAMENTO!L$15,ROW(C89)-ROW(C$15),0)</f>
        <v/>
      </c>
      <c r="D89" s="118" t="str">
        <f ca="1">OFFSET(ORÇAMENTO!N$15,ROW(D89)-ROW(D$15),0)</f>
        <v>Serviço</v>
      </c>
      <c r="E89" s="119" t="str">
        <f ca="1">OFFSET(ORÇAMENTO!O$15,ROW(E89)-ROW(E$15),0)</f>
        <v>-</v>
      </c>
      <c r="F89" s="172" t="str">
        <f ca="1">OFFSET(ORÇAMENTO!R$15,ROW(F89)-ROW(F$15),0)</f>
        <v>(abra o arquivo 'Referência 02-2025.xlsm)</v>
      </c>
      <c r="G89" s="173" t="str">
        <f ca="1">IF($D89&lt;&gt;"Serviço","",OFFSET(ORÇAMENTO!S$15,ROW(G89)-ROW(G$15),0))</f>
        <v>-</v>
      </c>
      <c r="H89" s="124">
        <f ca="1">IF($D89&lt;&gt;"Serviço",0,IF(ACOMPANHAMENTO="BM",ROUND(OFFSET(ORÇAMENTO!AJ$15,ROW(H89)-ROW(H$15),0),15-13*ORÇAMENTO!$AF$7),SUMPRODUCT(($Q$12:$AA$12&lt;&gt;"")*ROUND($Q89:$AA89,15-13*ORÇAMENTO!$AF$7))))</f>
        <v>0.65</v>
      </c>
      <c r="I89" s="561" t="s">
        <v>890</v>
      </c>
      <c r="K89" s="174"/>
      <c r="L89" s="175" t="s">
        <v>255</v>
      </c>
      <c r="M89" s="176">
        <f ca="1">IF($D89&lt;&gt;"Serviço","",IF(AUTOEVENTO="manual",$A89,IF(ISERROR(MATCH($A89,$A$15:OFFSET($A89,-1,0),0)),MAX($M$15:OFFSET(M89,-1,0))+1,INDEX($M$15:OFFSET(M89,-1,0),MATCH($A89,$A$15:OFFSET($A89,-1,0),0)))))</f>
        <v>5</v>
      </c>
      <c r="N89" s="177" t="str">
        <f ca="1">IF($D89&lt;&gt;"Serviço","",IF(AUTOEVENTO="Manual",IF($A89=0,"&lt;-- defina o número do agrupador",OFFSET(EVENTOS!$D$14,$A89,0)),OFFSET($F$15,$A89,0)))</f>
        <v>SUPERESTRUTURA</v>
      </c>
      <c r="O89" s="178"/>
      <c r="Q89" s="178"/>
      <c r="R89" s="179"/>
      <c r="S89" s="179"/>
      <c r="T89" s="179"/>
      <c r="U89" s="179"/>
      <c r="V89" s="179"/>
      <c r="W89" s="179"/>
      <c r="X89" s="179"/>
      <c r="Y89" s="179"/>
      <c r="Z89" s="180"/>
      <c r="AB89" s="544">
        <f ca="1">IF(AND($D89="Serviço",AB$12&lt;&gt;0,$H89&gt;0,OR(AUTOEVENTO&lt;&gt;"manual",$M89&lt;&gt;1)),
IF(Import.TipoArredondamento&lt;&gt;"TransfereGOV",
ROUND(OFFSET($P89,0,AB$13),15-13*ORÇAMENTO!$AF$7)/$H89*OFFSET(ORÇAMENTO!$X$15,ROW(AB89)-ROW(AB$15),0),
ROUND(ROUND(OFFSET($P89,0,AB$13),15-13*ORÇAMENTO!$AF$7)*OFFSET(ORÇAMENTO!$W$15,ROW(AB89)-ROW(AB$15),0),15-13*ORÇAMENTO!$AF$11)),0)</f>
        <v>0</v>
      </c>
      <c r="AC89" s="545">
        <f ca="1">IF(AND($D89="Serviço",AC$12&lt;&gt;0,$H89&gt;0,OR(AUTOEVENTO&lt;&gt;"manual",$M89&lt;&gt;1)),
IF(Import.TipoArredondamento&lt;&gt;"TransfereGOV",
ROUND(OFFSET($P89,0,AC$13),15-13*ORÇAMENTO!$AF$7)/$H89*OFFSET(ORÇAMENTO!$X$15,ROW(AC89)-ROW(AC$15),0),
ROUND(ROUND(OFFSET($P89,0,AC$13),15-13*ORÇAMENTO!$AF$7)*OFFSET(ORÇAMENTO!$W$15,ROW(AC89)-ROW(AC$15),0),15-13*ORÇAMENTO!$AF$11)),0)</f>
        <v>0</v>
      </c>
      <c r="AD89" s="545">
        <f ca="1">IF(AND($D89="Serviço",AD$12&lt;&gt;0,$H89&gt;0,OR(AUTOEVENTO&lt;&gt;"manual",$M89&lt;&gt;1)),
IF(Import.TipoArredondamento&lt;&gt;"TransfereGOV",
ROUND(OFFSET($P89,0,AD$13),15-13*ORÇAMENTO!$AF$7)/$H89*OFFSET(ORÇAMENTO!$X$15,ROW(AD89)-ROW(AD$15),0),
ROUND(ROUND(OFFSET($P89,0,AD$13),15-13*ORÇAMENTO!$AF$7)*OFFSET(ORÇAMENTO!$W$15,ROW(AD89)-ROW(AD$15),0),15-13*ORÇAMENTO!$AF$11)),0)</f>
        <v>0</v>
      </c>
      <c r="AE89" s="545">
        <f ca="1">IF(AND($D89="Serviço",AE$12&lt;&gt;0,$H89&gt;0,OR(AUTOEVENTO&lt;&gt;"manual",$M89&lt;&gt;1)),
IF(Import.TipoArredondamento&lt;&gt;"TransfereGOV",
ROUND(OFFSET($P89,0,AE$13),15-13*ORÇAMENTO!$AF$7)/$H89*OFFSET(ORÇAMENTO!$X$15,ROW(AE89)-ROW(AE$15),0),
ROUND(ROUND(OFFSET($P89,0,AE$13),15-13*ORÇAMENTO!$AF$7)*OFFSET(ORÇAMENTO!$W$15,ROW(AE89)-ROW(AE$15),0),15-13*ORÇAMENTO!$AF$11)),0)</f>
        <v>0</v>
      </c>
      <c r="AF89" s="545">
        <f ca="1">IF(AND($D89="Serviço",AF$12&lt;&gt;0,$H89&gt;0,OR(AUTOEVENTO&lt;&gt;"manual",$M89&lt;&gt;1)),
IF(Import.TipoArredondamento&lt;&gt;"TransfereGOV",
ROUND(OFFSET($P89,0,AF$13),15-13*ORÇAMENTO!$AF$7)/$H89*OFFSET(ORÇAMENTO!$X$15,ROW(AF89)-ROW(AF$15),0),
ROUND(ROUND(OFFSET($P89,0,AF$13),15-13*ORÇAMENTO!$AF$7)*OFFSET(ORÇAMENTO!$W$15,ROW(AF89)-ROW(AF$15),0),15-13*ORÇAMENTO!$AF$11)),0)</f>
        <v>0</v>
      </c>
      <c r="AG89" s="545">
        <f ca="1">IF(AND($D89="Serviço",AG$12&lt;&gt;0,$H89&gt;0,OR(AUTOEVENTO&lt;&gt;"manual",$M89&lt;&gt;1)),
IF(Import.TipoArredondamento&lt;&gt;"TransfereGOV",
ROUND(OFFSET($P89,0,AG$13),15-13*ORÇAMENTO!$AF$7)/$H89*OFFSET(ORÇAMENTO!$X$15,ROW(AG89)-ROW(AG$15),0),
ROUND(ROUND(OFFSET($P89,0,AG$13),15-13*ORÇAMENTO!$AF$7)*OFFSET(ORÇAMENTO!$W$15,ROW(AG89)-ROW(AG$15),0),15-13*ORÇAMENTO!$AF$11)),0)</f>
        <v>0</v>
      </c>
      <c r="AH89" s="545">
        <f ca="1">IF(AND($D89="Serviço",AH$12&lt;&gt;0,$H89&gt;0,OR(AUTOEVENTO&lt;&gt;"manual",$M89&lt;&gt;1)),
IF(Import.TipoArredondamento&lt;&gt;"TransfereGOV",
ROUND(OFFSET($P89,0,AH$13),15-13*ORÇAMENTO!$AF$7)/$H89*OFFSET(ORÇAMENTO!$X$15,ROW(AH89)-ROW(AH$15),0),
ROUND(ROUND(OFFSET($P89,0,AH$13),15-13*ORÇAMENTO!$AF$7)*OFFSET(ORÇAMENTO!$W$15,ROW(AH89)-ROW(AH$15),0),15-13*ORÇAMENTO!$AF$11)),0)</f>
        <v>0</v>
      </c>
      <c r="AI89" s="545">
        <f ca="1">IF(AND($D89="Serviço",AI$12&lt;&gt;0,$H89&gt;0,OR(AUTOEVENTO&lt;&gt;"manual",$M89&lt;&gt;1)),
IF(Import.TipoArredondamento&lt;&gt;"TransfereGOV",
ROUND(OFFSET($P89,0,AI$13),15-13*ORÇAMENTO!$AF$7)/$H89*OFFSET(ORÇAMENTO!$X$15,ROW(AI89)-ROW(AI$15),0),
ROUND(ROUND(OFFSET($P89,0,AI$13),15-13*ORÇAMENTO!$AF$7)*OFFSET(ORÇAMENTO!$W$15,ROW(AI89)-ROW(AI$15),0),15-13*ORÇAMENTO!$AF$11)),0)</f>
        <v>0</v>
      </c>
      <c r="AJ89" s="545">
        <f ca="1">IF(AND($D89="Serviço",AJ$12&lt;&gt;0,$H89&gt;0,OR(AUTOEVENTO&lt;&gt;"manual",$M89&lt;&gt;1)),
IF(Import.TipoArredondamento&lt;&gt;"TransfereGOV",
ROUND(OFFSET($P89,0,AJ$13),15-13*ORÇAMENTO!$AF$7)/$H89*OFFSET(ORÇAMENTO!$X$15,ROW(AJ89)-ROW(AJ$15),0),
ROUND(ROUND(OFFSET($P89,0,AJ$13),15-13*ORÇAMENTO!$AF$7)*OFFSET(ORÇAMENTO!$W$15,ROW(AJ89)-ROW(AJ$15),0),15-13*ORÇAMENTO!$AF$11)),0)</f>
        <v>0</v>
      </c>
      <c r="AK89" s="546">
        <f ca="1">IF(AND($D89="Serviço",AK$12&lt;&gt;0,$H89&gt;0,OR(AUTOEVENTO&lt;&gt;"manual",$M89&lt;&gt;1)),
IF(Import.TipoArredondamento&lt;&gt;"TransfereGOV",
ROUND(OFFSET($P89,0,AK$13),15-13*ORÇAMENTO!$AF$7)/$H89*OFFSET(ORÇAMENTO!$X$15,ROW(AK89)-ROW(AK$15),0),
ROUND(ROUND(OFFSET($P89,0,AK$13),15-13*ORÇAMENTO!$AF$7)*OFFSET(ORÇAMENTO!$W$15,ROW(AK89)-ROW(AK$15),0),15-13*ORÇAMENTO!$AF$11)),0)</f>
        <v>0</v>
      </c>
      <c r="AM89" s="181">
        <f ca="1">IF($D89&lt;&gt;"Serviço",0,IF(AND(AUTOEVENTO="Manual",$M89=1),0,IF(OFFSET(CRONOPLE!$F$14,$M89,AM$13)="",10^12,OFFSET(CRONOPLE!$F$14,$M89,AM$13))))</f>
        <v>1000000000000</v>
      </c>
      <c r="AN89" s="181">
        <f ca="1">IF($D89&lt;&gt;"Serviço",0,IF(AND(AUTOEVENTO="Manual",$M89=1),0,IF(OFFSET(CRONOPLE!$F$14,$M89,AN$13)="",10^12,OFFSET(CRONOPLE!$F$14,$M89,AN$13))))</f>
        <v>1000000000000</v>
      </c>
      <c r="AO89" s="181">
        <f ca="1">IF($D89&lt;&gt;"Serviço",0,IF(AND(AUTOEVENTO="Manual",$M89=1),0,IF(OFFSET(CRONOPLE!$F$14,$M89,AO$13)="",10^12,OFFSET(CRONOPLE!$F$14,$M89,AO$13))))</f>
        <v>1000000000000</v>
      </c>
      <c r="AP89" s="181">
        <f ca="1">IF($D89&lt;&gt;"Serviço",0,IF(AND(AUTOEVENTO="Manual",$M89=1),0,IF(OFFSET(CRONOPLE!$F$14,$M89,AP$13)="",10^12,OFFSET(CRONOPLE!$F$14,$M89,AP$13))))</f>
        <v>1000000000000</v>
      </c>
      <c r="AQ89" s="181">
        <f ca="1">IF($D89&lt;&gt;"Serviço",0,IF(AND(AUTOEVENTO="Manual",$M89=1),0,IF(OFFSET(CRONOPLE!$F$14,$M89,AQ$13)="",10^12,OFFSET(CRONOPLE!$F$14,$M89,AQ$13))))</f>
        <v>1000000000000</v>
      </c>
      <c r="AR89" s="181">
        <f ca="1">IF($D89&lt;&gt;"Serviço",0,IF(AND(AUTOEVENTO="Manual",$M89=1),0,IF(OFFSET(CRONOPLE!$F$14,$M89,AR$13)="",10^12,OFFSET(CRONOPLE!$F$14,$M89,AR$13))))</f>
        <v>1000000000000</v>
      </c>
      <c r="AS89" s="181">
        <f ca="1">IF($D89&lt;&gt;"Serviço",0,IF(AND(AUTOEVENTO="Manual",$M89=1),0,IF(OFFSET(CRONOPLE!$F$14,$M89,AS$13)="",10^12,OFFSET(CRONOPLE!$F$14,$M89,AS$13))))</f>
        <v>1000000000000</v>
      </c>
      <c r="AT89" s="181">
        <f ca="1">IF($D89&lt;&gt;"Serviço",0,IF(AND(AUTOEVENTO="Manual",$M89=1),0,IF(OFFSET(CRONOPLE!$F$14,$M89,AT$13)="",10^12,OFFSET(CRONOPLE!$F$14,$M89,AT$13))))</f>
        <v>1000000000000</v>
      </c>
      <c r="AU89" s="181">
        <f ca="1">IF($D89&lt;&gt;"Serviço",0,IF(AND(AUTOEVENTO="Manual",$M89=1),0,IF(OFFSET(CRONOPLE!$F$14,$M89,AU$13)="",10^12,OFFSET(CRONOPLE!$F$14,$M89,AU$13))))</f>
        <v>1000000000000</v>
      </c>
      <c r="AV89" s="181">
        <f ca="1">IF($D89&lt;&gt;"Serviço",0,IF(AND(AUTOEVENTO="Manual",$M89=1),0,IF(OFFSET(CRONOPLE!$F$14,$M89,AV$13)="",10^12,OFFSET(CRONOPLE!$F$14,$M89,AV$13))))</f>
        <v>1000000000000</v>
      </c>
      <c r="AX89" s="182">
        <f ca="1">IF($D89&lt;&gt;"Serviço",0,IF(OR(AND(AUTOEVENTO="Manual",$M89=1),$M89&gt;(ROW(PLE.lastrow)-ROW(PLE.firstrow))),0,IF(OFFSET(PLE!$G$14,$M89,AX$13)="",10^12,OFFSET(PLE!$G$14,$M89,AX$13))))</f>
        <v>1000000000000</v>
      </c>
      <c r="AY89" s="182">
        <f ca="1">IF($D89&lt;&gt;"Serviço",0,IF(OR(AND(AUTOEVENTO="Manual",$M89=1),$M89&gt;(ROW(PLE.lastrow)-ROW(PLE.firstrow))),0,IF(OFFSET(PLE!$G$14,$M89,AY$13)="",10^12,OFFSET(PLE!$G$14,$M89,AY$13))))</f>
        <v>1000000000000</v>
      </c>
      <c r="AZ89" s="182">
        <f ca="1">IF($D89&lt;&gt;"Serviço",0,IF(OR(AND(AUTOEVENTO="Manual",$M89=1),$M89&gt;(ROW(PLE.lastrow)-ROW(PLE.firstrow))),0,IF(OFFSET(PLE!$G$14,$M89,AZ$13)="",10^12,OFFSET(PLE!$G$14,$M89,AZ$13))))</f>
        <v>1000000000000</v>
      </c>
      <c r="BA89" s="182">
        <f ca="1">IF($D89&lt;&gt;"Serviço",0,IF(OR(AND(AUTOEVENTO="Manual",$M89=1),$M89&gt;(ROW(PLE.lastrow)-ROW(PLE.firstrow))),0,IF(OFFSET(PLE!$G$14,$M89,BA$13)="",10^12,OFFSET(PLE!$G$14,$M89,BA$13))))</f>
        <v>1000000000000</v>
      </c>
      <c r="BB89" s="182">
        <f ca="1">IF($D89&lt;&gt;"Serviço",0,IF(OR(AND(AUTOEVENTO="Manual",$M89=1),$M89&gt;(ROW(PLE.lastrow)-ROW(PLE.firstrow))),0,IF(OFFSET(PLE!$G$14,$M89,BB$13)="",10^12,OFFSET(PLE!$G$14,$M89,BB$13))))</f>
        <v>1000000000000</v>
      </c>
      <c r="BC89" s="182">
        <f ca="1">IF($D89&lt;&gt;"Serviço",0,IF(OR(AND(AUTOEVENTO="Manual",$M89=1),$M89&gt;(ROW(PLE.lastrow)-ROW(PLE.firstrow))),0,IF(OFFSET(PLE!$G$14,$M89,BC$13)="",10^12,OFFSET(PLE!$G$14,$M89,BC$13))))</f>
        <v>1000000000000</v>
      </c>
      <c r="BD89" s="182">
        <f ca="1">IF($D89&lt;&gt;"Serviço",0,IF(OR(AND(AUTOEVENTO="Manual",$M89=1),$M89&gt;(ROW(PLE.lastrow)-ROW(PLE.firstrow))),0,IF(OFFSET(PLE!$G$14,$M89,BD$13)="",10^12,OFFSET(PLE!$G$14,$M89,BD$13))))</f>
        <v>1000000000000</v>
      </c>
      <c r="BE89" s="182">
        <f ca="1">IF($D89&lt;&gt;"Serviço",0,IF(OR(AND(AUTOEVENTO="Manual",$M89=1),$M89&gt;(ROW(PLE.lastrow)-ROW(PLE.firstrow))),0,IF(OFFSET(PLE!$G$14,$M89,BE$13)="",10^12,OFFSET(PLE!$G$14,$M89,BE$13))))</f>
        <v>1000000000000</v>
      </c>
      <c r="BF89" s="182">
        <f ca="1">IF($D89&lt;&gt;"Serviço",0,IF(OR(AND(AUTOEVENTO="Manual",$M89=1),$M89&gt;(ROW(PLE.lastrow)-ROW(PLE.firstrow))),0,IF(OFFSET(PLE!$G$14,$M89,BF$13)="",10^12,OFFSET(PLE!$G$14,$M89,BF$13))))</f>
        <v>1000000000000</v>
      </c>
      <c r="BG89" s="182">
        <f ca="1">IF($D89&lt;&gt;"Serviço",0,IF(OR(AND(AUTOEVENTO="Manual",$M89=1),$M89&gt;(ROW(PLE.lastrow)-ROW(PLE.firstrow))),0,IF(OFFSET(PLE!$G$14,$M89,BG$13)="",10^12,OFFSET(PLE!$G$14,$M89,BG$13))))</f>
        <v>1000000000000</v>
      </c>
    </row>
    <row r="90" spans="1:59" ht="25.5" x14ac:dyDescent="0.2">
      <c r="A90" s="7" t="str">
        <f t="shared" ca="1" si="9"/>
        <v>44</v>
      </c>
      <c r="B90" s="7" t="str">
        <f ca="1">OFFSET(ORÇAMENTO!C$15,ROW(B90)-ROW(B$15),0)</f>
        <v>S</v>
      </c>
      <c r="C90" s="7" t="str">
        <f ca="1">OFFSET(ORÇAMENTO!L$15,ROW(C90)-ROW(C$15),0)</f>
        <v/>
      </c>
      <c r="D90" s="118" t="str">
        <f ca="1">OFFSET(ORÇAMENTO!N$15,ROW(D90)-ROW(D$15),0)</f>
        <v>Serviço</v>
      </c>
      <c r="E90" s="119" t="str">
        <f ca="1">OFFSET(ORÇAMENTO!O$15,ROW(E90)-ROW(E$15),0)</f>
        <v>-</v>
      </c>
      <c r="F90" s="172" t="str">
        <f ca="1">OFFSET(ORÇAMENTO!R$15,ROW(F90)-ROW(F$15),0)</f>
        <v>(abra o arquivo 'Referência 02-2025.xlsm)</v>
      </c>
      <c r="G90" s="173" t="str">
        <f ca="1">IF($D90&lt;&gt;"Serviço","",OFFSET(ORÇAMENTO!S$15,ROW(G90)-ROW(G$15),0))</f>
        <v>-</v>
      </c>
      <c r="H90" s="124">
        <f ca="1">IF($D90&lt;&gt;"Serviço",0,IF(ACOMPANHAMENTO="BM",ROUND(OFFSET(ORÇAMENTO!AJ$15,ROW(H90)-ROW(H$15),0),15-13*ORÇAMENTO!$AF$7),SUMPRODUCT(($Q$12:$AA$12&lt;&gt;"")*ROUND($Q90:$AA90,15-13*ORÇAMENTO!$AF$7))))</f>
        <v>12.94</v>
      </c>
      <c r="I90" s="561" t="s">
        <v>890</v>
      </c>
      <c r="K90" s="174"/>
      <c r="L90" s="175" t="s">
        <v>255</v>
      </c>
      <c r="M90" s="176">
        <f ca="1">IF($D90&lt;&gt;"Serviço","",IF(AUTOEVENTO="manual",$A90,IF(ISERROR(MATCH($A90,$A$15:OFFSET($A90,-1,0),0)),MAX($M$15:OFFSET(M90,-1,0))+1,INDEX($M$15:OFFSET(M90,-1,0),MATCH($A90,$A$15:OFFSET($A90,-1,0),0)))))</f>
        <v>5</v>
      </c>
      <c r="N90" s="177" t="str">
        <f ca="1">IF($D90&lt;&gt;"Serviço","",IF(AUTOEVENTO="Manual",IF($A90=0,"&lt;-- defina o número do agrupador",OFFSET(EVENTOS!$D$14,$A90,0)),OFFSET($F$15,$A90,0)))</f>
        <v>SUPERESTRUTURA</v>
      </c>
      <c r="O90" s="178"/>
      <c r="Q90" s="178"/>
      <c r="R90" s="179"/>
      <c r="S90" s="179"/>
      <c r="T90" s="179"/>
      <c r="U90" s="179"/>
      <c r="V90" s="179"/>
      <c r="W90" s="179"/>
      <c r="X90" s="179"/>
      <c r="Y90" s="179"/>
      <c r="Z90" s="180"/>
      <c r="AB90" s="544">
        <f ca="1">IF(AND($D90="Serviço",AB$12&lt;&gt;0,$H90&gt;0,OR(AUTOEVENTO&lt;&gt;"manual",$M90&lt;&gt;1)),
IF(Import.TipoArredondamento&lt;&gt;"TransfereGOV",
ROUND(OFFSET($P90,0,AB$13),15-13*ORÇAMENTO!$AF$7)/$H90*OFFSET(ORÇAMENTO!$X$15,ROW(AB90)-ROW(AB$15),0),
ROUND(ROUND(OFFSET($P90,0,AB$13),15-13*ORÇAMENTO!$AF$7)*OFFSET(ORÇAMENTO!$W$15,ROW(AB90)-ROW(AB$15),0),15-13*ORÇAMENTO!$AF$11)),0)</f>
        <v>0</v>
      </c>
      <c r="AC90" s="545">
        <f ca="1">IF(AND($D90="Serviço",AC$12&lt;&gt;0,$H90&gt;0,OR(AUTOEVENTO&lt;&gt;"manual",$M90&lt;&gt;1)),
IF(Import.TipoArredondamento&lt;&gt;"TransfereGOV",
ROUND(OFFSET($P90,0,AC$13),15-13*ORÇAMENTO!$AF$7)/$H90*OFFSET(ORÇAMENTO!$X$15,ROW(AC90)-ROW(AC$15),0),
ROUND(ROUND(OFFSET($P90,0,AC$13),15-13*ORÇAMENTO!$AF$7)*OFFSET(ORÇAMENTO!$W$15,ROW(AC90)-ROW(AC$15),0),15-13*ORÇAMENTO!$AF$11)),0)</f>
        <v>0</v>
      </c>
      <c r="AD90" s="545">
        <f ca="1">IF(AND($D90="Serviço",AD$12&lt;&gt;0,$H90&gt;0,OR(AUTOEVENTO&lt;&gt;"manual",$M90&lt;&gt;1)),
IF(Import.TipoArredondamento&lt;&gt;"TransfereGOV",
ROUND(OFFSET($P90,0,AD$13),15-13*ORÇAMENTO!$AF$7)/$H90*OFFSET(ORÇAMENTO!$X$15,ROW(AD90)-ROW(AD$15),0),
ROUND(ROUND(OFFSET($P90,0,AD$13),15-13*ORÇAMENTO!$AF$7)*OFFSET(ORÇAMENTO!$W$15,ROW(AD90)-ROW(AD$15),0),15-13*ORÇAMENTO!$AF$11)),0)</f>
        <v>0</v>
      </c>
      <c r="AE90" s="545">
        <f ca="1">IF(AND($D90="Serviço",AE$12&lt;&gt;0,$H90&gt;0,OR(AUTOEVENTO&lt;&gt;"manual",$M90&lt;&gt;1)),
IF(Import.TipoArredondamento&lt;&gt;"TransfereGOV",
ROUND(OFFSET($P90,0,AE$13),15-13*ORÇAMENTO!$AF$7)/$H90*OFFSET(ORÇAMENTO!$X$15,ROW(AE90)-ROW(AE$15),0),
ROUND(ROUND(OFFSET($P90,0,AE$13),15-13*ORÇAMENTO!$AF$7)*OFFSET(ORÇAMENTO!$W$15,ROW(AE90)-ROW(AE$15),0),15-13*ORÇAMENTO!$AF$11)),0)</f>
        <v>0</v>
      </c>
      <c r="AF90" s="545">
        <f ca="1">IF(AND($D90="Serviço",AF$12&lt;&gt;0,$H90&gt;0,OR(AUTOEVENTO&lt;&gt;"manual",$M90&lt;&gt;1)),
IF(Import.TipoArredondamento&lt;&gt;"TransfereGOV",
ROUND(OFFSET($P90,0,AF$13),15-13*ORÇAMENTO!$AF$7)/$H90*OFFSET(ORÇAMENTO!$X$15,ROW(AF90)-ROW(AF$15),0),
ROUND(ROUND(OFFSET($P90,0,AF$13),15-13*ORÇAMENTO!$AF$7)*OFFSET(ORÇAMENTO!$W$15,ROW(AF90)-ROW(AF$15),0),15-13*ORÇAMENTO!$AF$11)),0)</f>
        <v>0</v>
      </c>
      <c r="AG90" s="545">
        <f ca="1">IF(AND($D90="Serviço",AG$12&lt;&gt;0,$H90&gt;0,OR(AUTOEVENTO&lt;&gt;"manual",$M90&lt;&gt;1)),
IF(Import.TipoArredondamento&lt;&gt;"TransfereGOV",
ROUND(OFFSET($P90,0,AG$13),15-13*ORÇAMENTO!$AF$7)/$H90*OFFSET(ORÇAMENTO!$X$15,ROW(AG90)-ROW(AG$15),0),
ROUND(ROUND(OFFSET($P90,0,AG$13),15-13*ORÇAMENTO!$AF$7)*OFFSET(ORÇAMENTO!$W$15,ROW(AG90)-ROW(AG$15),0),15-13*ORÇAMENTO!$AF$11)),0)</f>
        <v>0</v>
      </c>
      <c r="AH90" s="545">
        <f ca="1">IF(AND($D90="Serviço",AH$12&lt;&gt;0,$H90&gt;0,OR(AUTOEVENTO&lt;&gt;"manual",$M90&lt;&gt;1)),
IF(Import.TipoArredondamento&lt;&gt;"TransfereGOV",
ROUND(OFFSET($P90,0,AH$13),15-13*ORÇAMENTO!$AF$7)/$H90*OFFSET(ORÇAMENTO!$X$15,ROW(AH90)-ROW(AH$15),0),
ROUND(ROUND(OFFSET($P90,0,AH$13),15-13*ORÇAMENTO!$AF$7)*OFFSET(ORÇAMENTO!$W$15,ROW(AH90)-ROW(AH$15),0),15-13*ORÇAMENTO!$AF$11)),0)</f>
        <v>0</v>
      </c>
      <c r="AI90" s="545">
        <f ca="1">IF(AND($D90="Serviço",AI$12&lt;&gt;0,$H90&gt;0,OR(AUTOEVENTO&lt;&gt;"manual",$M90&lt;&gt;1)),
IF(Import.TipoArredondamento&lt;&gt;"TransfereGOV",
ROUND(OFFSET($P90,0,AI$13),15-13*ORÇAMENTO!$AF$7)/$H90*OFFSET(ORÇAMENTO!$X$15,ROW(AI90)-ROW(AI$15),0),
ROUND(ROUND(OFFSET($P90,0,AI$13),15-13*ORÇAMENTO!$AF$7)*OFFSET(ORÇAMENTO!$W$15,ROW(AI90)-ROW(AI$15),0),15-13*ORÇAMENTO!$AF$11)),0)</f>
        <v>0</v>
      </c>
      <c r="AJ90" s="545">
        <f ca="1">IF(AND($D90="Serviço",AJ$12&lt;&gt;0,$H90&gt;0,OR(AUTOEVENTO&lt;&gt;"manual",$M90&lt;&gt;1)),
IF(Import.TipoArredondamento&lt;&gt;"TransfereGOV",
ROUND(OFFSET($P90,0,AJ$13),15-13*ORÇAMENTO!$AF$7)/$H90*OFFSET(ORÇAMENTO!$X$15,ROW(AJ90)-ROW(AJ$15),0),
ROUND(ROUND(OFFSET($P90,0,AJ$13),15-13*ORÇAMENTO!$AF$7)*OFFSET(ORÇAMENTO!$W$15,ROW(AJ90)-ROW(AJ$15),0),15-13*ORÇAMENTO!$AF$11)),0)</f>
        <v>0</v>
      </c>
      <c r="AK90" s="546">
        <f ca="1">IF(AND($D90="Serviço",AK$12&lt;&gt;0,$H90&gt;0,OR(AUTOEVENTO&lt;&gt;"manual",$M90&lt;&gt;1)),
IF(Import.TipoArredondamento&lt;&gt;"TransfereGOV",
ROUND(OFFSET($P90,0,AK$13),15-13*ORÇAMENTO!$AF$7)/$H90*OFFSET(ORÇAMENTO!$X$15,ROW(AK90)-ROW(AK$15),0),
ROUND(ROUND(OFFSET($P90,0,AK$13),15-13*ORÇAMENTO!$AF$7)*OFFSET(ORÇAMENTO!$W$15,ROW(AK90)-ROW(AK$15),0),15-13*ORÇAMENTO!$AF$11)),0)</f>
        <v>0</v>
      </c>
      <c r="AM90" s="181">
        <f ca="1">IF($D90&lt;&gt;"Serviço",0,IF(AND(AUTOEVENTO="Manual",$M90=1),0,IF(OFFSET(CRONOPLE!$F$14,$M90,AM$13)="",10^12,OFFSET(CRONOPLE!$F$14,$M90,AM$13))))</f>
        <v>1000000000000</v>
      </c>
      <c r="AN90" s="181">
        <f ca="1">IF($D90&lt;&gt;"Serviço",0,IF(AND(AUTOEVENTO="Manual",$M90=1),0,IF(OFFSET(CRONOPLE!$F$14,$M90,AN$13)="",10^12,OFFSET(CRONOPLE!$F$14,$M90,AN$13))))</f>
        <v>1000000000000</v>
      </c>
      <c r="AO90" s="181">
        <f ca="1">IF($D90&lt;&gt;"Serviço",0,IF(AND(AUTOEVENTO="Manual",$M90=1),0,IF(OFFSET(CRONOPLE!$F$14,$M90,AO$13)="",10^12,OFFSET(CRONOPLE!$F$14,$M90,AO$13))))</f>
        <v>1000000000000</v>
      </c>
      <c r="AP90" s="181">
        <f ca="1">IF($D90&lt;&gt;"Serviço",0,IF(AND(AUTOEVENTO="Manual",$M90=1),0,IF(OFFSET(CRONOPLE!$F$14,$M90,AP$13)="",10^12,OFFSET(CRONOPLE!$F$14,$M90,AP$13))))</f>
        <v>1000000000000</v>
      </c>
      <c r="AQ90" s="181">
        <f ca="1">IF($D90&lt;&gt;"Serviço",0,IF(AND(AUTOEVENTO="Manual",$M90=1),0,IF(OFFSET(CRONOPLE!$F$14,$M90,AQ$13)="",10^12,OFFSET(CRONOPLE!$F$14,$M90,AQ$13))))</f>
        <v>1000000000000</v>
      </c>
      <c r="AR90" s="181">
        <f ca="1">IF($D90&lt;&gt;"Serviço",0,IF(AND(AUTOEVENTO="Manual",$M90=1),0,IF(OFFSET(CRONOPLE!$F$14,$M90,AR$13)="",10^12,OFFSET(CRONOPLE!$F$14,$M90,AR$13))))</f>
        <v>1000000000000</v>
      </c>
      <c r="AS90" s="181">
        <f ca="1">IF($D90&lt;&gt;"Serviço",0,IF(AND(AUTOEVENTO="Manual",$M90=1),0,IF(OFFSET(CRONOPLE!$F$14,$M90,AS$13)="",10^12,OFFSET(CRONOPLE!$F$14,$M90,AS$13))))</f>
        <v>1000000000000</v>
      </c>
      <c r="AT90" s="181">
        <f ca="1">IF($D90&lt;&gt;"Serviço",0,IF(AND(AUTOEVENTO="Manual",$M90=1),0,IF(OFFSET(CRONOPLE!$F$14,$M90,AT$13)="",10^12,OFFSET(CRONOPLE!$F$14,$M90,AT$13))))</f>
        <v>1000000000000</v>
      </c>
      <c r="AU90" s="181">
        <f ca="1">IF($D90&lt;&gt;"Serviço",0,IF(AND(AUTOEVENTO="Manual",$M90=1),0,IF(OFFSET(CRONOPLE!$F$14,$M90,AU$13)="",10^12,OFFSET(CRONOPLE!$F$14,$M90,AU$13))))</f>
        <v>1000000000000</v>
      </c>
      <c r="AV90" s="181">
        <f ca="1">IF($D90&lt;&gt;"Serviço",0,IF(AND(AUTOEVENTO="Manual",$M90=1),0,IF(OFFSET(CRONOPLE!$F$14,$M90,AV$13)="",10^12,OFFSET(CRONOPLE!$F$14,$M90,AV$13))))</f>
        <v>1000000000000</v>
      </c>
      <c r="AX90" s="182">
        <f ca="1">IF($D90&lt;&gt;"Serviço",0,IF(OR(AND(AUTOEVENTO="Manual",$M90=1),$M90&gt;(ROW(PLE.lastrow)-ROW(PLE.firstrow))),0,IF(OFFSET(PLE!$G$14,$M90,AX$13)="",10^12,OFFSET(PLE!$G$14,$M90,AX$13))))</f>
        <v>1000000000000</v>
      </c>
      <c r="AY90" s="182">
        <f ca="1">IF($D90&lt;&gt;"Serviço",0,IF(OR(AND(AUTOEVENTO="Manual",$M90=1),$M90&gt;(ROW(PLE.lastrow)-ROW(PLE.firstrow))),0,IF(OFFSET(PLE!$G$14,$M90,AY$13)="",10^12,OFFSET(PLE!$G$14,$M90,AY$13))))</f>
        <v>1000000000000</v>
      </c>
      <c r="AZ90" s="182">
        <f ca="1">IF($D90&lt;&gt;"Serviço",0,IF(OR(AND(AUTOEVENTO="Manual",$M90=1),$M90&gt;(ROW(PLE.lastrow)-ROW(PLE.firstrow))),0,IF(OFFSET(PLE!$G$14,$M90,AZ$13)="",10^12,OFFSET(PLE!$G$14,$M90,AZ$13))))</f>
        <v>1000000000000</v>
      </c>
      <c r="BA90" s="182">
        <f ca="1">IF($D90&lt;&gt;"Serviço",0,IF(OR(AND(AUTOEVENTO="Manual",$M90=1),$M90&gt;(ROW(PLE.lastrow)-ROW(PLE.firstrow))),0,IF(OFFSET(PLE!$G$14,$M90,BA$13)="",10^12,OFFSET(PLE!$G$14,$M90,BA$13))))</f>
        <v>1000000000000</v>
      </c>
      <c r="BB90" s="182">
        <f ca="1">IF($D90&lt;&gt;"Serviço",0,IF(OR(AND(AUTOEVENTO="Manual",$M90=1),$M90&gt;(ROW(PLE.lastrow)-ROW(PLE.firstrow))),0,IF(OFFSET(PLE!$G$14,$M90,BB$13)="",10^12,OFFSET(PLE!$G$14,$M90,BB$13))))</f>
        <v>1000000000000</v>
      </c>
      <c r="BC90" s="182">
        <f ca="1">IF($D90&lt;&gt;"Serviço",0,IF(OR(AND(AUTOEVENTO="Manual",$M90=1),$M90&gt;(ROW(PLE.lastrow)-ROW(PLE.firstrow))),0,IF(OFFSET(PLE!$G$14,$M90,BC$13)="",10^12,OFFSET(PLE!$G$14,$M90,BC$13))))</f>
        <v>1000000000000</v>
      </c>
      <c r="BD90" s="182">
        <f ca="1">IF($D90&lt;&gt;"Serviço",0,IF(OR(AND(AUTOEVENTO="Manual",$M90=1),$M90&gt;(ROW(PLE.lastrow)-ROW(PLE.firstrow))),0,IF(OFFSET(PLE!$G$14,$M90,BD$13)="",10^12,OFFSET(PLE!$G$14,$M90,BD$13))))</f>
        <v>1000000000000</v>
      </c>
      <c r="BE90" s="182">
        <f ca="1">IF($D90&lt;&gt;"Serviço",0,IF(OR(AND(AUTOEVENTO="Manual",$M90=1),$M90&gt;(ROW(PLE.lastrow)-ROW(PLE.firstrow))),0,IF(OFFSET(PLE!$G$14,$M90,BE$13)="",10^12,OFFSET(PLE!$G$14,$M90,BE$13))))</f>
        <v>1000000000000</v>
      </c>
      <c r="BF90" s="182">
        <f ca="1">IF($D90&lt;&gt;"Serviço",0,IF(OR(AND(AUTOEVENTO="Manual",$M90=1),$M90&gt;(ROW(PLE.lastrow)-ROW(PLE.firstrow))),0,IF(OFFSET(PLE!$G$14,$M90,BF$13)="",10^12,OFFSET(PLE!$G$14,$M90,BF$13))))</f>
        <v>1000000000000</v>
      </c>
      <c r="BG90" s="182">
        <f ca="1">IF($D90&lt;&gt;"Serviço",0,IF(OR(AND(AUTOEVENTO="Manual",$M90=1),$M90&gt;(ROW(PLE.lastrow)-ROW(PLE.firstrow))),0,IF(OFFSET(PLE!$G$14,$M90,BG$13)="",10^12,OFFSET(PLE!$G$14,$M90,BG$13))))</f>
        <v>1000000000000</v>
      </c>
    </row>
    <row r="91" spans="1:59" ht="38.25" x14ac:dyDescent="0.2">
      <c r="A91" s="7" t="str">
        <f t="shared" ca="1" si="9"/>
        <v>44</v>
      </c>
      <c r="B91" s="7" t="str">
        <f ca="1">OFFSET(ORÇAMENTO!C$15,ROW(B91)-ROW(B$15),0)</f>
        <v>S</v>
      </c>
      <c r="C91" s="7" t="str">
        <f ca="1">OFFSET(ORÇAMENTO!L$15,ROW(C91)-ROW(C$15),0)</f>
        <v/>
      </c>
      <c r="D91" s="118" t="str">
        <f ca="1">OFFSET(ORÇAMENTO!N$15,ROW(D91)-ROW(D$15),0)</f>
        <v>Serviço</v>
      </c>
      <c r="E91" s="119" t="str">
        <f ca="1">OFFSET(ORÇAMENTO!O$15,ROW(E91)-ROW(E$15),0)</f>
        <v>-</v>
      </c>
      <c r="F91" s="172" t="str">
        <f ca="1">OFFSET(ORÇAMENTO!R$15,ROW(F91)-ROW(F$15),0)</f>
        <v>(abra o arquivo 'Referência 02-2025.xlsm)</v>
      </c>
      <c r="G91" s="173" t="str">
        <f ca="1">IF($D91&lt;&gt;"Serviço","",OFFSET(ORÇAMENTO!S$15,ROW(G91)-ROW(G$15),0))</f>
        <v>-</v>
      </c>
      <c r="H91" s="124">
        <f ca="1">IF($D91&lt;&gt;"Serviço",0,IF(ACOMPANHAMENTO="BM",ROUND(OFFSET(ORÇAMENTO!AJ$15,ROW(H91)-ROW(H$15),0),15-13*ORÇAMENTO!$AF$7),SUMPRODUCT(($Q$12:$AA$12&lt;&gt;"")*ROUND($Q91:$AA91,15-13*ORÇAMENTO!$AF$7))))</f>
        <v>3.3</v>
      </c>
      <c r="I91" s="561" t="s">
        <v>890</v>
      </c>
      <c r="K91" s="174"/>
      <c r="L91" s="175" t="s">
        <v>255</v>
      </c>
      <c r="M91" s="176">
        <f ca="1">IF($D91&lt;&gt;"Serviço","",IF(AUTOEVENTO="manual",$A91,IF(ISERROR(MATCH($A91,$A$15:OFFSET($A91,-1,0),0)),MAX($M$15:OFFSET(M91,-1,0))+1,INDEX($M$15:OFFSET(M91,-1,0),MATCH($A91,$A$15:OFFSET($A91,-1,0),0)))))</f>
        <v>5</v>
      </c>
      <c r="N91" s="177" t="str">
        <f ca="1">IF($D91&lt;&gt;"Serviço","",IF(AUTOEVENTO="Manual",IF($A91=0,"&lt;-- defina o número do agrupador",OFFSET(EVENTOS!$D$14,$A91,0)),OFFSET($F$15,$A91,0)))</f>
        <v>SUPERESTRUTURA</v>
      </c>
      <c r="O91" s="178"/>
      <c r="Q91" s="178"/>
      <c r="R91" s="179"/>
      <c r="S91" s="179"/>
      <c r="T91" s="179"/>
      <c r="U91" s="179"/>
      <c r="V91" s="179"/>
      <c r="W91" s="179"/>
      <c r="X91" s="179"/>
      <c r="Y91" s="179"/>
      <c r="Z91" s="180"/>
      <c r="AB91" s="544">
        <f ca="1">IF(AND($D91="Serviço",AB$12&lt;&gt;0,$H91&gt;0,OR(AUTOEVENTO&lt;&gt;"manual",$M91&lt;&gt;1)),
IF(Import.TipoArredondamento&lt;&gt;"TransfereGOV",
ROUND(OFFSET($P91,0,AB$13),15-13*ORÇAMENTO!$AF$7)/$H91*OFFSET(ORÇAMENTO!$X$15,ROW(AB91)-ROW(AB$15),0),
ROUND(ROUND(OFFSET($P91,0,AB$13),15-13*ORÇAMENTO!$AF$7)*OFFSET(ORÇAMENTO!$W$15,ROW(AB91)-ROW(AB$15),0),15-13*ORÇAMENTO!$AF$11)),0)</f>
        <v>0</v>
      </c>
      <c r="AC91" s="545">
        <f ca="1">IF(AND($D91="Serviço",AC$12&lt;&gt;0,$H91&gt;0,OR(AUTOEVENTO&lt;&gt;"manual",$M91&lt;&gt;1)),
IF(Import.TipoArredondamento&lt;&gt;"TransfereGOV",
ROUND(OFFSET($P91,0,AC$13),15-13*ORÇAMENTO!$AF$7)/$H91*OFFSET(ORÇAMENTO!$X$15,ROW(AC91)-ROW(AC$15),0),
ROUND(ROUND(OFFSET($P91,0,AC$13),15-13*ORÇAMENTO!$AF$7)*OFFSET(ORÇAMENTO!$W$15,ROW(AC91)-ROW(AC$15),0),15-13*ORÇAMENTO!$AF$11)),0)</f>
        <v>0</v>
      </c>
      <c r="AD91" s="545">
        <f ca="1">IF(AND($D91="Serviço",AD$12&lt;&gt;0,$H91&gt;0,OR(AUTOEVENTO&lt;&gt;"manual",$M91&lt;&gt;1)),
IF(Import.TipoArredondamento&lt;&gt;"TransfereGOV",
ROUND(OFFSET($P91,0,AD$13),15-13*ORÇAMENTO!$AF$7)/$H91*OFFSET(ORÇAMENTO!$X$15,ROW(AD91)-ROW(AD$15),0),
ROUND(ROUND(OFFSET($P91,0,AD$13),15-13*ORÇAMENTO!$AF$7)*OFFSET(ORÇAMENTO!$W$15,ROW(AD91)-ROW(AD$15),0),15-13*ORÇAMENTO!$AF$11)),0)</f>
        <v>0</v>
      </c>
      <c r="AE91" s="545">
        <f ca="1">IF(AND($D91="Serviço",AE$12&lt;&gt;0,$H91&gt;0,OR(AUTOEVENTO&lt;&gt;"manual",$M91&lt;&gt;1)),
IF(Import.TipoArredondamento&lt;&gt;"TransfereGOV",
ROUND(OFFSET($P91,0,AE$13),15-13*ORÇAMENTO!$AF$7)/$H91*OFFSET(ORÇAMENTO!$X$15,ROW(AE91)-ROW(AE$15),0),
ROUND(ROUND(OFFSET($P91,0,AE$13),15-13*ORÇAMENTO!$AF$7)*OFFSET(ORÇAMENTO!$W$15,ROW(AE91)-ROW(AE$15),0),15-13*ORÇAMENTO!$AF$11)),0)</f>
        <v>0</v>
      </c>
      <c r="AF91" s="545">
        <f ca="1">IF(AND($D91="Serviço",AF$12&lt;&gt;0,$H91&gt;0,OR(AUTOEVENTO&lt;&gt;"manual",$M91&lt;&gt;1)),
IF(Import.TipoArredondamento&lt;&gt;"TransfereGOV",
ROUND(OFFSET($P91,0,AF$13),15-13*ORÇAMENTO!$AF$7)/$H91*OFFSET(ORÇAMENTO!$X$15,ROW(AF91)-ROW(AF$15),0),
ROUND(ROUND(OFFSET($P91,0,AF$13),15-13*ORÇAMENTO!$AF$7)*OFFSET(ORÇAMENTO!$W$15,ROW(AF91)-ROW(AF$15),0),15-13*ORÇAMENTO!$AF$11)),0)</f>
        <v>0</v>
      </c>
      <c r="AG91" s="545">
        <f ca="1">IF(AND($D91="Serviço",AG$12&lt;&gt;0,$H91&gt;0,OR(AUTOEVENTO&lt;&gt;"manual",$M91&lt;&gt;1)),
IF(Import.TipoArredondamento&lt;&gt;"TransfereGOV",
ROUND(OFFSET($P91,0,AG$13),15-13*ORÇAMENTO!$AF$7)/$H91*OFFSET(ORÇAMENTO!$X$15,ROW(AG91)-ROW(AG$15),0),
ROUND(ROUND(OFFSET($P91,0,AG$13),15-13*ORÇAMENTO!$AF$7)*OFFSET(ORÇAMENTO!$W$15,ROW(AG91)-ROW(AG$15),0),15-13*ORÇAMENTO!$AF$11)),0)</f>
        <v>0</v>
      </c>
      <c r="AH91" s="545">
        <f ca="1">IF(AND($D91="Serviço",AH$12&lt;&gt;0,$H91&gt;0,OR(AUTOEVENTO&lt;&gt;"manual",$M91&lt;&gt;1)),
IF(Import.TipoArredondamento&lt;&gt;"TransfereGOV",
ROUND(OFFSET($P91,0,AH$13),15-13*ORÇAMENTO!$AF$7)/$H91*OFFSET(ORÇAMENTO!$X$15,ROW(AH91)-ROW(AH$15),0),
ROUND(ROUND(OFFSET($P91,0,AH$13),15-13*ORÇAMENTO!$AF$7)*OFFSET(ORÇAMENTO!$W$15,ROW(AH91)-ROW(AH$15),0),15-13*ORÇAMENTO!$AF$11)),0)</f>
        <v>0</v>
      </c>
      <c r="AI91" s="545">
        <f ca="1">IF(AND($D91="Serviço",AI$12&lt;&gt;0,$H91&gt;0,OR(AUTOEVENTO&lt;&gt;"manual",$M91&lt;&gt;1)),
IF(Import.TipoArredondamento&lt;&gt;"TransfereGOV",
ROUND(OFFSET($P91,0,AI$13),15-13*ORÇAMENTO!$AF$7)/$H91*OFFSET(ORÇAMENTO!$X$15,ROW(AI91)-ROW(AI$15),0),
ROUND(ROUND(OFFSET($P91,0,AI$13),15-13*ORÇAMENTO!$AF$7)*OFFSET(ORÇAMENTO!$W$15,ROW(AI91)-ROW(AI$15),0),15-13*ORÇAMENTO!$AF$11)),0)</f>
        <v>0</v>
      </c>
      <c r="AJ91" s="545">
        <f ca="1">IF(AND($D91="Serviço",AJ$12&lt;&gt;0,$H91&gt;0,OR(AUTOEVENTO&lt;&gt;"manual",$M91&lt;&gt;1)),
IF(Import.TipoArredondamento&lt;&gt;"TransfereGOV",
ROUND(OFFSET($P91,0,AJ$13),15-13*ORÇAMENTO!$AF$7)/$H91*OFFSET(ORÇAMENTO!$X$15,ROW(AJ91)-ROW(AJ$15),0),
ROUND(ROUND(OFFSET($P91,0,AJ$13),15-13*ORÇAMENTO!$AF$7)*OFFSET(ORÇAMENTO!$W$15,ROW(AJ91)-ROW(AJ$15),0),15-13*ORÇAMENTO!$AF$11)),0)</f>
        <v>0</v>
      </c>
      <c r="AK91" s="546">
        <f ca="1">IF(AND($D91="Serviço",AK$12&lt;&gt;0,$H91&gt;0,OR(AUTOEVENTO&lt;&gt;"manual",$M91&lt;&gt;1)),
IF(Import.TipoArredondamento&lt;&gt;"TransfereGOV",
ROUND(OFFSET($P91,0,AK$13),15-13*ORÇAMENTO!$AF$7)/$H91*OFFSET(ORÇAMENTO!$X$15,ROW(AK91)-ROW(AK$15),0),
ROUND(ROUND(OFFSET($P91,0,AK$13),15-13*ORÇAMENTO!$AF$7)*OFFSET(ORÇAMENTO!$W$15,ROW(AK91)-ROW(AK$15),0),15-13*ORÇAMENTO!$AF$11)),0)</f>
        <v>0</v>
      </c>
      <c r="AM91" s="181">
        <f ca="1">IF($D91&lt;&gt;"Serviço",0,IF(AND(AUTOEVENTO="Manual",$M91=1),0,IF(OFFSET(CRONOPLE!$F$14,$M91,AM$13)="",10^12,OFFSET(CRONOPLE!$F$14,$M91,AM$13))))</f>
        <v>1000000000000</v>
      </c>
      <c r="AN91" s="181">
        <f ca="1">IF($D91&lt;&gt;"Serviço",0,IF(AND(AUTOEVENTO="Manual",$M91=1),0,IF(OFFSET(CRONOPLE!$F$14,$M91,AN$13)="",10^12,OFFSET(CRONOPLE!$F$14,$M91,AN$13))))</f>
        <v>1000000000000</v>
      </c>
      <c r="AO91" s="181">
        <f ca="1">IF($D91&lt;&gt;"Serviço",0,IF(AND(AUTOEVENTO="Manual",$M91=1),0,IF(OFFSET(CRONOPLE!$F$14,$M91,AO$13)="",10^12,OFFSET(CRONOPLE!$F$14,$M91,AO$13))))</f>
        <v>1000000000000</v>
      </c>
      <c r="AP91" s="181">
        <f ca="1">IF($D91&lt;&gt;"Serviço",0,IF(AND(AUTOEVENTO="Manual",$M91=1),0,IF(OFFSET(CRONOPLE!$F$14,$M91,AP$13)="",10^12,OFFSET(CRONOPLE!$F$14,$M91,AP$13))))</f>
        <v>1000000000000</v>
      </c>
      <c r="AQ91" s="181">
        <f ca="1">IF($D91&lt;&gt;"Serviço",0,IF(AND(AUTOEVENTO="Manual",$M91=1),0,IF(OFFSET(CRONOPLE!$F$14,$M91,AQ$13)="",10^12,OFFSET(CRONOPLE!$F$14,$M91,AQ$13))))</f>
        <v>1000000000000</v>
      </c>
      <c r="AR91" s="181">
        <f ca="1">IF($D91&lt;&gt;"Serviço",0,IF(AND(AUTOEVENTO="Manual",$M91=1),0,IF(OFFSET(CRONOPLE!$F$14,$M91,AR$13)="",10^12,OFFSET(CRONOPLE!$F$14,$M91,AR$13))))</f>
        <v>1000000000000</v>
      </c>
      <c r="AS91" s="181">
        <f ca="1">IF($D91&lt;&gt;"Serviço",0,IF(AND(AUTOEVENTO="Manual",$M91=1),0,IF(OFFSET(CRONOPLE!$F$14,$M91,AS$13)="",10^12,OFFSET(CRONOPLE!$F$14,$M91,AS$13))))</f>
        <v>1000000000000</v>
      </c>
      <c r="AT91" s="181">
        <f ca="1">IF($D91&lt;&gt;"Serviço",0,IF(AND(AUTOEVENTO="Manual",$M91=1),0,IF(OFFSET(CRONOPLE!$F$14,$M91,AT$13)="",10^12,OFFSET(CRONOPLE!$F$14,$M91,AT$13))))</f>
        <v>1000000000000</v>
      </c>
      <c r="AU91" s="181">
        <f ca="1">IF($D91&lt;&gt;"Serviço",0,IF(AND(AUTOEVENTO="Manual",$M91=1),0,IF(OFFSET(CRONOPLE!$F$14,$M91,AU$13)="",10^12,OFFSET(CRONOPLE!$F$14,$M91,AU$13))))</f>
        <v>1000000000000</v>
      </c>
      <c r="AV91" s="181">
        <f ca="1">IF($D91&lt;&gt;"Serviço",0,IF(AND(AUTOEVENTO="Manual",$M91=1),0,IF(OFFSET(CRONOPLE!$F$14,$M91,AV$13)="",10^12,OFFSET(CRONOPLE!$F$14,$M91,AV$13))))</f>
        <v>1000000000000</v>
      </c>
      <c r="AX91" s="182">
        <f ca="1">IF($D91&lt;&gt;"Serviço",0,IF(OR(AND(AUTOEVENTO="Manual",$M91=1),$M91&gt;(ROW(PLE.lastrow)-ROW(PLE.firstrow))),0,IF(OFFSET(PLE!$G$14,$M91,AX$13)="",10^12,OFFSET(PLE!$G$14,$M91,AX$13))))</f>
        <v>1000000000000</v>
      </c>
      <c r="AY91" s="182">
        <f ca="1">IF($D91&lt;&gt;"Serviço",0,IF(OR(AND(AUTOEVENTO="Manual",$M91=1),$M91&gt;(ROW(PLE.lastrow)-ROW(PLE.firstrow))),0,IF(OFFSET(PLE!$G$14,$M91,AY$13)="",10^12,OFFSET(PLE!$G$14,$M91,AY$13))))</f>
        <v>1000000000000</v>
      </c>
      <c r="AZ91" s="182">
        <f ca="1">IF($D91&lt;&gt;"Serviço",0,IF(OR(AND(AUTOEVENTO="Manual",$M91=1),$M91&gt;(ROW(PLE.lastrow)-ROW(PLE.firstrow))),0,IF(OFFSET(PLE!$G$14,$M91,AZ$13)="",10^12,OFFSET(PLE!$G$14,$M91,AZ$13))))</f>
        <v>1000000000000</v>
      </c>
      <c r="BA91" s="182">
        <f ca="1">IF($D91&lt;&gt;"Serviço",0,IF(OR(AND(AUTOEVENTO="Manual",$M91=1),$M91&gt;(ROW(PLE.lastrow)-ROW(PLE.firstrow))),0,IF(OFFSET(PLE!$G$14,$M91,BA$13)="",10^12,OFFSET(PLE!$G$14,$M91,BA$13))))</f>
        <v>1000000000000</v>
      </c>
      <c r="BB91" s="182">
        <f ca="1">IF($D91&lt;&gt;"Serviço",0,IF(OR(AND(AUTOEVENTO="Manual",$M91=1),$M91&gt;(ROW(PLE.lastrow)-ROW(PLE.firstrow))),0,IF(OFFSET(PLE!$G$14,$M91,BB$13)="",10^12,OFFSET(PLE!$G$14,$M91,BB$13))))</f>
        <v>1000000000000</v>
      </c>
      <c r="BC91" s="182">
        <f ca="1">IF($D91&lt;&gt;"Serviço",0,IF(OR(AND(AUTOEVENTO="Manual",$M91=1),$M91&gt;(ROW(PLE.lastrow)-ROW(PLE.firstrow))),0,IF(OFFSET(PLE!$G$14,$M91,BC$13)="",10^12,OFFSET(PLE!$G$14,$M91,BC$13))))</f>
        <v>1000000000000</v>
      </c>
      <c r="BD91" s="182">
        <f ca="1">IF($D91&lt;&gt;"Serviço",0,IF(OR(AND(AUTOEVENTO="Manual",$M91=1),$M91&gt;(ROW(PLE.lastrow)-ROW(PLE.firstrow))),0,IF(OFFSET(PLE!$G$14,$M91,BD$13)="",10^12,OFFSET(PLE!$G$14,$M91,BD$13))))</f>
        <v>1000000000000</v>
      </c>
      <c r="BE91" s="182">
        <f ca="1">IF($D91&lt;&gt;"Serviço",0,IF(OR(AND(AUTOEVENTO="Manual",$M91=1),$M91&gt;(ROW(PLE.lastrow)-ROW(PLE.firstrow))),0,IF(OFFSET(PLE!$G$14,$M91,BE$13)="",10^12,OFFSET(PLE!$G$14,$M91,BE$13))))</f>
        <v>1000000000000</v>
      </c>
      <c r="BF91" s="182">
        <f ca="1">IF($D91&lt;&gt;"Serviço",0,IF(OR(AND(AUTOEVENTO="Manual",$M91=1),$M91&gt;(ROW(PLE.lastrow)-ROW(PLE.firstrow))),0,IF(OFFSET(PLE!$G$14,$M91,BF$13)="",10^12,OFFSET(PLE!$G$14,$M91,BF$13))))</f>
        <v>1000000000000</v>
      </c>
      <c r="BG91" s="182">
        <f ca="1">IF($D91&lt;&gt;"Serviço",0,IF(OR(AND(AUTOEVENTO="Manual",$M91=1),$M91&gt;(ROW(PLE.lastrow)-ROW(PLE.firstrow))),0,IF(OFFSET(PLE!$G$14,$M91,BG$13)="",10^12,OFFSET(PLE!$G$14,$M91,BG$13))))</f>
        <v>1000000000000</v>
      </c>
    </row>
    <row r="92" spans="1:59" ht="25.5" x14ac:dyDescent="0.2">
      <c r="A92" s="7" t="str">
        <f t="shared" ca="1" si="9"/>
        <v>44</v>
      </c>
      <c r="B92" s="7" t="str">
        <f ca="1">OFFSET(ORÇAMENTO!C$15,ROW(B92)-ROW(B$15),0)</f>
        <v>S</v>
      </c>
      <c r="C92" s="7" t="str">
        <f ca="1">OFFSET(ORÇAMENTO!L$15,ROW(C92)-ROW(C$15),0)</f>
        <v/>
      </c>
      <c r="D92" s="118" t="str">
        <f ca="1">OFFSET(ORÇAMENTO!N$15,ROW(D92)-ROW(D$15),0)</f>
        <v>Serviço</v>
      </c>
      <c r="E92" s="119" t="str">
        <f ca="1">OFFSET(ORÇAMENTO!O$15,ROW(E92)-ROW(E$15),0)</f>
        <v>-</v>
      </c>
      <c r="F92" s="172" t="str">
        <f ca="1">OFFSET(ORÇAMENTO!R$15,ROW(F92)-ROW(F$15),0)</f>
        <v>(abra o arquivo 'Referência 02-2025.xlsm)</v>
      </c>
      <c r="G92" s="173" t="str">
        <f ca="1">IF($D92&lt;&gt;"Serviço","",OFFSET(ORÇAMENTO!S$15,ROW(G92)-ROW(G$15),0))</f>
        <v>-</v>
      </c>
      <c r="H92" s="124">
        <f ca="1">IF($D92&lt;&gt;"Serviço",0,IF(ACOMPANHAMENTO="BM",ROUND(OFFSET(ORÇAMENTO!AJ$15,ROW(H92)-ROW(H$15),0),15-13*ORÇAMENTO!$AF$7),SUMPRODUCT(($Q$12:$AA$12&lt;&gt;"")*ROUND($Q92:$AA92,15-13*ORÇAMENTO!$AF$7))))</f>
        <v>15.96</v>
      </c>
      <c r="I92" s="561" t="s">
        <v>890</v>
      </c>
      <c r="K92" s="174"/>
      <c r="L92" s="175" t="s">
        <v>255</v>
      </c>
      <c r="M92" s="176">
        <f ca="1">IF($D92&lt;&gt;"Serviço","",IF(AUTOEVENTO="manual",$A92,IF(ISERROR(MATCH($A92,$A$15:OFFSET($A92,-1,0),0)),MAX($M$15:OFFSET(M92,-1,0))+1,INDEX($M$15:OFFSET(M92,-1,0),MATCH($A92,$A$15:OFFSET($A92,-1,0),0)))))</f>
        <v>5</v>
      </c>
      <c r="N92" s="177" t="str">
        <f ca="1">IF($D92&lt;&gt;"Serviço","",IF(AUTOEVENTO="Manual",IF($A92=0,"&lt;-- defina o número do agrupador",OFFSET(EVENTOS!$D$14,$A92,0)),OFFSET($F$15,$A92,0)))</f>
        <v>SUPERESTRUTURA</v>
      </c>
      <c r="O92" s="178"/>
      <c r="Q92" s="178"/>
      <c r="R92" s="179"/>
      <c r="S92" s="179"/>
      <c r="T92" s="179"/>
      <c r="U92" s="179"/>
      <c r="V92" s="179"/>
      <c r="W92" s="179"/>
      <c r="X92" s="179"/>
      <c r="Y92" s="179"/>
      <c r="Z92" s="180"/>
      <c r="AB92" s="544">
        <f ca="1">IF(AND($D92="Serviço",AB$12&lt;&gt;0,$H92&gt;0,OR(AUTOEVENTO&lt;&gt;"manual",$M92&lt;&gt;1)),
IF(Import.TipoArredondamento&lt;&gt;"TransfereGOV",
ROUND(OFFSET($P92,0,AB$13),15-13*ORÇAMENTO!$AF$7)/$H92*OFFSET(ORÇAMENTO!$X$15,ROW(AB92)-ROW(AB$15),0),
ROUND(ROUND(OFFSET($P92,0,AB$13),15-13*ORÇAMENTO!$AF$7)*OFFSET(ORÇAMENTO!$W$15,ROW(AB92)-ROW(AB$15),0),15-13*ORÇAMENTO!$AF$11)),0)</f>
        <v>0</v>
      </c>
      <c r="AC92" s="545">
        <f ca="1">IF(AND($D92="Serviço",AC$12&lt;&gt;0,$H92&gt;0,OR(AUTOEVENTO&lt;&gt;"manual",$M92&lt;&gt;1)),
IF(Import.TipoArredondamento&lt;&gt;"TransfereGOV",
ROUND(OFFSET($P92,0,AC$13),15-13*ORÇAMENTO!$AF$7)/$H92*OFFSET(ORÇAMENTO!$X$15,ROW(AC92)-ROW(AC$15),0),
ROUND(ROUND(OFFSET($P92,0,AC$13),15-13*ORÇAMENTO!$AF$7)*OFFSET(ORÇAMENTO!$W$15,ROW(AC92)-ROW(AC$15),0),15-13*ORÇAMENTO!$AF$11)),0)</f>
        <v>0</v>
      </c>
      <c r="AD92" s="545">
        <f ca="1">IF(AND($D92="Serviço",AD$12&lt;&gt;0,$H92&gt;0,OR(AUTOEVENTO&lt;&gt;"manual",$M92&lt;&gt;1)),
IF(Import.TipoArredondamento&lt;&gt;"TransfereGOV",
ROUND(OFFSET($P92,0,AD$13),15-13*ORÇAMENTO!$AF$7)/$H92*OFFSET(ORÇAMENTO!$X$15,ROW(AD92)-ROW(AD$15),0),
ROUND(ROUND(OFFSET($P92,0,AD$13),15-13*ORÇAMENTO!$AF$7)*OFFSET(ORÇAMENTO!$W$15,ROW(AD92)-ROW(AD$15),0),15-13*ORÇAMENTO!$AF$11)),0)</f>
        <v>0</v>
      </c>
      <c r="AE92" s="545">
        <f ca="1">IF(AND($D92="Serviço",AE$12&lt;&gt;0,$H92&gt;0,OR(AUTOEVENTO&lt;&gt;"manual",$M92&lt;&gt;1)),
IF(Import.TipoArredondamento&lt;&gt;"TransfereGOV",
ROUND(OFFSET($P92,0,AE$13),15-13*ORÇAMENTO!$AF$7)/$H92*OFFSET(ORÇAMENTO!$X$15,ROW(AE92)-ROW(AE$15),0),
ROUND(ROUND(OFFSET($P92,0,AE$13),15-13*ORÇAMENTO!$AF$7)*OFFSET(ORÇAMENTO!$W$15,ROW(AE92)-ROW(AE$15),0),15-13*ORÇAMENTO!$AF$11)),0)</f>
        <v>0</v>
      </c>
      <c r="AF92" s="545">
        <f ca="1">IF(AND($D92="Serviço",AF$12&lt;&gt;0,$H92&gt;0,OR(AUTOEVENTO&lt;&gt;"manual",$M92&lt;&gt;1)),
IF(Import.TipoArredondamento&lt;&gt;"TransfereGOV",
ROUND(OFFSET($P92,0,AF$13),15-13*ORÇAMENTO!$AF$7)/$H92*OFFSET(ORÇAMENTO!$X$15,ROW(AF92)-ROW(AF$15),0),
ROUND(ROUND(OFFSET($P92,0,AF$13),15-13*ORÇAMENTO!$AF$7)*OFFSET(ORÇAMENTO!$W$15,ROW(AF92)-ROW(AF$15),0),15-13*ORÇAMENTO!$AF$11)),0)</f>
        <v>0</v>
      </c>
      <c r="AG92" s="545">
        <f ca="1">IF(AND($D92="Serviço",AG$12&lt;&gt;0,$H92&gt;0,OR(AUTOEVENTO&lt;&gt;"manual",$M92&lt;&gt;1)),
IF(Import.TipoArredondamento&lt;&gt;"TransfereGOV",
ROUND(OFFSET($P92,0,AG$13),15-13*ORÇAMENTO!$AF$7)/$H92*OFFSET(ORÇAMENTO!$X$15,ROW(AG92)-ROW(AG$15),0),
ROUND(ROUND(OFFSET($P92,0,AG$13),15-13*ORÇAMENTO!$AF$7)*OFFSET(ORÇAMENTO!$W$15,ROW(AG92)-ROW(AG$15),0),15-13*ORÇAMENTO!$AF$11)),0)</f>
        <v>0</v>
      </c>
      <c r="AH92" s="545">
        <f ca="1">IF(AND($D92="Serviço",AH$12&lt;&gt;0,$H92&gt;0,OR(AUTOEVENTO&lt;&gt;"manual",$M92&lt;&gt;1)),
IF(Import.TipoArredondamento&lt;&gt;"TransfereGOV",
ROUND(OFFSET($P92,0,AH$13),15-13*ORÇAMENTO!$AF$7)/$H92*OFFSET(ORÇAMENTO!$X$15,ROW(AH92)-ROW(AH$15),0),
ROUND(ROUND(OFFSET($P92,0,AH$13),15-13*ORÇAMENTO!$AF$7)*OFFSET(ORÇAMENTO!$W$15,ROW(AH92)-ROW(AH$15),0),15-13*ORÇAMENTO!$AF$11)),0)</f>
        <v>0</v>
      </c>
      <c r="AI92" s="545">
        <f ca="1">IF(AND($D92="Serviço",AI$12&lt;&gt;0,$H92&gt;0,OR(AUTOEVENTO&lt;&gt;"manual",$M92&lt;&gt;1)),
IF(Import.TipoArredondamento&lt;&gt;"TransfereGOV",
ROUND(OFFSET($P92,0,AI$13),15-13*ORÇAMENTO!$AF$7)/$H92*OFFSET(ORÇAMENTO!$X$15,ROW(AI92)-ROW(AI$15),0),
ROUND(ROUND(OFFSET($P92,0,AI$13),15-13*ORÇAMENTO!$AF$7)*OFFSET(ORÇAMENTO!$W$15,ROW(AI92)-ROW(AI$15),0),15-13*ORÇAMENTO!$AF$11)),0)</f>
        <v>0</v>
      </c>
      <c r="AJ92" s="545">
        <f ca="1">IF(AND($D92="Serviço",AJ$12&lt;&gt;0,$H92&gt;0,OR(AUTOEVENTO&lt;&gt;"manual",$M92&lt;&gt;1)),
IF(Import.TipoArredondamento&lt;&gt;"TransfereGOV",
ROUND(OFFSET($P92,0,AJ$13),15-13*ORÇAMENTO!$AF$7)/$H92*OFFSET(ORÇAMENTO!$X$15,ROW(AJ92)-ROW(AJ$15),0),
ROUND(ROUND(OFFSET($P92,0,AJ$13),15-13*ORÇAMENTO!$AF$7)*OFFSET(ORÇAMENTO!$W$15,ROW(AJ92)-ROW(AJ$15),0),15-13*ORÇAMENTO!$AF$11)),0)</f>
        <v>0</v>
      </c>
      <c r="AK92" s="546">
        <f ca="1">IF(AND($D92="Serviço",AK$12&lt;&gt;0,$H92&gt;0,OR(AUTOEVENTO&lt;&gt;"manual",$M92&lt;&gt;1)),
IF(Import.TipoArredondamento&lt;&gt;"TransfereGOV",
ROUND(OFFSET($P92,0,AK$13),15-13*ORÇAMENTO!$AF$7)/$H92*OFFSET(ORÇAMENTO!$X$15,ROW(AK92)-ROW(AK$15),0),
ROUND(ROUND(OFFSET($P92,0,AK$13),15-13*ORÇAMENTO!$AF$7)*OFFSET(ORÇAMENTO!$W$15,ROW(AK92)-ROW(AK$15),0),15-13*ORÇAMENTO!$AF$11)),0)</f>
        <v>0</v>
      </c>
      <c r="AM92" s="181">
        <f ca="1">IF($D92&lt;&gt;"Serviço",0,IF(AND(AUTOEVENTO="Manual",$M92=1),0,IF(OFFSET(CRONOPLE!$F$14,$M92,AM$13)="",10^12,OFFSET(CRONOPLE!$F$14,$M92,AM$13))))</f>
        <v>1000000000000</v>
      </c>
      <c r="AN92" s="181">
        <f ca="1">IF($D92&lt;&gt;"Serviço",0,IF(AND(AUTOEVENTO="Manual",$M92=1),0,IF(OFFSET(CRONOPLE!$F$14,$M92,AN$13)="",10^12,OFFSET(CRONOPLE!$F$14,$M92,AN$13))))</f>
        <v>1000000000000</v>
      </c>
      <c r="AO92" s="181">
        <f ca="1">IF($D92&lt;&gt;"Serviço",0,IF(AND(AUTOEVENTO="Manual",$M92=1),0,IF(OFFSET(CRONOPLE!$F$14,$M92,AO$13)="",10^12,OFFSET(CRONOPLE!$F$14,$M92,AO$13))))</f>
        <v>1000000000000</v>
      </c>
      <c r="AP92" s="181">
        <f ca="1">IF($D92&lt;&gt;"Serviço",0,IF(AND(AUTOEVENTO="Manual",$M92=1),0,IF(OFFSET(CRONOPLE!$F$14,$M92,AP$13)="",10^12,OFFSET(CRONOPLE!$F$14,$M92,AP$13))))</f>
        <v>1000000000000</v>
      </c>
      <c r="AQ92" s="181">
        <f ca="1">IF($D92&lt;&gt;"Serviço",0,IF(AND(AUTOEVENTO="Manual",$M92=1),0,IF(OFFSET(CRONOPLE!$F$14,$M92,AQ$13)="",10^12,OFFSET(CRONOPLE!$F$14,$M92,AQ$13))))</f>
        <v>1000000000000</v>
      </c>
      <c r="AR92" s="181">
        <f ca="1">IF($D92&lt;&gt;"Serviço",0,IF(AND(AUTOEVENTO="Manual",$M92=1),0,IF(OFFSET(CRONOPLE!$F$14,$M92,AR$13)="",10^12,OFFSET(CRONOPLE!$F$14,$M92,AR$13))))</f>
        <v>1000000000000</v>
      </c>
      <c r="AS92" s="181">
        <f ca="1">IF($D92&lt;&gt;"Serviço",0,IF(AND(AUTOEVENTO="Manual",$M92=1),0,IF(OFFSET(CRONOPLE!$F$14,$M92,AS$13)="",10^12,OFFSET(CRONOPLE!$F$14,$M92,AS$13))))</f>
        <v>1000000000000</v>
      </c>
      <c r="AT92" s="181">
        <f ca="1">IF($D92&lt;&gt;"Serviço",0,IF(AND(AUTOEVENTO="Manual",$M92=1),0,IF(OFFSET(CRONOPLE!$F$14,$M92,AT$13)="",10^12,OFFSET(CRONOPLE!$F$14,$M92,AT$13))))</f>
        <v>1000000000000</v>
      </c>
      <c r="AU92" s="181">
        <f ca="1">IF($D92&lt;&gt;"Serviço",0,IF(AND(AUTOEVENTO="Manual",$M92=1),0,IF(OFFSET(CRONOPLE!$F$14,$M92,AU$13)="",10^12,OFFSET(CRONOPLE!$F$14,$M92,AU$13))))</f>
        <v>1000000000000</v>
      </c>
      <c r="AV92" s="181">
        <f ca="1">IF($D92&lt;&gt;"Serviço",0,IF(AND(AUTOEVENTO="Manual",$M92=1),0,IF(OFFSET(CRONOPLE!$F$14,$M92,AV$13)="",10^12,OFFSET(CRONOPLE!$F$14,$M92,AV$13))))</f>
        <v>1000000000000</v>
      </c>
      <c r="AX92" s="182">
        <f ca="1">IF($D92&lt;&gt;"Serviço",0,IF(OR(AND(AUTOEVENTO="Manual",$M92=1),$M92&gt;(ROW(PLE.lastrow)-ROW(PLE.firstrow))),0,IF(OFFSET(PLE!$G$14,$M92,AX$13)="",10^12,OFFSET(PLE!$G$14,$M92,AX$13))))</f>
        <v>1000000000000</v>
      </c>
      <c r="AY92" s="182">
        <f ca="1">IF($D92&lt;&gt;"Serviço",0,IF(OR(AND(AUTOEVENTO="Manual",$M92=1),$M92&gt;(ROW(PLE.lastrow)-ROW(PLE.firstrow))),0,IF(OFFSET(PLE!$G$14,$M92,AY$13)="",10^12,OFFSET(PLE!$G$14,$M92,AY$13))))</f>
        <v>1000000000000</v>
      </c>
      <c r="AZ92" s="182">
        <f ca="1">IF($D92&lt;&gt;"Serviço",0,IF(OR(AND(AUTOEVENTO="Manual",$M92=1),$M92&gt;(ROW(PLE.lastrow)-ROW(PLE.firstrow))),0,IF(OFFSET(PLE!$G$14,$M92,AZ$13)="",10^12,OFFSET(PLE!$G$14,$M92,AZ$13))))</f>
        <v>1000000000000</v>
      </c>
      <c r="BA92" s="182">
        <f ca="1">IF($D92&lt;&gt;"Serviço",0,IF(OR(AND(AUTOEVENTO="Manual",$M92=1),$M92&gt;(ROW(PLE.lastrow)-ROW(PLE.firstrow))),0,IF(OFFSET(PLE!$G$14,$M92,BA$13)="",10^12,OFFSET(PLE!$G$14,$M92,BA$13))))</f>
        <v>1000000000000</v>
      </c>
      <c r="BB92" s="182">
        <f ca="1">IF($D92&lt;&gt;"Serviço",0,IF(OR(AND(AUTOEVENTO="Manual",$M92=1),$M92&gt;(ROW(PLE.lastrow)-ROW(PLE.firstrow))),0,IF(OFFSET(PLE!$G$14,$M92,BB$13)="",10^12,OFFSET(PLE!$G$14,$M92,BB$13))))</f>
        <v>1000000000000</v>
      </c>
      <c r="BC92" s="182">
        <f ca="1">IF($D92&lt;&gt;"Serviço",0,IF(OR(AND(AUTOEVENTO="Manual",$M92=1),$M92&gt;(ROW(PLE.lastrow)-ROW(PLE.firstrow))),0,IF(OFFSET(PLE!$G$14,$M92,BC$13)="",10^12,OFFSET(PLE!$G$14,$M92,BC$13))))</f>
        <v>1000000000000</v>
      </c>
      <c r="BD92" s="182">
        <f ca="1">IF($D92&lt;&gt;"Serviço",0,IF(OR(AND(AUTOEVENTO="Manual",$M92=1),$M92&gt;(ROW(PLE.lastrow)-ROW(PLE.firstrow))),0,IF(OFFSET(PLE!$G$14,$M92,BD$13)="",10^12,OFFSET(PLE!$G$14,$M92,BD$13))))</f>
        <v>1000000000000</v>
      </c>
      <c r="BE92" s="182">
        <f ca="1">IF($D92&lt;&gt;"Serviço",0,IF(OR(AND(AUTOEVENTO="Manual",$M92=1),$M92&gt;(ROW(PLE.lastrow)-ROW(PLE.firstrow))),0,IF(OFFSET(PLE!$G$14,$M92,BE$13)="",10^12,OFFSET(PLE!$G$14,$M92,BE$13))))</f>
        <v>1000000000000</v>
      </c>
      <c r="BF92" s="182">
        <f ca="1">IF($D92&lt;&gt;"Serviço",0,IF(OR(AND(AUTOEVENTO="Manual",$M92=1),$M92&gt;(ROW(PLE.lastrow)-ROW(PLE.firstrow))),0,IF(OFFSET(PLE!$G$14,$M92,BF$13)="",10^12,OFFSET(PLE!$G$14,$M92,BF$13))))</f>
        <v>1000000000000</v>
      </c>
      <c r="BG92" s="182">
        <f ca="1">IF($D92&lt;&gt;"Serviço",0,IF(OR(AND(AUTOEVENTO="Manual",$M92=1),$M92&gt;(ROW(PLE.lastrow)-ROW(PLE.firstrow))),0,IF(OFFSET(PLE!$G$14,$M92,BG$13)="",10^12,OFFSET(PLE!$G$14,$M92,BG$13))))</f>
        <v>1000000000000</v>
      </c>
    </row>
    <row r="93" spans="1:59" ht="38.25" x14ac:dyDescent="0.2">
      <c r="A93" s="7" t="str">
        <f t="shared" ca="1" si="9"/>
        <v>44</v>
      </c>
      <c r="B93" s="7" t="str">
        <f ca="1">OFFSET(ORÇAMENTO!C$15,ROW(B93)-ROW(B$15),0)</f>
        <v>S</v>
      </c>
      <c r="C93" s="7" t="str">
        <f ca="1">OFFSET(ORÇAMENTO!L$15,ROW(C93)-ROW(C$15),0)</f>
        <v/>
      </c>
      <c r="D93" s="118" t="str">
        <f ca="1">OFFSET(ORÇAMENTO!N$15,ROW(D93)-ROW(D$15),0)</f>
        <v>Serviço</v>
      </c>
      <c r="E93" s="119" t="str">
        <f ca="1">OFFSET(ORÇAMENTO!O$15,ROW(E93)-ROW(E$15),0)</f>
        <v>-</v>
      </c>
      <c r="F93" s="172" t="str">
        <f ca="1">OFFSET(ORÇAMENTO!R$15,ROW(F93)-ROW(F$15),0)</f>
        <v>(abra o arquivo 'Referência 02-2025.xlsm)</v>
      </c>
      <c r="G93" s="173" t="str">
        <f ca="1">IF($D93&lt;&gt;"Serviço","",OFFSET(ORÇAMENTO!S$15,ROW(G93)-ROW(G$15),0))</f>
        <v>-</v>
      </c>
      <c r="H93" s="124">
        <f ca="1">IF($D93&lt;&gt;"Serviço",0,IF(ACOMPANHAMENTO="BM",ROUND(OFFSET(ORÇAMENTO!AJ$15,ROW(H93)-ROW(H$15),0),15-13*ORÇAMENTO!$AF$7),SUMPRODUCT(($Q$12:$AA$12&lt;&gt;"")*ROUND($Q93:$AA93,15-13*ORÇAMENTO!$AF$7))))</f>
        <v>1.27</v>
      </c>
      <c r="I93" s="561" t="s">
        <v>890</v>
      </c>
      <c r="K93" s="174"/>
      <c r="L93" s="175" t="s">
        <v>255</v>
      </c>
      <c r="M93" s="176">
        <f ca="1">IF($D93&lt;&gt;"Serviço","",IF(AUTOEVENTO="manual",$A93,IF(ISERROR(MATCH($A93,$A$15:OFFSET($A93,-1,0),0)),MAX($M$15:OFFSET(M93,-1,0))+1,INDEX($M$15:OFFSET(M93,-1,0),MATCH($A93,$A$15:OFFSET($A93,-1,0),0)))))</f>
        <v>5</v>
      </c>
      <c r="N93" s="177" t="str">
        <f ca="1">IF($D93&lt;&gt;"Serviço","",IF(AUTOEVENTO="Manual",IF($A93=0,"&lt;-- defina o número do agrupador",OFFSET(EVENTOS!$D$14,$A93,0)),OFFSET($F$15,$A93,0)))</f>
        <v>SUPERESTRUTURA</v>
      </c>
      <c r="O93" s="178"/>
      <c r="Q93" s="178"/>
      <c r="R93" s="179"/>
      <c r="S93" s="179"/>
      <c r="T93" s="179"/>
      <c r="U93" s="179"/>
      <c r="V93" s="179"/>
      <c r="W93" s="179"/>
      <c r="X93" s="179"/>
      <c r="Y93" s="179"/>
      <c r="Z93" s="180"/>
      <c r="AB93" s="544">
        <f ca="1">IF(AND($D93="Serviço",AB$12&lt;&gt;0,$H93&gt;0,OR(AUTOEVENTO&lt;&gt;"manual",$M93&lt;&gt;1)),
IF(Import.TipoArredondamento&lt;&gt;"TransfereGOV",
ROUND(OFFSET($P93,0,AB$13),15-13*ORÇAMENTO!$AF$7)/$H93*OFFSET(ORÇAMENTO!$X$15,ROW(AB93)-ROW(AB$15),0),
ROUND(ROUND(OFFSET($P93,0,AB$13),15-13*ORÇAMENTO!$AF$7)*OFFSET(ORÇAMENTO!$W$15,ROW(AB93)-ROW(AB$15),0),15-13*ORÇAMENTO!$AF$11)),0)</f>
        <v>0</v>
      </c>
      <c r="AC93" s="545">
        <f ca="1">IF(AND($D93="Serviço",AC$12&lt;&gt;0,$H93&gt;0,OR(AUTOEVENTO&lt;&gt;"manual",$M93&lt;&gt;1)),
IF(Import.TipoArredondamento&lt;&gt;"TransfereGOV",
ROUND(OFFSET($P93,0,AC$13),15-13*ORÇAMENTO!$AF$7)/$H93*OFFSET(ORÇAMENTO!$X$15,ROW(AC93)-ROW(AC$15),0),
ROUND(ROUND(OFFSET($P93,0,AC$13),15-13*ORÇAMENTO!$AF$7)*OFFSET(ORÇAMENTO!$W$15,ROW(AC93)-ROW(AC$15),0),15-13*ORÇAMENTO!$AF$11)),0)</f>
        <v>0</v>
      </c>
      <c r="AD93" s="545">
        <f ca="1">IF(AND($D93="Serviço",AD$12&lt;&gt;0,$H93&gt;0,OR(AUTOEVENTO&lt;&gt;"manual",$M93&lt;&gt;1)),
IF(Import.TipoArredondamento&lt;&gt;"TransfereGOV",
ROUND(OFFSET($P93,0,AD$13),15-13*ORÇAMENTO!$AF$7)/$H93*OFFSET(ORÇAMENTO!$X$15,ROW(AD93)-ROW(AD$15),0),
ROUND(ROUND(OFFSET($P93,0,AD$13),15-13*ORÇAMENTO!$AF$7)*OFFSET(ORÇAMENTO!$W$15,ROW(AD93)-ROW(AD$15),0),15-13*ORÇAMENTO!$AF$11)),0)</f>
        <v>0</v>
      </c>
      <c r="AE93" s="545">
        <f ca="1">IF(AND($D93="Serviço",AE$12&lt;&gt;0,$H93&gt;0,OR(AUTOEVENTO&lt;&gt;"manual",$M93&lt;&gt;1)),
IF(Import.TipoArredondamento&lt;&gt;"TransfereGOV",
ROUND(OFFSET($P93,0,AE$13),15-13*ORÇAMENTO!$AF$7)/$H93*OFFSET(ORÇAMENTO!$X$15,ROW(AE93)-ROW(AE$15),0),
ROUND(ROUND(OFFSET($P93,0,AE$13),15-13*ORÇAMENTO!$AF$7)*OFFSET(ORÇAMENTO!$W$15,ROW(AE93)-ROW(AE$15),0),15-13*ORÇAMENTO!$AF$11)),0)</f>
        <v>0</v>
      </c>
      <c r="AF93" s="545">
        <f ca="1">IF(AND($D93="Serviço",AF$12&lt;&gt;0,$H93&gt;0,OR(AUTOEVENTO&lt;&gt;"manual",$M93&lt;&gt;1)),
IF(Import.TipoArredondamento&lt;&gt;"TransfereGOV",
ROUND(OFFSET($P93,0,AF$13),15-13*ORÇAMENTO!$AF$7)/$H93*OFFSET(ORÇAMENTO!$X$15,ROW(AF93)-ROW(AF$15),0),
ROUND(ROUND(OFFSET($P93,0,AF$13),15-13*ORÇAMENTO!$AF$7)*OFFSET(ORÇAMENTO!$W$15,ROW(AF93)-ROW(AF$15),0),15-13*ORÇAMENTO!$AF$11)),0)</f>
        <v>0</v>
      </c>
      <c r="AG93" s="545">
        <f ca="1">IF(AND($D93="Serviço",AG$12&lt;&gt;0,$H93&gt;0,OR(AUTOEVENTO&lt;&gt;"manual",$M93&lt;&gt;1)),
IF(Import.TipoArredondamento&lt;&gt;"TransfereGOV",
ROUND(OFFSET($P93,0,AG$13),15-13*ORÇAMENTO!$AF$7)/$H93*OFFSET(ORÇAMENTO!$X$15,ROW(AG93)-ROW(AG$15),0),
ROUND(ROUND(OFFSET($P93,0,AG$13),15-13*ORÇAMENTO!$AF$7)*OFFSET(ORÇAMENTO!$W$15,ROW(AG93)-ROW(AG$15),0),15-13*ORÇAMENTO!$AF$11)),0)</f>
        <v>0</v>
      </c>
      <c r="AH93" s="545">
        <f ca="1">IF(AND($D93="Serviço",AH$12&lt;&gt;0,$H93&gt;0,OR(AUTOEVENTO&lt;&gt;"manual",$M93&lt;&gt;1)),
IF(Import.TipoArredondamento&lt;&gt;"TransfereGOV",
ROUND(OFFSET($P93,0,AH$13),15-13*ORÇAMENTO!$AF$7)/$H93*OFFSET(ORÇAMENTO!$X$15,ROW(AH93)-ROW(AH$15),0),
ROUND(ROUND(OFFSET($P93,0,AH$13),15-13*ORÇAMENTO!$AF$7)*OFFSET(ORÇAMENTO!$W$15,ROW(AH93)-ROW(AH$15),0),15-13*ORÇAMENTO!$AF$11)),0)</f>
        <v>0</v>
      </c>
      <c r="AI93" s="545">
        <f ca="1">IF(AND($D93="Serviço",AI$12&lt;&gt;0,$H93&gt;0,OR(AUTOEVENTO&lt;&gt;"manual",$M93&lt;&gt;1)),
IF(Import.TipoArredondamento&lt;&gt;"TransfereGOV",
ROUND(OFFSET($P93,0,AI$13),15-13*ORÇAMENTO!$AF$7)/$H93*OFFSET(ORÇAMENTO!$X$15,ROW(AI93)-ROW(AI$15),0),
ROUND(ROUND(OFFSET($P93,0,AI$13),15-13*ORÇAMENTO!$AF$7)*OFFSET(ORÇAMENTO!$W$15,ROW(AI93)-ROW(AI$15),0),15-13*ORÇAMENTO!$AF$11)),0)</f>
        <v>0</v>
      </c>
      <c r="AJ93" s="545">
        <f ca="1">IF(AND($D93="Serviço",AJ$12&lt;&gt;0,$H93&gt;0,OR(AUTOEVENTO&lt;&gt;"manual",$M93&lt;&gt;1)),
IF(Import.TipoArredondamento&lt;&gt;"TransfereGOV",
ROUND(OFFSET($P93,0,AJ$13),15-13*ORÇAMENTO!$AF$7)/$H93*OFFSET(ORÇAMENTO!$X$15,ROW(AJ93)-ROW(AJ$15),0),
ROUND(ROUND(OFFSET($P93,0,AJ$13),15-13*ORÇAMENTO!$AF$7)*OFFSET(ORÇAMENTO!$W$15,ROW(AJ93)-ROW(AJ$15),0),15-13*ORÇAMENTO!$AF$11)),0)</f>
        <v>0</v>
      </c>
      <c r="AK93" s="546">
        <f ca="1">IF(AND($D93="Serviço",AK$12&lt;&gt;0,$H93&gt;0,OR(AUTOEVENTO&lt;&gt;"manual",$M93&lt;&gt;1)),
IF(Import.TipoArredondamento&lt;&gt;"TransfereGOV",
ROUND(OFFSET($P93,0,AK$13),15-13*ORÇAMENTO!$AF$7)/$H93*OFFSET(ORÇAMENTO!$X$15,ROW(AK93)-ROW(AK$15),0),
ROUND(ROUND(OFFSET($P93,0,AK$13),15-13*ORÇAMENTO!$AF$7)*OFFSET(ORÇAMENTO!$W$15,ROW(AK93)-ROW(AK$15),0),15-13*ORÇAMENTO!$AF$11)),0)</f>
        <v>0</v>
      </c>
      <c r="AM93" s="181">
        <f ca="1">IF($D93&lt;&gt;"Serviço",0,IF(AND(AUTOEVENTO="Manual",$M93=1),0,IF(OFFSET(CRONOPLE!$F$14,$M93,AM$13)="",10^12,OFFSET(CRONOPLE!$F$14,$M93,AM$13))))</f>
        <v>1000000000000</v>
      </c>
      <c r="AN93" s="181">
        <f ca="1">IF($D93&lt;&gt;"Serviço",0,IF(AND(AUTOEVENTO="Manual",$M93=1),0,IF(OFFSET(CRONOPLE!$F$14,$M93,AN$13)="",10^12,OFFSET(CRONOPLE!$F$14,$M93,AN$13))))</f>
        <v>1000000000000</v>
      </c>
      <c r="AO93" s="181">
        <f ca="1">IF($D93&lt;&gt;"Serviço",0,IF(AND(AUTOEVENTO="Manual",$M93=1),0,IF(OFFSET(CRONOPLE!$F$14,$M93,AO$13)="",10^12,OFFSET(CRONOPLE!$F$14,$M93,AO$13))))</f>
        <v>1000000000000</v>
      </c>
      <c r="AP93" s="181">
        <f ca="1">IF($D93&lt;&gt;"Serviço",0,IF(AND(AUTOEVENTO="Manual",$M93=1),0,IF(OFFSET(CRONOPLE!$F$14,$M93,AP$13)="",10^12,OFFSET(CRONOPLE!$F$14,$M93,AP$13))))</f>
        <v>1000000000000</v>
      </c>
      <c r="AQ93" s="181">
        <f ca="1">IF($D93&lt;&gt;"Serviço",0,IF(AND(AUTOEVENTO="Manual",$M93=1),0,IF(OFFSET(CRONOPLE!$F$14,$M93,AQ$13)="",10^12,OFFSET(CRONOPLE!$F$14,$M93,AQ$13))))</f>
        <v>1000000000000</v>
      </c>
      <c r="AR93" s="181">
        <f ca="1">IF($D93&lt;&gt;"Serviço",0,IF(AND(AUTOEVENTO="Manual",$M93=1),0,IF(OFFSET(CRONOPLE!$F$14,$M93,AR$13)="",10^12,OFFSET(CRONOPLE!$F$14,$M93,AR$13))))</f>
        <v>1000000000000</v>
      </c>
      <c r="AS93" s="181">
        <f ca="1">IF($D93&lt;&gt;"Serviço",0,IF(AND(AUTOEVENTO="Manual",$M93=1),0,IF(OFFSET(CRONOPLE!$F$14,$M93,AS$13)="",10^12,OFFSET(CRONOPLE!$F$14,$M93,AS$13))))</f>
        <v>1000000000000</v>
      </c>
      <c r="AT93" s="181">
        <f ca="1">IF($D93&lt;&gt;"Serviço",0,IF(AND(AUTOEVENTO="Manual",$M93=1),0,IF(OFFSET(CRONOPLE!$F$14,$M93,AT$13)="",10^12,OFFSET(CRONOPLE!$F$14,$M93,AT$13))))</f>
        <v>1000000000000</v>
      </c>
      <c r="AU93" s="181">
        <f ca="1">IF($D93&lt;&gt;"Serviço",0,IF(AND(AUTOEVENTO="Manual",$M93=1),0,IF(OFFSET(CRONOPLE!$F$14,$M93,AU$13)="",10^12,OFFSET(CRONOPLE!$F$14,$M93,AU$13))))</f>
        <v>1000000000000</v>
      </c>
      <c r="AV93" s="181">
        <f ca="1">IF($D93&lt;&gt;"Serviço",0,IF(AND(AUTOEVENTO="Manual",$M93=1),0,IF(OFFSET(CRONOPLE!$F$14,$M93,AV$13)="",10^12,OFFSET(CRONOPLE!$F$14,$M93,AV$13))))</f>
        <v>1000000000000</v>
      </c>
      <c r="AX93" s="182">
        <f ca="1">IF($D93&lt;&gt;"Serviço",0,IF(OR(AND(AUTOEVENTO="Manual",$M93=1),$M93&gt;(ROW(PLE.lastrow)-ROW(PLE.firstrow))),0,IF(OFFSET(PLE!$G$14,$M93,AX$13)="",10^12,OFFSET(PLE!$G$14,$M93,AX$13))))</f>
        <v>1000000000000</v>
      </c>
      <c r="AY93" s="182">
        <f ca="1">IF($D93&lt;&gt;"Serviço",0,IF(OR(AND(AUTOEVENTO="Manual",$M93=1),$M93&gt;(ROW(PLE.lastrow)-ROW(PLE.firstrow))),0,IF(OFFSET(PLE!$G$14,$M93,AY$13)="",10^12,OFFSET(PLE!$G$14,$M93,AY$13))))</f>
        <v>1000000000000</v>
      </c>
      <c r="AZ93" s="182">
        <f ca="1">IF($D93&lt;&gt;"Serviço",0,IF(OR(AND(AUTOEVENTO="Manual",$M93=1),$M93&gt;(ROW(PLE.lastrow)-ROW(PLE.firstrow))),0,IF(OFFSET(PLE!$G$14,$M93,AZ$13)="",10^12,OFFSET(PLE!$G$14,$M93,AZ$13))))</f>
        <v>1000000000000</v>
      </c>
      <c r="BA93" s="182">
        <f ca="1">IF($D93&lt;&gt;"Serviço",0,IF(OR(AND(AUTOEVENTO="Manual",$M93=1),$M93&gt;(ROW(PLE.lastrow)-ROW(PLE.firstrow))),0,IF(OFFSET(PLE!$G$14,$M93,BA$13)="",10^12,OFFSET(PLE!$G$14,$M93,BA$13))))</f>
        <v>1000000000000</v>
      </c>
      <c r="BB93" s="182">
        <f ca="1">IF($D93&lt;&gt;"Serviço",0,IF(OR(AND(AUTOEVENTO="Manual",$M93=1),$M93&gt;(ROW(PLE.lastrow)-ROW(PLE.firstrow))),0,IF(OFFSET(PLE!$G$14,$M93,BB$13)="",10^12,OFFSET(PLE!$G$14,$M93,BB$13))))</f>
        <v>1000000000000</v>
      </c>
      <c r="BC93" s="182">
        <f ca="1">IF($D93&lt;&gt;"Serviço",0,IF(OR(AND(AUTOEVENTO="Manual",$M93=1),$M93&gt;(ROW(PLE.lastrow)-ROW(PLE.firstrow))),0,IF(OFFSET(PLE!$G$14,$M93,BC$13)="",10^12,OFFSET(PLE!$G$14,$M93,BC$13))))</f>
        <v>1000000000000</v>
      </c>
      <c r="BD93" s="182">
        <f ca="1">IF($D93&lt;&gt;"Serviço",0,IF(OR(AND(AUTOEVENTO="Manual",$M93=1),$M93&gt;(ROW(PLE.lastrow)-ROW(PLE.firstrow))),0,IF(OFFSET(PLE!$G$14,$M93,BD$13)="",10^12,OFFSET(PLE!$G$14,$M93,BD$13))))</f>
        <v>1000000000000</v>
      </c>
      <c r="BE93" s="182">
        <f ca="1">IF($D93&lt;&gt;"Serviço",0,IF(OR(AND(AUTOEVENTO="Manual",$M93=1),$M93&gt;(ROW(PLE.lastrow)-ROW(PLE.firstrow))),0,IF(OFFSET(PLE!$G$14,$M93,BE$13)="",10^12,OFFSET(PLE!$G$14,$M93,BE$13))))</f>
        <v>1000000000000</v>
      </c>
      <c r="BF93" s="182">
        <f ca="1">IF($D93&lt;&gt;"Serviço",0,IF(OR(AND(AUTOEVENTO="Manual",$M93=1),$M93&gt;(ROW(PLE.lastrow)-ROW(PLE.firstrow))),0,IF(OFFSET(PLE!$G$14,$M93,BF$13)="",10^12,OFFSET(PLE!$G$14,$M93,BF$13))))</f>
        <v>1000000000000</v>
      </c>
      <c r="BG93" s="182">
        <f ca="1">IF($D93&lt;&gt;"Serviço",0,IF(OR(AND(AUTOEVENTO="Manual",$M93=1),$M93&gt;(ROW(PLE.lastrow)-ROW(PLE.firstrow))),0,IF(OFFSET(PLE!$G$14,$M93,BG$13)="",10^12,OFFSET(PLE!$G$14,$M93,BG$13))))</f>
        <v>1000000000000</v>
      </c>
    </row>
    <row r="94" spans="1:59" ht="25.5" x14ac:dyDescent="0.2">
      <c r="A94" s="7" t="str">
        <f t="shared" ca="1" si="9"/>
        <v>44</v>
      </c>
      <c r="B94" s="7" t="str">
        <f ca="1">OFFSET(ORÇAMENTO!C$15,ROW(B94)-ROW(B$15),0)</f>
        <v>S</v>
      </c>
      <c r="C94" s="7" t="str">
        <f ca="1">OFFSET(ORÇAMENTO!L$15,ROW(C94)-ROW(C$15),0)</f>
        <v/>
      </c>
      <c r="D94" s="118" t="str">
        <f ca="1">OFFSET(ORÇAMENTO!N$15,ROW(D94)-ROW(D$15),0)</f>
        <v>Serviço</v>
      </c>
      <c r="E94" s="119" t="str">
        <f ca="1">OFFSET(ORÇAMENTO!O$15,ROW(E94)-ROW(E$15),0)</f>
        <v>-</v>
      </c>
      <c r="F94" s="172" t="str">
        <f ca="1">OFFSET(ORÇAMENTO!R$15,ROW(F94)-ROW(F$15),0)</f>
        <v>(abra o arquivo 'Referência 02-2025.xlsm)</v>
      </c>
      <c r="G94" s="173" t="str">
        <f ca="1">IF($D94&lt;&gt;"Serviço","",OFFSET(ORÇAMENTO!S$15,ROW(G94)-ROW(G$15),0))</f>
        <v>-</v>
      </c>
      <c r="H94" s="124">
        <f ca="1">IF($D94&lt;&gt;"Serviço",0,IF(ACOMPANHAMENTO="BM",ROUND(OFFSET(ORÇAMENTO!AJ$15,ROW(H94)-ROW(H$15),0),15-13*ORÇAMENTO!$AF$7),SUMPRODUCT(($Q$12:$AA$12&lt;&gt;"")*ROUND($Q94:$AA94,15-13*ORÇAMENTO!$AF$7))))</f>
        <v>37.090000000000003</v>
      </c>
      <c r="I94" s="561" t="s">
        <v>890</v>
      </c>
      <c r="K94" s="174"/>
      <c r="L94" s="175" t="s">
        <v>255</v>
      </c>
      <c r="M94" s="176">
        <f ca="1">IF($D94&lt;&gt;"Serviço","",IF(AUTOEVENTO="manual",$A94,IF(ISERROR(MATCH($A94,$A$15:OFFSET($A94,-1,0),0)),MAX($M$15:OFFSET(M94,-1,0))+1,INDEX($M$15:OFFSET(M94,-1,0),MATCH($A94,$A$15:OFFSET($A94,-1,0),0)))))</f>
        <v>5</v>
      </c>
      <c r="N94" s="177" t="str">
        <f ca="1">IF($D94&lt;&gt;"Serviço","",IF(AUTOEVENTO="Manual",IF($A94=0,"&lt;-- defina o número do agrupador",OFFSET(EVENTOS!$D$14,$A94,0)),OFFSET($F$15,$A94,0)))</f>
        <v>SUPERESTRUTURA</v>
      </c>
      <c r="O94" s="178"/>
      <c r="Q94" s="178"/>
      <c r="R94" s="179"/>
      <c r="S94" s="179"/>
      <c r="T94" s="179"/>
      <c r="U94" s="179"/>
      <c r="V94" s="179"/>
      <c r="W94" s="179"/>
      <c r="X94" s="179"/>
      <c r="Y94" s="179"/>
      <c r="Z94" s="180"/>
      <c r="AB94" s="544">
        <f ca="1">IF(AND($D94="Serviço",AB$12&lt;&gt;0,$H94&gt;0,OR(AUTOEVENTO&lt;&gt;"manual",$M94&lt;&gt;1)),
IF(Import.TipoArredondamento&lt;&gt;"TransfereGOV",
ROUND(OFFSET($P94,0,AB$13),15-13*ORÇAMENTO!$AF$7)/$H94*OFFSET(ORÇAMENTO!$X$15,ROW(AB94)-ROW(AB$15),0),
ROUND(ROUND(OFFSET($P94,0,AB$13),15-13*ORÇAMENTO!$AF$7)*OFFSET(ORÇAMENTO!$W$15,ROW(AB94)-ROW(AB$15),0),15-13*ORÇAMENTO!$AF$11)),0)</f>
        <v>0</v>
      </c>
      <c r="AC94" s="545">
        <f ca="1">IF(AND($D94="Serviço",AC$12&lt;&gt;0,$H94&gt;0,OR(AUTOEVENTO&lt;&gt;"manual",$M94&lt;&gt;1)),
IF(Import.TipoArredondamento&lt;&gt;"TransfereGOV",
ROUND(OFFSET($P94,0,AC$13),15-13*ORÇAMENTO!$AF$7)/$H94*OFFSET(ORÇAMENTO!$X$15,ROW(AC94)-ROW(AC$15),0),
ROUND(ROUND(OFFSET($P94,0,AC$13),15-13*ORÇAMENTO!$AF$7)*OFFSET(ORÇAMENTO!$W$15,ROW(AC94)-ROW(AC$15),0),15-13*ORÇAMENTO!$AF$11)),0)</f>
        <v>0</v>
      </c>
      <c r="AD94" s="545">
        <f ca="1">IF(AND($D94="Serviço",AD$12&lt;&gt;0,$H94&gt;0,OR(AUTOEVENTO&lt;&gt;"manual",$M94&lt;&gt;1)),
IF(Import.TipoArredondamento&lt;&gt;"TransfereGOV",
ROUND(OFFSET($P94,0,AD$13),15-13*ORÇAMENTO!$AF$7)/$H94*OFFSET(ORÇAMENTO!$X$15,ROW(AD94)-ROW(AD$15),0),
ROUND(ROUND(OFFSET($P94,0,AD$13),15-13*ORÇAMENTO!$AF$7)*OFFSET(ORÇAMENTO!$W$15,ROW(AD94)-ROW(AD$15),0),15-13*ORÇAMENTO!$AF$11)),0)</f>
        <v>0</v>
      </c>
      <c r="AE94" s="545">
        <f ca="1">IF(AND($D94="Serviço",AE$12&lt;&gt;0,$H94&gt;0,OR(AUTOEVENTO&lt;&gt;"manual",$M94&lt;&gt;1)),
IF(Import.TipoArredondamento&lt;&gt;"TransfereGOV",
ROUND(OFFSET($P94,0,AE$13),15-13*ORÇAMENTO!$AF$7)/$H94*OFFSET(ORÇAMENTO!$X$15,ROW(AE94)-ROW(AE$15),0),
ROUND(ROUND(OFFSET($P94,0,AE$13),15-13*ORÇAMENTO!$AF$7)*OFFSET(ORÇAMENTO!$W$15,ROW(AE94)-ROW(AE$15),0),15-13*ORÇAMENTO!$AF$11)),0)</f>
        <v>0</v>
      </c>
      <c r="AF94" s="545">
        <f ca="1">IF(AND($D94="Serviço",AF$12&lt;&gt;0,$H94&gt;0,OR(AUTOEVENTO&lt;&gt;"manual",$M94&lt;&gt;1)),
IF(Import.TipoArredondamento&lt;&gt;"TransfereGOV",
ROUND(OFFSET($P94,0,AF$13),15-13*ORÇAMENTO!$AF$7)/$H94*OFFSET(ORÇAMENTO!$X$15,ROW(AF94)-ROW(AF$15),0),
ROUND(ROUND(OFFSET($P94,0,AF$13),15-13*ORÇAMENTO!$AF$7)*OFFSET(ORÇAMENTO!$W$15,ROW(AF94)-ROW(AF$15),0),15-13*ORÇAMENTO!$AF$11)),0)</f>
        <v>0</v>
      </c>
      <c r="AG94" s="545">
        <f ca="1">IF(AND($D94="Serviço",AG$12&lt;&gt;0,$H94&gt;0,OR(AUTOEVENTO&lt;&gt;"manual",$M94&lt;&gt;1)),
IF(Import.TipoArredondamento&lt;&gt;"TransfereGOV",
ROUND(OFFSET($P94,0,AG$13),15-13*ORÇAMENTO!$AF$7)/$H94*OFFSET(ORÇAMENTO!$X$15,ROW(AG94)-ROW(AG$15),0),
ROUND(ROUND(OFFSET($P94,0,AG$13),15-13*ORÇAMENTO!$AF$7)*OFFSET(ORÇAMENTO!$W$15,ROW(AG94)-ROW(AG$15),0),15-13*ORÇAMENTO!$AF$11)),0)</f>
        <v>0</v>
      </c>
      <c r="AH94" s="545">
        <f ca="1">IF(AND($D94="Serviço",AH$12&lt;&gt;0,$H94&gt;0,OR(AUTOEVENTO&lt;&gt;"manual",$M94&lt;&gt;1)),
IF(Import.TipoArredondamento&lt;&gt;"TransfereGOV",
ROUND(OFFSET($P94,0,AH$13),15-13*ORÇAMENTO!$AF$7)/$H94*OFFSET(ORÇAMENTO!$X$15,ROW(AH94)-ROW(AH$15),0),
ROUND(ROUND(OFFSET($P94,0,AH$13),15-13*ORÇAMENTO!$AF$7)*OFFSET(ORÇAMENTO!$W$15,ROW(AH94)-ROW(AH$15),0),15-13*ORÇAMENTO!$AF$11)),0)</f>
        <v>0</v>
      </c>
      <c r="AI94" s="545">
        <f ca="1">IF(AND($D94="Serviço",AI$12&lt;&gt;0,$H94&gt;0,OR(AUTOEVENTO&lt;&gt;"manual",$M94&lt;&gt;1)),
IF(Import.TipoArredondamento&lt;&gt;"TransfereGOV",
ROUND(OFFSET($P94,0,AI$13),15-13*ORÇAMENTO!$AF$7)/$H94*OFFSET(ORÇAMENTO!$X$15,ROW(AI94)-ROW(AI$15),0),
ROUND(ROUND(OFFSET($P94,0,AI$13),15-13*ORÇAMENTO!$AF$7)*OFFSET(ORÇAMENTO!$W$15,ROW(AI94)-ROW(AI$15),0),15-13*ORÇAMENTO!$AF$11)),0)</f>
        <v>0</v>
      </c>
      <c r="AJ94" s="545">
        <f ca="1">IF(AND($D94="Serviço",AJ$12&lt;&gt;0,$H94&gt;0,OR(AUTOEVENTO&lt;&gt;"manual",$M94&lt;&gt;1)),
IF(Import.TipoArredondamento&lt;&gt;"TransfereGOV",
ROUND(OFFSET($P94,0,AJ$13),15-13*ORÇAMENTO!$AF$7)/$H94*OFFSET(ORÇAMENTO!$X$15,ROW(AJ94)-ROW(AJ$15),0),
ROUND(ROUND(OFFSET($P94,0,AJ$13),15-13*ORÇAMENTO!$AF$7)*OFFSET(ORÇAMENTO!$W$15,ROW(AJ94)-ROW(AJ$15),0),15-13*ORÇAMENTO!$AF$11)),0)</f>
        <v>0</v>
      </c>
      <c r="AK94" s="546">
        <f ca="1">IF(AND($D94="Serviço",AK$12&lt;&gt;0,$H94&gt;0,OR(AUTOEVENTO&lt;&gt;"manual",$M94&lt;&gt;1)),
IF(Import.TipoArredondamento&lt;&gt;"TransfereGOV",
ROUND(OFFSET($P94,0,AK$13),15-13*ORÇAMENTO!$AF$7)/$H94*OFFSET(ORÇAMENTO!$X$15,ROW(AK94)-ROW(AK$15),0),
ROUND(ROUND(OFFSET($P94,0,AK$13),15-13*ORÇAMENTO!$AF$7)*OFFSET(ORÇAMENTO!$W$15,ROW(AK94)-ROW(AK$15),0),15-13*ORÇAMENTO!$AF$11)),0)</f>
        <v>0</v>
      </c>
      <c r="AM94" s="181">
        <f ca="1">IF($D94&lt;&gt;"Serviço",0,IF(AND(AUTOEVENTO="Manual",$M94=1),0,IF(OFFSET(CRONOPLE!$F$14,$M94,AM$13)="",10^12,OFFSET(CRONOPLE!$F$14,$M94,AM$13))))</f>
        <v>1000000000000</v>
      </c>
      <c r="AN94" s="181">
        <f ca="1">IF($D94&lt;&gt;"Serviço",0,IF(AND(AUTOEVENTO="Manual",$M94=1),0,IF(OFFSET(CRONOPLE!$F$14,$M94,AN$13)="",10^12,OFFSET(CRONOPLE!$F$14,$M94,AN$13))))</f>
        <v>1000000000000</v>
      </c>
      <c r="AO94" s="181">
        <f ca="1">IF($D94&lt;&gt;"Serviço",0,IF(AND(AUTOEVENTO="Manual",$M94=1),0,IF(OFFSET(CRONOPLE!$F$14,$M94,AO$13)="",10^12,OFFSET(CRONOPLE!$F$14,$M94,AO$13))))</f>
        <v>1000000000000</v>
      </c>
      <c r="AP94" s="181">
        <f ca="1">IF($D94&lt;&gt;"Serviço",0,IF(AND(AUTOEVENTO="Manual",$M94=1),0,IF(OFFSET(CRONOPLE!$F$14,$M94,AP$13)="",10^12,OFFSET(CRONOPLE!$F$14,$M94,AP$13))))</f>
        <v>1000000000000</v>
      </c>
      <c r="AQ94" s="181">
        <f ca="1">IF($D94&lt;&gt;"Serviço",0,IF(AND(AUTOEVENTO="Manual",$M94=1),0,IF(OFFSET(CRONOPLE!$F$14,$M94,AQ$13)="",10^12,OFFSET(CRONOPLE!$F$14,$M94,AQ$13))))</f>
        <v>1000000000000</v>
      </c>
      <c r="AR94" s="181">
        <f ca="1">IF($D94&lt;&gt;"Serviço",0,IF(AND(AUTOEVENTO="Manual",$M94=1),0,IF(OFFSET(CRONOPLE!$F$14,$M94,AR$13)="",10^12,OFFSET(CRONOPLE!$F$14,$M94,AR$13))))</f>
        <v>1000000000000</v>
      </c>
      <c r="AS94" s="181">
        <f ca="1">IF($D94&lt;&gt;"Serviço",0,IF(AND(AUTOEVENTO="Manual",$M94=1),0,IF(OFFSET(CRONOPLE!$F$14,$M94,AS$13)="",10^12,OFFSET(CRONOPLE!$F$14,$M94,AS$13))))</f>
        <v>1000000000000</v>
      </c>
      <c r="AT94" s="181">
        <f ca="1">IF($D94&lt;&gt;"Serviço",0,IF(AND(AUTOEVENTO="Manual",$M94=1),0,IF(OFFSET(CRONOPLE!$F$14,$M94,AT$13)="",10^12,OFFSET(CRONOPLE!$F$14,$M94,AT$13))))</f>
        <v>1000000000000</v>
      </c>
      <c r="AU94" s="181">
        <f ca="1">IF($D94&lt;&gt;"Serviço",0,IF(AND(AUTOEVENTO="Manual",$M94=1),0,IF(OFFSET(CRONOPLE!$F$14,$M94,AU$13)="",10^12,OFFSET(CRONOPLE!$F$14,$M94,AU$13))))</f>
        <v>1000000000000</v>
      </c>
      <c r="AV94" s="181">
        <f ca="1">IF($D94&lt;&gt;"Serviço",0,IF(AND(AUTOEVENTO="Manual",$M94=1),0,IF(OFFSET(CRONOPLE!$F$14,$M94,AV$13)="",10^12,OFFSET(CRONOPLE!$F$14,$M94,AV$13))))</f>
        <v>1000000000000</v>
      </c>
      <c r="AX94" s="182">
        <f ca="1">IF($D94&lt;&gt;"Serviço",0,IF(OR(AND(AUTOEVENTO="Manual",$M94=1),$M94&gt;(ROW(PLE.lastrow)-ROW(PLE.firstrow))),0,IF(OFFSET(PLE!$G$14,$M94,AX$13)="",10^12,OFFSET(PLE!$G$14,$M94,AX$13))))</f>
        <v>1000000000000</v>
      </c>
      <c r="AY94" s="182">
        <f ca="1">IF($D94&lt;&gt;"Serviço",0,IF(OR(AND(AUTOEVENTO="Manual",$M94=1),$M94&gt;(ROW(PLE.lastrow)-ROW(PLE.firstrow))),0,IF(OFFSET(PLE!$G$14,$M94,AY$13)="",10^12,OFFSET(PLE!$G$14,$M94,AY$13))))</f>
        <v>1000000000000</v>
      </c>
      <c r="AZ94" s="182">
        <f ca="1">IF($D94&lt;&gt;"Serviço",0,IF(OR(AND(AUTOEVENTO="Manual",$M94=1),$M94&gt;(ROW(PLE.lastrow)-ROW(PLE.firstrow))),0,IF(OFFSET(PLE!$G$14,$M94,AZ$13)="",10^12,OFFSET(PLE!$G$14,$M94,AZ$13))))</f>
        <v>1000000000000</v>
      </c>
      <c r="BA94" s="182">
        <f ca="1">IF($D94&lt;&gt;"Serviço",0,IF(OR(AND(AUTOEVENTO="Manual",$M94=1),$M94&gt;(ROW(PLE.lastrow)-ROW(PLE.firstrow))),0,IF(OFFSET(PLE!$G$14,$M94,BA$13)="",10^12,OFFSET(PLE!$G$14,$M94,BA$13))))</f>
        <v>1000000000000</v>
      </c>
      <c r="BB94" s="182">
        <f ca="1">IF($D94&lt;&gt;"Serviço",0,IF(OR(AND(AUTOEVENTO="Manual",$M94=1),$M94&gt;(ROW(PLE.lastrow)-ROW(PLE.firstrow))),0,IF(OFFSET(PLE!$G$14,$M94,BB$13)="",10^12,OFFSET(PLE!$G$14,$M94,BB$13))))</f>
        <v>1000000000000</v>
      </c>
      <c r="BC94" s="182">
        <f ca="1">IF($D94&lt;&gt;"Serviço",0,IF(OR(AND(AUTOEVENTO="Manual",$M94=1),$M94&gt;(ROW(PLE.lastrow)-ROW(PLE.firstrow))),0,IF(OFFSET(PLE!$G$14,$M94,BC$13)="",10^12,OFFSET(PLE!$G$14,$M94,BC$13))))</f>
        <v>1000000000000</v>
      </c>
      <c r="BD94" s="182">
        <f ca="1">IF($D94&lt;&gt;"Serviço",0,IF(OR(AND(AUTOEVENTO="Manual",$M94=1),$M94&gt;(ROW(PLE.lastrow)-ROW(PLE.firstrow))),0,IF(OFFSET(PLE!$G$14,$M94,BD$13)="",10^12,OFFSET(PLE!$G$14,$M94,BD$13))))</f>
        <v>1000000000000</v>
      </c>
      <c r="BE94" s="182">
        <f ca="1">IF($D94&lt;&gt;"Serviço",0,IF(OR(AND(AUTOEVENTO="Manual",$M94=1),$M94&gt;(ROW(PLE.lastrow)-ROW(PLE.firstrow))),0,IF(OFFSET(PLE!$G$14,$M94,BE$13)="",10^12,OFFSET(PLE!$G$14,$M94,BE$13))))</f>
        <v>1000000000000</v>
      </c>
      <c r="BF94" s="182">
        <f ca="1">IF($D94&lt;&gt;"Serviço",0,IF(OR(AND(AUTOEVENTO="Manual",$M94=1),$M94&gt;(ROW(PLE.lastrow)-ROW(PLE.firstrow))),0,IF(OFFSET(PLE!$G$14,$M94,BF$13)="",10^12,OFFSET(PLE!$G$14,$M94,BF$13))))</f>
        <v>1000000000000</v>
      </c>
      <c r="BG94" s="182">
        <f ca="1">IF($D94&lt;&gt;"Serviço",0,IF(OR(AND(AUTOEVENTO="Manual",$M94=1),$M94&gt;(ROW(PLE.lastrow)-ROW(PLE.firstrow))),0,IF(OFFSET(PLE!$G$14,$M94,BG$13)="",10^12,OFFSET(PLE!$G$14,$M94,BG$13))))</f>
        <v>1000000000000</v>
      </c>
    </row>
    <row r="95" spans="1:59" ht="12.75" x14ac:dyDescent="0.2">
      <c r="A95" s="7" t="str">
        <f t="shared" ca="1" si="9"/>
        <v>44</v>
      </c>
      <c r="B95" s="7">
        <f ca="1">OFFSET(ORÇAMENTO!C$15,ROW(B95)-ROW(B$15),0)</f>
        <v>3</v>
      </c>
      <c r="C95" s="7" t="str">
        <f ca="1">OFFSET(ORÇAMENTO!L$15,ROW(C95)-ROW(C$15),0)</f>
        <v>F</v>
      </c>
      <c r="D95" s="118" t="str">
        <f ca="1">OFFSET(ORÇAMENTO!N$15,ROW(D95)-ROW(D$15),0)</f>
        <v>Nível 3</v>
      </c>
      <c r="E95" s="119" t="str">
        <f ca="1">OFFSET(ORÇAMENTO!O$15,ROW(E95)-ROW(E$15),0)</f>
        <v>1.4.5.</v>
      </c>
      <c r="F95" s="172" t="str">
        <f ca="1">OFFSET(ORÇAMENTO!R$15,ROW(F95)-ROW(F$15),0)</f>
        <v>LAJE DE COBERTURA - CASA DE MÁQUINAS E CASA DE GÁS</v>
      </c>
      <c r="G95" s="173" t="str">
        <f ca="1">IF($D95&lt;&gt;"Serviço","",OFFSET(ORÇAMENTO!S$15,ROW(G95)-ROW(G$15),0))</f>
        <v/>
      </c>
      <c r="H95" s="124">
        <f ca="1">IF($D95&lt;&gt;"Serviço",0,IF(ACOMPANHAMENTO="BM",ROUND(OFFSET(ORÇAMENTO!AJ$15,ROW(H95)-ROW(H$15),0),15-13*ORÇAMENTO!$AF$7),SUMPRODUCT(($Q$12:$AA$12&lt;&gt;"")*ROUND($Q95:$AA95,15-13*ORÇAMENTO!$AF$7))))</f>
        <v>0</v>
      </c>
      <c r="I95" s="561"/>
      <c r="K95" s="174"/>
      <c r="L95" s="175" t="s">
        <v>255</v>
      </c>
      <c r="M95" s="176" t="str">
        <f ca="1">IF($D95&lt;&gt;"Serviço","",IF(AUTOEVENTO="manual",$A95,IF(ISERROR(MATCH($A95,$A$15:OFFSET($A95,-1,0),0)),MAX($M$15:OFFSET(M95,-1,0))+1,INDEX($M$15:OFFSET(M95,-1,0),MATCH($A95,$A$15:OFFSET($A95,-1,0),0)))))</f>
        <v/>
      </c>
      <c r="N95" s="177" t="str">
        <f ca="1">IF($D95&lt;&gt;"Serviço","",IF(AUTOEVENTO="Manual",IF($A95=0,"&lt;-- defina o número do agrupador",OFFSET(EVENTOS!$D$14,$A95,0)),OFFSET($F$15,$A95,0)))</f>
        <v/>
      </c>
      <c r="O95" s="178"/>
      <c r="Q95" s="178"/>
      <c r="R95" s="179"/>
      <c r="S95" s="179"/>
      <c r="T95" s="179"/>
      <c r="U95" s="179"/>
      <c r="V95" s="179"/>
      <c r="W95" s="179"/>
      <c r="X95" s="179"/>
      <c r="Y95" s="179"/>
      <c r="Z95" s="180"/>
      <c r="AB95" s="544">
        <f ca="1">IF(AND($D95="Serviço",AB$12&lt;&gt;0,$H95&gt;0,OR(AUTOEVENTO&lt;&gt;"manual",$M95&lt;&gt;1)),
IF(Import.TipoArredondamento&lt;&gt;"TransfereGOV",
ROUND(OFFSET($P95,0,AB$13),15-13*ORÇAMENTO!$AF$7)/$H95*OFFSET(ORÇAMENTO!$X$15,ROW(AB95)-ROW(AB$15),0),
ROUND(ROUND(OFFSET($P95,0,AB$13),15-13*ORÇAMENTO!$AF$7)*OFFSET(ORÇAMENTO!$W$15,ROW(AB95)-ROW(AB$15),0),15-13*ORÇAMENTO!$AF$11)),0)</f>
        <v>0</v>
      </c>
      <c r="AC95" s="545">
        <f ca="1">IF(AND($D95="Serviço",AC$12&lt;&gt;0,$H95&gt;0,OR(AUTOEVENTO&lt;&gt;"manual",$M95&lt;&gt;1)),
IF(Import.TipoArredondamento&lt;&gt;"TransfereGOV",
ROUND(OFFSET($P95,0,AC$13),15-13*ORÇAMENTO!$AF$7)/$H95*OFFSET(ORÇAMENTO!$X$15,ROW(AC95)-ROW(AC$15),0),
ROUND(ROUND(OFFSET($P95,0,AC$13),15-13*ORÇAMENTO!$AF$7)*OFFSET(ORÇAMENTO!$W$15,ROW(AC95)-ROW(AC$15),0),15-13*ORÇAMENTO!$AF$11)),0)</f>
        <v>0</v>
      </c>
      <c r="AD95" s="545">
        <f ca="1">IF(AND($D95="Serviço",AD$12&lt;&gt;0,$H95&gt;0,OR(AUTOEVENTO&lt;&gt;"manual",$M95&lt;&gt;1)),
IF(Import.TipoArredondamento&lt;&gt;"TransfereGOV",
ROUND(OFFSET($P95,0,AD$13),15-13*ORÇAMENTO!$AF$7)/$H95*OFFSET(ORÇAMENTO!$X$15,ROW(AD95)-ROW(AD$15),0),
ROUND(ROUND(OFFSET($P95,0,AD$13),15-13*ORÇAMENTO!$AF$7)*OFFSET(ORÇAMENTO!$W$15,ROW(AD95)-ROW(AD$15),0),15-13*ORÇAMENTO!$AF$11)),0)</f>
        <v>0</v>
      </c>
      <c r="AE95" s="545">
        <f ca="1">IF(AND($D95="Serviço",AE$12&lt;&gt;0,$H95&gt;0,OR(AUTOEVENTO&lt;&gt;"manual",$M95&lt;&gt;1)),
IF(Import.TipoArredondamento&lt;&gt;"TransfereGOV",
ROUND(OFFSET($P95,0,AE$13),15-13*ORÇAMENTO!$AF$7)/$H95*OFFSET(ORÇAMENTO!$X$15,ROW(AE95)-ROW(AE$15),0),
ROUND(ROUND(OFFSET($P95,0,AE$13),15-13*ORÇAMENTO!$AF$7)*OFFSET(ORÇAMENTO!$W$15,ROW(AE95)-ROW(AE$15),0),15-13*ORÇAMENTO!$AF$11)),0)</f>
        <v>0</v>
      </c>
      <c r="AF95" s="545">
        <f ca="1">IF(AND($D95="Serviço",AF$12&lt;&gt;0,$H95&gt;0,OR(AUTOEVENTO&lt;&gt;"manual",$M95&lt;&gt;1)),
IF(Import.TipoArredondamento&lt;&gt;"TransfereGOV",
ROUND(OFFSET($P95,0,AF$13),15-13*ORÇAMENTO!$AF$7)/$H95*OFFSET(ORÇAMENTO!$X$15,ROW(AF95)-ROW(AF$15),0),
ROUND(ROUND(OFFSET($P95,0,AF$13),15-13*ORÇAMENTO!$AF$7)*OFFSET(ORÇAMENTO!$W$15,ROW(AF95)-ROW(AF$15),0),15-13*ORÇAMENTO!$AF$11)),0)</f>
        <v>0</v>
      </c>
      <c r="AG95" s="545">
        <f ca="1">IF(AND($D95="Serviço",AG$12&lt;&gt;0,$H95&gt;0,OR(AUTOEVENTO&lt;&gt;"manual",$M95&lt;&gt;1)),
IF(Import.TipoArredondamento&lt;&gt;"TransfereGOV",
ROUND(OFFSET($P95,0,AG$13),15-13*ORÇAMENTO!$AF$7)/$H95*OFFSET(ORÇAMENTO!$X$15,ROW(AG95)-ROW(AG$15),0),
ROUND(ROUND(OFFSET($P95,0,AG$13),15-13*ORÇAMENTO!$AF$7)*OFFSET(ORÇAMENTO!$W$15,ROW(AG95)-ROW(AG$15),0),15-13*ORÇAMENTO!$AF$11)),0)</f>
        <v>0</v>
      </c>
      <c r="AH95" s="545">
        <f ca="1">IF(AND($D95="Serviço",AH$12&lt;&gt;0,$H95&gt;0,OR(AUTOEVENTO&lt;&gt;"manual",$M95&lt;&gt;1)),
IF(Import.TipoArredondamento&lt;&gt;"TransfereGOV",
ROUND(OFFSET($P95,0,AH$13),15-13*ORÇAMENTO!$AF$7)/$H95*OFFSET(ORÇAMENTO!$X$15,ROW(AH95)-ROW(AH$15),0),
ROUND(ROUND(OFFSET($P95,0,AH$13),15-13*ORÇAMENTO!$AF$7)*OFFSET(ORÇAMENTO!$W$15,ROW(AH95)-ROW(AH$15),0),15-13*ORÇAMENTO!$AF$11)),0)</f>
        <v>0</v>
      </c>
      <c r="AI95" s="545">
        <f ca="1">IF(AND($D95="Serviço",AI$12&lt;&gt;0,$H95&gt;0,OR(AUTOEVENTO&lt;&gt;"manual",$M95&lt;&gt;1)),
IF(Import.TipoArredondamento&lt;&gt;"TransfereGOV",
ROUND(OFFSET($P95,0,AI$13),15-13*ORÇAMENTO!$AF$7)/$H95*OFFSET(ORÇAMENTO!$X$15,ROW(AI95)-ROW(AI$15),0),
ROUND(ROUND(OFFSET($P95,0,AI$13),15-13*ORÇAMENTO!$AF$7)*OFFSET(ORÇAMENTO!$W$15,ROW(AI95)-ROW(AI$15),0),15-13*ORÇAMENTO!$AF$11)),0)</f>
        <v>0</v>
      </c>
      <c r="AJ95" s="545">
        <f ca="1">IF(AND($D95="Serviço",AJ$12&lt;&gt;0,$H95&gt;0,OR(AUTOEVENTO&lt;&gt;"manual",$M95&lt;&gt;1)),
IF(Import.TipoArredondamento&lt;&gt;"TransfereGOV",
ROUND(OFFSET($P95,0,AJ$13),15-13*ORÇAMENTO!$AF$7)/$H95*OFFSET(ORÇAMENTO!$X$15,ROW(AJ95)-ROW(AJ$15),0),
ROUND(ROUND(OFFSET($P95,0,AJ$13),15-13*ORÇAMENTO!$AF$7)*OFFSET(ORÇAMENTO!$W$15,ROW(AJ95)-ROW(AJ$15),0),15-13*ORÇAMENTO!$AF$11)),0)</f>
        <v>0</v>
      </c>
      <c r="AK95" s="546">
        <f ca="1">IF(AND($D95="Serviço",AK$12&lt;&gt;0,$H95&gt;0,OR(AUTOEVENTO&lt;&gt;"manual",$M95&lt;&gt;1)),
IF(Import.TipoArredondamento&lt;&gt;"TransfereGOV",
ROUND(OFFSET($P95,0,AK$13),15-13*ORÇAMENTO!$AF$7)/$H95*OFFSET(ORÇAMENTO!$X$15,ROW(AK95)-ROW(AK$15),0),
ROUND(ROUND(OFFSET($P95,0,AK$13),15-13*ORÇAMENTO!$AF$7)*OFFSET(ORÇAMENTO!$W$15,ROW(AK95)-ROW(AK$15),0),15-13*ORÇAMENTO!$AF$11)),0)</f>
        <v>0</v>
      </c>
      <c r="AM95" s="181">
        <f ca="1">IF($D95&lt;&gt;"Serviço",0,IF(AND(AUTOEVENTO="Manual",$M95=1),0,IF(OFFSET(CRONOPLE!$F$14,$M95,AM$13)="",10^12,OFFSET(CRONOPLE!$F$14,$M95,AM$13))))</f>
        <v>0</v>
      </c>
      <c r="AN95" s="181">
        <f ca="1">IF($D95&lt;&gt;"Serviço",0,IF(AND(AUTOEVENTO="Manual",$M95=1),0,IF(OFFSET(CRONOPLE!$F$14,$M95,AN$13)="",10^12,OFFSET(CRONOPLE!$F$14,$M95,AN$13))))</f>
        <v>0</v>
      </c>
      <c r="AO95" s="181">
        <f ca="1">IF($D95&lt;&gt;"Serviço",0,IF(AND(AUTOEVENTO="Manual",$M95=1),0,IF(OFFSET(CRONOPLE!$F$14,$M95,AO$13)="",10^12,OFFSET(CRONOPLE!$F$14,$M95,AO$13))))</f>
        <v>0</v>
      </c>
      <c r="AP95" s="181">
        <f ca="1">IF($D95&lt;&gt;"Serviço",0,IF(AND(AUTOEVENTO="Manual",$M95=1),0,IF(OFFSET(CRONOPLE!$F$14,$M95,AP$13)="",10^12,OFFSET(CRONOPLE!$F$14,$M95,AP$13))))</f>
        <v>0</v>
      </c>
      <c r="AQ95" s="181">
        <f ca="1">IF($D95&lt;&gt;"Serviço",0,IF(AND(AUTOEVENTO="Manual",$M95=1),0,IF(OFFSET(CRONOPLE!$F$14,$M95,AQ$13)="",10^12,OFFSET(CRONOPLE!$F$14,$M95,AQ$13))))</f>
        <v>0</v>
      </c>
      <c r="AR95" s="181">
        <f ca="1">IF($D95&lt;&gt;"Serviço",0,IF(AND(AUTOEVENTO="Manual",$M95=1),0,IF(OFFSET(CRONOPLE!$F$14,$M95,AR$13)="",10^12,OFFSET(CRONOPLE!$F$14,$M95,AR$13))))</f>
        <v>0</v>
      </c>
      <c r="AS95" s="181">
        <f ca="1">IF($D95&lt;&gt;"Serviço",0,IF(AND(AUTOEVENTO="Manual",$M95=1),0,IF(OFFSET(CRONOPLE!$F$14,$M95,AS$13)="",10^12,OFFSET(CRONOPLE!$F$14,$M95,AS$13))))</f>
        <v>0</v>
      </c>
      <c r="AT95" s="181">
        <f ca="1">IF($D95&lt;&gt;"Serviço",0,IF(AND(AUTOEVENTO="Manual",$M95=1),0,IF(OFFSET(CRONOPLE!$F$14,$M95,AT$13)="",10^12,OFFSET(CRONOPLE!$F$14,$M95,AT$13))))</f>
        <v>0</v>
      </c>
      <c r="AU95" s="181">
        <f ca="1">IF($D95&lt;&gt;"Serviço",0,IF(AND(AUTOEVENTO="Manual",$M95=1),0,IF(OFFSET(CRONOPLE!$F$14,$M95,AU$13)="",10^12,OFFSET(CRONOPLE!$F$14,$M95,AU$13))))</f>
        <v>0</v>
      </c>
      <c r="AV95" s="181">
        <f ca="1">IF($D95&lt;&gt;"Serviço",0,IF(AND(AUTOEVENTO="Manual",$M95=1),0,IF(OFFSET(CRONOPLE!$F$14,$M95,AV$13)="",10^12,OFFSET(CRONOPLE!$F$14,$M95,AV$13))))</f>
        <v>0</v>
      </c>
      <c r="AX95" s="182">
        <f ca="1">IF($D95&lt;&gt;"Serviço",0,IF(OR(AND(AUTOEVENTO="Manual",$M95=1),$M95&gt;(ROW(PLE.lastrow)-ROW(PLE.firstrow))),0,IF(OFFSET(PLE!$G$14,$M95,AX$13)="",10^12,OFFSET(PLE!$G$14,$M95,AX$13))))</f>
        <v>0</v>
      </c>
      <c r="AY95" s="182">
        <f ca="1">IF($D95&lt;&gt;"Serviço",0,IF(OR(AND(AUTOEVENTO="Manual",$M95=1),$M95&gt;(ROW(PLE.lastrow)-ROW(PLE.firstrow))),0,IF(OFFSET(PLE!$G$14,$M95,AY$13)="",10^12,OFFSET(PLE!$G$14,$M95,AY$13))))</f>
        <v>0</v>
      </c>
      <c r="AZ95" s="182">
        <f ca="1">IF($D95&lt;&gt;"Serviço",0,IF(OR(AND(AUTOEVENTO="Manual",$M95=1),$M95&gt;(ROW(PLE.lastrow)-ROW(PLE.firstrow))),0,IF(OFFSET(PLE!$G$14,$M95,AZ$13)="",10^12,OFFSET(PLE!$G$14,$M95,AZ$13))))</f>
        <v>0</v>
      </c>
      <c r="BA95" s="182">
        <f ca="1">IF($D95&lt;&gt;"Serviço",0,IF(OR(AND(AUTOEVENTO="Manual",$M95=1),$M95&gt;(ROW(PLE.lastrow)-ROW(PLE.firstrow))),0,IF(OFFSET(PLE!$G$14,$M95,BA$13)="",10^12,OFFSET(PLE!$G$14,$M95,BA$13))))</f>
        <v>0</v>
      </c>
      <c r="BB95" s="182">
        <f ca="1">IF($D95&lt;&gt;"Serviço",0,IF(OR(AND(AUTOEVENTO="Manual",$M95=1),$M95&gt;(ROW(PLE.lastrow)-ROW(PLE.firstrow))),0,IF(OFFSET(PLE!$G$14,$M95,BB$13)="",10^12,OFFSET(PLE!$G$14,$M95,BB$13))))</f>
        <v>0</v>
      </c>
      <c r="BC95" s="182">
        <f ca="1">IF($D95&lt;&gt;"Serviço",0,IF(OR(AND(AUTOEVENTO="Manual",$M95=1),$M95&gt;(ROW(PLE.lastrow)-ROW(PLE.firstrow))),0,IF(OFFSET(PLE!$G$14,$M95,BC$13)="",10^12,OFFSET(PLE!$G$14,$M95,BC$13))))</f>
        <v>0</v>
      </c>
      <c r="BD95" s="182">
        <f ca="1">IF($D95&lt;&gt;"Serviço",0,IF(OR(AND(AUTOEVENTO="Manual",$M95=1),$M95&gt;(ROW(PLE.lastrow)-ROW(PLE.firstrow))),0,IF(OFFSET(PLE!$G$14,$M95,BD$13)="",10^12,OFFSET(PLE!$G$14,$M95,BD$13))))</f>
        <v>0</v>
      </c>
      <c r="BE95" s="182">
        <f ca="1">IF($D95&lt;&gt;"Serviço",0,IF(OR(AND(AUTOEVENTO="Manual",$M95=1),$M95&gt;(ROW(PLE.lastrow)-ROW(PLE.firstrow))),0,IF(OFFSET(PLE!$G$14,$M95,BE$13)="",10^12,OFFSET(PLE!$G$14,$M95,BE$13))))</f>
        <v>0</v>
      </c>
      <c r="BF95" s="182">
        <f ca="1">IF($D95&lt;&gt;"Serviço",0,IF(OR(AND(AUTOEVENTO="Manual",$M95=1),$M95&gt;(ROW(PLE.lastrow)-ROW(PLE.firstrow))),0,IF(OFFSET(PLE!$G$14,$M95,BF$13)="",10^12,OFFSET(PLE!$G$14,$M95,BF$13))))</f>
        <v>0</v>
      </c>
      <c r="BG95" s="182">
        <f ca="1">IF($D95&lt;&gt;"Serviço",0,IF(OR(AND(AUTOEVENTO="Manual",$M95=1),$M95&gt;(ROW(PLE.lastrow)-ROW(PLE.firstrow))),0,IF(OFFSET(PLE!$G$14,$M95,BG$13)="",10^12,OFFSET(PLE!$G$14,$M95,BG$13))))</f>
        <v>0</v>
      </c>
    </row>
    <row r="96" spans="1:59" ht="38.25" x14ac:dyDescent="0.2">
      <c r="A96" s="7" t="str">
        <f t="shared" ca="1" si="9"/>
        <v>44</v>
      </c>
      <c r="B96" s="7" t="str">
        <f ca="1">OFFSET(ORÇAMENTO!C$15,ROW(B96)-ROW(B$15),0)</f>
        <v>S</v>
      </c>
      <c r="C96" s="7" t="str">
        <f ca="1">OFFSET(ORÇAMENTO!L$15,ROW(C96)-ROW(C$15),0)</f>
        <v/>
      </c>
      <c r="D96" s="118" t="str">
        <f ca="1">OFFSET(ORÇAMENTO!N$15,ROW(D96)-ROW(D$15),0)</f>
        <v>Serviço</v>
      </c>
      <c r="E96" s="119" t="str">
        <f ca="1">OFFSET(ORÇAMENTO!O$15,ROW(E96)-ROW(E$15),0)</f>
        <v>-</v>
      </c>
      <c r="F96" s="172" t="str">
        <f ca="1">OFFSET(ORÇAMENTO!R$15,ROW(F96)-ROW(F$15),0)</f>
        <v>(abra o arquivo 'Referência 02-2025.xlsm)</v>
      </c>
      <c r="G96" s="173" t="str">
        <f ca="1">IF($D96&lt;&gt;"Serviço","",OFFSET(ORÇAMENTO!S$15,ROW(G96)-ROW(G$15),0))</f>
        <v>-</v>
      </c>
      <c r="H96" s="124">
        <f ca="1">IF($D96&lt;&gt;"Serviço",0,IF(ACOMPANHAMENTO="BM",ROUND(OFFSET(ORÇAMENTO!AJ$15,ROW(H96)-ROW(H$15),0),15-13*ORÇAMENTO!$AF$7),SUMPRODUCT(($Q$12:$AA$12&lt;&gt;"")*ROUND($Q96:$AA96,15-13*ORÇAMENTO!$AF$7))))</f>
        <v>15.15</v>
      </c>
      <c r="I96" s="561"/>
      <c r="K96" s="174"/>
      <c r="L96" s="175" t="s">
        <v>255</v>
      </c>
      <c r="M96" s="176">
        <f ca="1">IF($D96&lt;&gt;"Serviço","",IF(AUTOEVENTO="manual",$A96,IF(ISERROR(MATCH($A96,$A$15:OFFSET($A96,-1,0),0)),MAX($M$15:OFFSET(M96,-1,0))+1,INDEX($M$15:OFFSET(M96,-1,0),MATCH($A96,$A$15:OFFSET($A96,-1,0),0)))))</f>
        <v>5</v>
      </c>
      <c r="N96" s="177" t="str">
        <f ca="1">IF($D96&lt;&gt;"Serviço","",IF(AUTOEVENTO="Manual",IF($A96=0,"&lt;-- defina o número do agrupador",OFFSET(EVENTOS!$D$14,$A96,0)),OFFSET($F$15,$A96,0)))</f>
        <v>SUPERESTRUTURA</v>
      </c>
      <c r="O96" s="178"/>
      <c r="Q96" s="178"/>
      <c r="R96" s="179"/>
      <c r="S96" s="179"/>
      <c r="T96" s="179"/>
      <c r="U96" s="179"/>
      <c r="V96" s="179"/>
      <c r="W96" s="179"/>
      <c r="X96" s="179"/>
      <c r="Y96" s="179"/>
      <c r="Z96" s="180"/>
      <c r="AB96" s="544">
        <f ca="1">IF(AND($D96="Serviço",AB$12&lt;&gt;0,$H96&gt;0,OR(AUTOEVENTO&lt;&gt;"manual",$M96&lt;&gt;1)),
IF(Import.TipoArredondamento&lt;&gt;"TransfereGOV",
ROUND(OFFSET($P96,0,AB$13),15-13*ORÇAMENTO!$AF$7)/$H96*OFFSET(ORÇAMENTO!$X$15,ROW(AB96)-ROW(AB$15),0),
ROUND(ROUND(OFFSET($P96,0,AB$13),15-13*ORÇAMENTO!$AF$7)*OFFSET(ORÇAMENTO!$W$15,ROW(AB96)-ROW(AB$15),0),15-13*ORÇAMENTO!$AF$11)),0)</f>
        <v>0</v>
      </c>
      <c r="AC96" s="545">
        <f ca="1">IF(AND($D96="Serviço",AC$12&lt;&gt;0,$H96&gt;0,OR(AUTOEVENTO&lt;&gt;"manual",$M96&lt;&gt;1)),
IF(Import.TipoArredondamento&lt;&gt;"TransfereGOV",
ROUND(OFFSET($P96,0,AC$13),15-13*ORÇAMENTO!$AF$7)/$H96*OFFSET(ORÇAMENTO!$X$15,ROW(AC96)-ROW(AC$15),0),
ROUND(ROUND(OFFSET($P96,0,AC$13),15-13*ORÇAMENTO!$AF$7)*OFFSET(ORÇAMENTO!$W$15,ROW(AC96)-ROW(AC$15),0),15-13*ORÇAMENTO!$AF$11)),0)</f>
        <v>0</v>
      </c>
      <c r="AD96" s="545">
        <f ca="1">IF(AND($D96="Serviço",AD$12&lt;&gt;0,$H96&gt;0,OR(AUTOEVENTO&lt;&gt;"manual",$M96&lt;&gt;1)),
IF(Import.TipoArredondamento&lt;&gt;"TransfereGOV",
ROUND(OFFSET($P96,0,AD$13),15-13*ORÇAMENTO!$AF$7)/$H96*OFFSET(ORÇAMENTO!$X$15,ROW(AD96)-ROW(AD$15),0),
ROUND(ROUND(OFFSET($P96,0,AD$13),15-13*ORÇAMENTO!$AF$7)*OFFSET(ORÇAMENTO!$W$15,ROW(AD96)-ROW(AD$15),0),15-13*ORÇAMENTO!$AF$11)),0)</f>
        <v>0</v>
      </c>
      <c r="AE96" s="545">
        <f ca="1">IF(AND($D96="Serviço",AE$12&lt;&gt;0,$H96&gt;0,OR(AUTOEVENTO&lt;&gt;"manual",$M96&lt;&gt;1)),
IF(Import.TipoArredondamento&lt;&gt;"TransfereGOV",
ROUND(OFFSET($P96,0,AE$13),15-13*ORÇAMENTO!$AF$7)/$H96*OFFSET(ORÇAMENTO!$X$15,ROW(AE96)-ROW(AE$15),0),
ROUND(ROUND(OFFSET($P96,0,AE$13),15-13*ORÇAMENTO!$AF$7)*OFFSET(ORÇAMENTO!$W$15,ROW(AE96)-ROW(AE$15),0),15-13*ORÇAMENTO!$AF$11)),0)</f>
        <v>0</v>
      </c>
      <c r="AF96" s="545">
        <f ca="1">IF(AND($D96="Serviço",AF$12&lt;&gt;0,$H96&gt;0,OR(AUTOEVENTO&lt;&gt;"manual",$M96&lt;&gt;1)),
IF(Import.TipoArredondamento&lt;&gt;"TransfereGOV",
ROUND(OFFSET($P96,0,AF$13),15-13*ORÇAMENTO!$AF$7)/$H96*OFFSET(ORÇAMENTO!$X$15,ROW(AF96)-ROW(AF$15),0),
ROUND(ROUND(OFFSET($P96,0,AF$13),15-13*ORÇAMENTO!$AF$7)*OFFSET(ORÇAMENTO!$W$15,ROW(AF96)-ROW(AF$15),0),15-13*ORÇAMENTO!$AF$11)),0)</f>
        <v>0</v>
      </c>
      <c r="AG96" s="545">
        <f ca="1">IF(AND($D96="Serviço",AG$12&lt;&gt;0,$H96&gt;0,OR(AUTOEVENTO&lt;&gt;"manual",$M96&lt;&gt;1)),
IF(Import.TipoArredondamento&lt;&gt;"TransfereGOV",
ROUND(OFFSET($P96,0,AG$13),15-13*ORÇAMENTO!$AF$7)/$H96*OFFSET(ORÇAMENTO!$X$15,ROW(AG96)-ROW(AG$15),0),
ROUND(ROUND(OFFSET($P96,0,AG$13),15-13*ORÇAMENTO!$AF$7)*OFFSET(ORÇAMENTO!$W$15,ROW(AG96)-ROW(AG$15),0),15-13*ORÇAMENTO!$AF$11)),0)</f>
        <v>0</v>
      </c>
      <c r="AH96" s="545">
        <f ca="1">IF(AND($D96="Serviço",AH$12&lt;&gt;0,$H96&gt;0,OR(AUTOEVENTO&lt;&gt;"manual",$M96&lt;&gt;1)),
IF(Import.TipoArredondamento&lt;&gt;"TransfereGOV",
ROUND(OFFSET($P96,0,AH$13),15-13*ORÇAMENTO!$AF$7)/$H96*OFFSET(ORÇAMENTO!$X$15,ROW(AH96)-ROW(AH$15),0),
ROUND(ROUND(OFFSET($P96,0,AH$13),15-13*ORÇAMENTO!$AF$7)*OFFSET(ORÇAMENTO!$W$15,ROW(AH96)-ROW(AH$15),0),15-13*ORÇAMENTO!$AF$11)),0)</f>
        <v>0</v>
      </c>
      <c r="AI96" s="545">
        <f ca="1">IF(AND($D96="Serviço",AI$12&lt;&gt;0,$H96&gt;0,OR(AUTOEVENTO&lt;&gt;"manual",$M96&lt;&gt;1)),
IF(Import.TipoArredondamento&lt;&gt;"TransfereGOV",
ROUND(OFFSET($P96,0,AI$13),15-13*ORÇAMENTO!$AF$7)/$H96*OFFSET(ORÇAMENTO!$X$15,ROW(AI96)-ROW(AI$15),0),
ROUND(ROUND(OFFSET($P96,0,AI$13),15-13*ORÇAMENTO!$AF$7)*OFFSET(ORÇAMENTO!$W$15,ROW(AI96)-ROW(AI$15),0),15-13*ORÇAMENTO!$AF$11)),0)</f>
        <v>0</v>
      </c>
      <c r="AJ96" s="545">
        <f ca="1">IF(AND($D96="Serviço",AJ$12&lt;&gt;0,$H96&gt;0,OR(AUTOEVENTO&lt;&gt;"manual",$M96&lt;&gt;1)),
IF(Import.TipoArredondamento&lt;&gt;"TransfereGOV",
ROUND(OFFSET($P96,0,AJ$13),15-13*ORÇAMENTO!$AF$7)/$H96*OFFSET(ORÇAMENTO!$X$15,ROW(AJ96)-ROW(AJ$15),0),
ROUND(ROUND(OFFSET($P96,0,AJ$13),15-13*ORÇAMENTO!$AF$7)*OFFSET(ORÇAMENTO!$W$15,ROW(AJ96)-ROW(AJ$15),0),15-13*ORÇAMENTO!$AF$11)),0)</f>
        <v>0</v>
      </c>
      <c r="AK96" s="546">
        <f ca="1">IF(AND($D96="Serviço",AK$12&lt;&gt;0,$H96&gt;0,OR(AUTOEVENTO&lt;&gt;"manual",$M96&lt;&gt;1)),
IF(Import.TipoArredondamento&lt;&gt;"TransfereGOV",
ROUND(OFFSET($P96,0,AK$13),15-13*ORÇAMENTO!$AF$7)/$H96*OFFSET(ORÇAMENTO!$X$15,ROW(AK96)-ROW(AK$15),0),
ROUND(ROUND(OFFSET($P96,0,AK$13),15-13*ORÇAMENTO!$AF$7)*OFFSET(ORÇAMENTO!$W$15,ROW(AK96)-ROW(AK$15),0),15-13*ORÇAMENTO!$AF$11)),0)</f>
        <v>0</v>
      </c>
      <c r="AM96" s="181">
        <f ca="1">IF($D96&lt;&gt;"Serviço",0,IF(AND(AUTOEVENTO="Manual",$M96=1),0,IF(OFFSET(CRONOPLE!$F$14,$M96,AM$13)="",10^12,OFFSET(CRONOPLE!$F$14,$M96,AM$13))))</f>
        <v>1000000000000</v>
      </c>
      <c r="AN96" s="181">
        <f ca="1">IF($D96&lt;&gt;"Serviço",0,IF(AND(AUTOEVENTO="Manual",$M96=1),0,IF(OFFSET(CRONOPLE!$F$14,$M96,AN$13)="",10^12,OFFSET(CRONOPLE!$F$14,$M96,AN$13))))</f>
        <v>1000000000000</v>
      </c>
      <c r="AO96" s="181">
        <f ca="1">IF($D96&lt;&gt;"Serviço",0,IF(AND(AUTOEVENTO="Manual",$M96=1),0,IF(OFFSET(CRONOPLE!$F$14,$M96,AO$13)="",10^12,OFFSET(CRONOPLE!$F$14,$M96,AO$13))))</f>
        <v>1000000000000</v>
      </c>
      <c r="AP96" s="181">
        <f ca="1">IF($D96&lt;&gt;"Serviço",0,IF(AND(AUTOEVENTO="Manual",$M96=1),0,IF(OFFSET(CRONOPLE!$F$14,$M96,AP$13)="",10^12,OFFSET(CRONOPLE!$F$14,$M96,AP$13))))</f>
        <v>1000000000000</v>
      </c>
      <c r="AQ96" s="181">
        <f ca="1">IF($D96&lt;&gt;"Serviço",0,IF(AND(AUTOEVENTO="Manual",$M96=1),0,IF(OFFSET(CRONOPLE!$F$14,$M96,AQ$13)="",10^12,OFFSET(CRONOPLE!$F$14,$M96,AQ$13))))</f>
        <v>1000000000000</v>
      </c>
      <c r="AR96" s="181">
        <f ca="1">IF($D96&lt;&gt;"Serviço",0,IF(AND(AUTOEVENTO="Manual",$M96=1),0,IF(OFFSET(CRONOPLE!$F$14,$M96,AR$13)="",10^12,OFFSET(CRONOPLE!$F$14,$M96,AR$13))))</f>
        <v>1000000000000</v>
      </c>
      <c r="AS96" s="181">
        <f ca="1">IF($D96&lt;&gt;"Serviço",0,IF(AND(AUTOEVENTO="Manual",$M96=1),0,IF(OFFSET(CRONOPLE!$F$14,$M96,AS$13)="",10^12,OFFSET(CRONOPLE!$F$14,$M96,AS$13))))</f>
        <v>1000000000000</v>
      </c>
      <c r="AT96" s="181">
        <f ca="1">IF($D96&lt;&gt;"Serviço",0,IF(AND(AUTOEVENTO="Manual",$M96=1),0,IF(OFFSET(CRONOPLE!$F$14,$M96,AT$13)="",10^12,OFFSET(CRONOPLE!$F$14,$M96,AT$13))))</f>
        <v>1000000000000</v>
      </c>
      <c r="AU96" s="181">
        <f ca="1">IF($D96&lt;&gt;"Serviço",0,IF(AND(AUTOEVENTO="Manual",$M96=1),0,IF(OFFSET(CRONOPLE!$F$14,$M96,AU$13)="",10^12,OFFSET(CRONOPLE!$F$14,$M96,AU$13))))</f>
        <v>1000000000000</v>
      </c>
      <c r="AV96" s="181">
        <f ca="1">IF($D96&lt;&gt;"Serviço",0,IF(AND(AUTOEVENTO="Manual",$M96=1),0,IF(OFFSET(CRONOPLE!$F$14,$M96,AV$13)="",10^12,OFFSET(CRONOPLE!$F$14,$M96,AV$13))))</f>
        <v>1000000000000</v>
      </c>
      <c r="AX96" s="182">
        <f ca="1">IF($D96&lt;&gt;"Serviço",0,IF(OR(AND(AUTOEVENTO="Manual",$M96=1),$M96&gt;(ROW(PLE.lastrow)-ROW(PLE.firstrow))),0,IF(OFFSET(PLE!$G$14,$M96,AX$13)="",10^12,OFFSET(PLE!$G$14,$M96,AX$13))))</f>
        <v>1000000000000</v>
      </c>
      <c r="AY96" s="182">
        <f ca="1">IF($D96&lt;&gt;"Serviço",0,IF(OR(AND(AUTOEVENTO="Manual",$M96=1),$M96&gt;(ROW(PLE.lastrow)-ROW(PLE.firstrow))),0,IF(OFFSET(PLE!$G$14,$M96,AY$13)="",10^12,OFFSET(PLE!$G$14,$M96,AY$13))))</f>
        <v>1000000000000</v>
      </c>
      <c r="AZ96" s="182">
        <f ca="1">IF($D96&lt;&gt;"Serviço",0,IF(OR(AND(AUTOEVENTO="Manual",$M96=1),$M96&gt;(ROW(PLE.lastrow)-ROW(PLE.firstrow))),0,IF(OFFSET(PLE!$G$14,$M96,AZ$13)="",10^12,OFFSET(PLE!$G$14,$M96,AZ$13))))</f>
        <v>1000000000000</v>
      </c>
      <c r="BA96" s="182">
        <f ca="1">IF($D96&lt;&gt;"Serviço",0,IF(OR(AND(AUTOEVENTO="Manual",$M96=1),$M96&gt;(ROW(PLE.lastrow)-ROW(PLE.firstrow))),0,IF(OFFSET(PLE!$G$14,$M96,BA$13)="",10^12,OFFSET(PLE!$G$14,$M96,BA$13))))</f>
        <v>1000000000000</v>
      </c>
      <c r="BB96" s="182">
        <f ca="1">IF($D96&lt;&gt;"Serviço",0,IF(OR(AND(AUTOEVENTO="Manual",$M96=1),$M96&gt;(ROW(PLE.lastrow)-ROW(PLE.firstrow))),0,IF(OFFSET(PLE!$G$14,$M96,BB$13)="",10^12,OFFSET(PLE!$G$14,$M96,BB$13))))</f>
        <v>1000000000000</v>
      </c>
      <c r="BC96" s="182">
        <f ca="1">IF($D96&lt;&gt;"Serviço",0,IF(OR(AND(AUTOEVENTO="Manual",$M96=1),$M96&gt;(ROW(PLE.lastrow)-ROW(PLE.firstrow))),0,IF(OFFSET(PLE!$G$14,$M96,BC$13)="",10^12,OFFSET(PLE!$G$14,$M96,BC$13))))</f>
        <v>1000000000000</v>
      </c>
      <c r="BD96" s="182">
        <f ca="1">IF($D96&lt;&gt;"Serviço",0,IF(OR(AND(AUTOEVENTO="Manual",$M96=1),$M96&gt;(ROW(PLE.lastrow)-ROW(PLE.firstrow))),0,IF(OFFSET(PLE!$G$14,$M96,BD$13)="",10^12,OFFSET(PLE!$G$14,$M96,BD$13))))</f>
        <v>1000000000000</v>
      </c>
      <c r="BE96" s="182">
        <f ca="1">IF($D96&lt;&gt;"Serviço",0,IF(OR(AND(AUTOEVENTO="Manual",$M96=1),$M96&gt;(ROW(PLE.lastrow)-ROW(PLE.firstrow))),0,IF(OFFSET(PLE!$G$14,$M96,BE$13)="",10^12,OFFSET(PLE!$G$14,$M96,BE$13))))</f>
        <v>1000000000000</v>
      </c>
      <c r="BF96" s="182">
        <f ca="1">IF($D96&lt;&gt;"Serviço",0,IF(OR(AND(AUTOEVENTO="Manual",$M96=1),$M96&gt;(ROW(PLE.lastrow)-ROW(PLE.firstrow))),0,IF(OFFSET(PLE!$G$14,$M96,BF$13)="",10^12,OFFSET(PLE!$G$14,$M96,BF$13))))</f>
        <v>1000000000000</v>
      </c>
      <c r="BG96" s="182">
        <f ca="1">IF($D96&lt;&gt;"Serviço",0,IF(OR(AND(AUTOEVENTO="Manual",$M96=1),$M96&gt;(ROW(PLE.lastrow)-ROW(PLE.firstrow))),0,IF(OFFSET(PLE!$G$14,$M96,BG$13)="",10^12,OFFSET(PLE!$G$14,$M96,BG$13))))</f>
        <v>1000000000000</v>
      </c>
    </row>
    <row r="97" spans="1:59" ht="38.25" x14ac:dyDescent="0.2">
      <c r="A97" s="7" t="str">
        <f t="shared" ca="1" si="9"/>
        <v>44</v>
      </c>
      <c r="B97" s="7" t="str">
        <f ca="1">OFFSET(ORÇAMENTO!C$15,ROW(B97)-ROW(B$15),0)</f>
        <v>S</v>
      </c>
      <c r="C97" s="7" t="str">
        <f ca="1">OFFSET(ORÇAMENTO!L$15,ROW(C97)-ROW(C$15),0)</f>
        <v/>
      </c>
      <c r="D97" s="118" t="str">
        <f ca="1">OFFSET(ORÇAMENTO!N$15,ROW(D97)-ROW(D$15),0)</f>
        <v>Serviço</v>
      </c>
      <c r="E97" s="119" t="str">
        <f ca="1">OFFSET(ORÇAMENTO!O$15,ROW(E97)-ROW(E$15),0)</f>
        <v>-</v>
      </c>
      <c r="F97" s="172" t="str">
        <f ca="1">OFFSET(ORÇAMENTO!R$15,ROW(F97)-ROW(F$15),0)</f>
        <v>(abra o arquivo 'Referência 02-2025.xlsm)</v>
      </c>
      <c r="G97" s="173" t="str">
        <f ca="1">IF($D97&lt;&gt;"Serviço","",OFFSET(ORÇAMENTO!S$15,ROW(G97)-ROW(G$15),0))</f>
        <v>-</v>
      </c>
      <c r="H97" s="124">
        <f ca="1">IF($D97&lt;&gt;"Serviço",0,IF(ACOMPANHAMENTO="BM",ROUND(OFFSET(ORÇAMENTO!AJ$15,ROW(H97)-ROW(H$15),0),15-13*ORÇAMENTO!$AF$7),SUMPRODUCT(($Q$12:$AA$12&lt;&gt;"")*ROUND($Q97:$AA97,15-13*ORÇAMENTO!$AF$7))))</f>
        <v>8.18</v>
      </c>
      <c r="I97" s="561"/>
      <c r="K97" s="174"/>
      <c r="L97" s="175" t="s">
        <v>255</v>
      </c>
      <c r="M97" s="176">
        <f ca="1">IF($D97&lt;&gt;"Serviço","",IF(AUTOEVENTO="manual",$A97,IF(ISERROR(MATCH($A97,$A$15:OFFSET($A97,-1,0),0)),MAX($M$15:OFFSET(M97,-1,0))+1,INDEX($M$15:OFFSET(M97,-1,0),MATCH($A97,$A$15:OFFSET($A97,-1,0),0)))))</f>
        <v>5</v>
      </c>
      <c r="N97" s="177" t="str">
        <f ca="1">IF($D97&lt;&gt;"Serviço","",IF(AUTOEVENTO="Manual",IF($A97=0,"&lt;-- defina o número do agrupador",OFFSET(EVENTOS!$D$14,$A97,0)),OFFSET($F$15,$A97,0)))</f>
        <v>SUPERESTRUTURA</v>
      </c>
      <c r="O97" s="178"/>
      <c r="Q97" s="178"/>
      <c r="R97" s="179"/>
      <c r="S97" s="179"/>
      <c r="T97" s="179"/>
      <c r="U97" s="179"/>
      <c r="V97" s="179"/>
      <c r="W97" s="179"/>
      <c r="X97" s="179"/>
      <c r="Y97" s="179"/>
      <c r="Z97" s="180"/>
      <c r="AB97" s="544">
        <f ca="1">IF(AND($D97="Serviço",AB$12&lt;&gt;0,$H97&gt;0,OR(AUTOEVENTO&lt;&gt;"manual",$M97&lt;&gt;1)),
IF(Import.TipoArredondamento&lt;&gt;"TransfereGOV",
ROUND(OFFSET($P97,0,AB$13),15-13*ORÇAMENTO!$AF$7)/$H97*OFFSET(ORÇAMENTO!$X$15,ROW(AB97)-ROW(AB$15),0),
ROUND(ROUND(OFFSET($P97,0,AB$13),15-13*ORÇAMENTO!$AF$7)*OFFSET(ORÇAMENTO!$W$15,ROW(AB97)-ROW(AB$15),0),15-13*ORÇAMENTO!$AF$11)),0)</f>
        <v>0</v>
      </c>
      <c r="AC97" s="545">
        <f ca="1">IF(AND($D97="Serviço",AC$12&lt;&gt;0,$H97&gt;0,OR(AUTOEVENTO&lt;&gt;"manual",$M97&lt;&gt;1)),
IF(Import.TipoArredondamento&lt;&gt;"TransfereGOV",
ROUND(OFFSET($P97,0,AC$13),15-13*ORÇAMENTO!$AF$7)/$H97*OFFSET(ORÇAMENTO!$X$15,ROW(AC97)-ROW(AC$15),0),
ROUND(ROUND(OFFSET($P97,0,AC$13),15-13*ORÇAMENTO!$AF$7)*OFFSET(ORÇAMENTO!$W$15,ROW(AC97)-ROW(AC$15),0),15-13*ORÇAMENTO!$AF$11)),0)</f>
        <v>0</v>
      </c>
      <c r="AD97" s="545">
        <f ca="1">IF(AND($D97="Serviço",AD$12&lt;&gt;0,$H97&gt;0,OR(AUTOEVENTO&lt;&gt;"manual",$M97&lt;&gt;1)),
IF(Import.TipoArredondamento&lt;&gt;"TransfereGOV",
ROUND(OFFSET($P97,0,AD$13),15-13*ORÇAMENTO!$AF$7)/$H97*OFFSET(ORÇAMENTO!$X$15,ROW(AD97)-ROW(AD$15),0),
ROUND(ROUND(OFFSET($P97,0,AD$13),15-13*ORÇAMENTO!$AF$7)*OFFSET(ORÇAMENTO!$W$15,ROW(AD97)-ROW(AD$15),0),15-13*ORÇAMENTO!$AF$11)),0)</f>
        <v>0</v>
      </c>
      <c r="AE97" s="545">
        <f ca="1">IF(AND($D97="Serviço",AE$12&lt;&gt;0,$H97&gt;0,OR(AUTOEVENTO&lt;&gt;"manual",$M97&lt;&gt;1)),
IF(Import.TipoArredondamento&lt;&gt;"TransfereGOV",
ROUND(OFFSET($P97,0,AE$13),15-13*ORÇAMENTO!$AF$7)/$H97*OFFSET(ORÇAMENTO!$X$15,ROW(AE97)-ROW(AE$15),0),
ROUND(ROUND(OFFSET($P97,0,AE$13),15-13*ORÇAMENTO!$AF$7)*OFFSET(ORÇAMENTO!$W$15,ROW(AE97)-ROW(AE$15),0),15-13*ORÇAMENTO!$AF$11)),0)</f>
        <v>0</v>
      </c>
      <c r="AF97" s="545">
        <f ca="1">IF(AND($D97="Serviço",AF$12&lt;&gt;0,$H97&gt;0,OR(AUTOEVENTO&lt;&gt;"manual",$M97&lt;&gt;1)),
IF(Import.TipoArredondamento&lt;&gt;"TransfereGOV",
ROUND(OFFSET($P97,0,AF$13),15-13*ORÇAMENTO!$AF$7)/$H97*OFFSET(ORÇAMENTO!$X$15,ROW(AF97)-ROW(AF$15),0),
ROUND(ROUND(OFFSET($P97,0,AF$13),15-13*ORÇAMENTO!$AF$7)*OFFSET(ORÇAMENTO!$W$15,ROW(AF97)-ROW(AF$15),0),15-13*ORÇAMENTO!$AF$11)),0)</f>
        <v>0</v>
      </c>
      <c r="AG97" s="545">
        <f ca="1">IF(AND($D97="Serviço",AG$12&lt;&gt;0,$H97&gt;0,OR(AUTOEVENTO&lt;&gt;"manual",$M97&lt;&gt;1)),
IF(Import.TipoArredondamento&lt;&gt;"TransfereGOV",
ROUND(OFFSET($P97,0,AG$13),15-13*ORÇAMENTO!$AF$7)/$H97*OFFSET(ORÇAMENTO!$X$15,ROW(AG97)-ROW(AG$15),0),
ROUND(ROUND(OFFSET($P97,0,AG$13),15-13*ORÇAMENTO!$AF$7)*OFFSET(ORÇAMENTO!$W$15,ROW(AG97)-ROW(AG$15),0),15-13*ORÇAMENTO!$AF$11)),0)</f>
        <v>0</v>
      </c>
      <c r="AH97" s="545">
        <f ca="1">IF(AND($D97="Serviço",AH$12&lt;&gt;0,$H97&gt;0,OR(AUTOEVENTO&lt;&gt;"manual",$M97&lt;&gt;1)),
IF(Import.TipoArredondamento&lt;&gt;"TransfereGOV",
ROUND(OFFSET($P97,0,AH$13),15-13*ORÇAMENTO!$AF$7)/$H97*OFFSET(ORÇAMENTO!$X$15,ROW(AH97)-ROW(AH$15),0),
ROUND(ROUND(OFFSET($P97,0,AH$13),15-13*ORÇAMENTO!$AF$7)*OFFSET(ORÇAMENTO!$W$15,ROW(AH97)-ROW(AH$15),0),15-13*ORÇAMENTO!$AF$11)),0)</f>
        <v>0</v>
      </c>
      <c r="AI97" s="545">
        <f ca="1">IF(AND($D97="Serviço",AI$12&lt;&gt;0,$H97&gt;0,OR(AUTOEVENTO&lt;&gt;"manual",$M97&lt;&gt;1)),
IF(Import.TipoArredondamento&lt;&gt;"TransfereGOV",
ROUND(OFFSET($P97,0,AI$13),15-13*ORÇAMENTO!$AF$7)/$H97*OFFSET(ORÇAMENTO!$X$15,ROW(AI97)-ROW(AI$15),0),
ROUND(ROUND(OFFSET($P97,0,AI$13),15-13*ORÇAMENTO!$AF$7)*OFFSET(ORÇAMENTO!$W$15,ROW(AI97)-ROW(AI$15),0),15-13*ORÇAMENTO!$AF$11)),0)</f>
        <v>0</v>
      </c>
      <c r="AJ97" s="545">
        <f ca="1">IF(AND($D97="Serviço",AJ$12&lt;&gt;0,$H97&gt;0,OR(AUTOEVENTO&lt;&gt;"manual",$M97&lt;&gt;1)),
IF(Import.TipoArredondamento&lt;&gt;"TransfereGOV",
ROUND(OFFSET($P97,0,AJ$13),15-13*ORÇAMENTO!$AF$7)/$H97*OFFSET(ORÇAMENTO!$X$15,ROW(AJ97)-ROW(AJ$15),0),
ROUND(ROUND(OFFSET($P97,0,AJ$13),15-13*ORÇAMENTO!$AF$7)*OFFSET(ORÇAMENTO!$W$15,ROW(AJ97)-ROW(AJ$15),0),15-13*ORÇAMENTO!$AF$11)),0)</f>
        <v>0</v>
      </c>
      <c r="AK97" s="546">
        <f ca="1">IF(AND($D97="Serviço",AK$12&lt;&gt;0,$H97&gt;0,OR(AUTOEVENTO&lt;&gt;"manual",$M97&lt;&gt;1)),
IF(Import.TipoArredondamento&lt;&gt;"TransfereGOV",
ROUND(OFFSET($P97,0,AK$13),15-13*ORÇAMENTO!$AF$7)/$H97*OFFSET(ORÇAMENTO!$X$15,ROW(AK97)-ROW(AK$15),0),
ROUND(ROUND(OFFSET($P97,0,AK$13),15-13*ORÇAMENTO!$AF$7)*OFFSET(ORÇAMENTO!$W$15,ROW(AK97)-ROW(AK$15),0),15-13*ORÇAMENTO!$AF$11)),0)</f>
        <v>0</v>
      </c>
      <c r="AM97" s="181">
        <f ca="1">IF($D97&lt;&gt;"Serviço",0,IF(AND(AUTOEVENTO="Manual",$M97=1),0,IF(OFFSET(CRONOPLE!$F$14,$M97,AM$13)="",10^12,OFFSET(CRONOPLE!$F$14,$M97,AM$13))))</f>
        <v>1000000000000</v>
      </c>
      <c r="AN97" s="181">
        <f ca="1">IF($D97&lt;&gt;"Serviço",0,IF(AND(AUTOEVENTO="Manual",$M97=1),0,IF(OFFSET(CRONOPLE!$F$14,$M97,AN$13)="",10^12,OFFSET(CRONOPLE!$F$14,$M97,AN$13))))</f>
        <v>1000000000000</v>
      </c>
      <c r="AO97" s="181">
        <f ca="1">IF($D97&lt;&gt;"Serviço",0,IF(AND(AUTOEVENTO="Manual",$M97=1),0,IF(OFFSET(CRONOPLE!$F$14,$M97,AO$13)="",10^12,OFFSET(CRONOPLE!$F$14,$M97,AO$13))))</f>
        <v>1000000000000</v>
      </c>
      <c r="AP97" s="181">
        <f ca="1">IF($D97&lt;&gt;"Serviço",0,IF(AND(AUTOEVENTO="Manual",$M97=1),0,IF(OFFSET(CRONOPLE!$F$14,$M97,AP$13)="",10^12,OFFSET(CRONOPLE!$F$14,$M97,AP$13))))</f>
        <v>1000000000000</v>
      </c>
      <c r="AQ97" s="181">
        <f ca="1">IF($D97&lt;&gt;"Serviço",0,IF(AND(AUTOEVENTO="Manual",$M97=1),0,IF(OFFSET(CRONOPLE!$F$14,$M97,AQ$13)="",10^12,OFFSET(CRONOPLE!$F$14,$M97,AQ$13))))</f>
        <v>1000000000000</v>
      </c>
      <c r="AR97" s="181">
        <f ca="1">IF($D97&lt;&gt;"Serviço",0,IF(AND(AUTOEVENTO="Manual",$M97=1),0,IF(OFFSET(CRONOPLE!$F$14,$M97,AR$13)="",10^12,OFFSET(CRONOPLE!$F$14,$M97,AR$13))))</f>
        <v>1000000000000</v>
      </c>
      <c r="AS97" s="181">
        <f ca="1">IF($D97&lt;&gt;"Serviço",0,IF(AND(AUTOEVENTO="Manual",$M97=1),0,IF(OFFSET(CRONOPLE!$F$14,$M97,AS$13)="",10^12,OFFSET(CRONOPLE!$F$14,$M97,AS$13))))</f>
        <v>1000000000000</v>
      </c>
      <c r="AT97" s="181">
        <f ca="1">IF($D97&lt;&gt;"Serviço",0,IF(AND(AUTOEVENTO="Manual",$M97=1),0,IF(OFFSET(CRONOPLE!$F$14,$M97,AT$13)="",10^12,OFFSET(CRONOPLE!$F$14,$M97,AT$13))))</f>
        <v>1000000000000</v>
      </c>
      <c r="AU97" s="181">
        <f ca="1">IF($D97&lt;&gt;"Serviço",0,IF(AND(AUTOEVENTO="Manual",$M97=1),0,IF(OFFSET(CRONOPLE!$F$14,$M97,AU$13)="",10^12,OFFSET(CRONOPLE!$F$14,$M97,AU$13))))</f>
        <v>1000000000000</v>
      </c>
      <c r="AV97" s="181">
        <f ca="1">IF($D97&lt;&gt;"Serviço",0,IF(AND(AUTOEVENTO="Manual",$M97=1),0,IF(OFFSET(CRONOPLE!$F$14,$M97,AV$13)="",10^12,OFFSET(CRONOPLE!$F$14,$M97,AV$13))))</f>
        <v>1000000000000</v>
      </c>
      <c r="AX97" s="182">
        <f ca="1">IF($D97&lt;&gt;"Serviço",0,IF(OR(AND(AUTOEVENTO="Manual",$M97=1),$M97&gt;(ROW(PLE.lastrow)-ROW(PLE.firstrow))),0,IF(OFFSET(PLE!$G$14,$M97,AX$13)="",10^12,OFFSET(PLE!$G$14,$M97,AX$13))))</f>
        <v>1000000000000</v>
      </c>
      <c r="AY97" s="182">
        <f ca="1">IF($D97&lt;&gt;"Serviço",0,IF(OR(AND(AUTOEVENTO="Manual",$M97=1),$M97&gt;(ROW(PLE.lastrow)-ROW(PLE.firstrow))),0,IF(OFFSET(PLE!$G$14,$M97,AY$13)="",10^12,OFFSET(PLE!$G$14,$M97,AY$13))))</f>
        <v>1000000000000</v>
      </c>
      <c r="AZ97" s="182">
        <f ca="1">IF($D97&lt;&gt;"Serviço",0,IF(OR(AND(AUTOEVENTO="Manual",$M97=1),$M97&gt;(ROW(PLE.lastrow)-ROW(PLE.firstrow))),0,IF(OFFSET(PLE!$G$14,$M97,AZ$13)="",10^12,OFFSET(PLE!$G$14,$M97,AZ$13))))</f>
        <v>1000000000000</v>
      </c>
      <c r="BA97" s="182">
        <f ca="1">IF($D97&lt;&gt;"Serviço",0,IF(OR(AND(AUTOEVENTO="Manual",$M97=1),$M97&gt;(ROW(PLE.lastrow)-ROW(PLE.firstrow))),0,IF(OFFSET(PLE!$G$14,$M97,BA$13)="",10^12,OFFSET(PLE!$G$14,$M97,BA$13))))</f>
        <v>1000000000000</v>
      </c>
      <c r="BB97" s="182">
        <f ca="1">IF($D97&lt;&gt;"Serviço",0,IF(OR(AND(AUTOEVENTO="Manual",$M97=1),$M97&gt;(ROW(PLE.lastrow)-ROW(PLE.firstrow))),0,IF(OFFSET(PLE!$G$14,$M97,BB$13)="",10^12,OFFSET(PLE!$G$14,$M97,BB$13))))</f>
        <v>1000000000000</v>
      </c>
      <c r="BC97" s="182">
        <f ca="1">IF($D97&lt;&gt;"Serviço",0,IF(OR(AND(AUTOEVENTO="Manual",$M97=1),$M97&gt;(ROW(PLE.lastrow)-ROW(PLE.firstrow))),0,IF(OFFSET(PLE!$G$14,$M97,BC$13)="",10^12,OFFSET(PLE!$G$14,$M97,BC$13))))</f>
        <v>1000000000000</v>
      </c>
      <c r="BD97" s="182">
        <f ca="1">IF($D97&lt;&gt;"Serviço",0,IF(OR(AND(AUTOEVENTO="Manual",$M97=1),$M97&gt;(ROW(PLE.lastrow)-ROW(PLE.firstrow))),0,IF(OFFSET(PLE!$G$14,$M97,BD$13)="",10^12,OFFSET(PLE!$G$14,$M97,BD$13))))</f>
        <v>1000000000000</v>
      </c>
      <c r="BE97" s="182">
        <f ca="1">IF($D97&lt;&gt;"Serviço",0,IF(OR(AND(AUTOEVENTO="Manual",$M97=1),$M97&gt;(ROW(PLE.lastrow)-ROW(PLE.firstrow))),0,IF(OFFSET(PLE!$G$14,$M97,BE$13)="",10^12,OFFSET(PLE!$G$14,$M97,BE$13))))</f>
        <v>1000000000000</v>
      </c>
      <c r="BF97" s="182">
        <f ca="1">IF($D97&lt;&gt;"Serviço",0,IF(OR(AND(AUTOEVENTO="Manual",$M97=1),$M97&gt;(ROW(PLE.lastrow)-ROW(PLE.firstrow))),0,IF(OFFSET(PLE!$G$14,$M97,BF$13)="",10^12,OFFSET(PLE!$G$14,$M97,BF$13))))</f>
        <v>1000000000000</v>
      </c>
      <c r="BG97" s="182">
        <f ca="1">IF($D97&lt;&gt;"Serviço",0,IF(OR(AND(AUTOEVENTO="Manual",$M97=1),$M97&gt;(ROW(PLE.lastrow)-ROW(PLE.firstrow))),0,IF(OFFSET(PLE!$G$14,$M97,BG$13)="",10^12,OFFSET(PLE!$G$14,$M97,BG$13))))</f>
        <v>1000000000000</v>
      </c>
    </row>
    <row r="98" spans="1:59" ht="38.25" x14ac:dyDescent="0.2">
      <c r="A98" s="7" t="str">
        <f t="shared" ca="1" si="9"/>
        <v>44</v>
      </c>
      <c r="B98" s="7" t="str">
        <f ca="1">OFFSET(ORÇAMENTO!C$15,ROW(B98)-ROW(B$15),0)</f>
        <v>S</v>
      </c>
      <c r="C98" s="7" t="str">
        <f ca="1">OFFSET(ORÇAMENTO!L$15,ROW(C98)-ROW(C$15),0)</f>
        <v/>
      </c>
      <c r="D98" s="118" t="str">
        <f ca="1">OFFSET(ORÇAMENTO!N$15,ROW(D98)-ROW(D$15),0)</f>
        <v>Serviço</v>
      </c>
      <c r="E98" s="119" t="str">
        <f ca="1">OFFSET(ORÇAMENTO!O$15,ROW(E98)-ROW(E$15),0)</f>
        <v>-</v>
      </c>
      <c r="F98" s="172" t="str">
        <f ca="1">OFFSET(ORÇAMENTO!R$15,ROW(F98)-ROW(F$15),0)</f>
        <v>(abra o arquivo 'Referência 02-2025.xlsm)</v>
      </c>
      <c r="G98" s="173" t="str">
        <f ca="1">IF($D98&lt;&gt;"Serviço","",OFFSET(ORÇAMENTO!S$15,ROW(G98)-ROW(G$15),0))</f>
        <v>-</v>
      </c>
      <c r="H98" s="124">
        <f ca="1">IF($D98&lt;&gt;"Serviço",0,IF(ACOMPANHAMENTO="BM",ROUND(OFFSET(ORÇAMENTO!AJ$15,ROW(H98)-ROW(H$15),0),15-13*ORÇAMENTO!$AF$7),SUMPRODUCT(($Q$12:$AA$12&lt;&gt;"")*ROUND($Q98:$AA98,15-13*ORÇAMENTO!$AF$7))))</f>
        <v>13.31</v>
      </c>
      <c r="I98" s="561"/>
      <c r="K98" s="174"/>
      <c r="L98" s="175" t="s">
        <v>255</v>
      </c>
      <c r="M98" s="176">
        <f ca="1">IF($D98&lt;&gt;"Serviço","",IF(AUTOEVENTO="manual",$A98,IF(ISERROR(MATCH($A98,$A$15:OFFSET($A98,-1,0),0)),MAX($M$15:OFFSET(M98,-1,0))+1,INDEX($M$15:OFFSET(M98,-1,0),MATCH($A98,$A$15:OFFSET($A98,-1,0),0)))))</f>
        <v>5</v>
      </c>
      <c r="N98" s="177" t="str">
        <f ca="1">IF($D98&lt;&gt;"Serviço","",IF(AUTOEVENTO="Manual",IF($A98=0,"&lt;-- defina o número do agrupador",OFFSET(EVENTOS!$D$14,$A98,0)),OFFSET($F$15,$A98,0)))</f>
        <v>SUPERESTRUTURA</v>
      </c>
      <c r="O98" s="178"/>
      <c r="Q98" s="178"/>
      <c r="R98" s="179"/>
      <c r="S98" s="179"/>
      <c r="T98" s="179"/>
      <c r="U98" s="179"/>
      <c r="V98" s="179"/>
      <c r="W98" s="179"/>
      <c r="X98" s="179"/>
      <c r="Y98" s="179"/>
      <c r="Z98" s="180"/>
      <c r="AB98" s="544">
        <f ca="1">IF(AND($D98="Serviço",AB$12&lt;&gt;0,$H98&gt;0,OR(AUTOEVENTO&lt;&gt;"manual",$M98&lt;&gt;1)),
IF(Import.TipoArredondamento&lt;&gt;"TransfereGOV",
ROUND(OFFSET($P98,0,AB$13),15-13*ORÇAMENTO!$AF$7)/$H98*OFFSET(ORÇAMENTO!$X$15,ROW(AB98)-ROW(AB$15),0),
ROUND(ROUND(OFFSET($P98,0,AB$13),15-13*ORÇAMENTO!$AF$7)*OFFSET(ORÇAMENTO!$W$15,ROW(AB98)-ROW(AB$15),0),15-13*ORÇAMENTO!$AF$11)),0)</f>
        <v>0</v>
      </c>
      <c r="AC98" s="545">
        <f ca="1">IF(AND($D98="Serviço",AC$12&lt;&gt;0,$H98&gt;0,OR(AUTOEVENTO&lt;&gt;"manual",$M98&lt;&gt;1)),
IF(Import.TipoArredondamento&lt;&gt;"TransfereGOV",
ROUND(OFFSET($P98,0,AC$13),15-13*ORÇAMENTO!$AF$7)/$H98*OFFSET(ORÇAMENTO!$X$15,ROW(AC98)-ROW(AC$15),0),
ROUND(ROUND(OFFSET($P98,0,AC$13),15-13*ORÇAMENTO!$AF$7)*OFFSET(ORÇAMENTO!$W$15,ROW(AC98)-ROW(AC$15),0),15-13*ORÇAMENTO!$AF$11)),0)</f>
        <v>0</v>
      </c>
      <c r="AD98" s="545">
        <f ca="1">IF(AND($D98="Serviço",AD$12&lt;&gt;0,$H98&gt;0,OR(AUTOEVENTO&lt;&gt;"manual",$M98&lt;&gt;1)),
IF(Import.TipoArredondamento&lt;&gt;"TransfereGOV",
ROUND(OFFSET($P98,0,AD$13),15-13*ORÇAMENTO!$AF$7)/$H98*OFFSET(ORÇAMENTO!$X$15,ROW(AD98)-ROW(AD$15),0),
ROUND(ROUND(OFFSET($P98,0,AD$13),15-13*ORÇAMENTO!$AF$7)*OFFSET(ORÇAMENTO!$W$15,ROW(AD98)-ROW(AD$15),0),15-13*ORÇAMENTO!$AF$11)),0)</f>
        <v>0</v>
      </c>
      <c r="AE98" s="545">
        <f ca="1">IF(AND($D98="Serviço",AE$12&lt;&gt;0,$H98&gt;0,OR(AUTOEVENTO&lt;&gt;"manual",$M98&lt;&gt;1)),
IF(Import.TipoArredondamento&lt;&gt;"TransfereGOV",
ROUND(OFFSET($P98,0,AE$13),15-13*ORÇAMENTO!$AF$7)/$H98*OFFSET(ORÇAMENTO!$X$15,ROW(AE98)-ROW(AE$15),0),
ROUND(ROUND(OFFSET($P98,0,AE$13),15-13*ORÇAMENTO!$AF$7)*OFFSET(ORÇAMENTO!$W$15,ROW(AE98)-ROW(AE$15),0),15-13*ORÇAMENTO!$AF$11)),0)</f>
        <v>0</v>
      </c>
      <c r="AF98" s="545">
        <f ca="1">IF(AND($D98="Serviço",AF$12&lt;&gt;0,$H98&gt;0,OR(AUTOEVENTO&lt;&gt;"manual",$M98&lt;&gt;1)),
IF(Import.TipoArredondamento&lt;&gt;"TransfereGOV",
ROUND(OFFSET($P98,0,AF$13),15-13*ORÇAMENTO!$AF$7)/$H98*OFFSET(ORÇAMENTO!$X$15,ROW(AF98)-ROW(AF$15),0),
ROUND(ROUND(OFFSET($P98,0,AF$13),15-13*ORÇAMENTO!$AF$7)*OFFSET(ORÇAMENTO!$W$15,ROW(AF98)-ROW(AF$15),0),15-13*ORÇAMENTO!$AF$11)),0)</f>
        <v>0</v>
      </c>
      <c r="AG98" s="545">
        <f ca="1">IF(AND($D98="Serviço",AG$12&lt;&gt;0,$H98&gt;0,OR(AUTOEVENTO&lt;&gt;"manual",$M98&lt;&gt;1)),
IF(Import.TipoArredondamento&lt;&gt;"TransfereGOV",
ROUND(OFFSET($P98,0,AG$13),15-13*ORÇAMENTO!$AF$7)/$H98*OFFSET(ORÇAMENTO!$X$15,ROW(AG98)-ROW(AG$15),0),
ROUND(ROUND(OFFSET($P98,0,AG$13),15-13*ORÇAMENTO!$AF$7)*OFFSET(ORÇAMENTO!$W$15,ROW(AG98)-ROW(AG$15),0),15-13*ORÇAMENTO!$AF$11)),0)</f>
        <v>0</v>
      </c>
      <c r="AH98" s="545">
        <f ca="1">IF(AND($D98="Serviço",AH$12&lt;&gt;0,$H98&gt;0,OR(AUTOEVENTO&lt;&gt;"manual",$M98&lt;&gt;1)),
IF(Import.TipoArredondamento&lt;&gt;"TransfereGOV",
ROUND(OFFSET($P98,0,AH$13),15-13*ORÇAMENTO!$AF$7)/$H98*OFFSET(ORÇAMENTO!$X$15,ROW(AH98)-ROW(AH$15),0),
ROUND(ROUND(OFFSET($P98,0,AH$13),15-13*ORÇAMENTO!$AF$7)*OFFSET(ORÇAMENTO!$W$15,ROW(AH98)-ROW(AH$15),0),15-13*ORÇAMENTO!$AF$11)),0)</f>
        <v>0</v>
      </c>
      <c r="AI98" s="545">
        <f ca="1">IF(AND($D98="Serviço",AI$12&lt;&gt;0,$H98&gt;0,OR(AUTOEVENTO&lt;&gt;"manual",$M98&lt;&gt;1)),
IF(Import.TipoArredondamento&lt;&gt;"TransfereGOV",
ROUND(OFFSET($P98,0,AI$13),15-13*ORÇAMENTO!$AF$7)/$H98*OFFSET(ORÇAMENTO!$X$15,ROW(AI98)-ROW(AI$15),0),
ROUND(ROUND(OFFSET($P98,0,AI$13),15-13*ORÇAMENTO!$AF$7)*OFFSET(ORÇAMENTO!$W$15,ROW(AI98)-ROW(AI$15),0),15-13*ORÇAMENTO!$AF$11)),0)</f>
        <v>0</v>
      </c>
      <c r="AJ98" s="545">
        <f ca="1">IF(AND($D98="Serviço",AJ$12&lt;&gt;0,$H98&gt;0,OR(AUTOEVENTO&lt;&gt;"manual",$M98&lt;&gt;1)),
IF(Import.TipoArredondamento&lt;&gt;"TransfereGOV",
ROUND(OFFSET($P98,0,AJ$13),15-13*ORÇAMENTO!$AF$7)/$H98*OFFSET(ORÇAMENTO!$X$15,ROW(AJ98)-ROW(AJ$15),0),
ROUND(ROUND(OFFSET($P98,0,AJ$13),15-13*ORÇAMENTO!$AF$7)*OFFSET(ORÇAMENTO!$W$15,ROW(AJ98)-ROW(AJ$15),0),15-13*ORÇAMENTO!$AF$11)),0)</f>
        <v>0</v>
      </c>
      <c r="AK98" s="546">
        <f ca="1">IF(AND($D98="Serviço",AK$12&lt;&gt;0,$H98&gt;0,OR(AUTOEVENTO&lt;&gt;"manual",$M98&lt;&gt;1)),
IF(Import.TipoArredondamento&lt;&gt;"TransfereGOV",
ROUND(OFFSET($P98,0,AK$13),15-13*ORÇAMENTO!$AF$7)/$H98*OFFSET(ORÇAMENTO!$X$15,ROW(AK98)-ROW(AK$15),0),
ROUND(ROUND(OFFSET($P98,0,AK$13),15-13*ORÇAMENTO!$AF$7)*OFFSET(ORÇAMENTO!$W$15,ROW(AK98)-ROW(AK$15),0),15-13*ORÇAMENTO!$AF$11)),0)</f>
        <v>0</v>
      </c>
      <c r="AM98" s="181">
        <f ca="1">IF($D98&lt;&gt;"Serviço",0,IF(AND(AUTOEVENTO="Manual",$M98=1),0,IF(OFFSET(CRONOPLE!$F$14,$M98,AM$13)="",10^12,OFFSET(CRONOPLE!$F$14,$M98,AM$13))))</f>
        <v>1000000000000</v>
      </c>
      <c r="AN98" s="181">
        <f ca="1">IF($D98&lt;&gt;"Serviço",0,IF(AND(AUTOEVENTO="Manual",$M98=1),0,IF(OFFSET(CRONOPLE!$F$14,$M98,AN$13)="",10^12,OFFSET(CRONOPLE!$F$14,$M98,AN$13))))</f>
        <v>1000000000000</v>
      </c>
      <c r="AO98" s="181">
        <f ca="1">IF($D98&lt;&gt;"Serviço",0,IF(AND(AUTOEVENTO="Manual",$M98=1),0,IF(OFFSET(CRONOPLE!$F$14,$M98,AO$13)="",10^12,OFFSET(CRONOPLE!$F$14,$M98,AO$13))))</f>
        <v>1000000000000</v>
      </c>
      <c r="AP98" s="181">
        <f ca="1">IF($D98&lt;&gt;"Serviço",0,IF(AND(AUTOEVENTO="Manual",$M98=1),0,IF(OFFSET(CRONOPLE!$F$14,$M98,AP$13)="",10^12,OFFSET(CRONOPLE!$F$14,$M98,AP$13))))</f>
        <v>1000000000000</v>
      </c>
      <c r="AQ98" s="181">
        <f ca="1">IF($D98&lt;&gt;"Serviço",0,IF(AND(AUTOEVENTO="Manual",$M98=1),0,IF(OFFSET(CRONOPLE!$F$14,$M98,AQ$13)="",10^12,OFFSET(CRONOPLE!$F$14,$M98,AQ$13))))</f>
        <v>1000000000000</v>
      </c>
      <c r="AR98" s="181">
        <f ca="1">IF($D98&lt;&gt;"Serviço",0,IF(AND(AUTOEVENTO="Manual",$M98=1),0,IF(OFFSET(CRONOPLE!$F$14,$M98,AR$13)="",10^12,OFFSET(CRONOPLE!$F$14,$M98,AR$13))))</f>
        <v>1000000000000</v>
      </c>
      <c r="AS98" s="181">
        <f ca="1">IF($D98&lt;&gt;"Serviço",0,IF(AND(AUTOEVENTO="Manual",$M98=1),0,IF(OFFSET(CRONOPLE!$F$14,$M98,AS$13)="",10^12,OFFSET(CRONOPLE!$F$14,$M98,AS$13))))</f>
        <v>1000000000000</v>
      </c>
      <c r="AT98" s="181">
        <f ca="1">IF($D98&lt;&gt;"Serviço",0,IF(AND(AUTOEVENTO="Manual",$M98=1),0,IF(OFFSET(CRONOPLE!$F$14,$M98,AT$13)="",10^12,OFFSET(CRONOPLE!$F$14,$M98,AT$13))))</f>
        <v>1000000000000</v>
      </c>
      <c r="AU98" s="181">
        <f ca="1">IF($D98&lt;&gt;"Serviço",0,IF(AND(AUTOEVENTO="Manual",$M98=1),0,IF(OFFSET(CRONOPLE!$F$14,$M98,AU$13)="",10^12,OFFSET(CRONOPLE!$F$14,$M98,AU$13))))</f>
        <v>1000000000000</v>
      </c>
      <c r="AV98" s="181">
        <f ca="1">IF($D98&lt;&gt;"Serviço",0,IF(AND(AUTOEVENTO="Manual",$M98=1),0,IF(OFFSET(CRONOPLE!$F$14,$M98,AV$13)="",10^12,OFFSET(CRONOPLE!$F$14,$M98,AV$13))))</f>
        <v>1000000000000</v>
      </c>
      <c r="AX98" s="182">
        <f ca="1">IF($D98&lt;&gt;"Serviço",0,IF(OR(AND(AUTOEVENTO="Manual",$M98=1),$M98&gt;(ROW(PLE.lastrow)-ROW(PLE.firstrow))),0,IF(OFFSET(PLE!$G$14,$M98,AX$13)="",10^12,OFFSET(PLE!$G$14,$M98,AX$13))))</f>
        <v>1000000000000</v>
      </c>
      <c r="AY98" s="182">
        <f ca="1">IF($D98&lt;&gt;"Serviço",0,IF(OR(AND(AUTOEVENTO="Manual",$M98=1),$M98&gt;(ROW(PLE.lastrow)-ROW(PLE.firstrow))),0,IF(OFFSET(PLE!$G$14,$M98,AY$13)="",10^12,OFFSET(PLE!$G$14,$M98,AY$13))))</f>
        <v>1000000000000</v>
      </c>
      <c r="AZ98" s="182">
        <f ca="1">IF($D98&lt;&gt;"Serviço",0,IF(OR(AND(AUTOEVENTO="Manual",$M98=1),$M98&gt;(ROW(PLE.lastrow)-ROW(PLE.firstrow))),0,IF(OFFSET(PLE!$G$14,$M98,AZ$13)="",10^12,OFFSET(PLE!$G$14,$M98,AZ$13))))</f>
        <v>1000000000000</v>
      </c>
      <c r="BA98" s="182">
        <f ca="1">IF($D98&lt;&gt;"Serviço",0,IF(OR(AND(AUTOEVENTO="Manual",$M98=1),$M98&gt;(ROW(PLE.lastrow)-ROW(PLE.firstrow))),0,IF(OFFSET(PLE!$G$14,$M98,BA$13)="",10^12,OFFSET(PLE!$G$14,$M98,BA$13))))</f>
        <v>1000000000000</v>
      </c>
      <c r="BB98" s="182">
        <f ca="1">IF($D98&lt;&gt;"Serviço",0,IF(OR(AND(AUTOEVENTO="Manual",$M98=1),$M98&gt;(ROW(PLE.lastrow)-ROW(PLE.firstrow))),0,IF(OFFSET(PLE!$G$14,$M98,BB$13)="",10^12,OFFSET(PLE!$G$14,$M98,BB$13))))</f>
        <v>1000000000000</v>
      </c>
      <c r="BC98" s="182">
        <f ca="1">IF($D98&lt;&gt;"Serviço",0,IF(OR(AND(AUTOEVENTO="Manual",$M98=1),$M98&gt;(ROW(PLE.lastrow)-ROW(PLE.firstrow))),0,IF(OFFSET(PLE!$G$14,$M98,BC$13)="",10^12,OFFSET(PLE!$G$14,$M98,BC$13))))</f>
        <v>1000000000000</v>
      </c>
      <c r="BD98" s="182">
        <f ca="1">IF($D98&lt;&gt;"Serviço",0,IF(OR(AND(AUTOEVENTO="Manual",$M98=1),$M98&gt;(ROW(PLE.lastrow)-ROW(PLE.firstrow))),0,IF(OFFSET(PLE!$G$14,$M98,BD$13)="",10^12,OFFSET(PLE!$G$14,$M98,BD$13))))</f>
        <v>1000000000000</v>
      </c>
      <c r="BE98" s="182">
        <f ca="1">IF($D98&lt;&gt;"Serviço",0,IF(OR(AND(AUTOEVENTO="Manual",$M98=1),$M98&gt;(ROW(PLE.lastrow)-ROW(PLE.firstrow))),0,IF(OFFSET(PLE!$G$14,$M98,BE$13)="",10^12,OFFSET(PLE!$G$14,$M98,BE$13))))</f>
        <v>1000000000000</v>
      </c>
      <c r="BF98" s="182">
        <f ca="1">IF($D98&lt;&gt;"Serviço",0,IF(OR(AND(AUTOEVENTO="Manual",$M98=1),$M98&gt;(ROW(PLE.lastrow)-ROW(PLE.firstrow))),0,IF(OFFSET(PLE!$G$14,$M98,BF$13)="",10^12,OFFSET(PLE!$G$14,$M98,BF$13))))</f>
        <v>1000000000000</v>
      </c>
      <c r="BG98" s="182">
        <f ca="1">IF($D98&lt;&gt;"Serviço",0,IF(OR(AND(AUTOEVENTO="Manual",$M98=1),$M98&gt;(ROW(PLE.lastrow)-ROW(PLE.firstrow))),0,IF(OFFSET(PLE!$G$14,$M98,BG$13)="",10^12,OFFSET(PLE!$G$14,$M98,BG$13))))</f>
        <v>1000000000000</v>
      </c>
    </row>
    <row r="99" spans="1:59" ht="38.25" x14ac:dyDescent="0.2">
      <c r="A99" s="7" t="str">
        <f t="shared" ca="1" si="9"/>
        <v>44</v>
      </c>
      <c r="B99" s="7" t="str">
        <f ca="1">OFFSET(ORÇAMENTO!C$15,ROW(B99)-ROW(B$15),0)</f>
        <v>S</v>
      </c>
      <c r="C99" s="7" t="str">
        <f ca="1">OFFSET(ORÇAMENTO!L$15,ROW(C99)-ROW(C$15),0)</f>
        <v/>
      </c>
      <c r="D99" s="118" t="str">
        <f ca="1">OFFSET(ORÇAMENTO!N$15,ROW(D99)-ROW(D$15),0)</f>
        <v>Serviço</v>
      </c>
      <c r="E99" s="119" t="str">
        <f ca="1">OFFSET(ORÇAMENTO!O$15,ROW(E99)-ROW(E$15),0)</f>
        <v>-</v>
      </c>
      <c r="F99" s="172" t="str">
        <f ca="1">OFFSET(ORÇAMENTO!R$15,ROW(F99)-ROW(F$15),0)</f>
        <v>(abra o arquivo 'Referência 02-2025.xlsm)</v>
      </c>
      <c r="G99" s="173" t="str">
        <f ca="1">IF($D99&lt;&gt;"Serviço","",OFFSET(ORÇAMENTO!S$15,ROW(G99)-ROW(G$15),0))</f>
        <v>-</v>
      </c>
      <c r="H99" s="124">
        <f ca="1">IF($D99&lt;&gt;"Serviço",0,IF(ACOMPANHAMENTO="BM",ROUND(OFFSET(ORÇAMENTO!AJ$15,ROW(H99)-ROW(H$15),0),15-13*ORÇAMENTO!$AF$7),SUMPRODUCT(($Q$12:$AA$12&lt;&gt;"")*ROUND($Q99:$AA99,15-13*ORÇAMENTO!$AF$7))))</f>
        <v>1.69</v>
      </c>
      <c r="I99" s="561"/>
      <c r="K99" s="174"/>
      <c r="L99" s="175" t="s">
        <v>255</v>
      </c>
      <c r="M99" s="176">
        <f ca="1">IF($D99&lt;&gt;"Serviço","",IF(AUTOEVENTO="manual",$A99,IF(ISERROR(MATCH($A99,$A$15:OFFSET($A99,-1,0),0)),MAX($M$15:OFFSET(M99,-1,0))+1,INDEX($M$15:OFFSET(M99,-1,0),MATCH($A99,$A$15:OFFSET($A99,-1,0),0)))))</f>
        <v>5</v>
      </c>
      <c r="N99" s="177" t="str">
        <f ca="1">IF($D99&lt;&gt;"Serviço","",IF(AUTOEVENTO="Manual",IF($A99=0,"&lt;-- defina o número do agrupador",OFFSET(EVENTOS!$D$14,$A99,0)),OFFSET($F$15,$A99,0)))</f>
        <v>SUPERESTRUTURA</v>
      </c>
      <c r="O99" s="178"/>
      <c r="Q99" s="178"/>
      <c r="R99" s="179"/>
      <c r="S99" s="179"/>
      <c r="T99" s="179"/>
      <c r="U99" s="179"/>
      <c r="V99" s="179"/>
      <c r="W99" s="179"/>
      <c r="X99" s="179"/>
      <c r="Y99" s="179"/>
      <c r="Z99" s="180"/>
      <c r="AB99" s="544">
        <f ca="1">IF(AND($D99="Serviço",AB$12&lt;&gt;0,$H99&gt;0,OR(AUTOEVENTO&lt;&gt;"manual",$M99&lt;&gt;1)),
IF(Import.TipoArredondamento&lt;&gt;"TransfereGOV",
ROUND(OFFSET($P99,0,AB$13),15-13*ORÇAMENTO!$AF$7)/$H99*OFFSET(ORÇAMENTO!$X$15,ROW(AB99)-ROW(AB$15),0),
ROUND(ROUND(OFFSET($P99,0,AB$13),15-13*ORÇAMENTO!$AF$7)*OFFSET(ORÇAMENTO!$W$15,ROW(AB99)-ROW(AB$15),0),15-13*ORÇAMENTO!$AF$11)),0)</f>
        <v>0</v>
      </c>
      <c r="AC99" s="545">
        <f ca="1">IF(AND($D99="Serviço",AC$12&lt;&gt;0,$H99&gt;0,OR(AUTOEVENTO&lt;&gt;"manual",$M99&lt;&gt;1)),
IF(Import.TipoArredondamento&lt;&gt;"TransfereGOV",
ROUND(OFFSET($P99,0,AC$13),15-13*ORÇAMENTO!$AF$7)/$H99*OFFSET(ORÇAMENTO!$X$15,ROW(AC99)-ROW(AC$15),0),
ROUND(ROUND(OFFSET($P99,0,AC$13),15-13*ORÇAMENTO!$AF$7)*OFFSET(ORÇAMENTO!$W$15,ROW(AC99)-ROW(AC$15),0),15-13*ORÇAMENTO!$AF$11)),0)</f>
        <v>0</v>
      </c>
      <c r="AD99" s="545">
        <f ca="1">IF(AND($D99="Serviço",AD$12&lt;&gt;0,$H99&gt;0,OR(AUTOEVENTO&lt;&gt;"manual",$M99&lt;&gt;1)),
IF(Import.TipoArredondamento&lt;&gt;"TransfereGOV",
ROUND(OFFSET($P99,0,AD$13),15-13*ORÇAMENTO!$AF$7)/$H99*OFFSET(ORÇAMENTO!$X$15,ROW(AD99)-ROW(AD$15),0),
ROUND(ROUND(OFFSET($P99,0,AD$13),15-13*ORÇAMENTO!$AF$7)*OFFSET(ORÇAMENTO!$W$15,ROW(AD99)-ROW(AD$15),0),15-13*ORÇAMENTO!$AF$11)),0)</f>
        <v>0</v>
      </c>
      <c r="AE99" s="545">
        <f ca="1">IF(AND($D99="Serviço",AE$12&lt;&gt;0,$H99&gt;0,OR(AUTOEVENTO&lt;&gt;"manual",$M99&lt;&gt;1)),
IF(Import.TipoArredondamento&lt;&gt;"TransfereGOV",
ROUND(OFFSET($P99,0,AE$13),15-13*ORÇAMENTO!$AF$7)/$H99*OFFSET(ORÇAMENTO!$X$15,ROW(AE99)-ROW(AE$15),0),
ROUND(ROUND(OFFSET($P99,0,AE$13),15-13*ORÇAMENTO!$AF$7)*OFFSET(ORÇAMENTO!$W$15,ROW(AE99)-ROW(AE$15),0),15-13*ORÇAMENTO!$AF$11)),0)</f>
        <v>0</v>
      </c>
      <c r="AF99" s="545">
        <f ca="1">IF(AND($D99="Serviço",AF$12&lt;&gt;0,$H99&gt;0,OR(AUTOEVENTO&lt;&gt;"manual",$M99&lt;&gt;1)),
IF(Import.TipoArredondamento&lt;&gt;"TransfereGOV",
ROUND(OFFSET($P99,0,AF$13),15-13*ORÇAMENTO!$AF$7)/$H99*OFFSET(ORÇAMENTO!$X$15,ROW(AF99)-ROW(AF$15),0),
ROUND(ROUND(OFFSET($P99,0,AF$13),15-13*ORÇAMENTO!$AF$7)*OFFSET(ORÇAMENTO!$W$15,ROW(AF99)-ROW(AF$15),0),15-13*ORÇAMENTO!$AF$11)),0)</f>
        <v>0</v>
      </c>
      <c r="AG99" s="545">
        <f ca="1">IF(AND($D99="Serviço",AG$12&lt;&gt;0,$H99&gt;0,OR(AUTOEVENTO&lt;&gt;"manual",$M99&lt;&gt;1)),
IF(Import.TipoArredondamento&lt;&gt;"TransfereGOV",
ROUND(OFFSET($P99,0,AG$13),15-13*ORÇAMENTO!$AF$7)/$H99*OFFSET(ORÇAMENTO!$X$15,ROW(AG99)-ROW(AG$15),0),
ROUND(ROUND(OFFSET($P99,0,AG$13),15-13*ORÇAMENTO!$AF$7)*OFFSET(ORÇAMENTO!$W$15,ROW(AG99)-ROW(AG$15),0),15-13*ORÇAMENTO!$AF$11)),0)</f>
        <v>0</v>
      </c>
      <c r="AH99" s="545">
        <f ca="1">IF(AND($D99="Serviço",AH$12&lt;&gt;0,$H99&gt;0,OR(AUTOEVENTO&lt;&gt;"manual",$M99&lt;&gt;1)),
IF(Import.TipoArredondamento&lt;&gt;"TransfereGOV",
ROUND(OFFSET($P99,0,AH$13),15-13*ORÇAMENTO!$AF$7)/$H99*OFFSET(ORÇAMENTO!$X$15,ROW(AH99)-ROW(AH$15),0),
ROUND(ROUND(OFFSET($P99,0,AH$13),15-13*ORÇAMENTO!$AF$7)*OFFSET(ORÇAMENTO!$W$15,ROW(AH99)-ROW(AH$15),0),15-13*ORÇAMENTO!$AF$11)),0)</f>
        <v>0</v>
      </c>
      <c r="AI99" s="545">
        <f ca="1">IF(AND($D99="Serviço",AI$12&lt;&gt;0,$H99&gt;0,OR(AUTOEVENTO&lt;&gt;"manual",$M99&lt;&gt;1)),
IF(Import.TipoArredondamento&lt;&gt;"TransfereGOV",
ROUND(OFFSET($P99,0,AI$13),15-13*ORÇAMENTO!$AF$7)/$H99*OFFSET(ORÇAMENTO!$X$15,ROW(AI99)-ROW(AI$15),0),
ROUND(ROUND(OFFSET($P99,0,AI$13),15-13*ORÇAMENTO!$AF$7)*OFFSET(ORÇAMENTO!$W$15,ROW(AI99)-ROW(AI$15),0),15-13*ORÇAMENTO!$AF$11)),0)</f>
        <v>0</v>
      </c>
      <c r="AJ99" s="545">
        <f ca="1">IF(AND($D99="Serviço",AJ$12&lt;&gt;0,$H99&gt;0,OR(AUTOEVENTO&lt;&gt;"manual",$M99&lt;&gt;1)),
IF(Import.TipoArredondamento&lt;&gt;"TransfereGOV",
ROUND(OFFSET($P99,0,AJ$13),15-13*ORÇAMENTO!$AF$7)/$H99*OFFSET(ORÇAMENTO!$X$15,ROW(AJ99)-ROW(AJ$15),0),
ROUND(ROUND(OFFSET($P99,0,AJ$13),15-13*ORÇAMENTO!$AF$7)*OFFSET(ORÇAMENTO!$W$15,ROW(AJ99)-ROW(AJ$15),0),15-13*ORÇAMENTO!$AF$11)),0)</f>
        <v>0</v>
      </c>
      <c r="AK99" s="546">
        <f ca="1">IF(AND($D99="Serviço",AK$12&lt;&gt;0,$H99&gt;0,OR(AUTOEVENTO&lt;&gt;"manual",$M99&lt;&gt;1)),
IF(Import.TipoArredondamento&lt;&gt;"TransfereGOV",
ROUND(OFFSET($P99,0,AK$13),15-13*ORÇAMENTO!$AF$7)/$H99*OFFSET(ORÇAMENTO!$X$15,ROW(AK99)-ROW(AK$15),0),
ROUND(ROUND(OFFSET($P99,0,AK$13),15-13*ORÇAMENTO!$AF$7)*OFFSET(ORÇAMENTO!$W$15,ROW(AK99)-ROW(AK$15),0),15-13*ORÇAMENTO!$AF$11)),0)</f>
        <v>0</v>
      </c>
      <c r="AM99" s="181">
        <f ca="1">IF($D99&lt;&gt;"Serviço",0,IF(AND(AUTOEVENTO="Manual",$M99=1),0,IF(OFFSET(CRONOPLE!$F$14,$M99,AM$13)="",10^12,OFFSET(CRONOPLE!$F$14,$M99,AM$13))))</f>
        <v>1000000000000</v>
      </c>
      <c r="AN99" s="181">
        <f ca="1">IF($D99&lt;&gt;"Serviço",0,IF(AND(AUTOEVENTO="Manual",$M99=1),0,IF(OFFSET(CRONOPLE!$F$14,$M99,AN$13)="",10^12,OFFSET(CRONOPLE!$F$14,$M99,AN$13))))</f>
        <v>1000000000000</v>
      </c>
      <c r="AO99" s="181">
        <f ca="1">IF($D99&lt;&gt;"Serviço",0,IF(AND(AUTOEVENTO="Manual",$M99=1),0,IF(OFFSET(CRONOPLE!$F$14,$M99,AO$13)="",10^12,OFFSET(CRONOPLE!$F$14,$M99,AO$13))))</f>
        <v>1000000000000</v>
      </c>
      <c r="AP99" s="181">
        <f ca="1">IF($D99&lt;&gt;"Serviço",0,IF(AND(AUTOEVENTO="Manual",$M99=1),0,IF(OFFSET(CRONOPLE!$F$14,$M99,AP$13)="",10^12,OFFSET(CRONOPLE!$F$14,$M99,AP$13))))</f>
        <v>1000000000000</v>
      </c>
      <c r="AQ99" s="181">
        <f ca="1">IF($D99&lt;&gt;"Serviço",0,IF(AND(AUTOEVENTO="Manual",$M99=1),0,IF(OFFSET(CRONOPLE!$F$14,$M99,AQ$13)="",10^12,OFFSET(CRONOPLE!$F$14,$M99,AQ$13))))</f>
        <v>1000000000000</v>
      </c>
      <c r="AR99" s="181">
        <f ca="1">IF($D99&lt;&gt;"Serviço",0,IF(AND(AUTOEVENTO="Manual",$M99=1),0,IF(OFFSET(CRONOPLE!$F$14,$M99,AR$13)="",10^12,OFFSET(CRONOPLE!$F$14,$M99,AR$13))))</f>
        <v>1000000000000</v>
      </c>
      <c r="AS99" s="181">
        <f ca="1">IF($D99&lt;&gt;"Serviço",0,IF(AND(AUTOEVENTO="Manual",$M99=1),0,IF(OFFSET(CRONOPLE!$F$14,$M99,AS$13)="",10^12,OFFSET(CRONOPLE!$F$14,$M99,AS$13))))</f>
        <v>1000000000000</v>
      </c>
      <c r="AT99" s="181">
        <f ca="1">IF($D99&lt;&gt;"Serviço",0,IF(AND(AUTOEVENTO="Manual",$M99=1),0,IF(OFFSET(CRONOPLE!$F$14,$M99,AT$13)="",10^12,OFFSET(CRONOPLE!$F$14,$M99,AT$13))))</f>
        <v>1000000000000</v>
      </c>
      <c r="AU99" s="181">
        <f ca="1">IF($D99&lt;&gt;"Serviço",0,IF(AND(AUTOEVENTO="Manual",$M99=1),0,IF(OFFSET(CRONOPLE!$F$14,$M99,AU$13)="",10^12,OFFSET(CRONOPLE!$F$14,$M99,AU$13))))</f>
        <v>1000000000000</v>
      </c>
      <c r="AV99" s="181">
        <f ca="1">IF($D99&lt;&gt;"Serviço",0,IF(AND(AUTOEVENTO="Manual",$M99=1),0,IF(OFFSET(CRONOPLE!$F$14,$M99,AV$13)="",10^12,OFFSET(CRONOPLE!$F$14,$M99,AV$13))))</f>
        <v>1000000000000</v>
      </c>
      <c r="AX99" s="182">
        <f ca="1">IF($D99&lt;&gt;"Serviço",0,IF(OR(AND(AUTOEVENTO="Manual",$M99=1),$M99&gt;(ROW(PLE.lastrow)-ROW(PLE.firstrow))),0,IF(OFFSET(PLE!$G$14,$M99,AX$13)="",10^12,OFFSET(PLE!$G$14,$M99,AX$13))))</f>
        <v>1000000000000</v>
      </c>
      <c r="AY99" s="182">
        <f ca="1">IF($D99&lt;&gt;"Serviço",0,IF(OR(AND(AUTOEVENTO="Manual",$M99=1),$M99&gt;(ROW(PLE.lastrow)-ROW(PLE.firstrow))),0,IF(OFFSET(PLE!$G$14,$M99,AY$13)="",10^12,OFFSET(PLE!$G$14,$M99,AY$13))))</f>
        <v>1000000000000</v>
      </c>
      <c r="AZ99" s="182">
        <f ca="1">IF($D99&lt;&gt;"Serviço",0,IF(OR(AND(AUTOEVENTO="Manual",$M99=1),$M99&gt;(ROW(PLE.lastrow)-ROW(PLE.firstrow))),0,IF(OFFSET(PLE!$G$14,$M99,AZ$13)="",10^12,OFFSET(PLE!$G$14,$M99,AZ$13))))</f>
        <v>1000000000000</v>
      </c>
      <c r="BA99" s="182">
        <f ca="1">IF($D99&lt;&gt;"Serviço",0,IF(OR(AND(AUTOEVENTO="Manual",$M99=1),$M99&gt;(ROW(PLE.lastrow)-ROW(PLE.firstrow))),0,IF(OFFSET(PLE!$G$14,$M99,BA$13)="",10^12,OFFSET(PLE!$G$14,$M99,BA$13))))</f>
        <v>1000000000000</v>
      </c>
      <c r="BB99" s="182">
        <f ca="1">IF($D99&lt;&gt;"Serviço",0,IF(OR(AND(AUTOEVENTO="Manual",$M99=1),$M99&gt;(ROW(PLE.lastrow)-ROW(PLE.firstrow))),0,IF(OFFSET(PLE!$G$14,$M99,BB$13)="",10^12,OFFSET(PLE!$G$14,$M99,BB$13))))</f>
        <v>1000000000000</v>
      </c>
      <c r="BC99" s="182">
        <f ca="1">IF($D99&lt;&gt;"Serviço",0,IF(OR(AND(AUTOEVENTO="Manual",$M99=1),$M99&gt;(ROW(PLE.lastrow)-ROW(PLE.firstrow))),0,IF(OFFSET(PLE!$G$14,$M99,BC$13)="",10^12,OFFSET(PLE!$G$14,$M99,BC$13))))</f>
        <v>1000000000000</v>
      </c>
      <c r="BD99" s="182">
        <f ca="1">IF($D99&lt;&gt;"Serviço",0,IF(OR(AND(AUTOEVENTO="Manual",$M99=1),$M99&gt;(ROW(PLE.lastrow)-ROW(PLE.firstrow))),0,IF(OFFSET(PLE!$G$14,$M99,BD$13)="",10^12,OFFSET(PLE!$G$14,$M99,BD$13))))</f>
        <v>1000000000000</v>
      </c>
      <c r="BE99" s="182">
        <f ca="1">IF($D99&lt;&gt;"Serviço",0,IF(OR(AND(AUTOEVENTO="Manual",$M99=1),$M99&gt;(ROW(PLE.lastrow)-ROW(PLE.firstrow))),0,IF(OFFSET(PLE!$G$14,$M99,BE$13)="",10^12,OFFSET(PLE!$G$14,$M99,BE$13))))</f>
        <v>1000000000000</v>
      </c>
      <c r="BF99" s="182">
        <f ca="1">IF($D99&lt;&gt;"Serviço",0,IF(OR(AND(AUTOEVENTO="Manual",$M99=1),$M99&gt;(ROW(PLE.lastrow)-ROW(PLE.firstrow))),0,IF(OFFSET(PLE!$G$14,$M99,BF$13)="",10^12,OFFSET(PLE!$G$14,$M99,BF$13))))</f>
        <v>1000000000000</v>
      </c>
      <c r="BG99" s="182">
        <f ca="1">IF($D99&lt;&gt;"Serviço",0,IF(OR(AND(AUTOEVENTO="Manual",$M99=1),$M99&gt;(ROW(PLE.lastrow)-ROW(PLE.firstrow))),0,IF(OFFSET(PLE!$G$14,$M99,BG$13)="",10^12,OFFSET(PLE!$G$14,$M99,BG$13))))</f>
        <v>1000000000000</v>
      </c>
    </row>
    <row r="100" spans="1:59" ht="12.75" x14ac:dyDescent="0.2">
      <c r="A100" s="7" t="str">
        <f t="shared" ca="1" si="9"/>
        <v>44</v>
      </c>
      <c r="B100" s="7">
        <f ca="1">OFFSET(ORÇAMENTO!C$15,ROW(B100)-ROW(B$15),0)</f>
        <v>3</v>
      </c>
      <c r="C100" s="7" t="str">
        <f ca="1">OFFSET(ORÇAMENTO!L$15,ROW(C100)-ROW(C$15),0)</f>
        <v>F</v>
      </c>
      <c r="D100" s="118" t="str">
        <f ca="1">OFFSET(ORÇAMENTO!N$15,ROW(D100)-ROW(D$15),0)</f>
        <v>Nível 3</v>
      </c>
      <c r="E100" s="119" t="str">
        <f ca="1">OFFSET(ORÇAMENTO!O$15,ROW(E100)-ROW(E$15),0)</f>
        <v>1.4.6.</v>
      </c>
      <c r="F100" s="172" t="str">
        <f ca="1">OFFSET(ORÇAMENTO!R$15,ROW(F100)-ROW(F$15),0)</f>
        <v>ESTRUTURA METÁLICA</v>
      </c>
      <c r="G100" s="173" t="str">
        <f ca="1">IF($D100&lt;&gt;"Serviço","",OFFSET(ORÇAMENTO!S$15,ROW(G100)-ROW(G$15),0))</f>
        <v/>
      </c>
      <c r="H100" s="124">
        <f ca="1">IF($D100&lt;&gt;"Serviço",0,IF(ACOMPANHAMENTO="BM",ROUND(OFFSET(ORÇAMENTO!AJ$15,ROW(H100)-ROW(H$15),0),15-13*ORÇAMENTO!$AF$7),SUMPRODUCT(($Q$12:$AA$12&lt;&gt;"")*ROUND($Q100:$AA100,15-13*ORÇAMENTO!$AF$7))))</f>
        <v>0</v>
      </c>
      <c r="I100" s="561"/>
      <c r="K100" s="174"/>
      <c r="L100" s="175" t="s">
        <v>255</v>
      </c>
      <c r="M100" s="176" t="str">
        <f ca="1">IF($D100&lt;&gt;"Serviço","",IF(AUTOEVENTO="manual",$A100,IF(ISERROR(MATCH($A100,$A$15:OFFSET($A100,-1,0),0)),MAX($M$15:OFFSET(M100,-1,0))+1,INDEX($M$15:OFFSET(M100,-1,0),MATCH($A100,$A$15:OFFSET($A100,-1,0),0)))))</f>
        <v/>
      </c>
      <c r="N100" s="177" t="str">
        <f ca="1">IF($D100&lt;&gt;"Serviço","",IF(AUTOEVENTO="Manual",IF($A100=0,"&lt;-- defina o número do agrupador",OFFSET(EVENTOS!$D$14,$A100,0)),OFFSET($F$15,$A100,0)))</f>
        <v/>
      </c>
      <c r="O100" s="178"/>
      <c r="Q100" s="178"/>
      <c r="R100" s="179"/>
      <c r="S100" s="179"/>
      <c r="T100" s="179"/>
      <c r="U100" s="179"/>
      <c r="V100" s="179"/>
      <c r="W100" s="179"/>
      <c r="X100" s="179"/>
      <c r="Y100" s="179"/>
      <c r="Z100" s="180"/>
      <c r="AB100" s="544">
        <f ca="1">IF(AND($D100="Serviço",AB$12&lt;&gt;0,$H100&gt;0,OR(AUTOEVENTO&lt;&gt;"manual",$M100&lt;&gt;1)),
IF(Import.TipoArredondamento&lt;&gt;"TransfereGOV",
ROUND(OFFSET($P100,0,AB$13),15-13*ORÇAMENTO!$AF$7)/$H100*OFFSET(ORÇAMENTO!$X$15,ROW(AB100)-ROW(AB$15),0),
ROUND(ROUND(OFFSET($P100,0,AB$13),15-13*ORÇAMENTO!$AF$7)*OFFSET(ORÇAMENTO!$W$15,ROW(AB100)-ROW(AB$15),0),15-13*ORÇAMENTO!$AF$11)),0)</f>
        <v>0</v>
      </c>
      <c r="AC100" s="545">
        <f ca="1">IF(AND($D100="Serviço",AC$12&lt;&gt;0,$H100&gt;0,OR(AUTOEVENTO&lt;&gt;"manual",$M100&lt;&gt;1)),
IF(Import.TipoArredondamento&lt;&gt;"TransfereGOV",
ROUND(OFFSET($P100,0,AC$13),15-13*ORÇAMENTO!$AF$7)/$H100*OFFSET(ORÇAMENTO!$X$15,ROW(AC100)-ROW(AC$15),0),
ROUND(ROUND(OFFSET($P100,0,AC$13),15-13*ORÇAMENTO!$AF$7)*OFFSET(ORÇAMENTO!$W$15,ROW(AC100)-ROW(AC$15),0),15-13*ORÇAMENTO!$AF$11)),0)</f>
        <v>0</v>
      </c>
      <c r="AD100" s="545">
        <f ca="1">IF(AND($D100="Serviço",AD$12&lt;&gt;0,$H100&gt;0,OR(AUTOEVENTO&lt;&gt;"manual",$M100&lt;&gt;1)),
IF(Import.TipoArredondamento&lt;&gt;"TransfereGOV",
ROUND(OFFSET($P100,0,AD$13),15-13*ORÇAMENTO!$AF$7)/$H100*OFFSET(ORÇAMENTO!$X$15,ROW(AD100)-ROW(AD$15),0),
ROUND(ROUND(OFFSET($P100,0,AD$13),15-13*ORÇAMENTO!$AF$7)*OFFSET(ORÇAMENTO!$W$15,ROW(AD100)-ROW(AD$15),0),15-13*ORÇAMENTO!$AF$11)),0)</f>
        <v>0</v>
      </c>
      <c r="AE100" s="545">
        <f ca="1">IF(AND($D100="Serviço",AE$12&lt;&gt;0,$H100&gt;0,OR(AUTOEVENTO&lt;&gt;"manual",$M100&lt;&gt;1)),
IF(Import.TipoArredondamento&lt;&gt;"TransfereGOV",
ROUND(OFFSET($P100,0,AE$13),15-13*ORÇAMENTO!$AF$7)/$H100*OFFSET(ORÇAMENTO!$X$15,ROW(AE100)-ROW(AE$15),0),
ROUND(ROUND(OFFSET($P100,0,AE$13),15-13*ORÇAMENTO!$AF$7)*OFFSET(ORÇAMENTO!$W$15,ROW(AE100)-ROW(AE$15),0),15-13*ORÇAMENTO!$AF$11)),0)</f>
        <v>0</v>
      </c>
      <c r="AF100" s="545">
        <f ca="1">IF(AND($D100="Serviço",AF$12&lt;&gt;0,$H100&gt;0,OR(AUTOEVENTO&lt;&gt;"manual",$M100&lt;&gt;1)),
IF(Import.TipoArredondamento&lt;&gt;"TransfereGOV",
ROUND(OFFSET($P100,0,AF$13),15-13*ORÇAMENTO!$AF$7)/$H100*OFFSET(ORÇAMENTO!$X$15,ROW(AF100)-ROW(AF$15),0),
ROUND(ROUND(OFFSET($P100,0,AF$13),15-13*ORÇAMENTO!$AF$7)*OFFSET(ORÇAMENTO!$W$15,ROW(AF100)-ROW(AF$15),0),15-13*ORÇAMENTO!$AF$11)),0)</f>
        <v>0</v>
      </c>
      <c r="AG100" s="545">
        <f ca="1">IF(AND($D100="Serviço",AG$12&lt;&gt;0,$H100&gt;0,OR(AUTOEVENTO&lt;&gt;"manual",$M100&lt;&gt;1)),
IF(Import.TipoArredondamento&lt;&gt;"TransfereGOV",
ROUND(OFFSET($P100,0,AG$13),15-13*ORÇAMENTO!$AF$7)/$H100*OFFSET(ORÇAMENTO!$X$15,ROW(AG100)-ROW(AG$15),0),
ROUND(ROUND(OFFSET($P100,0,AG$13),15-13*ORÇAMENTO!$AF$7)*OFFSET(ORÇAMENTO!$W$15,ROW(AG100)-ROW(AG$15),0),15-13*ORÇAMENTO!$AF$11)),0)</f>
        <v>0</v>
      </c>
      <c r="AH100" s="545">
        <f ca="1">IF(AND($D100="Serviço",AH$12&lt;&gt;0,$H100&gt;0,OR(AUTOEVENTO&lt;&gt;"manual",$M100&lt;&gt;1)),
IF(Import.TipoArredondamento&lt;&gt;"TransfereGOV",
ROUND(OFFSET($P100,0,AH$13),15-13*ORÇAMENTO!$AF$7)/$H100*OFFSET(ORÇAMENTO!$X$15,ROW(AH100)-ROW(AH$15),0),
ROUND(ROUND(OFFSET($P100,0,AH$13),15-13*ORÇAMENTO!$AF$7)*OFFSET(ORÇAMENTO!$W$15,ROW(AH100)-ROW(AH$15),0),15-13*ORÇAMENTO!$AF$11)),0)</f>
        <v>0</v>
      </c>
      <c r="AI100" s="545">
        <f ca="1">IF(AND($D100="Serviço",AI$12&lt;&gt;0,$H100&gt;0,OR(AUTOEVENTO&lt;&gt;"manual",$M100&lt;&gt;1)),
IF(Import.TipoArredondamento&lt;&gt;"TransfereGOV",
ROUND(OFFSET($P100,0,AI$13),15-13*ORÇAMENTO!$AF$7)/$H100*OFFSET(ORÇAMENTO!$X$15,ROW(AI100)-ROW(AI$15),0),
ROUND(ROUND(OFFSET($P100,0,AI$13),15-13*ORÇAMENTO!$AF$7)*OFFSET(ORÇAMENTO!$W$15,ROW(AI100)-ROW(AI$15),0),15-13*ORÇAMENTO!$AF$11)),0)</f>
        <v>0</v>
      </c>
      <c r="AJ100" s="545">
        <f ca="1">IF(AND($D100="Serviço",AJ$12&lt;&gt;0,$H100&gt;0,OR(AUTOEVENTO&lt;&gt;"manual",$M100&lt;&gt;1)),
IF(Import.TipoArredondamento&lt;&gt;"TransfereGOV",
ROUND(OFFSET($P100,0,AJ$13),15-13*ORÇAMENTO!$AF$7)/$H100*OFFSET(ORÇAMENTO!$X$15,ROW(AJ100)-ROW(AJ$15),0),
ROUND(ROUND(OFFSET($P100,0,AJ$13),15-13*ORÇAMENTO!$AF$7)*OFFSET(ORÇAMENTO!$W$15,ROW(AJ100)-ROW(AJ$15),0),15-13*ORÇAMENTO!$AF$11)),0)</f>
        <v>0</v>
      </c>
      <c r="AK100" s="546">
        <f ca="1">IF(AND($D100="Serviço",AK$12&lt;&gt;0,$H100&gt;0,OR(AUTOEVENTO&lt;&gt;"manual",$M100&lt;&gt;1)),
IF(Import.TipoArredondamento&lt;&gt;"TransfereGOV",
ROUND(OFFSET($P100,0,AK$13),15-13*ORÇAMENTO!$AF$7)/$H100*OFFSET(ORÇAMENTO!$X$15,ROW(AK100)-ROW(AK$15),0),
ROUND(ROUND(OFFSET($P100,0,AK$13),15-13*ORÇAMENTO!$AF$7)*OFFSET(ORÇAMENTO!$W$15,ROW(AK100)-ROW(AK$15),0),15-13*ORÇAMENTO!$AF$11)),0)</f>
        <v>0</v>
      </c>
      <c r="AM100" s="181">
        <f ca="1">IF($D100&lt;&gt;"Serviço",0,IF(AND(AUTOEVENTO="Manual",$M100=1),0,IF(OFFSET(CRONOPLE!$F$14,$M100,AM$13)="",10^12,OFFSET(CRONOPLE!$F$14,$M100,AM$13))))</f>
        <v>0</v>
      </c>
      <c r="AN100" s="181">
        <f ca="1">IF($D100&lt;&gt;"Serviço",0,IF(AND(AUTOEVENTO="Manual",$M100=1),0,IF(OFFSET(CRONOPLE!$F$14,$M100,AN$13)="",10^12,OFFSET(CRONOPLE!$F$14,$M100,AN$13))))</f>
        <v>0</v>
      </c>
      <c r="AO100" s="181">
        <f ca="1">IF($D100&lt;&gt;"Serviço",0,IF(AND(AUTOEVENTO="Manual",$M100=1),0,IF(OFFSET(CRONOPLE!$F$14,$M100,AO$13)="",10^12,OFFSET(CRONOPLE!$F$14,$M100,AO$13))))</f>
        <v>0</v>
      </c>
      <c r="AP100" s="181">
        <f ca="1">IF($D100&lt;&gt;"Serviço",0,IF(AND(AUTOEVENTO="Manual",$M100=1),0,IF(OFFSET(CRONOPLE!$F$14,$M100,AP$13)="",10^12,OFFSET(CRONOPLE!$F$14,$M100,AP$13))))</f>
        <v>0</v>
      </c>
      <c r="AQ100" s="181">
        <f ca="1">IF($D100&lt;&gt;"Serviço",0,IF(AND(AUTOEVENTO="Manual",$M100=1),0,IF(OFFSET(CRONOPLE!$F$14,$M100,AQ$13)="",10^12,OFFSET(CRONOPLE!$F$14,$M100,AQ$13))))</f>
        <v>0</v>
      </c>
      <c r="AR100" s="181">
        <f ca="1">IF($D100&lt;&gt;"Serviço",0,IF(AND(AUTOEVENTO="Manual",$M100=1),0,IF(OFFSET(CRONOPLE!$F$14,$M100,AR$13)="",10^12,OFFSET(CRONOPLE!$F$14,$M100,AR$13))))</f>
        <v>0</v>
      </c>
      <c r="AS100" s="181">
        <f ca="1">IF($D100&lt;&gt;"Serviço",0,IF(AND(AUTOEVENTO="Manual",$M100=1),0,IF(OFFSET(CRONOPLE!$F$14,$M100,AS$13)="",10^12,OFFSET(CRONOPLE!$F$14,$M100,AS$13))))</f>
        <v>0</v>
      </c>
      <c r="AT100" s="181">
        <f ca="1">IF($D100&lt;&gt;"Serviço",0,IF(AND(AUTOEVENTO="Manual",$M100=1),0,IF(OFFSET(CRONOPLE!$F$14,$M100,AT$13)="",10^12,OFFSET(CRONOPLE!$F$14,$M100,AT$13))))</f>
        <v>0</v>
      </c>
      <c r="AU100" s="181">
        <f ca="1">IF($D100&lt;&gt;"Serviço",0,IF(AND(AUTOEVENTO="Manual",$M100=1),0,IF(OFFSET(CRONOPLE!$F$14,$M100,AU$13)="",10^12,OFFSET(CRONOPLE!$F$14,$M100,AU$13))))</f>
        <v>0</v>
      </c>
      <c r="AV100" s="181">
        <f ca="1">IF($D100&lt;&gt;"Serviço",0,IF(AND(AUTOEVENTO="Manual",$M100=1),0,IF(OFFSET(CRONOPLE!$F$14,$M100,AV$13)="",10^12,OFFSET(CRONOPLE!$F$14,$M100,AV$13))))</f>
        <v>0</v>
      </c>
      <c r="AX100" s="182">
        <f ca="1">IF($D100&lt;&gt;"Serviço",0,IF(OR(AND(AUTOEVENTO="Manual",$M100=1),$M100&gt;(ROW(PLE.lastrow)-ROW(PLE.firstrow))),0,IF(OFFSET(PLE!$G$14,$M100,AX$13)="",10^12,OFFSET(PLE!$G$14,$M100,AX$13))))</f>
        <v>0</v>
      </c>
      <c r="AY100" s="182">
        <f ca="1">IF($D100&lt;&gt;"Serviço",0,IF(OR(AND(AUTOEVENTO="Manual",$M100=1),$M100&gt;(ROW(PLE.lastrow)-ROW(PLE.firstrow))),0,IF(OFFSET(PLE!$G$14,$M100,AY$13)="",10^12,OFFSET(PLE!$G$14,$M100,AY$13))))</f>
        <v>0</v>
      </c>
      <c r="AZ100" s="182">
        <f ca="1">IF($D100&lt;&gt;"Serviço",0,IF(OR(AND(AUTOEVENTO="Manual",$M100=1),$M100&gt;(ROW(PLE.lastrow)-ROW(PLE.firstrow))),0,IF(OFFSET(PLE!$G$14,$M100,AZ$13)="",10^12,OFFSET(PLE!$G$14,$M100,AZ$13))))</f>
        <v>0</v>
      </c>
      <c r="BA100" s="182">
        <f ca="1">IF($D100&lt;&gt;"Serviço",0,IF(OR(AND(AUTOEVENTO="Manual",$M100=1),$M100&gt;(ROW(PLE.lastrow)-ROW(PLE.firstrow))),0,IF(OFFSET(PLE!$G$14,$M100,BA$13)="",10^12,OFFSET(PLE!$G$14,$M100,BA$13))))</f>
        <v>0</v>
      </c>
      <c r="BB100" s="182">
        <f ca="1">IF($D100&lt;&gt;"Serviço",0,IF(OR(AND(AUTOEVENTO="Manual",$M100=1),$M100&gt;(ROW(PLE.lastrow)-ROW(PLE.firstrow))),0,IF(OFFSET(PLE!$G$14,$M100,BB$13)="",10^12,OFFSET(PLE!$G$14,$M100,BB$13))))</f>
        <v>0</v>
      </c>
      <c r="BC100" s="182">
        <f ca="1">IF($D100&lt;&gt;"Serviço",0,IF(OR(AND(AUTOEVENTO="Manual",$M100=1),$M100&gt;(ROW(PLE.lastrow)-ROW(PLE.firstrow))),0,IF(OFFSET(PLE!$G$14,$M100,BC$13)="",10^12,OFFSET(PLE!$G$14,$M100,BC$13))))</f>
        <v>0</v>
      </c>
      <c r="BD100" s="182">
        <f ca="1">IF($D100&lt;&gt;"Serviço",0,IF(OR(AND(AUTOEVENTO="Manual",$M100=1),$M100&gt;(ROW(PLE.lastrow)-ROW(PLE.firstrow))),0,IF(OFFSET(PLE!$G$14,$M100,BD$13)="",10^12,OFFSET(PLE!$G$14,$M100,BD$13))))</f>
        <v>0</v>
      </c>
      <c r="BE100" s="182">
        <f ca="1">IF($D100&lt;&gt;"Serviço",0,IF(OR(AND(AUTOEVENTO="Manual",$M100=1),$M100&gt;(ROW(PLE.lastrow)-ROW(PLE.firstrow))),0,IF(OFFSET(PLE!$G$14,$M100,BE$13)="",10^12,OFFSET(PLE!$G$14,$M100,BE$13))))</f>
        <v>0</v>
      </c>
      <c r="BF100" s="182">
        <f ca="1">IF($D100&lt;&gt;"Serviço",0,IF(OR(AND(AUTOEVENTO="Manual",$M100=1),$M100&gt;(ROW(PLE.lastrow)-ROW(PLE.firstrow))),0,IF(OFFSET(PLE!$G$14,$M100,BF$13)="",10^12,OFFSET(PLE!$G$14,$M100,BF$13))))</f>
        <v>0</v>
      </c>
      <c r="BG100" s="182">
        <f ca="1">IF($D100&lt;&gt;"Serviço",0,IF(OR(AND(AUTOEVENTO="Manual",$M100=1),$M100&gt;(ROW(PLE.lastrow)-ROW(PLE.firstrow))),0,IF(OFFSET(PLE!$G$14,$M100,BG$13)="",10^12,OFFSET(PLE!$G$14,$M100,BG$13))))</f>
        <v>0</v>
      </c>
    </row>
    <row r="101" spans="1:59" ht="38.25" x14ac:dyDescent="0.2">
      <c r="A101" s="7" t="str">
        <f t="shared" ca="1" si="9"/>
        <v>44</v>
      </c>
      <c r="B101" s="7" t="str">
        <f ca="1">OFFSET(ORÇAMENTO!C$15,ROW(B101)-ROW(B$15),0)</f>
        <v>S</v>
      </c>
      <c r="C101" s="7" t="str">
        <f ca="1">OFFSET(ORÇAMENTO!L$15,ROW(C101)-ROW(C$15),0)</f>
        <v/>
      </c>
      <c r="D101" s="118" t="str">
        <f ca="1">OFFSET(ORÇAMENTO!N$15,ROW(D101)-ROW(D$15),0)</f>
        <v>Serviço</v>
      </c>
      <c r="E101" s="119" t="str">
        <f ca="1">OFFSET(ORÇAMENTO!O$15,ROW(E101)-ROW(E$15),0)</f>
        <v>-</v>
      </c>
      <c r="F101" s="172" t="str">
        <f ca="1">OFFSET(ORÇAMENTO!R$15,ROW(F101)-ROW(F$15),0)</f>
        <v>(abra o arquivo 'Referência 02-2025.xlsm)</v>
      </c>
      <c r="G101" s="173" t="str">
        <f ca="1">IF($D101&lt;&gt;"Serviço","",OFFSET(ORÇAMENTO!S$15,ROW(G101)-ROW(G$15),0))</f>
        <v>-</v>
      </c>
      <c r="H101" s="124">
        <f ca="1">IF($D101&lt;&gt;"Serviço",0,IF(ACOMPANHAMENTO="BM",ROUND(OFFSET(ORÇAMENTO!AJ$15,ROW(H101)-ROW(H$15),0),15-13*ORÇAMENTO!$AF$7),SUMPRODUCT(($Q$12:$AA$12&lt;&gt;"")*ROUND($Q101:$AA101,15-13*ORÇAMENTO!$AF$7))))</f>
        <v>19006</v>
      </c>
      <c r="I101" s="561" t="s">
        <v>890</v>
      </c>
      <c r="K101" s="174"/>
      <c r="L101" s="175" t="s">
        <v>255</v>
      </c>
      <c r="M101" s="176">
        <f ca="1">IF($D101&lt;&gt;"Serviço","",IF(AUTOEVENTO="manual",$A101,IF(ISERROR(MATCH($A101,$A$15:OFFSET($A101,-1,0),0)),MAX($M$15:OFFSET(M101,-1,0))+1,INDEX($M$15:OFFSET(M101,-1,0),MATCH($A101,$A$15:OFFSET($A101,-1,0),0)))))</f>
        <v>5</v>
      </c>
      <c r="N101" s="177" t="str">
        <f ca="1">IF($D101&lt;&gt;"Serviço","",IF(AUTOEVENTO="Manual",IF($A101=0,"&lt;-- defina o número do agrupador",OFFSET(EVENTOS!$D$14,$A101,0)),OFFSET($F$15,$A101,0)))</f>
        <v>SUPERESTRUTURA</v>
      </c>
      <c r="O101" s="178"/>
      <c r="Q101" s="178"/>
      <c r="R101" s="179"/>
      <c r="S101" s="179"/>
      <c r="T101" s="179"/>
      <c r="U101" s="179"/>
      <c r="V101" s="179"/>
      <c r="W101" s="179"/>
      <c r="X101" s="179"/>
      <c r="Y101" s="179"/>
      <c r="Z101" s="180"/>
      <c r="AB101" s="544">
        <f ca="1">IF(AND($D101="Serviço",AB$12&lt;&gt;0,$H101&gt;0,OR(AUTOEVENTO&lt;&gt;"manual",$M101&lt;&gt;1)),
IF(Import.TipoArredondamento&lt;&gt;"TransfereGOV",
ROUND(OFFSET($P101,0,AB$13),15-13*ORÇAMENTO!$AF$7)/$H101*OFFSET(ORÇAMENTO!$X$15,ROW(AB101)-ROW(AB$15),0),
ROUND(ROUND(OFFSET($P101,0,AB$13),15-13*ORÇAMENTO!$AF$7)*OFFSET(ORÇAMENTO!$W$15,ROW(AB101)-ROW(AB$15),0),15-13*ORÇAMENTO!$AF$11)),0)</f>
        <v>0</v>
      </c>
      <c r="AC101" s="545">
        <f ca="1">IF(AND($D101="Serviço",AC$12&lt;&gt;0,$H101&gt;0,OR(AUTOEVENTO&lt;&gt;"manual",$M101&lt;&gt;1)),
IF(Import.TipoArredondamento&lt;&gt;"TransfereGOV",
ROUND(OFFSET($P101,0,AC$13),15-13*ORÇAMENTO!$AF$7)/$H101*OFFSET(ORÇAMENTO!$X$15,ROW(AC101)-ROW(AC$15),0),
ROUND(ROUND(OFFSET($P101,0,AC$13),15-13*ORÇAMENTO!$AF$7)*OFFSET(ORÇAMENTO!$W$15,ROW(AC101)-ROW(AC$15),0),15-13*ORÇAMENTO!$AF$11)),0)</f>
        <v>0</v>
      </c>
      <c r="AD101" s="545">
        <f ca="1">IF(AND($D101="Serviço",AD$12&lt;&gt;0,$H101&gt;0,OR(AUTOEVENTO&lt;&gt;"manual",$M101&lt;&gt;1)),
IF(Import.TipoArredondamento&lt;&gt;"TransfereGOV",
ROUND(OFFSET($P101,0,AD$13),15-13*ORÇAMENTO!$AF$7)/$H101*OFFSET(ORÇAMENTO!$X$15,ROW(AD101)-ROW(AD$15),0),
ROUND(ROUND(OFFSET($P101,0,AD$13),15-13*ORÇAMENTO!$AF$7)*OFFSET(ORÇAMENTO!$W$15,ROW(AD101)-ROW(AD$15),0),15-13*ORÇAMENTO!$AF$11)),0)</f>
        <v>0</v>
      </c>
      <c r="AE101" s="545">
        <f ca="1">IF(AND($D101="Serviço",AE$12&lt;&gt;0,$H101&gt;0,OR(AUTOEVENTO&lt;&gt;"manual",$M101&lt;&gt;1)),
IF(Import.TipoArredondamento&lt;&gt;"TransfereGOV",
ROUND(OFFSET($P101,0,AE$13),15-13*ORÇAMENTO!$AF$7)/$H101*OFFSET(ORÇAMENTO!$X$15,ROW(AE101)-ROW(AE$15),0),
ROUND(ROUND(OFFSET($P101,0,AE$13),15-13*ORÇAMENTO!$AF$7)*OFFSET(ORÇAMENTO!$W$15,ROW(AE101)-ROW(AE$15),0),15-13*ORÇAMENTO!$AF$11)),0)</f>
        <v>0</v>
      </c>
      <c r="AF101" s="545">
        <f ca="1">IF(AND($D101="Serviço",AF$12&lt;&gt;0,$H101&gt;0,OR(AUTOEVENTO&lt;&gt;"manual",$M101&lt;&gt;1)),
IF(Import.TipoArredondamento&lt;&gt;"TransfereGOV",
ROUND(OFFSET($P101,0,AF$13),15-13*ORÇAMENTO!$AF$7)/$H101*OFFSET(ORÇAMENTO!$X$15,ROW(AF101)-ROW(AF$15),0),
ROUND(ROUND(OFFSET($P101,0,AF$13),15-13*ORÇAMENTO!$AF$7)*OFFSET(ORÇAMENTO!$W$15,ROW(AF101)-ROW(AF$15),0),15-13*ORÇAMENTO!$AF$11)),0)</f>
        <v>0</v>
      </c>
      <c r="AG101" s="545">
        <f ca="1">IF(AND($D101="Serviço",AG$12&lt;&gt;0,$H101&gt;0,OR(AUTOEVENTO&lt;&gt;"manual",$M101&lt;&gt;1)),
IF(Import.TipoArredondamento&lt;&gt;"TransfereGOV",
ROUND(OFFSET($P101,0,AG$13),15-13*ORÇAMENTO!$AF$7)/$H101*OFFSET(ORÇAMENTO!$X$15,ROW(AG101)-ROW(AG$15),0),
ROUND(ROUND(OFFSET($P101,0,AG$13),15-13*ORÇAMENTO!$AF$7)*OFFSET(ORÇAMENTO!$W$15,ROW(AG101)-ROW(AG$15),0),15-13*ORÇAMENTO!$AF$11)),0)</f>
        <v>0</v>
      </c>
      <c r="AH101" s="545">
        <f ca="1">IF(AND($D101="Serviço",AH$12&lt;&gt;0,$H101&gt;0,OR(AUTOEVENTO&lt;&gt;"manual",$M101&lt;&gt;1)),
IF(Import.TipoArredondamento&lt;&gt;"TransfereGOV",
ROUND(OFFSET($P101,0,AH$13),15-13*ORÇAMENTO!$AF$7)/$H101*OFFSET(ORÇAMENTO!$X$15,ROW(AH101)-ROW(AH$15),0),
ROUND(ROUND(OFFSET($P101,0,AH$13),15-13*ORÇAMENTO!$AF$7)*OFFSET(ORÇAMENTO!$W$15,ROW(AH101)-ROW(AH$15),0),15-13*ORÇAMENTO!$AF$11)),0)</f>
        <v>0</v>
      </c>
      <c r="AI101" s="545">
        <f ca="1">IF(AND($D101="Serviço",AI$12&lt;&gt;0,$H101&gt;0,OR(AUTOEVENTO&lt;&gt;"manual",$M101&lt;&gt;1)),
IF(Import.TipoArredondamento&lt;&gt;"TransfereGOV",
ROUND(OFFSET($P101,0,AI$13),15-13*ORÇAMENTO!$AF$7)/$H101*OFFSET(ORÇAMENTO!$X$15,ROW(AI101)-ROW(AI$15),0),
ROUND(ROUND(OFFSET($P101,0,AI$13),15-13*ORÇAMENTO!$AF$7)*OFFSET(ORÇAMENTO!$W$15,ROW(AI101)-ROW(AI$15),0),15-13*ORÇAMENTO!$AF$11)),0)</f>
        <v>0</v>
      </c>
      <c r="AJ101" s="545">
        <f ca="1">IF(AND($D101="Serviço",AJ$12&lt;&gt;0,$H101&gt;0,OR(AUTOEVENTO&lt;&gt;"manual",$M101&lt;&gt;1)),
IF(Import.TipoArredondamento&lt;&gt;"TransfereGOV",
ROUND(OFFSET($P101,0,AJ$13),15-13*ORÇAMENTO!$AF$7)/$H101*OFFSET(ORÇAMENTO!$X$15,ROW(AJ101)-ROW(AJ$15),0),
ROUND(ROUND(OFFSET($P101,0,AJ$13),15-13*ORÇAMENTO!$AF$7)*OFFSET(ORÇAMENTO!$W$15,ROW(AJ101)-ROW(AJ$15),0),15-13*ORÇAMENTO!$AF$11)),0)</f>
        <v>0</v>
      </c>
      <c r="AK101" s="546">
        <f ca="1">IF(AND($D101="Serviço",AK$12&lt;&gt;0,$H101&gt;0,OR(AUTOEVENTO&lt;&gt;"manual",$M101&lt;&gt;1)),
IF(Import.TipoArredondamento&lt;&gt;"TransfereGOV",
ROUND(OFFSET($P101,0,AK$13),15-13*ORÇAMENTO!$AF$7)/$H101*OFFSET(ORÇAMENTO!$X$15,ROW(AK101)-ROW(AK$15),0),
ROUND(ROUND(OFFSET($P101,0,AK$13),15-13*ORÇAMENTO!$AF$7)*OFFSET(ORÇAMENTO!$W$15,ROW(AK101)-ROW(AK$15),0),15-13*ORÇAMENTO!$AF$11)),0)</f>
        <v>0</v>
      </c>
      <c r="AM101" s="181">
        <f ca="1">IF($D101&lt;&gt;"Serviço",0,IF(AND(AUTOEVENTO="Manual",$M101=1),0,IF(OFFSET(CRONOPLE!$F$14,$M101,AM$13)="",10^12,OFFSET(CRONOPLE!$F$14,$M101,AM$13))))</f>
        <v>1000000000000</v>
      </c>
      <c r="AN101" s="181">
        <f ca="1">IF($D101&lt;&gt;"Serviço",0,IF(AND(AUTOEVENTO="Manual",$M101=1),0,IF(OFFSET(CRONOPLE!$F$14,$M101,AN$13)="",10^12,OFFSET(CRONOPLE!$F$14,$M101,AN$13))))</f>
        <v>1000000000000</v>
      </c>
      <c r="AO101" s="181">
        <f ca="1">IF($D101&lt;&gt;"Serviço",0,IF(AND(AUTOEVENTO="Manual",$M101=1),0,IF(OFFSET(CRONOPLE!$F$14,$M101,AO$13)="",10^12,OFFSET(CRONOPLE!$F$14,$M101,AO$13))))</f>
        <v>1000000000000</v>
      </c>
      <c r="AP101" s="181">
        <f ca="1">IF($D101&lt;&gt;"Serviço",0,IF(AND(AUTOEVENTO="Manual",$M101=1),0,IF(OFFSET(CRONOPLE!$F$14,$M101,AP$13)="",10^12,OFFSET(CRONOPLE!$F$14,$M101,AP$13))))</f>
        <v>1000000000000</v>
      </c>
      <c r="AQ101" s="181">
        <f ca="1">IF($D101&lt;&gt;"Serviço",0,IF(AND(AUTOEVENTO="Manual",$M101=1),0,IF(OFFSET(CRONOPLE!$F$14,$M101,AQ$13)="",10^12,OFFSET(CRONOPLE!$F$14,$M101,AQ$13))))</f>
        <v>1000000000000</v>
      </c>
      <c r="AR101" s="181">
        <f ca="1">IF($D101&lt;&gt;"Serviço",0,IF(AND(AUTOEVENTO="Manual",$M101=1),0,IF(OFFSET(CRONOPLE!$F$14,$M101,AR$13)="",10^12,OFFSET(CRONOPLE!$F$14,$M101,AR$13))))</f>
        <v>1000000000000</v>
      </c>
      <c r="AS101" s="181">
        <f ca="1">IF($D101&lt;&gt;"Serviço",0,IF(AND(AUTOEVENTO="Manual",$M101=1),0,IF(OFFSET(CRONOPLE!$F$14,$M101,AS$13)="",10^12,OFFSET(CRONOPLE!$F$14,$M101,AS$13))))</f>
        <v>1000000000000</v>
      </c>
      <c r="AT101" s="181">
        <f ca="1">IF($D101&lt;&gt;"Serviço",0,IF(AND(AUTOEVENTO="Manual",$M101=1),0,IF(OFFSET(CRONOPLE!$F$14,$M101,AT$13)="",10^12,OFFSET(CRONOPLE!$F$14,$M101,AT$13))))</f>
        <v>1000000000000</v>
      </c>
      <c r="AU101" s="181">
        <f ca="1">IF($D101&lt;&gt;"Serviço",0,IF(AND(AUTOEVENTO="Manual",$M101=1),0,IF(OFFSET(CRONOPLE!$F$14,$M101,AU$13)="",10^12,OFFSET(CRONOPLE!$F$14,$M101,AU$13))))</f>
        <v>1000000000000</v>
      </c>
      <c r="AV101" s="181">
        <f ca="1">IF($D101&lt;&gt;"Serviço",0,IF(AND(AUTOEVENTO="Manual",$M101=1),0,IF(OFFSET(CRONOPLE!$F$14,$M101,AV$13)="",10^12,OFFSET(CRONOPLE!$F$14,$M101,AV$13))))</f>
        <v>1000000000000</v>
      </c>
      <c r="AX101" s="182">
        <f ca="1">IF($D101&lt;&gt;"Serviço",0,IF(OR(AND(AUTOEVENTO="Manual",$M101=1),$M101&gt;(ROW(PLE.lastrow)-ROW(PLE.firstrow))),0,IF(OFFSET(PLE!$G$14,$M101,AX$13)="",10^12,OFFSET(PLE!$G$14,$M101,AX$13))))</f>
        <v>1000000000000</v>
      </c>
      <c r="AY101" s="182">
        <f ca="1">IF($D101&lt;&gt;"Serviço",0,IF(OR(AND(AUTOEVENTO="Manual",$M101=1),$M101&gt;(ROW(PLE.lastrow)-ROW(PLE.firstrow))),0,IF(OFFSET(PLE!$G$14,$M101,AY$13)="",10^12,OFFSET(PLE!$G$14,$M101,AY$13))))</f>
        <v>1000000000000</v>
      </c>
      <c r="AZ101" s="182">
        <f ca="1">IF($D101&lt;&gt;"Serviço",0,IF(OR(AND(AUTOEVENTO="Manual",$M101=1),$M101&gt;(ROW(PLE.lastrow)-ROW(PLE.firstrow))),0,IF(OFFSET(PLE!$G$14,$M101,AZ$13)="",10^12,OFFSET(PLE!$G$14,$M101,AZ$13))))</f>
        <v>1000000000000</v>
      </c>
      <c r="BA101" s="182">
        <f ca="1">IF($D101&lt;&gt;"Serviço",0,IF(OR(AND(AUTOEVENTO="Manual",$M101=1),$M101&gt;(ROW(PLE.lastrow)-ROW(PLE.firstrow))),0,IF(OFFSET(PLE!$G$14,$M101,BA$13)="",10^12,OFFSET(PLE!$G$14,$M101,BA$13))))</f>
        <v>1000000000000</v>
      </c>
      <c r="BB101" s="182">
        <f ca="1">IF($D101&lt;&gt;"Serviço",0,IF(OR(AND(AUTOEVENTO="Manual",$M101=1),$M101&gt;(ROW(PLE.lastrow)-ROW(PLE.firstrow))),0,IF(OFFSET(PLE!$G$14,$M101,BB$13)="",10^12,OFFSET(PLE!$G$14,$M101,BB$13))))</f>
        <v>1000000000000</v>
      </c>
      <c r="BC101" s="182">
        <f ca="1">IF($D101&lt;&gt;"Serviço",0,IF(OR(AND(AUTOEVENTO="Manual",$M101=1),$M101&gt;(ROW(PLE.lastrow)-ROW(PLE.firstrow))),0,IF(OFFSET(PLE!$G$14,$M101,BC$13)="",10^12,OFFSET(PLE!$G$14,$M101,BC$13))))</f>
        <v>1000000000000</v>
      </c>
      <c r="BD101" s="182">
        <f ca="1">IF($D101&lt;&gt;"Serviço",0,IF(OR(AND(AUTOEVENTO="Manual",$M101=1),$M101&gt;(ROW(PLE.lastrow)-ROW(PLE.firstrow))),0,IF(OFFSET(PLE!$G$14,$M101,BD$13)="",10^12,OFFSET(PLE!$G$14,$M101,BD$13))))</f>
        <v>1000000000000</v>
      </c>
      <c r="BE101" s="182">
        <f ca="1">IF($D101&lt;&gt;"Serviço",0,IF(OR(AND(AUTOEVENTO="Manual",$M101=1),$M101&gt;(ROW(PLE.lastrow)-ROW(PLE.firstrow))),0,IF(OFFSET(PLE!$G$14,$M101,BE$13)="",10^12,OFFSET(PLE!$G$14,$M101,BE$13))))</f>
        <v>1000000000000</v>
      </c>
      <c r="BF101" s="182">
        <f ca="1">IF($D101&lt;&gt;"Serviço",0,IF(OR(AND(AUTOEVENTO="Manual",$M101=1),$M101&gt;(ROW(PLE.lastrow)-ROW(PLE.firstrow))),0,IF(OFFSET(PLE!$G$14,$M101,BF$13)="",10^12,OFFSET(PLE!$G$14,$M101,BF$13))))</f>
        <v>1000000000000</v>
      </c>
      <c r="BG101" s="182">
        <f ca="1">IF($D101&lt;&gt;"Serviço",0,IF(OR(AND(AUTOEVENTO="Manual",$M101=1),$M101&gt;(ROW(PLE.lastrow)-ROW(PLE.firstrow))),0,IF(OFFSET(PLE!$G$14,$M101,BG$13)="",10^12,OFFSET(PLE!$G$14,$M101,BG$13))))</f>
        <v>1000000000000</v>
      </c>
    </row>
    <row r="102" spans="1:59" ht="38.25" x14ac:dyDescent="0.2">
      <c r="A102" s="7" t="str">
        <f t="shared" ca="1" si="9"/>
        <v>44</v>
      </c>
      <c r="B102" s="7" t="str">
        <f ca="1">OFFSET(ORÇAMENTO!C$15,ROW(B102)-ROW(B$15),0)</f>
        <v>S</v>
      </c>
      <c r="C102" s="7" t="str">
        <f ca="1">OFFSET(ORÇAMENTO!L$15,ROW(C102)-ROW(C$15),0)</f>
        <v/>
      </c>
      <c r="D102" s="118" t="str">
        <f ca="1">OFFSET(ORÇAMENTO!N$15,ROW(D102)-ROW(D$15),0)</f>
        <v>Serviço</v>
      </c>
      <c r="E102" s="119" t="str">
        <f ca="1">OFFSET(ORÇAMENTO!O$15,ROW(E102)-ROW(E$15),0)</f>
        <v>-</v>
      </c>
      <c r="F102" s="172" t="str">
        <f ca="1">OFFSET(ORÇAMENTO!R$15,ROW(F102)-ROW(F$15),0)</f>
        <v>(abra o arquivo 'Referência 02-2025.xlsm)</v>
      </c>
      <c r="G102" s="173" t="str">
        <f ca="1">IF($D102&lt;&gt;"Serviço","",OFFSET(ORÇAMENTO!S$15,ROW(G102)-ROW(G$15),0))</f>
        <v>-</v>
      </c>
      <c r="H102" s="124">
        <f ca="1">IF($D102&lt;&gt;"Serviço",0,IF(ACOMPANHAMENTO="BM",ROUND(OFFSET(ORÇAMENTO!AJ$15,ROW(H102)-ROW(H$15),0),15-13*ORÇAMENTO!$AF$7),SUMPRODUCT(($Q$12:$AA$12&lt;&gt;"")*ROUND($Q102:$AA102,15-13*ORÇAMENTO!$AF$7))))</f>
        <v>1611.6</v>
      </c>
      <c r="I102" s="561"/>
      <c r="K102" s="174"/>
      <c r="L102" s="175" t="s">
        <v>255</v>
      </c>
      <c r="M102" s="176">
        <f ca="1">IF($D102&lt;&gt;"Serviço","",IF(AUTOEVENTO="manual",$A102,IF(ISERROR(MATCH($A102,$A$15:OFFSET($A102,-1,0),0)),MAX($M$15:OFFSET(M102,-1,0))+1,INDEX($M$15:OFFSET(M102,-1,0),MATCH($A102,$A$15:OFFSET($A102,-1,0),0)))))</f>
        <v>5</v>
      </c>
      <c r="N102" s="177" t="str">
        <f ca="1">IF($D102&lt;&gt;"Serviço","",IF(AUTOEVENTO="Manual",IF($A102=0,"&lt;-- defina o número do agrupador",OFFSET(EVENTOS!$D$14,$A102,0)),OFFSET($F$15,$A102,0)))</f>
        <v>SUPERESTRUTURA</v>
      </c>
      <c r="O102" s="178"/>
      <c r="Q102" s="178"/>
      <c r="R102" s="179"/>
      <c r="S102" s="179"/>
      <c r="T102" s="179"/>
      <c r="U102" s="179"/>
      <c r="V102" s="179"/>
      <c r="W102" s="179"/>
      <c r="X102" s="179"/>
      <c r="Y102" s="179"/>
      <c r="Z102" s="180"/>
      <c r="AB102" s="544">
        <f ca="1">IF(AND($D102="Serviço",AB$12&lt;&gt;0,$H102&gt;0,OR(AUTOEVENTO&lt;&gt;"manual",$M102&lt;&gt;1)),
IF(Import.TipoArredondamento&lt;&gt;"TransfereGOV",
ROUND(OFFSET($P102,0,AB$13),15-13*ORÇAMENTO!$AF$7)/$H102*OFFSET(ORÇAMENTO!$X$15,ROW(AB102)-ROW(AB$15),0),
ROUND(ROUND(OFFSET($P102,0,AB$13),15-13*ORÇAMENTO!$AF$7)*OFFSET(ORÇAMENTO!$W$15,ROW(AB102)-ROW(AB$15),0),15-13*ORÇAMENTO!$AF$11)),0)</f>
        <v>0</v>
      </c>
      <c r="AC102" s="545">
        <f ca="1">IF(AND($D102="Serviço",AC$12&lt;&gt;0,$H102&gt;0,OR(AUTOEVENTO&lt;&gt;"manual",$M102&lt;&gt;1)),
IF(Import.TipoArredondamento&lt;&gt;"TransfereGOV",
ROUND(OFFSET($P102,0,AC$13),15-13*ORÇAMENTO!$AF$7)/$H102*OFFSET(ORÇAMENTO!$X$15,ROW(AC102)-ROW(AC$15),0),
ROUND(ROUND(OFFSET($P102,0,AC$13),15-13*ORÇAMENTO!$AF$7)*OFFSET(ORÇAMENTO!$W$15,ROW(AC102)-ROW(AC$15),0),15-13*ORÇAMENTO!$AF$11)),0)</f>
        <v>0</v>
      </c>
      <c r="AD102" s="545">
        <f ca="1">IF(AND($D102="Serviço",AD$12&lt;&gt;0,$H102&gt;0,OR(AUTOEVENTO&lt;&gt;"manual",$M102&lt;&gt;1)),
IF(Import.TipoArredondamento&lt;&gt;"TransfereGOV",
ROUND(OFFSET($P102,0,AD$13),15-13*ORÇAMENTO!$AF$7)/$H102*OFFSET(ORÇAMENTO!$X$15,ROW(AD102)-ROW(AD$15),0),
ROUND(ROUND(OFFSET($P102,0,AD$13),15-13*ORÇAMENTO!$AF$7)*OFFSET(ORÇAMENTO!$W$15,ROW(AD102)-ROW(AD$15),0),15-13*ORÇAMENTO!$AF$11)),0)</f>
        <v>0</v>
      </c>
      <c r="AE102" s="545">
        <f ca="1">IF(AND($D102="Serviço",AE$12&lt;&gt;0,$H102&gt;0,OR(AUTOEVENTO&lt;&gt;"manual",$M102&lt;&gt;1)),
IF(Import.TipoArredondamento&lt;&gt;"TransfereGOV",
ROUND(OFFSET($P102,0,AE$13),15-13*ORÇAMENTO!$AF$7)/$H102*OFFSET(ORÇAMENTO!$X$15,ROW(AE102)-ROW(AE$15),0),
ROUND(ROUND(OFFSET($P102,0,AE$13),15-13*ORÇAMENTO!$AF$7)*OFFSET(ORÇAMENTO!$W$15,ROW(AE102)-ROW(AE$15),0),15-13*ORÇAMENTO!$AF$11)),0)</f>
        <v>0</v>
      </c>
      <c r="AF102" s="545">
        <f ca="1">IF(AND($D102="Serviço",AF$12&lt;&gt;0,$H102&gt;0,OR(AUTOEVENTO&lt;&gt;"manual",$M102&lt;&gt;1)),
IF(Import.TipoArredondamento&lt;&gt;"TransfereGOV",
ROUND(OFFSET($P102,0,AF$13),15-13*ORÇAMENTO!$AF$7)/$H102*OFFSET(ORÇAMENTO!$X$15,ROW(AF102)-ROW(AF$15),0),
ROUND(ROUND(OFFSET($P102,0,AF$13),15-13*ORÇAMENTO!$AF$7)*OFFSET(ORÇAMENTO!$W$15,ROW(AF102)-ROW(AF$15),0),15-13*ORÇAMENTO!$AF$11)),0)</f>
        <v>0</v>
      </c>
      <c r="AG102" s="545">
        <f ca="1">IF(AND($D102="Serviço",AG$12&lt;&gt;0,$H102&gt;0,OR(AUTOEVENTO&lt;&gt;"manual",$M102&lt;&gt;1)),
IF(Import.TipoArredondamento&lt;&gt;"TransfereGOV",
ROUND(OFFSET($P102,0,AG$13),15-13*ORÇAMENTO!$AF$7)/$H102*OFFSET(ORÇAMENTO!$X$15,ROW(AG102)-ROW(AG$15),0),
ROUND(ROUND(OFFSET($P102,0,AG$13),15-13*ORÇAMENTO!$AF$7)*OFFSET(ORÇAMENTO!$W$15,ROW(AG102)-ROW(AG$15),0),15-13*ORÇAMENTO!$AF$11)),0)</f>
        <v>0</v>
      </c>
      <c r="AH102" s="545">
        <f ca="1">IF(AND($D102="Serviço",AH$12&lt;&gt;0,$H102&gt;0,OR(AUTOEVENTO&lt;&gt;"manual",$M102&lt;&gt;1)),
IF(Import.TipoArredondamento&lt;&gt;"TransfereGOV",
ROUND(OFFSET($P102,0,AH$13),15-13*ORÇAMENTO!$AF$7)/$H102*OFFSET(ORÇAMENTO!$X$15,ROW(AH102)-ROW(AH$15),0),
ROUND(ROUND(OFFSET($P102,0,AH$13),15-13*ORÇAMENTO!$AF$7)*OFFSET(ORÇAMENTO!$W$15,ROW(AH102)-ROW(AH$15),0),15-13*ORÇAMENTO!$AF$11)),0)</f>
        <v>0</v>
      </c>
      <c r="AI102" s="545">
        <f ca="1">IF(AND($D102="Serviço",AI$12&lt;&gt;0,$H102&gt;0,OR(AUTOEVENTO&lt;&gt;"manual",$M102&lt;&gt;1)),
IF(Import.TipoArredondamento&lt;&gt;"TransfereGOV",
ROUND(OFFSET($P102,0,AI$13),15-13*ORÇAMENTO!$AF$7)/$H102*OFFSET(ORÇAMENTO!$X$15,ROW(AI102)-ROW(AI$15),0),
ROUND(ROUND(OFFSET($P102,0,AI$13),15-13*ORÇAMENTO!$AF$7)*OFFSET(ORÇAMENTO!$W$15,ROW(AI102)-ROW(AI$15),0),15-13*ORÇAMENTO!$AF$11)),0)</f>
        <v>0</v>
      </c>
      <c r="AJ102" s="545">
        <f ca="1">IF(AND($D102="Serviço",AJ$12&lt;&gt;0,$H102&gt;0,OR(AUTOEVENTO&lt;&gt;"manual",$M102&lt;&gt;1)),
IF(Import.TipoArredondamento&lt;&gt;"TransfereGOV",
ROUND(OFFSET($P102,0,AJ$13),15-13*ORÇAMENTO!$AF$7)/$H102*OFFSET(ORÇAMENTO!$X$15,ROW(AJ102)-ROW(AJ$15),0),
ROUND(ROUND(OFFSET($P102,0,AJ$13),15-13*ORÇAMENTO!$AF$7)*OFFSET(ORÇAMENTO!$W$15,ROW(AJ102)-ROW(AJ$15),0),15-13*ORÇAMENTO!$AF$11)),0)</f>
        <v>0</v>
      </c>
      <c r="AK102" s="546">
        <f ca="1">IF(AND($D102="Serviço",AK$12&lt;&gt;0,$H102&gt;0,OR(AUTOEVENTO&lt;&gt;"manual",$M102&lt;&gt;1)),
IF(Import.TipoArredondamento&lt;&gt;"TransfereGOV",
ROUND(OFFSET($P102,0,AK$13),15-13*ORÇAMENTO!$AF$7)/$H102*OFFSET(ORÇAMENTO!$X$15,ROW(AK102)-ROW(AK$15),0),
ROUND(ROUND(OFFSET($P102,0,AK$13),15-13*ORÇAMENTO!$AF$7)*OFFSET(ORÇAMENTO!$W$15,ROW(AK102)-ROW(AK$15),0),15-13*ORÇAMENTO!$AF$11)),0)</f>
        <v>0</v>
      </c>
      <c r="AM102" s="181">
        <f ca="1">IF($D102&lt;&gt;"Serviço",0,IF(AND(AUTOEVENTO="Manual",$M102=1),0,IF(OFFSET(CRONOPLE!$F$14,$M102,AM$13)="",10^12,OFFSET(CRONOPLE!$F$14,$M102,AM$13))))</f>
        <v>1000000000000</v>
      </c>
      <c r="AN102" s="181">
        <f ca="1">IF($D102&lt;&gt;"Serviço",0,IF(AND(AUTOEVENTO="Manual",$M102=1),0,IF(OFFSET(CRONOPLE!$F$14,$M102,AN$13)="",10^12,OFFSET(CRONOPLE!$F$14,$M102,AN$13))))</f>
        <v>1000000000000</v>
      </c>
      <c r="AO102" s="181">
        <f ca="1">IF($D102&lt;&gt;"Serviço",0,IF(AND(AUTOEVENTO="Manual",$M102=1),0,IF(OFFSET(CRONOPLE!$F$14,$M102,AO$13)="",10^12,OFFSET(CRONOPLE!$F$14,$M102,AO$13))))</f>
        <v>1000000000000</v>
      </c>
      <c r="AP102" s="181">
        <f ca="1">IF($D102&lt;&gt;"Serviço",0,IF(AND(AUTOEVENTO="Manual",$M102=1),0,IF(OFFSET(CRONOPLE!$F$14,$M102,AP$13)="",10^12,OFFSET(CRONOPLE!$F$14,$M102,AP$13))))</f>
        <v>1000000000000</v>
      </c>
      <c r="AQ102" s="181">
        <f ca="1">IF($D102&lt;&gt;"Serviço",0,IF(AND(AUTOEVENTO="Manual",$M102=1),0,IF(OFFSET(CRONOPLE!$F$14,$M102,AQ$13)="",10^12,OFFSET(CRONOPLE!$F$14,$M102,AQ$13))))</f>
        <v>1000000000000</v>
      </c>
      <c r="AR102" s="181">
        <f ca="1">IF($D102&lt;&gt;"Serviço",0,IF(AND(AUTOEVENTO="Manual",$M102=1),0,IF(OFFSET(CRONOPLE!$F$14,$M102,AR$13)="",10^12,OFFSET(CRONOPLE!$F$14,$M102,AR$13))))</f>
        <v>1000000000000</v>
      </c>
      <c r="AS102" s="181">
        <f ca="1">IF($D102&lt;&gt;"Serviço",0,IF(AND(AUTOEVENTO="Manual",$M102=1),0,IF(OFFSET(CRONOPLE!$F$14,$M102,AS$13)="",10^12,OFFSET(CRONOPLE!$F$14,$M102,AS$13))))</f>
        <v>1000000000000</v>
      </c>
      <c r="AT102" s="181">
        <f ca="1">IF($D102&lt;&gt;"Serviço",0,IF(AND(AUTOEVENTO="Manual",$M102=1),0,IF(OFFSET(CRONOPLE!$F$14,$M102,AT$13)="",10^12,OFFSET(CRONOPLE!$F$14,$M102,AT$13))))</f>
        <v>1000000000000</v>
      </c>
      <c r="AU102" s="181">
        <f ca="1">IF($D102&lt;&gt;"Serviço",0,IF(AND(AUTOEVENTO="Manual",$M102=1),0,IF(OFFSET(CRONOPLE!$F$14,$M102,AU$13)="",10^12,OFFSET(CRONOPLE!$F$14,$M102,AU$13))))</f>
        <v>1000000000000</v>
      </c>
      <c r="AV102" s="181">
        <f ca="1">IF($D102&lt;&gt;"Serviço",0,IF(AND(AUTOEVENTO="Manual",$M102=1),0,IF(OFFSET(CRONOPLE!$F$14,$M102,AV$13)="",10^12,OFFSET(CRONOPLE!$F$14,$M102,AV$13))))</f>
        <v>1000000000000</v>
      </c>
      <c r="AX102" s="182">
        <f ca="1">IF($D102&lt;&gt;"Serviço",0,IF(OR(AND(AUTOEVENTO="Manual",$M102=1),$M102&gt;(ROW(PLE.lastrow)-ROW(PLE.firstrow))),0,IF(OFFSET(PLE!$G$14,$M102,AX$13)="",10^12,OFFSET(PLE!$G$14,$M102,AX$13))))</f>
        <v>1000000000000</v>
      </c>
      <c r="AY102" s="182">
        <f ca="1">IF($D102&lt;&gt;"Serviço",0,IF(OR(AND(AUTOEVENTO="Manual",$M102=1),$M102&gt;(ROW(PLE.lastrow)-ROW(PLE.firstrow))),0,IF(OFFSET(PLE!$G$14,$M102,AY$13)="",10^12,OFFSET(PLE!$G$14,$M102,AY$13))))</f>
        <v>1000000000000</v>
      </c>
      <c r="AZ102" s="182">
        <f ca="1">IF($D102&lt;&gt;"Serviço",0,IF(OR(AND(AUTOEVENTO="Manual",$M102=1),$M102&gt;(ROW(PLE.lastrow)-ROW(PLE.firstrow))),0,IF(OFFSET(PLE!$G$14,$M102,AZ$13)="",10^12,OFFSET(PLE!$G$14,$M102,AZ$13))))</f>
        <v>1000000000000</v>
      </c>
      <c r="BA102" s="182">
        <f ca="1">IF($D102&lt;&gt;"Serviço",0,IF(OR(AND(AUTOEVENTO="Manual",$M102=1),$M102&gt;(ROW(PLE.lastrow)-ROW(PLE.firstrow))),0,IF(OFFSET(PLE!$G$14,$M102,BA$13)="",10^12,OFFSET(PLE!$G$14,$M102,BA$13))))</f>
        <v>1000000000000</v>
      </c>
      <c r="BB102" s="182">
        <f ca="1">IF($D102&lt;&gt;"Serviço",0,IF(OR(AND(AUTOEVENTO="Manual",$M102=1),$M102&gt;(ROW(PLE.lastrow)-ROW(PLE.firstrow))),0,IF(OFFSET(PLE!$G$14,$M102,BB$13)="",10^12,OFFSET(PLE!$G$14,$M102,BB$13))))</f>
        <v>1000000000000</v>
      </c>
      <c r="BC102" s="182">
        <f ca="1">IF($D102&lt;&gt;"Serviço",0,IF(OR(AND(AUTOEVENTO="Manual",$M102=1),$M102&gt;(ROW(PLE.lastrow)-ROW(PLE.firstrow))),0,IF(OFFSET(PLE!$G$14,$M102,BC$13)="",10^12,OFFSET(PLE!$G$14,$M102,BC$13))))</f>
        <v>1000000000000</v>
      </c>
      <c r="BD102" s="182">
        <f ca="1">IF($D102&lt;&gt;"Serviço",0,IF(OR(AND(AUTOEVENTO="Manual",$M102=1),$M102&gt;(ROW(PLE.lastrow)-ROW(PLE.firstrow))),0,IF(OFFSET(PLE!$G$14,$M102,BD$13)="",10^12,OFFSET(PLE!$G$14,$M102,BD$13))))</f>
        <v>1000000000000</v>
      </c>
      <c r="BE102" s="182">
        <f ca="1">IF($D102&lt;&gt;"Serviço",0,IF(OR(AND(AUTOEVENTO="Manual",$M102=1),$M102&gt;(ROW(PLE.lastrow)-ROW(PLE.firstrow))),0,IF(OFFSET(PLE!$G$14,$M102,BE$13)="",10^12,OFFSET(PLE!$G$14,$M102,BE$13))))</f>
        <v>1000000000000</v>
      </c>
      <c r="BF102" s="182">
        <f ca="1">IF($D102&lt;&gt;"Serviço",0,IF(OR(AND(AUTOEVENTO="Manual",$M102=1),$M102&gt;(ROW(PLE.lastrow)-ROW(PLE.firstrow))),0,IF(OFFSET(PLE!$G$14,$M102,BF$13)="",10^12,OFFSET(PLE!$G$14,$M102,BF$13))))</f>
        <v>1000000000000</v>
      </c>
      <c r="BG102" s="182">
        <f ca="1">IF($D102&lt;&gt;"Serviço",0,IF(OR(AND(AUTOEVENTO="Manual",$M102=1),$M102&gt;(ROW(PLE.lastrow)-ROW(PLE.firstrow))),0,IF(OFFSET(PLE!$G$14,$M102,BG$13)="",10^12,OFFSET(PLE!$G$14,$M102,BG$13))))</f>
        <v>1000000000000</v>
      </c>
    </row>
    <row r="103" spans="1:59" ht="38.25" x14ac:dyDescent="0.2">
      <c r="A103" s="7" t="str">
        <f t="shared" ca="1" si="9"/>
        <v>44</v>
      </c>
      <c r="B103" s="7" t="str">
        <f ca="1">OFFSET(ORÇAMENTO!C$15,ROW(B103)-ROW(B$15),0)</f>
        <v>S</v>
      </c>
      <c r="C103" s="7" t="str">
        <f ca="1">OFFSET(ORÇAMENTO!L$15,ROW(C103)-ROW(C$15),0)</f>
        <v/>
      </c>
      <c r="D103" s="118" t="str">
        <f ca="1">OFFSET(ORÇAMENTO!N$15,ROW(D103)-ROW(D$15),0)</f>
        <v>Serviço</v>
      </c>
      <c r="E103" s="119" t="str">
        <f ca="1">OFFSET(ORÇAMENTO!O$15,ROW(E103)-ROW(E$15),0)</f>
        <v>-</v>
      </c>
      <c r="F103" s="172" t="str">
        <f ca="1">OFFSET(ORÇAMENTO!R$15,ROW(F103)-ROW(F$15),0)</f>
        <v>(abra o arquivo 'Referência 02-2025.xlsm)</v>
      </c>
      <c r="G103" s="173" t="str">
        <f ca="1">IF($D103&lt;&gt;"Serviço","",OFFSET(ORÇAMENTO!S$15,ROW(G103)-ROW(G$15),0))</f>
        <v>-</v>
      </c>
      <c r="H103" s="124">
        <f ca="1">IF($D103&lt;&gt;"Serviço",0,IF(ACOMPANHAMENTO="BM",ROUND(OFFSET(ORÇAMENTO!AJ$15,ROW(H103)-ROW(H$15),0),15-13*ORÇAMENTO!$AF$7),SUMPRODUCT(($Q$12:$AA$12&lt;&gt;"")*ROUND($Q103:$AA103,15-13*ORÇAMENTO!$AF$7))))</f>
        <v>227.7</v>
      </c>
      <c r="I103" s="561"/>
      <c r="K103" s="174"/>
      <c r="L103" s="175" t="s">
        <v>255</v>
      </c>
      <c r="M103" s="176">
        <f ca="1">IF($D103&lt;&gt;"Serviço","",IF(AUTOEVENTO="manual",$A103,IF(ISERROR(MATCH($A103,$A$15:OFFSET($A103,-1,0),0)),MAX($M$15:OFFSET(M103,-1,0))+1,INDEX($M$15:OFFSET(M103,-1,0),MATCH($A103,$A$15:OFFSET($A103,-1,0),0)))))</f>
        <v>5</v>
      </c>
      <c r="N103" s="177" t="str">
        <f ca="1">IF($D103&lt;&gt;"Serviço","",IF(AUTOEVENTO="Manual",IF($A103=0,"&lt;-- defina o número do agrupador",OFFSET(EVENTOS!$D$14,$A103,0)),OFFSET($F$15,$A103,0)))</f>
        <v>SUPERESTRUTURA</v>
      </c>
      <c r="O103" s="178"/>
      <c r="Q103" s="178"/>
      <c r="R103" s="179"/>
      <c r="S103" s="179"/>
      <c r="T103" s="179"/>
      <c r="U103" s="179"/>
      <c r="V103" s="179"/>
      <c r="W103" s="179"/>
      <c r="X103" s="179"/>
      <c r="Y103" s="179"/>
      <c r="Z103" s="180"/>
      <c r="AB103" s="544">
        <f ca="1">IF(AND($D103="Serviço",AB$12&lt;&gt;0,$H103&gt;0,OR(AUTOEVENTO&lt;&gt;"manual",$M103&lt;&gt;1)),
IF(Import.TipoArredondamento&lt;&gt;"TransfereGOV",
ROUND(OFFSET($P103,0,AB$13),15-13*ORÇAMENTO!$AF$7)/$H103*OFFSET(ORÇAMENTO!$X$15,ROW(AB103)-ROW(AB$15),0),
ROUND(ROUND(OFFSET($P103,0,AB$13),15-13*ORÇAMENTO!$AF$7)*OFFSET(ORÇAMENTO!$W$15,ROW(AB103)-ROW(AB$15),0),15-13*ORÇAMENTO!$AF$11)),0)</f>
        <v>0</v>
      </c>
      <c r="AC103" s="545">
        <f ca="1">IF(AND($D103="Serviço",AC$12&lt;&gt;0,$H103&gt;0,OR(AUTOEVENTO&lt;&gt;"manual",$M103&lt;&gt;1)),
IF(Import.TipoArredondamento&lt;&gt;"TransfereGOV",
ROUND(OFFSET($P103,0,AC$13),15-13*ORÇAMENTO!$AF$7)/$H103*OFFSET(ORÇAMENTO!$X$15,ROW(AC103)-ROW(AC$15),0),
ROUND(ROUND(OFFSET($P103,0,AC$13),15-13*ORÇAMENTO!$AF$7)*OFFSET(ORÇAMENTO!$W$15,ROW(AC103)-ROW(AC$15),0),15-13*ORÇAMENTO!$AF$11)),0)</f>
        <v>0</v>
      </c>
      <c r="AD103" s="545">
        <f ca="1">IF(AND($D103="Serviço",AD$12&lt;&gt;0,$H103&gt;0,OR(AUTOEVENTO&lt;&gt;"manual",$M103&lt;&gt;1)),
IF(Import.TipoArredondamento&lt;&gt;"TransfereGOV",
ROUND(OFFSET($P103,0,AD$13),15-13*ORÇAMENTO!$AF$7)/$H103*OFFSET(ORÇAMENTO!$X$15,ROW(AD103)-ROW(AD$15),0),
ROUND(ROUND(OFFSET($P103,0,AD$13),15-13*ORÇAMENTO!$AF$7)*OFFSET(ORÇAMENTO!$W$15,ROW(AD103)-ROW(AD$15),0),15-13*ORÇAMENTO!$AF$11)),0)</f>
        <v>0</v>
      </c>
      <c r="AE103" s="545">
        <f ca="1">IF(AND($D103="Serviço",AE$12&lt;&gt;0,$H103&gt;0,OR(AUTOEVENTO&lt;&gt;"manual",$M103&lt;&gt;1)),
IF(Import.TipoArredondamento&lt;&gt;"TransfereGOV",
ROUND(OFFSET($P103,0,AE$13),15-13*ORÇAMENTO!$AF$7)/$H103*OFFSET(ORÇAMENTO!$X$15,ROW(AE103)-ROW(AE$15),0),
ROUND(ROUND(OFFSET($P103,0,AE$13),15-13*ORÇAMENTO!$AF$7)*OFFSET(ORÇAMENTO!$W$15,ROW(AE103)-ROW(AE$15),0),15-13*ORÇAMENTO!$AF$11)),0)</f>
        <v>0</v>
      </c>
      <c r="AF103" s="545">
        <f ca="1">IF(AND($D103="Serviço",AF$12&lt;&gt;0,$H103&gt;0,OR(AUTOEVENTO&lt;&gt;"manual",$M103&lt;&gt;1)),
IF(Import.TipoArredondamento&lt;&gt;"TransfereGOV",
ROUND(OFFSET($P103,0,AF$13),15-13*ORÇAMENTO!$AF$7)/$H103*OFFSET(ORÇAMENTO!$X$15,ROW(AF103)-ROW(AF$15),0),
ROUND(ROUND(OFFSET($P103,0,AF$13),15-13*ORÇAMENTO!$AF$7)*OFFSET(ORÇAMENTO!$W$15,ROW(AF103)-ROW(AF$15),0),15-13*ORÇAMENTO!$AF$11)),0)</f>
        <v>0</v>
      </c>
      <c r="AG103" s="545">
        <f ca="1">IF(AND($D103="Serviço",AG$12&lt;&gt;0,$H103&gt;0,OR(AUTOEVENTO&lt;&gt;"manual",$M103&lt;&gt;1)),
IF(Import.TipoArredondamento&lt;&gt;"TransfereGOV",
ROUND(OFFSET($P103,0,AG$13),15-13*ORÇAMENTO!$AF$7)/$H103*OFFSET(ORÇAMENTO!$X$15,ROW(AG103)-ROW(AG$15),0),
ROUND(ROUND(OFFSET($P103,0,AG$13),15-13*ORÇAMENTO!$AF$7)*OFFSET(ORÇAMENTO!$W$15,ROW(AG103)-ROW(AG$15),0),15-13*ORÇAMENTO!$AF$11)),0)</f>
        <v>0</v>
      </c>
      <c r="AH103" s="545">
        <f ca="1">IF(AND($D103="Serviço",AH$12&lt;&gt;0,$H103&gt;0,OR(AUTOEVENTO&lt;&gt;"manual",$M103&lt;&gt;1)),
IF(Import.TipoArredondamento&lt;&gt;"TransfereGOV",
ROUND(OFFSET($P103,0,AH$13),15-13*ORÇAMENTO!$AF$7)/$H103*OFFSET(ORÇAMENTO!$X$15,ROW(AH103)-ROW(AH$15),0),
ROUND(ROUND(OFFSET($P103,0,AH$13),15-13*ORÇAMENTO!$AF$7)*OFFSET(ORÇAMENTO!$W$15,ROW(AH103)-ROW(AH$15),0),15-13*ORÇAMENTO!$AF$11)),0)</f>
        <v>0</v>
      </c>
      <c r="AI103" s="545">
        <f ca="1">IF(AND($D103="Serviço",AI$12&lt;&gt;0,$H103&gt;0,OR(AUTOEVENTO&lt;&gt;"manual",$M103&lt;&gt;1)),
IF(Import.TipoArredondamento&lt;&gt;"TransfereGOV",
ROUND(OFFSET($P103,0,AI$13),15-13*ORÇAMENTO!$AF$7)/$H103*OFFSET(ORÇAMENTO!$X$15,ROW(AI103)-ROW(AI$15),0),
ROUND(ROUND(OFFSET($P103,0,AI$13),15-13*ORÇAMENTO!$AF$7)*OFFSET(ORÇAMENTO!$W$15,ROW(AI103)-ROW(AI$15),0),15-13*ORÇAMENTO!$AF$11)),0)</f>
        <v>0</v>
      </c>
      <c r="AJ103" s="545">
        <f ca="1">IF(AND($D103="Serviço",AJ$12&lt;&gt;0,$H103&gt;0,OR(AUTOEVENTO&lt;&gt;"manual",$M103&lt;&gt;1)),
IF(Import.TipoArredondamento&lt;&gt;"TransfereGOV",
ROUND(OFFSET($P103,0,AJ$13),15-13*ORÇAMENTO!$AF$7)/$H103*OFFSET(ORÇAMENTO!$X$15,ROW(AJ103)-ROW(AJ$15),0),
ROUND(ROUND(OFFSET($P103,0,AJ$13),15-13*ORÇAMENTO!$AF$7)*OFFSET(ORÇAMENTO!$W$15,ROW(AJ103)-ROW(AJ$15),0),15-13*ORÇAMENTO!$AF$11)),0)</f>
        <v>0</v>
      </c>
      <c r="AK103" s="546">
        <f ca="1">IF(AND($D103="Serviço",AK$12&lt;&gt;0,$H103&gt;0,OR(AUTOEVENTO&lt;&gt;"manual",$M103&lt;&gt;1)),
IF(Import.TipoArredondamento&lt;&gt;"TransfereGOV",
ROUND(OFFSET($P103,0,AK$13),15-13*ORÇAMENTO!$AF$7)/$H103*OFFSET(ORÇAMENTO!$X$15,ROW(AK103)-ROW(AK$15),0),
ROUND(ROUND(OFFSET($P103,0,AK$13),15-13*ORÇAMENTO!$AF$7)*OFFSET(ORÇAMENTO!$W$15,ROW(AK103)-ROW(AK$15),0),15-13*ORÇAMENTO!$AF$11)),0)</f>
        <v>0</v>
      </c>
      <c r="AM103" s="181">
        <f ca="1">IF($D103&lt;&gt;"Serviço",0,IF(AND(AUTOEVENTO="Manual",$M103=1),0,IF(OFFSET(CRONOPLE!$F$14,$M103,AM$13)="",10^12,OFFSET(CRONOPLE!$F$14,$M103,AM$13))))</f>
        <v>1000000000000</v>
      </c>
      <c r="AN103" s="181">
        <f ca="1">IF($D103&lt;&gt;"Serviço",0,IF(AND(AUTOEVENTO="Manual",$M103=1),0,IF(OFFSET(CRONOPLE!$F$14,$M103,AN$13)="",10^12,OFFSET(CRONOPLE!$F$14,$M103,AN$13))))</f>
        <v>1000000000000</v>
      </c>
      <c r="AO103" s="181">
        <f ca="1">IF($D103&lt;&gt;"Serviço",0,IF(AND(AUTOEVENTO="Manual",$M103=1),0,IF(OFFSET(CRONOPLE!$F$14,$M103,AO$13)="",10^12,OFFSET(CRONOPLE!$F$14,$M103,AO$13))))</f>
        <v>1000000000000</v>
      </c>
      <c r="AP103" s="181">
        <f ca="1">IF($D103&lt;&gt;"Serviço",0,IF(AND(AUTOEVENTO="Manual",$M103=1),0,IF(OFFSET(CRONOPLE!$F$14,$M103,AP$13)="",10^12,OFFSET(CRONOPLE!$F$14,$M103,AP$13))))</f>
        <v>1000000000000</v>
      </c>
      <c r="AQ103" s="181">
        <f ca="1">IF($D103&lt;&gt;"Serviço",0,IF(AND(AUTOEVENTO="Manual",$M103=1),0,IF(OFFSET(CRONOPLE!$F$14,$M103,AQ$13)="",10^12,OFFSET(CRONOPLE!$F$14,$M103,AQ$13))))</f>
        <v>1000000000000</v>
      </c>
      <c r="AR103" s="181">
        <f ca="1">IF($D103&lt;&gt;"Serviço",0,IF(AND(AUTOEVENTO="Manual",$M103=1),0,IF(OFFSET(CRONOPLE!$F$14,$M103,AR$13)="",10^12,OFFSET(CRONOPLE!$F$14,$M103,AR$13))))</f>
        <v>1000000000000</v>
      </c>
      <c r="AS103" s="181">
        <f ca="1">IF($D103&lt;&gt;"Serviço",0,IF(AND(AUTOEVENTO="Manual",$M103=1),0,IF(OFFSET(CRONOPLE!$F$14,$M103,AS$13)="",10^12,OFFSET(CRONOPLE!$F$14,$M103,AS$13))))</f>
        <v>1000000000000</v>
      </c>
      <c r="AT103" s="181">
        <f ca="1">IF($D103&lt;&gt;"Serviço",0,IF(AND(AUTOEVENTO="Manual",$M103=1),0,IF(OFFSET(CRONOPLE!$F$14,$M103,AT$13)="",10^12,OFFSET(CRONOPLE!$F$14,$M103,AT$13))))</f>
        <v>1000000000000</v>
      </c>
      <c r="AU103" s="181">
        <f ca="1">IF($D103&lt;&gt;"Serviço",0,IF(AND(AUTOEVENTO="Manual",$M103=1),0,IF(OFFSET(CRONOPLE!$F$14,$M103,AU$13)="",10^12,OFFSET(CRONOPLE!$F$14,$M103,AU$13))))</f>
        <v>1000000000000</v>
      </c>
      <c r="AV103" s="181">
        <f ca="1">IF($D103&lt;&gt;"Serviço",0,IF(AND(AUTOEVENTO="Manual",$M103=1),0,IF(OFFSET(CRONOPLE!$F$14,$M103,AV$13)="",10^12,OFFSET(CRONOPLE!$F$14,$M103,AV$13))))</f>
        <v>1000000000000</v>
      </c>
      <c r="AX103" s="182">
        <f ca="1">IF($D103&lt;&gt;"Serviço",0,IF(OR(AND(AUTOEVENTO="Manual",$M103=1),$M103&gt;(ROW(PLE.lastrow)-ROW(PLE.firstrow))),0,IF(OFFSET(PLE!$G$14,$M103,AX$13)="",10^12,OFFSET(PLE!$G$14,$M103,AX$13))))</f>
        <v>1000000000000</v>
      </c>
      <c r="AY103" s="182">
        <f ca="1">IF($D103&lt;&gt;"Serviço",0,IF(OR(AND(AUTOEVENTO="Manual",$M103=1),$M103&gt;(ROW(PLE.lastrow)-ROW(PLE.firstrow))),0,IF(OFFSET(PLE!$G$14,$M103,AY$13)="",10^12,OFFSET(PLE!$G$14,$M103,AY$13))))</f>
        <v>1000000000000</v>
      </c>
      <c r="AZ103" s="182">
        <f ca="1">IF($D103&lt;&gt;"Serviço",0,IF(OR(AND(AUTOEVENTO="Manual",$M103=1),$M103&gt;(ROW(PLE.lastrow)-ROW(PLE.firstrow))),0,IF(OFFSET(PLE!$G$14,$M103,AZ$13)="",10^12,OFFSET(PLE!$G$14,$M103,AZ$13))))</f>
        <v>1000000000000</v>
      </c>
      <c r="BA103" s="182">
        <f ca="1">IF($D103&lt;&gt;"Serviço",0,IF(OR(AND(AUTOEVENTO="Manual",$M103=1),$M103&gt;(ROW(PLE.lastrow)-ROW(PLE.firstrow))),0,IF(OFFSET(PLE!$G$14,$M103,BA$13)="",10^12,OFFSET(PLE!$G$14,$M103,BA$13))))</f>
        <v>1000000000000</v>
      </c>
      <c r="BB103" s="182">
        <f ca="1">IF($D103&lt;&gt;"Serviço",0,IF(OR(AND(AUTOEVENTO="Manual",$M103=1),$M103&gt;(ROW(PLE.lastrow)-ROW(PLE.firstrow))),0,IF(OFFSET(PLE!$G$14,$M103,BB$13)="",10^12,OFFSET(PLE!$G$14,$M103,BB$13))))</f>
        <v>1000000000000</v>
      </c>
      <c r="BC103" s="182">
        <f ca="1">IF($D103&lt;&gt;"Serviço",0,IF(OR(AND(AUTOEVENTO="Manual",$M103=1),$M103&gt;(ROW(PLE.lastrow)-ROW(PLE.firstrow))),0,IF(OFFSET(PLE!$G$14,$M103,BC$13)="",10^12,OFFSET(PLE!$G$14,$M103,BC$13))))</f>
        <v>1000000000000</v>
      </c>
      <c r="BD103" s="182">
        <f ca="1">IF($D103&lt;&gt;"Serviço",0,IF(OR(AND(AUTOEVENTO="Manual",$M103=1),$M103&gt;(ROW(PLE.lastrow)-ROW(PLE.firstrow))),0,IF(OFFSET(PLE!$G$14,$M103,BD$13)="",10^12,OFFSET(PLE!$G$14,$M103,BD$13))))</f>
        <v>1000000000000</v>
      </c>
      <c r="BE103" s="182">
        <f ca="1">IF($D103&lt;&gt;"Serviço",0,IF(OR(AND(AUTOEVENTO="Manual",$M103=1),$M103&gt;(ROW(PLE.lastrow)-ROW(PLE.firstrow))),0,IF(OFFSET(PLE!$G$14,$M103,BE$13)="",10^12,OFFSET(PLE!$G$14,$M103,BE$13))))</f>
        <v>1000000000000</v>
      </c>
      <c r="BF103" s="182">
        <f ca="1">IF($D103&lt;&gt;"Serviço",0,IF(OR(AND(AUTOEVENTO="Manual",$M103=1),$M103&gt;(ROW(PLE.lastrow)-ROW(PLE.firstrow))),0,IF(OFFSET(PLE!$G$14,$M103,BF$13)="",10^12,OFFSET(PLE!$G$14,$M103,BF$13))))</f>
        <v>1000000000000</v>
      </c>
      <c r="BG103" s="182">
        <f ca="1">IF($D103&lt;&gt;"Serviço",0,IF(OR(AND(AUTOEVENTO="Manual",$M103=1),$M103&gt;(ROW(PLE.lastrow)-ROW(PLE.firstrow))),0,IF(OFFSET(PLE!$G$14,$M103,BG$13)="",10^12,OFFSET(PLE!$G$14,$M103,BG$13))))</f>
        <v>1000000000000</v>
      </c>
    </row>
    <row r="104" spans="1:59" ht="38.25" x14ac:dyDescent="0.2">
      <c r="A104" s="7" t="str">
        <f t="shared" ca="1" si="9"/>
        <v>44</v>
      </c>
      <c r="B104" s="7" t="str">
        <f ca="1">OFFSET(ORÇAMENTO!C$15,ROW(B104)-ROW(B$15),0)</f>
        <v>S</v>
      </c>
      <c r="C104" s="7" t="str">
        <f ca="1">OFFSET(ORÇAMENTO!L$15,ROW(C104)-ROW(C$15),0)</f>
        <v/>
      </c>
      <c r="D104" s="118" t="str">
        <f ca="1">OFFSET(ORÇAMENTO!N$15,ROW(D104)-ROW(D$15),0)</f>
        <v>Serviço</v>
      </c>
      <c r="E104" s="119" t="str">
        <f ca="1">OFFSET(ORÇAMENTO!O$15,ROW(E104)-ROW(E$15),0)</f>
        <v>-</v>
      </c>
      <c r="F104" s="172" t="str">
        <f ca="1">OFFSET(ORÇAMENTO!R$15,ROW(F104)-ROW(F$15),0)</f>
        <v>(abra o arquivo 'Referência 02-2025.xlsm)</v>
      </c>
      <c r="G104" s="173" t="str">
        <f ca="1">IF($D104&lt;&gt;"Serviço","",OFFSET(ORÇAMENTO!S$15,ROW(G104)-ROW(G$15),0))</f>
        <v>-</v>
      </c>
      <c r="H104" s="124">
        <f ca="1">IF($D104&lt;&gt;"Serviço",0,IF(ACOMPANHAMENTO="BM",ROUND(OFFSET(ORÇAMENTO!AJ$15,ROW(H104)-ROW(H$15),0),15-13*ORÇAMENTO!$AF$7),SUMPRODUCT(($Q$12:$AA$12&lt;&gt;"")*ROUND($Q104:$AA104,15-13*ORÇAMENTO!$AF$7))))</f>
        <v>227.7</v>
      </c>
      <c r="I104" s="561"/>
      <c r="K104" s="174"/>
      <c r="L104" s="175" t="s">
        <v>255</v>
      </c>
      <c r="M104" s="176">
        <f ca="1">IF($D104&lt;&gt;"Serviço","",IF(AUTOEVENTO="manual",$A104,IF(ISERROR(MATCH($A104,$A$15:OFFSET($A104,-1,0),0)),MAX($M$15:OFFSET(M104,-1,0))+1,INDEX($M$15:OFFSET(M104,-1,0),MATCH($A104,$A$15:OFFSET($A104,-1,0),0)))))</f>
        <v>5</v>
      </c>
      <c r="N104" s="177" t="str">
        <f ca="1">IF($D104&lt;&gt;"Serviço","",IF(AUTOEVENTO="Manual",IF($A104=0,"&lt;-- defina o número do agrupador",OFFSET(EVENTOS!$D$14,$A104,0)),OFFSET($F$15,$A104,0)))</f>
        <v>SUPERESTRUTURA</v>
      </c>
      <c r="O104" s="178"/>
      <c r="Q104" s="178"/>
      <c r="R104" s="179"/>
      <c r="S104" s="179"/>
      <c r="T104" s="179"/>
      <c r="U104" s="179"/>
      <c r="V104" s="179"/>
      <c r="W104" s="179"/>
      <c r="X104" s="179"/>
      <c r="Y104" s="179"/>
      <c r="Z104" s="180"/>
      <c r="AB104" s="544">
        <f ca="1">IF(AND($D104="Serviço",AB$12&lt;&gt;0,$H104&gt;0,OR(AUTOEVENTO&lt;&gt;"manual",$M104&lt;&gt;1)),
IF(Import.TipoArredondamento&lt;&gt;"TransfereGOV",
ROUND(OFFSET($P104,0,AB$13),15-13*ORÇAMENTO!$AF$7)/$H104*OFFSET(ORÇAMENTO!$X$15,ROW(AB104)-ROW(AB$15),0),
ROUND(ROUND(OFFSET($P104,0,AB$13),15-13*ORÇAMENTO!$AF$7)*OFFSET(ORÇAMENTO!$W$15,ROW(AB104)-ROW(AB$15),0),15-13*ORÇAMENTO!$AF$11)),0)</f>
        <v>0</v>
      </c>
      <c r="AC104" s="545">
        <f ca="1">IF(AND($D104="Serviço",AC$12&lt;&gt;0,$H104&gt;0,OR(AUTOEVENTO&lt;&gt;"manual",$M104&lt;&gt;1)),
IF(Import.TipoArredondamento&lt;&gt;"TransfereGOV",
ROUND(OFFSET($P104,0,AC$13),15-13*ORÇAMENTO!$AF$7)/$H104*OFFSET(ORÇAMENTO!$X$15,ROW(AC104)-ROW(AC$15),0),
ROUND(ROUND(OFFSET($P104,0,AC$13),15-13*ORÇAMENTO!$AF$7)*OFFSET(ORÇAMENTO!$W$15,ROW(AC104)-ROW(AC$15),0),15-13*ORÇAMENTO!$AF$11)),0)</f>
        <v>0</v>
      </c>
      <c r="AD104" s="545">
        <f ca="1">IF(AND($D104="Serviço",AD$12&lt;&gt;0,$H104&gt;0,OR(AUTOEVENTO&lt;&gt;"manual",$M104&lt;&gt;1)),
IF(Import.TipoArredondamento&lt;&gt;"TransfereGOV",
ROUND(OFFSET($P104,0,AD$13),15-13*ORÇAMENTO!$AF$7)/$H104*OFFSET(ORÇAMENTO!$X$15,ROW(AD104)-ROW(AD$15),0),
ROUND(ROUND(OFFSET($P104,0,AD$13),15-13*ORÇAMENTO!$AF$7)*OFFSET(ORÇAMENTO!$W$15,ROW(AD104)-ROW(AD$15),0),15-13*ORÇAMENTO!$AF$11)),0)</f>
        <v>0</v>
      </c>
      <c r="AE104" s="545">
        <f ca="1">IF(AND($D104="Serviço",AE$12&lt;&gt;0,$H104&gt;0,OR(AUTOEVENTO&lt;&gt;"manual",$M104&lt;&gt;1)),
IF(Import.TipoArredondamento&lt;&gt;"TransfereGOV",
ROUND(OFFSET($P104,0,AE$13),15-13*ORÇAMENTO!$AF$7)/$H104*OFFSET(ORÇAMENTO!$X$15,ROW(AE104)-ROW(AE$15),0),
ROUND(ROUND(OFFSET($P104,0,AE$13),15-13*ORÇAMENTO!$AF$7)*OFFSET(ORÇAMENTO!$W$15,ROW(AE104)-ROW(AE$15),0),15-13*ORÇAMENTO!$AF$11)),0)</f>
        <v>0</v>
      </c>
      <c r="AF104" s="545">
        <f ca="1">IF(AND($D104="Serviço",AF$12&lt;&gt;0,$H104&gt;0,OR(AUTOEVENTO&lt;&gt;"manual",$M104&lt;&gt;1)),
IF(Import.TipoArredondamento&lt;&gt;"TransfereGOV",
ROUND(OFFSET($P104,0,AF$13),15-13*ORÇAMENTO!$AF$7)/$H104*OFFSET(ORÇAMENTO!$X$15,ROW(AF104)-ROW(AF$15),0),
ROUND(ROUND(OFFSET($P104,0,AF$13),15-13*ORÇAMENTO!$AF$7)*OFFSET(ORÇAMENTO!$W$15,ROW(AF104)-ROW(AF$15),0),15-13*ORÇAMENTO!$AF$11)),0)</f>
        <v>0</v>
      </c>
      <c r="AG104" s="545">
        <f ca="1">IF(AND($D104="Serviço",AG$12&lt;&gt;0,$H104&gt;0,OR(AUTOEVENTO&lt;&gt;"manual",$M104&lt;&gt;1)),
IF(Import.TipoArredondamento&lt;&gt;"TransfereGOV",
ROUND(OFFSET($P104,0,AG$13),15-13*ORÇAMENTO!$AF$7)/$H104*OFFSET(ORÇAMENTO!$X$15,ROW(AG104)-ROW(AG$15),0),
ROUND(ROUND(OFFSET($P104,0,AG$13),15-13*ORÇAMENTO!$AF$7)*OFFSET(ORÇAMENTO!$W$15,ROW(AG104)-ROW(AG$15),0),15-13*ORÇAMENTO!$AF$11)),0)</f>
        <v>0</v>
      </c>
      <c r="AH104" s="545">
        <f ca="1">IF(AND($D104="Serviço",AH$12&lt;&gt;0,$H104&gt;0,OR(AUTOEVENTO&lt;&gt;"manual",$M104&lt;&gt;1)),
IF(Import.TipoArredondamento&lt;&gt;"TransfereGOV",
ROUND(OFFSET($P104,0,AH$13),15-13*ORÇAMENTO!$AF$7)/$H104*OFFSET(ORÇAMENTO!$X$15,ROW(AH104)-ROW(AH$15),0),
ROUND(ROUND(OFFSET($P104,0,AH$13),15-13*ORÇAMENTO!$AF$7)*OFFSET(ORÇAMENTO!$W$15,ROW(AH104)-ROW(AH$15),0),15-13*ORÇAMENTO!$AF$11)),0)</f>
        <v>0</v>
      </c>
      <c r="AI104" s="545">
        <f ca="1">IF(AND($D104="Serviço",AI$12&lt;&gt;0,$H104&gt;0,OR(AUTOEVENTO&lt;&gt;"manual",$M104&lt;&gt;1)),
IF(Import.TipoArredondamento&lt;&gt;"TransfereGOV",
ROUND(OFFSET($P104,0,AI$13),15-13*ORÇAMENTO!$AF$7)/$H104*OFFSET(ORÇAMENTO!$X$15,ROW(AI104)-ROW(AI$15),0),
ROUND(ROUND(OFFSET($P104,0,AI$13),15-13*ORÇAMENTO!$AF$7)*OFFSET(ORÇAMENTO!$W$15,ROW(AI104)-ROW(AI$15),0),15-13*ORÇAMENTO!$AF$11)),0)</f>
        <v>0</v>
      </c>
      <c r="AJ104" s="545">
        <f ca="1">IF(AND($D104="Serviço",AJ$12&lt;&gt;0,$H104&gt;0,OR(AUTOEVENTO&lt;&gt;"manual",$M104&lt;&gt;1)),
IF(Import.TipoArredondamento&lt;&gt;"TransfereGOV",
ROUND(OFFSET($P104,0,AJ$13),15-13*ORÇAMENTO!$AF$7)/$H104*OFFSET(ORÇAMENTO!$X$15,ROW(AJ104)-ROW(AJ$15),0),
ROUND(ROUND(OFFSET($P104,0,AJ$13),15-13*ORÇAMENTO!$AF$7)*OFFSET(ORÇAMENTO!$W$15,ROW(AJ104)-ROW(AJ$15),0),15-13*ORÇAMENTO!$AF$11)),0)</f>
        <v>0</v>
      </c>
      <c r="AK104" s="546">
        <f ca="1">IF(AND($D104="Serviço",AK$12&lt;&gt;0,$H104&gt;0,OR(AUTOEVENTO&lt;&gt;"manual",$M104&lt;&gt;1)),
IF(Import.TipoArredondamento&lt;&gt;"TransfereGOV",
ROUND(OFFSET($P104,0,AK$13),15-13*ORÇAMENTO!$AF$7)/$H104*OFFSET(ORÇAMENTO!$X$15,ROW(AK104)-ROW(AK$15),0),
ROUND(ROUND(OFFSET($P104,0,AK$13),15-13*ORÇAMENTO!$AF$7)*OFFSET(ORÇAMENTO!$W$15,ROW(AK104)-ROW(AK$15),0),15-13*ORÇAMENTO!$AF$11)),0)</f>
        <v>0</v>
      </c>
      <c r="AM104" s="181">
        <f ca="1">IF($D104&lt;&gt;"Serviço",0,IF(AND(AUTOEVENTO="Manual",$M104=1),0,IF(OFFSET(CRONOPLE!$F$14,$M104,AM$13)="",10^12,OFFSET(CRONOPLE!$F$14,$M104,AM$13))))</f>
        <v>1000000000000</v>
      </c>
      <c r="AN104" s="181">
        <f ca="1">IF($D104&lt;&gt;"Serviço",0,IF(AND(AUTOEVENTO="Manual",$M104=1),0,IF(OFFSET(CRONOPLE!$F$14,$M104,AN$13)="",10^12,OFFSET(CRONOPLE!$F$14,$M104,AN$13))))</f>
        <v>1000000000000</v>
      </c>
      <c r="AO104" s="181">
        <f ca="1">IF($D104&lt;&gt;"Serviço",0,IF(AND(AUTOEVENTO="Manual",$M104=1),0,IF(OFFSET(CRONOPLE!$F$14,$M104,AO$13)="",10^12,OFFSET(CRONOPLE!$F$14,$M104,AO$13))))</f>
        <v>1000000000000</v>
      </c>
      <c r="AP104" s="181">
        <f ca="1">IF($D104&lt;&gt;"Serviço",0,IF(AND(AUTOEVENTO="Manual",$M104=1),0,IF(OFFSET(CRONOPLE!$F$14,$M104,AP$13)="",10^12,OFFSET(CRONOPLE!$F$14,$M104,AP$13))))</f>
        <v>1000000000000</v>
      </c>
      <c r="AQ104" s="181">
        <f ca="1">IF($D104&lt;&gt;"Serviço",0,IF(AND(AUTOEVENTO="Manual",$M104=1),0,IF(OFFSET(CRONOPLE!$F$14,$M104,AQ$13)="",10^12,OFFSET(CRONOPLE!$F$14,$M104,AQ$13))))</f>
        <v>1000000000000</v>
      </c>
      <c r="AR104" s="181">
        <f ca="1">IF($D104&lt;&gt;"Serviço",0,IF(AND(AUTOEVENTO="Manual",$M104=1),0,IF(OFFSET(CRONOPLE!$F$14,$M104,AR$13)="",10^12,OFFSET(CRONOPLE!$F$14,$M104,AR$13))))</f>
        <v>1000000000000</v>
      </c>
      <c r="AS104" s="181">
        <f ca="1">IF($D104&lt;&gt;"Serviço",0,IF(AND(AUTOEVENTO="Manual",$M104=1),0,IF(OFFSET(CRONOPLE!$F$14,$M104,AS$13)="",10^12,OFFSET(CRONOPLE!$F$14,$M104,AS$13))))</f>
        <v>1000000000000</v>
      </c>
      <c r="AT104" s="181">
        <f ca="1">IF($D104&lt;&gt;"Serviço",0,IF(AND(AUTOEVENTO="Manual",$M104=1),0,IF(OFFSET(CRONOPLE!$F$14,$M104,AT$13)="",10^12,OFFSET(CRONOPLE!$F$14,$M104,AT$13))))</f>
        <v>1000000000000</v>
      </c>
      <c r="AU104" s="181">
        <f ca="1">IF($D104&lt;&gt;"Serviço",0,IF(AND(AUTOEVENTO="Manual",$M104=1),0,IF(OFFSET(CRONOPLE!$F$14,$M104,AU$13)="",10^12,OFFSET(CRONOPLE!$F$14,$M104,AU$13))))</f>
        <v>1000000000000</v>
      </c>
      <c r="AV104" s="181">
        <f ca="1">IF($D104&lt;&gt;"Serviço",0,IF(AND(AUTOEVENTO="Manual",$M104=1),0,IF(OFFSET(CRONOPLE!$F$14,$M104,AV$13)="",10^12,OFFSET(CRONOPLE!$F$14,$M104,AV$13))))</f>
        <v>1000000000000</v>
      </c>
      <c r="AX104" s="182">
        <f ca="1">IF($D104&lt;&gt;"Serviço",0,IF(OR(AND(AUTOEVENTO="Manual",$M104=1),$M104&gt;(ROW(PLE.lastrow)-ROW(PLE.firstrow))),0,IF(OFFSET(PLE!$G$14,$M104,AX$13)="",10^12,OFFSET(PLE!$G$14,$M104,AX$13))))</f>
        <v>1000000000000</v>
      </c>
      <c r="AY104" s="182">
        <f ca="1">IF($D104&lt;&gt;"Serviço",0,IF(OR(AND(AUTOEVENTO="Manual",$M104=1),$M104&gt;(ROW(PLE.lastrow)-ROW(PLE.firstrow))),0,IF(OFFSET(PLE!$G$14,$M104,AY$13)="",10^12,OFFSET(PLE!$G$14,$M104,AY$13))))</f>
        <v>1000000000000</v>
      </c>
      <c r="AZ104" s="182">
        <f ca="1">IF($D104&lt;&gt;"Serviço",0,IF(OR(AND(AUTOEVENTO="Manual",$M104=1),$M104&gt;(ROW(PLE.lastrow)-ROW(PLE.firstrow))),0,IF(OFFSET(PLE!$G$14,$M104,AZ$13)="",10^12,OFFSET(PLE!$G$14,$M104,AZ$13))))</f>
        <v>1000000000000</v>
      </c>
      <c r="BA104" s="182">
        <f ca="1">IF($D104&lt;&gt;"Serviço",0,IF(OR(AND(AUTOEVENTO="Manual",$M104=1),$M104&gt;(ROW(PLE.lastrow)-ROW(PLE.firstrow))),0,IF(OFFSET(PLE!$G$14,$M104,BA$13)="",10^12,OFFSET(PLE!$G$14,$M104,BA$13))))</f>
        <v>1000000000000</v>
      </c>
      <c r="BB104" s="182">
        <f ca="1">IF($D104&lt;&gt;"Serviço",0,IF(OR(AND(AUTOEVENTO="Manual",$M104=1),$M104&gt;(ROW(PLE.lastrow)-ROW(PLE.firstrow))),0,IF(OFFSET(PLE!$G$14,$M104,BB$13)="",10^12,OFFSET(PLE!$G$14,$M104,BB$13))))</f>
        <v>1000000000000</v>
      </c>
      <c r="BC104" s="182">
        <f ca="1">IF($D104&lt;&gt;"Serviço",0,IF(OR(AND(AUTOEVENTO="Manual",$M104=1),$M104&gt;(ROW(PLE.lastrow)-ROW(PLE.firstrow))),0,IF(OFFSET(PLE!$G$14,$M104,BC$13)="",10^12,OFFSET(PLE!$G$14,$M104,BC$13))))</f>
        <v>1000000000000</v>
      </c>
      <c r="BD104" s="182">
        <f ca="1">IF($D104&lt;&gt;"Serviço",0,IF(OR(AND(AUTOEVENTO="Manual",$M104=1),$M104&gt;(ROW(PLE.lastrow)-ROW(PLE.firstrow))),0,IF(OFFSET(PLE!$G$14,$M104,BD$13)="",10^12,OFFSET(PLE!$G$14,$M104,BD$13))))</f>
        <v>1000000000000</v>
      </c>
      <c r="BE104" s="182">
        <f ca="1">IF($D104&lt;&gt;"Serviço",0,IF(OR(AND(AUTOEVENTO="Manual",$M104=1),$M104&gt;(ROW(PLE.lastrow)-ROW(PLE.firstrow))),0,IF(OFFSET(PLE!$G$14,$M104,BE$13)="",10^12,OFFSET(PLE!$G$14,$M104,BE$13))))</f>
        <v>1000000000000</v>
      </c>
      <c r="BF104" s="182">
        <f ca="1">IF($D104&lt;&gt;"Serviço",0,IF(OR(AND(AUTOEVENTO="Manual",$M104=1),$M104&gt;(ROW(PLE.lastrow)-ROW(PLE.firstrow))),0,IF(OFFSET(PLE!$G$14,$M104,BF$13)="",10^12,OFFSET(PLE!$G$14,$M104,BF$13))))</f>
        <v>1000000000000</v>
      </c>
      <c r="BG104" s="182">
        <f ca="1">IF($D104&lt;&gt;"Serviço",0,IF(OR(AND(AUTOEVENTO="Manual",$M104=1),$M104&gt;(ROW(PLE.lastrow)-ROW(PLE.firstrow))),0,IF(OFFSET(PLE!$G$14,$M104,BG$13)="",10^12,OFFSET(PLE!$G$14,$M104,BG$13))))</f>
        <v>1000000000000</v>
      </c>
    </row>
    <row r="105" spans="1:59" ht="12.75" x14ac:dyDescent="0.2">
      <c r="A105" s="7" t="str">
        <f t="shared" ca="1" si="9"/>
        <v>90.</v>
      </c>
      <c r="B105" s="7">
        <f ca="1">OFFSET(ORÇAMENTO!C$15,ROW(B105)-ROW(B$15),0)</f>
        <v>2</v>
      </c>
      <c r="C105" s="7" t="str">
        <f ca="1">OFFSET(ORÇAMENTO!L$15,ROW(C105)-ROW(C$15),0)</f>
        <v>F</v>
      </c>
      <c r="D105" s="118" t="str">
        <f ca="1">OFFSET(ORÇAMENTO!N$15,ROW(D105)-ROW(D$15),0)</f>
        <v>Nível 2</v>
      </c>
      <c r="E105" s="119" t="str">
        <f ca="1">OFFSET(ORÇAMENTO!O$15,ROW(E105)-ROW(E$15),0)</f>
        <v>1.5.</v>
      </c>
      <c r="F105" s="172" t="str">
        <f ca="1">OFFSET(ORÇAMENTO!R$15,ROW(F105)-ROW(F$15),0)</f>
        <v>SISTEMA DE VEDAÇÃO VERTICAL</v>
      </c>
      <c r="G105" s="173" t="str">
        <f ca="1">IF($D105&lt;&gt;"Serviço","",OFFSET(ORÇAMENTO!S$15,ROW(G105)-ROW(G$15),0))</f>
        <v/>
      </c>
      <c r="H105" s="124">
        <f ca="1">IF($D105&lt;&gt;"Serviço",0,IF(ACOMPANHAMENTO="BM",ROUND(OFFSET(ORÇAMENTO!AJ$15,ROW(H105)-ROW(H$15),0),15-13*ORÇAMENTO!$AF$7),SUMPRODUCT(($Q$12:$AA$12&lt;&gt;"")*ROUND($Q105:$AA105,15-13*ORÇAMENTO!$AF$7))))</f>
        <v>0</v>
      </c>
      <c r="I105" s="561"/>
      <c r="K105" s="174"/>
      <c r="L105" s="175" t="s">
        <v>255</v>
      </c>
      <c r="M105" s="176" t="str">
        <f ca="1">IF($D105&lt;&gt;"Serviço","",IF(AUTOEVENTO="manual",$A105,IF(ISERROR(MATCH($A105,$A$15:OFFSET($A105,-1,0),0)),MAX($M$15:OFFSET(M105,-1,0))+1,INDEX($M$15:OFFSET(M105,-1,0),MATCH($A105,$A$15:OFFSET($A105,-1,0),0)))))</f>
        <v/>
      </c>
      <c r="N105" s="177" t="str">
        <f ca="1">IF($D105&lt;&gt;"Serviço","",IF(AUTOEVENTO="Manual",IF($A105=0,"&lt;-- defina o número do agrupador",OFFSET(EVENTOS!$D$14,$A105,0)),OFFSET($F$15,$A105,0)))</f>
        <v/>
      </c>
      <c r="O105" s="178"/>
      <c r="Q105" s="178"/>
      <c r="R105" s="179"/>
      <c r="S105" s="179"/>
      <c r="T105" s="179"/>
      <c r="U105" s="179"/>
      <c r="V105" s="179"/>
      <c r="W105" s="179"/>
      <c r="X105" s="179"/>
      <c r="Y105" s="179"/>
      <c r="Z105" s="180"/>
      <c r="AB105" s="544">
        <f ca="1">IF(AND($D105="Serviço",AB$12&lt;&gt;0,$H105&gt;0,OR(AUTOEVENTO&lt;&gt;"manual",$M105&lt;&gt;1)),
IF(Import.TipoArredondamento&lt;&gt;"TransfereGOV",
ROUND(OFFSET($P105,0,AB$13),15-13*ORÇAMENTO!$AF$7)/$H105*OFFSET(ORÇAMENTO!$X$15,ROW(AB105)-ROW(AB$15),0),
ROUND(ROUND(OFFSET($P105,0,AB$13),15-13*ORÇAMENTO!$AF$7)*OFFSET(ORÇAMENTO!$W$15,ROW(AB105)-ROW(AB$15),0),15-13*ORÇAMENTO!$AF$11)),0)</f>
        <v>0</v>
      </c>
      <c r="AC105" s="545">
        <f ca="1">IF(AND($D105="Serviço",AC$12&lt;&gt;0,$H105&gt;0,OR(AUTOEVENTO&lt;&gt;"manual",$M105&lt;&gt;1)),
IF(Import.TipoArredondamento&lt;&gt;"TransfereGOV",
ROUND(OFFSET($P105,0,AC$13),15-13*ORÇAMENTO!$AF$7)/$H105*OFFSET(ORÇAMENTO!$X$15,ROW(AC105)-ROW(AC$15),0),
ROUND(ROUND(OFFSET($P105,0,AC$13),15-13*ORÇAMENTO!$AF$7)*OFFSET(ORÇAMENTO!$W$15,ROW(AC105)-ROW(AC$15),0),15-13*ORÇAMENTO!$AF$11)),0)</f>
        <v>0</v>
      </c>
      <c r="AD105" s="545">
        <f ca="1">IF(AND($D105="Serviço",AD$12&lt;&gt;0,$H105&gt;0,OR(AUTOEVENTO&lt;&gt;"manual",$M105&lt;&gt;1)),
IF(Import.TipoArredondamento&lt;&gt;"TransfereGOV",
ROUND(OFFSET($P105,0,AD$13),15-13*ORÇAMENTO!$AF$7)/$H105*OFFSET(ORÇAMENTO!$X$15,ROW(AD105)-ROW(AD$15),0),
ROUND(ROUND(OFFSET($P105,0,AD$13),15-13*ORÇAMENTO!$AF$7)*OFFSET(ORÇAMENTO!$W$15,ROW(AD105)-ROW(AD$15),0),15-13*ORÇAMENTO!$AF$11)),0)</f>
        <v>0</v>
      </c>
      <c r="AE105" s="545">
        <f ca="1">IF(AND($D105="Serviço",AE$12&lt;&gt;0,$H105&gt;0,OR(AUTOEVENTO&lt;&gt;"manual",$M105&lt;&gt;1)),
IF(Import.TipoArredondamento&lt;&gt;"TransfereGOV",
ROUND(OFFSET($P105,0,AE$13),15-13*ORÇAMENTO!$AF$7)/$H105*OFFSET(ORÇAMENTO!$X$15,ROW(AE105)-ROW(AE$15),0),
ROUND(ROUND(OFFSET($P105,0,AE$13),15-13*ORÇAMENTO!$AF$7)*OFFSET(ORÇAMENTO!$W$15,ROW(AE105)-ROW(AE$15),0),15-13*ORÇAMENTO!$AF$11)),0)</f>
        <v>0</v>
      </c>
      <c r="AF105" s="545">
        <f ca="1">IF(AND($D105="Serviço",AF$12&lt;&gt;0,$H105&gt;0,OR(AUTOEVENTO&lt;&gt;"manual",$M105&lt;&gt;1)),
IF(Import.TipoArredondamento&lt;&gt;"TransfereGOV",
ROUND(OFFSET($P105,0,AF$13),15-13*ORÇAMENTO!$AF$7)/$H105*OFFSET(ORÇAMENTO!$X$15,ROW(AF105)-ROW(AF$15),0),
ROUND(ROUND(OFFSET($P105,0,AF$13),15-13*ORÇAMENTO!$AF$7)*OFFSET(ORÇAMENTO!$W$15,ROW(AF105)-ROW(AF$15),0),15-13*ORÇAMENTO!$AF$11)),0)</f>
        <v>0</v>
      </c>
      <c r="AG105" s="545">
        <f ca="1">IF(AND($D105="Serviço",AG$12&lt;&gt;0,$H105&gt;0,OR(AUTOEVENTO&lt;&gt;"manual",$M105&lt;&gt;1)),
IF(Import.TipoArredondamento&lt;&gt;"TransfereGOV",
ROUND(OFFSET($P105,0,AG$13),15-13*ORÇAMENTO!$AF$7)/$H105*OFFSET(ORÇAMENTO!$X$15,ROW(AG105)-ROW(AG$15),0),
ROUND(ROUND(OFFSET($P105,0,AG$13),15-13*ORÇAMENTO!$AF$7)*OFFSET(ORÇAMENTO!$W$15,ROW(AG105)-ROW(AG$15),0),15-13*ORÇAMENTO!$AF$11)),0)</f>
        <v>0</v>
      </c>
      <c r="AH105" s="545">
        <f ca="1">IF(AND($D105="Serviço",AH$12&lt;&gt;0,$H105&gt;0,OR(AUTOEVENTO&lt;&gt;"manual",$M105&lt;&gt;1)),
IF(Import.TipoArredondamento&lt;&gt;"TransfereGOV",
ROUND(OFFSET($P105,0,AH$13),15-13*ORÇAMENTO!$AF$7)/$H105*OFFSET(ORÇAMENTO!$X$15,ROW(AH105)-ROW(AH$15),0),
ROUND(ROUND(OFFSET($P105,0,AH$13),15-13*ORÇAMENTO!$AF$7)*OFFSET(ORÇAMENTO!$W$15,ROW(AH105)-ROW(AH$15),0),15-13*ORÇAMENTO!$AF$11)),0)</f>
        <v>0</v>
      </c>
      <c r="AI105" s="545">
        <f ca="1">IF(AND($D105="Serviço",AI$12&lt;&gt;0,$H105&gt;0,OR(AUTOEVENTO&lt;&gt;"manual",$M105&lt;&gt;1)),
IF(Import.TipoArredondamento&lt;&gt;"TransfereGOV",
ROUND(OFFSET($P105,0,AI$13),15-13*ORÇAMENTO!$AF$7)/$H105*OFFSET(ORÇAMENTO!$X$15,ROW(AI105)-ROW(AI$15),0),
ROUND(ROUND(OFFSET($P105,0,AI$13),15-13*ORÇAMENTO!$AF$7)*OFFSET(ORÇAMENTO!$W$15,ROW(AI105)-ROW(AI$15),0),15-13*ORÇAMENTO!$AF$11)),0)</f>
        <v>0</v>
      </c>
      <c r="AJ105" s="545">
        <f ca="1">IF(AND($D105="Serviço",AJ$12&lt;&gt;0,$H105&gt;0,OR(AUTOEVENTO&lt;&gt;"manual",$M105&lt;&gt;1)),
IF(Import.TipoArredondamento&lt;&gt;"TransfereGOV",
ROUND(OFFSET($P105,0,AJ$13),15-13*ORÇAMENTO!$AF$7)/$H105*OFFSET(ORÇAMENTO!$X$15,ROW(AJ105)-ROW(AJ$15),0),
ROUND(ROUND(OFFSET($P105,0,AJ$13),15-13*ORÇAMENTO!$AF$7)*OFFSET(ORÇAMENTO!$W$15,ROW(AJ105)-ROW(AJ$15),0),15-13*ORÇAMENTO!$AF$11)),0)</f>
        <v>0</v>
      </c>
      <c r="AK105" s="546">
        <f ca="1">IF(AND($D105="Serviço",AK$12&lt;&gt;0,$H105&gt;0,OR(AUTOEVENTO&lt;&gt;"manual",$M105&lt;&gt;1)),
IF(Import.TipoArredondamento&lt;&gt;"TransfereGOV",
ROUND(OFFSET($P105,0,AK$13),15-13*ORÇAMENTO!$AF$7)/$H105*OFFSET(ORÇAMENTO!$X$15,ROW(AK105)-ROW(AK$15),0),
ROUND(ROUND(OFFSET($P105,0,AK$13),15-13*ORÇAMENTO!$AF$7)*OFFSET(ORÇAMENTO!$W$15,ROW(AK105)-ROW(AK$15),0),15-13*ORÇAMENTO!$AF$11)),0)</f>
        <v>0</v>
      </c>
      <c r="AM105" s="181">
        <f ca="1">IF($D105&lt;&gt;"Serviço",0,IF(AND(AUTOEVENTO="Manual",$M105=1),0,IF(OFFSET(CRONOPLE!$F$14,$M105,AM$13)="",10^12,OFFSET(CRONOPLE!$F$14,$M105,AM$13))))</f>
        <v>0</v>
      </c>
      <c r="AN105" s="181">
        <f ca="1">IF($D105&lt;&gt;"Serviço",0,IF(AND(AUTOEVENTO="Manual",$M105=1),0,IF(OFFSET(CRONOPLE!$F$14,$M105,AN$13)="",10^12,OFFSET(CRONOPLE!$F$14,$M105,AN$13))))</f>
        <v>0</v>
      </c>
      <c r="AO105" s="181">
        <f ca="1">IF($D105&lt;&gt;"Serviço",0,IF(AND(AUTOEVENTO="Manual",$M105=1),0,IF(OFFSET(CRONOPLE!$F$14,$M105,AO$13)="",10^12,OFFSET(CRONOPLE!$F$14,$M105,AO$13))))</f>
        <v>0</v>
      </c>
      <c r="AP105" s="181">
        <f ca="1">IF($D105&lt;&gt;"Serviço",0,IF(AND(AUTOEVENTO="Manual",$M105=1),0,IF(OFFSET(CRONOPLE!$F$14,$M105,AP$13)="",10^12,OFFSET(CRONOPLE!$F$14,$M105,AP$13))))</f>
        <v>0</v>
      </c>
      <c r="AQ105" s="181">
        <f ca="1">IF($D105&lt;&gt;"Serviço",0,IF(AND(AUTOEVENTO="Manual",$M105=1),0,IF(OFFSET(CRONOPLE!$F$14,$M105,AQ$13)="",10^12,OFFSET(CRONOPLE!$F$14,$M105,AQ$13))))</f>
        <v>0</v>
      </c>
      <c r="AR105" s="181">
        <f ca="1">IF($D105&lt;&gt;"Serviço",0,IF(AND(AUTOEVENTO="Manual",$M105=1),0,IF(OFFSET(CRONOPLE!$F$14,$M105,AR$13)="",10^12,OFFSET(CRONOPLE!$F$14,$M105,AR$13))))</f>
        <v>0</v>
      </c>
      <c r="AS105" s="181">
        <f ca="1">IF($D105&lt;&gt;"Serviço",0,IF(AND(AUTOEVENTO="Manual",$M105=1),0,IF(OFFSET(CRONOPLE!$F$14,$M105,AS$13)="",10^12,OFFSET(CRONOPLE!$F$14,$M105,AS$13))))</f>
        <v>0</v>
      </c>
      <c r="AT105" s="181">
        <f ca="1">IF($D105&lt;&gt;"Serviço",0,IF(AND(AUTOEVENTO="Manual",$M105=1),0,IF(OFFSET(CRONOPLE!$F$14,$M105,AT$13)="",10^12,OFFSET(CRONOPLE!$F$14,$M105,AT$13))))</f>
        <v>0</v>
      </c>
      <c r="AU105" s="181">
        <f ca="1">IF($D105&lt;&gt;"Serviço",0,IF(AND(AUTOEVENTO="Manual",$M105=1),0,IF(OFFSET(CRONOPLE!$F$14,$M105,AU$13)="",10^12,OFFSET(CRONOPLE!$F$14,$M105,AU$13))))</f>
        <v>0</v>
      </c>
      <c r="AV105" s="181">
        <f ca="1">IF($D105&lt;&gt;"Serviço",0,IF(AND(AUTOEVENTO="Manual",$M105=1),0,IF(OFFSET(CRONOPLE!$F$14,$M105,AV$13)="",10^12,OFFSET(CRONOPLE!$F$14,$M105,AV$13))))</f>
        <v>0</v>
      </c>
      <c r="AX105" s="182">
        <f ca="1">IF($D105&lt;&gt;"Serviço",0,IF(OR(AND(AUTOEVENTO="Manual",$M105=1),$M105&gt;(ROW(PLE.lastrow)-ROW(PLE.firstrow))),0,IF(OFFSET(PLE!$G$14,$M105,AX$13)="",10^12,OFFSET(PLE!$G$14,$M105,AX$13))))</f>
        <v>0</v>
      </c>
      <c r="AY105" s="182">
        <f ca="1">IF($D105&lt;&gt;"Serviço",0,IF(OR(AND(AUTOEVENTO="Manual",$M105=1),$M105&gt;(ROW(PLE.lastrow)-ROW(PLE.firstrow))),0,IF(OFFSET(PLE!$G$14,$M105,AY$13)="",10^12,OFFSET(PLE!$G$14,$M105,AY$13))))</f>
        <v>0</v>
      </c>
      <c r="AZ105" s="182">
        <f ca="1">IF($D105&lt;&gt;"Serviço",0,IF(OR(AND(AUTOEVENTO="Manual",$M105=1),$M105&gt;(ROW(PLE.lastrow)-ROW(PLE.firstrow))),0,IF(OFFSET(PLE!$G$14,$M105,AZ$13)="",10^12,OFFSET(PLE!$G$14,$M105,AZ$13))))</f>
        <v>0</v>
      </c>
      <c r="BA105" s="182">
        <f ca="1">IF($D105&lt;&gt;"Serviço",0,IF(OR(AND(AUTOEVENTO="Manual",$M105=1),$M105&gt;(ROW(PLE.lastrow)-ROW(PLE.firstrow))),0,IF(OFFSET(PLE!$G$14,$M105,BA$13)="",10^12,OFFSET(PLE!$G$14,$M105,BA$13))))</f>
        <v>0</v>
      </c>
      <c r="BB105" s="182">
        <f ca="1">IF($D105&lt;&gt;"Serviço",0,IF(OR(AND(AUTOEVENTO="Manual",$M105=1),$M105&gt;(ROW(PLE.lastrow)-ROW(PLE.firstrow))),0,IF(OFFSET(PLE!$G$14,$M105,BB$13)="",10^12,OFFSET(PLE!$G$14,$M105,BB$13))))</f>
        <v>0</v>
      </c>
      <c r="BC105" s="182">
        <f ca="1">IF($D105&lt;&gt;"Serviço",0,IF(OR(AND(AUTOEVENTO="Manual",$M105=1),$M105&gt;(ROW(PLE.lastrow)-ROW(PLE.firstrow))),0,IF(OFFSET(PLE!$G$14,$M105,BC$13)="",10^12,OFFSET(PLE!$G$14,$M105,BC$13))))</f>
        <v>0</v>
      </c>
      <c r="BD105" s="182">
        <f ca="1">IF($D105&lt;&gt;"Serviço",0,IF(OR(AND(AUTOEVENTO="Manual",$M105=1),$M105&gt;(ROW(PLE.lastrow)-ROW(PLE.firstrow))),0,IF(OFFSET(PLE!$G$14,$M105,BD$13)="",10^12,OFFSET(PLE!$G$14,$M105,BD$13))))</f>
        <v>0</v>
      </c>
      <c r="BE105" s="182">
        <f ca="1">IF($D105&lt;&gt;"Serviço",0,IF(OR(AND(AUTOEVENTO="Manual",$M105=1),$M105&gt;(ROW(PLE.lastrow)-ROW(PLE.firstrow))),0,IF(OFFSET(PLE!$G$14,$M105,BE$13)="",10^12,OFFSET(PLE!$G$14,$M105,BE$13))))</f>
        <v>0</v>
      </c>
      <c r="BF105" s="182">
        <f ca="1">IF($D105&lt;&gt;"Serviço",0,IF(OR(AND(AUTOEVENTO="Manual",$M105=1),$M105&gt;(ROW(PLE.lastrow)-ROW(PLE.firstrow))),0,IF(OFFSET(PLE!$G$14,$M105,BF$13)="",10^12,OFFSET(PLE!$G$14,$M105,BF$13))))</f>
        <v>0</v>
      </c>
      <c r="BG105" s="182">
        <f ca="1">IF($D105&lt;&gt;"Serviço",0,IF(OR(AND(AUTOEVENTO="Manual",$M105=1),$M105&gt;(ROW(PLE.lastrow)-ROW(PLE.firstrow))),0,IF(OFFSET(PLE!$G$14,$M105,BG$13)="",10^12,OFFSET(PLE!$G$14,$M105,BG$13))))</f>
        <v>0</v>
      </c>
    </row>
    <row r="106" spans="1:59" ht="12.75" x14ac:dyDescent="0.2">
      <c r="A106" s="7" t="str">
        <f t="shared" ca="1" si="9"/>
        <v>90.</v>
      </c>
      <c r="B106" s="7">
        <f ca="1">OFFSET(ORÇAMENTO!C$15,ROW(B106)-ROW(B$15),0)</f>
        <v>3</v>
      </c>
      <c r="C106" s="7" t="str">
        <f ca="1">OFFSET(ORÇAMENTO!L$15,ROW(C106)-ROW(C$15),0)</f>
        <v>F</v>
      </c>
      <c r="D106" s="118" t="str">
        <f ca="1">OFFSET(ORÇAMENTO!N$15,ROW(D106)-ROW(D$15),0)</f>
        <v>Nível 3</v>
      </c>
      <c r="E106" s="119" t="str">
        <f ca="1">OFFSET(ORÇAMENTO!O$15,ROW(E106)-ROW(E$15),0)</f>
        <v>1.5.1.</v>
      </c>
      <c r="F106" s="172" t="str">
        <f ca="1">OFFSET(ORÇAMENTO!R$15,ROW(F106)-ROW(F$15),0)</f>
        <v>ELEMENTOS VAZADOS</v>
      </c>
      <c r="G106" s="173" t="str">
        <f ca="1">IF($D106&lt;&gt;"Serviço","",OFFSET(ORÇAMENTO!S$15,ROW(G106)-ROW(G$15),0))</f>
        <v/>
      </c>
      <c r="H106" s="124">
        <f ca="1">IF($D106&lt;&gt;"Serviço",0,IF(ACOMPANHAMENTO="BM",ROUND(OFFSET(ORÇAMENTO!AJ$15,ROW(H106)-ROW(H$15),0),15-13*ORÇAMENTO!$AF$7),SUMPRODUCT(($Q$12:$AA$12&lt;&gt;"")*ROUND($Q106:$AA106,15-13*ORÇAMENTO!$AF$7))))</f>
        <v>0</v>
      </c>
      <c r="I106" s="561"/>
      <c r="K106" s="174"/>
      <c r="L106" s="175" t="s">
        <v>255</v>
      </c>
      <c r="M106" s="176" t="str">
        <f ca="1">IF($D106&lt;&gt;"Serviço","",IF(AUTOEVENTO="manual",$A106,IF(ISERROR(MATCH($A106,$A$15:OFFSET($A106,-1,0),0)),MAX($M$15:OFFSET(M106,-1,0))+1,INDEX($M$15:OFFSET(M106,-1,0),MATCH($A106,$A$15:OFFSET($A106,-1,0),0)))))</f>
        <v/>
      </c>
      <c r="N106" s="177" t="str">
        <f ca="1">IF($D106&lt;&gt;"Serviço","",IF(AUTOEVENTO="Manual",IF($A106=0,"&lt;-- defina o número do agrupador",OFFSET(EVENTOS!$D$14,$A106,0)),OFFSET($F$15,$A106,0)))</f>
        <v/>
      </c>
      <c r="O106" s="178"/>
      <c r="Q106" s="178"/>
      <c r="R106" s="179"/>
      <c r="S106" s="179"/>
      <c r="T106" s="179"/>
      <c r="U106" s="179"/>
      <c r="V106" s="179"/>
      <c r="W106" s="179"/>
      <c r="X106" s="179"/>
      <c r="Y106" s="179"/>
      <c r="Z106" s="180"/>
      <c r="AB106" s="544">
        <f ca="1">IF(AND($D106="Serviço",AB$12&lt;&gt;0,$H106&gt;0,OR(AUTOEVENTO&lt;&gt;"manual",$M106&lt;&gt;1)),
IF(Import.TipoArredondamento&lt;&gt;"TransfereGOV",
ROUND(OFFSET($P106,0,AB$13),15-13*ORÇAMENTO!$AF$7)/$H106*OFFSET(ORÇAMENTO!$X$15,ROW(AB106)-ROW(AB$15),0),
ROUND(ROUND(OFFSET($P106,0,AB$13),15-13*ORÇAMENTO!$AF$7)*OFFSET(ORÇAMENTO!$W$15,ROW(AB106)-ROW(AB$15),0),15-13*ORÇAMENTO!$AF$11)),0)</f>
        <v>0</v>
      </c>
      <c r="AC106" s="545">
        <f ca="1">IF(AND($D106="Serviço",AC$12&lt;&gt;0,$H106&gt;0,OR(AUTOEVENTO&lt;&gt;"manual",$M106&lt;&gt;1)),
IF(Import.TipoArredondamento&lt;&gt;"TransfereGOV",
ROUND(OFFSET($P106,0,AC$13),15-13*ORÇAMENTO!$AF$7)/$H106*OFFSET(ORÇAMENTO!$X$15,ROW(AC106)-ROW(AC$15),0),
ROUND(ROUND(OFFSET($P106,0,AC$13),15-13*ORÇAMENTO!$AF$7)*OFFSET(ORÇAMENTO!$W$15,ROW(AC106)-ROW(AC$15),0),15-13*ORÇAMENTO!$AF$11)),0)</f>
        <v>0</v>
      </c>
      <c r="AD106" s="545">
        <f ca="1">IF(AND($D106="Serviço",AD$12&lt;&gt;0,$H106&gt;0,OR(AUTOEVENTO&lt;&gt;"manual",$M106&lt;&gt;1)),
IF(Import.TipoArredondamento&lt;&gt;"TransfereGOV",
ROUND(OFFSET($P106,0,AD$13),15-13*ORÇAMENTO!$AF$7)/$H106*OFFSET(ORÇAMENTO!$X$15,ROW(AD106)-ROW(AD$15),0),
ROUND(ROUND(OFFSET($P106,0,AD$13),15-13*ORÇAMENTO!$AF$7)*OFFSET(ORÇAMENTO!$W$15,ROW(AD106)-ROW(AD$15),0),15-13*ORÇAMENTO!$AF$11)),0)</f>
        <v>0</v>
      </c>
      <c r="AE106" s="545">
        <f ca="1">IF(AND($D106="Serviço",AE$12&lt;&gt;0,$H106&gt;0,OR(AUTOEVENTO&lt;&gt;"manual",$M106&lt;&gt;1)),
IF(Import.TipoArredondamento&lt;&gt;"TransfereGOV",
ROUND(OFFSET($P106,0,AE$13),15-13*ORÇAMENTO!$AF$7)/$H106*OFFSET(ORÇAMENTO!$X$15,ROW(AE106)-ROW(AE$15),0),
ROUND(ROUND(OFFSET($P106,0,AE$13),15-13*ORÇAMENTO!$AF$7)*OFFSET(ORÇAMENTO!$W$15,ROW(AE106)-ROW(AE$15),0),15-13*ORÇAMENTO!$AF$11)),0)</f>
        <v>0</v>
      </c>
      <c r="AF106" s="545">
        <f ca="1">IF(AND($D106="Serviço",AF$12&lt;&gt;0,$H106&gt;0,OR(AUTOEVENTO&lt;&gt;"manual",$M106&lt;&gt;1)),
IF(Import.TipoArredondamento&lt;&gt;"TransfereGOV",
ROUND(OFFSET($P106,0,AF$13),15-13*ORÇAMENTO!$AF$7)/$H106*OFFSET(ORÇAMENTO!$X$15,ROW(AF106)-ROW(AF$15),0),
ROUND(ROUND(OFFSET($P106,0,AF$13),15-13*ORÇAMENTO!$AF$7)*OFFSET(ORÇAMENTO!$W$15,ROW(AF106)-ROW(AF$15),0),15-13*ORÇAMENTO!$AF$11)),0)</f>
        <v>0</v>
      </c>
      <c r="AG106" s="545">
        <f ca="1">IF(AND($D106="Serviço",AG$12&lt;&gt;0,$H106&gt;0,OR(AUTOEVENTO&lt;&gt;"manual",$M106&lt;&gt;1)),
IF(Import.TipoArredondamento&lt;&gt;"TransfereGOV",
ROUND(OFFSET($P106,0,AG$13),15-13*ORÇAMENTO!$AF$7)/$H106*OFFSET(ORÇAMENTO!$X$15,ROW(AG106)-ROW(AG$15),0),
ROUND(ROUND(OFFSET($P106,0,AG$13),15-13*ORÇAMENTO!$AF$7)*OFFSET(ORÇAMENTO!$W$15,ROW(AG106)-ROW(AG$15),0),15-13*ORÇAMENTO!$AF$11)),0)</f>
        <v>0</v>
      </c>
      <c r="AH106" s="545">
        <f ca="1">IF(AND($D106="Serviço",AH$12&lt;&gt;0,$H106&gt;0,OR(AUTOEVENTO&lt;&gt;"manual",$M106&lt;&gt;1)),
IF(Import.TipoArredondamento&lt;&gt;"TransfereGOV",
ROUND(OFFSET($P106,0,AH$13),15-13*ORÇAMENTO!$AF$7)/$H106*OFFSET(ORÇAMENTO!$X$15,ROW(AH106)-ROW(AH$15),0),
ROUND(ROUND(OFFSET($P106,0,AH$13),15-13*ORÇAMENTO!$AF$7)*OFFSET(ORÇAMENTO!$W$15,ROW(AH106)-ROW(AH$15),0),15-13*ORÇAMENTO!$AF$11)),0)</f>
        <v>0</v>
      </c>
      <c r="AI106" s="545">
        <f ca="1">IF(AND($D106="Serviço",AI$12&lt;&gt;0,$H106&gt;0,OR(AUTOEVENTO&lt;&gt;"manual",$M106&lt;&gt;1)),
IF(Import.TipoArredondamento&lt;&gt;"TransfereGOV",
ROUND(OFFSET($P106,0,AI$13),15-13*ORÇAMENTO!$AF$7)/$H106*OFFSET(ORÇAMENTO!$X$15,ROW(AI106)-ROW(AI$15),0),
ROUND(ROUND(OFFSET($P106,0,AI$13),15-13*ORÇAMENTO!$AF$7)*OFFSET(ORÇAMENTO!$W$15,ROW(AI106)-ROW(AI$15),0),15-13*ORÇAMENTO!$AF$11)),0)</f>
        <v>0</v>
      </c>
      <c r="AJ106" s="545">
        <f ca="1">IF(AND($D106="Serviço",AJ$12&lt;&gt;0,$H106&gt;0,OR(AUTOEVENTO&lt;&gt;"manual",$M106&lt;&gt;1)),
IF(Import.TipoArredondamento&lt;&gt;"TransfereGOV",
ROUND(OFFSET($P106,0,AJ$13),15-13*ORÇAMENTO!$AF$7)/$H106*OFFSET(ORÇAMENTO!$X$15,ROW(AJ106)-ROW(AJ$15),0),
ROUND(ROUND(OFFSET($P106,0,AJ$13),15-13*ORÇAMENTO!$AF$7)*OFFSET(ORÇAMENTO!$W$15,ROW(AJ106)-ROW(AJ$15),0),15-13*ORÇAMENTO!$AF$11)),0)</f>
        <v>0</v>
      </c>
      <c r="AK106" s="546">
        <f ca="1">IF(AND($D106="Serviço",AK$12&lt;&gt;0,$H106&gt;0,OR(AUTOEVENTO&lt;&gt;"manual",$M106&lt;&gt;1)),
IF(Import.TipoArredondamento&lt;&gt;"TransfereGOV",
ROUND(OFFSET($P106,0,AK$13),15-13*ORÇAMENTO!$AF$7)/$H106*OFFSET(ORÇAMENTO!$X$15,ROW(AK106)-ROW(AK$15),0),
ROUND(ROUND(OFFSET($P106,0,AK$13),15-13*ORÇAMENTO!$AF$7)*OFFSET(ORÇAMENTO!$W$15,ROW(AK106)-ROW(AK$15),0),15-13*ORÇAMENTO!$AF$11)),0)</f>
        <v>0</v>
      </c>
      <c r="AM106" s="181">
        <f ca="1">IF($D106&lt;&gt;"Serviço",0,IF(AND(AUTOEVENTO="Manual",$M106=1),0,IF(OFFSET(CRONOPLE!$F$14,$M106,AM$13)="",10^12,OFFSET(CRONOPLE!$F$14,$M106,AM$13))))</f>
        <v>0</v>
      </c>
      <c r="AN106" s="181">
        <f ca="1">IF($D106&lt;&gt;"Serviço",0,IF(AND(AUTOEVENTO="Manual",$M106=1),0,IF(OFFSET(CRONOPLE!$F$14,$M106,AN$13)="",10^12,OFFSET(CRONOPLE!$F$14,$M106,AN$13))))</f>
        <v>0</v>
      </c>
      <c r="AO106" s="181">
        <f ca="1">IF($D106&lt;&gt;"Serviço",0,IF(AND(AUTOEVENTO="Manual",$M106=1),0,IF(OFFSET(CRONOPLE!$F$14,$M106,AO$13)="",10^12,OFFSET(CRONOPLE!$F$14,$M106,AO$13))))</f>
        <v>0</v>
      </c>
      <c r="AP106" s="181">
        <f ca="1">IF($D106&lt;&gt;"Serviço",0,IF(AND(AUTOEVENTO="Manual",$M106=1),0,IF(OFFSET(CRONOPLE!$F$14,$M106,AP$13)="",10^12,OFFSET(CRONOPLE!$F$14,$M106,AP$13))))</f>
        <v>0</v>
      </c>
      <c r="AQ106" s="181">
        <f ca="1">IF($D106&lt;&gt;"Serviço",0,IF(AND(AUTOEVENTO="Manual",$M106=1),0,IF(OFFSET(CRONOPLE!$F$14,$M106,AQ$13)="",10^12,OFFSET(CRONOPLE!$F$14,$M106,AQ$13))))</f>
        <v>0</v>
      </c>
      <c r="AR106" s="181">
        <f ca="1">IF($D106&lt;&gt;"Serviço",0,IF(AND(AUTOEVENTO="Manual",$M106=1),0,IF(OFFSET(CRONOPLE!$F$14,$M106,AR$13)="",10^12,OFFSET(CRONOPLE!$F$14,$M106,AR$13))))</f>
        <v>0</v>
      </c>
      <c r="AS106" s="181">
        <f ca="1">IF($D106&lt;&gt;"Serviço",0,IF(AND(AUTOEVENTO="Manual",$M106=1),0,IF(OFFSET(CRONOPLE!$F$14,$M106,AS$13)="",10^12,OFFSET(CRONOPLE!$F$14,$M106,AS$13))))</f>
        <v>0</v>
      </c>
      <c r="AT106" s="181">
        <f ca="1">IF($D106&lt;&gt;"Serviço",0,IF(AND(AUTOEVENTO="Manual",$M106=1),0,IF(OFFSET(CRONOPLE!$F$14,$M106,AT$13)="",10^12,OFFSET(CRONOPLE!$F$14,$M106,AT$13))))</f>
        <v>0</v>
      </c>
      <c r="AU106" s="181">
        <f ca="1">IF($D106&lt;&gt;"Serviço",0,IF(AND(AUTOEVENTO="Manual",$M106=1),0,IF(OFFSET(CRONOPLE!$F$14,$M106,AU$13)="",10^12,OFFSET(CRONOPLE!$F$14,$M106,AU$13))))</f>
        <v>0</v>
      </c>
      <c r="AV106" s="181">
        <f ca="1">IF($D106&lt;&gt;"Serviço",0,IF(AND(AUTOEVENTO="Manual",$M106=1),0,IF(OFFSET(CRONOPLE!$F$14,$M106,AV$13)="",10^12,OFFSET(CRONOPLE!$F$14,$M106,AV$13))))</f>
        <v>0</v>
      </c>
      <c r="AX106" s="182">
        <f ca="1">IF($D106&lt;&gt;"Serviço",0,IF(OR(AND(AUTOEVENTO="Manual",$M106=1),$M106&gt;(ROW(PLE.lastrow)-ROW(PLE.firstrow))),0,IF(OFFSET(PLE!$G$14,$M106,AX$13)="",10^12,OFFSET(PLE!$G$14,$M106,AX$13))))</f>
        <v>0</v>
      </c>
      <c r="AY106" s="182">
        <f ca="1">IF($D106&lt;&gt;"Serviço",0,IF(OR(AND(AUTOEVENTO="Manual",$M106=1),$M106&gt;(ROW(PLE.lastrow)-ROW(PLE.firstrow))),0,IF(OFFSET(PLE!$G$14,$M106,AY$13)="",10^12,OFFSET(PLE!$G$14,$M106,AY$13))))</f>
        <v>0</v>
      </c>
      <c r="AZ106" s="182">
        <f ca="1">IF($D106&lt;&gt;"Serviço",0,IF(OR(AND(AUTOEVENTO="Manual",$M106=1),$M106&gt;(ROW(PLE.lastrow)-ROW(PLE.firstrow))),0,IF(OFFSET(PLE!$G$14,$M106,AZ$13)="",10^12,OFFSET(PLE!$G$14,$M106,AZ$13))))</f>
        <v>0</v>
      </c>
      <c r="BA106" s="182">
        <f ca="1">IF($D106&lt;&gt;"Serviço",0,IF(OR(AND(AUTOEVENTO="Manual",$M106=1),$M106&gt;(ROW(PLE.lastrow)-ROW(PLE.firstrow))),0,IF(OFFSET(PLE!$G$14,$M106,BA$13)="",10^12,OFFSET(PLE!$G$14,$M106,BA$13))))</f>
        <v>0</v>
      </c>
      <c r="BB106" s="182">
        <f ca="1">IF($D106&lt;&gt;"Serviço",0,IF(OR(AND(AUTOEVENTO="Manual",$M106=1),$M106&gt;(ROW(PLE.lastrow)-ROW(PLE.firstrow))),0,IF(OFFSET(PLE!$G$14,$M106,BB$13)="",10^12,OFFSET(PLE!$G$14,$M106,BB$13))))</f>
        <v>0</v>
      </c>
      <c r="BC106" s="182">
        <f ca="1">IF($D106&lt;&gt;"Serviço",0,IF(OR(AND(AUTOEVENTO="Manual",$M106=1),$M106&gt;(ROW(PLE.lastrow)-ROW(PLE.firstrow))),0,IF(OFFSET(PLE!$G$14,$M106,BC$13)="",10^12,OFFSET(PLE!$G$14,$M106,BC$13))))</f>
        <v>0</v>
      </c>
      <c r="BD106" s="182">
        <f ca="1">IF($D106&lt;&gt;"Serviço",0,IF(OR(AND(AUTOEVENTO="Manual",$M106=1),$M106&gt;(ROW(PLE.lastrow)-ROW(PLE.firstrow))),0,IF(OFFSET(PLE!$G$14,$M106,BD$13)="",10^12,OFFSET(PLE!$G$14,$M106,BD$13))))</f>
        <v>0</v>
      </c>
      <c r="BE106" s="182">
        <f ca="1">IF($D106&lt;&gt;"Serviço",0,IF(OR(AND(AUTOEVENTO="Manual",$M106=1),$M106&gt;(ROW(PLE.lastrow)-ROW(PLE.firstrow))),0,IF(OFFSET(PLE!$G$14,$M106,BE$13)="",10^12,OFFSET(PLE!$G$14,$M106,BE$13))))</f>
        <v>0</v>
      </c>
      <c r="BF106" s="182">
        <f ca="1">IF($D106&lt;&gt;"Serviço",0,IF(OR(AND(AUTOEVENTO="Manual",$M106=1),$M106&gt;(ROW(PLE.lastrow)-ROW(PLE.firstrow))),0,IF(OFFSET(PLE!$G$14,$M106,BF$13)="",10^12,OFFSET(PLE!$G$14,$M106,BF$13))))</f>
        <v>0</v>
      </c>
      <c r="BG106" s="182">
        <f ca="1">IF($D106&lt;&gt;"Serviço",0,IF(OR(AND(AUTOEVENTO="Manual",$M106=1),$M106&gt;(ROW(PLE.lastrow)-ROW(PLE.firstrow))),0,IF(OFFSET(PLE!$G$14,$M106,BG$13)="",10^12,OFFSET(PLE!$G$14,$M106,BG$13))))</f>
        <v>0</v>
      </c>
    </row>
    <row r="107" spans="1:59" ht="38.25" x14ac:dyDescent="0.2">
      <c r="A107" s="7" t="str">
        <f t="shared" ca="1" si="9"/>
        <v>90</v>
      </c>
      <c r="B107" s="7" t="str">
        <f ca="1">OFFSET(ORÇAMENTO!C$15,ROW(B107)-ROW(B$15),0)</f>
        <v>S</v>
      </c>
      <c r="C107" s="7" t="str">
        <f ca="1">OFFSET(ORÇAMENTO!L$15,ROW(C107)-ROW(C$15),0)</f>
        <v/>
      </c>
      <c r="D107" s="118" t="str">
        <f ca="1">OFFSET(ORÇAMENTO!N$15,ROW(D107)-ROW(D$15),0)</f>
        <v>Serviço</v>
      </c>
      <c r="E107" s="119" t="str">
        <f ca="1">OFFSET(ORÇAMENTO!O$15,ROW(E107)-ROW(E$15),0)</f>
        <v>-</v>
      </c>
      <c r="F107" s="172" t="str">
        <f ca="1">OFFSET(ORÇAMENTO!R$15,ROW(F107)-ROW(F$15),0)</f>
        <v>(abra o arquivo 'Referência 02-2025.xlsm)</v>
      </c>
      <c r="G107" s="173" t="str">
        <f ca="1">IF($D107&lt;&gt;"Serviço","",OFFSET(ORÇAMENTO!S$15,ROW(G107)-ROW(G$15),0))</f>
        <v>-</v>
      </c>
      <c r="H107" s="124">
        <f ca="1">IF($D107&lt;&gt;"Serviço",0,IF(ACOMPANHAMENTO="BM",ROUND(OFFSET(ORÇAMENTO!AJ$15,ROW(H107)-ROW(H$15),0),15-13*ORÇAMENTO!$AF$7),SUMPRODUCT(($Q$12:$AA$12&lt;&gt;"")*ROUND($Q107:$AA107,15-13*ORÇAMENTO!$AF$7))))</f>
        <v>4.8</v>
      </c>
      <c r="I107" s="561" t="s">
        <v>890</v>
      </c>
      <c r="K107" s="174"/>
      <c r="L107" s="175" t="s">
        <v>255</v>
      </c>
      <c r="M107" s="176">
        <f ca="1">IF($D107&lt;&gt;"Serviço","",IF(AUTOEVENTO="manual",$A107,IF(ISERROR(MATCH($A107,$A$15:OFFSET($A107,-1,0),0)),MAX($M$15:OFFSET(M107,-1,0))+1,INDEX($M$15:OFFSET(M107,-1,0),MATCH($A107,$A$15:OFFSET($A107,-1,0),0)))))</f>
        <v>6</v>
      </c>
      <c r="N107" s="177" t="str">
        <f ca="1">IF($D107&lt;&gt;"Serviço","",IF(AUTOEVENTO="Manual",IF($A107=0,"&lt;-- defina o número do agrupador",OFFSET(EVENTOS!$D$14,$A107,0)),OFFSET($F$15,$A107,0)))</f>
        <v>SISTEMA DE VEDAÇÃO VERTICAL</v>
      </c>
      <c r="O107" s="178"/>
      <c r="Q107" s="178"/>
      <c r="R107" s="179"/>
      <c r="S107" s="179"/>
      <c r="T107" s="179"/>
      <c r="U107" s="179"/>
      <c r="V107" s="179"/>
      <c r="W107" s="179"/>
      <c r="X107" s="179"/>
      <c r="Y107" s="179"/>
      <c r="Z107" s="180"/>
      <c r="AB107" s="544">
        <f ca="1">IF(AND($D107="Serviço",AB$12&lt;&gt;0,$H107&gt;0,OR(AUTOEVENTO&lt;&gt;"manual",$M107&lt;&gt;1)),
IF(Import.TipoArredondamento&lt;&gt;"TransfereGOV",
ROUND(OFFSET($P107,0,AB$13),15-13*ORÇAMENTO!$AF$7)/$H107*OFFSET(ORÇAMENTO!$X$15,ROW(AB107)-ROW(AB$15),0),
ROUND(ROUND(OFFSET($P107,0,AB$13),15-13*ORÇAMENTO!$AF$7)*OFFSET(ORÇAMENTO!$W$15,ROW(AB107)-ROW(AB$15),0),15-13*ORÇAMENTO!$AF$11)),0)</f>
        <v>0</v>
      </c>
      <c r="AC107" s="545">
        <f ca="1">IF(AND($D107="Serviço",AC$12&lt;&gt;0,$H107&gt;0,OR(AUTOEVENTO&lt;&gt;"manual",$M107&lt;&gt;1)),
IF(Import.TipoArredondamento&lt;&gt;"TransfereGOV",
ROUND(OFFSET($P107,0,AC$13),15-13*ORÇAMENTO!$AF$7)/$H107*OFFSET(ORÇAMENTO!$X$15,ROW(AC107)-ROW(AC$15),0),
ROUND(ROUND(OFFSET($P107,0,AC$13),15-13*ORÇAMENTO!$AF$7)*OFFSET(ORÇAMENTO!$W$15,ROW(AC107)-ROW(AC$15),0),15-13*ORÇAMENTO!$AF$11)),0)</f>
        <v>0</v>
      </c>
      <c r="AD107" s="545">
        <f ca="1">IF(AND($D107="Serviço",AD$12&lt;&gt;0,$H107&gt;0,OR(AUTOEVENTO&lt;&gt;"manual",$M107&lt;&gt;1)),
IF(Import.TipoArredondamento&lt;&gt;"TransfereGOV",
ROUND(OFFSET($P107,0,AD$13),15-13*ORÇAMENTO!$AF$7)/$H107*OFFSET(ORÇAMENTO!$X$15,ROW(AD107)-ROW(AD$15),0),
ROUND(ROUND(OFFSET($P107,0,AD$13),15-13*ORÇAMENTO!$AF$7)*OFFSET(ORÇAMENTO!$W$15,ROW(AD107)-ROW(AD$15),0),15-13*ORÇAMENTO!$AF$11)),0)</f>
        <v>0</v>
      </c>
      <c r="AE107" s="545">
        <f ca="1">IF(AND($D107="Serviço",AE$12&lt;&gt;0,$H107&gt;0,OR(AUTOEVENTO&lt;&gt;"manual",$M107&lt;&gt;1)),
IF(Import.TipoArredondamento&lt;&gt;"TransfereGOV",
ROUND(OFFSET($P107,0,AE$13),15-13*ORÇAMENTO!$AF$7)/$H107*OFFSET(ORÇAMENTO!$X$15,ROW(AE107)-ROW(AE$15),0),
ROUND(ROUND(OFFSET($P107,0,AE$13),15-13*ORÇAMENTO!$AF$7)*OFFSET(ORÇAMENTO!$W$15,ROW(AE107)-ROW(AE$15),0),15-13*ORÇAMENTO!$AF$11)),0)</f>
        <v>0</v>
      </c>
      <c r="AF107" s="545">
        <f ca="1">IF(AND($D107="Serviço",AF$12&lt;&gt;0,$H107&gt;0,OR(AUTOEVENTO&lt;&gt;"manual",$M107&lt;&gt;1)),
IF(Import.TipoArredondamento&lt;&gt;"TransfereGOV",
ROUND(OFFSET($P107,0,AF$13),15-13*ORÇAMENTO!$AF$7)/$H107*OFFSET(ORÇAMENTO!$X$15,ROW(AF107)-ROW(AF$15),0),
ROUND(ROUND(OFFSET($P107,0,AF$13),15-13*ORÇAMENTO!$AF$7)*OFFSET(ORÇAMENTO!$W$15,ROW(AF107)-ROW(AF$15),0),15-13*ORÇAMENTO!$AF$11)),0)</f>
        <v>0</v>
      </c>
      <c r="AG107" s="545">
        <f ca="1">IF(AND($D107="Serviço",AG$12&lt;&gt;0,$H107&gt;0,OR(AUTOEVENTO&lt;&gt;"manual",$M107&lt;&gt;1)),
IF(Import.TipoArredondamento&lt;&gt;"TransfereGOV",
ROUND(OFFSET($P107,0,AG$13),15-13*ORÇAMENTO!$AF$7)/$H107*OFFSET(ORÇAMENTO!$X$15,ROW(AG107)-ROW(AG$15),0),
ROUND(ROUND(OFFSET($P107,0,AG$13),15-13*ORÇAMENTO!$AF$7)*OFFSET(ORÇAMENTO!$W$15,ROW(AG107)-ROW(AG$15),0),15-13*ORÇAMENTO!$AF$11)),0)</f>
        <v>0</v>
      </c>
      <c r="AH107" s="545">
        <f ca="1">IF(AND($D107="Serviço",AH$12&lt;&gt;0,$H107&gt;0,OR(AUTOEVENTO&lt;&gt;"manual",$M107&lt;&gt;1)),
IF(Import.TipoArredondamento&lt;&gt;"TransfereGOV",
ROUND(OFFSET($P107,0,AH$13),15-13*ORÇAMENTO!$AF$7)/$H107*OFFSET(ORÇAMENTO!$X$15,ROW(AH107)-ROW(AH$15),0),
ROUND(ROUND(OFFSET($P107,0,AH$13),15-13*ORÇAMENTO!$AF$7)*OFFSET(ORÇAMENTO!$W$15,ROW(AH107)-ROW(AH$15),0),15-13*ORÇAMENTO!$AF$11)),0)</f>
        <v>0</v>
      </c>
      <c r="AI107" s="545">
        <f ca="1">IF(AND($D107="Serviço",AI$12&lt;&gt;0,$H107&gt;0,OR(AUTOEVENTO&lt;&gt;"manual",$M107&lt;&gt;1)),
IF(Import.TipoArredondamento&lt;&gt;"TransfereGOV",
ROUND(OFFSET($P107,0,AI$13),15-13*ORÇAMENTO!$AF$7)/$H107*OFFSET(ORÇAMENTO!$X$15,ROW(AI107)-ROW(AI$15),0),
ROUND(ROUND(OFFSET($P107,0,AI$13),15-13*ORÇAMENTO!$AF$7)*OFFSET(ORÇAMENTO!$W$15,ROW(AI107)-ROW(AI$15),0),15-13*ORÇAMENTO!$AF$11)),0)</f>
        <v>0</v>
      </c>
      <c r="AJ107" s="545">
        <f ca="1">IF(AND($D107="Serviço",AJ$12&lt;&gt;0,$H107&gt;0,OR(AUTOEVENTO&lt;&gt;"manual",$M107&lt;&gt;1)),
IF(Import.TipoArredondamento&lt;&gt;"TransfereGOV",
ROUND(OFFSET($P107,0,AJ$13),15-13*ORÇAMENTO!$AF$7)/$H107*OFFSET(ORÇAMENTO!$X$15,ROW(AJ107)-ROW(AJ$15),0),
ROUND(ROUND(OFFSET($P107,0,AJ$13),15-13*ORÇAMENTO!$AF$7)*OFFSET(ORÇAMENTO!$W$15,ROW(AJ107)-ROW(AJ$15),0),15-13*ORÇAMENTO!$AF$11)),0)</f>
        <v>0</v>
      </c>
      <c r="AK107" s="546">
        <f ca="1">IF(AND($D107="Serviço",AK$12&lt;&gt;0,$H107&gt;0,OR(AUTOEVENTO&lt;&gt;"manual",$M107&lt;&gt;1)),
IF(Import.TipoArredondamento&lt;&gt;"TransfereGOV",
ROUND(OFFSET($P107,0,AK$13),15-13*ORÇAMENTO!$AF$7)/$H107*OFFSET(ORÇAMENTO!$X$15,ROW(AK107)-ROW(AK$15),0),
ROUND(ROUND(OFFSET($P107,0,AK$13),15-13*ORÇAMENTO!$AF$7)*OFFSET(ORÇAMENTO!$W$15,ROW(AK107)-ROW(AK$15),0),15-13*ORÇAMENTO!$AF$11)),0)</f>
        <v>0</v>
      </c>
      <c r="AM107" s="181">
        <f ca="1">IF($D107&lt;&gt;"Serviço",0,IF(AND(AUTOEVENTO="Manual",$M107=1),0,IF(OFFSET(CRONOPLE!$F$14,$M107,AM$13)="",10^12,OFFSET(CRONOPLE!$F$14,$M107,AM$13))))</f>
        <v>1000000000000</v>
      </c>
      <c r="AN107" s="181">
        <f ca="1">IF($D107&lt;&gt;"Serviço",0,IF(AND(AUTOEVENTO="Manual",$M107=1),0,IF(OFFSET(CRONOPLE!$F$14,$M107,AN$13)="",10^12,OFFSET(CRONOPLE!$F$14,$M107,AN$13))))</f>
        <v>1000000000000</v>
      </c>
      <c r="AO107" s="181">
        <f ca="1">IF($D107&lt;&gt;"Serviço",0,IF(AND(AUTOEVENTO="Manual",$M107=1),0,IF(OFFSET(CRONOPLE!$F$14,$M107,AO$13)="",10^12,OFFSET(CRONOPLE!$F$14,$M107,AO$13))))</f>
        <v>1000000000000</v>
      </c>
      <c r="AP107" s="181">
        <f ca="1">IF($D107&lt;&gt;"Serviço",0,IF(AND(AUTOEVENTO="Manual",$M107=1),0,IF(OFFSET(CRONOPLE!$F$14,$M107,AP$13)="",10^12,OFFSET(CRONOPLE!$F$14,$M107,AP$13))))</f>
        <v>1000000000000</v>
      </c>
      <c r="AQ107" s="181">
        <f ca="1">IF($D107&lt;&gt;"Serviço",0,IF(AND(AUTOEVENTO="Manual",$M107=1),0,IF(OFFSET(CRONOPLE!$F$14,$M107,AQ$13)="",10^12,OFFSET(CRONOPLE!$F$14,$M107,AQ$13))))</f>
        <v>1000000000000</v>
      </c>
      <c r="AR107" s="181">
        <f ca="1">IF($D107&lt;&gt;"Serviço",0,IF(AND(AUTOEVENTO="Manual",$M107=1),0,IF(OFFSET(CRONOPLE!$F$14,$M107,AR$13)="",10^12,OFFSET(CRONOPLE!$F$14,$M107,AR$13))))</f>
        <v>1000000000000</v>
      </c>
      <c r="AS107" s="181">
        <f ca="1">IF($D107&lt;&gt;"Serviço",0,IF(AND(AUTOEVENTO="Manual",$M107=1),0,IF(OFFSET(CRONOPLE!$F$14,$M107,AS$13)="",10^12,OFFSET(CRONOPLE!$F$14,$M107,AS$13))))</f>
        <v>1000000000000</v>
      </c>
      <c r="AT107" s="181">
        <f ca="1">IF($D107&lt;&gt;"Serviço",0,IF(AND(AUTOEVENTO="Manual",$M107=1),0,IF(OFFSET(CRONOPLE!$F$14,$M107,AT$13)="",10^12,OFFSET(CRONOPLE!$F$14,$M107,AT$13))))</f>
        <v>1000000000000</v>
      </c>
      <c r="AU107" s="181">
        <f ca="1">IF($D107&lt;&gt;"Serviço",0,IF(AND(AUTOEVENTO="Manual",$M107=1),0,IF(OFFSET(CRONOPLE!$F$14,$M107,AU$13)="",10^12,OFFSET(CRONOPLE!$F$14,$M107,AU$13))))</f>
        <v>1000000000000</v>
      </c>
      <c r="AV107" s="181">
        <f ca="1">IF($D107&lt;&gt;"Serviço",0,IF(AND(AUTOEVENTO="Manual",$M107=1),0,IF(OFFSET(CRONOPLE!$F$14,$M107,AV$13)="",10^12,OFFSET(CRONOPLE!$F$14,$M107,AV$13))))</f>
        <v>1000000000000</v>
      </c>
      <c r="AX107" s="182">
        <f ca="1">IF($D107&lt;&gt;"Serviço",0,IF(OR(AND(AUTOEVENTO="Manual",$M107=1),$M107&gt;(ROW(PLE.lastrow)-ROW(PLE.firstrow))),0,IF(OFFSET(PLE!$G$14,$M107,AX$13)="",10^12,OFFSET(PLE!$G$14,$M107,AX$13))))</f>
        <v>1000000000000</v>
      </c>
      <c r="AY107" s="182">
        <f ca="1">IF($D107&lt;&gt;"Serviço",0,IF(OR(AND(AUTOEVENTO="Manual",$M107=1),$M107&gt;(ROW(PLE.lastrow)-ROW(PLE.firstrow))),0,IF(OFFSET(PLE!$G$14,$M107,AY$13)="",10^12,OFFSET(PLE!$G$14,$M107,AY$13))))</f>
        <v>1000000000000</v>
      </c>
      <c r="AZ107" s="182">
        <f ca="1">IF($D107&lt;&gt;"Serviço",0,IF(OR(AND(AUTOEVENTO="Manual",$M107=1),$M107&gt;(ROW(PLE.lastrow)-ROW(PLE.firstrow))),0,IF(OFFSET(PLE!$G$14,$M107,AZ$13)="",10^12,OFFSET(PLE!$G$14,$M107,AZ$13))))</f>
        <v>1000000000000</v>
      </c>
      <c r="BA107" s="182">
        <f ca="1">IF($D107&lt;&gt;"Serviço",0,IF(OR(AND(AUTOEVENTO="Manual",$M107=1),$M107&gt;(ROW(PLE.lastrow)-ROW(PLE.firstrow))),0,IF(OFFSET(PLE!$G$14,$M107,BA$13)="",10^12,OFFSET(PLE!$G$14,$M107,BA$13))))</f>
        <v>1000000000000</v>
      </c>
      <c r="BB107" s="182">
        <f ca="1">IF($D107&lt;&gt;"Serviço",0,IF(OR(AND(AUTOEVENTO="Manual",$M107=1),$M107&gt;(ROW(PLE.lastrow)-ROW(PLE.firstrow))),0,IF(OFFSET(PLE!$G$14,$M107,BB$13)="",10^12,OFFSET(PLE!$G$14,$M107,BB$13))))</f>
        <v>1000000000000</v>
      </c>
      <c r="BC107" s="182">
        <f ca="1">IF($D107&lt;&gt;"Serviço",0,IF(OR(AND(AUTOEVENTO="Manual",$M107=1),$M107&gt;(ROW(PLE.lastrow)-ROW(PLE.firstrow))),0,IF(OFFSET(PLE!$G$14,$M107,BC$13)="",10^12,OFFSET(PLE!$G$14,$M107,BC$13))))</f>
        <v>1000000000000</v>
      </c>
      <c r="BD107" s="182">
        <f ca="1">IF($D107&lt;&gt;"Serviço",0,IF(OR(AND(AUTOEVENTO="Manual",$M107=1),$M107&gt;(ROW(PLE.lastrow)-ROW(PLE.firstrow))),0,IF(OFFSET(PLE!$G$14,$M107,BD$13)="",10^12,OFFSET(PLE!$G$14,$M107,BD$13))))</f>
        <v>1000000000000</v>
      </c>
      <c r="BE107" s="182">
        <f ca="1">IF($D107&lt;&gt;"Serviço",0,IF(OR(AND(AUTOEVENTO="Manual",$M107=1),$M107&gt;(ROW(PLE.lastrow)-ROW(PLE.firstrow))),0,IF(OFFSET(PLE!$G$14,$M107,BE$13)="",10^12,OFFSET(PLE!$G$14,$M107,BE$13))))</f>
        <v>1000000000000</v>
      </c>
      <c r="BF107" s="182">
        <f ca="1">IF($D107&lt;&gt;"Serviço",0,IF(OR(AND(AUTOEVENTO="Manual",$M107=1),$M107&gt;(ROW(PLE.lastrow)-ROW(PLE.firstrow))),0,IF(OFFSET(PLE!$G$14,$M107,BF$13)="",10^12,OFFSET(PLE!$G$14,$M107,BF$13))))</f>
        <v>1000000000000</v>
      </c>
      <c r="BG107" s="182">
        <f ca="1">IF($D107&lt;&gt;"Serviço",0,IF(OR(AND(AUTOEVENTO="Manual",$M107=1),$M107&gt;(ROW(PLE.lastrow)-ROW(PLE.firstrow))),0,IF(OFFSET(PLE!$G$14,$M107,BG$13)="",10^12,OFFSET(PLE!$G$14,$M107,BG$13))))</f>
        <v>1000000000000</v>
      </c>
    </row>
    <row r="108" spans="1:59" ht="12.75" x14ac:dyDescent="0.2">
      <c r="A108" s="7" t="str">
        <f t="shared" ca="1" si="9"/>
        <v>90</v>
      </c>
      <c r="B108" s="7">
        <f ca="1">OFFSET(ORÇAMENTO!C$15,ROW(B108)-ROW(B$15),0)</f>
        <v>3</v>
      </c>
      <c r="C108" s="7" t="str">
        <f ca="1">OFFSET(ORÇAMENTO!L$15,ROW(C108)-ROW(C$15),0)</f>
        <v>F</v>
      </c>
      <c r="D108" s="118" t="str">
        <f ca="1">OFFSET(ORÇAMENTO!N$15,ROW(D108)-ROW(D$15),0)</f>
        <v>Nível 3</v>
      </c>
      <c r="E108" s="119" t="str">
        <f ca="1">OFFSET(ORÇAMENTO!O$15,ROW(E108)-ROW(E$15),0)</f>
        <v>1.5.2.</v>
      </c>
      <c r="F108" s="172" t="str">
        <f ca="1">OFFSET(ORÇAMENTO!R$15,ROW(F108)-ROW(F$15),0)</f>
        <v>ALVENARIA DE VEDAÇÃO</v>
      </c>
      <c r="G108" s="173" t="str">
        <f ca="1">IF($D108&lt;&gt;"Serviço","",OFFSET(ORÇAMENTO!S$15,ROW(G108)-ROW(G$15),0))</f>
        <v/>
      </c>
      <c r="H108" s="124">
        <f ca="1">IF($D108&lt;&gt;"Serviço",0,IF(ACOMPANHAMENTO="BM",ROUND(OFFSET(ORÇAMENTO!AJ$15,ROW(H108)-ROW(H$15),0),15-13*ORÇAMENTO!$AF$7),SUMPRODUCT(($Q$12:$AA$12&lt;&gt;"")*ROUND($Q108:$AA108,15-13*ORÇAMENTO!$AF$7))))</f>
        <v>0</v>
      </c>
      <c r="I108" s="561"/>
      <c r="K108" s="174"/>
      <c r="L108" s="175" t="s">
        <v>255</v>
      </c>
      <c r="M108" s="176" t="str">
        <f ca="1">IF($D108&lt;&gt;"Serviço","",IF(AUTOEVENTO="manual",$A108,IF(ISERROR(MATCH($A108,$A$15:OFFSET($A108,-1,0),0)),MAX($M$15:OFFSET(M108,-1,0))+1,INDEX($M$15:OFFSET(M108,-1,0),MATCH($A108,$A$15:OFFSET($A108,-1,0),0)))))</f>
        <v/>
      </c>
      <c r="N108" s="177" t="str">
        <f ca="1">IF($D108&lt;&gt;"Serviço","",IF(AUTOEVENTO="Manual",IF($A108=0,"&lt;-- defina o número do agrupador",OFFSET(EVENTOS!$D$14,$A108,0)),OFFSET($F$15,$A108,0)))</f>
        <v/>
      </c>
      <c r="O108" s="178"/>
      <c r="Q108" s="178"/>
      <c r="R108" s="179"/>
      <c r="S108" s="179"/>
      <c r="T108" s="179"/>
      <c r="U108" s="179"/>
      <c r="V108" s="179"/>
      <c r="W108" s="179"/>
      <c r="X108" s="179"/>
      <c r="Y108" s="179"/>
      <c r="Z108" s="180"/>
      <c r="AB108" s="544">
        <f ca="1">IF(AND($D108="Serviço",AB$12&lt;&gt;0,$H108&gt;0,OR(AUTOEVENTO&lt;&gt;"manual",$M108&lt;&gt;1)),
IF(Import.TipoArredondamento&lt;&gt;"TransfereGOV",
ROUND(OFFSET($P108,0,AB$13),15-13*ORÇAMENTO!$AF$7)/$H108*OFFSET(ORÇAMENTO!$X$15,ROW(AB108)-ROW(AB$15),0),
ROUND(ROUND(OFFSET($P108,0,AB$13),15-13*ORÇAMENTO!$AF$7)*OFFSET(ORÇAMENTO!$W$15,ROW(AB108)-ROW(AB$15),0),15-13*ORÇAMENTO!$AF$11)),0)</f>
        <v>0</v>
      </c>
      <c r="AC108" s="545">
        <f ca="1">IF(AND($D108="Serviço",AC$12&lt;&gt;0,$H108&gt;0,OR(AUTOEVENTO&lt;&gt;"manual",$M108&lt;&gt;1)),
IF(Import.TipoArredondamento&lt;&gt;"TransfereGOV",
ROUND(OFFSET($P108,0,AC$13),15-13*ORÇAMENTO!$AF$7)/$H108*OFFSET(ORÇAMENTO!$X$15,ROW(AC108)-ROW(AC$15),0),
ROUND(ROUND(OFFSET($P108,0,AC$13),15-13*ORÇAMENTO!$AF$7)*OFFSET(ORÇAMENTO!$W$15,ROW(AC108)-ROW(AC$15),0),15-13*ORÇAMENTO!$AF$11)),0)</f>
        <v>0</v>
      </c>
      <c r="AD108" s="545">
        <f ca="1">IF(AND($D108="Serviço",AD$12&lt;&gt;0,$H108&gt;0,OR(AUTOEVENTO&lt;&gt;"manual",$M108&lt;&gt;1)),
IF(Import.TipoArredondamento&lt;&gt;"TransfereGOV",
ROUND(OFFSET($P108,0,AD$13),15-13*ORÇAMENTO!$AF$7)/$H108*OFFSET(ORÇAMENTO!$X$15,ROW(AD108)-ROW(AD$15),0),
ROUND(ROUND(OFFSET($P108,0,AD$13),15-13*ORÇAMENTO!$AF$7)*OFFSET(ORÇAMENTO!$W$15,ROW(AD108)-ROW(AD$15),0),15-13*ORÇAMENTO!$AF$11)),0)</f>
        <v>0</v>
      </c>
      <c r="AE108" s="545">
        <f ca="1">IF(AND($D108="Serviço",AE$12&lt;&gt;0,$H108&gt;0,OR(AUTOEVENTO&lt;&gt;"manual",$M108&lt;&gt;1)),
IF(Import.TipoArredondamento&lt;&gt;"TransfereGOV",
ROUND(OFFSET($P108,0,AE$13),15-13*ORÇAMENTO!$AF$7)/$H108*OFFSET(ORÇAMENTO!$X$15,ROW(AE108)-ROW(AE$15),0),
ROUND(ROUND(OFFSET($P108,0,AE$13),15-13*ORÇAMENTO!$AF$7)*OFFSET(ORÇAMENTO!$W$15,ROW(AE108)-ROW(AE$15),0),15-13*ORÇAMENTO!$AF$11)),0)</f>
        <v>0</v>
      </c>
      <c r="AF108" s="545">
        <f ca="1">IF(AND($D108="Serviço",AF$12&lt;&gt;0,$H108&gt;0,OR(AUTOEVENTO&lt;&gt;"manual",$M108&lt;&gt;1)),
IF(Import.TipoArredondamento&lt;&gt;"TransfereGOV",
ROUND(OFFSET($P108,0,AF$13),15-13*ORÇAMENTO!$AF$7)/$H108*OFFSET(ORÇAMENTO!$X$15,ROW(AF108)-ROW(AF$15),0),
ROUND(ROUND(OFFSET($P108,0,AF$13),15-13*ORÇAMENTO!$AF$7)*OFFSET(ORÇAMENTO!$W$15,ROW(AF108)-ROW(AF$15),0),15-13*ORÇAMENTO!$AF$11)),0)</f>
        <v>0</v>
      </c>
      <c r="AG108" s="545">
        <f ca="1">IF(AND($D108="Serviço",AG$12&lt;&gt;0,$H108&gt;0,OR(AUTOEVENTO&lt;&gt;"manual",$M108&lt;&gt;1)),
IF(Import.TipoArredondamento&lt;&gt;"TransfereGOV",
ROUND(OFFSET($P108,0,AG$13),15-13*ORÇAMENTO!$AF$7)/$H108*OFFSET(ORÇAMENTO!$X$15,ROW(AG108)-ROW(AG$15),0),
ROUND(ROUND(OFFSET($P108,0,AG$13),15-13*ORÇAMENTO!$AF$7)*OFFSET(ORÇAMENTO!$W$15,ROW(AG108)-ROW(AG$15),0),15-13*ORÇAMENTO!$AF$11)),0)</f>
        <v>0</v>
      </c>
      <c r="AH108" s="545">
        <f ca="1">IF(AND($D108="Serviço",AH$12&lt;&gt;0,$H108&gt;0,OR(AUTOEVENTO&lt;&gt;"manual",$M108&lt;&gt;1)),
IF(Import.TipoArredondamento&lt;&gt;"TransfereGOV",
ROUND(OFFSET($P108,0,AH$13),15-13*ORÇAMENTO!$AF$7)/$H108*OFFSET(ORÇAMENTO!$X$15,ROW(AH108)-ROW(AH$15),0),
ROUND(ROUND(OFFSET($P108,0,AH$13),15-13*ORÇAMENTO!$AF$7)*OFFSET(ORÇAMENTO!$W$15,ROW(AH108)-ROW(AH$15),0),15-13*ORÇAMENTO!$AF$11)),0)</f>
        <v>0</v>
      </c>
      <c r="AI108" s="545">
        <f ca="1">IF(AND($D108="Serviço",AI$12&lt;&gt;0,$H108&gt;0,OR(AUTOEVENTO&lt;&gt;"manual",$M108&lt;&gt;1)),
IF(Import.TipoArredondamento&lt;&gt;"TransfereGOV",
ROUND(OFFSET($P108,0,AI$13),15-13*ORÇAMENTO!$AF$7)/$H108*OFFSET(ORÇAMENTO!$X$15,ROW(AI108)-ROW(AI$15),0),
ROUND(ROUND(OFFSET($P108,0,AI$13),15-13*ORÇAMENTO!$AF$7)*OFFSET(ORÇAMENTO!$W$15,ROW(AI108)-ROW(AI$15),0),15-13*ORÇAMENTO!$AF$11)),0)</f>
        <v>0</v>
      </c>
      <c r="AJ108" s="545">
        <f ca="1">IF(AND($D108="Serviço",AJ$12&lt;&gt;0,$H108&gt;0,OR(AUTOEVENTO&lt;&gt;"manual",$M108&lt;&gt;1)),
IF(Import.TipoArredondamento&lt;&gt;"TransfereGOV",
ROUND(OFFSET($P108,0,AJ$13),15-13*ORÇAMENTO!$AF$7)/$H108*OFFSET(ORÇAMENTO!$X$15,ROW(AJ108)-ROW(AJ$15),0),
ROUND(ROUND(OFFSET($P108,0,AJ$13),15-13*ORÇAMENTO!$AF$7)*OFFSET(ORÇAMENTO!$W$15,ROW(AJ108)-ROW(AJ$15),0),15-13*ORÇAMENTO!$AF$11)),0)</f>
        <v>0</v>
      </c>
      <c r="AK108" s="546">
        <f ca="1">IF(AND($D108="Serviço",AK$12&lt;&gt;0,$H108&gt;0,OR(AUTOEVENTO&lt;&gt;"manual",$M108&lt;&gt;1)),
IF(Import.TipoArredondamento&lt;&gt;"TransfereGOV",
ROUND(OFFSET($P108,0,AK$13),15-13*ORÇAMENTO!$AF$7)/$H108*OFFSET(ORÇAMENTO!$X$15,ROW(AK108)-ROW(AK$15),0),
ROUND(ROUND(OFFSET($P108,0,AK$13),15-13*ORÇAMENTO!$AF$7)*OFFSET(ORÇAMENTO!$W$15,ROW(AK108)-ROW(AK$15),0),15-13*ORÇAMENTO!$AF$11)),0)</f>
        <v>0</v>
      </c>
      <c r="AM108" s="181">
        <f ca="1">IF($D108&lt;&gt;"Serviço",0,IF(AND(AUTOEVENTO="Manual",$M108=1),0,IF(OFFSET(CRONOPLE!$F$14,$M108,AM$13)="",10^12,OFFSET(CRONOPLE!$F$14,$M108,AM$13))))</f>
        <v>0</v>
      </c>
      <c r="AN108" s="181">
        <f ca="1">IF($D108&lt;&gt;"Serviço",0,IF(AND(AUTOEVENTO="Manual",$M108=1),0,IF(OFFSET(CRONOPLE!$F$14,$M108,AN$13)="",10^12,OFFSET(CRONOPLE!$F$14,$M108,AN$13))))</f>
        <v>0</v>
      </c>
      <c r="AO108" s="181">
        <f ca="1">IF($D108&lt;&gt;"Serviço",0,IF(AND(AUTOEVENTO="Manual",$M108=1),0,IF(OFFSET(CRONOPLE!$F$14,$M108,AO$13)="",10^12,OFFSET(CRONOPLE!$F$14,$M108,AO$13))))</f>
        <v>0</v>
      </c>
      <c r="AP108" s="181">
        <f ca="1">IF($D108&lt;&gt;"Serviço",0,IF(AND(AUTOEVENTO="Manual",$M108=1),0,IF(OFFSET(CRONOPLE!$F$14,$M108,AP$13)="",10^12,OFFSET(CRONOPLE!$F$14,$M108,AP$13))))</f>
        <v>0</v>
      </c>
      <c r="AQ108" s="181">
        <f ca="1">IF($D108&lt;&gt;"Serviço",0,IF(AND(AUTOEVENTO="Manual",$M108=1),0,IF(OFFSET(CRONOPLE!$F$14,$M108,AQ$13)="",10^12,OFFSET(CRONOPLE!$F$14,$M108,AQ$13))))</f>
        <v>0</v>
      </c>
      <c r="AR108" s="181">
        <f ca="1">IF($D108&lt;&gt;"Serviço",0,IF(AND(AUTOEVENTO="Manual",$M108=1),0,IF(OFFSET(CRONOPLE!$F$14,$M108,AR$13)="",10^12,OFFSET(CRONOPLE!$F$14,$M108,AR$13))))</f>
        <v>0</v>
      </c>
      <c r="AS108" s="181">
        <f ca="1">IF($D108&lt;&gt;"Serviço",0,IF(AND(AUTOEVENTO="Manual",$M108=1),0,IF(OFFSET(CRONOPLE!$F$14,$M108,AS$13)="",10^12,OFFSET(CRONOPLE!$F$14,$M108,AS$13))))</f>
        <v>0</v>
      </c>
      <c r="AT108" s="181">
        <f ca="1">IF($D108&lt;&gt;"Serviço",0,IF(AND(AUTOEVENTO="Manual",$M108=1),0,IF(OFFSET(CRONOPLE!$F$14,$M108,AT$13)="",10^12,OFFSET(CRONOPLE!$F$14,$M108,AT$13))))</f>
        <v>0</v>
      </c>
      <c r="AU108" s="181">
        <f ca="1">IF($D108&lt;&gt;"Serviço",0,IF(AND(AUTOEVENTO="Manual",$M108=1),0,IF(OFFSET(CRONOPLE!$F$14,$M108,AU$13)="",10^12,OFFSET(CRONOPLE!$F$14,$M108,AU$13))))</f>
        <v>0</v>
      </c>
      <c r="AV108" s="181">
        <f ca="1">IF($D108&lt;&gt;"Serviço",0,IF(AND(AUTOEVENTO="Manual",$M108=1),0,IF(OFFSET(CRONOPLE!$F$14,$M108,AV$13)="",10^12,OFFSET(CRONOPLE!$F$14,$M108,AV$13))))</f>
        <v>0</v>
      </c>
      <c r="AX108" s="182">
        <f ca="1">IF($D108&lt;&gt;"Serviço",0,IF(OR(AND(AUTOEVENTO="Manual",$M108=1),$M108&gt;(ROW(PLE.lastrow)-ROW(PLE.firstrow))),0,IF(OFFSET(PLE!$G$14,$M108,AX$13)="",10^12,OFFSET(PLE!$G$14,$M108,AX$13))))</f>
        <v>0</v>
      </c>
      <c r="AY108" s="182">
        <f ca="1">IF($D108&lt;&gt;"Serviço",0,IF(OR(AND(AUTOEVENTO="Manual",$M108=1),$M108&gt;(ROW(PLE.lastrow)-ROW(PLE.firstrow))),0,IF(OFFSET(PLE!$G$14,$M108,AY$13)="",10^12,OFFSET(PLE!$G$14,$M108,AY$13))))</f>
        <v>0</v>
      </c>
      <c r="AZ108" s="182">
        <f ca="1">IF($D108&lt;&gt;"Serviço",0,IF(OR(AND(AUTOEVENTO="Manual",$M108=1),$M108&gt;(ROW(PLE.lastrow)-ROW(PLE.firstrow))),0,IF(OFFSET(PLE!$G$14,$M108,AZ$13)="",10^12,OFFSET(PLE!$G$14,$M108,AZ$13))))</f>
        <v>0</v>
      </c>
      <c r="BA108" s="182">
        <f ca="1">IF($D108&lt;&gt;"Serviço",0,IF(OR(AND(AUTOEVENTO="Manual",$M108=1),$M108&gt;(ROW(PLE.lastrow)-ROW(PLE.firstrow))),0,IF(OFFSET(PLE!$G$14,$M108,BA$13)="",10^12,OFFSET(PLE!$G$14,$M108,BA$13))))</f>
        <v>0</v>
      </c>
      <c r="BB108" s="182">
        <f ca="1">IF($D108&lt;&gt;"Serviço",0,IF(OR(AND(AUTOEVENTO="Manual",$M108=1),$M108&gt;(ROW(PLE.lastrow)-ROW(PLE.firstrow))),0,IF(OFFSET(PLE!$G$14,$M108,BB$13)="",10^12,OFFSET(PLE!$G$14,$M108,BB$13))))</f>
        <v>0</v>
      </c>
      <c r="BC108" s="182">
        <f ca="1">IF($D108&lt;&gt;"Serviço",0,IF(OR(AND(AUTOEVENTO="Manual",$M108=1),$M108&gt;(ROW(PLE.lastrow)-ROW(PLE.firstrow))),0,IF(OFFSET(PLE!$G$14,$M108,BC$13)="",10^12,OFFSET(PLE!$G$14,$M108,BC$13))))</f>
        <v>0</v>
      </c>
      <c r="BD108" s="182">
        <f ca="1">IF($D108&lt;&gt;"Serviço",0,IF(OR(AND(AUTOEVENTO="Manual",$M108=1),$M108&gt;(ROW(PLE.lastrow)-ROW(PLE.firstrow))),0,IF(OFFSET(PLE!$G$14,$M108,BD$13)="",10^12,OFFSET(PLE!$G$14,$M108,BD$13))))</f>
        <v>0</v>
      </c>
      <c r="BE108" s="182">
        <f ca="1">IF($D108&lt;&gt;"Serviço",0,IF(OR(AND(AUTOEVENTO="Manual",$M108=1),$M108&gt;(ROW(PLE.lastrow)-ROW(PLE.firstrow))),0,IF(OFFSET(PLE!$G$14,$M108,BE$13)="",10^12,OFFSET(PLE!$G$14,$M108,BE$13))))</f>
        <v>0</v>
      </c>
      <c r="BF108" s="182">
        <f ca="1">IF($D108&lt;&gt;"Serviço",0,IF(OR(AND(AUTOEVENTO="Manual",$M108=1),$M108&gt;(ROW(PLE.lastrow)-ROW(PLE.firstrow))),0,IF(OFFSET(PLE!$G$14,$M108,BF$13)="",10^12,OFFSET(PLE!$G$14,$M108,BF$13))))</f>
        <v>0</v>
      </c>
      <c r="BG108" s="182">
        <f ca="1">IF($D108&lt;&gt;"Serviço",0,IF(OR(AND(AUTOEVENTO="Manual",$M108=1),$M108&gt;(ROW(PLE.lastrow)-ROW(PLE.firstrow))),0,IF(OFFSET(PLE!$G$14,$M108,BG$13)="",10^12,OFFSET(PLE!$G$14,$M108,BG$13))))</f>
        <v>0</v>
      </c>
    </row>
    <row r="109" spans="1:59" ht="38.25" x14ac:dyDescent="0.2">
      <c r="A109" s="7" t="str">
        <f t="shared" ca="1" si="9"/>
        <v>90</v>
      </c>
      <c r="B109" s="7" t="str">
        <f ca="1">OFFSET(ORÇAMENTO!C$15,ROW(B109)-ROW(B$15),0)</f>
        <v>S</v>
      </c>
      <c r="C109" s="7" t="str">
        <f ca="1">OFFSET(ORÇAMENTO!L$15,ROW(C109)-ROW(C$15),0)</f>
        <v/>
      </c>
      <c r="D109" s="118" t="str">
        <f ca="1">OFFSET(ORÇAMENTO!N$15,ROW(D109)-ROW(D$15),0)</f>
        <v>Serviço</v>
      </c>
      <c r="E109" s="119" t="str">
        <f ca="1">OFFSET(ORÇAMENTO!O$15,ROW(E109)-ROW(E$15),0)</f>
        <v>-</v>
      </c>
      <c r="F109" s="172" t="str">
        <f ca="1">OFFSET(ORÇAMENTO!R$15,ROW(F109)-ROW(F$15),0)</f>
        <v>(abra o arquivo 'Referência 02-2025.xlsm)</v>
      </c>
      <c r="G109" s="173" t="str">
        <f ca="1">IF($D109&lt;&gt;"Serviço","",OFFSET(ORÇAMENTO!S$15,ROW(G109)-ROW(G$15),0))</f>
        <v>-</v>
      </c>
      <c r="H109" s="124">
        <f ca="1">IF($D109&lt;&gt;"Serviço",0,IF(ACOMPANHAMENTO="BM",ROUND(OFFSET(ORÇAMENTO!AJ$15,ROW(H109)-ROW(H$15),0),15-13*ORÇAMENTO!$AF$7),SUMPRODUCT(($Q$12:$AA$12&lt;&gt;"")*ROUND($Q109:$AA109,15-13*ORÇAMENTO!$AF$7))))</f>
        <v>823.51</v>
      </c>
      <c r="I109" s="561" t="s">
        <v>890</v>
      </c>
      <c r="K109" s="174"/>
      <c r="L109" s="175" t="s">
        <v>255</v>
      </c>
      <c r="M109" s="176">
        <f ca="1">IF($D109&lt;&gt;"Serviço","",IF(AUTOEVENTO="manual",$A109,IF(ISERROR(MATCH($A109,$A$15:OFFSET($A109,-1,0),0)),MAX($M$15:OFFSET(M109,-1,0))+1,INDEX($M$15:OFFSET(M109,-1,0),MATCH($A109,$A$15:OFFSET($A109,-1,0),0)))))</f>
        <v>6</v>
      </c>
      <c r="N109" s="177" t="str">
        <f ca="1">IF($D109&lt;&gt;"Serviço","",IF(AUTOEVENTO="Manual",IF($A109=0,"&lt;-- defina o número do agrupador",OFFSET(EVENTOS!$D$14,$A109,0)),OFFSET($F$15,$A109,0)))</f>
        <v>SISTEMA DE VEDAÇÃO VERTICAL</v>
      </c>
      <c r="O109" s="178"/>
      <c r="Q109" s="178"/>
      <c r="R109" s="179"/>
      <c r="S109" s="179"/>
      <c r="T109" s="179"/>
      <c r="U109" s="179"/>
      <c r="V109" s="179"/>
      <c r="W109" s="179"/>
      <c r="X109" s="179"/>
      <c r="Y109" s="179"/>
      <c r="Z109" s="180"/>
      <c r="AB109" s="544">
        <f ca="1">IF(AND($D109="Serviço",AB$12&lt;&gt;0,$H109&gt;0,OR(AUTOEVENTO&lt;&gt;"manual",$M109&lt;&gt;1)),
IF(Import.TipoArredondamento&lt;&gt;"TransfereGOV",
ROUND(OFFSET($P109,0,AB$13),15-13*ORÇAMENTO!$AF$7)/$H109*OFFSET(ORÇAMENTO!$X$15,ROW(AB109)-ROW(AB$15),0),
ROUND(ROUND(OFFSET($P109,0,AB$13),15-13*ORÇAMENTO!$AF$7)*OFFSET(ORÇAMENTO!$W$15,ROW(AB109)-ROW(AB$15),0),15-13*ORÇAMENTO!$AF$11)),0)</f>
        <v>0</v>
      </c>
      <c r="AC109" s="545">
        <f ca="1">IF(AND($D109="Serviço",AC$12&lt;&gt;0,$H109&gt;0,OR(AUTOEVENTO&lt;&gt;"manual",$M109&lt;&gt;1)),
IF(Import.TipoArredondamento&lt;&gt;"TransfereGOV",
ROUND(OFFSET($P109,0,AC$13),15-13*ORÇAMENTO!$AF$7)/$H109*OFFSET(ORÇAMENTO!$X$15,ROW(AC109)-ROW(AC$15),0),
ROUND(ROUND(OFFSET($P109,0,AC$13),15-13*ORÇAMENTO!$AF$7)*OFFSET(ORÇAMENTO!$W$15,ROW(AC109)-ROW(AC$15),0),15-13*ORÇAMENTO!$AF$11)),0)</f>
        <v>0</v>
      </c>
      <c r="AD109" s="545">
        <f ca="1">IF(AND($D109="Serviço",AD$12&lt;&gt;0,$H109&gt;0,OR(AUTOEVENTO&lt;&gt;"manual",$M109&lt;&gt;1)),
IF(Import.TipoArredondamento&lt;&gt;"TransfereGOV",
ROUND(OFFSET($P109,0,AD$13),15-13*ORÇAMENTO!$AF$7)/$H109*OFFSET(ORÇAMENTO!$X$15,ROW(AD109)-ROW(AD$15),0),
ROUND(ROUND(OFFSET($P109,0,AD$13),15-13*ORÇAMENTO!$AF$7)*OFFSET(ORÇAMENTO!$W$15,ROW(AD109)-ROW(AD$15),0),15-13*ORÇAMENTO!$AF$11)),0)</f>
        <v>0</v>
      </c>
      <c r="AE109" s="545">
        <f ca="1">IF(AND($D109="Serviço",AE$12&lt;&gt;0,$H109&gt;0,OR(AUTOEVENTO&lt;&gt;"manual",$M109&lt;&gt;1)),
IF(Import.TipoArredondamento&lt;&gt;"TransfereGOV",
ROUND(OFFSET($P109,0,AE$13),15-13*ORÇAMENTO!$AF$7)/$H109*OFFSET(ORÇAMENTO!$X$15,ROW(AE109)-ROW(AE$15),0),
ROUND(ROUND(OFFSET($P109,0,AE$13),15-13*ORÇAMENTO!$AF$7)*OFFSET(ORÇAMENTO!$W$15,ROW(AE109)-ROW(AE$15),0),15-13*ORÇAMENTO!$AF$11)),0)</f>
        <v>0</v>
      </c>
      <c r="AF109" s="545">
        <f ca="1">IF(AND($D109="Serviço",AF$12&lt;&gt;0,$H109&gt;0,OR(AUTOEVENTO&lt;&gt;"manual",$M109&lt;&gt;1)),
IF(Import.TipoArredondamento&lt;&gt;"TransfereGOV",
ROUND(OFFSET($P109,0,AF$13),15-13*ORÇAMENTO!$AF$7)/$H109*OFFSET(ORÇAMENTO!$X$15,ROW(AF109)-ROW(AF$15),0),
ROUND(ROUND(OFFSET($P109,0,AF$13),15-13*ORÇAMENTO!$AF$7)*OFFSET(ORÇAMENTO!$W$15,ROW(AF109)-ROW(AF$15),0),15-13*ORÇAMENTO!$AF$11)),0)</f>
        <v>0</v>
      </c>
      <c r="AG109" s="545">
        <f ca="1">IF(AND($D109="Serviço",AG$12&lt;&gt;0,$H109&gt;0,OR(AUTOEVENTO&lt;&gt;"manual",$M109&lt;&gt;1)),
IF(Import.TipoArredondamento&lt;&gt;"TransfereGOV",
ROUND(OFFSET($P109,0,AG$13),15-13*ORÇAMENTO!$AF$7)/$H109*OFFSET(ORÇAMENTO!$X$15,ROW(AG109)-ROW(AG$15),0),
ROUND(ROUND(OFFSET($P109,0,AG$13),15-13*ORÇAMENTO!$AF$7)*OFFSET(ORÇAMENTO!$W$15,ROW(AG109)-ROW(AG$15),0),15-13*ORÇAMENTO!$AF$11)),0)</f>
        <v>0</v>
      </c>
      <c r="AH109" s="545">
        <f ca="1">IF(AND($D109="Serviço",AH$12&lt;&gt;0,$H109&gt;0,OR(AUTOEVENTO&lt;&gt;"manual",$M109&lt;&gt;1)),
IF(Import.TipoArredondamento&lt;&gt;"TransfereGOV",
ROUND(OFFSET($P109,0,AH$13),15-13*ORÇAMENTO!$AF$7)/$H109*OFFSET(ORÇAMENTO!$X$15,ROW(AH109)-ROW(AH$15),0),
ROUND(ROUND(OFFSET($P109,0,AH$13),15-13*ORÇAMENTO!$AF$7)*OFFSET(ORÇAMENTO!$W$15,ROW(AH109)-ROW(AH$15),0),15-13*ORÇAMENTO!$AF$11)),0)</f>
        <v>0</v>
      </c>
      <c r="AI109" s="545">
        <f ca="1">IF(AND($D109="Serviço",AI$12&lt;&gt;0,$H109&gt;0,OR(AUTOEVENTO&lt;&gt;"manual",$M109&lt;&gt;1)),
IF(Import.TipoArredondamento&lt;&gt;"TransfereGOV",
ROUND(OFFSET($P109,0,AI$13),15-13*ORÇAMENTO!$AF$7)/$H109*OFFSET(ORÇAMENTO!$X$15,ROW(AI109)-ROW(AI$15),0),
ROUND(ROUND(OFFSET($P109,0,AI$13),15-13*ORÇAMENTO!$AF$7)*OFFSET(ORÇAMENTO!$W$15,ROW(AI109)-ROW(AI$15),0),15-13*ORÇAMENTO!$AF$11)),0)</f>
        <v>0</v>
      </c>
      <c r="AJ109" s="545">
        <f ca="1">IF(AND($D109="Serviço",AJ$12&lt;&gt;0,$H109&gt;0,OR(AUTOEVENTO&lt;&gt;"manual",$M109&lt;&gt;1)),
IF(Import.TipoArredondamento&lt;&gt;"TransfereGOV",
ROUND(OFFSET($P109,0,AJ$13),15-13*ORÇAMENTO!$AF$7)/$H109*OFFSET(ORÇAMENTO!$X$15,ROW(AJ109)-ROW(AJ$15),0),
ROUND(ROUND(OFFSET($P109,0,AJ$13),15-13*ORÇAMENTO!$AF$7)*OFFSET(ORÇAMENTO!$W$15,ROW(AJ109)-ROW(AJ$15),0),15-13*ORÇAMENTO!$AF$11)),0)</f>
        <v>0</v>
      </c>
      <c r="AK109" s="546">
        <f ca="1">IF(AND($D109="Serviço",AK$12&lt;&gt;0,$H109&gt;0,OR(AUTOEVENTO&lt;&gt;"manual",$M109&lt;&gt;1)),
IF(Import.TipoArredondamento&lt;&gt;"TransfereGOV",
ROUND(OFFSET($P109,0,AK$13),15-13*ORÇAMENTO!$AF$7)/$H109*OFFSET(ORÇAMENTO!$X$15,ROW(AK109)-ROW(AK$15),0),
ROUND(ROUND(OFFSET($P109,0,AK$13),15-13*ORÇAMENTO!$AF$7)*OFFSET(ORÇAMENTO!$W$15,ROW(AK109)-ROW(AK$15),0),15-13*ORÇAMENTO!$AF$11)),0)</f>
        <v>0</v>
      </c>
      <c r="AM109" s="181">
        <f ca="1">IF($D109&lt;&gt;"Serviço",0,IF(AND(AUTOEVENTO="Manual",$M109=1),0,IF(OFFSET(CRONOPLE!$F$14,$M109,AM$13)="",10^12,OFFSET(CRONOPLE!$F$14,$M109,AM$13))))</f>
        <v>1000000000000</v>
      </c>
      <c r="AN109" s="181">
        <f ca="1">IF($D109&lt;&gt;"Serviço",0,IF(AND(AUTOEVENTO="Manual",$M109=1),0,IF(OFFSET(CRONOPLE!$F$14,$M109,AN$13)="",10^12,OFFSET(CRONOPLE!$F$14,$M109,AN$13))))</f>
        <v>1000000000000</v>
      </c>
      <c r="AO109" s="181">
        <f ca="1">IF($D109&lt;&gt;"Serviço",0,IF(AND(AUTOEVENTO="Manual",$M109=1),0,IF(OFFSET(CRONOPLE!$F$14,$M109,AO$13)="",10^12,OFFSET(CRONOPLE!$F$14,$M109,AO$13))))</f>
        <v>1000000000000</v>
      </c>
      <c r="AP109" s="181">
        <f ca="1">IF($D109&lt;&gt;"Serviço",0,IF(AND(AUTOEVENTO="Manual",$M109=1),0,IF(OFFSET(CRONOPLE!$F$14,$M109,AP$13)="",10^12,OFFSET(CRONOPLE!$F$14,$M109,AP$13))))</f>
        <v>1000000000000</v>
      </c>
      <c r="AQ109" s="181">
        <f ca="1">IF($D109&lt;&gt;"Serviço",0,IF(AND(AUTOEVENTO="Manual",$M109=1),0,IF(OFFSET(CRONOPLE!$F$14,$M109,AQ$13)="",10^12,OFFSET(CRONOPLE!$F$14,$M109,AQ$13))))</f>
        <v>1000000000000</v>
      </c>
      <c r="AR109" s="181">
        <f ca="1">IF($D109&lt;&gt;"Serviço",0,IF(AND(AUTOEVENTO="Manual",$M109=1),0,IF(OFFSET(CRONOPLE!$F$14,$M109,AR$13)="",10^12,OFFSET(CRONOPLE!$F$14,$M109,AR$13))))</f>
        <v>1000000000000</v>
      </c>
      <c r="AS109" s="181">
        <f ca="1">IF($D109&lt;&gt;"Serviço",0,IF(AND(AUTOEVENTO="Manual",$M109=1),0,IF(OFFSET(CRONOPLE!$F$14,$M109,AS$13)="",10^12,OFFSET(CRONOPLE!$F$14,$M109,AS$13))))</f>
        <v>1000000000000</v>
      </c>
      <c r="AT109" s="181">
        <f ca="1">IF($D109&lt;&gt;"Serviço",0,IF(AND(AUTOEVENTO="Manual",$M109=1),0,IF(OFFSET(CRONOPLE!$F$14,$M109,AT$13)="",10^12,OFFSET(CRONOPLE!$F$14,$M109,AT$13))))</f>
        <v>1000000000000</v>
      </c>
      <c r="AU109" s="181">
        <f ca="1">IF($D109&lt;&gt;"Serviço",0,IF(AND(AUTOEVENTO="Manual",$M109=1),0,IF(OFFSET(CRONOPLE!$F$14,$M109,AU$13)="",10^12,OFFSET(CRONOPLE!$F$14,$M109,AU$13))))</f>
        <v>1000000000000</v>
      </c>
      <c r="AV109" s="181">
        <f ca="1">IF($D109&lt;&gt;"Serviço",0,IF(AND(AUTOEVENTO="Manual",$M109=1),0,IF(OFFSET(CRONOPLE!$F$14,$M109,AV$13)="",10^12,OFFSET(CRONOPLE!$F$14,$M109,AV$13))))</f>
        <v>1000000000000</v>
      </c>
      <c r="AX109" s="182">
        <f ca="1">IF($D109&lt;&gt;"Serviço",0,IF(OR(AND(AUTOEVENTO="Manual",$M109=1),$M109&gt;(ROW(PLE.lastrow)-ROW(PLE.firstrow))),0,IF(OFFSET(PLE!$G$14,$M109,AX$13)="",10^12,OFFSET(PLE!$G$14,$M109,AX$13))))</f>
        <v>1000000000000</v>
      </c>
      <c r="AY109" s="182">
        <f ca="1">IF($D109&lt;&gt;"Serviço",0,IF(OR(AND(AUTOEVENTO="Manual",$M109=1),$M109&gt;(ROW(PLE.lastrow)-ROW(PLE.firstrow))),0,IF(OFFSET(PLE!$G$14,$M109,AY$13)="",10^12,OFFSET(PLE!$G$14,$M109,AY$13))))</f>
        <v>1000000000000</v>
      </c>
      <c r="AZ109" s="182">
        <f ca="1">IF($D109&lt;&gt;"Serviço",0,IF(OR(AND(AUTOEVENTO="Manual",$M109=1),$M109&gt;(ROW(PLE.lastrow)-ROW(PLE.firstrow))),0,IF(OFFSET(PLE!$G$14,$M109,AZ$13)="",10^12,OFFSET(PLE!$G$14,$M109,AZ$13))))</f>
        <v>1000000000000</v>
      </c>
      <c r="BA109" s="182">
        <f ca="1">IF($D109&lt;&gt;"Serviço",0,IF(OR(AND(AUTOEVENTO="Manual",$M109=1),$M109&gt;(ROW(PLE.lastrow)-ROW(PLE.firstrow))),0,IF(OFFSET(PLE!$G$14,$M109,BA$13)="",10^12,OFFSET(PLE!$G$14,$M109,BA$13))))</f>
        <v>1000000000000</v>
      </c>
      <c r="BB109" s="182">
        <f ca="1">IF($D109&lt;&gt;"Serviço",0,IF(OR(AND(AUTOEVENTO="Manual",$M109=1),$M109&gt;(ROW(PLE.lastrow)-ROW(PLE.firstrow))),0,IF(OFFSET(PLE!$G$14,$M109,BB$13)="",10^12,OFFSET(PLE!$G$14,$M109,BB$13))))</f>
        <v>1000000000000</v>
      </c>
      <c r="BC109" s="182">
        <f ca="1">IF($D109&lt;&gt;"Serviço",0,IF(OR(AND(AUTOEVENTO="Manual",$M109=1),$M109&gt;(ROW(PLE.lastrow)-ROW(PLE.firstrow))),0,IF(OFFSET(PLE!$G$14,$M109,BC$13)="",10^12,OFFSET(PLE!$G$14,$M109,BC$13))))</f>
        <v>1000000000000</v>
      </c>
      <c r="BD109" s="182">
        <f ca="1">IF($D109&lt;&gt;"Serviço",0,IF(OR(AND(AUTOEVENTO="Manual",$M109=1),$M109&gt;(ROW(PLE.lastrow)-ROW(PLE.firstrow))),0,IF(OFFSET(PLE!$G$14,$M109,BD$13)="",10^12,OFFSET(PLE!$G$14,$M109,BD$13))))</f>
        <v>1000000000000</v>
      </c>
      <c r="BE109" s="182">
        <f ca="1">IF($D109&lt;&gt;"Serviço",0,IF(OR(AND(AUTOEVENTO="Manual",$M109=1),$M109&gt;(ROW(PLE.lastrow)-ROW(PLE.firstrow))),0,IF(OFFSET(PLE!$G$14,$M109,BE$13)="",10^12,OFFSET(PLE!$G$14,$M109,BE$13))))</f>
        <v>1000000000000</v>
      </c>
      <c r="BF109" s="182">
        <f ca="1">IF($D109&lt;&gt;"Serviço",0,IF(OR(AND(AUTOEVENTO="Manual",$M109=1),$M109&gt;(ROW(PLE.lastrow)-ROW(PLE.firstrow))),0,IF(OFFSET(PLE!$G$14,$M109,BF$13)="",10^12,OFFSET(PLE!$G$14,$M109,BF$13))))</f>
        <v>1000000000000</v>
      </c>
      <c r="BG109" s="182">
        <f ca="1">IF($D109&lt;&gt;"Serviço",0,IF(OR(AND(AUTOEVENTO="Manual",$M109=1),$M109&gt;(ROW(PLE.lastrow)-ROW(PLE.firstrow))),0,IF(OFFSET(PLE!$G$14,$M109,BG$13)="",10^12,OFFSET(PLE!$G$14,$M109,BG$13))))</f>
        <v>1000000000000</v>
      </c>
    </row>
    <row r="110" spans="1:59" ht="38.25" x14ac:dyDescent="0.2">
      <c r="A110" s="7" t="str">
        <f t="shared" ca="1" si="9"/>
        <v>90</v>
      </c>
      <c r="B110" s="7" t="str">
        <f ca="1">OFFSET(ORÇAMENTO!C$15,ROW(B110)-ROW(B$15),0)</f>
        <v>S</v>
      </c>
      <c r="C110" s="7" t="str">
        <f ca="1">OFFSET(ORÇAMENTO!L$15,ROW(C110)-ROW(C$15),0)</f>
        <v/>
      </c>
      <c r="D110" s="118" t="str">
        <f ca="1">OFFSET(ORÇAMENTO!N$15,ROW(D110)-ROW(D$15),0)</f>
        <v>Serviço</v>
      </c>
      <c r="E110" s="119" t="str">
        <f ca="1">OFFSET(ORÇAMENTO!O$15,ROW(E110)-ROW(E$15),0)</f>
        <v>-</v>
      </c>
      <c r="F110" s="172" t="str">
        <f ca="1">OFFSET(ORÇAMENTO!R$15,ROW(F110)-ROW(F$15),0)</f>
        <v>(abra o arquivo 'Referência 02-2025.xlsm)</v>
      </c>
      <c r="G110" s="173" t="str">
        <f ca="1">IF($D110&lt;&gt;"Serviço","",OFFSET(ORÇAMENTO!S$15,ROW(G110)-ROW(G$15),0))</f>
        <v>-</v>
      </c>
      <c r="H110" s="124">
        <f ca="1">IF($D110&lt;&gt;"Serviço",0,IF(ACOMPANHAMENTO="BM",ROUND(OFFSET(ORÇAMENTO!AJ$15,ROW(H110)-ROW(H$15),0),15-13*ORÇAMENTO!$AF$7),SUMPRODUCT(($Q$12:$AA$12&lt;&gt;"")*ROUND($Q110:$AA110,15-13*ORÇAMENTO!$AF$7))))</f>
        <v>933.85</v>
      </c>
      <c r="I110" s="561" t="s">
        <v>890</v>
      </c>
      <c r="K110" s="174"/>
      <c r="L110" s="175" t="s">
        <v>255</v>
      </c>
      <c r="M110" s="176">
        <f ca="1">IF($D110&lt;&gt;"Serviço","",IF(AUTOEVENTO="manual",$A110,IF(ISERROR(MATCH($A110,$A$15:OFFSET($A110,-1,0),0)),MAX($M$15:OFFSET(M110,-1,0))+1,INDEX($M$15:OFFSET(M110,-1,0),MATCH($A110,$A$15:OFFSET($A110,-1,0),0)))))</f>
        <v>6</v>
      </c>
      <c r="N110" s="177" t="str">
        <f ca="1">IF($D110&lt;&gt;"Serviço","",IF(AUTOEVENTO="Manual",IF($A110=0,"&lt;-- defina o número do agrupador",OFFSET(EVENTOS!$D$14,$A110,0)),OFFSET($F$15,$A110,0)))</f>
        <v>SISTEMA DE VEDAÇÃO VERTICAL</v>
      </c>
      <c r="O110" s="178"/>
      <c r="Q110" s="178"/>
      <c r="R110" s="179"/>
      <c r="S110" s="179"/>
      <c r="T110" s="179"/>
      <c r="U110" s="179"/>
      <c r="V110" s="179"/>
      <c r="W110" s="179"/>
      <c r="X110" s="179"/>
      <c r="Y110" s="179"/>
      <c r="Z110" s="180"/>
      <c r="AB110" s="544">
        <f ca="1">IF(AND($D110="Serviço",AB$12&lt;&gt;0,$H110&gt;0,OR(AUTOEVENTO&lt;&gt;"manual",$M110&lt;&gt;1)),
IF(Import.TipoArredondamento&lt;&gt;"TransfereGOV",
ROUND(OFFSET($P110,0,AB$13),15-13*ORÇAMENTO!$AF$7)/$H110*OFFSET(ORÇAMENTO!$X$15,ROW(AB110)-ROW(AB$15),0),
ROUND(ROUND(OFFSET($P110,0,AB$13),15-13*ORÇAMENTO!$AF$7)*OFFSET(ORÇAMENTO!$W$15,ROW(AB110)-ROW(AB$15),0),15-13*ORÇAMENTO!$AF$11)),0)</f>
        <v>0</v>
      </c>
      <c r="AC110" s="545">
        <f ca="1">IF(AND($D110="Serviço",AC$12&lt;&gt;0,$H110&gt;0,OR(AUTOEVENTO&lt;&gt;"manual",$M110&lt;&gt;1)),
IF(Import.TipoArredondamento&lt;&gt;"TransfereGOV",
ROUND(OFFSET($P110,0,AC$13),15-13*ORÇAMENTO!$AF$7)/$H110*OFFSET(ORÇAMENTO!$X$15,ROW(AC110)-ROW(AC$15),0),
ROUND(ROUND(OFFSET($P110,0,AC$13),15-13*ORÇAMENTO!$AF$7)*OFFSET(ORÇAMENTO!$W$15,ROW(AC110)-ROW(AC$15),0),15-13*ORÇAMENTO!$AF$11)),0)</f>
        <v>0</v>
      </c>
      <c r="AD110" s="545">
        <f ca="1">IF(AND($D110="Serviço",AD$12&lt;&gt;0,$H110&gt;0,OR(AUTOEVENTO&lt;&gt;"manual",$M110&lt;&gt;1)),
IF(Import.TipoArredondamento&lt;&gt;"TransfereGOV",
ROUND(OFFSET($P110,0,AD$13),15-13*ORÇAMENTO!$AF$7)/$H110*OFFSET(ORÇAMENTO!$X$15,ROW(AD110)-ROW(AD$15),0),
ROUND(ROUND(OFFSET($P110,0,AD$13),15-13*ORÇAMENTO!$AF$7)*OFFSET(ORÇAMENTO!$W$15,ROW(AD110)-ROW(AD$15),0),15-13*ORÇAMENTO!$AF$11)),0)</f>
        <v>0</v>
      </c>
      <c r="AE110" s="545">
        <f ca="1">IF(AND($D110="Serviço",AE$12&lt;&gt;0,$H110&gt;0,OR(AUTOEVENTO&lt;&gt;"manual",$M110&lt;&gt;1)),
IF(Import.TipoArredondamento&lt;&gt;"TransfereGOV",
ROUND(OFFSET($P110,0,AE$13),15-13*ORÇAMENTO!$AF$7)/$H110*OFFSET(ORÇAMENTO!$X$15,ROW(AE110)-ROW(AE$15),0),
ROUND(ROUND(OFFSET($P110,0,AE$13),15-13*ORÇAMENTO!$AF$7)*OFFSET(ORÇAMENTO!$W$15,ROW(AE110)-ROW(AE$15),0),15-13*ORÇAMENTO!$AF$11)),0)</f>
        <v>0</v>
      </c>
      <c r="AF110" s="545">
        <f ca="1">IF(AND($D110="Serviço",AF$12&lt;&gt;0,$H110&gt;0,OR(AUTOEVENTO&lt;&gt;"manual",$M110&lt;&gt;1)),
IF(Import.TipoArredondamento&lt;&gt;"TransfereGOV",
ROUND(OFFSET($P110,0,AF$13),15-13*ORÇAMENTO!$AF$7)/$H110*OFFSET(ORÇAMENTO!$X$15,ROW(AF110)-ROW(AF$15),0),
ROUND(ROUND(OFFSET($P110,0,AF$13),15-13*ORÇAMENTO!$AF$7)*OFFSET(ORÇAMENTO!$W$15,ROW(AF110)-ROW(AF$15),0),15-13*ORÇAMENTO!$AF$11)),0)</f>
        <v>0</v>
      </c>
      <c r="AG110" s="545">
        <f ca="1">IF(AND($D110="Serviço",AG$12&lt;&gt;0,$H110&gt;0,OR(AUTOEVENTO&lt;&gt;"manual",$M110&lt;&gt;1)),
IF(Import.TipoArredondamento&lt;&gt;"TransfereGOV",
ROUND(OFFSET($P110,0,AG$13),15-13*ORÇAMENTO!$AF$7)/$H110*OFFSET(ORÇAMENTO!$X$15,ROW(AG110)-ROW(AG$15),0),
ROUND(ROUND(OFFSET($P110,0,AG$13),15-13*ORÇAMENTO!$AF$7)*OFFSET(ORÇAMENTO!$W$15,ROW(AG110)-ROW(AG$15),0),15-13*ORÇAMENTO!$AF$11)),0)</f>
        <v>0</v>
      </c>
      <c r="AH110" s="545">
        <f ca="1">IF(AND($D110="Serviço",AH$12&lt;&gt;0,$H110&gt;0,OR(AUTOEVENTO&lt;&gt;"manual",$M110&lt;&gt;1)),
IF(Import.TipoArredondamento&lt;&gt;"TransfereGOV",
ROUND(OFFSET($P110,0,AH$13),15-13*ORÇAMENTO!$AF$7)/$H110*OFFSET(ORÇAMENTO!$X$15,ROW(AH110)-ROW(AH$15),0),
ROUND(ROUND(OFFSET($P110,0,AH$13),15-13*ORÇAMENTO!$AF$7)*OFFSET(ORÇAMENTO!$W$15,ROW(AH110)-ROW(AH$15),0),15-13*ORÇAMENTO!$AF$11)),0)</f>
        <v>0</v>
      </c>
      <c r="AI110" s="545">
        <f ca="1">IF(AND($D110="Serviço",AI$12&lt;&gt;0,$H110&gt;0,OR(AUTOEVENTO&lt;&gt;"manual",$M110&lt;&gt;1)),
IF(Import.TipoArredondamento&lt;&gt;"TransfereGOV",
ROUND(OFFSET($P110,0,AI$13),15-13*ORÇAMENTO!$AF$7)/$H110*OFFSET(ORÇAMENTO!$X$15,ROW(AI110)-ROW(AI$15),0),
ROUND(ROUND(OFFSET($P110,0,AI$13),15-13*ORÇAMENTO!$AF$7)*OFFSET(ORÇAMENTO!$W$15,ROW(AI110)-ROW(AI$15),0),15-13*ORÇAMENTO!$AF$11)),0)</f>
        <v>0</v>
      </c>
      <c r="AJ110" s="545">
        <f ca="1">IF(AND($D110="Serviço",AJ$12&lt;&gt;0,$H110&gt;0,OR(AUTOEVENTO&lt;&gt;"manual",$M110&lt;&gt;1)),
IF(Import.TipoArredondamento&lt;&gt;"TransfereGOV",
ROUND(OFFSET($P110,0,AJ$13),15-13*ORÇAMENTO!$AF$7)/$H110*OFFSET(ORÇAMENTO!$X$15,ROW(AJ110)-ROW(AJ$15),0),
ROUND(ROUND(OFFSET($P110,0,AJ$13),15-13*ORÇAMENTO!$AF$7)*OFFSET(ORÇAMENTO!$W$15,ROW(AJ110)-ROW(AJ$15),0),15-13*ORÇAMENTO!$AF$11)),0)</f>
        <v>0</v>
      </c>
      <c r="AK110" s="546">
        <f ca="1">IF(AND($D110="Serviço",AK$12&lt;&gt;0,$H110&gt;0,OR(AUTOEVENTO&lt;&gt;"manual",$M110&lt;&gt;1)),
IF(Import.TipoArredondamento&lt;&gt;"TransfereGOV",
ROUND(OFFSET($P110,0,AK$13),15-13*ORÇAMENTO!$AF$7)/$H110*OFFSET(ORÇAMENTO!$X$15,ROW(AK110)-ROW(AK$15),0),
ROUND(ROUND(OFFSET($P110,0,AK$13),15-13*ORÇAMENTO!$AF$7)*OFFSET(ORÇAMENTO!$W$15,ROW(AK110)-ROW(AK$15),0),15-13*ORÇAMENTO!$AF$11)),0)</f>
        <v>0</v>
      </c>
      <c r="AM110" s="181">
        <f ca="1">IF($D110&lt;&gt;"Serviço",0,IF(AND(AUTOEVENTO="Manual",$M110=1),0,IF(OFFSET(CRONOPLE!$F$14,$M110,AM$13)="",10^12,OFFSET(CRONOPLE!$F$14,$M110,AM$13))))</f>
        <v>1000000000000</v>
      </c>
      <c r="AN110" s="181">
        <f ca="1">IF($D110&lt;&gt;"Serviço",0,IF(AND(AUTOEVENTO="Manual",$M110=1),0,IF(OFFSET(CRONOPLE!$F$14,$M110,AN$13)="",10^12,OFFSET(CRONOPLE!$F$14,$M110,AN$13))))</f>
        <v>1000000000000</v>
      </c>
      <c r="AO110" s="181">
        <f ca="1">IF($D110&lt;&gt;"Serviço",0,IF(AND(AUTOEVENTO="Manual",$M110=1),0,IF(OFFSET(CRONOPLE!$F$14,$M110,AO$13)="",10^12,OFFSET(CRONOPLE!$F$14,$M110,AO$13))))</f>
        <v>1000000000000</v>
      </c>
      <c r="AP110" s="181">
        <f ca="1">IF($D110&lt;&gt;"Serviço",0,IF(AND(AUTOEVENTO="Manual",$M110=1),0,IF(OFFSET(CRONOPLE!$F$14,$M110,AP$13)="",10^12,OFFSET(CRONOPLE!$F$14,$M110,AP$13))))</f>
        <v>1000000000000</v>
      </c>
      <c r="AQ110" s="181">
        <f ca="1">IF($D110&lt;&gt;"Serviço",0,IF(AND(AUTOEVENTO="Manual",$M110=1),0,IF(OFFSET(CRONOPLE!$F$14,$M110,AQ$13)="",10^12,OFFSET(CRONOPLE!$F$14,$M110,AQ$13))))</f>
        <v>1000000000000</v>
      </c>
      <c r="AR110" s="181">
        <f ca="1">IF($D110&lt;&gt;"Serviço",0,IF(AND(AUTOEVENTO="Manual",$M110=1),0,IF(OFFSET(CRONOPLE!$F$14,$M110,AR$13)="",10^12,OFFSET(CRONOPLE!$F$14,$M110,AR$13))))</f>
        <v>1000000000000</v>
      </c>
      <c r="AS110" s="181">
        <f ca="1">IF($D110&lt;&gt;"Serviço",0,IF(AND(AUTOEVENTO="Manual",$M110=1),0,IF(OFFSET(CRONOPLE!$F$14,$M110,AS$13)="",10^12,OFFSET(CRONOPLE!$F$14,$M110,AS$13))))</f>
        <v>1000000000000</v>
      </c>
      <c r="AT110" s="181">
        <f ca="1">IF($D110&lt;&gt;"Serviço",0,IF(AND(AUTOEVENTO="Manual",$M110=1),0,IF(OFFSET(CRONOPLE!$F$14,$M110,AT$13)="",10^12,OFFSET(CRONOPLE!$F$14,$M110,AT$13))))</f>
        <v>1000000000000</v>
      </c>
      <c r="AU110" s="181">
        <f ca="1">IF($D110&lt;&gt;"Serviço",0,IF(AND(AUTOEVENTO="Manual",$M110=1),0,IF(OFFSET(CRONOPLE!$F$14,$M110,AU$13)="",10^12,OFFSET(CRONOPLE!$F$14,$M110,AU$13))))</f>
        <v>1000000000000</v>
      </c>
      <c r="AV110" s="181">
        <f ca="1">IF($D110&lt;&gt;"Serviço",0,IF(AND(AUTOEVENTO="Manual",$M110=1),0,IF(OFFSET(CRONOPLE!$F$14,$M110,AV$13)="",10^12,OFFSET(CRONOPLE!$F$14,$M110,AV$13))))</f>
        <v>1000000000000</v>
      </c>
      <c r="AX110" s="182">
        <f ca="1">IF($D110&lt;&gt;"Serviço",0,IF(OR(AND(AUTOEVENTO="Manual",$M110=1),$M110&gt;(ROW(PLE.lastrow)-ROW(PLE.firstrow))),0,IF(OFFSET(PLE!$G$14,$M110,AX$13)="",10^12,OFFSET(PLE!$G$14,$M110,AX$13))))</f>
        <v>1000000000000</v>
      </c>
      <c r="AY110" s="182">
        <f ca="1">IF($D110&lt;&gt;"Serviço",0,IF(OR(AND(AUTOEVENTO="Manual",$M110=1),$M110&gt;(ROW(PLE.lastrow)-ROW(PLE.firstrow))),0,IF(OFFSET(PLE!$G$14,$M110,AY$13)="",10^12,OFFSET(PLE!$G$14,$M110,AY$13))))</f>
        <v>1000000000000</v>
      </c>
      <c r="AZ110" s="182">
        <f ca="1">IF($D110&lt;&gt;"Serviço",0,IF(OR(AND(AUTOEVENTO="Manual",$M110=1),$M110&gt;(ROW(PLE.lastrow)-ROW(PLE.firstrow))),0,IF(OFFSET(PLE!$G$14,$M110,AZ$13)="",10^12,OFFSET(PLE!$G$14,$M110,AZ$13))))</f>
        <v>1000000000000</v>
      </c>
      <c r="BA110" s="182">
        <f ca="1">IF($D110&lt;&gt;"Serviço",0,IF(OR(AND(AUTOEVENTO="Manual",$M110=1),$M110&gt;(ROW(PLE.lastrow)-ROW(PLE.firstrow))),0,IF(OFFSET(PLE!$G$14,$M110,BA$13)="",10^12,OFFSET(PLE!$G$14,$M110,BA$13))))</f>
        <v>1000000000000</v>
      </c>
      <c r="BB110" s="182">
        <f ca="1">IF($D110&lt;&gt;"Serviço",0,IF(OR(AND(AUTOEVENTO="Manual",$M110=1),$M110&gt;(ROW(PLE.lastrow)-ROW(PLE.firstrow))),0,IF(OFFSET(PLE!$G$14,$M110,BB$13)="",10^12,OFFSET(PLE!$G$14,$M110,BB$13))))</f>
        <v>1000000000000</v>
      </c>
      <c r="BC110" s="182">
        <f ca="1">IF($D110&lt;&gt;"Serviço",0,IF(OR(AND(AUTOEVENTO="Manual",$M110=1),$M110&gt;(ROW(PLE.lastrow)-ROW(PLE.firstrow))),0,IF(OFFSET(PLE!$G$14,$M110,BC$13)="",10^12,OFFSET(PLE!$G$14,$M110,BC$13))))</f>
        <v>1000000000000</v>
      </c>
      <c r="BD110" s="182">
        <f ca="1">IF($D110&lt;&gt;"Serviço",0,IF(OR(AND(AUTOEVENTO="Manual",$M110=1),$M110&gt;(ROW(PLE.lastrow)-ROW(PLE.firstrow))),0,IF(OFFSET(PLE!$G$14,$M110,BD$13)="",10^12,OFFSET(PLE!$G$14,$M110,BD$13))))</f>
        <v>1000000000000</v>
      </c>
      <c r="BE110" s="182">
        <f ca="1">IF($D110&lt;&gt;"Serviço",0,IF(OR(AND(AUTOEVENTO="Manual",$M110=1),$M110&gt;(ROW(PLE.lastrow)-ROW(PLE.firstrow))),0,IF(OFFSET(PLE!$G$14,$M110,BE$13)="",10^12,OFFSET(PLE!$G$14,$M110,BE$13))))</f>
        <v>1000000000000</v>
      </c>
      <c r="BF110" s="182">
        <f ca="1">IF($D110&lt;&gt;"Serviço",0,IF(OR(AND(AUTOEVENTO="Manual",$M110=1),$M110&gt;(ROW(PLE.lastrow)-ROW(PLE.firstrow))),0,IF(OFFSET(PLE!$G$14,$M110,BF$13)="",10^12,OFFSET(PLE!$G$14,$M110,BF$13))))</f>
        <v>1000000000000</v>
      </c>
      <c r="BG110" s="182">
        <f ca="1">IF($D110&lt;&gt;"Serviço",0,IF(OR(AND(AUTOEVENTO="Manual",$M110=1),$M110&gt;(ROW(PLE.lastrow)-ROW(PLE.firstrow))),0,IF(OFFSET(PLE!$G$14,$M110,BG$13)="",10^12,OFFSET(PLE!$G$14,$M110,BG$13))))</f>
        <v>1000000000000</v>
      </c>
    </row>
    <row r="111" spans="1:59" ht="38.25" x14ac:dyDescent="0.2">
      <c r="A111" s="7" t="str">
        <f t="shared" ca="1" si="9"/>
        <v>90</v>
      </c>
      <c r="B111" s="7" t="str">
        <f ca="1">OFFSET(ORÇAMENTO!C$15,ROW(B111)-ROW(B$15),0)</f>
        <v>S</v>
      </c>
      <c r="C111" s="7" t="str">
        <f ca="1">OFFSET(ORÇAMENTO!L$15,ROW(C111)-ROW(C$15),0)</f>
        <v/>
      </c>
      <c r="D111" s="118" t="str">
        <f ca="1">OFFSET(ORÇAMENTO!N$15,ROW(D111)-ROW(D$15),0)</f>
        <v>Serviço</v>
      </c>
      <c r="E111" s="119" t="str">
        <f ca="1">OFFSET(ORÇAMENTO!O$15,ROW(E111)-ROW(E$15),0)</f>
        <v>-</v>
      </c>
      <c r="F111" s="172" t="str">
        <f ca="1">OFFSET(ORÇAMENTO!R$15,ROW(F111)-ROW(F$15),0)</f>
        <v>(abra o arquivo 'Referência 02-2025.xlsm)</v>
      </c>
      <c r="G111" s="173" t="str">
        <f ca="1">IF($D111&lt;&gt;"Serviço","",OFFSET(ORÇAMENTO!S$15,ROW(G111)-ROW(G$15),0))</f>
        <v>-</v>
      </c>
      <c r="H111" s="124">
        <f ca="1">IF($D111&lt;&gt;"Serviço",0,IF(ACOMPANHAMENTO="BM",ROUND(OFFSET(ORÇAMENTO!AJ$15,ROW(H111)-ROW(H$15),0),15-13*ORÇAMENTO!$AF$7),SUMPRODUCT(($Q$12:$AA$12&lt;&gt;"")*ROUND($Q111:$AA111,15-13*ORÇAMENTO!$AF$7))))</f>
        <v>17.16</v>
      </c>
      <c r="I111" s="561" t="s">
        <v>890</v>
      </c>
      <c r="K111" s="174"/>
      <c r="L111" s="175" t="s">
        <v>255</v>
      </c>
      <c r="M111" s="176">
        <f ca="1">IF($D111&lt;&gt;"Serviço","",IF(AUTOEVENTO="manual",$A111,IF(ISERROR(MATCH($A111,$A$15:OFFSET($A111,-1,0),0)),MAX($M$15:OFFSET(M111,-1,0))+1,INDEX($M$15:OFFSET(M111,-1,0),MATCH($A111,$A$15:OFFSET($A111,-1,0),0)))))</f>
        <v>6</v>
      </c>
      <c r="N111" s="177" t="str">
        <f ca="1">IF($D111&lt;&gt;"Serviço","",IF(AUTOEVENTO="Manual",IF($A111=0,"&lt;-- defina o número do agrupador",OFFSET(EVENTOS!$D$14,$A111,0)),OFFSET($F$15,$A111,0)))</f>
        <v>SISTEMA DE VEDAÇÃO VERTICAL</v>
      </c>
      <c r="O111" s="178"/>
      <c r="Q111" s="178"/>
      <c r="R111" s="179"/>
      <c r="S111" s="179"/>
      <c r="T111" s="179"/>
      <c r="U111" s="179"/>
      <c r="V111" s="179"/>
      <c r="W111" s="179"/>
      <c r="X111" s="179"/>
      <c r="Y111" s="179"/>
      <c r="Z111" s="180"/>
      <c r="AB111" s="544">
        <f ca="1">IF(AND($D111="Serviço",AB$12&lt;&gt;0,$H111&gt;0,OR(AUTOEVENTO&lt;&gt;"manual",$M111&lt;&gt;1)),
IF(Import.TipoArredondamento&lt;&gt;"TransfereGOV",
ROUND(OFFSET($P111,0,AB$13),15-13*ORÇAMENTO!$AF$7)/$H111*OFFSET(ORÇAMENTO!$X$15,ROW(AB111)-ROW(AB$15),0),
ROUND(ROUND(OFFSET($P111,0,AB$13),15-13*ORÇAMENTO!$AF$7)*OFFSET(ORÇAMENTO!$W$15,ROW(AB111)-ROW(AB$15),0),15-13*ORÇAMENTO!$AF$11)),0)</f>
        <v>0</v>
      </c>
      <c r="AC111" s="545">
        <f ca="1">IF(AND($D111="Serviço",AC$12&lt;&gt;0,$H111&gt;0,OR(AUTOEVENTO&lt;&gt;"manual",$M111&lt;&gt;1)),
IF(Import.TipoArredondamento&lt;&gt;"TransfereGOV",
ROUND(OFFSET($P111,0,AC$13),15-13*ORÇAMENTO!$AF$7)/$H111*OFFSET(ORÇAMENTO!$X$15,ROW(AC111)-ROW(AC$15),0),
ROUND(ROUND(OFFSET($P111,0,AC$13),15-13*ORÇAMENTO!$AF$7)*OFFSET(ORÇAMENTO!$W$15,ROW(AC111)-ROW(AC$15),0),15-13*ORÇAMENTO!$AF$11)),0)</f>
        <v>0</v>
      </c>
      <c r="AD111" s="545">
        <f ca="1">IF(AND($D111="Serviço",AD$12&lt;&gt;0,$H111&gt;0,OR(AUTOEVENTO&lt;&gt;"manual",$M111&lt;&gt;1)),
IF(Import.TipoArredondamento&lt;&gt;"TransfereGOV",
ROUND(OFFSET($P111,0,AD$13),15-13*ORÇAMENTO!$AF$7)/$H111*OFFSET(ORÇAMENTO!$X$15,ROW(AD111)-ROW(AD$15),0),
ROUND(ROUND(OFFSET($P111,0,AD$13),15-13*ORÇAMENTO!$AF$7)*OFFSET(ORÇAMENTO!$W$15,ROW(AD111)-ROW(AD$15),0),15-13*ORÇAMENTO!$AF$11)),0)</f>
        <v>0</v>
      </c>
      <c r="AE111" s="545">
        <f ca="1">IF(AND($D111="Serviço",AE$12&lt;&gt;0,$H111&gt;0,OR(AUTOEVENTO&lt;&gt;"manual",$M111&lt;&gt;1)),
IF(Import.TipoArredondamento&lt;&gt;"TransfereGOV",
ROUND(OFFSET($P111,0,AE$13),15-13*ORÇAMENTO!$AF$7)/$H111*OFFSET(ORÇAMENTO!$X$15,ROW(AE111)-ROW(AE$15),0),
ROUND(ROUND(OFFSET($P111,0,AE$13),15-13*ORÇAMENTO!$AF$7)*OFFSET(ORÇAMENTO!$W$15,ROW(AE111)-ROW(AE$15),0),15-13*ORÇAMENTO!$AF$11)),0)</f>
        <v>0</v>
      </c>
      <c r="AF111" s="545">
        <f ca="1">IF(AND($D111="Serviço",AF$12&lt;&gt;0,$H111&gt;0,OR(AUTOEVENTO&lt;&gt;"manual",$M111&lt;&gt;1)),
IF(Import.TipoArredondamento&lt;&gt;"TransfereGOV",
ROUND(OFFSET($P111,0,AF$13),15-13*ORÇAMENTO!$AF$7)/$H111*OFFSET(ORÇAMENTO!$X$15,ROW(AF111)-ROW(AF$15),0),
ROUND(ROUND(OFFSET($P111,0,AF$13),15-13*ORÇAMENTO!$AF$7)*OFFSET(ORÇAMENTO!$W$15,ROW(AF111)-ROW(AF$15),0),15-13*ORÇAMENTO!$AF$11)),0)</f>
        <v>0</v>
      </c>
      <c r="AG111" s="545">
        <f ca="1">IF(AND($D111="Serviço",AG$12&lt;&gt;0,$H111&gt;0,OR(AUTOEVENTO&lt;&gt;"manual",$M111&lt;&gt;1)),
IF(Import.TipoArredondamento&lt;&gt;"TransfereGOV",
ROUND(OFFSET($P111,0,AG$13),15-13*ORÇAMENTO!$AF$7)/$H111*OFFSET(ORÇAMENTO!$X$15,ROW(AG111)-ROW(AG$15),0),
ROUND(ROUND(OFFSET($P111,0,AG$13),15-13*ORÇAMENTO!$AF$7)*OFFSET(ORÇAMENTO!$W$15,ROW(AG111)-ROW(AG$15),0),15-13*ORÇAMENTO!$AF$11)),0)</f>
        <v>0</v>
      </c>
      <c r="AH111" s="545">
        <f ca="1">IF(AND($D111="Serviço",AH$12&lt;&gt;0,$H111&gt;0,OR(AUTOEVENTO&lt;&gt;"manual",$M111&lt;&gt;1)),
IF(Import.TipoArredondamento&lt;&gt;"TransfereGOV",
ROUND(OFFSET($P111,0,AH$13),15-13*ORÇAMENTO!$AF$7)/$H111*OFFSET(ORÇAMENTO!$X$15,ROW(AH111)-ROW(AH$15),0),
ROUND(ROUND(OFFSET($P111,0,AH$13),15-13*ORÇAMENTO!$AF$7)*OFFSET(ORÇAMENTO!$W$15,ROW(AH111)-ROW(AH$15),0),15-13*ORÇAMENTO!$AF$11)),0)</f>
        <v>0</v>
      </c>
      <c r="AI111" s="545">
        <f ca="1">IF(AND($D111="Serviço",AI$12&lt;&gt;0,$H111&gt;0,OR(AUTOEVENTO&lt;&gt;"manual",$M111&lt;&gt;1)),
IF(Import.TipoArredondamento&lt;&gt;"TransfereGOV",
ROUND(OFFSET($P111,0,AI$13),15-13*ORÇAMENTO!$AF$7)/$H111*OFFSET(ORÇAMENTO!$X$15,ROW(AI111)-ROW(AI$15),0),
ROUND(ROUND(OFFSET($P111,0,AI$13),15-13*ORÇAMENTO!$AF$7)*OFFSET(ORÇAMENTO!$W$15,ROW(AI111)-ROW(AI$15),0),15-13*ORÇAMENTO!$AF$11)),0)</f>
        <v>0</v>
      </c>
      <c r="AJ111" s="545">
        <f ca="1">IF(AND($D111="Serviço",AJ$12&lt;&gt;0,$H111&gt;0,OR(AUTOEVENTO&lt;&gt;"manual",$M111&lt;&gt;1)),
IF(Import.TipoArredondamento&lt;&gt;"TransfereGOV",
ROUND(OFFSET($P111,0,AJ$13),15-13*ORÇAMENTO!$AF$7)/$H111*OFFSET(ORÇAMENTO!$X$15,ROW(AJ111)-ROW(AJ$15),0),
ROUND(ROUND(OFFSET($P111,0,AJ$13),15-13*ORÇAMENTO!$AF$7)*OFFSET(ORÇAMENTO!$W$15,ROW(AJ111)-ROW(AJ$15),0),15-13*ORÇAMENTO!$AF$11)),0)</f>
        <v>0</v>
      </c>
      <c r="AK111" s="546">
        <f ca="1">IF(AND($D111="Serviço",AK$12&lt;&gt;0,$H111&gt;0,OR(AUTOEVENTO&lt;&gt;"manual",$M111&lt;&gt;1)),
IF(Import.TipoArredondamento&lt;&gt;"TransfereGOV",
ROUND(OFFSET($P111,0,AK$13),15-13*ORÇAMENTO!$AF$7)/$H111*OFFSET(ORÇAMENTO!$X$15,ROW(AK111)-ROW(AK$15),0),
ROUND(ROUND(OFFSET($P111,0,AK$13),15-13*ORÇAMENTO!$AF$7)*OFFSET(ORÇAMENTO!$W$15,ROW(AK111)-ROW(AK$15),0),15-13*ORÇAMENTO!$AF$11)),0)</f>
        <v>0</v>
      </c>
      <c r="AM111" s="181">
        <f ca="1">IF($D111&lt;&gt;"Serviço",0,IF(AND(AUTOEVENTO="Manual",$M111=1),0,IF(OFFSET(CRONOPLE!$F$14,$M111,AM$13)="",10^12,OFFSET(CRONOPLE!$F$14,$M111,AM$13))))</f>
        <v>1000000000000</v>
      </c>
      <c r="AN111" s="181">
        <f ca="1">IF($D111&lt;&gt;"Serviço",0,IF(AND(AUTOEVENTO="Manual",$M111=1),0,IF(OFFSET(CRONOPLE!$F$14,$M111,AN$13)="",10^12,OFFSET(CRONOPLE!$F$14,$M111,AN$13))))</f>
        <v>1000000000000</v>
      </c>
      <c r="AO111" s="181">
        <f ca="1">IF($D111&lt;&gt;"Serviço",0,IF(AND(AUTOEVENTO="Manual",$M111=1),0,IF(OFFSET(CRONOPLE!$F$14,$M111,AO$13)="",10^12,OFFSET(CRONOPLE!$F$14,$M111,AO$13))))</f>
        <v>1000000000000</v>
      </c>
      <c r="AP111" s="181">
        <f ca="1">IF($D111&lt;&gt;"Serviço",0,IF(AND(AUTOEVENTO="Manual",$M111=1),0,IF(OFFSET(CRONOPLE!$F$14,$M111,AP$13)="",10^12,OFFSET(CRONOPLE!$F$14,$M111,AP$13))))</f>
        <v>1000000000000</v>
      </c>
      <c r="AQ111" s="181">
        <f ca="1">IF($D111&lt;&gt;"Serviço",0,IF(AND(AUTOEVENTO="Manual",$M111=1),0,IF(OFFSET(CRONOPLE!$F$14,$M111,AQ$13)="",10^12,OFFSET(CRONOPLE!$F$14,$M111,AQ$13))))</f>
        <v>1000000000000</v>
      </c>
      <c r="AR111" s="181">
        <f ca="1">IF($D111&lt;&gt;"Serviço",0,IF(AND(AUTOEVENTO="Manual",$M111=1),0,IF(OFFSET(CRONOPLE!$F$14,$M111,AR$13)="",10^12,OFFSET(CRONOPLE!$F$14,$M111,AR$13))))</f>
        <v>1000000000000</v>
      </c>
      <c r="AS111" s="181">
        <f ca="1">IF($D111&lt;&gt;"Serviço",0,IF(AND(AUTOEVENTO="Manual",$M111=1),0,IF(OFFSET(CRONOPLE!$F$14,$M111,AS$13)="",10^12,OFFSET(CRONOPLE!$F$14,$M111,AS$13))))</f>
        <v>1000000000000</v>
      </c>
      <c r="AT111" s="181">
        <f ca="1">IF($D111&lt;&gt;"Serviço",0,IF(AND(AUTOEVENTO="Manual",$M111=1),0,IF(OFFSET(CRONOPLE!$F$14,$M111,AT$13)="",10^12,OFFSET(CRONOPLE!$F$14,$M111,AT$13))))</f>
        <v>1000000000000</v>
      </c>
      <c r="AU111" s="181">
        <f ca="1">IF($D111&lt;&gt;"Serviço",0,IF(AND(AUTOEVENTO="Manual",$M111=1),0,IF(OFFSET(CRONOPLE!$F$14,$M111,AU$13)="",10^12,OFFSET(CRONOPLE!$F$14,$M111,AU$13))))</f>
        <v>1000000000000</v>
      </c>
      <c r="AV111" s="181">
        <f ca="1">IF($D111&lt;&gt;"Serviço",0,IF(AND(AUTOEVENTO="Manual",$M111=1),0,IF(OFFSET(CRONOPLE!$F$14,$M111,AV$13)="",10^12,OFFSET(CRONOPLE!$F$14,$M111,AV$13))))</f>
        <v>1000000000000</v>
      </c>
      <c r="AX111" s="182">
        <f ca="1">IF($D111&lt;&gt;"Serviço",0,IF(OR(AND(AUTOEVENTO="Manual",$M111=1),$M111&gt;(ROW(PLE.lastrow)-ROW(PLE.firstrow))),0,IF(OFFSET(PLE!$G$14,$M111,AX$13)="",10^12,OFFSET(PLE!$G$14,$M111,AX$13))))</f>
        <v>1000000000000</v>
      </c>
      <c r="AY111" s="182">
        <f ca="1">IF($D111&lt;&gt;"Serviço",0,IF(OR(AND(AUTOEVENTO="Manual",$M111=1),$M111&gt;(ROW(PLE.lastrow)-ROW(PLE.firstrow))),0,IF(OFFSET(PLE!$G$14,$M111,AY$13)="",10^12,OFFSET(PLE!$G$14,$M111,AY$13))))</f>
        <v>1000000000000</v>
      </c>
      <c r="AZ111" s="182">
        <f ca="1">IF($D111&lt;&gt;"Serviço",0,IF(OR(AND(AUTOEVENTO="Manual",$M111=1),$M111&gt;(ROW(PLE.lastrow)-ROW(PLE.firstrow))),0,IF(OFFSET(PLE!$G$14,$M111,AZ$13)="",10^12,OFFSET(PLE!$G$14,$M111,AZ$13))))</f>
        <v>1000000000000</v>
      </c>
      <c r="BA111" s="182">
        <f ca="1">IF($D111&lt;&gt;"Serviço",0,IF(OR(AND(AUTOEVENTO="Manual",$M111=1),$M111&gt;(ROW(PLE.lastrow)-ROW(PLE.firstrow))),0,IF(OFFSET(PLE!$G$14,$M111,BA$13)="",10^12,OFFSET(PLE!$G$14,$M111,BA$13))))</f>
        <v>1000000000000</v>
      </c>
      <c r="BB111" s="182">
        <f ca="1">IF($D111&lt;&gt;"Serviço",0,IF(OR(AND(AUTOEVENTO="Manual",$M111=1),$M111&gt;(ROW(PLE.lastrow)-ROW(PLE.firstrow))),0,IF(OFFSET(PLE!$G$14,$M111,BB$13)="",10^12,OFFSET(PLE!$G$14,$M111,BB$13))))</f>
        <v>1000000000000</v>
      </c>
      <c r="BC111" s="182">
        <f ca="1">IF($D111&lt;&gt;"Serviço",0,IF(OR(AND(AUTOEVENTO="Manual",$M111=1),$M111&gt;(ROW(PLE.lastrow)-ROW(PLE.firstrow))),0,IF(OFFSET(PLE!$G$14,$M111,BC$13)="",10^12,OFFSET(PLE!$G$14,$M111,BC$13))))</f>
        <v>1000000000000</v>
      </c>
      <c r="BD111" s="182">
        <f ca="1">IF($D111&lt;&gt;"Serviço",0,IF(OR(AND(AUTOEVENTO="Manual",$M111=1),$M111&gt;(ROW(PLE.lastrow)-ROW(PLE.firstrow))),0,IF(OFFSET(PLE!$G$14,$M111,BD$13)="",10^12,OFFSET(PLE!$G$14,$M111,BD$13))))</f>
        <v>1000000000000</v>
      </c>
      <c r="BE111" s="182">
        <f ca="1">IF($D111&lt;&gt;"Serviço",0,IF(OR(AND(AUTOEVENTO="Manual",$M111=1),$M111&gt;(ROW(PLE.lastrow)-ROW(PLE.firstrow))),0,IF(OFFSET(PLE!$G$14,$M111,BE$13)="",10^12,OFFSET(PLE!$G$14,$M111,BE$13))))</f>
        <v>1000000000000</v>
      </c>
      <c r="BF111" s="182">
        <f ca="1">IF($D111&lt;&gt;"Serviço",0,IF(OR(AND(AUTOEVENTO="Manual",$M111=1),$M111&gt;(ROW(PLE.lastrow)-ROW(PLE.firstrow))),0,IF(OFFSET(PLE!$G$14,$M111,BF$13)="",10^12,OFFSET(PLE!$G$14,$M111,BF$13))))</f>
        <v>1000000000000</v>
      </c>
      <c r="BG111" s="182">
        <f ca="1">IF($D111&lt;&gt;"Serviço",0,IF(OR(AND(AUTOEVENTO="Manual",$M111=1),$M111&gt;(ROW(PLE.lastrow)-ROW(PLE.firstrow))),0,IF(OFFSET(PLE!$G$14,$M111,BG$13)="",10^12,OFFSET(PLE!$G$14,$M111,BG$13))))</f>
        <v>1000000000000</v>
      </c>
    </row>
    <row r="112" spans="1:59" ht="25.5" x14ac:dyDescent="0.2">
      <c r="A112" s="7" t="str">
        <f t="shared" ca="1" si="9"/>
        <v>90</v>
      </c>
      <c r="B112" s="7" t="str">
        <f ca="1">OFFSET(ORÇAMENTO!C$15,ROW(B112)-ROW(B$15),0)</f>
        <v>S</v>
      </c>
      <c r="C112" s="7" t="str">
        <f ca="1">OFFSET(ORÇAMENTO!L$15,ROW(C112)-ROW(C$15),0)</f>
        <v/>
      </c>
      <c r="D112" s="118" t="str">
        <f ca="1">OFFSET(ORÇAMENTO!N$15,ROW(D112)-ROW(D$15),0)</f>
        <v>Serviço</v>
      </c>
      <c r="E112" s="119" t="str">
        <f ca="1">OFFSET(ORÇAMENTO!O$15,ROW(E112)-ROW(E$15),0)</f>
        <v>-</v>
      </c>
      <c r="F112" s="172" t="str">
        <f ca="1">OFFSET(ORÇAMENTO!R$15,ROW(F112)-ROW(F$15),0)</f>
        <v>(abra o arquivo 'Referência 02-2025.xlsm)</v>
      </c>
      <c r="G112" s="173" t="str">
        <f ca="1">IF($D112&lt;&gt;"Serviço","",OFFSET(ORÇAMENTO!S$15,ROW(G112)-ROW(G$15),0))</f>
        <v>-</v>
      </c>
      <c r="H112" s="124">
        <f ca="1">IF($D112&lt;&gt;"Serviço",0,IF(ACOMPANHAMENTO="BM",ROUND(OFFSET(ORÇAMENTO!AJ$15,ROW(H112)-ROW(H$15),0),15-13*ORÇAMENTO!$AF$7),SUMPRODUCT(($Q$12:$AA$12&lt;&gt;"")*ROUND($Q112:$AA112,15-13*ORÇAMENTO!$AF$7))))</f>
        <v>639.94000000000005</v>
      </c>
      <c r="I112" s="561" t="s">
        <v>890</v>
      </c>
      <c r="K112" s="174"/>
      <c r="L112" s="175" t="s">
        <v>255</v>
      </c>
      <c r="M112" s="176">
        <f ca="1">IF($D112&lt;&gt;"Serviço","",IF(AUTOEVENTO="manual",$A112,IF(ISERROR(MATCH($A112,$A$15:OFFSET($A112,-1,0),0)),MAX($M$15:OFFSET(M112,-1,0))+1,INDEX($M$15:OFFSET(M112,-1,0),MATCH($A112,$A$15:OFFSET($A112,-1,0),0)))))</f>
        <v>6</v>
      </c>
      <c r="N112" s="177" t="str">
        <f ca="1">IF($D112&lt;&gt;"Serviço","",IF(AUTOEVENTO="Manual",IF($A112=0,"&lt;-- defina o número do agrupador",OFFSET(EVENTOS!$D$14,$A112,0)),OFFSET($F$15,$A112,0)))</f>
        <v>SISTEMA DE VEDAÇÃO VERTICAL</v>
      </c>
      <c r="O112" s="178"/>
      <c r="Q112" s="178"/>
      <c r="R112" s="179"/>
      <c r="S112" s="179"/>
      <c r="T112" s="179"/>
      <c r="U112" s="179"/>
      <c r="V112" s="179"/>
      <c r="W112" s="179"/>
      <c r="X112" s="179"/>
      <c r="Y112" s="179"/>
      <c r="Z112" s="180"/>
      <c r="AB112" s="544">
        <f ca="1">IF(AND($D112="Serviço",AB$12&lt;&gt;0,$H112&gt;0,OR(AUTOEVENTO&lt;&gt;"manual",$M112&lt;&gt;1)),
IF(Import.TipoArredondamento&lt;&gt;"TransfereGOV",
ROUND(OFFSET($P112,0,AB$13),15-13*ORÇAMENTO!$AF$7)/$H112*OFFSET(ORÇAMENTO!$X$15,ROW(AB112)-ROW(AB$15),0),
ROUND(ROUND(OFFSET($P112,0,AB$13),15-13*ORÇAMENTO!$AF$7)*OFFSET(ORÇAMENTO!$W$15,ROW(AB112)-ROW(AB$15),0),15-13*ORÇAMENTO!$AF$11)),0)</f>
        <v>0</v>
      </c>
      <c r="AC112" s="545">
        <f ca="1">IF(AND($D112="Serviço",AC$12&lt;&gt;0,$H112&gt;0,OR(AUTOEVENTO&lt;&gt;"manual",$M112&lt;&gt;1)),
IF(Import.TipoArredondamento&lt;&gt;"TransfereGOV",
ROUND(OFFSET($P112,0,AC$13),15-13*ORÇAMENTO!$AF$7)/$H112*OFFSET(ORÇAMENTO!$X$15,ROW(AC112)-ROW(AC$15),0),
ROUND(ROUND(OFFSET($P112,0,AC$13),15-13*ORÇAMENTO!$AF$7)*OFFSET(ORÇAMENTO!$W$15,ROW(AC112)-ROW(AC$15),0),15-13*ORÇAMENTO!$AF$11)),0)</f>
        <v>0</v>
      </c>
      <c r="AD112" s="545">
        <f ca="1">IF(AND($D112="Serviço",AD$12&lt;&gt;0,$H112&gt;0,OR(AUTOEVENTO&lt;&gt;"manual",$M112&lt;&gt;1)),
IF(Import.TipoArredondamento&lt;&gt;"TransfereGOV",
ROUND(OFFSET($P112,0,AD$13),15-13*ORÇAMENTO!$AF$7)/$H112*OFFSET(ORÇAMENTO!$X$15,ROW(AD112)-ROW(AD$15),0),
ROUND(ROUND(OFFSET($P112,0,AD$13),15-13*ORÇAMENTO!$AF$7)*OFFSET(ORÇAMENTO!$W$15,ROW(AD112)-ROW(AD$15),0),15-13*ORÇAMENTO!$AF$11)),0)</f>
        <v>0</v>
      </c>
      <c r="AE112" s="545">
        <f ca="1">IF(AND($D112="Serviço",AE$12&lt;&gt;0,$H112&gt;0,OR(AUTOEVENTO&lt;&gt;"manual",$M112&lt;&gt;1)),
IF(Import.TipoArredondamento&lt;&gt;"TransfereGOV",
ROUND(OFFSET($P112,0,AE$13),15-13*ORÇAMENTO!$AF$7)/$H112*OFFSET(ORÇAMENTO!$X$15,ROW(AE112)-ROW(AE$15),0),
ROUND(ROUND(OFFSET($P112,0,AE$13),15-13*ORÇAMENTO!$AF$7)*OFFSET(ORÇAMENTO!$W$15,ROW(AE112)-ROW(AE$15),0),15-13*ORÇAMENTO!$AF$11)),0)</f>
        <v>0</v>
      </c>
      <c r="AF112" s="545">
        <f ca="1">IF(AND($D112="Serviço",AF$12&lt;&gt;0,$H112&gt;0,OR(AUTOEVENTO&lt;&gt;"manual",$M112&lt;&gt;1)),
IF(Import.TipoArredondamento&lt;&gt;"TransfereGOV",
ROUND(OFFSET($P112,0,AF$13),15-13*ORÇAMENTO!$AF$7)/$H112*OFFSET(ORÇAMENTO!$X$15,ROW(AF112)-ROW(AF$15),0),
ROUND(ROUND(OFFSET($P112,0,AF$13),15-13*ORÇAMENTO!$AF$7)*OFFSET(ORÇAMENTO!$W$15,ROW(AF112)-ROW(AF$15),0),15-13*ORÇAMENTO!$AF$11)),0)</f>
        <v>0</v>
      </c>
      <c r="AG112" s="545">
        <f ca="1">IF(AND($D112="Serviço",AG$12&lt;&gt;0,$H112&gt;0,OR(AUTOEVENTO&lt;&gt;"manual",$M112&lt;&gt;1)),
IF(Import.TipoArredondamento&lt;&gt;"TransfereGOV",
ROUND(OFFSET($P112,0,AG$13),15-13*ORÇAMENTO!$AF$7)/$H112*OFFSET(ORÇAMENTO!$X$15,ROW(AG112)-ROW(AG$15),0),
ROUND(ROUND(OFFSET($P112,0,AG$13),15-13*ORÇAMENTO!$AF$7)*OFFSET(ORÇAMENTO!$W$15,ROW(AG112)-ROW(AG$15),0),15-13*ORÇAMENTO!$AF$11)),0)</f>
        <v>0</v>
      </c>
      <c r="AH112" s="545">
        <f ca="1">IF(AND($D112="Serviço",AH$12&lt;&gt;0,$H112&gt;0,OR(AUTOEVENTO&lt;&gt;"manual",$M112&lt;&gt;1)),
IF(Import.TipoArredondamento&lt;&gt;"TransfereGOV",
ROUND(OFFSET($P112,0,AH$13),15-13*ORÇAMENTO!$AF$7)/$H112*OFFSET(ORÇAMENTO!$X$15,ROW(AH112)-ROW(AH$15),0),
ROUND(ROUND(OFFSET($P112,0,AH$13),15-13*ORÇAMENTO!$AF$7)*OFFSET(ORÇAMENTO!$W$15,ROW(AH112)-ROW(AH$15),0),15-13*ORÇAMENTO!$AF$11)),0)</f>
        <v>0</v>
      </c>
      <c r="AI112" s="545">
        <f ca="1">IF(AND($D112="Serviço",AI$12&lt;&gt;0,$H112&gt;0,OR(AUTOEVENTO&lt;&gt;"manual",$M112&lt;&gt;1)),
IF(Import.TipoArredondamento&lt;&gt;"TransfereGOV",
ROUND(OFFSET($P112,0,AI$13),15-13*ORÇAMENTO!$AF$7)/$H112*OFFSET(ORÇAMENTO!$X$15,ROW(AI112)-ROW(AI$15),0),
ROUND(ROUND(OFFSET($P112,0,AI$13),15-13*ORÇAMENTO!$AF$7)*OFFSET(ORÇAMENTO!$W$15,ROW(AI112)-ROW(AI$15),0),15-13*ORÇAMENTO!$AF$11)),0)</f>
        <v>0</v>
      </c>
      <c r="AJ112" s="545">
        <f ca="1">IF(AND($D112="Serviço",AJ$12&lt;&gt;0,$H112&gt;0,OR(AUTOEVENTO&lt;&gt;"manual",$M112&lt;&gt;1)),
IF(Import.TipoArredondamento&lt;&gt;"TransfereGOV",
ROUND(OFFSET($P112,0,AJ$13),15-13*ORÇAMENTO!$AF$7)/$H112*OFFSET(ORÇAMENTO!$X$15,ROW(AJ112)-ROW(AJ$15),0),
ROUND(ROUND(OFFSET($P112,0,AJ$13),15-13*ORÇAMENTO!$AF$7)*OFFSET(ORÇAMENTO!$W$15,ROW(AJ112)-ROW(AJ$15),0),15-13*ORÇAMENTO!$AF$11)),0)</f>
        <v>0</v>
      </c>
      <c r="AK112" s="546">
        <f ca="1">IF(AND($D112="Serviço",AK$12&lt;&gt;0,$H112&gt;0,OR(AUTOEVENTO&lt;&gt;"manual",$M112&lt;&gt;1)),
IF(Import.TipoArredondamento&lt;&gt;"TransfereGOV",
ROUND(OFFSET($P112,0,AK$13),15-13*ORÇAMENTO!$AF$7)/$H112*OFFSET(ORÇAMENTO!$X$15,ROW(AK112)-ROW(AK$15),0),
ROUND(ROUND(OFFSET($P112,0,AK$13),15-13*ORÇAMENTO!$AF$7)*OFFSET(ORÇAMENTO!$W$15,ROW(AK112)-ROW(AK$15),0),15-13*ORÇAMENTO!$AF$11)),0)</f>
        <v>0</v>
      </c>
      <c r="AM112" s="181">
        <f ca="1">IF($D112&lt;&gt;"Serviço",0,IF(AND(AUTOEVENTO="Manual",$M112=1),0,IF(OFFSET(CRONOPLE!$F$14,$M112,AM$13)="",10^12,OFFSET(CRONOPLE!$F$14,$M112,AM$13))))</f>
        <v>1000000000000</v>
      </c>
      <c r="AN112" s="181">
        <f ca="1">IF($D112&lt;&gt;"Serviço",0,IF(AND(AUTOEVENTO="Manual",$M112=1),0,IF(OFFSET(CRONOPLE!$F$14,$M112,AN$13)="",10^12,OFFSET(CRONOPLE!$F$14,$M112,AN$13))))</f>
        <v>1000000000000</v>
      </c>
      <c r="AO112" s="181">
        <f ca="1">IF($D112&lt;&gt;"Serviço",0,IF(AND(AUTOEVENTO="Manual",$M112=1),0,IF(OFFSET(CRONOPLE!$F$14,$M112,AO$13)="",10^12,OFFSET(CRONOPLE!$F$14,$M112,AO$13))))</f>
        <v>1000000000000</v>
      </c>
      <c r="AP112" s="181">
        <f ca="1">IF($D112&lt;&gt;"Serviço",0,IF(AND(AUTOEVENTO="Manual",$M112=1),0,IF(OFFSET(CRONOPLE!$F$14,$M112,AP$13)="",10^12,OFFSET(CRONOPLE!$F$14,$M112,AP$13))))</f>
        <v>1000000000000</v>
      </c>
      <c r="AQ112" s="181">
        <f ca="1">IF($D112&lt;&gt;"Serviço",0,IF(AND(AUTOEVENTO="Manual",$M112=1),0,IF(OFFSET(CRONOPLE!$F$14,$M112,AQ$13)="",10^12,OFFSET(CRONOPLE!$F$14,$M112,AQ$13))))</f>
        <v>1000000000000</v>
      </c>
      <c r="AR112" s="181">
        <f ca="1">IF($D112&lt;&gt;"Serviço",0,IF(AND(AUTOEVENTO="Manual",$M112=1),0,IF(OFFSET(CRONOPLE!$F$14,$M112,AR$13)="",10^12,OFFSET(CRONOPLE!$F$14,$M112,AR$13))))</f>
        <v>1000000000000</v>
      </c>
      <c r="AS112" s="181">
        <f ca="1">IF($D112&lt;&gt;"Serviço",0,IF(AND(AUTOEVENTO="Manual",$M112=1),0,IF(OFFSET(CRONOPLE!$F$14,$M112,AS$13)="",10^12,OFFSET(CRONOPLE!$F$14,$M112,AS$13))))</f>
        <v>1000000000000</v>
      </c>
      <c r="AT112" s="181">
        <f ca="1">IF($D112&lt;&gt;"Serviço",0,IF(AND(AUTOEVENTO="Manual",$M112=1),0,IF(OFFSET(CRONOPLE!$F$14,$M112,AT$13)="",10^12,OFFSET(CRONOPLE!$F$14,$M112,AT$13))))</f>
        <v>1000000000000</v>
      </c>
      <c r="AU112" s="181">
        <f ca="1">IF($D112&lt;&gt;"Serviço",0,IF(AND(AUTOEVENTO="Manual",$M112=1),0,IF(OFFSET(CRONOPLE!$F$14,$M112,AU$13)="",10^12,OFFSET(CRONOPLE!$F$14,$M112,AU$13))))</f>
        <v>1000000000000</v>
      </c>
      <c r="AV112" s="181">
        <f ca="1">IF($D112&lt;&gt;"Serviço",0,IF(AND(AUTOEVENTO="Manual",$M112=1),0,IF(OFFSET(CRONOPLE!$F$14,$M112,AV$13)="",10^12,OFFSET(CRONOPLE!$F$14,$M112,AV$13))))</f>
        <v>1000000000000</v>
      </c>
      <c r="AX112" s="182">
        <f ca="1">IF($D112&lt;&gt;"Serviço",0,IF(OR(AND(AUTOEVENTO="Manual",$M112=1),$M112&gt;(ROW(PLE.lastrow)-ROW(PLE.firstrow))),0,IF(OFFSET(PLE!$G$14,$M112,AX$13)="",10^12,OFFSET(PLE!$G$14,$M112,AX$13))))</f>
        <v>1000000000000</v>
      </c>
      <c r="AY112" s="182">
        <f ca="1">IF($D112&lt;&gt;"Serviço",0,IF(OR(AND(AUTOEVENTO="Manual",$M112=1),$M112&gt;(ROW(PLE.lastrow)-ROW(PLE.firstrow))),0,IF(OFFSET(PLE!$G$14,$M112,AY$13)="",10^12,OFFSET(PLE!$G$14,$M112,AY$13))))</f>
        <v>1000000000000</v>
      </c>
      <c r="AZ112" s="182">
        <f ca="1">IF($D112&lt;&gt;"Serviço",0,IF(OR(AND(AUTOEVENTO="Manual",$M112=1),$M112&gt;(ROW(PLE.lastrow)-ROW(PLE.firstrow))),0,IF(OFFSET(PLE!$G$14,$M112,AZ$13)="",10^12,OFFSET(PLE!$G$14,$M112,AZ$13))))</f>
        <v>1000000000000</v>
      </c>
      <c r="BA112" s="182">
        <f ca="1">IF($D112&lt;&gt;"Serviço",0,IF(OR(AND(AUTOEVENTO="Manual",$M112=1),$M112&gt;(ROW(PLE.lastrow)-ROW(PLE.firstrow))),0,IF(OFFSET(PLE!$G$14,$M112,BA$13)="",10^12,OFFSET(PLE!$G$14,$M112,BA$13))))</f>
        <v>1000000000000</v>
      </c>
      <c r="BB112" s="182">
        <f ca="1">IF($D112&lt;&gt;"Serviço",0,IF(OR(AND(AUTOEVENTO="Manual",$M112=1),$M112&gt;(ROW(PLE.lastrow)-ROW(PLE.firstrow))),0,IF(OFFSET(PLE!$G$14,$M112,BB$13)="",10^12,OFFSET(PLE!$G$14,$M112,BB$13))))</f>
        <v>1000000000000</v>
      </c>
      <c r="BC112" s="182">
        <f ca="1">IF($D112&lt;&gt;"Serviço",0,IF(OR(AND(AUTOEVENTO="Manual",$M112=1),$M112&gt;(ROW(PLE.lastrow)-ROW(PLE.firstrow))),0,IF(OFFSET(PLE!$G$14,$M112,BC$13)="",10^12,OFFSET(PLE!$G$14,$M112,BC$13))))</f>
        <v>1000000000000</v>
      </c>
      <c r="BD112" s="182">
        <f ca="1">IF($D112&lt;&gt;"Serviço",0,IF(OR(AND(AUTOEVENTO="Manual",$M112=1),$M112&gt;(ROW(PLE.lastrow)-ROW(PLE.firstrow))),0,IF(OFFSET(PLE!$G$14,$M112,BD$13)="",10^12,OFFSET(PLE!$G$14,$M112,BD$13))))</f>
        <v>1000000000000</v>
      </c>
      <c r="BE112" s="182">
        <f ca="1">IF($D112&lt;&gt;"Serviço",0,IF(OR(AND(AUTOEVENTO="Manual",$M112=1),$M112&gt;(ROW(PLE.lastrow)-ROW(PLE.firstrow))),0,IF(OFFSET(PLE!$G$14,$M112,BE$13)="",10^12,OFFSET(PLE!$G$14,$M112,BE$13))))</f>
        <v>1000000000000</v>
      </c>
      <c r="BF112" s="182">
        <f ca="1">IF($D112&lt;&gt;"Serviço",0,IF(OR(AND(AUTOEVENTO="Manual",$M112=1),$M112&gt;(ROW(PLE.lastrow)-ROW(PLE.firstrow))),0,IF(OFFSET(PLE!$G$14,$M112,BF$13)="",10^12,OFFSET(PLE!$G$14,$M112,BF$13))))</f>
        <v>1000000000000</v>
      </c>
      <c r="BG112" s="182">
        <f ca="1">IF($D112&lt;&gt;"Serviço",0,IF(OR(AND(AUTOEVENTO="Manual",$M112=1),$M112&gt;(ROW(PLE.lastrow)-ROW(PLE.firstrow))),0,IF(OFFSET(PLE!$G$14,$M112,BG$13)="",10^12,OFFSET(PLE!$G$14,$M112,BG$13))))</f>
        <v>1000000000000</v>
      </c>
    </row>
    <row r="113" spans="1:59" ht="38.25" x14ac:dyDescent="0.2">
      <c r="A113" s="7" t="str">
        <f t="shared" ca="1" si="9"/>
        <v>90</v>
      </c>
      <c r="B113" s="7" t="str">
        <f ca="1">OFFSET(ORÇAMENTO!C$15,ROW(B113)-ROW(B$15),0)</f>
        <v>S</v>
      </c>
      <c r="C113" s="7" t="str">
        <f ca="1">OFFSET(ORÇAMENTO!L$15,ROW(C113)-ROW(C$15),0)</f>
        <v/>
      </c>
      <c r="D113" s="118" t="str">
        <f ca="1">OFFSET(ORÇAMENTO!N$15,ROW(D113)-ROW(D$15),0)</f>
        <v>Serviço</v>
      </c>
      <c r="E113" s="119" t="str">
        <f ca="1">OFFSET(ORÇAMENTO!O$15,ROW(E113)-ROW(E$15),0)</f>
        <v>-</v>
      </c>
      <c r="F113" s="172" t="str">
        <f ca="1">OFFSET(ORÇAMENTO!R$15,ROW(F113)-ROW(F$15),0)</f>
        <v>(abra o arquivo 'Referência 02-2025.xlsm)</v>
      </c>
      <c r="G113" s="173" t="str">
        <f ca="1">IF($D113&lt;&gt;"Serviço","",OFFSET(ORÇAMENTO!S$15,ROW(G113)-ROW(G$15),0))</f>
        <v>-</v>
      </c>
      <c r="H113" s="124">
        <f ca="1">IF($D113&lt;&gt;"Serviço",0,IF(ACOMPANHAMENTO="BM",ROUND(OFFSET(ORÇAMENTO!AJ$15,ROW(H113)-ROW(H$15),0),15-13*ORÇAMENTO!$AF$7),SUMPRODUCT(($Q$12:$AA$12&lt;&gt;"")*ROUND($Q113:$AA113,15-13*ORÇAMENTO!$AF$7))))</f>
        <v>14.71</v>
      </c>
      <c r="I113" s="561" t="s">
        <v>890</v>
      </c>
      <c r="K113" s="174"/>
      <c r="L113" s="175" t="s">
        <v>255</v>
      </c>
      <c r="M113" s="176">
        <f ca="1">IF($D113&lt;&gt;"Serviço","",IF(AUTOEVENTO="manual",$A113,IF(ISERROR(MATCH($A113,$A$15:OFFSET($A113,-1,0),0)),MAX($M$15:OFFSET(M113,-1,0))+1,INDEX($M$15:OFFSET(M113,-1,0),MATCH($A113,$A$15:OFFSET($A113,-1,0),0)))))</f>
        <v>6</v>
      </c>
      <c r="N113" s="177" t="str">
        <f ca="1">IF($D113&lt;&gt;"Serviço","",IF(AUTOEVENTO="Manual",IF($A113=0,"&lt;-- defina o número do agrupador",OFFSET(EVENTOS!$D$14,$A113,0)),OFFSET($F$15,$A113,0)))</f>
        <v>SISTEMA DE VEDAÇÃO VERTICAL</v>
      </c>
      <c r="O113" s="178"/>
      <c r="Q113" s="178"/>
      <c r="R113" s="179"/>
      <c r="S113" s="179"/>
      <c r="T113" s="179"/>
      <c r="U113" s="179"/>
      <c r="V113" s="179"/>
      <c r="W113" s="179"/>
      <c r="X113" s="179"/>
      <c r="Y113" s="179"/>
      <c r="Z113" s="180"/>
      <c r="AB113" s="544">
        <f ca="1">IF(AND($D113="Serviço",AB$12&lt;&gt;0,$H113&gt;0,OR(AUTOEVENTO&lt;&gt;"manual",$M113&lt;&gt;1)),
IF(Import.TipoArredondamento&lt;&gt;"TransfereGOV",
ROUND(OFFSET($P113,0,AB$13),15-13*ORÇAMENTO!$AF$7)/$H113*OFFSET(ORÇAMENTO!$X$15,ROW(AB113)-ROW(AB$15),0),
ROUND(ROUND(OFFSET($P113,0,AB$13),15-13*ORÇAMENTO!$AF$7)*OFFSET(ORÇAMENTO!$W$15,ROW(AB113)-ROW(AB$15),0),15-13*ORÇAMENTO!$AF$11)),0)</f>
        <v>0</v>
      </c>
      <c r="AC113" s="545">
        <f ca="1">IF(AND($D113="Serviço",AC$12&lt;&gt;0,$H113&gt;0,OR(AUTOEVENTO&lt;&gt;"manual",$M113&lt;&gt;1)),
IF(Import.TipoArredondamento&lt;&gt;"TransfereGOV",
ROUND(OFFSET($P113,0,AC$13),15-13*ORÇAMENTO!$AF$7)/$H113*OFFSET(ORÇAMENTO!$X$15,ROW(AC113)-ROW(AC$15),0),
ROUND(ROUND(OFFSET($P113,0,AC$13),15-13*ORÇAMENTO!$AF$7)*OFFSET(ORÇAMENTO!$W$15,ROW(AC113)-ROW(AC$15),0),15-13*ORÇAMENTO!$AF$11)),0)</f>
        <v>0</v>
      </c>
      <c r="AD113" s="545">
        <f ca="1">IF(AND($D113="Serviço",AD$12&lt;&gt;0,$H113&gt;0,OR(AUTOEVENTO&lt;&gt;"manual",$M113&lt;&gt;1)),
IF(Import.TipoArredondamento&lt;&gt;"TransfereGOV",
ROUND(OFFSET($P113,0,AD$13),15-13*ORÇAMENTO!$AF$7)/$H113*OFFSET(ORÇAMENTO!$X$15,ROW(AD113)-ROW(AD$15),0),
ROUND(ROUND(OFFSET($P113,0,AD$13),15-13*ORÇAMENTO!$AF$7)*OFFSET(ORÇAMENTO!$W$15,ROW(AD113)-ROW(AD$15),0),15-13*ORÇAMENTO!$AF$11)),0)</f>
        <v>0</v>
      </c>
      <c r="AE113" s="545">
        <f ca="1">IF(AND($D113="Serviço",AE$12&lt;&gt;0,$H113&gt;0,OR(AUTOEVENTO&lt;&gt;"manual",$M113&lt;&gt;1)),
IF(Import.TipoArredondamento&lt;&gt;"TransfereGOV",
ROUND(OFFSET($P113,0,AE$13),15-13*ORÇAMENTO!$AF$7)/$H113*OFFSET(ORÇAMENTO!$X$15,ROW(AE113)-ROW(AE$15),0),
ROUND(ROUND(OFFSET($P113,0,AE$13),15-13*ORÇAMENTO!$AF$7)*OFFSET(ORÇAMENTO!$W$15,ROW(AE113)-ROW(AE$15),0),15-13*ORÇAMENTO!$AF$11)),0)</f>
        <v>0</v>
      </c>
      <c r="AF113" s="545">
        <f ca="1">IF(AND($D113="Serviço",AF$12&lt;&gt;0,$H113&gt;0,OR(AUTOEVENTO&lt;&gt;"manual",$M113&lt;&gt;1)),
IF(Import.TipoArredondamento&lt;&gt;"TransfereGOV",
ROUND(OFFSET($P113,0,AF$13),15-13*ORÇAMENTO!$AF$7)/$H113*OFFSET(ORÇAMENTO!$X$15,ROW(AF113)-ROW(AF$15),0),
ROUND(ROUND(OFFSET($P113,0,AF$13),15-13*ORÇAMENTO!$AF$7)*OFFSET(ORÇAMENTO!$W$15,ROW(AF113)-ROW(AF$15),0),15-13*ORÇAMENTO!$AF$11)),0)</f>
        <v>0</v>
      </c>
      <c r="AG113" s="545">
        <f ca="1">IF(AND($D113="Serviço",AG$12&lt;&gt;0,$H113&gt;0,OR(AUTOEVENTO&lt;&gt;"manual",$M113&lt;&gt;1)),
IF(Import.TipoArredondamento&lt;&gt;"TransfereGOV",
ROUND(OFFSET($P113,0,AG$13),15-13*ORÇAMENTO!$AF$7)/$H113*OFFSET(ORÇAMENTO!$X$15,ROW(AG113)-ROW(AG$15),0),
ROUND(ROUND(OFFSET($P113,0,AG$13),15-13*ORÇAMENTO!$AF$7)*OFFSET(ORÇAMENTO!$W$15,ROW(AG113)-ROW(AG$15),0),15-13*ORÇAMENTO!$AF$11)),0)</f>
        <v>0</v>
      </c>
      <c r="AH113" s="545">
        <f ca="1">IF(AND($D113="Serviço",AH$12&lt;&gt;0,$H113&gt;0,OR(AUTOEVENTO&lt;&gt;"manual",$M113&lt;&gt;1)),
IF(Import.TipoArredondamento&lt;&gt;"TransfereGOV",
ROUND(OFFSET($P113,0,AH$13),15-13*ORÇAMENTO!$AF$7)/$H113*OFFSET(ORÇAMENTO!$X$15,ROW(AH113)-ROW(AH$15),0),
ROUND(ROUND(OFFSET($P113,0,AH$13),15-13*ORÇAMENTO!$AF$7)*OFFSET(ORÇAMENTO!$W$15,ROW(AH113)-ROW(AH$15),0),15-13*ORÇAMENTO!$AF$11)),0)</f>
        <v>0</v>
      </c>
      <c r="AI113" s="545">
        <f ca="1">IF(AND($D113="Serviço",AI$12&lt;&gt;0,$H113&gt;0,OR(AUTOEVENTO&lt;&gt;"manual",$M113&lt;&gt;1)),
IF(Import.TipoArredondamento&lt;&gt;"TransfereGOV",
ROUND(OFFSET($P113,0,AI$13),15-13*ORÇAMENTO!$AF$7)/$H113*OFFSET(ORÇAMENTO!$X$15,ROW(AI113)-ROW(AI$15),0),
ROUND(ROUND(OFFSET($P113,0,AI$13),15-13*ORÇAMENTO!$AF$7)*OFFSET(ORÇAMENTO!$W$15,ROW(AI113)-ROW(AI$15),0),15-13*ORÇAMENTO!$AF$11)),0)</f>
        <v>0</v>
      </c>
      <c r="AJ113" s="545">
        <f ca="1">IF(AND($D113="Serviço",AJ$12&lt;&gt;0,$H113&gt;0,OR(AUTOEVENTO&lt;&gt;"manual",$M113&lt;&gt;1)),
IF(Import.TipoArredondamento&lt;&gt;"TransfereGOV",
ROUND(OFFSET($P113,0,AJ$13),15-13*ORÇAMENTO!$AF$7)/$H113*OFFSET(ORÇAMENTO!$X$15,ROW(AJ113)-ROW(AJ$15),0),
ROUND(ROUND(OFFSET($P113,0,AJ$13),15-13*ORÇAMENTO!$AF$7)*OFFSET(ORÇAMENTO!$W$15,ROW(AJ113)-ROW(AJ$15),0),15-13*ORÇAMENTO!$AF$11)),0)</f>
        <v>0</v>
      </c>
      <c r="AK113" s="546">
        <f ca="1">IF(AND($D113="Serviço",AK$12&lt;&gt;0,$H113&gt;0,OR(AUTOEVENTO&lt;&gt;"manual",$M113&lt;&gt;1)),
IF(Import.TipoArredondamento&lt;&gt;"TransfereGOV",
ROUND(OFFSET($P113,0,AK$13),15-13*ORÇAMENTO!$AF$7)/$H113*OFFSET(ORÇAMENTO!$X$15,ROW(AK113)-ROW(AK$15),0),
ROUND(ROUND(OFFSET($P113,0,AK$13),15-13*ORÇAMENTO!$AF$7)*OFFSET(ORÇAMENTO!$W$15,ROW(AK113)-ROW(AK$15),0),15-13*ORÇAMENTO!$AF$11)),0)</f>
        <v>0</v>
      </c>
      <c r="AM113" s="181">
        <f ca="1">IF($D113&lt;&gt;"Serviço",0,IF(AND(AUTOEVENTO="Manual",$M113=1),0,IF(OFFSET(CRONOPLE!$F$14,$M113,AM$13)="",10^12,OFFSET(CRONOPLE!$F$14,$M113,AM$13))))</f>
        <v>1000000000000</v>
      </c>
      <c r="AN113" s="181">
        <f ca="1">IF($D113&lt;&gt;"Serviço",0,IF(AND(AUTOEVENTO="Manual",$M113=1),0,IF(OFFSET(CRONOPLE!$F$14,$M113,AN$13)="",10^12,OFFSET(CRONOPLE!$F$14,$M113,AN$13))))</f>
        <v>1000000000000</v>
      </c>
      <c r="AO113" s="181">
        <f ca="1">IF($D113&lt;&gt;"Serviço",0,IF(AND(AUTOEVENTO="Manual",$M113=1),0,IF(OFFSET(CRONOPLE!$F$14,$M113,AO$13)="",10^12,OFFSET(CRONOPLE!$F$14,$M113,AO$13))))</f>
        <v>1000000000000</v>
      </c>
      <c r="AP113" s="181">
        <f ca="1">IF($D113&lt;&gt;"Serviço",0,IF(AND(AUTOEVENTO="Manual",$M113=1),0,IF(OFFSET(CRONOPLE!$F$14,$M113,AP$13)="",10^12,OFFSET(CRONOPLE!$F$14,$M113,AP$13))))</f>
        <v>1000000000000</v>
      </c>
      <c r="AQ113" s="181">
        <f ca="1">IF($D113&lt;&gt;"Serviço",0,IF(AND(AUTOEVENTO="Manual",$M113=1),0,IF(OFFSET(CRONOPLE!$F$14,$M113,AQ$13)="",10^12,OFFSET(CRONOPLE!$F$14,$M113,AQ$13))))</f>
        <v>1000000000000</v>
      </c>
      <c r="AR113" s="181">
        <f ca="1">IF($D113&lt;&gt;"Serviço",0,IF(AND(AUTOEVENTO="Manual",$M113=1),0,IF(OFFSET(CRONOPLE!$F$14,$M113,AR$13)="",10^12,OFFSET(CRONOPLE!$F$14,$M113,AR$13))))</f>
        <v>1000000000000</v>
      </c>
      <c r="AS113" s="181">
        <f ca="1">IF($D113&lt;&gt;"Serviço",0,IF(AND(AUTOEVENTO="Manual",$M113=1),0,IF(OFFSET(CRONOPLE!$F$14,$M113,AS$13)="",10^12,OFFSET(CRONOPLE!$F$14,$M113,AS$13))))</f>
        <v>1000000000000</v>
      </c>
      <c r="AT113" s="181">
        <f ca="1">IF($D113&lt;&gt;"Serviço",0,IF(AND(AUTOEVENTO="Manual",$M113=1),0,IF(OFFSET(CRONOPLE!$F$14,$M113,AT$13)="",10^12,OFFSET(CRONOPLE!$F$14,$M113,AT$13))))</f>
        <v>1000000000000</v>
      </c>
      <c r="AU113" s="181">
        <f ca="1">IF($D113&lt;&gt;"Serviço",0,IF(AND(AUTOEVENTO="Manual",$M113=1),0,IF(OFFSET(CRONOPLE!$F$14,$M113,AU$13)="",10^12,OFFSET(CRONOPLE!$F$14,$M113,AU$13))))</f>
        <v>1000000000000</v>
      </c>
      <c r="AV113" s="181">
        <f ca="1">IF($D113&lt;&gt;"Serviço",0,IF(AND(AUTOEVENTO="Manual",$M113=1),0,IF(OFFSET(CRONOPLE!$F$14,$M113,AV$13)="",10^12,OFFSET(CRONOPLE!$F$14,$M113,AV$13))))</f>
        <v>1000000000000</v>
      </c>
      <c r="AX113" s="182">
        <f ca="1">IF($D113&lt;&gt;"Serviço",0,IF(OR(AND(AUTOEVENTO="Manual",$M113=1),$M113&gt;(ROW(PLE.lastrow)-ROW(PLE.firstrow))),0,IF(OFFSET(PLE!$G$14,$M113,AX$13)="",10^12,OFFSET(PLE!$G$14,$M113,AX$13))))</f>
        <v>1000000000000</v>
      </c>
      <c r="AY113" s="182">
        <f ca="1">IF($D113&lt;&gt;"Serviço",0,IF(OR(AND(AUTOEVENTO="Manual",$M113=1),$M113&gt;(ROW(PLE.lastrow)-ROW(PLE.firstrow))),0,IF(OFFSET(PLE!$G$14,$M113,AY$13)="",10^12,OFFSET(PLE!$G$14,$M113,AY$13))))</f>
        <v>1000000000000</v>
      </c>
      <c r="AZ113" s="182">
        <f ca="1">IF($D113&lt;&gt;"Serviço",0,IF(OR(AND(AUTOEVENTO="Manual",$M113=1),$M113&gt;(ROW(PLE.lastrow)-ROW(PLE.firstrow))),0,IF(OFFSET(PLE!$G$14,$M113,AZ$13)="",10^12,OFFSET(PLE!$G$14,$M113,AZ$13))))</f>
        <v>1000000000000</v>
      </c>
      <c r="BA113" s="182">
        <f ca="1">IF($D113&lt;&gt;"Serviço",0,IF(OR(AND(AUTOEVENTO="Manual",$M113=1),$M113&gt;(ROW(PLE.lastrow)-ROW(PLE.firstrow))),0,IF(OFFSET(PLE!$G$14,$M113,BA$13)="",10^12,OFFSET(PLE!$G$14,$M113,BA$13))))</f>
        <v>1000000000000</v>
      </c>
      <c r="BB113" s="182">
        <f ca="1">IF($D113&lt;&gt;"Serviço",0,IF(OR(AND(AUTOEVENTO="Manual",$M113=1),$M113&gt;(ROW(PLE.lastrow)-ROW(PLE.firstrow))),0,IF(OFFSET(PLE!$G$14,$M113,BB$13)="",10^12,OFFSET(PLE!$G$14,$M113,BB$13))))</f>
        <v>1000000000000</v>
      </c>
      <c r="BC113" s="182">
        <f ca="1">IF($D113&lt;&gt;"Serviço",0,IF(OR(AND(AUTOEVENTO="Manual",$M113=1),$M113&gt;(ROW(PLE.lastrow)-ROW(PLE.firstrow))),0,IF(OFFSET(PLE!$G$14,$M113,BC$13)="",10^12,OFFSET(PLE!$G$14,$M113,BC$13))))</f>
        <v>1000000000000</v>
      </c>
      <c r="BD113" s="182">
        <f ca="1">IF($D113&lt;&gt;"Serviço",0,IF(OR(AND(AUTOEVENTO="Manual",$M113=1),$M113&gt;(ROW(PLE.lastrow)-ROW(PLE.firstrow))),0,IF(OFFSET(PLE!$G$14,$M113,BD$13)="",10^12,OFFSET(PLE!$G$14,$M113,BD$13))))</f>
        <v>1000000000000</v>
      </c>
      <c r="BE113" s="182">
        <f ca="1">IF($D113&lt;&gt;"Serviço",0,IF(OR(AND(AUTOEVENTO="Manual",$M113=1),$M113&gt;(ROW(PLE.lastrow)-ROW(PLE.firstrow))),0,IF(OFFSET(PLE!$G$14,$M113,BE$13)="",10^12,OFFSET(PLE!$G$14,$M113,BE$13))))</f>
        <v>1000000000000</v>
      </c>
      <c r="BF113" s="182">
        <f ca="1">IF($D113&lt;&gt;"Serviço",0,IF(OR(AND(AUTOEVENTO="Manual",$M113=1),$M113&gt;(ROW(PLE.lastrow)-ROW(PLE.firstrow))),0,IF(OFFSET(PLE!$G$14,$M113,BF$13)="",10^12,OFFSET(PLE!$G$14,$M113,BF$13))))</f>
        <v>1000000000000</v>
      </c>
      <c r="BG113" s="182">
        <f ca="1">IF($D113&lt;&gt;"Serviço",0,IF(OR(AND(AUTOEVENTO="Manual",$M113=1),$M113&gt;(ROW(PLE.lastrow)-ROW(PLE.firstrow))),0,IF(OFFSET(PLE!$G$14,$M113,BG$13)="",10^12,OFFSET(PLE!$G$14,$M113,BG$13))))</f>
        <v>1000000000000</v>
      </c>
    </row>
    <row r="114" spans="1:59" ht="12.75" x14ac:dyDescent="0.2">
      <c r="A114" s="7" t="str">
        <f t="shared" ca="1" si="9"/>
        <v>90</v>
      </c>
      <c r="B114" s="7">
        <f ca="1">OFFSET(ORÇAMENTO!C$15,ROW(B114)-ROW(B$15),0)</f>
        <v>3</v>
      </c>
      <c r="C114" s="7" t="str">
        <f ca="1">OFFSET(ORÇAMENTO!L$15,ROW(C114)-ROW(C$15),0)</f>
        <v>F</v>
      </c>
      <c r="D114" s="118" t="str">
        <f ca="1">OFFSET(ORÇAMENTO!N$15,ROW(D114)-ROW(D$15),0)</f>
        <v>Nível 3</v>
      </c>
      <c r="E114" s="119" t="str">
        <f ca="1">OFFSET(ORÇAMENTO!O$15,ROW(E114)-ROW(E$15),0)</f>
        <v>1.5.3.</v>
      </c>
      <c r="F114" s="172" t="str">
        <f ca="1">OFFSET(ORÇAMENTO!R$15,ROW(F114)-ROW(F$15),0)</f>
        <v>CONCRETO ARMADO PARA VERGAS</v>
      </c>
      <c r="G114" s="173" t="str">
        <f ca="1">IF($D114&lt;&gt;"Serviço","",OFFSET(ORÇAMENTO!S$15,ROW(G114)-ROW(G$15),0))</f>
        <v/>
      </c>
      <c r="H114" s="124">
        <f ca="1">IF($D114&lt;&gt;"Serviço",0,IF(ACOMPANHAMENTO="BM",ROUND(OFFSET(ORÇAMENTO!AJ$15,ROW(H114)-ROW(H$15),0),15-13*ORÇAMENTO!$AF$7),SUMPRODUCT(($Q$12:$AA$12&lt;&gt;"")*ROUND($Q114:$AA114,15-13*ORÇAMENTO!$AF$7))))</f>
        <v>0</v>
      </c>
      <c r="I114" s="561"/>
      <c r="K114" s="174"/>
      <c r="L114" s="175" t="s">
        <v>255</v>
      </c>
      <c r="M114" s="176" t="str">
        <f ca="1">IF($D114&lt;&gt;"Serviço","",IF(AUTOEVENTO="manual",$A114,IF(ISERROR(MATCH($A114,$A$15:OFFSET($A114,-1,0),0)),MAX($M$15:OFFSET(M114,-1,0))+1,INDEX($M$15:OFFSET(M114,-1,0),MATCH($A114,$A$15:OFFSET($A114,-1,0),0)))))</f>
        <v/>
      </c>
      <c r="N114" s="177" t="str">
        <f ca="1">IF($D114&lt;&gt;"Serviço","",IF(AUTOEVENTO="Manual",IF($A114=0,"&lt;-- defina o número do agrupador",OFFSET(EVENTOS!$D$14,$A114,0)),OFFSET($F$15,$A114,0)))</f>
        <v/>
      </c>
      <c r="O114" s="178"/>
      <c r="Q114" s="178"/>
      <c r="R114" s="179"/>
      <c r="S114" s="179"/>
      <c r="T114" s="179"/>
      <c r="U114" s="179"/>
      <c r="V114" s="179"/>
      <c r="W114" s="179"/>
      <c r="X114" s="179"/>
      <c r="Y114" s="179"/>
      <c r="Z114" s="180"/>
      <c r="AB114" s="544">
        <f ca="1">IF(AND($D114="Serviço",AB$12&lt;&gt;0,$H114&gt;0,OR(AUTOEVENTO&lt;&gt;"manual",$M114&lt;&gt;1)),
IF(Import.TipoArredondamento&lt;&gt;"TransfereGOV",
ROUND(OFFSET($P114,0,AB$13),15-13*ORÇAMENTO!$AF$7)/$H114*OFFSET(ORÇAMENTO!$X$15,ROW(AB114)-ROW(AB$15),0),
ROUND(ROUND(OFFSET($P114,0,AB$13),15-13*ORÇAMENTO!$AF$7)*OFFSET(ORÇAMENTO!$W$15,ROW(AB114)-ROW(AB$15),0),15-13*ORÇAMENTO!$AF$11)),0)</f>
        <v>0</v>
      </c>
      <c r="AC114" s="545">
        <f ca="1">IF(AND($D114="Serviço",AC$12&lt;&gt;0,$H114&gt;0,OR(AUTOEVENTO&lt;&gt;"manual",$M114&lt;&gt;1)),
IF(Import.TipoArredondamento&lt;&gt;"TransfereGOV",
ROUND(OFFSET($P114,0,AC$13),15-13*ORÇAMENTO!$AF$7)/$H114*OFFSET(ORÇAMENTO!$X$15,ROW(AC114)-ROW(AC$15),0),
ROUND(ROUND(OFFSET($P114,0,AC$13),15-13*ORÇAMENTO!$AF$7)*OFFSET(ORÇAMENTO!$W$15,ROW(AC114)-ROW(AC$15),0),15-13*ORÇAMENTO!$AF$11)),0)</f>
        <v>0</v>
      </c>
      <c r="AD114" s="545">
        <f ca="1">IF(AND($D114="Serviço",AD$12&lt;&gt;0,$H114&gt;0,OR(AUTOEVENTO&lt;&gt;"manual",$M114&lt;&gt;1)),
IF(Import.TipoArredondamento&lt;&gt;"TransfereGOV",
ROUND(OFFSET($P114,0,AD$13),15-13*ORÇAMENTO!$AF$7)/$H114*OFFSET(ORÇAMENTO!$X$15,ROW(AD114)-ROW(AD$15),0),
ROUND(ROUND(OFFSET($P114,0,AD$13),15-13*ORÇAMENTO!$AF$7)*OFFSET(ORÇAMENTO!$W$15,ROW(AD114)-ROW(AD$15),0),15-13*ORÇAMENTO!$AF$11)),0)</f>
        <v>0</v>
      </c>
      <c r="AE114" s="545">
        <f ca="1">IF(AND($D114="Serviço",AE$12&lt;&gt;0,$H114&gt;0,OR(AUTOEVENTO&lt;&gt;"manual",$M114&lt;&gt;1)),
IF(Import.TipoArredondamento&lt;&gt;"TransfereGOV",
ROUND(OFFSET($P114,0,AE$13),15-13*ORÇAMENTO!$AF$7)/$H114*OFFSET(ORÇAMENTO!$X$15,ROW(AE114)-ROW(AE$15),0),
ROUND(ROUND(OFFSET($P114,0,AE$13),15-13*ORÇAMENTO!$AF$7)*OFFSET(ORÇAMENTO!$W$15,ROW(AE114)-ROW(AE$15),0),15-13*ORÇAMENTO!$AF$11)),0)</f>
        <v>0</v>
      </c>
      <c r="AF114" s="545">
        <f ca="1">IF(AND($D114="Serviço",AF$12&lt;&gt;0,$H114&gt;0,OR(AUTOEVENTO&lt;&gt;"manual",$M114&lt;&gt;1)),
IF(Import.TipoArredondamento&lt;&gt;"TransfereGOV",
ROUND(OFFSET($P114,0,AF$13),15-13*ORÇAMENTO!$AF$7)/$H114*OFFSET(ORÇAMENTO!$X$15,ROW(AF114)-ROW(AF$15),0),
ROUND(ROUND(OFFSET($P114,0,AF$13),15-13*ORÇAMENTO!$AF$7)*OFFSET(ORÇAMENTO!$W$15,ROW(AF114)-ROW(AF$15),0),15-13*ORÇAMENTO!$AF$11)),0)</f>
        <v>0</v>
      </c>
      <c r="AG114" s="545">
        <f ca="1">IF(AND($D114="Serviço",AG$12&lt;&gt;0,$H114&gt;0,OR(AUTOEVENTO&lt;&gt;"manual",$M114&lt;&gt;1)),
IF(Import.TipoArredondamento&lt;&gt;"TransfereGOV",
ROUND(OFFSET($P114,0,AG$13),15-13*ORÇAMENTO!$AF$7)/$H114*OFFSET(ORÇAMENTO!$X$15,ROW(AG114)-ROW(AG$15),0),
ROUND(ROUND(OFFSET($P114,0,AG$13),15-13*ORÇAMENTO!$AF$7)*OFFSET(ORÇAMENTO!$W$15,ROW(AG114)-ROW(AG$15),0),15-13*ORÇAMENTO!$AF$11)),0)</f>
        <v>0</v>
      </c>
      <c r="AH114" s="545">
        <f ca="1">IF(AND($D114="Serviço",AH$12&lt;&gt;0,$H114&gt;0,OR(AUTOEVENTO&lt;&gt;"manual",$M114&lt;&gt;1)),
IF(Import.TipoArredondamento&lt;&gt;"TransfereGOV",
ROUND(OFFSET($P114,0,AH$13),15-13*ORÇAMENTO!$AF$7)/$H114*OFFSET(ORÇAMENTO!$X$15,ROW(AH114)-ROW(AH$15),0),
ROUND(ROUND(OFFSET($P114,0,AH$13),15-13*ORÇAMENTO!$AF$7)*OFFSET(ORÇAMENTO!$W$15,ROW(AH114)-ROW(AH$15),0),15-13*ORÇAMENTO!$AF$11)),0)</f>
        <v>0</v>
      </c>
      <c r="AI114" s="545">
        <f ca="1">IF(AND($D114="Serviço",AI$12&lt;&gt;0,$H114&gt;0,OR(AUTOEVENTO&lt;&gt;"manual",$M114&lt;&gt;1)),
IF(Import.TipoArredondamento&lt;&gt;"TransfereGOV",
ROUND(OFFSET($P114,0,AI$13),15-13*ORÇAMENTO!$AF$7)/$H114*OFFSET(ORÇAMENTO!$X$15,ROW(AI114)-ROW(AI$15),0),
ROUND(ROUND(OFFSET($P114,0,AI$13),15-13*ORÇAMENTO!$AF$7)*OFFSET(ORÇAMENTO!$W$15,ROW(AI114)-ROW(AI$15),0),15-13*ORÇAMENTO!$AF$11)),0)</f>
        <v>0</v>
      </c>
      <c r="AJ114" s="545">
        <f ca="1">IF(AND($D114="Serviço",AJ$12&lt;&gt;0,$H114&gt;0,OR(AUTOEVENTO&lt;&gt;"manual",$M114&lt;&gt;1)),
IF(Import.TipoArredondamento&lt;&gt;"TransfereGOV",
ROUND(OFFSET($P114,0,AJ$13),15-13*ORÇAMENTO!$AF$7)/$H114*OFFSET(ORÇAMENTO!$X$15,ROW(AJ114)-ROW(AJ$15),0),
ROUND(ROUND(OFFSET($P114,0,AJ$13),15-13*ORÇAMENTO!$AF$7)*OFFSET(ORÇAMENTO!$W$15,ROW(AJ114)-ROW(AJ$15),0),15-13*ORÇAMENTO!$AF$11)),0)</f>
        <v>0</v>
      </c>
      <c r="AK114" s="546">
        <f ca="1">IF(AND($D114="Serviço",AK$12&lt;&gt;0,$H114&gt;0,OR(AUTOEVENTO&lt;&gt;"manual",$M114&lt;&gt;1)),
IF(Import.TipoArredondamento&lt;&gt;"TransfereGOV",
ROUND(OFFSET($P114,0,AK$13),15-13*ORÇAMENTO!$AF$7)/$H114*OFFSET(ORÇAMENTO!$X$15,ROW(AK114)-ROW(AK$15),0),
ROUND(ROUND(OFFSET($P114,0,AK$13),15-13*ORÇAMENTO!$AF$7)*OFFSET(ORÇAMENTO!$W$15,ROW(AK114)-ROW(AK$15),0),15-13*ORÇAMENTO!$AF$11)),0)</f>
        <v>0</v>
      </c>
      <c r="AM114" s="181">
        <f ca="1">IF($D114&lt;&gt;"Serviço",0,IF(AND(AUTOEVENTO="Manual",$M114=1),0,IF(OFFSET(CRONOPLE!$F$14,$M114,AM$13)="",10^12,OFFSET(CRONOPLE!$F$14,$M114,AM$13))))</f>
        <v>0</v>
      </c>
      <c r="AN114" s="181">
        <f ca="1">IF($D114&lt;&gt;"Serviço",0,IF(AND(AUTOEVENTO="Manual",$M114=1),0,IF(OFFSET(CRONOPLE!$F$14,$M114,AN$13)="",10^12,OFFSET(CRONOPLE!$F$14,$M114,AN$13))))</f>
        <v>0</v>
      </c>
      <c r="AO114" s="181">
        <f ca="1">IF($D114&lt;&gt;"Serviço",0,IF(AND(AUTOEVENTO="Manual",$M114=1),0,IF(OFFSET(CRONOPLE!$F$14,$M114,AO$13)="",10^12,OFFSET(CRONOPLE!$F$14,$M114,AO$13))))</f>
        <v>0</v>
      </c>
      <c r="AP114" s="181">
        <f ca="1">IF($D114&lt;&gt;"Serviço",0,IF(AND(AUTOEVENTO="Manual",$M114=1),0,IF(OFFSET(CRONOPLE!$F$14,$M114,AP$13)="",10^12,OFFSET(CRONOPLE!$F$14,$M114,AP$13))))</f>
        <v>0</v>
      </c>
      <c r="AQ114" s="181">
        <f ca="1">IF($D114&lt;&gt;"Serviço",0,IF(AND(AUTOEVENTO="Manual",$M114=1),0,IF(OFFSET(CRONOPLE!$F$14,$M114,AQ$13)="",10^12,OFFSET(CRONOPLE!$F$14,$M114,AQ$13))))</f>
        <v>0</v>
      </c>
      <c r="AR114" s="181">
        <f ca="1">IF($D114&lt;&gt;"Serviço",0,IF(AND(AUTOEVENTO="Manual",$M114=1),0,IF(OFFSET(CRONOPLE!$F$14,$M114,AR$13)="",10^12,OFFSET(CRONOPLE!$F$14,$M114,AR$13))))</f>
        <v>0</v>
      </c>
      <c r="AS114" s="181">
        <f ca="1">IF($D114&lt;&gt;"Serviço",0,IF(AND(AUTOEVENTO="Manual",$M114=1),0,IF(OFFSET(CRONOPLE!$F$14,$M114,AS$13)="",10^12,OFFSET(CRONOPLE!$F$14,$M114,AS$13))))</f>
        <v>0</v>
      </c>
      <c r="AT114" s="181">
        <f ca="1">IF($D114&lt;&gt;"Serviço",0,IF(AND(AUTOEVENTO="Manual",$M114=1),0,IF(OFFSET(CRONOPLE!$F$14,$M114,AT$13)="",10^12,OFFSET(CRONOPLE!$F$14,$M114,AT$13))))</f>
        <v>0</v>
      </c>
      <c r="AU114" s="181">
        <f ca="1">IF($D114&lt;&gt;"Serviço",0,IF(AND(AUTOEVENTO="Manual",$M114=1),0,IF(OFFSET(CRONOPLE!$F$14,$M114,AU$13)="",10^12,OFFSET(CRONOPLE!$F$14,$M114,AU$13))))</f>
        <v>0</v>
      </c>
      <c r="AV114" s="181">
        <f ca="1">IF($D114&lt;&gt;"Serviço",0,IF(AND(AUTOEVENTO="Manual",$M114=1),0,IF(OFFSET(CRONOPLE!$F$14,$M114,AV$13)="",10^12,OFFSET(CRONOPLE!$F$14,$M114,AV$13))))</f>
        <v>0</v>
      </c>
      <c r="AX114" s="182">
        <f ca="1">IF($D114&lt;&gt;"Serviço",0,IF(OR(AND(AUTOEVENTO="Manual",$M114=1),$M114&gt;(ROW(PLE.lastrow)-ROW(PLE.firstrow))),0,IF(OFFSET(PLE!$G$14,$M114,AX$13)="",10^12,OFFSET(PLE!$G$14,$M114,AX$13))))</f>
        <v>0</v>
      </c>
      <c r="AY114" s="182">
        <f ca="1">IF($D114&lt;&gt;"Serviço",0,IF(OR(AND(AUTOEVENTO="Manual",$M114=1),$M114&gt;(ROW(PLE.lastrow)-ROW(PLE.firstrow))),0,IF(OFFSET(PLE!$G$14,$M114,AY$13)="",10^12,OFFSET(PLE!$G$14,$M114,AY$13))))</f>
        <v>0</v>
      </c>
      <c r="AZ114" s="182">
        <f ca="1">IF($D114&lt;&gt;"Serviço",0,IF(OR(AND(AUTOEVENTO="Manual",$M114=1),$M114&gt;(ROW(PLE.lastrow)-ROW(PLE.firstrow))),0,IF(OFFSET(PLE!$G$14,$M114,AZ$13)="",10^12,OFFSET(PLE!$G$14,$M114,AZ$13))))</f>
        <v>0</v>
      </c>
      <c r="BA114" s="182">
        <f ca="1">IF($D114&lt;&gt;"Serviço",0,IF(OR(AND(AUTOEVENTO="Manual",$M114=1),$M114&gt;(ROW(PLE.lastrow)-ROW(PLE.firstrow))),0,IF(OFFSET(PLE!$G$14,$M114,BA$13)="",10^12,OFFSET(PLE!$G$14,$M114,BA$13))))</f>
        <v>0</v>
      </c>
      <c r="BB114" s="182">
        <f ca="1">IF($D114&lt;&gt;"Serviço",0,IF(OR(AND(AUTOEVENTO="Manual",$M114=1),$M114&gt;(ROW(PLE.lastrow)-ROW(PLE.firstrow))),0,IF(OFFSET(PLE!$G$14,$M114,BB$13)="",10^12,OFFSET(PLE!$G$14,$M114,BB$13))))</f>
        <v>0</v>
      </c>
      <c r="BC114" s="182">
        <f ca="1">IF($D114&lt;&gt;"Serviço",0,IF(OR(AND(AUTOEVENTO="Manual",$M114=1),$M114&gt;(ROW(PLE.lastrow)-ROW(PLE.firstrow))),0,IF(OFFSET(PLE!$G$14,$M114,BC$13)="",10^12,OFFSET(PLE!$G$14,$M114,BC$13))))</f>
        <v>0</v>
      </c>
      <c r="BD114" s="182">
        <f ca="1">IF($D114&lt;&gt;"Serviço",0,IF(OR(AND(AUTOEVENTO="Manual",$M114=1),$M114&gt;(ROW(PLE.lastrow)-ROW(PLE.firstrow))),0,IF(OFFSET(PLE!$G$14,$M114,BD$13)="",10^12,OFFSET(PLE!$G$14,$M114,BD$13))))</f>
        <v>0</v>
      </c>
      <c r="BE114" s="182">
        <f ca="1">IF($D114&lt;&gt;"Serviço",0,IF(OR(AND(AUTOEVENTO="Manual",$M114=1),$M114&gt;(ROW(PLE.lastrow)-ROW(PLE.firstrow))),0,IF(OFFSET(PLE!$G$14,$M114,BE$13)="",10^12,OFFSET(PLE!$G$14,$M114,BE$13))))</f>
        <v>0</v>
      </c>
      <c r="BF114" s="182">
        <f ca="1">IF($D114&lt;&gt;"Serviço",0,IF(OR(AND(AUTOEVENTO="Manual",$M114=1),$M114&gt;(ROW(PLE.lastrow)-ROW(PLE.firstrow))),0,IF(OFFSET(PLE!$G$14,$M114,BF$13)="",10^12,OFFSET(PLE!$G$14,$M114,BF$13))))</f>
        <v>0</v>
      </c>
      <c r="BG114" s="182">
        <f ca="1">IF($D114&lt;&gt;"Serviço",0,IF(OR(AND(AUTOEVENTO="Manual",$M114=1),$M114&gt;(ROW(PLE.lastrow)-ROW(PLE.firstrow))),0,IF(OFFSET(PLE!$G$14,$M114,BG$13)="",10^12,OFFSET(PLE!$G$14,$M114,BG$13))))</f>
        <v>0</v>
      </c>
    </row>
    <row r="115" spans="1:59" ht="25.5" x14ac:dyDescent="0.2">
      <c r="A115" s="7" t="str">
        <f t="shared" ca="1" si="9"/>
        <v>90</v>
      </c>
      <c r="B115" s="7" t="str">
        <f ca="1">OFFSET(ORÇAMENTO!C$15,ROW(B115)-ROW(B$15),0)</f>
        <v>S</v>
      </c>
      <c r="C115" s="7" t="str">
        <f ca="1">OFFSET(ORÇAMENTO!L$15,ROW(C115)-ROW(C$15),0)</f>
        <v/>
      </c>
      <c r="D115" s="118" t="str">
        <f ca="1">OFFSET(ORÇAMENTO!N$15,ROW(D115)-ROW(D$15),0)</f>
        <v>Serviço</v>
      </c>
      <c r="E115" s="119" t="str">
        <f ca="1">OFFSET(ORÇAMENTO!O$15,ROW(E115)-ROW(E$15),0)</f>
        <v>-</v>
      </c>
      <c r="F115" s="172" t="str">
        <f ca="1">OFFSET(ORÇAMENTO!R$15,ROW(F115)-ROW(F$15),0)</f>
        <v>(abra o arquivo 'Referência 02-2025.xlsm)</v>
      </c>
      <c r="G115" s="173" t="str">
        <f ca="1">IF($D115&lt;&gt;"Serviço","",OFFSET(ORÇAMENTO!S$15,ROW(G115)-ROW(G$15),0))</f>
        <v>-</v>
      </c>
      <c r="H115" s="124">
        <f ca="1">IF($D115&lt;&gt;"Serviço",0,IF(ACOMPANHAMENTO="BM",ROUND(OFFSET(ORÇAMENTO!AJ$15,ROW(H115)-ROW(H$15),0),15-13*ORÇAMENTO!$AF$7),SUMPRODUCT(($Q$12:$AA$12&lt;&gt;"")*ROUND($Q115:$AA115,15-13*ORÇAMENTO!$AF$7))))</f>
        <v>72.94</v>
      </c>
      <c r="I115" s="561"/>
      <c r="K115" s="174"/>
      <c r="L115" s="175" t="s">
        <v>255</v>
      </c>
      <c r="M115" s="176">
        <f ca="1">IF($D115&lt;&gt;"Serviço","",IF(AUTOEVENTO="manual",$A115,IF(ISERROR(MATCH($A115,$A$15:OFFSET($A115,-1,0),0)),MAX($M$15:OFFSET(M115,-1,0))+1,INDEX($M$15:OFFSET(M115,-1,0),MATCH($A115,$A$15:OFFSET($A115,-1,0),0)))))</f>
        <v>6</v>
      </c>
      <c r="N115" s="177" t="str">
        <f ca="1">IF($D115&lt;&gt;"Serviço","",IF(AUTOEVENTO="Manual",IF($A115=0,"&lt;-- defina o número do agrupador",OFFSET(EVENTOS!$D$14,$A115,0)),OFFSET($F$15,$A115,0)))</f>
        <v>SISTEMA DE VEDAÇÃO VERTICAL</v>
      </c>
      <c r="O115" s="178"/>
      <c r="Q115" s="178"/>
      <c r="R115" s="179"/>
      <c r="S115" s="179"/>
      <c r="T115" s="179"/>
      <c r="U115" s="179"/>
      <c r="V115" s="179"/>
      <c r="W115" s="179"/>
      <c r="X115" s="179"/>
      <c r="Y115" s="179"/>
      <c r="Z115" s="180"/>
      <c r="AB115" s="544">
        <f ca="1">IF(AND($D115="Serviço",AB$12&lt;&gt;0,$H115&gt;0,OR(AUTOEVENTO&lt;&gt;"manual",$M115&lt;&gt;1)),
IF(Import.TipoArredondamento&lt;&gt;"TransfereGOV",
ROUND(OFFSET($P115,0,AB$13),15-13*ORÇAMENTO!$AF$7)/$H115*OFFSET(ORÇAMENTO!$X$15,ROW(AB115)-ROW(AB$15),0),
ROUND(ROUND(OFFSET($P115,0,AB$13),15-13*ORÇAMENTO!$AF$7)*OFFSET(ORÇAMENTO!$W$15,ROW(AB115)-ROW(AB$15),0),15-13*ORÇAMENTO!$AF$11)),0)</f>
        <v>0</v>
      </c>
      <c r="AC115" s="545">
        <f ca="1">IF(AND($D115="Serviço",AC$12&lt;&gt;0,$H115&gt;0,OR(AUTOEVENTO&lt;&gt;"manual",$M115&lt;&gt;1)),
IF(Import.TipoArredondamento&lt;&gt;"TransfereGOV",
ROUND(OFFSET($P115,0,AC$13),15-13*ORÇAMENTO!$AF$7)/$H115*OFFSET(ORÇAMENTO!$X$15,ROW(AC115)-ROW(AC$15),0),
ROUND(ROUND(OFFSET($P115,0,AC$13),15-13*ORÇAMENTO!$AF$7)*OFFSET(ORÇAMENTO!$W$15,ROW(AC115)-ROW(AC$15),0),15-13*ORÇAMENTO!$AF$11)),0)</f>
        <v>0</v>
      </c>
      <c r="AD115" s="545">
        <f ca="1">IF(AND($D115="Serviço",AD$12&lt;&gt;0,$H115&gt;0,OR(AUTOEVENTO&lt;&gt;"manual",$M115&lt;&gt;1)),
IF(Import.TipoArredondamento&lt;&gt;"TransfereGOV",
ROUND(OFFSET($P115,0,AD$13),15-13*ORÇAMENTO!$AF$7)/$H115*OFFSET(ORÇAMENTO!$X$15,ROW(AD115)-ROW(AD$15),0),
ROUND(ROUND(OFFSET($P115,0,AD$13),15-13*ORÇAMENTO!$AF$7)*OFFSET(ORÇAMENTO!$W$15,ROW(AD115)-ROW(AD$15),0),15-13*ORÇAMENTO!$AF$11)),0)</f>
        <v>0</v>
      </c>
      <c r="AE115" s="545">
        <f ca="1">IF(AND($D115="Serviço",AE$12&lt;&gt;0,$H115&gt;0,OR(AUTOEVENTO&lt;&gt;"manual",$M115&lt;&gt;1)),
IF(Import.TipoArredondamento&lt;&gt;"TransfereGOV",
ROUND(OFFSET($P115,0,AE$13),15-13*ORÇAMENTO!$AF$7)/$H115*OFFSET(ORÇAMENTO!$X$15,ROW(AE115)-ROW(AE$15),0),
ROUND(ROUND(OFFSET($P115,0,AE$13),15-13*ORÇAMENTO!$AF$7)*OFFSET(ORÇAMENTO!$W$15,ROW(AE115)-ROW(AE$15),0),15-13*ORÇAMENTO!$AF$11)),0)</f>
        <v>0</v>
      </c>
      <c r="AF115" s="545">
        <f ca="1">IF(AND($D115="Serviço",AF$12&lt;&gt;0,$H115&gt;0,OR(AUTOEVENTO&lt;&gt;"manual",$M115&lt;&gt;1)),
IF(Import.TipoArredondamento&lt;&gt;"TransfereGOV",
ROUND(OFFSET($P115,0,AF$13),15-13*ORÇAMENTO!$AF$7)/$H115*OFFSET(ORÇAMENTO!$X$15,ROW(AF115)-ROW(AF$15),0),
ROUND(ROUND(OFFSET($P115,0,AF$13),15-13*ORÇAMENTO!$AF$7)*OFFSET(ORÇAMENTO!$W$15,ROW(AF115)-ROW(AF$15),0),15-13*ORÇAMENTO!$AF$11)),0)</f>
        <v>0</v>
      </c>
      <c r="AG115" s="545">
        <f ca="1">IF(AND($D115="Serviço",AG$12&lt;&gt;0,$H115&gt;0,OR(AUTOEVENTO&lt;&gt;"manual",$M115&lt;&gt;1)),
IF(Import.TipoArredondamento&lt;&gt;"TransfereGOV",
ROUND(OFFSET($P115,0,AG$13),15-13*ORÇAMENTO!$AF$7)/$H115*OFFSET(ORÇAMENTO!$X$15,ROW(AG115)-ROW(AG$15),0),
ROUND(ROUND(OFFSET($P115,0,AG$13),15-13*ORÇAMENTO!$AF$7)*OFFSET(ORÇAMENTO!$W$15,ROW(AG115)-ROW(AG$15),0),15-13*ORÇAMENTO!$AF$11)),0)</f>
        <v>0</v>
      </c>
      <c r="AH115" s="545">
        <f ca="1">IF(AND($D115="Serviço",AH$12&lt;&gt;0,$H115&gt;0,OR(AUTOEVENTO&lt;&gt;"manual",$M115&lt;&gt;1)),
IF(Import.TipoArredondamento&lt;&gt;"TransfereGOV",
ROUND(OFFSET($P115,0,AH$13),15-13*ORÇAMENTO!$AF$7)/$H115*OFFSET(ORÇAMENTO!$X$15,ROW(AH115)-ROW(AH$15),0),
ROUND(ROUND(OFFSET($P115,0,AH$13),15-13*ORÇAMENTO!$AF$7)*OFFSET(ORÇAMENTO!$W$15,ROW(AH115)-ROW(AH$15),0),15-13*ORÇAMENTO!$AF$11)),0)</f>
        <v>0</v>
      </c>
      <c r="AI115" s="545">
        <f ca="1">IF(AND($D115="Serviço",AI$12&lt;&gt;0,$H115&gt;0,OR(AUTOEVENTO&lt;&gt;"manual",$M115&lt;&gt;1)),
IF(Import.TipoArredondamento&lt;&gt;"TransfereGOV",
ROUND(OFFSET($P115,0,AI$13),15-13*ORÇAMENTO!$AF$7)/$H115*OFFSET(ORÇAMENTO!$X$15,ROW(AI115)-ROW(AI$15),0),
ROUND(ROUND(OFFSET($P115,0,AI$13),15-13*ORÇAMENTO!$AF$7)*OFFSET(ORÇAMENTO!$W$15,ROW(AI115)-ROW(AI$15),0),15-13*ORÇAMENTO!$AF$11)),0)</f>
        <v>0</v>
      </c>
      <c r="AJ115" s="545">
        <f ca="1">IF(AND($D115="Serviço",AJ$12&lt;&gt;0,$H115&gt;0,OR(AUTOEVENTO&lt;&gt;"manual",$M115&lt;&gt;1)),
IF(Import.TipoArredondamento&lt;&gt;"TransfereGOV",
ROUND(OFFSET($P115,0,AJ$13),15-13*ORÇAMENTO!$AF$7)/$H115*OFFSET(ORÇAMENTO!$X$15,ROW(AJ115)-ROW(AJ$15),0),
ROUND(ROUND(OFFSET($P115,0,AJ$13),15-13*ORÇAMENTO!$AF$7)*OFFSET(ORÇAMENTO!$W$15,ROW(AJ115)-ROW(AJ$15),0),15-13*ORÇAMENTO!$AF$11)),0)</f>
        <v>0</v>
      </c>
      <c r="AK115" s="546">
        <f ca="1">IF(AND($D115="Serviço",AK$12&lt;&gt;0,$H115&gt;0,OR(AUTOEVENTO&lt;&gt;"manual",$M115&lt;&gt;1)),
IF(Import.TipoArredondamento&lt;&gt;"TransfereGOV",
ROUND(OFFSET($P115,0,AK$13),15-13*ORÇAMENTO!$AF$7)/$H115*OFFSET(ORÇAMENTO!$X$15,ROW(AK115)-ROW(AK$15),0),
ROUND(ROUND(OFFSET($P115,0,AK$13),15-13*ORÇAMENTO!$AF$7)*OFFSET(ORÇAMENTO!$W$15,ROW(AK115)-ROW(AK$15),0),15-13*ORÇAMENTO!$AF$11)),0)</f>
        <v>0</v>
      </c>
      <c r="AM115" s="181">
        <f ca="1">IF($D115&lt;&gt;"Serviço",0,IF(AND(AUTOEVENTO="Manual",$M115=1),0,IF(OFFSET(CRONOPLE!$F$14,$M115,AM$13)="",10^12,OFFSET(CRONOPLE!$F$14,$M115,AM$13))))</f>
        <v>1000000000000</v>
      </c>
      <c r="AN115" s="181">
        <f ca="1">IF($D115&lt;&gt;"Serviço",0,IF(AND(AUTOEVENTO="Manual",$M115=1),0,IF(OFFSET(CRONOPLE!$F$14,$M115,AN$13)="",10^12,OFFSET(CRONOPLE!$F$14,$M115,AN$13))))</f>
        <v>1000000000000</v>
      </c>
      <c r="AO115" s="181">
        <f ca="1">IF($D115&lt;&gt;"Serviço",0,IF(AND(AUTOEVENTO="Manual",$M115=1),0,IF(OFFSET(CRONOPLE!$F$14,$M115,AO$13)="",10^12,OFFSET(CRONOPLE!$F$14,$M115,AO$13))))</f>
        <v>1000000000000</v>
      </c>
      <c r="AP115" s="181">
        <f ca="1">IF($D115&lt;&gt;"Serviço",0,IF(AND(AUTOEVENTO="Manual",$M115=1),0,IF(OFFSET(CRONOPLE!$F$14,$M115,AP$13)="",10^12,OFFSET(CRONOPLE!$F$14,$M115,AP$13))))</f>
        <v>1000000000000</v>
      </c>
      <c r="AQ115" s="181">
        <f ca="1">IF($D115&lt;&gt;"Serviço",0,IF(AND(AUTOEVENTO="Manual",$M115=1),0,IF(OFFSET(CRONOPLE!$F$14,$M115,AQ$13)="",10^12,OFFSET(CRONOPLE!$F$14,$M115,AQ$13))))</f>
        <v>1000000000000</v>
      </c>
      <c r="AR115" s="181">
        <f ca="1">IF($D115&lt;&gt;"Serviço",0,IF(AND(AUTOEVENTO="Manual",$M115=1),0,IF(OFFSET(CRONOPLE!$F$14,$M115,AR$13)="",10^12,OFFSET(CRONOPLE!$F$14,$M115,AR$13))))</f>
        <v>1000000000000</v>
      </c>
      <c r="AS115" s="181">
        <f ca="1">IF($D115&lt;&gt;"Serviço",0,IF(AND(AUTOEVENTO="Manual",$M115=1),0,IF(OFFSET(CRONOPLE!$F$14,$M115,AS$13)="",10^12,OFFSET(CRONOPLE!$F$14,$M115,AS$13))))</f>
        <v>1000000000000</v>
      </c>
      <c r="AT115" s="181">
        <f ca="1">IF($D115&lt;&gt;"Serviço",0,IF(AND(AUTOEVENTO="Manual",$M115=1),0,IF(OFFSET(CRONOPLE!$F$14,$M115,AT$13)="",10^12,OFFSET(CRONOPLE!$F$14,$M115,AT$13))))</f>
        <v>1000000000000</v>
      </c>
      <c r="AU115" s="181">
        <f ca="1">IF($D115&lt;&gt;"Serviço",0,IF(AND(AUTOEVENTO="Manual",$M115=1),0,IF(OFFSET(CRONOPLE!$F$14,$M115,AU$13)="",10^12,OFFSET(CRONOPLE!$F$14,$M115,AU$13))))</f>
        <v>1000000000000</v>
      </c>
      <c r="AV115" s="181">
        <f ca="1">IF($D115&lt;&gt;"Serviço",0,IF(AND(AUTOEVENTO="Manual",$M115=1),0,IF(OFFSET(CRONOPLE!$F$14,$M115,AV$13)="",10^12,OFFSET(CRONOPLE!$F$14,$M115,AV$13))))</f>
        <v>1000000000000</v>
      </c>
      <c r="AX115" s="182">
        <f ca="1">IF($D115&lt;&gt;"Serviço",0,IF(OR(AND(AUTOEVENTO="Manual",$M115=1),$M115&gt;(ROW(PLE.lastrow)-ROW(PLE.firstrow))),0,IF(OFFSET(PLE!$G$14,$M115,AX$13)="",10^12,OFFSET(PLE!$G$14,$M115,AX$13))))</f>
        <v>1000000000000</v>
      </c>
      <c r="AY115" s="182">
        <f ca="1">IF($D115&lt;&gt;"Serviço",0,IF(OR(AND(AUTOEVENTO="Manual",$M115=1),$M115&gt;(ROW(PLE.lastrow)-ROW(PLE.firstrow))),0,IF(OFFSET(PLE!$G$14,$M115,AY$13)="",10^12,OFFSET(PLE!$G$14,$M115,AY$13))))</f>
        <v>1000000000000</v>
      </c>
      <c r="AZ115" s="182">
        <f ca="1">IF($D115&lt;&gt;"Serviço",0,IF(OR(AND(AUTOEVENTO="Manual",$M115=1),$M115&gt;(ROW(PLE.lastrow)-ROW(PLE.firstrow))),0,IF(OFFSET(PLE!$G$14,$M115,AZ$13)="",10^12,OFFSET(PLE!$G$14,$M115,AZ$13))))</f>
        <v>1000000000000</v>
      </c>
      <c r="BA115" s="182">
        <f ca="1">IF($D115&lt;&gt;"Serviço",0,IF(OR(AND(AUTOEVENTO="Manual",$M115=1),$M115&gt;(ROW(PLE.lastrow)-ROW(PLE.firstrow))),0,IF(OFFSET(PLE!$G$14,$M115,BA$13)="",10^12,OFFSET(PLE!$G$14,$M115,BA$13))))</f>
        <v>1000000000000</v>
      </c>
      <c r="BB115" s="182">
        <f ca="1">IF($D115&lt;&gt;"Serviço",0,IF(OR(AND(AUTOEVENTO="Manual",$M115=1),$M115&gt;(ROW(PLE.lastrow)-ROW(PLE.firstrow))),0,IF(OFFSET(PLE!$G$14,$M115,BB$13)="",10^12,OFFSET(PLE!$G$14,$M115,BB$13))))</f>
        <v>1000000000000</v>
      </c>
      <c r="BC115" s="182">
        <f ca="1">IF($D115&lt;&gt;"Serviço",0,IF(OR(AND(AUTOEVENTO="Manual",$M115=1),$M115&gt;(ROW(PLE.lastrow)-ROW(PLE.firstrow))),0,IF(OFFSET(PLE!$G$14,$M115,BC$13)="",10^12,OFFSET(PLE!$G$14,$M115,BC$13))))</f>
        <v>1000000000000</v>
      </c>
      <c r="BD115" s="182">
        <f ca="1">IF($D115&lt;&gt;"Serviço",0,IF(OR(AND(AUTOEVENTO="Manual",$M115=1),$M115&gt;(ROW(PLE.lastrow)-ROW(PLE.firstrow))),0,IF(OFFSET(PLE!$G$14,$M115,BD$13)="",10^12,OFFSET(PLE!$G$14,$M115,BD$13))))</f>
        <v>1000000000000</v>
      </c>
      <c r="BE115" s="182">
        <f ca="1">IF($D115&lt;&gt;"Serviço",0,IF(OR(AND(AUTOEVENTO="Manual",$M115=1),$M115&gt;(ROW(PLE.lastrow)-ROW(PLE.firstrow))),0,IF(OFFSET(PLE!$G$14,$M115,BE$13)="",10^12,OFFSET(PLE!$G$14,$M115,BE$13))))</f>
        <v>1000000000000</v>
      </c>
      <c r="BF115" s="182">
        <f ca="1">IF($D115&lt;&gt;"Serviço",0,IF(OR(AND(AUTOEVENTO="Manual",$M115=1),$M115&gt;(ROW(PLE.lastrow)-ROW(PLE.firstrow))),0,IF(OFFSET(PLE!$G$14,$M115,BF$13)="",10^12,OFFSET(PLE!$G$14,$M115,BF$13))))</f>
        <v>1000000000000</v>
      </c>
      <c r="BG115" s="182">
        <f ca="1">IF($D115&lt;&gt;"Serviço",0,IF(OR(AND(AUTOEVENTO="Manual",$M115=1),$M115&gt;(ROW(PLE.lastrow)-ROW(PLE.firstrow))),0,IF(OFFSET(PLE!$G$14,$M115,BG$13)="",10^12,OFFSET(PLE!$G$14,$M115,BG$13))))</f>
        <v>1000000000000</v>
      </c>
    </row>
    <row r="116" spans="1:59" ht="25.5" x14ac:dyDescent="0.2">
      <c r="A116" s="7" t="str">
        <f t="shared" ca="1" si="9"/>
        <v>90</v>
      </c>
      <c r="B116" s="7" t="str">
        <f ca="1">OFFSET(ORÇAMENTO!C$15,ROW(B116)-ROW(B$15),0)</f>
        <v>S</v>
      </c>
      <c r="C116" s="7" t="str">
        <f ca="1">OFFSET(ORÇAMENTO!L$15,ROW(C116)-ROW(C$15),0)</f>
        <v/>
      </c>
      <c r="D116" s="118" t="str">
        <f ca="1">OFFSET(ORÇAMENTO!N$15,ROW(D116)-ROW(D$15),0)</f>
        <v>Serviço</v>
      </c>
      <c r="E116" s="119" t="str">
        <f ca="1">OFFSET(ORÇAMENTO!O$15,ROW(E116)-ROW(E$15),0)</f>
        <v>-</v>
      </c>
      <c r="F116" s="172" t="str">
        <f ca="1">OFFSET(ORÇAMENTO!R$15,ROW(F116)-ROW(F$15),0)</f>
        <v>(abra o arquivo 'Referência 02-2025.xlsm)</v>
      </c>
      <c r="G116" s="173" t="str">
        <f ca="1">IF($D116&lt;&gt;"Serviço","",OFFSET(ORÇAMENTO!S$15,ROW(G116)-ROW(G$15),0))</f>
        <v>-</v>
      </c>
      <c r="H116" s="124">
        <f ca="1">IF($D116&lt;&gt;"Serviço",0,IF(ACOMPANHAMENTO="BM",ROUND(OFFSET(ORÇAMENTO!AJ$15,ROW(H116)-ROW(H$15),0),15-13*ORÇAMENTO!$AF$7),SUMPRODUCT(($Q$12:$AA$12&lt;&gt;"")*ROUND($Q116:$AA116,15-13*ORÇAMENTO!$AF$7))))</f>
        <v>2.9</v>
      </c>
      <c r="I116" s="561"/>
      <c r="K116" s="174"/>
      <c r="L116" s="175" t="s">
        <v>255</v>
      </c>
      <c r="M116" s="176">
        <f ca="1">IF($D116&lt;&gt;"Serviço","",IF(AUTOEVENTO="manual",$A116,IF(ISERROR(MATCH($A116,$A$15:OFFSET($A116,-1,0),0)),MAX($M$15:OFFSET(M116,-1,0))+1,INDEX($M$15:OFFSET(M116,-1,0),MATCH($A116,$A$15:OFFSET($A116,-1,0),0)))))</f>
        <v>6</v>
      </c>
      <c r="N116" s="177" t="str">
        <f ca="1">IF($D116&lt;&gt;"Serviço","",IF(AUTOEVENTO="Manual",IF($A116=0,"&lt;-- defina o número do agrupador",OFFSET(EVENTOS!$D$14,$A116,0)),OFFSET($F$15,$A116,0)))</f>
        <v>SISTEMA DE VEDAÇÃO VERTICAL</v>
      </c>
      <c r="O116" s="178"/>
      <c r="Q116" s="178"/>
      <c r="R116" s="179"/>
      <c r="S116" s="179"/>
      <c r="T116" s="179"/>
      <c r="U116" s="179"/>
      <c r="V116" s="179"/>
      <c r="W116" s="179"/>
      <c r="X116" s="179"/>
      <c r="Y116" s="179"/>
      <c r="Z116" s="180"/>
      <c r="AB116" s="544">
        <f ca="1">IF(AND($D116="Serviço",AB$12&lt;&gt;0,$H116&gt;0,OR(AUTOEVENTO&lt;&gt;"manual",$M116&lt;&gt;1)),
IF(Import.TipoArredondamento&lt;&gt;"TransfereGOV",
ROUND(OFFSET($P116,0,AB$13),15-13*ORÇAMENTO!$AF$7)/$H116*OFFSET(ORÇAMENTO!$X$15,ROW(AB116)-ROW(AB$15),0),
ROUND(ROUND(OFFSET($P116,0,AB$13),15-13*ORÇAMENTO!$AF$7)*OFFSET(ORÇAMENTO!$W$15,ROW(AB116)-ROW(AB$15),0),15-13*ORÇAMENTO!$AF$11)),0)</f>
        <v>0</v>
      </c>
      <c r="AC116" s="545">
        <f ca="1">IF(AND($D116="Serviço",AC$12&lt;&gt;0,$H116&gt;0,OR(AUTOEVENTO&lt;&gt;"manual",$M116&lt;&gt;1)),
IF(Import.TipoArredondamento&lt;&gt;"TransfereGOV",
ROUND(OFFSET($P116,0,AC$13),15-13*ORÇAMENTO!$AF$7)/$H116*OFFSET(ORÇAMENTO!$X$15,ROW(AC116)-ROW(AC$15),0),
ROUND(ROUND(OFFSET($P116,0,AC$13),15-13*ORÇAMENTO!$AF$7)*OFFSET(ORÇAMENTO!$W$15,ROW(AC116)-ROW(AC$15),0),15-13*ORÇAMENTO!$AF$11)),0)</f>
        <v>0</v>
      </c>
      <c r="AD116" s="545">
        <f ca="1">IF(AND($D116="Serviço",AD$12&lt;&gt;0,$H116&gt;0,OR(AUTOEVENTO&lt;&gt;"manual",$M116&lt;&gt;1)),
IF(Import.TipoArredondamento&lt;&gt;"TransfereGOV",
ROUND(OFFSET($P116,0,AD$13),15-13*ORÇAMENTO!$AF$7)/$H116*OFFSET(ORÇAMENTO!$X$15,ROW(AD116)-ROW(AD$15),0),
ROUND(ROUND(OFFSET($P116,0,AD$13),15-13*ORÇAMENTO!$AF$7)*OFFSET(ORÇAMENTO!$W$15,ROW(AD116)-ROW(AD$15),0),15-13*ORÇAMENTO!$AF$11)),0)</f>
        <v>0</v>
      </c>
      <c r="AE116" s="545">
        <f ca="1">IF(AND($D116="Serviço",AE$12&lt;&gt;0,$H116&gt;0,OR(AUTOEVENTO&lt;&gt;"manual",$M116&lt;&gt;1)),
IF(Import.TipoArredondamento&lt;&gt;"TransfereGOV",
ROUND(OFFSET($P116,0,AE$13),15-13*ORÇAMENTO!$AF$7)/$H116*OFFSET(ORÇAMENTO!$X$15,ROW(AE116)-ROW(AE$15),0),
ROUND(ROUND(OFFSET($P116,0,AE$13),15-13*ORÇAMENTO!$AF$7)*OFFSET(ORÇAMENTO!$W$15,ROW(AE116)-ROW(AE$15),0),15-13*ORÇAMENTO!$AF$11)),0)</f>
        <v>0</v>
      </c>
      <c r="AF116" s="545">
        <f ca="1">IF(AND($D116="Serviço",AF$12&lt;&gt;0,$H116&gt;0,OR(AUTOEVENTO&lt;&gt;"manual",$M116&lt;&gt;1)),
IF(Import.TipoArredondamento&lt;&gt;"TransfereGOV",
ROUND(OFFSET($P116,0,AF$13),15-13*ORÇAMENTO!$AF$7)/$H116*OFFSET(ORÇAMENTO!$X$15,ROW(AF116)-ROW(AF$15),0),
ROUND(ROUND(OFFSET($P116,0,AF$13),15-13*ORÇAMENTO!$AF$7)*OFFSET(ORÇAMENTO!$W$15,ROW(AF116)-ROW(AF$15),0),15-13*ORÇAMENTO!$AF$11)),0)</f>
        <v>0</v>
      </c>
      <c r="AG116" s="545">
        <f ca="1">IF(AND($D116="Serviço",AG$12&lt;&gt;0,$H116&gt;0,OR(AUTOEVENTO&lt;&gt;"manual",$M116&lt;&gt;1)),
IF(Import.TipoArredondamento&lt;&gt;"TransfereGOV",
ROUND(OFFSET($P116,0,AG$13),15-13*ORÇAMENTO!$AF$7)/$H116*OFFSET(ORÇAMENTO!$X$15,ROW(AG116)-ROW(AG$15),0),
ROUND(ROUND(OFFSET($P116,0,AG$13),15-13*ORÇAMENTO!$AF$7)*OFFSET(ORÇAMENTO!$W$15,ROW(AG116)-ROW(AG$15),0),15-13*ORÇAMENTO!$AF$11)),0)</f>
        <v>0</v>
      </c>
      <c r="AH116" s="545">
        <f ca="1">IF(AND($D116="Serviço",AH$12&lt;&gt;0,$H116&gt;0,OR(AUTOEVENTO&lt;&gt;"manual",$M116&lt;&gt;1)),
IF(Import.TipoArredondamento&lt;&gt;"TransfereGOV",
ROUND(OFFSET($P116,0,AH$13),15-13*ORÇAMENTO!$AF$7)/$H116*OFFSET(ORÇAMENTO!$X$15,ROW(AH116)-ROW(AH$15),0),
ROUND(ROUND(OFFSET($P116,0,AH$13),15-13*ORÇAMENTO!$AF$7)*OFFSET(ORÇAMENTO!$W$15,ROW(AH116)-ROW(AH$15),0),15-13*ORÇAMENTO!$AF$11)),0)</f>
        <v>0</v>
      </c>
      <c r="AI116" s="545">
        <f ca="1">IF(AND($D116="Serviço",AI$12&lt;&gt;0,$H116&gt;0,OR(AUTOEVENTO&lt;&gt;"manual",$M116&lt;&gt;1)),
IF(Import.TipoArredondamento&lt;&gt;"TransfereGOV",
ROUND(OFFSET($P116,0,AI$13),15-13*ORÇAMENTO!$AF$7)/$H116*OFFSET(ORÇAMENTO!$X$15,ROW(AI116)-ROW(AI$15),0),
ROUND(ROUND(OFFSET($P116,0,AI$13),15-13*ORÇAMENTO!$AF$7)*OFFSET(ORÇAMENTO!$W$15,ROW(AI116)-ROW(AI$15),0),15-13*ORÇAMENTO!$AF$11)),0)</f>
        <v>0</v>
      </c>
      <c r="AJ116" s="545">
        <f ca="1">IF(AND($D116="Serviço",AJ$12&lt;&gt;0,$H116&gt;0,OR(AUTOEVENTO&lt;&gt;"manual",$M116&lt;&gt;1)),
IF(Import.TipoArredondamento&lt;&gt;"TransfereGOV",
ROUND(OFFSET($P116,0,AJ$13),15-13*ORÇAMENTO!$AF$7)/$H116*OFFSET(ORÇAMENTO!$X$15,ROW(AJ116)-ROW(AJ$15),0),
ROUND(ROUND(OFFSET($P116,0,AJ$13),15-13*ORÇAMENTO!$AF$7)*OFFSET(ORÇAMENTO!$W$15,ROW(AJ116)-ROW(AJ$15),0),15-13*ORÇAMENTO!$AF$11)),0)</f>
        <v>0</v>
      </c>
      <c r="AK116" s="546">
        <f ca="1">IF(AND($D116="Serviço",AK$12&lt;&gt;0,$H116&gt;0,OR(AUTOEVENTO&lt;&gt;"manual",$M116&lt;&gt;1)),
IF(Import.TipoArredondamento&lt;&gt;"TransfereGOV",
ROUND(OFFSET($P116,0,AK$13),15-13*ORÇAMENTO!$AF$7)/$H116*OFFSET(ORÇAMENTO!$X$15,ROW(AK116)-ROW(AK$15),0),
ROUND(ROUND(OFFSET($P116,0,AK$13),15-13*ORÇAMENTO!$AF$7)*OFFSET(ORÇAMENTO!$W$15,ROW(AK116)-ROW(AK$15),0),15-13*ORÇAMENTO!$AF$11)),0)</f>
        <v>0</v>
      </c>
      <c r="AM116" s="181">
        <f ca="1">IF($D116&lt;&gt;"Serviço",0,IF(AND(AUTOEVENTO="Manual",$M116=1),0,IF(OFFSET(CRONOPLE!$F$14,$M116,AM$13)="",10^12,OFFSET(CRONOPLE!$F$14,$M116,AM$13))))</f>
        <v>1000000000000</v>
      </c>
      <c r="AN116" s="181">
        <f ca="1">IF($D116&lt;&gt;"Serviço",0,IF(AND(AUTOEVENTO="Manual",$M116=1),0,IF(OFFSET(CRONOPLE!$F$14,$M116,AN$13)="",10^12,OFFSET(CRONOPLE!$F$14,$M116,AN$13))))</f>
        <v>1000000000000</v>
      </c>
      <c r="AO116" s="181">
        <f ca="1">IF($D116&lt;&gt;"Serviço",0,IF(AND(AUTOEVENTO="Manual",$M116=1),0,IF(OFFSET(CRONOPLE!$F$14,$M116,AO$13)="",10^12,OFFSET(CRONOPLE!$F$14,$M116,AO$13))))</f>
        <v>1000000000000</v>
      </c>
      <c r="AP116" s="181">
        <f ca="1">IF($D116&lt;&gt;"Serviço",0,IF(AND(AUTOEVENTO="Manual",$M116=1),0,IF(OFFSET(CRONOPLE!$F$14,$M116,AP$13)="",10^12,OFFSET(CRONOPLE!$F$14,$M116,AP$13))))</f>
        <v>1000000000000</v>
      </c>
      <c r="AQ116" s="181">
        <f ca="1">IF($D116&lt;&gt;"Serviço",0,IF(AND(AUTOEVENTO="Manual",$M116=1),0,IF(OFFSET(CRONOPLE!$F$14,$M116,AQ$13)="",10^12,OFFSET(CRONOPLE!$F$14,$M116,AQ$13))))</f>
        <v>1000000000000</v>
      </c>
      <c r="AR116" s="181">
        <f ca="1">IF($D116&lt;&gt;"Serviço",0,IF(AND(AUTOEVENTO="Manual",$M116=1),0,IF(OFFSET(CRONOPLE!$F$14,$M116,AR$13)="",10^12,OFFSET(CRONOPLE!$F$14,$M116,AR$13))))</f>
        <v>1000000000000</v>
      </c>
      <c r="AS116" s="181">
        <f ca="1">IF($D116&lt;&gt;"Serviço",0,IF(AND(AUTOEVENTO="Manual",$M116=1),0,IF(OFFSET(CRONOPLE!$F$14,$M116,AS$13)="",10^12,OFFSET(CRONOPLE!$F$14,$M116,AS$13))))</f>
        <v>1000000000000</v>
      </c>
      <c r="AT116" s="181">
        <f ca="1">IF($D116&lt;&gt;"Serviço",0,IF(AND(AUTOEVENTO="Manual",$M116=1),0,IF(OFFSET(CRONOPLE!$F$14,$M116,AT$13)="",10^12,OFFSET(CRONOPLE!$F$14,$M116,AT$13))))</f>
        <v>1000000000000</v>
      </c>
      <c r="AU116" s="181">
        <f ca="1">IF($D116&lt;&gt;"Serviço",0,IF(AND(AUTOEVENTO="Manual",$M116=1),0,IF(OFFSET(CRONOPLE!$F$14,$M116,AU$13)="",10^12,OFFSET(CRONOPLE!$F$14,$M116,AU$13))))</f>
        <v>1000000000000</v>
      </c>
      <c r="AV116" s="181">
        <f ca="1">IF($D116&lt;&gt;"Serviço",0,IF(AND(AUTOEVENTO="Manual",$M116=1),0,IF(OFFSET(CRONOPLE!$F$14,$M116,AV$13)="",10^12,OFFSET(CRONOPLE!$F$14,$M116,AV$13))))</f>
        <v>1000000000000</v>
      </c>
      <c r="AX116" s="182">
        <f ca="1">IF($D116&lt;&gt;"Serviço",0,IF(OR(AND(AUTOEVENTO="Manual",$M116=1),$M116&gt;(ROW(PLE.lastrow)-ROW(PLE.firstrow))),0,IF(OFFSET(PLE!$G$14,$M116,AX$13)="",10^12,OFFSET(PLE!$G$14,$M116,AX$13))))</f>
        <v>1000000000000</v>
      </c>
      <c r="AY116" s="182">
        <f ca="1">IF($D116&lt;&gt;"Serviço",0,IF(OR(AND(AUTOEVENTO="Manual",$M116=1),$M116&gt;(ROW(PLE.lastrow)-ROW(PLE.firstrow))),0,IF(OFFSET(PLE!$G$14,$M116,AY$13)="",10^12,OFFSET(PLE!$G$14,$M116,AY$13))))</f>
        <v>1000000000000</v>
      </c>
      <c r="AZ116" s="182">
        <f ca="1">IF($D116&lt;&gt;"Serviço",0,IF(OR(AND(AUTOEVENTO="Manual",$M116=1),$M116&gt;(ROW(PLE.lastrow)-ROW(PLE.firstrow))),0,IF(OFFSET(PLE!$G$14,$M116,AZ$13)="",10^12,OFFSET(PLE!$G$14,$M116,AZ$13))))</f>
        <v>1000000000000</v>
      </c>
      <c r="BA116" s="182">
        <f ca="1">IF($D116&lt;&gt;"Serviço",0,IF(OR(AND(AUTOEVENTO="Manual",$M116=1),$M116&gt;(ROW(PLE.lastrow)-ROW(PLE.firstrow))),0,IF(OFFSET(PLE!$G$14,$M116,BA$13)="",10^12,OFFSET(PLE!$G$14,$M116,BA$13))))</f>
        <v>1000000000000</v>
      </c>
      <c r="BB116" s="182">
        <f ca="1">IF($D116&lt;&gt;"Serviço",0,IF(OR(AND(AUTOEVENTO="Manual",$M116=1),$M116&gt;(ROW(PLE.lastrow)-ROW(PLE.firstrow))),0,IF(OFFSET(PLE!$G$14,$M116,BB$13)="",10^12,OFFSET(PLE!$G$14,$M116,BB$13))))</f>
        <v>1000000000000</v>
      </c>
      <c r="BC116" s="182">
        <f ca="1">IF($D116&lt;&gt;"Serviço",0,IF(OR(AND(AUTOEVENTO="Manual",$M116=1),$M116&gt;(ROW(PLE.lastrow)-ROW(PLE.firstrow))),0,IF(OFFSET(PLE!$G$14,$M116,BC$13)="",10^12,OFFSET(PLE!$G$14,$M116,BC$13))))</f>
        <v>1000000000000</v>
      </c>
      <c r="BD116" s="182">
        <f ca="1">IF($D116&lt;&gt;"Serviço",0,IF(OR(AND(AUTOEVENTO="Manual",$M116=1),$M116&gt;(ROW(PLE.lastrow)-ROW(PLE.firstrow))),0,IF(OFFSET(PLE!$G$14,$M116,BD$13)="",10^12,OFFSET(PLE!$G$14,$M116,BD$13))))</f>
        <v>1000000000000</v>
      </c>
      <c r="BE116" s="182">
        <f ca="1">IF($D116&lt;&gt;"Serviço",0,IF(OR(AND(AUTOEVENTO="Manual",$M116=1),$M116&gt;(ROW(PLE.lastrow)-ROW(PLE.firstrow))),0,IF(OFFSET(PLE!$G$14,$M116,BE$13)="",10^12,OFFSET(PLE!$G$14,$M116,BE$13))))</f>
        <v>1000000000000</v>
      </c>
      <c r="BF116" s="182">
        <f ca="1">IF($D116&lt;&gt;"Serviço",0,IF(OR(AND(AUTOEVENTO="Manual",$M116=1),$M116&gt;(ROW(PLE.lastrow)-ROW(PLE.firstrow))),0,IF(OFFSET(PLE!$G$14,$M116,BF$13)="",10^12,OFFSET(PLE!$G$14,$M116,BF$13))))</f>
        <v>1000000000000</v>
      </c>
      <c r="BG116" s="182">
        <f ca="1">IF($D116&lt;&gt;"Serviço",0,IF(OR(AND(AUTOEVENTO="Manual",$M116=1),$M116&gt;(ROW(PLE.lastrow)-ROW(PLE.firstrow))),0,IF(OFFSET(PLE!$G$14,$M116,BG$13)="",10^12,OFFSET(PLE!$G$14,$M116,BG$13))))</f>
        <v>1000000000000</v>
      </c>
    </row>
    <row r="117" spans="1:59" ht="25.5" x14ac:dyDescent="0.2">
      <c r="A117" s="7" t="str">
        <f t="shared" ca="1" si="9"/>
        <v>90</v>
      </c>
      <c r="B117" s="7" t="str">
        <f ca="1">OFFSET(ORÇAMENTO!C$15,ROW(B117)-ROW(B$15),0)</f>
        <v>S</v>
      </c>
      <c r="C117" s="7" t="str">
        <f ca="1">OFFSET(ORÇAMENTO!L$15,ROW(C117)-ROW(C$15),0)</f>
        <v/>
      </c>
      <c r="D117" s="118" t="str">
        <f ca="1">OFFSET(ORÇAMENTO!N$15,ROW(D117)-ROW(D$15),0)</f>
        <v>Serviço</v>
      </c>
      <c r="E117" s="119" t="str">
        <f ca="1">OFFSET(ORÇAMENTO!O$15,ROW(E117)-ROW(E$15),0)</f>
        <v>-</v>
      </c>
      <c r="F117" s="172" t="str">
        <f ca="1">OFFSET(ORÇAMENTO!R$15,ROW(F117)-ROW(F$15),0)</f>
        <v>(abra o arquivo 'Referência 02-2025.xlsm)</v>
      </c>
      <c r="G117" s="173" t="str">
        <f ca="1">IF($D117&lt;&gt;"Serviço","",OFFSET(ORÇAMENTO!S$15,ROW(G117)-ROW(G$15),0))</f>
        <v>-</v>
      </c>
      <c r="H117" s="124">
        <f ca="1">IF($D117&lt;&gt;"Serviço",0,IF(ACOMPANHAMENTO="BM",ROUND(OFFSET(ORÇAMENTO!AJ$15,ROW(H117)-ROW(H$15),0),15-13*ORÇAMENTO!$AF$7),SUMPRODUCT(($Q$12:$AA$12&lt;&gt;"")*ROUND($Q117:$AA117,15-13*ORÇAMENTO!$AF$7))))</f>
        <v>85.5</v>
      </c>
      <c r="I117" s="561"/>
      <c r="K117" s="174"/>
      <c r="L117" s="175" t="s">
        <v>255</v>
      </c>
      <c r="M117" s="176">
        <f ca="1">IF($D117&lt;&gt;"Serviço","",IF(AUTOEVENTO="manual",$A117,IF(ISERROR(MATCH($A117,$A$15:OFFSET($A117,-1,0),0)),MAX($M$15:OFFSET(M117,-1,0))+1,INDEX($M$15:OFFSET(M117,-1,0),MATCH($A117,$A$15:OFFSET($A117,-1,0),0)))))</f>
        <v>6</v>
      </c>
      <c r="N117" s="177" t="str">
        <f ca="1">IF($D117&lt;&gt;"Serviço","",IF(AUTOEVENTO="Manual",IF($A117=0,"&lt;-- defina o número do agrupador",OFFSET(EVENTOS!$D$14,$A117,0)),OFFSET($F$15,$A117,0)))</f>
        <v>SISTEMA DE VEDAÇÃO VERTICAL</v>
      </c>
      <c r="O117" s="178"/>
      <c r="Q117" s="178"/>
      <c r="R117" s="179"/>
      <c r="S117" s="179"/>
      <c r="T117" s="179"/>
      <c r="U117" s="179"/>
      <c r="V117" s="179"/>
      <c r="W117" s="179"/>
      <c r="X117" s="179"/>
      <c r="Y117" s="179"/>
      <c r="Z117" s="180"/>
      <c r="AB117" s="544">
        <f ca="1">IF(AND($D117="Serviço",AB$12&lt;&gt;0,$H117&gt;0,OR(AUTOEVENTO&lt;&gt;"manual",$M117&lt;&gt;1)),
IF(Import.TipoArredondamento&lt;&gt;"TransfereGOV",
ROUND(OFFSET($P117,0,AB$13),15-13*ORÇAMENTO!$AF$7)/$H117*OFFSET(ORÇAMENTO!$X$15,ROW(AB117)-ROW(AB$15),0),
ROUND(ROUND(OFFSET($P117,0,AB$13),15-13*ORÇAMENTO!$AF$7)*OFFSET(ORÇAMENTO!$W$15,ROW(AB117)-ROW(AB$15),0),15-13*ORÇAMENTO!$AF$11)),0)</f>
        <v>0</v>
      </c>
      <c r="AC117" s="545">
        <f ca="1">IF(AND($D117="Serviço",AC$12&lt;&gt;0,$H117&gt;0,OR(AUTOEVENTO&lt;&gt;"manual",$M117&lt;&gt;1)),
IF(Import.TipoArredondamento&lt;&gt;"TransfereGOV",
ROUND(OFFSET($P117,0,AC$13),15-13*ORÇAMENTO!$AF$7)/$H117*OFFSET(ORÇAMENTO!$X$15,ROW(AC117)-ROW(AC$15),0),
ROUND(ROUND(OFFSET($P117,0,AC$13),15-13*ORÇAMENTO!$AF$7)*OFFSET(ORÇAMENTO!$W$15,ROW(AC117)-ROW(AC$15),0),15-13*ORÇAMENTO!$AF$11)),0)</f>
        <v>0</v>
      </c>
      <c r="AD117" s="545">
        <f ca="1">IF(AND($D117="Serviço",AD$12&lt;&gt;0,$H117&gt;0,OR(AUTOEVENTO&lt;&gt;"manual",$M117&lt;&gt;1)),
IF(Import.TipoArredondamento&lt;&gt;"TransfereGOV",
ROUND(OFFSET($P117,0,AD$13),15-13*ORÇAMENTO!$AF$7)/$H117*OFFSET(ORÇAMENTO!$X$15,ROW(AD117)-ROW(AD$15),0),
ROUND(ROUND(OFFSET($P117,0,AD$13),15-13*ORÇAMENTO!$AF$7)*OFFSET(ORÇAMENTO!$W$15,ROW(AD117)-ROW(AD$15),0),15-13*ORÇAMENTO!$AF$11)),0)</f>
        <v>0</v>
      </c>
      <c r="AE117" s="545">
        <f ca="1">IF(AND($D117="Serviço",AE$12&lt;&gt;0,$H117&gt;0,OR(AUTOEVENTO&lt;&gt;"manual",$M117&lt;&gt;1)),
IF(Import.TipoArredondamento&lt;&gt;"TransfereGOV",
ROUND(OFFSET($P117,0,AE$13),15-13*ORÇAMENTO!$AF$7)/$H117*OFFSET(ORÇAMENTO!$X$15,ROW(AE117)-ROW(AE$15),0),
ROUND(ROUND(OFFSET($P117,0,AE$13),15-13*ORÇAMENTO!$AF$7)*OFFSET(ORÇAMENTO!$W$15,ROW(AE117)-ROW(AE$15),0),15-13*ORÇAMENTO!$AF$11)),0)</f>
        <v>0</v>
      </c>
      <c r="AF117" s="545">
        <f ca="1">IF(AND($D117="Serviço",AF$12&lt;&gt;0,$H117&gt;0,OR(AUTOEVENTO&lt;&gt;"manual",$M117&lt;&gt;1)),
IF(Import.TipoArredondamento&lt;&gt;"TransfereGOV",
ROUND(OFFSET($P117,0,AF$13),15-13*ORÇAMENTO!$AF$7)/$H117*OFFSET(ORÇAMENTO!$X$15,ROW(AF117)-ROW(AF$15),0),
ROUND(ROUND(OFFSET($P117,0,AF$13),15-13*ORÇAMENTO!$AF$7)*OFFSET(ORÇAMENTO!$W$15,ROW(AF117)-ROW(AF$15),0),15-13*ORÇAMENTO!$AF$11)),0)</f>
        <v>0</v>
      </c>
      <c r="AG117" s="545">
        <f ca="1">IF(AND($D117="Serviço",AG$12&lt;&gt;0,$H117&gt;0,OR(AUTOEVENTO&lt;&gt;"manual",$M117&lt;&gt;1)),
IF(Import.TipoArredondamento&lt;&gt;"TransfereGOV",
ROUND(OFFSET($P117,0,AG$13),15-13*ORÇAMENTO!$AF$7)/$H117*OFFSET(ORÇAMENTO!$X$15,ROW(AG117)-ROW(AG$15),0),
ROUND(ROUND(OFFSET($P117,0,AG$13),15-13*ORÇAMENTO!$AF$7)*OFFSET(ORÇAMENTO!$W$15,ROW(AG117)-ROW(AG$15),0),15-13*ORÇAMENTO!$AF$11)),0)</f>
        <v>0</v>
      </c>
      <c r="AH117" s="545">
        <f ca="1">IF(AND($D117="Serviço",AH$12&lt;&gt;0,$H117&gt;0,OR(AUTOEVENTO&lt;&gt;"manual",$M117&lt;&gt;1)),
IF(Import.TipoArredondamento&lt;&gt;"TransfereGOV",
ROUND(OFFSET($P117,0,AH$13),15-13*ORÇAMENTO!$AF$7)/$H117*OFFSET(ORÇAMENTO!$X$15,ROW(AH117)-ROW(AH$15),0),
ROUND(ROUND(OFFSET($P117,0,AH$13),15-13*ORÇAMENTO!$AF$7)*OFFSET(ORÇAMENTO!$W$15,ROW(AH117)-ROW(AH$15),0),15-13*ORÇAMENTO!$AF$11)),0)</f>
        <v>0</v>
      </c>
      <c r="AI117" s="545">
        <f ca="1">IF(AND($D117="Serviço",AI$12&lt;&gt;0,$H117&gt;0,OR(AUTOEVENTO&lt;&gt;"manual",$M117&lt;&gt;1)),
IF(Import.TipoArredondamento&lt;&gt;"TransfereGOV",
ROUND(OFFSET($P117,0,AI$13),15-13*ORÇAMENTO!$AF$7)/$H117*OFFSET(ORÇAMENTO!$X$15,ROW(AI117)-ROW(AI$15),0),
ROUND(ROUND(OFFSET($P117,0,AI$13),15-13*ORÇAMENTO!$AF$7)*OFFSET(ORÇAMENTO!$W$15,ROW(AI117)-ROW(AI$15),0),15-13*ORÇAMENTO!$AF$11)),0)</f>
        <v>0</v>
      </c>
      <c r="AJ117" s="545">
        <f ca="1">IF(AND($D117="Serviço",AJ$12&lt;&gt;0,$H117&gt;0,OR(AUTOEVENTO&lt;&gt;"manual",$M117&lt;&gt;1)),
IF(Import.TipoArredondamento&lt;&gt;"TransfereGOV",
ROUND(OFFSET($P117,0,AJ$13),15-13*ORÇAMENTO!$AF$7)/$H117*OFFSET(ORÇAMENTO!$X$15,ROW(AJ117)-ROW(AJ$15),0),
ROUND(ROUND(OFFSET($P117,0,AJ$13),15-13*ORÇAMENTO!$AF$7)*OFFSET(ORÇAMENTO!$W$15,ROW(AJ117)-ROW(AJ$15),0),15-13*ORÇAMENTO!$AF$11)),0)</f>
        <v>0</v>
      </c>
      <c r="AK117" s="546">
        <f ca="1">IF(AND($D117="Serviço",AK$12&lt;&gt;0,$H117&gt;0,OR(AUTOEVENTO&lt;&gt;"manual",$M117&lt;&gt;1)),
IF(Import.TipoArredondamento&lt;&gt;"TransfereGOV",
ROUND(OFFSET($P117,0,AK$13),15-13*ORÇAMENTO!$AF$7)/$H117*OFFSET(ORÇAMENTO!$X$15,ROW(AK117)-ROW(AK$15),0),
ROUND(ROUND(OFFSET($P117,0,AK$13),15-13*ORÇAMENTO!$AF$7)*OFFSET(ORÇAMENTO!$W$15,ROW(AK117)-ROW(AK$15),0),15-13*ORÇAMENTO!$AF$11)),0)</f>
        <v>0</v>
      </c>
      <c r="AM117" s="181">
        <f ca="1">IF($D117&lt;&gt;"Serviço",0,IF(AND(AUTOEVENTO="Manual",$M117=1),0,IF(OFFSET(CRONOPLE!$F$14,$M117,AM$13)="",10^12,OFFSET(CRONOPLE!$F$14,$M117,AM$13))))</f>
        <v>1000000000000</v>
      </c>
      <c r="AN117" s="181">
        <f ca="1">IF($D117&lt;&gt;"Serviço",0,IF(AND(AUTOEVENTO="Manual",$M117=1),0,IF(OFFSET(CRONOPLE!$F$14,$M117,AN$13)="",10^12,OFFSET(CRONOPLE!$F$14,$M117,AN$13))))</f>
        <v>1000000000000</v>
      </c>
      <c r="AO117" s="181">
        <f ca="1">IF($D117&lt;&gt;"Serviço",0,IF(AND(AUTOEVENTO="Manual",$M117=1),0,IF(OFFSET(CRONOPLE!$F$14,$M117,AO$13)="",10^12,OFFSET(CRONOPLE!$F$14,$M117,AO$13))))</f>
        <v>1000000000000</v>
      </c>
      <c r="AP117" s="181">
        <f ca="1">IF($D117&lt;&gt;"Serviço",0,IF(AND(AUTOEVENTO="Manual",$M117=1),0,IF(OFFSET(CRONOPLE!$F$14,$M117,AP$13)="",10^12,OFFSET(CRONOPLE!$F$14,$M117,AP$13))))</f>
        <v>1000000000000</v>
      </c>
      <c r="AQ117" s="181">
        <f ca="1">IF($D117&lt;&gt;"Serviço",0,IF(AND(AUTOEVENTO="Manual",$M117=1),0,IF(OFFSET(CRONOPLE!$F$14,$M117,AQ$13)="",10^12,OFFSET(CRONOPLE!$F$14,$M117,AQ$13))))</f>
        <v>1000000000000</v>
      </c>
      <c r="AR117" s="181">
        <f ca="1">IF($D117&lt;&gt;"Serviço",0,IF(AND(AUTOEVENTO="Manual",$M117=1),0,IF(OFFSET(CRONOPLE!$F$14,$M117,AR$13)="",10^12,OFFSET(CRONOPLE!$F$14,$M117,AR$13))))</f>
        <v>1000000000000</v>
      </c>
      <c r="AS117" s="181">
        <f ca="1">IF($D117&lt;&gt;"Serviço",0,IF(AND(AUTOEVENTO="Manual",$M117=1),0,IF(OFFSET(CRONOPLE!$F$14,$M117,AS$13)="",10^12,OFFSET(CRONOPLE!$F$14,$M117,AS$13))))</f>
        <v>1000000000000</v>
      </c>
      <c r="AT117" s="181">
        <f ca="1">IF($D117&lt;&gt;"Serviço",0,IF(AND(AUTOEVENTO="Manual",$M117=1),0,IF(OFFSET(CRONOPLE!$F$14,$M117,AT$13)="",10^12,OFFSET(CRONOPLE!$F$14,$M117,AT$13))))</f>
        <v>1000000000000</v>
      </c>
      <c r="AU117" s="181">
        <f ca="1">IF($D117&lt;&gt;"Serviço",0,IF(AND(AUTOEVENTO="Manual",$M117=1),0,IF(OFFSET(CRONOPLE!$F$14,$M117,AU$13)="",10^12,OFFSET(CRONOPLE!$F$14,$M117,AU$13))))</f>
        <v>1000000000000</v>
      </c>
      <c r="AV117" s="181">
        <f ca="1">IF($D117&lt;&gt;"Serviço",0,IF(AND(AUTOEVENTO="Manual",$M117=1),0,IF(OFFSET(CRONOPLE!$F$14,$M117,AV$13)="",10^12,OFFSET(CRONOPLE!$F$14,$M117,AV$13))))</f>
        <v>1000000000000</v>
      </c>
      <c r="AX117" s="182">
        <f ca="1">IF($D117&lt;&gt;"Serviço",0,IF(OR(AND(AUTOEVENTO="Manual",$M117=1),$M117&gt;(ROW(PLE.lastrow)-ROW(PLE.firstrow))),0,IF(OFFSET(PLE!$G$14,$M117,AX$13)="",10^12,OFFSET(PLE!$G$14,$M117,AX$13))))</f>
        <v>1000000000000</v>
      </c>
      <c r="AY117" s="182">
        <f ca="1">IF($D117&lt;&gt;"Serviço",0,IF(OR(AND(AUTOEVENTO="Manual",$M117=1),$M117&gt;(ROW(PLE.lastrow)-ROW(PLE.firstrow))),0,IF(OFFSET(PLE!$G$14,$M117,AY$13)="",10^12,OFFSET(PLE!$G$14,$M117,AY$13))))</f>
        <v>1000000000000</v>
      </c>
      <c r="AZ117" s="182">
        <f ca="1">IF($D117&lt;&gt;"Serviço",0,IF(OR(AND(AUTOEVENTO="Manual",$M117=1),$M117&gt;(ROW(PLE.lastrow)-ROW(PLE.firstrow))),0,IF(OFFSET(PLE!$G$14,$M117,AZ$13)="",10^12,OFFSET(PLE!$G$14,$M117,AZ$13))))</f>
        <v>1000000000000</v>
      </c>
      <c r="BA117" s="182">
        <f ca="1">IF($D117&lt;&gt;"Serviço",0,IF(OR(AND(AUTOEVENTO="Manual",$M117=1),$M117&gt;(ROW(PLE.lastrow)-ROW(PLE.firstrow))),0,IF(OFFSET(PLE!$G$14,$M117,BA$13)="",10^12,OFFSET(PLE!$G$14,$M117,BA$13))))</f>
        <v>1000000000000</v>
      </c>
      <c r="BB117" s="182">
        <f ca="1">IF($D117&lt;&gt;"Serviço",0,IF(OR(AND(AUTOEVENTO="Manual",$M117=1),$M117&gt;(ROW(PLE.lastrow)-ROW(PLE.firstrow))),0,IF(OFFSET(PLE!$G$14,$M117,BB$13)="",10^12,OFFSET(PLE!$G$14,$M117,BB$13))))</f>
        <v>1000000000000</v>
      </c>
      <c r="BC117" s="182">
        <f ca="1">IF($D117&lt;&gt;"Serviço",0,IF(OR(AND(AUTOEVENTO="Manual",$M117=1),$M117&gt;(ROW(PLE.lastrow)-ROW(PLE.firstrow))),0,IF(OFFSET(PLE!$G$14,$M117,BC$13)="",10^12,OFFSET(PLE!$G$14,$M117,BC$13))))</f>
        <v>1000000000000</v>
      </c>
      <c r="BD117" s="182">
        <f ca="1">IF($D117&lt;&gt;"Serviço",0,IF(OR(AND(AUTOEVENTO="Manual",$M117=1),$M117&gt;(ROW(PLE.lastrow)-ROW(PLE.firstrow))),0,IF(OFFSET(PLE!$G$14,$M117,BD$13)="",10^12,OFFSET(PLE!$G$14,$M117,BD$13))))</f>
        <v>1000000000000</v>
      </c>
      <c r="BE117" s="182">
        <f ca="1">IF($D117&lt;&gt;"Serviço",0,IF(OR(AND(AUTOEVENTO="Manual",$M117=1),$M117&gt;(ROW(PLE.lastrow)-ROW(PLE.firstrow))),0,IF(OFFSET(PLE!$G$14,$M117,BE$13)="",10^12,OFFSET(PLE!$G$14,$M117,BE$13))))</f>
        <v>1000000000000</v>
      </c>
      <c r="BF117" s="182">
        <f ca="1">IF($D117&lt;&gt;"Serviço",0,IF(OR(AND(AUTOEVENTO="Manual",$M117=1),$M117&gt;(ROW(PLE.lastrow)-ROW(PLE.firstrow))),0,IF(OFFSET(PLE!$G$14,$M117,BF$13)="",10^12,OFFSET(PLE!$G$14,$M117,BF$13))))</f>
        <v>1000000000000</v>
      </c>
      <c r="BG117" s="182">
        <f ca="1">IF($D117&lt;&gt;"Serviço",0,IF(OR(AND(AUTOEVENTO="Manual",$M117=1),$M117&gt;(ROW(PLE.lastrow)-ROW(PLE.firstrow))),0,IF(OFFSET(PLE!$G$14,$M117,BG$13)="",10^12,OFFSET(PLE!$G$14,$M117,BG$13))))</f>
        <v>1000000000000</v>
      </c>
    </row>
    <row r="118" spans="1:59" ht="25.5" x14ac:dyDescent="0.2">
      <c r="A118" s="7" t="str">
        <f t="shared" ca="1" si="9"/>
        <v>90</v>
      </c>
      <c r="B118" s="7" t="str">
        <f ca="1">OFFSET(ORÇAMENTO!C$15,ROW(B118)-ROW(B$15),0)</f>
        <v>S</v>
      </c>
      <c r="C118" s="7" t="str">
        <f ca="1">OFFSET(ORÇAMENTO!L$15,ROW(C118)-ROW(C$15),0)</f>
        <v/>
      </c>
      <c r="D118" s="118" t="str">
        <f ca="1">OFFSET(ORÇAMENTO!N$15,ROW(D118)-ROW(D$15),0)</f>
        <v>Serviço</v>
      </c>
      <c r="E118" s="119" t="str">
        <f ca="1">OFFSET(ORÇAMENTO!O$15,ROW(E118)-ROW(E$15),0)</f>
        <v>-</v>
      </c>
      <c r="F118" s="172" t="str">
        <f ca="1">OFFSET(ORÇAMENTO!R$15,ROW(F118)-ROW(F$15),0)</f>
        <v>(abra o arquivo 'Referência 02-2025.xlsm)</v>
      </c>
      <c r="G118" s="173" t="str">
        <f ca="1">IF($D118&lt;&gt;"Serviço","",OFFSET(ORÇAMENTO!S$15,ROW(G118)-ROW(G$15),0))</f>
        <v>-</v>
      </c>
      <c r="H118" s="124">
        <f ca="1">IF($D118&lt;&gt;"Serviço",0,IF(ACOMPANHAMENTO="BM",ROUND(OFFSET(ORÇAMENTO!AJ$15,ROW(H118)-ROW(H$15),0),15-13*ORÇAMENTO!$AF$7),SUMPRODUCT(($Q$12:$AA$12&lt;&gt;"")*ROUND($Q118:$AA118,15-13*ORÇAMENTO!$AF$7))))</f>
        <v>71.3</v>
      </c>
      <c r="I118" s="561"/>
      <c r="K118" s="174"/>
      <c r="L118" s="175" t="s">
        <v>255</v>
      </c>
      <c r="M118" s="176">
        <f ca="1">IF($D118&lt;&gt;"Serviço","",IF(AUTOEVENTO="manual",$A118,IF(ISERROR(MATCH($A118,$A$15:OFFSET($A118,-1,0),0)),MAX($M$15:OFFSET(M118,-1,0))+1,INDEX($M$15:OFFSET(M118,-1,0),MATCH($A118,$A$15:OFFSET($A118,-1,0),0)))))</f>
        <v>6</v>
      </c>
      <c r="N118" s="177" t="str">
        <f ca="1">IF($D118&lt;&gt;"Serviço","",IF(AUTOEVENTO="Manual",IF($A118=0,"&lt;-- defina o número do agrupador",OFFSET(EVENTOS!$D$14,$A118,0)),OFFSET($F$15,$A118,0)))</f>
        <v>SISTEMA DE VEDAÇÃO VERTICAL</v>
      </c>
      <c r="O118" s="178"/>
      <c r="Q118" s="178"/>
      <c r="R118" s="179"/>
      <c r="S118" s="179"/>
      <c r="T118" s="179"/>
      <c r="U118" s="179"/>
      <c r="V118" s="179"/>
      <c r="W118" s="179"/>
      <c r="X118" s="179"/>
      <c r="Y118" s="179"/>
      <c r="Z118" s="180"/>
      <c r="AB118" s="544">
        <f ca="1">IF(AND($D118="Serviço",AB$12&lt;&gt;0,$H118&gt;0,OR(AUTOEVENTO&lt;&gt;"manual",$M118&lt;&gt;1)),
IF(Import.TipoArredondamento&lt;&gt;"TransfereGOV",
ROUND(OFFSET($P118,0,AB$13),15-13*ORÇAMENTO!$AF$7)/$H118*OFFSET(ORÇAMENTO!$X$15,ROW(AB118)-ROW(AB$15),0),
ROUND(ROUND(OFFSET($P118,0,AB$13),15-13*ORÇAMENTO!$AF$7)*OFFSET(ORÇAMENTO!$W$15,ROW(AB118)-ROW(AB$15),0),15-13*ORÇAMENTO!$AF$11)),0)</f>
        <v>0</v>
      </c>
      <c r="AC118" s="545">
        <f ca="1">IF(AND($D118="Serviço",AC$12&lt;&gt;0,$H118&gt;0,OR(AUTOEVENTO&lt;&gt;"manual",$M118&lt;&gt;1)),
IF(Import.TipoArredondamento&lt;&gt;"TransfereGOV",
ROUND(OFFSET($P118,0,AC$13),15-13*ORÇAMENTO!$AF$7)/$H118*OFFSET(ORÇAMENTO!$X$15,ROW(AC118)-ROW(AC$15),0),
ROUND(ROUND(OFFSET($P118,0,AC$13),15-13*ORÇAMENTO!$AF$7)*OFFSET(ORÇAMENTO!$W$15,ROW(AC118)-ROW(AC$15),0),15-13*ORÇAMENTO!$AF$11)),0)</f>
        <v>0</v>
      </c>
      <c r="AD118" s="545">
        <f ca="1">IF(AND($D118="Serviço",AD$12&lt;&gt;0,$H118&gt;0,OR(AUTOEVENTO&lt;&gt;"manual",$M118&lt;&gt;1)),
IF(Import.TipoArredondamento&lt;&gt;"TransfereGOV",
ROUND(OFFSET($P118,0,AD$13),15-13*ORÇAMENTO!$AF$7)/$H118*OFFSET(ORÇAMENTO!$X$15,ROW(AD118)-ROW(AD$15),0),
ROUND(ROUND(OFFSET($P118,0,AD$13),15-13*ORÇAMENTO!$AF$7)*OFFSET(ORÇAMENTO!$W$15,ROW(AD118)-ROW(AD$15),0),15-13*ORÇAMENTO!$AF$11)),0)</f>
        <v>0</v>
      </c>
      <c r="AE118" s="545">
        <f ca="1">IF(AND($D118="Serviço",AE$12&lt;&gt;0,$H118&gt;0,OR(AUTOEVENTO&lt;&gt;"manual",$M118&lt;&gt;1)),
IF(Import.TipoArredondamento&lt;&gt;"TransfereGOV",
ROUND(OFFSET($P118,0,AE$13),15-13*ORÇAMENTO!$AF$7)/$H118*OFFSET(ORÇAMENTO!$X$15,ROW(AE118)-ROW(AE$15),0),
ROUND(ROUND(OFFSET($P118,0,AE$13),15-13*ORÇAMENTO!$AF$7)*OFFSET(ORÇAMENTO!$W$15,ROW(AE118)-ROW(AE$15),0),15-13*ORÇAMENTO!$AF$11)),0)</f>
        <v>0</v>
      </c>
      <c r="AF118" s="545">
        <f ca="1">IF(AND($D118="Serviço",AF$12&lt;&gt;0,$H118&gt;0,OR(AUTOEVENTO&lt;&gt;"manual",$M118&lt;&gt;1)),
IF(Import.TipoArredondamento&lt;&gt;"TransfereGOV",
ROUND(OFFSET($P118,0,AF$13),15-13*ORÇAMENTO!$AF$7)/$H118*OFFSET(ORÇAMENTO!$X$15,ROW(AF118)-ROW(AF$15),0),
ROUND(ROUND(OFFSET($P118,0,AF$13),15-13*ORÇAMENTO!$AF$7)*OFFSET(ORÇAMENTO!$W$15,ROW(AF118)-ROW(AF$15),0),15-13*ORÇAMENTO!$AF$11)),0)</f>
        <v>0</v>
      </c>
      <c r="AG118" s="545">
        <f ca="1">IF(AND($D118="Serviço",AG$12&lt;&gt;0,$H118&gt;0,OR(AUTOEVENTO&lt;&gt;"manual",$M118&lt;&gt;1)),
IF(Import.TipoArredondamento&lt;&gt;"TransfereGOV",
ROUND(OFFSET($P118,0,AG$13),15-13*ORÇAMENTO!$AF$7)/$H118*OFFSET(ORÇAMENTO!$X$15,ROW(AG118)-ROW(AG$15),0),
ROUND(ROUND(OFFSET($P118,0,AG$13),15-13*ORÇAMENTO!$AF$7)*OFFSET(ORÇAMENTO!$W$15,ROW(AG118)-ROW(AG$15),0),15-13*ORÇAMENTO!$AF$11)),0)</f>
        <v>0</v>
      </c>
      <c r="AH118" s="545">
        <f ca="1">IF(AND($D118="Serviço",AH$12&lt;&gt;0,$H118&gt;0,OR(AUTOEVENTO&lt;&gt;"manual",$M118&lt;&gt;1)),
IF(Import.TipoArredondamento&lt;&gt;"TransfereGOV",
ROUND(OFFSET($P118,0,AH$13),15-13*ORÇAMENTO!$AF$7)/$H118*OFFSET(ORÇAMENTO!$X$15,ROW(AH118)-ROW(AH$15),0),
ROUND(ROUND(OFFSET($P118,0,AH$13),15-13*ORÇAMENTO!$AF$7)*OFFSET(ORÇAMENTO!$W$15,ROW(AH118)-ROW(AH$15),0),15-13*ORÇAMENTO!$AF$11)),0)</f>
        <v>0</v>
      </c>
      <c r="AI118" s="545">
        <f ca="1">IF(AND($D118="Serviço",AI$12&lt;&gt;0,$H118&gt;0,OR(AUTOEVENTO&lt;&gt;"manual",$M118&lt;&gt;1)),
IF(Import.TipoArredondamento&lt;&gt;"TransfereGOV",
ROUND(OFFSET($P118,0,AI$13),15-13*ORÇAMENTO!$AF$7)/$H118*OFFSET(ORÇAMENTO!$X$15,ROW(AI118)-ROW(AI$15),0),
ROUND(ROUND(OFFSET($P118,0,AI$13),15-13*ORÇAMENTO!$AF$7)*OFFSET(ORÇAMENTO!$W$15,ROW(AI118)-ROW(AI$15),0),15-13*ORÇAMENTO!$AF$11)),0)</f>
        <v>0</v>
      </c>
      <c r="AJ118" s="545">
        <f ca="1">IF(AND($D118="Serviço",AJ$12&lt;&gt;0,$H118&gt;0,OR(AUTOEVENTO&lt;&gt;"manual",$M118&lt;&gt;1)),
IF(Import.TipoArredondamento&lt;&gt;"TransfereGOV",
ROUND(OFFSET($P118,0,AJ$13),15-13*ORÇAMENTO!$AF$7)/$H118*OFFSET(ORÇAMENTO!$X$15,ROW(AJ118)-ROW(AJ$15),0),
ROUND(ROUND(OFFSET($P118,0,AJ$13),15-13*ORÇAMENTO!$AF$7)*OFFSET(ORÇAMENTO!$W$15,ROW(AJ118)-ROW(AJ$15),0),15-13*ORÇAMENTO!$AF$11)),0)</f>
        <v>0</v>
      </c>
      <c r="AK118" s="546">
        <f ca="1">IF(AND($D118="Serviço",AK$12&lt;&gt;0,$H118&gt;0,OR(AUTOEVENTO&lt;&gt;"manual",$M118&lt;&gt;1)),
IF(Import.TipoArredondamento&lt;&gt;"TransfereGOV",
ROUND(OFFSET($P118,0,AK$13),15-13*ORÇAMENTO!$AF$7)/$H118*OFFSET(ORÇAMENTO!$X$15,ROW(AK118)-ROW(AK$15),0),
ROUND(ROUND(OFFSET($P118,0,AK$13),15-13*ORÇAMENTO!$AF$7)*OFFSET(ORÇAMENTO!$W$15,ROW(AK118)-ROW(AK$15),0),15-13*ORÇAMENTO!$AF$11)),0)</f>
        <v>0</v>
      </c>
      <c r="AM118" s="181">
        <f ca="1">IF($D118&lt;&gt;"Serviço",0,IF(AND(AUTOEVENTO="Manual",$M118=1),0,IF(OFFSET(CRONOPLE!$F$14,$M118,AM$13)="",10^12,OFFSET(CRONOPLE!$F$14,$M118,AM$13))))</f>
        <v>1000000000000</v>
      </c>
      <c r="AN118" s="181">
        <f ca="1">IF($D118&lt;&gt;"Serviço",0,IF(AND(AUTOEVENTO="Manual",$M118=1),0,IF(OFFSET(CRONOPLE!$F$14,$M118,AN$13)="",10^12,OFFSET(CRONOPLE!$F$14,$M118,AN$13))))</f>
        <v>1000000000000</v>
      </c>
      <c r="AO118" s="181">
        <f ca="1">IF($D118&lt;&gt;"Serviço",0,IF(AND(AUTOEVENTO="Manual",$M118=1),0,IF(OFFSET(CRONOPLE!$F$14,$M118,AO$13)="",10^12,OFFSET(CRONOPLE!$F$14,$M118,AO$13))))</f>
        <v>1000000000000</v>
      </c>
      <c r="AP118" s="181">
        <f ca="1">IF($D118&lt;&gt;"Serviço",0,IF(AND(AUTOEVENTO="Manual",$M118=1),0,IF(OFFSET(CRONOPLE!$F$14,$M118,AP$13)="",10^12,OFFSET(CRONOPLE!$F$14,$M118,AP$13))))</f>
        <v>1000000000000</v>
      </c>
      <c r="AQ118" s="181">
        <f ca="1">IF($D118&lt;&gt;"Serviço",0,IF(AND(AUTOEVENTO="Manual",$M118=1),0,IF(OFFSET(CRONOPLE!$F$14,$M118,AQ$13)="",10^12,OFFSET(CRONOPLE!$F$14,$M118,AQ$13))))</f>
        <v>1000000000000</v>
      </c>
      <c r="AR118" s="181">
        <f ca="1">IF($D118&lt;&gt;"Serviço",0,IF(AND(AUTOEVENTO="Manual",$M118=1),0,IF(OFFSET(CRONOPLE!$F$14,$M118,AR$13)="",10^12,OFFSET(CRONOPLE!$F$14,$M118,AR$13))))</f>
        <v>1000000000000</v>
      </c>
      <c r="AS118" s="181">
        <f ca="1">IF($D118&lt;&gt;"Serviço",0,IF(AND(AUTOEVENTO="Manual",$M118=1),0,IF(OFFSET(CRONOPLE!$F$14,$M118,AS$13)="",10^12,OFFSET(CRONOPLE!$F$14,$M118,AS$13))))</f>
        <v>1000000000000</v>
      </c>
      <c r="AT118" s="181">
        <f ca="1">IF($D118&lt;&gt;"Serviço",0,IF(AND(AUTOEVENTO="Manual",$M118=1),0,IF(OFFSET(CRONOPLE!$F$14,$M118,AT$13)="",10^12,OFFSET(CRONOPLE!$F$14,$M118,AT$13))))</f>
        <v>1000000000000</v>
      </c>
      <c r="AU118" s="181">
        <f ca="1">IF($D118&lt;&gt;"Serviço",0,IF(AND(AUTOEVENTO="Manual",$M118=1),0,IF(OFFSET(CRONOPLE!$F$14,$M118,AU$13)="",10^12,OFFSET(CRONOPLE!$F$14,$M118,AU$13))))</f>
        <v>1000000000000</v>
      </c>
      <c r="AV118" s="181">
        <f ca="1">IF($D118&lt;&gt;"Serviço",0,IF(AND(AUTOEVENTO="Manual",$M118=1),0,IF(OFFSET(CRONOPLE!$F$14,$M118,AV$13)="",10^12,OFFSET(CRONOPLE!$F$14,$M118,AV$13))))</f>
        <v>1000000000000</v>
      </c>
      <c r="AX118" s="182">
        <f ca="1">IF($D118&lt;&gt;"Serviço",0,IF(OR(AND(AUTOEVENTO="Manual",$M118=1),$M118&gt;(ROW(PLE.lastrow)-ROW(PLE.firstrow))),0,IF(OFFSET(PLE!$G$14,$M118,AX$13)="",10^12,OFFSET(PLE!$G$14,$M118,AX$13))))</f>
        <v>1000000000000</v>
      </c>
      <c r="AY118" s="182">
        <f ca="1">IF($D118&lt;&gt;"Serviço",0,IF(OR(AND(AUTOEVENTO="Manual",$M118=1),$M118&gt;(ROW(PLE.lastrow)-ROW(PLE.firstrow))),0,IF(OFFSET(PLE!$G$14,$M118,AY$13)="",10^12,OFFSET(PLE!$G$14,$M118,AY$13))))</f>
        <v>1000000000000</v>
      </c>
      <c r="AZ118" s="182">
        <f ca="1">IF($D118&lt;&gt;"Serviço",0,IF(OR(AND(AUTOEVENTO="Manual",$M118=1),$M118&gt;(ROW(PLE.lastrow)-ROW(PLE.firstrow))),0,IF(OFFSET(PLE!$G$14,$M118,AZ$13)="",10^12,OFFSET(PLE!$G$14,$M118,AZ$13))))</f>
        <v>1000000000000</v>
      </c>
      <c r="BA118" s="182">
        <f ca="1">IF($D118&lt;&gt;"Serviço",0,IF(OR(AND(AUTOEVENTO="Manual",$M118=1),$M118&gt;(ROW(PLE.lastrow)-ROW(PLE.firstrow))),0,IF(OFFSET(PLE!$G$14,$M118,BA$13)="",10^12,OFFSET(PLE!$G$14,$M118,BA$13))))</f>
        <v>1000000000000</v>
      </c>
      <c r="BB118" s="182">
        <f ca="1">IF($D118&lt;&gt;"Serviço",0,IF(OR(AND(AUTOEVENTO="Manual",$M118=1),$M118&gt;(ROW(PLE.lastrow)-ROW(PLE.firstrow))),0,IF(OFFSET(PLE!$G$14,$M118,BB$13)="",10^12,OFFSET(PLE!$G$14,$M118,BB$13))))</f>
        <v>1000000000000</v>
      </c>
      <c r="BC118" s="182">
        <f ca="1">IF($D118&lt;&gt;"Serviço",0,IF(OR(AND(AUTOEVENTO="Manual",$M118=1),$M118&gt;(ROW(PLE.lastrow)-ROW(PLE.firstrow))),0,IF(OFFSET(PLE!$G$14,$M118,BC$13)="",10^12,OFFSET(PLE!$G$14,$M118,BC$13))))</f>
        <v>1000000000000</v>
      </c>
      <c r="BD118" s="182">
        <f ca="1">IF($D118&lt;&gt;"Serviço",0,IF(OR(AND(AUTOEVENTO="Manual",$M118=1),$M118&gt;(ROW(PLE.lastrow)-ROW(PLE.firstrow))),0,IF(OFFSET(PLE!$G$14,$M118,BD$13)="",10^12,OFFSET(PLE!$G$14,$M118,BD$13))))</f>
        <v>1000000000000</v>
      </c>
      <c r="BE118" s="182">
        <f ca="1">IF($D118&lt;&gt;"Serviço",0,IF(OR(AND(AUTOEVENTO="Manual",$M118=1),$M118&gt;(ROW(PLE.lastrow)-ROW(PLE.firstrow))),0,IF(OFFSET(PLE!$G$14,$M118,BE$13)="",10^12,OFFSET(PLE!$G$14,$M118,BE$13))))</f>
        <v>1000000000000</v>
      </c>
      <c r="BF118" s="182">
        <f ca="1">IF($D118&lt;&gt;"Serviço",0,IF(OR(AND(AUTOEVENTO="Manual",$M118=1),$M118&gt;(ROW(PLE.lastrow)-ROW(PLE.firstrow))),0,IF(OFFSET(PLE!$G$14,$M118,BF$13)="",10^12,OFFSET(PLE!$G$14,$M118,BF$13))))</f>
        <v>1000000000000</v>
      </c>
      <c r="BG118" s="182">
        <f ca="1">IF($D118&lt;&gt;"Serviço",0,IF(OR(AND(AUTOEVENTO="Manual",$M118=1),$M118&gt;(ROW(PLE.lastrow)-ROW(PLE.firstrow))),0,IF(OFFSET(PLE!$G$14,$M118,BG$13)="",10^12,OFFSET(PLE!$G$14,$M118,BG$13))))</f>
        <v>1000000000000</v>
      </c>
    </row>
    <row r="119" spans="1:59" ht="12.75" x14ac:dyDescent="0.2">
      <c r="A119" s="7" t="str">
        <f t="shared" ca="1" si="9"/>
        <v>90</v>
      </c>
      <c r="B119" s="7">
        <f ca="1">OFFSET(ORÇAMENTO!C$15,ROW(B119)-ROW(B$15),0)</f>
        <v>3</v>
      </c>
      <c r="C119" s="7" t="str">
        <f ca="1">OFFSET(ORÇAMENTO!L$15,ROW(C119)-ROW(C$15),0)</f>
        <v>F</v>
      </c>
      <c r="D119" s="118" t="str">
        <f ca="1">OFFSET(ORÇAMENTO!N$15,ROW(D119)-ROW(D$15),0)</f>
        <v>Nível 3</v>
      </c>
      <c r="E119" s="119" t="str">
        <f ca="1">OFFSET(ORÇAMENTO!O$15,ROW(E119)-ROW(E$15),0)</f>
        <v>1.5.4.</v>
      </c>
      <c r="F119" s="172" t="str">
        <f ca="1">OFFSET(ORÇAMENTO!R$15,ROW(F119)-ROW(F$15),0)</f>
        <v>DIVISÓRIAS</v>
      </c>
      <c r="G119" s="173" t="str">
        <f ca="1">IF($D119&lt;&gt;"Serviço","",OFFSET(ORÇAMENTO!S$15,ROW(G119)-ROW(G$15),0))</f>
        <v/>
      </c>
      <c r="H119" s="124">
        <f ca="1">IF($D119&lt;&gt;"Serviço",0,IF(ACOMPANHAMENTO="BM",ROUND(OFFSET(ORÇAMENTO!AJ$15,ROW(H119)-ROW(H$15),0),15-13*ORÇAMENTO!$AF$7),SUMPRODUCT(($Q$12:$AA$12&lt;&gt;"")*ROUND($Q119:$AA119,15-13*ORÇAMENTO!$AF$7))))</f>
        <v>0</v>
      </c>
      <c r="I119" s="561"/>
      <c r="K119" s="174"/>
      <c r="L119" s="175" t="s">
        <v>255</v>
      </c>
      <c r="M119" s="176" t="str">
        <f ca="1">IF($D119&lt;&gt;"Serviço","",IF(AUTOEVENTO="manual",$A119,IF(ISERROR(MATCH($A119,$A$15:OFFSET($A119,-1,0),0)),MAX($M$15:OFFSET(M119,-1,0))+1,INDEX($M$15:OFFSET(M119,-1,0),MATCH($A119,$A$15:OFFSET($A119,-1,0),0)))))</f>
        <v/>
      </c>
      <c r="N119" s="177" t="str">
        <f ca="1">IF($D119&lt;&gt;"Serviço","",IF(AUTOEVENTO="Manual",IF($A119=0,"&lt;-- defina o número do agrupador",OFFSET(EVENTOS!$D$14,$A119,0)),OFFSET($F$15,$A119,0)))</f>
        <v/>
      </c>
      <c r="O119" s="178"/>
      <c r="Q119" s="178"/>
      <c r="R119" s="179"/>
      <c r="S119" s="179"/>
      <c r="T119" s="179"/>
      <c r="U119" s="179"/>
      <c r="V119" s="179"/>
      <c r="W119" s="179"/>
      <c r="X119" s="179"/>
      <c r="Y119" s="179"/>
      <c r="Z119" s="180"/>
      <c r="AB119" s="544">
        <f ca="1">IF(AND($D119="Serviço",AB$12&lt;&gt;0,$H119&gt;0,OR(AUTOEVENTO&lt;&gt;"manual",$M119&lt;&gt;1)),
IF(Import.TipoArredondamento&lt;&gt;"TransfereGOV",
ROUND(OFFSET($P119,0,AB$13),15-13*ORÇAMENTO!$AF$7)/$H119*OFFSET(ORÇAMENTO!$X$15,ROW(AB119)-ROW(AB$15),0),
ROUND(ROUND(OFFSET($P119,0,AB$13),15-13*ORÇAMENTO!$AF$7)*OFFSET(ORÇAMENTO!$W$15,ROW(AB119)-ROW(AB$15),0),15-13*ORÇAMENTO!$AF$11)),0)</f>
        <v>0</v>
      </c>
      <c r="AC119" s="545">
        <f ca="1">IF(AND($D119="Serviço",AC$12&lt;&gt;0,$H119&gt;0,OR(AUTOEVENTO&lt;&gt;"manual",$M119&lt;&gt;1)),
IF(Import.TipoArredondamento&lt;&gt;"TransfereGOV",
ROUND(OFFSET($P119,0,AC$13),15-13*ORÇAMENTO!$AF$7)/$H119*OFFSET(ORÇAMENTO!$X$15,ROW(AC119)-ROW(AC$15),0),
ROUND(ROUND(OFFSET($P119,0,AC$13),15-13*ORÇAMENTO!$AF$7)*OFFSET(ORÇAMENTO!$W$15,ROW(AC119)-ROW(AC$15),0),15-13*ORÇAMENTO!$AF$11)),0)</f>
        <v>0</v>
      </c>
      <c r="AD119" s="545">
        <f ca="1">IF(AND($D119="Serviço",AD$12&lt;&gt;0,$H119&gt;0,OR(AUTOEVENTO&lt;&gt;"manual",$M119&lt;&gt;1)),
IF(Import.TipoArredondamento&lt;&gt;"TransfereGOV",
ROUND(OFFSET($P119,0,AD$13),15-13*ORÇAMENTO!$AF$7)/$H119*OFFSET(ORÇAMENTO!$X$15,ROW(AD119)-ROW(AD$15),0),
ROUND(ROUND(OFFSET($P119,0,AD$13),15-13*ORÇAMENTO!$AF$7)*OFFSET(ORÇAMENTO!$W$15,ROW(AD119)-ROW(AD$15),0),15-13*ORÇAMENTO!$AF$11)),0)</f>
        <v>0</v>
      </c>
      <c r="AE119" s="545">
        <f ca="1">IF(AND($D119="Serviço",AE$12&lt;&gt;0,$H119&gt;0,OR(AUTOEVENTO&lt;&gt;"manual",$M119&lt;&gt;1)),
IF(Import.TipoArredondamento&lt;&gt;"TransfereGOV",
ROUND(OFFSET($P119,0,AE$13),15-13*ORÇAMENTO!$AF$7)/$H119*OFFSET(ORÇAMENTO!$X$15,ROW(AE119)-ROW(AE$15),0),
ROUND(ROUND(OFFSET($P119,0,AE$13),15-13*ORÇAMENTO!$AF$7)*OFFSET(ORÇAMENTO!$W$15,ROW(AE119)-ROW(AE$15),0),15-13*ORÇAMENTO!$AF$11)),0)</f>
        <v>0</v>
      </c>
      <c r="AF119" s="545">
        <f ca="1">IF(AND($D119="Serviço",AF$12&lt;&gt;0,$H119&gt;0,OR(AUTOEVENTO&lt;&gt;"manual",$M119&lt;&gt;1)),
IF(Import.TipoArredondamento&lt;&gt;"TransfereGOV",
ROUND(OFFSET($P119,0,AF$13),15-13*ORÇAMENTO!$AF$7)/$H119*OFFSET(ORÇAMENTO!$X$15,ROW(AF119)-ROW(AF$15),0),
ROUND(ROUND(OFFSET($P119,0,AF$13),15-13*ORÇAMENTO!$AF$7)*OFFSET(ORÇAMENTO!$W$15,ROW(AF119)-ROW(AF$15),0),15-13*ORÇAMENTO!$AF$11)),0)</f>
        <v>0</v>
      </c>
      <c r="AG119" s="545">
        <f ca="1">IF(AND($D119="Serviço",AG$12&lt;&gt;0,$H119&gt;0,OR(AUTOEVENTO&lt;&gt;"manual",$M119&lt;&gt;1)),
IF(Import.TipoArredondamento&lt;&gt;"TransfereGOV",
ROUND(OFFSET($P119,0,AG$13),15-13*ORÇAMENTO!$AF$7)/$H119*OFFSET(ORÇAMENTO!$X$15,ROW(AG119)-ROW(AG$15),0),
ROUND(ROUND(OFFSET($P119,0,AG$13),15-13*ORÇAMENTO!$AF$7)*OFFSET(ORÇAMENTO!$W$15,ROW(AG119)-ROW(AG$15),0),15-13*ORÇAMENTO!$AF$11)),0)</f>
        <v>0</v>
      </c>
      <c r="AH119" s="545">
        <f ca="1">IF(AND($D119="Serviço",AH$12&lt;&gt;0,$H119&gt;0,OR(AUTOEVENTO&lt;&gt;"manual",$M119&lt;&gt;1)),
IF(Import.TipoArredondamento&lt;&gt;"TransfereGOV",
ROUND(OFFSET($P119,0,AH$13),15-13*ORÇAMENTO!$AF$7)/$H119*OFFSET(ORÇAMENTO!$X$15,ROW(AH119)-ROW(AH$15),0),
ROUND(ROUND(OFFSET($P119,0,AH$13),15-13*ORÇAMENTO!$AF$7)*OFFSET(ORÇAMENTO!$W$15,ROW(AH119)-ROW(AH$15),0),15-13*ORÇAMENTO!$AF$11)),0)</f>
        <v>0</v>
      </c>
      <c r="AI119" s="545">
        <f ca="1">IF(AND($D119="Serviço",AI$12&lt;&gt;0,$H119&gt;0,OR(AUTOEVENTO&lt;&gt;"manual",$M119&lt;&gt;1)),
IF(Import.TipoArredondamento&lt;&gt;"TransfereGOV",
ROUND(OFFSET($P119,0,AI$13),15-13*ORÇAMENTO!$AF$7)/$H119*OFFSET(ORÇAMENTO!$X$15,ROW(AI119)-ROW(AI$15),0),
ROUND(ROUND(OFFSET($P119,0,AI$13),15-13*ORÇAMENTO!$AF$7)*OFFSET(ORÇAMENTO!$W$15,ROW(AI119)-ROW(AI$15),0),15-13*ORÇAMENTO!$AF$11)),0)</f>
        <v>0</v>
      </c>
      <c r="AJ119" s="545">
        <f ca="1">IF(AND($D119="Serviço",AJ$12&lt;&gt;0,$H119&gt;0,OR(AUTOEVENTO&lt;&gt;"manual",$M119&lt;&gt;1)),
IF(Import.TipoArredondamento&lt;&gt;"TransfereGOV",
ROUND(OFFSET($P119,0,AJ$13),15-13*ORÇAMENTO!$AF$7)/$H119*OFFSET(ORÇAMENTO!$X$15,ROW(AJ119)-ROW(AJ$15),0),
ROUND(ROUND(OFFSET($P119,0,AJ$13),15-13*ORÇAMENTO!$AF$7)*OFFSET(ORÇAMENTO!$W$15,ROW(AJ119)-ROW(AJ$15),0),15-13*ORÇAMENTO!$AF$11)),0)</f>
        <v>0</v>
      </c>
      <c r="AK119" s="546">
        <f ca="1">IF(AND($D119="Serviço",AK$12&lt;&gt;0,$H119&gt;0,OR(AUTOEVENTO&lt;&gt;"manual",$M119&lt;&gt;1)),
IF(Import.TipoArredondamento&lt;&gt;"TransfereGOV",
ROUND(OFFSET($P119,0,AK$13),15-13*ORÇAMENTO!$AF$7)/$H119*OFFSET(ORÇAMENTO!$X$15,ROW(AK119)-ROW(AK$15),0),
ROUND(ROUND(OFFSET($P119,0,AK$13),15-13*ORÇAMENTO!$AF$7)*OFFSET(ORÇAMENTO!$W$15,ROW(AK119)-ROW(AK$15),0),15-13*ORÇAMENTO!$AF$11)),0)</f>
        <v>0</v>
      </c>
      <c r="AM119" s="181">
        <f ca="1">IF($D119&lt;&gt;"Serviço",0,IF(AND(AUTOEVENTO="Manual",$M119=1),0,IF(OFFSET(CRONOPLE!$F$14,$M119,AM$13)="",10^12,OFFSET(CRONOPLE!$F$14,$M119,AM$13))))</f>
        <v>0</v>
      </c>
      <c r="AN119" s="181">
        <f ca="1">IF($D119&lt;&gt;"Serviço",0,IF(AND(AUTOEVENTO="Manual",$M119=1),0,IF(OFFSET(CRONOPLE!$F$14,$M119,AN$13)="",10^12,OFFSET(CRONOPLE!$F$14,$M119,AN$13))))</f>
        <v>0</v>
      </c>
      <c r="AO119" s="181">
        <f ca="1">IF($D119&lt;&gt;"Serviço",0,IF(AND(AUTOEVENTO="Manual",$M119=1),0,IF(OFFSET(CRONOPLE!$F$14,$M119,AO$13)="",10^12,OFFSET(CRONOPLE!$F$14,$M119,AO$13))))</f>
        <v>0</v>
      </c>
      <c r="AP119" s="181">
        <f ca="1">IF($D119&lt;&gt;"Serviço",0,IF(AND(AUTOEVENTO="Manual",$M119=1),0,IF(OFFSET(CRONOPLE!$F$14,$M119,AP$13)="",10^12,OFFSET(CRONOPLE!$F$14,$M119,AP$13))))</f>
        <v>0</v>
      </c>
      <c r="AQ119" s="181">
        <f ca="1">IF($D119&lt;&gt;"Serviço",0,IF(AND(AUTOEVENTO="Manual",$M119=1),0,IF(OFFSET(CRONOPLE!$F$14,$M119,AQ$13)="",10^12,OFFSET(CRONOPLE!$F$14,$M119,AQ$13))))</f>
        <v>0</v>
      </c>
      <c r="AR119" s="181">
        <f ca="1">IF($D119&lt;&gt;"Serviço",0,IF(AND(AUTOEVENTO="Manual",$M119=1),0,IF(OFFSET(CRONOPLE!$F$14,$M119,AR$13)="",10^12,OFFSET(CRONOPLE!$F$14,$M119,AR$13))))</f>
        <v>0</v>
      </c>
      <c r="AS119" s="181">
        <f ca="1">IF($D119&lt;&gt;"Serviço",0,IF(AND(AUTOEVENTO="Manual",$M119=1),0,IF(OFFSET(CRONOPLE!$F$14,$M119,AS$13)="",10^12,OFFSET(CRONOPLE!$F$14,$M119,AS$13))))</f>
        <v>0</v>
      </c>
      <c r="AT119" s="181">
        <f ca="1">IF($D119&lt;&gt;"Serviço",0,IF(AND(AUTOEVENTO="Manual",$M119=1),0,IF(OFFSET(CRONOPLE!$F$14,$M119,AT$13)="",10^12,OFFSET(CRONOPLE!$F$14,$M119,AT$13))))</f>
        <v>0</v>
      </c>
      <c r="AU119" s="181">
        <f ca="1">IF($D119&lt;&gt;"Serviço",0,IF(AND(AUTOEVENTO="Manual",$M119=1),0,IF(OFFSET(CRONOPLE!$F$14,$M119,AU$13)="",10^12,OFFSET(CRONOPLE!$F$14,$M119,AU$13))))</f>
        <v>0</v>
      </c>
      <c r="AV119" s="181">
        <f ca="1">IF($D119&lt;&gt;"Serviço",0,IF(AND(AUTOEVENTO="Manual",$M119=1),0,IF(OFFSET(CRONOPLE!$F$14,$M119,AV$13)="",10^12,OFFSET(CRONOPLE!$F$14,$M119,AV$13))))</f>
        <v>0</v>
      </c>
      <c r="AX119" s="182">
        <f ca="1">IF($D119&lt;&gt;"Serviço",0,IF(OR(AND(AUTOEVENTO="Manual",$M119=1),$M119&gt;(ROW(PLE.lastrow)-ROW(PLE.firstrow))),0,IF(OFFSET(PLE!$G$14,$M119,AX$13)="",10^12,OFFSET(PLE!$G$14,$M119,AX$13))))</f>
        <v>0</v>
      </c>
      <c r="AY119" s="182">
        <f ca="1">IF($D119&lt;&gt;"Serviço",0,IF(OR(AND(AUTOEVENTO="Manual",$M119=1),$M119&gt;(ROW(PLE.lastrow)-ROW(PLE.firstrow))),0,IF(OFFSET(PLE!$G$14,$M119,AY$13)="",10^12,OFFSET(PLE!$G$14,$M119,AY$13))))</f>
        <v>0</v>
      </c>
      <c r="AZ119" s="182">
        <f ca="1">IF($D119&lt;&gt;"Serviço",0,IF(OR(AND(AUTOEVENTO="Manual",$M119=1),$M119&gt;(ROW(PLE.lastrow)-ROW(PLE.firstrow))),0,IF(OFFSET(PLE!$G$14,$M119,AZ$13)="",10^12,OFFSET(PLE!$G$14,$M119,AZ$13))))</f>
        <v>0</v>
      </c>
      <c r="BA119" s="182">
        <f ca="1">IF($D119&lt;&gt;"Serviço",0,IF(OR(AND(AUTOEVENTO="Manual",$M119=1),$M119&gt;(ROW(PLE.lastrow)-ROW(PLE.firstrow))),0,IF(OFFSET(PLE!$G$14,$M119,BA$13)="",10^12,OFFSET(PLE!$G$14,$M119,BA$13))))</f>
        <v>0</v>
      </c>
      <c r="BB119" s="182">
        <f ca="1">IF($D119&lt;&gt;"Serviço",0,IF(OR(AND(AUTOEVENTO="Manual",$M119=1),$M119&gt;(ROW(PLE.lastrow)-ROW(PLE.firstrow))),0,IF(OFFSET(PLE!$G$14,$M119,BB$13)="",10^12,OFFSET(PLE!$G$14,$M119,BB$13))))</f>
        <v>0</v>
      </c>
      <c r="BC119" s="182">
        <f ca="1">IF($D119&lt;&gt;"Serviço",0,IF(OR(AND(AUTOEVENTO="Manual",$M119=1),$M119&gt;(ROW(PLE.lastrow)-ROW(PLE.firstrow))),0,IF(OFFSET(PLE!$G$14,$M119,BC$13)="",10^12,OFFSET(PLE!$G$14,$M119,BC$13))))</f>
        <v>0</v>
      </c>
      <c r="BD119" s="182">
        <f ca="1">IF($D119&lt;&gt;"Serviço",0,IF(OR(AND(AUTOEVENTO="Manual",$M119=1),$M119&gt;(ROW(PLE.lastrow)-ROW(PLE.firstrow))),0,IF(OFFSET(PLE!$G$14,$M119,BD$13)="",10^12,OFFSET(PLE!$G$14,$M119,BD$13))))</f>
        <v>0</v>
      </c>
      <c r="BE119" s="182">
        <f ca="1">IF($D119&lt;&gt;"Serviço",0,IF(OR(AND(AUTOEVENTO="Manual",$M119=1),$M119&gt;(ROW(PLE.lastrow)-ROW(PLE.firstrow))),0,IF(OFFSET(PLE!$G$14,$M119,BE$13)="",10^12,OFFSET(PLE!$G$14,$M119,BE$13))))</f>
        <v>0</v>
      </c>
      <c r="BF119" s="182">
        <f ca="1">IF($D119&lt;&gt;"Serviço",0,IF(OR(AND(AUTOEVENTO="Manual",$M119=1),$M119&gt;(ROW(PLE.lastrow)-ROW(PLE.firstrow))),0,IF(OFFSET(PLE!$G$14,$M119,BF$13)="",10^12,OFFSET(PLE!$G$14,$M119,BF$13))))</f>
        <v>0</v>
      </c>
      <c r="BG119" s="182">
        <f ca="1">IF($D119&lt;&gt;"Serviço",0,IF(OR(AND(AUTOEVENTO="Manual",$M119=1),$M119&gt;(ROW(PLE.lastrow)-ROW(PLE.firstrow))),0,IF(OFFSET(PLE!$G$14,$M119,BG$13)="",10^12,OFFSET(PLE!$G$14,$M119,BG$13))))</f>
        <v>0</v>
      </c>
    </row>
    <row r="120" spans="1:59" ht="38.25" x14ac:dyDescent="0.2">
      <c r="A120" s="7" t="str">
        <f t="shared" ca="1" si="9"/>
        <v>90</v>
      </c>
      <c r="B120" s="7" t="str">
        <f ca="1">OFFSET(ORÇAMENTO!C$15,ROW(B120)-ROW(B$15),0)</f>
        <v>S</v>
      </c>
      <c r="C120" s="7" t="str">
        <f ca="1">OFFSET(ORÇAMENTO!L$15,ROW(C120)-ROW(C$15),0)</f>
        <v/>
      </c>
      <c r="D120" s="118" t="str">
        <f ca="1">OFFSET(ORÇAMENTO!N$15,ROW(D120)-ROW(D$15),0)</f>
        <v>Serviço</v>
      </c>
      <c r="E120" s="119" t="str">
        <f ca="1">OFFSET(ORÇAMENTO!O$15,ROW(E120)-ROW(E$15),0)</f>
        <v>-</v>
      </c>
      <c r="F120" s="172" t="str">
        <f ca="1">OFFSET(ORÇAMENTO!R$15,ROW(F120)-ROW(F$15),0)</f>
        <v>(abra o arquivo 'Referência 02-2025.xlsm)</v>
      </c>
      <c r="G120" s="173" t="str">
        <f ca="1">IF($D120&lt;&gt;"Serviço","",OFFSET(ORÇAMENTO!S$15,ROW(G120)-ROW(G$15),0))</f>
        <v>-</v>
      </c>
      <c r="H120" s="124">
        <f ca="1">IF($D120&lt;&gt;"Serviço",0,IF(ACOMPANHAMENTO="BM",ROUND(OFFSET(ORÇAMENTO!AJ$15,ROW(H120)-ROW(H$15),0),15-13*ORÇAMENTO!$AF$7),SUMPRODUCT(($Q$12:$AA$12&lt;&gt;"")*ROUND($Q120:$AA120,15-13*ORÇAMENTO!$AF$7))))</f>
        <v>14.36</v>
      </c>
      <c r="I120" s="561" t="s">
        <v>890</v>
      </c>
      <c r="K120" s="174"/>
      <c r="L120" s="175" t="s">
        <v>255</v>
      </c>
      <c r="M120" s="176">
        <f ca="1">IF($D120&lt;&gt;"Serviço","",IF(AUTOEVENTO="manual",$A120,IF(ISERROR(MATCH($A120,$A$15:OFFSET($A120,-1,0),0)),MAX($M$15:OFFSET(M120,-1,0))+1,INDEX($M$15:OFFSET(M120,-1,0),MATCH($A120,$A$15:OFFSET($A120,-1,0),0)))))</f>
        <v>6</v>
      </c>
      <c r="N120" s="177" t="str">
        <f ca="1">IF($D120&lt;&gt;"Serviço","",IF(AUTOEVENTO="Manual",IF($A120=0,"&lt;-- defina o número do agrupador",OFFSET(EVENTOS!$D$14,$A120,0)),OFFSET($F$15,$A120,0)))</f>
        <v>SISTEMA DE VEDAÇÃO VERTICAL</v>
      </c>
      <c r="O120" s="178"/>
      <c r="Q120" s="178"/>
      <c r="R120" s="179"/>
      <c r="S120" s="179"/>
      <c r="T120" s="179"/>
      <c r="U120" s="179"/>
      <c r="V120" s="179"/>
      <c r="W120" s="179"/>
      <c r="X120" s="179"/>
      <c r="Y120" s="179"/>
      <c r="Z120" s="180"/>
      <c r="AB120" s="544">
        <f ca="1">IF(AND($D120="Serviço",AB$12&lt;&gt;0,$H120&gt;0,OR(AUTOEVENTO&lt;&gt;"manual",$M120&lt;&gt;1)),
IF(Import.TipoArredondamento&lt;&gt;"TransfereGOV",
ROUND(OFFSET($P120,0,AB$13),15-13*ORÇAMENTO!$AF$7)/$H120*OFFSET(ORÇAMENTO!$X$15,ROW(AB120)-ROW(AB$15),0),
ROUND(ROUND(OFFSET($P120,0,AB$13),15-13*ORÇAMENTO!$AF$7)*OFFSET(ORÇAMENTO!$W$15,ROW(AB120)-ROW(AB$15),0),15-13*ORÇAMENTO!$AF$11)),0)</f>
        <v>0</v>
      </c>
      <c r="AC120" s="545">
        <f ca="1">IF(AND($D120="Serviço",AC$12&lt;&gt;0,$H120&gt;0,OR(AUTOEVENTO&lt;&gt;"manual",$M120&lt;&gt;1)),
IF(Import.TipoArredondamento&lt;&gt;"TransfereGOV",
ROUND(OFFSET($P120,0,AC$13),15-13*ORÇAMENTO!$AF$7)/$H120*OFFSET(ORÇAMENTO!$X$15,ROW(AC120)-ROW(AC$15),0),
ROUND(ROUND(OFFSET($P120,0,AC$13),15-13*ORÇAMENTO!$AF$7)*OFFSET(ORÇAMENTO!$W$15,ROW(AC120)-ROW(AC$15),0),15-13*ORÇAMENTO!$AF$11)),0)</f>
        <v>0</v>
      </c>
      <c r="AD120" s="545">
        <f ca="1">IF(AND($D120="Serviço",AD$12&lt;&gt;0,$H120&gt;0,OR(AUTOEVENTO&lt;&gt;"manual",$M120&lt;&gt;1)),
IF(Import.TipoArredondamento&lt;&gt;"TransfereGOV",
ROUND(OFFSET($P120,0,AD$13),15-13*ORÇAMENTO!$AF$7)/$H120*OFFSET(ORÇAMENTO!$X$15,ROW(AD120)-ROW(AD$15),0),
ROUND(ROUND(OFFSET($P120,0,AD$13),15-13*ORÇAMENTO!$AF$7)*OFFSET(ORÇAMENTO!$W$15,ROW(AD120)-ROW(AD$15),0),15-13*ORÇAMENTO!$AF$11)),0)</f>
        <v>0</v>
      </c>
      <c r="AE120" s="545">
        <f ca="1">IF(AND($D120="Serviço",AE$12&lt;&gt;0,$H120&gt;0,OR(AUTOEVENTO&lt;&gt;"manual",$M120&lt;&gt;1)),
IF(Import.TipoArredondamento&lt;&gt;"TransfereGOV",
ROUND(OFFSET($P120,0,AE$13),15-13*ORÇAMENTO!$AF$7)/$H120*OFFSET(ORÇAMENTO!$X$15,ROW(AE120)-ROW(AE$15),0),
ROUND(ROUND(OFFSET($P120,0,AE$13),15-13*ORÇAMENTO!$AF$7)*OFFSET(ORÇAMENTO!$W$15,ROW(AE120)-ROW(AE$15),0),15-13*ORÇAMENTO!$AF$11)),0)</f>
        <v>0</v>
      </c>
      <c r="AF120" s="545">
        <f ca="1">IF(AND($D120="Serviço",AF$12&lt;&gt;0,$H120&gt;0,OR(AUTOEVENTO&lt;&gt;"manual",$M120&lt;&gt;1)),
IF(Import.TipoArredondamento&lt;&gt;"TransfereGOV",
ROUND(OFFSET($P120,0,AF$13),15-13*ORÇAMENTO!$AF$7)/$H120*OFFSET(ORÇAMENTO!$X$15,ROW(AF120)-ROW(AF$15),0),
ROUND(ROUND(OFFSET($P120,0,AF$13),15-13*ORÇAMENTO!$AF$7)*OFFSET(ORÇAMENTO!$W$15,ROW(AF120)-ROW(AF$15),0),15-13*ORÇAMENTO!$AF$11)),0)</f>
        <v>0</v>
      </c>
      <c r="AG120" s="545">
        <f ca="1">IF(AND($D120="Serviço",AG$12&lt;&gt;0,$H120&gt;0,OR(AUTOEVENTO&lt;&gt;"manual",$M120&lt;&gt;1)),
IF(Import.TipoArredondamento&lt;&gt;"TransfereGOV",
ROUND(OFFSET($P120,0,AG$13),15-13*ORÇAMENTO!$AF$7)/$H120*OFFSET(ORÇAMENTO!$X$15,ROW(AG120)-ROW(AG$15),0),
ROUND(ROUND(OFFSET($P120,0,AG$13),15-13*ORÇAMENTO!$AF$7)*OFFSET(ORÇAMENTO!$W$15,ROW(AG120)-ROW(AG$15),0),15-13*ORÇAMENTO!$AF$11)),0)</f>
        <v>0</v>
      </c>
      <c r="AH120" s="545">
        <f ca="1">IF(AND($D120="Serviço",AH$12&lt;&gt;0,$H120&gt;0,OR(AUTOEVENTO&lt;&gt;"manual",$M120&lt;&gt;1)),
IF(Import.TipoArredondamento&lt;&gt;"TransfereGOV",
ROUND(OFFSET($P120,0,AH$13),15-13*ORÇAMENTO!$AF$7)/$H120*OFFSET(ORÇAMENTO!$X$15,ROW(AH120)-ROW(AH$15),0),
ROUND(ROUND(OFFSET($P120,0,AH$13),15-13*ORÇAMENTO!$AF$7)*OFFSET(ORÇAMENTO!$W$15,ROW(AH120)-ROW(AH$15),0),15-13*ORÇAMENTO!$AF$11)),0)</f>
        <v>0</v>
      </c>
      <c r="AI120" s="545">
        <f ca="1">IF(AND($D120="Serviço",AI$12&lt;&gt;0,$H120&gt;0,OR(AUTOEVENTO&lt;&gt;"manual",$M120&lt;&gt;1)),
IF(Import.TipoArredondamento&lt;&gt;"TransfereGOV",
ROUND(OFFSET($P120,0,AI$13),15-13*ORÇAMENTO!$AF$7)/$H120*OFFSET(ORÇAMENTO!$X$15,ROW(AI120)-ROW(AI$15),0),
ROUND(ROUND(OFFSET($P120,0,AI$13),15-13*ORÇAMENTO!$AF$7)*OFFSET(ORÇAMENTO!$W$15,ROW(AI120)-ROW(AI$15),0),15-13*ORÇAMENTO!$AF$11)),0)</f>
        <v>0</v>
      </c>
      <c r="AJ120" s="545">
        <f ca="1">IF(AND($D120="Serviço",AJ$12&lt;&gt;0,$H120&gt;0,OR(AUTOEVENTO&lt;&gt;"manual",$M120&lt;&gt;1)),
IF(Import.TipoArredondamento&lt;&gt;"TransfereGOV",
ROUND(OFFSET($P120,0,AJ$13),15-13*ORÇAMENTO!$AF$7)/$H120*OFFSET(ORÇAMENTO!$X$15,ROW(AJ120)-ROW(AJ$15),0),
ROUND(ROUND(OFFSET($P120,0,AJ$13),15-13*ORÇAMENTO!$AF$7)*OFFSET(ORÇAMENTO!$W$15,ROW(AJ120)-ROW(AJ$15),0),15-13*ORÇAMENTO!$AF$11)),0)</f>
        <v>0</v>
      </c>
      <c r="AK120" s="546">
        <f ca="1">IF(AND($D120="Serviço",AK$12&lt;&gt;0,$H120&gt;0,OR(AUTOEVENTO&lt;&gt;"manual",$M120&lt;&gt;1)),
IF(Import.TipoArredondamento&lt;&gt;"TransfereGOV",
ROUND(OFFSET($P120,0,AK$13),15-13*ORÇAMENTO!$AF$7)/$H120*OFFSET(ORÇAMENTO!$X$15,ROW(AK120)-ROW(AK$15),0),
ROUND(ROUND(OFFSET($P120,0,AK$13),15-13*ORÇAMENTO!$AF$7)*OFFSET(ORÇAMENTO!$W$15,ROW(AK120)-ROW(AK$15),0),15-13*ORÇAMENTO!$AF$11)),0)</f>
        <v>0</v>
      </c>
      <c r="AM120" s="181">
        <f ca="1">IF($D120&lt;&gt;"Serviço",0,IF(AND(AUTOEVENTO="Manual",$M120=1),0,IF(OFFSET(CRONOPLE!$F$14,$M120,AM$13)="",10^12,OFFSET(CRONOPLE!$F$14,$M120,AM$13))))</f>
        <v>1000000000000</v>
      </c>
      <c r="AN120" s="181">
        <f ca="1">IF($D120&lt;&gt;"Serviço",0,IF(AND(AUTOEVENTO="Manual",$M120=1),0,IF(OFFSET(CRONOPLE!$F$14,$M120,AN$13)="",10^12,OFFSET(CRONOPLE!$F$14,$M120,AN$13))))</f>
        <v>1000000000000</v>
      </c>
      <c r="AO120" s="181">
        <f ca="1">IF($D120&lt;&gt;"Serviço",0,IF(AND(AUTOEVENTO="Manual",$M120=1),0,IF(OFFSET(CRONOPLE!$F$14,$M120,AO$13)="",10^12,OFFSET(CRONOPLE!$F$14,$M120,AO$13))))</f>
        <v>1000000000000</v>
      </c>
      <c r="AP120" s="181">
        <f ca="1">IF($D120&lt;&gt;"Serviço",0,IF(AND(AUTOEVENTO="Manual",$M120=1),0,IF(OFFSET(CRONOPLE!$F$14,$M120,AP$13)="",10^12,OFFSET(CRONOPLE!$F$14,$M120,AP$13))))</f>
        <v>1000000000000</v>
      </c>
      <c r="AQ120" s="181">
        <f ca="1">IF($D120&lt;&gt;"Serviço",0,IF(AND(AUTOEVENTO="Manual",$M120=1),0,IF(OFFSET(CRONOPLE!$F$14,$M120,AQ$13)="",10^12,OFFSET(CRONOPLE!$F$14,$M120,AQ$13))))</f>
        <v>1000000000000</v>
      </c>
      <c r="AR120" s="181">
        <f ca="1">IF($D120&lt;&gt;"Serviço",0,IF(AND(AUTOEVENTO="Manual",$M120=1),0,IF(OFFSET(CRONOPLE!$F$14,$M120,AR$13)="",10^12,OFFSET(CRONOPLE!$F$14,$M120,AR$13))))</f>
        <v>1000000000000</v>
      </c>
      <c r="AS120" s="181">
        <f ca="1">IF($D120&lt;&gt;"Serviço",0,IF(AND(AUTOEVENTO="Manual",$M120=1),0,IF(OFFSET(CRONOPLE!$F$14,$M120,AS$13)="",10^12,OFFSET(CRONOPLE!$F$14,$M120,AS$13))))</f>
        <v>1000000000000</v>
      </c>
      <c r="AT120" s="181">
        <f ca="1">IF($D120&lt;&gt;"Serviço",0,IF(AND(AUTOEVENTO="Manual",$M120=1),0,IF(OFFSET(CRONOPLE!$F$14,$M120,AT$13)="",10^12,OFFSET(CRONOPLE!$F$14,$M120,AT$13))))</f>
        <v>1000000000000</v>
      </c>
      <c r="AU120" s="181">
        <f ca="1">IF($D120&lt;&gt;"Serviço",0,IF(AND(AUTOEVENTO="Manual",$M120=1),0,IF(OFFSET(CRONOPLE!$F$14,$M120,AU$13)="",10^12,OFFSET(CRONOPLE!$F$14,$M120,AU$13))))</f>
        <v>1000000000000</v>
      </c>
      <c r="AV120" s="181">
        <f ca="1">IF($D120&lt;&gt;"Serviço",0,IF(AND(AUTOEVENTO="Manual",$M120=1),0,IF(OFFSET(CRONOPLE!$F$14,$M120,AV$13)="",10^12,OFFSET(CRONOPLE!$F$14,$M120,AV$13))))</f>
        <v>1000000000000</v>
      </c>
      <c r="AX120" s="182">
        <f ca="1">IF($D120&lt;&gt;"Serviço",0,IF(OR(AND(AUTOEVENTO="Manual",$M120=1),$M120&gt;(ROW(PLE.lastrow)-ROW(PLE.firstrow))),0,IF(OFFSET(PLE!$G$14,$M120,AX$13)="",10^12,OFFSET(PLE!$G$14,$M120,AX$13))))</f>
        <v>1000000000000</v>
      </c>
      <c r="AY120" s="182">
        <f ca="1">IF($D120&lt;&gt;"Serviço",0,IF(OR(AND(AUTOEVENTO="Manual",$M120=1),$M120&gt;(ROW(PLE.lastrow)-ROW(PLE.firstrow))),0,IF(OFFSET(PLE!$G$14,$M120,AY$13)="",10^12,OFFSET(PLE!$G$14,$M120,AY$13))))</f>
        <v>1000000000000</v>
      </c>
      <c r="AZ120" s="182">
        <f ca="1">IF($D120&lt;&gt;"Serviço",0,IF(OR(AND(AUTOEVENTO="Manual",$M120=1),$M120&gt;(ROW(PLE.lastrow)-ROW(PLE.firstrow))),0,IF(OFFSET(PLE!$G$14,$M120,AZ$13)="",10^12,OFFSET(PLE!$G$14,$M120,AZ$13))))</f>
        <v>1000000000000</v>
      </c>
      <c r="BA120" s="182">
        <f ca="1">IF($D120&lt;&gt;"Serviço",0,IF(OR(AND(AUTOEVENTO="Manual",$M120=1),$M120&gt;(ROW(PLE.lastrow)-ROW(PLE.firstrow))),0,IF(OFFSET(PLE!$G$14,$M120,BA$13)="",10^12,OFFSET(PLE!$G$14,$M120,BA$13))))</f>
        <v>1000000000000</v>
      </c>
      <c r="BB120" s="182">
        <f ca="1">IF($D120&lt;&gt;"Serviço",0,IF(OR(AND(AUTOEVENTO="Manual",$M120=1),$M120&gt;(ROW(PLE.lastrow)-ROW(PLE.firstrow))),0,IF(OFFSET(PLE!$G$14,$M120,BB$13)="",10^12,OFFSET(PLE!$G$14,$M120,BB$13))))</f>
        <v>1000000000000</v>
      </c>
      <c r="BC120" s="182">
        <f ca="1">IF($D120&lt;&gt;"Serviço",0,IF(OR(AND(AUTOEVENTO="Manual",$M120=1),$M120&gt;(ROW(PLE.lastrow)-ROW(PLE.firstrow))),0,IF(OFFSET(PLE!$G$14,$M120,BC$13)="",10^12,OFFSET(PLE!$G$14,$M120,BC$13))))</f>
        <v>1000000000000</v>
      </c>
      <c r="BD120" s="182">
        <f ca="1">IF($D120&lt;&gt;"Serviço",0,IF(OR(AND(AUTOEVENTO="Manual",$M120=1),$M120&gt;(ROW(PLE.lastrow)-ROW(PLE.firstrow))),0,IF(OFFSET(PLE!$G$14,$M120,BD$13)="",10^12,OFFSET(PLE!$G$14,$M120,BD$13))))</f>
        <v>1000000000000</v>
      </c>
      <c r="BE120" s="182">
        <f ca="1">IF($D120&lt;&gt;"Serviço",0,IF(OR(AND(AUTOEVENTO="Manual",$M120=1),$M120&gt;(ROW(PLE.lastrow)-ROW(PLE.firstrow))),0,IF(OFFSET(PLE!$G$14,$M120,BE$13)="",10^12,OFFSET(PLE!$G$14,$M120,BE$13))))</f>
        <v>1000000000000</v>
      </c>
      <c r="BF120" s="182">
        <f ca="1">IF($D120&lt;&gt;"Serviço",0,IF(OR(AND(AUTOEVENTO="Manual",$M120=1),$M120&gt;(ROW(PLE.lastrow)-ROW(PLE.firstrow))),0,IF(OFFSET(PLE!$G$14,$M120,BF$13)="",10^12,OFFSET(PLE!$G$14,$M120,BF$13))))</f>
        <v>1000000000000</v>
      </c>
      <c r="BG120" s="182">
        <f ca="1">IF($D120&lt;&gt;"Serviço",0,IF(OR(AND(AUTOEVENTO="Manual",$M120=1),$M120&gt;(ROW(PLE.lastrow)-ROW(PLE.firstrow))),0,IF(OFFSET(PLE!$G$14,$M120,BG$13)="",10^12,OFFSET(PLE!$G$14,$M120,BG$13))))</f>
        <v>1000000000000</v>
      </c>
    </row>
    <row r="121" spans="1:59" ht="25.5" x14ac:dyDescent="0.2">
      <c r="A121" s="7" t="str">
        <f t="shared" ca="1" si="9"/>
        <v>90</v>
      </c>
      <c r="B121" s="7" t="str">
        <f ca="1">OFFSET(ORÇAMENTO!C$15,ROW(B121)-ROW(B$15),0)</f>
        <v>S</v>
      </c>
      <c r="C121" s="7" t="str">
        <f ca="1">OFFSET(ORÇAMENTO!L$15,ROW(C121)-ROW(C$15),0)</f>
        <v/>
      </c>
      <c r="D121" s="118" t="str">
        <f ca="1">OFFSET(ORÇAMENTO!N$15,ROW(D121)-ROW(D$15),0)</f>
        <v>Serviço</v>
      </c>
      <c r="E121" s="119" t="str">
        <f ca="1">OFFSET(ORÇAMENTO!O$15,ROW(E121)-ROW(E$15),0)</f>
        <v>-</v>
      </c>
      <c r="F121" s="172" t="str">
        <f ca="1">OFFSET(ORÇAMENTO!R$15,ROW(F121)-ROW(F$15),0)</f>
        <v>(abra o arquivo 'Referência 02-2025.xlsm)</v>
      </c>
      <c r="G121" s="173" t="str">
        <f ca="1">IF($D121&lt;&gt;"Serviço","",OFFSET(ORÇAMENTO!S$15,ROW(G121)-ROW(G$15),0))</f>
        <v>-</v>
      </c>
      <c r="H121" s="124">
        <f ca="1">IF($D121&lt;&gt;"Serviço",0,IF(ACOMPANHAMENTO="BM",ROUND(OFFSET(ORÇAMENTO!AJ$15,ROW(H121)-ROW(H$15),0),15-13*ORÇAMENTO!$AF$7),SUMPRODUCT(($Q$12:$AA$12&lt;&gt;"")*ROUND($Q121:$AA121,15-13*ORÇAMENTO!$AF$7))))</f>
        <v>5.94</v>
      </c>
      <c r="I121" s="561" t="s">
        <v>890</v>
      </c>
      <c r="K121" s="174"/>
      <c r="L121" s="175" t="s">
        <v>255</v>
      </c>
      <c r="M121" s="176">
        <f ca="1">IF($D121&lt;&gt;"Serviço","",IF(AUTOEVENTO="manual",$A121,IF(ISERROR(MATCH($A121,$A$15:OFFSET($A121,-1,0),0)),MAX($M$15:OFFSET(M121,-1,0))+1,INDEX($M$15:OFFSET(M121,-1,0),MATCH($A121,$A$15:OFFSET($A121,-1,0),0)))))</f>
        <v>6</v>
      </c>
      <c r="N121" s="177" t="str">
        <f ca="1">IF($D121&lt;&gt;"Serviço","",IF(AUTOEVENTO="Manual",IF($A121=0,"&lt;-- defina o número do agrupador",OFFSET(EVENTOS!$D$14,$A121,0)),OFFSET($F$15,$A121,0)))</f>
        <v>SISTEMA DE VEDAÇÃO VERTICAL</v>
      </c>
      <c r="O121" s="178"/>
      <c r="Q121" s="178"/>
      <c r="R121" s="179"/>
      <c r="S121" s="179"/>
      <c r="T121" s="179"/>
      <c r="U121" s="179"/>
      <c r="V121" s="179"/>
      <c r="W121" s="179"/>
      <c r="X121" s="179"/>
      <c r="Y121" s="179"/>
      <c r="Z121" s="180"/>
      <c r="AB121" s="544">
        <f ca="1">IF(AND($D121="Serviço",AB$12&lt;&gt;0,$H121&gt;0,OR(AUTOEVENTO&lt;&gt;"manual",$M121&lt;&gt;1)),
IF(Import.TipoArredondamento&lt;&gt;"TransfereGOV",
ROUND(OFFSET($P121,0,AB$13),15-13*ORÇAMENTO!$AF$7)/$H121*OFFSET(ORÇAMENTO!$X$15,ROW(AB121)-ROW(AB$15),0),
ROUND(ROUND(OFFSET($P121,0,AB$13),15-13*ORÇAMENTO!$AF$7)*OFFSET(ORÇAMENTO!$W$15,ROW(AB121)-ROW(AB$15),0),15-13*ORÇAMENTO!$AF$11)),0)</f>
        <v>0</v>
      </c>
      <c r="AC121" s="545">
        <f ca="1">IF(AND($D121="Serviço",AC$12&lt;&gt;0,$H121&gt;0,OR(AUTOEVENTO&lt;&gt;"manual",$M121&lt;&gt;1)),
IF(Import.TipoArredondamento&lt;&gt;"TransfereGOV",
ROUND(OFFSET($P121,0,AC$13),15-13*ORÇAMENTO!$AF$7)/$H121*OFFSET(ORÇAMENTO!$X$15,ROW(AC121)-ROW(AC$15),0),
ROUND(ROUND(OFFSET($P121,0,AC$13),15-13*ORÇAMENTO!$AF$7)*OFFSET(ORÇAMENTO!$W$15,ROW(AC121)-ROW(AC$15),0),15-13*ORÇAMENTO!$AF$11)),0)</f>
        <v>0</v>
      </c>
      <c r="AD121" s="545">
        <f ca="1">IF(AND($D121="Serviço",AD$12&lt;&gt;0,$H121&gt;0,OR(AUTOEVENTO&lt;&gt;"manual",$M121&lt;&gt;1)),
IF(Import.TipoArredondamento&lt;&gt;"TransfereGOV",
ROUND(OFFSET($P121,0,AD$13),15-13*ORÇAMENTO!$AF$7)/$H121*OFFSET(ORÇAMENTO!$X$15,ROW(AD121)-ROW(AD$15),0),
ROUND(ROUND(OFFSET($P121,0,AD$13),15-13*ORÇAMENTO!$AF$7)*OFFSET(ORÇAMENTO!$W$15,ROW(AD121)-ROW(AD$15),0),15-13*ORÇAMENTO!$AF$11)),0)</f>
        <v>0</v>
      </c>
      <c r="AE121" s="545">
        <f ca="1">IF(AND($D121="Serviço",AE$12&lt;&gt;0,$H121&gt;0,OR(AUTOEVENTO&lt;&gt;"manual",$M121&lt;&gt;1)),
IF(Import.TipoArredondamento&lt;&gt;"TransfereGOV",
ROUND(OFFSET($P121,0,AE$13),15-13*ORÇAMENTO!$AF$7)/$H121*OFFSET(ORÇAMENTO!$X$15,ROW(AE121)-ROW(AE$15),0),
ROUND(ROUND(OFFSET($P121,0,AE$13),15-13*ORÇAMENTO!$AF$7)*OFFSET(ORÇAMENTO!$W$15,ROW(AE121)-ROW(AE$15),0),15-13*ORÇAMENTO!$AF$11)),0)</f>
        <v>0</v>
      </c>
      <c r="AF121" s="545">
        <f ca="1">IF(AND($D121="Serviço",AF$12&lt;&gt;0,$H121&gt;0,OR(AUTOEVENTO&lt;&gt;"manual",$M121&lt;&gt;1)),
IF(Import.TipoArredondamento&lt;&gt;"TransfereGOV",
ROUND(OFFSET($P121,0,AF$13),15-13*ORÇAMENTO!$AF$7)/$H121*OFFSET(ORÇAMENTO!$X$15,ROW(AF121)-ROW(AF$15),0),
ROUND(ROUND(OFFSET($P121,0,AF$13),15-13*ORÇAMENTO!$AF$7)*OFFSET(ORÇAMENTO!$W$15,ROW(AF121)-ROW(AF$15),0),15-13*ORÇAMENTO!$AF$11)),0)</f>
        <v>0</v>
      </c>
      <c r="AG121" s="545">
        <f ca="1">IF(AND($D121="Serviço",AG$12&lt;&gt;0,$H121&gt;0,OR(AUTOEVENTO&lt;&gt;"manual",$M121&lt;&gt;1)),
IF(Import.TipoArredondamento&lt;&gt;"TransfereGOV",
ROUND(OFFSET($P121,0,AG$13),15-13*ORÇAMENTO!$AF$7)/$H121*OFFSET(ORÇAMENTO!$X$15,ROW(AG121)-ROW(AG$15),0),
ROUND(ROUND(OFFSET($P121,0,AG$13),15-13*ORÇAMENTO!$AF$7)*OFFSET(ORÇAMENTO!$W$15,ROW(AG121)-ROW(AG$15),0),15-13*ORÇAMENTO!$AF$11)),0)</f>
        <v>0</v>
      </c>
      <c r="AH121" s="545">
        <f ca="1">IF(AND($D121="Serviço",AH$12&lt;&gt;0,$H121&gt;0,OR(AUTOEVENTO&lt;&gt;"manual",$M121&lt;&gt;1)),
IF(Import.TipoArredondamento&lt;&gt;"TransfereGOV",
ROUND(OFFSET($P121,0,AH$13),15-13*ORÇAMENTO!$AF$7)/$H121*OFFSET(ORÇAMENTO!$X$15,ROW(AH121)-ROW(AH$15),0),
ROUND(ROUND(OFFSET($P121,0,AH$13),15-13*ORÇAMENTO!$AF$7)*OFFSET(ORÇAMENTO!$W$15,ROW(AH121)-ROW(AH$15),0),15-13*ORÇAMENTO!$AF$11)),0)</f>
        <v>0</v>
      </c>
      <c r="AI121" s="545">
        <f ca="1">IF(AND($D121="Serviço",AI$12&lt;&gt;0,$H121&gt;0,OR(AUTOEVENTO&lt;&gt;"manual",$M121&lt;&gt;1)),
IF(Import.TipoArredondamento&lt;&gt;"TransfereGOV",
ROUND(OFFSET($P121,0,AI$13),15-13*ORÇAMENTO!$AF$7)/$H121*OFFSET(ORÇAMENTO!$X$15,ROW(AI121)-ROW(AI$15),0),
ROUND(ROUND(OFFSET($P121,0,AI$13),15-13*ORÇAMENTO!$AF$7)*OFFSET(ORÇAMENTO!$W$15,ROW(AI121)-ROW(AI$15),0),15-13*ORÇAMENTO!$AF$11)),0)</f>
        <v>0</v>
      </c>
      <c r="AJ121" s="545">
        <f ca="1">IF(AND($D121="Serviço",AJ$12&lt;&gt;0,$H121&gt;0,OR(AUTOEVENTO&lt;&gt;"manual",$M121&lt;&gt;1)),
IF(Import.TipoArredondamento&lt;&gt;"TransfereGOV",
ROUND(OFFSET($P121,0,AJ$13),15-13*ORÇAMENTO!$AF$7)/$H121*OFFSET(ORÇAMENTO!$X$15,ROW(AJ121)-ROW(AJ$15),0),
ROUND(ROUND(OFFSET($P121,0,AJ$13),15-13*ORÇAMENTO!$AF$7)*OFFSET(ORÇAMENTO!$W$15,ROW(AJ121)-ROW(AJ$15),0),15-13*ORÇAMENTO!$AF$11)),0)</f>
        <v>0</v>
      </c>
      <c r="AK121" s="546">
        <f ca="1">IF(AND($D121="Serviço",AK$12&lt;&gt;0,$H121&gt;0,OR(AUTOEVENTO&lt;&gt;"manual",$M121&lt;&gt;1)),
IF(Import.TipoArredondamento&lt;&gt;"TransfereGOV",
ROUND(OFFSET($P121,0,AK$13),15-13*ORÇAMENTO!$AF$7)/$H121*OFFSET(ORÇAMENTO!$X$15,ROW(AK121)-ROW(AK$15),0),
ROUND(ROUND(OFFSET($P121,0,AK$13),15-13*ORÇAMENTO!$AF$7)*OFFSET(ORÇAMENTO!$W$15,ROW(AK121)-ROW(AK$15),0),15-13*ORÇAMENTO!$AF$11)),0)</f>
        <v>0</v>
      </c>
      <c r="AM121" s="181">
        <f ca="1">IF($D121&lt;&gt;"Serviço",0,IF(AND(AUTOEVENTO="Manual",$M121=1),0,IF(OFFSET(CRONOPLE!$F$14,$M121,AM$13)="",10^12,OFFSET(CRONOPLE!$F$14,$M121,AM$13))))</f>
        <v>1000000000000</v>
      </c>
      <c r="AN121" s="181">
        <f ca="1">IF($D121&lt;&gt;"Serviço",0,IF(AND(AUTOEVENTO="Manual",$M121=1),0,IF(OFFSET(CRONOPLE!$F$14,$M121,AN$13)="",10^12,OFFSET(CRONOPLE!$F$14,$M121,AN$13))))</f>
        <v>1000000000000</v>
      </c>
      <c r="AO121" s="181">
        <f ca="1">IF($D121&lt;&gt;"Serviço",0,IF(AND(AUTOEVENTO="Manual",$M121=1),0,IF(OFFSET(CRONOPLE!$F$14,$M121,AO$13)="",10^12,OFFSET(CRONOPLE!$F$14,$M121,AO$13))))</f>
        <v>1000000000000</v>
      </c>
      <c r="AP121" s="181">
        <f ca="1">IF($D121&lt;&gt;"Serviço",0,IF(AND(AUTOEVENTO="Manual",$M121=1),0,IF(OFFSET(CRONOPLE!$F$14,$M121,AP$13)="",10^12,OFFSET(CRONOPLE!$F$14,$M121,AP$13))))</f>
        <v>1000000000000</v>
      </c>
      <c r="AQ121" s="181">
        <f ca="1">IF($D121&lt;&gt;"Serviço",0,IF(AND(AUTOEVENTO="Manual",$M121=1),0,IF(OFFSET(CRONOPLE!$F$14,$M121,AQ$13)="",10^12,OFFSET(CRONOPLE!$F$14,$M121,AQ$13))))</f>
        <v>1000000000000</v>
      </c>
      <c r="AR121" s="181">
        <f ca="1">IF($D121&lt;&gt;"Serviço",0,IF(AND(AUTOEVENTO="Manual",$M121=1),0,IF(OFFSET(CRONOPLE!$F$14,$M121,AR$13)="",10^12,OFFSET(CRONOPLE!$F$14,$M121,AR$13))))</f>
        <v>1000000000000</v>
      </c>
      <c r="AS121" s="181">
        <f ca="1">IF($D121&lt;&gt;"Serviço",0,IF(AND(AUTOEVENTO="Manual",$M121=1),0,IF(OFFSET(CRONOPLE!$F$14,$M121,AS$13)="",10^12,OFFSET(CRONOPLE!$F$14,$M121,AS$13))))</f>
        <v>1000000000000</v>
      </c>
      <c r="AT121" s="181">
        <f ca="1">IF($D121&lt;&gt;"Serviço",0,IF(AND(AUTOEVENTO="Manual",$M121=1),0,IF(OFFSET(CRONOPLE!$F$14,$M121,AT$13)="",10^12,OFFSET(CRONOPLE!$F$14,$M121,AT$13))))</f>
        <v>1000000000000</v>
      </c>
      <c r="AU121" s="181">
        <f ca="1">IF($D121&lt;&gt;"Serviço",0,IF(AND(AUTOEVENTO="Manual",$M121=1),0,IF(OFFSET(CRONOPLE!$F$14,$M121,AU$13)="",10^12,OFFSET(CRONOPLE!$F$14,$M121,AU$13))))</f>
        <v>1000000000000</v>
      </c>
      <c r="AV121" s="181">
        <f ca="1">IF($D121&lt;&gt;"Serviço",0,IF(AND(AUTOEVENTO="Manual",$M121=1),0,IF(OFFSET(CRONOPLE!$F$14,$M121,AV$13)="",10^12,OFFSET(CRONOPLE!$F$14,$M121,AV$13))))</f>
        <v>1000000000000</v>
      </c>
      <c r="AX121" s="182">
        <f ca="1">IF($D121&lt;&gt;"Serviço",0,IF(OR(AND(AUTOEVENTO="Manual",$M121=1),$M121&gt;(ROW(PLE.lastrow)-ROW(PLE.firstrow))),0,IF(OFFSET(PLE!$G$14,$M121,AX$13)="",10^12,OFFSET(PLE!$G$14,$M121,AX$13))))</f>
        <v>1000000000000</v>
      </c>
      <c r="AY121" s="182">
        <f ca="1">IF($D121&lt;&gt;"Serviço",0,IF(OR(AND(AUTOEVENTO="Manual",$M121=1),$M121&gt;(ROW(PLE.lastrow)-ROW(PLE.firstrow))),0,IF(OFFSET(PLE!$G$14,$M121,AY$13)="",10^12,OFFSET(PLE!$G$14,$M121,AY$13))))</f>
        <v>1000000000000</v>
      </c>
      <c r="AZ121" s="182">
        <f ca="1">IF($D121&lt;&gt;"Serviço",0,IF(OR(AND(AUTOEVENTO="Manual",$M121=1),$M121&gt;(ROW(PLE.lastrow)-ROW(PLE.firstrow))),0,IF(OFFSET(PLE!$G$14,$M121,AZ$13)="",10^12,OFFSET(PLE!$G$14,$M121,AZ$13))))</f>
        <v>1000000000000</v>
      </c>
      <c r="BA121" s="182">
        <f ca="1">IF($D121&lt;&gt;"Serviço",0,IF(OR(AND(AUTOEVENTO="Manual",$M121=1),$M121&gt;(ROW(PLE.lastrow)-ROW(PLE.firstrow))),0,IF(OFFSET(PLE!$G$14,$M121,BA$13)="",10^12,OFFSET(PLE!$G$14,$M121,BA$13))))</f>
        <v>1000000000000</v>
      </c>
      <c r="BB121" s="182">
        <f ca="1">IF($D121&lt;&gt;"Serviço",0,IF(OR(AND(AUTOEVENTO="Manual",$M121=1),$M121&gt;(ROW(PLE.lastrow)-ROW(PLE.firstrow))),0,IF(OFFSET(PLE!$G$14,$M121,BB$13)="",10^12,OFFSET(PLE!$G$14,$M121,BB$13))))</f>
        <v>1000000000000</v>
      </c>
      <c r="BC121" s="182">
        <f ca="1">IF($D121&lt;&gt;"Serviço",0,IF(OR(AND(AUTOEVENTO="Manual",$M121=1),$M121&gt;(ROW(PLE.lastrow)-ROW(PLE.firstrow))),0,IF(OFFSET(PLE!$G$14,$M121,BC$13)="",10^12,OFFSET(PLE!$G$14,$M121,BC$13))))</f>
        <v>1000000000000</v>
      </c>
      <c r="BD121" s="182">
        <f ca="1">IF($D121&lt;&gt;"Serviço",0,IF(OR(AND(AUTOEVENTO="Manual",$M121=1),$M121&gt;(ROW(PLE.lastrow)-ROW(PLE.firstrow))),0,IF(OFFSET(PLE!$G$14,$M121,BD$13)="",10^12,OFFSET(PLE!$G$14,$M121,BD$13))))</f>
        <v>1000000000000</v>
      </c>
      <c r="BE121" s="182">
        <f ca="1">IF($D121&lt;&gt;"Serviço",0,IF(OR(AND(AUTOEVENTO="Manual",$M121=1),$M121&gt;(ROW(PLE.lastrow)-ROW(PLE.firstrow))),0,IF(OFFSET(PLE!$G$14,$M121,BE$13)="",10^12,OFFSET(PLE!$G$14,$M121,BE$13))))</f>
        <v>1000000000000</v>
      </c>
      <c r="BF121" s="182">
        <f ca="1">IF($D121&lt;&gt;"Serviço",0,IF(OR(AND(AUTOEVENTO="Manual",$M121=1),$M121&gt;(ROW(PLE.lastrow)-ROW(PLE.firstrow))),0,IF(OFFSET(PLE!$G$14,$M121,BF$13)="",10^12,OFFSET(PLE!$G$14,$M121,BF$13))))</f>
        <v>1000000000000</v>
      </c>
      <c r="BG121" s="182">
        <f ca="1">IF($D121&lt;&gt;"Serviço",0,IF(OR(AND(AUTOEVENTO="Manual",$M121=1),$M121&gt;(ROW(PLE.lastrow)-ROW(PLE.firstrow))),0,IF(OFFSET(PLE!$G$14,$M121,BG$13)="",10^12,OFFSET(PLE!$G$14,$M121,BG$13))))</f>
        <v>1000000000000</v>
      </c>
    </row>
    <row r="122" spans="1:59" ht="25.5" x14ac:dyDescent="0.2">
      <c r="A122" s="7" t="str">
        <f t="shared" ca="1" si="9"/>
        <v>90</v>
      </c>
      <c r="B122" s="7" t="str">
        <f ca="1">OFFSET(ORÇAMENTO!C$15,ROW(B122)-ROW(B$15),0)</f>
        <v>S</v>
      </c>
      <c r="C122" s="7" t="str">
        <f ca="1">OFFSET(ORÇAMENTO!L$15,ROW(C122)-ROW(C$15),0)</f>
        <v/>
      </c>
      <c r="D122" s="118" t="str">
        <f ca="1">OFFSET(ORÇAMENTO!N$15,ROW(D122)-ROW(D$15),0)</f>
        <v>Serviço</v>
      </c>
      <c r="E122" s="119" t="str">
        <f ca="1">OFFSET(ORÇAMENTO!O$15,ROW(E122)-ROW(E$15),0)</f>
        <v>-</v>
      </c>
      <c r="F122" s="172" t="str">
        <f ca="1">OFFSET(ORÇAMENTO!R$15,ROW(F122)-ROW(F$15),0)</f>
        <v>(abra o arquivo 'Referência 02-2025.xlsm)</v>
      </c>
      <c r="G122" s="173" t="str">
        <f ca="1">IF($D122&lt;&gt;"Serviço","",OFFSET(ORÇAMENTO!S$15,ROW(G122)-ROW(G$15),0))</f>
        <v>-</v>
      </c>
      <c r="H122" s="124">
        <f ca="1">IF($D122&lt;&gt;"Serviço",0,IF(ACOMPANHAMENTO="BM",ROUND(OFFSET(ORÇAMENTO!AJ$15,ROW(H122)-ROW(H$15),0),15-13*ORÇAMENTO!$AF$7),SUMPRODUCT(($Q$12:$AA$12&lt;&gt;"")*ROUND($Q122:$AA122,15-13*ORÇAMENTO!$AF$7))))</f>
        <v>5.38</v>
      </c>
      <c r="I122" s="561" t="s">
        <v>890</v>
      </c>
      <c r="K122" s="174"/>
      <c r="L122" s="175" t="s">
        <v>255</v>
      </c>
      <c r="M122" s="176">
        <f ca="1">IF($D122&lt;&gt;"Serviço","",IF(AUTOEVENTO="manual",$A122,IF(ISERROR(MATCH($A122,$A$15:OFFSET($A122,-1,0),0)),MAX($M$15:OFFSET(M122,-1,0))+1,INDEX($M$15:OFFSET(M122,-1,0),MATCH($A122,$A$15:OFFSET($A122,-1,0),0)))))</f>
        <v>6</v>
      </c>
      <c r="N122" s="177" t="str">
        <f ca="1">IF($D122&lt;&gt;"Serviço","",IF(AUTOEVENTO="Manual",IF($A122=0,"&lt;-- defina o número do agrupador",OFFSET(EVENTOS!$D$14,$A122,0)),OFFSET($F$15,$A122,0)))</f>
        <v>SISTEMA DE VEDAÇÃO VERTICAL</v>
      </c>
      <c r="O122" s="178"/>
      <c r="Q122" s="178"/>
      <c r="R122" s="179"/>
      <c r="S122" s="179"/>
      <c r="T122" s="179"/>
      <c r="U122" s="179"/>
      <c r="V122" s="179"/>
      <c r="W122" s="179"/>
      <c r="X122" s="179"/>
      <c r="Y122" s="179"/>
      <c r="Z122" s="180"/>
      <c r="AB122" s="544">
        <f ca="1">IF(AND($D122="Serviço",AB$12&lt;&gt;0,$H122&gt;0,OR(AUTOEVENTO&lt;&gt;"manual",$M122&lt;&gt;1)),
IF(Import.TipoArredondamento&lt;&gt;"TransfereGOV",
ROUND(OFFSET($P122,0,AB$13),15-13*ORÇAMENTO!$AF$7)/$H122*OFFSET(ORÇAMENTO!$X$15,ROW(AB122)-ROW(AB$15),0),
ROUND(ROUND(OFFSET($P122,0,AB$13),15-13*ORÇAMENTO!$AF$7)*OFFSET(ORÇAMENTO!$W$15,ROW(AB122)-ROW(AB$15),0),15-13*ORÇAMENTO!$AF$11)),0)</f>
        <v>0</v>
      </c>
      <c r="AC122" s="545">
        <f ca="1">IF(AND($D122="Serviço",AC$12&lt;&gt;0,$H122&gt;0,OR(AUTOEVENTO&lt;&gt;"manual",$M122&lt;&gt;1)),
IF(Import.TipoArredondamento&lt;&gt;"TransfereGOV",
ROUND(OFFSET($P122,0,AC$13),15-13*ORÇAMENTO!$AF$7)/$H122*OFFSET(ORÇAMENTO!$X$15,ROW(AC122)-ROW(AC$15),0),
ROUND(ROUND(OFFSET($P122,0,AC$13),15-13*ORÇAMENTO!$AF$7)*OFFSET(ORÇAMENTO!$W$15,ROW(AC122)-ROW(AC$15),0),15-13*ORÇAMENTO!$AF$11)),0)</f>
        <v>0</v>
      </c>
      <c r="AD122" s="545">
        <f ca="1">IF(AND($D122="Serviço",AD$12&lt;&gt;0,$H122&gt;0,OR(AUTOEVENTO&lt;&gt;"manual",$M122&lt;&gt;1)),
IF(Import.TipoArredondamento&lt;&gt;"TransfereGOV",
ROUND(OFFSET($P122,0,AD$13),15-13*ORÇAMENTO!$AF$7)/$H122*OFFSET(ORÇAMENTO!$X$15,ROW(AD122)-ROW(AD$15),0),
ROUND(ROUND(OFFSET($P122,0,AD$13),15-13*ORÇAMENTO!$AF$7)*OFFSET(ORÇAMENTO!$W$15,ROW(AD122)-ROW(AD$15),0),15-13*ORÇAMENTO!$AF$11)),0)</f>
        <v>0</v>
      </c>
      <c r="AE122" s="545">
        <f ca="1">IF(AND($D122="Serviço",AE$12&lt;&gt;0,$H122&gt;0,OR(AUTOEVENTO&lt;&gt;"manual",$M122&lt;&gt;1)),
IF(Import.TipoArredondamento&lt;&gt;"TransfereGOV",
ROUND(OFFSET($P122,0,AE$13),15-13*ORÇAMENTO!$AF$7)/$H122*OFFSET(ORÇAMENTO!$X$15,ROW(AE122)-ROW(AE$15),0),
ROUND(ROUND(OFFSET($P122,0,AE$13),15-13*ORÇAMENTO!$AF$7)*OFFSET(ORÇAMENTO!$W$15,ROW(AE122)-ROW(AE$15),0),15-13*ORÇAMENTO!$AF$11)),0)</f>
        <v>0</v>
      </c>
      <c r="AF122" s="545">
        <f ca="1">IF(AND($D122="Serviço",AF$12&lt;&gt;0,$H122&gt;0,OR(AUTOEVENTO&lt;&gt;"manual",$M122&lt;&gt;1)),
IF(Import.TipoArredondamento&lt;&gt;"TransfereGOV",
ROUND(OFFSET($P122,0,AF$13),15-13*ORÇAMENTO!$AF$7)/$H122*OFFSET(ORÇAMENTO!$X$15,ROW(AF122)-ROW(AF$15),0),
ROUND(ROUND(OFFSET($P122,0,AF$13),15-13*ORÇAMENTO!$AF$7)*OFFSET(ORÇAMENTO!$W$15,ROW(AF122)-ROW(AF$15),0),15-13*ORÇAMENTO!$AF$11)),0)</f>
        <v>0</v>
      </c>
      <c r="AG122" s="545">
        <f ca="1">IF(AND($D122="Serviço",AG$12&lt;&gt;0,$H122&gt;0,OR(AUTOEVENTO&lt;&gt;"manual",$M122&lt;&gt;1)),
IF(Import.TipoArredondamento&lt;&gt;"TransfereGOV",
ROUND(OFFSET($P122,0,AG$13),15-13*ORÇAMENTO!$AF$7)/$H122*OFFSET(ORÇAMENTO!$X$15,ROW(AG122)-ROW(AG$15),0),
ROUND(ROUND(OFFSET($P122,0,AG$13),15-13*ORÇAMENTO!$AF$7)*OFFSET(ORÇAMENTO!$W$15,ROW(AG122)-ROW(AG$15),0),15-13*ORÇAMENTO!$AF$11)),0)</f>
        <v>0</v>
      </c>
      <c r="AH122" s="545">
        <f ca="1">IF(AND($D122="Serviço",AH$12&lt;&gt;0,$H122&gt;0,OR(AUTOEVENTO&lt;&gt;"manual",$M122&lt;&gt;1)),
IF(Import.TipoArredondamento&lt;&gt;"TransfereGOV",
ROUND(OFFSET($P122,0,AH$13),15-13*ORÇAMENTO!$AF$7)/$H122*OFFSET(ORÇAMENTO!$X$15,ROW(AH122)-ROW(AH$15),0),
ROUND(ROUND(OFFSET($P122,0,AH$13),15-13*ORÇAMENTO!$AF$7)*OFFSET(ORÇAMENTO!$W$15,ROW(AH122)-ROW(AH$15),0),15-13*ORÇAMENTO!$AF$11)),0)</f>
        <v>0</v>
      </c>
      <c r="AI122" s="545">
        <f ca="1">IF(AND($D122="Serviço",AI$12&lt;&gt;0,$H122&gt;0,OR(AUTOEVENTO&lt;&gt;"manual",$M122&lt;&gt;1)),
IF(Import.TipoArredondamento&lt;&gt;"TransfereGOV",
ROUND(OFFSET($P122,0,AI$13),15-13*ORÇAMENTO!$AF$7)/$H122*OFFSET(ORÇAMENTO!$X$15,ROW(AI122)-ROW(AI$15),0),
ROUND(ROUND(OFFSET($P122,0,AI$13),15-13*ORÇAMENTO!$AF$7)*OFFSET(ORÇAMENTO!$W$15,ROW(AI122)-ROW(AI$15),0),15-13*ORÇAMENTO!$AF$11)),0)</f>
        <v>0</v>
      </c>
      <c r="AJ122" s="545">
        <f ca="1">IF(AND($D122="Serviço",AJ$12&lt;&gt;0,$H122&gt;0,OR(AUTOEVENTO&lt;&gt;"manual",$M122&lt;&gt;1)),
IF(Import.TipoArredondamento&lt;&gt;"TransfereGOV",
ROUND(OFFSET($P122,0,AJ$13),15-13*ORÇAMENTO!$AF$7)/$H122*OFFSET(ORÇAMENTO!$X$15,ROW(AJ122)-ROW(AJ$15),0),
ROUND(ROUND(OFFSET($P122,0,AJ$13),15-13*ORÇAMENTO!$AF$7)*OFFSET(ORÇAMENTO!$W$15,ROW(AJ122)-ROW(AJ$15),0),15-13*ORÇAMENTO!$AF$11)),0)</f>
        <v>0</v>
      </c>
      <c r="AK122" s="546">
        <f ca="1">IF(AND($D122="Serviço",AK$12&lt;&gt;0,$H122&gt;0,OR(AUTOEVENTO&lt;&gt;"manual",$M122&lt;&gt;1)),
IF(Import.TipoArredondamento&lt;&gt;"TransfereGOV",
ROUND(OFFSET($P122,0,AK$13),15-13*ORÇAMENTO!$AF$7)/$H122*OFFSET(ORÇAMENTO!$X$15,ROW(AK122)-ROW(AK$15),0),
ROUND(ROUND(OFFSET($P122,0,AK$13),15-13*ORÇAMENTO!$AF$7)*OFFSET(ORÇAMENTO!$W$15,ROW(AK122)-ROW(AK$15),0),15-13*ORÇAMENTO!$AF$11)),0)</f>
        <v>0</v>
      </c>
      <c r="AM122" s="181">
        <f ca="1">IF($D122&lt;&gt;"Serviço",0,IF(AND(AUTOEVENTO="Manual",$M122=1),0,IF(OFFSET(CRONOPLE!$F$14,$M122,AM$13)="",10^12,OFFSET(CRONOPLE!$F$14,$M122,AM$13))))</f>
        <v>1000000000000</v>
      </c>
      <c r="AN122" s="181">
        <f ca="1">IF($D122&lt;&gt;"Serviço",0,IF(AND(AUTOEVENTO="Manual",$M122=1),0,IF(OFFSET(CRONOPLE!$F$14,$M122,AN$13)="",10^12,OFFSET(CRONOPLE!$F$14,$M122,AN$13))))</f>
        <v>1000000000000</v>
      </c>
      <c r="AO122" s="181">
        <f ca="1">IF($D122&lt;&gt;"Serviço",0,IF(AND(AUTOEVENTO="Manual",$M122=1),0,IF(OFFSET(CRONOPLE!$F$14,$M122,AO$13)="",10^12,OFFSET(CRONOPLE!$F$14,$M122,AO$13))))</f>
        <v>1000000000000</v>
      </c>
      <c r="AP122" s="181">
        <f ca="1">IF($D122&lt;&gt;"Serviço",0,IF(AND(AUTOEVENTO="Manual",$M122=1),0,IF(OFFSET(CRONOPLE!$F$14,$M122,AP$13)="",10^12,OFFSET(CRONOPLE!$F$14,$M122,AP$13))))</f>
        <v>1000000000000</v>
      </c>
      <c r="AQ122" s="181">
        <f ca="1">IF($D122&lt;&gt;"Serviço",0,IF(AND(AUTOEVENTO="Manual",$M122=1),0,IF(OFFSET(CRONOPLE!$F$14,$M122,AQ$13)="",10^12,OFFSET(CRONOPLE!$F$14,$M122,AQ$13))))</f>
        <v>1000000000000</v>
      </c>
      <c r="AR122" s="181">
        <f ca="1">IF($D122&lt;&gt;"Serviço",0,IF(AND(AUTOEVENTO="Manual",$M122=1),0,IF(OFFSET(CRONOPLE!$F$14,$M122,AR$13)="",10^12,OFFSET(CRONOPLE!$F$14,$M122,AR$13))))</f>
        <v>1000000000000</v>
      </c>
      <c r="AS122" s="181">
        <f ca="1">IF($D122&lt;&gt;"Serviço",0,IF(AND(AUTOEVENTO="Manual",$M122=1),0,IF(OFFSET(CRONOPLE!$F$14,$M122,AS$13)="",10^12,OFFSET(CRONOPLE!$F$14,$M122,AS$13))))</f>
        <v>1000000000000</v>
      </c>
      <c r="AT122" s="181">
        <f ca="1">IF($D122&lt;&gt;"Serviço",0,IF(AND(AUTOEVENTO="Manual",$M122=1),0,IF(OFFSET(CRONOPLE!$F$14,$M122,AT$13)="",10^12,OFFSET(CRONOPLE!$F$14,$M122,AT$13))))</f>
        <v>1000000000000</v>
      </c>
      <c r="AU122" s="181">
        <f ca="1">IF($D122&lt;&gt;"Serviço",0,IF(AND(AUTOEVENTO="Manual",$M122=1),0,IF(OFFSET(CRONOPLE!$F$14,$M122,AU$13)="",10^12,OFFSET(CRONOPLE!$F$14,$M122,AU$13))))</f>
        <v>1000000000000</v>
      </c>
      <c r="AV122" s="181">
        <f ca="1">IF($D122&lt;&gt;"Serviço",0,IF(AND(AUTOEVENTO="Manual",$M122=1),0,IF(OFFSET(CRONOPLE!$F$14,$M122,AV$13)="",10^12,OFFSET(CRONOPLE!$F$14,$M122,AV$13))))</f>
        <v>1000000000000</v>
      </c>
      <c r="AX122" s="182">
        <f ca="1">IF($D122&lt;&gt;"Serviço",0,IF(OR(AND(AUTOEVENTO="Manual",$M122=1),$M122&gt;(ROW(PLE.lastrow)-ROW(PLE.firstrow))),0,IF(OFFSET(PLE!$G$14,$M122,AX$13)="",10^12,OFFSET(PLE!$G$14,$M122,AX$13))))</f>
        <v>1000000000000</v>
      </c>
      <c r="AY122" s="182">
        <f ca="1">IF($D122&lt;&gt;"Serviço",0,IF(OR(AND(AUTOEVENTO="Manual",$M122=1),$M122&gt;(ROW(PLE.lastrow)-ROW(PLE.firstrow))),0,IF(OFFSET(PLE!$G$14,$M122,AY$13)="",10^12,OFFSET(PLE!$G$14,$M122,AY$13))))</f>
        <v>1000000000000</v>
      </c>
      <c r="AZ122" s="182">
        <f ca="1">IF($D122&lt;&gt;"Serviço",0,IF(OR(AND(AUTOEVENTO="Manual",$M122=1),$M122&gt;(ROW(PLE.lastrow)-ROW(PLE.firstrow))),0,IF(OFFSET(PLE!$G$14,$M122,AZ$13)="",10^12,OFFSET(PLE!$G$14,$M122,AZ$13))))</f>
        <v>1000000000000</v>
      </c>
      <c r="BA122" s="182">
        <f ca="1">IF($D122&lt;&gt;"Serviço",0,IF(OR(AND(AUTOEVENTO="Manual",$M122=1),$M122&gt;(ROW(PLE.lastrow)-ROW(PLE.firstrow))),0,IF(OFFSET(PLE!$G$14,$M122,BA$13)="",10^12,OFFSET(PLE!$G$14,$M122,BA$13))))</f>
        <v>1000000000000</v>
      </c>
      <c r="BB122" s="182">
        <f ca="1">IF($D122&lt;&gt;"Serviço",0,IF(OR(AND(AUTOEVENTO="Manual",$M122=1),$M122&gt;(ROW(PLE.lastrow)-ROW(PLE.firstrow))),0,IF(OFFSET(PLE!$G$14,$M122,BB$13)="",10^12,OFFSET(PLE!$G$14,$M122,BB$13))))</f>
        <v>1000000000000</v>
      </c>
      <c r="BC122" s="182">
        <f ca="1">IF($D122&lt;&gt;"Serviço",0,IF(OR(AND(AUTOEVENTO="Manual",$M122=1),$M122&gt;(ROW(PLE.lastrow)-ROW(PLE.firstrow))),0,IF(OFFSET(PLE!$G$14,$M122,BC$13)="",10^12,OFFSET(PLE!$G$14,$M122,BC$13))))</f>
        <v>1000000000000</v>
      </c>
      <c r="BD122" s="182">
        <f ca="1">IF($D122&lt;&gt;"Serviço",0,IF(OR(AND(AUTOEVENTO="Manual",$M122=1),$M122&gt;(ROW(PLE.lastrow)-ROW(PLE.firstrow))),0,IF(OFFSET(PLE!$G$14,$M122,BD$13)="",10^12,OFFSET(PLE!$G$14,$M122,BD$13))))</f>
        <v>1000000000000</v>
      </c>
      <c r="BE122" s="182">
        <f ca="1">IF($D122&lt;&gt;"Serviço",0,IF(OR(AND(AUTOEVENTO="Manual",$M122=1),$M122&gt;(ROW(PLE.lastrow)-ROW(PLE.firstrow))),0,IF(OFFSET(PLE!$G$14,$M122,BE$13)="",10^12,OFFSET(PLE!$G$14,$M122,BE$13))))</f>
        <v>1000000000000</v>
      </c>
      <c r="BF122" s="182">
        <f ca="1">IF($D122&lt;&gt;"Serviço",0,IF(OR(AND(AUTOEVENTO="Manual",$M122=1),$M122&gt;(ROW(PLE.lastrow)-ROW(PLE.firstrow))),0,IF(OFFSET(PLE!$G$14,$M122,BF$13)="",10^12,OFFSET(PLE!$G$14,$M122,BF$13))))</f>
        <v>1000000000000</v>
      </c>
      <c r="BG122" s="182">
        <f ca="1">IF($D122&lt;&gt;"Serviço",0,IF(OR(AND(AUTOEVENTO="Manual",$M122=1),$M122&gt;(ROW(PLE.lastrow)-ROW(PLE.firstrow))),0,IF(OFFSET(PLE!$G$14,$M122,BG$13)="",10^12,OFFSET(PLE!$G$14,$M122,BG$13))))</f>
        <v>1000000000000</v>
      </c>
    </row>
    <row r="123" spans="1:59" ht="12.75" x14ac:dyDescent="0.2">
      <c r="A123" s="7" t="str">
        <f t="shared" ca="1" si="9"/>
        <v>108.</v>
      </c>
      <c r="B123" s="7">
        <f ca="1">OFFSET(ORÇAMENTO!C$15,ROW(B123)-ROW(B$15),0)</f>
        <v>2</v>
      </c>
      <c r="C123" s="7" t="str">
        <f ca="1">OFFSET(ORÇAMENTO!L$15,ROW(C123)-ROW(C$15),0)</f>
        <v>F</v>
      </c>
      <c r="D123" s="118" t="str">
        <f ca="1">OFFSET(ORÇAMENTO!N$15,ROW(D123)-ROW(D$15),0)</f>
        <v>Nível 2</v>
      </c>
      <c r="E123" s="119" t="str">
        <f ca="1">OFFSET(ORÇAMENTO!O$15,ROW(E123)-ROW(E$15),0)</f>
        <v>1.6.</v>
      </c>
      <c r="F123" s="172" t="str">
        <f ca="1">OFFSET(ORÇAMENTO!R$15,ROW(F123)-ROW(F$15),0)</f>
        <v>ESQUADRIAS</v>
      </c>
      <c r="G123" s="173" t="str">
        <f ca="1">IF($D123&lt;&gt;"Serviço","",OFFSET(ORÇAMENTO!S$15,ROW(G123)-ROW(G$15),0))</f>
        <v/>
      </c>
      <c r="H123" s="124">
        <f ca="1">IF($D123&lt;&gt;"Serviço",0,IF(ACOMPANHAMENTO="BM",ROUND(OFFSET(ORÇAMENTO!AJ$15,ROW(H123)-ROW(H$15),0),15-13*ORÇAMENTO!$AF$7),SUMPRODUCT(($Q$12:$AA$12&lt;&gt;"")*ROUND($Q123:$AA123,15-13*ORÇAMENTO!$AF$7))))</f>
        <v>0</v>
      </c>
      <c r="I123" s="561"/>
      <c r="K123" s="174"/>
      <c r="L123" s="175" t="s">
        <v>255</v>
      </c>
      <c r="M123" s="176" t="str">
        <f ca="1">IF($D123&lt;&gt;"Serviço","",IF(AUTOEVENTO="manual",$A123,IF(ISERROR(MATCH($A123,$A$15:OFFSET($A123,-1,0),0)),MAX($M$15:OFFSET(M123,-1,0))+1,INDEX($M$15:OFFSET(M123,-1,0),MATCH($A123,$A$15:OFFSET($A123,-1,0),0)))))</f>
        <v/>
      </c>
      <c r="N123" s="177" t="str">
        <f ca="1">IF($D123&lt;&gt;"Serviço","",IF(AUTOEVENTO="Manual",IF($A123=0,"&lt;-- defina o número do agrupador",OFFSET(EVENTOS!$D$14,$A123,0)),OFFSET($F$15,$A123,0)))</f>
        <v/>
      </c>
      <c r="O123" s="178"/>
      <c r="Q123" s="178"/>
      <c r="R123" s="179"/>
      <c r="S123" s="179"/>
      <c r="T123" s="179"/>
      <c r="U123" s="179"/>
      <c r="V123" s="179"/>
      <c r="W123" s="179"/>
      <c r="X123" s="179"/>
      <c r="Y123" s="179"/>
      <c r="Z123" s="180"/>
      <c r="AB123" s="544">
        <f ca="1">IF(AND($D123="Serviço",AB$12&lt;&gt;0,$H123&gt;0,OR(AUTOEVENTO&lt;&gt;"manual",$M123&lt;&gt;1)),
IF(Import.TipoArredondamento&lt;&gt;"TransfereGOV",
ROUND(OFFSET($P123,0,AB$13),15-13*ORÇAMENTO!$AF$7)/$H123*OFFSET(ORÇAMENTO!$X$15,ROW(AB123)-ROW(AB$15),0),
ROUND(ROUND(OFFSET($P123,0,AB$13),15-13*ORÇAMENTO!$AF$7)*OFFSET(ORÇAMENTO!$W$15,ROW(AB123)-ROW(AB$15),0),15-13*ORÇAMENTO!$AF$11)),0)</f>
        <v>0</v>
      </c>
      <c r="AC123" s="545">
        <f ca="1">IF(AND($D123="Serviço",AC$12&lt;&gt;0,$H123&gt;0,OR(AUTOEVENTO&lt;&gt;"manual",$M123&lt;&gt;1)),
IF(Import.TipoArredondamento&lt;&gt;"TransfereGOV",
ROUND(OFFSET($P123,0,AC$13),15-13*ORÇAMENTO!$AF$7)/$H123*OFFSET(ORÇAMENTO!$X$15,ROW(AC123)-ROW(AC$15),0),
ROUND(ROUND(OFFSET($P123,0,AC$13),15-13*ORÇAMENTO!$AF$7)*OFFSET(ORÇAMENTO!$W$15,ROW(AC123)-ROW(AC$15),0),15-13*ORÇAMENTO!$AF$11)),0)</f>
        <v>0</v>
      </c>
      <c r="AD123" s="545">
        <f ca="1">IF(AND($D123="Serviço",AD$12&lt;&gt;0,$H123&gt;0,OR(AUTOEVENTO&lt;&gt;"manual",$M123&lt;&gt;1)),
IF(Import.TipoArredondamento&lt;&gt;"TransfereGOV",
ROUND(OFFSET($P123,0,AD$13),15-13*ORÇAMENTO!$AF$7)/$H123*OFFSET(ORÇAMENTO!$X$15,ROW(AD123)-ROW(AD$15),0),
ROUND(ROUND(OFFSET($P123,0,AD$13),15-13*ORÇAMENTO!$AF$7)*OFFSET(ORÇAMENTO!$W$15,ROW(AD123)-ROW(AD$15),0),15-13*ORÇAMENTO!$AF$11)),0)</f>
        <v>0</v>
      </c>
      <c r="AE123" s="545">
        <f ca="1">IF(AND($D123="Serviço",AE$12&lt;&gt;0,$H123&gt;0,OR(AUTOEVENTO&lt;&gt;"manual",$M123&lt;&gt;1)),
IF(Import.TipoArredondamento&lt;&gt;"TransfereGOV",
ROUND(OFFSET($P123,0,AE$13),15-13*ORÇAMENTO!$AF$7)/$H123*OFFSET(ORÇAMENTO!$X$15,ROW(AE123)-ROW(AE$15),0),
ROUND(ROUND(OFFSET($P123,0,AE$13),15-13*ORÇAMENTO!$AF$7)*OFFSET(ORÇAMENTO!$W$15,ROW(AE123)-ROW(AE$15),0),15-13*ORÇAMENTO!$AF$11)),0)</f>
        <v>0</v>
      </c>
      <c r="AF123" s="545">
        <f ca="1">IF(AND($D123="Serviço",AF$12&lt;&gt;0,$H123&gt;0,OR(AUTOEVENTO&lt;&gt;"manual",$M123&lt;&gt;1)),
IF(Import.TipoArredondamento&lt;&gt;"TransfereGOV",
ROUND(OFFSET($P123,0,AF$13),15-13*ORÇAMENTO!$AF$7)/$H123*OFFSET(ORÇAMENTO!$X$15,ROW(AF123)-ROW(AF$15),0),
ROUND(ROUND(OFFSET($P123,0,AF$13),15-13*ORÇAMENTO!$AF$7)*OFFSET(ORÇAMENTO!$W$15,ROW(AF123)-ROW(AF$15),0),15-13*ORÇAMENTO!$AF$11)),0)</f>
        <v>0</v>
      </c>
      <c r="AG123" s="545">
        <f ca="1">IF(AND($D123="Serviço",AG$12&lt;&gt;0,$H123&gt;0,OR(AUTOEVENTO&lt;&gt;"manual",$M123&lt;&gt;1)),
IF(Import.TipoArredondamento&lt;&gt;"TransfereGOV",
ROUND(OFFSET($P123,0,AG$13),15-13*ORÇAMENTO!$AF$7)/$H123*OFFSET(ORÇAMENTO!$X$15,ROW(AG123)-ROW(AG$15),0),
ROUND(ROUND(OFFSET($P123,0,AG$13),15-13*ORÇAMENTO!$AF$7)*OFFSET(ORÇAMENTO!$W$15,ROW(AG123)-ROW(AG$15),0),15-13*ORÇAMENTO!$AF$11)),0)</f>
        <v>0</v>
      </c>
      <c r="AH123" s="545">
        <f ca="1">IF(AND($D123="Serviço",AH$12&lt;&gt;0,$H123&gt;0,OR(AUTOEVENTO&lt;&gt;"manual",$M123&lt;&gt;1)),
IF(Import.TipoArredondamento&lt;&gt;"TransfereGOV",
ROUND(OFFSET($P123,0,AH$13),15-13*ORÇAMENTO!$AF$7)/$H123*OFFSET(ORÇAMENTO!$X$15,ROW(AH123)-ROW(AH$15),0),
ROUND(ROUND(OFFSET($P123,0,AH$13),15-13*ORÇAMENTO!$AF$7)*OFFSET(ORÇAMENTO!$W$15,ROW(AH123)-ROW(AH$15),0),15-13*ORÇAMENTO!$AF$11)),0)</f>
        <v>0</v>
      </c>
      <c r="AI123" s="545">
        <f ca="1">IF(AND($D123="Serviço",AI$12&lt;&gt;0,$H123&gt;0,OR(AUTOEVENTO&lt;&gt;"manual",$M123&lt;&gt;1)),
IF(Import.TipoArredondamento&lt;&gt;"TransfereGOV",
ROUND(OFFSET($P123,0,AI$13),15-13*ORÇAMENTO!$AF$7)/$H123*OFFSET(ORÇAMENTO!$X$15,ROW(AI123)-ROW(AI$15),0),
ROUND(ROUND(OFFSET($P123,0,AI$13),15-13*ORÇAMENTO!$AF$7)*OFFSET(ORÇAMENTO!$W$15,ROW(AI123)-ROW(AI$15),0),15-13*ORÇAMENTO!$AF$11)),0)</f>
        <v>0</v>
      </c>
      <c r="AJ123" s="545">
        <f ca="1">IF(AND($D123="Serviço",AJ$12&lt;&gt;0,$H123&gt;0,OR(AUTOEVENTO&lt;&gt;"manual",$M123&lt;&gt;1)),
IF(Import.TipoArredondamento&lt;&gt;"TransfereGOV",
ROUND(OFFSET($P123,0,AJ$13),15-13*ORÇAMENTO!$AF$7)/$H123*OFFSET(ORÇAMENTO!$X$15,ROW(AJ123)-ROW(AJ$15),0),
ROUND(ROUND(OFFSET($P123,0,AJ$13),15-13*ORÇAMENTO!$AF$7)*OFFSET(ORÇAMENTO!$W$15,ROW(AJ123)-ROW(AJ$15),0),15-13*ORÇAMENTO!$AF$11)),0)</f>
        <v>0</v>
      </c>
      <c r="AK123" s="546">
        <f ca="1">IF(AND($D123="Serviço",AK$12&lt;&gt;0,$H123&gt;0,OR(AUTOEVENTO&lt;&gt;"manual",$M123&lt;&gt;1)),
IF(Import.TipoArredondamento&lt;&gt;"TransfereGOV",
ROUND(OFFSET($P123,0,AK$13),15-13*ORÇAMENTO!$AF$7)/$H123*OFFSET(ORÇAMENTO!$X$15,ROW(AK123)-ROW(AK$15),0),
ROUND(ROUND(OFFSET($P123,0,AK$13),15-13*ORÇAMENTO!$AF$7)*OFFSET(ORÇAMENTO!$W$15,ROW(AK123)-ROW(AK$15),0),15-13*ORÇAMENTO!$AF$11)),0)</f>
        <v>0</v>
      </c>
      <c r="AM123" s="181">
        <f ca="1">IF($D123&lt;&gt;"Serviço",0,IF(AND(AUTOEVENTO="Manual",$M123=1),0,IF(OFFSET(CRONOPLE!$F$14,$M123,AM$13)="",10^12,OFFSET(CRONOPLE!$F$14,$M123,AM$13))))</f>
        <v>0</v>
      </c>
      <c r="AN123" s="181">
        <f ca="1">IF($D123&lt;&gt;"Serviço",0,IF(AND(AUTOEVENTO="Manual",$M123=1),0,IF(OFFSET(CRONOPLE!$F$14,$M123,AN$13)="",10^12,OFFSET(CRONOPLE!$F$14,$M123,AN$13))))</f>
        <v>0</v>
      </c>
      <c r="AO123" s="181">
        <f ca="1">IF($D123&lt;&gt;"Serviço",0,IF(AND(AUTOEVENTO="Manual",$M123=1),0,IF(OFFSET(CRONOPLE!$F$14,$M123,AO$13)="",10^12,OFFSET(CRONOPLE!$F$14,$M123,AO$13))))</f>
        <v>0</v>
      </c>
      <c r="AP123" s="181">
        <f ca="1">IF($D123&lt;&gt;"Serviço",0,IF(AND(AUTOEVENTO="Manual",$M123=1),0,IF(OFFSET(CRONOPLE!$F$14,$M123,AP$13)="",10^12,OFFSET(CRONOPLE!$F$14,$M123,AP$13))))</f>
        <v>0</v>
      </c>
      <c r="AQ123" s="181">
        <f ca="1">IF($D123&lt;&gt;"Serviço",0,IF(AND(AUTOEVENTO="Manual",$M123=1),0,IF(OFFSET(CRONOPLE!$F$14,$M123,AQ$13)="",10^12,OFFSET(CRONOPLE!$F$14,$M123,AQ$13))))</f>
        <v>0</v>
      </c>
      <c r="AR123" s="181">
        <f ca="1">IF($D123&lt;&gt;"Serviço",0,IF(AND(AUTOEVENTO="Manual",$M123=1),0,IF(OFFSET(CRONOPLE!$F$14,$M123,AR$13)="",10^12,OFFSET(CRONOPLE!$F$14,$M123,AR$13))))</f>
        <v>0</v>
      </c>
      <c r="AS123" s="181">
        <f ca="1">IF($D123&lt;&gt;"Serviço",0,IF(AND(AUTOEVENTO="Manual",$M123=1),0,IF(OFFSET(CRONOPLE!$F$14,$M123,AS$13)="",10^12,OFFSET(CRONOPLE!$F$14,$M123,AS$13))))</f>
        <v>0</v>
      </c>
      <c r="AT123" s="181">
        <f ca="1">IF($D123&lt;&gt;"Serviço",0,IF(AND(AUTOEVENTO="Manual",$M123=1),0,IF(OFFSET(CRONOPLE!$F$14,$M123,AT$13)="",10^12,OFFSET(CRONOPLE!$F$14,$M123,AT$13))))</f>
        <v>0</v>
      </c>
      <c r="AU123" s="181">
        <f ca="1">IF($D123&lt;&gt;"Serviço",0,IF(AND(AUTOEVENTO="Manual",$M123=1),0,IF(OFFSET(CRONOPLE!$F$14,$M123,AU$13)="",10^12,OFFSET(CRONOPLE!$F$14,$M123,AU$13))))</f>
        <v>0</v>
      </c>
      <c r="AV123" s="181">
        <f ca="1">IF($D123&lt;&gt;"Serviço",0,IF(AND(AUTOEVENTO="Manual",$M123=1),0,IF(OFFSET(CRONOPLE!$F$14,$M123,AV$13)="",10^12,OFFSET(CRONOPLE!$F$14,$M123,AV$13))))</f>
        <v>0</v>
      </c>
      <c r="AX123" s="182">
        <f ca="1">IF($D123&lt;&gt;"Serviço",0,IF(OR(AND(AUTOEVENTO="Manual",$M123=1),$M123&gt;(ROW(PLE.lastrow)-ROW(PLE.firstrow))),0,IF(OFFSET(PLE!$G$14,$M123,AX$13)="",10^12,OFFSET(PLE!$G$14,$M123,AX$13))))</f>
        <v>0</v>
      </c>
      <c r="AY123" s="182">
        <f ca="1">IF($D123&lt;&gt;"Serviço",0,IF(OR(AND(AUTOEVENTO="Manual",$M123=1),$M123&gt;(ROW(PLE.lastrow)-ROW(PLE.firstrow))),0,IF(OFFSET(PLE!$G$14,$M123,AY$13)="",10^12,OFFSET(PLE!$G$14,$M123,AY$13))))</f>
        <v>0</v>
      </c>
      <c r="AZ123" s="182">
        <f ca="1">IF($D123&lt;&gt;"Serviço",0,IF(OR(AND(AUTOEVENTO="Manual",$M123=1),$M123&gt;(ROW(PLE.lastrow)-ROW(PLE.firstrow))),0,IF(OFFSET(PLE!$G$14,$M123,AZ$13)="",10^12,OFFSET(PLE!$G$14,$M123,AZ$13))))</f>
        <v>0</v>
      </c>
      <c r="BA123" s="182">
        <f ca="1">IF($D123&lt;&gt;"Serviço",0,IF(OR(AND(AUTOEVENTO="Manual",$M123=1),$M123&gt;(ROW(PLE.lastrow)-ROW(PLE.firstrow))),0,IF(OFFSET(PLE!$G$14,$M123,BA$13)="",10^12,OFFSET(PLE!$G$14,$M123,BA$13))))</f>
        <v>0</v>
      </c>
      <c r="BB123" s="182">
        <f ca="1">IF($D123&lt;&gt;"Serviço",0,IF(OR(AND(AUTOEVENTO="Manual",$M123=1),$M123&gt;(ROW(PLE.lastrow)-ROW(PLE.firstrow))),0,IF(OFFSET(PLE!$G$14,$M123,BB$13)="",10^12,OFFSET(PLE!$G$14,$M123,BB$13))))</f>
        <v>0</v>
      </c>
      <c r="BC123" s="182">
        <f ca="1">IF($D123&lt;&gt;"Serviço",0,IF(OR(AND(AUTOEVENTO="Manual",$M123=1),$M123&gt;(ROW(PLE.lastrow)-ROW(PLE.firstrow))),0,IF(OFFSET(PLE!$G$14,$M123,BC$13)="",10^12,OFFSET(PLE!$G$14,$M123,BC$13))))</f>
        <v>0</v>
      </c>
      <c r="BD123" s="182">
        <f ca="1">IF($D123&lt;&gt;"Serviço",0,IF(OR(AND(AUTOEVENTO="Manual",$M123=1),$M123&gt;(ROW(PLE.lastrow)-ROW(PLE.firstrow))),0,IF(OFFSET(PLE!$G$14,$M123,BD$13)="",10^12,OFFSET(PLE!$G$14,$M123,BD$13))))</f>
        <v>0</v>
      </c>
      <c r="BE123" s="182">
        <f ca="1">IF($D123&lt;&gt;"Serviço",0,IF(OR(AND(AUTOEVENTO="Manual",$M123=1),$M123&gt;(ROW(PLE.lastrow)-ROW(PLE.firstrow))),0,IF(OFFSET(PLE!$G$14,$M123,BE$13)="",10^12,OFFSET(PLE!$G$14,$M123,BE$13))))</f>
        <v>0</v>
      </c>
      <c r="BF123" s="182">
        <f ca="1">IF($D123&lt;&gt;"Serviço",0,IF(OR(AND(AUTOEVENTO="Manual",$M123=1),$M123&gt;(ROW(PLE.lastrow)-ROW(PLE.firstrow))),0,IF(OFFSET(PLE!$G$14,$M123,BF$13)="",10^12,OFFSET(PLE!$G$14,$M123,BF$13))))</f>
        <v>0</v>
      </c>
      <c r="BG123" s="182">
        <f ca="1">IF($D123&lt;&gt;"Serviço",0,IF(OR(AND(AUTOEVENTO="Manual",$M123=1),$M123&gt;(ROW(PLE.lastrow)-ROW(PLE.firstrow))),0,IF(OFFSET(PLE!$G$14,$M123,BG$13)="",10^12,OFFSET(PLE!$G$14,$M123,BG$13))))</f>
        <v>0</v>
      </c>
    </row>
    <row r="124" spans="1:59" ht="12.75" x14ac:dyDescent="0.2">
      <c r="A124" s="7" t="str">
        <f t="shared" ca="1" si="9"/>
        <v>108.</v>
      </c>
      <c r="B124" s="7">
        <f ca="1">OFFSET(ORÇAMENTO!C$15,ROW(B124)-ROW(B$15),0)</f>
        <v>3</v>
      </c>
      <c r="C124" s="7" t="str">
        <f ca="1">OFFSET(ORÇAMENTO!L$15,ROW(C124)-ROW(C$15),0)</f>
        <v>F</v>
      </c>
      <c r="D124" s="118" t="str">
        <f ca="1">OFFSET(ORÇAMENTO!N$15,ROW(D124)-ROW(D$15),0)</f>
        <v>Nível 3</v>
      </c>
      <c r="E124" s="119" t="str">
        <f ca="1">OFFSET(ORÇAMENTO!O$15,ROW(E124)-ROW(E$15),0)</f>
        <v>1.6.1.</v>
      </c>
      <c r="F124" s="172" t="str">
        <f ca="1">OFFSET(ORÇAMENTO!R$15,ROW(F124)-ROW(F$15),0)</f>
        <v>PORTAS DE MADEIRA</v>
      </c>
      <c r="G124" s="173" t="str">
        <f ca="1">IF($D124&lt;&gt;"Serviço","",OFFSET(ORÇAMENTO!S$15,ROW(G124)-ROW(G$15),0))</f>
        <v/>
      </c>
      <c r="H124" s="124">
        <f ca="1">IF($D124&lt;&gt;"Serviço",0,IF(ACOMPANHAMENTO="BM",ROUND(OFFSET(ORÇAMENTO!AJ$15,ROW(H124)-ROW(H$15),0),15-13*ORÇAMENTO!$AF$7),SUMPRODUCT(($Q$12:$AA$12&lt;&gt;"")*ROUND($Q124:$AA124,15-13*ORÇAMENTO!$AF$7))))</f>
        <v>0</v>
      </c>
      <c r="I124" s="561"/>
      <c r="K124" s="174"/>
      <c r="L124" s="175" t="s">
        <v>255</v>
      </c>
      <c r="M124" s="176" t="str">
        <f ca="1">IF($D124&lt;&gt;"Serviço","",IF(AUTOEVENTO="manual",$A124,IF(ISERROR(MATCH($A124,$A$15:OFFSET($A124,-1,0),0)),MAX($M$15:OFFSET(M124,-1,0))+1,INDEX($M$15:OFFSET(M124,-1,0),MATCH($A124,$A$15:OFFSET($A124,-1,0),0)))))</f>
        <v/>
      </c>
      <c r="N124" s="177" t="str">
        <f ca="1">IF($D124&lt;&gt;"Serviço","",IF(AUTOEVENTO="Manual",IF($A124=0,"&lt;-- defina o número do agrupador",OFFSET(EVENTOS!$D$14,$A124,0)),OFFSET($F$15,$A124,0)))</f>
        <v/>
      </c>
      <c r="O124" s="178"/>
      <c r="Q124" s="178"/>
      <c r="R124" s="179"/>
      <c r="S124" s="179"/>
      <c r="T124" s="179"/>
      <c r="U124" s="179"/>
      <c r="V124" s="179"/>
      <c r="W124" s="179"/>
      <c r="X124" s="179"/>
      <c r="Y124" s="179"/>
      <c r="Z124" s="180"/>
      <c r="AB124" s="544">
        <f ca="1">IF(AND($D124="Serviço",AB$12&lt;&gt;0,$H124&gt;0,OR(AUTOEVENTO&lt;&gt;"manual",$M124&lt;&gt;1)),
IF(Import.TipoArredondamento&lt;&gt;"TransfereGOV",
ROUND(OFFSET($P124,0,AB$13),15-13*ORÇAMENTO!$AF$7)/$H124*OFFSET(ORÇAMENTO!$X$15,ROW(AB124)-ROW(AB$15),0),
ROUND(ROUND(OFFSET($P124,0,AB$13),15-13*ORÇAMENTO!$AF$7)*OFFSET(ORÇAMENTO!$W$15,ROW(AB124)-ROW(AB$15),0),15-13*ORÇAMENTO!$AF$11)),0)</f>
        <v>0</v>
      </c>
      <c r="AC124" s="545">
        <f ca="1">IF(AND($D124="Serviço",AC$12&lt;&gt;0,$H124&gt;0,OR(AUTOEVENTO&lt;&gt;"manual",$M124&lt;&gt;1)),
IF(Import.TipoArredondamento&lt;&gt;"TransfereGOV",
ROUND(OFFSET($P124,0,AC$13),15-13*ORÇAMENTO!$AF$7)/$H124*OFFSET(ORÇAMENTO!$X$15,ROW(AC124)-ROW(AC$15),0),
ROUND(ROUND(OFFSET($P124,0,AC$13),15-13*ORÇAMENTO!$AF$7)*OFFSET(ORÇAMENTO!$W$15,ROW(AC124)-ROW(AC$15),0),15-13*ORÇAMENTO!$AF$11)),0)</f>
        <v>0</v>
      </c>
      <c r="AD124" s="545">
        <f ca="1">IF(AND($D124="Serviço",AD$12&lt;&gt;0,$H124&gt;0,OR(AUTOEVENTO&lt;&gt;"manual",$M124&lt;&gt;1)),
IF(Import.TipoArredondamento&lt;&gt;"TransfereGOV",
ROUND(OFFSET($P124,0,AD$13),15-13*ORÇAMENTO!$AF$7)/$H124*OFFSET(ORÇAMENTO!$X$15,ROW(AD124)-ROW(AD$15),0),
ROUND(ROUND(OFFSET($P124,0,AD$13),15-13*ORÇAMENTO!$AF$7)*OFFSET(ORÇAMENTO!$W$15,ROW(AD124)-ROW(AD$15),0),15-13*ORÇAMENTO!$AF$11)),0)</f>
        <v>0</v>
      </c>
      <c r="AE124" s="545">
        <f ca="1">IF(AND($D124="Serviço",AE$12&lt;&gt;0,$H124&gt;0,OR(AUTOEVENTO&lt;&gt;"manual",$M124&lt;&gt;1)),
IF(Import.TipoArredondamento&lt;&gt;"TransfereGOV",
ROUND(OFFSET($P124,0,AE$13),15-13*ORÇAMENTO!$AF$7)/$H124*OFFSET(ORÇAMENTO!$X$15,ROW(AE124)-ROW(AE$15),0),
ROUND(ROUND(OFFSET($P124,0,AE$13),15-13*ORÇAMENTO!$AF$7)*OFFSET(ORÇAMENTO!$W$15,ROW(AE124)-ROW(AE$15),0),15-13*ORÇAMENTO!$AF$11)),0)</f>
        <v>0</v>
      </c>
      <c r="AF124" s="545">
        <f ca="1">IF(AND($D124="Serviço",AF$12&lt;&gt;0,$H124&gt;0,OR(AUTOEVENTO&lt;&gt;"manual",$M124&lt;&gt;1)),
IF(Import.TipoArredondamento&lt;&gt;"TransfereGOV",
ROUND(OFFSET($P124,0,AF$13),15-13*ORÇAMENTO!$AF$7)/$H124*OFFSET(ORÇAMENTO!$X$15,ROW(AF124)-ROW(AF$15),0),
ROUND(ROUND(OFFSET($P124,0,AF$13),15-13*ORÇAMENTO!$AF$7)*OFFSET(ORÇAMENTO!$W$15,ROW(AF124)-ROW(AF$15),0),15-13*ORÇAMENTO!$AF$11)),0)</f>
        <v>0</v>
      </c>
      <c r="AG124" s="545">
        <f ca="1">IF(AND($D124="Serviço",AG$12&lt;&gt;0,$H124&gt;0,OR(AUTOEVENTO&lt;&gt;"manual",$M124&lt;&gt;1)),
IF(Import.TipoArredondamento&lt;&gt;"TransfereGOV",
ROUND(OFFSET($P124,0,AG$13),15-13*ORÇAMENTO!$AF$7)/$H124*OFFSET(ORÇAMENTO!$X$15,ROW(AG124)-ROW(AG$15),0),
ROUND(ROUND(OFFSET($P124,0,AG$13),15-13*ORÇAMENTO!$AF$7)*OFFSET(ORÇAMENTO!$W$15,ROW(AG124)-ROW(AG$15),0),15-13*ORÇAMENTO!$AF$11)),0)</f>
        <v>0</v>
      </c>
      <c r="AH124" s="545">
        <f ca="1">IF(AND($D124="Serviço",AH$12&lt;&gt;0,$H124&gt;0,OR(AUTOEVENTO&lt;&gt;"manual",$M124&lt;&gt;1)),
IF(Import.TipoArredondamento&lt;&gt;"TransfereGOV",
ROUND(OFFSET($P124,0,AH$13),15-13*ORÇAMENTO!$AF$7)/$H124*OFFSET(ORÇAMENTO!$X$15,ROW(AH124)-ROW(AH$15),0),
ROUND(ROUND(OFFSET($P124,0,AH$13),15-13*ORÇAMENTO!$AF$7)*OFFSET(ORÇAMENTO!$W$15,ROW(AH124)-ROW(AH$15),0),15-13*ORÇAMENTO!$AF$11)),0)</f>
        <v>0</v>
      </c>
      <c r="AI124" s="545">
        <f ca="1">IF(AND($D124="Serviço",AI$12&lt;&gt;0,$H124&gt;0,OR(AUTOEVENTO&lt;&gt;"manual",$M124&lt;&gt;1)),
IF(Import.TipoArredondamento&lt;&gt;"TransfereGOV",
ROUND(OFFSET($P124,0,AI$13),15-13*ORÇAMENTO!$AF$7)/$H124*OFFSET(ORÇAMENTO!$X$15,ROW(AI124)-ROW(AI$15),0),
ROUND(ROUND(OFFSET($P124,0,AI$13),15-13*ORÇAMENTO!$AF$7)*OFFSET(ORÇAMENTO!$W$15,ROW(AI124)-ROW(AI$15),0),15-13*ORÇAMENTO!$AF$11)),0)</f>
        <v>0</v>
      </c>
      <c r="AJ124" s="545">
        <f ca="1">IF(AND($D124="Serviço",AJ$12&lt;&gt;0,$H124&gt;0,OR(AUTOEVENTO&lt;&gt;"manual",$M124&lt;&gt;1)),
IF(Import.TipoArredondamento&lt;&gt;"TransfereGOV",
ROUND(OFFSET($P124,0,AJ$13),15-13*ORÇAMENTO!$AF$7)/$H124*OFFSET(ORÇAMENTO!$X$15,ROW(AJ124)-ROW(AJ$15),0),
ROUND(ROUND(OFFSET($P124,0,AJ$13),15-13*ORÇAMENTO!$AF$7)*OFFSET(ORÇAMENTO!$W$15,ROW(AJ124)-ROW(AJ$15),0),15-13*ORÇAMENTO!$AF$11)),0)</f>
        <v>0</v>
      </c>
      <c r="AK124" s="546">
        <f ca="1">IF(AND($D124="Serviço",AK$12&lt;&gt;0,$H124&gt;0,OR(AUTOEVENTO&lt;&gt;"manual",$M124&lt;&gt;1)),
IF(Import.TipoArredondamento&lt;&gt;"TransfereGOV",
ROUND(OFFSET($P124,0,AK$13),15-13*ORÇAMENTO!$AF$7)/$H124*OFFSET(ORÇAMENTO!$X$15,ROW(AK124)-ROW(AK$15),0),
ROUND(ROUND(OFFSET($P124,0,AK$13),15-13*ORÇAMENTO!$AF$7)*OFFSET(ORÇAMENTO!$W$15,ROW(AK124)-ROW(AK$15),0),15-13*ORÇAMENTO!$AF$11)),0)</f>
        <v>0</v>
      </c>
      <c r="AM124" s="181">
        <f ca="1">IF($D124&lt;&gt;"Serviço",0,IF(AND(AUTOEVENTO="Manual",$M124=1),0,IF(OFFSET(CRONOPLE!$F$14,$M124,AM$13)="",10^12,OFFSET(CRONOPLE!$F$14,$M124,AM$13))))</f>
        <v>0</v>
      </c>
      <c r="AN124" s="181">
        <f ca="1">IF($D124&lt;&gt;"Serviço",0,IF(AND(AUTOEVENTO="Manual",$M124=1),0,IF(OFFSET(CRONOPLE!$F$14,$M124,AN$13)="",10^12,OFFSET(CRONOPLE!$F$14,$M124,AN$13))))</f>
        <v>0</v>
      </c>
      <c r="AO124" s="181">
        <f ca="1">IF($D124&lt;&gt;"Serviço",0,IF(AND(AUTOEVENTO="Manual",$M124=1),0,IF(OFFSET(CRONOPLE!$F$14,$M124,AO$13)="",10^12,OFFSET(CRONOPLE!$F$14,$M124,AO$13))))</f>
        <v>0</v>
      </c>
      <c r="AP124" s="181">
        <f ca="1">IF($D124&lt;&gt;"Serviço",0,IF(AND(AUTOEVENTO="Manual",$M124=1),0,IF(OFFSET(CRONOPLE!$F$14,$M124,AP$13)="",10^12,OFFSET(CRONOPLE!$F$14,$M124,AP$13))))</f>
        <v>0</v>
      </c>
      <c r="AQ124" s="181">
        <f ca="1">IF($D124&lt;&gt;"Serviço",0,IF(AND(AUTOEVENTO="Manual",$M124=1),0,IF(OFFSET(CRONOPLE!$F$14,$M124,AQ$13)="",10^12,OFFSET(CRONOPLE!$F$14,$M124,AQ$13))))</f>
        <v>0</v>
      </c>
      <c r="AR124" s="181">
        <f ca="1">IF($D124&lt;&gt;"Serviço",0,IF(AND(AUTOEVENTO="Manual",$M124=1),0,IF(OFFSET(CRONOPLE!$F$14,$M124,AR$13)="",10^12,OFFSET(CRONOPLE!$F$14,$M124,AR$13))))</f>
        <v>0</v>
      </c>
      <c r="AS124" s="181">
        <f ca="1">IF($D124&lt;&gt;"Serviço",0,IF(AND(AUTOEVENTO="Manual",$M124=1),0,IF(OFFSET(CRONOPLE!$F$14,$M124,AS$13)="",10^12,OFFSET(CRONOPLE!$F$14,$M124,AS$13))))</f>
        <v>0</v>
      </c>
      <c r="AT124" s="181">
        <f ca="1">IF($D124&lt;&gt;"Serviço",0,IF(AND(AUTOEVENTO="Manual",$M124=1),0,IF(OFFSET(CRONOPLE!$F$14,$M124,AT$13)="",10^12,OFFSET(CRONOPLE!$F$14,$M124,AT$13))))</f>
        <v>0</v>
      </c>
      <c r="AU124" s="181">
        <f ca="1">IF($D124&lt;&gt;"Serviço",0,IF(AND(AUTOEVENTO="Manual",$M124=1),0,IF(OFFSET(CRONOPLE!$F$14,$M124,AU$13)="",10^12,OFFSET(CRONOPLE!$F$14,$M124,AU$13))))</f>
        <v>0</v>
      </c>
      <c r="AV124" s="181">
        <f ca="1">IF($D124&lt;&gt;"Serviço",0,IF(AND(AUTOEVENTO="Manual",$M124=1),0,IF(OFFSET(CRONOPLE!$F$14,$M124,AV$13)="",10^12,OFFSET(CRONOPLE!$F$14,$M124,AV$13))))</f>
        <v>0</v>
      </c>
      <c r="AX124" s="182">
        <f ca="1">IF($D124&lt;&gt;"Serviço",0,IF(OR(AND(AUTOEVENTO="Manual",$M124=1),$M124&gt;(ROW(PLE.lastrow)-ROW(PLE.firstrow))),0,IF(OFFSET(PLE!$G$14,$M124,AX$13)="",10^12,OFFSET(PLE!$G$14,$M124,AX$13))))</f>
        <v>0</v>
      </c>
      <c r="AY124" s="182">
        <f ca="1">IF($D124&lt;&gt;"Serviço",0,IF(OR(AND(AUTOEVENTO="Manual",$M124=1),$M124&gt;(ROW(PLE.lastrow)-ROW(PLE.firstrow))),0,IF(OFFSET(PLE!$G$14,$M124,AY$13)="",10^12,OFFSET(PLE!$G$14,$M124,AY$13))))</f>
        <v>0</v>
      </c>
      <c r="AZ124" s="182">
        <f ca="1">IF($D124&lt;&gt;"Serviço",0,IF(OR(AND(AUTOEVENTO="Manual",$M124=1),$M124&gt;(ROW(PLE.lastrow)-ROW(PLE.firstrow))),0,IF(OFFSET(PLE!$G$14,$M124,AZ$13)="",10^12,OFFSET(PLE!$G$14,$M124,AZ$13))))</f>
        <v>0</v>
      </c>
      <c r="BA124" s="182">
        <f ca="1">IF($D124&lt;&gt;"Serviço",0,IF(OR(AND(AUTOEVENTO="Manual",$M124=1),$M124&gt;(ROW(PLE.lastrow)-ROW(PLE.firstrow))),0,IF(OFFSET(PLE!$G$14,$M124,BA$13)="",10^12,OFFSET(PLE!$G$14,$M124,BA$13))))</f>
        <v>0</v>
      </c>
      <c r="BB124" s="182">
        <f ca="1">IF($D124&lt;&gt;"Serviço",0,IF(OR(AND(AUTOEVENTO="Manual",$M124=1),$M124&gt;(ROW(PLE.lastrow)-ROW(PLE.firstrow))),0,IF(OFFSET(PLE!$G$14,$M124,BB$13)="",10^12,OFFSET(PLE!$G$14,$M124,BB$13))))</f>
        <v>0</v>
      </c>
      <c r="BC124" s="182">
        <f ca="1">IF($D124&lt;&gt;"Serviço",0,IF(OR(AND(AUTOEVENTO="Manual",$M124=1),$M124&gt;(ROW(PLE.lastrow)-ROW(PLE.firstrow))),0,IF(OFFSET(PLE!$G$14,$M124,BC$13)="",10^12,OFFSET(PLE!$G$14,$M124,BC$13))))</f>
        <v>0</v>
      </c>
      <c r="BD124" s="182">
        <f ca="1">IF($D124&lt;&gt;"Serviço",0,IF(OR(AND(AUTOEVENTO="Manual",$M124=1),$M124&gt;(ROW(PLE.lastrow)-ROW(PLE.firstrow))),0,IF(OFFSET(PLE!$G$14,$M124,BD$13)="",10^12,OFFSET(PLE!$G$14,$M124,BD$13))))</f>
        <v>0</v>
      </c>
      <c r="BE124" s="182">
        <f ca="1">IF($D124&lt;&gt;"Serviço",0,IF(OR(AND(AUTOEVENTO="Manual",$M124=1),$M124&gt;(ROW(PLE.lastrow)-ROW(PLE.firstrow))),0,IF(OFFSET(PLE!$G$14,$M124,BE$13)="",10^12,OFFSET(PLE!$G$14,$M124,BE$13))))</f>
        <v>0</v>
      </c>
      <c r="BF124" s="182">
        <f ca="1">IF($D124&lt;&gt;"Serviço",0,IF(OR(AND(AUTOEVENTO="Manual",$M124=1),$M124&gt;(ROW(PLE.lastrow)-ROW(PLE.firstrow))),0,IF(OFFSET(PLE!$G$14,$M124,BF$13)="",10^12,OFFSET(PLE!$G$14,$M124,BF$13))))</f>
        <v>0</v>
      </c>
      <c r="BG124" s="182">
        <f ca="1">IF($D124&lt;&gt;"Serviço",0,IF(OR(AND(AUTOEVENTO="Manual",$M124=1),$M124&gt;(ROW(PLE.lastrow)-ROW(PLE.firstrow))),0,IF(OFFSET(PLE!$G$14,$M124,BG$13)="",10^12,OFFSET(PLE!$G$14,$M124,BG$13))))</f>
        <v>0</v>
      </c>
    </row>
    <row r="125" spans="1:59" ht="63.75" x14ac:dyDescent="0.2">
      <c r="A125" s="7" t="str">
        <f t="shared" ca="1" si="9"/>
        <v>108</v>
      </c>
      <c r="B125" s="7" t="str">
        <f ca="1">OFFSET(ORÇAMENTO!C$15,ROW(B125)-ROW(B$15),0)</f>
        <v>S</v>
      </c>
      <c r="C125" s="7" t="str">
        <f ca="1">OFFSET(ORÇAMENTO!L$15,ROW(C125)-ROW(C$15),0)</f>
        <v/>
      </c>
      <c r="D125" s="118" t="str">
        <f ca="1">OFFSET(ORÇAMENTO!N$15,ROW(D125)-ROW(D$15),0)</f>
        <v>Serviço</v>
      </c>
      <c r="E125" s="119" t="str">
        <f ca="1">OFFSET(ORÇAMENTO!O$15,ROW(E125)-ROW(E$15),0)</f>
        <v>-</v>
      </c>
      <c r="F125" s="172" t="str">
        <f ca="1">OFFSET(ORÇAMENTO!R$15,ROW(F125)-ROW(F$15),0)</f>
        <v>(abra o arquivo 'Referência 02-2025.xlsm)</v>
      </c>
      <c r="G125" s="173" t="str">
        <f ca="1">IF($D125&lt;&gt;"Serviço","",OFFSET(ORÇAMENTO!S$15,ROW(G125)-ROW(G$15),0))</f>
        <v>-</v>
      </c>
      <c r="H125" s="124">
        <f ca="1">IF($D125&lt;&gt;"Serviço",0,IF(ACOMPANHAMENTO="BM",ROUND(OFFSET(ORÇAMENTO!AJ$15,ROW(H125)-ROW(H$15),0),15-13*ORÇAMENTO!$AF$7),SUMPRODUCT(($Q$12:$AA$12&lt;&gt;"")*ROUND($Q125:$AA125,15-13*ORÇAMENTO!$AF$7))))</f>
        <v>17</v>
      </c>
      <c r="I125" s="561" t="s">
        <v>890</v>
      </c>
      <c r="K125" s="174"/>
      <c r="L125" s="175" t="s">
        <v>255</v>
      </c>
      <c r="M125" s="176">
        <f ca="1">IF($D125&lt;&gt;"Serviço","",IF(AUTOEVENTO="manual",$A125,IF(ISERROR(MATCH($A125,$A$15:OFFSET($A125,-1,0),0)),MAX($M$15:OFFSET(M125,-1,0))+1,INDEX($M$15:OFFSET(M125,-1,0),MATCH($A125,$A$15:OFFSET($A125,-1,0),0)))))</f>
        <v>7</v>
      </c>
      <c r="N125" s="177" t="str">
        <f ca="1">IF($D125&lt;&gt;"Serviço","",IF(AUTOEVENTO="Manual",IF($A125=0,"&lt;-- defina o número do agrupador",OFFSET(EVENTOS!$D$14,$A125,0)),OFFSET($F$15,$A125,0)))</f>
        <v>ESQUADRIAS</v>
      </c>
      <c r="O125" s="178"/>
      <c r="Q125" s="178"/>
      <c r="R125" s="179"/>
      <c r="S125" s="179"/>
      <c r="T125" s="179"/>
      <c r="U125" s="179"/>
      <c r="V125" s="179"/>
      <c r="W125" s="179"/>
      <c r="X125" s="179"/>
      <c r="Y125" s="179"/>
      <c r="Z125" s="180"/>
      <c r="AB125" s="544">
        <f ca="1">IF(AND($D125="Serviço",AB$12&lt;&gt;0,$H125&gt;0,OR(AUTOEVENTO&lt;&gt;"manual",$M125&lt;&gt;1)),
IF(Import.TipoArredondamento&lt;&gt;"TransfereGOV",
ROUND(OFFSET($P125,0,AB$13),15-13*ORÇAMENTO!$AF$7)/$H125*OFFSET(ORÇAMENTO!$X$15,ROW(AB125)-ROW(AB$15),0),
ROUND(ROUND(OFFSET($P125,0,AB$13),15-13*ORÇAMENTO!$AF$7)*OFFSET(ORÇAMENTO!$W$15,ROW(AB125)-ROW(AB$15),0),15-13*ORÇAMENTO!$AF$11)),0)</f>
        <v>0</v>
      </c>
      <c r="AC125" s="545">
        <f ca="1">IF(AND($D125="Serviço",AC$12&lt;&gt;0,$H125&gt;0,OR(AUTOEVENTO&lt;&gt;"manual",$M125&lt;&gt;1)),
IF(Import.TipoArredondamento&lt;&gt;"TransfereGOV",
ROUND(OFFSET($P125,0,AC$13),15-13*ORÇAMENTO!$AF$7)/$H125*OFFSET(ORÇAMENTO!$X$15,ROW(AC125)-ROW(AC$15),0),
ROUND(ROUND(OFFSET($P125,0,AC$13),15-13*ORÇAMENTO!$AF$7)*OFFSET(ORÇAMENTO!$W$15,ROW(AC125)-ROW(AC$15),0),15-13*ORÇAMENTO!$AF$11)),0)</f>
        <v>0</v>
      </c>
      <c r="AD125" s="545">
        <f ca="1">IF(AND($D125="Serviço",AD$12&lt;&gt;0,$H125&gt;0,OR(AUTOEVENTO&lt;&gt;"manual",$M125&lt;&gt;1)),
IF(Import.TipoArredondamento&lt;&gt;"TransfereGOV",
ROUND(OFFSET($P125,0,AD$13),15-13*ORÇAMENTO!$AF$7)/$H125*OFFSET(ORÇAMENTO!$X$15,ROW(AD125)-ROW(AD$15),0),
ROUND(ROUND(OFFSET($P125,0,AD$13),15-13*ORÇAMENTO!$AF$7)*OFFSET(ORÇAMENTO!$W$15,ROW(AD125)-ROW(AD$15),0),15-13*ORÇAMENTO!$AF$11)),0)</f>
        <v>0</v>
      </c>
      <c r="AE125" s="545">
        <f ca="1">IF(AND($D125="Serviço",AE$12&lt;&gt;0,$H125&gt;0,OR(AUTOEVENTO&lt;&gt;"manual",$M125&lt;&gt;1)),
IF(Import.TipoArredondamento&lt;&gt;"TransfereGOV",
ROUND(OFFSET($P125,0,AE$13),15-13*ORÇAMENTO!$AF$7)/$H125*OFFSET(ORÇAMENTO!$X$15,ROW(AE125)-ROW(AE$15),0),
ROUND(ROUND(OFFSET($P125,0,AE$13),15-13*ORÇAMENTO!$AF$7)*OFFSET(ORÇAMENTO!$W$15,ROW(AE125)-ROW(AE$15),0),15-13*ORÇAMENTO!$AF$11)),0)</f>
        <v>0</v>
      </c>
      <c r="AF125" s="545">
        <f ca="1">IF(AND($D125="Serviço",AF$12&lt;&gt;0,$H125&gt;0,OR(AUTOEVENTO&lt;&gt;"manual",$M125&lt;&gt;1)),
IF(Import.TipoArredondamento&lt;&gt;"TransfereGOV",
ROUND(OFFSET($P125,0,AF$13),15-13*ORÇAMENTO!$AF$7)/$H125*OFFSET(ORÇAMENTO!$X$15,ROW(AF125)-ROW(AF$15),0),
ROUND(ROUND(OFFSET($P125,0,AF$13),15-13*ORÇAMENTO!$AF$7)*OFFSET(ORÇAMENTO!$W$15,ROW(AF125)-ROW(AF$15),0),15-13*ORÇAMENTO!$AF$11)),0)</f>
        <v>0</v>
      </c>
      <c r="AG125" s="545">
        <f ca="1">IF(AND($D125="Serviço",AG$12&lt;&gt;0,$H125&gt;0,OR(AUTOEVENTO&lt;&gt;"manual",$M125&lt;&gt;1)),
IF(Import.TipoArredondamento&lt;&gt;"TransfereGOV",
ROUND(OFFSET($P125,0,AG$13),15-13*ORÇAMENTO!$AF$7)/$H125*OFFSET(ORÇAMENTO!$X$15,ROW(AG125)-ROW(AG$15),0),
ROUND(ROUND(OFFSET($P125,0,AG$13),15-13*ORÇAMENTO!$AF$7)*OFFSET(ORÇAMENTO!$W$15,ROW(AG125)-ROW(AG$15),0),15-13*ORÇAMENTO!$AF$11)),0)</f>
        <v>0</v>
      </c>
      <c r="AH125" s="545">
        <f ca="1">IF(AND($D125="Serviço",AH$12&lt;&gt;0,$H125&gt;0,OR(AUTOEVENTO&lt;&gt;"manual",$M125&lt;&gt;1)),
IF(Import.TipoArredondamento&lt;&gt;"TransfereGOV",
ROUND(OFFSET($P125,0,AH$13),15-13*ORÇAMENTO!$AF$7)/$H125*OFFSET(ORÇAMENTO!$X$15,ROW(AH125)-ROW(AH$15),0),
ROUND(ROUND(OFFSET($P125,0,AH$13),15-13*ORÇAMENTO!$AF$7)*OFFSET(ORÇAMENTO!$W$15,ROW(AH125)-ROW(AH$15),0),15-13*ORÇAMENTO!$AF$11)),0)</f>
        <v>0</v>
      </c>
      <c r="AI125" s="545">
        <f ca="1">IF(AND($D125="Serviço",AI$12&lt;&gt;0,$H125&gt;0,OR(AUTOEVENTO&lt;&gt;"manual",$M125&lt;&gt;1)),
IF(Import.TipoArredondamento&lt;&gt;"TransfereGOV",
ROUND(OFFSET($P125,0,AI$13),15-13*ORÇAMENTO!$AF$7)/$H125*OFFSET(ORÇAMENTO!$X$15,ROW(AI125)-ROW(AI$15),0),
ROUND(ROUND(OFFSET($P125,0,AI$13),15-13*ORÇAMENTO!$AF$7)*OFFSET(ORÇAMENTO!$W$15,ROW(AI125)-ROW(AI$15),0),15-13*ORÇAMENTO!$AF$11)),0)</f>
        <v>0</v>
      </c>
      <c r="AJ125" s="545">
        <f ca="1">IF(AND($D125="Serviço",AJ$12&lt;&gt;0,$H125&gt;0,OR(AUTOEVENTO&lt;&gt;"manual",$M125&lt;&gt;1)),
IF(Import.TipoArredondamento&lt;&gt;"TransfereGOV",
ROUND(OFFSET($P125,0,AJ$13),15-13*ORÇAMENTO!$AF$7)/$H125*OFFSET(ORÇAMENTO!$X$15,ROW(AJ125)-ROW(AJ$15),0),
ROUND(ROUND(OFFSET($P125,0,AJ$13),15-13*ORÇAMENTO!$AF$7)*OFFSET(ORÇAMENTO!$W$15,ROW(AJ125)-ROW(AJ$15),0),15-13*ORÇAMENTO!$AF$11)),0)</f>
        <v>0</v>
      </c>
      <c r="AK125" s="546">
        <f ca="1">IF(AND($D125="Serviço",AK$12&lt;&gt;0,$H125&gt;0,OR(AUTOEVENTO&lt;&gt;"manual",$M125&lt;&gt;1)),
IF(Import.TipoArredondamento&lt;&gt;"TransfereGOV",
ROUND(OFFSET($P125,0,AK$13),15-13*ORÇAMENTO!$AF$7)/$H125*OFFSET(ORÇAMENTO!$X$15,ROW(AK125)-ROW(AK$15),0),
ROUND(ROUND(OFFSET($P125,0,AK$13),15-13*ORÇAMENTO!$AF$7)*OFFSET(ORÇAMENTO!$W$15,ROW(AK125)-ROW(AK$15),0),15-13*ORÇAMENTO!$AF$11)),0)</f>
        <v>0</v>
      </c>
      <c r="AM125" s="181">
        <f ca="1">IF($D125&lt;&gt;"Serviço",0,IF(AND(AUTOEVENTO="Manual",$M125=1),0,IF(OFFSET(CRONOPLE!$F$14,$M125,AM$13)="",10^12,OFFSET(CRONOPLE!$F$14,$M125,AM$13))))</f>
        <v>1000000000000</v>
      </c>
      <c r="AN125" s="181">
        <f ca="1">IF($D125&lt;&gt;"Serviço",0,IF(AND(AUTOEVENTO="Manual",$M125=1),0,IF(OFFSET(CRONOPLE!$F$14,$M125,AN$13)="",10^12,OFFSET(CRONOPLE!$F$14,$M125,AN$13))))</f>
        <v>1000000000000</v>
      </c>
      <c r="AO125" s="181">
        <f ca="1">IF($D125&lt;&gt;"Serviço",0,IF(AND(AUTOEVENTO="Manual",$M125=1),0,IF(OFFSET(CRONOPLE!$F$14,$M125,AO$13)="",10^12,OFFSET(CRONOPLE!$F$14,$M125,AO$13))))</f>
        <v>1000000000000</v>
      </c>
      <c r="AP125" s="181">
        <f ca="1">IF($D125&lt;&gt;"Serviço",0,IF(AND(AUTOEVENTO="Manual",$M125=1),0,IF(OFFSET(CRONOPLE!$F$14,$M125,AP$13)="",10^12,OFFSET(CRONOPLE!$F$14,$M125,AP$13))))</f>
        <v>1000000000000</v>
      </c>
      <c r="AQ125" s="181">
        <f ca="1">IF($D125&lt;&gt;"Serviço",0,IF(AND(AUTOEVENTO="Manual",$M125=1),0,IF(OFFSET(CRONOPLE!$F$14,$M125,AQ$13)="",10^12,OFFSET(CRONOPLE!$F$14,$M125,AQ$13))))</f>
        <v>1000000000000</v>
      </c>
      <c r="AR125" s="181">
        <f ca="1">IF($D125&lt;&gt;"Serviço",0,IF(AND(AUTOEVENTO="Manual",$M125=1),0,IF(OFFSET(CRONOPLE!$F$14,$M125,AR$13)="",10^12,OFFSET(CRONOPLE!$F$14,$M125,AR$13))))</f>
        <v>1000000000000</v>
      </c>
      <c r="AS125" s="181">
        <f ca="1">IF($D125&lt;&gt;"Serviço",0,IF(AND(AUTOEVENTO="Manual",$M125=1),0,IF(OFFSET(CRONOPLE!$F$14,$M125,AS$13)="",10^12,OFFSET(CRONOPLE!$F$14,$M125,AS$13))))</f>
        <v>1000000000000</v>
      </c>
      <c r="AT125" s="181">
        <f ca="1">IF($D125&lt;&gt;"Serviço",0,IF(AND(AUTOEVENTO="Manual",$M125=1),0,IF(OFFSET(CRONOPLE!$F$14,$M125,AT$13)="",10^12,OFFSET(CRONOPLE!$F$14,$M125,AT$13))))</f>
        <v>1000000000000</v>
      </c>
      <c r="AU125" s="181">
        <f ca="1">IF($D125&lt;&gt;"Serviço",0,IF(AND(AUTOEVENTO="Manual",$M125=1),0,IF(OFFSET(CRONOPLE!$F$14,$M125,AU$13)="",10^12,OFFSET(CRONOPLE!$F$14,$M125,AU$13))))</f>
        <v>1000000000000</v>
      </c>
      <c r="AV125" s="181">
        <f ca="1">IF($D125&lt;&gt;"Serviço",0,IF(AND(AUTOEVENTO="Manual",$M125=1),0,IF(OFFSET(CRONOPLE!$F$14,$M125,AV$13)="",10^12,OFFSET(CRONOPLE!$F$14,$M125,AV$13))))</f>
        <v>1000000000000</v>
      </c>
      <c r="AX125" s="182">
        <f ca="1">IF($D125&lt;&gt;"Serviço",0,IF(OR(AND(AUTOEVENTO="Manual",$M125=1),$M125&gt;(ROW(PLE.lastrow)-ROW(PLE.firstrow))),0,IF(OFFSET(PLE!$G$14,$M125,AX$13)="",10^12,OFFSET(PLE!$G$14,$M125,AX$13))))</f>
        <v>1000000000000</v>
      </c>
      <c r="AY125" s="182">
        <f ca="1">IF($D125&lt;&gt;"Serviço",0,IF(OR(AND(AUTOEVENTO="Manual",$M125=1),$M125&gt;(ROW(PLE.lastrow)-ROW(PLE.firstrow))),0,IF(OFFSET(PLE!$G$14,$M125,AY$13)="",10^12,OFFSET(PLE!$G$14,$M125,AY$13))))</f>
        <v>1000000000000</v>
      </c>
      <c r="AZ125" s="182">
        <f ca="1">IF($D125&lt;&gt;"Serviço",0,IF(OR(AND(AUTOEVENTO="Manual",$M125=1),$M125&gt;(ROW(PLE.lastrow)-ROW(PLE.firstrow))),0,IF(OFFSET(PLE!$G$14,$M125,AZ$13)="",10^12,OFFSET(PLE!$G$14,$M125,AZ$13))))</f>
        <v>1000000000000</v>
      </c>
      <c r="BA125" s="182">
        <f ca="1">IF($D125&lt;&gt;"Serviço",0,IF(OR(AND(AUTOEVENTO="Manual",$M125=1),$M125&gt;(ROW(PLE.lastrow)-ROW(PLE.firstrow))),0,IF(OFFSET(PLE!$G$14,$M125,BA$13)="",10^12,OFFSET(PLE!$G$14,$M125,BA$13))))</f>
        <v>1000000000000</v>
      </c>
      <c r="BB125" s="182">
        <f ca="1">IF($D125&lt;&gt;"Serviço",0,IF(OR(AND(AUTOEVENTO="Manual",$M125=1),$M125&gt;(ROW(PLE.lastrow)-ROW(PLE.firstrow))),0,IF(OFFSET(PLE!$G$14,$M125,BB$13)="",10^12,OFFSET(PLE!$G$14,$M125,BB$13))))</f>
        <v>1000000000000</v>
      </c>
      <c r="BC125" s="182">
        <f ca="1">IF($D125&lt;&gt;"Serviço",0,IF(OR(AND(AUTOEVENTO="Manual",$M125=1),$M125&gt;(ROW(PLE.lastrow)-ROW(PLE.firstrow))),0,IF(OFFSET(PLE!$G$14,$M125,BC$13)="",10^12,OFFSET(PLE!$G$14,$M125,BC$13))))</f>
        <v>1000000000000</v>
      </c>
      <c r="BD125" s="182">
        <f ca="1">IF($D125&lt;&gt;"Serviço",0,IF(OR(AND(AUTOEVENTO="Manual",$M125=1),$M125&gt;(ROW(PLE.lastrow)-ROW(PLE.firstrow))),0,IF(OFFSET(PLE!$G$14,$M125,BD$13)="",10^12,OFFSET(PLE!$G$14,$M125,BD$13))))</f>
        <v>1000000000000</v>
      </c>
      <c r="BE125" s="182">
        <f ca="1">IF($D125&lt;&gt;"Serviço",0,IF(OR(AND(AUTOEVENTO="Manual",$M125=1),$M125&gt;(ROW(PLE.lastrow)-ROW(PLE.firstrow))),0,IF(OFFSET(PLE!$G$14,$M125,BE$13)="",10^12,OFFSET(PLE!$G$14,$M125,BE$13))))</f>
        <v>1000000000000</v>
      </c>
      <c r="BF125" s="182">
        <f ca="1">IF($D125&lt;&gt;"Serviço",0,IF(OR(AND(AUTOEVENTO="Manual",$M125=1),$M125&gt;(ROW(PLE.lastrow)-ROW(PLE.firstrow))),0,IF(OFFSET(PLE!$G$14,$M125,BF$13)="",10^12,OFFSET(PLE!$G$14,$M125,BF$13))))</f>
        <v>1000000000000</v>
      </c>
      <c r="BG125" s="182">
        <f ca="1">IF($D125&lt;&gt;"Serviço",0,IF(OR(AND(AUTOEVENTO="Manual",$M125=1),$M125&gt;(ROW(PLE.lastrow)-ROW(PLE.firstrow))),0,IF(OFFSET(PLE!$G$14,$M125,BG$13)="",10^12,OFFSET(PLE!$G$14,$M125,BG$13))))</f>
        <v>1000000000000</v>
      </c>
    </row>
    <row r="126" spans="1:59" ht="51" x14ac:dyDescent="0.2">
      <c r="A126" s="7" t="str">
        <f t="shared" ca="1" si="9"/>
        <v>108</v>
      </c>
      <c r="B126" s="7" t="str">
        <f ca="1">OFFSET(ORÇAMENTO!C$15,ROW(B126)-ROW(B$15),0)</f>
        <v>S</v>
      </c>
      <c r="C126" s="7" t="str">
        <f ca="1">OFFSET(ORÇAMENTO!L$15,ROW(C126)-ROW(C$15),0)</f>
        <v/>
      </c>
      <c r="D126" s="118" t="str">
        <f ca="1">OFFSET(ORÇAMENTO!N$15,ROW(D126)-ROW(D$15),0)</f>
        <v>Serviço</v>
      </c>
      <c r="E126" s="119" t="str">
        <f ca="1">OFFSET(ORÇAMENTO!O$15,ROW(E126)-ROW(E$15),0)</f>
        <v>-</v>
      </c>
      <c r="F126" s="172" t="str">
        <f ca="1">OFFSET(ORÇAMENTO!R$15,ROW(F126)-ROW(F$15),0)</f>
        <v>(abra o arquivo 'Referência 02-2025.xlsm)</v>
      </c>
      <c r="G126" s="173" t="str">
        <f ca="1">IF($D126&lt;&gt;"Serviço","",OFFSET(ORÇAMENTO!S$15,ROW(G126)-ROW(G$15),0))</f>
        <v>-</v>
      </c>
      <c r="H126" s="124">
        <f ca="1">IF($D126&lt;&gt;"Serviço",0,IF(ACOMPANHAMENTO="BM",ROUND(OFFSET(ORÇAMENTO!AJ$15,ROW(H126)-ROW(H$15),0),15-13*ORÇAMENTO!$AF$7),SUMPRODUCT(($Q$12:$AA$12&lt;&gt;"")*ROUND($Q126:$AA126,15-13*ORÇAMENTO!$AF$7))))</f>
        <v>2</v>
      </c>
      <c r="I126" s="561" t="s">
        <v>890</v>
      </c>
      <c r="K126" s="174"/>
      <c r="L126" s="175" t="s">
        <v>255</v>
      </c>
      <c r="M126" s="176">
        <f ca="1">IF($D126&lt;&gt;"Serviço","",IF(AUTOEVENTO="manual",$A126,IF(ISERROR(MATCH($A126,$A$15:OFFSET($A126,-1,0),0)),MAX($M$15:OFFSET(M126,-1,0))+1,INDEX($M$15:OFFSET(M126,-1,0),MATCH($A126,$A$15:OFFSET($A126,-1,0),0)))))</f>
        <v>7</v>
      </c>
      <c r="N126" s="177" t="str">
        <f ca="1">IF($D126&lt;&gt;"Serviço","",IF(AUTOEVENTO="Manual",IF($A126=0,"&lt;-- defina o número do agrupador",OFFSET(EVENTOS!$D$14,$A126,0)),OFFSET($F$15,$A126,0)))</f>
        <v>ESQUADRIAS</v>
      </c>
      <c r="O126" s="178"/>
      <c r="Q126" s="178"/>
      <c r="R126" s="179"/>
      <c r="S126" s="179"/>
      <c r="T126" s="179"/>
      <c r="U126" s="179"/>
      <c r="V126" s="179"/>
      <c r="W126" s="179"/>
      <c r="X126" s="179"/>
      <c r="Y126" s="179"/>
      <c r="Z126" s="180"/>
      <c r="AB126" s="544">
        <f ca="1">IF(AND($D126="Serviço",AB$12&lt;&gt;0,$H126&gt;0,OR(AUTOEVENTO&lt;&gt;"manual",$M126&lt;&gt;1)),
IF(Import.TipoArredondamento&lt;&gt;"TransfereGOV",
ROUND(OFFSET($P126,0,AB$13),15-13*ORÇAMENTO!$AF$7)/$H126*OFFSET(ORÇAMENTO!$X$15,ROW(AB126)-ROW(AB$15),0),
ROUND(ROUND(OFFSET($P126,0,AB$13),15-13*ORÇAMENTO!$AF$7)*OFFSET(ORÇAMENTO!$W$15,ROW(AB126)-ROW(AB$15),0),15-13*ORÇAMENTO!$AF$11)),0)</f>
        <v>0</v>
      </c>
      <c r="AC126" s="545">
        <f ca="1">IF(AND($D126="Serviço",AC$12&lt;&gt;0,$H126&gt;0,OR(AUTOEVENTO&lt;&gt;"manual",$M126&lt;&gt;1)),
IF(Import.TipoArredondamento&lt;&gt;"TransfereGOV",
ROUND(OFFSET($P126,0,AC$13),15-13*ORÇAMENTO!$AF$7)/$H126*OFFSET(ORÇAMENTO!$X$15,ROW(AC126)-ROW(AC$15),0),
ROUND(ROUND(OFFSET($P126,0,AC$13),15-13*ORÇAMENTO!$AF$7)*OFFSET(ORÇAMENTO!$W$15,ROW(AC126)-ROW(AC$15),0),15-13*ORÇAMENTO!$AF$11)),0)</f>
        <v>0</v>
      </c>
      <c r="AD126" s="545">
        <f ca="1">IF(AND($D126="Serviço",AD$12&lt;&gt;0,$H126&gt;0,OR(AUTOEVENTO&lt;&gt;"manual",$M126&lt;&gt;1)),
IF(Import.TipoArredondamento&lt;&gt;"TransfereGOV",
ROUND(OFFSET($P126,0,AD$13),15-13*ORÇAMENTO!$AF$7)/$H126*OFFSET(ORÇAMENTO!$X$15,ROW(AD126)-ROW(AD$15),0),
ROUND(ROUND(OFFSET($P126,0,AD$13),15-13*ORÇAMENTO!$AF$7)*OFFSET(ORÇAMENTO!$W$15,ROW(AD126)-ROW(AD$15),0),15-13*ORÇAMENTO!$AF$11)),0)</f>
        <v>0</v>
      </c>
      <c r="AE126" s="545">
        <f ca="1">IF(AND($D126="Serviço",AE$12&lt;&gt;0,$H126&gt;0,OR(AUTOEVENTO&lt;&gt;"manual",$M126&lt;&gt;1)),
IF(Import.TipoArredondamento&lt;&gt;"TransfereGOV",
ROUND(OFFSET($P126,0,AE$13),15-13*ORÇAMENTO!$AF$7)/$H126*OFFSET(ORÇAMENTO!$X$15,ROW(AE126)-ROW(AE$15),0),
ROUND(ROUND(OFFSET($P126,0,AE$13),15-13*ORÇAMENTO!$AF$7)*OFFSET(ORÇAMENTO!$W$15,ROW(AE126)-ROW(AE$15),0),15-13*ORÇAMENTO!$AF$11)),0)</f>
        <v>0</v>
      </c>
      <c r="AF126" s="545">
        <f ca="1">IF(AND($D126="Serviço",AF$12&lt;&gt;0,$H126&gt;0,OR(AUTOEVENTO&lt;&gt;"manual",$M126&lt;&gt;1)),
IF(Import.TipoArredondamento&lt;&gt;"TransfereGOV",
ROUND(OFFSET($P126,0,AF$13),15-13*ORÇAMENTO!$AF$7)/$H126*OFFSET(ORÇAMENTO!$X$15,ROW(AF126)-ROW(AF$15),0),
ROUND(ROUND(OFFSET($P126,0,AF$13),15-13*ORÇAMENTO!$AF$7)*OFFSET(ORÇAMENTO!$W$15,ROW(AF126)-ROW(AF$15),0),15-13*ORÇAMENTO!$AF$11)),0)</f>
        <v>0</v>
      </c>
      <c r="AG126" s="545">
        <f ca="1">IF(AND($D126="Serviço",AG$12&lt;&gt;0,$H126&gt;0,OR(AUTOEVENTO&lt;&gt;"manual",$M126&lt;&gt;1)),
IF(Import.TipoArredondamento&lt;&gt;"TransfereGOV",
ROUND(OFFSET($P126,0,AG$13),15-13*ORÇAMENTO!$AF$7)/$H126*OFFSET(ORÇAMENTO!$X$15,ROW(AG126)-ROW(AG$15),0),
ROUND(ROUND(OFFSET($P126,0,AG$13),15-13*ORÇAMENTO!$AF$7)*OFFSET(ORÇAMENTO!$W$15,ROW(AG126)-ROW(AG$15),0),15-13*ORÇAMENTO!$AF$11)),0)</f>
        <v>0</v>
      </c>
      <c r="AH126" s="545">
        <f ca="1">IF(AND($D126="Serviço",AH$12&lt;&gt;0,$H126&gt;0,OR(AUTOEVENTO&lt;&gt;"manual",$M126&lt;&gt;1)),
IF(Import.TipoArredondamento&lt;&gt;"TransfereGOV",
ROUND(OFFSET($P126,0,AH$13),15-13*ORÇAMENTO!$AF$7)/$H126*OFFSET(ORÇAMENTO!$X$15,ROW(AH126)-ROW(AH$15),0),
ROUND(ROUND(OFFSET($P126,0,AH$13),15-13*ORÇAMENTO!$AF$7)*OFFSET(ORÇAMENTO!$W$15,ROW(AH126)-ROW(AH$15),0),15-13*ORÇAMENTO!$AF$11)),0)</f>
        <v>0</v>
      </c>
      <c r="AI126" s="545">
        <f ca="1">IF(AND($D126="Serviço",AI$12&lt;&gt;0,$H126&gt;0,OR(AUTOEVENTO&lt;&gt;"manual",$M126&lt;&gt;1)),
IF(Import.TipoArredondamento&lt;&gt;"TransfereGOV",
ROUND(OFFSET($P126,0,AI$13),15-13*ORÇAMENTO!$AF$7)/$H126*OFFSET(ORÇAMENTO!$X$15,ROW(AI126)-ROW(AI$15),0),
ROUND(ROUND(OFFSET($P126,0,AI$13),15-13*ORÇAMENTO!$AF$7)*OFFSET(ORÇAMENTO!$W$15,ROW(AI126)-ROW(AI$15),0),15-13*ORÇAMENTO!$AF$11)),0)</f>
        <v>0</v>
      </c>
      <c r="AJ126" s="545">
        <f ca="1">IF(AND($D126="Serviço",AJ$12&lt;&gt;0,$H126&gt;0,OR(AUTOEVENTO&lt;&gt;"manual",$M126&lt;&gt;1)),
IF(Import.TipoArredondamento&lt;&gt;"TransfereGOV",
ROUND(OFFSET($P126,0,AJ$13),15-13*ORÇAMENTO!$AF$7)/$H126*OFFSET(ORÇAMENTO!$X$15,ROW(AJ126)-ROW(AJ$15),0),
ROUND(ROUND(OFFSET($P126,0,AJ$13),15-13*ORÇAMENTO!$AF$7)*OFFSET(ORÇAMENTO!$W$15,ROW(AJ126)-ROW(AJ$15),0),15-13*ORÇAMENTO!$AF$11)),0)</f>
        <v>0</v>
      </c>
      <c r="AK126" s="546">
        <f ca="1">IF(AND($D126="Serviço",AK$12&lt;&gt;0,$H126&gt;0,OR(AUTOEVENTO&lt;&gt;"manual",$M126&lt;&gt;1)),
IF(Import.TipoArredondamento&lt;&gt;"TransfereGOV",
ROUND(OFFSET($P126,0,AK$13),15-13*ORÇAMENTO!$AF$7)/$H126*OFFSET(ORÇAMENTO!$X$15,ROW(AK126)-ROW(AK$15),0),
ROUND(ROUND(OFFSET($P126,0,AK$13),15-13*ORÇAMENTO!$AF$7)*OFFSET(ORÇAMENTO!$W$15,ROW(AK126)-ROW(AK$15),0),15-13*ORÇAMENTO!$AF$11)),0)</f>
        <v>0</v>
      </c>
      <c r="AM126" s="181">
        <f ca="1">IF($D126&lt;&gt;"Serviço",0,IF(AND(AUTOEVENTO="Manual",$M126=1),0,IF(OFFSET(CRONOPLE!$F$14,$M126,AM$13)="",10^12,OFFSET(CRONOPLE!$F$14,$M126,AM$13))))</f>
        <v>1000000000000</v>
      </c>
      <c r="AN126" s="181">
        <f ca="1">IF($D126&lt;&gt;"Serviço",0,IF(AND(AUTOEVENTO="Manual",$M126=1),0,IF(OFFSET(CRONOPLE!$F$14,$M126,AN$13)="",10^12,OFFSET(CRONOPLE!$F$14,$M126,AN$13))))</f>
        <v>1000000000000</v>
      </c>
      <c r="AO126" s="181">
        <f ca="1">IF($D126&lt;&gt;"Serviço",0,IF(AND(AUTOEVENTO="Manual",$M126=1),0,IF(OFFSET(CRONOPLE!$F$14,$M126,AO$13)="",10^12,OFFSET(CRONOPLE!$F$14,$M126,AO$13))))</f>
        <v>1000000000000</v>
      </c>
      <c r="AP126" s="181">
        <f ca="1">IF($D126&lt;&gt;"Serviço",0,IF(AND(AUTOEVENTO="Manual",$M126=1),0,IF(OFFSET(CRONOPLE!$F$14,$M126,AP$13)="",10^12,OFFSET(CRONOPLE!$F$14,$M126,AP$13))))</f>
        <v>1000000000000</v>
      </c>
      <c r="AQ126" s="181">
        <f ca="1">IF($D126&lt;&gt;"Serviço",0,IF(AND(AUTOEVENTO="Manual",$M126=1),0,IF(OFFSET(CRONOPLE!$F$14,$M126,AQ$13)="",10^12,OFFSET(CRONOPLE!$F$14,$M126,AQ$13))))</f>
        <v>1000000000000</v>
      </c>
      <c r="AR126" s="181">
        <f ca="1">IF($D126&lt;&gt;"Serviço",0,IF(AND(AUTOEVENTO="Manual",$M126=1),0,IF(OFFSET(CRONOPLE!$F$14,$M126,AR$13)="",10^12,OFFSET(CRONOPLE!$F$14,$M126,AR$13))))</f>
        <v>1000000000000</v>
      </c>
      <c r="AS126" s="181">
        <f ca="1">IF($D126&lt;&gt;"Serviço",0,IF(AND(AUTOEVENTO="Manual",$M126=1),0,IF(OFFSET(CRONOPLE!$F$14,$M126,AS$13)="",10^12,OFFSET(CRONOPLE!$F$14,$M126,AS$13))))</f>
        <v>1000000000000</v>
      </c>
      <c r="AT126" s="181">
        <f ca="1">IF($D126&lt;&gt;"Serviço",0,IF(AND(AUTOEVENTO="Manual",$M126=1),0,IF(OFFSET(CRONOPLE!$F$14,$M126,AT$13)="",10^12,OFFSET(CRONOPLE!$F$14,$M126,AT$13))))</f>
        <v>1000000000000</v>
      </c>
      <c r="AU126" s="181">
        <f ca="1">IF($D126&lt;&gt;"Serviço",0,IF(AND(AUTOEVENTO="Manual",$M126=1),0,IF(OFFSET(CRONOPLE!$F$14,$M126,AU$13)="",10^12,OFFSET(CRONOPLE!$F$14,$M126,AU$13))))</f>
        <v>1000000000000</v>
      </c>
      <c r="AV126" s="181">
        <f ca="1">IF($D126&lt;&gt;"Serviço",0,IF(AND(AUTOEVENTO="Manual",$M126=1),0,IF(OFFSET(CRONOPLE!$F$14,$M126,AV$13)="",10^12,OFFSET(CRONOPLE!$F$14,$M126,AV$13))))</f>
        <v>1000000000000</v>
      </c>
      <c r="AX126" s="182">
        <f ca="1">IF($D126&lt;&gt;"Serviço",0,IF(OR(AND(AUTOEVENTO="Manual",$M126=1),$M126&gt;(ROW(PLE.lastrow)-ROW(PLE.firstrow))),0,IF(OFFSET(PLE!$G$14,$M126,AX$13)="",10^12,OFFSET(PLE!$G$14,$M126,AX$13))))</f>
        <v>1000000000000</v>
      </c>
      <c r="AY126" s="182">
        <f ca="1">IF($D126&lt;&gt;"Serviço",0,IF(OR(AND(AUTOEVENTO="Manual",$M126=1),$M126&gt;(ROW(PLE.lastrow)-ROW(PLE.firstrow))),0,IF(OFFSET(PLE!$G$14,$M126,AY$13)="",10^12,OFFSET(PLE!$G$14,$M126,AY$13))))</f>
        <v>1000000000000</v>
      </c>
      <c r="AZ126" s="182">
        <f ca="1">IF($D126&lt;&gt;"Serviço",0,IF(OR(AND(AUTOEVENTO="Manual",$M126=1),$M126&gt;(ROW(PLE.lastrow)-ROW(PLE.firstrow))),0,IF(OFFSET(PLE!$G$14,$M126,AZ$13)="",10^12,OFFSET(PLE!$G$14,$M126,AZ$13))))</f>
        <v>1000000000000</v>
      </c>
      <c r="BA126" s="182">
        <f ca="1">IF($D126&lt;&gt;"Serviço",0,IF(OR(AND(AUTOEVENTO="Manual",$M126=1),$M126&gt;(ROW(PLE.lastrow)-ROW(PLE.firstrow))),0,IF(OFFSET(PLE!$G$14,$M126,BA$13)="",10^12,OFFSET(PLE!$G$14,$M126,BA$13))))</f>
        <v>1000000000000</v>
      </c>
      <c r="BB126" s="182">
        <f ca="1">IF($D126&lt;&gt;"Serviço",0,IF(OR(AND(AUTOEVENTO="Manual",$M126=1),$M126&gt;(ROW(PLE.lastrow)-ROW(PLE.firstrow))),0,IF(OFFSET(PLE!$G$14,$M126,BB$13)="",10^12,OFFSET(PLE!$G$14,$M126,BB$13))))</f>
        <v>1000000000000</v>
      </c>
      <c r="BC126" s="182">
        <f ca="1">IF($D126&lt;&gt;"Serviço",0,IF(OR(AND(AUTOEVENTO="Manual",$M126=1),$M126&gt;(ROW(PLE.lastrow)-ROW(PLE.firstrow))),0,IF(OFFSET(PLE!$G$14,$M126,BC$13)="",10^12,OFFSET(PLE!$G$14,$M126,BC$13))))</f>
        <v>1000000000000</v>
      </c>
      <c r="BD126" s="182">
        <f ca="1">IF($D126&lt;&gt;"Serviço",0,IF(OR(AND(AUTOEVENTO="Manual",$M126=1),$M126&gt;(ROW(PLE.lastrow)-ROW(PLE.firstrow))),0,IF(OFFSET(PLE!$G$14,$M126,BD$13)="",10^12,OFFSET(PLE!$G$14,$M126,BD$13))))</f>
        <v>1000000000000</v>
      </c>
      <c r="BE126" s="182">
        <f ca="1">IF($D126&lt;&gt;"Serviço",0,IF(OR(AND(AUTOEVENTO="Manual",$M126=1),$M126&gt;(ROW(PLE.lastrow)-ROW(PLE.firstrow))),0,IF(OFFSET(PLE!$G$14,$M126,BE$13)="",10^12,OFFSET(PLE!$G$14,$M126,BE$13))))</f>
        <v>1000000000000</v>
      </c>
      <c r="BF126" s="182">
        <f ca="1">IF($D126&lt;&gt;"Serviço",0,IF(OR(AND(AUTOEVENTO="Manual",$M126=1),$M126&gt;(ROW(PLE.lastrow)-ROW(PLE.firstrow))),0,IF(OFFSET(PLE!$G$14,$M126,BF$13)="",10^12,OFFSET(PLE!$G$14,$M126,BF$13))))</f>
        <v>1000000000000</v>
      </c>
      <c r="BG126" s="182">
        <f ca="1">IF($D126&lt;&gt;"Serviço",0,IF(OR(AND(AUTOEVENTO="Manual",$M126=1),$M126&gt;(ROW(PLE.lastrow)-ROW(PLE.firstrow))),0,IF(OFFSET(PLE!$G$14,$M126,BG$13)="",10^12,OFFSET(PLE!$G$14,$M126,BG$13))))</f>
        <v>1000000000000</v>
      </c>
    </row>
    <row r="127" spans="1:59" ht="63.75" x14ac:dyDescent="0.2">
      <c r="A127" s="7" t="str">
        <f t="shared" ca="1" si="9"/>
        <v>108</v>
      </c>
      <c r="B127" s="7" t="str">
        <f ca="1">OFFSET(ORÇAMENTO!C$15,ROW(B127)-ROW(B$15),0)</f>
        <v>S</v>
      </c>
      <c r="C127" s="7" t="str">
        <f ca="1">OFFSET(ORÇAMENTO!L$15,ROW(C127)-ROW(C$15),0)</f>
        <v/>
      </c>
      <c r="D127" s="118" t="str">
        <f ca="1">OFFSET(ORÇAMENTO!N$15,ROW(D127)-ROW(D$15),0)</f>
        <v>Serviço</v>
      </c>
      <c r="E127" s="119" t="str">
        <f ca="1">OFFSET(ORÇAMENTO!O$15,ROW(E127)-ROW(E$15),0)</f>
        <v>-</v>
      </c>
      <c r="F127" s="172" t="str">
        <f ca="1">OFFSET(ORÇAMENTO!R$15,ROW(F127)-ROW(F$15),0)</f>
        <v>(abra o arquivo 'Referência 02-2025.xlsm)</v>
      </c>
      <c r="G127" s="173" t="str">
        <f ca="1">IF($D127&lt;&gt;"Serviço","",OFFSET(ORÇAMENTO!S$15,ROW(G127)-ROW(G$15),0))</f>
        <v>-</v>
      </c>
      <c r="H127" s="124">
        <f ca="1">IF($D127&lt;&gt;"Serviço",0,IF(ACOMPANHAMENTO="BM",ROUND(OFFSET(ORÇAMENTO!AJ$15,ROW(H127)-ROW(H$15),0),15-13*ORÇAMENTO!$AF$7),SUMPRODUCT(($Q$12:$AA$12&lt;&gt;"")*ROUND($Q127:$AA127,15-13*ORÇAMENTO!$AF$7))))</f>
        <v>4</v>
      </c>
      <c r="I127" s="561" t="s">
        <v>890</v>
      </c>
      <c r="K127" s="174"/>
      <c r="L127" s="175" t="s">
        <v>255</v>
      </c>
      <c r="M127" s="176">
        <f ca="1">IF($D127&lt;&gt;"Serviço","",IF(AUTOEVENTO="manual",$A127,IF(ISERROR(MATCH($A127,$A$15:OFFSET($A127,-1,0),0)),MAX($M$15:OFFSET(M127,-1,0))+1,INDEX($M$15:OFFSET(M127,-1,0),MATCH($A127,$A$15:OFFSET($A127,-1,0),0)))))</f>
        <v>7</v>
      </c>
      <c r="N127" s="177" t="str">
        <f ca="1">IF($D127&lt;&gt;"Serviço","",IF(AUTOEVENTO="Manual",IF($A127=0,"&lt;-- defina o número do agrupador",OFFSET(EVENTOS!$D$14,$A127,0)),OFFSET($F$15,$A127,0)))</f>
        <v>ESQUADRIAS</v>
      </c>
      <c r="O127" s="178"/>
      <c r="Q127" s="178"/>
      <c r="R127" s="179"/>
      <c r="S127" s="179"/>
      <c r="T127" s="179"/>
      <c r="U127" s="179"/>
      <c r="V127" s="179"/>
      <c r="W127" s="179"/>
      <c r="X127" s="179"/>
      <c r="Y127" s="179"/>
      <c r="Z127" s="180"/>
      <c r="AB127" s="544">
        <f ca="1">IF(AND($D127="Serviço",AB$12&lt;&gt;0,$H127&gt;0,OR(AUTOEVENTO&lt;&gt;"manual",$M127&lt;&gt;1)),
IF(Import.TipoArredondamento&lt;&gt;"TransfereGOV",
ROUND(OFFSET($P127,0,AB$13),15-13*ORÇAMENTO!$AF$7)/$H127*OFFSET(ORÇAMENTO!$X$15,ROW(AB127)-ROW(AB$15),0),
ROUND(ROUND(OFFSET($P127,0,AB$13),15-13*ORÇAMENTO!$AF$7)*OFFSET(ORÇAMENTO!$W$15,ROW(AB127)-ROW(AB$15),0),15-13*ORÇAMENTO!$AF$11)),0)</f>
        <v>0</v>
      </c>
      <c r="AC127" s="545">
        <f ca="1">IF(AND($D127="Serviço",AC$12&lt;&gt;0,$H127&gt;0,OR(AUTOEVENTO&lt;&gt;"manual",$M127&lt;&gt;1)),
IF(Import.TipoArredondamento&lt;&gt;"TransfereGOV",
ROUND(OFFSET($P127,0,AC$13),15-13*ORÇAMENTO!$AF$7)/$H127*OFFSET(ORÇAMENTO!$X$15,ROW(AC127)-ROW(AC$15),0),
ROUND(ROUND(OFFSET($P127,0,AC$13),15-13*ORÇAMENTO!$AF$7)*OFFSET(ORÇAMENTO!$W$15,ROW(AC127)-ROW(AC$15),0),15-13*ORÇAMENTO!$AF$11)),0)</f>
        <v>0</v>
      </c>
      <c r="AD127" s="545">
        <f ca="1">IF(AND($D127="Serviço",AD$12&lt;&gt;0,$H127&gt;0,OR(AUTOEVENTO&lt;&gt;"manual",$M127&lt;&gt;1)),
IF(Import.TipoArredondamento&lt;&gt;"TransfereGOV",
ROUND(OFFSET($P127,0,AD$13),15-13*ORÇAMENTO!$AF$7)/$H127*OFFSET(ORÇAMENTO!$X$15,ROW(AD127)-ROW(AD$15),0),
ROUND(ROUND(OFFSET($P127,0,AD$13),15-13*ORÇAMENTO!$AF$7)*OFFSET(ORÇAMENTO!$W$15,ROW(AD127)-ROW(AD$15),0),15-13*ORÇAMENTO!$AF$11)),0)</f>
        <v>0</v>
      </c>
      <c r="AE127" s="545">
        <f ca="1">IF(AND($D127="Serviço",AE$12&lt;&gt;0,$H127&gt;0,OR(AUTOEVENTO&lt;&gt;"manual",$M127&lt;&gt;1)),
IF(Import.TipoArredondamento&lt;&gt;"TransfereGOV",
ROUND(OFFSET($P127,0,AE$13),15-13*ORÇAMENTO!$AF$7)/$H127*OFFSET(ORÇAMENTO!$X$15,ROW(AE127)-ROW(AE$15),0),
ROUND(ROUND(OFFSET($P127,0,AE$13),15-13*ORÇAMENTO!$AF$7)*OFFSET(ORÇAMENTO!$W$15,ROW(AE127)-ROW(AE$15),0),15-13*ORÇAMENTO!$AF$11)),0)</f>
        <v>0</v>
      </c>
      <c r="AF127" s="545">
        <f ca="1">IF(AND($D127="Serviço",AF$12&lt;&gt;0,$H127&gt;0,OR(AUTOEVENTO&lt;&gt;"manual",$M127&lt;&gt;1)),
IF(Import.TipoArredondamento&lt;&gt;"TransfereGOV",
ROUND(OFFSET($P127,0,AF$13),15-13*ORÇAMENTO!$AF$7)/$H127*OFFSET(ORÇAMENTO!$X$15,ROW(AF127)-ROW(AF$15),0),
ROUND(ROUND(OFFSET($P127,0,AF$13),15-13*ORÇAMENTO!$AF$7)*OFFSET(ORÇAMENTO!$W$15,ROW(AF127)-ROW(AF$15),0),15-13*ORÇAMENTO!$AF$11)),0)</f>
        <v>0</v>
      </c>
      <c r="AG127" s="545">
        <f ca="1">IF(AND($D127="Serviço",AG$12&lt;&gt;0,$H127&gt;0,OR(AUTOEVENTO&lt;&gt;"manual",$M127&lt;&gt;1)),
IF(Import.TipoArredondamento&lt;&gt;"TransfereGOV",
ROUND(OFFSET($P127,0,AG$13),15-13*ORÇAMENTO!$AF$7)/$H127*OFFSET(ORÇAMENTO!$X$15,ROW(AG127)-ROW(AG$15),0),
ROUND(ROUND(OFFSET($P127,0,AG$13),15-13*ORÇAMENTO!$AF$7)*OFFSET(ORÇAMENTO!$W$15,ROW(AG127)-ROW(AG$15),0),15-13*ORÇAMENTO!$AF$11)),0)</f>
        <v>0</v>
      </c>
      <c r="AH127" s="545">
        <f ca="1">IF(AND($D127="Serviço",AH$12&lt;&gt;0,$H127&gt;0,OR(AUTOEVENTO&lt;&gt;"manual",$M127&lt;&gt;1)),
IF(Import.TipoArredondamento&lt;&gt;"TransfereGOV",
ROUND(OFFSET($P127,0,AH$13),15-13*ORÇAMENTO!$AF$7)/$H127*OFFSET(ORÇAMENTO!$X$15,ROW(AH127)-ROW(AH$15),0),
ROUND(ROUND(OFFSET($P127,0,AH$13),15-13*ORÇAMENTO!$AF$7)*OFFSET(ORÇAMENTO!$W$15,ROW(AH127)-ROW(AH$15),0),15-13*ORÇAMENTO!$AF$11)),0)</f>
        <v>0</v>
      </c>
      <c r="AI127" s="545">
        <f ca="1">IF(AND($D127="Serviço",AI$12&lt;&gt;0,$H127&gt;0,OR(AUTOEVENTO&lt;&gt;"manual",$M127&lt;&gt;1)),
IF(Import.TipoArredondamento&lt;&gt;"TransfereGOV",
ROUND(OFFSET($P127,0,AI$13),15-13*ORÇAMENTO!$AF$7)/$H127*OFFSET(ORÇAMENTO!$X$15,ROW(AI127)-ROW(AI$15),0),
ROUND(ROUND(OFFSET($P127,0,AI$13),15-13*ORÇAMENTO!$AF$7)*OFFSET(ORÇAMENTO!$W$15,ROW(AI127)-ROW(AI$15),0),15-13*ORÇAMENTO!$AF$11)),0)</f>
        <v>0</v>
      </c>
      <c r="AJ127" s="545">
        <f ca="1">IF(AND($D127="Serviço",AJ$12&lt;&gt;0,$H127&gt;0,OR(AUTOEVENTO&lt;&gt;"manual",$M127&lt;&gt;1)),
IF(Import.TipoArredondamento&lt;&gt;"TransfereGOV",
ROUND(OFFSET($P127,0,AJ$13),15-13*ORÇAMENTO!$AF$7)/$H127*OFFSET(ORÇAMENTO!$X$15,ROW(AJ127)-ROW(AJ$15),0),
ROUND(ROUND(OFFSET($P127,0,AJ$13),15-13*ORÇAMENTO!$AF$7)*OFFSET(ORÇAMENTO!$W$15,ROW(AJ127)-ROW(AJ$15),0),15-13*ORÇAMENTO!$AF$11)),0)</f>
        <v>0</v>
      </c>
      <c r="AK127" s="546">
        <f ca="1">IF(AND($D127="Serviço",AK$12&lt;&gt;0,$H127&gt;0,OR(AUTOEVENTO&lt;&gt;"manual",$M127&lt;&gt;1)),
IF(Import.TipoArredondamento&lt;&gt;"TransfereGOV",
ROUND(OFFSET($P127,0,AK$13),15-13*ORÇAMENTO!$AF$7)/$H127*OFFSET(ORÇAMENTO!$X$15,ROW(AK127)-ROW(AK$15),0),
ROUND(ROUND(OFFSET($P127,0,AK$13),15-13*ORÇAMENTO!$AF$7)*OFFSET(ORÇAMENTO!$W$15,ROW(AK127)-ROW(AK$15),0),15-13*ORÇAMENTO!$AF$11)),0)</f>
        <v>0</v>
      </c>
      <c r="AM127" s="181">
        <f ca="1">IF($D127&lt;&gt;"Serviço",0,IF(AND(AUTOEVENTO="Manual",$M127=1),0,IF(OFFSET(CRONOPLE!$F$14,$M127,AM$13)="",10^12,OFFSET(CRONOPLE!$F$14,$M127,AM$13))))</f>
        <v>1000000000000</v>
      </c>
      <c r="AN127" s="181">
        <f ca="1">IF($D127&lt;&gt;"Serviço",0,IF(AND(AUTOEVENTO="Manual",$M127=1),0,IF(OFFSET(CRONOPLE!$F$14,$M127,AN$13)="",10^12,OFFSET(CRONOPLE!$F$14,$M127,AN$13))))</f>
        <v>1000000000000</v>
      </c>
      <c r="AO127" s="181">
        <f ca="1">IF($D127&lt;&gt;"Serviço",0,IF(AND(AUTOEVENTO="Manual",$M127=1),0,IF(OFFSET(CRONOPLE!$F$14,$M127,AO$13)="",10^12,OFFSET(CRONOPLE!$F$14,$M127,AO$13))))</f>
        <v>1000000000000</v>
      </c>
      <c r="AP127" s="181">
        <f ca="1">IF($D127&lt;&gt;"Serviço",0,IF(AND(AUTOEVENTO="Manual",$M127=1),0,IF(OFFSET(CRONOPLE!$F$14,$M127,AP$13)="",10^12,OFFSET(CRONOPLE!$F$14,$M127,AP$13))))</f>
        <v>1000000000000</v>
      </c>
      <c r="AQ127" s="181">
        <f ca="1">IF($D127&lt;&gt;"Serviço",0,IF(AND(AUTOEVENTO="Manual",$M127=1),0,IF(OFFSET(CRONOPLE!$F$14,$M127,AQ$13)="",10^12,OFFSET(CRONOPLE!$F$14,$M127,AQ$13))))</f>
        <v>1000000000000</v>
      </c>
      <c r="AR127" s="181">
        <f ca="1">IF($D127&lt;&gt;"Serviço",0,IF(AND(AUTOEVENTO="Manual",$M127=1),0,IF(OFFSET(CRONOPLE!$F$14,$M127,AR$13)="",10^12,OFFSET(CRONOPLE!$F$14,$M127,AR$13))))</f>
        <v>1000000000000</v>
      </c>
      <c r="AS127" s="181">
        <f ca="1">IF($D127&lt;&gt;"Serviço",0,IF(AND(AUTOEVENTO="Manual",$M127=1),0,IF(OFFSET(CRONOPLE!$F$14,$M127,AS$13)="",10^12,OFFSET(CRONOPLE!$F$14,$M127,AS$13))))</f>
        <v>1000000000000</v>
      </c>
      <c r="AT127" s="181">
        <f ca="1">IF($D127&lt;&gt;"Serviço",0,IF(AND(AUTOEVENTO="Manual",$M127=1),0,IF(OFFSET(CRONOPLE!$F$14,$M127,AT$13)="",10^12,OFFSET(CRONOPLE!$F$14,$M127,AT$13))))</f>
        <v>1000000000000</v>
      </c>
      <c r="AU127" s="181">
        <f ca="1">IF($D127&lt;&gt;"Serviço",0,IF(AND(AUTOEVENTO="Manual",$M127=1),0,IF(OFFSET(CRONOPLE!$F$14,$M127,AU$13)="",10^12,OFFSET(CRONOPLE!$F$14,$M127,AU$13))))</f>
        <v>1000000000000</v>
      </c>
      <c r="AV127" s="181">
        <f ca="1">IF($D127&lt;&gt;"Serviço",0,IF(AND(AUTOEVENTO="Manual",$M127=1),0,IF(OFFSET(CRONOPLE!$F$14,$M127,AV$13)="",10^12,OFFSET(CRONOPLE!$F$14,$M127,AV$13))))</f>
        <v>1000000000000</v>
      </c>
      <c r="AX127" s="182">
        <f ca="1">IF($D127&lt;&gt;"Serviço",0,IF(OR(AND(AUTOEVENTO="Manual",$M127=1),$M127&gt;(ROW(PLE.lastrow)-ROW(PLE.firstrow))),0,IF(OFFSET(PLE!$G$14,$M127,AX$13)="",10^12,OFFSET(PLE!$G$14,$M127,AX$13))))</f>
        <v>1000000000000</v>
      </c>
      <c r="AY127" s="182">
        <f ca="1">IF($D127&lt;&gt;"Serviço",0,IF(OR(AND(AUTOEVENTO="Manual",$M127=1),$M127&gt;(ROW(PLE.lastrow)-ROW(PLE.firstrow))),0,IF(OFFSET(PLE!$G$14,$M127,AY$13)="",10^12,OFFSET(PLE!$G$14,$M127,AY$13))))</f>
        <v>1000000000000</v>
      </c>
      <c r="AZ127" s="182">
        <f ca="1">IF($D127&lt;&gt;"Serviço",0,IF(OR(AND(AUTOEVENTO="Manual",$M127=1),$M127&gt;(ROW(PLE.lastrow)-ROW(PLE.firstrow))),0,IF(OFFSET(PLE!$G$14,$M127,AZ$13)="",10^12,OFFSET(PLE!$G$14,$M127,AZ$13))))</f>
        <v>1000000000000</v>
      </c>
      <c r="BA127" s="182">
        <f ca="1">IF($D127&lt;&gt;"Serviço",0,IF(OR(AND(AUTOEVENTO="Manual",$M127=1),$M127&gt;(ROW(PLE.lastrow)-ROW(PLE.firstrow))),0,IF(OFFSET(PLE!$G$14,$M127,BA$13)="",10^12,OFFSET(PLE!$G$14,$M127,BA$13))))</f>
        <v>1000000000000</v>
      </c>
      <c r="BB127" s="182">
        <f ca="1">IF($D127&lt;&gt;"Serviço",0,IF(OR(AND(AUTOEVENTO="Manual",$M127=1),$M127&gt;(ROW(PLE.lastrow)-ROW(PLE.firstrow))),0,IF(OFFSET(PLE!$G$14,$M127,BB$13)="",10^12,OFFSET(PLE!$G$14,$M127,BB$13))))</f>
        <v>1000000000000</v>
      </c>
      <c r="BC127" s="182">
        <f ca="1">IF($D127&lt;&gt;"Serviço",0,IF(OR(AND(AUTOEVENTO="Manual",$M127=1),$M127&gt;(ROW(PLE.lastrow)-ROW(PLE.firstrow))),0,IF(OFFSET(PLE!$G$14,$M127,BC$13)="",10^12,OFFSET(PLE!$G$14,$M127,BC$13))))</f>
        <v>1000000000000</v>
      </c>
      <c r="BD127" s="182">
        <f ca="1">IF($D127&lt;&gt;"Serviço",0,IF(OR(AND(AUTOEVENTO="Manual",$M127=1),$M127&gt;(ROW(PLE.lastrow)-ROW(PLE.firstrow))),0,IF(OFFSET(PLE!$G$14,$M127,BD$13)="",10^12,OFFSET(PLE!$G$14,$M127,BD$13))))</f>
        <v>1000000000000</v>
      </c>
      <c r="BE127" s="182">
        <f ca="1">IF($D127&lt;&gt;"Serviço",0,IF(OR(AND(AUTOEVENTO="Manual",$M127=1),$M127&gt;(ROW(PLE.lastrow)-ROW(PLE.firstrow))),0,IF(OFFSET(PLE!$G$14,$M127,BE$13)="",10^12,OFFSET(PLE!$G$14,$M127,BE$13))))</f>
        <v>1000000000000</v>
      </c>
      <c r="BF127" s="182">
        <f ca="1">IF($D127&lt;&gt;"Serviço",0,IF(OR(AND(AUTOEVENTO="Manual",$M127=1),$M127&gt;(ROW(PLE.lastrow)-ROW(PLE.firstrow))),0,IF(OFFSET(PLE!$G$14,$M127,BF$13)="",10^12,OFFSET(PLE!$G$14,$M127,BF$13))))</f>
        <v>1000000000000</v>
      </c>
      <c r="BG127" s="182">
        <f ca="1">IF($D127&lt;&gt;"Serviço",0,IF(OR(AND(AUTOEVENTO="Manual",$M127=1),$M127&gt;(ROW(PLE.lastrow)-ROW(PLE.firstrow))),0,IF(OFFSET(PLE!$G$14,$M127,BG$13)="",10^12,OFFSET(PLE!$G$14,$M127,BG$13))))</f>
        <v>1000000000000</v>
      </c>
    </row>
    <row r="128" spans="1:59" ht="63.75" x14ac:dyDescent="0.2">
      <c r="A128" s="7" t="str">
        <f t="shared" ca="1" si="9"/>
        <v>108</v>
      </c>
      <c r="B128" s="7" t="str">
        <f ca="1">OFFSET(ORÇAMENTO!C$15,ROW(B128)-ROW(B$15),0)</f>
        <v>S</v>
      </c>
      <c r="C128" s="7" t="str">
        <f ca="1">OFFSET(ORÇAMENTO!L$15,ROW(C128)-ROW(C$15),0)</f>
        <v/>
      </c>
      <c r="D128" s="118" t="str">
        <f ca="1">OFFSET(ORÇAMENTO!N$15,ROW(D128)-ROW(D$15),0)</f>
        <v>Serviço</v>
      </c>
      <c r="E128" s="119" t="str">
        <f ca="1">OFFSET(ORÇAMENTO!O$15,ROW(E128)-ROW(E$15),0)</f>
        <v>-</v>
      </c>
      <c r="F128" s="172" t="str">
        <f ca="1">OFFSET(ORÇAMENTO!R$15,ROW(F128)-ROW(F$15),0)</f>
        <v>(abra o arquivo 'Referência 02-2025.xlsm)</v>
      </c>
      <c r="G128" s="173" t="str">
        <f ca="1">IF($D128&lt;&gt;"Serviço","",OFFSET(ORÇAMENTO!S$15,ROW(G128)-ROW(G$15),0))</f>
        <v>-</v>
      </c>
      <c r="H128" s="124">
        <f ca="1">IF($D128&lt;&gt;"Serviço",0,IF(ACOMPANHAMENTO="BM",ROUND(OFFSET(ORÇAMENTO!AJ$15,ROW(H128)-ROW(H$15),0),15-13*ORÇAMENTO!$AF$7),SUMPRODUCT(($Q$12:$AA$12&lt;&gt;"")*ROUND($Q128:$AA128,15-13*ORÇAMENTO!$AF$7))))</f>
        <v>10</v>
      </c>
      <c r="I128" s="561" t="s">
        <v>890</v>
      </c>
      <c r="K128" s="174"/>
      <c r="L128" s="175" t="s">
        <v>255</v>
      </c>
      <c r="M128" s="176">
        <f ca="1">IF($D128&lt;&gt;"Serviço","",IF(AUTOEVENTO="manual",$A128,IF(ISERROR(MATCH($A128,$A$15:OFFSET($A128,-1,0),0)),MAX($M$15:OFFSET(M128,-1,0))+1,INDEX($M$15:OFFSET(M128,-1,0),MATCH($A128,$A$15:OFFSET($A128,-1,0),0)))))</f>
        <v>7</v>
      </c>
      <c r="N128" s="177" t="str">
        <f ca="1">IF($D128&lt;&gt;"Serviço","",IF(AUTOEVENTO="Manual",IF($A128=0,"&lt;-- defina o número do agrupador",OFFSET(EVENTOS!$D$14,$A128,0)),OFFSET($F$15,$A128,0)))</f>
        <v>ESQUADRIAS</v>
      </c>
      <c r="O128" s="178"/>
      <c r="Q128" s="178"/>
      <c r="R128" s="179"/>
      <c r="S128" s="179"/>
      <c r="T128" s="179"/>
      <c r="U128" s="179"/>
      <c r="V128" s="179"/>
      <c r="W128" s="179"/>
      <c r="X128" s="179"/>
      <c r="Y128" s="179"/>
      <c r="Z128" s="180"/>
      <c r="AB128" s="544">
        <f ca="1">IF(AND($D128="Serviço",AB$12&lt;&gt;0,$H128&gt;0,OR(AUTOEVENTO&lt;&gt;"manual",$M128&lt;&gt;1)),
IF(Import.TipoArredondamento&lt;&gt;"TransfereGOV",
ROUND(OFFSET($P128,0,AB$13),15-13*ORÇAMENTO!$AF$7)/$H128*OFFSET(ORÇAMENTO!$X$15,ROW(AB128)-ROW(AB$15),0),
ROUND(ROUND(OFFSET($P128,0,AB$13),15-13*ORÇAMENTO!$AF$7)*OFFSET(ORÇAMENTO!$W$15,ROW(AB128)-ROW(AB$15),0),15-13*ORÇAMENTO!$AF$11)),0)</f>
        <v>0</v>
      </c>
      <c r="AC128" s="545">
        <f ca="1">IF(AND($D128="Serviço",AC$12&lt;&gt;0,$H128&gt;0,OR(AUTOEVENTO&lt;&gt;"manual",$M128&lt;&gt;1)),
IF(Import.TipoArredondamento&lt;&gt;"TransfereGOV",
ROUND(OFFSET($P128,0,AC$13),15-13*ORÇAMENTO!$AF$7)/$H128*OFFSET(ORÇAMENTO!$X$15,ROW(AC128)-ROW(AC$15),0),
ROUND(ROUND(OFFSET($P128,0,AC$13),15-13*ORÇAMENTO!$AF$7)*OFFSET(ORÇAMENTO!$W$15,ROW(AC128)-ROW(AC$15),0),15-13*ORÇAMENTO!$AF$11)),0)</f>
        <v>0</v>
      </c>
      <c r="AD128" s="545">
        <f ca="1">IF(AND($D128="Serviço",AD$12&lt;&gt;0,$H128&gt;0,OR(AUTOEVENTO&lt;&gt;"manual",$M128&lt;&gt;1)),
IF(Import.TipoArredondamento&lt;&gt;"TransfereGOV",
ROUND(OFFSET($P128,0,AD$13),15-13*ORÇAMENTO!$AF$7)/$H128*OFFSET(ORÇAMENTO!$X$15,ROW(AD128)-ROW(AD$15),0),
ROUND(ROUND(OFFSET($P128,0,AD$13),15-13*ORÇAMENTO!$AF$7)*OFFSET(ORÇAMENTO!$W$15,ROW(AD128)-ROW(AD$15),0),15-13*ORÇAMENTO!$AF$11)),0)</f>
        <v>0</v>
      </c>
      <c r="AE128" s="545">
        <f ca="1">IF(AND($D128="Serviço",AE$12&lt;&gt;0,$H128&gt;0,OR(AUTOEVENTO&lt;&gt;"manual",$M128&lt;&gt;1)),
IF(Import.TipoArredondamento&lt;&gt;"TransfereGOV",
ROUND(OFFSET($P128,0,AE$13),15-13*ORÇAMENTO!$AF$7)/$H128*OFFSET(ORÇAMENTO!$X$15,ROW(AE128)-ROW(AE$15),0),
ROUND(ROUND(OFFSET($P128,0,AE$13),15-13*ORÇAMENTO!$AF$7)*OFFSET(ORÇAMENTO!$W$15,ROW(AE128)-ROW(AE$15),0),15-13*ORÇAMENTO!$AF$11)),0)</f>
        <v>0</v>
      </c>
      <c r="AF128" s="545">
        <f ca="1">IF(AND($D128="Serviço",AF$12&lt;&gt;0,$H128&gt;0,OR(AUTOEVENTO&lt;&gt;"manual",$M128&lt;&gt;1)),
IF(Import.TipoArredondamento&lt;&gt;"TransfereGOV",
ROUND(OFFSET($P128,0,AF$13),15-13*ORÇAMENTO!$AF$7)/$H128*OFFSET(ORÇAMENTO!$X$15,ROW(AF128)-ROW(AF$15),0),
ROUND(ROUND(OFFSET($P128,0,AF$13),15-13*ORÇAMENTO!$AF$7)*OFFSET(ORÇAMENTO!$W$15,ROW(AF128)-ROW(AF$15),0),15-13*ORÇAMENTO!$AF$11)),0)</f>
        <v>0</v>
      </c>
      <c r="AG128" s="545">
        <f ca="1">IF(AND($D128="Serviço",AG$12&lt;&gt;0,$H128&gt;0,OR(AUTOEVENTO&lt;&gt;"manual",$M128&lt;&gt;1)),
IF(Import.TipoArredondamento&lt;&gt;"TransfereGOV",
ROUND(OFFSET($P128,0,AG$13),15-13*ORÇAMENTO!$AF$7)/$H128*OFFSET(ORÇAMENTO!$X$15,ROW(AG128)-ROW(AG$15),0),
ROUND(ROUND(OFFSET($P128,0,AG$13),15-13*ORÇAMENTO!$AF$7)*OFFSET(ORÇAMENTO!$W$15,ROW(AG128)-ROW(AG$15),0),15-13*ORÇAMENTO!$AF$11)),0)</f>
        <v>0</v>
      </c>
      <c r="AH128" s="545">
        <f ca="1">IF(AND($D128="Serviço",AH$12&lt;&gt;0,$H128&gt;0,OR(AUTOEVENTO&lt;&gt;"manual",$M128&lt;&gt;1)),
IF(Import.TipoArredondamento&lt;&gt;"TransfereGOV",
ROUND(OFFSET($P128,0,AH$13),15-13*ORÇAMENTO!$AF$7)/$H128*OFFSET(ORÇAMENTO!$X$15,ROW(AH128)-ROW(AH$15),0),
ROUND(ROUND(OFFSET($P128,0,AH$13),15-13*ORÇAMENTO!$AF$7)*OFFSET(ORÇAMENTO!$W$15,ROW(AH128)-ROW(AH$15),0),15-13*ORÇAMENTO!$AF$11)),0)</f>
        <v>0</v>
      </c>
      <c r="AI128" s="545">
        <f ca="1">IF(AND($D128="Serviço",AI$12&lt;&gt;0,$H128&gt;0,OR(AUTOEVENTO&lt;&gt;"manual",$M128&lt;&gt;1)),
IF(Import.TipoArredondamento&lt;&gt;"TransfereGOV",
ROUND(OFFSET($P128,0,AI$13),15-13*ORÇAMENTO!$AF$7)/$H128*OFFSET(ORÇAMENTO!$X$15,ROW(AI128)-ROW(AI$15),0),
ROUND(ROUND(OFFSET($P128,0,AI$13),15-13*ORÇAMENTO!$AF$7)*OFFSET(ORÇAMENTO!$W$15,ROW(AI128)-ROW(AI$15),0),15-13*ORÇAMENTO!$AF$11)),0)</f>
        <v>0</v>
      </c>
      <c r="AJ128" s="545">
        <f ca="1">IF(AND($D128="Serviço",AJ$12&lt;&gt;0,$H128&gt;0,OR(AUTOEVENTO&lt;&gt;"manual",$M128&lt;&gt;1)),
IF(Import.TipoArredondamento&lt;&gt;"TransfereGOV",
ROUND(OFFSET($P128,0,AJ$13),15-13*ORÇAMENTO!$AF$7)/$H128*OFFSET(ORÇAMENTO!$X$15,ROW(AJ128)-ROW(AJ$15),0),
ROUND(ROUND(OFFSET($P128,0,AJ$13),15-13*ORÇAMENTO!$AF$7)*OFFSET(ORÇAMENTO!$W$15,ROW(AJ128)-ROW(AJ$15),0),15-13*ORÇAMENTO!$AF$11)),0)</f>
        <v>0</v>
      </c>
      <c r="AK128" s="546">
        <f ca="1">IF(AND($D128="Serviço",AK$12&lt;&gt;0,$H128&gt;0,OR(AUTOEVENTO&lt;&gt;"manual",$M128&lt;&gt;1)),
IF(Import.TipoArredondamento&lt;&gt;"TransfereGOV",
ROUND(OFFSET($P128,0,AK$13),15-13*ORÇAMENTO!$AF$7)/$H128*OFFSET(ORÇAMENTO!$X$15,ROW(AK128)-ROW(AK$15),0),
ROUND(ROUND(OFFSET($P128,0,AK$13),15-13*ORÇAMENTO!$AF$7)*OFFSET(ORÇAMENTO!$W$15,ROW(AK128)-ROW(AK$15),0),15-13*ORÇAMENTO!$AF$11)),0)</f>
        <v>0</v>
      </c>
      <c r="AM128" s="181">
        <f ca="1">IF($D128&lt;&gt;"Serviço",0,IF(AND(AUTOEVENTO="Manual",$M128=1),0,IF(OFFSET(CRONOPLE!$F$14,$M128,AM$13)="",10^12,OFFSET(CRONOPLE!$F$14,$M128,AM$13))))</f>
        <v>1000000000000</v>
      </c>
      <c r="AN128" s="181">
        <f ca="1">IF($D128&lt;&gt;"Serviço",0,IF(AND(AUTOEVENTO="Manual",$M128=1),0,IF(OFFSET(CRONOPLE!$F$14,$M128,AN$13)="",10^12,OFFSET(CRONOPLE!$F$14,$M128,AN$13))))</f>
        <v>1000000000000</v>
      </c>
      <c r="AO128" s="181">
        <f ca="1">IF($D128&lt;&gt;"Serviço",0,IF(AND(AUTOEVENTO="Manual",$M128=1),0,IF(OFFSET(CRONOPLE!$F$14,$M128,AO$13)="",10^12,OFFSET(CRONOPLE!$F$14,$M128,AO$13))))</f>
        <v>1000000000000</v>
      </c>
      <c r="AP128" s="181">
        <f ca="1">IF($D128&lt;&gt;"Serviço",0,IF(AND(AUTOEVENTO="Manual",$M128=1),0,IF(OFFSET(CRONOPLE!$F$14,$M128,AP$13)="",10^12,OFFSET(CRONOPLE!$F$14,$M128,AP$13))))</f>
        <v>1000000000000</v>
      </c>
      <c r="AQ128" s="181">
        <f ca="1">IF($D128&lt;&gt;"Serviço",0,IF(AND(AUTOEVENTO="Manual",$M128=1),0,IF(OFFSET(CRONOPLE!$F$14,$M128,AQ$13)="",10^12,OFFSET(CRONOPLE!$F$14,$M128,AQ$13))))</f>
        <v>1000000000000</v>
      </c>
      <c r="AR128" s="181">
        <f ca="1">IF($D128&lt;&gt;"Serviço",0,IF(AND(AUTOEVENTO="Manual",$M128=1),0,IF(OFFSET(CRONOPLE!$F$14,$M128,AR$13)="",10^12,OFFSET(CRONOPLE!$F$14,$M128,AR$13))))</f>
        <v>1000000000000</v>
      </c>
      <c r="AS128" s="181">
        <f ca="1">IF($D128&lt;&gt;"Serviço",0,IF(AND(AUTOEVENTO="Manual",$M128=1),0,IF(OFFSET(CRONOPLE!$F$14,$M128,AS$13)="",10^12,OFFSET(CRONOPLE!$F$14,$M128,AS$13))))</f>
        <v>1000000000000</v>
      </c>
      <c r="AT128" s="181">
        <f ca="1">IF($D128&lt;&gt;"Serviço",0,IF(AND(AUTOEVENTO="Manual",$M128=1),0,IF(OFFSET(CRONOPLE!$F$14,$M128,AT$13)="",10^12,OFFSET(CRONOPLE!$F$14,$M128,AT$13))))</f>
        <v>1000000000000</v>
      </c>
      <c r="AU128" s="181">
        <f ca="1">IF($D128&lt;&gt;"Serviço",0,IF(AND(AUTOEVENTO="Manual",$M128=1),0,IF(OFFSET(CRONOPLE!$F$14,$M128,AU$13)="",10^12,OFFSET(CRONOPLE!$F$14,$M128,AU$13))))</f>
        <v>1000000000000</v>
      </c>
      <c r="AV128" s="181">
        <f ca="1">IF($D128&lt;&gt;"Serviço",0,IF(AND(AUTOEVENTO="Manual",$M128=1),0,IF(OFFSET(CRONOPLE!$F$14,$M128,AV$13)="",10^12,OFFSET(CRONOPLE!$F$14,$M128,AV$13))))</f>
        <v>1000000000000</v>
      </c>
      <c r="AX128" s="182">
        <f ca="1">IF($D128&lt;&gt;"Serviço",0,IF(OR(AND(AUTOEVENTO="Manual",$M128=1),$M128&gt;(ROW(PLE.lastrow)-ROW(PLE.firstrow))),0,IF(OFFSET(PLE!$G$14,$M128,AX$13)="",10^12,OFFSET(PLE!$G$14,$M128,AX$13))))</f>
        <v>1000000000000</v>
      </c>
      <c r="AY128" s="182">
        <f ca="1">IF($D128&lt;&gt;"Serviço",0,IF(OR(AND(AUTOEVENTO="Manual",$M128=1),$M128&gt;(ROW(PLE.lastrow)-ROW(PLE.firstrow))),0,IF(OFFSET(PLE!$G$14,$M128,AY$13)="",10^12,OFFSET(PLE!$G$14,$M128,AY$13))))</f>
        <v>1000000000000</v>
      </c>
      <c r="AZ128" s="182">
        <f ca="1">IF($D128&lt;&gt;"Serviço",0,IF(OR(AND(AUTOEVENTO="Manual",$M128=1),$M128&gt;(ROW(PLE.lastrow)-ROW(PLE.firstrow))),0,IF(OFFSET(PLE!$G$14,$M128,AZ$13)="",10^12,OFFSET(PLE!$G$14,$M128,AZ$13))))</f>
        <v>1000000000000</v>
      </c>
      <c r="BA128" s="182">
        <f ca="1">IF($D128&lt;&gt;"Serviço",0,IF(OR(AND(AUTOEVENTO="Manual",$M128=1),$M128&gt;(ROW(PLE.lastrow)-ROW(PLE.firstrow))),0,IF(OFFSET(PLE!$G$14,$M128,BA$13)="",10^12,OFFSET(PLE!$G$14,$M128,BA$13))))</f>
        <v>1000000000000</v>
      </c>
      <c r="BB128" s="182">
        <f ca="1">IF($D128&lt;&gt;"Serviço",0,IF(OR(AND(AUTOEVENTO="Manual",$M128=1),$M128&gt;(ROW(PLE.lastrow)-ROW(PLE.firstrow))),0,IF(OFFSET(PLE!$G$14,$M128,BB$13)="",10^12,OFFSET(PLE!$G$14,$M128,BB$13))))</f>
        <v>1000000000000</v>
      </c>
      <c r="BC128" s="182">
        <f ca="1">IF($D128&lt;&gt;"Serviço",0,IF(OR(AND(AUTOEVENTO="Manual",$M128=1),$M128&gt;(ROW(PLE.lastrow)-ROW(PLE.firstrow))),0,IF(OFFSET(PLE!$G$14,$M128,BC$13)="",10^12,OFFSET(PLE!$G$14,$M128,BC$13))))</f>
        <v>1000000000000</v>
      </c>
      <c r="BD128" s="182">
        <f ca="1">IF($D128&lt;&gt;"Serviço",0,IF(OR(AND(AUTOEVENTO="Manual",$M128=1),$M128&gt;(ROW(PLE.lastrow)-ROW(PLE.firstrow))),0,IF(OFFSET(PLE!$G$14,$M128,BD$13)="",10^12,OFFSET(PLE!$G$14,$M128,BD$13))))</f>
        <v>1000000000000</v>
      </c>
      <c r="BE128" s="182">
        <f ca="1">IF($D128&lt;&gt;"Serviço",0,IF(OR(AND(AUTOEVENTO="Manual",$M128=1),$M128&gt;(ROW(PLE.lastrow)-ROW(PLE.firstrow))),0,IF(OFFSET(PLE!$G$14,$M128,BE$13)="",10^12,OFFSET(PLE!$G$14,$M128,BE$13))))</f>
        <v>1000000000000</v>
      </c>
      <c r="BF128" s="182">
        <f ca="1">IF($D128&lt;&gt;"Serviço",0,IF(OR(AND(AUTOEVENTO="Manual",$M128=1),$M128&gt;(ROW(PLE.lastrow)-ROW(PLE.firstrow))),0,IF(OFFSET(PLE!$G$14,$M128,BF$13)="",10^12,OFFSET(PLE!$G$14,$M128,BF$13))))</f>
        <v>1000000000000</v>
      </c>
      <c r="BG128" s="182">
        <f ca="1">IF($D128&lt;&gt;"Serviço",0,IF(OR(AND(AUTOEVENTO="Manual",$M128=1),$M128&gt;(ROW(PLE.lastrow)-ROW(PLE.firstrow))),0,IF(OFFSET(PLE!$G$14,$M128,BG$13)="",10^12,OFFSET(PLE!$G$14,$M128,BG$13))))</f>
        <v>1000000000000</v>
      </c>
    </row>
    <row r="129" spans="1:59" ht="38.25" x14ac:dyDescent="0.2">
      <c r="A129" s="7" t="str">
        <f t="shared" ca="1" si="9"/>
        <v>108</v>
      </c>
      <c r="B129" s="7" t="str">
        <f ca="1">OFFSET(ORÇAMENTO!C$15,ROW(B129)-ROW(B$15),0)</f>
        <v>S</v>
      </c>
      <c r="C129" s="7" t="str">
        <f ca="1">OFFSET(ORÇAMENTO!L$15,ROW(C129)-ROW(C$15),0)</f>
        <v/>
      </c>
      <c r="D129" s="118" t="str">
        <f ca="1">OFFSET(ORÇAMENTO!N$15,ROW(D129)-ROW(D$15),0)</f>
        <v>Serviço</v>
      </c>
      <c r="E129" s="119" t="str">
        <f ca="1">OFFSET(ORÇAMENTO!O$15,ROW(E129)-ROW(E$15),0)</f>
        <v>-</v>
      </c>
      <c r="F129" s="172" t="str">
        <f ca="1">OFFSET(ORÇAMENTO!R$15,ROW(F129)-ROW(F$15),0)</f>
        <v>(abra o arquivo 'Referência 02-2025.xlsm)</v>
      </c>
      <c r="G129" s="173" t="str">
        <f ca="1">IF($D129&lt;&gt;"Serviço","",OFFSET(ORÇAMENTO!S$15,ROW(G129)-ROW(G$15),0))</f>
        <v>-</v>
      </c>
      <c r="H129" s="124">
        <f ca="1">IF($D129&lt;&gt;"Serviço",0,IF(ACOMPANHAMENTO="BM",ROUND(OFFSET(ORÇAMENTO!AJ$15,ROW(H129)-ROW(H$15),0),15-13*ORÇAMENTO!$AF$7),SUMPRODUCT(($Q$12:$AA$12&lt;&gt;"")*ROUND($Q129:$AA129,15-13*ORÇAMENTO!$AF$7))))</f>
        <v>8</v>
      </c>
      <c r="I129" s="561" t="s">
        <v>890</v>
      </c>
      <c r="K129" s="174"/>
      <c r="L129" s="175" t="s">
        <v>255</v>
      </c>
      <c r="M129" s="176">
        <f ca="1">IF($D129&lt;&gt;"Serviço","",IF(AUTOEVENTO="manual",$A129,IF(ISERROR(MATCH($A129,$A$15:OFFSET($A129,-1,0),0)),MAX($M$15:OFFSET(M129,-1,0))+1,INDEX($M$15:OFFSET(M129,-1,0),MATCH($A129,$A$15:OFFSET($A129,-1,0),0)))))</f>
        <v>7</v>
      </c>
      <c r="N129" s="177" t="str">
        <f ca="1">IF($D129&lt;&gt;"Serviço","",IF(AUTOEVENTO="Manual",IF($A129=0,"&lt;-- defina o número do agrupador",OFFSET(EVENTOS!$D$14,$A129,0)),OFFSET($F$15,$A129,0)))</f>
        <v>ESQUADRIAS</v>
      </c>
      <c r="O129" s="178"/>
      <c r="Q129" s="178"/>
      <c r="R129" s="179"/>
      <c r="S129" s="179"/>
      <c r="T129" s="179"/>
      <c r="U129" s="179"/>
      <c r="V129" s="179"/>
      <c r="W129" s="179"/>
      <c r="X129" s="179"/>
      <c r="Y129" s="179"/>
      <c r="Z129" s="180"/>
      <c r="AB129" s="544">
        <f ca="1">IF(AND($D129="Serviço",AB$12&lt;&gt;0,$H129&gt;0,OR(AUTOEVENTO&lt;&gt;"manual",$M129&lt;&gt;1)),
IF(Import.TipoArredondamento&lt;&gt;"TransfereGOV",
ROUND(OFFSET($P129,0,AB$13),15-13*ORÇAMENTO!$AF$7)/$H129*OFFSET(ORÇAMENTO!$X$15,ROW(AB129)-ROW(AB$15),0),
ROUND(ROUND(OFFSET($P129,0,AB$13),15-13*ORÇAMENTO!$AF$7)*OFFSET(ORÇAMENTO!$W$15,ROW(AB129)-ROW(AB$15),0),15-13*ORÇAMENTO!$AF$11)),0)</f>
        <v>0</v>
      </c>
      <c r="AC129" s="545">
        <f ca="1">IF(AND($D129="Serviço",AC$12&lt;&gt;0,$H129&gt;0,OR(AUTOEVENTO&lt;&gt;"manual",$M129&lt;&gt;1)),
IF(Import.TipoArredondamento&lt;&gt;"TransfereGOV",
ROUND(OFFSET($P129,0,AC$13),15-13*ORÇAMENTO!$AF$7)/$H129*OFFSET(ORÇAMENTO!$X$15,ROW(AC129)-ROW(AC$15),0),
ROUND(ROUND(OFFSET($P129,0,AC$13),15-13*ORÇAMENTO!$AF$7)*OFFSET(ORÇAMENTO!$W$15,ROW(AC129)-ROW(AC$15),0),15-13*ORÇAMENTO!$AF$11)),0)</f>
        <v>0</v>
      </c>
      <c r="AD129" s="545">
        <f ca="1">IF(AND($D129="Serviço",AD$12&lt;&gt;0,$H129&gt;0,OR(AUTOEVENTO&lt;&gt;"manual",$M129&lt;&gt;1)),
IF(Import.TipoArredondamento&lt;&gt;"TransfereGOV",
ROUND(OFFSET($P129,0,AD$13),15-13*ORÇAMENTO!$AF$7)/$H129*OFFSET(ORÇAMENTO!$X$15,ROW(AD129)-ROW(AD$15),0),
ROUND(ROUND(OFFSET($P129,0,AD$13),15-13*ORÇAMENTO!$AF$7)*OFFSET(ORÇAMENTO!$W$15,ROW(AD129)-ROW(AD$15),0),15-13*ORÇAMENTO!$AF$11)),0)</f>
        <v>0</v>
      </c>
      <c r="AE129" s="545">
        <f ca="1">IF(AND($D129="Serviço",AE$12&lt;&gt;0,$H129&gt;0,OR(AUTOEVENTO&lt;&gt;"manual",$M129&lt;&gt;1)),
IF(Import.TipoArredondamento&lt;&gt;"TransfereGOV",
ROUND(OFFSET($P129,0,AE$13),15-13*ORÇAMENTO!$AF$7)/$H129*OFFSET(ORÇAMENTO!$X$15,ROW(AE129)-ROW(AE$15),0),
ROUND(ROUND(OFFSET($P129,0,AE$13),15-13*ORÇAMENTO!$AF$7)*OFFSET(ORÇAMENTO!$W$15,ROW(AE129)-ROW(AE$15),0),15-13*ORÇAMENTO!$AF$11)),0)</f>
        <v>0</v>
      </c>
      <c r="AF129" s="545">
        <f ca="1">IF(AND($D129="Serviço",AF$12&lt;&gt;0,$H129&gt;0,OR(AUTOEVENTO&lt;&gt;"manual",$M129&lt;&gt;1)),
IF(Import.TipoArredondamento&lt;&gt;"TransfereGOV",
ROUND(OFFSET($P129,0,AF$13),15-13*ORÇAMENTO!$AF$7)/$H129*OFFSET(ORÇAMENTO!$X$15,ROW(AF129)-ROW(AF$15),0),
ROUND(ROUND(OFFSET($P129,0,AF$13),15-13*ORÇAMENTO!$AF$7)*OFFSET(ORÇAMENTO!$W$15,ROW(AF129)-ROW(AF$15),0),15-13*ORÇAMENTO!$AF$11)),0)</f>
        <v>0</v>
      </c>
      <c r="AG129" s="545">
        <f ca="1">IF(AND($D129="Serviço",AG$12&lt;&gt;0,$H129&gt;0,OR(AUTOEVENTO&lt;&gt;"manual",$M129&lt;&gt;1)),
IF(Import.TipoArredondamento&lt;&gt;"TransfereGOV",
ROUND(OFFSET($P129,0,AG$13),15-13*ORÇAMENTO!$AF$7)/$H129*OFFSET(ORÇAMENTO!$X$15,ROW(AG129)-ROW(AG$15),0),
ROUND(ROUND(OFFSET($P129,0,AG$13),15-13*ORÇAMENTO!$AF$7)*OFFSET(ORÇAMENTO!$W$15,ROW(AG129)-ROW(AG$15),0),15-13*ORÇAMENTO!$AF$11)),0)</f>
        <v>0</v>
      </c>
      <c r="AH129" s="545">
        <f ca="1">IF(AND($D129="Serviço",AH$12&lt;&gt;0,$H129&gt;0,OR(AUTOEVENTO&lt;&gt;"manual",$M129&lt;&gt;1)),
IF(Import.TipoArredondamento&lt;&gt;"TransfereGOV",
ROUND(OFFSET($P129,0,AH$13),15-13*ORÇAMENTO!$AF$7)/$H129*OFFSET(ORÇAMENTO!$X$15,ROW(AH129)-ROW(AH$15),0),
ROUND(ROUND(OFFSET($P129,0,AH$13),15-13*ORÇAMENTO!$AF$7)*OFFSET(ORÇAMENTO!$W$15,ROW(AH129)-ROW(AH$15),0),15-13*ORÇAMENTO!$AF$11)),0)</f>
        <v>0</v>
      </c>
      <c r="AI129" s="545">
        <f ca="1">IF(AND($D129="Serviço",AI$12&lt;&gt;0,$H129&gt;0,OR(AUTOEVENTO&lt;&gt;"manual",$M129&lt;&gt;1)),
IF(Import.TipoArredondamento&lt;&gt;"TransfereGOV",
ROUND(OFFSET($P129,0,AI$13),15-13*ORÇAMENTO!$AF$7)/$H129*OFFSET(ORÇAMENTO!$X$15,ROW(AI129)-ROW(AI$15),0),
ROUND(ROUND(OFFSET($P129,0,AI$13),15-13*ORÇAMENTO!$AF$7)*OFFSET(ORÇAMENTO!$W$15,ROW(AI129)-ROW(AI$15),0),15-13*ORÇAMENTO!$AF$11)),0)</f>
        <v>0</v>
      </c>
      <c r="AJ129" s="545">
        <f ca="1">IF(AND($D129="Serviço",AJ$12&lt;&gt;0,$H129&gt;0,OR(AUTOEVENTO&lt;&gt;"manual",$M129&lt;&gt;1)),
IF(Import.TipoArredondamento&lt;&gt;"TransfereGOV",
ROUND(OFFSET($P129,0,AJ$13),15-13*ORÇAMENTO!$AF$7)/$H129*OFFSET(ORÇAMENTO!$X$15,ROW(AJ129)-ROW(AJ$15),0),
ROUND(ROUND(OFFSET($P129,0,AJ$13),15-13*ORÇAMENTO!$AF$7)*OFFSET(ORÇAMENTO!$W$15,ROW(AJ129)-ROW(AJ$15),0),15-13*ORÇAMENTO!$AF$11)),0)</f>
        <v>0</v>
      </c>
      <c r="AK129" s="546">
        <f ca="1">IF(AND($D129="Serviço",AK$12&lt;&gt;0,$H129&gt;0,OR(AUTOEVENTO&lt;&gt;"manual",$M129&lt;&gt;1)),
IF(Import.TipoArredondamento&lt;&gt;"TransfereGOV",
ROUND(OFFSET($P129,0,AK$13),15-13*ORÇAMENTO!$AF$7)/$H129*OFFSET(ORÇAMENTO!$X$15,ROW(AK129)-ROW(AK$15),0),
ROUND(ROUND(OFFSET($P129,0,AK$13),15-13*ORÇAMENTO!$AF$7)*OFFSET(ORÇAMENTO!$W$15,ROW(AK129)-ROW(AK$15),0),15-13*ORÇAMENTO!$AF$11)),0)</f>
        <v>0</v>
      </c>
      <c r="AM129" s="181">
        <f ca="1">IF($D129&lt;&gt;"Serviço",0,IF(AND(AUTOEVENTO="Manual",$M129=1),0,IF(OFFSET(CRONOPLE!$F$14,$M129,AM$13)="",10^12,OFFSET(CRONOPLE!$F$14,$M129,AM$13))))</f>
        <v>1000000000000</v>
      </c>
      <c r="AN129" s="181">
        <f ca="1">IF($D129&lt;&gt;"Serviço",0,IF(AND(AUTOEVENTO="Manual",$M129=1),0,IF(OFFSET(CRONOPLE!$F$14,$M129,AN$13)="",10^12,OFFSET(CRONOPLE!$F$14,$M129,AN$13))))</f>
        <v>1000000000000</v>
      </c>
      <c r="AO129" s="181">
        <f ca="1">IF($D129&lt;&gt;"Serviço",0,IF(AND(AUTOEVENTO="Manual",$M129=1),0,IF(OFFSET(CRONOPLE!$F$14,$M129,AO$13)="",10^12,OFFSET(CRONOPLE!$F$14,$M129,AO$13))))</f>
        <v>1000000000000</v>
      </c>
      <c r="AP129" s="181">
        <f ca="1">IF($D129&lt;&gt;"Serviço",0,IF(AND(AUTOEVENTO="Manual",$M129=1),0,IF(OFFSET(CRONOPLE!$F$14,$M129,AP$13)="",10^12,OFFSET(CRONOPLE!$F$14,$M129,AP$13))))</f>
        <v>1000000000000</v>
      </c>
      <c r="AQ129" s="181">
        <f ca="1">IF($D129&lt;&gt;"Serviço",0,IF(AND(AUTOEVENTO="Manual",$M129=1),0,IF(OFFSET(CRONOPLE!$F$14,$M129,AQ$13)="",10^12,OFFSET(CRONOPLE!$F$14,$M129,AQ$13))))</f>
        <v>1000000000000</v>
      </c>
      <c r="AR129" s="181">
        <f ca="1">IF($D129&lt;&gt;"Serviço",0,IF(AND(AUTOEVENTO="Manual",$M129=1),0,IF(OFFSET(CRONOPLE!$F$14,$M129,AR$13)="",10^12,OFFSET(CRONOPLE!$F$14,$M129,AR$13))))</f>
        <v>1000000000000</v>
      </c>
      <c r="AS129" s="181">
        <f ca="1">IF($D129&lt;&gt;"Serviço",0,IF(AND(AUTOEVENTO="Manual",$M129=1),0,IF(OFFSET(CRONOPLE!$F$14,$M129,AS$13)="",10^12,OFFSET(CRONOPLE!$F$14,$M129,AS$13))))</f>
        <v>1000000000000</v>
      </c>
      <c r="AT129" s="181">
        <f ca="1">IF($D129&lt;&gt;"Serviço",0,IF(AND(AUTOEVENTO="Manual",$M129=1),0,IF(OFFSET(CRONOPLE!$F$14,$M129,AT$13)="",10^12,OFFSET(CRONOPLE!$F$14,$M129,AT$13))))</f>
        <v>1000000000000</v>
      </c>
      <c r="AU129" s="181">
        <f ca="1">IF($D129&lt;&gt;"Serviço",0,IF(AND(AUTOEVENTO="Manual",$M129=1),0,IF(OFFSET(CRONOPLE!$F$14,$M129,AU$13)="",10^12,OFFSET(CRONOPLE!$F$14,$M129,AU$13))))</f>
        <v>1000000000000</v>
      </c>
      <c r="AV129" s="181">
        <f ca="1">IF($D129&lt;&gt;"Serviço",0,IF(AND(AUTOEVENTO="Manual",$M129=1),0,IF(OFFSET(CRONOPLE!$F$14,$M129,AV$13)="",10^12,OFFSET(CRONOPLE!$F$14,$M129,AV$13))))</f>
        <v>1000000000000</v>
      </c>
      <c r="AX129" s="182">
        <f ca="1">IF($D129&lt;&gt;"Serviço",0,IF(OR(AND(AUTOEVENTO="Manual",$M129=1),$M129&gt;(ROW(PLE.lastrow)-ROW(PLE.firstrow))),0,IF(OFFSET(PLE!$G$14,$M129,AX$13)="",10^12,OFFSET(PLE!$G$14,$M129,AX$13))))</f>
        <v>1000000000000</v>
      </c>
      <c r="AY129" s="182">
        <f ca="1">IF($D129&lt;&gt;"Serviço",0,IF(OR(AND(AUTOEVENTO="Manual",$M129=1),$M129&gt;(ROW(PLE.lastrow)-ROW(PLE.firstrow))),0,IF(OFFSET(PLE!$G$14,$M129,AY$13)="",10^12,OFFSET(PLE!$G$14,$M129,AY$13))))</f>
        <v>1000000000000</v>
      </c>
      <c r="AZ129" s="182">
        <f ca="1">IF($D129&lt;&gt;"Serviço",0,IF(OR(AND(AUTOEVENTO="Manual",$M129=1),$M129&gt;(ROW(PLE.lastrow)-ROW(PLE.firstrow))),0,IF(OFFSET(PLE!$G$14,$M129,AZ$13)="",10^12,OFFSET(PLE!$G$14,$M129,AZ$13))))</f>
        <v>1000000000000</v>
      </c>
      <c r="BA129" s="182">
        <f ca="1">IF($D129&lt;&gt;"Serviço",0,IF(OR(AND(AUTOEVENTO="Manual",$M129=1),$M129&gt;(ROW(PLE.lastrow)-ROW(PLE.firstrow))),0,IF(OFFSET(PLE!$G$14,$M129,BA$13)="",10^12,OFFSET(PLE!$G$14,$M129,BA$13))))</f>
        <v>1000000000000</v>
      </c>
      <c r="BB129" s="182">
        <f ca="1">IF($D129&lt;&gt;"Serviço",0,IF(OR(AND(AUTOEVENTO="Manual",$M129=1),$M129&gt;(ROW(PLE.lastrow)-ROW(PLE.firstrow))),0,IF(OFFSET(PLE!$G$14,$M129,BB$13)="",10^12,OFFSET(PLE!$G$14,$M129,BB$13))))</f>
        <v>1000000000000</v>
      </c>
      <c r="BC129" s="182">
        <f ca="1">IF($D129&lt;&gt;"Serviço",0,IF(OR(AND(AUTOEVENTO="Manual",$M129=1),$M129&gt;(ROW(PLE.lastrow)-ROW(PLE.firstrow))),0,IF(OFFSET(PLE!$G$14,$M129,BC$13)="",10^12,OFFSET(PLE!$G$14,$M129,BC$13))))</f>
        <v>1000000000000</v>
      </c>
      <c r="BD129" s="182">
        <f ca="1">IF($D129&lt;&gt;"Serviço",0,IF(OR(AND(AUTOEVENTO="Manual",$M129=1),$M129&gt;(ROW(PLE.lastrow)-ROW(PLE.firstrow))),0,IF(OFFSET(PLE!$G$14,$M129,BD$13)="",10^12,OFFSET(PLE!$G$14,$M129,BD$13))))</f>
        <v>1000000000000</v>
      </c>
      <c r="BE129" s="182">
        <f ca="1">IF($D129&lt;&gt;"Serviço",0,IF(OR(AND(AUTOEVENTO="Manual",$M129=1),$M129&gt;(ROW(PLE.lastrow)-ROW(PLE.firstrow))),0,IF(OFFSET(PLE!$G$14,$M129,BE$13)="",10^12,OFFSET(PLE!$G$14,$M129,BE$13))))</f>
        <v>1000000000000</v>
      </c>
      <c r="BF129" s="182">
        <f ca="1">IF($D129&lt;&gt;"Serviço",0,IF(OR(AND(AUTOEVENTO="Manual",$M129=1),$M129&gt;(ROW(PLE.lastrow)-ROW(PLE.firstrow))),0,IF(OFFSET(PLE!$G$14,$M129,BF$13)="",10^12,OFFSET(PLE!$G$14,$M129,BF$13))))</f>
        <v>1000000000000</v>
      </c>
      <c r="BG129" s="182">
        <f ca="1">IF($D129&lt;&gt;"Serviço",0,IF(OR(AND(AUTOEVENTO="Manual",$M129=1),$M129&gt;(ROW(PLE.lastrow)-ROW(PLE.firstrow))),0,IF(OFFSET(PLE!$G$14,$M129,BG$13)="",10^12,OFFSET(PLE!$G$14,$M129,BG$13))))</f>
        <v>1000000000000</v>
      </c>
    </row>
    <row r="130" spans="1:59" ht="25.5" x14ac:dyDescent="0.2">
      <c r="A130" s="7" t="str">
        <f t="shared" ca="1" si="9"/>
        <v>108</v>
      </c>
      <c r="B130" s="7" t="str">
        <f ca="1">OFFSET(ORÇAMENTO!C$15,ROW(B130)-ROW(B$15),0)</f>
        <v>S</v>
      </c>
      <c r="C130" s="7" t="str">
        <f ca="1">OFFSET(ORÇAMENTO!L$15,ROW(C130)-ROW(C$15),0)</f>
        <v/>
      </c>
      <c r="D130" s="118" t="str">
        <f ca="1">OFFSET(ORÇAMENTO!N$15,ROW(D130)-ROW(D$15),0)</f>
        <v>Serviço</v>
      </c>
      <c r="E130" s="119" t="str">
        <f ca="1">OFFSET(ORÇAMENTO!O$15,ROW(E130)-ROW(E$15),0)</f>
        <v>-</v>
      </c>
      <c r="F130" s="172" t="str">
        <f ca="1">OFFSET(ORÇAMENTO!R$15,ROW(F130)-ROW(F$15),0)</f>
        <v>(abra o arquivo 'Referência 02-2025.xlsm)</v>
      </c>
      <c r="G130" s="173" t="str">
        <f ca="1">IF($D130&lt;&gt;"Serviço","",OFFSET(ORÇAMENTO!S$15,ROW(G130)-ROW(G$15),0))</f>
        <v>-</v>
      </c>
      <c r="H130" s="124">
        <f ca="1">IF($D130&lt;&gt;"Serviço",0,IF(ACOMPANHAMENTO="BM",ROUND(OFFSET(ORÇAMENTO!AJ$15,ROW(H130)-ROW(H$15),0),15-13*ORÇAMENTO!$AF$7),SUMPRODUCT(($Q$12:$AA$12&lt;&gt;"")*ROUND($Q130:$AA130,15-13*ORÇAMENTO!$AF$7))))</f>
        <v>2.2999999999999998</v>
      </c>
      <c r="I130" s="561" t="s">
        <v>890</v>
      </c>
      <c r="K130" s="174"/>
      <c r="L130" s="175" t="s">
        <v>255</v>
      </c>
      <c r="M130" s="176">
        <f ca="1">IF($D130&lt;&gt;"Serviço","",IF(AUTOEVENTO="manual",$A130,IF(ISERROR(MATCH($A130,$A$15:OFFSET($A130,-1,0),0)),MAX($M$15:OFFSET(M130,-1,0))+1,INDEX($M$15:OFFSET(M130,-1,0),MATCH($A130,$A$15:OFFSET($A130,-1,0),0)))))</f>
        <v>7</v>
      </c>
      <c r="N130" s="177" t="str">
        <f ca="1">IF($D130&lt;&gt;"Serviço","",IF(AUTOEVENTO="Manual",IF($A130=0,"&lt;-- defina o número do agrupador",OFFSET(EVENTOS!$D$14,$A130,0)),OFFSET($F$15,$A130,0)))</f>
        <v>ESQUADRIAS</v>
      </c>
      <c r="O130" s="178"/>
      <c r="Q130" s="178"/>
      <c r="R130" s="179"/>
      <c r="S130" s="179"/>
      <c r="T130" s="179"/>
      <c r="U130" s="179"/>
      <c r="V130" s="179"/>
      <c r="W130" s="179"/>
      <c r="X130" s="179"/>
      <c r="Y130" s="179"/>
      <c r="Z130" s="180"/>
      <c r="AB130" s="544">
        <f ca="1">IF(AND($D130="Serviço",AB$12&lt;&gt;0,$H130&gt;0,OR(AUTOEVENTO&lt;&gt;"manual",$M130&lt;&gt;1)),
IF(Import.TipoArredondamento&lt;&gt;"TransfereGOV",
ROUND(OFFSET($P130,0,AB$13),15-13*ORÇAMENTO!$AF$7)/$H130*OFFSET(ORÇAMENTO!$X$15,ROW(AB130)-ROW(AB$15),0),
ROUND(ROUND(OFFSET($P130,0,AB$13),15-13*ORÇAMENTO!$AF$7)*OFFSET(ORÇAMENTO!$W$15,ROW(AB130)-ROW(AB$15),0),15-13*ORÇAMENTO!$AF$11)),0)</f>
        <v>0</v>
      </c>
      <c r="AC130" s="545">
        <f ca="1">IF(AND($D130="Serviço",AC$12&lt;&gt;0,$H130&gt;0,OR(AUTOEVENTO&lt;&gt;"manual",$M130&lt;&gt;1)),
IF(Import.TipoArredondamento&lt;&gt;"TransfereGOV",
ROUND(OFFSET($P130,0,AC$13),15-13*ORÇAMENTO!$AF$7)/$H130*OFFSET(ORÇAMENTO!$X$15,ROW(AC130)-ROW(AC$15),0),
ROUND(ROUND(OFFSET($P130,0,AC$13),15-13*ORÇAMENTO!$AF$7)*OFFSET(ORÇAMENTO!$W$15,ROW(AC130)-ROW(AC$15),0),15-13*ORÇAMENTO!$AF$11)),0)</f>
        <v>0</v>
      </c>
      <c r="AD130" s="545">
        <f ca="1">IF(AND($D130="Serviço",AD$12&lt;&gt;0,$H130&gt;0,OR(AUTOEVENTO&lt;&gt;"manual",$M130&lt;&gt;1)),
IF(Import.TipoArredondamento&lt;&gt;"TransfereGOV",
ROUND(OFFSET($P130,0,AD$13),15-13*ORÇAMENTO!$AF$7)/$H130*OFFSET(ORÇAMENTO!$X$15,ROW(AD130)-ROW(AD$15),0),
ROUND(ROUND(OFFSET($P130,0,AD$13),15-13*ORÇAMENTO!$AF$7)*OFFSET(ORÇAMENTO!$W$15,ROW(AD130)-ROW(AD$15),0),15-13*ORÇAMENTO!$AF$11)),0)</f>
        <v>0</v>
      </c>
      <c r="AE130" s="545">
        <f ca="1">IF(AND($D130="Serviço",AE$12&lt;&gt;0,$H130&gt;0,OR(AUTOEVENTO&lt;&gt;"manual",$M130&lt;&gt;1)),
IF(Import.TipoArredondamento&lt;&gt;"TransfereGOV",
ROUND(OFFSET($P130,0,AE$13),15-13*ORÇAMENTO!$AF$7)/$H130*OFFSET(ORÇAMENTO!$X$15,ROW(AE130)-ROW(AE$15),0),
ROUND(ROUND(OFFSET($P130,0,AE$13),15-13*ORÇAMENTO!$AF$7)*OFFSET(ORÇAMENTO!$W$15,ROW(AE130)-ROW(AE$15),0),15-13*ORÇAMENTO!$AF$11)),0)</f>
        <v>0</v>
      </c>
      <c r="AF130" s="545">
        <f ca="1">IF(AND($D130="Serviço",AF$12&lt;&gt;0,$H130&gt;0,OR(AUTOEVENTO&lt;&gt;"manual",$M130&lt;&gt;1)),
IF(Import.TipoArredondamento&lt;&gt;"TransfereGOV",
ROUND(OFFSET($P130,0,AF$13),15-13*ORÇAMENTO!$AF$7)/$H130*OFFSET(ORÇAMENTO!$X$15,ROW(AF130)-ROW(AF$15),0),
ROUND(ROUND(OFFSET($P130,0,AF$13),15-13*ORÇAMENTO!$AF$7)*OFFSET(ORÇAMENTO!$W$15,ROW(AF130)-ROW(AF$15),0),15-13*ORÇAMENTO!$AF$11)),0)</f>
        <v>0</v>
      </c>
      <c r="AG130" s="545">
        <f ca="1">IF(AND($D130="Serviço",AG$12&lt;&gt;0,$H130&gt;0,OR(AUTOEVENTO&lt;&gt;"manual",$M130&lt;&gt;1)),
IF(Import.TipoArredondamento&lt;&gt;"TransfereGOV",
ROUND(OFFSET($P130,0,AG$13),15-13*ORÇAMENTO!$AF$7)/$H130*OFFSET(ORÇAMENTO!$X$15,ROW(AG130)-ROW(AG$15),0),
ROUND(ROUND(OFFSET($P130,0,AG$13),15-13*ORÇAMENTO!$AF$7)*OFFSET(ORÇAMENTO!$W$15,ROW(AG130)-ROW(AG$15),0),15-13*ORÇAMENTO!$AF$11)),0)</f>
        <v>0</v>
      </c>
      <c r="AH130" s="545">
        <f ca="1">IF(AND($D130="Serviço",AH$12&lt;&gt;0,$H130&gt;0,OR(AUTOEVENTO&lt;&gt;"manual",$M130&lt;&gt;1)),
IF(Import.TipoArredondamento&lt;&gt;"TransfereGOV",
ROUND(OFFSET($P130,0,AH$13),15-13*ORÇAMENTO!$AF$7)/$H130*OFFSET(ORÇAMENTO!$X$15,ROW(AH130)-ROW(AH$15),0),
ROUND(ROUND(OFFSET($P130,0,AH$13),15-13*ORÇAMENTO!$AF$7)*OFFSET(ORÇAMENTO!$W$15,ROW(AH130)-ROW(AH$15),0),15-13*ORÇAMENTO!$AF$11)),0)</f>
        <v>0</v>
      </c>
      <c r="AI130" s="545">
        <f ca="1">IF(AND($D130="Serviço",AI$12&lt;&gt;0,$H130&gt;0,OR(AUTOEVENTO&lt;&gt;"manual",$M130&lt;&gt;1)),
IF(Import.TipoArredondamento&lt;&gt;"TransfereGOV",
ROUND(OFFSET($P130,0,AI$13),15-13*ORÇAMENTO!$AF$7)/$H130*OFFSET(ORÇAMENTO!$X$15,ROW(AI130)-ROW(AI$15),0),
ROUND(ROUND(OFFSET($P130,0,AI$13),15-13*ORÇAMENTO!$AF$7)*OFFSET(ORÇAMENTO!$W$15,ROW(AI130)-ROW(AI$15),0),15-13*ORÇAMENTO!$AF$11)),0)</f>
        <v>0</v>
      </c>
      <c r="AJ130" s="545">
        <f ca="1">IF(AND($D130="Serviço",AJ$12&lt;&gt;0,$H130&gt;0,OR(AUTOEVENTO&lt;&gt;"manual",$M130&lt;&gt;1)),
IF(Import.TipoArredondamento&lt;&gt;"TransfereGOV",
ROUND(OFFSET($P130,0,AJ$13),15-13*ORÇAMENTO!$AF$7)/$H130*OFFSET(ORÇAMENTO!$X$15,ROW(AJ130)-ROW(AJ$15),0),
ROUND(ROUND(OFFSET($P130,0,AJ$13),15-13*ORÇAMENTO!$AF$7)*OFFSET(ORÇAMENTO!$W$15,ROW(AJ130)-ROW(AJ$15),0),15-13*ORÇAMENTO!$AF$11)),0)</f>
        <v>0</v>
      </c>
      <c r="AK130" s="546">
        <f ca="1">IF(AND($D130="Serviço",AK$12&lt;&gt;0,$H130&gt;0,OR(AUTOEVENTO&lt;&gt;"manual",$M130&lt;&gt;1)),
IF(Import.TipoArredondamento&lt;&gt;"TransfereGOV",
ROUND(OFFSET($P130,0,AK$13),15-13*ORÇAMENTO!$AF$7)/$H130*OFFSET(ORÇAMENTO!$X$15,ROW(AK130)-ROW(AK$15),0),
ROUND(ROUND(OFFSET($P130,0,AK$13),15-13*ORÇAMENTO!$AF$7)*OFFSET(ORÇAMENTO!$W$15,ROW(AK130)-ROW(AK$15),0),15-13*ORÇAMENTO!$AF$11)),0)</f>
        <v>0</v>
      </c>
      <c r="AM130" s="181">
        <f ca="1">IF($D130&lt;&gt;"Serviço",0,IF(AND(AUTOEVENTO="Manual",$M130=1),0,IF(OFFSET(CRONOPLE!$F$14,$M130,AM$13)="",10^12,OFFSET(CRONOPLE!$F$14,$M130,AM$13))))</f>
        <v>1000000000000</v>
      </c>
      <c r="AN130" s="181">
        <f ca="1">IF($D130&lt;&gt;"Serviço",0,IF(AND(AUTOEVENTO="Manual",$M130=1),0,IF(OFFSET(CRONOPLE!$F$14,$M130,AN$13)="",10^12,OFFSET(CRONOPLE!$F$14,$M130,AN$13))))</f>
        <v>1000000000000</v>
      </c>
      <c r="AO130" s="181">
        <f ca="1">IF($D130&lt;&gt;"Serviço",0,IF(AND(AUTOEVENTO="Manual",$M130=1),0,IF(OFFSET(CRONOPLE!$F$14,$M130,AO$13)="",10^12,OFFSET(CRONOPLE!$F$14,$M130,AO$13))))</f>
        <v>1000000000000</v>
      </c>
      <c r="AP130" s="181">
        <f ca="1">IF($D130&lt;&gt;"Serviço",0,IF(AND(AUTOEVENTO="Manual",$M130=1),0,IF(OFFSET(CRONOPLE!$F$14,$M130,AP$13)="",10^12,OFFSET(CRONOPLE!$F$14,$M130,AP$13))))</f>
        <v>1000000000000</v>
      </c>
      <c r="AQ130" s="181">
        <f ca="1">IF($D130&lt;&gt;"Serviço",0,IF(AND(AUTOEVENTO="Manual",$M130=1),0,IF(OFFSET(CRONOPLE!$F$14,$M130,AQ$13)="",10^12,OFFSET(CRONOPLE!$F$14,$M130,AQ$13))))</f>
        <v>1000000000000</v>
      </c>
      <c r="AR130" s="181">
        <f ca="1">IF($D130&lt;&gt;"Serviço",0,IF(AND(AUTOEVENTO="Manual",$M130=1),0,IF(OFFSET(CRONOPLE!$F$14,$M130,AR$13)="",10^12,OFFSET(CRONOPLE!$F$14,$M130,AR$13))))</f>
        <v>1000000000000</v>
      </c>
      <c r="AS130" s="181">
        <f ca="1">IF($D130&lt;&gt;"Serviço",0,IF(AND(AUTOEVENTO="Manual",$M130=1),0,IF(OFFSET(CRONOPLE!$F$14,$M130,AS$13)="",10^12,OFFSET(CRONOPLE!$F$14,$M130,AS$13))))</f>
        <v>1000000000000</v>
      </c>
      <c r="AT130" s="181">
        <f ca="1">IF($D130&lt;&gt;"Serviço",0,IF(AND(AUTOEVENTO="Manual",$M130=1),0,IF(OFFSET(CRONOPLE!$F$14,$M130,AT$13)="",10^12,OFFSET(CRONOPLE!$F$14,$M130,AT$13))))</f>
        <v>1000000000000</v>
      </c>
      <c r="AU130" s="181">
        <f ca="1">IF($D130&lt;&gt;"Serviço",0,IF(AND(AUTOEVENTO="Manual",$M130=1),0,IF(OFFSET(CRONOPLE!$F$14,$M130,AU$13)="",10^12,OFFSET(CRONOPLE!$F$14,$M130,AU$13))))</f>
        <v>1000000000000</v>
      </c>
      <c r="AV130" s="181">
        <f ca="1">IF($D130&lt;&gt;"Serviço",0,IF(AND(AUTOEVENTO="Manual",$M130=1),0,IF(OFFSET(CRONOPLE!$F$14,$M130,AV$13)="",10^12,OFFSET(CRONOPLE!$F$14,$M130,AV$13))))</f>
        <v>1000000000000</v>
      </c>
      <c r="AX130" s="182">
        <f ca="1">IF($D130&lt;&gt;"Serviço",0,IF(OR(AND(AUTOEVENTO="Manual",$M130=1),$M130&gt;(ROW(PLE.lastrow)-ROW(PLE.firstrow))),0,IF(OFFSET(PLE!$G$14,$M130,AX$13)="",10^12,OFFSET(PLE!$G$14,$M130,AX$13))))</f>
        <v>1000000000000</v>
      </c>
      <c r="AY130" s="182">
        <f ca="1">IF($D130&lt;&gt;"Serviço",0,IF(OR(AND(AUTOEVENTO="Manual",$M130=1),$M130&gt;(ROW(PLE.lastrow)-ROW(PLE.firstrow))),0,IF(OFFSET(PLE!$G$14,$M130,AY$13)="",10^12,OFFSET(PLE!$G$14,$M130,AY$13))))</f>
        <v>1000000000000</v>
      </c>
      <c r="AZ130" s="182">
        <f ca="1">IF($D130&lt;&gt;"Serviço",0,IF(OR(AND(AUTOEVENTO="Manual",$M130=1),$M130&gt;(ROW(PLE.lastrow)-ROW(PLE.firstrow))),0,IF(OFFSET(PLE!$G$14,$M130,AZ$13)="",10^12,OFFSET(PLE!$G$14,$M130,AZ$13))))</f>
        <v>1000000000000</v>
      </c>
      <c r="BA130" s="182">
        <f ca="1">IF($D130&lt;&gt;"Serviço",0,IF(OR(AND(AUTOEVENTO="Manual",$M130=1),$M130&gt;(ROW(PLE.lastrow)-ROW(PLE.firstrow))),0,IF(OFFSET(PLE!$G$14,$M130,BA$13)="",10^12,OFFSET(PLE!$G$14,$M130,BA$13))))</f>
        <v>1000000000000</v>
      </c>
      <c r="BB130" s="182">
        <f ca="1">IF($D130&lt;&gt;"Serviço",0,IF(OR(AND(AUTOEVENTO="Manual",$M130=1),$M130&gt;(ROW(PLE.lastrow)-ROW(PLE.firstrow))),0,IF(OFFSET(PLE!$G$14,$M130,BB$13)="",10^12,OFFSET(PLE!$G$14,$M130,BB$13))))</f>
        <v>1000000000000</v>
      </c>
      <c r="BC130" s="182">
        <f ca="1">IF($D130&lt;&gt;"Serviço",0,IF(OR(AND(AUTOEVENTO="Manual",$M130=1),$M130&gt;(ROW(PLE.lastrow)-ROW(PLE.firstrow))),0,IF(OFFSET(PLE!$G$14,$M130,BC$13)="",10^12,OFFSET(PLE!$G$14,$M130,BC$13))))</f>
        <v>1000000000000</v>
      </c>
      <c r="BD130" s="182">
        <f ca="1">IF($D130&lt;&gt;"Serviço",0,IF(OR(AND(AUTOEVENTO="Manual",$M130=1),$M130&gt;(ROW(PLE.lastrow)-ROW(PLE.firstrow))),0,IF(OFFSET(PLE!$G$14,$M130,BD$13)="",10^12,OFFSET(PLE!$G$14,$M130,BD$13))))</f>
        <v>1000000000000</v>
      </c>
      <c r="BE130" s="182">
        <f ca="1">IF($D130&lt;&gt;"Serviço",0,IF(OR(AND(AUTOEVENTO="Manual",$M130=1),$M130&gt;(ROW(PLE.lastrow)-ROW(PLE.firstrow))),0,IF(OFFSET(PLE!$G$14,$M130,BE$13)="",10^12,OFFSET(PLE!$G$14,$M130,BE$13))))</f>
        <v>1000000000000</v>
      </c>
      <c r="BF130" s="182">
        <f ca="1">IF($D130&lt;&gt;"Serviço",0,IF(OR(AND(AUTOEVENTO="Manual",$M130=1),$M130&gt;(ROW(PLE.lastrow)-ROW(PLE.firstrow))),0,IF(OFFSET(PLE!$G$14,$M130,BF$13)="",10^12,OFFSET(PLE!$G$14,$M130,BF$13))))</f>
        <v>1000000000000</v>
      </c>
      <c r="BG130" s="182">
        <f ca="1">IF($D130&lt;&gt;"Serviço",0,IF(OR(AND(AUTOEVENTO="Manual",$M130=1),$M130&gt;(ROW(PLE.lastrow)-ROW(PLE.firstrow))),0,IF(OFFSET(PLE!$G$14,$M130,BG$13)="",10^12,OFFSET(PLE!$G$14,$M130,BG$13))))</f>
        <v>1000000000000</v>
      </c>
    </row>
    <row r="131" spans="1:59" ht="12.75" x14ac:dyDescent="0.2">
      <c r="A131" s="7" t="str">
        <f t="shared" ca="1" si="9"/>
        <v>108</v>
      </c>
      <c r="B131" s="7">
        <f ca="1">OFFSET(ORÇAMENTO!C$15,ROW(B131)-ROW(B$15),0)</f>
        <v>3</v>
      </c>
      <c r="C131" s="7" t="str">
        <f ca="1">OFFSET(ORÇAMENTO!L$15,ROW(C131)-ROW(C$15),0)</f>
        <v>F</v>
      </c>
      <c r="D131" s="118" t="str">
        <f ca="1">OFFSET(ORÇAMENTO!N$15,ROW(D131)-ROW(D$15),0)</f>
        <v>Nível 3</v>
      </c>
      <c r="E131" s="119" t="str">
        <f ca="1">OFFSET(ORÇAMENTO!O$15,ROW(E131)-ROW(E$15),0)</f>
        <v>1.6.2.</v>
      </c>
      <c r="F131" s="172" t="str">
        <f ca="1">OFFSET(ORÇAMENTO!R$15,ROW(F131)-ROW(F$15),0)</f>
        <v>FERRAGENS E ACESSÓRIOS</v>
      </c>
      <c r="G131" s="173" t="str">
        <f ca="1">IF($D131&lt;&gt;"Serviço","",OFFSET(ORÇAMENTO!S$15,ROW(G131)-ROW(G$15),0))</f>
        <v/>
      </c>
      <c r="H131" s="124">
        <f ca="1">IF($D131&lt;&gt;"Serviço",0,IF(ACOMPANHAMENTO="BM",ROUND(OFFSET(ORÇAMENTO!AJ$15,ROW(H131)-ROW(H$15),0),15-13*ORÇAMENTO!$AF$7),SUMPRODUCT(($Q$12:$AA$12&lt;&gt;"")*ROUND($Q131:$AA131,15-13*ORÇAMENTO!$AF$7))))</f>
        <v>0</v>
      </c>
      <c r="I131" s="561"/>
      <c r="K131" s="174"/>
      <c r="L131" s="175" t="s">
        <v>255</v>
      </c>
      <c r="M131" s="176" t="str">
        <f ca="1">IF($D131&lt;&gt;"Serviço","",IF(AUTOEVENTO="manual",$A131,IF(ISERROR(MATCH($A131,$A$15:OFFSET($A131,-1,0),0)),MAX($M$15:OFFSET(M131,-1,0))+1,INDEX($M$15:OFFSET(M131,-1,0),MATCH($A131,$A$15:OFFSET($A131,-1,0),0)))))</f>
        <v/>
      </c>
      <c r="N131" s="177" t="str">
        <f ca="1">IF($D131&lt;&gt;"Serviço","",IF(AUTOEVENTO="Manual",IF($A131=0,"&lt;-- defina o número do agrupador",OFFSET(EVENTOS!$D$14,$A131,0)),OFFSET($F$15,$A131,0)))</f>
        <v/>
      </c>
      <c r="O131" s="178"/>
      <c r="Q131" s="178"/>
      <c r="R131" s="179"/>
      <c r="S131" s="179"/>
      <c r="T131" s="179"/>
      <c r="U131" s="179"/>
      <c r="V131" s="179"/>
      <c r="W131" s="179"/>
      <c r="X131" s="179"/>
      <c r="Y131" s="179"/>
      <c r="Z131" s="180"/>
      <c r="AB131" s="544">
        <f ca="1">IF(AND($D131="Serviço",AB$12&lt;&gt;0,$H131&gt;0,OR(AUTOEVENTO&lt;&gt;"manual",$M131&lt;&gt;1)),
IF(Import.TipoArredondamento&lt;&gt;"TransfereGOV",
ROUND(OFFSET($P131,0,AB$13),15-13*ORÇAMENTO!$AF$7)/$H131*OFFSET(ORÇAMENTO!$X$15,ROW(AB131)-ROW(AB$15),0),
ROUND(ROUND(OFFSET($P131,0,AB$13),15-13*ORÇAMENTO!$AF$7)*OFFSET(ORÇAMENTO!$W$15,ROW(AB131)-ROW(AB$15),0),15-13*ORÇAMENTO!$AF$11)),0)</f>
        <v>0</v>
      </c>
      <c r="AC131" s="545">
        <f ca="1">IF(AND($D131="Serviço",AC$12&lt;&gt;0,$H131&gt;0,OR(AUTOEVENTO&lt;&gt;"manual",$M131&lt;&gt;1)),
IF(Import.TipoArredondamento&lt;&gt;"TransfereGOV",
ROUND(OFFSET($P131,0,AC$13),15-13*ORÇAMENTO!$AF$7)/$H131*OFFSET(ORÇAMENTO!$X$15,ROW(AC131)-ROW(AC$15),0),
ROUND(ROUND(OFFSET($P131,0,AC$13),15-13*ORÇAMENTO!$AF$7)*OFFSET(ORÇAMENTO!$W$15,ROW(AC131)-ROW(AC$15),0),15-13*ORÇAMENTO!$AF$11)),0)</f>
        <v>0</v>
      </c>
      <c r="AD131" s="545">
        <f ca="1">IF(AND($D131="Serviço",AD$12&lt;&gt;0,$H131&gt;0,OR(AUTOEVENTO&lt;&gt;"manual",$M131&lt;&gt;1)),
IF(Import.TipoArredondamento&lt;&gt;"TransfereGOV",
ROUND(OFFSET($P131,0,AD$13),15-13*ORÇAMENTO!$AF$7)/$H131*OFFSET(ORÇAMENTO!$X$15,ROW(AD131)-ROW(AD$15),0),
ROUND(ROUND(OFFSET($P131,0,AD$13),15-13*ORÇAMENTO!$AF$7)*OFFSET(ORÇAMENTO!$W$15,ROW(AD131)-ROW(AD$15),0),15-13*ORÇAMENTO!$AF$11)),0)</f>
        <v>0</v>
      </c>
      <c r="AE131" s="545">
        <f ca="1">IF(AND($D131="Serviço",AE$12&lt;&gt;0,$H131&gt;0,OR(AUTOEVENTO&lt;&gt;"manual",$M131&lt;&gt;1)),
IF(Import.TipoArredondamento&lt;&gt;"TransfereGOV",
ROUND(OFFSET($P131,0,AE$13),15-13*ORÇAMENTO!$AF$7)/$H131*OFFSET(ORÇAMENTO!$X$15,ROW(AE131)-ROW(AE$15),0),
ROUND(ROUND(OFFSET($P131,0,AE$13),15-13*ORÇAMENTO!$AF$7)*OFFSET(ORÇAMENTO!$W$15,ROW(AE131)-ROW(AE$15),0),15-13*ORÇAMENTO!$AF$11)),0)</f>
        <v>0</v>
      </c>
      <c r="AF131" s="545">
        <f ca="1">IF(AND($D131="Serviço",AF$12&lt;&gt;0,$H131&gt;0,OR(AUTOEVENTO&lt;&gt;"manual",$M131&lt;&gt;1)),
IF(Import.TipoArredondamento&lt;&gt;"TransfereGOV",
ROUND(OFFSET($P131,0,AF$13),15-13*ORÇAMENTO!$AF$7)/$H131*OFFSET(ORÇAMENTO!$X$15,ROW(AF131)-ROW(AF$15),0),
ROUND(ROUND(OFFSET($P131,0,AF$13),15-13*ORÇAMENTO!$AF$7)*OFFSET(ORÇAMENTO!$W$15,ROW(AF131)-ROW(AF$15),0),15-13*ORÇAMENTO!$AF$11)),0)</f>
        <v>0</v>
      </c>
      <c r="AG131" s="545">
        <f ca="1">IF(AND($D131="Serviço",AG$12&lt;&gt;0,$H131&gt;0,OR(AUTOEVENTO&lt;&gt;"manual",$M131&lt;&gt;1)),
IF(Import.TipoArredondamento&lt;&gt;"TransfereGOV",
ROUND(OFFSET($P131,0,AG$13),15-13*ORÇAMENTO!$AF$7)/$H131*OFFSET(ORÇAMENTO!$X$15,ROW(AG131)-ROW(AG$15),0),
ROUND(ROUND(OFFSET($P131,0,AG$13),15-13*ORÇAMENTO!$AF$7)*OFFSET(ORÇAMENTO!$W$15,ROW(AG131)-ROW(AG$15),0),15-13*ORÇAMENTO!$AF$11)),0)</f>
        <v>0</v>
      </c>
      <c r="AH131" s="545">
        <f ca="1">IF(AND($D131="Serviço",AH$12&lt;&gt;0,$H131&gt;0,OR(AUTOEVENTO&lt;&gt;"manual",$M131&lt;&gt;1)),
IF(Import.TipoArredondamento&lt;&gt;"TransfereGOV",
ROUND(OFFSET($P131,0,AH$13),15-13*ORÇAMENTO!$AF$7)/$H131*OFFSET(ORÇAMENTO!$X$15,ROW(AH131)-ROW(AH$15),0),
ROUND(ROUND(OFFSET($P131,0,AH$13),15-13*ORÇAMENTO!$AF$7)*OFFSET(ORÇAMENTO!$W$15,ROW(AH131)-ROW(AH$15),0),15-13*ORÇAMENTO!$AF$11)),0)</f>
        <v>0</v>
      </c>
      <c r="AI131" s="545">
        <f ca="1">IF(AND($D131="Serviço",AI$12&lt;&gt;0,$H131&gt;0,OR(AUTOEVENTO&lt;&gt;"manual",$M131&lt;&gt;1)),
IF(Import.TipoArredondamento&lt;&gt;"TransfereGOV",
ROUND(OFFSET($P131,0,AI$13),15-13*ORÇAMENTO!$AF$7)/$H131*OFFSET(ORÇAMENTO!$X$15,ROW(AI131)-ROW(AI$15),0),
ROUND(ROUND(OFFSET($P131,0,AI$13),15-13*ORÇAMENTO!$AF$7)*OFFSET(ORÇAMENTO!$W$15,ROW(AI131)-ROW(AI$15),0),15-13*ORÇAMENTO!$AF$11)),0)</f>
        <v>0</v>
      </c>
      <c r="AJ131" s="545">
        <f ca="1">IF(AND($D131="Serviço",AJ$12&lt;&gt;0,$H131&gt;0,OR(AUTOEVENTO&lt;&gt;"manual",$M131&lt;&gt;1)),
IF(Import.TipoArredondamento&lt;&gt;"TransfereGOV",
ROUND(OFFSET($P131,0,AJ$13),15-13*ORÇAMENTO!$AF$7)/$H131*OFFSET(ORÇAMENTO!$X$15,ROW(AJ131)-ROW(AJ$15),0),
ROUND(ROUND(OFFSET($P131,0,AJ$13),15-13*ORÇAMENTO!$AF$7)*OFFSET(ORÇAMENTO!$W$15,ROW(AJ131)-ROW(AJ$15),0),15-13*ORÇAMENTO!$AF$11)),0)</f>
        <v>0</v>
      </c>
      <c r="AK131" s="546">
        <f ca="1">IF(AND($D131="Serviço",AK$12&lt;&gt;0,$H131&gt;0,OR(AUTOEVENTO&lt;&gt;"manual",$M131&lt;&gt;1)),
IF(Import.TipoArredondamento&lt;&gt;"TransfereGOV",
ROUND(OFFSET($P131,0,AK$13),15-13*ORÇAMENTO!$AF$7)/$H131*OFFSET(ORÇAMENTO!$X$15,ROW(AK131)-ROW(AK$15),0),
ROUND(ROUND(OFFSET($P131,0,AK$13),15-13*ORÇAMENTO!$AF$7)*OFFSET(ORÇAMENTO!$W$15,ROW(AK131)-ROW(AK$15),0),15-13*ORÇAMENTO!$AF$11)),0)</f>
        <v>0</v>
      </c>
      <c r="AM131" s="181">
        <f ca="1">IF($D131&lt;&gt;"Serviço",0,IF(AND(AUTOEVENTO="Manual",$M131=1),0,IF(OFFSET(CRONOPLE!$F$14,$M131,AM$13)="",10^12,OFFSET(CRONOPLE!$F$14,$M131,AM$13))))</f>
        <v>0</v>
      </c>
      <c r="AN131" s="181">
        <f ca="1">IF($D131&lt;&gt;"Serviço",0,IF(AND(AUTOEVENTO="Manual",$M131=1),0,IF(OFFSET(CRONOPLE!$F$14,$M131,AN$13)="",10^12,OFFSET(CRONOPLE!$F$14,$M131,AN$13))))</f>
        <v>0</v>
      </c>
      <c r="AO131" s="181">
        <f ca="1">IF($D131&lt;&gt;"Serviço",0,IF(AND(AUTOEVENTO="Manual",$M131=1),0,IF(OFFSET(CRONOPLE!$F$14,$M131,AO$13)="",10^12,OFFSET(CRONOPLE!$F$14,$M131,AO$13))))</f>
        <v>0</v>
      </c>
      <c r="AP131" s="181">
        <f ca="1">IF($D131&lt;&gt;"Serviço",0,IF(AND(AUTOEVENTO="Manual",$M131=1),0,IF(OFFSET(CRONOPLE!$F$14,$M131,AP$13)="",10^12,OFFSET(CRONOPLE!$F$14,$M131,AP$13))))</f>
        <v>0</v>
      </c>
      <c r="AQ131" s="181">
        <f ca="1">IF($D131&lt;&gt;"Serviço",0,IF(AND(AUTOEVENTO="Manual",$M131=1),0,IF(OFFSET(CRONOPLE!$F$14,$M131,AQ$13)="",10^12,OFFSET(CRONOPLE!$F$14,$M131,AQ$13))))</f>
        <v>0</v>
      </c>
      <c r="AR131" s="181">
        <f ca="1">IF($D131&lt;&gt;"Serviço",0,IF(AND(AUTOEVENTO="Manual",$M131=1),0,IF(OFFSET(CRONOPLE!$F$14,$M131,AR$13)="",10^12,OFFSET(CRONOPLE!$F$14,$M131,AR$13))))</f>
        <v>0</v>
      </c>
      <c r="AS131" s="181">
        <f ca="1">IF($D131&lt;&gt;"Serviço",0,IF(AND(AUTOEVENTO="Manual",$M131=1),0,IF(OFFSET(CRONOPLE!$F$14,$M131,AS$13)="",10^12,OFFSET(CRONOPLE!$F$14,$M131,AS$13))))</f>
        <v>0</v>
      </c>
      <c r="AT131" s="181">
        <f ca="1">IF($D131&lt;&gt;"Serviço",0,IF(AND(AUTOEVENTO="Manual",$M131=1),0,IF(OFFSET(CRONOPLE!$F$14,$M131,AT$13)="",10^12,OFFSET(CRONOPLE!$F$14,$M131,AT$13))))</f>
        <v>0</v>
      </c>
      <c r="AU131" s="181">
        <f ca="1">IF($D131&lt;&gt;"Serviço",0,IF(AND(AUTOEVENTO="Manual",$M131=1),0,IF(OFFSET(CRONOPLE!$F$14,$M131,AU$13)="",10^12,OFFSET(CRONOPLE!$F$14,$M131,AU$13))))</f>
        <v>0</v>
      </c>
      <c r="AV131" s="181">
        <f ca="1">IF($D131&lt;&gt;"Serviço",0,IF(AND(AUTOEVENTO="Manual",$M131=1),0,IF(OFFSET(CRONOPLE!$F$14,$M131,AV$13)="",10^12,OFFSET(CRONOPLE!$F$14,$M131,AV$13))))</f>
        <v>0</v>
      </c>
      <c r="AX131" s="182">
        <f ca="1">IF($D131&lt;&gt;"Serviço",0,IF(OR(AND(AUTOEVENTO="Manual",$M131=1),$M131&gt;(ROW(PLE.lastrow)-ROW(PLE.firstrow))),0,IF(OFFSET(PLE!$G$14,$M131,AX$13)="",10^12,OFFSET(PLE!$G$14,$M131,AX$13))))</f>
        <v>0</v>
      </c>
      <c r="AY131" s="182">
        <f ca="1">IF($D131&lt;&gt;"Serviço",0,IF(OR(AND(AUTOEVENTO="Manual",$M131=1),$M131&gt;(ROW(PLE.lastrow)-ROW(PLE.firstrow))),0,IF(OFFSET(PLE!$G$14,$M131,AY$13)="",10^12,OFFSET(PLE!$G$14,$M131,AY$13))))</f>
        <v>0</v>
      </c>
      <c r="AZ131" s="182">
        <f ca="1">IF($D131&lt;&gt;"Serviço",0,IF(OR(AND(AUTOEVENTO="Manual",$M131=1),$M131&gt;(ROW(PLE.lastrow)-ROW(PLE.firstrow))),0,IF(OFFSET(PLE!$G$14,$M131,AZ$13)="",10^12,OFFSET(PLE!$G$14,$M131,AZ$13))))</f>
        <v>0</v>
      </c>
      <c r="BA131" s="182">
        <f ca="1">IF($D131&lt;&gt;"Serviço",0,IF(OR(AND(AUTOEVENTO="Manual",$M131=1),$M131&gt;(ROW(PLE.lastrow)-ROW(PLE.firstrow))),0,IF(OFFSET(PLE!$G$14,$M131,BA$13)="",10^12,OFFSET(PLE!$G$14,$M131,BA$13))))</f>
        <v>0</v>
      </c>
      <c r="BB131" s="182">
        <f ca="1">IF($D131&lt;&gt;"Serviço",0,IF(OR(AND(AUTOEVENTO="Manual",$M131=1),$M131&gt;(ROW(PLE.lastrow)-ROW(PLE.firstrow))),0,IF(OFFSET(PLE!$G$14,$M131,BB$13)="",10^12,OFFSET(PLE!$G$14,$M131,BB$13))))</f>
        <v>0</v>
      </c>
      <c r="BC131" s="182">
        <f ca="1">IF($D131&lt;&gt;"Serviço",0,IF(OR(AND(AUTOEVENTO="Manual",$M131=1),$M131&gt;(ROW(PLE.lastrow)-ROW(PLE.firstrow))),0,IF(OFFSET(PLE!$G$14,$M131,BC$13)="",10^12,OFFSET(PLE!$G$14,$M131,BC$13))))</f>
        <v>0</v>
      </c>
      <c r="BD131" s="182">
        <f ca="1">IF($D131&lt;&gt;"Serviço",0,IF(OR(AND(AUTOEVENTO="Manual",$M131=1),$M131&gt;(ROW(PLE.lastrow)-ROW(PLE.firstrow))),0,IF(OFFSET(PLE!$G$14,$M131,BD$13)="",10^12,OFFSET(PLE!$G$14,$M131,BD$13))))</f>
        <v>0</v>
      </c>
      <c r="BE131" s="182">
        <f ca="1">IF($D131&lt;&gt;"Serviço",0,IF(OR(AND(AUTOEVENTO="Manual",$M131=1),$M131&gt;(ROW(PLE.lastrow)-ROW(PLE.firstrow))),0,IF(OFFSET(PLE!$G$14,$M131,BE$13)="",10^12,OFFSET(PLE!$G$14,$M131,BE$13))))</f>
        <v>0</v>
      </c>
      <c r="BF131" s="182">
        <f ca="1">IF($D131&lt;&gt;"Serviço",0,IF(OR(AND(AUTOEVENTO="Manual",$M131=1),$M131&gt;(ROW(PLE.lastrow)-ROW(PLE.firstrow))),0,IF(OFFSET(PLE!$G$14,$M131,BF$13)="",10^12,OFFSET(PLE!$G$14,$M131,BF$13))))</f>
        <v>0</v>
      </c>
      <c r="BG131" s="182">
        <f ca="1">IF($D131&lt;&gt;"Serviço",0,IF(OR(AND(AUTOEVENTO="Manual",$M131=1),$M131&gt;(ROW(PLE.lastrow)-ROW(PLE.firstrow))),0,IF(OFFSET(PLE!$G$14,$M131,BG$13)="",10^12,OFFSET(PLE!$G$14,$M131,BG$13))))</f>
        <v>0</v>
      </c>
    </row>
    <row r="132" spans="1:59" ht="25.5" x14ac:dyDescent="0.2">
      <c r="A132" s="7" t="str">
        <f t="shared" ca="1" si="9"/>
        <v>108</v>
      </c>
      <c r="B132" s="7" t="str">
        <f ca="1">OFFSET(ORÇAMENTO!C$15,ROW(B132)-ROW(B$15),0)</f>
        <v>S</v>
      </c>
      <c r="C132" s="7" t="str">
        <f ca="1">OFFSET(ORÇAMENTO!L$15,ROW(C132)-ROW(C$15),0)</f>
        <v/>
      </c>
      <c r="D132" s="118" t="str">
        <f ca="1">OFFSET(ORÇAMENTO!N$15,ROW(D132)-ROW(D$15),0)</f>
        <v>Serviço</v>
      </c>
      <c r="E132" s="119" t="str">
        <f ca="1">OFFSET(ORÇAMENTO!O$15,ROW(E132)-ROW(E$15),0)</f>
        <v>-</v>
      </c>
      <c r="F132" s="172" t="str">
        <f ca="1">OFFSET(ORÇAMENTO!R$15,ROW(F132)-ROW(F$15),0)</f>
        <v>(abra o arquivo 'Referência 02-2025.xlsm)</v>
      </c>
      <c r="G132" s="173" t="str">
        <f ca="1">IF($D132&lt;&gt;"Serviço","",OFFSET(ORÇAMENTO!S$15,ROW(G132)-ROW(G$15),0))</f>
        <v>-</v>
      </c>
      <c r="H132" s="124">
        <f ca="1">IF($D132&lt;&gt;"Serviço",0,IF(ACOMPANHAMENTO="BM",ROUND(OFFSET(ORÇAMENTO!AJ$15,ROW(H132)-ROW(H$15),0),15-13*ORÇAMENTO!$AF$7),SUMPRODUCT(($Q$12:$AA$12&lt;&gt;"")*ROUND($Q132:$AA132,15-13*ORÇAMENTO!$AF$7))))</f>
        <v>8</v>
      </c>
      <c r="I132" s="561" t="s">
        <v>890</v>
      </c>
      <c r="K132" s="174"/>
      <c r="L132" s="175" t="s">
        <v>255</v>
      </c>
      <c r="M132" s="176">
        <f ca="1">IF($D132&lt;&gt;"Serviço","",IF(AUTOEVENTO="manual",$A132,IF(ISERROR(MATCH($A132,$A$15:OFFSET($A132,-1,0),0)),MAX($M$15:OFFSET(M132,-1,0))+1,INDEX($M$15:OFFSET(M132,-1,0),MATCH($A132,$A$15:OFFSET($A132,-1,0),0)))))</f>
        <v>7</v>
      </c>
      <c r="N132" s="177" t="str">
        <f ca="1">IF($D132&lt;&gt;"Serviço","",IF(AUTOEVENTO="Manual",IF($A132=0,"&lt;-- defina o número do agrupador",OFFSET(EVENTOS!$D$14,$A132,0)),OFFSET($F$15,$A132,0)))</f>
        <v>ESQUADRIAS</v>
      </c>
      <c r="O132" s="178"/>
      <c r="Q132" s="178"/>
      <c r="R132" s="179"/>
      <c r="S132" s="179"/>
      <c r="T132" s="179"/>
      <c r="U132" s="179"/>
      <c r="V132" s="179"/>
      <c r="W132" s="179"/>
      <c r="X132" s="179"/>
      <c r="Y132" s="179"/>
      <c r="Z132" s="180"/>
      <c r="AB132" s="544">
        <f ca="1">IF(AND($D132="Serviço",AB$12&lt;&gt;0,$H132&gt;0,OR(AUTOEVENTO&lt;&gt;"manual",$M132&lt;&gt;1)),
IF(Import.TipoArredondamento&lt;&gt;"TransfereGOV",
ROUND(OFFSET($P132,0,AB$13),15-13*ORÇAMENTO!$AF$7)/$H132*OFFSET(ORÇAMENTO!$X$15,ROW(AB132)-ROW(AB$15),0),
ROUND(ROUND(OFFSET($P132,0,AB$13),15-13*ORÇAMENTO!$AF$7)*OFFSET(ORÇAMENTO!$W$15,ROW(AB132)-ROW(AB$15),0),15-13*ORÇAMENTO!$AF$11)),0)</f>
        <v>0</v>
      </c>
      <c r="AC132" s="545">
        <f ca="1">IF(AND($D132="Serviço",AC$12&lt;&gt;0,$H132&gt;0,OR(AUTOEVENTO&lt;&gt;"manual",$M132&lt;&gt;1)),
IF(Import.TipoArredondamento&lt;&gt;"TransfereGOV",
ROUND(OFFSET($P132,0,AC$13),15-13*ORÇAMENTO!$AF$7)/$H132*OFFSET(ORÇAMENTO!$X$15,ROW(AC132)-ROW(AC$15),0),
ROUND(ROUND(OFFSET($P132,0,AC$13),15-13*ORÇAMENTO!$AF$7)*OFFSET(ORÇAMENTO!$W$15,ROW(AC132)-ROW(AC$15),0),15-13*ORÇAMENTO!$AF$11)),0)</f>
        <v>0</v>
      </c>
      <c r="AD132" s="545">
        <f ca="1">IF(AND($D132="Serviço",AD$12&lt;&gt;0,$H132&gt;0,OR(AUTOEVENTO&lt;&gt;"manual",$M132&lt;&gt;1)),
IF(Import.TipoArredondamento&lt;&gt;"TransfereGOV",
ROUND(OFFSET($P132,0,AD$13),15-13*ORÇAMENTO!$AF$7)/$H132*OFFSET(ORÇAMENTO!$X$15,ROW(AD132)-ROW(AD$15),0),
ROUND(ROUND(OFFSET($P132,0,AD$13),15-13*ORÇAMENTO!$AF$7)*OFFSET(ORÇAMENTO!$W$15,ROW(AD132)-ROW(AD$15),0),15-13*ORÇAMENTO!$AF$11)),0)</f>
        <v>0</v>
      </c>
      <c r="AE132" s="545">
        <f ca="1">IF(AND($D132="Serviço",AE$12&lt;&gt;0,$H132&gt;0,OR(AUTOEVENTO&lt;&gt;"manual",$M132&lt;&gt;1)),
IF(Import.TipoArredondamento&lt;&gt;"TransfereGOV",
ROUND(OFFSET($P132,0,AE$13),15-13*ORÇAMENTO!$AF$7)/$H132*OFFSET(ORÇAMENTO!$X$15,ROW(AE132)-ROW(AE$15),0),
ROUND(ROUND(OFFSET($P132,0,AE$13),15-13*ORÇAMENTO!$AF$7)*OFFSET(ORÇAMENTO!$W$15,ROW(AE132)-ROW(AE$15),0),15-13*ORÇAMENTO!$AF$11)),0)</f>
        <v>0</v>
      </c>
      <c r="AF132" s="545">
        <f ca="1">IF(AND($D132="Serviço",AF$12&lt;&gt;0,$H132&gt;0,OR(AUTOEVENTO&lt;&gt;"manual",$M132&lt;&gt;1)),
IF(Import.TipoArredondamento&lt;&gt;"TransfereGOV",
ROUND(OFFSET($P132,0,AF$13),15-13*ORÇAMENTO!$AF$7)/$H132*OFFSET(ORÇAMENTO!$X$15,ROW(AF132)-ROW(AF$15),0),
ROUND(ROUND(OFFSET($P132,0,AF$13),15-13*ORÇAMENTO!$AF$7)*OFFSET(ORÇAMENTO!$W$15,ROW(AF132)-ROW(AF$15),0),15-13*ORÇAMENTO!$AF$11)),0)</f>
        <v>0</v>
      </c>
      <c r="AG132" s="545">
        <f ca="1">IF(AND($D132="Serviço",AG$12&lt;&gt;0,$H132&gt;0,OR(AUTOEVENTO&lt;&gt;"manual",$M132&lt;&gt;1)),
IF(Import.TipoArredondamento&lt;&gt;"TransfereGOV",
ROUND(OFFSET($P132,0,AG$13),15-13*ORÇAMENTO!$AF$7)/$H132*OFFSET(ORÇAMENTO!$X$15,ROW(AG132)-ROW(AG$15),0),
ROUND(ROUND(OFFSET($P132,0,AG$13),15-13*ORÇAMENTO!$AF$7)*OFFSET(ORÇAMENTO!$W$15,ROW(AG132)-ROW(AG$15),0),15-13*ORÇAMENTO!$AF$11)),0)</f>
        <v>0</v>
      </c>
      <c r="AH132" s="545">
        <f ca="1">IF(AND($D132="Serviço",AH$12&lt;&gt;0,$H132&gt;0,OR(AUTOEVENTO&lt;&gt;"manual",$M132&lt;&gt;1)),
IF(Import.TipoArredondamento&lt;&gt;"TransfereGOV",
ROUND(OFFSET($P132,0,AH$13),15-13*ORÇAMENTO!$AF$7)/$H132*OFFSET(ORÇAMENTO!$X$15,ROW(AH132)-ROW(AH$15),0),
ROUND(ROUND(OFFSET($P132,0,AH$13),15-13*ORÇAMENTO!$AF$7)*OFFSET(ORÇAMENTO!$W$15,ROW(AH132)-ROW(AH$15),0),15-13*ORÇAMENTO!$AF$11)),0)</f>
        <v>0</v>
      </c>
      <c r="AI132" s="545">
        <f ca="1">IF(AND($D132="Serviço",AI$12&lt;&gt;0,$H132&gt;0,OR(AUTOEVENTO&lt;&gt;"manual",$M132&lt;&gt;1)),
IF(Import.TipoArredondamento&lt;&gt;"TransfereGOV",
ROUND(OFFSET($P132,0,AI$13),15-13*ORÇAMENTO!$AF$7)/$H132*OFFSET(ORÇAMENTO!$X$15,ROW(AI132)-ROW(AI$15),0),
ROUND(ROUND(OFFSET($P132,0,AI$13),15-13*ORÇAMENTO!$AF$7)*OFFSET(ORÇAMENTO!$W$15,ROW(AI132)-ROW(AI$15),0),15-13*ORÇAMENTO!$AF$11)),0)</f>
        <v>0</v>
      </c>
      <c r="AJ132" s="545">
        <f ca="1">IF(AND($D132="Serviço",AJ$12&lt;&gt;0,$H132&gt;0,OR(AUTOEVENTO&lt;&gt;"manual",$M132&lt;&gt;1)),
IF(Import.TipoArredondamento&lt;&gt;"TransfereGOV",
ROUND(OFFSET($P132,0,AJ$13),15-13*ORÇAMENTO!$AF$7)/$H132*OFFSET(ORÇAMENTO!$X$15,ROW(AJ132)-ROW(AJ$15),0),
ROUND(ROUND(OFFSET($P132,0,AJ$13),15-13*ORÇAMENTO!$AF$7)*OFFSET(ORÇAMENTO!$W$15,ROW(AJ132)-ROW(AJ$15),0),15-13*ORÇAMENTO!$AF$11)),0)</f>
        <v>0</v>
      </c>
      <c r="AK132" s="546">
        <f ca="1">IF(AND($D132="Serviço",AK$12&lt;&gt;0,$H132&gt;0,OR(AUTOEVENTO&lt;&gt;"manual",$M132&lt;&gt;1)),
IF(Import.TipoArredondamento&lt;&gt;"TransfereGOV",
ROUND(OFFSET($P132,0,AK$13),15-13*ORÇAMENTO!$AF$7)/$H132*OFFSET(ORÇAMENTO!$X$15,ROW(AK132)-ROW(AK$15),0),
ROUND(ROUND(OFFSET($P132,0,AK$13),15-13*ORÇAMENTO!$AF$7)*OFFSET(ORÇAMENTO!$W$15,ROW(AK132)-ROW(AK$15),0),15-13*ORÇAMENTO!$AF$11)),0)</f>
        <v>0</v>
      </c>
      <c r="AM132" s="181">
        <f ca="1">IF($D132&lt;&gt;"Serviço",0,IF(AND(AUTOEVENTO="Manual",$M132=1),0,IF(OFFSET(CRONOPLE!$F$14,$M132,AM$13)="",10^12,OFFSET(CRONOPLE!$F$14,$M132,AM$13))))</f>
        <v>1000000000000</v>
      </c>
      <c r="AN132" s="181">
        <f ca="1">IF($D132&lt;&gt;"Serviço",0,IF(AND(AUTOEVENTO="Manual",$M132=1),0,IF(OFFSET(CRONOPLE!$F$14,$M132,AN$13)="",10^12,OFFSET(CRONOPLE!$F$14,$M132,AN$13))))</f>
        <v>1000000000000</v>
      </c>
      <c r="AO132" s="181">
        <f ca="1">IF($D132&lt;&gt;"Serviço",0,IF(AND(AUTOEVENTO="Manual",$M132=1),0,IF(OFFSET(CRONOPLE!$F$14,$M132,AO$13)="",10^12,OFFSET(CRONOPLE!$F$14,$M132,AO$13))))</f>
        <v>1000000000000</v>
      </c>
      <c r="AP132" s="181">
        <f ca="1">IF($D132&lt;&gt;"Serviço",0,IF(AND(AUTOEVENTO="Manual",$M132=1),0,IF(OFFSET(CRONOPLE!$F$14,$M132,AP$13)="",10^12,OFFSET(CRONOPLE!$F$14,$M132,AP$13))))</f>
        <v>1000000000000</v>
      </c>
      <c r="AQ132" s="181">
        <f ca="1">IF($D132&lt;&gt;"Serviço",0,IF(AND(AUTOEVENTO="Manual",$M132=1),0,IF(OFFSET(CRONOPLE!$F$14,$M132,AQ$13)="",10^12,OFFSET(CRONOPLE!$F$14,$M132,AQ$13))))</f>
        <v>1000000000000</v>
      </c>
      <c r="AR132" s="181">
        <f ca="1">IF($D132&lt;&gt;"Serviço",0,IF(AND(AUTOEVENTO="Manual",$M132=1),0,IF(OFFSET(CRONOPLE!$F$14,$M132,AR$13)="",10^12,OFFSET(CRONOPLE!$F$14,$M132,AR$13))))</f>
        <v>1000000000000</v>
      </c>
      <c r="AS132" s="181">
        <f ca="1">IF($D132&lt;&gt;"Serviço",0,IF(AND(AUTOEVENTO="Manual",$M132=1),0,IF(OFFSET(CRONOPLE!$F$14,$M132,AS$13)="",10^12,OFFSET(CRONOPLE!$F$14,$M132,AS$13))))</f>
        <v>1000000000000</v>
      </c>
      <c r="AT132" s="181">
        <f ca="1">IF($D132&lt;&gt;"Serviço",0,IF(AND(AUTOEVENTO="Manual",$M132=1),0,IF(OFFSET(CRONOPLE!$F$14,$M132,AT$13)="",10^12,OFFSET(CRONOPLE!$F$14,$M132,AT$13))))</f>
        <v>1000000000000</v>
      </c>
      <c r="AU132" s="181">
        <f ca="1">IF($D132&lt;&gt;"Serviço",0,IF(AND(AUTOEVENTO="Manual",$M132=1),0,IF(OFFSET(CRONOPLE!$F$14,$M132,AU$13)="",10^12,OFFSET(CRONOPLE!$F$14,$M132,AU$13))))</f>
        <v>1000000000000</v>
      </c>
      <c r="AV132" s="181">
        <f ca="1">IF($D132&lt;&gt;"Serviço",0,IF(AND(AUTOEVENTO="Manual",$M132=1),0,IF(OFFSET(CRONOPLE!$F$14,$M132,AV$13)="",10^12,OFFSET(CRONOPLE!$F$14,$M132,AV$13))))</f>
        <v>1000000000000</v>
      </c>
      <c r="AX132" s="182">
        <f ca="1">IF($D132&lt;&gt;"Serviço",0,IF(OR(AND(AUTOEVENTO="Manual",$M132=1),$M132&gt;(ROW(PLE.lastrow)-ROW(PLE.firstrow))),0,IF(OFFSET(PLE!$G$14,$M132,AX$13)="",10^12,OFFSET(PLE!$G$14,$M132,AX$13))))</f>
        <v>1000000000000</v>
      </c>
      <c r="AY132" s="182">
        <f ca="1">IF($D132&lt;&gt;"Serviço",0,IF(OR(AND(AUTOEVENTO="Manual",$M132=1),$M132&gt;(ROW(PLE.lastrow)-ROW(PLE.firstrow))),0,IF(OFFSET(PLE!$G$14,$M132,AY$13)="",10^12,OFFSET(PLE!$G$14,$M132,AY$13))))</f>
        <v>1000000000000</v>
      </c>
      <c r="AZ132" s="182">
        <f ca="1">IF($D132&lt;&gt;"Serviço",0,IF(OR(AND(AUTOEVENTO="Manual",$M132=1),$M132&gt;(ROW(PLE.lastrow)-ROW(PLE.firstrow))),0,IF(OFFSET(PLE!$G$14,$M132,AZ$13)="",10^12,OFFSET(PLE!$G$14,$M132,AZ$13))))</f>
        <v>1000000000000</v>
      </c>
      <c r="BA132" s="182">
        <f ca="1">IF($D132&lt;&gt;"Serviço",0,IF(OR(AND(AUTOEVENTO="Manual",$M132=1),$M132&gt;(ROW(PLE.lastrow)-ROW(PLE.firstrow))),0,IF(OFFSET(PLE!$G$14,$M132,BA$13)="",10^12,OFFSET(PLE!$G$14,$M132,BA$13))))</f>
        <v>1000000000000</v>
      </c>
      <c r="BB132" s="182">
        <f ca="1">IF($D132&lt;&gt;"Serviço",0,IF(OR(AND(AUTOEVENTO="Manual",$M132=1),$M132&gt;(ROW(PLE.lastrow)-ROW(PLE.firstrow))),0,IF(OFFSET(PLE!$G$14,$M132,BB$13)="",10^12,OFFSET(PLE!$G$14,$M132,BB$13))))</f>
        <v>1000000000000</v>
      </c>
      <c r="BC132" s="182">
        <f ca="1">IF($D132&lt;&gt;"Serviço",0,IF(OR(AND(AUTOEVENTO="Manual",$M132=1),$M132&gt;(ROW(PLE.lastrow)-ROW(PLE.firstrow))),0,IF(OFFSET(PLE!$G$14,$M132,BC$13)="",10^12,OFFSET(PLE!$G$14,$M132,BC$13))))</f>
        <v>1000000000000</v>
      </c>
      <c r="BD132" s="182">
        <f ca="1">IF($D132&lt;&gt;"Serviço",0,IF(OR(AND(AUTOEVENTO="Manual",$M132=1),$M132&gt;(ROW(PLE.lastrow)-ROW(PLE.firstrow))),0,IF(OFFSET(PLE!$G$14,$M132,BD$13)="",10^12,OFFSET(PLE!$G$14,$M132,BD$13))))</f>
        <v>1000000000000</v>
      </c>
      <c r="BE132" s="182">
        <f ca="1">IF($D132&lt;&gt;"Serviço",0,IF(OR(AND(AUTOEVENTO="Manual",$M132=1),$M132&gt;(ROW(PLE.lastrow)-ROW(PLE.firstrow))),0,IF(OFFSET(PLE!$G$14,$M132,BE$13)="",10^12,OFFSET(PLE!$G$14,$M132,BE$13))))</f>
        <v>1000000000000</v>
      </c>
      <c r="BF132" s="182">
        <f ca="1">IF($D132&lt;&gt;"Serviço",0,IF(OR(AND(AUTOEVENTO="Manual",$M132=1),$M132&gt;(ROW(PLE.lastrow)-ROW(PLE.firstrow))),0,IF(OFFSET(PLE!$G$14,$M132,BF$13)="",10^12,OFFSET(PLE!$G$14,$M132,BF$13))))</f>
        <v>1000000000000</v>
      </c>
      <c r="BG132" s="182">
        <f ca="1">IF($D132&lt;&gt;"Serviço",0,IF(OR(AND(AUTOEVENTO="Manual",$M132=1),$M132&gt;(ROW(PLE.lastrow)-ROW(PLE.firstrow))),0,IF(OFFSET(PLE!$G$14,$M132,BG$13)="",10^12,OFFSET(PLE!$G$14,$M132,BG$13))))</f>
        <v>1000000000000</v>
      </c>
    </row>
    <row r="133" spans="1:59" ht="38.25" x14ac:dyDescent="0.2">
      <c r="A133" s="7" t="str">
        <f t="shared" ca="1" si="9"/>
        <v>108</v>
      </c>
      <c r="B133" s="7" t="str">
        <f ca="1">OFFSET(ORÇAMENTO!C$15,ROW(B133)-ROW(B$15),0)</f>
        <v>S</v>
      </c>
      <c r="C133" s="7" t="str">
        <f ca="1">OFFSET(ORÇAMENTO!L$15,ROW(C133)-ROW(C$15),0)</f>
        <v/>
      </c>
      <c r="D133" s="118" t="str">
        <f ca="1">OFFSET(ORÇAMENTO!N$15,ROW(D133)-ROW(D$15),0)</f>
        <v>Serviço</v>
      </c>
      <c r="E133" s="119" t="str">
        <f ca="1">OFFSET(ORÇAMENTO!O$15,ROW(E133)-ROW(E$15),0)</f>
        <v>-</v>
      </c>
      <c r="F133" s="172" t="str">
        <f ca="1">OFFSET(ORÇAMENTO!R$15,ROW(F133)-ROW(F$15),0)</f>
        <v>(abra o arquivo 'Referência 02-2025.xlsm)</v>
      </c>
      <c r="G133" s="173" t="str">
        <f ca="1">IF($D133&lt;&gt;"Serviço","",OFFSET(ORÇAMENTO!S$15,ROW(G133)-ROW(G$15),0))</f>
        <v>-</v>
      </c>
      <c r="H133" s="124">
        <f ca="1">IF($D133&lt;&gt;"Serviço",0,IF(ACOMPANHAMENTO="BM",ROUND(OFFSET(ORÇAMENTO!AJ$15,ROW(H133)-ROW(H$15),0),15-13*ORÇAMENTO!$AF$7),SUMPRODUCT(($Q$12:$AA$12&lt;&gt;"")*ROUND($Q133:$AA133,15-13*ORÇAMENTO!$AF$7))))</f>
        <v>4</v>
      </c>
      <c r="I133" s="561" t="s">
        <v>890</v>
      </c>
      <c r="K133" s="174"/>
      <c r="L133" s="175" t="s">
        <v>255</v>
      </c>
      <c r="M133" s="176">
        <f ca="1">IF($D133&lt;&gt;"Serviço","",IF(AUTOEVENTO="manual",$A133,IF(ISERROR(MATCH($A133,$A$15:OFFSET($A133,-1,0),0)),MAX($M$15:OFFSET(M133,-1,0))+1,INDEX($M$15:OFFSET(M133,-1,0),MATCH($A133,$A$15:OFFSET($A133,-1,0),0)))))</f>
        <v>7</v>
      </c>
      <c r="N133" s="177" t="str">
        <f ca="1">IF($D133&lt;&gt;"Serviço","",IF(AUTOEVENTO="Manual",IF($A133=0,"&lt;-- defina o número do agrupador",OFFSET(EVENTOS!$D$14,$A133,0)),OFFSET($F$15,$A133,0)))</f>
        <v>ESQUADRIAS</v>
      </c>
      <c r="O133" s="178"/>
      <c r="Q133" s="178"/>
      <c r="R133" s="179"/>
      <c r="S133" s="179"/>
      <c r="T133" s="179"/>
      <c r="U133" s="179"/>
      <c r="V133" s="179"/>
      <c r="W133" s="179"/>
      <c r="X133" s="179"/>
      <c r="Y133" s="179"/>
      <c r="Z133" s="180"/>
      <c r="AB133" s="544">
        <f ca="1">IF(AND($D133="Serviço",AB$12&lt;&gt;0,$H133&gt;0,OR(AUTOEVENTO&lt;&gt;"manual",$M133&lt;&gt;1)),
IF(Import.TipoArredondamento&lt;&gt;"TransfereGOV",
ROUND(OFFSET($P133,0,AB$13),15-13*ORÇAMENTO!$AF$7)/$H133*OFFSET(ORÇAMENTO!$X$15,ROW(AB133)-ROW(AB$15),0),
ROUND(ROUND(OFFSET($P133,0,AB$13),15-13*ORÇAMENTO!$AF$7)*OFFSET(ORÇAMENTO!$W$15,ROW(AB133)-ROW(AB$15),0),15-13*ORÇAMENTO!$AF$11)),0)</f>
        <v>0</v>
      </c>
      <c r="AC133" s="545">
        <f ca="1">IF(AND($D133="Serviço",AC$12&lt;&gt;0,$H133&gt;0,OR(AUTOEVENTO&lt;&gt;"manual",$M133&lt;&gt;1)),
IF(Import.TipoArredondamento&lt;&gt;"TransfereGOV",
ROUND(OFFSET($P133,0,AC$13),15-13*ORÇAMENTO!$AF$7)/$H133*OFFSET(ORÇAMENTO!$X$15,ROW(AC133)-ROW(AC$15),0),
ROUND(ROUND(OFFSET($P133,0,AC$13),15-13*ORÇAMENTO!$AF$7)*OFFSET(ORÇAMENTO!$W$15,ROW(AC133)-ROW(AC$15),0),15-13*ORÇAMENTO!$AF$11)),0)</f>
        <v>0</v>
      </c>
      <c r="AD133" s="545">
        <f ca="1">IF(AND($D133="Serviço",AD$12&lt;&gt;0,$H133&gt;0,OR(AUTOEVENTO&lt;&gt;"manual",$M133&lt;&gt;1)),
IF(Import.TipoArredondamento&lt;&gt;"TransfereGOV",
ROUND(OFFSET($P133,0,AD$13),15-13*ORÇAMENTO!$AF$7)/$H133*OFFSET(ORÇAMENTO!$X$15,ROW(AD133)-ROW(AD$15),0),
ROUND(ROUND(OFFSET($P133,0,AD$13),15-13*ORÇAMENTO!$AF$7)*OFFSET(ORÇAMENTO!$W$15,ROW(AD133)-ROW(AD$15),0),15-13*ORÇAMENTO!$AF$11)),0)</f>
        <v>0</v>
      </c>
      <c r="AE133" s="545">
        <f ca="1">IF(AND($D133="Serviço",AE$12&lt;&gt;0,$H133&gt;0,OR(AUTOEVENTO&lt;&gt;"manual",$M133&lt;&gt;1)),
IF(Import.TipoArredondamento&lt;&gt;"TransfereGOV",
ROUND(OFFSET($P133,0,AE$13),15-13*ORÇAMENTO!$AF$7)/$H133*OFFSET(ORÇAMENTO!$X$15,ROW(AE133)-ROW(AE$15),0),
ROUND(ROUND(OFFSET($P133,0,AE$13),15-13*ORÇAMENTO!$AF$7)*OFFSET(ORÇAMENTO!$W$15,ROW(AE133)-ROW(AE$15),0),15-13*ORÇAMENTO!$AF$11)),0)</f>
        <v>0</v>
      </c>
      <c r="AF133" s="545">
        <f ca="1">IF(AND($D133="Serviço",AF$12&lt;&gt;0,$H133&gt;0,OR(AUTOEVENTO&lt;&gt;"manual",$M133&lt;&gt;1)),
IF(Import.TipoArredondamento&lt;&gt;"TransfereGOV",
ROUND(OFFSET($P133,0,AF$13),15-13*ORÇAMENTO!$AF$7)/$H133*OFFSET(ORÇAMENTO!$X$15,ROW(AF133)-ROW(AF$15),0),
ROUND(ROUND(OFFSET($P133,0,AF$13),15-13*ORÇAMENTO!$AF$7)*OFFSET(ORÇAMENTO!$W$15,ROW(AF133)-ROW(AF$15),0),15-13*ORÇAMENTO!$AF$11)),0)</f>
        <v>0</v>
      </c>
      <c r="AG133" s="545">
        <f ca="1">IF(AND($D133="Serviço",AG$12&lt;&gt;0,$H133&gt;0,OR(AUTOEVENTO&lt;&gt;"manual",$M133&lt;&gt;1)),
IF(Import.TipoArredondamento&lt;&gt;"TransfereGOV",
ROUND(OFFSET($P133,0,AG$13),15-13*ORÇAMENTO!$AF$7)/$H133*OFFSET(ORÇAMENTO!$X$15,ROW(AG133)-ROW(AG$15),0),
ROUND(ROUND(OFFSET($P133,0,AG$13),15-13*ORÇAMENTO!$AF$7)*OFFSET(ORÇAMENTO!$W$15,ROW(AG133)-ROW(AG$15),0),15-13*ORÇAMENTO!$AF$11)),0)</f>
        <v>0</v>
      </c>
      <c r="AH133" s="545">
        <f ca="1">IF(AND($D133="Serviço",AH$12&lt;&gt;0,$H133&gt;0,OR(AUTOEVENTO&lt;&gt;"manual",$M133&lt;&gt;1)),
IF(Import.TipoArredondamento&lt;&gt;"TransfereGOV",
ROUND(OFFSET($P133,0,AH$13),15-13*ORÇAMENTO!$AF$7)/$H133*OFFSET(ORÇAMENTO!$X$15,ROW(AH133)-ROW(AH$15),0),
ROUND(ROUND(OFFSET($P133,0,AH$13),15-13*ORÇAMENTO!$AF$7)*OFFSET(ORÇAMENTO!$W$15,ROW(AH133)-ROW(AH$15),0),15-13*ORÇAMENTO!$AF$11)),0)</f>
        <v>0</v>
      </c>
      <c r="AI133" s="545">
        <f ca="1">IF(AND($D133="Serviço",AI$12&lt;&gt;0,$H133&gt;0,OR(AUTOEVENTO&lt;&gt;"manual",$M133&lt;&gt;1)),
IF(Import.TipoArredondamento&lt;&gt;"TransfereGOV",
ROUND(OFFSET($P133,0,AI$13),15-13*ORÇAMENTO!$AF$7)/$H133*OFFSET(ORÇAMENTO!$X$15,ROW(AI133)-ROW(AI$15),0),
ROUND(ROUND(OFFSET($P133,0,AI$13),15-13*ORÇAMENTO!$AF$7)*OFFSET(ORÇAMENTO!$W$15,ROW(AI133)-ROW(AI$15),0),15-13*ORÇAMENTO!$AF$11)),0)</f>
        <v>0</v>
      </c>
      <c r="AJ133" s="545">
        <f ca="1">IF(AND($D133="Serviço",AJ$12&lt;&gt;0,$H133&gt;0,OR(AUTOEVENTO&lt;&gt;"manual",$M133&lt;&gt;1)),
IF(Import.TipoArredondamento&lt;&gt;"TransfereGOV",
ROUND(OFFSET($P133,0,AJ$13),15-13*ORÇAMENTO!$AF$7)/$H133*OFFSET(ORÇAMENTO!$X$15,ROW(AJ133)-ROW(AJ$15),0),
ROUND(ROUND(OFFSET($P133,0,AJ$13),15-13*ORÇAMENTO!$AF$7)*OFFSET(ORÇAMENTO!$W$15,ROW(AJ133)-ROW(AJ$15),0),15-13*ORÇAMENTO!$AF$11)),0)</f>
        <v>0</v>
      </c>
      <c r="AK133" s="546">
        <f ca="1">IF(AND($D133="Serviço",AK$12&lt;&gt;0,$H133&gt;0,OR(AUTOEVENTO&lt;&gt;"manual",$M133&lt;&gt;1)),
IF(Import.TipoArredondamento&lt;&gt;"TransfereGOV",
ROUND(OFFSET($P133,0,AK$13),15-13*ORÇAMENTO!$AF$7)/$H133*OFFSET(ORÇAMENTO!$X$15,ROW(AK133)-ROW(AK$15),0),
ROUND(ROUND(OFFSET($P133,0,AK$13),15-13*ORÇAMENTO!$AF$7)*OFFSET(ORÇAMENTO!$W$15,ROW(AK133)-ROW(AK$15),0),15-13*ORÇAMENTO!$AF$11)),0)</f>
        <v>0</v>
      </c>
      <c r="AM133" s="181">
        <f ca="1">IF($D133&lt;&gt;"Serviço",0,IF(AND(AUTOEVENTO="Manual",$M133=1),0,IF(OFFSET(CRONOPLE!$F$14,$M133,AM$13)="",10^12,OFFSET(CRONOPLE!$F$14,$M133,AM$13))))</f>
        <v>1000000000000</v>
      </c>
      <c r="AN133" s="181">
        <f ca="1">IF($D133&lt;&gt;"Serviço",0,IF(AND(AUTOEVENTO="Manual",$M133=1),0,IF(OFFSET(CRONOPLE!$F$14,$M133,AN$13)="",10^12,OFFSET(CRONOPLE!$F$14,$M133,AN$13))))</f>
        <v>1000000000000</v>
      </c>
      <c r="AO133" s="181">
        <f ca="1">IF($D133&lt;&gt;"Serviço",0,IF(AND(AUTOEVENTO="Manual",$M133=1),0,IF(OFFSET(CRONOPLE!$F$14,$M133,AO$13)="",10^12,OFFSET(CRONOPLE!$F$14,$M133,AO$13))))</f>
        <v>1000000000000</v>
      </c>
      <c r="AP133" s="181">
        <f ca="1">IF($D133&lt;&gt;"Serviço",0,IF(AND(AUTOEVENTO="Manual",$M133=1),0,IF(OFFSET(CRONOPLE!$F$14,$M133,AP$13)="",10^12,OFFSET(CRONOPLE!$F$14,$M133,AP$13))))</f>
        <v>1000000000000</v>
      </c>
      <c r="AQ133" s="181">
        <f ca="1">IF($D133&lt;&gt;"Serviço",0,IF(AND(AUTOEVENTO="Manual",$M133=1),0,IF(OFFSET(CRONOPLE!$F$14,$M133,AQ$13)="",10^12,OFFSET(CRONOPLE!$F$14,$M133,AQ$13))))</f>
        <v>1000000000000</v>
      </c>
      <c r="AR133" s="181">
        <f ca="1">IF($D133&lt;&gt;"Serviço",0,IF(AND(AUTOEVENTO="Manual",$M133=1),0,IF(OFFSET(CRONOPLE!$F$14,$M133,AR$13)="",10^12,OFFSET(CRONOPLE!$F$14,$M133,AR$13))))</f>
        <v>1000000000000</v>
      </c>
      <c r="AS133" s="181">
        <f ca="1">IF($D133&lt;&gt;"Serviço",0,IF(AND(AUTOEVENTO="Manual",$M133=1),0,IF(OFFSET(CRONOPLE!$F$14,$M133,AS$13)="",10^12,OFFSET(CRONOPLE!$F$14,$M133,AS$13))))</f>
        <v>1000000000000</v>
      </c>
      <c r="AT133" s="181">
        <f ca="1">IF($D133&lt;&gt;"Serviço",0,IF(AND(AUTOEVENTO="Manual",$M133=1),0,IF(OFFSET(CRONOPLE!$F$14,$M133,AT$13)="",10^12,OFFSET(CRONOPLE!$F$14,$M133,AT$13))))</f>
        <v>1000000000000</v>
      </c>
      <c r="AU133" s="181">
        <f ca="1">IF($D133&lt;&gt;"Serviço",0,IF(AND(AUTOEVENTO="Manual",$M133=1),0,IF(OFFSET(CRONOPLE!$F$14,$M133,AU$13)="",10^12,OFFSET(CRONOPLE!$F$14,$M133,AU$13))))</f>
        <v>1000000000000</v>
      </c>
      <c r="AV133" s="181">
        <f ca="1">IF($D133&lt;&gt;"Serviço",0,IF(AND(AUTOEVENTO="Manual",$M133=1),0,IF(OFFSET(CRONOPLE!$F$14,$M133,AV$13)="",10^12,OFFSET(CRONOPLE!$F$14,$M133,AV$13))))</f>
        <v>1000000000000</v>
      </c>
      <c r="AX133" s="182">
        <f ca="1">IF($D133&lt;&gt;"Serviço",0,IF(OR(AND(AUTOEVENTO="Manual",$M133=1),$M133&gt;(ROW(PLE.lastrow)-ROW(PLE.firstrow))),0,IF(OFFSET(PLE!$G$14,$M133,AX$13)="",10^12,OFFSET(PLE!$G$14,$M133,AX$13))))</f>
        <v>1000000000000</v>
      </c>
      <c r="AY133" s="182">
        <f ca="1">IF($D133&lt;&gt;"Serviço",0,IF(OR(AND(AUTOEVENTO="Manual",$M133=1),$M133&gt;(ROW(PLE.lastrow)-ROW(PLE.firstrow))),0,IF(OFFSET(PLE!$G$14,$M133,AY$13)="",10^12,OFFSET(PLE!$G$14,$M133,AY$13))))</f>
        <v>1000000000000</v>
      </c>
      <c r="AZ133" s="182">
        <f ca="1">IF($D133&lt;&gt;"Serviço",0,IF(OR(AND(AUTOEVENTO="Manual",$M133=1),$M133&gt;(ROW(PLE.lastrow)-ROW(PLE.firstrow))),0,IF(OFFSET(PLE!$G$14,$M133,AZ$13)="",10^12,OFFSET(PLE!$G$14,$M133,AZ$13))))</f>
        <v>1000000000000</v>
      </c>
      <c r="BA133" s="182">
        <f ca="1">IF($D133&lt;&gt;"Serviço",0,IF(OR(AND(AUTOEVENTO="Manual",$M133=1),$M133&gt;(ROW(PLE.lastrow)-ROW(PLE.firstrow))),0,IF(OFFSET(PLE!$G$14,$M133,BA$13)="",10^12,OFFSET(PLE!$G$14,$M133,BA$13))))</f>
        <v>1000000000000</v>
      </c>
      <c r="BB133" s="182">
        <f ca="1">IF($D133&lt;&gt;"Serviço",0,IF(OR(AND(AUTOEVENTO="Manual",$M133=1),$M133&gt;(ROW(PLE.lastrow)-ROW(PLE.firstrow))),0,IF(OFFSET(PLE!$G$14,$M133,BB$13)="",10^12,OFFSET(PLE!$G$14,$M133,BB$13))))</f>
        <v>1000000000000</v>
      </c>
      <c r="BC133" s="182">
        <f ca="1">IF($D133&lt;&gt;"Serviço",0,IF(OR(AND(AUTOEVENTO="Manual",$M133=1),$M133&gt;(ROW(PLE.lastrow)-ROW(PLE.firstrow))),0,IF(OFFSET(PLE!$G$14,$M133,BC$13)="",10^12,OFFSET(PLE!$G$14,$M133,BC$13))))</f>
        <v>1000000000000</v>
      </c>
      <c r="BD133" s="182">
        <f ca="1">IF($D133&lt;&gt;"Serviço",0,IF(OR(AND(AUTOEVENTO="Manual",$M133=1),$M133&gt;(ROW(PLE.lastrow)-ROW(PLE.firstrow))),0,IF(OFFSET(PLE!$G$14,$M133,BD$13)="",10^12,OFFSET(PLE!$G$14,$M133,BD$13))))</f>
        <v>1000000000000</v>
      </c>
      <c r="BE133" s="182">
        <f ca="1">IF($D133&lt;&gt;"Serviço",0,IF(OR(AND(AUTOEVENTO="Manual",$M133=1),$M133&gt;(ROW(PLE.lastrow)-ROW(PLE.firstrow))),0,IF(OFFSET(PLE!$G$14,$M133,BE$13)="",10^12,OFFSET(PLE!$G$14,$M133,BE$13))))</f>
        <v>1000000000000</v>
      </c>
      <c r="BF133" s="182">
        <f ca="1">IF($D133&lt;&gt;"Serviço",0,IF(OR(AND(AUTOEVENTO="Manual",$M133=1),$M133&gt;(ROW(PLE.lastrow)-ROW(PLE.firstrow))),0,IF(OFFSET(PLE!$G$14,$M133,BF$13)="",10^12,OFFSET(PLE!$G$14,$M133,BF$13))))</f>
        <v>1000000000000</v>
      </c>
      <c r="BG133" s="182">
        <f ca="1">IF($D133&lt;&gt;"Serviço",0,IF(OR(AND(AUTOEVENTO="Manual",$M133=1),$M133&gt;(ROW(PLE.lastrow)-ROW(PLE.firstrow))),0,IF(OFFSET(PLE!$G$14,$M133,BG$13)="",10^12,OFFSET(PLE!$G$14,$M133,BG$13))))</f>
        <v>1000000000000</v>
      </c>
    </row>
    <row r="134" spans="1:59" ht="25.5" x14ac:dyDescent="0.2">
      <c r="A134" s="7" t="str">
        <f t="shared" ca="1" si="9"/>
        <v>108</v>
      </c>
      <c r="B134" s="7" t="str">
        <f ca="1">OFFSET(ORÇAMENTO!C$15,ROW(B134)-ROW(B$15),0)</f>
        <v>S</v>
      </c>
      <c r="C134" s="7" t="str">
        <f ca="1">OFFSET(ORÇAMENTO!L$15,ROW(C134)-ROW(C$15),0)</f>
        <v/>
      </c>
      <c r="D134" s="118" t="str">
        <f ca="1">OFFSET(ORÇAMENTO!N$15,ROW(D134)-ROW(D$15),0)</f>
        <v>Serviço</v>
      </c>
      <c r="E134" s="119" t="str">
        <f ca="1">OFFSET(ORÇAMENTO!O$15,ROW(E134)-ROW(E$15),0)</f>
        <v>-</v>
      </c>
      <c r="F134" s="172" t="str">
        <f ca="1">OFFSET(ORÇAMENTO!R$15,ROW(F134)-ROW(F$15),0)</f>
        <v>(abra o arquivo 'Referência 02-2025.xlsm)</v>
      </c>
      <c r="G134" s="173" t="str">
        <f ca="1">IF($D134&lt;&gt;"Serviço","",OFFSET(ORÇAMENTO!S$15,ROW(G134)-ROW(G$15),0))</f>
        <v>-</v>
      </c>
      <c r="H134" s="124">
        <f ca="1">IF($D134&lt;&gt;"Serviço",0,IF(ACOMPANHAMENTO="BM",ROUND(OFFSET(ORÇAMENTO!AJ$15,ROW(H134)-ROW(H$15),0),15-13*ORÇAMENTO!$AF$7),SUMPRODUCT(($Q$12:$AA$12&lt;&gt;"")*ROUND($Q134:$AA134,15-13*ORÇAMENTO!$AF$7))))</f>
        <v>19.84</v>
      </c>
      <c r="I134" s="561" t="s">
        <v>890</v>
      </c>
      <c r="K134" s="174"/>
      <c r="L134" s="175" t="s">
        <v>255</v>
      </c>
      <c r="M134" s="176">
        <f ca="1">IF($D134&lt;&gt;"Serviço","",IF(AUTOEVENTO="manual",$A134,IF(ISERROR(MATCH($A134,$A$15:OFFSET($A134,-1,0),0)),MAX($M$15:OFFSET(M134,-1,0))+1,INDEX($M$15:OFFSET(M134,-1,0),MATCH($A134,$A$15:OFFSET($A134,-1,0),0)))))</f>
        <v>7</v>
      </c>
      <c r="N134" s="177" t="str">
        <f ca="1">IF($D134&lt;&gt;"Serviço","",IF(AUTOEVENTO="Manual",IF($A134=0,"&lt;-- defina o número do agrupador",OFFSET(EVENTOS!$D$14,$A134,0)),OFFSET($F$15,$A134,0)))</f>
        <v>ESQUADRIAS</v>
      </c>
      <c r="O134" s="178"/>
      <c r="Q134" s="178"/>
      <c r="R134" s="179"/>
      <c r="S134" s="179"/>
      <c r="T134" s="179"/>
      <c r="U134" s="179"/>
      <c r="V134" s="179"/>
      <c r="W134" s="179"/>
      <c r="X134" s="179"/>
      <c r="Y134" s="179"/>
      <c r="Z134" s="180"/>
      <c r="AB134" s="544">
        <f ca="1">IF(AND($D134="Serviço",AB$12&lt;&gt;0,$H134&gt;0,OR(AUTOEVENTO&lt;&gt;"manual",$M134&lt;&gt;1)),
IF(Import.TipoArredondamento&lt;&gt;"TransfereGOV",
ROUND(OFFSET($P134,0,AB$13),15-13*ORÇAMENTO!$AF$7)/$H134*OFFSET(ORÇAMENTO!$X$15,ROW(AB134)-ROW(AB$15),0),
ROUND(ROUND(OFFSET($P134,0,AB$13),15-13*ORÇAMENTO!$AF$7)*OFFSET(ORÇAMENTO!$W$15,ROW(AB134)-ROW(AB$15),0),15-13*ORÇAMENTO!$AF$11)),0)</f>
        <v>0</v>
      </c>
      <c r="AC134" s="545">
        <f ca="1">IF(AND($D134="Serviço",AC$12&lt;&gt;0,$H134&gt;0,OR(AUTOEVENTO&lt;&gt;"manual",$M134&lt;&gt;1)),
IF(Import.TipoArredondamento&lt;&gt;"TransfereGOV",
ROUND(OFFSET($P134,0,AC$13),15-13*ORÇAMENTO!$AF$7)/$H134*OFFSET(ORÇAMENTO!$X$15,ROW(AC134)-ROW(AC$15),0),
ROUND(ROUND(OFFSET($P134,0,AC$13),15-13*ORÇAMENTO!$AF$7)*OFFSET(ORÇAMENTO!$W$15,ROW(AC134)-ROW(AC$15),0),15-13*ORÇAMENTO!$AF$11)),0)</f>
        <v>0</v>
      </c>
      <c r="AD134" s="545">
        <f ca="1">IF(AND($D134="Serviço",AD$12&lt;&gt;0,$H134&gt;0,OR(AUTOEVENTO&lt;&gt;"manual",$M134&lt;&gt;1)),
IF(Import.TipoArredondamento&lt;&gt;"TransfereGOV",
ROUND(OFFSET($P134,0,AD$13),15-13*ORÇAMENTO!$AF$7)/$H134*OFFSET(ORÇAMENTO!$X$15,ROW(AD134)-ROW(AD$15),0),
ROUND(ROUND(OFFSET($P134,0,AD$13),15-13*ORÇAMENTO!$AF$7)*OFFSET(ORÇAMENTO!$W$15,ROW(AD134)-ROW(AD$15),0),15-13*ORÇAMENTO!$AF$11)),0)</f>
        <v>0</v>
      </c>
      <c r="AE134" s="545">
        <f ca="1">IF(AND($D134="Serviço",AE$12&lt;&gt;0,$H134&gt;0,OR(AUTOEVENTO&lt;&gt;"manual",$M134&lt;&gt;1)),
IF(Import.TipoArredondamento&lt;&gt;"TransfereGOV",
ROUND(OFFSET($P134,0,AE$13),15-13*ORÇAMENTO!$AF$7)/$H134*OFFSET(ORÇAMENTO!$X$15,ROW(AE134)-ROW(AE$15),0),
ROUND(ROUND(OFFSET($P134,0,AE$13),15-13*ORÇAMENTO!$AF$7)*OFFSET(ORÇAMENTO!$W$15,ROW(AE134)-ROW(AE$15),0),15-13*ORÇAMENTO!$AF$11)),0)</f>
        <v>0</v>
      </c>
      <c r="AF134" s="545">
        <f ca="1">IF(AND($D134="Serviço",AF$12&lt;&gt;0,$H134&gt;0,OR(AUTOEVENTO&lt;&gt;"manual",$M134&lt;&gt;1)),
IF(Import.TipoArredondamento&lt;&gt;"TransfereGOV",
ROUND(OFFSET($P134,0,AF$13),15-13*ORÇAMENTO!$AF$7)/$H134*OFFSET(ORÇAMENTO!$X$15,ROW(AF134)-ROW(AF$15),0),
ROUND(ROUND(OFFSET($P134,0,AF$13),15-13*ORÇAMENTO!$AF$7)*OFFSET(ORÇAMENTO!$W$15,ROW(AF134)-ROW(AF$15),0),15-13*ORÇAMENTO!$AF$11)),0)</f>
        <v>0</v>
      </c>
      <c r="AG134" s="545">
        <f ca="1">IF(AND($D134="Serviço",AG$12&lt;&gt;0,$H134&gt;0,OR(AUTOEVENTO&lt;&gt;"manual",$M134&lt;&gt;1)),
IF(Import.TipoArredondamento&lt;&gt;"TransfereGOV",
ROUND(OFFSET($P134,0,AG$13),15-13*ORÇAMENTO!$AF$7)/$H134*OFFSET(ORÇAMENTO!$X$15,ROW(AG134)-ROW(AG$15),0),
ROUND(ROUND(OFFSET($P134,0,AG$13),15-13*ORÇAMENTO!$AF$7)*OFFSET(ORÇAMENTO!$W$15,ROW(AG134)-ROW(AG$15),0),15-13*ORÇAMENTO!$AF$11)),0)</f>
        <v>0</v>
      </c>
      <c r="AH134" s="545">
        <f ca="1">IF(AND($D134="Serviço",AH$12&lt;&gt;0,$H134&gt;0,OR(AUTOEVENTO&lt;&gt;"manual",$M134&lt;&gt;1)),
IF(Import.TipoArredondamento&lt;&gt;"TransfereGOV",
ROUND(OFFSET($P134,0,AH$13),15-13*ORÇAMENTO!$AF$7)/$H134*OFFSET(ORÇAMENTO!$X$15,ROW(AH134)-ROW(AH$15),0),
ROUND(ROUND(OFFSET($P134,0,AH$13),15-13*ORÇAMENTO!$AF$7)*OFFSET(ORÇAMENTO!$W$15,ROW(AH134)-ROW(AH$15),0),15-13*ORÇAMENTO!$AF$11)),0)</f>
        <v>0</v>
      </c>
      <c r="AI134" s="545">
        <f ca="1">IF(AND($D134="Serviço",AI$12&lt;&gt;0,$H134&gt;0,OR(AUTOEVENTO&lt;&gt;"manual",$M134&lt;&gt;1)),
IF(Import.TipoArredondamento&lt;&gt;"TransfereGOV",
ROUND(OFFSET($P134,0,AI$13),15-13*ORÇAMENTO!$AF$7)/$H134*OFFSET(ORÇAMENTO!$X$15,ROW(AI134)-ROW(AI$15),0),
ROUND(ROUND(OFFSET($P134,0,AI$13),15-13*ORÇAMENTO!$AF$7)*OFFSET(ORÇAMENTO!$W$15,ROW(AI134)-ROW(AI$15),0),15-13*ORÇAMENTO!$AF$11)),0)</f>
        <v>0</v>
      </c>
      <c r="AJ134" s="545">
        <f ca="1">IF(AND($D134="Serviço",AJ$12&lt;&gt;0,$H134&gt;0,OR(AUTOEVENTO&lt;&gt;"manual",$M134&lt;&gt;1)),
IF(Import.TipoArredondamento&lt;&gt;"TransfereGOV",
ROUND(OFFSET($P134,0,AJ$13),15-13*ORÇAMENTO!$AF$7)/$H134*OFFSET(ORÇAMENTO!$X$15,ROW(AJ134)-ROW(AJ$15),0),
ROUND(ROUND(OFFSET($P134,0,AJ$13),15-13*ORÇAMENTO!$AF$7)*OFFSET(ORÇAMENTO!$W$15,ROW(AJ134)-ROW(AJ$15),0),15-13*ORÇAMENTO!$AF$11)),0)</f>
        <v>0</v>
      </c>
      <c r="AK134" s="546">
        <f ca="1">IF(AND($D134="Serviço",AK$12&lt;&gt;0,$H134&gt;0,OR(AUTOEVENTO&lt;&gt;"manual",$M134&lt;&gt;1)),
IF(Import.TipoArredondamento&lt;&gt;"TransfereGOV",
ROUND(OFFSET($P134,0,AK$13),15-13*ORÇAMENTO!$AF$7)/$H134*OFFSET(ORÇAMENTO!$X$15,ROW(AK134)-ROW(AK$15),0),
ROUND(ROUND(OFFSET($P134,0,AK$13),15-13*ORÇAMENTO!$AF$7)*OFFSET(ORÇAMENTO!$W$15,ROW(AK134)-ROW(AK$15),0),15-13*ORÇAMENTO!$AF$11)),0)</f>
        <v>0</v>
      </c>
      <c r="AM134" s="181">
        <f ca="1">IF($D134&lt;&gt;"Serviço",0,IF(AND(AUTOEVENTO="Manual",$M134=1),0,IF(OFFSET(CRONOPLE!$F$14,$M134,AM$13)="",10^12,OFFSET(CRONOPLE!$F$14,$M134,AM$13))))</f>
        <v>1000000000000</v>
      </c>
      <c r="AN134" s="181">
        <f ca="1">IF($D134&lt;&gt;"Serviço",0,IF(AND(AUTOEVENTO="Manual",$M134=1),0,IF(OFFSET(CRONOPLE!$F$14,$M134,AN$13)="",10^12,OFFSET(CRONOPLE!$F$14,$M134,AN$13))))</f>
        <v>1000000000000</v>
      </c>
      <c r="AO134" s="181">
        <f ca="1">IF($D134&lt;&gt;"Serviço",0,IF(AND(AUTOEVENTO="Manual",$M134=1),0,IF(OFFSET(CRONOPLE!$F$14,$M134,AO$13)="",10^12,OFFSET(CRONOPLE!$F$14,$M134,AO$13))))</f>
        <v>1000000000000</v>
      </c>
      <c r="AP134" s="181">
        <f ca="1">IF($D134&lt;&gt;"Serviço",0,IF(AND(AUTOEVENTO="Manual",$M134=1),0,IF(OFFSET(CRONOPLE!$F$14,$M134,AP$13)="",10^12,OFFSET(CRONOPLE!$F$14,$M134,AP$13))))</f>
        <v>1000000000000</v>
      </c>
      <c r="AQ134" s="181">
        <f ca="1">IF($D134&lt;&gt;"Serviço",0,IF(AND(AUTOEVENTO="Manual",$M134=1),0,IF(OFFSET(CRONOPLE!$F$14,$M134,AQ$13)="",10^12,OFFSET(CRONOPLE!$F$14,$M134,AQ$13))))</f>
        <v>1000000000000</v>
      </c>
      <c r="AR134" s="181">
        <f ca="1">IF($D134&lt;&gt;"Serviço",0,IF(AND(AUTOEVENTO="Manual",$M134=1),0,IF(OFFSET(CRONOPLE!$F$14,$M134,AR$13)="",10^12,OFFSET(CRONOPLE!$F$14,$M134,AR$13))))</f>
        <v>1000000000000</v>
      </c>
      <c r="AS134" s="181">
        <f ca="1">IF($D134&lt;&gt;"Serviço",0,IF(AND(AUTOEVENTO="Manual",$M134=1),0,IF(OFFSET(CRONOPLE!$F$14,$M134,AS$13)="",10^12,OFFSET(CRONOPLE!$F$14,$M134,AS$13))))</f>
        <v>1000000000000</v>
      </c>
      <c r="AT134" s="181">
        <f ca="1">IF($D134&lt;&gt;"Serviço",0,IF(AND(AUTOEVENTO="Manual",$M134=1),0,IF(OFFSET(CRONOPLE!$F$14,$M134,AT$13)="",10^12,OFFSET(CRONOPLE!$F$14,$M134,AT$13))))</f>
        <v>1000000000000</v>
      </c>
      <c r="AU134" s="181">
        <f ca="1">IF($D134&lt;&gt;"Serviço",0,IF(AND(AUTOEVENTO="Manual",$M134=1),0,IF(OFFSET(CRONOPLE!$F$14,$M134,AU$13)="",10^12,OFFSET(CRONOPLE!$F$14,$M134,AU$13))))</f>
        <v>1000000000000</v>
      </c>
      <c r="AV134" s="181">
        <f ca="1">IF($D134&lt;&gt;"Serviço",0,IF(AND(AUTOEVENTO="Manual",$M134=1),0,IF(OFFSET(CRONOPLE!$F$14,$M134,AV$13)="",10^12,OFFSET(CRONOPLE!$F$14,$M134,AV$13))))</f>
        <v>1000000000000</v>
      </c>
      <c r="AX134" s="182">
        <f ca="1">IF($D134&lt;&gt;"Serviço",0,IF(OR(AND(AUTOEVENTO="Manual",$M134=1),$M134&gt;(ROW(PLE.lastrow)-ROW(PLE.firstrow))),0,IF(OFFSET(PLE!$G$14,$M134,AX$13)="",10^12,OFFSET(PLE!$G$14,$M134,AX$13))))</f>
        <v>1000000000000</v>
      </c>
      <c r="AY134" s="182">
        <f ca="1">IF($D134&lt;&gt;"Serviço",0,IF(OR(AND(AUTOEVENTO="Manual",$M134=1),$M134&gt;(ROW(PLE.lastrow)-ROW(PLE.firstrow))),0,IF(OFFSET(PLE!$G$14,$M134,AY$13)="",10^12,OFFSET(PLE!$G$14,$M134,AY$13))))</f>
        <v>1000000000000</v>
      </c>
      <c r="AZ134" s="182">
        <f ca="1">IF($D134&lt;&gt;"Serviço",0,IF(OR(AND(AUTOEVENTO="Manual",$M134=1),$M134&gt;(ROW(PLE.lastrow)-ROW(PLE.firstrow))),0,IF(OFFSET(PLE!$G$14,$M134,AZ$13)="",10^12,OFFSET(PLE!$G$14,$M134,AZ$13))))</f>
        <v>1000000000000</v>
      </c>
      <c r="BA134" s="182">
        <f ca="1">IF($D134&lt;&gt;"Serviço",0,IF(OR(AND(AUTOEVENTO="Manual",$M134=1),$M134&gt;(ROW(PLE.lastrow)-ROW(PLE.firstrow))),0,IF(OFFSET(PLE!$G$14,$M134,BA$13)="",10^12,OFFSET(PLE!$G$14,$M134,BA$13))))</f>
        <v>1000000000000</v>
      </c>
      <c r="BB134" s="182">
        <f ca="1">IF($D134&lt;&gt;"Serviço",0,IF(OR(AND(AUTOEVENTO="Manual",$M134=1),$M134&gt;(ROW(PLE.lastrow)-ROW(PLE.firstrow))),0,IF(OFFSET(PLE!$G$14,$M134,BB$13)="",10^12,OFFSET(PLE!$G$14,$M134,BB$13))))</f>
        <v>1000000000000</v>
      </c>
      <c r="BC134" s="182">
        <f ca="1">IF($D134&lt;&gt;"Serviço",0,IF(OR(AND(AUTOEVENTO="Manual",$M134=1),$M134&gt;(ROW(PLE.lastrow)-ROW(PLE.firstrow))),0,IF(OFFSET(PLE!$G$14,$M134,BC$13)="",10^12,OFFSET(PLE!$G$14,$M134,BC$13))))</f>
        <v>1000000000000</v>
      </c>
      <c r="BD134" s="182">
        <f ca="1">IF($D134&lt;&gt;"Serviço",0,IF(OR(AND(AUTOEVENTO="Manual",$M134=1),$M134&gt;(ROW(PLE.lastrow)-ROW(PLE.firstrow))),0,IF(OFFSET(PLE!$G$14,$M134,BD$13)="",10^12,OFFSET(PLE!$G$14,$M134,BD$13))))</f>
        <v>1000000000000</v>
      </c>
      <c r="BE134" s="182">
        <f ca="1">IF($D134&lt;&gt;"Serviço",0,IF(OR(AND(AUTOEVENTO="Manual",$M134=1),$M134&gt;(ROW(PLE.lastrow)-ROW(PLE.firstrow))),0,IF(OFFSET(PLE!$G$14,$M134,BE$13)="",10^12,OFFSET(PLE!$G$14,$M134,BE$13))))</f>
        <v>1000000000000</v>
      </c>
      <c r="BF134" s="182">
        <f ca="1">IF($D134&lt;&gt;"Serviço",0,IF(OR(AND(AUTOEVENTO="Manual",$M134=1),$M134&gt;(ROW(PLE.lastrow)-ROW(PLE.firstrow))),0,IF(OFFSET(PLE!$G$14,$M134,BF$13)="",10^12,OFFSET(PLE!$G$14,$M134,BF$13))))</f>
        <v>1000000000000</v>
      </c>
      <c r="BG134" s="182">
        <f ca="1">IF($D134&lt;&gt;"Serviço",0,IF(OR(AND(AUTOEVENTO="Manual",$M134=1),$M134&gt;(ROW(PLE.lastrow)-ROW(PLE.firstrow))),0,IF(OFFSET(PLE!$G$14,$M134,BG$13)="",10^12,OFFSET(PLE!$G$14,$M134,BG$13))))</f>
        <v>1000000000000</v>
      </c>
    </row>
    <row r="135" spans="1:59" ht="25.5" x14ac:dyDescent="0.2">
      <c r="A135" s="7" t="str">
        <f t="shared" ca="1" si="9"/>
        <v>108</v>
      </c>
      <c r="B135" s="7" t="str">
        <f ca="1">OFFSET(ORÇAMENTO!C$15,ROW(B135)-ROW(B$15),0)</f>
        <v>S</v>
      </c>
      <c r="C135" s="7" t="str">
        <f ca="1">OFFSET(ORÇAMENTO!L$15,ROW(C135)-ROW(C$15),0)</f>
        <v/>
      </c>
      <c r="D135" s="118" t="str">
        <f ca="1">OFFSET(ORÇAMENTO!N$15,ROW(D135)-ROW(D$15),0)</f>
        <v>Serviço</v>
      </c>
      <c r="E135" s="119" t="str">
        <f ca="1">OFFSET(ORÇAMENTO!O$15,ROW(E135)-ROW(E$15),0)</f>
        <v>-</v>
      </c>
      <c r="F135" s="172" t="str">
        <f ca="1">OFFSET(ORÇAMENTO!R$15,ROW(F135)-ROW(F$15),0)</f>
        <v>(abra o arquivo 'Referência 02-2025.xlsm)</v>
      </c>
      <c r="G135" s="173" t="str">
        <f ca="1">IF($D135&lt;&gt;"Serviço","",OFFSET(ORÇAMENTO!S$15,ROW(G135)-ROW(G$15),0))</f>
        <v>-</v>
      </c>
      <c r="H135" s="124">
        <f ca="1">IF($D135&lt;&gt;"Serviço",0,IF(ACOMPANHAMENTO="BM",ROUND(OFFSET(ORÇAMENTO!AJ$15,ROW(H135)-ROW(H$15),0),15-13*ORÇAMENTO!$AF$7),SUMPRODUCT(($Q$12:$AA$12&lt;&gt;"")*ROUND($Q135:$AA135,15-13*ORÇAMENTO!$AF$7))))</f>
        <v>205.25</v>
      </c>
      <c r="I135" s="561" t="s">
        <v>890</v>
      </c>
      <c r="K135" s="174"/>
      <c r="L135" s="175" t="s">
        <v>255</v>
      </c>
      <c r="M135" s="176">
        <f ca="1">IF($D135&lt;&gt;"Serviço","",IF(AUTOEVENTO="manual",$A135,IF(ISERROR(MATCH($A135,$A$15:OFFSET($A135,-1,0),0)),MAX($M$15:OFFSET(M135,-1,0))+1,INDEX($M$15:OFFSET(M135,-1,0),MATCH($A135,$A$15:OFFSET($A135,-1,0),0)))))</f>
        <v>7</v>
      </c>
      <c r="N135" s="177" t="str">
        <f ca="1">IF($D135&lt;&gt;"Serviço","",IF(AUTOEVENTO="Manual",IF($A135=0,"&lt;-- defina o número do agrupador",OFFSET(EVENTOS!$D$14,$A135,0)),OFFSET($F$15,$A135,0)))</f>
        <v>ESQUADRIAS</v>
      </c>
      <c r="O135" s="178"/>
      <c r="Q135" s="178"/>
      <c r="R135" s="179"/>
      <c r="S135" s="179"/>
      <c r="T135" s="179"/>
      <c r="U135" s="179"/>
      <c r="V135" s="179"/>
      <c r="W135" s="179"/>
      <c r="X135" s="179"/>
      <c r="Y135" s="179"/>
      <c r="Z135" s="180"/>
      <c r="AB135" s="544">
        <f ca="1">IF(AND($D135="Serviço",AB$12&lt;&gt;0,$H135&gt;0,OR(AUTOEVENTO&lt;&gt;"manual",$M135&lt;&gt;1)),
IF(Import.TipoArredondamento&lt;&gt;"TransfereGOV",
ROUND(OFFSET($P135,0,AB$13),15-13*ORÇAMENTO!$AF$7)/$H135*OFFSET(ORÇAMENTO!$X$15,ROW(AB135)-ROW(AB$15),0),
ROUND(ROUND(OFFSET($P135,0,AB$13),15-13*ORÇAMENTO!$AF$7)*OFFSET(ORÇAMENTO!$W$15,ROW(AB135)-ROW(AB$15),0),15-13*ORÇAMENTO!$AF$11)),0)</f>
        <v>0</v>
      </c>
      <c r="AC135" s="545">
        <f ca="1">IF(AND($D135="Serviço",AC$12&lt;&gt;0,$H135&gt;0,OR(AUTOEVENTO&lt;&gt;"manual",$M135&lt;&gt;1)),
IF(Import.TipoArredondamento&lt;&gt;"TransfereGOV",
ROUND(OFFSET($P135,0,AC$13),15-13*ORÇAMENTO!$AF$7)/$H135*OFFSET(ORÇAMENTO!$X$15,ROW(AC135)-ROW(AC$15),0),
ROUND(ROUND(OFFSET($P135,0,AC$13),15-13*ORÇAMENTO!$AF$7)*OFFSET(ORÇAMENTO!$W$15,ROW(AC135)-ROW(AC$15),0),15-13*ORÇAMENTO!$AF$11)),0)</f>
        <v>0</v>
      </c>
      <c r="AD135" s="545">
        <f ca="1">IF(AND($D135="Serviço",AD$12&lt;&gt;0,$H135&gt;0,OR(AUTOEVENTO&lt;&gt;"manual",$M135&lt;&gt;1)),
IF(Import.TipoArredondamento&lt;&gt;"TransfereGOV",
ROUND(OFFSET($P135,0,AD$13),15-13*ORÇAMENTO!$AF$7)/$H135*OFFSET(ORÇAMENTO!$X$15,ROW(AD135)-ROW(AD$15),0),
ROUND(ROUND(OFFSET($P135,0,AD$13),15-13*ORÇAMENTO!$AF$7)*OFFSET(ORÇAMENTO!$W$15,ROW(AD135)-ROW(AD$15),0),15-13*ORÇAMENTO!$AF$11)),0)</f>
        <v>0</v>
      </c>
      <c r="AE135" s="545">
        <f ca="1">IF(AND($D135="Serviço",AE$12&lt;&gt;0,$H135&gt;0,OR(AUTOEVENTO&lt;&gt;"manual",$M135&lt;&gt;1)),
IF(Import.TipoArredondamento&lt;&gt;"TransfereGOV",
ROUND(OFFSET($P135,0,AE$13),15-13*ORÇAMENTO!$AF$7)/$H135*OFFSET(ORÇAMENTO!$X$15,ROW(AE135)-ROW(AE$15),0),
ROUND(ROUND(OFFSET($P135,0,AE$13),15-13*ORÇAMENTO!$AF$7)*OFFSET(ORÇAMENTO!$W$15,ROW(AE135)-ROW(AE$15),0),15-13*ORÇAMENTO!$AF$11)),0)</f>
        <v>0</v>
      </c>
      <c r="AF135" s="545">
        <f ca="1">IF(AND($D135="Serviço",AF$12&lt;&gt;0,$H135&gt;0,OR(AUTOEVENTO&lt;&gt;"manual",$M135&lt;&gt;1)),
IF(Import.TipoArredondamento&lt;&gt;"TransfereGOV",
ROUND(OFFSET($P135,0,AF$13),15-13*ORÇAMENTO!$AF$7)/$H135*OFFSET(ORÇAMENTO!$X$15,ROW(AF135)-ROW(AF$15),0),
ROUND(ROUND(OFFSET($P135,0,AF$13),15-13*ORÇAMENTO!$AF$7)*OFFSET(ORÇAMENTO!$W$15,ROW(AF135)-ROW(AF$15),0),15-13*ORÇAMENTO!$AF$11)),0)</f>
        <v>0</v>
      </c>
      <c r="AG135" s="545">
        <f ca="1">IF(AND($D135="Serviço",AG$12&lt;&gt;0,$H135&gt;0,OR(AUTOEVENTO&lt;&gt;"manual",$M135&lt;&gt;1)),
IF(Import.TipoArredondamento&lt;&gt;"TransfereGOV",
ROUND(OFFSET($P135,0,AG$13),15-13*ORÇAMENTO!$AF$7)/$H135*OFFSET(ORÇAMENTO!$X$15,ROW(AG135)-ROW(AG$15),0),
ROUND(ROUND(OFFSET($P135,0,AG$13),15-13*ORÇAMENTO!$AF$7)*OFFSET(ORÇAMENTO!$W$15,ROW(AG135)-ROW(AG$15),0),15-13*ORÇAMENTO!$AF$11)),0)</f>
        <v>0</v>
      </c>
      <c r="AH135" s="545">
        <f ca="1">IF(AND($D135="Serviço",AH$12&lt;&gt;0,$H135&gt;0,OR(AUTOEVENTO&lt;&gt;"manual",$M135&lt;&gt;1)),
IF(Import.TipoArredondamento&lt;&gt;"TransfereGOV",
ROUND(OFFSET($P135,0,AH$13),15-13*ORÇAMENTO!$AF$7)/$H135*OFFSET(ORÇAMENTO!$X$15,ROW(AH135)-ROW(AH$15),0),
ROUND(ROUND(OFFSET($P135,0,AH$13),15-13*ORÇAMENTO!$AF$7)*OFFSET(ORÇAMENTO!$W$15,ROW(AH135)-ROW(AH$15),0),15-13*ORÇAMENTO!$AF$11)),0)</f>
        <v>0</v>
      </c>
      <c r="AI135" s="545">
        <f ca="1">IF(AND($D135="Serviço",AI$12&lt;&gt;0,$H135&gt;0,OR(AUTOEVENTO&lt;&gt;"manual",$M135&lt;&gt;1)),
IF(Import.TipoArredondamento&lt;&gt;"TransfereGOV",
ROUND(OFFSET($P135,0,AI$13),15-13*ORÇAMENTO!$AF$7)/$H135*OFFSET(ORÇAMENTO!$X$15,ROW(AI135)-ROW(AI$15),0),
ROUND(ROUND(OFFSET($P135,0,AI$13),15-13*ORÇAMENTO!$AF$7)*OFFSET(ORÇAMENTO!$W$15,ROW(AI135)-ROW(AI$15),0),15-13*ORÇAMENTO!$AF$11)),0)</f>
        <v>0</v>
      </c>
      <c r="AJ135" s="545">
        <f ca="1">IF(AND($D135="Serviço",AJ$12&lt;&gt;0,$H135&gt;0,OR(AUTOEVENTO&lt;&gt;"manual",$M135&lt;&gt;1)),
IF(Import.TipoArredondamento&lt;&gt;"TransfereGOV",
ROUND(OFFSET($P135,0,AJ$13),15-13*ORÇAMENTO!$AF$7)/$H135*OFFSET(ORÇAMENTO!$X$15,ROW(AJ135)-ROW(AJ$15),0),
ROUND(ROUND(OFFSET($P135,0,AJ$13),15-13*ORÇAMENTO!$AF$7)*OFFSET(ORÇAMENTO!$W$15,ROW(AJ135)-ROW(AJ$15),0),15-13*ORÇAMENTO!$AF$11)),0)</f>
        <v>0</v>
      </c>
      <c r="AK135" s="546">
        <f ca="1">IF(AND($D135="Serviço",AK$12&lt;&gt;0,$H135&gt;0,OR(AUTOEVENTO&lt;&gt;"manual",$M135&lt;&gt;1)),
IF(Import.TipoArredondamento&lt;&gt;"TransfereGOV",
ROUND(OFFSET($P135,0,AK$13),15-13*ORÇAMENTO!$AF$7)/$H135*OFFSET(ORÇAMENTO!$X$15,ROW(AK135)-ROW(AK$15),0),
ROUND(ROUND(OFFSET($P135,0,AK$13),15-13*ORÇAMENTO!$AF$7)*OFFSET(ORÇAMENTO!$W$15,ROW(AK135)-ROW(AK$15),0),15-13*ORÇAMENTO!$AF$11)),0)</f>
        <v>0</v>
      </c>
      <c r="AM135" s="181">
        <f ca="1">IF($D135&lt;&gt;"Serviço",0,IF(AND(AUTOEVENTO="Manual",$M135=1),0,IF(OFFSET(CRONOPLE!$F$14,$M135,AM$13)="",10^12,OFFSET(CRONOPLE!$F$14,$M135,AM$13))))</f>
        <v>1000000000000</v>
      </c>
      <c r="AN135" s="181">
        <f ca="1">IF($D135&lt;&gt;"Serviço",0,IF(AND(AUTOEVENTO="Manual",$M135=1),0,IF(OFFSET(CRONOPLE!$F$14,$M135,AN$13)="",10^12,OFFSET(CRONOPLE!$F$14,$M135,AN$13))))</f>
        <v>1000000000000</v>
      </c>
      <c r="AO135" s="181">
        <f ca="1">IF($D135&lt;&gt;"Serviço",0,IF(AND(AUTOEVENTO="Manual",$M135=1),0,IF(OFFSET(CRONOPLE!$F$14,$M135,AO$13)="",10^12,OFFSET(CRONOPLE!$F$14,$M135,AO$13))))</f>
        <v>1000000000000</v>
      </c>
      <c r="AP135" s="181">
        <f ca="1">IF($D135&lt;&gt;"Serviço",0,IF(AND(AUTOEVENTO="Manual",$M135=1),0,IF(OFFSET(CRONOPLE!$F$14,$M135,AP$13)="",10^12,OFFSET(CRONOPLE!$F$14,$M135,AP$13))))</f>
        <v>1000000000000</v>
      </c>
      <c r="AQ135" s="181">
        <f ca="1">IF($D135&lt;&gt;"Serviço",0,IF(AND(AUTOEVENTO="Manual",$M135=1),0,IF(OFFSET(CRONOPLE!$F$14,$M135,AQ$13)="",10^12,OFFSET(CRONOPLE!$F$14,$M135,AQ$13))))</f>
        <v>1000000000000</v>
      </c>
      <c r="AR135" s="181">
        <f ca="1">IF($D135&lt;&gt;"Serviço",0,IF(AND(AUTOEVENTO="Manual",$M135=1),0,IF(OFFSET(CRONOPLE!$F$14,$M135,AR$13)="",10^12,OFFSET(CRONOPLE!$F$14,$M135,AR$13))))</f>
        <v>1000000000000</v>
      </c>
      <c r="AS135" s="181">
        <f ca="1">IF($D135&lt;&gt;"Serviço",0,IF(AND(AUTOEVENTO="Manual",$M135=1),0,IF(OFFSET(CRONOPLE!$F$14,$M135,AS$13)="",10^12,OFFSET(CRONOPLE!$F$14,$M135,AS$13))))</f>
        <v>1000000000000</v>
      </c>
      <c r="AT135" s="181">
        <f ca="1">IF($D135&lt;&gt;"Serviço",0,IF(AND(AUTOEVENTO="Manual",$M135=1),0,IF(OFFSET(CRONOPLE!$F$14,$M135,AT$13)="",10^12,OFFSET(CRONOPLE!$F$14,$M135,AT$13))))</f>
        <v>1000000000000</v>
      </c>
      <c r="AU135" s="181">
        <f ca="1">IF($D135&lt;&gt;"Serviço",0,IF(AND(AUTOEVENTO="Manual",$M135=1),0,IF(OFFSET(CRONOPLE!$F$14,$M135,AU$13)="",10^12,OFFSET(CRONOPLE!$F$14,$M135,AU$13))))</f>
        <v>1000000000000</v>
      </c>
      <c r="AV135" s="181">
        <f ca="1">IF($D135&lt;&gt;"Serviço",0,IF(AND(AUTOEVENTO="Manual",$M135=1),0,IF(OFFSET(CRONOPLE!$F$14,$M135,AV$13)="",10^12,OFFSET(CRONOPLE!$F$14,$M135,AV$13))))</f>
        <v>1000000000000</v>
      </c>
      <c r="AX135" s="182">
        <f ca="1">IF($D135&lt;&gt;"Serviço",0,IF(OR(AND(AUTOEVENTO="Manual",$M135=1),$M135&gt;(ROW(PLE.lastrow)-ROW(PLE.firstrow))),0,IF(OFFSET(PLE!$G$14,$M135,AX$13)="",10^12,OFFSET(PLE!$G$14,$M135,AX$13))))</f>
        <v>1000000000000</v>
      </c>
      <c r="AY135" s="182">
        <f ca="1">IF($D135&lt;&gt;"Serviço",0,IF(OR(AND(AUTOEVENTO="Manual",$M135=1),$M135&gt;(ROW(PLE.lastrow)-ROW(PLE.firstrow))),0,IF(OFFSET(PLE!$G$14,$M135,AY$13)="",10^12,OFFSET(PLE!$G$14,$M135,AY$13))))</f>
        <v>1000000000000</v>
      </c>
      <c r="AZ135" s="182">
        <f ca="1">IF($D135&lt;&gt;"Serviço",0,IF(OR(AND(AUTOEVENTO="Manual",$M135=1),$M135&gt;(ROW(PLE.lastrow)-ROW(PLE.firstrow))),0,IF(OFFSET(PLE!$G$14,$M135,AZ$13)="",10^12,OFFSET(PLE!$G$14,$M135,AZ$13))))</f>
        <v>1000000000000</v>
      </c>
      <c r="BA135" s="182">
        <f ca="1">IF($D135&lt;&gt;"Serviço",0,IF(OR(AND(AUTOEVENTO="Manual",$M135=1),$M135&gt;(ROW(PLE.lastrow)-ROW(PLE.firstrow))),0,IF(OFFSET(PLE!$G$14,$M135,BA$13)="",10^12,OFFSET(PLE!$G$14,$M135,BA$13))))</f>
        <v>1000000000000</v>
      </c>
      <c r="BB135" s="182">
        <f ca="1">IF($D135&lt;&gt;"Serviço",0,IF(OR(AND(AUTOEVENTO="Manual",$M135=1),$M135&gt;(ROW(PLE.lastrow)-ROW(PLE.firstrow))),0,IF(OFFSET(PLE!$G$14,$M135,BB$13)="",10^12,OFFSET(PLE!$G$14,$M135,BB$13))))</f>
        <v>1000000000000</v>
      </c>
      <c r="BC135" s="182">
        <f ca="1">IF($D135&lt;&gt;"Serviço",0,IF(OR(AND(AUTOEVENTO="Manual",$M135=1),$M135&gt;(ROW(PLE.lastrow)-ROW(PLE.firstrow))),0,IF(OFFSET(PLE!$G$14,$M135,BC$13)="",10^12,OFFSET(PLE!$G$14,$M135,BC$13))))</f>
        <v>1000000000000</v>
      </c>
      <c r="BD135" s="182">
        <f ca="1">IF($D135&lt;&gt;"Serviço",0,IF(OR(AND(AUTOEVENTO="Manual",$M135=1),$M135&gt;(ROW(PLE.lastrow)-ROW(PLE.firstrow))),0,IF(OFFSET(PLE!$G$14,$M135,BD$13)="",10^12,OFFSET(PLE!$G$14,$M135,BD$13))))</f>
        <v>1000000000000</v>
      </c>
      <c r="BE135" s="182">
        <f ca="1">IF($D135&lt;&gt;"Serviço",0,IF(OR(AND(AUTOEVENTO="Manual",$M135=1),$M135&gt;(ROW(PLE.lastrow)-ROW(PLE.firstrow))),0,IF(OFFSET(PLE!$G$14,$M135,BE$13)="",10^12,OFFSET(PLE!$G$14,$M135,BE$13))))</f>
        <v>1000000000000</v>
      </c>
      <c r="BF135" s="182">
        <f ca="1">IF($D135&lt;&gt;"Serviço",0,IF(OR(AND(AUTOEVENTO="Manual",$M135=1),$M135&gt;(ROW(PLE.lastrow)-ROW(PLE.firstrow))),0,IF(OFFSET(PLE!$G$14,$M135,BF$13)="",10^12,OFFSET(PLE!$G$14,$M135,BF$13))))</f>
        <v>1000000000000</v>
      </c>
      <c r="BG135" s="182">
        <f ca="1">IF($D135&lt;&gt;"Serviço",0,IF(OR(AND(AUTOEVENTO="Manual",$M135=1),$M135&gt;(ROW(PLE.lastrow)-ROW(PLE.firstrow))),0,IF(OFFSET(PLE!$G$14,$M135,BG$13)="",10^12,OFFSET(PLE!$G$14,$M135,BG$13))))</f>
        <v>1000000000000</v>
      </c>
    </row>
    <row r="136" spans="1:59" ht="12.75" x14ac:dyDescent="0.2">
      <c r="A136" s="7" t="str">
        <f t="shared" ca="1" si="9"/>
        <v>108</v>
      </c>
      <c r="B136" s="7">
        <f ca="1">OFFSET(ORÇAMENTO!C$15,ROW(B136)-ROW(B$15),0)</f>
        <v>3</v>
      </c>
      <c r="C136" s="7" t="str">
        <f ca="1">OFFSET(ORÇAMENTO!L$15,ROW(C136)-ROW(C$15),0)</f>
        <v>F</v>
      </c>
      <c r="D136" s="118" t="str">
        <f ca="1">OFFSET(ORÇAMENTO!N$15,ROW(D136)-ROW(D$15),0)</f>
        <v>Nível 3</v>
      </c>
      <c r="E136" s="119" t="str">
        <f ca="1">OFFSET(ORÇAMENTO!O$15,ROW(E136)-ROW(E$15),0)</f>
        <v>1.6.3.</v>
      </c>
      <c r="F136" s="172" t="str">
        <f ca="1">OFFSET(ORÇAMENTO!R$15,ROW(F136)-ROW(F$15),0)</f>
        <v>PORTAS EM ALUMÍNIO</v>
      </c>
      <c r="G136" s="173" t="str">
        <f ca="1">IF($D136&lt;&gt;"Serviço","",OFFSET(ORÇAMENTO!S$15,ROW(G136)-ROW(G$15),0))</f>
        <v/>
      </c>
      <c r="H136" s="124">
        <f ca="1">IF($D136&lt;&gt;"Serviço",0,IF(ACOMPANHAMENTO="BM",ROUND(OFFSET(ORÇAMENTO!AJ$15,ROW(H136)-ROW(H$15),0),15-13*ORÇAMENTO!$AF$7),SUMPRODUCT(($Q$12:$AA$12&lt;&gt;"")*ROUND($Q136:$AA136,15-13*ORÇAMENTO!$AF$7))))</f>
        <v>0</v>
      </c>
      <c r="I136" s="561"/>
      <c r="K136" s="174"/>
      <c r="L136" s="175" t="s">
        <v>255</v>
      </c>
      <c r="M136" s="176" t="str">
        <f ca="1">IF($D136&lt;&gt;"Serviço","",IF(AUTOEVENTO="manual",$A136,IF(ISERROR(MATCH($A136,$A$15:OFFSET($A136,-1,0),0)),MAX($M$15:OFFSET(M136,-1,0))+1,INDEX($M$15:OFFSET(M136,-1,0),MATCH($A136,$A$15:OFFSET($A136,-1,0),0)))))</f>
        <v/>
      </c>
      <c r="N136" s="177" t="str">
        <f ca="1">IF($D136&lt;&gt;"Serviço","",IF(AUTOEVENTO="Manual",IF($A136=0,"&lt;-- defina o número do agrupador",OFFSET(EVENTOS!$D$14,$A136,0)),OFFSET($F$15,$A136,0)))</f>
        <v/>
      </c>
      <c r="O136" s="178"/>
      <c r="Q136" s="178"/>
      <c r="R136" s="179"/>
      <c r="S136" s="179"/>
      <c r="T136" s="179"/>
      <c r="U136" s="179"/>
      <c r="V136" s="179"/>
      <c r="W136" s="179"/>
      <c r="X136" s="179"/>
      <c r="Y136" s="179"/>
      <c r="Z136" s="180"/>
      <c r="AB136" s="544">
        <f ca="1">IF(AND($D136="Serviço",AB$12&lt;&gt;0,$H136&gt;0,OR(AUTOEVENTO&lt;&gt;"manual",$M136&lt;&gt;1)),
IF(Import.TipoArredondamento&lt;&gt;"TransfereGOV",
ROUND(OFFSET($P136,0,AB$13),15-13*ORÇAMENTO!$AF$7)/$H136*OFFSET(ORÇAMENTO!$X$15,ROW(AB136)-ROW(AB$15),0),
ROUND(ROUND(OFFSET($P136,0,AB$13),15-13*ORÇAMENTO!$AF$7)*OFFSET(ORÇAMENTO!$W$15,ROW(AB136)-ROW(AB$15),0),15-13*ORÇAMENTO!$AF$11)),0)</f>
        <v>0</v>
      </c>
      <c r="AC136" s="545">
        <f ca="1">IF(AND($D136="Serviço",AC$12&lt;&gt;0,$H136&gt;0,OR(AUTOEVENTO&lt;&gt;"manual",$M136&lt;&gt;1)),
IF(Import.TipoArredondamento&lt;&gt;"TransfereGOV",
ROUND(OFFSET($P136,0,AC$13),15-13*ORÇAMENTO!$AF$7)/$H136*OFFSET(ORÇAMENTO!$X$15,ROW(AC136)-ROW(AC$15),0),
ROUND(ROUND(OFFSET($P136,0,AC$13),15-13*ORÇAMENTO!$AF$7)*OFFSET(ORÇAMENTO!$W$15,ROW(AC136)-ROW(AC$15),0),15-13*ORÇAMENTO!$AF$11)),0)</f>
        <v>0</v>
      </c>
      <c r="AD136" s="545">
        <f ca="1">IF(AND($D136="Serviço",AD$12&lt;&gt;0,$H136&gt;0,OR(AUTOEVENTO&lt;&gt;"manual",$M136&lt;&gt;1)),
IF(Import.TipoArredondamento&lt;&gt;"TransfereGOV",
ROUND(OFFSET($P136,0,AD$13),15-13*ORÇAMENTO!$AF$7)/$H136*OFFSET(ORÇAMENTO!$X$15,ROW(AD136)-ROW(AD$15),0),
ROUND(ROUND(OFFSET($P136,0,AD$13),15-13*ORÇAMENTO!$AF$7)*OFFSET(ORÇAMENTO!$W$15,ROW(AD136)-ROW(AD$15),0),15-13*ORÇAMENTO!$AF$11)),0)</f>
        <v>0</v>
      </c>
      <c r="AE136" s="545">
        <f ca="1">IF(AND($D136="Serviço",AE$12&lt;&gt;0,$H136&gt;0,OR(AUTOEVENTO&lt;&gt;"manual",$M136&lt;&gt;1)),
IF(Import.TipoArredondamento&lt;&gt;"TransfereGOV",
ROUND(OFFSET($P136,0,AE$13),15-13*ORÇAMENTO!$AF$7)/$H136*OFFSET(ORÇAMENTO!$X$15,ROW(AE136)-ROW(AE$15),0),
ROUND(ROUND(OFFSET($P136,0,AE$13),15-13*ORÇAMENTO!$AF$7)*OFFSET(ORÇAMENTO!$W$15,ROW(AE136)-ROW(AE$15),0),15-13*ORÇAMENTO!$AF$11)),0)</f>
        <v>0</v>
      </c>
      <c r="AF136" s="545">
        <f ca="1">IF(AND($D136="Serviço",AF$12&lt;&gt;0,$H136&gt;0,OR(AUTOEVENTO&lt;&gt;"manual",$M136&lt;&gt;1)),
IF(Import.TipoArredondamento&lt;&gt;"TransfereGOV",
ROUND(OFFSET($P136,0,AF$13),15-13*ORÇAMENTO!$AF$7)/$H136*OFFSET(ORÇAMENTO!$X$15,ROW(AF136)-ROW(AF$15),0),
ROUND(ROUND(OFFSET($P136,0,AF$13),15-13*ORÇAMENTO!$AF$7)*OFFSET(ORÇAMENTO!$W$15,ROW(AF136)-ROW(AF$15),0),15-13*ORÇAMENTO!$AF$11)),0)</f>
        <v>0</v>
      </c>
      <c r="AG136" s="545">
        <f ca="1">IF(AND($D136="Serviço",AG$12&lt;&gt;0,$H136&gt;0,OR(AUTOEVENTO&lt;&gt;"manual",$M136&lt;&gt;1)),
IF(Import.TipoArredondamento&lt;&gt;"TransfereGOV",
ROUND(OFFSET($P136,0,AG$13),15-13*ORÇAMENTO!$AF$7)/$H136*OFFSET(ORÇAMENTO!$X$15,ROW(AG136)-ROW(AG$15),0),
ROUND(ROUND(OFFSET($P136,0,AG$13),15-13*ORÇAMENTO!$AF$7)*OFFSET(ORÇAMENTO!$W$15,ROW(AG136)-ROW(AG$15),0),15-13*ORÇAMENTO!$AF$11)),0)</f>
        <v>0</v>
      </c>
      <c r="AH136" s="545">
        <f ca="1">IF(AND($D136="Serviço",AH$12&lt;&gt;0,$H136&gt;0,OR(AUTOEVENTO&lt;&gt;"manual",$M136&lt;&gt;1)),
IF(Import.TipoArredondamento&lt;&gt;"TransfereGOV",
ROUND(OFFSET($P136,0,AH$13),15-13*ORÇAMENTO!$AF$7)/$H136*OFFSET(ORÇAMENTO!$X$15,ROW(AH136)-ROW(AH$15),0),
ROUND(ROUND(OFFSET($P136,0,AH$13),15-13*ORÇAMENTO!$AF$7)*OFFSET(ORÇAMENTO!$W$15,ROW(AH136)-ROW(AH$15),0),15-13*ORÇAMENTO!$AF$11)),0)</f>
        <v>0</v>
      </c>
      <c r="AI136" s="545">
        <f ca="1">IF(AND($D136="Serviço",AI$12&lt;&gt;0,$H136&gt;0,OR(AUTOEVENTO&lt;&gt;"manual",$M136&lt;&gt;1)),
IF(Import.TipoArredondamento&lt;&gt;"TransfereGOV",
ROUND(OFFSET($P136,0,AI$13),15-13*ORÇAMENTO!$AF$7)/$H136*OFFSET(ORÇAMENTO!$X$15,ROW(AI136)-ROW(AI$15),0),
ROUND(ROUND(OFFSET($P136,0,AI$13),15-13*ORÇAMENTO!$AF$7)*OFFSET(ORÇAMENTO!$W$15,ROW(AI136)-ROW(AI$15),0),15-13*ORÇAMENTO!$AF$11)),0)</f>
        <v>0</v>
      </c>
      <c r="AJ136" s="545">
        <f ca="1">IF(AND($D136="Serviço",AJ$12&lt;&gt;0,$H136&gt;0,OR(AUTOEVENTO&lt;&gt;"manual",$M136&lt;&gt;1)),
IF(Import.TipoArredondamento&lt;&gt;"TransfereGOV",
ROUND(OFFSET($P136,0,AJ$13),15-13*ORÇAMENTO!$AF$7)/$H136*OFFSET(ORÇAMENTO!$X$15,ROW(AJ136)-ROW(AJ$15),0),
ROUND(ROUND(OFFSET($P136,0,AJ$13),15-13*ORÇAMENTO!$AF$7)*OFFSET(ORÇAMENTO!$W$15,ROW(AJ136)-ROW(AJ$15),0),15-13*ORÇAMENTO!$AF$11)),0)</f>
        <v>0</v>
      </c>
      <c r="AK136" s="546">
        <f ca="1">IF(AND($D136="Serviço",AK$12&lt;&gt;0,$H136&gt;0,OR(AUTOEVENTO&lt;&gt;"manual",$M136&lt;&gt;1)),
IF(Import.TipoArredondamento&lt;&gt;"TransfereGOV",
ROUND(OFFSET($P136,0,AK$13),15-13*ORÇAMENTO!$AF$7)/$H136*OFFSET(ORÇAMENTO!$X$15,ROW(AK136)-ROW(AK$15),0),
ROUND(ROUND(OFFSET($P136,0,AK$13),15-13*ORÇAMENTO!$AF$7)*OFFSET(ORÇAMENTO!$W$15,ROW(AK136)-ROW(AK$15),0),15-13*ORÇAMENTO!$AF$11)),0)</f>
        <v>0</v>
      </c>
      <c r="AM136" s="181">
        <f ca="1">IF($D136&lt;&gt;"Serviço",0,IF(AND(AUTOEVENTO="Manual",$M136=1),0,IF(OFFSET(CRONOPLE!$F$14,$M136,AM$13)="",10^12,OFFSET(CRONOPLE!$F$14,$M136,AM$13))))</f>
        <v>0</v>
      </c>
      <c r="AN136" s="181">
        <f ca="1">IF($D136&lt;&gt;"Serviço",0,IF(AND(AUTOEVENTO="Manual",$M136=1),0,IF(OFFSET(CRONOPLE!$F$14,$M136,AN$13)="",10^12,OFFSET(CRONOPLE!$F$14,$M136,AN$13))))</f>
        <v>0</v>
      </c>
      <c r="AO136" s="181">
        <f ca="1">IF($D136&lt;&gt;"Serviço",0,IF(AND(AUTOEVENTO="Manual",$M136=1),0,IF(OFFSET(CRONOPLE!$F$14,$M136,AO$13)="",10^12,OFFSET(CRONOPLE!$F$14,$M136,AO$13))))</f>
        <v>0</v>
      </c>
      <c r="AP136" s="181">
        <f ca="1">IF($D136&lt;&gt;"Serviço",0,IF(AND(AUTOEVENTO="Manual",$M136=1),0,IF(OFFSET(CRONOPLE!$F$14,$M136,AP$13)="",10^12,OFFSET(CRONOPLE!$F$14,$M136,AP$13))))</f>
        <v>0</v>
      </c>
      <c r="AQ136" s="181">
        <f ca="1">IF($D136&lt;&gt;"Serviço",0,IF(AND(AUTOEVENTO="Manual",$M136=1),0,IF(OFFSET(CRONOPLE!$F$14,$M136,AQ$13)="",10^12,OFFSET(CRONOPLE!$F$14,$M136,AQ$13))))</f>
        <v>0</v>
      </c>
      <c r="AR136" s="181">
        <f ca="1">IF($D136&lt;&gt;"Serviço",0,IF(AND(AUTOEVENTO="Manual",$M136=1),0,IF(OFFSET(CRONOPLE!$F$14,$M136,AR$13)="",10^12,OFFSET(CRONOPLE!$F$14,$M136,AR$13))))</f>
        <v>0</v>
      </c>
      <c r="AS136" s="181">
        <f ca="1">IF($D136&lt;&gt;"Serviço",0,IF(AND(AUTOEVENTO="Manual",$M136=1),0,IF(OFFSET(CRONOPLE!$F$14,$M136,AS$13)="",10^12,OFFSET(CRONOPLE!$F$14,$M136,AS$13))))</f>
        <v>0</v>
      </c>
      <c r="AT136" s="181">
        <f ca="1">IF($D136&lt;&gt;"Serviço",0,IF(AND(AUTOEVENTO="Manual",$M136=1),0,IF(OFFSET(CRONOPLE!$F$14,$M136,AT$13)="",10^12,OFFSET(CRONOPLE!$F$14,$M136,AT$13))))</f>
        <v>0</v>
      </c>
      <c r="AU136" s="181">
        <f ca="1">IF($D136&lt;&gt;"Serviço",0,IF(AND(AUTOEVENTO="Manual",$M136=1),0,IF(OFFSET(CRONOPLE!$F$14,$M136,AU$13)="",10^12,OFFSET(CRONOPLE!$F$14,$M136,AU$13))))</f>
        <v>0</v>
      </c>
      <c r="AV136" s="181">
        <f ca="1">IF($D136&lt;&gt;"Serviço",0,IF(AND(AUTOEVENTO="Manual",$M136=1),0,IF(OFFSET(CRONOPLE!$F$14,$M136,AV$13)="",10^12,OFFSET(CRONOPLE!$F$14,$M136,AV$13))))</f>
        <v>0</v>
      </c>
      <c r="AX136" s="182">
        <f ca="1">IF($D136&lt;&gt;"Serviço",0,IF(OR(AND(AUTOEVENTO="Manual",$M136=1),$M136&gt;(ROW(PLE.lastrow)-ROW(PLE.firstrow))),0,IF(OFFSET(PLE!$G$14,$M136,AX$13)="",10^12,OFFSET(PLE!$G$14,$M136,AX$13))))</f>
        <v>0</v>
      </c>
      <c r="AY136" s="182">
        <f ca="1">IF($D136&lt;&gt;"Serviço",0,IF(OR(AND(AUTOEVENTO="Manual",$M136=1),$M136&gt;(ROW(PLE.lastrow)-ROW(PLE.firstrow))),0,IF(OFFSET(PLE!$G$14,$M136,AY$13)="",10^12,OFFSET(PLE!$G$14,$M136,AY$13))))</f>
        <v>0</v>
      </c>
      <c r="AZ136" s="182">
        <f ca="1">IF($D136&lt;&gt;"Serviço",0,IF(OR(AND(AUTOEVENTO="Manual",$M136=1),$M136&gt;(ROW(PLE.lastrow)-ROW(PLE.firstrow))),0,IF(OFFSET(PLE!$G$14,$M136,AZ$13)="",10^12,OFFSET(PLE!$G$14,$M136,AZ$13))))</f>
        <v>0</v>
      </c>
      <c r="BA136" s="182">
        <f ca="1">IF($D136&lt;&gt;"Serviço",0,IF(OR(AND(AUTOEVENTO="Manual",$M136=1),$M136&gt;(ROW(PLE.lastrow)-ROW(PLE.firstrow))),0,IF(OFFSET(PLE!$G$14,$M136,BA$13)="",10^12,OFFSET(PLE!$G$14,$M136,BA$13))))</f>
        <v>0</v>
      </c>
      <c r="BB136" s="182">
        <f ca="1">IF($D136&lt;&gt;"Serviço",0,IF(OR(AND(AUTOEVENTO="Manual",$M136=1),$M136&gt;(ROW(PLE.lastrow)-ROW(PLE.firstrow))),0,IF(OFFSET(PLE!$G$14,$M136,BB$13)="",10^12,OFFSET(PLE!$G$14,$M136,BB$13))))</f>
        <v>0</v>
      </c>
      <c r="BC136" s="182">
        <f ca="1">IF($D136&lt;&gt;"Serviço",0,IF(OR(AND(AUTOEVENTO="Manual",$M136=1),$M136&gt;(ROW(PLE.lastrow)-ROW(PLE.firstrow))),0,IF(OFFSET(PLE!$G$14,$M136,BC$13)="",10^12,OFFSET(PLE!$G$14,$M136,BC$13))))</f>
        <v>0</v>
      </c>
      <c r="BD136" s="182">
        <f ca="1">IF($D136&lt;&gt;"Serviço",0,IF(OR(AND(AUTOEVENTO="Manual",$M136=1),$M136&gt;(ROW(PLE.lastrow)-ROW(PLE.firstrow))),0,IF(OFFSET(PLE!$G$14,$M136,BD$13)="",10^12,OFFSET(PLE!$G$14,$M136,BD$13))))</f>
        <v>0</v>
      </c>
      <c r="BE136" s="182">
        <f ca="1">IF($D136&lt;&gt;"Serviço",0,IF(OR(AND(AUTOEVENTO="Manual",$M136=1),$M136&gt;(ROW(PLE.lastrow)-ROW(PLE.firstrow))),0,IF(OFFSET(PLE!$G$14,$M136,BE$13)="",10^12,OFFSET(PLE!$G$14,$M136,BE$13))))</f>
        <v>0</v>
      </c>
      <c r="BF136" s="182">
        <f ca="1">IF($D136&lt;&gt;"Serviço",0,IF(OR(AND(AUTOEVENTO="Manual",$M136=1),$M136&gt;(ROW(PLE.lastrow)-ROW(PLE.firstrow))),0,IF(OFFSET(PLE!$G$14,$M136,BF$13)="",10^12,OFFSET(PLE!$G$14,$M136,BF$13))))</f>
        <v>0</v>
      </c>
      <c r="BG136" s="182">
        <f ca="1">IF($D136&lt;&gt;"Serviço",0,IF(OR(AND(AUTOEVENTO="Manual",$M136=1),$M136&gt;(ROW(PLE.lastrow)-ROW(PLE.firstrow))),0,IF(OFFSET(PLE!$G$14,$M136,BG$13)="",10^12,OFFSET(PLE!$G$14,$M136,BG$13))))</f>
        <v>0</v>
      </c>
    </row>
    <row r="137" spans="1:59" ht="38.25" x14ac:dyDescent="0.2">
      <c r="A137" s="7" t="str">
        <f t="shared" ca="1" si="9"/>
        <v>108</v>
      </c>
      <c r="B137" s="7" t="str">
        <f ca="1">OFFSET(ORÇAMENTO!C$15,ROW(B137)-ROW(B$15),0)</f>
        <v>S</v>
      </c>
      <c r="C137" s="7" t="str">
        <f ca="1">OFFSET(ORÇAMENTO!L$15,ROW(C137)-ROW(C$15),0)</f>
        <v/>
      </c>
      <c r="D137" s="118" t="str">
        <f ca="1">OFFSET(ORÇAMENTO!N$15,ROW(D137)-ROW(D$15),0)</f>
        <v>Serviço</v>
      </c>
      <c r="E137" s="119" t="str">
        <f ca="1">OFFSET(ORÇAMENTO!O$15,ROW(E137)-ROW(E$15),0)</f>
        <v>-</v>
      </c>
      <c r="F137" s="172" t="str">
        <f ca="1">OFFSET(ORÇAMENTO!R$15,ROW(F137)-ROW(F$15),0)</f>
        <v>(abra o arquivo 'Referência 02-2025.xlsm)</v>
      </c>
      <c r="G137" s="173" t="str">
        <f ca="1">IF($D137&lt;&gt;"Serviço","",OFFSET(ORÇAMENTO!S$15,ROW(G137)-ROW(G$15),0))</f>
        <v>-</v>
      </c>
      <c r="H137" s="124">
        <f ca="1">IF($D137&lt;&gt;"Serviço",0,IF(ACOMPANHAMENTO="BM",ROUND(OFFSET(ORÇAMENTO!AJ$15,ROW(H137)-ROW(H$15),0),15-13*ORÇAMENTO!$AF$7),SUMPRODUCT(($Q$12:$AA$12&lt;&gt;"")*ROUND($Q137:$AA137,15-13*ORÇAMENTO!$AF$7))))</f>
        <v>1</v>
      </c>
      <c r="I137" s="561" t="s">
        <v>890</v>
      </c>
      <c r="K137" s="174"/>
      <c r="L137" s="175" t="s">
        <v>255</v>
      </c>
      <c r="M137" s="176">
        <f ca="1">IF($D137&lt;&gt;"Serviço","",IF(AUTOEVENTO="manual",$A137,IF(ISERROR(MATCH($A137,$A$15:OFFSET($A137,-1,0),0)),MAX($M$15:OFFSET(M137,-1,0))+1,INDEX($M$15:OFFSET(M137,-1,0),MATCH($A137,$A$15:OFFSET($A137,-1,0),0)))))</f>
        <v>7</v>
      </c>
      <c r="N137" s="177" t="str">
        <f ca="1">IF($D137&lt;&gt;"Serviço","",IF(AUTOEVENTO="Manual",IF($A137=0,"&lt;-- defina o número do agrupador",OFFSET(EVENTOS!$D$14,$A137,0)),OFFSET($F$15,$A137,0)))</f>
        <v>ESQUADRIAS</v>
      </c>
      <c r="O137" s="178"/>
      <c r="Q137" s="178"/>
      <c r="R137" s="179"/>
      <c r="S137" s="179"/>
      <c r="T137" s="179"/>
      <c r="U137" s="179"/>
      <c r="V137" s="179"/>
      <c r="W137" s="179"/>
      <c r="X137" s="179"/>
      <c r="Y137" s="179"/>
      <c r="Z137" s="180"/>
      <c r="AB137" s="544">
        <f ca="1">IF(AND($D137="Serviço",AB$12&lt;&gt;0,$H137&gt;0,OR(AUTOEVENTO&lt;&gt;"manual",$M137&lt;&gt;1)),
IF(Import.TipoArredondamento&lt;&gt;"TransfereGOV",
ROUND(OFFSET($P137,0,AB$13),15-13*ORÇAMENTO!$AF$7)/$H137*OFFSET(ORÇAMENTO!$X$15,ROW(AB137)-ROW(AB$15),0),
ROUND(ROUND(OFFSET($P137,0,AB$13),15-13*ORÇAMENTO!$AF$7)*OFFSET(ORÇAMENTO!$W$15,ROW(AB137)-ROW(AB$15),0),15-13*ORÇAMENTO!$AF$11)),0)</f>
        <v>0</v>
      </c>
      <c r="AC137" s="545">
        <f ca="1">IF(AND($D137="Serviço",AC$12&lt;&gt;0,$H137&gt;0,OR(AUTOEVENTO&lt;&gt;"manual",$M137&lt;&gt;1)),
IF(Import.TipoArredondamento&lt;&gt;"TransfereGOV",
ROUND(OFFSET($P137,0,AC$13),15-13*ORÇAMENTO!$AF$7)/$H137*OFFSET(ORÇAMENTO!$X$15,ROW(AC137)-ROW(AC$15),0),
ROUND(ROUND(OFFSET($P137,0,AC$13),15-13*ORÇAMENTO!$AF$7)*OFFSET(ORÇAMENTO!$W$15,ROW(AC137)-ROW(AC$15),0),15-13*ORÇAMENTO!$AF$11)),0)</f>
        <v>0</v>
      </c>
      <c r="AD137" s="545">
        <f ca="1">IF(AND($D137="Serviço",AD$12&lt;&gt;0,$H137&gt;0,OR(AUTOEVENTO&lt;&gt;"manual",$M137&lt;&gt;1)),
IF(Import.TipoArredondamento&lt;&gt;"TransfereGOV",
ROUND(OFFSET($P137,0,AD$13),15-13*ORÇAMENTO!$AF$7)/$H137*OFFSET(ORÇAMENTO!$X$15,ROW(AD137)-ROW(AD$15),0),
ROUND(ROUND(OFFSET($P137,0,AD$13),15-13*ORÇAMENTO!$AF$7)*OFFSET(ORÇAMENTO!$W$15,ROW(AD137)-ROW(AD$15),0),15-13*ORÇAMENTO!$AF$11)),0)</f>
        <v>0</v>
      </c>
      <c r="AE137" s="545">
        <f ca="1">IF(AND($D137="Serviço",AE$12&lt;&gt;0,$H137&gt;0,OR(AUTOEVENTO&lt;&gt;"manual",$M137&lt;&gt;1)),
IF(Import.TipoArredondamento&lt;&gt;"TransfereGOV",
ROUND(OFFSET($P137,0,AE$13),15-13*ORÇAMENTO!$AF$7)/$H137*OFFSET(ORÇAMENTO!$X$15,ROW(AE137)-ROW(AE$15),0),
ROUND(ROUND(OFFSET($P137,0,AE$13),15-13*ORÇAMENTO!$AF$7)*OFFSET(ORÇAMENTO!$W$15,ROW(AE137)-ROW(AE$15),0),15-13*ORÇAMENTO!$AF$11)),0)</f>
        <v>0</v>
      </c>
      <c r="AF137" s="545">
        <f ca="1">IF(AND($D137="Serviço",AF$12&lt;&gt;0,$H137&gt;0,OR(AUTOEVENTO&lt;&gt;"manual",$M137&lt;&gt;1)),
IF(Import.TipoArredondamento&lt;&gt;"TransfereGOV",
ROUND(OFFSET($P137,0,AF$13),15-13*ORÇAMENTO!$AF$7)/$H137*OFFSET(ORÇAMENTO!$X$15,ROW(AF137)-ROW(AF$15),0),
ROUND(ROUND(OFFSET($P137,0,AF$13),15-13*ORÇAMENTO!$AF$7)*OFFSET(ORÇAMENTO!$W$15,ROW(AF137)-ROW(AF$15),0),15-13*ORÇAMENTO!$AF$11)),0)</f>
        <v>0</v>
      </c>
      <c r="AG137" s="545">
        <f ca="1">IF(AND($D137="Serviço",AG$12&lt;&gt;0,$H137&gt;0,OR(AUTOEVENTO&lt;&gt;"manual",$M137&lt;&gt;1)),
IF(Import.TipoArredondamento&lt;&gt;"TransfereGOV",
ROUND(OFFSET($P137,0,AG$13),15-13*ORÇAMENTO!$AF$7)/$H137*OFFSET(ORÇAMENTO!$X$15,ROW(AG137)-ROW(AG$15),0),
ROUND(ROUND(OFFSET($P137,0,AG$13),15-13*ORÇAMENTO!$AF$7)*OFFSET(ORÇAMENTO!$W$15,ROW(AG137)-ROW(AG$15),0),15-13*ORÇAMENTO!$AF$11)),0)</f>
        <v>0</v>
      </c>
      <c r="AH137" s="545">
        <f ca="1">IF(AND($D137="Serviço",AH$12&lt;&gt;0,$H137&gt;0,OR(AUTOEVENTO&lt;&gt;"manual",$M137&lt;&gt;1)),
IF(Import.TipoArredondamento&lt;&gt;"TransfereGOV",
ROUND(OFFSET($P137,0,AH$13),15-13*ORÇAMENTO!$AF$7)/$H137*OFFSET(ORÇAMENTO!$X$15,ROW(AH137)-ROW(AH$15),0),
ROUND(ROUND(OFFSET($P137,0,AH$13),15-13*ORÇAMENTO!$AF$7)*OFFSET(ORÇAMENTO!$W$15,ROW(AH137)-ROW(AH$15),0),15-13*ORÇAMENTO!$AF$11)),0)</f>
        <v>0</v>
      </c>
      <c r="AI137" s="545">
        <f ca="1">IF(AND($D137="Serviço",AI$12&lt;&gt;0,$H137&gt;0,OR(AUTOEVENTO&lt;&gt;"manual",$M137&lt;&gt;1)),
IF(Import.TipoArredondamento&lt;&gt;"TransfereGOV",
ROUND(OFFSET($P137,0,AI$13),15-13*ORÇAMENTO!$AF$7)/$H137*OFFSET(ORÇAMENTO!$X$15,ROW(AI137)-ROW(AI$15),0),
ROUND(ROUND(OFFSET($P137,0,AI$13),15-13*ORÇAMENTO!$AF$7)*OFFSET(ORÇAMENTO!$W$15,ROW(AI137)-ROW(AI$15),0),15-13*ORÇAMENTO!$AF$11)),0)</f>
        <v>0</v>
      </c>
      <c r="AJ137" s="545">
        <f ca="1">IF(AND($D137="Serviço",AJ$12&lt;&gt;0,$H137&gt;0,OR(AUTOEVENTO&lt;&gt;"manual",$M137&lt;&gt;1)),
IF(Import.TipoArredondamento&lt;&gt;"TransfereGOV",
ROUND(OFFSET($P137,0,AJ$13),15-13*ORÇAMENTO!$AF$7)/$H137*OFFSET(ORÇAMENTO!$X$15,ROW(AJ137)-ROW(AJ$15),0),
ROUND(ROUND(OFFSET($P137,0,AJ$13),15-13*ORÇAMENTO!$AF$7)*OFFSET(ORÇAMENTO!$W$15,ROW(AJ137)-ROW(AJ$15),0),15-13*ORÇAMENTO!$AF$11)),0)</f>
        <v>0</v>
      </c>
      <c r="AK137" s="546">
        <f ca="1">IF(AND($D137="Serviço",AK$12&lt;&gt;0,$H137&gt;0,OR(AUTOEVENTO&lt;&gt;"manual",$M137&lt;&gt;1)),
IF(Import.TipoArredondamento&lt;&gt;"TransfereGOV",
ROUND(OFFSET($P137,0,AK$13),15-13*ORÇAMENTO!$AF$7)/$H137*OFFSET(ORÇAMENTO!$X$15,ROW(AK137)-ROW(AK$15),0),
ROUND(ROUND(OFFSET($P137,0,AK$13),15-13*ORÇAMENTO!$AF$7)*OFFSET(ORÇAMENTO!$W$15,ROW(AK137)-ROW(AK$15),0),15-13*ORÇAMENTO!$AF$11)),0)</f>
        <v>0</v>
      </c>
      <c r="AM137" s="181">
        <f ca="1">IF($D137&lt;&gt;"Serviço",0,IF(AND(AUTOEVENTO="Manual",$M137=1),0,IF(OFFSET(CRONOPLE!$F$14,$M137,AM$13)="",10^12,OFFSET(CRONOPLE!$F$14,$M137,AM$13))))</f>
        <v>1000000000000</v>
      </c>
      <c r="AN137" s="181">
        <f ca="1">IF($D137&lt;&gt;"Serviço",0,IF(AND(AUTOEVENTO="Manual",$M137=1),0,IF(OFFSET(CRONOPLE!$F$14,$M137,AN$13)="",10^12,OFFSET(CRONOPLE!$F$14,$M137,AN$13))))</f>
        <v>1000000000000</v>
      </c>
      <c r="AO137" s="181">
        <f ca="1">IF($D137&lt;&gt;"Serviço",0,IF(AND(AUTOEVENTO="Manual",$M137=1),0,IF(OFFSET(CRONOPLE!$F$14,$M137,AO$13)="",10^12,OFFSET(CRONOPLE!$F$14,$M137,AO$13))))</f>
        <v>1000000000000</v>
      </c>
      <c r="AP137" s="181">
        <f ca="1">IF($D137&lt;&gt;"Serviço",0,IF(AND(AUTOEVENTO="Manual",$M137=1),0,IF(OFFSET(CRONOPLE!$F$14,$M137,AP$13)="",10^12,OFFSET(CRONOPLE!$F$14,$M137,AP$13))))</f>
        <v>1000000000000</v>
      </c>
      <c r="AQ137" s="181">
        <f ca="1">IF($D137&lt;&gt;"Serviço",0,IF(AND(AUTOEVENTO="Manual",$M137=1),0,IF(OFFSET(CRONOPLE!$F$14,$M137,AQ$13)="",10^12,OFFSET(CRONOPLE!$F$14,$M137,AQ$13))))</f>
        <v>1000000000000</v>
      </c>
      <c r="AR137" s="181">
        <f ca="1">IF($D137&lt;&gt;"Serviço",0,IF(AND(AUTOEVENTO="Manual",$M137=1),0,IF(OFFSET(CRONOPLE!$F$14,$M137,AR$13)="",10^12,OFFSET(CRONOPLE!$F$14,$M137,AR$13))))</f>
        <v>1000000000000</v>
      </c>
      <c r="AS137" s="181">
        <f ca="1">IF($D137&lt;&gt;"Serviço",0,IF(AND(AUTOEVENTO="Manual",$M137=1),0,IF(OFFSET(CRONOPLE!$F$14,$M137,AS$13)="",10^12,OFFSET(CRONOPLE!$F$14,$M137,AS$13))))</f>
        <v>1000000000000</v>
      </c>
      <c r="AT137" s="181">
        <f ca="1">IF($D137&lt;&gt;"Serviço",0,IF(AND(AUTOEVENTO="Manual",$M137=1),0,IF(OFFSET(CRONOPLE!$F$14,$M137,AT$13)="",10^12,OFFSET(CRONOPLE!$F$14,$M137,AT$13))))</f>
        <v>1000000000000</v>
      </c>
      <c r="AU137" s="181">
        <f ca="1">IF($D137&lt;&gt;"Serviço",0,IF(AND(AUTOEVENTO="Manual",$M137=1),0,IF(OFFSET(CRONOPLE!$F$14,$M137,AU$13)="",10^12,OFFSET(CRONOPLE!$F$14,$M137,AU$13))))</f>
        <v>1000000000000</v>
      </c>
      <c r="AV137" s="181">
        <f ca="1">IF($D137&lt;&gt;"Serviço",0,IF(AND(AUTOEVENTO="Manual",$M137=1),0,IF(OFFSET(CRONOPLE!$F$14,$M137,AV$13)="",10^12,OFFSET(CRONOPLE!$F$14,$M137,AV$13))))</f>
        <v>1000000000000</v>
      </c>
      <c r="AX137" s="182">
        <f ca="1">IF($D137&lt;&gt;"Serviço",0,IF(OR(AND(AUTOEVENTO="Manual",$M137=1),$M137&gt;(ROW(PLE.lastrow)-ROW(PLE.firstrow))),0,IF(OFFSET(PLE!$G$14,$M137,AX$13)="",10^12,OFFSET(PLE!$G$14,$M137,AX$13))))</f>
        <v>1000000000000</v>
      </c>
      <c r="AY137" s="182">
        <f ca="1">IF($D137&lt;&gt;"Serviço",0,IF(OR(AND(AUTOEVENTO="Manual",$M137=1),$M137&gt;(ROW(PLE.lastrow)-ROW(PLE.firstrow))),0,IF(OFFSET(PLE!$G$14,$M137,AY$13)="",10^12,OFFSET(PLE!$G$14,$M137,AY$13))))</f>
        <v>1000000000000</v>
      </c>
      <c r="AZ137" s="182">
        <f ca="1">IF($D137&lt;&gt;"Serviço",0,IF(OR(AND(AUTOEVENTO="Manual",$M137=1),$M137&gt;(ROW(PLE.lastrow)-ROW(PLE.firstrow))),0,IF(OFFSET(PLE!$G$14,$M137,AZ$13)="",10^12,OFFSET(PLE!$G$14,$M137,AZ$13))))</f>
        <v>1000000000000</v>
      </c>
      <c r="BA137" s="182">
        <f ca="1">IF($D137&lt;&gt;"Serviço",0,IF(OR(AND(AUTOEVENTO="Manual",$M137=1),$M137&gt;(ROW(PLE.lastrow)-ROW(PLE.firstrow))),0,IF(OFFSET(PLE!$G$14,$M137,BA$13)="",10^12,OFFSET(PLE!$G$14,$M137,BA$13))))</f>
        <v>1000000000000</v>
      </c>
      <c r="BB137" s="182">
        <f ca="1">IF($D137&lt;&gt;"Serviço",0,IF(OR(AND(AUTOEVENTO="Manual",$M137=1),$M137&gt;(ROW(PLE.lastrow)-ROW(PLE.firstrow))),0,IF(OFFSET(PLE!$G$14,$M137,BB$13)="",10^12,OFFSET(PLE!$G$14,$M137,BB$13))))</f>
        <v>1000000000000</v>
      </c>
      <c r="BC137" s="182">
        <f ca="1">IF($D137&lt;&gt;"Serviço",0,IF(OR(AND(AUTOEVENTO="Manual",$M137=1),$M137&gt;(ROW(PLE.lastrow)-ROW(PLE.firstrow))),0,IF(OFFSET(PLE!$G$14,$M137,BC$13)="",10^12,OFFSET(PLE!$G$14,$M137,BC$13))))</f>
        <v>1000000000000</v>
      </c>
      <c r="BD137" s="182">
        <f ca="1">IF($D137&lt;&gt;"Serviço",0,IF(OR(AND(AUTOEVENTO="Manual",$M137=1),$M137&gt;(ROW(PLE.lastrow)-ROW(PLE.firstrow))),0,IF(OFFSET(PLE!$G$14,$M137,BD$13)="",10^12,OFFSET(PLE!$G$14,$M137,BD$13))))</f>
        <v>1000000000000</v>
      </c>
      <c r="BE137" s="182">
        <f ca="1">IF($D137&lt;&gt;"Serviço",0,IF(OR(AND(AUTOEVENTO="Manual",$M137=1),$M137&gt;(ROW(PLE.lastrow)-ROW(PLE.firstrow))),0,IF(OFFSET(PLE!$G$14,$M137,BE$13)="",10^12,OFFSET(PLE!$G$14,$M137,BE$13))))</f>
        <v>1000000000000</v>
      </c>
      <c r="BF137" s="182">
        <f ca="1">IF($D137&lt;&gt;"Serviço",0,IF(OR(AND(AUTOEVENTO="Manual",$M137=1),$M137&gt;(ROW(PLE.lastrow)-ROW(PLE.firstrow))),0,IF(OFFSET(PLE!$G$14,$M137,BF$13)="",10^12,OFFSET(PLE!$G$14,$M137,BF$13))))</f>
        <v>1000000000000</v>
      </c>
      <c r="BG137" s="182">
        <f ca="1">IF($D137&lt;&gt;"Serviço",0,IF(OR(AND(AUTOEVENTO="Manual",$M137=1),$M137&gt;(ROW(PLE.lastrow)-ROW(PLE.firstrow))),0,IF(OFFSET(PLE!$G$14,$M137,BG$13)="",10^12,OFFSET(PLE!$G$14,$M137,BG$13))))</f>
        <v>1000000000000</v>
      </c>
    </row>
    <row r="138" spans="1:59" ht="51" x14ac:dyDescent="0.2">
      <c r="A138" s="7" t="str">
        <f t="shared" ca="1" si="9"/>
        <v>108</v>
      </c>
      <c r="B138" s="7" t="str">
        <f ca="1">OFFSET(ORÇAMENTO!C$15,ROW(B138)-ROW(B$15),0)</f>
        <v>S</v>
      </c>
      <c r="C138" s="7" t="str">
        <f ca="1">OFFSET(ORÇAMENTO!L$15,ROW(C138)-ROW(C$15),0)</f>
        <v/>
      </c>
      <c r="D138" s="118" t="str">
        <f ca="1">OFFSET(ORÇAMENTO!N$15,ROW(D138)-ROW(D$15),0)</f>
        <v>Serviço</v>
      </c>
      <c r="E138" s="119" t="str">
        <f ca="1">OFFSET(ORÇAMENTO!O$15,ROW(E138)-ROW(E$15),0)</f>
        <v>-</v>
      </c>
      <c r="F138" s="172" t="str">
        <f ca="1">OFFSET(ORÇAMENTO!R$15,ROW(F138)-ROW(F$15),0)</f>
        <v>(abra o arquivo 'Referência 02-2025.xlsm)</v>
      </c>
      <c r="G138" s="173" t="str">
        <f ca="1">IF($D138&lt;&gt;"Serviço","",OFFSET(ORÇAMENTO!S$15,ROW(G138)-ROW(G$15),0))</f>
        <v>-</v>
      </c>
      <c r="H138" s="124">
        <f ca="1">IF($D138&lt;&gt;"Serviço",0,IF(ACOMPANHAMENTO="BM",ROUND(OFFSET(ORÇAMENTO!AJ$15,ROW(H138)-ROW(H$15),0),15-13*ORÇAMENTO!$AF$7),SUMPRODUCT(($Q$12:$AA$12&lt;&gt;"")*ROUND($Q138:$AA138,15-13*ORÇAMENTO!$AF$7))))</f>
        <v>1.68</v>
      </c>
      <c r="I138" s="561" t="s">
        <v>890</v>
      </c>
      <c r="K138" s="174"/>
      <c r="L138" s="175" t="s">
        <v>255</v>
      </c>
      <c r="M138" s="176">
        <f ca="1">IF($D138&lt;&gt;"Serviço","",IF(AUTOEVENTO="manual",$A138,IF(ISERROR(MATCH($A138,$A$15:OFFSET($A138,-1,0),0)),MAX($M$15:OFFSET(M138,-1,0))+1,INDEX($M$15:OFFSET(M138,-1,0),MATCH($A138,$A$15:OFFSET($A138,-1,0),0)))))</f>
        <v>7</v>
      </c>
      <c r="N138" s="177" t="str">
        <f ca="1">IF($D138&lt;&gt;"Serviço","",IF(AUTOEVENTO="Manual",IF($A138=0,"&lt;-- defina o número do agrupador",OFFSET(EVENTOS!$D$14,$A138,0)),OFFSET($F$15,$A138,0)))</f>
        <v>ESQUADRIAS</v>
      </c>
      <c r="O138" s="178"/>
      <c r="Q138" s="178"/>
      <c r="R138" s="179"/>
      <c r="S138" s="179"/>
      <c r="T138" s="179"/>
      <c r="U138" s="179"/>
      <c r="V138" s="179"/>
      <c r="W138" s="179"/>
      <c r="X138" s="179"/>
      <c r="Y138" s="179"/>
      <c r="Z138" s="180"/>
      <c r="AB138" s="544">
        <f ca="1">IF(AND($D138="Serviço",AB$12&lt;&gt;0,$H138&gt;0,OR(AUTOEVENTO&lt;&gt;"manual",$M138&lt;&gt;1)),
IF(Import.TipoArredondamento&lt;&gt;"TransfereGOV",
ROUND(OFFSET($P138,0,AB$13),15-13*ORÇAMENTO!$AF$7)/$H138*OFFSET(ORÇAMENTO!$X$15,ROW(AB138)-ROW(AB$15),0),
ROUND(ROUND(OFFSET($P138,0,AB$13),15-13*ORÇAMENTO!$AF$7)*OFFSET(ORÇAMENTO!$W$15,ROW(AB138)-ROW(AB$15),0),15-13*ORÇAMENTO!$AF$11)),0)</f>
        <v>0</v>
      </c>
      <c r="AC138" s="545">
        <f ca="1">IF(AND($D138="Serviço",AC$12&lt;&gt;0,$H138&gt;0,OR(AUTOEVENTO&lt;&gt;"manual",$M138&lt;&gt;1)),
IF(Import.TipoArredondamento&lt;&gt;"TransfereGOV",
ROUND(OFFSET($P138,0,AC$13),15-13*ORÇAMENTO!$AF$7)/$H138*OFFSET(ORÇAMENTO!$X$15,ROW(AC138)-ROW(AC$15),0),
ROUND(ROUND(OFFSET($P138,0,AC$13),15-13*ORÇAMENTO!$AF$7)*OFFSET(ORÇAMENTO!$W$15,ROW(AC138)-ROW(AC$15),0),15-13*ORÇAMENTO!$AF$11)),0)</f>
        <v>0</v>
      </c>
      <c r="AD138" s="545">
        <f ca="1">IF(AND($D138="Serviço",AD$12&lt;&gt;0,$H138&gt;0,OR(AUTOEVENTO&lt;&gt;"manual",$M138&lt;&gt;1)),
IF(Import.TipoArredondamento&lt;&gt;"TransfereGOV",
ROUND(OFFSET($P138,0,AD$13),15-13*ORÇAMENTO!$AF$7)/$H138*OFFSET(ORÇAMENTO!$X$15,ROW(AD138)-ROW(AD$15),0),
ROUND(ROUND(OFFSET($P138,0,AD$13),15-13*ORÇAMENTO!$AF$7)*OFFSET(ORÇAMENTO!$W$15,ROW(AD138)-ROW(AD$15),0),15-13*ORÇAMENTO!$AF$11)),0)</f>
        <v>0</v>
      </c>
      <c r="AE138" s="545">
        <f ca="1">IF(AND($D138="Serviço",AE$12&lt;&gt;0,$H138&gt;0,OR(AUTOEVENTO&lt;&gt;"manual",$M138&lt;&gt;1)),
IF(Import.TipoArredondamento&lt;&gt;"TransfereGOV",
ROUND(OFFSET($P138,0,AE$13),15-13*ORÇAMENTO!$AF$7)/$H138*OFFSET(ORÇAMENTO!$X$15,ROW(AE138)-ROW(AE$15),0),
ROUND(ROUND(OFFSET($P138,0,AE$13),15-13*ORÇAMENTO!$AF$7)*OFFSET(ORÇAMENTO!$W$15,ROW(AE138)-ROW(AE$15),0),15-13*ORÇAMENTO!$AF$11)),0)</f>
        <v>0</v>
      </c>
      <c r="AF138" s="545">
        <f ca="1">IF(AND($D138="Serviço",AF$12&lt;&gt;0,$H138&gt;0,OR(AUTOEVENTO&lt;&gt;"manual",$M138&lt;&gt;1)),
IF(Import.TipoArredondamento&lt;&gt;"TransfereGOV",
ROUND(OFFSET($P138,0,AF$13),15-13*ORÇAMENTO!$AF$7)/$H138*OFFSET(ORÇAMENTO!$X$15,ROW(AF138)-ROW(AF$15),0),
ROUND(ROUND(OFFSET($P138,0,AF$13),15-13*ORÇAMENTO!$AF$7)*OFFSET(ORÇAMENTO!$W$15,ROW(AF138)-ROW(AF$15),0),15-13*ORÇAMENTO!$AF$11)),0)</f>
        <v>0</v>
      </c>
      <c r="AG138" s="545">
        <f ca="1">IF(AND($D138="Serviço",AG$12&lt;&gt;0,$H138&gt;0,OR(AUTOEVENTO&lt;&gt;"manual",$M138&lt;&gt;1)),
IF(Import.TipoArredondamento&lt;&gt;"TransfereGOV",
ROUND(OFFSET($P138,0,AG$13),15-13*ORÇAMENTO!$AF$7)/$H138*OFFSET(ORÇAMENTO!$X$15,ROW(AG138)-ROW(AG$15),0),
ROUND(ROUND(OFFSET($P138,0,AG$13),15-13*ORÇAMENTO!$AF$7)*OFFSET(ORÇAMENTO!$W$15,ROW(AG138)-ROW(AG$15),0),15-13*ORÇAMENTO!$AF$11)),0)</f>
        <v>0</v>
      </c>
      <c r="AH138" s="545">
        <f ca="1">IF(AND($D138="Serviço",AH$12&lt;&gt;0,$H138&gt;0,OR(AUTOEVENTO&lt;&gt;"manual",$M138&lt;&gt;1)),
IF(Import.TipoArredondamento&lt;&gt;"TransfereGOV",
ROUND(OFFSET($P138,0,AH$13),15-13*ORÇAMENTO!$AF$7)/$H138*OFFSET(ORÇAMENTO!$X$15,ROW(AH138)-ROW(AH$15),0),
ROUND(ROUND(OFFSET($P138,0,AH$13),15-13*ORÇAMENTO!$AF$7)*OFFSET(ORÇAMENTO!$W$15,ROW(AH138)-ROW(AH$15),0),15-13*ORÇAMENTO!$AF$11)),0)</f>
        <v>0</v>
      </c>
      <c r="AI138" s="545">
        <f ca="1">IF(AND($D138="Serviço",AI$12&lt;&gt;0,$H138&gt;0,OR(AUTOEVENTO&lt;&gt;"manual",$M138&lt;&gt;1)),
IF(Import.TipoArredondamento&lt;&gt;"TransfereGOV",
ROUND(OFFSET($P138,0,AI$13),15-13*ORÇAMENTO!$AF$7)/$H138*OFFSET(ORÇAMENTO!$X$15,ROW(AI138)-ROW(AI$15),0),
ROUND(ROUND(OFFSET($P138,0,AI$13),15-13*ORÇAMENTO!$AF$7)*OFFSET(ORÇAMENTO!$W$15,ROW(AI138)-ROW(AI$15),0),15-13*ORÇAMENTO!$AF$11)),0)</f>
        <v>0</v>
      </c>
      <c r="AJ138" s="545">
        <f ca="1">IF(AND($D138="Serviço",AJ$12&lt;&gt;0,$H138&gt;0,OR(AUTOEVENTO&lt;&gt;"manual",$M138&lt;&gt;1)),
IF(Import.TipoArredondamento&lt;&gt;"TransfereGOV",
ROUND(OFFSET($P138,0,AJ$13),15-13*ORÇAMENTO!$AF$7)/$H138*OFFSET(ORÇAMENTO!$X$15,ROW(AJ138)-ROW(AJ$15),0),
ROUND(ROUND(OFFSET($P138,0,AJ$13),15-13*ORÇAMENTO!$AF$7)*OFFSET(ORÇAMENTO!$W$15,ROW(AJ138)-ROW(AJ$15),0),15-13*ORÇAMENTO!$AF$11)),0)</f>
        <v>0</v>
      </c>
      <c r="AK138" s="546">
        <f ca="1">IF(AND($D138="Serviço",AK$12&lt;&gt;0,$H138&gt;0,OR(AUTOEVENTO&lt;&gt;"manual",$M138&lt;&gt;1)),
IF(Import.TipoArredondamento&lt;&gt;"TransfereGOV",
ROUND(OFFSET($P138,0,AK$13),15-13*ORÇAMENTO!$AF$7)/$H138*OFFSET(ORÇAMENTO!$X$15,ROW(AK138)-ROW(AK$15),0),
ROUND(ROUND(OFFSET($P138,0,AK$13),15-13*ORÇAMENTO!$AF$7)*OFFSET(ORÇAMENTO!$W$15,ROW(AK138)-ROW(AK$15),0),15-13*ORÇAMENTO!$AF$11)),0)</f>
        <v>0</v>
      </c>
      <c r="AM138" s="181">
        <f ca="1">IF($D138&lt;&gt;"Serviço",0,IF(AND(AUTOEVENTO="Manual",$M138=1),0,IF(OFFSET(CRONOPLE!$F$14,$M138,AM$13)="",10^12,OFFSET(CRONOPLE!$F$14,$M138,AM$13))))</f>
        <v>1000000000000</v>
      </c>
      <c r="AN138" s="181">
        <f ca="1">IF($D138&lt;&gt;"Serviço",0,IF(AND(AUTOEVENTO="Manual",$M138=1),0,IF(OFFSET(CRONOPLE!$F$14,$M138,AN$13)="",10^12,OFFSET(CRONOPLE!$F$14,$M138,AN$13))))</f>
        <v>1000000000000</v>
      </c>
      <c r="AO138" s="181">
        <f ca="1">IF($D138&lt;&gt;"Serviço",0,IF(AND(AUTOEVENTO="Manual",$M138=1),0,IF(OFFSET(CRONOPLE!$F$14,$M138,AO$13)="",10^12,OFFSET(CRONOPLE!$F$14,$M138,AO$13))))</f>
        <v>1000000000000</v>
      </c>
      <c r="AP138" s="181">
        <f ca="1">IF($D138&lt;&gt;"Serviço",0,IF(AND(AUTOEVENTO="Manual",$M138=1),0,IF(OFFSET(CRONOPLE!$F$14,$M138,AP$13)="",10^12,OFFSET(CRONOPLE!$F$14,$M138,AP$13))))</f>
        <v>1000000000000</v>
      </c>
      <c r="AQ138" s="181">
        <f ca="1">IF($D138&lt;&gt;"Serviço",0,IF(AND(AUTOEVENTO="Manual",$M138=1),0,IF(OFFSET(CRONOPLE!$F$14,$M138,AQ$13)="",10^12,OFFSET(CRONOPLE!$F$14,$M138,AQ$13))))</f>
        <v>1000000000000</v>
      </c>
      <c r="AR138" s="181">
        <f ca="1">IF($D138&lt;&gt;"Serviço",0,IF(AND(AUTOEVENTO="Manual",$M138=1),0,IF(OFFSET(CRONOPLE!$F$14,$M138,AR$13)="",10^12,OFFSET(CRONOPLE!$F$14,$M138,AR$13))))</f>
        <v>1000000000000</v>
      </c>
      <c r="AS138" s="181">
        <f ca="1">IF($D138&lt;&gt;"Serviço",0,IF(AND(AUTOEVENTO="Manual",$M138=1),0,IF(OFFSET(CRONOPLE!$F$14,$M138,AS$13)="",10^12,OFFSET(CRONOPLE!$F$14,$M138,AS$13))))</f>
        <v>1000000000000</v>
      </c>
      <c r="AT138" s="181">
        <f ca="1">IF($D138&lt;&gt;"Serviço",0,IF(AND(AUTOEVENTO="Manual",$M138=1),0,IF(OFFSET(CRONOPLE!$F$14,$M138,AT$13)="",10^12,OFFSET(CRONOPLE!$F$14,$M138,AT$13))))</f>
        <v>1000000000000</v>
      </c>
      <c r="AU138" s="181">
        <f ca="1">IF($D138&lt;&gt;"Serviço",0,IF(AND(AUTOEVENTO="Manual",$M138=1),0,IF(OFFSET(CRONOPLE!$F$14,$M138,AU$13)="",10^12,OFFSET(CRONOPLE!$F$14,$M138,AU$13))))</f>
        <v>1000000000000</v>
      </c>
      <c r="AV138" s="181">
        <f ca="1">IF($D138&lt;&gt;"Serviço",0,IF(AND(AUTOEVENTO="Manual",$M138=1),0,IF(OFFSET(CRONOPLE!$F$14,$M138,AV$13)="",10^12,OFFSET(CRONOPLE!$F$14,$M138,AV$13))))</f>
        <v>1000000000000</v>
      </c>
      <c r="AX138" s="182">
        <f ca="1">IF($D138&lt;&gt;"Serviço",0,IF(OR(AND(AUTOEVENTO="Manual",$M138=1),$M138&gt;(ROW(PLE.lastrow)-ROW(PLE.firstrow))),0,IF(OFFSET(PLE!$G$14,$M138,AX$13)="",10^12,OFFSET(PLE!$G$14,$M138,AX$13))))</f>
        <v>1000000000000</v>
      </c>
      <c r="AY138" s="182">
        <f ca="1">IF($D138&lt;&gt;"Serviço",0,IF(OR(AND(AUTOEVENTO="Manual",$M138=1),$M138&gt;(ROW(PLE.lastrow)-ROW(PLE.firstrow))),0,IF(OFFSET(PLE!$G$14,$M138,AY$13)="",10^12,OFFSET(PLE!$G$14,$M138,AY$13))))</f>
        <v>1000000000000</v>
      </c>
      <c r="AZ138" s="182">
        <f ca="1">IF($D138&lt;&gt;"Serviço",0,IF(OR(AND(AUTOEVENTO="Manual",$M138=1),$M138&gt;(ROW(PLE.lastrow)-ROW(PLE.firstrow))),0,IF(OFFSET(PLE!$G$14,$M138,AZ$13)="",10^12,OFFSET(PLE!$G$14,$M138,AZ$13))))</f>
        <v>1000000000000</v>
      </c>
      <c r="BA138" s="182">
        <f ca="1">IF($D138&lt;&gt;"Serviço",0,IF(OR(AND(AUTOEVENTO="Manual",$M138=1),$M138&gt;(ROW(PLE.lastrow)-ROW(PLE.firstrow))),0,IF(OFFSET(PLE!$G$14,$M138,BA$13)="",10^12,OFFSET(PLE!$G$14,$M138,BA$13))))</f>
        <v>1000000000000</v>
      </c>
      <c r="BB138" s="182">
        <f ca="1">IF($D138&lt;&gt;"Serviço",0,IF(OR(AND(AUTOEVENTO="Manual",$M138=1),$M138&gt;(ROW(PLE.lastrow)-ROW(PLE.firstrow))),0,IF(OFFSET(PLE!$G$14,$M138,BB$13)="",10^12,OFFSET(PLE!$G$14,$M138,BB$13))))</f>
        <v>1000000000000</v>
      </c>
      <c r="BC138" s="182">
        <f ca="1">IF($D138&lt;&gt;"Serviço",0,IF(OR(AND(AUTOEVENTO="Manual",$M138=1),$M138&gt;(ROW(PLE.lastrow)-ROW(PLE.firstrow))),0,IF(OFFSET(PLE!$G$14,$M138,BC$13)="",10^12,OFFSET(PLE!$G$14,$M138,BC$13))))</f>
        <v>1000000000000</v>
      </c>
      <c r="BD138" s="182">
        <f ca="1">IF($D138&lt;&gt;"Serviço",0,IF(OR(AND(AUTOEVENTO="Manual",$M138=1),$M138&gt;(ROW(PLE.lastrow)-ROW(PLE.firstrow))),0,IF(OFFSET(PLE!$G$14,$M138,BD$13)="",10^12,OFFSET(PLE!$G$14,$M138,BD$13))))</f>
        <v>1000000000000</v>
      </c>
      <c r="BE138" s="182">
        <f ca="1">IF($D138&lt;&gt;"Serviço",0,IF(OR(AND(AUTOEVENTO="Manual",$M138=1),$M138&gt;(ROW(PLE.lastrow)-ROW(PLE.firstrow))),0,IF(OFFSET(PLE!$G$14,$M138,BE$13)="",10^12,OFFSET(PLE!$G$14,$M138,BE$13))))</f>
        <v>1000000000000</v>
      </c>
      <c r="BF138" s="182">
        <f ca="1">IF($D138&lt;&gt;"Serviço",0,IF(OR(AND(AUTOEVENTO="Manual",$M138=1),$M138&gt;(ROW(PLE.lastrow)-ROW(PLE.firstrow))),0,IF(OFFSET(PLE!$G$14,$M138,BF$13)="",10^12,OFFSET(PLE!$G$14,$M138,BF$13))))</f>
        <v>1000000000000</v>
      </c>
      <c r="BG138" s="182">
        <f ca="1">IF($D138&lt;&gt;"Serviço",0,IF(OR(AND(AUTOEVENTO="Manual",$M138=1),$M138&gt;(ROW(PLE.lastrow)-ROW(PLE.firstrow))),0,IF(OFFSET(PLE!$G$14,$M138,BG$13)="",10^12,OFFSET(PLE!$G$14,$M138,BG$13))))</f>
        <v>1000000000000</v>
      </c>
    </row>
    <row r="139" spans="1:59" ht="51" x14ac:dyDescent="0.2">
      <c r="A139" s="7" t="str">
        <f t="shared" ca="1" si="9"/>
        <v>108</v>
      </c>
      <c r="B139" s="7" t="str">
        <f ca="1">OFFSET(ORÇAMENTO!C$15,ROW(B139)-ROW(B$15),0)</f>
        <v>S</v>
      </c>
      <c r="C139" s="7" t="str">
        <f ca="1">OFFSET(ORÇAMENTO!L$15,ROW(C139)-ROW(C$15),0)</f>
        <v/>
      </c>
      <c r="D139" s="118" t="str">
        <f ca="1">OFFSET(ORÇAMENTO!N$15,ROW(D139)-ROW(D$15),0)</f>
        <v>Serviço</v>
      </c>
      <c r="E139" s="119" t="str">
        <f ca="1">OFFSET(ORÇAMENTO!O$15,ROW(E139)-ROW(E$15),0)</f>
        <v>-</v>
      </c>
      <c r="F139" s="172" t="str">
        <f ca="1">OFFSET(ORÇAMENTO!R$15,ROW(F139)-ROW(F$15),0)</f>
        <v>(abra o arquivo 'Referência 02-2025.xlsm)</v>
      </c>
      <c r="G139" s="173" t="str">
        <f ca="1">IF($D139&lt;&gt;"Serviço","",OFFSET(ORÇAMENTO!S$15,ROW(G139)-ROW(G$15),0))</f>
        <v>-</v>
      </c>
      <c r="H139" s="124">
        <f ca="1">IF($D139&lt;&gt;"Serviço",0,IF(ACOMPANHAMENTO="BM",ROUND(OFFSET(ORÇAMENTO!AJ$15,ROW(H139)-ROW(H$15),0),15-13*ORÇAMENTO!$AF$7),SUMPRODUCT(($Q$12:$AA$12&lt;&gt;"")*ROUND($Q139:$AA139,15-13*ORÇAMENTO!$AF$7))))</f>
        <v>6.72</v>
      </c>
      <c r="I139" s="561" t="s">
        <v>890</v>
      </c>
      <c r="K139" s="174"/>
      <c r="L139" s="175" t="s">
        <v>255</v>
      </c>
      <c r="M139" s="176">
        <f ca="1">IF($D139&lt;&gt;"Serviço","",IF(AUTOEVENTO="manual",$A139,IF(ISERROR(MATCH($A139,$A$15:OFFSET($A139,-1,0),0)),MAX($M$15:OFFSET(M139,-1,0))+1,INDEX($M$15:OFFSET(M139,-1,0),MATCH($A139,$A$15:OFFSET($A139,-1,0),0)))))</f>
        <v>7</v>
      </c>
      <c r="N139" s="177" t="str">
        <f ca="1">IF($D139&lt;&gt;"Serviço","",IF(AUTOEVENTO="Manual",IF($A139=0,"&lt;-- defina o número do agrupador",OFFSET(EVENTOS!$D$14,$A139,0)),OFFSET($F$15,$A139,0)))</f>
        <v>ESQUADRIAS</v>
      </c>
      <c r="O139" s="178"/>
      <c r="Q139" s="178"/>
      <c r="R139" s="179"/>
      <c r="S139" s="179"/>
      <c r="T139" s="179"/>
      <c r="U139" s="179"/>
      <c r="V139" s="179"/>
      <c r="W139" s="179"/>
      <c r="X139" s="179"/>
      <c r="Y139" s="179"/>
      <c r="Z139" s="180"/>
      <c r="AB139" s="544">
        <f ca="1">IF(AND($D139="Serviço",AB$12&lt;&gt;0,$H139&gt;0,OR(AUTOEVENTO&lt;&gt;"manual",$M139&lt;&gt;1)),
IF(Import.TipoArredondamento&lt;&gt;"TransfereGOV",
ROUND(OFFSET($P139,0,AB$13),15-13*ORÇAMENTO!$AF$7)/$H139*OFFSET(ORÇAMENTO!$X$15,ROW(AB139)-ROW(AB$15),0),
ROUND(ROUND(OFFSET($P139,0,AB$13),15-13*ORÇAMENTO!$AF$7)*OFFSET(ORÇAMENTO!$W$15,ROW(AB139)-ROW(AB$15),0),15-13*ORÇAMENTO!$AF$11)),0)</f>
        <v>0</v>
      </c>
      <c r="AC139" s="545">
        <f ca="1">IF(AND($D139="Serviço",AC$12&lt;&gt;0,$H139&gt;0,OR(AUTOEVENTO&lt;&gt;"manual",$M139&lt;&gt;1)),
IF(Import.TipoArredondamento&lt;&gt;"TransfereGOV",
ROUND(OFFSET($P139,0,AC$13),15-13*ORÇAMENTO!$AF$7)/$H139*OFFSET(ORÇAMENTO!$X$15,ROW(AC139)-ROW(AC$15),0),
ROUND(ROUND(OFFSET($P139,0,AC$13),15-13*ORÇAMENTO!$AF$7)*OFFSET(ORÇAMENTO!$W$15,ROW(AC139)-ROW(AC$15),0),15-13*ORÇAMENTO!$AF$11)),0)</f>
        <v>0</v>
      </c>
      <c r="AD139" s="545">
        <f ca="1">IF(AND($D139="Serviço",AD$12&lt;&gt;0,$H139&gt;0,OR(AUTOEVENTO&lt;&gt;"manual",$M139&lt;&gt;1)),
IF(Import.TipoArredondamento&lt;&gt;"TransfereGOV",
ROUND(OFFSET($P139,0,AD$13),15-13*ORÇAMENTO!$AF$7)/$H139*OFFSET(ORÇAMENTO!$X$15,ROW(AD139)-ROW(AD$15),0),
ROUND(ROUND(OFFSET($P139,0,AD$13),15-13*ORÇAMENTO!$AF$7)*OFFSET(ORÇAMENTO!$W$15,ROW(AD139)-ROW(AD$15),0),15-13*ORÇAMENTO!$AF$11)),0)</f>
        <v>0</v>
      </c>
      <c r="AE139" s="545">
        <f ca="1">IF(AND($D139="Serviço",AE$12&lt;&gt;0,$H139&gt;0,OR(AUTOEVENTO&lt;&gt;"manual",$M139&lt;&gt;1)),
IF(Import.TipoArredondamento&lt;&gt;"TransfereGOV",
ROUND(OFFSET($P139,0,AE$13),15-13*ORÇAMENTO!$AF$7)/$H139*OFFSET(ORÇAMENTO!$X$15,ROW(AE139)-ROW(AE$15),0),
ROUND(ROUND(OFFSET($P139,0,AE$13),15-13*ORÇAMENTO!$AF$7)*OFFSET(ORÇAMENTO!$W$15,ROW(AE139)-ROW(AE$15),0),15-13*ORÇAMENTO!$AF$11)),0)</f>
        <v>0</v>
      </c>
      <c r="AF139" s="545">
        <f ca="1">IF(AND($D139="Serviço",AF$12&lt;&gt;0,$H139&gt;0,OR(AUTOEVENTO&lt;&gt;"manual",$M139&lt;&gt;1)),
IF(Import.TipoArredondamento&lt;&gt;"TransfereGOV",
ROUND(OFFSET($P139,0,AF$13),15-13*ORÇAMENTO!$AF$7)/$H139*OFFSET(ORÇAMENTO!$X$15,ROW(AF139)-ROW(AF$15),0),
ROUND(ROUND(OFFSET($P139,0,AF$13),15-13*ORÇAMENTO!$AF$7)*OFFSET(ORÇAMENTO!$W$15,ROW(AF139)-ROW(AF$15),0),15-13*ORÇAMENTO!$AF$11)),0)</f>
        <v>0</v>
      </c>
      <c r="AG139" s="545">
        <f ca="1">IF(AND($D139="Serviço",AG$12&lt;&gt;0,$H139&gt;0,OR(AUTOEVENTO&lt;&gt;"manual",$M139&lt;&gt;1)),
IF(Import.TipoArredondamento&lt;&gt;"TransfereGOV",
ROUND(OFFSET($P139,0,AG$13),15-13*ORÇAMENTO!$AF$7)/$H139*OFFSET(ORÇAMENTO!$X$15,ROW(AG139)-ROW(AG$15),0),
ROUND(ROUND(OFFSET($P139,0,AG$13),15-13*ORÇAMENTO!$AF$7)*OFFSET(ORÇAMENTO!$W$15,ROW(AG139)-ROW(AG$15),0),15-13*ORÇAMENTO!$AF$11)),0)</f>
        <v>0</v>
      </c>
      <c r="AH139" s="545">
        <f ca="1">IF(AND($D139="Serviço",AH$12&lt;&gt;0,$H139&gt;0,OR(AUTOEVENTO&lt;&gt;"manual",$M139&lt;&gt;1)),
IF(Import.TipoArredondamento&lt;&gt;"TransfereGOV",
ROUND(OFFSET($P139,0,AH$13),15-13*ORÇAMENTO!$AF$7)/$H139*OFFSET(ORÇAMENTO!$X$15,ROW(AH139)-ROW(AH$15),0),
ROUND(ROUND(OFFSET($P139,0,AH$13),15-13*ORÇAMENTO!$AF$7)*OFFSET(ORÇAMENTO!$W$15,ROW(AH139)-ROW(AH$15),0),15-13*ORÇAMENTO!$AF$11)),0)</f>
        <v>0</v>
      </c>
      <c r="AI139" s="545">
        <f ca="1">IF(AND($D139="Serviço",AI$12&lt;&gt;0,$H139&gt;0,OR(AUTOEVENTO&lt;&gt;"manual",$M139&lt;&gt;1)),
IF(Import.TipoArredondamento&lt;&gt;"TransfereGOV",
ROUND(OFFSET($P139,0,AI$13),15-13*ORÇAMENTO!$AF$7)/$H139*OFFSET(ORÇAMENTO!$X$15,ROW(AI139)-ROW(AI$15),0),
ROUND(ROUND(OFFSET($P139,0,AI$13),15-13*ORÇAMENTO!$AF$7)*OFFSET(ORÇAMENTO!$W$15,ROW(AI139)-ROW(AI$15),0),15-13*ORÇAMENTO!$AF$11)),0)</f>
        <v>0</v>
      </c>
      <c r="AJ139" s="545">
        <f ca="1">IF(AND($D139="Serviço",AJ$12&lt;&gt;0,$H139&gt;0,OR(AUTOEVENTO&lt;&gt;"manual",$M139&lt;&gt;1)),
IF(Import.TipoArredondamento&lt;&gt;"TransfereGOV",
ROUND(OFFSET($P139,0,AJ$13),15-13*ORÇAMENTO!$AF$7)/$H139*OFFSET(ORÇAMENTO!$X$15,ROW(AJ139)-ROW(AJ$15),0),
ROUND(ROUND(OFFSET($P139,0,AJ$13),15-13*ORÇAMENTO!$AF$7)*OFFSET(ORÇAMENTO!$W$15,ROW(AJ139)-ROW(AJ$15),0),15-13*ORÇAMENTO!$AF$11)),0)</f>
        <v>0</v>
      </c>
      <c r="AK139" s="546">
        <f ca="1">IF(AND($D139="Serviço",AK$12&lt;&gt;0,$H139&gt;0,OR(AUTOEVENTO&lt;&gt;"manual",$M139&lt;&gt;1)),
IF(Import.TipoArredondamento&lt;&gt;"TransfereGOV",
ROUND(OFFSET($P139,0,AK$13),15-13*ORÇAMENTO!$AF$7)/$H139*OFFSET(ORÇAMENTO!$X$15,ROW(AK139)-ROW(AK$15),0),
ROUND(ROUND(OFFSET($P139,0,AK$13),15-13*ORÇAMENTO!$AF$7)*OFFSET(ORÇAMENTO!$W$15,ROW(AK139)-ROW(AK$15),0),15-13*ORÇAMENTO!$AF$11)),0)</f>
        <v>0</v>
      </c>
      <c r="AM139" s="181">
        <f ca="1">IF($D139&lt;&gt;"Serviço",0,IF(AND(AUTOEVENTO="Manual",$M139=1),0,IF(OFFSET(CRONOPLE!$F$14,$M139,AM$13)="",10^12,OFFSET(CRONOPLE!$F$14,$M139,AM$13))))</f>
        <v>1000000000000</v>
      </c>
      <c r="AN139" s="181">
        <f ca="1">IF($D139&lt;&gt;"Serviço",0,IF(AND(AUTOEVENTO="Manual",$M139=1),0,IF(OFFSET(CRONOPLE!$F$14,$M139,AN$13)="",10^12,OFFSET(CRONOPLE!$F$14,$M139,AN$13))))</f>
        <v>1000000000000</v>
      </c>
      <c r="AO139" s="181">
        <f ca="1">IF($D139&lt;&gt;"Serviço",0,IF(AND(AUTOEVENTO="Manual",$M139=1),0,IF(OFFSET(CRONOPLE!$F$14,$M139,AO$13)="",10^12,OFFSET(CRONOPLE!$F$14,$M139,AO$13))))</f>
        <v>1000000000000</v>
      </c>
      <c r="AP139" s="181">
        <f ca="1">IF($D139&lt;&gt;"Serviço",0,IF(AND(AUTOEVENTO="Manual",$M139=1),0,IF(OFFSET(CRONOPLE!$F$14,$M139,AP$13)="",10^12,OFFSET(CRONOPLE!$F$14,$M139,AP$13))))</f>
        <v>1000000000000</v>
      </c>
      <c r="AQ139" s="181">
        <f ca="1">IF($D139&lt;&gt;"Serviço",0,IF(AND(AUTOEVENTO="Manual",$M139=1),0,IF(OFFSET(CRONOPLE!$F$14,$M139,AQ$13)="",10^12,OFFSET(CRONOPLE!$F$14,$M139,AQ$13))))</f>
        <v>1000000000000</v>
      </c>
      <c r="AR139" s="181">
        <f ca="1">IF($D139&lt;&gt;"Serviço",0,IF(AND(AUTOEVENTO="Manual",$M139=1),0,IF(OFFSET(CRONOPLE!$F$14,$M139,AR$13)="",10^12,OFFSET(CRONOPLE!$F$14,$M139,AR$13))))</f>
        <v>1000000000000</v>
      </c>
      <c r="AS139" s="181">
        <f ca="1">IF($D139&lt;&gt;"Serviço",0,IF(AND(AUTOEVENTO="Manual",$M139=1),0,IF(OFFSET(CRONOPLE!$F$14,$M139,AS$13)="",10^12,OFFSET(CRONOPLE!$F$14,$M139,AS$13))))</f>
        <v>1000000000000</v>
      </c>
      <c r="AT139" s="181">
        <f ca="1">IF($D139&lt;&gt;"Serviço",0,IF(AND(AUTOEVENTO="Manual",$M139=1),0,IF(OFFSET(CRONOPLE!$F$14,$M139,AT$13)="",10^12,OFFSET(CRONOPLE!$F$14,$M139,AT$13))))</f>
        <v>1000000000000</v>
      </c>
      <c r="AU139" s="181">
        <f ca="1">IF($D139&lt;&gt;"Serviço",0,IF(AND(AUTOEVENTO="Manual",$M139=1),0,IF(OFFSET(CRONOPLE!$F$14,$M139,AU$13)="",10^12,OFFSET(CRONOPLE!$F$14,$M139,AU$13))))</f>
        <v>1000000000000</v>
      </c>
      <c r="AV139" s="181">
        <f ca="1">IF($D139&lt;&gt;"Serviço",0,IF(AND(AUTOEVENTO="Manual",$M139=1),0,IF(OFFSET(CRONOPLE!$F$14,$M139,AV$13)="",10^12,OFFSET(CRONOPLE!$F$14,$M139,AV$13))))</f>
        <v>1000000000000</v>
      </c>
      <c r="AX139" s="182">
        <f ca="1">IF($D139&lt;&gt;"Serviço",0,IF(OR(AND(AUTOEVENTO="Manual",$M139=1),$M139&gt;(ROW(PLE.lastrow)-ROW(PLE.firstrow))),0,IF(OFFSET(PLE!$G$14,$M139,AX$13)="",10^12,OFFSET(PLE!$G$14,$M139,AX$13))))</f>
        <v>1000000000000</v>
      </c>
      <c r="AY139" s="182">
        <f ca="1">IF($D139&lt;&gt;"Serviço",0,IF(OR(AND(AUTOEVENTO="Manual",$M139=1),$M139&gt;(ROW(PLE.lastrow)-ROW(PLE.firstrow))),0,IF(OFFSET(PLE!$G$14,$M139,AY$13)="",10^12,OFFSET(PLE!$G$14,$M139,AY$13))))</f>
        <v>1000000000000</v>
      </c>
      <c r="AZ139" s="182">
        <f ca="1">IF($D139&lt;&gt;"Serviço",0,IF(OR(AND(AUTOEVENTO="Manual",$M139=1),$M139&gt;(ROW(PLE.lastrow)-ROW(PLE.firstrow))),0,IF(OFFSET(PLE!$G$14,$M139,AZ$13)="",10^12,OFFSET(PLE!$G$14,$M139,AZ$13))))</f>
        <v>1000000000000</v>
      </c>
      <c r="BA139" s="182">
        <f ca="1">IF($D139&lt;&gt;"Serviço",0,IF(OR(AND(AUTOEVENTO="Manual",$M139=1),$M139&gt;(ROW(PLE.lastrow)-ROW(PLE.firstrow))),0,IF(OFFSET(PLE!$G$14,$M139,BA$13)="",10^12,OFFSET(PLE!$G$14,$M139,BA$13))))</f>
        <v>1000000000000</v>
      </c>
      <c r="BB139" s="182">
        <f ca="1">IF($D139&lt;&gt;"Serviço",0,IF(OR(AND(AUTOEVENTO="Manual",$M139=1),$M139&gt;(ROW(PLE.lastrow)-ROW(PLE.firstrow))),0,IF(OFFSET(PLE!$G$14,$M139,BB$13)="",10^12,OFFSET(PLE!$G$14,$M139,BB$13))))</f>
        <v>1000000000000</v>
      </c>
      <c r="BC139" s="182">
        <f ca="1">IF($D139&lt;&gt;"Serviço",0,IF(OR(AND(AUTOEVENTO="Manual",$M139=1),$M139&gt;(ROW(PLE.lastrow)-ROW(PLE.firstrow))),0,IF(OFFSET(PLE!$G$14,$M139,BC$13)="",10^12,OFFSET(PLE!$G$14,$M139,BC$13))))</f>
        <v>1000000000000</v>
      </c>
      <c r="BD139" s="182">
        <f ca="1">IF($D139&lt;&gt;"Serviço",0,IF(OR(AND(AUTOEVENTO="Manual",$M139=1),$M139&gt;(ROW(PLE.lastrow)-ROW(PLE.firstrow))),0,IF(OFFSET(PLE!$G$14,$M139,BD$13)="",10^12,OFFSET(PLE!$G$14,$M139,BD$13))))</f>
        <v>1000000000000</v>
      </c>
      <c r="BE139" s="182">
        <f ca="1">IF($D139&lt;&gt;"Serviço",0,IF(OR(AND(AUTOEVENTO="Manual",$M139=1),$M139&gt;(ROW(PLE.lastrow)-ROW(PLE.firstrow))),0,IF(OFFSET(PLE!$G$14,$M139,BE$13)="",10^12,OFFSET(PLE!$G$14,$M139,BE$13))))</f>
        <v>1000000000000</v>
      </c>
      <c r="BF139" s="182">
        <f ca="1">IF($D139&lt;&gt;"Serviço",0,IF(OR(AND(AUTOEVENTO="Manual",$M139=1),$M139&gt;(ROW(PLE.lastrow)-ROW(PLE.firstrow))),0,IF(OFFSET(PLE!$G$14,$M139,BF$13)="",10^12,OFFSET(PLE!$G$14,$M139,BF$13))))</f>
        <v>1000000000000</v>
      </c>
      <c r="BG139" s="182">
        <f ca="1">IF($D139&lt;&gt;"Serviço",0,IF(OR(AND(AUTOEVENTO="Manual",$M139=1),$M139&gt;(ROW(PLE.lastrow)-ROW(PLE.firstrow))),0,IF(OFFSET(PLE!$G$14,$M139,BG$13)="",10^12,OFFSET(PLE!$G$14,$M139,BG$13))))</f>
        <v>1000000000000</v>
      </c>
    </row>
    <row r="140" spans="1:59" ht="51" x14ac:dyDescent="0.2">
      <c r="A140" s="7" t="str">
        <f t="shared" ca="1" si="9"/>
        <v>108</v>
      </c>
      <c r="B140" s="7" t="str">
        <f ca="1">OFFSET(ORÇAMENTO!C$15,ROW(B140)-ROW(B$15),0)</f>
        <v>S</v>
      </c>
      <c r="C140" s="7" t="str">
        <f ca="1">OFFSET(ORÇAMENTO!L$15,ROW(C140)-ROW(C$15),0)</f>
        <v/>
      </c>
      <c r="D140" s="118" t="str">
        <f ca="1">OFFSET(ORÇAMENTO!N$15,ROW(D140)-ROW(D$15),0)</f>
        <v>Serviço</v>
      </c>
      <c r="E140" s="119" t="str">
        <f ca="1">OFFSET(ORÇAMENTO!O$15,ROW(E140)-ROW(E$15),0)</f>
        <v>-</v>
      </c>
      <c r="F140" s="172" t="str">
        <f ca="1">OFFSET(ORÇAMENTO!R$15,ROW(F140)-ROW(F$15),0)</f>
        <v>(abra o arquivo 'Referência 02-2025.xlsm)</v>
      </c>
      <c r="G140" s="173" t="str">
        <f ca="1">IF($D140&lt;&gt;"Serviço","",OFFSET(ORÇAMENTO!S$15,ROW(G140)-ROW(G$15),0))</f>
        <v>-</v>
      </c>
      <c r="H140" s="124">
        <f ca="1">IF($D140&lt;&gt;"Serviço",0,IF(ACOMPANHAMENTO="BM",ROUND(OFFSET(ORÇAMENTO!AJ$15,ROW(H140)-ROW(H$15),0),15-13*ORÇAMENTO!$AF$7),SUMPRODUCT(($Q$12:$AA$12&lt;&gt;"")*ROUND($Q140:$AA140,15-13*ORÇAMENTO!$AF$7))))</f>
        <v>143.1</v>
      </c>
      <c r="I140" s="561" t="s">
        <v>890</v>
      </c>
      <c r="K140" s="174"/>
      <c r="L140" s="175" t="s">
        <v>255</v>
      </c>
      <c r="M140" s="176">
        <f ca="1">IF($D140&lt;&gt;"Serviço","",IF(AUTOEVENTO="manual",$A140,IF(ISERROR(MATCH($A140,$A$15:OFFSET($A140,-1,0),0)),MAX($M$15:OFFSET(M140,-1,0))+1,INDEX($M$15:OFFSET(M140,-1,0),MATCH($A140,$A$15:OFFSET($A140,-1,0),0)))))</f>
        <v>7</v>
      </c>
      <c r="N140" s="177" t="str">
        <f ca="1">IF($D140&lt;&gt;"Serviço","",IF(AUTOEVENTO="Manual",IF($A140=0,"&lt;-- defina o número do agrupador",OFFSET(EVENTOS!$D$14,$A140,0)),OFFSET($F$15,$A140,0)))</f>
        <v>ESQUADRIAS</v>
      </c>
      <c r="O140" s="178"/>
      <c r="Q140" s="178"/>
      <c r="R140" s="179"/>
      <c r="S140" s="179"/>
      <c r="T140" s="179"/>
      <c r="U140" s="179"/>
      <c r="V140" s="179"/>
      <c r="W140" s="179"/>
      <c r="X140" s="179"/>
      <c r="Y140" s="179"/>
      <c r="Z140" s="180"/>
      <c r="AB140" s="544">
        <f ca="1">IF(AND($D140="Serviço",AB$12&lt;&gt;0,$H140&gt;0,OR(AUTOEVENTO&lt;&gt;"manual",$M140&lt;&gt;1)),
IF(Import.TipoArredondamento&lt;&gt;"TransfereGOV",
ROUND(OFFSET($P140,0,AB$13),15-13*ORÇAMENTO!$AF$7)/$H140*OFFSET(ORÇAMENTO!$X$15,ROW(AB140)-ROW(AB$15),0),
ROUND(ROUND(OFFSET($P140,0,AB$13),15-13*ORÇAMENTO!$AF$7)*OFFSET(ORÇAMENTO!$W$15,ROW(AB140)-ROW(AB$15),0),15-13*ORÇAMENTO!$AF$11)),0)</f>
        <v>0</v>
      </c>
      <c r="AC140" s="545">
        <f ca="1">IF(AND($D140="Serviço",AC$12&lt;&gt;0,$H140&gt;0,OR(AUTOEVENTO&lt;&gt;"manual",$M140&lt;&gt;1)),
IF(Import.TipoArredondamento&lt;&gt;"TransfereGOV",
ROUND(OFFSET($P140,0,AC$13),15-13*ORÇAMENTO!$AF$7)/$H140*OFFSET(ORÇAMENTO!$X$15,ROW(AC140)-ROW(AC$15),0),
ROUND(ROUND(OFFSET($P140,0,AC$13),15-13*ORÇAMENTO!$AF$7)*OFFSET(ORÇAMENTO!$W$15,ROW(AC140)-ROW(AC$15),0),15-13*ORÇAMENTO!$AF$11)),0)</f>
        <v>0</v>
      </c>
      <c r="AD140" s="545">
        <f ca="1">IF(AND($D140="Serviço",AD$12&lt;&gt;0,$H140&gt;0,OR(AUTOEVENTO&lt;&gt;"manual",$M140&lt;&gt;1)),
IF(Import.TipoArredondamento&lt;&gt;"TransfereGOV",
ROUND(OFFSET($P140,0,AD$13),15-13*ORÇAMENTO!$AF$7)/$H140*OFFSET(ORÇAMENTO!$X$15,ROW(AD140)-ROW(AD$15),0),
ROUND(ROUND(OFFSET($P140,0,AD$13),15-13*ORÇAMENTO!$AF$7)*OFFSET(ORÇAMENTO!$W$15,ROW(AD140)-ROW(AD$15),0),15-13*ORÇAMENTO!$AF$11)),0)</f>
        <v>0</v>
      </c>
      <c r="AE140" s="545">
        <f ca="1">IF(AND($D140="Serviço",AE$12&lt;&gt;0,$H140&gt;0,OR(AUTOEVENTO&lt;&gt;"manual",$M140&lt;&gt;1)),
IF(Import.TipoArredondamento&lt;&gt;"TransfereGOV",
ROUND(OFFSET($P140,0,AE$13),15-13*ORÇAMENTO!$AF$7)/$H140*OFFSET(ORÇAMENTO!$X$15,ROW(AE140)-ROW(AE$15),0),
ROUND(ROUND(OFFSET($P140,0,AE$13),15-13*ORÇAMENTO!$AF$7)*OFFSET(ORÇAMENTO!$W$15,ROW(AE140)-ROW(AE$15),0),15-13*ORÇAMENTO!$AF$11)),0)</f>
        <v>0</v>
      </c>
      <c r="AF140" s="545">
        <f ca="1">IF(AND($D140="Serviço",AF$12&lt;&gt;0,$H140&gt;0,OR(AUTOEVENTO&lt;&gt;"manual",$M140&lt;&gt;1)),
IF(Import.TipoArredondamento&lt;&gt;"TransfereGOV",
ROUND(OFFSET($P140,0,AF$13),15-13*ORÇAMENTO!$AF$7)/$H140*OFFSET(ORÇAMENTO!$X$15,ROW(AF140)-ROW(AF$15),0),
ROUND(ROUND(OFFSET($P140,0,AF$13),15-13*ORÇAMENTO!$AF$7)*OFFSET(ORÇAMENTO!$W$15,ROW(AF140)-ROW(AF$15),0),15-13*ORÇAMENTO!$AF$11)),0)</f>
        <v>0</v>
      </c>
      <c r="AG140" s="545">
        <f ca="1">IF(AND($D140="Serviço",AG$12&lt;&gt;0,$H140&gt;0,OR(AUTOEVENTO&lt;&gt;"manual",$M140&lt;&gt;1)),
IF(Import.TipoArredondamento&lt;&gt;"TransfereGOV",
ROUND(OFFSET($P140,0,AG$13),15-13*ORÇAMENTO!$AF$7)/$H140*OFFSET(ORÇAMENTO!$X$15,ROW(AG140)-ROW(AG$15),0),
ROUND(ROUND(OFFSET($P140,0,AG$13),15-13*ORÇAMENTO!$AF$7)*OFFSET(ORÇAMENTO!$W$15,ROW(AG140)-ROW(AG$15),0),15-13*ORÇAMENTO!$AF$11)),0)</f>
        <v>0</v>
      </c>
      <c r="AH140" s="545">
        <f ca="1">IF(AND($D140="Serviço",AH$12&lt;&gt;0,$H140&gt;0,OR(AUTOEVENTO&lt;&gt;"manual",$M140&lt;&gt;1)),
IF(Import.TipoArredondamento&lt;&gt;"TransfereGOV",
ROUND(OFFSET($P140,0,AH$13),15-13*ORÇAMENTO!$AF$7)/$H140*OFFSET(ORÇAMENTO!$X$15,ROW(AH140)-ROW(AH$15),0),
ROUND(ROUND(OFFSET($P140,0,AH$13),15-13*ORÇAMENTO!$AF$7)*OFFSET(ORÇAMENTO!$W$15,ROW(AH140)-ROW(AH$15),0),15-13*ORÇAMENTO!$AF$11)),0)</f>
        <v>0</v>
      </c>
      <c r="AI140" s="545">
        <f ca="1">IF(AND($D140="Serviço",AI$12&lt;&gt;0,$H140&gt;0,OR(AUTOEVENTO&lt;&gt;"manual",$M140&lt;&gt;1)),
IF(Import.TipoArredondamento&lt;&gt;"TransfereGOV",
ROUND(OFFSET($P140,0,AI$13),15-13*ORÇAMENTO!$AF$7)/$H140*OFFSET(ORÇAMENTO!$X$15,ROW(AI140)-ROW(AI$15),0),
ROUND(ROUND(OFFSET($P140,0,AI$13),15-13*ORÇAMENTO!$AF$7)*OFFSET(ORÇAMENTO!$W$15,ROW(AI140)-ROW(AI$15),0),15-13*ORÇAMENTO!$AF$11)),0)</f>
        <v>0</v>
      </c>
      <c r="AJ140" s="545">
        <f ca="1">IF(AND($D140="Serviço",AJ$12&lt;&gt;0,$H140&gt;0,OR(AUTOEVENTO&lt;&gt;"manual",$M140&lt;&gt;1)),
IF(Import.TipoArredondamento&lt;&gt;"TransfereGOV",
ROUND(OFFSET($P140,0,AJ$13),15-13*ORÇAMENTO!$AF$7)/$H140*OFFSET(ORÇAMENTO!$X$15,ROW(AJ140)-ROW(AJ$15),0),
ROUND(ROUND(OFFSET($P140,0,AJ$13),15-13*ORÇAMENTO!$AF$7)*OFFSET(ORÇAMENTO!$W$15,ROW(AJ140)-ROW(AJ$15),0),15-13*ORÇAMENTO!$AF$11)),0)</f>
        <v>0</v>
      </c>
      <c r="AK140" s="546">
        <f ca="1">IF(AND($D140="Serviço",AK$12&lt;&gt;0,$H140&gt;0,OR(AUTOEVENTO&lt;&gt;"manual",$M140&lt;&gt;1)),
IF(Import.TipoArredondamento&lt;&gt;"TransfereGOV",
ROUND(OFFSET($P140,0,AK$13),15-13*ORÇAMENTO!$AF$7)/$H140*OFFSET(ORÇAMENTO!$X$15,ROW(AK140)-ROW(AK$15),0),
ROUND(ROUND(OFFSET($P140,0,AK$13),15-13*ORÇAMENTO!$AF$7)*OFFSET(ORÇAMENTO!$W$15,ROW(AK140)-ROW(AK$15),0),15-13*ORÇAMENTO!$AF$11)),0)</f>
        <v>0</v>
      </c>
      <c r="AM140" s="181">
        <f ca="1">IF($D140&lt;&gt;"Serviço",0,IF(AND(AUTOEVENTO="Manual",$M140=1),0,IF(OFFSET(CRONOPLE!$F$14,$M140,AM$13)="",10^12,OFFSET(CRONOPLE!$F$14,$M140,AM$13))))</f>
        <v>1000000000000</v>
      </c>
      <c r="AN140" s="181">
        <f ca="1">IF($D140&lt;&gt;"Serviço",0,IF(AND(AUTOEVENTO="Manual",$M140=1),0,IF(OFFSET(CRONOPLE!$F$14,$M140,AN$13)="",10^12,OFFSET(CRONOPLE!$F$14,$M140,AN$13))))</f>
        <v>1000000000000</v>
      </c>
      <c r="AO140" s="181">
        <f ca="1">IF($D140&lt;&gt;"Serviço",0,IF(AND(AUTOEVENTO="Manual",$M140=1),0,IF(OFFSET(CRONOPLE!$F$14,$M140,AO$13)="",10^12,OFFSET(CRONOPLE!$F$14,$M140,AO$13))))</f>
        <v>1000000000000</v>
      </c>
      <c r="AP140" s="181">
        <f ca="1">IF($D140&lt;&gt;"Serviço",0,IF(AND(AUTOEVENTO="Manual",$M140=1),0,IF(OFFSET(CRONOPLE!$F$14,$M140,AP$13)="",10^12,OFFSET(CRONOPLE!$F$14,$M140,AP$13))))</f>
        <v>1000000000000</v>
      </c>
      <c r="AQ140" s="181">
        <f ca="1">IF($D140&lt;&gt;"Serviço",0,IF(AND(AUTOEVENTO="Manual",$M140=1),0,IF(OFFSET(CRONOPLE!$F$14,$M140,AQ$13)="",10^12,OFFSET(CRONOPLE!$F$14,$M140,AQ$13))))</f>
        <v>1000000000000</v>
      </c>
      <c r="AR140" s="181">
        <f ca="1">IF($D140&lt;&gt;"Serviço",0,IF(AND(AUTOEVENTO="Manual",$M140=1),0,IF(OFFSET(CRONOPLE!$F$14,$M140,AR$13)="",10^12,OFFSET(CRONOPLE!$F$14,$M140,AR$13))))</f>
        <v>1000000000000</v>
      </c>
      <c r="AS140" s="181">
        <f ca="1">IF($D140&lt;&gt;"Serviço",0,IF(AND(AUTOEVENTO="Manual",$M140=1),0,IF(OFFSET(CRONOPLE!$F$14,$M140,AS$13)="",10^12,OFFSET(CRONOPLE!$F$14,$M140,AS$13))))</f>
        <v>1000000000000</v>
      </c>
      <c r="AT140" s="181">
        <f ca="1">IF($D140&lt;&gt;"Serviço",0,IF(AND(AUTOEVENTO="Manual",$M140=1),0,IF(OFFSET(CRONOPLE!$F$14,$M140,AT$13)="",10^12,OFFSET(CRONOPLE!$F$14,$M140,AT$13))))</f>
        <v>1000000000000</v>
      </c>
      <c r="AU140" s="181">
        <f ca="1">IF($D140&lt;&gt;"Serviço",0,IF(AND(AUTOEVENTO="Manual",$M140=1),0,IF(OFFSET(CRONOPLE!$F$14,$M140,AU$13)="",10^12,OFFSET(CRONOPLE!$F$14,$M140,AU$13))))</f>
        <v>1000000000000</v>
      </c>
      <c r="AV140" s="181">
        <f ca="1">IF($D140&lt;&gt;"Serviço",0,IF(AND(AUTOEVENTO="Manual",$M140=1),0,IF(OFFSET(CRONOPLE!$F$14,$M140,AV$13)="",10^12,OFFSET(CRONOPLE!$F$14,$M140,AV$13))))</f>
        <v>1000000000000</v>
      </c>
      <c r="AX140" s="182">
        <f ca="1">IF($D140&lt;&gt;"Serviço",0,IF(OR(AND(AUTOEVENTO="Manual",$M140=1),$M140&gt;(ROW(PLE.lastrow)-ROW(PLE.firstrow))),0,IF(OFFSET(PLE!$G$14,$M140,AX$13)="",10^12,OFFSET(PLE!$G$14,$M140,AX$13))))</f>
        <v>1000000000000</v>
      </c>
      <c r="AY140" s="182">
        <f ca="1">IF($D140&lt;&gt;"Serviço",0,IF(OR(AND(AUTOEVENTO="Manual",$M140=1),$M140&gt;(ROW(PLE.lastrow)-ROW(PLE.firstrow))),0,IF(OFFSET(PLE!$G$14,$M140,AY$13)="",10^12,OFFSET(PLE!$G$14,$M140,AY$13))))</f>
        <v>1000000000000</v>
      </c>
      <c r="AZ140" s="182">
        <f ca="1">IF($D140&lt;&gt;"Serviço",0,IF(OR(AND(AUTOEVENTO="Manual",$M140=1),$M140&gt;(ROW(PLE.lastrow)-ROW(PLE.firstrow))),0,IF(OFFSET(PLE!$G$14,$M140,AZ$13)="",10^12,OFFSET(PLE!$G$14,$M140,AZ$13))))</f>
        <v>1000000000000</v>
      </c>
      <c r="BA140" s="182">
        <f ca="1">IF($D140&lt;&gt;"Serviço",0,IF(OR(AND(AUTOEVENTO="Manual",$M140=1),$M140&gt;(ROW(PLE.lastrow)-ROW(PLE.firstrow))),0,IF(OFFSET(PLE!$G$14,$M140,BA$13)="",10^12,OFFSET(PLE!$G$14,$M140,BA$13))))</f>
        <v>1000000000000</v>
      </c>
      <c r="BB140" s="182">
        <f ca="1">IF($D140&lt;&gt;"Serviço",0,IF(OR(AND(AUTOEVENTO="Manual",$M140=1),$M140&gt;(ROW(PLE.lastrow)-ROW(PLE.firstrow))),0,IF(OFFSET(PLE!$G$14,$M140,BB$13)="",10^12,OFFSET(PLE!$G$14,$M140,BB$13))))</f>
        <v>1000000000000</v>
      </c>
      <c r="BC140" s="182">
        <f ca="1">IF($D140&lt;&gt;"Serviço",0,IF(OR(AND(AUTOEVENTO="Manual",$M140=1),$M140&gt;(ROW(PLE.lastrow)-ROW(PLE.firstrow))),0,IF(OFFSET(PLE!$G$14,$M140,BC$13)="",10^12,OFFSET(PLE!$G$14,$M140,BC$13))))</f>
        <v>1000000000000</v>
      </c>
      <c r="BD140" s="182">
        <f ca="1">IF($D140&lt;&gt;"Serviço",0,IF(OR(AND(AUTOEVENTO="Manual",$M140=1),$M140&gt;(ROW(PLE.lastrow)-ROW(PLE.firstrow))),0,IF(OFFSET(PLE!$G$14,$M140,BD$13)="",10^12,OFFSET(PLE!$G$14,$M140,BD$13))))</f>
        <v>1000000000000</v>
      </c>
      <c r="BE140" s="182">
        <f ca="1">IF($D140&lt;&gt;"Serviço",0,IF(OR(AND(AUTOEVENTO="Manual",$M140=1),$M140&gt;(ROW(PLE.lastrow)-ROW(PLE.firstrow))),0,IF(OFFSET(PLE!$G$14,$M140,BE$13)="",10^12,OFFSET(PLE!$G$14,$M140,BE$13))))</f>
        <v>1000000000000</v>
      </c>
      <c r="BF140" s="182">
        <f ca="1">IF($D140&lt;&gt;"Serviço",0,IF(OR(AND(AUTOEVENTO="Manual",$M140=1),$M140&gt;(ROW(PLE.lastrow)-ROW(PLE.firstrow))),0,IF(OFFSET(PLE!$G$14,$M140,BF$13)="",10^12,OFFSET(PLE!$G$14,$M140,BF$13))))</f>
        <v>1000000000000</v>
      </c>
      <c r="BG140" s="182">
        <f ca="1">IF($D140&lt;&gt;"Serviço",0,IF(OR(AND(AUTOEVENTO="Manual",$M140=1),$M140&gt;(ROW(PLE.lastrow)-ROW(PLE.firstrow))),0,IF(OFFSET(PLE!$G$14,$M140,BG$13)="",10^12,OFFSET(PLE!$G$14,$M140,BG$13))))</f>
        <v>1000000000000</v>
      </c>
    </row>
    <row r="141" spans="1:59" ht="51" x14ac:dyDescent="0.2">
      <c r="A141" s="7" t="str">
        <f t="shared" ca="1" si="9"/>
        <v>108</v>
      </c>
      <c r="B141" s="7" t="str">
        <f ca="1">OFFSET(ORÇAMENTO!C$15,ROW(B141)-ROW(B$15),0)</f>
        <v>S</v>
      </c>
      <c r="C141" s="7" t="str">
        <f ca="1">OFFSET(ORÇAMENTO!L$15,ROW(C141)-ROW(C$15),0)</f>
        <v/>
      </c>
      <c r="D141" s="118" t="str">
        <f ca="1">OFFSET(ORÇAMENTO!N$15,ROW(D141)-ROW(D$15),0)</f>
        <v>Serviço</v>
      </c>
      <c r="E141" s="119" t="str">
        <f ca="1">OFFSET(ORÇAMENTO!O$15,ROW(E141)-ROW(E$15),0)</f>
        <v>-</v>
      </c>
      <c r="F141" s="172" t="str">
        <f ca="1">OFFSET(ORÇAMENTO!R$15,ROW(F141)-ROW(F$15),0)</f>
        <v>(abra o arquivo 'Referência 02-2025.xlsm)</v>
      </c>
      <c r="G141" s="173" t="str">
        <f ca="1">IF($D141&lt;&gt;"Serviço","",OFFSET(ORÇAMENTO!S$15,ROW(G141)-ROW(G$15),0))</f>
        <v>-</v>
      </c>
      <c r="H141" s="124">
        <f ca="1">IF($D141&lt;&gt;"Serviço",0,IF(ACOMPANHAMENTO="BM",ROUND(OFFSET(ORÇAMENTO!AJ$15,ROW(H141)-ROW(H$15),0),15-13*ORÇAMENTO!$AF$7),SUMPRODUCT(($Q$12:$AA$12&lt;&gt;"")*ROUND($Q141:$AA141,15-13*ORÇAMENTO!$AF$7))))</f>
        <v>5.04</v>
      </c>
      <c r="I141" s="561" t="s">
        <v>890</v>
      </c>
      <c r="K141" s="174"/>
      <c r="L141" s="175" t="s">
        <v>255</v>
      </c>
      <c r="M141" s="176">
        <f ca="1">IF($D141&lt;&gt;"Serviço","",IF(AUTOEVENTO="manual",$A141,IF(ISERROR(MATCH($A141,$A$15:OFFSET($A141,-1,0),0)),MAX($M$15:OFFSET(M141,-1,0))+1,INDEX($M$15:OFFSET(M141,-1,0),MATCH($A141,$A$15:OFFSET($A141,-1,0),0)))))</f>
        <v>7</v>
      </c>
      <c r="N141" s="177" t="str">
        <f ca="1">IF($D141&lt;&gt;"Serviço","",IF(AUTOEVENTO="Manual",IF($A141=0,"&lt;-- defina o número do agrupador",OFFSET(EVENTOS!$D$14,$A141,0)),OFFSET($F$15,$A141,0)))</f>
        <v>ESQUADRIAS</v>
      </c>
      <c r="O141" s="178"/>
      <c r="Q141" s="178"/>
      <c r="R141" s="179"/>
      <c r="S141" s="179"/>
      <c r="T141" s="179"/>
      <c r="U141" s="179"/>
      <c r="V141" s="179"/>
      <c r="W141" s="179"/>
      <c r="X141" s="179"/>
      <c r="Y141" s="179"/>
      <c r="Z141" s="180"/>
      <c r="AB141" s="544">
        <f ca="1">IF(AND($D141="Serviço",AB$12&lt;&gt;0,$H141&gt;0,OR(AUTOEVENTO&lt;&gt;"manual",$M141&lt;&gt;1)),
IF(Import.TipoArredondamento&lt;&gt;"TransfereGOV",
ROUND(OFFSET($P141,0,AB$13),15-13*ORÇAMENTO!$AF$7)/$H141*OFFSET(ORÇAMENTO!$X$15,ROW(AB141)-ROW(AB$15),0),
ROUND(ROUND(OFFSET($P141,0,AB$13),15-13*ORÇAMENTO!$AF$7)*OFFSET(ORÇAMENTO!$W$15,ROW(AB141)-ROW(AB$15),0),15-13*ORÇAMENTO!$AF$11)),0)</f>
        <v>0</v>
      </c>
      <c r="AC141" s="545">
        <f ca="1">IF(AND($D141="Serviço",AC$12&lt;&gt;0,$H141&gt;0,OR(AUTOEVENTO&lt;&gt;"manual",$M141&lt;&gt;1)),
IF(Import.TipoArredondamento&lt;&gt;"TransfereGOV",
ROUND(OFFSET($P141,0,AC$13),15-13*ORÇAMENTO!$AF$7)/$H141*OFFSET(ORÇAMENTO!$X$15,ROW(AC141)-ROW(AC$15),0),
ROUND(ROUND(OFFSET($P141,0,AC$13),15-13*ORÇAMENTO!$AF$7)*OFFSET(ORÇAMENTO!$W$15,ROW(AC141)-ROW(AC$15),0),15-13*ORÇAMENTO!$AF$11)),0)</f>
        <v>0</v>
      </c>
      <c r="AD141" s="545">
        <f ca="1">IF(AND($D141="Serviço",AD$12&lt;&gt;0,$H141&gt;0,OR(AUTOEVENTO&lt;&gt;"manual",$M141&lt;&gt;1)),
IF(Import.TipoArredondamento&lt;&gt;"TransfereGOV",
ROUND(OFFSET($P141,0,AD$13),15-13*ORÇAMENTO!$AF$7)/$H141*OFFSET(ORÇAMENTO!$X$15,ROW(AD141)-ROW(AD$15),0),
ROUND(ROUND(OFFSET($P141,0,AD$13),15-13*ORÇAMENTO!$AF$7)*OFFSET(ORÇAMENTO!$W$15,ROW(AD141)-ROW(AD$15),0),15-13*ORÇAMENTO!$AF$11)),0)</f>
        <v>0</v>
      </c>
      <c r="AE141" s="545">
        <f ca="1">IF(AND($D141="Serviço",AE$12&lt;&gt;0,$H141&gt;0,OR(AUTOEVENTO&lt;&gt;"manual",$M141&lt;&gt;1)),
IF(Import.TipoArredondamento&lt;&gt;"TransfereGOV",
ROUND(OFFSET($P141,0,AE$13),15-13*ORÇAMENTO!$AF$7)/$H141*OFFSET(ORÇAMENTO!$X$15,ROW(AE141)-ROW(AE$15),0),
ROUND(ROUND(OFFSET($P141,0,AE$13),15-13*ORÇAMENTO!$AF$7)*OFFSET(ORÇAMENTO!$W$15,ROW(AE141)-ROW(AE$15),0),15-13*ORÇAMENTO!$AF$11)),0)</f>
        <v>0</v>
      </c>
      <c r="AF141" s="545">
        <f ca="1">IF(AND($D141="Serviço",AF$12&lt;&gt;0,$H141&gt;0,OR(AUTOEVENTO&lt;&gt;"manual",$M141&lt;&gt;1)),
IF(Import.TipoArredondamento&lt;&gt;"TransfereGOV",
ROUND(OFFSET($P141,0,AF$13),15-13*ORÇAMENTO!$AF$7)/$H141*OFFSET(ORÇAMENTO!$X$15,ROW(AF141)-ROW(AF$15),0),
ROUND(ROUND(OFFSET($P141,0,AF$13),15-13*ORÇAMENTO!$AF$7)*OFFSET(ORÇAMENTO!$W$15,ROW(AF141)-ROW(AF$15),0),15-13*ORÇAMENTO!$AF$11)),0)</f>
        <v>0</v>
      </c>
      <c r="AG141" s="545">
        <f ca="1">IF(AND($D141="Serviço",AG$12&lt;&gt;0,$H141&gt;0,OR(AUTOEVENTO&lt;&gt;"manual",$M141&lt;&gt;1)),
IF(Import.TipoArredondamento&lt;&gt;"TransfereGOV",
ROUND(OFFSET($P141,0,AG$13),15-13*ORÇAMENTO!$AF$7)/$H141*OFFSET(ORÇAMENTO!$X$15,ROW(AG141)-ROW(AG$15),0),
ROUND(ROUND(OFFSET($P141,0,AG$13),15-13*ORÇAMENTO!$AF$7)*OFFSET(ORÇAMENTO!$W$15,ROW(AG141)-ROW(AG$15),0),15-13*ORÇAMENTO!$AF$11)),0)</f>
        <v>0</v>
      </c>
      <c r="AH141" s="545">
        <f ca="1">IF(AND($D141="Serviço",AH$12&lt;&gt;0,$H141&gt;0,OR(AUTOEVENTO&lt;&gt;"manual",$M141&lt;&gt;1)),
IF(Import.TipoArredondamento&lt;&gt;"TransfereGOV",
ROUND(OFFSET($P141,0,AH$13),15-13*ORÇAMENTO!$AF$7)/$H141*OFFSET(ORÇAMENTO!$X$15,ROW(AH141)-ROW(AH$15),0),
ROUND(ROUND(OFFSET($P141,0,AH$13),15-13*ORÇAMENTO!$AF$7)*OFFSET(ORÇAMENTO!$W$15,ROW(AH141)-ROW(AH$15),0),15-13*ORÇAMENTO!$AF$11)),0)</f>
        <v>0</v>
      </c>
      <c r="AI141" s="545">
        <f ca="1">IF(AND($D141="Serviço",AI$12&lt;&gt;0,$H141&gt;0,OR(AUTOEVENTO&lt;&gt;"manual",$M141&lt;&gt;1)),
IF(Import.TipoArredondamento&lt;&gt;"TransfereGOV",
ROUND(OFFSET($P141,0,AI$13),15-13*ORÇAMENTO!$AF$7)/$H141*OFFSET(ORÇAMENTO!$X$15,ROW(AI141)-ROW(AI$15),0),
ROUND(ROUND(OFFSET($P141,0,AI$13),15-13*ORÇAMENTO!$AF$7)*OFFSET(ORÇAMENTO!$W$15,ROW(AI141)-ROW(AI$15),0),15-13*ORÇAMENTO!$AF$11)),0)</f>
        <v>0</v>
      </c>
      <c r="AJ141" s="545">
        <f ca="1">IF(AND($D141="Serviço",AJ$12&lt;&gt;0,$H141&gt;0,OR(AUTOEVENTO&lt;&gt;"manual",$M141&lt;&gt;1)),
IF(Import.TipoArredondamento&lt;&gt;"TransfereGOV",
ROUND(OFFSET($P141,0,AJ$13),15-13*ORÇAMENTO!$AF$7)/$H141*OFFSET(ORÇAMENTO!$X$15,ROW(AJ141)-ROW(AJ$15),0),
ROUND(ROUND(OFFSET($P141,0,AJ$13),15-13*ORÇAMENTO!$AF$7)*OFFSET(ORÇAMENTO!$W$15,ROW(AJ141)-ROW(AJ$15),0),15-13*ORÇAMENTO!$AF$11)),0)</f>
        <v>0</v>
      </c>
      <c r="AK141" s="546">
        <f ca="1">IF(AND($D141="Serviço",AK$12&lt;&gt;0,$H141&gt;0,OR(AUTOEVENTO&lt;&gt;"manual",$M141&lt;&gt;1)),
IF(Import.TipoArredondamento&lt;&gt;"TransfereGOV",
ROUND(OFFSET($P141,0,AK$13),15-13*ORÇAMENTO!$AF$7)/$H141*OFFSET(ORÇAMENTO!$X$15,ROW(AK141)-ROW(AK$15),0),
ROUND(ROUND(OFFSET($P141,0,AK$13),15-13*ORÇAMENTO!$AF$7)*OFFSET(ORÇAMENTO!$W$15,ROW(AK141)-ROW(AK$15),0),15-13*ORÇAMENTO!$AF$11)),0)</f>
        <v>0</v>
      </c>
      <c r="AM141" s="181">
        <f ca="1">IF($D141&lt;&gt;"Serviço",0,IF(AND(AUTOEVENTO="Manual",$M141=1),0,IF(OFFSET(CRONOPLE!$F$14,$M141,AM$13)="",10^12,OFFSET(CRONOPLE!$F$14,$M141,AM$13))))</f>
        <v>1000000000000</v>
      </c>
      <c r="AN141" s="181">
        <f ca="1">IF($D141&lt;&gt;"Serviço",0,IF(AND(AUTOEVENTO="Manual",$M141=1),0,IF(OFFSET(CRONOPLE!$F$14,$M141,AN$13)="",10^12,OFFSET(CRONOPLE!$F$14,$M141,AN$13))))</f>
        <v>1000000000000</v>
      </c>
      <c r="AO141" s="181">
        <f ca="1">IF($D141&lt;&gt;"Serviço",0,IF(AND(AUTOEVENTO="Manual",$M141=1),0,IF(OFFSET(CRONOPLE!$F$14,$M141,AO$13)="",10^12,OFFSET(CRONOPLE!$F$14,$M141,AO$13))))</f>
        <v>1000000000000</v>
      </c>
      <c r="AP141" s="181">
        <f ca="1">IF($D141&lt;&gt;"Serviço",0,IF(AND(AUTOEVENTO="Manual",$M141=1),0,IF(OFFSET(CRONOPLE!$F$14,$M141,AP$13)="",10^12,OFFSET(CRONOPLE!$F$14,$M141,AP$13))))</f>
        <v>1000000000000</v>
      </c>
      <c r="AQ141" s="181">
        <f ca="1">IF($D141&lt;&gt;"Serviço",0,IF(AND(AUTOEVENTO="Manual",$M141=1),0,IF(OFFSET(CRONOPLE!$F$14,$M141,AQ$13)="",10^12,OFFSET(CRONOPLE!$F$14,$M141,AQ$13))))</f>
        <v>1000000000000</v>
      </c>
      <c r="AR141" s="181">
        <f ca="1">IF($D141&lt;&gt;"Serviço",0,IF(AND(AUTOEVENTO="Manual",$M141=1),0,IF(OFFSET(CRONOPLE!$F$14,$M141,AR$13)="",10^12,OFFSET(CRONOPLE!$F$14,$M141,AR$13))))</f>
        <v>1000000000000</v>
      </c>
      <c r="AS141" s="181">
        <f ca="1">IF($D141&lt;&gt;"Serviço",0,IF(AND(AUTOEVENTO="Manual",$M141=1),0,IF(OFFSET(CRONOPLE!$F$14,$M141,AS$13)="",10^12,OFFSET(CRONOPLE!$F$14,$M141,AS$13))))</f>
        <v>1000000000000</v>
      </c>
      <c r="AT141" s="181">
        <f ca="1">IF($D141&lt;&gt;"Serviço",0,IF(AND(AUTOEVENTO="Manual",$M141=1),0,IF(OFFSET(CRONOPLE!$F$14,$M141,AT$13)="",10^12,OFFSET(CRONOPLE!$F$14,$M141,AT$13))))</f>
        <v>1000000000000</v>
      </c>
      <c r="AU141" s="181">
        <f ca="1">IF($D141&lt;&gt;"Serviço",0,IF(AND(AUTOEVENTO="Manual",$M141=1),0,IF(OFFSET(CRONOPLE!$F$14,$M141,AU$13)="",10^12,OFFSET(CRONOPLE!$F$14,$M141,AU$13))))</f>
        <v>1000000000000</v>
      </c>
      <c r="AV141" s="181">
        <f ca="1">IF($D141&lt;&gt;"Serviço",0,IF(AND(AUTOEVENTO="Manual",$M141=1),0,IF(OFFSET(CRONOPLE!$F$14,$M141,AV$13)="",10^12,OFFSET(CRONOPLE!$F$14,$M141,AV$13))))</f>
        <v>1000000000000</v>
      </c>
      <c r="AX141" s="182">
        <f ca="1">IF($D141&lt;&gt;"Serviço",0,IF(OR(AND(AUTOEVENTO="Manual",$M141=1),$M141&gt;(ROW(PLE.lastrow)-ROW(PLE.firstrow))),0,IF(OFFSET(PLE!$G$14,$M141,AX$13)="",10^12,OFFSET(PLE!$G$14,$M141,AX$13))))</f>
        <v>1000000000000</v>
      </c>
      <c r="AY141" s="182">
        <f ca="1">IF($D141&lt;&gt;"Serviço",0,IF(OR(AND(AUTOEVENTO="Manual",$M141=1),$M141&gt;(ROW(PLE.lastrow)-ROW(PLE.firstrow))),0,IF(OFFSET(PLE!$G$14,$M141,AY$13)="",10^12,OFFSET(PLE!$G$14,$M141,AY$13))))</f>
        <v>1000000000000</v>
      </c>
      <c r="AZ141" s="182">
        <f ca="1">IF($D141&lt;&gt;"Serviço",0,IF(OR(AND(AUTOEVENTO="Manual",$M141=1),$M141&gt;(ROW(PLE.lastrow)-ROW(PLE.firstrow))),0,IF(OFFSET(PLE!$G$14,$M141,AZ$13)="",10^12,OFFSET(PLE!$G$14,$M141,AZ$13))))</f>
        <v>1000000000000</v>
      </c>
      <c r="BA141" s="182">
        <f ca="1">IF($D141&lt;&gt;"Serviço",0,IF(OR(AND(AUTOEVENTO="Manual",$M141=1),$M141&gt;(ROW(PLE.lastrow)-ROW(PLE.firstrow))),0,IF(OFFSET(PLE!$G$14,$M141,BA$13)="",10^12,OFFSET(PLE!$G$14,$M141,BA$13))))</f>
        <v>1000000000000</v>
      </c>
      <c r="BB141" s="182">
        <f ca="1">IF($D141&lt;&gt;"Serviço",0,IF(OR(AND(AUTOEVENTO="Manual",$M141=1),$M141&gt;(ROW(PLE.lastrow)-ROW(PLE.firstrow))),0,IF(OFFSET(PLE!$G$14,$M141,BB$13)="",10^12,OFFSET(PLE!$G$14,$M141,BB$13))))</f>
        <v>1000000000000</v>
      </c>
      <c r="BC141" s="182">
        <f ca="1">IF($D141&lt;&gt;"Serviço",0,IF(OR(AND(AUTOEVENTO="Manual",$M141=1),$M141&gt;(ROW(PLE.lastrow)-ROW(PLE.firstrow))),0,IF(OFFSET(PLE!$G$14,$M141,BC$13)="",10^12,OFFSET(PLE!$G$14,$M141,BC$13))))</f>
        <v>1000000000000</v>
      </c>
      <c r="BD141" s="182">
        <f ca="1">IF($D141&lt;&gt;"Serviço",0,IF(OR(AND(AUTOEVENTO="Manual",$M141=1),$M141&gt;(ROW(PLE.lastrow)-ROW(PLE.firstrow))),0,IF(OFFSET(PLE!$G$14,$M141,BD$13)="",10^12,OFFSET(PLE!$G$14,$M141,BD$13))))</f>
        <v>1000000000000</v>
      </c>
      <c r="BE141" s="182">
        <f ca="1">IF($D141&lt;&gt;"Serviço",0,IF(OR(AND(AUTOEVENTO="Manual",$M141=1),$M141&gt;(ROW(PLE.lastrow)-ROW(PLE.firstrow))),0,IF(OFFSET(PLE!$G$14,$M141,BE$13)="",10^12,OFFSET(PLE!$G$14,$M141,BE$13))))</f>
        <v>1000000000000</v>
      </c>
      <c r="BF141" s="182">
        <f ca="1">IF($D141&lt;&gt;"Serviço",0,IF(OR(AND(AUTOEVENTO="Manual",$M141=1),$M141&gt;(ROW(PLE.lastrow)-ROW(PLE.firstrow))),0,IF(OFFSET(PLE!$G$14,$M141,BF$13)="",10^12,OFFSET(PLE!$G$14,$M141,BF$13))))</f>
        <v>1000000000000</v>
      </c>
      <c r="BG141" s="182">
        <f ca="1">IF($D141&lt;&gt;"Serviço",0,IF(OR(AND(AUTOEVENTO="Manual",$M141=1),$M141&gt;(ROW(PLE.lastrow)-ROW(PLE.firstrow))),0,IF(OFFSET(PLE!$G$14,$M141,BG$13)="",10^12,OFFSET(PLE!$G$14,$M141,BG$13))))</f>
        <v>1000000000000</v>
      </c>
    </row>
    <row r="142" spans="1:59" ht="51" x14ac:dyDescent="0.2">
      <c r="A142" s="7" t="str">
        <f t="shared" ca="1" si="9"/>
        <v>108</v>
      </c>
      <c r="B142" s="7" t="str">
        <f ca="1">OFFSET(ORÇAMENTO!C$15,ROW(B142)-ROW(B$15),0)</f>
        <v>S</v>
      </c>
      <c r="C142" s="7" t="str">
        <f ca="1">OFFSET(ORÇAMENTO!L$15,ROW(C142)-ROW(C$15),0)</f>
        <v/>
      </c>
      <c r="D142" s="118" t="str">
        <f ca="1">OFFSET(ORÇAMENTO!N$15,ROW(D142)-ROW(D$15),0)</f>
        <v>Serviço</v>
      </c>
      <c r="E142" s="119" t="str">
        <f ca="1">OFFSET(ORÇAMENTO!O$15,ROW(E142)-ROW(E$15),0)</f>
        <v>-</v>
      </c>
      <c r="F142" s="172" t="str">
        <f ca="1">OFFSET(ORÇAMENTO!R$15,ROW(F142)-ROW(F$15),0)</f>
        <v>(abra o arquivo 'Referência 02-2025.xlsm)</v>
      </c>
      <c r="G142" s="173" t="str">
        <f ca="1">IF($D142&lt;&gt;"Serviço","",OFFSET(ORÇAMENTO!S$15,ROW(G142)-ROW(G$15),0))</f>
        <v>-</v>
      </c>
      <c r="H142" s="124">
        <f ca="1">IF($D142&lt;&gt;"Serviço",0,IF(ACOMPANHAMENTO="BM",ROUND(OFFSET(ORÇAMENTO!AJ$15,ROW(H142)-ROW(H$15),0),15-13*ORÇAMENTO!$AF$7),SUMPRODUCT(($Q$12:$AA$12&lt;&gt;"")*ROUND($Q142:$AA142,15-13*ORÇAMENTO!$AF$7))))</f>
        <v>7.48</v>
      </c>
      <c r="I142" s="561" t="s">
        <v>890</v>
      </c>
      <c r="K142" s="174"/>
      <c r="L142" s="175" t="s">
        <v>255</v>
      </c>
      <c r="M142" s="176">
        <f ca="1">IF($D142&lt;&gt;"Serviço","",IF(AUTOEVENTO="manual",$A142,IF(ISERROR(MATCH($A142,$A$15:OFFSET($A142,-1,0),0)),MAX($M$15:OFFSET(M142,-1,0))+1,INDEX($M$15:OFFSET(M142,-1,0),MATCH($A142,$A$15:OFFSET($A142,-1,0),0)))))</f>
        <v>7</v>
      </c>
      <c r="N142" s="177" t="str">
        <f ca="1">IF($D142&lt;&gt;"Serviço","",IF(AUTOEVENTO="Manual",IF($A142=0,"&lt;-- defina o número do agrupador",OFFSET(EVENTOS!$D$14,$A142,0)),OFFSET($F$15,$A142,0)))</f>
        <v>ESQUADRIAS</v>
      </c>
      <c r="O142" s="178"/>
      <c r="Q142" s="178"/>
      <c r="R142" s="179"/>
      <c r="S142" s="179"/>
      <c r="T142" s="179"/>
      <c r="U142" s="179"/>
      <c r="V142" s="179"/>
      <c r="W142" s="179"/>
      <c r="X142" s="179"/>
      <c r="Y142" s="179"/>
      <c r="Z142" s="180"/>
      <c r="AB142" s="544">
        <f ca="1">IF(AND($D142="Serviço",AB$12&lt;&gt;0,$H142&gt;0,OR(AUTOEVENTO&lt;&gt;"manual",$M142&lt;&gt;1)),
IF(Import.TipoArredondamento&lt;&gt;"TransfereGOV",
ROUND(OFFSET($P142,0,AB$13),15-13*ORÇAMENTO!$AF$7)/$H142*OFFSET(ORÇAMENTO!$X$15,ROW(AB142)-ROW(AB$15),0),
ROUND(ROUND(OFFSET($P142,0,AB$13),15-13*ORÇAMENTO!$AF$7)*OFFSET(ORÇAMENTO!$W$15,ROW(AB142)-ROW(AB$15),0),15-13*ORÇAMENTO!$AF$11)),0)</f>
        <v>0</v>
      </c>
      <c r="AC142" s="545">
        <f ca="1">IF(AND($D142="Serviço",AC$12&lt;&gt;0,$H142&gt;0,OR(AUTOEVENTO&lt;&gt;"manual",$M142&lt;&gt;1)),
IF(Import.TipoArredondamento&lt;&gt;"TransfereGOV",
ROUND(OFFSET($P142,0,AC$13),15-13*ORÇAMENTO!$AF$7)/$H142*OFFSET(ORÇAMENTO!$X$15,ROW(AC142)-ROW(AC$15),0),
ROUND(ROUND(OFFSET($P142,0,AC$13),15-13*ORÇAMENTO!$AF$7)*OFFSET(ORÇAMENTO!$W$15,ROW(AC142)-ROW(AC$15),0),15-13*ORÇAMENTO!$AF$11)),0)</f>
        <v>0</v>
      </c>
      <c r="AD142" s="545">
        <f ca="1">IF(AND($D142="Serviço",AD$12&lt;&gt;0,$H142&gt;0,OR(AUTOEVENTO&lt;&gt;"manual",$M142&lt;&gt;1)),
IF(Import.TipoArredondamento&lt;&gt;"TransfereGOV",
ROUND(OFFSET($P142,0,AD$13),15-13*ORÇAMENTO!$AF$7)/$H142*OFFSET(ORÇAMENTO!$X$15,ROW(AD142)-ROW(AD$15),0),
ROUND(ROUND(OFFSET($P142,0,AD$13),15-13*ORÇAMENTO!$AF$7)*OFFSET(ORÇAMENTO!$W$15,ROW(AD142)-ROW(AD$15),0),15-13*ORÇAMENTO!$AF$11)),0)</f>
        <v>0</v>
      </c>
      <c r="AE142" s="545">
        <f ca="1">IF(AND($D142="Serviço",AE$12&lt;&gt;0,$H142&gt;0,OR(AUTOEVENTO&lt;&gt;"manual",$M142&lt;&gt;1)),
IF(Import.TipoArredondamento&lt;&gt;"TransfereGOV",
ROUND(OFFSET($P142,0,AE$13),15-13*ORÇAMENTO!$AF$7)/$H142*OFFSET(ORÇAMENTO!$X$15,ROW(AE142)-ROW(AE$15),0),
ROUND(ROUND(OFFSET($P142,0,AE$13),15-13*ORÇAMENTO!$AF$7)*OFFSET(ORÇAMENTO!$W$15,ROW(AE142)-ROW(AE$15),0),15-13*ORÇAMENTO!$AF$11)),0)</f>
        <v>0</v>
      </c>
      <c r="AF142" s="545">
        <f ca="1">IF(AND($D142="Serviço",AF$12&lt;&gt;0,$H142&gt;0,OR(AUTOEVENTO&lt;&gt;"manual",$M142&lt;&gt;1)),
IF(Import.TipoArredondamento&lt;&gt;"TransfereGOV",
ROUND(OFFSET($P142,0,AF$13),15-13*ORÇAMENTO!$AF$7)/$H142*OFFSET(ORÇAMENTO!$X$15,ROW(AF142)-ROW(AF$15),0),
ROUND(ROUND(OFFSET($P142,0,AF$13),15-13*ORÇAMENTO!$AF$7)*OFFSET(ORÇAMENTO!$W$15,ROW(AF142)-ROW(AF$15),0),15-13*ORÇAMENTO!$AF$11)),0)</f>
        <v>0</v>
      </c>
      <c r="AG142" s="545">
        <f ca="1">IF(AND($D142="Serviço",AG$12&lt;&gt;0,$H142&gt;0,OR(AUTOEVENTO&lt;&gt;"manual",$M142&lt;&gt;1)),
IF(Import.TipoArredondamento&lt;&gt;"TransfereGOV",
ROUND(OFFSET($P142,0,AG$13),15-13*ORÇAMENTO!$AF$7)/$H142*OFFSET(ORÇAMENTO!$X$15,ROW(AG142)-ROW(AG$15),0),
ROUND(ROUND(OFFSET($P142,0,AG$13),15-13*ORÇAMENTO!$AF$7)*OFFSET(ORÇAMENTO!$W$15,ROW(AG142)-ROW(AG$15),0),15-13*ORÇAMENTO!$AF$11)),0)</f>
        <v>0</v>
      </c>
      <c r="AH142" s="545">
        <f ca="1">IF(AND($D142="Serviço",AH$12&lt;&gt;0,$H142&gt;0,OR(AUTOEVENTO&lt;&gt;"manual",$M142&lt;&gt;1)),
IF(Import.TipoArredondamento&lt;&gt;"TransfereGOV",
ROUND(OFFSET($P142,0,AH$13),15-13*ORÇAMENTO!$AF$7)/$H142*OFFSET(ORÇAMENTO!$X$15,ROW(AH142)-ROW(AH$15),0),
ROUND(ROUND(OFFSET($P142,0,AH$13),15-13*ORÇAMENTO!$AF$7)*OFFSET(ORÇAMENTO!$W$15,ROW(AH142)-ROW(AH$15),0),15-13*ORÇAMENTO!$AF$11)),0)</f>
        <v>0</v>
      </c>
      <c r="AI142" s="545">
        <f ca="1">IF(AND($D142="Serviço",AI$12&lt;&gt;0,$H142&gt;0,OR(AUTOEVENTO&lt;&gt;"manual",$M142&lt;&gt;1)),
IF(Import.TipoArredondamento&lt;&gt;"TransfereGOV",
ROUND(OFFSET($P142,0,AI$13),15-13*ORÇAMENTO!$AF$7)/$H142*OFFSET(ORÇAMENTO!$X$15,ROW(AI142)-ROW(AI$15),0),
ROUND(ROUND(OFFSET($P142,0,AI$13),15-13*ORÇAMENTO!$AF$7)*OFFSET(ORÇAMENTO!$W$15,ROW(AI142)-ROW(AI$15),0),15-13*ORÇAMENTO!$AF$11)),0)</f>
        <v>0</v>
      </c>
      <c r="AJ142" s="545">
        <f ca="1">IF(AND($D142="Serviço",AJ$12&lt;&gt;0,$H142&gt;0,OR(AUTOEVENTO&lt;&gt;"manual",$M142&lt;&gt;1)),
IF(Import.TipoArredondamento&lt;&gt;"TransfereGOV",
ROUND(OFFSET($P142,0,AJ$13),15-13*ORÇAMENTO!$AF$7)/$H142*OFFSET(ORÇAMENTO!$X$15,ROW(AJ142)-ROW(AJ$15),0),
ROUND(ROUND(OFFSET($P142,0,AJ$13),15-13*ORÇAMENTO!$AF$7)*OFFSET(ORÇAMENTO!$W$15,ROW(AJ142)-ROW(AJ$15),0),15-13*ORÇAMENTO!$AF$11)),0)</f>
        <v>0</v>
      </c>
      <c r="AK142" s="546">
        <f ca="1">IF(AND($D142="Serviço",AK$12&lt;&gt;0,$H142&gt;0,OR(AUTOEVENTO&lt;&gt;"manual",$M142&lt;&gt;1)),
IF(Import.TipoArredondamento&lt;&gt;"TransfereGOV",
ROUND(OFFSET($P142,0,AK$13),15-13*ORÇAMENTO!$AF$7)/$H142*OFFSET(ORÇAMENTO!$X$15,ROW(AK142)-ROW(AK$15),0),
ROUND(ROUND(OFFSET($P142,0,AK$13),15-13*ORÇAMENTO!$AF$7)*OFFSET(ORÇAMENTO!$W$15,ROW(AK142)-ROW(AK$15),0),15-13*ORÇAMENTO!$AF$11)),0)</f>
        <v>0</v>
      </c>
      <c r="AM142" s="181">
        <f ca="1">IF($D142&lt;&gt;"Serviço",0,IF(AND(AUTOEVENTO="Manual",$M142=1),0,IF(OFFSET(CRONOPLE!$F$14,$M142,AM$13)="",10^12,OFFSET(CRONOPLE!$F$14,$M142,AM$13))))</f>
        <v>1000000000000</v>
      </c>
      <c r="AN142" s="181">
        <f ca="1">IF($D142&lt;&gt;"Serviço",0,IF(AND(AUTOEVENTO="Manual",$M142=1),0,IF(OFFSET(CRONOPLE!$F$14,$M142,AN$13)="",10^12,OFFSET(CRONOPLE!$F$14,$M142,AN$13))))</f>
        <v>1000000000000</v>
      </c>
      <c r="AO142" s="181">
        <f ca="1">IF($D142&lt;&gt;"Serviço",0,IF(AND(AUTOEVENTO="Manual",$M142=1),0,IF(OFFSET(CRONOPLE!$F$14,$M142,AO$13)="",10^12,OFFSET(CRONOPLE!$F$14,$M142,AO$13))))</f>
        <v>1000000000000</v>
      </c>
      <c r="AP142" s="181">
        <f ca="1">IF($D142&lt;&gt;"Serviço",0,IF(AND(AUTOEVENTO="Manual",$M142=1),0,IF(OFFSET(CRONOPLE!$F$14,$M142,AP$13)="",10^12,OFFSET(CRONOPLE!$F$14,$M142,AP$13))))</f>
        <v>1000000000000</v>
      </c>
      <c r="AQ142" s="181">
        <f ca="1">IF($D142&lt;&gt;"Serviço",0,IF(AND(AUTOEVENTO="Manual",$M142=1),0,IF(OFFSET(CRONOPLE!$F$14,$M142,AQ$13)="",10^12,OFFSET(CRONOPLE!$F$14,$M142,AQ$13))))</f>
        <v>1000000000000</v>
      </c>
      <c r="AR142" s="181">
        <f ca="1">IF($D142&lt;&gt;"Serviço",0,IF(AND(AUTOEVENTO="Manual",$M142=1),0,IF(OFFSET(CRONOPLE!$F$14,$M142,AR$13)="",10^12,OFFSET(CRONOPLE!$F$14,$M142,AR$13))))</f>
        <v>1000000000000</v>
      </c>
      <c r="AS142" s="181">
        <f ca="1">IF($D142&lt;&gt;"Serviço",0,IF(AND(AUTOEVENTO="Manual",$M142=1),0,IF(OFFSET(CRONOPLE!$F$14,$M142,AS$13)="",10^12,OFFSET(CRONOPLE!$F$14,$M142,AS$13))))</f>
        <v>1000000000000</v>
      </c>
      <c r="AT142" s="181">
        <f ca="1">IF($D142&lt;&gt;"Serviço",0,IF(AND(AUTOEVENTO="Manual",$M142=1),0,IF(OFFSET(CRONOPLE!$F$14,$M142,AT$13)="",10^12,OFFSET(CRONOPLE!$F$14,$M142,AT$13))))</f>
        <v>1000000000000</v>
      </c>
      <c r="AU142" s="181">
        <f ca="1">IF($D142&lt;&gt;"Serviço",0,IF(AND(AUTOEVENTO="Manual",$M142=1),0,IF(OFFSET(CRONOPLE!$F$14,$M142,AU$13)="",10^12,OFFSET(CRONOPLE!$F$14,$M142,AU$13))))</f>
        <v>1000000000000</v>
      </c>
      <c r="AV142" s="181">
        <f ca="1">IF($D142&lt;&gt;"Serviço",0,IF(AND(AUTOEVENTO="Manual",$M142=1),0,IF(OFFSET(CRONOPLE!$F$14,$M142,AV$13)="",10^12,OFFSET(CRONOPLE!$F$14,$M142,AV$13))))</f>
        <v>1000000000000</v>
      </c>
      <c r="AX142" s="182">
        <f ca="1">IF($D142&lt;&gt;"Serviço",0,IF(OR(AND(AUTOEVENTO="Manual",$M142=1),$M142&gt;(ROW(PLE.lastrow)-ROW(PLE.firstrow))),0,IF(OFFSET(PLE!$G$14,$M142,AX$13)="",10^12,OFFSET(PLE!$G$14,$M142,AX$13))))</f>
        <v>1000000000000</v>
      </c>
      <c r="AY142" s="182">
        <f ca="1">IF($D142&lt;&gt;"Serviço",0,IF(OR(AND(AUTOEVENTO="Manual",$M142=1),$M142&gt;(ROW(PLE.lastrow)-ROW(PLE.firstrow))),0,IF(OFFSET(PLE!$G$14,$M142,AY$13)="",10^12,OFFSET(PLE!$G$14,$M142,AY$13))))</f>
        <v>1000000000000</v>
      </c>
      <c r="AZ142" s="182">
        <f ca="1">IF($D142&lt;&gt;"Serviço",0,IF(OR(AND(AUTOEVENTO="Manual",$M142=1),$M142&gt;(ROW(PLE.lastrow)-ROW(PLE.firstrow))),0,IF(OFFSET(PLE!$G$14,$M142,AZ$13)="",10^12,OFFSET(PLE!$G$14,$M142,AZ$13))))</f>
        <v>1000000000000</v>
      </c>
      <c r="BA142" s="182">
        <f ca="1">IF($D142&lt;&gt;"Serviço",0,IF(OR(AND(AUTOEVENTO="Manual",$M142=1),$M142&gt;(ROW(PLE.lastrow)-ROW(PLE.firstrow))),0,IF(OFFSET(PLE!$G$14,$M142,BA$13)="",10^12,OFFSET(PLE!$G$14,$M142,BA$13))))</f>
        <v>1000000000000</v>
      </c>
      <c r="BB142" s="182">
        <f ca="1">IF($D142&lt;&gt;"Serviço",0,IF(OR(AND(AUTOEVENTO="Manual",$M142=1),$M142&gt;(ROW(PLE.lastrow)-ROW(PLE.firstrow))),0,IF(OFFSET(PLE!$G$14,$M142,BB$13)="",10^12,OFFSET(PLE!$G$14,$M142,BB$13))))</f>
        <v>1000000000000</v>
      </c>
      <c r="BC142" s="182">
        <f ca="1">IF($D142&lt;&gt;"Serviço",0,IF(OR(AND(AUTOEVENTO="Manual",$M142=1),$M142&gt;(ROW(PLE.lastrow)-ROW(PLE.firstrow))),0,IF(OFFSET(PLE!$G$14,$M142,BC$13)="",10^12,OFFSET(PLE!$G$14,$M142,BC$13))))</f>
        <v>1000000000000</v>
      </c>
      <c r="BD142" s="182">
        <f ca="1">IF($D142&lt;&gt;"Serviço",0,IF(OR(AND(AUTOEVENTO="Manual",$M142=1),$M142&gt;(ROW(PLE.lastrow)-ROW(PLE.firstrow))),0,IF(OFFSET(PLE!$G$14,$M142,BD$13)="",10^12,OFFSET(PLE!$G$14,$M142,BD$13))))</f>
        <v>1000000000000</v>
      </c>
      <c r="BE142" s="182">
        <f ca="1">IF($D142&lt;&gt;"Serviço",0,IF(OR(AND(AUTOEVENTO="Manual",$M142=1),$M142&gt;(ROW(PLE.lastrow)-ROW(PLE.firstrow))),0,IF(OFFSET(PLE!$G$14,$M142,BE$13)="",10^12,OFFSET(PLE!$G$14,$M142,BE$13))))</f>
        <v>1000000000000</v>
      </c>
      <c r="BF142" s="182">
        <f ca="1">IF($D142&lt;&gt;"Serviço",0,IF(OR(AND(AUTOEVENTO="Manual",$M142=1),$M142&gt;(ROW(PLE.lastrow)-ROW(PLE.firstrow))),0,IF(OFFSET(PLE!$G$14,$M142,BF$13)="",10^12,OFFSET(PLE!$G$14,$M142,BF$13))))</f>
        <v>1000000000000</v>
      </c>
      <c r="BG142" s="182">
        <f ca="1">IF($D142&lt;&gt;"Serviço",0,IF(OR(AND(AUTOEVENTO="Manual",$M142=1),$M142&gt;(ROW(PLE.lastrow)-ROW(PLE.firstrow))),0,IF(OFFSET(PLE!$G$14,$M142,BG$13)="",10^12,OFFSET(PLE!$G$14,$M142,BG$13))))</f>
        <v>1000000000000</v>
      </c>
    </row>
    <row r="143" spans="1:59" ht="63.75" x14ac:dyDescent="0.2">
      <c r="A143" s="7" t="str">
        <f t="shared" ca="1" si="9"/>
        <v>108</v>
      </c>
      <c r="B143" s="7" t="str">
        <f ca="1">OFFSET(ORÇAMENTO!C$15,ROW(B143)-ROW(B$15),0)</f>
        <v>S</v>
      </c>
      <c r="C143" s="7" t="str">
        <f ca="1">OFFSET(ORÇAMENTO!L$15,ROW(C143)-ROW(C$15),0)</f>
        <v/>
      </c>
      <c r="D143" s="118" t="str">
        <f ca="1">OFFSET(ORÇAMENTO!N$15,ROW(D143)-ROW(D$15),0)</f>
        <v>Serviço</v>
      </c>
      <c r="E143" s="119" t="str">
        <f ca="1">OFFSET(ORÇAMENTO!O$15,ROW(E143)-ROW(E$15),0)</f>
        <v>-</v>
      </c>
      <c r="F143" s="172" t="str">
        <f ca="1">OFFSET(ORÇAMENTO!R$15,ROW(F143)-ROW(F$15),0)</f>
        <v>(abra o arquivo 'Referência 02-2025.xlsm)</v>
      </c>
      <c r="G143" s="173" t="str">
        <f ca="1">IF($D143&lt;&gt;"Serviço","",OFFSET(ORÇAMENTO!S$15,ROW(G143)-ROW(G$15),0))</f>
        <v>-</v>
      </c>
      <c r="H143" s="124">
        <f ca="1">IF($D143&lt;&gt;"Serviço",0,IF(ACOMPANHAMENTO="BM",ROUND(OFFSET(ORÇAMENTO!AJ$15,ROW(H143)-ROW(H$15),0),15-13*ORÇAMENTO!$AF$7),SUMPRODUCT(($Q$12:$AA$12&lt;&gt;"")*ROUND($Q143:$AA143,15-13*ORÇAMENTO!$AF$7))))</f>
        <v>5.25</v>
      </c>
      <c r="I143" s="561" t="s">
        <v>890</v>
      </c>
      <c r="K143" s="174"/>
      <c r="L143" s="175" t="s">
        <v>255</v>
      </c>
      <c r="M143" s="176">
        <f ca="1">IF($D143&lt;&gt;"Serviço","",IF(AUTOEVENTO="manual",$A143,IF(ISERROR(MATCH($A143,$A$15:OFFSET($A143,-1,0),0)),MAX($M$15:OFFSET(M143,-1,0))+1,INDEX($M$15:OFFSET(M143,-1,0),MATCH($A143,$A$15:OFFSET($A143,-1,0),0)))))</f>
        <v>7</v>
      </c>
      <c r="N143" s="177" t="str">
        <f ca="1">IF($D143&lt;&gt;"Serviço","",IF(AUTOEVENTO="Manual",IF($A143=0,"&lt;-- defina o número do agrupador",OFFSET(EVENTOS!$D$14,$A143,0)),OFFSET($F$15,$A143,0)))</f>
        <v>ESQUADRIAS</v>
      </c>
      <c r="O143" s="178"/>
      <c r="Q143" s="178"/>
      <c r="R143" s="179"/>
      <c r="S143" s="179"/>
      <c r="T143" s="179"/>
      <c r="U143" s="179"/>
      <c r="V143" s="179"/>
      <c r="W143" s="179"/>
      <c r="X143" s="179"/>
      <c r="Y143" s="179"/>
      <c r="Z143" s="180"/>
      <c r="AB143" s="544">
        <f ca="1">IF(AND($D143="Serviço",AB$12&lt;&gt;0,$H143&gt;0,OR(AUTOEVENTO&lt;&gt;"manual",$M143&lt;&gt;1)),
IF(Import.TipoArredondamento&lt;&gt;"TransfereGOV",
ROUND(OFFSET($P143,0,AB$13),15-13*ORÇAMENTO!$AF$7)/$H143*OFFSET(ORÇAMENTO!$X$15,ROW(AB143)-ROW(AB$15),0),
ROUND(ROUND(OFFSET($P143,0,AB$13),15-13*ORÇAMENTO!$AF$7)*OFFSET(ORÇAMENTO!$W$15,ROW(AB143)-ROW(AB$15),0),15-13*ORÇAMENTO!$AF$11)),0)</f>
        <v>0</v>
      </c>
      <c r="AC143" s="545">
        <f ca="1">IF(AND($D143="Serviço",AC$12&lt;&gt;0,$H143&gt;0,OR(AUTOEVENTO&lt;&gt;"manual",$M143&lt;&gt;1)),
IF(Import.TipoArredondamento&lt;&gt;"TransfereGOV",
ROUND(OFFSET($P143,0,AC$13),15-13*ORÇAMENTO!$AF$7)/$H143*OFFSET(ORÇAMENTO!$X$15,ROW(AC143)-ROW(AC$15),0),
ROUND(ROUND(OFFSET($P143,0,AC$13),15-13*ORÇAMENTO!$AF$7)*OFFSET(ORÇAMENTO!$W$15,ROW(AC143)-ROW(AC$15),0),15-13*ORÇAMENTO!$AF$11)),0)</f>
        <v>0</v>
      </c>
      <c r="AD143" s="545">
        <f ca="1">IF(AND($D143="Serviço",AD$12&lt;&gt;0,$H143&gt;0,OR(AUTOEVENTO&lt;&gt;"manual",$M143&lt;&gt;1)),
IF(Import.TipoArredondamento&lt;&gt;"TransfereGOV",
ROUND(OFFSET($P143,0,AD$13),15-13*ORÇAMENTO!$AF$7)/$H143*OFFSET(ORÇAMENTO!$X$15,ROW(AD143)-ROW(AD$15),0),
ROUND(ROUND(OFFSET($P143,0,AD$13),15-13*ORÇAMENTO!$AF$7)*OFFSET(ORÇAMENTO!$W$15,ROW(AD143)-ROW(AD$15),0),15-13*ORÇAMENTO!$AF$11)),0)</f>
        <v>0</v>
      </c>
      <c r="AE143" s="545">
        <f ca="1">IF(AND($D143="Serviço",AE$12&lt;&gt;0,$H143&gt;0,OR(AUTOEVENTO&lt;&gt;"manual",$M143&lt;&gt;1)),
IF(Import.TipoArredondamento&lt;&gt;"TransfereGOV",
ROUND(OFFSET($P143,0,AE$13),15-13*ORÇAMENTO!$AF$7)/$H143*OFFSET(ORÇAMENTO!$X$15,ROW(AE143)-ROW(AE$15),0),
ROUND(ROUND(OFFSET($P143,0,AE$13),15-13*ORÇAMENTO!$AF$7)*OFFSET(ORÇAMENTO!$W$15,ROW(AE143)-ROW(AE$15),0),15-13*ORÇAMENTO!$AF$11)),0)</f>
        <v>0</v>
      </c>
      <c r="AF143" s="545">
        <f ca="1">IF(AND($D143="Serviço",AF$12&lt;&gt;0,$H143&gt;0,OR(AUTOEVENTO&lt;&gt;"manual",$M143&lt;&gt;1)),
IF(Import.TipoArredondamento&lt;&gt;"TransfereGOV",
ROUND(OFFSET($P143,0,AF$13),15-13*ORÇAMENTO!$AF$7)/$H143*OFFSET(ORÇAMENTO!$X$15,ROW(AF143)-ROW(AF$15),0),
ROUND(ROUND(OFFSET($P143,0,AF$13),15-13*ORÇAMENTO!$AF$7)*OFFSET(ORÇAMENTO!$W$15,ROW(AF143)-ROW(AF$15),0),15-13*ORÇAMENTO!$AF$11)),0)</f>
        <v>0</v>
      </c>
      <c r="AG143" s="545">
        <f ca="1">IF(AND($D143="Serviço",AG$12&lt;&gt;0,$H143&gt;0,OR(AUTOEVENTO&lt;&gt;"manual",$M143&lt;&gt;1)),
IF(Import.TipoArredondamento&lt;&gt;"TransfereGOV",
ROUND(OFFSET($P143,0,AG$13),15-13*ORÇAMENTO!$AF$7)/$H143*OFFSET(ORÇAMENTO!$X$15,ROW(AG143)-ROW(AG$15),0),
ROUND(ROUND(OFFSET($P143,0,AG$13),15-13*ORÇAMENTO!$AF$7)*OFFSET(ORÇAMENTO!$W$15,ROW(AG143)-ROW(AG$15),0),15-13*ORÇAMENTO!$AF$11)),0)</f>
        <v>0</v>
      </c>
      <c r="AH143" s="545">
        <f ca="1">IF(AND($D143="Serviço",AH$12&lt;&gt;0,$H143&gt;0,OR(AUTOEVENTO&lt;&gt;"manual",$M143&lt;&gt;1)),
IF(Import.TipoArredondamento&lt;&gt;"TransfereGOV",
ROUND(OFFSET($P143,0,AH$13),15-13*ORÇAMENTO!$AF$7)/$H143*OFFSET(ORÇAMENTO!$X$15,ROW(AH143)-ROW(AH$15),0),
ROUND(ROUND(OFFSET($P143,0,AH$13),15-13*ORÇAMENTO!$AF$7)*OFFSET(ORÇAMENTO!$W$15,ROW(AH143)-ROW(AH$15),0),15-13*ORÇAMENTO!$AF$11)),0)</f>
        <v>0</v>
      </c>
      <c r="AI143" s="545">
        <f ca="1">IF(AND($D143="Serviço",AI$12&lt;&gt;0,$H143&gt;0,OR(AUTOEVENTO&lt;&gt;"manual",$M143&lt;&gt;1)),
IF(Import.TipoArredondamento&lt;&gt;"TransfereGOV",
ROUND(OFFSET($P143,0,AI$13),15-13*ORÇAMENTO!$AF$7)/$H143*OFFSET(ORÇAMENTO!$X$15,ROW(AI143)-ROW(AI$15),0),
ROUND(ROUND(OFFSET($P143,0,AI$13),15-13*ORÇAMENTO!$AF$7)*OFFSET(ORÇAMENTO!$W$15,ROW(AI143)-ROW(AI$15),0),15-13*ORÇAMENTO!$AF$11)),0)</f>
        <v>0</v>
      </c>
      <c r="AJ143" s="545">
        <f ca="1">IF(AND($D143="Serviço",AJ$12&lt;&gt;0,$H143&gt;0,OR(AUTOEVENTO&lt;&gt;"manual",$M143&lt;&gt;1)),
IF(Import.TipoArredondamento&lt;&gt;"TransfereGOV",
ROUND(OFFSET($P143,0,AJ$13),15-13*ORÇAMENTO!$AF$7)/$H143*OFFSET(ORÇAMENTO!$X$15,ROW(AJ143)-ROW(AJ$15),0),
ROUND(ROUND(OFFSET($P143,0,AJ$13),15-13*ORÇAMENTO!$AF$7)*OFFSET(ORÇAMENTO!$W$15,ROW(AJ143)-ROW(AJ$15),0),15-13*ORÇAMENTO!$AF$11)),0)</f>
        <v>0</v>
      </c>
      <c r="AK143" s="546">
        <f ca="1">IF(AND($D143="Serviço",AK$12&lt;&gt;0,$H143&gt;0,OR(AUTOEVENTO&lt;&gt;"manual",$M143&lt;&gt;1)),
IF(Import.TipoArredondamento&lt;&gt;"TransfereGOV",
ROUND(OFFSET($P143,0,AK$13),15-13*ORÇAMENTO!$AF$7)/$H143*OFFSET(ORÇAMENTO!$X$15,ROW(AK143)-ROW(AK$15),0),
ROUND(ROUND(OFFSET($P143,0,AK$13),15-13*ORÇAMENTO!$AF$7)*OFFSET(ORÇAMENTO!$W$15,ROW(AK143)-ROW(AK$15),0),15-13*ORÇAMENTO!$AF$11)),0)</f>
        <v>0</v>
      </c>
      <c r="AM143" s="181">
        <f ca="1">IF($D143&lt;&gt;"Serviço",0,IF(AND(AUTOEVENTO="Manual",$M143=1),0,IF(OFFSET(CRONOPLE!$F$14,$M143,AM$13)="",10^12,OFFSET(CRONOPLE!$F$14,$M143,AM$13))))</f>
        <v>1000000000000</v>
      </c>
      <c r="AN143" s="181">
        <f ca="1">IF($D143&lt;&gt;"Serviço",0,IF(AND(AUTOEVENTO="Manual",$M143=1),0,IF(OFFSET(CRONOPLE!$F$14,$M143,AN$13)="",10^12,OFFSET(CRONOPLE!$F$14,$M143,AN$13))))</f>
        <v>1000000000000</v>
      </c>
      <c r="AO143" s="181">
        <f ca="1">IF($D143&lt;&gt;"Serviço",0,IF(AND(AUTOEVENTO="Manual",$M143=1),0,IF(OFFSET(CRONOPLE!$F$14,$M143,AO$13)="",10^12,OFFSET(CRONOPLE!$F$14,$M143,AO$13))))</f>
        <v>1000000000000</v>
      </c>
      <c r="AP143" s="181">
        <f ca="1">IF($D143&lt;&gt;"Serviço",0,IF(AND(AUTOEVENTO="Manual",$M143=1),0,IF(OFFSET(CRONOPLE!$F$14,$M143,AP$13)="",10^12,OFFSET(CRONOPLE!$F$14,$M143,AP$13))))</f>
        <v>1000000000000</v>
      </c>
      <c r="AQ143" s="181">
        <f ca="1">IF($D143&lt;&gt;"Serviço",0,IF(AND(AUTOEVENTO="Manual",$M143=1),0,IF(OFFSET(CRONOPLE!$F$14,$M143,AQ$13)="",10^12,OFFSET(CRONOPLE!$F$14,$M143,AQ$13))))</f>
        <v>1000000000000</v>
      </c>
      <c r="AR143" s="181">
        <f ca="1">IF($D143&lt;&gt;"Serviço",0,IF(AND(AUTOEVENTO="Manual",$M143=1),0,IF(OFFSET(CRONOPLE!$F$14,$M143,AR$13)="",10^12,OFFSET(CRONOPLE!$F$14,$M143,AR$13))))</f>
        <v>1000000000000</v>
      </c>
      <c r="AS143" s="181">
        <f ca="1">IF($D143&lt;&gt;"Serviço",0,IF(AND(AUTOEVENTO="Manual",$M143=1),0,IF(OFFSET(CRONOPLE!$F$14,$M143,AS$13)="",10^12,OFFSET(CRONOPLE!$F$14,$M143,AS$13))))</f>
        <v>1000000000000</v>
      </c>
      <c r="AT143" s="181">
        <f ca="1">IF($D143&lt;&gt;"Serviço",0,IF(AND(AUTOEVENTO="Manual",$M143=1),0,IF(OFFSET(CRONOPLE!$F$14,$M143,AT$13)="",10^12,OFFSET(CRONOPLE!$F$14,$M143,AT$13))))</f>
        <v>1000000000000</v>
      </c>
      <c r="AU143" s="181">
        <f ca="1">IF($D143&lt;&gt;"Serviço",0,IF(AND(AUTOEVENTO="Manual",$M143=1),0,IF(OFFSET(CRONOPLE!$F$14,$M143,AU$13)="",10^12,OFFSET(CRONOPLE!$F$14,$M143,AU$13))))</f>
        <v>1000000000000</v>
      </c>
      <c r="AV143" s="181">
        <f ca="1">IF($D143&lt;&gt;"Serviço",0,IF(AND(AUTOEVENTO="Manual",$M143=1),0,IF(OFFSET(CRONOPLE!$F$14,$M143,AV$13)="",10^12,OFFSET(CRONOPLE!$F$14,$M143,AV$13))))</f>
        <v>1000000000000</v>
      </c>
      <c r="AX143" s="182">
        <f ca="1">IF($D143&lt;&gt;"Serviço",0,IF(OR(AND(AUTOEVENTO="Manual",$M143=1),$M143&gt;(ROW(PLE.lastrow)-ROW(PLE.firstrow))),0,IF(OFFSET(PLE!$G$14,$M143,AX$13)="",10^12,OFFSET(PLE!$G$14,$M143,AX$13))))</f>
        <v>1000000000000</v>
      </c>
      <c r="AY143" s="182">
        <f ca="1">IF($D143&lt;&gt;"Serviço",0,IF(OR(AND(AUTOEVENTO="Manual",$M143=1),$M143&gt;(ROW(PLE.lastrow)-ROW(PLE.firstrow))),0,IF(OFFSET(PLE!$G$14,$M143,AY$13)="",10^12,OFFSET(PLE!$G$14,$M143,AY$13))))</f>
        <v>1000000000000</v>
      </c>
      <c r="AZ143" s="182">
        <f ca="1">IF($D143&lt;&gt;"Serviço",0,IF(OR(AND(AUTOEVENTO="Manual",$M143=1),$M143&gt;(ROW(PLE.lastrow)-ROW(PLE.firstrow))),0,IF(OFFSET(PLE!$G$14,$M143,AZ$13)="",10^12,OFFSET(PLE!$G$14,$M143,AZ$13))))</f>
        <v>1000000000000</v>
      </c>
      <c r="BA143" s="182">
        <f ca="1">IF($D143&lt;&gt;"Serviço",0,IF(OR(AND(AUTOEVENTO="Manual",$M143=1),$M143&gt;(ROW(PLE.lastrow)-ROW(PLE.firstrow))),0,IF(OFFSET(PLE!$G$14,$M143,BA$13)="",10^12,OFFSET(PLE!$G$14,$M143,BA$13))))</f>
        <v>1000000000000</v>
      </c>
      <c r="BB143" s="182">
        <f ca="1">IF($D143&lt;&gt;"Serviço",0,IF(OR(AND(AUTOEVENTO="Manual",$M143=1),$M143&gt;(ROW(PLE.lastrow)-ROW(PLE.firstrow))),0,IF(OFFSET(PLE!$G$14,$M143,BB$13)="",10^12,OFFSET(PLE!$G$14,$M143,BB$13))))</f>
        <v>1000000000000</v>
      </c>
      <c r="BC143" s="182">
        <f ca="1">IF($D143&lt;&gt;"Serviço",0,IF(OR(AND(AUTOEVENTO="Manual",$M143=1),$M143&gt;(ROW(PLE.lastrow)-ROW(PLE.firstrow))),0,IF(OFFSET(PLE!$G$14,$M143,BC$13)="",10^12,OFFSET(PLE!$G$14,$M143,BC$13))))</f>
        <v>1000000000000</v>
      </c>
      <c r="BD143" s="182">
        <f ca="1">IF($D143&lt;&gt;"Serviço",0,IF(OR(AND(AUTOEVENTO="Manual",$M143=1),$M143&gt;(ROW(PLE.lastrow)-ROW(PLE.firstrow))),0,IF(OFFSET(PLE!$G$14,$M143,BD$13)="",10^12,OFFSET(PLE!$G$14,$M143,BD$13))))</f>
        <v>1000000000000</v>
      </c>
      <c r="BE143" s="182">
        <f ca="1">IF($D143&lt;&gt;"Serviço",0,IF(OR(AND(AUTOEVENTO="Manual",$M143=1),$M143&gt;(ROW(PLE.lastrow)-ROW(PLE.firstrow))),0,IF(OFFSET(PLE!$G$14,$M143,BE$13)="",10^12,OFFSET(PLE!$G$14,$M143,BE$13))))</f>
        <v>1000000000000</v>
      </c>
      <c r="BF143" s="182">
        <f ca="1">IF($D143&lt;&gt;"Serviço",0,IF(OR(AND(AUTOEVENTO="Manual",$M143=1),$M143&gt;(ROW(PLE.lastrow)-ROW(PLE.firstrow))),0,IF(OFFSET(PLE!$G$14,$M143,BF$13)="",10^12,OFFSET(PLE!$G$14,$M143,BF$13))))</f>
        <v>1000000000000</v>
      </c>
      <c r="BG143" s="182">
        <f ca="1">IF($D143&lt;&gt;"Serviço",0,IF(OR(AND(AUTOEVENTO="Manual",$M143=1),$M143&gt;(ROW(PLE.lastrow)-ROW(PLE.firstrow))),0,IF(OFFSET(PLE!$G$14,$M143,BG$13)="",10^12,OFFSET(PLE!$G$14,$M143,BG$13))))</f>
        <v>1000000000000</v>
      </c>
    </row>
    <row r="144" spans="1:59" ht="12.75" x14ac:dyDescent="0.2">
      <c r="A144" s="7" t="str">
        <f t="shared" ca="1" si="9"/>
        <v>108</v>
      </c>
      <c r="B144" s="7">
        <f ca="1">OFFSET(ORÇAMENTO!C$15,ROW(B144)-ROW(B$15),0)</f>
        <v>3</v>
      </c>
      <c r="C144" s="7" t="str">
        <f ca="1">OFFSET(ORÇAMENTO!L$15,ROW(C144)-ROW(C$15),0)</f>
        <v>F</v>
      </c>
      <c r="D144" s="118" t="str">
        <f ca="1">OFFSET(ORÇAMENTO!N$15,ROW(D144)-ROW(D$15),0)</f>
        <v>Nível 3</v>
      </c>
      <c r="E144" s="119" t="str">
        <f ca="1">OFFSET(ORÇAMENTO!O$15,ROW(E144)-ROW(E$15),0)</f>
        <v>1.6.4.</v>
      </c>
      <c r="F144" s="172" t="str">
        <f ca="1">OFFSET(ORÇAMENTO!R$15,ROW(F144)-ROW(F$15),0)</f>
        <v>JANELAS EM ALUMÍNIO</v>
      </c>
      <c r="G144" s="173" t="str">
        <f ca="1">IF($D144&lt;&gt;"Serviço","",OFFSET(ORÇAMENTO!S$15,ROW(G144)-ROW(G$15),0))</f>
        <v/>
      </c>
      <c r="H144" s="124">
        <f ca="1">IF($D144&lt;&gt;"Serviço",0,IF(ACOMPANHAMENTO="BM",ROUND(OFFSET(ORÇAMENTO!AJ$15,ROW(H144)-ROW(H$15),0),15-13*ORÇAMENTO!$AF$7),SUMPRODUCT(($Q$12:$AA$12&lt;&gt;"")*ROUND($Q144:$AA144,15-13*ORÇAMENTO!$AF$7))))</f>
        <v>0</v>
      </c>
      <c r="I144" s="561"/>
      <c r="K144" s="174"/>
      <c r="L144" s="175" t="s">
        <v>255</v>
      </c>
      <c r="M144" s="176" t="str">
        <f ca="1">IF($D144&lt;&gt;"Serviço","",IF(AUTOEVENTO="manual",$A144,IF(ISERROR(MATCH($A144,$A$15:OFFSET($A144,-1,0),0)),MAX($M$15:OFFSET(M144,-1,0))+1,INDEX($M$15:OFFSET(M144,-1,0),MATCH($A144,$A$15:OFFSET($A144,-1,0),0)))))</f>
        <v/>
      </c>
      <c r="N144" s="177" t="str">
        <f ca="1">IF($D144&lt;&gt;"Serviço","",IF(AUTOEVENTO="Manual",IF($A144=0,"&lt;-- defina o número do agrupador",OFFSET(EVENTOS!$D$14,$A144,0)),OFFSET($F$15,$A144,0)))</f>
        <v/>
      </c>
      <c r="O144" s="178"/>
      <c r="Q144" s="178"/>
      <c r="R144" s="179"/>
      <c r="S144" s="179"/>
      <c r="T144" s="179"/>
      <c r="U144" s="179"/>
      <c r="V144" s="179"/>
      <c r="W144" s="179"/>
      <c r="X144" s="179"/>
      <c r="Y144" s="179"/>
      <c r="Z144" s="180"/>
      <c r="AB144" s="544">
        <f ca="1">IF(AND($D144="Serviço",AB$12&lt;&gt;0,$H144&gt;0,OR(AUTOEVENTO&lt;&gt;"manual",$M144&lt;&gt;1)),
IF(Import.TipoArredondamento&lt;&gt;"TransfereGOV",
ROUND(OFFSET($P144,0,AB$13),15-13*ORÇAMENTO!$AF$7)/$H144*OFFSET(ORÇAMENTO!$X$15,ROW(AB144)-ROW(AB$15),0),
ROUND(ROUND(OFFSET($P144,0,AB$13),15-13*ORÇAMENTO!$AF$7)*OFFSET(ORÇAMENTO!$W$15,ROW(AB144)-ROW(AB$15),0),15-13*ORÇAMENTO!$AF$11)),0)</f>
        <v>0</v>
      </c>
      <c r="AC144" s="545">
        <f ca="1">IF(AND($D144="Serviço",AC$12&lt;&gt;0,$H144&gt;0,OR(AUTOEVENTO&lt;&gt;"manual",$M144&lt;&gt;1)),
IF(Import.TipoArredondamento&lt;&gt;"TransfereGOV",
ROUND(OFFSET($P144,0,AC$13),15-13*ORÇAMENTO!$AF$7)/$H144*OFFSET(ORÇAMENTO!$X$15,ROW(AC144)-ROW(AC$15),0),
ROUND(ROUND(OFFSET($P144,0,AC$13),15-13*ORÇAMENTO!$AF$7)*OFFSET(ORÇAMENTO!$W$15,ROW(AC144)-ROW(AC$15),0),15-13*ORÇAMENTO!$AF$11)),0)</f>
        <v>0</v>
      </c>
      <c r="AD144" s="545">
        <f ca="1">IF(AND($D144="Serviço",AD$12&lt;&gt;0,$H144&gt;0,OR(AUTOEVENTO&lt;&gt;"manual",$M144&lt;&gt;1)),
IF(Import.TipoArredondamento&lt;&gt;"TransfereGOV",
ROUND(OFFSET($P144,0,AD$13),15-13*ORÇAMENTO!$AF$7)/$H144*OFFSET(ORÇAMENTO!$X$15,ROW(AD144)-ROW(AD$15),0),
ROUND(ROUND(OFFSET($P144,0,AD$13),15-13*ORÇAMENTO!$AF$7)*OFFSET(ORÇAMENTO!$W$15,ROW(AD144)-ROW(AD$15),0),15-13*ORÇAMENTO!$AF$11)),0)</f>
        <v>0</v>
      </c>
      <c r="AE144" s="545">
        <f ca="1">IF(AND($D144="Serviço",AE$12&lt;&gt;0,$H144&gt;0,OR(AUTOEVENTO&lt;&gt;"manual",$M144&lt;&gt;1)),
IF(Import.TipoArredondamento&lt;&gt;"TransfereGOV",
ROUND(OFFSET($P144,0,AE$13),15-13*ORÇAMENTO!$AF$7)/$H144*OFFSET(ORÇAMENTO!$X$15,ROW(AE144)-ROW(AE$15),0),
ROUND(ROUND(OFFSET($P144,0,AE$13),15-13*ORÇAMENTO!$AF$7)*OFFSET(ORÇAMENTO!$W$15,ROW(AE144)-ROW(AE$15),0),15-13*ORÇAMENTO!$AF$11)),0)</f>
        <v>0</v>
      </c>
      <c r="AF144" s="545">
        <f ca="1">IF(AND($D144="Serviço",AF$12&lt;&gt;0,$H144&gt;0,OR(AUTOEVENTO&lt;&gt;"manual",$M144&lt;&gt;1)),
IF(Import.TipoArredondamento&lt;&gt;"TransfereGOV",
ROUND(OFFSET($P144,0,AF$13),15-13*ORÇAMENTO!$AF$7)/$H144*OFFSET(ORÇAMENTO!$X$15,ROW(AF144)-ROW(AF$15),0),
ROUND(ROUND(OFFSET($P144,0,AF$13),15-13*ORÇAMENTO!$AF$7)*OFFSET(ORÇAMENTO!$W$15,ROW(AF144)-ROW(AF$15),0),15-13*ORÇAMENTO!$AF$11)),0)</f>
        <v>0</v>
      </c>
      <c r="AG144" s="545">
        <f ca="1">IF(AND($D144="Serviço",AG$12&lt;&gt;0,$H144&gt;0,OR(AUTOEVENTO&lt;&gt;"manual",$M144&lt;&gt;1)),
IF(Import.TipoArredondamento&lt;&gt;"TransfereGOV",
ROUND(OFFSET($P144,0,AG$13),15-13*ORÇAMENTO!$AF$7)/$H144*OFFSET(ORÇAMENTO!$X$15,ROW(AG144)-ROW(AG$15),0),
ROUND(ROUND(OFFSET($P144,0,AG$13),15-13*ORÇAMENTO!$AF$7)*OFFSET(ORÇAMENTO!$W$15,ROW(AG144)-ROW(AG$15),0),15-13*ORÇAMENTO!$AF$11)),0)</f>
        <v>0</v>
      </c>
      <c r="AH144" s="545">
        <f ca="1">IF(AND($D144="Serviço",AH$12&lt;&gt;0,$H144&gt;0,OR(AUTOEVENTO&lt;&gt;"manual",$M144&lt;&gt;1)),
IF(Import.TipoArredondamento&lt;&gt;"TransfereGOV",
ROUND(OFFSET($P144,0,AH$13),15-13*ORÇAMENTO!$AF$7)/$H144*OFFSET(ORÇAMENTO!$X$15,ROW(AH144)-ROW(AH$15),0),
ROUND(ROUND(OFFSET($P144,0,AH$13),15-13*ORÇAMENTO!$AF$7)*OFFSET(ORÇAMENTO!$W$15,ROW(AH144)-ROW(AH$15),0),15-13*ORÇAMENTO!$AF$11)),0)</f>
        <v>0</v>
      </c>
      <c r="AI144" s="545">
        <f ca="1">IF(AND($D144="Serviço",AI$12&lt;&gt;0,$H144&gt;0,OR(AUTOEVENTO&lt;&gt;"manual",$M144&lt;&gt;1)),
IF(Import.TipoArredondamento&lt;&gt;"TransfereGOV",
ROUND(OFFSET($P144,0,AI$13),15-13*ORÇAMENTO!$AF$7)/$H144*OFFSET(ORÇAMENTO!$X$15,ROW(AI144)-ROW(AI$15),0),
ROUND(ROUND(OFFSET($P144,0,AI$13),15-13*ORÇAMENTO!$AF$7)*OFFSET(ORÇAMENTO!$W$15,ROW(AI144)-ROW(AI$15),0),15-13*ORÇAMENTO!$AF$11)),0)</f>
        <v>0</v>
      </c>
      <c r="AJ144" s="545">
        <f ca="1">IF(AND($D144="Serviço",AJ$12&lt;&gt;0,$H144&gt;0,OR(AUTOEVENTO&lt;&gt;"manual",$M144&lt;&gt;1)),
IF(Import.TipoArredondamento&lt;&gt;"TransfereGOV",
ROUND(OFFSET($P144,0,AJ$13),15-13*ORÇAMENTO!$AF$7)/$H144*OFFSET(ORÇAMENTO!$X$15,ROW(AJ144)-ROW(AJ$15),0),
ROUND(ROUND(OFFSET($P144,0,AJ$13),15-13*ORÇAMENTO!$AF$7)*OFFSET(ORÇAMENTO!$W$15,ROW(AJ144)-ROW(AJ$15),0),15-13*ORÇAMENTO!$AF$11)),0)</f>
        <v>0</v>
      </c>
      <c r="AK144" s="546">
        <f ca="1">IF(AND($D144="Serviço",AK$12&lt;&gt;0,$H144&gt;0,OR(AUTOEVENTO&lt;&gt;"manual",$M144&lt;&gt;1)),
IF(Import.TipoArredondamento&lt;&gt;"TransfereGOV",
ROUND(OFFSET($P144,0,AK$13),15-13*ORÇAMENTO!$AF$7)/$H144*OFFSET(ORÇAMENTO!$X$15,ROW(AK144)-ROW(AK$15),0),
ROUND(ROUND(OFFSET($P144,0,AK$13),15-13*ORÇAMENTO!$AF$7)*OFFSET(ORÇAMENTO!$W$15,ROW(AK144)-ROW(AK$15),0),15-13*ORÇAMENTO!$AF$11)),0)</f>
        <v>0</v>
      </c>
      <c r="AM144" s="181">
        <f ca="1">IF($D144&lt;&gt;"Serviço",0,IF(AND(AUTOEVENTO="Manual",$M144=1),0,IF(OFFSET(CRONOPLE!$F$14,$M144,AM$13)="",10^12,OFFSET(CRONOPLE!$F$14,$M144,AM$13))))</f>
        <v>0</v>
      </c>
      <c r="AN144" s="181">
        <f ca="1">IF($D144&lt;&gt;"Serviço",0,IF(AND(AUTOEVENTO="Manual",$M144=1),0,IF(OFFSET(CRONOPLE!$F$14,$M144,AN$13)="",10^12,OFFSET(CRONOPLE!$F$14,$M144,AN$13))))</f>
        <v>0</v>
      </c>
      <c r="AO144" s="181">
        <f ca="1">IF($D144&lt;&gt;"Serviço",0,IF(AND(AUTOEVENTO="Manual",$M144=1),0,IF(OFFSET(CRONOPLE!$F$14,$M144,AO$13)="",10^12,OFFSET(CRONOPLE!$F$14,$M144,AO$13))))</f>
        <v>0</v>
      </c>
      <c r="AP144" s="181">
        <f ca="1">IF($D144&lt;&gt;"Serviço",0,IF(AND(AUTOEVENTO="Manual",$M144=1),0,IF(OFFSET(CRONOPLE!$F$14,$M144,AP$13)="",10^12,OFFSET(CRONOPLE!$F$14,$M144,AP$13))))</f>
        <v>0</v>
      </c>
      <c r="AQ144" s="181">
        <f ca="1">IF($D144&lt;&gt;"Serviço",0,IF(AND(AUTOEVENTO="Manual",$M144=1),0,IF(OFFSET(CRONOPLE!$F$14,$M144,AQ$13)="",10^12,OFFSET(CRONOPLE!$F$14,$M144,AQ$13))))</f>
        <v>0</v>
      </c>
      <c r="AR144" s="181">
        <f ca="1">IF($D144&lt;&gt;"Serviço",0,IF(AND(AUTOEVENTO="Manual",$M144=1),0,IF(OFFSET(CRONOPLE!$F$14,$M144,AR$13)="",10^12,OFFSET(CRONOPLE!$F$14,$M144,AR$13))))</f>
        <v>0</v>
      </c>
      <c r="AS144" s="181">
        <f ca="1">IF($D144&lt;&gt;"Serviço",0,IF(AND(AUTOEVENTO="Manual",$M144=1),0,IF(OFFSET(CRONOPLE!$F$14,$M144,AS$13)="",10^12,OFFSET(CRONOPLE!$F$14,$M144,AS$13))))</f>
        <v>0</v>
      </c>
      <c r="AT144" s="181">
        <f ca="1">IF($D144&lt;&gt;"Serviço",0,IF(AND(AUTOEVENTO="Manual",$M144=1),0,IF(OFFSET(CRONOPLE!$F$14,$M144,AT$13)="",10^12,OFFSET(CRONOPLE!$F$14,$M144,AT$13))))</f>
        <v>0</v>
      </c>
      <c r="AU144" s="181">
        <f ca="1">IF($D144&lt;&gt;"Serviço",0,IF(AND(AUTOEVENTO="Manual",$M144=1),0,IF(OFFSET(CRONOPLE!$F$14,$M144,AU$13)="",10^12,OFFSET(CRONOPLE!$F$14,$M144,AU$13))))</f>
        <v>0</v>
      </c>
      <c r="AV144" s="181">
        <f ca="1">IF($D144&lt;&gt;"Serviço",0,IF(AND(AUTOEVENTO="Manual",$M144=1),0,IF(OFFSET(CRONOPLE!$F$14,$M144,AV$13)="",10^12,OFFSET(CRONOPLE!$F$14,$M144,AV$13))))</f>
        <v>0</v>
      </c>
      <c r="AX144" s="182">
        <f ca="1">IF($D144&lt;&gt;"Serviço",0,IF(OR(AND(AUTOEVENTO="Manual",$M144=1),$M144&gt;(ROW(PLE.lastrow)-ROW(PLE.firstrow))),0,IF(OFFSET(PLE!$G$14,$M144,AX$13)="",10^12,OFFSET(PLE!$G$14,$M144,AX$13))))</f>
        <v>0</v>
      </c>
      <c r="AY144" s="182">
        <f ca="1">IF($D144&lt;&gt;"Serviço",0,IF(OR(AND(AUTOEVENTO="Manual",$M144=1),$M144&gt;(ROW(PLE.lastrow)-ROW(PLE.firstrow))),0,IF(OFFSET(PLE!$G$14,$M144,AY$13)="",10^12,OFFSET(PLE!$G$14,$M144,AY$13))))</f>
        <v>0</v>
      </c>
      <c r="AZ144" s="182">
        <f ca="1">IF($D144&lt;&gt;"Serviço",0,IF(OR(AND(AUTOEVENTO="Manual",$M144=1),$M144&gt;(ROW(PLE.lastrow)-ROW(PLE.firstrow))),0,IF(OFFSET(PLE!$G$14,$M144,AZ$13)="",10^12,OFFSET(PLE!$G$14,$M144,AZ$13))))</f>
        <v>0</v>
      </c>
      <c r="BA144" s="182">
        <f ca="1">IF($D144&lt;&gt;"Serviço",0,IF(OR(AND(AUTOEVENTO="Manual",$M144=1),$M144&gt;(ROW(PLE.lastrow)-ROW(PLE.firstrow))),0,IF(OFFSET(PLE!$G$14,$M144,BA$13)="",10^12,OFFSET(PLE!$G$14,$M144,BA$13))))</f>
        <v>0</v>
      </c>
      <c r="BB144" s="182">
        <f ca="1">IF($D144&lt;&gt;"Serviço",0,IF(OR(AND(AUTOEVENTO="Manual",$M144=1),$M144&gt;(ROW(PLE.lastrow)-ROW(PLE.firstrow))),0,IF(OFFSET(PLE!$G$14,$M144,BB$13)="",10^12,OFFSET(PLE!$G$14,$M144,BB$13))))</f>
        <v>0</v>
      </c>
      <c r="BC144" s="182">
        <f ca="1">IF($D144&lt;&gt;"Serviço",0,IF(OR(AND(AUTOEVENTO="Manual",$M144=1),$M144&gt;(ROW(PLE.lastrow)-ROW(PLE.firstrow))),0,IF(OFFSET(PLE!$G$14,$M144,BC$13)="",10^12,OFFSET(PLE!$G$14,$M144,BC$13))))</f>
        <v>0</v>
      </c>
      <c r="BD144" s="182">
        <f ca="1">IF($D144&lt;&gt;"Serviço",0,IF(OR(AND(AUTOEVENTO="Manual",$M144=1),$M144&gt;(ROW(PLE.lastrow)-ROW(PLE.firstrow))),0,IF(OFFSET(PLE!$G$14,$M144,BD$13)="",10^12,OFFSET(PLE!$G$14,$M144,BD$13))))</f>
        <v>0</v>
      </c>
      <c r="BE144" s="182">
        <f ca="1">IF($D144&lt;&gt;"Serviço",0,IF(OR(AND(AUTOEVENTO="Manual",$M144=1),$M144&gt;(ROW(PLE.lastrow)-ROW(PLE.firstrow))),0,IF(OFFSET(PLE!$G$14,$M144,BE$13)="",10^12,OFFSET(PLE!$G$14,$M144,BE$13))))</f>
        <v>0</v>
      </c>
      <c r="BF144" s="182">
        <f ca="1">IF($D144&lt;&gt;"Serviço",0,IF(OR(AND(AUTOEVENTO="Manual",$M144=1),$M144&gt;(ROW(PLE.lastrow)-ROW(PLE.firstrow))),0,IF(OFFSET(PLE!$G$14,$M144,BF$13)="",10^12,OFFSET(PLE!$G$14,$M144,BF$13))))</f>
        <v>0</v>
      </c>
      <c r="BG144" s="182">
        <f ca="1">IF($D144&lt;&gt;"Serviço",0,IF(OR(AND(AUTOEVENTO="Manual",$M144=1),$M144&gt;(ROW(PLE.lastrow)-ROW(PLE.firstrow))),0,IF(OFFSET(PLE!$G$14,$M144,BG$13)="",10^12,OFFSET(PLE!$G$14,$M144,BG$13))))</f>
        <v>0</v>
      </c>
    </row>
    <row r="145" spans="1:59" ht="51" x14ac:dyDescent="0.2">
      <c r="A145" s="7" t="str">
        <f t="shared" ca="1" si="9"/>
        <v>108</v>
      </c>
      <c r="B145" s="7" t="str">
        <f ca="1">OFFSET(ORÇAMENTO!C$15,ROW(B145)-ROW(B$15),0)</f>
        <v>S</v>
      </c>
      <c r="C145" s="7" t="str">
        <f ca="1">OFFSET(ORÇAMENTO!L$15,ROW(C145)-ROW(C$15),0)</f>
        <v/>
      </c>
      <c r="D145" s="118" t="str">
        <f ca="1">OFFSET(ORÇAMENTO!N$15,ROW(D145)-ROW(D$15),0)</f>
        <v>Serviço</v>
      </c>
      <c r="E145" s="119" t="str">
        <f ca="1">OFFSET(ORÇAMENTO!O$15,ROW(E145)-ROW(E$15),0)</f>
        <v>-</v>
      </c>
      <c r="F145" s="172" t="str">
        <f ca="1">OFFSET(ORÇAMENTO!R$15,ROW(F145)-ROW(F$15),0)</f>
        <v>(abra o arquivo 'Referência 02-2025.xlsm)</v>
      </c>
      <c r="G145" s="173" t="str">
        <f ca="1">IF($D145&lt;&gt;"Serviço","",OFFSET(ORÇAMENTO!S$15,ROW(G145)-ROW(G$15),0))</f>
        <v>-</v>
      </c>
      <c r="H145" s="124">
        <f ca="1">IF($D145&lt;&gt;"Serviço",0,IF(ACOMPANHAMENTO="BM",ROUND(OFFSET(ORÇAMENTO!AJ$15,ROW(H145)-ROW(H$15),0),15-13*ORÇAMENTO!$AF$7),SUMPRODUCT(($Q$12:$AA$12&lt;&gt;"")*ROUND($Q145:$AA145,15-13*ORÇAMENTO!$AF$7))))</f>
        <v>0.88</v>
      </c>
      <c r="I145" s="561" t="s">
        <v>890</v>
      </c>
      <c r="K145" s="174"/>
      <c r="L145" s="175" t="s">
        <v>255</v>
      </c>
      <c r="M145" s="176">
        <f ca="1">IF($D145&lt;&gt;"Serviço","",IF(AUTOEVENTO="manual",$A145,IF(ISERROR(MATCH($A145,$A$15:OFFSET($A145,-1,0),0)),MAX($M$15:OFFSET(M145,-1,0))+1,INDEX($M$15:OFFSET(M145,-1,0),MATCH($A145,$A$15:OFFSET($A145,-1,0),0)))))</f>
        <v>7</v>
      </c>
      <c r="N145" s="177" t="str">
        <f ca="1">IF($D145&lt;&gt;"Serviço","",IF(AUTOEVENTO="Manual",IF($A145=0,"&lt;-- defina o número do agrupador",OFFSET(EVENTOS!$D$14,$A145,0)),OFFSET($F$15,$A145,0)))</f>
        <v>ESQUADRIAS</v>
      </c>
      <c r="O145" s="178"/>
      <c r="Q145" s="178"/>
      <c r="R145" s="179"/>
      <c r="S145" s="179"/>
      <c r="T145" s="179"/>
      <c r="U145" s="179"/>
      <c r="V145" s="179"/>
      <c r="W145" s="179"/>
      <c r="X145" s="179"/>
      <c r="Y145" s="179"/>
      <c r="Z145" s="180"/>
      <c r="AB145" s="544">
        <f ca="1">IF(AND($D145="Serviço",AB$12&lt;&gt;0,$H145&gt;0,OR(AUTOEVENTO&lt;&gt;"manual",$M145&lt;&gt;1)),
IF(Import.TipoArredondamento&lt;&gt;"TransfereGOV",
ROUND(OFFSET($P145,0,AB$13),15-13*ORÇAMENTO!$AF$7)/$H145*OFFSET(ORÇAMENTO!$X$15,ROW(AB145)-ROW(AB$15),0),
ROUND(ROUND(OFFSET($P145,0,AB$13),15-13*ORÇAMENTO!$AF$7)*OFFSET(ORÇAMENTO!$W$15,ROW(AB145)-ROW(AB$15),0),15-13*ORÇAMENTO!$AF$11)),0)</f>
        <v>0</v>
      </c>
      <c r="AC145" s="545">
        <f ca="1">IF(AND($D145="Serviço",AC$12&lt;&gt;0,$H145&gt;0,OR(AUTOEVENTO&lt;&gt;"manual",$M145&lt;&gt;1)),
IF(Import.TipoArredondamento&lt;&gt;"TransfereGOV",
ROUND(OFFSET($P145,0,AC$13),15-13*ORÇAMENTO!$AF$7)/$H145*OFFSET(ORÇAMENTO!$X$15,ROW(AC145)-ROW(AC$15),0),
ROUND(ROUND(OFFSET($P145,0,AC$13),15-13*ORÇAMENTO!$AF$7)*OFFSET(ORÇAMENTO!$W$15,ROW(AC145)-ROW(AC$15),0),15-13*ORÇAMENTO!$AF$11)),0)</f>
        <v>0</v>
      </c>
      <c r="AD145" s="545">
        <f ca="1">IF(AND($D145="Serviço",AD$12&lt;&gt;0,$H145&gt;0,OR(AUTOEVENTO&lt;&gt;"manual",$M145&lt;&gt;1)),
IF(Import.TipoArredondamento&lt;&gt;"TransfereGOV",
ROUND(OFFSET($P145,0,AD$13),15-13*ORÇAMENTO!$AF$7)/$H145*OFFSET(ORÇAMENTO!$X$15,ROW(AD145)-ROW(AD$15),0),
ROUND(ROUND(OFFSET($P145,0,AD$13),15-13*ORÇAMENTO!$AF$7)*OFFSET(ORÇAMENTO!$W$15,ROW(AD145)-ROW(AD$15),0),15-13*ORÇAMENTO!$AF$11)),0)</f>
        <v>0</v>
      </c>
      <c r="AE145" s="545">
        <f ca="1">IF(AND($D145="Serviço",AE$12&lt;&gt;0,$H145&gt;0,OR(AUTOEVENTO&lt;&gt;"manual",$M145&lt;&gt;1)),
IF(Import.TipoArredondamento&lt;&gt;"TransfereGOV",
ROUND(OFFSET($P145,0,AE$13),15-13*ORÇAMENTO!$AF$7)/$H145*OFFSET(ORÇAMENTO!$X$15,ROW(AE145)-ROW(AE$15),0),
ROUND(ROUND(OFFSET($P145,0,AE$13),15-13*ORÇAMENTO!$AF$7)*OFFSET(ORÇAMENTO!$W$15,ROW(AE145)-ROW(AE$15),0),15-13*ORÇAMENTO!$AF$11)),0)</f>
        <v>0</v>
      </c>
      <c r="AF145" s="545">
        <f ca="1">IF(AND($D145="Serviço",AF$12&lt;&gt;0,$H145&gt;0,OR(AUTOEVENTO&lt;&gt;"manual",$M145&lt;&gt;1)),
IF(Import.TipoArredondamento&lt;&gt;"TransfereGOV",
ROUND(OFFSET($P145,0,AF$13),15-13*ORÇAMENTO!$AF$7)/$H145*OFFSET(ORÇAMENTO!$X$15,ROW(AF145)-ROW(AF$15),0),
ROUND(ROUND(OFFSET($P145,0,AF$13),15-13*ORÇAMENTO!$AF$7)*OFFSET(ORÇAMENTO!$W$15,ROW(AF145)-ROW(AF$15),0),15-13*ORÇAMENTO!$AF$11)),0)</f>
        <v>0</v>
      </c>
      <c r="AG145" s="545">
        <f ca="1">IF(AND($D145="Serviço",AG$12&lt;&gt;0,$H145&gt;0,OR(AUTOEVENTO&lt;&gt;"manual",$M145&lt;&gt;1)),
IF(Import.TipoArredondamento&lt;&gt;"TransfereGOV",
ROUND(OFFSET($P145,0,AG$13),15-13*ORÇAMENTO!$AF$7)/$H145*OFFSET(ORÇAMENTO!$X$15,ROW(AG145)-ROW(AG$15),0),
ROUND(ROUND(OFFSET($P145,0,AG$13),15-13*ORÇAMENTO!$AF$7)*OFFSET(ORÇAMENTO!$W$15,ROW(AG145)-ROW(AG$15),0),15-13*ORÇAMENTO!$AF$11)),0)</f>
        <v>0</v>
      </c>
      <c r="AH145" s="545">
        <f ca="1">IF(AND($D145="Serviço",AH$12&lt;&gt;0,$H145&gt;0,OR(AUTOEVENTO&lt;&gt;"manual",$M145&lt;&gt;1)),
IF(Import.TipoArredondamento&lt;&gt;"TransfereGOV",
ROUND(OFFSET($P145,0,AH$13),15-13*ORÇAMENTO!$AF$7)/$H145*OFFSET(ORÇAMENTO!$X$15,ROW(AH145)-ROW(AH$15),0),
ROUND(ROUND(OFFSET($P145,0,AH$13),15-13*ORÇAMENTO!$AF$7)*OFFSET(ORÇAMENTO!$W$15,ROW(AH145)-ROW(AH$15),0),15-13*ORÇAMENTO!$AF$11)),0)</f>
        <v>0</v>
      </c>
      <c r="AI145" s="545">
        <f ca="1">IF(AND($D145="Serviço",AI$12&lt;&gt;0,$H145&gt;0,OR(AUTOEVENTO&lt;&gt;"manual",$M145&lt;&gt;1)),
IF(Import.TipoArredondamento&lt;&gt;"TransfereGOV",
ROUND(OFFSET($P145,0,AI$13),15-13*ORÇAMENTO!$AF$7)/$H145*OFFSET(ORÇAMENTO!$X$15,ROW(AI145)-ROW(AI$15),0),
ROUND(ROUND(OFFSET($P145,0,AI$13),15-13*ORÇAMENTO!$AF$7)*OFFSET(ORÇAMENTO!$W$15,ROW(AI145)-ROW(AI$15),0),15-13*ORÇAMENTO!$AF$11)),0)</f>
        <v>0</v>
      </c>
      <c r="AJ145" s="545">
        <f ca="1">IF(AND($D145="Serviço",AJ$12&lt;&gt;0,$H145&gt;0,OR(AUTOEVENTO&lt;&gt;"manual",$M145&lt;&gt;1)),
IF(Import.TipoArredondamento&lt;&gt;"TransfereGOV",
ROUND(OFFSET($P145,0,AJ$13),15-13*ORÇAMENTO!$AF$7)/$H145*OFFSET(ORÇAMENTO!$X$15,ROW(AJ145)-ROW(AJ$15),0),
ROUND(ROUND(OFFSET($P145,0,AJ$13),15-13*ORÇAMENTO!$AF$7)*OFFSET(ORÇAMENTO!$W$15,ROW(AJ145)-ROW(AJ$15),0),15-13*ORÇAMENTO!$AF$11)),0)</f>
        <v>0</v>
      </c>
      <c r="AK145" s="546">
        <f ca="1">IF(AND($D145="Serviço",AK$12&lt;&gt;0,$H145&gt;0,OR(AUTOEVENTO&lt;&gt;"manual",$M145&lt;&gt;1)),
IF(Import.TipoArredondamento&lt;&gt;"TransfereGOV",
ROUND(OFFSET($P145,0,AK$13),15-13*ORÇAMENTO!$AF$7)/$H145*OFFSET(ORÇAMENTO!$X$15,ROW(AK145)-ROW(AK$15),0),
ROUND(ROUND(OFFSET($P145,0,AK$13),15-13*ORÇAMENTO!$AF$7)*OFFSET(ORÇAMENTO!$W$15,ROW(AK145)-ROW(AK$15),0),15-13*ORÇAMENTO!$AF$11)),0)</f>
        <v>0</v>
      </c>
      <c r="AM145" s="181">
        <f ca="1">IF($D145&lt;&gt;"Serviço",0,IF(AND(AUTOEVENTO="Manual",$M145=1),0,IF(OFFSET(CRONOPLE!$F$14,$M145,AM$13)="",10^12,OFFSET(CRONOPLE!$F$14,$M145,AM$13))))</f>
        <v>1000000000000</v>
      </c>
      <c r="AN145" s="181">
        <f ca="1">IF($D145&lt;&gt;"Serviço",0,IF(AND(AUTOEVENTO="Manual",$M145=1),0,IF(OFFSET(CRONOPLE!$F$14,$M145,AN$13)="",10^12,OFFSET(CRONOPLE!$F$14,$M145,AN$13))))</f>
        <v>1000000000000</v>
      </c>
      <c r="AO145" s="181">
        <f ca="1">IF($D145&lt;&gt;"Serviço",0,IF(AND(AUTOEVENTO="Manual",$M145=1),0,IF(OFFSET(CRONOPLE!$F$14,$M145,AO$13)="",10^12,OFFSET(CRONOPLE!$F$14,$M145,AO$13))))</f>
        <v>1000000000000</v>
      </c>
      <c r="AP145" s="181">
        <f ca="1">IF($D145&lt;&gt;"Serviço",0,IF(AND(AUTOEVENTO="Manual",$M145=1),0,IF(OFFSET(CRONOPLE!$F$14,$M145,AP$13)="",10^12,OFFSET(CRONOPLE!$F$14,$M145,AP$13))))</f>
        <v>1000000000000</v>
      </c>
      <c r="AQ145" s="181">
        <f ca="1">IF($D145&lt;&gt;"Serviço",0,IF(AND(AUTOEVENTO="Manual",$M145=1),0,IF(OFFSET(CRONOPLE!$F$14,$M145,AQ$13)="",10^12,OFFSET(CRONOPLE!$F$14,$M145,AQ$13))))</f>
        <v>1000000000000</v>
      </c>
      <c r="AR145" s="181">
        <f ca="1">IF($D145&lt;&gt;"Serviço",0,IF(AND(AUTOEVENTO="Manual",$M145=1),0,IF(OFFSET(CRONOPLE!$F$14,$M145,AR$13)="",10^12,OFFSET(CRONOPLE!$F$14,$M145,AR$13))))</f>
        <v>1000000000000</v>
      </c>
      <c r="AS145" s="181">
        <f ca="1">IF($D145&lt;&gt;"Serviço",0,IF(AND(AUTOEVENTO="Manual",$M145=1),0,IF(OFFSET(CRONOPLE!$F$14,$M145,AS$13)="",10^12,OFFSET(CRONOPLE!$F$14,$M145,AS$13))))</f>
        <v>1000000000000</v>
      </c>
      <c r="AT145" s="181">
        <f ca="1">IF($D145&lt;&gt;"Serviço",0,IF(AND(AUTOEVENTO="Manual",$M145=1),0,IF(OFFSET(CRONOPLE!$F$14,$M145,AT$13)="",10^12,OFFSET(CRONOPLE!$F$14,$M145,AT$13))))</f>
        <v>1000000000000</v>
      </c>
      <c r="AU145" s="181">
        <f ca="1">IF($D145&lt;&gt;"Serviço",0,IF(AND(AUTOEVENTO="Manual",$M145=1),0,IF(OFFSET(CRONOPLE!$F$14,$M145,AU$13)="",10^12,OFFSET(CRONOPLE!$F$14,$M145,AU$13))))</f>
        <v>1000000000000</v>
      </c>
      <c r="AV145" s="181">
        <f ca="1">IF($D145&lt;&gt;"Serviço",0,IF(AND(AUTOEVENTO="Manual",$M145=1),0,IF(OFFSET(CRONOPLE!$F$14,$M145,AV$13)="",10^12,OFFSET(CRONOPLE!$F$14,$M145,AV$13))))</f>
        <v>1000000000000</v>
      </c>
      <c r="AX145" s="182">
        <f ca="1">IF($D145&lt;&gt;"Serviço",0,IF(OR(AND(AUTOEVENTO="Manual",$M145=1),$M145&gt;(ROW(PLE.lastrow)-ROW(PLE.firstrow))),0,IF(OFFSET(PLE!$G$14,$M145,AX$13)="",10^12,OFFSET(PLE!$G$14,$M145,AX$13))))</f>
        <v>1000000000000</v>
      </c>
      <c r="AY145" s="182">
        <f ca="1">IF($D145&lt;&gt;"Serviço",0,IF(OR(AND(AUTOEVENTO="Manual",$M145=1),$M145&gt;(ROW(PLE.lastrow)-ROW(PLE.firstrow))),0,IF(OFFSET(PLE!$G$14,$M145,AY$13)="",10^12,OFFSET(PLE!$G$14,$M145,AY$13))))</f>
        <v>1000000000000</v>
      </c>
      <c r="AZ145" s="182">
        <f ca="1">IF($D145&lt;&gt;"Serviço",0,IF(OR(AND(AUTOEVENTO="Manual",$M145=1),$M145&gt;(ROW(PLE.lastrow)-ROW(PLE.firstrow))),0,IF(OFFSET(PLE!$G$14,$M145,AZ$13)="",10^12,OFFSET(PLE!$G$14,$M145,AZ$13))))</f>
        <v>1000000000000</v>
      </c>
      <c r="BA145" s="182">
        <f ca="1">IF($D145&lt;&gt;"Serviço",0,IF(OR(AND(AUTOEVENTO="Manual",$M145=1),$M145&gt;(ROW(PLE.lastrow)-ROW(PLE.firstrow))),0,IF(OFFSET(PLE!$G$14,$M145,BA$13)="",10^12,OFFSET(PLE!$G$14,$M145,BA$13))))</f>
        <v>1000000000000</v>
      </c>
      <c r="BB145" s="182">
        <f ca="1">IF($D145&lt;&gt;"Serviço",0,IF(OR(AND(AUTOEVENTO="Manual",$M145=1),$M145&gt;(ROW(PLE.lastrow)-ROW(PLE.firstrow))),0,IF(OFFSET(PLE!$G$14,$M145,BB$13)="",10^12,OFFSET(PLE!$G$14,$M145,BB$13))))</f>
        <v>1000000000000</v>
      </c>
      <c r="BC145" s="182">
        <f ca="1">IF($D145&lt;&gt;"Serviço",0,IF(OR(AND(AUTOEVENTO="Manual",$M145=1),$M145&gt;(ROW(PLE.lastrow)-ROW(PLE.firstrow))),0,IF(OFFSET(PLE!$G$14,$M145,BC$13)="",10^12,OFFSET(PLE!$G$14,$M145,BC$13))))</f>
        <v>1000000000000</v>
      </c>
      <c r="BD145" s="182">
        <f ca="1">IF($D145&lt;&gt;"Serviço",0,IF(OR(AND(AUTOEVENTO="Manual",$M145=1),$M145&gt;(ROW(PLE.lastrow)-ROW(PLE.firstrow))),0,IF(OFFSET(PLE!$G$14,$M145,BD$13)="",10^12,OFFSET(PLE!$G$14,$M145,BD$13))))</f>
        <v>1000000000000</v>
      </c>
      <c r="BE145" s="182">
        <f ca="1">IF($D145&lt;&gt;"Serviço",0,IF(OR(AND(AUTOEVENTO="Manual",$M145=1),$M145&gt;(ROW(PLE.lastrow)-ROW(PLE.firstrow))),0,IF(OFFSET(PLE!$G$14,$M145,BE$13)="",10^12,OFFSET(PLE!$G$14,$M145,BE$13))))</f>
        <v>1000000000000</v>
      </c>
      <c r="BF145" s="182">
        <f ca="1">IF($D145&lt;&gt;"Serviço",0,IF(OR(AND(AUTOEVENTO="Manual",$M145=1),$M145&gt;(ROW(PLE.lastrow)-ROW(PLE.firstrow))),0,IF(OFFSET(PLE!$G$14,$M145,BF$13)="",10^12,OFFSET(PLE!$G$14,$M145,BF$13))))</f>
        <v>1000000000000</v>
      </c>
      <c r="BG145" s="182">
        <f ca="1">IF($D145&lt;&gt;"Serviço",0,IF(OR(AND(AUTOEVENTO="Manual",$M145=1),$M145&gt;(ROW(PLE.lastrow)-ROW(PLE.firstrow))),0,IF(OFFSET(PLE!$G$14,$M145,BG$13)="",10^12,OFFSET(PLE!$G$14,$M145,BG$13))))</f>
        <v>1000000000000</v>
      </c>
    </row>
    <row r="146" spans="1:59" ht="51" x14ac:dyDescent="0.2">
      <c r="A146" s="7" t="str">
        <f t="shared" ca="1" si="9"/>
        <v>108</v>
      </c>
      <c r="B146" s="7" t="str">
        <f ca="1">OFFSET(ORÇAMENTO!C$15,ROW(B146)-ROW(B$15),0)</f>
        <v>S</v>
      </c>
      <c r="C146" s="7" t="str">
        <f ca="1">OFFSET(ORÇAMENTO!L$15,ROW(C146)-ROW(C$15),0)</f>
        <v/>
      </c>
      <c r="D146" s="118" t="str">
        <f ca="1">OFFSET(ORÇAMENTO!N$15,ROW(D146)-ROW(D$15),0)</f>
        <v>Serviço</v>
      </c>
      <c r="E146" s="119" t="str">
        <f ca="1">OFFSET(ORÇAMENTO!O$15,ROW(E146)-ROW(E$15),0)</f>
        <v>-</v>
      </c>
      <c r="F146" s="172" t="str">
        <f ca="1">OFFSET(ORÇAMENTO!R$15,ROW(F146)-ROW(F$15),0)</f>
        <v>(abra o arquivo 'Referência 02-2025.xlsm)</v>
      </c>
      <c r="G146" s="173" t="str">
        <f ca="1">IF($D146&lt;&gt;"Serviço","",OFFSET(ORÇAMENTO!S$15,ROW(G146)-ROW(G$15),0))</f>
        <v>-</v>
      </c>
      <c r="H146" s="124">
        <f ca="1">IF($D146&lt;&gt;"Serviço",0,IF(ACOMPANHAMENTO="BM",ROUND(OFFSET(ORÇAMENTO!AJ$15,ROW(H146)-ROW(H$15),0),15-13*ORÇAMENTO!$AF$7),SUMPRODUCT(($Q$12:$AA$12&lt;&gt;"")*ROUND($Q146:$AA146,15-13*ORÇAMENTO!$AF$7))))</f>
        <v>1.6</v>
      </c>
      <c r="I146" s="561" t="s">
        <v>890</v>
      </c>
      <c r="K146" s="174"/>
      <c r="L146" s="175" t="s">
        <v>255</v>
      </c>
      <c r="M146" s="176">
        <f ca="1">IF($D146&lt;&gt;"Serviço","",IF(AUTOEVENTO="manual",$A146,IF(ISERROR(MATCH($A146,$A$15:OFFSET($A146,-1,0),0)),MAX($M$15:OFFSET(M146,-1,0))+1,INDEX($M$15:OFFSET(M146,-1,0),MATCH($A146,$A$15:OFFSET($A146,-1,0),0)))))</f>
        <v>7</v>
      </c>
      <c r="N146" s="177" t="str">
        <f ca="1">IF($D146&lt;&gt;"Serviço","",IF(AUTOEVENTO="Manual",IF($A146=0,"&lt;-- defina o número do agrupador",OFFSET(EVENTOS!$D$14,$A146,0)),OFFSET($F$15,$A146,0)))</f>
        <v>ESQUADRIAS</v>
      </c>
      <c r="O146" s="178"/>
      <c r="Q146" s="178"/>
      <c r="R146" s="179"/>
      <c r="S146" s="179"/>
      <c r="T146" s="179"/>
      <c r="U146" s="179"/>
      <c r="V146" s="179"/>
      <c r="W146" s="179"/>
      <c r="X146" s="179"/>
      <c r="Y146" s="179"/>
      <c r="Z146" s="180"/>
      <c r="AB146" s="544">
        <f ca="1">IF(AND($D146="Serviço",AB$12&lt;&gt;0,$H146&gt;0,OR(AUTOEVENTO&lt;&gt;"manual",$M146&lt;&gt;1)),
IF(Import.TipoArredondamento&lt;&gt;"TransfereGOV",
ROUND(OFFSET($P146,0,AB$13),15-13*ORÇAMENTO!$AF$7)/$H146*OFFSET(ORÇAMENTO!$X$15,ROW(AB146)-ROW(AB$15),0),
ROUND(ROUND(OFFSET($P146,0,AB$13),15-13*ORÇAMENTO!$AF$7)*OFFSET(ORÇAMENTO!$W$15,ROW(AB146)-ROW(AB$15),0),15-13*ORÇAMENTO!$AF$11)),0)</f>
        <v>0</v>
      </c>
      <c r="AC146" s="545">
        <f ca="1">IF(AND($D146="Serviço",AC$12&lt;&gt;0,$H146&gt;0,OR(AUTOEVENTO&lt;&gt;"manual",$M146&lt;&gt;1)),
IF(Import.TipoArredondamento&lt;&gt;"TransfereGOV",
ROUND(OFFSET($P146,0,AC$13),15-13*ORÇAMENTO!$AF$7)/$H146*OFFSET(ORÇAMENTO!$X$15,ROW(AC146)-ROW(AC$15),0),
ROUND(ROUND(OFFSET($P146,0,AC$13),15-13*ORÇAMENTO!$AF$7)*OFFSET(ORÇAMENTO!$W$15,ROW(AC146)-ROW(AC$15),0),15-13*ORÇAMENTO!$AF$11)),0)</f>
        <v>0</v>
      </c>
      <c r="AD146" s="545">
        <f ca="1">IF(AND($D146="Serviço",AD$12&lt;&gt;0,$H146&gt;0,OR(AUTOEVENTO&lt;&gt;"manual",$M146&lt;&gt;1)),
IF(Import.TipoArredondamento&lt;&gt;"TransfereGOV",
ROUND(OFFSET($P146,0,AD$13),15-13*ORÇAMENTO!$AF$7)/$H146*OFFSET(ORÇAMENTO!$X$15,ROW(AD146)-ROW(AD$15),0),
ROUND(ROUND(OFFSET($P146,0,AD$13),15-13*ORÇAMENTO!$AF$7)*OFFSET(ORÇAMENTO!$W$15,ROW(AD146)-ROW(AD$15),0),15-13*ORÇAMENTO!$AF$11)),0)</f>
        <v>0</v>
      </c>
      <c r="AE146" s="545">
        <f ca="1">IF(AND($D146="Serviço",AE$12&lt;&gt;0,$H146&gt;0,OR(AUTOEVENTO&lt;&gt;"manual",$M146&lt;&gt;1)),
IF(Import.TipoArredondamento&lt;&gt;"TransfereGOV",
ROUND(OFFSET($P146,0,AE$13),15-13*ORÇAMENTO!$AF$7)/$H146*OFFSET(ORÇAMENTO!$X$15,ROW(AE146)-ROW(AE$15),0),
ROUND(ROUND(OFFSET($P146,0,AE$13),15-13*ORÇAMENTO!$AF$7)*OFFSET(ORÇAMENTO!$W$15,ROW(AE146)-ROW(AE$15),0),15-13*ORÇAMENTO!$AF$11)),0)</f>
        <v>0</v>
      </c>
      <c r="AF146" s="545">
        <f ca="1">IF(AND($D146="Serviço",AF$12&lt;&gt;0,$H146&gt;0,OR(AUTOEVENTO&lt;&gt;"manual",$M146&lt;&gt;1)),
IF(Import.TipoArredondamento&lt;&gt;"TransfereGOV",
ROUND(OFFSET($P146,0,AF$13),15-13*ORÇAMENTO!$AF$7)/$H146*OFFSET(ORÇAMENTO!$X$15,ROW(AF146)-ROW(AF$15),0),
ROUND(ROUND(OFFSET($P146,0,AF$13),15-13*ORÇAMENTO!$AF$7)*OFFSET(ORÇAMENTO!$W$15,ROW(AF146)-ROW(AF$15),0),15-13*ORÇAMENTO!$AF$11)),0)</f>
        <v>0</v>
      </c>
      <c r="AG146" s="545">
        <f ca="1">IF(AND($D146="Serviço",AG$12&lt;&gt;0,$H146&gt;0,OR(AUTOEVENTO&lt;&gt;"manual",$M146&lt;&gt;1)),
IF(Import.TipoArredondamento&lt;&gt;"TransfereGOV",
ROUND(OFFSET($P146,0,AG$13),15-13*ORÇAMENTO!$AF$7)/$H146*OFFSET(ORÇAMENTO!$X$15,ROW(AG146)-ROW(AG$15),0),
ROUND(ROUND(OFFSET($P146,0,AG$13),15-13*ORÇAMENTO!$AF$7)*OFFSET(ORÇAMENTO!$W$15,ROW(AG146)-ROW(AG$15),0),15-13*ORÇAMENTO!$AF$11)),0)</f>
        <v>0</v>
      </c>
      <c r="AH146" s="545">
        <f ca="1">IF(AND($D146="Serviço",AH$12&lt;&gt;0,$H146&gt;0,OR(AUTOEVENTO&lt;&gt;"manual",$M146&lt;&gt;1)),
IF(Import.TipoArredondamento&lt;&gt;"TransfereGOV",
ROUND(OFFSET($P146,0,AH$13),15-13*ORÇAMENTO!$AF$7)/$H146*OFFSET(ORÇAMENTO!$X$15,ROW(AH146)-ROW(AH$15),0),
ROUND(ROUND(OFFSET($P146,0,AH$13),15-13*ORÇAMENTO!$AF$7)*OFFSET(ORÇAMENTO!$W$15,ROW(AH146)-ROW(AH$15),0),15-13*ORÇAMENTO!$AF$11)),0)</f>
        <v>0</v>
      </c>
      <c r="AI146" s="545">
        <f ca="1">IF(AND($D146="Serviço",AI$12&lt;&gt;0,$H146&gt;0,OR(AUTOEVENTO&lt;&gt;"manual",$M146&lt;&gt;1)),
IF(Import.TipoArredondamento&lt;&gt;"TransfereGOV",
ROUND(OFFSET($P146,0,AI$13),15-13*ORÇAMENTO!$AF$7)/$H146*OFFSET(ORÇAMENTO!$X$15,ROW(AI146)-ROW(AI$15),0),
ROUND(ROUND(OFFSET($P146,0,AI$13),15-13*ORÇAMENTO!$AF$7)*OFFSET(ORÇAMENTO!$W$15,ROW(AI146)-ROW(AI$15),0),15-13*ORÇAMENTO!$AF$11)),0)</f>
        <v>0</v>
      </c>
      <c r="AJ146" s="545">
        <f ca="1">IF(AND($D146="Serviço",AJ$12&lt;&gt;0,$H146&gt;0,OR(AUTOEVENTO&lt;&gt;"manual",$M146&lt;&gt;1)),
IF(Import.TipoArredondamento&lt;&gt;"TransfereGOV",
ROUND(OFFSET($P146,0,AJ$13),15-13*ORÇAMENTO!$AF$7)/$H146*OFFSET(ORÇAMENTO!$X$15,ROW(AJ146)-ROW(AJ$15),0),
ROUND(ROUND(OFFSET($P146,0,AJ$13),15-13*ORÇAMENTO!$AF$7)*OFFSET(ORÇAMENTO!$W$15,ROW(AJ146)-ROW(AJ$15),0),15-13*ORÇAMENTO!$AF$11)),0)</f>
        <v>0</v>
      </c>
      <c r="AK146" s="546">
        <f ca="1">IF(AND($D146="Serviço",AK$12&lt;&gt;0,$H146&gt;0,OR(AUTOEVENTO&lt;&gt;"manual",$M146&lt;&gt;1)),
IF(Import.TipoArredondamento&lt;&gt;"TransfereGOV",
ROUND(OFFSET($P146,0,AK$13),15-13*ORÇAMENTO!$AF$7)/$H146*OFFSET(ORÇAMENTO!$X$15,ROW(AK146)-ROW(AK$15),0),
ROUND(ROUND(OFFSET($P146,0,AK$13),15-13*ORÇAMENTO!$AF$7)*OFFSET(ORÇAMENTO!$W$15,ROW(AK146)-ROW(AK$15),0),15-13*ORÇAMENTO!$AF$11)),0)</f>
        <v>0</v>
      </c>
      <c r="AM146" s="181">
        <f ca="1">IF($D146&lt;&gt;"Serviço",0,IF(AND(AUTOEVENTO="Manual",$M146=1),0,IF(OFFSET(CRONOPLE!$F$14,$M146,AM$13)="",10^12,OFFSET(CRONOPLE!$F$14,$M146,AM$13))))</f>
        <v>1000000000000</v>
      </c>
      <c r="AN146" s="181">
        <f ca="1">IF($D146&lt;&gt;"Serviço",0,IF(AND(AUTOEVENTO="Manual",$M146=1),0,IF(OFFSET(CRONOPLE!$F$14,$M146,AN$13)="",10^12,OFFSET(CRONOPLE!$F$14,$M146,AN$13))))</f>
        <v>1000000000000</v>
      </c>
      <c r="AO146" s="181">
        <f ca="1">IF($D146&lt;&gt;"Serviço",0,IF(AND(AUTOEVENTO="Manual",$M146=1),0,IF(OFFSET(CRONOPLE!$F$14,$M146,AO$13)="",10^12,OFFSET(CRONOPLE!$F$14,$M146,AO$13))))</f>
        <v>1000000000000</v>
      </c>
      <c r="AP146" s="181">
        <f ca="1">IF($D146&lt;&gt;"Serviço",0,IF(AND(AUTOEVENTO="Manual",$M146=1),0,IF(OFFSET(CRONOPLE!$F$14,$M146,AP$13)="",10^12,OFFSET(CRONOPLE!$F$14,$M146,AP$13))))</f>
        <v>1000000000000</v>
      </c>
      <c r="AQ146" s="181">
        <f ca="1">IF($D146&lt;&gt;"Serviço",0,IF(AND(AUTOEVENTO="Manual",$M146=1),0,IF(OFFSET(CRONOPLE!$F$14,$M146,AQ$13)="",10^12,OFFSET(CRONOPLE!$F$14,$M146,AQ$13))))</f>
        <v>1000000000000</v>
      </c>
      <c r="AR146" s="181">
        <f ca="1">IF($D146&lt;&gt;"Serviço",0,IF(AND(AUTOEVENTO="Manual",$M146=1),0,IF(OFFSET(CRONOPLE!$F$14,$M146,AR$13)="",10^12,OFFSET(CRONOPLE!$F$14,$M146,AR$13))))</f>
        <v>1000000000000</v>
      </c>
      <c r="AS146" s="181">
        <f ca="1">IF($D146&lt;&gt;"Serviço",0,IF(AND(AUTOEVENTO="Manual",$M146=1),0,IF(OFFSET(CRONOPLE!$F$14,$M146,AS$13)="",10^12,OFFSET(CRONOPLE!$F$14,$M146,AS$13))))</f>
        <v>1000000000000</v>
      </c>
      <c r="AT146" s="181">
        <f ca="1">IF($D146&lt;&gt;"Serviço",0,IF(AND(AUTOEVENTO="Manual",$M146=1),0,IF(OFFSET(CRONOPLE!$F$14,$M146,AT$13)="",10^12,OFFSET(CRONOPLE!$F$14,$M146,AT$13))))</f>
        <v>1000000000000</v>
      </c>
      <c r="AU146" s="181">
        <f ca="1">IF($D146&lt;&gt;"Serviço",0,IF(AND(AUTOEVENTO="Manual",$M146=1),0,IF(OFFSET(CRONOPLE!$F$14,$M146,AU$13)="",10^12,OFFSET(CRONOPLE!$F$14,$M146,AU$13))))</f>
        <v>1000000000000</v>
      </c>
      <c r="AV146" s="181">
        <f ca="1">IF($D146&lt;&gt;"Serviço",0,IF(AND(AUTOEVENTO="Manual",$M146=1),0,IF(OFFSET(CRONOPLE!$F$14,$M146,AV$13)="",10^12,OFFSET(CRONOPLE!$F$14,$M146,AV$13))))</f>
        <v>1000000000000</v>
      </c>
      <c r="AX146" s="182">
        <f ca="1">IF($D146&lt;&gt;"Serviço",0,IF(OR(AND(AUTOEVENTO="Manual",$M146=1),$M146&gt;(ROW(PLE.lastrow)-ROW(PLE.firstrow))),0,IF(OFFSET(PLE!$G$14,$M146,AX$13)="",10^12,OFFSET(PLE!$G$14,$M146,AX$13))))</f>
        <v>1000000000000</v>
      </c>
      <c r="AY146" s="182">
        <f ca="1">IF($D146&lt;&gt;"Serviço",0,IF(OR(AND(AUTOEVENTO="Manual",$M146=1),$M146&gt;(ROW(PLE.lastrow)-ROW(PLE.firstrow))),0,IF(OFFSET(PLE!$G$14,$M146,AY$13)="",10^12,OFFSET(PLE!$G$14,$M146,AY$13))))</f>
        <v>1000000000000</v>
      </c>
      <c r="AZ146" s="182">
        <f ca="1">IF($D146&lt;&gt;"Serviço",0,IF(OR(AND(AUTOEVENTO="Manual",$M146=1),$M146&gt;(ROW(PLE.lastrow)-ROW(PLE.firstrow))),0,IF(OFFSET(PLE!$G$14,$M146,AZ$13)="",10^12,OFFSET(PLE!$G$14,$M146,AZ$13))))</f>
        <v>1000000000000</v>
      </c>
      <c r="BA146" s="182">
        <f ca="1">IF($D146&lt;&gt;"Serviço",0,IF(OR(AND(AUTOEVENTO="Manual",$M146=1),$M146&gt;(ROW(PLE.lastrow)-ROW(PLE.firstrow))),0,IF(OFFSET(PLE!$G$14,$M146,BA$13)="",10^12,OFFSET(PLE!$G$14,$M146,BA$13))))</f>
        <v>1000000000000</v>
      </c>
      <c r="BB146" s="182">
        <f ca="1">IF($D146&lt;&gt;"Serviço",0,IF(OR(AND(AUTOEVENTO="Manual",$M146=1),$M146&gt;(ROW(PLE.lastrow)-ROW(PLE.firstrow))),0,IF(OFFSET(PLE!$G$14,$M146,BB$13)="",10^12,OFFSET(PLE!$G$14,$M146,BB$13))))</f>
        <v>1000000000000</v>
      </c>
      <c r="BC146" s="182">
        <f ca="1">IF($D146&lt;&gt;"Serviço",0,IF(OR(AND(AUTOEVENTO="Manual",$M146=1),$M146&gt;(ROW(PLE.lastrow)-ROW(PLE.firstrow))),0,IF(OFFSET(PLE!$G$14,$M146,BC$13)="",10^12,OFFSET(PLE!$G$14,$M146,BC$13))))</f>
        <v>1000000000000</v>
      </c>
      <c r="BD146" s="182">
        <f ca="1">IF($D146&lt;&gt;"Serviço",0,IF(OR(AND(AUTOEVENTO="Manual",$M146=1),$M146&gt;(ROW(PLE.lastrow)-ROW(PLE.firstrow))),0,IF(OFFSET(PLE!$G$14,$M146,BD$13)="",10^12,OFFSET(PLE!$G$14,$M146,BD$13))))</f>
        <v>1000000000000</v>
      </c>
      <c r="BE146" s="182">
        <f ca="1">IF($D146&lt;&gt;"Serviço",0,IF(OR(AND(AUTOEVENTO="Manual",$M146=1),$M146&gt;(ROW(PLE.lastrow)-ROW(PLE.firstrow))),0,IF(OFFSET(PLE!$G$14,$M146,BE$13)="",10^12,OFFSET(PLE!$G$14,$M146,BE$13))))</f>
        <v>1000000000000</v>
      </c>
      <c r="BF146" s="182">
        <f ca="1">IF($D146&lt;&gt;"Serviço",0,IF(OR(AND(AUTOEVENTO="Manual",$M146=1),$M146&gt;(ROW(PLE.lastrow)-ROW(PLE.firstrow))),0,IF(OFFSET(PLE!$G$14,$M146,BF$13)="",10^12,OFFSET(PLE!$G$14,$M146,BF$13))))</f>
        <v>1000000000000</v>
      </c>
      <c r="BG146" s="182">
        <f ca="1">IF($D146&lt;&gt;"Serviço",0,IF(OR(AND(AUTOEVENTO="Manual",$M146=1),$M146&gt;(ROW(PLE.lastrow)-ROW(PLE.firstrow))),0,IF(OFFSET(PLE!$G$14,$M146,BG$13)="",10^12,OFFSET(PLE!$G$14,$M146,BG$13))))</f>
        <v>1000000000000</v>
      </c>
    </row>
    <row r="147" spans="1:59" ht="38.25" x14ac:dyDescent="0.2">
      <c r="A147" s="7" t="str">
        <f t="shared" ca="1" si="9"/>
        <v>108</v>
      </c>
      <c r="B147" s="7" t="str">
        <f ca="1">OFFSET(ORÇAMENTO!C$15,ROW(B147)-ROW(B$15),0)</f>
        <v>S</v>
      </c>
      <c r="C147" s="7" t="str">
        <f ca="1">OFFSET(ORÇAMENTO!L$15,ROW(C147)-ROW(C$15),0)</f>
        <v/>
      </c>
      <c r="D147" s="118" t="str">
        <f ca="1">OFFSET(ORÇAMENTO!N$15,ROW(D147)-ROW(D$15),0)</f>
        <v>Serviço</v>
      </c>
      <c r="E147" s="119" t="str">
        <f ca="1">OFFSET(ORÇAMENTO!O$15,ROW(E147)-ROW(E$15),0)</f>
        <v>-</v>
      </c>
      <c r="F147" s="172" t="str">
        <f ca="1">OFFSET(ORÇAMENTO!R$15,ROW(F147)-ROW(F$15),0)</f>
        <v>(abra o arquivo 'Referência 02-2025.xlsm)</v>
      </c>
      <c r="G147" s="173" t="str">
        <f ca="1">IF($D147&lt;&gt;"Serviço","",OFFSET(ORÇAMENTO!S$15,ROW(G147)-ROW(G$15),0))</f>
        <v>-</v>
      </c>
      <c r="H147" s="124">
        <f ca="1">IF($D147&lt;&gt;"Serviço",0,IF(ACOMPANHAMENTO="BM",ROUND(OFFSET(ORÇAMENTO!AJ$15,ROW(H147)-ROW(H$15),0),15-13*ORÇAMENTO!$AF$7),SUMPRODUCT(($Q$12:$AA$12&lt;&gt;"")*ROUND($Q147:$AA147,15-13*ORÇAMENTO!$AF$7))))</f>
        <v>3.22</v>
      </c>
      <c r="I147" s="561" t="s">
        <v>890</v>
      </c>
      <c r="K147" s="174"/>
      <c r="L147" s="175" t="s">
        <v>255</v>
      </c>
      <c r="M147" s="176">
        <f ca="1">IF($D147&lt;&gt;"Serviço","",IF(AUTOEVENTO="manual",$A147,IF(ISERROR(MATCH($A147,$A$15:OFFSET($A147,-1,0),0)),MAX($M$15:OFFSET(M147,-1,0))+1,INDEX($M$15:OFFSET(M147,-1,0),MATCH($A147,$A$15:OFFSET($A147,-1,0),0)))))</f>
        <v>7</v>
      </c>
      <c r="N147" s="177" t="str">
        <f ca="1">IF($D147&lt;&gt;"Serviço","",IF(AUTOEVENTO="Manual",IF($A147=0,"&lt;-- defina o número do agrupador",OFFSET(EVENTOS!$D$14,$A147,0)),OFFSET($F$15,$A147,0)))</f>
        <v>ESQUADRIAS</v>
      </c>
      <c r="O147" s="178"/>
      <c r="Q147" s="178"/>
      <c r="R147" s="179"/>
      <c r="S147" s="179"/>
      <c r="T147" s="179"/>
      <c r="U147" s="179"/>
      <c r="V147" s="179"/>
      <c r="W147" s="179"/>
      <c r="X147" s="179"/>
      <c r="Y147" s="179"/>
      <c r="Z147" s="180"/>
      <c r="AB147" s="544">
        <f ca="1">IF(AND($D147="Serviço",AB$12&lt;&gt;0,$H147&gt;0,OR(AUTOEVENTO&lt;&gt;"manual",$M147&lt;&gt;1)),
IF(Import.TipoArredondamento&lt;&gt;"TransfereGOV",
ROUND(OFFSET($P147,0,AB$13),15-13*ORÇAMENTO!$AF$7)/$H147*OFFSET(ORÇAMENTO!$X$15,ROW(AB147)-ROW(AB$15),0),
ROUND(ROUND(OFFSET($P147,0,AB$13),15-13*ORÇAMENTO!$AF$7)*OFFSET(ORÇAMENTO!$W$15,ROW(AB147)-ROW(AB$15),0),15-13*ORÇAMENTO!$AF$11)),0)</f>
        <v>0</v>
      </c>
      <c r="AC147" s="545">
        <f ca="1">IF(AND($D147="Serviço",AC$12&lt;&gt;0,$H147&gt;0,OR(AUTOEVENTO&lt;&gt;"manual",$M147&lt;&gt;1)),
IF(Import.TipoArredondamento&lt;&gt;"TransfereGOV",
ROUND(OFFSET($P147,0,AC$13),15-13*ORÇAMENTO!$AF$7)/$H147*OFFSET(ORÇAMENTO!$X$15,ROW(AC147)-ROW(AC$15),0),
ROUND(ROUND(OFFSET($P147,0,AC$13),15-13*ORÇAMENTO!$AF$7)*OFFSET(ORÇAMENTO!$W$15,ROW(AC147)-ROW(AC$15),0),15-13*ORÇAMENTO!$AF$11)),0)</f>
        <v>0</v>
      </c>
      <c r="AD147" s="545">
        <f ca="1">IF(AND($D147="Serviço",AD$12&lt;&gt;0,$H147&gt;0,OR(AUTOEVENTO&lt;&gt;"manual",$M147&lt;&gt;1)),
IF(Import.TipoArredondamento&lt;&gt;"TransfereGOV",
ROUND(OFFSET($P147,0,AD$13),15-13*ORÇAMENTO!$AF$7)/$H147*OFFSET(ORÇAMENTO!$X$15,ROW(AD147)-ROW(AD$15),0),
ROUND(ROUND(OFFSET($P147,0,AD$13),15-13*ORÇAMENTO!$AF$7)*OFFSET(ORÇAMENTO!$W$15,ROW(AD147)-ROW(AD$15),0),15-13*ORÇAMENTO!$AF$11)),0)</f>
        <v>0</v>
      </c>
      <c r="AE147" s="545">
        <f ca="1">IF(AND($D147="Serviço",AE$12&lt;&gt;0,$H147&gt;0,OR(AUTOEVENTO&lt;&gt;"manual",$M147&lt;&gt;1)),
IF(Import.TipoArredondamento&lt;&gt;"TransfereGOV",
ROUND(OFFSET($P147,0,AE$13),15-13*ORÇAMENTO!$AF$7)/$H147*OFFSET(ORÇAMENTO!$X$15,ROW(AE147)-ROW(AE$15),0),
ROUND(ROUND(OFFSET($P147,0,AE$13),15-13*ORÇAMENTO!$AF$7)*OFFSET(ORÇAMENTO!$W$15,ROW(AE147)-ROW(AE$15),0),15-13*ORÇAMENTO!$AF$11)),0)</f>
        <v>0</v>
      </c>
      <c r="AF147" s="545">
        <f ca="1">IF(AND($D147="Serviço",AF$12&lt;&gt;0,$H147&gt;0,OR(AUTOEVENTO&lt;&gt;"manual",$M147&lt;&gt;1)),
IF(Import.TipoArredondamento&lt;&gt;"TransfereGOV",
ROUND(OFFSET($P147,0,AF$13),15-13*ORÇAMENTO!$AF$7)/$H147*OFFSET(ORÇAMENTO!$X$15,ROW(AF147)-ROW(AF$15),0),
ROUND(ROUND(OFFSET($P147,0,AF$13),15-13*ORÇAMENTO!$AF$7)*OFFSET(ORÇAMENTO!$W$15,ROW(AF147)-ROW(AF$15),0),15-13*ORÇAMENTO!$AF$11)),0)</f>
        <v>0</v>
      </c>
      <c r="AG147" s="545">
        <f ca="1">IF(AND($D147="Serviço",AG$12&lt;&gt;0,$H147&gt;0,OR(AUTOEVENTO&lt;&gt;"manual",$M147&lt;&gt;1)),
IF(Import.TipoArredondamento&lt;&gt;"TransfereGOV",
ROUND(OFFSET($P147,0,AG$13),15-13*ORÇAMENTO!$AF$7)/$H147*OFFSET(ORÇAMENTO!$X$15,ROW(AG147)-ROW(AG$15),0),
ROUND(ROUND(OFFSET($P147,0,AG$13),15-13*ORÇAMENTO!$AF$7)*OFFSET(ORÇAMENTO!$W$15,ROW(AG147)-ROW(AG$15),0),15-13*ORÇAMENTO!$AF$11)),0)</f>
        <v>0</v>
      </c>
      <c r="AH147" s="545">
        <f ca="1">IF(AND($D147="Serviço",AH$12&lt;&gt;0,$H147&gt;0,OR(AUTOEVENTO&lt;&gt;"manual",$M147&lt;&gt;1)),
IF(Import.TipoArredondamento&lt;&gt;"TransfereGOV",
ROUND(OFFSET($P147,0,AH$13),15-13*ORÇAMENTO!$AF$7)/$H147*OFFSET(ORÇAMENTO!$X$15,ROW(AH147)-ROW(AH$15),0),
ROUND(ROUND(OFFSET($P147,0,AH$13),15-13*ORÇAMENTO!$AF$7)*OFFSET(ORÇAMENTO!$W$15,ROW(AH147)-ROW(AH$15),0),15-13*ORÇAMENTO!$AF$11)),0)</f>
        <v>0</v>
      </c>
      <c r="AI147" s="545">
        <f ca="1">IF(AND($D147="Serviço",AI$12&lt;&gt;0,$H147&gt;0,OR(AUTOEVENTO&lt;&gt;"manual",$M147&lt;&gt;1)),
IF(Import.TipoArredondamento&lt;&gt;"TransfereGOV",
ROUND(OFFSET($P147,0,AI$13),15-13*ORÇAMENTO!$AF$7)/$H147*OFFSET(ORÇAMENTO!$X$15,ROW(AI147)-ROW(AI$15),0),
ROUND(ROUND(OFFSET($P147,0,AI$13),15-13*ORÇAMENTO!$AF$7)*OFFSET(ORÇAMENTO!$W$15,ROW(AI147)-ROW(AI$15),0),15-13*ORÇAMENTO!$AF$11)),0)</f>
        <v>0</v>
      </c>
      <c r="AJ147" s="545">
        <f ca="1">IF(AND($D147="Serviço",AJ$12&lt;&gt;0,$H147&gt;0,OR(AUTOEVENTO&lt;&gt;"manual",$M147&lt;&gt;1)),
IF(Import.TipoArredondamento&lt;&gt;"TransfereGOV",
ROUND(OFFSET($P147,0,AJ$13),15-13*ORÇAMENTO!$AF$7)/$H147*OFFSET(ORÇAMENTO!$X$15,ROW(AJ147)-ROW(AJ$15),0),
ROUND(ROUND(OFFSET($P147,0,AJ$13),15-13*ORÇAMENTO!$AF$7)*OFFSET(ORÇAMENTO!$W$15,ROW(AJ147)-ROW(AJ$15),0),15-13*ORÇAMENTO!$AF$11)),0)</f>
        <v>0</v>
      </c>
      <c r="AK147" s="546">
        <f ca="1">IF(AND($D147="Serviço",AK$12&lt;&gt;0,$H147&gt;0,OR(AUTOEVENTO&lt;&gt;"manual",$M147&lt;&gt;1)),
IF(Import.TipoArredondamento&lt;&gt;"TransfereGOV",
ROUND(OFFSET($P147,0,AK$13),15-13*ORÇAMENTO!$AF$7)/$H147*OFFSET(ORÇAMENTO!$X$15,ROW(AK147)-ROW(AK$15),0),
ROUND(ROUND(OFFSET($P147,0,AK$13),15-13*ORÇAMENTO!$AF$7)*OFFSET(ORÇAMENTO!$W$15,ROW(AK147)-ROW(AK$15),0),15-13*ORÇAMENTO!$AF$11)),0)</f>
        <v>0</v>
      </c>
      <c r="AM147" s="181">
        <f ca="1">IF($D147&lt;&gt;"Serviço",0,IF(AND(AUTOEVENTO="Manual",$M147=1),0,IF(OFFSET(CRONOPLE!$F$14,$M147,AM$13)="",10^12,OFFSET(CRONOPLE!$F$14,$M147,AM$13))))</f>
        <v>1000000000000</v>
      </c>
      <c r="AN147" s="181">
        <f ca="1">IF($D147&lt;&gt;"Serviço",0,IF(AND(AUTOEVENTO="Manual",$M147=1),0,IF(OFFSET(CRONOPLE!$F$14,$M147,AN$13)="",10^12,OFFSET(CRONOPLE!$F$14,$M147,AN$13))))</f>
        <v>1000000000000</v>
      </c>
      <c r="AO147" s="181">
        <f ca="1">IF($D147&lt;&gt;"Serviço",0,IF(AND(AUTOEVENTO="Manual",$M147=1),0,IF(OFFSET(CRONOPLE!$F$14,$M147,AO$13)="",10^12,OFFSET(CRONOPLE!$F$14,$M147,AO$13))))</f>
        <v>1000000000000</v>
      </c>
      <c r="AP147" s="181">
        <f ca="1">IF($D147&lt;&gt;"Serviço",0,IF(AND(AUTOEVENTO="Manual",$M147=1),0,IF(OFFSET(CRONOPLE!$F$14,$M147,AP$13)="",10^12,OFFSET(CRONOPLE!$F$14,$M147,AP$13))))</f>
        <v>1000000000000</v>
      </c>
      <c r="AQ147" s="181">
        <f ca="1">IF($D147&lt;&gt;"Serviço",0,IF(AND(AUTOEVENTO="Manual",$M147=1),0,IF(OFFSET(CRONOPLE!$F$14,$M147,AQ$13)="",10^12,OFFSET(CRONOPLE!$F$14,$M147,AQ$13))))</f>
        <v>1000000000000</v>
      </c>
      <c r="AR147" s="181">
        <f ca="1">IF($D147&lt;&gt;"Serviço",0,IF(AND(AUTOEVENTO="Manual",$M147=1),0,IF(OFFSET(CRONOPLE!$F$14,$M147,AR$13)="",10^12,OFFSET(CRONOPLE!$F$14,$M147,AR$13))))</f>
        <v>1000000000000</v>
      </c>
      <c r="AS147" s="181">
        <f ca="1">IF($D147&lt;&gt;"Serviço",0,IF(AND(AUTOEVENTO="Manual",$M147=1),0,IF(OFFSET(CRONOPLE!$F$14,$M147,AS$13)="",10^12,OFFSET(CRONOPLE!$F$14,$M147,AS$13))))</f>
        <v>1000000000000</v>
      </c>
      <c r="AT147" s="181">
        <f ca="1">IF($D147&lt;&gt;"Serviço",0,IF(AND(AUTOEVENTO="Manual",$M147=1),0,IF(OFFSET(CRONOPLE!$F$14,$M147,AT$13)="",10^12,OFFSET(CRONOPLE!$F$14,$M147,AT$13))))</f>
        <v>1000000000000</v>
      </c>
      <c r="AU147" s="181">
        <f ca="1">IF($D147&lt;&gt;"Serviço",0,IF(AND(AUTOEVENTO="Manual",$M147=1),0,IF(OFFSET(CRONOPLE!$F$14,$M147,AU$13)="",10^12,OFFSET(CRONOPLE!$F$14,$M147,AU$13))))</f>
        <v>1000000000000</v>
      </c>
      <c r="AV147" s="181">
        <f ca="1">IF($D147&lt;&gt;"Serviço",0,IF(AND(AUTOEVENTO="Manual",$M147=1),0,IF(OFFSET(CRONOPLE!$F$14,$M147,AV$13)="",10^12,OFFSET(CRONOPLE!$F$14,$M147,AV$13))))</f>
        <v>1000000000000</v>
      </c>
      <c r="AX147" s="182">
        <f ca="1">IF($D147&lt;&gt;"Serviço",0,IF(OR(AND(AUTOEVENTO="Manual",$M147=1),$M147&gt;(ROW(PLE.lastrow)-ROW(PLE.firstrow))),0,IF(OFFSET(PLE!$G$14,$M147,AX$13)="",10^12,OFFSET(PLE!$G$14,$M147,AX$13))))</f>
        <v>1000000000000</v>
      </c>
      <c r="AY147" s="182">
        <f ca="1">IF($D147&lt;&gt;"Serviço",0,IF(OR(AND(AUTOEVENTO="Manual",$M147=1),$M147&gt;(ROW(PLE.lastrow)-ROW(PLE.firstrow))),0,IF(OFFSET(PLE!$G$14,$M147,AY$13)="",10^12,OFFSET(PLE!$G$14,$M147,AY$13))))</f>
        <v>1000000000000</v>
      </c>
      <c r="AZ147" s="182">
        <f ca="1">IF($D147&lt;&gt;"Serviço",0,IF(OR(AND(AUTOEVENTO="Manual",$M147=1),$M147&gt;(ROW(PLE.lastrow)-ROW(PLE.firstrow))),0,IF(OFFSET(PLE!$G$14,$M147,AZ$13)="",10^12,OFFSET(PLE!$G$14,$M147,AZ$13))))</f>
        <v>1000000000000</v>
      </c>
      <c r="BA147" s="182">
        <f ca="1">IF($D147&lt;&gt;"Serviço",0,IF(OR(AND(AUTOEVENTO="Manual",$M147=1),$M147&gt;(ROW(PLE.lastrow)-ROW(PLE.firstrow))),0,IF(OFFSET(PLE!$G$14,$M147,BA$13)="",10^12,OFFSET(PLE!$G$14,$M147,BA$13))))</f>
        <v>1000000000000</v>
      </c>
      <c r="BB147" s="182">
        <f ca="1">IF($D147&lt;&gt;"Serviço",0,IF(OR(AND(AUTOEVENTO="Manual",$M147=1),$M147&gt;(ROW(PLE.lastrow)-ROW(PLE.firstrow))),0,IF(OFFSET(PLE!$G$14,$M147,BB$13)="",10^12,OFFSET(PLE!$G$14,$M147,BB$13))))</f>
        <v>1000000000000</v>
      </c>
      <c r="BC147" s="182">
        <f ca="1">IF($D147&lt;&gt;"Serviço",0,IF(OR(AND(AUTOEVENTO="Manual",$M147=1),$M147&gt;(ROW(PLE.lastrow)-ROW(PLE.firstrow))),0,IF(OFFSET(PLE!$G$14,$M147,BC$13)="",10^12,OFFSET(PLE!$G$14,$M147,BC$13))))</f>
        <v>1000000000000</v>
      </c>
      <c r="BD147" s="182">
        <f ca="1">IF($D147&lt;&gt;"Serviço",0,IF(OR(AND(AUTOEVENTO="Manual",$M147=1),$M147&gt;(ROW(PLE.lastrow)-ROW(PLE.firstrow))),0,IF(OFFSET(PLE!$G$14,$M147,BD$13)="",10^12,OFFSET(PLE!$G$14,$M147,BD$13))))</f>
        <v>1000000000000</v>
      </c>
      <c r="BE147" s="182">
        <f ca="1">IF($D147&lt;&gt;"Serviço",0,IF(OR(AND(AUTOEVENTO="Manual",$M147=1),$M147&gt;(ROW(PLE.lastrow)-ROW(PLE.firstrow))),0,IF(OFFSET(PLE!$G$14,$M147,BE$13)="",10^12,OFFSET(PLE!$G$14,$M147,BE$13))))</f>
        <v>1000000000000</v>
      </c>
      <c r="BF147" s="182">
        <f ca="1">IF($D147&lt;&gt;"Serviço",0,IF(OR(AND(AUTOEVENTO="Manual",$M147=1),$M147&gt;(ROW(PLE.lastrow)-ROW(PLE.firstrow))),0,IF(OFFSET(PLE!$G$14,$M147,BF$13)="",10^12,OFFSET(PLE!$G$14,$M147,BF$13))))</f>
        <v>1000000000000</v>
      </c>
      <c r="BG147" s="182">
        <f ca="1">IF($D147&lt;&gt;"Serviço",0,IF(OR(AND(AUTOEVENTO="Manual",$M147=1),$M147&gt;(ROW(PLE.lastrow)-ROW(PLE.firstrow))),0,IF(OFFSET(PLE!$G$14,$M147,BG$13)="",10^12,OFFSET(PLE!$G$14,$M147,BG$13))))</f>
        <v>1000000000000</v>
      </c>
    </row>
    <row r="148" spans="1:59" ht="51" x14ac:dyDescent="0.2">
      <c r="A148" s="7" t="str">
        <f t="shared" ca="1" si="9"/>
        <v>108</v>
      </c>
      <c r="B148" s="7" t="str">
        <f ca="1">OFFSET(ORÇAMENTO!C$15,ROW(B148)-ROW(B$15),0)</f>
        <v>S</v>
      </c>
      <c r="C148" s="7" t="str">
        <f ca="1">OFFSET(ORÇAMENTO!L$15,ROW(C148)-ROW(C$15),0)</f>
        <v/>
      </c>
      <c r="D148" s="118" t="str">
        <f ca="1">OFFSET(ORÇAMENTO!N$15,ROW(D148)-ROW(D$15),0)</f>
        <v>Serviço</v>
      </c>
      <c r="E148" s="119" t="str">
        <f ca="1">OFFSET(ORÇAMENTO!O$15,ROW(E148)-ROW(E$15),0)</f>
        <v>-</v>
      </c>
      <c r="F148" s="172" t="str">
        <f ca="1">OFFSET(ORÇAMENTO!R$15,ROW(F148)-ROW(F$15),0)</f>
        <v>(abra o arquivo 'Referência 02-2025.xlsm)</v>
      </c>
      <c r="G148" s="173" t="str">
        <f ca="1">IF($D148&lt;&gt;"Serviço","",OFFSET(ORÇAMENTO!S$15,ROW(G148)-ROW(G$15),0))</f>
        <v>-</v>
      </c>
      <c r="H148" s="124">
        <f ca="1">IF($D148&lt;&gt;"Serviço",0,IF(ACOMPANHAMENTO="BM",ROUND(OFFSET(ORÇAMENTO!AJ$15,ROW(H148)-ROW(H$15),0),15-13*ORÇAMENTO!$AF$7),SUMPRODUCT(($Q$12:$AA$12&lt;&gt;"")*ROUND($Q148:$AA148,15-13*ORÇAMENTO!$AF$7))))</f>
        <v>2.0299999999999998</v>
      </c>
      <c r="I148" s="561" t="s">
        <v>890</v>
      </c>
      <c r="K148" s="174"/>
      <c r="L148" s="175" t="s">
        <v>255</v>
      </c>
      <c r="M148" s="176">
        <f ca="1">IF($D148&lt;&gt;"Serviço","",IF(AUTOEVENTO="manual",$A148,IF(ISERROR(MATCH($A148,$A$15:OFFSET($A148,-1,0),0)),MAX($M$15:OFFSET(M148,-1,0))+1,INDEX($M$15:OFFSET(M148,-1,0),MATCH($A148,$A$15:OFFSET($A148,-1,0),0)))))</f>
        <v>7</v>
      </c>
      <c r="N148" s="177" t="str">
        <f ca="1">IF($D148&lt;&gt;"Serviço","",IF(AUTOEVENTO="Manual",IF($A148=0,"&lt;-- defina o número do agrupador",OFFSET(EVENTOS!$D$14,$A148,0)),OFFSET($F$15,$A148,0)))</f>
        <v>ESQUADRIAS</v>
      </c>
      <c r="O148" s="178"/>
      <c r="Q148" s="178"/>
      <c r="R148" s="179"/>
      <c r="S148" s="179"/>
      <c r="T148" s="179"/>
      <c r="U148" s="179"/>
      <c r="V148" s="179"/>
      <c r="W148" s="179"/>
      <c r="X148" s="179"/>
      <c r="Y148" s="179"/>
      <c r="Z148" s="180"/>
      <c r="AB148" s="544">
        <f ca="1">IF(AND($D148="Serviço",AB$12&lt;&gt;0,$H148&gt;0,OR(AUTOEVENTO&lt;&gt;"manual",$M148&lt;&gt;1)),
IF(Import.TipoArredondamento&lt;&gt;"TransfereGOV",
ROUND(OFFSET($P148,0,AB$13),15-13*ORÇAMENTO!$AF$7)/$H148*OFFSET(ORÇAMENTO!$X$15,ROW(AB148)-ROW(AB$15),0),
ROUND(ROUND(OFFSET($P148,0,AB$13),15-13*ORÇAMENTO!$AF$7)*OFFSET(ORÇAMENTO!$W$15,ROW(AB148)-ROW(AB$15),0),15-13*ORÇAMENTO!$AF$11)),0)</f>
        <v>0</v>
      </c>
      <c r="AC148" s="545">
        <f ca="1">IF(AND($D148="Serviço",AC$12&lt;&gt;0,$H148&gt;0,OR(AUTOEVENTO&lt;&gt;"manual",$M148&lt;&gt;1)),
IF(Import.TipoArredondamento&lt;&gt;"TransfereGOV",
ROUND(OFFSET($P148,0,AC$13),15-13*ORÇAMENTO!$AF$7)/$H148*OFFSET(ORÇAMENTO!$X$15,ROW(AC148)-ROW(AC$15),0),
ROUND(ROUND(OFFSET($P148,0,AC$13),15-13*ORÇAMENTO!$AF$7)*OFFSET(ORÇAMENTO!$W$15,ROW(AC148)-ROW(AC$15),0),15-13*ORÇAMENTO!$AF$11)),0)</f>
        <v>0</v>
      </c>
      <c r="AD148" s="545">
        <f ca="1">IF(AND($D148="Serviço",AD$12&lt;&gt;0,$H148&gt;0,OR(AUTOEVENTO&lt;&gt;"manual",$M148&lt;&gt;1)),
IF(Import.TipoArredondamento&lt;&gt;"TransfereGOV",
ROUND(OFFSET($P148,0,AD$13),15-13*ORÇAMENTO!$AF$7)/$H148*OFFSET(ORÇAMENTO!$X$15,ROW(AD148)-ROW(AD$15),0),
ROUND(ROUND(OFFSET($P148,0,AD$13),15-13*ORÇAMENTO!$AF$7)*OFFSET(ORÇAMENTO!$W$15,ROW(AD148)-ROW(AD$15),0),15-13*ORÇAMENTO!$AF$11)),0)</f>
        <v>0</v>
      </c>
      <c r="AE148" s="545">
        <f ca="1">IF(AND($D148="Serviço",AE$12&lt;&gt;0,$H148&gt;0,OR(AUTOEVENTO&lt;&gt;"manual",$M148&lt;&gt;1)),
IF(Import.TipoArredondamento&lt;&gt;"TransfereGOV",
ROUND(OFFSET($P148,0,AE$13),15-13*ORÇAMENTO!$AF$7)/$H148*OFFSET(ORÇAMENTO!$X$15,ROW(AE148)-ROW(AE$15),0),
ROUND(ROUND(OFFSET($P148,0,AE$13),15-13*ORÇAMENTO!$AF$7)*OFFSET(ORÇAMENTO!$W$15,ROW(AE148)-ROW(AE$15),0),15-13*ORÇAMENTO!$AF$11)),0)</f>
        <v>0</v>
      </c>
      <c r="AF148" s="545">
        <f ca="1">IF(AND($D148="Serviço",AF$12&lt;&gt;0,$H148&gt;0,OR(AUTOEVENTO&lt;&gt;"manual",$M148&lt;&gt;1)),
IF(Import.TipoArredondamento&lt;&gt;"TransfereGOV",
ROUND(OFFSET($P148,0,AF$13),15-13*ORÇAMENTO!$AF$7)/$H148*OFFSET(ORÇAMENTO!$X$15,ROW(AF148)-ROW(AF$15),0),
ROUND(ROUND(OFFSET($P148,0,AF$13),15-13*ORÇAMENTO!$AF$7)*OFFSET(ORÇAMENTO!$W$15,ROW(AF148)-ROW(AF$15),0),15-13*ORÇAMENTO!$AF$11)),0)</f>
        <v>0</v>
      </c>
      <c r="AG148" s="545">
        <f ca="1">IF(AND($D148="Serviço",AG$12&lt;&gt;0,$H148&gt;0,OR(AUTOEVENTO&lt;&gt;"manual",$M148&lt;&gt;1)),
IF(Import.TipoArredondamento&lt;&gt;"TransfereGOV",
ROUND(OFFSET($P148,0,AG$13),15-13*ORÇAMENTO!$AF$7)/$H148*OFFSET(ORÇAMENTO!$X$15,ROW(AG148)-ROW(AG$15),0),
ROUND(ROUND(OFFSET($P148,0,AG$13),15-13*ORÇAMENTO!$AF$7)*OFFSET(ORÇAMENTO!$W$15,ROW(AG148)-ROW(AG$15),0),15-13*ORÇAMENTO!$AF$11)),0)</f>
        <v>0</v>
      </c>
      <c r="AH148" s="545">
        <f ca="1">IF(AND($D148="Serviço",AH$12&lt;&gt;0,$H148&gt;0,OR(AUTOEVENTO&lt;&gt;"manual",$M148&lt;&gt;1)),
IF(Import.TipoArredondamento&lt;&gt;"TransfereGOV",
ROUND(OFFSET($P148,0,AH$13),15-13*ORÇAMENTO!$AF$7)/$H148*OFFSET(ORÇAMENTO!$X$15,ROW(AH148)-ROW(AH$15),0),
ROUND(ROUND(OFFSET($P148,0,AH$13),15-13*ORÇAMENTO!$AF$7)*OFFSET(ORÇAMENTO!$W$15,ROW(AH148)-ROW(AH$15),0),15-13*ORÇAMENTO!$AF$11)),0)</f>
        <v>0</v>
      </c>
      <c r="AI148" s="545">
        <f ca="1">IF(AND($D148="Serviço",AI$12&lt;&gt;0,$H148&gt;0,OR(AUTOEVENTO&lt;&gt;"manual",$M148&lt;&gt;1)),
IF(Import.TipoArredondamento&lt;&gt;"TransfereGOV",
ROUND(OFFSET($P148,0,AI$13),15-13*ORÇAMENTO!$AF$7)/$H148*OFFSET(ORÇAMENTO!$X$15,ROW(AI148)-ROW(AI$15),0),
ROUND(ROUND(OFFSET($P148,0,AI$13),15-13*ORÇAMENTO!$AF$7)*OFFSET(ORÇAMENTO!$W$15,ROW(AI148)-ROW(AI$15),0),15-13*ORÇAMENTO!$AF$11)),0)</f>
        <v>0</v>
      </c>
      <c r="AJ148" s="545">
        <f ca="1">IF(AND($D148="Serviço",AJ$12&lt;&gt;0,$H148&gt;0,OR(AUTOEVENTO&lt;&gt;"manual",$M148&lt;&gt;1)),
IF(Import.TipoArredondamento&lt;&gt;"TransfereGOV",
ROUND(OFFSET($P148,0,AJ$13),15-13*ORÇAMENTO!$AF$7)/$H148*OFFSET(ORÇAMENTO!$X$15,ROW(AJ148)-ROW(AJ$15),0),
ROUND(ROUND(OFFSET($P148,0,AJ$13),15-13*ORÇAMENTO!$AF$7)*OFFSET(ORÇAMENTO!$W$15,ROW(AJ148)-ROW(AJ$15),0),15-13*ORÇAMENTO!$AF$11)),0)</f>
        <v>0</v>
      </c>
      <c r="AK148" s="546">
        <f ca="1">IF(AND($D148="Serviço",AK$12&lt;&gt;0,$H148&gt;0,OR(AUTOEVENTO&lt;&gt;"manual",$M148&lt;&gt;1)),
IF(Import.TipoArredondamento&lt;&gt;"TransfereGOV",
ROUND(OFFSET($P148,0,AK$13),15-13*ORÇAMENTO!$AF$7)/$H148*OFFSET(ORÇAMENTO!$X$15,ROW(AK148)-ROW(AK$15),0),
ROUND(ROUND(OFFSET($P148,0,AK$13),15-13*ORÇAMENTO!$AF$7)*OFFSET(ORÇAMENTO!$W$15,ROW(AK148)-ROW(AK$15),0),15-13*ORÇAMENTO!$AF$11)),0)</f>
        <v>0</v>
      </c>
      <c r="AM148" s="181">
        <f ca="1">IF($D148&lt;&gt;"Serviço",0,IF(AND(AUTOEVENTO="Manual",$M148=1),0,IF(OFFSET(CRONOPLE!$F$14,$M148,AM$13)="",10^12,OFFSET(CRONOPLE!$F$14,$M148,AM$13))))</f>
        <v>1000000000000</v>
      </c>
      <c r="AN148" s="181">
        <f ca="1">IF($D148&lt;&gt;"Serviço",0,IF(AND(AUTOEVENTO="Manual",$M148=1),0,IF(OFFSET(CRONOPLE!$F$14,$M148,AN$13)="",10^12,OFFSET(CRONOPLE!$F$14,$M148,AN$13))))</f>
        <v>1000000000000</v>
      </c>
      <c r="AO148" s="181">
        <f ca="1">IF($D148&lt;&gt;"Serviço",0,IF(AND(AUTOEVENTO="Manual",$M148=1),0,IF(OFFSET(CRONOPLE!$F$14,$M148,AO$13)="",10^12,OFFSET(CRONOPLE!$F$14,$M148,AO$13))))</f>
        <v>1000000000000</v>
      </c>
      <c r="AP148" s="181">
        <f ca="1">IF($D148&lt;&gt;"Serviço",0,IF(AND(AUTOEVENTO="Manual",$M148=1),0,IF(OFFSET(CRONOPLE!$F$14,$M148,AP$13)="",10^12,OFFSET(CRONOPLE!$F$14,$M148,AP$13))))</f>
        <v>1000000000000</v>
      </c>
      <c r="AQ148" s="181">
        <f ca="1">IF($D148&lt;&gt;"Serviço",0,IF(AND(AUTOEVENTO="Manual",$M148=1),0,IF(OFFSET(CRONOPLE!$F$14,$M148,AQ$13)="",10^12,OFFSET(CRONOPLE!$F$14,$M148,AQ$13))))</f>
        <v>1000000000000</v>
      </c>
      <c r="AR148" s="181">
        <f ca="1">IF($D148&lt;&gt;"Serviço",0,IF(AND(AUTOEVENTO="Manual",$M148=1),0,IF(OFFSET(CRONOPLE!$F$14,$M148,AR$13)="",10^12,OFFSET(CRONOPLE!$F$14,$M148,AR$13))))</f>
        <v>1000000000000</v>
      </c>
      <c r="AS148" s="181">
        <f ca="1">IF($D148&lt;&gt;"Serviço",0,IF(AND(AUTOEVENTO="Manual",$M148=1),0,IF(OFFSET(CRONOPLE!$F$14,$M148,AS$13)="",10^12,OFFSET(CRONOPLE!$F$14,$M148,AS$13))))</f>
        <v>1000000000000</v>
      </c>
      <c r="AT148" s="181">
        <f ca="1">IF($D148&lt;&gt;"Serviço",0,IF(AND(AUTOEVENTO="Manual",$M148=1),0,IF(OFFSET(CRONOPLE!$F$14,$M148,AT$13)="",10^12,OFFSET(CRONOPLE!$F$14,$M148,AT$13))))</f>
        <v>1000000000000</v>
      </c>
      <c r="AU148" s="181">
        <f ca="1">IF($D148&lt;&gt;"Serviço",0,IF(AND(AUTOEVENTO="Manual",$M148=1),0,IF(OFFSET(CRONOPLE!$F$14,$M148,AU$13)="",10^12,OFFSET(CRONOPLE!$F$14,$M148,AU$13))))</f>
        <v>1000000000000</v>
      </c>
      <c r="AV148" s="181">
        <f ca="1">IF($D148&lt;&gt;"Serviço",0,IF(AND(AUTOEVENTO="Manual",$M148=1),0,IF(OFFSET(CRONOPLE!$F$14,$M148,AV$13)="",10^12,OFFSET(CRONOPLE!$F$14,$M148,AV$13))))</f>
        <v>1000000000000</v>
      </c>
      <c r="AX148" s="182">
        <f ca="1">IF($D148&lt;&gt;"Serviço",0,IF(OR(AND(AUTOEVENTO="Manual",$M148=1),$M148&gt;(ROW(PLE.lastrow)-ROW(PLE.firstrow))),0,IF(OFFSET(PLE!$G$14,$M148,AX$13)="",10^12,OFFSET(PLE!$G$14,$M148,AX$13))))</f>
        <v>1000000000000</v>
      </c>
      <c r="AY148" s="182">
        <f ca="1">IF($D148&lt;&gt;"Serviço",0,IF(OR(AND(AUTOEVENTO="Manual",$M148=1),$M148&gt;(ROW(PLE.lastrow)-ROW(PLE.firstrow))),0,IF(OFFSET(PLE!$G$14,$M148,AY$13)="",10^12,OFFSET(PLE!$G$14,$M148,AY$13))))</f>
        <v>1000000000000</v>
      </c>
      <c r="AZ148" s="182">
        <f ca="1">IF($D148&lt;&gt;"Serviço",0,IF(OR(AND(AUTOEVENTO="Manual",$M148=1),$M148&gt;(ROW(PLE.lastrow)-ROW(PLE.firstrow))),0,IF(OFFSET(PLE!$G$14,$M148,AZ$13)="",10^12,OFFSET(PLE!$G$14,$M148,AZ$13))))</f>
        <v>1000000000000</v>
      </c>
      <c r="BA148" s="182">
        <f ca="1">IF($D148&lt;&gt;"Serviço",0,IF(OR(AND(AUTOEVENTO="Manual",$M148=1),$M148&gt;(ROW(PLE.lastrow)-ROW(PLE.firstrow))),0,IF(OFFSET(PLE!$G$14,$M148,BA$13)="",10^12,OFFSET(PLE!$G$14,$M148,BA$13))))</f>
        <v>1000000000000</v>
      </c>
      <c r="BB148" s="182">
        <f ca="1">IF($D148&lt;&gt;"Serviço",0,IF(OR(AND(AUTOEVENTO="Manual",$M148=1),$M148&gt;(ROW(PLE.lastrow)-ROW(PLE.firstrow))),0,IF(OFFSET(PLE!$G$14,$M148,BB$13)="",10^12,OFFSET(PLE!$G$14,$M148,BB$13))))</f>
        <v>1000000000000</v>
      </c>
      <c r="BC148" s="182">
        <f ca="1">IF($D148&lt;&gt;"Serviço",0,IF(OR(AND(AUTOEVENTO="Manual",$M148=1),$M148&gt;(ROW(PLE.lastrow)-ROW(PLE.firstrow))),0,IF(OFFSET(PLE!$G$14,$M148,BC$13)="",10^12,OFFSET(PLE!$G$14,$M148,BC$13))))</f>
        <v>1000000000000</v>
      </c>
      <c r="BD148" s="182">
        <f ca="1">IF($D148&lt;&gt;"Serviço",0,IF(OR(AND(AUTOEVENTO="Manual",$M148=1),$M148&gt;(ROW(PLE.lastrow)-ROW(PLE.firstrow))),0,IF(OFFSET(PLE!$G$14,$M148,BD$13)="",10^12,OFFSET(PLE!$G$14,$M148,BD$13))))</f>
        <v>1000000000000</v>
      </c>
      <c r="BE148" s="182">
        <f ca="1">IF($D148&lt;&gt;"Serviço",0,IF(OR(AND(AUTOEVENTO="Manual",$M148=1),$M148&gt;(ROW(PLE.lastrow)-ROW(PLE.firstrow))),0,IF(OFFSET(PLE!$G$14,$M148,BE$13)="",10^12,OFFSET(PLE!$G$14,$M148,BE$13))))</f>
        <v>1000000000000</v>
      </c>
      <c r="BF148" s="182">
        <f ca="1">IF($D148&lt;&gt;"Serviço",0,IF(OR(AND(AUTOEVENTO="Manual",$M148=1),$M148&gt;(ROW(PLE.lastrow)-ROW(PLE.firstrow))),0,IF(OFFSET(PLE!$G$14,$M148,BF$13)="",10^12,OFFSET(PLE!$G$14,$M148,BF$13))))</f>
        <v>1000000000000</v>
      </c>
      <c r="BG148" s="182">
        <f ca="1">IF($D148&lt;&gt;"Serviço",0,IF(OR(AND(AUTOEVENTO="Manual",$M148=1),$M148&gt;(ROW(PLE.lastrow)-ROW(PLE.firstrow))),0,IF(OFFSET(PLE!$G$14,$M148,BG$13)="",10^12,OFFSET(PLE!$G$14,$M148,BG$13))))</f>
        <v>1000000000000</v>
      </c>
    </row>
    <row r="149" spans="1:59" ht="51" x14ac:dyDescent="0.2">
      <c r="A149" s="7" t="str">
        <f t="shared" ca="1" si="9"/>
        <v>108</v>
      </c>
      <c r="B149" s="7" t="str">
        <f ca="1">OFFSET(ORÇAMENTO!C$15,ROW(B149)-ROW(B$15),0)</f>
        <v>S</v>
      </c>
      <c r="C149" s="7" t="str">
        <f ca="1">OFFSET(ORÇAMENTO!L$15,ROW(C149)-ROW(C$15),0)</f>
        <v/>
      </c>
      <c r="D149" s="118" t="str">
        <f ca="1">OFFSET(ORÇAMENTO!N$15,ROW(D149)-ROW(D$15),0)</f>
        <v>Serviço</v>
      </c>
      <c r="E149" s="119" t="str">
        <f ca="1">OFFSET(ORÇAMENTO!O$15,ROW(E149)-ROW(E$15),0)</f>
        <v>-</v>
      </c>
      <c r="F149" s="172" t="str">
        <f ca="1">OFFSET(ORÇAMENTO!R$15,ROW(F149)-ROW(F$15),0)</f>
        <v>(abra o arquivo 'Referência 02-2025.xlsm)</v>
      </c>
      <c r="G149" s="173" t="str">
        <f ca="1">IF($D149&lt;&gt;"Serviço","",OFFSET(ORÇAMENTO!S$15,ROW(G149)-ROW(G$15),0))</f>
        <v>-</v>
      </c>
      <c r="H149" s="124">
        <f ca="1">IF($D149&lt;&gt;"Serviço",0,IF(ACOMPANHAMENTO="BM",ROUND(OFFSET(ORÇAMENTO!AJ$15,ROW(H149)-ROW(H$15),0),15-13*ORÇAMENTO!$AF$7),SUMPRODUCT(($Q$12:$AA$12&lt;&gt;"")*ROUND($Q149:$AA149,15-13*ORÇAMENTO!$AF$7))))</f>
        <v>2.56</v>
      </c>
      <c r="I149" s="561" t="s">
        <v>890</v>
      </c>
      <c r="K149" s="174"/>
      <c r="L149" s="175" t="s">
        <v>255</v>
      </c>
      <c r="M149" s="176">
        <f ca="1">IF($D149&lt;&gt;"Serviço","",IF(AUTOEVENTO="manual",$A149,IF(ISERROR(MATCH($A149,$A$15:OFFSET($A149,-1,0),0)),MAX($M$15:OFFSET(M149,-1,0))+1,INDEX($M$15:OFFSET(M149,-1,0),MATCH($A149,$A$15:OFFSET($A149,-1,0),0)))))</f>
        <v>7</v>
      </c>
      <c r="N149" s="177" t="str">
        <f ca="1">IF($D149&lt;&gt;"Serviço","",IF(AUTOEVENTO="Manual",IF($A149=0,"&lt;-- defina o número do agrupador",OFFSET(EVENTOS!$D$14,$A149,0)),OFFSET($F$15,$A149,0)))</f>
        <v>ESQUADRIAS</v>
      </c>
      <c r="O149" s="178"/>
      <c r="Q149" s="178"/>
      <c r="R149" s="179"/>
      <c r="S149" s="179"/>
      <c r="T149" s="179"/>
      <c r="U149" s="179"/>
      <c r="V149" s="179"/>
      <c r="W149" s="179"/>
      <c r="X149" s="179"/>
      <c r="Y149" s="179"/>
      <c r="Z149" s="180"/>
      <c r="AB149" s="544">
        <f ca="1">IF(AND($D149="Serviço",AB$12&lt;&gt;0,$H149&gt;0,OR(AUTOEVENTO&lt;&gt;"manual",$M149&lt;&gt;1)),
IF(Import.TipoArredondamento&lt;&gt;"TransfereGOV",
ROUND(OFFSET($P149,0,AB$13),15-13*ORÇAMENTO!$AF$7)/$H149*OFFSET(ORÇAMENTO!$X$15,ROW(AB149)-ROW(AB$15),0),
ROUND(ROUND(OFFSET($P149,0,AB$13),15-13*ORÇAMENTO!$AF$7)*OFFSET(ORÇAMENTO!$W$15,ROW(AB149)-ROW(AB$15),0),15-13*ORÇAMENTO!$AF$11)),0)</f>
        <v>0</v>
      </c>
      <c r="AC149" s="545">
        <f ca="1">IF(AND($D149="Serviço",AC$12&lt;&gt;0,$H149&gt;0,OR(AUTOEVENTO&lt;&gt;"manual",$M149&lt;&gt;1)),
IF(Import.TipoArredondamento&lt;&gt;"TransfereGOV",
ROUND(OFFSET($P149,0,AC$13),15-13*ORÇAMENTO!$AF$7)/$H149*OFFSET(ORÇAMENTO!$X$15,ROW(AC149)-ROW(AC$15),0),
ROUND(ROUND(OFFSET($P149,0,AC$13),15-13*ORÇAMENTO!$AF$7)*OFFSET(ORÇAMENTO!$W$15,ROW(AC149)-ROW(AC$15),0),15-13*ORÇAMENTO!$AF$11)),0)</f>
        <v>0</v>
      </c>
      <c r="AD149" s="545">
        <f ca="1">IF(AND($D149="Serviço",AD$12&lt;&gt;0,$H149&gt;0,OR(AUTOEVENTO&lt;&gt;"manual",$M149&lt;&gt;1)),
IF(Import.TipoArredondamento&lt;&gt;"TransfereGOV",
ROUND(OFFSET($P149,0,AD$13),15-13*ORÇAMENTO!$AF$7)/$H149*OFFSET(ORÇAMENTO!$X$15,ROW(AD149)-ROW(AD$15),0),
ROUND(ROUND(OFFSET($P149,0,AD$13),15-13*ORÇAMENTO!$AF$7)*OFFSET(ORÇAMENTO!$W$15,ROW(AD149)-ROW(AD$15),0),15-13*ORÇAMENTO!$AF$11)),0)</f>
        <v>0</v>
      </c>
      <c r="AE149" s="545">
        <f ca="1">IF(AND($D149="Serviço",AE$12&lt;&gt;0,$H149&gt;0,OR(AUTOEVENTO&lt;&gt;"manual",$M149&lt;&gt;1)),
IF(Import.TipoArredondamento&lt;&gt;"TransfereGOV",
ROUND(OFFSET($P149,0,AE$13),15-13*ORÇAMENTO!$AF$7)/$H149*OFFSET(ORÇAMENTO!$X$15,ROW(AE149)-ROW(AE$15),0),
ROUND(ROUND(OFFSET($P149,0,AE$13),15-13*ORÇAMENTO!$AF$7)*OFFSET(ORÇAMENTO!$W$15,ROW(AE149)-ROW(AE$15),0),15-13*ORÇAMENTO!$AF$11)),0)</f>
        <v>0</v>
      </c>
      <c r="AF149" s="545">
        <f ca="1">IF(AND($D149="Serviço",AF$12&lt;&gt;0,$H149&gt;0,OR(AUTOEVENTO&lt;&gt;"manual",$M149&lt;&gt;1)),
IF(Import.TipoArredondamento&lt;&gt;"TransfereGOV",
ROUND(OFFSET($P149,0,AF$13),15-13*ORÇAMENTO!$AF$7)/$H149*OFFSET(ORÇAMENTO!$X$15,ROW(AF149)-ROW(AF$15),0),
ROUND(ROUND(OFFSET($P149,0,AF$13),15-13*ORÇAMENTO!$AF$7)*OFFSET(ORÇAMENTO!$W$15,ROW(AF149)-ROW(AF$15),0),15-13*ORÇAMENTO!$AF$11)),0)</f>
        <v>0</v>
      </c>
      <c r="AG149" s="545">
        <f ca="1">IF(AND($D149="Serviço",AG$12&lt;&gt;0,$H149&gt;0,OR(AUTOEVENTO&lt;&gt;"manual",$M149&lt;&gt;1)),
IF(Import.TipoArredondamento&lt;&gt;"TransfereGOV",
ROUND(OFFSET($P149,0,AG$13),15-13*ORÇAMENTO!$AF$7)/$H149*OFFSET(ORÇAMENTO!$X$15,ROW(AG149)-ROW(AG$15),0),
ROUND(ROUND(OFFSET($P149,0,AG$13),15-13*ORÇAMENTO!$AF$7)*OFFSET(ORÇAMENTO!$W$15,ROW(AG149)-ROW(AG$15),0),15-13*ORÇAMENTO!$AF$11)),0)</f>
        <v>0</v>
      </c>
      <c r="AH149" s="545">
        <f ca="1">IF(AND($D149="Serviço",AH$12&lt;&gt;0,$H149&gt;0,OR(AUTOEVENTO&lt;&gt;"manual",$M149&lt;&gt;1)),
IF(Import.TipoArredondamento&lt;&gt;"TransfereGOV",
ROUND(OFFSET($P149,0,AH$13),15-13*ORÇAMENTO!$AF$7)/$H149*OFFSET(ORÇAMENTO!$X$15,ROW(AH149)-ROW(AH$15),0),
ROUND(ROUND(OFFSET($P149,0,AH$13),15-13*ORÇAMENTO!$AF$7)*OFFSET(ORÇAMENTO!$W$15,ROW(AH149)-ROW(AH$15),0),15-13*ORÇAMENTO!$AF$11)),0)</f>
        <v>0</v>
      </c>
      <c r="AI149" s="545">
        <f ca="1">IF(AND($D149="Serviço",AI$12&lt;&gt;0,$H149&gt;0,OR(AUTOEVENTO&lt;&gt;"manual",$M149&lt;&gt;1)),
IF(Import.TipoArredondamento&lt;&gt;"TransfereGOV",
ROUND(OFFSET($P149,0,AI$13),15-13*ORÇAMENTO!$AF$7)/$H149*OFFSET(ORÇAMENTO!$X$15,ROW(AI149)-ROW(AI$15),0),
ROUND(ROUND(OFFSET($P149,0,AI$13),15-13*ORÇAMENTO!$AF$7)*OFFSET(ORÇAMENTO!$W$15,ROW(AI149)-ROW(AI$15),0),15-13*ORÇAMENTO!$AF$11)),0)</f>
        <v>0</v>
      </c>
      <c r="AJ149" s="545">
        <f ca="1">IF(AND($D149="Serviço",AJ$12&lt;&gt;0,$H149&gt;0,OR(AUTOEVENTO&lt;&gt;"manual",$M149&lt;&gt;1)),
IF(Import.TipoArredondamento&lt;&gt;"TransfereGOV",
ROUND(OFFSET($P149,0,AJ$13),15-13*ORÇAMENTO!$AF$7)/$H149*OFFSET(ORÇAMENTO!$X$15,ROW(AJ149)-ROW(AJ$15),0),
ROUND(ROUND(OFFSET($P149,0,AJ$13),15-13*ORÇAMENTO!$AF$7)*OFFSET(ORÇAMENTO!$W$15,ROW(AJ149)-ROW(AJ$15),0),15-13*ORÇAMENTO!$AF$11)),0)</f>
        <v>0</v>
      </c>
      <c r="AK149" s="546">
        <f ca="1">IF(AND($D149="Serviço",AK$12&lt;&gt;0,$H149&gt;0,OR(AUTOEVENTO&lt;&gt;"manual",$M149&lt;&gt;1)),
IF(Import.TipoArredondamento&lt;&gt;"TransfereGOV",
ROUND(OFFSET($P149,0,AK$13),15-13*ORÇAMENTO!$AF$7)/$H149*OFFSET(ORÇAMENTO!$X$15,ROW(AK149)-ROW(AK$15),0),
ROUND(ROUND(OFFSET($P149,0,AK$13),15-13*ORÇAMENTO!$AF$7)*OFFSET(ORÇAMENTO!$W$15,ROW(AK149)-ROW(AK$15),0),15-13*ORÇAMENTO!$AF$11)),0)</f>
        <v>0</v>
      </c>
      <c r="AM149" s="181">
        <f ca="1">IF($D149&lt;&gt;"Serviço",0,IF(AND(AUTOEVENTO="Manual",$M149=1),0,IF(OFFSET(CRONOPLE!$F$14,$M149,AM$13)="",10^12,OFFSET(CRONOPLE!$F$14,$M149,AM$13))))</f>
        <v>1000000000000</v>
      </c>
      <c r="AN149" s="181">
        <f ca="1">IF($D149&lt;&gt;"Serviço",0,IF(AND(AUTOEVENTO="Manual",$M149=1),0,IF(OFFSET(CRONOPLE!$F$14,$M149,AN$13)="",10^12,OFFSET(CRONOPLE!$F$14,$M149,AN$13))))</f>
        <v>1000000000000</v>
      </c>
      <c r="AO149" s="181">
        <f ca="1">IF($D149&lt;&gt;"Serviço",0,IF(AND(AUTOEVENTO="Manual",$M149=1),0,IF(OFFSET(CRONOPLE!$F$14,$M149,AO$13)="",10^12,OFFSET(CRONOPLE!$F$14,$M149,AO$13))))</f>
        <v>1000000000000</v>
      </c>
      <c r="AP149" s="181">
        <f ca="1">IF($D149&lt;&gt;"Serviço",0,IF(AND(AUTOEVENTO="Manual",$M149=1),0,IF(OFFSET(CRONOPLE!$F$14,$M149,AP$13)="",10^12,OFFSET(CRONOPLE!$F$14,$M149,AP$13))))</f>
        <v>1000000000000</v>
      </c>
      <c r="AQ149" s="181">
        <f ca="1">IF($D149&lt;&gt;"Serviço",0,IF(AND(AUTOEVENTO="Manual",$M149=1),0,IF(OFFSET(CRONOPLE!$F$14,$M149,AQ$13)="",10^12,OFFSET(CRONOPLE!$F$14,$M149,AQ$13))))</f>
        <v>1000000000000</v>
      </c>
      <c r="AR149" s="181">
        <f ca="1">IF($D149&lt;&gt;"Serviço",0,IF(AND(AUTOEVENTO="Manual",$M149=1),0,IF(OFFSET(CRONOPLE!$F$14,$M149,AR$13)="",10^12,OFFSET(CRONOPLE!$F$14,$M149,AR$13))))</f>
        <v>1000000000000</v>
      </c>
      <c r="AS149" s="181">
        <f ca="1">IF($D149&lt;&gt;"Serviço",0,IF(AND(AUTOEVENTO="Manual",$M149=1),0,IF(OFFSET(CRONOPLE!$F$14,$M149,AS$13)="",10^12,OFFSET(CRONOPLE!$F$14,$M149,AS$13))))</f>
        <v>1000000000000</v>
      </c>
      <c r="AT149" s="181">
        <f ca="1">IF($D149&lt;&gt;"Serviço",0,IF(AND(AUTOEVENTO="Manual",$M149=1),0,IF(OFFSET(CRONOPLE!$F$14,$M149,AT$13)="",10^12,OFFSET(CRONOPLE!$F$14,$M149,AT$13))))</f>
        <v>1000000000000</v>
      </c>
      <c r="AU149" s="181">
        <f ca="1">IF($D149&lt;&gt;"Serviço",0,IF(AND(AUTOEVENTO="Manual",$M149=1),0,IF(OFFSET(CRONOPLE!$F$14,$M149,AU$13)="",10^12,OFFSET(CRONOPLE!$F$14,$M149,AU$13))))</f>
        <v>1000000000000</v>
      </c>
      <c r="AV149" s="181">
        <f ca="1">IF($D149&lt;&gt;"Serviço",0,IF(AND(AUTOEVENTO="Manual",$M149=1),0,IF(OFFSET(CRONOPLE!$F$14,$M149,AV$13)="",10^12,OFFSET(CRONOPLE!$F$14,$M149,AV$13))))</f>
        <v>1000000000000</v>
      </c>
      <c r="AX149" s="182">
        <f ca="1">IF($D149&lt;&gt;"Serviço",0,IF(OR(AND(AUTOEVENTO="Manual",$M149=1),$M149&gt;(ROW(PLE.lastrow)-ROW(PLE.firstrow))),0,IF(OFFSET(PLE!$G$14,$M149,AX$13)="",10^12,OFFSET(PLE!$G$14,$M149,AX$13))))</f>
        <v>1000000000000</v>
      </c>
      <c r="AY149" s="182">
        <f ca="1">IF($D149&lt;&gt;"Serviço",0,IF(OR(AND(AUTOEVENTO="Manual",$M149=1),$M149&gt;(ROW(PLE.lastrow)-ROW(PLE.firstrow))),0,IF(OFFSET(PLE!$G$14,$M149,AY$13)="",10^12,OFFSET(PLE!$G$14,$M149,AY$13))))</f>
        <v>1000000000000</v>
      </c>
      <c r="AZ149" s="182">
        <f ca="1">IF($D149&lt;&gt;"Serviço",0,IF(OR(AND(AUTOEVENTO="Manual",$M149=1),$M149&gt;(ROW(PLE.lastrow)-ROW(PLE.firstrow))),0,IF(OFFSET(PLE!$G$14,$M149,AZ$13)="",10^12,OFFSET(PLE!$G$14,$M149,AZ$13))))</f>
        <v>1000000000000</v>
      </c>
      <c r="BA149" s="182">
        <f ca="1">IF($D149&lt;&gt;"Serviço",0,IF(OR(AND(AUTOEVENTO="Manual",$M149=1),$M149&gt;(ROW(PLE.lastrow)-ROW(PLE.firstrow))),0,IF(OFFSET(PLE!$G$14,$M149,BA$13)="",10^12,OFFSET(PLE!$G$14,$M149,BA$13))))</f>
        <v>1000000000000</v>
      </c>
      <c r="BB149" s="182">
        <f ca="1">IF($D149&lt;&gt;"Serviço",0,IF(OR(AND(AUTOEVENTO="Manual",$M149=1),$M149&gt;(ROW(PLE.lastrow)-ROW(PLE.firstrow))),0,IF(OFFSET(PLE!$G$14,$M149,BB$13)="",10^12,OFFSET(PLE!$G$14,$M149,BB$13))))</f>
        <v>1000000000000</v>
      </c>
      <c r="BC149" s="182">
        <f ca="1">IF($D149&lt;&gt;"Serviço",0,IF(OR(AND(AUTOEVENTO="Manual",$M149=1),$M149&gt;(ROW(PLE.lastrow)-ROW(PLE.firstrow))),0,IF(OFFSET(PLE!$G$14,$M149,BC$13)="",10^12,OFFSET(PLE!$G$14,$M149,BC$13))))</f>
        <v>1000000000000</v>
      </c>
      <c r="BD149" s="182">
        <f ca="1">IF($D149&lt;&gt;"Serviço",0,IF(OR(AND(AUTOEVENTO="Manual",$M149=1),$M149&gt;(ROW(PLE.lastrow)-ROW(PLE.firstrow))),0,IF(OFFSET(PLE!$G$14,$M149,BD$13)="",10^12,OFFSET(PLE!$G$14,$M149,BD$13))))</f>
        <v>1000000000000</v>
      </c>
      <c r="BE149" s="182">
        <f ca="1">IF($D149&lt;&gt;"Serviço",0,IF(OR(AND(AUTOEVENTO="Manual",$M149=1),$M149&gt;(ROW(PLE.lastrow)-ROW(PLE.firstrow))),0,IF(OFFSET(PLE!$G$14,$M149,BE$13)="",10^12,OFFSET(PLE!$G$14,$M149,BE$13))))</f>
        <v>1000000000000</v>
      </c>
      <c r="BF149" s="182">
        <f ca="1">IF($D149&lt;&gt;"Serviço",0,IF(OR(AND(AUTOEVENTO="Manual",$M149=1),$M149&gt;(ROW(PLE.lastrow)-ROW(PLE.firstrow))),0,IF(OFFSET(PLE!$G$14,$M149,BF$13)="",10^12,OFFSET(PLE!$G$14,$M149,BF$13))))</f>
        <v>1000000000000</v>
      </c>
      <c r="BG149" s="182">
        <f ca="1">IF($D149&lt;&gt;"Serviço",0,IF(OR(AND(AUTOEVENTO="Manual",$M149=1),$M149&gt;(ROW(PLE.lastrow)-ROW(PLE.firstrow))),0,IF(OFFSET(PLE!$G$14,$M149,BG$13)="",10^12,OFFSET(PLE!$G$14,$M149,BG$13))))</f>
        <v>1000000000000</v>
      </c>
    </row>
    <row r="150" spans="1:59" ht="38.25" x14ac:dyDescent="0.2">
      <c r="A150" s="7" t="str">
        <f t="shared" ca="1" si="9"/>
        <v>108</v>
      </c>
      <c r="B150" s="7" t="str">
        <f ca="1">OFFSET(ORÇAMENTO!C$15,ROW(B150)-ROW(B$15),0)</f>
        <v>S</v>
      </c>
      <c r="C150" s="7" t="str">
        <f ca="1">OFFSET(ORÇAMENTO!L$15,ROW(C150)-ROW(C$15),0)</f>
        <v/>
      </c>
      <c r="D150" s="118" t="str">
        <f ca="1">OFFSET(ORÇAMENTO!N$15,ROW(D150)-ROW(D$15),0)</f>
        <v>Serviço</v>
      </c>
      <c r="E150" s="119" t="str">
        <f ca="1">OFFSET(ORÇAMENTO!O$15,ROW(E150)-ROW(E$15),0)</f>
        <v>-</v>
      </c>
      <c r="F150" s="172" t="str">
        <f ca="1">OFFSET(ORÇAMENTO!R$15,ROW(F150)-ROW(F$15),0)</f>
        <v>(abra o arquivo 'Referência 02-2025.xlsm)</v>
      </c>
      <c r="G150" s="173" t="str">
        <f ca="1">IF($D150&lt;&gt;"Serviço","",OFFSET(ORÇAMENTO!S$15,ROW(G150)-ROW(G$15),0))</f>
        <v>-</v>
      </c>
      <c r="H150" s="124">
        <f ca="1">IF($D150&lt;&gt;"Serviço",0,IF(ACOMPANHAMENTO="BM",ROUND(OFFSET(ORÇAMENTO!AJ$15,ROW(H150)-ROW(H$15),0),15-13*ORÇAMENTO!$AF$7),SUMPRODUCT(($Q$12:$AA$12&lt;&gt;"")*ROUND($Q150:$AA150,15-13*ORÇAMENTO!$AF$7))))</f>
        <v>2.1</v>
      </c>
      <c r="I150" s="561" t="s">
        <v>890</v>
      </c>
      <c r="K150" s="174"/>
      <c r="L150" s="175" t="s">
        <v>255</v>
      </c>
      <c r="M150" s="176">
        <f ca="1">IF($D150&lt;&gt;"Serviço","",IF(AUTOEVENTO="manual",$A150,IF(ISERROR(MATCH($A150,$A$15:OFFSET($A150,-1,0),0)),MAX($M$15:OFFSET(M150,-1,0))+1,INDEX($M$15:OFFSET(M150,-1,0),MATCH($A150,$A$15:OFFSET($A150,-1,0),0)))))</f>
        <v>7</v>
      </c>
      <c r="N150" s="177" t="str">
        <f ca="1">IF($D150&lt;&gt;"Serviço","",IF(AUTOEVENTO="Manual",IF($A150=0,"&lt;-- defina o número do agrupador",OFFSET(EVENTOS!$D$14,$A150,0)),OFFSET($F$15,$A150,0)))</f>
        <v>ESQUADRIAS</v>
      </c>
      <c r="O150" s="178"/>
      <c r="Q150" s="178"/>
      <c r="R150" s="179"/>
      <c r="S150" s="179"/>
      <c r="T150" s="179"/>
      <c r="U150" s="179"/>
      <c r="V150" s="179"/>
      <c r="W150" s="179"/>
      <c r="X150" s="179"/>
      <c r="Y150" s="179"/>
      <c r="Z150" s="180"/>
      <c r="AB150" s="544">
        <f ca="1">IF(AND($D150="Serviço",AB$12&lt;&gt;0,$H150&gt;0,OR(AUTOEVENTO&lt;&gt;"manual",$M150&lt;&gt;1)),
IF(Import.TipoArredondamento&lt;&gt;"TransfereGOV",
ROUND(OFFSET($P150,0,AB$13),15-13*ORÇAMENTO!$AF$7)/$H150*OFFSET(ORÇAMENTO!$X$15,ROW(AB150)-ROW(AB$15),0),
ROUND(ROUND(OFFSET($P150,0,AB$13),15-13*ORÇAMENTO!$AF$7)*OFFSET(ORÇAMENTO!$W$15,ROW(AB150)-ROW(AB$15),0),15-13*ORÇAMENTO!$AF$11)),0)</f>
        <v>0</v>
      </c>
      <c r="AC150" s="545">
        <f ca="1">IF(AND($D150="Serviço",AC$12&lt;&gt;0,$H150&gt;0,OR(AUTOEVENTO&lt;&gt;"manual",$M150&lt;&gt;1)),
IF(Import.TipoArredondamento&lt;&gt;"TransfereGOV",
ROUND(OFFSET($P150,0,AC$13),15-13*ORÇAMENTO!$AF$7)/$H150*OFFSET(ORÇAMENTO!$X$15,ROW(AC150)-ROW(AC$15),0),
ROUND(ROUND(OFFSET($P150,0,AC$13),15-13*ORÇAMENTO!$AF$7)*OFFSET(ORÇAMENTO!$W$15,ROW(AC150)-ROW(AC$15),0),15-13*ORÇAMENTO!$AF$11)),0)</f>
        <v>0</v>
      </c>
      <c r="AD150" s="545">
        <f ca="1">IF(AND($D150="Serviço",AD$12&lt;&gt;0,$H150&gt;0,OR(AUTOEVENTO&lt;&gt;"manual",$M150&lt;&gt;1)),
IF(Import.TipoArredondamento&lt;&gt;"TransfereGOV",
ROUND(OFFSET($P150,0,AD$13),15-13*ORÇAMENTO!$AF$7)/$H150*OFFSET(ORÇAMENTO!$X$15,ROW(AD150)-ROW(AD$15),0),
ROUND(ROUND(OFFSET($P150,0,AD$13),15-13*ORÇAMENTO!$AF$7)*OFFSET(ORÇAMENTO!$W$15,ROW(AD150)-ROW(AD$15),0),15-13*ORÇAMENTO!$AF$11)),0)</f>
        <v>0</v>
      </c>
      <c r="AE150" s="545">
        <f ca="1">IF(AND($D150="Serviço",AE$12&lt;&gt;0,$H150&gt;0,OR(AUTOEVENTO&lt;&gt;"manual",$M150&lt;&gt;1)),
IF(Import.TipoArredondamento&lt;&gt;"TransfereGOV",
ROUND(OFFSET($P150,0,AE$13),15-13*ORÇAMENTO!$AF$7)/$H150*OFFSET(ORÇAMENTO!$X$15,ROW(AE150)-ROW(AE$15),0),
ROUND(ROUND(OFFSET($P150,0,AE$13),15-13*ORÇAMENTO!$AF$7)*OFFSET(ORÇAMENTO!$W$15,ROW(AE150)-ROW(AE$15),0),15-13*ORÇAMENTO!$AF$11)),0)</f>
        <v>0</v>
      </c>
      <c r="AF150" s="545">
        <f ca="1">IF(AND($D150="Serviço",AF$12&lt;&gt;0,$H150&gt;0,OR(AUTOEVENTO&lt;&gt;"manual",$M150&lt;&gt;1)),
IF(Import.TipoArredondamento&lt;&gt;"TransfereGOV",
ROUND(OFFSET($P150,0,AF$13),15-13*ORÇAMENTO!$AF$7)/$H150*OFFSET(ORÇAMENTO!$X$15,ROW(AF150)-ROW(AF$15),0),
ROUND(ROUND(OFFSET($P150,0,AF$13),15-13*ORÇAMENTO!$AF$7)*OFFSET(ORÇAMENTO!$W$15,ROW(AF150)-ROW(AF$15),0),15-13*ORÇAMENTO!$AF$11)),0)</f>
        <v>0</v>
      </c>
      <c r="AG150" s="545">
        <f ca="1">IF(AND($D150="Serviço",AG$12&lt;&gt;0,$H150&gt;0,OR(AUTOEVENTO&lt;&gt;"manual",$M150&lt;&gt;1)),
IF(Import.TipoArredondamento&lt;&gt;"TransfereGOV",
ROUND(OFFSET($P150,0,AG$13),15-13*ORÇAMENTO!$AF$7)/$H150*OFFSET(ORÇAMENTO!$X$15,ROW(AG150)-ROW(AG$15),0),
ROUND(ROUND(OFFSET($P150,0,AG$13),15-13*ORÇAMENTO!$AF$7)*OFFSET(ORÇAMENTO!$W$15,ROW(AG150)-ROW(AG$15),0),15-13*ORÇAMENTO!$AF$11)),0)</f>
        <v>0</v>
      </c>
      <c r="AH150" s="545">
        <f ca="1">IF(AND($D150="Serviço",AH$12&lt;&gt;0,$H150&gt;0,OR(AUTOEVENTO&lt;&gt;"manual",$M150&lt;&gt;1)),
IF(Import.TipoArredondamento&lt;&gt;"TransfereGOV",
ROUND(OFFSET($P150,0,AH$13),15-13*ORÇAMENTO!$AF$7)/$H150*OFFSET(ORÇAMENTO!$X$15,ROW(AH150)-ROW(AH$15),0),
ROUND(ROUND(OFFSET($P150,0,AH$13),15-13*ORÇAMENTO!$AF$7)*OFFSET(ORÇAMENTO!$W$15,ROW(AH150)-ROW(AH$15),0),15-13*ORÇAMENTO!$AF$11)),0)</f>
        <v>0</v>
      </c>
      <c r="AI150" s="545">
        <f ca="1">IF(AND($D150="Serviço",AI$12&lt;&gt;0,$H150&gt;0,OR(AUTOEVENTO&lt;&gt;"manual",$M150&lt;&gt;1)),
IF(Import.TipoArredondamento&lt;&gt;"TransfereGOV",
ROUND(OFFSET($P150,0,AI$13),15-13*ORÇAMENTO!$AF$7)/$H150*OFFSET(ORÇAMENTO!$X$15,ROW(AI150)-ROW(AI$15),0),
ROUND(ROUND(OFFSET($P150,0,AI$13),15-13*ORÇAMENTO!$AF$7)*OFFSET(ORÇAMENTO!$W$15,ROW(AI150)-ROW(AI$15),0),15-13*ORÇAMENTO!$AF$11)),0)</f>
        <v>0</v>
      </c>
      <c r="AJ150" s="545">
        <f ca="1">IF(AND($D150="Serviço",AJ$12&lt;&gt;0,$H150&gt;0,OR(AUTOEVENTO&lt;&gt;"manual",$M150&lt;&gt;1)),
IF(Import.TipoArredondamento&lt;&gt;"TransfereGOV",
ROUND(OFFSET($P150,0,AJ$13),15-13*ORÇAMENTO!$AF$7)/$H150*OFFSET(ORÇAMENTO!$X$15,ROW(AJ150)-ROW(AJ$15),0),
ROUND(ROUND(OFFSET($P150,0,AJ$13),15-13*ORÇAMENTO!$AF$7)*OFFSET(ORÇAMENTO!$W$15,ROW(AJ150)-ROW(AJ$15),0),15-13*ORÇAMENTO!$AF$11)),0)</f>
        <v>0</v>
      </c>
      <c r="AK150" s="546">
        <f ca="1">IF(AND($D150="Serviço",AK$12&lt;&gt;0,$H150&gt;0,OR(AUTOEVENTO&lt;&gt;"manual",$M150&lt;&gt;1)),
IF(Import.TipoArredondamento&lt;&gt;"TransfereGOV",
ROUND(OFFSET($P150,0,AK$13),15-13*ORÇAMENTO!$AF$7)/$H150*OFFSET(ORÇAMENTO!$X$15,ROW(AK150)-ROW(AK$15),0),
ROUND(ROUND(OFFSET($P150,0,AK$13),15-13*ORÇAMENTO!$AF$7)*OFFSET(ORÇAMENTO!$W$15,ROW(AK150)-ROW(AK$15),0),15-13*ORÇAMENTO!$AF$11)),0)</f>
        <v>0</v>
      </c>
      <c r="AM150" s="181">
        <f ca="1">IF($D150&lt;&gt;"Serviço",0,IF(AND(AUTOEVENTO="Manual",$M150=1),0,IF(OFFSET(CRONOPLE!$F$14,$M150,AM$13)="",10^12,OFFSET(CRONOPLE!$F$14,$M150,AM$13))))</f>
        <v>1000000000000</v>
      </c>
      <c r="AN150" s="181">
        <f ca="1">IF($D150&lt;&gt;"Serviço",0,IF(AND(AUTOEVENTO="Manual",$M150=1),0,IF(OFFSET(CRONOPLE!$F$14,$M150,AN$13)="",10^12,OFFSET(CRONOPLE!$F$14,$M150,AN$13))))</f>
        <v>1000000000000</v>
      </c>
      <c r="AO150" s="181">
        <f ca="1">IF($D150&lt;&gt;"Serviço",0,IF(AND(AUTOEVENTO="Manual",$M150=1),0,IF(OFFSET(CRONOPLE!$F$14,$M150,AO$13)="",10^12,OFFSET(CRONOPLE!$F$14,$M150,AO$13))))</f>
        <v>1000000000000</v>
      </c>
      <c r="AP150" s="181">
        <f ca="1">IF($D150&lt;&gt;"Serviço",0,IF(AND(AUTOEVENTO="Manual",$M150=1),0,IF(OFFSET(CRONOPLE!$F$14,$M150,AP$13)="",10^12,OFFSET(CRONOPLE!$F$14,$M150,AP$13))))</f>
        <v>1000000000000</v>
      </c>
      <c r="AQ150" s="181">
        <f ca="1">IF($D150&lt;&gt;"Serviço",0,IF(AND(AUTOEVENTO="Manual",$M150=1),0,IF(OFFSET(CRONOPLE!$F$14,$M150,AQ$13)="",10^12,OFFSET(CRONOPLE!$F$14,$M150,AQ$13))))</f>
        <v>1000000000000</v>
      </c>
      <c r="AR150" s="181">
        <f ca="1">IF($D150&lt;&gt;"Serviço",0,IF(AND(AUTOEVENTO="Manual",$M150=1),0,IF(OFFSET(CRONOPLE!$F$14,$M150,AR$13)="",10^12,OFFSET(CRONOPLE!$F$14,$M150,AR$13))))</f>
        <v>1000000000000</v>
      </c>
      <c r="AS150" s="181">
        <f ca="1">IF($D150&lt;&gt;"Serviço",0,IF(AND(AUTOEVENTO="Manual",$M150=1),0,IF(OFFSET(CRONOPLE!$F$14,$M150,AS$13)="",10^12,OFFSET(CRONOPLE!$F$14,$M150,AS$13))))</f>
        <v>1000000000000</v>
      </c>
      <c r="AT150" s="181">
        <f ca="1">IF($D150&lt;&gt;"Serviço",0,IF(AND(AUTOEVENTO="Manual",$M150=1),0,IF(OFFSET(CRONOPLE!$F$14,$M150,AT$13)="",10^12,OFFSET(CRONOPLE!$F$14,$M150,AT$13))))</f>
        <v>1000000000000</v>
      </c>
      <c r="AU150" s="181">
        <f ca="1">IF($D150&lt;&gt;"Serviço",0,IF(AND(AUTOEVENTO="Manual",$M150=1),0,IF(OFFSET(CRONOPLE!$F$14,$M150,AU$13)="",10^12,OFFSET(CRONOPLE!$F$14,$M150,AU$13))))</f>
        <v>1000000000000</v>
      </c>
      <c r="AV150" s="181">
        <f ca="1">IF($D150&lt;&gt;"Serviço",0,IF(AND(AUTOEVENTO="Manual",$M150=1),0,IF(OFFSET(CRONOPLE!$F$14,$M150,AV$13)="",10^12,OFFSET(CRONOPLE!$F$14,$M150,AV$13))))</f>
        <v>1000000000000</v>
      </c>
      <c r="AX150" s="182">
        <f ca="1">IF($D150&lt;&gt;"Serviço",0,IF(OR(AND(AUTOEVENTO="Manual",$M150=1),$M150&gt;(ROW(PLE.lastrow)-ROW(PLE.firstrow))),0,IF(OFFSET(PLE!$G$14,$M150,AX$13)="",10^12,OFFSET(PLE!$G$14,$M150,AX$13))))</f>
        <v>1000000000000</v>
      </c>
      <c r="AY150" s="182">
        <f ca="1">IF($D150&lt;&gt;"Serviço",0,IF(OR(AND(AUTOEVENTO="Manual",$M150=1),$M150&gt;(ROW(PLE.lastrow)-ROW(PLE.firstrow))),0,IF(OFFSET(PLE!$G$14,$M150,AY$13)="",10^12,OFFSET(PLE!$G$14,$M150,AY$13))))</f>
        <v>1000000000000</v>
      </c>
      <c r="AZ150" s="182">
        <f ca="1">IF($D150&lt;&gt;"Serviço",0,IF(OR(AND(AUTOEVENTO="Manual",$M150=1),$M150&gt;(ROW(PLE.lastrow)-ROW(PLE.firstrow))),0,IF(OFFSET(PLE!$G$14,$M150,AZ$13)="",10^12,OFFSET(PLE!$G$14,$M150,AZ$13))))</f>
        <v>1000000000000</v>
      </c>
      <c r="BA150" s="182">
        <f ca="1">IF($D150&lt;&gt;"Serviço",0,IF(OR(AND(AUTOEVENTO="Manual",$M150=1),$M150&gt;(ROW(PLE.lastrow)-ROW(PLE.firstrow))),0,IF(OFFSET(PLE!$G$14,$M150,BA$13)="",10^12,OFFSET(PLE!$G$14,$M150,BA$13))))</f>
        <v>1000000000000</v>
      </c>
      <c r="BB150" s="182">
        <f ca="1">IF($D150&lt;&gt;"Serviço",0,IF(OR(AND(AUTOEVENTO="Manual",$M150=1),$M150&gt;(ROW(PLE.lastrow)-ROW(PLE.firstrow))),0,IF(OFFSET(PLE!$G$14,$M150,BB$13)="",10^12,OFFSET(PLE!$G$14,$M150,BB$13))))</f>
        <v>1000000000000</v>
      </c>
      <c r="BC150" s="182">
        <f ca="1">IF($D150&lt;&gt;"Serviço",0,IF(OR(AND(AUTOEVENTO="Manual",$M150=1),$M150&gt;(ROW(PLE.lastrow)-ROW(PLE.firstrow))),0,IF(OFFSET(PLE!$G$14,$M150,BC$13)="",10^12,OFFSET(PLE!$G$14,$M150,BC$13))))</f>
        <v>1000000000000</v>
      </c>
      <c r="BD150" s="182">
        <f ca="1">IF($D150&lt;&gt;"Serviço",0,IF(OR(AND(AUTOEVENTO="Manual",$M150=1),$M150&gt;(ROW(PLE.lastrow)-ROW(PLE.firstrow))),0,IF(OFFSET(PLE!$G$14,$M150,BD$13)="",10^12,OFFSET(PLE!$G$14,$M150,BD$13))))</f>
        <v>1000000000000</v>
      </c>
      <c r="BE150" s="182">
        <f ca="1">IF($D150&lt;&gt;"Serviço",0,IF(OR(AND(AUTOEVENTO="Manual",$M150=1),$M150&gt;(ROW(PLE.lastrow)-ROW(PLE.firstrow))),0,IF(OFFSET(PLE!$G$14,$M150,BE$13)="",10^12,OFFSET(PLE!$G$14,$M150,BE$13))))</f>
        <v>1000000000000</v>
      </c>
      <c r="BF150" s="182">
        <f ca="1">IF($D150&lt;&gt;"Serviço",0,IF(OR(AND(AUTOEVENTO="Manual",$M150=1),$M150&gt;(ROW(PLE.lastrow)-ROW(PLE.firstrow))),0,IF(OFFSET(PLE!$G$14,$M150,BF$13)="",10^12,OFFSET(PLE!$G$14,$M150,BF$13))))</f>
        <v>1000000000000</v>
      </c>
      <c r="BG150" s="182">
        <f ca="1">IF($D150&lt;&gt;"Serviço",0,IF(OR(AND(AUTOEVENTO="Manual",$M150=1),$M150&gt;(ROW(PLE.lastrow)-ROW(PLE.firstrow))),0,IF(OFFSET(PLE!$G$14,$M150,BG$13)="",10^12,OFFSET(PLE!$G$14,$M150,BG$13))))</f>
        <v>1000000000000</v>
      </c>
    </row>
    <row r="151" spans="1:59" ht="38.25" x14ac:dyDescent="0.2">
      <c r="A151" s="7" t="str">
        <f t="shared" ref="A151:A217" ca="1" si="10">IF(AUTOEVENTO="Manual",IF(K151&lt;&gt;"",MIN(VALUE(LEFT(K151,FIND(".",K151)-1)),COUNTA(EVENTOS.Lista)),0),IF(OR($B151&gt;AUTOEVENTO,$B151="S",$B151=0),SUBSTITUTE(OFFSET($A151,-1,0),IF($D151="Serviço",".",""),""),ROW(A151)-ROW($A$15)&amp;"."))</f>
        <v>108</v>
      </c>
      <c r="B151" s="7" t="str">
        <f ca="1">OFFSET(ORÇAMENTO!C$15,ROW(B151)-ROW(B$15),0)</f>
        <v>S</v>
      </c>
      <c r="C151" s="7" t="str">
        <f ca="1">OFFSET(ORÇAMENTO!L$15,ROW(C151)-ROW(C$15),0)</f>
        <v/>
      </c>
      <c r="D151" s="118" t="str">
        <f ca="1">OFFSET(ORÇAMENTO!N$15,ROW(D151)-ROW(D$15),0)</f>
        <v>Serviço</v>
      </c>
      <c r="E151" s="119" t="str">
        <f ca="1">OFFSET(ORÇAMENTO!O$15,ROW(E151)-ROW(E$15),0)</f>
        <v>-</v>
      </c>
      <c r="F151" s="172" t="str">
        <f ca="1">OFFSET(ORÇAMENTO!R$15,ROW(F151)-ROW(F$15),0)</f>
        <v>(abra o arquivo 'Referência 02-2025.xlsm)</v>
      </c>
      <c r="G151" s="173" t="str">
        <f ca="1">IF($D151&lt;&gt;"Serviço","",OFFSET(ORÇAMENTO!S$15,ROW(G151)-ROW(G$15),0))</f>
        <v>-</v>
      </c>
      <c r="H151" s="124">
        <f ca="1">IF($D151&lt;&gt;"Serviço",0,IF(ACOMPANHAMENTO="BM",ROUND(OFFSET(ORÇAMENTO!AJ$15,ROW(H151)-ROW(H$15),0),15-13*ORÇAMENTO!$AF$7),SUMPRODUCT(($Q$12:$AA$12&lt;&gt;"")*ROUND($Q151:$AA151,15-13*ORÇAMENTO!$AF$7))))</f>
        <v>11.03</v>
      </c>
      <c r="I151" s="561" t="s">
        <v>890</v>
      </c>
      <c r="K151" s="174"/>
      <c r="L151" s="175" t="s">
        <v>255</v>
      </c>
      <c r="M151" s="176">
        <f ca="1">IF($D151&lt;&gt;"Serviço","",IF(AUTOEVENTO="manual",$A151,IF(ISERROR(MATCH($A151,$A$15:OFFSET($A151,-1,0),0)),MAX($M$15:OFFSET(M151,-1,0))+1,INDEX($M$15:OFFSET(M151,-1,0),MATCH($A151,$A$15:OFFSET($A151,-1,0),0)))))</f>
        <v>7</v>
      </c>
      <c r="N151" s="177" t="str">
        <f ca="1">IF($D151&lt;&gt;"Serviço","",IF(AUTOEVENTO="Manual",IF($A151=0,"&lt;-- defina o número do agrupador",OFFSET(EVENTOS!$D$14,$A151,0)),OFFSET($F$15,$A151,0)))</f>
        <v>ESQUADRIAS</v>
      </c>
      <c r="O151" s="178"/>
      <c r="Q151" s="178"/>
      <c r="R151" s="179"/>
      <c r="S151" s="179"/>
      <c r="T151" s="179"/>
      <c r="U151" s="179"/>
      <c r="V151" s="179"/>
      <c r="W151" s="179"/>
      <c r="X151" s="179"/>
      <c r="Y151" s="179"/>
      <c r="Z151" s="180"/>
      <c r="AB151" s="544">
        <f ca="1">IF(AND($D151="Serviço",AB$12&lt;&gt;0,$H151&gt;0,OR(AUTOEVENTO&lt;&gt;"manual",$M151&lt;&gt;1)),
IF(Import.TipoArredondamento&lt;&gt;"TransfereGOV",
ROUND(OFFSET($P151,0,AB$13),15-13*ORÇAMENTO!$AF$7)/$H151*OFFSET(ORÇAMENTO!$X$15,ROW(AB151)-ROW(AB$15),0),
ROUND(ROUND(OFFSET($P151,0,AB$13),15-13*ORÇAMENTO!$AF$7)*OFFSET(ORÇAMENTO!$W$15,ROW(AB151)-ROW(AB$15),0),15-13*ORÇAMENTO!$AF$11)),0)</f>
        <v>0</v>
      </c>
      <c r="AC151" s="545">
        <f ca="1">IF(AND($D151="Serviço",AC$12&lt;&gt;0,$H151&gt;0,OR(AUTOEVENTO&lt;&gt;"manual",$M151&lt;&gt;1)),
IF(Import.TipoArredondamento&lt;&gt;"TransfereGOV",
ROUND(OFFSET($P151,0,AC$13),15-13*ORÇAMENTO!$AF$7)/$H151*OFFSET(ORÇAMENTO!$X$15,ROW(AC151)-ROW(AC$15),0),
ROUND(ROUND(OFFSET($P151,0,AC$13),15-13*ORÇAMENTO!$AF$7)*OFFSET(ORÇAMENTO!$W$15,ROW(AC151)-ROW(AC$15),0),15-13*ORÇAMENTO!$AF$11)),0)</f>
        <v>0</v>
      </c>
      <c r="AD151" s="545">
        <f ca="1">IF(AND($D151="Serviço",AD$12&lt;&gt;0,$H151&gt;0,OR(AUTOEVENTO&lt;&gt;"manual",$M151&lt;&gt;1)),
IF(Import.TipoArredondamento&lt;&gt;"TransfereGOV",
ROUND(OFFSET($P151,0,AD$13),15-13*ORÇAMENTO!$AF$7)/$H151*OFFSET(ORÇAMENTO!$X$15,ROW(AD151)-ROW(AD$15),0),
ROUND(ROUND(OFFSET($P151,0,AD$13),15-13*ORÇAMENTO!$AF$7)*OFFSET(ORÇAMENTO!$W$15,ROW(AD151)-ROW(AD$15),0),15-13*ORÇAMENTO!$AF$11)),0)</f>
        <v>0</v>
      </c>
      <c r="AE151" s="545">
        <f ca="1">IF(AND($D151="Serviço",AE$12&lt;&gt;0,$H151&gt;0,OR(AUTOEVENTO&lt;&gt;"manual",$M151&lt;&gt;1)),
IF(Import.TipoArredondamento&lt;&gt;"TransfereGOV",
ROUND(OFFSET($P151,0,AE$13),15-13*ORÇAMENTO!$AF$7)/$H151*OFFSET(ORÇAMENTO!$X$15,ROW(AE151)-ROW(AE$15),0),
ROUND(ROUND(OFFSET($P151,0,AE$13),15-13*ORÇAMENTO!$AF$7)*OFFSET(ORÇAMENTO!$W$15,ROW(AE151)-ROW(AE$15),0),15-13*ORÇAMENTO!$AF$11)),0)</f>
        <v>0</v>
      </c>
      <c r="AF151" s="545">
        <f ca="1">IF(AND($D151="Serviço",AF$12&lt;&gt;0,$H151&gt;0,OR(AUTOEVENTO&lt;&gt;"manual",$M151&lt;&gt;1)),
IF(Import.TipoArredondamento&lt;&gt;"TransfereGOV",
ROUND(OFFSET($P151,0,AF$13),15-13*ORÇAMENTO!$AF$7)/$H151*OFFSET(ORÇAMENTO!$X$15,ROW(AF151)-ROW(AF$15),0),
ROUND(ROUND(OFFSET($P151,0,AF$13),15-13*ORÇAMENTO!$AF$7)*OFFSET(ORÇAMENTO!$W$15,ROW(AF151)-ROW(AF$15),0),15-13*ORÇAMENTO!$AF$11)),0)</f>
        <v>0</v>
      </c>
      <c r="AG151" s="545">
        <f ca="1">IF(AND($D151="Serviço",AG$12&lt;&gt;0,$H151&gt;0,OR(AUTOEVENTO&lt;&gt;"manual",$M151&lt;&gt;1)),
IF(Import.TipoArredondamento&lt;&gt;"TransfereGOV",
ROUND(OFFSET($P151,0,AG$13),15-13*ORÇAMENTO!$AF$7)/$H151*OFFSET(ORÇAMENTO!$X$15,ROW(AG151)-ROW(AG$15),0),
ROUND(ROUND(OFFSET($P151,0,AG$13),15-13*ORÇAMENTO!$AF$7)*OFFSET(ORÇAMENTO!$W$15,ROW(AG151)-ROW(AG$15),0),15-13*ORÇAMENTO!$AF$11)),0)</f>
        <v>0</v>
      </c>
      <c r="AH151" s="545">
        <f ca="1">IF(AND($D151="Serviço",AH$12&lt;&gt;0,$H151&gt;0,OR(AUTOEVENTO&lt;&gt;"manual",$M151&lt;&gt;1)),
IF(Import.TipoArredondamento&lt;&gt;"TransfereGOV",
ROUND(OFFSET($P151,0,AH$13),15-13*ORÇAMENTO!$AF$7)/$H151*OFFSET(ORÇAMENTO!$X$15,ROW(AH151)-ROW(AH$15),0),
ROUND(ROUND(OFFSET($P151,0,AH$13),15-13*ORÇAMENTO!$AF$7)*OFFSET(ORÇAMENTO!$W$15,ROW(AH151)-ROW(AH$15),0),15-13*ORÇAMENTO!$AF$11)),0)</f>
        <v>0</v>
      </c>
      <c r="AI151" s="545">
        <f ca="1">IF(AND($D151="Serviço",AI$12&lt;&gt;0,$H151&gt;0,OR(AUTOEVENTO&lt;&gt;"manual",$M151&lt;&gt;1)),
IF(Import.TipoArredondamento&lt;&gt;"TransfereGOV",
ROUND(OFFSET($P151,0,AI$13),15-13*ORÇAMENTO!$AF$7)/$H151*OFFSET(ORÇAMENTO!$X$15,ROW(AI151)-ROW(AI$15),0),
ROUND(ROUND(OFFSET($P151,0,AI$13),15-13*ORÇAMENTO!$AF$7)*OFFSET(ORÇAMENTO!$W$15,ROW(AI151)-ROW(AI$15),0),15-13*ORÇAMENTO!$AF$11)),0)</f>
        <v>0</v>
      </c>
      <c r="AJ151" s="545">
        <f ca="1">IF(AND($D151="Serviço",AJ$12&lt;&gt;0,$H151&gt;0,OR(AUTOEVENTO&lt;&gt;"manual",$M151&lt;&gt;1)),
IF(Import.TipoArredondamento&lt;&gt;"TransfereGOV",
ROUND(OFFSET($P151,0,AJ$13),15-13*ORÇAMENTO!$AF$7)/$H151*OFFSET(ORÇAMENTO!$X$15,ROW(AJ151)-ROW(AJ$15),0),
ROUND(ROUND(OFFSET($P151,0,AJ$13),15-13*ORÇAMENTO!$AF$7)*OFFSET(ORÇAMENTO!$W$15,ROW(AJ151)-ROW(AJ$15),0),15-13*ORÇAMENTO!$AF$11)),0)</f>
        <v>0</v>
      </c>
      <c r="AK151" s="546">
        <f ca="1">IF(AND($D151="Serviço",AK$12&lt;&gt;0,$H151&gt;0,OR(AUTOEVENTO&lt;&gt;"manual",$M151&lt;&gt;1)),
IF(Import.TipoArredondamento&lt;&gt;"TransfereGOV",
ROUND(OFFSET($P151,0,AK$13),15-13*ORÇAMENTO!$AF$7)/$H151*OFFSET(ORÇAMENTO!$X$15,ROW(AK151)-ROW(AK$15),0),
ROUND(ROUND(OFFSET($P151,0,AK$13),15-13*ORÇAMENTO!$AF$7)*OFFSET(ORÇAMENTO!$W$15,ROW(AK151)-ROW(AK$15),0),15-13*ORÇAMENTO!$AF$11)),0)</f>
        <v>0</v>
      </c>
      <c r="AM151" s="181">
        <f ca="1">IF($D151&lt;&gt;"Serviço",0,IF(AND(AUTOEVENTO="Manual",$M151=1),0,IF(OFFSET(CRONOPLE!$F$14,$M151,AM$13)="",10^12,OFFSET(CRONOPLE!$F$14,$M151,AM$13))))</f>
        <v>1000000000000</v>
      </c>
      <c r="AN151" s="181">
        <f ca="1">IF($D151&lt;&gt;"Serviço",0,IF(AND(AUTOEVENTO="Manual",$M151=1),0,IF(OFFSET(CRONOPLE!$F$14,$M151,AN$13)="",10^12,OFFSET(CRONOPLE!$F$14,$M151,AN$13))))</f>
        <v>1000000000000</v>
      </c>
      <c r="AO151" s="181">
        <f ca="1">IF($D151&lt;&gt;"Serviço",0,IF(AND(AUTOEVENTO="Manual",$M151=1),0,IF(OFFSET(CRONOPLE!$F$14,$M151,AO$13)="",10^12,OFFSET(CRONOPLE!$F$14,$M151,AO$13))))</f>
        <v>1000000000000</v>
      </c>
      <c r="AP151" s="181">
        <f ca="1">IF($D151&lt;&gt;"Serviço",0,IF(AND(AUTOEVENTO="Manual",$M151=1),0,IF(OFFSET(CRONOPLE!$F$14,$M151,AP$13)="",10^12,OFFSET(CRONOPLE!$F$14,$M151,AP$13))))</f>
        <v>1000000000000</v>
      </c>
      <c r="AQ151" s="181">
        <f ca="1">IF($D151&lt;&gt;"Serviço",0,IF(AND(AUTOEVENTO="Manual",$M151=1),0,IF(OFFSET(CRONOPLE!$F$14,$M151,AQ$13)="",10^12,OFFSET(CRONOPLE!$F$14,$M151,AQ$13))))</f>
        <v>1000000000000</v>
      </c>
      <c r="AR151" s="181">
        <f ca="1">IF($D151&lt;&gt;"Serviço",0,IF(AND(AUTOEVENTO="Manual",$M151=1),0,IF(OFFSET(CRONOPLE!$F$14,$M151,AR$13)="",10^12,OFFSET(CRONOPLE!$F$14,$M151,AR$13))))</f>
        <v>1000000000000</v>
      </c>
      <c r="AS151" s="181">
        <f ca="1">IF($D151&lt;&gt;"Serviço",0,IF(AND(AUTOEVENTO="Manual",$M151=1),0,IF(OFFSET(CRONOPLE!$F$14,$M151,AS$13)="",10^12,OFFSET(CRONOPLE!$F$14,$M151,AS$13))))</f>
        <v>1000000000000</v>
      </c>
      <c r="AT151" s="181">
        <f ca="1">IF($D151&lt;&gt;"Serviço",0,IF(AND(AUTOEVENTO="Manual",$M151=1),0,IF(OFFSET(CRONOPLE!$F$14,$M151,AT$13)="",10^12,OFFSET(CRONOPLE!$F$14,$M151,AT$13))))</f>
        <v>1000000000000</v>
      </c>
      <c r="AU151" s="181">
        <f ca="1">IF($D151&lt;&gt;"Serviço",0,IF(AND(AUTOEVENTO="Manual",$M151=1),0,IF(OFFSET(CRONOPLE!$F$14,$M151,AU$13)="",10^12,OFFSET(CRONOPLE!$F$14,$M151,AU$13))))</f>
        <v>1000000000000</v>
      </c>
      <c r="AV151" s="181">
        <f ca="1">IF($D151&lt;&gt;"Serviço",0,IF(AND(AUTOEVENTO="Manual",$M151=1),0,IF(OFFSET(CRONOPLE!$F$14,$M151,AV$13)="",10^12,OFFSET(CRONOPLE!$F$14,$M151,AV$13))))</f>
        <v>1000000000000</v>
      </c>
      <c r="AX151" s="182">
        <f ca="1">IF($D151&lt;&gt;"Serviço",0,IF(OR(AND(AUTOEVENTO="Manual",$M151=1),$M151&gt;(ROW(PLE.lastrow)-ROW(PLE.firstrow))),0,IF(OFFSET(PLE!$G$14,$M151,AX$13)="",10^12,OFFSET(PLE!$G$14,$M151,AX$13))))</f>
        <v>1000000000000</v>
      </c>
      <c r="AY151" s="182">
        <f ca="1">IF($D151&lt;&gt;"Serviço",0,IF(OR(AND(AUTOEVENTO="Manual",$M151=1),$M151&gt;(ROW(PLE.lastrow)-ROW(PLE.firstrow))),0,IF(OFFSET(PLE!$G$14,$M151,AY$13)="",10^12,OFFSET(PLE!$G$14,$M151,AY$13))))</f>
        <v>1000000000000</v>
      </c>
      <c r="AZ151" s="182">
        <f ca="1">IF($D151&lt;&gt;"Serviço",0,IF(OR(AND(AUTOEVENTO="Manual",$M151=1),$M151&gt;(ROW(PLE.lastrow)-ROW(PLE.firstrow))),0,IF(OFFSET(PLE!$G$14,$M151,AZ$13)="",10^12,OFFSET(PLE!$G$14,$M151,AZ$13))))</f>
        <v>1000000000000</v>
      </c>
      <c r="BA151" s="182">
        <f ca="1">IF($D151&lt;&gt;"Serviço",0,IF(OR(AND(AUTOEVENTO="Manual",$M151=1),$M151&gt;(ROW(PLE.lastrow)-ROW(PLE.firstrow))),0,IF(OFFSET(PLE!$G$14,$M151,BA$13)="",10^12,OFFSET(PLE!$G$14,$M151,BA$13))))</f>
        <v>1000000000000</v>
      </c>
      <c r="BB151" s="182">
        <f ca="1">IF($D151&lt;&gt;"Serviço",0,IF(OR(AND(AUTOEVENTO="Manual",$M151=1),$M151&gt;(ROW(PLE.lastrow)-ROW(PLE.firstrow))),0,IF(OFFSET(PLE!$G$14,$M151,BB$13)="",10^12,OFFSET(PLE!$G$14,$M151,BB$13))))</f>
        <v>1000000000000</v>
      </c>
      <c r="BC151" s="182">
        <f ca="1">IF($D151&lt;&gt;"Serviço",0,IF(OR(AND(AUTOEVENTO="Manual",$M151=1),$M151&gt;(ROW(PLE.lastrow)-ROW(PLE.firstrow))),0,IF(OFFSET(PLE!$G$14,$M151,BC$13)="",10^12,OFFSET(PLE!$G$14,$M151,BC$13))))</f>
        <v>1000000000000</v>
      </c>
      <c r="BD151" s="182">
        <f ca="1">IF($D151&lt;&gt;"Serviço",0,IF(OR(AND(AUTOEVENTO="Manual",$M151=1),$M151&gt;(ROW(PLE.lastrow)-ROW(PLE.firstrow))),0,IF(OFFSET(PLE!$G$14,$M151,BD$13)="",10^12,OFFSET(PLE!$G$14,$M151,BD$13))))</f>
        <v>1000000000000</v>
      </c>
      <c r="BE151" s="182">
        <f ca="1">IF($D151&lt;&gt;"Serviço",0,IF(OR(AND(AUTOEVENTO="Manual",$M151=1),$M151&gt;(ROW(PLE.lastrow)-ROW(PLE.firstrow))),0,IF(OFFSET(PLE!$G$14,$M151,BE$13)="",10^12,OFFSET(PLE!$G$14,$M151,BE$13))))</f>
        <v>1000000000000</v>
      </c>
      <c r="BF151" s="182">
        <f ca="1">IF($D151&lt;&gt;"Serviço",0,IF(OR(AND(AUTOEVENTO="Manual",$M151=1),$M151&gt;(ROW(PLE.lastrow)-ROW(PLE.firstrow))),0,IF(OFFSET(PLE!$G$14,$M151,BF$13)="",10^12,OFFSET(PLE!$G$14,$M151,BF$13))))</f>
        <v>1000000000000</v>
      </c>
      <c r="BG151" s="182">
        <f ca="1">IF($D151&lt;&gt;"Serviço",0,IF(OR(AND(AUTOEVENTO="Manual",$M151=1),$M151&gt;(ROW(PLE.lastrow)-ROW(PLE.firstrow))),0,IF(OFFSET(PLE!$G$14,$M151,BG$13)="",10^12,OFFSET(PLE!$G$14,$M151,BG$13))))</f>
        <v>1000000000000</v>
      </c>
    </row>
    <row r="152" spans="1:59" ht="38.25" x14ac:dyDescent="0.2">
      <c r="A152" s="7" t="str">
        <f t="shared" ca="1" si="10"/>
        <v>108</v>
      </c>
      <c r="B152" s="7" t="str">
        <f ca="1">OFFSET(ORÇAMENTO!C$15,ROW(B152)-ROW(B$15),0)</f>
        <v>S</v>
      </c>
      <c r="C152" s="7" t="str">
        <f ca="1">OFFSET(ORÇAMENTO!L$15,ROW(C152)-ROW(C$15),0)</f>
        <v/>
      </c>
      <c r="D152" s="118" t="str">
        <f ca="1">OFFSET(ORÇAMENTO!N$15,ROW(D152)-ROW(D$15),0)</f>
        <v>Serviço</v>
      </c>
      <c r="E152" s="119" t="str">
        <f ca="1">OFFSET(ORÇAMENTO!O$15,ROW(E152)-ROW(E$15),0)</f>
        <v>-</v>
      </c>
      <c r="F152" s="172" t="str">
        <f ca="1">OFFSET(ORÇAMENTO!R$15,ROW(F152)-ROW(F$15),0)</f>
        <v>(abra o arquivo 'Referência 02-2025.xlsm)</v>
      </c>
      <c r="G152" s="173" t="str">
        <f ca="1">IF($D152&lt;&gt;"Serviço","",OFFSET(ORÇAMENTO!S$15,ROW(G152)-ROW(G$15),0))</f>
        <v>-</v>
      </c>
      <c r="H152" s="124">
        <f ca="1">IF($D152&lt;&gt;"Serviço",0,IF(ACOMPANHAMENTO="BM",ROUND(OFFSET(ORÇAMENTO!AJ$15,ROW(H152)-ROW(H$15),0),15-13*ORÇAMENTO!$AF$7),SUMPRODUCT(($Q$12:$AA$12&lt;&gt;"")*ROUND($Q152:$AA152,15-13*ORÇAMENTO!$AF$7))))</f>
        <v>6.3</v>
      </c>
      <c r="I152" s="561" t="s">
        <v>890</v>
      </c>
      <c r="K152" s="174"/>
      <c r="L152" s="175" t="s">
        <v>255</v>
      </c>
      <c r="M152" s="176">
        <f ca="1">IF($D152&lt;&gt;"Serviço","",IF(AUTOEVENTO="manual",$A152,IF(ISERROR(MATCH($A152,$A$15:OFFSET($A152,-1,0),0)),MAX($M$15:OFFSET(M152,-1,0))+1,INDEX($M$15:OFFSET(M152,-1,0),MATCH($A152,$A$15:OFFSET($A152,-1,0),0)))))</f>
        <v>7</v>
      </c>
      <c r="N152" s="177" t="str">
        <f ca="1">IF($D152&lt;&gt;"Serviço","",IF(AUTOEVENTO="Manual",IF($A152=0,"&lt;-- defina o número do agrupador",OFFSET(EVENTOS!$D$14,$A152,0)),OFFSET($F$15,$A152,0)))</f>
        <v>ESQUADRIAS</v>
      </c>
      <c r="O152" s="178"/>
      <c r="Q152" s="178"/>
      <c r="R152" s="179"/>
      <c r="S152" s="179"/>
      <c r="T152" s="179"/>
      <c r="U152" s="179"/>
      <c r="V152" s="179"/>
      <c r="W152" s="179"/>
      <c r="X152" s="179"/>
      <c r="Y152" s="179"/>
      <c r="Z152" s="180"/>
      <c r="AB152" s="544">
        <f ca="1">IF(AND($D152="Serviço",AB$12&lt;&gt;0,$H152&gt;0,OR(AUTOEVENTO&lt;&gt;"manual",$M152&lt;&gt;1)),
IF(Import.TipoArredondamento&lt;&gt;"TransfereGOV",
ROUND(OFFSET($P152,0,AB$13),15-13*ORÇAMENTO!$AF$7)/$H152*OFFSET(ORÇAMENTO!$X$15,ROW(AB152)-ROW(AB$15),0),
ROUND(ROUND(OFFSET($P152,0,AB$13),15-13*ORÇAMENTO!$AF$7)*OFFSET(ORÇAMENTO!$W$15,ROW(AB152)-ROW(AB$15),0),15-13*ORÇAMENTO!$AF$11)),0)</f>
        <v>0</v>
      </c>
      <c r="AC152" s="545">
        <f ca="1">IF(AND($D152="Serviço",AC$12&lt;&gt;0,$H152&gt;0,OR(AUTOEVENTO&lt;&gt;"manual",$M152&lt;&gt;1)),
IF(Import.TipoArredondamento&lt;&gt;"TransfereGOV",
ROUND(OFFSET($P152,0,AC$13),15-13*ORÇAMENTO!$AF$7)/$H152*OFFSET(ORÇAMENTO!$X$15,ROW(AC152)-ROW(AC$15),0),
ROUND(ROUND(OFFSET($P152,0,AC$13),15-13*ORÇAMENTO!$AF$7)*OFFSET(ORÇAMENTO!$W$15,ROW(AC152)-ROW(AC$15),0),15-13*ORÇAMENTO!$AF$11)),0)</f>
        <v>0</v>
      </c>
      <c r="AD152" s="545">
        <f ca="1">IF(AND($D152="Serviço",AD$12&lt;&gt;0,$H152&gt;0,OR(AUTOEVENTO&lt;&gt;"manual",$M152&lt;&gt;1)),
IF(Import.TipoArredondamento&lt;&gt;"TransfereGOV",
ROUND(OFFSET($P152,0,AD$13),15-13*ORÇAMENTO!$AF$7)/$H152*OFFSET(ORÇAMENTO!$X$15,ROW(AD152)-ROW(AD$15),0),
ROUND(ROUND(OFFSET($P152,0,AD$13),15-13*ORÇAMENTO!$AF$7)*OFFSET(ORÇAMENTO!$W$15,ROW(AD152)-ROW(AD$15),0),15-13*ORÇAMENTO!$AF$11)),0)</f>
        <v>0</v>
      </c>
      <c r="AE152" s="545">
        <f ca="1">IF(AND($D152="Serviço",AE$12&lt;&gt;0,$H152&gt;0,OR(AUTOEVENTO&lt;&gt;"manual",$M152&lt;&gt;1)),
IF(Import.TipoArredondamento&lt;&gt;"TransfereGOV",
ROUND(OFFSET($P152,0,AE$13),15-13*ORÇAMENTO!$AF$7)/$H152*OFFSET(ORÇAMENTO!$X$15,ROW(AE152)-ROW(AE$15),0),
ROUND(ROUND(OFFSET($P152,0,AE$13),15-13*ORÇAMENTO!$AF$7)*OFFSET(ORÇAMENTO!$W$15,ROW(AE152)-ROW(AE$15),0),15-13*ORÇAMENTO!$AF$11)),0)</f>
        <v>0</v>
      </c>
      <c r="AF152" s="545">
        <f ca="1">IF(AND($D152="Serviço",AF$12&lt;&gt;0,$H152&gt;0,OR(AUTOEVENTO&lt;&gt;"manual",$M152&lt;&gt;1)),
IF(Import.TipoArredondamento&lt;&gt;"TransfereGOV",
ROUND(OFFSET($P152,0,AF$13),15-13*ORÇAMENTO!$AF$7)/$H152*OFFSET(ORÇAMENTO!$X$15,ROW(AF152)-ROW(AF$15),0),
ROUND(ROUND(OFFSET($P152,0,AF$13),15-13*ORÇAMENTO!$AF$7)*OFFSET(ORÇAMENTO!$W$15,ROW(AF152)-ROW(AF$15),0),15-13*ORÇAMENTO!$AF$11)),0)</f>
        <v>0</v>
      </c>
      <c r="AG152" s="545">
        <f ca="1">IF(AND($D152="Serviço",AG$12&lt;&gt;0,$H152&gt;0,OR(AUTOEVENTO&lt;&gt;"manual",$M152&lt;&gt;1)),
IF(Import.TipoArredondamento&lt;&gt;"TransfereGOV",
ROUND(OFFSET($P152,0,AG$13),15-13*ORÇAMENTO!$AF$7)/$H152*OFFSET(ORÇAMENTO!$X$15,ROW(AG152)-ROW(AG$15),0),
ROUND(ROUND(OFFSET($P152,0,AG$13),15-13*ORÇAMENTO!$AF$7)*OFFSET(ORÇAMENTO!$W$15,ROW(AG152)-ROW(AG$15),0),15-13*ORÇAMENTO!$AF$11)),0)</f>
        <v>0</v>
      </c>
      <c r="AH152" s="545">
        <f ca="1">IF(AND($D152="Serviço",AH$12&lt;&gt;0,$H152&gt;0,OR(AUTOEVENTO&lt;&gt;"manual",$M152&lt;&gt;1)),
IF(Import.TipoArredondamento&lt;&gt;"TransfereGOV",
ROUND(OFFSET($P152,0,AH$13),15-13*ORÇAMENTO!$AF$7)/$H152*OFFSET(ORÇAMENTO!$X$15,ROW(AH152)-ROW(AH$15),0),
ROUND(ROUND(OFFSET($P152,0,AH$13),15-13*ORÇAMENTO!$AF$7)*OFFSET(ORÇAMENTO!$W$15,ROW(AH152)-ROW(AH$15),0),15-13*ORÇAMENTO!$AF$11)),0)</f>
        <v>0</v>
      </c>
      <c r="AI152" s="545">
        <f ca="1">IF(AND($D152="Serviço",AI$12&lt;&gt;0,$H152&gt;0,OR(AUTOEVENTO&lt;&gt;"manual",$M152&lt;&gt;1)),
IF(Import.TipoArredondamento&lt;&gt;"TransfereGOV",
ROUND(OFFSET($P152,0,AI$13),15-13*ORÇAMENTO!$AF$7)/$H152*OFFSET(ORÇAMENTO!$X$15,ROW(AI152)-ROW(AI$15),0),
ROUND(ROUND(OFFSET($P152,0,AI$13),15-13*ORÇAMENTO!$AF$7)*OFFSET(ORÇAMENTO!$W$15,ROW(AI152)-ROW(AI$15),0),15-13*ORÇAMENTO!$AF$11)),0)</f>
        <v>0</v>
      </c>
      <c r="AJ152" s="545">
        <f ca="1">IF(AND($D152="Serviço",AJ$12&lt;&gt;0,$H152&gt;0,OR(AUTOEVENTO&lt;&gt;"manual",$M152&lt;&gt;1)),
IF(Import.TipoArredondamento&lt;&gt;"TransfereGOV",
ROUND(OFFSET($P152,0,AJ$13),15-13*ORÇAMENTO!$AF$7)/$H152*OFFSET(ORÇAMENTO!$X$15,ROW(AJ152)-ROW(AJ$15),0),
ROUND(ROUND(OFFSET($P152,0,AJ$13),15-13*ORÇAMENTO!$AF$7)*OFFSET(ORÇAMENTO!$W$15,ROW(AJ152)-ROW(AJ$15),0),15-13*ORÇAMENTO!$AF$11)),0)</f>
        <v>0</v>
      </c>
      <c r="AK152" s="546">
        <f ca="1">IF(AND($D152="Serviço",AK$12&lt;&gt;0,$H152&gt;0,OR(AUTOEVENTO&lt;&gt;"manual",$M152&lt;&gt;1)),
IF(Import.TipoArredondamento&lt;&gt;"TransfereGOV",
ROUND(OFFSET($P152,0,AK$13),15-13*ORÇAMENTO!$AF$7)/$H152*OFFSET(ORÇAMENTO!$X$15,ROW(AK152)-ROW(AK$15),0),
ROUND(ROUND(OFFSET($P152,0,AK$13),15-13*ORÇAMENTO!$AF$7)*OFFSET(ORÇAMENTO!$W$15,ROW(AK152)-ROW(AK$15),0),15-13*ORÇAMENTO!$AF$11)),0)</f>
        <v>0</v>
      </c>
      <c r="AM152" s="181">
        <f ca="1">IF($D152&lt;&gt;"Serviço",0,IF(AND(AUTOEVENTO="Manual",$M152=1),0,IF(OFFSET(CRONOPLE!$F$14,$M152,AM$13)="",10^12,OFFSET(CRONOPLE!$F$14,$M152,AM$13))))</f>
        <v>1000000000000</v>
      </c>
      <c r="AN152" s="181">
        <f ca="1">IF($D152&lt;&gt;"Serviço",0,IF(AND(AUTOEVENTO="Manual",$M152=1),0,IF(OFFSET(CRONOPLE!$F$14,$M152,AN$13)="",10^12,OFFSET(CRONOPLE!$F$14,$M152,AN$13))))</f>
        <v>1000000000000</v>
      </c>
      <c r="AO152" s="181">
        <f ca="1">IF($D152&lt;&gt;"Serviço",0,IF(AND(AUTOEVENTO="Manual",$M152=1),0,IF(OFFSET(CRONOPLE!$F$14,$M152,AO$13)="",10^12,OFFSET(CRONOPLE!$F$14,$M152,AO$13))))</f>
        <v>1000000000000</v>
      </c>
      <c r="AP152" s="181">
        <f ca="1">IF($D152&lt;&gt;"Serviço",0,IF(AND(AUTOEVENTO="Manual",$M152=1),0,IF(OFFSET(CRONOPLE!$F$14,$M152,AP$13)="",10^12,OFFSET(CRONOPLE!$F$14,$M152,AP$13))))</f>
        <v>1000000000000</v>
      </c>
      <c r="AQ152" s="181">
        <f ca="1">IF($D152&lt;&gt;"Serviço",0,IF(AND(AUTOEVENTO="Manual",$M152=1),0,IF(OFFSET(CRONOPLE!$F$14,$M152,AQ$13)="",10^12,OFFSET(CRONOPLE!$F$14,$M152,AQ$13))))</f>
        <v>1000000000000</v>
      </c>
      <c r="AR152" s="181">
        <f ca="1">IF($D152&lt;&gt;"Serviço",0,IF(AND(AUTOEVENTO="Manual",$M152=1),0,IF(OFFSET(CRONOPLE!$F$14,$M152,AR$13)="",10^12,OFFSET(CRONOPLE!$F$14,$M152,AR$13))))</f>
        <v>1000000000000</v>
      </c>
      <c r="AS152" s="181">
        <f ca="1">IF($D152&lt;&gt;"Serviço",0,IF(AND(AUTOEVENTO="Manual",$M152=1),0,IF(OFFSET(CRONOPLE!$F$14,$M152,AS$13)="",10^12,OFFSET(CRONOPLE!$F$14,$M152,AS$13))))</f>
        <v>1000000000000</v>
      </c>
      <c r="AT152" s="181">
        <f ca="1">IF($D152&lt;&gt;"Serviço",0,IF(AND(AUTOEVENTO="Manual",$M152=1),0,IF(OFFSET(CRONOPLE!$F$14,$M152,AT$13)="",10^12,OFFSET(CRONOPLE!$F$14,$M152,AT$13))))</f>
        <v>1000000000000</v>
      </c>
      <c r="AU152" s="181">
        <f ca="1">IF($D152&lt;&gt;"Serviço",0,IF(AND(AUTOEVENTO="Manual",$M152=1),0,IF(OFFSET(CRONOPLE!$F$14,$M152,AU$13)="",10^12,OFFSET(CRONOPLE!$F$14,$M152,AU$13))))</f>
        <v>1000000000000</v>
      </c>
      <c r="AV152" s="181">
        <f ca="1">IF($D152&lt;&gt;"Serviço",0,IF(AND(AUTOEVENTO="Manual",$M152=1),0,IF(OFFSET(CRONOPLE!$F$14,$M152,AV$13)="",10^12,OFFSET(CRONOPLE!$F$14,$M152,AV$13))))</f>
        <v>1000000000000</v>
      </c>
      <c r="AX152" s="182">
        <f ca="1">IF($D152&lt;&gt;"Serviço",0,IF(OR(AND(AUTOEVENTO="Manual",$M152=1),$M152&gt;(ROW(PLE.lastrow)-ROW(PLE.firstrow))),0,IF(OFFSET(PLE!$G$14,$M152,AX$13)="",10^12,OFFSET(PLE!$G$14,$M152,AX$13))))</f>
        <v>1000000000000</v>
      </c>
      <c r="AY152" s="182">
        <f ca="1">IF($D152&lt;&gt;"Serviço",0,IF(OR(AND(AUTOEVENTO="Manual",$M152=1),$M152&gt;(ROW(PLE.lastrow)-ROW(PLE.firstrow))),0,IF(OFFSET(PLE!$G$14,$M152,AY$13)="",10^12,OFFSET(PLE!$G$14,$M152,AY$13))))</f>
        <v>1000000000000</v>
      </c>
      <c r="AZ152" s="182">
        <f ca="1">IF($D152&lt;&gt;"Serviço",0,IF(OR(AND(AUTOEVENTO="Manual",$M152=1),$M152&gt;(ROW(PLE.lastrow)-ROW(PLE.firstrow))),0,IF(OFFSET(PLE!$G$14,$M152,AZ$13)="",10^12,OFFSET(PLE!$G$14,$M152,AZ$13))))</f>
        <v>1000000000000</v>
      </c>
      <c r="BA152" s="182">
        <f ca="1">IF($D152&lt;&gt;"Serviço",0,IF(OR(AND(AUTOEVENTO="Manual",$M152=1),$M152&gt;(ROW(PLE.lastrow)-ROW(PLE.firstrow))),0,IF(OFFSET(PLE!$G$14,$M152,BA$13)="",10^12,OFFSET(PLE!$G$14,$M152,BA$13))))</f>
        <v>1000000000000</v>
      </c>
      <c r="BB152" s="182">
        <f ca="1">IF($D152&lt;&gt;"Serviço",0,IF(OR(AND(AUTOEVENTO="Manual",$M152=1),$M152&gt;(ROW(PLE.lastrow)-ROW(PLE.firstrow))),0,IF(OFFSET(PLE!$G$14,$M152,BB$13)="",10^12,OFFSET(PLE!$G$14,$M152,BB$13))))</f>
        <v>1000000000000</v>
      </c>
      <c r="BC152" s="182">
        <f ca="1">IF($D152&lt;&gt;"Serviço",0,IF(OR(AND(AUTOEVENTO="Manual",$M152=1),$M152&gt;(ROW(PLE.lastrow)-ROW(PLE.firstrow))),0,IF(OFFSET(PLE!$G$14,$M152,BC$13)="",10^12,OFFSET(PLE!$G$14,$M152,BC$13))))</f>
        <v>1000000000000</v>
      </c>
      <c r="BD152" s="182">
        <f ca="1">IF($D152&lt;&gt;"Serviço",0,IF(OR(AND(AUTOEVENTO="Manual",$M152=1),$M152&gt;(ROW(PLE.lastrow)-ROW(PLE.firstrow))),0,IF(OFFSET(PLE!$G$14,$M152,BD$13)="",10^12,OFFSET(PLE!$G$14,$M152,BD$13))))</f>
        <v>1000000000000</v>
      </c>
      <c r="BE152" s="182">
        <f ca="1">IF($D152&lt;&gt;"Serviço",0,IF(OR(AND(AUTOEVENTO="Manual",$M152=1),$M152&gt;(ROW(PLE.lastrow)-ROW(PLE.firstrow))),0,IF(OFFSET(PLE!$G$14,$M152,BE$13)="",10^12,OFFSET(PLE!$G$14,$M152,BE$13))))</f>
        <v>1000000000000</v>
      </c>
      <c r="BF152" s="182">
        <f ca="1">IF($D152&lt;&gt;"Serviço",0,IF(OR(AND(AUTOEVENTO="Manual",$M152=1),$M152&gt;(ROW(PLE.lastrow)-ROW(PLE.firstrow))),0,IF(OFFSET(PLE!$G$14,$M152,BF$13)="",10^12,OFFSET(PLE!$G$14,$M152,BF$13))))</f>
        <v>1000000000000</v>
      </c>
      <c r="BG152" s="182">
        <f ca="1">IF($D152&lt;&gt;"Serviço",0,IF(OR(AND(AUTOEVENTO="Manual",$M152=1),$M152&gt;(ROW(PLE.lastrow)-ROW(PLE.firstrow))),0,IF(OFFSET(PLE!$G$14,$M152,BG$13)="",10^12,OFFSET(PLE!$G$14,$M152,BG$13))))</f>
        <v>1000000000000</v>
      </c>
    </row>
    <row r="153" spans="1:59" ht="38.25" x14ac:dyDescent="0.2">
      <c r="A153" s="7" t="str">
        <f t="shared" ca="1" si="10"/>
        <v>108</v>
      </c>
      <c r="B153" s="7" t="str">
        <f ca="1">OFFSET(ORÇAMENTO!C$15,ROW(B153)-ROW(B$15),0)</f>
        <v>S</v>
      </c>
      <c r="C153" s="7" t="str">
        <f ca="1">OFFSET(ORÇAMENTO!L$15,ROW(C153)-ROW(C$15),0)</f>
        <v/>
      </c>
      <c r="D153" s="118" t="str">
        <f ca="1">OFFSET(ORÇAMENTO!N$15,ROW(D153)-ROW(D$15),0)</f>
        <v>Serviço</v>
      </c>
      <c r="E153" s="119" t="str">
        <f ca="1">OFFSET(ORÇAMENTO!O$15,ROW(E153)-ROW(E$15),0)</f>
        <v>-</v>
      </c>
      <c r="F153" s="172" t="str">
        <f ca="1">OFFSET(ORÇAMENTO!R$15,ROW(F153)-ROW(F$15),0)</f>
        <v>(abra o arquivo 'Referência 02-2025.xlsm)</v>
      </c>
      <c r="G153" s="173" t="str">
        <f ca="1">IF($D153&lt;&gt;"Serviço","",OFFSET(ORÇAMENTO!S$15,ROW(G153)-ROW(G$15),0))</f>
        <v>-</v>
      </c>
      <c r="H153" s="124">
        <f ca="1">IF($D153&lt;&gt;"Serviço",0,IF(ACOMPANHAMENTO="BM",ROUND(OFFSET(ORÇAMENTO!AJ$15,ROW(H153)-ROW(H$15),0),15-13*ORÇAMENTO!$AF$7),SUMPRODUCT(($Q$12:$AA$12&lt;&gt;"")*ROUND($Q153:$AA153,15-13*ORÇAMENTO!$AF$7))))</f>
        <v>18.899999999999999</v>
      </c>
      <c r="I153" s="561" t="s">
        <v>890</v>
      </c>
      <c r="K153" s="174"/>
      <c r="L153" s="175" t="s">
        <v>255</v>
      </c>
      <c r="M153" s="176">
        <f ca="1">IF($D153&lt;&gt;"Serviço","",IF(AUTOEVENTO="manual",$A153,IF(ISERROR(MATCH($A153,$A$15:OFFSET($A153,-1,0),0)),MAX($M$15:OFFSET(M153,-1,0))+1,INDEX($M$15:OFFSET(M153,-1,0),MATCH($A153,$A$15:OFFSET($A153,-1,0),0)))))</f>
        <v>7</v>
      </c>
      <c r="N153" s="177" t="str">
        <f ca="1">IF($D153&lt;&gt;"Serviço","",IF(AUTOEVENTO="Manual",IF($A153=0,"&lt;-- defina o número do agrupador",OFFSET(EVENTOS!$D$14,$A153,0)),OFFSET($F$15,$A153,0)))</f>
        <v>ESQUADRIAS</v>
      </c>
      <c r="O153" s="178"/>
      <c r="Q153" s="178"/>
      <c r="R153" s="179"/>
      <c r="S153" s="179"/>
      <c r="T153" s="179"/>
      <c r="U153" s="179"/>
      <c r="V153" s="179"/>
      <c r="W153" s="179"/>
      <c r="X153" s="179"/>
      <c r="Y153" s="179"/>
      <c r="Z153" s="180"/>
      <c r="AB153" s="544">
        <f ca="1">IF(AND($D153="Serviço",AB$12&lt;&gt;0,$H153&gt;0,OR(AUTOEVENTO&lt;&gt;"manual",$M153&lt;&gt;1)),
IF(Import.TipoArredondamento&lt;&gt;"TransfereGOV",
ROUND(OFFSET($P153,0,AB$13),15-13*ORÇAMENTO!$AF$7)/$H153*OFFSET(ORÇAMENTO!$X$15,ROW(AB153)-ROW(AB$15),0),
ROUND(ROUND(OFFSET($P153,0,AB$13),15-13*ORÇAMENTO!$AF$7)*OFFSET(ORÇAMENTO!$W$15,ROW(AB153)-ROW(AB$15),0),15-13*ORÇAMENTO!$AF$11)),0)</f>
        <v>0</v>
      </c>
      <c r="AC153" s="545">
        <f ca="1">IF(AND($D153="Serviço",AC$12&lt;&gt;0,$H153&gt;0,OR(AUTOEVENTO&lt;&gt;"manual",$M153&lt;&gt;1)),
IF(Import.TipoArredondamento&lt;&gt;"TransfereGOV",
ROUND(OFFSET($P153,0,AC$13),15-13*ORÇAMENTO!$AF$7)/$H153*OFFSET(ORÇAMENTO!$X$15,ROW(AC153)-ROW(AC$15),0),
ROUND(ROUND(OFFSET($P153,0,AC$13),15-13*ORÇAMENTO!$AF$7)*OFFSET(ORÇAMENTO!$W$15,ROW(AC153)-ROW(AC$15),0),15-13*ORÇAMENTO!$AF$11)),0)</f>
        <v>0</v>
      </c>
      <c r="AD153" s="545">
        <f ca="1">IF(AND($D153="Serviço",AD$12&lt;&gt;0,$H153&gt;0,OR(AUTOEVENTO&lt;&gt;"manual",$M153&lt;&gt;1)),
IF(Import.TipoArredondamento&lt;&gt;"TransfereGOV",
ROUND(OFFSET($P153,0,AD$13),15-13*ORÇAMENTO!$AF$7)/$H153*OFFSET(ORÇAMENTO!$X$15,ROW(AD153)-ROW(AD$15),0),
ROUND(ROUND(OFFSET($P153,0,AD$13),15-13*ORÇAMENTO!$AF$7)*OFFSET(ORÇAMENTO!$W$15,ROW(AD153)-ROW(AD$15),0),15-13*ORÇAMENTO!$AF$11)),0)</f>
        <v>0</v>
      </c>
      <c r="AE153" s="545">
        <f ca="1">IF(AND($D153="Serviço",AE$12&lt;&gt;0,$H153&gt;0,OR(AUTOEVENTO&lt;&gt;"manual",$M153&lt;&gt;1)),
IF(Import.TipoArredondamento&lt;&gt;"TransfereGOV",
ROUND(OFFSET($P153,0,AE$13),15-13*ORÇAMENTO!$AF$7)/$H153*OFFSET(ORÇAMENTO!$X$15,ROW(AE153)-ROW(AE$15),0),
ROUND(ROUND(OFFSET($P153,0,AE$13),15-13*ORÇAMENTO!$AF$7)*OFFSET(ORÇAMENTO!$W$15,ROW(AE153)-ROW(AE$15),0),15-13*ORÇAMENTO!$AF$11)),0)</f>
        <v>0</v>
      </c>
      <c r="AF153" s="545">
        <f ca="1">IF(AND($D153="Serviço",AF$12&lt;&gt;0,$H153&gt;0,OR(AUTOEVENTO&lt;&gt;"manual",$M153&lt;&gt;1)),
IF(Import.TipoArredondamento&lt;&gt;"TransfereGOV",
ROUND(OFFSET($P153,0,AF$13),15-13*ORÇAMENTO!$AF$7)/$H153*OFFSET(ORÇAMENTO!$X$15,ROW(AF153)-ROW(AF$15),0),
ROUND(ROUND(OFFSET($P153,0,AF$13),15-13*ORÇAMENTO!$AF$7)*OFFSET(ORÇAMENTO!$W$15,ROW(AF153)-ROW(AF$15),0),15-13*ORÇAMENTO!$AF$11)),0)</f>
        <v>0</v>
      </c>
      <c r="AG153" s="545">
        <f ca="1">IF(AND($D153="Serviço",AG$12&lt;&gt;0,$H153&gt;0,OR(AUTOEVENTO&lt;&gt;"manual",$M153&lt;&gt;1)),
IF(Import.TipoArredondamento&lt;&gt;"TransfereGOV",
ROUND(OFFSET($P153,0,AG$13),15-13*ORÇAMENTO!$AF$7)/$H153*OFFSET(ORÇAMENTO!$X$15,ROW(AG153)-ROW(AG$15),0),
ROUND(ROUND(OFFSET($P153,0,AG$13),15-13*ORÇAMENTO!$AF$7)*OFFSET(ORÇAMENTO!$W$15,ROW(AG153)-ROW(AG$15),0),15-13*ORÇAMENTO!$AF$11)),0)</f>
        <v>0</v>
      </c>
      <c r="AH153" s="545">
        <f ca="1">IF(AND($D153="Serviço",AH$12&lt;&gt;0,$H153&gt;0,OR(AUTOEVENTO&lt;&gt;"manual",$M153&lt;&gt;1)),
IF(Import.TipoArredondamento&lt;&gt;"TransfereGOV",
ROUND(OFFSET($P153,0,AH$13),15-13*ORÇAMENTO!$AF$7)/$H153*OFFSET(ORÇAMENTO!$X$15,ROW(AH153)-ROW(AH$15),0),
ROUND(ROUND(OFFSET($P153,0,AH$13),15-13*ORÇAMENTO!$AF$7)*OFFSET(ORÇAMENTO!$W$15,ROW(AH153)-ROW(AH$15),0),15-13*ORÇAMENTO!$AF$11)),0)</f>
        <v>0</v>
      </c>
      <c r="AI153" s="545">
        <f ca="1">IF(AND($D153="Serviço",AI$12&lt;&gt;0,$H153&gt;0,OR(AUTOEVENTO&lt;&gt;"manual",$M153&lt;&gt;1)),
IF(Import.TipoArredondamento&lt;&gt;"TransfereGOV",
ROUND(OFFSET($P153,0,AI$13),15-13*ORÇAMENTO!$AF$7)/$H153*OFFSET(ORÇAMENTO!$X$15,ROW(AI153)-ROW(AI$15),0),
ROUND(ROUND(OFFSET($P153,0,AI$13),15-13*ORÇAMENTO!$AF$7)*OFFSET(ORÇAMENTO!$W$15,ROW(AI153)-ROW(AI$15),0),15-13*ORÇAMENTO!$AF$11)),0)</f>
        <v>0</v>
      </c>
      <c r="AJ153" s="545">
        <f ca="1">IF(AND($D153="Serviço",AJ$12&lt;&gt;0,$H153&gt;0,OR(AUTOEVENTO&lt;&gt;"manual",$M153&lt;&gt;1)),
IF(Import.TipoArredondamento&lt;&gt;"TransfereGOV",
ROUND(OFFSET($P153,0,AJ$13),15-13*ORÇAMENTO!$AF$7)/$H153*OFFSET(ORÇAMENTO!$X$15,ROW(AJ153)-ROW(AJ$15),0),
ROUND(ROUND(OFFSET($P153,0,AJ$13),15-13*ORÇAMENTO!$AF$7)*OFFSET(ORÇAMENTO!$W$15,ROW(AJ153)-ROW(AJ$15),0),15-13*ORÇAMENTO!$AF$11)),0)</f>
        <v>0</v>
      </c>
      <c r="AK153" s="546">
        <f ca="1">IF(AND($D153="Serviço",AK$12&lt;&gt;0,$H153&gt;0,OR(AUTOEVENTO&lt;&gt;"manual",$M153&lt;&gt;1)),
IF(Import.TipoArredondamento&lt;&gt;"TransfereGOV",
ROUND(OFFSET($P153,0,AK$13),15-13*ORÇAMENTO!$AF$7)/$H153*OFFSET(ORÇAMENTO!$X$15,ROW(AK153)-ROW(AK$15),0),
ROUND(ROUND(OFFSET($P153,0,AK$13),15-13*ORÇAMENTO!$AF$7)*OFFSET(ORÇAMENTO!$W$15,ROW(AK153)-ROW(AK$15),0),15-13*ORÇAMENTO!$AF$11)),0)</f>
        <v>0</v>
      </c>
      <c r="AM153" s="181">
        <f ca="1">IF($D153&lt;&gt;"Serviço",0,IF(AND(AUTOEVENTO="Manual",$M153=1),0,IF(OFFSET(CRONOPLE!$F$14,$M153,AM$13)="",10^12,OFFSET(CRONOPLE!$F$14,$M153,AM$13))))</f>
        <v>1000000000000</v>
      </c>
      <c r="AN153" s="181">
        <f ca="1">IF($D153&lt;&gt;"Serviço",0,IF(AND(AUTOEVENTO="Manual",$M153=1),0,IF(OFFSET(CRONOPLE!$F$14,$M153,AN$13)="",10^12,OFFSET(CRONOPLE!$F$14,$M153,AN$13))))</f>
        <v>1000000000000</v>
      </c>
      <c r="AO153" s="181">
        <f ca="1">IF($D153&lt;&gt;"Serviço",0,IF(AND(AUTOEVENTO="Manual",$M153=1),0,IF(OFFSET(CRONOPLE!$F$14,$M153,AO$13)="",10^12,OFFSET(CRONOPLE!$F$14,$M153,AO$13))))</f>
        <v>1000000000000</v>
      </c>
      <c r="AP153" s="181">
        <f ca="1">IF($D153&lt;&gt;"Serviço",0,IF(AND(AUTOEVENTO="Manual",$M153=1),0,IF(OFFSET(CRONOPLE!$F$14,$M153,AP$13)="",10^12,OFFSET(CRONOPLE!$F$14,$M153,AP$13))))</f>
        <v>1000000000000</v>
      </c>
      <c r="AQ153" s="181">
        <f ca="1">IF($D153&lt;&gt;"Serviço",0,IF(AND(AUTOEVENTO="Manual",$M153=1),0,IF(OFFSET(CRONOPLE!$F$14,$M153,AQ$13)="",10^12,OFFSET(CRONOPLE!$F$14,$M153,AQ$13))))</f>
        <v>1000000000000</v>
      </c>
      <c r="AR153" s="181">
        <f ca="1">IF($D153&lt;&gt;"Serviço",0,IF(AND(AUTOEVENTO="Manual",$M153=1),0,IF(OFFSET(CRONOPLE!$F$14,$M153,AR$13)="",10^12,OFFSET(CRONOPLE!$F$14,$M153,AR$13))))</f>
        <v>1000000000000</v>
      </c>
      <c r="AS153" s="181">
        <f ca="1">IF($D153&lt;&gt;"Serviço",0,IF(AND(AUTOEVENTO="Manual",$M153=1),0,IF(OFFSET(CRONOPLE!$F$14,$M153,AS$13)="",10^12,OFFSET(CRONOPLE!$F$14,$M153,AS$13))))</f>
        <v>1000000000000</v>
      </c>
      <c r="AT153" s="181">
        <f ca="1">IF($D153&lt;&gt;"Serviço",0,IF(AND(AUTOEVENTO="Manual",$M153=1),0,IF(OFFSET(CRONOPLE!$F$14,$M153,AT$13)="",10^12,OFFSET(CRONOPLE!$F$14,$M153,AT$13))))</f>
        <v>1000000000000</v>
      </c>
      <c r="AU153" s="181">
        <f ca="1">IF($D153&lt;&gt;"Serviço",0,IF(AND(AUTOEVENTO="Manual",$M153=1),0,IF(OFFSET(CRONOPLE!$F$14,$M153,AU$13)="",10^12,OFFSET(CRONOPLE!$F$14,$M153,AU$13))))</f>
        <v>1000000000000</v>
      </c>
      <c r="AV153" s="181">
        <f ca="1">IF($D153&lt;&gt;"Serviço",0,IF(AND(AUTOEVENTO="Manual",$M153=1),0,IF(OFFSET(CRONOPLE!$F$14,$M153,AV$13)="",10^12,OFFSET(CRONOPLE!$F$14,$M153,AV$13))))</f>
        <v>1000000000000</v>
      </c>
      <c r="AX153" s="182">
        <f ca="1">IF($D153&lt;&gt;"Serviço",0,IF(OR(AND(AUTOEVENTO="Manual",$M153=1),$M153&gt;(ROW(PLE.lastrow)-ROW(PLE.firstrow))),0,IF(OFFSET(PLE!$G$14,$M153,AX$13)="",10^12,OFFSET(PLE!$G$14,$M153,AX$13))))</f>
        <v>1000000000000</v>
      </c>
      <c r="AY153" s="182">
        <f ca="1">IF($D153&lt;&gt;"Serviço",0,IF(OR(AND(AUTOEVENTO="Manual",$M153=1),$M153&gt;(ROW(PLE.lastrow)-ROW(PLE.firstrow))),0,IF(OFFSET(PLE!$G$14,$M153,AY$13)="",10^12,OFFSET(PLE!$G$14,$M153,AY$13))))</f>
        <v>1000000000000</v>
      </c>
      <c r="AZ153" s="182">
        <f ca="1">IF($D153&lt;&gt;"Serviço",0,IF(OR(AND(AUTOEVENTO="Manual",$M153=1),$M153&gt;(ROW(PLE.lastrow)-ROW(PLE.firstrow))),0,IF(OFFSET(PLE!$G$14,$M153,AZ$13)="",10^12,OFFSET(PLE!$G$14,$M153,AZ$13))))</f>
        <v>1000000000000</v>
      </c>
      <c r="BA153" s="182">
        <f ca="1">IF($D153&lt;&gt;"Serviço",0,IF(OR(AND(AUTOEVENTO="Manual",$M153=1),$M153&gt;(ROW(PLE.lastrow)-ROW(PLE.firstrow))),0,IF(OFFSET(PLE!$G$14,$M153,BA$13)="",10^12,OFFSET(PLE!$G$14,$M153,BA$13))))</f>
        <v>1000000000000</v>
      </c>
      <c r="BB153" s="182">
        <f ca="1">IF($D153&lt;&gt;"Serviço",0,IF(OR(AND(AUTOEVENTO="Manual",$M153=1),$M153&gt;(ROW(PLE.lastrow)-ROW(PLE.firstrow))),0,IF(OFFSET(PLE!$G$14,$M153,BB$13)="",10^12,OFFSET(PLE!$G$14,$M153,BB$13))))</f>
        <v>1000000000000</v>
      </c>
      <c r="BC153" s="182">
        <f ca="1">IF($D153&lt;&gt;"Serviço",0,IF(OR(AND(AUTOEVENTO="Manual",$M153=1),$M153&gt;(ROW(PLE.lastrow)-ROW(PLE.firstrow))),0,IF(OFFSET(PLE!$G$14,$M153,BC$13)="",10^12,OFFSET(PLE!$G$14,$M153,BC$13))))</f>
        <v>1000000000000</v>
      </c>
      <c r="BD153" s="182">
        <f ca="1">IF($D153&lt;&gt;"Serviço",0,IF(OR(AND(AUTOEVENTO="Manual",$M153=1),$M153&gt;(ROW(PLE.lastrow)-ROW(PLE.firstrow))),0,IF(OFFSET(PLE!$G$14,$M153,BD$13)="",10^12,OFFSET(PLE!$G$14,$M153,BD$13))))</f>
        <v>1000000000000</v>
      </c>
      <c r="BE153" s="182">
        <f ca="1">IF($D153&lt;&gt;"Serviço",0,IF(OR(AND(AUTOEVENTO="Manual",$M153=1),$M153&gt;(ROW(PLE.lastrow)-ROW(PLE.firstrow))),0,IF(OFFSET(PLE!$G$14,$M153,BE$13)="",10^12,OFFSET(PLE!$G$14,$M153,BE$13))))</f>
        <v>1000000000000</v>
      </c>
      <c r="BF153" s="182">
        <f ca="1">IF($D153&lt;&gt;"Serviço",0,IF(OR(AND(AUTOEVENTO="Manual",$M153=1),$M153&gt;(ROW(PLE.lastrow)-ROW(PLE.firstrow))),0,IF(OFFSET(PLE!$G$14,$M153,BF$13)="",10^12,OFFSET(PLE!$G$14,$M153,BF$13))))</f>
        <v>1000000000000</v>
      </c>
      <c r="BG153" s="182">
        <f ca="1">IF($D153&lt;&gt;"Serviço",0,IF(OR(AND(AUTOEVENTO="Manual",$M153=1),$M153&gt;(ROW(PLE.lastrow)-ROW(PLE.firstrow))),0,IF(OFFSET(PLE!$G$14,$M153,BG$13)="",10^12,OFFSET(PLE!$G$14,$M153,BG$13))))</f>
        <v>1000000000000</v>
      </c>
    </row>
    <row r="154" spans="1:59" ht="38.25" x14ac:dyDescent="0.2">
      <c r="A154" s="7" t="str">
        <f t="shared" ca="1" si="10"/>
        <v>108</v>
      </c>
      <c r="B154" s="7" t="str">
        <f ca="1">OFFSET(ORÇAMENTO!C$15,ROW(B154)-ROW(B$15),0)</f>
        <v>S</v>
      </c>
      <c r="C154" s="7" t="str">
        <f ca="1">OFFSET(ORÇAMENTO!L$15,ROW(C154)-ROW(C$15),0)</f>
        <v/>
      </c>
      <c r="D154" s="118" t="str">
        <f ca="1">OFFSET(ORÇAMENTO!N$15,ROW(D154)-ROW(D$15),0)</f>
        <v>Serviço</v>
      </c>
      <c r="E154" s="119" t="str">
        <f ca="1">OFFSET(ORÇAMENTO!O$15,ROW(E154)-ROW(E$15),0)</f>
        <v>-</v>
      </c>
      <c r="F154" s="172" t="str">
        <f ca="1">OFFSET(ORÇAMENTO!R$15,ROW(F154)-ROW(F$15),0)</f>
        <v>(abra o arquivo 'Referência 02-2025.xlsm)</v>
      </c>
      <c r="G154" s="173" t="str">
        <f ca="1">IF($D154&lt;&gt;"Serviço","",OFFSET(ORÇAMENTO!S$15,ROW(G154)-ROW(G$15),0))</f>
        <v>-</v>
      </c>
      <c r="H154" s="124">
        <f ca="1">IF($D154&lt;&gt;"Serviço",0,IF(ACOMPANHAMENTO="BM",ROUND(OFFSET(ORÇAMENTO!AJ$15,ROW(H154)-ROW(H$15),0),15-13*ORÇAMENTO!$AF$7),SUMPRODUCT(($Q$12:$AA$12&lt;&gt;"")*ROUND($Q154:$AA154,15-13*ORÇAMENTO!$AF$7))))</f>
        <v>2.1</v>
      </c>
      <c r="I154" s="561" t="s">
        <v>890</v>
      </c>
      <c r="K154" s="174"/>
      <c r="L154" s="175" t="s">
        <v>255</v>
      </c>
      <c r="M154" s="176">
        <f ca="1">IF($D154&lt;&gt;"Serviço","",IF(AUTOEVENTO="manual",$A154,IF(ISERROR(MATCH($A154,$A$15:OFFSET($A154,-1,0),0)),MAX($M$15:OFFSET(M154,-1,0))+1,INDEX($M$15:OFFSET(M154,-1,0),MATCH($A154,$A$15:OFFSET($A154,-1,0),0)))))</f>
        <v>7</v>
      </c>
      <c r="N154" s="177" t="str">
        <f ca="1">IF($D154&lt;&gt;"Serviço","",IF(AUTOEVENTO="Manual",IF($A154=0,"&lt;-- defina o número do agrupador",OFFSET(EVENTOS!$D$14,$A154,0)),OFFSET($F$15,$A154,0)))</f>
        <v>ESQUADRIAS</v>
      </c>
      <c r="O154" s="178"/>
      <c r="Q154" s="178"/>
      <c r="R154" s="179"/>
      <c r="S154" s="179"/>
      <c r="T154" s="179"/>
      <c r="U154" s="179"/>
      <c r="V154" s="179"/>
      <c r="W154" s="179"/>
      <c r="X154" s="179"/>
      <c r="Y154" s="179"/>
      <c r="Z154" s="180"/>
      <c r="AB154" s="544">
        <f ca="1">IF(AND($D154="Serviço",AB$12&lt;&gt;0,$H154&gt;0,OR(AUTOEVENTO&lt;&gt;"manual",$M154&lt;&gt;1)),
IF(Import.TipoArredondamento&lt;&gt;"TransfereGOV",
ROUND(OFFSET($P154,0,AB$13),15-13*ORÇAMENTO!$AF$7)/$H154*OFFSET(ORÇAMENTO!$X$15,ROW(AB154)-ROW(AB$15),0),
ROUND(ROUND(OFFSET($P154,0,AB$13),15-13*ORÇAMENTO!$AF$7)*OFFSET(ORÇAMENTO!$W$15,ROW(AB154)-ROW(AB$15),0),15-13*ORÇAMENTO!$AF$11)),0)</f>
        <v>0</v>
      </c>
      <c r="AC154" s="545">
        <f ca="1">IF(AND($D154="Serviço",AC$12&lt;&gt;0,$H154&gt;0,OR(AUTOEVENTO&lt;&gt;"manual",$M154&lt;&gt;1)),
IF(Import.TipoArredondamento&lt;&gt;"TransfereGOV",
ROUND(OFFSET($P154,0,AC$13),15-13*ORÇAMENTO!$AF$7)/$H154*OFFSET(ORÇAMENTO!$X$15,ROW(AC154)-ROW(AC$15),0),
ROUND(ROUND(OFFSET($P154,0,AC$13),15-13*ORÇAMENTO!$AF$7)*OFFSET(ORÇAMENTO!$W$15,ROW(AC154)-ROW(AC$15),0),15-13*ORÇAMENTO!$AF$11)),0)</f>
        <v>0</v>
      </c>
      <c r="AD154" s="545">
        <f ca="1">IF(AND($D154="Serviço",AD$12&lt;&gt;0,$H154&gt;0,OR(AUTOEVENTO&lt;&gt;"manual",$M154&lt;&gt;1)),
IF(Import.TipoArredondamento&lt;&gt;"TransfereGOV",
ROUND(OFFSET($P154,0,AD$13),15-13*ORÇAMENTO!$AF$7)/$H154*OFFSET(ORÇAMENTO!$X$15,ROW(AD154)-ROW(AD$15),0),
ROUND(ROUND(OFFSET($P154,0,AD$13),15-13*ORÇAMENTO!$AF$7)*OFFSET(ORÇAMENTO!$W$15,ROW(AD154)-ROW(AD$15),0),15-13*ORÇAMENTO!$AF$11)),0)</f>
        <v>0</v>
      </c>
      <c r="AE154" s="545">
        <f ca="1">IF(AND($D154="Serviço",AE$12&lt;&gt;0,$H154&gt;0,OR(AUTOEVENTO&lt;&gt;"manual",$M154&lt;&gt;1)),
IF(Import.TipoArredondamento&lt;&gt;"TransfereGOV",
ROUND(OFFSET($P154,0,AE$13),15-13*ORÇAMENTO!$AF$7)/$H154*OFFSET(ORÇAMENTO!$X$15,ROW(AE154)-ROW(AE$15),0),
ROUND(ROUND(OFFSET($P154,0,AE$13),15-13*ORÇAMENTO!$AF$7)*OFFSET(ORÇAMENTO!$W$15,ROW(AE154)-ROW(AE$15),0),15-13*ORÇAMENTO!$AF$11)),0)</f>
        <v>0</v>
      </c>
      <c r="AF154" s="545">
        <f ca="1">IF(AND($D154="Serviço",AF$12&lt;&gt;0,$H154&gt;0,OR(AUTOEVENTO&lt;&gt;"manual",$M154&lt;&gt;1)),
IF(Import.TipoArredondamento&lt;&gt;"TransfereGOV",
ROUND(OFFSET($P154,0,AF$13),15-13*ORÇAMENTO!$AF$7)/$H154*OFFSET(ORÇAMENTO!$X$15,ROW(AF154)-ROW(AF$15),0),
ROUND(ROUND(OFFSET($P154,0,AF$13),15-13*ORÇAMENTO!$AF$7)*OFFSET(ORÇAMENTO!$W$15,ROW(AF154)-ROW(AF$15),0),15-13*ORÇAMENTO!$AF$11)),0)</f>
        <v>0</v>
      </c>
      <c r="AG154" s="545">
        <f ca="1">IF(AND($D154="Serviço",AG$12&lt;&gt;0,$H154&gt;0,OR(AUTOEVENTO&lt;&gt;"manual",$M154&lt;&gt;1)),
IF(Import.TipoArredondamento&lt;&gt;"TransfereGOV",
ROUND(OFFSET($P154,0,AG$13),15-13*ORÇAMENTO!$AF$7)/$H154*OFFSET(ORÇAMENTO!$X$15,ROW(AG154)-ROW(AG$15),0),
ROUND(ROUND(OFFSET($P154,0,AG$13),15-13*ORÇAMENTO!$AF$7)*OFFSET(ORÇAMENTO!$W$15,ROW(AG154)-ROW(AG$15),0),15-13*ORÇAMENTO!$AF$11)),0)</f>
        <v>0</v>
      </c>
      <c r="AH154" s="545">
        <f ca="1">IF(AND($D154="Serviço",AH$12&lt;&gt;0,$H154&gt;0,OR(AUTOEVENTO&lt;&gt;"manual",$M154&lt;&gt;1)),
IF(Import.TipoArredondamento&lt;&gt;"TransfereGOV",
ROUND(OFFSET($P154,0,AH$13),15-13*ORÇAMENTO!$AF$7)/$H154*OFFSET(ORÇAMENTO!$X$15,ROW(AH154)-ROW(AH$15),0),
ROUND(ROUND(OFFSET($P154,0,AH$13),15-13*ORÇAMENTO!$AF$7)*OFFSET(ORÇAMENTO!$W$15,ROW(AH154)-ROW(AH$15),0),15-13*ORÇAMENTO!$AF$11)),0)</f>
        <v>0</v>
      </c>
      <c r="AI154" s="545">
        <f ca="1">IF(AND($D154="Serviço",AI$12&lt;&gt;0,$H154&gt;0,OR(AUTOEVENTO&lt;&gt;"manual",$M154&lt;&gt;1)),
IF(Import.TipoArredondamento&lt;&gt;"TransfereGOV",
ROUND(OFFSET($P154,0,AI$13),15-13*ORÇAMENTO!$AF$7)/$H154*OFFSET(ORÇAMENTO!$X$15,ROW(AI154)-ROW(AI$15),0),
ROUND(ROUND(OFFSET($P154,0,AI$13),15-13*ORÇAMENTO!$AF$7)*OFFSET(ORÇAMENTO!$W$15,ROW(AI154)-ROW(AI$15),0),15-13*ORÇAMENTO!$AF$11)),0)</f>
        <v>0</v>
      </c>
      <c r="AJ154" s="545">
        <f ca="1">IF(AND($D154="Serviço",AJ$12&lt;&gt;0,$H154&gt;0,OR(AUTOEVENTO&lt;&gt;"manual",$M154&lt;&gt;1)),
IF(Import.TipoArredondamento&lt;&gt;"TransfereGOV",
ROUND(OFFSET($P154,0,AJ$13),15-13*ORÇAMENTO!$AF$7)/$H154*OFFSET(ORÇAMENTO!$X$15,ROW(AJ154)-ROW(AJ$15),0),
ROUND(ROUND(OFFSET($P154,0,AJ$13),15-13*ORÇAMENTO!$AF$7)*OFFSET(ORÇAMENTO!$W$15,ROW(AJ154)-ROW(AJ$15),0),15-13*ORÇAMENTO!$AF$11)),0)</f>
        <v>0</v>
      </c>
      <c r="AK154" s="546">
        <f ca="1">IF(AND($D154="Serviço",AK$12&lt;&gt;0,$H154&gt;0,OR(AUTOEVENTO&lt;&gt;"manual",$M154&lt;&gt;1)),
IF(Import.TipoArredondamento&lt;&gt;"TransfereGOV",
ROUND(OFFSET($P154,0,AK$13),15-13*ORÇAMENTO!$AF$7)/$H154*OFFSET(ORÇAMENTO!$X$15,ROW(AK154)-ROW(AK$15),0),
ROUND(ROUND(OFFSET($P154,0,AK$13),15-13*ORÇAMENTO!$AF$7)*OFFSET(ORÇAMENTO!$W$15,ROW(AK154)-ROW(AK$15),0),15-13*ORÇAMENTO!$AF$11)),0)</f>
        <v>0</v>
      </c>
      <c r="AM154" s="181">
        <f ca="1">IF($D154&lt;&gt;"Serviço",0,IF(AND(AUTOEVENTO="Manual",$M154=1),0,IF(OFFSET(CRONOPLE!$F$14,$M154,AM$13)="",10^12,OFFSET(CRONOPLE!$F$14,$M154,AM$13))))</f>
        <v>1000000000000</v>
      </c>
      <c r="AN154" s="181">
        <f ca="1">IF($D154&lt;&gt;"Serviço",0,IF(AND(AUTOEVENTO="Manual",$M154=1),0,IF(OFFSET(CRONOPLE!$F$14,$M154,AN$13)="",10^12,OFFSET(CRONOPLE!$F$14,$M154,AN$13))))</f>
        <v>1000000000000</v>
      </c>
      <c r="AO154" s="181">
        <f ca="1">IF($D154&lt;&gt;"Serviço",0,IF(AND(AUTOEVENTO="Manual",$M154=1),0,IF(OFFSET(CRONOPLE!$F$14,$M154,AO$13)="",10^12,OFFSET(CRONOPLE!$F$14,$M154,AO$13))))</f>
        <v>1000000000000</v>
      </c>
      <c r="AP154" s="181">
        <f ca="1">IF($D154&lt;&gt;"Serviço",0,IF(AND(AUTOEVENTO="Manual",$M154=1),0,IF(OFFSET(CRONOPLE!$F$14,$M154,AP$13)="",10^12,OFFSET(CRONOPLE!$F$14,$M154,AP$13))))</f>
        <v>1000000000000</v>
      </c>
      <c r="AQ154" s="181">
        <f ca="1">IF($D154&lt;&gt;"Serviço",0,IF(AND(AUTOEVENTO="Manual",$M154=1),0,IF(OFFSET(CRONOPLE!$F$14,$M154,AQ$13)="",10^12,OFFSET(CRONOPLE!$F$14,$M154,AQ$13))))</f>
        <v>1000000000000</v>
      </c>
      <c r="AR154" s="181">
        <f ca="1">IF($D154&lt;&gt;"Serviço",0,IF(AND(AUTOEVENTO="Manual",$M154=1),0,IF(OFFSET(CRONOPLE!$F$14,$M154,AR$13)="",10^12,OFFSET(CRONOPLE!$F$14,$M154,AR$13))))</f>
        <v>1000000000000</v>
      </c>
      <c r="AS154" s="181">
        <f ca="1">IF($D154&lt;&gt;"Serviço",0,IF(AND(AUTOEVENTO="Manual",$M154=1),0,IF(OFFSET(CRONOPLE!$F$14,$M154,AS$13)="",10^12,OFFSET(CRONOPLE!$F$14,$M154,AS$13))))</f>
        <v>1000000000000</v>
      </c>
      <c r="AT154" s="181">
        <f ca="1">IF($D154&lt;&gt;"Serviço",0,IF(AND(AUTOEVENTO="Manual",$M154=1),0,IF(OFFSET(CRONOPLE!$F$14,$M154,AT$13)="",10^12,OFFSET(CRONOPLE!$F$14,$M154,AT$13))))</f>
        <v>1000000000000</v>
      </c>
      <c r="AU154" s="181">
        <f ca="1">IF($D154&lt;&gt;"Serviço",0,IF(AND(AUTOEVENTO="Manual",$M154=1),0,IF(OFFSET(CRONOPLE!$F$14,$M154,AU$13)="",10^12,OFFSET(CRONOPLE!$F$14,$M154,AU$13))))</f>
        <v>1000000000000</v>
      </c>
      <c r="AV154" s="181">
        <f ca="1">IF($D154&lt;&gt;"Serviço",0,IF(AND(AUTOEVENTO="Manual",$M154=1),0,IF(OFFSET(CRONOPLE!$F$14,$M154,AV$13)="",10^12,OFFSET(CRONOPLE!$F$14,$M154,AV$13))))</f>
        <v>1000000000000</v>
      </c>
      <c r="AX154" s="182">
        <f ca="1">IF($D154&lt;&gt;"Serviço",0,IF(OR(AND(AUTOEVENTO="Manual",$M154=1),$M154&gt;(ROW(PLE.lastrow)-ROW(PLE.firstrow))),0,IF(OFFSET(PLE!$G$14,$M154,AX$13)="",10^12,OFFSET(PLE!$G$14,$M154,AX$13))))</f>
        <v>1000000000000</v>
      </c>
      <c r="AY154" s="182">
        <f ca="1">IF($D154&lt;&gt;"Serviço",0,IF(OR(AND(AUTOEVENTO="Manual",$M154=1),$M154&gt;(ROW(PLE.lastrow)-ROW(PLE.firstrow))),0,IF(OFFSET(PLE!$G$14,$M154,AY$13)="",10^12,OFFSET(PLE!$G$14,$M154,AY$13))))</f>
        <v>1000000000000</v>
      </c>
      <c r="AZ154" s="182">
        <f ca="1">IF($D154&lt;&gt;"Serviço",0,IF(OR(AND(AUTOEVENTO="Manual",$M154=1),$M154&gt;(ROW(PLE.lastrow)-ROW(PLE.firstrow))),0,IF(OFFSET(PLE!$G$14,$M154,AZ$13)="",10^12,OFFSET(PLE!$G$14,$M154,AZ$13))))</f>
        <v>1000000000000</v>
      </c>
      <c r="BA154" s="182">
        <f ca="1">IF($D154&lt;&gt;"Serviço",0,IF(OR(AND(AUTOEVENTO="Manual",$M154=1),$M154&gt;(ROW(PLE.lastrow)-ROW(PLE.firstrow))),0,IF(OFFSET(PLE!$G$14,$M154,BA$13)="",10^12,OFFSET(PLE!$G$14,$M154,BA$13))))</f>
        <v>1000000000000</v>
      </c>
      <c r="BB154" s="182">
        <f ca="1">IF($D154&lt;&gt;"Serviço",0,IF(OR(AND(AUTOEVENTO="Manual",$M154=1),$M154&gt;(ROW(PLE.lastrow)-ROW(PLE.firstrow))),0,IF(OFFSET(PLE!$G$14,$M154,BB$13)="",10^12,OFFSET(PLE!$G$14,$M154,BB$13))))</f>
        <v>1000000000000</v>
      </c>
      <c r="BC154" s="182">
        <f ca="1">IF($D154&lt;&gt;"Serviço",0,IF(OR(AND(AUTOEVENTO="Manual",$M154=1),$M154&gt;(ROW(PLE.lastrow)-ROW(PLE.firstrow))),0,IF(OFFSET(PLE!$G$14,$M154,BC$13)="",10^12,OFFSET(PLE!$G$14,$M154,BC$13))))</f>
        <v>1000000000000</v>
      </c>
      <c r="BD154" s="182">
        <f ca="1">IF($D154&lt;&gt;"Serviço",0,IF(OR(AND(AUTOEVENTO="Manual",$M154=1),$M154&gt;(ROW(PLE.lastrow)-ROW(PLE.firstrow))),0,IF(OFFSET(PLE!$G$14,$M154,BD$13)="",10^12,OFFSET(PLE!$G$14,$M154,BD$13))))</f>
        <v>1000000000000</v>
      </c>
      <c r="BE154" s="182">
        <f ca="1">IF($D154&lt;&gt;"Serviço",0,IF(OR(AND(AUTOEVENTO="Manual",$M154=1),$M154&gt;(ROW(PLE.lastrow)-ROW(PLE.firstrow))),0,IF(OFFSET(PLE!$G$14,$M154,BE$13)="",10^12,OFFSET(PLE!$G$14,$M154,BE$13))))</f>
        <v>1000000000000</v>
      </c>
      <c r="BF154" s="182">
        <f ca="1">IF($D154&lt;&gt;"Serviço",0,IF(OR(AND(AUTOEVENTO="Manual",$M154=1),$M154&gt;(ROW(PLE.lastrow)-ROW(PLE.firstrow))),0,IF(OFFSET(PLE!$G$14,$M154,BF$13)="",10^12,OFFSET(PLE!$G$14,$M154,BF$13))))</f>
        <v>1000000000000</v>
      </c>
      <c r="BG154" s="182">
        <f ca="1">IF($D154&lt;&gt;"Serviço",0,IF(OR(AND(AUTOEVENTO="Manual",$M154=1),$M154&gt;(ROW(PLE.lastrow)-ROW(PLE.firstrow))),0,IF(OFFSET(PLE!$G$14,$M154,BG$13)="",10^12,OFFSET(PLE!$G$14,$M154,BG$13))))</f>
        <v>1000000000000</v>
      </c>
    </row>
    <row r="155" spans="1:59" ht="38.25" x14ac:dyDescent="0.2">
      <c r="A155" s="7" t="str">
        <f t="shared" ca="1" si="10"/>
        <v>108</v>
      </c>
      <c r="B155" s="7" t="str">
        <f ca="1">OFFSET(ORÇAMENTO!C$15,ROW(B155)-ROW(B$15),0)</f>
        <v>S</v>
      </c>
      <c r="C155" s="7" t="str">
        <f ca="1">OFFSET(ORÇAMENTO!L$15,ROW(C155)-ROW(C$15),0)</f>
        <v/>
      </c>
      <c r="D155" s="118" t="str">
        <f ca="1">OFFSET(ORÇAMENTO!N$15,ROW(D155)-ROW(D$15),0)</f>
        <v>Serviço</v>
      </c>
      <c r="E155" s="119" t="str">
        <f ca="1">OFFSET(ORÇAMENTO!O$15,ROW(E155)-ROW(E$15),0)</f>
        <v>-</v>
      </c>
      <c r="F155" s="172" t="str">
        <f ca="1">OFFSET(ORÇAMENTO!R$15,ROW(F155)-ROW(F$15),0)</f>
        <v>(abra o arquivo 'Referência 02-2025.xlsm)</v>
      </c>
      <c r="G155" s="173" t="str">
        <f ca="1">IF($D155&lt;&gt;"Serviço","",OFFSET(ORÇAMENTO!S$15,ROW(G155)-ROW(G$15),0))</f>
        <v>-</v>
      </c>
      <c r="H155" s="124">
        <f ca="1">IF($D155&lt;&gt;"Serviço",0,IF(ACOMPANHAMENTO="BM",ROUND(OFFSET(ORÇAMENTO!AJ$15,ROW(H155)-ROW(H$15),0),15-13*ORÇAMENTO!$AF$7),SUMPRODUCT(($Q$12:$AA$12&lt;&gt;"")*ROUND($Q155:$AA155,15-13*ORÇAMENTO!$AF$7))))</f>
        <v>6.3</v>
      </c>
      <c r="I155" s="561" t="s">
        <v>890</v>
      </c>
      <c r="K155" s="174"/>
      <c r="L155" s="175" t="s">
        <v>255</v>
      </c>
      <c r="M155" s="176">
        <f ca="1">IF($D155&lt;&gt;"Serviço","",IF(AUTOEVENTO="manual",$A155,IF(ISERROR(MATCH($A155,$A$15:OFFSET($A155,-1,0),0)),MAX($M$15:OFFSET(M155,-1,0))+1,INDEX($M$15:OFFSET(M155,-1,0),MATCH($A155,$A$15:OFFSET($A155,-1,0),0)))))</f>
        <v>7</v>
      </c>
      <c r="N155" s="177" t="str">
        <f ca="1">IF($D155&lt;&gt;"Serviço","",IF(AUTOEVENTO="Manual",IF($A155=0,"&lt;-- defina o número do agrupador",OFFSET(EVENTOS!$D$14,$A155,0)),OFFSET($F$15,$A155,0)))</f>
        <v>ESQUADRIAS</v>
      </c>
      <c r="O155" s="178"/>
      <c r="Q155" s="178"/>
      <c r="R155" s="179"/>
      <c r="S155" s="179"/>
      <c r="T155" s="179"/>
      <c r="U155" s="179"/>
      <c r="V155" s="179"/>
      <c r="W155" s="179"/>
      <c r="X155" s="179"/>
      <c r="Y155" s="179"/>
      <c r="Z155" s="180"/>
      <c r="AB155" s="544">
        <f ca="1">IF(AND($D155="Serviço",AB$12&lt;&gt;0,$H155&gt;0,OR(AUTOEVENTO&lt;&gt;"manual",$M155&lt;&gt;1)),
IF(Import.TipoArredondamento&lt;&gt;"TransfereGOV",
ROUND(OFFSET($P155,0,AB$13),15-13*ORÇAMENTO!$AF$7)/$H155*OFFSET(ORÇAMENTO!$X$15,ROW(AB155)-ROW(AB$15),0),
ROUND(ROUND(OFFSET($P155,0,AB$13),15-13*ORÇAMENTO!$AF$7)*OFFSET(ORÇAMENTO!$W$15,ROW(AB155)-ROW(AB$15),0),15-13*ORÇAMENTO!$AF$11)),0)</f>
        <v>0</v>
      </c>
      <c r="AC155" s="545">
        <f ca="1">IF(AND($D155="Serviço",AC$12&lt;&gt;0,$H155&gt;0,OR(AUTOEVENTO&lt;&gt;"manual",$M155&lt;&gt;1)),
IF(Import.TipoArredondamento&lt;&gt;"TransfereGOV",
ROUND(OFFSET($P155,0,AC$13),15-13*ORÇAMENTO!$AF$7)/$H155*OFFSET(ORÇAMENTO!$X$15,ROW(AC155)-ROW(AC$15),0),
ROUND(ROUND(OFFSET($P155,0,AC$13),15-13*ORÇAMENTO!$AF$7)*OFFSET(ORÇAMENTO!$W$15,ROW(AC155)-ROW(AC$15),0),15-13*ORÇAMENTO!$AF$11)),0)</f>
        <v>0</v>
      </c>
      <c r="AD155" s="545">
        <f ca="1">IF(AND($D155="Serviço",AD$12&lt;&gt;0,$H155&gt;0,OR(AUTOEVENTO&lt;&gt;"manual",$M155&lt;&gt;1)),
IF(Import.TipoArredondamento&lt;&gt;"TransfereGOV",
ROUND(OFFSET($P155,0,AD$13),15-13*ORÇAMENTO!$AF$7)/$H155*OFFSET(ORÇAMENTO!$X$15,ROW(AD155)-ROW(AD$15),0),
ROUND(ROUND(OFFSET($P155,0,AD$13),15-13*ORÇAMENTO!$AF$7)*OFFSET(ORÇAMENTO!$W$15,ROW(AD155)-ROW(AD$15),0),15-13*ORÇAMENTO!$AF$11)),0)</f>
        <v>0</v>
      </c>
      <c r="AE155" s="545">
        <f ca="1">IF(AND($D155="Serviço",AE$12&lt;&gt;0,$H155&gt;0,OR(AUTOEVENTO&lt;&gt;"manual",$M155&lt;&gt;1)),
IF(Import.TipoArredondamento&lt;&gt;"TransfereGOV",
ROUND(OFFSET($P155,0,AE$13),15-13*ORÇAMENTO!$AF$7)/$H155*OFFSET(ORÇAMENTO!$X$15,ROW(AE155)-ROW(AE$15),0),
ROUND(ROUND(OFFSET($P155,0,AE$13),15-13*ORÇAMENTO!$AF$7)*OFFSET(ORÇAMENTO!$W$15,ROW(AE155)-ROW(AE$15),0),15-13*ORÇAMENTO!$AF$11)),0)</f>
        <v>0</v>
      </c>
      <c r="AF155" s="545">
        <f ca="1">IF(AND($D155="Serviço",AF$12&lt;&gt;0,$H155&gt;0,OR(AUTOEVENTO&lt;&gt;"manual",$M155&lt;&gt;1)),
IF(Import.TipoArredondamento&lt;&gt;"TransfereGOV",
ROUND(OFFSET($P155,0,AF$13),15-13*ORÇAMENTO!$AF$7)/$H155*OFFSET(ORÇAMENTO!$X$15,ROW(AF155)-ROW(AF$15),0),
ROUND(ROUND(OFFSET($P155,0,AF$13),15-13*ORÇAMENTO!$AF$7)*OFFSET(ORÇAMENTO!$W$15,ROW(AF155)-ROW(AF$15),0),15-13*ORÇAMENTO!$AF$11)),0)</f>
        <v>0</v>
      </c>
      <c r="AG155" s="545">
        <f ca="1">IF(AND($D155="Serviço",AG$12&lt;&gt;0,$H155&gt;0,OR(AUTOEVENTO&lt;&gt;"manual",$M155&lt;&gt;1)),
IF(Import.TipoArredondamento&lt;&gt;"TransfereGOV",
ROUND(OFFSET($P155,0,AG$13),15-13*ORÇAMENTO!$AF$7)/$H155*OFFSET(ORÇAMENTO!$X$15,ROW(AG155)-ROW(AG$15),0),
ROUND(ROUND(OFFSET($P155,0,AG$13),15-13*ORÇAMENTO!$AF$7)*OFFSET(ORÇAMENTO!$W$15,ROW(AG155)-ROW(AG$15),0),15-13*ORÇAMENTO!$AF$11)),0)</f>
        <v>0</v>
      </c>
      <c r="AH155" s="545">
        <f ca="1">IF(AND($D155="Serviço",AH$12&lt;&gt;0,$H155&gt;0,OR(AUTOEVENTO&lt;&gt;"manual",$M155&lt;&gt;1)),
IF(Import.TipoArredondamento&lt;&gt;"TransfereGOV",
ROUND(OFFSET($P155,0,AH$13),15-13*ORÇAMENTO!$AF$7)/$H155*OFFSET(ORÇAMENTO!$X$15,ROW(AH155)-ROW(AH$15),0),
ROUND(ROUND(OFFSET($P155,0,AH$13),15-13*ORÇAMENTO!$AF$7)*OFFSET(ORÇAMENTO!$W$15,ROW(AH155)-ROW(AH$15),0),15-13*ORÇAMENTO!$AF$11)),0)</f>
        <v>0</v>
      </c>
      <c r="AI155" s="545">
        <f ca="1">IF(AND($D155="Serviço",AI$12&lt;&gt;0,$H155&gt;0,OR(AUTOEVENTO&lt;&gt;"manual",$M155&lt;&gt;1)),
IF(Import.TipoArredondamento&lt;&gt;"TransfereGOV",
ROUND(OFFSET($P155,0,AI$13),15-13*ORÇAMENTO!$AF$7)/$H155*OFFSET(ORÇAMENTO!$X$15,ROW(AI155)-ROW(AI$15),0),
ROUND(ROUND(OFFSET($P155,0,AI$13),15-13*ORÇAMENTO!$AF$7)*OFFSET(ORÇAMENTO!$W$15,ROW(AI155)-ROW(AI$15),0),15-13*ORÇAMENTO!$AF$11)),0)</f>
        <v>0</v>
      </c>
      <c r="AJ155" s="545">
        <f ca="1">IF(AND($D155="Serviço",AJ$12&lt;&gt;0,$H155&gt;0,OR(AUTOEVENTO&lt;&gt;"manual",$M155&lt;&gt;1)),
IF(Import.TipoArredondamento&lt;&gt;"TransfereGOV",
ROUND(OFFSET($P155,0,AJ$13),15-13*ORÇAMENTO!$AF$7)/$H155*OFFSET(ORÇAMENTO!$X$15,ROW(AJ155)-ROW(AJ$15),0),
ROUND(ROUND(OFFSET($P155,0,AJ$13),15-13*ORÇAMENTO!$AF$7)*OFFSET(ORÇAMENTO!$W$15,ROW(AJ155)-ROW(AJ$15),0),15-13*ORÇAMENTO!$AF$11)),0)</f>
        <v>0</v>
      </c>
      <c r="AK155" s="546">
        <f ca="1">IF(AND($D155="Serviço",AK$12&lt;&gt;0,$H155&gt;0,OR(AUTOEVENTO&lt;&gt;"manual",$M155&lt;&gt;1)),
IF(Import.TipoArredondamento&lt;&gt;"TransfereGOV",
ROUND(OFFSET($P155,0,AK$13),15-13*ORÇAMENTO!$AF$7)/$H155*OFFSET(ORÇAMENTO!$X$15,ROW(AK155)-ROW(AK$15),0),
ROUND(ROUND(OFFSET($P155,0,AK$13),15-13*ORÇAMENTO!$AF$7)*OFFSET(ORÇAMENTO!$W$15,ROW(AK155)-ROW(AK$15),0),15-13*ORÇAMENTO!$AF$11)),0)</f>
        <v>0</v>
      </c>
      <c r="AM155" s="181">
        <f ca="1">IF($D155&lt;&gt;"Serviço",0,IF(AND(AUTOEVENTO="Manual",$M155=1),0,IF(OFFSET(CRONOPLE!$F$14,$M155,AM$13)="",10^12,OFFSET(CRONOPLE!$F$14,$M155,AM$13))))</f>
        <v>1000000000000</v>
      </c>
      <c r="AN155" s="181">
        <f ca="1">IF($D155&lt;&gt;"Serviço",0,IF(AND(AUTOEVENTO="Manual",$M155=1),0,IF(OFFSET(CRONOPLE!$F$14,$M155,AN$13)="",10^12,OFFSET(CRONOPLE!$F$14,$M155,AN$13))))</f>
        <v>1000000000000</v>
      </c>
      <c r="AO155" s="181">
        <f ca="1">IF($D155&lt;&gt;"Serviço",0,IF(AND(AUTOEVENTO="Manual",$M155=1),0,IF(OFFSET(CRONOPLE!$F$14,$M155,AO$13)="",10^12,OFFSET(CRONOPLE!$F$14,$M155,AO$13))))</f>
        <v>1000000000000</v>
      </c>
      <c r="AP155" s="181">
        <f ca="1">IF($D155&lt;&gt;"Serviço",0,IF(AND(AUTOEVENTO="Manual",$M155=1),0,IF(OFFSET(CRONOPLE!$F$14,$M155,AP$13)="",10^12,OFFSET(CRONOPLE!$F$14,$M155,AP$13))))</f>
        <v>1000000000000</v>
      </c>
      <c r="AQ155" s="181">
        <f ca="1">IF($D155&lt;&gt;"Serviço",0,IF(AND(AUTOEVENTO="Manual",$M155=1),0,IF(OFFSET(CRONOPLE!$F$14,$M155,AQ$13)="",10^12,OFFSET(CRONOPLE!$F$14,$M155,AQ$13))))</f>
        <v>1000000000000</v>
      </c>
      <c r="AR155" s="181">
        <f ca="1">IF($D155&lt;&gt;"Serviço",0,IF(AND(AUTOEVENTO="Manual",$M155=1),0,IF(OFFSET(CRONOPLE!$F$14,$M155,AR$13)="",10^12,OFFSET(CRONOPLE!$F$14,$M155,AR$13))))</f>
        <v>1000000000000</v>
      </c>
      <c r="AS155" s="181">
        <f ca="1">IF($D155&lt;&gt;"Serviço",0,IF(AND(AUTOEVENTO="Manual",$M155=1),0,IF(OFFSET(CRONOPLE!$F$14,$M155,AS$13)="",10^12,OFFSET(CRONOPLE!$F$14,$M155,AS$13))))</f>
        <v>1000000000000</v>
      </c>
      <c r="AT155" s="181">
        <f ca="1">IF($D155&lt;&gt;"Serviço",0,IF(AND(AUTOEVENTO="Manual",$M155=1),0,IF(OFFSET(CRONOPLE!$F$14,$M155,AT$13)="",10^12,OFFSET(CRONOPLE!$F$14,$M155,AT$13))))</f>
        <v>1000000000000</v>
      </c>
      <c r="AU155" s="181">
        <f ca="1">IF($D155&lt;&gt;"Serviço",0,IF(AND(AUTOEVENTO="Manual",$M155=1),0,IF(OFFSET(CRONOPLE!$F$14,$M155,AU$13)="",10^12,OFFSET(CRONOPLE!$F$14,$M155,AU$13))))</f>
        <v>1000000000000</v>
      </c>
      <c r="AV155" s="181">
        <f ca="1">IF($D155&lt;&gt;"Serviço",0,IF(AND(AUTOEVENTO="Manual",$M155=1),0,IF(OFFSET(CRONOPLE!$F$14,$M155,AV$13)="",10^12,OFFSET(CRONOPLE!$F$14,$M155,AV$13))))</f>
        <v>1000000000000</v>
      </c>
      <c r="AX155" s="182">
        <f ca="1">IF($D155&lt;&gt;"Serviço",0,IF(OR(AND(AUTOEVENTO="Manual",$M155=1),$M155&gt;(ROW(PLE.lastrow)-ROW(PLE.firstrow))),0,IF(OFFSET(PLE!$G$14,$M155,AX$13)="",10^12,OFFSET(PLE!$G$14,$M155,AX$13))))</f>
        <v>1000000000000</v>
      </c>
      <c r="AY155" s="182">
        <f ca="1">IF($D155&lt;&gt;"Serviço",0,IF(OR(AND(AUTOEVENTO="Manual",$M155=1),$M155&gt;(ROW(PLE.lastrow)-ROW(PLE.firstrow))),0,IF(OFFSET(PLE!$G$14,$M155,AY$13)="",10^12,OFFSET(PLE!$G$14,$M155,AY$13))))</f>
        <v>1000000000000</v>
      </c>
      <c r="AZ155" s="182">
        <f ca="1">IF($D155&lt;&gt;"Serviço",0,IF(OR(AND(AUTOEVENTO="Manual",$M155=1),$M155&gt;(ROW(PLE.lastrow)-ROW(PLE.firstrow))),0,IF(OFFSET(PLE!$G$14,$M155,AZ$13)="",10^12,OFFSET(PLE!$G$14,$M155,AZ$13))))</f>
        <v>1000000000000</v>
      </c>
      <c r="BA155" s="182">
        <f ca="1">IF($D155&lt;&gt;"Serviço",0,IF(OR(AND(AUTOEVENTO="Manual",$M155=1),$M155&gt;(ROW(PLE.lastrow)-ROW(PLE.firstrow))),0,IF(OFFSET(PLE!$G$14,$M155,BA$13)="",10^12,OFFSET(PLE!$G$14,$M155,BA$13))))</f>
        <v>1000000000000</v>
      </c>
      <c r="BB155" s="182">
        <f ca="1">IF($D155&lt;&gt;"Serviço",0,IF(OR(AND(AUTOEVENTO="Manual",$M155=1),$M155&gt;(ROW(PLE.lastrow)-ROW(PLE.firstrow))),0,IF(OFFSET(PLE!$G$14,$M155,BB$13)="",10^12,OFFSET(PLE!$G$14,$M155,BB$13))))</f>
        <v>1000000000000</v>
      </c>
      <c r="BC155" s="182">
        <f ca="1">IF($D155&lt;&gt;"Serviço",0,IF(OR(AND(AUTOEVENTO="Manual",$M155=1),$M155&gt;(ROW(PLE.lastrow)-ROW(PLE.firstrow))),0,IF(OFFSET(PLE!$G$14,$M155,BC$13)="",10^12,OFFSET(PLE!$G$14,$M155,BC$13))))</f>
        <v>1000000000000</v>
      </c>
      <c r="BD155" s="182">
        <f ca="1">IF($D155&lt;&gt;"Serviço",0,IF(OR(AND(AUTOEVENTO="Manual",$M155=1),$M155&gt;(ROW(PLE.lastrow)-ROW(PLE.firstrow))),0,IF(OFFSET(PLE!$G$14,$M155,BD$13)="",10^12,OFFSET(PLE!$G$14,$M155,BD$13))))</f>
        <v>1000000000000</v>
      </c>
      <c r="BE155" s="182">
        <f ca="1">IF($D155&lt;&gt;"Serviço",0,IF(OR(AND(AUTOEVENTO="Manual",$M155=1),$M155&gt;(ROW(PLE.lastrow)-ROW(PLE.firstrow))),0,IF(OFFSET(PLE!$G$14,$M155,BE$13)="",10^12,OFFSET(PLE!$G$14,$M155,BE$13))))</f>
        <v>1000000000000</v>
      </c>
      <c r="BF155" s="182">
        <f ca="1">IF($D155&lt;&gt;"Serviço",0,IF(OR(AND(AUTOEVENTO="Manual",$M155=1),$M155&gt;(ROW(PLE.lastrow)-ROW(PLE.firstrow))),0,IF(OFFSET(PLE!$G$14,$M155,BF$13)="",10^12,OFFSET(PLE!$G$14,$M155,BF$13))))</f>
        <v>1000000000000</v>
      </c>
      <c r="BG155" s="182">
        <f ca="1">IF($D155&lt;&gt;"Serviço",0,IF(OR(AND(AUTOEVENTO="Manual",$M155=1),$M155&gt;(ROW(PLE.lastrow)-ROW(PLE.firstrow))),0,IF(OFFSET(PLE!$G$14,$M155,BG$13)="",10^12,OFFSET(PLE!$G$14,$M155,BG$13))))</f>
        <v>1000000000000</v>
      </c>
    </row>
    <row r="156" spans="1:59" ht="38.25" x14ac:dyDescent="0.2">
      <c r="A156" s="7" t="str">
        <f t="shared" ca="1" si="10"/>
        <v>108</v>
      </c>
      <c r="B156" s="7" t="str">
        <f ca="1">OFFSET(ORÇAMENTO!C$15,ROW(B156)-ROW(B$15),0)</f>
        <v>S</v>
      </c>
      <c r="C156" s="7" t="str">
        <f ca="1">OFFSET(ORÇAMENTO!L$15,ROW(C156)-ROW(C$15),0)</f>
        <v/>
      </c>
      <c r="D156" s="118" t="str">
        <f ca="1">OFFSET(ORÇAMENTO!N$15,ROW(D156)-ROW(D$15),0)</f>
        <v>Serviço</v>
      </c>
      <c r="E156" s="119" t="str">
        <f ca="1">OFFSET(ORÇAMENTO!O$15,ROW(E156)-ROW(E$15),0)</f>
        <v>-</v>
      </c>
      <c r="F156" s="172" t="str">
        <f ca="1">OFFSET(ORÇAMENTO!R$15,ROW(F156)-ROW(F$15),0)</f>
        <v>(abra o arquivo 'Referência 02-2025.xlsm)</v>
      </c>
      <c r="G156" s="173" t="str">
        <f ca="1">IF($D156&lt;&gt;"Serviço","",OFFSET(ORÇAMENTO!S$15,ROW(G156)-ROW(G$15),0))</f>
        <v>-</v>
      </c>
      <c r="H156" s="124">
        <f ca="1">IF($D156&lt;&gt;"Serviço",0,IF(ACOMPANHAMENTO="BM",ROUND(OFFSET(ORÇAMENTO!AJ$15,ROW(H156)-ROW(H$15),0),15-13*ORÇAMENTO!$AF$7),SUMPRODUCT(($Q$12:$AA$12&lt;&gt;"")*ROUND($Q156:$AA156,15-13*ORÇAMENTO!$AF$7))))</f>
        <v>8.4</v>
      </c>
      <c r="I156" s="561" t="s">
        <v>890</v>
      </c>
      <c r="K156" s="174"/>
      <c r="L156" s="175" t="s">
        <v>255</v>
      </c>
      <c r="M156" s="176">
        <f ca="1">IF($D156&lt;&gt;"Serviço","",IF(AUTOEVENTO="manual",$A156,IF(ISERROR(MATCH($A156,$A$15:OFFSET($A156,-1,0),0)),MAX($M$15:OFFSET(M156,-1,0))+1,INDEX($M$15:OFFSET(M156,-1,0),MATCH($A156,$A$15:OFFSET($A156,-1,0),0)))))</f>
        <v>7</v>
      </c>
      <c r="N156" s="177" t="str">
        <f ca="1">IF($D156&lt;&gt;"Serviço","",IF(AUTOEVENTO="Manual",IF($A156=0,"&lt;-- defina o número do agrupador",OFFSET(EVENTOS!$D$14,$A156,0)),OFFSET($F$15,$A156,0)))</f>
        <v>ESQUADRIAS</v>
      </c>
      <c r="O156" s="178"/>
      <c r="Q156" s="178"/>
      <c r="R156" s="179"/>
      <c r="S156" s="179"/>
      <c r="T156" s="179"/>
      <c r="U156" s="179"/>
      <c r="V156" s="179"/>
      <c r="W156" s="179"/>
      <c r="X156" s="179"/>
      <c r="Y156" s="179"/>
      <c r="Z156" s="180"/>
      <c r="AB156" s="544">
        <f ca="1">IF(AND($D156="Serviço",AB$12&lt;&gt;0,$H156&gt;0,OR(AUTOEVENTO&lt;&gt;"manual",$M156&lt;&gt;1)),
IF(Import.TipoArredondamento&lt;&gt;"TransfereGOV",
ROUND(OFFSET($P156,0,AB$13),15-13*ORÇAMENTO!$AF$7)/$H156*OFFSET(ORÇAMENTO!$X$15,ROW(AB156)-ROW(AB$15),0),
ROUND(ROUND(OFFSET($P156,0,AB$13),15-13*ORÇAMENTO!$AF$7)*OFFSET(ORÇAMENTO!$W$15,ROW(AB156)-ROW(AB$15),0),15-13*ORÇAMENTO!$AF$11)),0)</f>
        <v>0</v>
      </c>
      <c r="AC156" s="545">
        <f ca="1">IF(AND($D156="Serviço",AC$12&lt;&gt;0,$H156&gt;0,OR(AUTOEVENTO&lt;&gt;"manual",$M156&lt;&gt;1)),
IF(Import.TipoArredondamento&lt;&gt;"TransfereGOV",
ROUND(OFFSET($P156,0,AC$13),15-13*ORÇAMENTO!$AF$7)/$H156*OFFSET(ORÇAMENTO!$X$15,ROW(AC156)-ROW(AC$15),0),
ROUND(ROUND(OFFSET($P156,0,AC$13),15-13*ORÇAMENTO!$AF$7)*OFFSET(ORÇAMENTO!$W$15,ROW(AC156)-ROW(AC$15),0),15-13*ORÇAMENTO!$AF$11)),0)</f>
        <v>0</v>
      </c>
      <c r="AD156" s="545">
        <f ca="1">IF(AND($D156="Serviço",AD$12&lt;&gt;0,$H156&gt;0,OR(AUTOEVENTO&lt;&gt;"manual",$M156&lt;&gt;1)),
IF(Import.TipoArredondamento&lt;&gt;"TransfereGOV",
ROUND(OFFSET($P156,0,AD$13),15-13*ORÇAMENTO!$AF$7)/$H156*OFFSET(ORÇAMENTO!$X$15,ROW(AD156)-ROW(AD$15),0),
ROUND(ROUND(OFFSET($P156,0,AD$13),15-13*ORÇAMENTO!$AF$7)*OFFSET(ORÇAMENTO!$W$15,ROW(AD156)-ROW(AD$15),0),15-13*ORÇAMENTO!$AF$11)),0)</f>
        <v>0</v>
      </c>
      <c r="AE156" s="545">
        <f ca="1">IF(AND($D156="Serviço",AE$12&lt;&gt;0,$H156&gt;0,OR(AUTOEVENTO&lt;&gt;"manual",$M156&lt;&gt;1)),
IF(Import.TipoArredondamento&lt;&gt;"TransfereGOV",
ROUND(OFFSET($P156,0,AE$13),15-13*ORÇAMENTO!$AF$7)/$H156*OFFSET(ORÇAMENTO!$X$15,ROW(AE156)-ROW(AE$15),0),
ROUND(ROUND(OFFSET($P156,0,AE$13),15-13*ORÇAMENTO!$AF$7)*OFFSET(ORÇAMENTO!$W$15,ROW(AE156)-ROW(AE$15),0),15-13*ORÇAMENTO!$AF$11)),0)</f>
        <v>0</v>
      </c>
      <c r="AF156" s="545">
        <f ca="1">IF(AND($D156="Serviço",AF$12&lt;&gt;0,$H156&gt;0,OR(AUTOEVENTO&lt;&gt;"manual",$M156&lt;&gt;1)),
IF(Import.TipoArredondamento&lt;&gt;"TransfereGOV",
ROUND(OFFSET($P156,0,AF$13),15-13*ORÇAMENTO!$AF$7)/$H156*OFFSET(ORÇAMENTO!$X$15,ROW(AF156)-ROW(AF$15),0),
ROUND(ROUND(OFFSET($P156,0,AF$13),15-13*ORÇAMENTO!$AF$7)*OFFSET(ORÇAMENTO!$W$15,ROW(AF156)-ROW(AF$15),0),15-13*ORÇAMENTO!$AF$11)),0)</f>
        <v>0</v>
      </c>
      <c r="AG156" s="545">
        <f ca="1">IF(AND($D156="Serviço",AG$12&lt;&gt;0,$H156&gt;0,OR(AUTOEVENTO&lt;&gt;"manual",$M156&lt;&gt;1)),
IF(Import.TipoArredondamento&lt;&gt;"TransfereGOV",
ROUND(OFFSET($P156,0,AG$13),15-13*ORÇAMENTO!$AF$7)/$H156*OFFSET(ORÇAMENTO!$X$15,ROW(AG156)-ROW(AG$15),0),
ROUND(ROUND(OFFSET($P156,0,AG$13),15-13*ORÇAMENTO!$AF$7)*OFFSET(ORÇAMENTO!$W$15,ROW(AG156)-ROW(AG$15),0),15-13*ORÇAMENTO!$AF$11)),0)</f>
        <v>0</v>
      </c>
      <c r="AH156" s="545">
        <f ca="1">IF(AND($D156="Serviço",AH$12&lt;&gt;0,$H156&gt;0,OR(AUTOEVENTO&lt;&gt;"manual",$M156&lt;&gt;1)),
IF(Import.TipoArredondamento&lt;&gt;"TransfereGOV",
ROUND(OFFSET($P156,0,AH$13),15-13*ORÇAMENTO!$AF$7)/$H156*OFFSET(ORÇAMENTO!$X$15,ROW(AH156)-ROW(AH$15),0),
ROUND(ROUND(OFFSET($P156,0,AH$13),15-13*ORÇAMENTO!$AF$7)*OFFSET(ORÇAMENTO!$W$15,ROW(AH156)-ROW(AH$15),0),15-13*ORÇAMENTO!$AF$11)),0)</f>
        <v>0</v>
      </c>
      <c r="AI156" s="545">
        <f ca="1">IF(AND($D156="Serviço",AI$12&lt;&gt;0,$H156&gt;0,OR(AUTOEVENTO&lt;&gt;"manual",$M156&lt;&gt;1)),
IF(Import.TipoArredondamento&lt;&gt;"TransfereGOV",
ROUND(OFFSET($P156,0,AI$13),15-13*ORÇAMENTO!$AF$7)/$H156*OFFSET(ORÇAMENTO!$X$15,ROW(AI156)-ROW(AI$15),0),
ROUND(ROUND(OFFSET($P156,0,AI$13),15-13*ORÇAMENTO!$AF$7)*OFFSET(ORÇAMENTO!$W$15,ROW(AI156)-ROW(AI$15),0),15-13*ORÇAMENTO!$AF$11)),0)</f>
        <v>0</v>
      </c>
      <c r="AJ156" s="545">
        <f ca="1">IF(AND($D156="Serviço",AJ$12&lt;&gt;0,$H156&gt;0,OR(AUTOEVENTO&lt;&gt;"manual",$M156&lt;&gt;1)),
IF(Import.TipoArredondamento&lt;&gt;"TransfereGOV",
ROUND(OFFSET($P156,0,AJ$13),15-13*ORÇAMENTO!$AF$7)/$H156*OFFSET(ORÇAMENTO!$X$15,ROW(AJ156)-ROW(AJ$15),0),
ROUND(ROUND(OFFSET($P156,0,AJ$13),15-13*ORÇAMENTO!$AF$7)*OFFSET(ORÇAMENTO!$W$15,ROW(AJ156)-ROW(AJ$15),0),15-13*ORÇAMENTO!$AF$11)),0)</f>
        <v>0</v>
      </c>
      <c r="AK156" s="546">
        <f ca="1">IF(AND($D156="Serviço",AK$12&lt;&gt;0,$H156&gt;0,OR(AUTOEVENTO&lt;&gt;"manual",$M156&lt;&gt;1)),
IF(Import.TipoArredondamento&lt;&gt;"TransfereGOV",
ROUND(OFFSET($P156,0,AK$13),15-13*ORÇAMENTO!$AF$7)/$H156*OFFSET(ORÇAMENTO!$X$15,ROW(AK156)-ROW(AK$15),0),
ROUND(ROUND(OFFSET($P156,0,AK$13),15-13*ORÇAMENTO!$AF$7)*OFFSET(ORÇAMENTO!$W$15,ROW(AK156)-ROW(AK$15),0),15-13*ORÇAMENTO!$AF$11)),0)</f>
        <v>0</v>
      </c>
      <c r="AM156" s="181">
        <f ca="1">IF($D156&lt;&gt;"Serviço",0,IF(AND(AUTOEVENTO="Manual",$M156=1),0,IF(OFFSET(CRONOPLE!$F$14,$M156,AM$13)="",10^12,OFFSET(CRONOPLE!$F$14,$M156,AM$13))))</f>
        <v>1000000000000</v>
      </c>
      <c r="AN156" s="181">
        <f ca="1">IF($D156&lt;&gt;"Serviço",0,IF(AND(AUTOEVENTO="Manual",$M156=1),0,IF(OFFSET(CRONOPLE!$F$14,$M156,AN$13)="",10^12,OFFSET(CRONOPLE!$F$14,$M156,AN$13))))</f>
        <v>1000000000000</v>
      </c>
      <c r="AO156" s="181">
        <f ca="1">IF($D156&lt;&gt;"Serviço",0,IF(AND(AUTOEVENTO="Manual",$M156=1),0,IF(OFFSET(CRONOPLE!$F$14,$M156,AO$13)="",10^12,OFFSET(CRONOPLE!$F$14,$M156,AO$13))))</f>
        <v>1000000000000</v>
      </c>
      <c r="AP156" s="181">
        <f ca="1">IF($D156&lt;&gt;"Serviço",0,IF(AND(AUTOEVENTO="Manual",$M156=1),0,IF(OFFSET(CRONOPLE!$F$14,$M156,AP$13)="",10^12,OFFSET(CRONOPLE!$F$14,$M156,AP$13))))</f>
        <v>1000000000000</v>
      </c>
      <c r="AQ156" s="181">
        <f ca="1">IF($D156&lt;&gt;"Serviço",0,IF(AND(AUTOEVENTO="Manual",$M156=1),0,IF(OFFSET(CRONOPLE!$F$14,$M156,AQ$13)="",10^12,OFFSET(CRONOPLE!$F$14,$M156,AQ$13))))</f>
        <v>1000000000000</v>
      </c>
      <c r="AR156" s="181">
        <f ca="1">IF($D156&lt;&gt;"Serviço",0,IF(AND(AUTOEVENTO="Manual",$M156=1),0,IF(OFFSET(CRONOPLE!$F$14,$M156,AR$13)="",10^12,OFFSET(CRONOPLE!$F$14,$M156,AR$13))))</f>
        <v>1000000000000</v>
      </c>
      <c r="AS156" s="181">
        <f ca="1">IF($D156&lt;&gt;"Serviço",0,IF(AND(AUTOEVENTO="Manual",$M156=1),0,IF(OFFSET(CRONOPLE!$F$14,$M156,AS$13)="",10^12,OFFSET(CRONOPLE!$F$14,$M156,AS$13))))</f>
        <v>1000000000000</v>
      </c>
      <c r="AT156" s="181">
        <f ca="1">IF($D156&lt;&gt;"Serviço",0,IF(AND(AUTOEVENTO="Manual",$M156=1),0,IF(OFFSET(CRONOPLE!$F$14,$M156,AT$13)="",10^12,OFFSET(CRONOPLE!$F$14,$M156,AT$13))))</f>
        <v>1000000000000</v>
      </c>
      <c r="AU156" s="181">
        <f ca="1">IF($D156&lt;&gt;"Serviço",0,IF(AND(AUTOEVENTO="Manual",$M156=1),0,IF(OFFSET(CRONOPLE!$F$14,$M156,AU$13)="",10^12,OFFSET(CRONOPLE!$F$14,$M156,AU$13))))</f>
        <v>1000000000000</v>
      </c>
      <c r="AV156" s="181">
        <f ca="1">IF($D156&lt;&gt;"Serviço",0,IF(AND(AUTOEVENTO="Manual",$M156=1),0,IF(OFFSET(CRONOPLE!$F$14,$M156,AV$13)="",10^12,OFFSET(CRONOPLE!$F$14,$M156,AV$13))))</f>
        <v>1000000000000</v>
      </c>
      <c r="AX156" s="182">
        <f ca="1">IF($D156&lt;&gt;"Serviço",0,IF(OR(AND(AUTOEVENTO="Manual",$M156=1),$M156&gt;(ROW(PLE.lastrow)-ROW(PLE.firstrow))),0,IF(OFFSET(PLE!$G$14,$M156,AX$13)="",10^12,OFFSET(PLE!$G$14,$M156,AX$13))))</f>
        <v>1000000000000</v>
      </c>
      <c r="AY156" s="182">
        <f ca="1">IF($D156&lt;&gt;"Serviço",0,IF(OR(AND(AUTOEVENTO="Manual",$M156=1),$M156&gt;(ROW(PLE.lastrow)-ROW(PLE.firstrow))),0,IF(OFFSET(PLE!$G$14,$M156,AY$13)="",10^12,OFFSET(PLE!$G$14,$M156,AY$13))))</f>
        <v>1000000000000</v>
      </c>
      <c r="AZ156" s="182">
        <f ca="1">IF($D156&lt;&gt;"Serviço",0,IF(OR(AND(AUTOEVENTO="Manual",$M156=1),$M156&gt;(ROW(PLE.lastrow)-ROW(PLE.firstrow))),0,IF(OFFSET(PLE!$G$14,$M156,AZ$13)="",10^12,OFFSET(PLE!$G$14,$M156,AZ$13))))</f>
        <v>1000000000000</v>
      </c>
      <c r="BA156" s="182">
        <f ca="1">IF($D156&lt;&gt;"Serviço",0,IF(OR(AND(AUTOEVENTO="Manual",$M156=1),$M156&gt;(ROW(PLE.lastrow)-ROW(PLE.firstrow))),0,IF(OFFSET(PLE!$G$14,$M156,BA$13)="",10^12,OFFSET(PLE!$G$14,$M156,BA$13))))</f>
        <v>1000000000000</v>
      </c>
      <c r="BB156" s="182">
        <f ca="1">IF($D156&lt;&gt;"Serviço",0,IF(OR(AND(AUTOEVENTO="Manual",$M156=1),$M156&gt;(ROW(PLE.lastrow)-ROW(PLE.firstrow))),0,IF(OFFSET(PLE!$G$14,$M156,BB$13)="",10^12,OFFSET(PLE!$G$14,$M156,BB$13))))</f>
        <v>1000000000000</v>
      </c>
      <c r="BC156" s="182">
        <f ca="1">IF($D156&lt;&gt;"Serviço",0,IF(OR(AND(AUTOEVENTO="Manual",$M156=1),$M156&gt;(ROW(PLE.lastrow)-ROW(PLE.firstrow))),0,IF(OFFSET(PLE!$G$14,$M156,BC$13)="",10^12,OFFSET(PLE!$G$14,$M156,BC$13))))</f>
        <v>1000000000000</v>
      </c>
      <c r="BD156" s="182">
        <f ca="1">IF($D156&lt;&gt;"Serviço",0,IF(OR(AND(AUTOEVENTO="Manual",$M156=1),$M156&gt;(ROW(PLE.lastrow)-ROW(PLE.firstrow))),0,IF(OFFSET(PLE!$G$14,$M156,BD$13)="",10^12,OFFSET(PLE!$G$14,$M156,BD$13))))</f>
        <v>1000000000000</v>
      </c>
      <c r="BE156" s="182">
        <f ca="1">IF($D156&lt;&gt;"Serviço",0,IF(OR(AND(AUTOEVENTO="Manual",$M156=1),$M156&gt;(ROW(PLE.lastrow)-ROW(PLE.firstrow))),0,IF(OFFSET(PLE!$G$14,$M156,BE$13)="",10^12,OFFSET(PLE!$G$14,$M156,BE$13))))</f>
        <v>1000000000000</v>
      </c>
      <c r="BF156" s="182">
        <f ca="1">IF($D156&lt;&gt;"Serviço",0,IF(OR(AND(AUTOEVENTO="Manual",$M156=1),$M156&gt;(ROW(PLE.lastrow)-ROW(PLE.firstrow))),0,IF(OFFSET(PLE!$G$14,$M156,BF$13)="",10^12,OFFSET(PLE!$G$14,$M156,BF$13))))</f>
        <v>1000000000000</v>
      </c>
      <c r="BG156" s="182">
        <f ca="1">IF($D156&lt;&gt;"Serviço",0,IF(OR(AND(AUTOEVENTO="Manual",$M156=1),$M156&gt;(ROW(PLE.lastrow)-ROW(PLE.firstrow))),0,IF(OFFSET(PLE!$G$14,$M156,BG$13)="",10^12,OFFSET(PLE!$G$14,$M156,BG$13))))</f>
        <v>1000000000000</v>
      </c>
    </row>
    <row r="157" spans="1:59" ht="38.25" x14ac:dyDescent="0.2">
      <c r="A157" s="7" t="str">
        <f t="shared" ca="1" si="10"/>
        <v>108</v>
      </c>
      <c r="B157" s="7" t="str">
        <f ca="1">OFFSET(ORÇAMENTO!C$15,ROW(B157)-ROW(B$15),0)</f>
        <v>S</v>
      </c>
      <c r="C157" s="7" t="str">
        <f ca="1">OFFSET(ORÇAMENTO!L$15,ROW(C157)-ROW(C$15),0)</f>
        <v/>
      </c>
      <c r="D157" s="118" t="str">
        <f ca="1">OFFSET(ORÇAMENTO!N$15,ROW(D157)-ROW(D$15),0)</f>
        <v>Serviço</v>
      </c>
      <c r="E157" s="119" t="str">
        <f ca="1">OFFSET(ORÇAMENTO!O$15,ROW(E157)-ROW(E$15),0)</f>
        <v>-</v>
      </c>
      <c r="F157" s="172" t="str">
        <f ca="1">OFFSET(ORÇAMENTO!R$15,ROW(F157)-ROW(F$15),0)</f>
        <v>(abra o arquivo 'Referência 02-2025.xlsm)</v>
      </c>
      <c r="G157" s="173" t="str">
        <f ca="1">IF($D157&lt;&gt;"Serviço","",OFFSET(ORÇAMENTO!S$15,ROW(G157)-ROW(G$15),0))</f>
        <v>-</v>
      </c>
      <c r="H157" s="124">
        <f ca="1">IF($D157&lt;&gt;"Serviço",0,IF(ACOMPANHAMENTO="BM",ROUND(OFFSET(ORÇAMENTO!AJ$15,ROW(H157)-ROW(H$15),0),15-13*ORÇAMENTO!$AF$7),SUMPRODUCT(($Q$12:$AA$12&lt;&gt;"")*ROUND($Q157:$AA157,15-13*ORÇAMENTO!$AF$7))))</f>
        <v>12.6</v>
      </c>
      <c r="I157" s="561" t="s">
        <v>890</v>
      </c>
      <c r="K157" s="174"/>
      <c r="L157" s="175" t="s">
        <v>255</v>
      </c>
      <c r="M157" s="176">
        <f ca="1">IF($D157&lt;&gt;"Serviço","",IF(AUTOEVENTO="manual",$A157,IF(ISERROR(MATCH($A157,$A$15:OFFSET($A157,-1,0),0)),MAX($M$15:OFFSET(M157,-1,0))+1,INDEX($M$15:OFFSET(M157,-1,0),MATCH($A157,$A$15:OFFSET($A157,-1,0),0)))))</f>
        <v>7</v>
      </c>
      <c r="N157" s="177" t="str">
        <f ca="1">IF($D157&lt;&gt;"Serviço","",IF(AUTOEVENTO="Manual",IF($A157=0,"&lt;-- defina o número do agrupador",OFFSET(EVENTOS!$D$14,$A157,0)),OFFSET($F$15,$A157,0)))</f>
        <v>ESQUADRIAS</v>
      </c>
      <c r="O157" s="178"/>
      <c r="Q157" s="178"/>
      <c r="R157" s="179"/>
      <c r="S157" s="179"/>
      <c r="T157" s="179"/>
      <c r="U157" s="179"/>
      <c r="V157" s="179"/>
      <c r="W157" s="179"/>
      <c r="X157" s="179"/>
      <c r="Y157" s="179"/>
      <c r="Z157" s="180"/>
      <c r="AB157" s="544">
        <f ca="1">IF(AND($D157="Serviço",AB$12&lt;&gt;0,$H157&gt;0,OR(AUTOEVENTO&lt;&gt;"manual",$M157&lt;&gt;1)),
IF(Import.TipoArredondamento&lt;&gt;"TransfereGOV",
ROUND(OFFSET($P157,0,AB$13),15-13*ORÇAMENTO!$AF$7)/$H157*OFFSET(ORÇAMENTO!$X$15,ROW(AB157)-ROW(AB$15),0),
ROUND(ROUND(OFFSET($P157,0,AB$13),15-13*ORÇAMENTO!$AF$7)*OFFSET(ORÇAMENTO!$W$15,ROW(AB157)-ROW(AB$15),0),15-13*ORÇAMENTO!$AF$11)),0)</f>
        <v>0</v>
      </c>
      <c r="AC157" s="545">
        <f ca="1">IF(AND($D157="Serviço",AC$12&lt;&gt;0,$H157&gt;0,OR(AUTOEVENTO&lt;&gt;"manual",$M157&lt;&gt;1)),
IF(Import.TipoArredondamento&lt;&gt;"TransfereGOV",
ROUND(OFFSET($P157,0,AC$13),15-13*ORÇAMENTO!$AF$7)/$H157*OFFSET(ORÇAMENTO!$X$15,ROW(AC157)-ROW(AC$15),0),
ROUND(ROUND(OFFSET($P157,0,AC$13),15-13*ORÇAMENTO!$AF$7)*OFFSET(ORÇAMENTO!$W$15,ROW(AC157)-ROW(AC$15),0),15-13*ORÇAMENTO!$AF$11)),0)</f>
        <v>0</v>
      </c>
      <c r="AD157" s="545">
        <f ca="1">IF(AND($D157="Serviço",AD$12&lt;&gt;0,$H157&gt;0,OR(AUTOEVENTO&lt;&gt;"manual",$M157&lt;&gt;1)),
IF(Import.TipoArredondamento&lt;&gt;"TransfereGOV",
ROUND(OFFSET($P157,0,AD$13),15-13*ORÇAMENTO!$AF$7)/$H157*OFFSET(ORÇAMENTO!$X$15,ROW(AD157)-ROW(AD$15),0),
ROUND(ROUND(OFFSET($P157,0,AD$13),15-13*ORÇAMENTO!$AF$7)*OFFSET(ORÇAMENTO!$W$15,ROW(AD157)-ROW(AD$15),0),15-13*ORÇAMENTO!$AF$11)),0)</f>
        <v>0</v>
      </c>
      <c r="AE157" s="545">
        <f ca="1">IF(AND($D157="Serviço",AE$12&lt;&gt;0,$H157&gt;0,OR(AUTOEVENTO&lt;&gt;"manual",$M157&lt;&gt;1)),
IF(Import.TipoArredondamento&lt;&gt;"TransfereGOV",
ROUND(OFFSET($P157,0,AE$13),15-13*ORÇAMENTO!$AF$7)/$H157*OFFSET(ORÇAMENTO!$X$15,ROW(AE157)-ROW(AE$15),0),
ROUND(ROUND(OFFSET($P157,0,AE$13),15-13*ORÇAMENTO!$AF$7)*OFFSET(ORÇAMENTO!$W$15,ROW(AE157)-ROW(AE$15),0),15-13*ORÇAMENTO!$AF$11)),0)</f>
        <v>0</v>
      </c>
      <c r="AF157" s="545">
        <f ca="1">IF(AND($D157="Serviço",AF$12&lt;&gt;0,$H157&gt;0,OR(AUTOEVENTO&lt;&gt;"manual",$M157&lt;&gt;1)),
IF(Import.TipoArredondamento&lt;&gt;"TransfereGOV",
ROUND(OFFSET($P157,0,AF$13),15-13*ORÇAMENTO!$AF$7)/$H157*OFFSET(ORÇAMENTO!$X$15,ROW(AF157)-ROW(AF$15),0),
ROUND(ROUND(OFFSET($P157,0,AF$13),15-13*ORÇAMENTO!$AF$7)*OFFSET(ORÇAMENTO!$W$15,ROW(AF157)-ROW(AF$15),0),15-13*ORÇAMENTO!$AF$11)),0)</f>
        <v>0</v>
      </c>
      <c r="AG157" s="545">
        <f ca="1">IF(AND($D157="Serviço",AG$12&lt;&gt;0,$H157&gt;0,OR(AUTOEVENTO&lt;&gt;"manual",$M157&lt;&gt;1)),
IF(Import.TipoArredondamento&lt;&gt;"TransfereGOV",
ROUND(OFFSET($P157,0,AG$13),15-13*ORÇAMENTO!$AF$7)/$H157*OFFSET(ORÇAMENTO!$X$15,ROW(AG157)-ROW(AG$15),0),
ROUND(ROUND(OFFSET($P157,0,AG$13),15-13*ORÇAMENTO!$AF$7)*OFFSET(ORÇAMENTO!$W$15,ROW(AG157)-ROW(AG$15),0),15-13*ORÇAMENTO!$AF$11)),0)</f>
        <v>0</v>
      </c>
      <c r="AH157" s="545">
        <f ca="1">IF(AND($D157="Serviço",AH$12&lt;&gt;0,$H157&gt;0,OR(AUTOEVENTO&lt;&gt;"manual",$M157&lt;&gt;1)),
IF(Import.TipoArredondamento&lt;&gt;"TransfereGOV",
ROUND(OFFSET($P157,0,AH$13),15-13*ORÇAMENTO!$AF$7)/$H157*OFFSET(ORÇAMENTO!$X$15,ROW(AH157)-ROW(AH$15),0),
ROUND(ROUND(OFFSET($P157,0,AH$13),15-13*ORÇAMENTO!$AF$7)*OFFSET(ORÇAMENTO!$W$15,ROW(AH157)-ROW(AH$15),0),15-13*ORÇAMENTO!$AF$11)),0)</f>
        <v>0</v>
      </c>
      <c r="AI157" s="545">
        <f ca="1">IF(AND($D157="Serviço",AI$12&lt;&gt;0,$H157&gt;0,OR(AUTOEVENTO&lt;&gt;"manual",$M157&lt;&gt;1)),
IF(Import.TipoArredondamento&lt;&gt;"TransfereGOV",
ROUND(OFFSET($P157,0,AI$13),15-13*ORÇAMENTO!$AF$7)/$H157*OFFSET(ORÇAMENTO!$X$15,ROW(AI157)-ROW(AI$15),0),
ROUND(ROUND(OFFSET($P157,0,AI$13),15-13*ORÇAMENTO!$AF$7)*OFFSET(ORÇAMENTO!$W$15,ROW(AI157)-ROW(AI$15),0),15-13*ORÇAMENTO!$AF$11)),0)</f>
        <v>0</v>
      </c>
      <c r="AJ157" s="545">
        <f ca="1">IF(AND($D157="Serviço",AJ$12&lt;&gt;0,$H157&gt;0,OR(AUTOEVENTO&lt;&gt;"manual",$M157&lt;&gt;1)),
IF(Import.TipoArredondamento&lt;&gt;"TransfereGOV",
ROUND(OFFSET($P157,0,AJ$13),15-13*ORÇAMENTO!$AF$7)/$H157*OFFSET(ORÇAMENTO!$X$15,ROW(AJ157)-ROW(AJ$15),0),
ROUND(ROUND(OFFSET($P157,0,AJ$13),15-13*ORÇAMENTO!$AF$7)*OFFSET(ORÇAMENTO!$W$15,ROW(AJ157)-ROW(AJ$15),0),15-13*ORÇAMENTO!$AF$11)),0)</f>
        <v>0</v>
      </c>
      <c r="AK157" s="546">
        <f ca="1">IF(AND($D157="Serviço",AK$12&lt;&gt;0,$H157&gt;0,OR(AUTOEVENTO&lt;&gt;"manual",$M157&lt;&gt;1)),
IF(Import.TipoArredondamento&lt;&gt;"TransfereGOV",
ROUND(OFFSET($P157,0,AK$13),15-13*ORÇAMENTO!$AF$7)/$H157*OFFSET(ORÇAMENTO!$X$15,ROW(AK157)-ROW(AK$15),0),
ROUND(ROUND(OFFSET($P157,0,AK$13),15-13*ORÇAMENTO!$AF$7)*OFFSET(ORÇAMENTO!$W$15,ROW(AK157)-ROW(AK$15),0),15-13*ORÇAMENTO!$AF$11)),0)</f>
        <v>0</v>
      </c>
      <c r="AM157" s="181">
        <f ca="1">IF($D157&lt;&gt;"Serviço",0,IF(AND(AUTOEVENTO="Manual",$M157=1),0,IF(OFFSET(CRONOPLE!$F$14,$M157,AM$13)="",10^12,OFFSET(CRONOPLE!$F$14,$M157,AM$13))))</f>
        <v>1000000000000</v>
      </c>
      <c r="AN157" s="181">
        <f ca="1">IF($D157&lt;&gt;"Serviço",0,IF(AND(AUTOEVENTO="Manual",$M157=1),0,IF(OFFSET(CRONOPLE!$F$14,$M157,AN$13)="",10^12,OFFSET(CRONOPLE!$F$14,$M157,AN$13))))</f>
        <v>1000000000000</v>
      </c>
      <c r="AO157" s="181">
        <f ca="1">IF($D157&lt;&gt;"Serviço",0,IF(AND(AUTOEVENTO="Manual",$M157=1),0,IF(OFFSET(CRONOPLE!$F$14,$M157,AO$13)="",10^12,OFFSET(CRONOPLE!$F$14,$M157,AO$13))))</f>
        <v>1000000000000</v>
      </c>
      <c r="AP157" s="181">
        <f ca="1">IF($D157&lt;&gt;"Serviço",0,IF(AND(AUTOEVENTO="Manual",$M157=1),0,IF(OFFSET(CRONOPLE!$F$14,$M157,AP$13)="",10^12,OFFSET(CRONOPLE!$F$14,$M157,AP$13))))</f>
        <v>1000000000000</v>
      </c>
      <c r="AQ157" s="181">
        <f ca="1">IF($D157&lt;&gt;"Serviço",0,IF(AND(AUTOEVENTO="Manual",$M157=1),0,IF(OFFSET(CRONOPLE!$F$14,$M157,AQ$13)="",10^12,OFFSET(CRONOPLE!$F$14,$M157,AQ$13))))</f>
        <v>1000000000000</v>
      </c>
      <c r="AR157" s="181">
        <f ca="1">IF($D157&lt;&gt;"Serviço",0,IF(AND(AUTOEVENTO="Manual",$M157=1),0,IF(OFFSET(CRONOPLE!$F$14,$M157,AR$13)="",10^12,OFFSET(CRONOPLE!$F$14,$M157,AR$13))))</f>
        <v>1000000000000</v>
      </c>
      <c r="AS157" s="181">
        <f ca="1">IF($D157&lt;&gt;"Serviço",0,IF(AND(AUTOEVENTO="Manual",$M157=1),0,IF(OFFSET(CRONOPLE!$F$14,$M157,AS$13)="",10^12,OFFSET(CRONOPLE!$F$14,$M157,AS$13))))</f>
        <v>1000000000000</v>
      </c>
      <c r="AT157" s="181">
        <f ca="1">IF($D157&lt;&gt;"Serviço",0,IF(AND(AUTOEVENTO="Manual",$M157=1),0,IF(OFFSET(CRONOPLE!$F$14,$M157,AT$13)="",10^12,OFFSET(CRONOPLE!$F$14,$M157,AT$13))))</f>
        <v>1000000000000</v>
      </c>
      <c r="AU157" s="181">
        <f ca="1">IF($D157&lt;&gt;"Serviço",0,IF(AND(AUTOEVENTO="Manual",$M157=1),0,IF(OFFSET(CRONOPLE!$F$14,$M157,AU$13)="",10^12,OFFSET(CRONOPLE!$F$14,$M157,AU$13))))</f>
        <v>1000000000000</v>
      </c>
      <c r="AV157" s="181">
        <f ca="1">IF($D157&lt;&gt;"Serviço",0,IF(AND(AUTOEVENTO="Manual",$M157=1),0,IF(OFFSET(CRONOPLE!$F$14,$M157,AV$13)="",10^12,OFFSET(CRONOPLE!$F$14,$M157,AV$13))))</f>
        <v>1000000000000</v>
      </c>
      <c r="AX157" s="182">
        <f ca="1">IF($D157&lt;&gt;"Serviço",0,IF(OR(AND(AUTOEVENTO="Manual",$M157=1),$M157&gt;(ROW(PLE.lastrow)-ROW(PLE.firstrow))),0,IF(OFFSET(PLE!$G$14,$M157,AX$13)="",10^12,OFFSET(PLE!$G$14,$M157,AX$13))))</f>
        <v>1000000000000</v>
      </c>
      <c r="AY157" s="182">
        <f ca="1">IF($D157&lt;&gt;"Serviço",0,IF(OR(AND(AUTOEVENTO="Manual",$M157=1),$M157&gt;(ROW(PLE.lastrow)-ROW(PLE.firstrow))),0,IF(OFFSET(PLE!$G$14,$M157,AY$13)="",10^12,OFFSET(PLE!$G$14,$M157,AY$13))))</f>
        <v>1000000000000</v>
      </c>
      <c r="AZ157" s="182">
        <f ca="1">IF($D157&lt;&gt;"Serviço",0,IF(OR(AND(AUTOEVENTO="Manual",$M157=1),$M157&gt;(ROW(PLE.lastrow)-ROW(PLE.firstrow))),0,IF(OFFSET(PLE!$G$14,$M157,AZ$13)="",10^12,OFFSET(PLE!$G$14,$M157,AZ$13))))</f>
        <v>1000000000000</v>
      </c>
      <c r="BA157" s="182">
        <f ca="1">IF($D157&lt;&gt;"Serviço",0,IF(OR(AND(AUTOEVENTO="Manual",$M157=1),$M157&gt;(ROW(PLE.lastrow)-ROW(PLE.firstrow))),0,IF(OFFSET(PLE!$G$14,$M157,BA$13)="",10^12,OFFSET(PLE!$G$14,$M157,BA$13))))</f>
        <v>1000000000000</v>
      </c>
      <c r="BB157" s="182">
        <f ca="1">IF($D157&lt;&gt;"Serviço",0,IF(OR(AND(AUTOEVENTO="Manual",$M157=1),$M157&gt;(ROW(PLE.lastrow)-ROW(PLE.firstrow))),0,IF(OFFSET(PLE!$G$14,$M157,BB$13)="",10^12,OFFSET(PLE!$G$14,$M157,BB$13))))</f>
        <v>1000000000000</v>
      </c>
      <c r="BC157" s="182">
        <f ca="1">IF($D157&lt;&gt;"Serviço",0,IF(OR(AND(AUTOEVENTO="Manual",$M157=1),$M157&gt;(ROW(PLE.lastrow)-ROW(PLE.firstrow))),0,IF(OFFSET(PLE!$G$14,$M157,BC$13)="",10^12,OFFSET(PLE!$G$14,$M157,BC$13))))</f>
        <v>1000000000000</v>
      </c>
      <c r="BD157" s="182">
        <f ca="1">IF($D157&lt;&gt;"Serviço",0,IF(OR(AND(AUTOEVENTO="Manual",$M157=1),$M157&gt;(ROW(PLE.lastrow)-ROW(PLE.firstrow))),0,IF(OFFSET(PLE!$G$14,$M157,BD$13)="",10^12,OFFSET(PLE!$G$14,$M157,BD$13))))</f>
        <v>1000000000000</v>
      </c>
      <c r="BE157" s="182">
        <f ca="1">IF($D157&lt;&gt;"Serviço",0,IF(OR(AND(AUTOEVENTO="Manual",$M157=1),$M157&gt;(ROW(PLE.lastrow)-ROW(PLE.firstrow))),0,IF(OFFSET(PLE!$G$14,$M157,BE$13)="",10^12,OFFSET(PLE!$G$14,$M157,BE$13))))</f>
        <v>1000000000000</v>
      </c>
      <c r="BF157" s="182">
        <f ca="1">IF($D157&lt;&gt;"Serviço",0,IF(OR(AND(AUTOEVENTO="Manual",$M157=1),$M157&gt;(ROW(PLE.lastrow)-ROW(PLE.firstrow))),0,IF(OFFSET(PLE!$G$14,$M157,BF$13)="",10^12,OFFSET(PLE!$G$14,$M157,BF$13))))</f>
        <v>1000000000000</v>
      </c>
      <c r="BG157" s="182">
        <f ca="1">IF($D157&lt;&gt;"Serviço",0,IF(OR(AND(AUTOEVENTO="Manual",$M157=1),$M157&gt;(ROW(PLE.lastrow)-ROW(PLE.firstrow))),0,IF(OFFSET(PLE!$G$14,$M157,BG$13)="",10^12,OFFSET(PLE!$G$14,$M157,BG$13))))</f>
        <v>1000000000000</v>
      </c>
    </row>
    <row r="158" spans="1:59" ht="38.25" x14ac:dyDescent="0.2">
      <c r="A158" s="7" t="str">
        <f t="shared" ca="1" si="10"/>
        <v>108</v>
      </c>
      <c r="B158" s="7" t="str">
        <f ca="1">OFFSET(ORÇAMENTO!C$15,ROW(B158)-ROW(B$15),0)</f>
        <v>S</v>
      </c>
      <c r="C158" s="7" t="str">
        <f ca="1">OFFSET(ORÇAMENTO!L$15,ROW(C158)-ROW(C$15),0)</f>
        <v/>
      </c>
      <c r="D158" s="118" t="str">
        <f ca="1">OFFSET(ORÇAMENTO!N$15,ROW(D158)-ROW(D$15),0)</f>
        <v>Serviço</v>
      </c>
      <c r="E158" s="119" t="str">
        <f ca="1">OFFSET(ORÇAMENTO!O$15,ROW(E158)-ROW(E$15),0)</f>
        <v>-</v>
      </c>
      <c r="F158" s="172" t="str">
        <f ca="1">OFFSET(ORÇAMENTO!R$15,ROW(F158)-ROW(F$15),0)</f>
        <v>(abra o arquivo 'Referência 02-2025.xlsm)</v>
      </c>
      <c r="G158" s="173" t="str">
        <f ca="1">IF($D158&lt;&gt;"Serviço","",OFFSET(ORÇAMENTO!S$15,ROW(G158)-ROW(G$15),0))</f>
        <v>-</v>
      </c>
      <c r="H158" s="124">
        <f ca="1">IF($D158&lt;&gt;"Serviço",0,IF(ACOMPANHAMENTO="BM",ROUND(OFFSET(ORÇAMENTO!AJ$15,ROW(H158)-ROW(H$15),0),15-13*ORÇAMENTO!$AF$7),SUMPRODUCT(($Q$12:$AA$12&lt;&gt;"")*ROUND($Q158:$AA158,15-13*ORÇAMENTO!$AF$7))))</f>
        <v>33.6</v>
      </c>
      <c r="I158" s="561" t="s">
        <v>890</v>
      </c>
      <c r="K158" s="174"/>
      <c r="L158" s="175" t="s">
        <v>255</v>
      </c>
      <c r="M158" s="176">
        <f ca="1">IF($D158&lt;&gt;"Serviço","",IF(AUTOEVENTO="manual",$A158,IF(ISERROR(MATCH($A158,$A$15:OFFSET($A158,-1,0),0)),MAX($M$15:OFFSET(M158,-1,0))+1,INDEX($M$15:OFFSET(M158,-1,0),MATCH($A158,$A$15:OFFSET($A158,-1,0),0)))))</f>
        <v>7</v>
      </c>
      <c r="N158" s="177" t="str">
        <f ca="1">IF($D158&lt;&gt;"Serviço","",IF(AUTOEVENTO="Manual",IF($A158=0,"&lt;-- defina o número do agrupador",OFFSET(EVENTOS!$D$14,$A158,0)),OFFSET($F$15,$A158,0)))</f>
        <v>ESQUADRIAS</v>
      </c>
      <c r="O158" s="178"/>
      <c r="Q158" s="178"/>
      <c r="R158" s="179"/>
      <c r="S158" s="179"/>
      <c r="T158" s="179"/>
      <c r="U158" s="179"/>
      <c r="V158" s="179"/>
      <c r="W158" s="179"/>
      <c r="X158" s="179"/>
      <c r="Y158" s="179"/>
      <c r="Z158" s="180"/>
      <c r="AB158" s="544">
        <f ca="1">IF(AND($D158="Serviço",AB$12&lt;&gt;0,$H158&gt;0,OR(AUTOEVENTO&lt;&gt;"manual",$M158&lt;&gt;1)),
IF(Import.TipoArredondamento&lt;&gt;"TransfereGOV",
ROUND(OFFSET($P158,0,AB$13),15-13*ORÇAMENTO!$AF$7)/$H158*OFFSET(ORÇAMENTO!$X$15,ROW(AB158)-ROW(AB$15),0),
ROUND(ROUND(OFFSET($P158,0,AB$13),15-13*ORÇAMENTO!$AF$7)*OFFSET(ORÇAMENTO!$W$15,ROW(AB158)-ROW(AB$15),0),15-13*ORÇAMENTO!$AF$11)),0)</f>
        <v>0</v>
      </c>
      <c r="AC158" s="545">
        <f ca="1">IF(AND($D158="Serviço",AC$12&lt;&gt;0,$H158&gt;0,OR(AUTOEVENTO&lt;&gt;"manual",$M158&lt;&gt;1)),
IF(Import.TipoArredondamento&lt;&gt;"TransfereGOV",
ROUND(OFFSET($P158,0,AC$13),15-13*ORÇAMENTO!$AF$7)/$H158*OFFSET(ORÇAMENTO!$X$15,ROW(AC158)-ROW(AC$15),0),
ROUND(ROUND(OFFSET($P158,0,AC$13),15-13*ORÇAMENTO!$AF$7)*OFFSET(ORÇAMENTO!$W$15,ROW(AC158)-ROW(AC$15),0),15-13*ORÇAMENTO!$AF$11)),0)</f>
        <v>0</v>
      </c>
      <c r="AD158" s="545">
        <f ca="1">IF(AND($D158="Serviço",AD$12&lt;&gt;0,$H158&gt;0,OR(AUTOEVENTO&lt;&gt;"manual",$M158&lt;&gt;1)),
IF(Import.TipoArredondamento&lt;&gt;"TransfereGOV",
ROUND(OFFSET($P158,0,AD$13),15-13*ORÇAMENTO!$AF$7)/$H158*OFFSET(ORÇAMENTO!$X$15,ROW(AD158)-ROW(AD$15),0),
ROUND(ROUND(OFFSET($P158,0,AD$13),15-13*ORÇAMENTO!$AF$7)*OFFSET(ORÇAMENTO!$W$15,ROW(AD158)-ROW(AD$15),0),15-13*ORÇAMENTO!$AF$11)),0)</f>
        <v>0</v>
      </c>
      <c r="AE158" s="545">
        <f ca="1">IF(AND($D158="Serviço",AE$12&lt;&gt;0,$H158&gt;0,OR(AUTOEVENTO&lt;&gt;"manual",$M158&lt;&gt;1)),
IF(Import.TipoArredondamento&lt;&gt;"TransfereGOV",
ROUND(OFFSET($P158,0,AE$13),15-13*ORÇAMENTO!$AF$7)/$H158*OFFSET(ORÇAMENTO!$X$15,ROW(AE158)-ROW(AE$15),0),
ROUND(ROUND(OFFSET($P158,0,AE$13),15-13*ORÇAMENTO!$AF$7)*OFFSET(ORÇAMENTO!$W$15,ROW(AE158)-ROW(AE$15),0),15-13*ORÇAMENTO!$AF$11)),0)</f>
        <v>0</v>
      </c>
      <c r="AF158" s="545">
        <f ca="1">IF(AND($D158="Serviço",AF$12&lt;&gt;0,$H158&gt;0,OR(AUTOEVENTO&lt;&gt;"manual",$M158&lt;&gt;1)),
IF(Import.TipoArredondamento&lt;&gt;"TransfereGOV",
ROUND(OFFSET($P158,0,AF$13),15-13*ORÇAMENTO!$AF$7)/$H158*OFFSET(ORÇAMENTO!$X$15,ROW(AF158)-ROW(AF$15),0),
ROUND(ROUND(OFFSET($P158,0,AF$13),15-13*ORÇAMENTO!$AF$7)*OFFSET(ORÇAMENTO!$W$15,ROW(AF158)-ROW(AF$15),0),15-13*ORÇAMENTO!$AF$11)),0)</f>
        <v>0</v>
      </c>
      <c r="AG158" s="545">
        <f ca="1">IF(AND($D158="Serviço",AG$12&lt;&gt;0,$H158&gt;0,OR(AUTOEVENTO&lt;&gt;"manual",$M158&lt;&gt;1)),
IF(Import.TipoArredondamento&lt;&gt;"TransfereGOV",
ROUND(OFFSET($P158,0,AG$13),15-13*ORÇAMENTO!$AF$7)/$H158*OFFSET(ORÇAMENTO!$X$15,ROW(AG158)-ROW(AG$15),0),
ROUND(ROUND(OFFSET($P158,0,AG$13),15-13*ORÇAMENTO!$AF$7)*OFFSET(ORÇAMENTO!$W$15,ROW(AG158)-ROW(AG$15),0),15-13*ORÇAMENTO!$AF$11)),0)</f>
        <v>0</v>
      </c>
      <c r="AH158" s="545">
        <f ca="1">IF(AND($D158="Serviço",AH$12&lt;&gt;0,$H158&gt;0,OR(AUTOEVENTO&lt;&gt;"manual",$M158&lt;&gt;1)),
IF(Import.TipoArredondamento&lt;&gt;"TransfereGOV",
ROUND(OFFSET($P158,0,AH$13),15-13*ORÇAMENTO!$AF$7)/$H158*OFFSET(ORÇAMENTO!$X$15,ROW(AH158)-ROW(AH$15),0),
ROUND(ROUND(OFFSET($P158,0,AH$13),15-13*ORÇAMENTO!$AF$7)*OFFSET(ORÇAMENTO!$W$15,ROW(AH158)-ROW(AH$15),0),15-13*ORÇAMENTO!$AF$11)),0)</f>
        <v>0</v>
      </c>
      <c r="AI158" s="545">
        <f ca="1">IF(AND($D158="Serviço",AI$12&lt;&gt;0,$H158&gt;0,OR(AUTOEVENTO&lt;&gt;"manual",$M158&lt;&gt;1)),
IF(Import.TipoArredondamento&lt;&gt;"TransfereGOV",
ROUND(OFFSET($P158,0,AI$13),15-13*ORÇAMENTO!$AF$7)/$H158*OFFSET(ORÇAMENTO!$X$15,ROW(AI158)-ROW(AI$15),0),
ROUND(ROUND(OFFSET($P158,0,AI$13),15-13*ORÇAMENTO!$AF$7)*OFFSET(ORÇAMENTO!$W$15,ROW(AI158)-ROW(AI$15),0),15-13*ORÇAMENTO!$AF$11)),0)</f>
        <v>0</v>
      </c>
      <c r="AJ158" s="545">
        <f ca="1">IF(AND($D158="Serviço",AJ$12&lt;&gt;0,$H158&gt;0,OR(AUTOEVENTO&lt;&gt;"manual",$M158&lt;&gt;1)),
IF(Import.TipoArredondamento&lt;&gt;"TransfereGOV",
ROUND(OFFSET($P158,0,AJ$13),15-13*ORÇAMENTO!$AF$7)/$H158*OFFSET(ORÇAMENTO!$X$15,ROW(AJ158)-ROW(AJ$15),0),
ROUND(ROUND(OFFSET($P158,0,AJ$13),15-13*ORÇAMENTO!$AF$7)*OFFSET(ORÇAMENTO!$W$15,ROW(AJ158)-ROW(AJ$15),0),15-13*ORÇAMENTO!$AF$11)),0)</f>
        <v>0</v>
      </c>
      <c r="AK158" s="546">
        <f ca="1">IF(AND($D158="Serviço",AK$12&lt;&gt;0,$H158&gt;0,OR(AUTOEVENTO&lt;&gt;"manual",$M158&lt;&gt;1)),
IF(Import.TipoArredondamento&lt;&gt;"TransfereGOV",
ROUND(OFFSET($P158,0,AK$13),15-13*ORÇAMENTO!$AF$7)/$H158*OFFSET(ORÇAMENTO!$X$15,ROW(AK158)-ROW(AK$15),0),
ROUND(ROUND(OFFSET($P158,0,AK$13),15-13*ORÇAMENTO!$AF$7)*OFFSET(ORÇAMENTO!$W$15,ROW(AK158)-ROW(AK$15),0),15-13*ORÇAMENTO!$AF$11)),0)</f>
        <v>0</v>
      </c>
      <c r="AM158" s="181">
        <f ca="1">IF($D158&lt;&gt;"Serviço",0,IF(AND(AUTOEVENTO="Manual",$M158=1),0,IF(OFFSET(CRONOPLE!$F$14,$M158,AM$13)="",10^12,OFFSET(CRONOPLE!$F$14,$M158,AM$13))))</f>
        <v>1000000000000</v>
      </c>
      <c r="AN158" s="181">
        <f ca="1">IF($D158&lt;&gt;"Serviço",0,IF(AND(AUTOEVENTO="Manual",$M158=1),0,IF(OFFSET(CRONOPLE!$F$14,$M158,AN$13)="",10^12,OFFSET(CRONOPLE!$F$14,$M158,AN$13))))</f>
        <v>1000000000000</v>
      </c>
      <c r="AO158" s="181">
        <f ca="1">IF($D158&lt;&gt;"Serviço",0,IF(AND(AUTOEVENTO="Manual",$M158=1),0,IF(OFFSET(CRONOPLE!$F$14,$M158,AO$13)="",10^12,OFFSET(CRONOPLE!$F$14,$M158,AO$13))))</f>
        <v>1000000000000</v>
      </c>
      <c r="AP158" s="181">
        <f ca="1">IF($D158&lt;&gt;"Serviço",0,IF(AND(AUTOEVENTO="Manual",$M158=1),0,IF(OFFSET(CRONOPLE!$F$14,$M158,AP$13)="",10^12,OFFSET(CRONOPLE!$F$14,$M158,AP$13))))</f>
        <v>1000000000000</v>
      </c>
      <c r="AQ158" s="181">
        <f ca="1">IF($D158&lt;&gt;"Serviço",0,IF(AND(AUTOEVENTO="Manual",$M158=1),0,IF(OFFSET(CRONOPLE!$F$14,$M158,AQ$13)="",10^12,OFFSET(CRONOPLE!$F$14,$M158,AQ$13))))</f>
        <v>1000000000000</v>
      </c>
      <c r="AR158" s="181">
        <f ca="1">IF($D158&lt;&gt;"Serviço",0,IF(AND(AUTOEVENTO="Manual",$M158=1),0,IF(OFFSET(CRONOPLE!$F$14,$M158,AR$13)="",10^12,OFFSET(CRONOPLE!$F$14,$M158,AR$13))))</f>
        <v>1000000000000</v>
      </c>
      <c r="AS158" s="181">
        <f ca="1">IF($D158&lt;&gt;"Serviço",0,IF(AND(AUTOEVENTO="Manual",$M158=1),0,IF(OFFSET(CRONOPLE!$F$14,$M158,AS$13)="",10^12,OFFSET(CRONOPLE!$F$14,$M158,AS$13))))</f>
        <v>1000000000000</v>
      </c>
      <c r="AT158" s="181">
        <f ca="1">IF($D158&lt;&gt;"Serviço",0,IF(AND(AUTOEVENTO="Manual",$M158=1),0,IF(OFFSET(CRONOPLE!$F$14,$M158,AT$13)="",10^12,OFFSET(CRONOPLE!$F$14,$M158,AT$13))))</f>
        <v>1000000000000</v>
      </c>
      <c r="AU158" s="181">
        <f ca="1">IF($D158&lt;&gt;"Serviço",0,IF(AND(AUTOEVENTO="Manual",$M158=1),0,IF(OFFSET(CRONOPLE!$F$14,$M158,AU$13)="",10^12,OFFSET(CRONOPLE!$F$14,$M158,AU$13))))</f>
        <v>1000000000000</v>
      </c>
      <c r="AV158" s="181">
        <f ca="1">IF($D158&lt;&gt;"Serviço",0,IF(AND(AUTOEVENTO="Manual",$M158=1),0,IF(OFFSET(CRONOPLE!$F$14,$M158,AV$13)="",10^12,OFFSET(CRONOPLE!$F$14,$M158,AV$13))))</f>
        <v>1000000000000</v>
      </c>
      <c r="AX158" s="182">
        <f ca="1">IF($D158&lt;&gt;"Serviço",0,IF(OR(AND(AUTOEVENTO="Manual",$M158=1),$M158&gt;(ROW(PLE.lastrow)-ROW(PLE.firstrow))),0,IF(OFFSET(PLE!$G$14,$M158,AX$13)="",10^12,OFFSET(PLE!$G$14,$M158,AX$13))))</f>
        <v>1000000000000</v>
      </c>
      <c r="AY158" s="182">
        <f ca="1">IF($D158&lt;&gt;"Serviço",0,IF(OR(AND(AUTOEVENTO="Manual",$M158=1),$M158&gt;(ROW(PLE.lastrow)-ROW(PLE.firstrow))),0,IF(OFFSET(PLE!$G$14,$M158,AY$13)="",10^12,OFFSET(PLE!$G$14,$M158,AY$13))))</f>
        <v>1000000000000</v>
      </c>
      <c r="AZ158" s="182">
        <f ca="1">IF($D158&lt;&gt;"Serviço",0,IF(OR(AND(AUTOEVENTO="Manual",$M158=1),$M158&gt;(ROW(PLE.lastrow)-ROW(PLE.firstrow))),0,IF(OFFSET(PLE!$G$14,$M158,AZ$13)="",10^12,OFFSET(PLE!$G$14,$M158,AZ$13))))</f>
        <v>1000000000000</v>
      </c>
      <c r="BA158" s="182">
        <f ca="1">IF($D158&lt;&gt;"Serviço",0,IF(OR(AND(AUTOEVENTO="Manual",$M158=1),$M158&gt;(ROW(PLE.lastrow)-ROW(PLE.firstrow))),0,IF(OFFSET(PLE!$G$14,$M158,BA$13)="",10^12,OFFSET(PLE!$G$14,$M158,BA$13))))</f>
        <v>1000000000000</v>
      </c>
      <c r="BB158" s="182">
        <f ca="1">IF($D158&lt;&gt;"Serviço",0,IF(OR(AND(AUTOEVENTO="Manual",$M158=1),$M158&gt;(ROW(PLE.lastrow)-ROW(PLE.firstrow))),0,IF(OFFSET(PLE!$G$14,$M158,BB$13)="",10^12,OFFSET(PLE!$G$14,$M158,BB$13))))</f>
        <v>1000000000000</v>
      </c>
      <c r="BC158" s="182">
        <f ca="1">IF($D158&lt;&gt;"Serviço",0,IF(OR(AND(AUTOEVENTO="Manual",$M158=1),$M158&gt;(ROW(PLE.lastrow)-ROW(PLE.firstrow))),0,IF(OFFSET(PLE!$G$14,$M158,BC$13)="",10^12,OFFSET(PLE!$G$14,$M158,BC$13))))</f>
        <v>1000000000000</v>
      </c>
      <c r="BD158" s="182">
        <f ca="1">IF($D158&lt;&gt;"Serviço",0,IF(OR(AND(AUTOEVENTO="Manual",$M158=1),$M158&gt;(ROW(PLE.lastrow)-ROW(PLE.firstrow))),0,IF(OFFSET(PLE!$G$14,$M158,BD$13)="",10^12,OFFSET(PLE!$G$14,$M158,BD$13))))</f>
        <v>1000000000000</v>
      </c>
      <c r="BE158" s="182">
        <f ca="1">IF($D158&lt;&gt;"Serviço",0,IF(OR(AND(AUTOEVENTO="Manual",$M158=1),$M158&gt;(ROW(PLE.lastrow)-ROW(PLE.firstrow))),0,IF(OFFSET(PLE!$G$14,$M158,BE$13)="",10^12,OFFSET(PLE!$G$14,$M158,BE$13))))</f>
        <v>1000000000000</v>
      </c>
      <c r="BF158" s="182">
        <f ca="1">IF($D158&lt;&gt;"Serviço",0,IF(OR(AND(AUTOEVENTO="Manual",$M158=1),$M158&gt;(ROW(PLE.lastrow)-ROW(PLE.firstrow))),0,IF(OFFSET(PLE!$G$14,$M158,BF$13)="",10^12,OFFSET(PLE!$G$14,$M158,BF$13))))</f>
        <v>1000000000000</v>
      </c>
      <c r="BG158" s="182">
        <f ca="1">IF($D158&lt;&gt;"Serviço",0,IF(OR(AND(AUTOEVENTO="Manual",$M158=1),$M158&gt;(ROW(PLE.lastrow)-ROW(PLE.firstrow))),0,IF(OFFSET(PLE!$G$14,$M158,BG$13)="",10^12,OFFSET(PLE!$G$14,$M158,BG$13))))</f>
        <v>1000000000000</v>
      </c>
    </row>
    <row r="159" spans="1:59" ht="38.25" x14ac:dyDescent="0.2">
      <c r="A159" s="7" t="str">
        <f t="shared" ca="1" si="10"/>
        <v>108</v>
      </c>
      <c r="B159" s="7" t="str">
        <f ca="1">OFFSET(ORÇAMENTO!C$15,ROW(B159)-ROW(B$15),0)</f>
        <v>S</v>
      </c>
      <c r="C159" s="7" t="str">
        <f ca="1">OFFSET(ORÇAMENTO!L$15,ROW(C159)-ROW(C$15),0)</f>
        <v/>
      </c>
      <c r="D159" s="118" t="str">
        <f ca="1">OFFSET(ORÇAMENTO!N$15,ROW(D159)-ROW(D$15),0)</f>
        <v>Serviço</v>
      </c>
      <c r="E159" s="119" t="str">
        <f ca="1">OFFSET(ORÇAMENTO!O$15,ROW(E159)-ROW(E$15),0)</f>
        <v>-</v>
      </c>
      <c r="F159" s="172" t="str">
        <f ca="1">OFFSET(ORÇAMENTO!R$15,ROW(F159)-ROW(F$15),0)</f>
        <v>(abra o arquivo 'Referência 02-2025.xlsm)</v>
      </c>
      <c r="G159" s="173" t="str">
        <f ca="1">IF($D159&lt;&gt;"Serviço","",OFFSET(ORÇAMENTO!S$15,ROW(G159)-ROW(G$15),0))</f>
        <v>-</v>
      </c>
      <c r="H159" s="124">
        <f ca="1">IF($D159&lt;&gt;"Serviço",0,IF(ACOMPANHAMENTO="BM",ROUND(OFFSET(ORÇAMENTO!AJ$15,ROW(H159)-ROW(H$15),0),15-13*ORÇAMENTO!$AF$7),SUMPRODUCT(($Q$12:$AA$12&lt;&gt;"")*ROUND($Q159:$AA159,15-13*ORÇAMENTO!$AF$7))))</f>
        <v>16.8</v>
      </c>
      <c r="I159" s="561" t="s">
        <v>890</v>
      </c>
      <c r="K159" s="174"/>
      <c r="L159" s="175" t="s">
        <v>255</v>
      </c>
      <c r="M159" s="176">
        <f ca="1">IF($D159&lt;&gt;"Serviço","",IF(AUTOEVENTO="manual",$A159,IF(ISERROR(MATCH($A159,$A$15:OFFSET($A159,-1,0),0)),MAX($M$15:OFFSET(M159,-1,0))+1,INDEX($M$15:OFFSET(M159,-1,0),MATCH($A159,$A$15:OFFSET($A159,-1,0),0)))))</f>
        <v>7</v>
      </c>
      <c r="N159" s="177" t="str">
        <f ca="1">IF($D159&lt;&gt;"Serviço","",IF(AUTOEVENTO="Manual",IF($A159=0,"&lt;-- defina o número do agrupador",OFFSET(EVENTOS!$D$14,$A159,0)),OFFSET($F$15,$A159,0)))</f>
        <v>ESQUADRIAS</v>
      </c>
      <c r="O159" s="178"/>
      <c r="Q159" s="178"/>
      <c r="R159" s="179"/>
      <c r="S159" s="179"/>
      <c r="T159" s="179"/>
      <c r="U159" s="179"/>
      <c r="V159" s="179"/>
      <c r="W159" s="179"/>
      <c r="X159" s="179"/>
      <c r="Y159" s="179"/>
      <c r="Z159" s="180"/>
      <c r="AB159" s="544">
        <f ca="1">IF(AND($D159="Serviço",AB$12&lt;&gt;0,$H159&gt;0,OR(AUTOEVENTO&lt;&gt;"manual",$M159&lt;&gt;1)),
IF(Import.TipoArredondamento&lt;&gt;"TransfereGOV",
ROUND(OFFSET($P159,0,AB$13),15-13*ORÇAMENTO!$AF$7)/$H159*OFFSET(ORÇAMENTO!$X$15,ROW(AB159)-ROW(AB$15),0),
ROUND(ROUND(OFFSET($P159,0,AB$13),15-13*ORÇAMENTO!$AF$7)*OFFSET(ORÇAMENTO!$W$15,ROW(AB159)-ROW(AB$15),0),15-13*ORÇAMENTO!$AF$11)),0)</f>
        <v>0</v>
      </c>
      <c r="AC159" s="545">
        <f ca="1">IF(AND($D159="Serviço",AC$12&lt;&gt;0,$H159&gt;0,OR(AUTOEVENTO&lt;&gt;"manual",$M159&lt;&gt;1)),
IF(Import.TipoArredondamento&lt;&gt;"TransfereGOV",
ROUND(OFFSET($P159,0,AC$13),15-13*ORÇAMENTO!$AF$7)/$H159*OFFSET(ORÇAMENTO!$X$15,ROW(AC159)-ROW(AC$15),0),
ROUND(ROUND(OFFSET($P159,0,AC$13),15-13*ORÇAMENTO!$AF$7)*OFFSET(ORÇAMENTO!$W$15,ROW(AC159)-ROW(AC$15),0),15-13*ORÇAMENTO!$AF$11)),0)</f>
        <v>0</v>
      </c>
      <c r="AD159" s="545">
        <f ca="1">IF(AND($D159="Serviço",AD$12&lt;&gt;0,$H159&gt;0,OR(AUTOEVENTO&lt;&gt;"manual",$M159&lt;&gt;1)),
IF(Import.TipoArredondamento&lt;&gt;"TransfereGOV",
ROUND(OFFSET($P159,0,AD$13),15-13*ORÇAMENTO!$AF$7)/$H159*OFFSET(ORÇAMENTO!$X$15,ROW(AD159)-ROW(AD$15),0),
ROUND(ROUND(OFFSET($P159,0,AD$13),15-13*ORÇAMENTO!$AF$7)*OFFSET(ORÇAMENTO!$W$15,ROW(AD159)-ROW(AD$15),0),15-13*ORÇAMENTO!$AF$11)),0)</f>
        <v>0</v>
      </c>
      <c r="AE159" s="545">
        <f ca="1">IF(AND($D159="Serviço",AE$12&lt;&gt;0,$H159&gt;0,OR(AUTOEVENTO&lt;&gt;"manual",$M159&lt;&gt;1)),
IF(Import.TipoArredondamento&lt;&gt;"TransfereGOV",
ROUND(OFFSET($P159,0,AE$13),15-13*ORÇAMENTO!$AF$7)/$H159*OFFSET(ORÇAMENTO!$X$15,ROW(AE159)-ROW(AE$15),0),
ROUND(ROUND(OFFSET($P159,0,AE$13),15-13*ORÇAMENTO!$AF$7)*OFFSET(ORÇAMENTO!$W$15,ROW(AE159)-ROW(AE$15),0),15-13*ORÇAMENTO!$AF$11)),0)</f>
        <v>0</v>
      </c>
      <c r="AF159" s="545">
        <f ca="1">IF(AND($D159="Serviço",AF$12&lt;&gt;0,$H159&gt;0,OR(AUTOEVENTO&lt;&gt;"manual",$M159&lt;&gt;1)),
IF(Import.TipoArredondamento&lt;&gt;"TransfereGOV",
ROUND(OFFSET($P159,0,AF$13),15-13*ORÇAMENTO!$AF$7)/$H159*OFFSET(ORÇAMENTO!$X$15,ROW(AF159)-ROW(AF$15),0),
ROUND(ROUND(OFFSET($P159,0,AF$13),15-13*ORÇAMENTO!$AF$7)*OFFSET(ORÇAMENTO!$W$15,ROW(AF159)-ROW(AF$15),0),15-13*ORÇAMENTO!$AF$11)),0)</f>
        <v>0</v>
      </c>
      <c r="AG159" s="545">
        <f ca="1">IF(AND($D159="Serviço",AG$12&lt;&gt;0,$H159&gt;0,OR(AUTOEVENTO&lt;&gt;"manual",$M159&lt;&gt;1)),
IF(Import.TipoArredondamento&lt;&gt;"TransfereGOV",
ROUND(OFFSET($P159,0,AG$13),15-13*ORÇAMENTO!$AF$7)/$H159*OFFSET(ORÇAMENTO!$X$15,ROW(AG159)-ROW(AG$15),0),
ROUND(ROUND(OFFSET($P159,0,AG$13),15-13*ORÇAMENTO!$AF$7)*OFFSET(ORÇAMENTO!$W$15,ROW(AG159)-ROW(AG$15),0),15-13*ORÇAMENTO!$AF$11)),0)</f>
        <v>0</v>
      </c>
      <c r="AH159" s="545">
        <f ca="1">IF(AND($D159="Serviço",AH$12&lt;&gt;0,$H159&gt;0,OR(AUTOEVENTO&lt;&gt;"manual",$M159&lt;&gt;1)),
IF(Import.TipoArredondamento&lt;&gt;"TransfereGOV",
ROUND(OFFSET($P159,0,AH$13),15-13*ORÇAMENTO!$AF$7)/$H159*OFFSET(ORÇAMENTO!$X$15,ROW(AH159)-ROW(AH$15),0),
ROUND(ROUND(OFFSET($P159,0,AH$13),15-13*ORÇAMENTO!$AF$7)*OFFSET(ORÇAMENTO!$W$15,ROW(AH159)-ROW(AH$15),0),15-13*ORÇAMENTO!$AF$11)),0)</f>
        <v>0</v>
      </c>
      <c r="AI159" s="545">
        <f ca="1">IF(AND($D159="Serviço",AI$12&lt;&gt;0,$H159&gt;0,OR(AUTOEVENTO&lt;&gt;"manual",$M159&lt;&gt;1)),
IF(Import.TipoArredondamento&lt;&gt;"TransfereGOV",
ROUND(OFFSET($P159,0,AI$13),15-13*ORÇAMENTO!$AF$7)/$H159*OFFSET(ORÇAMENTO!$X$15,ROW(AI159)-ROW(AI$15),0),
ROUND(ROUND(OFFSET($P159,0,AI$13),15-13*ORÇAMENTO!$AF$7)*OFFSET(ORÇAMENTO!$W$15,ROW(AI159)-ROW(AI$15),0),15-13*ORÇAMENTO!$AF$11)),0)</f>
        <v>0</v>
      </c>
      <c r="AJ159" s="545">
        <f ca="1">IF(AND($D159="Serviço",AJ$12&lt;&gt;0,$H159&gt;0,OR(AUTOEVENTO&lt;&gt;"manual",$M159&lt;&gt;1)),
IF(Import.TipoArredondamento&lt;&gt;"TransfereGOV",
ROUND(OFFSET($P159,0,AJ$13),15-13*ORÇAMENTO!$AF$7)/$H159*OFFSET(ORÇAMENTO!$X$15,ROW(AJ159)-ROW(AJ$15),0),
ROUND(ROUND(OFFSET($P159,0,AJ$13),15-13*ORÇAMENTO!$AF$7)*OFFSET(ORÇAMENTO!$W$15,ROW(AJ159)-ROW(AJ$15),0),15-13*ORÇAMENTO!$AF$11)),0)</f>
        <v>0</v>
      </c>
      <c r="AK159" s="546">
        <f ca="1">IF(AND($D159="Serviço",AK$12&lt;&gt;0,$H159&gt;0,OR(AUTOEVENTO&lt;&gt;"manual",$M159&lt;&gt;1)),
IF(Import.TipoArredondamento&lt;&gt;"TransfereGOV",
ROUND(OFFSET($P159,0,AK$13),15-13*ORÇAMENTO!$AF$7)/$H159*OFFSET(ORÇAMENTO!$X$15,ROW(AK159)-ROW(AK$15),0),
ROUND(ROUND(OFFSET($P159,0,AK$13),15-13*ORÇAMENTO!$AF$7)*OFFSET(ORÇAMENTO!$W$15,ROW(AK159)-ROW(AK$15),0),15-13*ORÇAMENTO!$AF$11)),0)</f>
        <v>0</v>
      </c>
      <c r="AM159" s="181">
        <f ca="1">IF($D159&lt;&gt;"Serviço",0,IF(AND(AUTOEVENTO="Manual",$M159=1),0,IF(OFFSET(CRONOPLE!$F$14,$M159,AM$13)="",10^12,OFFSET(CRONOPLE!$F$14,$M159,AM$13))))</f>
        <v>1000000000000</v>
      </c>
      <c r="AN159" s="181">
        <f ca="1">IF($D159&lt;&gt;"Serviço",0,IF(AND(AUTOEVENTO="Manual",$M159=1),0,IF(OFFSET(CRONOPLE!$F$14,$M159,AN$13)="",10^12,OFFSET(CRONOPLE!$F$14,$M159,AN$13))))</f>
        <v>1000000000000</v>
      </c>
      <c r="AO159" s="181">
        <f ca="1">IF($D159&lt;&gt;"Serviço",0,IF(AND(AUTOEVENTO="Manual",$M159=1),0,IF(OFFSET(CRONOPLE!$F$14,$M159,AO$13)="",10^12,OFFSET(CRONOPLE!$F$14,$M159,AO$13))))</f>
        <v>1000000000000</v>
      </c>
      <c r="AP159" s="181">
        <f ca="1">IF($D159&lt;&gt;"Serviço",0,IF(AND(AUTOEVENTO="Manual",$M159=1),0,IF(OFFSET(CRONOPLE!$F$14,$M159,AP$13)="",10^12,OFFSET(CRONOPLE!$F$14,$M159,AP$13))))</f>
        <v>1000000000000</v>
      </c>
      <c r="AQ159" s="181">
        <f ca="1">IF($D159&lt;&gt;"Serviço",0,IF(AND(AUTOEVENTO="Manual",$M159=1),0,IF(OFFSET(CRONOPLE!$F$14,$M159,AQ$13)="",10^12,OFFSET(CRONOPLE!$F$14,$M159,AQ$13))))</f>
        <v>1000000000000</v>
      </c>
      <c r="AR159" s="181">
        <f ca="1">IF($D159&lt;&gt;"Serviço",0,IF(AND(AUTOEVENTO="Manual",$M159=1),0,IF(OFFSET(CRONOPLE!$F$14,$M159,AR$13)="",10^12,OFFSET(CRONOPLE!$F$14,$M159,AR$13))))</f>
        <v>1000000000000</v>
      </c>
      <c r="AS159" s="181">
        <f ca="1">IF($D159&lt;&gt;"Serviço",0,IF(AND(AUTOEVENTO="Manual",$M159=1),0,IF(OFFSET(CRONOPLE!$F$14,$M159,AS$13)="",10^12,OFFSET(CRONOPLE!$F$14,$M159,AS$13))))</f>
        <v>1000000000000</v>
      </c>
      <c r="AT159" s="181">
        <f ca="1">IF($D159&lt;&gt;"Serviço",0,IF(AND(AUTOEVENTO="Manual",$M159=1),0,IF(OFFSET(CRONOPLE!$F$14,$M159,AT$13)="",10^12,OFFSET(CRONOPLE!$F$14,$M159,AT$13))))</f>
        <v>1000000000000</v>
      </c>
      <c r="AU159" s="181">
        <f ca="1">IF($D159&lt;&gt;"Serviço",0,IF(AND(AUTOEVENTO="Manual",$M159=1),0,IF(OFFSET(CRONOPLE!$F$14,$M159,AU$13)="",10^12,OFFSET(CRONOPLE!$F$14,$M159,AU$13))))</f>
        <v>1000000000000</v>
      </c>
      <c r="AV159" s="181">
        <f ca="1">IF($D159&lt;&gt;"Serviço",0,IF(AND(AUTOEVENTO="Manual",$M159=1),0,IF(OFFSET(CRONOPLE!$F$14,$M159,AV$13)="",10^12,OFFSET(CRONOPLE!$F$14,$M159,AV$13))))</f>
        <v>1000000000000</v>
      </c>
      <c r="AX159" s="182">
        <f ca="1">IF($D159&lt;&gt;"Serviço",0,IF(OR(AND(AUTOEVENTO="Manual",$M159=1),$M159&gt;(ROW(PLE.lastrow)-ROW(PLE.firstrow))),0,IF(OFFSET(PLE!$G$14,$M159,AX$13)="",10^12,OFFSET(PLE!$G$14,$M159,AX$13))))</f>
        <v>1000000000000</v>
      </c>
      <c r="AY159" s="182">
        <f ca="1">IF($D159&lt;&gt;"Serviço",0,IF(OR(AND(AUTOEVENTO="Manual",$M159=1),$M159&gt;(ROW(PLE.lastrow)-ROW(PLE.firstrow))),0,IF(OFFSET(PLE!$G$14,$M159,AY$13)="",10^12,OFFSET(PLE!$G$14,$M159,AY$13))))</f>
        <v>1000000000000</v>
      </c>
      <c r="AZ159" s="182">
        <f ca="1">IF($D159&lt;&gt;"Serviço",0,IF(OR(AND(AUTOEVENTO="Manual",$M159=1),$M159&gt;(ROW(PLE.lastrow)-ROW(PLE.firstrow))),0,IF(OFFSET(PLE!$G$14,$M159,AZ$13)="",10^12,OFFSET(PLE!$G$14,$M159,AZ$13))))</f>
        <v>1000000000000</v>
      </c>
      <c r="BA159" s="182">
        <f ca="1">IF($D159&lt;&gt;"Serviço",0,IF(OR(AND(AUTOEVENTO="Manual",$M159=1),$M159&gt;(ROW(PLE.lastrow)-ROW(PLE.firstrow))),0,IF(OFFSET(PLE!$G$14,$M159,BA$13)="",10^12,OFFSET(PLE!$G$14,$M159,BA$13))))</f>
        <v>1000000000000</v>
      </c>
      <c r="BB159" s="182">
        <f ca="1">IF($D159&lt;&gt;"Serviço",0,IF(OR(AND(AUTOEVENTO="Manual",$M159=1),$M159&gt;(ROW(PLE.lastrow)-ROW(PLE.firstrow))),0,IF(OFFSET(PLE!$G$14,$M159,BB$13)="",10^12,OFFSET(PLE!$G$14,$M159,BB$13))))</f>
        <v>1000000000000</v>
      </c>
      <c r="BC159" s="182">
        <f ca="1">IF($D159&lt;&gt;"Serviço",0,IF(OR(AND(AUTOEVENTO="Manual",$M159=1),$M159&gt;(ROW(PLE.lastrow)-ROW(PLE.firstrow))),0,IF(OFFSET(PLE!$G$14,$M159,BC$13)="",10^12,OFFSET(PLE!$G$14,$M159,BC$13))))</f>
        <v>1000000000000</v>
      </c>
      <c r="BD159" s="182">
        <f ca="1">IF($D159&lt;&gt;"Serviço",0,IF(OR(AND(AUTOEVENTO="Manual",$M159=1),$M159&gt;(ROW(PLE.lastrow)-ROW(PLE.firstrow))),0,IF(OFFSET(PLE!$G$14,$M159,BD$13)="",10^12,OFFSET(PLE!$G$14,$M159,BD$13))))</f>
        <v>1000000000000</v>
      </c>
      <c r="BE159" s="182">
        <f ca="1">IF($D159&lt;&gt;"Serviço",0,IF(OR(AND(AUTOEVENTO="Manual",$M159=1),$M159&gt;(ROW(PLE.lastrow)-ROW(PLE.firstrow))),0,IF(OFFSET(PLE!$G$14,$M159,BE$13)="",10^12,OFFSET(PLE!$G$14,$M159,BE$13))))</f>
        <v>1000000000000</v>
      </c>
      <c r="BF159" s="182">
        <f ca="1">IF($D159&lt;&gt;"Serviço",0,IF(OR(AND(AUTOEVENTO="Manual",$M159=1),$M159&gt;(ROW(PLE.lastrow)-ROW(PLE.firstrow))),0,IF(OFFSET(PLE!$G$14,$M159,BF$13)="",10^12,OFFSET(PLE!$G$14,$M159,BF$13))))</f>
        <v>1000000000000</v>
      </c>
      <c r="BG159" s="182">
        <f ca="1">IF($D159&lt;&gt;"Serviço",0,IF(OR(AND(AUTOEVENTO="Manual",$M159=1),$M159&gt;(ROW(PLE.lastrow)-ROW(PLE.firstrow))),0,IF(OFFSET(PLE!$G$14,$M159,BG$13)="",10^12,OFFSET(PLE!$G$14,$M159,BG$13))))</f>
        <v>1000000000000</v>
      </c>
    </row>
    <row r="160" spans="1:59" ht="38.25" x14ac:dyDescent="0.2">
      <c r="A160" s="7" t="str">
        <f t="shared" ca="1" si="10"/>
        <v>108</v>
      </c>
      <c r="B160" s="7" t="str">
        <f ca="1">OFFSET(ORÇAMENTO!C$15,ROW(B160)-ROW(B$15),0)</f>
        <v>S</v>
      </c>
      <c r="C160" s="7" t="str">
        <f ca="1">OFFSET(ORÇAMENTO!L$15,ROW(C160)-ROW(C$15),0)</f>
        <v/>
      </c>
      <c r="D160" s="118" t="str">
        <f ca="1">OFFSET(ORÇAMENTO!N$15,ROW(D160)-ROW(D$15),0)</f>
        <v>Serviço</v>
      </c>
      <c r="E160" s="119" t="str">
        <f ca="1">OFFSET(ORÇAMENTO!O$15,ROW(E160)-ROW(E$15),0)</f>
        <v>-</v>
      </c>
      <c r="F160" s="172" t="str">
        <f ca="1">OFFSET(ORÇAMENTO!R$15,ROW(F160)-ROW(F$15),0)</f>
        <v>(abra o arquivo 'Referência 02-2025.xlsm)</v>
      </c>
      <c r="G160" s="173" t="str">
        <f ca="1">IF($D160&lt;&gt;"Serviço","",OFFSET(ORÇAMENTO!S$15,ROW(G160)-ROW(G$15),0))</f>
        <v>-</v>
      </c>
      <c r="H160" s="124">
        <f ca="1">IF($D160&lt;&gt;"Serviço",0,IF(ACOMPANHAMENTO="BM",ROUND(OFFSET(ORÇAMENTO!AJ$15,ROW(H160)-ROW(H$15),0),15-13*ORÇAMENTO!$AF$7),SUMPRODUCT(($Q$12:$AA$12&lt;&gt;"")*ROUND($Q160:$AA160,15-13*ORÇAMENTO!$AF$7))))</f>
        <v>5.44</v>
      </c>
      <c r="I160" s="561" t="s">
        <v>890</v>
      </c>
      <c r="K160" s="174"/>
      <c r="L160" s="175" t="s">
        <v>255</v>
      </c>
      <c r="M160" s="176">
        <f ca="1">IF($D160&lt;&gt;"Serviço","",IF(AUTOEVENTO="manual",$A160,IF(ISERROR(MATCH($A160,$A$15:OFFSET($A160,-1,0),0)),MAX($M$15:OFFSET(M160,-1,0))+1,INDEX($M$15:OFFSET(M160,-1,0),MATCH($A160,$A$15:OFFSET($A160,-1,0),0)))))</f>
        <v>7</v>
      </c>
      <c r="N160" s="177" t="str">
        <f ca="1">IF($D160&lt;&gt;"Serviço","",IF(AUTOEVENTO="Manual",IF($A160=0,"&lt;-- defina o número do agrupador",OFFSET(EVENTOS!$D$14,$A160,0)),OFFSET($F$15,$A160,0)))</f>
        <v>ESQUADRIAS</v>
      </c>
      <c r="O160" s="178"/>
      <c r="Q160" s="178"/>
      <c r="R160" s="179"/>
      <c r="S160" s="179"/>
      <c r="T160" s="179"/>
      <c r="U160" s="179"/>
      <c r="V160" s="179"/>
      <c r="W160" s="179"/>
      <c r="X160" s="179"/>
      <c r="Y160" s="179"/>
      <c r="Z160" s="180"/>
      <c r="AB160" s="544">
        <f ca="1">IF(AND($D160="Serviço",AB$12&lt;&gt;0,$H160&gt;0,OR(AUTOEVENTO&lt;&gt;"manual",$M160&lt;&gt;1)),
IF(Import.TipoArredondamento&lt;&gt;"TransfereGOV",
ROUND(OFFSET($P160,0,AB$13),15-13*ORÇAMENTO!$AF$7)/$H160*OFFSET(ORÇAMENTO!$X$15,ROW(AB160)-ROW(AB$15),0),
ROUND(ROUND(OFFSET($P160,0,AB$13),15-13*ORÇAMENTO!$AF$7)*OFFSET(ORÇAMENTO!$W$15,ROW(AB160)-ROW(AB$15),0),15-13*ORÇAMENTO!$AF$11)),0)</f>
        <v>0</v>
      </c>
      <c r="AC160" s="545">
        <f ca="1">IF(AND($D160="Serviço",AC$12&lt;&gt;0,$H160&gt;0,OR(AUTOEVENTO&lt;&gt;"manual",$M160&lt;&gt;1)),
IF(Import.TipoArredondamento&lt;&gt;"TransfereGOV",
ROUND(OFFSET($P160,0,AC$13),15-13*ORÇAMENTO!$AF$7)/$H160*OFFSET(ORÇAMENTO!$X$15,ROW(AC160)-ROW(AC$15),0),
ROUND(ROUND(OFFSET($P160,0,AC$13),15-13*ORÇAMENTO!$AF$7)*OFFSET(ORÇAMENTO!$W$15,ROW(AC160)-ROW(AC$15),0),15-13*ORÇAMENTO!$AF$11)),0)</f>
        <v>0</v>
      </c>
      <c r="AD160" s="545">
        <f ca="1">IF(AND($D160="Serviço",AD$12&lt;&gt;0,$H160&gt;0,OR(AUTOEVENTO&lt;&gt;"manual",$M160&lt;&gt;1)),
IF(Import.TipoArredondamento&lt;&gt;"TransfereGOV",
ROUND(OFFSET($P160,0,AD$13),15-13*ORÇAMENTO!$AF$7)/$H160*OFFSET(ORÇAMENTO!$X$15,ROW(AD160)-ROW(AD$15),0),
ROUND(ROUND(OFFSET($P160,0,AD$13),15-13*ORÇAMENTO!$AF$7)*OFFSET(ORÇAMENTO!$W$15,ROW(AD160)-ROW(AD$15),0),15-13*ORÇAMENTO!$AF$11)),0)</f>
        <v>0</v>
      </c>
      <c r="AE160" s="545">
        <f ca="1">IF(AND($D160="Serviço",AE$12&lt;&gt;0,$H160&gt;0,OR(AUTOEVENTO&lt;&gt;"manual",$M160&lt;&gt;1)),
IF(Import.TipoArredondamento&lt;&gt;"TransfereGOV",
ROUND(OFFSET($P160,0,AE$13),15-13*ORÇAMENTO!$AF$7)/$H160*OFFSET(ORÇAMENTO!$X$15,ROW(AE160)-ROW(AE$15),0),
ROUND(ROUND(OFFSET($P160,0,AE$13),15-13*ORÇAMENTO!$AF$7)*OFFSET(ORÇAMENTO!$W$15,ROW(AE160)-ROW(AE$15),0),15-13*ORÇAMENTO!$AF$11)),0)</f>
        <v>0</v>
      </c>
      <c r="AF160" s="545">
        <f ca="1">IF(AND($D160="Serviço",AF$12&lt;&gt;0,$H160&gt;0,OR(AUTOEVENTO&lt;&gt;"manual",$M160&lt;&gt;1)),
IF(Import.TipoArredondamento&lt;&gt;"TransfereGOV",
ROUND(OFFSET($P160,0,AF$13),15-13*ORÇAMENTO!$AF$7)/$H160*OFFSET(ORÇAMENTO!$X$15,ROW(AF160)-ROW(AF$15),0),
ROUND(ROUND(OFFSET($P160,0,AF$13),15-13*ORÇAMENTO!$AF$7)*OFFSET(ORÇAMENTO!$W$15,ROW(AF160)-ROW(AF$15),0),15-13*ORÇAMENTO!$AF$11)),0)</f>
        <v>0</v>
      </c>
      <c r="AG160" s="545">
        <f ca="1">IF(AND($D160="Serviço",AG$12&lt;&gt;0,$H160&gt;0,OR(AUTOEVENTO&lt;&gt;"manual",$M160&lt;&gt;1)),
IF(Import.TipoArredondamento&lt;&gt;"TransfereGOV",
ROUND(OFFSET($P160,0,AG$13),15-13*ORÇAMENTO!$AF$7)/$H160*OFFSET(ORÇAMENTO!$X$15,ROW(AG160)-ROW(AG$15),0),
ROUND(ROUND(OFFSET($P160,0,AG$13),15-13*ORÇAMENTO!$AF$7)*OFFSET(ORÇAMENTO!$W$15,ROW(AG160)-ROW(AG$15),0),15-13*ORÇAMENTO!$AF$11)),0)</f>
        <v>0</v>
      </c>
      <c r="AH160" s="545">
        <f ca="1">IF(AND($D160="Serviço",AH$12&lt;&gt;0,$H160&gt;0,OR(AUTOEVENTO&lt;&gt;"manual",$M160&lt;&gt;1)),
IF(Import.TipoArredondamento&lt;&gt;"TransfereGOV",
ROUND(OFFSET($P160,0,AH$13),15-13*ORÇAMENTO!$AF$7)/$H160*OFFSET(ORÇAMENTO!$X$15,ROW(AH160)-ROW(AH$15),0),
ROUND(ROUND(OFFSET($P160,0,AH$13),15-13*ORÇAMENTO!$AF$7)*OFFSET(ORÇAMENTO!$W$15,ROW(AH160)-ROW(AH$15),0),15-13*ORÇAMENTO!$AF$11)),0)</f>
        <v>0</v>
      </c>
      <c r="AI160" s="545">
        <f ca="1">IF(AND($D160="Serviço",AI$12&lt;&gt;0,$H160&gt;0,OR(AUTOEVENTO&lt;&gt;"manual",$M160&lt;&gt;1)),
IF(Import.TipoArredondamento&lt;&gt;"TransfereGOV",
ROUND(OFFSET($P160,0,AI$13),15-13*ORÇAMENTO!$AF$7)/$H160*OFFSET(ORÇAMENTO!$X$15,ROW(AI160)-ROW(AI$15),0),
ROUND(ROUND(OFFSET($P160,0,AI$13),15-13*ORÇAMENTO!$AF$7)*OFFSET(ORÇAMENTO!$W$15,ROW(AI160)-ROW(AI$15),0),15-13*ORÇAMENTO!$AF$11)),0)</f>
        <v>0</v>
      </c>
      <c r="AJ160" s="545">
        <f ca="1">IF(AND($D160="Serviço",AJ$12&lt;&gt;0,$H160&gt;0,OR(AUTOEVENTO&lt;&gt;"manual",$M160&lt;&gt;1)),
IF(Import.TipoArredondamento&lt;&gt;"TransfereGOV",
ROUND(OFFSET($P160,0,AJ$13),15-13*ORÇAMENTO!$AF$7)/$H160*OFFSET(ORÇAMENTO!$X$15,ROW(AJ160)-ROW(AJ$15),0),
ROUND(ROUND(OFFSET($P160,0,AJ$13),15-13*ORÇAMENTO!$AF$7)*OFFSET(ORÇAMENTO!$W$15,ROW(AJ160)-ROW(AJ$15),0),15-13*ORÇAMENTO!$AF$11)),0)</f>
        <v>0</v>
      </c>
      <c r="AK160" s="546">
        <f ca="1">IF(AND($D160="Serviço",AK$12&lt;&gt;0,$H160&gt;0,OR(AUTOEVENTO&lt;&gt;"manual",$M160&lt;&gt;1)),
IF(Import.TipoArredondamento&lt;&gt;"TransfereGOV",
ROUND(OFFSET($P160,0,AK$13),15-13*ORÇAMENTO!$AF$7)/$H160*OFFSET(ORÇAMENTO!$X$15,ROW(AK160)-ROW(AK$15),0),
ROUND(ROUND(OFFSET($P160,0,AK$13),15-13*ORÇAMENTO!$AF$7)*OFFSET(ORÇAMENTO!$W$15,ROW(AK160)-ROW(AK$15),0),15-13*ORÇAMENTO!$AF$11)),0)</f>
        <v>0</v>
      </c>
      <c r="AM160" s="181">
        <f ca="1">IF($D160&lt;&gt;"Serviço",0,IF(AND(AUTOEVENTO="Manual",$M160=1),0,IF(OFFSET(CRONOPLE!$F$14,$M160,AM$13)="",10^12,OFFSET(CRONOPLE!$F$14,$M160,AM$13))))</f>
        <v>1000000000000</v>
      </c>
      <c r="AN160" s="181">
        <f ca="1">IF($D160&lt;&gt;"Serviço",0,IF(AND(AUTOEVENTO="Manual",$M160=1),0,IF(OFFSET(CRONOPLE!$F$14,$M160,AN$13)="",10^12,OFFSET(CRONOPLE!$F$14,$M160,AN$13))))</f>
        <v>1000000000000</v>
      </c>
      <c r="AO160" s="181">
        <f ca="1">IF($D160&lt;&gt;"Serviço",0,IF(AND(AUTOEVENTO="Manual",$M160=1),0,IF(OFFSET(CRONOPLE!$F$14,$M160,AO$13)="",10^12,OFFSET(CRONOPLE!$F$14,$M160,AO$13))))</f>
        <v>1000000000000</v>
      </c>
      <c r="AP160" s="181">
        <f ca="1">IF($D160&lt;&gt;"Serviço",0,IF(AND(AUTOEVENTO="Manual",$M160=1),0,IF(OFFSET(CRONOPLE!$F$14,$M160,AP$13)="",10^12,OFFSET(CRONOPLE!$F$14,$M160,AP$13))))</f>
        <v>1000000000000</v>
      </c>
      <c r="AQ160" s="181">
        <f ca="1">IF($D160&lt;&gt;"Serviço",0,IF(AND(AUTOEVENTO="Manual",$M160=1),0,IF(OFFSET(CRONOPLE!$F$14,$M160,AQ$13)="",10^12,OFFSET(CRONOPLE!$F$14,$M160,AQ$13))))</f>
        <v>1000000000000</v>
      </c>
      <c r="AR160" s="181">
        <f ca="1">IF($D160&lt;&gt;"Serviço",0,IF(AND(AUTOEVENTO="Manual",$M160=1),0,IF(OFFSET(CRONOPLE!$F$14,$M160,AR$13)="",10^12,OFFSET(CRONOPLE!$F$14,$M160,AR$13))))</f>
        <v>1000000000000</v>
      </c>
      <c r="AS160" s="181">
        <f ca="1">IF($D160&lt;&gt;"Serviço",0,IF(AND(AUTOEVENTO="Manual",$M160=1),0,IF(OFFSET(CRONOPLE!$F$14,$M160,AS$13)="",10^12,OFFSET(CRONOPLE!$F$14,$M160,AS$13))))</f>
        <v>1000000000000</v>
      </c>
      <c r="AT160" s="181">
        <f ca="1">IF($D160&lt;&gt;"Serviço",0,IF(AND(AUTOEVENTO="Manual",$M160=1),0,IF(OFFSET(CRONOPLE!$F$14,$M160,AT$13)="",10^12,OFFSET(CRONOPLE!$F$14,$M160,AT$13))))</f>
        <v>1000000000000</v>
      </c>
      <c r="AU160" s="181">
        <f ca="1">IF($D160&lt;&gt;"Serviço",0,IF(AND(AUTOEVENTO="Manual",$M160=1),0,IF(OFFSET(CRONOPLE!$F$14,$M160,AU$13)="",10^12,OFFSET(CRONOPLE!$F$14,$M160,AU$13))))</f>
        <v>1000000000000</v>
      </c>
      <c r="AV160" s="181">
        <f ca="1">IF($D160&lt;&gt;"Serviço",0,IF(AND(AUTOEVENTO="Manual",$M160=1),0,IF(OFFSET(CRONOPLE!$F$14,$M160,AV$13)="",10^12,OFFSET(CRONOPLE!$F$14,$M160,AV$13))))</f>
        <v>1000000000000</v>
      </c>
      <c r="AX160" s="182">
        <f ca="1">IF($D160&lt;&gt;"Serviço",0,IF(OR(AND(AUTOEVENTO="Manual",$M160=1),$M160&gt;(ROW(PLE.lastrow)-ROW(PLE.firstrow))),0,IF(OFFSET(PLE!$G$14,$M160,AX$13)="",10^12,OFFSET(PLE!$G$14,$M160,AX$13))))</f>
        <v>1000000000000</v>
      </c>
      <c r="AY160" s="182">
        <f ca="1">IF($D160&lt;&gt;"Serviço",0,IF(OR(AND(AUTOEVENTO="Manual",$M160=1),$M160&gt;(ROW(PLE.lastrow)-ROW(PLE.firstrow))),0,IF(OFFSET(PLE!$G$14,$M160,AY$13)="",10^12,OFFSET(PLE!$G$14,$M160,AY$13))))</f>
        <v>1000000000000</v>
      </c>
      <c r="AZ160" s="182">
        <f ca="1">IF($D160&lt;&gt;"Serviço",0,IF(OR(AND(AUTOEVENTO="Manual",$M160=1),$M160&gt;(ROW(PLE.lastrow)-ROW(PLE.firstrow))),0,IF(OFFSET(PLE!$G$14,$M160,AZ$13)="",10^12,OFFSET(PLE!$G$14,$M160,AZ$13))))</f>
        <v>1000000000000</v>
      </c>
      <c r="BA160" s="182">
        <f ca="1">IF($D160&lt;&gt;"Serviço",0,IF(OR(AND(AUTOEVENTO="Manual",$M160=1),$M160&gt;(ROW(PLE.lastrow)-ROW(PLE.firstrow))),0,IF(OFFSET(PLE!$G$14,$M160,BA$13)="",10^12,OFFSET(PLE!$G$14,$M160,BA$13))))</f>
        <v>1000000000000</v>
      </c>
      <c r="BB160" s="182">
        <f ca="1">IF($D160&lt;&gt;"Serviço",0,IF(OR(AND(AUTOEVENTO="Manual",$M160=1),$M160&gt;(ROW(PLE.lastrow)-ROW(PLE.firstrow))),0,IF(OFFSET(PLE!$G$14,$M160,BB$13)="",10^12,OFFSET(PLE!$G$14,$M160,BB$13))))</f>
        <v>1000000000000</v>
      </c>
      <c r="BC160" s="182">
        <f ca="1">IF($D160&lt;&gt;"Serviço",0,IF(OR(AND(AUTOEVENTO="Manual",$M160=1),$M160&gt;(ROW(PLE.lastrow)-ROW(PLE.firstrow))),0,IF(OFFSET(PLE!$G$14,$M160,BC$13)="",10^12,OFFSET(PLE!$G$14,$M160,BC$13))))</f>
        <v>1000000000000</v>
      </c>
      <c r="BD160" s="182">
        <f ca="1">IF($D160&lt;&gt;"Serviço",0,IF(OR(AND(AUTOEVENTO="Manual",$M160=1),$M160&gt;(ROW(PLE.lastrow)-ROW(PLE.firstrow))),0,IF(OFFSET(PLE!$G$14,$M160,BD$13)="",10^12,OFFSET(PLE!$G$14,$M160,BD$13))))</f>
        <v>1000000000000</v>
      </c>
      <c r="BE160" s="182">
        <f ca="1">IF($D160&lt;&gt;"Serviço",0,IF(OR(AND(AUTOEVENTO="Manual",$M160=1),$M160&gt;(ROW(PLE.lastrow)-ROW(PLE.firstrow))),0,IF(OFFSET(PLE!$G$14,$M160,BE$13)="",10^12,OFFSET(PLE!$G$14,$M160,BE$13))))</f>
        <v>1000000000000</v>
      </c>
      <c r="BF160" s="182">
        <f ca="1">IF($D160&lt;&gt;"Serviço",0,IF(OR(AND(AUTOEVENTO="Manual",$M160=1),$M160&gt;(ROW(PLE.lastrow)-ROW(PLE.firstrow))),0,IF(OFFSET(PLE!$G$14,$M160,BF$13)="",10^12,OFFSET(PLE!$G$14,$M160,BF$13))))</f>
        <v>1000000000000</v>
      </c>
      <c r="BG160" s="182">
        <f ca="1">IF($D160&lt;&gt;"Serviço",0,IF(OR(AND(AUTOEVENTO="Manual",$M160=1),$M160&gt;(ROW(PLE.lastrow)-ROW(PLE.firstrow))),0,IF(OFFSET(PLE!$G$14,$M160,BG$13)="",10^12,OFFSET(PLE!$G$14,$M160,BG$13))))</f>
        <v>1000000000000</v>
      </c>
    </row>
    <row r="161" spans="1:59" ht="25.5" x14ac:dyDescent="0.2">
      <c r="A161" s="7" t="str">
        <f t="shared" ca="1" si="10"/>
        <v>108</v>
      </c>
      <c r="B161" s="7" t="str">
        <f ca="1">OFFSET(ORÇAMENTO!C$15,ROW(B161)-ROW(B$15),0)</f>
        <v>S</v>
      </c>
      <c r="C161" s="7" t="str">
        <f ca="1">OFFSET(ORÇAMENTO!L$15,ROW(C161)-ROW(C$15),0)</f>
        <v/>
      </c>
      <c r="D161" s="118" t="str">
        <f ca="1">OFFSET(ORÇAMENTO!N$15,ROW(D161)-ROW(D$15),0)</f>
        <v>Serviço</v>
      </c>
      <c r="E161" s="119" t="str">
        <f ca="1">OFFSET(ORÇAMENTO!O$15,ROW(E161)-ROW(E$15),0)</f>
        <v>-</v>
      </c>
      <c r="F161" s="172" t="str">
        <f ca="1">OFFSET(ORÇAMENTO!R$15,ROW(F161)-ROW(F$15),0)</f>
        <v>(abra o arquivo 'Referência 02-2025.xlsm)</v>
      </c>
      <c r="G161" s="173" t="str">
        <f ca="1">IF($D161&lt;&gt;"Serviço","",OFFSET(ORÇAMENTO!S$15,ROW(G161)-ROW(G$15),0))</f>
        <v>-</v>
      </c>
      <c r="H161" s="124">
        <f ca="1">IF($D161&lt;&gt;"Serviço",0,IF(ACOMPANHAMENTO="BM",ROUND(OFFSET(ORÇAMENTO!AJ$15,ROW(H161)-ROW(H$15),0),15-13*ORÇAMENTO!$AF$7),SUMPRODUCT(($Q$12:$AA$12&lt;&gt;"")*ROUND($Q161:$AA161,15-13*ORÇAMENTO!$AF$7))))</f>
        <v>28.24</v>
      </c>
      <c r="I161" s="561" t="s">
        <v>890</v>
      </c>
      <c r="K161" s="174"/>
      <c r="L161" s="175" t="s">
        <v>255</v>
      </c>
      <c r="M161" s="176">
        <f ca="1">IF($D161&lt;&gt;"Serviço","",IF(AUTOEVENTO="manual",$A161,IF(ISERROR(MATCH($A161,$A$15:OFFSET($A161,-1,0),0)),MAX($M$15:OFFSET(M161,-1,0))+1,INDEX($M$15:OFFSET(M161,-1,0),MATCH($A161,$A$15:OFFSET($A161,-1,0),0)))))</f>
        <v>7</v>
      </c>
      <c r="N161" s="177" t="str">
        <f ca="1">IF($D161&lt;&gt;"Serviço","",IF(AUTOEVENTO="Manual",IF($A161=0,"&lt;-- defina o número do agrupador",OFFSET(EVENTOS!$D$14,$A161,0)),OFFSET($F$15,$A161,0)))</f>
        <v>ESQUADRIAS</v>
      </c>
      <c r="O161" s="178"/>
      <c r="Q161" s="178"/>
      <c r="R161" s="179"/>
      <c r="S161" s="179"/>
      <c r="T161" s="179"/>
      <c r="U161" s="179"/>
      <c r="V161" s="179"/>
      <c r="W161" s="179"/>
      <c r="X161" s="179"/>
      <c r="Y161" s="179"/>
      <c r="Z161" s="180"/>
      <c r="AB161" s="544">
        <f ca="1">IF(AND($D161="Serviço",AB$12&lt;&gt;0,$H161&gt;0,OR(AUTOEVENTO&lt;&gt;"manual",$M161&lt;&gt;1)),
IF(Import.TipoArredondamento&lt;&gt;"TransfereGOV",
ROUND(OFFSET($P161,0,AB$13),15-13*ORÇAMENTO!$AF$7)/$H161*OFFSET(ORÇAMENTO!$X$15,ROW(AB161)-ROW(AB$15),0),
ROUND(ROUND(OFFSET($P161,0,AB$13),15-13*ORÇAMENTO!$AF$7)*OFFSET(ORÇAMENTO!$W$15,ROW(AB161)-ROW(AB$15),0),15-13*ORÇAMENTO!$AF$11)),0)</f>
        <v>0</v>
      </c>
      <c r="AC161" s="545">
        <f ca="1">IF(AND($D161="Serviço",AC$12&lt;&gt;0,$H161&gt;0,OR(AUTOEVENTO&lt;&gt;"manual",$M161&lt;&gt;1)),
IF(Import.TipoArredondamento&lt;&gt;"TransfereGOV",
ROUND(OFFSET($P161,0,AC$13),15-13*ORÇAMENTO!$AF$7)/$H161*OFFSET(ORÇAMENTO!$X$15,ROW(AC161)-ROW(AC$15),0),
ROUND(ROUND(OFFSET($P161,0,AC$13),15-13*ORÇAMENTO!$AF$7)*OFFSET(ORÇAMENTO!$W$15,ROW(AC161)-ROW(AC$15),0),15-13*ORÇAMENTO!$AF$11)),0)</f>
        <v>0</v>
      </c>
      <c r="AD161" s="545">
        <f ca="1">IF(AND($D161="Serviço",AD$12&lt;&gt;0,$H161&gt;0,OR(AUTOEVENTO&lt;&gt;"manual",$M161&lt;&gt;1)),
IF(Import.TipoArredondamento&lt;&gt;"TransfereGOV",
ROUND(OFFSET($P161,0,AD$13),15-13*ORÇAMENTO!$AF$7)/$H161*OFFSET(ORÇAMENTO!$X$15,ROW(AD161)-ROW(AD$15),0),
ROUND(ROUND(OFFSET($P161,0,AD$13),15-13*ORÇAMENTO!$AF$7)*OFFSET(ORÇAMENTO!$W$15,ROW(AD161)-ROW(AD$15),0),15-13*ORÇAMENTO!$AF$11)),0)</f>
        <v>0</v>
      </c>
      <c r="AE161" s="545">
        <f ca="1">IF(AND($D161="Serviço",AE$12&lt;&gt;0,$H161&gt;0,OR(AUTOEVENTO&lt;&gt;"manual",$M161&lt;&gt;1)),
IF(Import.TipoArredondamento&lt;&gt;"TransfereGOV",
ROUND(OFFSET($P161,0,AE$13),15-13*ORÇAMENTO!$AF$7)/$H161*OFFSET(ORÇAMENTO!$X$15,ROW(AE161)-ROW(AE$15),0),
ROUND(ROUND(OFFSET($P161,0,AE$13),15-13*ORÇAMENTO!$AF$7)*OFFSET(ORÇAMENTO!$W$15,ROW(AE161)-ROW(AE$15),0),15-13*ORÇAMENTO!$AF$11)),0)</f>
        <v>0</v>
      </c>
      <c r="AF161" s="545">
        <f ca="1">IF(AND($D161="Serviço",AF$12&lt;&gt;0,$H161&gt;0,OR(AUTOEVENTO&lt;&gt;"manual",$M161&lt;&gt;1)),
IF(Import.TipoArredondamento&lt;&gt;"TransfereGOV",
ROUND(OFFSET($P161,0,AF$13),15-13*ORÇAMENTO!$AF$7)/$H161*OFFSET(ORÇAMENTO!$X$15,ROW(AF161)-ROW(AF$15),0),
ROUND(ROUND(OFFSET($P161,0,AF$13),15-13*ORÇAMENTO!$AF$7)*OFFSET(ORÇAMENTO!$W$15,ROW(AF161)-ROW(AF$15),0),15-13*ORÇAMENTO!$AF$11)),0)</f>
        <v>0</v>
      </c>
      <c r="AG161" s="545">
        <f ca="1">IF(AND($D161="Serviço",AG$12&lt;&gt;0,$H161&gt;0,OR(AUTOEVENTO&lt;&gt;"manual",$M161&lt;&gt;1)),
IF(Import.TipoArredondamento&lt;&gt;"TransfereGOV",
ROUND(OFFSET($P161,0,AG$13),15-13*ORÇAMENTO!$AF$7)/$H161*OFFSET(ORÇAMENTO!$X$15,ROW(AG161)-ROW(AG$15),0),
ROUND(ROUND(OFFSET($P161,0,AG$13),15-13*ORÇAMENTO!$AF$7)*OFFSET(ORÇAMENTO!$W$15,ROW(AG161)-ROW(AG$15),0),15-13*ORÇAMENTO!$AF$11)),0)</f>
        <v>0</v>
      </c>
      <c r="AH161" s="545">
        <f ca="1">IF(AND($D161="Serviço",AH$12&lt;&gt;0,$H161&gt;0,OR(AUTOEVENTO&lt;&gt;"manual",$M161&lt;&gt;1)),
IF(Import.TipoArredondamento&lt;&gt;"TransfereGOV",
ROUND(OFFSET($P161,0,AH$13),15-13*ORÇAMENTO!$AF$7)/$H161*OFFSET(ORÇAMENTO!$X$15,ROW(AH161)-ROW(AH$15),0),
ROUND(ROUND(OFFSET($P161,0,AH$13),15-13*ORÇAMENTO!$AF$7)*OFFSET(ORÇAMENTO!$W$15,ROW(AH161)-ROW(AH$15),0),15-13*ORÇAMENTO!$AF$11)),0)</f>
        <v>0</v>
      </c>
      <c r="AI161" s="545">
        <f ca="1">IF(AND($D161="Serviço",AI$12&lt;&gt;0,$H161&gt;0,OR(AUTOEVENTO&lt;&gt;"manual",$M161&lt;&gt;1)),
IF(Import.TipoArredondamento&lt;&gt;"TransfereGOV",
ROUND(OFFSET($P161,0,AI$13),15-13*ORÇAMENTO!$AF$7)/$H161*OFFSET(ORÇAMENTO!$X$15,ROW(AI161)-ROW(AI$15),0),
ROUND(ROUND(OFFSET($P161,0,AI$13),15-13*ORÇAMENTO!$AF$7)*OFFSET(ORÇAMENTO!$W$15,ROW(AI161)-ROW(AI$15),0),15-13*ORÇAMENTO!$AF$11)),0)</f>
        <v>0</v>
      </c>
      <c r="AJ161" s="545">
        <f ca="1">IF(AND($D161="Serviço",AJ$12&lt;&gt;0,$H161&gt;0,OR(AUTOEVENTO&lt;&gt;"manual",$M161&lt;&gt;1)),
IF(Import.TipoArredondamento&lt;&gt;"TransfereGOV",
ROUND(OFFSET($P161,0,AJ$13),15-13*ORÇAMENTO!$AF$7)/$H161*OFFSET(ORÇAMENTO!$X$15,ROW(AJ161)-ROW(AJ$15),0),
ROUND(ROUND(OFFSET($P161,0,AJ$13),15-13*ORÇAMENTO!$AF$7)*OFFSET(ORÇAMENTO!$W$15,ROW(AJ161)-ROW(AJ$15),0),15-13*ORÇAMENTO!$AF$11)),0)</f>
        <v>0</v>
      </c>
      <c r="AK161" s="546">
        <f ca="1">IF(AND($D161="Serviço",AK$12&lt;&gt;0,$H161&gt;0,OR(AUTOEVENTO&lt;&gt;"manual",$M161&lt;&gt;1)),
IF(Import.TipoArredondamento&lt;&gt;"TransfereGOV",
ROUND(OFFSET($P161,0,AK$13),15-13*ORÇAMENTO!$AF$7)/$H161*OFFSET(ORÇAMENTO!$X$15,ROW(AK161)-ROW(AK$15),0),
ROUND(ROUND(OFFSET($P161,0,AK$13),15-13*ORÇAMENTO!$AF$7)*OFFSET(ORÇAMENTO!$W$15,ROW(AK161)-ROW(AK$15),0),15-13*ORÇAMENTO!$AF$11)),0)</f>
        <v>0</v>
      </c>
      <c r="AM161" s="181">
        <f ca="1">IF($D161&lt;&gt;"Serviço",0,IF(AND(AUTOEVENTO="Manual",$M161=1),0,IF(OFFSET(CRONOPLE!$F$14,$M161,AM$13)="",10^12,OFFSET(CRONOPLE!$F$14,$M161,AM$13))))</f>
        <v>1000000000000</v>
      </c>
      <c r="AN161" s="181">
        <f ca="1">IF($D161&lt;&gt;"Serviço",0,IF(AND(AUTOEVENTO="Manual",$M161=1),0,IF(OFFSET(CRONOPLE!$F$14,$M161,AN$13)="",10^12,OFFSET(CRONOPLE!$F$14,$M161,AN$13))))</f>
        <v>1000000000000</v>
      </c>
      <c r="AO161" s="181">
        <f ca="1">IF($D161&lt;&gt;"Serviço",0,IF(AND(AUTOEVENTO="Manual",$M161=1),0,IF(OFFSET(CRONOPLE!$F$14,$M161,AO$13)="",10^12,OFFSET(CRONOPLE!$F$14,$M161,AO$13))))</f>
        <v>1000000000000</v>
      </c>
      <c r="AP161" s="181">
        <f ca="1">IF($D161&lt;&gt;"Serviço",0,IF(AND(AUTOEVENTO="Manual",$M161=1),0,IF(OFFSET(CRONOPLE!$F$14,$M161,AP$13)="",10^12,OFFSET(CRONOPLE!$F$14,$M161,AP$13))))</f>
        <v>1000000000000</v>
      </c>
      <c r="AQ161" s="181">
        <f ca="1">IF($D161&lt;&gt;"Serviço",0,IF(AND(AUTOEVENTO="Manual",$M161=1),0,IF(OFFSET(CRONOPLE!$F$14,$M161,AQ$13)="",10^12,OFFSET(CRONOPLE!$F$14,$M161,AQ$13))))</f>
        <v>1000000000000</v>
      </c>
      <c r="AR161" s="181">
        <f ca="1">IF($D161&lt;&gt;"Serviço",0,IF(AND(AUTOEVENTO="Manual",$M161=1),0,IF(OFFSET(CRONOPLE!$F$14,$M161,AR$13)="",10^12,OFFSET(CRONOPLE!$F$14,$M161,AR$13))))</f>
        <v>1000000000000</v>
      </c>
      <c r="AS161" s="181">
        <f ca="1">IF($D161&lt;&gt;"Serviço",0,IF(AND(AUTOEVENTO="Manual",$M161=1),0,IF(OFFSET(CRONOPLE!$F$14,$M161,AS$13)="",10^12,OFFSET(CRONOPLE!$F$14,$M161,AS$13))))</f>
        <v>1000000000000</v>
      </c>
      <c r="AT161" s="181">
        <f ca="1">IF($D161&lt;&gt;"Serviço",0,IF(AND(AUTOEVENTO="Manual",$M161=1),0,IF(OFFSET(CRONOPLE!$F$14,$M161,AT$13)="",10^12,OFFSET(CRONOPLE!$F$14,$M161,AT$13))))</f>
        <v>1000000000000</v>
      </c>
      <c r="AU161" s="181">
        <f ca="1">IF($D161&lt;&gt;"Serviço",0,IF(AND(AUTOEVENTO="Manual",$M161=1),0,IF(OFFSET(CRONOPLE!$F$14,$M161,AU$13)="",10^12,OFFSET(CRONOPLE!$F$14,$M161,AU$13))))</f>
        <v>1000000000000</v>
      </c>
      <c r="AV161" s="181">
        <f ca="1">IF($D161&lt;&gt;"Serviço",0,IF(AND(AUTOEVENTO="Manual",$M161=1),0,IF(OFFSET(CRONOPLE!$F$14,$M161,AV$13)="",10^12,OFFSET(CRONOPLE!$F$14,$M161,AV$13))))</f>
        <v>1000000000000</v>
      </c>
      <c r="AX161" s="182">
        <f ca="1">IF($D161&lt;&gt;"Serviço",0,IF(OR(AND(AUTOEVENTO="Manual",$M161=1),$M161&gt;(ROW(PLE.lastrow)-ROW(PLE.firstrow))),0,IF(OFFSET(PLE!$G$14,$M161,AX$13)="",10^12,OFFSET(PLE!$G$14,$M161,AX$13))))</f>
        <v>1000000000000</v>
      </c>
      <c r="AY161" s="182">
        <f ca="1">IF($D161&lt;&gt;"Serviço",0,IF(OR(AND(AUTOEVENTO="Manual",$M161=1),$M161&gt;(ROW(PLE.lastrow)-ROW(PLE.firstrow))),0,IF(OFFSET(PLE!$G$14,$M161,AY$13)="",10^12,OFFSET(PLE!$G$14,$M161,AY$13))))</f>
        <v>1000000000000</v>
      </c>
      <c r="AZ161" s="182">
        <f ca="1">IF($D161&lt;&gt;"Serviço",0,IF(OR(AND(AUTOEVENTO="Manual",$M161=1),$M161&gt;(ROW(PLE.lastrow)-ROW(PLE.firstrow))),0,IF(OFFSET(PLE!$G$14,$M161,AZ$13)="",10^12,OFFSET(PLE!$G$14,$M161,AZ$13))))</f>
        <v>1000000000000</v>
      </c>
      <c r="BA161" s="182">
        <f ca="1">IF($D161&lt;&gt;"Serviço",0,IF(OR(AND(AUTOEVENTO="Manual",$M161=1),$M161&gt;(ROW(PLE.lastrow)-ROW(PLE.firstrow))),0,IF(OFFSET(PLE!$G$14,$M161,BA$13)="",10^12,OFFSET(PLE!$G$14,$M161,BA$13))))</f>
        <v>1000000000000</v>
      </c>
      <c r="BB161" s="182">
        <f ca="1">IF($D161&lt;&gt;"Serviço",0,IF(OR(AND(AUTOEVENTO="Manual",$M161=1),$M161&gt;(ROW(PLE.lastrow)-ROW(PLE.firstrow))),0,IF(OFFSET(PLE!$G$14,$M161,BB$13)="",10^12,OFFSET(PLE!$G$14,$M161,BB$13))))</f>
        <v>1000000000000</v>
      </c>
      <c r="BC161" s="182">
        <f ca="1">IF($D161&lt;&gt;"Serviço",0,IF(OR(AND(AUTOEVENTO="Manual",$M161=1),$M161&gt;(ROW(PLE.lastrow)-ROW(PLE.firstrow))),0,IF(OFFSET(PLE!$G$14,$M161,BC$13)="",10^12,OFFSET(PLE!$G$14,$M161,BC$13))))</f>
        <v>1000000000000</v>
      </c>
      <c r="BD161" s="182">
        <f ca="1">IF($D161&lt;&gt;"Serviço",0,IF(OR(AND(AUTOEVENTO="Manual",$M161=1),$M161&gt;(ROW(PLE.lastrow)-ROW(PLE.firstrow))),0,IF(OFFSET(PLE!$G$14,$M161,BD$13)="",10^12,OFFSET(PLE!$G$14,$M161,BD$13))))</f>
        <v>1000000000000</v>
      </c>
      <c r="BE161" s="182">
        <f ca="1">IF($D161&lt;&gt;"Serviço",0,IF(OR(AND(AUTOEVENTO="Manual",$M161=1),$M161&gt;(ROW(PLE.lastrow)-ROW(PLE.firstrow))),0,IF(OFFSET(PLE!$G$14,$M161,BE$13)="",10^12,OFFSET(PLE!$G$14,$M161,BE$13))))</f>
        <v>1000000000000</v>
      </c>
      <c r="BF161" s="182">
        <f ca="1">IF($D161&lt;&gt;"Serviço",0,IF(OR(AND(AUTOEVENTO="Manual",$M161=1),$M161&gt;(ROW(PLE.lastrow)-ROW(PLE.firstrow))),0,IF(OFFSET(PLE!$G$14,$M161,BF$13)="",10^12,OFFSET(PLE!$G$14,$M161,BF$13))))</f>
        <v>1000000000000</v>
      </c>
      <c r="BG161" s="182">
        <f ca="1">IF($D161&lt;&gt;"Serviço",0,IF(OR(AND(AUTOEVENTO="Manual",$M161=1),$M161&gt;(ROW(PLE.lastrow)-ROW(PLE.firstrow))),0,IF(OFFSET(PLE!$G$14,$M161,BG$13)="",10^12,OFFSET(PLE!$G$14,$M161,BG$13))))</f>
        <v>1000000000000</v>
      </c>
    </row>
    <row r="162" spans="1:59" ht="12.75" x14ac:dyDescent="0.2">
      <c r="A162" s="7" t="str">
        <f t="shared" ca="1" si="10"/>
        <v>108</v>
      </c>
      <c r="B162" s="7">
        <f ca="1">OFFSET(ORÇAMENTO!C$15,ROW(B162)-ROW(B$15),0)</f>
        <v>3</v>
      </c>
      <c r="C162" s="7" t="str">
        <f ca="1">OFFSET(ORÇAMENTO!L$15,ROW(C162)-ROW(C$15),0)</f>
        <v>F</v>
      </c>
      <c r="D162" s="118" t="str">
        <f ca="1">OFFSET(ORÇAMENTO!N$15,ROW(D162)-ROW(D$15),0)</f>
        <v>Nível 3</v>
      </c>
      <c r="E162" s="119" t="str">
        <f ca="1">OFFSET(ORÇAMENTO!O$15,ROW(E162)-ROW(E$15),0)</f>
        <v>1.6.5.</v>
      </c>
      <c r="F162" s="172" t="str">
        <f ca="1">OFFSET(ORÇAMENTO!R$15,ROW(F162)-ROW(F$15),0)</f>
        <v>PORTAS DE VIDRO</v>
      </c>
      <c r="G162" s="173" t="str">
        <f ca="1">IF($D162&lt;&gt;"Serviço","",OFFSET(ORÇAMENTO!S$15,ROW(G162)-ROW(G$15),0))</f>
        <v/>
      </c>
      <c r="H162" s="124">
        <f ca="1">IF($D162&lt;&gt;"Serviço",0,IF(ACOMPANHAMENTO="BM",ROUND(OFFSET(ORÇAMENTO!AJ$15,ROW(H162)-ROW(H$15),0),15-13*ORÇAMENTO!$AF$7),SUMPRODUCT(($Q$12:$AA$12&lt;&gt;"")*ROUND($Q162:$AA162,15-13*ORÇAMENTO!$AF$7))))</f>
        <v>0</v>
      </c>
      <c r="I162" s="561"/>
      <c r="K162" s="174"/>
      <c r="L162" s="175" t="s">
        <v>255</v>
      </c>
      <c r="M162" s="176" t="str">
        <f ca="1">IF($D162&lt;&gt;"Serviço","",IF(AUTOEVENTO="manual",$A162,IF(ISERROR(MATCH($A162,$A$15:OFFSET($A162,-1,0),0)),MAX($M$15:OFFSET(M162,-1,0))+1,INDEX($M$15:OFFSET(M162,-1,0),MATCH($A162,$A$15:OFFSET($A162,-1,0),0)))))</f>
        <v/>
      </c>
      <c r="N162" s="177" t="str">
        <f ca="1">IF($D162&lt;&gt;"Serviço","",IF(AUTOEVENTO="Manual",IF($A162=0,"&lt;-- defina o número do agrupador",OFFSET(EVENTOS!$D$14,$A162,0)),OFFSET($F$15,$A162,0)))</f>
        <v/>
      </c>
      <c r="O162" s="178"/>
      <c r="Q162" s="178"/>
      <c r="R162" s="179"/>
      <c r="S162" s="179"/>
      <c r="T162" s="179"/>
      <c r="U162" s="179"/>
      <c r="V162" s="179"/>
      <c r="W162" s="179"/>
      <c r="X162" s="179"/>
      <c r="Y162" s="179"/>
      <c r="Z162" s="180"/>
      <c r="AB162" s="544">
        <f ca="1">IF(AND($D162="Serviço",AB$12&lt;&gt;0,$H162&gt;0,OR(AUTOEVENTO&lt;&gt;"manual",$M162&lt;&gt;1)),
IF(Import.TipoArredondamento&lt;&gt;"TransfereGOV",
ROUND(OFFSET($P162,0,AB$13),15-13*ORÇAMENTO!$AF$7)/$H162*OFFSET(ORÇAMENTO!$X$15,ROW(AB162)-ROW(AB$15),0),
ROUND(ROUND(OFFSET($P162,0,AB$13),15-13*ORÇAMENTO!$AF$7)*OFFSET(ORÇAMENTO!$W$15,ROW(AB162)-ROW(AB$15),0),15-13*ORÇAMENTO!$AF$11)),0)</f>
        <v>0</v>
      </c>
      <c r="AC162" s="545">
        <f ca="1">IF(AND($D162="Serviço",AC$12&lt;&gt;0,$H162&gt;0,OR(AUTOEVENTO&lt;&gt;"manual",$M162&lt;&gt;1)),
IF(Import.TipoArredondamento&lt;&gt;"TransfereGOV",
ROUND(OFFSET($P162,0,AC$13),15-13*ORÇAMENTO!$AF$7)/$H162*OFFSET(ORÇAMENTO!$X$15,ROW(AC162)-ROW(AC$15),0),
ROUND(ROUND(OFFSET($P162,0,AC$13),15-13*ORÇAMENTO!$AF$7)*OFFSET(ORÇAMENTO!$W$15,ROW(AC162)-ROW(AC$15),0),15-13*ORÇAMENTO!$AF$11)),0)</f>
        <v>0</v>
      </c>
      <c r="AD162" s="545">
        <f ca="1">IF(AND($D162="Serviço",AD$12&lt;&gt;0,$H162&gt;0,OR(AUTOEVENTO&lt;&gt;"manual",$M162&lt;&gt;1)),
IF(Import.TipoArredondamento&lt;&gt;"TransfereGOV",
ROUND(OFFSET($P162,0,AD$13),15-13*ORÇAMENTO!$AF$7)/$H162*OFFSET(ORÇAMENTO!$X$15,ROW(AD162)-ROW(AD$15),0),
ROUND(ROUND(OFFSET($P162,0,AD$13),15-13*ORÇAMENTO!$AF$7)*OFFSET(ORÇAMENTO!$W$15,ROW(AD162)-ROW(AD$15),0),15-13*ORÇAMENTO!$AF$11)),0)</f>
        <v>0</v>
      </c>
      <c r="AE162" s="545">
        <f ca="1">IF(AND($D162="Serviço",AE$12&lt;&gt;0,$H162&gt;0,OR(AUTOEVENTO&lt;&gt;"manual",$M162&lt;&gt;1)),
IF(Import.TipoArredondamento&lt;&gt;"TransfereGOV",
ROUND(OFFSET($P162,0,AE$13),15-13*ORÇAMENTO!$AF$7)/$H162*OFFSET(ORÇAMENTO!$X$15,ROW(AE162)-ROW(AE$15),0),
ROUND(ROUND(OFFSET($P162,0,AE$13),15-13*ORÇAMENTO!$AF$7)*OFFSET(ORÇAMENTO!$W$15,ROW(AE162)-ROW(AE$15),0),15-13*ORÇAMENTO!$AF$11)),0)</f>
        <v>0</v>
      </c>
      <c r="AF162" s="545">
        <f ca="1">IF(AND($D162="Serviço",AF$12&lt;&gt;0,$H162&gt;0,OR(AUTOEVENTO&lt;&gt;"manual",$M162&lt;&gt;1)),
IF(Import.TipoArredondamento&lt;&gt;"TransfereGOV",
ROUND(OFFSET($P162,0,AF$13),15-13*ORÇAMENTO!$AF$7)/$H162*OFFSET(ORÇAMENTO!$X$15,ROW(AF162)-ROW(AF$15),0),
ROUND(ROUND(OFFSET($P162,0,AF$13),15-13*ORÇAMENTO!$AF$7)*OFFSET(ORÇAMENTO!$W$15,ROW(AF162)-ROW(AF$15),0),15-13*ORÇAMENTO!$AF$11)),0)</f>
        <v>0</v>
      </c>
      <c r="AG162" s="545">
        <f ca="1">IF(AND($D162="Serviço",AG$12&lt;&gt;0,$H162&gt;0,OR(AUTOEVENTO&lt;&gt;"manual",$M162&lt;&gt;1)),
IF(Import.TipoArredondamento&lt;&gt;"TransfereGOV",
ROUND(OFFSET($P162,0,AG$13),15-13*ORÇAMENTO!$AF$7)/$H162*OFFSET(ORÇAMENTO!$X$15,ROW(AG162)-ROW(AG$15),0),
ROUND(ROUND(OFFSET($P162,0,AG$13),15-13*ORÇAMENTO!$AF$7)*OFFSET(ORÇAMENTO!$W$15,ROW(AG162)-ROW(AG$15),0),15-13*ORÇAMENTO!$AF$11)),0)</f>
        <v>0</v>
      </c>
      <c r="AH162" s="545">
        <f ca="1">IF(AND($D162="Serviço",AH$12&lt;&gt;0,$H162&gt;0,OR(AUTOEVENTO&lt;&gt;"manual",$M162&lt;&gt;1)),
IF(Import.TipoArredondamento&lt;&gt;"TransfereGOV",
ROUND(OFFSET($P162,0,AH$13),15-13*ORÇAMENTO!$AF$7)/$H162*OFFSET(ORÇAMENTO!$X$15,ROW(AH162)-ROW(AH$15),0),
ROUND(ROUND(OFFSET($P162,0,AH$13),15-13*ORÇAMENTO!$AF$7)*OFFSET(ORÇAMENTO!$W$15,ROW(AH162)-ROW(AH$15),0),15-13*ORÇAMENTO!$AF$11)),0)</f>
        <v>0</v>
      </c>
      <c r="AI162" s="545">
        <f ca="1">IF(AND($D162="Serviço",AI$12&lt;&gt;0,$H162&gt;0,OR(AUTOEVENTO&lt;&gt;"manual",$M162&lt;&gt;1)),
IF(Import.TipoArredondamento&lt;&gt;"TransfereGOV",
ROUND(OFFSET($P162,0,AI$13),15-13*ORÇAMENTO!$AF$7)/$H162*OFFSET(ORÇAMENTO!$X$15,ROW(AI162)-ROW(AI$15),0),
ROUND(ROUND(OFFSET($P162,0,AI$13),15-13*ORÇAMENTO!$AF$7)*OFFSET(ORÇAMENTO!$W$15,ROW(AI162)-ROW(AI$15),0),15-13*ORÇAMENTO!$AF$11)),0)</f>
        <v>0</v>
      </c>
      <c r="AJ162" s="545">
        <f ca="1">IF(AND($D162="Serviço",AJ$12&lt;&gt;0,$H162&gt;0,OR(AUTOEVENTO&lt;&gt;"manual",$M162&lt;&gt;1)),
IF(Import.TipoArredondamento&lt;&gt;"TransfereGOV",
ROUND(OFFSET($P162,0,AJ$13),15-13*ORÇAMENTO!$AF$7)/$H162*OFFSET(ORÇAMENTO!$X$15,ROW(AJ162)-ROW(AJ$15),0),
ROUND(ROUND(OFFSET($P162,0,AJ$13),15-13*ORÇAMENTO!$AF$7)*OFFSET(ORÇAMENTO!$W$15,ROW(AJ162)-ROW(AJ$15),0),15-13*ORÇAMENTO!$AF$11)),0)</f>
        <v>0</v>
      </c>
      <c r="AK162" s="546">
        <f ca="1">IF(AND($D162="Serviço",AK$12&lt;&gt;0,$H162&gt;0,OR(AUTOEVENTO&lt;&gt;"manual",$M162&lt;&gt;1)),
IF(Import.TipoArredondamento&lt;&gt;"TransfereGOV",
ROUND(OFFSET($P162,0,AK$13),15-13*ORÇAMENTO!$AF$7)/$H162*OFFSET(ORÇAMENTO!$X$15,ROW(AK162)-ROW(AK$15),0),
ROUND(ROUND(OFFSET($P162,0,AK$13),15-13*ORÇAMENTO!$AF$7)*OFFSET(ORÇAMENTO!$W$15,ROW(AK162)-ROW(AK$15),0),15-13*ORÇAMENTO!$AF$11)),0)</f>
        <v>0</v>
      </c>
      <c r="AM162" s="181">
        <f ca="1">IF($D162&lt;&gt;"Serviço",0,IF(AND(AUTOEVENTO="Manual",$M162=1),0,IF(OFFSET(CRONOPLE!$F$14,$M162,AM$13)="",10^12,OFFSET(CRONOPLE!$F$14,$M162,AM$13))))</f>
        <v>0</v>
      </c>
      <c r="AN162" s="181">
        <f ca="1">IF($D162&lt;&gt;"Serviço",0,IF(AND(AUTOEVENTO="Manual",$M162=1),0,IF(OFFSET(CRONOPLE!$F$14,$M162,AN$13)="",10^12,OFFSET(CRONOPLE!$F$14,$M162,AN$13))))</f>
        <v>0</v>
      </c>
      <c r="AO162" s="181">
        <f ca="1">IF($D162&lt;&gt;"Serviço",0,IF(AND(AUTOEVENTO="Manual",$M162=1),0,IF(OFFSET(CRONOPLE!$F$14,$M162,AO$13)="",10^12,OFFSET(CRONOPLE!$F$14,$M162,AO$13))))</f>
        <v>0</v>
      </c>
      <c r="AP162" s="181">
        <f ca="1">IF($D162&lt;&gt;"Serviço",0,IF(AND(AUTOEVENTO="Manual",$M162=1),0,IF(OFFSET(CRONOPLE!$F$14,$M162,AP$13)="",10^12,OFFSET(CRONOPLE!$F$14,$M162,AP$13))))</f>
        <v>0</v>
      </c>
      <c r="AQ162" s="181">
        <f ca="1">IF($D162&lt;&gt;"Serviço",0,IF(AND(AUTOEVENTO="Manual",$M162=1),0,IF(OFFSET(CRONOPLE!$F$14,$M162,AQ$13)="",10^12,OFFSET(CRONOPLE!$F$14,$M162,AQ$13))))</f>
        <v>0</v>
      </c>
      <c r="AR162" s="181">
        <f ca="1">IF($D162&lt;&gt;"Serviço",0,IF(AND(AUTOEVENTO="Manual",$M162=1),0,IF(OFFSET(CRONOPLE!$F$14,$M162,AR$13)="",10^12,OFFSET(CRONOPLE!$F$14,$M162,AR$13))))</f>
        <v>0</v>
      </c>
      <c r="AS162" s="181">
        <f ca="1">IF($D162&lt;&gt;"Serviço",0,IF(AND(AUTOEVENTO="Manual",$M162=1),0,IF(OFFSET(CRONOPLE!$F$14,$M162,AS$13)="",10^12,OFFSET(CRONOPLE!$F$14,$M162,AS$13))))</f>
        <v>0</v>
      </c>
      <c r="AT162" s="181">
        <f ca="1">IF($D162&lt;&gt;"Serviço",0,IF(AND(AUTOEVENTO="Manual",$M162=1),0,IF(OFFSET(CRONOPLE!$F$14,$M162,AT$13)="",10^12,OFFSET(CRONOPLE!$F$14,$M162,AT$13))))</f>
        <v>0</v>
      </c>
      <c r="AU162" s="181">
        <f ca="1">IF($D162&lt;&gt;"Serviço",0,IF(AND(AUTOEVENTO="Manual",$M162=1),0,IF(OFFSET(CRONOPLE!$F$14,$M162,AU$13)="",10^12,OFFSET(CRONOPLE!$F$14,$M162,AU$13))))</f>
        <v>0</v>
      </c>
      <c r="AV162" s="181">
        <f ca="1">IF($D162&lt;&gt;"Serviço",0,IF(AND(AUTOEVENTO="Manual",$M162=1),0,IF(OFFSET(CRONOPLE!$F$14,$M162,AV$13)="",10^12,OFFSET(CRONOPLE!$F$14,$M162,AV$13))))</f>
        <v>0</v>
      </c>
      <c r="AX162" s="182">
        <f ca="1">IF($D162&lt;&gt;"Serviço",0,IF(OR(AND(AUTOEVENTO="Manual",$M162=1),$M162&gt;(ROW(PLE.lastrow)-ROW(PLE.firstrow))),0,IF(OFFSET(PLE!$G$14,$M162,AX$13)="",10^12,OFFSET(PLE!$G$14,$M162,AX$13))))</f>
        <v>0</v>
      </c>
      <c r="AY162" s="182">
        <f ca="1">IF($D162&lt;&gt;"Serviço",0,IF(OR(AND(AUTOEVENTO="Manual",$M162=1),$M162&gt;(ROW(PLE.lastrow)-ROW(PLE.firstrow))),0,IF(OFFSET(PLE!$G$14,$M162,AY$13)="",10^12,OFFSET(PLE!$G$14,$M162,AY$13))))</f>
        <v>0</v>
      </c>
      <c r="AZ162" s="182">
        <f ca="1">IF($D162&lt;&gt;"Serviço",0,IF(OR(AND(AUTOEVENTO="Manual",$M162=1),$M162&gt;(ROW(PLE.lastrow)-ROW(PLE.firstrow))),0,IF(OFFSET(PLE!$G$14,$M162,AZ$13)="",10^12,OFFSET(PLE!$G$14,$M162,AZ$13))))</f>
        <v>0</v>
      </c>
      <c r="BA162" s="182">
        <f ca="1">IF($D162&lt;&gt;"Serviço",0,IF(OR(AND(AUTOEVENTO="Manual",$M162=1),$M162&gt;(ROW(PLE.lastrow)-ROW(PLE.firstrow))),0,IF(OFFSET(PLE!$G$14,$M162,BA$13)="",10^12,OFFSET(PLE!$G$14,$M162,BA$13))))</f>
        <v>0</v>
      </c>
      <c r="BB162" s="182">
        <f ca="1">IF($D162&lt;&gt;"Serviço",0,IF(OR(AND(AUTOEVENTO="Manual",$M162=1),$M162&gt;(ROW(PLE.lastrow)-ROW(PLE.firstrow))),0,IF(OFFSET(PLE!$G$14,$M162,BB$13)="",10^12,OFFSET(PLE!$G$14,$M162,BB$13))))</f>
        <v>0</v>
      </c>
      <c r="BC162" s="182">
        <f ca="1">IF($D162&lt;&gt;"Serviço",0,IF(OR(AND(AUTOEVENTO="Manual",$M162=1),$M162&gt;(ROW(PLE.lastrow)-ROW(PLE.firstrow))),0,IF(OFFSET(PLE!$G$14,$M162,BC$13)="",10^12,OFFSET(PLE!$G$14,$M162,BC$13))))</f>
        <v>0</v>
      </c>
      <c r="BD162" s="182">
        <f ca="1">IF($D162&lt;&gt;"Serviço",0,IF(OR(AND(AUTOEVENTO="Manual",$M162=1),$M162&gt;(ROW(PLE.lastrow)-ROW(PLE.firstrow))),0,IF(OFFSET(PLE!$G$14,$M162,BD$13)="",10^12,OFFSET(PLE!$G$14,$M162,BD$13))))</f>
        <v>0</v>
      </c>
      <c r="BE162" s="182">
        <f ca="1">IF($D162&lt;&gt;"Serviço",0,IF(OR(AND(AUTOEVENTO="Manual",$M162=1),$M162&gt;(ROW(PLE.lastrow)-ROW(PLE.firstrow))),0,IF(OFFSET(PLE!$G$14,$M162,BE$13)="",10^12,OFFSET(PLE!$G$14,$M162,BE$13))))</f>
        <v>0</v>
      </c>
      <c r="BF162" s="182">
        <f ca="1">IF($D162&lt;&gt;"Serviço",0,IF(OR(AND(AUTOEVENTO="Manual",$M162=1),$M162&gt;(ROW(PLE.lastrow)-ROW(PLE.firstrow))),0,IF(OFFSET(PLE!$G$14,$M162,BF$13)="",10^12,OFFSET(PLE!$G$14,$M162,BF$13))))</f>
        <v>0</v>
      </c>
      <c r="BG162" s="182">
        <f ca="1">IF($D162&lt;&gt;"Serviço",0,IF(OR(AND(AUTOEVENTO="Manual",$M162=1),$M162&gt;(ROW(PLE.lastrow)-ROW(PLE.firstrow))),0,IF(OFFSET(PLE!$G$14,$M162,BG$13)="",10^12,OFFSET(PLE!$G$14,$M162,BG$13))))</f>
        <v>0</v>
      </c>
    </row>
    <row r="163" spans="1:59" ht="25.5" x14ac:dyDescent="0.2">
      <c r="A163" s="7" t="str">
        <f t="shared" ca="1" si="10"/>
        <v>108</v>
      </c>
      <c r="B163" s="7" t="str">
        <f ca="1">OFFSET(ORÇAMENTO!C$15,ROW(B163)-ROW(B$15),0)</f>
        <v>S</v>
      </c>
      <c r="C163" s="7" t="str">
        <f ca="1">OFFSET(ORÇAMENTO!L$15,ROW(C163)-ROW(C$15),0)</f>
        <v/>
      </c>
      <c r="D163" s="118" t="str">
        <f ca="1">OFFSET(ORÇAMENTO!N$15,ROW(D163)-ROW(D$15),0)</f>
        <v>Serviço</v>
      </c>
      <c r="E163" s="119" t="str">
        <f ca="1">OFFSET(ORÇAMENTO!O$15,ROW(E163)-ROW(E$15),0)</f>
        <v>-</v>
      </c>
      <c r="F163" s="172" t="str">
        <f ca="1">OFFSET(ORÇAMENTO!R$15,ROW(F163)-ROW(F$15),0)</f>
        <v>(abra o arquivo 'Referência 02-2025.xlsm)</v>
      </c>
      <c r="G163" s="173" t="str">
        <f ca="1">IF($D163&lt;&gt;"Serviço","",OFFSET(ORÇAMENTO!S$15,ROW(G163)-ROW(G$15),0))</f>
        <v>-</v>
      </c>
      <c r="H163" s="124">
        <f ca="1">IF($D163&lt;&gt;"Serviço",0,IF(ACOMPANHAMENTO="BM",ROUND(OFFSET(ORÇAMENTO!AJ$15,ROW(H163)-ROW(H$15),0),15-13*ORÇAMENTO!$AF$7),SUMPRODUCT(($Q$12:$AA$12&lt;&gt;"")*ROUND($Q163:$AA163,15-13*ORÇAMENTO!$AF$7))))</f>
        <v>8.51</v>
      </c>
      <c r="I163" s="561" t="s">
        <v>890</v>
      </c>
      <c r="K163" s="174"/>
      <c r="L163" s="175" t="s">
        <v>255</v>
      </c>
      <c r="M163" s="176">
        <f ca="1">IF($D163&lt;&gt;"Serviço","",IF(AUTOEVENTO="manual",$A163,IF(ISERROR(MATCH($A163,$A$15:OFFSET($A163,-1,0),0)),MAX($M$15:OFFSET(M163,-1,0))+1,INDEX($M$15:OFFSET(M163,-1,0),MATCH($A163,$A$15:OFFSET($A163,-1,0),0)))))</f>
        <v>7</v>
      </c>
      <c r="N163" s="177" t="str">
        <f ca="1">IF($D163&lt;&gt;"Serviço","",IF(AUTOEVENTO="Manual",IF($A163=0,"&lt;-- defina o número do agrupador",OFFSET(EVENTOS!$D$14,$A163,0)),OFFSET($F$15,$A163,0)))</f>
        <v>ESQUADRIAS</v>
      </c>
      <c r="O163" s="178"/>
      <c r="Q163" s="178"/>
      <c r="R163" s="179"/>
      <c r="S163" s="179"/>
      <c r="T163" s="179"/>
      <c r="U163" s="179"/>
      <c r="V163" s="179"/>
      <c r="W163" s="179"/>
      <c r="X163" s="179"/>
      <c r="Y163" s="179"/>
      <c r="Z163" s="180"/>
      <c r="AB163" s="544">
        <f ca="1">IF(AND($D163="Serviço",AB$12&lt;&gt;0,$H163&gt;0,OR(AUTOEVENTO&lt;&gt;"manual",$M163&lt;&gt;1)),
IF(Import.TipoArredondamento&lt;&gt;"TransfereGOV",
ROUND(OFFSET($P163,0,AB$13),15-13*ORÇAMENTO!$AF$7)/$H163*OFFSET(ORÇAMENTO!$X$15,ROW(AB163)-ROW(AB$15),0),
ROUND(ROUND(OFFSET($P163,0,AB$13),15-13*ORÇAMENTO!$AF$7)*OFFSET(ORÇAMENTO!$W$15,ROW(AB163)-ROW(AB$15),0),15-13*ORÇAMENTO!$AF$11)),0)</f>
        <v>0</v>
      </c>
      <c r="AC163" s="545">
        <f ca="1">IF(AND($D163="Serviço",AC$12&lt;&gt;0,$H163&gt;0,OR(AUTOEVENTO&lt;&gt;"manual",$M163&lt;&gt;1)),
IF(Import.TipoArredondamento&lt;&gt;"TransfereGOV",
ROUND(OFFSET($P163,0,AC$13),15-13*ORÇAMENTO!$AF$7)/$H163*OFFSET(ORÇAMENTO!$X$15,ROW(AC163)-ROW(AC$15),0),
ROUND(ROUND(OFFSET($P163,0,AC$13),15-13*ORÇAMENTO!$AF$7)*OFFSET(ORÇAMENTO!$W$15,ROW(AC163)-ROW(AC$15),0),15-13*ORÇAMENTO!$AF$11)),0)</f>
        <v>0</v>
      </c>
      <c r="AD163" s="545">
        <f ca="1">IF(AND($D163="Serviço",AD$12&lt;&gt;0,$H163&gt;0,OR(AUTOEVENTO&lt;&gt;"manual",$M163&lt;&gt;1)),
IF(Import.TipoArredondamento&lt;&gt;"TransfereGOV",
ROUND(OFFSET($P163,0,AD$13),15-13*ORÇAMENTO!$AF$7)/$H163*OFFSET(ORÇAMENTO!$X$15,ROW(AD163)-ROW(AD$15),0),
ROUND(ROUND(OFFSET($P163,0,AD$13),15-13*ORÇAMENTO!$AF$7)*OFFSET(ORÇAMENTO!$W$15,ROW(AD163)-ROW(AD$15),0),15-13*ORÇAMENTO!$AF$11)),0)</f>
        <v>0</v>
      </c>
      <c r="AE163" s="545">
        <f ca="1">IF(AND($D163="Serviço",AE$12&lt;&gt;0,$H163&gt;0,OR(AUTOEVENTO&lt;&gt;"manual",$M163&lt;&gt;1)),
IF(Import.TipoArredondamento&lt;&gt;"TransfereGOV",
ROUND(OFFSET($P163,0,AE$13),15-13*ORÇAMENTO!$AF$7)/$H163*OFFSET(ORÇAMENTO!$X$15,ROW(AE163)-ROW(AE$15),0),
ROUND(ROUND(OFFSET($P163,0,AE$13),15-13*ORÇAMENTO!$AF$7)*OFFSET(ORÇAMENTO!$W$15,ROW(AE163)-ROW(AE$15),0),15-13*ORÇAMENTO!$AF$11)),0)</f>
        <v>0</v>
      </c>
      <c r="AF163" s="545">
        <f ca="1">IF(AND($D163="Serviço",AF$12&lt;&gt;0,$H163&gt;0,OR(AUTOEVENTO&lt;&gt;"manual",$M163&lt;&gt;1)),
IF(Import.TipoArredondamento&lt;&gt;"TransfereGOV",
ROUND(OFFSET($P163,0,AF$13),15-13*ORÇAMENTO!$AF$7)/$H163*OFFSET(ORÇAMENTO!$X$15,ROW(AF163)-ROW(AF$15),0),
ROUND(ROUND(OFFSET($P163,0,AF$13),15-13*ORÇAMENTO!$AF$7)*OFFSET(ORÇAMENTO!$W$15,ROW(AF163)-ROW(AF$15),0),15-13*ORÇAMENTO!$AF$11)),0)</f>
        <v>0</v>
      </c>
      <c r="AG163" s="545">
        <f ca="1">IF(AND($D163="Serviço",AG$12&lt;&gt;0,$H163&gt;0,OR(AUTOEVENTO&lt;&gt;"manual",$M163&lt;&gt;1)),
IF(Import.TipoArredondamento&lt;&gt;"TransfereGOV",
ROUND(OFFSET($P163,0,AG$13),15-13*ORÇAMENTO!$AF$7)/$H163*OFFSET(ORÇAMENTO!$X$15,ROW(AG163)-ROW(AG$15),0),
ROUND(ROUND(OFFSET($P163,0,AG$13),15-13*ORÇAMENTO!$AF$7)*OFFSET(ORÇAMENTO!$W$15,ROW(AG163)-ROW(AG$15),0),15-13*ORÇAMENTO!$AF$11)),0)</f>
        <v>0</v>
      </c>
      <c r="AH163" s="545">
        <f ca="1">IF(AND($D163="Serviço",AH$12&lt;&gt;0,$H163&gt;0,OR(AUTOEVENTO&lt;&gt;"manual",$M163&lt;&gt;1)),
IF(Import.TipoArredondamento&lt;&gt;"TransfereGOV",
ROUND(OFFSET($P163,0,AH$13),15-13*ORÇAMENTO!$AF$7)/$H163*OFFSET(ORÇAMENTO!$X$15,ROW(AH163)-ROW(AH$15),0),
ROUND(ROUND(OFFSET($P163,0,AH$13),15-13*ORÇAMENTO!$AF$7)*OFFSET(ORÇAMENTO!$W$15,ROW(AH163)-ROW(AH$15),0),15-13*ORÇAMENTO!$AF$11)),0)</f>
        <v>0</v>
      </c>
      <c r="AI163" s="545">
        <f ca="1">IF(AND($D163="Serviço",AI$12&lt;&gt;0,$H163&gt;0,OR(AUTOEVENTO&lt;&gt;"manual",$M163&lt;&gt;1)),
IF(Import.TipoArredondamento&lt;&gt;"TransfereGOV",
ROUND(OFFSET($P163,0,AI$13),15-13*ORÇAMENTO!$AF$7)/$H163*OFFSET(ORÇAMENTO!$X$15,ROW(AI163)-ROW(AI$15),0),
ROUND(ROUND(OFFSET($P163,0,AI$13),15-13*ORÇAMENTO!$AF$7)*OFFSET(ORÇAMENTO!$W$15,ROW(AI163)-ROW(AI$15),0),15-13*ORÇAMENTO!$AF$11)),0)</f>
        <v>0</v>
      </c>
      <c r="AJ163" s="545">
        <f ca="1">IF(AND($D163="Serviço",AJ$12&lt;&gt;0,$H163&gt;0,OR(AUTOEVENTO&lt;&gt;"manual",$M163&lt;&gt;1)),
IF(Import.TipoArredondamento&lt;&gt;"TransfereGOV",
ROUND(OFFSET($P163,0,AJ$13),15-13*ORÇAMENTO!$AF$7)/$H163*OFFSET(ORÇAMENTO!$X$15,ROW(AJ163)-ROW(AJ$15),0),
ROUND(ROUND(OFFSET($P163,0,AJ$13),15-13*ORÇAMENTO!$AF$7)*OFFSET(ORÇAMENTO!$W$15,ROW(AJ163)-ROW(AJ$15),0),15-13*ORÇAMENTO!$AF$11)),0)</f>
        <v>0</v>
      </c>
      <c r="AK163" s="546">
        <f ca="1">IF(AND($D163="Serviço",AK$12&lt;&gt;0,$H163&gt;0,OR(AUTOEVENTO&lt;&gt;"manual",$M163&lt;&gt;1)),
IF(Import.TipoArredondamento&lt;&gt;"TransfereGOV",
ROUND(OFFSET($P163,0,AK$13),15-13*ORÇAMENTO!$AF$7)/$H163*OFFSET(ORÇAMENTO!$X$15,ROW(AK163)-ROW(AK$15),0),
ROUND(ROUND(OFFSET($P163,0,AK$13),15-13*ORÇAMENTO!$AF$7)*OFFSET(ORÇAMENTO!$W$15,ROW(AK163)-ROW(AK$15),0),15-13*ORÇAMENTO!$AF$11)),0)</f>
        <v>0</v>
      </c>
      <c r="AM163" s="181">
        <f ca="1">IF($D163&lt;&gt;"Serviço",0,IF(AND(AUTOEVENTO="Manual",$M163=1),0,IF(OFFSET(CRONOPLE!$F$14,$M163,AM$13)="",10^12,OFFSET(CRONOPLE!$F$14,$M163,AM$13))))</f>
        <v>1000000000000</v>
      </c>
      <c r="AN163" s="181">
        <f ca="1">IF($D163&lt;&gt;"Serviço",0,IF(AND(AUTOEVENTO="Manual",$M163=1),0,IF(OFFSET(CRONOPLE!$F$14,$M163,AN$13)="",10^12,OFFSET(CRONOPLE!$F$14,$M163,AN$13))))</f>
        <v>1000000000000</v>
      </c>
      <c r="AO163" s="181">
        <f ca="1">IF($D163&lt;&gt;"Serviço",0,IF(AND(AUTOEVENTO="Manual",$M163=1),0,IF(OFFSET(CRONOPLE!$F$14,$M163,AO$13)="",10^12,OFFSET(CRONOPLE!$F$14,$M163,AO$13))))</f>
        <v>1000000000000</v>
      </c>
      <c r="AP163" s="181">
        <f ca="1">IF($D163&lt;&gt;"Serviço",0,IF(AND(AUTOEVENTO="Manual",$M163=1),0,IF(OFFSET(CRONOPLE!$F$14,$M163,AP$13)="",10^12,OFFSET(CRONOPLE!$F$14,$M163,AP$13))))</f>
        <v>1000000000000</v>
      </c>
      <c r="AQ163" s="181">
        <f ca="1">IF($D163&lt;&gt;"Serviço",0,IF(AND(AUTOEVENTO="Manual",$M163=1),0,IF(OFFSET(CRONOPLE!$F$14,$M163,AQ$13)="",10^12,OFFSET(CRONOPLE!$F$14,$M163,AQ$13))))</f>
        <v>1000000000000</v>
      </c>
      <c r="AR163" s="181">
        <f ca="1">IF($D163&lt;&gt;"Serviço",0,IF(AND(AUTOEVENTO="Manual",$M163=1),0,IF(OFFSET(CRONOPLE!$F$14,$M163,AR$13)="",10^12,OFFSET(CRONOPLE!$F$14,$M163,AR$13))))</f>
        <v>1000000000000</v>
      </c>
      <c r="AS163" s="181">
        <f ca="1">IF($D163&lt;&gt;"Serviço",0,IF(AND(AUTOEVENTO="Manual",$M163=1),0,IF(OFFSET(CRONOPLE!$F$14,$M163,AS$13)="",10^12,OFFSET(CRONOPLE!$F$14,$M163,AS$13))))</f>
        <v>1000000000000</v>
      </c>
      <c r="AT163" s="181">
        <f ca="1">IF($D163&lt;&gt;"Serviço",0,IF(AND(AUTOEVENTO="Manual",$M163=1),0,IF(OFFSET(CRONOPLE!$F$14,$M163,AT$13)="",10^12,OFFSET(CRONOPLE!$F$14,$M163,AT$13))))</f>
        <v>1000000000000</v>
      </c>
      <c r="AU163" s="181">
        <f ca="1">IF($D163&lt;&gt;"Serviço",0,IF(AND(AUTOEVENTO="Manual",$M163=1),0,IF(OFFSET(CRONOPLE!$F$14,$M163,AU$13)="",10^12,OFFSET(CRONOPLE!$F$14,$M163,AU$13))))</f>
        <v>1000000000000</v>
      </c>
      <c r="AV163" s="181">
        <f ca="1">IF($D163&lt;&gt;"Serviço",0,IF(AND(AUTOEVENTO="Manual",$M163=1),0,IF(OFFSET(CRONOPLE!$F$14,$M163,AV$13)="",10^12,OFFSET(CRONOPLE!$F$14,$M163,AV$13))))</f>
        <v>1000000000000</v>
      </c>
      <c r="AX163" s="182">
        <f ca="1">IF($D163&lt;&gt;"Serviço",0,IF(OR(AND(AUTOEVENTO="Manual",$M163=1),$M163&gt;(ROW(PLE.lastrow)-ROW(PLE.firstrow))),0,IF(OFFSET(PLE!$G$14,$M163,AX$13)="",10^12,OFFSET(PLE!$G$14,$M163,AX$13))))</f>
        <v>1000000000000</v>
      </c>
      <c r="AY163" s="182">
        <f ca="1">IF($D163&lt;&gt;"Serviço",0,IF(OR(AND(AUTOEVENTO="Manual",$M163=1),$M163&gt;(ROW(PLE.lastrow)-ROW(PLE.firstrow))),0,IF(OFFSET(PLE!$G$14,$M163,AY$13)="",10^12,OFFSET(PLE!$G$14,$M163,AY$13))))</f>
        <v>1000000000000</v>
      </c>
      <c r="AZ163" s="182">
        <f ca="1">IF($D163&lt;&gt;"Serviço",0,IF(OR(AND(AUTOEVENTO="Manual",$M163=1),$M163&gt;(ROW(PLE.lastrow)-ROW(PLE.firstrow))),0,IF(OFFSET(PLE!$G$14,$M163,AZ$13)="",10^12,OFFSET(PLE!$G$14,$M163,AZ$13))))</f>
        <v>1000000000000</v>
      </c>
      <c r="BA163" s="182">
        <f ca="1">IF($D163&lt;&gt;"Serviço",0,IF(OR(AND(AUTOEVENTO="Manual",$M163=1),$M163&gt;(ROW(PLE.lastrow)-ROW(PLE.firstrow))),0,IF(OFFSET(PLE!$G$14,$M163,BA$13)="",10^12,OFFSET(PLE!$G$14,$M163,BA$13))))</f>
        <v>1000000000000</v>
      </c>
      <c r="BB163" s="182">
        <f ca="1">IF($D163&lt;&gt;"Serviço",0,IF(OR(AND(AUTOEVENTO="Manual",$M163=1),$M163&gt;(ROW(PLE.lastrow)-ROW(PLE.firstrow))),0,IF(OFFSET(PLE!$G$14,$M163,BB$13)="",10^12,OFFSET(PLE!$G$14,$M163,BB$13))))</f>
        <v>1000000000000</v>
      </c>
      <c r="BC163" s="182">
        <f ca="1">IF($D163&lt;&gt;"Serviço",0,IF(OR(AND(AUTOEVENTO="Manual",$M163=1),$M163&gt;(ROW(PLE.lastrow)-ROW(PLE.firstrow))),0,IF(OFFSET(PLE!$G$14,$M163,BC$13)="",10^12,OFFSET(PLE!$G$14,$M163,BC$13))))</f>
        <v>1000000000000</v>
      </c>
      <c r="BD163" s="182">
        <f ca="1">IF($D163&lt;&gt;"Serviço",0,IF(OR(AND(AUTOEVENTO="Manual",$M163=1),$M163&gt;(ROW(PLE.lastrow)-ROW(PLE.firstrow))),0,IF(OFFSET(PLE!$G$14,$M163,BD$13)="",10^12,OFFSET(PLE!$G$14,$M163,BD$13))))</f>
        <v>1000000000000</v>
      </c>
      <c r="BE163" s="182">
        <f ca="1">IF($D163&lt;&gt;"Serviço",0,IF(OR(AND(AUTOEVENTO="Manual",$M163=1),$M163&gt;(ROW(PLE.lastrow)-ROW(PLE.firstrow))),0,IF(OFFSET(PLE!$G$14,$M163,BE$13)="",10^12,OFFSET(PLE!$G$14,$M163,BE$13))))</f>
        <v>1000000000000</v>
      </c>
      <c r="BF163" s="182">
        <f ca="1">IF($D163&lt;&gt;"Serviço",0,IF(OR(AND(AUTOEVENTO="Manual",$M163=1),$M163&gt;(ROW(PLE.lastrow)-ROW(PLE.firstrow))),0,IF(OFFSET(PLE!$G$14,$M163,BF$13)="",10^12,OFFSET(PLE!$G$14,$M163,BF$13))))</f>
        <v>1000000000000</v>
      </c>
      <c r="BG163" s="182">
        <f ca="1">IF($D163&lt;&gt;"Serviço",0,IF(OR(AND(AUTOEVENTO="Manual",$M163=1),$M163&gt;(ROW(PLE.lastrow)-ROW(PLE.firstrow))),0,IF(OFFSET(PLE!$G$14,$M163,BG$13)="",10^12,OFFSET(PLE!$G$14,$M163,BG$13))))</f>
        <v>1000000000000</v>
      </c>
    </row>
    <row r="164" spans="1:59" ht="38.25" x14ac:dyDescent="0.2">
      <c r="A164" s="7" t="str">
        <f t="shared" ca="1" si="10"/>
        <v>108</v>
      </c>
      <c r="B164" s="7" t="str">
        <f ca="1">OFFSET(ORÇAMENTO!C$15,ROW(B164)-ROW(B$15),0)</f>
        <v>S</v>
      </c>
      <c r="C164" s="7" t="str">
        <f ca="1">OFFSET(ORÇAMENTO!L$15,ROW(C164)-ROW(C$15),0)</f>
        <v/>
      </c>
      <c r="D164" s="118" t="str">
        <f ca="1">OFFSET(ORÇAMENTO!N$15,ROW(D164)-ROW(D$15),0)</f>
        <v>Serviço</v>
      </c>
      <c r="E164" s="119" t="str">
        <f ca="1">OFFSET(ORÇAMENTO!O$15,ROW(E164)-ROW(E$15),0)</f>
        <v>-</v>
      </c>
      <c r="F164" s="172" t="str">
        <f ca="1">OFFSET(ORÇAMENTO!R$15,ROW(F164)-ROW(F$15),0)</f>
        <v>(abra o arquivo 'Referência 02-2025.xlsm)</v>
      </c>
      <c r="G164" s="173" t="str">
        <f ca="1">IF($D164&lt;&gt;"Serviço","",OFFSET(ORÇAMENTO!S$15,ROW(G164)-ROW(G$15),0))</f>
        <v>-</v>
      </c>
      <c r="H164" s="124">
        <f ca="1">IF($D164&lt;&gt;"Serviço",0,IF(ACOMPANHAMENTO="BM",ROUND(OFFSET(ORÇAMENTO!AJ$15,ROW(H164)-ROW(H$15),0),15-13*ORÇAMENTO!$AF$7),SUMPRODUCT(($Q$12:$AA$12&lt;&gt;"")*ROUND($Q164:$AA164,15-13*ORÇAMENTO!$AF$7))))</f>
        <v>7.55</v>
      </c>
      <c r="I164" s="561" t="s">
        <v>890</v>
      </c>
      <c r="K164" s="174"/>
      <c r="L164" s="175" t="s">
        <v>255</v>
      </c>
      <c r="M164" s="176">
        <f ca="1">IF($D164&lt;&gt;"Serviço","",IF(AUTOEVENTO="manual",$A164,IF(ISERROR(MATCH($A164,$A$15:OFFSET($A164,-1,0),0)),MAX($M$15:OFFSET(M164,-1,0))+1,INDEX($M$15:OFFSET(M164,-1,0),MATCH($A164,$A$15:OFFSET($A164,-1,0),0)))))</f>
        <v>7</v>
      </c>
      <c r="N164" s="177" t="str">
        <f ca="1">IF($D164&lt;&gt;"Serviço","",IF(AUTOEVENTO="Manual",IF($A164=0,"&lt;-- defina o número do agrupador",OFFSET(EVENTOS!$D$14,$A164,0)),OFFSET($F$15,$A164,0)))</f>
        <v>ESQUADRIAS</v>
      </c>
      <c r="O164" s="178"/>
      <c r="Q164" s="178"/>
      <c r="R164" s="179"/>
      <c r="S164" s="179"/>
      <c r="T164" s="179"/>
      <c r="U164" s="179"/>
      <c r="V164" s="179"/>
      <c r="W164" s="179"/>
      <c r="X164" s="179"/>
      <c r="Y164" s="179"/>
      <c r="Z164" s="180"/>
      <c r="AB164" s="544">
        <f ca="1">IF(AND($D164="Serviço",AB$12&lt;&gt;0,$H164&gt;0,OR(AUTOEVENTO&lt;&gt;"manual",$M164&lt;&gt;1)),
IF(Import.TipoArredondamento&lt;&gt;"TransfereGOV",
ROUND(OFFSET($P164,0,AB$13),15-13*ORÇAMENTO!$AF$7)/$H164*OFFSET(ORÇAMENTO!$X$15,ROW(AB164)-ROW(AB$15),0),
ROUND(ROUND(OFFSET($P164,0,AB$13),15-13*ORÇAMENTO!$AF$7)*OFFSET(ORÇAMENTO!$W$15,ROW(AB164)-ROW(AB$15),0),15-13*ORÇAMENTO!$AF$11)),0)</f>
        <v>0</v>
      </c>
      <c r="AC164" s="545">
        <f ca="1">IF(AND($D164="Serviço",AC$12&lt;&gt;0,$H164&gt;0,OR(AUTOEVENTO&lt;&gt;"manual",$M164&lt;&gt;1)),
IF(Import.TipoArredondamento&lt;&gt;"TransfereGOV",
ROUND(OFFSET($P164,0,AC$13),15-13*ORÇAMENTO!$AF$7)/$H164*OFFSET(ORÇAMENTO!$X$15,ROW(AC164)-ROW(AC$15),0),
ROUND(ROUND(OFFSET($P164,0,AC$13),15-13*ORÇAMENTO!$AF$7)*OFFSET(ORÇAMENTO!$W$15,ROW(AC164)-ROW(AC$15),0),15-13*ORÇAMENTO!$AF$11)),0)</f>
        <v>0</v>
      </c>
      <c r="AD164" s="545">
        <f ca="1">IF(AND($D164="Serviço",AD$12&lt;&gt;0,$H164&gt;0,OR(AUTOEVENTO&lt;&gt;"manual",$M164&lt;&gt;1)),
IF(Import.TipoArredondamento&lt;&gt;"TransfereGOV",
ROUND(OFFSET($P164,0,AD$13),15-13*ORÇAMENTO!$AF$7)/$H164*OFFSET(ORÇAMENTO!$X$15,ROW(AD164)-ROW(AD$15),0),
ROUND(ROUND(OFFSET($P164,0,AD$13),15-13*ORÇAMENTO!$AF$7)*OFFSET(ORÇAMENTO!$W$15,ROW(AD164)-ROW(AD$15),0),15-13*ORÇAMENTO!$AF$11)),0)</f>
        <v>0</v>
      </c>
      <c r="AE164" s="545">
        <f ca="1">IF(AND($D164="Serviço",AE$12&lt;&gt;0,$H164&gt;0,OR(AUTOEVENTO&lt;&gt;"manual",$M164&lt;&gt;1)),
IF(Import.TipoArredondamento&lt;&gt;"TransfereGOV",
ROUND(OFFSET($P164,0,AE$13),15-13*ORÇAMENTO!$AF$7)/$H164*OFFSET(ORÇAMENTO!$X$15,ROW(AE164)-ROW(AE$15),0),
ROUND(ROUND(OFFSET($P164,0,AE$13),15-13*ORÇAMENTO!$AF$7)*OFFSET(ORÇAMENTO!$W$15,ROW(AE164)-ROW(AE$15),0),15-13*ORÇAMENTO!$AF$11)),0)</f>
        <v>0</v>
      </c>
      <c r="AF164" s="545">
        <f ca="1">IF(AND($D164="Serviço",AF$12&lt;&gt;0,$H164&gt;0,OR(AUTOEVENTO&lt;&gt;"manual",$M164&lt;&gt;1)),
IF(Import.TipoArredondamento&lt;&gt;"TransfereGOV",
ROUND(OFFSET($P164,0,AF$13),15-13*ORÇAMENTO!$AF$7)/$H164*OFFSET(ORÇAMENTO!$X$15,ROW(AF164)-ROW(AF$15),0),
ROUND(ROUND(OFFSET($P164,0,AF$13),15-13*ORÇAMENTO!$AF$7)*OFFSET(ORÇAMENTO!$W$15,ROW(AF164)-ROW(AF$15),0),15-13*ORÇAMENTO!$AF$11)),0)</f>
        <v>0</v>
      </c>
      <c r="AG164" s="545">
        <f ca="1">IF(AND($D164="Serviço",AG$12&lt;&gt;0,$H164&gt;0,OR(AUTOEVENTO&lt;&gt;"manual",$M164&lt;&gt;1)),
IF(Import.TipoArredondamento&lt;&gt;"TransfereGOV",
ROUND(OFFSET($P164,0,AG$13),15-13*ORÇAMENTO!$AF$7)/$H164*OFFSET(ORÇAMENTO!$X$15,ROW(AG164)-ROW(AG$15),0),
ROUND(ROUND(OFFSET($P164,0,AG$13),15-13*ORÇAMENTO!$AF$7)*OFFSET(ORÇAMENTO!$W$15,ROW(AG164)-ROW(AG$15),0),15-13*ORÇAMENTO!$AF$11)),0)</f>
        <v>0</v>
      </c>
      <c r="AH164" s="545">
        <f ca="1">IF(AND($D164="Serviço",AH$12&lt;&gt;0,$H164&gt;0,OR(AUTOEVENTO&lt;&gt;"manual",$M164&lt;&gt;1)),
IF(Import.TipoArredondamento&lt;&gt;"TransfereGOV",
ROUND(OFFSET($P164,0,AH$13),15-13*ORÇAMENTO!$AF$7)/$H164*OFFSET(ORÇAMENTO!$X$15,ROW(AH164)-ROW(AH$15),0),
ROUND(ROUND(OFFSET($P164,0,AH$13),15-13*ORÇAMENTO!$AF$7)*OFFSET(ORÇAMENTO!$W$15,ROW(AH164)-ROW(AH$15),0),15-13*ORÇAMENTO!$AF$11)),0)</f>
        <v>0</v>
      </c>
      <c r="AI164" s="545">
        <f ca="1">IF(AND($D164="Serviço",AI$12&lt;&gt;0,$H164&gt;0,OR(AUTOEVENTO&lt;&gt;"manual",$M164&lt;&gt;1)),
IF(Import.TipoArredondamento&lt;&gt;"TransfereGOV",
ROUND(OFFSET($P164,0,AI$13),15-13*ORÇAMENTO!$AF$7)/$H164*OFFSET(ORÇAMENTO!$X$15,ROW(AI164)-ROW(AI$15),0),
ROUND(ROUND(OFFSET($P164,0,AI$13),15-13*ORÇAMENTO!$AF$7)*OFFSET(ORÇAMENTO!$W$15,ROW(AI164)-ROW(AI$15),0),15-13*ORÇAMENTO!$AF$11)),0)</f>
        <v>0</v>
      </c>
      <c r="AJ164" s="545">
        <f ca="1">IF(AND($D164="Serviço",AJ$12&lt;&gt;0,$H164&gt;0,OR(AUTOEVENTO&lt;&gt;"manual",$M164&lt;&gt;1)),
IF(Import.TipoArredondamento&lt;&gt;"TransfereGOV",
ROUND(OFFSET($P164,0,AJ$13),15-13*ORÇAMENTO!$AF$7)/$H164*OFFSET(ORÇAMENTO!$X$15,ROW(AJ164)-ROW(AJ$15),0),
ROUND(ROUND(OFFSET($P164,0,AJ$13),15-13*ORÇAMENTO!$AF$7)*OFFSET(ORÇAMENTO!$W$15,ROW(AJ164)-ROW(AJ$15),0),15-13*ORÇAMENTO!$AF$11)),0)</f>
        <v>0</v>
      </c>
      <c r="AK164" s="546">
        <f ca="1">IF(AND($D164="Serviço",AK$12&lt;&gt;0,$H164&gt;0,OR(AUTOEVENTO&lt;&gt;"manual",$M164&lt;&gt;1)),
IF(Import.TipoArredondamento&lt;&gt;"TransfereGOV",
ROUND(OFFSET($P164,0,AK$13),15-13*ORÇAMENTO!$AF$7)/$H164*OFFSET(ORÇAMENTO!$X$15,ROW(AK164)-ROW(AK$15),0),
ROUND(ROUND(OFFSET($P164,0,AK$13),15-13*ORÇAMENTO!$AF$7)*OFFSET(ORÇAMENTO!$W$15,ROW(AK164)-ROW(AK$15),0),15-13*ORÇAMENTO!$AF$11)),0)</f>
        <v>0</v>
      </c>
      <c r="AM164" s="181">
        <f ca="1">IF($D164&lt;&gt;"Serviço",0,IF(AND(AUTOEVENTO="Manual",$M164=1),0,IF(OFFSET(CRONOPLE!$F$14,$M164,AM$13)="",10^12,OFFSET(CRONOPLE!$F$14,$M164,AM$13))))</f>
        <v>1000000000000</v>
      </c>
      <c r="AN164" s="181">
        <f ca="1">IF($D164&lt;&gt;"Serviço",0,IF(AND(AUTOEVENTO="Manual",$M164=1),0,IF(OFFSET(CRONOPLE!$F$14,$M164,AN$13)="",10^12,OFFSET(CRONOPLE!$F$14,$M164,AN$13))))</f>
        <v>1000000000000</v>
      </c>
      <c r="AO164" s="181">
        <f ca="1">IF($D164&lt;&gt;"Serviço",0,IF(AND(AUTOEVENTO="Manual",$M164=1),0,IF(OFFSET(CRONOPLE!$F$14,$M164,AO$13)="",10^12,OFFSET(CRONOPLE!$F$14,$M164,AO$13))))</f>
        <v>1000000000000</v>
      </c>
      <c r="AP164" s="181">
        <f ca="1">IF($D164&lt;&gt;"Serviço",0,IF(AND(AUTOEVENTO="Manual",$M164=1),0,IF(OFFSET(CRONOPLE!$F$14,$M164,AP$13)="",10^12,OFFSET(CRONOPLE!$F$14,$M164,AP$13))))</f>
        <v>1000000000000</v>
      </c>
      <c r="AQ164" s="181">
        <f ca="1">IF($D164&lt;&gt;"Serviço",0,IF(AND(AUTOEVENTO="Manual",$M164=1),0,IF(OFFSET(CRONOPLE!$F$14,$M164,AQ$13)="",10^12,OFFSET(CRONOPLE!$F$14,$M164,AQ$13))))</f>
        <v>1000000000000</v>
      </c>
      <c r="AR164" s="181">
        <f ca="1">IF($D164&lt;&gt;"Serviço",0,IF(AND(AUTOEVENTO="Manual",$M164=1),0,IF(OFFSET(CRONOPLE!$F$14,$M164,AR$13)="",10^12,OFFSET(CRONOPLE!$F$14,$M164,AR$13))))</f>
        <v>1000000000000</v>
      </c>
      <c r="AS164" s="181">
        <f ca="1">IF($D164&lt;&gt;"Serviço",0,IF(AND(AUTOEVENTO="Manual",$M164=1),0,IF(OFFSET(CRONOPLE!$F$14,$M164,AS$13)="",10^12,OFFSET(CRONOPLE!$F$14,$M164,AS$13))))</f>
        <v>1000000000000</v>
      </c>
      <c r="AT164" s="181">
        <f ca="1">IF($D164&lt;&gt;"Serviço",0,IF(AND(AUTOEVENTO="Manual",$M164=1),0,IF(OFFSET(CRONOPLE!$F$14,$M164,AT$13)="",10^12,OFFSET(CRONOPLE!$F$14,$M164,AT$13))))</f>
        <v>1000000000000</v>
      </c>
      <c r="AU164" s="181">
        <f ca="1">IF($D164&lt;&gt;"Serviço",0,IF(AND(AUTOEVENTO="Manual",$M164=1),0,IF(OFFSET(CRONOPLE!$F$14,$M164,AU$13)="",10^12,OFFSET(CRONOPLE!$F$14,$M164,AU$13))))</f>
        <v>1000000000000</v>
      </c>
      <c r="AV164" s="181">
        <f ca="1">IF($D164&lt;&gt;"Serviço",0,IF(AND(AUTOEVENTO="Manual",$M164=1),0,IF(OFFSET(CRONOPLE!$F$14,$M164,AV$13)="",10^12,OFFSET(CRONOPLE!$F$14,$M164,AV$13))))</f>
        <v>1000000000000</v>
      </c>
      <c r="AX164" s="182">
        <f ca="1">IF($D164&lt;&gt;"Serviço",0,IF(OR(AND(AUTOEVENTO="Manual",$M164=1),$M164&gt;(ROW(PLE.lastrow)-ROW(PLE.firstrow))),0,IF(OFFSET(PLE!$G$14,$M164,AX$13)="",10^12,OFFSET(PLE!$G$14,$M164,AX$13))))</f>
        <v>1000000000000</v>
      </c>
      <c r="AY164" s="182">
        <f ca="1">IF($D164&lt;&gt;"Serviço",0,IF(OR(AND(AUTOEVENTO="Manual",$M164=1),$M164&gt;(ROW(PLE.lastrow)-ROW(PLE.firstrow))),0,IF(OFFSET(PLE!$G$14,$M164,AY$13)="",10^12,OFFSET(PLE!$G$14,$M164,AY$13))))</f>
        <v>1000000000000</v>
      </c>
      <c r="AZ164" s="182">
        <f ca="1">IF($D164&lt;&gt;"Serviço",0,IF(OR(AND(AUTOEVENTO="Manual",$M164=1),$M164&gt;(ROW(PLE.lastrow)-ROW(PLE.firstrow))),0,IF(OFFSET(PLE!$G$14,$M164,AZ$13)="",10^12,OFFSET(PLE!$G$14,$M164,AZ$13))))</f>
        <v>1000000000000</v>
      </c>
      <c r="BA164" s="182">
        <f ca="1">IF($D164&lt;&gt;"Serviço",0,IF(OR(AND(AUTOEVENTO="Manual",$M164=1),$M164&gt;(ROW(PLE.lastrow)-ROW(PLE.firstrow))),0,IF(OFFSET(PLE!$G$14,$M164,BA$13)="",10^12,OFFSET(PLE!$G$14,$M164,BA$13))))</f>
        <v>1000000000000</v>
      </c>
      <c r="BB164" s="182">
        <f ca="1">IF($D164&lt;&gt;"Serviço",0,IF(OR(AND(AUTOEVENTO="Manual",$M164=1),$M164&gt;(ROW(PLE.lastrow)-ROW(PLE.firstrow))),0,IF(OFFSET(PLE!$G$14,$M164,BB$13)="",10^12,OFFSET(PLE!$G$14,$M164,BB$13))))</f>
        <v>1000000000000</v>
      </c>
      <c r="BC164" s="182">
        <f ca="1">IF($D164&lt;&gt;"Serviço",0,IF(OR(AND(AUTOEVENTO="Manual",$M164=1),$M164&gt;(ROW(PLE.lastrow)-ROW(PLE.firstrow))),0,IF(OFFSET(PLE!$G$14,$M164,BC$13)="",10^12,OFFSET(PLE!$G$14,$M164,BC$13))))</f>
        <v>1000000000000</v>
      </c>
      <c r="BD164" s="182">
        <f ca="1">IF($D164&lt;&gt;"Serviço",0,IF(OR(AND(AUTOEVENTO="Manual",$M164=1),$M164&gt;(ROW(PLE.lastrow)-ROW(PLE.firstrow))),0,IF(OFFSET(PLE!$G$14,$M164,BD$13)="",10^12,OFFSET(PLE!$G$14,$M164,BD$13))))</f>
        <v>1000000000000</v>
      </c>
      <c r="BE164" s="182">
        <f ca="1">IF($D164&lt;&gt;"Serviço",0,IF(OR(AND(AUTOEVENTO="Manual",$M164=1),$M164&gt;(ROW(PLE.lastrow)-ROW(PLE.firstrow))),0,IF(OFFSET(PLE!$G$14,$M164,BE$13)="",10^12,OFFSET(PLE!$G$14,$M164,BE$13))))</f>
        <v>1000000000000</v>
      </c>
      <c r="BF164" s="182">
        <f ca="1">IF($D164&lt;&gt;"Serviço",0,IF(OR(AND(AUTOEVENTO="Manual",$M164=1),$M164&gt;(ROW(PLE.lastrow)-ROW(PLE.firstrow))),0,IF(OFFSET(PLE!$G$14,$M164,BF$13)="",10^12,OFFSET(PLE!$G$14,$M164,BF$13))))</f>
        <v>1000000000000</v>
      </c>
      <c r="BG164" s="182">
        <f ca="1">IF($D164&lt;&gt;"Serviço",0,IF(OR(AND(AUTOEVENTO="Manual",$M164=1),$M164&gt;(ROW(PLE.lastrow)-ROW(PLE.firstrow))),0,IF(OFFSET(PLE!$G$14,$M164,BG$13)="",10^12,OFFSET(PLE!$G$14,$M164,BG$13))))</f>
        <v>1000000000000</v>
      </c>
    </row>
    <row r="165" spans="1:59" ht="12.75" x14ac:dyDescent="0.2">
      <c r="A165" s="7" t="str">
        <f t="shared" ca="1" si="10"/>
        <v>108</v>
      </c>
      <c r="B165" s="7">
        <f ca="1">OFFSET(ORÇAMENTO!C$15,ROW(B165)-ROW(B$15),0)</f>
        <v>3</v>
      </c>
      <c r="C165" s="7" t="str">
        <f ca="1">OFFSET(ORÇAMENTO!L$15,ROW(C165)-ROW(C$15),0)</f>
        <v>F</v>
      </c>
      <c r="D165" s="118" t="str">
        <f ca="1">OFFSET(ORÇAMENTO!N$15,ROW(D165)-ROW(D$15),0)</f>
        <v>Nível 3</v>
      </c>
      <c r="E165" s="119" t="str">
        <f ca="1">OFFSET(ORÇAMENTO!O$15,ROW(E165)-ROW(E$15),0)</f>
        <v>1.6.6.</v>
      </c>
      <c r="F165" s="172" t="str">
        <f ca="1">OFFSET(ORÇAMENTO!R$15,ROW(F165)-ROW(F$15),0)</f>
        <v>ESQUADRIA GERAL</v>
      </c>
      <c r="G165" s="173" t="str">
        <f ca="1">IF($D165&lt;&gt;"Serviço","",OFFSET(ORÇAMENTO!S$15,ROW(G165)-ROW(G$15),0))</f>
        <v/>
      </c>
      <c r="H165" s="124">
        <f ca="1">IF($D165&lt;&gt;"Serviço",0,IF(ACOMPANHAMENTO="BM",ROUND(OFFSET(ORÇAMENTO!AJ$15,ROW(H165)-ROW(H$15),0),15-13*ORÇAMENTO!$AF$7),SUMPRODUCT(($Q$12:$AA$12&lt;&gt;"")*ROUND($Q165:$AA165,15-13*ORÇAMENTO!$AF$7))))</f>
        <v>0</v>
      </c>
      <c r="I165" s="561"/>
      <c r="K165" s="174"/>
      <c r="L165" s="175" t="s">
        <v>255</v>
      </c>
      <c r="M165" s="176" t="str">
        <f ca="1">IF($D165&lt;&gt;"Serviço","",IF(AUTOEVENTO="manual",$A165,IF(ISERROR(MATCH($A165,$A$15:OFFSET($A165,-1,0),0)),MAX($M$15:OFFSET(M165,-1,0))+1,INDEX($M$15:OFFSET(M165,-1,0),MATCH($A165,$A$15:OFFSET($A165,-1,0),0)))))</f>
        <v/>
      </c>
      <c r="N165" s="177" t="str">
        <f ca="1">IF($D165&lt;&gt;"Serviço","",IF(AUTOEVENTO="Manual",IF($A165=0,"&lt;-- defina o número do agrupador",OFFSET(EVENTOS!$D$14,$A165,0)),OFFSET($F$15,$A165,0)))</f>
        <v/>
      </c>
      <c r="O165" s="178"/>
      <c r="Q165" s="178"/>
      <c r="R165" s="179"/>
      <c r="S165" s="179"/>
      <c r="T165" s="179"/>
      <c r="U165" s="179"/>
      <c r="V165" s="179"/>
      <c r="W165" s="179"/>
      <c r="X165" s="179"/>
      <c r="Y165" s="179"/>
      <c r="Z165" s="180"/>
      <c r="AB165" s="544">
        <f ca="1">IF(AND($D165="Serviço",AB$12&lt;&gt;0,$H165&gt;0,OR(AUTOEVENTO&lt;&gt;"manual",$M165&lt;&gt;1)),
IF(Import.TipoArredondamento&lt;&gt;"TransfereGOV",
ROUND(OFFSET($P165,0,AB$13),15-13*ORÇAMENTO!$AF$7)/$H165*OFFSET(ORÇAMENTO!$X$15,ROW(AB165)-ROW(AB$15),0),
ROUND(ROUND(OFFSET($P165,0,AB$13),15-13*ORÇAMENTO!$AF$7)*OFFSET(ORÇAMENTO!$W$15,ROW(AB165)-ROW(AB$15),0),15-13*ORÇAMENTO!$AF$11)),0)</f>
        <v>0</v>
      </c>
      <c r="AC165" s="545">
        <f ca="1">IF(AND($D165="Serviço",AC$12&lt;&gt;0,$H165&gt;0,OR(AUTOEVENTO&lt;&gt;"manual",$M165&lt;&gt;1)),
IF(Import.TipoArredondamento&lt;&gt;"TransfereGOV",
ROUND(OFFSET($P165,0,AC$13),15-13*ORÇAMENTO!$AF$7)/$H165*OFFSET(ORÇAMENTO!$X$15,ROW(AC165)-ROW(AC$15),0),
ROUND(ROUND(OFFSET($P165,0,AC$13),15-13*ORÇAMENTO!$AF$7)*OFFSET(ORÇAMENTO!$W$15,ROW(AC165)-ROW(AC$15),0),15-13*ORÇAMENTO!$AF$11)),0)</f>
        <v>0</v>
      </c>
      <c r="AD165" s="545">
        <f ca="1">IF(AND($D165="Serviço",AD$12&lt;&gt;0,$H165&gt;0,OR(AUTOEVENTO&lt;&gt;"manual",$M165&lt;&gt;1)),
IF(Import.TipoArredondamento&lt;&gt;"TransfereGOV",
ROUND(OFFSET($P165,0,AD$13),15-13*ORÇAMENTO!$AF$7)/$H165*OFFSET(ORÇAMENTO!$X$15,ROW(AD165)-ROW(AD$15),0),
ROUND(ROUND(OFFSET($P165,0,AD$13),15-13*ORÇAMENTO!$AF$7)*OFFSET(ORÇAMENTO!$W$15,ROW(AD165)-ROW(AD$15),0),15-13*ORÇAMENTO!$AF$11)),0)</f>
        <v>0</v>
      </c>
      <c r="AE165" s="545">
        <f ca="1">IF(AND($D165="Serviço",AE$12&lt;&gt;0,$H165&gt;0,OR(AUTOEVENTO&lt;&gt;"manual",$M165&lt;&gt;1)),
IF(Import.TipoArredondamento&lt;&gt;"TransfereGOV",
ROUND(OFFSET($P165,0,AE$13),15-13*ORÇAMENTO!$AF$7)/$H165*OFFSET(ORÇAMENTO!$X$15,ROW(AE165)-ROW(AE$15),0),
ROUND(ROUND(OFFSET($P165,0,AE$13),15-13*ORÇAMENTO!$AF$7)*OFFSET(ORÇAMENTO!$W$15,ROW(AE165)-ROW(AE$15),0),15-13*ORÇAMENTO!$AF$11)),0)</f>
        <v>0</v>
      </c>
      <c r="AF165" s="545">
        <f ca="1">IF(AND($D165="Serviço",AF$12&lt;&gt;0,$H165&gt;0,OR(AUTOEVENTO&lt;&gt;"manual",$M165&lt;&gt;1)),
IF(Import.TipoArredondamento&lt;&gt;"TransfereGOV",
ROUND(OFFSET($P165,0,AF$13),15-13*ORÇAMENTO!$AF$7)/$H165*OFFSET(ORÇAMENTO!$X$15,ROW(AF165)-ROW(AF$15),0),
ROUND(ROUND(OFFSET($P165,0,AF$13),15-13*ORÇAMENTO!$AF$7)*OFFSET(ORÇAMENTO!$W$15,ROW(AF165)-ROW(AF$15),0),15-13*ORÇAMENTO!$AF$11)),0)</f>
        <v>0</v>
      </c>
      <c r="AG165" s="545">
        <f ca="1">IF(AND($D165="Serviço",AG$12&lt;&gt;0,$H165&gt;0,OR(AUTOEVENTO&lt;&gt;"manual",$M165&lt;&gt;1)),
IF(Import.TipoArredondamento&lt;&gt;"TransfereGOV",
ROUND(OFFSET($P165,0,AG$13),15-13*ORÇAMENTO!$AF$7)/$H165*OFFSET(ORÇAMENTO!$X$15,ROW(AG165)-ROW(AG$15),0),
ROUND(ROUND(OFFSET($P165,0,AG$13),15-13*ORÇAMENTO!$AF$7)*OFFSET(ORÇAMENTO!$W$15,ROW(AG165)-ROW(AG$15),0),15-13*ORÇAMENTO!$AF$11)),0)</f>
        <v>0</v>
      </c>
      <c r="AH165" s="545">
        <f ca="1">IF(AND($D165="Serviço",AH$12&lt;&gt;0,$H165&gt;0,OR(AUTOEVENTO&lt;&gt;"manual",$M165&lt;&gt;1)),
IF(Import.TipoArredondamento&lt;&gt;"TransfereGOV",
ROUND(OFFSET($P165,0,AH$13),15-13*ORÇAMENTO!$AF$7)/$H165*OFFSET(ORÇAMENTO!$X$15,ROW(AH165)-ROW(AH$15),0),
ROUND(ROUND(OFFSET($P165,0,AH$13),15-13*ORÇAMENTO!$AF$7)*OFFSET(ORÇAMENTO!$W$15,ROW(AH165)-ROW(AH$15),0),15-13*ORÇAMENTO!$AF$11)),0)</f>
        <v>0</v>
      </c>
      <c r="AI165" s="545">
        <f ca="1">IF(AND($D165="Serviço",AI$12&lt;&gt;0,$H165&gt;0,OR(AUTOEVENTO&lt;&gt;"manual",$M165&lt;&gt;1)),
IF(Import.TipoArredondamento&lt;&gt;"TransfereGOV",
ROUND(OFFSET($P165,0,AI$13),15-13*ORÇAMENTO!$AF$7)/$H165*OFFSET(ORÇAMENTO!$X$15,ROW(AI165)-ROW(AI$15),0),
ROUND(ROUND(OFFSET($P165,0,AI$13),15-13*ORÇAMENTO!$AF$7)*OFFSET(ORÇAMENTO!$W$15,ROW(AI165)-ROW(AI$15),0),15-13*ORÇAMENTO!$AF$11)),0)</f>
        <v>0</v>
      </c>
      <c r="AJ165" s="545">
        <f ca="1">IF(AND($D165="Serviço",AJ$12&lt;&gt;0,$H165&gt;0,OR(AUTOEVENTO&lt;&gt;"manual",$M165&lt;&gt;1)),
IF(Import.TipoArredondamento&lt;&gt;"TransfereGOV",
ROUND(OFFSET($P165,0,AJ$13),15-13*ORÇAMENTO!$AF$7)/$H165*OFFSET(ORÇAMENTO!$X$15,ROW(AJ165)-ROW(AJ$15),0),
ROUND(ROUND(OFFSET($P165,0,AJ$13),15-13*ORÇAMENTO!$AF$7)*OFFSET(ORÇAMENTO!$W$15,ROW(AJ165)-ROW(AJ$15),0),15-13*ORÇAMENTO!$AF$11)),0)</f>
        <v>0</v>
      </c>
      <c r="AK165" s="546">
        <f ca="1">IF(AND($D165="Serviço",AK$12&lt;&gt;0,$H165&gt;0,OR(AUTOEVENTO&lt;&gt;"manual",$M165&lt;&gt;1)),
IF(Import.TipoArredondamento&lt;&gt;"TransfereGOV",
ROUND(OFFSET($P165,0,AK$13),15-13*ORÇAMENTO!$AF$7)/$H165*OFFSET(ORÇAMENTO!$X$15,ROW(AK165)-ROW(AK$15),0),
ROUND(ROUND(OFFSET($P165,0,AK$13),15-13*ORÇAMENTO!$AF$7)*OFFSET(ORÇAMENTO!$W$15,ROW(AK165)-ROW(AK$15),0),15-13*ORÇAMENTO!$AF$11)),0)</f>
        <v>0</v>
      </c>
      <c r="AM165" s="181">
        <f ca="1">IF($D165&lt;&gt;"Serviço",0,IF(AND(AUTOEVENTO="Manual",$M165=1),0,IF(OFFSET(CRONOPLE!$F$14,$M165,AM$13)="",10^12,OFFSET(CRONOPLE!$F$14,$M165,AM$13))))</f>
        <v>0</v>
      </c>
      <c r="AN165" s="181">
        <f ca="1">IF($D165&lt;&gt;"Serviço",0,IF(AND(AUTOEVENTO="Manual",$M165=1),0,IF(OFFSET(CRONOPLE!$F$14,$M165,AN$13)="",10^12,OFFSET(CRONOPLE!$F$14,$M165,AN$13))))</f>
        <v>0</v>
      </c>
      <c r="AO165" s="181">
        <f ca="1">IF($D165&lt;&gt;"Serviço",0,IF(AND(AUTOEVENTO="Manual",$M165=1),0,IF(OFFSET(CRONOPLE!$F$14,$M165,AO$13)="",10^12,OFFSET(CRONOPLE!$F$14,$M165,AO$13))))</f>
        <v>0</v>
      </c>
      <c r="AP165" s="181">
        <f ca="1">IF($D165&lt;&gt;"Serviço",0,IF(AND(AUTOEVENTO="Manual",$M165=1),0,IF(OFFSET(CRONOPLE!$F$14,$M165,AP$13)="",10^12,OFFSET(CRONOPLE!$F$14,$M165,AP$13))))</f>
        <v>0</v>
      </c>
      <c r="AQ165" s="181">
        <f ca="1">IF($D165&lt;&gt;"Serviço",0,IF(AND(AUTOEVENTO="Manual",$M165=1),0,IF(OFFSET(CRONOPLE!$F$14,$M165,AQ$13)="",10^12,OFFSET(CRONOPLE!$F$14,$M165,AQ$13))))</f>
        <v>0</v>
      </c>
      <c r="AR165" s="181">
        <f ca="1">IF($D165&lt;&gt;"Serviço",0,IF(AND(AUTOEVENTO="Manual",$M165=1),0,IF(OFFSET(CRONOPLE!$F$14,$M165,AR$13)="",10^12,OFFSET(CRONOPLE!$F$14,$M165,AR$13))))</f>
        <v>0</v>
      </c>
      <c r="AS165" s="181">
        <f ca="1">IF($D165&lt;&gt;"Serviço",0,IF(AND(AUTOEVENTO="Manual",$M165=1),0,IF(OFFSET(CRONOPLE!$F$14,$M165,AS$13)="",10^12,OFFSET(CRONOPLE!$F$14,$M165,AS$13))))</f>
        <v>0</v>
      </c>
      <c r="AT165" s="181">
        <f ca="1">IF($D165&lt;&gt;"Serviço",0,IF(AND(AUTOEVENTO="Manual",$M165=1),0,IF(OFFSET(CRONOPLE!$F$14,$M165,AT$13)="",10^12,OFFSET(CRONOPLE!$F$14,$M165,AT$13))))</f>
        <v>0</v>
      </c>
      <c r="AU165" s="181">
        <f ca="1">IF($D165&lt;&gt;"Serviço",0,IF(AND(AUTOEVENTO="Manual",$M165=1),0,IF(OFFSET(CRONOPLE!$F$14,$M165,AU$13)="",10^12,OFFSET(CRONOPLE!$F$14,$M165,AU$13))))</f>
        <v>0</v>
      </c>
      <c r="AV165" s="181">
        <f ca="1">IF($D165&lt;&gt;"Serviço",0,IF(AND(AUTOEVENTO="Manual",$M165=1),0,IF(OFFSET(CRONOPLE!$F$14,$M165,AV$13)="",10^12,OFFSET(CRONOPLE!$F$14,$M165,AV$13))))</f>
        <v>0</v>
      </c>
      <c r="AX165" s="182">
        <f ca="1">IF($D165&lt;&gt;"Serviço",0,IF(OR(AND(AUTOEVENTO="Manual",$M165=1),$M165&gt;(ROW(PLE.lastrow)-ROW(PLE.firstrow))),0,IF(OFFSET(PLE!$G$14,$M165,AX$13)="",10^12,OFFSET(PLE!$G$14,$M165,AX$13))))</f>
        <v>0</v>
      </c>
      <c r="AY165" s="182">
        <f ca="1">IF($D165&lt;&gt;"Serviço",0,IF(OR(AND(AUTOEVENTO="Manual",$M165=1),$M165&gt;(ROW(PLE.lastrow)-ROW(PLE.firstrow))),0,IF(OFFSET(PLE!$G$14,$M165,AY$13)="",10^12,OFFSET(PLE!$G$14,$M165,AY$13))))</f>
        <v>0</v>
      </c>
      <c r="AZ165" s="182">
        <f ca="1">IF($D165&lt;&gt;"Serviço",0,IF(OR(AND(AUTOEVENTO="Manual",$M165=1),$M165&gt;(ROW(PLE.lastrow)-ROW(PLE.firstrow))),0,IF(OFFSET(PLE!$G$14,$M165,AZ$13)="",10^12,OFFSET(PLE!$G$14,$M165,AZ$13))))</f>
        <v>0</v>
      </c>
      <c r="BA165" s="182">
        <f ca="1">IF($D165&lt;&gt;"Serviço",0,IF(OR(AND(AUTOEVENTO="Manual",$M165=1),$M165&gt;(ROW(PLE.lastrow)-ROW(PLE.firstrow))),0,IF(OFFSET(PLE!$G$14,$M165,BA$13)="",10^12,OFFSET(PLE!$G$14,$M165,BA$13))))</f>
        <v>0</v>
      </c>
      <c r="BB165" s="182">
        <f ca="1">IF($D165&lt;&gt;"Serviço",0,IF(OR(AND(AUTOEVENTO="Manual",$M165=1),$M165&gt;(ROW(PLE.lastrow)-ROW(PLE.firstrow))),0,IF(OFFSET(PLE!$G$14,$M165,BB$13)="",10^12,OFFSET(PLE!$G$14,$M165,BB$13))))</f>
        <v>0</v>
      </c>
      <c r="BC165" s="182">
        <f ca="1">IF($D165&lt;&gt;"Serviço",0,IF(OR(AND(AUTOEVENTO="Manual",$M165=1),$M165&gt;(ROW(PLE.lastrow)-ROW(PLE.firstrow))),0,IF(OFFSET(PLE!$G$14,$M165,BC$13)="",10^12,OFFSET(PLE!$G$14,$M165,BC$13))))</f>
        <v>0</v>
      </c>
      <c r="BD165" s="182">
        <f ca="1">IF($D165&lt;&gt;"Serviço",0,IF(OR(AND(AUTOEVENTO="Manual",$M165=1),$M165&gt;(ROW(PLE.lastrow)-ROW(PLE.firstrow))),0,IF(OFFSET(PLE!$G$14,$M165,BD$13)="",10^12,OFFSET(PLE!$G$14,$M165,BD$13))))</f>
        <v>0</v>
      </c>
      <c r="BE165" s="182">
        <f ca="1">IF($D165&lt;&gt;"Serviço",0,IF(OR(AND(AUTOEVENTO="Manual",$M165=1),$M165&gt;(ROW(PLE.lastrow)-ROW(PLE.firstrow))),0,IF(OFFSET(PLE!$G$14,$M165,BE$13)="",10^12,OFFSET(PLE!$G$14,$M165,BE$13))))</f>
        <v>0</v>
      </c>
      <c r="BF165" s="182">
        <f ca="1">IF($D165&lt;&gt;"Serviço",0,IF(OR(AND(AUTOEVENTO="Manual",$M165=1),$M165&gt;(ROW(PLE.lastrow)-ROW(PLE.firstrow))),0,IF(OFFSET(PLE!$G$14,$M165,BF$13)="",10^12,OFFSET(PLE!$G$14,$M165,BF$13))))</f>
        <v>0</v>
      </c>
      <c r="BG165" s="182">
        <f ca="1">IF($D165&lt;&gt;"Serviço",0,IF(OR(AND(AUTOEVENTO="Manual",$M165=1),$M165&gt;(ROW(PLE.lastrow)-ROW(PLE.firstrow))),0,IF(OFFSET(PLE!$G$14,$M165,BG$13)="",10^12,OFFSET(PLE!$G$14,$M165,BG$13))))</f>
        <v>0</v>
      </c>
    </row>
    <row r="166" spans="1:59" ht="38.25" x14ac:dyDescent="0.2">
      <c r="A166" s="7" t="str">
        <f t="shared" ca="1" si="10"/>
        <v>108</v>
      </c>
      <c r="B166" s="7" t="str">
        <f ca="1">OFFSET(ORÇAMENTO!C$15,ROW(B166)-ROW(B$15),0)</f>
        <v>S</v>
      </c>
      <c r="C166" s="7" t="str">
        <f ca="1">OFFSET(ORÇAMENTO!L$15,ROW(C166)-ROW(C$15),0)</f>
        <v/>
      </c>
      <c r="D166" s="118" t="str">
        <f ca="1">OFFSET(ORÇAMENTO!N$15,ROW(D166)-ROW(D$15),0)</f>
        <v>Serviço</v>
      </c>
      <c r="E166" s="119" t="str">
        <f ca="1">OFFSET(ORÇAMENTO!O$15,ROW(E166)-ROW(E$15),0)</f>
        <v>-</v>
      </c>
      <c r="F166" s="172" t="str">
        <f ca="1">OFFSET(ORÇAMENTO!R$15,ROW(F166)-ROW(F$15),0)</f>
        <v>(abra o arquivo 'Referência 02-2025.xlsm)</v>
      </c>
      <c r="G166" s="173" t="str">
        <f ca="1">IF($D166&lt;&gt;"Serviço","",OFFSET(ORÇAMENTO!S$15,ROW(G166)-ROW(G$15),0))</f>
        <v>-</v>
      </c>
      <c r="H166" s="124">
        <f ca="1">IF($D166&lt;&gt;"Serviço",0,IF(ACOMPANHAMENTO="BM",ROUND(OFFSET(ORÇAMENTO!AJ$15,ROW(H166)-ROW(H$15),0),15-13*ORÇAMENTO!$AF$7),SUMPRODUCT(($Q$12:$AA$12&lt;&gt;"")*ROUND($Q166:$AA166,15-13*ORÇAMENTO!$AF$7))))</f>
        <v>3.08</v>
      </c>
      <c r="I166" s="561" t="s">
        <v>890</v>
      </c>
      <c r="K166" s="174"/>
      <c r="L166" s="175" t="s">
        <v>255</v>
      </c>
      <c r="M166" s="176">
        <f ca="1">IF($D166&lt;&gt;"Serviço","",IF(AUTOEVENTO="manual",$A166,IF(ISERROR(MATCH($A166,$A$15:OFFSET($A166,-1,0),0)),MAX($M$15:OFFSET(M166,-1,0))+1,INDEX($M$15:OFFSET(M166,-1,0),MATCH($A166,$A$15:OFFSET($A166,-1,0),0)))))</f>
        <v>7</v>
      </c>
      <c r="N166" s="177" t="str">
        <f ca="1">IF($D166&lt;&gt;"Serviço","",IF(AUTOEVENTO="Manual",IF($A166=0,"&lt;-- defina o número do agrupador",OFFSET(EVENTOS!$D$14,$A166,0)),OFFSET($F$15,$A166,0)))</f>
        <v>ESQUADRIAS</v>
      </c>
      <c r="O166" s="178"/>
      <c r="Q166" s="178"/>
      <c r="R166" s="179"/>
      <c r="S166" s="179"/>
      <c r="T166" s="179"/>
      <c r="U166" s="179"/>
      <c r="V166" s="179"/>
      <c r="W166" s="179"/>
      <c r="X166" s="179"/>
      <c r="Y166" s="179"/>
      <c r="Z166" s="180"/>
      <c r="AB166" s="544">
        <f ca="1">IF(AND($D166="Serviço",AB$12&lt;&gt;0,$H166&gt;0,OR(AUTOEVENTO&lt;&gt;"manual",$M166&lt;&gt;1)),
IF(Import.TipoArredondamento&lt;&gt;"TransfereGOV",
ROUND(OFFSET($P166,0,AB$13),15-13*ORÇAMENTO!$AF$7)/$H166*OFFSET(ORÇAMENTO!$X$15,ROW(AB166)-ROW(AB$15),0),
ROUND(ROUND(OFFSET($P166,0,AB$13),15-13*ORÇAMENTO!$AF$7)*OFFSET(ORÇAMENTO!$W$15,ROW(AB166)-ROW(AB$15),0),15-13*ORÇAMENTO!$AF$11)),0)</f>
        <v>0</v>
      </c>
      <c r="AC166" s="545">
        <f ca="1">IF(AND($D166="Serviço",AC$12&lt;&gt;0,$H166&gt;0,OR(AUTOEVENTO&lt;&gt;"manual",$M166&lt;&gt;1)),
IF(Import.TipoArredondamento&lt;&gt;"TransfereGOV",
ROUND(OFFSET($P166,0,AC$13),15-13*ORÇAMENTO!$AF$7)/$H166*OFFSET(ORÇAMENTO!$X$15,ROW(AC166)-ROW(AC$15),0),
ROUND(ROUND(OFFSET($P166,0,AC$13),15-13*ORÇAMENTO!$AF$7)*OFFSET(ORÇAMENTO!$W$15,ROW(AC166)-ROW(AC$15),0),15-13*ORÇAMENTO!$AF$11)),0)</f>
        <v>0</v>
      </c>
      <c r="AD166" s="545">
        <f ca="1">IF(AND($D166="Serviço",AD$12&lt;&gt;0,$H166&gt;0,OR(AUTOEVENTO&lt;&gt;"manual",$M166&lt;&gt;1)),
IF(Import.TipoArredondamento&lt;&gt;"TransfereGOV",
ROUND(OFFSET($P166,0,AD$13),15-13*ORÇAMENTO!$AF$7)/$H166*OFFSET(ORÇAMENTO!$X$15,ROW(AD166)-ROW(AD$15),0),
ROUND(ROUND(OFFSET($P166,0,AD$13),15-13*ORÇAMENTO!$AF$7)*OFFSET(ORÇAMENTO!$W$15,ROW(AD166)-ROW(AD$15),0),15-13*ORÇAMENTO!$AF$11)),0)</f>
        <v>0</v>
      </c>
      <c r="AE166" s="545">
        <f ca="1">IF(AND($D166="Serviço",AE$12&lt;&gt;0,$H166&gt;0,OR(AUTOEVENTO&lt;&gt;"manual",$M166&lt;&gt;1)),
IF(Import.TipoArredondamento&lt;&gt;"TransfereGOV",
ROUND(OFFSET($P166,0,AE$13),15-13*ORÇAMENTO!$AF$7)/$H166*OFFSET(ORÇAMENTO!$X$15,ROW(AE166)-ROW(AE$15),0),
ROUND(ROUND(OFFSET($P166,0,AE$13),15-13*ORÇAMENTO!$AF$7)*OFFSET(ORÇAMENTO!$W$15,ROW(AE166)-ROW(AE$15),0),15-13*ORÇAMENTO!$AF$11)),0)</f>
        <v>0</v>
      </c>
      <c r="AF166" s="545">
        <f ca="1">IF(AND($D166="Serviço",AF$12&lt;&gt;0,$H166&gt;0,OR(AUTOEVENTO&lt;&gt;"manual",$M166&lt;&gt;1)),
IF(Import.TipoArredondamento&lt;&gt;"TransfereGOV",
ROUND(OFFSET($P166,0,AF$13),15-13*ORÇAMENTO!$AF$7)/$H166*OFFSET(ORÇAMENTO!$X$15,ROW(AF166)-ROW(AF$15),0),
ROUND(ROUND(OFFSET($P166,0,AF$13),15-13*ORÇAMENTO!$AF$7)*OFFSET(ORÇAMENTO!$W$15,ROW(AF166)-ROW(AF$15),0),15-13*ORÇAMENTO!$AF$11)),0)</f>
        <v>0</v>
      </c>
      <c r="AG166" s="545">
        <f ca="1">IF(AND($D166="Serviço",AG$12&lt;&gt;0,$H166&gt;0,OR(AUTOEVENTO&lt;&gt;"manual",$M166&lt;&gt;1)),
IF(Import.TipoArredondamento&lt;&gt;"TransfereGOV",
ROUND(OFFSET($P166,0,AG$13),15-13*ORÇAMENTO!$AF$7)/$H166*OFFSET(ORÇAMENTO!$X$15,ROW(AG166)-ROW(AG$15),0),
ROUND(ROUND(OFFSET($P166,0,AG$13),15-13*ORÇAMENTO!$AF$7)*OFFSET(ORÇAMENTO!$W$15,ROW(AG166)-ROW(AG$15),0),15-13*ORÇAMENTO!$AF$11)),0)</f>
        <v>0</v>
      </c>
      <c r="AH166" s="545">
        <f ca="1">IF(AND($D166="Serviço",AH$12&lt;&gt;0,$H166&gt;0,OR(AUTOEVENTO&lt;&gt;"manual",$M166&lt;&gt;1)),
IF(Import.TipoArredondamento&lt;&gt;"TransfereGOV",
ROUND(OFFSET($P166,0,AH$13),15-13*ORÇAMENTO!$AF$7)/$H166*OFFSET(ORÇAMENTO!$X$15,ROW(AH166)-ROW(AH$15),0),
ROUND(ROUND(OFFSET($P166,0,AH$13),15-13*ORÇAMENTO!$AF$7)*OFFSET(ORÇAMENTO!$W$15,ROW(AH166)-ROW(AH$15),0),15-13*ORÇAMENTO!$AF$11)),0)</f>
        <v>0</v>
      </c>
      <c r="AI166" s="545">
        <f ca="1">IF(AND($D166="Serviço",AI$12&lt;&gt;0,$H166&gt;0,OR(AUTOEVENTO&lt;&gt;"manual",$M166&lt;&gt;1)),
IF(Import.TipoArredondamento&lt;&gt;"TransfereGOV",
ROUND(OFFSET($P166,0,AI$13),15-13*ORÇAMENTO!$AF$7)/$H166*OFFSET(ORÇAMENTO!$X$15,ROW(AI166)-ROW(AI$15),0),
ROUND(ROUND(OFFSET($P166,0,AI$13),15-13*ORÇAMENTO!$AF$7)*OFFSET(ORÇAMENTO!$W$15,ROW(AI166)-ROW(AI$15),0),15-13*ORÇAMENTO!$AF$11)),0)</f>
        <v>0</v>
      </c>
      <c r="AJ166" s="545">
        <f ca="1">IF(AND($D166="Serviço",AJ$12&lt;&gt;0,$H166&gt;0,OR(AUTOEVENTO&lt;&gt;"manual",$M166&lt;&gt;1)),
IF(Import.TipoArredondamento&lt;&gt;"TransfereGOV",
ROUND(OFFSET($P166,0,AJ$13),15-13*ORÇAMENTO!$AF$7)/$H166*OFFSET(ORÇAMENTO!$X$15,ROW(AJ166)-ROW(AJ$15),0),
ROUND(ROUND(OFFSET($P166,0,AJ$13),15-13*ORÇAMENTO!$AF$7)*OFFSET(ORÇAMENTO!$W$15,ROW(AJ166)-ROW(AJ$15),0),15-13*ORÇAMENTO!$AF$11)),0)</f>
        <v>0</v>
      </c>
      <c r="AK166" s="546">
        <f ca="1">IF(AND($D166="Serviço",AK$12&lt;&gt;0,$H166&gt;0,OR(AUTOEVENTO&lt;&gt;"manual",$M166&lt;&gt;1)),
IF(Import.TipoArredondamento&lt;&gt;"TransfereGOV",
ROUND(OFFSET($P166,0,AK$13),15-13*ORÇAMENTO!$AF$7)/$H166*OFFSET(ORÇAMENTO!$X$15,ROW(AK166)-ROW(AK$15),0),
ROUND(ROUND(OFFSET($P166,0,AK$13),15-13*ORÇAMENTO!$AF$7)*OFFSET(ORÇAMENTO!$W$15,ROW(AK166)-ROW(AK$15),0),15-13*ORÇAMENTO!$AF$11)),0)</f>
        <v>0</v>
      </c>
      <c r="AM166" s="181">
        <f ca="1">IF($D166&lt;&gt;"Serviço",0,IF(AND(AUTOEVENTO="Manual",$M166=1),0,IF(OFFSET(CRONOPLE!$F$14,$M166,AM$13)="",10^12,OFFSET(CRONOPLE!$F$14,$M166,AM$13))))</f>
        <v>1000000000000</v>
      </c>
      <c r="AN166" s="181">
        <f ca="1">IF($D166&lt;&gt;"Serviço",0,IF(AND(AUTOEVENTO="Manual",$M166=1),0,IF(OFFSET(CRONOPLE!$F$14,$M166,AN$13)="",10^12,OFFSET(CRONOPLE!$F$14,$M166,AN$13))))</f>
        <v>1000000000000</v>
      </c>
      <c r="AO166" s="181">
        <f ca="1">IF($D166&lt;&gt;"Serviço",0,IF(AND(AUTOEVENTO="Manual",$M166=1),0,IF(OFFSET(CRONOPLE!$F$14,$M166,AO$13)="",10^12,OFFSET(CRONOPLE!$F$14,$M166,AO$13))))</f>
        <v>1000000000000</v>
      </c>
      <c r="AP166" s="181">
        <f ca="1">IF($D166&lt;&gt;"Serviço",0,IF(AND(AUTOEVENTO="Manual",$M166=1),0,IF(OFFSET(CRONOPLE!$F$14,$M166,AP$13)="",10^12,OFFSET(CRONOPLE!$F$14,$M166,AP$13))))</f>
        <v>1000000000000</v>
      </c>
      <c r="AQ166" s="181">
        <f ca="1">IF($D166&lt;&gt;"Serviço",0,IF(AND(AUTOEVENTO="Manual",$M166=1),0,IF(OFFSET(CRONOPLE!$F$14,$M166,AQ$13)="",10^12,OFFSET(CRONOPLE!$F$14,$M166,AQ$13))))</f>
        <v>1000000000000</v>
      </c>
      <c r="AR166" s="181">
        <f ca="1">IF($D166&lt;&gt;"Serviço",0,IF(AND(AUTOEVENTO="Manual",$M166=1),0,IF(OFFSET(CRONOPLE!$F$14,$M166,AR$13)="",10^12,OFFSET(CRONOPLE!$F$14,$M166,AR$13))))</f>
        <v>1000000000000</v>
      </c>
      <c r="AS166" s="181">
        <f ca="1">IF($D166&lt;&gt;"Serviço",0,IF(AND(AUTOEVENTO="Manual",$M166=1),0,IF(OFFSET(CRONOPLE!$F$14,$M166,AS$13)="",10^12,OFFSET(CRONOPLE!$F$14,$M166,AS$13))))</f>
        <v>1000000000000</v>
      </c>
      <c r="AT166" s="181">
        <f ca="1">IF($D166&lt;&gt;"Serviço",0,IF(AND(AUTOEVENTO="Manual",$M166=1),0,IF(OFFSET(CRONOPLE!$F$14,$M166,AT$13)="",10^12,OFFSET(CRONOPLE!$F$14,$M166,AT$13))))</f>
        <v>1000000000000</v>
      </c>
      <c r="AU166" s="181">
        <f ca="1">IF($D166&lt;&gt;"Serviço",0,IF(AND(AUTOEVENTO="Manual",$M166=1),0,IF(OFFSET(CRONOPLE!$F$14,$M166,AU$13)="",10^12,OFFSET(CRONOPLE!$F$14,$M166,AU$13))))</f>
        <v>1000000000000</v>
      </c>
      <c r="AV166" s="181">
        <f ca="1">IF($D166&lt;&gt;"Serviço",0,IF(AND(AUTOEVENTO="Manual",$M166=1),0,IF(OFFSET(CRONOPLE!$F$14,$M166,AV$13)="",10^12,OFFSET(CRONOPLE!$F$14,$M166,AV$13))))</f>
        <v>1000000000000</v>
      </c>
      <c r="AX166" s="182">
        <f ca="1">IF($D166&lt;&gt;"Serviço",0,IF(OR(AND(AUTOEVENTO="Manual",$M166=1),$M166&gt;(ROW(PLE.lastrow)-ROW(PLE.firstrow))),0,IF(OFFSET(PLE!$G$14,$M166,AX$13)="",10^12,OFFSET(PLE!$G$14,$M166,AX$13))))</f>
        <v>1000000000000</v>
      </c>
      <c r="AY166" s="182">
        <f ca="1">IF($D166&lt;&gt;"Serviço",0,IF(OR(AND(AUTOEVENTO="Manual",$M166=1),$M166&gt;(ROW(PLE.lastrow)-ROW(PLE.firstrow))),0,IF(OFFSET(PLE!$G$14,$M166,AY$13)="",10^12,OFFSET(PLE!$G$14,$M166,AY$13))))</f>
        <v>1000000000000</v>
      </c>
      <c r="AZ166" s="182">
        <f ca="1">IF($D166&lt;&gt;"Serviço",0,IF(OR(AND(AUTOEVENTO="Manual",$M166=1),$M166&gt;(ROW(PLE.lastrow)-ROW(PLE.firstrow))),0,IF(OFFSET(PLE!$G$14,$M166,AZ$13)="",10^12,OFFSET(PLE!$G$14,$M166,AZ$13))))</f>
        <v>1000000000000</v>
      </c>
      <c r="BA166" s="182">
        <f ca="1">IF($D166&lt;&gt;"Serviço",0,IF(OR(AND(AUTOEVENTO="Manual",$M166=1),$M166&gt;(ROW(PLE.lastrow)-ROW(PLE.firstrow))),0,IF(OFFSET(PLE!$G$14,$M166,BA$13)="",10^12,OFFSET(PLE!$G$14,$M166,BA$13))))</f>
        <v>1000000000000</v>
      </c>
      <c r="BB166" s="182">
        <f ca="1">IF($D166&lt;&gt;"Serviço",0,IF(OR(AND(AUTOEVENTO="Manual",$M166=1),$M166&gt;(ROW(PLE.lastrow)-ROW(PLE.firstrow))),0,IF(OFFSET(PLE!$G$14,$M166,BB$13)="",10^12,OFFSET(PLE!$G$14,$M166,BB$13))))</f>
        <v>1000000000000</v>
      </c>
      <c r="BC166" s="182">
        <f ca="1">IF($D166&lt;&gt;"Serviço",0,IF(OR(AND(AUTOEVENTO="Manual",$M166=1),$M166&gt;(ROW(PLE.lastrow)-ROW(PLE.firstrow))),0,IF(OFFSET(PLE!$G$14,$M166,BC$13)="",10^12,OFFSET(PLE!$G$14,$M166,BC$13))))</f>
        <v>1000000000000</v>
      </c>
      <c r="BD166" s="182">
        <f ca="1">IF($D166&lt;&gt;"Serviço",0,IF(OR(AND(AUTOEVENTO="Manual",$M166=1),$M166&gt;(ROW(PLE.lastrow)-ROW(PLE.firstrow))),0,IF(OFFSET(PLE!$G$14,$M166,BD$13)="",10^12,OFFSET(PLE!$G$14,$M166,BD$13))))</f>
        <v>1000000000000</v>
      </c>
      <c r="BE166" s="182">
        <f ca="1">IF($D166&lt;&gt;"Serviço",0,IF(OR(AND(AUTOEVENTO="Manual",$M166=1),$M166&gt;(ROW(PLE.lastrow)-ROW(PLE.firstrow))),0,IF(OFFSET(PLE!$G$14,$M166,BE$13)="",10^12,OFFSET(PLE!$G$14,$M166,BE$13))))</f>
        <v>1000000000000</v>
      </c>
      <c r="BF166" s="182">
        <f ca="1">IF($D166&lt;&gt;"Serviço",0,IF(OR(AND(AUTOEVENTO="Manual",$M166=1),$M166&gt;(ROW(PLE.lastrow)-ROW(PLE.firstrow))),0,IF(OFFSET(PLE!$G$14,$M166,BF$13)="",10^12,OFFSET(PLE!$G$14,$M166,BF$13))))</f>
        <v>1000000000000</v>
      </c>
      <c r="BG166" s="182">
        <f ca="1">IF($D166&lt;&gt;"Serviço",0,IF(OR(AND(AUTOEVENTO="Manual",$M166=1),$M166&gt;(ROW(PLE.lastrow)-ROW(PLE.firstrow))),0,IF(OFFSET(PLE!$G$14,$M166,BG$13)="",10^12,OFFSET(PLE!$G$14,$M166,BG$13))))</f>
        <v>1000000000000</v>
      </c>
    </row>
    <row r="167" spans="1:59" ht="38.25" x14ac:dyDescent="0.2">
      <c r="A167" s="7" t="str">
        <f t="shared" ca="1" si="10"/>
        <v>108</v>
      </c>
      <c r="B167" s="7" t="str">
        <f ca="1">OFFSET(ORÇAMENTO!C$15,ROW(B167)-ROW(B$15),0)</f>
        <v>S</v>
      </c>
      <c r="C167" s="7" t="str">
        <f ca="1">OFFSET(ORÇAMENTO!L$15,ROW(C167)-ROW(C$15),0)</f>
        <v/>
      </c>
      <c r="D167" s="118" t="str">
        <f ca="1">OFFSET(ORÇAMENTO!N$15,ROW(D167)-ROW(D$15),0)</f>
        <v>Serviço</v>
      </c>
      <c r="E167" s="119" t="str">
        <f ca="1">OFFSET(ORÇAMENTO!O$15,ROW(E167)-ROW(E$15),0)</f>
        <v>-</v>
      </c>
      <c r="F167" s="172" t="str">
        <f ca="1">OFFSET(ORÇAMENTO!R$15,ROW(F167)-ROW(F$15),0)</f>
        <v>(abra o arquivo 'Referência 02-2025.xlsm)</v>
      </c>
      <c r="G167" s="173" t="str">
        <f ca="1">IF($D167&lt;&gt;"Serviço","",OFFSET(ORÇAMENTO!S$15,ROW(G167)-ROW(G$15),0))</f>
        <v>-</v>
      </c>
      <c r="H167" s="124">
        <f ca="1">IF($D167&lt;&gt;"Serviço",0,IF(ACOMPANHAMENTO="BM",ROUND(OFFSET(ORÇAMENTO!AJ$15,ROW(H167)-ROW(H$15),0),15-13*ORÇAMENTO!$AF$7),SUMPRODUCT(($Q$12:$AA$12&lt;&gt;"")*ROUND($Q167:$AA167,15-13*ORÇAMENTO!$AF$7))))</f>
        <v>7.35</v>
      </c>
      <c r="I167" s="561" t="s">
        <v>890</v>
      </c>
      <c r="K167" s="174"/>
      <c r="L167" s="175" t="s">
        <v>255</v>
      </c>
      <c r="M167" s="176">
        <f ca="1">IF($D167&lt;&gt;"Serviço","",IF(AUTOEVENTO="manual",$A167,IF(ISERROR(MATCH($A167,$A$15:OFFSET($A167,-1,0),0)),MAX($M$15:OFFSET(M167,-1,0))+1,INDEX($M$15:OFFSET(M167,-1,0),MATCH($A167,$A$15:OFFSET($A167,-1,0),0)))))</f>
        <v>7</v>
      </c>
      <c r="N167" s="177" t="str">
        <f ca="1">IF($D167&lt;&gt;"Serviço","",IF(AUTOEVENTO="Manual",IF($A167=0,"&lt;-- defina o número do agrupador",OFFSET(EVENTOS!$D$14,$A167,0)),OFFSET($F$15,$A167,0)))</f>
        <v>ESQUADRIAS</v>
      </c>
      <c r="O167" s="178"/>
      <c r="Q167" s="178"/>
      <c r="R167" s="179"/>
      <c r="S167" s="179"/>
      <c r="T167" s="179"/>
      <c r="U167" s="179"/>
      <c r="V167" s="179"/>
      <c r="W167" s="179"/>
      <c r="X167" s="179"/>
      <c r="Y167" s="179"/>
      <c r="Z167" s="180"/>
      <c r="AB167" s="544">
        <f ca="1">IF(AND($D167="Serviço",AB$12&lt;&gt;0,$H167&gt;0,OR(AUTOEVENTO&lt;&gt;"manual",$M167&lt;&gt;1)),
IF(Import.TipoArredondamento&lt;&gt;"TransfereGOV",
ROUND(OFFSET($P167,0,AB$13),15-13*ORÇAMENTO!$AF$7)/$H167*OFFSET(ORÇAMENTO!$X$15,ROW(AB167)-ROW(AB$15),0),
ROUND(ROUND(OFFSET($P167,0,AB$13),15-13*ORÇAMENTO!$AF$7)*OFFSET(ORÇAMENTO!$W$15,ROW(AB167)-ROW(AB$15),0),15-13*ORÇAMENTO!$AF$11)),0)</f>
        <v>0</v>
      </c>
      <c r="AC167" s="545">
        <f ca="1">IF(AND($D167="Serviço",AC$12&lt;&gt;0,$H167&gt;0,OR(AUTOEVENTO&lt;&gt;"manual",$M167&lt;&gt;1)),
IF(Import.TipoArredondamento&lt;&gt;"TransfereGOV",
ROUND(OFFSET($P167,0,AC$13),15-13*ORÇAMENTO!$AF$7)/$H167*OFFSET(ORÇAMENTO!$X$15,ROW(AC167)-ROW(AC$15),0),
ROUND(ROUND(OFFSET($P167,0,AC$13),15-13*ORÇAMENTO!$AF$7)*OFFSET(ORÇAMENTO!$W$15,ROW(AC167)-ROW(AC$15),0),15-13*ORÇAMENTO!$AF$11)),0)</f>
        <v>0</v>
      </c>
      <c r="AD167" s="545">
        <f ca="1">IF(AND($D167="Serviço",AD$12&lt;&gt;0,$H167&gt;0,OR(AUTOEVENTO&lt;&gt;"manual",$M167&lt;&gt;1)),
IF(Import.TipoArredondamento&lt;&gt;"TransfereGOV",
ROUND(OFFSET($P167,0,AD$13),15-13*ORÇAMENTO!$AF$7)/$H167*OFFSET(ORÇAMENTO!$X$15,ROW(AD167)-ROW(AD$15),0),
ROUND(ROUND(OFFSET($P167,0,AD$13),15-13*ORÇAMENTO!$AF$7)*OFFSET(ORÇAMENTO!$W$15,ROW(AD167)-ROW(AD$15),0),15-13*ORÇAMENTO!$AF$11)),0)</f>
        <v>0</v>
      </c>
      <c r="AE167" s="545">
        <f ca="1">IF(AND($D167="Serviço",AE$12&lt;&gt;0,$H167&gt;0,OR(AUTOEVENTO&lt;&gt;"manual",$M167&lt;&gt;1)),
IF(Import.TipoArredondamento&lt;&gt;"TransfereGOV",
ROUND(OFFSET($P167,0,AE$13),15-13*ORÇAMENTO!$AF$7)/$H167*OFFSET(ORÇAMENTO!$X$15,ROW(AE167)-ROW(AE$15),0),
ROUND(ROUND(OFFSET($P167,0,AE$13),15-13*ORÇAMENTO!$AF$7)*OFFSET(ORÇAMENTO!$W$15,ROW(AE167)-ROW(AE$15),0),15-13*ORÇAMENTO!$AF$11)),0)</f>
        <v>0</v>
      </c>
      <c r="AF167" s="545">
        <f ca="1">IF(AND($D167="Serviço",AF$12&lt;&gt;0,$H167&gt;0,OR(AUTOEVENTO&lt;&gt;"manual",$M167&lt;&gt;1)),
IF(Import.TipoArredondamento&lt;&gt;"TransfereGOV",
ROUND(OFFSET($P167,0,AF$13),15-13*ORÇAMENTO!$AF$7)/$H167*OFFSET(ORÇAMENTO!$X$15,ROW(AF167)-ROW(AF$15),0),
ROUND(ROUND(OFFSET($P167,0,AF$13),15-13*ORÇAMENTO!$AF$7)*OFFSET(ORÇAMENTO!$W$15,ROW(AF167)-ROW(AF$15),0),15-13*ORÇAMENTO!$AF$11)),0)</f>
        <v>0</v>
      </c>
      <c r="AG167" s="545">
        <f ca="1">IF(AND($D167="Serviço",AG$12&lt;&gt;0,$H167&gt;0,OR(AUTOEVENTO&lt;&gt;"manual",$M167&lt;&gt;1)),
IF(Import.TipoArredondamento&lt;&gt;"TransfereGOV",
ROUND(OFFSET($P167,0,AG$13),15-13*ORÇAMENTO!$AF$7)/$H167*OFFSET(ORÇAMENTO!$X$15,ROW(AG167)-ROW(AG$15),0),
ROUND(ROUND(OFFSET($P167,0,AG$13),15-13*ORÇAMENTO!$AF$7)*OFFSET(ORÇAMENTO!$W$15,ROW(AG167)-ROW(AG$15),0),15-13*ORÇAMENTO!$AF$11)),0)</f>
        <v>0</v>
      </c>
      <c r="AH167" s="545">
        <f ca="1">IF(AND($D167="Serviço",AH$12&lt;&gt;0,$H167&gt;0,OR(AUTOEVENTO&lt;&gt;"manual",$M167&lt;&gt;1)),
IF(Import.TipoArredondamento&lt;&gt;"TransfereGOV",
ROUND(OFFSET($P167,0,AH$13),15-13*ORÇAMENTO!$AF$7)/$H167*OFFSET(ORÇAMENTO!$X$15,ROW(AH167)-ROW(AH$15),0),
ROUND(ROUND(OFFSET($P167,0,AH$13),15-13*ORÇAMENTO!$AF$7)*OFFSET(ORÇAMENTO!$W$15,ROW(AH167)-ROW(AH$15),0),15-13*ORÇAMENTO!$AF$11)),0)</f>
        <v>0</v>
      </c>
      <c r="AI167" s="545">
        <f ca="1">IF(AND($D167="Serviço",AI$12&lt;&gt;0,$H167&gt;0,OR(AUTOEVENTO&lt;&gt;"manual",$M167&lt;&gt;1)),
IF(Import.TipoArredondamento&lt;&gt;"TransfereGOV",
ROUND(OFFSET($P167,0,AI$13),15-13*ORÇAMENTO!$AF$7)/$H167*OFFSET(ORÇAMENTO!$X$15,ROW(AI167)-ROW(AI$15),0),
ROUND(ROUND(OFFSET($P167,0,AI$13),15-13*ORÇAMENTO!$AF$7)*OFFSET(ORÇAMENTO!$W$15,ROW(AI167)-ROW(AI$15),0),15-13*ORÇAMENTO!$AF$11)),0)</f>
        <v>0</v>
      </c>
      <c r="AJ167" s="545">
        <f ca="1">IF(AND($D167="Serviço",AJ$12&lt;&gt;0,$H167&gt;0,OR(AUTOEVENTO&lt;&gt;"manual",$M167&lt;&gt;1)),
IF(Import.TipoArredondamento&lt;&gt;"TransfereGOV",
ROUND(OFFSET($P167,0,AJ$13),15-13*ORÇAMENTO!$AF$7)/$H167*OFFSET(ORÇAMENTO!$X$15,ROW(AJ167)-ROW(AJ$15),0),
ROUND(ROUND(OFFSET($P167,0,AJ$13),15-13*ORÇAMENTO!$AF$7)*OFFSET(ORÇAMENTO!$W$15,ROW(AJ167)-ROW(AJ$15),0),15-13*ORÇAMENTO!$AF$11)),0)</f>
        <v>0</v>
      </c>
      <c r="AK167" s="546">
        <f ca="1">IF(AND($D167="Serviço",AK$12&lt;&gt;0,$H167&gt;0,OR(AUTOEVENTO&lt;&gt;"manual",$M167&lt;&gt;1)),
IF(Import.TipoArredondamento&lt;&gt;"TransfereGOV",
ROUND(OFFSET($P167,0,AK$13),15-13*ORÇAMENTO!$AF$7)/$H167*OFFSET(ORÇAMENTO!$X$15,ROW(AK167)-ROW(AK$15),0),
ROUND(ROUND(OFFSET($P167,0,AK$13),15-13*ORÇAMENTO!$AF$7)*OFFSET(ORÇAMENTO!$W$15,ROW(AK167)-ROW(AK$15),0),15-13*ORÇAMENTO!$AF$11)),0)</f>
        <v>0</v>
      </c>
      <c r="AM167" s="181">
        <f ca="1">IF($D167&lt;&gt;"Serviço",0,IF(AND(AUTOEVENTO="Manual",$M167=1),0,IF(OFFSET(CRONOPLE!$F$14,$M167,AM$13)="",10^12,OFFSET(CRONOPLE!$F$14,$M167,AM$13))))</f>
        <v>1000000000000</v>
      </c>
      <c r="AN167" s="181">
        <f ca="1">IF($D167&lt;&gt;"Serviço",0,IF(AND(AUTOEVENTO="Manual",$M167=1),0,IF(OFFSET(CRONOPLE!$F$14,$M167,AN$13)="",10^12,OFFSET(CRONOPLE!$F$14,$M167,AN$13))))</f>
        <v>1000000000000</v>
      </c>
      <c r="AO167" s="181">
        <f ca="1">IF($D167&lt;&gt;"Serviço",0,IF(AND(AUTOEVENTO="Manual",$M167=1),0,IF(OFFSET(CRONOPLE!$F$14,$M167,AO$13)="",10^12,OFFSET(CRONOPLE!$F$14,$M167,AO$13))))</f>
        <v>1000000000000</v>
      </c>
      <c r="AP167" s="181">
        <f ca="1">IF($D167&lt;&gt;"Serviço",0,IF(AND(AUTOEVENTO="Manual",$M167=1),0,IF(OFFSET(CRONOPLE!$F$14,$M167,AP$13)="",10^12,OFFSET(CRONOPLE!$F$14,$M167,AP$13))))</f>
        <v>1000000000000</v>
      </c>
      <c r="AQ167" s="181">
        <f ca="1">IF($D167&lt;&gt;"Serviço",0,IF(AND(AUTOEVENTO="Manual",$M167=1),0,IF(OFFSET(CRONOPLE!$F$14,$M167,AQ$13)="",10^12,OFFSET(CRONOPLE!$F$14,$M167,AQ$13))))</f>
        <v>1000000000000</v>
      </c>
      <c r="AR167" s="181">
        <f ca="1">IF($D167&lt;&gt;"Serviço",0,IF(AND(AUTOEVENTO="Manual",$M167=1),0,IF(OFFSET(CRONOPLE!$F$14,$M167,AR$13)="",10^12,OFFSET(CRONOPLE!$F$14,$M167,AR$13))))</f>
        <v>1000000000000</v>
      </c>
      <c r="AS167" s="181">
        <f ca="1">IF($D167&lt;&gt;"Serviço",0,IF(AND(AUTOEVENTO="Manual",$M167=1),0,IF(OFFSET(CRONOPLE!$F$14,$M167,AS$13)="",10^12,OFFSET(CRONOPLE!$F$14,$M167,AS$13))))</f>
        <v>1000000000000</v>
      </c>
      <c r="AT167" s="181">
        <f ca="1">IF($D167&lt;&gt;"Serviço",0,IF(AND(AUTOEVENTO="Manual",$M167=1),0,IF(OFFSET(CRONOPLE!$F$14,$M167,AT$13)="",10^12,OFFSET(CRONOPLE!$F$14,$M167,AT$13))))</f>
        <v>1000000000000</v>
      </c>
      <c r="AU167" s="181">
        <f ca="1">IF($D167&lt;&gt;"Serviço",0,IF(AND(AUTOEVENTO="Manual",$M167=1),0,IF(OFFSET(CRONOPLE!$F$14,$M167,AU$13)="",10^12,OFFSET(CRONOPLE!$F$14,$M167,AU$13))))</f>
        <v>1000000000000</v>
      </c>
      <c r="AV167" s="181">
        <f ca="1">IF($D167&lt;&gt;"Serviço",0,IF(AND(AUTOEVENTO="Manual",$M167=1),0,IF(OFFSET(CRONOPLE!$F$14,$M167,AV$13)="",10^12,OFFSET(CRONOPLE!$F$14,$M167,AV$13))))</f>
        <v>1000000000000</v>
      </c>
      <c r="AX167" s="182">
        <f ca="1">IF($D167&lt;&gt;"Serviço",0,IF(OR(AND(AUTOEVENTO="Manual",$M167=1),$M167&gt;(ROW(PLE.lastrow)-ROW(PLE.firstrow))),0,IF(OFFSET(PLE!$G$14,$M167,AX$13)="",10^12,OFFSET(PLE!$G$14,$M167,AX$13))))</f>
        <v>1000000000000</v>
      </c>
      <c r="AY167" s="182">
        <f ca="1">IF($D167&lt;&gt;"Serviço",0,IF(OR(AND(AUTOEVENTO="Manual",$M167=1),$M167&gt;(ROW(PLE.lastrow)-ROW(PLE.firstrow))),0,IF(OFFSET(PLE!$G$14,$M167,AY$13)="",10^12,OFFSET(PLE!$G$14,$M167,AY$13))))</f>
        <v>1000000000000</v>
      </c>
      <c r="AZ167" s="182">
        <f ca="1">IF($D167&lt;&gt;"Serviço",0,IF(OR(AND(AUTOEVENTO="Manual",$M167=1),$M167&gt;(ROW(PLE.lastrow)-ROW(PLE.firstrow))),0,IF(OFFSET(PLE!$G$14,$M167,AZ$13)="",10^12,OFFSET(PLE!$G$14,$M167,AZ$13))))</f>
        <v>1000000000000</v>
      </c>
      <c r="BA167" s="182">
        <f ca="1">IF($D167&lt;&gt;"Serviço",0,IF(OR(AND(AUTOEVENTO="Manual",$M167=1),$M167&gt;(ROW(PLE.lastrow)-ROW(PLE.firstrow))),0,IF(OFFSET(PLE!$G$14,$M167,BA$13)="",10^12,OFFSET(PLE!$G$14,$M167,BA$13))))</f>
        <v>1000000000000</v>
      </c>
      <c r="BB167" s="182">
        <f ca="1">IF($D167&lt;&gt;"Serviço",0,IF(OR(AND(AUTOEVENTO="Manual",$M167=1),$M167&gt;(ROW(PLE.lastrow)-ROW(PLE.firstrow))),0,IF(OFFSET(PLE!$G$14,$M167,BB$13)="",10^12,OFFSET(PLE!$G$14,$M167,BB$13))))</f>
        <v>1000000000000</v>
      </c>
      <c r="BC167" s="182">
        <f ca="1">IF($D167&lt;&gt;"Serviço",0,IF(OR(AND(AUTOEVENTO="Manual",$M167=1),$M167&gt;(ROW(PLE.lastrow)-ROW(PLE.firstrow))),0,IF(OFFSET(PLE!$G$14,$M167,BC$13)="",10^12,OFFSET(PLE!$G$14,$M167,BC$13))))</f>
        <v>1000000000000</v>
      </c>
      <c r="BD167" s="182">
        <f ca="1">IF($D167&lt;&gt;"Serviço",0,IF(OR(AND(AUTOEVENTO="Manual",$M167=1),$M167&gt;(ROW(PLE.lastrow)-ROW(PLE.firstrow))),0,IF(OFFSET(PLE!$G$14,$M167,BD$13)="",10^12,OFFSET(PLE!$G$14,$M167,BD$13))))</f>
        <v>1000000000000</v>
      </c>
      <c r="BE167" s="182">
        <f ca="1">IF($D167&lt;&gt;"Serviço",0,IF(OR(AND(AUTOEVENTO="Manual",$M167=1),$M167&gt;(ROW(PLE.lastrow)-ROW(PLE.firstrow))),0,IF(OFFSET(PLE!$G$14,$M167,BE$13)="",10^12,OFFSET(PLE!$G$14,$M167,BE$13))))</f>
        <v>1000000000000</v>
      </c>
      <c r="BF167" s="182">
        <f ca="1">IF($D167&lt;&gt;"Serviço",0,IF(OR(AND(AUTOEVENTO="Manual",$M167=1),$M167&gt;(ROW(PLE.lastrow)-ROW(PLE.firstrow))),0,IF(OFFSET(PLE!$G$14,$M167,BF$13)="",10^12,OFFSET(PLE!$G$14,$M167,BF$13))))</f>
        <v>1000000000000</v>
      </c>
      <c r="BG167" s="182">
        <f ca="1">IF($D167&lt;&gt;"Serviço",0,IF(OR(AND(AUTOEVENTO="Manual",$M167=1),$M167&gt;(ROW(PLE.lastrow)-ROW(PLE.firstrow))),0,IF(OFFSET(PLE!$G$14,$M167,BG$13)="",10^12,OFFSET(PLE!$G$14,$M167,BG$13))))</f>
        <v>1000000000000</v>
      </c>
    </row>
    <row r="168" spans="1:59" ht="25.5" x14ac:dyDescent="0.2">
      <c r="A168" s="7" t="str">
        <f t="shared" ca="1" si="10"/>
        <v>108</v>
      </c>
      <c r="B168" s="7" t="str">
        <f ca="1">OFFSET(ORÇAMENTO!C$15,ROW(B168)-ROW(B$15),0)</f>
        <v>S</v>
      </c>
      <c r="C168" s="7" t="str">
        <f ca="1">OFFSET(ORÇAMENTO!L$15,ROW(C168)-ROW(C$15),0)</f>
        <v/>
      </c>
      <c r="D168" s="118" t="str">
        <f ca="1">OFFSET(ORÇAMENTO!N$15,ROW(D168)-ROW(D$15),0)</f>
        <v>Serviço</v>
      </c>
      <c r="E168" s="119" t="str">
        <f ca="1">OFFSET(ORÇAMENTO!O$15,ROW(E168)-ROW(E$15),0)</f>
        <v>-</v>
      </c>
      <c r="F168" s="172" t="str">
        <f ca="1">OFFSET(ORÇAMENTO!R$15,ROW(F168)-ROW(F$15),0)</f>
        <v>(abra o arquivo 'Referência 02-2025.xlsm)</v>
      </c>
      <c r="G168" s="173" t="str">
        <f ca="1">IF($D168&lt;&gt;"Serviço","",OFFSET(ORÇAMENTO!S$15,ROW(G168)-ROW(G$15),0))</f>
        <v>-</v>
      </c>
      <c r="H168" s="124">
        <f ca="1">IF($D168&lt;&gt;"Serviço",0,IF(ACOMPANHAMENTO="BM",ROUND(OFFSET(ORÇAMENTO!AJ$15,ROW(H168)-ROW(H$15),0),15-13*ORÇAMENTO!$AF$7),SUMPRODUCT(($Q$12:$AA$12&lt;&gt;"")*ROUND($Q168:$AA168,15-13*ORÇAMENTO!$AF$7))))</f>
        <v>72.819999999999993</v>
      </c>
      <c r="I168" s="561" t="s">
        <v>890</v>
      </c>
      <c r="K168" s="174"/>
      <c r="L168" s="175" t="s">
        <v>255</v>
      </c>
      <c r="M168" s="176">
        <f ca="1">IF($D168&lt;&gt;"Serviço","",IF(AUTOEVENTO="manual",$A168,IF(ISERROR(MATCH($A168,$A$15:OFFSET($A168,-1,0),0)),MAX($M$15:OFFSET(M168,-1,0))+1,INDEX($M$15:OFFSET(M168,-1,0),MATCH($A168,$A$15:OFFSET($A168,-1,0),0)))))</f>
        <v>7</v>
      </c>
      <c r="N168" s="177" t="str">
        <f ca="1">IF($D168&lt;&gt;"Serviço","",IF(AUTOEVENTO="Manual",IF($A168=0,"&lt;-- defina o número do agrupador",OFFSET(EVENTOS!$D$14,$A168,0)),OFFSET($F$15,$A168,0)))</f>
        <v>ESQUADRIAS</v>
      </c>
      <c r="O168" s="178"/>
      <c r="Q168" s="178"/>
      <c r="R168" s="179"/>
      <c r="S168" s="179"/>
      <c r="T168" s="179"/>
      <c r="U168" s="179"/>
      <c r="V168" s="179"/>
      <c r="W168" s="179"/>
      <c r="X168" s="179"/>
      <c r="Y168" s="179"/>
      <c r="Z168" s="180"/>
      <c r="AB168" s="544">
        <f ca="1">IF(AND($D168="Serviço",AB$12&lt;&gt;0,$H168&gt;0,OR(AUTOEVENTO&lt;&gt;"manual",$M168&lt;&gt;1)),
IF(Import.TipoArredondamento&lt;&gt;"TransfereGOV",
ROUND(OFFSET($P168,0,AB$13),15-13*ORÇAMENTO!$AF$7)/$H168*OFFSET(ORÇAMENTO!$X$15,ROW(AB168)-ROW(AB$15),0),
ROUND(ROUND(OFFSET($P168,0,AB$13),15-13*ORÇAMENTO!$AF$7)*OFFSET(ORÇAMENTO!$W$15,ROW(AB168)-ROW(AB$15),0),15-13*ORÇAMENTO!$AF$11)),0)</f>
        <v>0</v>
      </c>
      <c r="AC168" s="545">
        <f ca="1">IF(AND($D168="Serviço",AC$12&lt;&gt;0,$H168&gt;0,OR(AUTOEVENTO&lt;&gt;"manual",$M168&lt;&gt;1)),
IF(Import.TipoArredondamento&lt;&gt;"TransfereGOV",
ROUND(OFFSET($P168,0,AC$13),15-13*ORÇAMENTO!$AF$7)/$H168*OFFSET(ORÇAMENTO!$X$15,ROW(AC168)-ROW(AC$15),0),
ROUND(ROUND(OFFSET($P168,0,AC$13),15-13*ORÇAMENTO!$AF$7)*OFFSET(ORÇAMENTO!$W$15,ROW(AC168)-ROW(AC$15),0),15-13*ORÇAMENTO!$AF$11)),0)</f>
        <v>0</v>
      </c>
      <c r="AD168" s="545">
        <f ca="1">IF(AND($D168="Serviço",AD$12&lt;&gt;0,$H168&gt;0,OR(AUTOEVENTO&lt;&gt;"manual",$M168&lt;&gt;1)),
IF(Import.TipoArredondamento&lt;&gt;"TransfereGOV",
ROUND(OFFSET($P168,0,AD$13),15-13*ORÇAMENTO!$AF$7)/$H168*OFFSET(ORÇAMENTO!$X$15,ROW(AD168)-ROW(AD$15),0),
ROUND(ROUND(OFFSET($P168,0,AD$13),15-13*ORÇAMENTO!$AF$7)*OFFSET(ORÇAMENTO!$W$15,ROW(AD168)-ROW(AD$15),0),15-13*ORÇAMENTO!$AF$11)),0)</f>
        <v>0</v>
      </c>
      <c r="AE168" s="545">
        <f ca="1">IF(AND($D168="Serviço",AE$12&lt;&gt;0,$H168&gt;0,OR(AUTOEVENTO&lt;&gt;"manual",$M168&lt;&gt;1)),
IF(Import.TipoArredondamento&lt;&gt;"TransfereGOV",
ROUND(OFFSET($P168,0,AE$13),15-13*ORÇAMENTO!$AF$7)/$H168*OFFSET(ORÇAMENTO!$X$15,ROW(AE168)-ROW(AE$15),0),
ROUND(ROUND(OFFSET($P168,0,AE$13),15-13*ORÇAMENTO!$AF$7)*OFFSET(ORÇAMENTO!$W$15,ROW(AE168)-ROW(AE$15),0),15-13*ORÇAMENTO!$AF$11)),0)</f>
        <v>0</v>
      </c>
      <c r="AF168" s="545">
        <f ca="1">IF(AND($D168="Serviço",AF$12&lt;&gt;0,$H168&gt;0,OR(AUTOEVENTO&lt;&gt;"manual",$M168&lt;&gt;1)),
IF(Import.TipoArredondamento&lt;&gt;"TransfereGOV",
ROUND(OFFSET($P168,0,AF$13),15-13*ORÇAMENTO!$AF$7)/$H168*OFFSET(ORÇAMENTO!$X$15,ROW(AF168)-ROW(AF$15),0),
ROUND(ROUND(OFFSET($P168,0,AF$13),15-13*ORÇAMENTO!$AF$7)*OFFSET(ORÇAMENTO!$W$15,ROW(AF168)-ROW(AF$15),0),15-13*ORÇAMENTO!$AF$11)),0)</f>
        <v>0</v>
      </c>
      <c r="AG168" s="545">
        <f ca="1">IF(AND($D168="Serviço",AG$12&lt;&gt;0,$H168&gt;0,OR(AUTOEVENTO&lt;&gt;"manual",$M168&lt;&gt;1)),
IF(Import.TipoArredondamento&lt;&gt;"TransfereGOV",
ROUND(OFFSET($P168,0,AG$13),15-13*ORÇAMENTO!$AF$7)/$H168*OFFSET(ORÇAMENTO!$X$15,ROW(AG168)-ROW(AG$15),0),
ROUND(ROUND(OFFSET($P168,0,AG$13),15-13*ORÇAMENTO!$AF$7)*OFFSET(ORÇAMENTO!$W$15,ROW(AG168)-ROW(AG$15),0),15-13*ORÇAMENTO!$AF$11)),0)</f>
        <v>0</v>
      </c>
      <c r="AH168" s="545">
        <f ca="1">IF(AND($D168="Serviço",AH$12&lt;&gt;0,$H168&gt;0,OR(AUTOEVENTO&lt;&gt;"manual",$M168&lt;&gt;1)),
IF(Import.TipoArredondamento&lt;&gt;"TransfereGOV",
ROUND(OFFSET($P168,0,AH$13),15-13*ORÇAMENTO!$AF$7)/$H168*OFFSET(ORÇAMENTO!$X$15,ROW(AH168)-ROW(AH$15),0),
ROUND(ROUND(OFFSET($P168,0,AH$13),15-13*ORÇAMENTO!$AF$7)*OFFSET(ORÇAMENTO!$W$15,ROW(AH168)-ROW(AH$15),0),15-13*ORÇAMENTO!$AF$11)),0)</f>
        <v>0</v>
      </c>
      <c r="AI168" s="545">
        <f ca="1">IF(AND($D168="Serviço",AI$12&lt;&gt;0,$H168&gt;0,OR(AUTOEVENTO&lt;&gt;"manual",$M168&lt;&gt;1)),
IF(Import.TipoArredondamento&lt;&gt;"TransfereGOV",
ROUND(OFFSET($P168,0,AI$13),15-13*ORÇAMENTO!$AF$7)/$H168*OFFSET(ORÇAMENTO!$X$15,ROW(AI168)-ROW(AI$15),0),
ROUND(ROUND(OFFSET($P168,0,AI$13),15-13*ORÇAMENTO!$AF$7)*OFFSET(ORÇAMENTO!$W$15,ROW(AI168)-ROW(AI$15),0),15-13*ORÇAMENTO!$AF$11)),0)</f>
        <v>0</v>
      </c>
      <c r="AJ168" s="545">
        <f ca="1">IF(AND($D168="Serviço",AJ$12&lt;&gt;0,$H168&gt;0,OR(AUTOEVENTO&lt;&gt;"manual",$M168&lt;&gt;1)),
IF(Import.TipoArredondamento&lt;&gt;"TransfereGOV",
ROUND(OFFSET($P168,0,AJ$13),15-13*ORÇAMENTO!$AF$7)/$H168*OFFSET(ORÇAMENTO!$X$15,ROW(AJ168)-ROW(AJ$15),0),
ROUND(ROUND(OFFSET($P168,0,AJ$13),15-13*ORÇAMENTO!$AF$7)*OFFSET(ORÇAMENTO!$W$15,ROW(AJ168)-ROW(AJ$15),0),15-13*ORÇAMENTO!$AF$11)),0)</f>
        <v>0</v>
      </c>
      <c r="AK168" s="546">
        <f ca="1">IF(AND($D168="Serviço",AK$12&lt;&gt;0,$H168&gt;0,OR(AUTOEVENTO&lt;&gt;"manual",$M168&lt;&gt;1)),
IF(Import.TipoArredondamento&lt;&gt;"TransfereGOV",
ROUND(OFFSET($P168,0,AK$13),15-13*ORÇAMENTO!$AF$7)/$H168*OFFSET(ORÇAMENTO!$X$15,ROW(AK168)-ROW(AK$15),0),
ROUND(ROUND(OFFSET($P168,0,AK$13),15-13*ORÇAMENTO!$AF$7)*OFFSET(ORÇAMENTO!$W$15,ROW(AK168)-ROW(AK$15),0),15-13*ORÇAMENTO!$AF$11)),0)</f>
        <v>0</v>
      </c>
      <c r="AM168" s="181">
        <f ca="1">IF($D168&lt;&gt;"Serviço",0,IF(AND(AUTOEVENTO="Manual",$M168=1),0,IF(OFFSET(CRONOPLE!$F$14,$M168,AM$13)="",10^12,OFFSET(CRONOPLE!$F$14,$M168,AM$13))))</f>
        <v>1000000000000</v>
      </c>
      <c r="AN168" s="181">
        <f ca="1">IF($D168&lt;&gt;"Serviço",0,IF(AND(AUTOEVENTO="Manual",$M168=1),0,IF(OFFSET(CRONOPLE!$F$14,$M168,AN$13)="",10^12,OFFSET(CRONOPLE!$F$14,$M168,AN$13))))</f>
        <v>1000000000000</v>
      </c>
      <c r="AO168" s="181">
        <f ca="1">IF($D168&lt;&gt;"Serviço",0,IF(AND(AUTOEVENTO="Manual",$M168=1),0,IF(OFFSET(CRONOPLE!$F$14,$M168,AO$13)="",10^12,OFFSET(CRONOPLE!$F$14,$M168,AO$13))))</f>
        <v>1000000000000</v>
      </c>
      <c r="AP168" s="181">
        <f ca="1">IF($D168&lt;&gt;"Serviço",0,IF(AND(AUTOEVENTO="Manual",$M168=1),0,IF(OFFSET(CRONOPLE!$F$14,$M168,AP$13)="",10^12,OFFSET(CRONOPLE!$F$14,$M168,AP$13))))</f>
        <v>1000000000000</v>
      </c>
      <c r="AQ168" s="181">
        <f ca="1">IF($D168&lt;&gt;"Serviço",0,IF(AND(AUTOEVENTO="Manual",$M168=1),0,IF(OFFSET(CRONOPLE!$F$14,$M168,AQ$13)="",10^12,OFFSET(CRONOPLE!$F$14,$M168,AQ$13))))</f>
        <v>1000000000000</v>
      </c>
      <c r="AR168" s="181">
        <f ca="1">IF($D168&lt;&gt;"Serviço",0,IF(AND(AUTOEVENTO="Manual",$M168=1),0,IF(OFFSET(CRONOPLE!$F$14,$M168,AR$13)="",10^12,OFFSET(CRONOPLE!$F$14,$M168,AR$13))))</f>
        <v>1000000000000</v>
      </c>
      <c r="AS168" s="181">
        <f ca="1">IF($D168&lt;&gt;"Serviço",0,IF(AND(AUTOEVENTO="Manual",$M168=1),0,IF(OFFSET(CRONOPLE!$F$14,$M168,AS$13)="",10^12,OFFSET(CRONOPLE!$F$14,$M168,AS$13))))</f>
        <v>1000000000000</v>
      </c>
      <c r="AT168" s="181">
        <f ca="1">IF($D168&lt;&gt;"Serviço",0,IF(AND(AUTOEVENTO="Manual",$M168=1),0,IF(OFFSET(CRONOPLE!$F$14,$M168,AT$13)="",10^12,OFFSET(CRONOPLE!$F$14,$M168,AT$13))))</f>
        <v>1000000000000</v>
      </c>
      <c r="AU168" s="181">
        <f ca="1">IF($D168&lt;&gt;"Serviço",0,IF(AND(AUTOEVENTO="Manual",$M168=1),0,IF(OFFSET(CRONOPLE!$F$14,$M168,AU$13)="",10^12,OFFSET(CRONOPLE!$F$14,$M168,AU$13))))</f>
        <v>1000000000000</v>
      </c>
      <c r="AV168" s="181">
        <f ca="1">IF($D168&lt;&gt;"Serviço",0,IF(AND(AUTOEVENTO="Manual",$M168=1),0,IF(OFFSET(CRONOPLE!$F$14,$M168,AV$13)="",10^12,OFFSET(CRONOPLE!$F$14,$M168,AV$13))))</f>
        <v>1000000000000</v>
      </c>
      <c r="AX168" s="182">
        <f ca="1">IF($D168&lt;&gt;"Serviço",0,IF(OR(AND(AUTOEVENTO="Manual",$M168=1),$M168&gt;(ROW(PLE.lastrow)-ROW(PLE.firstrow))),0,IF(OFFSET(PLE!$G$14,$M168,AX$13)="",10^12,OFFSET(PLE!$G$14,$M168,AX$13))))</f>
        <v>1000000000000</v>
      </c>
      <c r="AY168" s="182">
        <f ca="1">IF($D168&lt;&gt;"Serviço",0,IF(OR(AND(AUTOEVENTO="Manual",$M168=1),$M168&gt;(ROW(PLE.lastrow)-ROW(PLE.firstrow))),0,IF(OFFSET(PLE!$G$14,$M168,AY$13)="",10^12,OFFSET(PLE!$G$14,$M168,AY$13))))</f>
        <v>1000000000000</v>
      </c>
      <c r="AZ168" s="182">
        <f ca="1">IF($D168&lt;&gt;"Serviço",0,IF(OR(AND(AUTOEVENTO="Manual",$M168=1),$M168&gt;(ROW(PLE.lastrow)-ROW(PLE.firstrow))),0,IF(OFFSET(PLE!$G$14,$M168,AZ$13)="",10^12,OFFSET(PLE!$G$14,$M168,AZ$13))))</f>
        <v>1000000000000</v>
      </c>
      <c r="BA168" s="182">
        <f ca="1">IF($D168&lt;&gt;"Serviço",0,IF(OR(AND(AUTOEVENTO="Manual",$M168=1),$M168&gt;(ROW(PLE.lastrow)-ROW(PLE.firstrow))),0,IF(OFFSET(PLE!$G$14,$M168,BA$13)="",10^12,OFFSET(PLE!$G$14,$M168,BA$13))))</f>
        <v>1000000000000</v>
      </c>
      <c r="BB168" s="182">
        <f ca="1">IF($D168&lt;&gt;"Serviço",0,IF(OR(AND(AUTOEVENTO="Manual",$M168=1),$M168&gt;(ROW(PLE.lastrow)-ROW(PLE.firstrow))),0,IF(OFFSET(PLE!$G$14,$M168,BB$13)="",10^12,OFFSET(PLE!$G$14,$M168,BB$13))))</f>
        <v>1000000000000</v>
      </c>
      <c r="BC168" s="182">
        <f ca="1">IF($D168&lt;&gt;"Serviço",0,IF(OR(AND(AUTOEVENTO="Manual",$M168=1),$M168&gt;(ROW(PLE.lastrow)-ROW(PLE.firstrow))),0,IF(OFFSET(PLE!$G$14,$M168,BC$13)="",10^12,OFFSET(PLE!$G$14,$M168,BC$13))))</f>
        <v>1000000000000</v>
      </c>
      <c r="BD168" s="182">
        <f ca="1">IF($D168&lt;&gt;"Serviço",0,IF(OR(AND(AUTOEVENTO="Manual",$M168=1),$M168&gt;(ROW(PLE.lastrow)-ROW(PLE.firstrow))),0,IF(OFFSET(PLE!$G$14,$M168,BD$13)="",10^12,OFFSET(PLE!$G$14,$M168,BD$13))))</f>
        <v>1000000000000</v>
      </c>
      <c r="BE168" s="182">
        <f ca="1">IF($D168&lt;&gt;"Serviço",0,IF(OR(AND(AUTOEVENTO="Manual",$M168=1),$M168&gt;(ROW(PLE.lastrow)-ROW(PLE.firstrow))),0,IF(OFFSET(PLE!$G$14,$M168,BE$13)="",10^12,OFFSET(PLE!$G$14,$M168,BE$13))))</f>
        <v>1000000000000</v>
      </c>
      <c r="BF168" s="182">
        <f ca="1">IF($D168&lt;&gt;"Serviço",0,IF(OR(AND(AUTOEVENTO="Manual",$M168=1),$M168&gt;(ROW(PLE.lastrow)-ROW(PLE.firstrow))),0,IF(OFFSET(PLE!$G$14,$M168,BF$13)="",10^12,OFFSET(PLE!$G$14,$M168,BF$13))))</f>
        <v>1000000000000</v>
      </c>
      <c r="BG168" s="182">
        <f ca="1">IF($D168&lt;&gt;"Serviço",0,IF(OR(AND(AUTOEVENTO="Manual",$M168=1),$M168&gt;(ROW(PLE.lastrow)-ROW(PLE.firstrow))),0,IF(OFFSET(PLE!$G$14,$M168,BG$13)="",10^12,OFFSET(PLE!$G$14,$M168,BG$13))))</f>
        <v>1000000000000</v>
      </c>
    </row>
    <row r="169" spans="1:59" ht="25.5" x14ac:dyDescent="0.2">
      <c r="A169" s="7" t="str">
        <f t="shared" ca="1" si="10"/>
        <v>108</v>
      </c>
      <c r="B169" s="7" t="str">
        <f ca="1">OFFSET(ORÇAMENTO!C$15,ROW(B169)-ROW(B$15),0)</f>
        <v>S</v>
      </c>
      <c r="C169" s="7" t="str">
        <f ca="1">OFFSET(ORÇAMENTO!L$15,ROW(C169)-ROW(C$15),0)</f>
        <v/>
      </c>
      <c r="D169" s="118" t="str">
        <f ca="1">OFFSET(ORÇAMENTO!N$15,ROW(D169)-ROW(D$15),0)</f>
        <v>Serviço</v>
      </c>
      <c r="E169" s="119" t="str">
        <f ca="1">OFFSET(ORÇAMENTO!O$15,ROW(E169)-ROW(E$15),0)</f>
        <v>-</v>
      </c>
      <c r="F169" s="172" t="str">
        <f ca="1">OFFSET(ORÇAMENTO!R$15,ROW(F169)-ROW(F$15),0)</f>
        <v>(abra o arquivo 'Referência 02-2025.xlsm)</v>
      </c>
      <c r="G169" s="173" t="str">
        <f ca="1">IF($D169&lt;&gt;"Serviço","",OFFSET(ORÇAMENTO!S$15,ROW(G169)-ROW(G$15),0))</f>
        <v>-</v>
      </c>
      <c r="H169" s="124">
        <f ca="1">IF($D169&lt;&gt;"Serviço",0,IF(ACOMPANHAMENTO="BM",ROUND(OFFSET(ORÇAMENTO!AJ$15,ROW(H169)-ROW(H$15),0),15-13*ORÇAMENTO!$AF$7),SUMPRODUCT(($Q$12:$AA$12&lt;&gt;"")*ROUND($Q169:$AA169,15-13*ORÇAMENTO!$AF$7))))</f>
        <v>50.85</v>
      </c>
      <c r="I169" s="561" t="s">
        <v>890</v>
      </c>
      <c r="K169" s="174"/>
      <c r="L169" s="175" t="s">
        <v>255</v>
      </c>
      <c r="M169" s="176">
        <f ca="1">IF($D169&lt;&gt;"Serviço","",IF(AUTOEVENTO="manual",$A169,IF(ISERROR(MATCH($A169,$A$15:OFFSET($A169,-1,0),0)),MAX($M$15:OFFSET(M169,-1,0))+1,INDEX($M$15:OFFSET(M169,-1,0),MATCH($A169,$A$15:OFFSET($A169,-1,0),0)))))</f>
        <v>7</v>
      </c>
      <c r="N169" s="177" t="str">
        <f ca="1">IF($D169&lt;&gt;"Serviço","",IF(AUTOEVENTO="Manual",IF($A169=0,"&lt;-- defina o número do agrupador",OFFSET(EVENTOS!$D$14,$A169,0)),OFFSET($F$15,$A169,0)))</f>
        <v>ESQUADRIAS</v>
      </c>
      <c r="O169" s="178"/>
      <c r="Q169" s="178"/>
      <c r="R169" s="179"/>
      <c r="S169" s="179"/>
      <c r="T169" s="179"/>
      <c r="U169" s="179"/>
      <c r="V169" s="179"/>
      <c r="W169" s="179"/>
      <c r="X169" s="179"/>
      <c r="Y169" s="179"/>
      <c r="Z169" s="180"/>
      <c r="AB169" s="544">
        <f ca="1">IF(AND($D169="Serviço",AB$12&lt;&gt;0,$H169&gt;0,OR(AUTOEVENTO&lt;&gt;"manual",$M169&lt;&gt;1)),
IF(Import.TipoArredondamento&lt;&gt;"TransfereGOV",
ROUND(OFFSET($P169,0,AB$13),15-13*ORÇAMENTO!$AF$7)/$H169*OFFSET(ORÇAMENTO!$X$15,ROW(AB169)-ROW(AB$15),0),
ROUND(ROUND(OFFSET($P169,0,AB$13),15-13*ORÇAMENTO!$AF$7)*OFFSET(ORÇAMENTO!$W$15,ROW(AB169)-ROW(AB$15),0),15-13*ORÇAMENTO!$AF$11)),0)</f>
        <v>0</v>
      </c>
      <c r="AC169" s="545">
        <f ca="1">IF(AND($D169="Serviço",AC$12&lt;&gt;0,$H169&gt;0,OR(AUTOEVENTO&lt;&gt;"manual",$M169&lt;&gt;1)),
IF(Import.TipoArredondamento&lt;&gt;"TransfereGOV",
ROUND(OFFSET($P169,0,AC$13),15-13*ORÇAMENTO!$AF$7)/$H169*OFFSET(ORÇAMENTO!$X$15,ROW(AC169)-ROW(AC$15),0),
ROUND(ROUND(OFFSET($P169,0,AC$13),15-13*ORÇAMENTO!$AF$7)*OFFSET(ORÇAMENTO!$W$15,ROW(AC169)-ROW(AC$15),0),15-13*ORÇAMENTO!$AF$11)),0)</f>
        <v>0</v>
      </c>
      <c r="AD169" s="545">
        <f ca="1">IF(AND($D169="Serviço",AD$12&lt;&gt;0,$H169&gt;0,OR(AUTOEVENTO&lt;&gt;"manual",$M169&lt;&gt;1)),
IF(Import.TipoArredondamento&lt;&gt;"TransfereGOV",
ROUND(OFFSET($P169,0,AD$13),15-13*ORÇAMENTO!$AF$7)/$H169*OFFSET(ORÇAMENTO!$X$15,ROW(AD169)-ROW(AD$15),0),
ROUND(ROUND(OFFSET($P169,0,AD$13),15-13*ORÇAMENTO!$AF$7)*OFFSET(ORÇAMENTO!$W$15,ROW(AD169)-ROW(AD$15),0),15-13*ORÇAMENTO!$AF$11)),0)</f>
        <v>0</v>
      </c>
      <c r="AE169" s="545">
        <f ca="1">IF(AND($D169="Serviço",AE$12&lt;&gt;0,$H169&gt;0,OR(AUTOEVENTO&lt;&gt;"manual",$M169&lt;&gt;1)),
IF(Import.TipoArredondamento&lt;&gt;"TransfereGOV",
ROUND(OFFSET($P169,0,AE$13),15-13*ORÇAMENTO!$AF$7)/$H169*OFFSET(ORÇAMENTO!$X$15,ROW(AE169)-ROW(AE$15),0),
ROUND(ROUND(OFFSET($P169,0,AE$13),15-13*ORÇAMENTO!$AF$7)*OFFSET(ORÇAMENTO!$W$15,ROW(AE169)-ROW(AE$15),0),15-13*ORÇAMENTO!$AF$11)),0)</f>
        <v>0</v>
      </c>
      <c r="AF169" s="545">
        <f ca="1">IF(AND($D169="Serviço",AF$12&lt;&gt;0,$H169&gt;0,OR(AUTOEVENTO&lt;&gt;"manual",$M169&lt;&gt;1)),
IF(Import.TipoArredondamento&lt;&gt;"TransfereGOV",
ROUND(OFFSET($P169,0,AF$13),15-13*ORÇAMENTO!$AF$7)/$H169*OFFSET(ORÇAMENTO!$X$15,ROW(AF169)-ROW(AF$15),0),
ROUND(ROUND(OFFSET($P169,0,AF$13),15-13*ORÇAMENTO!$AF$7)*OFFSET(ORÇAMENTO!$W$15,ROW(AF169)-ROW(AF$15),0),15-13*ORÇAMENTO!$AF$11)),0)</f>
        <v>0</v>
      </c>
      <c r="AG169" s="545">
        <f ca="1">IF(AND($D169="Serviço",AG$12&lt;&gt;0,$H169&gt;0,OR(AUTOEVENTO&lt;&gt;"manual",$M169&lt;&gt;1)),
IF(Import.TipoArredondamento&lt;&gt;"TransfereGOV",
ROUND(OFFSET($P169,0,AG$13),15-13*ORÇAMENTO!$AF$7)/$H169*OFFSET(ORÇAMENTO!$X$15,ROW(AG169)-ROW(AG$15),0),
ROUND(ROUND(OFFSET($P169,0,AG$13),15-13*ORÇAMENTO!$AF$7)*OFFSET(ORÇAMENTO!$W$15,ROW(AG169)-ROW(AG$15),0),15-13*ORÇAMENTO!$AF$11)),0)</f>
        <v>0</v>
      </c>
      <c r="AH169" s="545">
        <f ca="1">IF(AND($D169="Serviço",AH$12&lt;&gt;0,$H169&gt;0,OR(AUTOEVENTO&lt;&gt;"manual",$M169&lt;&gt;1)),
IF(Import.TipoArredondamento&lt;&gt;"TransfereGOV",
ROUND(OFFSET($P169,0,AH$13),15-13*ORÇAMENTO!$AF$7)/$H169*OFFSET(ORÇAMENTO!$X$15,ROW(AH169)-ROW(AH$15),0),
ROUND(ROUND(OFFSET($P169,0,AH$13),15-13*ORÇAMENTO!$AF$7)*OFFSET(ORÇAMENTO!$W$15,ROW(AH169)-ROW(AH$15),0),15-13*ORÇAMENTO!$AF$11)),0)</f>
        <v>0</v>
      </c>
      <c r="AI169" s="545">
        <f ca="1">IF(AND($D169="Serviço",AI$12&lt;&gt;0,$H169&gt;0,OR(AUTOEVENTO&lt;&gt;"manual",$M169&lt;&gt;1)),
IF(Import.TipoArredondamento&lt;&gt;"TransfereGOV",
ROUND(OFFSET($P169,0,AI$13),15-13*ORÇAMENTO!$AF$7)/$H169*OFFSET(ORÇAMENTO!$X$15,ROW(AI169)-ROW(AI$15),0),
ROUND(ROUND(OFFSET($P169,0,AI$13),15-13*ORÇAMENTO!$AF$7)*OFFSET(ORÇAMENTO!$W$15,ROW(AI169)-ROW(AI$15),0),15-13*ORÇAMENTO!$AF$11)),0)</f>
        <v>0</v>
      </c>
      <c r="AJ169" s="545">
        <f ca="1">IF(AND($D169="Serviço",AJ$12&lt;&gt;0,$H169&gt;0,OR(AUTOEVENTO&lt;&gt;"manual",$M169&lt;&gt;1)),
IF(Import.TipoArredondamento&lt;&gt;"TransfereGOV",
ROUND(OFFSET($P169,0,AJ$13),15-13*ORÇAMENTO!$AF$7)/$H169*OFFSET(ORÇAMENTO!$X$15,ROW(AJ169)-ROW(AJ$15),0),
ROUND(ROUND(OFFSET($P169,0,AJ$13),15-13*ORÇAMENTO!$AF$7)*OFFSET(ORÇAMENTO!$W$15,ROW(AJ169)-ROW(AJ$15),0),15-13*ORÇAMENTO!$AF$11)),0)</f>
        <v>0</v>
      </c>
      <c r="AK169" s="546">
        <f ca="1">IF(AND($D169="Serviço",AK$12&lt;&gt;0,$H169&gt;0,OR(AUTOEVENTO&lt;&gt;"manual",$M169&lt;&gt;1)),
IF(Import.TipoArredondamento&lt;&gt;"TransfereGOV",
ROUND(OFFSET($P169,0,AK$13),15-13*ORÇAMENTO!$AF$7)/$H169*OFFSET(ORÇAMENTO!$X$15,ROW(AK169)-ROW(AK$15),0),
ROUND(ROUND(OFFSET($P169,0,AK$13),15-13*ORÇAMENTO!$AF$7)*OFFSET(ORÇAMENTO!$W$15,ROW(AK169)-ROW(AK$15),0),15-13*ORÇAMENTO!$AF$11)),0)</f>
        <v>0</v>
      </c>
      <c r="AM169" s="181">
        <f ca="1">IF($D169&lt;&gt;"Serviço",0,IF(AND(AUTOEVENTO="Manual",$M169=1),0,IF(OFFSET(CRONOPLE!$F$14,$M169,AM$13)="",10^12,OFFSET(CRONOPLE!$F$14,$M169,AM$13))))</f>
        <v>1000000000000</v>
      </c>
      <c r="AN169" s="181">
        <f ca="1">IF($D169&lt;&gt;"Serviço",0,IF(AND(AUTOEVENTO="Manual",$M169=1),0,IF(OFFSET(CRONOPLE!$F$14,$M169,AN$13)="",10^12,OFFSET(CRONOPLE!$F$14,$M169,AN$13))))</f>
        <v>1000000000000</v>
      </c>
      <c r="AO169" s="181">
        <f ca="1">IF($D169&lt;&gt;"Serviço",0,IF(AND(AUTOEVENTO="Manual",$M169=1),0,IF(OFFSET(CRONOPLE!$F$14,$M169,AO$13)="",10^12,OFFSET(CRONOPLE!$F$14,$M169,AO$13))))</f>
        <v>1000000000000</v>
      </c>
      <c r="AP169" s="181">
        <f ca="1">IF($D169&lt;&gt;"Serviço",0,IF(AND(AUTOEVENTO="Manual",$M169=1),0,IF(OFFSET(CRONOPLE!$F$14,$M169,AP$13)="",10^12,OFFSET(CRONOPLE!$F$14,$M169,AP$13))))</f>
        <v>1000000000000</v>
      </c>
      <c r="AQ169" s="181">
        <f ca="1">IF($D169&lt;&gt;"Serviço",0,IF(AND(AUTOEVENTO="Manual",$M169=1),0,IF(OFFSET(CRONOPLE!$F$14,$M169,AQ$13)="",10^12,OFFSET(CRONOPLE!$F$14,$M169,AQ$13))))</f>
        <v>1000000000000</v>
      </c>
      <c r="AR169" s="181">
        <f ca="1">IF($D169&lt;&gt;"Serviço",0,IF(AND(AUTOEVENTO="Manual",$M169=1),0,IF(OFFSET(CRONOPLE!$F$14,$M169,AR$13)="",10^12,OFFSET(CRONOPLE!$F$14,$M169,AR$13))))</f>
        <v>1000000000000</v>
      </c>
      <c r="AS169" s="181">
        <f ca="1">IF($D169&lt;&gt;"Serviço",0,IF(AND(AUTOEVENTO="Manual",$M169=1),0,IF(OFFSET(CRONOPLE!$F$14,$M169,AS$13)="",10^12,OFFSET(CRONOPLE!$F$14,$M169,AS$13))))</f>
        <v>1000000000000</v>
      </c>
      <c r="AT169" s="181">
        <f ca="1">IF($D169&lt;&gt;"Serviço",0,IF(AND(AUTOEVENTO="Manual",$M169=1),0,IF(OFFSET(CRONOPLE!$F$14,$M169,AT$13)="",10^12,OFFSET(CRONOPLE!$F$14,$M169,AT$13))))</f>
        <v>1000000000000</v>
      </c>
      <c r="AU169" s="181">
        <f ca="1">IF($D169&lt;&gt;"Serviço",0,IF(AND(AUTOEVENTO="Manual",$M169=1),0,IF(OFFSET(CRONOPLE!$F$14,$M169,AU$13)="",10^12,OFFSET(CRONOPLE!$F$14,$M169,AU$13))))</f>
        <v>1000000000000</v>
      </c>
      <c r="AV169" s="181">
        <f ca="1">IF($D169&lt;&gt;"Serviço",0,IF(AND(AUTOEVENTO="Manual",$M169=1),0,IF(OFFSET(CRONOPLE!$F$14,$M169,AV$13)="",10^12,OFFSET(CRONOPLE!$F$14,$M169,AV$13))))</f>
        <v>1000000000000</v>
      </c>
      <c r="AX169" s="182">
        <f ca="1">IF($D169&lt;&gt;"Serviço",0,IF(OR(AND(AUTOEVENTO="Manual",$M169=1),$M169&gt;(ROW(PLE.lastrow)-ROW(PLE.firstrow))),0,IF(OFFSET(PLE!$G$14,$M169,AX$13)="",10^12,OFFSET(PLE!$G$14,$M169,AX$13))))</f>
        <v>1000000000000</v>
      </c>
      <c r="AY169" s="182">
        <f ca="1">IF($D169&lt;&gt;"Serviço",0,IF(OR(AND(AUTOEVENTO="Manual",$M169=1),$M169&gt;(ROW(PLE.lastrow)-ROW(PLE.firstrow))),0,IF(OFFSET(PLE!$G$14,$M169,AY$13)="",10^12,OFFSET(PLE!$G$14,$M169,AY$13))))</f>
        <v>1000000000000</v>
      </c>
      <c r="AZ169" s="182">
        <f ca="1">IF($D169&lt;&gt;"Serviço",0,IF(OR(AND(AUTOEVENTO="Manual",$M169=1),$M169&gt;(ROW(PLE.lastrow)-ROW(PLE.firstrow))),0,IF(OFFSET(PLE!$G$14,$M169,AZ$13)="",10^12,OFFSET(PLE!$G$14,$M169,AZ$13))))</f>
        <v>1000000000000</v>
      </c>
      <c r="BA169" s="182">
        <f ca="1">IF($D169&lt;&gt;"Serviço",0,IF(OR(AND(AUTOEVENTO="Manual",$M169=1),$M169&gt;(ROW(PLE.lastrow)-ROW(PLE.firstrow))),0,IF(OFFSET(PLE!$G$14,$M169,BA$13)="",10^12,OFFSET(PLE!$G$14,$M169,BA$13))))</f>
        <v>1000000000000</v>
      </c>
      <c r="BB169" s="182">
        <f ca="1">IF($D169&lt;&gt;"Serviço",0,IF(OR(AND(AUTOEVENTO="Manual",$M169=1),$M169&gt;(ROW(PLE.lastrow)-ROW(PLE.firstrow))),0,IF(OFFSET(PLE!$G$14,$M169,BB$13)="",10^12,OFFSET(PLE!$G$14,$M169,BB$13))))</f>
        <v>1000000000000</v>
      </c>
      <c r="BC169" s="182">
        <f ca="1">IF($D169&lt;&gt;"Serviço",0,IF(OR(AND(AUTOEVENTO="Manual",$M169=1),$M169&gt;(ROW(PLE.lastrow)-ROW(PLE.firstrow))),0,IF(OFFSET(PLE!$G$14,$M169,BC$13)="",10^12,OFFSET(PLE!$G$14,$M169,BC$13))))</f>
        <v>1000000000000</v>
      </c>
      <c r="BD169" s="182">
        <f ca="1">IF($D169&lt;&gt;"Serviço",0,IF(OR(AND(AUTOEVENTO="Manual",$M169=1),$M169&gt;(ROW(PLE.lastrow)-ROW(PLE.firstrow))),0,IF(OFFSET(PLE!$G$14,$M169,BD$13)="",10^12,OFFSET(PLE!$G$14,$M169,BD$13))))</f>
        <v>1000000000000</v>
      </c>
      <c r="BE169" s="182">
        <f ca="1">IF($D169&lt;&gt;"Serviço",0,IF(OR(AND(AUTOEVENTO="Manual",$M169=1),$M169&gt;(ROW(PLE.lastrow)-ROW(PLE.firstrow))),0,IF(OFFSET(PLE!$G$14,$M169,BE$13)="",10^12,OFFSET(PLE!$G$14,$M169,BE$13))))</f>
        <v>1000000000000</v>
      </c>
      <c r="BF169" s="182">
        <f ca="1">IF($D169&lt;&gt;"Serviço",0,IF(OR(AND(AUTOEVENTO="Manual",$M169=1),$M169&gt;(ROW(PLE.lastrow)-ROW(PLE.firstrow))),0,IF(OFFSET(PLE!$G$14,$M169,BF$13)="",10^12,OFFSET(PLE!$G$14,$M169,BF$13))))</f>
        <v>1000000000000</v>
      </c>
      <c r="BG169" s="182">
        <f ca="1">IF($D169&lt;&gt;"Serviço",0,IF(OR(AND(AUTOEVENTO="Manual",$M169=1),$M169&gt;(ROW(PLE.lastrow)-ROW(PLE.firstrow))),0,IF(OFFSET(PLE!$G$14,$M169,BG$13)="",10^12,OFFSET(PLE!$G$14,$M169,BG$13))))</f>
        <v>1000000000000</v>
      </c>
    </row>
    <row r="170" spans="1:59" ht="25.5" x14ac:dyDescent="0.2">
      <c r="A170" s="7" t="str">
        <f t="shared" ca="1" si="10"/>
        <v>108</v>
      </c>
      <c r="B170" s="7" t="str">
        <f ca="1">OFFSET(ORÇAMENTO!C$15,ROW(B170)-ROW(B$15),0)</f>
        <v>S</v>
      </c>
      <c r="C170" s="7" t="str">
        <f ca="1">OFFSET(ORÇAMENTO!L$15,ROW(C170)-ROW(C$15),0)</f>
        <v/>
      </c>
      <c r="D170" s="118" t="str">
        <f ca="1">OFFSET(ORÇAMENTO!N$15,ROW(D170)-ROW(D$15),0)</f>
        <v>Serviço</v>
      </c>
      <c r="E170" s="119" t="str">
        <f ca="1">OFFSET(ORÇAMENTO!O$15,ROW(E170)-ROW(E$15),0)</f>
        <v>-</v>
      </c>
      <c r="F170" s="172" t="str">
        <f ca="1">OFFSET(ORÇAMENTO!R$15,ROW(F170)-ROW(F$15),0)</f>
        <v>(abra o arquivo 'Referência 02-2025.xlsm)</v>
      </c>
      <c r="G170" s="173" t="str">
        <f ca="1">IF($D170&lt;&gt;"Serviço","",OFFSET(ORÇAMENTO!S$15,ROW(G170)-ROW(G$15),0))</f>
        <v>-</v>
      </c>
      <c r="H170" s="124">
        <f ca="1">IF($D170&lt;&gt;"Serviço",0,IF(ACOMPANHAMENTO="BM",ROUND(OFFSET(ORÇAMENTO!AJ$15,ROW(H170)-ROW(H$15),0),15-13*ORÇAMENTO!$AF$7),SUMPRODUCT(($Q$12:$AA$12&lt;&gt;"")*ROUND($Q170:$AA170,15-13*ORÇAMENTO!$AF$7))))</f>
        <v>33.96</v>
      </c>
      <c r="I170" s="561" t="s">
        <v>890</v>
      </c>
      <c r="K170" s="174"/>
      <c r="L170" s="175" t="s">
        <v>255</v>
      </c>
      <c r="M170" s="176">
        <f ca="1">IF($D170&lt;&gt;"Serviço","",IF(AUTOEVENTO="manual",$A170,IF(ISERROR(MATCH($A170,$A$15:OFFSET($A170,-1,0),0)),MAX($M$15:OFFSET(M170,-1,0))+1,INDEX($M$15:OFFSET(M170,-1,0),MATCH($A170,$A$15:OFFSET($A170,-1,0),0)))))</f>
        <v>7</v>
      </c>
      <c r="N170" s="177" t="str">
        <f ca="1">IF($D170&lt;&gt;"Serviço","",IF(AUTOEVENTO="Manual",IF($A170=0,"&lt;-- defina o número do agrupador",OFFSET(EVENTOS!$D$14,$A170,0)),OFFSET($F$15,$A170,0)))</f>
        <v>ESQUADRIAS</v>
      </c>
      <c r="O170" s="178"/>
      <c r="Q170" s="178"/>
      <c r="R170" s="179"/>
      <c r="S170" s="179"/>
      <c r="T170" s="179"/>
      <c r="U170" s="179"/>
      <c r="V170" s="179"/>
      <c r="W170" s="179"/>
      <c r="X170" s="179"/>
      <c r="Y170" s="179"/>
      <c r="Z170" s="180"/>
      <c r="AB170" s="544">
        <f ca="1">IF(AND($D170="Serviço",AB$12&lt;&gt;0,$H170&gt;0,OR(AUTOEVENTO&lt;&gt;"manual",$M170&lt;&gt;1)),
IF(Import.TipoArredondamento&lt;&gt;"TransfereGOV",
ROUND(OFFSET($P170,0,AB$13),15-13*ORÇAMENTO!$AF$7)/$H170*OFFSET(ORÇAMENTO!$X$15,ROW(AB170)-ROW(AB$15),0),
ROUND(ROUND(OFFSET($P170,0,AB$13),15-13*ORÇAMENTO!$AF$7)*OFFSET(ORÇAMENTO!$W$15,ROW(AB170)-ROW(AB$15),0),15-13*ORÇAMENTO!$AF$11)),0)</f>
        <v>0</v>
      </c>
      <c r="AC170" s="545">
        <f ca="1">IF(AND($D170="Serviço",AC$12&lt;&gt;0,$H170&gt;0,OR(AUTOEVENTO&lt;&gt;"manual",$M170&lt;&gt;1)),
IF(Import.TipoArredondamento&lt;&gt;"TransfereGOV",
ROUND(OFFSET($P170,0,AC$13),15-13*ORÇAMENTO!$AF$7)/$H170*OFFSET(ORÇAMENTO!$X$15,ROW(AC170)-ROW(AC$15),0),
ROUND(ROUND(OFFSET($P170,0,AC$13),15-13*ORÇAMENTO!$AF$7)*OFFSET(ORÇAMENTO!$W$15,ROW(AC170)-ROW(AC$15),0),15-13*ORÇAMENTO!$AF$11)),0)</f>
        <v>0</v>
      </c>
      <c r="AD170" s="545">
        <f ca="1">IF(AND($D170="Serviço",AD$12&lt;&gt;0,$H170&gt;0,OR(AUTOEVENTO&lt;&gt;"manual",$M170&lt;&gt;1)),
IF(Import.TipoArredondamento&lt;&gt;"TransfereGOV",
ROUND(OFFSET($P170,0,AD$13),15-13*ORÇAMENTO!$AF$7)/$H170*OFFSET(ORÇAMENTO!$X$15,ROW(AD170)-ROW(AD$15),0),
ROUND(ROUND(OFFSET($P170,0,AD$13),15-13*ORÇAMENTO!$AF$7)*OFFSET(ORÇAMENTO!$W$15,ROW(AD170)-ROW(AD$15),0),15-13*ORÇAMENTO!$AF$11)),0)</f>
        <v>0</v>
      </c>
      <c r="AE170" s="545">
        <f ca="1">IF(AND($D170="Serviço",AE$12&lt;&gt;0,$H170&gt;0,OR(AUTOEVENTO&lt;&gt;"manual",$M170&lt;&gt;1)),
IF(Import.TipoArredondamento&lt;&gt;"TransfereGOV",
ROUND(OFFSET($P170,0,AE$13),15-13*ORÇAMENTO!$AF$7)/$H170*OFFSET(ORÇAMENTO!$X$15,ROW(AE170)-ROW(AE$15),0),
ROUND(ROUND(OFFSET($P170,0,AE$13),15-13*ORÇAMENTO!$AF$7)*OFFSET(ORÇAMENTO!$W$15,ROW(AE170)-ROW(AE$15),0),15-13*ORÇAMENTO!$AF$11)),0)</f>
        <v>0</v>
      </c>
      <c r="AF170" s="545">
        <f ca="1">IF(AND($D170="Serviço",AF$12&lt;&gt;0,$H170&gt;0,OR(AUTOEVENTO&lt;&gt;"manual",$M170&lt;&gt;1)),
IF(Import.TipoArredondamento&lt;&gt;"TransfereGOV",
ROUND(OFFSET($P170,0,AF$13),15-13*ORÇAMENTO!$AF$7)/$H170*OFFSET(ORÇAMENTO!$X$15,ROW(AF170)-ROW(AF$15),0),
ROUND(ROUND(OFFSET($P170,0,AF$13),15-13*ORÇAMENTO!$AF$7)*OFFSET(ORÇAMENTO!$W$15,ROW(AF170)-ROW(AF$15),0),15-13*ORÇAMENTO!$AF$11)),0)</f>
        <v>0</v>
      </c>
      <c r="AG170" s="545">
        <f ca="1">IF(AND($D170="Serviço",AG$12&lt;&gt;0,$H170&gt;0,OR(AUTOEVENTO&lt;&gt;"manual",$M170&lt;&gt;1)),
IF(Import.TipoArredondamento&lt;&gt;"TransfereGOV",
ROUND(OFFSET($P170,0,AG$13),15-13*ORÇAMENTO!$AF$7)/$H170*OFFSET(ORÇAMENTO!$X$15,ROW(AG170)-ROW(AG$15),0),
ROUND(ROUND(OFFSET($P170,0,AG$13),15-13*ORÇAMENTO!$AF$7)*OFFSET(ORÇAMENTO!$W$15,ROW(AG170)-ROW(AG$15),0),15-13*ORÇAMENTO!$AF$11)),0)</f>
        <v>0</v>
      </c>
      <c r="AH170" s="545">
        <f ca="1">IF(AND($D170="Serviço",AH$12&lt;&gt;0,$H170&gt;0,OR(AUTOEVENTO&lt;&gt;"manual",$M170&lt;&gt;1)),
IF(Import.TipoArredondamento&lt;&gt;"TransfereGOV",
ROUND(OFFSET($P170,0,AH$13),15-13*ORÇAMENTO!$AF$7)/$H170*OFFSET(ORÇAMENTO!$X$15,ROW(AH170)-ROW(AH$15),0),
ROUND(ROUND(OFFSET($P170,0,AH$13),15-13*ORÇAMENTO!$AF$7)*OFFSET(ORÇAMENTO!$W$15,ROW(AH170)-ROW(AH$15),0),15-13*ORÇAMENTO!$AF$11)),0)</f>
        <v>0</v>
      </c>
      <c r="AI170" s="545">
        <f ca="1">IF(AND($D170="Serviço",AI$12&lt;&gt;0,$H170&gt;0,OR(AUTOEVENTO&lt;&gt;"manual",$M170&lt;&gt;1)),
IF(Import.TipoArredondamento&lt;&gt;"TransfereGOV",
ROUND(OFFSET($P170,0,AI$13),15-13*ORÇAMENTO!$AF$7)/$H170*OFFSET(ORÇAMENTO!$X$15,ROW(AI170)-ROW(AI$15),0),
ROUND(ROUND(OFFSET($P170,0,AI$13),15-13*ORÇAMENTO!$AF$7)*OFFSET(ORÇAMENTO!$W$15,ROW(AI170)-ROW(AI$15),0),15-13*ORÇAMENTO!$AF$11)),0)</f>
        <v>0</v>
      </c>
      <c r="AJ170" s="545">
        <f ca="1">IF(AND($D170="Serviço",AJ$12&lt;&gt;0,$H170&gt;0,OR(AUTOEVENTO&lt;&gt;"manual",$M170&lt;&gt;1)),
IF(Import.TipoArredondamento&lt;&gt;"TransfereGOV",
ROUND(OFFSET($P170,0,AJ$13),15-13*ORÇAMENTO!$AF$7)/$H170*OFFSET(ORÇAMENTO!$X$15,ROW(AJ170)-ROW(AJ$15),0),
ROUND(ROUND(OFFSET($P170,0,AJ$13),15-13*ORÇAMENTO!$AF$7)*OFFSET(ORÇAMENTO!$W$15,ROW(AJ170)-ROW(AJ$15),0),15-13*ORÇAMENTO!$AF$11)),0)</f>
        <v>0</v>
      </c>
      <c r="AK170" s="546">
        <f ca="1">IF(AND($D170="Serviço",AK$12&lt;&gt;0,$H170&gt;0,OR(AUTOEVENTO&lt;&gt;"manual",$M170&lt;&gt;1)),
IF(Import.TipoArredondamento&lt;&gt;"TransfereGOV",
ROUND(OFFSET($P170,0,AK$13),15-13*ORÇAMENTO!$AF$7)/$H170*OFFSET(ORÇAMENTO!$X$15,ROW(AK170)-ROW(AK$15),0),
ROUND(ROUND(OFFSET($P170,0,AK$13),15-13*ORÇAMENTO!$AF$7)*OFFSET(ORÇAMENTO!$W$15,ROW(AK170)-ROW(AK$15),0),15-13*ORÇAMENTO!$AF$11)),0)</f>
        <v>0</v>
      </c>
      <c r="AM170" s="181">
        <f ca="1">IF($D170&lt;&gt;"Serviço",0,IF(AND(AUTOEVENTO="Manual",$M170=1),0,IF(OFFSET(CRONOPLE!$F$14,$M170,AM$13)="",10^12,OFFSET(CRONOPLE!$F$14,$M170,AM$13))))</f>
        <v>1000000000000</v>
      </c>
      <c r="AN170" s="181">
        <f ca="1">IF($D170&lt;&gt;"Serviço",0,IF(AND(AUTOEVENTO="Manual",$M170=1),0,IF(OFFSET(CRONOPLE!$F$14,$M170,AN$13)="",10^12,OFFSET(CRONOPLE!$F$14,$M170,AN$13))))</f>
        <v>1000000000000</v>
      </c>
      <c r="AO170" s="181">
        <f ca="1">IF($D170&lt;&gt;"Serviço",0,IF(AND(AUTOEVENTO="Manual",$M170=1),0,IF(OFFSET(CRONOPLE!$F$14,$M170,AO$13)="",10^12,OFFSET(CRONOPLE!$F$14,$M170,AO$13))))</f>
        <v>1000000000000</v>
      </c>
      <c r="AP170" s="181">
        <f ca="1">IF($D170&lt;&gt;"Serviço",0,IF(AND(AUTOEVENTO="Manual",$M170=1),0,IF(OFFSET(CRONOPLE!$F$14,$M170,AP$13)="",10^12,OFFSET(CRONOPLE!$F$14,$M170,AP$13))))</f>
        <v>1000000000000</v>
      </c>
      <c r="AQ170" s="181">
        <f ca="1">IF($D170&lt;&gt;"Serviço",0,IF(AND(AUTOEVENTO="Manual",$M170=1),0,IF(OFFSET(CRONOPLE!$F$14,$M170,AQ$13)="",10^12,OFFSET(CRONOPLE!$F$14,$M170,AQ$13))))</f>
        <v>1000000000000</v>
      </c>
      <c r="AR170" s="181">
        <f ca="1">IF($D170&lt;&gt;"Serviço",0,IF(AND(AUTOEVENTO="Manual",$M170=1),0,IF(OFFSET(CRONOPLE!$F$14,$M170,AR$13)="",10^12,OFFSET(CRONOPLE!$F$14,$M170,AR$13))))</f>
        <v>1000000000000</v>
      </c>
      <c r="AS170" s="181">
        <f ca="1">IF($D170&lt;&gt;"Serviço",0,IF(AND(AUTOEVENTO="Manual",$M170=1),0,IF(OFFSET(CRONOPLE!$F$14,$M170,AS$13)="",10^12,OFFSET(CRONOPLE!$F$14,$M170,AS$13))))</f>
        <v>1000000000000</v>
      </c>
      <c r="AT170" s="181">
        <f ca="1">IF($D170&lt;&gt;"Serviço",0,IF(AND(AUTOEVENTO="Manual",$M170=1),0,IF(OFFSET(CRONOPLE!$F$14,$M170,AT$13)="",10^12,OFFSET(CRONOPLE!$F$14,$M170,AT$13))))</f>
        <v>1000000000000</v>
      </c>
      <c r="AU170" s="181">
        <f ca="1">IF($D170&lt;&gt;"Serviço",0,IF(AND(AUTOEVENTO="Manual",$M170=1),0,IF(OFFSET(CRONOPLE!$F$14,$M170,AU$13)="",10^12,OFFSET(CRONOPLE!$F$14,$M170,AU$13))))</f>
        <v>1000000000000</v>
      </c>
      <c r="AV170" s="181">
        <f ca="1">IF($D170&lt;&gt;"Serviço",0,IF(AND(AUTOEVENTO="Manual",$M170=1),0,IF(OFFSET(CRONOPLE!$F$14,$M170,AV$13)="",10^12,OFFSET(CRONOPLE!$F$14,$M170,AV$13))))</f>
        <v>1000000000000</v>
      </c>
      <c r="AX170" s="182">
        <f ca="1">IF($D170&lt;&gt;"Serviço",0,IF(OR(AND(AUTOEVENTO="Manual",$M170=1),$M170&gt;(ROW(PLE.lastrow)-ROW(PLE.firstrow))),0,IF(OFFSET(PLE!$G$14,$M170,AX$13)="",10^12,OFFSET(PLE!$G$14,$M170,AX$13))))</f>
        <v>1000000000000</v>
      </c>
      <c r="AY170" s="182">
        <f ca="1">IF($D170&lt;&gt;"Serviço",0,IF(OR(AND(AUTOEVENTO="Manual",$M170=1),$M170&gt;(ROW(PLE.lastrow)-ROW(PLE.firstrow))),0,IF(OFFSET(PLE!$G$14,$M170,AY$13)="",10^12,OFFSET(PLE!$G$14,$M170,AY$13))))</f>
        <v>1000000000000</v>
      </c>
      <c r="AZ170" s="182">
        <f ca="1">IF($D170&lt;&gt;"Serviço",0,IF(OR(AND(AUTOEVENTO="Manual",$M170=1),$M170&gt;(ROW(PLE.lastrow)-ROW(PLE.firstrow))),0,IF(OFFSET(PLE!$G$14,$M170,AZ$13)="",10^12,OFFSET(PLE!$G$14,$M170,AZ$13))))</f>
        <v>1000000000000</v>
      </c>
      <c r="BA170" s="182">
        <f ca="1">IF($D170&lt;&gt;"Serviço",0,IF(OR(AND(AUTOEVENTO="Manual",$M170=1),$M170&gt;(ROW(PLE.lastrow)-ROW(PLE.firstrow))),0,IF(OFFSET(PLE!$G$14,$M170,BA$13)="",10^12,OFFSET(PLE!$G$14,$M170,BA$13))))</f>
        <v>1000000000000</v>
      </c>
      <c r="BB170" s="182">
        <f ca="1">IF($D170&lt;&gt;"Serviço",0,IF(OR(AND(AUTOEVENTO="Manual",$M170=1),$M170&gt;(ROW(PLE.lastrow)-ROW(PLE.firstrow))),0,IF(OFFSET(PLE!$G$14,$M170,BB$13)="",10^12,OFFSET(PLE!$G$14,$M170,BB$13))))</f>
        <v>1000000000000</v>
      </c>
      <c r="BC170" s="182">
        <f ca="1">IF($D170&lt;&gt;"Serviço",0,IF(OR(AND(AUTOEVENTO="Manual",$M170=1),$M170&gt;(ROW(PLE.lastrow)-ROW(PLE.firstrow))),0,IF(OFFSET(PLE!$G$14,$M170,BC$13)="",10^12,OFFSET(PLE!$G$14,$M170,BC$13))))</f>
        <v>1000000000000</v>
      </c>
      <c r="BD170" s="182">
        <f ca="1">IF($D170&lt;&gt;"Serviço",0,IF(OR(AND(AUTOEVENTO="Manual",$M170=1),$M170&gt;(ROW(PLE.lastrow)-ROW(PLE.firstrow))),0,IF(OFFSET(PLE!$G$14,$M170,BD$13)="",10^12,OFFSET(PLE!$G$14,$M170,BD$13))))</f>
        <v>1000000000000</v>
      </c>
      <c r="BE170" s="182">
        <f ca="1">IF($D170&lt;&gt;"Serviço",0,IF(OR(AND(AUTOEVENTO="Manual",$M170=1),$M170&gt;(ROW(PLE.lastrow)-ROW(PLE.firstrow))),0,IF(OFFSET(PLE!$G$14,$M170,BE$13)="",10^12,OFFSET(PLE!$G$14,$M170,BE$13))))</f>
        <v>1000000000000</v>
      </c>
      <c r="BF170" s="182">
        <f ca="1">IF($D170&lt;&gt;"Serviço",0,IF(OR(AND(AUTOEVENTO="Manual",$M170=1),$M170&gt;(ROW(PLE.lastrow)-ROW(PLE.firstrow))),0,IF(OFFSET(PLE!$G$14,$M170,BF$13)="",10^12,OFFSET(PLE!$G$14,$M170,BF$13))))</f>
        <v>1000000000000</v>
      </c>
      <c r="BG170" s="182">
        <f ca="1">IF($D170&lt;&gt;"Serviço",0,IF(OR(AND(AUTOEVENTO="Manual",$M170=1),$M170&gt;(ROW(PLE.lastrow)-ROW(PLE.firstrow))),0,IF(OFFSET(PLE!$G$14,$M170,BG$13)="",10^12,OFFSET(PLE!$G$14,$M170,BG$13))))</f>
        <v>1000000000000</v>
      </c>
    </row>
    <row r="171" spans="1:59" ht="12.75" x14ac:dyDescent="0.2">
      <c r="A171" s="7" t="str">
        <f t="shared" ca="1" si="10"/>
        <v>108</v>
      </c>
      <c r="B171" s="7" t="str">
        <f ca="1">OFFSET(ORÇAMENTO!C$15,ROW(B171)-ROW(B$15),0)</f>
        <v>S</v>
      </c>
      <c r="C171" s="7" t="str">
        <f ca="1">OFFSET(ORÇAMENTO!L$15,ROW(C171)-ROW(C$15),0)</f>
        <v/>
      </c>
      <c r="D171" s="118" t="str">
        <f ca="1">OFFSET(ORÇAMENTO!N$15,ROW(D171)-ROW(D$15),0)</f>
        <v>Serviço</v>
      </c>
      <c r="E171" s="119" t="str">
        <f ca="1">OFFSET(ORÇAMENTO!O$15,ROW(E171)-ROW(E$15),0)</f>
        <v>-</v>
      </c>
      <c r="F171" s="172" t="str">
        <f ca="1">OFFSET(ORÇAMENTO!R$15,ROW(F171)-ROW(F$15),0)</f>
        <v>(abra o arquivo 'Referência 02-2025.xlsm)</v>
      </c>
      <c r="G171" s="173" t="str">
        <f ca="1">IF($D171&lt;&gt;"Serviço","",OFFSET(ORÇAMENTO!S$15,ROW(G171)-ROW(G$15),0))</f>
        <v>-</v>
      </c>
      <c r="H171" s="124">
        <f ca="1">IF($D171&lt;&gt;"Serviço",0,IF(ACOMPANHAMENTO="BM",ROUND(OFFSET(ORÇAMENTO!AJ$15,ROW(H171)-ROW(H$15),0),15-13*ORÇAMENTO!$AF$7),SUMPRODUCT(($Q$12:$AA$12&lt;&gt;"")*ROUND($Q171:$AA171,15-13*ORÇAMENTO!$AF$7))))</f>
        <v>81.3</v>
      </c>
      <c r="I171" s="561" t="s">
        <v>890</v>
      </c>
      <c r="K171" s="174"/>
      <c r="L171" s="175" t="s">
        <v>255</v>
      </c>
      <c r="M171" s="176">
        <f ca="1">IF($D171&lt;&gt;"Serviço","",IF(AUTOEVENTO="manual",$A171,IF(ISERROR(MATCH($A171,$A$15:OFFSET($A171,-1,0),0)),MAX($M$15:OFFSET(M171,-1,0))+1,INDEX($M$15:OFFSET(M171,-1,0),MATCH($A171,$A$15:OFFSET($A171,-1,0),0)))))</f>
        <v>7</v>
      </c>
      <c r="N171" s="177" t="str">
        <f ca="1">IF($D171&lt;&gt;"Serviço","",IF(AUTOEVENTO="Manual",IF($A171=0,"&lt;-- defina o número do agrupador",OFFSET(EVENTOS!$D$14,$A171,0)),OFFSET($F$15,$A171,0)))</f>
        <v>ESQUADRIAS</v>
      </c>
      <c r="O171" s="178"/>
      <c r="Q171" s="178"/>
      <c r="R171" s="179"/>
      <c r="S171" s="179"/>
      <c r="T171" s="179"/>
      <c r="U171" s="179"/>
      <c r="V171" s="179"/>
      <c r="W171" s="179"/>
      <c r="X171" s="179"/>
      <c r="Y171" s="179"/>
      <c r="Z171" s="180"/>
      <c r="AB171" s="544">
        <f ca="1">IF(AND($D171="Serviço",AB$12&lt;&gt;0,$H171&gt;0,OR(AUTOEVENTO&lt;&gt;"manual",$M171&lt;&gt;1)),
IF(Import.TipoArredondamento&lt;&gt;"TransfereGOV",
ROUND(OFFSET($P171,0,AB$13),15-13*ORÇAMENTO!$AF$7)/$H171*OFFSET(ORÇAMENTO!$X$15,ROW(AB171)-ROW(AB$15),0),
ROUND(ROUND(OFFSET($P171,0,AB$13),15-13*ORÇAMENTO!$AF$7)*OFFSET(ORÇAMENTO!$W$15,ROW(AB171)-ROW(AB$15),0),15-13*ORÇAMENTO!$AF$11)),0)</f>
        <v>0</v>
      </c>
      <c r="AC171" s="545">
        <f ca="1">IF(AND($D171="Serviço",AC$12&lt;&gt;0,$H171&gt;0,OR(AUTOEVENTO&lt;&gt;"manual",$M171&lt;&gt;1)),
IF(Import.TipoArredondamento&lt;&gt;"TransfereGOV",
ROUND(OFFSET($P171,0,AC$13),15-13*ORÇAMENTO!$AF$7)/$H171*OFFSET(ORÇAMENTO!$X$15,ROW(AC171)-ROW(AC$15),0),
ROUND(ROUND(OFFSET($P171,0,AC$13),15-13*ORÇAMENTO!$AF$7)*OFFSET(ORÇAMENTO!$W$15,ROW(AC171)-ROW(AC$15),0),15-13*ORÇAMENTO!$AF$11)),0)</f>
        <v>0</v>
      </c>
      <c r="AD171" s="545">
        <f ca="1">IF(AND($D171="Serviço",AD$12&lt;&gt;0,$H171&gt;0,OR(AUTOEVENTO&lt;&gt;"manual",$M171&lt;&gt;1)),
IF(Import.TipoArredondamento&lt;&gt;"TransfereGOV",
ROUND(OFFSET($P171,0,AD$13),15-13*ORÇAMENTO!$AF$7)/$H171*OFFSET(ORÇAMENTO!$X$15,ROW(AD171)-ROW(AD$15),0),
ROUND(ROUND(OFFSET($P171,0,AD$13),15-13*ORÇAMENTO!$AF$7)*OFFSET(ORÇAMENTO!$W$15,ROW(AD171)-ROW(AD$15),0),15-13*ORÇAMENTO!$AF$11)),0)</f>
        <v>0</v>
      </c>
      <c r="AE171" s="545">
        <f ca="1">IF(AND($D171="Serviço",AE$12&lt;&gt;0,$H171&gt;0,OR(AUTOEVENTO&lt;&gt;"manual",$M171&lt;&gt;1)),
IF(Import.TipoArredondamento&lt;&gt;"TransfereGOV",
ROUND(OFFSET($P171,0,AE$13),15-13*ORÇAMENTO!$AF$7)/$H171*OFFSET(ORÇAMENTO!$X$15,ROW(AE171)-ROW(AE$15),0),
ROUND(ROUND(OFFSET($P171,0,AE$13),15-13*ORÇAMENTO!$AF$7)*OFFSET(ORÇAMENTO!$W$15,ROW(AE171)-ROW(AE$15),0),15-13*ORÇAMENTO!$AF$11)),0)</f>
        <v>0</v>
      </c>
      <c r="AF171" s="545">
        <f ca="1">IF(AND($D171="Serviço",AF$12&lt;&gt;0,$H171&gt;0,OR(AUTOEVENTO&lt;&gt;"manual",$M171&lt;&gt;1)),
IF(Import.TipoArredondamento&lt;&gt;"TransfereGOV",
ROUND(OFFSET($P171,0,AF$13),15-13*ORÇAMENTO!$AF$7)/$H171*OFFSET(ORÇAMENTO!$X$15,ROW(AF171)-ROW(AF$15),0),
ROUND(ROUND(OFFSET($P171,0,AF$13),15-13*ORÇAMENTO!$AF$7)*OFFSET(ORÇAMENTO!$W$15,ROW(AF171)-ROW(AF$15),0),15-13*ORÇAMENTO!$AF$11)),0)</f>
        <v>0</v>
      </c>
      <c r="AG171" s="545">
        <f ca="1">IF(AND($D171="Serviço",AG$12&lt;&gt;0,$H171&gt;0,OR(AUTOEVENTO&lt;&gt;"manual",$M171&lt;&gt;1)),
IF(Import.TipoArredondamento&lt;&gt;"TransfereGOV",
ROUND(OFFSET($P171,0,AG$13),15-13*ORÇAMENTO!$AF$7)/$H171*OFFSET(ORÇAMENTO!$X$15,ROW(AG171)-ROW(AG$15),0),
ROUND(ROUND(OFFSET($P171,0,AG$13),15-13*ORÇAMENTO!$AF$7)*OFFSET(ORÇAMENTO!$W$15,ROW(AG171)-ROW(AG$15),0),15-13*ORÇAMENTO!$AF$11)),0)</f>
        <v>0</v>
      </c>
      <c r="AH171" s="545">
        <f ca="1">IF(AND($D171="Serviço",AH$12&lt;&gt;0,$H171&gt;0,OR(AUTOEVENTO&lt;&gt;"manual",$M171&lt;&gt;1)),
IF(Import.TipoArredondamento&lt;&gt;"TransfereGOV",
ROUND(OFFSET($P171,0,AH$13),15-13*ORÇAMENTO!$AF$7)/$H171*OFFSET(ORÇAMENTO!$X$15,ROW(AH171)-ROW(AH$15),0),
ROUND(ROUND(OFFSET($P171,0,AH$13),15-13*ORÇAMENTO!$AF$7)*OFFSET(ORÇAMENTO!$W$15,ROW(AH171)-ROW(AH$15),0),15-13*ORÇAMENTO!$AF$11)),0)</f>
        <v>0</v>
      </c>
      <c r="AI171" s="545">
        <f ca="1">IF(AND($D171="Serviço",AI$12&lt;&gt;0,$H171&gt;0,OR(AUTOEVENTO&lt;&gt;"manual",$M171&lt;&gt;1)),
IF(Import.TipoArredondamento&lt;&gt;"TransfereGOV",
ROUND(OFFSET($P171,0,AI$13),15-13*ORÇAMENTO!$AF$7)/$H171*OFFSET(ORÇAMENTO!$X$15,ROW(AI171)-ROW(AI$15),0),
ROUND(ROUND(OFFSET($P171,0,AI$13),15-13*ORÇAMENTO!$AF$7)*OFFSET(ORÇAMENTO!$W$15,ROW(AI171)-ROW(AI$15),0),15-13*ORÇAMENTO!$AF$11)),0)</f>
        <v>0</v>
      </c>
      <c r="AJ171" s="545">
        <f ca="1">IF(AND($D171="Serviço",AJ$12&lt;&gt;0,$H171&gt;0,OR(AUTOEVENTO&lt;&gt;"manual",$M171&lt;&gt;1)),
IF(Import.TipoArredondamento&lt;&gt;"TransfereGOV",
ROUND(OFFSET($P171,0,AJ$13),15-13*ORÇAMENTO!$AF$7)/$H171*OFFSET(ORÇAMENTO!$X$15,ROW(AJ171)-ROW(AJ$15),0),
ROUND(ROUND(OFFSET($P171,0,AJ$13),15-13*ORÇAMENTO!$AF$7)*OFFSET(ORÇAMENTO!$W$15,ROW(AJ171)-ROW(AJ$15),0),15-13*ORÇAMENTO!$AF$11)),0)</f>
        <v>0</v>
      </c>
      <c r="AK171" s="546">
        <f ca="1">IF(AND($D171="Serviço",AK$12&lt;&gt;0,$H171&gt;0,OR(AUTOEVENTO&lt;&gt;"manual",$M171&lt;&gt;1)),
IF(Import.TipoArredondamento&lt;&gt;"TransfereGOV",
ROUND(OFFSET($P171,0,AK$13),15-13*ORÇAMENTO!$AF$7)/$H171*OFFSET(ORÇAMENTO!$X$15,ROW(AK171)-ROW(AK$15),0),
ROUND(ROUND(OFFSET($P171,0,AK$13),15-13*ORÇAMENTO!$AF$7)*OFFSET(ORÇAMENTO!$W$15,ROW(AK171)-ROW(AK$15),0),15-13*ORÇAMENTO!$AF$11)),0)</f>
        <v>0</v>
      </c>
      <c r="AM171" s="181">
        <f ca="1">IF($D171&lt;&gt;"Serviço",0,IF(AND(AUTOEVENTO="Manual",$M171=1),0,IF(OFFSET(CRONOPLE!$F$14,$M171,AM$13)="",10^12,OFFSET(CRONOPLE!$F$14,$M171,AM$13))))</f>
        <v>1000000000000</v>
      </c>
      <c r="AN171" s="181">
        <f ca="1">IF($D171&lt;&gt;"Serviço",0,IF(AND(AUTOEVENTO="Manual",$M171=1),0,IF(OFFSET(CRONOPLE!$F$14,$M171,AN$13)="",10^12,OFFSET(CRONOPLE!$F$14,$M171,AN$13))))</f>
        <v>1000000000000</v>
      </c>
      <c r="AO171" s="181">
        <f ca="1">IF($D171&lt;&gt;"Serviço",0,IF(AND(AUTOEVENTO="Manual",$M171=1),0,IF(OFFSET(CRONOPLE!$F$14,$M171,AO$13)="",10^12,OFFSET(CRONOPLE!$F$14,$M171,AO$13))))</f>
        <v>1000000000000</v>
      </c>
      <c r="AP171" s="181">
        <f ca="1">IF($D171&lt;&gt;"Serviço",0,IF(AND(AUTOEVENTO="Manual",$M171=1),0,IF(OFFSET(CRONOPLE!$F$14,$M171,AP$13)="",10^12,OFFSET(CRONOPLE!$F$14,$M171,AP$13))))</f>
        <v>1000000000000</v>
      </c>
      <c r="AQ171" s="181">
        <f ca="1">IF($D171&lt;&gt;"Serviço",0,IF(AND(AUTOEVENTO="Manual",$M171=1),0,IF(OFFSET(CRONOPLE!$F$14,$M171,AQ$13)="",10^12,OFFSET(CRONOPLE!$F$14,$M171,AQ$13))))</f>
        <v>1000000000000</v>
      </c>
      <c r="AR171" s="181">
        <f ca="1">IF($D171&lt;&gt;"Serviço",0,IF(AND(AUTOEVENTO="Manual",$M171=1),0,IF(OFFSET(CRONOPLE!$F$14,$M171,AR$13)="",10^12,OFFSET(CRONOPLE!$F$14,$M171,AR$13))))</f>
        <v>1000000000000</v>
      </c>
      <c r="AS171" s="181">
        <f ca="1">IF($D171&lt;&gt;"Serviço",0,IF(AND(AUTOEVENTO="Manual",$M171=1),0,IF(OFFSET(CRONOPLE!$F$14,$M171,AS$13)="",10^12,OFFSET(CRONOPLE!$F$14,$M171,AS$13))))</f>
        <v>1000000000000</v>
      </c>
      <c r="AT171" s="181">
        <f ca="1">IF($D171&lt;&gt;"Serviço",0,IF(AND(AUTOEVENTO="Manual",$M171=1),0,IF(OFFSET(CRONOPLE!$F$14,$M171,AT$13)="",10^12,OFFSET(CRONOPLE!$F$14,$M171,AT$13))))</f>
        <v>1000000000000</v>
      </c>
      <c r="AU171" s="181">
        <f ca="1">IF($D171&lt;&gt;"Serviço",0,IF(AND(AUTOEVENTO="Manual",$M171=1),0,IF(OFFSET(CRONOPLE!$F$14,$M171,AU$13)="",10^12,OFFSET(CRONOPLE!$F$14,$M171,AU$13))))</f>
        <v>1000000000000</v>
      </c>
      <c r="AV171" s="181">
        <f ca="1">IF($D171&lt;&gt;"Serviço",0,IF(AND(AUTOEVENTO="Manual",$M171=1),0,IF(OFFSET(CRONOPLE!$F$14,$M171,AV$13)="",10^12,OFFSET(CRONOPLE!$F$14,$M171,AV$13))))</f>
        <v>1000000000000</v>
      </c>
      <c r="AX171" s="182">
        <f ca="1">IF($D171&lt;&gt;"Serviço",0,IF(OR(AND(AUTOEVENTO="Manual",$M171=1),$M171&gt;(ROW(PLE.lastrow)-ROW(PLE.firstrow))),0,IF(OFFSET(PLE!$G$14,$M171,AX$13)="",10^12,OFFSET(PLE!$G$14,$M171,AX$13))))</f>
        <v>1000000000000</v>
      </c>
      <c r="AY171" s="182">
        <f ca="1">IF($D171&lt;&gt;"Serviço",0,IF(OR(AND(AUTOEVENTO="Manual",$M171=1),$M171&gt;(ROW(PLE.lastrow)-ROW(PLE.firstrow))),0,IF(OFFSET(PLE!$G$14,$M171,AY$13)="",10^12,OFFSET(PLE!$G$14,$M171,AY$13))))</f>
        <v>1000000000000</v>
      </c>
      <c r="AZ171" s="182">
        <f ca="1">IF($D171&lt;&gt;"Serviço",0,IF(OR(AND(AUTOEVENTO="Manual",$M171=1),$M171&gt;(ROW(PLE.lastrow)-ROW(PLE.firstrow))),0,IF(OFFSET(PLE!$G$14,$M171,AZ$13)="",10^12,OFFSET(PLE!$G$14,$M171,AZ$13))))</f>
        <v>1000000000000</v>
      </c>
      <c r="BA171" s="182">
        <f ca="1">IF($D171&lt;&gt;"Serviço",0,IF(OR(AND(AUTOEVENTO="Manual",$M171=1),$M171&gt;(ROW(PLE.lastrow)-ROW(PLE.firstrow))),0,IF(OFFSET(PLE!$G$14,$M171,BA$13)="",10^12,OFFSET(PLE!$G$14,$M171,BA$13))))</f>
        <v>1000000000000</v>
      </c>
      <c r="BB171" s="182">
        <f ca="1">IF($D171&lt;&gt;"Serviço",0,IF(OR(AND(AUTOEVENTO="Manual",$M171=1),$M171&gt;(ROW(PLE.lastrow)-ROW(PLE.firstrow))),0,IF(OFFSET(PLE!$G$14,$M171,BB$13)="",10^12,OFFSET(PLE!$G$14,$M171,BB$13))))</f>
        <v>1000000000000</v>
      </c>
      <c r="BC171" s="182">
        <f ca="1">IF($D171&lt;&gt;"Serviço",0,IF(OR(AND(AUTOEVENTO="Manual",$M171=1),$M171&gt;(ROW(PLE.lastrow)-ROW(PLE.firstrow))),0,IF(OFFSET(PLE!$G$14,$M171,BC$13)="",10^12,OFFSET(PLE!$G$14,$M171,BC$13))))</f>
        <v>1000000000000</v>
      </c>
      <c r="BD171" s="182">
        <f ca="1">IF($D171&lt;&gt;"Serviço",0,IF(OR(AND(AUTOEVENTO="Manual",$M171=1),$M171&gt;(ROW(PLE.lastrow)-ROW(PLE.firstrow))),0,IF(OFFSET(PLE!$G$14,$M171,BD$13)="",10^12,OFFSET(PLE!$G$14,$M171,BD$13))))</f>
        <v>1000000000000</v>
      </c>
      <c r="BE171" s="182">
        <f ca="1">IF($D171&lt;&gt;"Serviço",0,IF(OR(AND(AUTOEVENTO="Manual",$M171=1),$M171&gt;(ROW(PLE.lastrow)-ROW(PLE.firstrow))),0,IF(OFFSET(PLE!$G$14,$M171,BE$13)="",10^12,OFFSET(PLE!$G$14,$M171,BE$13))))</f>
        <v>1000000000000</v>
      </c>
      <c r="BF171" s="182">
        <f ca="1">IF($D171&lt;&gt;"Serviço",0,IF(OR(AND(AUTOEVENTO="Manual",$M171=1),$M171&gt;(ROW(PLE.lastrow)-ROW(PLE.firstrow))),0,IF(OFFSET(PLE!$G$14,$M171,BF$13)="",10^12,OFFSET(PLE!$G$14,$M171,BF$13))))</f>
        <v>1000000000000</v>
      </c>
      <c r="BG171" s="182">
        <f ca="1">IF($D171&lt;&gt;"Serviço",0,IF(OR(AND(AUTOEVENTO="Manual",$M171=1),$M171&gt;(ROW(PLE.lastrow)-ROW(PLE.firstrow))),0,IF(OFFSET(PLE!$G$14,$M171,BG$13)="",10^12,OFFSET(PLE!$G$14,$M171,BG$13))))</f>
        <v>1000000000000</v>
      </c>
    </row>
    <row r="172" spans="1:59" ht="51" x14ac:dyDescent="0.2">
      <c r="A172" s="7" t="str">
        <f t="shared" ca="1" si="10"/>
        <v>108</v>
      </c>
      <c r="B172" s="7" t="str">
        <f ca="1">OFFSET(ORÇAMENTO!C$15,ROW(B172)-ROW(B$15),0)</f>
        <v>S</v>
      </c>
      <c r="C172" s="7" t="str">
        <f ca="1">OFFSET(ORÇAMENTO!L$15,ROW(C172)-ROW(C$15),0)</f>
        <v/>
      </c>
      <c r="D172" s="118" t="str">
        <f ca="1">OFFSET(ORÇAMENTO!N$15,ROW(D172)-ROW(D$15),0)</f>
        <v>Serviço</v>
      </c>
      <c r="E172" s="119" t="str">
        <f ca="1">OFFSET(ORÇAMENTO!O$15,ROW(E172)-ROW(E$15),0)</f>
        <v>-</v>
      </c>
      <c r="F172" s="172" t="str">
        <f ca="1">OFFSET(ORÇAMENTO!R$15,ROW(F172)-ROW(F$15),0)</f>
        <v>(abra o arquivo 'Referência 02-2025.xlsm)</v>
      </c>
      <c r="G172" s="173" t="str">
        <f ca="1">IF($D172&lt;&gt;"Serviço","",OFFSET(ORÇAMENTO!S$15,ROW(G172)-ROW(G$15),0))</f>
        <v>-</v>
      </c>
      <c r="H172" s="124">
        <f ca="1">IF($D172&lt;&gt;"Serviço",0,IF(ACOMPANHAMENTO="BM",ROUND(OFFSET(ORÇAMENTO!AJ$15,ROW(H172)-ROW(H$15),0),15-13*ORÇAMENTO!$AF$7),SUMPRODUCT(($Q$12:$AA$12&lt;&gt;"")*ROUND($Q172:$AA172,15-13*ORÇAMENTO!$AF$7))))</f>
        <v>7.77</v>
      </c>
      <c r="I172" s="561" t="s">
        <v>890</v>
      </c>
      <c r="K172" s="174"/>
      <c r="L172" s="175" t="s">
        <v>255</v>
      </c>
      <c r="M172" s="176">
        <f ca="1">IF($D172&lt;&gt;"Serviço","",IF(AUTOEVENTO="manual",$A172,IF(ISERROR(MATCH($A172,$A$15:OFFSET($A172,-1,0),0)),MAX($M$15:OFFSET(M172,-1,0))+1,INDEX($M$15:OFFSET(M172,-1,0),MATCH($A172,$A$15:OFFSET($A172,-1,0),0)))))</f>
        <v>7</v>
      </c>
      <c r="N172" s="177" t="str">
        <f ca="1">IF($D172&lt;&gt;"Serviço","",IF(AUTOEVENTO="Manual",IF($A172=0,"&lt;-- defina o número do agrupador",OFFSET(EVENTOS!$D$14,$A172,0)),OFFSET($F$15,$A172,0)))</f>
        <v>ESQUADRIAS</v>
      </c>
      <c r="O172" s="178"/>
      <c r="Q172" s="178"/>
      <c r="R172" s="179"/>
      <c r="S172" s="179"/>
      <c r="T172" s="179"/>
      <c r="U172" s="179"/>
      <c r="V172" s="179"/>
      <c r="W172" s="179"/>
      <c r="X172" s="179"/>
      <c r="Y172" s="179"/>
      <c r="Z172" s="180"/>
      <c r="AB172" s="544">
        <f ca="1">IF(AND($D172="Serviço",AB$12&lt;&gt;0,$H172&gt;0,OR(AUTOEVENTO&lt;&gt;"manual",$M172&lt;&gt;1)),
IF(Import.TipoArredondamento&lt;&gt;"TransfereGOV",
ROUND(OFFSET($P172,0,AB$13),15-13*ORÇAMENTO!$AF$7)/$H172*OFFSET(ORÇAMENTO!$X$15,ROW(AB172)-ROW(AB$15),0),
ROUND(ROUND(OFFSET($P172,0,AB$13),15-13*ORÇAMENTO!$AF$7)*OFFSET(ORÇAMENTO!$W$15,ROW(AB172)-ROW(AB$15),0),15-13*ORÇAMENTO!$AF$11)),0)</f>
        <v>0</v>
      </c>
      <c r="AC172" s="545">
        <f ca="1">IF(AND($D172="Serviço",AC$12&lt;&gt;0,$H172&gt;0,OR(AUTOEVENTO&lt;&gt;"manual",$M172&lt;&gt;1)),
IF(Import.TipoArredondamento&lt;&gt;"TransfereGOV",
ROUND(OFFSET($P172,0,AC$13),15-13*ORÇAMENTO!$AF$7)/$H172*OFFSET(ORÇAMENTO!$X$15,ROW(AC172)-ROW(AC$15),0),
ROUND(ROUND(OFFSET($P172,0,AC$13),15-13*ORÇAMENTO!$AF$7)*OFFSET(ORÇAMENTO!$W$15,ROW(AC172)-ROW(AC$15),0),15-13*ORÇAMENTO!$AF$11)),0)</f>
        <v>0</v>
      </c>
      <c r="AD172" s="545">
        <f ca="1">IF(AND($D172="Serviço",AD$12&lt;&gt;0,$H172&gt;0,OR(AUTOEVENTO&lt;&gt;"manual",$M172&lt;&gt;1)),
IF(Import.TipoArredondamento&lt;&gt;"TransfereGOV",
ROUND(OFFSET($P172,0,AD$13),15-13*ORÇAMENTO!$AF$7)/$H172*OFFSET(ORÇAMENTO!$X$15,ROW(AD172)-ROW(AD$15),0),
ROUND(ROUND(OFFSET($P172,0,AD$13),15-13*ORÇAMENTO!$AF$7)*OFFSET(ORÇAMENTO!$W$15,ROW(AD172)-ROW(AD$15),0),15-13*ORÇAMENTO!$AF$11)),0)</f>
        <v>0</v>
      </c>
      <c r="AE172" s="545">
        <f ca="1">IF(AND($D172="Serviço",AE$12&lt;&gt;0,$H172&gt;0,OR(AUTOEVENTO&lt;&gt;"manual",$M172&lt;&gt;1)),
IF(Import.TipoArredondamento&lt;&gt;"TransfereGOV",
ROUND(OFFSET($P172,0,AE$13),15-13*ORÇAMENTO!$AF$7)/$H172*OFFSET(ORÇAMENTO!$X$15,ROW(AE172)-ROW(AE$15),0),
ROUND(ROUND(OFFSET($P172,0,AE$13),15-13*ORÇAMENTO!$AF$7)*OFFSET(ORÇAMENTO!$W$15,ROW(AE172)-ROW(AE$15),0),15-13*ORÇAMENTO!$AF$11)),0)</f>
        <v>0</v>
      </c>
      <c r="AF172" s="545">
        <f ca="1">IF(AND($D172="Serviço",AF$12&lt;&gt;0,$H172&gt;0,OR(AUTOEVENTO&lt;&gt;"manual",$M172&lt;&gt;1)),
IF(Import.TipoArredondamento&lt;&gt;"TransfereGOV",
ROUND(OFFSET($P172,0,AF$13),15-13*ORÇAMENTO!$AF$7)/$H172*OFFSET(ORÇAMENTO!$X$15,ROW(AF172)-ROW(AF$15),0),
ROUND(ROUND(OFFSET($P172,0,AF$13),15-13*ORÇAMENTO!$AF$7)*OFFSET(ORÇAMENTO!$W$15,ROW(AF172)-ROW(AF$15),0),15-13*ORÇAMENTO!$AF$11)),0)</f>
        <v>0</v>
      </c>
      <c r="AG172" s="545">
        <f ca="1">IF(AND($D172="Serviço",AG$12&lt;&gt;0,$H172&gt;0,OR(AUTOEVENTO&lt;&gt;"manual",$M172&lt;&gt;1)),
IF(Import.TipoArredondamento&lt;&gt;"TransfereGOV",
ROUND(OFFSET($P172,0,AG$13),15-13*ORÇAMENTO!$AF$7)/$H172*OFFSET(ORÇAMENTO!$X$15,ROW(AG172)-ROW(AG$15),0),
ROUND(ROUND(OFFSET($P172,0,AG$13),15-13*ORÇAMENTO!$AF$7)*OFFSET(ORÇAMENTO!$W$15,ROW(AG172)-ROW(AG$15),0),15-13*ORÇAMENTO!$AF$11)),0)</f>
        <v>0</v>
      </c>
      <c r="AH172" s="545">
        <f ca="1">IF(AND($D172="Serviço",AH$12&lt;&gt;0,$H172&gt;0,OR(AUTOEVENTO&lt;&gt;"manual",$M172&lt;&gt;1)),
IF(Import.TipoArredondamento&lt;&gt;"TransfereGOV",
ROUND(OFFSET($P172,0,AH$13),15-13*ORÇAMENTO!$AF$7)/$H172*OFFSET(ORÇAMENTO!$X$15,ROW(AH172)-ROW(AH$15),0),
ROUND(ROUND(OFFSET($P172,0,AH$13),15-13*ORÇAMENTO!$AF$7)*OFFSET(ORÇAMENTO!$W$15,ROW(AH172)-ROW(AH$15),0),15-13*ORÇAMENTO!$AF$11)),0)</f>
        <v>0</v>
      </c>
      <c r="AI172" s="545">
        <f ca="1">IF(AND($D172="Serviço",AI$12&lt;&gt;0,$H172&gt;0,OR(AUTOEVENTO&lt;&gt;"manual",$M172&lt;&gt;1)),
IF(Import.TipoArredondamento&lt;&gt;"TransfereGOV",
ROUND(OFFSET($P172,0,AI$13),15-13*ORÇAMENTO!$AF$7)/$H172*OFFSET(ORÇAMENTO!$X$15,ROW(AI172)-ROW(AI$15),0),
ROUND(ROUND(OFFSET($P172,0,AI$13),15-13*ORÇAMENTO!$AF$7)*OFFSET(ORÇAMENTO!$W$15,ROW(AI172)-ROW(AI$15),0),15-13*ORÇAMENTO!$AF$11)),0)</f>
        <v>0</v>
      </c>
      <c r="AJ172" s="545">
        <f ca="1">IF(AND($D172="Serviço",AJ$12&lt;&gt;0,$H172&gt;0,OR(AUTOEVENTO&lt;&gt;"manual",$M172&lt;&gt;1)),
IF(Import.TipoArredondamento&lt;&gt;"TransfereGOV",
ROUND(OFFSET($P172,0,AJ$13),15-13*ORÇAMENTO!$AF$7)/$H172*OFFSET(ORÇAMENTO!$X$15,ROW(AJ172)-ROW(AJ$15),0),
ROUND(ROUND(OFFSET($P172,0,AJ$13),15-13*ORÇAMENTO!$AF$7)*OFFSET(ORÇAMENTO!$W$15,ROW(AJ172)-ROW(AJ$15),0),15-13*ORÇAMENTO!$AF$11)),0)</f>
        <v>0</v>
      </c>
      <c r="AK172" s="546">
        <f ca="1">IF(AND($D172="Serviço",AK$12&lt;&gt;0,$H172&gt;0,OR(AUTOEVENTO&lt;&gt;"manual",$M172&lt;&gt;1)),
IF(Import.TipoArredondamento&lt;&gt;"TransfereGOV",
ROUND(OFFSET($P172,0,AK$13),15-13*ORÇAMENTO!$AF$7)/$H172*OFFSET(ORÇAMENTO!$X$15,ROW(AK172)-ROW(AK$15),0),
ROUND(ROUND(OFFSET($P172,0,AK$13),15-13*ORÇAMENTO!$AF$7)*OFFSET(ORÇAMENTO!$W$15,ROW(AK172)-ROW(AK$15),0),15-13*ORÇAMENTO!$AF$11)),0)</f>
        <v>0</v>
      </c>
      <c r="AM172" s="181">
        <f ca="1">IF($D172&lt;&gt;"Serviço",0,IF(AND(AUTOEVENTO="Manual",$M172=1),0,IF(OFFSET(CRONOPLE!$F$14,$M172,AM$13)="",10^12,OFFSET(CRONOPLE!$F$14,$M172,AM$13))))</f>
        <v>1000000000000</v>
      </c>
      <c r="AN172" s="181">
        <f ca="1">IF($D172&lt;&gt;"Serviço",0,IF(AND(AUTOEVENTO="Manual",$M172=1),0,IF(OFFSET(CRONOPLE!$F$14,$M172,AN$13)="",10^12,OFFSET(CRONOPLE!$F$14,$M172,AN$13))))</f>
        <v>1000000000000</v>
      </c>
      <c r="AO172" s="181">
        <f ca="1">IF($D172&lt;&gt;"Serviço",0,IF(AND(AUTOEVENTO="Manual",$M172=1),0,IF(OFFSET(CRONOPLE!$F$14,$M172,AO$13)="",10^12,OFFSET(CRONOPLE!$F$14,$M172,AO$13))))</f>
        <v>1000000000000</v>
      </c>
      <c r="AP172" s="181">
        <f ca="1">IF($D172&lt;&gt;"Serviço",0,IF(AND(AUTOEVENTO="Manual",$M172=1),0,IF(OFFSET(CRONOPLE!$F$14,$M172,AP$13)="",10^12,OFFSET(CRONOPLE!$F$14,$M172,AP$13))))</f>
        <v>1000000000000</v>
      </c>
      <c r="AQ172" s="181">
        <f ca="1">IF($D172&lt;&gt;"Serviço",0,IF(AND(AUTOEVENTO="Manual",$M172=1),0,IF(OFFSET(CRONOPLE!$F$14,$M172,AQ$13)="",10^12,OFFSET(CRONOPLE!$F$14,$M172,AQ$13))))</f>
        <v>1000000000000</v>
      </c>
      <c r="AR172" s="181">
        <f ca="1">IF($D172&lt;&gt;"Serviço",0,IF(AND(AUTOEVENTO="Manual",$M172=1),0,IF(OFFSET(CRONOPLE!$F$14,$M172,AR$13)="",10^12,OFFSET(CRONOPLE!$F$14,$M172,AR$13))))</f>
        <v>1000000000000</v>
      </c>
      <c r="AS172" s="181">
        <f ca="1">IF($D172&lt;&gt;"Serviço",0,IF(AND(AUTOEVENTO="Manual",$M172=1),0,IF(OFFSET(CRONOPLE!$F$14,$M172,AS$13)="",10^12,OFFSET(CRONOPLE!$F$14,$M172,AS$13))))</f>
        <v>1000000000000</v>
      </c>
      <c r="AT172" s="181">
        <f ca="1">IF($D172&lt;&gt;"Serviço",0,IF(AND(AUTOEVENTO="Manual",$M172=1),0,IF(OFFSET(CRONOPLE!$F$14,$M172,AT$13)="",10^12,OFFSET(CRONOPLE!$F$14,$M172,AT$13))))</f>
        <v>1000000000000</v>
      </c>
      <c r="AU172" s="181">
        <f ca="1">IF($D172&lt;&gt;"Serviço",0,IF(AND(AUTOEVENTO="Manual",$M172=1),0,IF(OFFSET(CRONOPLE!$F$14,$M172,AU$13)="",10^12,OFFSET(CRONOPLE!$F$14,$M172,AU$13))))</f>
        <v>1000000000000</v>
      </c>
      <c r="AV172" s="181">
        <f ca="1">IF($D172&lt;&gt;"Serviço",0,IF(AND(AUTOEVENTO="Manual",$M172=1),0,IF(OFFSET(CRONOPLE!$F$14,$M172,AV$13)="",10^12,OFFSET(CRONOPLE!$F$14,$M172,AV$13))))</f>
        <v>1000000000000</v>
      </c>
      <c r="AX172" s="182">
        <f ca="1">IF($D172&lt;&gt;"Serviço",0,IF(OR(AND(AUTOEVENTO="Manual",$M172=1),$M172&gt;(ROW(PLE.lastrow)-ROW(PLE.firstrow))),0,IF(OFFSET(PLE!$G$14,$M172,AX$13)="",10^12,OFFSET(PLE!$G$14,$M172,AX$13))))</f>
        <v>1000000000000</v>
      </c>
      <c r="AY172" s="182">
        <f ca="1">IF($D172&lt;&gt;"Serviço",0,IF(OR(AND(AUTOEVENTO="Manual",$M172=1),$M172&gt;(ROW(PLE.lastrow)-ROW(PLE.firstrow))),0,IF(OFFSET(PLE!$G$14,$M172,AY$13)="",10^12,OFFSET(PLE!$G$14,$M172,AY$13))))</f>
        <v>1000000000000</v>
      </c>
      <c r="AZ172" s="182">
        <f ca="1">IF($D172&lt;&gt;"Serviço",0,IF(OR(AND(AUTOEVENTO="Manual",$M172=1),$M172&gt;(ROW(PLE.lastrow)-ROW(PLE.firstrow))),0,IF(OFFSET(PLE!$G$14,$M172,AZ$13)="",10^12,OFFSET(PLE!$G$14,$M172,AZ$13))))</f>
        <v>1000000000000</v>
      </c>
      <c r="BA172" s="182">
        <f ca="1">IF($D172&lt;&gt;"Serviço",0,IF(OR(AND(AUTOEVENTO="Manual",$M172=1),$M172&gt;(ROW(PLE.lastrow)-ROW(PLE.firstrow))),0,IF(OFFSET(PLE!$G$14,$M172,BA$13)="",10^12,OFFSET(PLE!$G$14,$M172,BA$13))))</f>
        <v>1000000000000</v>
      </c>
      <c r="BB172" s="182">
        <f ca="1">IF($D172&lt;&gt;"Serviço",0,IF(OR(AND(AUTOEVENTO="Manual",$M172=1),$M172&gt;(ROW(PLE.lastrow)-ROW(PLE.firstrow))),0,IF(OFFSET(PLE!$G$14,$M172,BB$13)="",10^12,OFFSET(PLE!$G$14,$M172,BB$13))))</f>
        <v>1000000000000</v>
      </c>
      <c r="BC172" s="182">
        <f ca="1">IF($D172&lt;&gt;"Serviço",0,IF(OR(AND(AUTOEVENTO="Manual",$M172=1),$M172&gt;(ROW(PLE.lastrow)-ROW(PLE.firstrow))),0,IF(OFFSET(PLE!$G$14,$M172,BC$13)="",10^12,OFFSET(PLE!$G$14,$M172,BC$13))))</f>
        <v>1000000000000</v>
      </c>
      <c r="BD172" s="182">
        <f ca="1">IF($D172&lt;&gt;"Serviço",0,IF(OR(AND(AUTOEVENTO="Manual",$M172=1),$M172&gt;(ROW(PLE.lastrow)-ROW(PLE.firstrow))),0,IF(OFFSET(PLE!$G$14,$M172,BD$13)="",10^12,OFFSET(PLE!$G$14,$M172,BD$13))))</f>
        <v>1000000000000</v>
      </c>
      <c r="BE172" s="182">
        <f ca="1">IF($D172&lt;&gt;"Serviço",0,IF(OR(AND(AUTOEVENTO="Manual",$M172=1),$M172&gt;(ROW(PLE.lastrow)-ROW(PLE.firstrow))),0,IF(OFFSET(PLE!$G$14,$M172,BE$13)="",10^12,OFFSET(PLE!$G$14,$M172,BE$13))))</f>
        <v>1000000000000</v>
      </c>
      <c r="BF172" s="182">
        <f ca="1">IF($D172&lt;&gt;"Serviço",0,IF(OR(AND(AUTOEVENTO="Manual",$M172=1),$M172&gt;(ROW(PLE.lastrow)-ROW(PLE.firstrow))),0,IF(OFFSET(PLE!$G$14,$M172,BF$13)="",10^12,OFFSET(PLE!$G$14,$M172,BF$13))))</f>
        <v>1000000000000</v>
      </c>
      <c r="BG172" s="182">
        <f ca="1">IF($D172&lt;&gt;"Serviço",0,IF(OR(AND(AUTOEVENTO="Manual",$M172=1),$M172&gt;(ROW(PLE.lastrow)-ROW(PLE.firstrow))),0,IF(OFFSET(PLE!$G$14,$M172,BG$13)="",10^12,OFFSET(PLE!$G$14,$M172,BG$13))))</f>
        <v>1000000000000</v>
      </c>
    </row>
    <row r="173" spans="1:59" ht="51" x14ac:dyDescent="0.2">
      <c r="A173" s="7" t="str">
        <f t="shared" ca="1" si="10"/>
        <v>108</v>
      </c>
      <c r="B173" s="7" t="str">
        <f ca="1">OFFSET(ORÇAMENTO!C$15,ROW(B173)-ROW(B$15),0)</f>
        <v>S</v>
      </c>
      <c r="C173" s="7" t="str">
        <f ca="1">OFFSET(ORÇAMENTO!L$15,ROW(C173)-ROW(C$15),0)</f>
        <v/>
      </c>
      <c r="D173" s="118" t="str">
        <f ca="1">OFFSET(ORÇAMENTO!N$15,ROW(D173)-ROW(D$15),0)</f>
        <v>Serviço</v>
      </c>
      <c r="E173" s="119" t="str">
        <f ca="1">OFFSET(ORÇAMENTO!O$15,ROW(E173)-ROW(E$15),0)</f>
        <v>-</v>
      </c>
      <c r="F173" s="172" t="str">
        <f ca="1">OFFSET(ORÇAMENTO!R$15,ROW(F173)-ROW(F$15),0)</f>
        <v>(abra o arquivo 'Referência 02-2025.xlsm)</v>
      </c>
      <c r="G173" s="173" t="str">
        <f ca="1">IF($D173&lt;&gt;"Serviço","",OFFSET(ORÇAMENTO!S$15,ROW(G173)-ROW(G$15),0))</f>
        <v>-</v>
      </c>
      <c r="H173" s="124">
        <f ca="1">IF($D173&lt;&gt;"Serviço",0,IF(ACOMPANHAMENTO="BM",ROUND(OFFSET(ORÇAMENTO!AJ$15,ROW(H173)-ROW(H$15),0),15-13*ORÇAMENTO!$AF$7),SUMPRODUCT(($Q$12:$AA$12&lt;&gt;"")*ROUND($Q173:$AA173,15-13*ORÇAMENTO!$AF$7))))</f>
        <v>5.6</v>
      </c>
      <c r="I173" s="561" t="s">
        <v>890</v>
      </c>
      <c r="K173" s="174"/>
      <c r="L173" s="175" t="s">
        <v>255</v>
      </c>
      <c r="M173" s="176">
        <f ca="1">IF($D173&lt;&gt;"Serviço","",IF(AUTOEVENTO="manual",$A173,IF(ISERROR(MATCH($A173,$A$15:OFFSET($A173,-1,0),0)),MAX($M$15:OFFSET(M173,-1,0))+1,INDEX($M$15:OFFSET(M173,-1,0),MATCH($A173,$A$15:OFFSET($A173,-1,0),0)))))</f>
        <v>7</v>
      </c>
      <c r="N173" s="177" t="str">
        <f ca="1">IF($D173&lt;&gt;"Serviço","",IF(AUTOEVENTO="Manual",IF($A173=0,"&lt;-- defina o número do agrupador",OFFSET(EVENTOS!$D$14,$A173,0)),OFFSET($F$15,$A173,0)))</f>
        <v>ESQUADRIAS</v>
      </c>
      <c r="O173" s="178"/>
      <c r="Q173" s="178"/>
      <c r="R173" s="179"/>
      <c r="S173" s="179"/>
      <c r="T173" s="179"/>
      <c r="U173" s="179"/>
      <c r="V173" s="179"/>
      <c r="W173" s="179"/>
      <c r="X173" s="179"/>
      <c r="Y173" s="179"/>
      <c r="Z173" s="180"/>
      <c r="AB173" s="544">
        <f ca="1">IF(AND($D173="Serviço",AB$12&lt;&gt;0,$H173&gt;0,OR(AUTOEVENTO&lt;&gt;"manual",$M173&lt;&gt;1)),
IF(Import.TipoArredondamento&lt;&gt;"TransfereGOV",
ROUND(OFFSET($P173,0,AB$13),15-13*ORÇAMENTO!$AF$7)/$H173*OFFSET(ORÇAMENTO!$X$15,ROW(AB173)-ROW(AB$15),0),
ROUND(ROUND(OFFSET($P173,0,AB$13),15-13*ORÇAMENTO!$AF$7)*OFFSET(ORÇAMENTO!$W$15,ROW(AB173)-ROW(AB$15),0),15-13*ORÇAMENTO!$AF$11)),0)</f>
        <v>0</v>
      </c>
      <c r="AC173" s="545">
        <f ca="1">IF(AND($D173="Serviço",AC$12&lt;&gt;0,$H173&gt;0,OR(AUTOEVENTO&lt;&gt;"manual",$M173&lt;&gt;1)),
IF(Import.TipoArredondamento&lt;&gt;"TransfereGOV",
ROUND(OFFSET($P173,0,AC$13),15-13*ORÇAMENTO!$AF$7)/$H173*OFFSET(ORÇAMENTO!$X$15,ROW(AC173)-ROW(AC$15),0),
ROUND(ROUND(OFFSET($P173,0,AC$13),15-13*ORÇAMENTO!$AF$7)*OFFSET(ORÇAMENTO!$W$15,ROW(AC173)-ROW(AC$15),0),15-13*ORÇAMENTO!$AF$11)),0)</f>
        <v>0</v>
      </c>
      <c r="AD173" s="545">
        <f ca="1">IF(AND($D173="Serviço",AD$12&lt;&gt;0,$H173&gt;0,OR(AUTOEVENTO&lt;&gt;"manual",$M173&lt;&gt;1)),
IF(Import.TipoArredondamento&lt;&gt;"TransfereGOV",
ROUND(OFFSET($P173,0,AD$13),15-13*ORÇAMENTO!$AF$7)/$H173*OFFSET(ORÇAMENTO!$X$15,ROW(AD173)-ROW(AD$15),0),
ROUND(ROUND(OFFSET($P173,0,AD$13),15-13*ORÇAMENTO!$AF$7)*OFFSET(ORÇAMENTO!$W$15,ROW(AD173)-ROW(AD$15),0),15-13*ORÇAMENTO!$AF$11)),0)</f>
        <v>0</v>
      </c>
      <c r="AE173" s="545">
        <f ca="1">IF(AND($D173="Serviço",AE$12&lt;&gt;0,$H173&gt;0,OR(AUTOEVENTO&lt;&gt;"manual",$M173&lt;&gt;1)),
IF(Import.TipoArredondamento&lt;&gt;"TransfereGOV",
ROUND(OFFSET($P173,0,AE$13),15-13*ORÇAMENTO!$AF$7)/$H173*OFFSET(ORÇAMENTO!$X$15,ROW(AE173)-ROW(AE$15),0),
ROUND(ROUND(OFFSET($P173,0,AE$13),15-13*ORÇAMENTO!$AF$7)*OFFSET(ORÇAMENTO!$W$15,ROW(AE173)-ROW(AE$15),0),15-13*ORÇAMENTO!$AF$11)),0)</f>
        <v>0</v>
      </c>
      <c r="AF173" s="545">
        <f ca="1">IF(AND($D173="Serviço",AF$12&lt;&gt;0,$H173&gt;0,OR(AUTOEVENTO&lt;&gt;"manual",$M173&lt;&gt;1)),
IF(Import.TipoArredondamento&lt;&gt;"TransfereGOV",
ROUND(OFFSET($P173,0,AF$13),15-13*ORÇAMENTO!$AF$7)/$H173*OFFSET(ORÇAMENTO!$X$15,ROW(AF173)-ROW(AF$15),0),
ROUND(ROUND(OFFSET($P173,0,AF$13),15-13*ORÇAMENTO!$AF$7)*OFFSET(ORÇAMENTO!$W$15,ROW(AF173)-ROW(AF$15),0),15-13*ORÇAMENTO!$AF$11)),0)</f>
        <v>0</v>
      </c>
      <c r="AG173" s="545">
        <f ca="1">IF(AND($D173="Serviço",AG$12&lt;&gt;0,$H173&gt;0,OR(AUTOEVENTO&lt;&gt;"manual",$M173&lt;&gt;1)),
IF(Import.TipoArredondamento&lt;&gt;"TransfereGOV",
ROUND(OFFSET($P173,0,AG$13),15-13*ORÇAMENTO!$AF$7)/$H173*OFFSET(ORÇAMENTO!$X$15,ROW(AG173)-ROW(AG$15),0),
ROUND(ROUND(OFFSET($P173,0,AG$13),15-13*ORÇAMENTO!$AF$7)*OFFSET(ORÇAMENTO!$W$15,ROW(AG173)-ROW(AG$15),0),15-13*ORÇAMENTO!$AF$11)),0)</f>
        <v>0</v>
      </c>
      <c r="AH173" s="545">
        <f ca="1">IF(AND($D173="Serviço",AH$12&lt;&gt;0,$H173&gt;0,OR(AUTOEVENTO&lt;&gt;"manual",$M173&lt;&gt;1)),
IF(Import.TipoArredondamento&lt;&gt;"TransfereGOV",
ROUND(OFFSET($P173,0,AH$13),15-13*ORÇAMENTO!$AF$7)/$H173*OFFSET(ORÇAMENTO!$X$15,ROW(AH173)-ROW(AH$15),0),
ROUND(ROUND(OFFSET($P173,0,AH$13),15-13*ORÇAMENTO!$AF$7)*OFFSET(ORÇAMENTO!$W$15,ROW(AH173)-ROW(AH$15),0),15-13*ORÇAMENTO!$AF$11)),0)</f>
        <v>0</v>
      </c>
      <c r="AI173" s="545">
        <f ca="1">IF(AND($D173="Serviço",AI$12&lt;&gt;0,$H173&gt;0,OR(AUTOEVENTO&lt;&gt;"manual",$M173&lt;&gt;1)),
IF(Import.TipoArredondamento&lt;&gt;"TransfereGOV",
ROUND(OFFSET($P173,0,AI$13),15-13*ORÇAMENTO!$AF$7)/$H173*OFFSET(ORÇAMENTO!$X$15,ROW(AI173)-ROW(AI$15),0),
ROUND(ROUND(OFFSET($P173,0,AI$13),15-13*ORÇAMENTO!$AF$7)*OFFSET(ORÇAMENTO!$W$15,ROW(AI173)-ROW(AI$15),0),15-13*ORÇAMENTO!$AF$11)),0)</f>
        <v>0</v>
      </c>
      <c r="AJ173" s="545">
        <f ca="1">IF(AND($D173="Serviço",AJ$12&lt;&gt;0,$H173&gt;0,OR(AUTOEVENTO&lt;&gt;"manual",$M173&lt;&gt;1)),
IF(Import.TipoArredondamento&lt;&gt;"TransfereGOV",
ROUND(OFFSET($P173,0,AJ$13),15-13*ORÇAMENTO!$AF$7)/$H173*OFFSET(ORÇAMENTO!$X$15,ROW(AJ173)-ROW(AJ$15),0),
ROUND(ROUND(OFFSET($P173,0,AJ$13),15-13*ORÇAMENTO!$AF$7)*OFFSET(ORÇAMENTO!$W$15,ROW(AJ173)-ROW(AJ$15),0),15-13*ORÇAMENTO!$AF$11)),0)</f>
        <v>0</v>
      </c>
      <c r="AK173" s="546">
        <f ca="1">IF(AND($D173="Serviço",AK$12&lt;&gt;0,$H173&gt;0,OR(AUTOEVENTO&lt;&gt;"manual",$M173&lt;&gt;1)),
IF(Import.TipoArredondamento&lt;&gt;"TransfereGOV",
ROUND(OFFSET($P173,0,AK$13),15-13*ORÇAMENTO!$AF$7)/$H173*OFFSET(ORÇAMENTO!$X$15,ROW(AK173)-ROW(AK$15),0),
ROUND(ROUND(OFFSET($P173,0,AK$13),15-13*ORÇAMENTO!$AF$7)*OFFSET(ORÇAMENTO!$W$15,ROW(AK173)-ROW(AK$15),0),15-13*ORÇAMENTO!$AF$11)),0)</f>
        <v>0</v>
      </c>
      <c r="AM173" s="181">
        <f ca="1">IF($D173&lt;&gt;"Serviço",0,IF(AND(AUTOEVENTO="Manual",$M173=1),0,IF(OFFSET(CRONOPLE!$F$14,$M173,AM$13)="",10^12,OFFSET(CRONOPLE!$F$14,$M173,AM$13))))</f>
        <v>1000000000000</v>
      </c>
      <c r="AN173" s="181">
        <f ca="1">IF($D173&lt;&gt;"Serviço",0,IF(AND(AUTOEVENTO="Manual",$M173=1),0,IF(OFFSET(CRONOPLE!$F$14,$M173,AN$13)="",10^12,OFFSET(CRONOPLE!$F$14,$M173,AN$13))))</f>
        <v>1000000000000</v>
      </c>
      <c r="AO173" s="181">
        <f ca="1">IF($D173&lt;&gt;"Serviço",0,IF(AND(AUTOEVENTO="Manual",$M173=1),0,IF(OFFSET(CRONOPLE!$F$14,$M173,AO$13)="",10^12,OFFSET(CRONOPLE!$F$14,$M173,AO$13))))</f>
        <v>1000000000000</v>
      </c>
      <c r="AP173" s="181">
        <f ca="1">IF($D173&lt;&gt;"Serviço",0,IF(AND(AUTOEVENTO="Manual",$M173=1),0,IF(OFFSET(CRONOPLE!$F$14,$M173,AP$13)="",10^12,OFFSET(CRONOPLE!$F$14,$M173,AP$13))))</f>
        <v>1000000000000</v>
      </c>
      <c r="AQ173" s="181">
        <f ca="1">IF($D173&lt;&gt;"Serviço",0,IF(AND(AUTOEVENTO="Manual",$M173=1),0,IF(OFFSET(CRONOPLE!$F$14,$M173,AQ$13)="",10^12,OFFSET(CRONOPLE!$F$14,$M173,AQ$13))))</f>
        <v>1000000000000</v>
      </c>
      <c r="AR173" s="181">
        <f ca="1">IF($D173&lt;&gt;"Serviço",0,IF(AND(AUTOEVENTO="Manual",$M173=1),0,IF(OFFSET(CRONOPLE!$F$14,$M173,AR$13)="",10^12,OFFSET(CRONOPLE!$F$14,$M173,AR$13))))</f>
        <v>1000000000000</v>
      </c>
      <c r="AS173" s="181">
        <f ca="1">IF($D173&lt;&gt;"Serviço",0,IF(AND(AUTOEVENTO="Manual",$M173=1),0,IF(OFFSET(CRONOPLE!$F$14,$M173,AS$13)="",10^12,OFFSET(CRONOPLE!$F$14,$M173,AS$13))))</f>
        <v>1000000000000</v>
      </c>
      <c r="AT173" s="181">
        <f ca="1">IF($D173&lt;&gt;"Serviço",0,IF(AND(AUTOEVENTO="Manual",$M173=1),0,IF(OFFSET(CRONOPLE!$F$14,$M173,AT$13)="",10^12,OFFSET(CRONOPLE!$F$14,$M173,AT$13))))</f>
        <v>1000000000000</v>
      </c>
      <c r="AU173" s="181">
        <f ca="1">IF($D173&lt;&gt;"Serviço",0,IF(AND(AUTOEVENTO="Manual",$M173=1),0,IF(OFFSET(CRONOPLE!$F$14,$M173,AU$13)="",10^12,OFFSET(CRONOPLE!$F$14,$M173,AU$13))))</f>
        <v>1000000000000</v>
      </c>
      <c r="AV173" s="181">
        <f ca="1">IF($D173&lt;&gt;"Serviço",0,IF(AND(AUTOEVENTO="Manual",$M173=1),0,IF(OFFSET(CRONOPLE!$F$14,$M173,AV$13)="",10^12,OFFSET(CRONOPLE!$F$14,$M173,AV$13))))</f>
        <v>1000000000000</v>
      </c>
      <c r="AX173" s="182">
        <f ca="1">IF($D173&lt;&gt;"Serviço",0,IF(OR(AND(AUTOEVENTO="Manual",$M173=1),$M173&gt;(ROW(PLE.lastrow)-ROW(PLE.firstrow))),0,IF(OFFSET(PLE!$G$14,$M173,AX$13)="",10^12,OFFSET(PLE!$G$14,$M173,AX$13))))</f>
        <v>1000000000000</v>
      </c>
      <c r="AY173" s="182">
        <f ca="1">IF($D173&lt;&gt;"Serviço",0,IF(OR(AND(AUTOEVENTO="Manual",$M173=1),$M173&gt;(ROW(PLE.lastrow)-ROW(PLE.firstrow))),0,IF(OFFSET(PLE!$G$14,$M173,AY$13)="",10^12,OFFSET(PLE!$G$14,$M173,AY$13))))</f>
        <v>1000000000000</v>
      </c>
      <c r="AZ173" s="182">
        <f ca="1">IF($D173&lt;&gt;"Serviço",0,IF(OR(AND(AUTOEVENTO="Manual",$M173=1),$M173&gt;(ROW(PLE.lastrow)-ROW(PLE.firstrow))),0,IF(OFFSET(PLE!$G$14,$M173,AZ$13)="",10^12,OFFSET(PLE!$G$14,$M173,AZ$13))))</f>
        <v>1000000000000</v>
      </c>
      <c r="BA173" s="182">
        <f ca="1">IF($D173&lt;&gt;"Serviço",0,IF(OR(AND(AUTOEVENTO="Manual",$M173=1),$M173&gt;(ROW(PLE.lastrow)-ROW(PLE.firstrow))),0,IF(OFFSET(PLE!$G$14,$M173,BA$13)="",10^12,OFFSET(PLE!$G$14,$M173,BA$13))))</f>
        <v>1000000000000</v>
      </c>
      <c r="BB173" s="182">
        <f ca="1">IF($D173&lt;&gt;"Serviço",0,IF(OR(AND(AUTOEVENTO="Manual",$M173=1),$M173&gt;(ROW(PLE.lastrow)-ROW(PLE.firstrow))),0,IF(OFFSET(PLE!$G$14,$M173,BB$13)="",10^12,OFFSET(PLE!$G$14,$M173,BB$13))))</f>
        <v>1000000000000</v>
      </c>
      <c r="BC173" s="182">
        <f ca="1">IF($D173&lt;&gt;"Serviço",0,IF(OR(AND(AUTOEVENTO="Manual",$M173=1),$M173&gt;(ROW(PLE.lastrow)-ROW(PLE.firstrow))),0,IF(OFFSET(PLE!$G$14,$M173,BC$13)="",10^12,OFFSET(PLE!$G$14,$M173,BC$13))))</f>
        <v>1000000000000</v>
      </c>
      <c r="BD173" s="182">
        <f ca="1">IF($D173&lt;&gt;"Serviço",0,IF(OR(AND(AUTOEVENTO="Manual",$M173=1),$M173&gt;(ROW(PLE.lastrow)-ROW(PLE.firstrow))),0,IF(OFFSET(PLE!$G$14,$M173,BD$13)="",10^12,OFFSET(PLE!$G$14,$M173,BD$13))))</f>
        <v>1000000000000</v>
      </c>
      <c r="BE173" s="182">
        <f ca="1">IF($D173&lt;&gt;"Serviço",0,IF(OR(AND(AUTOEVENTO="Manual",$M173=1),$M173&gt;(ROW(PLE.lastrow)-ROW(PLE.firstrow))),0,IF(OFFSET(PLE!$G$14,$M173,BE$13)="",10^12,OFFSET(PLE!$G$14,$M173,BE$13))))</f>
        <v>1000000000000</v>
      </c>
      <c r="BF173" s="182">
        <f ca="1">IF($D173&lt;&gt;"Serviço",0,IF(OR(AND(AUTOEVENTO="Manual",$M173=1),$M173&gt;(ROW(PLE.lastrow)-ROW(PLE.firstrow))),0,IF(OFFSET(PLE!$G$14,$M173,BF$13)="",10^12,OFFSET(PLE!$G$14,$M173,BF$13))))</f>
        <v>1000000000000</v>
      </c>
      <c r="BG173" s="182">
        <f ca="1">IF($D173&lt;&gt;"Serviço",0,IF(OR(AND(AUTOEVENTO="Manual",$M173=1),$M173&gt;(ROW(PLE.lastrow)-ROW(PLE.firstrow))),0,IF(OFFSET(PLE!$G$14,$M173,BG$13)="",10^12,OFFSET(PLE!$G$14,$M173,BG$13))))</f>
        <v>1000000000000</v>
      </c>
    </row>
    <row r="174" spans="1:59" ht="51" x14ac:dyDescent="0.2">
      <c r="A174" s="7" t="str">
        <f t="shared" ca="1" si="10"/>
        <v>108</v>
      </c>
      <c r="B174" s="7" t="str">
        <f ca="1">OFFSET(ORÇAMENTO!C$15,ROW(B174)-ROW(B$15),0)</f>
        <v>S</v>
      </c>
      <c r="C174" s="7" t="str">
        <f ca="1">OFFSET(ORÇAMENTO!L$15,ROW(C174)-ROW(C$15),0)</f>
        <v/>
      </c>
      <c r="D174" s="118" t="str">
        <f ca="1">OFFSET(ORÇAMENTO!N$15,ROW(D174)-ROW(D$15),0)</f>
        <v>Serviço</v>
      </c>
      <c r="E174" s="119" t="str">
        <f ca="1">OFFSET(ORÇAMENTO!O$15,ROW(E174)-ROW(E$15),0)</f>
        <v>-</v>
      </c>
      <c r="F174" s="172" t="str">
        <f ca="1">OFFSET(ORÇAMENTO!R$15,ROW(F174)-ROW(F$15),0)</f>
        <v>(abra o arquivo 'Referência 02-2025.xlsm)</v>
      </c>
      <c r="G174" s="173" t="str">
        <f ca="1">IF($D174&lt;&gt;"Serviço","",OFFSET(ORÇAMENTO!S$15,ROW(G174)-ROW(G$15),0))</f>
        <v>-</v>
      </c>
      <c r="H174" s="124">
        <f ca="1">IF($D174&lt;&gt;"Serviço",0,IF(ACOMPANHAMENTO="BM",ROUND(OFFSET(ORÇAMENTO!AJ$15,ROW(H174)-ROW(H$15),0),15-13*ORÇAMENTO!$AF$7),SUMPRODUCT(($Q$12:$AA$12&lt;&gt;"")*ROUND($Q174:$AA174,15-13*ORÇAMENTO!$AF$7))))</f>
        <v>2.4</v>
      </c>
      <c r="I174" s="561" t="s">
        <v>890</v>
      </c>
      <c r="K174" s="174"/>
      <c r="L174" s="175" t="s">
        <v>255</v>
      </c>
      <c r="M174" s="176">
        <f ca="1">IF($D174&lt;&gt;"Serviço","",IF(AUTOEVENTO="manual",$A174,IF(ISERROR(MATCH($A174,$A$15:OFFSET($A174,-1,0),0)),MAX($M$15:OFFSET(M174,-1,0))+1,INDEX($M$15:OFFSET(M174,-1,0),MATCH($A174,$A$15:OFFSET($A174,-1,0),0)))))</f>
        <v>7</v>
      </c>
      <c r="N174" s="177" t="str">
        <f ca="1">IF($D174&lt;&gt;"Serviço","",IF(AUTOEVENTO="Manual",IF($A174=0,"&lt;-- defina o número do agrupador",OFFSET(EVENTOS!$D$14,$A174,0)),OFFSET($F$15,$A174,0)))</f>
        <v>ESQUADRIAS</v>
      </c>
      <c r="O174" s="178"/>
      <c r="Q174" s="178"/>
      <c r="R174" s="179"/>
      <c r="S174" s="179"/>
      <c r="T174" s="179"/>
      <c r="U174" s="179"/>
      <c r="V174" s="179"/>
      <c r="W174" s="179"/>
      <c r="X174" s="179"/>
      <c r="Y174" s="179"/>
      <c r="Z174" s="180"/>
      <c r="AB174" s="544">
        <f ca="1">IF(AND($D174="Serviço",AB$12&lt;&gt;0,$H174&gt;0,OR(AUTOEVENTO&lt;&gt;"manual",$M174&lt;&gt;1)),
IF(Import.TipoArredondamento&lt;&gt;"TransfereGOV",
ROUND(OFFSET($P174,0,AB$13),15-13*ORÇAMENTO!$AF$7)/$H174*OFFSET(ORÇAMENTO!$X$15,ROW(AB174)-ROW(AB$15),0),
ROUND(ROUND(OFFSET($P174,0,AB$13),15-13*ORÇAMENTO!$AF$7)*OFFSET(ORÇAMENTO!$W$15,ROW(AB174)-ROW(AB$15),0),15-13*ORÇAMENTO!$AF$11)),0)</f>
        <v>0</v>
      </c>
      <c r="AC174" s="545">
        <f ca="1">IF(AND($D174="Serviço",AC$12&lt;&gt;0,$H174&gt;0,OR(AUTOEVENTO&lt;&gt;"manual",$M174&lt;&gt;1)),
IF(Import.TipoArredondamento&lt;&gt;"TransfereGOV",
ROUND(OFFSET($P174,0,AC$13),15-13*ORÇAMENTO!$AF$7)/$H174*OFFSET(ORÇAMENTO!$X$15,ROW(AC174)-ROW(AC$15),0),
ROUND(ROUND(OFFSET($P174,0,AC$13),15-13*ORÇAMENTO!$AF$7)*OFFSET(ORÇAMENTO!$W$15,ROW(AC174)-ROW(AC$15),0),15-13*ORÇAMENTO!$AF$11)),0)</f>
        <v>0</v>
      </c>
      <c r="AD174" s="545">
        <f ca="1">IF(AND($D174="Serviço",AD$12&lt;&gt;0,$H174&gt;0,OR(AUTOEVENTO&lt;&gt;"manual",$M174&lt;&gt;1)),
IF(Import.TipoArredondamento&lt;&gt;"TransfereGOV",
ROUND(OFFSET($P174,0,AD$13),15-13*ORÇAMENTO!$AF$7)/$H174*OFFSET(ORÇAMENTO!$X$15,ROW(AD174)-ROW(AD$15),0),
ROUND(ROUND(OFFSET($P174,0,AD$13),15-13*ORÇAMENTO!$AF$7)*OFFSET(ORÇAMENTO!$W$15,ROW(AD174)-ROW(AD$15),0),15-13*ORÇAMENTO!$AF$11)),0)</f>
        <v>0</v>
      </c>
      <c r="AE174" s="545">
        <f ca="1">IF(AND($D174="Serviço",AE$12&lt;&gt;0,$H174&gt;0,OR(AUTOEVENTO&lt;&gt;"manual",$M174&lt;&gt;1)),
IF(Import.TipoArredondamento&lt;&gt;"TransfereGOV",
ROUND(OFFSET($P174,0,AE$13),15-13*ORÇAMENTO!$AF$7)/$H174*OFFSET(ORÇAMENTO!$X$15,ROW(AE174)-ROW(AE$15),0),
ROUND(ROUND(OFFSET($P174,0,AE$13),15-13*ORÇAMENTO!$AF$7)*OFFSET(ORÇAMENTO!$W$15,ROW(AE174)-ROW(AE$15),0),15-13*ORÇAMENTO!$AF$11)),0)</f>
        <v>0</v>
      </c>
      <c r="AF174" s="545">
        <f ca="1">IF(AND($D174="Serviço",AF$12&lt;&gt;0,$H174&gt;0,OR(AUTOEVENTO&lt;&gt;"manual",$M174&lt;&gt;1)),
IF(Import.TipoArredondamento&lt;&gt;"TransfereGOV",
ROUND(OFFSET($P174,0,AF$13),15-13*ORÇAMENTO!$AF$7)/$H174*OFFSET(ORÇAMENTO!$X$15,ROW(AF174)-ROW(AF$15),0),
ROUND(ROUND(OFFSET($P174,0,AF$13),15-13*ORÇAMENTO!$AF$7)*OFFSET(ORÇAMENTO!$W$15,ROW(AF174)-ROW(AF$15),0),15-13*ORÇAMENTO!$AF$11)),0)</f>
        <v>0</v>
      </c>
      <c r="AG174" s="545">
        <f ca="1">IF(AND($D174="Serviço",AG$12&lt;&gt;0,$H174&gt;0,OR(AUTOEVENTO&lt;&gt;"manual",$M174&lt;&gt;1)),
IF(Import.TipoArredondamento&lt;&gt;"TransfereGOV",
ROUND(OFFSET($P174,0,AG$13),15-13*ORÇAMENTO!$AF$7)/$H174*OFFSET(ORÇAMENTO!$X$15,ROW(AG174)-ROW(AG$15),0),
ROUND(ROUND(OFFSET($P174,0,AG$13),15-13*ORÇAMENTO!$AF$7)*OFFSET(ORÇAMENTO!$W$15,ROW(AG174)-ROW(AG$15),0),15-13*ORÇAMENTO!$AF$11)),0)</f>
        <v>0</v>
      </c>
      <c r="AH174" s="545">
        <f ca="1">IF(AND($D174="Serviço",AH$12&lt;&gt;0,$H174&gt;0,OR(AUTOEVENTO&lt;&gt;"manual",$M174&lt;&gt;1)),
IF(Import.TipoArredondamento&lt;&gt;"TransfereGOV",
ROUND(OFFSET($P174,0,AH$13),15-13*ORÇAMENTO!$AF$7)/$H174*OFFSET(ORÇAMENTO!$X$15,ROW(AH174)-ROW(AH$15),0),
ROUND(ROUND(OFFSET($P174,0,AH$13),15-13*ORÇAMENTO!$AF$7)*OFFSET(ORÇAMENTO!$W$15,ROW(AH174)-ROW(AH$15),0),15-13*ORÇAMENTO!$AF$11)),0)</f>
        <v>0</v>
      </c>
      <c r="AI174" s="545">
        <f ca="1">IF(AND($D174="Serviço",AI$12&lt;&gt;0,$H174&gt;0,OR(AUTOEVENTO&lt;&gt;"manual",$M174&lt;&gt;1)),
IF(Import.TipoArredondamento&lt;&gt;"TransfereGOV",
ROUND(OFFSET($P174,0,AI$13),15-13*ORÇAMENTO!$AF$7)/$H174*OFFSET(ORÇAMENTO!$X$15,ROW(AI174)-ROW(AI$15),0),
ROUND(ROUND(OFFSET($P174,0,AI$13),15-13*ORÇAMENTO!$AF$7)*OFFSET(ORÇAMENTO!$W$15,ROW(AI174)-ROW(AI$15),0),15-13*ORÇAMENTO!$AF$11)),0)</f>
        <v>0</v>
      </c>
      <c r="AJ174" s="545">
        <f ca="1">IF(AND($D174="Serviço",AJ$12&lt;&gt;0,$H174&gt;0,OR(AUTOEVENTO&lt;&gt;"manual",$M174&lt;&gt;1)),
IF(Import.TipoArredondamento&lt;&gt;"TransfereGOV",
ROUND(OFFSET($P174,0,AJ$13),15-13*ORÇAMENTO!$AF$7)/$H174*OFFSET(ORÇAMENTO!$X$15,ROW(AJ174)-ROW(AJ$15),0),
ROUND(ROUND(OFFSET($P174,0,AJ$13),15-13*ORÇAMENTO!$AF$7)*OFFSET(ORÇAMENTO!$W$15,ROW(AJ174)-ROW(AJ$15),0),15-13*ORÇAMENTO!$AF$11)),0)</f>
        <v>0</v>
      </c>
      <c r="AK174" s="546">
        <f ca="1">IF(AND($D174="Serviço",AK$12&lt;&gt;0,$H174&gt;0,OR(AUTOEVENTO&lt;&gt;"manual",$M174&lt;&gt;1)),
IF(Import.TipoArredondamento&lt;&gt;"TransfereGOV",
ROUND(OFFSET($P174,0,AK$13),15-13*ORÇAMENTO!$AF$7)/$H174*OFFSET(ORÇAMENTO!$X$15,ROW(AK174)-ROW(AK$15),0),
ROUND(ROUND(OFFSET($P174,0,AK$13),15-13*ORÇAMENTO!$AF$7)*OFFSET(ORÇAMENTO!$W$15,ROW(AK174)-ROW(AK$15),0),15-13*ORÇAMENTO!$AF$11)),0)</f>
        <v>0</v>
      </c>
      <c r="AM174" s="181">
        <f ca="1">IF($D174&lt;&gt;"Serviço",0,IF(AND(AUTOEVENTO="Manual",$M174=1),0,IF(OFFSET(CRONOPLE!$F$14,$M174,AM$13)="",10^12,OFFSET(CRONOPLE!$F$14,$M174,AM$13))))</f>
        <v>1000000000000</v>
      </c>
      <c r="AN174" s="181">
        <f ca="1">IF($D174&lt;&gt;"Serviço",0,IF(AND(AUTOEVENTO="Manual",$M174=1),0,IF(OFFSET(CRONOPLE!$F$14,$M174,AN$13)="",10^12,OFFSET(CRONOPLE!$F$14,$M174,AN$13))))</f>
        <v>1000000000000</v>
      </c>
      <c r="AO174" s="181">
        <f ca="1">IF($D174&lt;&gt;"Serviço",0,IF(AND(AUTOEVENTO="Manual",$M174=1),0,IF(OFFSET(CRONOPLE!$F$14,$M174,AO$13)="",10^12,OFFSET(CRONOPLE!$F$14,$M174,AO$13))))</f>
        <v>1000000000000</v>
      </c>
      <c r="AP174" s="181">
        <f ca="1">IF($D174&lt;&gt;"Serviço",0,IF(AND(AUTOEVENTO="Manual",$M174=1),0,IF(OFFSET(CRONOPLE!$F$14,$M174,AP$13)="",10^12,OFFSET(CRONOPLE!$F$14,$M174,AP$13))))</f>
        <v>1000000000000</v>
      </c>
      <c r="AQ174" s="181">
        <f ca="1">IF($D174&lt;&gt;"Serviço",0,IF(AND(AUTOEVENTO="Manual",$M174=1),0,IF(OFFSET(CRONOPLE!$F$14,$M174,AQ$13)="",10^12,OFFSET(CRONOPLE!$F$14,$M174,AQ$13))))</f>
        <v>1000000000000</v>
      </c>
      <c r="AR174" s="181">
        <f ca="1">IF($D174&lt;&gt;"Serviço",0,IF(AND(AUTOEVENTO="Manual",$M174=1),0,IF(OFFSET(CRONOPLE!$F$14,$M174,AR$13)="",10^12,OFFSET(CRONOPLE!$F$14,$M174,AR$13))))</f>
        <v>1000000000000</v>
      </c>
      <c r="AS174" s="181">
        <f ca="1">IF($D174&lt;&gt;"Serviço",0,IF(AND(AUTOEVENTO="Manual",$M174=1),0,IF(OFFSET(CRONOPLE!$F$14,$M174,AS$13)="",10^12,OFFSET(CRONOPLE!$F$14,$M174,AS$13))))</f>
        <v>1000000000000</v>
      </c>
      <c r="AT174" s="181">
        <f ca="1">IF($D174&lt;&gt;"Serviço",0,IF(AND(AUTOEVENTO="Manual",$M174=1),0,IF(OFFSET(CRONOPLE!$F$14,$M174,AT$13)="",10^12,OFFSET(CRONOPLE!$F$14,$M174,AT$13))))</f>
        <v>1000000000000</v>
      </c>
      <c r="AU174" s="181">
        <f ca="1">IF($D174&lt;&gt;"Serviço",0,IF(AND(AUTOEVENTO="Manual",$M174=1),0,IF(OFFSET(CRONOPLE!$F$14,$M174,AU$13)="",10^12,OFFSET(CRONOPLE!$F$14,$M174,AU$13))))</f>
        <v>1000000000000</v>
      </c>
      <c r="AV174" s="181">
        <f ca="1">IF($D174&lt;&gt;"Serviço",0,IF(AND(AUTOEVENTO="Manual",$M174=1),0,IF(OFFSET(CRONOPLE!$F$14,$M174,AV$13)="",10^12,OFFSET(CRONOPLE!$F$14,$M174,AV$13))))</f>
        <v>1000000000000</v>
      </c>
      <c r="AX174" s="182">
        <f ca="1">IF($D174&lt;&gt;"Serviço",0,IF(OR(AND(AUTOEVENTO="Manual",$M174=1),$M174&gt;(ROW(PLE.lastrow)-ROW(PLE.firstrow))),0,IF(OFFSET(PLE!$G$14,$M174,AX$13)="",10^12,OFFSET(PLE!$G$14,$M174,AX$13))))</f>
        <v>1000000000000</v>
      </c>
      <c r="AY174" s="182">
        <f ca="1">IF($D174&lt;&gt;"Serviço",0,IF(OR(AND(AUTOEVENTO="Manual",$M174=1),$M174&gt;(ROW(PLE.lastrow)-ROW(PLE.firstrow))),0,IF(OFFSET(PLE!$G$14,$M174,AY$13)="",10^12,OFFSET(PLE!$G$14,$M174,AY$13))))</f>
        <v>1000000000000</v>
      </c>
      <c r="AZ174" s="182">
        <f ca="1">IF($D174&lt;&gt;"Serviço",0,IF(OR(AND(AUTOEVENTO="Manual",$M174=1),$M174&gt;(ROW(PLE.lastrow)-ROW(PLE.firstrow))),0,IF(OFFSET(PLE!$G$14,$M174,AZ$13)="",10^12,OFFSET(PLE!$G$14,$M174,AZ$13))))</f>
        <v>1000000000000</v>
      </c>
      <c r="BA174" s="182">
        <f ca="1">IF($D174&lt;&gt;"Serviço",0,IF(OR(AND(AUTOEVENTO="Manual",$M174=1),$M174&gt;(ROW(PLE.lastrow)-ROW(PLE.firstrow))),0,IF(OFFSET(PLE!$G$14,$M174,BA$13)="",10^12,OFFSET(PLE!$G$14,$M174,BA$13))))</f>
        <v>1000000000000</v>
      </c>
      <c r="BB174" s="182">
        <f ca="1">IF($D174&lt;&gt;"Serviço",0,IF(OR(AND(AUTOEVENTO="Manual",$M174=1),$M174&gt;(ROW(PLE.lastrow)-ROW(PLE.firstrow))),0,IF(OFFSET(PLE!$G$14,$M174,BB$13)="",10^12,OFFSET(PLE!$G$14,$M174,BB$13))))</f>
        <v>1000000000000</v>
      </c>
      <c r="BC174" s="182">
        <f ca="1">IF($D174&lt;&gt;"Serviço",0,IF(OR(AND(AUTOEVENTO="Manual",$M174=1),$M174&gt;(ROW(PLE.lastrow)-ROW(PLE.firstrow))),0,IF(OFFSET(PLE!$G$14,$M174,BC$13)="",10^12,OFFSET(PLE!$G$14,$M174,BC$13))))</f>
        <v>1000000000000</v>
      </c>
      <c r="BD174" s="182">
        <f ca="1">IF($D174&lt;&gt;"Serviço",0,IF(OR(AND(AUTOEVENTO="Manual",$M174=1),$M174&gt;(ROW(PLE.lastrow)-ROW(PLE.firstrow))),0,IF(OFFSET(PLE!$G$14,$M174,BD$13)="",10^12,OFFSET(PLE!$G$14,$M174,BD$13))))</f>
        <v>1000000000000</v>
      </c>
      <c r="BE174" s="182">
        <f ca="1">IF($D174&lt;&gt;"Serviço",0,IF(OR(AND(AUTOEVENTO="Manual",$M174=1),$M174&gt;(ROW(PLE.lastrow)-ROW(PLE.firstrow))),0,IF(OFFSET(PLE!$G$14,$M174,BE$13)="",10^12,OFFSET(PLE!$G$14,$M174,BE$13))))</f>
        <v>1000000000000</v>
      </c>
      <c r="BF174" s="182">
        <f ca="1">IF($D174&lt;&gt;"Serviço",0,IF(OR(AND(AUTOEVENTO="Manual",$M174=1),$M174&gt;(ROW(PLE.lastrow)-ROW(PLE.firstrow))),0,IF(OFFSET(PLE!$G$14,$M174,BF$13)="",10^12,OFFSET(PLE!$G$14,$M174,BF$13))))</f>
        <v>1000000000000</v>
      </c>
      <c r="BG174" s="182">
        <f ca="1">IF($D174&lt;&gt;"Serviço",0,IF(OR(AND(AUTOEVENTO="Manual",$M174=1),$M174&gt;(ROW(PLE.lastrow)-ROW(PLE.firstrow))),0,IF(OFFSET(PLE!$G$14,$M174,BG$13)="",10^12,OFFSET(PLE!$G$14,$M174,BG$13))))</f>
        <v>1000000000000</v>
      </c>
    </row>
    <row r="175" spans="1:59" ht="51" x14ac:dyDescent="0.2">
      <c r="A175" s="7" t="str">
        <f t="shared" ca="1" si="10"/>
        <v>108</v>
      </c>
      <c r="B175" s="7" t="str">
        <f ca="1">OFFSET(ORÇAMENTO!C$15,ROW(B175)-ROW(B$15),0)</f>
        <v>S</v>
      </c>
      <c r="C175" s="7" t="str">
        <f ca="1">OFFSET(ORÇAMENTO!L$15,ROW(C175)-ROW(C$15),0)</f>
        <v/>
      </c>
      <c r="D175" s="118" t="str">
        <f ca="1">OFFSET(ORÇAMENTO!N$15,ROW(D175)-ROW(D$15),0)</f>
        <v>Serviço</v>
      </c>
      <c r="E175" s="119" t="str">
        <f ca="1">OFFSET(ORÇAMENTO!O$15,ROW(E175)-ROW(E$15),0)</f>
        <v>-</v>
      </c>
      <c r="F175" s="172" t="str">
        <f ca="1">OFFSET(ORÇAMENTO!R$15,ROW(F175)-ROW(F$15),0)</f>
        <v>(abra o arquivo 'Referência 02-2025.xlsm)</v>
      </c>
      <c r="G175" s="173" t="str">
        <f ca="1">IF($D175&lt;&gt;"Serviço","",OFFSET(ORÇAMENTO!S$15,ROW(G175)-ROW(G$15),0))</f>
        <v>-</v>
      </c>
      <c r="H175" s="124">
        <f ca="1">IF($D175&lt;&gt;"Serviço",0,IF(ACOMPANHAMENTO="BM",ROUND(OFFSET(ORÇAMENTO!AJ$15,ROW(H175)-ROW(H$15),0),15-13*ORÇAMENTO!$AF$7),SUMPRODUCT(($Q$12:$AA$12&lt;&gt;"")*ROUND($Q175:$AA175,15-13*ORÇAMENTO!$AF$7))))</f>
        <v>2.2000000000000002</v>
      </c>
      <c r="I175" s="561" t="s">
        <v>890</v>
      </c>
      <c r="K175" s="174"/>
      <c r="L175" s="175" t="s">
        <v>255</v>
      </c>
      <c r="M175" s="176">
        <f ca="1">IF($D175&lt;&gt;"Serviço","",IF(AUTOEVENTO="manual",$A175,IF(ISERROR(MATCH($A175,$A$15:OFFSET($A175,-1,0),0)),MAX($M$15:OFFSET(M175,-1,0))+1,INDEX($M$15:OFFSET(M175,-1,0),MATCH($A175,$A$15:OFFSET($A175,-1,0),0)))))</f>
        <v>7</v>
      </c>
      <c r="N175" s="177" t="str">
        <f ca="1">IF($D175&lt;&gt;"Serviço","",IF(AUTOEVENTO="Manual",IF($A175=0,"&lt;-- defina o número do agrupador",OFFSET(EVENTOS!$D$14,$A175,0)),OFFSET($F$15,$A175,0)))</f>
        <v>ESQUADRIAS</v>
      </c>
      <c r="O175" s="178"/>
      <c r="Q175" s="178"/>
      <c r="R175" s="179"/>
      <c r="S175" s="179"/>
      <c r="T175" s="179"/>
      <c r="U175" s="179"/>
      <c r="V175" s="179"/>
      <c r="W175" s="179"/>
      <c r="X175" s="179"/>
      <c r="Y175" s="179"/>
      <c r="Z175" s="180"/>
      <c r="AB175" s="544">
        <f ca="1">IF(AND($D175="Serviço",AB$12&lt;&gt;0,$H175&gt;0,OR(AUTOEVENTO&lt;&gt;"manual",$M175&lt;&gt;1)),
IF(Import.TipoArredondamento&lt;&gt;"TransfereGOV",
ROUND(OFFSET($P175,0,AB$13),15-13*ORÇAMENTO!$AF$7)/$H175*OFFSET(ORÇAMENTO!$X$15,ROW(AB175)-ROW(AB$15),0),
ROUND(ROUND(OFFSET($P175,0,AB$13),15-13*ORÇAMENTO!$AF$7)*OFFSET(ORÇAMENTO!$W$15,ROW(AB175)-ROW(AB$15),0),15-13*ORÇAMENTO!$AF$11)),0)</f>
        <v>0</v>
      </c>
      <c r="AC175" s="545">
        <f ca="1">IF(AND($D175="Serviço",AC$12&lt;&gt;0,$H175&gt;0,OR(AUTOEVENTO&lt;&gt;"manual",$M175&lt;&gt;1)),
IF(Import.TipoArredondamento&lt;&gt;"TransfereGOV",
ROUND(OFFSET($P175,0,AC$13),15-13*ORÇAMENTO!$AF$7)/$H175*OFFSET(ORÇAMENTO!$X$15,ROW(AC175)-ROW(AC$15),0),
ROUND(ROUND(OFFSET($P175,0,AC$13),15-13*ORÇAMENTO!$AF$7)*OFFSET(ORÇAMENTO!$W$15,ROW(AC175)-ROW(AC$15),0),15-13*ORÇAMENTO!$AF$11)),0)</f>
        <v>0</v>
      </c>
      <c r="AD175" s="545">
        <f ca="1">IF(AND($D175="Serviço",AD$12&lt;&gt;0,$H175&gt;0,OR(AUTOEVENTO&lt;&gt;"manual",$M175&lt;&gt;1)),
IF(Import.TipoArredondamento&lt;&gt;"TransfereGOV",
ROUND(OFFSET($P175,0,AD$13),15-13*ORÇAMENTO!$AF$7)/$H175*OFFSET(ORÇAMENTO!$X$15,ROW(AD175)-ROW(AD$15),0),
ROUND(ROUND(OFFSET($P175,0,AD$13),15-13*ORÇAMENTO!$AF$7)*OFFSET(ORÇAMENTO!$W$15,ROW(AD175)-ROW(AD$15),0),15-13*ORÇAMENTO!$AF$11)),0)</f>
        <v>0</v>
      </c>
      <c r="AE175" s="545">
        <f ca="1">IF(AND($D175="Serviço",AE$12&lt;&gt;0,$H175&gt;0,OR(AUTOEVENTO&lt;&gt;"manual",$M175&lt;&gt;1)),
IF(Import.TipoArredondamento&lt;&gt;"TransfereGOV",
ROUND(OFFSET($P175,0,AE$13),15-13*ORÇAMENTO!$AF$7)/$H175*OFFSET(ORÇAMENTO!$X$15,ROW(AE175)-ROW(AE$15),0),
ROUND(ROUND(OFFSET($P175,0,AE$13),15-13*ORÇAMENTO!$AF$7)*OFFSET(ORÇAMENTO!$W$15,ROW(AE175)-ROW(AE$15),0),15-13*ORÇAMENTO!$AF$11)),0)</f>
        <v>0</v>
      </c>
      <c r="AF175" s="545">
        <f ca="1">IF(AND($D175="Serviço",AF$12&lt;&gt;0,$H175&gt;0,OR(AUTOEVENTO&lt;&gt;"manual",$M175&lt;&gt;1)),
IF(Import.TipoArredondamento&lt;&gt;"TransfereGOV",
ROUND(OFFSET($P175,0,AF$13),15-13*ORÇAMENTO!$AF$7)/$H175*OFFSET(ORÇAMENTO!$X$15,ROW(AF175)-ROW(AF$15),0),
ROUND(ROUND(OFFSET($P175,0,AF$13),15-13*ORÇAMENTO!$AF$7)*OFFSET(ORÇAMENTO!$W$15,ROW(AF175)-ROW(AF$15),0),15-13*ORÇAMENTO!$AF$11)),0)</f>
        <v>0</v>
      </c>
      <c r="AG175" s="545">
        <f ca="1">IF(AND($D175="Serviço",AG$12&lt;&gt;0,$H175&gt;0,OR(AUTOEVENTO&lt;&gt;"manual",$M175&lt;&gt;1)),
IF(Import.TipoArredondamento&lt;&gt;"TransfereGOV",
ROUND(OFFSET($P175,0,AG$13),15-13*ORÇAMENTO!$AF$7)/$H175*OFFSET(ORÇAMENTO!$X$15,ROW(AG175)-ROW(AG$15),0),
ROUND(ROUND(OFFSET($P175,0,AG$13),15-13*ORÇAMENTO!$AF$7)*OFFSET(ORÇAMENTO!$W$15,ROW(AG175)-ROW(AG$15),0),15-13*ORÇAMENTO!$AF$11)),0)</f>
        <v>0</v>
      </c>
      <c r="AH175" s="545">
        <f ca="1">IF(AND($D175="Serviço",AH$12&lt;&gt;0,$H175&gt;0,OR(AUTOEVENTO&lt;&gt;"manual",$M175&lt;&gt;1)),
IF(Import.TipoArredondamento&lt;&gt;"TransfereGOV",
ROUND(OFFSET($P175,0,AH$13),15-13*ORÇAMENTO!$AF$7)/$H175*OFFSET(ORÇAMENTO!$X$15,ROW(AH175)-ROW(AH$15),0),
ROUND(ROUND(OFFSET($P175,0,AH$13),15-13*ORÇAMENTO!$AF$7)*OFFSET(ORÇAMENTO!$W$15,ROW(AH175)-ROW(AH$15),0),15-13*ORÇAMENTO!$AF$11)),0)</f>
        <v>0</v>
      </c>
      <c r="AI175" s="545">
        <f ca="1">IF(AND($D175="Serviço",AI$12&lt;&gt;0,$H175&gt;0,OR(AUTOEVENTO&lt;&gt;"manual",$M175&lt;&gt;1)),
IF(Import.TipoArredondamento&lt;&gt;"TransfereGOV",
ROUND(OFFSET($P175,0,AI$13),15-13*ORÇAMENTO!$AF$7)/$H175*OFFSET(ORÇAMENTO!$X$15,ROW(AI175)-ROW(AI$15),0),
ROUND(ROUND(OFFSET($P175,0,AI$13),15-13*ORÇAMENTO!$AF$7)*OFFSET(ORÇAMENTO!$W$15,ROW(AI175)-ROW(AI$15),0),15-13*ORÇAMENTO!$AF$11)),0)</f>
        <v>0</v>
      </c>
      <c r="AJ175" s="545">
        <f ca="1">IF(AND($D175="Serviço",AJ$12&lt;&gt;0,$H175&gt;0,OR(AUTOEVENTO&lt;&gt;"manual",$M175&lt;&gt;1)),
IF(Import.TipoArredondamento&lt;&gt;"TransfereGOV",
ROUND(OFFSET($P175,0,AJ$13),15-13*ORÇAMENTO!$AF$7)/$H175*OFFSET(ORÇAMENTO!$X$15,ROW(AJ175)-ROW(AJ$15),0),
ROUND(ROUND(OFFSET($P175,0,AJ$13),15-13*ORÇAMENTO!$AF$7)*OFFSET(ORÇAMENTO!$W$15,ROW(AJ175)-ROW(AJ$15),0),15-13*ORÇAMENTO!$AF$11)),0)</f>
        <v>0</v>
      </c>
      <c r="AK175" s="546">
        <f ca="1">IF(AND($D175="Serviço",AK$12&lt;&gt;0,$H175&gt;0,OR(AUTOEVENTO&lt;&gt;"manual",$M175&lt;&gt;1)),
IF(Import.TipoArredondamento&lt;&gt;"TransfereGOV",
ROUND(OFFSET($P175,0,AK$13),15-13*ORÇAMENTO!$AF$7)/$H175*OFFSET(ORÇAMENTO!$X$15,ROW(AK175)-ROW(AK$15),0),
ROUND(ROUND(OFFSET($P175,0,AK$13),15-13*ORÇAMENTO!$AF$7)*OFFSET(ORÇAMENTO!$W$15,ROW(AK175)-ROW(AK$15),0),15-13*ORÇAMENTO!$AF$11)),0)</f>
        <v>0</v>
      </c>
      <c r="AM175" s="181">
        <f ca="1">IF($D175&lt;&gt;"Serviço",0,IF(AND(AUTOEVENTO="Manual",$M175=1),0,IF(OFFSET(CRONOPLE!$F$14,$M175,AM$13)="",10^12,OFFSET(CRONOPLE!$F$14,$M175,AM$13))))</f>
        <v>1000000000000</v>
      </c>
      <c r="AN175" s="181">
        <f ca="1">IF($D175&lt;&gt;"Serviço",0,IF(AND(AUTOEVENTO="Manual",$M175=1),0,IF(OFFSET(CRONOPLE!$F$14,$M175,AN$13)="",10^12,OFFSET(CRONOPLE!$F$14,$M175,AN$13))))</f>
        <v>1000000000000</v>
      </c>
      <c r="AO175" s="181">
        <f ca="1">IF($D175&lt;&gt;"Serviço",0,IF(AND(AUTOEVENTO="Manual",$M175=1),0,IF(OFFSET(CRONOPLE!$F$14,$M175,AO$13)="",10^12,OFFSET(CRONOPLE!$F$14,$M175,AO$13))))</f>
        <v>1000000000000</v>
      </c>
      <c r="AP175" s="181">
        <f ca="1">IF($D175&lt;&gt;"Serviço",0,IF(AND(AUTOEVENTO="Manual",$M175=1),0,IF(OFFSET(CRONOPLE!$F$14,$M175,AP$13)="",10^12,OFFSET(CRONOPLE!$F$14,$M175,AP$13))))</f>
        <v>1000000000000</v>
      </c>
      <c r="AQ175" s="181">
        <f ca="1">IF($D175&lt;&gt;"Serviço",0,IF(AND(AUTOEVENTO="Manual",$M175=1),0,IF(OFFSET(CRONOPLE!$F$14,$M175,AQ$13)="",10^12,OFFSET(CRONOPLE!$F$14,$M175,AQ$13))))</f>
        <v>1000000000000</v>
      </c>
      <c r="AR175" s="181">
        <f ca="1">IF($D175&lt;&gt;"Serviço",0,IF(AND(AUTOEVENTO="Manual",$M175=1),0,IF(OFFSET(CRONOPLE!$F$14,$M175,AR$13)="",10^12,OFFSET(CRONOPLE!$F$14,$M175,AR$13))))</f>
        <v>1000000000000</v>
      </c>
      <c r="AS175" s="181">
        <f ca="1">IF($D175&lt;&gt;"Serviço",0,IF(AND(AUTOEVENTO="Manual",$M175=1),0,IF(OFFSET(CRONOPLE!$F$14,$M175,AS$13)="",10^12,OFFSET(CRONOPLE!$F$14,$M175,AS$13))))</f>
        <v>1000000000000</v>
      </c>
      <c r="AT175" s="181">
        <f ca="1">IF($D175&lt;&gt;"Serviço",0,IF(AND(AUTOEVENTO="Manual",$M175=1),0,IF(OFFSET(CRONOPLE!$F$14,$M175,AT$13)="",10^12,OFFSET(CRONOPLE!$F$14,$M175,AT$13))))</f>
        <v>1000000000000</v>
      </c>
      <c r="AU175" s="181">
        <f ca="1">IF($D175&lt;&gt;"Serviço",0,IF(AND(AUTOEVENTO="Manual",$M175=1),0,IF(OFFSET(CRONOPLE!$F$14,$M175,AU$13)="",10^12,OFFSET(CRONOPLE!$F$14,$M175,AU$13))))</f>
        <v>1000000000000</v>
      </c>
      <c r="AV175" s="181">
        <f ca="1">IF($D175&lt;&gt;"Serviço",0,IF(AND(AUTOEVENTO="Manual",$M175=1),0,IF(OFFSET(CRONOPLE!$F$14,$M175,AV$13)="",10^12,OFFSET(CRONOPLE!$F$14,$M175,AV$13))))</f>
        <v>1000000000000</v>
      </c>
      <c r="AX175" s="182">
        <f ca="1">IF($D175&lt;&gt;"Serviço",0,IF(OR(AND(AUTOEVENTO="Manual",$M175=1),$M175&gt;(ROW(PLE.lastrow)-ROW(PLE.firstrow))),0,IF(OFFSET(PLE!$G$14,$M175,AX$13)="",10^12,OFFSET(PLE!$G$14,$M175,AX$13))))</f>
        <v>1000000000000</v>
      </c>
      <c r="AY175" s="182">
        <f ca="1">IF($D175&lt;&gt;"Serviço",0,IF(OR(AND(AUTOEVENTO="Manual",$M175=1),$M175&gt;(ROW(PLE.lastrow)-ROW(PLE.firstrow))),0,IF(OFFSET(PLE!$G$14,$M175,AY$13)="",10^12,OFFSET(PLE!$G$14,$M175,AY$13))))</f>
        <v>1000000000000</v>
      </c>
      <c r="AZ175" s="182">
        <f ca="1">IF($D175&lt;&gt;"Serviço",0,IF(OR(AND(AUTOEVENTO="Manual",$M175=1),$M175&gt;(ROW(PLE.lastrow)-ROW(PLE.firstrow))),0,IF(OFFSET(PLE!$G$14,$M175,AZ$13)="",10^12,OFFSET(PLE!$G$14,$M175,AZ$13))))</f>
        <v>1000000000000</v>
      </c>
      <c r="BA175" s="182">
        <f ca="1">IF($D175&lt;&gt;"Serviço",0,IF(OR(AND(AUTOEVENTO="Manual",$M175=1),$M175&gt;(ROW(PLE.lastrow)-ROW(PLE.firstrow))),0,IF(OFFSET(PLE!$G$14,$M175,BA$13)="",10^12,OFFSET(PLE!$G$14,$M175,BA$13))))</f>
        <v>1000000000000</v>
      </c>
      <c r="BB175" s="182">
        <f ca="1">IF($D175&lt;&gt;"Serviço",0,IF(OR(AND(AUTOEVENTO="Manual",$M175=1),$M175&gt;(ROW(PLE.lastrow)-ROW(PLE.firstrow))),0,IF(OFFSET(PLE!$G$14,$M175,BB$13)="",10^12,OFFSET(PLE!$G$14,$M175,BB$13))))</f>
        <v>1000000000000</v>
      </c>
      <c r="BC175" s="182">
        <f ca="1">IF($D175&lt;&gt;"Serviço",0,IF(OR(AND(AUTOEVENTO="Manual",$M175=1),$M175&gt;(ROW(PLE.lastrow)-ROW(PLE.firstrow))),0,IF(OFFSET(PLE!$G$14,$M175,BC$13)="",10^12,OFFSET(PLE!$G$14,$M175,BC$13))))</f>
        <v>1000000000000</v>
      </c>
      <c r="BD175" s="182">
        <f ca="1">IF($D175&lt;&gt;"Serviço",0,IF(OR(AND(AUTOEVENTO="Manual",$M175=1),$M175&gt;(ROW(PLE.lastrow)-ROW(PLE.firstrow))),0,IF(OFFSET(PLE!$G$14,$M175,BD$13)="",10^12,OFFSET(PLE!$G$14,$M175,BD$13))))</f>
        <v>1000000000000</v>
      </c>
      <c r="BE175" s="182">
        <f ca="1">IF($D175&lt;&gt;"Serviço",0,IF(OR(AND(AUTOEVENTO="Manual",$M175=1),$M175&gt;(ROW(PLE.lastrow)-ROW(PLE.firstrow))),0,IF(OFFSET(PLE!$G$14,$M175,BE$13)="",10^12,OFFSET(PLE!$G$14,$M175,BE$13))))</f>
        <v>1000000000000</v>
      </c>
      <c r="BF175" s="182">
        <f ca="1">IF($D175&lt;&gt;"Serviço",0,IF(OR(AND(AUTOEVENTO="Manual",$M175=1),$M175&gt;(ROW(PLE.lastrow)-ROW(PLE.firstrow))),0,IF(OFFSET(PLE!$G$14,$M175,BF$13)="",10^12,OFFSET(PLE!$G$14,$M175,BF$13))))</f>
        <v>1000000000000</v>
      </c>
      <c r="BG175" s="182">
        <f ca="1">IF($D175&lt;&gt;"Serviço",0,IF(OR(AND(AUTOEVENTO="Manual",$M175=1),$M175&gt;(ROW(PLE.lastrow)-ROW(PLE.firstrow))),0,IF(OFFSET(PLE!$G$14,$M175,BG$13)="",10^12,OFFSET(PLE!$G$14,$M175,BG$13))))</f>
        <v>1000000000000</v>
      </c>
    </row>
    <row r="176" spans="1:59" ht="38.25" x14ac:dyDescent="0.2">
      <c r="A176" s="7" t="str">
        <f t="shared" ca="1" si="10"/>
        <v>108</v>
      </c>
      <c r="B176" s="7" t="str">
        <f ca="1">OFFSET(ORÇAMENTO!C$15,ROW(B176)-ROW(B$15),0)</f>
        <v>S</v>
      </c>
      <c r="C176" s="7" t="str">
        <f ca="1">OFFSET(ORÇAMENTO!L$15,ROW(C176)-ROW(C$15),0)</f>
        <v/>
      </c>
      <c r="D176" s="118" t="str">
        <f ca="1">OFFSET(ORÇAMENTO!N$15,ROW(D176)-ROW(D$15),0)</f>
        <v>Serviço</v>
      </c>
      <c r="E176" s="119" t="str">
        <f ca="1">OFFSET(ORÇAMENTO!O$15,ROW(E176)-ROW(E$15),0)</f>
        <v>-</v>
      </c>
      <c r="F176" s="172" t="str">
        <f ca="1">OFFSET(ORÇAMENTO!R$15,ROW(F176)-ROW(F$15),0)</f>
        <v>(abra o arquivo 'Referência 02-2025.xlsm)</v>
      </c>
      <c r="G176" s="173" t="str">
        <f ca="1">IF($D176&lt;&gt;"Serviço","",OFFSET(ORÇAMENTO!S$15,ROW(G176)-ROW(G$15),0))</f>
        <v>-</v>
      </c>
      <c r="H176" s="124">
        <f ca="1">IF($D176&lt;&gt;"Serviço",0,IF(ACOMPANHAMENTO="BM",ROUND(OFFSET(ORÇAMENTO!AJ$15,ROW(H176)-ROW(H$15),0),15-13*ORÇAMENTO!$AF$7),SUMPRODUCT(($Q$12:$AA$12&lt;&gt;"")*ROUND($Q176:$AA176,15-13*ORÇAMENTO!$AF$7))))</f>
        <v>15.93</v>
      </c>
      <c r="I176" s="561" t="s">
        <v>890</v>
      </c>
      <c r="K176" s="174"/>
      <c r="L176" s="175" t="s">
        <v>255</v>
      </c>
      <c r="M176" s="176">
        <f ca="1">IF($D176&lt;&gt;"Serviço","",IF(AUTOEVENTO="manual",$A176,IF(ISERROR(MATCH($A176,$A$15:OFFSET($A176,-1,0),0)),MAX($M$15:OFFSET(M176,-1,0))+1,INDEX($M$15:OFFSET(M176,-1,0),MATCH($A176,$A$15:OFFSET($A176,-1,0),0)))))</f>
        <v>7</v>
      </c>
      <c r="N176" s="177" t="str">
        <f ca="1">IF($D176&lt;&gt;"Serviço","",IF(AUTOEVENTO="Manual",IF($A176=0,"&lt;-- defina o número do agrupador",OFFSET(EVENTOS!$D$14,$A176,0)),OFFSET($F$15,$A176,0)))</f>
        <v>ESQUADRIAS</v>
      </c>
      <c r="O176" s="178"/>
      <c r="Q176" s="178"/>
      <c r="R176" s="179"/>
      <c r="S176" s="179"/>
      <c r="T176" s="179"/>
      <c r="U176" s="179"/>
      <c r="V176" s="179"/>
      <c r="W176" s="179"/>
      <c r="X176" s="179"/>
      <c r="Y176" s="179"/>
      <c r="Z176" s="180"/>
      <c r="AB176" s="544">
        <f ca="1">IF(AND($D176="Serviço",AB$12&lt;&gt;0,$H176&gt;0,OR(AUTOEVENTO&lt;&gt;"manual",$M176&lt;&gt;1)),
IF(Import.TipoArredondamento&lt;&gt;"TransfereGOV",
ROUND(OFFSET($P176,0,AB$13),15-13*ORÇAMENTO!$AF$7)/$H176*OFFSET(ORÇAMENTO!$X$15,ROW(AB176)-ROW(AB$15),0),
ROUND(ROUND(OFFSET($P176,0,AB$13),15-13*ORÇAMENTO!$AF$7)*OFFSET(ORÇAMENTO!$W$15,ROW(AB176)-ROW(AB$15),0),15-13*ORÇAMENTO!$AF$11)),0)</f>
        <v>0</v>
      </c>
      <c r="AC176" s="545">
        <f ca="1">IF(AND($D176="Serviço",AC$12&lt;&gt;0,$H176&gt;0,OR(AUTOEVENTO&lt;&gt;"manual",$M176&lt;&gt;1)),
IF(Import.TipoArredondamento&lt;&gt;"TransfereGOV",
ROUND(OFFSET($P176,0,AC$13),15-13*ORÇAMENTO!$AF$7)/$H176*OFFSET(ORÇAMENTO!$X$15,ROW(AC176)-ROW(AC$15),0),
ROUND(ROUND(OFFSET($P176,0,AC$13),15-13*ORÇAMENTO!$AF$7)*OFFSET(ORÇAMENTO!$W$15,ROW(AC176)-ROW(AC$15),0),15-13*ORÇAMENTO!$AF$11)),0)</f>
        <v>0</v>
      </c>
      <c r="AD176" s="545">
        <f ca="1">IF(AND($D176="Serviço",AD$12&lt;&gt;0,$H176&gt;0,OR(AUTOEVENTO&lt;&gt;"manual",$M176&lt;&gt;1)),
IF(Import.TipoArredondamento&lt;&gt;"TransfereGOV",
ROUND(OFFSET($P176,0,AD$13),15-13*ORÇAMENTO!$AF$7)/$H176*OFFSET(ORÇAMENTO!$X$15,ROW(AD176)-ROW(AD$15),0),
ROUND(ROUND(OFFSET($P176,0,AD$13),15-13*ORÇAMENTO!$AF$7)*OFFSET(ORÇAMENTO!$W$15,ROW(AD176)-ROW(AD$15),0),15-13*ORÇAMENTO!$AF$11)),0)</f>
        <v>0</v>
      </c>
      <c r="AE176" s="545">
        <f ca="1">IF(AND($D176="Serviço",AE$12&lt;&gt;0,$H176&gt;0,OR(AUTOEVENTO&lt;&gt;"manual",$M176&lt;&gt;1)),
IF(Import.TipoArredondamento&lt;&gt;"TransfereGOV",
ROUND(OFFSET($P176,0,AE$13),15-13*ORÇAMENTO!$AF$7)/$H176*OFFSET(ORÇAMENTO!$X$15,ROW(AE176)-ROW(AE$15),0),
ROUND(ROUND(OFFSET($P176,0,AE$13),15-13*ORÇAMENTO!$AF$7)*OFFSET(ORÇAMENTO!$W$15,ROW(AE176)-ROW(AE$15),0),15-13*ORÇAMENTO!$AF$11)),0)</f>
        <v>0</v>
      </c>
      <c r="AF176" s="545">
        <f ca="1">IF(AND($D176="Serviço",AF$12&lt;&gt;0,$H176&gt;0,OR(AUTOEVENTO&lt;&gt;"manual",$M176&lt;&gt;1)),
IF(Import.TipoArredondamento&lt;&gt;"TransfereGOV",
ROUND(OFFSET($P176,0,AF$13),15-13*ORÇAMENTO!$AF$7)/$H176*OFFSET(ORÇAMENTO!$X$15,ROW(AF176)-ROW(AF$15),0),
ROUND(ROUND(OFFSET($P176,0,AF$13),15-13*ORÇAMENTO!$AF$7)*OFFSET(ORÇAMENTO!$W$15,ROW(AF176)-ROW(AF$15),0),15-13*ORÇAMENTO!$AF$11)),0)</f>
        <v>0</v>
      </c>
      <c r="AG176" s="545">
        <f ca="1">IF(AND($D176="Serviço",AG$12&lt;&gt;0,$H176&gt;0,OR(AUTOEVENTO&lt;&gt;"manual",$M176&lt;&gt;1)),
IF(Import.TipoArredondamento&lt;&gt;"TransfereGOV",
ROUND(OFFSET($P176,0,AG$13),15-13*ORÇAMENTO!$AF$7)/$H176*OFFSET(ORÇAMENTO!$X$15,ROW(AG176)-ROW(AG$15),0),
ROUND(ROUND(OFFSET($P176,0,AG$13),15-13*ORÇAMENTO!$AF$7)*OFFSET(ORÇAMENTO!$W$15,ROW(AG176)-ROW(AG$15),0),15-13*ORÇAMENTO!$AF$11)),0)</f>
        <v>0</v>
      </c>
      <c r="AH176" s="545">
        <f ca="1">IF(AND($D176="Serviço",AH$12&lt;&gt;0,$H176&gt;0,OR(AUTOEVENTO&lt;&gt;"manual",$M176&lt;&gt;1)),
IF(Import.TipoArredondamento&lt;&gt;"TransfereGOV",
ROUND(OFFSET($P176,0,AH$13),15-13*ORÇAMENTO!$AF$7)/$H176*OFFSET(ORÇAMENTO!$X$15,ROW(AH176)-ROW(AH$15),0),
ROUND(ROUND(OFFSET($P176,0,AH$13),15-13*ORÇAMENTO!$AF$7)*OFFSET(ORÇAMENTO!$W$15,ROW(AH176)-ROW(AH$15),0),15-13*ORÇAMENTO!$AF$11)),0)</f>
        <v>0</v>
      </c>
      <c r="AI176" s="545">
        <f ca="1">IF(AND($D176="Serviço",AI$12&lt;&gt;0,$H176&gt;0,OR(AUTOEVENTO&lt;&gt;"manual",$M176&lt;&gt;1)),
IF(Import.TipoArredondamento&lt;&gt;"TransfereGOV",
ROUND(OFFSET($P176,0,AI$13),15-13*ORÇAMENTO!$AF$7)/$H176*OFFSET(ORÇAMENTO!$X$15,ROW(AI176)-ROW(AI$15),0),
ROUND(ROUND(OFFSET($P176,0,AI$13),15-13*ORÇAMENTO!$AF$7)*OFFSET(ORÇAMENTO!$W$15,ROW(AI176)-ROW(AI$15),0),15-13*ORÇAMENTO!$AF$11)),0)</f>
        <v>0</v>
      </c>
      <c r="AJ176" s="545">
        <f ca="1">IF(AND($D176="Serviço",AJ$12&lt;&gt;0,$H176&gt;0,OR(AUTOEVENTO&lt;&gt;"manual",$M176&lt;&gt;1)),
IF(Import.TipoArredondamento&lt;&gt;"TransfereGOV",
ROUND(OFFSET($P176,0,AJ$13),15-13*ORÇAMENTO!$AF$7)/$H176*OFFSET(ORÇAMENTO!$X$15,ROW(AJ176)-ROW(AJ$15),0),
ROUND(ROUND(OFFSET($P176,0,AJ$13),15-13*ORÇAMENTO!$AF$7)*OFFSET(ORÇAMENTO!$W$15,ROW(AJ176)-ROW(AJ$15),0),15-13*ORÇAMENTO!$AF$11)),0)</f>
        <v>0</v>
      </c>
      <c r="AK176" s="546">
        <f ca="1">IF(AND($D176="Serviço",AK$12&lt;&gt;0,$H176&gt;0,OR(AUTOEVENTO&lt;&gt;"manual",$M176&lt;&gt;1)),
IF(Import.TipoArredondamento&lt;&gt;"TransfereGOV",
ROUND(OFFSET($P176,0,AK$13),15-13*ORÇAMENTO!$AF$7)/$H176*OFFSET(ORÇAMENTO!$X$15,ROW(AK176)-ROW(AK$15),0),
ROUND(ROUND(OFFSET($P176,0,AK$13),15-13*ORÇAMENTO!$AF$7)*OFFSET(ORÇAMENTO!$W$15,ROW(AK176)-ROW(AK$15),0),15-13*ORÇAMENTO!$AF$11)),0)</f>
        <v>0</v>
      </c>
      <c r="AM176" s="181">
        <f ca="1">IF($D176&lt;&gt;"Serviço",0,IF(AND(AUTOEVENTO="Manual",$M176=1),0,IF(OFFSET(CRONOPLE!$F$14,$M176,AM$13)="",10^12,OFFSET(CRONOPLE!$F$14,$M176,AM$13))))</f>
        <v>1000000000000</v>
      </c>
      <c r="AN176" s="181">
        <f ca="1">IF($D176&lt;&gt;"Serviço",0,IF(AND(AUTOEVENTO="Manual",$M176=1),0,IF(OFFSET(CRONOPLE!$F$14,$M176,AN$13)="",10^12,OFFSET(CRONOPLE!$F$14,$M176,AN$13))))</f>
        <v>1000000000000</v>
      </c>
      <c r="AO176" s="181">
        <f ca="1">IF($D176&lt;&gt;"Serviço",0,IF(AND(AUTOEVENTO="Manual",$M176=1),0,IF(OFFSET(CRONOPLE!$F$14,$M176,AO$13)="",10^12,OFFSET(CRONOPLE!$F$14,$M176,AO$13))))</f>
        <v>1000000000000</v>
      </c>
      <c r="AP176" s="181">
        <f ca="1">IF($D176&lt;&gt;"Serviço",0,IF(AND(AUTOEVENTO="Manual",$M176=1),0,IF(OFFSET(CRONOPLE!$F$14,$M176,AP$13)="",10^12,OFFSET(CRONOPLE!$F$14,$M176,AP$13))))</f>
        <v>1000000000000</v>
      </c>
      <c r="AQ176" s="181">
        <f ca="1">IF($D176&lt;&gt;"Serviço",0,IF(AND(AUTOEVENTO="Manual",$M176=1),0,IF(OFFSET(CRONOPLE!$F$14,$M176,AQ$13)="",10^12,OFFSET(CRONOPLE!$F$14,$M176,AQ$13))))</f>
        <v>1000000000000</v>
      </c>
      <c r="AR176" s="181">
        <f ca="1">IF($D176&lt;&gt;"Serviço",0,IF(AND(AUTOEVENTO="Manual",$M176=1),0,IF(OFFSET(CRONOPLE!$F$14,$M176,AR$13)="",10^12,OFFSET(CRONOPLE!$F$14,$M176,AR$13))))</f>
        <v>1000000000000</v>
      </c>
      <c r="AS176" s="181">
        <f ca="1">IF($D176&lt;&gt;"Serviço",0,IF(AND(AUTOEVENTO="Manual",$M176=1),0,IF(OFFSET(CRONOPLE!$F$14,$M176,AS$13)="",10^12,OFFSET(CRONOPLE!$F$14,$M176,AS$13))))</f>
        <v>1000000000000</v>
      </c>
      <c r="AT176" s="181">
        <f ca="1">IF($D176&lt;&gt;"Serviço",0,IF(AND(AUTOEVENTO="Manual",$M176=1),0,IF(OFFSET(CRONOPLE!$F$14,$M176,AT$13)="",10^12,OFFSET(CRONOPLE!$F$14,$M176,AT$13))))</f>
        <v>1000000000000</v>
      </c>
      <c r="AU176" s="181">
        <f ca="1">IF($D176&lt;&gt;"Serviço",0,IF(AND(AUTOEVENTO="Manual",$M176=1),0,IF(OFFSET(CRONOPLE!$F$14,$M176,AU$13)="",10^12,OFFSET(CRONOPLE!$F$14,$M176,AU$13))))</f>
        <v>1000000000000</v>
      </c>
      <c r="AV176" s="181">
        <f ca="1">IF($D176&lt;&gt;"Serviço",0,IF(AND(AUTOEVENTO="Manual",$M176=1),0,IF(OFFSET(CRONOPLE!$F$14,$M176,AV$13)="",10^12,OFFSET(CRONOPLE!$F$14,$M176,AV$13))))</f>
        <v>1000000000000</v>
      </c>
      <c r="AX176" s="182">
        <f ca="1">IF($D176&lt;&gt;"Serviço",0,IF(OR(AND(AUTOEVENTO="Manual",$M176=1),$M176&gt;(ROW(PLE.lastrow)-ROW(PLE.firstrow))),0,IF(OFFSET(PLE!$G$14,$M176,AX$13)="",10^12,OFFSET(PLE!$G$14,$M176,AX$13))))</f>
        <v>1000000000000</v>
      </c>
      <c r="AY176" s="182">
        <f ca="1">IF($D176&lt;&gt;"Serviço",0,IF(OR(AND(AUTOEVENTO="Manual",$M176=1),$M176&gt;(ROW(PLE.lastrow)-ROW(PLE.firstrow))),0,IF(OFFSET(PLE!$G$14,$M176,AY$13)="",10^12,OFFSET(PLE!$G$14,$M176,AY$13))))</f>
        <v>1000000000000</v>
      </c>
      <c r="AZ176" s="182">
        <f ca="1">IF($D176&lt;&gt;"Serviço",0,IF(OR(AND(AUTOEVENTO="Manual",$M176=1),$M176&gt;(ROW(PLE.lastrow)-ROW(PLE.firstrow))),0,IF(OFFSET(PLE!$G$14,$M176,AZ$13)="",10^12,OFFSET(PLE!$G$14,$M176,AZ$13))))</f>
        <v>1000000000000</v>
      </c>
      <c r="BA176" s="182">
        <f ca="1">IF($D176&lt;&gt;"Serviço",0,IF(OR(AND(AUTOEVENTO="Manual",$M176=1),$M176&gt;(ROW(PLE.lastrow)-ROW(PLE.firstrow))),0,IF(OFFSET(PLE!$G$14,$M176,BA$13)="",10^12,OFFSET(PLE!$G$14,$M176,BA$13))))</f>
        <v>1000000000000</v>
      </c>
      <c r="BB176" s="182">
        <f ca="1">IF($D176&lt;&gt;"Serviço",0,IF(OR(AND(AUTOEVENTO="Manual",$M176=1),$M176&gt;(ROW(PLE.lastrow)-ROW(PLE.firstrow))),0,IF(OFFSET(PLE!$G$14,$M176,BB$13)="",10^12,OFFSET(PLE!$G$14,$M176,BB$13))))</f>
        <v>1000000000000</v>
      </c>
      <c r="BC176" s="182">
        <f ca="1">IF($D176&lt;&gt;"Serviço",0,IF(OR(AND(AUTOEVENTO="Manual",$M176=1),$M176&gt;(ROW(PLE.lastrow)-ROW(PLE.firstrow))),0,IF(OFFSET(PLE!$G$14,$M176,BC$13)="",10^12,OFFSET(PLE!$G$14,$M176,BC$13))))</f>
        <v>1000000000000</v>
      </c>
      <c r="BD176" s="182">
        <f ca="1">IF($D176&lt;&gt;"Serviço",0,IF(OR(AND(AUTOEVENTO="Manual",$M176=1),$M176&gt;(ROW(PLE.lastrow)-ROW(PLE.firstrow))),0,IF(OFFSET(PLE!$G$14,$M176,BD$13)="",10^12,OFFSET(PLE!$G$14,$M176,BD$13))))</f>
        <v>1000000000000</v>
      </c>
      <c r="BE176" s="182">
        <f ca="1">IF($D176&lt;&gt;"Serviço",0,IF(OR(AND(AUTOEVENTO="Manual",$M176=1),$M176&gt;(ROW(PLE.lastrow)-ROW(PLE.firstrow))),0,IF(OFFSET(PLE!$G$14,$M176,BE$13)="",10^12,OFFSET(PLE!$G$14,$M176,BE$13))))</f>
        <v>1000000000000</v>
      </c>
      <c r="BF176" s="182">
        <f ca="1">IF($D176&lt;&gt;"Serviço",0,IF(OR(AND(AUTOEVENTO="Manual",$M176=1),$M176&gt;(ROW(PLE.lastrow)-ROW(PLE.firstrow))),0,IF(OFFSET(PLE!$G$14,$M176,BF$13)="",10^12,OFFSET(PLE!$G$14,$M176,BF$13))))</f>
        <v>1000000000000</v>
      </c>
      <c r="BG176" s="182">
        <f ca="1">IF($D176&lt;&gt;"Serviço",0,IF(OR(AND(AUTOEVENTO="Manual",$M176=1),$M176&gt;(ROW(PLE.lastrow)-ROW(PLE.firstrow))),0,IF(OFFSET(PLE!$G$14,$M176,BG$13)="",10^12,OFFSET(PLE!$G$14,$M176,BG$13))))</f>
        <v>1000000000000</v>
      </c>
    </row>
    <row r="177" spans="1:59" ht="12.75" x14ac:dyDescent="0.2">
      <c r="A177" s="7" t="str">
        <f t="shared" ca="1" si="10"/>
        <v>162.</v>
      </c>
      <c r="B177" s="7">
        <f ca="1">OFFSET(ORÇAMENTO!C$15,ROW(B177)-ROW(B$15),0)</f>
        <v>2</v>
      </c>
      <c r="C177" s="7" t="str">
        <f ca="1">OFFSET(ORÇAMENTO!L$15,ROW(C177)-ROW(C$15),0)</f>
        <v>F</v>
      </c>
      <c r="D177" s="118" t="str">
        <f ca="1">OFFSET(ORÇAMENTO!N$15,ROW(D177)-ROW(D$15),0)</f>
        <v>Nível 2</v>
      </c>
      <c r="E177" s="119" t="str">
        <f ca="1">OFFSET(ORÇAMENTO!O$15,ROW(E177)-ROW(E$15),0)</f>
        <v>1.7.</v>
      </c>
      <c r="F177" s="172" t="str">
        <f ca="1">OFFSET(ORÇAMENTO!R$15,ROW(F177)-ROW(F$15),0)</f>
        <v>SISTEMAS DE COBERTURA</v>
      </c>
      <c r="G177" s="173" t="str">
        <f ca="1">IF($D177&lt;&gt;"Serviço","",OFFSET(ORÇAMENTO!S$15,ROW(G177)-ROW(G$15),0))</f>
        <v/>
      </c>
      <c r="H177" s="124">
        <f ca="1">IF($D177&lt;&gt;"Serviço",0,IF(ACOMPANHAMENTO="BM",ROUND(OFFSET(ORÇAMENTO!AJ$15,ROW(H177)-ROW(H$15),0),15-13*ORÇAMENTO!$AF$7),SUMPRODUCT(($Q$12:$AA$12&lt;&gt;"")*ROUND($Q177:$AA177,15-13*ORÇAMENTO!$AF$7))))</f>
        <v>0</v>
      </c>
      <c r="I177" s="561"/>
      <c r="K177" s="174"/>
      <c r="L177" s="175" t="s">
        <v>255</v>
      </c>
      <c r="M177" s="176" t="str">
        <f ca="1">IF($D177&lt;&gt;"Serviço","",IF(AUTOEVENTO="manual",$A177,IF(ISERROR(MATCH($A177,$A$15:OFFSET($A177,-1,0),0)),MAX($M$15:OFFSET(M177,-1,0))+1,INDEX($M$15:OFFSET(M177,-1,0),MATCH($A177,$A$15:OFFSET($A177,-1,0),0)))))</f>
        <v/>
      </c>
      <c r="N177" s="177" t="str">
        <f ca="1">IF($D177&lt;&gt;"Serviço","",IF(AUTOEVENTO="Manual",IF($A177=0,"&lt;-- defina o número do agrupador",OFFSET(EVENTOS!$D$14,$A177,0)),OFFSET($F$15,$A177,0)))</f>
        <v/>
      </c>
      <c r="O177" s="178"/>
      <c r="Q177" s="178"/>
      <c r="R177" s="179"/>
      <c r="S177" s="179"/>
      <c r="T177" s="179"/>
      <c r="U177" s="179"/>
      <c r="V177" s="179"/>
      <c r="W177" s="179"/>
      <c r="X177" s="179"/>
      <c r="Y177" s="179"/>
      <c r="Z177" s="180"/>
      <c r="AB177" s="544">
        <f ca="1">IF(AND($D177="Serviço",AB$12&lt;&gt;0,$H177&gt;0,OR(AUTOEVENTO&lt;&gt;"manual",$M177&lt;&gt;1)),
IF(Import.TipoArredondamento&lt;&gt;"TransfereGOV",
ROUND(OFFSET($P177,0,AB$13),15-13*ORÇAMENTO!$AF$7)/$H177*OFFSET(ORÇAMENTO!$X$15,ROW(AB177)-ROW(AB$15),0),
ROUND(ROUND(OFFSET($P177,0,AB$13),15-13*ORÇAMENTO!$AF$7)*OFFSET(ORÇAMENTO!$W$15,ROW(AB177)-ROW(AB$15),0),15-13*ORÇAMENTO!$AF$11)),0)</f>
        <v>0</v>
      </c>
      <c r="AC177" s="545">
        <f ca="1">IF(AND($D177="Serviço",AC$12&lt;&gt;0,$H177&gt;0,OR(AUTOEVENTO&lt;&gt;"manual",$M177&lt;&gt;1)),
IF(Import.TipoArredondamento&lt;&gt;"TransfereGOV",
ROUND(OFFSET($P177,0,AC$13),15-13*ORÇAMENTO!$AF$7)/$H177*OFFSET(ORÇAMENTO!$X$15,ROW(AC177)-ROW(AC$15),0),
ROUND(ROUND(OFFSET($P177,0,AC$13),15-13*ORÇAMENTO!$AF$7)*OFFSET(ORÇAMENTO!$W$15,ROW(AC177)-ROW(AC$15),0),15-13*ORÇAMENTO!$AF$11)),0)</f>
        <v>0</v>
      </c>
      <c r="AD177" s="545">
        <f ca="1">IF(AND($D177="Serviço",AD$12&lt;&gt;0,$H177&gt;0,OR(AUTOEVENTO&lt;&gt;"manual",$M177&lt;&gt;1)),
IF(Import.TipoArredondamento&lt;&gt;"TransfereGOV",
ROUND(OFFSET($P177,0,AD$13),15-13*ORÇAMENTO!$AF$7)/$H177*OFFSET(ORÇAMENTO!$X$15,ROW(AD177)-ROW(AD$15),0),
ROUND(ROUND(OFFSET($P177,0,AD$13),15-13*ORÇAMENTO!$AF$7)*OFFSET(ORÇAMENTO!$W$15,ROW(AD177)-ROW(AD$15),0),15-13*ORÇAMENTO!$AF$11)),0)</f>
        <v>0</v>
      </c>
      <c r="AE177" s="545">
        <f ca="1">IF(AND($D177="Serviço",AE$12&lt;&gt;0,$H177&gt;0,OR(AUTOEVENTO&lt;&gt;"manual",$M177&lt;&gt;1)),
IF(Import.TipoArredondamento&lt;&gt;"TransfereGOV",
ROUND(OFFSET($P177,0,AE$13),15-13*ORÇAMENTO!$AF$7)/$H177*OFFSET(ORÇAMENTO!$X$15,ROW(AE177)-ROW(AE$15),0),
ROUND(ROUND(OFFSET($P177,0,AE$13),15-13*ORÇAMENTO!$AF$7)*OFFSET(ORÇAMENTO!$W$15,ROW(AE177)-ROW(AE$15),0),15-13*ORÇAMENTO!$AF$11)),0)</f>
        <v>0</v>
      </c>
      <c r="AF177" s="545">
        <f ca="1">IF(AND($D177="Serviço",AF$12&lt;&gt;0,$H177&gt;0,OR(AUTOEVENTO&lt;&gt;"manual",$M177&lt;&gt;1)),
IF(Import.TipoArredondamento&lt;&gt;"TransfereGOV",
ROUND(OFFSET($P177,0,AF$13),15-13*ORÇAMENTO!$AF$7)/$H177*OFFSET(ORÇAMENTO!$X$15,ROW(AF177)-ROW(AF$15),0),
ROUND(ROUND(OFFSET($P177,0,AF$13),15-13*ORÇAMENTO!$AF$7)*OFFSET(ORÇAMENTO!$W$15,ROW(AF177)-ROW(AF$15),0),15-13*ORÇAMENTO!$AF$11)),0)</f>
        <v>0</v>
      </c>
      <c r="AG177" s="545">
        <f ca="1">IF(AND($D177="Serviço",AG$12&lt;&gt;0,$H177&gt;0,OR(AUTOEVENTO&lt;&gt;"manual",$M177&lt;&gt;1)),
IF(Import.TipoArredondamento&lt;&gt;"TransfereGOV",
ROUND(OFFSET($P177,0,AG$13),15-13*ORÇAMENTO!$AF$7)/$H177*OFFSET(ORÇAMENTO!$X$15,ROW(AG177)-ROW(AG$15),0),
ROUND(ROUND(OFFSET($P177,0,AG$13),15-13*ORÇAMENTO!$AF$7)*OFFSET(ORÇAMENTO!$W$15,ROW(AG177)-ROW(AG$15),0),15-13*ORÇAMENTO!$AF$11)),0)</f>
        <v>0</v>
      </c>
      <c r="AH177" s="545">
        <f ca="1">IF(AND($D177="Serviço",AH$12&lt;&gt;0,$H177&gt;0,OR(AUTOEVENTO&lt;&gt;"manual",$M177&lt;&gt;1)),
IF(Import.TipoArredondamento&lt;&gt;"TransfereGOV",
ROUND(OFFSET($P177,0,AH$13),15-13*ORÇAMENTO!$AF$7)/$H177*OFFSET(ORÇAMENTO!$X$15,ROW(AH177)-ROW(AH$15),0),
ROUND(ROUND(OFFSET($P177,0,AH$13),15-13*ORÇAMENTO!$AF$7)*OFFSET(ORÇAMENTO!$W$15,ROW(AH177)-ROW(AH$15),0),15-13*ORÇAMENTO!$AF$11)),0)</f>
        <v>0</v>
      </c>
      <c r="AI177" s="545">
        <f ca="1">IF(AND($D177="Serviço",AI$12&lt;&gt;0,$H177&gt;0,OR(AUTOEVENTO&lt;&gt;"manual",$M177&lt;&gt;1)),
IF(Import.TipoArredondamento&lt;&gt;"TransfereGOV",
ROUND(OFFSET($P177,0,AI$13),15-13*ORÇAMENTO!$AF$7)/$H177*OFFSET(ORÇAMENTO!$X$15,ROW(AI177)-ROW(AI$15),0),
ROUND(ROUND(OFFSET($P177,0,AI$13),15-13*ORÇAMENTO!$AF$7)*OFFSET(ORÇAMENTO!$W$15,ROW(AI177)-ROW(AI$15),0),15-13*ORÇAMENTO!$AF$11)),0)</f>
        <v>0</v>
      </c>
      <c r="AJ177" s="545">
        <f ca="1">IF(AND($D177="Serviço",AJ$12&lt;&gt;0,$H177&gt;0,OR(AUTOEVENTO&lt;&gt;"manual",$M177&lt;&gt;1)),
IF(Import.TipoArredondamento&lt;&gt;"TransfereGOV",
ROUND(OFFSET($P177,0,AJ$13),15-13*ORÇAMENTO!$AF$7)/$H177*OFFSET(ORÇAMENTO!$X$15,ROW(AJ177)-ROW(AJ$15),0),
ROUND(ROUND(OFFSET($P177,0,AJ$13),15-13*ORÇAMENTO!$AF$7)*OFFSET(ORÇAMENTO!$W$15,ROW(AJ177)-ROW(AJ$15),0),15-13*ORÇAMENTO!$AF$11)),0)</f>
        <v>0</v>
      </c>
      <c r="AK177" s="546">
        <f ca="1">IF(AND($D177="Serviço",AK$12&lt;&gt;0,$H177&gt;0,OR(AUTOEVENTO&lt;&gt;"manual",$M177&lt;&gt;1)),
IF(Import.TipoArredondamento&lt;&gt;"TransfereGOV",
ROUND(OFFSET($P177,0,AK$13),15-13*ORÇAMENTO!$AF$7)/$H177*OFFSET(ORÇAMENTO!$X$15,ROW(AK177)-ROW(AK$15),0),
ROUND(ROUND(OFFSET($P177,0,AK$13),15-13*ORÇAMENTO!$AF$7)*OFFSET(ORÇAMENTO!$W$15,ROW(AK177)-ROW(AK$15),0),15-13*ORÇAMENTO!$AF$11)),0)</f>
        <v>0</v>
      </c>
      <c r="AM177" s="181">
        <f ca="1">IF($D177&lt;&gt;"Serviço",0,IF(AND(AUTOEVENTO="Manual",$M177=1),0,IF(OFFSET(CRONOPLE!$F$14,$M177,AM$13)="",10^12,OFFSET(CRONOPLE!$F$14,$M177,AM$13))))</f>
        <v>0</v>
      </c>
      <c r="AN177" s="181">
        <f ca="1">IF($D177&lt;&gt;"Serviço",0,IF(AND(AUTOEVENTO="Manual",$M177=1),0,IF(OFFSET(CRONOPLE!$F$14,$M177,AN$13)="",10^12,OFFSET(CRONOPLE!$F$14,$M177,AN$13))))</f>
        <v>0</v>
      </c>
      <c r="AO177" s="181">
        <f ca="1">IF($D177&lt;&gt;"Serviço",0,IF(AND(AUTOEVENTO="Manual",$M177=1),0,IF(OFFSET(CRONOPLE!$F$14,$M177,AO$13)="",10^12,OFFSET(CRONOPLE!$F$14,$M177,AO$13))))</f>
        <v>0</v>
      </c>
      <c r="AP177" s="181">
        <f ca="1">IF($D177&lt;&gt;"Serviço",0,IF(AND(AUTOEVENTO="Manual",$M177=1),0,IF(OFFSET(CRONOPLE!$F$14,$M177,AP$13)="",10^12,OFFSET(CRONOPLE!$F$14,$M177,AP$13))))</f>
        <v>0</v>
      </c>
      <c r="AQ177" s="181">
        <f ca="1">IF($D177&lt;&gt;"Serviço",0,IF(AND(AUTOEVENTO="Manual",$M177=1),0,IF(OFFSET(CRONOPLE!$F$14,$M177,AQ$13)="",10^12,OFFSET(CRONOPLE!$F$14,$M177,AQ$13))))</f>
        <v>0</v>
      </c>
      <c r="AR177" s="181">
        <f ca="1">IF($D177&lt;&gt;"Serviço",0,IF(AND(AUTOEVENTO="Manual",$M177=1),0,IF(OFFSET(CRONOPLE!$F$14,$M177,AR$13)="",10^12,OFFSET(CRONOPLE!$F$14,$M177,AR$13))))</f>
        <v>0</v>
      </c>
      <c r="AS177" s="181">
        <f ca="1">IF($D177&lt;&gt;"Serviço",0,IF(AND(AUTOEVENTO="Manual",$M177=1),0,IF(OFFSET(CRONOPLE!$F$14,$M177,AS$13)="",10^12,OFFSET(CRONOPLE!$F$14,$M177,AS$13))))</f>
        <v>0</v>
      </c>
      <c r="AT177" s="181">
        <f ca="1">IF($D177&lt;&gt;"Serviço",0,IF(AND(AUTOEVENTO="Manual",$M177=1),0,IF(OFFSET(CRONOPLE!$F$14,$M177,AT$13)="",10^12,OFFSET(CRONOPLE!$F$14,$M177,AT$13))))</f>
        <v>0</v>
      </c>
      <c r="AU177" s="181">
        <f ca="1">IF($D177&lt;&gt;"Serviço",0,IF(AND(AUTOEVENTO="Manual",$M177=1),0,IF(OFFSET(CRONOPLE!$F$14,$M177,AU$13)="",10^12,OFFSET(CRONOPLE!$F$14,$M177,AU$13))))</f>
        <v>0</v>
      </c>
      <c r="AV177" s="181">
        <f ca="1">IF($D177&lt;&gt;"Serviço",0,IF(AND(AUTOEVENTO="Manual",$M177=1),0,IF(OFFSET(CRONOPLE!$F$14,$M177,AV$13)="",10^12,OFFSET(CRONOPLE!$F$14,$M177,AV$13))))</f>
        <v>0</v>
      </c>
      <c r="AX177" s="182">
        <f ca="1">IF($D177&lt;&gt;"Serviço",0,IF(OR(AND(AUTOEVENTO="Manual",$M177=1),$M177&gt;(ROW(PLE.lastrow)-ROW(PLE.firstrow))),0,IF(OFFSET(PLE!$G$14,$M177,AX$13)="",10^12,OFFSET(PLE!$G$14,$M177,AX$13))))</f>
        <v>0</v>
      </c>
      <c r="AY177" s="182">
        <f ca="1">IF($D177&lt;&gt;"Serviço",0,IF(OR(AND(AUTOEVENTO="Manual",$M177=1),$M177&gt;(ROW(PLE.lastrow)-ROW(PLE.firstrow))),0,IF(OFFSET(PLE!$G$14,$M177,AY$13)="",10^12,OFFSET(PLE!$G$14,$M177,AY$13))))</f>
        <v>0</v>
      </c>
      <c r="AZ177" s="182">
        <f ca="1">IF($D177&lt;&gt;"Serviço",0,IF(OR(AND(AUTOEVENTO="Manual",$M177=1),$M177&gt;(ROW(PLE.lastrow)-ROW(PLE.firstrow))),0,IF(OFFSET(PLE!$G$14,$M177,AZ$13)="",10^12,OFFSET(PLE!$G$14,$M177,AZ$13))))</f>
        <v>0</v>
      </c>
      <c r="BA177" s="182">
        <f ca="1">IF($D177&lt;&gt;"Serviço",0,IF(OR(AND(AUTOEVENTO="Manual",$M177=1),$M177&gt;(ROW(PLE.lastrow)-ROW(PLE.firstrow))),0,IF(OFFSET(PLE!$G$14,$M177,BA$13)="",10^12,OFFSET(PLE!$G$14,$M177,BA$13))))</f>
        <v>0</v>
      </c>
      <c r="BB177" s="182">
        <f ca="1">IF($D177&lt;&gt;"Serviço",0,IF(OR(AND(AUTOEVENTO="Manual",$M177=1),$M177&gt;(ROW(PLE.lastrow)-ROW(PLE.firstrow))),0,IF(OFFSET(PLE!$G$14,$M177,BB$13)="",10^12,OFFSET(PLE!$G$14,$M177,BB$13))))</f>
        <v>0</v>
      </c>
      <c r="BC177" s="182">
        <f ca="1">IF($D177&lt;&gt;"Serviço",0,IF(OR(AND(AUTOEVENTO="Manual",$M177=1),$M177&gt;(ROW(PLE.lastrow)-ROW(PLE.firstrow))),0,IF(OFFSET(PLE!$G$14,$M177,BC$13)="",10^12,OFFSET(PLE!$G$14,$M177,BC$13))))</f>
        <v>0</v>
      </c>
      <c r="BD177" s="182">
        <f ca="1">IF($D177&lt;&gt;"Serviço",0,IF(OR(AND(AUTOEVENTO="Manual",$M177=1),$M177&gt;(ROW(PLE.lastrow)-ROW(PLE.firstrow))),0,IF(OFFSET(PLE!$G$14,$M177,BD$13)="",10^12,OFFSET(PLE!$G$14,$M177,BD$13))))</f>
        <v>0</v>
      </c>
      <c r="BE177" s="182">
        <f ca="1">IF($D177&lt;&gt;"Serviço",0,IF(OR(AND(AUTOEVENTO="Manual",$M177=1),$M177&gt;(ROW(PLE.lastrow)-ROW(PLE.firstrow))),0,IF(OFFSET(PLE!$G$14,$M177,BE$13)="",10^12,OFFSET(PLE!$G$14,$M177,BE$13))))</f>
        <v>0</v>
      </c>
      <c r="BF177" s="182">
        <f ca="1">IF($D177&lt;&gt;"Serviço",0,IF(OR(AND(AUTOEVENTO="Manual",$M177=1),$M177&gt;(ROW(PLE.lastrow)-ROW(PLE.firstrow))),0,IF(OFFSET(PLE!$G$14,$M177,BF$13)="",10^12,OFFSET(PLE!$G$14,$M177,BF$13))))</f>
        <v>0</v>
      </c>
      <c r="BG177" s="182">
        <f ca="1">IF($D177&lt;&gt;"Serviço",0,IF(OR(AND(AUTOEVENTO="Manual",$M177=1),$M177&gt;(ROW(PLE.lastrow)-ROW(PLE.firstrow))),0,IF(OFFSET(PLE!$G$14,$M177,BG$13)="",10^12,OFFSET(PLE!$G$14,$M177,BG$13))))</f>
        <v>0</v>
      </c>
    </row>
    <row r="178" spans="1:59" ht="63.75" x14ac:dyDescent="0.2">
      <c r="A178" s="7" t="str">
        <f t="shared" ca="1" si="10"/>
        <v>162</v>
      </c>
      <c r="B178" s="7" t="str">
        <f ca="1">OFFSET(ORÇAMENTO!C$15,ROW(B178)-ROW(B$15),0)</f>
        <v>S</v>
      </c>
      <c r="C178" s="7" t="str">
        <f ca="1">OFFSET(ORÇAMENTO!L$15,ROW(C178)-ROW(C$15),0)</f>
        <v/>
      </c>
      <c r="D178" s="118" t="str">
        <f ca="1">OFFSET(ORÇAMENTO!N$15,ROW(D178)-ROW(D$15),0)</f>
        <v>Serviço</v>
      </c>
      <c r="E178" s="119" t="str">
        <f ca="1">OFFSET(ORÇAMENTO!O$15,ROW(E178)-ROW(E$15),0)</f>
        <v>-</v>
      </c>
      <c r="F178" s="172" t="str">
        <f ca="1">OFFSET(ORÇAMENTO!R$15,ROW(F178)-ROW(F$15),0)</f>
        <v>(abra o arquivo 'Referência 02-2025.xlsm)</v>
      </c>
      <c r="G178" s="173" t="str">
        <f ca="1">IF($D178&lt;&gt;"Serviço","",OFFSET(ORÇAMENTO!S$15,ROW(G178)-ROW(G$15),0))</f>
        <v>-</v>
      </c>
      <c r="H178" s="124">
        <f ca="1">IF($D178&lt;&gt;"Serviço",0,IF(ACOMPANHAMENTO="BM",ROUND(OFFSET(ORÇAMENTO!AJ$15,ROW(H178)-ROW(H$15),0),15-13*ORÇAMENTO!$AF$7),SUMPRODUCT(($Q$12:$AA$12&lt;&gt;"")*ROUND($Q178:$AA178,15-13*ORÇAMENTO!$AF$7))))</f>
        <v>1441</v>
      </c>
      <c r="I178" s="561" t="s">
        <v>890</v>
      </c>
      <c r="K178" s="174"/>
      <c r="L178" s="175" t="s">
        <v>255</v>
      </c>
      <c r="M178" s="176">
        <f ca="1">IF($D178&lt;&gt;"Serviço","",IF(AUTOEVENTO="manual",$A178,IF(ISERROR(MATCH($A178,$A$15:OFFSET($A178,-1,0),0)),MAX($M$15:OFFSET(M178,-1,0))+1,INDEX($M$15:OFFSET(M178,-1,0),MATCH($A178,$A$15:OFFSET($A178,-1,0),0)))))</f>
        <v>8</v>
      </c>
      <c r="N178" s="177" t="str">
        <f ca="1">IF($D178&lt;&gt;"Serviço","",IF(AUTOEVENTO="Manual",IF($A178=0,"&lt;-- defina o número do agrupador",OFFSET(EVENTOS!$D$14,$A178,0)),OFFSET($F$15,$A178,0)))</f>
        <v>SISTEMAS DE COBERTURA</v>
      </c>
      <c r="O178" s="178"/>
      <c r="Q178" s="178"/>
      <c r="R178" s="179"/>
      <c r="S178" s="179"/>
      <c r="T178" s="179"/>
      <c r="U178" s="179"/>
      <c r="V178" s="179"/>
      <c r="W178" s="179"/>
      <c r="X178" s="179"/>
      <c r="Y178" s="179"/>
      <c r="Z178" s="180"/>
      <c r="AB178" s="544">
        <f ca="1">IF(AND($D178="Serviço",AB$12&lt;&gt;0,$H178&gt;0,OR(AUTOEVENTO&lt;&gt;"manual",$M178&lt;&gt;1)),
IF(Import.TipoArredondamento&lt;&gt;"TransfereGOV",
ROUND(OFFSET($P178,0,AB$13),15-13*ORÇAMENTO!$AF$7)/$H178*OFFSET(ORÇAMENTO!$X$15,ROW(AB178)-ROW(AB$15),0),
ROUND(ROUND(OFFSET($P178,0,AB$13),15-13*ORÇAMENTO!$AF$7)*OFFSET(ORÇAMENTO!$W$15,ROW(AB178)-ROW(AB$15),0),15-13*ORÇAMENTO!$AF$11)),0)</f>
        <v>0</v>
      </c>
      <c r="AC178" s="545">
        <f ca="1">IF(AND($D178="Serviço",AC$12&lt;&gt;0,$H178&gt;0,OR(AUTOEVENTO&lt;&gt;"manual",$M178&lt;&gt;1)),
IF(Import.TipoArredondamento&lt;&gt;"TransfereGOV",
ROUND(OFFSET($P178,0,AC$13),15-13*ORÇAMENTO!$AF$7)/$H178*OFFSET(ORÇAMENTO!$X$15,ROW(AC178)-ROW(AC$15),0),
ROUND(ROUND(OFFSET($P178,0,AC$13),15-13*ORÇAMENTO!$AF$7)*OFFSET(ORÇAMENTO!$W$15,ROW(AC178)-ROW(AC$15),0),15-13*ORÇAMENTO!$AF$11)),0)</f>
        <v>0</v>
      </c>
      <c r="AD178" s="545">
        <f ca="1">IF(AND($D178="Serviço",AD$12&lt;&gt;0,$H178&gt;0,OR(AUTOEVENTO&lt;&gt;"manual",$M178&lt;&gt;1)),
IF(Import.TipoArredondamento&lt;&gt;"TransfereGOV",
ROUND(OFFSET($P178,0,AD$13),15-13*ORÇAMENTO!$AF$7)/$H178*OFFSET(ORÇAMENTO!$X$15,ROW(AD178)-ROW(AD$15),0),
ROUND(ROUND(OFFSET($P178,0,AD$13),15-13*ORÇAMENTO!$AF$7)*OFFSET(ORÇAMENTO!$W$15,ROW(AD178)-ROW(AD$15),0),15-13*ORÇAMENTO!$AF$11)),0)</f>
        <v>0</v>
      </c>
      <c r="AE178" s="545">
        <f ca="1">IF(AND($D178="Serviço",AE$12&lt;&gt;0,$H178&gt;0,OR(AUTOEVENTO&lt;&gt;"manual",$M178&lt;&gt;1)),
IF(Import.TipoArredondamento&lt;&gt;"TransfereGOV",
ROUND(OFFSET($P178,0,AE$13),15-13*ORÇAMENTO!$AF$7)/$H178*OFFSET(ORÇAMENTO!$X$15,ROW(AE178)-ROW(AE$15),0),
ROUND(ROUND(OFFSET($P178,0,AE$13),15-13*ORÇAMENTO!$AF$7)*OFFSET(ORÇAMENTO!$W$15,ROW(AE178)-ROW(AE$15),0),15-13*ORÇAMENTO!$AF$11)),0)</f>
        <v>0</v>
      </c>
      <c r="AF178" s="545">
        <f ca="1">IF(AND($D178="Serviço",AF$12&lt;&gt;0,$H178&gt;0,OR(AUTOEVENTO&lt;&gt;"manual",$M178&lt;&gt;1)),
IF(Import.TipoArredondamento&lt;&gt;"TransfereGOV",
ROUND(OFFSET($P178,0,AF$13),15-13*ORÇAMENTO!$AF$7)/$H178*OFFSET(ORÇAMENTO!$X$15,ROW(AF178)-ROW(AF$15),0),
ROUND(ROUND(OFFSET($P178,0,AF$13),15-13*ORÇAMENTO!$AF$7)*OFFSET(ORÇAMENTO!$W$15,ROW(AF178)-ROW(AF$15),0),15-13*ORÇAMENTO!$AF$11)),0)</f>
        <v>0</v>
      </c>
      <c r="AG178" s="545">
        <f ca="1">IF(AND($D178="Serviço",AG$12&lt;&gt;0,$H178&gt;0,OR(AUTOEVENTO&lt;&gt;"manual",$M178&lt;&gt;1)),
IF(Import.TipoArredondamento&lt;&gt;"TransfereGOV",
ROUND(OFFSET($P178,0,AG$13),15-13*ORÇAMENTO!$AF$7)/$H178*OFFSET(ORÇAMENTO!$X$15,ROW(AG178)-ROW(AG$15),0),
ROUND(ROUND(OFFSET($P178,0,AG$13),15-13*ORÇAMENTO!$AF$7)*OFFSET(ORÇAMENTO!$W$15,ROW(AG178)-ROW(AG$15),0),15-13*ORÇAMENTO!$AF$11)),0)</f>
        <v>0</v>
      </c>
      <c r="AH178" s="545">
        <f ca="1">IF(AND($D178="Serviço",AH$12&lt;&gt;0,$H178&gt;0,OR(AUTOEVENTO&lt;&gt;"manual",$M178&lt;&gt;1)),
IF(Import.TipoArredondamento&lt;&gt;"TransfereGOV",
ROUND(OFFSET($P178,0,AH$13),15-13*ORÇAMENTO!$AF$7)/$H178*OFFSET(ORÇAMENTO!$X$15,ROW(AH178)-ROW(AH$15),0),
ROUND(ROUND(OFFSET($P178,0,AH$13),15-13*ORÇAMENTO!$AF$7)*OFFSET(ORÇAMENTO!$W$15,ROW(AH178)-ROW(AH$15),0),15-13*ORÇAMENTO!$AF$11)),0)</f>
        <v>0</v>
      </c>
      <c r="AI178" s="545">
        <f ca="1">IF(AND($D178="Serviço",AI$12&lt;&gt;0,$H178&gt;0,OR(AUTOEVENTO&lt;&gt;"manual",$M178&lt;&gt;1)),
IF(Import.TipoArredondamento&lt;&gt;"TransfereGOV",
ROUND(OFFSET($P178,0,AI$13),15-13*ORÇAMENTO!$AF$7)/$H178*OFFSET(ORÇAMENTO!$X$15,ROW(AI178)-ROW(AI$15),0),
ROUND(ROUND(OFFSET($P178,0,AI$13),15-13*ORÇAMENTO!$AF$7)*OFFSET(ORÇAMENTO!$W$15,ROW(AI178)-ROW(AI$15),0),15-13*ORÇAMENTO!$AF$11)),0)</f>
        <v>0</v>
      </c>
      <c r="AJ178" s="545">
        <f ca="1">IF(AND($D178="Serviço",AJ$12&lt;&gt;0,$H178&gt;0,OR(AUTOEVENTO&lt;&gt;"manual",$M178&lt;&gt;1)),
IF(Import.TipoArredondamento&lt;&gt;"TransfereGOV",
ROUND(OFFSET($P178,0,AJ$13),15-13*ORÇAMENTO!$AF$7)/$H178*OFFSET(ORÇAMENTO!$X$15,ROW(AJ178)-ROW(AJ$15),0),
ROUND(ROUND(OFFSET($P178,0,AJ$13),15-13*ORÇAMENTO!$AF$7)*OFFSET(ORÇAMENTO!$W$15,ROW(AJ178)-ROW(AJ$15),0),15-13*ORÇAMENTO!$AF$11)),0)</f>
        <v>0</v>
      </c>
      <c r="AK178" s="546">
        <f ca="1">IF(AND($D178="Serviço",AK$12&lt;&gt;0,$H178&gt;0,OR(AUTOEVENTO&lt;&gt;"manual",$M178&lt;&gt;1)),
IF(Import.TipoArredondamento&lt;&gt;"TransfereGOV",
ROUND(OFFSET($P178,0,AK$13),15-13*ORÇAMENTO!$AF$7)/$H178*OFFSET(ORÇAMENTO!$X$15,ROW(AK178)-ROW(AK$15),0),
ROUND(ROUND(OFFSET($P178,0,AK$13),15-13*ORÇAMENTO!$AF$7)*OFFSET(ORÇAMENTO!$W$15,ROW(AK178)-ROW(AK$15),0),15-13*ORÇAMENTO!$AF$11)),0)</f>
        <v>0</v>
      </c>
      <c r="AM178" s="181">
        <f ca="1">IF($D178&lt;&gt;"Serviço",0,IF(AND(AUTOEVENTO="Manual",$M178=1),0,IF(OFFSET(CRONOPLE!$F$14,$M178,AM$13)="",10^12,OFFSET(CRONOPLE!$F$14,$M178,AM$13))))</f>
        <v>1000000000000</v>
      </c>
      <c r="AN178" s="181">
        <f ca="1">IF($D178&lt;&gt;"Serviço",0,IF(AND(AUTOEVENTO="Manual",$M178=1),0,IF(OFFSET(CRONOPLE!$F$14,$M178,AN$13)="",10^12,OFFSET(CRONOPLE!$F$14,$M178,AN$13))))</f>
        <v>1000000000000</v>
      </c>
      <c r="AO178" s="181">
        <f ca="1">IF($D178&lt;&gt;"Serviço",0,IF(AND(AUTOEVENTO="Manual",$M178=1),0,IF(OFFSET(CRONOPLE!$F$14,$M178,AO$13)="",10^12,OFFSET(CRONOPLE!$F$14,$M178,AO$13))))</f>
        <v>1000000000000</v>
      </c>
      <c r="AP178" s="181">
        <f ca="1">IF($D178&lt;&gt;"Serviço",0,IF(AND(AUTOEVENTO="Manual",$M178=1),0,IF(OFFSET(CRONOPLE!$F$14,$M178,AP$13)="",10^12,OFFSET(CRONOPLE!$F$14,$M178,AP$13))))</f>
        <v>1000000000000</v>
      </c>
      <c r="AQ178" s="181">
        <f ca="1">IF($D178&lt;&gt;"Serviço",0,IF(AND(AUTOEVENTO="Manual",$M178=1),0,IF(OFFSET(CRONOPLE!$F$14,$M178,AQ$13)="",10^12,OFFSET(CRONOPLE!$F$14,$M178,AQ$13))))</f>
        <v>1000000000000</v>
      </c>
      <c r="AR178" s="181">
        <f ca="1">IF($D178&lt;&gt;"Serviço",0,IF(AND(AUTOEVENTO="Manual",$M178=1),0,IF(OFFSET(CRONOPLE!$F$14,$M178,AR$13)="",10^12,OFFSET(CRONOPLE!$F$14,$M178,AR$13))))</f>
        <v>1000000000000</v>
      </c>
      <c r="AS178" s="181">
        <f ca="1">IF($D178&lt;&gt;"Serviço",0,IF(AND(AUTOEVENTO="Manual",$M178=1),0,IF(OFFSET(CRONOPLE!$F$14,$M178,AS$13)="",10^12,OFFSET(CRONOPLE!$F$14,$M178,AS$13))))</f>
        <v>1000000000000</v>
      </c>
      <c r="AT178" s="181">
        <f ca="1">IF($D178&lt;&gt;"Serviço",0,IF(AND(AUTOEVENTO="Manual",$M178=1),0,IF(OFFSET(CRONOPLE!$F$14,$M178,AT$13)="",10^12,OFFSET(CRONOPLE!$F$14,$M178,AT$13))))</f>
        <v>1000000000000</v>
      </c>
      <c r="AU178" s="181">
        <f ca="1">IF($D178&lt;&gt;"Serviço",0,IF(AND(AUTOEVENTO="Manual",$M178=1),0,IF(OFFSET(CRONOPLE!$F$14,$M178,AU$13)="",10^12,OFFSET(CRONOPLE!$F$14,$M178,AU$13))))</f>
        <v>1000000000000</v>
      </c>
      <c r="AV178" s="181">
        <f ca="1">IF($D178&lt;&gt;"Serviço",0,IF(AND(AUTOEVENTO="Manual",$M178=1),0,IF(OFFSET(CRONOPLE!$F$14,$M178,AV$13)="",10^12,OFFSET(CRONOPLE!$F$14,$M178,AV$13))))</f>
        <v>1000000000000</v>
      </c>
      <c r="AX178" s="182">
        <f ca="1">IF($D178&lt;&gt;"Serviço",0,IF(OR(AND(AUTOEVENTO="Manual",$M178=1),$M178&gt;(ROW(PLE.lastrow)-ROW(PLE.firstrow))),0,IF(OFFSET(PLE!$G$14,$M178,AX$13)="",10^12,OFFSET(PLE!$G$14,$M178,AX$13))))</f>
        <v>1000000000000</v>
      </c>
      <c r="AY178" s="182">
        <f ca="1">IF($D178&lt;&gt;"Serviço",0,IF(OR(AND(AUTOEVENTO="Manual",$M178=1),$M178&gt;(ROW(PLE.lastrow)-ROW(PLE.firstrow))),0,IF(OFFSET(PLE!$G$14,$M178,AY$13)="",10^12,OFFSET(PLE!$G$14,$M178,AY$13))))</f>
        <v>1000000000000</v>
      </c>
      <c r="AZ178" s="182">
        <f ca="1">IF($D178&lt;&gt;"Serviço",0,IF(OR(AND(AUTOEVENTO="Manual",$M178=1),$M178&gt;(ROW(PLE.lastrow)-ROW(PLE.firstrow))),0,IF(OFFSET(PLE!$G$14,$M178,AZ$13)="",10^12,OFFSET(PLE!$G$14,$M178,AZ$13))))</f>
        <v>1000000000000</v>
      </c>
      <c r="BA178" s="182">
        <f ca="1">IF($D178&lt;&gt;"Serviço",0,IF(OR(AND(AUTOEVENTO="Manual",$M178=1),$M178&gt;(ROW(PLE.lastrow)-ROW(PLE.firstrow))),0,IF(OFFSET(PLE!$G$14,$M178,BA$13)="",10^12,OFFSET(PLE!$G$14,$M178,BA$13))))</f>
        <v>1000000000000</v>
      </c>
      <c r="BB178" s="182">
        <f ca="1">IF($D178&lt;&gt;"Serviço",0,IF(OR(AND(AUTOEVENTO="Manual",$M178=1),$M178&gt;(ROW(PLE.lastrow)-ROW(PLE.firstrow))),0,IF(OFFSET(PLE!$G$14,$M178,BB$13)="",10^12,OFFSET(PLE!$G$14,$M178,BB$13))))</f>
        <v>1000000000000</v>
      </c>
      <c r="BC178" s="182">
        <f ca="1">IF($D178&lt;&gt;"Serviço",0,IF(OR(AND(AUTOEVENTO="Manual",$M178=1),$M178&gt;(ROW(PLE.lastrow)-ROW(PLE.firstrow))),0,IF(OFFSET(PLE!$G$14,$M178,BC$13)="",10^12,OFFSET(PLE!$G$14,$M178,BC$13))))</f>
        <v>1000000000000</v>
      </c>
      <c r="BD178" s="182">
        <f ca="1">IF($D178&lt;&gt;"Serviço",0,IF(OR(AND(AUTOEVENTO="Manual",$M178=1),$M178&gt;(ROW(PLE.lastrow)-ROW(PLE.firstrow))),0,IF(OFFSET(PLE!$G$14,$M178,BD$13)="",10^12,OFFSET(PLE!$G$14,$M178,BD$13))))</f>
        <v>1000000000000</v>
      </c>
      <c r="BE178" s="182">
        <f ca="1">IF($D178&lt;&gt;"Serviço",0,IF(OR(AND(AUTOEVENTO="Manual",$M178=1),$M178&gt;(ROW(PLE.lastrow)-ROW(PLE.firstrow))),0,IF(OFFSET(PLE!$G$14,$M178,BE$13)="",10^12,OFFSET(PLE!$G$14,$M178,BE$13))))</f>
        <v>1000000000000</v>
      </c>
      <c r="BF178" s="182">
        <f ca="1">IF($D178&lt;&gt;"Serviço",0,IF(OR(AND(AUTOEVENTO="Manual",$M178=1),$M178&gt;(ROW(PLE.lastrow)-ROW(PLE.firstrow))),0,IF(OFFSET(PLE!$G$14,$M178,BF$13)="",10^12,OFFSET(PLE!$G$14,$M178,BF$13))))</f>
        <v>1000000000000</v>
      </c>
      <c r="BG178" s="182">
        <f ca="1">IF($D178&lt;&gt;"Serviço",0,IF(OR(AND(AUTOEVENTO="Manual",$M178=1),$M178&gt;(ROW(PLE.lastrow)-ROW(PLE.firstrow))),0,IF(OFFSET(PLE!$G$14,$M178,BG$13)="",10^12,OFFSET(PLE!$G$14,$M178,BG$13))))</f>
        <v>1000000000000</v>
      </c>
    </row>
    <row r="179" spans="1:59" ht="38.25" x14ac:dyDescent="0.2">
      <c r="A179" s="7" t="str">
        <f t="shared" ca="1" si="10"/>
        <v>162</v>
      </c>
      <c r="B179" s="7" t="str">
        <f ca="1">OFFSET(ORÇAMENTO!C$15,ROW(B179)-ROW(B$15),0)</f>
        <v>S</v>
      </c>
      <c r="C179" s="7" t="str">
        <f ca="1">OFFSET(ORÇAMENTO!L$15,ROW(C179)-ROW(C$15),0)</f>
        <v/>
      </c>
      <c r="D179" s="118" t="str">
        <f ca="1">OFFSET(ORÇAMENTO!N$15,ROW(D179)-ROW(D$15),0)</f>
        <v>Serviço</v>
      </c>
      <c r="E179" s="119" t="str">
        <f ca="1">OFFSET(ORÇAMENTO!O$15,ROW(E179)-ROW(E$15),0)</f>
        <v>-</v>
      </c>
      <c r="F179" s="172" t="str">
        <f ca="1">OFFSET(ORÇAMENTO!R$15,ROW(F179)-ROW(F$15),0)</f>
        <v>(abra o arquivo 'Referência 02-2025.xlsm)</v>
      </c>
      <c r="G179" s="173" t="str">
        <f ca="1">IF($D179&lt;&gt;"Serviço","",OFFSET(ORÇAMENTO!S$15,ROW(G179)-ROW(G$15),0))</f>
        <v>-</v>
      </c>
      <c r="H179" s="124">
        <f ca="1">IF($D179&lt;&gt;"Serviço",0,IF(ACOMPANHAMENTO="BM",ROUND(OFFSET(ORÇAMENTO!AJ$15,ROW(H179)-ROW(H$15),0),15-13*ORÇAMENTO!$AF$7),SUMPRODUCT(($Q$12:$AA$12&lt;&gt;"")*ROUND($Q179:$AA179,15-13*ORÇAMENTO!$AF$7))))</f>
        <v>34.409999999999997</v>
      </c>
      <c r="I179" s="561" t="s">
        <v>890</v>
      </c>
      <c r="K179" s="174"/>
      <c r="L179" s="175" t="s">
        <v>255</v>
      </c>
      <c r="M179" s="176">
        <f ca="1">IF($D179&lt;&gt;"Serviço","",IF(AUTOEVENTO="manual",$A179,IF(ISERROR(MATCH($A179,$A$15:OFFSET($A179,-1,0),0)),MAX($M$15:OFFSET(M179,-1,0))+1,INDEX($M$15:OFFSET(M179,-1,0),MATCH($A179,$A$15:OFFSET($A179,-1,0),0)))))</f>
        <v>8</v>
      </c>
      <c r="N179" s="177" t="str">
        <f ca="1">IF($D179&lt;&gt;"Serviço","",IF(AUTOEVENTO="Manual",IF($A179=0,"&lt;-- defina o número do agrupador",OFFSET(EVENTOS!$D$14,$A179,0)),OFFSET($F$15,$A179,0)))</f>
        <v>SISTEMAS DE COBERTURA</v>
      </c>
      <c r="O179" s="178"/>
      <c r="Q179" s="178"/>
      <c r="R179" s="179"/>
      <c r="S179" s="179"/>
      <c r="T179" s="179"/>
      <c r="U179" s="179"/>
      <c r="V179" s="179"/>
      <c r="W179" s="179"/>
      <c r="X179" s="179"/>
      <c r="Y179" s="179"/>
      <c r="Z179" s="180"/>
      <c r="AB179" s="544">
        <f ca="1">IF(AND($D179="Serviço",AB$12&lt;&gt;0,$H179&gt;0,OR(AUTOEVENTO&lt;&gt;"manual",$M179&lt;&gt;1)),
IF(Import.TipoArredondamento&lt;&gt;"TransfereGOV",
ROUND(OFFSET($P179,0,AB$13),15-13*ORÇAMENTO!$AF$7)/$H179*OFFSET(ORÇAMENTO!$X$15,ROW(AB179)-ROW(AB$15),0),
ROUND(ROUND(OFFSET($P179,0,AB$13),15-13*ORÇAMENTO!$AF$7)*OFFSET(ORÇAMENTO!$W$15,ROW(AB179)-ROW(AB$15),0),15-13*ORÇAMENTO!$AF$11)),0)</f>
        <v>0</v>
      </c>
      <c r="AC179" s="545">
        <f ca="1">IF(AND($D179="Serviço",AC$12&lt;&gt;0,$H179&gt;0,OR(AUTOEVENTO&lt;&gt;"manual",$M179&lt;&gt;1)),
IF(Import.TipoArredondamento&lt;&gt;"TransfereGOV",
ROUND(OFFSET($P179,0,AC$13),15-13*ORÇAMENTO!$AF$7)/$H179*OFFSET(ORÇAMENTO!$X$15,ROW(AC179)-ROW(AC$15),0),
ROUND(ROUND(OFFSET($P179,0,AC$13),15-13*ORÇAMENTO!$AF$7)*OFFSET(ORÇAMENTO!$W$15,ROW(AC179)-ROW(AC$15),0),15-13*ORÇAMENTO!$AF$11)),0)</f>
        <v>0</v>
      </c>
      <c r="AD179" s="545">
        <f ca="1">IF(AND($D179="Serviço",AD$12&lt;&gt;0,$H179&gt;0,OR(AUTOEVENTO&lt;&gt;"manual",$M179&lt;&gt;1)),
IF(Import.TipoArredondamento&lt;&gt;"TransfereGOV",
ROUND(OFFSET($P179,0,AD$13),15-13*ORÇAMENTO!$AF$7)/$H179*OFFSET(ORÇAMENTO!$X$15,ROW(AD179)-ROW(AD$15),0),
ROUND(ROUND(OFFSET($P179,0,AD$13),15-13*ORÇAMENTO!$AF$7)*OFFSET(ORÇAMENTO!$W$15,ROW(AD179)-ROW(AD$15),0),15-13*ORÇAMENTO!$AF$11)),0)</f>
        <v>0</v>
      </c>
      <c r="AE179" s="545">
        <f ca="1">IF(AND($D179="Serviço",AE$12&lt;&gt;0,$H179&gt;0,OR(AUTOEVENTO&lt;&gt;"manual",$M179&lt;&gt;1)),
IF(Import.TipoArredondamento&lt;&gt;"TransfereGOV",
ROUND(OFFSET($P179,0,AE$13),15-13*ORÇAMENTO!$AF$7)/$H179*OFFSET(ORÇAMENTO!$X$15,ROW(AE179)-ROW(AE$15),0),
ROUND(ROUND(OFFSET($P179,0,AE$13),15-13*ORÇAMENTO!$AF$7)*OFFSET(ORÇAMENTO!$W$15,ROW(AE179)-ROW(AE$15),0),15-13*ORÇAMENTO!$AF$11)),0)</f>
        <v>0</v>
      </c>
      <c r="AF179" s="545">
        <f ca="1">IF(AND($D179="Serviço",AF$12&lt;&gt;0,$H179&gt;0,OR(AUTOEVENTO&lt;&gt;"manual",$M179&lt;&gt;1)),
IF(Import.TipoArredondamento&lt;&gt;"TransfereGOV",
ROUND(OFFSET($P179,0,AF$13),15-13*ORÇAMENTO!$AF$7)/$H179*OFFSET(ORÇAMENTO!$X$15,ROW(AF179)-ROW(AF$15),0),
ROUND(ROUND(OFFSET($P179,0,AF$13),15-13*ORÇAMENTO!$AF$7)*OFFSET(ORÇAMENTO!$W$15,ROW(AF179)-ROW(AF$15),0),15-13*ORÇAMENTO!$AF$11)),0)</f>
        <v>0</v>
      </c>
      <c r="AG179" s="545">
        <f ca="1">IF(AND($D179="Serviço",AG$12&lt;&gt;0,$H179&gt;0,OR(AUTOEVENTO&lt;&gt;"manual",$M179&lt;&gt;1)),
IF(Import.TipoArredondamento&lt;&gt;"TransfereGOV",
ROUND(OFFSET($P179,0,AG$13),15-13*ORÇAMENTO!$AF$7)/$H179*OFFSET(ORÇAMENTO!$X$15,ROW(AG179)-ROW(AG$15),0),
ROUND(ROUND(OFFSET($P179,0,AG$13),15-13*ORÇAMENTO!$AF$7)*OFFSET(ORÇAMENTO!$W$15,ROW(AG179)-ROW(AG$15),0),15-13*ORÇAMENTO!$AF$11)),0)</f>
        <v>0</v>
      </c>
      <c r="AH179" s="545">
        <f ca="1">IF(AND($D179="Serviço",AH$12&lt;&gt;0,$H179&gt;0,OR(AUTOEVENTO&lt;&gt;"manual",$M179&lt;&gt;1)),
IF(Import.TipoArredondamento&lt;&gt;"TransfereGOV",
ROUND(OFFSET($P179,0,AH$13),15-13*ORÇAMENTO!$AF$7)/$H179*OFFSET(ORÇAMENTO!$X$15,ROW(AH179)-ROW(AH$15),0),
ROUND(ROUND(OFFSET($P179,0,AH$13),15-13*ORÇAMENTO!$AF$7)*OFFSET(ORÇAMENTO!$W$15,ROW(AH179)-ROW(AH$15),0),15-13*ORÇAMENTO!$AF$11)),0)</f>
        <v>0</v>
      </c>
      <c r="AI179" s="545">
        <f ca="1">IF(AND($D179="Serviço",AI$12&lt;&gt;0,$H179&gt;0,OR(AUTOEVENTO&lt;&gt;"manual",$M179&lt;&gt;1)),
IF(Import.TipoArredondamento&lt;&gt;"TransfereGOV",
ROUND(OFFSET($P179,0,AI$13),15-13*ORÇAMENTO!$AF$7)/$H179*OFFSET(ORÇAMENTO!$X$15,ROW(AI179)-ROW(AI$15),0),
ROUND(ROUND(OFFSET($P179,0,AI$13),15-13*ORÇAMENTO!$AF$7)*OFFSET(ORÇAMENTO!$W$15,ROW(AI179)-ROW(AI$15),0),15-13*ORÇAMENTO!$AF$11)),0)</f>
        <v>0</v>
      </c>
      <c r="AJ179" s="545">
        <f ca="1">IF(AND($D179="Serviço",AJ$12&lt;&gt;0,$H179&gt;0,OR(AUTOEVENTO&lt;&gt;"manual",$M179&lt;&gt;1)),
IF(Import.TipoArredondamento&lt;&gt;"TransfereGOV",
ROUND(OFFSET($P179,0,AJ$13),15-13*ORÇAMENTO!$AF$7)/$H179*OFFSET(ORÇAMENTO!$X$15,ROW(AJ179)-ROW(AJ$15),0),
ROUND(ROUND(OFFSET($P179,0,AJ$13),15-13*ORÇAMENTO!$AF$7)*OFFSET(ORÇAMENTO!$W$15,ROW(AJ179)-ROW(AJ$15),0),15-13*ORÇAMENTO!$AF$11)),0)</f>
        <v>0</v>
      </c>
      <c r="AK179" s="546">
        <f ca="1">IF(AND($D179="Serviço",AK$12&lt;&gt;0,$H179&gt;0,OR(AUTOEVENTO&lt;&gt;"manual",$M179&lt;&gt;1)),
IF(Import.TipoArredondamento&lt;&gt;"TransfereGOV",
ROUND(OFFSET($P179,0,AK$13),15-13*ORÇAMENTO!$AF$7)/$H179*OFFSET(ORÇAMENTO!$X$15,ROW(AK179)-ROW(AK$15),0),
ROUND(ROUND(OFFSET($P179,0,AK$13),15-13*ORÇAMENTO!$AF$7)*OFFSET(ORÇAMENTO!$W$15,ROW(AK179)-ROW(AK$15),0),15-13*ORÇAMENTO!$AF$11)),0)</f>
        <v>0</v>
      </c>
      <c r="AM179" s="181">
        <f ca="1">IF($D179&lt;&gt;"Serviço",0,IF(AND(AUTOEVENTO="Manual",$M179=1),0,IF(OFFSET(CRONOPLE!$F$14,$M179,AM$13)="",10^12,OFFSET(CRONOPLE!$F$14,$M179,AM$13))))</f>
        <v>1000000000000</v>
      </c>
      <c r="AN179" s="181">
        <f ca="1">IF($D179&lt;&gt;"Serviço",0,IF(AND(AUTOEVENTO="Manual",$M179=1),0,IF(OFFSET(CRONOPLE!$F$14,$M179,AN$13)="",10^12,OFFSET(CRONOPLE!$F$14,$M179,AN$13))))</f>
        <v>1000000000000</v>
      </c>
      <c r="AO179" s="181">
        <f ca="1">IF($D179&lt;&gt;"Serviço",0,IF(AND(AUTOEVENTO="Manual",$M179=1),0,IF(OFFSET(CRONOPLE!$F$14,$M179,AO$13)="",10^12,OFFSET(CRONOPLE!$F$14,$M179,AO$13))))</f>
        <v>1000000000000</v>
      </c>
      <c r="AP179" s="181">
        <f ca="1">IF($D179&lt;&gt;"Serviço",0,IF(AND(AUTOEVENTO="Manual",$M179=1),0,IF(OFFSET(CRONOPLE!$F$14,$M179,AP$13)="",10^12,OFFSET(CRONOPLE!$F$14,$M179,AP$13))))</f>
        <v>1000000000000</v>
      </c>
      <c r="AQ179" s="181">
        <f ca="1">IF($D179&lt;&gt;"Serviço",0,IF(AND(AUTOEVENTO="Manual",$M179=1),0,IF(OFFSET(CRONOPLE!$F$14,$M179,AQ$13)="",10^12,OFFSET(CRONOPLE!$F$14,$M179,AQ$13))))</f>
        <v>1000000000000</v>
      </c>
      <c r="AR179" s="181">
        <f ca="1">IF($D179&lt;&gt;"Serviço",0,IF(AND(AUTOEVENTO="Manual",$M179=1),0,IF(OFFSET(CRONOPLE!$F$14,$M179,AR$13)="",10^12,OFFSET(CRONOPLE!$F$14,$M179,AR$13))))</f>
        <v>1000000000000</v>
      </c>
      <c r="AS179" s="181">
        <f ca="1">IF($D179&lt;&gt;"Serviço",0,IF(AND(AUTOEVENTO="Manual",$M179=1),0,IF(OFFSET(CRONOPLE!$F$14,$M179,AS$13)="",10^12,OFFSET(CRONOPLE!$F$14,$M179,AS$13))))</f>
        <v>1000000000000</v>
      </c>
      <c r="AT179" s="181">
        <f ca="1">IF($D179&lt;&gt;"Serviço",0,IF(AND(AUTOEVENTO="Manual",$M179=1),0,IF(OFFSET(CRONOPLE!$F$14,$M179,AT$13)="",10^12,OFFSET(CRONOPLE!$F$14,$M179,AT$13))))</f>
        <v>1000000000000</v>
      </c>
      <c r="AU179" s="181">
        <f ca="1">IF($D179&lt;&gt;"Serviço",0,IF(AND(AUTOEVENTO="Manual",$M179=1),0,IF(OFFSET(CRONOPLE!$F$14,$M179,AU$13)="",10^12,OFFSET(CRONOPLE!$F$14,$M179,AU$13))))</f>
        <v>1000000000000</v>
      </c>
      <c r="AV179" s="181">
        <f ca="1">IF($D179&lt;&gt;"Serviço",0,IF(AND(AUTOEVENTO="Manual",$M179=1),0,IF(OFFSET(CRONOPLE!$F$14,$M179,AV$13)="",10^12,OFFSET(CRONOPLE!$F$14,$M179,AV$13))))</f>
        <v>1000000000000</v>
      </c>
      <c r="AX179" s="182">
        <f ca="1">IF($D179&lt;&gt;"Serviço",0,IF(OR(AND(AUTOEVENTO="Manual",$M179=1),$M179&gt;(ROW(PLE.lastrow)-ROW(PLE.firstrow))),0,IF(OFFSET(PLE!$G$14,$M179,AX$13)="",10^12,OFFSET(PLE!$G$14,$M179,AX$13))))</f>
        <v>1000000000000</v>
      </c>
      <c r="AY179" s="182">
        <f ca="1">IF($D179&lt;&gt;"Serviço",0,IF(OR(AND(AUTOEVENTO="Manual",$M179=1),$M179&gt;(ROW(PLE.lastrow)-ROW(PLE.firstrow))),0,IF(OFFSET(PLE!$G$14,$M179,AY$13)="",10^12,OFFSET(PLE!$G$14,$M179,AY$13))))</f>
        <v>1000000000000</v>
      </c>
      <c r="AZ179" s="182">
        <f ca="1">IF($D179&lt;&gt;"Serviço",0,IF(OR(AND(AUTOEVENTO="Manual",$M179=1),$M179&gt;(ROW(PLE.lastrow)-ROW(PLE.firstrow))),0,IF(OFFSET(PLE!$G$14,$M179,AZ$13)="",10^12,OFFSET(PLE!$G$14,$M179,AZ$13))))</f>
        <v>1000000000000</v>
      </c>
      <c r="BA179" s="182">
        <f ca="1">IF($D179&lt;&gt;"Serviço",0,IF(OR(AND(AUTOEVENTO="Manual",$M179=1),$M179&gt;(ROW(PLE.lastrow)-ROW(PLE.firstrow))),0,IF(OFFSET(PLE!$G$14,$M179,BA$13)="",10^12,OFFSET(PLE!$G$14,$M179,BA$13))))</f>
        <v>1000000000000</v>
      </c>
      <c r="BB179" s="182">
        <f ca="1">IF($D179&lt;&gt;"Serviço",0,IF(OR(AND(AUTOEVENTO="Manual",$M179=1),$M179&gt;(ROW(PLE.lastrow)-ROW(PLE.firstrow))),0,IF(OFFSET(PLE!$G$14,$M179,BB$13)="",10^12,OFFSET(PLE!$G$14,$M179,BB$13))))</f>
        <v>1000000000000</v>
      </c>
      <c r="BC179" s="182">
        <f ca="1">IF($D179&lt;&gt;"Serviço",0,IF(OR(AND(AUTOEVENTO="Manual",$M179=1),$M179&gt;(ROW(PLE.lastrow)-ROW(PLE.firstrow))),0,IF(OFFSET(PLE!$G$14,$M179,BC$13)="",10^12,OFFSET(PLE!$G$14,$M179,BC$13))))</f>
        <v>1000000000000</v>
      </c>
      <c r="BD179" s="182">
        <f ca="1">IF($D179&lt;&gt;"Serviço",0,IF(OR(AND(AUTOEVENTO="Manual",$M179=1),$M179&gt;(ROW(PLE.lastrow)-ROW(PLE.firstrow))),0,IF(OFFSET(PLE!$G$14,$M179,BD$13)="",10^12,OFFSET(PLE!$G$14,$M179,BD$13))))</f>
        <v>1000000000000</v>
      </c>
      <c r="BE179" s="182">
        <f ca="1">IF($D179&lt;&gt;"Serviço",0,IF(OR(AND(AUTOEVENTO="Manual",$M179=1),$M179&gt;(ROW(PLE.lastrow)-ROW(PLE.firstrow))),0,IF(OFFSET(PLE!$G$14,$M179,BE$13)="",10^12,OFFSET(PLE!$G$14,$M179,BE$13))))</f>
        <v>1000000000000</v>
      </c>
      <c r="BF179" s="182">
        <f ca="1">IF($D179&lt;&gt;"Serviço",0,IF(OR(AND(AUTOEVENTO="Manual",$M179=1),$M179&gt;(ROW(PLE.lastrow)-ROW(PLE.firstrow))),0,IF(OFFSET(PLE!$G$14,$M179,BF$13)="",10^12,OFFSET(PLE!$G$14,$M179,BF$13))))</f>
        <v>1000000000000</v>
      </c>
      <c r="BG179" s="182">
        <f ca="1">IF($D179&lt;&gt;"Serviço",0,IF(OR(AND(AUTOEVENTO="Manual",$M179=1),$M179&gt;(ROW(PLE.lastrow)-ROW(PLE.firstrow))),0,IF(OFFSET(PLE!$G$14,$M179,BG$13)="",10^12,OFFSET(PLE!$G$14,$M179,BG$13))))</f>
        <v>1000000000000</v>
      </c>
    </row>
    <row r="180" spans="1:59" ht="38.25" x14ac:dyDescent="0.2">
      <c r="A180" s="7" t="str">
        <f t="shared" ca="1" si="10"/>
        <v>162</v>
      </c>
      <c r="B180" s="7" t="str">
        <f ca="1">OFFSET(ORÇAMENTO!C$15,ROW(B180)-ROW(B$15),0)</f>
        <v>S</v>
      </c>
      <c r="C180" s="7" t="str">
        <f ca="1">OFFSET(ORÇAMENTO!L$15,ROW(C180)-ROW(C$15),0)</f>
        <v/>
      </c>
      <c r="D180" s="118" t="str">
        <f ca="1">OFFSET(ORÇAMENTO!N$15,ROW(D180)-ROW(D$15),0)</f>
        <v>Serviço</v>
      </c>
      <c r="E180" s="119" t="str">
        <f ca="1">OFFSET(ORÇAMENTO!O$15,ROW(E180)-ROW(E$15),0)</f>
        <v>-</v>
      </c>
      <c r="F180" s="172" t="str">
        <f ca="1">OFFSET(ORÇAMENTO!R$15,ROW(F180)-ROW(F$15),0)</f>
        <v>(abra o arquivo 'Referência 02-2025.xlsm)</v>
      </c>
      <c r="G180" s="173" t="str">
        <f ca="1">IF($D180&lt;&gt;"Serviço","",OFFSET(ORÇAMENTO!S$15,ROW(G180)-ROW(G$15),0))</f>
        <v>-</v>
      </c>
      <c r="H180" s="124">
        <f ca="1">IF($D180&lt;&gt;"Serviço",0,IF(ACOMPANHAMENTO="BM",ROUND(OFFSET(ORÇAMENTO!AJ$15,ROW(H180)-ROW(H$15),0),15-13*ORÇAMENTO!$AF$7),SUMPRODUCT(($Q$12:$AA$12&lt;&gt;"")*ROUND($Q180:$AA180,15-13*ORÇAMENTO!$AF$7))))</f>
        <v>154.5</v>
      </c>
      <c r="I180" s="561" t="s">
        <v>890</v>
      </c>
      <c r="K180" s="174"/>
      <c r="L180" s="175" t="s">
        <v>255</v>
      </c>
      <c r="M180" s="176">
        <f ca="1">IF($D180&lt;&gt;"Serviço","",IF(AUTOEVENTO="manual",$A180,IF(ISERROR(MATCH($A180,$A$15:OFFSET($A180,-1,0),0)),MAX($M$15:OFFSET(M180,-1,0))+1,INDEX($M$15:OFFSET(M180,-1,0),MATCH($A180,$A$15:OFFSET($A180,-1,0),0)))))</f>
        <v>8</v>
      </c>
      <c r="N180" s="177" t="str">
        <f ca="1">IF($D180&lt;&gt;"Serviço","",IF(AUTOEVENTO="Manual",IF($A180=0,"&lt;-- defina o número do agrupador",OFFSET(EVENTOS!$D$14,$A180,0)),OFFSET($F$15,$A180,0)))</f>
        <v>SISTEMAS DE COBERTURA</v>
      </c>
      <c r="O180" s="178"/>
      <c r="Q180" s="178"/>
      <c r="R180" s="179"/>
      <c r="S180" s="179"/>
      <c r="T180" s="179"/>
      <c r="U180" s="179"/>
      <c r="V180" s="179"/>
      <c r="W180" s="179"/>
      <c r="X180" s="179"/>
      <c r="Y180" s="179"/>
      <c r="Z180" s="180"/>
      <c r="AB180" s="544">
        <f ca="1">IF(AND($D180="Serviço",AB$12&lt;&gt;0,$H180&gt;0,OR(AUTOEVENTO&lt;&gt;"manual",$M180&lt;&gt;1)),
IF(Import.TipoArredondamento&lt;&gt;"TransfereGOV",
ROUND(OFFSET($P180,0,AB$13),15-13*ORÇAMENTO!$AF$7)/$H180*OFFSET(ORÇAMENTO!$X$15,ROW(AB180)-ROW(AB$15),0),
ROUND(ROUND(OFFSET($P180,0,AB$13),15-13*ORÇAMENTO!$AF$7)*OFFSET(ORÇAMENTO!$W$15,ROW(AB180)-ROW(AB$15),0),15-13*ORÇAMENTO!$AF$11)),0)</f>
        <v>0</v>
      </c>
      <c r="AC180" s="545">
        <f ca="1">IF(AND($D180="Serviço",AC$12&lt;&gt;0,$H180&gt;0,OR(AUTOEVENTO&lt;&gt;"manual",$M180&lt;&gt;1)),
IF(Import.TipoArredondamento&lt;&gt;"TransfereGOV",
ROUND(OFFSET($P180,0,AC$13),15-13*ORÇAMENTO!$AF$7)/$H180*OFFSET(ORÇAMENTO!$X$15,ROW(AC180)-ROW(AC$15),0),
ROUND(ROUND(OFFSET($P180,0,AC$13),15-13*ORÇAMENTO!$AF$7)*OFFSET(ORÇAMENTO!$W$15,ROW(AC180)-ROW(AC$15),0),15-13*ORÇAMENTO!$AF$11)),0)</f>
        <v>0</v>
      </c>
      <c r="AD180" s="545">
        <f ca="1">IF(AND($D180="Serviço",AD$12&lt;&gt;0,$H180&gt;0,OR(AUTOEVENTO&lt;&gt;"manual",$M180&lt;&gt;1)),
IF(Import.TipoArredondamento&lt;&gt;"TransfereGOV",
ROUND(OFFSET($P180,0,AD$13),15-13*ORÇAMENTO!$AF$7)/$H180*OFFSET(ORÇAMENTO!$X$15,ROW(AD180)-ROW(AD$15),0),
ROUND(ROUND(OFFSET($P180,0,AD$13),15-13*ORÇAMENTO!$AF$7)*OFFSET(ORÇAMENTO!$W$15,ROW(AD180)-ROW(AD$15),0),15-13*ORÇAMENTO!$AF$11)),0)</f>
        <v>0</v>
      </c>
      <c r="AE180" s="545">
        <f ca="1">IF(AND($D180="Serviço",AE$12&lt;&gt;0,$H180&gt;0,OR(AUTOEVENTO&lt;&gt;"manual",$M180&lt;&gt;1)),
IF(Import.TipoArredondamento&lt;&gt;"TransfereGOV",
ROUND(OFFSET($P180,0,AE$13),15-13*ORÇAMENTO!$AF$7)/$H180*OFFSET(ORÇAMENTO!$X$15,ROW(AE180)-ROW(AE$15),0),
ROUND(ROUND(OFFSET($P180,0,AE$13),15-13*ORÇAMENTO!$AF$7)*OFFSET(ORÇAMENTO!$W$15,ROW(AE180)-ROW(AE$15),0),15-13*ORÇAMENTO!$AF$11)),0)</f>
        <v>0</v>
      </c>
      <c r="AF180" s="545">
        <f ca="1">IF(AND($D180="Serviço",AF$12&lt;&gt;0,$H180&gt;0,OR(AUTOEVENTO&lt;&gt;"manual",$M180&lt;&gt;1)),
IF(Import.TipoArredondamento&lt;&gt;"TransfereGOV",
ROUND(OFFSET($P180,0,AF$13),15-13*ORÇAMENTO!$AF$7)/$H180*OFFSET(ORÇAMENTO!$X$15,ROW(AF180)-ROW(AF$15),0),
ROUND(ROUND(OFFSET($P180,0,AF$13),15-13*ORÇAMENTO!$AF$7)*OFFSET(ORÇAMENTO!$W$15,ROW(AF180)-ROW(AF$15),0),15-13*ORÇAMENTO!$AF$11)),0)</f>
        <v>0</v>
      </c>
      <c r="AG180" s="545">
        <f ca="1">IF(AND($D180="Serviço",AG$12&lt;&gt;0,$H180&gt;0,OR(AUTOEVENTO&lt;&gt;"manual",$M180&lt;&gt;1)),
IF(Import.TipoArredondamento&lt;&gt;"TransfereGOV",
ROUND(OFFSET($P180,0,AG$13),15-13*ORÇAMENTO!$AF$7)/$H180*OFFSET(ORÇAMENTO!$X$15,ROW(AG180)-ROW(AG$15),0),
ROUND(ROUND(OFFSET($P180,0,AG$13),15-13*ORÇAMENTO!$AF$7)*OFFSET(ORÇAMENTO!$W$15,ROW(AG180)-ROW(AG$15),0),15-13*ORÇAMENTO!$AF$11)),0)</f>
        <v>0</v>
      </c>
      <c r="AH180" s="545">
        <f ca="1">IF(AND($D180="Serviço",AH$12&lt;&gt;0,$H180&gt;0,OR(AUTOEVENTO&lt;&gt;"manual",$M180&lt;&gt;1)),
IF(Import.TipoArredondamento&lt;&gt;"TransfereGOV",
ROUND(OFFSET($P180,0,AH$13),15-13*ORÇAMENTO!$AF$7)/$H180*OFFSET(ORÇAMENTO!$X$15,ROW(AH180)-ROW(AH$15),0),
ROUND(ROUND(OFFSET($P180,0,AH$13),15-13*ORÇAMENTO!$AF$7)*OFFSET(ORÇAMENTO!$W$15,ROW(AH180)-ROW(AH$15),0),15-13*ORÇAMENTO!$AF$11)),0)</f>
        <v>0</v>
      </c>
      <c r="AI180" s="545">
        <f ca="1">IF(AND($D180="Serviço",AI$12&lt;&gt;0,$H180&gt;0,OR(AUTOEVENTO&lt;&gt;"manual",$M180&lt;&gt;1)),
IF(Import.TipoArredondamento&lt;&gt;"TransfereGOV",
ROUND(OFFSET($P180,0,AI$13),15-13*ORÇAMENTO!$AF$7)/$H180*OFFSET(ORÇAMENTO!$X$15,ROW(AI180)-ROW(AI$15),0),
ROUND(ROUND(OFFSET($P180,0,AI$13),15-13*ORÇAMENTO!$AF$7)*OFFSET(ORÇAMENTO!$W$15,ROW(AI180)-ROW(AI$15),0),15-13*ORÇAMENTO!$AF$11)),0)</f>
        <v>0</v>
      </c>
      <c r="AJ180" s="545">
        <f ca="1">IF(AND($D180="Serviço",AJ$12&lt;&gt;0,$H180&gt;0,OR(AUTOEVENTO&lt;&gt;"manual",$M180&lt;&gt;1)),
IF(Import.TipoArredondamento&lt;&gt;"TransfereGOV",
ROUND(OFFSET($P180,0,AJ$13),15-13*ORÇAMENTO!$AF$7)/$H180*OFFSET(ORÇAMENTO!$X$15,ROW(AJ180)-ROW(AJ$15),0),
ROUND(ROUND(OFFSET($P180,0,AJ$13),15-13*ORÇAMENTO!$AF$7)*OFFSET(ORÇAMENTO!$W$15,ROW(AJ180)-ROW(AJ$15),0),15-13*ORÇAMENTO!$AF$11)),0)</f>
        <v>0</v>
      </c>
      <c r="AK180" s="546">
        <f ca="1">IF(AND($D180="Serviço",AK$12&lt;&gt;0,$H180&gt;0,OR(AUTOEVENTO&lt;&gt;"manual",$M180&lt;&gt;1)),
IF(Import.TipoArredondamento&lt;&gt;"TransfereGOV",
ROUND(OFFSET($P180,0,AK$13),15-13*ORÇAMENTO!$AF$7)/$H180*OFFSET(ORÇAMENTO!$X$15,ROW(AK180)-ROW(AK$15),0),
ROUND(ROUND(OFFSET($P180,0,AK$13),15-13*ORÇAMENTO!$AF$7)*OFFSET(ORÇAMENTO!$W$15,ROW(AK180)-ROW(AK$15),0),15-13*ORÇAMENTO!$AF$11)),0)</f>
        <v>0</v>
      </c>
      <c r="AM180" s="181">
        <f ca="1">IF($D180&lt;&gt;"Serviço",0,IF(AND(AUTOEVENTO="Manual",$M180=1),0,IF(OFFSET(CRONOPLE!$F$14,$M180,AM$13)="",10^12,OFFSET(CRONOPLE!$F$14,$M180,AM$13))))</f>
        <v>1000000000000</v>
      </c>
      <c r="AN180" s="181">
        <f ca="1">IF($D180&lt;&gt;"Serviço",0,IF(AND(AUTOEVENTO="Manual",$M180=1),0,IF(OFFSET(CRONOPLE!$F$14,$M180,AN$13)="",10^12,OFFSET(CRONOPLE!$F$14,$M180,AN$13))))</f>
        <v>1000000000000</v>
      </c>
      <c r="AO180" s="181">
        <f ca="1">IF($D180&lt;&gt;"Serviço",0,IF(AND(AUTOEVENTO="Manual",$M180=1),0,IF(OFFSET(CRONOPLE!$F$14,$M180,AO$13)="",10^12,OFFSET(CRONOPLE!$F$14,$M180,AO$13))))</f>
        <v>1000000000000</v>
      </c>
      <c r="AP180" s="181">
        <f ca="1">IF($D180&lt;&gt;"Serviço",0,IF(AND(AUTOEVENTO="Manual",$M180=1),0,IF(OFFSET(CRONOPLE!$F$14,$M180,AP$13)="",10^12,OFFSET(CRONOPLE!$F$14,$M180,AP$13))))</f>
        <v>1000000000000</v>
      </c>
      <c r="AQ180" s="181">
        <f ca="1">IF($D180&lt;&gt;"Serviço",0,IF(AND(AUTOEVENTO="Manual",$M180=1),0,IF(OFFSET(CRONOPLE!$F$14,$M180,AQ$13)="",10^12,OFFSET(CRONOPLE!$F$14,$M180,AQ$13))))</f>
        <v>1000000000000</v>
      </c>
      <c r="AR180" s="181">
        <f ca="1">IF($D180&lt;&gt;"Serviço",0,IF(AND(AUTOEVENTO="Manual",$M180=1),0,IF(OFFSET(CRONOPLE!$F$14,$M180,AR$13)="",10^12,OFFSET(CRONOPLE!$F$14,$M180,AR$13))))</f>
        <v>1000000000000</v>
      </c>
      <c r="AS180" s="181">
        <f ca="1">IF($D180&lt;&gt;"Serviço",0,IF(AND(AUTOEVENTO="Manual",$M180=1),0,IF(OFFSET(CRONOPLE!$F$14,$M180,AS$13)="",10^12,OFFSET(CRONOPLE!$F$14,$M180,AS$13))))</f>
        <v>1000000000000</v>
      </c>
      <c r="AT180" s="181">
        <f ca="1">IF($D180&lt;&gt;"Serviço",0,IF(AND(AUTOEVENTO="Manual",$M180=1),0,IF(OFFSET(CRONOPLE!$F$14,$M180,AT$13)="",10^12,OFFSET(CRONOPLE!$F$14,$M180,AT$13))))</f>
        <v>1000000000000</v>
      </c>
      <c r="AU180" s="181">
        <f ca="1">IF($D180&lt;&gt;"Serviço",0,IF(AND(AUTOEVENTO="Manual",$M180=1),0,IF(OFFSET(CRONOPLE!$F$14,$M180,AU$13)="",10^12,OFFSET(CRONOPLE!$F$14,$M180,AU$13))))</f>
        <v>1000000000000</v>
      </c>
      <c r="AV180" s="181">
        <f ca="1">IF($D180&lt;&gt;"Serviço",0,IF(AND(AUTOEVENTO="Manual",$M180=1),0,IF(OFFSET(CRONOPLE!$F$14,$M180,AV$13)="",10^12,OFFSET(CRONOPLE!$F$14,$M180,AV$13))))</f>
        <v>1000000000000</v>
      </c>
      <c r="AX180" s="182">
        <f ca="1">IF($D180&lt;&gt;"Serviço",0,IF(OR(AND(AUTOEVENTO="Manual",$M180=1),$M180&gt;(ROW(PLE.lastrow)-ROW(PLE.firstrow))),0,IF(OFFSET(PLE!$G$14,$M180,AX$13)="",10^12,OFFSET(PLE!$G$14,$M180,AX$13))))</f>
        <v>1000000000000</v>
      </c>
      <c r="AY180" s="182">
        <f ca="1">IF($D180&lt;&gt;"Serviço",0,IF(OR(AND(AUTOEVENTO="Manual",$M180=1),$M180&gt;(ROW(PLE.lastrow)-ROW(PLE.firstrow))),0,IF(OFFSET(PLE!$G$14,$M180,AY$13)="",10^12,OFFSET(PLE!$G$14,$M180,AY$13))))</f>
        <v>1000000000000</v>
      </c>
      <c r="AZ180" s="182">
        <f ca="1">IF($D180&lt;&gt;"Serviço",0,IF(OR(AND(AUTOEVENTO="Manual",$M180=1),$M180&gt;(ROW(PLE.lastrow)-ROW(PLE.firstrow))),0,IF(OFFSET(PLE!$G$14,$M180,AZ$13)="",10^12,OFFSET(PLE!$G$14,$M180,AZ$13))))</f>
        <v>1000000000000</v>
      </c>
      <c r="BA180" s="182">
        <f ca="1">IF($D180&lt;&gt;"Serviço",0,IF(OR(AND(AUTOEVENTO="Manual",$M180=1),$M180&gt;(ROW(PLE.lastrow)-ROW(PLE.firstrow))),0,IF(OFFSET(PLE!$G$14,$M180,BA$13)="",10^12,OFFSET(PLE!$G$14,$M180,BA$13))))</f>
        <v>1000000000000</v>
      </c>
      <c r="BB180" s="182">
        <f ca="1">IF($D180&lt;&gt;"Serviço",0,IF(OR(AND(AUTOEVENTO="Manual",$M180=1),$M180&gt;(ROW(PLE.lastrow)-ROW(PLE.firstrow))),0,IF(OFFSET(PLE!$G$14,$M180,BB$13)="",10^12,OFFSET(PLE!$G$14,$M180,BB$13))))</f>
        <v>1000000000000</v>
      </c>
      <c r="BC180" s="182">
        <f ca="1">IF($D180&lt;&gt;"Serviço",0,IF(OR(AND(AUTOEVENTO="Manual",$M180=1),$M180&gt;(ROW(PLE.lastrow)-ROW(PLE.firstrow))),0,IF(OFFSET(PLE!$G$14,$M180,BC$13)="",10^12,OFFSET(PLE!$G$14,$M180,BC$13))))</f>
        <v>1000000000000</v>
      </c>
      <c r="BD180" s="182">
        <f ca="1">IF($D180&lt;&gt;"Serviço",0,IF(OR(AND(AUTOEVENTO="Manual",$M180=1),$M180&gt;(ROW(PLE.lastrow)-ROW(PLE.firstrow))),0,IF(OFFSET(PLE!$G$14,$M180,BD$13)="",10^12,OFFSET(PLE!$G$14,$M180,BD$13))))</f>
        <v>1000000000000</v>
      </c>
      <c r="BE180" s="182">
        <f ca="1">IF($D180&lt;&gt;"Serviço",0,IF(OR(AND(AUTOEVENTO="Manual",$M180=1),$M180&gt;(ROW(PLE.lastrow)-ROW(PLE.firstrow))),0,IF(OFFSET(PLE!$G$14,$M180,BE$13)="",10^12,OFFSET(PLE!$G$14,$M180,BE$13))))</f>
        <v>1000000000000</v>
      </c>
      <c r="BF180" s="182">
        <f ca="1">IF($D180&lt;&gt;"Serviço",0,IF(OR(AND(AUTOEVENTO="Manual",$M180=1),$M180&gt;(ROW(PLE.lastrow)-ROW(PLE.firstrow))),0,IF(OFFSET(PLE!$G$14,$M180,BF$13)="",10^12,OFFSET(PLE!$G$14,$M180,BF$13))))</f>
        <v>1000000000000</v>
      </c>
      <c r="BG180" s="182">
        <f ca="1">IF($D180&lt;&gt;"Serviço",0,IF(OR(AND(AUTOEVENTO="Manual",$M180=1),$M180&gt;(ROW(PLE.lastrow)-ROW(PLE.firstrow))),0,IF(OFFSET(PLE!$G$14,$M180,BG$13)="",10^12,OFFSET(PLE!$G$14,$M180,BG$13))))</f>
        <v>1000000000000</v>
      </c>
    </row>
    <row r="181" spans="1:59" ht="25.5" x14ac:dyDescent="0.2">
      <c r="A181" s="7" t="str">
        <f t="shared" ca="1" si="10"/>
        <v>162</v>
      </c>
      <c r="B181" s="7" t="str">
        <f ca="1">OFFSET(ORÇAMENTO!C$15,ROW(B181)-ROW(B$15),0)</f>
        <v>S</v>
      </c>
      <c r="C181" s="7" t="str">
        <f ca="1">OFFSET(ORÇAMENTO!L$15,ROW(C181)-ROW(C$15),0)</f>
        <v/>
      </c>
      <c r="D181" s="118" t="str">
        <f ca="1">OFFSET(ORÇAMENTO!N$15,ROW(D181)-ROW(D$15),0)</f>
        <v>Serviço</v>
      </c>
      <c r="E181" s="119" t="str">
        <f ca="1">OFFSET(ORÇAMENTO!O$15,ROW(E181)-ROW(E$15),0)</f>
        <v>-</v>
      </c>
      <c r="F181" s="172" t="str">
        <f ca="1">OFFSET(ORÇAMENTO!R$15,ROW(F181)-ROW(F$15),0)</f>
        <v>(abra o arquivo 'Referência 02-2025.xlsm)</v>
      </c>
      <c r="G181" s="173" t="str">
        <f ca="1">IF($D181&lt;&gt;"Serviço","",OFFSET(ORÇAMENTO!S$15,ROW(G181)-ROW(G$15),0))</f>
        <v>-</v>
      </c>
      <c r="H181" s="124">
        <f ca="1">IF($D181&lt;&gt;"Serviço",0,IF(ACOMPANHAMENTO="BM",ROUND(OFFSET(ORÇAMENTO!AJ$15,ROW(H181)-ROW(H$15),0),15-13*ORÇAMENTO!$AF$7),SUMPRODUCT(($Q$12:$AA$12&lt;&gt;"")*ROUND($Q181:$AA181,15-13*ORÇAMENTO!$AF$7))))</f>
        <v>86.02</v>
      </c>
      <c r="I181" s="561" t="s">
        <v>890</v>
      </c>
      <c r="K181" s="174"/>
      <c r="L181" s="175" t="s">
        <v>255</v>
      </c>
      <c r="M181" s="176">
        <f ca="1">IF($D181&lt;&gt;"Serviço","",IF(AUTOEVENTO="manual",$A181,IF(ISERROR(MATCH($A181,$A$15:OFFSET($A181,-1,0),0)),MAX($M$15:OFFSET(M181,-1,0))+1,INDEX($M$15:OFFSET(M181,-1,0),MATCH($A181,$A$15:OFFSET($A181,-1,0),0)))))</f>
        <v>8</v>
      </c>
      <c r="N181" s="177" t="str">
        <f ca="1">IF($D181&lt;&gt;"Serviço","",IF(AUTOEVENTO="Manual",IF($A181=0,"&lt;-- defina o número do agrupador",OFFSET(EVENTOS!$D$14,$A181,0)),OFFSET($F$15,$A181,0)))</f>
        <v>SISTEMAS DE COBERTURA</v>
      </c>
      <c r="O181" s="178"/>
      <c r="Q181" s="178"/>
      <c r="R181" s="179"/>
      <c r="S181" s="179"/>
      <c r="T181" s="179"/>
      <c r="U181" s="179"/>
      <c r="V181" s="179"/>
      <c r="W181" s="179"/>
      <c r="X181" s="179"/>
      <c r="Y181" s="179"/>
      <c r="Z181" s="180"/>
      <c r="AB181" s="544">
        <f ca="1">IF(AND($D181="Serviço",AB$12&lt;&gt;0,$H181&gt;0,OR(AUTOEVENTO&lt;&gt;"manual",$M181&lt;&gt;1)),
IF(Import.TipoArredondamento&lt;&gt;"TransfereGOV",
ROUND(OFFSET($P181,0,AB$13),15-13*ORÇAMENTO!$AF$7)/$H181*OFFSET(ORÇAMENTO!$X$15,ROW(AB181)-ROW(AB$15),0),
ROUND(ROUND(OFFSET($P181,0,AB$13),15-13*ORÇAMENTO!$AF$7)*OFFSET(ORÇAMENTO!$W$15,ROW(AB181)-ROW(AB$15),0),15-13*ORÇAMENTO!$AF$11)),0)</f>
        <v>0</v>
      </c>
      <c r="AC181" s="545">
        <f ca="1">IF(AND($D181="Serviço",AC$12&lt;&gt;0,$H181&gt;0,OR(AUTOEVENTO&lt;&gt;"manual",$M181&lt;&gt;1)),
IF(Import.TipoArredondamento&lt;&gt;"TransfereGOV",
ROUND(OFFSET($P181,0,AC$13),15-13*ORÇAMENTO!$AF$7)/$H181*OFFSET(ORÇAMENTO!$X$15,ROW(AC181)-ROW(AC$15),0),
ROUND(ROUND(OFFSET($P181,0,AC$13),15-13*ORÇAMENTO!$AF$7)*OFFSET(ORÇAMENTO!$W$15,ROW(AC181)-ROW(AC$15),0),15-13*ORÇAMENTO!$AF$11)),0)</f>
        <v>0</v>
      </c>
      <c r="AD181" s="545">
        <f ca="1">IF(AND($D181="Serviço",AD$12&lt;&gt;0,$H181&gt;0,OR(AUTOEVENTO&lt;&gt;"manual",$M181&lt;&gt;1)),
IF(Import.TipoArredondamento&lt;&gt;"TransfereGOV",
ROUND(OFFSET($P181,0,AD$13),15-13*ORÇAMENTO!$AF$7)/$H181*OFFSET(ORÇAMENTO!$X$15,ROW(AD181)-ROW(AD$15),0),
ROUND(ROUND(OFFSET($P181,0,AD$13),15-13*ORÇAMENTO!$AF$7)*OFFSET(ORÇAMENTO!$W$15,ROW(AD181)-ROW(AD$15),0),15-13*ORÇAMENTO!$AF$11)),0)</f>
        <v>0</v>
      </c>
      <c r="AE181" s="545">
        <f ca="1">IF(AND($D181="Serviço",AE$12&lt;&gt;0,$H181&gt;0,OR(AUTOEVENTO&lt;&gt;"manual",$M181&lt;&gt;1)),
IF(Import.TipoArredondamento&lt;&gt;"TransfereGOV",
ROUND(OFFSET($P181,0,AE$13),15-13*ORÇAMENTO!$AF$7)/$H181*OFFSET(ORÇAMENTO!$X$15,ROW(AE181)-ROW(AE$15),0),
ROUND(ROUND(OFFSET($P181,0,AE$13),15-13*ORÇAMENTO!$AF$7)*OFFSET(ORÇAMENTO!$W$15,ROW(AE181)-ROW(AE$15),0),15-13*ORÇAMENTO!$AF$11)),0)</f>
        <v>0</v>
      </c>
      <c r="AF181" s="545">
        <f ca="1">IF(AND($D181="Serviço",AF$12&lt;&gt;0,$H181&gt;0,OR(AUTOEVENTO&lt;&gt;"manual",$M181&lt;&gt;1)),
IF(Import.TipoArredondamento&lt;&gt;"TransfereGOV",
ROUND(OFFSET($P181,0,AF$13),15-13*ORÇAMENTO!$AF$7)/$H181*OFFSET(ORÇAMENTO!$X$15,ROW(AF181)-ROW(AF$15),0),
ROUND(ROUND(OFFSET($P181,0,AF$13),15-13*ORÇAMENTO!$AF$7)*OFFSET(ORÇAMENTO!$W$15,ROW(AF181)-ROW(AF$15),0),15-13*ORÇAMENTO!$AF$11)),0)</f>
        <v>0</v>
      </c>
      <c r="AG181" s="545">
        <f ca="1">IF(AND($D181="Serviço",AG$12&lt;&gt;0,$H181&gt;0,OR(AUTOEVENTO&lt;&gt;"manual",$M181&lt;&gt;1)),
IF(Import.TipoArredondamento&lt;&gt;"TransfereGOV",
ROUND(OFFSET($P181,0,AG$13),15-13*ORÇAMENTO!$AF$7)/$H181*OFFSET(ORÇAMENTO!$X$15,ROW(AG181)-ROW(AG$15),0),
ROUND(ROUND(OFFSET($P181,0,AG$13),15-13*ORÇAMENTO!$AF$7)*OFFSET(ORÇAMENTO!$W$15,ROW(AG181)-ROW(AG$15),0),15-13*ORÇAMENTO!$AF$11)),0)</f>
        <v>0</v>
      </c>
      <c r="AH181" s="545">
        <f ca="1">IF(AND($D181="Serviço",AH$12&lt;&gt;0,$H181&gt;0,OR(AUTOEVENTO&lt;&gt;"manual",$M181&lt;&gt;1)),
IF(Import.TipoArredondamento&lt;&gt;"TransfereGOV",
ROUND(OFFSET($P181,0,AH$13),15-13*ORÇAMENTO!$AF$7)/$H181*OFFSET(ORÇAMENTO!$X$15,ROW(AH181)-ROW(AH$15),0),
ROUND(ROUND(OFFSET($P181,0,AH$13),15-13*ORÇAMENTO!$AF$7)*OFFSET(ORÇAMENTO!$W$15,ROW(AH181)-ROW(AH$15),0),15-13*ORÇAMENTO!$AF$11)),0)</f>
        <v>0</v>
      </c>
      <c r="AI181" s="545">
        <f ca="1">IF(AND($D181="Serviço",AI$12&lt;&gt;0,$H181&gt;0,OR(AUTOEVENTO&lt;&gt;"manual",$M181&lt;&gt;1)),
IF(Import.TipoArredondamento&lt;&gt;"TransfereGOV",
ROUND(OFFSET($P181,0,AI$13),15-13*ORÇAMENTO!$AF$7)/$H181*OFFSET(ORÇAMENTO!$X$15,ROW(AI181)-ROW(AI$15),0),
ROUND(ROUND(OFFSET($P181,0,AI$13),15-13*ORÇAMENTO!$AF$7)*OFFSET(ORÇAMENTO!$W$15,ROW(AI181)-ROW(AI$15),0),15-13*ORÇAMENTO!$AF$11)),0)</f>
        <v>0</v>
      </c>
      <c r="AJ181" s="545">
        <f ca="1">IF(AND($D181="Serviço",AJ$12&lt;&gt;0,$H181&gt;0,OR(AUTOEVENTO&lt;&gt;"manual",$M181&lt;&gt;1)),
IF(Import.TipoArredondamento&lt;&gt;"TransfereGOV",
ROUND(OFFSET($P181,0,AJ$13),15-13*ORÇAMENTO!$AF$7)/$H181*OFFSET(ORÇAMENTO!$X$15,ROW(AJ181)-ROW(AJ$15),0),
ROUND(ROUND(OFFSET($P181,0,AJ$13),15-13*ORÇAMENTO!$AF$7)*OFFSET(ORÇAMENTO!$W$15,ROW(AJ181)-ROW(AJ$15),0),15-13*ORÇAMENTO!$AF$11)),0)</f>
        <v>0</v>
      </c>
      <c r="AK181" s="546">
        <f ca="1">IF(AND($D181="Serviço",AK$12&lt;&gt;0,$H181&gt;0,OR(AUTOEVENTO&lt;&gt;"manual",$M181&lt;&gt;1)),
IF(Import.TipoArredondamento&lt;&gt;"TransfereGOV",
ROUND(OFFSET($P181,0,AK$13),15-13*ORÇAMENTO!$AF$7)/$H181*OFFSET(ORÇAMENTO!$X$15,ROW(AK181)-ROW(AK$15),0),
ROUND(ROUND(OFFSET($P181,0,AK$13),15-13*ORÇAMENTO!$AF$7)*OFFSET(ORÇAMENTO!$W$15,ROW(AK181)-ROW(AK$15),0),15-13*ORÇAMENTO!$AF$11)),0)</f>
        <v>0</v>
      </c>
      <c r="AM181" s="181">
        <f ca="1">IF($D181&lt;&gt;"Serviço",0,IF(AND(AUTOEVENTO="Manual",$M181=1),0,IF(OFFSET(CRONOPLE!$F$14,$M181,AM$13)="",10^12,OFFSET(CRONOPLE!$F$14,$M181,AM$13))))</f>
        <v>1000000000000</v>
      </c>
      <c r="AN181" s="181">
        <f ca="1">IF($D181&lt;&gt;"Serviço",0,IF(AND(AUTOEVENTO="Manual",$M181=1),0,IF(OFFSET(CRONOPLE!$F$14,$M181,AN$13)="",10^12,OFFSET(CRONOPLE!$F$14,$M181,AN$13))))</f>
        <v>1000000000000</v>
      </c>
      <c r="AO181" s="181">
        <f ca="1">IF($D181&lt;&gt;"Serviço",0,IF(AND(AUTOEVENTO="Manual",$M181=1),0,IF(OFFSET(CRONOPLE!$F$14,$M181,AO$13)="",10^12,OFFSET(CRONOPLE!$F$14,$M181,AO$13))))</f>
        <v>1000000000000</v>
      </c>
      <c r="AP181" s="181">
        <f ca="1">IF($D181&lt;&gt;"Serviço",0,IF(AND(AUTOEVENTO="Manual",$M181=1),0,IF(OFFSET(CRONOPLE!$F$14,$M181,AP$13)="",10^12,OFFSET(CRONOPLE!$F$14,$M181,AP$13))))</f>
        <v>1000000000000</v>
      </c>
      <c r="AQ181" s="181">
        <f ca="1">IF($D181&lt;&gt;"Serviço",0,IF(AND(AUTOEVENTO="Manual",$M181=1),0,IF(OFFSET(CRONOPLE!$F$14,$M181,AQ$13)="",10^12,OFFSET(CRONOPLE!$F$14,$M181,AQ$13))))</f>
        <v>1000000000000</v>
      </c>
      <c r="AR181" s="181">
        <f ca="1">IF($D181&lt;&gt;"Serviço",0,IF(AND(AUTOEVENTO="Manual",$M181=1),0,IF(OFFSET(CRONOPLE!$F$14,$M181,AR$13)="",10^12,OFFSET(CRONOPLE!$F$14,$M181,AR$13))))</f>
        <v>1000000000000</v>
      </c>
      <c r="AS181" s="181">
        <f ca="1">IF($D181&lt;&gt;"Serviço",0,IF(AND(AUTOEVENTO="Manual",$M181=1),0,IF(OFFSET(CRONOPLE!$F$14,$M181,AS$13)="",10^12,OFFSET(CRONOPLE!$F$14,$M181,AS$13))))</f>
        <v>1000000000000</v>
      </c>
      <c r="AT181" s="181">
        <f ca="1">IF($D181&lt;&gt;"Serviço",0,IF(AND(AUTOEVENTO="Manual",$M181=1),0,IF(OFFSET(CRONOPLE!$F$14,$M181,AT$13)="",10^12,OFFSET(CRONOPLE!$F$14,$M181,AT$13))))</f>
        <v>1000000000000</v>
      </c>
      <c r="AU181" s="181">
        <f ca="1">IF($D181&lt;&gt;"Serviço",0,IF(AND(AUTOEVENTO="Manual",$M181=1),0,IF(OFFSET(CRONOPLE!$F$14,$M181,AU$13)="",10^12,OFFSET(CRONOPLE!$F$14,$M181,AU$13))))</f>
        <v>1000000000000</v>
      </c>
      <c r="AV181" s="181">
        <f ca="1">IF($D181&lt;&gt;"Serviço",0,IF(AND(AUTOEVENTO="Manual",$M181=1),0,IF(OFFSET(CRONOPLE!$F$14,$M181,AV$13)="",10^12,OFFSET(CRONOPLE!$F$14,$M181,AV$13))))</f>
        <v>1000000000000</v>
      </c>
      <c r="AX181" s="182">
        <f ca="1">IF($D181&lt;&gt;"Serviço",0,IF(OR(AND(AUTOEVENTO="Manual",$M181=1),$M181&gt;(ROW(PLE.lastrow)-ROW(PLE.firstrow))),0,IF(OFFSET(PLE!$G$14,$M181,AX$13)="",10^12,OFFSET(PLE!$G$14,$M181,AX$13))))</f>
        <v>1000000000000</v>
      </c>
      <c r="AY181" s="182">
        <f ca="1">IF($D181&lt;&gt;"Serviço",0,IF(OR(AND(AUTOEVENTO="Manual",$M181=1),$M181&gt;(ROW(PLE.lastrow)-ROW(PLE.firstrow))),0,IF(OFFSET(PLE!$G$14,$M181,AY$13)="",10^12,OFFSET(PLE!$G$14,$M181,AY$13))))</f>
        <v>1000000000000</v>
      </c>
      <c r="AZ181" s="182">
        <f ca="1">IF($D181&lt;&gt;"Serviço",0,IF(OR(AND(AUTOEVENTO="Manual",$M181=1),$M181&gt;(ROW(PLE.lastrow)-ROW(PLE.firstrow))),0,IF(OFFSET(PLE!$G$14,$M181,AZ$13)="",10^12,OFFSET(PLE!$G$14,$M181,AZ$13))))</f>
        <v>1000000000000</v>
      </c>
      <c r="BA181" s="182">
        <f ca="1">IF($D181&lt;&gt;"Serviço",0,IF(OR(AND(AUTOEVENTO="Manual",$M181=1),$M181&gt;(ROW(PLE.lastrow)-ROW(PLE.firstrow))),0,IF(OFFSET(PLE!$G$14,$M181,BA$13)="",10^12,OFFSET(PLE!$G$14,$M181,BA$13))))</f>
        <v>1000000000000</v>
      </c>
      <c r="BB181" s="182">
        <f ca="1">IF($D181&lt;&gt;"Serviço",0,IF(OR(AND(AUTOEVENTO="Manual",$M181=1),$M181&gt;(ROW(PLE.lastrow)-ROW(PLE.firstrow))),0,IF(OFFSET(PLE!$G$14,$M181,BB$13)="",10^12,OFFSET(PLE!$G$14,$M181,BB$13))))</f>
        <v>1000000000000</v>
      </c>
      <c r="BC181" s="182">
        <f ca="1">IF($D181&lt;&gt;"Serviço",0,IF(OR(AND(AUTOEVENTO="Manual",$M181=1),$M181&gt;(ROW(PLE.lastrow)-ROW(PLE.firstrow))),0,IF(OFFSET(PLE!$G$14,$M181,BC$13)="",10^12,OFFSET(PLE!$G$14,$M181,BC$13))))</f>
        <v>1000000000000</v>
      </c>
      <c r="BD181" s="182">
        <f ca="1">IF($D181&lt;&gt;"Serviço",0,IF(OR(AND(AUTOEVENTO="Manual",$M181=1),$M181&gt;(ROW(PLE.lastrow)-ROW(PLE.firstrow))),0,IF(OFFSET(PLE!$G$14,$M181,BD$13)="",10^12,OFFSET(PLE!$G$14,$M181,BD$13))))</f>
        <v>1000000000000</v>
      </c>
      <c r="BE181" s="182">
        <f ca="1">IF($D181&lt;&gt;"Serviço",0,IF(OR(AND(AUTOEVENTO="Manual",$M181=1),$M181&gt;(ROW(PLE.lastrow)-ROW(PLE.firstrow))),0,IF(OFFSET(PLE!$G$14,$M181,BE$13)="",10^12,OFFSET(PLE!$G$14,$M181,BE$13))))</f>
        <v>1000000000000</v>
      </c>
      <c r="BF181" s="182">
        <f ca="1">IF($D181&lt;&gt;"Serviço",0,IF(OR(AND(AUTOEVENTO="Manual",$M181=1),$M181&gt;(ROW(PLE.lastrow)-ROW(PLE.firstrow))),0,IF(OFFSET(PLE!$G$14,$M181,BF$13)="",10^12,OFFSET(PLE!$G$14,$M181,BF$13))))</f>
        <v>1000000000000</v>
      </c>
      <c r="BG181" s="182">
        <f ca="1">IF($D181&lt;&gt;"Serviço",0,IF(OR(AND(AUTOEVENTO="Manual",$M181=1),$M181&gt;(ROW(PLE.lastrow)-ROW(PLE.firstrow))),0,IF(OFFSET(PLE!$G$14,$M181,BG$13)="",10^12,OFFSET(PLE!$G$14,$M181,BG$13))))</f>
        <v>1000000000000</v>
      </c>
    </row>
    <row r="182" spans="1:59" ht="25.5" x14ac:dyDescent="0.2">
      <c r="A182" s="7" t="str">
        <f t="shared" ca="1" si="10"/>
        <v>162</v>
      </c>
      <c r="B182" s="7" t="str">
        <f ca="1">OFFSET(ORÇAMENTO!C$15,ROW(B182)-ROW(B$15),0)</f>
        <v>S</v>
      </c>
      <c r="C182" s="7" t="str">
        <f ca="1">OFFSET(ORÇAMENTO!L$15,ROW(C182)-ROW(C$15),0)</f>
        <v/>
      </c>
      <c r="D182" s="118" t="str">
        <f ca="1">OFFSET(ORÇAMENTO!N$15,ROW(D182)-ROW(D$15),0)</f>
        <v>Serviço</v>
      </c>
      <c r="E182" s="119" t="str">
        <f ca="1">OFFSET(ORÇAMENTO!O$15,ROW(E182)-ROW(E$15),0)</f>
        <v>-</v>
      </c>
      <c r="F182" s="172" t="str">
        <f ca="1">OFFSET(ORÇAMENTO!R$15,ROW(F182)-ROW(F$15),0)</f>
        <v>(abra o arquivo 'Referência 02-2025.xlsm)</v>
      </c>
      <c r="G182" s="173" t="str">
        <f ca="1">IF($D182&lt;&gt;"Serviço","",OFFSET(ORÇAMENTO!S$15,ROW(G182)-ROW(G$15),0))</f>
        <v>-</v>
      </c>
      <c r="H182" s="124">
        <f ca="1">IF($D182&lt;&gt;"Serviço",0,IF(ACOMPANHAMENTO="BM",ROUND(OFFSET(ORÇAMENTO!AJ$15,ROW(H182)-ROW(H$15),0),15-13*ORÇAMENTO!$AF$7),SUMPRODUCT(($Q$12:$AA$12&lt;&gt;"")*ROUND($Q182:$AA182,15-13*ORÇAMENTO!$AF$7))))</f>
        <v>311.35000000000002</v>
      </c>
      <c r="I182" s="561" t="s">
        <v>890</v>
      </c>
      <c r="K182" s="174"/>
      <c r="L182" s="175" t="s">
        <v>255</v>
      </c>
      <c r="M182" s="176">
        <f ca="1">IF($D182&lt;&gt;"Serviço","",IF(AUTOEVENTO="manual",$A182,IF(ISERROR(MATCH($A182,$A$15:OFFSET($A182,-1,0),0)),MAX($M$15:OFFSET(M182,-1,0))+1,INDEX($M$15:OFFSET(M182,-1,0),MATCH($A182,$A$15:OFFSET($A182,-1,0),0)))))</f>
        <v>8</v>
      </c>
      <c r="N182" s="177" t="str">
        <f ca="1">IF($D182&lt;&gt;"Serviço","",IF(AUTOEVENTO="Manual",IF($A182=0,"&lt;-- defina o número do agrupador",OFFSET(EVENTOS!$D$14,$A182,0)),OFFSET($F$15,$A182,0)))</f>
        <v>SISTEMAS DE COBERTURA</v>
      </c>
      <c r="O182" s="178"/>
      <c r="Q182" s="178"/>
      <c r="R182" s="179"/>
      <c r="S182" s="179"/>
      <c r="T182" s="179"/>
      <c r="U182" s="179"/>
      <c r="V182" s="179"/>
      <c r="W182" s="179"/>
      <c r="X182" s="179"/>
      <c r="Y182" s="179"/>
      <c r="Z182" s="180"/>
      <c r="AB182" s="544">
        <f ca="1">IF(AND($D182="Serviço",AB$12&lt;&gt;0,$H182&gt;0,OR(AUTOEVENTO&lt;&gt;"manual",$M182&lt;&gt;1)),
IF(Import.TipoArredondamento&lt;&gt;"TransfereGOV",
ROUND(OFFSET($P182,0,AB$13),15-13*ORÇAMENTO!$AF$7)/$H182*OFFSET(ORÇAMENTO!$X$15,ROW(AB182)-ROW(AB$15),0),
ROUND(ROUND(OFFSET($P182,0,AB$13),15-13*ORÇAMENTO!$AF$7)*OFFSET(ORÇAMENTO!$W$15,ROW(AB182)-ROW(AB$15),0),15-13*ORÇAMENTO!$AF$11)),0)</f>
        <v>0</v>
      </c>
      <c r="AC182" s="545">
        <f ca="1">IF(AND($D182="Serviço",AC$12&lt;&gt;0,$H182&gt;0,OR(AUTOEVENTO&lt;&gt;"manual",$M182&lt;&gt;1)),
IF(Import.TipoArredondamento&lt;&gt;"TransfereGOV",
ROUND(OFFSET($P182,0,AC$13),15-13*ORÇAMENTO!$AF$7)/$H182*OFFSET(ORÇAMENTO!$X$15,ROW(AC182)-ROW(AC$15),0),
ROUND(ROUND(OFFSET($P182,0,AC$13),15-13*ORÇAMENTO!$AF$7)*OFFSET(ORÇAMENTO!$W$15,ROW(AC182)-ROW(AC$15),0),15-13*ORÇAMENTO!$AF$11)),0)</f>
        <v>0</v>
      </c>
      <c r="AD182" s="545">
        <f ca="1">IF(AND($D182="Serviço",AD$12&lt;&gt;0,$H182&gt;0,OR(AUTOEVENTO&lt;&gt;"manual",$M182&lt;&gt;1)),
IF(Import.TipoArredondamento&lt;&gt;"TransfereGOV",
ROUND(OFFSET($P182,0,AD$13),15-13*ORÇAMENTO!$AF$7)/$H182*OFFSET(ORÇAMENTO!$X$15,ROW(AD182)-ROW(AD$15),0),
ROUND(ROUND(OFFSET($P182,0,AD$13),15-13*ORÇAMENTO!$AF$7)*OFFSET(ORÇAMENTO!$W$15,ROW(AD182)-ROW(AD$15),0),15-13*ORÇAMENTO!$AF$11)),0)</f>
        <v>0</v>
      </c>
      <c r="AE182" s="545">
        <f ca="1">IF(AND($D182="Serviço",AE$12&lt;&gt;0,$H182&gt;0,OR(AUTOEVENTO&lt;&gt;"manual",$M182&lt;&gt;1)),
IF(Import.TipoArredondamento&lt;&gt;"TransfereGOV",
ROUND(OFFSET($P182,0,AE$13),15-13*ORÇAMENTO!$AF$7)/$H182*OFFSET(ORÇAMENTO!$X$15,ROW(AE182)-ROW(AE$15),0),
ROUND(ROUND(OFFSET($P182,0,AE$13),15-13*ORÇAMENTO!$AF$7)*OFFSET(ORÇAMENTO!$W$15,ROW(AE182)-ROW(AE$15),0),15-13*ORÇAMENTO!$AF$11)),0)</f>
        <v>0</v>
      </c>
      <c r="AF182" s="545">
        <f ca="1">IF(AND($D182="Serviço",AF$12&lt;&gt;0,$H182&gt;0,OR(AUTOEVENTO&lt;&gt;"manual",$M182&lt;&gt;1)),
IF(Import.TipoArredondamento&lt;&gt;"TransfereGOV",
ROUND(OFFSET($P182,0,AF$13),15-13*ORÇAMENTO!$AF$7)/$H182*OFFSET(ORÇAMENTO!$X$15,ROW(AF182)-ROW(AF$15),0),
ROUND(ROUND(OFFSET($P182,0,AF$13),15-13*ORÇAMENTO!$AF$7)*OFFSET(ORÇAMENTO!$W$15,ROW(AF182)-ROW(AF$15),0),15-13*ORÇAMENTO!$AF$11)),0)</f>
        <v>0</v>
      </c>
      <c r="AG182" s="545">
        <f ca="1">IF(AND($D182="Serviço",AG$12&lt;&gt;0,$H182&gt;0,OR(AUTOEVENTO&lt;&gt;"manual",$M182&lt;&gt;1)),
IF(Import.TipoArredondamento&lt;&gt;"TransfereGOV",
ROUND(OFFSET($P182,0,AG$13),15-13*ORÇAMENTO!$AF$7)/$H182*OFFSET(ORÇAMENTO!$X$15,ROW(AG182)-ROW(AG$15),0),
ROUND(ROUND(OFFSET($P182,0,AG$13),15-13*ORÇAMENTO!$AF$7)*OFFSET(ORÇAMENTO!$W$15,ROW(AG182)-ROW(AG$15),0),15-13*ORÇAMENTO!$AF$11)),0)</f>
        <v>0</v>
      </c>
      <c r="AH182" s="545">
        <f ca="1">IF(AND($D182="Serviço",AH$12&lt;&gt;0,$H182&gt;0,OR(AUTOEVENTO&lt;&gt;"manual",$M182&lt;&gt;1)),
IF(Import.TipoArredondamento&lt;&gt;"TransfereGOV",
ROUND(OFFSET($P182,0,AH$13),15-13*ORÇAMENTO!$AF$7)/$H182*OFFSET(ORÇAMENTO!$X$15,ROW(AH182)-ROW(AH$15),0),
ROUND(ROUND(OFFSET($P182,0,AH$13),15-13*ORÇAMENTO!$AF$7)*OFFSET(ORÇAMENTO!$W$15,ROW(AH182)-ROW(AH$15),0),15-13*ORÇAMENTO!$AF$11)),0)</f>
        <v>0</v>
      </c>
      <c r="AI182" s="545">
        <f ca="1">IF(AND($D182="Serviço",AI$12&lt;&gt;0,$H182&gt;0,OR(AUTOEVENTO&lt;&gt;"manual",$M182&lt;&gt;1)),
IF(Import.TipoArredondamento&lt;&gt;"TransfereGOV",
ROUND(OFFSET($P182,0,AI$13),15-13*ORÇAMENTO!$AF$7)/$H182*OFFSET(ORÇAMENTO!$X$15,ROW(AI182)-ROW(AI$15),0),
ROUND(ROUND(OFFSET($P182,0,AI$13),15-13*ORÇAMENTO!$AF$7)*OFFSET(ORÇAMENTO!$W$15,ROW(AI182)-ROW(AI$15),0),15-13*ORÇAMENTO!$AF$11)),0)</f>
        <v>0</v>
      </c>
      <c r="AJ182" s="545">
        <f ca="1">IF(AND($D182="Serviço",AJ$12&lt;&gt;0,$H182&gt;0,OR(AUTOEVENTO&lt;&gt;"manual",$M182&lt;&gt;1)),
IF(Import.TipoArredondamento&lt;&gt;"TransfereGOV",
ROUND(OFFSET($P182,0,AJ$13),15-13*ORÇAMENTO!$AF$7)/$H182*OFFSET(ORÇAMENTO!$X$15,ROW(AJ182)-ROW(AJ$15),0),
ROUND(ROUND(OFFSET($P182,0,AJ$13),15-13*ORÇAMENTO!$AF$7)*OFFSET(ORÇAMENTO!$W$15,ROW(AJ182)-ROW(AJ$15),0),15-13*ORÇAMENTO!$AF$11)),0)</f>
        <v>0</v>
      </c>
      <c r="AK182" s="546">
        <f ca="1">IF(AND($D182="Serviço",AK$12&lt;&gt;0,$H182&gt;0,OR(AUTOEVENTO&lt;&gt;"manual",$M182&lt;&gt;1)),
IF(Import.TipoArredondamento&lt;&gt;"TransfereGOV",
ROUND(OFFSET($P182,0,AK$13),15-13*ORÇAMENTO!$AF$7)/$H182*OFFSET(ORÇAMENTO!$X$15,ROW(AK182)-ROW(AK$15),0),
ROUND(ROUND(OFFSET($P182,0,AK$13),15-13*ORÇAMENTO!$AF$7)*OFFSET(ORÇAMENTO!$W$15,ROW(AK182)-ROW(AK$15),0),15-13*ORÇAMENTO!$AF$11)),0)</f>
        <v>0</v>
      </c>
      <c r="AM182" s="181">
        <f ca="1">IF($D182&lt;&gt;"Serviço",0,IF(AND(AUTOEVENTO="Manual",$M182=1),0,IF(OFFSET(CRONOPLE!$F$14,$M182,AM$13)="",10^12,OFFSET(CRONOPLE!$F$14,$M182,AM$13))))</f>
        <v>1000000000000</v>
      </c>
      <c r="AN182" s="181">
        <f ca="1">IF($D182&lt;&gt;"Serviço",0,IF(AND(AUTOEVENTO="Manual",$M182=1),0,IF(OFFSET(CRONOPLE!$F$14,$M182,AN$13)="",10^12,OFFSET(CRONOPLE!$F$14,$M182,AN$13))))</f>
        <v>1000000000000</v>
      </c>
      <c r="AO182" s="181">
        <f ca="1">IF($D182&lt;&gt;"Serviço",0,IF(AND(AUTOEVENTO="Manual",$M182=1),0,IF(OFFSET(CRONOPLE!$F$14,$M182,AO$13)="",10^12,OFFSET(CRONOPLE!$F$14,$M182,AO$13))))</f>
        <v>1000000000000</v>
      </c>
      <c r="AP182" s="181">
        <f ca="1">IF($D182&lt;&gt;"Serviço",0,IF(AND(AUTOEVENTO="Manual",$M182=1),0,IF(OFFSET(CRONOPLE!$F$14,$M182,AP$13)="",10^12,OFFSET(CRONOPLE!$F$14,$M182,AP$13))))</f>
        <v>1000000000000</v>
      </c>
      <c r="AQ182" s="181">
        <f ca="1">IF($D182&lt;&gt;"Serviço",0,IF(AND(AUTOEVENTO="Manual",$M182=1),0,IF(OFFSET(CRONOPLE!$F$14,$M182,AQ$13)="",10^12,OFFSET(CRONOPLE!$F$14,$M182,AQ$13))))</f>
        <v>1000000000000</v>
      </c>
      <c r="AR182" s="181">
        <f ca="1">IF($D182&lt;&gt;"Serviço",0,IF(AND(AUTOEVENTO="Manual",$M182=1),0,IF(OFFSET(CRONOPLE!$F$14,$M182,AR$13)="",10^12,OFFSET(CRONOPLE!$F$14,$M182,AR$13))))</f>
        <v>1000000000000</v>
      </c>
      <c r="AS182" s="181">
        <f ca="1">IF($D182&lt;&gt;"Serviço",0,IF(AND(AUTOEVENTO="Manual",$M182=1),0,IF(OFFSET(CRONOPLE!$F$14,$M182,AS$13)="",10^12,OFFSET(CRONOPLE!$F$14,$M182,AS$13))))</f>
        <v>1000000000000</v>
      </c>
      <c r="AT182" s="181">
        <f ca="1">IF($D182&lt;&gt;"Serviço",0,IF(AND(AUTOEVENTO="Manual",$M182=1),0,IF(OFFSET(CRONOPLE!$F$14,$M182,AT$13)="",10^12,OFFSET(CRONOPLE!$F$14,$M182,AT$13))))</f>
        <v>1000000000000</v>
      </c>
      <c r="AU182" s="181">
        <f ca="1">IF($D182&lt;&gt;"Serviço",0,IF(AND(AUTOEVENTO="Manual",$M182=1),0,IF(OFFSET(CRONOPLE!$F$14,$M182,AU$13)="",10^12,OFFSET(CRONOPLE!$F$14,$M182,AU$13))))</f>
        <v>1000000000000</v>
      </c>
      <c r="AV182" s="181">
        <f ca="1">IF($D182&lt;&gt;"Serviço",0,IF(AND(AUTOEVENTO="Manual",$M182=1),0,IF(OFFSET(CRONOPLE!$F$14,$M182,AV$13)="",10^12,OFFSET(CRONOPLE!$F$14,$M182,AV$13))))</f>
        <v>1000000000000</v>
      </c>
      <c r="AX182" s="182">
        <f ca="1">IF($D182&lt;&gt;"Serviço",0,IF(OR(AND(AUTOEVENTO="Manual",$M182=1),$M182&gt;(ROW(PLE.lastrow)-ROW(PLE.firstrow))),0,IF(OFFSET(PLE!$G$14,$M182,AX$13)="",10^12,OFFSET(PLE!$G$14,$M182,AX$13))))</f>
        <v>1000000000000</v>
      </c>
      <c r="AY182" s="182">
        <f ca="1">IF($D182&lt;&gt;"Serviço",0,IF(OR(AND(AUTOEVENTO="Manual",$M182=1),$M182&gt;(ROW(PLE.lastrow)-ROW(PLE.firstrow))),0,IF(OFFSET(PLE!$G$14,$M182,AY$13)="",10^12,OFFSET(PLE!$G$14,$M182,AY$13))))</f>
        <v>1000000000000</v>
      </c>
      <c r="AZ182" s="182">
        <f ca="1">IF($D182&lt;&gt;"Serviço",0,IF(OR(AND(AUTOEVENTO="Manual",$M182=1),$M182&gt;(ROW(PLE.lastrow)-ROW(PLE.firstrow))),0,IF(OFFSET(PLE!$G$14,$M182,AZ$13)="",10^12,OFFSET(PLE!$G$14,$M182,AZ$13))))</f>
        <v>1000000000000</v>
      </c>
      <c r="BA182" s="182">
        <f ca="1">IF($D182&lt;&gt;"Serviço",0,IF(OR(AND(AUTOEVENTO="Manual",$M182=1),$M182&gt;(ROW(PLE.lastrow)-ROW(PLE.firstrow))),0,IF(OFFSET(PLE!$G$14,$M182,BA$13)="",10^12,OFFSET(PLE!$G$14,$M182,BA$13))))</f>
        <v>1000000000000</v>
      </c>
      <c r="BB182" s="182">
        <f ca="1">IF($D182&lt;&gt;"Serviço",0,IF(OR(AND(AUTOEVENTO="Manual",$M182=1),$M182&gt;(ROW(PLE.lastrow)-ROW(PLE.firstrow))),0,IF(OFFSET(PLE!$G$14,$M182,BB$13)="",10^12,OFFSET(PLE!$G$14,$M182,BB$13))))</f>
        <v>1000000000000</v>
      </c>
      <c r="BC182" s="182">
        <f ca="1">IF($D182&lt;&gt;"Serviço",0,IF(OR(AND(AUTOEVENTO="Manual",$M182=1),$M182&gt;(ROW(PLE.lastrow)-ROW(PLE.firstrow))),0,IF(OFFSET(PLE!$G$14,$M182,BC$13)="",10^12,OFFSET(PLE!$G$14,$M182,BC$13))))</f>
        <v>1000000000000</v>
      </c>
      <c r="BD182" s="182">
        <f ca="1">IF($D182&lt;&gt;"Serviço",0,IF(OR(AND(AUTOEVENTO="Manual",$M182=1),$M182&gt;(ROW(PLE.lastrow)-ROW(PLE.firstrow))),0,IF(OFFSET(PLE!$G$14,$M182,BD$13)="",10^12,OFFSET(PLE!$G$14,$M182,BD$13))))</f>
        <v>1000000000000</v>
      </c>
      <c r="BE182" s="182">
        <f ca="1">IF($D182&lt;&gt;"Serviço",0,IF(OR(AND(AUTOEVENTO="Manual",$M182=1),$M182&gt;(ROW(PLE.lastrow)-ROW(PLE.firstrow))),0,IF(OFFSET(PLE!$G$14,$M182,BE$13)="",10^12,OFFSET(PLE!$G$14,$M182,BE$13))))</f>
        <v>1000000000000</v>
      </c>
      <c r="BF182" s="182">
        <f ca="1">IF($D182&lt;&gt;"Serviço",0,IF(OR(AND(AUTOEVENTO="Manual",$M182=1),$M182&gt;(ROW(PLE.lastrow)-ROW(PLE.firstrow))),0,IF(OFFSET(PLE!$G$14,$M182,BF$13)="",10^12,OFFSET(PLE!$G$14,$M182,BF$13))))</f>
        <v>1000000000000</v>
      </c>
      <c r="BG182" s="182">
        <f ca="1">IF($D182&lt;&gt;"Serviço",0,IF(OR(AND(AUTOEVENTO="Manual",$M182=1),$M182&gt;(ROW(PLE.lastrow)-ROW(PLE.firstrow))),0,IF(OFFSET(PLE!$G$14,$M182,BG$13)="",10^12,OFFSET(PLE!$G$14,$M182,BG$13))))</f>
        <v>1000000000000</v>
      </c>
    </row>
    <row r="183" spans="1:59" ht="12.75" x14ac:dyDescent="0.2">
      <c r="A183" s="7" t="str">
        <f t="shared" ca="1" si="10"/>
        <v>162</v>
      </c>
      <c r="B183" s="7" t="str">
        <f ca="1">OFFSET(ORÇAMENTO!C$15,ROW(B183)-ROW(B$15),0)</f>
        <v>S</v>
      </c>
      <c r="C183" s="7" t="str">
        <f ca="1">OFFSET(ORÇAMENTO!L$15,ROW(C183)-ROW(C$15),0)</f>
        <v/>
      </c>
      <c r="D183" s="118" t="str">
        <f ca="1">OFFSET(ORÇAMENTO!N$15,ROW(D183)-ROW(D$15),0)</f>
        <v>Serviço</v>
      </c>
      <c r="E183" s="119" t="str">
        <f ca="1">OFFSET(ORÇAMENTO!O$15,ROW(E183)-ROW(E$15),0)</f>
        <v>-</v>
      </c>
      <c r="F183" s="172" t="str">
        <f ca="1">OFFSET(ORÇAMENTO!R$15,ROW(F183)-ROW(F$15),0)</f>
        <v>(abra o arquivo 'Referência 02-2025.xlsm)</v>
      </c>
      <c r="G183" s="173" t="str">
        <f ca="1">IF($D183&lt;&gt;"Serviço","",OFFSET(ORÇAMENTO!S$15,ROW(G183)-ROW(G$15),0))</f>
        <v>-</v>
      </c>
      <c r="H183" s="124">
        <f ca="1">IF($D183&lt;&gt;"Serviço",0,IF(ACOMPANHAMENTO="BM",ROUND(OFFSET(ORÇAMENTO!AJ$15,ROW(H183)-ROW(H$15),0),15-13*ORÇAMENTO!$AF$7),SUMPRODUCT(($Q$12:$AA$12&lt;&gt;"")*ROUND($Q183:$AA183,15-13*ORÇAMENTO!$AF$7))))</f>
        <v>214.7</v>
      </c>
      <c r="I183" s="561" t="s">
        <v>890</v>
      </c>
      <c r="K183" s="174"/>
      <c r="L183" s="175" t="s">
        <v>255</v>
      </c>
      <c r="M183" s="176">
        <f ca="1">IF($D183&lt;&gt;"Serviço","",IF(AUTOEVENTO="manual",$A183,IF(ISERROR(MATCH($A183,$A$15:OFFSET($A183,-1,0),0)),MAX($M$15:OFFSET(M183,-1,0))+1,INDEX($M$15:OFFSET(M183,-1,0),MATCH($A183,$A$15:OFFSET($A183,-1,0),0)))))</f>
        <v>8</v>
      </c>
      <c r="N183" s="177" t="str">
        <f ca="1">IF($D183&lt;&gt;"Serviço","",IF(AUTOEVENTO="Manual",IF($A183=0,"&lt;-- defina o número do agrupador",OFFSET(EVENTOS!$D$14,$A183,0)),OFFSET($F$15,$A183,0)))</f>
        <v>SISTEMAS DE COBERTURA</v>
      </c>
      <c r="O183" s="178"/>
      <c r="Q183" s="178"/>
      <c r="R183" s="179"/>
      <c r="S183" s="179"/>
      <c r="T183" s="179"/>
      <c r="U183" s="179"/>
      <c r="V183" s="179"/>
      <c r="W183" s="179"/>
      <c r="X183" s="179"/>
      <c r="Y183" s="179"/>
      <c r="Z183" s="180"/>
      <c r="AB183" s="544">
        <f ca="1">IF(AND($D183="Serviço",AB$12&lt;&gt;0,$H183&gt;0,OR(AUTOEVENTO&lt;&gt;"manual",$M183&lt;&gt;1)),
IF(Import.TipoArredondamento&lt;&gt;"TransfereGOV",
ROUND(OFFSET($P183,0,AB$13),15-13*ORÇAMENTO!$AF$7)/$H183*OFFSET(ORÇAMENTO!$X$15,ROW(AB183)-ROW(AB$15),0),
ROUND(ROUND(OFFSET($P183,0,AB$13),15-13*ORÇAMENTO!$AF$7)*OFFSET(ORÇAMENTO!$W$15,ROW(AB183)-ROW(AB$15),0),15-13*ORÇAMENTO!$AF$11)),0)</f>
        <v>0</v>
      </c>
      <c r="AC183" s="545">
        <f ca="1">IF(AND($D183="Serviço",AC$12&lt;&gt;0,$H183&gt;0,OR(AUTOEVENTO&lt;&gt;"manual",$M183&lt;&gt;1)),
IF(Import.TipoArredondamento&lt;&gt;"TransfereGOV",
ROUND(OFFSET($P183,0,AC$13),15-13*ORÇAMENTO!$AF$7)/$H183*OFFSET(ORÇAMENTO!$X$15,ROW(AC183)-ROW(AC$15),0),
ROUND(ROUND(OFFSET($P183,0,AC$13),15-13*ORÇAMENTO!$AF$7)*OFFSET(ORÇAMENTO!$W$15,ROW(AC183)-ROW(AC$15),0),15-13*ORÇAMENTO!$AF$11)),0)</f>
        <v>0</v>
      </c>
      <c r="AD183" s="545">
        <f ca="1">IF(AND($D183="Serviço",AD$12&lt;&gt;0,$H183&gt;0,OR(AUTOEVENTO&lt;&gt;"manual",$M183&lt;&gt;1)),
IF(Import.TipoArredondamento&lt;&gt;"TransfereGOV",
ROUND(OFFSET($P183,0,AD$13),15-13*ORÇAMENTO!$AF$7)/$H183*OFFSET(ORÇAMENTO!$X$15,ROW(AD183)-ROW(AD$15),0),
ROUND(ROUND(OFFSET($P183,0,AD$13),15-13*ORÇAMENTO!$AF$7)*OFFSET(ORÇAMENTO!$W$15,ROW(AD183)-ROW(AD$15),0),15-13*ORÇAMENTO!$AF$11)),0)</f>
        <v>0</v>
      </c>
      <c r="AE183" s="545">
        <f ca="1">IF(AND($D183="Serviço",AE$12&lt;&gt;0,$H183&gt;0,OR(AUTOEVENTO&lt;&gt;"manual",$M183&lt;&gt;1)),
IF(Import.TipoArredondamento&lt;&gt;"TransfereGOV",
ROUND(OFFSET($P183,0,AE$13),15-13*ORÇAMENTO!$AF$7)/$H183*OFFSET(ORÇAMENTO!$X$15,ROW(AE183)-ROW(AE$15),0),
ROUND(ROUND(OFFSET($P183,0,AE$13),15-13*ORÇAMENTO!$AF$7)*OFFSET(ORÇAMENTO!$W$15,ROW(AE183)-ROW(AE$15),0),15-13*ORÇAMENTO!$AF$11)),0)</f>
        <v>0</v>
      </c>
      <c r="AF183" s="545">
        <f ca="1">IF(AND($D183="Serviço",AF$12&lt;&gt;0,$H183&gt;0,OR(AUTOEVENTO&lt;&gt;"manual",$M183&lt;&gt;1)),
IF(Import.TipoArredondamento&lt;&gt;"TransfereGOV",
ROUND(OFFSET($P183,0,AF$13),15-13*ORÇAMENTO!$AF$7)/$H183*OFFSET(ORÇAMENTO!$X$15,ROW(AF183)-ROW(AF$15),0),
ROUND(ROUND(OFFSET($P183,0,AF$13),15-13*ORÇAMENTO!$AF$7)*OFFSET(ORÇAMENTO!$W$15,ROW(AF183)-ROW(AF$15),0),15-13*ORÇAMENTO!$AF$11)),0)</f>
        <v>0</v>
      </c>
      <c r="AG183" s="545">
        <f ca="1">IF(AND($D183="Serviço",AG$12&lt;&gt;0,$H183&gt;0,OR(AUTOEVENTO&lt;&gt;"manual",$M183&lt;&gt;1)),
IF(Import.TipoArredondamento&lt;&gt;"TransfereGOV",
ROUND(OFFSET($P183,0,AG$13),15-13*ORÇAMENTO!$AF$7)/$H183*OFFSET(ORÇAMENTO!$X$15,ROW(AG183)-ROW(AG$15),0),
ROUND(ROUND(OFFSET($P183,0,AG$13),15-13*ORÇAMENTO!$AF$7)*OFFSET(ORÇAMENTO!$W$15,ROW(AG183)-ROW(AG$15),0),15-13*ORÇAMENTO!$AF$11)),0)</f>
        <v>0</v>
      </c>
      <c r="AH183" s="545">
        <f ca="1">IF(AND($D183="Serviço",AH$12&lt;&gt;0,$H183&gt;0,OR(AUTOEVENTO&lt;&gt;"manual",$M183&lt;&gt;1)),
IF(Import.TipoArredondamento&lt;&gt;"TransfereGOV",
ROUND(OFFSET($P183,0,AH$13),15-13*ORÇAMENTO!$AF$7)/$H183*OFFSET(ORÇAMENTO!$X$15,ROW(AH183)-ROW(AH$15),0),
ROUND(ROUND(OFFSET($P183,0,AH$13),15-13*ORÇAMENTO!$AF$7)*OFFSET(ORÇAMENTO!$W$15,ROW(AH183)-ROW(AH$15),0),15-13*ORÇAMENTO!$AF$11)),0)</f>
        <v>0</v>
      </c>
      <c r="AI183" s="545">
        <f ca="1">IF(AND($D183="Serviço",AI$12&lt;&gt;0,$H183&gt;0,OR(AUTOEVENTO&lt;&gt;"manual",$M183&lt;&gt;1)),
IF(Import.TipoArredondamento&lt;&gt;"TransfereGOV",
ROUND(OFFSET($P183,0,AI$13),15-13*ORÇAMENTO!$AF$7)/$H183*OFFSET(ORÇAMENTO!$X$15,ROW(AI183)-ROW(AI$15),0),
ROUND(ROUND(OFFSET($P183,0,AI$13),15-13*ORÇAMENTO!$AF$7)*OFFSET(ORÇAMENTO!$W$15,ROW(AI183)-ROW(AI$15),0),15-13*ORÇAMENTO!$AF$11)),0)</f>
        <v>0</v>
      </c>
      <c r="AJ183" s="545">
        <f ca="1">IF(AND($D183="Serviço",AJ$12&lt;&gt;0,$H183&gt;0,OR(AUTOEVENTO&lt;&gt;"manual",$M183&lt;&gt;1)),
IF(Import.TipoArredondamento&lt;&gt;"TransfereGOV",
ROUND(OFFSET($P183,0,AJ$13),15-13*ORÇAMENTO!$AF$7)/$H183*OFFSET(ORÇAMENTO!$X$15,ROW(AJ183)-ROW(AJ$15),0),
ROUND(ROUND(OFFSET($P183,0,AJ$13),15-13*ORÇAMENTO!$AF$7)*OFFSET(ORÇAMENTO!$W$15,ROW(AJ183)-ROW(AJ$15),0),15-13*ORÇAMENTO!$AF$11)),0)</f>
        <v>0</v>
      </c>
      <c r="AK183" s="546">
        <f ca="1">IF(AND($D183="Serviço",AK$12&lt;&gt;0,$H183&gt;0,OR(AUTOEVENTO&lt;&gt;"manual",$M183&lt;&gt;1)),
IF(Import.TipoArredondamento&lt;&gt;"TransfereGOV",
ROUND(OFFSET($P183,0,AK$13),15-13*ORÇAMENTO!$AF$7)/$H183*OFFSET(ORÇAMENTO!$X$15,ROW(AK183)-ROW(AK$15),0),
ROUND(ROUND(OFFSET($P183,0,AK$13),15-13*ORÇAMENTO!$AF$7)*OFFSET(ORÇAMENTO!$W$15,ROW(AK183)-ROW(AK$15),0),15-13*ORÇAMENTO!$AF$11)),0)</f>
        <v>0</v>
      </c>
      <c r="AM183" s="181">
        <f ca="1">IF($D183&lt;&gt;"Serviço",0,IF(AND(AUTOEVENTO="Manual",$M183=1),0,IF(OFFSET(CRONOPLE!$F$14,$M183,AM$13)="",10^12,OFFSET(CRONOPLE!$F$14,$M183,AM$13))))</f>
        <v>1000000000000</v>
      </c>
      <c r="AN183" s="181">
        <f ca="1">IF($D183&lt;&gt;"Serviço",0,IF(AND(AUTOEVENTO="Manual",$M183=1),0,IF(OFFSET(CRONOPLE!$F$14,$M183,AN$13)="",10^12,OFFSET(CRONOPLE!$F$14,$M183,AN$13))))</f>
        <v>1000000000000</v>
      </c>
      <c r="AO183" s="181">
        <f ca="1">IF($D183&lt;&gt;"Serviço",0,IF(AND(AUTOEVENTO="Manual",$M183=1),0,IF(OFFSET(CRONOPLE!$F$14,$M183,AO$13)="",10^12,OFFSET(CRONOPLE!$F$14,$M183,AO$13))))</f>
        <v>1000000000000</v>
      </c>
      <c r="AP183" s="181">
        <f ca="1">IF($D183&lt;&gt;"Serviço",0,IF(AND(AUTOEVENTO="Manual",$M183=1),0,IF(OFFSET(CRONOPLE!$F$14,$M183,AP$13)="",10^12,OFFSET(CRONOPLE!$F$14,$M183,AP$13))))</f>
        <v>1000000000000</v>
      </c>
      <c r="AQ183" s="181">
        <f ca="1">IF($D183&lt;&gt;"Serviço",0,IF(AND(AUTOEVENTO="Manual",$M183=1),0,IF(OFFSET(CRONOPLE!$F$14,$M183,AQ$13)="",10^12,OFFSET(CRONOPLE!$F$14,$M183,AQ$13))))</f>
        <v>1000000000000</v>
      </c>
      <c r="AR183" s="181">
        <f ca="1">IF($D183&lt;&gt;"Serviço",0,IF(AND(AUTOEVENTO="Manual",$M183=1),0,IF(OFFSET(CRONOPLE!$F$14,$M183,AR$13)="",10^12,OFFSET(CRONOPLE!$F$14,$M183,AR$13))))</f>
        <v>1000000000000</v>
      </c>
      <c r="AS183" s="181">
        <f ca="1">IF($D183&lt;&gt;"Serviço",0,IF(AND(AUTOEVENTO="Manual",$M183=1),0,IF(OFFSET(CRONOPLE!$F$14,$M183,AS$13)="",10^12,OFFSET(CRONOPLE!$F$14,$M183,AS$13))))</f>
        <v>1000000000000</v>
      </c>
      <c r="AT183" s="181">
        <f ca="1">IF($D183&lt;&gt;"Serviço",0,IF(AND(AUTOEVENTO="Manual",$M183=1),0,IF(OFFSET(CRONOPLE!$F$14,$M183,AT$13)="",10^12,OFFSET(CRONOPLE!$F$14,$M183,AT$13))))</f>
        <v>1000000000000</v>
      </c>
      <c r="AU183" s="181">
        <f ca="1">IF($D183&lt;&gt;"Serviço",0,IF(AND(AUTOEVENTO="Manual",$M183=1),0,IF(OFFSET(CRONOPLE!$F$14,$M183,AU$13)="",10^12,OFFSET(CRONOPLE!$F$14,$M183,AU$13))))</f>
        <v>1000000000000</v>
      </c>
      <c r="AV183" s="181">
        <f ca="1">IF($D183&lt;&gt;"Serviço",0,IF(AND(AUTOEVENTO="Manual",$M183=1),0,IF(OFFSET(CRONOPLE!$F$14,$M183,AV$13)="",10^12,OFFSET(CRONOPLE!$F$14,$M183,AV$13))))</f>
        <v>1000000000000</v>
      </c>
      <c r="AX183" s="182">
        <f ca="1">IF($D183&lt;&gt;"Serviço",0,IF(OR(AND(AUTOEVENTO="Manual",$M183=1),$M183&gt;(ROW(PLE.lastrow)-ROW(PLE.firstrow))),0,IF(OFFSET(PLE!$G$14,$M183,AX$13)="",10^12,OFFSET(PLE!$G$14,$M183,AX$13))))</f>
        <v>1000000000000</v>
      </c>
      <c r="AY183" s="182">
        <f ca="1">IF($D183&lt;&gt;"Serviço",0,IF(OR(AND(AUTOEVENTO="Manual",$M183=1),$M183&gt;(ROW(PLE.lastrow)-ROW(PLE.firstrow))),0,IF(OFFSET(PLE!$G$14,$M183,AY$13)="",10^12,OFFSET(PLE!$G$14,$M183,AY$13))))</f>
        <v>1000000000000</v>
      </c>
      <c r="AZ183" s="182">
        <f ca="1">IF($D183&lt;&gt;"Serviço",0,IF(OR(AND(AUTOEVENTO="Manual",$M183=1),$M183&gt;(ROW(PLE.lastrow)-ROW(PLE.firstrow))),0,IF(OFFSET(PLE!$G$14,$M183,AZ$13)="",10^12,OFFSET(PLE!$G$14,$M183,AZ$13))))</f>
        <v>1000000000000</v>
      </c>
      <c r="BA183" s="182">
        <f ca="1">IF($D183&lt;&gt;"Serviço",0,IF(OR(AND(AUTOEVENTO="Manual",$M183=1),$M183&gt;(ROW(PLE.lastrow)-ROW(PLE.firstrow))),0,IF(OFFSET(PLE!$G$14,$M183,BA$13)="",10^12,OFFSET(PLE!$G$14,$M183,BA$13))))</f>
        <v>1000000000000</v>
      </c>
      <c r="BB183" s="182">
        <f ca="1">IF($D183&lt;&gt;"Serviço",0,IF(OR(AND(AUTOEVENTO="Manual",$M183=1),$M183&gt;(ROW(PLE.lastrow)-ROW(PLE.firstrow))),0,IF(OFFSET(PLE!$G$14,$M183,BB$13)="",10^12,OFFSET(PLE!$G$14,$M183,BB$13))))</f>
        <v>1000000000000</v>
      </c>
      <c r="BC183" s="182">
        <f ca="1">IF($D183&lt;&gt;"Serviço",0,IF(OR(AND(AUTOEVENTO="Manual",$M183=1),$M183&gt;(ROW(PLE.lastrow)-ROW(PLE.firstrow))),0,IF(OFFSET(PLE!$G$14,$M183,BC$13)="",10^12,OFFSET(PLE!$G$14,$M183,BC$13))))</f>
        <v>1000000000000</v>
      </c>
      <c r="BD183" s="182">
        <f ca="1">IF($D183&lt;&gt;"Serviço",0,IF(OR(AND(AUTOEVENTO="Manual",$M183=1),$M183&gt;(ROW(PLE.lastrow)-ROW(PLE.firstrow))),0,IF(OFFSET(PLE!$G$14,$M183,BD$13)="",10^12,OFFSET(PLE!$G$14,$M183,BD$13))))</f>
        <v>1000000000000</v>
      </c>
      <c r="BE183" s="182">
        <f ca="1">IF($D183&lt;&gt;"Serviço",0,IF(OR(AND(AUTOEVENTO="Manual",$M183=1),$M183&gt;(ROW(PLE.lastrow)-ROW(PLE.firstrow))),0,IF(OFFSET(PLE!$G$14,$M183,BE$13)="",10^12,OFFSET(PLE!$G$14,$M183,BE$13))))</f>
        <v>1000000000000</v>
      </c>
      <c r="BF183" s="182">
        <f ca="1">IF($D183&lt;&gt;"Serviço",0,IF(OR(AND(AUTOEVENTO="Manual",$M183=1),$M183&gt;(ROW(PLE.lastrow)-ROW(PLE.firstrow))),0,IF(OFFSET(PLE!$G$14,$M183,BF$13)="",10^12,OFFSET(PLE!$G$14,$M183,BF$13))))</f>
        <v>1000000000000</v>
      </c>
      <c r="BG183" s="182">
        <f ca="1">IF($D183&lt;&gt;"Serviço",0,IF(OR(AND(AUTOEVENTO="Manual",$M183=1),$M183&gt;(ROW(PLE.lastrow)-ROW(PLE.firstrow))),0,IF(OFFSET(PLE!$G$14,$M183,BG$13)="",10^12,OFFSET(PLE!$G$14,$M183,BG$13))))</f>
        <v>1000000000000</v>
      </c>
    </row>
    <row r="184" spans="1:59" ht="12.75" x14ac:dyDescent="0.2">
      <c r="A184" s="7" t="str">
        <f t="shared" ca="1" si="10"/>
        <v>169.</v>
      </c>
      <c r="B184" s="7">
        <f ca="1">OFFSET(ORÇAMENTO!C$15,ROW(B184)-ROW(B$15),0)</f>
        <v>2</v>
      </c>
      <c r="C184" s="7" t="str">
        <f ca="1">OFFSET(ORÇAMENTO!L$15,ROW(C184)-ROW(C$15),0)</f>
        <v>F</v>
      </c>
      <c r="D184" s="118" t="str">
        <f ca="1">OFFSET(ORÇAMENTO!N$15,ROW(D184)-ROW(D$15),0)</f>
        <v>Nível 2</v>
      </c>
      <c r="E184" s="119" t="str">
        <f ca="1">OFFSET(ORÇAMENTO!O$15,ROW(E184)-ROW(E$15),0)</f>
        <v>1.8.</v>
      </c>
      <c r="F184" s="172" t="str">
        <f ca="1">OFFSET(ORÇAMENTO!R$15,ROW(F184)-ROW(F$15),0)</f>
        <v>IMPERMEABILIZAÇÃO</v>
      </c>
      <c r="G184" s="173" t="str">
        <f ca="1">IF($D184&lt;&gt;"Serviço","",OFFSET(ORÇAMENTO!S$15,ROW(G184)-ROW(G$15),0))</f>
        <v/>
      </c>
      <c r="H184" s="124">
        <f ca="1">IF($D184&lt;&gt;"Serviço",0,IF(ACOMPANHAMENTO="BM",ROUND(OFFSET(ORÇAMENTO!AJ$15,ROW(H184)-ROW(H$15),0),15-13*ORÇAMENTO!$AF$7),SUMPRODUCT(($Q$12:$AA$12&lt;&gt;"")*ROUND($Q184:$AA184,15-13*ORÇAMENTO!$AF$7))))</f>
        <v>0</v>
      </c>
      <c r="I184" s="561"/>
      <c r="K184" s="174"/>
      <c r="L184" s="175" t="s">
        <v>255</v>
      </c>
      <c r="M184" s="176" t="str">
        <f ca="1">IF($D184&lt;&gt;"Serviço","",IF(AUTOEVENTO="manual",$A184,IF(ISERROR(MATCH($A184,$A$15:OFFSET($A184,-1,0),0)),MAX($M$15:OFFSET(M184,-1,0))+1,INDEX($M$15:OFFSET(M184,-1,0),MATCH($A184,$A$15:OFFSET($A184,-1,0),0)))))</f>
        <v/>
      </c>
      <c r="N184" s="177" t="str">
        <f ca="1">IF($D184&lt;&gt;"Serviço","",IF(AUTOEVENTO="Manual",IF($A184=0,"&lt;-- defina o número do agrupador",OFFSET(EVENTOS!$D$14,$A184,0)),OFFSET($F$15,$A184,0)))</f>
        <v/>
      </c>
      <c r="O184" s="178"/>
      <c r="Q184" s="178"/>
      <c r="R184" s="179"/>
      <c r="S184" s="179"/>
      <c r="T184" s="179"/>
      <c r="U184" s="179"/>
      <c r="V184" s="179"/>
      <c r="W184" s="179"/>
      <c r="X184" s="179"/>
      <c r="Y184" s="179"/>
      <c r="Z184" s="180"/>
      <c r="AB184" s="544">
        <f ca="1">IF(AND($D184="Serviço",AB$12&lt;&gt;0,$H184&gt;0,OR(AUTOEVENTO&lt;&gt;"manual",$M184&lt;&gt;1)),
IF(Import.TipoArredondamento&lt;&gt;"TransfereGOV",
ROUND(OFFSET($P184,0,AB$13),15-13*ORÇAMENTO!$AF$7)/$H184*OFFSET(ORÇAMENTO!$X$15,ROW(AB184)-ROW(AB$15),0),
ROUND(ROUND(OFFSET($P184,0,AB$13),15-13*ORÇAMENTO!$AF$7)*OFFSET(ORÇAMENTO!$W$15,ROW(AB184)-ROW(AB$15),0),15-13*ORÇAMENTO!$AF$11)),0)</f>
        <v>0</v>
      </c>
      <c r="AC184" s="545">
        <f ca="1">IF(AND($D184="Serviço",AC$12&lt;&gt;0,$H184&gt;0,OR(AUTOEVENTO&lt;&gt;"manual",$M184&lt;&gt;1)),
IF(Import.TipoArredondamento&lt;&gt;"TransfereGOV",
ROUND(OFFSET($P184,0,AC$13),15-13*ORÇAMENTO!$AF$7)/$H184*OFFSET(ORÇAMENTO!$X$15,ROW(AC184)-ROW(AC$15),0),
ROUND(ROUND(OFFSET($P184,0,AC$13),15-13*ORÇAMENTO!$AF$7)*OFFSET(ORÇAMENTO!$W$15,ROW(AC184)-ROW(AC$15),0),15-13*ORÇAMENTO!$AF$11)),0)</f>
        <v>0</v>
      </c>
      <c r="AD184" s="545">
        <f ca="1">IF(AND($D184="Serviço",AD$12&lt;&gt;0,$H184&gt;0,OR(AUTOEVENTO&lt;&gt;"manual",$M184&lt;&gt;1)),
IF(Import.TipoArredondamento&lt;&gt;"TransfereGOV",
ROUND(OFFSET($P184,0,AD$13),15-13*ORÇAMENTO!$AF$7)/$H184*OFFSET(ORÇAMENTO!$X$15,ROW(AD184)-ROW(AD$15),0),
ROUND(ROUND(OFFSET($P184,0,AD$13),15-13*ORÇAMENTO!$AF$7)*OFFSET(ORÇAMENTO!$W$15,ROW(AD184)-ROW(AD$15),0),15-13*ORÇAMENTO!$AF$11)),0)</f>
        <v>0</v>
      </c>
      <c r="AE184" s="545">
        <f ca="1">IF(AND($D184="Serviço",AE$12&lt;&gt;0,$H184&gt;0,OR(AUTOEVENTO&lt;&gt;"manual",$M184&lt;&gt;1)),
IF(Import.TipoArredondamento&lt;&gt;"TransfereGOV",
ROUND(OFFSET($P184,0,AE$13),15-13*ORÇAMENTO!$AF$7)/$H184*OFFSET(ORÇAMENTO!$X$15,ROW(AE184)-ROW(AE$15),0),
ROUND(ROUND(OFFSET($P184,0,AE$13),15-13*ORÇAMENTO!$AF$7)*OFFSET(ORÇAMENTO!$W$15,ROW(AE184)-ROW(AE$15),0),15-13*ORÇAMENTO!$AF$11)),0)</f>
        <v>0</v>
      </c>
      <c r="AF184" s="545">
        <f ca="1">IF(AND($D184="Serviço",AF$12&lt;&gt;0,$H184&gt;0,OR(AUTOEVENTO&lt;&gt;"manual",$M184&lt;&gt;1)),
IF(Import.TipoArredondamento&lt;&gt;"TransfereGOV",
ROUND(OFFSET($P184,0,AF$13),15-13*ORÇAMENTO!$AF$7)/$H184*OFFSET(ORÇAMENTO!$X$15,ROW(AF184)-ROW(AF$15),0),
ROUND(ROUND(OFFSET($P184,0,AF$13),15-13*ORÇAMENTO!$AF$7)*OFFSET(ORÇAMENTO!$W$15,ROW(AF184)-ROW(AF$15),0),15-13*ORÇAMENTO!$AF$11)),0)</f>
        <v>0</v>
      </c>
      <c r="AG184" s="545">
        <f ca="1">IF(AND($D184="Serviço",AG$12&lt;&gt;0,$H184&gt;0,OR(AUTOEVENTO&lt;&gt;"manual",$M184&lt;&gt;1)),
IF(Import.TipoArredondamento&lt;&gt;"TransfereGOV",
ROUND(OFFSET($P184,0,AG$13),15-13*ORÇAMENTO!$AF$7)/$H184*OFFSET(ORÇAMENTO!$X$15,ROW(AG184)-ROW(AG$15),0),
ROUND(ROUND(OFFSET($P184,0,AG$13),15-13*ORÇAMENTO!$AF$7)*OFFSET(ORÇAMENTO!$W$15,ROW(AG184)-ROW(AG$15),0),15-13*ORÇAMENTO!$AF$11)),0)</f>
        <v>0</v>
      </c>
      <c r="AH184" s="545">
        <f ca="1">IF(AND($D184="Serviço",AH$12&lt;&gt;0,$H184&gt;0,OR(AUTOEVENTO&lt;&gt;"manual",$M184&lt;&gt;1)),
IF(Import.TipoArredondamento&lt;&gt;"TransfereGOV",
ROUND(OFFSET($P184,0,AH$13),15-13*ORÇAMENTO!$AF$7)/$H184*OFFSET(ORÇAMENTO!$X$15,ROW(AH184)-ROW(AH$15),0),
ROUND(ROUND(OFFSET($P184,0,AH$13),15-13*ORÇAMENTO!$AF$7)*OFFSET(ORÇAMENTO!$W$15,ROW(AH184)-ROW(AH$15),0),15-13*ORÇAMENTO!$AF$11)),0)</f>
        <v>0</v>
      </c>
      <c r="AI184" s="545">
        <f ca="1">IF(AND($D184="Serviço",AI$12&lt;&gt;0,$H184&gt;0,OR(AUTOEVENTO&lt;&gt;"manual",$M184&lt;&gt;1)),
IF(Import.TipoArredondamento&lt;&gt;"TransfereGOV",
ROUND(OFFSET($P184,0,AI$13),15-13*ORÇAMENTO!$AF$7)/$H184*OFFSET(ORÇAMENTO!$X$15,ROW(AI184)-ROW(AI$15),0),
ROUND(ROUND(OFFSET($P184,0,AI$13),15-13*ORÇAMENTO!$AF$7)*OFFSET(ORÇAMENTO!$W$15,ROW(AI184)-ROW(AI$15),0),15-13*ORÇAMENTO!$AF$11)),0)</f>
        <v>0</v>
      </c>
      <c r="AJ184" s="545">
        <f ca="1">IF(AND($D184="Serviço",AJ$12&lt;&gt;0,$H184&gt;0,OR(AUTOEVENTO&lt;&gt;"manual",$M184&lt;&gt;1)),
IF(Import.TipoArredondamento&lt;&gt;"TransfereGOV",
ROUND(OFFSET($P184,0,AJ$13),15-13*ORÇAMENTO!$AF$7)/$H184*OFFSET(ORÇAMENTO!$X$15,ROW(AJ184)-ROW(AJ$15),0),
ROUND(ROUND(OFFSET($P184,0,AJ$13),15-13*ORÇAMENTO!$AF$7)*OFFSET(ORÇAMENTO!$W$15,ROW(AJ184)-ROW(AJ$15),0),15-13*ORÇAMENTO!$AF$11)),0)</f>
        <v>0</v>
      </c>
      <c r="AK184" s="546">
        <f ca="1">IF(AND($D184="Serviço",AK$12&lt;&gt;0,$H184&gt;0,OR(AUTOEVENTO&lt;&gt;"manual",$M184&lt;&gt;1)),
IF(Import.TipoArredondamento&lt;&gt;"TransfereGOV",
ROUND(OFFSET($P184,0,AK$13),15-13*ORÇAMENTO!$AF$7)/$H184*OFFSET(ORÇAMENTO!$X$15,ROW(AK184)-ROW(AK$15),0),
ROUND(ROUND(OFFSET($P184,0,AK$13),15-13*ORÇAMENTO!$AF$7)*OFFSET(ORÇAMENTO!$W$15,ROW(AK184)-ROW(AK$15),0),15-13*ORÇAMENTO!$AF$11)),0)</f>
        <v>0</v>
      </c>
      <c r="AM184" s="181">
        <f ca="1">IF($D184&lt;&gt;"Serviço",0,IF(AND(AUTOEVENTO="Manual",$M184=1),0,IF(OFFSET(CRONOPLE!$F$14,$M184,AM$13)="",10^12,OFFSET(CRONOPLE!$F$14,$M184,AM$13))))</f>
        <v>0</v>
      </c>
      <c r="AN184" s="181">
        <f ca="1">IF($D184&lt;&gt;"Serviço",0,IF(AND(AUTOEVENTO="Manual",$M184=1),0,IF(OFFSET(CRONOPLE!$F$14,$M184,AN$13)="",10^12,OFFSET(CRONOPLE!$F$14,$M184,AN$13))))</f>
        <v>0</v>
      </c>
      <c r="AO184" s="181">
        <f ca="1">IF($D184&lt;&gt;"Serviço",0,IF(AND(AUTOEVENTO="Manual",$M184=1),0,IF(OFFSET(CRONOPLE!$F$14,$M184,AO$13)="",10^12,OFFSET(CRONOPLE!$F$14,$M184,AO$13))))</f>
        <v>0</v>
      </c>
      <c r="AP184" s="181">
        <f ca="1">IF($D184&lt;&gt;"Serviço",0,IF(AND(AUTOEVENTO="Manual",$M184=1),0,IF(OFFSET(CRONOPLE!$F$14,$M184,AP$13)="",10^12,OFFSET(CRONOPLE!$F$14,$M184,AP$13))))</f>
        <v>0</v>
      </c>
      <c r="AQ184" s="181">
        <f ca="1">IF($D184&lt;&gt;"Serviço",0,IF(AND(AUTOEVENTO="Manual",$M184=1),0,IF(OFFSET(CRONOPLE!$F$14,$M184,AQ$13)="",10^12,OFFSET(CRONOPLE!$F$14,$M184,AQ$13))))</f>
        <v>0</v>
      </c>
      <c r="AR184" s="181">
        <f ca="1">IF($D184&lt;&gt;"Serviço",0,IF(AND(AUTOEVENTO="Manual",$M184=1),0,IF(OFFSET(CRONOPLE!$F$14,$M184,AR$13)="",10^12,OFFSET(CRONOPLE!$F$14,$M184,AR$13))))</f>
        <v>0</v>
      </c>
      <c r="AS184" s="181">
        <f ca="1">IF($D184&lt;&gt;"Serviço",0,IF(AND(AUTOEVENTO="Manual",$M184=1),0,IF(OFFSET(CRONOPLE!$F$14,$M184,AS$13)="",10^12,OFFSET(CRONOPLE!$F$14,$M184,AS$13))))</f>
        <v>0</v>
      </c>
      <c r="AT184" s="181">
        <f ca="1">IF($D184&lt;&gt;"Serviço",0,IF(AND(AUTOEVENTO="Manual",$M184=1),0,IF(OFFSET(CRONOPLE!$F$14,$M184,AT$13)="",10^12,OFFSET(CRONOPLE!$F$14,$M184,AT$13))))</f>
        <v>0</v>
      </c>
      <c r="AU184" s="181">
        <f ca="1">IF($D184&lt;&gt;"Serviço",0,IF(AND(AUTOEVENTO="Manual",$M184=1),0,IF(OFFSET(CRONOPLE!$F$14,$M184,AU$13)="",10^12,OFFSET(CRONOPLE!$F$14,$M184,AU$13))))</f>
        <v>0</v>
      </c>
      <c r="AV184" s="181">
        <f ca="1">IF($D184&lt;&gt;"Serviço",0,IF(AND(AUTOEVENTO="Manual",$M184=1),0,IF(OFFSET(CRONOPLE!$F$14,$M184,AV$13)="",10^12,OFFSET(CRONOPLE!$F$14,$M184,AV$13))))</f>
        <v>0</v>
      </c>
      <c r="AX184" s="182">
        <f ca="1">IF($D184&lt;&gt;"Serviço",0,IF(OR(AND(AUTOEVENTO="Manual",$M184=1),$M184&gt;(ROW(PLE.lastrow)-ROW(PLE.firstrow))),0,IF(OFFSET(PLE!$G$14,$M184,AX$13)="",10^12,OFFSET(PLE!$G$14,$M184,AX$13))))</f>
        <v>0</v>
      </c>
      <c r="AY184" s="182">
        <f ca="1">IF($D184&lt;&gt;"Serviço",0,IF(OR(AND(AUTOEVENTO="Manual",$M184=1),$M184&gt;(ROW(PLE.lastrow)-ROW(PLE.firstrow))),0,IF(OFFSET(PLE!$G$14,$M184,AY$13)="",10^12,OFFSET(PLE!$G$14,$M184,AY$13))))</f>
        <v>0</v>
      </c>
      <c r="AZ184" s="182">
        <f ca="1">IF($D184&lt;&gt;"Serviço",0,IF(OR(AND(AUTOEVENTO="Manual",$M184=1),$M184&gt;(ROW(PLE.lastrow)-ROW(PLE.firstrow))),0,IF(OFFSET(PLE!$G$14,$M184,AZ$13)="",10^12,OFFSET(PLE!$G$14,$M184,AZ$13))))</f>
        <v>0</v>
      </c>
      <c r="BA184" s="182">
        <f ca="1">IF($D184&lt;&gt;"Serviço",0,IF(OR(AND(AUTOEVENTO="Manual",$M184=1),$M184&gt;(ROW(PLE.lastrow)-ROW(PLE.firstrow))),0,IF(OFFSET(PLE!$G$14,$M184,BA$13)="",10^12,OFFSET(PLE!$G$14,$M184,BA$13))))</f>
        <v>0</v>
      </c>
      <c r="BB184" s="182">
        <f ca="1">IF($D184&lt;&gt;"Serviço",0,IF(OR(AND(AUTOEVENTO="Manual",$M184=1),$M184&gt;(ROW(PLE.lastrow)-ROW(PLE.firstrow))),0,IF(OFFSET(PLE!$G$14,$M184,BB$13)="",10^12,OFFSET(PLE!$G$14,$M184,BB$13))))</f>
        <v>0</v>
      </c>
      <c r="BC184" s="182">
        <f ca="1">IF($D184&lt;&gt;"Serviço",0,IF(OR(AND(AUTOEVENTO="Manual",$M184=1),$M184&gt;(ROW(PLE.lastrow)-ROW(PLE.firstrow))),0,IF(OFFSET(PLE!$G$14,$M184,BC$13)="",10^12,OFFSET(PLE!$G$14,$M184,BC$13))))</f>
        <v>0</v>
      </c>
      <c r="BD184" s="182">
        <f ca="1">IF($D184&lt;&gt;"Serviço",0,IF(OR(AND(AUTOEVENTO="Manual",$M184=1),$M184&gt;(ROW(PLE.lastrow)-ROW(PLE.firstrow))),0,IF(OFFSET(PLE!$G$14,$M184,BD$13)="",10^12,OFFSET(PLE!$G$14,$M184,BD$13))))</f>
        <v>0</v>
      </c>
      <c r="BE184" s="182">
        <f ca="1">IF($D184&lt;&gt;"Serviço",0,IF(OR(AND(AUTOEVENTO="Manual",$M184=1),$M184&gt;(ROW(PLE.lastrow)-ROW(PLE.firstrow))),0,IF(OFFSET(PLE!$G$14,$M184,BE$13)="",10^12,OFFSET(PLE!$G$14,$M184,BE$13))))</f>
        <v>0</v>
      </c>
      <c r="BF184" s="182">
        <f ca="1">IF($D184&lt;&gt;"Serviço",0,IF(OR(AND(AUTOEVENTO="Manual",$M184=1),$M184&gt;(ROW(PLE.lastrow)-ROW(PLE.firstrow))),0,IF(OFFSET(PLE!$G$14,$M184,BF$13)="",10^12,OFFSET(PLE!$G$14,$M184,BF$13))))</f>
        <v>0</v>
      </c>
      <c r="BG184" s="182">
        <f ca="1">IF($D184&lt;&gt;"Serviço",0,IF(OR(AND(AUTOEVENTO="Manual",$M184=1),$M184&gt;(ROW(PLE.lastrow)-ROW(PLE.firstrow))),0,IF(OFFSET(PLE!$G$14,$M184,BG$13)="",10^12,OFFSET(PLE!$G$14,$M184,BG$13))))</f>
        <v>0</v>
      </c>
    </row>
    <row r="185" spans="1:59" ht="25.5" x14ac:dyDescent="0.2">
      <c r="A185" s="7" t="str">
        <f t="shared" ca="1" si="10"/>
        <v>169</v>
      </c>
      <c r="B185" s="7" t="str">
        <f ca="1">OFFSET(ORÇAMENTO!C$15,ROW(B185)-ROW(B$15),0)</f>
        <v>S</v>
      </c>
      <c r="C185" s="7" t="str">
        <f ca="1">OFFSET(ORÇAMENTO!L$15,ROW(C185)-ROW(C$15),0)</f>
        <v/>
      </c>
      <c r="D185" s="118" t="str">
        <f ca="1">OFFSET(ORÇAMENTO!N$15,ROW(D185)-ROW(D$15),0)</f>
        <v>Serviço</v>
      </c>
      <c r="E185" s="119" t="str">
        <f ca="1">OFFSET(ORÇAMENTO!O$15,ROW(E185)-ROW(E$15),0)</f>
        <v>-</v>
      </c>
      <c r="F185" s="172" t="str">
        <f ca="1">OFFSET(ORÇAMENTO!R$15,ROW(F185)-ROW(F$15),0)</f>
        <v>(abra o arquivo 'Referência 02-2025.xlsm)</v>
      </c>
      <c r="G185" s="173" t="str">
        <f ca="1">IF($D185&lt;&gt;"Serviço","",OFFSET(ORÇAMENTO!S$15,ROW(G185)-ROW(G$15),0))</f>
        <v>-</v>
      </c>
      <c r="H185" s="124">
        <f ca="1">IF($D185&lt;&gt;"Serviço",0,IF(ACOMPANHAMENTO="BM",ROUND(OFFSET(ORÇAMENTO!AJ$15,ROW(H185)-ROW(H$15),0),15-13*ORÇAMENTO!$AF$7),SUMPRODUCT(($Q$12:$AA$12&lt;&gt;"")*ROUND($Q185:$AA185,15-13*ORÇAMENTO!$AF$7))))</f>
        <v>696.69</v>
      </c>
      <c r="I185" s="561" t="s">
        <v>890</v>
      </c>
      <c r="K185" s="174"/>
      <c r="L185" s="175" t="s">
        <v>255</v>
      </c>
      <c r="M185" s="176">
        <f ca="1">IF($D185&lt;&gt;"Serviço","",IF(AUTOEVENTO="manual",$A185,IF(ISERROR(MATCH($A185,$A$15:OFFSET($A185,-1,0),0)),MAX($M$15:OFFSET(M185,-1,0))+1,INDEX($M$15:OFFSET(M185,-1,0),MATCH($A185,$A$15:OFFSET($A185,-1,0),0)))))</f>
        <v>9</v>
      </c>
      <c r="N185" s="177" t="str">
        <f ca="1">IF($D185&lt;&gt;"Serviço","",IF(AUTOEVENTO="Manual",IF($A185=0,"&lt;-- defina o número do agrupador",OFFSET(EVENTOS!$D$14,$A185,0)),OFFSET($F$15,$A185,0)))</f>
        <v>IMPERMEABILIZAÇÃO</v>
      </c>
      <c r="O185" s="178"/>
      <c r="Q185" s="178"/>
      <c r="R185" s="179"/>
      <c r="S185" s="179"/>
      <c r="T185" s="179"/>
      <c r="U185" s="179"/>
      <c r="V185" s="179"/>
      <c r="W185" s="179"/>
      <c r="X185" s="179"/>
      <c r="Y185" s="179"/>
      <c r="Z185" s="180"/>
      <c r="AB185" s="544">
        <f ca="1">IF(AND($D185="Serviço",AB$12&lt;&gt;0,$H185&gt;0,OR(AUTOEVENTO&lt;&gt;"manual",$M185&lt;&gt;1)),
IF(Import.TipoArredondamento&lt;&gt;"TransfereGOV",
ROUND(OFFSET($P185,0,AB$13),15-13*ORÇAMENTO!$AF$7)/$H185*OFFSET(ORÇAMENTO!$X$15,ROW(AB185)-ROW(AB$15),0),
ROUND(ROUND(OFFSET($P185,0,AB$13),15-13*ORÇAMENTO!$AF$7)*OFFSET(ORÇAMENTO!$W$15,ROW(AB185)-ROW(AB$15),0),15-13*ORÇAMENTO!$AF$11)),0)</f>
        <v>0</v>
      </c>
      <c r="AC185" s="545">
        <f ca="1">IF(AND($D185="Serviço",AC$12&lt;&gt;0,$H185&gt;0,OR(AUTOEVENTO&lt;&gt;"manual",$M185&lt;&gt;1)),
IF(Import.TipoArredondamento&lt;&gt;"TransfereGOV",
ROUND(OFFSET($P185,0,AC$13),15-13*ORÇAMENTO!$AF$7)/$H185*OFFSET(ORÇAMENTO!$X$15,ROW(AC185)-ROW(AC$15),0),
ROUND(ROUND(OFFSET($P185,0,AC$13),15-13*ORÇAMENTO!$AF$7)*OFFSET(ORÇAMENTO!$W$15,ROW(AC185)-ROW(AC$15),0),15-13*ORÇAMENTO!$AF$11)),0)</f>
        <v>0</v>
      </c>
      <c r="AD185" s="545">
        <f ca="1">IF(AND($D185="Serviço",AD$12&lt;&gt;0,$H185&gt;0,OR(AUTOEVENTO&lt;&gt;"manual",$M185&lt;&gt;1)),
IF(Import.TipoArredondamento&lt;&gt;"TransfereGOV",
ROUND(OFFSET($P185,0,AD$13),15-13*ORÇAMENTO!$AF$7)/$H185*OFFSET(ORÇAMENTO!$X$15,ROW(AD185)-ROW(AD$15),0),
ROUND(ROUND(OFFSET($P185,0,AD$13),15-13*ORÇAMENTO!$AF$7)*OFFSET(ORÇAMENTO!$W$15,ROW(AD185)-ROW(AD$15),0),15-13*ORÇAMENTO!$AF$11)),0)</f>
        <v>0</v>
      </c>
      <c r="AE185" s="545">
        <f ca="1">IF(AND($D185="Serviço",AE$12&lt;&gt;0,$H185&gt;0,OR(AUTOEVENTO&lt;&gt;"manual",$M185&lt;&gt;1)),
IF(Import.TipoArredondamento&lt;&gt;"TransfereGOV",
ROUND(OFFSET($P185,0,AE$13),15-13*ORÇAMENTO!$AF$7)/$H185*OFFSET(ORÇAMENTO!$X$15,ROW(AE185)-ROW(AE$15),0),
ROUND(ROUND(OFFSET($P185,0,AE$13),15-13*ORÇAMENTO!$AF$7)*OFFSET(ORÇAMENTO!$W$15,ROW(AE185)-ROW(AE$15),0),15-13*ORÇAMENTO!$AF$11)),0)</f>
        <v>0</v>
      </c>
      <c r="AF185" s="545">
        <f ca="1">IF(AND($D185="Serviço",AF$12&lt;&gt;0,$H185&gt;0,OR(AUTOEVENTO&lt;&gt;"manual",$M185&lt;&gt;1)),
IF(Import.TipoArredondamento&lt;&gt;"TransfereGOV",
ROUND(OFFSET($P185,0,AF$13),15-13*ORÇAMENTO!$AF$7)/$H185*OFFSET(ORÇAMENTO!$X$15,ROW(AF185)-ROW(AF$15),0),
ROUND(ROUND(OFFSET($P185,0,AF$13),15-13*ORÇAMENTO!$AF$7)*OFFSET(ORÇAMENTO!$W$15,ROW(AF185)-ROW(AF$15),0),15-13*ORÇAMENTO!$AF$11)),0)</f>
        <v>0</v>
      </c>
      <c r="AG185" s="545">
        <f ca="1">IF(AND($D185="Serviço",AG$12&lt;&gt;0,$H185&gt;0,OR(AUTOEVENTO&lt;&gt;"manual",$M185&lt;&gt;1)),
IF(Import.TipoArredondamento&lt;&gt;"TransfereGOV",
ROUND(OFFSET($P185,0,AG$13),15-13*ORÇAMENTO!$AF$7)/$H185*OFFSET(ORÇAMENTO!$X$15,ROW(AG185)-ROW(AG$15),0),
ROUND(ROUND(OFFSET($P185,0,AG$13),15-13*ORÇAMENTO!$AF$7)*OFFSET(ORÇAMENTO!$W$15,ROW(AG185)-ROW(AG$15),0),15-13*ORÇAMENTO!$AF$11)),0)</f>
        <v>0</v>
      </c>
      <c r="AH185" s="545">
        <f ca="1">IF(AND($D185="Serviço",AH$12&lt;&gt;0,$H185&gt;0,OR(AUTOEVENTO&lt;&gt;"manual",$M185&lt;&gt;1)),
IF(Import.TipoArredondamento&lt;&gt;"TransfereGOV",
ROUND(OFFSET($P185,0,AH$13),15-13*ORÇAMENTO!$AF$7)/$H185*OFFSET(ORÇAMENTO!$X$15,ROW(AH185)-ROW(AH$15),0),
ROUND(ROUND(OFFSET($P185,0,AH$13),15-13*ORÇAMENTO!$AF$7)*OFFSET(ORÇAMENTO!$W$15,ROW(AH185)-ROW(AH$15),0),15-13*ORÇAMENTO!$AF$11)),0)</f>
        <v>0</v>
      </c>
      <c r="AI185" s="545">
        <f ca="1">IF(AND($D185="Serviço",AI$12&lt;&gt;0,$H185&gt;0,OR(AUTOEVENTO&lt;&gt;"manual",$M185&lt;&gt;1)),
IF(Import.TipoArredondamento&lt;&gt;"TransfereGOV",
ROUND(OFFSET($P185,0,AI$13),15-13*ORÇAMENTO!$AF$7)/$H185*OFFSET(ORÇAMENTO!$X$15,ROW(AI185)-ROW(AI$15),0),
ROUND(ROUND(OFFSET($P185,0,AI$13),15-13*ORÇAMENTO!$AF$7)*OFFSET(ORÇAMENTO!$W$15,ROW(AI185)-ROW(AI$15),0),15-13*ORÇAMENTO!$AF$11)),0)</f>
        <v>0</v>
      </c>
      <c r="AJ185" s="545">
        <f ca="1">IF(AND($D185="Serviço",AJ$12&lt;&gt;0,$H185&gt;0,OR(AUTOEVENTO&lt;&gt;"manual",$M185&lt;&gt;1)),
IF(Import.TipoArredondamento&lt;&gt;"TransfereGOV",
ROUND(OFFSET($P185,0,AJ$13),15-13*ORÇAMENTO!$AF$7)/$H185*OFFSET(ORÇAMENTO!$X$15,ROW(AJ185)-ROW(AJ$15),0),
ROUND(ROUND(OFFSET($P185,0,AJ$13),15-13*ORÇAMENTO!$AF$7)*OFFSET(ORÇAMENTO!$W$15,ROW(AJ185)-ROW(AJ$15),0),15-13*ORÇAMENTO!$AF$11)),0)</f>
        <v>0</v>
      </c>
      <c r="AK185" s="546">
        <f ca="1">IF(AND($D185="Serviço",AK$12&lt;&gt;0,$H185&gt;0,OR(AUTOEVENTO&lt;&gt;"manual",$M185&lt;&gt;1)),
IF(Import.TipoArredondamento&lt;&gt;"TransfereGOV",
ROUND(OFFSET($P185,0,AK$13),15-13*ORÇAMENTO!$AF$7)/$H185*OFFSET(ORÇAMENTO!$X$15,ROW(AK185)-ROW(AK$15),0),
ROUND(ROUND(OFFSET($P185,0,AK$13),15-13*ORÇAMENTO!$AF$7)*OFFSET(ORÇAMENTO!$W$15,ROW(AK185)-ROW(AK$15),0),15-13*ORÇAMENTO!$AF$11)),0)</f>
        <v>0</v>
      </c>
      <c r="AM185" s="181">
        <f ca="1">IF($D185&lt;&gt;"Serviço",0,IF(AND(AUTOEVENTO="Manual",$M185=1),0,IF(OFFSET(CRONOPLE!$F$14,$M185,AM$13)="",10^12,OFFSET(CRONOPLE!$F$14,$M185,AM$13))))</f>
        <v>1000000000000</v>
      </c>
      <c r="AN185" s="181">
        <f ca="1">IF($D185&lt;&gt;"Serviço",0,IF(AND(AUTOEVENTO="Manual",$M185=1),0,IF(OFFSET(CRONOPLE!$F$14,$M185,AN$13)="",10^12,OFFSET(CRONOPLE!$F$14,$M185,AN$13))))</f>
        <v>1000000000000</v>
      </c>
      <c r="AO185" s="181">
        <f ca="1">IF($D185&lt;&gt;"Serviço",0,IF(AND(AUTOEVENTO="Manual",$M185=1),0,IF(OFFSET(CRONOPLE!$F$14,$M185,AO$13)="",10^12,OFFSET(CRONOPLE!$F$14,$M185,AO$13))))</f>
        <v>1000000000000</v>
      </c>
      <c r="AP185" s="181">
        <f ca="1">IF($D185&lt;&gt;"Serviço",0,IF(AND(AUTOEVENTO="Manual",$M185=1),0,IF(OFFSET(CRONOPLE!$F$14,$M185,AP$13)="",10^12,OFFSET(CRONOPLE!$F$14,$M185,AP$13))))</f>
        <v>1000000000000</v>
      </c>
      <c r="AQ185" s="181">
        <f ca="1">IF($D185&lt;&gt;"Serviço",0,IF(AND(AUTOEVENTO="Manual",$M185=1),0,IF(OFFSET(CRONOPLE!$F$14,$M185,AQ$13)="",10^12,OFFSET(CRONOPLE!$F$14,$M185,AQ$13))))</f>
        <v>1000000000000</v>
      </c>
      <c r="AR185" s="181">
        <f ca="1">IF($D185&lt;&gt;"Serviço",0,IF(AND(AUTOEVENTO="Manual",$M185=1),0,IF(OFFSET(CRONOPLE!$F$14,$M185,AR$13)="",10^12,OFFSET(CRONOPLE!$F$14,$M185,AR$13))))</f>
        <v>1000000000000</v>
      </c>
      <c r="AS185" s="181">
        <f ca="1">IF($D185&lt;&gt;"Serviço",0,IF(AND(AUTOEVENTO="Manual",$M185=1),0,IF(OFFSET(CRONOPLE!$F$14,$M185,AS$13)="",10^12,OFFSET(CRONOPLE!$F$14,$M185,AS$13))))</f>
        <v>1000000000000</v>
      </c>
      <c r="AT185" s="181">
        <f ca="1">IF($D185&lt;&gt;"Serviço",0,IF(AND(AUTOEVENTO="Manual",$M185=1),0,IF(OFFSET(CRONOPLE!$F$14,$M185,AT$13)="",10^12,OFFSET(CRONOPLE!$F$14,$M185,AT$13))))</f>
        <v>1000000000000</v>
      </c>
      <c r="AU185" s="181">
        <f ca="1">IF($D185&lt;&gt;"Serviço",0,IF(AND(AUTOEVENTO="Manual",$M185=1),0,IF(OFFSET(CRONOPLE!$F$14,$M185,AU$13)="",10^12,OFFSET(CRONOPLE!$F$14,$M185,AU$13))))</f>
        <v>1000000000000</v>
      </c>
      <c r="AV185" s="181">
        <f ca="1">IF($D185&lt;&gt;"Serviço",0,IF(AND(AUTOEVENTO="Manual",$M185=1),0,IF(OFFSET(CRONOPLE!$F$14,$M185,AV$13)="",10^12,OFFSET(CRONOPLE!$F$14,$M185,AV$13))))</f>
        <v>1000000000000</v>
      </c>
      <c r="AX185" s="182">
        <f ca="1">IF($D185&lt;&gt;"Serviço",0,IF(OR(AND(AUTOEVENTO="Manual",$M185=1),$M185&gt;(ROW(PLE.lastrow)-ROW(PLE.firstrow))),0,IF(OFFSET(PLE!$G$14,$M185,AX$13)="",10^12,OFFSET(PLE!$G$14,$M185,AX$13))))</f>
        <v>1000000000000</v>
      </c>
      <c r="AY185" s="182">
        <f ca="1">IF($D185&lt;&gt;"Serviço",0,IF(OR(AND(AUTOEVENTO="Manual",$M185=1),$M185&gt;(ROW(PLE.lastrow)-ROW(PLE.firstrow))),0,IF(OFFSET(PLE!$G$14,$M185,AY$13)="",10^12,OFFSET(PLE!$G$14,$M185,AY$13))))</f>
        <v>1000000000000</v>
      </c>
      <c r="AZ185" s="182">
        <f ca="1">IF($D185&lt;&gt;"Serviço",0,IF(OR(AND(AUTOEVENTO="Manual",$M185=1),$M185&gt;(ROW(PLE.lastrow)-ROW(PLE.firstrow))),0,IF(OFFSET(PLE!$G$14,$M185,AZ$13)="",10^12,OFFSET(PLE!$G$14,$M185,AZ$13))))</f>
        <v>1000000000000</v>
      </c>
      <c r="BA185" s="182">
        <f ca="1">IF($D185&lt;&gt;"Serviço",0,IF(OR(AND(AUTOEVENTO="Manual",$M185=1),$M185&gt;(ROW(PLE.lastrow)-ROW(PLE.firstrow))),0,IF(OFFSET(PLE!$G$14,$M185,BA$13)="",10^12,OFFSET(PLE!$G$14,$M185,BA$13))))</f>
        <v>1000000000000</v>
      </c>
      <c r="BB185" s="182">
        <f ca="1">IF($D185&lt;&gt;"Serviço",0,IF(OR(AND(AUTOEVENTO="Manual",$M185=1),$M185&gt;(ROW(PLE.lastrow)-ROW(PLE.firstrow))),0,IF(OFFSET(PLE!$G$14,$M185,BB$13)="",10^12,OFFSET(PLE!$G$14,$M185,BB$13))))</f>
        <v>1000000000000</v>
      </c>
      <c r="BC185" s="182">
        <f ca="1">IF($D185&lt;&gt;"Serviço",0,IF(OR(AND(AUTOEVENTO="Manual",$M185=1),$M185&gt;(ROW(PLE.lastrow)-ROW(PLE.firstrow))),0,IF(OFFSET(PLE!$G$14,$M185,BC$13)="",10^12,OFFSET(PLE!$G$14,$M185,BC$13))))</f>
        <v>1000000000000</v>
      </c>
      <c r="BD185" s="182">
        <f ca="1">IF($D185&lt;&gt;"Serviço",0,IF(OR(AND(AUTOEVENTO="Manual",$M185=1),$M185&gt;(ROW(PLE.lastrow)-ROW(PLE.firstrow))),0,IF(OFFSET(PLE!$G$14,$M185,BD$13)="",10^12,OFFSET(PLE!$G$14,$M185,BD$13))))</f>
        <v>1000000000000</v>
      </c>
      <c r="BE185" s="182">
        <f ca="1">IF($D185&lt;&gt;"Serviço",0,IF(OR(AND(AUTOEVENTO="Manual",$M185=1),$M185&gt;(ROW(PLE.lastrow)-ROW(PLE.firstrow))),0,IF(OFFSET(PLE!$G$14,$M185,BE$13)="",10^12,OFFSET(PLE!$G$14,$M185,BE$13))))</f>
        <v>1000000000000</v>
      </c>
      <c r="BF185" s="182">
        <f ca="1">IF($D185&lt;&gt;"Serviço",0,IF(OR(AND(AUTOEVENTO="Manual",$M185=1),$M185&gt;(ROW(PLE.lastrow)-ROW(PLE.firstrow))),0,IF(OFFSET(PLE!$G$14,$M185,BF$13)="",10^12,OFFSET(PLE!$G$14,$M185,BF$13))))</f>
        <v>1000000000000</v>
      </c>
      <c r="BG185" s="182">
        <f ca="1">IF($D185&lt;&gt;"Serviço",0,IF(OR(AND(AUTOEVENTO="Manual",$M185=1),$M185&gt;(ROW(PLE.lastrow)-ROW(PLE.firstrow))),0,IF(OFFSET(PLE!$G$14,$M185,BG$13)="",10^12,OFFSET(PLE!$G$14,$M185,BG$13))))</f>
        <v>1000000000000</v>
      </c>
    </row>
    <row r="186" spans="1:59" ht="25.5" x14ac:dyDescent="0.2">
      <c r="A186" s="7" t="str">
        <f t="shared" ca="1" si="10"/>
        <v>169</v>
      </c>
      <c r="B186" s="7" t="str">
        <f ca="1">OFFSET(ORÇAMENTO!C$15,ROW(B186)-ROW(B$15),0)</f>
        <v>S</v>
      </c>
      <c r="C186" s="7" t="str">
        <f ca="1">OFFSET(ORÇAMENTO!L$15,ROW(C186)-ROW(C$15),0)</f>
        <v/>
      </c>
      <c r="D186" s="118" t="str">
        <f ca="1">OFFSET(ORÇAMENTO!N$15,ROW(D186)-ROW(D$15),0)</f>
        <v>Serviço</v>
      </c>
      <c r="E186" s="119" t="str">
        <f ca="1">OFFSET(ORÇAMENTO!O$15,ROW(E186)-ROW(E$15),0)</f>
        <v>-</v>
      </c>
      <c r="F186" s="172" t="str">
        <f ca="1">OFFSET(ORÇAMENTO!R$15,ROW(F186)-ROW(F$15),0)</f>
        <v>(abra o arquivo 'Referência 02-2025.xlsm)</v>
      </c>
      <c r="G186" s="173" t="str">
        <f ca="1">IF($D186&lt;&gt;"Serviço","",OFFSET(ORÇAMENTO!S$15,ROW(G186)-ROW(G$15),0))</f>
        <v>-</v>
      </c>
      <c r="H186" s="124">
        <f ca="1">IF($D186&lt;&gt;"Serviço",0,IF(ACOMPANHAMENTO="BM",ROUND(OFFSET(ORÇAMENTO!AJ$15,ROW(H186)-ROW(H$15),0),15-13*ORÇAMENTO!$AF$7),SUMPRODUCT(($Q$12:$AA$12&lt;&gt;"")*ROUND($Q186:$AA186,15-13*ORÇAMENTO!$AF$7))))</f>
        <v>11.75</v>
      </c>
      <c r="I186" s="561" t="s">
        <v>890</v>
      </c>
      <c r="K186" s="174"/>
      <c r="L186" s="175" t="s">
        <v>255</v>
      </c>
      <c r="M186" s="176">
        <f ca="1">IF($D186&lt;&gt;"Serviço","",IF(AUTOEVENTO="manual",$A186,IF(ISERROR(MATCH($A186,$A$15:OFFSET($A186,-1,0),0)),MAX($M$15:OFFSET(M186,-1,0))+1,INDEX($M$15:OFFSET(M186,-1,0),MATCH($A186,$A$15:OFFSET($A186,-1,0),0)))))</f>
        <v>9</v>
      </c>
      <c r="N186" s="177" t="str">
        <f ca="1">IF($D186&lt;&gt;"Serviço","",IF(AUTOEVENTO="Manual",IF($A186=0,"&lt;-- defina o número do agrupador",OFFSET(EVENTOS!$D$14,$A186,0)),OFFSET($F$15,$A186,0)))</f>
        <v>IMPERMEABILIZAÇÃO</v>
      </c>
      <c r="O186" s="178"/>
      <c r="Q186" s="178"/>
      <c r="R186" s="179"/>
      <c r="S186" s="179"/>
      <c r="T186" s="179"/>
      <c r="U186" s="179"/>
      <c r="V186" s="179"/>
      <c r="W186" s="179"/>
      <c r="X186" s="179"/>
      <c r="Y186" s="179"/>
      <c r="Z186" s="180"/>
      <c r="AB186" s="544">
        <f ca="1">IF(AND($D186="Serviço",AB$12&lt;&gt;0,$H186&gt;0,OR(AUTOEVENTO&lt;&gt;"manual",$M186&lt;&gt;1)),
IF(Import.TipoArredondamento&lt;&gt;"TransfereGOV",
ROUND(OFFSET($P186,0,AB$13),15-13*ORÇAMENTO!$AF$7)/$H186*OFFSET(ORÇAMENTO!$X$15,ROW(AB186)-ROW(AB$15),0),
ROUND(ROUND(OFFSET($P186,0,AB$13),15-13*ORÇAMENTO!$AF$7)*OFFSET(ORÇAMENTO!$W$15,ROW(AB186)-ROW(AB$15),0),15-13*ORÇAMENTO!$AF$11)),0)</f>
        <v>0</v>
      </c>
      <c r="AC186" s="545">
        <f ca="1">IF(AND($D186="Serviço",AC$12&lt;&gt;0,$H186&gt;0,OR(AUTOEVENTO&lt;&gt;"manual",$M186&lt;&gt;1)),
IF(Import.TipoArredondamento&lt;&gt;"TransfereGOV",
ROUND(OFFSET($P186,0,AC$13),15-13*ORÇAMENTO!$AF$7)/$H186*OFFSET(ORÇAMENTO!$X$15,ROW(AC186)-ROW(AC$15),0),
ROUND(ROUND(OFFSET($P186,0,AC$13),15-13*ORÇAMENTO!$AF$7)*OFFSET(ORÇAMENTO!$W$15,ROW(AC186)-ROW(AC$15),0),15-13*ORÇAMENTO!$AF$11)),0)</f>
        <v>0</v>
      </c>
      <c r="AD186" s="545">
        <f ca="1">IF(AND($D186="Serviço",AD$12&lt;&gt;0,$H186&gt;0,OR(AUTOEVENTO&lt;&gt;"manual",$M186&lt;&gt;1)),
IF(Import.TipoArredondamento&lt;&gt;"TransfereGOV",
ROUND(OFFSET($P186,0,AD$13),15-13*ORÇAMENTO!$AF$7)/$H186*OFFSET(ORÇAMENTO!$X$15,ROW(AD186)-ROW(AD$15),0),
ROUND(ROUND(OFFSET($P186,0,AD$13),15-13*ORÇAMENTO!$AF$7)*OFFSET(ORÇAMENTO!$W$15,ROW(AD186)-ROW(AD$15),0),15-13*ORÇAMENTO!$AF$11)),0)</f>
        <v>0</v>
      </c>
      <c r="AE186" s="545">
        <f ca="1">IF(AND($D186="Serviço",AE$12&lt;&gt;0,$H186&gt;0,OR(AUTOEVENTO&lt;&gt;"manual",$M186&lt;&gt;1)),
IF(Import.TipoArredondamento&lt;&gt;"TransfereGOV",
ROUND(OFFSET($P186,0,AE$13),15-13*ORÇAMENTO!$AF$7)/$H186*OFFSET(ORÇAMENTO!$X$15,ROW(AE186)-ROW(AE$15),0),
ROUND(ROUND(OFFSET($P186,0,AE$13),15-13*ORÇAMENTO!$AF$7)*OFFSET(ORÇAMENTO!$W$15,ROW(AE186)-ROW(AE$15),0),15-13*ORÇAMENTO!$AF$11)),0)</f>
        <v>0</v>
      </c>
      <c r="AF186" s="545">
        <f ca="1">IF(AND($D186="Serviço",AF$12&lt;&gt;0,$H186&gt;0,OR(AUTOEVENTO&lt;&gt;"manual",$M186&lt;&gt;1)),
IF(Import.TipoArredondamento&lt;&gt;"TransfereGOV",
ROUND(OFFSET($P186,0,AF$13),15-13*ORÇAMENTO!$AF$7)/$H186*OFFSET(ORÇAMENTO!$X$15,ROW(AF186)-ROW(AF$15),0),
ROUND(ROUND(OFFSET($P186,0,AF$13),15-13*ORÇAMENTO!$AF$7)*OFFSET(ORÇAMENTO!$W$15,ROW(AF186)-ROW(AF$15),0),15-13*ORÇAMENTO!$AF$11)),0)</f>
        <v>0</v>
      </c>
      <c r="AG186" s="545">
        <f ca="1">IF(AND($D186="Serviço",AG$12&lt;&gt;0,$H186&gt;0,OR(AUTOEVENTO&lt;&gt;"manual",$M186&lt;&gt;1)),
IF(Import.TipoArredondamento&lt;&gt;"TransfereGOV",
ROUND(OFFSET($P186,0,AG$13),15-13*ORÇAMENTO!$AF$7)/$H186*OFFSET(ORÇAMENTO!$X$15,ROW(AG186)-ROW(AG$15),0),
ROUND(ROUND(OFFSET($P186,0,AG$13),15-13*ORÇAMENTO!$AF$7)*OFFSET(ORÇAMENTO!$W$15,ROW(AG186)-ROW(AG$15),0),15-13*ORÇAMENTO!$AF$11)),0)</f>
        <v>0</v>
      </c>
      <c r="AH186" s="545">
        <f ca="1">IF(AND($D186="Serviço",AH$12&lt;&gt;0,$H186&gt;0,OR(AUTOEVENTO&lt;&gt;"manual",$M186&lt;&gt;1)),
IF(Import.TipoArredondamento&lt;&gt;"TransfereGOV",
ROUND(OFFSET($P186,0,AH$13),15-13*ORÇAMENTO!$AF$7)/$H186*OFFSET(ORÇAMENTO!$X$15,ROW(AH186)-ROW(AH$15),0),
ROUND(ROUND(OFFSET($P186,0,AH$13),15-13*ORÇAMENTO!$AF$7)*OFFSET(ORÇAMENTO!$W$15,ROW(AH186)-ROW(AH$15),0),15-13*ORÇAMENTO!$AF$11)),0)</f>
        <v>0</v>
      </c>
      <c r="AI186" s="545">
        <f ca="1">IF(AND($D186="Serviço",AI$12&lt;&gt;0,$H186&gt;0,OR(AUTOEVENTO&lt;&gt;"manual",$M186&lt;&gt;1)),
IF(Import.TipoArredondamento&lt;&gt;"TransfereGOV",
ROUND(OFFSET($P186,0,AI$13),15-13*ORÇAMENTO!$AF$7)/$H186*OFFSET(ORÇAMENTO!$X$15,ROW(AI186)-ROW(AI$15),0),
ROUND(ROUND(OFFSET($P186,0,AI$13),15-13*ORÇAMENTO!$AF$7)*OFFSET(ORÇAMENTO!$W$15,ROW(AI186)-ROW(AI$15),0),15-13*ORÇAMENTO!$AF$11)),0)</f>
        <v>0</v>
      </c>
      <c r="AJ186" s="545">
        <f ca="1">IF(AND($D186="Serviço",AJ$12&lt;&gt;0,$H186&gt;0,OR(AUTOEVENTO&lt;&gt;"manual",$M186&lt;&gt;1)),
IF(Import.TipoArredondamento&lt;&gt;"TransfereGOV",
ROUND(OFFSET($P186,0,AJ$13),15-13*ORÇAMENTO!$AF$7)/$H186*OFFSET(ORÇAMENTO!$X$15,ROW(AJ186)-ROW(AJ$15),0),
ROUND(ROUND(OFFSET($P186,0,AJ$13),15-13*ORÇAMENTO!$AF$7)*OFFSET(ORÇAMENTO!$W$15,ROW(AJ186)-ROW(AJ$15),0),15-13*ORÇAMENTO!$AF$11)),0)</f>
        <v>0</v>
      </c>
      <c r="AK186" s="546">
        <f ca="1">IF(AND($D186="Serviço",AK$12&lt;&gt;0,$H186&gt;0,OR(AUTOEVENTO&lt;&gt;"manual",$M186&lt;&gt;1)),
IF(Import.TipoArredondamento&lt;&gt;"TransfereGOV",
ROUND(OFFSET($P186,0,AK$13),15-13*ORÇAMENTO!$AF$7)/$H186*OFFSET(ORÇAMENTO!$X$15,ROW(AK186)-ROW(AK$15),0),
ROUND(ROUND(OFFSET($P186,0,AK$13),15-13*ORÇAMENTO!$AF$7)*OFFSET(ORÇAMENTO!$W$15,ROW(AK186)-ROW(AK$15),0),15-13*ORÇAMENTO!$AF$11)),0)</f>
        <v>0</v>
      </c>
      <c r="AM186" s="181">
        <f ca="1">IF($D186&lt;&gt;"Serviço",0,IF(AND(AUTOEVENTO="Manual",$M186=1),0,IF(OFFSET(CRONOPLE!$F$14,$M186,AM$13)="",10^12,OFFSET(CRONOPLE!$F$14,$M186,AM$13))))</f>
        <v>1000000000000</v>
      </c>
      <c r="AN186" s="181">
        <f ca="1">IF($D186&lt;&gt;"Serviço",0,IF(AND(AUTOEVENTO="Manual",$M186=1),0,IF(OFFSET(CRONOPLE!$F$14,$M186,AN$13)="",10^12,OFFSET(CRONOPLE!$F$14,$M186,AN$13))))</f>
        <v>1000000000000</v>
      </c>
      <c r="AO186" s="181">
        <f ca="1">IF($D186&lt;&gt;"Serviço",0,IF(AND(AUTOEVENTO="Manual",$M186=1),0,IF(OFFSET(CRONOPLE!$F$14,$M186,AO$13)="",10^12,OFFSET(CRONOPLE!$F$14,$M186,AO$13))))</f>
        <v>1000000000000</v>
      </c>
      <c r="AP186" s="181">
        <f ca="1">IF($D186&lt;&gt;"Serviço",0,IF(AND(AUTOEVENTO="Manual",$M186=1),0,IF(OFFSET(CRONOPLE!$F$14,$M186,AP$13)="",10^12,OFFSET(CRONOPLE!$F$14,$M186,AP$13))))</f>
        <v>1000000000000</v>
      </c>
      <c r="AQ186" s="181">
        <f ca="1">IF($D186&lt;&gt;"Serviço",0,IF(AND(AUTOEVENTO="Manual",$M186=1),0,IF(OFFSET(CRONOPLE!$F$14,$M186,AQ$13)="",10^12,OFFSET(CRONOPLE!$F$14,$M186,AQ$13))))</f>
        <v>1000000000000</v>
      </c>
      <c r="AR186" s="181">
        <f ca="1">IF($D186&lt;&gt;"Serviço",0,IF(AND(AUTOEVENTO="Manual",$M186=1),0,IF(OFFSET(CRONOPLE!$F$14,$M186,AR$13)="",10^12,OFFSET(CRONOPLE!$F$14,$M186,AR$13))))</f>
        <v>1000000000000</v>
      </c>
      <c r="AS186" s="181">
        <f ca="1">IF($D186&lt;&gt;"Serviço",0,IF(AND(AUTOEVENTO="Manual",$M186=1),0,IF(OFFSET(CRONOPLE!$F$14,$M186,AS$13)="",10^12,OFFSET(CRONOPLE!$F$14,$M186,AS$13))))</f>
        <v>1000000000000</v>
      </c>
      <c r="AT186" s="181">
        <f ca="1">IF($D186&lt;&gt;"Serviço",0,IF(AND(AUTOEVENTO="Manual",$M186=1),0,IF(OFFSET(CRONOPLE!$F$14,$M186,AT$13)="",10^12,OFFSET(CRONOPLE!$F$14,$M186,AT$13))))</f>
        <v>1000000000000</v>
      </c>
      <c r="AU186" s="181">
        <f ca="1">IF($D186&lt;&gt;"Serviço",0,IF(AND(AUTOEVENTO="Manual",$M186=1),0,IF(OFFSET(CRONOPLE!$F$14,$M186,AU$13)="",10^12,OFFSET(CRONOPLE!$F$14,$M186,AU$13))))</f>
        <v>1000000000000</v>
      </c>
      <c r="AV186" s="181">
        <f ca="1">IF($D186&lt;&gt;"Serviço",0,IF(AND(AUTOEVENTO="Manual",$M186=1),0,IF(OFFSET(CRONOPLE!$F$14,$M186,AV$13)="",10^12,OFFSET(CRONOPLE!$F$14,$M186,AV$13))))</f>
        <v>1000000000000</v>
      </c>
      <c r="AX186" s="182">
        <f ca="1">IF($D186&lt;&gt;"Serviço",0,IF(OR(AND(AUTOEVENTO="Manual",$M186=1),$M186&gt;(ROW(PLE.lastrow)-ROW(PLE.firstrow))),0,IF(OFFSET(PLE!$G$14,$M186,AX$13)="",10^12,OFFSET(PLE!$G$14,$M186,AX$13))))</f>
        <v>1000000000000</v>
      </c>
      <c r="AY186" s="182">
        <f ca="1">IF($D186&lt;&gt;"Serviço",0,IF(OR(AND(AUTOEVENTO="Manual",$M186=1),$M186&gt;(ROW(PLE.lastrow)-ROW(PLE.firstrow))),0,IF(OFFSET(PLE!$G$14,$M186,AY$13)="",10^12,OFFSET(PLE!$G$14,$M186,AY$13))))</f>
        <v>1000000000000</v>
      </c>
      <c r="AZ186" s="182">
        <f ca="1">IF($D186&lt;&gt;"Serviço",0,IF(OR(AND(AUTOEVENTO="Manual",$M186=1),$M186&gt;(ROW(PLE.lastrow)-ROW(PLE.firstrow))),0,IF(OFFSET(PLE!$G$14,$M186,AZ$13)="",10^12,OFFSET(PLE!$G$14,$M186,AZ$13))))</f>
        <v>1000000000000</v>
      </c>
      <c r="BA186" s="182">
        <f ca="1">IF($D186&lt;&gt;"Serviço",0,IF(OR(AND(AUTOEVENTO="Manual",$M186=1),$M186&gt;(ROW(PLE.lastrow)-ROW(PLE.firstrow))),0,IF(OFFSET(PLE!$G$14,$M186,BA$13)="",10^12,OFFSET(PLE!$G$14,$M186,BA$13))))</f>
        <v>1000000000000</v>
      </c>
      <c r="BB186" s="182">
        <f ca="1">IF($D186&lt;&gt;"Serviço",0,IF(OR(AND(AUTOEVENTO="Manual",$M186=1),$M186&gt;(ROW(PLE.lastrow)-ROW(PLE.firstrow))),0,IF(OFFSET(PLE!$G$14,$M186,BB$13)="",10^12,OFFSET(PLE!$G$14,$M186,BB$13))))</f>
        <v>1000000000000</v>
      </c>
      <c r="BC186" s="182">
        <f ca="1">IF($D186&lt;&gt;"Serviço",0,IF(OR(AND(AUTOEVENTO="Manual",$M186=1),$M186&gt;(ROW(PLE.lastrow)-ROW(PLE.firstrow))),0,IF(OFFSET(PLE!$G$14,$M186,BC$13)="",10^12,OFFSET(PLE!$G$14,$M186,BC$13))))</f>
        <v>1000000000000</v>
      </c>
      <c r="BD186" s="182">
        <f ca="1">IF($D186&lt;&gt;"Serviço",0,IF(OR(AND(AUTOEVENTO="Manual",$M186=1),$M186&gt;(ROW(PLE.lastrow)-ROW(PLE.firstrow))),0,IF(OFFSET(PLE!$G$14,$M186,BD$13)="",10^12,OFFSET(PLE!$G$14,$M186,BD$13))))</f>
        <v>1000000000000</v>
      </c>
      <c r="BE186" s="182">
        <f ca="1">IF($D186&lt;&gt;"Serviço",0,IF(OR(AND(AUTOEVENTO="Manual",$M186=1),$M186&gt;(ROW(PLE.lastrow)-ROW(PLE.firstrow))),0,IF(OFFSET(PLE!$G$14,$M186,BE$13)="",10^12,OFFSET(PLE!$G$14,$M186,BE$13))))</f>
        <v>1000000000000</v>
      </c>
      <c r="BF186" s="182">
        <f ca="1">IF($D186&lt;&gt;"Serviço",0,IF(OR(AND(AUTOEVENTO="Manual",$M186=1),$M186&gt;(ROW(PLE.lastrow)-ROW(PLE.firstrow))),0,IF(OFFSET(PLE!$G$14,$M186,BF$13)="",10^12,OFFSET(PLE!$G$14,$M186,BF$13))))</f>
        <v>1000000000000</v>
      </c>
      <c r="BG186" s="182">
        <f ca="1">IF($D186&lt;&gt;"Serviço",0,IF(OR(AND(AUTOEVENTO="Manual",$M186=1),$M186&gt;(ROW(PLE.lastrow)-ROW(PLE.firstrow))),0,IF(OFFSET(PLE!$G$14,$M186,BG$13)="",10^12,OFFSET(PLE!$G$14,$M186,BG$13))))</f>
        <v>1000000000000</v>
      </c>
    </row>
    <row r="187" spans="1:59" ht="25.5" x14ac:dyDescent="0.2">
      <c r="A187" s="7" t="str">
        <f t="shared" ca="1" si="10"/>
        <v>169</v>
      </c>
      <c r="B187" s="7" t="str">
        <f ca="1">OFFSET(ORÇAMENTO!C$15,ROW(B187)-ROW(B$15),0)</f>
        <v>S</v>
      </c>
      <c r="C187" s="7" t="str">
        <f ca="1">OFFSET(ORÇAMENTO!L$15,ROW(C187)-ROW(C$15),0)</f>
        <v/>
      </c>
      <c r="D187" s="118" t="str">
        <f ca="1">OFFSET(ORÇAMENTO!N$15,ROW(D187)-ROW(D$15),0)</f>
        <v>Serviço</v>
      </c>
      <c r="E187" s="119" t="str">
        <f ca="1">OFFSET(ORÇAMENTO!O$15,ROW(E187)-ROW(E$15),0)</f>
        <v>-</v>
      </c>
      <c r="F187" s="172" t="str">
        <f ca="1">OFFSET(ORÇAMENTO!R$15,ROW(F187)-ROW(F$15),0)</f>
        <v>(abra o arquivo 'Referência 02-2025.xlsm)</v>
      </c>
      <c r="G187" s="173" t="str">
        <f ca="1">IF($D187&lt;&gt;"Serviço","",OFFSET(ORÇAMENTO!S$15,ROW(G187)-ROW(G$15),0))</f>
        <v>-</v>
      </c>
      <c r="H187" s="124">
        <f ca="1">IF($D187&lt;&gt;"Serviço",0,IF(ACOMPANHAMENTO="BM",ROUND(OFFSET(ORÇAMENTO!AJ$15,ROW(H187)-ROW(H$15),0),15-13*ORÇAMENTO!$AF$7),SUMPRODUCT(($Q$12:$AA$12&lt;&gt;"")*ROUND($Q187:$AA187,15-13*ORÇAMENTO!$AF$7))))</f>
        <v>206.93</v>
      </c>
      <c r="I187" s="561" t="s">
        <v>890</v>
      </c>
      <c r="K187" s="174"/>
      <c r="L187" s="175" t="s">
        <v>255</v>
      </c>
      <c r="M187" s="176">
        <f ca="1">IF($D187&lt;&gt;"Serviço","",IF(AUTOEVENTO="manual",$A187,IF(ISERROR(MATCH($A187,$A$15:OFFSET($A187,-1,0),0)),MAX($M$15:OFFSET(M187,-1,0))+1,INDEX($M$15:OFFSET(M187,-1,0),MATCH($A187,$A$15:OFFSET($A187,-1,0),0)))))</f>
        <v>9</v>
      </c>
      <c r="N187" s="177" t="str">
        <f ca="1">IF($D187&lt;&gt;"Serviço","",IF(AUTOEVENTO="Manual",IF($A187=0,"&lt;-- defina o número do agrupador",OFFSET(EVENTOS!$D$14,$A187,0)),OFFSET($F$15,$A187,0)))</f>
        <v>IMPERMEABILIZAÇÃO</v>
      </c>
      <c r="O187" s="178"/>
      <c r="Q187" s="178"/>
      <c r="R187" s="179"/>
      <c r="S187" s="179"/>
      <c r="T187" s="179"/>
      <c r="U187" s="179"/>
      <c r="V187" s="179"/>
      <c r="W187" s="179"/>
      <c r="X187" s="179"/>
      <c r="Y187" s="179"/>
      <c r="Z187" s="180"/>
      <c r="AB187" s="544">
        <f ca="1">IF(AND($D187="Serviço",AB$12&lt;&gt;0,$H187&gt;0,OR(AUTOEVENTO&lt;&gt;"manual",$M187&lt;&gt;1)),
IF(Import.TipoArredondamento&lt;&gt;"TransfereGOV",
ROUND(OFFSET($P187,0,AB$13),15-13*ORÇAMENTO!$AF$7)/$H187*OFFSET(ORÇAMENTO!$X$15,ROW(AB187)-ROW(AB$15),0),
ROUND(ROUND(OFFSET($P187,0,AB$13),15-13*ORÇAMENTO!$AF$7)*OFFSET(ORÇAMENTO!$W$15,ROW(AB187)-ROW(AB$15),0),15-13*ORÇAMENTO!$AF$11)),0)</f>
        <v>0</v>
      </c>
      <c r="AC187" s="545">
        <f ca="1">IF(AND($D187="Serviço",AC$12&lt;&gt;0,$H187&gt;0,OR(AUTOEVENTO&lt;&gt;"manual",$M187&lt;&gt;1)),
IF(Import.TipoArredondamento&lt;&gt;"TransfereGOV",
ROUND(OFFSET($P187,0,AC$13),15-13*ORÇAMENTO!$AF$7)/$H187*OFFSET(ORÇAMENTO!$X$15,ROW(AC187)-ROW(AC$15),0),
ROUND(ROUND(OFFSET($P187,0,AC$13),15-13*ORÇAMENTO!$AF$7)*OFFSET(ORÇAMENTO!$W$15,ROW(AC187)-ROW(AC$15),0),15-13*ORÇAMENTO!$AF$11)),0)</f>
        <v>0</v>
      </c>
      <c r="AD187" s="545">
        <f ca="1">IF(AND($D187="Serviço",AD$12&lt;&gt;0,$H187&gt;0,OR(AUTOEVENTO&lt;&gt;"manual",$M187&lt;&gt;1)),
IF(Import.TipoArredondamento&lt;&gt;"TransfereGOV",
ROUND(OFFSET($P187,0,AD$13),15-13*ORÇAMENTO!$AF$7)/$H187*OFFSET(ORÇAMENTO!$X$15,ROW(AD187)-ROW(AD$15),0),
ROUND(ROUND(OFFSET($P187,0,AD$13),15-13*ORÇAMENTO!$AF$7)*OFFSET(ORÇAMENTO!$W$15,ROW(AD187)-ROW(AD$15),0),15-13*ORÇAMENTO!$AF$11)),0)</f>
        <v>0</v>
      </c>
      <c r="AE187" s="545">
        <f ca="1">IF(AND($D187="Serviço",AE$12&lt;&gt;0,$H187&gt;0,OR(AUTOEVENTO&lt;&gt;"manual",$M187&lt;&gt;1)),
IF(Import.TipoArredondamento&lt;&gt;"TransfereGOV",
ROUND(OFFSET($P187,0,AE$13),15-13*ORÇAMENTO!$AF$7)/$H187*OFFSET(ORÇAMENTO!$X$15,ROW(AE187)-ROW(AE$15),0),
ROUND(ROUND(OFFSET($P187,0,AE$13),15-13*ORÇAMENTO!$AF$7)*OFFSET(ORÇAMENTO!$W$15,ROW(AE187)-ROW(AE$15),0),15-13*ORÇAMENTO!$AF$11)),0)</f>
        <v>0</v>
      </c>
      <c r="AF187" s="545">
        <f ca="1">IF(AND($D187="Serviço",AF$12&lt;&gt;0,$H187&gt;0,OR(AUTOEVENTO&lt;&gt;"manual",$M187&lt;&gt;1)),
IF(Import.TipoArredondamento&lt;&gt;"TransfereGOV",
ROUND(OFFSET($P187,0,AF$13),15-13*ORÇAMENTO!$AF$7)/$H187*OFFSET(ORÇAMENTO!$X$15,ROW(AF187)-ROW(AF$15),0),
ROUND(ROUND(OFFSET($P187,0,AF$13),15-13*ORÇAMENTO!$AF$7)*OFFSET(ORÇAMENTO!$W$15,ROW(AF187)-ROW(AF$15),0),15-13*ORÇAMENTO!$AF$11)),0)</f>
        <v>0</v>
      </c>
      <c r="AG187" s="545">
        <f ca="1">IF(AND($D187="Serviço",AG$12&lt;&gt;0,$H187&gt;0,OR(AUTOEVENTO&lt;&gt;"manual",$M187&lt;&gt;1)),
IF(Import.TipoArredondamento&lt;&gt;"TransfereGOV",
ROUND(OFFSET($P187,0,AG$13),15-13*ORÇAMENTO!$AF$7)/$H187*OFFSET(ORÇAMENTO!$X$15,ROW(AG187)-ROW(AG$15),0),
ROUND(ROUND(OFFSET($P187,0,AG$13),15-13*ORÇAMENTO!$AF$7)*OFFSET(ORÇAMENTO!$W$15,ROW(AG187)-ROW(AG$15),0),15-13*ORÇAMENTO!$AF$11)),0)</f>
        <v>0</v>
      </c>
      <c r="AH187" s="545">
        <f ca="1">IF(AND($D187="Serviço",AH$12&lt;&gt;0,$H187&gt;0,OR(AUTOEVENTO&lt;&gt;"manual",$M187&lt;&gt;1)),
IF(Import.TipoArredondamento&lt;&gt;"TransfereGOV",
ROUND(OFFSET($P187,0,AH$13),15-13*ORÇAMENTO!$AF$7)/$H187*OFFSET(ORÇAMENTO!$X$15,ROW(AH187)-ROW(AH$15),0),
ROUND(ROUND(OFFSET($P187,0,AH$13),15-13*ORÇAMENTO!$AF$7)*OFFSET(ORÇAMENTO!$W$15,ROW(AH187)-ROW(AH$15),0),15-13*ORÇAMENTO!$AF$11)),0)</f>
        <v>0</v>
      </c>
      <c r="AI187" s="545">
        <f ca="1">IF(AND($D187="Serviço",AI$12&lt;&gt;0,$H187&gt;0,OR(AUTOEVENTO&lt;&gt;"manual",$M187&lt;&gt;1)),
IF(Import.TipoArredondamento&lt;&gt;"TransfereGOV",
ROUND(OFFSET($P187,0,AI$13),15-13*ORÇAMENTO!$AF$7)/$H187*OFFSET(ORÇAMENTO!$X$15,ROW(AI187)-ROW(AI$15),0),
ROUND(ROUND(OFFSET($P187,0,AI$13),15-13*ORÇAMENTO!$AF$7)*OFFSET(ORÇAMENTO!$W$15,ROW(AI187)-ROW(AI$15),0),15-13*ORÇAMENTO!$AF$11)),0)</f>
        <v>0</v>
      </c>
      <c r="AJ187" s="545">
        <f ca="1">IF(AND($D187="Serviço",AJ$12&lt;&gt;0,$H187&gt;0,OR(AUTOEVENTO&lt;&gt;"manual",$M187&lt;&gt;1)),
IF(Import.TipoArredondamento&lt;&gt;"TransfereGOV",
ROUND(OFFSET($P187,0,AJ$13),15-13*ORÇAMENTO!$AF$7)/$H187*OFFSET(ORÇAMENTO!$X$15,ROW(AJ187)-ROW(AJ$15),0),
ROUND(ROUND(OFFSET($P187,0,AJ$13),15-13*ORÇAMENTO!$AF$7)*OFFSET(ORÇAMENTO!$W$15,ROW(AJ187)-ROW(AJ$15),0),15-13*ORÇAMENTO!$AF$11)),0)</f>
        <v>0</v>
      </c>
      <c r="AK187" s="546">
        <f ca="1">IF(AND($D187="Serviço",AK$12&lt;&gt;0,$H187&gt;0,OR(AUTOEVENTO&lt;&gt;"manual",$M187&lt;&gt;1)),
IF(Import.TipoArredondamento&lt;&gt;"TransfereGOV",
ROUND(OFFSET($P187,0,AK$13),15-13*ORÇAMENTO!$AF$7)/$H187*OFFSET(ORÇAMENTO!$X$15,ROW(AK187)-ROW(AK$15),0),
ROUND(ROUND(OFFSET($P187,0,AK$13),15-13*ORÇAMENTO!$AF$7)*OFFSET(ORÇAMENTO!$W$15,ROW(AK187)-ROW(AK$15),0),15-13*ORÇAMENTO!$AF$11)),0)</f>
        <v>0</v>
      </c>
      <c r="AM187" s="181">
        <f ca="1">IF($D187&lt;&gt;"Serviço",0,IF(AND(AUTOEVENTO="Manual",$M187=1),0,IF(OFFSET(CRONOPLE!$F$14,$M187,AM$13)="",10^12,OFFSET(CRONOPLE!$F$14,$M187,AM$13))))</f>
        <v>1000000000000</v>
      </c>
      <c r="AN187" s="181">
        <f ca="1">IF($D187&lt;&gt;"Serviço",0,IF(AND(AUTOEVENTO="Manual",$M187=1),0,IF(OFFSET(CRONOPLE!$F$14,$M187,AN$13)="",10^12,OFFSET(CRONOPLE!$F$14,$M187,AN$13))))</f>
        <v>1000000000000</v>
      </c>
      <c r="AO187" s="181">
        <f ca="1">IF($D187&lt;&gt;"Serviço",0,IF(AND(AUTOEVENTO="Manual",$M187=1),0,IF(OFFSET(CRONOPLE!$F$14,$M187,AO$13)="",10^12,OFFSET(CRONOPLE!$F$14,$M187,AO$13))))</f>
        <v>1000000000000</v>
      </c>
      <c r="AP187" s="181">
        <f ca="1">IF($D187&lt;&gt;"Serviço",0,IF(AND(AUTOEVENTO="Manual",$M187=1),0,IF(OFFSET(CRONOPLE!$F$14,$M187,AP$13)="",10^12,OFFSET(CRONOPLE!$F$14,$M187,AP$13))))</f>
        <v>1000000000000</v>
      </c>
      <c r="AQ187" s="181">
        <f ca="1">IF($D187&lt;&gt;"Serviço",0,IF(AND(AUTOEVENTO="Manual",$M187=1),0,IF(OFFSET(CRONOPLE!$F$14,$M187,AQ$13)="",10^12,OFFSET(CRONOPLE!$F$14,$M187,AQ$13))))</f>
        <v>1000000000000</v>
      </c>
      <c r="AR187" s="181">
        <f ca="1">IF($D187&lt;&gt;"Serviço",0,IF(AND(AUTOEVENTO="Manual",$M187=1),0,IF(OFFSET(CRONOPLE!$F$14,$M187,AR$13)="",10^12,OFFSET(CRONOPLE!$F$14,$M187,AR$13))))</f>
        <v>1000000000000</v>
      </c>
      <c r="AS187" s="181">
        <f ca="1">IF($D187&lt;&gt;"Serviço",0,IF(AND(AUTOEVENTO="Manual",$M187=1),0,IF(OFFSET(CRONOPLE!$F$14,$M187,AS$13)="",10^12,OFFSET(CRONOPLE!$F$14,$M187,AS$13))))</f>
        <v>1000000000000</v>
      </c>
      <c r="AT187" s="181">
        <f ca="1">IF($D187&lt;&gt;"Serviço",0,IF(AND(AUTOEVENTO="Manual",$M187=1),0,IF(OFFSET(CRONOPLE!$F$14,$M187,AT$13)="",10^12,OFFSET(CRONOPLE!$F$14,$M187,AT$13))))</f>
        <v>1000000000000</v>
      </c>
      <c r="AU187" s="181">
        <f ca="1">IF($D187&lt;&gt;"Serviço",0,IF(AND(AUTOEVENTO="Manual",$M187=1),0,IF(OFFSET(CRONOPLE!$F$14,$M187,AU$13)="",10^12,OFFSET(CRONOPLE!$F$14,$M187,AU$13))))</f>
        <v>1000000000000</v>
      </c>
      <c r="AV187" s="181">
        <f ca="1">IF($D187&lt;&gt;"Serviço",0,IF(AND(AUTOEVENTO="Manual",$M187=1),0,IF(OFFSET(CRONOPLE!$F$14,$M187,AV$13)="",10^12,OFFSET(CRONOPLE!$F$14,$M187,AV$13))))</f>
        <v>1000000000000</v>
      </c>
      <c r="AX187" s="182">
        <f ca="1">IF($D187&lt;&gt;"Serviço",0,IF(OR(AND(AUTOEVENTO="Manual",$M187=1),$M187&gt;(ROW(PLE.lastrow)-ROW(PLE.firstrow))),0,IF(OFFSET(PLE!$G$14,$M187,AX$13)="",10^12,OFFSET(PLE!$G$14,$M187,AX$13))))</f>
        <v>1000000000000</v>
      </c>
      <c r="AY187" s="182">
        <f ca="1">IF($D187&lt;&gt;"Serviço",0,IF(OR(AND(AUTOEVENTO="Manual",$M187=1),$M187&gt;(ROW(PLE.lastrow)-ROW(PLE.firstrow))),0,IF(OFFSET(PLE!$G$14,$M187,AY$13)="",10^12,OFFSET(PLE!$G$14,$M187,AY$13))))</f>
        <v>1000000000000</v>
      </c>
      <c r="AZ187" s="182">
        <f ca="1">IF($D187&lt;&gt;"Serviço",0,IF(OR(AND(AUTOEVENTO="Manual",$M187=1),$M187&gt;(ROW(PLE.lastrow)-ROW(PLE.firstrow))),0,IF(OFFSET(PLE!$G$14,$M187,AZ$13)="",10^12,OFFSET(PLE!$G$14,$M187,AZ$13))))</f>
        <v>1000000000000</v>
      </c>
      <c r="BA187" s="182">
        <f ca="1">IF($D187&lt;&gt;"Serviço",0,IF(OR(AND(AUTOEVENTO="Manual",$M187=1),$M187&gt;(ROW(PLE.lastrow)-ROW(PLE.firstrow))),0,IF(OFFSET(PLE!$G$14,$M187,BA$13)="",10^12,OFFSET(PLE!$G$14,$M187,BA$13))))</f>
        <v>1000000000000</v>
      </c>
      <c r="BB187" s="182">
        <f ca="1">IF($D187&lt;&gt;"Serviço",0,IF(OR(AND(AUTOEVENTO="Manual",$M187=1),$M187&gt;(ROW(PLE.lastrow)-ROW(PLE.firstrow))),0,IF(OFFSET(PLE!$G$14,$M187,BB$13)="",10^12,OFFSET(PLE!$G$14,$M187,BB$13))))</f>
        <v>1000000000000</v>
      </c>
      <c r="BC187" s="182">
        <f ca="1">IF($D187&lt;&gt;"Serviço",0,IF(OR(AND(AUTOEVENTO="Manual",$M187=1),$M187&gt;(ROW(PLE.lastrow)-ROW(PLE.firstrow))),0,IF(OFFSET(PLE!$G$14,$M187,BC$13)="",10^12,OFFSET(PLE!$G$14,$M187,BC$13))))</f>
        <v>1000000000000</v>
      </c>
      <c r="BD187" s="182">
        <f ca="1">IF($D187&lt;&gt;"Serviço",0,IF(OR(AND(AUTOEVENTO="Manual",$M187=1),$M187&gt;(ROW(PLE.lastrow)-ROW(PLE.firstrow))),0,IF(OFFSET(PLE!$G$14,$M187,BD$13)="",10^12,OFFSET(PLE!$G$14,$M187,BD$13))))</f>
        <v>1000000000000</v>
      </c>
      <c r="BE187" s="182">
        <f ca="1">IF($D187&lt;&gt;"Serviço",0,IF(OR(AND(AUTOEVENTO="Manual",$M187=1),$M187&gt;(ROW(PLE.lastrow)-ROW(PLE.firstrow))),0,IF(OFFSET(PLE!$G$14,$M187,BE$13)="",10^12,OFFSET(PLE!$G$14,$M187,BE$13))))</f>
        <v>1000000000000</v>
      </c>
      <c r="BF187" s="182">
        <f ca="1">IF($D187&lt;&gt;"Serviço",0,IF(OR(AND(AUTOEVENTO="Manual",$M187=1),$M187&gt;(ROW(PLE.lastrow)-ROW(PLE.firstrow))),0,IF(OFFSET(PLE!$G$14,$M187,BF$13)="",10^12,OFFSET(PLE!$G$14,$M187,BF$13))))</f>
        <v>1000000000000</v>
      </c>
      <c r="BG187" s="182">
        <f ca="1">IF($D187&lt;&gt;"Serviço",0,IF(OR(AND(AUTOEVENTO="Manual",$M187=1),$M187&gt;(ROW(PLE.lastrow)-ROW(PLE.firstrow))),0,IF(OFFSET(PLE!$G$14,$M187,BG$13)="",10^12,OFFSET(PLE!$G$14,$M187,BG$13))))</f>
        <v>1000000000000</v>
      </c>
    </row>
    <row r="188" spans="1:59" ht="25.5" x14ac:dyDescent="0.2">
      <c r="A188" s="7" t="str">
        <f t="shared" ca="1" si="10"/>
        <v>169</v>
      </c>
      <c r="B188" s="7" t="str">
        <f ca="1">OFFSET(ORÇAMENTO!C$15,ROW(B188)-ROW(B$15),0)</f>
        <v>S</v>
      </c>
      <c r="C188" s="7" t="str">
        <f ca="1">OFFSET(ORÇAMENTO!L$15,ROW(C188)-ROW(C$15),0)</f>
        <v/>
      </c>
      <c r="D188" s="118" t="str">
        <f ca="1">OFFSET(ORÇAMENTO!N$15,ROW(D188)-ROW(D$15),0)</f>
        <v>Serviço</v>
      </c>
      <c r="E188" s="119" t="str">
        <f ca="1">OFFSET(ORÇAMENTO!O$15,ROW(E188)-ROW(E$15),0)</f>
        <v>-</v>
      </c>
      <c r="F188" s="172" t="str">
        <f ca="1">OFFSET(ORÇAMENTO!R$15,ROW(F188)-ROW(F$15),0)</f>
        <v>(abra o arquivo 'Referência 02-2025.xlsm)</v>
      </c>
      <c r="G188" s="173" t="str">
        <f ca="1">IF($D188&lt;&gt;"Serviço","",OFFSET(ORÇAMENTO!S$15,ROW(G188)-ROW(G$15),0))</f>
        <v>-</v>
      </c>
      <c r="H188" s="124">
        <f ca="1">IF($D188&lt;&gt;"Serviço",0,IF(ACOMPANHAMENTO="BM",ROUND(OFFSET(ORÇAMENTO!AJ$15,ROW(H188)-ROW(H$15),0),15-13*ORÇAMENTO!$AF$7),SUMPRODUCT(($Q$12:$AA$12&lt;&gt;"")*ROUND($Q188:$AA188,15-13*ORÇAMENTO!$AF$7))))</f>
        <v>50.17</v>
      </c>
      <c r="I188" s="561" t="s">
        <v>890</v>
      </c>
      <c r="K188" s="174"/>
      <c r="L188" s="175" t="s">
        <v>255</v>
      </c>
      <c r="M188" s="176">
        <f ca="1">IF($D188&lt;&gt;"Serviço","",IF(AUTOEVENTO="manual",$A188,IF(ISERROR(MATCH($A188,$A$15:OFFSET($A188,-1,0),0)),MAX($M$15:OFFSET(M188,-1,0))+1,INDEX($M$15:OFFSET(M188,-1,0),MATCH($A188,$A$15:OFFSET($A188,-1,0),0)))))</f>
        <v>9</v>
      </c>
      <c r="N188" s="177" t="str">
        <f ca="1">IF($D188&lt;&gt;"Serviço","",IF(AUTOEVENTO="Manual",IF($A188=0,"&lt;-- defina o número do agrupador",OFFSET(EVENTOS!$D$14,$A188,0)),OFFSET($F$15,$A188,0)))</f>
        <v>IMPERMEABILIZAÇÃO</v>
      </c>
      <c r="O188" s="178"/>
      <c r="Q188" s="178"/>
      <c r="R188" s="179"/>
      <c r="S188" s="179"/>
      <c r="T188" s="179"/>
      <c r="U188" s="179"/>
      <c r="V188" s="179"/>
      <c r="W188" s="179"/>
      <c r="X188" s="179"/>
      <c r="Y188" s="179"/>
      <c r="Z188" s="180"/>
      <c r="AB188" s="544">
        <f ca="1">IF(AND($D188="Serviço",AB$12&lt;&gt;0,$H188&gt;0,OR(AUTOEVENTO&lt;&gt;"manual",$M188&lt;&gt;1)),
IF(Import.TipoArredondamento&lt;&gt;"TransfereGOV",
ROUND(OFFSET($P188,0,AB$13),15-13*ORÇAMENTO!$AF$7)/$H188*OFFSET(ORÇAMENTO!$X$15,ROW(AB188)-ROW(AB$15),0),
ROUND(ROUND(OFFSET($P188,0,AB$13),15-13*ORÇAMENTO!$AF$7)*OFFSET(ORÇAMENTO!$W$15,ROW(AB188)-ROW(AB$15),0),15-13*ORÇAMENTO!$AF$11)),0)</f>
        <v>0</v>
      </c>
      <c r="AC188" s="545">
        <f ca="1">IF(AND($D188="Serviço",AC$12&lt;&gt;0,$H188&gt;0,OR(AUTOEVENTO&lt;&gt;"manual",$M188&lt;&gt;1)),
IF(Import.TipoArredondamento&lt;&gt;"TransfereGOV",
ROUND(OFFSET($P188,0,AC$13),15-13*ORÇAMENTO!$AF$7)/$H188*OFFSET(ORÇAMENTO!$X$15,ROW(AC188)-ROW(AC$15),0),
ROUND(ROUND(OFFSET($P188,0,AC$13),15-13*ORÇAMENTO!$AF$7)*OFFSET(ORÇAMENTO!$W$15,ROW(AC188)-ROW(AC$15),0),15-13*ORÇAMENTO!$AF$11)),0)</f>
        <v>0</v>
      </c>
      <c r="AD188" s="545">
        <f ca="1">IF(AND($D188="Serviço",AD$12&lt;&gt;0,$H188&gt;0,OR(AUTOEVENTO&lt;&gt;"manual",$M188&lt;&gt;1)),
IF(Import.TipoArredondamento&lt;&gt;"TransfereGOV",
ROUND(OFFSET($P188,0,AD$13),15-13*ORÇAMENTO!$AF$7)/$H188*OFFSET(ORÇAMENTO!$X$15,ROW(AD188)-ROW(AD$15),0),
ROUND(ROUND(OFFSET($P188,0,AD$13),15-13*ORÇAMENTO!$AF$7)*OFFSET(ORÇAMENTO!$W$15,ROW(AD188)-ROW(AD$15),0),15-13*ORÇAMENTO!$AF$11)),0)</f>
        <v>0</v>
      </c>
      <c r="AE188" s="545">
        <f ca="1">IF(AND($D188="Serviço",AE$12&lt;&gt;0,$H188&gt;0,OR(AUTOEVENTO&lt;&gt;"manual",$M188&lt;&gt;1)),
IF(Import.TipoArredondamento&lt;&gt;"TransfereGOV",
ROUND(OFFSET($P188,0,AE$13),15-13*ORÇAMENTO!$AF$7)/$H188*OFFSET(ORÇAMENTO!$X$15,ROW(AE188)-ROW(AE$15),0),
ROUND(ROUND(OFFSET($P188,0,AE$13),15-13*ORÇAMENTO!$AF$7)*OFFSET(ORÇAMENTO!$W$15,ROW(AE188)-ROW(AE$15),0),15-13*ORÇAMENTO!$AF$11)),0)</f>
        <v>0</v>
      </c>
      <c r="AF188" s="545">
        <f ca="1">IF(AND($D188="Serviço",AF$12&lt;&gt;0,$H188&gt;0,OR(AUTOEVENTO&lt;&gt;"manual",$M188&lt;&gt;1)),
IF(Import.TipoArredondamento&lt;&gt;"TransfereGOV",
ROUND(OFFSET($P188,0,AF$13),15-13*ORÇAMENTO!$AF$7)/$H188*OFFSET(ORÇAMENTO!$X$15,ROW(AF188)-ROW(AF$15),0),
ROUND(ROUND(OFFSET($P188,0,AF$13),15-13*ORÇAMENTO!$AF$7)*OFFSET(ORÇAMENTO!$W$15,ROW(AF188)-ROW(AF$15),0),15-13*ORÇAMENTO!$AF$11)),0)</f>
        <v>0</v>
      </c>
      <c r="AG188" s="545">
        <f ca="1">IF(AND($D188="Serviço",AG$12&lt;&gt;0,$H188&gt;0,OR(AUTOEVENTO&lt;&gt;"manual",$M188&lt;&gt;1)),
IF(Import.TipoArredondamento&lt;&gt;"TransfereGOV",
ROUND(OFFSET($P188,0,AG$13),15-13*ORÇAMENTO!$AF$7)/$H188*OFFSET(ORÇAMENTO!$X$15,ROW(AG188)-ROW(AG$15),0),
ROUND(ROUND(OFFSET($P188,0,AG$13),15-13*ORÇAMENTO!$AF$7)*OFFSET(ORÇAMENTO!$W$15,ROW(AG188)-ROW(AG$15),0),15-13*ORÇAMENTO!$AF$11)),0)</f>
        <v>0</v>
      </c>
      <c r="AH188" s="545">
        <f ca="1">IF(AND($D188="Serviço",AH$12&lt;&gt;0,$H188&gt;0,OR(AUTOEVENTO&lt;&gt;"manual",$M188&lt;&gt;1)),
IF(Import.TipoArredondamento&lt;&gt;"TransfereGOV",
ROUND(OFFSET($P188,0,AH$13),15-13*ORÇAMENTO!$AF$7)/$H188*OFFSET(ORÇAMENTO!$X$15,ROW(AH188)-ROW(AH$15),0),
ROUND(ROUND(OFFSET($P188,0,AH$13),15-13*ORÇAMENTO!$AF$7)*OFFSET(ORÇAMENTO!$W$15,ROW(AH188)-ROW(AH$15),0),15-13*ORÇAMENTO!$AF$11)),0)</f>
        <v>0</v>
      </c>
      <c r="AI188" s="545">
        <f ca="1">IF(AND($D188="Serviço",AI$12&lt;&gt;0,$H188&gt;0,OR(AUTOEVENTO&lt;&gt;"manual",$M188&lt;&gt;1)),
IF(Import.TipoArredondamento&lt;&gt;"TransfereGOV",
ROUND(OFFSET($P188,0,AI$13),15-13*ORÇAMENTO!$AF$7)/$H188*OFFSET(ORÇAMENTO!$X$15,ROW(AI188)-ROW(AI$15),0),
ROUND(ROUND(OFFSET($P188,0,AI$13),15-13*ORÇAMENTO!$AF$7)*OFFSET(ORÇAMENTO!$W$15,ROW(AI188)-ROW(AI$15),0),15-13*ORÇAMENTO!$AF$11)),0)</f>
        <v>0</v>
      </c>
      <c r="AJ188" s="545">
        <f ca="1">IF(AND($D188="Serviço",AJ$12&lt;&gt;0,$H188&gt;0,OR(AUTOEVENTO&lt;&gt;"manual",$M188&lt;&gt;1)),
IF(Import.TipoArredondamento&lt;&gt;"TransfereGOV",
ROUND(OFFSET($P188,0,AJ$13),15-13*ORÇAMENTO!$AF$7)/$H188*OFFSET(ORÇAMENTO!$X$15,ROW(AJ188)-ROW(AJ$15),0),
ROUND(ROUND(OFFSET($P188,0,AJ$13),15-13*ORÇAMENTO!$AF$7)*OFFSET(ORÇAMENTO!$W$15,ROW(AJ188)-ROW(AJ$15),0),15-13*ORÇAMENTO!$AF$11)),0)</f>
        <v>0</v>
      </c>
      <c r="AK188" s="546">
        <f ca="1">IF(AND($D188="Serviço",AK$12&lt;&gt;0,$H188&gt;0,OR(AUTOEVENTO&lt;&gt;"manual",$M188&lt;&gt;1)),
IF(Import.TipoArredondamento&lt;&gt;"TransfereGOV",
ROUND(OFFSET($P188,0,AK$13),15-13*ORÇAMENTO!$AF$7)/$H188*OFFSET(ORÇAMENTO!$X$15,ROW(AK188)-ROW(AK$15),0),
ROUND(ROUND(OFFSET($P188,0,AK$13),15-13*ORÇAMENTO!$AF$7)*OFFSET(ORÇAMENTO!$W$15,ROW(AK188)-ROW(AK$15),0),15-13*ORÇAMENTO!$AF$11)),0)</f>
        <v>0</v>
      </c>
      <c r="AM188" s="181">
        <f ca="1">IF($D188&lt;&gt;"Serviço",0,IF(AND(AUTOEVENTO="Manual",$M188=1),0,IF(OFFSET(CRONOPLE!$F$14,$M188,AM$13)="",10^12,OFFSET(CRONOPLE!$F$14,$M188,AM$13))))</f>
        <v>1000000000000</v>
      </c>
      <c r="AN188" s="181">
        <f ca="1">IF($D188&lt;&gt;"Serviço",0,IF(AND(AUTOEVENTO="Manual",$M188=1),0,IF(OFFSET(CRONOPLE!$F$14,$M188,AN$13)="",10^12,OFFSET(CRONOPLE!$F$14,$M188,AN$13))))</f>
        <v>1000000000000</v>
      </c>
      <c r="AO188" s="181">
        <f ca="1">IF($D188&lt;&gt;"Serviço",0,IF(AND(AUTOEVENTO="Manual",$M188=1),0,IF(OFFSET(CRONOPLE!$F$14,$M188,AO$13)="",10^12,OFFSET(CRONOPLE!$F$14,$M188,AO$13))))</f>
        <v>1000000000000</v>
      </c>
      <c r="AP188" s="181">
        <f ca="1">IF($D188&lt;&gt;"Serviço",0,IF(AND(AUTOEVENTO="Manual",$M188=1),0,IF(OFFSET(CRONOPLE!$F$14,$M188,AP$13)="",10^12,OFFSET(CRONOPLE!$F$14,$M188,AP$13))))</f>
        <v>1000000000000</v>
      </c>
      <c r="AQ188" s="181">
        <f ca="1">IF($D188&lt;&gt;"Serviço",0,IF(AND(AUTOEVENTO="Manual",$M188=1),0,IF(OFFSET(CRONOPLE!$F$14,$M188,AQ$13)="",10^12,OFFSET(CRONOPLE!$F$14,$M188,AQ$13))))</f>
        <v>1000000000000</v>
      </c>
      <c r="AR188" s="181">
        <f ca="1">IF($D188&lt;&gt;"Serviço",0,IF(AND(AUTOEVENTO="Manual",$M188=1),0,IF(OFFSET(CRONOPLE!$F$14,$M188,AR$13)="",10^12,OFFSET(CRONOPLE!$F$14,$M188,AR$13))))</f>
        <v>1000000000000</v>
      </c>
      <c r="AS188" s="181">
        <f ca="1">IF($D188&lt;&gt;"Serviço",0,IF(AND(AUTOEVENTO="Manual",$M188=1),0,IF(OFFSET(CRONOPLE!$F$14,$M188,AS$13)="",10^12,OFFSET(CRONOPLE!$F$14,$M188,AS$13))))</f>
        <v>1000000000000</v>
      </c>
      <c r="AT188" s="181">
        <f ca="1">IF($D188&lt;&gt;"Serviço",0,IF(AND(AUTOEVENTO="Manual",$M188=1),0,IF(OFFSET(CRONOPLE!$F$14,$M188,AT$13)="",10^12,OFFSET(CRONOPLE!$F$14,$M188,AT$13))))</f>
        <v>1000000000000</v>
      </c>
      <c r="AU188" s="181">
        <f ca="1">IF($D188&lt;&gt;"Serviço",0,IF(AND(AUTOEVENTO="Manual",$M188=1),0,IF(OFFSET(CRONOPLE!$F$14,$M188,AU$13)="",10^12,OFFSET(CRONOPLE!$F$14,$M188,AU$13))))</f>
        <v>1000000000000</v>
      </c>
      <c r="AV188" s="181">
        <f ca="1">IF($D188&lt;&gt;"Serviço",0,IF(AND(AUTOEVENTO="Manual",$M188=1),0,IF(OFFSET(CRONOPLE!$F$14,$M188,AV$13)="",10^12,OFFSET(CRONOPLE!$F$14,$M188,AV$13))))</f>
        <v>1000000000000</v>
      </c>
      <c r="AX188" s="182">
        <f ca="1">IF($D188&lt;&gt;"Serviço",0,IF(OR(AND(AUTOEVENTO="Manual",$M188=1),$M188&gt;(ROW(PLE.lastrow)-ROW(PLE.firstrow))),0,IF(OFFSET(PLE!$G$14,$M188,AX$13)="",10^12,OFFSET(PLE!$G$14,$M188,AX$13))))</f>
        <v>1000000000000</v>
      </c>
      <c r="AY188" s="182">
        <f ca="1">IF($D188&lt;&gt;"Serviço",0,IF(OR(AND(AUTOEVENTO="Manual",$M188=1),$M188&gt;(ROW(PLE.lastrow)-ROW(PLE.firstrow))),0,IF(OFFSET(PLE!$G$14,$M188,AY$13)="",10^12,OFFSET(PLE!$G$14,$M188,AY$13))))</f>
        <v>1000000000000</v>
      </c>
      <c r="AZ188" s="182">
        <f ca="1">IF($D188&lt;&gt;"Serviço",0,IF(OR(AND(AUTOEVENTO="Manual",$M188=1),$M188&gt;(ROW(PLE.lastrow)-ROW(PLE.firstrow))),0,IF(OFFSET(PLE!$G$14,$M188,AZ$13)="",10^12,OFFSET(PLE!$G$14,$M188,AZ$13))))</f>
        <v>1000000000000</v>
      </c>
      <c r="BA188" s="182">
        <f ca="1">IF($D188&lt;&gt;"Serviço",0,IF(OR(AND(AUTOEVENTO="Manual",$M188=1),$M188&gt;(ROW(PLE.lastrow)-ROW(PLE.firstrow))),0,IF(OFFSET(PLE!$G$14,$M188,BA$13)="",10^12,OFFSET(PLE!$G$14,$M188,BA$13))))</f>
        <v>1000000000000</v>
      </c>
      <c r="BB188" s="182">
        <f ca="1">IF($D188&lt;&gt;"Serviço",0,IF(OR(AND(AUTOEVENTO="Manual",$M188=1),$M188&gt;(ROW(PLE.lastrow)-ROW(PLE.firstrow))),0,IF(OFFSET(PLE!$G$14,$M188,BB$13)="",10^12,OFFSET(PLE!$G$14,$M188,BB$13))))</f>
        <v>1000000000000</v>
      </c>
      <c r="BC188" s="182">
        <f ca="1">IF($D188&lt;&gt;"Serviço",0,IF(OR(AND(AUTOEVENTO="Manual",$M188=1),$M188&gt;(ROW(PLE.lastrow)-ROW(PLE.firstrow))),0,IF(OFFSET(PLE!$G$14,$M188,BC$13)="",10^12,OFFSET(PLE!$G$14,$M188,BC$13))))</f>
        <v>1000000000000</v>
      </c>
      <c r="BD188" s="182">
        <f ca="1">IF($D188&lt;&gt;"Serviço",0,IF(OR(AND(AUTOEVENTO="Manual",$M188=1),$M188&gt;(ROW(PLE.lastrow)-ROW(PLE.firstrow))),0,IF(OFFSET(PLE!$G$14,$M188,BD$13)="",10^12,OFFSET(PLE!$G$14,$M188,BD$13))))</f>
        <v>1000000000000</v>
      </c>
      <c r="BE188" s="182">
        <f ca="1">IF($D188&lt;&gt;"Serviço",0,IF(OR(AND(AUTOEVENTO="Manual",$M188=1),$M188&gt;(ROW(PLE.lastrow)-ROW(PLE.firstrow))),0,IF(OFFSET(PLE!$G$14,$M188,BE$13)="",10^12,OFFSET(PLE!$G$14,$M188,BE$13))))</f>
        <v>1000000000000</v>
      </c>
      <c r="BF188" s="182">
        <f ca="1">IF($D188&lt;&gt;"Serviço",0,IF(OR(AND(AUTOEVENTO="Manual",$M188=1),$M188&gt;(ROW(PLE.lastrow)-ROW(PLE.firstrow))),0,IF(OFFSET(PLE!$G$14,$M188,BF$13)="",10^12,OFFSET(PLE!$G$14,$M188,BF$13))))</f>
        <v>1000000000000</v>
      </c>
      <c r="BG188" s="182">
        <f ca="1">IF($D188&lt;&gt;"Serviço",0,IF(OR(AND(AUTOEVENTO="Manual",$M188=1),$M188&gt;(ROW(PLE.lastrow)-ROW(PLE.firstrow))),0,IF(OFFSET(PLE!$G$14,$M188,BG$13)="",10^12,OFFSET(PLE!$G$14,$M188,BG$13))))</f>
        <v>1000000000000</v>
      </c>
    </row>
    <row r="189" spans="1:59" ht="25.5" x14ac:dyDescent="0.2">
      <c r="A189" s="7" t="str">
        <f t="shared" ca="1" si="10"/>
        <v>169</v>
      </c>
      <c r="B189" s="7" t="str">
        <f ca="1">OFFSET(ORÇAMENTO!C$15,ROW(B189)-ROW(B$15),0)</f>
        <v>S</v>
      </c>
      <c r="C189" s="7" t="str">
        <f ca="1">OFFSET(ORÇAMENTO!L$15,ROW(C189)-ROW(C$15),0)</f>
        <v/>
      </c>
      <c r="D189" s="118" t="str">
        <f ca="1">OFFSET(ORÇAMENTO!N$15,ROW(D189)-ROW(D$15),0)</f>
        <v>Serviço</v>
      </c>
      <c r="E189" s="119" t="str">
        <f ca="1">OFFSET(ORÇAMENTO!O$15,ROW(E189)-ROW(E$15),0)</f>
        <v>-</v>
      </c>
      <c r="F189" s="172" t="str">
        <f ca="1">OFFSET(ORÇAMENTO!R$15,ROW(F189)-ROW(F$15),0)</f>
        <v>(abra o arquivo 'Referência 02-2025.xlsm)</v>
      </c>
      <c r="G189" s="173" t="str">
        <f ca="1">IF($D189&lt;&gt;"Serviço","",OFFSET(ORÇAMENTO!S$15,ROW(G189)-ROW(G$15),0))</f>
        <v>-</v>
      </c>
      <c r="H189" s="124">
        <f ca="1">IF($D189&lt;&gt;"Serviço",0,IF(ACOMPANHAMENTO="BM",ROUND(OFFSET(ORÇAMENTO!AJ$15,ROW(H189)-ROW(H$15),0),15-13*ORÇAMENTO!$AF$7),SUMPRODUCT(($Q$12:$AA$12&lt;&gt;"")*ROUND($Q189:$AA189,15-13*ORÇAMENTO!$AF$7))))</f>
        <v>11.75</v>
      </c>
      <c r="I189" s="561" t="s">
        <v>890</v>
      </c>
      <c r="K189" s="174"/>
      <c r="L189" s="175" t="s">
        <v>255</v>
      </c>
      <c r="M189" s="176">
        <f ca="1">IF($D189&lt;&gt;"Serviço","",IF(AUTOEVENTO="manual",$A189,IF(ISERROR(MATCH($A189,$A$15:OFFSET($A189,-1,0),0)),MAX($M$15:OFFSET(M189,-1,0))+1,INDEX($M$15:OFFSET(M189,-1,0),MATCH($A189,$A$15:OFFSET($A189,-1,0),0)))))</f>
        <v>9</v>
      </c>
      <c r="N189" s="177" t="str">
        <f ca="1">IF($D189&lt;&gt;"Serviço","",IF(AUTOEVENTO="Manual",IF($A189=0,"&lt;-- defina o número do agrupador",OFFSET(EVENTOS!$D$14,$A189,0)),OFFSET($F$15,$A189,0)))</f>
        <v>IMPERMEABILIZAÇÃO</v>
      </c>
      <c r="O189" s="178"/>
      <c r="Q189" s="178"/>
      <c r="R189" s="179"/>
      <c r="S189" s="179"/>
      <c r="T189" s="179"/>
      <c r="U189" s="179"/>
      <c r="V189" s="179"/>
      <c r="W189" s="179"/>
      <c r="X189" s="179"/>
      <c r="Y189" s="179"/>
      <c r="Z189" s="180"/>
      <c r="AB189" s="544">
        <f ca="1">IF(AND($D189="Serviço",AB$12&lt;&gt;0,$H189&gt;0,OR(AUTOEVENTO&lt;&gt;"manual",$M189&lt;&gt;1)),
IF(Import.TipoArredondamento&lt;&gt;"TransfereGOV",
ROUND(OFFSET($P189,0,AB$13),15-13*ORÇAMENTO!$AF$7)/$H189*OFFSET(ORÇAMENTO!$X$15,ROW(AB189)-ROW(AB$15),0),
ROUND(ROUND(OFFSET($P189,0,AB$13),15-13*ORÇAMENTO!$AF$7)*OFFSET(ORÇAMENTO!$W$15,ROW(AB189)-ROW(AB$15),0),15-13*ORÇAMENTO!$AF$11)),0)</f>
        <v>0</v>
      </c>
      <c r="AC189" s="545">
        <f ca="1">IF(AND($D189="Serviço",AC$12&lt;&gt;0,$H189&gt;0,OR(AUTOEVENTO&lt;&gt;"manual",$M189&lt;&gt;1)),
IF(Import.TipoArredondamento&lt;&gt;"TransfereGOV",
ROUND(OFFSET($P189,0,AC$13),15-13*ORÇAMENTO!$AF$7)/$H189*OFFSET(ORÇAMENTO!$X$15,ROW(AC189)-ROW(AC$15),0),
ROUND(ROUND(OFFSET($P189,0,AC$13),15-13*ORÇAMENTO!$AF$7)*OFFSET(ORÇAMENTO!$W$15,ROW(AC189)-ROW(AC$15),0),15-13*ORÇAMENTO!$AF$11)),0)</f>
        <v>0</v>
      </c>
      <c r="AD189" s="545">
        <f ca="1">IF(AND($D189="Serviço",AD$12&lt;&gt;0,$H189&gt;0,OR(AUTOEVENTO&lt;&gt;"manual",$M189&lt;&gt;1)),
IF(Import.TipoArredondamento&lt;&gt;"TransfereGOV",
ROUND(OFFSET($P189,0,AD$13),15-13*ORÇAMENTO!$AF$7)/$H189*OFFSET(ORÇAMENTO!$X$15,ROW(AD189)-ROW(AD$15),0),
ROUND(ROUND(OFFSET($P189,0,AD$13),15-13*ORÇAMENTO!$AF$7)*OFFSET(ORÇAMENTO!$W$15,ROW(AD189)-ROW(AD$15),0),15-13*ORÇAMENTO!$AF$11)),0)</f>
        <v>0</v>
      </c>
      <c r="AE189" s="545">
        <f ca="1">IF(AND($D189="Serviço",AE$12&lt;&gt;0,$H189&gt;0,OR(AUTOEVENTO&lt;&gt;"manual",$M189&lt;&gt;1)),
IF(Import.TipoArredondamento&lt;&gt;"TransfereGOV",
ROUND(OFFSET($P189,0,AE$13),15-13*ORÇAMENTO!$AF$7)/$H189*OFFSET(ORÇAMENTO!$X$15,ROW(AE189)-ROW(AE$15),0),
ROUND(ROUND(OFFSET($P189,0,AE$13),15-13*ORÇAMENTO!$AF$7)*OFFSET(ORÇAMENTO!$W$15,ROW(AE189)-ROW(AE$15),0),15-13*ORÇAMENTO!$AF$11)),0)</f>
        <v>0</v>
      </c>
      <c r="AF189" s="545">
        <f ca="1">IF(AND($D189="Serviço",AF$12&lt;&gt;0,$H189&gt;0,OR(AUTOEVENTO&lt;&gt;"manual",$M189&lt;&gt;1)),
IF(Import.TipoArredondamento&lt;&gt;"TransfereGOV",
ROUND(OFFSET($P189,0,AF$13),15-13*ORÇAMENTO!$AF$7)/$H189*OFFSET(ORÇAMENTO!$X$15,ROW(AF189)-ROW(AF$15),0),
ROUND(ROUND(OFFSET($P189,0,AF$13),15-13*ORÇAMENTO!$AF$7)*OFFSET(ORÇAMENTO!$W$15,ROW(AF189)-ROW(AF$15),0),15-13*ORÇAMENTO!$AF$11)),0)</f>
        <v>0</v>
      </c>
      <c r="AG189" s="545">
        <f ca="1">IF(AND($D189="Serviço",AG$12&lt;&gt;0,$H189&gt;0,OR(AUTOEVENTO&lt;&gt;"manual",$M189&lt;&gt;1)),
IF(Import.TipoArredondamento&lt;&gt;"TransfereGOV",
ROUND(OFFSET($P189,0,AG$13),15-13*ORÇAMENTO!$AF$7)/$H189*OFFSET(ORÇAMENTO!$X$15,ROW(AG189)-ROW(AG$15),0),
ROUND(ROUND(OFFSET($P189,0,AG$13),15-13*ORÇAMENTO!$AF$7)*OFFSET(ORÇAMENTO!$W$15,ROW(AG189)-ROW(AG$15),0),15-13*ORÇAMENTO!$AF$11)),0)</f>
        <v>0</v>
      </c>
      <c r="AH189" s="545">
        <f ca="1">IF(AND($D189="Serviço",AH$12&lt;&gt;0,$H189&gt;0,OR(AUTOEVENTO&lt;&gt;"manual",$M189&lt;&gt;1)),
IF(Import.TipoArredondamento&lt;&gt;"TransfereGOV",
ROUND(OFFSET($P189,0,AH$13),15-13*ORÇAMENTO!$AF$7)/$H189*OFFSET(ORÇAMENTO!$X$15,ROW(AH189)-ROW(AH$15),0),
ROUND(ROUND(OFFSET($P189,0,AH$13),15-13*ORÇAMENTO!$AF$7)*OFFSET(ORÇAMENTO!$W$15,ROW(AH189)-ROW(AH$15),0),15-13*ORÇAMENTO!$AF$11)),0)</f>
        <v>0</v>
      </c>
      <c r="AI189" s="545">
        <f ca="1">IF(AND($D189="Serviço",AI$12&lt;&gt;0,$H189&gt;0,OR(AUTOEVENTO&lt;&gt;"manual",$M189&lt;&gt;1)),
IF(Import.TipoArredondamento&lt;&gt;"TransfereGOV",
ROUND(OFFSET($P189,0,AI$13),15-13*ORÇAMENTO!$AF$7)/$H189*OFFSET(ORÇAMENTO!$X$15,ROW(AI189)-ROW(AI$15),0),
ROUND(ROUND(OFFSET($P189,0,AI$13),15-13*ORÇAMENTO!$AF$7)*OFFSET(ORÇAMENTO!$W$15,ROW(AI189)-ROW(AI$15),0),15-13*ORÇAMENTO!$AF$11)),0)</f>
        <v>0</v>
      </c>
      <c r="AJ189" s="545">
        <f ca="1">IF(AND($D189="Serviço",AJ$12&lt;&gt;0,$H189&gt;0,OR(AUTOEVENTO&lt;&gt;"manual",$M189&lt;&gt;1)),
IF(Import.TipoArredondamento&lt;&gt;"TransfereGOV",
ROUND(OFFSET($P189,0,AJ$13),15-13*ORÇAMENTO!$AF$7)/$H189*OFFSET(ORÇAMENTO!$X$15,ROW(AJ189)-ROW(AJ$15),0),
ROUND(ROUND(OFFSET($P189,0,AJ$13),15-13*ORÇAMENTO!$AF$7)*OFFSET(ORÇAMENTO!$W$15,ROW(AJ189)-ROW(AJ$15),0),15-13*ORÇAMENTO!$AF$11)),0)</f>
        <v>0</v>
      </c>
      <c r="AK189" s="546">
        <f ca="1">IF(AND($D189="Serviço",AK$12&lt;&gt;0,$H189&gt;0,OR(AUTOEVENTO&lt;&gt;"manual",$M189&lt;&gt;1)),
IF(Import.TipoArredondamento&lt;&gt;"TransfereGOV",
ROUND(OFFSET($P189,0,AK$13),15-13*ORÇAMENTO!$AF$7)/$H189*OFFSET(ORÇAMENTO!$X$15,ROW(AK189)-ROW(AK$15),0),
ROUND(ROUND(OFFSET($P189,0,AK$13),15-13*ORÇAMENTO!$AF$7)*OFFSET(ORÇAMENTO!$W$15,ROW(AK189)-ROW(AK$15),0),15-13*ORÇAMENTO!$AF$11)),0)</f>
        <v>0</v>
      </c>
      <c r="AM189" s="181">
        <f ca="1">IF($D189&lt;&gt;"Serviço",0,IF(AND(AUTOEVENTO="Manual",$M189=1),0,IF(OFFSET(CRONOPLE!$F$14,$M189,AM$13)="",10^12,OFFSET(CRONOPLE!$F$14,$M189,AM$13))))</f>
        <v>1000000000000</v>
      </c>
      <c r="AN189" s="181">
        <f ca="1">IF($D189&lt;&gt;"Serviço",0,IF(AND(AUTOEVENTO="Manual",$M189=1),0,IF(OFFSET(CRONOPLE!$F$14,$M189,AN$13)="",10^12,OFFSET(CRONOPLE!$F$14,$M189,AN$13))))</f>
        <v>1000000000000</v>
      </c>
      <c r="AO189" s="181">
        <f ca="1">IF($D189&lt;&gt;"Serviço",0,IF(AND(AUTOEVENTO="Manual",$M189=1),0,IF(OFFSET(CRONOPLE!$F$14,$M189,AO$13)="",10^12,OFFSET(CRONOPLE!$F$14,$M189,AO$13))))</f>
        <v>1000000000000</v>
      </c>
      <c r="AP189" s="181">
        <f ca="1">IF($D189&lt;&gt;"Serviço",0,IF(AND(AUTOEVENTO="Manual",$M189=1),0,IF(OFFSET(CRONOPLE!$F$14,$M189,AP$13)="",10^12,OFFSET(CRONOPLE!$F$14,$M189,AP$13))))</f>
        <v>1000000000000</v>
      </c>
      <c r="AQ189" s="181">
        <f ca="1">IF($D189&lt;&gt;"Serviço",0,IF(AND(AUTOEVENTO="Manual",$M189=1),0,IF(OFFSET(CRONOPLE!$F$14,$M189,AQ$13)="",10^12,OFFSET(CRONOPLE!$F$14,$M189,AQ$13))))</f>
        <v>1000000000000</v>
      </c>
      <c r="AR189" s="181">
        <f ca="1">IF($D189&lt;&gt;"Serviço",0,IF(AND(AUTOEVENTO="Manual",$M189=1),0,IF(OFFSET(CRONOPLE!$F$14,$M189,AR$13)="",10^12,OFFSET(CRONOPLE!$F$14,$M189,AR$13))))</f>
        <v>1000000000000</v>
      </c>
      <c r="AS189" s="181">
        <f ca="1">IF($D189&lt;&gt;"Serviço",0,IF(AND(AUTOEVENTO="Manual",$M189=1),0,IF(OFFSET(CRONOPLE!$F$14,$M189,AS$13)="",10^12,OFFSET(CRONOPLE!$F$14,$M189,AS$13))))</f>
        <v>1000000000000</v>
      </c>
      <c r="AT189" s="181">
        <f ca="1">IF($D189&lt;&gt;"Serviço",0,IF(AND(AUTOEVENTO="Manual",$M189=1),0,IF(OFFSET(CRONOPLE!$F$14,$M189,AT$13)="",10^12,OFFSET(CRONOPLE!$F$14,$M189,AT$13))))</f>
        <v>1000000000000</v>
      </c>
      <c r="AU189" s="181">
        <f ca="1">IF($D189&lt;&gt;"Serviço",0,IF(AND(AUTOEVENTO="Manual",$M189=1),0,IF(OFFSET(CRONOPLE!$F$14,$M189,AU$13)="",10^12,OFFSET(CRONOPLE!$F$14,$M189,AU$13))))</f>
        <v>1000000000000</v>
      </c>
      <c r="AV189" s="181">
        <f ca="1">IF($D189&lt;&gt;"Serviço",0,IF(AND(AUTOEVENTO="Manual",$M189=1),0,IF(OFFSET(CRONOPLE!$F$14,$M189,AV$13)="",10^12,OFFSET(CRONOPLE!$F$14,$M189,AV$13))))</f>
        <v>1000000000000</v>
      </c>
      <c r="AX189" s="182">
        <f ca="1">IF($D189&lt;&gt;"Serviço",0,IF(OR(AND(AUTOEVENTO="Manual",$M189=1),$M189&gt;(ROW(PLE.lastrow)-ROW(PLE.firstrow))),0,IF(OFFSET(PLE!$G$14,$M189,AX$13)="",10^12,OFFSET(PLE!$G$14,$M189,AX$13))))</f>
        <v>1000000000000</v>
      </c>
      <c r="AY189" s="182">
        <f ca="1">IF($D189&lt;&gt;"Serviço",0,IF(OR(AND(AUTOEVENTO="Manual",$M189=1),$M189&gt;(ROW(PLE.lastrow)-ROW(PLE.firstrow))),0,IF(OFFSET(PLE!$G$14,$M189,AY$13)="",10^12,OFFSET(PLE!$G$14,$M189,AY$13))))</f>
        <v>1000000000000</v>
      </c>
      <c r="AZ189" s="182">
        <f ca="1">IF($D189&lt;&gt;"Serviço",0,IF(OR(AND(AUTOEVENTO="Manual",$M189=1),$M189&gt;(ROW(PLE.lastrow)-ROW(PLE.firstrow))),0,IF(OFFSET(PLE!$G$14,$M189,AZ$13)="",10^12,OFFSET(PLE!$G$14,$M189,AZ$13))))</f>
        <v>1000000000000</v>
      </c>
      <c r="BA189" s="182">
        <f ca="1">IF($D189&lt;&gt;"Serviço",0,IF(OR(AND(AUTOEVENTO="Manual",$M189=1),$M189&gt;(ROW(PLE.lastrow)-ROW(PLE.firstrow))),0,IF(OFFSET(PLE!$G$14,$M189,BA$13)="",10^12,OFFSET(PLE!$G$14,$M189,BA$13))))</f>
        <v>1000000000000</v>
      </c>
      <c r="BB189" s="182">
        <f ca="1">IF($D189&lt;&gt;"Serviço",0,IF(OR(AND(AUTOEVENTO="Manual",$M189=1),$M189&gt;(ROW(PLE.lastrow)-ROW(PLE.firstrow))),0,IF(OFFSET(PLE!$G$14,$M189,BB$13)="",10^12,OFFSET(PLE!$G$14,$M189,BB$13))))</f>
        <v>1000000000000</v>
      </c>
      <c r="BC189" s="182">
        <f ca="1">IF($D189&lt;&gt;"Serviço",0,IF(OR(AND(AUTOEVENTO="Manual",$M189=1),$M189&gt;(ROW(PLE.lastrow)-ROW(PLE.firstrow))),0,IF(OFFSET(PLE!$G$14,$M189,BC$13)="",10^12,OFFSET(PLE!$G$14,$M189,BC$13))))</f>
        <v>1000000000000</v>
      </c>
      <c r="BD189" s="182">
        <f ca="1">IF($D189&lt;&gt;"Serviço",0,IF(OR(AND(AUTOEVENTO="Manual",$M189=1),$M189&gt;(ROW(PLE.lastrow)-ROW(PLE.firstrow))),0,IF(OFFSET(PLE!$G$14,$M189,BD$13)="",10^12,OFFSET(PLE!$G$14,$M189,BD$13))))</f>
        <v>1000000000000</v>
      </c>
      <c r="BE189" s="182">
        <f ca="1">IF($D189&lt;&gt;"Serviço",0,IF(OR(AND(AUTOEVENTO="Manual",$M189=1),$M189&gt;(ROW(PLE.lastrow)-ROW(PLE.firstrow))),0,IF(OFFSET(PLE!$G$14,$M189,BE$13)="",10^12,OFFSET(PLE!$G$14,$M189,BE$13))))</f>
        <v>1000000000000</v>
      </c>
      <c r="BF189" s="182">
        <f ca="1">IF($D189&lt;&gt;"Serviço",0,IF(OR(AND(AUTOEVENTO="Manual",$M189=1),$M189&gt;(ROW(PLE.lastrow)-ROW(PLE.firstrow))),0,IF(OFFSET(PLE!$G$14,$M189,BF$13)="",10^12,OFFSET(PLE!$G$14,$M189,BF$13))))</f>
        <v>1000000000000</v>
      </c>
      <c r="BG189" s="182">
        <f ca="1">IF($D189&lt;&gt;"Serviço",0,IF(OR(AND(AUTOEVENTO="Manual",$M189=1),$M189&gt;(ROW(PLE.lastrow)-ROW(PLE.firstrow))),0,IF(OFFSET(PLE!$G$14,$M189,BG$13)="",10^12,OFFSET(PLE!$G$14,$M189,BG$13))))</f>
        <v>1000000000000</v>
      </c>
    </row>
    <row r="190" spans="1:59" ht="12.75" x14ac:dyDescent="0.2">
      <c r="A190" s="7" t="str">
        <f t="shared" ca="1" si="10"/>
        <v>175.</v>
      </c>
      <c r="B190" s="7">
        <f ca="1">OFFSET(ORÇAMENTO!C$15,ROW(B190)-ROW(B$15),0)</f>
        <v>2</v>
      </c>
      <c r="C190" s="7" t="str">
        <f ca="1">OFFSET(ORÇAMENTO!L$15,ROW(C190)-ROW(C$15),0)</f>
        <v>F</v>
      </c>
      <c r="D190" s="118" t="str">
        <f ca="1">OFFSET(ORÇAMENTO!N$15,ROW(D190)-ROW(D$15),0)</f>
        <v>Nível 2</v>
      </c>
      <c r="E190" s="119" t="str">
        <f ca="1">OFFSET(ORÇAMENTO!O$15,ROW(E190)-ROW(E$15),0)</f>
        <v>1.9.</v>
      </c>
      <c r="F190" s="172" t="str">
        <f ca="1">OFFSET(ORÇAMENTO!R$15,ROW(F190)-ROW(F$15),0)</f>
        <v>REVESTIMENTOS INTERNO E EXTERNO</v>
      </c>
      <c r="G190" s="173" t="str">
        <f ca="1">IF($D190&lt;&gt;"Serviço","",OFFSET(ORÇAMENTO!S$15,ROW(G190)-ROW(G$15),0))</f>
        <v/>
      </c>
      <c r="H190" s="124">
        <f ca="1">IF($D190&lt;&gt;"Serviço",0,IF(ACOMPANHAMENTO="BM",ROUND(OFFSET(ORÇAMENTO!AJ$15,ROW(H190)-ROW(H$15),0),15-13*ORÇAMENTO!$AF$7),SUMPRODUCT(($Q$12:$AA$12&lt;&gt;"")*ROUND($Q190:$AA190,15-13*ORÇAMENTO!$AF$7))))</f>
        <v>0</v>
      </c>
      <c r="I190" s="561"/>
      <c r="K190" s="174"/>
      <c r="L190" s="175" t="s">
        <v>255</v>
      </c>
      <c r="M190" s="176" t="str">
        <f ca="1">IF($D190&lt;&gt;"Serviço","",IF(AUTOEVENTO="manual",$A190,IF(ISERROR(MATCH($A190,$A$15:OFFSET($A190,-1,0),0)),MAX($M$15:OFFSET(M190,-1,0))+1,INDEX($M$15:OFFSET(M190,-1,0),MATCH($A190,$A$15:OFFSET($A190,-1,0),0)))))</f>
        <v/>
      </c>
      <c r="N190" s="177" t="str">
        <f ca="1">IF($D190&lt;&gt;"Serviço","",IF(AUTOEVENTO="Manual",IF($A190=0,"&lt;-- defina o número do agrupador",OFFSET(EVENTOS!$D$14,$A190,0)),OFFSET($F$15,$A190,0)))</f>
        <v/>
      </c>
      <c r="O190" s="178"/>
      <c r="Q190" s="178"/>
      <c r="R190" s="179"/>
      <c r="S190" s="179"/>
      <c r="T190" s="179"/>
      <c r="U190" s="179"/>
      <c r="V190" s="179"/>
      <c r="W190" s="179"/>
      <c r="X190" s="179"/>
      <c r="Y190" s="179"/>
      <c r="Z190" s="180"/>
      <c r="AB190" s="544">
        <f ca="1">IF(AND($D190="Serviço",AB$12&lt;&gt;0,$H190&gt;0,OR(AUTOEVENTO&lt;&gt;"manual",$M190&lt;&gt;1)),
IF(Import.TipoArredondamento&lt;&gt;"TransfereGOV",
ROUND(OFFSET($P190,0,AB$13),15-13*ORÇAMENTO!$AF$7)/$H190*OFFSET(ORÇAMENTO!$X$15,ROW(AB190)-ROW(AB$15),0),
ROUND(ROUND(OFFSET($P190,0,AB$13),15-13*ORÇAMENTO!$AF$7)*OFFSET(ORÇAMENTO!$W$15,ROW(AB190)-ROW(AB$15),0),15-13*ORÇAMENTO!$AF$11)),0)</f>
        <v>0</v>
      </c>
      <c r="AC190" s="545">
        <f ca="1">IF(AND($D190="Serviço",AC$12&lt;&gt;0,$H190&gt;0,OR(AUTOEVENTO&lt;&gt;"manual",$M190&lt;&gt;1)),
IF(Import.TipoArredondamento&lt;&gt;"TransfereGOV",
ROUND(OFFSET($P190,0,AC$13),15-13*ORÇAMENTO!$AF$7)/$H190*OFFSET(ORÇAMENTO!$X$15,ROW(AC190)-ROW(AC$15),0),
ROUND(ROUND(OFFSET($P190,0,AC$13),15-13*ORÇAMENTO!$AF$7)*OFFSET(ORÇAMENTO!$W$15,ROW(AC190)-ROW(AC$15),0),15-13*ORÇAMENTO!$AF$11)),0)</f>
        <v>0</v>
      </c>
      <c r="AD190" s="545">
        <f ca="1">IF(AND($D190="Serviço",AD$12&lt;&gt;0,$H190&gt;0,OR(AUTOEVENTO&lt;&gt;"manual",$M190&lt;&gt;1)),
IF(Import.TipoArredondamento&lt;&gt;"TransfereGOV",
ROUND(OFFSET($P190,0,AD$13),15-13*ORÇAMENTO!$AF$7)/$H190*OFFSET(ORÇAMENTO!$X$15,ROW(AD190)-ROW(AD$15),0),
ROUND(ROUND(OFFSET($P190,0,AD$13),15-13*ORÇAMENTO!$AF$7)*OFFSET(ORÇAMENTO!$W$15,ROW(AD190)-ROW(AD$15),0),15-13*ORÇAMENTO!$AF$11)),0)</f>
        <v>0</v>
      </c>
      <c r="AE190" s="545">
        <f ca="1">IF(AND($D190="Serviço",AE$12&lt;&gt;0,$H190&gt;0,OR(AUTOEVENTO&lt;&gt;"manual",$M190&lt;&gt;1)),
IF(Import.TipoArredondamento&lt;&gt;"TransfereGOV",
ROUND(OFFSET($P190,0,AE$13),15-13*ORÇAMENTO!$AF$7)/$H190*OFFSET(ORÇAMENTO!$X$15,ROW(AE190)-ROW(AE$15),0),
ROUND(ROUND(OFFSET($P190,0,AE$13),15-13*ORÇAMENTO!$AF$7)*OFFSET(ORÇAMENTO!$W$15,ROW(AE190)-ROW(AE$15),0),15-13*ORÇAMENTO!$AF$11)),0)</f>
        <v>0</v>
      </c>
      <c r="AF190" s="545">
        <f ca="1">IF(AND($D190="Serviço",AF$12&lt;&gt;0,$H190&gt;0,OR(AUTOEVENTO&lt;&gt;"manual",$M190&lt;&gt;1)),
IF(Import.TipoArredondamento&lt;&gt;"TransfereGOV",
ROUND(OFFSET($P190,0,AF$13),15-13*ORÇAMENTO!$AF$7)/$H190*OFFSET(ORÇAMENTO!$X$15,ROW(AF190)-ROW(AF$15),0),
ROUND(ROUND(OFFSET($P190,0,AF$13),15-13*ORÇAMENTO!$AF$7)*OFFSET(ORÇAMENTO!$W$15,ROW(AF190)-ROW(AF$15),0),15-13*ORÇAMENTO!$AF$11)),0)</f>
        <v>0</v>
      </c>
      <c r="AG190" s="545">
        <f ca="1">IF(AND($D190="Serviço",AG$12&lt;&gt;0,$H190&gt;0,OR(AUTOEVENTO&lt;&gt;"manual",$M190&lt;&gt;1)),
IF(Import.TipoArredondamento&lt;&gt;"TransfereGOV",
ROUND(OFFSET($P190,0,AG$13),15-13*ORÇAMENTO!$AF$7)/$H190*OFFSET(ORÇAMENTO!$X$15,ROW(AG190)-ROW(AG$15),0),
ROUND(ROUND(OFFSET($P190,0,AG$13),15-13*ORÇAMENTO!$AF$7)*OFFSET(ORÇAMENTO!$W$15,ROW(AG190)-ROW(AG$15),0),15-13*ORÇAMENTO!$AF$11)),0)</f>
        <v>0</v>
      </c>
      <c r="AH190" s="545">
        <f ca="1">IF(AND($D190="Serviço",AH$12&lt;&gt;0,$H190&gt;0,OR(AUTOEVENTO&lt;&gt;"manual",$M190&lt;&gt;1)),
IF(Import.TipoArredondamento&lt;&gt;"TransfereGOV",
ROUND(OFFSET($P190,0,AH$13),15-13*ORÇAMENTO!$AF$7)/$H190*OFFSET(ORÇAMENTO!$X$15,ROW(AH190)-ROW(AH$15),0),
ROUND(ROUND(OFFSET($P190,0,AH$13),15-13*ORÇAMENTO!$AF$7)*OFFSET(ORÇAMENTO!$W$15,ROW(AH190)-ROW(AH$15),0),15-13*ORÇAMENTO!$AF$11)),0)</f>
        <v>0</v>
      </c>
      <c r="AI190" s="545">
        <f ca="1">IF(AND($D190="Serviço",AI$12&lt;&gt;0,$H190&gt;0,OR(AUTOEVENTO&lt;&gt;"manual",$M190&lt;&gt;1)),
IF(Import.TipoArredondamento&lt;&gt;"TransfereGOV",
ROUND(OFFSET($P190,0,AI$13),15-13*ORÇAMENTO!$AF$7)/$H190*OFFSET(ORÇAMENTO!$X$15,ROW(AI190)-ROW(AI$15),0),
ROUND(ROUND(OFFSET($P190,0,AI$13),15-13*ORÇAMENTO!$AF$7)*OFFSET(ORÇAMENTO!$W$15,ROW(AI190)-ROW(AI$15),0),15-13*ORÇAMENTO!$AF$11)),0)</f>
        <v>0</v>
      </c>
      <c r="AJ190" s="545">
        <f ca="1">IF(AND($D190="Serviço",AJ$12&lt;&gt;0,$H190&gt;0,OR(AUTOEVENTO&lt;&gt;"manual",$M190&lt;&gt;1)),
IF(Import.TipoArredondamento&lt;&gt;"TransfereGOV",
ROUND(OFFSET($P190,0,AJ$13),15-13*ORÇAMENTO!$AF$7)/$H190*OFFSET(ORÇAMENTO!$X$15,ROW(AJ190)-ROW(AJ$15),0),
ROUND(ROUND(OFFSET($P190,0,AJ$13),15-13*ORÇAMENTO!$AF$7)*OFFSET(ORÇAMENTO!$W$15,ROW(AJ190)-ROW(AJ$15),0),15-13*ORÇAMENTO!$AF$11)),0)</f>
        <v>0</v>
      </c>
      <c r="AK190" s="546">
        <f ca="1">IF(AND($D190="Serviço",AK$12&lt;&gt;0,$H190&gt;0,OR(AUTOEVENTO&lt;&gt;"manual",$M190&lt;&gt;1)),
IF(Import.TipoArredondamento&lt;&gt;"TransfereGOV",
ROUND(OFFSET($P190,0,AK$13),15-13*ORÇAMENTO!$AF$7)/$H190*OFFSET(ORÇAMENTO!$X$15,ROW(AK190)-ROW(AK$15),0),
ROUND(ROUND(OFFSET($P190,0,AK$13),15-13*ORÇAMENTO!$AF$7)*OFFSET(ORÇAMENTO!$W$15,ROW(AK190)-ROW(AK$15),0),15-13*ORÇAMENTO!$AF$11)),0)</f>
        <v>0</v>
      </c>
      <c r="AM190" s="181">
        <f ca="1">IF($D190&lt;&gt;"Serviço",0,IF(AND(AUTOEVENTO="Manual",$M190=1),0,IF(OFFSET(CRONOPLE!$F$14,$M190,AM$13)="",10^12,OFFSET(CRONOPLE!$F$14,$M190,AM$13))))</f>
        <v>0</v>
      </c>
      <c r="AN190" s="181">
        <f ca="1">IF($D190&lt;&gt;"Serviço",0,IF(AND(AUTOEVENTO="Manual",$M190=1),0,IF(OFFSET(CRONOPLE!$F$14,$M190,AN$13)="",10^12,OFFSET(CRONOPLE!$F$14,$M190,AN$13))))</f>
        <v>0</v>
      </c>
      <c r="AO190" s="181">
        <f ca="1">IF($D190&lt;&gt;"Serviço",0,IF(AND(AUTOEVENTO="Manual",$M190=1),0,IF(OFFSET(CRONOPLE!$F$14,$M190,AO$13)="",10^12,OFFSET(CRONOPLE!$F$14,$M190,AO$13))))</f>
        <v>0</v>
      </c>
      <c r="AP190" s="181">
        <f ca="1">IF($D190&lt;&gt;"Serviço",0,IF(AND(AUTOEVENTO="Manual",$M190=1),0,IF(OFFSET(CRONOPLE!$F$14,$M190,AP$13)="",10^12,OFFSET(CRONOPLE!$F$14,$M190,AP$13))))</f>
        <v>0</v>
      </c>
      <c r="AQ190" s="181">
        <f ca="1">IF($D190&lt;&gt;"Serviço",0,IF(AND(AUTOEVENTO="Manual",$M190=1),0,IF(OFFSET(CRONOPLE!$F$14,$M190,AQ$13)="",10^12,OFFSET(CRONOPLE!$F$14,$M190,AQ$13))))</f>
        <v>0</v>
      </c>
      <c r="AR190" s="181">
        <f ca="1">IF($D190&lt;&gt;"Serviço",0,IF(AND(AUTOEVENTO="Manual",$M190=1),0,IF(OFFSET(CRONOPLE!$F$14,$M190,AR$13)="",10^12,OFFSET(CRONOPLE!$F$14,$M190,AR$13))))</f>
        <v>0</v>
      </c>
      <c r="AS190" s="181">
        <f ca="1">IF($D190&lt;&gt;"Serviço",0,IF(AND(AUTOEVENTO="Manual",$M190=1),0,IF(OFFSET(CRONOPLE!$F$14,$M190,AS$13)="",10^12,OFFSET(CRONOPLE!$F$14,$M190,AS$13))))</f>
        <v>0</v>
      </c>
      <c r="AT190" s="181">
        <f ca="1">IF($D190&lt;&gt;"Serviço",0,IF(AND(AUTOEVENTO="Manual",$M190=1),0,IF(OFFSET(CRONOPLE!$F$14,$M190,AT$13)="",10^12,OFFSET(CRONOPLE!$F$14,$M190,AT$13))))</f>
        <v>0</v>
      </c>
      <c r="AU190" s="181">
        <f ca="1">IF($D190&lt;&gt;"Serviço",0,IF(AND(AUTOEVENTO="Manual",$M190=1),0,IF(OFFSET(CRONOPLE!$F$14,$M190,AU$13)="",10^12,OFFSET(CRONOPLE!$F$14,$M190,AU$13))))</f>
        <v>0</v>
      </c>
      <c r="AV190" s="181">
        <f ca="1">IF($D190&lt;&gt;"Serviço",0,IF(AND(AUTOEVENTO="Manual",$M190=1),0,IF(OFFSET(CRONOPLE!$F$14,$M190,AV$13)="",10^12,OFFSET(CRONOPLE!$F$14,$M190,AV$13))))</f>
        <v>0</v>
      </c>
      <c r="AX190" s="182">
        <f ca="1">IF($D190&lt;&gt;"Serviço",0,IF(OR(AND(AUTOEVENTO="Manual",$M190=1),$M190&gt;(ROW(PLE.lastrow)-ROW(PLE.firstrow))),0,IF(OFFSET(PLE!$G$14,$M190,AX$13)="",10^12,OFFSET(PLE!$G$14,$M190,AX$13))))</f>
        <v>0</v>
      </c>
      <c r="AY190" s="182">
        <f ca="1">IF($D190&lt;&gt;"Serviço",0,IF(OR(AND(AUTOEVENTO="Manual",$M190=1),$M190&gt;(ROW(PLE.lastrow)-ROW(PLE.firstrow))),0,IF(OFFSET(PLE!$G$14,$M190,AY$13)="",10^12,OFFSET(PLE!$G$14,$M190,AY$13))))</f>
        <v>0</v>
      </c>
      <c r="AZ190" s="182">
        <f ca="1">IF($D190&lt;&gt;"Serviço",0,IF(OR(AND(AUTOEVENTO="Manual",$M190=1),$M190&gt;(ROW(PLE.lastrow)-ROW(PLE.firstrow))),0,IF(OFFSET(PLE!$G$14,$M190,AZ$13)="",10^12,OFFSET(PLE!$G$14,$M190,AZ$13))))</f>
        <v>0</v>
      </c>
      <c r="BA190" s="182">
        <f ca="1">IF($D190&lt;&gt;"Serviço",0,IF(OR(AND(AUTOEVENTO="Manual",$M190=1),$M190&gt;(ROW(PLE.lastrow)-ROW(PLE.firstrow))),0,IF(OFFSET(PLE!$G$14,$M190,BA$13)="",10^12,OFFSET(PLE!$G$14,$M190,BA$13))))</f>
        <v>0</v>
      </c>
      <c r="BB190" s="182">
        <f ca="1">IF($D190&lt;&gt;"Serviço",0,IF(OR(AND(AUTOEVENTO="Manual",$M190=1),$M190&gt;(ROW(PLE.lastrow)-ROW(PLE.firstrow))),0,IF(OFFSET(PLE!$G$14,$M190,BB$13)="",10^12,OFFSET(PLE!$G$14,$M190,BB$13))))</f>
        <v>0</v>
      </c>
      <c r="BC190" s="182">
        <f ca="1">IF($D190&lt;&gt;"Serviço",0,IF(OR(AND(AUTOEVENTO="Manual",$M190=1),$M190&gt;(ROW(PLE.lastrow)-ROW(PLE.firstrow))),0,IF(OFFSET(PLE!$G$14,$M190,BC$13)="",10^12,OFFSET(PLE!$G$14,$M190,BC$13))))</f>
        <v>0</v>
      </c>
      <c r="BD190" s="182">
        <f ca="1">IF($D190&lt;&gt;"Serviço",0,IF(OR(AND(AUTOEVENTO="Manual",$M190=1),$M190&gt;(ROW(PLE.lastrow)-ROW(PLE.firstrow))),0,IF(OFFSET(PLE!$G$14,$M190,BD$13)="",10^12,OFFSET(PLE!$G$14,$M190,BD$13))))</f>
        <v>0</v>
      </c>
      <c r="BE190" s="182">
        <f ca="1">IF($D190&lt;&gt;"Serviço",0,IF(OR(AND(AUTOEVENTO="Manual",$M190=1),$M190&gt;(ROW(PLE.lastrow)-ROW(PLE.firstrow))),0,IF(OFFSET(PLE!$G$14,$M190,BE$13)="",10^12,OFFSET(PLE!$G$14,$M190,BE$13))))</f>
        <v>0</v>
      </c>
      <c r="BF190" s="182">
        <f ca="1">IF($D190&lt;&gt;"Serviço",0,IF(OR(AND(AUTOEVENTO="Manual",$M190=1),$M190&gt;(ROW(PLE.lastrow)-ROW(PLE.firstrow))),0,IF(OFFSET(PLE!$G$14,$M190,BF$13)="",10^12,OFFSET(PLE!$G$14,$M190,BF$13))))</f>
        <v>0</v>
      </c>
      <c r="BG190" s="182">
        <f ca="1">IF($D190&lt;&gt;"Serviço",0,IF(OR(AND(AUTOEVENTO="Manual",$M190=1),$M190&gt;(ROW(PLE.lastrow)-ROW(PLE.firstrow))),0,IF(OFFSET(PLE!$G$14,$M190,BG$13)="",10^12,OFFSET(PLE!$G$14,$M190,BG$13))))</f>
        <v>0</v>
      </c>
    </row>
    <row r="191" spans="1:59" ht="12.75" x14ac:dyDescent="0.2">
      <c r="A191" s="7" t="str">
        <f t="shared" ca="1" si="10"/>
        <v>175.</v>
      </c>
      <c r="B191" s="7">
        <f ca="1">OFFSET(ORÇAMENTO!C$15,ROW(B191)-ROW(B$15),0)</f>
        <v>3</v>
      </c>
      <c r="C191" s="7" t="str">
        <f ca="1">OFFSET(ORÇAMENTO!L$15,ROW(C191)-ROW(C$15),0)</f>
        <v>F</v>
      </c>
      <c r="D191" s="118" t="str">
        <f ca="1">OFFSET(ORÇAMENTO!N$15,ROW(D191)-ROW(D$15),0)</f>
        <v>Nível 3</v>
      </c>
      <c r="E191" s="119" t="str">
        <f ca="1">OFFSET(ORÇAMENTO!O$15,ROW(E191)-ROW(E$15),0)</f>
        <v>1.9.1.</v>
      </c>
      <c r="F191" s="172" t="str">
        <f ca="1">OFFSET(ORÇAMENTO!R$15,ROW(F191)-ROW(F$15),0)</f>
        <v>EDIFICAÇÃO</v>
      </c>
      <c r="G191" s="173" t="str">
        <f ca="1">IF($D191&lt;&gt;"Serviço","",OFFSET(ORÇAMENTO!S$15,ROW(G191)-ROW(G$15),0))</f>
        <v/>
      </c>
      <c r="H191" s="124">
        <f ca="1">IF($D191&lt;&gt;"Serviço",0,IF(ACOMPANHAMENTO="BM",ROUND(OFFSET(ORÇAMENTO!AJ$15,ROW(H191)-ROW(H$15),0),15-13*ORÇAMENTO!$AF$7),SUMPRODUCT(($Q$12:$AA$12&lt;&gt;"")*ROUND($Q191:$AA191,15-13*ORÇAMENTO!$AF$7))))</f>
        <v>0</v>
      </c>
      <c r="I191" s="561"/>
      <c r="K191" s="174"/>
      <c r="L191" s="175" t="s">
        <v>255</v>
      </c>
      <c r="M191" s="176" t="str">
        <f ca="1">IF($D191&lt;&gt;"Serviço","",IF(AUTOEVENTO="manual",$A191,IF(ISERROR(MATCH($A191,$A$15:OFFSET($A191,-1,0),0)),MAX($M$15:OFFSET(M191,-1,0))+1,INDEX($M$15:OFFSET(M191,-1,0),MATCH($A191,$A$15:OFFSET($A191,-1,0),0)))))</f>
        <v/>
      </c>
      <c r="N191" s="177" t="str">
        <f ca="1">IF($D191&lt;&gt;"Serviço","",IF(AUTOEVENTO="Manual",IF($A191=0,"&lt;-- defina o número do agrupador",OFFSET(EVENTOS!$D$14,$A191,0)),OFFSET($F$15,$A191,0)))</f>
        <v/>
      </c>
      <c r="O191" s="178"/>
      <c r="Q191" s="178"/>
      <c r="R191" s="179"/>
      <c r="S191" s="179"/>
      <c r="T191" s="179"/>
      <c r="U191" s="179"/>
      <c r="V191" s="179"/>
      <c r="W191" s="179"/>
      <c r="X191" s="179"/>
      <c r="Y191" s="179"/>
      <c r="Z191" s="180"/>
      <c r="AB191" s="544">
        <f ca="1">IF(AND($D191="Serviço",AB$12&lt;&gt;0,$H191&gt;0,OR(AUTOEVENTO&lt;&gt;"manual",$M191&lt;&gt;1)),
IF(Import.TipoArredondamento&lt;&gt;"TransfereGOV",
ROUND(OFFSET($P191,0,AB$13),15-13*ORÇAMENTO!$AF$7)/$H191*OFFSET(ORÇAMENTO!$X$15,ROW(AB191)-ROW(AB$15),0),
ROUND(ROUND(OFFSET($P191,0,AB$13),15-13*ORÇAMENTO!$AF$7)*OFFSET(ORÇAMENTO!$W$15,ROW(AB191)-ROW(AB$15),0),15-13*ORÇAMENTO!$AF$11)),0)</f>
        <v>0</v>
      </c>
      <c r="AC191" s="545">
        <f ca="1">IF(AND($D191="Serviço",AC$12&lt;&gt;0,$H191&gt;0,OR(AUTOEVENTO&lt;&gt;"manual",$M191&lt;&gt;1)),
IF(Import.TipoArredondamento&lt;&gt;"TransfereGOV",
ROUND(OFFSET($P191,0,AC$13),15-13*ORÇAMENTO!$AF$7)/$H191*OFFSET(ORÇAMENTO!$X$15,ROW(AC191)-ROW(AC$15),0),
ROUND(ROUND(OFFSET($P191,0,AC$13),15-13*ORÇAMENTO!$AF$7)*OFFSET(ORÇAMENTO!$W$15,ROW(AC191)-ROW(AC$15),0),15-13*ORÇAMENTO!$AF$11)),0)</f>
        <v>0</v>
      </c>
      <c r="AD191" s="545">
        <f ca="1">IF(AND($D191="Serviço",AD$12&lt;&gt;0,$H191&gt;0,OR(AUTOEVENTO&lt;&gt;"manual",$M191&lt;&gt;1)),
IF(Import.TipoArredondamento&lt;&gt;"TransfereGOV",
ROUND(OFFSET($P191,0,AD$13),15-13*ORÇAMENTO!$AF$7)/$H191*OFFSET(ORÇAMENTO!$X$15,ROW(AD191)-ROW(AD$15),0),
ROUND(ROUND(OFFSET($P191,0,AD$13),15-13*ORÇAMENTO!$AF$7)*OFFSET(ORÇAMENTO!$W$15,ROW(AD191)-ROW(AD$15),0),15-13*ORÇAMENTO!$AF$11)),0)</f>
        <v>0</v>
      </c>
      <c r="AE191" s="545">
        <f ca="1">IF(AND($D191="Serviço",AE$12&lt;&gt;0,$H191&gt;0,OR(AUTOEVENTO&lt;&gt;"manual",$M191&lt;&gt;1)),
IF(Import.TipoArredondamento&lt;&gt;"TransfereGOV",
ROUND(OFFSET($P191,0,AE$13),15-13*ORÇAMENTO!$AF$7)/$H191*OFFSET(ORÇAMENTO!$X$15,ROW(AE191)-ROW(AE$15),0),
ROUND(ROUND(OFFSET($P191,0,AE$13),15-13*ORÇAMENTO!$AF$7)*OFFSET(ORÇAMENTO!$W$15,ROW(AE191)-ROW(AE$15),0),15-13*ORÇAMENTO!$AF$11)),0)</f>
        <v>0</v>
      </c>
      <c r="AF191" s="545">
        <f ca="1">IF(AND($D191="Serviço",AF$12&lt;&gt;0,$H191&gt;0,OR(AUTOEVENTO&lt;&gt;"manual",$M191&lt;&gt;1)),
IF(Import.TipoArredondamento&lt;&gt;"TransfereGOV",
ROUND(OFFSET($P191,0,AF$13),15-13*ORÇAMENTO!$AF$7)/$H191*OFFSET(ORÇAMENTO!$X$15,ROW(AF191)-ROW(AF$15),0),
ROUND(ROUND(OFFSET($P191,0,AF$13),15-13*ORÇAMENTO!$AF$7)*OFFSET(ORÇAMENTO!$W$15,ROW(AF191)-ROW(AF$15),0),15-13*ORÇAMENTO!$AF$11)),0)</f>
        <v>0</v>
      </c>
      <c r="AG191" s="545">
        <f ca="1">IF(AND($D191="Serviço",AG$12&lt;&gt;0,$H191&gt;0,OR(AUTOEVENTO&lt;&gt;"manual",$M191&lt;&gt;1)),
IF(Import.TipoArredondamento&lt;&gt;"TransfereGOV",
ROUND(OFFSET($P191,0,AG$13),15-13*ORÇAMENTO!$AF$7)/$H191*OFFSET(ORÇAMENTO!$X$15,ROW(AG191)-ROW(AG$15),0),
ROUND(ROUND(OFFSET($P191,0,AG$13),15-13*ORÇAMENTO!$AF$7)*OFFSET(ORÇAMENTO!$W$15,ROW(AG191)-ROW(AG$15),0),15-13*ORÇAMENTO!$AF$11)),0)</f>
        <v>0</v>
      </c>
      <c r="AH191" s="545">
        <f ca="1">IF(AND($D191="Serviço",AH$12&lt;&gt;0,$H191&gt;0,OR(AUTOEVENTO&lt;&gt;"manual",$M191&lt;&gt;1)),
IF(Import.TipoArredondamento&lt;&gt;"TransfereGOV",
ROUND(OFFSET($P191,0,AH$13),15-13*ORÇAMENTO!$AF$7)/$H191*OFFSET(ORÇAMENTO!$X$15,ROW(AH191)-ROW(AH$15),0),
ROUND(ROUND(OFFSET($P191,0,AH$13),15-13*ORÇAMENTO!$AF$7)*OFFSET(ORÇAMENTO!$W$15,ROW(AH191)-ROW(AH$15),0),15-13*ORÇAMENTO!$AF$11)),0)</f>
        <v>0</v>
      </c>
      <c r="AI191" s="545">
        <f ca="1">IF(AND($D191="Serviço",AI$12&lt;&gt;0,$H191&gt;0,OR(AUTOEVENTO&lt;&gt;"manual",$M191&lt;&gt;1)),
IF(Import.TipoArredondamento&lt;&gt;"TransfereGOV",
ROUND(OFFSET($P191,0,AI$13),15-13*ORÇAMENTO!$AF$7)/$H191*OFFSET(ORÇAMENTO!$X$15,ROW(AI191)-ROW(AI$15),0),
ROUND(ROUND(OFFSET($P191,0,AI$13),15-13*ORÇAMENTO!$AF$7)*OFFSET(ORÇAMENTO!$W$15,ROW(AI191)-ROW(AI$15),0),15-13*ORÇAMENTO!$AF$11)),0)</f>
        <v>0</v>
      </c>
      <c r="AJ191" s="545">
        <f ca="1">IF(AND($D191="Serviço",AJ$12&lt;&gt;0,$H191&gt;0,OR(AUTOEVENTO&lt;&gt;"manual",$M191&lt;&gt;1)),
IF(Import.TipoArredondamento&lt;&gt;"TransfereGOV",
ROUND(OFFSET($P191,0,AJ$13),15-13*ORÇAMENTO!$AF$7)/$H191*OFFSET(ORÇAMENTO!$X$15,ROW(AJ191)-ROW(AJ$15),0),
ROUND(ROUND(OFFSET($P191,0,AJ$13),15-13*ORÇAMENTO!$AF$7)*OFFSET(ORÇAMENTO!$W$15,ROW(AJ191)-ROW(AJ$15),0),15-13*ORÇAMENTO!$AF$11)),0)</f>
        <v>0</v>
      </c>
      <c r="AK191" s="546">
        <f ca="1">IF(AND($D191="Serviço",AK$12&lt;&gt;0,$H191&gt;0,OR(AUTOEVENTO&lt;&gt;"manual",$M191&lt;&gt;1)),
IF(Import.TipoArredondamento&lt;&gt;"TransfereGOV",
ROUND(OFFSET($P191,0,AK$13),15-13*ORÇAMENTO!$AF$7)/$H191*OFFSET(ORÇAMENTO!$X$15,ROW(AK191)-ROW(AK$15),0),
ROUND(ROUND(OFFSET($P191,0,AK$13),15-13*ORÇAMENTO!$AF$7)*OFFSET(ORÇAMENTO!$W$15,ROW(AK191)-ROW(AK$15),0),15-13*ORÇAMENTO!$AF$11)),0)</f>
        <v>0</v>
      </c>
      <c r="AM191" s="181">
        <f ca="1">IF($D191&lt;&gt;"Serviço",0,IF(AND(AUTOEVENTO="Manual",$M191=1),0,IF(OFFSET(CRONOPLE!$F$14,$M191,AM$13)="",10^12,OFFSET(CRONOPLE!$F$14,$M191,AM$13))))</f>
        <v>0</v>
      </c>
      <c r="AN191" s="181">
        <f ca="1">IF($D191&lt;&gt;"Serviço",0,IF(AND(AUTOEVENTO="Manual",$M191=1),0,IF(OFFSET(CRONOPLE!$F$14,$M191,AN$13)="",10^12,OFFSET(CRONOPLE!$F$14,$M191,AN$13))))</f>
        <v>0</v>
      </c>
      <c r="AO191" s="181">
        <f ca="1">IF($D191&lt;&gt;"Serviço",0,IF(AND(AUTOEVENTO="Manual",$M191=1),0,IF(OFFSET(CRONOPLE!$F$14,$M191,AO$13)="",10^12,OFFSET(CRONOPLE!$F$14,$M191,AO$13))))</f>
        <v>0</v>
      </c>
      <c r="AP191" s="181">
        <f ca="1">IF($D191&lt;&gt;"Serviço",0,IF(AND(AUTOEVENTO="Manual",$M191=1),0,IF(OFFSET(CRONOPLE!$F$14,$M191,AP$13)="",10^12,OFFSET(CRONOPLE!$F$14,$M191,AP$13))))</f>
        <v>0</v>
      </c>
      <c r="AQ191" s="181">
        <f ca="1">IF($D191&lt;&gt;"Serviço",0,IF(AND(AUTOEVENTO="Manual",$M191=1),0,IF(OFFSET(CRONOPLE!$F$14,$M191,AQ$13)="",10^12,OFFSET(CRONOPLE!$F$14,$M191,AQ$13))))</f>
        <v>0</v>
      </c>
      <c r="AR191" s="181">
        <f ca="1">IF($D191&lt;&gt;"Serviço",0,IF(AND(AUTOEVENTO="Manual",$M191=1),0,IF(OFFSET(CRONOPLE!$F$14,$M191,AR$13)="",10^12,OFFSET(CRONOPLE!$F$14,$M191,AR$13))))</f>
        <v>0</v>
      </c>
      <c r="AS191" s="181">
        <f ca="1">IF($D191&lt;&gt;"Serviço",0,IF(AND(AUTOEVENTO="Manual",$M191=1),0,IF(OFFSET(CRONOPLE!$F$14,$M191,AS$13)="",10^12,OFFSET(CRONOPLE!$F$14,$M191,AS$13))))</f>
        <v>0</v>
      </c>
      <c r="AT191" s="181">
        <f ca="1">IF($D191&lt;&gt;"Serviço",0,IF(AND(AUTOEVENTO="Manual",$M191=1),0,IF(OFFSET(CRONOPLE!$F$14,$M191,AT$13)="",10^12,OFFSET(CRONOPLE!$F$14,$M191,AT$13))))</f>
        <v>0</v>
      </c>
      <c r="AU191" s="181">
        <f ca="1">IF($D191&lt;&gt;"Serviço",0,IF(AND(AUTOEVENTO="Manual",$M191=1),0,IF(OFFSET(CRONOPLE!$F$14,$M191,AU$13)="",10^12,OFFSET(CRONOPLE!$F$14,$M191,AU$13))))</f>
        <v>0</v>
      </c>
      <c r="AV191" s="181">
        <f ca="1">IF($D191&lt;&gt;"Serviço",0,IF(AND(AUTOEVENTO="Manual",$M191=1),0,IF(OFFSET(CRONOPLE!$F$14,$M191,AV$13)="",10^12,OFFSET(CRONOPLE!$F$14,$M191,AV$13))))</f>
        <v>0</v>
      </c>
      <c r="AX191" s="182">
        <f ca="1">IF($D191&lt;&gt;"Serviço",0,IF(OR(AND(AUTOEVENTO="Manual",$M191=1),$M191&gt;(ROW(PLE.lastrow)-ROW(PLE.firstrow))),0,IF(OFFSET(PLE!$G$14,$M191,AX$13)="",10^12,OFFSET(PLE!$G$14,$M191,AX$13))))</f>
        <v>0</v>
      </c>
      <c r="AY191" s="182">
        <f ca="1">IF($D191&lt;&gt;"Serviço",0,IF(OR(AND(AUTOEVENTO="Manual",$M191=1),$M191&gt;(ROW(PLE.lastrow)-ROW(PLE.firstrow))),0,IF(OFFSET(PLE!$G$14,$M191,AY$13)="",10^12,OFFSET(PLE!$G$14,$M191,AY$13))))</f>
        <v>0</v>
      </c>
      <c r="AZ191" s="182">
        <f ca="1">IF($D191&lt;&gt;"Serviço",0,IF(OR(AND(AUTOEVENTO="Manual",$M191=1),$M191&gt;(ROW(PLE.lastrow)-ROW(PLE.firstrow))),0,IF(OFFSET(PLE!$G$14,$M191,AZ$13)="",10^12,OFFSET(PLE!$G$14,$M191,AZ$13))))</f>
        <v>0</v>
      </c>
      <c r="BA191" s="182">
        <f ca="1">IF($D191&lt;&gt;"Serviço",0,IF(OR(AND(AUTOEVENTO="Manual",$M191=1),$M191&gt;(ROW(PLE.lastrow)-ROW(PLE.firstrow))),0,IF(OFFSET(PLE!$G$14,$M191,BA$13)="",10^12,OFFSET(PLE!$G$14,$M191,BA$13))))</f>
        <v>0</v>
      </c>
      <c r="BB191" s="182">
        <f ca="1">IF($D191&lt;&gt;"Serviço",0,IF(OR(AND(AUTOEVENTO="Manual",$M191=1),$M191&gt;(ROW(PLE.lastrow)-ROW(PLE.firstrow))),0,IF(OFFSET(PLE!$G$14,$M191,BB$13)="",10^12,OFFSET(PLE!$G$14,$M191,BB$13))))</f>
        <v>0</v>
      </c>
      <c r="BC191" s="182">
        <f ca="1">IF($D191&lt;&gt;"Serviço",0,IF(OR(AND(AUTOEVENTO="Manual",$M191=1),$M191&gt;(ROW(PLE.lastrow)-ROW(PLE.firstrow))),0,IF(OFFSET(PLE!$G$14,$M191,BC$13)="",10^12,OFFSET(PLE!$G$14,$M191,BC$13))))</f>
        <v>0</v>
      </c>
      <c r="BD191" s="182">
        <f ca="1">IF($D191&lt;&gt;"Serviço",0,IF(OR(AND(AUTOEVENTO="Manual",$M191=1),$M191&gt;(ROW(PLE.lastrow)-ROW(PLE.firstrow))),0,IF(OFFSET(PLE!$G$14,$M191,BD$13)="",10^12,OFFSET(PLE!$G$14,$M191,BD$13))))</f>
        <v>0</v>
      </c>
      <c r="BE191" s="182">
        <f ca="1">IF($D191&lt;&gt;"Serviço",0,IF(OR(AND(AUTOEVENTO="Manual",$M191=1),$M191&gt;(ROW(PLE.lastrow)-ROW(PLE.firstrow))),0,IF(OFFSET(PLE!$G$14,$M191,BE$13)="",10^12,OFFSET(PLE!$G$14,$M191,BE$13))))</f>
        <v>0</v>
      </c>
      <c r="BF191" s="182">
        <f ca="1">IF($D191&lt;&gt;"Serviço",0,IF(OR(AND(AUTOEVENTO="Manual",$M191=1),$M191&gt;(ROW(PLE.lastrow)-ROW(PLE.firstrow))),0,IF(OFFSET(PLE!$G$14,$M191,BF$13)="",10^12,OFFSET(PLE!$G$14,$M191,BF$13))))</f>
        <v>0</v>
      </c>
      <c r="BG191" s="182">
        <f ca="1">IF($D191&lt;&gt;"Serviço",0,IF(OR(AND(AUTOEVENTO="Manual",$M191=1),$M191&gt;(ROW(PLE.lastrow)-ROW(PLE.firstrow))),0,IF(OFFSET(PLE!$G$14,$M191,BG$13)="",10^12,OFFSET(PLE!$G$14,$M191,BG$13))))</f>
        <v>0</v>
      </c>
    </row>
    <row r="192" spans="1:59" ht="51" x14ac:dyDescent="0.2">
      <c r="A192" s="7" t="str">
        <f t="shared" ca="1" si="10"/>
        <v>175</v>
      </c>
      <c r="B192" s="7" t="str">
        <f ca="1">OFFSET(ORÇAMENTO!C$15,ROW(B192)-ROW(B$15),0)</f>
        <v>S</v>
      </c>
      <c r="C192" s="7" t="str">
        <f ca="1">OFFSET(ORÇAMENTO!L$15,ROW(C192)-ROW(C$15),0)</f>
        <v/>
      </c>
      <c r="D192" s="118" t="str">
        <f ca="1">OFFSET(ORÇAMENTO!N$15,ROW(D192)-ROW(D$15),0)</f>
        <v>Serviço</v>
      </c>
      <c r="E192" s="119" t="str">
        <f ca="1">OFFSET(ORÇAMENTO!O$15,ROW(E192)-ROW(E$15),0)</f>
        <v>-</v>
      </c>
      <c r="F192" s="172" t="str">
        <f ca="1">OFFSET(ORÇAMENTO!R$15,ROW(F192)-ROW(F$15),0)</f>
        <v>(abra o arquivo 'Referência 02-2025.xlsm)</v>
      </c>
      <c r="G192" s="173" t="str">
        <f ca="1">IF($D192&lt;&gt;"Serviço","",OFFSET(ORÇAMENTO!S$15,ROW(G192)-ROW(G$15),0))</f>
        <v>-</v>
      </c>
      <c r="H192" s="124">
        <f ca="1">IF($D192&lt;&gt;"Serviço",0,IF(ACOMPANHAMENTO="BM",ROUND(OFFSET(ORÇAMENTO!AJ$15,ROW(H192)-ROW(H$15),0),15-13*ORÇAMENTO!$AF$7),SUMPRODUCT(($Q$12:$AA$12&lt;&gt;"")*ROUND($Q192:$AA192,15-13*ORÇAMENTO!$AF$7))))</f>
        <v>1432.82</v>
      </c>
      <c r="I192" s="561" t="s">
        <v>890</v>
      </c>
      <c r="K192" s="174"/>
      <c r="L192" s="175" t="s">
        <v>255</v>
      </c>
      <c r="M192" s="176">
        <f ca="1">IF($D192&lt;&gt;"Serviço","",IF(AUTOEVENTO="manual",$A192,IF(ISERROR(MATCH($A192,$A$15:OFFSET($A192,-1,0),0)),MAX($M$15:OFFSET(M192,-1,0))+1,INDEX($M$15:OFFSET(M192,-1,0),MATCH($A192,$A$15:OFFSET($A192,-1,0),0)))))</f>
        <v>10</v>
      </c>
      <c r="N192" s="177" t="str">
        <f ca="1">IF($D192&lt;&gt;"Serviço","",IF(AUTOEVENTO="Manual",IF($A192=0,"&lt;-- defina o número do agrupador",OFFSET(EVENTOS!$D$14,$A192,0)),OFFSET($F$15,$A192,0)))</f>
        <v>REVESTIMENTOS INTERNO E EXTERNO</v>
      </c>
      <c r="O192" s="178"/>
      <c r="Q192" s="178"/>
      <c r="R192" s="179"/>
      <c r="S192" s="179"/>
      <c r="T192" s="179"/>
      <c r="U192" s="179"/>
      <c r="V192" s="179"/>
      <c r="W192" s="179"/>
      <c r="X192" s="179"/>
      <c r="Y192" s="179"/>
      <c r="Z192" s="180"/>
      <c r="AB192" s="544">
        <f ca="1">IF(AND($D192="Serviço",AB$12&lt;&gt;0,$H192&gt;0,OR(AUTOEVENTO&lt;&gt;"manual",$M192&lt;&gt;1)),
IF(Import.TipoArredondamento&lt;&gt;"TransfereGOV",
ROUND(OFFSET($P192,0,AB$13),15-13*ORÇAMENTO!$AF$7)/$H192*OFFSET(ORÇAMENTO!$X$15,ROW(AB192)-ROW(AB$15),0),
ROUND(ROUND(OFFSET($P192,0,AB$13),15-13*ORÇAMENTO!$AF$7)*OFFSET(ORÇAMENTO!$W$15,ROW(AB192)-ROW(AB$15),0),15-13*ORÇAMENTO!$AF$11)),0)</f>
        <v>0</v>
      </c>
      <c r="AC192" s="545">
        <f ca="1">IF(AND($D192="Serviço",AC$12&lt;&gt;0,$H192&gt;0,OR(AUTOEVENTO&lt;&gt;"manual",$M192&lt;&gt;1)),
IF(Import.TipoArredondamento&lt;&gt;"TransfereGOV",
ROUND(OFFSET($P192,0,AC$13),15-13*ORÇAMENTO!$AF$7)/$H192*OFFSET(ORÇAMENTO!$X$15,ROW(AC192)-ROW(AC$15),0),
ROUND(ROUND(OFFSET($P192,0,AC$13),15-13*ORÇAMENTO!$AF$7)*OFFSET(ORÇAMENTO!$W$15,ROW(AC192)-ROW(AC$15),0),15-13*ORÇAMENTO!$AF$11)),0)</f>
        <v>0</v>
      </c>
      <c r="AD192" s="545">
        <f ca="1">IF(AND($D192="Serviço",AD$12&lt;&gt;0,$H192&gt;0,OR(AUTOEVENTO&lt;&gt;"manual",$M192&lt;&gt;1)),
IF(Import.TipoArredondamento&lt;&gt;"TransfereGOV",
ROUND(OFFSET($P192,0,AD$13),15-13*ORÇAMENTO!$AF$7)/$H192*OFFSET(ORÇAMENTO!$X$15,ROW(AD192)-ROW(AD$15),0),
ROUND(ROUND(OFFSET($P192,0,AD$13),15-13*ORÇAMENTO!$AF$7)*OFFSET(ORÇAMENTO!$W$15,ROW(AD192)-ROW(AD$15),0),15-13*ORÇAMENTO!$AF$11)),0)</f>
        <v>0</v>
      </c>
      <c r="AE192" s="545">
        <f ca="1">IF(AND($D192="Serviço",AE$12&lt;&gt;0,$H192&gt;0,OR(AUTOEVENTO&lt;&gt;"manual",$M192&lt;&gt;1)),
IF(Import.TipoArredondamento&lt;&gt;"TransfereGOV",
ROUND(OFFSET($P192,0,AE$13),15-13*ORÇAMENTO!$AF$7)/$H192*OFFSET(ORÇAMENTO!$X$15,ROW(AE192)-ROW(AE$15),0),
ROUND(ROUND(OFFSET($P192,0,AE$13),15-13*ORÇAMENTO!$AF$7)*OFFSET(ORÇAMENTO!$W$15,ROW(AE192)-ROW(AE$15),0),15-13*ORÇAMENTO!$AF$11)),0)</f>
        <v>0</v>
      </c>
      <c r="AF192" s="545">
        <f ca="1">IF(AND($D192="Serviço",AF$12&lt;&gt;0,$H192&gt;0,OR(AUTOEVENTO&lt;&gt;"manual",$M192&lt;&gt;1)),
IF(Import.TipoArredondamento&lt;&gt;"TransfereGOV",
ROUND(OFFSET($P192,0,AF$13),15-13*ORÇAMENTO!$AF$7)/$H192*OFFSET(ORÇAMENTO!$X$15,ROW(AF192)-ROW(AF$15),0),
ROUND(ROUND(OFFSET($P192,0,AF$13),15-13*ORÇAMENTO!$AF$7)*OFFSET(ORÇAMENTO!$W$15,ROW(AF192)-ROW(AF$15),0),15-13*ORÇAMENTO!$AF$11)),0)</f>
        <v>0</v>
      </c>
      <c r="AG192" s="545">
        <f ca="1">IF(AND($D192="Serviço",AG$12&lt;&gt;0,$H192&gt;0,OR(AUTOEVENTO&lt;&gt;"manual",$M192&lt;&gt;1)),
IF(Import.TipoArredondamento&lt;&gt;"TransfereGOV",
ROUND(OFFSET($P192,0,AG$13),15-13*ORÇAMENTO!$AF$7)/$H192*OFFSET(ORÇAMENTO!$X$15,ROW(AG192)-ROW(AG$15),0),
ROUND(ROUND(OFFSET($P192,0,AG$13),15-13*ORÇAMENTO!$AF$7)*OFFSET(ORÇAMENTO!$W$15,ROW(AG192)-ROW(AG$15),0),15-13*ORÇAMENTO!$AF$11)),0)</f>
        <v>0</v>
      </c>
      <c r="AH192" s="545">
        <f ca="1">IF(AND($D192="Serviço",AH$12&lt;&gt;0,$H192&gt;0,OR(AUTOEVENTO&lt;&gt;"manual",$M192&lt;&gt;1)),
IF(Import.TipoArredondamento&lt;&gt;"TransfereGOV",
ROUND(OFFSET($P192,0,AH$13),15-13*ORÇAMENTO!$AF$7)/$H192*OFFSET(ORÇAMENTO!$X$15,ROW(AH192)-ROW(AH$15),0),
ROUND(ROUND(OFFSET($P192,0,AH$13),15-13*ORÇAMENTO!$AF$7)*OFFSET(ORÇAMENTO!$W$15,ROW(AH192)-ROW(AH$15),0),15-13*ORÇAMENTO!$AF$11)),0)</f>
        <v>0</v>
      </c>
      <c r="AI192" s="545">
        <f ca="1">IF(AND($D192="Serviço",AI$12&lt;&gt;0,$H192&gt;0,OR(AUTOEVENTO&lt;&gt;"manual",$M192&lt;&gt;1)),
IF(Import.TipoArredondamento&lt;&gt;"TransfereGOV",
ROUND(OFFSET($P192,0,AI$13),15-13*ORÇAMENTO!$AF$7)/$H192*OFFSET(ORÇAMENTO!$X$15,ROW(AI192)-ROW(AI$15),0),
ROUND(ROUND(OFFSET($P192,0,AI$13),15-13*ORÇAMENTO!$AF$7)*OFFSET(ORÇAMENTO!$W$15,ROW(AI192)-ROW(AI$15),0),15-13*ORÇAMENTO!$AF$11)),0)</f>
        <v>0</v>
      </c>
      <c r="AJ192" s="545">
        <f ca="1">IF(AND($D192="Serviço",AJ$12&lt;&gt;0,$H192&gt;0,OR(AUTOEVENTO&lt;&gt;"manual",$M192&lt;&gt;1)),
IF(Import.TipoArredondamento&lt;&gt;"TransfereGOV",
ROUND(OFFSET($P192,0,AJ$13),15-13*ORÇAMENTO!$AF$7)/$H192*OFFSET(ORÇAMENTO!$X$15,ROW(AJ192)-ROW(AJ$15),0),
ROUND(ROUND(OFFSET($P192,0,AJ$13),15-13*ORÇAMENTO!$AF$7)*OFFSET(ORÇAMENTO!$W$15,ROW(AJ192)-ROW(AJ$15),0),15-13*ORÇAMENTO!$AF$11)),0)</f>
        <v>0</v>
      </c>
      <c r="AK192" s="546">
        <f ca="1">IF(AND($D192="Serviço",AK$12&lt;&gt;0,$H192&gt;0,OR(AUTOEVENTO&lt;&gt;"manual",$M192&lt;&gt;1)),
IF(Import.TipoArredondamento&lt;&gt;"TransfereGOV",
ROUND(OFFSET($P192,0,AK$13),15-13*ORÇAMENTO!$AF$7)/$H192*OFFSET(ORÇAMENTO!$X$15,ROW(AK192)-ROW(AK$15),0),
ROUND(ROUND(OFFSET($P192,0,AK$13),15-13*ORÇAMENTO!$AF$7)*OFFSET(ORÇAMENTO!$W$15,ROW(AK192)-ROW(AK$15),0),15-13*ORÇAMENTO!$AF$11)),0)</f>
        <v>0</v>
      </c>
      <c r="AM192" s="181">
        <f ca="1">IF($D192&lt;&gt;"Serviço",0,IF(AND(AUTOEVENTO="Manual",$M192=1),0,IF(OFFSET(CRONOPLE!$F$14,$M192,AM$13)="",10^12,OFFSET(CRONOPLE!$F$14,$M192,AM$13))))</f>
        <v>1000000000000</v>
      </c>
      <c r="AN192" s="181">
        <f ca="1">IF($D192&lt;&gt;"Serviço",0,IF(AND(AUTOEVENTO="Manual",$M192=1),0,IF(OFFSET(CRONOPLE!$F$14,$M192,AN$13)="",10^12,OFFSET(CRONOPLE!$F$14,$M192,AN$13))))</f>
        <v>1000000000000</v>
      </c>
      <c r="AO192" s="181">
        <f ca="1">IF($D192&lt;&gt;"Serviço",0,IF(AND(AUTOEVENTO="Manual",$M192=1),0,IF(OFFSET(CRONOPLE!$F$14,$M192,AO$13)="",10^12,OFFSET(CRONOPLE!$F$14,$M192,AO$13))))</f>
        <v>1000000000000</v>
      </c>
      <c r="AP192" s="181">
        <f ca="1">IF($D192&lt;&gt;"Serviço",0,IF(AND(AUTOEVENTO="Manual",$M192=1),0,IF(OFFSET(CRONOPLE!$F$14,$M192,AP$13)="",10^12,OFFSET(CRONOPLE!$F$14,$M192,AP$13))))</f>
        <v>1000000000000</v>
      </c>
      <c r="AQ192" s="181">
        <f ca="1">IF($D192&lt;&gt;"Serviço",0,IF(AND(AUTOEVENTO="Manual",$M192=1),0,IF(OFFSET(CRONOPLE!$F$14,$M192,AQ$13)="",10^12,OFFSET(CRONOPLE!$F$14,$M192,AQ$13))))</f>
        <v>1000000000000</v>
      </c>
      <c r="AR192" s="181">
        <f ca="1">IF($D192&lt;&gt;"Serviço",0,IF(AND(AUTOEVENTO="Manual",$M192=1),0,IF(OFFSET(CRONOPLE!$F$14,$M192,AR$13)="",10^12,OFFSET(CRONOPLE!$F$14,$M192,AR$13))))</f>
        <v>1000000000000</v>
      </c>
      <c r="AS192" s="181">
        <f ca="1">IF($D192&lt;&gt;"Serviço",0,IF(AND(AUTOEVENTO="Manual",$M192=1),0,IF(OFFSET(CRONOPLE!$F$14,$M192,AS$13)="",10^12,OFFSET(CRONOPLE!$F$14,$M192,AS$13))))</f>
        <v>1000000000000</v>
      </c>
      <c r="AT192" s="181">
        <f ca="1">IF($D192&lt;&gt;"Serviço",0,IF(AND(AUTOEVENTO="Manual",$M192=1),0,IF(OFFSET(CRONOPLE!$F$14,$M192,AT$13)="",10^12,OFFSET(CRONOPLE!$F$14,$M192,AT$13))))</f>
        <v>1000000000000</v>
      </c>
      <c r="AU192" s="181">
        <f ca="1">IF($D192&lt;&gt;"Serviço",0,IF(AND(AUTOEVENTO="Manual",$M192=1),0,IF(OFFSET(CRONOPLE!$F$14,$M192,AU$13)="",10^12,OFFSET(CRONOPLE!$F$14,$M192,AU$13))))</f>
        <v>1000000000000</v>
      </c>
      <c r="AV192" s="181">
        <f ca="1">IF($D192&lt;&gt;"Serviço",0,IF(AND(AUTOEVENTO="Manual",$M192=1),0,IF(OFFSET(CRONOPLE!$F$14,$M192,AV$13)="",10^12,OFFSET(CRONOPLE!$F$14,$M192,AV$13))))</f>
        <v>1000000000000</v>
      </c>
      <c r="AX192" s="182">
        <f ca="1">IF($D192&lt;&gt;"Serviço",0,IF(OR(AND(AUTOEVENTO="Manual",$M192=1),$M192&gt;(ROW(PLE.lastrow)-ROW(PLE.firstrow))),0,IF(OFFSET(PLE!$G$14,$M192,AX$13)="",10^12,OFFSET(PLE!$G$14,$M192,AX$13))))</f>
        <v>1000000000000</v>
      </c>
      <c r="AY192" s="182">
        <f ca="1">IF($D192&lt;&gt;"Serviço",0,IF(OR(AND(AUTOEVENTO="Manual",$M192=1),$M192&gt;(ROW(PLE.lastrow)-ROW(PLE.firstrow))),0,IF(OFFSET(PLE!$G$14,$M192,AY$13)="",10^12,OFFSET(PLE!$G$14,$M192,AY$13))))</f>
        <v>1000000000000</v>
      </c>
      <c r="AZ192" s="182">
        <f ca="1">IF($D192&lt;&gt;"Serviço",0,IF(OR(AND(AUTOEVENTO="Manual",$M192=1),$M192&gt;(ROW(PLE.lastrow)-ROW(PLE.firstrow))),0,IF(OFFSET(PLE!$G$14,$M192,AZ$13)="",10^12,OFFSET(PLE!$G$14,$M192,AZ$13))))</f>
        <v>1000000000000</v>
      </c>
      <c r="BA192" s="182">
        <f ca="1">IF($D192&lt;&gt;"Serviço",0,IF(OR(AND(AUTOEVENTO="Manual",$M192=1),$M192&gt;(ROW(PLE.lastrow)-ROW(PLE.firstrow))),0,IF(OFFSET(PLE!$G$14,$M192,BA$13)="",10^12,OFFSET(PLE!$G$14,$M192,BA$13))))</f>
        <v>1000000000000</v>
      </c>
      <c r="BB192" s="182">
        <f ca="1">IF($D192&lt;&gt;"Serviço",0,IF(OR(AND(AUTOEVENTO="Manual",$M192=1),$M192&gt;(ROW(PLE.lastrow)-ROW(PLE.firstrow))),0,IF(OFFSET(PLE!$G$14,$M192,BB$13)="",10^12,OFFSET(PLE!$G$14,$M192,BB$13))))</f>
        <v>1000000000000</v>
      </c>
      <c r="BC192" s="182">
        <f ca="1">IF($D192&lt;&gt;"Serviço",0,IF(OR(AND(AUTOEVENTO="Manual",$M192=1),$M192&gt;(ROW(PLE.lastrow)-ROW(PLE.firstrow))),0,IF(OFFSET(PLE!$G$14,$M192,BC$13)="",10^12,OFFSET(PLE!$G$14,$M192,BC$13))))</f>
        <v>1000000000000</v>
      </c>
      <c r="BD192" s="182">
        <f ca="1">IF($D192&lt;&gt;"Serviço",0,IF(OR(AND(AUTOEVENTO="Manual",$M192=1),$M192&gt;(ROW(PLE.lastrow)-ROW(PLE.firstrow))),0,IF(OFFSET(PLE!$G$14,$M192,BD$13)="",10^12,OFFSET(PLE!$G$14,$M192,BD$13))))</f>
        <v>1000000000000</v>
      </c>
      <c r="BE192" s="182">
        <f ca="1">IF($D192&lt;&gt;"Serviço",0,IF(OR(AND(AUTOEVENTO="Manual",$M192=1),$M192&gt;(ROW(PLE.lastrow)-ROW(PLE.firstrow))),0,IF(OFFSET(PLE!$G$14,$M192,BE$13)="",10^12,OFFSET(PLE!$G$14,$M192,BE$13))))</f>
        <v>1000000000000</v>
      </c>
      <c r="BF192" s="182">
        <f ca="1">IF($D192&lt;&gt;"Serviço",0,IF(OR(AND(AUTOEVENTO="Manual",$M192=1),$M192&gt;(ROW(PLE.lastrow)-ROW(PLE.firstrow))),0,IF(OFFSET(PLE!$G$14,$M192,BF$13)="",10^12,OFFSET(PLE!$G$14,$M192,BF$13))))</f>
        <v>1000000000000</v>
      </c>
      <c r="BG192" s="182">
        <f ca="1">IF($D192&lt;&gt;"Serviço",0,IF(OR(AND(AUTOEVENTO="Manual",$M192=1),$M192&gt;(ROW(PLE.lastrow)-ROW(PLE.firstrow))),0,IF(OFFSET(PLE!$G$14,$M192,BG$13)="",10^12,OFFSET(PLE!$G$14,$M192,BG$13))))</f>
        <v>1000000000000</v>
      </c>
    </row>
    <row r="193" spans="1:59" ht="38.25" x14ac:dyDescent="0.2">
      <c r="A193" s="7" t="str">
        <f t="shared" ca="1" si="10"/>
        <v>175</v>
      </c>
      <c r="B193" s="7" t="str">
        <f ca="1">OFFSET(ORÇAMENTO!C$15,ROW(B193)-ROW(B$15),0)</f>
        <v>S</v>
      </c>
      <c r="C193" s="7" t="str">
        <f ca="1">OFFSET(ORÇAMENTO!L$15,ROW(C193)-ROW(C$15),0)</f>
        <v/>
      </c>
      <c r="D193" s="118" t="str">
        <f ca="1">OFFSET(ORÇAMENTO!N$15,ROW(D193)-ROW(D$15),0)</f>
        <v>Serviço</v>
      </c>
      <c r="E193" s="119" t="str">
        <f ca="1">OFFSET(ORÇAMENTO!O$15,ROW(E193)-ROW(E$15),0)</f>
        <v>-</v>
      </c>
      <c r="F193" s="172" t="str">
        <f ca="1">OFFSET(ORÇAMENTO!R$15,ROW(F193)-ROW(F$15),0)</f>
        <v>(abra o arquivo 'Referência 02-2025.xlsm)</v>
      </c>
      <c r="G193" s="173" t="str">
        <f ca="1">IF($D193&lt;&gt;"Serviço","",OFFSET(ORÇAMENTO!S$15,ROW(G193)-ROW(G$15),0))</f>
        <v>-</v>
      </c>
      <c r="H193" s="124">
        <f ca="1">IF($D193&lt;&gt;"Serviço",0,IF(ACOMPANHAMENTO="BM",ROUND(OFFSET(ORÇAMENTO!AJ$15,ROW(H193)-ROW(H$15),0),15-13*ORÇAMENTO!$AF$7),SUMPRODUCT(($Q$12:$AA$12&lt;&gt;"")*ROUND($Q193:$AA193,15-13*ORÇAMENTO!$AF$7))))</f>
        <v>2430.19</v>
      </c>
      <c r="I193" s="561" t="s">
        <v>890</v>
      </c>
      <c r="K193" s="174"/>
      <c r="L193" s="175" t="s">
        <v>255</v>
      </c>
      <c r="M193" s="176">
        <f ca="1">IF($D193&lt;&gt;"Serviço","",IF(AUTOEVENTO="manual",$A193,IF(ISERROR(MATCH($A193,$A$15:OFFSET($A193,-1,0),0)),MAX($M$15:OFFSET(M193,-1,0))+1,INDEX($M$15:OFFSET(M193,-1,0),MATCH($A193,$A$15:OFFSET($A193,-1,0),0)))))</f>
        <v>10</v>
      </c>
      <c r="N193" s="177" t="str">
        <f ca="1">IF($D193&lt;&gt;"Serviço","",IF(AUTOEVENTO="Manual",IF($A193=0,"&lt;-- defina o número do agrupador",OFFSET(EVENTOS!$D$14,$A193,0)),OFFSET($F$15,$A193,0)))</f>
        <v>REVESTIMENTOS INTERNO E EXTERNO</v>
      </c>
      <c r="O193" s="178"/>
      <c r="Q193" s="178"/>
      <c r="R193" s="179"/>
      <c r="S193" s="179"/>
      <c r="T193" s="179"/>
      <c r="U193" s="179"/>
      <c r="V193" s="179"/>
      <c r="W193" s="179"/>
      <c r="X193" s="179"/>
      <c r="Y193" s="179"/>
      <c r="Z193" s="180"/>
      <c r="AB193" s="544">
        <f ca="1">IF(AND($D193="Serviço",AB$12&lt;&gt;0,$H193&gt;0,OR(AUTOEVENTO&lt;&gt;"manual",$M193&lt;&gt;1)),
IF(Import.TipoArredondamento&lt;&gt;"TransfereGOV",
ROUND(OFFSET($P193,0,AB$13),15-13*ORÇAMENTO!$AF$7)/$H193*OFFSET(ORÇAMENTO!$X$15,ROW(AB193)-ROW(AB$15),0),
ROUND(ROUND(OFFSET($P193,0,AB$13),15-13*ORÇAMENTO!$AF$7)*OFFSET(ORÇAMENTO!$W$15,ROW(AB193)-ROW(AB$15),0),15-13*ORÇAMENTO!$AF$11)),0)</f>
        <v>0</v>
      </c>
      <c r="AC193" s="545">
        <f ca="1">IF(AND($D193="Serviço",AC$12&lt;&gt;0,$H193&gt;0,OR(AUTOEVENTO&lt;&gt;"manual",$M193&lt;&gt;1)),
IF(Import.TipoArredondamento&lt;&gt;"TransfereGOV",
ROUND(OFFSET($P193,0,AC$13),15-13*ORÇAMENTO!$AF$7)/$H193*OFFSET(ORÇAMENTO!$X$15,ROW(AC193)-ROW(AC$15),0),
ROUND(ROUND(OFFSET($P193,0,AC$13),15-13*ORÇAMENTO!$AF$7)*OFFSET(ORÇAMENTO!$W$15,ROW(AC193)-ROW(AC$15),0),15-13*ORÇAMENTO!$AF$11)),0)</f>
        <v>0</v>
      </c>
      <c r="AD193" s="545">
        <f ca="1">IF(AND($D193="Serviço",AD$12&lt;&gt;0,$H193&gt;0,OR(AUTOEVENTO&lt;&gt;"manual",$M193&lt;&gt;1)),
IF(Import.TipoArredondamento&lt;&gt;"TransfereGOV",
ROUND(OFFSET($P193,0,AD$13),15-13*ORÇAMENTO!$AF$7)/$H193*OFFSET(ORÇAMENTO!$X$15,ROW(AD193)-ROW(AD$15),0),
ROUND(ROUND(OFFSET($P193,0,AD$13),15-13*ORÇAMENTO!$AF$7)*OFFSET(ORÇAMENTO!$W$15,ROW(AD193)-ROW(AD$15),0),15-13*ORÇAMENTO!$AF$11)),0)</f>
        <v>0</v>
      </c>
      <c r="AE193" s="545">
        <f ca="1">IF(AND($D193="Serviço",AE$12&lt;&gt;0,$H193&gt;0,OR(AUTOEVENTO&lt;&gt;"manual",$M193&lt;&gt;1)),
IF(Import.TipoArredondamento&lt;&gt;"TransfereGOV",
ROUND(OFFSET($P193,0,AE$13),15-13*ORÇAMENTO!$AF$7)/$H193*OFFSET(ORÇAMENTO!$X$15,ROW(AE193)-ROW(AE$15),0),
ROUND(ROUND(OFFSET($P193,0,AE$13),15-13*ORÇAMENTO!$AF$7)*OFFSET(ORÇAMENTO!$W$15,ROW(AE193)-ROW(AE$15),0),15-13*ORÇAMENTO!$AF$11)),0)</f>
        <v>0</v>
      </c>
      <c r="AF193" s="545">
        <f ca="1">IF(AND($D193="Serviço",AF$12&lt;&gt;0,$H193&gt;0,OR(AUTOEVENTO&lt;&gt;"manual",$M193&lt;&gt;1)),
IF(Import.TipoArredondamento&lt;&gt;"TransfereGOV",
ROUND(OFFSET($P193,0,AF$13),15-13*ORÇAMENTO!$AF$7)/$H193*OFFSET(ORÇAMENTO!$X$15,ROW(AF193)-ROW(AF$15),0),
ROUND(ROUND(OFFSET($P193,0,AF$13),15-13*ORÇAMENTO!$AF$7)*OFFSET(ORÇAMENTO!$W$15,ROW(AF193)-ROW(AF$15),0),15-13*ORÇAMENTO!$AF$11)),0)</f>
        <v>0</v>
      </c>
      <c r="AG193" s="545">
        <f ca="1">IF(AND($D193="Serviço",AG$12&lt;&gt;0,$H193&gt;0,OR(AUTOEVENTO&lt;&gt;"manual",$M193&lt;&gt;1)),
IF(Import.TipoArredondamento&lt;&gt;"TransfereGOV",
ROUND(OFFSET($P193,0,AG$13),15-13*ORÇAMENTO!$AF$7)/$H193*OFFSET(ORÇAMENTO!$X$15,ROW(AG193)-ROW(AG$15),0),
ROUND(ROUND(OFFSET($P193,0,AG$13),15-13*ORÇAMENTO!$AF$7)*OFFSET(ORÇAMENTO!$W$15,ROW(AG193)-ROW(AG$15),0),15-13*ORÇAMENTO!$AF$11)),0)</f>
        <v>0</v>
      </c>
      <c r="AH193" s="545">
        <f ca="1">IF(AND($D193="Serviço",AH$12&lt;&gt;0,$H193&gt;0,OR(AUTOEVENTO&lt;&gt;"manual",$M193&lt;&gt;1)),
IF(Import.TipoArredondamento&lt;&gt;"TransfereGOV",
ROUND(OFFSET($P193,0,AH$13),15-13*ORÇAMENTO!$AF$7)/$H193*OFFSET(ORÇAMENTO!$X$15,ROW(AH193)-ROW(AH$15),0),
ROUND(ROUND(OFFSET($P193,0,AH$13),15-13*ORÇAMENTO!$AF$7)*OFFSET(ORÇAMENTO!$W$15,ROW(AH193)-ROW(AH$15),0),15-13*ORÇAMENTO!$AF$11)),0)</f>
        <v>0</v>
      </c>
      <c r="AI193" s="545">
        <f ca="1">IF(AND($D193="Serviço",AI$12&lt;&gt;0,$H193&gt;0,OR(AUTOEVENTO&lt;&gt;"manual",$M193&lt;&gt;1)),
IF(Import.TipoArredondamento&lt;&gt;"TransfereGOV",
ROUND(OFFSET($P193,0,AI$13),15-13*ORÇAMENTO!$AF$7)/$H193*OFFSET(ORÇAMENTO!$X$15,ROW(AI193)-ROW(AI$15),0),
ROUND(ROUND(OFFSET($P193,0,AI$13),15-13*ORÇAMENTO!$AF$7)*OFFSET(ORÇAMENTO!$W$15,ROW(AI193)-ROW(AI$15),0),15-13*ORÇAMENTO!$AF$11)),0)</f>
        <v>0</v>
      </c>
      <c r="AJ193" s="545">
        <f ca="1">IF(AND($D193="Serviço",AJ$12&lt;&gt;0,$H193&gt;0,OR(AUTOEVENTO&lt;&gt;"manual",$M193&lt;&gt;1)),
IF(Import.TipoArredondamento&lt;&gt;"TransfereGOV",
ROUND(OFFSET($P193,0,AJ$13),15-13*ORÇAMENTO!$AF$7)/$H193*OFFSET(ORÇAMENTO!$X$15,ROW(AJ193)-ROW(AJ$15),0),
ROUND(ROUND(OFFSET($P193,0,AJ$13),15-13*ORÇAMENTO!$AF$7)*OFFSET(ORÇAMENTO!$W$15,ROW(AJ193)-ROW(AJ$15),0),15-13*ORÇAMENTO!$AF$11)),0)</f>
        <v>0</v>
      </c>
      <c r="AK193" s="546">
        <f ca="1">IF(AND($D193="Serviço",AK$12&lt;&gt;0,$H193&gt;0,OR(AUTOEVENTO&lt;&gt;"manual",$M193&lt;&gt;1)),
IF(Import.TipoArredondamento&lt;&gt;"TransfereGOV",
ROUND(OFFSET($P193,0,AK$13),15-13*ORÇAMENTO!$AF$7)/$H193*OFFSET(ORÇAMENTO!$X$15,ROW(AK193)-ROW(AK$15),0),
ROUND(ROUND(OFFSET($P193,0,AK$13),15-13*ORÇAMENTO!$AF$7)*OFFSET(ORÇAMENTO!$W$15,ROW(AK193)-ROW(AK$15),0),15-13*ORÇAMENTO!$AF$11)),0)</f>
        <v>0</v>
      </c>
      <c r="AM193" s="181">
        <f ca="1">IF($D193&lt;&gt;"Serviço",0,IF(AND(AUTOEVENTO="Manual",$M193=1),0,IF(OFFSET(CRONOPLE!$F$14,$M193,AM$13)="",10^12,OFFSET(CRONOPLE!$F$14,$M193,AM$13))))</f>
        <v>1000000000000</v>
      </c>
      <c r="AN193" s="181">
        <f ca="1">IF($D193&lt;&gt;"Serviço",0,IF(AND(AUTOEVENTO="Manual",$M193=1),0,IF(OFFSET(CRONOPLE!$F$14,$M193,AN$13)="",10^12,OFFSET(CRONOPLE!$F$14,$M193,AN$13))))</f>
        <v>1000000000000</v>
      </c>
      <c r="AO193" s="181">
        <f ca="1">IF($D193&lt;&gt;"Serviço",0,IF(AND(AUTOEVENTO="Manual",$M193=1),0,IF(OFFSET(CRONOPLE!$F$14,$M193,AO$13)="",10^12,OFFSET(CRONOPLE!$F$14,$M193,AO$13))))</f>
        <v>1000000000000</v>
      </c>
      <c r="AP193" s="181">
        <f ca="1">IF($D193&lt;&gt;"Serviço",0,IF(AND(AUTOEVENTO="Manual",$M193=1),0,IF(OFFSET(CRONOPLE!$F$14,$M193,AP$13)="",10^12,OFFSET(CRONOPLE!$F$14,$M193,AP$13))))</f>
        <v>1000000000000</v>
      </c>
      <c r="AQ193" s="181">
        <f ca="1">IF($D193&lt;&gt;"Serviço",0,IF(AND(AUTOEVENTO="Manual",$M193=1),0,IF(OFFSET(CRONOPLE!$F$14,$M193,AQ$13)="",10^12,OFFSET(CRONOPLE!$F$14,$M193,AQ$13))))</f>
        <v>1000000000000</v>
      </c>
      <c r="AR193" s="181">
        <f ca="1">IF($D193&lt;&gt;"Serviço",0,IF(AND(AUTOEVENTO="Manual",$M193=1),0,IF(OFFSET(CRONOPLE!$F$14,$M193,AR$13)="",10^12,OFFSET(CRONOPLE!$F$14,$M193,AR$13))))</f>
        <v>1000000000000</v>
      </c>
      <c r="AS193" s="181">
        <f ca="1">IF($D193&lt;&gt;"Serviço",0,IF(AND(AUTOEVENTO="Manual",$M193=1),0,IF(OFFSET(CRONOPLE!$F$14,$M193,AS$13)="",10^12,OFFSET(CRONOPLE!$F$14,$M193,AS$13))))</f>
        <v>1000000000000</v>
      </c>
      <c r="AT193" s="181">
        <f ca="1">IF($D193&lt;&gt;"Serviço",0,IF(AND(AUTOEVENTO="Manual",$M193=1),0,IF(OFFSET(CRONOPLE!$F$14,$M193,AT$13)="",10^12,OFFSET(CRONOPLE!$F$14,$M193,AT$13))))</f>
        <v>1000000000000</v>
      </c>
      <c r="AU193" s="181">
        <f ca="1">IF($D193&lt;&gt;"Serviço",0,IF(AND(AUTOEVENTO="Manual",$M193=1),0,IF(OFFSET(CRONOPLE!$F$14,$M193,AU$13)="",10^12,OFFSET(CRONOPLE!$F$14,$M193,AU$13))))</f>
        <v>1000000000000</v>
      </c>
      <c r="AV193" s="181">
        <f ca="1">IF($D193&lt;&gt;"Serviço",0,IF(AND(AUTOEVENTO="Manual",$M193=1),0,IF(OFFSET(CRONOPLE!$F$14,$M193,AV$13)="",10^12,OFFSET(CRONOPLE!$F$14,$M193,AV$13))))</f>
        <v>1000000000000</v>
      </c>
      <c r="AX193" s="182">
        <f ca="1">IF($D193&lt;&gt;"Serviço",0,IF(OR(AND(AUTOEVENTO="Manual",$M193=1),$M193&gt;(ROW(PLE.lastrow)-ROW(PLE.firstrow))),0,IF(OFFSET(PLE!$G$14,$M193,AX$13)="",10^12,OFFSET(PLE!$G$14,$M193,AX$13))))</f>
        <v>1000000000000</v>
      </c>
      <c r="AY193" s="182">
        <f ca="1">IF($D193&lt;&gt;"Serviço",0,IF(OR(AND(AUTOEVENTO="Manual",$M193=1),$M193&gt;(ROW(PLE.lastrow)-ROW(PLE.firstrow))),0,IF(OFFSET(PLE!$G$14,$M193,AY$13)="",10^12,OFFSET(PLE!$G$14,$M193,AY$13))))</f>
        <v>1000000000000</v>
      </c>
      <c r="AZ193" s="182">
        <f ca="1">IF($D193&lt;&gt;"Serviço",0,IF(OR(AND(AUTOEVENTO="Manual",$M193=1),$M193&gt;(ROW(PLE.lastrow)-ROW(PLE.firstrow))),0,IF(OFFSET(PLE!$G$14,$M193,AZ$13)="",10^12,OFFSET(PLE!$G$14,$M193,AZ$13))))</f>
        <v>1000000000000</v>
      </c>
      <c r="BA193" s="182">
        <f ca="1">IF($D193&lt;&gt;"Serviço",0,IF(OR(AND(AUTOEVENTO="Manual",$M193=1),$M193&gt;(ROW(PLE.lastrow)-ROW(PLE.firstrow))),0,IF(OFFSET(PLE!$G$14,$M193,BA$13)="",10^12,OFFSET(PLE!$G$14,$M193,BA$13))))</f>
        <v>1000000000000</v>
      </c>
      <c r="BB193" s="182">
        <f ca="1">IF($D193&lt;&gt;"Serviço",0,IF(OR(AND(AUTOEVENTO="Manual",$M193=1),$M193&gt;(ROW(PLE.lastrow)-ROW(PLE.firstrow))),0,IF(OFFSET(PLE!$G$14,$M193,BB$13)="",10^12,OFFSET(PLE!$G$14,$M193,BB$13))))</f>
        <v>1000000000000</v>
      </c>
      <c r="BC193" s="182">
        <f ca="1">IF($D193&lt;&gt;"Serviço",0,IF(OR(AND(AUTOEVENTO="Manual",$M193=1),$M193&gt;(ROW(PLE.lastrow)-ROW(PLE.firstrow))),0,IF(OFFSET(PLE!$G$14,$M193,BC$13)="",10^12,OFFSET(PLE!$G$14,$M193,BC$13))))</f>
        <v>1000000000000</v>
      </c>
      <c r="BD193" s="182">
        <f ca="1">IF($D193&lt;&gt;"Serviço",0,IF(OR(AND(AUTOEVENTO="Manual",$M193=1),$M193&gt;(ROW(PLE.lastrow)-ROW(PLE.firstrow))),0,IF(OFFSET(PLE!$G$14,$M193,BD$13)="",10^12,OFFSET(PLE!$G$14,$M193,BD$13))))</f>
        <v>1000000000000</v>
      </c>
      <c r="BE193" s="182">
        <f ca="1">IF($D193&lt;&gt;"Serviço",0,IF(OR(AND(AUTOEVENTO="Manual",$M193=1),$M193&gt;(ROW(PLE.lastrow)-ROW(PLE.firstrow))),0,IF(OFFSET(PLE!$G$14,$M193,BE$13)="",10^12,OFFSET(PLE!$G$14,$M193,BE$13))))</f>
        <v>1000000000000</v>
      </c>
      <c r="BF193" s="182">
        <f ca="1">IF($D193&lt;&gt;"Serviço",0,IF(OR(AND(AUTOEVENTO="Manual",$M193=1),$M193&gt;(ROW(PLE.lastrow)-ROW(PLE.firstrow))),0,IF(OFFSET(PLE!$G$14,$M193,BF$13)="",10^12,OFFSET(PLE!$G$14,$M193,BF$13))))</f>
        <v>1000000000000</v>
      </c>
      <c r="BG193" s="182">
        <f ca="1">IF($D193&lt;&gt;"Serviço",0,IF(OR(AND(AUTOEVENTO="Manual",$M193=1),$M193&gt;(ROW(PLE.lastrow)-ROW(PLE.firstrow))),0,IF(OFFSET(PLE!$G$14,$M193,BG$13)="",10^12,OFFSET(PLE!$G$14,$M193,BG$13))))</f>
        <v>1000000000000</v>
      </c>
    </row>
    <row r="194" spans="1:59" ht="51" x14ac:dyDescent="0.2">
      <c r="A194" s="7" t="str">
        <f t="shared" ca="1" si="10"/>
        <v>175</v>
      </c>
      <c r="B194" s="7" t="str">
        <f ca="1">OFFSET(ORÇAMENTO!C$15,ROW(B194)-ROW(B$15),0)</f>
        <v>S</v>
      </c>
      <c r="C194" s="7" t="str">
        <f ca="1">OFFSET(ORÇAMENTO!L$15,ROW(C194)-ROW(C$15),0)</f>
        <v/>
      </c>
      <c r="D194" s="118" t="str">
        <f ca="1">OFFSET(ORÇAMENTO!N$15,ROW(D194)-ROW(D$15),0)</f>
        <v>Serviço</v>
      </c>
      <c r="E194" s="119" t="str">
        <f ca="1">OFFSET(ORÇAMENTO!O$15,ROW(E194)-ROW(E$15),0)</f>
        <v>-</v>
      </c>
      <c r="F194" s="172" t="str">
        <f ca="1">OFFSET(ORÇAMENTO!R$15,ROW(F194)-ROW(F$15),0)</f>
        <v>(abra o arquivo 'Referência 02-2025.xlsm)</v>
      </c>
      <c r="G194" s="173" t="str">
        <f ca="1">IF($D194&lt;&gt;"Serviço","",OFFSET(ORÇAMENTO!S$15,ROW(G194)-ROW(G$15),0))</f>
        <v>-</v>
      </c>
      <c r="H194" s="124">
        <f ca="1">IF($D194&lt;&gt;"Serviço",0,IF(ACOMPANHAMENTO="BM",ROUND(OFFSET(ORÇAMENTO!AJ$15,ROW(H194)-ROW(H$15),0),15-13*ORÇAMENTO!$AF$7),SUMPRODUCT(($Q$12:$AA$12&lt;&gt;"")*ROUND($Q194:$AA194,15-13*ORÇAMENTO!$AF$7))))</f>
        <v>1433.98</v>
      </c>
      <c r="I194" s="561" t="s">
        <v>890</v>
      </c>
      <c r="K194" s="174"/>
      <c r="L194" s="175" t="s">
        <v>255</v>
      </c>
      <c r="M194" s="176">
        <f ca="1">IF($D194&lt;&gt;"Serviço","",IF(AUTOEVENTO="manual",$A194,IF(ISERROR(MATCH($A194,$A$15:OFFSET($A194,-1,0),0)),MAX($M$15:OFFSET(M194,-1,0))+1,INDEX($M$15:OFFSET(M194,-1,0),MATCH($A194,$A$15:OFFSET($A194,-1,0),0)))))</f>
        <v>10</v>
      </c>
      <c r="N194" s="177" t="str">
        <f ca="1">IF($D194&lt;&gt;"Serviço","",IF(AUTOEVENTO="Manual",IF($A194=0,"&lt;-- defina o número do agrupador",OFFSET(EVENTOS!$D$14,$A194,0)),OFFSET($F$15,$A194,0)))</f>
        <v>REVESTIMENTOS INTERNO E EXTERNO</v>
      </c>
      <c r="O194" s="178"/>
      <c r="Q194" s="178"/>
      <c r="R194" s="179"/>
      <c r="S194" s="179"/>
      <c r="T194" s="179"/>
      <c r="U194" s="179"/>
      <c r="V194" s="179"/>
      <c r="W194" s="179"/>
      <c r="X194" s="179"/>
      <c r="Y194" s="179"/>
      <c r="Z194" s="180"/>
      <c r="AB194" s="544">
        <f ca="1">IF(AND($D194="Serviço",AB$12&lt;&gt;0,$H194&gt;0,OR(AUTOEVENTO&lt;&gt;"manual",$M194&lt;&gt;1)),
IF(Import.TipoArredondamento&lt;&gt;"TransfereGOV",
ROUND(OFFSET($P194,0,AB$13),15-13*ORÇAMENTO!$AF$7)/$H194*OFFSET(ORÇAMENTO!$X$15,ROW(AB194)-ROW(AB$15),0),
ROUND(ROUND(OFFSET($P194,0,AB$13),15-13*ORÇAMENTO!$AF$7)*OFFSET(ORÇAMENTO!$W$15,ROW(AB194)-ROW(AB$15),0),15-13*ORÇAMENTO!$AF$11)),0)</f>
        <v>0</v>
      </c>
      <c r="AC194" s="545">
        <f ca="1">IF(AND($D194="Serviço",AC$12&lt;&gt;0,$H194&gt;0,OR(AUTOEVENTO&lt;&gt;"manual",$M194&lt;&gt;1)),
IF(Import.TipoArredondamento&lt;&gt;"TransfereGOV",
ROUND(OFFSET($P194,0,AC$13),15-13*ORÇAMENTO!$AF$7)/$H194*OFFSET(ORÇAMENTO!$X$15,ROW(AC194)-ROW(AC$15),0),
ROUND(ROUND(OFFSET($P194,0,AC$13),15-13*ORÇAMENTO!$AF$7)*OFFSET(ORÇAMENTO!$W$15,ROW(AC194)-ROW(AC$15),0),15-13*ORÇAMENTO!$AF$11)),0)</f>
        <v>0</v>
      </c>
      <c r="AD194" s="545">
        <f ca="1">IF(AND($D194="Serviço",AD$12&lt;&gt;0,$H194&gt;0,OR(AUTOEVENTO&lt;&gt;"manual",$M194&lt;&gt;1)),
IF(Import.TipoArredondamento&lt;&gt;"TransfereGOV",
ROUND(OFFSET($P194,0,AD$13),15-13*ORÇAMENTO!$AF$7)/$H194*OFFSET(ORÇAMENTO!$X$15,ROW(AD194)-ROW(AD$15),0),
ROUND(ROUND(OFFSET($P194,0,AD$13),15-13*ORÇAMENTO!$AF$7)*OFFSET(ORÇAMENTO!$W$15,ROW(AD194)-ROW(AD$15),0),15-13*ORÇAMENTO!$AF$11)),0)</f>
        <v>0</v>
      </c>
      <c r="AE194" s="545">
        <f ca="1">IF(AND($D194="Serviço",AE$12&lt;&gt;0,$H194&gt;0,OR(AUTOEVENTO&lt;&gt;"manual",$M194&lt;&gt;1)),
IF(Import.TipoArredondamento&lt;&gt;"TransfereGOV",
ROUND(OFFSET($P194,0,AE$13),15-13*ORÇAMENTO!$AF$7)/$H194*OFFSET(ORÇAMENTO!$X$15,ROW(AE194)-ROW(AE$15),0),
ROUND(ROUND(OFFSET($P194,0,AE$13),15-13*ORÇAMENTO!$AF$7)*OFFSET(ORÇAMENTO!$W$15,ROW(AE194)-ROW(AE$15),0),15-13*ORÇAMENTO!$AF$11)),0)</f>
        <v>0</v>
      </c>
      <c r="AF194" s="545">
        <f ca="1">IF(AND($D194="Serviço",AF$12&lt;&gt;0,$H194&gt;0,OR(AUTOEVENTO&lt;&gt;"manual",$M194&lt;&gt;1)),
IF(Import.TipoArredondamento&lt;&gt;"TransfereGOV",
ROUND(OFFSET($P194,0,AF$13),15-13*ORÇAMENTO!$AF$7)/$H194*OFFSET(ORÇAMENTO!$X$15,ROW(AF194)-ROW(AF$15),0),
ROUND(ROUND(OFFSET($P194,0,AF$13),15-13*ORÇAMENTO!$AF$7)*OFFSET(ORÇAMENTO!$W$15,ROW(AF194)-ROW(AF$15),0),15-13*ORÇAMENTO!$AF$11)),0)</f>
        <v>0</v>
      </c>
      <c r="AG194" s="545">
        <f ca="1">IF(AND($D194="Serviço",AG$12&lt;&gt;0,$H194&gt;0,OR(AUTOEVENTO&lt;&gt;"manual",$M194&lt;&gt;1)),
IF(Import.TipoArredondamento&lt;&gt;"TransfereGOV",
ROUND(OFFSET($P194,0,AG$13),15-13*ORÇAMENTO!$AF$7)/$H194*OFFSET(ORÇAMENTO!$X$15,ROW(AG194)-ROW(AG$15),0),
ROUND(ROUND(OFFSET($P194,0,AG$13),15-13*ORÇAMENTO!$AF$7)*OFFSET(ORÇAMENTO!$W$15,ROW(AG194)-ROW(AG$15),0),15-13*ORÇAMENTO!$AF$11)),0)</f>
        <v>0</v>
      </c>
      <c r="AH194" s="545">
        <f ca="1">IF(AND($D194="Serviço",AH$12&lt;&gt;0,$H194&gt;0,OR(AUTOEVENTO&lt;&gt;"manual",$M194&lt;&gt;1)),
IF(Import.TipoArredondamento&lt;&gt;"TransfereGOV",
ROUND(OFFSET($P194,0,AH$13),15-13*ORÇAMENTO!$AF$7)/$H194*OFFSET(ORÇAMENTO!$X$15,ROW(AH194)-ROW(AH$15),0),
ROUND(ROUND(OFFSET($P194,0,AH$13),15-13*ORÇAMENTO!$AF$7)*OFFSET(ORÇAMENTO!$W$15,ROW(AH194)-ROW(AH$15),0),15-13*ORÇAMENTO!$AF$11)),0)</f>
        <v>0</v>
      </c>
      <c r="AI194" s="545">
        <f ca="1">IF(AND($D194="Serviço",AI$12&lt;&gt;0,$H194&gt;0,OR(AUTOEVENTO&lt;&gt;"manual",$M194&lt;&gt;1)),
IF(Import.TipoArredondamento&lt;&gt;"TransfereGOV",
ROUND(OFFSET($P194,0,AI$13),15-13*ORÇAMENTO!$AF$7)/$H194*OFFSET(ORÇAMENTO!$X$15,ROW(AI194)-ROW(AI$15),0),
ROUND(ROUND(OFFSET($P194,0,AI$13),15-13*ORÇAMENTO!$AF$7)*OFFSET(ORÇAMENTO!$W$15,ROW(AI194)-ROW(AI$15),0),15-13*ORÇAMENTO!$AF$11)),0)</f>
        <v>0</v>
      </c>
      <c r="AJ194" s="545">
        <f ca="1">IF(AND($D194="Serviço",AJ$12&lt;&gt;0,$H194&gt;0,OR(AUTOEVENTO&lt;&gt;"manual",$M194&lt;&gt;1)),
IF(Import.TipoArredondamento&lt;&gt;"TransfereGOV",
ROUND(OFFSET($P194,0,AJ$13),15-13*ORÇAMENTO!$AF$7)/$H194*OFFSET(ORÇAMENTO!$X$15,ROW(AJ194)-ROW(AJ$15),0),
ROUND(ROUND(OFFSET($P194,0,AJ$13),15-13*ORÇAMENTO!$AF$7)*OFFSET(ORÇAMENTO!$W$15,ROW(AJ194)-ROW(AJ$15),0),15-13*ORÇAMENTO!$AF$11)),0)</f>
        <v>0</v>
      </c>
      <c r="AK194" s="546">
        <f ca="1">IF(AND($D194="Serviço",AK$12&lt;&gt;0,$H194&gt;0,OR(AUTOEVENTO&lt;&gt;"manual",$M194&lt;&gt;1)),
IF(Import.TipoArredondamento&lt;&gt;"TransfereGOV",
ROUND(OFFSET($P194,0,AK$13),15-13*ORÇAMENTO!$AF$7)/$H194*OFFSET(ORÇAMENTO!$X$15,ROW(AK194)-ROW(AK$15),0),
ROUND(ROUND(OFFSET($P194,0,AK$13),15-13*ORÇAMENTO!$AF$7)*OFFSET(ORÇAMENTO!$W$15,ROW(AK194)-ROW(AK$15),0),15-13*ORÇAMENTO!$AF$11)),0)</f>
        <v>0</v>
      </c>
      <c r="AM194" s="181">
        <f ca="1">IF($D194&lt;&gt;"Serviço",0,IF(AND(AUTOEVENTO="Manual",$M194=1),0,IF(OFFSET(CRONOPLE!$F$14,$M194,AM$13)="",10^12,OFFSET(CRONOPLE!$F$14,$M194,AM$13))))</f>
        <v>1000000000000</v>
      </c>
      <c r="AN194" s="181">
        <f ca="1">IF($D194&lt;&gt;"Serviço",0,IF(AND(AUTOEVENTO="Manual",$M194=1),0,IF(OFFSET(CRONOPLE!$F$14,$M194,AN$13)="",10^12,OFFSET(CRONOPLE!$F$14,$M194,AN$13))))</f>
        <v>1000000000000</v>
      </c>
      <c r="AO194" s="181">
        <f ca="1">IF($D194&lt;&gt;"Serviço",0,IF(AND(AUTOEVENTO="Manual",$M194=1),0,IF(OFFSET(CRONOPLE!$F$14,$M194,AO$13)="",10^12,OFFSET(CRONOPLE!$F$14,$M194,AO$13))))</f>
        <v>1000000000000</v>
      </c>
      <c r="AP194" s="181">
        <f ca="1">IF($D194&lt;&gt;"Serviço",0,IF(AND(AUTOEVENTO="Manual",$M194=1),0,IF(OFFSET(CRONOPLE!$F$14,$M194,AP$13)="",10^12,OFFSET(CRONOPLE!$F$14,$M194,AP$13))))</f>
        <v>1000000000000</v>
      </c>
      <c r="AQ194" s="181">
        <f ca="1">IF($D194&lt;&gt;"Serviço",0,IF(AND(AUTOEVENTO="Manual",$M194=1),0,IF(OFFSET(CRONOPLE!$F$14,$M194,AQ$13)="",10^12,OFFSET(CRONOPLE!$F$14,$M194,AQ$13))))</f>
        <v>1000000000000</v>
      </c>
      <c r="AR194" s="181">
        <f ca="1">IF($D194&lt;&gt;"Serviço",0,IF(AND(AUTOEVENTO="Manual",$M194=1),0,IF(OFFSET(CRONOPLE!$F$14,$M194,AR$13)="",10^12,OFFSET(CRONOPLE!$F$14,$M194,AR$13))))</f>
        <v>1000000000000</v>
      </c>
      <c r="AS194" s="181">
        <f ca="1">IF($D194&lt;&gt;"Serviço",0,IF(AND(AUTOEVENTO="Manual",$M194=1),0,IF(OFFSET(CRONOPLE!$F$14,$M194,AS$13)="",10^12,OFFSET(CRONOPLE!$F$14,$M194,AS$13))))</f>
        <v>1000000000000</v>
      </c>
      <c r="AT194" s="181">
        <f ca="1">IF($D194&lt;&gt;"Serviço",0,IF(AND(AUTOEVENTO="Manual",$M194=1),0,IF(OFFSET(CRONOPLE!$F$14,$M194,AT$13)="",10^12,OFFSET(CRONOPLE!$F$14,$M194,AT$13))))</f>
        <v>1000000000000</v>
      </c>
      <c r="AU194" s="181">
        <f ca="1">IF($D194&lt;&gt;"Serviço",0,IF(AND(AUTOEVENTO="Manual",$M194=1),0,IF(OFFSET(CRONOPLE!$F$14,$M194,AU$13)="",10^12,OFFSET(CRONOPLE!$F$14,$M194,AU$13))))</f>
        <v>1000000000000</v>
      </c>
      <c r="AV194" s="181">
        <f ca="1">IF($D194&lt;&gt;"Serviço",0,IF(AND(AUTOEVENTO="Manual",$M194=1),0,IF(OFFSET(CRONOPLE!$F$14,$M194,AV$13)="",10^12,OFFSET(CRONOPLE!$F$14,$M194,AV$13))))</f>
        <v>1000000000000</v>
      </c>
      <c r="AX194" s="182">
        <f ca="1">IF($D194&lt;&gt;"Serviço",0,IF(OR(AND(AUTOEVENTO="Manual",$M194=1),$M194&gt;(ROW(PLE.lastrow)-ROW(PLE.firstrow))),0,IF(OFFSET(PLE!$G$14,$M194,AX$13)="",10^12,OFFSET(PLE!$G$14,$M194,AX$13))))</f>
        <v>1000000000000</v>
      </c>
      <c r="AY194" s="182">
        <f ca="1">IF($D194&lt;&gt;"Serviço",0,IF(OR(AND(AUTOEVENTO="Manual",$M194=1),$M194&gt;(ROW(PLE.lastrow)-ROW(PLE.firstrow))),0,IF(OFFSET(PLE!$G$14,$M194,AY$13)="",10^12,OFFSET(PLE!$G$14,$M194,AY$13))))</f>
        <v>1000000000000</v>
      </c>
      <c r="AZ194" s="182">
        <f ca="1">IF($D194&lt;&gt;"Serviço",0,IF(OR(AND(AUTOEVENTO="Manual",$M194=1),$M194&gt;(ROW(PLE.lastrow)-ROW(PLE.firstrow))),0,IF(OFFSET(PLE!$G$14,$M194,AZ$13)="",10^12,OFFSET(PLE!$G$14,$M194,AZ$13))))</f>
        <v>1000000000000</v>
      </c>
      <c r="BA194" s="182">
        <f ca="1">IF($D194&lt;&gt;"Serviço",0,IF(OR(AND(AUTOEVENTO="Manual",$M194=1),$M194&gt;(ROW(PLE.lastrow)-ROW(PLE.firstrow))),0,IF(OFFSET(PLE!$G$14,$M194,BA$13)="",10^12,OFFSET(PLE!$G$14,$M194,BA$13))))</f>
        <v>1000000000000</v>
      </c>
      <c r="BB194" s="182">
        <f ca="1">IF($D194&lt;&gt;"Serviço",0,IF(OR(AND(AUTOEVENTO="Manual",$M194=1),$M194&gt;(ROW(PLE.lastrow)-ROW(PLE.firstrow))),0,IF(OFFSET(PLE!$G$14,$M194,BB$13)="",10^12,OFFSET(PLE!$G$14,$M194,BB$13))))</f>
        <v>1000000000000</v>
      </c>
      <c r="BC194" s="182">
        <f ca="1">IF($D194&lt;&gt;"Serviço",0,IF(OR(AND(AUTOEVENTO="Manual",$M194=1),$M194&gt;(ROW(PLE.lastrow)-ROW(PLE.firstrow))),0,IF(OFFSET(PLE!$G$14,$M194,BC$13)="",10^12,OFFSET(PLE!$G$14,$M194,BC$13))))</f>
        <v>1000000000000</v>
      </c>
      <c r="BD194" s="182">
        <f ca="1">IF($D194&lt;&gt;"Serviço",0,IF(OR(AND(AUTOEVENTO="Manual",$M194=1),$M194&gt;(ROW(PLE.lastrow)-ROW(PLE.firstrow))),0,IF(OFFSET(PLE!$G$14,$M194,BD$13)="",10^12,OFFSET(PLE!$G$14,$M194,BD$13))))</f>
        <v>1000000000000</v>
      </c>
      <c r="BE194" s="182">
        <f ca="1">IF($D194&lt;&gt;"Serviço",0,IF(OR(AND(AUTOEVENTO="Manual",$M194=1),$M194&gt;(ROW(PLE.lastrow)-ROW(PLE.firstrow))),0,IF(OFFSET(PLE!$G$14,$M194,BE$13)="",10^12,OFFSET(PLE!$G$14,$M194,BE$13))))</f>
        <v>1000000000000</v>
      </c>
      <c r="BF194" s="182">
        <f ca="1">IF($D194&lt;&gt;"Serviço",0,IF(OR(AND(AUTOEVENTO="Manual",$M194=1),$M194&gt;(ROW(PLE.lastrow)-ROW(PLE.firstrow))),0,IF(OFFSET(PLE!$G$14,$M194,BF$13)="",10^12,OFFSET(PLE!$G$14,$M194,BF$13))))</f>
        <v>1000000000000</v>
      </c>
      <c r="BG194" s="182">
        <f ca="1">IF($D194&lt;&gt;"Serviço",0,IF(OR(AND(AUTOEVENTO="Manual",$M194=1),$M194&gt;(ROW(PLE.lastrow)-ROW(PLE.firstrow))),0,IF(OFFSET(PLE!$G$14,$M194,BG$13)="",10^12,OFFSET(PLE!$G$14,$M194,BG$13))))</f>
        <v>1000000000000</v>
      </c>
    </row>
    <row r="195" spans="1:59" ht="51" x14ac:dyDescent="0.2">
      <c r="A195" s="7" t="str">
        <f t="shared" ca="1" si="10"/>
        <v>175</v>
      </c>
      <c r="B195" s="7" t="str">
        <f ca="1">OFFSET(ORÇAMENTO!C$15,ROW(B195)-ROW(B$15),0)</f>
        <v>S</v>
      </c>
      <c r="C195" s="7" t="str">
        <f ca="1">OFFSET(ORÇAMENTO!L$15,ROW(C195)-ROW(C$15),0)</f>
        <v/>
      </c>
      <c r="D195" s="118" t="str">
        <f ca="1">OFFSET(ORÇAMENTO!N$15,ROW(D195)-ROW(D$15),0)</f>
        <v>Serviço</v>
      </c>
      <c r="E195" s="119" t="str">
        <f ca="1">OFFSET(ORÇAMENTO!O$15,ROW(E195)-ROW(E$15),0)</f>
        <v>-</v>
      </c>
      <c r="F195" s="172" t="str">
        <f ca="1">OFFSET(ORÇAMENTO!R$15,ROW(F195)-ROW(F$15),0)</f>
        <v>(abra o arquivo 'Referência 02-2025.xlsm)</v>
      </c>
      <c r="G195" s="173" t="str">
        <f ca="1">IF($D195&lt;&gt;"Serviço","",OFFSET(ORÇAMENTO!S$15,ROW(G195)-ROW(G$15),0))</f>
        <v>-</v>
      </c>
      <c r="H195" s="124">
        <f ca="1">IF($D195&lt;&gt;"Serviço",0,IF(ACOMPANHAMENTO="BM",ROUND(OFFSET(ORÇAMENTO!AJ$15,ROW(H195)-ROW(H$15),0),15-13*ORÇAMENTO!$AF$7),SUMPRODUCT(($Q$12:$AA$12&lt;&gt;"")*ROUND($Q195:$AA195,15-13*ORÇAMENTO!$AF$7))))</f>
        <v>1411.77</v>
      </c>
      <c r="I195" s="561" t="s">
        <v>890</v>
      </c>
      <c r="K195" s="174"/>
      <c r="L195" s="175" t="s">
        <v>255</v>
      </c>
      <c r="M195" s="176">
        <f ca="1">IF($D195&lt;&gt;"Serviço","",IF(AUTOEVENTO="manual",$A195,IF(ISERROR(MATCH($A195,$A$15:OFFSET($A195,-1,0),0)),MAX($M$15:OFFSET(M195,-1,0))+1,INDEX($M$15:OFFSET(M195,-1,0),MATCH($A195,$A$15:OFFSET($A195,-1,0),0)))))</f>
        <v>10</v>
      </c>
      <c r="N195" s="177" t="str">
        <f ca="1">IF($D195&lt;&gt;"Serviço","",IF(AUTOEVENTO="Manual",IF($A195=0,"&lt;-- defina o número do agrupador",OFFSET(EVENTOS!$D$14,$A195,0)),OFFSET($F$15,$A195,0)))</f>
        <v>REVESTIMENTOS INTERNO E EXTERNO</v>
      </c>
      <c r="O195" s="178"/>
      <c r="Q195" s="178"/>
      <c r="R195" s="179"/>
      <c r="S195" s="179"/>
      <c r="T195" s="179"/>
      <c r="U195" s="179"/>
      <c r="V195" s="179"/>
      <c r="W195" s="179"/>
      <c r="X195" s="179"/>
      <c r="Y195" s="179"/>
      <c r="Z195" s="180"/>
      <c r="AB195" s="544">
        <f ca="1">IF(AND($D195="Serviço",AB$12&lt;&gt;0,$H195&gt;0,OR(AUTOEVENTO&lt;&gt;"manual",$M195&lt;&gt;1)),
IF(Import.TipoArredondamento&lt;&gt;"TransfereGOV",
ROUND(OFFSET($P195,0,AB$13),15-13*ORÇAMENTO!$AF$7)/$H195*OFFSET(ORÇAMENTO!$X$15,ROW(AB195)-ROW(AB$15),0),
ROUND(ROUND(OFFSET($P195,0,AB$13),15-13*ORÇAMENTO!$AF$7)*OFFSET(ORÇAMENTO!$W$15,ROW(AB195)-ROW(AB$15),0),15-13*ORÇAMENTO!$AF$11)),0)</f>
        <v>0</v>
      </c>
      <c r="AC195" s="545">
        <f ca="1">IF(AND($D195="Serviço",AC$12&lt;&gt;0,$H195&gt;0,OR(AUTOEVENTO&lt;&gt;"manual",$M195&lt;&gt;1)),
IF(Import.TipoArredondamento&lt;&gt;"TransfereGOV",
ROUND(OFFSET($P195,0,AC$13),15-13*ORÇAMENTO!$AF$7)/$H195*OFFSET(ORÇAMENTO!$X$15,ROW(AC195)-ROW(AC$15),0),
ROUND(ROUND(OFFSET($P195,0,AC$13),15-13*ORÇAMENTO!$AF$7)*OFFSET(ORÇAMENTO!$W$15,ROW(AC195)-ROW(AC$15),0),15-13*ORÇAMENTO!$AF$11)),0)</f>
        <v>0</v>
      </c>
      <c r="AD195" s="545">
        <f ca="1">IF(AND($D195="Serviço",AD$12&lt;&gt;0,$H195&gt;0,OR(AUTOEVENTO&lt;&gt;"manual",$M195&lt;&gt;1)),
IF(Import.TipoArredondamento&lt;&gt;"TransfereGOV",
ROUND(OFFSET($P195,0,AD$13),15-13*ORÇAMENTO!$AF$7)/$H195*OFFSET(ORÇAMENTO!$X$15,ROW(AD195)-ROW(AD$15),0),
ROUND(ROUND(OFFSET($P195,0,AD$13),15-13*ORÇAMENTO!$AF$7)*OFFSET(ORÇAMENTO!$W$15,ROW(AD195)-ROW(AD$15),0),15-13*ORÇAMENTO!$AF$11)),0)</f>
        <v>0</v>
      </c>
      <c r="AE195" s="545">
        <f ca="1">IF(AND($D195="Serviço",AE$12&lt;&gt;0,$H195&gt;0,OR(AUTOEVENTO&lt;&gt;"manual",$M195&lt;&gt;1)),
IF(Import.TipoArredondamento&lt;&gt;"TransfereGOV",
ROUND(OFFSET($P195,0,AE$13),15-13*ORÇAMENTO!$AF$7)/$H195*OFFSET(ORÇAMENTO!$X$15,ROW(AE195)-ROW(AE$15),0),
ROUND(ROUND(OFFSET($P195,0,AE$13),15-13*ORÇAMENTO!$AF$7)*OFFSET(ORÇAMENTO!$W$15,ROW(AE195)-ROW(AE$15),0),15-13*ORÇAMENTO!$AF$11)),0)</f>
        <v>0</v>
      </c>
      <c r="AF195" s="545">
        <f ca="1">IF(AND($D195="Serviço",AF$12&lt;&gt;0,$H195&gt;0,OR(AUTOEVENTO&lt;&gt;"manual",$M195&lt;&gt;1)),
IF(Import.TipoArredondamento&lt;&gt;"TransfereGOV",
ROUND(OFFSET($P195,0,AF$13),15-13*ORÇAMENTO!$AF$7)/$H195*OFFSET(ORÇAMENTO!$X$15,ROW(AF195)-ROW(AF$15),0),
ROUND(ROUND(OFFSET($P195,0,AF$13),15-13*ORÇAMENTO!$AF$7)*OFFSET(ORÇAMENTO!$W$15,ROW(AF195)-ROW(AF$15),0),15-13*ORÇAMENTO!$AF$11)),0)</f>
        <v>0</v>
      </c>
      <c r="AG195" s="545">
        <f ca="1">IF(AND($D195="Serviço",AG$12&lt;&gt;0,$H195&gt;0,OR(AUTOEVENTO&lt;&gt;"manual",$M195&lt;&gt;1)),
IF(Import.TipoArredondamento&lt;&gt;"TransfereGOV",
ROUND(OFFSET($P195,0,AG$13),15-13*ORÇAMENTO!$AF$7)/$H195*OFFSET(ORÇAMENTO!$X$15,ROW(AG195)-ROW(AG$15),0),
ROUND(ROUND(OFFSET($P195,0,AG$13),15-13*ORÇAMENTO!$AF$7)*OFFSET(ORÇAMENTO!$W$15,ROW(AG195)-ROW(AG$15),0),15-13*ORÇAMENTO!$AF$11)),0)</f>
        <v>0</v>
      </c>
      <c r="AH195" s="545">
        <f ca="1">IF(AND($D195="Serviço",AH$12&lt;&gt;0,$H195&gt;0,OR(AUTOEVENTO&lt;&gt;"manual",$M195&lt;&gt;1)),
IF(Import.TipoArredondamento&lt;&gt;"TransfereGOV",
ROUND(OFFSET($P195,0,AH$13),15-13*ORÇAMENTO!$AF$7)/$H195*OFFSET(ORÇAMENTO!$X$15,ROW(AH195)-ROW(AH$15),0),
ROUND(ROUND(OFFSET($P195,0,AH$13),15-13*ORÇAMENTO!$AF$7)*OFFSET(ORÇAMENTO!$W$15,ROW(AH195)-ROW(AH$15),0),15-13*ORÇAMENTO!$AF$11)),0)</f>
        <v>0</v>
      </c>
      <c r="AI195" s="545">
        <f ca="1">IF(AND($D195="Serviço",AI$12&lt;&gt;0,$H195&gt;0,OR(AUTOEVENTO&lt;&gt;"manual",$M195&lt;&gt;1)),
IF(Import.TipoArredondamento&lt;&gt;"TransfereGOV",
ROUND(OFFSET($P195,0,AI$13),15-13*ORÇAMENTO!$AF$7)/$H195*OFFSET(ORÇAMENTO!$X$15,ROW(AI195)-ROW(AI$15),0),
ROUND(ROUND(OFFSET($P195,0,AI$13),15-13*ORÇAMENTO!$AF$7)*OFFSET(ORÇAMENTO!$W$15,ROW(AI195)-ROW(AI$15),0),15-13*ORÇAMENTO!$AF$11)),0)</f>
        <v>0</v>
      </c>
      <c r="AJ195" s="545">
        <f ca="1">IF(AND($D195="Serviço",AJ$12&lt;&gt;0,$H195&gt;0,OR(AUTOEVENTO&lt;&gt;"manual",$M195&lt;&gt;1)),
IF(Import.TipoArredondamento&lt;&gt;"TransfereGOV",
ROUND(OFFSET($P195,0,AJ$13),15-13*ORÇAMENTO!$AF$7)/$H195*OFFSET(ORÇAMENTO!$X$15,ROW(AJ195)-ROW(AJ$15),0),
ROUND(ROUND(OFFSET($P195,0,AJ$13),15-13*ORÇAMENTO!$AF$7)*OFFSET(ORÇAMENTO!$W$15,ROW(AJ195)-ROW(AJ$15),0),15-13*ORÇAMENTO!$AF$11)),0)</f>
        <v>0</v>
      </c>
      <c r="AK195" s="546">
        <f ca="1">IF(AND($D195="Serviço",AK$12&lt;&gt;0,$H195&gt;0,OR(AUTOEVENTO&lt;&gt;"manual",$M195&lt;&gt;1)),
IF(Import.TipoArredondamento&lt;&gt;"TransfereGOV",
ROUND(OFFSET($P195,0,AK$13),15-13*ORÇAMENTO!$AF$7)/$H195*OFFSET(ORÇAMENTO!$X$15,ROW(AK195)-ROW(AK$15),0),
ROUND(ROUND(OFFSET($P195,0,AK$13),15-13*ORÇAMENTO!$AF$7)*OFFSET(ORÇAMENTO!$W$15,ROW(AK195)-ROW(AK$15),0),15-13*ORÇAMENTO!$AF$11)),0)</f>
        <v>0</v>
      </c>
      <c r="AM195" s="181">
        <f ca="1">IF($D195&lt;&gt;"Serviço",0,IF(AND(AUTOEVENTO="Manual",$M195=1),0,IF(OFFSET(CRONOPLE!$F$14,$M195,AM$13)="",10^12,OFFSET(CRONOPLE!$F$14,$M195,AM$13))))</f>
        <v>1000000000000</v>
      </c>
      <c r="AN195" s="181">
        <f ca="1">IF($D195&lt;&gt;"Serviço",0,IF(AND(AUTOEVENTO="Manual",$M195=1),0,IF(OFFSET(CRONOPLE!$F$14,$M195,AN$13)="",10^12,OFFSET(CRONOPLE!$F$14,$M195,AN$13))))</f>
        <v>1000000000000</v>
      </c>
      <c r="AO195" s="181">
        <f ca="1">IF($D195&lt;&gt;"Serviço",0,IF(AND(AUTOEVENTO="Manual",$M195=1),0,IF(OFFSET(CRONOPLE!$F$14,$M195,AO$13)="",10^12,OFFSET(CRONOPLE!$F$14,$M195,AO$13))))</f>
        <v>1000000000000</v>
      </c>
      <c r="AP195" s="181">
        <f ca="1">IF($D195&lt;&gt;"Serviço",0,IF(AND(AUTOEVENTO="Manual",$M195=1),0,IF(OFFSET(CRONOPLE!$F$14,$M195,AP$13)="",10^12,OFFSET(CRONOPLE!$F$14,$M195,AP$13))))</f>
        <v>1000000000000</v>
      </c>
      <c r="AQ195" s="181">
        <f ca="1">IF($D195&lt;&gt;"Serviço",0,IF(AND(AUTOEVENTO="Manual",$M195=1),0,IF(OFFSET(CRONOPLE!$F$14,$M195,AQ$13)="",10^12,OFFSET(CRONOPLE!$F$14,$M195,AQ$13))))</f>
        <v>1000000000000</v>
      </c>
      <c r="AR195" s="181">
        <f ca="1">IF($D195&lt;&gt;"Serviço",0,IF(AND(AUTOEVENTO="Manual",$M195=1),0,IF(OFFSET(CRONOPLE!$F$14,$M195,AR$13)="",10^12,OFFSET(CRONOPLE!$F$14,$M195,AR$13))))</f>
        <v>1000000000000</v>
      </c>
      <c r="AS195" s="181">
        <f ca="1">IF($D195&lt;&gt;"Serviço",0,IF(AND(AUTOEVENTO="Manual",$M195=1),0,IF(OFFSET(CRONOPLE!$F$14,$M195,AS$13)="",10^12,OFFSET(CRONOPLE!$F$14,$M195,AS$13))))</f>
        <v>1000000000000</v>
      </c>
      <c r="AT195" s="181">
        <f ca="1">IF($D195&lt;&gt;"Serviço",0,IF(AND(AUTOEVENTO="Manual",$M195=1),0,IF(OFFSET(CRONOPLE!$F$14,$M195,AT$13)="",10^12,OFFSET(CRONOPLE!$F$14,$M195,AT$13))))</f>
        <v>1000000000000</v>
      </c>
      <c r="AU195" s="181">
        <f ca="1">IF($D195&lt;&gt;"Serviço",0,IF(AND(AUTOEVENTO="Manual",$M195=1),0,IF(OFFSET(CRONOPLE!$F$14,$M195,AU$13)="",10^12,OFFSET(CRONOPLE!$F$14,$M195,AU$13))))</f>
        <v>1000000000000</v>
      </c>
      <c r="AV195" s="181">
        <f ca="1">IF($D195&lt;&gt;"Serviço",0,IF(AND(AUTOEVENTO="Manual",$M195=1),0,IF(OFFSET(CRONOPLE!$F$14,$M195,AV$13)="",10^12,OFFSET(CRONOPLE!$F$14,$M195,AV$13))))</f>
        <v>1000000000000</v>
      </c>
      <c r="AX195" s="182">
        <f ca="1">IF($D195&lt;&gt;"Serviço",0,IF(OR(AND(AUTOEVENTO="Manual",$M195=1),$M195&gt;(ROW(PLE.lastrow)-ROW(PLE.firstrow))),0,IF(OFFSET(PLE!$G$14,$M195,AX$13)="",10^12,OFFSET(PLE!$G$14,$M195,AX$13))))</f>
        <v>1000000000000</v>
      </c>
      <c r="AY195" s="182">
        <f ca="1">IF($D195&lt;&gt;"Serviço",0,IF(OR(AND(AUTOEVENTO="Manual",$M195=1),$M195&gt;(ROW(PLE.lastrow)-ROW(PLE.firstrow))),0,IF(OFFSET(PLE!$G$14,$M195,AY$13)="",10^12,OFFSET(PLE!$G$14,$M195,AY$13))))</f>
        <v>1000000000000</v>
      </c>
      <c r="AZ195" s="182">
        <f ca="1">IF($D195&lt;&gt;"Serviço",0,IF(OR(AND(AUTOEVENTO="Manual",$M195=1),$M195&gt;(ROW(PLE.lastrow)-ROW(PLE.firstrow))),0,IF(OFFSET(PLE!$G$14,$M195,AZ$13)="",10^12,OFFSET(PLE!$G$14,$M195,AZ$13))))</f>
        <v>1000000000000</v>
      </c>
      <c r="BA195" s="182">
        <f ca="1">IF($D195&lt;&gt;"Serviço",0,IF(OR(AND(AUTOEVENTO="Manual",$M195=1),$M195&gt;(ROW(PLE.lastrow)-ROW(PLE.firstrow))),0,IF(OFFSET(PLE!$G$14,$M195,BA$13)="",10^12,OFFSET(PLE!$G$14,$M195,BA$13))))</f>
        <v>1000000000000</v>
      </c>
      <c r="BB195" s="182">
        <f ca="1">IF($D195&lt;&gt;"Serviço",0,IF(OR(AND(AUTOEVENTO="Manual",$M195=1),$M195&gt;(ROW(PLE.lastrow)-ROW(PLE.firstrow))),0,IF(OFFSET(PLE!$G$14,$M195,BB$13)="",10^12,OFFSET(PLE!$G$14,$M195,BB$13))))</f>
        <v>1000000000000</v>
      </c>
      <c r="BC195" s="182">
        <f ca="1">IF($D195&lt;&gt;"Serviço",0,IF(OR(AND(AUTOEVENTO="Manual",$M195=1),$M195&gt;(ROW(PLE.lastrow)-ROW(PLE.firstrow))),0,IF(OFFSET(PLE!$G$14,$M195,BC$13)="",10^12,OFFSET(PLE!$G$14,$M195,BC$13))))</f>
        <v>1000000000000</v>
      </c>
      <c r="BD195" s="182">
        <f ca="1">IF($D195&lt;&gt;"Serviço",0,IF(OR(AND(AUTOEVENTO="Manual",$M195=1),$M195&gt;(ROW(PLE.lastrow)-ROW(PLE.firstrow))),0,IF(OFFSET(PLE!$G$14,$M195,BD$13)="",10^12,OFFSET(PLE!$G$14,$M195,BD$13))))</f>
        <v>1000000000000</v>
      </c>
      <c r="BE195" s="182">
        <f ca="1">IF($D195&lt;&gt;"Serviço",0,IF(OR(AND(AUTOEVENTO="Manual",$M195=1),$M195&gt;(ROW(PLE.lastrow)-ROW(PLE.firstrow))),0,IF(OFFSET(PLE!$G$14,$M195,BE$13)="",10^12,OFFSET(PLE!$G$14,$M195,BE$13))))</f>
        <v>1000000000000</v>
      </c>
      <c r="BF195" s="182">
        <f ca="1">IF($D195&lt;&gt;"Serviço",0,IF(OR(AND(AUTOEVENTO="Manual",$M195=1),$M195&gt;(ROW(PLE.lastrow)-ROW(PLE.firstrow))),0,IF(OFFSET(PLE!$G$14,$M195,BF$13)="",10^12,OFFSET(PLE!$G$14,$M195,BF$13))))</f>
        <v>1000000000000</v>
      </c>
      <c r="BG195" s="182">
        <f ca="1">IF($D195&lt;&gt;"Serviço",0,IF(OR(AND(AUTOEVENTO="Manual",$M195=1),$M195&gt;(ROW(PLE.lastrow)-ROW(PLE.firstrow))),0,IF(OFFSET(PLE!$G$14,$M195,BG$13)="",10^12,OFFSET(PLE!$G$14,$M195,BG$13))))</f>
        <v>1000000000000</v>
      </c>
    </row>
    <row r="196" spans="1:59" ht="38.25" x14ac:dyDescent="0.2">
      <c r="A196" s="7" t="str">
        <f t="shared" ca="1" si="10"/>
        <v>175</v>
      </c>
      <c r="B196" s="7" t="str">
        <f ca="1">OFFSET(ORÇAMENTO!C$15,ROW(B196)-ROW(B$15),0)</f>
        <v>S</v>
      </c>
      <c r="C196" s="7" t="str">
        <f ca="1">OFFSET(ORÇAMENTO!L$15,ROW(C196)-ROW(C$15),0)</f>
        <v/>
      </c>
      <c r="D196" s="118" t="str">
        <f ca="1">OFFSET(ORÇAMENTO!N$15,ROW(D196)-ROW(D$15),0)</f>
        <v>Serviço</v>
      </c>
      <c r="E196" s="119" t="str">
        <f ca="1">OFFSET(ORÇAMENTO!O$15,ROW(E196)-ROW(E$15),0)</f>
        <v>-</v>
      </c>
      <c r="F196" s="172" t="str">
        <f ca="1">OFFSET(ORÇAMENTO!R$15,ROW(F196)-ROW(F$15),0)</f>
        <v>(abra o arquivo 'Referência 02-2025.xlsm)</v>
      </c>
      <c r="G196" s="173" t="str">
        <f ca="1">IF($D196&lt;&gt;"Serviço","",OFFSET(ORÇAMENTO!S$15,ROW(G196)-ROW(G$15),0))</f>
        <v>-</v>
      </c>
      <c r="H196" s="124">
        <f ca="1">IF($D196&lt;&gt;"Serviço",0,IF(ACOMPANHAMENTO="BM",ROUND(OFFSET(ORÇAMENTO!AJ$15,ROW(H196)-ROW(H$15),0),15-13*ORÇAMENTO!$AF$7),SUMPRODUCT(($Q$12:$AA$12&lt;&gt;"")*ROUND($Q196:$AA196,15-13*ORÇAMENTO!$AF$7))))</f>
        <v>1574.15</v>
      </c>
      <c r="I196" s="561" t="s">
        <v>890</v>
      </c>
      <c r="K196" s="174"/>
      <c r="L196" s="175" t="s">
        <v>255</v>
      </c>
      <c r="M196" s="176">
        <f ca="1">IF($D196&lt;&gt;"Serviço","",IF(AUTOEVENTO="manual",$A196,IF(ISERROR(MATCH($A196,$A$15:OFFSET($A196,-1,0),0)),MAX($M$15:OFFSET(M196,-1,0))+1,INDEX($M$15:OFFSET(M196,-1,0),MATCH($A196,$A$15:OFFSET($A196,-1,0),0)))))</f>
        <v>10</v>
      </c>
      <c r="N196" s="177" t="str">
        <f ca="1">IF($D196&lt;&gt;"Serviço","",IF(AUTOEVENTO="Manual",IF($A196=0,"&lt;-- defina o número do agrupador",OFFSET(EVENTOS!$D$14,$A196,0)),OFFSET($F$15,$A196,0)))</f>
        <v>REVESTIMENTOS INTERNO E EXTERNO</v>
      </c>
      <c r="O196" s="178"/>
      <c r="Q196" s="178"/>
      <c r="R196" s="179"/>
      <c r="S196" s="179"/>
      <c r="T196" s="179"/>
      <c r="U196" s="179"/>
      <c r="V196" s="179"/>
      <c r="W196" s="179"/>
      <c r="X196" s="179"/>
      <c r="Y196" s="179"/>
      <c r="Z196" s="180"/>
      <c r="AB196" s="544">
        <f ca="1">IF(AND($D196="Serviço",AB$12&lt;&gt;0,$H196&gt;0,OR(AUTOEVENTO&lt;&gt;"manual",$M196&lt;&gt;1)),
IF(Import.TipoArredondamento&lt;&gt;"TransfereGOV",
ROUND(OFFSET($P196,0,AB$13),15-13*ORÇAMENTO!$AF$7)/$H196*OFFSET(ORÇAMENTO!$X$15,ROW(AB196)-ROW(AB$15),0),
ROUND(ROUND(OFFSET($P196,0,AB$13),15-13*ORÇAMENTO!$AF$7)*OFFSET(ORÇAMENTO!$W$15,ROW(AB196)-ROW(AB$15),0),15-13*ORÇAMENTO!$AF$11)),0)</f>
        <v>0</v>
      </c>
      <c r="AC196" s="545">
        <f ca="1">IF(AND($D196="Serviço",AC$12&lt;&gt;0,$H196&gt;0,OR(AUTOEVENTO&lt;&gt;"manual",$M196&lt;&gt;1)),
IF(Import.TipoArredondamento&lt;&gt;"TransfereGOV",
ROUND(OFFSET($P196,0,AC$13),15-13*ORÇAMENTO!$AF$7)/$H196*OFFSET(ORÇAMENTO!$X$15,ROW(AC196)-ROW(AC$15),0),
ROUND(ROUND(OFFSET($P196,0,AC$13),15-13*ORÇAMENTO!$AF$7)*OFFSET(ORÇAMENTO!$W$15,ROW(AC196)-ROW(AC$15),0),15-13*ORÇAMENTO!$AF$11)),0)</f>
        <v>0</v>
      </c>
      <c r="AD196" s="545">
        <f ca="1">IF(AND($D196="Serviço",AD$12&lt;&gt;0,$H196&gt;0,OR(AUTOEVENTO&lt;&gt;"manual",$M196&lt;&gt;1)),
IF(Import.TipoArredondamento&lt;&gt;"TransfereGOV",
ROUND(OFFSET($P196,0,AD$13),15-13*ORÇAMENTO!$AF$7)/$H196*OFFSET(ORÇAMENTO!$X$15,ROW(AD196)-ROW(AD$15),0),
ROUND(ROUND(OFFSET($P196,0,AD$13),15-13*ORÇAMENTO!$AF$7)*OFFSET(ORÇAMENTO!$W$15,ROW(AD196)-ROW(AD$15),0),15-13*ORÇAMENTO!$AF$11)),0)</f>
        <v>0</v>
      </c>
      <c r="AE196" s="545">
        <f ca="1">IF(AND($D196="Serviço",AE$12&lt;&gt;0,$H196&gt;0,OR(AUTOEVENTO&lt;&gt;"manual",$M196&lt;&gt;1)),
IF(Import.TipoArredondamento&lt;&gt;"TransfereGOV",
ROUND(OFFSET($P196,0,AE$13),15-13*ORÇAMENTO!$AF$7)/$H196*OFFSET(ORÇAMENTO!$X$15,ROW(AE196)-ROW(AE$15),0),
ROUND(ROUND(OFFSET($P196,0,AE$13),15-13*ORÇAMENTO!$AF$7)*OFFSET(ORÇAMENTO!$W$15,ROW(AE196)-ROW(AE$15),0),15-13*ORÇAMENTO!$AF$11)),0)</f>
        <v>0</v>
      </c>
      <c r="AF196" s="545">
        <f ca="1">IF(AND($D196="Serviço",AF$12&lt;&gt;0,$H196&gt;0,OR(AUTOEVENTO&lt;&gt;"manual",$M196&lt;&gt;1)),
IF(Import.TipoArredondamento&lt;&gt;"TransfereGOV",
ROUND(OFFSET($P196,0,AF$13),15-13*ORÇAMENTO!$AF$7)/$H196*OFFSET(ORÇAMENTO!$X$15,ROW(AF196)-ROW(AF$15),0),
ROUND(ROUND(OFFSET($P196,0,AF$13),15-13*ORÇAMENTO!$AF$7)*OFFSET(ORÇAMENTO!$W$15,ROW(AF196)-ROW(AF$15),0),15-13*ORÇAMENTO!$AF$11)),0)</f>
        <v>0</v>
      </c>
      <c r="AG196" s="545">
        <f ca="1">IF(AND($D196="Serviço",AG$12&lt;&gt;0,$H196&gt;0,OR(AUTOEVENTO&lt;&gt;"manual",$M196&lt;&gt;1)),
IF(Import.TipoArredondamento&lt;&gt;"TransfereGOV",
ROUND(OFFSET($P196,0,AG$13),15-13*ORÇAMENTO!$AF$7)/$H196*OFFSET(ORÇAMENTO!$X$15,ROW(AG196)-ROW(AG$15),0),
ROUND(ROUND(OFFSET($P196,0,AG$13),15-13*ORÇAMENTO!$AF$7)*OFFSET(ORÇAMENTO!$W$15,ROW(AG196)-ROW(AG$15),0),15-13*ORÇAMENTO!$AF$11)),0)</f>
        <v>0</v>
      </c>
      <c r="AH196" s="545">
        <f ca="1">IF(AND($D196="Serviço",AH$12&lt;&gt;0,$H196&gt;0,OR(AUTOEVENTO&lt;&gt;"manual",$M196&lt;&gt;1)),
IF(Import.TipoArredondamento&lt;&gt;"TransfereGOV",
ROUND(OFFSET($P196,0,AH$13),15-13*ORÇAMENTO!$AF$7)/$H196*OFFSET(ORÇAMENTO!$X$15,ROW(AH196)-ROW(AH$15),0),
ROUND(ROUND(OFFSET($P196,0,AH$13),15-13*ORÇAMENTO!$AF$7)*OFFSET(ORÇAMENTO!$W$15,ROW(AH196)-ROW(AH$15),0),15-13*ORÇAMENTO!$AF$11)),0)</f>
        <v>0</v>
      </c>
      <c r="AI196" s="545">
        <f ca="1">IF(AND($D196="Serviço",AI$12&lt;&gt;0,$H196&gt;0,OR(AUTOEVENTO&lt;&gt;"manual",$M196&lt;&gt;1)),
IF(Import.TipoArredondamento&lt;&gt;"TransfereGOV",
ROUND(OFFSET($P196,0,AI$13),15-13*ORÇAMENTO!$AF$7)/$H196*OFFSET(ORÇAMENTO!$X$15,ROW(AI196)-ROW(AI$15),0),
ROUND(ROUND(OFFSET($P196,0,AI$13),15-13*ORÇAMENTO!$AF$7)*OFFSET(ORÇAMENTO!$W$15,ROW(AI196)-ROW(AI$15),0),15-13*ORÇAMENTO!$AF$11)),0)</f>
        <v>0</v>
      </c>
      <c r="AJ196" s="545">
        <f ca="1">IF(AND($D196="Serviço",AJ$12&lt;&gt;0,$H196&gt;0,OR(AUTOEVENTO&lt;&gt;"manual",$M196&lt;&gt;1)),
IF(Import.TipoArredondamento&lt;&gt;"TransfereGOV",
ROUND(OFFSET($P196,0,AJ$13),15-13*ORÇAMENTO!$AF$7)/$H196*OFFSET(ORÇAMENTO!$X$15,ROW(AJ196)-ROW(AJ$15),0),
ROUND(ROUND(OFFSET($P196,0,AJ$13),15-13*ORÇAMENTO!$AF$7)*OFFSET(ORÇAMENTO!$W$15,ROW(AJ196)-ROW(AJ$15),0),15-13*ORÇAMENTO!$AF$11)),0)</f>
        <v>0</v>
      </c>
      <c r="AK196" s="546">
        <f ca="1">IF(AND($D196="Serviço",AK$12&lt;&gt;0,$H196&gt;0,OR(AUTOEVENTO&lt;&gt;"manual",$M196&lt;&gt;1)),
IF(Import.TipoArredondamento&lt;&gt;"TransfereGOV",
ROUND(OFFSET($P196,0,AK$13),15-13*ORÇAMENTO!$AF$7)/$H196*OFFSET(ORÇAMENTO!$X$15,ROW(AK196)-ROW(AK$15),0),
ROUND(ROUND(OFFSET($P196,0,AK$13),15-13*ORÇAMENTO!$AF$7)*OFFSET(ORÇAMENTO!$W$15,ROW(AK196)-ROW(AK$15),0),15-13*ORÇAMENTO!$AF$11)),0)</f>
        <v>0</v>
      </c>
      <c r="AM196" s="181">
        <f ca="1">IF($D196&lt;&gt;"Serviço",0,IF(AND(AUTOEVENTO="Manual",$M196=1),0,IF(OFFSET(CRONOPLE!$F$14,$M196,AM$13)="",10^12,OFFSET(CRONOPLE!$F$14,$M196,AM$13))))</f>
        <v>1000000000000</v>
      </c>
      <c r="AN196" s="181">
        <f ca="1">IF($D196&lt;&gt;"Serviço",0,IF(AND(AUTOEVENTO="Manual",$M196=1),0,IF(OFFSET(CRONOPLE!$F$14,$M196,AN$13)="",10^12,OFFSET(CRONOPLE!$F$14,$M196,AN$13))))</f>
        <v>1000000000000</v>
      </c>
      <c r="AO196" s="181">
        <f ca="1">IF($D196&lt;&gt;"Serviço",0,IF(AND(AUTOEVENTO="Manual",$M196=1),0,IF(OFFSET(CRONOPLE!$F$14,$M196,AO$13)="",10^12,OFFSET(CRONOPLE!$F$14,$M196,AO$13))))</f>
        <v>1000000000000</v>
      </c>
      <c r="AP196" s="181">
        <f ca="1">IF($D196&lt;&gt;"Serviço",0,IF(AND(AUTOEVENTO="Manual",$M196=1),0,IF(OFFSET(CRONOPLE!$F$14,$M196,AP$13)="",10^12,OFFSET(CRONOPLE!$F$14,$M196,AP$13))))</f>
        <v>1000000000000</v>
      </c>
      <c r="AQ196" s="181">
        <f ca="1">IF($D196&lt;&gt;"Serviço",0,IF(AND(AUTOEVENTO="Manual",$M196=1),0,IF(OFFSET(CRONOPLE!$F$14,$M196,AQ$13)="",10^12,OFFSET(CRONOPLE!$F$14,$M196,AQ$13))))</f>
        <v>1000000000000</v>
      </c>
      <c r="AR196" s="181">
        <f ca="1">IF($D196&lt;&gt;"Serviço",0,IF(AND(AUTOEVENTO="Manual",$M196=1),0,IF(OFFSET(CRONOPLE!$F$14,$M196,AR$13)="",10^12,OFFSET(CRONOPLE!$F$14,$M196,AR$13))))</f>
        <v>1000000000000</v>
      </c>
      <c r="AS196" s="181">
        <f ca="1">IF($D196&lt;&gt;"Serviço",0,IF(AND(AUTOEVENTO="Manual",$M196=1),0,IF(OFFSET(CRONOPLE!$F$14,$M196,AS$13)="",10^12,OFFSET(CRONOPLE!$F$14,$M196,AS$13))))</f>
        <v>1000000000000</v>
      </c>
      <c r="AT196" s="181">
        <f ca="1">IF($D196&lt;&gt;"Serviço",0,IF(AND(AUTOEVENTO="Manual",$M196=1),0,IF(OFFSET(CRONOPLE!$F$14,$M196,AT$13)="",10^12,OFFSET(CRONOPLE!$F$14,$M196,AT$13))))</f>
        <v>1000000000000</v>
      </c>
      <c r="AU196" s="181">
        <f ca="1">IF($D196&lt;&gt;"Serviço",0,IF(AND(AUTOEVENTO="Manual",$M196=1),0,IF(OFFSET(CRONOPLE!$F$14,$M196,AU$13)="",10^12,OFFSET(CRONOPLE!$F$14,$M196,AU$13))))</f>
        <v>1000000000000</v>
      </c>
      <c r="AV196" s="181">
        <f ca="1">IF($D196&lt;&gt;"Serviço",0,IF(AND(AUTOEVENTO="Manual",$M196=1),0,IF(OFFSET(CRONOPLE!$F$14,$M196,AV$13)="",10^12,OFFSET(CRONOPLE!$F$14,$M196,AV$13))))</f>
        <v>1000000000000</v>
      </c>
      <c r="AX196" s="182">
        <f ca="1">IF($D196&lt;&gt;"Serviço",0,IF(OR(AND(AUTOEVENTO="Manual",$M196=1),$M196&gt;(ROW(PLE.lastrow)-ROW(PLE.firstrow))),0,IF(OFFSET(PLE!$G$14,$M196,AX$13)="",10^12,OFFSET(PLE!$G$14,$M196,AX$13))))</f>
        <v>1000000000000</v>
      </c>
      <c r="AY196" s="182">
        <f ca="1">IF($D196&lt;&gt;"Serviço",0,IF(OR(AND(AUTOEVENTO="Manual",$M196=1),$M196&gt;(ROW(PLE.lastrow)-ROW(PLE.firstrow))),0,IF(OFFSET(PLE!$G$14,$M196,AY$13)="",10^12,OFFSET(PLE!$G$14,$M196,AY$13))))</f>
        <v>1000000000000</v>
      </c>
      <c r="AZ196" s="182">
        <f ca="1">IF($D196&lt;&gt;"Serviço",0,IF(OR(AND(AUTOEVENTO="Manual",$M196=1),$M196&gt;(ROW(PLE.lastrow)-ROW(PLE.firstrow))),0,IF(OFFSET(PLE!$G$14,$M196,AZ$13)="",10^12,OFFSET(PLE!$G$14,$M196,AZ$13))))</f>
        <v>1000000000000</v>
      </c>
      <c r="BA196" s="182">
        <f ca="1">IF($D196&lt;&gt;"Serviço",0,IF(OR(AND(AUTOEVENTO="Manual",$M196=1),$M196&gt;(ROW(PLE.lastrow)-ROW(PLE.firstrow))),0,IF(OFFSET(PLE!$G$14,$M196,BA$13)="",10^12,OFFSET(PLE!$G$14,$M196,BA$13))))</f>
        <v>1000000000000</v>
      </c>
      <c r="BB196" s="182">
        <f ca="1">IF($D196&lt;&gt;"Serviço",0,IF(OR(AND(AUTOEVENTO="Manual",$M196=1),$M196&gt;(ROW(PLE.lastrow)-ROW(PLE.firstrow))),0,IF(OFFSET(PLE!$G$14,$M196,BB$13)="",10^12,OFFSET(PLE!$G$14,$M196,BB$13))))</f>
        <v>1000000000000</v>
      </c>
      <c r="BC196" s="182">
        <f ca="1">IF($D196&lt;&gt;"Serviço",0,IF(OR(AND(AUTOEVENTO="Manual",$M196=1),$M196&gt;(ROW(PLE.lastrow)-ROW(PLE.firstrow))),0,IF(OFFSET(PLE!$G$14,$M196,BC$13)="",10^12,OFFSET(PLE!$G$14,$M196,BC$13))))</f>
        <v>1000000000000</v>
      </c>
      <c r="BD196" s="182">
        <f ca="1">IF($D196&lt;&gt;"Serviço",0,IF(OR(AND(AUTOEVENTO="Manual",$M196=1),$M196&gt;(ROW(PLE.lastrow)-ROW(PLE.firstrow))),0,IF(OFFSET(PLE!$G$14,$M196,BD$13)="",10^12,OFFSET(PLE!$G$14,$M196,BD$13))))</f>
        <v>1000000000000</v>
      </c>
      <c r="BE196" s="182">
        <f ca="1">IF($D196&lt;&gt;"Serviço",0,IF(OR(AND(AUTOEVENTO="Manual",$M196=1),$M196&gt;(ROW(PLE.lastrow)-ROW(PLE.firstrow))),0,IF(OFFSET(PLE!$G$14,$M196,BE$13)="",10^12,OFFSET(PLE!$G$14,$M196,BE$13))))</f>
        <v>1000000000000</v>
      </c>
      <c r="BF196" s="182">
        <f ca="1">IF($D196&lt;&gt;"Serviço",0,IF(OR(AND(AUTOEVENTO="Manual",$M196=1),$M196&gt;(ROW(PLE.lastrow)-ROW(PLE.firstrow))),0,IF(OFFSET(PLE!$G$14,$M196,BF$13)="",10^12,OFFSET(PLE!$G$14,$M196,BF$13))))</f>
        <v>1000000000000</v>
      </c>
      <c r="BG196" s="182">
        <f ca="1">IF($D196&lt;&gt;"Serviço",0,IF(OR(AND(AUTOEVENTO="Manual",$M196=1),$M196&gt;(ROW(PLE.lastrow)-ROW(PLE.firstrow))),0,IF(OFFSET(PLE!$G$14,$M196,BG$13)="",10^12,OFFSET(PLE!$G$14,$M196,BG$13))))</f>
        <v>1000000000000</v>
      </c>
    </row>
    <row r="197" spans="1:59" ht="38.25" x14ac:dyDescent="0.2">
      <c r="A197" s="7" t="str">
        <f t="shared" ca="1" si="10"/>
        <v>175</v>
      </c>
      <c r="B197" s="7" t="str">
        <f ca="1">OFFSET(ORÇAMENTO!C$15,ROW(B197)-ROW(B$15),0)</f>
        <v>S</v>
      </c>
      <c r="C197" s="7" t="str">
        <f ca="1">OFFSET(ORÇAMENTO!L$15,ROW(C197)-ROW(C$15),0)</f>
        <v/>
      </c>
      <c r="D197" s="118" t="str">
        <f ca="1">OFFSET(ORÇAMENTO!N$15,ROW(D197)-ROW(D$15),0)</f>
        <v>Serviço</v>
      </c>
      <c r="E197" s="119" t="str">
        <f ca="1">OFFSET(ORÇAMENTO!O$15,ROW(E197)-ROW(E$15),0)</f>
        <v>-</v>
      </c>
      <c r="F197" s="172" t="str">
        <f ca="1">OFFSET(ORÇAMENTO!R$15,ROW(F197)-ROW(F$15),0)</f>
        <v>(abra o arquivo 'Referência 02-2025.xlsm)</v>
      </c>
      <c r="G197" s="173" t="str">
        <f ca="1">IF($D197&lt;&gt;"Serviço","",OFFSET(ORÇAMENTO!S$15,ROW(G197)-ROW(G$15),0))</f>
        <v>-</v>
      </c>
      <c r="H197" s="124">
        <f ca="1">IF($D197&lt;&gt;"Serviço",0,IF(ACOMPANHAMENTO="BM",ROUND(OFFSET(ORÇAMENTO!AJ$15,ROW(H197)-ROW(H$15),0),15-13*ORÇAMENTO!$AF$7),SUMPRODUCT(($Q$12:$AA$12&lt;&gt;"")*ROUND($Q197:$AA197,15-13*ORÇAMENTO!$AF$7))))</f>
        <v>660.81</v>
      </c>
      <c r="I197" s="561" t="s">
        <v>890</v>
      </c>
      <c r="K197" s="174"/>
      <c r="L197" s="175" t="s">
        <v>255</v>
      </c>
      <c r="M197" s="176">
        <f ca="1">IF($D197&lt;&gt;"Serviço","",IF(AUTOEVENTO="manual",$A197,IF(ISERROR(MATCH($A197,$A$15:OFFSET($A197,-1,0),0)),MAX($M$15:OFFSET(M197,-1,0))+1,INDEX($M$15:OFFSET(M197,-1,0),MATCH($A197,$A$15:OFFSET($A197,-1,0),0)))))</f>
        <v>10</v>
      </c>
      <c r="N197" s="177" t="str">
        <f ca="1">IF($D197&lt;&gt;"Serviço","",IF(AUTOEVENTO="Manual",IF($A197=0,"&lt;-- defina o número do agrupador",OFFSET(EVENTOS!$D$14,$A197,0)),OFFSET($F$15,$A197,0)))</f>
        <v>REVESTIMENTOS INTERNO E EXTERNO</v>
      </c>
      <c r="O197" s="178"/>
      <c r="Q197" s="178"/>
      <c r="R197" s="179"/>
      <c r="S197" s="179"/>
      <c r="T197" s="179"/>
      <c r="U197" s="179"/>
      <c r="V197" s="179"/>
      <c r="W197" s="179"/>
      <c r="X197" s="179"/>
      <c r="Y197" s="179"/>
      <c r="Z197" s="180"/>
      <c r="AB197" s="544">
        <f ca="1">IF(AND($D197="Serviço",AB$12&lt;&gt;0,$H197&gt;0,OR(AUTOEVENTO&lt;&gt;"manual",$M197&lt;&gt;1)),
IF(Import.TipoArredondamento&lt;&gt;"TransfereGOV",
ROUND(OFFSET($P197,0,AB$13),15-13*ORÇAMENTO!$AF$7)/$H197*OFFSET(ORÇAMENTO!$X$15,ROW(AB197)-ROW(AB$15),0),
ROUND(ROUND(OFFSET($P197,0,AB$13),15-13*ORÇAMENTO!$AF$7)*OFFSET(ORÇAMENTO!$W$15,ROW(AB197)-ROW(AB$15),0),15-13*ORÇAMENTO!$AF$11)),0)</f>
        <v>0</v>
      </c>
      <c r="AC197" s="545">
        <f ca="1">IF(AND($D197="Serviço",AC$12&lt;&gt;0,$H197&gt;0,OR(AUTOEVENTO&lt;&gt;"manual",$M197&lt;&gt;1)),
IF(Import.TipoArredondamento&lt;&gt;"TransfereGOV",
ROUND(OFFSET($P197,0,AC$13),15-13*ORÇAMENTO!$AF$7)/$H197*OFFSET(ORÇAMENTO!$X$15,ROW(AC197)-ROW(AC$15),0),
ROUND(ROUND(OFFSET($P197,0,AC$13),15-13*ORÇAMENTO!$AF$7)*OFFSET(ORÇAMENTO!$W$15,ROW(AC197)-ROW(AC$15),0),15-13*ORÇAMENTO!$AF$11)),0)</f>
        <v>0</v>
      </c>
      <c r="AD197" s="545">
        <f ca="1">IF(AND($D197="Serviço",AD$12&lt;&gt;0,$H197&gt;0,OR(AUTOEVENTO&lt;&gt;"manual",$M197&lt;&gt;1)),
IF(Import.TipoArredondamento&lt;&gt;"TransfereGOV",
ROUND(OFFSET($P197,0,AD$13),15-13*ORÇAMENTO!$AF$7)/$H197*OFFSET(ORÇAMENTO!$X$15,ROW(AD197)-ROW(AD$15),0),
ROUND(ROUND(OFFSET($P197,0,AD$13),15-13*ORÇAMENTO!$AF$7)*OFFSET(ORÇAMENTO!$W$15,ROW(AD197)-ROW(AD$15),0),15-13*ORÇAMENTO!$AF$11)),0)</f>
        <v>0</v>
      </c>
      <c r="AE197" s="545">
        <f ca="1">IF(AND($D197="Serviço",AE$12&lt;&gt;0,$H197&gt;0,OR(AUTOEVENTO&lt;&gt;"manual",$M197&lt;&gt;1)),
IF(Import.TipoArredondamento&lt;&gt;"TransfereGOV",
ROUND(OFFSET($P197,0,AE$13),15-13*ORÇAMENTO!$AF$7)/$H197*OFFSET(ORÇAMENTO!$X$15,ROW(AE197)-ROW(AE$15),0),
ROUND(ROUND(OFFSET($P197,0,AE$13),15-13*ORÇAMENTO!$AF$7)*OFFSET(ORÇAMENTO!$W$15,ROW(AE197)-ROW(AE$15),0),15-13*ORÇAMENTO!$AF$11)),0)</f>
        <v>0</v>
      </c>
      <c r="AF197" s="545">
        <f ca="1">IF(AND($D197="Serviço",AF$12&lt;&gt;0,$H197&gt;0,OR(AUTOEVENTO&lt;&gt;"manual",$M197&lt;&gt;1)),
IF(Import.TipoArredondamento&lt;&gt;"TransfereGOV",
ROUND(OFFSET($P197,0,AF$13),15-13*ORÇAMENTO!$AF$7)/$H197*OFFSET(ORÇAMENTO!$X$15,ROW(AF197)-ROW(AF$15),0),
ROUND(ROUND(OFFSET($P197,0,AF$13),15-13*ORÇAMENTO!$AF$7)*OFFSET(ORÇAMENTO!$W$15,ROW(AF197)-ROW(AF$15),0),15-13*ORÇAMENTO!$AF$11)),0)</f>
        <v>0</v>
      </c>
      <c r="AG197" s="545">
        <f ca="1">IF(AND($D197="Serviço",AG$12&lt;&gt;0,$H197&gt;0,OR(AUTOEVENTO&lt;&gt;"manual",$M197&lt;&gt;1)),
IF(Import.TipoArredondamento&lt;&gt;"TransfereGOV",
ROUND(OFFSET($P197,0,AG$13),15-13*ORÇAMENTO!$AF$7)/$H197*OFFSET(ORÇAMENTO!$X$15,ROW(AG197)-ROW(AG$15),0),
ROUND(ROUND(OFFSET($P197,0,AG$13),15-13*ORÇAMENTO!$AF$7)*OFFSET(ORÇAMENTO!$W$15,ROW(AG197)-ROW(AG$15),0),15-13*ORÇAMENTO!$AF$11)),0)</f>
        <v>0</v>
      </c>
      <c r="AH197" s="545">
        <f ca="1">IF(AND($D197="Serviço",AH$12&lt;&gt;0,$H197&gt;0,OR(AUTOEVENTO&lt;&gt;"manual",$M197&lt;&gt;1)),
IF(Import.TipoArredondamento&lt;&gt;"TransfereGOV",
ROUND(OFFSET($P197,0,AH$13),15-13*ORÇAMENTO!$AF$7)/$H197*OFFSET(ORÇAMENTO!$X$15,ROW(AH197)-ROW(AH$15),0),
ROUND(ROUND(OFFSET($P197,0,AH$13),15-13*ORÇAMENTO!$AF$7)*OFFSET(ORÇAMENTO!$W$15,ROW(AH197)-ROW(AH$15),0),15-13*ORÇAMENTO!$AF$11)),0)</f>
        <v>0</v>
      </c>
      <c r="AI197" s="545">
        <f ca="1">IF(AND($D197="Serviço",AI$12&lt;&gt;0,$H197&gt;0,OR(AUTOEVENTO&lt;&gt;"manual",$M197&lt;&gt;1)),
IF(Import.TipoArredondamento&lt;&gt;"TransfereGOV",
ROUND(OFFSET($P197,0,AI$13),15-13*ORÇAMENTO!$AF$7)/$H197*OFFSET(ORÇAMENTO!$X$15,ROW(AI197)-ROW(AI$15),0),
ROUND(ROUND(OFFSET($P197,0,AI$13),15-13*ORÇAMENTO!$AF$7)*OFFSET(ORÇAMENTO!$W$15,ROW(AI197)-ROW(AI$15),0),15-13*ORÇAMENTO!$AF$11)),0)</f>
        <v>0</v>
      </c>
      <c r="AJ197" s="545">
        <f ca="1">IF(AND($D197="Serviço",AJ$12&lt;&gt;0,$H197&gt;0,OR(AUTOEVENTO&lt;&gt;"manual",$M197&lt;&gt;1)),
IF(Import.TipoArredondamento&lt;&gt;"TransfereGOV",
ROUND(OFFSET($P197,0,AJ$13),15-13*ORÇAMENTO!$AF$7)/$H197*OFFSET(ORÇAMENTO!$X$15,ROW(AJ197)-ROW(AJ$15),0),
ROUND(ROUND(OFFSET($P197,0,AJ$13),15-13*ORÇAMENTO!$AF$7)*OFFSET(ORÇAMENTO!$W$15,ROW(AJ197)-ROW(AJ$15),0),15-13*ORÇAMENTO!$AF$11)),0)</f>
        <v>0</v>
      </c>
      <c r="AK197" s="546">
        <f ca="1">IF(AND($D197="Serviço",AK$12&lt;&gt;0,$H197&gt;0,OR(AUTOEVENTO&lt;&gt;"manual",$M197&lt;&gt;1)),
IF(Import.TipoArredondamento&lt;&gt;"TransfereGOV",
ROUND(OFFSET($P197,0,AK$13),15-13*ORÇAMENTO!$AF$7)/$H197*OFFSET(ORÇAMENTO!$X$15,ROW(AK197)-ROW(AK$15),0),
ROUND(ROUND(OFFSET($P197,0,AK$13),15-13*ORÇAMENTO!$AF$7)*OFFSET(ORÇAMENTO!$W$15,ROW(AK197)-ROW(AK$15),0),15-13*ORÇAMENTO!$AF$11)),0)</f>
        <v>0</v>
      </c>
      <c r="AM197" s="181">
        <f ca="1">IF($D197&lt;&gt;"Serviço",0,IF(AND(AUTOEVENTO="Manual",$M197=1),0,IF(OFFSET(CRONOPLE!$F$14,$M197,AM$13)="",10^12,OFFSET(CRONOPLE!$F$14,$M197,AM$13))))</f>
        <v>1000000000000</v>
      </c>
      <c r="AN197" s="181">
        <f ca="1">IF($D197&lt;&gt;"Serviço",0,IF(AND(AUTOEVENTO="Manual",$M197=1),0,IF(OFFSET(CRONOPLE!$F$14,$M197,AN$13)="",10^12,OFFSET(CRONOPLE!$F$14,$M197,AN$13))))</f>
        <v>1000000000000</v>
      </c>
      <c r="AO197" s="181">
        <f ca="1">IF($D197&lt;&gt;"Serviço",0,IF(AND(AUTOEVENTO="Manual",$M197=1),0,IF(OFFSET(CRONOPLE!$F$14,$M197,AO$13)="",10^12,OFFSET(CRONOPLE!$F$14,$M197,AO$13))))</f>
        <v>1000000000000</v>
      </c>
      <c r="AP197" s="181">
        <f ca="1">IF($D197&lt;&gt;"Serviço",0,IF(AND(AUTOEVENTO="Manual",$M197=1),0,IF(OFFSET(CRONOPLE!$F$14,$M197,AP$13)="",10^12,OFFSET(CRONOPLE!$F$14,$M197,AP$13))))</f>
        <v>1000000000000</v>
      </c>
      <c r="AQ197" s="181">
        <f ca="1">IF($D197&lt;&gt;"Serviço",0,IF(AND(AUTOEVENTO="Manual",$M197=1),0,IF(OFFSET(CRONOPLE!$F$14,$M197,AQ$13)="",10^12,OFFSET(CRONOPLE!$F$14,$M197,AQ$13))))</f>
        <v>1000000000000</v>
      </c>
      <c r="AR197" s="181">
        <f ca="1">IF($D197&lt;&gt;"Serviço",0,IF(AND(AUTOEVENTO="Manual",$M197=1),0,IF(OFFSET(CRONOPLE!$F$14,$M197,AR$13)="",10^12,OFFSET(CRONOPLE!$F$14,$M197,AR$13))))</f>
        <v>1000000000000</v>
      </c>
      <c r="AS197" s="181">
        <f ca="1">IF($D197&lt;&gt;"Serviço",0,IF(AND(AUTOEVENTO="Manual",$M197=1),0,IF(OFFSET(CRONOPLE!$F$14,$M197,AS$13)="",10^12,OFFSET(CRONOPLE!$F$14,$M197,AS$13))))</f>
        <v>1000000000000</v>
      </c>
      <c r="AT197" s="181">
        <f ca="1">IF($D197&lt;&gt;"Serviço",0,IF(AND(AUTOEVENTO="Manual",$M197=1),0,IF(OFFSET(CRONOPLE!$F$14,$M197,AT$13)="",10^12,OFFSET(CRONOPLE!$F$14,$M197,AT$13))))</f>
        <v>1000000000000</v>
      </c>
      <c r="AU197" s="181">
        <f ca="1">IF($D197&lt;&gt;"Serviço",0,IF(AND(AUTOEVENTO="Manual",$M197=1),0,IF(OFFSET(CRONOPLE!$F$14,$M197,AU$13)="",10^12,OFFSET(CRONOPLE!$F$14,$M197,AU$13))))</f>
        <v>1000000000000</v>
      </c>
      <c r="AV197" s="181">
        <f ca="1">IF($D197&lt;&gt;"Serviço",0,IF(AND(AUTOEVENTO="Manual",$M197=1),0,IF(OFFSET(CRONOPLE!$F$14,$M197,AV$13)="",10^12,OFFSET(CRONOPLE!$F$14,$M197,AV$13))))</f>
        <v>1000000000000</v>
      </c>
      <c r="AX197" s="182">
        <f ca="1">IF($D197&lt;&gt;"Serviço",0,IF(OR(AND(AUTOEVENTO="Manual",$M197=1),$M197&gt;(ROW(PLE.lastrow)-ROW(PLE.firstrow))),0,IF(OFFSET(PLE!$G$14,$M197,AX$13)="",10^12,OFFSET(PLE!$G$14,$M197,AX$13))))</f>
        <v>1000000000000</v>
      </c>
      <c r="AY197" s="182">
        <f ca="1">IF($D197&lt;&gt;"Serviço",0,IF(OR(AND(AUTOEVENTO="Manual",$M197=1),$M197&gt;(ROW(PLE.lastrow)-ROW(PLE.firstrow))),0,IF(OFFSET(PLE!$G$14,$M197,AY$13)="",10^12,OFFSET(PLE!$G$14,$M197,AY$13))))</f>
        <v>1000000000000</v>
      </c>
      <c r="AZ197" s="182">
        <f ca="1">IF($D197&lt;&gt;"Serviço",0,IF(OR(AND(AUTOEVENTO="Manual",$M197=1),$M197&gt;(ROW(PLE.lastrow)-ROW(PLE.firstrow))),0,IF(OFFSET(PLE!$G$14,$M197,AZ$13)="",10^12,OFFSET(PLE!$G$14,$M197,AZ$13))))</f>
        <v>1000000000000</v>
      </c>
      <c r="BA197" s="182">
        <f ca="1">IF($D197&lt;&gt;"Serviço",0,IF(OR(AND(AUTOEVENTO="Manual",$M197=1),$M197&gt;(ROW(PLE.lastrow)-ROW(PLE.firstrow))),0,IF(OFFSET(PLE!$G$14,$M197,BA$13)="",10^12,OFFSET(PLE!$G$14,$M197,BA$13))))</f>
        <v>1000000000000</v>
      </c>
      <c r="BB197" s="182">
        <f ca="1">IF($D197&lt;&gt;"Serviço",0,IF(OR(AND(AUTOEVENTO="Manual",$M197=1),$M197&gt;(ROW(PLE.lastrow)-ROW(PLE.firstrow))),0,IF(OFFSET(PLE!$G$14,$M197,BB$13)="",10^12,OFFSET(PLE!$G$14,$M197,BB$13))))</f>
        <v>1000000000000</v>
      </c>
      <c r="BC197" s="182">
        <f ca="1">IF($D197&lt;&gt;"Serviço",0,IF(OR(AND(AUTOEVENTO="Manual",$M197=1),$M197&gt;(ROW(PLE.lastrow)-ROW(PLE.firstrow))),0,IF(OFFSET(PLE!$G$14,$M197,BC$13)="",10^12,OFFSET(PLE!$G$14,$M197,BC$13))))</f>
        <v>1000000000000</v>
      </c>
      <c r="BD197" s="182">
        <f ca="1">IF($D197&lt;&gt;"Serviço",0,IF(OR(AND(AUTOEVENTO="Manual",$M197=1),$M197&gt;(ROW(PLE.lastrow)-ROW(PLE.firstrow))),0,IF(OFFSET(PLE!$G$14,$M197,BD$13)="",10^12,OFFSET(PLE!$G$14,$M197,BD$13))))</f>
        <v>1000000000000</v>
      </c>
      <c r="BE197" s="182">
        <f ca="1">IF($D197&lt;&gt;"Serviço",0,IF(OR(AND(AUTOEVENTO="Manual",$M197=1),$M197&gt;(ROW(PLE.lastrow)-ROW(PLE.firstrow))),0,IF(OFFSET(PLE!$G$14,$M197,BE$13)="",10^12,OFFSET(PLE!$G$14,$M197,BE$13))))</f>
        <v>1000000000000</v>
      </c>
      <c r="BF197" s="182">
        <f ca="1">IF($D197&lt;&gt;"Serviço",0,IF(OR(AND(AUTOEVENTO="Manual",$M197=1),$M197&gt;(ROW(PLE.lastrow)-ROW(PLE.firstrow))),0,IF(OFFSET(PLE!$G$14,$M197,BF$13)="",10^12,OFFSET(PLE!$G$14,$M197,BF$13))))</f>
        <v>1000000000000</v>
      </c>
      <c r="BG197" s="182">
        <f ca="1">IF($D197&lt;&gt;"Serviço",0,IF(OR(AND(AUTOEVENTO="Manual",$M197=1),$M197&gt;(ROW(PLE.lastrow)-ROW(PLE.firstrow))),0,IF(OFFSET(PLE!$G$14,$M197,BG$13)="",10^12,OFFSET(PLE!$G$14,$M197,BG$13))))</f>
        <v>1000000000000</v>
      </c>
    </row>
    <row r="198" spans="1:59" ht="38.25" x14ac:dyDescent="0.2">
      <c r="A198" s="7" t="str">
        <f t="shared" ca="1" si="10"/>
        <v>175</v>
      </c>
      <c r="B198" s="7" t="str">
        <f ca="1">OFFSET(ORÇAMENTO!C$15,ROW(B198)-ROW(B$15),0)</f>
        <v>S</v>
      </c>
      <c r="C198" s="7" t="str">
        <f ca="1">OFFSET(ORÇAMENTO!L$15,ROW(C198)-ROW(C$15),0)</f>
        <v/>
      </c>
      <c r="D198" s="118" t="str">
        <f ca="1">OFFSET(ORÇAMENTO!N$15,ROW(D198)-ROW(D$15),0)</f>
        <v>Serviço</v>
      </c>
      <c r="E198" s="119" t="str">
        <f ca="1">OFFSET(ORÇAMENTO!O$15,ROW(E198)-ROW(E$15),0)</f>
        <v>-</v>
      </c>
      <c r="F198" s="172" t="str">
        <f ca="1">OFFSET(ORÇAMENTO!R$15,ROW(F198)-ROW(F$15),0)</f>
        <v>(abra o arquivo 'Referência 02-2025.xlsm)</v>
      </c>
      <c r="G198" s="173" t="str">
        <f ca="1">IF($D198&lt;&gt;"Serviço","",OFFSET(ORÇAMENTO!S$15,ROW(G198)-ROW(G$15),0))</f>
        <v>-</v>
      </c>
      <c r="H198" s="124">
        <f ca="1">IF($D198&lt;&gt;"Serviço",0,IF(ACOMPANHAMENTO="BM",ROUND(OFFSET(ORÇAMENTO!AJ$15,ROW(H198)-ROW(H$15),0),15-13*ORÇAMENTO!$AF$7),SUMPRODUCT(($Q$12:$AA$12&lt;&gt;"")*ROUND($Q198:$AA198,15-13*ORÇAMENTO!$AF$7))))</f>
        <v>139.66999999999999</v>
      </c>
      <c r="I198" s="561" t="s">
        <v>890</v>
      </c>
      <c r="K198" s="174"/>
      <c r="L198" s="175" t="s">
        <v>255</v>
      </c>
      <c r="M198" s="176">
        <f ca="1">IF($D198&lt;&gt;"Serviço","",IF(AUTOEVENTO="manual",$A198,IF(ISERROR(MATCH($A198,$A$15:OFFSET($A198,-1,0),0)),MAX($M$15:OFFSET(M198,-1,0))+1,INDEX($M$15:OFFSET(M198,-1,0),MATCH($A198,$A$15:OFFSET($A198,-1,0),0)))))</f>
        <v>10</v>
      </c>
      <c r="N198" s="177" t="str">
        <f ca="1">IF($D198&lt;&gt;"Serviço","",IF(AUTOEVENTO="Manual",IF($A198=0,"&lt;-- defina o número do agrupador",OFFSET(EVENTOS!$D$14,$A198,0)),OFFSET($F$15,$A198,0)))</f>
        <v>REVESTIMENTOS INTERNO E EXTERNO</v>
      </c>
      <c r="O198" s="178"/>
      <c r="Q198" s="178"/>
      <c r="R198" s="179"/>
      <c r="S198" s="179"/>
      <c r="T198" s="179"/>
      <c r="U198" s="179"/>
      <c r="V198" s="179"/>
      <c r="W198" s="179"/>
      <c r="X198" s="179"/>
      <c r="Y198" s="179"/>
      <c r="Z198" s="180"/>
      <c r="AB198" s="544">
        <f ca="1">IF(AND($D198="Serviço",AB$12&lt;&gt;0,$H198&gt;0,OR(AUTOEVENTO&lt;&gt;"manual",$M198&lt;&gt;1)),
IF(Import.TipoArredondamento&lt;&gt;"TransfereGOV",
ROUND(OFFSET($P198,0,AB$13),15-13*ORÇAMENTO!$AF$7)/$H198*OFFSET(ORÇAMENTO!$X$15,ROW(AB198)-ROW(AB$15),0),
ROUND(ROUND(OFFSET($P198,0,AB$13),15-13*ORÇAMENTO!$AF$7)*OFFSET(ORÇAMENTO!$W$15,ROW(AB198)-ROW(AB$15),0),15-13*ORÇAMENTO!$AF$11)),0)</f>
        <v>0</v>
      </c>
      <c r="AC198" s="545">
        <f ca="1">IF(AND($D198="Serviço",AC$12&lt;&gt;0,$H198&gt;0,OR(AUTOEVENTO&lt;&gt;"manual",$M198&lt;&gt;1)),
IF(Import.TipoArredondamento&lt;&gt;"TransfereGOV",
ROUND(OFFSET($P198,0,AC$13),15-13*ORÇAMENTO!$AF$7)/$H198*OFFSET(ORÇAMENTO!$X$15,ROW(AC198)-ROW(AC$15),0),
ROUND(ROUND(OFFSET($P198,0,AC$13),15-13*ORÇAMENTO!$AF$7)*OFFSET(ORÇAMENTO!$W$15,ROW(AC198)-ROW(AC$15),0),15-13*ORÇAMENTO!$AF$11)),0)</f>
        <v>0</v>
      </c>
      <c r="AD198" s="545">
        <f ca="1">IF(AND($D198="Serviço",AD$12&lt;&gt;0,$H198&gt;0,OR(AUTOEVENTO&lt;&gt;"manual",$M198&lt;&gt;1)),
IF(Import.TipoArredondamento&lt;&gt;"TransfereGOV",
ROUND(OFFSET($P198,0,AD$13),15-13*ORÇAMENTO!$AF$7)/$H198*OFFSET(ORÇAMENTO!$X$15,ROW(AD198)-ROW(AD$15),0),
ROUND(ROUND(OFFSET($P198,0,AD$13),15-13*ORÇAMENTO!$AF$7)*OFFSET(ORÇAMENTO!$W$15,ROW(AD198)-ROW(AD$15),0),15-13*ORÇAMENTO!$AF$11)),0)</f>
        <v>0</v>
      </c>
      <c r="AE198" s="545">
        <f ca="1">IF(AND($D198="Serviço",AE$12&lt;&gt;0,$H198&gt;0,OR(AUTOEVENTO&lt;&gt;"manual",$M198&lt;&gt;1)),
IF(Import.TipoArredondamento&lt;&gt;"TransfereGOV",
ROUND(OFFSET($P198,0,AE$13),15-13*ORÇAMENTO!$AF$7)/$H198*OFFSET(ORÇAMENTO!$X$15,ROW(AE198)-ROW(AE$15),0),
ROUND(ROUND(OFFSET($P198,0,AE$13),15-13*ORÇAMENTO!$AF$7)*OFFSET(ORÇAMENTO!$W$15,ROW(AE198)-ROW(AE$15),0),15-13*ORÇAMENTO!$AF$11)),0)</f>
        <v>0</v>
      </c>
      <c r="AF198" s="545">
        <f ca="1">IF(AND($D198="Serviço",AF$12&lt;&gt;0,$H198&gt;0,OR(AUTOEVENTO&lt;&gt;"manual",$M198&lt;&gt;1)),
IF(Import.TipoArredondamento&lt;&gt;"TransfereGOV",
ROUND(OFFSET($P198,0,AF$13),15-13*ORÇAMENTO!$AF$7)/$H198*OFFSET(ORÇAMENTO!$X$15,ROW(AF198)-ROW(AF$15),0),
ROUND(ROUND(OFFSET($P198,0,AF$13),15-13*ORÇAMENTO!$AF$7)*OFFSET(ORÇAMENTO!$W$15,ROW(AF198)-ROW(AF$15),0),15-13*ORÇAMENTO!$AF$11)),0)</f>
        <v>0</v>
      </c>
      <c r="AG198" s="545">
        <f ca="1">IF(AND($D198="Serviço",AG$12&lt;&gt;0,$H198&gt;0,OR(AUTOEVENTO&lt;&gt;"manual",$M198&lt;&gt;1)),
IF(Import.TipoArredondamento&lt;&gt;"TransfereGOV",
ROUND(OFFSET($P198,0,AG$13),15-13*ORÇAMENTO!$AF$7)/$H198*OFFSET(ORÇAMENTO!$X$15,ROW(AG198)-ROW(AG$15),0),
ROUND(ROUND(OFFSET($P198,0,AG$13),15-13*ORÇAMENTO!$AF$7)*OFFSET(ORÇAMENTO!$W$15,ROW(AG198)-ROW(AG$15),0),15-13*ORÇAMENTO!$AF$11)),0)</f>
        <v>0</v>
      </c>
      <c r="AH198" s="545">
        <f ca="1">IF(AND($D198="Serviço",AH$12&lt;&gt;0,$H198&gt;0,OR(AUTOEVENTO&lt;&gt;"manual",$M198&lt;&gt;1)),
IF(Import.TipoArredondamento&lt;&gt;"TransfereGOV",
ROUND(OFFSET($P198,0,AH$13),15-13*ORÇAMENTO!$AF$7)/$H198*OFFSET(ORÇAMENTO!$X$15,ROW(AH198)-ROW(AH$15),0),
ROUND(ROUND(OFFSET($P198,0,AH$13),15-13*ORÇAMENTO!$AF$7)*OFFSET(ORÇAMENTO!$W$15,ROW(AH198)-ROW(AH$15),0),15-13*ORÇAMENTO!$AF$11)),0)</f>
        <v>0</v>
      </c>
      <c r="AI198" s="545">
        <f ca="1">IF(AND($D198="Serviço",AI$12&lt;&gt;0,$H198&gt;0,OR(AUTOEVENTO&lt;&gt;"manual",$M198&lt;&gt;1)),
IF(Import.TipoArredondamento&lt;&gt;"TransfereGOV",
ROUND(OFFSET($P198,0,AI$13),15-13*ORÇAMENTO!$AF$7)/$H198*OFFSET(ORÇAMENTO!$X$15,ROW(AI198)-ROW(AI$15),0),
ROUND(ROUND(OFFSET($P198,0,AI$13),15-13*ORÇAMENTO!$AF$7)*OFFSET(ORÇAMENTO!$W$15,ROW(AI198)-ROW(AI$15),0),15-13*ORÇAMENTO!$AF$11)),0)</f>
        <v>0</v>
      </c>
      <c r="AJ198" s="545">
        <f ca="1">IF(AND($D198="Serviço",AJ$12&lt;&gt;0,$H198&gt;0,OR(AUTOEVENTO&lt;&gt;"manual",$M198&lt;&gt;1)),
IF(Import.TipoArredondamento&lt;&gt;"TransfereGOV",
ROUND(OFFSET($P198,0,AJ$13),15-13*ORÇAMENTO!$AF$7)/$H198*OFFSET(ORÇAMENTO!$X$15,ROW(AJ198)-ROW(AJ$15),0),
ROUND(ROUND(OFFSET($P198,0,AJ$13),15-13*ORÇAMENTO!$AF$7)*OFFSET(ORÇAMENTO!$W$15,ROW(AJ198)-ROW(AJ$15),0),15-13*ORÇAMENTO!$AF$11)),0)</f>
        <v>0</v>
      </c>
      <c r="AK198" s="546">
        <f ca="1">IF(AND($D198="Serviço",AK$12&lt;&gt;0,$H198&gt;0,OR(AUTOEVENTO&lt;&gt;"manual",$M198&lt;&gt;1)),
IF(Import.TipoArredondamento&lt;&gt;"TransfereGOV",
ROUND(OFFSET($P198,0,AK$13),15-13*ORÇAMENTO!$AF$7)/$H198*OFFSET(ORÇAMENTO!$X$15,ROW(AK198)-ROW(AK$15),0),
ROUND(ROUND(OFFSET($P198,0,AK$13),15-13*ORÇAMENTO!$AF$7)*OFFSET(ORÇAMENTO!$W$15,ROW(AK198)-ROW(AK$15),0),15-13*ORÇAMENTO!$AF$11)),0)</f>
        <v>0</v>
      </c>
      <c r="AM198" s="181">
        <f ca="1">IF($D198&lt;&gt;"Serviço",0,IF(AND(AUTOEVENTO="Manual",$M198=1),0,IF(OFFSET(CRONOPLE!$F$14,$M198,AM$13)="",10^12,OFFSET(CRONOPLE!$F$14,$M198,AM$13))))</f>
        <v>1000000000000</v>
      </c>
      <c r="AN198" s="181">
        <f ca="1">IF($D198&lt;&gt;"Serviço",0,IF(AND(AUTOEVENTO="Manual",$M198=1),0,IF(OFFSET(CRONOPLE!$F$14,$M198,AN$13)="",10^12,OFFSET(CRONOPLE!$F$14,$M198,AN$13))))</f>
        <v>1000000000000</v>
      </c>
      <c r="AO198" s="181">
        <f ca="1">IF($D198&lt;&gt;"Serviço",0,IF(AND(AUTOEVENTO="Manual",$M198=1),0,IF(OFFSET(CRONOPLE!$F$14,$M198,AO$13)="",10^12,OFFSET(CRONOPLE!$F$14,$M198,AO$13))))</f>
        <v>1000000000000</v>
      </c>
      <c r="AP198" s="181">
        <f ca="1">IF($D198&lt;&gt;"Serviço",0,IF(AND(AUTOEVENTO="Manual",$M198=1),0,IF(OFFSET(CRONOPLE!$F$14,$M198,AP$13)="",10^12,OFFSET(CRONOPLE!$F$14,$M198,AP$13))))</f>
        <v>1000000000000</v>
      </c>
      <c r="AQ198" s="181">
        <f ca="1">IF($D198&lt;&gt;"Serviço",0,IF(AND(AUTOEVENTO="Manual",$M198=1),0,IF(OFFSET(CRONOPLE!$F$14,$M198,AQ$13)="",10^12,OFFSET(CRONOPLE!$F$14,$M198,AQ$13))))</f>
        <v>1000000000000</v>
      </c>
      <c r="AR198" s="181">
        <f ca="1">IF($D198&lt;&gt;"Serviço",0,IF(AND(AUTOEVENTO="Manual",$M198=1),0,IF(OFFSET(CRONOPLE!$F$14,$M198,AR$13)="",10^12,OFFSET(CRONOPLE!$F$14,$M198,AR$13))))</f>
        <v>1000000000000</v>
      </c>
      <c r="AS198" s="181">
        <f ca="1">IF($D198&lt;&gt;"Serviço",0,IF(AND(AUTOEVENTO="Manual",$M198=1),0,IF(OFFSET(CRONOPLE!$F$14,$M198,AS$13)="",10^12,OFFSET(CRONOPLE!$F$14,$M198,AS$13))))</f>
        <v>1000000000000</v>
      </c>
      <c r="AT198" s="181">
        <f ca="1">IF($D198&lt;&gt;"Serviço",0,IF(AND(AUTOEVENTO="Manual",$M198=1),0,IF(OFFSET(CRONOPLE!$F$14,$M198,AT$13)="",10^12,OFFSET(CRONOPLE!$F$14,$M198,AT$13))))</f>
        <v>1000000000000</v>
      </c>
      <c r="AU198" s="181">
        <f ca="1">IF($D198&lt;&gt;"Serviço",0,IF(AND(AUTOEVENTO="Manual",$M198=1),0,IF(OFFSET(CRONOPLE!$F$14,$M198,AU$13)="",10^12,OFFSET(CRONOPLE!$F$14,$M198,AU$13))))</f>
        <v>1000000000000</v>
      </c>
      <c r="AV198" s="181">
        <f ca="1">IF($D198&lt;&gt;"Serviço",0,IF(AND(AUTOEVENTO="Manual",$M198=1),0,IF(OFFSET(CRONOPLE!$F$14,$M198,AV$13)="",10^12,OFFSET(CRONOPLE!$F$14,$M198,AV$13))))</f>
        <v>1000000000000</v>
      </c>
      <c r="AX198" s="182">
        <f ca="1">IF($D198&lt;&gt;"Serviço",0,IF(OR(AND(AUTOEVENTO="Manual",$M198=1),$M198&gt;(ROW(PLE.lastrow)-ROW(PLE.firstrow))),0,IF(OFFSET(PLE!$G$14,$M198,AX$13)="",10^12,OFFSET(PLE!$G$14,$M198,AX$13))))</f>
        <v>1000000000000</v>
      </c>
      <c r="AY198" s="182">
        <f ca="1">IF($D198&lt;&gt;"Serviço",0,IF(OR(AND(AUTOEVENTO="Manual",$M198=1),$M198&gt;(ROW(PLE.lastrow)-ROW(PLE.firstrow))),0,IF(OFFSET(PLE!$G$14,$M198,AY$13)="",10^12,OFFSET(PLE!$G$14,$M198,AY$13))))</f>
        <v>1000000000000</v>
      </c>
      <c r="AZ198" s="182">
        <f ca="1">IF($D198&lt;&gt;"Serviço",0,IF(OR(AND(AUTOEVENTO="Manual",$M198=1),$M198&gt;(ROW(PLE.lastrow)-ROW(PLE.firstrow))),0,IF(OFFSET(PLE!$G$14,$M198,AZ$13)="",10^12,OFFSET(PLE!$G$14,$M198,AZ$13))))</f>
        <v>1000000000000</v>
      </c>
      <c r="BA198" s="182">
        <f ca="1">IF($D198&lt;&gt;"Serviço",0,IF(OR(AND(AUTOEVENTO="Manual",$M198=1),$M198&gt;(ROW(PLE.lastrow)-ROW(PLE.firstrow))),0,IF(OFFSET(PLE!$G$14,$M198,BA$13)="",10^12,OFFSET(PLE!$G$14,$M198,BA$13))))</f>
        <v>1000000000000</v>
      </c>
      <c r="BB198" s="182">
        <f ca="1">IF($D198&lt;&gt;"Serviço",0,IF(OR(AND(AUTOEVENTO="Manual",$M198=1),$M198&gt;(ROW(PLE.lastrow)-ROW(PLE.firstrow))),0,IF(OFFSET(PLE!$G$14,$M198,BB$13)="",10^12,OFFSET(PLE!$G$14,$M198,BB$13))))</f>
        <v>1000000000000</v>
      </c>
      <c r="BC198" s="182">
        <f ca="1">IF($D198&lt;&gt;"Serviço",0,IF(OR(AND(AUTOEVENTO="Manual",$M198=1),$M198&gt;(ROW(PLE.lastrow)-ROW(PLE.firstrow))),0,IF(OFFSET(PLE!$G$14,$M198,BC$13)="",10^12,OFFSET(PLE!$G$14,$M198,BC$13))))</f>
        <v>1000000000000</v>
      </c>
      <c r="BD198" s="182">
        <f ca="1">IF($D198&lt;&gt;"Serviço",0,IF(OR(AND(AUTOEVENTO="Manual",$M198=1),$M198&gt;(ROW(PLE.lastrow)-ROW(PLE.firstrow))),0,IF(OFFSET(PLE!$G$14,$M198,BD$13)="",10^12,OFFSET(PLE!$G$14,$M198,BD$13))))</f>
        <v>1000000000000</v>
      </c>
      <c r="BE198" s="182">
        <f ca="1">IF($D198&lt;&gt;"Serviço",0,IF(OR(AND(AUTOEVENTO="Manual",$M198=1),$M198&gt;(ROW(PLE.lastrow)-ROW(PLE.firstrow))),0,IF(OFFSET(PLE!$G$14,$M198,BE$13)="",10^12,OFFSET(PLE!$G$14,$M198,BE$13))))</f>
        <v>1000000000000</v>
      </c>
      <c r="BF198" s="182">
        <f ca="1">IF($D198&lt;&gt;"Serviço",0,IF(OR(AND(AUTOEVENTO="Manual",$M198=1),$M198&gt;(ROW(PLE.lastrow)-ROW(PLE.firstrow))),0,IF(OFFSET(PLE!$G$14,$M198,BF$13)="",10^12,OFFSET(PLE!$G$14,$M198,BF$13))))</f>
        <v>1000000000000</v>
      </c>
      <c r="BG198" s="182">
        <f ca="1">IF($D198&lt;&gt;"Serviço",0,IF(OR(AND(AUTOEVENTO="Manual",$M198=1),$M198&gt;(ROW(PLE.lastrow)-ROW(PLE.firstrow))),0,IF(OFFSET(PLE!$G$14,$M198,BG$13)="",10^12,OFFSET(PLE!$G$14,$M198,BG$13))))</f>
        <v>1000000000000</v>
      </c>
    </row>
    <row r="199" spans="1:59" ht="38.25" x14ac:dyDescent="0.2">
      <c r="A199" s="7" t="str">
        <f t="shared" ca="1" si="10"/>
        <v>175</v>
      </c>
      <c r="B199" s="7" t="str">
        <f ca="1">OFFSET(ORÇAMENTO!C$15,ROW(B199)-ROW(B$15),0)</f>
        <v>S</v>
      </c>
      <c r="C199" s="7" t="str">
        <f ca="1">OFFSET(ORÇAMENTO!L$15,ROW(C199)-ROW(C$15),0)</f>
        <v/>
      </c>
      <c r="D199" s="118" t="str">
        <f ca="1">OFFSET(ORÇAMENTO!N$15,ROW(D199)-ROW(D$15),0)</f>
        <v>Serviço</v>
      </c>
      <c r="E199" s="119" t="str">
        <f ca="1">OFFSET(ORÇAMENTO!O$15,ROW(E199)-ROW(E$15),0)</f>
        <v>-</v>
      </c>
      <c r="F199" s="172" t="str">
        <f ca="1">OFFSET(ORÇAMENTO!R$15,ROW(F199)-ROW(F$15),0)</f>
        <v>(abra o arquivo 'Referência 02-2025.xlsm)</v>
      </c>
      <c r="G199" s="173" t="str">
        <f ca="1">IF($D199&lt;&gt;"Serviço","",OFFSET(ORÇAMENTO!S$15,ROW(G199)-ROW(G$15),0))</f>
        <v>-</v>
      </c>
      <c r="H199" s="124">
        <f ca="1">IF($D199&lt;&gt;"Serviço",0,IF(ACOMPANHAMENTO="BM",ROUND(OFFSET(ORÇAMENTO!AJ$15,ROW(H199)-ROW(H$15),0),15-13*ORÇAMENTO!$AF$7),SUMPRODUCT(($Q$12:$AA$12&lt;&gt;"")*ROUND($Q199:$AA199,15-13*ORÇAMENTO!$AF$7))))</f>
        <v>8.4600000000000009</v>
      </c>
      <c r="I199" s="561" t="s">
        <v>890</v>
      </c>
      <c r="K199" s="174"/>
      <c r="L199" s="175" t="s">
        <v>255</v>
      </c>
      <c r="M199" s="176">
        <f ca="1">IF($D199&lt;&gt;"Serviço","",IF(AUTOEVENTO="manual",$A199,IF(ISERROR(MATCH($A199,$A$15:OFFSET($A199,-1,0),0)),MAX($M$15:OFFSET(M199,-1,0))+1,INDEX($M$15:OFFSET(M199,-1,0),MATCH($A199,$A$15:OFFSET($A199,-1,0),0)))))</f>
        <v>10</v>
      </c>
      <c r="N199" s="177" t="str">
        <f ca="1">IF($D199&lt;&gt;"Serviço","",IF(AUTOEVENTO="Manual",IF($A199=0,"&lt;-- defina o número do agrupador",OFFSET(EVENTOS!$D$14,$A199,0)),OFFSET($F$15,$A199,0)))</f>
        <v>REVESTIMENTOS INTERNO E EXTERNO</v>
      </c>
      <c r="O199" s="178"/>
      <c r="Q199" s="178"/>
      <c r="R199" s="179"/>
      <c r="S199" s="179"/>
      <c r="T199" s="179"/>
      <c r="U199" s="179"/>
      <c r="V199" s="179"/>
      <c r="W199" s="179"/>
      <c r="X199" s="179"/>
      <c r="Y199" s="179"/>
      <c r="Z199" s="180"/>
      <c r="AB199" s="544">
        <f ca="1">IF(AND($D199="Serviço",AB$12&lt;&gt;0,$H199&gt;0,OR(AUTOEVENTO&lt;&gt;"manual",$M199&lt;&gt;1)),
IF(Import.TipoArredondamento&lt;&gt;"TransfereGOV",
ROUND(OFFSET($P199,0,AB$13),15-13*ORÇAMENTO!$AF$7)/$H199*OFFSET(ORÇAMENTO!$X$15,ROW(AB199)-ROW(AB$15),0),
ROUND(ROUND(OFFSET($P199,0,AB$13),15-13*ORÇAMENTO!$AF$7)*OFFSET(ORÇAMENTO!$W$15,ROW(AB199)-ROW(AB$15),0),15-13*ORÇAMENTO!$AF$11)),0)</f>
        <v>0</v>
      </c>
      <c r="AC199" s="545">
        <f ca="1">IF(AND($D199="Serviço",AC$12&lt;&gt;0,$H199&gt;0,OR(AUTOEVENTO&lt;&gt;"manual",$M199&lt;&gt;1)),
IF(Import.TipoArredondamento&lt;&gt;"TransfereGOV",
ROUND(OFFSET($P199,0,AC$13),15-13*ORÇAMENTO!$AF$7)/$H199*OFFSET(ORÇAMENTO!$X$15,ROW(AC199)-ROW(AC$15),0),
ROUND(ROUND(OFFSET($P199,0,AC$13),15-13*ORÇAMENTO!$AF$7)*OFFSET(ORÇAMENTO!$W$15,ROW(AC199)-ROW(AC$15),0),15-13*ORÇAMENTO!$AF$11)),0)</f>
        <v>0</v>
      </c>
      <c r="AD199" s="545">
        <f ca="1">IF(AND($D199="Serviço",AD$12&lt;&gt;0,$H199&gt;0,OR(AUTOEVENTO&lt;&gt;"manual",$M199&lt;&gt;1)),
IF(Import.TipoArredondamento&lt;&gt;"TransfereGOV",
ROUND(OFFSET($P199,0,AD$13),15-13*ORÇAMENTO!$AF$7)/$H199*OFFSET(ORÇAMENTO!$X$15,ROW(AD199)-ROW(AD$15),0),
ROUND(ROUND(OFFSET($P199,0,AD$13),15-13*ORÇAMENTO!$AF$7)*OFFSET(ORÇAMENTO!$W$15,ROW(AD199)-ROW(AD$15),0),15-13*ORÇAMENTO!$AF$11)),0)</f>
        <v>0</v>
      </c>
      <c r="AE199" s="545">
        <f ca="1">IF(AND($D199="Serviço",AE$12&lt;&gt;0,$H199&gt;0,OR(AUTOEVENTO&lt;&gt;"manual",$M199&lt;&gt;1)),
IF(Import.TipoArredondamento&lt;&gt;"TransfereGOV",
ROUND(OFFSET($P199,0,AE$13),15-13*ORÇAMENTO!$AF$7)/$H199*OFFSET(ORÇAMENTO!$X$15,ROW(AE199)-ROW(AE$15),0),
ROUND(ROUND(OFFSET($P199,0,AE$13),15-13*ORÇAMENTO!$AF$7)*OFFSET(ORÇAMENTO!$W$15,ROW(AE199)-ROW(AE$15),0),15-13*ORÇAMENTO!$AF$11)),0)</f>
        <v>0</v>
      </c>
      <c r="AF199" s="545">
        <f ca="1">IF(AND($D199="Serviço",AF$12&lt;&gt;0,$H199&gt;0,OR(AUTOEVENTO&lt;&gt;"manual",$M199&lt;&gt;1)),
IF(Import.TipoArredondamento&lt;&gt;"TransfereGOV",
ROUND(OFFSET($P199,0,AF$13),15-13*ORÇAMENTO!$AF$7)/$H199*OFFSET(ORÇAMENTO!$X$15,ROW(AF199)-ROW(AF$15),0),
ROUND(ROUND(OFFSET($P199,0,AF$13),15-13*ORÇAMENTO!$AF$7)*OFFSET(ORÇAMENTO!$W$15,ROW(AF199)-ROW(AF$15),0),15-13*ORÇAMENTO!$AF$11)),0)</f>
        <v>0</v>
      </c>
      <c r="AG199" s="545">
        <f ca="1">IF(AND($D199="Serviço",AG$12&lt;&gt;0,$H199&gt;0,OR(AUTOEVENTO&lt;&gt;"manual",$M199&lt;&gt;1)),
IF(Import.TipoArredondamento&lt;&gt;"TransfereGOV",
ROUND(OFFSET($P199,0,AG$13),15-13*ORÇAMENTO!$AF$7)/$H199*OFFSET(ORÇAMENTO!$X$15,ROW(AG199)-ROW(AG$15),0),
ROUND(ROUND(OFFSET($P199,0,AG$13),15-13*ORÇAMENTO!$AF$7)*OFFSET(ORÇAMENTO!$W$15,ROW(AG199)-ROW(AG$15),0),15-13*ORÇAMENTO!$AF$11)),0)</f>
        <v>0</v>
      </c>
      <c r="AH199" s="545">
        <f ca="1">IF(AND($D199="Serviço",AH$12&lt;&gt;0,$H199&gt;0,OR(AUTOEVENTO&lt;&gt;"manual",$M199&lt;&gt;1)),
IF(Import.TipoArredondamento&lt;&gt;"TransfereGOV",
ROUND(OFFSET($P199,0,AH$13),15-13*ORÇAMENTO!$AF$7)/$H199*OFFSET(ORÇAMENTO!$X$15,ROW(AH199)-ROW(AH$15),0),
ROUND(ROUND(OFFSET($P199,0,AH$13),15-13*ORÇAMENTO!$AF$7)*OFFSET(ORÇAMENTO!$W$15,ROW(AH199)-ROW(AH$15),0),15-13*ORÇAMENTO!$AF$11)),0)</f>
        <v>0</v>
      </c>
      <c r="AI199" s="545">
        <f ca="1">IF(AND($D199="Serviço",AI$12&lt;&gt;0,$H199&gt;0,OR(AUTOEVENTO&lt;&gt;"manual",$M199&lt;&gt;1)),
IF(Import.TipoArredondamento&lt;&gt;"TransfereGOV",
ROUND(OFFSET($P199,0,AI$13),15-13*ORÇAMENTO!$AF$7)/$H199*OFFSET(ORÇAMENTO!$X$15,ROW(AI199)-ROW(AI$15),0),
ROUND(ROUND(OFFSET($P199,0,AI$13),15-13*ORÇAMENTO!$AF$7)*OFFSET(ORÇAMENTO!$W$15,ROW(AI199)-ROW(AI$15),0),15-13*ORÇAMENTO!$AF$11)),0)</f>
        <v>0</v>
      </c>
      <c r="AJ199" s="545">
        <f ca="1">IF(AND($D199="Serviço",AJ$12&lt;&gt;0,$H199&gt;0,OR(AUTOEVENTO&lt;&gt;"manual",$M199&lt;&gt;1)),
IF(Import.TipoArredondamento&lt;&gt;"TransfereGOV",
ROUND(OFFSET($P199,0,AJ$13),15-13*ORÇAMENTO!$AF$7)/$H199*OFFSET(ORÇAMENTO!$X$15,ROW(AJ199)-ROW(AJ$15),0),
ROUND(ROUND(OFFSET($P199,0,AJ$13),15-13*ORÇAMENTO!$AF$7)*OFFSET(ORÇAMENTO!$W$15,ROW(AJ199)-ROW(AJ$15),0),15-13*ORÇAMENTO!$AF$11)),0)</f>
        <v>0</v>
      </c>
      <c r="AK199" s="546">
        <f ca="1">IF(AND($D199="Serviço",AK$12&lt;&gt;0,$H199&gt;0,OR(AUTOEVENTO&lt;&gt;"manual",$M199&lt;&gt;1)),
IF(Import.TipoArredondamento&lt;&gt;"TransfereGOV",
ROUND(OFFSET($P199,0,AK$13),15-13*ORÇAMENTO!$AF$7)/$H199*OFFSET(ORÇAMENTO!$X$15,ROW(AK199)-ROW(AK$15),0),
ROUND(ROUND(OFFSET($P199,0,AK$13),15-13*ORÇAMENTO!$AF$7)*OFFSET(ORÇAMENTO!$W$15,ROW(AK199)-ROW(AK$15),0),15-13*ORÇAMENTO!$AF$11)),0)</f>
        <v>0</v>
      </c>
      <c r="AM199" s="181">
        <f ca="1">IF($D199&lt;&gt;"Serviço",0,IF(AND(AUTOEVENTO="Manual",$M199=1),0,IF(OFFSET(CRONOPLE!$F$14,$M199,AM$13)="",10^12,OFFSET(CRONOPLE!$F$14,$M199,AM$13))))</f>
        <v>1000000000000</v>
      </c>
      <c r="AN199" s="181">
        <f ca="1">IF($D199&lt;&gt;"Serviço",0,IF(AND(AUTOEVENTO="Manual",$M199=1),0,IF(OFFSET(CRONOPLE!$F$14,$M199,AN$13)="",10^12,OFFSET(CRONOPLE!$F$14,$M199,AN$13))))</f>
        <v>1000000000000</v>
      </c>
      <c r="AO199" s="181">
        <f ca="1">IF($D199&lt;&gt;"Serviço",0,IF(AND(AUTOEVENTO="Manual",$M199=1),0,IF(OFFSET(CRONOPLE!$F$14,$M199,AO$13)="",10^12,OFFSET(CRONOPLE!$F$14,$M199,AO$13))))</f>
        <v>1000000000000</v>
      </c>
      <c r="AP199" s="181">
        <f ca="1">IF($D199&lt;&gt;"Serviço",0,IF(AND(AUTOEVENTO="Manual",$M199=1),0,IF(OFFSET(CRONOPLE!$F$14,$M199,AP$13)="",10^12,OFFSET(CRONOPLE!$F$14,$M199,AP$13))))</f>
        <v>1000000000000</v>
      </c>
      <c r="AQ199" s="181">
        <f ca="1">IF($D199&lt;&gt;"Serviço",0,IF(AND(AUTOEVENTO="Manual",$M199=1),0,IF(OFFSET(CRONOPLE!$F$14,$M199,AQ$13)="",10^12,OFFSET(CRONOPLE!$F$14,$M199,AQ$13))))</f>
        <v>1000000000000</v>
      </c>
      <c r="AR199" s="181">
        <f ca="1">IF($D199&lt;&gt;"Serviço",0,IF(AND(AUTOEVENTO="Manual",$M199=1),0,IF(OFFSET(CRONOPLE!$F$14,$M199,AR$13)="",10^12,OFFSET(CRONOPLE!$F$14,$M199,AR$13))))</f>
        <v>1000000000000</v>
      </c>
      <c r="AS199" s="181">
        <f ca="1">IF($D199&lt;&gt;"Serviço",0,IF(AND(AUTOEVENTO="Manual",$M199=1),0,IF(OFFSET(CRONOPLE!$F$14,$M199,AS$13)="",10^12,OFFSET(CRONOPLE!$F$14,$M199,AS$13))))</f>
        <v>1000000000000</v>
      </c>
      <c r="AT199" s="181">
        <f ca="1">IF($D199&lt;&gt;"Serviço",0,IF(AND(AUTOEVENTO="Manual",$M199=1),0,IF(OFFSET(CRONOPLE!$F$14,$M199,AT$13)="",10^12,OFFSET(CRONOPLE!$F$14,$M199,AT$13))))</f>
        <v>1000000000000</v>
      </c>
      <c r="AU199" s="181">
        <f ca="1">IF($D199&lt;&gt;"Serviço",0,IF(AND(AUTOEVENTO="Manual",$M199=1),0,IF(OFFSET(CRONOPLE!$F$14,$M199,AU$13)="",10^12,OFFSET(CRONOPLE!$F$14,$M199,AU$13))))</f>
        <v>1000000000000</v>
      </c>
      <c r="AV199" s="181">
        <f ca="1">IF($D199&lt;&gt;"Serviço",0,IF(AND(AUTOEVENTO="Manual",$M199=1),0,IF(OFFSET(CRONOPLE!$F$14,$M199,AV$13)="",10^12,OFFSET(CRONOPLE!$F$14,$M199,AV$13))))</f>
        <v>1000000000000</v>
      </c>
      <c r="AX199" s="182">
        <f ca="1">IF($D199&lt;&gt;"Serviço",0,IF(OR(AND(AUTOEVENTO="Manual",$M199=1),$M199&gt;(ROW(PLE.lastrow)-ROW(PLE.firstrow))),0,IF(OFFSET(PLE!$G$14,$M199,AX$13)="",10^12,OFFSET(PLE!$G$14,$M199,AX$13))))</f>
        <v>1000000000000</v>
      </c>
      <c r="AY199" s="182">
        <f ca="1">IF($D199&lt;&gt;"Serviço",0,IF(OR(AND(AUTOEVENTO="Manual",$M199=1),$M199&gt;(ROW(PLE.lastrow)-ROW(PLE.firstrow))),0,IF(OFFSET(PLE!$G$14,$M199,AY$13)="",10^12,OFFSET(PLE!$G$14,$M199,AY$13))))</f>
        <v>1000000000000</v>
      </c>
      <c r="AZ199" s="182">
        <f ca="1">IF($D199&lt;&gt;"Serviço",0,IF(OR(AND(AUTOEVENTO="Manual",$M199=1),$M199&gt;(ROW(PLE.lastrow)-ROW(PLE.firstrow))),0,IF(OFFSET(PLE!$G$14,$M199,AZ$13)="",10^12,OFFSET(PLE!$G$14,$M199,AZ$13))))</f>
        <v>1000000000000</v>
      </c>
      <c r="BA199" s="182">
        <f ca="1">IF($D199&lt;&gt;"Serviço",0,IF(OR(AND(AUTOEVENTO="Manual",$M199=1),$M199&gt;(ROW(PLE.lastrow)-ROW(PLE.firstrow))),0,IF(OFFSET(PLE!$G$14,$M199,BA$13)="",10^12,OFFSET(PLE!$G$14,$M199,BA$13))))</f>
        <v>1000000000000</v>
      </c>
      <c r="BB199" s="182">
        <f ca="1">IF($D199&lt;&gt;"Serviço",0,IF(OR(AND(AUTOEVENTO="Manual",$M199=1),$M199&gt;(ROW(PLE.lastrow)-ROW(PLE.firstrow))),0,IF(OFFSET(PLE!$G$14,$M199,BB$13)="",10^12,OFFSET(PLE!$G$14,$M199,BB$13))))</f>
        <v>1000000000000</v>
      </c>
      <c r="BC199" s="182">
        <f ca="1">IF($D199&lt;&gt;"Serviço",0,IF(OR(AND(AUTOEVENTO="Manual",$M199=1),$M199&gt;(ROW(PLE.lastrow)-ROW(PLE.firstrow))),0,IF(OFFSET(PLE!$G$14,$M199,BC$13)="",10^12,OFFSET(PLE!$G$14,$M199,BC$13))))</f>
        <v>1000000000000</v>
      </c>
      <c r="BD199" s="182">
        <f ca="1">IF($D199&lt;&gt;"Serviço",0,IF(OR(AND(AUTOEVENTO="Manual",$M199=1),$M199&gt;(ROW(PLE.lastrow)-ROW(PLE.firstrow))),0,IF(OFFSET(PLE!$G$14,$M199,BD$13)="",10^12,OFFSET(PLE!$G$14,$M199,BD$13))))</f>
        <v>1000000000000</v>
      </c>
      <c r="BE199" s="182">
        <f ca="1">IF($D199&lt;&gt;"Serviço",0,IF(OR(AND(AUTOEVENTO="Manual",$M199=1),$M199&gt;(ROW(PLE.lastrow)-ROW(PLE.firstrow))),0,IF(OFFSET(PLE!$G$14,$M199,BE$13)="",10^12,OFFSET(PLE!$G$14,$M199,BE$13))))</f>
        <v>1000000000000</v>
      </c>
      <c r="BF199" s="182">
        <f ca="1">IF($D199&lt;&gt;"Serviço",0,IF(OR(AND(AUTOEVENTO="Manual",$M199=1),$M199&gt;(ROW(PLE.lastrow)-ROW(PLE.firstrow))),0,IF(OFFSET(PLE!$G$14,$M199,BF$13)="",10^12,OFFSET(PLE!$G$14,$M199,BF$13))))</f>
        <v>1000000000000</v>
      </c>
      <c r="BG199" s="182">
        <f ca="1">IF($D199&lt;&gt;"Serviço",0,IF(OR(AND(AUTOEVENTO="Manual",$M199=1),$M199&gt;(ROW(PLE.lastrow)-ROW(PLE.firstrow))),0,IF(OFFSET(PLE!$G$14,$M199,BG$13)="",10^12,OFFSET(PLE!$G$14,$M199,BG$13))))</f>
        <v>1000000000000</v>
      </c>
    </row>
    <row r="200" spans="1:59" ht="38.25" x14ac:dyDescent="0.2">
      <c r="A200" s="7" t="str">
        <f t="shared" ca="1" si="10"/>
        <v>175</v>
      </c>
      <c r="B200" s="7" t="str">
        <f ca="1">OFFSET(ORÇAMENTO!C$15,ROW(B200)-ROW(B$15),0)</f>
        <v>S</v>
      </c>
      <c r="C200" s="7" t="str">
        <f ca="1">OFFSET(ORÇAMENTO!L$15,ROW(C200)-ROW(C$15),0)</f>
        <v/>
      </c>
      <c r="D200" s="118" t="str">
        <f ca="1">OFFSET(ORÇAMENTO!N$15,ROW(D200)-ROW(D$15),0)</f>
        <v>Serviço</v>
      </c>
      <c r="E200" s="119" t="str">
        <f ca="1">OFFSET(ORÇAMENTO!O$15,ROW(E200)-ROW(E$15),0)</f>
        <v>-</v>
      </c>
      <c r="F200" s="172" t="str">
        <f ca="1">OFFSET(ORÇAMENTO!R$15,ROW(F200)-ROW(F$15),0)</f>
        <v>(abra o arquivo 'Referência 02-2025.xlsm)</v>
      </c>
      <c r="G200" s="173" t="str">
        <f ca="1">IF($D200&lt;&gt;"Serviço","",OFFSET(ORÇAMENTO!S$15,ROW(G200)-ROW(G$15),0))</f>
        <v>-</v>
      </c>
      <c r="H200" s="124">
        <f ca="1">IF($D200&lt;&gt;"Serviço",0,IF(ACOMPANHAMENTO="BM",ROUND(OFFSET(ORÇAMENTO!AJ$15,ROW(H200)-ROW(H$15),0),15-13*ORÇAMENTO!$AF$7),SUMPRODUCT(($Q$12:$AA$12&lt;&gt;"")*ROUND($Q200:$AA200,15-13*ORÇAMENTO!$AF$7))))</f>
        <v>15.01</v>
      </c>
      <c r="I200" s="561" t="s">
        <v>890</v>
      </c>
      <c r="K200" s="174"/>
      <c r="L200" s="175" t="s">
        <v>255</v>
      </c>
      <c r="M200" s="176">
        <f ca="1">IF($D200&lt;&gt;"Serviço","",IF(AUTOEVENTO="manual",$A200,IF(ISERROR(MATCH($A200,$A$15:OFFSET($A200,-1,0),0)),MAX($M$15:OFFSET(M200,-1,0))+1,INDEX($M$15:OFFSET(M200,-1,0),MATCH($A200,$A$15:OFFSET($A200,-1,0),0)))))</f>
        <v>10</v>
      </c>
      <c r="N200" s="177" t="str">
        <f ca="1">IF($D200&lt;&gt;"Serviço","",IF(AUTOEVENTO="Manual",IF($A200=0,"&lt;-- defina o número do agrupador",OFFSET(EVENTOS!$D$14,$A200,0)),OFFSET($F$15,$A200,0)))</f>
        <v>REVESTIMENTOS INTERNO E EXTERNO</v>
      </c>
      <c r="O200" s="178"/>
      <c r="Q200" s="178"/>
      <c r="R200" s="179"/>
      <c r="S200" s="179"/>
      <c r="T200" s="179"/>
      <c r="U200" s="179"/>
      <c r="V200" s="179"/>
      <c r="W200" s="179"/>
      <c r="X200" s="179"/>
      <c r="Y200" s="179"/>
      <c r="Z200" s="180"/>
      <c r="AB200" s="544">
        <f ca="1">IF(AND($D200="Serviço",AB$12&lt;&gt;0,$H200&gt;0,OR(AUTOEVENTO&lt;&gt;"manual",$M200&lt;&gt;1)),
IF(Import.TipoArredondamento&lt;&gt;"TransfereGOV",
ROUND(OFFSET($P200,0,AB$13),15-13*ORÇAMENTO!$AF$7)/$H200*OFFSET(ORÇAMENTO!$X$15,ROW(AB200)-ROW(AB$15),0),
ROUND(ROUND(OFFSET($P200,0,AB$13),15-13*ORÇAMENTO!$AF$7)*OFFSET(ORÇAMENTO!$W$15,ROW(AB200)-ROW(AB$15),0),15-13*ORÇAMENTO!$AF$11)),0)</f>
        <v>0</v>
      </c>
      <c r="AC200" s="545">
        <f ca="1">IF(AND($D200="Serviço",AC$12&lt;&gt;0,$H200&gt;0,OR(AUTOEVENTO&lt;&gt;"manual",$M200&lt;&gt;1)),
IF(Import.TipoArredondamento&lt;&gt;"TransfereGOV",
ROUND(OFFSET($P200,0,AC$13),15-13*ORÇAMENTO!$AF$7)/$H200*OFFSET(ORÇAMENTO!$X$15,ROW(AC200)-ROW(AC$15),0),
ROUND(ROUND(OFFSET($P200,0,AC$13),15-13*ORÇAMENTO!$AF$7)*OFFSET(ORÇAMENTO!$W$15,ROW(AC200)-ROW(AC$15),0),15-13*ORÇAMENTO!$AF$11)),0)</f>
        <v>0</v>
      </c>
      <c r="AD200" s="545">
        <f ca="1">IF(AND($D200="Serviço",AD$12&lt;&gt;0,$H200&gt;0,OR(AUTOEVENTO&lt;&gt;"manual",$M200&lt;&gt;1)),
IF(Import.TipoArredondamento&lt;&gt;"TransfereGOV",
ROUND(OFFSET($P200,0,AD$13),15-13*ORÇAMENTO!$AF$7)/$H200*OFFSET(ORÇAMENTO!$X$15,ROW(AD200)-ROW(AD$15),0),
ROUND(ROUND(OFFSET($P200,0,AD$13),15-13*ORÇAMENTO!$AF$7)*OFFSET(ORÇAMENTO!$W$15,ROW(AD200)-ROW(AD$15),0),15-13*ORÇAMENTO!$AF$11)),0)</f>
        <v>0</v>
      </c>
      <c r="AE200" s="545">
        <f ca="1">IF(AND($D200="Serviço",AE$12&lt;&gt;0,$H200&gt;0,OR(AUTOEVENTO&lt;&gt;"manual",$M200&lt;&gt;1)),
IF(Import.TipoArredondamento&lt;&gt;"TransfereGOV",
ROUND(OFFSET($P200,0,AE$13),15-13*ORÇAMENTO!$AF$7)/$H200*OFFSET(ORÇAMENTO!$X$15,ROW(AE200)-ROW(AE$15),0),
ROUND(ROUND(OFFSET($P200,0,AE$13),15-13*ORÇAMENTO!$AF$7)*OFFSET(ORÇAMENTO!$W$15,ROW(AE200)-ROW(AE$15),0),15-13*ORÇAMENTO!$AF$11)),0)</f>
        <v>0</v>
      </c>
      <c r="AF200" s="545">
        <f ca="1">IF(AND($D200="Serviço",AF$12&lt;&gt;0,$H200&gt;0,OR(AUTOEVENTO&lt;&gt;"manual",$M200&lt;&gt;1)),
IF(Import.TipoArredondamento&lt;&gt;"TransfereGOV",
ROUND(OFFSET($P200,0,AF$13),15-13*ORÇAMENTO!$AF$7)/$H200*OFFSET(ORÇAMENTO!$X$15,ROW(AF200)-ROW(AF$15),0),
ROUND(ROUND(OFFSET($P200,0,AF$13),15-13*ORÇAMENTO!$AF$7)*OFFSET(ORÇAMENTO!$W$15,ROW(AF200)-ROW(AF$15),0),15-13*ORÇAMENTO!$AF$11)),0)</f>
        <v>0</v>
      </c>
      <c r="AG200" s="545">
        <f ca="1">IF(AND($D200="Serviço",AG$12&lt;&gt;0,$H200&gt;0,OR(AUTOEVENTO&lt;&gt;"manual",$M200&lt;&gt;1)),
IF(Import.TipoArredondamento&lt;&gt;"TransfereGOV",
ROUND(OFFSET($P200,0,AG$13),15-13*ORÇAMENTO!$AF$7)/$H200*OFFSET(ORÇAMENTO!$X$15,ROW(AG200)-ROW(AG$15),0),
ROUND(ROUND(OFFSET($P200,0,AG$13),15-13*ORÇAMENTO!$AF$7)*OFFSET(ORÇAMENTO!$W$15,ROW(AG200)-ROW(AG$15),0),15-13*ORÇAMENTO!$AF$11)),0)</f>
        <v>0</v>
      </c>
      <c r="AH200" s="545">
        <f ca="1">IF(AND($D200="Serviço",AH$12&lt;&gt;0,$H200&gt;0,OR(AUTOEVENTO&lt;&gt;"manual",$M200&lt;&gt;1)),
IF(Import.TipoArredondamento&lt;&gt;"TransfereGOV",
ROUND(OFFSET($P200,0,AH$13),15-13*ORÇAMENTO!$AF$7)/$H200*OFFSET(ORÇAMENTO!$X$15,ROW(AH200)-ROW(AH$15),0),
ROUND(ROUND(OFFSET($P200,0,AH$13),15-13*ORÇAMENTO!$AF$7)*OFFSET(ORÇAMENTO!$W$15,ROW(AH200)-ROW(AH$15),0),15-13*ORÇAMENTO!$AF$11)),0)</f>
        <v>0</v>
      </c>
      <c r="AI200" s="545">
        <f ca="1">IF(AND($D200="Serviço",AI$12&lt;&gt;0,$H200&gt;0,OR(AUTOEVENTO&lt;&gt;"manual",$M200&lt;&gt;1)),
IF(Import.TipoArredondamento&lt;&gt;"TransfereGOV",
ROUND(OFFSET($P200,0,AI$13),15-13*ORÇAMENTO!$AF$7)/$H200*OFFSET(ORÇAMENTO!$X$15,ROW(AI200)-ROW(AI$15),0),
ROUND(ROUND(OFFSET($P200,0,AI$13),15-13*ORÇAMENTO!$AF$7)*OFFSET(ORÇAMENTO!$W$15,ROW(AI200)-ROW(AI$15),0),15-13*ORÇAMENTO!$AF$11)),0)</f>
        <v>0</v>
      </c>
      <c r="AJ200" s="545">
        <f ca="1">IF(AND($D200="Serviço",AJ$12&lt;&gt;0,$H200&gt;0,OR(AUTOEVENTO&lt;&gt;"manual",$M200&lt;&gt;1)),
IF(Import.TipoArredondamento&lt;&gt;"TransfereGOV",
ROUND(OFFSET($P200,0,AJ$13),15-13*ORÇAMENTO!$AF$7)/$H200*OFFSET(ORÇAMENTO!$X$15,ROW(AJ200)-ROW(AJ$15),0),
ROUND(ROUND(OFFSET($P200,0,AJ$13),15-13*ORÇAMENTO!$AF$7)*OFFSET(ORÇAMENTO!$W$15,ROW(AJ200)-ROW(AJ$15),0),15-13*ORÇAMENTO!$AF$11)),0)</f>
        <v>0</v>
      </c>
      <c r="AK200" s="546">
        <f ca="1">IF(AND($D200="Serviço",AK$12&lt;&gt;0,$H200&gt;0,OR(AUTOEVENTO&lt;&gt;"manual",$M200&lt;&gt;1)),
IF(Import.TipoArredondamento&lt;&gt;"TransfereGOV",
ROUND(OFFSET($P200,0,AK$13),15-13*ORÇAMENTO!$AF$7)/$H200*OFFSET(ORÇAMENTO!$X$15,ROW(AK200)-ROW(AK$15),0),
ROUND(ROUND(OFFSET($P200,0,AK$13),15-13*ORÇAMENTO!$AF$7)*OFFSET(ORÇAMENTO!$W$15,ROW(AK200)-ROW(AK$15),0),15-13*ORÇAMENTO!$AF$11)),0)</f>
        <v>0</v>
      </c>
      <c r="AM200" s="181">
        <f ca="1">IF($D200&lt;&gt;"Serviço",0,IF(AND(AUTOEVENTO="Manual",$M200=1),0,IF(OFFSET(CRONOPLE!$F$14,$M200,AM$13)="",10^12,OFFSET(CRONOPLE!$F$14,$M200,AM$13))))</f>
        <v>1000000000000</v>
      </c>
      <c r="AN200" s="181">
        <f ca="1">IF($D200&lt;&gt;"Serviço",0,IF(AND(AUTOEVENTO="Manual",$M200=1),0,IF(OFFSET(CRONOPLE!$F$14,$M200,AN$13)="",10^12,OFFSET(CRONOPLE!$F$14,$M200,AN$13))))</f>
        <v>1000000000000</v>
      </c>
      <c r="AO200" s="181">
        <f ca="1">IF($D200&lt;&gt;"Serviço",0,IF(AND(AUTOEVENTO="Manual",$M200=1),0,IF(OFFSET(CRONOPLE!$F$14,$M200,AO$13)="",10^12,OFFSET(CRONOPLE!$F$14,$M200,AO$13))))</f>
        <v>1000000000000</v>
      </c>
      <c r="AP200" s="181">
        <f ca="1">IF($D200&lt;&gt;"Serviço",0,IF(AND(AUTOEVENTO="Manual",$M200=1),0,IF(OFFSET(CRONOPLE!$F$14,$M200,AP$13)="",10^12,OFFSET(CRONOPLE!$F$14,$M200,AP$13))))</f>
        <v>1000000000000</v>
      </c>
      <c r="AQ200" s="181">
        <f ca="1">IF($D200&lt;&gt;"Serviço",0,IF(AND(AUTOEVENTO="Manual",$M200=1),0,IF(OFFSET(CRONOPLE!$F$14,$M200,AQ$13)="",10^12,OFFSET(CRONOPLE!$F$14,$M200,AQ$13))))</f>
        <v>1000000000000</v>
      </c>
      <c r="AR200" s="181">
        <f ca="1">IF($D200&lt;&gt;"Serviço",0,IF(AND(AUTOEVENTO="Manual",$M200=1),0,IF(OFFSET(CRONOPLE!$F$14,$M200,AR$13)="",10^12,OFFSET(CRONOPLE!$F$14,$M200,AR$13))))</f>
        <v>1000000000000</v>
      </c>
      <c r="AS200" s="181">
        <f ca="1">IF($D200&lt;&gt;"Serviço",0,IF(AND(AUTOEVENTO="Manual",$M200=1),0,IF(OFFSET(CRONOPLE!$F$14,$M200,AS$13)="",10^12,OFFSET(CRONOPLE!$F$14,$M200,AS$13))))</f>
        <v>1000000000000</v>
      </c>
      <c r="AT200" s="181">
        <f ca="1">IF($D200&lt;&gt;"Serviço",0,IF(AND(AUTOEVENTO="Manual",$M200=1),0,IF(OFFSET(CRONOPLE!$F$14,$M200,AT$13)="",10^12,OFFSET(CRONOPLE!$F$14,$M200,AT$13))))</f>
        <v>1000000000000</v>
      </c>
      <c r="AU200" s="181">
        <f ca="1">IF($D200&lt;&gt;"Serviço",0,IF(AND(AUTOEVENTO="Manual",$M200=1),0,IF(OFFSET(CRONOPLE!$F$14,$M200,AU$13)="",10^12,OFFSET(CRONOPLE!$F$14,$M200,AU$13))))</f>
        <v>1000000000000</v>
      </c>
      <c r="AV200" s="181">
        <f ca="1">IF($D200&lt;&gt;"Serviço",0,IF(AND(AUTOEVENTO="Manual",$M200=1),0,IF(OFFSET(CRONOPLE!$F$14,$M200,AV$13)="",10^12,OFFSET(CRONOPLE!$F$14,$M200,AV$13))))</f>
        <v>1000000000000</v>
      </c>
      <c r="AX200" s="182">
        <f ca="1">IF($D200&lt;&gt;"Serviço",0,IF(OR(AND(AUTOEVENTO="Manual",$M200=1),$M200&gt;(ROW(PLE.lastrow)-ROW(PLE.firstrow))),0,IF(OFFSET(PLE!$G$14,$M200,AX$13)="",10^12,OFFSET(PLE!$G$14,$M200,AX$13))))</f>
        <v>1000000000000</v>
      </c>
      <c r="AY200" s="182">
        <f ca="1">IF($D200&lt;&gt;"Serviço",0,IF(OR(AND(AUTOEVENTO="Manual",$M200=1),$M200&gt;(ROW(PLE.lastrow)-ROW(PLE.firstrow))),0,IF(OFFSET(PLE!$G$14,$M200,AY$13)="",10^12,OFFSET(PLE!$G$14,$M200,AY$13))))</f>
        <v>1000000000000</v>
      </c>
      <c r="AZ200" s="182">
        <f ca="1">IF($D200&lt;&gt;"Serviço",0,IF(OR(AND(AUTOEVENTO="Manual",$M200=1),$M200&gt;(ROW(PLE.lastrow)-ROW(PLE.firstrow))),0,IF(OFFSET(PLE!$G$14,$M200,AZ$13)="",10^12,OFFSET(PLE!$G$14,$M200,AZ$13))))</f>
        <v>1000000000000</v>
      </c>
      <c r="BA200" s="182">
        <f ca="1">IF($D200&lt;&gt;"Serviço",0,IF(OR(AND(AUTOEVENTO="Manual",$M200=1),$M200&gt;(ROW(PLE.lastrow)-ROW(PLE.firstrow))),0,IF(OFFSET(PLE!$G$14,$M200,BA$13)="",10^12,OFFSET(PLE!$G$14,$M200,BA$13))))</f>
        <v>1000000000000</v>
      </c>
      <c r="BB200" s="182">
        <f ca="1">IF($D200&lt;&gt;"Serviço",0,IF(OR(AND(AUTOEVENTO="Manual",$M200=1),$M200&gt;(ROW(PLE.lastrow)-ROW(PLE.firstrow))),0,IF(OFFSET(PLE!$G$14,$M200,BB$13)="",10^12,OFFSET(PLE!$G$14,$M200,BB$13))))</f>
        <v>1000000000000</v>
      </c>
      <c r="BC200" s="182">
        <f ca="1">IF($D200&lt;&gt;"Serviço",0,IF(OR(AND(AUTOEVENTO="Manual",$M200=1),$M200&gt;(ROW(PLE.lastrow)-ROW(PLE.firstrow))),0,IF(OFFSET(PLE!$G$14,$M200,BC$13)="",10^12,OFFSET(PLE!$G$14,$M200,BC$13))))</f>
        <v>1000000000000</v>
      </c>
      <c r="BD200" s="182">
        <f ca="1">IF($D200&lt;&gt;"Serviço",0,IF(OR(AND(AUTOEVENTO="Manual",$M200=1),$M200&gt;(ROW(PLE.lastrow)-ROW(PLE.firstrow))),0,IF(OFFSET(PLE!$G$14,$M200,BD$13)="",10^12,OFFSET(PLE!$G$14,$M200,BD$13))))</f>
        <v>1000000000000</v>
      </c>
      <c r="BE200" s="182">
        <f ca="1">IF($D200&lt;&gt;"Serviço",0,IF(OR(AND(AUTOEVENTO="Manual",$M200=1),$M200&gt;(ROW(PLE.lastrow)-ROW(PLE.firstrow))),0,IF(OFFSET(PLE!$G$14,$M200,BE$13)="",10^12,OFFSET(PLE!$G$14,$M200,BE$13))))</f>
        <v>1000000000000</v>
      </c>
      <c r="BF200" s="182">
        <f ca="1">IF($D200&lt;&gt;"Serviço",0,IF(OR(AND(AUTOEVENTO="Manual",$M200=1),$M200&gt;(ROW(PLE.lastrow)-ROW(PLE.firstrow))),0,IF(OFFSET(PLE!$G$14,$M200,BF$13)="",10^12,OFFSET(PLE!$G$14,$M200,BF$13))))</f>
        <v>1000000000000</v>
      </c>
      <c r="BG200" s="182">
        <f ca="1">IF($D200&lt;&gt;"Serviço",0,IF(OR(AND(AUTOEVENTO="Manual",$M200=1),$M200&gt;(ROW(PLE.lastrow)-ROW(PLE.firstrow))),0,IF(OFFSET(PLE!$G$14,$M200,BG$13)="",10^12,OFFSET(PLE!$G$14,$M200,BG$13))))</f>
        <v>1000000000000</v>
      </c>
    </row>
    <row r="201" spans="1:59" ht="38.25" x14ac:dyDescent="0.2">
      <c r="A201" s="7" t="str">
        <f t="shared" ca="1" si="10"/>
        <v>175</v>
      </c>
      <c r="B201" s="7" t="str">
        <f ca="1">OFFSET(ORÇAMENTO!C$15,ROW(B201)-ROW(B$15),0)</f>
        <v>S</v>
      </c>
      <c r="C201" s="7" t="str">
        <f ca="1">OFFSET(ORÇAMENTO!L$15,ROW(C201)-ROW(C$15),0)</f>
        <v/>
      </c>
      <c r="D201" s="118" t="str">
        <f ca="1">OFFSET(ORÇAMENTO!N$15,ROW(D201)-ROW(D$15),0)</f>
        <v>Serviço</v>
      </c>
      <c r="E201" s="119" t="str">
        <f ca="1">OFFSET(ORÇAMENTO!O$15,ROW(E201)-ROW(E$15),0)</f>
        <v>-</v>
      </c>
      <c r="F201" s="172" t="str">
        <f ca="1">OFFSET(ORÇAMENTO!R$15,ROW(F201)-ROW(F$15),0)</f>
        <v>(abra o arquivo 'Referência 02-2025.xlsm)</v>
      </c>
      <c r="G201" s="173" t="str">
        <f ca="1">IF($D201&lt;&gt;"Serviço","",OFFSET(ORÇAMENTO!S$15,ROW(G201)-ROW(G$15),0))</f>
        <v>-</v>
      </c>
      <c r="H201" s="124">
        <f ca="1">IF($D201&lt;&gt;"Serviço",0,IF(ACOMPANHAMENTO="BM",ROUND(OFFSET(ORÇAMENTO!AJ$15,ROW(H201)-ROW(H$15),0),15-13*ORÇAMENTO!$AF$7),SUMPRODUCT(($Q$12:$AA$12&lt;&gt;"")*ROUND($Q201:$AA201,15-13*ORÇAMENTO!$AF$7))))</f>
        <v>8.75</v>
      </c>
      <c r="I201" s="561" t="s">
        <v>890</v>
      </c>
      <c r="K201" s="174"/>
      <c r="L201" s="175" t="s">
        <v>255</v>
      </c>
      <c r="M201" s="176">
        <f ca="1">IF($D201&lt;&gt;"Serviço","",IF(AUTOEVENTO="manual",$A201,IF(ISERROR(MATCH($A201,$A$15:OFFSET($A201,-1,0),0)),MAX($M$15:OFFSET(M201,-1,0))+1,INDEX($M$15:OFFSET(M201,-1,0),MATCH($A201,$A$15:OFFSET($A201,-1,0),0)))))</f>
        <v>10</v>
      </c>
      <c r="N201" s="177" t="str">
        <f ca="1">IF($D201&lt;&gt;"Serviço","",IF(AUTOEVENTO="Manual",IF($A201=0,"&lt;-- defina o número do agrupador",OFFSET(EVENTOS!$D$14,$A201,0)),OFFSET($F$15,$A201,0)))</f>
        <v>REVESTIMENTOS INTERNO E EXTERNO</v>
      </c>
      <c r="O201" s="178"/>
      <c r="Q201" s="178"/>
      <c r="R201" s="179"/>
      <c r="S201" s="179"/>
      <c r="T201" s="179"/>
      <c r="U201" s="179"/>
      <c r="V201" s="179"/>
      <c r="W201" s="179"/>
      <c r="X201" s="179"/>
      <c r="Y201" s="179"/>
      <c r="Z201" s="180"/>
      <c r="AB201" s="544">
        <f ca="1">IF(AND($D201="Serviço",AB$12&lt;&gt;0,$H201&gt;0,OR(AUTOEVENTO&lt;&gt;"manual",$M201&lt;&gt;1)),
IF(Import.TipoArredondamento&lt;&gt;"TransfereGOV",
ROUND(OFFSET($P201,0,AB$13),15-13*ORÇAMENTO!$AF$7)/$H201*OFFSET(ORÇAMENTO!$X$15,ROW(AB201)-ROW(AB$15),0),
ROUND(ROUND(OFFSET($P201,0,AB$13),15-13*ORÇAMENTO!$AF$7)*OFFSET(ORÇAMENTO!$W$15,ROW(AB201)-ROW(AB$15),0),15-13*ORÇAMENTO!$AF$11)),0)</f>
        <v>0</v>
      </c>
      <c r="AC201" s="545">
        <f ca="1">IF(AND($D201="Serviço",AC$12&lt;&gt;0,$H201&gt;0,OR(AUTOEVENTO&lt;&gt;"manual",$M201&lt;&gt;1)),
IF(Import.TipoArredondamento&lt;&gt;"TransfereGOV",
ROUND(OFFSET($P201,0,AC$13),15-13*ORÇAMENTO!$AF$7)/$H201*OFFSET(ORÇAMENTO!$X$15,ROW(AC201)-ROW(AC$15),0),
ROUND(ROUND(OFFSET($P201,0,AC$13),15-13*ORÇAMENTO!$AF$7)*OFFSET(ORÇAMENTO!$W$15,ROW(AC201)-ROW(AC$15),0),15-13*ORÇAMENTO!$AF$11)),0)</f>
        <v>0</v>
      </c>
      <c r="AD201" s="545">
        <f ca="1">IF(AND($D201="Serviço",AD$12&lt;&gt;0,$H201&gt;0,OR(AUTOEVENTO&lt;&gt;"manual",$M201&lt;&gt;1)),
IF(Import.TipoArredondamento&lt;&gt;"TransfereGOV",
ROUND(OFFSET($P201,0,AD$13),15-13*ORÇAMENTO!$AF$7)/$H201*OFFSET(ORÇAMENTO!$X$15,ROW(AD201)-ROW(AD$15),0),
ROUND(ROUND(OFFSET($P201,0,AD$13),15-13*ORÇAMENTO!$AF$7)*OFFSET(ORÇAMENTO!$W$15,ROW(AD201)-ROW(AD$15),0),15-13*ORÇAMENTO!$AF$11)),0)</f>
        <v>0</v>
      </c>
      <c r="AE201" s="545">
        <f ca="1">IF(AND($D201="Serviço",AE$12&lt;&gt;0,$H201&gt;0,OR(AUTOEVENTO&lt;&gt;"manual",$M201&lt;&gt;1)),
IF(Import.TipoArredondamento&lt;&gt;"TransfereGOV",
ROUND(OFFSET($P201,0,AE$13),15-13*ORÇAMENTO!$AF$7)/$H201*OFFSET(ORÇAMENTO!$X$15,ROW(AE201)-ROW(AE$15),0),
ROUND(ROUND(OFFSET($P201,0,AE$13),15-13*ORÇAMENTO!$AF$7)*OFFSET(ORÇAMENTO!$W$15,ROW(AE201)-ROW(AE$15),0),15-13*ORÇAMENTO!$AF$11)),0)</f>
        <v>0</v>
      </c>
      <c r="AF201" s="545">
        <f ca="1">IF(AND($D201="Serviço",AF$12&lt;&gt;0,$H201&gt;0,OR(AUTOEVENTO&lt;&gt;"manual",$M201&lt;&gt;1)),
IF(Import.TipoArredondamento&lt;&gt;"TransfereGOV",
ROUND(OFFSET($P201,0,AF$13),15-13*ORÇAMENTO!$AF$7)/$H201*OFFSET(ORÇAMENTO!$X$15,ROW(AF201)-ROW(AF$15),0),
ROUND(ROUND(OFFSET($P201,0,AF$13),15-13*ORÇAMENTO!$AF$7)*OFFSET(ORÇAMENTO!$W$15,ROW(AF201)-ROW(AF$15),0),15-13*ORÇAMENTO!$AF$11)),0)</f>
        <v>0</v>
      </c>
      <c r="AG201" s="545">
        <f ca="1">IF(AND($D201="Serviço",AG$12&lt;&gt;0,$H201&gt;0,OR(AUTOEVENTO&lt;&gt;"manual",$M201&lt;&gt;1)),
IF(Import.TipoArredondamento&lt;&gt;"TransfereGOV",
ROUND(OFFSET($P201,0,AG$13),15-13*ORÇAMENTO!$AF$7)/$H201*OFFSET(ORÇAMENTO!$X$15,ROW(AG201)-ROW(AG$15),0),
ROUND(ROUND(OFFSET($P201,0,AG$13),15-13*ORÇAMENTO!$AF$7)*OFFSET(ORÇAMENTO!$W$15,ROW(AG201)-ROW(AG$15),0),15-13*ORÇAMENTO!$AF$11)),0)</f>
        <v>0</v>
      </c>
      <c r="AH201" s="545">
        <f ca="1">IF(AND($D201="Serviço",AH$12&lt;&gt;0,$H201&gt;0,OR(AUTOEVENTO&lt;&gt;"manual",$M201&lt;&gt;1)),
IF(Import.TipoArredondamento&lt;&gt;"TransfereGOV",
ROUND(OFFSET($P201,0,AH$13),15-13*ORÇAMENTO!$AF$7)/$H201*OFFSET(ORÇAMENTO!$X$15,ROW(AH201)-ROW(AH$15),0),
ROUND(ROUND(OFFSET($P201,0,AH$13),15-13*ORÇAMENTO!$AF$7)*OFFSET(ORÇAMENTO!$W$15,ROW(AH201)-ROW(AH$15),0),15-13*ORÇAMENTO!$AF$11)),0)</f>
        <v>0</v>
      </c>
      <c r="AI201" s="545">
        <f ca="1">IF(AND($D201="Serviço",AI$12&lt;&gt;0,$H201&gt;0,OR(AUTOEVENTO&lt;&gt;"manual",$M201&lt;&gt;1)),
IF(Import.TipoArredondamento&lt;&gt;"TransfereGOV",
ROUND(OFFSET($P201,0,AI$13),15-13*ORÇAMENTO!$AF$7)/$H201*OFFSET(ORÇAMENTO!$X$15,ROW(AI201)-ROW(AI$15),0),
ROUND(ROUND(OFFSET($P201,0,AI$13),15-13*ORÇAMENTO!$AF$7)*OFFSET(ORÇAMENTO!$W$15,ROW(AI201)-ROW(AI$15),0),15-13*ORÇAMENTO!$AF$11)),0)</f>
        <v>0</v>
      </c>
      <c r="AJ201" s="545">
        <f ca="1">IF(AND($D201="Serviço",AJ$12&lt;&gt;0,$H201&gt;0,OR(AUTOEVENTO&lt;&gt;"manual",$M201&lt;&gt;1)),
IF(Import.TipoArredondamento&lt;&gt;"TransfereGOV",
ROUND(OFFSET($P201,0,AJ$13),15-13*ORÇAMENTO!$AF$7)/$H201*OFFSET(ORÇAMENTO!$X$15,ROW(AJ201)-ROW(AJ$15),0),
ROUND(ROUND(OFFSET($P201,0,AJ$13),15-13*ORÇAMENTO!$AF$7)*OFFSET(ORÇAMENTO!$W$15,ROW(AJ201)-ROW(AJ$15),0),15-13*ORÇAMENTO!$AF$11)),0)</f>
        <v>0</v>
      </c>
      <c r="AK201" s="546">
        <f ca="1">IF(AND($D201="Serviço",AK$12&lt;&gt;0,$H201&gt;0,OR(AUTOEVENTO&lt;&gt;"manual",$M201&lt;&gt;1)),
IF(Import.TipoArredondamento&lt;&gt;"TransfereGOV",
ROUND(OFFSET($P201,0,AK$13),15-13*ORÇAMENTO!$AF$7)/$H201*OFFSET(ORÇAMENTO!$X$15,ROW(AK201)-ROW(AK$15),0),
ROUND(ROUND(OFFSET($P201,0,AK$13),15-13*ORÇAMENTO!$AF$7)*OFFSET(ORÇAMENTO!$W$15,ROW(AK201)-ROW(AK$15),0),15-13*ORÇAMENTO!$AF$11)),0)</f>
        <v>0</v>
      </c>
      <c r="AM201" s="181">
        <f ca="1">IF($D201&lt;&gt;"Serviço",0,IF(AND(AUTOEVENTO="Manual",$M201=1),0,IF(OFFSET(CRONOPLE!$F$14,$M201,AM$13)="",10^12,OFFSET(CRONOPLE!$F$14,$M201,AM$13))))</f>
        <v>1000000000000</v>
      </c>
      <c r="AN201" s="181">
        <f ca="1">IF($D201&lt;&gt;"Serviço",0,IF(AND(AUTOEVENTO="Manual",$M201=1),0,IF(OFFSET(CRONOPLE!$F$14,$M201,AN$13)="",10^12,OFFSET(CRONOPLE!$F$14,$M201,AN$13))))</f>
        <v>1000000000000</v>
      </c>
      <c r="AO201" s="181">
        <f ca="1">IF($D201&lt;&gt;"Serviço",0,IF(AND(AUTOEVENTO="Manual",$M201=1),0,IF(OFFSET(CRONOPLE!$F$14,$M201,AO$13)="",10^12,OFFSET(CRONOPLE!$F$14,$M201,AO$13))))</f>
        <v>1000000000000</v>
      </c>
      <c r="AP201" s="181">
        <f ca="1">IF($D201&lt;&gt;"Serviço",0,IF(AND(AUTOEVENTO="Manual",$M201=1),0,IF(OFFSET(CRONOPLE!$F$14,$M201,AP$13)="",10^12,OFFSET(CRONOPLE!$F$14,$M201,AP$13))))</f>
        <v>1000000000000</v>
      </c>
      <c r="AQ201" s="181">
        <f ca="1">IF($D201&lt;&gt;"Serviço",0,IF(AND(AUTOEVENTO="Manual",$M201=1),0,IF(OFFSET(CRONOPLE!$F$14,$M201,AQ$13)="",10^12,OFFSET(CRONOPLE!$F$14,$M201,AQ$13))))</f>
        <v>1000000000000</v>
      </c>
      <c r="AR201" s="181">
        <f ca="1">IF($D201&lt;&gt;"Serviço",0,IF(AND(AUTOEVENTO="Manual",$M201=1),0,IF(OFFSET(CRONOPLE!$F$14,$M201,AR$13)="",10^12,OFFSET(CRONOPLE!$F$14,$M201,AR$13))))</f>
        <v>1000000000000</v>
      </c>
      <c r="AS201" s="181">
        <f ca="1">IF($D201&lt;&gt;"Serviço",0,IF(AND(AUTOEVENTO="Manual",$M201=1),0,IF(OFFSET(CRONOPLE!$F$14,$M201,AS$13)="",10^12,OFFSET(CRONOPLE!$F$14,$M201,AS$13))))</f>
        <v>1000000000000</v>
      </c>
      <c r="AT201" s="181">
        <f ca="1">IF($D201&lt;&gt;"Serviço",0,IF(AND(AUTOEVENTO="Manual",$M201=1),0,IF(OFFSET(CRONOPLE!$F$14,$M201,AT$13)="",10^12,OFFSET(CRONOPLE!$F$14,$M201,AT$13))))</f>
        <v>1000000000000</v>
      </c>
      <c r="AU201" s="181">
        <f ca="1">IF($D201&lt;&gt;"Serviço",0,IF(AND(AUTOEVENTO="Manual",$M201=1),0,IF(OFFSET(CRONOPLE!$F$14,$M201,AU$13)="",10^12,OFFSET(CRONOPLE!$F$14,$M201,AU$13))))</f>
        <v>1000000000000</v>
      </c>
      <c r="AV201" s="181">
        <f ca="1">IF($D201&lt;&gt;"Serviço",0,IF(AND(AUTOEVENTO="Manual",$M201=1),0,IF(OFFSET(CRONOPLE!$F$14,$M201,AV$13)="",10^12,OFFSET(CRONOPLE!$F$14,$M201,AV$13))))</f>
        <v>1000000000000</v>
      </c>
      <c r="AX201" s="182">
        <f ca="1">IF($D201&lt;&gt;"Serviço",0,IF(OR(AND(AUTOEVENTO="Manual",$M201=1),$M201&gt;(ROW(PLE.lastrow)-ROW(PLE.firstrow))),0,IF(OFFSET(PLE!$G$14,$M201,AX$13)="",10^12,OFFSET(PLE!$G$14,$M201,AX$13))))</f>
        <v>1000000000000</v>
      </c>
      <c r="AY201" s="182">
        <f ca="1">IF($D201&lt;&gt;"Serviço",0,IF(OR(AND(AUTOEVENTO="Manual",$M201=1),$M201&gt;(ROW(PLE.lastrow)-ROW(PLE.firstrow))),0,IF(OFFSET(PLE!$G$14,$M201,AY$13)="",10^12,OFFSET(PLE!$G$14,$M201,AY$13))))</f>
        <v>1000000000000</v>
      </c>
      <c r="AZ201" s="182">
        <f ca="1">IF($D201&lt;&gt;"Serviço",0,IF(OR(AND(AUTOEVENTO="Manual",$M201=1),$M201&gt;(ROW(PLE.lastrow)-ROW(PLE.firstrow))),0,IF(OFFSET(PLE!$G$14,$M201,AZ$13)="",10^12,OFFSET(PLE!$G$14,$M201,AZ$13))))</f>
        <v>1000000000000</v>
      </c>
      <c r="BA201" s="182">
        <f ca="1">IF($D201&lt;&gt;"Serviço",0,IF(OR(AND(AUTOEVENTO="Manual",$M201=1),$M201&gt;(ROW(PLE.lastrow)-ROW(PLE.firstrow))),0,IF(OFFSET(PLE!$G$14,$M201,BA$13)="",10^12,OFFSET(PLE!$G$14,$M201,BA$13))))</f>
        <v>1000000000000</v>
      </c>
      <c r="BB201" s="182">
        <f ca="1">IF($D201&lt;&gt;"Serviço",0,IF(OR(AND(AUTOEVENTO="Manual",$M201=1),$M201&gt;(ROW(PLE.lastrow)-ROW(PLE.firstrow))),0,IF(OFFSET(PLE!$G$14,$M201,BB$13)="",10^12,OFFSET(PLE!$G$14,$M201,BB$13))))</f>
        <v>1000000000000</v>
      </c>
      <c r="BC201" s="182">
        <f ca="1">IF($D201&lt;&gt;"Serviço",0,IF(OR(AND(AUTOEVENTO="Manual",$M201=1),$M201&gt;(ROW(PLE.lastrow)-ROW(PLE.firstrow))),0,IF(OFFSET(PLE!$G$14,$M201,BC$13)="",10^12,OFFSET(PLE!$G$14,$M201,BC$13))))</f>
        <v>1000000000000</v>
      </c>
      <c r="BD201" s="182">
        <f ca="1">IF($D201&lt;&gt;"Serviço",0,IF(OR(AND(AUTOEVENTO="Manual",$M201=1),$M201&gt;(ROW(PLE.lastrow)-ROW(PLE.firstrow))),0,IF(OFFSET(PLE!$G$14,$M201,BD$13)="",10^12,OFFSET(PLE!$G$14,$M201,BD$13))))</f>
        <v>1000000000000</v>
      </c>
      <c r="BE201" s="182">
        <f ca="1">IF($D201&lt;&gt;"Serviço",0,IF(OR(AND(AUTOEVENTO="Manual",$M201=1),$M201&gt;(ROW(PLE.lastrow)-ROW(PLE.firstrow))),0,IF(OFFSET(PLE!$G$14,$M201,BE$13)="",10^12,OFFSET(PLE!$G$14,$M201,BE$13))))</f>
        <v>1000000000000</v>
      </c>
      <c r="BF201" s="182">
        <f ca="1">IF($D201&lt;&gt;"Serviço",0,IF(OR(AND(AUTOEVENTO="Manual",$M201=1),$M201&gt;(ROW(PLE.lastrow)-ROW(PLE.firstrow))),0,IF(OFFSET(PLE!$G$14,$M201,BF$13)="",10^12,OFFSET(PLE!$G$14,$M201,BF$13))))</f>
        <v>1000000000000</v>
      </c>
      <c r="BG201" s="182">
        <f ca="1">IF($D201&lt;&gt;"Serviço",0,IF(OR(AND(AUTOEVENTO="Manual",$M201=1),$M201&gt;(ROW(PLE.lastrow)-ROW(PLE.firstrow))),0,IF(OFFSET(PLE!$G$14,$M201,BG$13)="",10^12,OFFSET(PLE!$G$14,$M201,BG$13))))</f>
        <v>1000000000000</v>
      </c>
    </row>
    <row r="202" spans="1:59" ht="25.5" x14ac:dyDescent="0.2">
      <c r="A202" s="7" t="str">
        <f t="shared" ca="1" si="10"/>
        <v>175</v>
      </c>
      <c r="B202" s="7" t="str">
        <f ca="1">OFFSET(ORÇAMENTO!C$15,ROW(B202)-ROW(B$15),0)</f>
        <v>S</v>
      </c>
      <c r="C202" s="7" t="str">
        <f ca="1">OFFSET(ORÇAMENTO!L$15,ROW(C202)-ROW(C$15),0)</f>
        <v/>
      </c>
      <c r="D202" s="118" t="str">
        <f ca="1">OFFSET(ORÇAMENTO!N$15,ROW(D202)-ROW(D$15),0)</f>
        <v>Serviço</v>
      </c>
      <c r="E202" s="119" t="str">
        <f ca="1">OFFSET(ORÇAMENTO!O$15,ROW(E202)-ROW(E$15),0)</f>
        <v>-</v>
      </c>
      <c r="F202" s="172" t="str">
        <f ca="1">OFFSET(ORÇAMENTO!R$15,ROW(F202)-ROW(F$15),0)</f>
        <v>(abra o arquivo 'Referência 02-2025.xlsm)</v>
      </c>
      <c r="G202" s="173" t="str">
        <f ca="1">IF($D202&lt;&gt;"Serviço","",OFFSET(ORÇAMENTO!S$15,ROW(G202)-ROW(G$15),0))</f>
        <v>-</v>
      </c>
      <c r="H202" s="124">
        <f ca="1">IF($D202&lt;&gt;"Serviço",0,IF(ACOMPANHAMENTO="BM",ROUND(OFFSET(ORÇAMENTO!AJ$15,ROW(H202)-ROW(H$15),0),15-13*ORÇAMENTO!$AF$7),SUMPRODUCT(($Q$12:$AA$12&lt;&gt;"")*ROUND($Q202:$AA202,15-13*ORÇAMENTO!$AF$7))))</f>
        <v>218.4</v>
      </c>
      <c r="I202" s="561" t="s">
        <v>890</v>
      </c>
      <c r="K202" s="174"/>
      <c r="L202" s="175" t="s">
        <v>255</v>
      </c>
      <c r="M202" s="176">
        <f ca="1">IF($D202&lt;&gt;"Serviço","",IF(AUTOEVENTO="manual",$A202,IF(ISERROR(MATCH($A202,$A$15:OFFSET($A202,-1,0),0)),MAX($M$15:OFFSET(M202,-1,0))+1,INDEX($M$15:OFFSET(M202,-1,0),MATCH($A202,$A$15:OFFSET($A202,-1,0),0)))))</f>
        <v>10</v>
      </c>
      <c r="N202" s="177" t="str">
        <f ca="1">IF($D202&lt;&gt;"Serviço","",IF(AUTOEVENTO="Manual",IF($A202=0,"&lt;-- defina o número do agrupador",OFFSET(EVENTOS!$D$14,$A202,0)),OFFSET($F$15,$A202,0)))</f>
        <v>REVESTIMENTOS INTERNO E EXTERNO</v>
      </c>
      <c r="O202" s="178"/>
      <c r="Q202" s="178"/>
      <c r="R202" s="179"/>
      <c r="S202" s="179"/>
      <c r="T202" s="179"/>
      <c r="U202" s="179"/>
      <c r="V202" s="179"/>
      <c r="W202" s="179"/>
      <c r="X202" s="179"/>
      <c r="Y202" s="179"/>
      <c r="Z202" s="180"/>
      <c r="AB202" s="544">
        <f ca="1">IF(AND($D202="Serviço",AB$12&lt;&gt;0,$H202&gt;0,OR(AUTOEVENTO&lt;&gt;"manual",$M202&lt;&gt;1)),
IF(Import.TipoArredondamento&lt;&gt;"TransfereGOV",
ROUND(OFFSET($P202,0,AB$13),15-13*ORÇAMENTO!$AF$7)/$H202*OFFSET(ORÇAMENTO!$X$15,ROW(AB202)-ROW(AB$15),0),
ROUND(ROUND(OFFSET($P202,0,AB$13),15-13*ORÇAMENTO!$AF$7)*OFFSET(ORÇAMENTO!$W$15,ROW(AB202)-ROW(AB$15),0),15-13*ORÇAMENTO!$AF$11)),0)</f>
        <v>0</v>
      </c>
      <c r="AC202" s="545">
        <f ca="1">IF(AND($D202="Serviço",AC$12&lt;&gt;0,$H202&gt;0,OR(AUTOEVENTO&lt;&gt;"manual",$M202&lt;&gt;1)),
IF(Import.TipoArredondamento&lt;&gt;"TransfereGOV",
ROUND(OFFSET($P202,0,AC$13),15-13*ORÇAMENTO!$AF$7)/$H202*OFFSET(ORÇAMENTO!$X$15,ROW(AC202)-ROW(AC$15),0),
ROUND(ROUND(OFFSET($P202,0,AC$13),15-13*ORÇAMENTO!$AF$7)*OFFSET(ORÇAMENTO!$W$15,ROW(AC202)-ROW(AC$15),0),15-13*ORÇAMENTO!$AF$11)),0)</f>
        <v>0</v>
      </c>
      <c r="AD202" s="545">
        <f ca="1">IF(AND($D202="Serviço",AD$12&lt;&gt;0,$H202&gt;0,OR(AUTOEVENTO&lt;&gt;"manual",$M202&lt;&gt;1)),
IF(Import.TipoArredondamento&lt;&gt;"TransfereGOV",
ROUND(OFFSET($P202,0,AD$13),15-13*ORÇAMENTO!$AF$7)/$H202*OFFSET(ORÇAMENTO!$X$15,ROW(AD202)-ROW(AD$15),0),
ROUND(ROUND(OFFSET($P202,0,AD$13),15-13*ORÇAMENTO!$AF$7)*OFFSET(ORÇAMENTO!$W$15,ROW(AD202)-ROW(AD$15),0),15-13*ORÇAMENTO!$AF$11)),0)</f>
        <v>0</v>
      </c>
      <c r="AE202" s="545">
        <f ca="1">IF(AND($D202="Serviço",AE$12&lt;&gt;0,$H202&gt;0,OR(AUTOEVENTO&lt;&gt;"manual",$M202&lt;&gt;1)),
IF(Import.TipoArredondamento&lt;&gt;"TransfereGOV",
ROUND(OFFSET($P202,0,AE$13),15-13*ORÇAMENTO!$AF$7)/$H202*OFFSET(ORÇAMENTO!$X$15,ROW(AE202)-ROW(AE$15),0),
ROUND(ROUND(OFFSET($P202,0,AE$13),15-13*ORÇAMENTO!$AF$7)*OFFSET(ORÇAMENTO!$W$15,ROW(AE202)-ROW(AE$15),0),15-13*ORÇAMENTO!$AF$11)),0)</f>
        <v>0</v>
      </c>
      <c r="AF202" s="545">
        <f ca="1">IF(AND($D202="Serviço",AF$12&lt;&gt;0,$H202&gt;0,OR(AUTOEVENTO&lt;&gt;"manual",$M202&lt;&gt;1)),
IF(Import.TipoArredondamento&lt;&gt;"TransfereGOV",
ROUND(OFFSET($P202,0,AF$13),15-13*ORÇAMENTO!$AF$7)/$H202*OFFSET(ORÇAMENTO!$X$15,ROW(AF202)-ROW(AF$15),0),
ROUND(ROUND(OFFSET($P202,0,AF$13),15-13*ORÇAMENTO!$AF$7)*OFFSET(ORÇAMENTO!$W$15,ROW(AF202)-ROW(AF$15),0),15-13*ORÇAMENTO!$AF$11)),0)</f>
        <v>0</v>
      </c>
      <c r="AG202" s="545">
        <f ca="1">IF(AND($D202="Serviço",AG$12&lt;&gt;0,$H202&gt;0,OR(AUTOEVENTO&lt;&gt;"manual",$M202&lt;&gt;1)),
IF(Import.TipoArredondamento&lt;&gt;"TransfereGOV",
ROUND(OFFSET($P202,0,AG$13),15-13*ORÇAMENTO!$AF$7)/$H202*OFFSET(ORÇAMENTO!$X$15,ROW(AG202)-ROW(AG$15),0),
ROUND(ROUND(OFFSET($P202,0,AG$13),15-13*ORÇAMENTO!$AF$7)*OFFSET(ORÇAMENTO!$W$15,ROW(AG202)-ROW(AG$15),0),15-13*ORÇAMENTO!$AF$11)),0)</f>
        <v>0</v>
      </c>
      <c r="AH202" s="545">
        <f ca="1">IF(AND($D202="Serviço",AH$12&lt;&gt;0,$H202&gt;0,OR(AUTOEVENTO&lt;&gt;"manual",$M202&lt;&gt;1)),
IF(Import.TipoArredondamento&lt;&gt;"TransfereGOV",
ROUND(OFFSET($P202,0,AH$13),15-13*ORÇAMENTO!$AF$7)/$H202*OFFSET(ORÇAMENTO!$X$15,ROW(AH202)-ROW(AH$15),0),
ROUND(ROUND(OFFSET($P202,0,AH$13),15-13*ORÇAMENTO!$AF$7)*OFFSET(ORÇAMENTO!$W$15,ROW(AH202)-ROW(AH$15),0),15-13*ORÇAMENTO!$AF$11)),0)</f>
        <v>0</v>
      </c>
      <c r="AI202" s="545">
        <f ca="1">IF(AND($D202="Serviço",AI$12&lt;&gt;0,$H202&gt;0,OR(AUTOEVENTO&lt;&gt;"manual",$M202&lt;&gt;1)),
IF(Import.TipoArredondamento&lt;&gt;"TransfereGOV",
ROUND(OFFSET($P202,0,AI$13),15-13*ORÇAMENTO!$AF$7)/$H202*OFFSET(ORÇAMENTO!$X$15,ROW(AI202)-ROW(AI$15),0),
ROUND(ROUND(OFFSET($P202,0,AI$13),15-13*ORÇAMENTO!$AF$7)*OFFSET(ORÇAMENTO!$W$15,ROW(AI202)-ROW(AI$15),0),15-13*ORÇAMENTO!$AF$11)),0)</f>
        <v>0</v>
      </c>
      <c r="AJ202" s="545">
        <f ca="1">IF(AND($D202="Serviço",AJ$12&lt;&gt;0,$H202&gt;0,OR(AUTOEVENTO&lt;&gt;"manual",$M202&lt;&gt;1)),
IF(Import.TipoArredondamento&lt;&gt;"TransfereGOV",
ROUND(OFFSET($P202,0,AJ$13),15-13*ORÇAMENTO!$AF$7)/$H202*OFFSET(ORÇAMENTO!$X$15,ROW(AJ202)-ROW(AJ$15),0),
ROUND(ROUND(OFFSET($P202,0,AJ$13),15-13*ORÇAMENTO!$AF$7)*OFFSET(ORÇAMENTO!$W$15,ROW(AJ202)-ROW(AJ$15),0),15-13*ORÇAMENTO!$AF$11)),0)</f>
        <v>0</v>
      </c>
      <c r="AK202" s="546">
        <f ca="1">IF(AND($D202="Serviço",AK$12&lt;&gt;0,$H202&gt;0,OR(AUTOEVENTO&lt;&gt;"manual",$M202&lt;&gt;1)),
IF(Import.TipoArredondamento&lt;&gt;"TransfereGOV",
ROUND(OFFSET($P202,0,AK$13),15-13*ORÇAMENTO!$AF$7)/$H202*OFFSET(ORÇAMENTO!$X$15,ROW(AK202)-ROW(AK$15),0),
ROUND(ROUND(OFFSET($P202,0,AK$13),15-13*ORÇAMENTO!$AF$7)*OFFSET(ORÇAMENTO!$W$15,ROW(AK202)-ROW(AK$15),0),15-13*ORÇAMENTO!$AF$11)),0)</f>
        <v>0</v>
      </c>
      <c r="AM202" s="181">
        <f ca="1">IF($D202&lt;&gt;"Serviço",0,IF(AND(AUTOEVENTO="Manual",$M202=1),0,IF(OFFSET(CRONOPLE!$F$14,$M202,AM$13)="",10^12,OFFSET(CRONOPLE!$F$14,$M202,AM$13))))</f>
        <v>1000000000000</v>
      </c>
      <c r="AN202" s="181">
        <f ca="1">IF($D202&lt;&gt;"Serviço",0,IF(AND(AUTOEVENTO="Manual",$M202=1),0,IF(OFFSET(CRONOPLE!$F$14,$M202,AN$13)="",10^12,OFFSET(CRONOPLE!$F$14,$M202,AN$13))))</f>
        <v>1000000000000</v>
      </c>
      <c r="AO202" s="181">
        <f ca="1">IF($D202&lt;&gt;"Serviço",0,IF(AND(AUTOEVENTO="Manual",$M202=1),0,IF(OFFSET(CRONOPLE!$F$14,$M202,AO$13)="",10^12,OFFSET(CRONOPLE!$F$14,$M202,AO$13))))</f>
        <v>1000000000000</v>
      </c>
      <c r="AP202" s="181">
        <f ca="1">IF($D202&lt;&gt;"Serviço",0,IF(AND(AUTOEVENTO="Manual",$M202=1),0,IF(OFFSET(CRONOPLE!$F$14,$M202,AP$13)="",10^12,OFFSET(CRONOPLE!$F$14,$M202,AP$13))))</f>
        <v>1000000000000</v>
      </c>
      <c r="AQ202" s="181">
        <f ca="1">IF($D202&lt;&gt;"Serviço",0,IF(AND(AUTOEVENTO="Manual",$M202=1),0,IF(OFFSET(CRONOPLE!$F$14,$M202,AQ$13)="",10^12,OFFSET(CRONOPLE!$F$14,$M202,AQ$13))))</f>
        <v>1000000000000</v>
      </c>
      <c r="AR202" s="181">
        <f ca="1">IF($D202&lt;&gt;"Serviço",0,IF(AND(AUTOEVENTO="Manual",$M202=1),0,IF(OFFSET(CRONOPLE!$F$14,$M202,AR$13)="",10^12,OFFSET(CRONOPLE!$F$14,$M202,AR$13))))</f>
        <v>1000000000000</v>
      </c>
      <c r="AS202" s="181">
        <f ca="1">IF($D202&lt;&gt;"Serviço",0,IF(AND(AUTOEVENTO="Manual",$M202=1),0,IF(OFFSET(CRONOPLE!$F$14,$M202,AS$13)="",10^12,OFFSET(CRONOPLE!$F$14,$M202,AS$13))))</f>
        <v>1000000000000</v>
      </c>
      <c r="AT202" s="181">
        <f ca="1">IF($D202&lt;&gt;"Serviço",0,IF(AND(AUTOEVENTO="Manual",$M202=1),0,IF(OFFSET(CRONOPLE!$F$14,$M202,AT$13)="",10^12,OFFSET(CRONOPLE!$F$14,$M202,AT$13))))</f>
        <v>1000000000000</v>
      </c>
      <c r="AU202" s="181">
        <f ca="1">IF($D202&lt;&gt;"Serviço",0,IF(AND(AUTOEVENTO="Manual",$M202=1),0,IF(OFFSET(CRONOPLE!$F$14,$M202,AU$13)="",10^12,OFFSET(CRONOPLE!$F$14,$M202,AU$13))))</f>
        <v>1000000000000</v>
      </c>
      <c r="AV202" s="181">
        <f ca="1">IF($D202&lt;&gt;"Serviço",0,IF(AND(AUTOEVENTO="Manual",$M202=1),0,IF(OFFSET(CRONOPLE!$F$14,$M202,AV$13)="",10^12,OFFSET(CRONOPLE!$F$14,$M202,AV$13))))</f>
        <v>1000000000000</v>
      </c>
      <c r="AX202" s="182">
        <f ca="1">IF($D202&lt;&gt;"Serviço",0,IF(OR(AND(AUTOEVENTO="Manual",$M202=1),$M202&gt;(ROW(PLE.lastrow)-ROW(PLE.firstrow))),0,IF(OFFSET(PLE!$G$14,$M202,AX$13)="",10^12,OFFSET(PLE!$G$14,$M202,AX$13))))</f>
        <v>1000000000000</v>
      </c>
      <c r="AY202" s="182">
        <f ca="1">IF($D202&lt;&gt;"Serviço",0,IF(OR(AND(AUTOEVENTO="Manual",$M202=1),$M202&gt;(ROW(PLE.lastrow)-ROW(PLE.firstrow))),0,IF(OFFSET(PLE!$G$14,$M202,AY$13)="",10^12,OFFSET(PLE!$G$14,$M202,AY$13))))</f>
        <v>1000000000000</v>
      </c>
      <c r="AZ202" s="182">
        <f ca="1">IF($D202&lt;&gt;"Serviço",0,IF(OR(AND(AUTOEVENTO="Manual",$M202=1),$M202&gt;(ROW(PLE.lastrow)-ROW(PLE.firstrow))),0,IF(OFFSET(PLE!$G$14,$M202,AZ$13)="",10^12,OFFSET(PLE!$G$14,$M202,AZ$13))))</f>
        <v>1000000000000</v>
      </c>
      <c r="BA202" s="182">
        <f ca="1">IF($D202&lt;&gt;"Serviço",0,IF(OR(AND(AUTOEVENTO="Manual",$M202=1),$M202&gt;(ROW(PLE.lastrow)-ROW(PLE.firstrow))),0,IF(OFFSET(PLE!$G$14,$M202,BA$13)="",10^12,OFFSET(PLE!$G$14,$M202,BA$13))))</f>
        <v>1000000000000</v>
      </c>
      <c r="BB202" s="182">
        <f ca="1">IF($D202&lt;&gt;"Serviço",0,IF(OR(AND(AUTOEVENTO="Manual",$M202=1),$M202&gt;(ROW(PLE.lastrow)-ROW(PLE.firstrow))),0,IF(OFFSET(PLE!$G$14,$M202,BB$13)="",10^12,OFFSET(PLE!$G$14,$M202,BB$13))))</f>
        <v>1000000000000</v>
      </c>
      <c r="BC202" s="182">
        <f ca="1">IF($D202&lt;&gt;"Serviço",0,IF(OR(AND(AUTOEVENTO="Manual",$M202=1),$M202&gt;(ROW(PLE.lastrow)-ROW(PLE.firstrow))),0,IF(OFFSET(PLE!$G$14,$M202,BC$13)="",10^12,OFFSET(PLE!$G$14,$M202,BC$13))))</f>
        <v>1000000000000</v>
      </c>
      <c r="BD202" s="182">
        <f ca="1">IF($D202&lt;&gt;"Serviço",0,IF(OR(AND(AUTOEVENTO="Manual",$M202=1),$M202&gt;(ROW(PLE.lastrow)-ROW(PLE.firstrow))),0,IF(OFFSET(PLE!$G$14,$M202,BD$13)="",10^12,OFFSET(PLE!$G$14,$M202,BD$13))))</f>
        <v>1000000000000</v>
      </c>
      <c r="BE202" s="182">
        <f ca="1">IF($D202&lt;&gt;"Serviço",0,IF(OR(AND(AUTOEVENTO="Manual",$M202=1),$M202&gt;(ROW(PLE.lastrow)-ROW(PLE.firstrow))),0,IF(OFFSET(PLE!$G$14,$M202,BE$13)="",10^12,OFFSET(PLE!$G$14,$M202,BE$13))))</f>
        <v>1000000000000</v>
      </c>
      <c r="BF202" s="182">
        <f ca="1">IF($D202&lt;&gt;"Serviço",0,IF(OR(AND(AUTOEVENTO="Manual",$M202=1),$M202&gt;(ROW(PLE.lastrow)-ROW(PLE.firstrow))),0,IF(OFFSET(PLE!$G$14,$M202,BF$13)="",10^12,OFFSET(PLE!$G$14,$M202,BF$13))))</f>
        <v>1000000000000</v>
      </c>
      <c r="BG202" s="182">
        <f ca="1">IF($D202&lt;&gt;"Serviço",0,IF(OR(AND(AUTOEVENTO="Manual",$M202=1),$M202&gt;(ROW(PLE.lastrow)-ROW(PLE.firstrow))),0,IF(OFFSET(PLE!$G$14,$M202,BG$13)="",10^12,OFFSET(PLE!$G$14,$M202,BG$13))))</f>
        <v>1000000000000</v>
      </c>
    </row>
    <row r="203" spans="1:59" ht="25.5" x14ac:dyDescent="0.2">
      <c r="A203" s="7" t="str">
        <f t="shared" ca="1" si="10"/>
        <v>175</v>
      </c>
      <c r="B203" s="7" t="str">
        <f ca="1">OFFSET(ORÇAMENTO!C$15,ROW(B203)-ROW(B$15),0)</f>
        <v>S</v>
      </c>
      <c r="C203" s="7" t="str">
        <f ca="1">OFFSET(ORÇAMENTO!L$15,ROW(C203)-ROW(C$15),0)</f>
        <v/>
      </c>
      <c r="D203" s="118" t="str">
        <f ca="1">OFFSET(ORÇAMENTO!N$15,ROW(D203)-ROW(D$15),0)</f>
        <v>Serviço</v>
      </c>
      <c r="E203" s="119" t="str">
        <f ca="1">OFFSET(ORÇAMENTO!O$15,ROW(E203)-ROW(E$15),0)</f>
        <v>-</v>
      </c>
      <c r="F203" s="172" t="str">
        <f ca="1">OFFSET(ORÇAMENTO!R$15,ROW(F203)-ROW(F$15),0)</f>
        <v>(abra o arquivo 'Referência 02-2025.xlsm)</v>
      </c>
      <c r="G203" s="173" t="str">
        <f ca="1">IF($D203&lt;&gt;"Serviço","",OFFSET(ORÇAMENTO!S$15,ROW(G203)-ROW(G$15),0))</f>
        <v>-</v>
      </c>
      <c r="H203" s="124">
        <f ca="1">IF($D203&lt;&gt;"Serviço",0,IF(ACOMPANHAMENTO="BM",ROUND(OFFSET(ORÇAMENTO!AJ$15,ROW(H203)-ROW(H$15),0),15-13*ORÇAMENTO!$AF$7),SUMPRODUCT(($Q$12:$AA$12&lt;&gt;"")*ROUND($Q203:$AA203,15-13*ORÇAMENTO!$AF$7))))</f>
        <v>69.45</v>
      </c>
      <c r="I203" s="561" t="s">
        <v>890</v>
      </c>
      <c r="K203" s="174"/>
      <c r="L203" s="175" t="s">
        <v>255</v>
      </c>
      <c r="M203" s="176">
        <f ca="1">IF($D203&lt;&gt;"Serviço","",IF(AUTOEVENTO="manual",$A203,IF(ISERROR(MATCH($A203,$A$15:OFFSET($A203,-1,0),0)),MAX($M$15:OFFSET(M203,-1,0))+1,INDEX($M$15:OFFSET(M203,-1,0),MATCH($A203,$A$15:OFFSET($A203,-1,0),0)))))</f>
        <v>10</v>
      </c>
      <c r="N203" s="177" t="str">
        <f ca="1">IF($D203&lt;&gt;"Serviço","",IF(AUTOEVENTO="Manual",IF($A203=0,"&lt;-- defina o número do agrupador",OFFSET(EVENTOS!$D$14,$A203,0)),OFFSET($F$15,$A203,0)))</f>
        <v>REVESTIMENTOS INTERNO E EXTERNO</v>
      </c>
      <c r="O203" s="178"/>
      <c r="Q203" s="178"/>
      <c r="R203" s="179"/>
      <c r="S203" s="179"/>
      <c r="T203" s="179"/>
      <c r="U203" s="179"/>
      <c r="V203" s="179"/>
      <c r="W203" s="179"/>
      <c r="X203" s="179"/>
      <c r="Y203" s="179"/>
      <c r="Z203" s="180"/>
      <c r="AB203" s="544">
        <f ca="1">IF(AND($D203="Serviço",AB$12&lt;&gt;0,$H203&gt;0,OR(AUTOEVENTO&lt;&gt;"manual",$M203&lt;&gt;1)),
IF(Import.TipoArredondamento&lt;&gt;"TransfereGOV",
ROUND(OFFSET($P203,0,AB$13),15-13*ORÇAMENTO!$AF$7)/$H203*OFFSET(ORÇAMENTO!$X$15,ROW(AB203)-ROW(AB$15),0),
ROUND(ROUND(OFFSET($P203,0,AB$13),15-13*ORÇAMENTO!$AF$7)*OFFSET(ORÇAMENTO!$W$15,ROW(AB203)-ROW(AB$15),0),15-13*ORÇAMENTO!$AF$11)),0)</f>
        <v>0</v>
      </c>
      <c r="AC203" s="545">
        <f ca="1">IF(AND($D203="Serviço",AC$12&lt;&gt;0,$H203&gt;0,OR(AUTOEVENTO&lt;&gt;"manual",$M203&lt;&gt;1)),
IF(Import.TipoArredondamento&lt;&gt;"TransfereGOV",
ROUND(OFFSET($P203,0,AC$13),15-13*ORÇAMENTO!$AF$7)/$H203*OFFSET(ORÇAMENTO!$X$15,ROW(AC203)-ROW(AC$15),0),
ROUND(ROUND(OFFSET($P203,0,AC$13),15-13*ORÇAMENTO!$AF$7)*OFFSET(ORÇAMENTO!$W$15,ROW(AC203)-ROW(AC$15),0),15-13*ORÇAMENTO!$AF$11)),0)</f>
        <v>0</v>
      </c>
      <c r="AD203" s="545">
        <f ca="1">IF(AND($D203="Serviço",AD$12&lt;&gt;0,$H203&gt;0,OR(AUTOEVENTO&lt;&gt;"manual",$M203&lt;&gt;1)),
IF(Import.TipoArredondamento&lt;&gt;"TransfereGOV",
ROUND(OFFSET($P203,0,AD$13),15-13*ORÇAMENTO!$AF$7)/$H203*OFFSET(ORÇAMENTO!$X$15,ROW(AD203)-ROW(AD$15),0),
ROUND(ROUND(OFFSET($P203,0,AD$13),15-13*ORÇAMENTO!$AF$7)*OFFSET(ORÇAMENTO!$W$15,ROW(AD203)-ROW(AD$15),0),15-13*ORÇAMENTO!$AF$11)),0)</f>
        <v>0</v>
      </c>
      <c r="AE203" s="545">
        <f ca="1">IF(AND($D203="Serviço",AE$12&lt;&gt;0,$H203&gt;0,OR(AUTOEVENTO&lt;&gt;"manual",$M203&lt;&gt;1)),
IF(Import.TipoArredondamento&lt;&gt;"TransfereGOV",
ROUND(OFFSET($P203,0,AE$13),15-13*ORÇAMENTO!$AF$7)/$H203*OFFSET(ORÇAMENTO!$X$15,ROW(AE203)-ROW(AE$15),0),
ROUND(ROUND(OFFSET($P203,0,AE$13),15-13*ORÇAMENTO!$AF$7)*OFFSET(ORÇAMENTO!$W$15,ROW(AE203)-ROW(AE$15),0),15-13*ORÇAMENTO!$AF$11)),0)</f>
        <v>0</v>
      </c>
      <c r="AF203" s="545">
        <f ca="1">IF(AND($D203="Serviço",AF$12&lt;&gt;0,$H203&gt;0,OR(AUTOEVENTO&lt;&gt;"manual",$M203&lt;&gt;1)),
IF(Import.TipoArredondamento&lt;&gt;"TransfereGOV",
ROUND(OFFSET($P203,0,AF$13),15-13*ORÇAMENTO!$AF$7)/$H203*OFFSET(ORÇAMENTO!$X$15,ROW(AF203)-ROW(AF$15),0),
ROUND(ROUND(OFFSET($P203,0,AF$13),15-13*ORÇAMENTO!$AF$7)*OFFSET(ORÇAMENTO!$W$15,ROW(AF203)-ROW(AF$15),0),15-13*ORÇAMENTO!$AF$11)),0)</f>
        <v>0</v>
      </c>
      <c r="AG203" s="545">
        <f ca="1">IF(AND($D203="Serviço",AG$12&lt;&gt;0,$H203&gt;0,OR(AUTOEVENTO&lt;&gt;"manual",$M203&lt;&gt;1)),
IF(Import.TipoArredondamento&lt;&gt;"TransfereGOV",
ROUND(OFFSET($P203,0,AG$13),15-13*ORÇAMENTO!$AF$7)/$H203*OFFSET(ORÇAMENTO!$X$15,ROW(AG203)-ROW(AG$15),0),
ROUND(ROUND(OFFSET($P203,0,AG$13),15-13*ORÇAMENTO!$AF$7)*OFFSET(ORÇAMENTO!$W$15,ROW(AG203)-ROW(AG$15),0),15-13*ORÇAMENTO!$AF$11)),0)</f>
        <v>0</v>
      </c>
      <c r="AH203" s="545">
        <f ca="1">IF(AND($D203="Serviço",AH$12&lt;&gt;0,$H203&gt;0,OR(AUTOEVENTO&lt;&gt;"manual",$M203&lt;&gt;1)),
IF(Import.TipoArredondamento&lt;&gt;"TransfereGOV",
ROUND(OFFSET($P203,0,AH$13),15-13*ORÇAMENTO!$AF$7)/$H203*OFFSET(ORÇAMENTO!$X$15,ROW(AH203)-ROW(AH$15),0),
ROUND(ROUND(OFFSET($P203,0,AH$13),15-13*ORÇAMENTO!$AF$7)*OFFSET(ORÇAMENTO!$W$15,ROW(AH203)-ROW(AH$15),0),15-13*ORÇAMENTO!$AF$11)),0)</f>
        <v>0</v>
      </c>
      <c r="AI203" s="545">
        <f ca="1">IF(AND($D203="Serviço",AI$12&lt;&gt;0,$H203&gt;0,OR(AUTOEVENTO&lt;&gt;"manual",$M203&lt;&gt;1)),
IF(Import.TipoArredondamento&lt;&gt;"TransfereGOV",
ROUND(OFFSET($P203,0,AI$13),15-13*ORÇAMENTO!$AF$7)/$H203*OFFSET(ORÇAMENTO!$X$15,ROW(AI203)-ROW(AI$15),0),
ROUND(ROUND(OFFSET($P203,0,AI$13),15-13*ORÇAMENTO!$AF$7)*OFFSET(ORÇAMENTO!$W$15,ROW(AI203)-ROW(AI$15),0),15-13*ORÇAMENTO!$AF$11)),0)</f>
        <v>0</v>
      </c>
      <c r="AJ203" s="545">
        <f ca="1">IF(AND($D203="Serviço",AJ$12&lt;&gt;0,$H203&gt;0,OR(AUTOEVENTO&lt;&gt;"manual",$M203&lt;&gt;1)),
IF(Import.TipoArredondamento&lt;&gt;"TransfereGOV",
ROUND(OFFSET($P203,0,AJ$13),15-13*ORÇAMENTO!$AF$7)/$H203*OFFSET(ORÇAMENTO!$X$15,ROW(AJ203)-ROW(AJ$15),0),
ROUND(ROUND(OFFSET($P203,0,AJ$13),15-13*ORÇAMENTO!$AF$7)*OFFSET(ORÇAMENTO!$W$15,ROW(AJ203)-ROW(AJ$15),0),15-13*ORÇAMENTO!$AF$11)),0)</f>
        <v>0</v>
      </c>
      <c r="AK203" s="546">
        <f ca="1">IF(AND($D203="Serviço",AK$12&lt;&gt;0,$H203&gt;0,OR(AUTOEVENTO&lt;&gt;"manual",$M203&lt;&gt;1)),
IF(Import.TipoArredondamento&lt;&gt;"TransfereGOV",
ROUND(OFFSET($P203,0,AK$13),15-13*ORÇAMENTO!$AF$7)/$H203*OFFSET(ORÇAMENTO!$X$15,ROW(AK203)-ROW(AK$15),0),
ROUND(ROUND(OFFSET($P203,0,AK$13),15-13*ORÇAMENTO!$AF$7)*OFFSET(ORÇAMENTO!$W$15,ROW(AK203)-ROW(AK$15),0),15-13*ORÇAMENTO!$AF$11)),0)</f>
        <v>0</v>
      </c>
      <c r="AM203" s="181">
        <f ca="1">IF($D203&lt;&gt;"Serviço",0,IF(AND(AUTOEVENTO="Manual",$M203=1),0,IF(OFFSET(CRONOPLE!$F$14,$M203,AM$13)="",10^12,OFFSET(CRONOPLE!$F$14,$M203,AM$13))))</f>
        <v>1000000000000</v>
      </c>
      <c r="AN203" s="181">
        <f ca="1">IF($D203&lt;&gt;"Serviço",0,IF(AND(AUTOEVENTO="Manual",$M203=1),0,IF(OFFSET(CRONOPLE!$F$14,$M203,AN$13)="",10^12,OFFSET(CRONOPLE!$F$14,$M203,AN$13))))</f>
        <v>1000000000000</v>
      </c>
      <c r="AO203" s="181">
        <f ca="1">IF($D203&lt;&gt;"Serviço",0,IF(AND(AUTOEVENTO="Manual",$M203=1),0,IF(OFFSET(CRONOPLE!$F$14,$M203,AO$13)="",10^12,OFFSET(CRONOPLE!$F$14,$M203,AO$13))))</f>
        <v>1000000000000</v>
      </c>
      <c r="AP203" s="181">
        <f ca="1">IF($D203&lt;&gt;"Serviço",0,IF(AND(AUTOEVENTO="Manual",$M203=1),0,IF(OFFSET(CRONOPLE!$F$14,$M203,AP$13)="",10^12,OFFSET(CRONOPLE!$F$14,$M203,AP$13))))</f>
        <v>1000000000000</v>
      </c>
      <c r="AQ203" s="181">
        <f ca="1">IF($D203&lt;&gt;"Serviço",0,IF(AND(AUTOEVENTO="Manual",$M203=1),0,IF(OFFSET(CRONOPLE!$F$14,$M203,AQ$13)="",10^12,OFFSET(CRONOPLE!$F$14,$M203,AQ$13))))</f>
        <v>1000000000000</v>
      </c>
      <c r="AR203" s="181">
        <f ca="1">IF($D203&lt;&gt;"Serviço",0,IF(AND(AUTOEVENTO="Manual",$M203=1),0,IF(OFFSET(CRONOPLE!$F$14,$M203,AR$13)="",10^12,OFFSET(CRONOPLE!$F$14,$M203,AR$13))))</f>
        <v>1000000000000</v>
      </c>
      <c r="AS203" s="181">
        <f ca="1">IF($D203&lt;&gt;"Serviço",0,IF(AND(AUTOEVENTO="Manual",$M203=1),0,IF(OFFSET(CRONOPLE!$F$14,$M203,AS$13)="",10^12,OFFSET(CRONOPLE!$F$14,$M203,AS$13))))</f>
        <v>1000000000000</v>
      </c>
      <c r="AT203" s="181">
        <f ca="1">IF($D203&lt;&gt;"Serviço",0,IF(AND(AUTOEVENTO="Manual",$M203=1),0,IF(OFFSET(CRONOPLE!$F$14,$M203,AT$13)="",10^12,OFFSET(CRONOPLE!$F$14,$M203,AT$13))))</f>
        <v>1000000000000</v>
      </c>
      <c r="AU203" s="181">
        <f ca="1">IF($D203&lt;&gt;"Serviço",0,IF(AND(AUTOEVENTO="Manual",$M203=1),0,IF(OFFSET(CRONOPLE!$F$14,$M203,AU$13)="",10^12,OFFSET(CRONOPLE!$F$14,$M203,AU$13))))</f>
        <v>1000000000000</v>
      </c>
      <c r="AV203" s="181">
        <f ca="1">IF($D203&lt;&gt;"Serviço",0,IF(AND(AUTOEVENTO="Manual",$M203=1),0,IF(OFFSET(CRONOPLE!$F$14,$M203,AV$13)="",10^12,OFFSET(CRONOPLE!$F$14,$M203,AV$13))))</f>
        <v>1000000000000</v>
      </c>
      <c r="AX203" s="182">
        <f ca="1">IF($D203&lt;&gt;"Serviço",0,IF(OR(AND(AUTOEVENTO="Manual",$M203=1),$M203&gt;(ROW(PLE.lastrow)-ROW(PLE.firstrow))),0,IF(OFFSET(PLE!$G$14,$M203,AX$13)="",10^12,OFFSET(PLE!$G$14,$M203,AX$13))))</f>
        <v>1000000000000</v>
      </c>
      <c r="AY203" s="182">
        <f ca="1">IF($D203&lt;&gt;"Serviço",0,IF(OR(AND(AUTOEVENTO="Manual",$M203=1),$M203&gt;(ROW(PLE.lastrow)-ROW(PLE.firstrow))),0,IF(OFFSET(PLE!$G$14,$M203,AY$13)="",10^12,OFFSET(PLE!$G$14,$M203,AY$13))))</f>
        <v>1000000000000</v>
      </c>
      <c r="AZ203" s="182">
        <f ca="1">IF($D203&lt;&gt;"Serviço",0,IF(OR(AND(AUTOEVENTO="Manual",$M203=1),$M203&gt;(ROW(PLE.lastrow)-ROW(PLE.firstrow))),0,IF(OFFSET(PLE!$G$14,$M203,AZ$13)="",10^12,OFFSET(PLE!$G$14,$M203,AZ$13))))</f>
        <v>1000000000000</v>
      </c>
      <c r="BA203" s="182">
        <f ca="1">IF($D203&lt;&gt;"Serviço",0,IF(OR(AND(AUTOEVENTO="Manual",$M203=1),$M203&gt;(ROW(PLE.lastrow)-ROW(PLE.firstrow))),0,IF(OFFSET(PLE!$G$14,$M203,BA$13)="",10^12,OFFSET(PLE!$G$14,$M203,BA$13))))</f>
        <v>1000000000000</v>
      </c>
      <c r="BB203" s="182">
        <f ca="1">IF($D203&lt;&gt;"Serviço",0,IF(OR(AND(AUTOEVENTO="Manual",$M203=1),$M203&gt;(ROW(PLE.lastrow)-ROW(PLE.firstrow))),0,IF(OFFSET(PLE!$G$14,$M203,BB$13)="",10^12,OFFSET(PLE!$G$14,$M203,BB$13))))</f>
        <v>1000000000000</v>
      </c>
      <c r="BC203" s="182">
        <f ca="1">IF($D203&lt;&gt;"Serviço",0,IF(OR(AND(AUTOEVENTO="Manual",$M203=1),$M203&gt;(ROW(PLE.lastrow)-ROW(PLE.firstrow))),0,IF(OFFSET(PLE!$G$14,$M203,BC$13)="",10^12,OFFSET(PLE!$G$14,$M203,BC$13))))</f>
        <v>1000000000000</v>
      </c>
      <c r="BD203" s="182">
        <f ca="1">IF($D203&lt;&gt;"Serviço",0,IF(OR(AND(AUTOEVENTO="Manual",$M203=1),$M203&gt;(ROW(PLE.lastrow)-ROW(PLE.firstrow))),0,IF(OFFSET(PLE!$G$14,$M203,BD$13)="",10^12,OFFSET(PLE!$G$14,$M203,BD$13))))</f>
        <v>1000000000000</v>
      </c>
      <c r="BE203" s="182">
        <f ca="1">IF($D203&lt;&gt;"Serviço",0,IF(OR(AND(AUTOEVENTO="Manual",$M203=1),$M203&gt;(ROW(PLE.lastrow)-ROW(PLE.firstrow))),0,IF(OFFSET(PLE!$G$14,$M203,BE$13)="",10^12,OFFSET(PLE!$G$14,$M203,BE$13))))</f>
        <v>1000000000000</v>
      </c>
      <c r="BF203" s="182">
        <f ca="1">IF($D203&lt;&gt;"Serviço",0,IF(OR(AND(AUTOEVENTO="Manual",$M203=1),$M203&gt;(ROW(PLE.lastrow)-ROW(PLE.firstrow))),0,IF(OFFSET(PLE!$G$14,$M203,BF$13)="",10^12,OFFSET(PLE!$G$14,$M203,BF$13))))</f>
        <v>1000000000000</v>
      </c>
      <c r="BG203" s="182">
        <f ca="1">IF($D203&lt;&gt;"Serviço",0,IF(OR(AND(AUTOEVENTO="Manual",$M203=1),$M203&gt;(ROW(PLE.lastrow)-ROW(PLE.firstrow))),0,IF(OFFSET(PLE!$G$14,$M203,BG$13)="",10^12,OFFSET(PLE!$G$14,$M203,BG$13))))</f>
        <v>1000000000000</v>
      </c>
    </row>
    <row r="204" spans="1:59" ht="25.5" x14ac:dyDescent="0.2">
      <c r="A204" s="7" t="str">
        <f t="shared" ca="1" si="10"/>
        <v>175</v>
      </c>
      <c r="B204" s="7" t="str">
        <f ca="1">OFFSET(ORÇAMENTO!C$15,ROW(B204)-ROW(B$15),0)</f>
        <v>S</v>
      </c>
      <c r="C204" s="7" t="str">
        <f ca="1">OFFSET(ORÇAMENTO!L$15,ROW(C204)-ROW(C$15),0)</f>
        <v/>
      </c>
      <c r="D204" s="118" t="str">
        <f ca="1">OFFSET(ORÇAMENTO!N$15,ROW(D204)-ROW(D$15),0)</f>
        <v>Serviço</v>
      </c>
      <c r="E204" s="119" t="str">
        <f ca="1">OFFSET(ORÇAMENTO!O$15,ROW(E204)-ROW(E$15),0)</f>
        <v>-</v>
      </c>
      <c r="F204" s="172" t="str">
        <f ca="1">OFFSET(ORÇAMENTO!R$15,ROW(F204)-ROW(F$15),0)</f>
        <v>(abra o arquivo 'Referência 02-2025.xlsm)</v>
      </c>
      <c r="G204" s="173" t="str">
        <f ca="1">IF($D204&lt;&gt;"Serviço","",OFFSET(ORÇAMENTO!S$15,ROW(G204)-ROW(G$15),0))</f>
        <v>-</v>
      </c>
      <c r="H204" s="124">
        <f ca="1">IF($D204&lt;&gt;"Serviço",0,IF(ACOMPANHAMENTO="BM",ROUND(OFFSET(ORÇAMENTO!AJ$15,ROW(H204)-ROW(H$15),0),15-13*ORÇAMENTO!$AF$7),SUMPRODUCT(($Q$12:$AA$12&lt;&gt;"")*ROUND($Q204:$AA204,15-13*ORÇAMENTO!$AF$7))))</f>
        <v>471.12</v>
      </c>
      <c r="I204" s="561" t="s">
        <v>890</v>
      </c>
      <c r="K204" s="174"/>
      <c r="L204" s="175" t="s">
        <v>255</v>
      </c>
      <c r="M204" s="176">
        <f ca="1">IF($D204&lt;&gt;"Serviço","",IF(AUTOEVENTO="manual",$A204,IF(ISERROR(MATCH($A204,$A$15:OFFSET($A204,-1,0),0)),MAX($M$15:OFFSET(M204,-1,0))+1,INDEX($M$15:OFFSET(M204,-1,0),MATCH($A204,$A$15:OFFSET($A204,-1,0),0)))))</f>
        <v>10</v>
      </c>
      <c r="N204" s="177" t="str">
        <f ca="1">IF($D204&lt;&gt;"Serviço","",IF(AUTOEVENTO="Manual",IF($A204=0,"&lt;-- defina o número do agrupador",OFFSET(EVENTOS!$D$14,$A204,0)),OFFSET($F$15,$A204,0)))</f>
        <v>REVESTIMENTOS INTERNO E EXTERNO</v>
      </c>
      <c r="O204" s="178"/>
      <c r="Q204" s="178"/>
      <c r="R204" s="179"/>
      <c r="S204" s="179"/>
      <c r="T204" s="179"/>
      <c r="U204" s="179"/>
      <c r="V204" s="179"/>
      <c r="W204" s="179"/>
      <c r="X204" s="179"/>
      <c r="Y204" s="179"/>
      <c r="Z204" s="180"/>
      <c r="AB204" s="544">
        <f ca="1">IF(AND($D204="Serviço",AB$12&lt;&gt;0,$H204&gt;0,OR(AUTOEVENTO&lt;&gt;"manual",$M204&lt;&gt;1)),
IF(Import.TipoArredondamento&lt;&gt;"TransfereGOV",
ROUND(OFFSET($P204,0,AB$13),15-13*ORÇAMENTO!$AF$7)/$H204*OFFSET(ORÇAMENTO!$X$15,ROW(AB204)-ROW(AB$15),0),
ROUND(ROUND(OFFSET($P204,0,AB$13),15-13*ORÇAMENTO!$AF$7)*OFFSET(ORÇAMENTO!$W$15,ROW(AB204)-ROW(AB$15),0),15-13*ORÇAMENTO!$AF$11)),0)</f>
        <v>0</v>
      </c>
      <c r="AC204" s="545">
        <f ca="1">IF(AND($D204="Serviço",AC$12&lt;&gt;0,$H204&gt;0,OR(AUTOEVENTO&lt;&gt;"manual",$M204&lt;&gt;1)),
IF(Import.TipoArredondamento&lt;&gt;"TransfereGOV",
ROUND(OFFSET($P204,0,AC$13),15-13*ORÇAMENTO!$AF$7)/$H204*OFFSET(ORÇAMENTO!$X$15,ROW(AC204)-ROW(AC$15),0),
ROUND(ROUND(OFFSET($P204,0,AC$13),15-13*ORÇAMENTO!$AF$7)*OFFSET(ORÇAMENTO!$W$15,ROW(AC204)-ROW(AC$15),0),15-13*ORÇAMENTO!$AF$11)),0)</f>
        <v>0</v>
      </c>
      <c r="AD204" s="545">
        <f ca="1">IF(AND($D204="Serviço",AD$12&lt;&gt;0,$H204&gt;0,OR(AUTOEVENTO&lt;&gt;"manual",$M204&lt;&gt;1)),
IF(Import.TipoArredondamento&lt;&gt;"TransfereGOV",
ROUND(OFFSET($P204,0,AD$13),15-13*ORÇAMENTO!$AF$7)/$H204*OFFSET(ORÇAMENTO!$X$15,ROW(AD204)-ROW(AD$15),0),
ROUND(ROUND(OFFSET($P204,0,AD$13),15-13*ORÇAMENTO!$AF$7)*OFFSET(ORÇAMENTO!$W$15,ROW(AD204)-ROW(AD$15),0),15-13*ORÇAMENTO!$AF$11)),0)</f>
        <v>0</v>
      </c>
      <c r="AE204" s="545">
        <f ca="1">IF(AND($D204="Serviço",AE$12&lt;&gt;0,$H204&gt;0,OR(AUTOEVENTO&lt;&gt;"manual",$M204&lt;&gt;1)),
IF(Import.TipoArredondamento&lt;&gt;"TransfereGOV",
ROUND(OFFSET($P204,0,AE$13),15-13*ORÇAMENTO!$AF$7)/$H204*OFFSET(ORÇAMENTO!$X$15,ROW(AE204)-ROW(AE$15),0),
ROUND(ROUND(OFFSET($P204,0,AE$13),15-13*ORÇAMENTO!$AF$7)*OFFSET(ORÇAMENTO!$W$15,ROW(AE204)-ROW(AE$15),0),15-13*ORÇAMENTO!$AF$11)),0)</f>
        <v>0</v>
      </c>
      <c r="AF204" s="545">
        <f ca="1">IF(AND($D204="Serviço",AF$12&lt;&gt;0,$H204&gt;0,OR(AUTOEVENTO&lt;&gt;"manual",$M204&lt;&gt;1)),
IF(Import.TipoArredondamento&lt;&gt;"TransfereGOV",
ROUND(OFFSET($P204,0,AF$13),15-13*ORÇAMENTO!$AF$7)/$H204*OFFSET(ORÇAMENTO!$X$15,ROW(AF204)-ROW(AF$15),0),
ROUND(ROUND(OFFSET($P204,0,AF$13),15-13*ORÇAMENTO!$AF$7)*OFFSET(ORÇAMENTO!$W$15,ROW(AF204)-ROW(AF$15),0),15-13*ORÇAMENTO!$AF$11)),0)</f>
        <v>0</v>
      </c>
      <c r="AG204" s="545">
        <f ca="1">IF(AND($D204="Serviço",AG$12&lt;&gt;0,$H204&gt;0,OR(AUTOEVENTO&lt;&gt;"manual",$M204&lt;&gt;1)),
IF(Import.TipoArredondamento&lt;&gt;"TransfereGOV",
ROUND(OFFSET($P204,0,AG$13),15-13*ORÇAMENTO!$AF$7)/$H204*OFFSET(ORÇAMENTO!$X$15,ROW(AG204)-ROW(AG$15),0),
ROUND(ROUND(OFFSET($P204,0,AG$13),15-13*ORÇAMENTO!$AF$7)*OFFSET(ORÇAMENTO!$W$15,ROW(AG204)-ROW(AG$15),0),15-13*ORÇAMENTO!$AF$11)),0)</f>
        <v>0</v>
      </c>
      <c r="AH204" s="545">
        <f ca="1">IF(AND($D204="Serviço",AH$12&lt;&gt;0,$H204&gt;0,OR(AUTOEVENTO&lt;&gt;"manual",$M204&lt;&gt;1)),
IF(Import.TipoArredondamento&lt;&gt;"TransfereGOV",
ROUND(OFFSET($P204,0,AH$13),15-13*ORÇAMENTO!$AF$7)/$H204*OFFSET(ORÇAMENTO!$X$15,ROW(AH204)-ROW(AH$15),0),
ROUND(ROUND(OFFSET($P204,0,AH$13),15-13*ORÇAMENTO!$AF$7)*OFFSET(ORÇAMENTO!$W$15,ROW(AH204)-ROW(AH$15),0),15-13*ORÇAMENTO!$AF$11)),0)</f>
        <v>0</v>
      </c>
      <c r="AI204" s="545">
        <f ca="1">IF(AND($D204="Serviço",AI$12&lt;&gt;0,$H204&gt;0,OR(AUTOEVENTO&lt;&gt;"manual",$M204&lt;&gt;1)),
IF(Import.TipoArredondamento&lt;&gt;"TransfereGOV",
ROUND(OFFSET($P204,0,AI$13),15-13*ORÇAMENTO!$AF$7)/$H204*OFFSET(ORÇAMENTO!$X$15,ROW(AI204)-ROW(AI$15),0),
ROUND(ROUND(OFFSET($P204,0,AI$13),15-13*ORÇAMENTO!$AF$7)*OFFSET(ORÇAMENTO!$W$15,ROW(AI204)-ROW(AI$15),0),15-13*ORÇAMENTO!$AF$11)),0)</f>
        <v>0</v>
      </c>
      <c r="AJ204" s="545">
        <f ca="1">IF(AND($D204="Serviço",AJ$12&lt;&gt;0,$H204&gt;0,OR(AUTOEVENTO&lt;&gt;"manual",$M204&lt;&gt;1)),
IF(Import.TipoArredondamento&lt;&gt;"TransfereGOV",
ROUND(OFFSET($P204,0,AJ$13),15-13*ORÇAMENTO!$AF$7)/$H204*OFFSET(ORÇAMENTO!$X$15,ROW(AJ204)-ROW(AJ$15),0),
ROUND(ROUND(OFFSET($P204,0,AJ$13),15-13*ORÇAMENTO!$AF$7)*OFFSET(ORÇAMENTO!$W$15,ROW(AJ204)-ROW(AJ$15),0),15-13*ORÇAMENTO!$AF$11)),0)</f>
        <v>0</v>
      </c>
      <c r="AK204" s="546">
        <f ca="1">IF(AND($D204="Serviço",AK$12&lt;&gt;0,$H204&gt;0,OR(AUTOEVENTO&lt;&gt;"manual",$M204&lt;&gt;1)),
IF(Import.TipoArredondamento&lt;&gt;"TransfereGOV",
ROUND(OFFSET($P204,0,AK$13),15-13*ORÇAMENTO!$AF$7)/$H204*OFFSET(ORÇAMENTO!$X$15,ROW(AK204)-ROW(AK$15),0),
ROUND(ROUND(OFFSET($P204,0,AK$13),15-13*ORÇAMENTO!$AF$7)*OFFSET(ORÇAMENTO!$W$15,ROW(AK204)-ROW(AK$15),0),15-13*ORÇAMENTO!$AF$11)),0)</f>
        <v>0</v>
      </c>
      <c r="AM204" s="181">
        <f ca="1">IF($D204&lt;&gt;"Serviço",0,IF(AND(AUTOEVENTO="Manual",$M204=1),0,IF(OFFSET(CRONOPLE!$F$14,$M204,AM$13)="",10^12,OFFSET(CRONOPLE!$F$14,$M204,AM$13))))</f>
        <v>1000000000000</v>
      </c>
      <c r="AN204" s="181">
        <f ca="1">IF($D204&lt;&gt;"Serviço",0,IF(AND(AUTOEVENTO="Manual",$M204=1),0,IF(OFFSET(CRONOPLE!$F$14,$M204,AN$13)="",10^12,OFFSET(CRONOPLE!$F$14,$M204,AN$13))))</f>
        <v>1000000000000</v>
      </c>
      <c r="AO204" s="181">
        <f ca="1">IF($D204&lt;&gt;"Serviço",0,IF(AND(AUTOEVENTO="Manual",$M204=1),0,IF(OFFSET(CRONOPLE!$F$14,$M204,AO$13)="",10^12,OFFSET(CRONOPLE!$F$14,$M204,AO$13))))</f>
        <v>1000000000000</v>
      </c>
      <c r="AP204" s="181">
        <f ca="1">IF($D204&lt;&gt;"Serviço",0,IF(AND(AUTOEVENTO="Manual",$M204=1),0,IF(OFFSET(CRONOPLE!$F$14,$M204,AP$13)="",10^12,OFFSET(CRONOPLE!$F$14,$M204,AP$13))))</f>
        <v>1000000000000</v>
      </c>
      <c r="AQ204" s="181">
        <f ca="1">IF($D204&lt;&gt;"Serviço",0,IF(AND(AUTOEVENTO="Manual",$M204=1),0,IF(OFFSET(CRONOPLE!$F$14,$M204,AQ$13)="",10^12,OFFSET(CRONOPLE!$F$14,$M204,AQ$13))))</f>
        <v>1000000000000</v>
      </c>
      <c r="AR204" s="181">
        <f ca="1">IF($D204&lt;&gt;"Serviço",0,IF(AND(AUTOEVENTO="Manual",$M204=1),0,IF(OFFSET(CRONOPLE!$F$14,$M204,AR$13)="",10^12,OFFSET(CRONOPLE!$F$14,$M204,AR$13))))</f>
        <v>1000000000000</v>
      </c>
      <c r="AS204" s="181">
        <f ca="1">IF($D204&lt;&gt;"Serviço",0,IF(AND(AUTOEVENTO="Manual",$M204=1),0,IF(OFFSET(CRONOPLE!$F$14,$M204,AS$13)="",10^12,OFFSET(CRONOPLE!$F$14,$M204,AS$13))))</f>
        <v>1000000000000</v>
      </c>
      <c r="AT204" s="181">
        <f ca="1">IF($D204&lt;&gt;"Serviço",0,IF(AND(AUTOEVENTO="Manual",$M204=1),0,IF(OFFSET(CRONOPLE!$F$14,$M204,AT$13)="",10^12,OFFSET(CRONOPLE!$F$14,$M204,AT$13))))</f>
        <v>1000000000000</v>
      </c>
      <c r="AU204" s="181">
        <f ca="1">IF($D204&lt;&gt;"Serviço",0,IF(AND(AUTOEVENTO="Manual",$M204=1),0,IF(OFFSET(CRONOPLE!$F$14,$M204,AU$13)="",10^12,OFFSET(CRONOPLE!$F$14,$M204,AU$13))))</f>
        <v>1000000000000</v>
      </c>
      <c r="AV204" s="181">
        <f ca="1">IF($D204&lt;&gt;"Serviço",0,IF(AND(AUTOEVENTO="Manual",$M204=1),0,IF(OFFSET(CRONOPLE!$F$14,$M204,AV$13)="",10^12,OFFSET(CRONOPLE!$F$14,$M204,AV$13))))</f>
        <v>1000000000000</v>
      </c>
      <c r="AX204" s="182">
        <f ca="1">IF($D204&lt;&gt;"Serviço",0,IF(OR(AND(AUTOEVENTO="Manual",$M204=1),$M204&gt;(ROW(PLE.lastrow)-ROW(PLE.firstrow))),0,IF(OFFSET(PLE!$G$14,$M204,AX$13)="",10^12,OFFSET(PLE!$G$14,$M204,AX$13))))</f>
        <v>1000000000000</v>
      </c>
      <c r="AY204" s="182">
        <f ca="1">IF($D204&lt;&gt;"Serviço",0,IF(OR(AND(AUTOEVENTO="Manual",$M204=1),$M204&gt;(ROW(PLE.lastrow)-ROW(PLE.firstrow))),0,IF(OFFSET(PLE!$G$14,$M204,AY$13)="",10^12,OFFSET(PLE!$G$14,$M204,AY$13))))</f>
        <v>1000000000000</v>
      </c>
      <c r="AZ204" s="182">
        <f ca="1">IF($D204&lt;&gt;"Serviço",0,IF(OR(AND(AUTOEVENTO="Manual",$M204=1),$M204&gt;(ROW(PLE.lastrow)-ROW(PLE.firstrow))),0,IF(OFFSET(PLE!$G$14,$M204,AZ$13)="",10^12,OFFSET(PLE!$G$14,$M204,AZ$13))))</f>
        <v>1000000000000</v>
      </c>
      <c r="BA204" s="182">
        <f ca="1">IF($D204&lt;&gt;"Serviço",0,IF(OR(AND(AUTOEVENTO="Manual",$M204=1),$M204&gt;(ROW(PLE.lastrow)-ROW(PLE.firstrow))),0,IF(OFFSET(PLE!$G$14,$M204,BA$13)="",10^12,OFFSET(PLE!$G$14,$M204,BA$13))))</f>
        <v>1000000000000</v>
      </c>
      <c r="BB204" s="182">
        <f ca="1">IF($D204&lt;&gt;"Serviço",0,IF(OR(AND(AUTOEVENTO="Manual",$M204=1),$M204&gt;(ROW(PLE.lastrow)-ROW(PLE.firstrow))),0,IF(OFFSET(PLE!$G$14,$M204,BB$13)="",10^12,OFFSET(PLE!$G$14,$M204,BB$13))))</f>
        <v>1000000000000</v>
      </c>
      <c r="BC204" s="182">
        <f ca="1">IF($D204&lt;&gt;"Serviço",0,IF(OR(AND(AUTOEVENTO="Manual",$M204=1),$M204&gt;(ROW(PLE.lastrow)-ROW(PLE.firstrow))),0,IF(OFFSET(PLE!$G$14,$M204,BC$13)="",10^12,OFFSET(PLE!$G$14,$M204,BC$13))))</f>
        <v>1000000000000</v>
      </c>
      <c r="BD204" s="182">
        <f ca="1">IF($D204&lt;&gt;"Serviço",0,IF(OR(AND(AUTOEVENTO="Manual",$M204=1),$M204&gt;(ROW(PLE.lastrow)-ROW(PLE.firstrow))),0,IF(OFFSET(PLE!$G$14,$M204,BD$13)="",10^12,OFFSET(PLE!$G$14,$M204,BD$13))))</f>
        <v>1000000000000</v>
      </c>
      <c r="BE204" s="182">
        <f ca="1">IF($D204&lt;&gt;"Serviço",0,IF(OR(AND(AUTOEVENTO="Manual",$M204=1),$M204&gt;(ROW(PLE.lastrow)-ROW(PLE.firstrow))),0,IF(OFFSET(PLE!$G$14,$M204,BE$13)="",10^12,OFFSET(PLE!$G$14,$M204,BE$13))))</f>
        <v>1000000000000</v>
      </c>
      <c r="BF204" s="182">
        <f ca="1">IF($D204&lt;&gt;"Serviço",0,IF(OR(AND(AUTOEVENTO="Manual",$M204=1),$M204&gt;(ROW(PLE.lastrow)-ROW(PLE.firstrow))),0,IF(OFFSET(PLE!$G$14,$M204,BF$13)="",10^12,OFFSET(PLE!$G$14,$M204,BF$13))))</f>
        <v>1000000000000</v>
      </c>
      <c r="BG204" s="182">
        <f ca="1">IF($D204&lt;&gt;"Serviço",0,IF(OR(AND(AUTOEVENTO="Manual",$M204=1),$M204&gt;(ROW(PLE.lastrow)-ROW(PLE.firstrow))),0,IF(OFFSET(PLE!$G$14,$M204,BG$13)="",10^12,OFFSET(PLE!$G$14,$M204,BG$13))))</f>
        <v>1000000000000</v>
      </c>
    </row>
    <row r="205" spans="1:59" ht="38.25" x14ac:dyDescent="0.2">
      <c r="A205" s="7" t="str">
        <f t="shared" ca="1" si="10"/>
        <v>175</v>
      </c>
      <c r="B205" s="7" t="str">
        <f ca="1">OFFSET(ORÇAMENTO!C$15,ROW(B205)-ROW(B$15),0)</f>
        <v>S</v>
      </c>
      <c r="C205" s="7" t="str">
        <f ca="1">OFFSET(ORÇAMENTO!L$15,ROW(C205)-ROW(C$15),0)</f>
        <v/>
      </c>
      <c r="D205" s="118" t="str">
        <f ca="1">OFFSET(ORÇAMENTO!N$15,ROW(D205)-ROW(D$15),0)</f>
        <v>Serviço</v>
      </c>
      <c r="E205" s="119" t="str">
        <f ca="1">OFFSET(ORÇAMENTO!O$15,ROW(E205)-ROW(E$15),0)</f>
        <v>-</v>
      </c>
      <c r="F205" s="172" t="str">
        <f ca="1">OFFSET(ORÇAMENTO!R$15,ROW(F205)-ROW(F$15),0)</f>
        <v>(abra o arquivo 'Referência 02-2025.xlsm)</v>
      </c>
      <c r="G205" s="173" t="str">
        <f ca="1">IF($D205&lt;&gt;"Serviço","",OFFSET(ORÇAMENTO!S$15,ROW(G205)-ROW(G$15),0))</f>
        <v>-</v>
      </c>
      <c r="H205" s="124">
        <f ca="1">IF($D205&lt;&gt;"Serviço",0,IF(ACOMPANHAMENTO="BM",ROUND(OFFSET(ORÇAMENTO!AJ$15,ROW(H205)-ROW(H$15),0),15-13*ORÇAMENTO!$AF$7),SUMPRODUCT(($Q$12:$AA$12&lt;&gt;"")*ROUND($Q205:$AA205,15-13*ORÇAMENTO!$AF$7))))</f>
        <v>734.55</v>
      </c>
      <c r="I205" s="561" t="s">
        <v>890</v>
      </c>
      <c r="K205" s="174"/>
      <c r="L205" s="175" t="s">
        <v>255</v>
      </c>
      <c r="M205" s="176">
        <f ca="1">IF($D205&lt;&gt;"Serviço","",IF(AUTOEVENTO="manual",$A205,IF(ISERROR(MATCH($A205,$A$15:OFFSET($A205,-1,0),0)),MAX($M$15:OFFSET(M205,-1,0))+1,INDEX($M$15:OFFSET(M205,-1,0),MATCH($A205,$A$15:OFFSET($A205,-1,0),0)))))</f>
        <v>10</v>
      </c>
      <c r="N205" s="177" t="str">
        <f ca="1">IF($D205&lt;&gt;"Serviço","",IF(AUTOEVENTO="Manual",IF($A205=0,"&lt;-- defina o número do agrupador",OFFSET(EVENTOS!$D$14,$A205,0)),OFFSET($F$15,$A205,0)))</f>
        <v>REVESTIMENTOS INTERNO E EXTERNO</v>
      </c>
      <c r="O205" s="178"/>
      <c r="Q205" s="178"/>
      <c r="R205" s="179"/>
      <c r="S205" s="179"/>
      <c r="T205" s="179"/>
      <c r="U205" s="179"/>
      <c r="V205" s="179"/>
      <c r="W205" s="179"/>
      <c r="X205" s="179"/>
      <c r="Y205" s="179"/>
      <c r="Z205" s="180"/>
      <c r="AB205" s="544">
        <f ca="1">IF(AND($D205="Serviço",AB$12&lt;&gt;0,$H205&gt;0,OR(AUTOEVENTO&lt;&gt;"manual",$M205&lt;&gt;1)),
IF(Import.TipoArredondamento&lt;&gt;"TransfereGOV",
ROUND(OFFSET($P205,0,AB$13),15-13*ORÇAMENTO!$AF$7)/$H205*OFFSET(ORÇAMENTO!$X$15,ROW(AB205)-ROW(AB$15),0),
ROUND(ROUND(OFFSET($P205,0,AB$13),15-13*ORÇAMENTO!$AF$7)*OFFSET(ORÇAMENTO!$W$15,ROW(AB205)-ROW(AB$15),0),15-13*ORÇAMENTO!$AF$11)),0)</f>
        <v>0</v>
      </c>
      <c r="AC205" s="545">
        <f ca="1">IF(AND($D205="Serviço",AC$12&lt;&gt;0,$H205&gt;0,OR(AUTOEVENTO&lt;&gt;"manual",$M205&lt;&gt;1)),
IF(Import.TipoArredondamento&lt;&gt;"TransfereGOV",
ROUND(OFFSET($P205,0,AC$13),15-13*ORÇAMENTO!$AF$7)/$H205*OFFSET(ORÇAMENTO!$X$15,ROW(AC205)-ROW(AC$15),0),
ROUND(ROUND(OFFSET($P205,0,AC$13),15-13*ORÇAMENTO!$AF$7)*OFFSET(ORÇAMENTO!$W$15,ROW(AC205)-ROW(AC$15),0),15-13*ORÇAMENTO!$AF$11)),0)</f>
        <v>0</v>
      </c>
      <c r="AD205" s="545">
        <f ca="1">IF(AND($D205="Serviço",AD$12&lt;&gt;0,$H205&gt;0,OR(AUTOEVENTO&lt;&gt;"manual",$M205&lt;&gt;1)),
IF(Import.TipoArredondamento&lt;&gt;"TransfereGOV",
ROUND(OFFSET($P205,0,AD$13),15-13*ORÇAMENTO!$AF$7)/$H205*OFFSET(ORÇAMENTO!$X$15,ROW(AD205)-ROW(AD$15),0),
ROUND(ROUND(OFFSET($P205,0,AD$13),15-13*ORÇAMENTO!$AF$7)*OFFSET(ORÇAMENTO!$W$15,ROW(AD205)-ROW(AD$15),0),15-13*ORÇAMENTO!$AF$11)),0)</f>
        <v>0</v>
      </c>
      <c r="AE205" s="545">
        <f ca="1">IF(AND($D205="Serviço",AE$12&lt;&gt;0,$H205&gt;0,OR(AUTOEVENTO&lt;&gt;"manual",$M205&lt;&gt;1)),
IF(Import.TipoArredondamento&lt;&gt;"TransfereGOV",
ROUND(OFFSET($P205,0,AE$13),15-13*ORÇAMENTO!$AF$7)/$H205*OFFSET(ORÇAMENTO!$X$15,ROW(AE205)-ROW(AE$15),0),
ROUND(ROUND(OFFSET($P205,0,AE$13),15-13*ORÇAMENTO!$AF$7)*OFFSET(ORÇAMENTO!$W$15,ROW(AE205)-ROW(AE$15),0),15-13*ORÇAMENTO!$AF$11)),0)</f>
        <v>0</v>
      </c>
      <c r="AF205" s="545">
        <f ca="1">IF(AND($D205="Serviço",AF$12&lt;&gt;0,$H205&gt;0,OR(AUTOEVENTO&lt;&gt;"manual",$M205&lt;&gt;1)),
IF(Import.TipoArredondamento&lt;&gt;"TransfereGOV",
ROUND(OFFSET($P205,0,AF$13),15-13*ORÇAMENTO!$AF$7)/$H205*OFFSET(ORÇAMENTO!$X$15,ROW(AF205)-ROW(AF$15),0),
ROUND(ROUND(OFFSET($P205,0,AF$13),15-13*ORÇAMENTO!$AF$7)*OFFSET(ORÇAMENTO!$W$15,ROW(AF205)-ROW(AF$15),0),15-13*ORÇAMENTO!$AF$11)),0)</f>
        <v>0</v>
      </c>
      <c r="AG205" s="545">
        <f ca="1">IF(AND($D205="Serviço",AG$12&lt;&gt;0,$H205&gt;0,OR(AUTOEVENTO&lt;&gt;"manual",$M205&lt;&gt;1)),
IF(Import.TipoArredondamento&lt;&gt;"TransfereGOV",
ROUND(OFFSET($P205,0,AG$13),15-13*ORÇAMENTO!$AF$7)/$H205*OFFSET(ORÇAMENTO!$X$15,ROW(AG205)-ROW(AG$15),0),
ROUND(ROUND(OFFSET($P205,0,AG$13),15-13*ORÇAMENTO!$AF$7)*OFFSET(ORÇAMENTO!$W$15,ROW(AG205)-ROW(AG$15),0),15-13*ORÇAMENTO!$AF$11)),0)</f>
        <v>0</v>
      </c>
      <c r="AH205" s="545">
        <f ca="1">IF(AND($D205="Serviço",AH$12&lt;&gt;0,$H205&gt;0,OR(AUTOEVENTO&lt;&gt;"manual",$M205&lt;&gt;1)),
IF(Import.TipoArredondamento&lt;&gt;"TransfereGOV",
ROUND(OFFSET($P205,0,AH$13),15-13*ORÇAMENTO!$AF$7)/$H205*OFFSET(ORÇAMENTO!$X$15,ROW(AH205)-ROW(AH$15),0),
ROUND(ROUND(OFFSET($P205,0,AH$13),15-13*ORÇAMENTO!$AF$7)*OFFSET(ORÇAMENTO!$W$15,ROW(AH205)-ROW(AH$15),0),15-13*ORÇAMENTO!$AF$11)),0)</f>
        <v>0</v>
      </c>
      <c r="AI205" s="545">
        <f ca="1">IF(AND($D205="Serviço",AI$12&lt;&gt;0,$H205&gt;0,OR(AUTOEVENTO&lt;&gt;"manual",$M205&lt;&gt;1)),
IF(Import.TipoArredondamento&lt;&gt;"TransfereGOV",
ROUND(OFFSET($P205,0,AI$13),15-13*ORÇAMENTO!$AF$7)/$H205*OFFSET(ORÇAMENTO!$X$15,ROW(AI205)-ROW(AI$15),0),
ROUND(ROUND(OFFSET($P205,0,AI$13),15-13*ORÇAMENTO!$AF$7)*OFFSET(ORÇAMENTO!$W$15,ROW(AI205)-ROW(AI$15),0),15-13*ORÇAMENTO!$AF$11)),0)</f>
        <v>0</v>
      </c>
      <c r="AJ205" s="545">
        <f ca="1">IF(AND($D205="Serviço",AJ$12&lt;&gt;0,$H205&gt;0,OR(AUTOEVENTO&lt;&gt;"manual",$M205&lt;&gt;1)),
IF(Import.TipoArredondamento&lt;&gt;"TransfereGOV",
ROUND(OFFSET($P205,0,AJ$13),15-13*ORÇAMENTO!$AF$7)/$H205*OFFSET(ORÇAMENTO!$X$15,ROW(AJ205)-ROW(AJ$15),0),
ROUND(ROUND(OFFSET($P205,0,AJ$13),15-13*ORÇAMENTO!$AF$7)*OFFSET(ORÇAMENTO!$W$15,ROW(AJ205)-ROW(AJ$15),0),15-13*ORÇAMENTO!$AF$11)),0)</f>
        <v>0</v>
      </c>
      <c r="AK205" s="546">
        <f ca="1">IF(AND($D205="Serviço",AK$12&lt;&gt;0,$H205&gt;0,OR(AUTOEVENTO&lt;&gt;"manual",$M205&lt;&gt;1)),
IF(Import.TipoArredondamento&lt;&gt;"TransfereGOV",
ROUND(OFFSET($P205,0,AK$13),15-13*ORÇAMENTO!$AF$7)/$H205*OFFSET(ORÇAMENTO!$X$15,ROW(AK205)-ROW(AK$15),0),
ROUND(ROUND(OFFSET($P205,0,AK$13),15-13*ORÇAMENTO!$AF$7)*OFFSET(ORÇAMENTO!$W$15,ROW(AK205)-ROW(AK$15),0),15-13*ORÇAMENTO!$AF$11)),0)</f>
        <v>0</v>
      </c>
      <c r="AM205" s="181">
        <f ca="1">IF($D205&lt;&gt;"Serviço",0,IF(AND(AUTOEVENTO="Manual",$M205=1),0,IF(OFFSET(CRONOPLE!$F$14,$M205,AM$13)="",10^12,OFFSET(CRONOPLE!$F$14,$M205,AM$13))))</f>
        <v>1000000000000</v>
      </c>
      <c r="AN205" s="181">
        <f ca="1">IF($D205&lt;&gt;"Serviço",0,IF(AND(AUTOEVENTO="Manual",$M205=1),0,IF(OFFSET(CRONOPLE!$F$14,$M205,AN$13)="",10^12,OFFSET(CRONOPLE!$F$14,$M205,AN$13))))</f>
        <v>1000000000000</v>
      </c>
      <c r="AO205" s="181">
        <f ca="1">IF($D205&lt;&gt;"Serviço",0,IF(AND(AUTOEVENTO="Manual",$M205=1),0,IF(OFFSET(CRONOPLE!$F$14,$M205,AO$13)="",10^12,OFFSET(CRONOPLE!$F$14,$M205,AO$13))))</f>
        <v>1000000000000</v>
      </c>
      <c r="AP205" s="181">
        <f ca="1">IF($D205&lt;&gt;"Serviço",0,IF(AND(AUTOEVENTO="Manual",$M205=1),0,IF(OFFSET(CRONOPLE!$F$14,$M205,AP$13)="",10^12,OFFSET(CRONOPLE!$F$14,$M205,AP$13))))</f>
        <v>1000000000000</v>
      </c>
      <c r="AQ205" s="181">
        <f ca="1">IF($D205&lt;&gt;"Serviço",0,IF(AND(AUTOEVENTO="Manual",$M205=1),0,IF(OFFSET(CRONOPLE!$F$14,$M205,AQ$13)="",10^12,OFFSET(CRONOPLE!$F$14,$M205,AQ$13))))</f>
        <v>1000000000000</v>
      </c>
      <c r="AR205" s="181">
        <f ca="1">IF($D205&lt;&gt;"Serviço",0,IF(AND(AUTOEVENTO="Manual",$M205=1),0,IF(OFFSET(CRONOPLE!$F$14,$M205,AR$13)="",10^12,OFFSET(CRONOPLE!$F$14,$M205,AR$13))))</f>
        <v>1000000000000</v>
      </c>
      <c r="AS205" s="181">
        <f ca="1">IF($D205&lt;&gt;"Serviço",0,IF(AND(AUTOEVENTO="Manual",$M205=1),0,IF(OFFSET(CRONOPLE!$F$14,$M205,AS$13)="",10^12,OFFSET(CRONOPLE!$F$14,$M205,AS$13))))</f>
        <v>1000000000000</v>
      </c>
      <c r="AT205" s="181">
        <f ca="1">IF($D205&lt;&gt;"Serviço",0,IF(AND(AUTOEVENTO="Manual",$M205=1),0,IF(OFFSET(CRONOPLE!$F$14,$M205,AT$13)="",10^12,OFFSET(CRONOPLE!$F$14,$M205,AT$13))))</f>
        <v>1000000000000</v>
      </c>
      <c r="AU205" s="181">
        <f ca="1">IF($D205&lt;&gt;"Serviço",0,IF(AND(AUTOEVENTO="Manual",$M205=1),0,IF(OFFSET(CRONOPLE!$F$14,$M205,AU$13)="",10^12,OFFSET(CRONOPLE!$F$14,$M205,AU$13))))</f>
        <v>1000000000000</v>
      </c>
      <c r="AV205" s="181">
        <f ca="1">IF($D205&lt;&gt;"Serviço",0,IF(AND(AUTOEVENTO="Manual",$M205=1),0,IF(OFFSET(CRONOPLE!$F$14,$M205,AV$13)="",10^12,OFFSET(CRONOPLE!$F$14,$M205,AV$13))))</f>
        <v>1000000000000</v>
      </c>
      <c r="AX205" s="182">
        <f ca="1">IF($D205&lt;&gt;"Serviço",0,IF(OR(AND(AUTOEVENTO="Manual",$M205=1),$M205&gt;(ROW(PLE.lastrow)-ROW(PLE.firstrow))),0,IF(OFFSET(PLE!$G$14,$M205,AX$13)="",10^12,OFFSET(PLE!$G$14,$M205,AX$13))))</f>
        <v>1000000000000</v>
      </c>
      <c r="AY205" s="182">
        <f ca="1">IF($D205&lt;&gt;"Serviço",0,IF(OR(AND(AUTOEVENTO="Manual",$M205=1),$M205&gt;(ROW(PLE.lastrow)-ROW(PLE.firstrow))),0,IF(OFFSET(PLE!$G$14,$M205,AY$13)="",10^12,OFFSET(PLE!$G$14,$M205,AY$13))))</f>
        <v>1000000000000</v>
      </c>
      <c r="AZ205" s="182">
        <f ca="1">IF($D205&lt;&gt;"Serviço",0,IF(OR(AND(AUTOEVENTO="Manual",$M205=1),$M205&gt;(ROW(PLE.lastrow)-ROW(PLE.firstrow))),0,IF(OFFSET(PLE!$G$14,$M205,AZ$13)="",10^12,OFFSET(PLE!$G$14,$M205,AZ$13))))</f>
        <v>1000000000000</v>
      </c>
      <c r="BA205" s="182">
        <f ca="1">IF($D205&lt;&gt;"Serviço",0,IF(OR(AND(AUTOEVENTO="Manual",$M205=1),$M205&gt;(ROW(PLE.lastrow)-ROW(PLE.firstrow))),0,IF(OFFSET(PLE!$G$14,$M205,BA$13)="",10^12,OFFSET(PLE!$G$14,$M205,BA$13))))</f>
        <v>1000000000000</v>
      </c>
      <c r="BB205" s="182">
        <f ca="1">IF($D205&lt;&gt;"Serviço",0,IF(OR(AND(AUTOEVENTO="Manual",$M205=1),$M205&gt;(ROW(PLE.lastrow)-ROW(PLE.firstrow))),0,IF(OFFSET(PLE!$G$14,$M205,BB$13)="",10^12,OFFSET(PLE!$G$14,$M205,BB$13))))</f>
        <v>1000000000000</v>
      </c>
      <c r="BC205" s="182">
        <f ca="1">IF($D205&lt;&gt;"Serviço",0,IF(OR(AND(AUTOEVENTO="Manual",$M205=1),$M205&gt;(ROW(PLE.lastrow)-ROW(PLE.firstrow))),0,IF(OFFSET(PLE!$G$14,$M205,BC$13)="",10^12,OFFSET(PLE!$G$14,$M205,BC$13))))</f>
        <v>1000000000000</v>
      </c>
      <c r="BD205" s="182">
        <f ca="1">IF($D205&lt;&gt;"Serviço",0,IF(OR(AND(AUTOEVENTO="Manual",$M205=1),$M205&gt;(ROW(PLE.lastrow)-ROW(PLE.firstrow))),0,IF(OFFSET(PLE!$G$14,$M205,BD$13)="",10^12,OFFSET(PLE!$G$14,$M205,BD$13))))</f>
        <v>1000000000000</v>
      </c>
      <c r="BE205" s="182">
        <f ca="1">IF($D205&lt;&gt;"Serviço",0,IF(OR(AND(AUTOEVENTO="Manual",$M205=1),$M205&gt;(ROW(PLE.lastrow)-ROW(PLE.firstrow))),0,IF(OFFSET(PLE!$G$14,$M205,BE$13)="",10^12,OFFSET(PLE!$G$14,$M205,BE$13))))</f>
        <v>1000000000000</v>
      </c>
      <c r="BF205" s="182">
        <f ca="1">IF($D205&lt;&gt;"Serviço",0,IF(OR(AND(AUTOEVENTO="Manual",$M205=1),$M205&gt;(ROW(PLE.lastrow)-ROW(PLE.firstrow))),0,IF(OFFSET(PLE!$G$14,$M205,BF$13)="",10^12,OFFSET(PLE!$G$14,$M205,BF$13))))</f>
        <v>1000000000000</v>
      </c>
      <c r="BG205" s="182">
        <f ca="1">IF($D205&lt;&gt;"Serviço",0,IF(OR(AND(AUTOEVENTO="Manual",$M205=1),$M205&gt;(ROW(PLE.lastrow)-ROW(PLE.firstrow))),0,IF(OFFSET(PLE!$G$14,$M205,BG$13)="",10^12,OFFSET(PLE!$G$14,$M205,BG$13))))</f>
        <v>1000000000000</v>
      </c>
    </row>
    <row r="206" spans="1:59" ht="12.75" x14ac:dyDescent="0.2">
      <c r="A206" s="7" t="str">
        <f t="shared" ca="1" si="10"/>
        <v>191.</v>
      </c>
      <c r="B206" s="7">
        <f ca="1">OFFSET(ORÇAMENTO!C$15,ROW(B206)-ROW(B$15),0)</f>
        <v>2</v>
      </c>
      <c r="C206" s="7" t="str">
        <f ca="1">OFFSET(ORÇAMENTO!L$15,ROW(C206)-ROW(C$15),0)</f>
        <v>F</v>
      </c>
      <c r="D206" s="118" t="str">
        <f ca="1">OFFSET(ORÇAMENTO!N$15,ROW(D206)-ROW(D$15),0)</f>
        <v>Nível 2</v>
      </c>
      <c r="E206" s="119" t="str">
        <f ca="1">OFFSET(ORÇAMENTO!O$15,ROW(E206)-ROW(E$15),0)</f>
        <v>1.10.</v>
      </c>
      <c r="F206" s="172" t="str">
        <f ca="1">OFFSET(ORÇAMENTO!R$15,ROW(F206)-ROW(F$15),0)</f>
        <v>SISTEMAS DE PISOS</v>
      </c>
      <c r="G206" s="173" t="str">
        <f ca="1">IF($D206&lt;&gt;"Serviço","",OFFSET(ORÇAMENTO!S$15,ROW(G206)-ROW(G$15),0))</f>
        <v/>
      </c>
      <c r="H206" s="124">
        <f ca="1">IF($D206&lt;&gt;"Serviço",0,IF(ACOMPANHAMENTO="BM",ROUND(OFFSET(ORÇAMENTO!AJ$15,ROW(H206)-ROW(H$15),0),15-13*ORÇAMENTO!$AF$7),SUMPRODUCT(($Q$12:$AA$12&lt;&gt;"")*ROUND($Q206:$AA206,15-13*ORÇAMENTO!$AF$7))))</f>
        <v>0</v>
      </c>
      <c r="I206" s="561"/>
      <c r="K206" s="174"/>
      <c r="L206" s="175" t="s">
        <v>255</v>
      </c>
      <c r="M206" s="176" t="str">
        <f ca="1">IF($D206&lt;&gt;"Serviço","",IF(AUTOEVENTO="manual",$A206,IF(ISERROR(MATCH($A206,$A$15:OFFSET($A206,-1,0),0)),MAX($M$15:OFFSET(M206,-1,0))+1,INDEX($M$15:OFFSET(M206,-1,0),MATCH($A206,$A$15:OFFSET($A206,-1,0),0)))))</f>
        <v/>
      </c>
      <c r="N206" s="177" t="str">
        <f ca="1">IF($D206&lt;&gt;"Serviço","",IF(AUTOEVENTO="Manual",IF($A206=0,"&lt;-- defina o número do agrupador",OFFSET(EVENTOS!$D$14,$A206,0)),OFFSET($F$15,$A206,0)))</f>
        <v/>
      </c>
      <c r="O206" s="178"/>
      <c r="Q206" s="178"/>
      <c r="R206" s="179"/>
      <c r="S206" s="179"/>
      <c r="T206" s="179"/>
      <c r="U206" s="179"/>
      <c r="V206" s="179"/>
      <c r="W206" s="179"/>
      <c r="X206" s="179"/>
      <c r="Y206" s="179"/>
      <c r="Z206" s="180"/>
      <c r="AB206" s="544">
        <f ca="1">IF(AND($D206="Serviço",AB$12&lt;&gt;0,$H206&gt;0,OR(AUTOEVENTO&lt;&gt;"manual",$M206&lt;&gt;1)),
IF(Import.TipoArredondamento&lt;&gt;"TransfereGOV",
ROUND(OFFSET($P206,0,AB$13),15-13*ORÇAMENTO!$AF$7)/$H206*OFFSET(ORÇAMENTO!$X$15,ROW(AB206)-ROW(AB$15),0),
ROUND(ROUND(OFFSET($P206,0,AB$13),15-13*ORÇAMENTO!$AF$7)*OFFSET(ORÇAMENTO!$W$15,ROW(AB206)-ROW(AB$15),0),15-13*ORÇAMENTO!$AF$11)),0)</f>
        <v>0</v>
      </c>
      <c r="AC206" s="545">
        <f ca="1">IF(AND($D206="Serviço",AC$12&lt;&gt;0,$H206&gt;0,OR(AUTOEVENTO&lt;&gt;"manual",$M206&lt;&gt;1)),
IF(Import.TipoArredondamento&lt;&gt;"TransfereGOV",
ROUND(OFFSET($P206,0,AC$13),15-13*ORÇAMENTO!$AF$7)/$H206*OFFSET(ORÇAMENTO!$X$15,ROW(AC206)-ROW(AC$15),0),
ROUND(ROUND(OFFSET($P206,0,AC$13),15-13*ORÇAMENTO!$AF$7)*OFFSET(ORÇAMENTO!$W$15,ROW(AC206)-ROW(AC$15),0),15-13*ORÇAMENTO!$AF$11)),0)</f>
        <v>0</v>
      </c>
      <c r="AD206" s="545">
        <f ca="1">IF(AND($D206="Serviço",AD$12&lt;&gt;0,$H206&gt;0,OR(AUTOEVENTO&lt;&gt;"manual",$M206&lt;&gt;1)),
IF(Import.TipoArredondamento&lt;&gt;"TransfereGOV",
ROUND(OFFSET($P206,0,AD$13),15-13*ORÇAMENTO!$AF$7)/$H206*OFFSET(ORÇAMENTO!$X$15,ROW(AD206)-ROW(AD$15),0),
ROUND(ROUND(OFFSET($P206,0,AD$13),15-13*ORÇAMENTO!$AF$7)*OFFSET(ORÇAMENTO!$W$15,ROW(AD206)-ROW(AD$15),0),15-13*ORÇAMENTO!$AF$11)),0)</f>
        <v>0</v>
      </c>
      <c r="AE206" s="545">
        <f ca="1">IF(AND($D206="Serviço",AE$12&lt;&gt;0,$H206&gt;0,OR(AUTOEVENTO&lt;&gt;"manual",$M206&lt;&gt;1)),
IF(Import.TipoArredondamento&lt;&gt;"TransfereGOV",
ROUND(OFFSET($P206,0,AE$13),15-13*ORÇAMENTO!$AF$7)/$H206*OFFSET(ORÇAMENTO!$X$15,ROW(AE206)-ROW(AE$15),0),
ROUND(ROUND(OFFSET($P206,0,AE$13),15-13*ORÇAMENTO!$AF$7)*OFFSET(ORÇAMENTO!$W$15,ROW(AE206)-ROW(AE$15),0),15-13*ORÇAMENTO!$AF$11)),0)</f>
        <v>0</v>
      </c>
      <c r="AF206" s="545">
        <f ca="1">IF(AND($D206="Serviço",AF$12&lt;&gt;0,$H206&gt;0,OR(AUTOEVENTO&lt;&gt;"manual",$M206&lt;&gt;1)),
IF(Import.TipoArredondamento&lt;&gt;"TransfereGOV",
ROUND(OFFSET($P206,0,AF$13),15-13*ORÇAMENTO!$AF$7)/$H206*OFFSET(ORÇAMENTO!$X$15,ROW(AF206)-ROW(AF$15),0),
ROUND(ROUND(OFFSET($P206,0,AF$13),15-13*ORÇAMENTO!$AF$7)*OFFSET(ORÇAMENTO!$W$15,ROW(AF206)-ROW(AF$15),0),15-13*ORÇAMENTO!$AF$11)),0)</f>
        <v>0</v>
      </c>
      <c r="AG206" s="545">
        <f ca="1">IF(AND($D206="Serviço",AG$12&lt;&gt;0,$H206&gt;0,OR(AUTOEVENTO&lt;&gt;"manual",$M206&lt;&gt;1)),
IF(Import.TipoArredondamento&lt;&gt;"TransfereGOV",
ROUND(OFFSET($P206,0,AG$13),15-13*ORÇAMENTO!$AF$7)/$H206*OFFSET(ORÇAMENTO!$X$15,ROW(AG206)-ROW(AG$15),0),
ROUND(ROUND(OFFSET($P206,0,AG$13),15-13*ORÇAMENTO!$AF$7)*OFFSET(ORÇAMENTO!$W$15,ROW(AG206)-ROW(AG$15),0),15-13*ORÇAMENTO!$AF$11)),0)</f>
        <v>0</v>
      </c>
      <c r="AH206" s="545">
        <f ca="1">IF(AND($D206="Serviço",AH$12&lt;&gt;0,$H206&gt;0,OR(AUTOEVENTO&lt;&gt;"manual",$M206&lt;&gt;1)),
IF(Import.TipoArredondamento&lt;&gt;"TransfereGOV",
ROUND(OFFSET($P206,0,AH$13),15-13*ORÇAMENTO!$AF$7)/$H206*OFFSET(ORÇAMENTO!$X$15,ROW(AH206)-ROW(AH$15),0),
ROUND(ROUND(OFFSET($P206,0,AH$13),15-13*ORÇAMENTO!$AF$7)*OFFSET(ORÇAMENTO!$W$15,ROW(AH206)-ROW(AH$15),0),15-13*ORÇAMENTO!$AF$11)),0)</f>
        <v>0</v>
      </c>
      <c r="AI206" s="545">
        <f ca="1">IF(AND($D206="Serviço",AI$12&lt;&gt;0,$H206&gt;0,OR(AUTOEVENTO&lt;&gt;"manual",$M206&lt;&gt;1)),
IF(Import.TipoArredondamento&lt;&gt;"TransfereGOV",
ROUND(OFFSET($P206,0,AI$13),15-13*ORÇAMENTO!$AF$7)/$H206*OFFSET(ORÇAMENTO!$X$15,ROW(AI206)-ROW(AI$15),0),
ROUND(ROUND(OFFSET($P206,0,AI$13),15-13*ORÇAMENTO!$AF$7)*OFFSET(ORÇAMENTO!$W$15,ROW(AI206)-ROW(AI$15),0),15-13*ORÇAMENTO!$AF$11)),0)</f>
        <v>0</v>
      </c>
      <c r="AJ206" s="545">
        <f ca="1">IF(AND($D206="Serviço",AJ$12&lt;&gt;0,$H206&gt;0,OR(AUTOEVENTO&lt;&gt;"manual",$M206&lt;&gt;1)),
IF(Import.TipoArredondamento&lt;&gt;"TransfereGOV",
ROUND(OFFSET($P206,0,AJ$13),15-13*ORÇAMENTO!$AF$7)/$H206*OFFSET(ORÇAMENTO!$X$15,ROW(AJ206)-ROW(AJ$15),0),
ROUND(ROUND(OFFSET($P206,0,AJ$13),15-13*ORÇAMENTO!$AF$7)*OFFSET(ORÇAMENTO!$W$15,ROW(AJ206)-ROW(AJ$15),0),15-13*ORÇAMENTO!$AF$11)),0)</f>
        <v>0</v>
      </c>
      <c r="AK206" s="546">
        <f ca="1">IF(AND($D206="Serviço",AK$12&lt;&gt;0,$H206&gt;0,OR(AUTOEVENTO&lt;&gt;"manual",$M206&lt;&gt;1)),
IF(Import.TipoArredondamento&lt;&gt;"TransfereGOV",
ROUND(OFFSET($P206,0,AK$13),15-13*ORÇAMENTO!$AF$7)/$H206*OFFSET(ORÇAMENTO!$X$15,ROW(AK206)-ROW(AK$15),0),
ROUND(ROUND(OFFSET($P206,0,AK$13),15-13*ORÇAMENTO!$AF$7)*OFFSET(ORÇAMENTO!$W$15,ROW(AK206)-ROW(AK$15),0),15-13*ORÇAMENTO!$AF$11)),0)</f>
        <v>0</v>
      </c>
      <c r="AM206" s="181">
        <f ca="1">IF($D206&lt;&gt;"Serviço",0,IF(AND(AUTOEVENTO="Manual",$M206=1),0,IF(OFFSET(CRONOPLE!$F$14,$M206,AM$13)="",10^12,OFFSET(CRONOPLE!$F$14,$M206,AM$13))))</f>
        <v>0</v>
      </c>
      <c r="AN206" s="181">
        <f ca="1">IF($D206&lt;&gt;"Serviço",0,IF(AND(AUTOEVENTO="Manual",$M206=1),0,IF(OFFSET(CRONOPLE!$F$14,$M206,AN$13)="",10^12,OFFSET(CRONOPLE!$F$14,$M206,AN$13))))</f>
        <v>0</v>
      </c>
      <c r="AO206" s="181">
        <f ca="1">IF($D206&lt;&gt;"Serviço",0,IF(AND(AUTOEVENTO="Manual",$M206=1),0,IF(OFFSET(CRONOPLE!$F$14,$M206,AO$13)="",10^12,OFFSET(CRONOPLE!$F$14,$M206,AO$13))))</f>
        <v>0</v>
      </c>
      <c r="AP206" s="181">
        <f ca="1">IF($D206&lt;&gt;"Serviço",0,IF(AND(AUTOEVENTO="Manual",$M206=1),0,IF(OFFSET(CRONOPLE!$F$14,$M206,AP$13)="",10^12,OFFSET(CRONOPLE!$F$14,$M206,AP$13))))</f>
        <v>0</v>
      </c>
      <c r="AQ206" s="181">
        <f ca="1">IF($D206&lt;&gt;"Serviço",0,IF(AND(AUTOEVENTO="Manual",$M206=1),0,IF(OFFSET(CRONOPLE!$F$14,$M206,AQ$13)="",10^12,OFFSET(CRONOPLE!$F$14,$M206,AQ$13))))</f>
        <v>0</v>
      </c>
      <c r="AR206" s="181">
        <f ca="1">IF($D206&lt;&gt;"Serviço",0,IF(AND(AUTOEVENTO="Manual",$M206=1),0,IF(OFFSET(CRONOPLE!$F$14,$M206,AR$13)="",10^12,OFFSET(CRONOPLE!$F$14,$M206,AR$13))))</f>
        <v>0</v>
      </c>
      <c r="AS206" s="181">
        <f ca="1">IF($D206&lt;&gt;"Serviço",0,IF(AND(AUTOEVENTO="Manual",$M206=1),0,IF(OFFSET(CRONOPLE!$F$14,$M206,AS$13)="",10^12,OFFSET(CRONOPLE!$F$14,$M206,AS$13))))</f>
        <v>0</v>
      </c>
      <c r="AT206" s="181">
        <f ca="1">IF($D206&lt;&gt;"Serviço",0,IF(AND(AUTOEVENTO="Manual",$M206=1),0,IF(OFFSET(CRONOPLE!$F$14,$M206,AT$13)="",10^12,OFFSET(CRONOPLE!$F$14,$M206,AT$13))))</f>
        <v>0</v>
      </c>
      <c r="AU206" s="181">
        <f ca="1">IF($D206&lt;&gt;"Serviço",0,IF(AND(AUTOEVENTO="Manual",$M206=1),0,IF(OFFSET(CRONOPLE!$F$14,$M206,AU$13)="",10^12,OFFSET(CRONOPLE!$F$14,$M206,AU$13))))</f>
        <v>0</v>
      </c>
      <c r="AV206" s="181">
        <f ca="1">IF($D206&lt;&gt;"Serviço",0,IF(AND(AUTOEVENTO="Manual",$M206=1),0,IF(OFFSET(CRONOPLE!$F$14,$M206,AV$13)="",10^12,OFFSET(CRONOPLE!$F$14,$M206,AV$13))))</f>
        <v>0</v>
      </c>
      <c r="AX206" s="182">
        <f ca="1">IF($D206&lt;&gt;"Serviço",0,IF(OR(AND(AUTOEVENTO="Manual",$M206=1),$M206&gt;(ROW(PLE.lastrow)-ROW(PLE.firstrow))),0,IF(OFFSET(PLE!$G$14,$M206,AX$13)="",10^12,OFFSET(PLE!$G$14,$M206,AX$13))))</f>
        <v>0</v>
      </c>
      <c r="AY206" s="182">
        <f ca="1">IF($D206&lt;&gt;"Serviço",0,IF(OR(AND(AUTOEVENTO="Manual",$M206=1),$M206&gt;(ROW(PLE.lastrow)-ROW(PLE.firstrow))),0,IF(OFFSET(PLE!$G$14,$M206,AY$13)="",10^12,OFFSET(PLE!$G$14,$M206,AY$13))))</f>
        <v>0</v>
      </c>
      <c r="AZ206" s="182">
        <f ca="1">IF($D206&lt;&gt;"Serviço",0,IF(OR(AND(AUTOEVENTO="Manual",$M206=1),$M206&gt;(ROW(PLE.lastrow)-ROW(PLE.firstrow))),0,IF(OFFSET(PLE!$G$14,$M206,AZ$13)="",10^12,OFFSET(PLE!$G$14,$M206,AZ$13))))</f>
        <v>0</v>
      </c>
      <c r="BA206" s="182">
        <f ca="1">IF($D206&lt;&gt;"Serviço",0,IF(OR(AND(AUTOEVENTO="Manual",$M206=1),$M206&gt;(ROW(PLE.lastrow)-ROW(PLE.firstrow))),0,IF(OFFSET(PLE!$G$14,$M206,BA$13)="",10^12,OFFSET(PLE!$G$14,$M206,BA$13))))</f>
        <v>0</v>
      </c>
      <c r="BB206" s="182">
        <f ca="1">IF($D206&lt;&gt;"Serviço",0,IF(OR(AND(AUTOEVENTO="Manual",$M206=1),$M206&gt;(ROW(PLE.lastrow)-ROW(PLE.firstrow))),0,IF(OFFSET(PLE!$G$14,$M206,BB$13)="",10^12,OFFSET(PLE!$G$14,$M206,BB$13))))</f>
        <v>0</v>
      </c>
      <c r="BC206" s="182">
        <f ca="1">IF($D206&lt;&gt;"Serviço",0,IF(OR(AND(AUTOEVENTO="Manual",$M206=1),$M206&gt;(ROW(PLE.lastrow)-ROW(PLE.firstrow))),0,IF(OFFSET(PLE!$G$14,$M206,BC$13)="",10^12,OFFSET(PLE!$G$14,$M206,BC$13))))</f>
        <v>0</v>
      </c>
      <c r="BD206" s="182">
        <f ca="1">IF($D206&lt;&gt;"Serviço",0,IF(OR(AND(AUTOEVENTO="Manual",$M206=1),$M206&gt;(ROW(PLE.lastrow)-ROW(PLE.firstrow))),0,IF(OFFSET(PLE!$G$14,$M206,BD$13)="",10^12,OFFSET(PLE!$G$14,$M206,BD$13))))</f>
        <v>0</v>
      </c>
      <c r="BE206" s="182">
        <f ca="1">IF($D206&lt;&gt;"Serviço",0,IF(OR(AND(AUTOEVENTO="Manual",$M206=1),$M206&gt;(ROW(PLE.lastrow)-ROW(PLE.firstrow))),0,IF(OFFSET(PLE!$G$14,$M206,BE$13)="",10^12,OFFSET(PLE!$G$14,$M206,BE$13))))</f>
        <v>0</v>
      </c>
      <c r="BF206" s="182">
        <f ca="1">IF($D206&lt;&gt;"Serviço",0,IF(OR(AND(AUTOEVENTO="Manual",$M206=1),$M206&gt;(ROW(PLE.lastrow)-ROW(PLE.firstrow))),0,IF(OFFSET(PLE!$G$14,$M206,BF$13)="",10^12,OFFSET(PLE!$G$14,$M206,BF$13))))</f>
        <v>0</v>
      </c>
      <c r="BG206" s="182">
        <f ca="1">IF($D206&lt;&gt;"Serviço",0,IF(OR(AND(AUTOEVENTO="Manual",$M206=1),$M206&gt;(ROW(PLE.lastrow)-ROW(PLE.firstrow))),0,IF(OFFSET(PLE!$G$14,$M206,BG$13)="",10^12,OFFSET(PLE!$G$14,$M206,BG$13))))</f>
        <v>0</v>
      </c>
    </row>
    <row r="207" spans="1:59" ht="12.75" x14ac:dyDescent="0.2">
      <c r="A207" s="7" t="str">
        <f t="shared" ca="1" si="10"/>
        <v>191.</v>
      </c>
      <c r="B207" s="7">
        <f ca="1">OFFSET(ORÇAMENTO!C$15,ROW(B207)-ROW(B$15),0)</f>
        <v>3</v>
      </c>
      <c r="C207" s="7" t="str">
        <f ca="1">OFFSET(ORÇAMENTO!L$15,ROW(C207)-ROW(C$15),0)</f>
        <v>F</v>
      </c>
      <c r="D207" s="118" t="str">
        <f ca="1">OFFSET(ORÇAMENTO!N$15,ROW(D207)-ROW(D$15),0)</f>
        <v>Nível 3</v>
      </c>
      <c r="E207" s="119" t="str">
        <f ca="1">OFFSET(ORÇAMENTO!O$15,ROW(E207)-ROW(E$15),0)</f>
        <v>1.10.1.</v>
      </c>
      <c r="F207" s="172" t="str">
        <f ca="1">OFFSET(ORÇAMENTO!R$15,ROW(F207)-ROW(F$15),0)</f>
        <v>PAVIMENTAÇÃO INTERNA - PREPARO DE PISO 8CM</v>
      </c>
      <c r="G207" s="173" t="str">
        <f ca="1">IF($D207&lt;&gt;"Serviço","",OFFSET(ORÇAMENTO!S$15,ROW(G207)-ROW(G$15),0))</f>
        <v/>
      </c>
      <c r="H207" s="124">
        <f ca="1">IF($D207&lt;&gt;"Serviço",0,IF(ACOMPANHAMENTO="BM",ROUND(OFFSET(ORÇAMENTO!AJ$15,ROW(H207)-ROW(H$15),0),15-13*ORÇAMENTO!$AF$7),SUMPRODUCT(($Q$12:$AA$12&lt;&gt;"")*ROUND($Q207:$AA207,15-13*ORÇAMENTO!$AF$7))))</f>
        <v>0</v>
      </c>
      <c r="I207" s="561"/>
      <c r="K207" s="174"/>
      <c r="L207" s="175" t="s">
        <v>255</v>
      </c>
      <c r="M207" s="176" t="str">
        <f ca="1">IF($D207&lt;&gt;"Serviço","",IF(AUTOEVENTO="manual",$A207,IF(ISERROR(MATCH($A207,$A$15:OFFSET($A207,-1,0),0)),MAX($M$15:OFFSET(M207,-1,0))+1,INDEX($M$15:OFFSET(M207,-1,0),MATCH($A207,$A$15:OFFSET($A207,-1,0),0)))))</f>
        <v/>
      </c>
      <c r="N207" s="177" t="str">
        <f ca="1">IF($D207&lt;&gt;"Serviço","",IF(AUTOEVENTO="Manual",IF($A207=0,"&lt;-- defina o número do agrupador",OFFSET(EVENTOS!$D$14,$A207,0)),OFFSET($F$15,$A207,0)))</f>
        <v/>
      </c>
      <c r="O207" s="178"/>
      <c r="Q207" s="178"/>
      <c r="R207" s="179"/>
      <c r="S207" s="179"/>
      <c r="T207" s="179"/>
      <c r="U207" s="179"/>
      <c r="V207" s="179"/>
      <c r="W207" s="179"/>
      <c r="X207" s="179"/>
      <c r="Y207" s="179"/>
      <c r="Z207" s="180"/>
      <c r="AB207" s="544">
        <f ca="1">IF(AND($D207="Serviço",AB$12&lt;&gt;0,$H207&gt;0,OR(AUTOEVENTO&lt;&gt;"manual",$M207&lt;&gt;1)),
IF(Import.TipoArredondamento&lt;&gt;"TransfereGOV",
ROUND(OFFSET($P207,0,AB$13),15-13*ORÇAMENTO!$AF$7)/$H207*OFFSET(ORÇAMENTO!$X$15,ROW(AB207)-ROW(AB$15),0),
ROUND(ROUND(OFFSET($P207,0,AB$13),15-13*ORÇAMENTO!$AF$7)*OFFSET(ORÇAMENTO!$W$15,ROW(AB207)-ROW(AB$15),0),15-13*ORÇAMENTO!$AF$11)),0)</f>
        <v>0</v>
      </c>
      <c r="AC207" s="545">
        <f ca="1">IF(AND($D207="Serviço",AC$12&lt;&gt;0,$H207&gt;0,OR(AUTOEVENTO&lt;&gt;"manual",$M207&lt;&gt;1)),
IF(Import.TipoArredondamento&lt;&gt;"TransfereGOV",
ROUND(OFFSET($P207,0,AC$13),15-13*ORÇAMENTO!$AF$7)/$H207*OFFSET(ORÇAMENTO!$X$15,ROW(AC207)-ROW(AC$15),0),
ROUND(ROUND(OFFSET($P207,0,AC$13),15-13*ORÇAMENTO!$AF$7)*OFFSET(ORÇAMENTO!$W$15,ROW(AC207)-ROW(AC$15),0),15-13*ORÇAMENTO!$AF$11)),0)</f>
        <v>0</v>
      </c>
      <c r="AD207" s="545">
        <f ca="1">IF(AND($D207="Serviço",AD$12&lt;&gt;0,$H207&gt;0,OR(AUTOEVENTO&lt;&gt;"manual",$M207&lt;&gt;1)),
IF(Import.TipoArredondamento&lt;&gt;"TransfereGOV",
ROUND(OFFSET($P207,0,AD$13),15-13*ORÇAMENTO!$AF$7)/$H207*OFFSET(ORÇAMENTO!$X$15,ROW(AD207)-ROW(AD$15),0),
ROUND(ROUND(OFFSET($P207,0,AD$13),15-13*ORÇAMENTO!$AF$7)*OFFSET(ORÇAMENTO!$W$15,ROW(AD207)-ROW(AD$15),0),15-13*ORÇAMENTO!$AF$11)),0)</f>
        <v>0</v>
      </c>
      <c r="AE207" s="545">
        <f ca="1">IF(AND($D207="Serviço",AE$12&lt;&gt;0,$H207&gt;0,OR(AUTOEVENTO&lt;&gt;"manual",$M207&lt;&gt;1)),
IF(Import.TipoArredondamento&lt;&gt;"TransfereGOV",
ROUND(OFFSET($P207,0,AE$13),15-13*ORÇAMENTO!$AF$7)/$H207*OFFSET(ORÇAMENTO!$X$15,ROW(AE207)-ROW(AE$15),0),
ROUND(ROUND(OFFSET($P207,0,AE$13),15-13*ORÇAMENTO!$AF$7)*OFFSET(ORÇAMENTO!$W$15,ROW(AE207)-ROW(AE$15),0),15-13*ORÇAMENTO!$AF$11)),0)</f>
        <v>0</v>
      </c>
      <c r="AF207" s="545">
        <f ca="1">IF(AND($D207="Serviço",AF$12&lt;&gt;0,$H207&gt;0,OR(AUTOEVENTO&lt;&gt;"manual",$M207&lt;&gt;1)),
IF(Import.TipoArredondamento&lt;&gt;"TransfereGOV",
ROUND(OFFSET($P207,0,AF$13),15-13*ORÇAMENTO!$AF$7)/$H207*OFFSET(ORÇAMENTO!$X$15,ROW(AF207)-ROW(AF$15),0),
ROUND(ROUND(OFFSET($P207,0,AF$13),15-13*ORÇAMENTO!$AF$7)*OFFSET(ORÇAMENTO!$W$15,ROW(AF207)-ROW(AF$15),0),15-13*ORÇAMENTO!$AF$11)),0)</f>
        <v>0</v>
      </c>
      <c r="AG207" s="545">
        <f ca="1">IF(AND($D207="Serviço",AG$12&lt;&gt;0,$H207&gt;0,OR(AUTOEVENTO&lt;&gt;"manual",$M207&lt;&gt;1)),
IF(Import.TipoArredondamento&lt;&gt;"TransfereGOV",
ROUND(OFFSET($P207,0,AG$13),15-13*ORÇAMENTO!$AF$7)/$H207*OFFSET(ORÇAMENTO!$X$15,ROW(AG207)-ROW(AG$15),0),
ROUND(ROUND(OFFSET($P207,0,AG$13),15-13*ORÇAMENTO!$AF$7)*OFFSET(ORÇAMENTO!$W$15,ROW(AG207)-ROW(AG$15),0),15-13*ORÇAMENTO!$AF$11)),0)</f>
        <v>0</v>
      </c>
      <c r="AH207" s="545">
        <f ca="1">IF(AND($D207="Serviço",AH$12&lt;&gt;0,$H207&gt;0,OR(AUTOEVENTO&lt;&gt;"manual",$M207&lt;&gt;1)),
IF(Import.TipoArredondamento&lt;&gt;"TransfereGOV",
ROUND(OFFSET($P207,0,AH$13),15-13*ORÇAMENTO!$AF$7)/$H207*OFFSET(ORÇAMENTO!$X$15,ROW(AH207)-ROW(AH$15),0),
ROUND(ROUND(OFFSET($P207,0,AH$13),15-13*ORÇAMENTO!$AF$7)*OFFSET(ORÇAMENTO!$W$15,ROW(AH207)-ROW(AH$15),0),15-13*ORÇAMENTO!$AF$11)),0)</f>
        <v>0</v>
      </c>
      <c r="AI207" s="545">
        <f ca="1">IF(AND($D207="Serviço",AI$12&lt;&gt;0,$H207&gt;0,OR(AUTOEVENTO&lt;&gt;"manual",$M207&lt;&gt;1)),
IF(Import.TipoArredondamento&lt;&gt;"TransfereGOV",
ROUND(OFFSET($P207,0,AI$13),15-13*ORÇAMENTO!$AF$7)/$H207*OFFSET(ORÇAMENTO!$X$15,ROW(AI207)-ROW(AI$15),0),
ROUND(ROUND(OFFSET($P207,0,AI$13),15-13*ORÇAMENTO!$AF$7)*OFFSET(ORÇAMENTO!$W$15,ROW(AI207)-ROW(AI$15),0),15-13*ORÇAMENTO!$AF$11)),0)</f>
        <v>0</v>
      </c>
      <c r="AJ207" s="545">
        <f ca="1">IF(AND($D207="Serviço",AJ$12&lt;&gt;0,$H207&gt;0,OR(AUTOEVENTO&lt;&gt;"manual",$M207&lt;&gt;1)),
IF(Import.TipoArredondamento&lt;&gt;"TransfereGOV",
ROUND(OFFSET($P207,0,AJ$13),15-13*ORÇAMENTO!$AF$7)/$H207*OFFSET(ORÇAMENTO!$X$15,ROW(AJ207)-ROW(AJ$15),0),
ROUND(ROUND(OFFSET($P207,0,AJ$13),15-13*ORÇAMENTO!$AF$7)*OFFSET(ORÇAMENTO!$W$15,ROW(AJ207)-ROW(AJ$15),0),15-13*ORÇAMENTO!$AF$11)),0)</f>
        <v>0</v>
      </c>
      <c r="AK207" s="546">
        <f ca="1">IF(AND($D207="Serviço",AK$12&lt;&gt;0,$H207&gt;0,OR(AUTOEVENTO&lt;&gt;"manual",$M207&lt;&gt;1)),
IF(Import.TipoArredondamento&lt;&gt;"TransfereGOV",
ROUND(OFFSET($P207,0,AK$13),15-13*ORÇAMENTO!$AF$7)/$H207*OFFSET(ORÇAMENTO!$X$15,ROW(AK207)-ROW(AK$15),0),
ROUND(ROUND(OFFSET($P207,0,AK$13),15-13*ORÇAMENTO!$AF$7)*OFFSET(ORÇAMENTO!$W$15,ROW(AK207)-ROW(AK$15),0),15-13*ORÇAMENTO!$AF$11)),0)</f>
        <v>0</v>
      </c>
      <c r="AM207" s="181">
        <f ca="1">IF($D207&lt;&gt;"Serviço",0,IF(AND(AUTOEVENTO="Manual",$M207=1),0,IF(OFFSET(CRONOPLE!$F$14,$M207,AM$13)="",10^12,OFFSET(CRONOPLE!$F$14,$M207,AM$13))))</f>
        <v>0</v>
      </c>
      <c r="AN207" s="181">
        <f ca="1">IF($D207&lt;&gt;"Serviço",0,IF(AND(AUTOEVENTO="Manual",$M207=1),0,IF(OFFSET(CRONOPLE!$F$14,$M207,AN$13)="",10^12,OFFSET(CRONOPLE!$F$14,$M207,AN$13))))</f>
        <v>0</v>
      </c>
      <c r="AO207" s="181">
        <f ca="1">IF($D207&lt;&gt;"Serviço",0,IF(AND(AUTOEVENTO="Manual",$M207=1),0,IF(OFFSET(CRONOPLE!$F$14,$M207,AO$13)="",10^12,OFFSET(CRONOPLE!$F$14,$M207,AO$13))))</f>
        <v>0</v>
      </c>
      <c r="AP207" s="181">
        <f ca="1">IF($D207&lt;&gt;"Serviço",0,IF(AND(AUTOEVENTO="Manual",$M207=1),0,IF(OFFSET(CRONOPLE!$F$14,$M207,AP$13)="",10^12,OFFSET(CRONOPLE!$F$14,$M207,AP$13))))</f>
        <v>0</v>
      </c>
      <c r="AQ207" s="181">
        <f ca="1">IF($D207&lt;&gt;"Serviço",0,IF(AND(AUTOEVENTO="Manual",$M207=1),0,IF(OFFSET(CRONOPLE!$F$14,$M207,AQ$13)="",10^12,OFFSET(CRONOPLE!$F$14,$M207,AQ$13))))</f>
        <v>0</v>
      </c>
      <c r="AR207" s="181">
        <f ca="1">IF($D207&lt;&gt;"Serviço",0,IF(AND(AUTOEVENTO="Manual",$M207=1),0,IF(OFFSET(CRONOPLE!$F$14,$M207,AR$13)="",10^12,OFFSET(CRONOPLE!$F$14,$M207,AR$13))))</f>
        <v>0</v>
      </c>
      <c r="AS207" s="181">
        <f ca="1">IF($D207&lt;&gt;"Serviço",0,IF(AND(AUTOEVENTO="Manual",$M207=1),0,IF(OFFSET(CRONOPLE!$F$14,$M207,AS$13)="",10^12,OFFSET(CRONOPLE!$F$14,$M207,AS$13))))</f>
        <v>0</v>
      </c>
      <c r="AT207" s="181">
        <f ca="1">IF($D207&lt;&gt;"Serviço",0,IF(AND(AUTOEVENTO="Manual",$M207=1),0,IF(OFFSET(CRONOPLE!$F$14,$M207,AT$13)="",10^12,OFFSET(CRONOPLE!$F$14,$M207,AT$13))))</f>
        <v>0</v>
      </c>
      <c r="AU207" s="181">
        <f ca="1">IF($D207&lt;&gt;"Serviço",0,IF(AND(AUTOEVENTO="Manual",$M207=1),0,IF(OFFSET(CRONOPLE!$F$14,$M207,AU$13)="",10^12,OFFSET(CRONOPLE!$F$14,$M207,AU$13))))</f>
        <v>0</v>
      </c>
      <c r="AV207" s="181">
        <f ca="1">IF($D207&lt;&gt;"Serviço",0,IF(AND(AUTOEVENTO="Manual",$M207=1),0,IF(OFFSET(CRONOPLE!$F$14,$M207,AV$13)="",10^12,OFFSET(CRONOPLE!$F$14,$M207,AV$13))))</f>
        <v>0</v>
      </c>
      <c r="AX207" s="182">
        <f ca="1">IF($D207&lt;&gt;"Serviço",0,IF(OR(AND(AUTOEVENTO="Manual",$M207=1),$M207&gt;(ROW(PLE.lastrow)-ROW(PLE.firstrow))),0,IF(OFFSET(PLE!$G$14,$M207,AX$13)="",10^12,OFFSET(PLE!$G$14,$M207,AX$13))))</f>
        <v>0</v>
      </c>
      <c r="AY207" s="182">
        <f ca="1">IF($D207&lt;&gt;"Serviço",0,IF(OR(AND(AUTOEVENTO="Manual",$M207=1),$M207&gt;(ROW(PLE.lastrow)-ROW(PLE.firstrow))),0,IF(OFFSET(PLE!$G$14,$M207,AY$13)="",10^12,OFFSET(PLE!$G$14,$M207,AY$13))))</f>
        <v>0</v>
      </c>
      <c r="AZ207" s="182">
        <f ca="1">IF($D207&lt;&gt;"Serviço",0,IF(OR(AND(AUTOEVENTO="Manual",$M207=1),$M207&gt;(ROW(PLE.lastrow)-ROW(PLE.firstrow))),0,IF(OFFSET(PLE!$G$14,$M207,AZ$13)="",10^12,OFFSET(PLE!$G$14,$M207,AZ$13))))</f>
        <v>0</v>
      </c>
      <c r="BA207" s="182">
        <f ca="1">IF($D207&lt;&gt;"Serviço",0,IF(OR(AND(AUTOEVENTO="Manual",$M207=1),$M207&gt;(ROW(PLE.lastrow)-ROW(PLE.firstrow))),0,IF(OFFSET(PLE!$G$14,$M207,BA$13)="",10^12,OFFSET(PLE!$G$14,$M207,BA$13))))</f>
        <v>0</v>
      </c>
      <c r="BB207" s="182">
        <f ca="1">IF($D207&lt;&gt;"Serviço",0,IF(OR(AND(AUTOEVENTO="Manual",$M207=1),$M207&gt;(ROW(PLE.lastrow)-ROW(PLE.firstrow))),0,IF(OFFSET(PLE!$G$14,$M207,BB$13)="",10^12,OFFSET(PLE!$G$14,$M207,BB$13))))</f>
        <v>0</v>
      </c>
      <c r="BC207" s="182">
        <f ca="1">IF($D207&lt;&gt;"Serviço",0,IF(OR(AND(AUTOEVENTO="Manual",$M207=1),$M207&gt;(ROW(PLE.lastrow)-ROW(PLE.firstrow))),0,IF(OFFSET(PLE!$G$14,$M207,BC$13)="",10^12,OFFSET(PLE!$G$14,$M207,BC$13))))</f>
        <v>0</v>
      </c>
      <c r="BD207" s="182">
        <f ca="1">IF($D207&lt;&gt;"Serviço",0,IF(OR(AND(AUTOEVENTO="Manual",$M207=1),$M207&gt;(ROW(PLE.lastrow)-ROW(PLE.firstrow))),0,IF(OFFSET(PLE!$G$14,$M207,BD$13)="",10^12,OFFSET(PLE!$G$14,$M207,BD$13))))</f>
        <v>0</v>
      </c>
      <c r="BE207" s="182">
        <f ca="1">IF($D207&lt;&gt;"Serviço",0,IF(OR(AND(AUTOEVENTO="Manual",$M207=1),$M207&gt;(ROW(PLE.lastrow)-ROW(PLE.firstrow))),0,IF(OFFSET(PLE!$G$14,$M207,BE$13)="",10^12,OFFSET(PLE!$G$14,$M207,BE$13))))</f>
        <v>0</v>
      </c>
      <c r="BF207" s="182">
        <f ca="1">IF($D207&lt;&gt;"Serviço",0,IF(OR(AND(AUTOEVENTO="Manual",$M207=1),$M207&gt;(ROW(PLE.lastrow)-ROW(PLE.firstrow))),0,IF(OFFSET(PLE!$G$14,$M207,BF$13)="",10^12,OFFSET(PLE!$G$14,$M207,BF$13))))</f>
        <v>0</v>
      </c>
      <c r="BG207" s="182">
        <f ca="1">IF($D207&lt;&gt;"Serviço",0,IF(OR(AND(AUTOEVENTO="Manual",$M207=1),$M207&gt;(ROW(PLE.lastrow)-ROW(PLE.firstrow))),0,IF(OFFSET(PLE!$G$14,$M207,BG$13)="",10^12,OFFSET(PLE!$G$14,$M207,BG$13))))</f>
        <v>0</v>
      </c>
    </row>
    <row r="208" spans="1:59" ht="38.25" x14ac:dyDescent="0.2">
      <c r="A208" s="7" t="str">
        <f t="shared" ca="1" si="10"/>
        <v>191</v>
      </c>
      <c r="B208" s="7" t="str">
        <f ca="1">OFFSET(ORÇAMENTO!C$15,ROW(B208)-ROW(B$15),0)</f>
        <v>S</v>
      </c>
      <c r="C208" s="7" t="str">
        <f ca="1">OFFSET(ORÇAMENTO!L$15,ROW(C208)-ROW(C$15),0)</f>
        <v/>
      </c>
      <c r="D208" s="118" t="str">
        <f ca="1">OFFSET(ORÇAMENTO!N$15,ROW(D208)-ROW(D$15),0)</f>
        <v>Serviço</v>
      </c>
      <c r="E208" s="119" t="str">
        <f ca="1">OFFSET(ORÇAMENTO!O$15,ROW(E208)-ROW(E$15),0)</f>
        <v>-</v>
      </c>
      <c r="F208" s="172" t="str">
        <f ca="1">OFFSET(ORÇAMENTO!R$15,ROW(F208)-ROW(F$15),0)</f>
        <v>(abra o arquivo 'Referência 02-2025.xlsm)</v>
      </c>
      <c r="G208" s="173" t="str">
        <f ca="1">IF($D208&lt;&gt;"Serviço","",OFFSET(ORÇAMENTO!S$15,ROW(G208)-ROW(G$15),0))</f>
        <v>-</v>
      </c>
      <c r="H208" s="124">
        <f ca="1">IF($D208&lt;&gt;"Serviço",0,IF(ACOMPANHAMENTO="BM",ROUND(OFFSET(ORÇAMENTO!AJ$15,ROW(H208)-ROW(H$15),0),15-13*ORÇAMENTO!$AF$7),SUMPRODUCT(($Q$12:$AA$12&lt;&gt;"")*ROUND($Q208:$AA208,15-13*ORÇAMENTO!$AF$7))))</f>
        <v>1349.85</v>
      </c>
      <c r="I208" s="561"/>
      <c r="K208" s="174"/>
      <c r="L208" s="175" t="s">
        <v>255</v>
      </c>
      <c r="M208" s="176">
        <f ca="1">IF($D208&lt;&gt;"Serviço","",IF(AUTOEVENTO="manual",$A208,IF(ISERROR(MATCH($A208,$A$15:OFFSET($A208,-1,0),0)),MAX($M$15:OFFSET(M208,-1,0))+1,INDEX($M$15:OFFSET(M208,-1,0),MATCH($A208,$A$15:OFFSET($A208,-1,0),0)))))</f>
        <v>11</v>
      </c>
      <c r="N208" s="177" t="str">
        <f ca="1">IF($D208&lt;&gt;"Serviço","",IF(AUTOEVENTO="Manual",IF($A208=0,"&lt;-- defina o número do agrupador",OFFSET(EVENTOS!$D$14,$A208,0)),OFFSET($F$15,$A208,0)))</f>
        <v>SISTEMAS DE PISOS</v>
      </c>
      <c r="O208" s="178"/>
      <c r="Q208" s="178"/>
      <c r="R208" s="179"/>
      <c r="S208" s="179"/>
      <c r="T208" s="179"/>
      <c r="U208" s="179"/>
      <c r="V208" s="179"/>
      <c r="W208" s="179"/>
      <c r="X208" s="179"/>
      <c r="Y208" s="179"/>
      <c r="Z208" s="180"/>
      <c r="AB208" s="544">
        <f ca="1">IF(AND($D208="Serviço",AB$12&lt;&gt;0,$H208&gt;0,OR(AUTOEVENTO&lt;&gt;"manual",$M208&lt;&gt;1)),
IF(Import.TipoArredondamento&lt;&gt;"TransfereGOV",
ROUND(OFFSET($P208,0,AB$13),15-13*ORÇAMENTO!$AF$7)/$H208*OFFSET(ORÇAMENTO!$X$15,ROW(AB208)-ROW(AB$15),0),
ROUND(ROUND(OFFSET($P208,0,AB$13),15-13*ORÇAMENTO!$AF$7)*OFFSET(ORÇAMENTO!$W$15,ROW(AB208)-ROW(AB$15),0),15-13*ORÇAMENTO!$AF$11)),0)</f>
        <v>0</v>
      </c>
      <c r="AC208" s="545">
        <f ca="1">IF(AND($D208="Serviço",AC$12&lt;&gt;0,$H208&gt;0,OR(AUTOEVENTO&lt;&gt;"manual",$M208&lt;&gt;1)),
IF(Import.TipoArredondamento&lt;&gt;"TransfereGOV",
ROUND(OFFSET($P208,0,AC$13),15-13*ORÇAMENTO!$AF$7)/$H208*OFFSET(ORÇAMENTO!$X$15,ROW(AC208)-ROW(AC$15),0),
ROUND(ROUND(OFFSET($P208,0,AC$13),15-13*ORÇAMENTO!$AF$7)*OFFSET(ORÇAMENTO!$W$15,ROW(AC208)-ROW(AC$15),0),15-13*ORÇAMENTO!$AF$11)),0)</f>
        <v>0</v>
      </c>
      <c r="AD208" s="545">
        <f ca="1">IF(AND($D208="Serviço",AD$12&lt;&gt;0,$H208&gt;0,OR(AUTOEVENTO&lt;&gt;"manual",$M208&lt;&gt;1)),
IF(Import.TipoArredondamento&lt;&gt;"TransfereGOV",
ROUND(OFFSET($P208,0,AD$13),15-13*ORÇAMENTO!$AF$7)/$H208*OFFSET(ORÇAMENTO!$X$15,ROW(AD208)-ROW(AD$15),0),
ROUND(ROUND(OFFSET($P208,0,AD$13),15-13*ORÇAMENTO!$AF$7)*OFFSET(ORÇAMENTO!$W$15,ROW(AD208)-ROW(AD$15),0),15-13*ORÇAMENTO!$AF$11)),0)</f>
        <v>0</v>
      </c>
      <c r="AE208" s="545">
        <f ca="1">IF(AND($D208="Serviço",AE$12&lt;&gt;0,$H208&gt;0,OR(AUTOEVENTO&lt;&gt;"manual",$M208&lt;&gt;1)),
IF(Import.TipoArredondamento&lt;&gt;"TransfereGOV",
ROUND(OFFSET($P208,0,AE$13),15-13*ORÇAMENTO!$AF$7)/$H208*OFFSET(ORÇAMENTO!$X$15,ROW(AE208)-ROW(AE$15),0),
ROUND(ROUND(OFFSET($P208,0,AE$13),15-13*ORÇAMENTO!$AF$7)*OFFSET(ORÇAMENTO!$W$15,ROW(AE208)-ROW(AE$15),0),15-13*ORÇAMENTO!$AF$11)),0)</f>
        <v>0</v>
      </c>
      <c r="AF208" s="545">
        <f ca="1">IF(AND($D208="Serviço",AF$12&lt;&gt;0,$H208&gt;0,OR(AUTOEVENTO&lt;&gt;"manual",$M208&lt;&gt;1)),
IF(Import.TipoArredondamento&lt;&gt;"TransfereGOV",
ROUND(OFFSET($P208,0,AF$13),15-13*ORÇAMENTO!$AF$7)/$H208*OFFSET(ORÇAMENTO!$X$15,ROW(AF208)-ROW(AF$15),0),
ROUND(ROUND(OFFSET($P208,0,AF$13),15-13*ORÇAMENTO!$AF$7)*OFFSET(ORÇAMENTO!$W$15,ROW(AF208)-ROW(AF$15),0),15-13*ORÇAMENTO!$AF$11)),0)</f>
        <v>0</v>
      </c>
      <c r="AG208" s="545">
        <f ca="1">IF(AND($D208="Serviço",AG$12&lt;&gt;0,$H208&gt;0,OR(AUTOEVENTO&lt;&gt;"manual",$M208&lt;&gt;1)),
IF(Import.TipoArredondamento&lt;&gt;"TransfereGOV",
ROUND(OFFSET($P208,0,AG$13),15-13*ORÇAMENTO!$AF$7)/$H208*OFFSET(ORÇAMENTO!$X$15,ROW(AG208)-ROW(AG$15),0),
ROUND(ROUND(OFFSET($P208,0,AG$13),15-13*ORÇAMENTO!$AF$7)*OFFSET(ORÇAMENTO!$W$15,ROW(AG208)-ROW(AG$15),0),15-13*ORÇAMENTO!$AF$11)),0)</f>
        <v>0</v>
      </c>
      <c r="AH208" s="545">
        <f ca="1">IF(AND($D208="Serviço",AH$12&lt;&gt;0,$H208&gt;0,OR(AUTOEVENTO&lt;&gt;"manual",$M208&lt;&gt;1)),
IF(Import.TipoArredondamento&lt;&gt;"TransfereGOV",
ROUND(OFFSET($P208,0,AH$13),15-13*ORÇAMENTO!$AF$7)/$H208*OFFSET(ORÇAMENTO!$X$15,ROW(AH208)-ROW(AH$15),0),
ROUND(ROUND(OFFSET($P208,0,AH$13),15-13*ORÇAMENTO!$AF$7)*OFFSET(ORÇAMENTO!$W$15,ROW(AH208)-ROW(AH$15),0),15-13*ORÇAMENTO!$AF$11)),0)</f>
        <v>0</v>
      </c>
      <c r="AI208" s="545">
        <f ca="1">IF(AND($D208="Serviço",AI$12&lt;&gt;0,$H208&gt;0,OR(AUTOEVENTO&lt;&gt;"manual",$M208&lt;&gt;1)),
IF(Import.TipoArredondamento&lt;&gt;"TransfereGOV",
ROUND(OFFSET($P208,0,AI$13),15-13*ORÇAMENTO!$AF$7)/$H208*OFFSET(ORÇAMENTO!$X$15,ROW(AI208)-ROW(AI$15),0),
ROUND(ROUND(OFFSET($P208,0,AI$13),15-13*ORÇAMENTO!$AF$7)*OFFSET(ORÇAMENTO!$W$15,ROW(AI208)-ROW(AI$15),0),15-13*ORÇAMENTO!$AF$11)),0)</f>
        <v>0</v>
      </c>
      <c r="AJ208" s="545">
        <f ca="1">IF(AND($D208="Serviço",AJ$12&lt;&gt;0,$H208&gt;0,OR(AUTOEVENTO&lt;&gt;"manual",$M208&lt;&gt;1)),
IF(Import.TipoArredondamento&lt;&gt;"TransfereGOV",
ROUND(OFFSET($P208,0,AJ$13),15-13*ORÇAMENTO!$AF$7)/$H208*OFFSET(ORÇAMENTO!$X$15,ROW(AJ208)-ROW(AJ$15),0),
ROUND(ROUND(OFFSET($P208,0,AJ$13),15-13*ORÇAMENTO!$AF$7)*OFFSET(ORÇAMENTO!$W$15,ROW(AJ208)-ROW(AJ$15),0),15-13*ORÇAMENTO!$AF$11)),0)</f>
        <v>0</v>
      </c>
      <c r="AK208" s="546">
        <f ca="1">IF(AND($D208="Serviço",AK$12&lt;&gt;0,$H208&gt;0,OR(AUTOEVENTO&lt;&gt;"manual",$M208&lt;&gt;1)),
IF(Import.TipoArredondamento&lt;&gt;"TransfereGOV",
ROUND(OFFSET($P208,0,AK$13),15-13*ORÇAMENTO!$AF$7)/$H208*OFFSET(ORÇAMENTO!$X$15,ROW(AK208)-ROW(AK$15),0),
ROUND(ROUND(OFFSET($P208,0,AK$13),15-13*ORÇAMENTO!$AF$7)*OFFSET(ORÇAMENTO!$W$15,ROW(AK208)-ROW(AK$15),0),15-13*ORÇAMENTO!$AF$11)),0)</f>
        <v>0</v>
      </c>
      <c r="AM208" s="181">
        <f ca="1">IF($D208&lt;&gt;"Serviço",0,IF(AND(AUTOEVENTO="Manual",$M208=1),0,IF(OFFSET(CRONOPLE!$F$14,$M208,AM$13)="",10^12,OFFSET(CRONOPLE!$F$14,$M208,AM$13))))</f>
        <v>1000000000000</v>
      </c>
      <c r="AN208" s="181">
        <f ca="1">IF($D208&lt;&gt;"Serviço",0,IF(AND(AUTOEVENTO="Manual",$M208=1),0,IF(OFFSET(CRONOPLE!$F$14,$M208,AN$13)="",10^12,OFFSET(CRONOPLE!$F$14,$M208,AN$13))))</f>
        <v>1000000000000</v>
      </c>
      <c r="AO208" s="181">
        <f ca="1">IF($D208&lt;&gt;"Serviço",0,IF(AND(AUTOEVENTO="Manual",$M208=1),0,IF(OFFSET(CRONOPLE!$F$14,$M208,AO$13)="",10^12,OFFSET(CRONOPLE!$F$14,$M208,AO$13))))</f>
        <v>1000000000000</v>
      </c>
      <c r="AP208" s="181">
        <f ca="1">IF($D208&lt;&gt;"Serviço",0,IF(AND(AUTOEVENTO="Manual",$M208=1),0,IF(OFFSET(CRONOPLE!$F$14,$M208,AP$13)="",10^12,OFFSET(CRONOPLE!$F$14,$M208,AP$13))))</f>
        <v>1000000000000</v>
      </c>
      <c r="AQ208" s="181">
        <f ca="1">IF($D208&lt;&gt;"Serviço",0,IF(AND(AUTOEVENTO="Manual",$M208=1),0,IF(OFFSET(CRONOPLE!$F$14,$M208,AQ$13)="",10^12,OFFSET(CRONOPLE!$F$14,$M208,AQ$13))))</f>
        <v>1000000000000</v>
      </c>
      <c r="AR208" s="181">
        <f ca="1">IF($D208&lt;&gt;"Serviço",0,IF(AND(AUTOEVENTO="Manual",$M208=1),0,IF(OFFSET(CRONOPLE!$F$14,$M208,AR$13)="",10^12,OFFSET(CRONOPLE!$F$14,$M208,AR$13))))</f>
        <v>1000000000000</v>
      </c>
      <c r="AS208" s="181">
        <f ca="1">IF($D208&lt;&gt;"Serviço",0,IF(AND(AUTOEVENTO="Manual",$M208=1),0,IF(OFFSET(CRONOPLE!$F$14,$M208,AS$13)="",10^12,OFFSET(CRONOPLE!$F$14,$M208,AS$13))))</f>
        <v>1000000000000</v>
      </c>
      <c r="AT208" s="181">
        <f ca="1">IF($D208&lt;&gt;"Serviço",0,IF(AND(AUTOEVENTO="Manual",$M208=1),0,IF(OFFSET(CRONOPLE!$F$14,$M208,AT$13)="",10^12,OFFSET(CRONOPLE!$F$14,$M208,AT$13))))</f>
        <v>1000000000000</v>
      </c>
      <c r="AU208" s="181">
        <f ca="1">IF($D208&lt;&gt;"Serviço",0,IF(AND(AUTOEVENTO="Manual",$M208=1),0,IF(OFFSET(CRONOPLE!$F$14,$M208,AU$13)="",10^12,OFFSET(CRONOPLE!$F$14,$M208,AU$13))))</f>
        <v>1000000000000</v>
      </c>
      <c r="AV208" s="181">
        <f ca="1">IF($D208&lt;&gt;"Serviço",0,IF(AND(AUTOEVENTO="Manual",$M208=1),0,IF(OFFSET(CRONOPLE!$F$14,$M208,AV$13)="",10^12,OFFSET(CRONOPLE!$F$14,$M208,AV$13))))</f>
        <v>1000000000000</v>
      </c>
      <c r="AX208" s="182">
        <f ca="1">IF($D208&lt;&gt;"Serviço",0,IF(OR(AND(AUTOEVENTO="Manual",$M208=1),$M208&gt;(ROW(PLE.lastrow)-ROW(PLE.firstrow))),0,IF(OFFSET(PLE!$G$14,$M208,AX$13)="",10^12,OFFSET(PLE!$G$14,$M208,AX$13))))</f>
        <v>1000000000000</v>
      </c>
      <c r="AY208" s="182">
        <f ca="1">IF($D208&lt;&gt;"Serviço",0,IF(OR(AND(AUTOEVENTO="Manual",$M208=1),$M208&gt;(ROW(PLE.lastrow)-ROW(PLE.firstrow))),0,IF(OFFSET(PLE!$G$14,$M208,AY$13)="",10^12,OFFSET(PLE!$G$14,$M208,AY$13))))</f>
        <v>1000000000000</v>
      </c>
      <c r="AZ208" s="182">
        <f ca="1">IF($D208&lt;&gt;"Serviço",0,IF(OR(AND(AUTOEVENTO="Manual",$M208=1),$M208&gt;(ROW(PLE.lastrow)-ROW(PLE.firstrow))),0,IF(OFFSET(PLE!$G$14,$M208,AZ$13)="",10^12,OFFSET(PLE!$G$14,$M208,AZ$13))))</f>
        <v>1000000000000</v>
      </c>
      <c r="BA208" s="182">
        <f ca="1">IF($D208&lt;&gt;"Serviço",0,IF(OR(AND(AUTOEVENTO="Manual",$M208=1),$M208&gt;(ROW(PLE.lastrow)-ROW(PLE.firstrow))),0,IF(OFFSET(PLE!$G$14,$M208,BA$13)="",10^12,OFFSET(PLE!$G$14,$M208,BA$13))))</f>
        <v>1000000000000</v>
      </c>
      <c r="BB208" s="182">
        <f ca="1">IF($D208&lt;&gt;"Serviço",0,IF(OR(AND(AUTOEVENTO="Manual",$M208=1),$M208&gt;(ROW(PLE.lastrow)-ROW(PLE.firstrow))),0,IF(OFFSET(PLE!$G$14,$M208,BB$13)="",10^12,OFFSET(PLE!$G$14,$M208,BB$13))))</f>
        <v>1000000000000</v>
      </c>
      <c r="BC208" s="182">
        <f ca="1">IF($D208&lt;&gt;"Serviço",0,IF(OR(AND(AUTOEVENTO="Manual",$M208=1),$M208&gt;(ROW(PLE.lastrow)-ROW(PLE.firstrow))),0,IF(OFFSET(PLE!$G$14,$M208,BC$13)="",10^12,OFFSET(PLE!$G$14,$M208,BC$13))))</f>
        <v>1000000000000</v>
      </c>
      <c r="BD208" s="182">
        <f ca="1">IF($D208&lt;&gt;"Serviço",0,IF(OR(AND(AUTOEVENTO="Manual",$M208=1),$M208&gt;(ROW(PLE.lastrow)-ROW(PLE.firstrow))),0,IF(OFFSET(PLE!$G$14,$M208,BD$13)="",10^12,OFFSET(PLE!$G$14,$M208,BD$13))))</f>
        <v>1000000000000</v>
      </c>
      <c r="BE208" s="182">
        <f ca="1">IF($D208&lt;&gt;"Serviço",0,IF(OR(AND(AUTOEVENTO="Manual",$M208=1),$M208&gt;(ROW(PLE.lastrow)-ROW(PLE.firstrow))),0,IF(OFFSET(PLE!$G$14,$M208,BE$13)="",10^12,OFFSET(PLE!$G$14,$M208,BE$13))))</f>
        <v>1000000000000</v>
      </c>
      <c r="BF208" s="182">
        <f ca="1">IF($D208&lt;&gt;"Serviço",0,IF(OR(AND(AUTOEVENTO="Manual",$M208=1),$M208&gt;(ROW(PLE.lastrow)-ROW(PLE.firstrow))),0,IF(OFFSET(PLE!$G$14,$M208,BF$13)="",10^12,OFFSET(PLE!$G$14,$M208,BF$13))))</f>
        <v>1000000000000</v>
      </c>
      <c r="BG208" s="182">
        <f ca="1">IF($D208&lt;&gt;"Serviço",0,IF(OR(AND(AUTOEVENTO="Manual",$M208=1),$M208&gt;(ROW(PLE.lastrow)-ROW(PLE.firstrow))),0,IF(OFFSET(PLE!$G$14,$M208,BG$13)="",10^12,OFFSET(PLE!$G$14,$M208,BG$13))))</f>
        <v>1000000000000</v>
      </c>
    </row>
    <row r="209" spans="1:59" ht="38.25" x14ac:dyDescent="0.2">
      <c r="A209" s="7" t="str">
        <f t="shared" ca="1" si="10"/>
        <v>191</v>
      </c>
      <c r="B209" s="7" t="str">
        <f ca="1">OFFSET(ORÇAMENTO!C$15,ROW(B209)-ROW(B$15),0)</f>
        <v>S</v>
      </c>
      <c r="C209" s="7" t="str">
        <f ca="1">OFFSET(ORÇAMENTO!L$15,ROW(C209)-ROW(C$15),0)</f>
        <v/>
      </c>
      <c r="D209" s="118" t="str">
        <f ca="1">OFFSET(ORÇAMENTO!N$15,ROW(D209)-ROW(D$15),0)</f>
        <v>Serviço</v>
      </c>
      <c r="E209" s="119" t="str">
        <f ca="1">OFFSET(ORÇAMENTO!O$15,ROW(E209)-ROW(E$15),0)</f>
        <v>-</v>
      </c>
      <c r="F209" s="172" t="str">
        <f ca="1">OFFSET(ORÇAMENTO!R$15,ROW(F209)-ROW(F$15),0)</f>
        <v>(abra o arquivo 'Referência 02-2025.xlsm)</v>
      </c>
      <c r="G209" s="173" t="str">
        <f ca="1">IF($D209&lt;&gt;"Serviço","",OFFSET(ORÇAMENTO!S$15,ROW(G209)-ROW(G$15),0))</f>
        <v>-</v>
      </c>
      <c r="H209" s="124">
        <f ca="1">IF($D209&lt;&gt;"Serviço",0,IF(ACOMPANHAMENTO="BM",ROUND(OFFSET(ORÇAMENTO!AJ$15,ROW(H209)-ROW(H$15),0),15-13*ORÇAMENTO!$AF$7),SUMPRODUCT(($Q$12:$AA$12&lt;&gt;"")*ROUND($Q209:$AA209,15-13*ORÇAMENTO!$AF$7))))</f>
        <v>134.97999999999999</v>
      </c>
      <c r="I209" s="561"/>
      <c r="K209" s="174"/>
      <c r="L209" s="175" t="s">
        <v>255</v>
      </c>
      <c r="M209" s="176">
        <f ca="1">IF($D209&lt;&gt;"Serviço","",IF(AUTOEVENTO="manual",$A209,IF(ISERROR(MATCH($A209,$A$15:OFFSET($A209,-1,0),0)),MAX($M$15:OFFSET(M209,-1,0))+1,INDEX($M$15:OFFSET(M209,-1,0),MATCH($A209,$A$15:OFFSET($A209,-1,0),0)))))</f>
        <v>11</v>
      </c>
      <c r="N209" s="177" t="str">
        <f ca="1">IF($D209&lt;&gt;"Serviço","",IF(AUTOEVENTO="Manual",IF($A209=0,"&lt;-- defina o número do agrupador",OFFSET(EVENTOS!$D$14,$A209,0)),OFFSET($F$15,$A209,0)))</f>
        <v>SISTEMAS DE PISOS</v>
      </c>
      <c r="O209" s="178"/>
      <c r="Q209" s="178"/>
      <c r="R209" s="179"/>
      <c r="S209" s="179"/>
      <c r="T209" s="179"/>
      <c r="U209" s="179"/>
      <c r="V209" s="179"/>
      <c r="W209" s="179"/>
      <c r="X209" s="179"/>
      <c r="Y209" s="179"/>
      <c r="Z209" s="180"/>
      <c r="AB209" s="544">
        <f ca="1">IF(AND($D209="Serviço",AB$12&lt;&gt;0,$H209&gt;0,OR(AUTOEVENTO&lt;&gt;"manual",$M209&lt;&gt;1)),
IF(Import.TipoArredondamento&lt;&gt;"TransfereGOV",
ROUND(OFFSET($P209,0,AB$13),15-13*ORÇAMENTO!$AF$7)/$H209*OFFSET(ORÇAMENTO!$X$15,ROW(AB209)-ROW(AB$15),0),
ROUND(ROUND(OFFSET($P209,0,AB$13),15-13*ORÇAMENTO!$AF$7)*OFFSET(ORÇAMENTO!$W$15,ROW(AB209)-ROW(AB$15),0),15-13*ORÇAMENTO!$AF$11)),0)</f>
        <v>0</v>
      </c>
      <c r="AC209" s="545">
        <f ca="1">IF(AND($D209="Serviço",AC$12&lt;&gt;0,$H209&gt;0,OR(AUTOEVENTO&lt;&gt;"manual",$M209&lt;&gt;1)),
IF(Import.TipoArredondamento&lt;&gt;"TransfereGOV",
ROUND(OFFSET($P209,0,AC$13),15-13*ORÇAMENTO!$AF$7)/$H209*OFFSET(ORÇAMENTO!$X$15,ROW(AC209)-ROW(AC$15),0),
ROUND(ROUND(OFFSET($P209,0,AC$13),15-13*ORÇAMENTO!$AF$7)*OFFSET(ORÇAMENTO!$W$15,ROW(AC209)-ROW(AC$15),0),15-13*ORÇAMENTO!$AF$11)),0)</f>
        <v>0</v>
      </c>
      <c r="AD209" s="545">
        <f ca="1">IF(AND($D209="Serviço",AD$12&lt;&gt;0,$H209&gt;0,OR(AUTOEVENTO&lt;&gt;"manual",$M209&lt;&gt;1)),
IF(Import.TipoArredondamento&lt;&gt;"TransfereGOV",
ROUND(OFFSET($P209,0,AD$13),15-13*ORÇAMENTO!$AF$7)/$H209*OFFSET(ORÇAMENTO!$X$15,ROW(AD209)-ROW(AD$15),0),
ROUND(ROUND(OFFSET($P209,0,AD$13),15-13*ORÇAMENTO!$AF$7)*OFFSET(ORÇAMENTO!$W$15,ROW(AD209)-ROW(AD$15),0),15-13*ORÇAMENTO!$AF$11)),0)</f>
        <v>0</v>
      </c>
      <c r="AE209" s="545">
        <f ca="1">IF(AND($D209="Serviço",AE$12&lt;&gt;0,$H209&gt;0,OR(AUTOEVENTO&lt;&gt;"manual",$M209&lt;&gt;1)),
IF(Import.TipoArredondamento&lt;&gt;"TransfereGOV",
ROUND(OFFSET($P209,0,AE$13),15-13*ORÇAMENTO!$AF$7)/$H209*OFFSET(ORÇAMENTO!$X$15,ROW(AE209)-ROW(AE$15),0),
ROUND(ROUND(OFFSET($P209,0,AE$13),15-13*ORÇAMENTO!$AF$7)*OFFSET(ORÇAMENTO!$W$15,ROW(AE209)-ROW(AE$15),0),15-13*ORÇAMENTO!$AF$11)),0)</f>
        <v>0</v>
      </c>
      <c r="AF209" s="545">
        <f ca="1">IF(AND($D209="Serviço",AF$12&lt;&gt;0,$H209&gt;0,OR(AUTOEVENTO&lt;&gt;"manual",$M209&lt;&gt;1)),
IF(Import.TipoArredondamento&lt;&gt;"TransfereGOV",
ROUND(OFFSET($P209,0,AF$13),15-13*ORÇAMENTO!$AF$7)/$H209*OFFSET(ORÇAMENTO!$X$15,ROW(AF209)-ROW(AF$15),0),
ROUND(ROUND(OFFSET($P209,0,AF$13),15-13*ORÇAMENTO!$AF$7)*OFFSET(ORÇAMENTO!$W$15,ROW(AF209)-ROW(AF$15),0),15-13*ORÇAMENTO!$AF$11)),0)</f>
        <v>0</v>
      </c>
      <c r="AG209" s="545">
        <f ca="1">IF(AND($D209="Serviço",AG$12&lt;&gt;0,$H209&gt;0,OR(AUTOEVENTO&lt;&gt;"manual",$M209&lt;&gt;1)),
IF(Import.TipoArredondamento&lt;&gt;"TransfereGOV",
ROUND(OFFSET($P209,0,AG$13),15-13*ORÇAMENTO!$AF$7)/$H209*OFFSET(ORÇAMENTO!$X$15,ROW(AG209)-ROW(AG$15),0),
ROUND(ROUND(OFFSET($P209,0,AG$13),15-13*ORÇAMENTO!$AF$7)*OFFSET(ORÇAMENTO!$W$15,ROW(AG209)-ROW(AG$15),0),15-13*ORÇAMENTO!$AF$11)),0)</f>
        <v>0</v>
      </c>
      <c r="AH209" s="545">
        <f ca="1">IF(AND($D209="Serviço",AH$12&lt;&gt;0,$H209&gt;0,OR(AUTOEVENTO&lt;&gt;"manual",$M209&lt;&gt;1)),
IF(Import.TipoArredondamento&lt;&gt;"TransfereGOV",
ROUND(OFFSET($P209,0,AH$13),15-13*ORÇAMENTO!$AF$7)/$H209*OFFSET(ORÇAMENTO!$X$15,ROW(AH209)-ROW(AH$15),0),
ROUND(ROUND(OFFSET($P209,0,AH$13),15-13*ORÇAMENTO!$AF$7)*OFFSET(ORÇAMENTO!$W$15,ROW(AH209)-ROW(AH$15),0),15-13*ORÇAMENTO!$AF$11)),0)</f>
        <v>0</v>
      </c>
      <c r="AI209" s="545">
        <f ca="1">IF(AND($D209="Serviço",AI$12&lt;&gt;0,$H209&gt;0,OR(AUTOEVENTO&lt;&gt;"manual",$M209&lt;&gt;1)),
IF(Import.TipoArredondamento&lt;&gt;"TransfereGOV",
ROUND(OFFSET($P209,0,AI$13),15-13*ORÇAMENTO!$AF$7)/$H209*OFFSET(ORÇAMENTO!$X$15,ROW(AI209)-ROW(AI$15),0),
ROUND(ROUND(OFFSET($P209,0,AI$13),15-13*ORÇAMENTO!$AF$7)*OFFSET(ORÇAMENTO!$W$15,ROW(AI209)-ROW(AI$15),0),15-13*ORÇAMENTO!$AF$11)),0)</f>
        <v>0</v>
      </c>
      <c r="AJ209" s="545">
        <f ca="1">IF(AND($D209="Serviço",AJ$12&lt;&gt;0,$H209&gt;0,OR(AUTOEVENTO&lt;&gt;"manual",$M209&lt;&gt;1)),
IF(Import.TipoArredondamento&lt;&gt;"TransfereGOV",
ROUND(OFFSET($P209,0,AJ$13),15-13*ORÇAMENTO!$AF$7)/$H209*OFFSET(ORÇAMENTO!$X$15,ROW(AJ209)-ROW(AJ$15),0),
ROUND(ROUND(OFFSET($P209,0,AJ$13),15-13*ORÇAMENTO!$AF$7)*OFFSET(ORÇAMENTO!$W$15,ROW(AJ209)-ROW(AJ$15),0),15-13*ORÇAMENTO!$AF$11)),0)</f>
        <v>0</v>
      </c>
      <c r="AK209" s="546">
        <f ca="1">IF(AND($D209="Serviço",AK$12&lt;&gt;0,$H209&gt;0,OR(AUTOEVENTO&lt;&gt;"manual",$M209&lt;&gt;1)),
IF(Import.TipoArredondamento&lt;&gt;"TransfereGOV",
ROUND(OFFSET($P209,0,AK$13),15-13*ORÇAMENTO!$AF$7)/$H209*OFFSET(ORÇAMENTO!$X$15,ROW(AK209)-ROW(AK$15),0),
ROUND(ROUND(OFFSET($P209,0,AK$13),15-13*ORÇAMENTO!$AF$7)*OFFSET(ORÇAMENTO!$W$15,ROW(AK209)-ROW(AK$15),0),15-13*ORÇAMENTO!$AF$11)),0)</f>
        <v>0</v>
      </c>
      <c r="AM209" s="181">
        <f ca="1">IF($D209&lt;&gt;"Serviço",0,IF(AND(AUTOEVENTO="Manual",$M209=1),0,IF(OFFSET(CRONOPLE!$F$14,$M209,AM$13)="",10^12,OFFSET(CRONOPLE!$F$14,$M209,AM$13))))</f>
        <v>1000000000000</v>
      </c>
      <c r="AN209" s="181">
        <f ca="1">IF($D209&lt;&gt;"Serviço",0,IF(AND(AUTOEVENTO="Manual",$M209=1),0,IF(OFFSET(CRONOPLE!$F$14,$M209,AN$13)="",10^12,OFFSET(CRONOPLE!$F$14,$M209,AN$13))))</f>
        <v>1000000000000</v>
      </c>
      <c r="AO209" s="181">
        <f ca="1">IF($D209&lt;&gt;"Serviço",0,IF(AND(AUTOEVENTO="Manual",$M209=1),0,IF(OFFSET(CRONOPLE!$F$14,$M209,AO$13)="",10^12,OFFSET(CRONOPLE!$F$14,$M209,AO$13))))</f>
        <v>1000000000000</v>
      </c>
      <c r="AP209" s="181">
        <f ca="1">IF($D209&lt;&gt;"Serviço",0,IF(AND(AUTOEVENTO="Manual",$M209=1),0,IF(OFFSET(CRONOPLE!$F$14,$M209,AP$13)="",10^12,OFFSET(CRONOPLE!$F$14,$M209,AP$13))))</f>
        <v>1000000000000</v>
      </c>
      <c r="AQ209" s="181">
        <f ca="1">IF($D209&lt;&gt;"Serviço",0,IF(AND(AUTOEVENTO="Manual",$M209=1),0,IF(OFFSET(CRONOPLE!$F$14,$M209,AQ$13)="",10^12,OFFSET(CRONOPLE!$F$14,$M209,AQ$13))))</f>
        <v>1000000000000</v>
      </c>
      <c r="AR209" s="181">
        <f ca="1">IF($D209&lt;&gt;"Serviço",0,IF(AND(AUTOEVENTO="Manual",$M209=1),0,IF(OFFSET(CRONOPLE!$F$14,$M209,AR$13)="",10^12,OFFSET(CRONOPLE!$F$14,$M209,AR$13))))</f>
        <v>1000000000000</v>
      </c>
      <c r="AS209" s="181">
        <f ca="1">IF($D209&lt;&gt;"Serviço",0,IF(AND(AUTOEVENTO="Manual",$M209=1),0,IF(OFFSET(CRONOPLE!$F$14,$M209,AS$13)="",10^12,OFFSET(CRONOPLE!$F$14,$M209,AS$13))))</f>
        <v>1000000000000</v>
      </c>
      <c r="AT209" s="181">
        <f ca="1">IF($D209&lt;&gt;"Serviço",0,IF(AND(AUTOEVENTO="Manual",$M209=1),0,IF(OFFSET(CRONOPLE!$F$14,$M209,AT$13)="",10^12,OFFSET(CRONOPLE!$F$14,$M209,AT$13))))</f>
        <v>1000000000000</v>
      </c>
      <c r="AU209" s="181">
        <f ca="1">IF($D209&lt;&gt;"Serviço",0,IF(AND(AUTOEVENTO="Manual",$M209=1),0,IF(OFFSET(CRONOPLE!$F$14,$M209,AU$13)="",10^12,OFFSET(CRONOPLE!$F$14,$M209,AU$13))))</f>
        <v>1000000000000</v>
      </c>
      <c r="AV209" s="181">
        <f ca="1">IF($D209&lt;&gt;"Serviço",0,IF(AND(AUTOEVENTO="Manual",$M209=1),0,IF(OFFSET(CRONOPLE!$F$14,$M209,AV$13)="",10^12,OFFSET(CRONOPLE!$F$14,$M209,AV$13))))</f>
        <v>1000000000000</v>
      </c>
      <c r="AX209" s="182">
        <f ca="1">IF($D209&lt;&gt;"Serviço",0,IF(OR(AND(AUTOEVENTO="Manual",$M209=1),$M209&gt;(ROW(PLE.lastrow)-ROW(PLE.firstrow))),0,IF(OFFSET(PLE!$G$14,$M209,AX$13)="",10^12,OFFSET(PLE!$G$14,$M209,AX$13))))</f>
        <v>1000000000000</v>
      </c>
      <c r="AY209" s="182">
        <f ca="1">IF($D209&lt;&gt;"Serviço",0,IF(OR(AND(AUTOEVENTO="Manual",$M209=1),$M209&gt;(ROW(PLE.lastrow)-ROW(PLE.firstrow))),0,IF(OFFSET(PLE!$G$14,$M209,AY$13)="",10^12,OFFSET(PLE!$G$14,$M209,AY$13))))</f>
        <v>1000000000000</v>
      </c>
      <c r="AZ209" s="182">
        <f ca="1">IF($D209&lt;&gt;"Serviço",0,IF(OR(AND(AUTOEVENTO="Manual",$M209=1),$M209&gt;(ROW(PLE.lastrow)-ROW(PLE.firstrow))),0,IF(OFFSET(PLE!$G$14,$M209,AZ$13)="",10^12,OFFSET(PLE!$G$14,$M209,AZ$13))))</f>
        <v>1000000000000</v>
      </c>
      <c r="BA209" s="182">
        <f ca="1">IF($D209&lt;&gt;"Serviço",0,IF(OR(AND(AUTOEVENTO="Manual",$M209=1),$M209&gt;(ROW(PLE.lastrow)-ROW(PLE.firstrow))),0,IF(OFFSET(PLE!$G$14,$M209,BA$13)="",10^12,OFFSET(PLE!$G$14,$M209,BA$13))))</f>
        <v>1000000000000</v>
      </c>
      <c r="BB209" s="182">
        <f ca="1">IF($D209&lt;&gt;"Serviço",0,IF(OR(AND(AUTOEVENTO="Manual",$M209=1),$M209&gt;(ROW(PLE.lastrow)-ROW(PLE.firstrow))),0,IF(OFFSET(PLE!$G$14,$M209,BB$13)="",10^12,OFFSET(PLE!$G$14,$M209,BB$13))))</f>
        <v>1000000000000</v>
      </c>
      <c r="BC209" s="182">
        <f ca="1">IF($D209&lt;&gt;"Serviço",0,IF(OR(AND(AUTOEVENTO="Manual",$M209=1),$M209&gt;(ROW(PLE.lastrow)-ROW(PLE.firstrow))),0,IF(OFFSET(PLE!$G$14,$M209,BC$13)="",10^12,OFFSET(PLE!$G$14,$M209,BC$13))))</f>
        <v>1000000000000</v>
      </c>
      <c r="BD209" s="182">
        <f ca="1">IF($D209&lt;&gt;"Serviço",0,IF(OR(AND(AUTOEVENTO="Manual",$M209=1),$M209&gt;(ROW(PLE.lastrow)-ROW(PLE.firstrow))),0,IF(OFFSET(PLE!$G$14,$M209,BD$13)="",10^12,OFFSET(PLE!$G$14,$M209,BD$13))))</f>
        <v>1000000000000</v>
      </c>
      <c r="BE209" s="182">
        <f ca="1">IF($D209&lt;&gt;"Serviço",0,IF(OR(AND(AUTOEVENTO="Manual",$M209=1),$M209&gt;(ROW(PLE.lastrow)-ROW(PLE.firstrow))),0,IF(OFFSET(PLE!$G$14,$M209,BE$13)="",10^12,OFFSET(PLE!$G$14,$M209,BE$13))))</f>
        <v>1000000000000</v>
      </c>
      <c r="BF209" s="182">
        <f ca="1">IF($D209&lt;&gt;"Serviço",0,IF(OR(AND(AUTOEVENTO="Manual",$M209=1),$M209&gt;(ROW(PLE.lastrow)-ROW(PLE.firstrow))),0,IF(OFFSET(PLE!$G$14,$M209,BF$13)="",10^12,OFFSET(PLE!$G$14,$M209,BF$13))))</f>
        <v>1000000000000</v>
      </c>
      <c r="BG209" s="182">
        <f ca="1">IF($D209&lt;&gt;"Serviço",0,IF(OR(AND(AUTOEVENTO="Manual",$M209=1),$M209&gt;(ROW(PLE.lastrow)-ROW(PLE.firstrow))),0,IF(OFFSET(PLE!$G$14,$M209,BG$13)="",10^12,OFFSET(PLE!$G$14,$M209,BG$13))))</f>
        <v>1000000000000</v>
      </c>
    </row>
    <row r="210" spans="1:59" ht="25.5" x14ac:dyDescent="0.2">
      <c r="A210" s="7" t="str">
        <f t="shared" ca="1" si="10"/>
        <v>191</v>
      </c>
      <c r="B210" s="7" t="str">
        <f ca="1">OFFSET(ORÇAMENTO!C$15,ROW(B210)-ROW(B$15),0)</f>
        <v>S</v>
      </c>
      <c r="C210" s="7" t="str">
        <f ca="1">OFFSET(ORÇAMENTO!L$15,ROW(C210)-ROW(C$15),0)</f>
        <v/>
      </c>
      <c r="D210" s="118" t="str">
        <f ca="1">OFFSET(ORÇAMENTO!N$15,ROW(D210)-ROW(D$15),0)</f>
        <v>Serviço</v>
      </c>
      <c r="E210" s="119" t="str">
        <f ca="1">OFFSET(ORÇAMENTO!O$15,ROW(E210)-ROW(E$15),0)</f>
        <v>-</v>
      </c>
      <c r="F210" s="172" t="str">
        <f ca="1">OFFSET(ORÇAMENTO!R$15,ROW(F210)-ROW(F$15),0)</f>
        <v>(abra o arquivo 'Referência 02-2025.xlsm)</v>
      </c>
      <c r="G210" s="173" t="str">
        <f ca="1">IF($D210&lt;&gt;"Serviço","",OFFSET(ORÇAMENTO!S$15,ROW(G210)-ROW(G$15),0))</f>
        <v>-</v>
      </c>
      <c r="H210" s="124">
        <f ca="1">IF($D210&lt;&gt;"Serviço",0,IF(ACOMPANHAMENTO="BM",ROUND(OFFSET(ORÇAMENTO!AJ$15,ROW(H210)-ROW(H$15),0),15-13*ORÇAMENTO!$AF$7),SUMPRODUCT(($Q$12:$AA$12&lt;&gt;"")*ROUND($Q210:$AA210,15-13*ORÇAMENTO!$AF$7))))</f>
        <v>1349.85</v>
      </c>
      <c r="I210" s="561"/>
      <c r="K210" s="174"/>
      <c r="L210" s="175" t="s">
        <v>255</v>
      </c>
      <c r="M210" s="176">
        <f ca="1">IF($D210&lt;&gt;"Serviço","",IF(AUTOEVENTO="manual",$A210,IF(ISERROR(MATCH($A210,$A$15:OFFSET($A210,-1,0),0)),MAX($M$15:OFFSET(M210,-1,0))+1,INDEX($M$15:OFFSET(M210,-1,0),MATCH($A210,$A$15:OFFSET($A210,-1,0),0)))))</f>
        <v>11</v>
      </c>
      <c r="N210" s="177" t="str">
        <f ca="1">IF($D210&lt;&gt;"Serviço","",IF(AUTOEVENTO="Manual",IF($A210=0,"&lt;-- defina o número do agrupador",OFFSET(EVENTOS!$D$14,$A210,0)),OFFSET($F$15,$A210,0)))</f>
        <v>SISTEMAS DE PISOS</v>
      </c>
      <c r="O210" s="178"/>
      <c r="Q210" s="178"/>
      <c r="R210" s="179"/>
      <c r="S210" s="179"/>
      <c r="T210" s="179"/>
      <c r="U210" s="179"/>
      <c r="V210" s="179"/>
      <c r="W210" s="179"/>
      <c r="X210" s="179"/>
      <c r="Y210" s="179"/>
      <c r="Z210" s="180"/>
      <c r="AB210" s="544">
        <f ca="1">IF(AND($D210="Serviço",AB$12&lt;&gt;0,$H210&gt;0,OR(AUTOEVENTO&lt;&gt;"manual",$M210&lt;&gt;1)),
IF(Import.TipoArredondamento&lt;&gt;"TransfereGOV",
ROUND(OFFSET($P210,0,AB$13),15-13*ORÇAMENTO!$AF$7)/$H210*OFFSET(ORÇAMENTO!$X$15,ROW(AB210)-ROW(AB$15),0),
ROUND(ROUND(OFFSET($P210,0,AB$13),15-13*ORÇAMENTO!$AF$7)*OFFSET(ORÇAMENTO!$W$15,ROW(AB210)-ROW(AB$15),0),15-13*ORÇAMENTO!$AF$11)),0)</f>
        <v>0</v>
      </c>
      <c r="AC210" s="545">
        <f ca="1">IF(AND($D210="Serviço",AC$12&lt;&gt;0,$H210&gt;0,OR(AUTOEVENTO&lt;&gt;"manual",$M210&lt;&gt;1)),
IF(Import.TipoArredondamento&lt;&gt;"TransfereGOV",
ROUND(OFFSET($P210,0,AC$13),15-13*ORÇAMENTO!$AF$7)/$H210*OFFSET(ORÇAMENTO!$X$15,ROW(AC210)-ROW(AC$15),0),
ROUND(ROUND(OFFSET($P210,0,AC$13),15-13*ORÇAMENTO!$AF$7)*OFFSET(ORÇAMENTO!$W$15,ROW(AC210)-ROW(AC$15),0),15-13*ORÇAMENTO!$AF$11)),0)</f>
        <v>0</v>
      </c>
      <c r="AD210" s="545">
        <f ca="1">IF(AND($D210="Serviço",AD$12&lt;&gt;0,$H210&gt;0,OR(AUTOEVENTO&lt;&gt;"manual",$M210&lt;&gt;1)),
IF(Import.TipoArredondamento&lt;&gt;"TransfereGOV",
ROUND(OFFSET($P210,0,AD$13),15-13*ORÇAMENTO!$AF$7)/$H210*OFFSET(ORÇAMENTO!$X$15,ROW(AD210)-ROW(AD$15),0),
ROUND(ROUND(OFFSET($P210,0,AD$13),15-13*ORÇAMENTO!$AF$7)*OFFSET(ORÇAMENTO!$W$15,ROW(AD210)-ROW(AD$15),0),15-13*ORÇAMENTO!$AF$11)),0)</f>
        <v>0</v>
      </c>
      <c r="AE210" s="545">
        <f ca="1">IF(AND($D210="Serviço",AE$12&lt;&gt;0,$H210&gt;0,OR(AUTOEVENTO&lt;&gt;"manual",$M210&lt;&gt;1)),
IF(Import.TipoArredondamento&lt;&gt;"TransfereGOV",
ROUND(OFFSET($P210,0,AE$13),15-13*ORÇAMENTO!$AF$7)/$H210*OFFSET(ORÇAMENTO!$X$15,ROW(AE210)-ROW(AE$15),0),
ROUND(ROUND(OFFSET($P210,0,AE$13),15-13*ORÇAMENTO!$AF$7)*OFFSET(ORÇAMENTO!$W$15,ROW(AE210)-ROW(AE$15),0),15-13*ORÇAMENTO!$AF$11)),0)</f>
        <v>0</v>
      </c>
      <c r="AF210" s="545">
        <f ca="1">IF(AND($D210="Serviço",AF$12&lt;&gt;0,$H210&gt;0,OR(AUTOEVENTO&lt;&gt;"manual",$M210&lt;&gt;1)),
IF(Import.TipoArredondamento&lt;&gt;"TransfereGOV",
ROUND(OFFSET($P210,0,AF$13),15-13*ORÇAMENTO!$AF$7)/$H210*OFFSET(ORÇAMENTO!$X$15,ROW(AF210)-ROW(AF$15),0),
ROUND(ROUND(OFFSET($P210,0,AF$13),15-13*ORÇAMENTO!$AF$7)*OFFSET(ORÇAMENTO!$W$15,ROW(AF210)-ROW(AF$15),0),15-13*ORÇAMENTO!$AF$11)),0)</f>
        <v>0</v>
      </c>
      <c r="AG210" s="545">
        <f ca="1">IF(AND($D210="Serviço",AG$12&lt;&gt;0,$H210&gt;0,OR(AUTOEVENTO&lt;&gt;"manual",$M210&lt;&gt;1)),
IF(Import.TipoArredondamento&lt;&gt;"TransfereGOV",
ROUND(OFFSET($P210,0,AG$13),15-13*ORÇAMENTO!$AF$7)/$H210*OFFSET(ORÇAMENTO!$X$15,ROW(AG210)-ROW(AG$15),0),
ROUND(ROUND(OFFSET($P210,0,AG$13),15-13*ORÇAMENTO!$AF$7)*OFFSET(ORÇAMENTO!$W$15,ROW(AG210)-ROW(AG$15),0),15-13*ORÇAMENTO!$AF$11)),0)</f>
        <v>0</v>
      </c>
      <c r="AH210" s="545">
        <f ca="1">IF(AND($D210="Serviço",AH$12&lt;&gt;0,$H210&gt;0,OR(AUTOEVENTO&lt;&gt;"manual",$M210&lt;&gt;1)),
IF(Import.TipoArredondamento&lt;&gt;"TransfereGOV",
ROUND(OFFSET($P210,0,AH$13),15-13*ORÇAMENTO!$AF$7)/$H210*OFFSET(ORÇAMENTO!$X$15,ROW(AH210)-ROW(AH$15),0),
ROUND(ROUND(OFFSET($P210,0,AH$13),15-13*ORÇAMENTO!$AF$7)*OFFSET(ORÇAMENTO!$W$15,ROW(AH210)-ROW(AH$15),0),15-13*ORÇAMENTO!$AF$11)),0)</f>
        <v>0</v>
      </c>
      <c r="AI210" s="545">
        <f ca="1">IF(AND($D210="Serviço",AI$12&lt;&gt;0,$H210&gt;0,OR(AUTOEVENTO&lt;&gt;"manual",$M210&lt;&gt;1)),
IF(Import.TipoArredondamento&lt;&gt;"TransfereGOV",
ROUND(OFFSET($P210,0,AI$13),15-13*ORÇAMENTO!$AF$7)/$H210*OFFSET(ORÇAMENTO!$X$15,ROW(AI210)-ROW(AI$15),0),
ROUND(ROUND(OFFSET($P210,0,AI$13),15-13*ORÇAMENTO!$AF$7)*OFFSET(ORÇAMENTO!$W$15,ROW(AI210)-ROW(AI$15),0),15-13*ORÇAMENTO!$AF$11)),0)</f>
        <v>0</v>
      </c>
      <c r="AJ210" s="545">
        <f ca="1">IF(AND($D210="Serviço",AJ$12&lt;&gt;0,$H210&gt;0,OR(AUTOEVENTO&lt;&gt;"manual",$M210&lt;&gt;1)),
IF(Import.TipoArredondamento&lt;&gt;"TransfereGOV",
ROUND(OFFSET($P210,0,AJ$13),15-13*ORÇAMENTO!$AF$7)/$H210*OFFSET(ORÇAMENTO!$X$15,ROW(AJ210)-ROW(AJ$15),0),
ROUND(ROUND(OFFSET($P210,0,AJ$13),15-13*ORÇAMENTO!$AF$7)*OFFSET(ORÇAMENTO!$W$15,ROW(AJ210)-ROW(AJ$15),0),15-13*ORÇAMENTO!$AF$11)),0)</f>
        <v>0</v>
      </c>
      <c r="AK210" s="546">
        <f ca="1">IF(AND($D210="Serviço",AK$12&lt;&gt;0,$H210&gt;0,OR(AUTOEVENTO&lt;&gt;"manual",$M210&lt;&gt;1)),
IF(Import.TipoArredondamento&lt;&gt;"TransfereGOV",
ROUND(OFFSET($P210,0,AK$13),15-13*ORÇAMENTO!$AF$7)/$H210*OFFSET(ORÇAMENTO!$X$15,ROW(AK210)-ROW(AK$15),0),
ROUND(ROUND(OFFSET($P210,0,AK$13),15-13*ORÇAMENTO!$AF$7)*OFFSET(ORÇAMENTO!$W$15,ROW(AK210)-ROW(AK$15),0),15-13*ORÇAMENTO!$AF$11)),0)</f>
        <v>0</v>
      </c>
      <c r="AM210" s="181">
        <f ca="1">IF($D210&lt;&gt;"Serviço",0,IF(AND(AUTOEVENTO="Manual",$M210=1),0,IF(OFFSET(CRONOPLE!$F$14,$M210,AM$13)="",10^12,OFFSET(CRONOPLE!$F$14,$M210,AM$13))))</f>
        <v>1000000000000</v>
      </c>
      <c r="AN210" s="181">
        <f ca="1">IF($D210&lt;&gt;"Serviço",0,IF(AND(AUTOEVENTO="Manual",$M210=1),0,IF(OFFSET(CRONOPLE!$F$14,$M210,AN$13)="",10^12,OFFSET(CRONOPLE!$F$14,$M210,AN$13))))</f>
        <v>1000000000000</v>
      </c>
      <c r="AO210" s="181">
        <f ca="1">IF($D210&lt;&gt;"Serviço",0,IF(AND(AUTOEVENTO="Manual",$M210=1),0,IF(OFFSET(CRONOPLE!$F$14,$M210,AO$13)="",10^12,OFFSET(CRONOPLE!$F$14,$M210,AO$13))))</f>
        <v>1000000000000</v>
      </c>
      <c r="AP210" s="181">
        <f ca="1">IF($D210&lt;&gt;"Serviço",0,IF(AND(AUTOEVENTO="Manual",$M210=1),0,IF(OFFSET(CRONOPLE!$F$14,$M210,AP$13)="",10^12,OFFSET(CRONOPLE!$F$14,$M210,AP$13))))</f>
        <v>1000000000000</v>
      </c>
      <c r="AQ210" s="181">
        <f ca="1">IF($D210&lt;&gt;"Serviço",0,IF(AND(AUTOEVENTO="Manual",$M210=1),0,IF(OFFSET(CRONOPLE!$F$14,$M210,AQ$13)="",10^12,OFFSET(CRONOPLE!$F$14,$M210,AQ$13))))</f>
        <v>1000000000000</v>
      </c>
      <c r="AR210" s="181">
        <f ca="1">IF($D210&lt;&gt;"Serviço",0,IF(AND(AUTOEVENTO="Manual",$M210=1),0,IF(OFFSET(CRONOPLE!$F$14,$M210,AR$13)="",10^12,OFFSET(CRONOPLE!$F$14,$M210,AR$13))))</f>
        <v>1000000000000</v>
      </c>
      <c r="AS210" s="181">
        <f ca="1">IF($D210&lt;&gt;"Serviço",0,IF(AND(AUTOEVENTO="Manual",$M210=1),0,IF(OFFSET(CRONOPLE!$F$14,$M210,AS$13)="",10^12,OFFSET(CRONOPLE!$F$14,$M210,AS$13))))</f>
        <v>1000000000000</v>
      </c>
      <c r="AT210" s="181">
        <f ca="1">IF($D210&lt;&gt;"Serviço",0,IF(AND(AUTOEVENTO="Manual",$M210=1),0,IF(OFFSET(CRONOPLE!$F$14,$M210,AT$13)="",10^12,OFFSET(CRONOPLE!$F$14,$M210,AT$13))))</f>
        <v>1000000000000</v>
      </c>
      <c r="AU210" s="181">
        <f ca="1">IF($D210&lt;&gt;"Serviço",0,IF(AND(AUTOEVENTO="Manual",$M210=1),0,IF(OFFSET(CRONOPLE!$F$14,$M210,AU$13)="",10^12,OFFSET(CRONOPLE!$F$14,$M210,AU$13))))</f>
        <v>1000000000000</v>
      </c>
      <c r="AV210" s="181">
        <f ca="1">IF($D210&lt;&gt;"Serviço",0,IF(AND(AUTOEVENTO="Manual",$M210=1),0,IF(OFFSET(CRONOPLE!$F$14,$M210,AV$13)="",10^12,OFFSET(CRONOPLE!$F$14,$M210,AV$13))))</f>
        <v>1000000000000</v>
      </c>
      <c r="AX210" s="182">
        <f ca="1">IF($D210&lt;&gt;"Serviço",0,IF(OR(AND(AUTOEVENTO="Manual",$M210=1),$M210&gt;(ROW(PLE.lastrow)-ROW(PLE.firstrow))),0,IF(OFFSET(PLE!$G$14,$M210,AX$13)="",10^12,OFFSET(PLE!$G$14,$M210,AX$13))))</f>
        <v>1000000000000</v>
      </c>
      <c r="AY210" s="182">
        <f ca="1">IF($D210&lt;&gt;"Serviço",0,IF(OR(AND(AUTOEVENTO="Manual",$M210=1),$M210&gt;(ROW(PLE.lastrow)-ROW(PLE.firstrow))),0,IF(OFFSET(PLE!$G$14,$M210,AY$13)="",10^12,OFFSET(PLE!$G$14,$M210,AY$13))))</f>
        <v>1000000000000</v>
      </c>
      <c r="AZ210" s="182">
        <f ca="1">IF($D210&lt;&gt;"Serviço",0,IF(OR(AND(AUTOEVENTO="Manual",$M210=1),$M210&gt;(ROW(PLE.lastrow)-ROW(PLE.firstrow))),0,IF(OFFSET(PLE!$G$14,$M210,AZ$13)="",10^12,OFFSET(PLE!$G$14,$M210,AZ$13))))</f>
        <v>1000000000000</v>
      </c>
      <c r="BA210" s="182">
        <f ca="1">IF($D210&lt;&gt;"Serviço",0,IF(OR(AND(AUTOEVENTO="Manual",$M210=1),$M210&gt;(ROW(PLE.lastrow)-ROW(PLE.firstrow))),0,IF(OFFSET(PLE!$G$14,$M210,BA$13)="",10^12,OFFSET(PLE!$G$14,$M210,BA$13))))</f>
        <v>1000000000000</v>
      </c>
      <c r="BB210" s="182">
        <f ca="1">IF($D210&lt;&gt;"Serviço",0,IF(OR(AND(AUTOEVENTO="Manual",$M210=1),$M210&gt;(ROW(PLE.lastrow)-ROW(PLE.firstrow))),0,IF(OFFSET(PLE!$G$14,$M210,BB$13)="",10^12,OFFSET(PLE!$G$14,$M210,BB$13))))</f>
        <v>1000000000000</v>
      </c>
      <c r="BC210" s="182">
        <f ca="1">IF($D210&lt;&gt;"Serviço",0,IF(OR(AND(AUTOEVENTO="Manual",$M210=1),$M210&gt;(ROW(PLE.lastrow)-ROW(PLE.firstrow))),0,IF(OFFSET(PLE!$G$14,$M210,BC$13)="",10^12,OFFSET(PLE!$G$14,$M210,BC$13))))</f>
        <v>1000000000000</v>
      </c>
      <c r="BD210" s="182">
        <f ca="1">IF($D210&lt;&gt;"Serviço",0,IF(OR(AND(AUTOEVENTO="Manual",$M210=1),$M210&gt;(ROW(PLE.lastrow)-ROW(PLE.firstrow))),0,IF(OFFSET(PLE!$G$14,$M210,BD$13)="",10^12,OFFSET(PLE!$G$14,$M210,BD$13))))</f>
        <v>1000000000000</v>
      </c>
      <c r="BE210" s="182">
        <f ca="1">IF($D210&lt;&gt;"Serviço",0,IF(OR(AND(AUTOEVENTO="Manual",$M210=1),$M210&gt;(ROW(PLE.lastrow)-ROW(PLE.firstrow))),0,IF(OFFSET(PLE!$G$14,$M210,BE$13)="",10^12,OFFSET(PLE!$G$14,$M210,BE$13))))</f>
        <v>1000000000000</v>
      </c>
      <c r="BF210" s="182">
        <f ca="1">IF($D210&lt;&gt;"Serviço",0,IF(OR(AND(AUTOEVENTO="Manual",$M210=1),$M210&gt;(ROW(PLE.lastrow)-ROW(PLE.firstrow))),0,IF(OFFSET(PLE!$G$14,$M210,BF$13)="",10^12,OFFSET(PLE!$G$14,$M210,BF$13))))</f>
        <v>1000000000000</v>
      </c>
      <c r="BG210" s="182">
        <f ca="1">IF($D210&lt;&gt;"Serviço",0,IF(OR(AND(AUTOEVENTO="Manual",$M210=1),$M210&gt;(ROW(PLE.lastrow)-ROW(PLE.firstrow))),0,IF(OFFSET(PLE!$G$14,$M210,BG$13)="",10^12,OFFSET(PLE!$G$14,$M210,BG$13))))</f>
        <v>1000000000000</v>
      </c>
    </row>
    <row r="211" spans="1:59" ht="25.5" x14ac:dyDescent="0.2">
      <c r="A211" s="7" t="str">
        <f t="shared" ca="1" si="10"/>
        <v>191</v>
      </c>
      <c r="B211" s="7" t="str">
        <f ca="1">OFFSET(ORÇAMENTO!C$15,ROW(B211)-ROW(B$15),0)</f>
        <v>S</v>
      </c>
      <c r="C211" s="7" t="str">
        <f ca="1">OFFSET(ORÇAMENTO!L$15,ROW(C211)-ROW(C$15),0)</f>
        <v/>
      </c>
      <c r="D211" s="118" t="str">
        <f ca="1">OFFSET(ORÇAMENTO!N$15,ROW(D211)-ROW(D$15),0)</f>
        <v>Serviço</v>
      </c>
      <c r="E211" s="119" t="str">
        <f ca="1">OFFSET(ORÇAMENTO!O$15,ROW(E211)-ROW(E$15),0)</f>
        <v>-</v>
      </c>
      <c r="F211" s="172" t="str">
        <f ca="1">OFFSET(ORÇAMENTO!R$15,ROW(F211)-ROW(F$15),0)</f>
        <v>(abra o arquivo 'Referência 02-2025.xlsm)</v>
      </c>
      <c r="G211" s="173" t="str">
        <f ca="1">IF($D211&lt;&gt;"Serviço","",OFFSET(ORÇAMENTO!S$15,ROW(G211)-ROW(G$15),0))</f>
        <v>-</v>
      </c>
      <c r="H211" s="124">
        <f ca="1">IF($D211&lt;&gt;"Serviço",0,IF(ACOMPANHAMENTO="BM",ROUND(OFFSET(ORÇAMENTO!AJ$15,ROW(H211)-ROW(H$15),0),15-13*ORÇAMENTO!$AF$7),SUMPRODUCT(($Q$12:$AA$12&lt;&gt;"")*ROUND($Q211:$AA211,15-13*ORÇAMENTO!$AF$7))))</f>
        <v>1997.78</v>
      </c>
      <c r="I211" s="561"/>
      <c r="K211" s="174"/>
      <c r="L211" s="175" t="s">
        <v>255</v>
      </c>
      <c r="M211" s="176">
        <f ca="1">IF($D211&lt;&gt;"Serviço","",IF(AUTOEVENTO="manual",$A211,IF(ISERROR(MATCH($A211,$A$15:OFFSET($A211,-1,0),0)),MAX($M$15:OFFSET(M211,-1,0))+1,INDEX($M$15:OFFSET(M211,-1,0),MATCH($A211,$A$15:OFFSET($A211,-1,0),0)))))</f>
        <v>11</v>
      </c>
      <c r="N211" s="177" t="str">
        <f ca="1">IF($D211&lt;&gt;"Serviço","",IF(AUTOEVENTO="Manual",IF($A211=0,"&lt;-- defina o número do agrupador",OFFSET(EVENTOS!$D$14,$A211,0)),OFFSET($F$15,$A211,0)))</f>
        <v>SISTEMAS DE PISOS</v>
      </c>
      <c r="O211" s="178"/>
      <c r="Q211" s="178"/>
      <c r="R211" s="179"/>
      <c r="S211" s="179"/>
      <c r="T211" s="179"/>
      <c r="U211" s="179"/>
      <c r="V211" s="179"/>
      <c r="W211" s="179"/>
      <c r="X211" s="179"/>
      <c r="Y211" s="179"/>
      <c r="Z211" s="180"/>
      <c r="AB211" s="544">
        <f ca="1">IF(AND($D211="Serviço",AB$12&lt;&gt;0,$H211&gt;0,OR(AUTOEVENTO&lt;&gt;"manual",$M211&lt;&gt;1)),
IF(Import.TipoArredondamento&lt;&gt;"TransfereGOV",
ROUND(OFFSET($P211,0,AB$13),15-13*ORÇAMENTO!$AF$7)/$H211*OFFSET(ORÇAMENTO!$X$15,ROW(AB211)-ROW(AB$15),0),
ROUND(ROUND(OFFSET($P211,0,AB$13),15-13*ORÇAMENTO!$AF$7)*OFFSET(ORÇAMENTO!$W$15,ROW(AB211)-ROW(AB$15),0),15-13*ORÇAMENTO!$AF$11)),0)</f>
        <v>0</v>
      </c>
      <c r="AC211" s="545">
        <f ca="1">IF(AND($D211="Serviço",AC$12&lt;&gt;0,$H211&gt;0,OR(AUTOEVENTO&lt;&gt;"manual",$M211&lt;&gt;1)),
IF(Import.TipoArredondamento&lt;&gt;"TransfereGOV",
ROUND(OFFSET($P211,0,AC$13),15-13*ORÇAMENTO!$AF$7)/$H211*OFFSET(ORÇAMENTO!$X$15,ROW(AC211)-ROW(AC$15),0),
ROUND(ROUND(OFFSET($P211,0,AC$13),15-13*ORÇAMENTO!$AF$7)*OFFSET(ORÇAMENTO!$W$15,ROW(AC211)-ROW(AC$15),0),15-13*ORÇAMENTO!$AF$11)),0)</f>
        <v>0</v>
      </c>
      <c r="AD211" s="545">
        <f ca="1">IF(AND($D211="Serviço",AD$12&lt;&gt;0,$H211&gt;0,OR(AUTOEVENTO&lt;&gt;"manual",$M211&lt;&gt;1)),
IF(Import.TipoArredondamento&lt;&gt;"TransfereGOV",
ROUND(OFFSET($P211,0,AD$13),15-13*ORÇAMENTO!$AF$7)/$H211*OFFSET(ORÇAMENTO!$X$15,ROW(AD211)-ROW(AD$15),0),
ROUND(ROUND(OFFSET($P211,0,AD$13),15-13*ORÇAMENTO!$AF$7)*OFFSET(ORÇAMENTO!$W$15,ROW(AD211)-ROW(AD$15),0),15-13*ORÇAMENTO!$AF$11)),0)</f>
        <v>0</v>
      </c>
      <c r="AE211" s="545">
        <f ca="1">IF(AND($D211="Serviço",AE$12&lt;&gt;0,$H211&gt;0,OR(AUTOEVENTO&lt;&gt;"manual",$M211&lt;&gt;1)),
IF(Import.TipoArredondamento&lt;&gt;"TransfereGOV",
ROUND(OFFSET($P211,0,AE$13),15-13*ORÇAMENTO!$AF$7)/$H211*OFFSET(ORÇAMENTO!$X$15,ROW(AE211)-ROW(AE$15),0),
ROUND(ROUND(OFFSET($P211,0,AE$13),15-13*ORÇAMENTO!$AF$7)*OFFSET(ORÇAMENTO!$W$15,ROW(AE211)-ROW(AE$15),0),15-13*ORÇAMENTO!$AF$11)),0)</f>
        <v>0</v>
      </c>
      <c r="AF211" s="545">
        <f ca="1">IF(AND($D211="Serviço",AF$12&lt;&gt;0,$H211&gt;0,OR(AUTOEVENTO&lt;&gt;"manual",$M211&lt;&gt;1)),
IF(Import.TipoArredondamento&lt;&gt;"TransfereGOV",
ROUND(OFFSET($P211,0,AF$13),15-13*ORÇAMENTO!$AF$7)/$H211*OFFSET(ORÇAMENTO!$X$15,ROW(AF211)-ROW(AF$15),0),
ROUND(ROUND(OFFSET($P211,0,AF$13),15-13*ORÇAMENTO!$AF$7)*OFFSET(ORÇAMENTO!$W$15,ROW(AF211)-ROW(AF$15),0),15-13*ORÇAMENTO!$AF$11)),0)</f>
        <v>0</v>
      </c>
      <c r="AG211" s="545">
        <f ca="1">IF(AND($D211="Serviço",AG$12&lt;&gt;0,$H211&gt;0,OR(AUTOEVENTO&lt;&gt;"manual",$M211&lt;&gt;1)),
IF(Import.TipoArredondamento&lt;&gt;"TransfereGOV",
ROUND(OFFSET($P211,0,AG$13),15-13*ORÇAMENTO!$AF$7)/$H211*OFFSET(ORÇAMENTO!$X$15,ROW(AG211)-ROW(AG$15),0),
ROUND(ROUND(OFFSET($P211,0,AG$13),15-13*ORÇAMENTO!$AF$7)*OFFSET(ORÇAMENTO!$W$15,ROW(AG211)-ROW(AG$15),0),15-13*ORÇAMENTO!$AF$11)),0)</f>
        <v>0</v>
      </c>
      <c r="AH211" s="545">
        <f ca="1">IF(AND($D211="Serviço",AH$12&lt;&gt;0,$H211&gt;0,OR(AUTOEVENTO&lt;&gt;"manual",$M211&lt;&gt;1)),
IF(Import.TipoArredondamento&lt;&gt;"TransfereGOV",
ROUND(OFFSET($P211,0,AH$13),15-13*ORÇAMENTO!$AF$7)/$H211*OFFSET(ORÇAMENTO!$X$15,ROW(AH211)-ROW(AH$15),0),
ROUND(ROUND(OFFSET($P211,0,AH$13),15-13*ORÇAMENTO!$AF$7)*OFFSET(ORÇAMENTO!$W$15,ROW(AH211)-ROW(AH$15),0),15-13*ORÇAMENTO!$AF$11)),0)</f>
        <v>0</v>
      </c>
      <c r="AI211" s="545">
        <f ca="1">IF(AND($D211="Serviço",AI$12&lt;&gt;0,$H211&gt;0,OR(AUTOEVENTO&lt;&gt;"manual",$M211&lt;&gt;1)),
IF(Import.TipoArredondamento&lt;&gt;"TransfereGOV",
ROUND(OFFSET($P211,0,AI$13),15-13*ORÇAMENTO!$AF$7)/$H211*OFFSET(ORÇAMENTO!$X$15,ROW(AI211)-ROW(AI$15),0),
ROUND(ROUND(OFFSET($P211,0,AI$13),15-13*ORÇAMENTO!$AF$7)*OFFSET(ORÇAMENTO!$W$15,ROW(AI211)-ROW(AI$15),0),15-13*ORÇAMENTO!$AF$11)),0)</f>
        <v>0</v>
      </c>
      <c r="AJ211" s="545">
        <f ca="1">IF(AND($D211="Serviço",AJ$12&lt;&gt;0,$H211&gt;0,OR(AUTOEVENTO&lt;&gt;"manual",$M211&lt;&gt;1)),
IF(Import.TipoArredondamento&lt;&gt;"TransfereGOV",
ROUND(OFFSET($P211,0,AJ$13),15-13*ORÇAMENTO!$AF$7)/$H211*OFFSET(ORÇAMENTO!$X$15,ROW(AJ211)-ROW(AJ$15),0),
ROUND(ROUND(OFFSET($P211,0,AJ$13),15-13*ORÇAMENTO!$AF$7)*OFFSET(ORÇAMENTO!$W$15,ROW(AJ211)-ROW(AJ$15),0),15-13*ORÇAMENTO!$AF$11)),0)</f>
        <v>0</v>
      </c>
      <c r="AK211" s="546">
        <f ca="1">IF(AND($D211="Serviço",AK$12&lt;&gt;0,$H211&gt;0,OR(AUTOEVENTO&lt;&gt;"manual",$M211&lt;&gt;1)),
IF(Import.TipoArredondamento&lt;&gt;"TransfereGOV",
ROUND(OFFSET($P211,0,AK$13),15-13*ORÇAMENTO!$AF$7)/$H211*OFFSET(ORÇAMENTO!$X$15,ROW(AK211)-ROW(AK$15),0),
ROUND(ROUND(OFFSET($P211,0,AK$13),15-13*ORÇAMENTO!$AF$7)*OFFSET(ORÇAMENTO!$W$15,ROW(AK211)-ROW(AK$15),0),15-13*ORÇAMENTO!$AF$11)),0)</f>
        <v>0</v>
      </c>
      <c r="AM211" s="181">
        <f ca="1">IF($D211&lt;&gt;"Serviço",0,IF(AND(AUTOEVENTO="Manual",$M211=1),0,IF(OFFSET(CRONOPLE!$F$14,$M211,AM$13)="",10^12,OFFSET(CRONOPLE!$F$14,$M211,AM$13))))</f>
        <v>1000000000000</v>
      </c>
      <c r="AN211" s="181">
        <f ca="1">IF($D211&lt;&gt;"Serviço",0,IF(AND(AUTOEVENTO="Manual",$M211=1),0,IF(OFFSET(CRONOPLE!$F$14,$M211,AN$13)="",10^12,OFFSET(CRONOPLE!$F$14,$M211,AN$13))))</f>
        <v>1000000000000</v>
      </c>
      <c r="AO211" s="181">
        <f ca="1">IF($D211&lt;&gt;"Serviço",0,IF(AND(AUTOEVENTO="Manual",$M211=1),0,IF(OFFSET(CRONOPLE!$F$14,$M211,AO$13)="",10^12,OFFSET(CRONOPLE!$F$14,$M211,AO$13))))</f>
        <v>1000000000000</v>
      </c>
      <c r="AP211" s="181">
        <f ca="1">IF($D211&lt;&gt;"Serviço",0,IF(AND(AUTOEVENTO="Manual",$M211=1),0,IF(OFFSET(CRONOPLE!$F$14,$M211,AP$13)="",10^12,OFFSET(CRONOPLE!$F$14,$M211,AP$13))))</f>
        <v>1000000000000</v>
      </c>
      <c r="AQ211" s="181">
        <f ca="1">IF($D211&lt;&gt;"Serviço",0,IF(AND(AUTOEVENTO="Manual",$M211=1),0,IF(OFFSET(CRONOPLE!$F$14,$M211,AQ$13)="",10^12,OFFSET(CRONOPLE!$F$14,$M211,AQ$13))))</f>
        <v>1000000000000</v>
      </c>
      <c r="AR211" s="181">
        <f ca="1">IF($D211&lt;&gt;"Serviço",0,IF(AND(AUTOEVENTO="Manual",$M211=1),0,IF(OFFSET(CRONOPLE!$F$14,$M211,AR$13)="",10^12,OFFSET(CRONOPLE!$F$14,$M211,AR$13))))</f>
        <v>1000000000000</v>
      </c>
      <c r="AS211" s="181">
        <f ca="1">IF($D211&lt;&gt;"Serviço",0,IF(AND(AUTOEVENTO="Manual",$M211=1),0,IF(OFFSET(CRONOPLE!$F$14,$M211,AS$13)="",10^12,OFFSET(CRONOPLE!$F$14,$M211,AS$13))))</f>
        <v>1000000000000</v>
      </c>
      <c r="AT211" s="181">
        <f ca="1">IF($D211&lt;&gt;"Serviço",0,IF(AND(AUTOEVENTO="Manual",$M211=1),0,IF(OFFSET(CRONOPLE!$F$14,$M211,AT$13)="",10^12,OFFSET(CRONOPLE!$F$14,$M211,AT$13))))</f>
        <v>1000000000000</v>
      </c>
      <c r="AU211" s="181">
        <f ca="1">IF($D211&lt;&gt;"Serviço",0,IF(AND(AUTOEVENTO="Manual",$M211=1),0,IF(OFFSET(CRONOPLE!$F$14,$M211,AU$13)="",10^12,OFFSET(CRONOPLE!$F$14,$M211,AU$13))))</f>
        <v>1000000000000</v>
      </c>
      <c r="AV211" s="181">
        <f ca="1">IF($D211&lt;&gt;"Serviço",0,IF(AND(AUTOEVENTO="Manual",$M211=1),0,IF(OFFSET(CRONOPLE!$F$14,$M211,AV$13)="",10^12,OFFSET(CRONOPLE!$F$14,$M211,AV$13))))</f>
        <v>1000000000000</v>
      </c>
      <c r="AX211" s="182">
        <f ca="1">IF($D211&lt;&gt;"Serviço",0,IF(OR(AND(AUTOEVENTO="Manual",$M211=1),$M211&gt;(ROW(PLE.lastrow)-ROW(PLE.firstrow))),0,IF(OFFSET(PLE!$G$14,$M211,AX$13)="",10^12,OFFSET(PLE!$G$14,$M211,AX$13))))</f>
        <v>1000000000000</v>
      </c>
      <c r="AY211" s="182">
        <f ca="1">IF($D211&lt;&gt;"Serviço",0,IF(OR(AND(AUTOEVENTO="Manual",$M211=1),$M211&gt;(ROW(PLE.lastrow)-ROW(PLE.firstrow))),0,IF(OFFSET(PLE!$G$14,$M211,AY$13)="",10^12,OFFSET(PLE!$G$14,$M211,AY$13))))</f>
        <v>1000000000000</v>
      </c>
      <c r="AZ211" s="182">
        <f ca="1">IF($D211&lt;&gt;"Serviço",0,IF(OR(AND(AUTOEVENTO="Manual",$M211=1),$M211&gt;(ROW(PLE.lastrow)-ROW(PLE.firstrow))),0,IF(OFFSET(PLE!$G$14,$M211,AZ$13)="",10^12,OFFSET(PLE!$G$14,$M211,AZ$13))))</f>
        <v>1000000000000</v>
      </c>
      <c r="BA211" s="182">
        <f ca="1">IF($D211&lt;&gt;"Serviço",0,IF(OR(AND(AUTOEVENTO="Manual",$M211=1),$M211&gt;(ROW(PLE.lastrow)-ROW(PLE.firstrow))),0,IF(OFFSET(PLE!$G$14,$M211,BA$13)="",10^12,OFFSET(PLE!$G$14,$M211,BA$13))))</f>
        <v>1000000000000</v>
      </c>
      <c r="BB211" s="182">
        <f ca="1">IF($D211&lt;&gt;"Serviço",0,IF(OR(AND(AUTOEVENTO="Manual",$M211=1),$M211&gt;(ROW(PLE.lastrow)-ROW(PLE.firstrow))),0,IF(OFFSET(PLE!$G$14,$M211,BB$13)="",10^12,OFFSET(PLE!$G$14,$M211,BB$13))))</f>
        <v>1000000000000</v>
      </c>
      <c r="BC211" s="182">
        <f ca="1">IF($D211&lt;&gt;"Serviço",0,IF(OR(AND(AUTOEVENTO="Manual",$M211=1),$M211&gt;(ROW(PLE.lastrow)-ROW(PLE.firstrow))),0,IF(OFFSET(PLE!$G$14,$M211,BC$13)="",10^12,OFFSET(PLE!$G$14,$M211,BC$13))))</f>
        <v>1000000000000</v>
      </c>
      <c r="BD211" s="182">
        <f ca="1">IF($D211&lt;&gt;"Serviço",0,IF(OR(AND(AUTOEVENTO="Manual",$M211=1),$M211&gt;(ROW(PLE.lastrow)-ROW(PLE.firstrow))),0,IF(OFFSET(PLE!$G$14,$M211,BD$13)="",10^12,OFFSET(PLE!$G$14,$M211,BD$13))))</f>
        <v>1000000000000</v>
      </c>
      <c r="BE211" s="182">
        <f ca="1">IF($D211&lt;&gt;"Serviço",0,IF(OR(AND(AUTOEVENTO="Manual",$M211=1),$M211&gt;(ROW(PLE.lastrow)-ROW(PLE.firstrow))),0,IF(OFFSET(PLE!$G$14,$M211,BE$13)="",10^12,OFFSET(PLE!$G$14,$M211,BE$13))))</f>
        <v>1000000000000</v>
      </c>
      <c r="BF211" s="182">
        <f ca="1">IF($D211&lt;&gt;"Serviço",0,IF(OR(AND(AUTOEVENTO="Manual",$M211=1),$M211&gt;(ROW(PLE.lastrow)-ROW(PLE.firstrow))),0,IF(OFFSET(PLE!$G$14,$M211,BF$13)="",10^12,OFFSET(PLE!$G$14,$M211,BF$13))))</f>
        <v>1000000000000</v>
      </c>
      <c r="BG211" s="182">
        <f ca="1">IF($D211&lt;&gt;"Serviço",0,IF(OR(AND(AUTOEVENTO="Manual",$M211=1),$M211&gt;(ROW(PLE.lastrow)-ROW(PLE.firstrow))),0,IF(OFFSET(PLE!$G$14,$M211,BG$13)="",10^12,OFFSET(PLE!$G$14,$M211,BG$13))))</f>
        <v>1000000000000</v>
      </c>
    </row>
    <row r="212" spans="1:59" ht="38.25" x14ac:dyDescent="0.2">
      <c r="A212" s="7" t="str">
        <f t="shared" ca="1" si="10"/>
        <v>191</v>
      </c>
      <c r="B212" s="7" t="str">
        <f ca="1">OFFSET(ORÇAMENTO!C$15,ROW(B212)-ROW(B$15),0)</f>
        <v>S</v>
      </c>
      <c r="C212" s="7" t="str">
        <f ca="1">OFFSET(ORÇAMENTO!L$15,ROW(C212)-ROW(C$15),0)</f>
        <v/>
      </c>
      <c r="D212" s="118" t="str">
        <f ca="1">OFFSET(ORÇAMENTO!N$15,ROW(D212)-ROW(D$15),0)</f>
        <v>Serviço</v>
      </c>
      <c r="E212" s="119" t="str">
        <f ca="1">OFFSET(ORÇAMENTO!O$15,ROW(E212)-ROW(E$15),0)</f>
        <v>-</v>
      </c>
      <c r="F212" s="172" t="str">
        <f ca="1">OFFSET(ORÇAMENTO!R$15,ROW(F212)-ROW(F$15),0)</f>
        <v>(abra o arquivo 'Referência 02-2025.xlsm)</v>
      </c>
      <c r="G212" s="173" t="str">
        <f ca="1">IF($D212&lt;&gt;"Serviço","",OFFSET(ORÇAMENTO!S$15,ROW(G212)-ROW(G$15),0))</f>
        <v>-</v>
      </c>
      <c r="H212" s="124">
        <f ca="1">IF($D212&lt;&gt;"Serviço",0,IF(ACOMPANHAMENTO="BM",ROUND(OFFSET(ORÇAMENTO!AJ$15,ROW(H212)-ROW(H$15),0),15-13*ORÇAMENTO!$AF$7),SUMPRODUCT(($Q$12:$AA$12&lt;&gt;"")*ROUND($Q212:$AA212,15-13*ORÇAMENTO!$AF$7))))</f>
        <v>108.7</v>
      </c>
      <c r="I212" s="561"/>
      <c r="K212" s="174"/>
      <c r="L212" s="175" t="s">
        <v>255</v>
      </c>
      <c r="M212" s="176">
        <f ca="1">IF($D212&lt;&gt;"Serviço","",IF(AUTOEVENTO="manual",$A212,IF(ISERROR(MATCH($A212,$A$15:OFFSET($A212,-1,0),0)),MAX($M$15:OFFSET(M212,-1,0))+1,INDEX($M$15:OFFSET(M212,-1,0),MATCH($A212,$A$15:OFFSET($A212,-1,0),0)))))</f>
        <v>11</v>
      </c>
      <c r="N212" s="177" t="str">
        <f ca="1">IF($D212&lt;&gt;"Serviço","",IF(AUTOEVENTO="Manual",IF($A212=0,"&lt;-- defina o número do agrupador",OFFSET(EVENTOS!$D$14,$A212,0)),OFFSET($F$15,$A212,0)))</f>
        <v>SISTEMAS DE PISOS</v>
      </c>
      <c r="O212" s="178"/>
      <c r="Q212" s="178"/>
      <c r="R212" s="179"/>
      <c r="S212" s="179"/>
      <c r="T212" s="179"/>
      <c r="U212" s="179"/>
      <c r="V212" s="179"/>
      <c r="W212" s="179"/>
      <c r="X212" s="179"/>
      <c r="Y212" s="179"/>
      <c r="Z212" s="180"/>
      <c r="AB212" s="544">
        <f ca="1">IF(AND($D212="Serviço",AB$12&lt;&gt;0,$H212&gt;0,OR(AUTOEVENTO&lt;&gt;"manual",$M212&lt;&gt;1)),
IF(Import.TipoArredondamento&lt;&gt;"TransfereGOV",
ROUND(OFFSET($P212,0,AB$13),15-13*ORÇAMENTO!$AF$7)/$H212*OFFSET(ORÇAMENTO!$X$15,ROW(AB212)-ROW(AB$15),0),
ROUND(ROUND(OFFSET($P212,0,AB$13),15-13*ORÇAMENTO!$AF$7)*OFFSET(ORÇAMENTO!$W$15,ROW(AB212)-ROW(AB$15),0),15-13*ORÇAMENTO!$AF$11)),0)</f>
        <v>0</v>
      </c>
      <c r="AC212" s="545">
        <f ca="1">IF(AND($D212="Serviço",AC$12&lt;&gt;0,$H212&gt;0,OR(AUTOEVENTO&lt;&gt;"manual",$M212&lt;&gt;1)),
IF(Import.TipoArredondamento&lt;&gt;"TransfereGOV",
ROUND(OFFSET($P212,0,AC$13),15-13*ORÇAMENTO!$AF$7)/$H212*OFFSET(ORÇAMENTO!$X$15,ROW(AC212)-ROW(AC$15),0),
ROUND(ROUND(OFFSET($P212,0,AC$13),15-13*ORÇAMENTO!$AF$7)*OFFSET(ORÇAMENTO!$W$15,ROW(AC212)-ROW(AC$15),0),15-13*ORÇAMENTO!$AF$11)),0)</f>
        <v>0</v>
      </c>
      <c r="AD212" s="545">
        <f ca="1">IF(AND($D212="Serviço",AD$12&lt;&gt;0,$H212&gt;0,OR(AUTOEVENTO&lt;&gt;"manual",$M212&lt;&gt;1)),
IF(Import.TipoArredondamento&lt;&gt;"TransfereGOV",
ROUND(OFFSET($P212,0,AD$13),15-13*ORÇAMENTO!$AF$7)/$H212*OFFSET(ORÇAMENTO!$X$15,ROW(AD212)-ROW(AD$15),0),
ROUND(ROUND(OFFSET($P212,0,AD$13),15-13*ORÇAMENTO!$AF$7)*OFFSET(ORÇAMENTO!$W$15,ROW(AD212)-ROW(AD$15),0),15-13*ORÇAMENTO!$AF$11)),0)</f>
        <v>0</v>
      </c>
      <c r="AE212" s="545">
        <f ca="1">IF(AND($D212="Serviço",AE$12&lt;&gt;0,$H212&gt;0,OR(AUTOEVENTO&lt;&gt;"manual",$M212&lt;&gt;1)),
IF(Import.TipoArredondamento&lt;&gt;"TransfereGOV",
ROUND(OFFSET($P212,0,AE$13),15-13*ORÇAMENTO!$AF$7)/$H212*OFFSET(ORÇAMENTO!$X$15,ROW(AE212)-ROW(AE$15),0),
ROUND(ROUND(OFFSET($P212,0,AE$13),15-13*ORÇAMENTO!$AF$7)*OFFSET(ORÇAMENTO!$W$15,ROW(AE212)-ROW(AE$15),0),15-13*ORÇAMENTO!$AF$11)),0)</f>
        <v>0</v>
      </c>
      <c r="AF212" s="545">
        <f ca="1">IF(AND($D212="Serviço",AF$12&lt;&gt;0,$H212&gt;0,OR(AUTOEVENTO&lt;&gt;"manual",$M212&lt;&gt;1)),
IF(Import.TipoArredondamento&lt;&gt;"TransfereGOV",
ROUND(OFFSET($P212,0,AF$13),15-13*ORÇAMENTO!$AF$7)/$H212*OFFSET(ORÇAMENTO!$X$15,ROW(AF212)-ROW(AF$15),0),
ROUND(ROUND(OFFSET($P212,0,AF$13),15-13*ORÇAMENTO!$AF$7)*OFFSET(ORÇAMENTO!$W$15,ROW(AF212)-ROW(AF$15),0),15-13*ORÇAMENTO!$AF$11)),0)</f>
        <v>0</v>
      </c>
      <c r="AG212" s="545">
        <f ca="1">IF(AND($D212="Serviço",AG$12&lt;&gt;0,$H212&gt;0,OR(AUTOEVENTO&lt;&gt;"manual",$M212&lt;&gt;1)),
IF(Import.TipoArredondamento&lt;&gt;"TransfereGOV",
ROUND(OFFSET($P212,0,AG$13),15-13*ORÇAMENTO!$AF$7)/$H212*OFFSET(ORÇAMENTO!$X$15,ROW(AG212)-ROW(AG$15),0),
ROUND(ROUND(OFFSET($P212,0,AG$13),15-13*ORÇAMENTO!$AF$7)*OFFSET(ORÇAMENTO!$W$15,ROW(AG212)-ROW(AG$15),0),15-13*ORÇAMENTO!$AF$11)),0)</f>
        <v>0</v>
      </c>
      <c r="AH212" s="545">
        <f ca="1">IF(AND($D212="Serviço",AH$12&lt;&gt;0,$H212&gt;0,OR(AUTOEVENTO&lt;&gt;"manual",$M212&lt;&gt;1)),
IF(Import.TipoArredondamento&lt;&gt;"TransfereGOV",
ROUND(OFFSET($P212,0,AH$13),15-13*ORÇAMENTO!$AF$7)/$H212*OFFSET(ORÇAMENTO!$X$15,ROW(AH212)-ROW(AH$15),0),
ROUND(ROUND(OFFSET($P212,0,AH$13),15-13*ORÇAMENTO!$AF$7)*OFFSET(ORÇAMENTO!$W$15,ROW(AH212)-ROW(AH$15),0),15-13*ORÇAMENTO!$AF$11)),0)</f>
        <v>0</v>
      </c>
      <c r="AI212" s="545">
        <f ca="1">IF(AND($D212="Serviço",AI$12&lt;&gt;0,$H212&gt;0,OR(AUTOEVENTO&lt;&gt;"manual",$M212&lt;&gt;1)),
IF(Import.TipoArredondamento&lt;&gt;"TransfereGOV",
ROUND(OFFSET($P212,0,AI$13),15-13*ORÇAMENTO!$AF$7)/$H212*OFFSET(ORÇAMENTO!$X$15,ROW(AI212)-ROW(AI$15),0),
ROUND(ROUND(OFFSET($P212,0,AI$13),15-13*ORÇAMENTO!$AF$7)*OFFSET(ORÇAMENTO!$W$15,ROW(AI212)-ROW(AI$15),0),15-13*ORÇAMENTO!$AF$11)),0)</f>
        <v>0</v>
      </c>
      <c r="AJ212" s="545">
        <f ca="1">IF(AND($D212="Serviço",AJ$12&lt;&gt;0,$H212&gt;0,OR(AUTOEVENTO&lt;&gt;"manual",$M212&lt;&gt;1)),
IF(Import.TipoArredondamento&lt;&gt;"TransfereGOV",
ROUND(OFFSET($P212,0,AJ$13),15-13*ORÇAMENTO!$AF$7)/$H212*OFFSET(ORÇAMENTO!$X$15,ROW(AJ212)-ROW(AJ$15),0),
ROUND(ROUND(OFFSET($P212,0,AJ$13),15-13*ORÇAMENTO!$AF$7)*OFFSET(ORÇAMENTO!$W$15,ROW(AJ212)-ROW(AJ$15),0),15-13*ORÇAMENTO!$AF$11)),0)</f>
        <v>0</v>
      </c>
      <c r="AK212" s="546">
        <f ca="1">IF(AND($D212="Serviço",AK$12&lt;&gt;0,$H212&gt;0,OR(AUTOEVENTO&lt;&gt;"manual",$M212&lt;&gt;1)),
IF(Import.TipoArredondamento&lt;&gt;"TransfereGOV",
ROUND(OFFSET($P212,0,AK$13),15-13*ORÇAMENTO!$AF$7)/$H212*OFFSET(ORÇAMENTO!$X$15,ROW(AK212)-ROW(AK$15),0),
ROUND(ROUND(OFFSET($P212,0,AK$13),15-13*ORÇAMENTO!$AF$7)*OFFSET(ORÇAMENTO!$W$15,ROW(AK212)-ROW(AK$15),0),15-13*ORÇAMENTO!$AF$11)),0)</f>
        <v>0</v>
      </c>
      <c r="AM212" s="181">
        <f ca="1">IF($D212&lt;&gt;"Serviço",0,IF(AND(AUTOEVENTO="Manual",$M212=1),0,IF(OFFSET(CRONOPLE!$F$14,$M212,AM$13)="",10^12,OFFSET(CRONOPLE!$F$14,$M212,AM$13))))</f>
        <v>1000000000000</v>
      </c>
      <c r="AN212" s="181">
        <f ca="1">IF($D212&lt;&gt;"Serviço",0,IF(AND(AUTOEVENTO="Manual",$M212=1),0,IF(OFFSET(CRONOPLE!$F$14,$M212,AN$13)="",10^12,OFFSET(CRONOPLE!$F$14,$M212,AN$13))))</f>
        <v>1000000000000</v>
      </c>
      <c r="AO212" s="181">
        <f ca="1">IF($D212&lt;&gt;"Serviço",0,IF(AND(AUTOEVENTO="Manual",$M212=1),0,IF(OFFSET(CRONOPLE!$F$14,$M212,AO$13)="",10^12,OFFSET(CRONOPLE!$F$14,$M212,AO$13))))</f>
        <v>1000000000000</v>
      </c>
      <c r="AP212" s="181">
        <f ca="1">IF($D212&lt;&gt;"Serviço",0,IF(AND(AUTOEVENTO="Manual",$M212=1),0,IF(OFFSET(CRONOPLE!$F$14,$M212,AP$13)="",10^12,OFFSET(CRONOPLE!$F$14,$M212,AP$13))))</f>
        <v>1000000000000</v>
      </c>
      <c r="AQ212" s="181">
        <f ca="1">IF($D212&lt;&gt;"Serviço",0,IF(AND(AUTOEVENTO="Manual",$M212=1),0,IF(OFFSET(CRONOPLE!$F$14,$M212,AQ$13)="",10^12,OFFSET(CRONOPLE!$F$14,$M212,AQ$13))))</f>
        <v>1000000000000</v>
      </c>
      <c r="AR212" s="181">
        <f ca="1">IF($D212&lt;&gt;"Serviço",0,IF(AND(AUTOEVENTO="Manual",$M212=1),0,IF(OFFSET(CRONOPLE!$F$14,$M212,AR$13)="",10^12,OFFSET(CRONOPLE!$F$14,$M212,AR$13))))</f>
        <v>1000000000000</v>
      </c>
      <c r="AS212" s="181">
        <f ca="1">IF($D212&lt;&gt;"Serviço",0,IF(AND(AUTOEVENTO="Manual",$M212=1),0,IF(OFFSET(CRONOPLE!$F$14,$M212,AS$13)="",10^12,OFFSET(CRONOPLE!$F$14,$M212,AS$13))))</f>
        <v>1000000000000</v>
      </c>
      <c r="AT212" s="181">
        <f ca="1">IF($D212&lt;&gt;"Serviço",0,IF(AND(AUTOEVENTO="Manual",$M212=1),0,IF(OFFSET(CRONOPLE!$F$14,$M212,AT$13)="",10^12,OFFSET(CRONOPLE!$F$14,$M212,AT$13))))</f>
        <v>1000000000000</v>
      </c>
      <c r="AU212" s="181">
        <f ca="1">IF($D212&lt;&gt;"Serviço",0,IF(AND(AUTOEVENTO="Manual",$M212=1),0,IF(OFFSET(CRONOPLE!$F$14,$M212,AU$13)="",10^12,OFFSET(CRONOPLE!$F$14,$M212,AU$13))))</f>
        <v>1000000000000</v>
      </c>
      <c r="AV212" s="181">
        <f ca="1">IF($D212&lt;&gt;"Serviço",0,IF(AND(AUTOEVENTO="Manual",$M212=1),0,IF(OFFSET(CRONOPLE!$F$14,$M212,AV$13)="",10^12,OFFSET(CRONOPLE!$F$14,$M212,AV$13))))</f>
        <v>1000000000000</v>
      </c>
      <c r="AX212" s="182">
        <f ca="1">IF($D212&lt;&gt;"Serviço",0,IF(OR(AND(AUTOEVENTO="Manual",$M212=1),$M212&gt;(ROW(PLE.lastrow)-ROW(PLE.firstrow))),0,IF(OFFSET(PLE!$G$14,$M212,AX$13)="",10^12,OFFSET(PLE!$G$14,$M212,AX$13))))</f>
        <v>1000000000000</v>
      </c>
      <c r="AY212" s="182">
        <f ca="1">IF($D212&lt;&gt;"Serviço",0,IF(OR(AND(AUTOEVENTO="Manual",$M212=1),$M212&gt;(ROW(PLE.lastrow)-ROW(PLE.firstrow))),0,IF(OFFSET(PLE!$G$14,$M212,AY$13)="",10^12,OFFSET(PLE!$G$14,$M212,AY$13))))</f>
        <v>1000000000000</v>
      </c>
      <c r="AZ212" s="182">
        <f ca="1">IF($D212&lt;&gt;"Serviço",0,IF(OR(AND(AUTOEVENTO="Manual",$M212=1),$M212&gt;(ROW(PLE.lastrow)-ROW(PLE.firstrow))),0,IF(OFFSET(PLE!$G$14,$M212,AZ$13)="",10^12,OFFSET(PLE!$G$14,$M212,AZ$13))))</f>
        <v>1000000000000</v>
      </c>
      <c r="BA212" s="182">
        <f ca="1">IF($D212&lt;&gt;"Serviço",0,IF(OR(AND(AUTOEVENTO="Manual",$M212=1),$M212&gt;(ROW(PLE.lastrow)-ROW(PLE.firstrow))),0,IF(OFFSET(PLE!$G$14,$M212,BA$13)="",10^12,OFFSET(PLE!$G$14,$M212,BA$13))))</f>
        <v>1000000000000</v>
      </c>
      <c r="BB212" s="182">
        <f ca="1">IF($D212&lt;&gt;"Serviço",0,IF(OR(AND(AUTOEVENTO="Manual",$M212=1),$M212&gt;(ROW(PLE.lastrow)-ROW(PLE.firstrow))),0,IF(OFFSET(PLE!$G$14,$M212,BB$13)="",10^12,OFFSET(PLE!$G$14,$M212,BB$13))))</f>
        <v>1000000000000</v>
      </c>
      <c r="BC212" s="182">
        <f ca="1">IF($D212&lt;&gt;"Serviço",0,IF(OR(AND(AUTOEVENTO="Manual",$M212=1),$M212&gt;(ROW(PLE.lastrow)-ROW(PLE.firstrow))),0,IF(OFFSET(PLE!$G$14,$M212,BC$13)="",10^12,OFFSET(PLE!$G$14,$M212,BC$13))))</f>
        <v>1000000000000</v>
      </c>
      <c r="BD212" s="182">
        <f ca="1">IF($D212&lt;&gt;"Serviço",0,IF(OR(AND(AUTOEVENTO="Manual",$M212=1),$M212&gt;(ROW(PLE.lastrow)-ROW(PLE.firstrow))),0,IF(OFFSET(PLE!$G$14,$M212,BD$13)="",10^12,OFFSET(PLE!$G$14,$M212,BD$13))))</f>
        <v>1000000000000</v>
      </c>
      <c r="BE212" s="182">
        <f ca="1">IF($D212&lt;&gt;"Serviço",0,IF(OR(AND(AUTOEVENTO="Manual",$M212=1),$M212&gt;(ROW(PLE.lastrow)-ROW(PLE.firstrow))),0,IF(OFFSET(PLE!$G$14,$M212,BE$13)="",10^12,OFFSET(PLE!$G$14,$M212,BE$13))))</f>
        <v>1000000000000</v>
      </c>
      <c r="BF212" s="182">
        <f ca="1">IF($D212&lt;&gt;"Serviço",0,IF(OR(AND(AUTOEVENTO="Manual",$M212=1),$M212&gt;(ROW(PLE.lastrow)-ROW(PLE.firstrow))),0,IF(OFFSET(PLE!$G$14,$M212,BF$13)="",10^12,OFFSET(PLE!$G$14,$M212,BF$13))))</f>
        <v>1000000000000</v>
      </c>
      <c r="BG212" s="182">
        <f ca="1">IF($D212&lt;&gt;"Serviço",0,IF(OR(AND(AUTOEVENTO="Manual",$M212=1),$M212&gt;(ROW(PLE.lastrow)-ROW(PLE.firstrow))),0,IF(OFFSET(PLE!$G$14,$M212,BG$13)="",10^12,OFFSET(PLE!$G$14,$M212,BG$13))))</f>
        <v>1000000000000</v>
      </c>
    </row>
    <row r="213" spans="1:59" ht="12.75" x14ac:dyDescent="0.2">
      <c r="A213" s="7" t="str">
        <f t="shared" ca="1" si="10"/>
        <v>191</v>
      </c>
      <c r="B213" s="7">
        <f ca="1">OFFSET(ORÇAMENTO!C$15,ROW(B213)-ROW(B$15),0)</f>
        <v>3</v>
      </c>
      <c r="C213" s="7" t="str">
        <f ca="1">OFFSET(ORÇAMENTO!L$15,ROW(C213)-ROW(C$15),0)</f>
        <v>F</v>
      </c>
      <c r="D213" s="118" t="str">
        <f ca="1">OFFSET(ORÇAMENTO!N$15,ROW(D213)-ROW(D$15),0)</f>
        <v>Nível 3</v>
      </c>
      <c r="E213" s="119" t="str">
        <f ca="1">OFFSET(ORÇAMENTO!O$15,ROW(E213)-ROW(E$15),0)</f>
        <v>1.10.2.</v>
      </c>
      <c r="F213" s="172" t="str">
        <f ca="1">OFFSET(ORÇAMENTO!R$15,ROW(F213)-ROW(F$15),0)</f>
        <v>PAVIMENTAÇÃO INTERNA - REVESTIMENTOS</v>
      </c>
      <c r="G213" s="173" t="str">
        <f ca="1">IF($D213&lt;&gt;"Serviço","",OFFSET(ORÇAMENTO!S$15,ROW(G213)-ROW(G$15),0))</f>
        <v/>
      </c>
      <c r="H213" s="124">
        <f ca="1">IF($D213&lt;&gt;"Serviço",0,IF(ACOMPANHAMENTO="BM",ROUND(OFFSET(ORÇAMENTO!AJ$15,ROW(H213)-ROW(H$15),0),15-13*ORÇAMENTO!$AF$7),SUMPRODUCT(($Q$12:$AA$12&lt;&gt;"")*ROUND($Q213:$AA213,15-13*ORÇAMENTO!$AF$7))))</f>
        <v>0</v>
      </c>
      <c r="I213" s="561"/>
      <c r="K213" s="174"/>
      <c r="L213" s="175" t="s">
        <v>255</v>
      </c>
      <c r="M213" s="176" t="str">
        <f ca="1">IF($D213&lt;&gt;"Serviço","",IF(AUTOEVENTO="manual",$A213,IF(ISERROR(MATCH($A213,$A$15:OFFSET($A213,-1,0),0)),MAX($M$15:OFFSET(M213,-1,0))+1,INDEX($M$15:OFFSET(M213,-1,0),MATCH($A213,$A$15:OFFSET($A213,-1,0),0)))))</f>
        <v/>
      </c>
      <c r="N213" s="177" t="str">
        <f ca="1">IF($D213&lt;&gt;"Serviço","",IF(AUTOEVENTO="Manual",IF($A213=0,"&lt;-- defina o número do agrupador",OFFSET(EVENTOS!$D$14,$A213,0)),OFFSET($F$15,$A213,0)))</f>
        <v/>
      </c>
      <c r="O213" s="178"/>
      <c r="Q213" s="178"/>
      <c r="R213" s="179"/>
      <c r="S213" s="179"/>
      <c r="T213" s="179"/>
      <c r="U213" s="179"/>
      <c r="V213" s="179"/>
      <c r="W213" s="179"/>
      <c r="X213" s="179"/>
      <c r="Y213" s="179"/>
      <c r="Z213" s="180"/>
      <c r="AB213" s="544">
        <f ca="1">IF(AND($D213="Serviço",AB$12&lt;&gt;0,$H213&gt;0,OR(AUTOEVENTO&lt;&gt;"manual",$M213&lt;&gt;1)),
IF(Import.TipoArredondamento&lt;&gt;"TransfereGOV",
ROUND(OFFSET($P213,0,AB$13),15-13*ORÇAMENTO!$AF$7)/$H213*OFFSET(ORÇAMENTO!$X$15,ROW(AB213)-ROW(AB$15),0),
ROUND(ROUND(OFFSET($P213,0,AB$13),15-13*ORÇAMENTO!$AF$7)*OFFSET(ORÇAMENTO!$W$15,ROW(AB213)-ROW(AB$15),0),15-13*ORÇAMENTO!$AF$11)),0)</f>
        <v>0</v>
      </c>
      <c r="AC213" s="545">
        <f ca="1">IF(AND($D213="Serviço",AC$12&lt;&gt;0,$H213&gt;0,OR(AUTOEVENTO&lt;&gt;"manual",$M213&lt;&gt;1)),
IF(Import.TipoArredondamento&lt;&gt;"TransfereGOV",
ROUND(OFFSET($P213,0,AC$13),15-13*ORÇAMENTO!$AF$7)/$H213*OFFSET(ORÇAMENTO!$X$15,ROW(AC213)-ROW(AC$15),0),
ROUND(ROUND(OFFSET($P213,0,AC$13),15-13*ORÇAMENTO!$AF$7)*OFFSET(ORÇAMENTO!$W$15,ROW(AC213)-ROW(AC$15),0),15-13*ORÇAMENTO!$AF$11)),0)</f>
        <v>0</v>
      </c>
      <c r="AD213" s="545">
        <f ca="1">IF(AND($D213="Serviço",AD$12&lt;&gt;0,$H213&gt;0,OR(AUTOEVENTO&lt;&gt;"manual",$M213&lt;&gt;1)),
IF(Import.TipoArredondamento&lt;&gt;"TransfereGOV",
ROUND(OFFSET($P213,0,AD$13),15-13*ORÇAMENTO!$AF$7)/$H213*OFFSET(ORÇAMENTO!$X$15,ROW(AD213)-ROW(AD$15),0),
ROUND(ROUND(OFFSET($P213,0,AD$13),15-13*ORÇAMENTO!$AF$7)*OFFSET(ORÇAMENTO!$W$15,ROW(AD213)-ROW(AD$15),0),15-13*ORÇAMENTO!$AF$11)),0)</f>
        <v>0</v>
      </c>
      <c r="AE213" s="545">
        <f ca="1">IF(AND($D213="Serviço",AE$12&lt;&gt;0,$H213&gt;0,OR(AUTOEVENTO&lt;&gt;"manual",$M213&lt;&gt;1)),
IF(Import.TipoArredondamento&lt;&gt;"TransfereGOV",
ROUND(OFFSET($P213,0,AE$13),15-13*ORÇAMENTO!$AF$7)/$H213*OFFSET(ORÇAMENTO!$X$15,ROW(AE213)-ROW(AE$15),0),
ROUND(ROUND(OFFSET($P213,0,AE$13),15-13*ORÇAMENTO!$AF$7)*OFFSET(ORÇAMENTO!$W$15,ROW(AE213)-ROW(AE$15),0),15-13*ORÇAMENTO!$AF$11)),0)</f>
        <v>0</v>
      </c>
      <c r="AF213" s="545">
        <f ca="1">IF(AND($D213="Serviço",AF$12&lt;&gt;0,$H213&gt;0,OR(AUTOEVENTO&lt;&gt;"manual",$M213&lt;&gt;1)),
IF(Import.TipoArredondamento&lt;&gt;"TransfereGOV",
ROUND(OFFSET($P213,0,AF$13),15-13*ORÇAMENTO!$AF$7)/$H213*OFFSET(ORÇAMENTO!$X$15,ROW(AF213)-ROW(AF$15),0),
ROUND(ROUND(OFFSET($P213,0,AF$13),15-13*ORÇAMENTO!$AF$7)*OFFSET(ORÇAMENTO!$W$15,ROW(AF213)-ROW(AF$15),0),15-13*ORÇAMENTO!$AF$11)),0)</f>
        <v>0</v>
      </c>
      <c r="AG213" s="545">
        <f ca="1">IF(AND($D213="Serviço",AG$12&lt;&gt;0,$H213&gt;0,OR(AUTOEVENTO&lt;&gt;"manual",$M213&lt;&gt;1)),
IF(Import.TipoArredondamento&lt;&gt;"TransfereGOV",
ROUND(OFFSET($P213,0,AG$13),15-13*ORÇAMENTO!$AF$7)/$H213*OFFSET(ORÇAMENTO!$X$15,ROW(AG213)-ROW(AG$15),0),
ROUND(ROUND(OFFSET($P213,0,AG$13),15-13*ORÇAMENTO!$AF$7)*OFFSET(ORÇAMENTO!$W$15,ROW(AG213)-ROW(AG$15),0),15-13*ORÇAMENTO!$AF$11)),0)</f>
        <v>0</v>
      </c>
      <c r="AH213" s="545">
        <f ca="1">IF(AND($D213="Serviço",AH$12&lt;&gt;0,$H213&gt;0,OR(AUTOEVENTO&lt;&gt;"manual",$M213&lt;&gt;1)),
IF(Import.TipoArredondamento&lt;&gt;"TransfereGOV",
ROUND(OFFSET($P213,0,AH$13),15-13*ORÇAMENTO!$AF$7)/$H213*OFFSET(ORÇAMENTO!$X$15,ROW(AH213)-ROW(AH$15),0),
ROUND(ROUND(OFFSET($P213,0,AH$13),15-13*ORÇAMENTO!$AF$7)*OFFSET(ORÇAMENTO!$W$15,ROW(AH213)-ROW(AH$15),0),15-13*ORÇAMENTO!$AF$11)),0)</f>
        <v>0</v>
      </c>
      <c r="AI213" s="545">
        <f ca="1">IF(AND($D213="Serviço",AI$12&lt;&gt;0,$H213&gt;0,OR(AUTOEVENTO&lt;&gt;"manual",$M213&lt;&gt;1)),
IF(Import.TipoArredondamento&lt;&gt;"TransfereGOV",
ROUND(OFFSET($P213,0,AI$13),15-13*ORÇAMENTO!$AF$7)/$H213*OFFSET(ORÇAMENTO!$X$15,ROW(AI213)-ROW(AI$15),0),
ROUND(ROUND(OFFSET($P213,0,AI$13),15-13*ORÇAMENTO!$AF$7)*OFFSET(ORÇAMENTO!$W$15,ROW(AI213)-ROW(AI$15),0),15-13*ORÇAMENTO!$AF$11)),0)</f>
        <v>0</v>
      </c>
      <c r="AJ213" s="545">
        <f ca="1">IF(AND($D213="Serviço",AJ$12&lt;&gt;0,$H213&gt;0,OR(AUTOEVENTO&lt;&gt;"manual",$M213&lt;&gt;1)),
IF(Import.TipoArredondamento&lt;&gt;"TransfereGOV",
ROUND(OFFSET($P213,0,AJ$13),15-13*ORÇAMENTO!$AF$7)/$H213*OFFSET(ORÇAMENTO!$X$15,ROW(AJ213)-ROW(AJ$15),0),
ROUND(ROUND(OFFSET($P213,0,AJ$13),15-13*ORÇAMENTO!$AF$7)*OFFSET(ORÇAMENTO!$W$15,ROW(AJ213)-ROW(AJ$15),0),15-13*ORÇAMENTO!$AF$11)),0)</f>
        <v>0</v>
      </c>
      <c r="AK213" s="546">
        <f ca="1">IF(AND($D213="Serviço",AK$12&lt;&gt;0,$H213&gt;0,OR(AUTOEVENTO&lt;&gt;"manual",$M213&lt;&gt;1)),
IF(Import.TipoArredondamento&lt;&gt;"TransfereGOV",
ROUND(OFFSET($P213,0,AK$13),15-13*ORÇAMENTO!$AF$7)/$H213*OFFSET(ORÇAMENTO!$X$15,ROW(AK213)-ROW(AK$15),0),
ROUND(ROUND(OFFSET($P213,0,AK$13),15-13*ORÇAMENTO!$AF$7)*OFFSET(ORÇAMENTO!$W$15,ROW(AK213)-ROW(AK$15),0),15-13*ORÇAMENTO!$AF$11)),0)</f>
        <v>0</v>
      </c>
      <c r="AM213" s="181">
        <f ca="1">IF($D213&lt;&gt;"Serviço",0,IF(AND(AUTOEVENTO="Manual",$M213=1),0,IF(OFFSET(CRONOPLE!$F$14,$M213,AM$13)="",10^12,OFFSET(CRONOPLE!$F$14,$M213,AM$13))))</f>
        <v>0</v>
      </c>
      <c r="AN213" s="181">
        <f ca="1">IF($D213&lt;&gt;"Serviço",0,IF(AND(AUTOEVENTO="Manual",$M213=1),0,IF(OFFSET(CRONOPLE!$F$14,$M213,AN$13)="",10^12,OFFSET(CRONOPLE!$F$14,$M213,AN$13))))</f>
        <v>0</v>
      </c>
      <c r="AO213" s="181">
        <f ca="1">IF($D213&lt;&gt;"Serviço",0,IF(AND(AUTOEVENTO="Manual",$M213=1),0,IF(OFFSET(CRONOPLE!$F$14,$M213,AO$13)="",10^12,OFFSET(CRONOPLE!$F$14,$M213,AO$13))))</f>
        <v>0</v>
      </c>
      <c r="AP213" s="181">
        <f ca="1">IF($D213&lt;&gt;"Serviço",0,IF(AND(AUTOEVENTO="Manual",$M213=1),0,IF(OFFSET(CRONOPLE!$F$14,$M213,AP$13)="",10^12,OFFSET(CRONOPLE!$F$14,$M213,AP$13))))</f>
        <v>0</v>
      </c>
      <c r="AQ213" s="181">
        <f ca="1">IF($D213&lt;&gt;"Serviço",0,IF(AND(AUTOEVENTO="Manual",$M213=1),0,IF(OFFSET(CRONOPLE!$F$14,$M213,AQ$13)="",10^12,OFFSET(CRONOPLE!$F$14,$M213,AQ$13))))</f>
        <v>0</v>
      </c>
      <c r="AR213" s="181">
        <f ca="1">IF($D213&lt;&gt;"Serviço",0,IF(AND(AUTOEVENTO="Manual",$M213=1),0,IF(OFFSET(CRONOPLE!$F$14,$M213,AR$13)="",10^12,OFFSET(CRONOPLE!$F$14,$M213,AR$13))))</f>
        <v>0</v>
      </c>
      <c r="AS213" s="181">
        <f ca="1">IF($D213&lt;&gt;"Serviço",0,IF(AND(AUTOEVENTO="Manual",$M213=1),0,IF(OFFSET(CRONOPLE!$F$14,$M213,AS$13)="",10^12,OFFSET(CRONOPLE!$F$14,$M213,AS$13))))</f>
        <v>0</v>
      </c>
      <c r="AT213" s="181">
        <f ca="1">IF($D213&lt;&gt;"Serviço",0,IF(AND(AUTOEVENTO="Manual",$M213=1),0,IF(OFFSET(CRONOPLE!$F$14,$M213,AT$13)="",10^12,OFFSET(CRONOPLE!$F$14,$M213,AT$13))))</f>
        <v>0</v>
      </c>
      <c r="AU213" s="181">
        <f ca="1">IF($D213&lt;&gt;"Serviço",0,IF(AND(AUTOEVENTO="Manual",$M213=1),0,IF(OFFSET(CRONOPLE!$F$14,$M213,AU$13)="",10^12,OFFSET(CRONOPLE!$F$14,$M213,AU$13))))</f>
        <v>0</v>
      </c>
      <c r="AV213" s="181">
        <f ca="1">IF($D213&lt;&gt;"Serviço",0,IF(AND(AUTOEVENTO="Manual",$M213=1),0,IF(OFFSET(CRONOPLE!$F$14,$M213,AV$13)="",10^12,OFFSET(CRONOPLE!$F$14,$M213,AV$13))))</f>
        <v>0</v>
      </c>
      <c r="AX213" s="182">
        <f ca="1">IF($D213&lt;&gt;"Serviço",0,IF(OR(AND(AUTOEVENTO="Manual",$M213=1),$M213&gt;(ROW(PLE.lastrow)-ROW(PLE.firstrow))),0,IF(OFFSET(PLE!$G$14,$M213,AX$13)="",10^12,OFFSET(PLE!$G$14,$M213,AX$13))))</f>
        <v>0</v>
      </c>
      <c r="AY213" s="182">
        <f ca="1">IF($D213&lt;&gt;"Serviço",0,IF(OR(AND(AUTOEVENTO="Manual",$M213=1),$M213&gt;(ROW(PLE.lastrow)-ROW(PLE.firstrow))),0,IF(OFFSET(PLE!$G$14,$M213,AY$13)="",10^12,OFFSET(PLE!$G$14,$M213,AY$13))))</f>
        <v>0</v>
      </c>
      <c r="AZ213" s="182">
        <f ca="1">IF($D213&lt;&gt;"Serviço",0,IF(OR(AND(AUTOEVENTO="Manual",$M213=1),$M213&gt;(ROW(PLE.lastrow)-ROW(PLE.firstrow))),0,IF(OFFSET(PLE!$G$14,$M213,AZ$13)="",10^12,OFFSET(PLE!$G$14,$M213,AZ$13))))</f>
        <v>0</v>
      </c>
      <c r="BA213" s="182">
        <f ca="1">IF($D213&lt;&gt;"Serviço",0,IF(OR(AND(AUTOEVENTO="Manual",$M213=1),$M213&gt;(ROW(PLE.lastrow)-ROW(PLE.firstrow))),0,IF(OFFSET(PLE!$G$14,$M213,BA$13)="",10^12,OFFSET(PLE!$G$14,$M213,BA$13))))</f>
        <v>0</v>
      </c>
      <c r="BB213" s="182">
        <f ca="1">IF($D213&lt;&gt;"Serviço",0,IF(OR(AND(AUTOEVENTO="Manual",$M213=1),$M213&gt;(ROW(PLE.lastrow)-ROW(PLE.firstrow))),0,IF(OFFSET(PLE!$G$14,$M213,BB$13)="",10^12,OFFSET(PLE!$G$14,$M213,BB$13))))</f>
        <v>0</v>
      </c>
      <c r="BC213" s="182">
        <f ca="1">IF($D213&lt;&gt;"Serviço",0,IF(OR(AND(AUTOEVENTO="Manual",$M213=1),$M213&gt;(ROW(PLE.lastrow)-ROW(PLE.firstrow))),0,IF(OFFSET(PLE!$G$14,$M213,BC$13)="",10^12,OFFSET(PLE!$G$14,$M213,BC$13))))</f>
        <v>0</v>
      </c>
      <c r="BD213" s="182">
        <f ca="1">IF($D213&lt;&gt;"Serviço",0,IF(OR(AND(AUTOEVENTO="Manual",$M213=1),$M213&gt;(ROW(PLE.lastrow)-ROW(PLE.firstrow))),0,IF(OFFSET(PLE!$G$14,$M213,BD$13)="",10^12,OFFSET(PLE!$G$14,$M213,BD$13))))</f>
        <v>0</v>
      </c>
      <c r="BE213" s="182">
        <f ca="1">IF($D213&lt;&gt;"Serviço",0,IF(OR(AND(AUTOEVENTO="Manual",$M213=1),$M213&gt;(ROW(PLE.lastrow)-ROW(PLE.firstrow))),0,IF(OFFSET(PLE!$G$14,$M213,BE$13)="",10^12,OFFSET(PLE!$G$14,$M213,BE$13))))</f>
        <v>0</v>
      </c>
      <c r="BF213" s="182">
        <f ca="1">IF($D213&lt;&gt;"Serviço",0,IF(OR(AND(AUTOEVENTO="Manual",$M213=1),$M213&gt;(ROW(PLE.lastrow)-ROW(PLE.firstrow))),0,IF(OFFSET(PLE!$G$14,$M213,BF$13)="",10^12,OFFSET(PLE!$G$14,$M213,BF$13))))</f>
        <v>0</v>
      </c>
      <c r="BG213" s="182">
        <f ca="1">IF($D213&lt;&gt;"Serviço",0,IF(OR(AND(AUTOEVENTO="Manual",$M213=1),$M213&gt;(ROW(PLE.lastrow)-ROW(PLE.firstrow))),0,IF(OFFSET(PLE!$G$14,$M213,BG$13)="",10^12,OFFSET(PLE!$G$14,$M213,BG$13))))</f>
        <v>0</v>
      </c>
    </row>
    <row r="214" spans="1:59" ht="51" x14ac:dyDescent="0.2">
      <c r="A214" s="7" t="str">
        <f t="shared" ca="1" si="10"/>
        <v>191</v>
      </c>
      <c r="B214" s="7" t="str">
        <f ca="1">OFFSET(ORÇAMENTO!C$15,ROW(B214)-ROW(B$15),0)</f>
        <v>S</v>
      </c>
      <c r="C214" s="7" t="str">
        <f ca="1">OFFSET(ORÇAMENTO!L$15,ROW(C214)-ROW(C$15),0)</f>
        <v/>
      </c>
      <c r="D214" s="118" t="str">
        <f ca="1">OFFSET(ORÇAMENTO!N$15,ROW(D214)-ROW(D$15),0)</f>
        <v>Serviço</v>
      </c>
      <c r="E214" s="119" t="str">
        <f ca="1">OFFSET(ORÇAMENTO!O$15,ROW(E214)-ROW(E$15),0)</f>
        <v>-</v>
      </c>
      <c r="F214" s="172" t="str">
        <f ca="1">OFFSET(ORÇAMENTO!R$15,ROW(F214)-ROW(F$15),0)</f>
        <v>(abra o arquivo 'Referência 02-2025.xlsm)</v>
      </c>
      <c r="G214" s="173" t="str">
        <f ca="1">IF($D214&lt;&gt;"Serviço","",OFFSET(ORÇAMENTO!S$15,ROW(G214)-ROW(G$15),0))</f>
        <v>-</v>
      </c>
      <c r="H214" s="124">
        <f ca="1">IF($D214&lt;&gt;"Serviço",0,IF(ACOMPANHAMENTO="BM",ROUND(OFFSET(ORÇAMENTO!AJ$15,ROW(H214)-ROW(H$15),0),15-13*ORÇAMENTO!$AF$7),SUMPRODUCT(($Q$12:$AA$12&lt;&gt;"")*ROUND($Q214:$AA214,15-13*ORÇAMENTO!$AF$7))))</f>
        <v>766.78</v>
      </c>
      <c r="I214" s="561" t="s">
        <v>890</v>
      </c>
      <c r="K214" s="174"/>
      <c r="L214" s="175" t="s">
        <v>255</v>
      </c>
      <c r="M214" s="176">
        <f ca="1">IF($D214&lt;&gt;"Serviço","",IF(AUTOEVENTO="manual",$A214,IF(ISERROR(MATCH($A214,$A$15:OFFSET($A214,-1,0),0)),MAX($M$15:OFFSET(M214,-1,0))+1,INDEX($M$15:OFFSET(M214,-1,0),MATCH($A214,$A$15:OFFSET($A214,-1,0),0)))))</f>
        <v>11</v>
      </c>
      <c r="N214" s="177" t="str">
        <f ca="1">IF($D214&lt;&gt;"Serviço","",IF(AUTOEVENTO="Manual",IF($A214=0,"&lt;-- defina o número do agrupador",OFFSET(EVENTOS!$D$14,$A214,0)),OFFSET($F$15,$A214,0)))</f>
        <v>SISTEMAS DE PISOS</v>
      </c>
      <c r="O214" s="178"/>
      <c r="Q214" s="178"/>
      <c r="R214" s="179"/>
      <c r="S214" s="179"/>
      <c r="T214" s="179"/>
      <c r="U214" s="179"/>
      <c r="V214" s="179"/>
      <c r="W214" s="179"/>
      <c r="X214" s="179"/>
      <c r="Y214" s="179"/>
      <c r="Z214" s="180"/>
      <c r="AB214" s="544">
        <f ca="1">IF(AND($D214="Serviço",AB$12&lt;&gt;0,$H214&gt;0,OR(AUTOEVENTO&lt;&gt;"manual",$M214&lt;&gt;1)),
IF(Import.TipoArredondamento&lt;&gt;"TransfereGOV",
ROUND(OFFSET($P214,0,AB$13),15-13*ORÇAMENTO!$AF$7)/$H214*OFFSET(ORÇAMENTO!$X$15,ROW(AB214)-ROW(AB$15),0),
ROUND(ROUND(OFFSET($P214,0,AB$13),15-13*ORÇAMENTO!$AF$7)*OFFSET(ORÇAMENTO!$W$15,ROW(AB214)-ROW(AB$15),0),15-13*ORÇAMENTO!$AF$11)),0)</f>
        <v>0</v>
      </c>
      <c r="AC214" s="545">
        <f ca="1">IF(AND($D214="Serviço",AC$12&lt;&gt;0,$H214&gt;0,OR(AUTOEVENTO&lt;&gt;"manual",$M214&lt;&gt;1)),
IF(Import.TipoArredondamento&lt;&gt;"TransfereGOV",
ROUND(OFFSET($P214,0,AC$13),15-13*ORÇAMENTO!$AF$7)/$H214*OFFSET(ORÇAMENTO!$X$15,ROW(AC214)-ROW(AC$15),0),
ROUND(ROUND(OFFSET($P214,0,AC$13),15-13*ORÇAMENTO!$AF$7)*OFFSET(ORÇAMENTO!$W$15,ROW(AC214)-ROW(AC$15),0),15-13*ORÇAMENTO!$AF$11)),0)</f>
        <v>0</v>
      </c>
      <c r="AD214" s="545">
        <f ca="1">IF(AND($D214="Serviço",AD$12&lt;&gt;0,$H214&gt;0,OR(AUTOEVENTO&lt;&gt;"manual",$M214&lt;&gt;1)),
IF(Import.TipoArredondamento&lt;&gt;"TransfereGOV",
ROUND(OFFSET($P214,0,AD$13),15-13*ORÇAMENTO!$AF$7)/$H214*OFFSET(ORÇAMENTO!$X$15,ROW(AD214)-ROW(AD$15),0),
ROUND(ROUND(OFFSET($P214,0,AD$13),15-13*ORÇAMENTO!$AF$7)*OFFSET(ORÇAMENTO!$W$15,ROW(AD214)-ROW(AD$15),0),15-13*ORÇAMENTO!$AF$11)),0)</f>
        <v>0</v>
      </c>
      <c r="AE214" s="545">
        <f ca="1">IF(AND($D214="Serviço",AE$12&lt;&gt;0,$H214&gt;0,OR(AUTOEVENTO&lt;&gt;"manual",$M214&lt;&gt;1)),
IF(Import.TipoArredondamento&lt;&gt;"TransfereGOV",
ROUND(OFFSET($P214,0,AE$13),15-13*ORÇAMENTO!$AF$7)/$H214*OFFSET(ORÇAMENTO!$X$15,ROW(AE214)-ROW(AE$15),0),
ROUND(ROUND(OFFSET($P214,0,AE$13),15-13*ORÇAMENTO!$AF$7)*OFFSET(ORÇAMENTO!$W$15,ROW(AE214)-ROW(AE$15),0),15-13*ORÇAMENTO!$AF$11)),0)</f>
        <v>0</v>
      </c>
      <c r="AF214" s="545">
        <f ca="1">IF(AND($D214="Serviço",AF$12&lt;&gt;0,$H214&gt;0,OR(AUTOEVENTO&lt;&gt;"manual",$M214&lt;&gt;1)),
IF(Import.TipoArredondamento&lt;&gt;"TransfereGOV",
ROUND(OFFSET($P214,0,AF$13),15-13*ORÇAMENTO!$AF$7)/$H214*OFFSET(ORÇAMENTO!$X$15,ROW(AF214)-ROW(AF$15),0),
ROUND(ROUND(OFFSET($P214,0,AF$13),15-13*ORÇAMENTO!$AF$7)*OFFSET(ORÇAMENTO!$W$15,ROW(AF214)-ROW(AF$15),0),15-13*ORÇAMENTO!$AF$11)),0)</f>
        <v>0</v>
      </c>
      <c r="AG214" s="545">
        <f ca="1">IF(AND($D214="Serviço",AG$12&lt;&gt;0,$H214&gt;0,OR(AUTOEVENTO&lt;&gt;"manual",$M214&lt;&gt;1)),
IF(Import.TipoArredondamento&lt;&gt;"TransfereGOV",
ROUND(OFFSET($P214,0,AG$13),15-13*ORÇAMENTO!$AF$7)/$H214*OFFSET(ORÇAMENTO!$X$15,ROW(AG214)-ROW(AG$15),0),
ROUND(ROUND(OFFSET($P214,0,AG$13),15-13*ORÇAMENTO!$AF$7)*OFFSET(ORÇAMENTO!$W$15,ROW(AG214)-ROW(AG$15),0),15-13*ORÇAMENTO!$AF$11)),0)</f>
        <v>0</v>
      </c>
      <c r="AH214" s="545">
        <f ca="1">IF(AND($D214="Serviço",AH$12&lt;&gt;0,$H214&gt;0,OR(AUTOEVENTO&lt;&gt;"manual",$M214&lt;&gt;1)),
IF(Import.TipoArredondamento&lt;&gt;"TransfereGOV",
ROUND(OFFSET($P214,0,AH$13),15-13*ORÇAMENTO!$AF$7)/$H214*OFFSET(ORÇAMENTO!$X$15,ROW(AH214)-ROW(AH$15),0),
ROUND(ROUND(OFFSET($P214,0,AH$13),15-13*ORÇAMENTO!$AF$7)*OFFSET(ORÇAMENTO!$W$15,ROW(AH214)-ROW(AH$15),0),15-13*ORÇAMENTO!$AF$11)),0)</f>
        <v>0</v>
      </c>
      <c r="AI214" s="545">
        <f ca="1">IF(AND($D214="Serviço",AI$12&lt;&gt;0,$H214&gt;0,OR(AUTOEVENTO&lt;&gt;"manual",$M214&lt;&gt;1)),
IF(Import.TipoArredondamento&lt;&gt;"TransfereGOV",
ROUND(OFFSET($P214,0,AI$13),15-13*ORÇAMENTO!$AF$7)/$H214*OFFSET(ORÇAMENTO!$X$15,ROW(AI214)-ROW(AI$15),0),
ROUND(ROUND(OFFSET($P214,0,AI$13),15-13*ORÇAMENTO!$AF$7)*OFFSET(ORÇAMENTO!$W$15,ROW(AI214)-ROW(AI$15),0),15-13*ORÇAMENTO!$AF$11)),0)</f>
        <v>0</v>
      </c>
      <c r="AJ214" s="545">
        <f ca="1">IF(AND($D214="Serviço",AJ$12&lt;&gt;0,$H214&gt;0,OR(AUTOEVENTO&lt;&gt;"manual",$M214&lt;&gt;1)),
IF(Import.TipoArredondamento&lt;&gt;"TransfereGOV",
ROUND(OFFSET($P214,0,AJ$13),15-13*ORÇAMENTO!$AF$7)/$H214*OFFSET(ORÇAMENTO!$X$15,ROW(AJ214)-ROW(AJ$15),0),
ROUND(ROUND(OFFSET($P214,0,AJ$13),15-13*ORÇAMENTO!$AF$7)*OFFSET(ORÇAMENTO!$W$15,ROW(AJ214)-ROW(AJ$15),0),15-13*ORÇAMENTO!$AF$11)),0)</f>
        <v>0</v>
      </c>
      <c r="AK214" s="546">
        <f ca="1">IF(AND($D214="Serviço",AK$12&lt;&gt;0,$H214&gt;0,OR(AUTOEVENTO&lt;&gt;"manual",$M214&lt;&gt;1)),
IF(Import.TipoArredondamento&lt;&gt;"TransfereGOV",
ROUND(OFFSET($P214,0,AK$13),15-13*ORÇAMENTO!$AF$7)/$H214*OFFSET(ORÇAMENTO!$X$15,ROW(AK214)-ROW(AK$15),0),
ROUND(ROUND(OFFSET($P214,0,AK$13),15-13*ORÇAMENTO!$AF$7)*OFFSET(ORÇAMENTO!$W$15,ROW(AK214)-ROW(AK$15),0),15-13*ORÇAMENTO!$AF$11)),0)</f>
        <v>0</v>
      </c>
      <c r="AM214" s="181">
        <f ca="1">IF($D214&lt;&gt;"Serviço",0,IF(AND(AUTOEVENTO="Manual",$M214=1),0,IF(OFFSET(CRONOPLE!$F$14,$M214,AM$13)="",10^12,OFFSET(CRONOPLE!$F$14,$M214,AM$13))))</f>
        <v>1000000000000</v>
      </c>
      <c r="AN214" s="181">
        <f ca="1">IF($D214&lt;&gt;"Serviço",0,IF(AND(AUTOEVENTO="Manual",$M214=1),0,IF(OFFSET(CRONOPLE!$F$14,$M214,AN$13)="",10^12,OFFSET(CRONOPLE!$F$14,$M214,AN$13))))</f>
        <v>1000000000000</v>
      </c>
      <c r="AO214" s="181">
        <f ca="1">IF($D214&lt;&gt;"Serviço",0,IF(AND(AUTOEVENTO="Manual",$M214=1),0,IF(OFFSET(CRONOPLE!$F$14,$M214,AO$13)="",10^12,OFFSET(CRONOPLE!$F$14,$M214,AO$13))))</f>
        <v>1000000000000</v>
      </c>
      <c r="AP214" s="181">
        <f ca="1">IF($D214&lt;&gt;"Serviço",0,IF(AND(AUTOEVENTO="Manual",$M214=1),0,IF(OFFSET(CRONOPLE!$F$14,$M214,AP$13)="",10^12,OFFSET(CRONOPLE!$F$14,$M214,AP$13))))</f>
        <v>1000000000000</v>
      </c>
      <c r="AQ214" s="181">
        <f ca="1">IF($D214&lt;&gt;"Serviço",0,IF(AND(AUTOEVENTO="Manual",$M214=1),0,IF(OFFSET(CRONOPLE!$F$14,$M214,AQ$13)="",10^12,OFFSET(CRONOPLE!$F$14,$M214,AQ$13))))</f>
        <v>1000000000000</v>
      </c>
      <c r="AR214" s="181">
        <f ca="1">IF($D214&lt;&gt;"Serviço",0,IF(AND(AUTOEVENTO="Manual",$M214=1),0,IF(OFFSET(CRONOPLE!$F$14,$M214,AR$13)="",10^12,OFFSET(CRONOPLE!$F$14,$M214,AR$13))))</f>
        <v>1000000000000</v>
      </c>
      <c r="AS214" s="181">
        <f ca="1">IF($D214&lt;&gt;"Serviço",0,IF(AND(AUTOEVENTO="Manual",$M214=1),0,IF(OFFSET(CRONOPLE!$F$14,$M214,AS$13)="",10^12,OFFSET(CRONOPLE!$F$14,$M214,AS$13))))</f>
        <v>1000000000000</v>
      </c>
      <c r="AT214" s="181">
        <f ca="1">IF($D214&lt;&gt;"Serviço",0,IF(AND(AUTOEVENTO="Manual",$M214=1),0,IF(OFFSET(CRONOPLE!$F$14,$M214,AT$13)="",10^12,OFFSET(CRONOPLE!$F$14,$M214,AT$13))))</f>
        <v>1000000000000</v>
      </c>
      <c r="AU214" s="181">
        <f ca="1">IF($D214&lt;&gt;"Serviço",0,IF(AND(AUTOEVENTO="Manual",$M214=1),0,IF(OFFSET(CRONOPLE!$F$14,$M214,AU$13)="",10^12,OFFSET(CRONOPLE!$F$14,$M214,AU$13))))</f>
        <v>1000000000000</v>
      </c>
      <c r="AV214" s="181">
        <f ca="1">IF($D214&lt;&gt;"Serviço",0,IF(AND(AUTOEVENTO="Manual",$M214=1),0,IF(OFFSET(CRONOPLE!$F$14,$M214,AV$13)="",10^12,OFFSET(CRONOPLE!$F$14,$M214,AV$13))))</f>
        <v>1000000000000</v>
      </c>
      <c r="AX214" s="182">
        <f ca="1">IF($D214&lt;&gt;"Serviço",0,IF(OR(AND(AUTOEVENTO="Manual",$M214=1),$M214&gt;(ROW(PLE.lastrow)-ROW(PLE.firstrow))),0,IF(OFFSET(PLE!$G$14,$M214,AX$13)="",10^12,OFFSET(PLE!$G$14,$M214,AX$13))))</f>
        <v>1000000000000</v>
      </c>
      <c r="AY214" s="182">
        <f ca="1">IF($D214&lt;&gt;"Serviço",0,IF(OR(AND(AUTOEVENTO="Manual",$M214=1),$M214&gt;(ROW(PLE.lastrow)-ROW(PLE.firstrow))),0,IF(OFFSET(PLE!$G$14,$M214,AY$13)="",10^12,OFFSET(PLE!$G$14,$M214,AY$13))))</f>
        <v>1000000000000</v>
      </c>
      <c r="AZ214" s="182">
        <f ca="1">IF($D214&lt;&gt;"Serviço",0,IF(OR(AND(AUTOEVENTO="Manual",$M214=1),$M214&gt;(ROW(PLE.lastrow)-ROW(PLE.firstrow))),0,IF(OFFSET(PLE!$G$14,$M214,AZ$13)="",10^12,OFFSET(PLE!$G$14,$M214,AZ$13))))</f>
        <v>1000000000000</v>
      </c>
      <c r="BA214" s="182">
        <f ca="1">IF($D214&lt;&gt;"Serviço",0,IF(OR(AND(AUTOEVENTO="Manual",$M214=1),$M214&gt;(ROW(PLE.lastrow)-ROW(PLE.firstrow))),0,IF(OFFSET(PLE!$G$14,$M214,BA$13)="",10^12,OFFSET(PLE!$G$14,$M214,BA$13))))</f>
        <v>1000000000000</v>
      </c>
      <c r="BB214" s="182">
        <f ca="1">IF($D214&lt;&gt;"Serviço",0,IF(OR(AND(AUTOEVENTO="Manual",$M214=1),$M214&gt;(ROW(PLE.lastrow)-ROW(PLE.firstrow))),0,IF(OFFSET(PLE!$G$14,$M214,BB$13)="",10^12,OFFSET(PLE!$G$14,$M214,BB$13))))</f>
        <v>1000000000000</v>
      </c>
      <c r="BC214" s="182">
        <f ca="1">IF($D214&lt;&gt;"Serviço",0,IF(OR(AND(AUTOEVENTO="Manual",$M214=1),$M214&gt;(ROW(PLE.lastrow)-ROW(PLE.firstrow))),0,IF(OFFSET(PLE!$G$14,$M214,BC$13)="",10^12,OFFSET(PLE!$G$14,$M214,BC$13))))</f>
        <v>1000000000000</v>
      </c>
      <c r="BD214" s="182">
        <f ca="1">IF($D214&lt;&gt;"Serviço",0,IF(OR(AND(AUTOEVENTO="Manual",$M214=1),$M214&gt;(ROW(PLE.lastrow)-ROW(PLE.firstrow))),0,IF(OFFSET(PLE!$G$14,$M214,BD$13)="",10^12,OFFSET(PLE!$G$14,$M214,BD$13))))</f>
        <v>1000000000000</v>
      </c>
      <c r="BE214" s="182">
        <f ca="1">IF($D214&lt;&gt;"Serviço",0,IF(OR(AND(AUTOEVENTO="Manual",$M214=1),$M214&gt;(ROW(PLE.lastrow)-ROW(PLE.firstrow))),0,IF(OFFSET(PLE!$G$14,$M214,BE$13)="",10^12,OFFSET(PLE!$G$14,$M214,BE$13))))</f>
        <v>1000000000000</v>
      </c>
      <c r="BF214" s="182">
        <f ca="1">IF($D214&lt;&gt;"Serviço",0,IF(OR(AND(AUTOEVENTO="Manual",$M214=1),$M214&gt;(ROW(PLE.lastrow)-ROW(PLE.firstrow))),0,IF(OFFSET(PLE!$G$14,$M214,BF$13)="",10^12,OFFSET(PLE!$G$14,$M214,BF$13))))</f>
        <v>1000000000000</v>
      </c>
      <c r="BG214" s="182">
        <f ca="1">IF($D214&lt;&gt;"Serviço",0,IF(OR(AND(AUTOEVENTO="Manual",$M214=1),$M214&gt;(ROW(PLE.lastrow)-ROW(PLE.firstrow))),0,IF(OFFSET(PLE!$G$14,$M214,BG$13)="",10^12,OFFSET(PLE!$G$14,$M214,BG$13))))</f>
        <v>1000000000000</v>
      </c>
    </row>
    <row r="215" spans="1:59" ht="51" x14ac:dyDescent="0.2">
      <c r="A215" s="7" t="str">
        <f t="shared" ca="1" si="10"/>
        <v>191</v>
      </c>
      <c r="B215" s="7" t="str">
        <f ca="1">OFFSET(ORÇAMENTO!C$15,ROW(B215)-ROW(B$15),0)</f>
        <v>S</v>
      </c>
      <c r="C215" s="7" t="str">
        <f ca="1">OFFSET(ORÇAMENTO!L$15,ROW(C215)-ROW(C$15),0)</f>
        <v/>
      </c>
      <c r="D215" s="118" t="str">
        <f ca="1">OFFSET(ORÇAMENTO!N$15,ROW(D215)-ROW(D$15),0)</f>
        <v>Serviço</v>
      </c>
      <c r="E215" s="119" t="str">
        <f ca="1">OFFSET(ORÇAMENTO!O$15,ROW(E215)-ROW(E$15),0)</f>
        <v>-</v>
      </c>
      <c r="F215" s="172" t="str">
        <f ca="1">OFFSET(ORÇAMENTO!R$15,ROW(F215)-ROW(F$15),0)</f>
        <v>(abra o arquivo 'Referência 02-2025.xlsm)</v>
      </c>
      <c r="G215" s="173" t="str">
        <f ca="1">IF($D215&lt;&gt;"Serviço","",OFFSET(ORÇAMENTO!S$15,ROW(G215)-ROW(G$15),0))</f>
        <v>-</v>
      </c>
      <c r="H215" s="124">
        <f ca="1">IF($D215&lt;&gt;"Serviço",0,IF(ACOMPANHAMENTO="BM",ROUND(OFFSET(ORÇAMENTO!AJ$15,ROW(H215)-ROW(H$15),0),15-13*ORÇAMENTO!$AF$7),SUMPRODUCT(($Q$12:$AA$12&lt;&gt;"")*ROUND($Q215:$AA215,15-13*ORÇAMENTO!$AF$7))))</f>
        <v>618.91</v>
      </c>
      <c r="I215" s="561" t="s">
        <v>890</v>
      </c>
      <c r="K215" s="174"/>
      <c r="L215" s="175" t="s">
        <v>255</v>
      </c>
      <c r="M215" s="176">
        <f ca="1">IF($D215&lt;&gt;"Serviço","",IF(AUTOEVENTO="manual",$A215,IF(ISERROR(MATCH($A215,$A$15:OFFSET($A215,-1,0),0)),MAX($M$15:OFFSET(M215,-1,0))+1,INDEX($M$15:OFFSET(M215,-1,0),MATCH($A215,$A$15:OFFSET($A215,-1,0),0)))))</f>
        <v>11</v>
      </c>
      <c r="N215" s="177" t="str">
        <f ca="1">IF($D215&lt;&gt;"Serviço","",IF(AUTOEVENTO="Manual",IF($A215=0,"&lt;-- defina o número do agrupador",OFFSET(EVENTOS!$D$14,$A215,0)),OFFSET($F$15,$A215,0)))</f>
        <v>SISTEMAS DE PISOS</v>
      </c>
      <c r="O215" s="178"/>
      <c r="Q215" s="178"/>
      <c r="R215" s="179"/>
      <c r="S215" s="179"/>
      <c r="T215" s="179"/>
      <c r="U215" s="179"/>
      <c r="V215" s="179"/>
      <c r="W215" s="179"/>
      <c r="X215" s="179"/>
      <c r="Y215" s="179"/>
      <c r="Z215" s="180"/>
      <c r="AB215" s="544">
        <f ca="1">IF(AND($D215="Serviço",AB$12&lt;&gt;0,$H215&gt;0,OR(AUTOEVENTO&lt;&gt;"manual",$M215&lt;&gt;1)),
IF(Import.TipoArredondamento&lt;&gt;"TransfereGOV",
ROUND(OFFSET($P215,0,AB$13),15-13*ORÇAMENTO!$AF$7)/$H215*OFFSET(ORÇAMENTO!$X$15,ROW(AB215)-ROW(AB$15),0),
ROUND(ROUND(OFFSET($P215,0,AB$13),15-13*ORÇAMENTO!$AF$7)*OFFSET(ORÇAMENTO!$W$15,ROW(AB215)-ROW(AB$15),0),15-13*ORÇAMENTO!$AF$11)),0)</f>
        <v>0</v>
      </c>
      <c r="AC215" s="545">
        <f ca="1">IF(AND($D215="Serviço",AC$12&lt;&gt;0,$H215&gt;0,OR(AUTOEVENTO&lt;&gt;"manual",$M215&lt;&gt;1)),
IF(Import.TipoArredondamento&lt;&gt;"TransfereGOV",
ROUND(OFFSET($P215,0,AC$13),15-13*ORÇAMENTO!$AF$7)/$H215*OFFSET(ORÇAMENTO!$X$15,ROW(AC215)-ROW(AC$15),0),
ROUND(ROUND(OFFSET($P215,0,AC$13),15-13*ORÇAMENTO!$AF$7)*OFFSET(ORÇAMENTO!$W$15,ROW(AC215)-ROW(AC$15),0),15-13*ORÇAMENTO!$AF$11)),0)</f>
        <v>0</v>
      </c>
      <c r="AD215" s="545">
        <f ca="1">IF(AND($D215="Serviço",AD$12&lt;&gt;0,$H215&gt;0,OR(AUTOEVENTO&lt;&gt;"manual",$M215&lt;&gt;1)),
IF(Import.TipoArredondamento&lt;&gt;"TransfereGOV",
ROUND(OFFSET($P215,0,AD$13),15-13*ORÇAMENTO!$AF$7)/$H215*OFFSET(ORÇAMENTO!$X$15,ROW(AD215)-ROW(AD$15),0),
ROUND(ROUND(OFFSET($P215,0,AD$13),15-13*ORÇAMENTO!$AF$7)*OFFSET(ORÇAMENTO!$W$15,ROW(AD215)-ROW(AD$15),0),15-13*ORÇAMENTO!$AF$11)),0)</f>
        <v>0</v>
      </c>
      <c r="AE215" s="545">
        <f ca="1">IF(AND($D215="Serviço",AE$12&lt;&gt;0,$H215&gt;0,OR(AUTOEVENTO&lt;&gt;"manual",$M215&lt;&gt;1)),
IF(Import.TipoArredondamento&lt;&gt;"TransfereGOV",
ROUND(OFFSET($P215,0,AE$13),15-13*ORÇAMENTO!$AF$7)/$H215*OFFSET(ORÇAMENTO!$X$15,ROW(AE215)-ROW(AE$15),0),
ROUND(ROUND(OFFSET($P215,0,AE$13),15-13*ORÇAMENTO!$AF$7)*OFFSET(ORÇAMENTO!$W$15,ROW(AE215)-ROW(AE$15),0),15-13*ORÇAMENTO!$AF$11)),0)</f>
        <v>0</v>
      </c>
      <c r="AF215" s="545">
        <f ca="1">IF(AND($D215="Serviço",AF$12&lt;&gt;0,$H215&gt;0,OR(AUTOEVENTO&lt;&gt;"manual",$M215&lt;&gt;1)),
IF(Import.TipoArredondamento&lt;&gt;"TransfereGOV",
ROUND(OFFSET($P215,0,AF$13),15-13*ORÇAMENTO!$AF$7)/$H215*OFFSET(ORÇAMENTO!$X$15,ROW(AF215)-ROW(AF$15),0),
ROUND(ROUND(OFFSET($P215,0,AF$13),15-13*ORÇAMENTO!$AF$7)*OFFSET(ORÇAMENTO!$W$15,ROW(AF215)-ROW(AF$15),0),15-13*ORÇAMENTO!$AF$11)),0)</f>
        <v>0</v>
      </c>
      <c r="AG215" s="545">
        <f ca="1">IF(AND($D215="Serviço",AG$12&lt;&gt;0,$H215&gt;0,OR(AUTOEVENTO&lt;&gt;"manual",$M215&lt;&gt;1)),
IF(Import.TipoArredondamento&lt;&gt;"TransfereGOV",
ROUND(OFFSET($P215,0,AG$13),15-13*ORÇAMENTO!$AF$7)/$H215*OFFSET(ORÇAMENTO!$X$15,ROW(AG215)-ROW(AG$15),0),
ROUND(ROUND(OFFSET($P215,0,AG$13),15-13*ORÇAMENTO!$AF$7)*OFFSET(ORÇAMENTO!$W$15,ROW(AG215)-ROW(AG$15),0),15-13*ORÇAMENTO!$AF$11)),0)</f>
        <v>0</v>
      </c>
      <c r="AH215" s="545">
        <f ca="1">IF(AND($D215="Serviço",AH$12&lt;&gt;0,$H215&gt;0,OR(AUTOEVENTO&lt;&gt;"manual",$M215&lt;&gt;1)),
IF(Import.TipoArredondamento&lt;&gt;"TransfereGOV",
ROUND(OFFSET($P215,0,AH$13),15-13*ORÇAMENTO!$AF$7)/$H215*OFFSET(ORÇAMENTO!$X$15,ROW(AH215)-ROW(AH$15),0),
ROUND(ROUND(OFFSET($P215,0,AH$13),15-13*ORÇAMENTO!$AF$7)*OFFSET(ORÇAMENTO!$W$15,ROW(AH215)-ROW(AH$15),0),15-13*ORÇAMENTO!$AF$11)),0)</f>
        <v>0</v>
      </c>
      <c r="AI215" s="545">
        <f ca="1">IF(AND($D215="Serviço",AI$12&lt;&gt;0,$H215&gt;0,OR(AUTOEVENTO&lt;&gt;"manual",$M215&lt;&gt;1)),
IF(Import.TipoArredondamento&lt;&gt;"TransfereGOV",
ROUND(OFFSET($P215,0,AI$13),15-13*ORÇAMENTO!$AF$7)/$H215*OFFSET(ORÇAMENTO!$X$15,ROW(AI215)-ROW(AI$15),0),
ROUND(ROUND(OFFSET($P215,0,AI$13),15-13*ORÇAMENTO!$AF$7)*OFFSET(ORÇAMENTO!$W$15,ROW(AI215)-ROW(AI$15),0),15-13*ORÇAMENTO!$AF$11)),0)</f>
        <v>0</v>
      </c>
      <c r="AJ215" s="545">
        <f ca="1">IF(AND($D215="Serviço",AJ$12&lt;&gt;0,$H215&gt;0,OR(AUTOEVENTO&lt;&gt;"manual",$M215&lt;&gt;1)),
IF(Import.TipoArredondamento&lt;&gt;"TransfereGOV",
ROUND(OFFSET($P215,0,AJ$13),15-13*ORÇAMENTO!$AF$7)/$H215*OFFSET(ORÇAMENTO!$X$15,ROW(AJ215)-ROW(AJ$15),0),
ROUND(ROUND(OFFSET($P215,0,AJ$13),15-13*ORÇAMENTO!$AF$7)*OFFSET(ORÇAMENTO!$W$15,ROW(AJ215)-ROW(AJ$15),0),15-13*ORÇAMENTO!$AF$11)),0)</f>
        <v>0</v>
      </c>
      <c r="AK215" s="546">
        <f ca="1">IF(AND($D215="Serviço",AK$12&lt;&gt;0,$H215&gt;0,OR(AUTOEVENTO&lt;&gt;"manual",$M215&lt;&gt;1)),
IF(Import.TipoArredondamento&lt;&gt;"TransfereGOV",
ROUND(OFFSET($P215,0,AK$13),15-13*ORÇAMENTO!$AF$7)/$H215*OFFSET(ORÇAMENTO!$X$15,ROW(AK215)-ROW(AK$15),0),
ROUND(ROUND(OFFSET($P215,0,AK$13),15-13*ORÇAMENTO!$AF$7)*OFFSET(ORÇAMENTO!$W$15,ROW(AK215)-ROW(AK$15),0),15-13*ORÇAMENTO!$AF$11)),0)</f>
        <v>0</v>
      </c>
      <c r="AM215" s="181">
        <f ca="1">IF($D215&lt;&gt;"Serviço",0,IF(AND(AUTOEVENTO="Manual",$M215=1),0,IF(OFFSET(CRONOPLE!$F$14,$M215,AM$13)="",10^12,OFFSET(CRONOPLE!$F$14,$M215,AM$13))))</f>
        <v>1000000000000</v>
      </c>
      <c r="AN215" s="181">
        <f ca="1">IF($D215&lt;&gt;"Serviço",0,IF(AND(AUTOEVENTO="Manual",$M215=1),0,IF(OFFSET(CRONOPLE!$F$14,$M215,AN$13)="",10^12,OFFSET(CRONOPLE!$F$14,$M215,AN$13))))</f>
        <v>1000000000000</v>
      </c>
      <c r="AO215" s="181">
        <f ca="1">IF($D215&lt;&gt;"Serviço",0,IF(AND(AUTOEVENTO="Manual",$M215=1),0,IF(OFFSET(CRONOPLE!$F$14,$M215,AO$13)="",10^12,OFFSET(CRONOPLE!$F$14,$M215,AO$13))))</f>
        <v>1000000000000</v>
      </c>
      <c r="AP215" s="181">
        <f ca="1">IF($D215&lt;&gt;"Serviço",0,IF(AND(AUTOEVENTO="Manual",$M215=1),0,IF(OFFSET(CRONOPLE!$F$14,$M215,AP$13)="",10^12,OFFSET(CRONOPLE!$F$14,$M215,AP$13))))</f>
        <v>1000000000000</v>
      </c>
      <c r="AQ215" s="181">
        <f ca="1">IF($D215&lt;&gt;"Serviço",0,IF(AND(AUTOEVENTO="Manual",$M215=1),0,IF(OFFSET(CRONOPLE!$F$14,$M215,AQ$13)="",10^12,OFFSET(CRONOPLE!$F$14,$M215,AQ$13))))</f>
        <v>1000000000000</v>
      </c>
      <c r="AR215" s="181">
        <f ca="1">IF($D215&lt;&gt;"Serviço",0,IF(AND(AUTOEVENTO="Manual",$M215=1),0,IF(OFFSET(CRONOPLE!$F$14,$M215,AR$13)="",10^12,OFFSET(CRONOPLE!$F$14,$M215,AR$13))))</f>
        <v>1000000000000</v>
      </c>
      <c r="AS215" s="181">
        <f ca="1">IF($D215&lt;&gt;"Serviço",0,IF(AND(AUTOEVENTO="Manual",$M215=1),0,IF(OFFSET(CRONOPLE!$F$14,$M215,AS$13)="",10^12,OFFSET(CRONOPLE!$F$14,$M215,AS$13))))</f>
        <v>1000000000000</v>
      </c>
      <c r="AT215" s="181">
        <f ca="1">IF($D215&lt;&gt;"Serviço",0,IF(AND(AUTOEVENTO="Manual",$M215=1),0,IF(OFFSET(CRONOPLE!$F$14,$M215,AT$13)="",10^12,OFFSET(CRONOPLE!$F$14,$M215,AT$13))))</f>
        <v>1000000000000</v>
      </c>
      <c r="AU215" s="181">
        <f ca="1">IF($D215&lt;&gt;"Serviço",0,IF(AND(AUTOEVENTO="Manual",$M215=1),0,IF(OFFSET(CRONOPLE!$F$14,$M215,AU$13)="",10^12,OFFSET(CRONOPLE!$F$14,$M215,AU$13))))</f>
        <v>1000000000000</v>
      </c>
      <c r="AV215" s="181">
        <f ca="1">IF($D215&lt;&gt;"Serviço",0,IF(AND(AUTOEVENTO="Manual",$M215=1),0,IF(OFFSET(CRONOPLE!$F$14,$M215,AV$13)="",10^12,OFFSET(CRONOPLE!$F$14,$M215,AV$13))))</f>
        <v>1000000000000</v>
      </c>
      <c r="AX215" s="182">
        <f ca="1">IF($D215&lt;&gt;"Serviço",0,IF(OR(AND(AUTOEVENTO="Manual",$M215=1),$M215&gt;(ROW(PLE.lastrow)-ROW(PLE.firstrow))),0,IF(OFFSET(PLE!$G$14,$M215,AX$13)="",10^12,OFFSET(PLE!$G$14,$M215,AX$13))))</f>
        <v>1000000000000</v>
      </c>
      <c r="AY215" s="182">
        <f ca="1">IF($D215&lt;&gt;"Serviço",0,IF(OR(AND(AUTOEVENTO="Manual",$M215=1),$M215&gt;(ROW(PLE.lastrow)-ROW(PLE.firstrow))),0,IF(OFFSET(PLE!$G$14,$M215,AY$13)="",10^12,OFFSET(PLE!$G$14,$M215,AY$13))))</f>
        <v>1000000000000</v>
      </c>
      <c r="AZ215" s="182">
        <f ca="1">IF($D215&lt;&gt;"Serviço",0,IF(OR(AND(AUTOEVENTO="Manual",$M215=1),$M215&gt;(ROW(PLE.lastrow)-ROW(PLE.firstrow))),0,IF(OFFSET(PLE!$G$14,$M215,AZ$13)="",10^12,OFFSET(PLE!$G$14,$M215,AZ$13))))</f>
        <v>1000000000000</v>
      </c>
      <c r="BA215" s="182">
        <f ca="1">IF($D215&lt;&gt;"Serviço",0,IF(OR(AND(AUTOEVENTO="Manual",$M215=1),$M215&gt;(ROW(PLE.lastrow)-ROW(PLE.firstrow))),0,IF(OFFSET(PLE!$G$14,$M215,BA$13)="",10^12,OFFSET(PLE!$G$14,$M215,BA$13))))</f>
        <v>1000000000000</v>
      </c>
      <c r="BB215" s="182">
        <f ca="1">IF($D215&lt;&gt;"Serviço",0,IF(OR(AND(AUTOEVENTO="Manual",$M215=1),$M215&gt;(ROW(PLE.lastrow)-ROW(PLE.firstrow))),0,IF(OFFSET(PLE!$G$14,$M215,BB$13)="",10^12,OFFSET(PLE!$G$14,$M215,BB$13))))</f>
        <v>1000000000000</v>
      </c>
      <c r="BC215" s="182">
        <f ca="1">IF($D215&lt;&gt;"Serviço",0,IF(OR(AND(AUTOEVENTO="Manual",$M215=1),$M215&gt;(ROW(PLE.lastrow)-ROW(PLE.firstrow))),0,IF(OFFSET(PLE!$G$14,$M215,BC$13)="",10^12,OFFSET(PLE!$G$14,$M215,BC$13))))</f>
        <v>1000000000000</v>
      </c>
      <c r="BD215" s="182">
        <f ca="1">IF($D215&lt;&gt;"Serviço",0,IF(OR(AND(AUTOEVENTO="Manual",$M215=1),$M215&gt;(ROW(PLE.lastrow)-ROW(PLE.firstrow))),0,IF(OFFSET(PLE!$G$14,$M215,BD$13)="",10^12,OFFSET(PLE!$G$14,$M215,BD$13))))</f>
        <v>1000000000000</v>
      </c>
      <c r="BE215" s="182">
        <f ca="1">IF($D215&lt;&gt;"Serviço",0,IF(OR(AND(AUTOEVENTO="Manual",$M215=1),$M215&gt;(ROW(PLE.lastrow)-ROW(PLE.firstrow))),0,IF(OFFSET(PLE!$G$14,$M215,BE$13)="",10^12,OFFSET(PLE!$G$14,$M215,BE$13))))</f>
        <v>1000000000000</v>
      </c>
      <c r="BF215" s="182">
        <f ca="1">IF($D215&lt;&gt;"Serviço",0,IF(OR(AND(AUTOEVENTO="Manual",$M215=1),$M215&gt;(ROW(PLE.lastrow)-ROW(PLE.firstrow))),0,IF(OFFSET(PLE!$G$14,$M215,BF$13)="",10^12,OFFSET(PLE!$G$14,$M215,BF$13))))</f>
        <v>1000000000000</v>
      </c>
      <c r="BG215" s="182">
        <f ca="1">IF($D215&lt;&gt;"Serviço",0,IF(OR(AND(AUTOEVENTO="Manual",$M215=1),$M215&gt;(ROW(PLE.lastrow)-ROW(PLE.firstrow))),0,IF(OFFSET(PLE!$G$14,$M215,BG$13)="",10^12,OFFSET(PLE!$G$14,$M215,BG$13))))</f>
        <v>1000000000000</v>
      </c>
    </row>
    <row r="216" spans="1:59" ht="63.75" x14ac:dyDescent="0.2">
      <c r="A216" s="7" t="str">
        <f t="shared" ca="1" si="10"/>
        <v>191</v>
      </c>
      <c r="B216" s="7" t="str">
        <f ca="1">OFFSET(ORÇAMENTO!C$15,ROW(B216)-ROW(B$15),0)</f>
        <v>S</v>
      </c>
      <c r="C216" s="7" t="str">
        <f ca="1">OFFSET(ORÇAMENTO!L$15,ROW(C216)-ROW(C$15),0)</f>
        <v/>
      </c>
      <c r="D216" s="118" t="str">
        <f ca="1">OFFSET(ORÇAMENTO!N$15,ROW(D216)-ROW(D$15),0)</f>
        <v>Serviço</v>
      </c>
      <c r="E216" s="119" t="str">
        <f ca="1">OFFSET(ORÇAMENTO!O$15,ROW(E216)-ROW(E$15),0)</f>
        <v>-</v>
      </c>
      <c r="F216" s="172" t="str">
        <f ca="1">OFFSET(ORÇAMENTO!R$15,ROW(F216)-ROW(F$15),0)</f>
        <v>(abra o arquivo 'Referência 02-2025.xlsm)</v>
      </c>
      <c r="G216" s="173" t="str">
        <f ca="1">IF($D216&lt;&gt;"Serviço","",OFFSET(ORÇAMENTO!S$15,ROW(G216)-ROW(G$15),0))</f>
        <v>-</v>
      </c>
      <c r="H216" s="124">
        <f ca="1">IF($D216&lt;&gt;"Serviço",0,IF(ACOMPANHAMENTO="BM",ROUND(OFFSET(ORÇAMENTO!AJ$15,ROW(H216)-ROW(H$15),0),15-13*ORÇAMENTO!$AF$7),SUMPRODUCT(($Q$12:$AA$12&lt;&gt;"")*ROUND($Q216:$AA216,15-13*ORÇAMENTO!$AF$7))))</f>
        <v>412.53</v>
      </c>
      <c r="I216" s="561" t="s">
        <v>890</v>
      </c>
      <c r="K216" s="174"/>
      <c r="L216" s="175" t="s">
        <v>255</v>
      </c>
      <c r="M216" s="176">
        <f ca="1">IF($D216&lt;&gt;"Serviço","",IF(AUTOEVENTO="manual",$A216,IF(ISERROR(MATCH($A216,$A$15:OFFSET($A216,-1,0),0)),MAX($M$15:OFFSET(M216,-1,0))+1,INDEX($M$15:OFFSET(M216,-1,0),MATCH($A216,$A$15:OFFSET($A216,-1,0),0)))))</f>
        <v>11</v>
      </c>
      <c r="N216" s="177" t="str">
        <f ca="1">IF($D216&lt;&gt;"Serviço","",IF(AUTOEVENTO="Manual",IF($A216=0,"&lt;-- defina o número do agrupador",OFFSET(EVENTOS!$D$14,$A216,0)),OFFSET($F$15,$A216,0)))</f>
        <v>SISTEMAS DE PISOS</v>
      </c>
      <c r="O216" s="178"/>
      <c r="Q216" s="178"/>
      <c r="R216" s="179"/>
      <c r="S216" s="179"/>
      <c r="T216" s="179"/>
      <c r="U216" s="179"/>
      <c r="V216" s="179"/>
      <c r="W216" s="179"/>
      <c r="X216" s="179"/>
      <c r="Y216" s="179"/>
      <c r="Z216" s="180"/>
      <c r="AB216" s="544">
        <f ca="1">IF(AND($D216="Serviço",AB$12&lt;&gt;0,$H216&gt;0,OR(AUTOEVENTO&lt;&gt;"manual",$M216&lt;&gt;1)),
IF(Import.TipoArredondamento&lt;&gt;"TransfereGOV",
ROUND(OFFSET($P216,0,AB$13),15-13*ORÇAMENTO!$AF$7)/$H216*OFFSET(ORÇAMENTO!$X$15,ROW(AB216)-ROW(AB$15),0),
ROUND(ROUND(OFFSET($P216,0,AB$13),15-13*ORÇAMENTO!$AF$7)*OFFSET(ORÇAMENTO!$W$15,ROW(AB216)-ROW(AB$15),0),15-13*ORÇAMENTO!$AF$11)),0)</f>
        <v>0</v>
      </c>
      <c r="AC216" s="545">
        <f ca="1">IF(AND($D216="Serviço",AC$12&lt;&gt;0,$H216&gt;0,OR(AUTOEVENTO&lt;&gt;"manual",$M216&lt;&gt;1)),
IF(Import.TipoArredondamento&lt;&gt;"TransfereGOV",
ROUND(OFFSET($P216,0,AC$13),15-13*ORÇAMENTO!$AF$7)/$H216*OFFSET(ORÇAMENTO!$X$15,ROW(AC216)-ROW(AC$15),0),
ROUND(ROUND(OFFSET($P216,0,AC$13),15-13*ORÇAMENTO!$AF$7)*OFFSET(ORÇAMENTO!$W$15,ROW(AC216)-ROW(AC$15),0),15-13*ORÇAMENTO!$AF$11)),0)</f>
        <v>0</v>
      </c>
      <c r="AD216" s="545">
        <f ca="1">IF(AND($D216="Serviço",AD$12&lt;&gt;0,$H216&gt;0,OR(AUTOEVENTO&lt;&gt;"manual",$M216&lt;&gt;1)),
IF(Import.TipoArredondamento&lt;&gt;"TransfereGOV",
ROUND(OFFSET($P216,0,AD$13),15-13*ORÇAMENTO!$AF$7)/$H216*OFFSET(ORÇAMENTO!$X$15,ROW(AD216)-ROW(AD$15),0),
ROUND(ROUND(OFFSET($P216,0,AD$13),15-13*ORÇAMENTO!$AF$7)*OFFSET(ORÇAMENTO!$W$15,ROW(AD216)-ROW(AD$15),0),15-13*ORÇAMENTO!$AF$11)),0)</f>
        <v>0</v>
      </c>
      <c r="AE216" s="545">
        <f ca="1">IF(AND($D216="Serviço",AE$12&lt;&gt;0,$H216&gt;0,OR(AUTOEVENTO&lt;&gt;"manual",$M216&lt;&gt;1)),
IF(Import.TipoArredondamento&lt;&gt;"TransfereGOV",
ROUND(OFFSET($P216,0,AE$13),15-13*ORÇAMENTO!$AF$7)/$H216*OFFSET(ORÇAMENTO!$X$15,ROW(AE216)-ROW(AE$15),0),
ROUND(ROUND(OFFSET($P216,0,AE$13),15-13*ORÇAMENTO!$AF$7)*OFFSET(ORÇAMENTO!$W$15,ROW(AE216)-ROW(AE$15),0),15-13*ORÇAMENTO!$AF$11)),0)</f>
        <v>0</v>
      </c>
      <c r="AF216" s="545">
        <f ca="1">IF(AND($D216="Serviço",AF$12&lt;&gt;0,$H216&gt;0,OR(AUTOEVENTO&lt;&gt;"manual",$M216&lt;&gt;1)),
IF(Import.TipoArredondamento&lt;&gt;"TransfereGOV",
ROUND(OFFSET($P216,0,AF$13),15-13*ORÇAMENTO!$AF$7)/$H216*OFFSET(ORÇAMENTO!$X$15,ROW(AF216)-ROW(AF$15),0),
ROUND(ROUND(OFFSET($P216,0,AF$13),15-13*ORÇAMENTO!$AF$7)*OFFSET(ORÇAMENTO!$W$15,ROW(AF216)-ROW(AF$15),0),15-13*ORÇAMENTO!$AF$11)),0)</f>
        <v>0</v>
      </c>
      <c r="AG216" s="545">
        <f ca="1">IF(AND($D216="Serviço",AG$12&lt;&gt;0,$H216&gt;0,OR(AUTOEVENTO&lt;&gt;"manual",$M216&lt;&gt;1)),
IF(Import.TipoArredondamento&lt;&gt;"TransfereGOV",
ROUND(OFFSET($P216,0,AG$13),15-13*ORÇAMENTO!$AF$7)/$H216*OFFSET(ORÇAMENTO!$X$15,ROW(AG216)-ROW(AG$15),0),
ROUND(ROUND(OFFSET($P216,0,AG$13),15-13*ORÇAMENTO!$AF$7)*OFFSET(ORÇAMENTO!$W$15,ROW(AG216)-ROW(AG$15),0),15-13*ORÇAMENTO!$AF$11)),0)</f>
        <v>0</v>
      </c>
      <c r="AH216" s="545">
        <f ca="1">IF(AND($D216="Serviço",AH$12&lt;&gt;0,$H216&gt;0,OR(AUTOEVENTO&lt;&gt;"manual",$M216&lt;&gt;1)),
IF(Import.TipoArredondamento&lt;&gt;"TransfereGOV",
ROUND(OFFSET($P216,0,AH$13),15-13*ORÇAMENTO!$AF$7)/$H216*OFFSET(ORÇAMENTO!$X$15,ROW(AH216)-ROW(AH$15),0),
ROUND(ROUND(OFFSET($P216,0,AH$13),15-13*ORÇAMENTO!$AF$7)*OFFSET(ORÇAMENTO!$W$15,ROW(AH216)-ROW(AH$15),0),15-13*ORÇAMENTO!$AF$11)),0)</f>
        <v>0</v>
      </c>
      <c r="AI216" s="545">
        <f ca="1">IF(AND($D216="Serviço",AI$12&lt;&gt;0,$H216&gt;0,OR(AUTOEVENTO&lt;&gt;"manual",$M216&lt;&gt;1)),
IF(Import.TipoArredondamento&lt;&gt;"TransfereGOV",
ROUND(OFFSET($P216,0,AI$13),15-13*ORÇAMENTO!$AF$7)/$H216*OFFSET(ORÇAMENTO!$X$15,ROW(AI216)-ROW(AI$15),0),
ROUND(ROUND(OFFSET($P216,0,AI$13),15-13*ORÇAMENTO!$AF$7)*OFFSET(ORÇAMENTO!$W$15,ROW(AI216)-ROW(AI$15),0),15-13*ORÇAMENTO!$AF$11)),0)</f>
        <v>0</v>
      </c>
      <c r="AJ216" s="545">
        <f ca="1">IF(AND($D216="Serviço",AJ$12&lt;&gt;0,$H216&gt;0,OR(AUTOEVENTO&lt;&gt;"manual",$M216&lt;&gt;1)),
IF(Import.TipoArredondamento&lt;&gt;"TransfereGOV",
ROUND(OFFSET($P216,0,AJ$13),15-13*ORÇAMENTO!$AF$7)/$H216*OFFSET(ORÇAMENTO!$X$15,ROW(AJ216)-ROW(AJ$15),0),
ROUND(ROUND(OFFSET($P216,0,AJ$13),15-13*ORÇAMENTO!$AF$7)*OFFSET(ORÇAMENTO!$W$15,ROW(AJ216)-ROW(AJ$15),0),15-13*ORÇAMENTO!$AF$11)),0)</f>
        <v>0</v>
      </c>
      <c r="AK216" s="546">
        <f ca="1">IF(AND($D216="Serviço",AK$12&lt;&gt;0,$H216&gt;0,OR(AUTOEVENTO&lt;&gt;"manual",$M216&lt;&gt;1)),
IF(Import.TipoArredondamento&lt;&gt;"TransfereGOV",
ROUND(OFFSET($P216,0,AK$13),15-13*ORÇAMENTO!$AF$7)/$H216*OFFSET(ORÇAMENTO!$X$15,ROW(AK216)-ROW(AK$15),0),
ROUND(ROUND(OFFSET($P216,0,AK$13),15-13*ORÇAMENTO!$AF$7)*OFFSET(ORÇAMENTO!$W$15,ROW(AK216)-ROW(AK$15),0),15-13*ORÇAMENTO!$AF$11)),0)</f>
        <v>0</v>
      </c>
      <c r="AM216" s="181">
        <f ca="1">IF($D216&lt;&gt;"Serviço",0,IF(AND(AUTOEVENTO="Manual",$M216=1),0,IF(OFFSET(CRONOPLE!$F$14,$M216,AM$13)="",10^12,OFFSET(CRONOPLE!$F$14,$M216,AM$13))))</f>
        <v>1000000000000</v>
      </c>
      <c r="AN216" s="181">
        <f ca="1">IF($D216&lt;&gt;"Serviço",0,IF(AND(AUTOEVENTO="Manual",$M216=1),0,IF(OFFSET(CRONOPLE!$F$14,$M216,AN$13)="",10^12,OFFSET(CRONOPLE!$F$14,$M216,AN$13))))</f>
        <v>1000000000000</v>
      </c>
      <c r="AO216" s="181">
        <f ca="1">IF($D216&lt;&gt;"Serviço",0,IF(AND(AUTOEVENTO="Manual",$M216=1),0,IF(OFFSET(CRONOPLE!$F$14,$M216,AO$13)="",10^12,OFFSET(CRONOPLE!$F$14,$M216,AO$13))))</f>
        <v>1000000000000</v>
      </c>
      <c r="AP216" s="181">
        <f ca="1">IF($D216&lt;&gt;"Serviço",0,IF(AND(AUTOEVENTO="Manual",$M216=1),0,IF(OFFSET(CRONOPLE!$F$14,$M216,AP$13)="",10^12,OFFSET(CRONOPLE!$F$14,$M216,AP$13))))</f>
        <v>1000000000000</v>
      </c>
      <c r="AQ216" s="181">
        <f ca="1">IF($D216&lt;&gt;"Serviço",0,IF(AND(AUTOEVENTO="Manual",$M216=1),0,IF(OFFSET(CRONOPLE!$F$14,$M216,AQ$13)="",10^12,OFFSET(CRONOPLE!$F$14,$M216,AQ$13))))</f>
        <v>1000000000000</v>
      </c>
      <c r="AR216" s="181">
        <f ca="1">IF($D216&lt;&gt;"Serviço",0,IF(AND(AUTOEVENTO="Manual",$M216=1),0,IF(OFFSET(CRONOPLE!$F$14,$M216,AR$13)="",10^12,OFFSET(CRONOPLE!$F$14,$M216,AR$13))))</f>
        <v>1000000000000</v>
      </c>
      <c r="AS216" s="181">
        <f ca="1">IF($D216&lt;&gt;"Serviço",0,IF(AND(AUTOEVENTO="Manual",$M216=1),0,IF(OFFSET(CRONOPLE!$F$14,$M216,AS$13)="",10^12,OFFSET(CRONOPLE!$F$14,$M216,AS$13))))</f>
        <v>1000000000000</v>
      </c>
      <c r="AT216" s="181">
        <f ca="1">IF($D216&lt;&gt;"Serviço",0,IF(AND(AUTOEVENTO="Manual",$M216=1),0,IF(OFFSET(CRONOPLE!$F$14,$M216,AT$13)="",10^12,OFFSET(CRONOPLE!$F$14,$M216,AT$13))))</f>
        <v>1000000000000</v>
      </c>
      <c r="AU216" s="181">
        <f ca="1">IF($D216&lt;&gt;"Serviço",0,IF(AND(AUTOEVENTO="Manual",$M216=1),0,IF(OFFSET(CRONOPLE!$F$14,$M216,AU$13)="",10^12,OFFSET(CRONOPLE!$F$14,$M216,AU$13))))</f>
        <v>1000000000000</v>
      </c>
      <c r="AV216" s="181">
        <f ca="1">IF($D216&lt;&gt;"Serviço",0,IF(AND(AUTOEVENTO="Manual",$M216=1),0,IF(OFFSET(CRONOPLE!$F$14,$M216,AV$13)="",10^12,OFFSET(CRONOPLE!$F$14,$M216,AV$13))))</f>
        <v>1000000000000</v>
      </c>
      <c r="AX216" s="182">
        <f ca="1">IF($D216&lt;&gt;"Serviço",0,IF(OR(AND(AUTOEVENTO="Manual",$M216=1),$M216&gt;(ROW(PLE.lastrow)-ROW(PLE.firstrow))),0,IF(OFFSET(PLE!$G$14,$M216,AX$13)="",10^12,OFFSET(PLE!$G$14,$M216,AX$13))))</f>
        <v>1000000000000</v>
      </c>
      <c r="AY216" s="182">
        <f ca="1">IF($D216&lt;&gt;"Serviço",0,IF(OR(AND(AUTOEVENTO="Manual",$M216=1),$M216&gt;(ROW(PLE.lastrow)-ROW(PLE.firstrow))),0,IF(OFFSET(PLE!$G$14,$M216,AY$13)="",10^12,OFFSET(PLE!$G$14,$M216,AY$13))))</f>
        <v>1000000000000</v>
      </c>
      <c r="AZ216" s="182">
        <f ca="1">IF($D216&lt;&gt;"Serviço",0,IF(OR(AND(AUTOEVENTO="Manual",$M216=1),$M216&gt;(ROW(PLE.lastrow)-ROW(PLE.firstrow))),0,IF(OFFSET(PLE!$G$14,$M216,AZ$13)="",10^12,OFFSET(PLE!$G$14,$M216,AZ$13))))</f>
        <v>1000000000000</v>
      </c>
      <c r="BA216" s="182">
        <f ca="1">IF($D216&lt;&gt;"Serviço",0,IF(OR(AND(AUTOEVENTO="Manual",$M216=1),$M216&gt;(ROW(PLE.lastrow)-ROW(PLE.firstrow))),0,IF(OFFSET(PLE!$G$14,$M216,BA$13)="",10^12,OFFSET(PLE!$G$14,$M216,BA$13))))</f>
        <v>1000000000000</v>
      </c>
      <c r="BB216" s="182">
        <f ca="1">IF($D216&lt;&gt;"Serviço",0,IF(OR(AND(AUTOEVENTO="Manual",$M216=1),$M216&gt;(ROW(PLE.lastrow)-ROW(PLE.firstrow))),0,IF(OFFSET(PLE!$G$14,$M216,BB$13)="",10^12,OFFSET(PLE!$G$14,$M216,BB$13))))</f>
        <v>1000000000000</v>
      </c>
      <c r="BC216" s="182">
        <f ca="1">IF($D216&lt;&gt;"Serviço",0,IF(OR(AND(AUTOEVENTO="Manual",$M216=1),$M216&gt;(ROW(PLE.lastrow)-ROW(PLE.firstrow))),0,IF(OFFSET(PLE!$G$14,$M216,BC$13)="",10^12,OFFSET(PLE!$G$14,$M216,BC$13))))</f>
        <v>1000000000000</v>
      </c>
      <c r="BD216" s="182">
        <f ca="1">IF($D216&lt;&gt;"Serviço",0,IF(OR(AND(AUTOEVENTO="Manual",$M216=1),$M216&gt;(ROW(PLE.lastrow)-ROW(PLE.firstrow))),0,IF(OFFSET(PLE!$G$14,$M216,BD$13)="",10^12,OFFSET(PLE!$G$14,$M216,BD$13))))</f>
        <v>1000000000000</v>
      </c>
      <c r="BE216" s="182">
        <f ca="1">IF($D216&lt;&gt;"Serviço",0,IF(OR(AND(AUTOEVENTO="Manual",$M216=1),$M216&gt;(ROW(PLE.lastrow)-ROW(PLE.firstrow))),0,IF(OFFSET(PLE!$G$14,$M216,BE$13)="",10^12,OFFSET(PLE!$G$14,$M216,BE$13))))</f>
        <v>1000000000000</v>
      </c>
      <c r="BF216" s="182">
        <f ca="1">IF($D216&lt;&gt;"Serviço",0,IF(OR(AND(AUTOEVENTO="Manual",$M216=1),$M216&gt;(ROW(PLE.lastrow)-ROW(PLE.firstrow))),0,IF(OFFSET(PLE!$G$14,$M216,BF$13)="",10^12,OFFSET(PLE!$G$14,$M216,BF$13))))</f>
        <v>1000000000000</v>
      </c>
      <c r="BG216" s="182">
        <f ca="1">IF($D216&lt;&gt;"Serviço",0,IF(OR(AND(AUTOEVENTO="Manual",$M216=1),$M216&gt;(ROW(PLE.lastrow)-ROW(PLE.firstrow))),0,IF(OFFSET(PLE!$G$14,$M216,BG$13)="",10^12,OFFSET(PLE!$G$14,$M216,BG$13))))</f>
        <v>1000000000000</v>
      </c>
    </row>
    <row r="217" spans="1:59" ht="38.25" x14ac:dyDescent="0.2">
      <c r="A217" s="7" t="str">
        <f t="shared" ca="1" si="10"/>
        <v>191</v>
      </c>
      <c r="B217" s="7" t="str">
        <f ca="1">OFFSET(ORÇAMENTO!C$15,ROW(B217)-ROW(B$15),0)</f>
        <v>S</v>
      </c>
      <c r="C217" s="7" t="str">
        <f ca="1">OFFSET(ORÇAMENTO!L$15,ROW(C217)-ROW(C$15),0)</f>
        <v/>
      </c>
      <c r="D217" s="118" t="str">
        <f ca="1">OFFSET(ORÇAMENTO!N$15,ROW(D217)-ROW(D$15),0)</f>
        <v>Serviço</v>
      </c>
      <c r="E217" s="119" t="str">
        <f ca="1">OFFSET(ORÇAMENTO!O$15,ROW(E217)-ROW(E$15),0)</f>
        <v>-</v>
      </c>
      <c r="F217" s="172" t="str">
        <f ca="1">OFFSET(ORÇAMENTO!R$15,ROW(F217)-ROW(F$15),0)</f>
        <v>(abra o arquivo 'Referência 02-2025.xlsm)</v>
      </c>
      <c r="G217" s="173" t="str">
        <f ca="1">IF($D217&lt;&gt;"Serviço","",OFFSET(ORÇAMENTO!S$15,ROW(G217)-ROW(G$15),0))</f>
        <v>-</v>
      </c>
      <c r="H217" s="124">
        <f ca="1">IF($D217&lt;&gt;"Serviço",0,IF(ACOMPANHAMENTO="BM",ROUND(OFFSET(ORÇAMENTO!AJ$15,ROW(H217)-ROW(H$15),0),15-13*ORÇAMENTO!$AF$7),SUMPRODUCT(($Q$12:$AA$12&lt;&gt;"")*ROUND($Q217:$AA217,15-13*ORÇAMENTO!$AF$7))))</f>
        <v>348</v>
      </c>
      <c r="I217" s="561" t="s">
        <v>890</v>
      </c>
      <c r="K217" s="174"/>
      <c r="L217" s="175" t="s">
        <v>255</v>
      </c>
      <c r="M217" s="176">
        <f ca="1">IF($D217&lt;&gt;"Serviço","",IF(AUTOEVENTO="manual",$A217,IF(ISERROR(MATCH($A217,$A$15:OFFSET($A217,-1,0),0)),MAX($M$15:OFFSET(M217,-1,0))+1,INDEX($M$15:OFFSET(M217,-1,0),MATCH($A217,$A$15:OFFSET($A217,-1,0),0)))))</f>
        <v>11</v>
      </c>
      <c r="N217" s="177" t="str">
        <f ca="1">IF($D217&lt;&gt;"Serviço","",IF(AUTOEVENTO="Manual",IF($A217=0,"&lt;-- defina o número do agrupador",OFFSET(EVENTOS!$D$14,$A217,0)),OFFSET($F$15,$A217,0)))</f>
        <v>SISTEMAS DE PISOS</v>
      </c>
      <c r="O217" s="178"/>
      <c r="Q217" s="178"/>
      <c r="R217" s="179"/>
      <c r="S217" s="179"/>
      <c r="T217" s="179"/>
      <c r="U217" s="179"/>
      <c r="V217" s="179"/>
      <c r="W217" s="179"/>
      <c r="X217" s="179"/>
      <c r="Y217" s="179"/>
      <c r="Z217" s="180"/>
      <c r="AB217" s="544">
        <f ca="1">IF(AND($D217="Serviço",AB$12&lt;&gt;0,$H217&gt;0,OR(AUTOEVENTO&lt;&gt;"manual",$M217&lt;&gt;1)),
IF(Import.TipoArredondamento&lt;&gt;"TransfereGOV",
ROUND(OFFSET($P217,0,AB$13),15-13*ORÇAMENTO!$AF$7)/$H217*OFFSET(ORÇAMENTO!$X$15,ROW(AB217)-ROW(AB$15),0),
ROUND(ROUND(OFFSET($P217,0,AB$13),15-13*ORÇAMENTO!$AF$7)*OFFSET(ORÇAMENTO!$W$15,ROW(AB217)-ROW(AB$15),0),15-13*ORÇAMENTO!$AF$11)),0)</f>
        <v>0</v>
      </c>
      <c r="AC217" s="545">
        <f ca="1">IF(AND($D217="Serviço",AC$12&lt;&gt;0,$H217&gt;0,OR(AUTOEVENTO&lt;&gt;"manual",$M217&lt;&gt;1)),
IF(Import.TipoArredondamento&lt;&gt;"TransfereGOV",
ROUND(OFFSET($P217,0,AC$13),15-13*ORÇAMENTO!$AF$7)/$H217*OFFSET(ORÇAMENTO!$X$15,ROW(AC217)-ROW(AC$15),0),
ROUND(ROUND(OFFSET($P217,0,AC$13),15-13*ORÇAMENTO!$AF$7)*OFFSET(ORÇAMENTO!$W$15,ROW(AC217)-ROW(AC$15),0),15-13*ORÇAMENTO!$AF$11)),0)</f>
        <v>0</v>
      </c>
      <c r="AD217" s="545">
        <f ca="1">IF(AND($D217="Serviço",AD$12&lt;&gt;0,$H217&gt;0,OR(AUTOEVENTO&lt;&gt;"manual",$M217&lt;&gt;1)),
IF(Import.TipoArredondamento&lt;&gt;"TransfereGOV",
ROUND(OFFSET($P217,0,AD$13),15-13*ORÇAMENTO!$AF$7)/$H217*OFFSET(ORÇAMENTO!$X$15,ROW(AD217)-ROW(AD$15),0),
ROUND(ROUND(OFFSET($P217,0,AD$13),15-13*ORÇAMENTO!$AF$7)*OFFSET(ORÇAMENTO!$W$15,ROW(AD217)-ROW(AD$15),0),15-13*ORÇAMENTO!$AF$11)),0)</f>
        <v>0</v>
      </c>
      <c r="AE217" s="545">
        <f ca="1">IF(AND($D217="Serviço",AE$12&lt;&gt;0,$H217&gt;0,OR(AUTOEVENTO&lt;&gt;"manual",$M217&lt;&gt;1)),
IF(Import.TipoArredondamento&lt;&gt;"TransfereGOV",
ROUND(OFFSET($P217,0,AE$13),15-13*ORÇAMENTO!$AF$7)/$H217*OFFSET(ORÇAMENTO!$X$15,ROW(AE217)-ROW(AE$15),0),
ROUND(ROUND(OFFSET($P217,0,AE$13),15-13*ORÇAMENTO!$AF$7)*OFFSET(ORÇAMENTO!$W$15,ROW(AE217)-ROW(AE$15),0),15-13*ORÇAMENTO!$AF$11)),0)</f>
        <v>0</v>
      </c>
      <c r="AF217" s="545">
        <f ca="1">IF(AND($D217="Serviço",AF$12&lt;&gt;0,$H217&gt;0,OR(AUTOEVENTO&lt;&gt;"manual",$M217&lt;&gt;1)),
IF(Import.TipoArredondamento&lt;&gt;"TransfereGOV",
ROUND(OFFSET($P217,0,AF$13),15-13*ORÇAMENTO!$AF$7)/$H217*OFFSET(ORÇAMENTO!$X$15,ROW(AF217)-ROW(AF$15),0),
ROUND(ROUND(OFFSET($P217,0,AF$13),15-13*ORÇAMENTO!$AF$7)*OFFSET(ORÇAMENTO!$W$15,ROW(AF217)-ROW(AF$15),0),15-13*ORÇAMENTO!$AF$11)),0)</f>
        <v>0</v>
      </c>
      <c r="AG217" s="545">
        <f ca="1">IF(AND($D217="Serviço",AG$12&lt;&gt;0,$H217&gt;0,OR(AUTOEVENTO&lt;&gt;"manual",$M217&lt;&gt;1)),
IF(Import.TipoArredondamento&lt;&gt;"TransfereGOV",
ROUND(OFFSET($P217,0,AG$13),15-13*ORÇAMENTO!$AF$7)/$H217*OFFSET(ORÇAMENTO!$X$15,ROW(AG217)-ROW(AG$15),0),
ROUND(ROUND(OFFSET($P217,0,AG$13),15-13*ORÇAMENTO!$AF$7)*OFFSET(ORÇAMENTO!$W$15,ROW(AG217)-ROW(AG$15),0),15-13*ORÇAMENTO!$AF$11)),0)</f>
        <v>0</v>
      </c>
      <c r="AH217" s="545">
        <f ca="1">IF(AND($D217="Serviço",AH$12&lt;&gt;0,$H217&gt;0,OR(AUTOEVENTO&lt;&gt;"manual",$M217&lt;&gt;1)),
IF(Import.TipoArredondamento&lt;&gt;"TransfereGOV",
ROUND(OFFSET($P217,0,AH$13),15-13*ORÇAMENTO!$AF$7)/$H217*OFFSET(ORÇAMENTO!$X$15,ROW(AH217)-ROW(AH$15),0),
ROUND(ROUND(OFFSET($P217,0,AH$13),15-13*ORÇAMENTO!$AF$7)*OFFSET(ORÇAMENTO!$W$15,ROW(AH217)-ROW(AH$15),0),15-13*ORÇAMENTO!$AF$11)),0)</f>
        <v>0</v>
      </c>
      <c r="AI217" s="545">
        <f ca="1">IF(AND($D217="Serviço",AI$12&lt;&gt;0,$H217&gt;0,OR(AUTOEVENTO&lt;&gt;"manual",$M217&lt;&gt;1)),
IF(Import.TipoArredondamento&lt;&gt;"TransfereGOV",
ROUND(OFFSET($P217,0,AI$13),15-13*ORÇAMENTO!$AF$7)/$H217*OFFSET(ORÇAMENTO!$X$15,ROW(AI217)-ROW(AI$15),0),
ROUND(ROUND(OFFSET($P217,0,AI$13),15-13*ORÇAMENTO!$AF$7)*OFFSET(ORÇAMENTO!$W$15,ROW(AI217)-ROW(AI$15),0),15-13*ORÇAMENTO!$AF$11)),0)</f>
        <v>0</v>
      </c>
      <c r="AJ217" s="545">
        <f ca="1">IF(AND($D217="Serviço",AJ$12&lt;&gt;0,$H217&gt;0,OR(AUTOEVENTO&lt;&gt;"manual",$M217&lt;&gt;1)),
IF(Import.TipoArredondamento&lt;&gt;"TransfereGOV",
ROUND(OFFSET($P217,0,AJ$13),15-13*ORÇAMENTO!$AF$7)/$H217*OFFSET(ORÇAMENTO!$X$15,ROW(AJ217)-ROW(AJ$15),0),
ROUND(ROUND(OFFSET($P217,0,AJ$13),15-13*ORÇAMENTO!$AF$7)*OFFSET(ORÇAMENTO!$W$15,ROW(AJ217)-ROW(AJ$15),0),15-13*ORÇAMENTO!$AF$11)),0)</f>
        <v>0</v>
      </c>
      <c r="AK217" s="546">
        <f ca="1">IF(AND($D217="Serviço",AK$12&lt;&gt;0,$H217&gt;0,OR(AUTOEVENTO&lt;&gt;"manual",$M217&lt;&gt;1)),
IF(Import.TipoArredondamento&lt;&gt;"TransfereGOV",
ROUND(OFFSET($P217,0,AK$13),15-13*ORÇAMENTO!$AF$7)/$H217*OFFSET(ORÇAMENTO!$X$15,ROW(AK217)-ROW(AK$15),0),
ROUND(ROUND(OFFSET($P217,0,AK$13),15-13*ORÇAMENTO!$AF$7)*OFFSET(ORÇAMENTO!$W$15,ROW(AK217)-ROW(AK$15),0),15-13*ORÇAMENTO!$AF$11)),0)</f>
        <v>0</v>
      </c>
      <c r="AM217" s="181">
        <f ca="1">IF($D217&lt;&gt;"Serviço",0,IF(AND(AUTOEVENTO="Manual",$M217=1),0,IF(OFFSET(CRONOPLE!$F$14,$M217,AM$13)="",10^12,OFFSET(CRONOPLE!$F$14,$M217,AM$13))))</f>
        <v>1000000000000</v>
      </c>
      <c r="AN217" s="181">
        <f ca="1">IF($D217&lt;&gt;"Serviço",0,IF(AND(AUTOEVENTO="Manual",$M217=1),0,IF(OFFSET(CRONOPLE!$F$14,$M217,AN$13)="",10^12,OFFSET(CRONOPLE!$F$14,$M217,AN$13))))</f>
        <v>1000000000000</v>
      </c>
      <c r="AO217" s="181">
        <f ca="1">IF($D217&lt;&gt;"Serviço",0,IF(AND(AUTOEVENTO="Manual",$M217=1),0,IF(OFFSET(CRONOPLE!$F$14,$M217,AO$13)="",10^12,OFFSET(CRONOPLE!$F$14,$M217,AO$13))))</f>
        <v>1000000000000</v>
      </c>
      <c r="AP217" s="181">
        <f ca="1">IF($D217&lt;&gt;"Serviço",0,IF(AND(AUTOEVENTO="Manual",$M217=1),0,IF(OFFSET(CRONOPLE!$F$14,$M217,AP$13)="",10^12,OFFSET(CRONOPLE!$F$14,$M217,AP$13))))</f>
        <v>1000000000000</v>
      </c>
      <c r="AQ217" s="181">
        <f ca="1">IF($D217&lt;&gt;"Serviço",0,IF(AND(AUTOEVENTO="Manual",$M217=1),0,IF(OFFSET(CRONOPLE!$F$14,$M217,AQ$13)="",10^12,OFFSET(CRONOPLE!$F$14,$M217,AQ$13))))</f>
        <v>1000000000000</v>
      </c>
      <c r="AR217" s="181">
        <f ca="1">IF($D217&lt;&gt;"Serviço",0,IF(AND(AUTOEVENTO="Manual",$M217=1),0,IF(OFFSET(CRONOPLE!$F$14,$M217,AR$13)="",10^12,OFFSET(CRONOPLE!$F$14,$M217,AR$13))))</f>
        <v>1000000000000</v>
      </c>
      <c r="AS217" s="181">
        <f ca="1">IF($D217&lt;&gt;"Serviço",0,IF(AND(AUTOEVENTO="Manual",$M217=1),0,IF(OFFSET(CRONOPLE!$F$14,$M217,AS$13)="",10^12,OFFSET(CRONOPLE!$F$14,$M217,AS$13))))</f>
        <v>1000000000000</v>
      </c>
      <c r="AT217" s="181">
        <f ca="1">IF($D217&lt;&gt;"Serviço",0,IF(AND(AUTOEVENTO="Manual",$M217=1),0,IF(OFFSET(CRONOPLE!$F$14,$M217,AT$13)="",10^12,OFFSET(CRONOPLE!$F$14,$M217,AT$13))))</f>
        <v>1000000000000</v>
      </c>
      <c r="AU217" s="181">
        <f ca="1">IF($D217&lt;&gt;"Serviço",0,IF(AND(AUTOEVENTO="Manual",$M217=1),0,IF(OFFSET(CRONOPLE!$F$14,$M217,AU$13)="",10^12,OFFSET(CRONOPLE!$F$14,$M217,AU$13))))</f>
        <v>1000000000000</v>
      </c>
      <c r="AV217" s="181">
        <f ca="1">IF($D217&lt;&gt;"Serviço",0,IF(AND(AUTOEVENTO="Manual",$M217=1),0,IF(OFFSET(CRONOPLE!$F$14,$M217,AV$13)="",10^12,OFFSET(CRONOPLE!$F$14,$M217,AV$13))))</f>
        <v>1000000000000</v>
      </c>
      <c r="AX217" s="182">
        <f ca="1">IF($D217&lt;&gt;"Serviço",0,IF(OR(AND(AUTOEVENTO="Manual",$M217=1),$M217&gt;(ROW(PLE.lastrow)-ROW(PLE.firstrow))),0,IF(OFFSET(PLE!$G$14,$M217,AX$13)="",10^12,OFFSET(PLE!$G$14,$M217,AX$13))))</f>
        <v>1000000000000</v>
      </c>
      <c r="AY217" s="182">
        <f ca="1">IF($D217&lt;&gt;"Serviço",0,IF(OR(AND(AUTOEVENTO="Manual",$M217=1),$M217&gt;(ROW(PLE.lastrow)-ROW(PLE.firstrow))),0,IF(OFFSET(PLE!$G$14,$M217,AY$13)="",10^12,OFFSET(PLE!$G$14,$M217,AY$13))))</f>
        <v>1000000000000</v>
      </c>
      <c r="AZ217" s="182">
        <f ca="1">IF($D217&lt;&gt;"Serviço",0,IF(OR(AND(AUTOEVENTO="Manual",$M217=1),$M217&gt;(ROW(PLE.lastrow)-ROW(PLE.firstrow))),0,IF(OFFSET(PLE!$G$14,$M217,AZ$13)="",10^12,OFFSET(PLE!$G$14,$M217,AZ$13))))</f>
        <v>1000000000000</v>
      </c>
      <c r="BA217" s="182">
        <f ca="1">IF($D217&lt;&gt;"Serviço",0,IF(OR(AND(AUTOEVENTO="Manual",$M217=1),$M217&gt;(ROW(PLE.lastrow)-ROW(PLE.firstrow))),0,IF(OFFSET(PLE!$G$14,$M217,BA$13)="",10^12,OFFSET(PLE!$G$14,$M217,BA$13))))</f>
        <v>1000000000000</v>
      </c>
      <c r="BB217" s="182">
        <f ca="1">IF($D217&lt;&gt;"Serviço",0,IF(OR(AND(AUTOEVENTO="Manual",$M217=1),$M217&gt;(ROW(PLE.lastrow)-ROW(PLE.firstrow))),0,IF(OFFSET(PLE!$G$14,$M217,BB$13)="",10^12,OFFSET(PLE!$G$14,$M217,BB$13))))</f>
        <v>1000000000000</v>
      </c>
      <c r="BC217" s="182">
        <f ca="1">IF($D217&lt;&gt;"Serviço",0,IF(OR(AND(AUTOEVENTO="Manual",$M217=1),$M217&gt;(ROW(PLE.lastrow)-ROW(PLE.firstrow))),0,IF(OFFSET(PLE!$G$14,$M217,BC$13)="",10^12,OFFSET(PLE!$G$14,$M217,BC$13))))</f>
        <v>1000000000000</v>
      </c>
      <c r="BD217" s="182">
        <f ca="1">IF($D217&lt;&gt;"Serviço",0,IF(OR(AND(AUTOEVENTO="Manual",$M217=1),$M217&gt;(ROW(PLE.lastrow)-ROW(PLE.firstrow))),0,IF(OFFSET(PLE!$G$14,$M217,BD$13)="",10^12,OFFSET(PLE!$G$14,$M217,BD$13))))</f>
        <v>1000000000000</v>
      </c>
      <c r="BE217" s="182">
        <f ca="1">IF($D217&lt;&gt;"Serviço",0,IF(OR(AND(AUTOEVENTO="Manual",$M217=1),$M217&gt;(ROW(PLE.lastrow)-ROW(PLE.firstrow))),0,IF(OFFSET(PLE!$G$14,$M217,BE$13)="",10^12,OFFSET(PLE!$G$14,$M217,BE$13))))</f>
        <v>1000000000000</v>
      </c>
      <c r="BF217" s="182">
        <f ca="1">IF($D217&lt;&gt;"Serviço",0,IF(OR(AND(AUTOEVENTO="Manual",$M217=1),$M217&gt;(ROW(PLE.lastrow)-ROW(PLE.firstrow))),0,IF(OFFSET(PLE!$G$14,$M217,BF$13)="",10^12,OFFSET(PLE!$G$14,$M217,BF$13))))</f>
        <v>1000000000000</v>
      </c>
      <c r="BG217" s="182">
        <f ca="1">IF($D217&lt;&gt;"Serviço",0,IF(OR(AND(AUTOEVENTO="Manual",$M217=1),$M217&gt;(ROW(PLE.lastrow)-ROW(PLE.firstrow))),0,IF(OFFSET(PLE!$G$14,$M217,BG$13)="",10^12,OFFSET(PLE!$G$14,$M217,BG$13))))</f>
        <v>1000000000000</v>
      </c>
    </row>
    <row r="218" spans="1:59" ht="38.25" x14ac:dyDescent="0.2">
      <c r="A218" s="7" t="str">
        <f t="shared" ref="A218:A522" ca="1" si="11">IF(AUTOEVENTO="Manual",IF(K218&lt;&gt;"",MIN(VALUE(LEFT(K218,FIND(".",K218)-1)),COUNTA(EVENTOS.Lista)),0),IF(OR($B218&gt;AUTOEVENTO,$B218="S",$B218=0),SUBSTITUTE(OFFSET($A218,-1,0),IF($D218="Serviço",".",""),""),ROW(A218)-ROW($A$15)&amp;"."))</f>
        <v>191</v>
      </c>
      <c r="B218" s="7" t="str">
        <f ca="1">OFFSET(ORÇAMENTO!C$15,ROW(B218)-ROW(B$15),0)</f>
        <v>S</v>
      </c>
      <c r="C218" s="7" t="str">
        <f ca="1">OFFSET(ORÇAMENTO!L$15,ROW(C218)-ROW(C$15),0)</f>
        <v/>
      </c>
      <c r="D218" s="118" t="str">
        <f ca="1">OFFSET(ORÇAMENTO!N$15,ROW(D218)-ROW(D$15),0)</f>
        <v>Serviço</v>
      </c>
      <c r="E218" s="119" t="str">
        <f ca="1">OFFSET(ORÇAMENTO!O$15,ROW(E218)-ROW(E$15),0)</f>
        <v>-</v>
      </c>
      <c r="F218" s="172" t="str">
        <f ca="1">OFFSET(ORÇAMENTO!R$15,ROW(F218)-ROW(F$15),0)</f>
        <v>(abra o arquivo 'Referência 02-2025.xlsm)</v>
      </c>
      <c r="G218" s="173" t="str">
        <f ca="1">IF($D218&lt;&gt;"Serviço","",OFFSET(ORÇAMENTO!S$15,ROW(G218)-ROW(G$15),0))</f>
        <v>-</v>
      </c>
      <c r="H218" s="124">
        <f ca="1">IF($D218&lt;&gt;"Serviço",0,IF(ACOMPANHAMENTO="BM",ROUND(OFFSET(ORÇAMENTO!AJ$15,ROW(H218)-ROW(H$15),0),15-13*ORÇAMENTO!$AF$7),SUMPRODUCT(($Q$12:$AA$12&lt;&gt;"")*ROUND($Q218:$AA218,15-13*ORÇAMENTO!$AF$7))))</f>
        <v>235.9</v>
      </c>
      <c r="I218" s="561" t="s">
        <v>890</v>
      </c>
      <c r="K218" s="174"/>
      <c r="L218" s="175" t="s">
        <v>255</v>
      </c>
      <c r="M218" s="176">
        <f ca="1">IF($D218&lt;&gt;"Serviço","",IF(AUTOEVENTO="manual",$A218,IF(ISERROR(MATCH($A218,$A$15:OFFSET($A218,-1,0),0)),MAX($M$15:OFFSET(M218,-1,0))+1,INDEX($M$15:OFFSET(M218,-1,0),MATCH($A218,$A$15:OFFSET($A218,-1,0),0)))))</f>
        <v>11</v>
      </c>
      <c r="N218" s="177" t="str">
        <f ca="1">IF($D218&lt;&gt;"Serviço","",IF(AUTOEVENTO="Manual",IF($A218=0,"&lt;-- defina o número do agrupador",OFFSET(EVENTOS!$D$14,$A218,0)),OFFSET($F$15,$A218,0)))</f>
        <v>SISTEMAS DE PISOS</v>
      </c>
      <c r="O218" s="178"/>
      <c r="Q218" s="178"/>
      <c r="R218" s="179"/>
      <c r="S218" s="179"/>
      <c r="T218" s="179"/>
      <c r="U218" s="179"/>
      <c r="V218" s="179"/>
      <c r="W218" s="179"/>
      <c r="X218" s="179"/>
      <c r="Y218" s="179"/>
      <c r="Z218" s="180"/>
      <c r="AB218" s="544">
        <f ca="1">IF(AND($D218="Serviço",AB$12&lt;&gt;0,$H218&gt;0,OR(AUTOEVENTO&lt;&gt;"manual",$M218&lt;&gt;1)),
IF(Import.TipoArredondamento&lt;&gt;"TransfereGOV",
ROUND(OFFSET($P218,0,AB$13),15-13*ORÇAMENTO!$AF$7)/$H218*OFFSET(ORÇAMENTO!$X$15,ROW(AB218)-ROW(AB$15),0),
ROUND(ROUND(OFFSET($P218,0,AB$13),15-13*ORÇAMENTO!$AF$7)*OFFSET(ORÇAMENTO!$W$15,ROW(AB218)-ROW(AB$15),0),15-13*ORÇAMENTO!$AF$11)),0)</f>
        <v>0</v>
      </c>
      <c r="AC218" s="545">
        <f ca="1">IF(AND($D218="Serviço",AC$12&lt;&gt;0,$H218&gt;0,OR(AUTOEVENTO&lt;&gt;"manual",$M218&lt;&gt;1)),
IF(Import.TipoArredondamento&lt;&gt;"TransfereGOV",
ROUND(OFFSET($P218,0,AC$13),15-13*ORÇAMENTO!$AF$7)/$H218*OFFSET(ORÇAMENTO!$X$15,ROW(AC218)-ROW(AC$15),0),
ROUND(ROUND(OFFSET($P218,0,AC$13),15-13*ORÇAMENTO!$AF$7)*OFFSET(ORÇAMENTO!$W$15,ROW(AC218)-ROW(AC$15),0),15-13*ORÇAMENTO!$AF$11)),0)</f>
        <v>0</v>
      </c>
      <c r="AD218" s="545">
        <f ca="1">IF(AND($D218="Serviço",AD$12&lt;&gt;0,$H218&gt;0,OR(AUTOEVENTO&lt;&gt;"manual",$M218&lt;&gt;1)),
IF(Import.TipoArredondamento&lt;&gt;"TransfereGOV",
ROUND(OFFSET($P218,0,AD$13),15-13*ORÇAMENTO!$AF$7)/$H218*OFFSET(ORÇAMENTO!$X$15,ROW(AD218)-ROW(AD$15),0),
ROUND(ROUND(OFFSET($P218,0,AD$13),15-13*ORÇAMENTO!$AF$7)*OFFSET(ORÇAMENTO!$W$15,ROW(AD218)-ROW(AD$15),0),15-13*ORÇAMENTO!$AF$11)),0)</f>
        <v>0</v>
      </c>
      <c r="AE218" s="545">
        <f ca="1">IF(AND($D218="Serviço",AE$12&lt;&gt;0,$H218&gt;0,OR(AUTOEVENTO&lt;&gt;"manual",$M218&lt;&gt;1)),
IF(Import.TipoArredondamento&lt;&gt;"TransfereGOV",
ROUND(OFFSET($P218,0,AE$13),15-13*ORÇAMENTO!$AF$7)/$H218*OFFSET(ORÇAMENTO!$X$15,ROW(AE218)-ROW(AE$15),0),
ROUND(ROUND(OFFSET($P218,0,AE$13),15-13*ORÇAMENTO!$AF$7)*OFFSET(ORÇAMENTO!$W$15,ROW(AE218)-ROW(AE$15),0),15-13*ORÇAMENTO!$AF$11)),0)</f>
        <v>0</v>
      </c>
      <c r="AF218" s="545">
        <f ca="1">IF(AND($D218="Serviço",AF$12&lt;&gt;0,$H218&gt;0,OR(AUTOEVENTO&lt;&gt;"manual",$M218&lt;&gt;1)),
IF(Import.TipoArredondamento&lt;&gt;"TransfereGOV",
ROUND(OFFSET($P218,0,AF$13),15-13*ORÇAMENTO!$AF$7)/$H218*OFFSET(ORÇAMENTO!$X$15,ROW(AF218)-ROW(AF$15),0),
ROUND(ROUND(OFFSET($P218,0,AF$13),15-13*ORÇAMENTO!$AF$7)*OFFSET(ORÇAMENTO!$W$15,ROW(AF218)-ROW(AF$15),0),15-13*ORÇAMENTO!$AF$11)),0)</f>
        <v>0</v>
      </c>
      <c r="AG218" s="545">
        <f ca="1">IF(AND($D218="Serviço",AG$12&lt;&gt;0,$H218&gt;0,OR(AUTOEVENTO&lt;&gt;"manual",$M218&lt;&gt;1)),
IF(Import.TipoArredondamento&lt;&gt;"TransfereGOV",
ROUND(OFFSET($P218,0,AG$13),15-13*ORÇAMENTO!$AF$7)/$H218*OFFSET(ORÇAMENTO!$X$15,ROW(AG218)-ROW(AG$15),0),
ROUND(ROUND(OFFSET($P218,0,AG$13),15-13*ORÇAMENTO!$AF$7)*OFFSET(ORÇAMENTO!$W$15,ROW(AG218)-ROW(AG$15),0),15-13*ORÇAMENTO!$AF$11)),0)</f>
        <v>0</v>
      </c>
      <c r="AH218" s="545">
        <f ca="1">IF(AND($D218="Serviço",AH$12&lt;&gt;0,$H218&gt;0,OR(AUTOEVENTO&lt;&gt;"manual",$M218&lt;&gt;1)),
IF(Import.TipoArredondamento&lt;&gt;"TransfereGOV",
ROUND(OFFSET($P218,0,AH$13),15-13*ORÇAMENTO!$AF$7)/$H218*OFFSET(ORÇAMENTO!$X$15,ROW(AH218)-ROW(AH$15),0),
ROUND(ROUND(OFFSET($P218,0,AH$13),15-13*ORÇAMENTO!$AF$7)*OFFSET(ORÇAMENTO!$W$15,ROW(AH218)-ROW(AH$15),0),15-13*ORÇAMENTO!$AF$11)),0)</f>
        <v>0</v>
      </c>
      <c r="AI218" s="545">
        <f ca="1">IF(AND($D218="Serviço",AI$12&lt;&gt;0,$H218&gt;0,OR(AUTOEVENTO&lt;&gt;"manual",$M218&lt;&gt;1)),
IF(Import.TipoArredondamento&lt;&gt;"TransfereGOV",
ROUND(OFFSET($P218,0,AI$13),15-13*ORÇAMENTO!$AF$7)/$H218*OFFSET(ORÇAMENTO!$X$15,ROW(AI218)-ROW(AI$15),0),
ROUND(ROUND(OFFSET($P218,0,AI$13),15-13*ORÇAMENTO!$AF$7)*OFFSET(ORÇAMENTO!$W$15,ROW(AI218)-ROW(AI$15),0),15-13*ORÇAMENTO!$AF$11)),0)</f>
        <v>0</v>
      </c>
      <c r="AJ218" s="545">
        <f ca="1">IF(AND($D218="Serviço",AJ$12&lt;&gt;0,$H218&gt;0,OR(AUTOEVENTO&lt;&gt;"manual",$M218&lt;&gt;1)),
IF(Import.TipoArredondamento&lt;&gt;"TransfereGOV",
ROUND(OFFSET($P218,0,AJ$13),15-13*ORÇAMENTO!$AF$7)/$H218*OFFSET(ORÇAMENTO!$X$15,ROW(AJ218)-ROW(AJ$15),0),
ROUND(ROUND(OFFSET($P218,0,AJ$13),15-13*ORÇAMENTO!$AF$7)*OFFSET(ORÇAMENTO!$W$15,ROW(AJ218)-ROW(AJ$15),0),15-13*ORÇAMENTO!$AF$11)),0)</f>
        <v>0</v>
      </c>
      <c r="AK218" s="546">
        <f ca="1">IF(AND($D218="Serviço",AK$12&lt;&gt;0,$H218&gt;0,OR(AUTOEVENTO&lt;&gt;"manual",$M218&lt;&gt;1)),
IF(Import.TipoArredondamento&lt;&gt;"TransfereGOV",
ROUND(OFFSET($P218,0,AK$13),15-13*ORÇAMENTO!$AF$7)/$H218*OFFSET(ORÇAMENTO!$X$15,ROW(AK218)-ROW(AK$15),0),
ROUND(ROUND(OFFSET($P218,0,AK$13),15-13*ORÇAMENTO!$AF$7)*OFFSET(ORÇAMENTO!$W$15,ROW(AK218)-ROW(AK$15),0),15-13*ORÇAMENTO!$AF$11)),0)</f>
        <v>0</v>
      </c>
      <c r="AM218" s="181">
        <f ca="1">IF($D218&lt;&gt;"Serviço",0,IF(AND(AUTOEVENTO="Manual",$M218=1),0,IF(OFFSET(CRONOPLE!$F$14,$M218,AM$13)="",10^12,OFFSET(CRONOPLE!$F$14,$M218,AM$13))))</f>
        <v>1000000000000</v>
      </c>
      <c r="AN218" s="181">
        <f ca="1">IF($D218&lt;&gt;"Serviço",0,IF(AND(AUTOEVENTO="Manual",$M218=1),0,IF(OFFSET(CRONOPLE!$F$14,$M218,AN$13)="",10^12,OFFSET(CRONOPLE!$F$14,$M218,AN$13))))</f>
        <v>1000000000000</v>
      </c>
      <c r="AO218" s="181">
        <f ca="1">IF($D218&lt;&gt;"Serviço",0,IF(AND(AUTOEVENTO="Manual",$M218=1),0,IF(OFFSET(CRONOPLE!$F$14,$M218,AO$13)="",10^12,OFFSET(CRONOPLE!$F$14,$M218,AO$13))))</f>
        <v>1000000000000</v>
      </c>
      <c r="AP218" s="181">
        <f ca="1">IF($D218&lt;&gt;"Serviço",0,IF(AND(AUTOEVENTO="Manual",$M218=1),0,IF(OFFSET(CRONOPLE!$F$14,$M218,AP$13)="",10^12,OFFSET(CRONOPLE!$F$14,$M218,AP$13))))</f>
        <v>1000000000000</v>
      </c>
      <c r="AQ218" s="181">
        <f ca="1">IF($D218&lt;&gt;"Serviço",0,IF(AND(AUTOEVENTO="Manual",$M218=1),0,IF(OFFSET(CRONOPLE!$F$14,$M218,AQ$13)="",10^12,OFFSET(CRONOPLE!$F$14,$M218,AQ$13))))</f>
        <v>1000000000000</v>
      </c>
      <c r="AR218" s="181">
        <f ca="1">IF($D218&lt;&gt;"Serviço",0,IF(AND(AUTOEVENTO="Manual",$M218=1),0,IF(OFFSET(CRONOPLE!$F$14,$M218,AR$13)="",10^12,OFFSET(CRONOPLE!$F$14,$M218,AR$13))))</f>
        <v>1000000000000</v>
      </c>
      <c r="AS218" s="181">
        <f ca="1">IF($D218&lt;&gt;"Serviço",0,IF(AND(AUTOEVENTO="Manual",$M218=1),0,IF(OFFSET(CRONOPLE!$F$14,$M218,AS$13)="",10^12,OFFSET(CRONOPLE!$F$14,$M218,AS$13))))</f>
        <v>1000000000000</v>
      </c>
      <c r="AT218" s="181">
        <f ca="1">IF($D218&lt;&gt;"Serviço",0,IF(AND(AUTOEVENTO="Manual",$M218=1),0,IF(OFFSET(CRONOPLE!$F$14,$M218,AT$13)="",10^12,OFFSET(CRONOPLE!$F$14,$M218,AT$13))))</f>
        <v>1000000000000</v>
      </c>
      <c r="AU218" s="181">
        <f ca="1">IF($D218&lt;&gt;"Serviço",0,IF(AND(AUTOEVENTO="Manual",$M218=1),0,IF(OFFSET(CRONOPLE!$F$14,$M218,AU$13)="",10^12,OFFSET(CRONOPLE!$F$14,$M218,AU$13))))</f>
        <v>1000000000000</v>
      </c>
      <c r="AV218" s="181">
        <f ca="1">IF($D218&lt;&gt;"Serviço",0,IF(AND(AUTOEVENTO="Manual",$M218=1),0,IF(OFFSET(CRONOPLE!$F$14,$M218,AV$13)="",10^12,OFFSET(CRONOPLE!$F$14,$M218,AV$13))))</f>
        <v>1000000000000</v>
      </c>
      <c r="AX218" s="182">
        <f ca="1">IF($D218&lt;&gt;"Serviço",0,IF(OR(AND(AUTOEVENTO="Manual",$M218=1),$M218&gt;(ROW(PLE.lastrow)-ROW(PLE.firstrow))),0,IF(OFFSET(PLE!$G$14,$M218,AX$13)="",10^12,OFFSET(PLE!$G$14,$M218,AX$13))))</f>
        <v>1000000000000</v>
      </c>
      <c r="AY218" s="182">
        <f ca="1">IF($D218&lt;&gt;"Serviço",0,IF(OR(AND(AUTOEVENTO="Manual",$M218=1),$M218&gt;(ROW(PLE.lastrow)-ROW(PLE.firstrow))),0,IF(OFFSET(PLE!$G$14,$M218,AY$13)="",10^12,OFFSET(PLE!$G$14,$M218,AY$13))))</f>
        <v>1000000000000</v>
      </c>
      <c r="AZ218" s="182">
        <f ca="1">IF($D218&lt;&gt;"Serviço",0,IF(OR(AND(AUTOEVENTO="Manual",$M218=1),$M218&gt;(ROW(PLE.lastrow)-ROW(PLE.firstrow))),0,IF(OFFSET(PLE!$G$14,$M218,AZ$13)="",10^12,OFFSET(PLE!$G$14,$M218,AZ$13))))</f>
        <v>1000000000000</v>
      </c>
      <c r="BA218" s="182">
        <f ca="1">IF($D218&lt;&gt;"Serviço",0,IF(OR(AND(AUTOEVENTO="Manual",$M218=1),$M218&gt;(ROW(PLE.lastrow)-ROW(PLE.firstrow))),0,IF(OFFSET(PLE!$G$14,$M218,BA$13)="",10^12,OFFSET(PLE!$G$14,$M218,BA$13))))</f>
        <v>1000000000000</v>
      </c>
      <c r="BB218" s="182">
        <f ca="1">IF($D218&lt;&gt;"Serviço",0,IF(OR(AND(AUTOEVENTO="Manual",$M218=1),$M218&gt;(ROW(PLE.lastrow)-ROW(PLE.firstrow))),0,IF(OFFSET(PLE!$G$14,$M218,BB$13)="",10^12,OFFSET(PLE!$G$14,$M218,BB$13))))</f>
        <v>1000000000000</v>
      </c>
      <c r="BC218" s="182">
        <f ca="1">IF($D218&lt;&gt;"Serviço",0,IF(OR(AND(AUTOEVENTO="Manual",$M218=1),$M218&gt;(ROW(PLE.lastrow)-ROW(PLE.firstrow))),0,IF(OFFSET(PLE!$G$14,$M218,BC$13)="",10^12,OFFSET(PLE!$G$14,$M218,BC$13))))</f>
        <v>1000000000000</v>
      </c>
      <c r="BD218" s="182">
        <f ca="1">IF($D218&lt;&gt;"Serviço",0,IF(OR(AND(AUTOEVENTO="Manual",$M218=1),$M218&gt;(ROW(PLE.lastrow)-ROW(PLE.firstrow))),0,IF(OFFSET(PLE!$G$14,$M218,BD$13)="",10^12,OFFSET(PLE!$G$14,$M218,BD$13))))</f>
        <v>1000000000000</v>
      </c>
      <c r="BE218" s="182">
        <f ca="1">IF($D218&lt;&gt;"Serviço",0,IF(OR(AND(AUTOEVENTO="Manual",$M218=1),$M218&gt;(ROW(PLE.lastrow)-ROW(PLE.firstrow))),0,IF(OFFSET(PLE!$G$14,$M218,BE$13)="",10^12,OFFSET(PLE!$G$14,$M218,BE$13))))</f>
        <v>1000000000000</v>
      </c>
      <c r="BF218" s="182">
        <f ca="1">IF($D218&lt;&gt;"Serviço",0,IF(OR(AND(AUTOEVENTO="Manual",$M218=1),$M218&gt;(ROW(PLE.lastrow)-ROW(PLE.firstrow))),0,IF(OFFSET(PLE!$G$14,$M218,BF$13)="",10^12,OFFSET(PLE!$G$14,$M218,BF$13))))</f>
        <v>1000000000000</v>
      </c>
      <c r="BG218" s="182">
        <f ca="1">IF($D218&lt;&gt;"Serviço",0,IF(OR(AND(AUTOEVENTO="Manual",$M218=1),$M218&gt;(ROW(PLE.lastrow)-ROW(PLE.firstrow))),0,IF(OFFSET(PLE!$G$14,$M218,BG$13)="",10^12,OFFSET(PLE!$G$14,$M218,BG$13))))</f>
        <v>1000000000000</v>
      </c>
    </row>
    <row r="219" spans="1:59" ht="25.5" x14ac:dyDescent="0.2">
      <c r="A219" s="7" t="str">
        <f t="shared" ca="1" si="11"/>
        <v>191</v>
      </c>
      <c r="B219" s="7" t="str">
        <f ca="1">OFFSET(ORÇAMENTO!C$15,ROW(B219)-ROW(B$15),0)</f>
        <v>S</v>
      </c>
      <c r="C219" s="7" t="str">
        <f ca="1">OFFSET(ORÇAMENTO!L$15,ROW(C219)-ROW(C$15),0)</f>
        <v/>
      </c>
      <c r="D219" s="118" t="str">
        <f ca="1">OFFSET(ORÇAMENTO!N$15,ROW(D219)-ROW(D$15),0)</f>
        <v>Serviço</v>
      </c>
      <c r="E219" s="119" t="str">
        <f ca="1">OFFSET(ORÇAMENTO!O$15,ROW(E219)-ROW(E$15),0)</f>
        <v>-</v>
      </c>
      <c r="F219" s="172" t="str">
        <f ca="1">OFFSET(ORÇAMENTO!R$15,ROW(F219)-ROW(F$15),0)</f>
        <v>(abra o arquivo 'Referência 02-2025.xlsm)</v>
      </c>
      <c r="G219" s="173" t="str">
        <f ca="1">IF($D219&lt;&gt;"Serviço","",OFFSET(ORÇAMENTO!S$15,ROW(G219)-ROW(G$15),0))</f>
        <v>-</v>
      </c>
      <c r="H219" s="124">
        <f ca="1">IF($D219&lt;&gt;"Serviço",0,IF(ACOMPANHAMENTO="BM",ROUND(OFFSET(ORÇAMENTO!AJ$15,ROW(H219)-ROW(H$15),0),15-13*ORÇAMENTO!$AF$7),SUMPRODUCT(($Q$12:$AA$12&lt;&gt;"")*ROUND($Q219:$AA219,15-13*ORÇAMENTO!$AF$7))))</f>
        <v>398.28</v>
      </c>
      <c r="I219" s="561" t="s">
        <v>890</v>
      </c>
      <c r="K219" s="174"/>
      <c r="L219" s="175" t="s">
        <v>255</v>
      </c>
      <c r="M219" s="176">
        <f ca="1">IF($D219&lt;&gt;"Serviço","",IF(AUTOEVENTO="manual",$A219,IF(ISERROR(MATCH($A219,$A$15:OFFSET($A219,-1,0),0)),MAX($M$15:OFFSET(M219,-1,0))+1,INDEX($M$15:OFFSET(M219,-1,0),MATCH($A219,$A$15:OFFSET($A219,-1,0),0)))))</f>
        <v>11</v>
      </c>
      <c r="N219" s="177" t="str">
        <f ca="1">IF($D219&lt;&gt;"Serviço","",IF(AUTOEVENTO="Manual",IF($A219=0,"&lt;-- defina o número do agrupador",OFFSET(EVENTOS!$D$14,$A219,0)),OFFSET($F$15,$A219,0)))</f>
        <v>SISTEMAS DE PISOS</v>
      </c>
      <c r="O219" s="178"/>
      <c r="Q219" s="178"/>
      <c r="R219" s="179"/>
      <c r="S219" s="179"/>
      <c r="T219" s="179"/>
      <c r="U219" s="179"/>
      <c r="V219" s="179"/>
      <c r="W219" s="179"/>
      <c r="X219" s="179"/>
      <c r="Y219" s="179"/>
      <c r="Z219" s="180"/>
      <c r="AB219" s="544">
        <f ca="1">IF(AND($D219="Serviço",AB$12&lt;&gt;0,$H219&gt;0,OR(AUTOEVENTO&lt;&gt;"manual",$M219&lt;&gt;1)),
IF(Import.TipoArredondamento&lt;&gt;"TransfereGOV",
ROUND(OFFSET($P219,0,AB$13),15-13*ORÇAMENTO!$AF$7)/$H219*OFFSET(ORÇAMENTO!$X$15,ROW(AB219)-ROW(AB$15),0),
ROUND(ROUND(OFFSET($P219,0,AB$13),15-13*ORÇAMENTO!$AF$7)*OFFSET(ORÇAMENTO!$W$15,ROW(AB219)-ROW(AB$15),0),15-13*ORÇAMENTO!$AF$11)),0)</f>
        <v>0</v>
      </c>
      <c r="AC219" s="545">
        <f ca="1">IF(AND($D219="Serviço",AC$12&lt;&gt;0,$H219&gt;0,OR(AUTOEVENTO&lt;&gt;"manual",$M219&lt;&gt;1)),
IF(Import.TipoArredondamento&lt;&gt;"TransfereGOV",
ROUND(OFFSET($P219,0,AC$13),15-13*ORÇAMENTO!$AF$7)/$H219*OFFSET(ORÇAMENTO!$X$15,ROW(AC219)-ROW(AC$15),0),
ROUND(ROUND(OFFSET($P219,0,AC$13),15-13*ORÇAMENTO!$AF$7)*OFFSET(ORÇAMENTO!$W$15,ROW(AC219)-ROW(AC$15),0),15-13*ORÇAMENTO!$AF$11)),0)</f>
        <v>0</v>
      </c>
      <c r="AD219" s="545">
        <f ca="1">IF(AND($D219="Serviço",AD$12&lt;&gt;0,$H219&gt;0,OR(AUTOEVENTO&lt;&gt;"manual",$M219&lt;&gt;1)),
IF(Import.TipoArredondamento&lt;&gt;"TransfereGOV",
ROUND(OFFSET($P219,0,AD$13),15-13*ORÇAMENTO!$AF$7)/$H219*OFFSET(ORÇAMENTO!$X$15,ROW(AD219)-ROW(AD$15),0),
ROUND(ROUND(OFFSET($P219,0,AD$13),15-13*ORÇAMENTO!$AF$7)*OFFSET(ORÇAMENTO!$W$15,ROW(AD219)-ROW(AD$15),0),15-13*ORÇAMENTO!$AF$11)),0)</f>
        <v>0</v>
      </c>
      <c r="AE219" s="545">
        <f ca="1">IF(AND($D219="Serviço",AE$12&lt;&gt;0,$H219&gt;0,OR(AUTOEVENTO&lt;&gt;"manual",$M219&lt;&gt;1)),
IF(Import.TipoArredondamento&lt;&gt;"TransfereGOV",
ROUND(OFFSET($P219,0,AE$13),15-13*ORÇAMENTO!$AF$7)/$H219*OFFSET(ORÇAMENTO!$X$15,ROW(AE219)-ROW(AE$15),0),
ROUND(ROUND(OFFSET($P219,0,AE$13),15-13*ORÇAMENTO!$AF$7)*OFFSET(ORÇAMENTO!$W$15,ROW(AE219)-ROW(AE$15),0),15-13*ORÇAMENTO!$AF$11)),0)</f>
        <v>0</v>
      </c>
      <c r="AF219" s="545">
        <f ca="1">IF(AND($D219="Serviço",AF$12&lt;&gt;0,$H219&gt;0,OR(AUTOEVENTO&lt;&gt;"manual",$M219&lt;&gt;1)),
IF(Import.TipoArredondamento&lt;&gt;"TransfereGOV",
ROUND(OFFSET($P219,0,AF$13),15-13*ORÇAMENTO!$AF$7)/$H219*OFFSET(ORÇAMENTO!$X$15,ROW(AF219)-ROW(AF$15),0),
ROUND(ROUND(OFFSET($P219,0,AF$13),15-13*ORÇAMENTO!$AF$7)*OFFSET(ORÇAMENTO!$W$15,ROW(AF219)-ROW(AF$15),0),15-13*ORÇAMENTO!$AF$11)),0)</f>
        <v>0</v>
      </c>
      <c r="AG219" s="545">
        <f ca="1">IF(AND($D219="Serviço",AG$12&lt;&gt;0,$H219&gt;0,OR(AUTOEVENTO&lt;&gt;"manual",$M219&lt;&gt;1)),
IF(Import.TipoArredondamento&lt;&gt;"TransfereGOV",
ROUND(OFFSET($P219,0,AG$13),15-13*ORÇAMENTO!$AF$7)/$H219*OFFSET(ORÇAMENTO!$X$15,ROW(AG219)-ROW(AG$15),0),
ROUND(ROUND(OFFSET($P219,0,AG$13),15-13*ORÇAMENTO!$AF$7)*OFFSET(ORÇAMENTO!$W$15,ROW(AG219)-ROW(AG$15),0),15-13*ORÇAMENTO!$AF$11)),0)</f>
        <v>0</v>
      </c>
      <c r="AH219" s="545">
        <f ca="1">IF(AND($D219="Serviço",AH$12&lt;&gt;0,$H219&gt;0,OR(AUTOEVENTO&lt;&gt;"manual",$M219&lt;&gt;1)),
IF(Import.TipoArredondamento&lt;&gt;"TransfereGOV",
ROUND(OFFSET($P219,0,AH$13),15-13*ORÇAMENTO!$AF$7)/$H219*OFFSET(ORÇAMENTO!$X$15,ROW(AH219)-ROW(AH$15),0),
ROUND(ROUND(OFFSET($P219,0,AH$13),15-13*ORÇAMENTO!$AF$7)*OFFSET(ORÇAMENTO!$W$15,ROW(AH219)-ROW(AH$15),0),15-13*ORÇAMENTO!$AF$11)),0)</f>
        <v>0</v>
      </c>
      <c r="AI219" s="545">
        <f ca="1">IF(AND($D219="Serviço",AI$12&lt;&gt;0,$H219&gt;0,OR(AUTOEVENTO&lt;&gt;"manual",$M219&lt;&gt;1)),
IF(Import.TipoArredondamento&lt;&gt;"TransfereGOV",
ROUND(OFFSET($P219,0,AI$13),15-13*ORÇAMENTO!$AF$7)/$H219*OFFSET(ORÇAMENTO!$X$15,ROW(AI219)-ROW(AI$15),0),
ROUND(ROUND(OFFSET($P219,0,AI$13),15-13*ORÇAMENTO!$AF$7)*OFFSET(ORÇAMENTO!$W$15,ROW(AI219)-ROW(AI$15),0),15-13*ORÇAMENTO!$AF$11)),0)</f>
        <v>0</v>
      </c>
      <c r="AJ219" s="545">
        <f ca="1">IF(AND($D219="Serviço",AJ$12&lt;&gt;0,$H219&gt;0,OR(AUTOEVENTO&lt;&gt;"manual",$M219&lt;&gt;1)),
IF(Import.TipoArredondamento&lt;&gt;"TransfereGOV",
ROUND(OFFSET($P219,0,AJ$13),15-13*ORÇAMENTO!$AF$7)/$H219*OFFSET(ORÇAMENTO!$X$15,ROW(AJ219)-ROW(AJ$15),0),
ROUND(ROUND(OFFSET($P219,0,AJ$13),15-13*ORÇAMENTO!$AF$7)*OFFSET(ORÇAMENTO!$W$15,ROW(AJ219)-ROW(AJ$15),0),15-13*ORÇAMENTO!$AF$11)),0)</f>
        <v>0</v>
      </c>
      <c r="AK219" s="546">
        <f ca="1">IF(AND($D219="Serviço",AK$12&lt;&gt;0,$H219&gt;0,OR(AUTOEVENTO&lt;&gt;"manual",$M219&lt;&gt;1)),
IF(Import.TipoArredondamento&lt;&gt;"TransfereGOV",
ROUND(OFFSET($P219,0,AK$13),15-13*ORÇAMENTO!$AF$7)/$H219*OFFSET(ORÇAMENTO!$X$15,ROW(AK219)-ROW(AK$15),0),
ROUND(ROUND(OFFSET($P219,0,AK$13),15-13*ORÇAMENTO!$AF$7)*OFFSET(ORÇAMENTO!$W$15,ROW(AK219)-ROW(AK$15),0),15-13*ORÇAMENTO!$AF$11)),0)</f>
        <v>0</v>
      </c>
      <c r="AM219" s="181">
        <f ca="1">IF($D219&lt;&gt;"Serviço",0,IF(AND(AUTOEVENTO="Manual",$M219=1),0,IF(OFFSET(CRONOPLE!$F$14,$M219,AM$13)="",10^12,OFFSET(CRONOPLE!$F$14,$M219,AM$13))))</f>
        <v>1000000000000</v>
      </c>
      <c r="AN219" s="181">
        <f ca="1">IF($D219&lt;&gt;"Serviço",0,IF(AND(AUTOEVENTO="Manual",$M219=1),0,IF(OFFSET(CRONOPLE!$F$14,$M219,AN$13)="",10^12,OFFSET(CRONOPLE!$F$14,$M219,AN$13))))</f>
        <v>1000000000000</v>
      </c>
      <c r="AO219" s="181">
        <f ca="1">IF($D219&lt;&gt;"Serviço",0,IF(AND(AUTOEVENTO="Manual",$M219=1),0,IF(OFFSET(CRONOPLE!$F$14,$M219,AO$13)="",10^12,OFFSET(CRONOPLE!$F$14,$M219,AO$13))))</f>
        <v>1000000000000</v>
      </c>
      <c r="AP219" s="181">
        <f ca="1">IF($D219&lt;&gt;"Serviço",0,IF(AND(AUTOEVENTO="Manual",$M219=1),0,IF(OFFSET(CRONOPLE!$F$14,$M219,AP$13)="",10^12,OFFSET(CRONOPLE!$F$14,$M219,AP$13))))</f>
        <v>1000000000000</v>
      </c>
      <c r="AQ219" s="181">
        <f ca="1">IF($D219&lt;&gt;"Serviço",0,IF(AND(AUTOEVENTO="Manual",$M219=1),0,IF(OFFSET(CRONOPLE!$F$14,$M219,AQ$13)="",10^12,OFFSET(CRONOPLE!$F$14,$M219,AQ$13))))</f>
        <v>1000000000000</v>
      </c>
      <c r="AR219" s="181">
        <f ca="1">IF($D219&lt;&gt;"Serviço",0,IF(AND(AUTOEVENTO="Manual",$M219=1),0,IF(OFFSET(CRONOPLE!$F$14,$M219,AR$13)="",10^12,OFFSET(CRONOPLE!$F$14,$M219,AR$13))))</f>
        <v>1000000000000</v>
      </c>
      <c r="AS219" s="181">
        <f ca="1">IF($D219&lt;&gt;"Serviço",0,IF(AND(AUTOEVENTO="Manual",$M219=1),0,IF(OFFSET(CRONOPLE!$F$14,$M219,AS$13)="",10^12,OFFSET(CRONOPLE!$F$14,$M219,AS$13))))</f>
        <v>1000000000000</v>
      </c>
      <c r="AT219" s="181">
        <f ca="1">IF($D219&lt;&gt;"Serviço",0,IF(AND(AUTOEVENTO="Manual",$M219=1),0,IF(OFFSET(CRONOPLE!$F$14,$M219,AT$13)="",10^12,OFFSET(CRONOPLE!$F$14,$M219,AT$13))))</f>
        <v>1000000000000</v>
      </c>
      <c r="AU219" s="181">
        <f ca="1">IF($D219&lt;&gt;"Serviço",0,IF(AND(AUTOEVENTO="Manual",$M219=1),0,IF(OFFSET(CRONOPLE!$F$14,$M219,AU$13)="",10^12,OFFSET(CRONOPLE!$F$14,$M219,AU$13))))</f>
        <v>1000000000000</v>
      </c>
      <c r="AV219" s="181">
        <f ca="1">IF($D219&lt;&gt;"Serviço",0,IF(AND(AUTOEVENTO="Manual",$M219=1),0,IF(OFFSET(CRONOPLE!$F$14,$M219,AV$13)="",10^12,OFFSET(CRONOPLE!$F$14,$M219,AV$13))))</f>
        <v>1000000000000</v>
      </c>
      <c r="AX219" s="182">
        <f ca="1">IF($D219&lt;&gt;"Serviço",0,IF(OR(AND(AUTOEVENTO="Manual",$M219=1),$M219&gt;(ROW(PLE.lastrow)-ROW(PLE.firstrow))),0,IF(OFFSET(PLE!$G$14,$M219,AX$13)="",10^12,OFFSET(PLE!$G$14,$M219,AX$13))))</f>
        <v>1000000000000</v>
      </c>
      <c r="AY219" s="182">
        <f ca="1">IF($D219&lt;&gt;"Serviço",0,IF(OR(AND(AUTOEVENTO="Manual",$M219=1),$M219&gt;(ROW(PLE.lastrow)-ROW(PLE.firstrow))),0,IF(OFFSET(PLE!$G$14,$M219,AY$13)="",10^12,OFFSET(PLE!$G$14,$M219,AY$13))))</f>
        <v>1000000000000</v>
      </c>
      <c r="AZ219" s="182">
        <f ca="1">IF($D219&lt;&gt;"Serviço",0,IF(OR(AND(AUTOEVENTO="Manual",$M219=1),$M219&gt;(ROW(PLE.lastrow)-ROW(PLE.firstrow))),0,IF(OFFSET(PLE!$G$14,$M219,AZ$13)="",10^12,OFFSET(PLE!$G$14,$M219,AZ$13))))</f>
        <v>1000000000000</v>
      </c>
      <c r="BA219" s="182">
        <f ca="1">IF($D219&lt;&gt;"Serviço",0,IF(OR(AND(AUTOEVENTO="Manual",$M219=1),$M219&gt;(ROW(PLE.lastrow)-ROW(PLE.firstrow))),0,IF(OFFSET(PLE!$G$14,$M219,BA$13)="",10^12,OFFSET(PLE!$G$14,$M219,BA$13))))</f>
        <v>1000000000000</v>
      </c>
      <c r="BB219" s="182">
        <f ca="1">IF($D219&lt;&gt;"Serviço",0,IF(OR(AND(AUTOEVENTO="Manual",$M219=1),$M219&gt;(ROW(PLE.lastrow)-ROW(PLE.firstrow))),0,IF(OFFSET(PLE!$G$14,$M219,BB$13)="",10^12,OFFSET(PLE!$G$14,$M219,BB$13))))</f>
        <v>1000000000000</v>
      </c>
      <c r="BC219" s="182">
        <f ca="1">IF($D219&lt;&gt;"Serviço",0,IF(OR(AND(AUTOEVENTO="Manual",$M219=1),$M219&gt;(ROW(PLE.lastrow)-ROW(PLE.firstrow))),0,IF(OFFSET(PLE!$G$14,$M219,BC$13)="",10^12,OFFSET(PLE!$G$14,$M219,BC$13))))</f>
        <v>1000000000000</v>
      </c>
      <c r="BD219" s="182">
        <f ca="1">IF($D219&lt;&gt;"Serviço",0,IF(OR(AND(AUTOEVENTO="Manual",$M219=1),$M219&gt;(ROW(PLE.lastrow)-ROW(PLE.firstrow))),0,IF(OFFSET(PLE!$G$14,$M219,BD$13)="",10^12,OFFSET(PLE!$G$14,$M219,BD$13))))</f>
        <v>1000000000000</v>
      </c>
      <c r="BE219" s="182">
        <f ca="1">IF($D219&lt;&gt;"Serviço",0,IF(OR(AND(AUTOEVENTO="Manual",$M219=1),$M219&gt;(ROW(PLE.lastrow)-ROW(PLE.firstrow))),0,IF(OFFSET(PLE!$G$14,$M219,BE$13)="",10^12,OFFSET(PLE!$G$14,$M219,BE$13))))</f>
        <v>1000000000000</v>
      </c>
      <c r="BF219" s="182">
        <f ca="1">IF($D219&lt;&gt;"Serviço",0,IF(OR(AND(AUTOEVENTO="Manual",$M219=1),$M219&gt;(ROW(PLE.lastrow)-ROW(PLE.firstrow))),0,IF(OFFSET(PLE!$G$14,$M219,BF$13)="",10^12,OFFSET(PLE!$G$14,$M219,BF$13))))</f>
        <v>1000000000000</v>
      </c>
      <c r="BG219" s="182">
        <f ca="1">IF($D219&lt;&gt;"Serviço",0,IF(OR(AND(AUTOEVENTO="Manual",$M219=1),$M219&gt;(ROW(PLE.lastrow)-ROW(PLE.firstrow))),0,IF(OFFSET(PLE!$G$14,$M219,BG$13)="",10^12,OFFSET(PLE!$G$14,$M219,BG$13))))</f>
        <v>1000000000000</v>
      </c>
    </row>
    <row r="220" spans="1:59" ht="25.5" x14ac:dyDescent="0.2">
      <c r="A220" s="7" t="str">
        <f t="shared" ca="1" si="11"/>
        <v>191</v>
      </c>
      <c r="B220" s="7" t="str">
        <f ca="1">OFFSET(ORÇAMENTO!C$15,ROW(B220)-ROW(B$15),0)</f>
        <v>S</v>
      </c>
      <c r="C220" s="7" t="str">
        <f ca="1">OFFSET(ORÇAMENTO!L$15,ROW(C220)-ROW(C$15),0)</f>
        <v/>
      </c>
      <c r="D220" s="118" t="str">
        <f ca="1">OFFSET(ORÇAMENTO!N$15,ROW(D220)-ROW(D$15),0)</f>
        <v>Serviço</v>
      </c>
      <c r="E220" s="119" t="str">
        <f ca="1">OFFSET(ORÇAMENTO!O$15,ROW(E220)-ROW(E$15),0)</f>
        <v>-</v>
      </c>
      <c r="F220" s="172" t="str">
        <f ca="1">OFFSET(ORÇAMENTO!R$15,ROW(F220)-ROW(F$15),0)</f>
        <v>(abra o arquivo 'Referência 02-2025.xlsm)</v>
      </c>
      <c r="G220" s="173" t="str">
        <f ca="1">IF($D220&lt;&gt;"Serviço","",OFFSET(ORÇAMENTO!S$15,ROW(G220)-ROW(G$15),0))</f>
        <v>-</v>
      </c>
      <c r="H220" s="124">
        <f ca="1">IF($D220&lt;&gt;"Serviço",0,IF(ACOMPANHAMENTO="BM",ROUND(OFFSET(ORÇAMENTO!AJ$15,ROW(H220)-ROW(H$15),0),15-13*ORÇAMENTO!$AF$7),SUMPRODUCT(($Q$12:$AA$12&lt;&gt;"")*ROUND($Q220:$AA220,15-13*ORÇAMENTO!$AF$7))))</f>
        <v>32.9</v>
      </c>
      <c r="I220" s="561" t="s">
        <v>890</v>
      </c>
      <c r="K220" s="174"/>
      <c r="L220" s="175" t="s">
        <v>255</v>
      </c>
      <c r="M220" s="176">
        <f ca="1">IF($D220&lt;&gt;"Serviço","",IF(AUTOEVENTO="manual",$A220,IF(ISERROR(MATCH($A220,$A$15:OFFSET($A220,-1,0),0)),MAX($M$15:OFFSET(M220,-1,0))+1,INDEX($M$15:OFFSET(M220,-1,0),MATCH($A220,$A$15:OFFSET($A220,-1,0),0)))))</f>
        <v>11</v>
      </c>
      <c r="N220" s="177" t="str">
        <f ca="1">IF($D220&lt;&gt;"Serviço","",IF(AUTOEVENTO="Manual",IF($A220=0,"&lt;-- defina o número do agrupador",OFFSET(EVENTOS!$D$14,$A220,0)),OFFSET($F$15,$A220,0)))</f>
        <v>SISTEMAS DE PISOS</v>
      </c>
      <c r="O220" s="178"/>
      <c r="Q220" s="178"/>
      <c r="R220" s="179"/>
      <c r="S220" s="179"/>
      <c r="T220" s="179"/>
      <c r="U220" s="179"/>
      <c r="V220" s="179"/>
      <c r="W220" s="179"/>
      <c r="X220" s="179"/>
      <c r="Y220" s="179"/>
      <c r="Z220" s="180"/>
      <c r="AB220" s="544">
        <f ca="1">IF(AND($D220="Serviço",AB$12&lt;&gt;0,$H220&gt;0,OR(AUTOEVENTO&lt;&gt;"manual",$M220&lt;&gt;1)),
IF(Import.TipoArredondamento&lt;&gt;"TransfereGOV",
ROUND(OFFSET($P220,0,AB$13),15-13*ORÇAMENTO!$AF$7)/$H220*OFFSET(ORÇAMENTO!$X$15,ROW(AB220)-ROW(AB$15),0),
ROUND(ROUND(OFFSET($P220,0,AB$13),15-13*ORÇAMENTO!$AF$7)*OFFSET(ORÇAMENTO!$W$15,ROW(AB220)-ROW(AB$15),0),15-13*ORÇAMENTO!$AF$11)),0)</f>
        <v>0</v>
      </c>
      <c r="AC220" s="545">
        <f ca="1">IF(AND($D220="Serviço",AC$12&lt;&gt;0,$H220&gt;0,OR(AUTOEVENTO&lt;&gt;"manual",$M220&lt;&gt;1)),
IF(Import.TipoArredondamento&lt;&gt;"TransfereGOV",
ROUND(OFFSET($P220,0,AC$13),15-13*ORÇAMENTO!$AF$7)/$H220*OFFSET(ORÇAMENTO!$X$15,ROW(AC220)-ROW(AC$15),0),
ROUND(ROUND(OFFSET($P220,0,AC$13),15-13*ORÇAMENTO!$AF$7)*OFFSET(ORÇAMENTO!$W$15,ROW(AC220)-ROW(AC$15),0),15-13*ORÇAMENTO!$AF$11)),0)</f>
        <v>0</v>
      </c>
      <c r="AD220" s="545">
        <f ca="1">IF(AND($D220="Serviço",AD$12&lt;&gt;0,$H220&gt;0,OR(AUTOEVENTO&lt;&gt;"manual",$M220&lt;&gt;1)),
IF(Import.TipoArredondamento&lt;&gt;"TransfereGOV",
ROUND(OFFSET($P220,0,AD$13),15-13*ORÇAMENTO!$AF$7)/$H220*OFFSET(ORÇAMENTO!$X$15,ROW(AD220)-ROW(AD$15),0),
ROUND(ROUND(OFFSET($P220,0,AD$13),15-13*ORÇAMENTO!$AF$7)*OFFSET(ORÇAMENTO!$W$15,ROW(AD220)-ROW(AD$15),0),15-13*ORÇAMENTO!$AF$11)),0)</f>
        <v>0</v>
      </c>
      <c r="AE220" s="545">
        <f ca="1">IF(AND($D220="Serviço",AE$12&lt;&gt;0,$H220&gt;0,OR(AUTOEVENTO&lt;&gt;"manual",$M220&lt;&gt;1)),
IF(Import.TipoArredondamento&lt;&gt;"TransfereGOV",
ROUND(OFFSET($P220,0,AE$13),15-13*ORÇAMENTO!$AF$7)/$H220*OFFSET(ORÇAMENTO!$X$15,ROW(AE220)-ROW(AE$15),0),
ROUND(ROUND(OFFSET($P220,0,AE$13),15-13*ORÇAMENTO!$AF$7)*OFFSET(ORÇAMENTO!$W$15,ROW(AE220)-ROW(AE$15),0),15-13*ORÇAMENTO!$AF$11)),0)</f>
        <v>0</v>
      </c>
      <c r="AF220" s="545">
        <f ca="1">IF(AND($D220="Serviço",AF$12&lt;&gt;0,$H220&gt;0,OR(AUTOEVENTO&lt;&gt;"manual",$M220&lt;&gt;1)),
IF(Import.TipoArredondamento&lt;&gt;"TransfereGOV",
ROUND(OFFSET($P220,0,AF$13),15-13*ORÇAMENTO!$AF$7)/$H220*OFFSET(ORÇAMENTO!$X$15,ROW(AF220)-ROW(AF$15),0),
ROUND(ROUND(OFFSET($P220,0,AF$13),15-13*ORÇAMENTO!$AF$7)*OFFSET(ORÇAMENTO!$W$15,ROW(AF220)-ROW(AF$15),0),15-13*ORÇAMENTO!$AF$11)),0)</f>
        <v>0</v>
      </c>
      <c r="AG220" s="545">
        <f ca="1">IF(AND($D220="Serviço",AG$12&lt;&gt;0,$H220&gt;0,OR(AUTOEVENTO&lt;&gt;"manual",$M220&lt;&gt;1)),
IF(Import.TipoArredondamento&lt;&gt;"TransfereGOV",
ROUND(OFFSET($P220,0,AG$13),15-13*ORÇAMENTO!$AF$7)/$H220*OFFSET(ORÇAMENTO!$X$15,ROW(AG220)-ROW(AG$15),0),
ROUND(ROUND(OFFSET($P220,0,AG$13),15-13*ORÇAMENTO!$AF$7)*OFFSET(ORÇAMENTO!$W$15,ROW(AG220)-ROW(AG$15),0),15-13*ORÇAMENTO!$AF$11)),0)</f>
        <v>0</v>
      </c>
      <c r="AH220" s="545">
        <f ca="1">IF(AND($D220="Serviço",AH$12&lt;&gt;0,$H220&gt;0,OR(AUTOEVENTO&lt;&gt;"manual",$M220&lt;&gt;1)),
IF(Import.TipoArredondamento&lt;&gt;"TransfereGOV",
ROUND(OFFSET($P220,0,AH$13),15-13*ORÇAMENTO!$AF$7)/$H220*OFFSET(ORÇAMENTO!$X$15,ROW(AH220)-ROW(AH$15),0),
ROUND(ROUND(OFFSET($P220,0,AH$13),15-13*ORÇAMENTO!$AF$7)*OFFSET(ORÇAMENTO!$W$15,ROW(AH220)-ROW(AH$15),0),15-13*ORÇAMENTO!$AF$11)),0)</f>
        <v>0</v>
      </c>
      <c r="AI220" s="545">
        <f ca="1">IF(AND($D220="Serviço",AI$12&lt;&gt;0,$H220&gt;0,OR(AUTOEVENTO&lt;&gt;"manual",$M220&lt;&gt;1)),
IF(Import.TipoArredondamento&lt;&gt;"TransfereGOV",
ROUND(OFFSET($P220,0,AI$13),15-13*ORÇAMENTO!$AF$7)/$H220*OFFSET(ORÇAMENTO!$X$15,ROW(AI220)-ROW(AI$15),0),
ROUND(ROUND(OFFSET($P220,0,AI$13),15-13*ORÇAMENTO!$AF$7)*OFFSET(ORÇAMENTO!$W$15,ROW(AI220)-ROW(AI$15),0),15-13*ORÇAMENTO!$AF$11)),0)</f>
        <v>0</v>
      </c>
      <c r="AJ220" s="545">
        <f ca="1">IF(AND($D220="Serviço",AJ$12&lt;&gt;0,$H220&gt;0,OR(AUTOEVENTO&lt;&gt;"manual",$M220&lt;&gt;1)),
IF(Import.TipoArredondamento&lt;&gt;"TransfereGOV",
ROUND(OFFSET($P220,0,AJ$13),15-13*ORÇAMENTO!$AF$7)/$H220*OFFSET(ORÇAMENTO!$X$15,ROW(AJ220)-ROW(AJ$15),0),
ROUND(ROUND(OFFSET($P220,0,AJ$13),15-13*ORÇAMENTO!$AF$7)*OFFSET(ORÇAMENTO!$W$15,ROW(AJ220)-ROW(AJ$15),0),15-13*ORÇAMENTO!$AF$11)),0)</f>
        <v>0</v>
      </c>
      <c r="AK220" s="546">
        <f ca="1">IF(AND($D220="Serviço",AK$12&lt;&gt;0,$H220&gt;0,OR(AUTOEVENTO&lt;&gt;"manual",$M220&lt;&gt;1)),
IF(Import.TipoArredondamento&lt;&gt;"TransfereGOV",
ROUND(OFFSET($P220,0,AK$13),15-13*ORÇAMENTO!$AF$7)/$H220*OFFSET(ORÇAMENTO!$X$15,ROW(AK220)-ROW(AK$15),0),
ROUND(ROUND(OFFSET($P220,0,AK$13),15-13*ORÇAMENTO!$AF$7)*OFFSET(ORÇAMENTO!$W$15,ROW(AK220)-ROW(AK$15),0),15-13*ORÇAMENTO!$AF$11)),0)</f>
        <v>0</v>
      </c>
      <c r="AM220" s="181">
        <f ca="1">IF($D220&lt;&gt;"Serviço",0,IF(AND(AUTOEVENTO="Manual",$M220=1),0,IF(OFFSET(CRONOPLE!$F$14,$M220,AM$13)="",10^12,OFFSET(CRONOPLE!$F$14,$M220,AM$13))))</f>
        <v>1000000000000</v>
      </c>
      <c r="AN220" s="181">
        <f ca="1">IF($D220&lt;&gt;"Serviço",0,IF(AND(AUTOEVENTO="Manual",$M220=1),0,IF(OFFSET(CRONOPLE!$F$14,$M220,AN$13)="",10^12,OFFSET(CRONOPLE!$F$14,$M220,AN$13))))</f>
        <v>1000000000000</v>
      </c>
      <c r="AO220" s="181">
        <f ca="1">IF($D220&lt;&gt;"Serviço",0,IF(AND(AUTOEVENTO="Manual",$M220=1),0,IF(OFFSET(CRONOPLE!$F$14,$M220,AO$13)="",10^12,OFFSET(CRONOPLE!$F$14,$M220,AO$13))))</f>
        <v>1000000000000</v>
      </c>
      <c r="AP220" s="181">
        <f ca="1">IF($D220&lt;&gt;"Serviço",0,IF(AND(AUTOEVENTO="Manual",$M220=1),0,IF(OFFSET(CRONOPLE!$F$14,$M220,AP$13)="",10^12,OFFSET(CRONOPLE!$F$14,$M220,AP$13))))</f>
        <v>1000000000000</v>
      </c>
      <c r="AQ220" s="181">
        <f ca="1">IF($D220&lt;&gt;"Serviço",0,IF(AND(AUTOEVENTO="Manual",$M220=1),0,IF(OFFSET(CRONOPLE!$F$14,$M220,AQ$13)="",10^12,OFFSET(CRONOPLE!$F$14,$M220,AQ$13))))</f>
        <v>1000000000000</v>
      </c>
      <c r="AR220" s="181">
        <f ca="1">IF($D220&lt;&gt;"Serviço",0,IF(AND(AUTOEVENTO="Manual",$M220=1),0,IF(OFFSET(CRONOPLE!$F$14,$M220,AR$13)="",10^12,OFFSET(CRONOPLE!$F$14,$M220,AR$13))))</f>
        <v>1000000000000</v>
      </c>
      <c r="AS220" s="181">
        <f ca="1">IF($D220&lt;&gt;"Serviço",0,IF(AND(AUTOEVENTO="Manual",$M220=1),0,IF(OFFSET(CRONOPLE!$F$14,$M220,AS$13)="",10^12,OFFSET(CRONOPLE!$F$14,$M220,AS$13))))</f>
        <v>1000000000000</v>
      </c>
      <c r="AT220" s="181">
        <f ca="1">IF($D220&lt;&gt;"Serviço",0,IF(AND(AUTOEVENTO="Manual",$M220=1),0,IF(OFFSET(CRONOPLE!$F$14,$M220,AT$13)="",10^12,OFFSET(CRONOPLE!$F$14,$M220,AT$13))))</f>
        <v>1000000000000</v>
      </c>
      <c r="AU220" s="181">
        <f ca="1">IF($D220&lt;&gt;"Serviço",0,IF(AND(AUTOEVENTO="Manual",$M220=1),0,IF(OFFSET(CRONOPLE!$F$14,$M220,AU$13)="",10^12,OFFSET(CRONOPLE!$F$14,$M220,AU$13))))</f>
        <v>1000000000000</v>
      </c>
      <c r="AV220" s="181">
        <f ca="1">IF($D220&lt;&gt;"Serviço",0,IF(AND(AUTOEVENTO="Manual",$M220=1),0,IF(OFFSET(CRONOPLE!$F$14,$M220,AV$13)="",10^12,OFFSET(CRONOPLE!$F$14,$M220,AV$13))))</f>
        <v>1000000000000</v>
      </c>
      <c r="AX220" s="182">
        <f ca="1">IF($D220&lt;&gt;"Serviço",0,IF(OR(AND(AUTOEVENTO="Manual",$M220=1),$M220&gt;(ROW(PLE.lastrow)-ROW(PLE.firstrow))),0,IF(OFFSET(PLE!$G$14,$M220,AX$13)="",10^12,OFFSET(PLE!$G$14,$M220,AX$13))))</f>
        <v>1000000000000</v>
      </c>
      <c r="AY220" s="182">
        <f ca="1">IF($D220&lt;&gt;"Serviço",0,IF(OR(AND(AUTOEVENTO="Manual",$M220=1),$M220&gt;(ROW(PLE.lastrow)-ROW(PLE.firstrow))),0,IF(OFFSET(PLE!$G$14,$M220,AY$13)="",10^12,OFFSET(PLE!$G$14,$M220,AY$13))))</f>
        <v>1000000000000</v>
      </c>
      <c r="AZ220" s="182">
        <f ca="1">IF($D220&lt;&gt;"Serviço",0,IF(OR(AND(AUTOEVENTO="Manual",$M220=1),$M220&gt;(ROW(PLE.lastrow)-ROW(PLE.firstrow))),0,IF(OFFSET(PLE!$G$14,$M220,AZ$13)="",10^12,OFFSET(PLE!$G$14,$M220,AZ$13))))</f>
        <v>1000000000000</v>
      </c>
      <c r="BA220" s="182">
        <f ca="1">IF($D220&lt;&gt;"Serviço",0,IF(OR(AND(AUTOEVENTO="Manual",$M220=1),$M220&gt;(ROW(PLE.lastrow)-ROW(PLE.firstrow))),0,IF(OFFSET(PLE!$G$14,$M220,BA$13)="",10^12,OFFSET(PLE!$G$14,$M220,BA$13))))</f>
        <v>1000000000000</v>
      </c>
      <c r="BB220" s="182">
        <f ca="1">IF($D220&lt;&gt;"Serviço",0,IF(OR(AND(AUTOEVENTO="Manual",$M220=1),$M220&gt;(ROW(PLE.lastrow)-ROW(PLE.firstrow))),0,IF(OFFSET(PLE!$G$14,$M220,BB$13)="",10^12,OFFSET(PLE!$G$14,$M220,BB$13))))</f>
        <v>1000000000000</v>
      </c>
      <c r="BC220" s="182">
        <f ca="1">IF($D220&lt;&gt;"Serviço",0,IF(OR(AND(AUTOEVENTO="Manual",$M220=1),$M220&gt;(ROW(PLE.lastrow)-ROW(PLE.firstrow))),0,IF(OFFSET(PLE!$G$14,$M220,BC$13)="",10^12,OFFSET(PLE!$G$14,$M220,BC$13))))</f>
        <v>1000000000000</v>
      </c>
      <c r="BD220" s="182">
        <f ca="1">IF($D220&lt;&gt;"Serviço",0,IF(OR(AND(AUTOEVENTO="Manual",$M220=1),$M220&gt;(ROW(PLE.lastrow)-ROW(PLE.firstrow))),0,IF(OFFSET(PLE!$G$14,$M220,BD$13)="",10^12,OFFSET(PLE!$G$14,$M220,BD$13))))</f>
        <v>1000000000000</v>
      </c>
      <c r="BE220" s="182">
        <f ca="1">IF($D220&lt;&gt;"Serviço",0,IF(OR(AND(AUTOEVENTO="Manual",$M220=1),$M220&gt;(ROW(PLE.lastrow)-ROW(PLE.firstrow))),0,IF(OFFSET(PLE!$G$14,$M220,BE$13)="",10^12,OFFSET(PLE!$G$14,$M220,BE$13))))</f>
        <v>1000000000000</v>
      </c>
      <c r="BF220" s="182">
        <f ca="1">IF($D220&lt;&gt;"Serviço",0,IF(OR(AND(AUTOEVENTO="Manual",$M220=1),$M220&gt;(ROW(PLE.lastrow)-ROW(PLE.firstrow))),0,IF(OFFSET(PLE!$G$14,$M220,BF$13)="",10^12,OFFSET(PLE!$G$14,$M220,BF$13))))</f>
        <v>1000000000000</v>
      </c>
      <c r="BG220" s="182">
        <f ca="1">IF($D220&lt;&gt;"Serviço",0,IF(OR(AND(AUTOEVENTO="Manual",$M220=1),$M220&gt;(ROW(PLE.lastrow)-ROW(PLE.firstrow))),0,IF(OFFSET(PLE!$G$14,$M220,BG$13)="",10^12,OFFSET(PLE!$G$14,$M220,BG$13))))</f>
        <v>1000000000000</v>
      </c>
    </row>
    <row r="221" spans="1:59" ht="25.5" x14ac:dyDescent="0.2">
      <c r="A221" s="7" t="str">
        <f t="shared" ca="1" si="11"/>
        <v>191</v>
      </c>
      <c r="B221" s="7" t="str">
        <f ca="1">OFFSET(ORÇAMENTO!C$15,ROW(B221)-ROW(B$15),0)</f>
        <v>S</v>
      </c>
      <c r="C221" s="7" t="str">
        <f ca="1">OFFSET(ORÇAMENTO!L$15,ROW(C221)-ROW(C$15),0)</f>
        <v/>
      </c>
      <c r="D221" s="118" t="str">
        <f ca="1">OFFSET(ORÇAMENTO!N$15,ROW(D221)-ROW(D$15),0)</f>
        <v>Serviço</v>
      </c>
      <c r="E221" s="119" t="str">
        <f ca="1">OFFSET(ORÇAMENTO!O$15,ROW(E221)-ROW(E$15),0)</f>
        <v>-</v>
      </c>
      <c r="F221" s="172" t="str">
        <f ca="1">OFFSET(ORÇAMENTO!R$15,ROW(F221)-ROW(F$15),0)</f>
        <v>(abra o arquivo 'Referência 02-2025.xlsm)</v>
      </c>
      <c r="G221" s="173" t="str">
        <f ca="1">IF($D221&lt;&gt;"Serviço","",OFFSET(ORÇAMENTO!S$15,ROW(G221)-ROW(G$15),0))</f>
        <v>-</v>
      </c>
      <c r="H221" s="124">
        <f ca="1">IF($D221&lt;&gt;"Serviço",0,IF(ACOMPANHAMENTO="BM",ROUND(OFFSET(ORÇAMENTO!AJ$15,ROW(H221)-ROW(H$15),0),15-13*ORÇAMENTO!$AF$7),SUMPRODUCT(($Q$12:$AA$12&lt;&gt;"")*ROUND($Q221:$AA221,15-13*ORÇAMENTO!$AF$7))))</f>
        <v>115.08</v>
      </c>
      <c r="I221" s="561" t="s">
        <v>890</v>
      </c>
      <c r="K221" s="174"/>
      <c r="L221" s="175" t="s">
        <v>255</v>
      </c>
      <c r="M221" s="176">
        <f ca="1">IF($D221&lt;&gt;"Serviço","",IF(AUTOEVENTO="manual",$A221,IF(ISERROR(MATCH($A221,$A$15:OFFSET($A221,-1,0),0)),MAX($M$15:OFFSET(M221,-1,0))+1,INDEX($M$15:OFFSET(M221,-1,0),MATCH($A221,$A$15:OFFSET($A221,-1,0),0)))))</f>
        <v>11</v>
      </c>
      <c r="N221" s="177" t="str">
        <f ca="1">IF($D221&lt;&gt;"Serviço","",IF(AUTOEVENTO="Manual",IF($A221=0,"&lt;-- defina o número do agrupador",OFFSET(EVENTOS!$D$14,$A221,0)),OFFSET($F$15,$A221,0)))</f>
        <v>SISTEMAS DE PISOS</v>
      </c>
      <c r="O221" s="178"/>
      <c r="Q221" s="178"/>
      <c r="R221" s="179"/>
      <c r="S221" s="179"/>
      <c r="T221" s="179"/>
      <c r="U221" s="179"/>
      <c r="V221" s="179"/>
      <c r="W221" s="179"/>
      <c r="X221" s="179"/>
      <c r="Y221" s="179"/>
      <c r="Z221" s="180"/>
      <c r="AB221" s="544">
        <f ca="1">IF(AND($D221="Serviço",AB$12&lt;&gt;0,$H221&gt;0,OR(AUTOEVENTO&lt;&gt;"manual",$M221&lt;&gt;1)),
IF(Import.TipoArredondamento&lt;&gt;"TransfereGOV",
ROUND(OFFSET($P221,0,AB$13),15-13*ORÇAMENTO!$AF$7)/$H221*OFFSET(ORÇAMENTO!$X$15,ROW(AB221)-ROW(AB$15),0),
ROUND(ROUND(OFFSET($P221,0,AB$13),15-13*ORÇAMENTO!$AF$7)*OFFSET(ORÇAMENTO!$W$15,ROW(AB221)-ROW(AB$15),0),15-13*ORÇAMENTO!$AF$11)),0)</f>
        <v>0</v>
      </c>
      <c r="AC221" s="545">
        <f ca="1">IF(AND($D221="Serviço",AC$12&lt;&gt;0,$H221&gt;0,OR(AUTOEVENTO&lt;&gt;"manual",$M221&lt;&gt;1)),
IF(Import.TipoArredondamento&lt;&gt;"TransfereGOV",
ROUND(OFFSET($P221,0,AC$13),15-13*ORÇAMENTO!$AF$7)/$H221*OFFSET(ORÇAMENTO!$X$15,ROW(AC221)-ROW(AC$15),0),
ROUND(ROUND(OFFSET($P221,0,AC$13),15-13*ORÇAMENTO!$AF$7)*OFFSET(ORÇAMENTO!$W$15,ROW(AC221)-ROW(AC$15),0),15-13*ORÇAMENTO!$AF$11)),0)</f>
        <v>0</v>
      </c>
      <c r="AD221" s="545">
        <f ca="1">IF(AND($D221="Serviço",AD$12&lt;&gt;0,$H221&gt;0,OR(AUTOEVENTO&lt;&gt;"manual",$M221&lt;&gt;1)),
IF(Import.TipoArredondamento&lt;&gt;"TransfereGOV",
ROUND(OFFSET($P221,0,AD$13),15-13*ORÇAMENTO!$AF$7)/$H221*OFFSET(ORÇAMENTO!$X$15,ROW(AD221)-ROW(AD$15),0),
ROUND(ROUND(OFFSET($P221,0,AD$13),15-13*ORÇAMENTO!$AF$7)*OFFSET(ORÇAMENTO!$W$15,ROW(AD221)-ROW(AD$15),0),15-13*ORÇAMENTO!$AF$11)),0)</f>
        <v>0</v>
      </c>
      <c r="AE221" s="545">
        <f ca="1">IF(AND($D221="Serviço",AE$12&lt;&gt;0,$H221&gt;0,OR(AUTOEVENTO&lt;&gt;"manual",$M221&lt;&gt;1)),
IF(Import.TipoArredondamento&lt;&gt;"TransfereGOV",
ROUND(OFFSET($P221,0,AE$13),15-13*ORÇAMENTO!$AF$7)/$H221*OFFSET(ORÇAMENTO!$X$15,ROW(AE221)-ROW(AE$15),0),
ROUND(ROUND(OFFSET($P221,0,AE$13),15-13*ORÇAMENTO!$AF$7)*OFFSET(ORÇAMENTO!$W$15,ROW(AE221)-ROW(AE$15),0),15-13*ORÇAMENTO!$AF$11)),0)</f>
        <v>0</v>
      </c>
      <c r="AF221" s="545">
        <f ca="1">IF(AND($D221="Serviço",AF$12&lt;&gt;0,$H221&gt;0,OR(AUTOEVENTO&lt;&gt;"manual",$M221&lt;&gt;1)),
IF(Import.TipoArredondamento&lt;&gt;"TransfereGOV",
ROUND(OFFSET($P221,0,AF$13),15-13*ORÇAMENTO!$AF$7)/$H221*OFFSET(ORÇAMENTO!$X$15,ROW(AF221)-ROW(AF$15),0),
ROUND(ROUND(OFFSET($P221,0,AF$13),15-13*ORÇAMENTO!$AF$7)*OFFSET(ORÇAMENTO!$W$15,ROW(AF221)-ROW(AF$15),0),15-13*ORÇAMENTO!$AF$11)),0)</f>
        <v>0</v>
      </c>
      <c r="AG221" s="545">
        <f ca="1">IF(AND($D221="Serviço",AG$12&lt;&gt;0,$H221&gt;0,OR(AUTOEVENTO&lt;&gt;"manual",$M221&lt;&gt;1)),
IF(Import.TipoArredondamento&lt;&gt;"TransfereGOV",
ROUND(OFFSET($P221,0,AG$13),15-13*ORÇAMENTO!$AF$7)/$H221*OFFSET(ORÇAMENTO!$X$15,ROW(AG221)-ROW(AG$15),0),
ROUND(ROUND(OFFSET($P221,0,AG$13),15-13*ORÇAMENTO!$AF$7)*OFFSET(ORÇAMENTO!$W$15,ROW(AG221)-ROW(AG$15),0),15-13*ORÇAMENTO!$AF$11)),0)</f>
        <v>0</v>
      </c>
      <c r="AH221" s="545">
        <f ca="1">IF(AND($D221="Serviço",AH$12&lt;&gt;0,$H221&gt;0,OR(AUTOEVENTO&lt;&gt;"manual",$M221&lt;&gt;1)),
IF(Import.TipoArredondamento&lt;&gt;"TransfereGOV",
ROUND(OFFSET($P221,0,AH$13),15-13*ORÇAMENTO!$AF$7)/$H221*OFFSET(ORÇAMENTO!$X$15,ROW(AH221)-ROW(AH$15),0),
ROUND(ROUND(OFFSET($P221,0,AH$13),15-13*ORÇAMENTO!$AF$7)*OFFSET(ORÇAMENTO!$W$15,ROW(AH221)-ROW(AH$15),0),15-13*ORÇAMENTO!$AF$11)),0)</f>
        <v>0</v>
      </c>
      <c r="AI221" s="545">
        <f ca="1">IF(AND($D221="Serviço",AI$12&lt;&gt;0,$H221&gt;0,OR(AUTOEVENTO&lt;&gt;"manual",$M221&lt;&gt;1)),
IF(Import.TipoArredondamento&lt;&gt;"TransfereGOV",
ROUND(OFFSET($P221,0,AI$13),15-13*ORÇAMENTO!$AF$7)/$H221*OFFSET(ORÇAMENTO!$X$15,ROW(AI221)-ROW(AI$15),0),
ROUND(ROUND(OFFSET($P221,0,AI$13),15-13*ORÇAMENTO!$AF$7)*OFFSET(ORÇAMENTO!$W$15,ROW(AI221)-ROW(AI$15),0),15-13*ORÇAMENTO!$AF$11)),0)</f>
        <v>0</v>
      </c>
      <c r="AJ221" s="545">
        <f ca="1">IF(AND($D221="Serviço",AJ$12&lt;&gt;0,$H221&gt;0,OR(AUTOEVENTO&lt;&gt;"manual",$M221&lt;&gt;1)),
IF(Import.TipoArredondamento&lt;&gt;"TransfereGOV",
ROUND(OFFSET($P221,0,AJ$13),15-13*ORÇAMENTO!$AF$7)/$H221*OFFSET(ORÇAMENTO!$X$15,ROW(AJ221)-ROW(AJ$15),0),
ROUND(ROUND(OFFSET($P221,0,AJ$13),15-13*ORÇAMENTO!$AF$7)*OFFSET(ORÇAMENTO!$W$15,ROW(AJ221)-ROW(AJ$15),0),15-13*ORÇAMENTO!$AF$11)),0)</f>
        <v>0</v>
      </c>
      <c r="AK221" s="546">
        <f ca="1">IF(AND($D221="Serviço",AK$12&lt;&gt;0,$H221&gt;0,OR(AUTOEVENTO&lt;&gt;"manual",$M221&lt;&gt;1)),
IF(Import.TipoArredondamento&lt;&gt;"TransfereGOV",
ROUND(OFFSET($P221,0,AK$13),15-13*ORÇAMENTO!$AF$7)/$H221*OFFSET(ORÇAMENTO!$X$15,ROW(AK221)-ROW(AK$15),0),
ROUND(ROUND(OFFSET($P221,0,AK$13),15-13*ORÇAMENTO!$AF$7)*OFFSET(ORÇAMENTO!$W$15,ROW(AK221)-ROW(AK$15),0),15-13*ORÇAMENTO!$AF$11)),0)</f>
        <v>0</v>
      </c>
      <c r="AM221" s="181">
        <f ca="1">IF($D221&lt;&gt;"Serviço",0,IF(AND(AUTOEVENTO="Manual",$M221=1),0,IF(OFFSET(CRONOPLE!$F$14,$M221,AM$13)="",10^12,OFFSET(CRONOPLE!$F$14,$M221,AM$13))))</f>
        <v>1000000000000</v>
      </c>
      <c r="AN221" s="181">
        <f ca="1">IF($D221&lt;&gt;"Serviço",0,IF(AND(AUTOEVENTO="Manual",$M221=1),0,IF(OFFSET(CRONOPLE!$F$14,$M221,AN$13)="",10^12,OFFSET(CRONOPLE!$F$14,$M221,AN$13))))</f>
        <v>1000000000000</v>
      </c>
      <c r="AO221" s="181">
        <f ca="1">IF($D221&lt;&gt;"Serviço",0,IF(AND(AUTOEVENTO="Manual",$M221=1),0,IF(OFFSET(CRONOPLE!$F$14,$M221,AO$13)="",10^12,OFFSET(CRONOPLE!$F$14,$M221,AO$13))))</f>
        <v>1000000000000</v>
      </c>
      <c r="AP221" s="181">
        <f ca="1">IF($D221&lt;&gt;"Serviço",0,IF(AND(AUTOEVENTO="Manual",$M221=1),0,IF(OFFSET(CRONOPLE!$F$14,$M221,AP$13)="",10^12,OFFSET(CRONOPLE!$F$14,$M221,AP$13))))</f>
        <v>1000000000000</v>
      </c>
      <c r="AQ221" s="181">
        <f ca="1">IF($D221&lt;&gt;"Serviço",0,IF(AND(AUTOEVENTO="Manual",$M221=1),0,IF(OFFSET(CRONOPLE!$F$14,$M221,AQ$13)="",10^12,OFFSET(CRONOPLE!$F$14,$M221,AQ$13))))</f>
        <v>1000000000000</v>
      </c>
      <c r="AR221" s="181">
        <f ca="1">IF($D221&lt;&gt;"Serviço",0,IF(AND(AUTOEVENTO="Manual",$M221=1),0,IF(OFFSET(CRONOPLE!$F$14,$M221,AR$13)="",10^12,OFFSET(CRONOPLE!$F$14,$M221,AR$13))))</f>
        <v>1000000000000</v>
      </c>
      <c r="AS221" s="181">
        <f ca="1">IF($D221&lt;&gt;"Serviço",0,IF(AND(AUTOEVENTO="Manual",$M221=1),0,IF(OFFSET(CRONOPLE!$F$14,$M221,AS$13)="",10^12,OFFSET(CRONOPLE!$F$14,$M221,AS$13))))</f>
        <v>1000000000000</v>
      </c>
      <c r="AT221" s="181">
        <f ca="1">IF($D221&lt;&gt;"Serviço",0,IF(AND(AUTOEVENTO="Manual",$M221=1),0,IF(OFFSET(CRONOPLE!$F$14,$M221,AT$13)="",10^12,OFFSET(CRONOPLE!$F$14,$M221,AT$13))))</f>
        <v>1000000000000</v>
      </c>
      <c r="AU221" s="181">
        <f ca="1">IF($D221&lt;&gt;"Serviço",0,IF(AND(AUTOEVENTO="Manual",$M221=1),0,IF(OFFSET(CRONOPLE!$F$14,$M221,AU$13)="",10^12,OFFSET(CRONOPLE!$F$14,$M221,AU$13))))</f>
        <v>1000000000000</v>
      </c>
      <c r="AV221" s="181">
        <f ca="1">IF($D221&lt;&gt;"Serviço",0,IF(AND(AUTOEVENTO="Manual",$M221=1),0,IF(OFFSET(CRONOPLE!$F$14,$M221,AV$13)="",10^12,OFFSET(CRONOPLE!$F$14,$M221,AV$13))))</f>
        <v>1000000000000</v>
      </c>
      <c r="AX221" s="182">
        <f ca="1">IF($D221&lt;&gt;"Serviço",0,IF(OR(AND(AUTOEVENTO="Manual",$M221=1),$M221&gt;(ROW(PLE.lastrow)-ROW(PLE.firstrow))),0,IF(OFFSET(PLE!$G$14,$M221,AX$13)="",10^12,OFFSET(PLE!$G$14,$M221,AX$13))))</f>
        <v>1000000000000</v>
      </c>
      <c r="AY221" s="182">
        <f ca="1">IF($D221&lt;&gt;"Serviço",0,IF(OR(AND(AUTOEVENTO="Manual",$M221=1),$M221&gt;(ROW(PLE.lastrow)-ROW(PLE.firstrow))),0,IF(OFFSET(PLE!$G$14,$M221,AY$13)="",10^12,OFFSET(PLE!$G$14,$M221,AY$13))))</f>
        <v>1000000000000</v>
      </c>
      <c r="AZ221" s="182">
        <f ca="1">IF($D221&lt;&gt;"Serviço",0,IF(OR(AND(AUTOEVENTO="Manual",$M221=1),$M221&gt;(ROW(PLE.lastrow)-ROW(PLE.firstrow))),0,IF(OFFSET(PLE!$G$14,$M221,AZ$13)="",10^12,OFFSET(PLE!$G$14,$M221,AZ$13))))</f>
        <v>1000000000000</v>
      </c>
      <c r="BA221" s="182">
        <f ca="1">IF($D221&lt;&gt;"Serviço",0,IF(OR(AND(AUTOEVENTO="Manual",$M221=1),$M221&gt;(ROW(PLE.lastrow)-ROW(PLE.firstrow))),0,IF(OFFSET(PLE!$G$14,$M221,BA$13)="",10^12,OFFSET(PLE!$G$14,$M221,BA$13))))</f>
        <v>1000000000000</v>
      </c>
      <c r="BB221" s="182">
        <f ca="1">IF($D221&lt;&gt;"Serviço",0,IF(OR(AND(AUTOEVENTO="Manual",$M221=1),$M221&gt;(ROW(PLE.lastrow)-ROW(PLE.firstrow))),0,IF(OFFSET(PLE!$G$14,$M221,BB$13)="",10^12,OFFSET(PLE!$G$14,$M221,BB$13))))</f>
        <v>1000000000000</v>
      </c>
      <c r="BC221" s="182">
        <f ca="1">IF($D221&lt;&gt;"Serviço",0,IF(OR(AND(AUTOEVENTO="Manual",$M221=1),$M221&gt;(ROW(PLE.lastrow)-ROW(PLE.firstrow))),0,IF(OFFSET(PLE!$G$14,$M221,BC$13)="",10^12,OFFSET(PLE!$G$14,$M221,BC$13))))</f>
        <v>1000000000000</v>
      </c>
      <c r="BD221" s="182">
        <f ca="1">IF($D221&lt;&gt;"Serviço",0,IF(OR(AND(AUTOEVENTO="Manual",$M221=1),$M221&gt;(ROW(PLE.lastrow)-ROW(PLE.firstrow))),0,IF(OFFSET(PLE!$G$14,$M221,BD$13)="",10^12,OFFSET(PLE!$G$14,$M221,BD$13))))</f>
        <v>1000000000000</v>
      </c>
      <c r="BE221" s="182">
        <f ca="1">IF($D221&lt;&gt;"Serviço",0,IF(OR(AND(AUTOEVENTO="Manual",$M221=1),$M221&gt;(ROW(PLE.lastrow)-ROW(PLE.firstrow))),0,IF(OFFSET(PLE!$G$14,$M221,BE$13)="",10^12,OFFSET(PLE!$G$14,$M221,BE$13))))</f>
        <v>1000000000000</v>
      </c>
      <c r="BF221" s="182">
        <f ca="1">IF($D221&lt;&gt;"Serviço",0,IF(OR(AND(AUTOEVENTO="Manual",$M221=1),$M221&gt;(ROW(PLE.lastrow)-ROW(PLE.firstrow))),0,IF(OFFSET(PLE!$G$14,$M221,BF$13)="",10^12,OFFSET(PLE!$G$14,$M221,BF$13))))</f>
        <v>1000000000000</v>
      </c>
      <c r="BG221" s="182">
        <f ca="1">IF($D221&lt;&gt;"Serviço",0,IF(OR(AND(AUTOEVENTO="Manual",$M221=1),$M221&gt;(ROW(PLE.lastrow)-ROW(PLE.firstrow))),0,IF(OFFSET(PLE!$G$14,$M221,BG$13)="",10^12,OFFSET(PLE!$G$14,$M221,BG$13))))</f>
        <v>1000000000000</v>
      </c>
    </row>
    <row r="222" spans="1:59" ht="25.5" x14ac:dyDescent="0.2">
      <c r="A222" s="7" t="str">
        <f t="shared" ca="1" si="11"/>
        <v>191</v>
      </c>
      <c r="B222" s="7" t="str">
        <f ca="1">OFFSET(ORÇAMENTO!C$15,ROW(B222)-ROW(B$15),0)</f>
        <v>S</v>
      </c>
      <c r="C222" s="7" t="str">
        <f ca="1">OFFSET(ORÇAMENTO!L$15,ROW(C222)-ROW(C$15),0)</f>
        <v/>
      </c>
      <c r="D222" s="118" t="str">
        <f ca="1">OFFSET(ORÇAMENTO!N$15,ROW(D222)-ROW(D$15),0)</f>
        <v>Serviço</v>
      </c>
      <c r="E222" s="119" t="str">
        <f ca="1">OFFSET(ORÇAMENTO!O$15,ROW(E222)-ROW(E$15),0)</f>
        <v>-</v>
      </c>
      <c r="F222" s="172" t="str">
        <f ca="1">OFFSET(ORÇAMENTO!R$15,ROW(F222)-ROW(F$15),0)</f>
        <v>(abra o arquivo 'Referência 02-2025.xlsm)</v>
      </c>
      <c r="G222" s="173" t="str">
        <f ca="1">IF($D222&lt;&gt;"Serviço","",OFFSET(ORÇAMENTO!S$15,ROW(G222)-ROW(G$15),0))</f>
        <v>-</v>
      </c>
      <c r="H222" s="124">
        <f ca="1">IF($D222&lt;&gt;"Serviço",0,IF(ACOMPANHAMENTO="BM",ROUND(OFFSET(ORÇAMENTO!AJ$15,ROW(H222)-ROW(H$15),0),15-13*ORÇAMENTO!$AF$7),SUMPRODUCT(($Q$12:$AA$12&lt;&gt;"")*ROUND($Q222:$AA222,15-13*ORÇAMENTO!$AF$7))))</f>
        <v>30.19</v>
      </c>
      <c r="I222" s="561" t="s">
        <v>890</v>
      </c>
      <c r="K222" s="174"/>
      <c r="L222" s="175" t="s">
        <v>255</v>
      </c>
      <c r="M222" s="176">
        <f ca="1">IF($D222&lt;&gt;"Serviço","",IF(AUTOEVENTO="manual",$A222,IF(ISERROR(MATCH($A222,$A$15:OFFSET($A222,-1,0),0)),MAX($M$15:OFFSET(M222,-1,0))+1,INDEX($M$15:OFFSET(M222,-1,0),MATCH($A222,$A$15:OFFSET($A222,-1,0),0)))))</f>
        <v>11</v>
      </c>
      <c r="N222" s="177" t="str">
        <f ca="1">IF($D222&lt;&gt;"Serviço","",IF(AUTOEVENTO="Manual",IF($A222=0,"&lt;-- defina o número do agrupador",OFFSET(EVENTOS!$D$14,$A222,0)),OFFSET($F$15,$A222,0)))</f>
        <v>SISTEMAS DE PISOS</v>
      </c>
      <c r="O222" s="178"/>
      <c r="Q222" s="178"/>
      <c r="R222" s="179"/>
      <c r="S222" s="179"/>
      <c r="T222" s="179"/>
      <c r="U222" s="179"/>
      <c r="V222" s="179"/>
      <c r="W222" s="179"/>
      <c r="X222" s="179"/>
      <c r="Y222" s="179"/>
      <c r="Z222" s="180"/>
      <c r="AB222" s="544">
        <f ca="1">IF(AND($D222="Serviço",AB$12&lt;&gt;0,$H222&gt;0,OR(AUTOEVENTO&lt;&gt;"manual",$M222&lt;&gt;1)),
IF(Import.TipoArredondamento&lt;&gt;"TransfereGOV",
ROUND(OFFSET($P222,0,AB$13),15-13*ORÇAMENTO!$AF$7)/$H222*OFFSET(ORÇAMENTO!$X$15,ROW(AB222)-ROW(AB$15),0),
ROUND(ROUND(OFFSET($P222,0,AB$13),15-13*ORÇAMENTO!$AF$7)*OFFSET(ORÇAMENTO!$W$15,ROW(AB222)-ROW(AB$15),0),15-13*ORÇAMENTO!$AF$11)),0)</f>
        <v>0</v>
      </c>
      <c r="AC222" s="545">
        <f ca="1">IF(AND($D222="Serviço",AC$12&lt;&gt;0,$H222&gt;0,OR(AUTOEVENTO&lt;&gt;"manual",$M222&lt;&gt;1)),
IF(Import.TipoArredondamento&lt;&gt;"TransfereGOV",
ROUND(OFFSET($P222,0,AC$13),15-13*ORÇAMENTO!$AF$7)/$H222*OFFSET(ORÇAMENTO!$X$15,ROW(AC222)-ROW(AC$15),0),
ROUND(ROUND(OFFSET($P222,0,AC$13),15-13*ORÇAMENTO!$AF$7)*OFFSET(ORÇAMENTO!$W$15,ROW(AC222)-ROW(AC$15),0),15-13*ORÇAMENTO!$AF$11)),0)</f>
        <v>0</v>
      </c>
      <c r="AD222" s="545">
        <f ca="1">IF(AND($D222="Serviço",AD$12&lt;&gt;0,$H222&gt;0,OR(AUTOEVENTO&lt;&gt;"manual",$M222&lt;&gt;1)),
IF(Import.TipoArredondamento&lt;&gt;"TransfereGOV",
ROUND(OFFSET($P222,0,AD$13),15-13*ORÇAMENTO!$AF$7)/$H222*OFFSET(ORÇAMENTO!$X$15,ROW(AD222)-ROW(AD$15),0),
ROUND(ROUND(OFFSET($P222,0,AD$13),15-13*ORÇAMENTO!$AF$7)*OFFSET(ORÇAMENTO!$W$15,ROW(AD222)-ROW(AD$15),0),15-13*ORÇAMENTO!$AF$11)),0)</f>
        <v>0</v>
      </c>
      <c r="AE222" s="545">
        <f ca="1">IF(AND($D222="Serviço",AE$12&lt;&gt;0,$H222&gt;0,OR(AUTOEVENTO&lt;&gt;"manual",$M222&lt;&gt;1)),
IF(Import.TipoArredondamento&lt;&gt;"TransfereGOV",
ROUND(OFFSET($P222,0,AE$13),15-13*ORÇAMENTO!$AF$7)/$H222*OFFSET(ORÇAMENTO!$X$15,ROW(AE222)-ROW(AE$15),0),
ROUND(ROUND(OFFSET($P222,0,AE$13),15-13*ORÇAMENTO!$AF$7)*OFFSET(ORÇAMENTO!$W$15,ROW(AE222)-ROW(AE$15),0),15-13*ORÇAMENTO!$AF$11)),0)</f>
        <v>0</v>
      </c>
      <c r="AF222" s="545">
        <f ca="1">IF(AND($D222="Serviço",AF$12&lt;&gt;0,$H222&gt;0,OR(AUTOEVENTO&lt;&gt;"manual",$M222&lt;&gt;1)),
IF(Import.TipoArredondamento&lt;&gt;"TransfereGOV",
ROUND(OFFSET($P222,0,AF$13),15-13*ORÇAMENTO!$AF$7)/$H222*OFFSET(ORÇAMENTO!$X$15,ROW(AF222)-ROW(AF$15),0),
ROUND(ROUND(OFFSET($P222,0,AF$13),15-13*ORÇAMENTO!$AF$7)*OFFSET(ORÇAMENTO!$W$15,ROW(AF222)-ROW(AF$15),0),15-13*ORÇAMENTO!$AF$11)),0)</f>
        <v>0</v>
      </c>
      <c r="AG222" s="545">
        <f ca="1">IF(AND($D222="Serviço",AG$12&lt;&gt;0,$H222&gt;0,OR(AUTOEVENTO&lt;&gt;"manual",$M222&lt;&gt;1)),
IF(Import.TipoArredondamento&lt;&gt;"TransfereGOV",
ROUND(OFFSET($P222,0,AG$13),15-13*ORÇAMENTO!$AF$7)/$H222*OFFSET(ORÇAMENTO!$X$15,ROW(AG222)-ROW(AG$15),0),
ROUND(ROUND(OFFSET($P222,0,AG$13),15-13*ORÇAMENTO!$AF$7)*OFFSET(ORÇAMENTO!$W$15,ROW(AG222)-ROW(AG$15),0),15-13*ORÇAMENTO!$AF$11)),0)</f>
        <v>0</v>
      </c>
      <c r="AH222" s="545">
        <f ca="1">IF(AND($D222="Serviço",AH$12&lt;&gt;0,$H222&gt;0,OR(AUTOEVENTO&lt;&gt;"manual",$M222&lt;&gt;1)),
IF(Import.TipoArredondamento&lt;&gt;"TransfereGOV",
ROUND(OFFSET($P222,0,AH$13),15-13*ORÇAMENTO!$AF$7)/$H222*OFFSET(ORÇAMENTO!$X$15,ROW(AH222)-ROW(AH$15),0),
ROUND(ROUND(OFFSET($P222,0,AH$13),15-13*ORÇAMENTO!$AF$7)*OFFSET(ORÇAMENTO!$W$15,ROW(AH222)-ROW(AH$15),0),15-13*ORÇAMENTO!$AF$11)),0)</f>
        <v>0</v>
      </c>
      <c r="AI222" s="545">
        <f ca="1">IF(AND($D222="Serviço",AI$12&lt;&gt;0,$H222&gt;0,OR(AUTOEVENTO&lt;&gt;"manual",$M222&lt;&gt;1)),
IF(Import.TipoArredondamento&lt;&gt;"TransfereGOV",
ROUND(OFFSET($P222,0,AI$13),15-13*ORÇAMENTO!$AF$7)/$H222*OFFSET(ORÇAMENTO!$X$15,ROW(AI222)-ROW(AI$15),0),
ROUND(ROUND(OFFSET($P222,0,AI$13),15-13*ORÇAMENTO!$AF$7)*OFFSET(ORÇAMENTO!$W$15,ROW(AI222)-ROW(AI$15),0),15-13*ORÇAMENTO!$AF$11)),0)</f>
        <v>0</v>
      </c>
      <c r="AJ222" s="545">
        <f ca="1">IF(AND($D222="Serviço",AJ$12&lt;&gt;0,$H222&gt;0,OR(AUTOEVENTO&lt;&gt;"manual",$M222&lt;&gt;1)),
IF(Import.TipoArredondamento&lt;&gt;"TransfereGOV",
ROUND(OFFSET($P222,0,AJ$13),15-13*ORÇAMENTO!$AF$7)/$H222*OFFSET(ORÇAMENTO!$X$15,ROW(AJ222)-ROW(AJ$15),0),
ROUND(ROUND(OFFSET($P222,0,AJ$13),15-13*ORÇAMENTO!$AF$7)*OFFSET(ORÇAMENTO!$W$15,ROW(AJ222)-ROW(AJ$15),0),15-13*ORÇAMENTO!$AF$11)),0)</f>
        <v>0</v>
      </c>
      <c r="AK222" s="546">
        <f ca="1">IF(AND($D222="Serviço",AK$12&lt;&gt;0,$H222&gt;0,OR(AUTOEVENTO&lt;&gt;"manual",$M222&lt;&gt;1)),
IF(Import.TipoArredondamento&lt;&gt;"TransfereGOV",
ROUND(OFFSET($P222,0,AK$13),15-13*ORÇAMENTO!$AF$7)/$H222*OFFSET(ORÇAMENTO!$X$15,ROW(AK222)-ROW(AK$15),0),
ROUND(ROUND(OFFSET($P222,0,AK$13),15-13*ORÇAMENTO!$AF$7)*OFFSET(ORÇAMENTO!$W$15,ROW(AK222)-ROW(AK$15),0),15-13*ORÇAMENTO!$AF$11)),0)</f>
        <v>0</v>
      </c>
      <c r="AM222" s="181">
        <f ca="1">IF($D222&lt;&gt;"Serviço",0,IF(AND(AUTOEVENTO="Manual",$M222=1),0,IF(OFFSET(CRONOPLE!$F$14,$M222,AM$13)="",10^12,OFFSET(CRONOPLE!$F$14,$M222,AM$13))))</f>
        <v>1000000000000</v>
      </c>
      <c r="AN222" s="181">
        <f ca="1">IF($D222&lt;&gt;"Serviço",0,IF(AND(AUTOEVENTO="Manual",$M222=1),0,IF(OFFSET(CRONOPLE!$F$14,$M222,AN$13)="",10^12,OFFSET(CRONOPLE!$F$14,$M222,AN$13))))</f>
        <v>1000000000000</v>
      </c>
      <c r="AO222" s="181">
        <f ca="1">IF($D222&lt;&gt;"Serviço",0,IF(AND(AUTOEVENTO="Manual",$M222=1),0,IF(OFFSET(CRONOPLE!$F$14,$M222,AO$13)="",10^12,OFFSET(CRONOPLE!$F$14,$M222,AO$13))))</f>
        <v>1000000000000</v>
      </c>
      <c r="AP222" s="181">
        <f ca="1">IF($D222&lt;&gt;"Serviço",0,IF(AND(AUTOEVENTO="Manual",$M222=1),0,IF(OFFSET(CRONOPLE!$F$14,$M222,AP$13)="",10^12,OFFSET(CRONOPLE!$F$14,$M222,AP$13))))</f>
        <v>1000000000000</v>
      </c>
      <c r="AQ222" s="181">
        <f ca="1">IF($D222&lt;&gt;"Serviço",0,IF(AND(AUTOEVENTO="Manual",$M222=1),0,IF(OFFSET(CRONOPLE!$F$14,$M222,AQ$13)="",10^12,OFFSET(CRONOPLE!$F$14,$M222,AQ$13))))</f>
        <v>1000000000000</v>
      </c>
      <c r="AR222" s="181">
        <f ca="1">IF($D222&lt;&gt;"Serviço",0,IF(AND(AUTOEVENTO="Manual",$M222=1),0,IF(OFFSET(CRONOPLE!$F$14,$M222,AR$13)="",10^12,OFFSET(CRONOPLE!$F$14,$M222,AR$13))))</f>
        <v>1000000000000</v>
      </c>
      <c r="AS222" s="181">
        <f ca="1">IF($D222&lt;&gt;"Serviço",0,IF(AND(AUTOEVENTO="Manual",$M222=1),0,IF(OFFSET(CRONOPLE!$F$14,$M222,AS$13)="",10^12,OFFSET(CRONOPLE!$F$14,$M222,AS$13))))</f>
        <v>1000000000000</v>
      </c>
      <c r="AT222" s="181">
        <f ca="1">IF($D222&lt;&gt;"Serviço",0,IF(AND(AUTOEVENTO="Manual",$M222=1),0,IF(OFFSET(CRONOPLE!$F$14,$M222,AT$13)="",10^12,OFFSET(CRONOPLE!$F$14,$M222,AT$13))))</f>
        <v>1000000000000</v>
      </c>
      <c r="AU222" s="181">
        <f ca="1">IF($D222&lt;&gt;"Serviço",0,IF(AND(AUTOEVENTO="Manual",$M222=1),0,IF(OFFSET(CRONOPLE!$F$14,$M222,AU$13)="",10^12,OFFSET(CRONOPLE!$F$14,$M222,AU$13))))</f>
        <v>1000000000000</v>
      </c>
      <c r="AV222" s="181">
        <f ca="1">IF($D222&lt;&gt;"Serviço",0,IF(AND(AUTOEVENTO="Manual",$M222=1),0,IF(OFFSET(CRONOPLE!$F$14,$M222,AV$13)="",10^12,OFFSET(CRONOPLE!$F$14,$M222,AV$13))))</f>
        <v>1000000000000</v>
      </c>
      <c r="AX222" s="182">
        <f ca="1">IF($D222&lt;&gt;"Serviço",0,IF(OR(AND(AUTOEVENTO="Manual",$M222=1),$M222&gt;(ROW(PLE.lastrow)-ROW(PLE.firstrow))),0,IF(OFFSET(PLE!$G$14,$M222,AX$13)="",10^12,OFFSET(PLE!$G$14,$M222,AX$13))))</f>
        <v>1000000000000</v>
      </c>
      <c r="AY222" s="182">
        <f ca="1">IF($D222&lt;&gt;"Serviço",0,IF(OR(AND(AUTOEVENTO="Manual",$M222=1),$M222&gt;(ROW(PLE.lastrow)-ROW(PLE.firstrow))),0,IF(OFFSET(PLE!$G$14,$M222,AY$13)="",10^12,OFFSET(PLE!$G$14,$M222,AY$13))))</f>
        <v>1000000000000</v>
      </c>
      <c r="AZ222" s="182">
        <f ca="1">IF($D222&lt;&gt;"Serviço",0,IF(OR(AND(AUTOEVENTO="Manual",$M222=1),$M222&gt;(ROW(PLE.lastrow)-ROW(PLE.firstrow))),0,IF(OFFSET(PLE!$G$14,$M222,AZ$13)="",10^12,OFFSET(PLE!$G$14,$M222,AZ$13))))</f>
        <v>1000000000000</v>
      </c>
      <c r="BA222" s="182">
        <f ca="1">IF($D222&lt;&gt;"Serviço",0,IF(OR(AND(AUTOEVENTO="Manual",$M222=1),$M222&gt;(ROW(PLE.lastrow)-ROW(PLE.firstrow))),0,IF(OFFSET(PLE!$G$14,$M222,BA$13)="",10^12,OFFSET(PLE!$G$14,$M222,BA$13))))</f>
        <v>1000000000000</v>
      </c>
      <c r="BB222" s="182">
        <f ca="1">IF($D222&lt;&gt;"Serviço",0,IF(OR(AND(AUTOEVENTO="Manual",$M222=1),$M222&gt;(ROW(PLE.lastrow)-ROW(PLE.firstrow))),0,IF(OFFSET(PLE!$G$14,$M222,BB$13)="",10^12,OFFSET(PLE!$G$14,$M222,BB$13))))</f>
        <v>1000000000000</v>
      </c>
      <c r="BC222" s="182">
        <f ca="1">IF($D222&lt;&gt;"Serviço",0,IF(OR(AND(AUTOEVENTO="Manual",$M222=1),$M222&gt;(ROW(PLE.lastrow)-ROW(PLE.firstrow))),0,IF(OFFSET(PLE!$G$14,$M222,BC$13)="",10^12,OFFSET(PLE!$G$14,$M222,BC$13))))</f>
        <v>1000000000000</v>
      </c>
      <c r="BD222" s="182">
        <f ca="1">IF($D222&lt;&gt;"Serviço",0,IF(OR(AND(AUTOEVENTO="Manual",$M222=1),$M222&gt;(ROW(PLE.lastrow)-ROW(PLE.firstrow))),0,IF(OFFSET(PLE!$G$14,$M222,BD$13)="",10^12,OFFSET(PLE!$G$14,$M222,BD$13))))</f>
        <v>1000000000000</v>
      </c>
      <c r="BE222" s="182">
        <f ca="1">IF($D222&lt;&gt;"Serviço",0,IF(OR(AND(AUTOEVENTO="Manual",$M222=1),$M222&gt;(ROW(PLE.lastrow)-ROW(PLE.firstrow))),0,IF(OFFSET(PLE!$G$14,$M222,BE$13)="",10^12,OFFSET(PLE!$G$14,$M222,BE$13))))</f>
        <v>1000000000000</v>
      </c>
      <c r="BF222" s="182">
        <f ca="1">IF($D222&lt;&gt;"Serviço",0,IF(OR(AND(AUTOEVENTO="Manual",$M222=1),$M222&gt;(ROW(PLE.lastrow)-ROW(PLE.firstrow))),0,IF(OFFSET(PLE!$G$14,$M222,BF$13)="",10^12,OFFSET(PLE!$G$14,$M222,BF$13))))</f>
        <v>1000000000000</v>
      </c>
      <c r="BG222" s="182">
        <f ca="1">IF($D222&lt;&gt;"Serviço",0,IF(OR(AND(AUTOEVENTO="Manual",$M222=1),$M222&gt;(ROW(PLE.lastrow)-ROW(PLE.firstrow))),0,IF(OFFSET(PLE!$G$14,$M222,BG$13)="",10^12,OFFSET(PLE!$G$14,$M222,BG$13))))</f>
        <v>1000000000000</v>
      </c>
    </row>
    <row r="223" spans="1:59" ht="25.5" x14ac:dyDescent="0.2">
      <c r="A223" s="7" t="str">
        <f t="shared" ca="1" si="11"/>
        <v>191</v>
      </c>
      <c r="B223" s="7" t="str">
        <f ca="1">OFFSET(ORÇAMENTO!C$15,ROW(B223)-ROW(B$15),0)</f>
        <v>S</v>
      </c>
      <c r="C223" s="7" t="str">
        <f ca="1">OFFSET(ORÇAMENTO!L$15,ROW(C223)-ROW(C$15),0)</f>
        <v/>
      </c>
      <c r="D223" s="118" t="str">
        <f ca="1">OFFSET(ORÇAMENTO!N$15,ROW(D223)-ROW(D$15),0)</f>
        <v>Serviço</v>
      </c>
      <c r="E223" s="119" t="str">
        <f ca="1">OFFSET(ORÇAMENTO!O$15,ROW(E223)-ROW(E$15),0)</f>
        <v>-</v>
      </c>
      <c r="F223" s="172" t="str">
        <f ca="1">OFFSET(ORÇAMENTO!R$15,ROW(F223)-ROW(F$15),0)</f>
        <v>(abra o arquivo 'Referência 02-2025.xlsm)</v>
      </c>
      <c r="G223" s="173" t="str">
        <f ca="1">IF($D223&lt;&gt;"Serviço","",OFFSET(ORÇAMENTO!S$15,ROW(G223)-ROW(G$15),0))</f>
        <v>-</v>
      </c>
      <c r="H223" s="124">
        <f ca="1">IF($D223&lt;&gt;"Serviço",0,IF(ACOMPANHAMENTO="BM",ROUND(OFFSET(ORÇAMENTO!AJ$15,ROW(H223)-ROW(H$15),0),15-13*ORÇAMENTO!$AF$7),SUMPRODUCT(($Q$12:$AA$12&lt;&gt;"")*ROUND($Q223:$AA223,15-13*ORÇAMENTO!$AF$7))))</f>
        <v>220.11</v>
      </c>
      <c r="I223" s="561" t="s">
        <v>890</v>
      </c>
      <c r="K223" s="174"/>
      <c r="L223" s="175" t="s">
        <v>255</v>
      </c>
      <c r="M223" s="176">
        <f ca="1">IF($D223&lt;&gt;"Serviço","",IF(AUTOEVENTO="manual",$A223,IF(ISERROR(MATCH($A223,$A$15:OFFSET($A223,-1,0),0)),MAX($M$15:OFFSET(M223,-1,0))+1,INDEX($M$15:OFFSET(M223,-1,0),MATCH($A223,$A$15:OFFSET($A223,-1,0),0)))))</f>
        <v>11</v>
      </c>
      <c r="N223" s="177" t="str">
        <f ca="1">IF($D223&lt;&gt;"Serviço","",IF(AUTOEVENTO="Manual",IF($A223=0,"&lt;-- defina o número do agrupador",OFFSET(EVENTOS!$D$14,$A223,0)),OFFSET($F$15,$A223,0)))</f>
        <v>SISTEMAS DE PISOS</v>
      </c>
      <c r="O223" s="178"/>
      <c r="Q223" s="178"/>
      <c r="R223" s="179"/>
      <c r="S223" s="179"/>
      <c r="T223" s="179"/>
      <c r="U223" s="179"/>
      <c r="V223" s="179"/>
      <c r="W223" s="179"/>
      <c r="X223" s="179"/>
      <c r="Y223" s="179"/>
      <c r="Z223" s="180"/>
      <c r="AB223" s="544">
        <f ca="1">IF(AND($D223="Serviço",AB$12&lt;&gt;0,$H223&gt;0,OR(AUTOEVENTO&lt;&gt;"manual",$M223&lt;&gt;1)),
IF(Import.TipoArredondamento&lt;&gt;"TransfereGOV",
ROUND(OFFSET($P223,0,AB$13),15-13*ORÇAMENTO!$AF$7)/$H223*OFFSET(ORÇAMENTO!$X$15,ROW(AB223)-ROW(AB$15),0),
ROUND(ROUND(OFFSET($P223,0,AB$13),15-13*ORÇAMENTO!$AF$7)*OFFSET(ORÇAMENTO!$W$15,ROW(AB223)-ROW(AB$15),0),15-13*ORÇAMENTO!$AF$11)),0)</f>
        <v>0</v>
      </c>
      <c r="AC223" s="545">
        <f ca="1">IF(AND($D223="Serviço",AC$12&lt;&gt;0,$H223&gt;0,OR(AUTOEVENTO&lt;&gt;"manual",$M223&lt;&gt;1)),
IF(Import.TipoArredondamento&lt;&gt;"TransfereGOV",
ROUND(OFFSET($P223,0,AC$13),15-13*ORÇAMENTO!$AF$7)/$H223*OFFSET(ORÇAMENTO!$X$15,ROW(AC223)-ROW(AC$15),0),
ROUND(ROUND(OFFSET($P223,0,AC$13),15-13*ORÇAMENTO!$AF$7)*OFFSET(ORÇAMENTO!$W$15,ROW(AC223)-ROW(AC$15),0),15-13*ORÇAMENTO!$AF$11)),0)</f>
        <v>0</v>
      </c>
      <c r="AD223" s="545">
        <f ca="1">IF(AND($D223="Serviço",AD$12&lt;&gt;0,$H223&gt;0,OR(AUTOEVENTO&lt;&gt;"manual",$M223&lt;&gt;1)),
IF(Import.TipoArredondamento&lt;&gt;"TransfereGOV",
ROUND(OFFSET($P223,0,AD$13),15-13*ORÇAMENTO!$AF$7)/$H223*OFFSET(ORÇAMENTO!$X$15,ROW(AD223)-ROW(AD$15),0),
ROUND(ROUND(OFFSET($P223,0,AD$13),15-13*ORÇAMENTO!$AF$7)*OFFSET(ORÇAMENTO!$W$15,ROW(AD223)-ROW(AD$15),0),15-13*ORÇAMENTO!$AF$11)),0)</f>
        <v>0</v>
      </c>
      <c r="AE223" s="545">
        <f ca="1">IF(AND($D223="Serviço",AE$12&lt;&gt;0,$H223&gt;0,OR(AUTOEVENTO&lt;&gt;"manual",$M223&lt;&gt;1)),
IF(Import.TipoArredondamento&lt;&gt;"TransfereGOV",
ROUND(OFFSET($P223,0,AE$13),15-13*ORÇAMENTO!$AF$7)/$H223*OFFSET(ORÇAMENTO!$X$15,ROW(AE223)-ROW(AE$15),0),
ROUND(ROUND(OFFSET($P223,0,AE$13),15-13*ORÇAMENTO!$AF$7)*OFFSET(ORÇAMENTO!$W$15,ROW(AE223)-ROW(AE$15),0),15-13*ORÇAMENTO!$AF$11)),0)</f>
        <v>0</v>
      </c>
      <c r="AF223" s="545">
        <f ca="1">IF(AND($D223="Serviço",AF$12&lt;&gt;0,$H223&gt;0,OR(AUTOEVENTO&lt;&gt;"manual",$M223&lt;&gt;1)),
IF(Import.TipoArredondamento&lt;&gt;"TransfereGOV",
ROUND(OFFSET($P223,0,AF$13),15-13*ORÇAMENTO!$AF$7)/$H223*OFFSET(ORÇAMENTO!$X$15,ROW(AF223)-ROW(AF$15),0),
ROUND(ROUND(OFFSET($P223,0,AF$13),15-13*ORÇAMENTO!$AF$7)*OFFSET(ORÇAMENTO!$W$15,ROW(AF223)-ROW(AF$15),0),15-13*ORÇAMENTO!$AF$11)),0)</f>
        <v>0</v>
      </c>
      <c r="AG223" s="545">
        <f ca="1">IF(AND($D223="Serviço",AG$12&lt;&gt;0,$H223&gt;0,OR(AUTOEVENTO&lt;&gt;"manual",$M223&lt;&gt;1)),
IF(Import.TipoArredondamento&lt;&gt;"TransfereGOV",
ROUND(OFFSET($P223,0,AG$13),15-13*ORÇAMENTO!$AF$7)/$H223*OFFSET(ORÇAMENTO!$X$15,ROW(AG223)-ROW(AG$15),0),
ROUND(ROUND(OFFSET($P223,0,AG$13),15-13*ORÇAMENTO!$AF$7)*OFFSET(ORÇAMENTO!$W$15,ROW(AG223)-ROW(AG$15),0),15-13*ORÇAMENTO!$AF$11)),0)</f>
        <v>0</v>
      </c>
      <c r="AH223" s="545">
        <f ca="1">IF(AND($D223="Serviço",AH$12&lt;&gt;0,$H223&gt;0,OR(AUTOEVENTO&lt;&gt;"manual",$M223&lt;&gt;1)),
IF(Import.TipoArredondamento&lt;&gt;"TransfereGOV",
ROUND(OFFSET($P223,0,AH$13),15-13*ORÇAMENTO!$AF$7)/$H223*OFFSET(ORÇAMENTO!$X$15,ROW(AH223)-ROW(AH$15),0),
ROUND(ROUND(OFFSET($P223,0,AH$13),15-13*ORÇAMENTO!$AF$7)*OFFSET(ORÇAMENTO!$W$15,ROW(AH223)-ROW(AH$15),0),15-13*ORÇAMENTO!$AF$11)),0)</f>
        <v>0</v>
      </c>
      <c r="AI223" s="545">
        <f ca="1">IF(AND($D223="Serviço",AI$12&lt;&gt;0,$H223&gt;0,OR(AUTOEVENTO&lt;&gt;"manual",$M223&lt;&gt;1)),
IF(Import.TipoArredondamento&lt;&gt;"TransfereGOV",
ROUND(OFFSET($P223,0,AI$13),15-13*ORÇAMENTO!$AF$7)/$H223*OFFSET(ORÇAMENTO!$X$15,ROW(AI223)-ROW(AI$15),0),
ROUND(ROUND(OFFSET($P223,0,AI$13),15-13*ORÇAMENTO!$AF$7)*OFFSET(ORÇAMENTO!$W$15,ROW(AI223)-ROW(AI$15),0),15-13*ORÇAMENTO!$AF$11)),0)</f>
        <v>0</v>
      </c>
      <c r="AJ223" s="545">
        <f ca="1">IF(AND($D223="Serviço",AJ$12&lt;&gt;0,$H223&gt;0,OR(AUTOEVENTO&lt;&gt;"manual",$M223&lt;&gt;1)),
IF(Import.TipoArredondamento&lt;&gt;"TransfereGOV",
ROUND(OFFSET($P223,0,AJ$13),15-13*ORÇAMENTO!$AF$7)/$H223*OFFSET(ORÇAMENTO!$X$15,ROW(AJ223)-ROW(AJ$15),0),
ROUND(ROUND(OFFSET($P223,0,AJ$13),15-13*ORÇAMENTO!$AF$7)*OFFSET(ORÇAMENTO!$W$15,ROW(AJ223)-ROW(AJ$15),0),15-13*ORÇAMENTO!$AF$11)),0)</f>
        <v>0</v>
      </c>
      <c r="AK223" s="546">
        <f ca="1">IF(AND($D223="Serviço",AK$12&lt;&gt;0,$H223&gt;0,OR(AUTOEVENTO&lt;&gt;"manual",$M223&lt;&gt;1)),
IF(Import.TipoArredondamento&lt;&gt;"TransfereGOV",
ROUND(OFFSET($P223,0,AK$13),15-13*ORÇAMENTO!$AF$7)/$H223*OFFSET(ORÇAMENTO!$X$15,ROW(AK223)-ROW(AK$15),0),
ROUND(ROUND(OFFSET($P223,0,AK$13),15-13*ORÇAMENTO!$AF$7)*OFFSET(ORÇAMENTO!$W$15,ROW(AK223)-ROW(AK$15),0),15-13*ORÇAMENTO!$AF$11)),0)</f>
        <v>0</v>
      </c>
      <c r="AM223" s="181">
        <f ca="1">IF($D223&lt;&gt;"Serviço",0,IF(AND(AUTOEVENTO="Manual",$M223=1),0,IF(OFFSET(CRONOPLE!$F$14,$M223,AM$13)="",10^12,OFFSET(CRONOPLE!$F$14,$M223,AM$13))))</f>
        <v>1000000000000</v>
      </c>
      <c r="AN223" s="181">
        <f ca="1">IF($D223&lt;&gt;"Serviço",0,IF(AND(AUTOEVENTO="Manual",$M223=1),0,IF(OFFSET(CRONOPLE!$F$14,$M223,AN$13)="",10^12,OFFSET(CRONOPLE!$F$14,$M223,AN$13))))</f>
        <v>1000000000000</v>
      </c>
      <c r="AO223" s="181">
        <f ca="1">IF($D223&lt;&gt;"Serviço",0,IF(AND(AUTOEVENTO="Manual",$M223=1),0,IF(OFFSET(CRONOPLE!$F$14,$M223,AO$13)="",10^12,OFFSET(CRONOPLE!$F$14,$M223,AO$13))))</f>
        <v>1000000000000</v>
      </c>
      <c r="AP223" s="181">
        <f ca="1">IF($D223&lt;&gt;"Serviço",0,IF(AND(AUTOEVENTO="Manual",$M223=1),0,IF(OFFSET(CRONOPLE!$F$14,$M223,AP$13)="",10^12,OFFSET(CRONOPLE!$F$14,$M223,AP$13))))</f>
        <v>1000000000000</v>
      </c>
      <c r="AQ223" s="181">
        <f ca="1">IF($D223&lt;&gt;"Serviço",0,IF(AND(AUTOEVENTO="Manual",$M223=1),0,IF(OFFSET(CRONOPLE!$F$14,$M223,AQ$13)="",10^12,OFFSET(CRONOPLE!$F$14,$M223,AQ$13))))</f>
        <v>1000000000000</v>
      </c>
      <c r="AR223" s="181">
        <f ca="1">IF($D223&lt;&gt;"Serviço",0,IF(AND(AUTOEVENTO="Manual",$M223=1),0,IF(OFFSET(CRONOPLE!$F$14,$M223,AR$13)="",10^12,OFFSET(CRONOPLE!$F$14,$M223,AR$13))))</f>
        <v>1000000000000</v>
      </c>
      <c r="AS223" s="181">
        <f ca="1">IF($D223&lt;&gt;"Serviço",0,IF(AND(AUTOEVENTO="Manual",$M223=1),0,IF(OFFSET(CRONOPLE!$F$14,$M223,AS$13)="",10^12,OFFSET(CRONOPLE!$F$14,$M223,AS$13))))</f>
        <v>1000000000000</v>
      </c>
      <c r="AT223" s="181">
        <f ca="1">IF($D223&lt;&gt;"Serviço",0,IF(AND(AUTOEVENTO="Manual",$M223=1),0,IF(OFFSET(CRONOPLE!$F$14,$M223,AT$13)="",10^12,OFFSET(CRONOPLE!$F$14,$M223,AT$13))))</f>
        <v>1000000000000</v>
      </c>
      <c r="AU223" s="181">
        <f ca="1">IF($D223&lt;&gt;"Serviço",0,IF(AND(AUTOEVENTO="Manual",$M223=1),0,IF(OFFSET(CRONOPLE!$F$14,$M223,AU$13)="",10^12,OFFSET(CRONOPLE!$F$14,$M223,AU$13))))</f>
        <v>1000000000000</v>
      </c>
      <c r="AV223" s="181">
        <f ca="1">IF($D223&lt;&gt;"Serviço",0,IF(AND(AUTOEVENTO="Manual",$M223=1),0,IF(OFFSET(CRONOPLE!$F$14,$M223,AV$13)="",10^12,OFFSET(CRONOPLE!$F$14,$M223,AV$13))))</f>
        <v>1000000000000</v>
      </c>
      <c r="AX223" s="182">
        <f ca="1">IF($D223&lt;&gt;"Serviço",0,IF(OR(AND(AUTOEVENTO="Manual",$M223=1),$M223&gt;(ROW(PLE.lastrow)-ROW(PLE.firstrow))),0,IF(OFFSET(PLE!$G$14,$M223,AX$13)="",10^12,OFFSET(PLE!$G$14,$M223,AX$13))))</f>
        <v>1000000000000</v>
      </c>
      <c r="AY223" s="182">
        <f ca="1">IF($D223&lt;&gt;"Serviço",0,IF(OR(AND(AUTOEVENTO="Manual",$M223=1),$M223&gt;(ROW(PLE.lastrow)-ROW(PLE.firstrow))),0,IF(OFFSET(PLE!$G$14,$M223,AY$13)="",10^12,OFFSET(PLE!$G$14,$M223,AY$13))))</f>
        <v>1000000000000</v>
      </c>
      <c r="AZ223" s="182">
        <f ca="1">IF($D223&lt;&gt;"Serviço",0,IF(OR(AND(AUTOEVENTO="Manual",$M223=1),$M223&gt;(ROW(PLE.lastrow)-ROW(PLE.firstrow))),0,IF(OFFSET(PLE!$G$14,$M223,AZ$13)="",10^12,OFFSET(PLE!$G$14,$M223,AZ$13))))</f>
        <v>1000000000000</v>
      </c>
      <c r="BA223" s="182">
        <f ca="1">IF($D223&lt;&gt;"Serviço",0,IF(OR(AND(AUTOEVENTO="Manual",$M223=1),$M223&gt;(ROW(PLE.lastrow)-ROW(PLE.firstrow))),0,IF(OFFSET(PLE!$G$14,$M223,BA$13)="",10^12,OFFSET(PLE!$G$14,$M223,BA$13))))</f>
        <v>1000000000000</v>
      </c>
      <c r="BB223" s="182">
        <f ca="1">IF($D223&lt;&gt;"Serviço",0,IF(OR(AND(AUTOEVENTO="Manual",$M223=1),$M223&gt;(ROW(PLE.lastrow)-ROW(PLE.firstrow))),0,IF(OFFSET(PLE!$G$14,$M223,BB$13)="",10^12,OFFSET(PLE!$G$14,$M223,BB$13))))</f>
        <v>1000000000000</v>
      </c>
      <c r="BC223" s="182">
        <f ca="1">IF($D223&lt;&gt;"Serviço",0,IF(OR(AND(AUTOEVENTO="Manual",$M223=1),$M223&gt;(ROW(PLE.lastrow)-ROW(PLE.firstrow))),0,IF(OFFSET(PLE!$G$14,$M223,BC$13)="",10^12,OFFSET(PLE!$G$14,$M223,BC$13))))</f>
        <v>1000000000000</v>
      </c>
      <c r="BD223" s="182">
        <f ca="1">IF($D223&lt;&gt;"Serviço",0,IF(OR(AND(AUTOEVENTO="Manual",$M223=1),$M223&gt;(ROW(PLE.lastrow)-ROW(PLE.firstrow))),0,IF(OFFSET(PLE!$G$14,$M223,BD$13)="",10^12,OFFSET(PLE!$G$14,$M223,BD$13))))</f>
        <v>1000000000000</v>
      </c>
      <c r="BE223" s="182">
        <f ca="1">IF($D223&lt;&gt;"Serviço",0,IF(OR(AND(AUTOEVENTO="Manual",$M223=1),$M223&gt;(ROW(PLE.lastrow)-ROW(PLE.firstrow))),0,IF(OFFSET(PLE!$G$14,$M223,BE$13)="",10^12,OFFSET(PLE!$G$14,$M223,BE$13))))</f>
        <v>1000000000000</v>
      </c>
      <c r="BF223" s="182">
        <f ca="1">IF($D223&lt;&gt;"Serviço",0,IF(OR(AND(AUTOEVENTO="Manual",$M223=1),$M223&gt;(ROW(PLE.lastrow)-ROW(PLE.firstrow))),0,IF(OFFSET(PLE!$G$14,$M223,BF$13)="",10^12,OFFSET(PLE!$G$14,$M223,BF$13))))</f>
        <v>1000000000000</v>
      </c>
      <c r="BG223" s="182">
        <f ca="1">IF($D223&lt;&gt;"Serviço",0,IF(OR(AND(AUTOEVENTO="Manual",$M223=1),$M223&gt;(ROW(PLE.lastrow)-ROW(PLE.firstrow))),0,IF(OFFSET(PLE!$G$14,$M223,BG$13)="",10^12,OFFSET(PLE!$G$14,$M223,BG$13))))</f>
        <v>1000000000000</v>
      </c>
    </row>
    <row r="224" spans="1:59" ht="25.5" x14ac:dyDescent="0.2">
      <c r="A224" s="7" t="str">
        <f t="shared" ca="1" si="11"/>
        <v>191</v>
      </c>
      <c r="B224" s="7" t="str">
        <f ca="1">OFFSET(ORÇAMENTO!C$15,ROW(B224)-ROW(B$15),0)</f>
        <v>S</v>
      </c>
      <c r="C224" s="7" t="str">
        <f ca="1">OFFSET(ORÇAMENTO!L$15,ROW(C224)-ROW(C$15),0)</f>
        <v/>
      </c>
      <c r="D224" s="118" t="str">
        <f ca="1">OFFSET(ORÇAMENTO!N$15,ROW(D224)-ROW(D$15),0)</f>
        <v>Serviço</v>
      </c>
      <c r="E224" s="119" t="str">
        <f ca="1">OFFSET(ORÇAMENTO!O$15,ROW(E224)-ROW(E$15),0)</f>
        <v>-</v>
      </c>
      <c r="F224" s="172" t="str">
        <f ca="1">OFFSET(ORÇAMENTO!R$15,ROW(F224)-ROW(F$15),0)</f>
        <v>(abra o arquivo 'Referência 02-2025.xlsm)</v>
      </c>
      <c r="G224" s="173" t="str">
        <f ca="1">IF($D224&lt;&gt;"Serviço","",OFFSET(ORÇAMENTO!S$15,ROW(G224)-ROW(G$15),0))</f>
        <v>-</v>
      </c>
      <c r="H224" s="124">
        <f ca="1">IF($D224&lt;&gt;"Serviço",0,IF(ACOMPANHAMENTO="BM",ROUND(OFFSET(ORÇAMENTO!AJ$15,ROW(H224)-ROW(H$15),0),15-13*ORÇAMENTO!$AF$7),SUMPRODUCT(($Q$12:$AA$12&lt;&gt;"")*ROUND($Q224:$AA224,15-13*ORÇAMENTO!$AF$7))))</f>
        <v>74.13</v>
      </c>
      <c r="I224" s="561" t="s">
        <v>890</v>
      </c>
      <c r="K224" s="174"/>
      <c r="L224" s="175" t="s">
        <v>255</v>
      </c>
      <c r="M224" s="176">
        <f ca="1">IF($D224&lt;&gt;"Serviço","",IF(AUTOEVENTO="manual",$A224,IF(ISERROR(MATCH($A224,$A$15:OFFSET($A224,-1,0),0)),MAX($M$15:OFFSET(M224,-1,0))+1,INDEX($M$15:OFFSET(M224,-1,0),MATCH($A224,$A$15:OFFSET($A224,-1,0),0)))))</f>
        <v>11</v>
      </c>
      <c r="N224" s="177" t="str">
        <f ca="1">IF($D224&lt;&gt;"Serviço","",IF(AUTOEVENTO="Manual",IF($A224=0,"&lt;-- defina o número do agrupador",OFFSET(EVENTOS!$D$14,$A224,0)),OFFSET($F$15,$A224,0)))</f>
        <v>SISTEMAS DE PISOS</v>
      </c>
      <c r="O224" s="178"/>
      <c r="Q224" s="178"/>
      <c r="R224" s="179"/>
      <c r="S224" s="179"/>
      <c r="T224" s="179"/>
      <c r="U224" s="179"/>
      <c r="V224" s="179"/>
      <c r="W224" s="179"/>
      <c r="X224" s="179"/>
      <c r="Y224" s="179"/>
      <c r="Z224" s="180"/>
      <c r="AB224" s="544">
        <f ca="1">IF(AND($D224="Serviço",AB$12&lt;&gt;0,$H224&gt;0,OR(AUTOEVENTO&lt;&gt;"manual",$M224&lt;&gt;1)),
IF(Import.TipoArredondamento&lt;&gt;"TransfereGOV",
ROUND(OFFSET($P224,0,AB$13),15-13*ORÇAMENTO!$AF$7)/$H224*OFFSET(ORÇAMENTO!$X$15,ROW(AB224)-ROW(AB$15),0),
ROUND(ROUND(OFFSET($P224,0,AB$13),15-13*ORÇAMENTO!$AF$7)*OFFSET(ORÇAMENTO!$W$15,ROW(AB224)-ROW(AB$15),0),15-13*ORÇAMENTO!$AF$11)),0)</f>
        <v>0</v>
      </c>
      <c r="AC224" s="545">
        <f ca="1">IF(AND($D224="Serviço",AC$12&lt;&gt;0,$H224&gt;0,OR(AUTOEVENTO&lt;&gt;"manual",$M224&lt;&gt;1)),
IF(Import.TipoArredondamento&lt;&gt;"TransfereGOV",
ROUND(OFFSET($P224,0,AC$13),15-13*ORÇAMENTO!$AF$7)/$H224*OFFSET(ORÇAMENTO!$X$15,ROW(AC224)-ROW(AC$15),0),
ROUND(ROUND(OFFSET($P224,0,AC$13),15-13*ORÇAMENTO!$AF$7)*OFFSET(ORÇAMENTO!$W$15,ROW(AC224)-ROW(AC$15),0),15-13*ORÇAMENTO!$AF$11)),0)</f>
        <v>0</v>
      </c>
      <c r="AD224" s="545">
        <f ca="1">IF(AND($D224="Serviço",AD$12&lt;&gt;0,$H224&gt;0,OR(AUTOEVENTO&lt;&gt;"manual",$M224&lt;&gt;1)),
IF(Import.TipoArredondamento&lt;&gt;"TransfereGOV",
ROUND(OFFSET($P224,0,AD$13),15-13*ORÇAMENTO!$AF$7)/$H224*OFFSET(ORÇAMENTO!$X$15,ROW(AD224)-ROW(AD$15),0),
ROUND(ROUND(OFFSET($P224,0,AD$13),15-13*ORÇAMENTO!$AF$7)*OFFSET(ORÇAMENTO!$W$15,ROW(AD224)-ROW(AD$15),0),15-13*ORÇAMENTO!$AF$11)),0)</f>
        <v>0</v>
      </c>
      <c r="AE224" s="545">
        <f ca="1">IF(AND($D224="Serviço",AE$12&lt;&gt;0,$H224&gt;0,OR(AUTOEVENTO&lt;&gt;"manual",$M224&lt;&gt;1)),
IF(Import.TipoArredondamento&lt;&gt;"TransfereGOV",
ROUND(OFFSET($P224,0,AE$13),15-13*ORÇAMENTO!$AF$7)/$H224*OFFSET(ORÇAMENTO!$X$15,ROW(AE224)-ROW(AE$15),0),
ROUND(ROUND(OFFSET($P224,0,AE$13),15-13*ORÇAMENTO!$AF$7)*OFFSET(ORÇAMENTO!$W$15,ROW(AE224)-ROW(AE$15),0),15-13*ORÇAMENTO!$AF$11)),0)</f>
        <v>0</v>
      </c>
      <c r="AF224" s="545">
        <f ca="1">IF(AND($D224="Serviço",AF$12&lt;&gt;0,$H224&gt;0,OR(AUTOEVENTO&lt;&gt;"manual",$M224&lt;&gt;1)),
IF(Import.TipoArredondamento&lt;&gt;"TransfereGOV",
ROUND(OFFSET($P224,0,AF$13),15-13*ORÇAMENTO!$AF$7)/$H224*OFFSET(ORÇAMENTO!$X$15,ROW(AF224)-ROW(AF$15),0),
ROUND(ROUND(OFFSET($P224,0,AF$13),15-13*ORÇAMENTO!$AF$7)*OFFSET(ORÇAMENTO!$W$15,ROW(AF224)-ROW(AF$15),0),15-13*ORÇAMENTO!$AF$11)),0)</f>
        <v>0</v>
      </c>
      <c r="AG224" s="545">
        <f ca="1">IF(AND($D224="Serviço",AG$12&lt;&gt;0,$H224&gt;0,OR(AUTOEVENTO&lt;&gt;"manual",$M224&lt;&gt;1)),
IF(Import.TipoArredondamento&lt;&gt;"TransfereGOV",
ROUND(OFFSET($P224,0,AG$13),15-13*ORÇAMENTO!$AF$7)/$H224*OFFSET(ORÇAMENTO!$X$15,ROW(AG224)-ROW(AG$15),0),
ROUND(ROUND(OFFSET($P224,0,AG$13),15-13*ORÇAMENTO!$AF$7)*OFFSET(ORÇAMENTO!$W$15,ROW(AG224)-ROW(AG$15),0),15-13*ORÇAMENTO!$AF$11)),0)</f>
        <v>0</v>
      </c>
      <c r="AH224" s="545">
        <f ca="1">IF(AND($D224="Serviço",AH$12&lt;&gt;0,$H224&gt;0,OR(AUTOEVENTO&lt;&gt;"manual",$M224&lt;&gt;1)),
IF(Import.TipoArredondamento&lt;&gt;"TransfereGOV",
ROUND(OFFSET($P224,0,AH$13),15-13*ORÇAMENTO!$AF$7)/$H224*OFFSET(ORÇAMENTO!$X$15,ROW(AH224)-ROW(AH$15),0),
ROUND(ROUND(OFFSET($P224,0,AH$13),15-13*ORÇAMENTO!$AF$7)*OFFSET(ORÇAMENTO!$W$15,ROW(AH224)-ROW(AH$15),0),15-13*ORÇAMENTO!$AF$11)),0)</f>
        <v>0</v>
      </c>
      <c r="AI224" s="545">
        <f ca="1">IF(AND($D224="Serviço",AI$12&lt;&gt;0,$H224&gt;0,OR(AUTOEVENTO&lt;&gt;"manual",$M224&lt;&gt;1)),
IF(Import.TipoArredondamento&lt;&gt;"TransfereGOV",
ROUND(OFFSET($P224,0,AI$13),15-13*ORÇAMENTO!$AF$7)/$H224*OFFSET(ORÇAMENTO!$X$15,ROW(AI224)-ROW(AI$15),0),
ROUND(ROUND(OFFSET($P224,0,AI$13),15-13*ORÇAMENTO!$AF$7)*OFFSET(ORÇAMENTO!$W$15,ROW(AI224)-ROW(AI$15),0),15-13*ORÇAMENTO!$AF$11)),0)</f>
        <v>0</v>
      </c>
      <c r="AJ224" s="545">
        <f ca="1">IF(AND($D224="Serviço",AJ$12&lt;&gt;0,$H224&gt;0,OR(AUTOEVENTO&lt;&gt;"manual",$M224&lt;&gt;1)),
IF(Import.TipoArredondamento&lt;&gt;"TransfereGOV",
ROUND(OFFSET($P224,0,AJ$13),15-13*ORÇAMENTO!$AF$7)/$H224*OFFSET(ORÇAMENTO!$X$15,ROW(AJ224)-ROW(AJ$15),0),
ROUND(ROUND(OFFSET($P224,0,AJ$13),15-13*ORÇAMENTO!$AF$7)*OFFSET(ORÇAMENTO!$W$15,ROW(AJ224)-ROW(AJ$15),0),15-13*ORÇAMENTO!$AF$11)),0)</f>
        <v>0</v>
      </c>
      <c r="AK224" s="546">
        <f ca="1">IF(AND($D224="Serviço",AK$12&lt;&gt;0,$H224&gt;0,OR(AUTOEVENTO&lt;&gt;"manual",$M224&lt;&gt;1)),
IF(Import.TipoArredondamento&lt;&gt;"TransfereGOV",
ROUND(OFFSET($P224,0,AK$13),15-13*ORÇAMENTO!$AF$7)/$H224*OFFSET(ORÇAMENTO!$X$15,ROW(AK224)-ROW(AK$15),0),
ROUND(ROUND(OFFSET($P224,0,AK$13),15-13*ORÇAMENTO!$AF$7)*OFFSET(ORÇAMENTO!$W$15,ROW(AK224)-ROW(AK$15),0),15-13*ORÇAMENTO!$AF$11)),0)</f>
        <v>0</v>
      </c>
      <c r="AM224" s="181">
        <f ca="1">IF($D224&lt;&gt;"Serviço",0,IF(AND(AUTOEVENTO="Manual",$M224=1),0,IF(OFFSET(CRONOPLE!$F$14,$M224,AM$13)="",10^12,OFFSET(CRONOPLE!$F$14,$M224,AM$13))))</f>
        <v>1000000000000</v>
      </c>
      <c r="AN224" s="181">
        <f ca="1">IF($D224&lt;&gt;"Serviço",0,IF(AND(AUTOEVENTO="Manual",$M224=1),0,IF(OFFSET(CRONOPLE!$F$14,$M224,AN$13)="",10^12,OFFSET(CRONOPLE!$F$14,$M224,AN$13))))</f>
        <v>1000000000000</v>
      </c>
      <c r="AO224" s="181">
        <f ca="1">IF($D224&lt;&gt;"Serviço",0,IF(AND(AUTOEVENTO="Manual",$M224=1),0,IF(OFFSET(CRONOPLE!$F$14,$M224,AO$13)="",10^12,OFFSET(CRONOPLE!$F$14,$M224,AO$13))))</f>
        <v>1000000000000</v>
      </c>
      <c r="AP224" s="181">
        <f ca="1">IF($D224&lt;&gt;"Serviço",0,IF(AND(AUTOEVENTO="Manual",$M224=1),0,IF(OFFSET(CRONOPLE!$F$14,$M224,AP$13)="",10^12,OFFSET(CRONOPLE!$F$14,$M224,AP$13))))</f>
        <v>1000000000000</v>
      </c>
      <c r="AQ224" s="181">
        <f ca="1">IF($D224&lt;&gt;"Serviço",0,IF(AND(AUTOEVENTO="Manual",$M224=1),0,IF(OFFSET(CRONOPLE!$F$14,$M224,AQ$13)="",10^12,OFFSET(CRONOPLE!$F$14,$M224,AQ$13))))</f>
        <v>1000000000000</v>
      </c>
      <c r="AR224" s="181">
        <f ca="1">IF($D224&lt;&gt;"Serviço",0,IF(AND(AUTOEVENTO="Manual",$M224=1),0,IF(OFFSET(CRONOPLE!$F$14,$M224,AR$13)="",10^12,OFFSET(CRONOPLE!$F$14,$M224,AR$13))))</f>
        <v>1000000000000</v>
      </c>
      <c r="AS224" s="181">
        <f ca="1">IF($D224&lt;&gt;"Serviço",0,IF(AND(AUTOEVENTO="Manual",$M224=1),0,IF(OFFSET(CRONOPLE!$F$14,$M224,AS$13)="",10^12,OFFSET(CRONOPLE!$F$14,$M224,AS$13))))</f>
        <v>1000000000000</v>
      </c>
      <c r="AT224" s="181">
        <f ca="1">IF($D224&lt;&gt;"Serviço",0,IF(AND(AUTOEVENTO="Manual",$M224=1),0,IF(OFFSET(CRONOPLE!$F$14,$M224,AT$13)="",10^12,OFFSET(CRONOPLE!$F$14,$M224,AT$13))))</f>
        <v>1000000000000</v>
      </c>
      <c r="AU224" s="181">
        <f ca="1">IF($D224&lt;&gt;"Serviço",0,IF(AND(AUTOEVENTO="Manual",$M224=1),0,IF(OFFSET(CRONOPLE!$F$14,$M224,AU$13)="",10^12,OFFSET(CRONOPLE!$F$14,$M224,AU$13))))</f>
        <v>1000000000000</v>
      </c>
      <c r="AV224" s="181">
        <f ca="1">IF($D224&lt;&gt;"Serviço",0,IF(AND(AUTOEVENTO="Manual",$M224=1),0,IF(OFFSET(CRONOPLE!$F$14,$M224,AV$13)="",10^12,OFFSET(CRONOPLE!$F$14,$M224,AV$13))))</f>
        <v>1000000000000</v>
      </c>
      <c r="AX224" s="182">
        <f ca="1">IF($D224&lt;&gt;"Serviço",0,IF(OR(AND(AUTOEVENTO="Manual",$M224=1),$M224&gt;(ROW(PLE.lastrow)-ROW(PLE.firstrow))),0,IF(OFFSET(PLE!$G$14,$M224,AX$13)="",10^12,OFFSET(PLE!$G$14,$M224,AX$13))))</f>
        <v>1000000000000</v>
      </c>
      <c r="AY224" s="182">
        <f ca="1">IF($D224&lt;&gt;"Serviço",0,IF(OR(AND(AUTOEVENTO="Manual",$M224=1),$M224&gt;(ROW(PLE.lastrow)-ROW(PLE.firstrow))),0,IF(OFFSET(PLE!$G$14,$M224,AY$13)="",10^12,OFFSET(PLE!$G$14,$M224,AY$13))))</f>
        <v>1000000000000</v>
      </c>
      <c r="AZ224" s="182">
        <f ca="1">IF($D224&lt;&gt;"Serviço",0,IF(OR(AND(AUTOEVENTO="Manual",$M224=1),$M224&gt;(ROW(PLE.lastrow)-ROW(PLE.firstrow))),0,IF(OFFSET(PLE!$G$14,$M224,AZ$13)="",10^12,OFFSET(PLE!$G$14,$M224,AZ$13))))</f>
        <v>1000000000000</v>
      </c>
      <c r="BA224" s="182">
        <f ca="1">IF($D224&lt;&gt;"Serviço",0,IF(OR(AND(AUTOEVENTO="Manual",$M224=1),$M224&gt;(ROW(PLE.lastrow)-ROW(PLE.firstrow))),0,IF(OFFSET(PLE!$G$14,$M224,BA$13)="",10^12,OFFSET(PLE!$G$14,$M224,BA$13))))</f>
        <v>1000000000000</v>
      </c>
      <c r="BB224" s="182">
        <f ca="1">IF($D224&lt;&gt;"Serviço",0,IF(OR(AND(AUTOEVENTO="Manual",$M224=1),$M224&gt;(ROW(PLE.lastrow)-ROW(PLE.firstrow))),0,IF(OFFSET(PLE!$G$14,$M224,BB$13)="",10^12,OFFSET(PLE!$G$14,$M224,BB$13))))</f>
        <v>1000000000000</v>
      </c>
      <c r="BC224" s="182">
        <f ca="1">IF($D224&lt;&gt;"Serviço",0,IF(OR(AND(AUTOEVENTO="Manual",$M224=1),$M224&gt;(ROW(PLE.lastrow)-ROW(PLE.firstrow))),0,IF(OFFSET(PLE!$G$14,$M224,BC$13)="",10^12,OFFSET(PLE!$G$14,$M224,BC$13))))</f>
        <v>1000000000000</v>
      </c>
      <c r="BD224" s="182">
        <f ca="1">IF($D224&lt;&gt;"Serviço",0,IF(OR(AND(AUTOEVENTO="Manual",$M224=1),$M224&gt;(ROW(PLE.lastrow)-ROW(PLE.firstrow))),0,IF(OFFSET(PLE!$G$14,$M224,BD$13)="",10^12,OFFSET(PLE!$G$14,$M224,BD$13))))</f>
        <v>1000000000000</v>
      </c>
      <c r="BE224" s="182">
        <f ca="1">IF($D224&lt;&gt;"Serviço",0,IF(OR(AND(AUTOEVENTO="Manual",$M224=1),$M224&gt;(ROW(PLE.lastrow)-ROW(PLE.firstrow))),0,IF(OFFSET(PLE!$G$14,$M224,BE$13)="",10^12,OFFSET(PLE!$G$14,$M224,BE$13))))</f>
        <v>1000000000000</v>
      </c>
      <c r="BF224" s="182">
        <f ca="1">IF($D224&lt;&gt;"Serviço",0,IF(OR(AND(AUTOEVENTO="Manual",$M224=1),$M224&gt;(ROW(PLE.lastrow)-ROW(PLE.firstrow))),0,IF(OFFSET(PLE!$G$14,$M224,BF$13)="",10^12,OFFSET(PLE!$G$14,$M224,BF$13))))</f>
        <v>1000000000000</v>
      </c>
      <c r="BG224" s="182">
        <f ca="1">IF($D224&lt;&gt;"Serviço",0,IF(OR(AND(AUTOEVENTO="Manual",$M224=1),$M224&gt;(ROW(PLE.lastrow)-ROW(PLE.firstrow))),0,IF(OFFSET(PLE!$G$14,$M224,BG$13)="",10^12,OFFSET(PLE!$G$14,$M224,BG$13))))</f>
        <v>1000000000000</v>
      </c>
    </row>
    <row r="225" spans="1:59" ht="12.75" x14ac:dyDescent="0.2">
      <c r="A225" s="7" t="str">
        <f t="shared" ca="1" si="11"/>
        <v>191</v>
      </c>
      <c r="B225" s="7" t="str">
        <f ca="1">OFFSET(ORÇAMENTO!C$15,ROW(B225)-ROW(B$15),0)</f>
        <v>S</v>
      </c>
      <c r="C225" s="7" t="str">
        <f ca="1">OFFSET(ORÇAMENTO!L$15,ROW(C225)-ROW(C$15),0)</f>
        <v/>
      </c>
      <c r="D225" s="118" t="str">
        <f ca="1">OFFSET(ORÇAMENTO!N$15,ROW(D225)-ROW(D$15),0)</f>
        <v>Serviço</v>
      </c>
      <c r="E225" s="119" t="str">
        <f ca="1">OFFSET(ORÇAMENTO!O$15,ROW(E225)-ROW(E$15),0)</f>
        <v>-</v>
      </c>
      <c r="F225" s="172" t="str">
        <f ca="1">OFFSET(ORÇAMENTO!R$15,ROW(F225)-ROW(F$15),0)</f>
        <v>(abra o arquivo 'Referência 02-2025.xlsm)</v>
      </c>
      <c r="G225" s="173" t="str">
        <f ca="1">IF($D225&lt;&gt;"Serviço","",OFFSET(ORÇAMENTO!S$15,ROW(G225)-ROW(G$15),0))</f>
        <v>-</v>
      </c>
      <c r="H225" s="124">
        <f ca="1">IF($D225&lt;&gt;"Serviço",0,IF(ACOMPANHAMENTO="BM",ROUND(OFFSET(ORÇAMENTO!AJ$15,ROW(H225)-ROW(H$15),0),15-13*ORÇAMENTO!$AF$7),SUMPRODUCT(($Q$12:$AA$12&lt;&gt;"")*ROUND($Q225:$AA225,15-13*ORÇAMENTO!$AF$7))))</f>
        <v>199.86</v>
      </c>
      <c r="I225" s="561" t="s">
        <v>890</v>
      </c>
      <c r="K225" s="174"/>
      <c r="L225" s="175" t="s">
        <v>255</v>
      </c>
      <c r="M225" s="176">
        <f ca="1">IF($D225&lt;&gt;"Serviço","",IF(AUTOEVENTO="manual",$A225,IF(ISERROR(MATCH($A225,$A$15:OFFSET($A225,-1,0),0)),MAX($M$15:OFFSET(M225,-1,0))+1,INDEX($M$15:OFFSET(M225,-1,0),MATCH($A225,$A$15:OFFSET($A225,-1,0),0)))))</f>
        <v>11</v>
      </c>
      <c r="N225" s="177" t="str">
        <f ca="1">IF($D225&lt;&gt;"Serviço","",IF(AUTOEVENTO="Manual",IF($A225=0,"&lt;-- defina o número do agrupador",OFFSET(EVENTOS!$D$14,$A225,0)),OFFSET($F$15,$A225,0)))</f>
        <v>SISTEMAS DE PISOS</v>
      </c>
      <c r="O225" s="178"/>
      <c r="Q225" s="178"/>
      <c r="R225" s="179"/>
      <c r="S225" s="179"/>
      <c r="T225" s="179"/>
      <c r="U225" s="179"/>
      <c r="V225" s="179"/>
      <c r="W225" s="179"/>
      <c r="X225" s="179"/>
      <c r="Y225" s="179"/>
      <c r="Z225" s="180"/>
      <c r="AB225" s="544">
        <f ca="1">IF(AND($D225="Serviço",AB$12&lt;&gt;0,$H225&gt;0,OR(AUTOEVENTO&lt;&gt;"manual",$M225&lt;&gt;1)),
IF(Import.TipoArredondamento&lt;&gt;"TransfereGOV",
ROUND(OFFSET($P225,0,AB$13),15-13*ORÇAMENTO!$AF$7)/$H225*OFFSET(ORÇAMENTO!$X$15,ROW(AB225)-ROW(AB$15),0),
ROUND(ROUND(OFFSET($P225,0,AB$13),15-13*ORÇAMENTO!$AF$7)*OFFSET(ORÇAMENTO!$W$15,ROW(AB225)-ROW(AB$15),0),15-13*ORÇAMENTO!$AF$11)),0)</f>
        <v>0</v>
      </c>
      <c r="AC225" s="545">
        <f ca="1">IF(AND($D225="Serviço",AC$12&lt;&gt;0,$H225&gt;0,OR(AUTOEVENTO&lt;&gt;"manual",$M225&lt;&gt;1)),
IF(Import.TipoArredondamento&lt;&gt;"TransfereGOV",
ROUND(OFFSET($P225,0,AC$13),15-13*ORÇAMENTO!$AF$7)/$H225*OFFSET(ORÇAMENTO!$X$15,ROW(AC225)-ROW(AC$15),0),
ROUND(ROUND(OFFSET($P225,0,AC$13),15-13*ORÇAMENTO!$AF$7)*OFFSET(ORÇAMENTO!$W$15,ROW(AC225)-ROW(AC$15),0),15-13*ORÇAMENTO!$AF$11)),0)</f>
        <v>0</v>
      </c>
      <c r="AD225" s="545">
        <f ca="1">IF(AND($D225="Serviço",AD$12&lt;&gt;0,$H225&gt;0,OR(AUTOEVENTO&lt;&gt;"manual",$M225&lt;&gt;1)),
IF(Import.TipoArredondamento&lt;&gt;"TransfereGOV",
ROUND(OFFSET($P225,0,AD$13),15-13*ORÇAMENTO!$AF$7)/$H225*OFFSET(ORÇAMENTO!$X$15,ROW(AD225)-ROW(AD$15),0),
ROUND(ROUND(OFFSET($P225,0,AD$13),15-13*ORÇAMENTO!$AF$7)*OFFSET(ORÇAMENTO!$W$15,ROW(AD225)-ROW(AD$15),0),15-13*ORÇAMENTO!$AF$11)),0)</f>
        <v>0</v>
      </c>
      <c r="AE225" s="545">
        <f ca="1">IF(AND($D225="Serviço",AE$12&lt;&gt;0,$H225&gt;0,OR(AUTOEVENTO&lt;&gt;"manual",$M225&lt;&gt;1)),
IF(Import.TipoArredondamento&lt;&gt;"TransfereGOV",
ROUND(OFFSET($P225,0,AE$13),15-13*ORÇAMENTO!$AF$7)/$H225*OFFSET(ORÇAMENTO!$X$15,ROW(AE225)-ROW(AE$15),0),
ROUND(ROUND(OFFSET($P225,0,AE$13),15-13*ORÇAMENTO!$AF$7)*OFFSET(ORÇAMENTO!$W$15,ROW(AE225)-ROW(AE$15),0),15-13*ORÇAMENTO!$AF$11)),0)</f>
        <v>0</v>
      </c>
      <c r="AF225" s="545">
        <f ca="1">IF(AND($D225="Serviço",AF$12&lt;&gt;0,$H225&gt;0,OR(AUTOEVENTO&lt;&gt;"manual",$M225&lt;&gt;1)),
IF(Import.TipoArredondamento&lt;&gt;"TransfereGOV",
ROUND(OFFSET($P225,0,AF$13),15-13*ORÇAMENTO!$AF$7)/$H225*OFFSET(ORÇAMENTO!$X$15,ROW(AF225)-ROW(AF$15),0),
ROUND(ROUND(OFFSET($P225,0,AF$13),15-13*ORÇAMENTO!$AF$7)*OFFSET(ORÇAMENTO!$W$15,ROW(AF225)-ROW(AF$15),0),15-13*ORÇAMENTO!$AF$11)),0)</f>
        <v>0</v>
      </c>
      <c r="AG225" s="545">
        <f ca="1">IF(AND($D225="Serviço",AG$12&lt;&gt;0,$H225&gt;0,OR(AUTOEVENTO&lt;&gt;"manual",$M225&lt;&gt;1)),
IF(Import.TipoArredondamento&lt;&gt;"TransfereGOV",
ROUND(OFFSET($P225,0,AG$13),15-13*ORÇAMENTO!$AF$7)/$H225*OFFSET(ORÇAMENTO!$X$15,ROW(AG225)-ROW(AG$15),0),
ROUND(ROUND(OFFSET($P225,0,AG$13),15-13*ORÇAMENTO!$AF$7)*OFFSET(ORÇAMENTO!$W$15,ROW(AG225)-ROW(AG$15),0),15-13*ORÇAMENTO!$AF$11)),0)</f>
        <v>0</v>
      </c>
      <c r="AH225" s="545">
        <f ca="1">IF(AND($D225="Serviço",AH$12&lt;&gt;0,$H225&gt;0,OR(AUTOEVENTO&lt;&gt;"manual",$M225&lt;&gt;1)),
IF(Import.TipoArredondamento&lt;&gt;"TransfereGOV",
ROUND(OFFSET($P225,0,AH$13),15-13*ORÇAMENTO!$AF$7)/$H225*OFFSET(ORÇAMENTO!$X$15,ROW(AH225)-ROW(AH$15),0),
ROUND(ROUND(OFFSET($P225,0,AH$13),15-13*ORÇAMENTO!$AF$7)*OFFSET(ORÇAMENTO!$W$15,ROW(AH225)-ROW(AH$15),0),15-13*ORÇAMENTO!$AF$11)),0)</f>
        <v>0</v>
      </c>
      <c r="AI225" s="545">
        <f ca="1">IF(AND($D225="Serviço",AI$12&lt;&gt;0,$H225&gt;0,OR(AUTOEVENTO&lt;&gt;"manual",$M225&lt;&gt;1)),
IF(Import.TipoArredondamento&lt;&gt;"TransfereGOV",
ROUND(OFFSET($P225,0,AI$13),15-13*ORÇAMENTO!$AF$7)/$H225*OFFSET(ORÇAMENTO!$X$15,ROW(AI225)-ROW(AI$15),0),
ROUND(ROUND(OFFSET($P225,0,AI$13),15-13*ORÇAMENTO!$AF$7)*OFFSET(ORÇAMENTO!$W$15,ROW(AI225)-ROW(AI$15),0),15-13*ORÇAMENTO!$AF$11)),0)</f>
        <v>0</v>
      </c>
      <c r="AJ225" s="545">
        <f ca="1">IF(AND($D225="Serviço",AJ$12&lt;&gt;0,$H225&gt;0,OR(AUTOEVENTO&lt;&gt;"manual",$M225&lt;&gt;1)),
IF(Import.TipoArredondamento&lt;&gt;"TransfereGOV",
ROUND(OFFSET($P225,0,AJ$13),15-13*ORÇAMENTO!$AF$7)/$H225*OFFSET(ORÇAMENTO!$X$15,ROW(AJ225)-ROW(AJ$15),0),
ROUND(ROUND(OFFSET($P225,0,AJ$13),15-13*ORÇAMENTO!$AF$7)*OFFSET(ORÇAMENTO!$W$15,ROW(AJ225)-ROW(AJ$15),0),15-13*ORÇAMENTO!$AF$11)),0)</f>
        <v>0</v>
      </c>
      <c r="AK225" s="546">
        <f ca="1">IF(AND($D225="Serviço",AK$12&lt;&gt;0,$H225&gt;0,OR(AUTOEVENTO&lt;&gt;"manual",$M225&lt;&gt;1)),
IF(Import.TipoArredondamento&lt;&gt;"TransfereGOV",
ROUND(OFFSET($P225,0,AK$13),15-13*ORÇAMENTO!$AF$7)/$H225*OFFSET(ORÇAMENTO!$X$15,ROW(AK225)-ROW(AK$15),0),
ROUND(ROUND(OFFSET($P225,0,AK$13),15-13*ORÇAMENTO!$AF$7)*OFFSET(ORÇAMENTO!$W$15,ROW(AK225)-ROW(AK$15),0),15-13*ORÇAMENTO!$AF$11)),0)</f>
        <v>0</v>
      </c>
      <c r="AM225" s="181">
        <f ca="1">IF($D225&lt;&gt;"Serviço",0,IF(AND(AUTOEVENTO="Manual",$M225=1),0,IF(OFFSET(CRONOPLE!$F$14,$M225,AM$13)="",10^12,OFFSET(CRONOPLE!$F$14,$M225,AM$13))))</f>
        <v>1000000000000</v>
      </c>
      <c r="AN225" s="181">
        <f ca="1">IF($D225&lt;&gt;"Serviço",0,IF(AND(AUTOEVENTO="Manual",$M225=1),0,IF(OFFSET(CRONOPLE!$F$14,$M225,AN$13)="",10^12,OFFSET(CRONOPLE!$F$14,$M225,AN$13))))</f>
        <v>1000000000000</v>
      </c>
      <c r="AO225" s="181">
        <f ca="1">IF($D225&lt;&gt;"Serviço",0,IF(AND(AUTOEVENTO="Manual",$M225=1),0,IF(OFFSET(CRONOPLE!$F$14,$M225,AO$13)="",10^12,OFFSET(CRONOPLE!$F$14,$M225,AO$13))))</f>
        <v>1000000000000</v>
      </c>
      <c r="AP225" s="181">
        <f ca="1">IF($D225&lt;&gt;"Serviço",0,IF(AND(AUTOEVENTO="Manual",$M225=1),0,IF(OFFSET(CRONOPLE!$F$14,$M225,AP$13)="",10^12,OFFSET(CRONOPLE!$F$14,$M225,AP$13))))</f>
        <v>1000000000000</v>
      </c>
      <c r="AQ225" s="181">
        <f ca="1">IF($D225&lt;&gt;"Serviço",0,IF(AND(AUTOEVENTO="Manual",$M225=1),0,IF(OFFSET(CRONOPLE!$F$14,$M225,AQ$13)="",10^12,OFFSET(CRONOPLE!$F$14,$M225,AQ$13))))</f>
        <v>1000000000000</v>
      </c>
      <c r="AR225" s="181">
        <f ca="1">IF($D225&lt;&gt;"Serviço",0,IF(AND(AUTOEVENTO="Manual",$M225=1),0,IF(OFFSET(CRONOPLE!$F$14,$M225,AR$13)="",10^12,OFFSET(CRONOPLE!$F$14,$M225,AR$13))))</f>
        <v>1000000000000</v>
      </c>
      <c r="AS225" s="181">
        <f ca="1">IF($D225&lt;&gt;"Serviço",0,IF(AND(AUTOEVENTO="Manual",$M225=1),0,IF(OFFSET(CRONOPLE!$F$14,$M225,AS$13)="",10^12,OFFSET(CRONOPLE!$F$14,$M225,AS$13))))</f>
        <v>1000000000000</v>
      </c>
      <c r="AT225" s="181">
        <f ca="1">IF($D225&lt;&gt;"Serviço",0,IF(AND(AUTOEVENTO="Manual",$M225=1),0,IF(OFFSET(CRONOPLE!$F$14,$M225,AT$13)="",10^12,OFFSET(CRONOPLE!$F$14,$M225,AT$13))))</f>
        <v>1000000000000</v>
      </c>
      <c r="AU225" s="181">
        <f ca="1">IF($D225&lt;&gt;"Serviço",0,IF(AND(AUTOEVENTO="Manual",$M225=1),0,IF(OFFSET(CRONOPLE!$F$14,$M225,AU$13)="",10^12,OFFSET(CRONOPLE!$F$14,$M225,AU$13))))</f>
        <v>1000000000000</v>
      </c>
      <c r="AV225" s="181">
        <f ca="1">IF($D225&lt;&gt;"Serviço",0,IF(AND(AUTOEVENTO="Manual",$M225=1),0,IF(OFFSET(CRONOPLE!$F$14,$M225,AV$13)="",10^12,OFFSET(CRONOPLE!$F$14,$M225,AV$13))))</f>
        <v>1000000000000</v>
      </c>
      <c r="AX225" s="182">
        <f ca="1">IF($D225&lt;&gt;"Serviço",0,IF(OR(AND(AUTOEVENTO="Manual",$M225=1),$M225&gt;(ROW(PLE.lastrow)-ROW(PLE.firstrow))),0,IF(OFFSET(PLE!$G$14,$M225,AX$13)="",10^12,OFFSET(PLE!$G$14,$M225,AX$13))))</f>
        <v>1000000000000</v>
      </c>
      <c r="AY225" s="182">
        <f ca="1">IF($D225&lt;&gt;"Serviço",0,IF(OR(AND(AUTOEVENTO="Manual",$M225=1),$M225&gt;(ROW(PLE.lastrow)-ROW(PLE.firstrow))),0,IF(OFFSET(PLE!$G$14,$M225,AY$13)="",10^12,OFFSET(PLE!$G$14,$M225,AY$13))))</f>
        <v>1000000000000</v>
      </c>
      <c r="AZ225" s="182">
        <f ca="1">IF($D225&lt;&gt;"Serviço",0,IF(OR(AND(AUTOEVENTO="Manual",$M225=1),$M225&gt;(ROW(PLE.lastrow)-ROW(PLE.firstrow))),0,IF(OFFSET(PLE!$G$14,$M225,AZ$13)="",10^12,OFFSET(PLE!$G$14,$M225,AZ$13))))</f>
        <v>1000000000000</v>
      </c>
      <c r="BA225" s="182">
        <f ca="1">IF($D225&lt;&gt;"Serviço",0,IF(OR(AND(AUTOEVENTO="Manual",$M225=1),$M225&gt;(ROW(PLE.lastrow)-ROW(PLE.firstrow))),0,IF(OFFSET(PLE!$G$14,$M225,BA$13)="",10^12,OFFSET(PLE!$G$14,$M225,BA$13))))</f>
        <v>1000000000000</v>
      </c>
      <c r="BB225" s="182">
        <f ca="1">IF($D225&lt;&gt;"Serviço",0,IF(OR(AND(AUTOEVENTO="Manual",$M225=1),$M225&gt;(ROW(PLE.lastrow)-ROW(PLE.firstrow))),0,IF(OFFSET(PLE!$G$14,$M225,BB$13)="",10^12,OFFSET(PLE!$G$14,$M225,BB$13))))</f>
        <v>1000000000000</v>
      </c>
      <c r="BC225" s="182">
        <f ca="1">IF($D225&lt;&gt;"Serviço",0,IF(OR(AND(AUTOEVENTO="Manual",$M225=1),$M225&gt;(ROW(PLE.lastrow)-ROW(PLE.firstrow))),0,IF(OFFSET(PLE!$G$14,$M225,BC$13)="",10^12,OFFSET(PLE!$G$14,$M225,BC$13))))</f>
        <v>1000000000000</v>
      </c>
      <c r="BD225" s="182">
        <f ca="1">IF($D225&lt;&gt;"Serviço",0,IF(OR(AND(AUTOEVENTO="Manual",$M225=1),$M225&gt;(ROW(PLE.lastrow)-ROW(PLE.firstrow))),0,IF(OFFSET(PLE!$G$14,$M225,BD$13)="",10^12,OFFSET(PLE!$G$14,$M225,BD$13))))</f>
        <v>1000000000000</v>
      </c>
      <c r="BE225" s="182">
        <f ca="1">IF($D225&lt;&gt;"Serviço",0,IF(OR(AND(AUTOEVENTO="Manual",$M225=1),$M225&gt;(ROW(PLE.lastrow)-ROW(PLE.firstrow))),0,IF(OFFSET(PLE!$G$14,$M225,BE$13)="",10^12,OFFSET(PLE!$G$14,$M225,BE$13))))</f>
        <v>1000000000000</v>
      </c>
      <c r="BF225" s="182">
        <f ca="1">IF($D225&lt;&gt;"Serviço",0,IF(OR(AND(AUTOEVENTO="Manual",$M225=1),$M225&gt;(ROW(PLE.lastrow)-ROW(PLE.firstrow))),0,IF(OFFSET(PLE!$G$14,$M225,BF$13)="",10^12,OFFSET(PLE!$G$14,$M225,BF$13))))</f>
        <v>1000000000000</v>
      </c>
      <c r="BG225" s="182">
        <f ca="1">IF($D225&lt;&gt;"Serviço",0,IF(OR(AND(AUTOEVENTO="Manual",$M225=1),$M225&gt;(ROW(PLE.lastrow)-ROW(PLE.firstrow))),0,IF(OFFSET(PLE!$G$14,$M225,BG$13)="",10^12,OFFSET(PLE!$G$14,$M225,BG$13))))</f>
        <v>1000000000000</v>
      </c>
    </row>
    <row r="226" spans="1:59" ht="25.5" x14ac:dyDescent="0.2">
      <c r="A226" s="7" t="str">
        <f ca="1">IF(AUTOEVENTO="Manual",IF(K226&lt;&gt;"",MIN(VALUE(LEFT(K226,FIND(".",K226)-1)),COUNTA(EVENTOS.Lista)),0),IF(OR($B226&gt;AUTOEVENTO,$B226="S",$B226=0),SUBSTITUTE(OFFSET($A226,-1,0),IF($D226="Serviço",".",""),""),ROW(A226)-ROW($A$15)&amp;"."))</f>
        <v>191</v>
      </c>
      <c r="B226" s="7" t="str">
        <f ca="1">OFFSET(ORÇAMENTO!C$15,ROW(B226)-ROW(B$15),0)</f>
        <v>S</v>
      </c>
      <c r="C226" s="7" t="str">
        <f ca="1">OFFSET(ORÇAMENTO!L$15,ROW(C226)-ROW(C$15),0)</f>
        <v/>
      </c>
      <c r="D226" s="118" t="str">
        <f ca="1">OFFSET(ORÇAMENTO!N$15,ROW(D226)-ROW(D$15),0)</f>
        <v>Serviço</v>
      </c>
      <c r="E226" s="119" t="str">
        <f ca="1">OFFSET(ORÇAMENTO!O$15,ROW(E226)-ROW(E$15),0)</f>
        <v>-</v>
      </c>
      <c r="F226" s="172" t="str">
        <f ca="1">OFFSET(ORÇAMENTO!R$15,ROW(F226)-ROW(F$15),0)</f>
        <v>(abra o arquivo 'Referência 02-2025.xlsm)</v>
      </c>
      <c r="G226" s="173" t="str">
        <f ca="1">IF($D226&lt;&gt;"Serviço","",OFFSET(ORÇAMENTO!S$15,ROW(G226)-ROW(G$15),0))</f>
        <v>-</v>
      </c>
      <c r="H226" s="124">
        <f ca="1">IF($D226&lt;&gt;"Serviço",0,IF(ACOMPANHAMENTO="BM",ROUND(OFFSET(ORÇAMENTO!AJ$15,ROW(H226)-ROW(H$15),0),15-13*ORÇAMENTO!$AF$7),SUMPRODUCT(($Q$12:$AA$12&lt;&gt;"")*ROUND($Q226:$AA226,15-13*ORÇAMENTO!$AF$7))))</f>
        <v>107.69</v>
      </c>
      <c r="I226" s="561"/>
      <c r="K226" s="174"/>
      <c r="L226" s="175" t="s">
        <v>255</v>
      </c>
      <c r="M226" s="176">
        <f ca="1">IF($D226&lt;&gt;"Serviço","",IF(AUTOEVENTO="manual",$A226,IF(ISERROR(MATCH($A226,$A$15:OFFSET($A226,-1,0),0)),MAX($M$15:OFFSET(M226,-1,0))+1,INDEX($M$15:OFFSET(M226,-1,0),MATCH($A226,$A$15:OFFSET($A226,-1,0),0)))))</f>
        <v>11</v>
      </c>
      <c r="N226" s="177" t="str">
        <f ca="1">IF($D226&lt;&gt;"Serviço","",IF(AUTOEVENTO="Manual",IF($A226=0,"&lt;-- defina o número do agrupador",OFFSET(EVENTOS!$D$14,$A226,0)),OFFSET($F$15,$A226,0)))</f>
        <v>SISTEMAS DE PISOS</v>
      </c>
      <c r="O226" s="178"/>
      <c r="Q226" s="178"/>
      <c r="R226" s="179"/>
      <c r="S226" s="179"/>
      <c r="T226" s="179"/>
      <c r="U226" s="179"/>
      <c r="V226" s="179"/>
      <c r="W226" s="179"/>
      <c r="X226" s="179"/>
      <c r="Y226" s="179"/>
      <c r="Z226" s="180"/>
      <c r="AB226" s="544">
        <f ca="1">IF(AND($D226="Serviço",AB$12&lt;&gt;0,$H226&gt;0,OR(AUTOEVENTO&lt;&gt;"manual",$M226&lt;&gt;1)),
IF(Import.TipoArredondamento&lt;&gt;"TransfereGOV",
ROUND(OFFSET($P226,0,AB$13),15-13*ORÇAMENTO!$AF$7)/$H226*OFFSET(ORÇAMENTO!$X$15,ROW(AB226)-ROW(AB$15),0),
ROUND(ROUND(OFFSET($P226,0,AB$13),15-13*ORÇAMENTO!$AF$7)*OFFSET(ORÇAMENTO!$W$15,ROW(AB226)-ROW(AB$15),0),15-13*ORÇAMENTO!$AF$11)),0)</f>
        <v>0</v>
      </c>
      <c r="AC226" s="545">
        <f ca="1">IF(AND($D226="Serviço",AC$12&lt;&gt;0,$H226&gt;0,OR(AUTOEVENTO&lt;&gt;"manual",$M226&lt;&gt;1)),
IF(Import.TipoArredondamento&lt;&gt;"TransfereGOV",
ROUND(OFFSET($P226,0,AC$13),15-13*ORÇAMENTO!$AF$7)/$H226*OFFSET(ORÇAMENTO!$X$15,ROW(AC226)-ROW(AC$15),0),
ROUND(ROUND(OFFSET($P226,0,AC$13),15-13*ORÇAMENTO!$AF$7)*OFFSET(ORÇAMENTO!$W$15,ROW(AC226)-ROW(AC$15),0),15-13*ORÇAMENTO!$AF$11)),0)</f>
        <v>0</v>
      </c>
      <c r="AD226" s="545">
        <f ca="1">IF(AND($D226="Serviço",AD$12&lt;&gt;0,$H226&gt;0,OR(AUTOEVENTO&lt;&gt;"manual",$M226&lt;&gt;1)),
IF(Import.TipoArredondamento&lt;&gt;"TransfereGOV",
ROUND(OFFSET($P226,0,AD$13),15-13*ORÇAMENTO!$AF$7)/$H226*OFFSET(ORÇAMENTO!$X$15,ROW(AD226)-ROW(AD$15),0),
ROUND(ROUND(OFFSET($P226,0,AD$13),15-13*ORÇAMENTO!$AF$7)*OFFSET(ORÇAMENTO!$W$15,ROW(AD226)-ROW(AD$15),0),15-13*ORÇAMENTO!$AF$11)),0)</f>
        <v>0</v>
      </c>
      <c r="AE226" s="545">
        <f ca="1">IF(AND($D226="Serviço",AE$12&lt;&gt;0,$H226&gt;0,OR(AUTOEVENTO&lt;&gt;"manual",$M226&lt;&gt;1)),
IF(Import.TipoArredondamento&lt;&gt;"TransfereGOV",
ROUND(OFFSET($P226,0,AE$13),15-13*ORÇAMENTO!$AF$7)/$H226*OFFSET(ORÇAMENTO!$X$15,ROW(AE226)-ROW(AE$15),0),
ROUND(ROUND(OFFSET($P226,0,AE$13),15-13*ORÇAMENTO!$AF$7)*OFFSET(ORÇAMENTO!$W$15,ROW(AE226)-ROW(AE$15),0),15-13*ORÇAMENTO!$AF$11)),0)</f>
        <v>0</v>
      </c>
      <c r="AF226" s="545">
        <f ca="1">IF(AND($D226="Serviço",AF$12&lt;&gt;0,$H226&gt;0,OR(AUTOEVENTO&lt;&gt;"manual",$M226&lt;&gt;1)),
IF(Import.TipoArredondamento&lt;&gt;"TransfereGOV",
ROUND(OFFSET($P226,0,AF$13),15-13*ORÇAMENTO!$AF$7)/$H226*OFFSET(ORÇAMENTO!$X$15,ROW(AF226)-ROW(AF$15),0),
ROUND(ROUND(OFFSET($P226,0,AF$13),15-13*ORÇAMENTO!$AF$7)*OFFSET(ORÇAMENTO!$W$15,ROW(AF226)-ROW(AF$15),0),15-13*ORÇAMENTO!$AF$11)),0)</f>
        <v>0</v>
      </c>
      <c r="AG226" s="545">
        <f ca="1">IF(AND($D226="Serviço",AG$12&lt;&gt;0,$H226&gt;0,OR(AUTOEVENTO&lt;&gt;"manual",$M226&lt;&gt;1)),
IF(Import.TipoArredondamento&lt;&gt;"TransfereGOV",
ROUND(OFFSET($P226,0,AG$13),15-13*ORÇAMENTO!$AF$7)/$H226*OFFSET(ORÇAMENTO!$X$15,ROW(AG226)-ROW(AG$15),0),
ROUND(ROUND(OFFSET($P226,0,AG$13),15-13*ORÇAMENTO!$AF$7)*OFFSET(ORÇAMENTO!$W$15,ROW(AG226)-ROW(AG$15),0),15-13*ORÇAMENTO!$AF$11)),0)</f>
        <v>0</v>
      </c>
      <c r="AH226" s="545">
        <f ca="1">IF(AND($D226="Serviço",AH$12&lt;&gt;0,$H226&gt;0,OR(AUTOEVENTO&lt;&gt;"manual",$M226&lt;&gt;1)),
IF(Import.TipoArredondamento&lt;&gt;"TransfereGOV",
ROUND(OFFSET($P226,0,AH$13),15-13*ORÇAMENTO!$AF$7)/$H226*OFFSET(ORÇAMENTO!$X$15,ROW(AH226)-ROW(AH$15),0),
ROUND(ROUND(OFFSET($P226,0,AH$13),15-13*ORÇAMENTO!$AF$7)*OFFSET(ORÇAMENTO!$W$15,ROW(AH226)-ROW(AH$15),0),15-13*ORÇAMENTO!$AF$11)),0)</f>
        <v>0</v>
      </c>
      <c r="AI226" s="545">
        <f ca="1">IF(AND($D226="Serviço",AI$12&lt;&gt;0,$H226&gt;0,OR(AUTOEVENTO&lt;&gt;"manual",$M226&lt;&gt;1)),
IF(Import.TipoArredondamento&lt;&gt;"TransfereGOV",
ROUND(OFFSET($P226,0,AI$13),15-13*ORÇAMENTO!$AF$7)/$H226*OFFSET(ORÇAMENTO!$X$15,ROW(AI226)-ROW(AI$15),0),
ROUND(ROUND(OFFSET($P226,0,AI$13),15-13*ORÇAMENTO!$AF$7)*OFFSET(ORÇAMENTO!$W$15,ROW(AI226)-ROW(AI$15),0),15-13*ORÇAMENTO!$AF$11)),0)</f>
        <v>0</v>
      </c>
      <c r="AJ226" s="545">
        <f ca="1">IF(AND($D226="Serviço",AJ$12&lt;&gt;0,$H226&gt;0,OR(AUTOEVENTO&lt;&gt;"manual",$M226&lt;&gt;1)),
IF(Import.TipoArredondamento&lt;&gt;"TransfereGOV",
ROUND(OFFSET($P226,0,AJ$13),15-13*ORÇAMENTO!$AF$7)/$H226*OFFSET(ORÇAMENTO!$X$15,ROW(AJ226)-ROW(AJ$15),0),
ROUND(ROUND(OFFSET($P226,0,AJ$13),15-13*ORÇAMENTO!$AF$7)*OFFSET(ORÇAMENTO!$W$15,ROW(AJ226)-ROW(AJ$15),0),15-13*ORÇAMENTO!$AF$11)),0)</f>
        <v>0</v>
      </c>
      <c r="AK226" s="546">
        <f ca="1">IF(AND($D226="Serviço",AK$12&lt;&gt;0,$H226&gt;0,OR(AUTOEVENTO&lt;&gt;"manual",$M226&lt;&gt;1)),
IF(Import.TipoArredondamento&lt;&gt;"TransfereGOV",
ROUND(OFFSET($P226,0,AK$13),15-13*ORÇAMENTO!$AF$7)/$H226*OFFSET(ORÇAMENTO!$X$15,ROW(AK226)-ROW(AK$15),0),
ROUND(ROUND(OFFSET($P226,0,AK$13),15-13*ORÇAMENTO!$AF$7)*OFFSET(ORÇAMENTO!$W$15,ROW(AK226)-ROW(AK$15),0),15-13*ORÇAMENTO!$AF$11)),0)</f>
        <v>0</v>
      </c>
      <c r="AM226" s="181">
        <f ca="1">IF($D226&lt;&gt;"Serviço",0,IF(AND(AUTOEVENTO="Manual",$M226=1),0,IF(OFFSET(CRONOPLE!$F$14,$M226,AM$13)="",10^12,OFFSET(CRONOPLE!$F$14,$M226,AM$13))))</f>
        <v>1000000000000</v>
      </c>
      <c r="AN226" s="181">
        <f ca="1">IF($D226&lt;&gt;"Serviço",0,IF(AND(AUTOEVENTO="Manual",$M226=1),0,IF(OFFSET(CRONOPLE!$F$14,$M226,AN$13)="",10^12,OFFSET(CRONOPLE!$F$14,$M226,AN$13))))</f>
        <v>1000000000000</v>
      </c>
      <c r="AO226" s="181">
        <f ca="1">IF($D226&lt;&gt;"Serviço",0,IF(AND(AUTOEVENTO="Manual",$M226=1),0,IF(OFFSET(CRONOPLE!$F$14,$M226,AO$13)="",10^12,OFFSET(CRONOPLE!$F$14,$M226,AO$13))))</f>
        <v>1000000000000</v>
      </c>
      <c r="AP226" s="181">
        <f ca="1">IF($D226&lt;&gt;"Serviço",0,IF(AND(AUTOEVENTO="Manual",$M226=1),0,IF(OFFSET(CRONOPLE!$F$14,$M226,AP$13)="",10^12,OFFSET(CRONOPLE!$F$14,$M226,AP$13))))</f>
        <v>1000000000000</v>
      </c>
      <c r="AQ226" s="181">
        <f ca="1">IF($D226&lt;&gt;"Serviço",0,IF(AND(AUTOEVENTO="Manual",$M226=1),0,IF(OFFSET(CRONOPLE!$F$14,$M226,AQ$13)="",10^12,OFFSET(CRONOPLE!$F$14,$M226,AQ$13))))</f>
        <v>1000000000000</v>
      </c>
      <c r="AR226" s="181">
        <f ca="1">IF($D226&lt;&gt;"Serviço",0,IF(AND(AUTOEVENTO="Manual",$M226=1),0,IF(OFFSET(CRONOPLE!$F$14,$M226,AR$13)="",10^12,OFFSET(CRONOPLE!$F$14,$M226,AR$13))))</f>
        <v>1000000000000</v>
      </c>
      <c r="AS226" s="181">
        <f ca="1">IF($D226&lt;&gt;"Serviço",0,IF(AND(AUTOEVENTO="Manual",$M226=1),0,IF(OFFSET(CRONOPLE!$F$14,$M226,AS$13)="",10^12,OFFSET(CRONOPLE!$F$14,$M226,AS$13))))</f>
        <v>1000000000000</v>
      </c>
      <c r="AT226" s="181">
        <f ca="1">IF($D226&lt;&gt;"Serviço",0,IF(AND(AUTOEVENTO="Manual",$M226=1),0,IF(OFFSET(CRONOPLE!$F$14,$M226,AT$13)="",10^12,OFFSET(CRONOPLE!$F$14,$M226,AT$13))))</f>
        <v>1000000000000</v>
      </c>
      <c r="AU226" s="181">
        <f ca="1">IF($D226&lt;&gt;"Serviço",0,IF(AND(AUTOEVENTO="Manual",$M226=1),0,IF(OFFSET(CRONOPLE!$F$14,$M226,AU$13)="",10^12,OFFSET(CRONOPLE!$F$14,$M226,AU$13))))</f>
        <v>1000000000000</v>
      </c>
      <c r="AV226" s="181">
        <f ca="1">IF($D226&lt;&gt;"Serviço",0,IF(AND(AUTOEVENTO="Manual",$M226=1),0,IF(OFFSET(CRONOPLE!$F$14,$M226,AV$13)="",10^12,OFFSET(CRONOPLE!$F$14,$M226,AV$13))))</f>
        <v>1000000000000</v>
      </c>
      <c r="AX226" s="182">
        <f ca="1">IF($D226&lt;&gt;"Serviço",0,IF(OR(AND(AUTOEVENTO="Manual",$M226=1),$M226&gt;(ROW(PLE.lastrow)-ROW(PLE.firstrow))),0,IF(OFFSET(PLE!$G$14,$M226,AX$13)="",10^12,OFFSET(PLE!$G$14,$M226,AX$13))))</f>
        <v>1000000000000</v>
      </c>
      <c r="AY226" s="182">
        <f ca="1">IF($D226&lt;&gt;"Serviço",0,IF(OR(AND(AUTOEVENTO="Manual",$M226=1),$M226&gt;(ROW(PLE.lastrow)-ROW(PLE.firstrow))),0,IF(OFFSET(PLE!$G$14,$M226,AY$13)="",10^12,OFFSET(PLE!$G$14,$M226,AY$13))))</f>
        <v>1000000000000</v>
      </c>
      <c r="AZ226" s="182">
        <f ca="1">IF($D226&lt;&gt;"Serviço",0,IF(OR(AND(AUTOEVENTO="Manual",$M226=1),$M226&gt;(ROW(PLE.lastrow)-ROW(PLE.firstrow))),0,IF(OFFSET(PLE!$G$14,$M226,AZ$13)="",10^12,OFFSET(PLE!$G$14,$M226,AZ$13))))</f>
        <v>1000000000000</v>
      </c>
      <c r="BA226" s="182">
        <f ca="1">IF($D226&lt;&gt;"Serviço",0,IF(OR(AND(AUTOEVENTO="Manual",$M226=1),$M226&gt;(ROW(PLE.lastrow)-ROW(PLE.firstrow))),0,IF(OFFSET(PLE!$G$14,$M226,BA$13)="",10^12,OFFSET(PLE!$G$14,$M226,BA$13))))</f>
        <v>1000000000000</v>
      </c>
      <c r="BB226" s="182">
        <f ca="1">IF($D226&lt;&gt;"Serviço",0,IF(OR(AND(AUTOEVENTO="Manual",$M226=1),$M226&gt;(ROW(PLE.lastrow)-ROW(PLE.firstrow))),0,IF(OFFSET(PLE!$G$14,$M226,BB$13)="",10^12,OFFSET(PLE!$G$14,$M226,BB$13))))</f>
        <v>1000000000000</v>
      </c>
      <c r="BC226" s="182">
        <f ca="1">IF($D226&lt;&gt;"Serviço",0,IF(OR(AND(AUTOEVENTO="Manual",$M226=1),$M226&gt;(ROW(PLE.lastrow)-ROW(PLE.firstrow))),0,IF(OFFSET(PLE!$G$14,$M226,BC$13)="",10^12,OFFSET(PLE!$G$14,$M226,BC$13))))</f>
        <v>1000000000000</v>
      </c>
      <c r="BD226" s="182">
        <f ca="1">IF($D226&lt;&gt;"Serviço",0,IF(OR(AND(AUTOEVENTO="Manual",$M226=1),$M226&gt;(ROW(PLE.lastrow)-ROW(PLE.firstrow))),0,IF(OFFSET(PLE!$G$14,$M226,BD$13)="",10^12,OFFSET(PLE!$G$14,$M226,BD$13))))</f>
        <v>1000000000000</v>
      </c>
      <c r="BE226" s="182">
        <f ca="1">IF($D226&lt;&gt;"Serviço",0,IF(OR(AND(AUTOEVENTO="Manual",$M226=1),$M226&gt;(ROW(PLE.lastrow)-ROW(PLE.firstrow))),0,IF(OFFSET(PLE!$G$14,$M226,BE$13)="",10^12,OFFSET(PLE!$G$14,$M226,BE$13))))</f>
        <v>1000000000000</v>
      </c>
      <c r="BF226" s="182">
        <f ca="1">IF($D226&lt;&gt;"Serviço",0,IF(OR(AND(AUTOEVENTO="Manual",$M226=1),$M226&gt;(ROW(PLE.lastrow)-ROW(PLE.firstrow))),0,IF(OFFSET(PLE!$G$14,$M226,BF$13)="",10^12,OFFSET(PLE!$G$14,$M226,BF$13))))</f>
        <v>1000000000000</v>
      </c>
      <c r="BG226" s="182">
        <f ca="1">IF($D226&lt;&gt;"Serviço",0,IF(OR(AND(AUTOEVENTO="Manual",$M226=1),$M226&gt;(ROW(PLE.lastrow)-ROW(PLE.firstrow))),0,IF(OFFSET(PLE!$G$14,$M226,BG$13)="",10^12,OFFSET(PLE!$G$14,$M226,BG$13))))</f>
        <v>1000000000000</v>
      </c>
    </row>
    <row r="227" spans="1:59" ht="12.75" x14ac:dyDescent="0.2">
      <c r="A227" s="7" t="str">
        <f t="shared" ca="1" si="11"/>
        <v>191</v>
      </c>
      <c r="B227" s="7">
        <f ca="1">OFFSET(ORÇAMENTO!C$15,ROW(B227)-ROW(B$15),0)</f>
        <v>3</v>
      </c>
      <c r="C227" s="7" t="str">
        <f ca="1">OFFSET(ORÇAMENTO!L$15,ROW(C227)-ROW(C$15),0)</f>
        <v>F</v>
      </c>
      <c r="D227" s="118" t="str">
        <f ca="1">OFFSET(ORÇAMENTO!N$15,ROW(D227)-ROW(D$15),0)</f>
        <v>Nível 3</v>
      </c>
      <c r="E227" s="119" t="str">
        <f ca="1">OFFSET(ORÇAMENTO!O$15,ROW(E227)-ROW(E$15),0)</f>
        <v>1.10.3.</v>
      </c>
      <c r="F227" s="172" t="str">
        <f ca="1">OFFSET(ORÇAMENTO!R$15,ROW(F227)-ROW(F$15),0)</f>
        <v>PAVIMENTAÇÃO EXTERNA</v>
      </c>
      <c r="G227" s="173" t="str">
        <f ca="1">IF($D227&lt;&gt;"Serviço","",OFFSET(ORÇAMENTO!S$15,ROW(G227)-ROW(G$15),0))</f>
        <v/>
      </c>
      <c r="H227" s="124">
        <f ca="1">IF($D227&lt;&gt;"Serviço",0,IF(ACOMPANHAMENTO="BM",ROUND(OFFSET(ORÇAMENTO!AJ$15,ROW(H227)-ROW(H$15),0),15-13*ORÇAMENTO!$AF$7),SUMPRODUCT(($Q$12:$AA$12&lt;&gt;"")*ROUND($Q227:$AA227,15-13*ORÇAMENTO!$AF$7))))</f>
        <v>0</v>
      </c>
      <c r="I227" s="561"/>
      <c r="K227" s="174"/>
      <c r="L227" s="175" t="s">
        <v>255</v>
      </c>
      <c r="M227" s="176" t="str">
        <f ca="1">IF($D227&lt;&gt;"Serviço","",IF(AUTOEVENTO="manual",$A227,IF(ISERROR(MATCH($A227,$A$15:OFFSET($A227,-1,0),0)),MAX($M$15:OFFSET(M227,-1,0))+1,INDEX($M$15:OFFSET(M227,-1,0),MATCH($A227,$A$15:OFFSET($A227,-1,0),0)))))</f>
        <v/>
      </c>
      <c r="N227" s="177" t="str">
        <f ca="1">IF($D227&lt;&gt;"Serviço","",IF(AUTOEVENTO="Manual",IF($A227=0,"&lt;-- defina o número do agrupador",OFFSET(EVENTOS!$D$14,$A227,0)),OFFSET($F$15,$A227,0)))</f>
        <v/>
      </c>
      <c r="O227" s="178"/>
      <c r="Q227" s="178"/>
      <c r="R227" s="179"/>
      <c r="S227" s="179"/>
      <c r="T227" s="179"/>
      <c r="U227" s="179"/>
      <c r="V227" s="179"/>
      <c r="W227" s="179"/>
      <c r="X227" s="179"/>
      <c r="Y227" s="179"/>
      <c r="Z227" s="180"/>
      <c r="AB227" s="544">
        <f ca="1">IF(AND($D227="Serviço",AB$12&lt;&gt;0,$H227&gt;0,OR(AUTOEVENTO&lt;&gt;"manual",$M227&lt;&gt;1)),
IF(Import.TipoArredondamento&lt;&gt;"TransfereGOV",
ROUND(OFFSET($P227,0,AB$13),15-13*ORÇAMENTO!$AF$7)/$H227*OFFSET(ORÇAMENTO!$X$15,ROW(AB227)-ROW(AB$15),0),
ROUND(ROUND(OFFSET($P227,0,AB$13),15-13*ORÇAMENTO!$AF$7)*OFFSET(ORÇAMENTO!$W$15,ROW(AB227)-ROW(AB$15),0),15-13*ORÇAMENTO!$AF$11)),0)</f>
        <v>0</v>
      </c>
      <c r="AC227" s="545">
        <f ca="1">IF(AND($D227="Serviço",AC$12&lt;&gt;0,$H227&gt;0,OR(AUTOEVENTO&lt;&gt;"manual",$M227&lt;&gt;1)),
IF(Import.TipoArredondamento&lt;&gt;"TransfereGOV",
ROUND(OFFSET($P227,0,AC$13),15-13*ORÇAMENTO!$AF$7)/$H227*OFFSET(ORÇAMENTO!$X$15,ROW(AC227)-ROW(AC$15),0),
ROUND(ROUND(OFFSET($P227,0,AC$13),15-13*ORÇAMENTO!$AF$7)*OFFSET(ORÇAMENTO!$W$15,ROW(AC227)-ROW(AC$15),0),15-13*ORÇAMENTO!$AF$11)),0)</f>
        <v>0</v>
      </c>
      <c r="AD227" s="545">
        <f ca="1">IF(AND($D227="Serviço",AD$12&lt;&gt;0,$H227&gt;0,OR(AUTOEVENTO&lt;&gt;"manual",$M227&lt;&gt;1)),
IF(Import.TipoArredondamento&lt;&gt;"TransfereGOV",
ROUND(OFFSET($P227,0,AD$13),15-13*ORÇAMENTO!$AF$7)/$H227*OFFSET(ORÇAMENTO!$X$15,ROW(AD227)-ROW(AD$15),0),
ROUND(ROUND(OFFSET($P227,0,AD$13),15-13*ORÇAMENTO!$AF$7)*OFFSET(ORÇAMENTO!$W$15,ROW(AD227)-ROW(AD$15),0),15-13*ORÇAMENTO!$AF$11)),0)</f>
        <v>0</v>
      </c>
      <c r="AE227" s="545">
        <f ca="1">IF(AND($D227="Serviço",AE$12&lt;&gt;0,$H227&gt;0,OR(AUTOEVENTO&lt;&gt;"manual",$M227&lt;&gt;1)),
IF(Import.TipoArredondamento&lt;&gt;"TransfereGOV",
ROUND(OFFSET($P227,0,AE$13),15-13*ORÇAMENTO!$AF$7)/$H227*OFFSET(ORÇAMENTO!$X$15,ROW(AE227)-ROW(AE$15),0),
ROUND(ROUND(OFFSET($P227,0,AE$13),15-13*ORÇAMENTO!$AF$7)*OFFSET(ORÇAMENTO!$W$15,ROW(AE227)-ROW(AE$15),0),15-13*ORÇAMENTO!$AF$11)),0)</f>
        <v>0</v>
      </c>
      <c r="AF227" s="545">
        <f ca="1">IF(AND($D227="Serviço",AF$12&lt;&gt;0,$H227&gt;0,OR(AUTOEVENTO&lt;&gt;"manual",$M227&lt;&gt;1)),
IF(Import.TipoArredondamento&lt;&gt;"TransfereGOV",
ROUND(OFFSET($P227,0,AF$13),15-13*ORÇAMENTO!$AF$7)/$H227*OFFSET(ORÇAMENTO!$X$15,ROW(AF227)-ROW(AF$15),0),
ROUND(ROUND(OFFSET($P227,0,AF$13),15-13*ORÇAMENTO!$AF$7)*OFFSET(ORÇAMENTO!$W$15,ROW(AF227)-ROW(AF$15),0),15-13*ORÇAMENTO!$AF$11)),0)</f>
        <v>0</v>
      </c>
      <c r="AG227" s="545">
        <f ca="1">IF(AND($D227="Serviço",AG$12&lt;&gt;0,$H227&gt;0,OR(AUTOEVENTO&lt;&gt;"manual",$M227&lt;&gt;1)),
IF(Import.TipoArredondamento&lt;&gt;"TransfereGOV",
ROUND(OFFSET($P227,0,AG$13),15-13*ORÇAMENTO!$AF$7)/$H227*OFFSET(ORÇAMENTO!$X$15,ROW(AG227)-ROW(AG$15),0),
ROUND(ROUND(OFFSET($P227,0,AG$13),15-13*ORÇAMENTO!$AF$7)*OFFSET(ORÇAMENTO!$W$15,ROW(AG227)-ROW(AG$15),0),15-13*ORÇAMENTO!$AF$11)),0)</f>
        <v>0</v>
      </c>
      <c r="AH227" s="545">
        <f ca="1">IF(AND($D227="Serviço",AH$12&lt;&gt;0,$H227&gt;0,OR(AUTOEVENTO&lt;&gt;"manual",$M227&lt;&gt;1)),
IF(Import.TipoArredondamento&lt;&gt;"TransfereGOV",
ROUND(OFFSET($P227,0,AH$13),15-13*ORÇAMENTO!$AF$7)/$H227*OFFSET(ORÇAMENTO!$X$15,ROW(AH227)-ROW(AH$15),0),
ROUND(ROUND(OFFSET($P227,0,AH$13),15-13*ORÇAMENTO!$AF$7)*OFFSET(ORÇAMENTO!$W$15,ROW(AH227)-ROW(AH$15),0),15-13*ORÇAMENTO!$AF$11)),0)</f>
        <v>0</v>
      </c>
      <c r="AI227" s="545">
        <f ca="1">IF(AND($D227="Serviço",AI$12&lt;&gt;0,$H227&gt;0,OR(AUTOEVENTO&lt;&gt;"manual",$M227&lt;&gt;1)),
IF(Import.TipoArredondamento&lt;&gt;"TransfereGOV",
ROUND(OFFSET($P227,0,AI$13),15-13*ORÇAMENTO!$AF$7)/$H227*OFFSET(ORÇAMENTO!$X$15,ROW(AI227)-ROW(AI$15),0),
ROUND(ROUND(OFFSET($P227,0,AI$13),15-13*ORÇAMENTO!$AF$7)*OFFSET(ORÇAMENTO!$W$15,ROW(AI227)-ROW(AI$15),0),15-13*ORÇAMENTO!$AF$11)),0)</f>
        <v>0</v>
      </c>
      <c r="AJ227" s="545">
        <f ca="1">IF(AND($D227="Serviço",AJ$12&lt;&gt;0,$H227&gt;0,OR(AUTOEVENTO&lt;&gt;"manual",$M227&lt;&gt;1)),
IF(Import.TipoArredondamento&lt;&gt;"TransfereGOV",
ROUND(OFFSET($P227,0,AJ$13),15-13*ORÇAMENTO!$AF$7)/$H227*OFFSET(ORÇAMENTO!$X$15,ROW(AJ227)-ROW(AJ$15),0),
ROUND(ROUND(OFFSET($P227,0,AJ$13),15-13*ORÇAMENTO!$AF$7)*OFFSET(ORÇAMENTO!$W$15,ROW(AJ227)-ROW(AJ$15),0),15-13*ORÇAMENTO!$AF$11)),0)</f>
        <v>0</v>
      </c>
      <c r="AK227" s="546">
        <f ca="1">IF(AND($D227="Serviço",AK$12&lt;&gt;0,$H227&gt;0,OR(AUTOEVENTO&lt;&gt;"manual",$M227&lt;&gt;1)),
IF(Import.TipoArredondamento&lt;&gt;"TransfereGOV",
ROUND(OFFSET($P227,0,AK$13),15-13*ORÇAMENTO!$AF$7)/$H227*OFFSET(ORÇAMENTO!$X$15,ROW(AK227)-ROW(AK$15),0),
ROUND(ROUND(OFFSET($P227,0,AK$13),15-13*ORÇAMENTO!$AF$7)*OFFSET(ORÇAMENTO!$W$15,ROW(AK227)-ROW(AK$15),0),15-13*ORÇAMENTO!$AF$11)),0)</f>
        <v>0</v>
      </c>
      <c r="AM227" s="181">
        <f ca="1">IF($D227&lt;&gt;"Serviço",0,IF(AND(AUTOEVENTO="Manual",$M227=1),0,IF(OFFSET(CRONOPLE!$F$14,$M227,AM$13)="",10^12,OFFSET(CRONOPLE!$F$14,$M227,AM$13))))</f>
        <v>0</v>
      </c>
      <c r="AN227" s="181">
        <f ca="1">IF($D227&lt;&gt;"Serviço",0,IF(AND(AUTOEVENTO="Manual",$M227=1),0,IF(OFFSET(CRONOPLE!$F$14,$M227,AN$13)="",10^12,OFFSET(CRONOPLE!$F$14,$M227,AN$13))))</f>
        <v>0</v>
      </c>
      <c r="AO227" s="181">
        <f ca="1">IF($D227&lt;&gt;"Serviço",0,IF(AND(AUTOEVENTO="Manual",$M227=1),0,IF(OFFSET(CRONOPLE!$F$14,$M227,AO$13)="",10^12,OFFSET(CRONOPLE!$F$14,$M227,AO$13))))</f>
        <v>0</v>
      </c>
      <c r="AP227" s="181">
        <f ca="1">IF($D227&lt;&gt;"Serviço",0,IF(AND(AUTOEVENTO="Manual",$M227=1),0,IF(OFFSET(CRONOPLE!$F$14,$M227,AP$13)="",10^12,OFFSET(CRONOPLE!$F$14,$M227,AP$13))))</f>
        <v>0</v>
      </c>
      <c r="AQ227" s="181">
        <f ca="1">IF($D227&lt;&gt;"Serviço",0,IF(AND(AUTOEVENTO="Manual",$M227=1),0,IF(OFFSET(CRONOPLE!$F$14,$M227,AQ$13)="",10^12,OFFSET(CRONOPLE!$F$14,$M227,AQ$13))))</f>
        <v>0</v>
      </c>
      <c r="AR227" s="181">
        <f ca="1">IF($D227&lt;&gt;"Serviço",0,IF(AND(AUTOEVENTO="Manual",$M227=1),0,IF(OFFSET(CRONOPLE!$F$14,$M227,AR$13)="",10^12,OFFSET(CRONOPLE!$F$14,$M227,AR$13))))</f>
        <v>0</v>
      </c>
      <c r="AS227" s="181">
        <f ca="1">IF($D227&lt;&gt;"Serviço",0,IF(AND(AUTOEVENTO="Manual",$M227=1),0,IF(OFFSET(CRONOPLE!$F$14,$M227,AS$13)="",10^12,OFFSET(CRONOPLE!$F$14,$M227,AS$13))))</f>
        <v>0</v>
      </c>
      <c r="AT227" s="181">
        <f ca="1">IF($D227&lt;&gt;"Serviço",0,IF(AND(AUTOEVENTO="Manual",$M227=1),0,IF(OFFSET(CRONOPLE!$F$14,$M227,AT$13)="",10^12,OFFSET(CRONOPLE!$F$14,$M227,AT$13))))</f>
        <v>0</v>
      </c>
      <c r="AU227" s="181">
        <f ca="1">IF($D227&lt;&gt;"Serviço",0,IF(AND(AUTOEVENTO="Manual",$M227=1),0,IF(OFFSET(CRONOPLE!$F$14,$M227,AU$13)="",10^12,OFFSET(CRONOPLE!$F$14,$M227,AU$13))))</f>
        <v>0</v>
      </c>
      <c r="AV227" s="181">
        <f ca="1">IF($D227&lt;&gt;"Serviço",0,IF(AND(AUTOEVENTO="Manual",$M227=1),0,IF(OFFSET(CRONOPLE!$F$14,$M227,AV$13)="",10^12,OFFSET(CRONOPLE!$F$14,$M227,AV$13))))</f>
        <v>0</v>
      </c>
      <c r="AX227" s="182">
        <f ca="1">IF($D227&lt;&gt;"Serviço",0,IF(OR(AND(AUTOEVENTO="Manual",$M227=1),$M227&gt;(ROW(PLE.lastrow)-ROW(PLE.firstrow))),0,IF(OFFSET(PLE!$G$14,$M227,AX$13)="",10^12,OFFSET(PLE!$G$14,$M227,AX$13))))</f>
        <v>0</v>
      </c>
      <c r="AY227" s="182">
        <f ca="1">IF($D227&lt;&gt;"Serviço",0,IF(OR(AND(AUTOEVENTO="Manual",$M227=1),$M227&gt;(ROW(PLE.lastrow)-ROW(PLE.firstrow))),0,IF(OFFSET(PLE!$G$14,$M227,AY$13)="",10^12,OFFSET(PLE!$G$14,$M227,AY$13))))</f>
        <v>0</v>
      </c>
      <c r="AZ227" s="182">
        <f ca="1">IF($D227&lt;&gt;"Serviço",0,IF(OR(AND(AUTOEVENTO="Manual",$M227=1),$M227&gt;(ROW(PLE.lastrow)-ROW(PLE.firstrow))),0,IF(OFFSET(PLE!$G$14,$M227,AZ$13)="",10^12,OFFSET(PLE!$G$14,$M227,AZ$13))))</f>
        <v>0</v>
      </c>
      <c r="BA227" s="182">
        <f ca="1">IF($D227&lt;&gt;"Serviço",0,IF(OR(AND(AUTOEVENTO="Manual",$M227=1),$M227&gt;(ROW(PLE.lastrow)-ROW(PLE.firstrow))),0,IF(OFFSET(PLE!$G$14,$M227,BA$13)="",10^12,OFFSET(PLE!$G$14,$M227,BA$13))))</f>
        <v>0</v>
      </c>
      <c r="BB227" s="182">
        <f ca="1">IF($D227&lt;&gt;"Serviço",0,IF(OR(AND(AUTOEVENTO="Manual",$M227=1),$M227&gt;(ROW(PLE.lastrow)-ROW(PLE.firstrow))),0,IF(OFFSET(PLE!$G$14,$M227,BB$13)="",10^12,OFFSET(PLE!$G$14,$M227,BB$13))))</f>
        <v>0</v>
      </c>
      <c r="BC227" s="182">
        <f ca="1">IF($D227&lt;&gt;"Serviço",0,IF(OR(AND(AUTOEVENTO="Manual",$M227=1),$M227&gt;(ROW(PLE.lastrow)-ROW(PLE.firstrow))),0,IF(OFFSET(PLE!$G$14,$M227,BC$13)="",10^12,OFFSET(PLE!$G$14,$M227,BC$13))))</f>
        <v>0</v>
      </c>
      <c r="BD227" s="182">
        <f ca="1">IF($D227&lt;&gt;"Serviço",0,IF(OR(AND(AUTOEVENTO="Manual",$M227=1),$M227&gt;(ROW(PLE.lastrow)-ROW(PLE.firstrow))),0,IF(OFFSET(PLE!$G$14,$M227,BD$13)="",10^12,OFFSET(PLE!$G$14,$M227,BD$13))))</f>
        <v>0</v>
      </c>
      <c r="BE227" s="182">
        <f ca="1">IF($D227&lt;&gt;"Serviço",0,IF(OR(AND(AUTOEVENTO="Manual",$M227=1),$M227&gt;(ROW(PLE.lastrow)-ROW(PLE.firstrow))),0,IF(OFFSET(PLE!$G$14,$M227,BE$13)="",10^12,OFFSET(PLE!$G$14,$M227,BE$13))))</f>
        <v>0</v>
      </c>
      <c r="BF227" s="182">
        <f ca="1">IF($D227&lt;&gt;"Serviço",0,IF(OR(AND(AUTOEVENTO="Manual",$M227=1),$M227&gt;(ROW(PLE.lastrow)-ROW(PLE.firstrow))),0,IF(OFFSET(PLE!$G$14,$M227,BF$13)="",10^12,OFFSET(PLE!$G$14,$M227,BF$13))))</f>
        <v>0</v>
      </c>
      <c r="BG227" s="182">
        <f ca="1">IF($D227&lt;&gt;"Serviço",0,IF(OR(AND(AUTOEVENTO="Manual",$M227=1),$M227&gt;(ROW(PLE.lastrow)-ROW(PLE.firstrow))),0,IF(OFFSET(PLE!$G$14,$M227,BG$13)="",10^12,OFFSET(PLE!$G$14,$M227,BG$13))))</f>
        <v>0</v>
      </c>
    </row>
    <row r="228" spans="1:59" ht="25.5" x14ac:dyDescent="0.2">
      <c r="A228" s="7" t="str">
        <f t="shared" ca="1" si="11"/>
        <v>191</v>
      </c>
      <c r="B228" s="7" t="str">
        <f ca="1">OFFSET(ORÇAMENTO!C$15,ROW(B228)-ROW(B$15),0)</f>
        <v>S</v>
      </c>
      <c r="C228" s="7" t="str">
        <f ca="1">OFFSET(ORÇAMENTO!L$15,ROW(C228)-ROW(C$15),0)</f>
        <v/>
      </c>
      <c r="D228" s="118" t="str">
        <f ca="1">OFFSET(ORÇAMENTO!N$15,ROW(D228)-ROW(D$15),0)</f>
        <v>Serviço</v>
      </c>
      <c r="E228" s="119" t="str">
        <f ca="1">OFFSET(ORÇAMENTO!O$15,ROW(E228)-ROW(E$15),0)</f>
        <v>-</v>
      </c>
      <c r="F228" s="172" t="str">
        <f ca="1">OFFSET(ORÇAMENTO!R$15,ROW(F228)-ROW(F$15),0)</f>
        <v>(abra o arquivo 'Referência 02-2025.xlsm)</v>
      </c>
      <c r="G228" s="173" t="str">
        <f ca="1">IF($D228&lt;&gt;"Serviço","",OFFSET(ORÇAMENTO!S$15,ROW(G228)-ROW(G$15),0))</f>
        <v>-</v>
      </c>
      <c r="H228" s="124">
        <f ca="1">IF($D228&lt;&gt;"Serviço",0,IF(ACOMPANHAMENTO="BM",ROUND(OFFSET(ORÇAMENTO!AJ$15,ROW(H228)-ROW(H$15),0),15-13*ORÇAMENTO!$AF$7),SUMPRODUCT(($Q$12:$AA$12&lt;&gt;"")*ROUND($Q228:$AA228,15-13*ORÇAMENTO!$AF$7))))</f>
        <v>84</v>
      </c>
      <c r="I228" s="561" t="s">
        <v>890</v>
      </c>
      <c r="K228" s="174"/>
      <c r="L228" s="175" t="s">
        <v>255</v>
      </c>
      <c r="M228" s="176">
        <f ca="1">IF($D228&lt;&gt;"Serviço","",IF(AUTOEVENTO="manual",$A228,IF(ISERROR(MATCH($A228,$A$15:OFFSET($A228,-1,0),0)),MAX($M$15:OFFSET(M228,-1,0))+1,INDEX($M$15:OFFSET(M228,-1,0),MATCH($A228,$A$15:OFFSET($A228,-1,0),0)))))</f>
        <v>11</v>
      </c>
      <c r="N228" s="177" t="str">
        <f ca="1">IF($D228&lt;&gt;"Serviço","",IF(AUTOEVENTO="Manual",IF($A228=0,"&lt;-- defina o número do agrupador",OFFSET(EVENTOS!$D$14,$A228,0)),OFFSET($F$15,$A228,0)))</f>
        <v>SISTEMAS DE PISOS</v>
      </c>
      <c r="O228" s="178"/>
      <c r="Q228" s="178"/>
      <c r="R228" s="179"/>
      <c r="S228" s="179"/>
      <c r="T228" s="179"/>
      <c r="U228" s="179"/>
      <c r="V228" s="179"/>
      <c r="W228" s="179"/>
      <c r="X228" s="179"/>
      <c r="Y228" s="179"/>
      <c r="Z228" s="180"/>
      <c r="AB228" s="544">
        <f ca="1">IF(AND($D228="Serviço",AB$12&lt;&gt;0,$H228&gt;0,OR(AUTOEVENTO&lt;&gt;"manual",$M228&lt;&gt;1)),
IF(Import.TipoArredondamento&lt;&gt;"TransfereGOV",
ROUND(OFFSET($P228,0,AB$13),15-13*ORÇAMENTO!$AF$7)/$H228*OFFSET(ORÇAMENTO!$X$15,ROW(AB228)-ROW(AB$15),0),
ROUND(ROUND(OFFSET($P228,0,AB$13),15-13*ORÇAMENTO!$AF$7)*OFFSET(ORÇAMENTO!$W$15,ROW(AB228)-ROW(AB$15),0),15-13*ORÇAMENTO!$AF$11)),0)</f>
        <v>0</v>
      </c>
      <c r="AC228" s="545">
        <f ca="1">IF(AND($D228="Serviço",AC$12&lt;&gt;0,$H228&gt;0,OR(AUTOEVENTO&lt;&gt;"manual",$M228&lt;&gt;1)),
IF(Import.TipoArredondamento&lt;&gt;"TransfereGOV",
ROUND(OFFSET($P228,0,AC$13),15-13*ORÇAMENTO!$AF$7)/$H228*OFFSET(ORÇAMENTO!$X$15,ROW(AC228)-ROW(AC$15),0),
ROUND(ROUND(OFFSET($P228,0,AC$13),15-13*ORÇAMENTO!$AF$7)*OFFSET(ORÇAMENTO!$W$15,ROW(AC228)-ROW(AC$15),0),15-13*ORÇAMENTO!$AF$11)),0)</f>
        <v>0</v>
      </c>
      <c r="AD228" s="545">
        <f ca="1">IF(AND($D228="Serviço",AD$12&lt;&gt;0,$H228&gt;0,OR(AUTOEVENTO&lt;&gt;"manual",$M228&lt;&gt;1)),
IF(Import.TipoArredondamento&lt;&gt;"TransfereGOV",
ROUND(OFFSET($P228,0,AD$13),15-13*ORÇAMENTO!$AF$7)/$H228*OFFSET(ORÇAMENTO!$X$15,ROW(AD228)-ROW(AD$15),0),
ROUND(ROUND(OFFSET($P228,0,AD$13),15-13*ORÇAMENTO!$AF$7)*OFFSET(ORÇAMENTO!$W$15,ROW(AD228)-ROW(AD$15),0),15-13*ORÇAMENTO!$AF$11)),0)</f>
        <v>0</v>
      </c>
      <c r="AE228" s="545">
        <f ca="1">IF(AND($D228="Serviço",AE$12&lt;&gt;0,$H228&gt;0,OR(AUTOEVENTO&lt;&gt;"manual",$M228&lt;&gt;1)),
IF(Import.TipoArredondamento&lt;&gt;"TransfereGOV",
ROUND(OFFSET($P228,0,AE$13),15-13*ORÇAMENTO!$AF$7)/$H228*OFFSET(ORÇAMENTO!$X$15,ROW(AE228)-ROW(AE$15),0),
ROUND(ROUND(OFFSET($P228,0,AE$13),15-13*ORÇAMENTO!$AF$7)*OFFSET(ORÇAMENTO!$W$15,ROW(AE228)-ROW(AE$15),0),15-13*ORÇAMENTO!$AF$11)),0)</f>
        <v>0</v>
      </c>
      <c r="AF228" s="545">
        <f ca="1">IF(AND($D228="Serviço",AF$12&lt;&gt;0,$H228&gt;0,OR(AUTOEVENTO&lt;&gt;"manual",$M228&lt;&gt;1)),
IF(Import.TipoArredondamento&lt;&gt;"TransfereGOV",
ROUND(OFFSET($P228,0,AF$13),15-13*ORÇAMENTO!$AF$7)/$H228*OFFSET(ORÇAMENTO!$X$15,ROW(AF228)-ROW(AF$15),0),
ROUND(ROUND(OFFSET($P228,0,AF$13),15-13*ORÇAMENTO!$AF$7)*OFFSET(ORÇAMENTO!$W$15,ROW(AF228)-ROW(AF$15),0),15-13*ORÇAMENTO!$AF$11)),0)</f>
        <v>0</v>
      </c>
      <c r="AG228" s="545">
        <f ca="1">IF(AND($D228="Serviço",AG$12&lt;&gt;0,$H228&gt;0,OR(AUTOEVENTO&lt;&gt;"manual",$M228&lt;&gt;1)),
IF(Import.TipoArredondamento&lt;&gt;"TransfereGOV",
ROUND(OFFSET($P228,0,AG$13),15-13*ORÇAMENTO!$AF$7)/$H228*OFFSET(ORÇAMENTO!$X$15,ROW(AG228)-ROW(AG$15),0),
ROUND(ROUND(OFFSET($P228,0,AG$13),15-13*ORÇAMENTO!$AF$7)*OFFSET(ORÇAMENTO!$W$15,ROW(AG228)-ROW(AG$15),0),15-13*ORÇAMENTO!$AF$11)),0)</f>
        <v>0</v>
      </c>
      <c r="AH228" s="545">
        <f ca="1">IF(AND($D228="Serviço",AH$12&lt;&gt;0,$H228&gt;0,OR(AUTOEVENTO&lt;&gt;"manual",$M228&lt;&gt;1)),
IF(Import.TipoArredondamento&lt;&gt;"TransfereGOV",
ROUND(OFFSET($P228,0,AH$13),15-13*ORÇAMENTO!$AF$7)/$H228*OFFSET(ORÇAMENTO!$X$15,ROW(AH228)-ROW(AH$15),0),
ROUND(ROUND(OFFSET($P228,0,AH$13),15-13*ORÇAMENTO!$AF$7)*OFFSET(ORÇAMENTO!$W$15,ROW(AH228)-ROW(AH$15),0),15-13*ORÇAMENTO!$AF$11)),0)</f>
        <v>0</v>
      </c>
      <c r="AI228" s="545">
        <f ca="1">IF(AND($D228="Serviço",AI$12&lt;&gt;0,$H228&gt;0,OR(AUTOEVENTO&lt;&gt;"manual",$M228&lt;&gt;1)),
IF(Import.TipoArredondamento&lt;&gt;"TransfereGOV",
ROUND(OFFSET($P228,0,AI$13),15-13*ORÇAMENTO!$AF$7)/$H228*OFFSET(ORÇAMENTO!$X$15,ROW(AI228)-ROW(AI$15),0),
ROUND(ROUND(OFFSET($P228,0,AI$13),15-13*ORÇAMENTO!$AF$7)*OFFSET(ORÇAMENTO!$W$15,ROW(AI228)-ROW(AI$15),0),15-13*ORÇAMENTO!$AF$11)),0)</f>
        <v>0</v>
      </c>
      <c r="AJ228" s="545">
        <f ca="1">IF(AND($D228="Serviço",AJ$12&lt;&gt;0,$H228&gt;0,OR(AUTOEVENTO&lt;&gt;"manual",$M228&lt;&gt;1)),
IF(Import.TipoArredondamento&lt;&gt;"TransfereGOV",
ROUND(OFFSET($P228,0,AJ$13),15-13*ORÇAMENTO!$AF$7)/$H228*OFFSET(ORÇAMENTO!$X$15,ROW(AJ228)-ROW(AJ$15),0),
ROUND(ROUND(OFFSET($P228,0,AJ$13),15-13*ORÇAMENTO!$AF$7)*OFFSET(ORÇAMENTO!$W$15,ROW(AJ228)-ROW(AJ$15),0),15-13*ORÇAMENTO!$AF$11)),0)</f>
        <v>0</v>
      </c>
      <c r="AK228" s="546">
        <f ca="1">IF(AND($D228="Serviço",AK$12&lt;&gt;0,$H228&gt;0,OR(AUTOEVENTO&lt;&gt;"manual",$M228&lt;&gt;1)),
IF(Import.TipoArredondamento&lt;&gt;"TransfereGOV",
ROUND(OFFSET($P228,0,AK$13),15-13*ORÇAMENTO!$AF$7)/$H228*OFFSET(ORÇAMENTO!$X$15,ROW(AK228)-ROW(AK$15),0),
ROUND(ROUND(OFFSET($P228,0,AK$13),15-13*ORÇAMENTO!$AF$7)*OFFSET(ORÇAMENTO!$W$15,ROW(AK228)-ROW(AK$15),0),15-13*ORÇAMENTO!$AF$11)),0)</f>
        <v>0</v>
      </c>
      <c r="AM228" s="181">
        <f ca="1">IF($D228&lt;&gt;"Serviço",0,IF(AND(AUTOEVENTO="Manual",$M228=1),0,IF(OFFSET(CRONOPLE!$F$14,$M228,AM$13)="",10^12,OFFSET(CRONOPLE!$F$14,$M228,AM$13))))</f>
        <v>1000000000000</v>
      </c>
      <c r="AN228" s="181">
        <f ca="1">IF($D228&lt;&gt;"Serviço",0,IF(AND(AUTOEVENTO="Manual",$M228=1),0,IF(OFFSET(CRONOPLE!$F$14,$M228,AN$13)="",10^12,OFFSET(CRONOPLE!$F$14,$M228,AN$13))))</f>
        <v>1000000000000</v>
      </c>
      <c r="AO228" s="181">
        <f ca="1">IF($D228&lt;&gt;"Serviço",0,IF(AND(AUTOEVENTO="Manual",$M228=1),0,IF(OFFSET(CRONOPLE!$F$14,$M228,AO$13)="",10^12,OFFSET(CRONOPLE!$F$14,$M228,AO$13))))</f>
        <v>1000000000000</v>
      </c>
      <c r="AP228" s="181">
        <f ca="1">IF($D228&lt;&gt;"Serviço",0,IF(AND(AUTOEVENTO="Manual",$M228=1),0,IF(OFFSET(CRONOPLE!$F$14,$M228,AP$13)="",10^12,OFFSET(CRONOPLE!$F$14,$M228,AP$13))))</f>
        <v>1000000000000</v>
      </c>
      <c r="AQ228" s="181">
        <f ca="1">IF($D228&lt;&gt;"Serviço",0,IF(AND(AUTOEVENTO="Manual",$M228=1),0,IF(OFFSET(CRONOPLE!$F$14,$M228,AQ$13)="",10^12,OFFSET(CRONOPLE!$F$14,$M228,AQ$13))))</f>
        <v>1000000000000</v>
      </c>
      <c r="AR228" s="181">
        <f ca="1">IF($D228&lt;&gt;"Serviço",0,IF(AND(AUTOEVENTO="Manual",$M228=1),0,IF(OFFSET(CRONOPLE!$F$14,$M228,AR$13)="",10^12,OFFSET(CRONOPLE!$F$14,$M228,AR$13))))</f>
        <v>1000000000000</v>
      </c>
      <c r="AS228" s="181">
        <f ca="1">IF($D228&lt;&gt;"Serviço",0,IF(AND(AUTOEVENTO="Manual",$M228=1),0,IF(OFFSET(CRONOPLE!$F$14,$M228,AS$13)="",10^12,OFFSET(CRONOPLE!$F$14,$M228,AS$13))))</f>
        <v>1000000000000</v>
      </c>
      <c r="AT228" s="181">
        <f ca="1">IF($D228&lt;&gt;"Serviço",0,IF(AND(AUTOEVENTO="Manual",$M228=1),0,IF(OFFSET(CRONOPLE!$F$14,$M228,AT$13)="",10^12,OFFSET(CRONOPLE!$F$14,$M228,AT$13))))</f>
        <v>1000000000000</v>
      </c>
      <c r="AU228" s="181">
        <f ca="1">IF($D228&lt;&gt;"Serviço",0,IF(AND(AUTOEVENTO="Manual",$M228=1),0,IF(OFFSET(CRONOPLE!$F$14,$M228,AU$13)="",10^12,OFFSET(CRONOPLE!$F$14,$M228,AU$13))))</f>
        <v>1000000000000</v>
      </c>
      <c r="AV228" s="181">
        <f ca="1">IF($D228&lt;&gt;"Serviço",0,IF(AND(AUTOEVENTO="Manual",$M228=1),0,IF(OFFSET(CRONOPLE!$F$14,$M228,AV$13)="",10^12,OFFSET(CRONOPLE!$F$14,$M228,AV$13))))</f>
        <v>1000000000000</v>
      </c>
      <c r="AX228" s="182">
        <f ca="1">IF($D228&lt;&gt;"Serviço",0,IF(OR(AND(AUTOEVENTO="Manual",$M228=1),$M228&gt;(ROW(PLE.lastrow)-ROW(PLE.firstrow))),0,IF(OFFSET(PLE!$G$14,$M228,AX$13)="",10^12,OFFSET(PLE!$G$14,$M228,AX$13))))</f>
        <v>1000000000000</v>
      </c>
      <c r="AY228" s="182">
        <f ca="1">IF($D228&lt;&gt;"Serviço",0,IF(OR(AND(AUTOEVENTO="Manual",$M228=1),$M228&gt;(ROW(PLE.lastrow)-ROW(PLE.firstrow))),0,IF(OFFSET(PLE!$G$14,$M228,AY$13)="",10^12,OFFSET(PLE!$G$14,$M228,AY$13))))</f>
        <v>1000000000000</v>
      </c>
      <c r="AZ228" s="182">
        <f ca="1">IF($D228&lt;&gt;"Serviço",0,IF(OR(AND(AUTOEVENTO="Manual",$M228=1),$M228&gt;(ROW(PLE.lastrow)-ROW(PLE.firstrow))),0,IF(OFFSET(PLE!$G$14,$M228,AZ$13)="",10^12,OFFSET(PLE!$G$14,$M228,AZ$13))))</f>
        <v>1000000000000</v>
      </c>
      <c r="BA228" s="182">
        <f ca="1">IF($D228&lt;&gt;"Serviço",0,IF(OR(AND(AUTOEVENTO="Manual",$M228=1),$M228&gt;(ROW(PLE.lastrow)-ROW(PLE.firstrow))),0,IF(OFFSET(PLE!$G$14,$M228,BA$13)="",10^12,OFFSET(PLE!$G$14,$M228,BA$13))))</f>
        <v>1000000000000</v>
      </c>
      <c r="BB228" s="182">
        <f ca="1">IF($D228&lt;&gt;"Serviço",0,IF(OR(AND(AUTOEVENTO="Manual",$M228=1),$M228&gt;(ROW(PLE.lastrow)-ROW(PLE.firstrow))),0,IF(OFFSET(PLE!$G$14,$M228,BB$13)="",10^12,OFFSET(PLE!$G$14,$M228,BB$13))))</f>
        <v>1000000000000</v>
      </c>
      <c r="BC228" s="182">
        <f ca="1">IF($D228&lt;&gt;"Serviço",0,IF(OR(AND(AUTOEVENTO="Manual",$M228=1),$M228&gt;(ROW(PLE.lastrow)-ROW(PLE.firstrow))),0,IF(OFFSET(PLE!$G$14,$M228,BC$13)="",10^12,OFFSET(PLE!$G$14,$M228,BC$13))))</f>
        <v>1000000000000</v>
      </c>
      <c r="BD228" s="182">
        <f ca="1">IF($D228&lt;&gt;"Serviço",0,IF(OR(AND(AUTOEVENTO="Manual",$M228=1),$M228&gt;(ROW(PLE.lastrow)-ROW(PLE.firstrow))),0,IF(OFFSET(PLE!$G$14,$M228,BD$13)="",10^12,OFFSET(PLE!$G$14,$M228,BD$13))))</f>
        <v>1000000000000</v>
      </c>
      <c r="BE228" s="182">
        <f ca="1">IF($D228&lt;&gt;"Serviço",0,IF(OR(AND(AUTOEVENTO="Manual",$M228=1),$M228&gt;(ROW(PLE.lastrow)-ROW(PLE.firstrow))),0,IF(OFFSET(PLE!$G$14,$M228,BE$13)="",10^12,OFFSET(PLE!$G$14,$M228,BE$13))))</f>
        <v>1000000000000</v>
      </c>
      <c r="BF228" s="182">
        <f ca="1">IF($D228&lt;&gt;"Serviço",0,IF(OR(AND(AUTOEVENTO="Manual",$M228=1),$M228&gt;(ROW(PLE.lastrow)-ROW(PLE.firstrow))),0,IF(OFFSET(PLE!$G$14,$M228,BF$13)="",10^12,OFFSET(PLE!$G$14,$M228,BF$13))))</f>
        <v>1000000000000</v>
      </c>
      <c r="BG228" s="182">
        <f ca="1">IF($D228&lt;&gt;"Serviço",0,IF(OR(AND(AUTOEVENTO="Manual",$M228=1),$M228&gt;(ROW(PLE.lastrow)-ROW(PLE.firstrow))),0,IF(OFFSET(PLE!$G$14,$M228,BG$13)="",10^12,OFFSET(PLE!$G$14,$M228,BG$13))))</f>
        <v>1000000000000</v>
      </c>
    </row>
    <row r="229" spans="1:59" ht="25.5" x14ac:dyDescent="0.2">
      <c r="A229" s="7" t="str">
        <f t="shared" ca="1" si="11"/>
        <v>191</v>
      </c>
      <c r="B229" s="7" t="str">
        <f ca="1">OFFSET(ORÇAMENTO!C$15,ROW(B229)-ROW(B$15),0)</f>
        <v>S</v>
      </c>
      <c r="C229" s="7" t="str">
        <f ca="1">OFFSET(ORÇAMENTO!L$15,ROW(C229)-ROW(C$15),0)</f>
        <v/>
      </c>
      <c r="D229" s="118" t="str">
        <f ca="1">OFFSET(ORÇAMENTO!N$15,ROW(D229)-ROW(D$15),0)</f>
        <v>Serviço</v>
      </c>
      <c r="E229" s="119" t="str">
        <f ca="1">OFFSET(ORÇAMENTO!O$15,ROW(E229)-ROW(E$15),0)</f>
        <v>-</v>
      </c>
      <c r="F229" s="172" t="str">
        <f ca="1">OFFSET(ORÇAMENTO!R$15,ROW(F229)-ROW(F$15),0)</f>
        <v>(abra o arquivo 'Referência 02-2025.xlsm)</v>
      </c>
      <c r="G229" s="173" t="str">
        <f ca="1">IF($D229&lt;&gt;"Serviço","",OFFSET(ORÇAMENTO!S$15,ROW(G229)-ROW(G$15),0))</f>
        <v>-</v>
      </c>
      <c r="H229" s="124">
        <f ca="1">IF($D229&lt;&gt;"Serviço",0,IF(ACOMPANHAMENTO="BM",ROUND(OFFSET(ORÇAMENTO!AJ$15,ROW(H229)-ROW(H$15),0),15-13*ORÇAMENTO!$AF$7),SUMPRODUCT(($Q$12:$AA$12&lt;&gt;"")*ROUND($Q229:$AA229,15-13*ORÇAMENTO!$AF$7))))</f>
        <v>21</v>
      </c>
      <c r="I229" s="561" t="s">
        <v>890</v>
      </c>
      <c r="K229" s="174"/>
      <c r="L229" s="175" t="s">
        <v>255</v>
      </c>
      <c r="M229" s="176">
        <f ca="1">IF($D229&lt;&gt;"Serviço","",IF(AUTOEVENTO="manual",$A229,IF(ISERROR(MATCH($A229,$A$15:OFFSET($A229,-1,0),0)),MAX($M$15:OFFSET(M229,-1,0))+1,INDEX($M$15:OFFSET(M229,-1,0),MATCH($A229,$A$15:OFFSET($A229,-1,0),0)))))</f>
        <v>11</v>
      </c>
      <c r="N229" s="177" t="str">
        <f ca="1">IF($D229&lt;&gt;"Serviço","",IF(AUTOEVENTO="Manual",IF($A229=0,"&lt;-- defina o número do agrupador",OFFSET(EVENTOS!$D$14,$A229,0)),OFFSET($F$15,$A229,0)))</f>
        <v>SISTEMAS DE PISOS</v>
      </c>
      <c r="O229" s="178"/>
      <c r="Q229" s="178"/>
      <c r="R229" s="179"/>
      <c r="S229" s="179"/>
      <c r="T229" s="179"/>
      <c r="U229" s="179"/>
      <c r="V229" s="179"/>
      <c r="W229" s="179"/>
      <c r="X229" s="179"/>
      <c r="Y229" s="179"/>
      <c r="Z229" s="180"/>
      <c r="AB229" s="544">
        <f ca="1">IF(AND($D229="Serviço",AB$12&lt;&gt;0,$H229&gt;0,OR(AUTOEVENTO&lt;&gt;"manual",$M229&lt;&gt;1)),
IF(Import.TipoArredondamento&lt;&gt;"TransfereGOV",
ROUND(OFFSET($P229,0,AB$13),15-13*ORÇAMENTO!$AF$7)/$H229*OFFSET(ORÇAMENTO!$X$15,ROW(AB229)-ROW(AB$15),0),
ROUND(ROUND(OFFSET($P229,0,AB$13),15-13*ORÇAMENTO!$AF$7)*OFFSET(ORÇAMENTO!$W$15,ROW(AB229)-ROW(AB$15),0),15-13*ORÇAMENTO!$AF$11)),0)</f>
        <v>0</v>
      </c>
      <c r="AC229" s="545">
        <f ca="1">IF(AND($D229="Serviço",AC$12&lt;&gt;0,$H229&gt;0,OR(AUTOEVENTO&lt;&gt;"manual",$M229&lt;&gt;1)),
IF(Import.TipoArredondamento&lt;&gt;"TransfereGOV",
ROUND(OFFSET($P229,0,AC$13),15-13*ORÇAMENTO!$AF$7)/$H229*OFFSET(ORÇAMENTO!$X$15,ROW(AC229)-ROW(AC$15),0),
ROUND(ROUND(OFFSET($P229,0,AC$13),15-13*ORÇAMENTO!$AF$7)*OFFSET(ORÇAMENTO!$W$15,ROW(AC229)-ROW(AC$15),0),15-13*ORÇAMENTO!$AF$11)),0)</f>
        <v>0</v>
      </c>
      <c r="AD229" s="545">
        <f ca="1">IF(AND($D229="Serviço",AD$12&lt;&gt;0,$H229&gt;0,OR(AUTOEVENTO&lt;&gt;"manual",$M229&lt;&gt;1)),
IF(Import.TipoArredondamento&lt;&gt;"TransfereGOV",
ROUND(OFFSET($P229,0,AD$13),15-13*ORÇAMENTO!$AF$7)/$H229*OFFSET(ORÇAMENTO!$X$15,ROW(AD229)-ROW(AD$15),0),
ROUND(ROUND(OFFSET($P229,0,AD$13),15-13*ORÇAMENTO!$AF$7)*OFFSET(ORÇAMENTO!$W$15,ROW(AD229)-ROW(AD$15),0),15-13*ORÇAMENTO!$AF$11)),0)</f>
        <v>0</v>
      </c>
      <c r="AE229" s="545">
        <f ca="1">IF(AND($D229="Serviço",AE$12&lt;&gt;0,$H229&gt;0,OR(AUTOEVENTO&lt;&gt;"manual",$M229&lt;&gt;1)),
IF(Import.TipoArredondamento&lt;&gt;"TransfereGOV",
ROUND(OFFSET($P229,0,AE$13),15-13*ORÇAMENTO!$AF$7)/$H229*OFFSET(ORÇAMENTO!$X$15,ROW(AE229)-ROW(AE$15),0),
ROUND(ROUND(OFFSET($P229,0,AE$13),15-13*ORÇAMENTO!$AF$7)*OFFSET(ORÇAMENTO!$W$15,ROW(AE229)-ROW(AE$15),0),15-13*ORÇAMENTO!$AF$11)),0)</f>
        <v>0</v>
      </c>
      <c r="AF229" s="545">
        <f ca="1">IF(AND($D229="Serviço",AF$12&lt;&gt;0,$H229&gt;0,OR(AUTOEVENTO&lt;&gt;"manual",$M229&lt;&gt;1)),
IF(Import.TipoArredondamento&lt;&gt;"TransfereGOV",
ROUND(OFFSET($P229,0,AF$13),15-13*ORÇAMENTO!$AF$7)/$H229*OFFSET(ORÇAMENTO!$X$15,ROW(AF229)-ROW(AF$15),0),
ROUND(ROUND(OFFSET($P229,0,AF$13),15-13*ORÇAMENTO!$AF$7)*OFFSET(ORÇAMENTO!$W$15,ROW(AF229)-ROW(AF$15),0),15-13*ORÇAMENTO!$AF$11)),0)</f>
        <v>0</v>
      </c>
      <c r="AG229" s="545">
        <f ca="1">IF(AND($D229="Serviço",AG$12&lt;&gt;0,$H229&gt;0,OR(AUTOEVENTO&lt;&gt;"manual",$M229&lt;&gt;1)),
IF(Import.TipoArredondamento&lt;&gt;"TransfereGOV",
ROUND(OFFSET($P229,0,AG$13),15-13*ORÇAMENTO!$AF$7)/$H229*OFFSET(ORÇAMENTO!$X$15,ROW(AG229)-ROW(AG$15),0),
ROUND(ROUND(OFFSET($P229,0,AG$13),15-13*ORÇAMENTO!$AF$7)*OFFSET(ORÇAMENTO!$W$15,ROW(AG229)-ROW(AG$15),0),15-13*ORÇAMENTO!$AF$11)),0)</f>
        <v>0</v>
      </c>
      <c r="AH229" s="545">
        <f ca="1">IF(AND($D229="Serviço",AH$12&lt;&gt;0,$H229&gt;0,OR(AUTOEVENTO&lt;&gt;"manual",$M229&lt;&gt;1)),
IF(Import.TipoArredondamento&lt;&gt;"TransfereGOV",
ROUND(OFFSET($P229,0,AH$13),15-13*ORÇAMENTO!$AF$7)/$H229*OFFSET(ORÇAMENTO!$X$15,ROW(AH229)-ROW(AH$15),0),
ROUND(ROUND(OFFSET($P229,0,AH$13),15-13*ORÇAMENTO!$AF$7)*OFFSET(ORÇAMENTO!$W$15,ROW(AH229)-ROW(AH$15),0),15-13*ORÇAMENTO!$AF$11)),0)</f>
        <v>0</v>
      </c>
      <c r="AI229" s="545">
        <f ca="1">IF(AND($D229="Serviço",AI$12&lt;&gt;0,$H229&gt;0,OR(AUTOEVENTO&lt;&gt;"manual",$M229&lt;&gt;1)),
IF(Import.TipoArredondamento&lt;&gt;"TransfereGOV",
ROUND(OFFSET($P229,0,AI$13),15-13*ORÇAMENTO!$AF$7)/$H229*OFFSET(ORÇAMENTO!$X$15,ROW(AI229)-ROW(AI$15),0),
ROUND(ROUND(OFFSET($P229,0,AI$13),15-13*ORÇAMENTO!$AF$7)*OFFSET(ORÇAMENTO!$W$15,ROW(AI229)-ROW(AI$15),0),15-13*ORÇAMENTO!$AF$11)),0)</f>
        <v>0</v>
      </c>
      <c r="AJ229" s="545">
        <f ca="1">IF(AND($D229="Serviço",AJ$12&lt;&gt;0,$H229&gt;0,OR(AUTOEVENTO&lt;&gt;"manual",$M229&lt;&gt;1)),
IF(Import.TipoArredondamento&lt;&gt;"TransfereGOV",
ROUND(OFFSET($P229,0,AJ$13),15-13*ORÇAMENTO!$AF$7)/$H229*OFFSET(ORÇAMENTO!$X$15,ROW(AJ229)-ROW(AJ$15),0),
ROUND(ROUND(OFFSET($P229,0,AJ$13),15-13*ORÇAMENTO!$AF$7)*OFFSET(ORÇAMENTO!$W$15,ROW(AJ229)-ROW(AJ$15),0),15-13*ORÇAMENTO!$AF$11)),0)</f>
        <v>0</v>
      </c>
      <c r="AK229" s="546">
        <f ca="1">IF(AND($D229="Serviço",AK$12&lt;&gt;0,$H229&gt;0,OR(AUTOEVENTO&lt;&gt;"manual",$M229&lt;&gt;1)),
IF(Import.TipoArredondamento&lt;&gt;"TransfereGOV",
ROUND(OFFSET($P229,0,AK$13),15-13*ORÇAMENTO!$AF$7)/$H229*OFFSET(ORÇAMENTO!$X$15,ROW(AK229)-ROW(AK$15),0),
ROUND(ROUND(OFFSET($P229,0,AK$13),15-13*ORÇAMENTO!$AF$7)*OFFSET(ORÇAMENTO!$W$15,ROW(AK229)-ROW(AK$15),0),15-13*ORÇAMENTO!$AF$11)),0)</f>
        <v>0</v>
      </c>
      <c r="AM229" s="181">
        <f ca="1">IF($D229&lt;&gt;"Serviço",0,IF(AND(AUTOEVENTO="Manual",$M229=1),0,IF(OFFSET(CRONOPLE!$F$14,$M229,AM$13)="",10^12,OFFSET(CRONOPLE!$F$14,$M229,AM$13))))</f>
        <v>1000000000000</v>
      </c>
      <c r="AN229" s="181">
        <f ca="1">IF($D229&lt;&gt;"Serviço",0,IF(AND(AUTOEVENTO="Manual",$M229=1),0,IF(OFFSET(CRONOPLE!$F$14,$M229,AN$13)="",10^12,OFFSET(CRONOPLE!$F$14,$M229,AN$13))))</f>
        <v>1000000000000</v>
      </c>
      <c r="AO229" s="181">
        <f ca="1">IF($D229&lt;&gt;"Serviço",0,IF(AND(AUTOEVENTO="Manual",$M229=1),0,IF(OFFSET(CRONOPLE!$F$14,$M229,AO$13)="",10^12,OFFSET(CRONOPLE!$F$14,$M229,AO$13))))</f>
        <v>1000000000000</v>
      </c>
      <c r="AP229" s="181">
        <f ca="1">IF($D229&lt;&gt;"Serviço",0,IF(AND(AUTOEVENTO="Manual",$M229=1),0,IF(OFFSET(CRONOPLE!$F$14,$M229,AP$13)="",10^12,OFFSET(CRONOPLE!$F$14,$M229,AP$13))))</f>
        <v>1000000000000</v>
      </c>
      <c r="AQ229" s="181">
        <f ca="1">IF($D229&lt;&gt;"Serviço",0,IF(AND(AUTOEVENTO="Manual",$M229=1),0,IF(OFFSET(CRONOPLE!$F$14,$M229,AQ$13)="",10^12,OFFSET(CRONOPLE!$F$14,$M229,AQ$13))))</f>
        <v>1000000000000</v>
      </c>
      <c r="AR229" s="181">
        <f ca="1">IF($D229&lt;&gt;"Serviço",0,IF(AND(AUTOEVENTO="Manual",$M229=1),0,IF(OFFSET(CRONOPLE!$F$14,$M229,AR$13)="",10^12,OFFSET(CRONOPLE!$F$14,$M229,AR$13))))</f>
        <v>1000000000000</v>
      </c>
      <c r="AS229" s="181">
        <f ca="1">IF($D229&lt;&gt;"Serviço",0,IF(AND(AUTOEVENTO="Manual",$M229=1),0,IF(OFFSET(CRONOPLE!$F$14,$M229,AS$13)="",10^12,OFFSET(CRONOPLE!$F$14,$M229,AS$13))))</f>
        <v>1000000000000</v>
      </c>
      <c r="AT229" s="181">
        <f ca="1">IF($D229&lt;&gt;"Serviço",0,IF(AND(AUTOEVENTO="Manual",$M229=1),0,IF(OFFSET(CRONOPLE!$F$14,$M229,AT$13)="",10^12,OFFSET(CRONOPLE!$F$14,$M229,AT$13))))</f>
        <v>1000000000000</v>
      </c>
      <c r="AU229" s="181">
        <f ca="1">IF($D229&lt;&gt;"Serviço",0,IF(AND(AUTOEVENTO="Manual",$M229=1),0,IF(OFFSET(CRONOPLE!$F$14,$M229,AU$13)="",10^12,OFFSET(CRONOPLE!$F$14,$M229,AU$13))))</f>
        <v>1000000000000</v>
      </c>
      <c r="AV229" s="181">
        <f ca="1">IF($D229&lt;&gt;"Serviço",0,IF(AND(AUTOEVENTO="Manual",$M229=1),0,IF(OFFSET(CRONOPLE!$F$14,$M229,AV$13)="",10^12,OFFSET(CRONOPLE!$F$14,$M229,AV$13))))</f>
        <v>1000000000000</v>
      </c>
      <c r="AX229" s="182">
        <f ca="1">IF($D229&lt;&gt;"Serviço",0,IF(OR(AND(AUTOEVENTO="Manual",$M229=1),$M229&gt;(ROW(PLE.lastrow)-ROW(PLE.firstrow))),0,IF(OFFSET(PLE!$G$14,$M229,AX$13)="",10^12,OFFSET(PLE!$G$14,$M229,AX$13))))</f>
        <v>1000000000000</v>
      </c>
      <c r="AY229" s="182">
        <f ca="1">IF($D229&lt;&gt;"Serviço",0,IF(OR(AND(AUTOEVENTO="Manual",$M229=1),$M229&gt;(ROW(PLE.lastrow)-ROW(PLE.firstrow))),0,IF(OFFSET(PLE!$G$14,$M229,AY$13)="",10^12,OFFSET(PLE!$G$14,$M229,AY$13))))</f>
        <v>1000000000000</v>
      </c>
      <c r="AZ229" s="182">
        <f ca="1">IF($D229&lt;&gt;"Serviço",0,IF(OR(AND(AUTOEVENTO="Manual",$M229=1),$M229&gt;(ROW(PLE.lastrow)-ROW(PLE.firstrow))),0,IF(OFFSET(PLE!$G$14,$M229,AZ$13)="",10^12,OFFSET(PLE!$G$14,$M229,AZ$13))))</f>
        <v>1000000000000</v>
      </c>
      <c r="BA229" s="182">
        <f ca="1">IF($D229&lt;&gt;"Serviço",0,IF(OR(AND(AUTOEVENTO="Manual",$M229=1),$M229&gt;(ROW(PLE.lastrow)-ROW(PLE.firstrow))),0,IF(OFFSET(PLE!$G$14,$M229,BA$13)="",10^12,OFFSET(PLE!$G$14,$M229,BA$13))))</f>
        <v>1000000000000</v>
      </c>
      <c r="BB229" s="182">
        <f ca="1">IF($D229&lt;&gt;"Serviço",0,IF(OR(AND(AUTOEVENTO="Manual",$M229=1),$M229&gt;(ROW(PLE.lastrow)-ROW(PLE.firstrow))),0,IF(OFFSET(PLE!$G$14,$M229,BB$13)="",10^12,OFFSET(PLE!$G$14,$M229,BB$13))))</f>
        <v>1000000000000</v>
      </c>
      <c r="BC229" s="182">
        <f ca="1">IF($D229&lt;&gt;"Serviço",0,IF(OR(AND(AUTOEVENTO="Manual",$M229=1),$M229&gt;(ROW(PLE.lastrow)-ROW(PLE.firstrow))),0,IF(OFFSET(PLE!$G$14,$M229,BC$13)="",10^12,OFFSET(PLE!$G$14,$M229,BC$13))))</f>
        <v>1000000000000</v>
      </c>
      <c r="BD229" s="182">
        <f ca="1">IF($D229&lt;&gt;"Serviço",0,IF(OR(AND(AUTOEVENTO="Manual",$M229=1),$M229&gt;(ROW(PLE.lastrow)-ROW(PLE.firstrow))),0,IF(OFFSET(PLE!$G$14,$M229,BD$13)="",10^12,OFFSET(PLE!$G$14,$M229,BD$13))))</f>
        <v>1000000000000</v>
      </c>
      <c r="BE229" s="182">
        <f ca="1">IF($D229&lt;&gt;"Serviço",0,IF(OR(AND(AUTOEVENTO="Manual",$M229=1),$M229&gt;(ROW(PLE.lastrow)-ROW(PLE.firstrow))),0,IF(OFFSET(PLE!$G$14,$M229,BE$13)="",10^12,OFFSET(PLE!$G$14,$M229,BE$13))))</f>
        <v>1000000000000</v>
      </c>
      <c r="BF229" s="182">
        <f ca="1">IF($D229&lt;&gt;"Serviço",0,IF(OR(AND(AUTOEVENTO="Manual",$M229=1),$M229&gt;(ROW(PLE.lastrow)-ROW(PLE.firstrow))),0,IF(OFFSET(PLE!$G$14,$M229,BF$13)="",10^12,OFFSET(PLE!$G$14,$M229,BF$13))))</f>
        <v>1000000000000</v>
      </c>
      <c r="BG229" s="182">
        <f ca="1">IF($D229&lt;&gt;"Serviço",0,IF(OR(AND(AUTOEVENTO="Manual",$M229=1),$M229&gt;(ROW(PLE.lastrow)-ROW(PLE.firstrow))),0,IF(OFFSET(PLE!$G$14,$M229,BG$13)="",10^12,OFFSET(PLE!$G$14,$M229,BG$13))))</f>
        <v>1000000000000</v>
      </c>
    </row>
    <row r="230" spans="1:59" ht="25.5" x14ac:dyDescent="0.2">
      <c r="A230" s="7" t="str">
        <f t="shared" ca="1" si="11"/>
        <v>191</v>
      </c>
      <c r="B230" s="7" t="str">
        <f ca="1">OFFSET(ORÇAMENTO!C$15,ROW(B230)-ROW(B$15),0)</f>
        <v>S</v>
      </c>
      <c r="C230" s="7" t="str">
        <f ca="1">OFFSET(ORÇAMENTO!L$15,ROW(C230)-ROW(C$15),0)</f>
        <v/>
      </c>
      <c r="D230" s="118" t="str">
        <f ca="1">OFFSET(ORÇAMENTO!N$15,ROW(D230)-ROW(D$15),0)</f>
        <v>Serviço</v>
      </c>
      <c r="E230" s="119" t="str">
        <f ca="1">OFFSET(ORÇAMENTO!O$15,ROW(E230)-ROW(E$15),0)</f>
        <v>-</v>
      </c>
      <c r="F230" s="172" t="str">
        <f ca="1">OFFSET(ORÇAMENTO!R$15,ROW(F230)-ROW(F$15),0)</f>
        <v>(abra o arquivo 'Referência 02-2025.xlsm)</v>
      </c>
      <c r="G230" s="173" t="str">
        <f ca="1">IF($D230&lt;&gt;"Serviço","",OFFSET(ORÇAMENTO!S$15,ROW(G230)-ROW(G$15),0))</f>
        <v>-</v>
      </c>
      <c r="H230" s="124">
        <f ca="1">IF($D230&lt;&gt;"Serviço",0,IF(ACOMPANHAMENTO="BM",ROUND(OFFSET(ORÇAMENTO!AJ$15,ROW(H230)-ROW(H$15),0),15-13*ORÇAMENTO!$AF$7),SUMPRODUCT(($Q$12:$AA$12&lt;&gt;"")*ROUND($Q230:$AA230,15-13*ORÇAMENTO!$AF$7))))</f>
        <v>38.76</v>
      </c>
      <c r="I230" s="561" t="s">
        <v>890</v>
      </c>
      <c r="K230" s="174"/>
      <c r="L230" s="175" t="s">
        <v>255</v>
      </c>
      <c r="M230" s="176">
        <f ca="1">IF($D230&lt;&gt;"Serviço","",IF(AUTOEVENTO="manual",$A230,IF(ISERROR(MATCH($A230,$A$15:OFFSET($A230,-1,0),0)),MAX($M$15:OFFSET(M230,-1,0))+1,INDEX($M$15:OFFSET(M230,-1,0),MATCH($A230,$A$15:OFFSET($A230,-1,0),0)))))</f>
        <v>11</v>
      </c>
      <c r="N230" s="177" t="str">
        <f ca="1">IF($D230&lt;&gt;"Serviço","",IF(AUTOEVENTO="Manual",IF($A230=0,"&lt;-- defina o número do agrupador",OFFSET(EVENTOS!$D$14,$A230,0)),OFFSET($F$15,$A230,0)))</f>
        <v>SISTEMAS DE PISOS</v>
      </c>
      <c r="O230" s="178"/>
      <c r="Q230" s="178"/>
      <c r="R230" s="179"/>
      <c r="S230" s="179"/>
      <c r="T230" s="179"/>
      <c r="U230" s="179"/>
      <c r="V230" s="179"/>
      <c r="W230" s="179"/>
      <c r="X230" s="179"/>
      <c r="Y230" s="179"/>
      <c r="Z230" s="180"/>
      <c r="AB230" s="544">
        <f ca="1">IF(AND($D230="Serviço",AB$12&lt;&gt;0,$H230&gt;0,OR(AUTOEVENTO&lt;&gt;"manual",$M230&lt;&gt;1)),
IF(Import.TipoArredondamento&lt;&gt;"TransfereGOV",
ROUND(OFFSET($P230,0,AB$13),15-13*ORÇAMENTO!$AF$7)/$H230*OFFSET(ORÇAMENTO!$X$15,ROW(AB230)-ROW(AB$15),0),
ROUND(ROUND(OFFSET($P230,0,AB$13),15-13*ORÇAMENTO!$AF$7)*OFFSET(ORÇAMENTO!$W$15,ROW(AB230)-ROW(AB$15),0),15-13*ORÇAMENTO!$AF$11)),0)</f>
        <v>0</v>
      </c>
      <c r="AC230" s="545">
        <f ca="1">IF(AND($D230="Serviço",AC$12&lt;&gt;0,$H230&gt;0,OR(AUTOEVENTO&lt;&gt;"manual",$M230&lt;&gt;1)),
IF(Import.TipoArredondamento&lt;&gt;"TransfereGOV",
ROUND(OFFSET($P230,0,AC$13),15-13*ORÇAMENTO!$AF$7)/$H230*OFFSET(ORÇAMENTO!$X$15,ROW(AC230)-ROW(AC$15),0),
ROUND(ROUND(OFFSET($P230,0,AC$13),15-13*ORÇAMENTO!$AF$7)*OFFSET(ORÇAMENTO!$W$15,ROW(AC230)-ROW(AC$15),0),15-13*ORÇAMENTO!$AF$11)),0)</f>
        <v>0</v>
      </c>
      <c r="AD230" s="545">
        <f ca="1">IF(AND($D230="Serviço",AD$12&lt;&gt;0,$H230&gt;0,OR(AUTOEVENTO&lt;&gt;"manual",$M230&lt;&gt;1)),
IF(Import.TipoArredondamento&lt;&gt;"TransfereGOV",
ROUND(OFFSET($P230,0,AD$13),15-13*ORÇAMENTO!$AF$7)/$H230*OFFSET(ORÇAMENTO!$X$15,ROW(AD230)-ROW(AD$15),0),
ROUND(ROUND(OFFSET($P230,0,AD$13),15-13*ORÇAMENTO!$AF$7)*OFFSET(ORÇAMENTO!$W$15,ROW(AD230)-ROW(AD$15),0),15-13*ORÇAMENTO!$AF$11)),0)</f>
        <v>0</v>
      </c>
      <c r="AE230" s="545">
        <f ca="1">IF(AND($D230="Serviço",AE$12&lt;&gt;0,$H230&gt;0,OR(AUTOEVENTO&lt;&gt;"manual",$M230&lt;&gt;1)),
IF(Import.TipoArredondamento&lt;&gt;"TransfereGOV",
ROUND(OFFSET($P230,0,AE$13),15-13*ORÇAMENTO!$AF$7)/$H230*OFFSET(ORÇAMENTO!$X$15,ROW(AE230)-ROW(AE$15),0),
ROUND(ROUND(OFFSET($P230,0,AE$13),15-13*ORÇAMENTO!$AF$7)*OFFSET(ORÇAMENTO!$W$15,ROW(AE230)-ROW(AE$15),0),15-13*ORÇAMENTO!$AF$11)),0)</f>
        <v>0</v>
      </c>
      <c r="AF230" s="545">
        <f ca="1">IF(AND($D230="Serviço",AF$12&lt;&gt;0,$H230&gt;0,OR(AUTOEVENTO&lt;&gt;"manual",$M230&lt;&gt;1)),
IF(Import.TipoArredondamento&lt;&gt;"TransfereGOV",
ROUND(OFFSET($P230,0,AF$13),15-13*ORÇAMENTO!$AF$7)/$H230*OFFSET(ORÇAMENTO!$X$15,ROW(AF230)-ROW(AF$15),0),
ROUND(ROUND(OFFSET($P230,0,AF$13),15-13*ORÇAMENTO!$AF$7)*OFFSET(ORÇAMENTO!$W$15,ROW(AF230)-ROW(AF$15),0),15-13*ORÇAMENTO!$AF$11)),0)</f>
        <v>0</v>
      </c>
      <c r="AG230" s="545">
        <f ca="1">IF(AND($D230="Serviço",AG$12&lt;&gt;0,$H230&gt;0,OR(AUTOEVENTO&lt;&gt;"manual",$M230&lt;&gt;1)),
IF(Import.TipoArredondamento&lt;&gt;"TransfereGOV",
ROUND(OFFSET($P230,0,AG$13),15-13*ORÇAMENTO!$AF$7)/$H230*OFFSET(ORÇAMENTO!$X$15,ROW(AG230)-ROW(AG$15),0),
ROUND(ROUND(OFFSET($P230,0,AG$13),15-13*ORÇAMENTO!$AF$7)*OFFSET(ORÇAMENTO!$W$15,ROW(AG230)-ROW(AG$15),0),15-13*ORÇAMENTO!$AF$11)),0)</f>
        <v>0</v>
      </c>
      <c r="AH230" s="545">
        <f ca="1">IF(AND($D230="Serviço",AH$12&lt;&gt;0,$H230&gt;0,OR(AUTOEVENTO&lt;&gt;"manual",$M230&lt;&gt;1)),
IF(Import.TipoArredondamento&lt;&gt;"TransfereGOV",
ROUND(OFFSET($P230,0,AH$13),15-13*ORÇAMENTO!$AF$7)/$H230*OFFSET(ORÇAMENTO!$X$15,ROW(AH230)-ROW(AH$15),0),
ROUND(ROUND(OFFSET($P230,0,AH$13),15-13*ORÇAMENTO!$AF$7)*OFFSET(ORÇAMENTO!$W$15,ROW(AH230)-ROW(AH$15),0),15-13*ORÇAMENTO!$AF$11)),0)</f>
        <v>0</v>
      </c>
      <c r="AI230" s="545">
        <f ca="1">IF(AND($D230="Serviço",AI$12&lt;&gt;0,$H230&gt;0,OR(AUTOEVENTO&lt;&gt;"manual",$M230&lt;&gt;1)),
IF(Import.TipoArredondamento&lt;&gt;"TransfereGOV",
ROUND(OFFSET($P230,0,AI$13),15-13*ORÇAMENTO!$AF$7)/$H230*OFFSET(ORÇAMENTO!$X$15,ROW(AI230)-ROW(AI$15),0),
ROUND(ROUND(OFFSET($P230,0,AI$13),15-13*ORÇAMENTO!$AF$7)*OFFSET(ORÇAMENTO!$W$15,ROW(AI230)-ROW(AI$15),0),15-13*ORÇAMENTO!$AF$11)),0)</f>
        <v>0</v>
      </c>
      <c r="AJ230" s="545">
        <f ca="1">IF(AND($D230="Serviço",AJ$12&lt;&gt;0,$H230&gt;0,OR(AUTOEVENTO&lt;&gt;"manual",$M230&lt;&gt;1)),
IF(Import.TipoArredondamento&lt;&gt;"TransfereGOV",
ROUND(OFFSET($P230,0,AJ$13),15-13*ORÇAMENTO!$AF$7)/$H230*OFFSET(ORÇAMENTO!$X$15,ROW(AJ230)-ROW(AJ$15),0),
ROUND(ROUND(OFFSET($P230,0,AJ$13),15-13*ORÇAMENTO!$AF$7)*OFFSET(ORÇAMENTO!$W$15,ROW(AJ230)-ROW(AJ$15),0),15-13*ORÇAMENTO!$AF$11)),0)</f>
        <v>0</v>
      </c>
      <c r="AK230" s="546">
        <f ca="1">IF(AND($D230="Serviço",AK$12&lt;&gt;0,$H230&gt;0,OR(AUTOEVENTO&lt;&gt;"manual",$M230&lt;&gt;1)),
IF(Import.TipoArredondamento&lt;&gt;"TransfereGOV",
ROUND(OFFSET($P230,0,AK$13),15-13*ORÇAMENTO!$AF$7)/$H230*OFFSET(ORÇAMENTO!$X$15,ROW(AK230)-ROW(AK$15),0),
ROUND(ROUND(OFFSET($P230,0,AK$13),15-13*ORÇAMENTO!$AF$7)*OFFSET(ORÇAMENTO!$W$15,ROW(AK230)-ROW(AK$15),0),15-13*ORÇAMENTO!$AF$11)),0)</f>
        <v>0</v>
      </c>
      <c r="AM230" s="181">
        <f ca="1">IF($D230&lt;&gt;"Serviço",0,IF(AND(AUTOEVENTO="Manual",$M230=1),0,IF(OFFSET(CRONOPLE!$F$14,$M230,AM$13)="",10^12,OFFSET(CRONOPLE!$F$14,$M230,AM$13))))</f>
        <v>1000000000000</v>
      </c>
      <c r="AN230" s="181">
        <f ca="1">IF($D230&lt;&gt;"Serviço",0,IF(AND(AUTOEVENTO="Manual",$M230=1),0,IF(OFFSET(CRONOPLE!$F$14,$M230,AN$13)="",10^12,OFFSET(CRONOPLE!$F$14,$M230,AN$13))))</f>
        <v>1000000000000</v>
      </c>
      <c r="AO230" s="181">
        <f ca="1">IF($D230&lt;&gt;"Serviço",0,IF(AND(AUTOEVENTO="Manual",$M230=1),0,IF(OFFSET(CRONOPLE!$F$14,$M230,AO$13)="",10^12,OFFSET(CRONOPLE!$F$14,$M230,AO$13))))</f>
        <v>1000000000000</v>
      </c>
      <c r="AP230" s="181">
        <f ca="1">IF($D230&lt;&gt;"Serviço",0,IF(AND(AUTOEVENTO="Manual",$M230=1),0,IF(OFFSET(CRONOPLE!$F$14,$M230,AP$13)="",10^12,OFFSET(CRONOPLE!$F$14,$M230,AP$13))))</f>
        <v>1000000000000</v>
      </c>
      <c r="AQ230" s="181">
        <f ca="1">IF($D230&lt;&gt;"Serviço",0,IF(AND(AUTOEVENTO="Manual",$M230=1),0,IF(OFFSET(CRONOPLE!$F$14,$M230,AQ$13)="",10^12,OFFSET(CRONOPLE!$F$14,$M230,AQ$13))))</f>
        <v>1000000000000</v>
      </c>
      <c r="AR230" s="181">
        <f ca="1">IF($D230&lt;&gt;"Serviço",0,IF(AND(AUTOEVENTO="Manual",$M230=1),0,IF(OFFSET(CRONOPLE!$F$14,$M230,AR$13)="",10^12,OFFSET(CRONOPLE!$F$14,$M230,AR$13))))</f>
        <v>1000000000000</v>
      </c>
      <c r="AS230" s="181">
        <f ca="1">IF($D230&lt;&gt;"Serviço",0,IF(AND(AUTOEVENTO="Manual",$M230=1),0,IF(OFFSET(CRONOPLE!$F$14,$M230,AS$13)="",10^12,OFFSET(CRONOPLE!$F$14,$M230,AS$13))))</f>
        <v>1000000000000</v>
      </c>
      <c r="AT230" s="181">
        <f ca="1">IF($D230&lt;&gt;"Serviço",0,IF(AND(AUTOEVENTO="Manual",$M230=1),0,IF(OFFSET(CRONOPLE!$F$14,$M230,AT$13)="",10^12,OFFSET(CRONOPLE!$F$14,$M230,AT$13))))</f>
        <v>1000000000000</v>
      </c>
      <c r="AU230" s="181">
        <f ca="1">IF($D230&lt;&gt;"Serviço",0,IF(AND(AUTOEVENTO="Manual",$M230=1),0,IF(OFFSET(CRONOPLE!$F$14,$M230,AU$13)="",10^12,OFFSET(CRONOPLE!$F$14,$M230,AU$13))))</f>
        <v>1000000000000</v>
      </c>
      <c r="AV230" s="181">
        <f ca="1">IF($D230&lt;&gt;"Serviço",0,IF(AND(AUTOEVENTO="Manual",$M230=1),0,IF(OFFSET(CRONOPLE!$F$14,$M230,AV$13)="",10^12,OFFSET(CRONOPLE!$F$14,$M230,AV$13))))</f>
        <v>1000000000000</v>
      </c>
      <c r="AX230" s="182">
        <f ca="1">IF($D230&lt;&gt;"Serviço",0,IF(OR(AND(AUTOEVENTO="Manual",$M230=1),$M230&gt;(ROW(PLE.lastrow)-ROW(PLE.firstrow))),0,IF(OFFSET(PLE!$G$14,$M230,AX$13)="",10^12,OFFSET(PLE!$G$14,$M230,AX$13))))</f>
        <v>1000000000000</v>
      </c>
      <c r="AY230" s="182">
        <f ca="1">IF($D230&lt;&gt;"Serviço",0,IF(OR(AND(AUTOEVENTO="Manual",$M230=1),$M230&gt;(ROW(PLE.lastrow)-ROW(PLE.firstrow))),0,IF(OFFSET(PLE!$G$14,$M230,AY$13)="",10^12,OFFSET(PLE!$G$14,$M230,AY$13))))</f>
        <v>1000000000000</v>
      </c>
      <c r="AZ230" s="182">
        <f ca="1">IF($D230&lt;&gt;"Serviço",0,IF(OR(AND(AUTOEVENTO="Manual",$M230=1),$M230&gt;(ROW(PLE.lastrow)-ROW(PLE.firstrow))),0,IF(OFFSET(PLE!$G$14,$M230,AZ$13)="",10^12,OFFSET(PLE!$G$14,$M230,AZ$13))))</f>
        <v>1000000000000</v>
      </c>
      <c r="BA230" s="182">
        <f ca="1">IF($D230&lt;&gt;"Serviço",0,IF(OR(AND(AUTOEVENTO="Manual",$M230=1),$M230&gt;(ROW(PLE.lastrow)-ROW(PLE.firstrow))),0,IF(OFFSET(PLE!$G$14,$M230,BA$13)="",10^12,OFFSET(PLE!$G$14,$M230,BA$13))))</f>
        <v>1000000000000</v>
      </c>
      <c r="BB230" s="182">
        <f ca="1">IF($D230&lt;&gt;"Serviço",0,IF(OR(AND(AUTOEVENTO="Manual",$M230=1),$M230&gt;(ROW(PLE.lastrow)-ROW(PLE.firstrow))),0,IF(OFFSET(PLE!$G$14,$M230,BB$13)="",10^12,OFFSET(PLE!$G$14,$M230,BB$13))))</f>
        <v>1000000000000</v>
      </c>
      <c r="BC230" s="182">
        <f ca="1">IF($D230&lt;&gt;"Serviço",0,IF(OR(AND(AUTOEVENTO="Manual",$M230=1),$M230&gt;(ROW(PLE.lastrow)-ROW(PLE.firstrow))),0,IF(OFFSET(PLE!$G$14,$M230,BC$13)="",10^12,OFFSET(PLE!$G$14,$M230,BC$13))))</f>
        <v>1000000000000</v>
      </c>
      <c r="BD230" s="182">
        <f ca="1">IF($D230&lt;&gt;"Serviço",0,IF(OR(AND(AUTOEVENTO="Manual",$M230=1),$M230&gt;(ROW(PLE.lastrow)-ROW(PLE.firstrow))),0,IF(OFFSET(PLE!$G$14,$M230,BD$13)="",10^12,OFFSET(PLE!$G$14,$M230,BD$13))))</f>
        <v>1000000000000</v>
      </c>
      <c r="BE230" s="182">
        <f ca="1">IF($D230&lt;&gt;"Serviço",0,IF(OR(AND(AUTOEVENTO="Manual",$M230=1),$M230&gt;(ROW(PLE.lastrow)-ROW(PLE.firstrow))),0,IF(OFFSET(PLE!$G$14,$M230,BE$13)="",10^12,OFFSET(PLE!$G$14,$M230,BE$13))))</f>
        <v>1000000000000</v>
      </c>
      <c r="BF230" s="182">
        <f ca="1">IF($D230&lt;&gt;"Serviço",0,IF(OR(AND(AUTOEVENTO="Manual",$M230=1),$M230&gt;(ROW(PLE.lastrow)-ROW(PLE.firstrow))),0,IF(OFFSET(PLE!$G$14,$M230,BF$13)="",10^12,OFFSET(PLE!$G$14,$M230,BF$13))))</f>
        <v>1000000000000</v>
      </c>
      <c r="BG230" s="182">
        <f ca="1">IF($D230&lt;&gt;"Serviço",0,IF(OR(AND(AUTOEVENTO="Manual",$M230=1),$M230&gt;(ROW(PLE.lastrow)-ROW(PLE.firstrow))),0,IF(OFFSET(PLE!$G$14,$M230,BG$13)="",10^12,OFFSET(PLE!$G$14,$M230,BG$13))))</f>
        <v>1000000000000</v>
      </c>
    </row>
    <row r="231" spans="1:59" ht="25.5" x14ac:dyDescent="0.2">
      <c r="A231" s="7" t="str">
        <f t="shared" ca="1" si="11"/>
        <v>191</v>
      </c>
      <c r="B231" s="7" t="str">
        <f ca="1">OFFSET(ORÇAMENTO!C$15,ROW(B231)-ROW(B$15),0)</f>
        <v>S</v>
      </c>
      <c r="C231" s="7" t="str">
        <f ca="1">OFFSET(ORÇAMENTO!L$15,ROW(C231)-ROW(C$15),0)</f>
        <v/>
      </c>
      <c r="D231" s="118" t="str">
        <f ca="1">OFFSET(ORÇAMENTO!N$15,ROW(D231)-ROW(D$15),0)</f>
        <v>Serviço</v>
      </c>
      <c r="E231" s="119" t="str">
        <f ca="1">OFFSET(ORÇAMENTO!O$15,ROW(E231)-ROW(E$15),0)</f>
        <v>-</v>
      </c>
      <c r="F231" s="172" t="str">
        <f ca="1">OFFSET(ORÇAMENTO!R$15,ROW(F231)-ROW(F$15),0)</f>
        <v>(abra o arquivo 'Referência 02-2025.xlsm)</v>
      </c>
      <c r="G231" s="173" t="str">
        <f ca="1">IF($D231&lt;&gt;"Serviço","",OFFSET(ORÇAMENTO!S$15,ROW(G231)-ROW(G$15),0))</f>
        <v>-</v>
      </c>
      <c r="H231" s="124">
        <f ca="1">IF($D231&lt;&gt;"Serviço",0,IF(ACOMPANHAMENTO="BM",ROUND(OFFSET(ORÇAMENTO!AJ$15,ROW(H231)-ROW(H$15),0),15-13*ORÇAMENTO!$AF$7),SUMPRODUCT(($Q$12:$AA$12&lt;&gt;"")*ROUND($Q231:$AA231,15-13*ORÇAMENTO!$AF$7))))</f>
        <v>3.44</v>
      </c>
      <c r="I231" s="561" t="s">
        <v>890</v>
      </c>
      <c r="K231" s="174"/>
      <c r="L231" s="175" t="s">
        <v>255</v>
      </c>
      <c r="M231" s="176">
        <f ca="1">IF($D231&lt;&gt;"Serviço","",IF(AUTOEVENTO="manual",$A231,IF(ISERROR(MATCH($A231,$A$15:OFFSET($A231,-1,0),0)),MAX($M$15:OFFSET(M231,-1,0))+1,INDEX($M$15:OFFSET(M231,-1,0),MATCH($A231,$A$15:OFFSET($A231,-1,0),0)))))</f>
        <v>11</v>
      </c>
      <c r="N231" s="177" t="str">
        <f ca="1">IF($D231&lt;&gt;"Serviço","",IF(AUTOEVENTO="Manual",IF($A231=0,"&lt;-- defina o número do agrupador",OFFSET(EVENTOS!$D$14,$A231,0)),OFFSET($F$15,$A231,0)))</f>
        <v>SISTEMAS DE PISOS</v>
      </c>
      <c r="O231" s="178"/>
      <c r="Q231" s="178"/>
      <c r="R231" s="179"/>
      <c r="S231" s="179"/>
      <c r="T231" s="179"/>
      <c r="U231" s="179"/>
      <c r="V231" s="179"/>
      <c r="W231" s="179"/>
      <c r="X231" s="179"/>
      <c r="Y231" s="179"/>
      <c r="Z231" s="180"/>
      <c r="AB231" s="544">
        <f ca="1">IF(AND($D231="Serviço",AB$12&lt;&gt;0,$H231&gt;0,OR(AUTOEVENTO&lt;&gt;"manual",$M231&lt;&gt;1)),
IF(Import.TipoArredondamento&lt;&gt;"TransfereGOV",
ROUND(OFFSET($P231,0,AB$13),15-13*ORÇAMENTO!$AF$7)/$H231*OFFSET(ORÇAMENTO!$X$15,ROW(AB231)-ROW(AB$15),0),
ROUND(ROUND(OFFSET($P231,0,AB$13),15-13*ORÇAMENTO!$AF$7)*OFFSET(ORÇAMENTO!$W$15,ROW(AB231)-ROW(AB$15),0),15-13*ORÇAMENTO!$AF$11)),0)</f>
        <v>0</v>
      </c>
      <c r="AC231" s="545">
        <f ca="1">IF(AND($D231="Serviço",AC$12&lt;&gt;0,$H231&gt;0,OR(AUTOEVENTO&lt;&gt;"manual",$M231&lt;&gt;1)),
IF(Import.TipoArredondamento&lt;&gt;"TransfereGOV",
ROUND(OFFSET($P231,0,AC$13),15-13*ORÇAMENTO!$AF$7)/$H231*OFFSET(ORÇAMENTO!$X$15,ROW(AC231)-ROW(AC$15),0),
ROUND(ROUND(OFFSET($P231,0,AC$13),15-13*ORÇAMENTO!$AF$7)*OFFSET(ORÇAMENTO!$W$15,ROW(AC231)-ROW(AC$15),0),15-13*ORÇAMENTO!$AF$11)),0)</f>
        <v>0</v>
      </c>
      <c r="AD231" s="545">
        <f ca="1">IF(AND($D231="Serviço",AD$12&lt;&gt;0,$H231&gt;0,OR(AUTOEVENTO&lt;&gt;"manual",$M231&lt;&gt;1)),
IF(Import.TipoArredondamento&lt;&gt;"TransfereGOV",
ROUND(OFFSET($P231,0,AD$13),15-13*ORÇAMENTO!$AF$7)/$H231*OFFSET(ORÇAMENTO!$X$15,ROW(AD231)-ROW(AD$15),0),
ROUND(ROUND(OFFSET($P231,0,AD$13),15-13*ORÇAMENTO!$AF$7)*OFFSET(ORÇAMENTO!$W$15,ROW(AD231)-ROW(AD$15),0),15-13*ORÇAMENTO!$AF$11)),0)</f>
        <v>0</v>
      </c>
      <c r="AE231" s="545">
        <f ca="1">IF(AND($D231="Serviço",AE$12&lt;&gt;0,$H231&gt;0,OR(AUTOEVENTO&lt;&gt;"manual",$M231&lt;&gt;1)),
IF(Import.TipoArredondamento&lt;&gt;"TransfereGOV",
ROUND(OFFSET($P231,0,AE$13),15-13*ORÇAMENTO!$AF$7)/$H231*OFFSET(ORÇAMENTO!$X$15,ROW(AE231)-ROW(AE$15),0),
ROUND(ROUND(OFFSET($P231,0,AE$13),15-13*ORÇAMENTO!$AF$7)*OFFSET(ORÇAMENTO!$W$15,ROW(AE231)-ROW(AE$15),0),15-13*ORÇAMENTO!$AF$11)),0)</f>
        <v>0</v>
      </c>
      <c r="AF231" s="545">
        <f ca="1">IF(AND($D231="Serviço",AF$12&lt;&gt;0,$H231&gt;0,OR(AUTOEVENTO&lt;&gt;"manual",$M231&lt;&gt;1)),
IF(Import.TipoArredondamento&lt;&gt;"TransfereGOV",
ROUND(OFFSET($P231,0,AF$13),15-13*ORÇAMENTO!$AF$7)/$H231*OFFSET(ORÇAMENTO!$X$15,ROW(AF231)-ROW(AF$15),0),
ROUND(ROUND(OFFSET($P231,0,AF$13),15-13*ORÇAMENTO!$AF$7)*OFFSET(ORÇAMENTO!$W$15,ROW(AF231)-ROW(AF$15),0),15-13*ORÇAMENTO!$AF$11)),0)</f>
        <v>0</v>
      </c>
      <c r="AG231" s="545">
        <f ca="1">IF(AND($D231="Serviço",AG$12&lt;&gt;0,$H231&gt;0,OR(AUTOEVENTO&lt;&gt;"manual",$M231&lt;&gt;1)),
IF(Import.TipoArredondamento&lt;&gt;"TransfereGOV",
ROUND(OFFSET($P231,0,AG$13),15-13*ORÇAMENTO!$AF$7)/$H231*OFFSET(ORÇAMENTO!$X$15,ROW(AG231)-ROW(AG$15),0),
ROUND(ROUND(OFFSET($P231,0,AG$13),15-13*ORÇAMENTO!$AF$7)*OFFSET(ORÇAMENTO!$W$15,ROW(AG231)-ROW(AG$15),0),15-13*ORÇAMENTO!$AF$11)),0)</f>
        <v>0</v>
      </c>
      <c r="AH231" s="545">
        <f ca="1">IF(AND($D231="Serviço",AH$12&lt;&gt;0,$H231&gt;0,OR(AUTOEVENTO&lt;&gt;"manual",$M231&lt;&gt;1)),
IF(Import.TipoArredondamento&lt;&gt;"TransfereGOV",
ROUND(OFFSET($P231,0,AH$13),15-13*ORÇAMENTO!$AF$7)/$H231*OFFSET(ORÇAMENTO!$X$15,ROW(AH231)-ROW(AH$15),0),
ROUND(ROUND(OFFSET($P231,0,AH$13),15-13*ORÇAMENTO!$AF$7)*OFFSET(ORÇAMENTO!$W$15,ROW(AH231)-ROW(AH$15),0),15-13*ORÇAMENTO!$AF$11)),0)</f>
        <v>0</v>
      </c>
      <c r="AI231" s="545">
        <f ca="1">IF(AND($D231="Serviço",AI$12&lt;&gt;0,$H231&gt;0,OR(AUTOEVENTO&lt;&gt;"manual",$M231&lt;&gt;1)),
IF(Import.TipoArredondamento&lt;&gt;"TransfereGOV",
ROUND(OFFSET($P231,0,AI$13),15-13*ORÇAMENTO!$AF$7)/$H231*OFFSET(ORÇAMENTO!$X$15,ROW(AI231)-ROW(AI$15),0),
ROUND(ROUND(OFFSET($P231,0,AI$13),15-13*ORÇAMENTO!$AF$7)*OFFSET(ORÇAMENTO!$W$15,ROW(AI231)-ROW(AI$15),0),15-13*ORÇAMENTO!$AF$11)),0)</f>
        <v>0</v>
      </c>
      <c r="AJ231" s="545">
        <f ca="1">IF(AND($D231="Serviço",AJ$12&lt;&gt;0,$H231&gt;0,OR(AUTOEVENTO&lt;&gt;"manual",$M231&lt;&gt;1)),
IF(Import.TipoArredondamento&lt;&gt;"TransfereGOV",
ROUND(OFFSET($P231,0,AJ$13),15-13*ORÇAMENTO!$AF$7)/$H231*OFFSET(ORÇAMENTO!$X$15,ROW(AJ231)-ROW(AJ$15),0),
ROUND(ROUND(OFFSET($P231,0,AJ$13),15-13*ORÇAMENTO!$AF$7)*OFFSET(ORÇAMENTO!$W$15,ROW(AJ231)-ROW(AJ$15),0),15-13*ORÇAMENTO!$AF$11)),0)</f>
        <v>0</v>
      </c>
      <c r="AK231" s="546">
        <f ca="1">IF(AND($D231="Serviço",AK$12&lt;&gt;0,$H231&gt;0,OR(AUTOEVENTO&lt;&gt;"manual",$M231&lt;&gt;1)),
IF(Import.TipoArredondamento&lt;&gt;"TransfereGOV",
ROUND(OFFSET($P231,0,AK$13),15-13*ORÇAMENTO!$AF$7)/$H231*OFFSET(ORÇAMENTO!$X$15,ROW(AK231)-ROW(AK$15),0),
ROUND(ROUND(OFFSET($P231,0,AK$13),15-13*ORÇAMENTO!$AF$7)*OFFSET(ORÇAMENTO!$W$15,ROW(AK231)-ROW(AK$15),0),15-13*ORÇAMENTO!$AF$11)),0)</f>
        <v>0</v>
      </c>
      <c r="AM231" s="181">
        <f ca="1">IF($D231&lt;&gt;"Serviço",0,IF(AND(AUTOEVENTO="Manual",$M231=1),0,IF(OFFSET(CRONOPLE!$F$14,$M231,AM$13)="",10^12,OFFSET(CRONOPLE!$F$14,$M231,AM$13))))</f>
        <v>1000000000000</v>
      </c>
      <c r="AN231" s="181">
        <f ca="1">IF($D231&lt;&gt;"Serviço",0,IF(AND(AUTOEVENTO="Manual",$M231=1),0,IF(OFFSET(CRONOPLE!$F$14,$M231,AN$13)="",10^12,OFFSET(CRONOPLE!$F$14,$M231,AN$13))))</f>
        <v>1000000000000</v>
      </c>
      <c r="AO231" s="181">
        <f ca="1">IF($D231&lt;&gt;"Serviço",0,IF(AND(AUTOEVENTO="Manual",$M231=1),0,IF(OFFSET(CRONOPLE!$F$14,$M231,AO$13)="",10^12,OFFSET(CRONOPLE!$F$14,$M231,AO$13))))</f>
        <v>1000000000000</v>
      </c>
      <c r="AP231" s="181">
        <f ca="1">IF($D231&lt;&gt;"Serviço",0,IF(AND(AUTOEVENTO="Manual",$M231=1),0,IF(OFFSET(CRONOPLE!$F$14,$M231,AP$13)="",10^12,OFFSET(CRONOPLE!$F$14,$M231,AP$13))))</f>
        <v>1000000000000</v>
      </c>
      <c r="AQ231" s="181">
        <f ca="1">IF($D231&lt;&gt;"Serviço",0,IF(AND(AUTOEVENTO="Manual",$M231=1),0,IF(OFFSET(CRONOPLE!$F$14,$M231,AQ$13)="",10^12,OFFSET(CRONOPLE!$F$14,$M231,AQ$13))))</f>
        <v>1000000000000</v>
      </c>
      <c r="AR231" s="181">
        <f ca="1">IF($D231&lt;&gt;"Serviço",0,IF(AND(AUTOEVENTO="Manual",$M231=1),0,IF(OFFSET(CRONOPLE!$F$14,$M231,AR$13)="",10^12,OFFSET(CRONOPLE!$F$14,$M231,AR$13))))</f>
        <v>1000000000000</v>
      </c>
      <c r="AS231" s="181">
        <f ca="1">IF($D231&lt;&gt;"Serviço",0,IF(AND(AUTOEVENTO="Manual",$M231=1),0,IF(OFFSET(CRONOPLE!$F$14,$M231,AS$13)="",10^12,OFFSET(CRONOPLE!$F$14,$M231,AS$13))))</f>
        <v>1000000000000</v>
      </c>
      <c r="AT231" s="181">
        <f ca="1">IF($D231&lt;&gt;"Serviço",0,IF(AND(AUTOEVENTO="Manual",$M231=1),0,IF(OFFSET(CRONOPLE!$F$14,$M231,AT$13)="",10^12,OFFSET(CRONOPLE!$F$14,$M231,AT$13))))</f>
        <v>1000000000000</v>
      </c>
      <c r="AU231" s="181">
        <f ca="1">IF($D231&lt;&gt;"Serviço",0,IF(AND(AUTOEVENTO="Manual",$M231=1),0,IF(OFFSET(CRONOPLE!$F$14,$M231,AU$13)="",10^12,OFFSET(CRONOPLE!$F$14,$M231,AU$13))))</f>
        <v>1000000000000</v>
      </c>
      <c r="AV231" s="181">
        <f ca="1">IF($D231&lt;&gt;"Serviço",0,IF(AND(AUTOEVENTO="Manual",$M231=1),0,IF(OFFSET(CRONOPLE!$F$14,$M231,AV$13)="",10^12,OFFSET(CRONOPLE!$F$14,$M231,AV$13))))</f>
        <v>1000000000000</v>
      </c>
      <c r="AX231" s="182">
        <f ca="1">IF($D231&lt;&gt;"Serviço",0,IF(OR(AND(AUTOEVENTO="Manual",$M231=1),$M231&gt;(ROW(PLE.lastrow)-ROW(PLE.firstrow))),0,IF(OFFSET(PLE!$G$14,$M231,AX$13)="",10^12,OFFSET(PLE!$G$14,$M231,AX$13))))</f>
        <v>1000000000000</v>
      </c>
      <c r="AY231" s="182">
        <f ca="1">IF($D231&lt;&gt;"Serviço",0,IF(OR(AND(AUTOEVENTO="Manual",$M231=1),$M231&gt;(ROW(PLE.lastrow)-ROW(PLE.firstrow))),0,IF(OFFSET(PLE!$G$14,$M231,AY$13)="",10^12,OFFSET(PLE!$G$14,$M231,AY$13))))</f>
        <v>1000000000000</v>
      </c>
      <c r="AZ231" s="182">
        <f ca="1">IF($D231&lt;&gt;"Serviço",0,IF(OR(AND(AUTOEVENTO="Manual",$M231=1),$M231&gt;(ROW(PLE.lastrow)-ROW(PLE.firstrow))),0,IF(OFFSET(PLE!$G$14,$M231,AZ$13)="",10^12,OFFSET(PLE!$G$14,$M231,AZ$13))))</f>
        <v>1000000000000</v>
      </c>
      <c r="BA231" s="182">
        <f ca="1">IF($D231&lt;&gt;"Serviço",0,IF(OR(AND(AUTOEVENTO="Manual",$M231=1),$M231&gt;(ROW(PLE.lastrow)-ROW(PLE.firstrow))),0,IF(OFFSET(PLE!$G$14,$M231,BA$13)="",10^12,OFFSET(PLE!$G$14,$M231,BA$13))))</f>
        <v>1000000000000</v>
      </c>
      <c r="BB231" s="182">
        <f ca="1">IF($D231&lt;&gt;"Serviço",0,IF(OR(AND(AUTOEVENTO="Manual",$M231=1),$M231&gt;(ROW(PLE.lastrow)-ROW(PLE.firstrow))),0,IF(OFFSET(PLE!$G$14,$M231,BB$13)="",10^12,OFFSET(PLE!$G$14,$M231,BB$13))))</f>
        <v>1000000000000</v>
      </c>
      <c r="BC231" s="182">
        <f ca="1">IF($D231&lt;&gt;"Serviço",0,IF(OR(AND(AUTOEVENTO="Manual",$M231=1),$M231&gt;(ROW(PLE.lastrow)-ROW(PLE.firstrow))),0,IF(OFFSET(PLE!$G$14,$M231,BC$13)="",10^12,OFFSET(PLE!$G$14,$M231,BC$13))))</f>
        <v>1000000000000</v>
      </c>
      <c r="BD231" s="182">
        <f ca="1">IF($D231&lt;&gt;"Serviço",0,IF(OR(AND(AUTOEVENTO="Manual",$M231=1),$M231&gt;(ROW(PLE.lastrow)-ROW(PLE.firstrow))),0,IF(OFFSET(PLE!$G$14,$M231,BD$13)="",10^12,OFFSET(PLE!$G$14,$M231,BD$13))))</f>
        <v>1000000000000</v>
      </c>
      <c r="BE231" s="182">
        <f ca="1">IF($D231&lt;&gt;"Serviço",0,IF(OR(AND(AUTOEVENTO="Manual",$M231=1),$M231&gt;(ROW(PLE.lastrow)-ROW(PLE.firstrow))),0,IF(OFFSET(PLE!$G$14,$M231,BE$13)="",10^12,OFFSET(PLE!$G$14,$M231,BE$13))))</f>
        <v>1000000000000</v>
      </c>
      <c r="BF231" s="182">
        <f ca="1">IF($D231&lt;&gt;"Serviço",0,IF(OR(AND(AUTOEVENTO="Manual",$M231=1),$M231&gt;(ROW(PLE.lastrow)-ROW(PLE.firstrow))),0,IF(OFFSET(PLE!$G$14,$M231,BF$13)="",10^12,OFFSET(PLE!$G$14,$M231,BF$13))))</f>
        <v>1000000000000</v>
      </c>
      <c r="BG231" s="182">
        <f ca="1">IF($D231&lt;&gt;"Serviço",0,IF(OR(AND(AUTOEVENTO="Manual",$M231=1),$M231&gt;(ROW(PLE.lastrow)-ROW(PLE.firstrow))),0,IF(OFFSET(PLE!$G$14,$M231,BG$13)="",10^12,OFFSET(PLE!$G$14,$M231,BG$13))))</f>
        <v>1000000000000</v>
      </c>
    </row>
    <row r="232" spans="1:59" ht="12.75" x14ac:dyDescent="0.2">
      <c r="A232" s="7" t="str">
        <f t="shared" ca="1" si="11"/>
        <v>191</v>
      </c>
      <c r="B232" s="7" t="str">
        <f ca="1">OFFSET(ORÇAMENTO!C$15,ROW(B232)-ROW(B$15),0)</f>
        <v>S</v>
      </c>
      <c r="C232" s="7" t="str">
        <f ca="1">OFFSET(ORÇAMENTO!L$15,ROW(C232)-ROW(C$15),0)</f>
        <v/>
      </c>
      <c r="D232" s="118" t="str">
        <f ca="1">OFFSET(ORÇAMENTO!N$15,ROW(D232)-ROW(D$15),0)</f>
        <v>Serviço</v>
      </c>
      <c r="E232" s="119" t="str">
        <f ca="1">OFFSET(ORÇAMENTO!O$15,ROW(E232)-ROW(E$15),0)</f>
        <v>-</v>
      </c>
      <c r="F232" s="172" t="str">
        <f ca="1">OFFSET(ORÇAMENTO!R$15,ROW(F232)-ROW(F$15),0)</f>
        <v>(abra o arquivo 'Referência 02-2025.xlsm)</v>
      </c>
      <c r="G232" s="173" t="str">
        <f ca="1">IF($D232&lt;&gt;"Serviço","",OFFSET(ORÇAMENTO!S$15,ROW(G232)-ROW(G$15),0))</f>
        <v>-</v>
      </c>
      <c r="H232" s="124">
        <f ca="1">IF($D232&lt;&gt;"Serviço",0,IF(ACOMPANHAMENTO="BM",ROUND(OFFSET(ORÇAMENTO!AJ$15,ROW(H232)-ROW(H$15),0),15-13*ORÇAMENTO!$AF$7),SUMPRODUCT(($Q$12:$AA$12&lt;&gt;"")*ROUND($Q232:$AA232,15-13*ORÇAMENTO!$AF$7))))</f>
        <v>26.04</v>
      </c>
      <c r="I232" s="561" t="s">
        <v>890</v>
      </c>
      <c r="K232" s="174"/>
      <c r="L232" s="175" t="s">
        <v>255</v>
      </c>
      <c r="M232" s="176">
        <f ca="1">IF($D232&lt;&gt;"Serviço","",IF(AUTOEVENTO="manual",$A232,IF(ISERROR(MATCH($A232,$A$15:OFFSET($A232,-1,0),0)),MAX($M$15:OFFSET(M232,-1,0))+1,INDEX($M$15:OFFSET(M232,-1,0),MATCH($A232,$A$15:OFFSET($A232,-1,0),0)))))</f>
        <v>11</v>
      </c>
      <c r="N232" s="177" t="str">
        <f ca="1">IF($D232&lt;&gt;"Serviço","",IF(AUTOEVENTO="Manual",IF($A232=0,"&lt;-- defina o número do agrupador",OFFSET(EVENTOS!$D$14,$A232,0)),OFFSET($F$15,$A232,0)))</f>
        <v>SISTEMAS DE PISOS</v>
      </c>
      <c r="O232" s="178"/>
      <c r="Q232" s="178"/>
      <c r="R232" s="179"/>
      <c r="S232" s="179"/>
      <c r="T232" s="179"/>
      <c r="U232" s="179"/>
      <c r="V232" s="179"/>
      <c r="W232" s="179"/>
      <c r="X232" s="179"/>
      <c r="Y232" s="179"/>
      <c r="Z232" s="180"/>
      <c r="AB232" s="544">
        <f ca="1">IF(AND($D232="Serviço",AB$12&lt;&gt;0,$H232&gt;0,OR(AUTOEVENTO&lt;&gt;"manual",$M232&lt;&gt;1)),
IF(Import.TipoArredondamento&lt;&gt;"TransfereGOV",
ROUND(OFFSET($P232,0,AB$13),15-13*ORÇAMENTO!$AF$7)/$H232*OFFSET(ORÇAMENTO!$X$15,ROW(AB232)-ROW(AB$15),0),
ROUND(ROUND(OFFSET($P232,0,AB$13),15-13*ORÇAMENTO!$AF$7)*OFFSET(ORÇAMENTO!$W$15,ROW(AB232)-ROW(AB$15),0),15-13*ORÇAMENTO!$AF$11)),0)</f>
        <v>0</v>
      </c>
      <c r="AC232" s="545">
        <f ca="1">IF(AND($D232="Serviço",AC$12&lt;&gt;0,$H232&gt;0,OR(AUTOEVENTO&lt;&gt;"manual",$M232&lt;&gt;1)),
IF(Import.TipoArredondamento&lt;&gt;"TransfereGOV",
ROUND(OFFSET($P232,0,AC$13),15-13*ORÇAMENTO!$AF$7)/$H232*OFFSET(ORÇAMENTO!$X$15,ROW(AC232)-ROW(AC$15),0),
ROUND(ROUND(OFFSET($P232,0,AC$13),15-13*ORÇAMENTO!$AF$7)*OFFSET(ORÇAMENTO!$W$15,ROW(AC232)-ROW(AC$15),0),15-13*ORÇAMENTO!$AF$11)),0)</f>
        <v>0</v>
      </c>
      <c r="AD232" s="545">
        <f ca="1">IF(AND($D232="Serviço",AD$12&lt;&gt;0,$H232&gt;0,OR(AUTOEVENTO&lt;&gt;"manual",$M232&lt;&gt;1)),
IF(Import.TipoArredondamento&lt;&gt;"TransfereGOV",
ROUND(OFFSET($P232,0,AD$13),15-13*ORÇAMENTO!$AF$7)/$H232*OFFSET(ORÇAMENTO!$X$15,ROW(AD232)-ROW(AD$15),0),
ROUND(ROUND(OFFSET($P232,0,AD$13),15-13*ORÇAMENTO!$AF$7)*OFFSET(ORÇAMENTO!$W$15,ROW(AD232)-ROW(AD$15),0),15-13*ORÇAMENTO!$AF$11)),0)</f>
        <v>0</v>
      </c>
      <c r="AE232" s="545">
        <f ca="1">IF(AND($D232="Serviço",AE$12&lt;&gt;0,$H232&gt;0,OR(AUTOEVENTO&lt;&gt;"manual",$M232&lt;&gt;1)),
IF(Import.TipoArredondamento&lt;&gt;"TransfereGOV",
ROUND(OFFSET($P232,0,AE$13),15-13*ORÇAMENTO!$AF$7)/$H232*OFFSET(ORÇAMENTO!$X$15,ROW(AE232)-ROW(AE$15),0),
ROUND(ROUND(OFFSET($P232,0,AE$13),15-13*ORÇAMENTO!$AF$7)*OFFSET(ORÇAMENTO!$W$15,ROW(AE232)-ROW(AE$15),0),15-13*ORÇAMENTO!$AF$11)),0)</f>
        <v>0</v>
      </c>
      <c r="AF232" s="545">
        <f ca="1">IF(AND($D232="Serviço",AF$12&lt;&gt;0,$H232&gt;0,OR(AUTOEVENTO&lt;&gt;"manual",$M232&lt;&gt;1)),
IF(Import.TipoArredondamento&lt;&gt;"TransfereGOV",
ROUND(OFFSET($P232,0,AF$13),15-13*ORÇAMENTO!$AF$7)/$H232*OFFSET(ORÇAMENTO!$X$15,ROW(AF232)-ROW(AF$15),0),
ROUND(ROUND(OFFSET($P232,0,AF$13),15-13*ORÇAMENTO!$AF$7)*OFFSET(ORÇAMENTO!$W$15,ROW(AF232)-ROW(AF$15),0),15-13*ORÇAMENTO!$AF$11)),0)</f>
        <v>0</v>
      </c>
      <c r="AG232" s="545">
        <f ca="1">IF(AND($D232="Serviço",AG$12&lt;&gt;0,$H232&gt;0,OR(AUTOEVENTO&lt;&gt;"manual",$M232&lt;&gt;1)),
IF(Import.TipoArredondamento&lt;&gt;"TransfereGOV",
ROUND(OFFSET($P232,0,AG$13),15-13*ORÇAMENTO!$AF$7)/$H232*OFFSET(ORÇAMENTO!$X$15,ROW(AG232)-ROW(AG$15),0),
ROUND(ROUND(OFFSET($P232,0,AG$13),15-13*ORÇAMENTO!$AF$7)*OFFSET(ORÇAMENTO!$W$15,ROW(AG232)-ROW(AG$15),0),15-13*ORÇAMENTO!$AF$11)),0)</f>
        <v>0</v>
      </c>
      <c r="AH232" s="545">
        <f ca="1">IF(AND($D232="Serviço",AH$12&lt;&gt;0,$H232&gt;0,OR(AUTOEVENTO&lt;&gt;"manual",$M232&lt;&gt;1)),
IF(Import.TipoArredondamento&lt;&gt;"TransfereGOV",
ROUND(OFFSET($P232,0,AH$13),15-13*ORÇAMENTO!$AF$7)/$H232*OFFSET(ORÇAMENTO!$X$15,ROW(AH232)-ROW(AH$15),0),
ROUND(ROUND(OFFSET($P232,0,AH$13),15-13*ORÇAMENTO!$AF$7)*OFFSET(ORÇAMENTO!$W$15,ROW(AH232)-ROW(AH$15),0),15-13*ORÇAMENTO!$AF$11)),0)</f>
        <v>0</v>
      </c>
      <c r="AI232" s="545">
        <f ca="1">IF(AND($D232="Serviço",AI$12&lt;&gt;0,$H232&gt;0,OR(AUTOEVENTO&lt;&gt;"manual",$M232&lt;&gt;1)),
IF(Import.TipoArredondamento&lt;&gt;"TransfereGOV",
ROUND(OFFSET($P232,0,AI$13),15-13*ORÇAMENTO!$AF$7)/$H232*OFFSET(ORÇAMENTO!$X$15,ROW(AI232)-ROW(AI$15),0),
ROUND(ROUND(OFFSET($P232,0,AI$13),15-13*ORÇAMENTO!$AF$7)*OFFSET(ORÇAMENTO!$W$15,ROW(AI232)-ROW(AI$15),0),15-13*ORÇAMENTO!$AF$11)),0)</f>
        <v>0</v>
      </c>
      <c r="AJ232" s="545">
        <f ca="1">IF(AND($D232="Serviço",AJ$12&lt;&gt;0,$H232&gt;0,OR(AUTOEVENTO&lt;&gt;"manual",$M232&lt;&gt;1)),
IF(Import.TipoArredondamento&lt;&gt;"TransfereGOV",
ROUND(OFFSET($P232,0,AJ$13),15-13*ORÇAMENTO!$AF$7)/$H232*OFFSET(ORÇAMENTO!$X$15,ROW(AJ232)-ROW(AJ$15),0),
ROUND(ROUND(OFFSET($P232,0,AJ$13),15-13*ORÇAMENTO!$AF$7)*OFFSET(ORÇAMENTO!$W$15,ROW(AJ232)-ROW(AJ$15),0),15-13*ORÇAMENTO!$AF$11)),0)</f>
        <v>0</v>
      </c>
      <c r="AK232" s="546">
        <f ca="1">IF(AND($D232="Serviço",AK$12&lt;&gt;0,$H232&gt;0,OR(AUTOEVENTO&lt;&gt;"manual",$M232&lt;&gt;1)),
IF(Import.TipoArredondamento&lt;&gt;"TransfereGOV",
ROUND(OFFSET($P232,0,AK$13),15-13*ORÇAMENTO!$AF$7)/$H232*OFFSET(ORÇAMENTO!$X$15,ROW(AK232)-ROW(AK$15),0),
ROUND(ROUND(OFFSET($P232,0,AK$13),15-13*ORÇAMENTO!$AF$7)*OFFSET(ORÇAMENTO!$W$15,ROW(AK232)-ROW(AK$15),0),15-13*ORÇAMENTO!$AF$11)),0)</f>
        <v>0</v>
      </c>
      <c r="AM232" s="181">
        <f ca="1">IF($D232&lt;&gt;"Serviço",0,IF(AND(AUTOEVENTO="Manual",$M232=1),0,IF(OFFSET(CRONOPLE!$F$14,$M232,AM$13)="",10^12,OFFSET(CRONOPLE!$F$14,$M232,AM$13))))</f>
        <v>1000000000000</v>
      </c>
      <c r="AN232" s="181">
        <f ca="1">IF($D232&lt;&gt;"Serviço",0,IF(AND(AUTOEVENTO="Manual",$M232=1),0,IF(OFFSET(CRONOPLE!$F$14,$M232,AN$13)="",10^12,OFFSET(CRONOPLE!$F$14,$M232,AN$13))))</f>
        <v>1000000000000</v>
      </c>
      <c r="AO232" s="181">
        <f ca="1">IF($D232&lt;&gt;"Serviço",0,IF(AND(AUTOEVENTO="Manual",$M232=1),0,IF(OFFSET(CRONOPLE!$F$14,$M232,AO$13)="",10^12,OFFSET(CRONOPLE!$F$14,$M232,AO$13))))</f>
        <v>1000000000000</v>
      </c>
      <c r="AP232" s="181">
        <f ca="1">IF($D232&lt;&gt;"Serviço",0,IF(AND(AUTOEVENTO="Manual",$M232=1),0,IF(OFFSET(CRONOPLE!$F$14,$M232,AP$13)="",10^12,OFFSET(CRONOPLE!$F$14,$M232,AP$13))))</f>
        <v>1000000000000</v>
      </c>
      <c r="AQ232" s="181">
        <f ca="1">IF($D232&lt;&gt;"Serviço",0,IF(AND(AUTOEVENTO="Manual",$M232=1),0,IF(OFFSET(CRONOPLE!$F$14,$M232,AQ$13)="",10^12,OFFSET(CRONOPLE!$F$14,$M232,AQ$13))))</f>
        <v>1000000000000</v>
      </c>
      <c r="AR232" s="181">
        <f ca="1">IF($D232&lt;&gt;"Serviço",0,IF(AND(AUTOEVENTO="Manual",$M232=1),0,IF(OFFSET(CRONOPLE!$F$14,$M232,AR$13)="",10^12,OFFSET(CRONOPLE!$F$14,$M232,AR$13))))</f>
        <v>1000000000000</v>
      </c>
      <c r="AS232" s="181">
        <f ca="1">IF($D232&lt;&gt;"Serviço",0,IF(AND(AUTOEVENTO="Manual",$M232=1),0,IF(OFFSET(CRONOPLE!$F$14,$M232,AS$13)="",10^12,OFFSET(CRONOPLE!$F$14,$M232,AS$13))))</f>
        <v>1000000000000</v>
      </c>
      <c r="AT232" s="181">
        <f ca="1">IF($D232&lt;&gt;"Serviço",0,IF(AND(AUTOEVENTO="Manual",$M232=1),0,IF(OFFSET(CRONOPLE!$F$14,$M232,AT$13)="",10^12,OFFSET(CRONOPLE!$F$14,$M232,AT$13))))</f>
        <v>1000000000000</v>
      </c>
      <c r="AU232" s="181">
        <f ca="1">IF($D232&lt;&gt;"Serviço",0,IF(AND(AUTOEVENTO="Manual",$M232=1),0,IF(OFFSET(CRONOPLE!$F$14,$M232,AU$13)="",10^12,OFFSET(CRONOPLE!$F$14,$M232,AU$13))))</f>
        <v>1000000000000</v>
      </c>
      <c r="AV232" s="181">
        <f ca="1">IF($D232&lt;&gt;"Serviço",0,IF(AND(AUTOEVENTO="Manual",$M232=1),0,IF(OFFSET(CRONOPLE!$F$14,$M232,AV$13)="",10^12,OFFSET(CRONOPLE!$F$14,$M232,AV$13))))</f>
        <v>1000000000000</v>
      </c>
      <c r="AX232" s="182">
        <f ca="1">IF($D232&lt;&gt;"Serviço",0,IF(OR(AND(AUTOEVENTO="Manual",$M232=1),$M232&gt;(ROW(PLE.lastrow)-ROW(PLE.firstrow))),0,IF(OFFSET(PLE!$G$14,$M232,AX$13)="",10^12,OFFSET(PLE!$G$14,$M232,AX$13))))</f>
        <v>1000000000000</v>
      </c>
      <c r="AY232" s="182">
        <f ca="1">IF($D232&lt;&gt;"Serviço",0,IF(OR(AND(AUTOEVENTO="Manual",$M232=1),$M232&gt;(ROW(PLE.lastrow)-ROW(PLE.firstrow))),0,IF(OFFSET(PLE!$G$14,$M232,AY$13)="",10^12,OFFSET(PLE!$G$14,$M232,AY$13))))</f>
        <v>1000000000000</v>
      </c>
      <c r="AZ232" s="182">
        <f ca="1">IF($D232&lt;&gt;"Serviço",0,IF(OR(AND(AUTOEVENTO="Manual",$M232=1),$M232&gt;(ROW(PLE.lastrow)-ROW(PLE.firstrow))),0,IF(OFFSET(PLE!$G$14,$M232,AZ$13)="",10^12,OFFSET(PLE!$G$14,$M232,AZ$13))))</f>
        <v>1000000000000</v>
      </c>
      <c r="BA232" s="182">
        <f ca="1">IF($D232&lt;&gt;"Serviço",0,IF(OR(AND(AUTOEVENTO="Manual",$M232=1),$M232&gt;(ROW(PLE.lastrow)-ROW(PLE.firstrow))),0,IF(OFFSET(PLE!$G$14,$M232,BA$13)="",10^12,OFFSET(PLE!$G$14,$M232,BA$13))))</f>
        <v>1000000000000</v>
      </c>
      <c r="BB232" s="182">
        <f ca="1">IF($D232&lt;&gt;"Serviço",0,IF(OR(AND(AUTOEVENTO="Manual",$M232=1),$M232&gt;(ROW(PLE.lastrow)-ROW(PLE.firstrow))),0,IF(OFFSET(PLE!$G$14,$M232,BB$13)="",10^12,OFFSET(PLE!$G$14,$M232,BB$13))))</f>
        <v>1000000000000</v>
      </c>
      <c r="BC232" s="182">
        <f ca="1">IF($D232&lt;&gt;"Serviço",0,IF(OR(AND(AUTOEVENTO="Manual",$M232=1),$M232&gt;(ROW(PLE.lastrow)-ROW(PLE.firstrow))),0,IF(OFFSET(PLE!$G$14,$M232,BC$13)="",10^12,OFFSET(PLE!$G$14,$M232,BC$13))))</f>
        <v>1000000000000</v>
      </c>
      <c r="BD232" s="182">
        <f ca="1">IF($D232&lt;&gt;"Serviço",0,IF(OR(AND(AUTOEVENTO="Manual",$M232=1),$M232&gt;(ROW(PLE.lastrow)-ROW(PLE.firstrow))),0,IF(OFFSET(PLE!$G$14,$M232,BD$13)="",10^12,OFFSET(PLE!$G$14,$M232,BD$13))))</f>
        <v>1000000000000</v>
      </c>
      <c r="BE232" s="182">
        <f ca="1">IF($D232&lt;&gt;"Serviço",0,IF(OR(AND(AUTOEVENTO="Manual",$M232=1),$M232&gt;(ROW(PLE.lastrow)-ROW(PLE.firstrow))),0,IF(OFFSET(PLE!$G$14,$M232,BE$13)="",10^12,OFFSET(PLE!$G$14,$M232,BE$13))))</f>
        <v>1000000000000</v>
      </c>
      <c r="BF232" s="182">
        <f ca="1">IF($D232&lt;&gt;"Serviço",0,IF(OR(AND(AUTOEVENTO="Manual",$M232=1),$M232&gt;(ROW(PLE.lastrow)-ROW(PLE.firstrow))),0,IF(OFFSET(PLE!$G$14,$M232,BF$13)="",10^12,OFFSET(PLE!$G$14,$M232,BF$13))))</f>
        <v>1000000000000</v>
      </c>
      <c r="BG232" s="182">
        <f ca="1">IF($D232&lt;&gt;"Serviço",0,IF(OR(AND(AUTOEVENTO="Manual",$M232=1),$M232&gt;(ROW(PLE.lastrow)-ROW(PLE.firstrow))),0,IF(OFFSET(PLE!$G$14,$M232,BG$13)="",10^12,OFFSET(PLE!$G$14,$M232,BG$13))))</f>
        <v>1000000000000</v>
      </c>
    </row>
    <row r="233" spans="1:59" ht="12.75" x14ac:dyDescent="0.2">
      <c r="A233" s="7" t="str">
        <f t="shared" ca="1" si="11"/>
        <v>191</v>
      </c>
      <c r="B233" s="7" t="str">
        <f ca="1">OFFSET(ORÇAMENTO!C$15,ROW(B233)-ROW(B$15),0)</f>
        <v>S</v>
      </c>
      <c r="C233" s="7" t="str">
        <f ca="1">OFFSET(ORÇAMENTO!L$15,ROW(C233)-ROW(C$15),0)</f>
        <v/>
      </c>
      <c r="D233" s="118" t="str">
        <f ca="1">OFFSET(ORÇAMENTO!N$15,ROW(D233)-ROW(D$15),0)</f>
        <v>Serviço</v>
      </c>
      <c r="E233" s="119" t="str">
        <f ca="1">OFFSET(ORÇAMENTO!O$15,ROW(E233)-ROW(E$15),0)</f>
        <v>-</v>
      </c>
      <c r="F233" s="172" t="str">
        <f ca="1">OFFSET(ORÇAMENTO!R$15,ROW(F233)-ROW(F$15),0)</f>
        <v>(abra o arquivo 'Referência 02-2025.xlsm)</v>
      </c>
      <c r="G233" s="173" t="str">
        <f ca="1">IF($D233&lt;&gt;"Serviço","",OFFSET(ORÇAMENTO!S$15,ROW(G233)-ROW(G$15),0))</f>
        <v>-</v>
      </c>
      <c r="H233" s="124">
        <f ca="1">IF($D233&lt;&gt;"Serviço",0,IF(ACOMPANHAMENTO="BM",ROUND(OFFSET(ORÇAMENTO!AJ$15,ROW(H233)-ROW(H$15),0),15-13*ORÇAMENTO!$AF$7),SUMPRODUCT(($Q$12:$AA$12&lt;&gt;"")*ROUND($Q233:$AA233,15-13*ORÇAMENTO!$AF$7))))</f>
        <v>726.76</v>
      </c>
      <c r="I233" s="561" t="s">
        <v>890</v>
      </c>
      <c r="K233" s="174"/>
      <c r="L233" s="175" t="s">
        <v>255</v>
      </c>
      <c r="M233" s="176">
        <f ca="1">IF($D233&lt;&gt;"Serviço","",IF(AUTOEVENTO="manual",$A233,IF(ISERROR(MATCH($A233,$A$15:OFFSET($A233,-1,0),0)),MAX($M$15:OFFSET(M233,-1,0))+1,INDEX($M$15:OFFSET(M233,-1,0),MATCH($A233,$A$15:OFFSET($A233,-1,0),0)))))</f>
        <v>11</v>
      </c>
      <c r="N233" s="177" t="str">
        <f ca="1">IF($D233&lt;&gt;"Serviço","",IF(AUTOEVENTO="Manual",IF($A233=0,"&lt;-- defina o número do agrupador",OFFSET(EVENTOS!$D$14,$A233,0)),OFFSET($F$15,$A233,0)))</f>
        <v>SISTEMAS DE PISOS</v>
      </c>
      <c r="O233" s="178"/>
      <c r="Q233" s="178"/>
      <c r="R233" s="179"/>
      <c r="S233" s="179"/>
      <c r="T233" s="179"/>
      <c r="U233" s="179"/>
      <c r="V233" s="179"/>
      <c r="W233" s="179"/>
      <c r="X233" s="179"/>
      <c r="Y233" s="179"/>
      <c r="Z233" s="180"/>
      <c r="AB233" s="544">
        <f ca="1">IF(AND($D233="Serviço",AB$12&lt;&gt;0,$H233&gt;0,OR(AUTOEVENTO&lt;&gt;"manual",$M233&lt;&gt;1)),
IF(Import.TipoArredondamento&lt;&gt;"TransfereGOV",
ROUND(OFFSET($P233,0,AB$13),15-13*ORÇAMENTO!$AF$7)/$H233*OFFSET(ORÇAMENTO!$X$15,ROW(AB233)-ROW(AB$15),0),
ROUND(ROUND(OFFSET($P233,0,AB$13),15-13*ORÇAMENTO!$AF$7)*OFFSET(ORÇAMENTO!$W$15,ROW(AB233)-ROW(AB$15),0),15-13*ORÇAMENTO!$AF$11)),0)</f>
        <v>0</v>
      </c>
      <c r="AC233" s="545">
        <f ca="1">IF(AND($D233="Serviço",AC$12&lt;&gt;0,$H233&gt;0,OR(AUTOEVENTO&lt;&gt;"manual",$M233&lt;&gt;1)),
IF(Import.TipoArredondamento&lt;&gt;"TransfereGOV",
ROUND(OFFSET($P233,0,AC$13),15-13*ORÇAMENTO!$AF$7)/$H233*OFFSET(ORÇAMENTO!$X$15,ROW(AC233)-ROW(AC$15),0),
ROUND(ROUND(OFFSET($P233,0,AC$13),15-13*ORÇAMENTO!$AF$7)*OFFSET(ORÇAMENTO!$W$15,ROW(AC233)-ROW(AC$15),0),15-13*ORÇAMENTO!$AF$11)),0)</f>
        <v>0</v>
      </c>
      <c r="AD233" s="545">
        <f ca="1">IF(AND($D233="Serviço",AD$12&lt;&gt;0,$H233&gt;0,OR(AUTOEVENTO&lt;&gt;"manual",$M233&lt;&gt;1)),
IF(Import.TipoArredondamento&lt;&gt;"TransfereGOV",
ROUND(OFFSET($P233,0,AD$13),15-13*ORÇAMENTO!$AF$7)/$H233*OFFSET(ORÇAMENTO!$X$15,ROW(AD233)-ROW(AD$15),0),
ROUND(ROUND(OFFSET($P233,0,AD$13),15-13*ORÇAMENTO!$AF$7)*OFFSET(ORÇAMENTO!$W$15,ROW(AD233)-ROW(AD$15),0),15-13*ORÇAMENTO!$AF$11)),0)</f>
        <v>0</v>
      </c>
      <c r="AE233" s="545">
        <f ca="1">IF(AND($D233="Serviço",AE$12&lt;&gt;0,$H233&gt;0,OR(AUTOEVENTO&lt;&gt;"manual",$M233&lt;&gt;1)),
IF(Import.TipoArredondamento&lt;&gt;"TransfereGOV",
ROUND(OFFSET($P233,0,AE$13),15-13*ORÇAMENTO!$AF$7)/$H233*OFFSET(ORÇAMENTO!$X$15,ROW(AE233)-ROW(AE$15),0),
ROUND(ROUND(OFFSET($P233,0,AE$13),15-13*ORÇAMENTO!$AF$7)*OFFSET(ORÇAMENTO!$W$15,ROW(AE233)-ROW(AE$15),0),15-13*ORÇAMENTO!$AF$11)),0)</f>
        <v>0</v>
      </c>
      <c r="AF233" s="545">
        <f ca="1">IF(AND($D233="Serviço",AF$12&lt;&gt;0,$H233&gt;0,OR(AUTOEVENTO&lt;&gt;"manual",$M233&lt;&gt;1)),
IF(Import.TipoArredondamento&lt;&gt;"TransfereGOV",
ROUND(OFFSET($P233,0,AF$13),15-13*ORÇAMENTO!$AF$7)/$H233*OFFSET(ORÇAMENTO!$X$15,ROW(AF233)-ROW(AF$15),0),
ROUND(ROUND(OFFSET($P233,0,AF$13),15-13*ORÇAMENTO!$AF$7)*OFFSET(ORÇAMENTO!$W$15,ROW(AF233)-ROW(AF$15),0),15-13*ORÇAMENTO!$AF$11)),0)</f>
        <v>0</v>
      </c>
      <c r="AG233" s="545">
        <f ca="1">IF(AND($D233="Serviço",AG$12&lt;&gt;0,$H233&gt;0,OR(AUTOEVENTO&lt;&gt;"manual",$M233&lt;&gt;1)),
IF(Import.TipoArredondamento&lt;&gt;"TransfereGOV",
ROUND(OFFSET($P233,0,AG$13),15-13*ORÇAMENTO!$AF$7)/$H233*OFFSET(ORÇAMENTO!$X$15,ROW(AG233)-ROW(AG$15),0),
ROUND(ROUND(OFFSET($P233,0,AG$13),15-13*ORÇAMENTO!$AF$7)*OFFSET(ORÇAMENTO!$W$15,ROW(AG233)-ROW(AG$15),0),15-13*ORÇAMENTO!$AF$11)),0)</f>
        <v>0</v>
      </c>
      <c r="AH233" s="545">
        <f ca="1">IF(AND($D233="Serviço",AH$12&lt;&gt;0,$H233&gt;0,OR(AUTOEVENTO&lt;&gt;"manual",$M233&lt;&gt;1)),
IF(Import.TipoArredondamento&lt;&gt;"TransfereGOV",
ROUND(OFFSET($P233,0,AH$13),15-13*ORÇAMENTO!$AF$7)/$H233*OFFSET(ORÇAMENTO!$X$15,ROW(AH233)-ROW(AH$15),0),
ROUND(ROUND(OFFSET($P233,0,AH$13),15-13*ORÇAMENTO!$AF$7)*OFFSET(ORÇAMENTO!$W$15,ROW(AH233)-ROW(AH$15),0),15-13*ORÇAMENTO!$AF$11)),0)</f>
        <v>0</v>
      </c>
      <c r="AI233" s="545">
        <f ca="1">IF(AND($D233="Serviço",AI$12&lt;&gt;0,$H233&gt;0,OR(AUTOEVENTO&lt;&gt;"manual",$M233&lt;&gt;1)),
IF(Import.TipoArredondamento&lt;&gt;"TransfereGOV",
ROUND(OFFSET($P233,0,AI$13),15-13*ORÇAMENTO!$AF$7)/$H233*OFFSET(ORÇAMENTO!$X$15,ROW(AI233)-ROW(AI$15),0),
ROUND(ROUND(OFFSET($P233,0,AI$13),15-13*ORÇAMENTO!$AF$7)*OFFSET(ORÇAMENTO!$W$15,ROW(AI233)-ROW(AI$15),0),15-13*ORÇAMENTO!$AF$11)),0)</f>
        <v>0</v>
      </c>
      <c r="AJ233" s="545">
        <f ca="1">IF(AND($D233="Serviço",AJ$12&lt;&gt;0,$H233&gt;0,OR(AUTOEVENTO&lt;&gt;"manual",$M233&lt;&gt;1)),
IF(Import.TipoArredondamento&lt;&gt;"TransfereGOV",
ROUND(OFFSET($P233,0,AJ$13),15-13*ORÇAMENTO!$AF$7)/$H233*OFFSET(ORÇAMENTO!$X$15,ROW(AJ233)-ROW(AJ$15),0),
ROUND(ROUND(OFFSET($P233,0,AJ$13),15-13*ORÇAMENTO!$AF$7)*OFFSET(ORÇAMENTO!$W$15,ROW(AJ233)-ROW(AJ$15),0),15-13*ORÇAMENTO!$AF$11)),0)</f>
        <v>0</v>
      </c>
      <c r="AK233" s="546">
        <f ca="1">IF(AND($D233="Serviço",AK$12&lt;&gt;0,$H233&gt;0,OR(AUTOEVENTO&lt;&gt;"manual",$M233&lt;&gt;1)),
IF(Import.TipoArredondamento&lt;&gt;"TransfereGOV",
ROUND(OFFSET($P233,0,AK$13),15-13*ORÇAMENTO!$AF$7)/$H233*OFFSET(ORÇAMENTO!$X$15,ROW(AK233)-ROW(AK$15),0),
ROUND(ROUND(OFFSET($P233,0,AK$13),15-13*ORÇAMENTO!$AF$7)*OFFSET(ORÇAMENTO!$W$15,ROW(AK233)-ROW(AK$15),0),15-13*ORÇAMENTO!$AF$11)),0)</f>
        <v>0</v>
      </c>
      <c r="AM233" s="181">
        <f ca="1">IF($D233&lt;&gt;"Serviço",0,IF(AND(AUTOEVENTO="Manual",$M233=1),0,IF(OFFSET(CRONOPLE!$F$14,$M233,AM$13)="",10^12,OFFSET(CRONOPLE!$F$14,$M233,AM$13))))</f>
        <v>1000000000000</v>
      </c>
      <c r="AN233" s="181">
        <f ca="1">IF($D233&lt;&gt;"Serviço",0,IF(AND(AUTOEVENTO="Manual",$M233=1),0,IF(OFFSET(CRONOPLE!$F$14,$M233,AN$13)="",10^12,OFFSET(CRONOPLE!$F$14,$M233,AN$13))))</f>
        <v>1000000000000</v>
      </c>
      <c r="AO233" s="181">
        <f ca="1">IF($D233&lt;&gt;"Serviço",0,IF(AND(AUTOEVENTO="Manual",$M233=1),0,IF(OFFSET(CRONOPLE!$F$14,$M233,AO$13)="",10^12,OFFSET(CRONOPLE!$F$14,$M233,AO$13))))</f>
        <v>1000000000000</v>
      </c>
      <c r="AP233" s="181">
        <f ca="1">IF($D233&lt;&gt;"Serviço",0,IF(AND(AUTOEVENTO="Manual",$M233=1),0,IF(OFFSET(CRONOPLE!$F$14,$M233,AP$13)="",10^12,OFFSET(CRONOPLE!$F$14,$M233,AP$13))))</f>
        <v>1000000000000</v>
      </c>
      <c r="AQ233" s="181">
        <f ca="1">IF($D233&lt;&gt;"Serviço",0,IF(AND(AUTOEVENTO="Manual",$M233=1),0,IF(OFFSET(CRONOPLE!$F$14,$M233,AQ$13)="",10^12,OFFSET(CRONOPLE!$F$14,$M233,AQ$13))))</f>
        <v>1000000000000</v>
      </c>
      <c r="AR233" s="181">
        <f ca="1">IF($D233&lt;&gt;"Serviço",0,IF(AND(AUTOEVENTO="Manual",$M233=1),0,IF(OFFSET(CRONOPLE!$F$14,$M233,AR$13)="",10^12,OFFSET(CRONOPLE!$F$14,$M233,AR$13))))</f>
        <v>1000000000000</v>
      </c>
      <c r="AS233" s="181">
        <f ca="1">IF($D233&lt;&gt;"Serviço",0,IF(AND(AUTOEVENTO="Manual",$M233=1),0,IF(OFFSET(CRONOPLE!$F$14,$M233,AS$13)="",10^12,OFFSET(CRONOPLE!$F$14,$M233,AS$13))))</f>
        <v>1000000000000</v>
      </c>
      <c r="AT233" s="181">
        <f ca="1">IF($D233&lt;&gt;"Serviço",0,IF(AND(AUTOEVENTO="Manual",$M233=1),0,IF(OFFSET(CRONOPLE!$F$14,$M233,AT$13)="",10^12,OFFSET(CRONOPLE!$F$14,$M233,AT$13))))</f>
        <v>1000000000000</v>
      </c>
      <c r="AU233" s="181">
        <f ca="1">IF($D233&lt;&gt;"Serviço",0,IF(AND(AUTOEVENTO="Manual",$M233=1),0,IF(OFFSET(CRONOPLE!$F$14,$M233,AU$13)="",10^12,OFFSET(CRONOPLE!$F$14,$M233,AU$13))))</f>
        <v>1000000000000</v>
      </c>
      <c r="AV233" s="181">
        <f ca="1">IF($D233&lt;&gt;"Serviço",0,IF(AND(AUTOEVENTO="Manual",$M233=1),0,IF(OFFSET(CRONOPLE!$F$14,$M233,AV$13)="",10^12,OFFSET(CRONOPLE!$F$14,$M233,AV$13))))</f>
        <v>1000000000000</v>
      </c>
      <c r="AX233" s="182">
        <f ca="1">IF($D233&lt;&gt;"Serviço",0,IF(OR(AND(AUTOEVENTO="Manual",$M233=1),$M233&gt;(ROW(PLE.lastrow)-ROW(PLE.firstrow))),0,IF(OFFSET(PLE!$G$14,$M233,AX$13)="",10^12,OFFSET(PLE!$G$14,$M233,AX$13))))</f>
        <v>1000000000000</v>
      </c>
      <c r="AY233" s="182">
        <f ca="1">IF($D233&lt;&gt;"Serviço",0,IF(OR(AND(AUTOEVENTO="Manual",$M233=1),$M233&gt;(ROW(PLE.lastrow)-ROW(PLE.firstrow))),0,IF(OFFSET(PLE!$G$14,$M233,AY$13)="",10^12,OFFSET(PLE!$G$14,$M233,AY$13))))</f>
        <v>1000000000000</v>
      </c>
      <c r="AZ233" s="182">
        <f ca="1">IF($D233&lt;&gt;"Serviço",0,IF(OR(AND(AUTOEVENTO="Manual",$M233=1),$M233&gt;(ROW(PLE.lastrow)-ROW(PLE.firstrow))),0,IF(OFFSET(PLE!$G$14,$M233,AZ$13)="",10^12,OFFSET(PLE!$G$14,$M233,AZ$13))))</f>
        <v>1000000000000</v>
      </c>
      <c r="BA233" s="182">
        <f ca="1">IF($D233&lt;&gt;"Serviço",0,IF(OR(AND(AUTOEVENTO="Manual",$M233=1),$M233&gt;(ROW(PLE.lastrow)-ROW(PLE.firstrow))),0,IF(OFFSET(PLE!$G$14,$M233,BA$13)="",10^12,OFFSET(PLE!$G$14,$M233,BA$13))))</f>
        <v>1000000000000</v>
      </c>
      <c r="BB233" s="182">
        <f ca="1">IF($D233&lt;&gt;"Serviço",0,IF(OR(AND(AUTOEVENTO="Manual",$M233=1),$M233&gt;(ROW(PLE.lastrow)-ROW(PLE.firstrow))),0,IF(OFFSET(PLE!$G$14,$M233,BB$13)="",10^12,OFFSET(PLE!$G$14,$M233,BB$13))))</f>
        <v>1000000000000</v>
      </c>
      <c r="BC233" s="182">
        <f ca="1">IF($D233&lt;&gt;"Serviço",0,IF(OR(AND(AUTOEVENTO="Manual",$M233=1),$M233&gt;(ROW(PLE.lastrow)-ROW(PLE.firstrow))),0,IF(OFFSET(PLE!$G$14,$M233,BC$13)="",10^12,OFFSET(PLE!$G$14,$M233,BC$13))))</f>
        <v>1000000000000</v>
      </c>
      <c r="BD233" s="182">
        <f ca="1">IF($D233&lt;&gt;"Serviço",0,IF(OR(AND(AUTOEVENTO="Manual",$M233=1),$M233&gt;(ROW(PLE.lastrow)-ROW(PLE.firstrow))),0,IF(OFFSET(PLE!$G$14,$M233,BD$13)="",10^12,OFFSET(PLE!$G$14,$M233,BD$13))))</f>
        <v>1000000000000</v>
      </c>
      <c r="BE233" s="182">
        <f ca="1">IF($D233&lt;&gt;"Serviço",0,IF(OR(AND(AUTOEVENTO="Manual",$M233=1),$M233&gt;(ROW(PLE.lastrow)-ROW(PLE.firstrow))),0,IF(OFFSET(PLE!$G$14,$M233,BE$13)="",10^12,OFFSET(PLE!$G$14,$M233,BE$13))))</f>
        <v>1000000000000</v>
      </c>
      <c r="BF233" s="182">
        <f ca="1">IF($D233&lt;&gt;"Serviço",0,IF(OR(AND(AUTOEVENTO="Manual",$M233=1),$M233&gt;(ROW(PLE.lastrow)-ROW(PLE.firstrow))),0,IF(OFFSET(PLE!$G$14,$M233,BF$13)="",10^12,OFFSET(PLE!$G$14,$M233,BF$13))))</f>
        <v>1000000000000</v>
      </c>
      <c r="BG233" s="182">
        <f ca="1">IF($D233&lt;&gt;"Serviço",0,IF(OR(AND(AUTOEVENTO="Manual",$M233=1),$M233&gt;(ROW(PLE.lastrow)-ROW(PLE.firstrow))),0,IF(OFFSET(PLE!$G$14,$M233,BG$13)="",10^12,OFFSET(PLE!$G$14,$M233,BG$13))))</f>
        <v>1000000000000</v>
      </c>
    </row>
    <row r="234" spans="1:59" ht="12.75" x14ac:dyDescent="0.2">
      <c r="A234" s="7" t="str">
        <f t="shared" ca="1" si="11"/>
        <v>191</v>
      </c>
      <c r="B234" s="7" t="str">
        <f ca="1">OFFSET(ORÇAMENTO!C$15,ROW(B234)-ROW(B$15),0)</f>
        <v>S</v>
      </c>
      <c r="C234" s="7" t="str">
        <f ca="1">OFFSET(ORÇAMENTO!L$15,ROW(C234)-ROW(C$15),0)</f>
        <v/>
      </c>
      <c r="D234" s="118" t="str">
        <f ca="1">OFFSET(ORÇAMENTO!N$15,ROW(D234)-ROW(D$15),0)</f>
        <v>Serviço</v>
      </c>
      <c r="E234" s="119" t="str">
        <f ca="1">OFFSET(ORÇAMENTO!O$15,ROW(E234)-ROW(E$15),0)</f>
        <v>-</v>
      </c>
      <c r="F234" s="172" t="str">
        <f ca="1">OFFSET(ORÇAMENTO!R$15,ROW(F234)-ROW(F$15),0)</f>
        <v>(abra o arquivo 'Referência 02-2025.xlsm)</v>
      </c>
      <c r="G234" s="173" t="str">
        <f ca="1">IF($D234&lt;&gt;"Serviço","",OFFSET(ORÇAMENTO!S$15,ROW(G234)-ROW(G$15),0))</f>
        <v>-</v>
      </c>
      <c r="H234" s="124">
        <f ca="1">IF($D234&lt;&gt;"Serviço",0,IF(ACOMPANHAMENTO="BM",ROUND(OFFSET(ORÇAMENTO!AJ$15,ROW(H234)-ROW(H$15),0),15-13*ORÇAMENTO!$AF$7),SUMPRODUCT(($Q$12:$AA$12&lt;&gt;"")*ROUND($Q234:$AA234,15-13*ORÇAMENTO!$AF$7))))</f>
        <v>6.88</v>
      </c>
      <c r="I234" s="561" t="s">
        <v>890</v>
      </c>
      <c r="K234" s="174"/>
      <c r="L234" s="175" t="s">
        <v>255</v>
      </c>
      <c r="M234" s="176">
        <f ca="1">IF($D234&lt;&gt;"Serviço","",IF(AUTOEVENTO="manual",$A234,IF(ISERROR(MATCH($A234,$A$15:OFFSET($A234,-1,0),0)),MAX($M$15:OFFSET(M234,-1,0))+1,INDEX($M$15:OFFSET(M234,-1,0),MATCH($A234,$A$15:OFFSET($A234,-1,0),0)))))</f>
        <v>11</v>
      </c>
      <c r="N234" s="177" t="str">
        <f ca="1">IF($D234&lt;&gt;"Serviço","",IF(AUTOEVENTO="Manual",IF($A234=0,"&lt;-- defina o número do agrupador",OFFSET(EVENTOS!$D$14,$A234,0)),OFFSET($F$15,$A234,0)))</f>
        <v>SISTEMAS DE PISOS</v>
      </c>
      <c r="O234" s="178"/>
      <c r="Q234" s="178"/>
      <c r="R234" s="179"/>
      <c r="S234" s="179"/>
      <c r="T234" s="179"/>
      <c r="U234" s="179"/>
      <c r="V234" s="179"/>
      <c r="W234" s="179"/>
      <c r="X234" s="179"/>
      <c r="Y234" s="179"/>
      <c r="Z234" s="180"/>
      <c r="AB234" s="544">
        <f ca="1">IF(AND($D234="Serviço",AB$12&lt;&gt;0,$H234&gt;0,OR(AUTOEVENTO&lt;&gt;"manual",$M234&lt;&gt;1)),
IF(Import.TipoArredondamento&lt;&gt;"TransfereGOV",
ROUND(OFFSET($P234,0,AB$13),15-13*ORÇAMENTO!$AF$7)/$H234*OFFSET(ORÇAMENTO!$X$15,ROW(AB234)-ROW(AB$15),0),
ROUND(ROUND(OFFSET($P234,0,AB$13),15-13*ORÇAMENTO!$AF$7)*OFFSET(ORÇAMENTO!$W$15,ROW(AB234)-ROW(AB$15),0),15-13*ORÇAMENTO!$AF$11)),0)</f>
        <v>0</v>
      </c>
      <c r="AC234" s="545">
        <f ca="1">IF(AND($D234="Serviço",AC$12&lt;&gt;0,$H234&gt;0,OR(AUTOEVENTO&lt;&gt;"manual",$M234&lt;&gt;1)),
IF(Import.TipoArredondamento&lt;&gt;"TransfereGOV",
ROUND(OFFSET($P234,0,AC$13),15-13*ORÇAMENTO!$AF$7)/$H234*OFFSET(ORÇAMENTO!$X$15,ROW(AC234)-ROW(AC$15),0),
ROUND(ROUND(OFFSET($P234,0,AC$13),15-13*ORÇAMENTO!$AF$7)*OFFSET(ORÇAMENTO!$W$15,ROW(AC234)-ROW(AC$15),0),15-13*ORÇAMENTO!$AF$11)),0)</f>
        <v>0</v>
      </c>
      <c r="AD234" s="545">
        <f ca="1">IF(AND($D234="Serviço",AD$12&lt;&gt;0,$H234&gt;0,OR(AUTOEVENTO&lt;&gt;"manual",$M234&lt;&gt;1)),
IF(Import.TipoArredondamento&lt;&gt;"TransfereGOV",
ROUND(OFFSET($P234,0,AD$13),15-13*ORÇAMENTO!$AF$7)/$H234*OFFSET(ORÇAMENTO!$X$15,ROW(AD234)-ROW(AD$15),0),
ROUND(ROUND(OFFSET($P234,0,AD$13),15-13*ORÇAMENTO!$AF$7)*OFFSET(ORÇAMENTO!$W$15,ROW(AD234)-ROW(AD$15),0),15-13*ORÇAMENTO!$AF$11)),0)</f>
        <v>0</v>
      </c>
      <c r="AE234" s="545">
        <f ca="1">IF(AND($D234="Serviço",AE$12&lt;&gt;0,$H234&gt;0,OR(AUTOEVENTO&lt;&gt;"manual",$M234&lt;&gt;1)),
IF(Import.TipoArredondamento&lt;&gt;"TransfereGOV",
ROUND(OFFSET($P234,0,AE$13),15-13*ORÇAMENTO!$AF$7)/$H234*OFFSET(ORÇAMENTO!$X$15,ROW(AE234)-ROW(AE$15),0),
ROUND(ROUND(OFFSET($P234,0,AE$13),15-13*ORÇAMENTO!$AF$7)*OFFSET(ORÇAMENTO!$W$15,ROW(AE234)-ROW(AE$15),0),15-13*ORÇAMENTO!$AF$11)),0)</f>
        <v>0</v>
      </c>
      <c r="AF234" s="545">
        <f ca="1">IF(AND($D234="Serviço",AF$12&lt;&gt;0,$H234&gt;0,OR(AUTOEVENTO&lt;&gt;"manual",$M234&lt;&gt;1)),
IF(Import.TipoArredondamento&lt;&gt;"TransfereGOV",
ROUND(OFFSET($P234,0,AF$13),15-13*ORÇAMENTO!$AF$7)/$H234*OFFSET(ORÇAMENTO!$X$15,ROW(AF234)-ROW(AF$15),0),
ROUND(ROUND(OFFSET($P234,0,AF$13),15-13*ORÇAMENTO!$AF$7)*OFFSET(ORÇAMENTO!$W$15,ROW(AF234)-ROW(AF$15),0),15-13*ORÇAMENTO!$AF$11)),0)</f>
        <v>0</v>
      </c>
      <c r="AG234" s="545">
        <f ca="1">IF(AND($D234="Serviço",AG$12&lt;&gt;0,$H234&gt;0,OR(AUTOEVENTO&lt;&gt;"manual",$M234&lt;&gt;1)),
IF(Import.TipoArredondamento&lt;&gt;"TransfereGOV",
ROUND(OFFSET($P234,0,AG$13),15-13*ORÇAMENTO!$AF$7)/$H234*OFFSET(ORÇAMENTO!$X$15,ROW(AG234)-ROW(AG$15),0),
ROUND(ROUND(OFFSET($P234,0,AG$13),15-13*ORÇAMENTO!$AF$7)*OFFSET(ORÇAMENTO!$W$15,ROW(AG234)-ROW(AG$15),0),15-13*ORÇAMENTO!$AF$11)),0)</f>
        <v>0</v>
      </c>
      <c r="AH234" s="545">
        <f ca="1">IF(AND($D234="Serviço",AH$12&lt;&gt;0,$H234&gt;0,OR(AUTOEVENTO&lt;&gt;"manual",$M234&lt;&gt;1)),
IF(Import.TipoArredondamento&lt;&gt;"TransfereGOV",
ROUND(OFFSET($P234,0,AH$13),15-13*ORÇAMENTO!$AF$7)/$H234*OFFSET(ORÇAMENTO!$X$15,ROW(AH234)-ROW(AH$15),0),
ROUND(ROUND(OFFSET($P234,0,AH$13),15-13*ORÇAMENTO!$AF$7)*OFFSET(ORÇAMENTO!$W$15,ROW(AH234)-ROW(AH$15),0),15-13*ORÇAMENTO!$AF$11)),0)</f>
        <v>0</v>
      </c>
      <c r="AI234" s="545">
        <f ca="1">IF(AND($D234="Serviço",AI$12&lt;&gt;0,$H234&gt;0,OR(AUTOEVENTO&lt;&gt;"manual",$M234&lt;&gt;1)),
IF(Import.TipoArredondamento&lt;&gt;"TransfereGOV",
ROUND(OFFSET($P234,0,AI$13),15-13*ORÇAMENTO!$AF$7)/$H234*OFFSET(ORÇAMENTO!$X$15,ROW(AI234)-ROW(AI$15),0),
ROUND(ROUND(OFFSET($P234,0,AI$13),15-13*ORÇAMENTO!$AF$7)*OFFSET(ORÇAMENTO!$W$15,ROW(AI234)-ROW(AI$15),0),15-13*ORÇAMENTO!$AF$11)),0)</f>
        <v>0</v>
      </c>
      <c r="AJ234" s="545">
        <f ca="1">IF(AND($D234="Serviço",AJ$12&lt;&gt;0,$H234&gt;0,OR(AUTOEVENTO&lt;&gt;"manual",$M234&lt;&gt;1)),
IF(Import.TipoArredondamento&lt;&gt;"TransfereGOV",
ROUND(OFFSET($P234,0,AJ$13),15-13*ORÇAMENTO!$AF$7)/$H234*OFFSET(ORÇAMENTO!$X$15,ROW(AJ234)-ROW(AJ$15),0),
ROUND(ROUND(OFFSET($P234,0,AJ$13),15-13*ORÇAMENTO!$AF$7)*OFFSET(ORÇAMENTO!$W$15,ROW(AJ234)-ROW(AJ$15),0),15-13*ORÇAMENTO!$AF$11)),0)</f>
        <v>0</v>
      </c>
      <c r="AK234" s="546">
        <f ca="1">IF(AND($D234="Serviço",AK$12&lt;&gt;0,$H234&gt;0,OR(AUTOEVENTO&lt;&gt;"manual",$M234&lt;&gt;1)),
IF(Import.TipoArredondamento&lt;&gt;"TransfereGOV",
ROUND(OFFSET($P234,0,AK$13),15-13*ORÇAMENTO!$AF$7)/$H234*OFFSET(ORÇAMENTO!$X$15,ROW(AK234)-ROW(AK$15),0),
ROUND(ROUND(OFFSET($P234,0,AK$13),15-13*ORÇAMENTO!$AF$7)*OFFSET(ORÇAMENTO!$W$15,ROW(AK234)-ROW(AK$15),0),15-13*ORÇAMENTO!$AF$11)),0)</f>
        <v>0</v>
      </c>
      <c r="AM234" s="181">
        <f ca="1">IF($D234&lt;&gt;"Serviço",0,IF(AND(AUTOEVENTO="Manual",$M234=1),0,IF(OFFSET(CRONOPLE!$F$14,$M234,AM$13)="",10^12,OFFSET(CRONOPLE!$F$14,$M234,AM$13))))</f>
        <v>1000000000000</v>
      </c>
      <c r="AN234" s="181">
        <f ca="1">IF($D234&lt;&gt;"Serviço",0,IF(AND(AUTOEVENTO="Manual",$M234=1),0,IF(OFFSET(CRONOPLE!$F$14,$M234,AN$13)="",10^12,OFFSET(CRONOPLE!$F$14,$M234,AN$13))))</f>
        <v>1000000000000</v>
      </c>
      <c r="AO234" s="181">
        <f ca="1">IF($D234&lt;&gt;"Serviço",0,IF(AND(AUTOEVENTO="Manual",$M234=1),0,IF(OFFSET(CRONOPLE!$F$14,$M234,AO$13)="",10^12,OFFSET(CRONOPLE!$F$14,$M234,AO$13))))</f>
        <v>1000000000000</v>
      </c>
      <c r="AP234" s="181">
        <f ca="1">IF($D234&lt;&gt;"Serviço",0,IF(AND(AUTOEVENTO="Manual",$M234=1),0,IF(OFFSET(CRONOPLE!$F$14,$M234,AP$13)="",10^12,OFFSET(CRONOPLE!$F$14,$M234,AP$13))))</f>
        <v>1000000000000</v>
      </c>
      <c r="AQ234" s="181">
        <f ca="1">IF($D234&lt;&gt;"Serviço",0,IF(AND(AUTOEVENTO="Manual",$M234=1),0,IF(OFFSET(CRONOPLE!$F$14,$M234,AQ$13)="",10^12,OFFSET(CRONOPLE!$F$14,$M234,AQ$13))))</f>
        <v>1000000000000</v>
      </c>
      <c r="AR234" s="181">
        <f ca="1">IF($D234&lt;&gt;"Serviço",0,IF(AND(AUTOEVENTO="Manual",$M234=1),0,IF(OFFSET(CRONOPLE!$F$14,$M234,AR$13)="",10^12,OFFSET(CRONOPLE!$F$14,$M234,AR$13))))</f>
        <v>1000000000000</v>
      </c>
      <c r="AS234" s="181">
        <f ca="1">IF($D234&lt;&gt;"Serviço",0,IF(AND(AUTOEVENTO="Manual",$M234=1),0,IF(OFFSET(CRONOPLE!$F$14,$M234,AS$13)="",10^12,OFFSET(CRONOPLE!$F$14,$M234,AS$13))))</f>
        <v>1000000000000</v>
      </c>
      <c r="AT234" s="181">
        <f ca="1">IF($D234&lt;&gt;"Serviço",0,IF(AND(AUTOEVENTO="Manual",$M234=1),0,IF(OFFSET(CRONOPLE!$F$14,$M234,AT$13)="",10^12,OFFSET(CRONOPLE!$F$14,$M234,AT$13))))</f>
        <v>1000000000000</v>
      </c>
      <c r="AU234" s="181">
        <f ca="1">IF($D234&lt;&gt;"Serviço",0,IF(AND(AUTOEVENTO="Manual",$M234=1),0,IF(OFFSET(CRONOPLE!$F$14,$M234,AU$13)="",10^12,OFFSET(CRONOPLE!$F$14,$M234,AU$13))))</f>
        <v>1000000000000</v>
      </c>
      <c r="AV234" s="181">
        <f ca="1">IF($D234&lt;&gt;"Serviço",0,IF(AND(AUTOEVENTO="Manual",$M234=1),0,IF(OFFSET(CRONOPLE!$F$14,$M234,AV$13)="",10^12,OFFSET(CRONOPLE!$F$14,$M234,AV$13))))</f>
        <v>1000000000000</v>
      </c>
      <c r="AX234" s="182">
        <f ca="1">IF($D234&lt;&gt;"Serviço",0,IF(OR(AND(AUTOEVENTO="Manual",$M234=1),$M234&gt;(ROW(PLE.lastrow)-ROW(PLE.firstrow))),0,IF(OFFSET(PLE!$G$14,$M234,AX$13)="",10^12,OFFSET(PLE!$G$14,$M234,AX$13))))</f>
        <v>1000000000000</v>
      </c>
      <c r="AY234" s="182">
        <f ca="1">IF($D234&lt;&gt;"Serviço",0,IF(OR(AND(AUTOEVENTO="Manual",$M234=1),$M234&gt;(ROW(PLE.lastrow)-ROW(PLE.firstrow))),0,IF(OFFSET(PLE!$G$14,$M234,AY$13)="",10^12,OFFSET(PLE!$G$14,$M234,AY$13))))</f>
        <v>1000000000000</v>
      </c>
      <c r="AZ234" s="182">
        <f ca="1">IF($D234&lt;&gt;"Serviço",0,IF(OR(AND(AUTOEVENTO="Manual",$M234=1),$M234&gt;(ROW(PLE.lastrow)-ROW(PLE.firstrow))),0,IF(OFFSET(PLE!$G$14,$M234,AZ$13)="",10^12,OFFSET(PLE!$G$14,$M234,AZ$13))))</f>
        <v>1000000000000</v>
      </c>
      <c r="BA234" s="182">
        <f ca="1">IF($D234&lt;&gt;"Serviço",0,IF(OR(AND(AUTOEVENTO="Manual",$M234=1),$M234&gt;(ROW(PLE.lastrow)-ROW(PLE.firstrow))),0,IF(OFFSET(PLE!$G$14,$M234,BA$13)="",10^12,OFFSET(PLE!$G$14,$M234,BA$13))))</f>
        <v>1000000000000</v>
      </c>
      <c r="BB234" s="182">
        <f ca="1">IF($D234&lt;&gt;"Serviço",0,IF(OR(AND(AUTOEVENTO="Manual",$M234=1),$M234&gt;(ROW(PLE.lastrow)-ROW(PLE.firstrow))),0,IF(OFFSET(PLE!$G$14,$M234,BB$13)="",10^12,OFFSET(PLE!$G$14,$M234,BB$13))))</f>
        <v>1000000000000</v>
      </c>
      <c r="BC234" s="182">
        <f ca="1">IF($D234&lt;&gt;"Serviço",0,IF(OR(AND(AUTOEVENTO="Manual",$M234=1),$M234&gt;(ROW(PLE.lastrow)-ROW(PLE.firstrow))),0,IF(OFFSET(PLE!$G$14,$M234,BC$13)="",10^12,OFFSET(PLE!$G$14,$M234,BC$13))))</f>
        <v>1000000000000</v>
      </c>
      <c r="BD234" s="182">
        <f ca="1">IF($D234&lt;&gt;"Serviço",0,IF(OR(AND(AUTOEVENTO="Manual",$M234=1),$M234&gt;(ROW(PLE.lastrow)-ROW(PLE.firstrow))),0,IF(OFFSET(PLE!$G$14,$M234,BD$13)="",10^12,OFFSET(PLE!$G$14,$M234,BD$13))))</f>
        <v>1000000000000</v>
      </c>
      <c r="BE234" s="182">
        <f ca="1">IF($D234&lt;&gt;"Serviço",0,IF(OR(AND(AUTOEVENTO="Manual",$M234=1),$M234&gt;(ROW(PLE.lastrow)-ROW(PLE.firstrow))),0,IF(OFFSET(PLE!$G$14,$M234,BE$13)="",10^12,OFFSET(PLE!$G$14,$M234,BE$13))))</f>
        <v>1000000000000</v>
      </c>
      <c r="BF234" s="182">
        <f ca="1">IF($D234&lt;&gt;"Serviço",0,IF(OR(AND(AUTOEVENTO="Manual",$M234=1),$M234&gt;(ROW(PLE.lastrow)-ROW(PLE.firstrow))),0,IF(OFFSET(PLE!$G$14,$M234,BF$13)="",10^12,OFFSET(PLE!$G$14,$M234,BF$13))))</f>
        <v>1000000000000</v>
      </c>
      <c r="BG234" s="182">
        <f ca="1">IF($D234&lt;&gt;"Serviço",0,IF(OR(AND(AUTOEVENTO="Manual",$M234=1),$M234&gt;(ROW(PLE.lastrow)-ROW(PLE.firstrow))),0,IF(OFFSET(PLE!$G$14,$M234,BG$13)="",10^12,OFFSET(PLE!$G$14,$M234,BG$13))))</f>
        <v>1000000000000</v>
      </c>
    </row>
    <row r="235" spans="1:59" ht="25.5" x14ac:dyDescent="0.2">
      <c r="A235" s="7" t="str">
        <f t="shared" ca="1" si="11"/>
        <v>191</v>
      </c>
      <c r="B235" s="7" t="str">
        <f ca="1">OFFSET(ORÇAMENTO!C$15,ROW(B235)-ROW(B$15),0)</f>
        <v>S</v>
      </c>
      <c r="C235" s="7" t="str">
        <f ca="1">OFFSET(ORÇAMENTO!L$15,ROW(C235)-ROW(C$15),0)</f>
        <v/>
      </c>
      <c r="D235" s="118" t="str">
        <f ca="1">OFFSET(ORÇAMENTO!N$15,ROW(D235)-ROW(D$15),0)</f>
        <v>Serviço</v>
      </c>
      <c r="E235" s="119" t="str">
        <f ca="1">OFFSET(ORÇAMENTO!O$15,ROW(E235)-ROW(E$15),0)</f>
        <v>-</v>
      </c>
      <c r="F235" s="172" t="str">
        <f ca="1">OFFSET(ORÇAMENTO!R$15,ROW(F235)-ROW(F$15),0)</f>
        <v>(abra o arquivo 'Referência 02-2025.xlsm)</v>
      </c>
      <c r="G235" s="173" t="str">
        <f ca="1">IF($D235&lt;&gt;"Serviço","",OFFSET(ORÇAMENTO!S$15,ROW(G235)-ROW(G$15),0))</f>
        <v>-</v>
      </c>
      <c r="H235" s="124">
        <f ca="1">IF($D235&lt;&gt;"Serviço",0,IF(ACOMPANHAMENTO="BM",ROUND(OFFSET(ORÇAMENTO!AJ$15,ROW(H235)-ROW(H$15),0),15-13*ORÇAMENTO!$AF$7),SUMPRODUCT(($Q$12:$AA$12&lt;&gt;"")*ROUND($Q235:$AA235,15-13*ORÇAMENTO!$AF$7))))</f>
        <v>7.25</v>
      </c>
      <c r="I235" s="561" t="s">
        <v>890</v>
      </c>
      <c r="K235" s="174"/>
      <c r="L235" s="175" t="s">
        <v>255</v>
      </c>
      <c r="M235" s="176">
        <f ca="1">IF($D235&lt;&gt;"Serviço","",IF(AUTOEVENTO="manual",$A235,IF(ISERROR(MATCH($A235,$A$15:OFFSET($A235,-1,0),0)),MAX($M$15:OFFSET(M235,-1,0))+1,INDEX($M$15:OFFSET(M235,-1,0),MATCH($A235,$A$15:OFFSET($A235,-1,0),0)))))</f>
        <v>11</v>
      </c>
      <c r="N235" s="177" t="str">
        <f ca="1">IF($D235&lt;&gt;"Serviço","",IF(AUTOEVENTO="Manual",IF($A235=0,"&lt;-- defina o número do agrupador",OFFSET(EVENTOS!$D$14,$A235,0)),OFFSET($F$15,$A235,0)))</f>
        <v>SISTEMAS DE PISOS</v>
      </c>
      <c r="O235" s="178"/>
      <c r="Q235" s="178"/>
      <c r="R235" s="179"/>
      <c r="S235" s="179"/>
      <c r="T235" s="179"/>
      <c r="U235" s="179"/>
      <c r="V235" s="179"/>
      <c r="W235" s="179"/>
      <c r="X235" s="179"/>
      <c r="Y235" s="179"/>
      <c r="Z235" s="180"/>
      <c r="AB235" s="544">
        <f ca="1">IF(AND($D235="Serviço",AB$12&lt;&gt;0,$H235&gt;0,OR(AUTOEVENTO&lt;&gt;"manual",$M235&lt;&gt;1)),
IF(Import.TipoArredondamento&lt;&gt;"TransfereGOV",
ROUND(OFFSET($P235,0,AB$13),15-13*ORÇAMENTO!$AF$7)/$H235*OFFSET(ORÇAMENTO!$X$15,ROW(AB235)-ROW(AB$15),0),
ROUND(ROUND(OFFSET($P235,0,AB$13),15-13*ORÇAMENTO!$AF$7)*OFFSET(ORÇAMENTO!$W$15,ROW(AB235)-ROW(AB$15),0),15-13*ORÇAMENTO!$AF$11)),0)</f>
        <v>0</v>
      </c>
      <c r="AC235" s="545">
        <f ca="1">IF(AND($D235="Serviço",AC$12&lt;&gt;0,$H235&gt;0,OR(AUTOEVENTO&lt;&gt;"manual",$M235&lt;&gt;1)),
IF(Import.TipoArredondamento&lt;&gt;"TransfereGOV",
ROUND(OFFSET($P235,0,AC$13),15-13*ORÇAMENTO!$AF$7)/$H235*OFFSET(ORÇAMENTO!$X$15,ROW(AC235)-ROW(AC$15),0),
ROUND(ROUND(OFFSET($P235,0,AC$13),15-13*ORÇAMENTO!$AF$7)*OFFSET(ORÇAMENTO!$W$15,ROW(AC235)-ROW(AC$15),0),15-13*ORÇAMENTO!$AF$11)),0)</f>
        <v>0</v>
      </c>
      <c r="AD235" s="545">
        <f ca="1">IF(AND($D235="Serviço",AD$12&lt;&gt;0,$H235&gt;0,OR(AUTOEVENTO&lt;&gt;"manual",$M235&lt;&gt;1)),
IF(Import.TipoArredondamento&lt;&gt;"TransfereGOV",
ROUND(OFFSET($P235,0,AD$13),15-13*ORÇAMENTO!$AF$7)/$H235*OFFSET(ORÇAMENTO!$X$15,ROW(AD235)-ROW(AD$15),0),
ROUND(ROUND(OFFSET($P235,0,AD$13),15-13*ORÇAMENTO!$AF$7)*OFFSET(ORÇAMENTO!$W$15,ROW(AD235)-ROW(AD$15),0),15-13*ORÇAMENTO!$AF$11)),0)</f>
        <v>0</v>
      </c>
      <c r="AE235" s="545">
        <f ca="1">IF(AND($D235="Serviço",AE$12&lt;&gt;0,$H235&gt;0,OR(AUTOEVENTO&lt;&gt;"manual",$M235&lt;&gt;1)),
IF(Import.TipoArredondamento&lt;&gt;"TransfereGOV",
ROUND(OFFSET($P235,0,AE$13),15-13*ORÇAMENTO!$AF$7)/$H235*OFFSET(ORÇAMENTO!$X$15,ROW(AE235)-ROW(AE$15),0),
ROUND(ROUND(OFFSET($P235,0,AE$13),15-13*ORÇAMENTO!$AF$7)*OFFSET(ORÇAMENTO!$W$15,ROW(AE235)-ROW(AE$15),0),15-13*ORÇAMENTO!$AF$11)),0)</f>
        <v>0</v>
      </c>
      <c r="AF235" s="545">
        <f ca="1">IF(AND($D235="Serviço",AF$12&lt;&gt;0,$H235&gt;0,OR(AUTOEVENTO&lt;&gt;"manual",$M235&lt;&gt;1)),
IF(Import.TipoArredondamento&lt;&gt;"TransfereGOV",
ROUND(OFFSET($P235,0,AF$13),15-13*ORÇAMENTO!$AF$7)/$H235*OFFSET(ORÇAMENTO!$X$15,ROW(AF235)-ROW(AF$15),0),
ROUND(ROUND(OFFSET($P235,0,AF$13),15-13*ORÇAMENTO!$AF$7)*OFFSET(ORÇAMENTO!$W$15,ROW(AF235)-ROW(AF$15),0),15-13*ORÇAMENTO!$AF$11)),0)</f>
        <v>0</v>
      </c>
      <c r="AG235" s="545">
        <f ca="1">IF(AND($D235="Serviço",AG$12&lt;&gt;0,$H235&gt;0,OR(AUTOEVENTO&lt;&gt;"manual",$M235&lt;&gt;1)),
IF(Import.TipoArredondamento&lt;&gt;"TransfereGOV",
ROUND(OFFSET($P235,0,AG$13),15-13*ORÇAMENTO!$AF$7)/$H235*OFFSET(ORÇAMENTO!$X$15,ROW(AG235)-ROW(AG$15),0),
ROUND(ROUND(OFFSET($P235,0,AG$13),15-13*ORÇAMENTO!$AF$7)*OFFSET(ORÇAMENTO!$W$15,ROW(AG235)-ROW(AG$15),0),15-13*ORÇAMENTO!$AF$11)),0)</f>
        <v>0</v>
      </c>
      <c r="AH235" s="545">
        <f ca="1">IF(AND($D235="Serviço",AH$12&lt;&gt;0,$H235&gt;0,OR(AUTOEVENTO&lt;&gt;"manual",$M235&lt;&gt;1)),
IF(Import.TipoArredondamento&lt;&gt;"TransfereGOV",
ROUND(OFFSET($P235,0,AH$13),15-13*ORÇAMENTO!$AF$7)/$H235*OFFSET(ORÇAMENTO!$X$15,ROW(AH235)-ROW(AH$15),0),
ROUND(ROUND(OFFSET($P235,0,AH$13),15-13*ORÇAMENTO!$AF$7)*OFFSET(ORÇAMENTO!$W$15,ROW(AH235)-ROW(AH$15),0),15-13*ORÇAMENTO!$AF$11)),0)</f>
        <v>0</v>
      </c>
      <c r="AI235" s="545">
        <f ca="1">IF(AND($D235="Serviço",AI$12&lt;&gt;0,$H235&gt;0,OR(AUTOEVENTO&lt;&gt;"manual",$M235&lt;&gt;1)),
IF(Import.TipoArredondamento&lt;&gt;"TransfereGOV",
ROUND(OFFSET($P235,0,AI$13),15-13*ORÇAMENTO!$AF$7)/$H235*OFFSET(ORÇAMENTO!$X$15,ROW(AI235)-ROW(AI$15),0),
ROUND(ROUND(OFFSET($P235,0,AI$13),15-13*ORÇAMENTO!$AF$7)*OFFSET(ORÇAMENTO!$W$15,ROW(AI235)-ROW(AI$15),0),15-13*ORÇAMENTO!$AF$11)),0)</f>
        <v>0</v>
      </c>
      <c r="AJ235" s="545">
        <f ca="1">IF(AND($D235="Serviço",AJ$12&lt;&gt;0,$H235&gt;0,OR(AUTOEVENTO&lt;&gt;"manual",$M235&lt;&gt;1)),
IF(Import.TipoArredondamento&lt;&gt;"TransfereGOV",
ROUND(OFFSET($P235,0,AJ$13),15-13*ORÇAMENTO!$AF$7)/$H235*OFFSET(ORÇAMENTO!$X$15,ROW(AJ235)-ROW(AJ$15),0),
ROUND(ROUND(OFFSET($P235,0,AJ$13),15-13*ORÇAMENTO!$AF$7)*OFFSET(ORÇAMENTO!$W$15,ROW(AJ235)-ROW(AJ$15),0),15-13*ORÇAMENTO!$AF$11)),0)</f>
        <v>0</v>
      </c>
      <c r="AK235" s="546">
        <f ca="1">IF(AND($D235="Serviço",AK$12&lt;&gt;0,$H235&gt;0,OR(AUTOEVENTO&lt;&gt;"manual",$M235&lt;&gt;1)),
IF(Import.TipoArredondamento&lt;&gt;"TransfereGOV",
ROUND(OFFSET($P235,0,AK$13),15-13*ORÇAMENTO!$AF$7)/$H235*OFFSET(ORÇAMENTO!$X$15,ROW(AK235)-ROW(AK$15),0),
ROUND(ROUND(OFFSET($P235,0,AK$13),15-13*ORÇAMENTO!$AF$7)*OFFSET(ORÇAMENTO!$W$15,ROW(AK235)-ROW(AK$15),0),15-13*ORÇAMENTO!$AF$11)),0)</f>
        <v>0</v>
      </c>
      <c r="AM235" s="181">
        <f ca="1">IF($D235&lt;&gt;"Serviço",0,IF(AND(AUTOEVENTO="Manual",$M235=1),0,IF(OFFSET(CRONOPLE!$F$14,$M235,AM$13)="",10^12,OFFSET(CRONOPLE!$F$14,$M235,AM$13))))</f>
        <v>1000000000000</v>
      </c>
      <c r="AN235" s="181">
        <f ca="1">IF($D235&lt;&gt;"Serviço",0,IF(AND(AUTOEVENTO="Manual",$M235=1),0,IF(OFFSET(CRONOPLE!$F$14,$M235,AN$13)="",10^12,OFFSET(CRONOPLE!$F$14,$M235,AN$13))))</f>
        <v>1000000000000</v>
      </c>
      <c r="AO235" s="181">
        <f ca="1">IF($D235&lt;&gt;"Serviço",0,IF(AND(AUTOEVENTO="Manual",$M235=1),0,IF(OFFSET(CRONOPLE!$F$14,$M235,AO$13)="",10^12,OFFSET(CRONOPLE!$F$14,$M235,AO$13))))</f>
        <v>1000000000000</v>
      </c>
      <c r="AP235" s="181">
        <f ca="1">IF($D235&lt;&gt;"Serviço",0,IF(AND(AUTOEVENTO="Manual",$M235=1),0,IF(OFFSET(CRONOPLE!$F$14,$M235,AP$13)="",10^12,OFFSET(CRONOPLE!$F$14,$M235,AP$13))))</f>
        <v>1000000000000</v>
      </c>
      <c r="AQ235" s="181">
        <f ca="1">IF($D235&lt;&gt;"Serviço",0,IF(AND(AUTOEVENTO="Manual",$M235=1),0,IF(OFFSET(CRONOPLE!$F$14,$M235,AQ$13)="",10^12,OFFSET(CRONOPLE!$F$14,$M235,AQ$13))))</f>
        <v>1000000000000</v>
      </c>
      <c r="AR235" s="181">
        <f ca="1">IF($D235&lt;&gt;"Serviço",0,IF(AND(AUTOEVENTO="Manual",$M235=1),0,IF(OFFSET(CRONOPLE!$F$14,$M235,AR$13)="",10^12,OFFSET(CRONOPLE!$F$14,$M235,AR$13))))</f>
        <v>1000000000000</v>
      </c>
      <c r="AS235" s="181">
        <f ca="1">IF($D235&lt;&gt;"Serviço",0,IF(AND(AUTOEVENTO="Manual",$M235=1),0,IF(OFFSET(CRONOPLE!$F$14,$M235,AS$13)="",10^12,OFFSET(CRONOPLE!$F$14,$M235,AS$13))))</f>
        <v>1000000000000</v>
      </c>
      <c r="AT235" s="181">
        <f ca="1">IF($D235&lt;&gt;"Serviço",0,IF(AND(AUTOEVENTO="Manual",$M235=1),0,IF(OFFSET(CRONOPLE!$F$14,$M235,AT$13)="",10^12,OFFSET(CRONOPLE!$F$14,$M235,AT$13))))</f>
        <v>1000000000000</v>
      </c>
      <c r="AU235" s="181">
        <f ca="1">IF($D235&lt;&gt;"Serviço",0,IF(AND(AUTOEVENTO="Manual",$M235=1),0,IF(OFFSET(CRONOPLE!$F$14,$M235,AU$13)="",10^12,OFFSET(CRONOPLE!$F$14,$M235,AU$13))))</f>
        <v>1000000000000</v>
      </c>
      <c r="AV235" s="181">
        <f ca="1">IF($D235&lt;&gt;"Serviço",0,IF(AND(AUTOEVENTO="Manual",$M235=1),0,IF(OFFSET(CRONOPLE!$F$14,$M235,AV$13)="",10^12,OFFSET(CRONOPLE!$F$14,$M235,AV$13))))</f>
        <v>1000000000000</v>
      </c>
      <c r="AX235" s="182">
        <f ca="1">IF($D235&lt;&gt;"Serviço",0,IF(OR(AND(AUTOEVENTO="Manual",$M235=1),$M235&gt;(ROW(PLE.lastrow)-ROW(PLE.firstrow))),0,IF(OFFSET(PLE!$G$14,$M235,AX$13)="",10^12,OFFSET(PLE!$G$14,$M235,AX$13))))</f>
        <v>1000000000000</v>
      </c>
      <c r="AY235" s="182">
        <f ca="1">IF($D235&lt;&gt;"Serviço",0,IF(OR(AND(AUTOEVENTO="Manual",$M235=1),$M235&gt;(ROW(PLE.lastrow)-ROW(PLE.firstrow))),0,IF(OFFSET(PLE!$G$14,$M235,AY$13)="",10^12,OFFSET(PLE!$G$14,$M235,AY$13))))</f>
        <v>1000000000000</v>
      </c>
      <c r="AZ235" s="182">
        <f ca="1">IF($D235&lt;&gt;"Serviço",0,IF(OR(AND(AUTOEVENTO="Manual",$M235=1),$M235&gt;(ROW(PLE.lastrow)-ROW(PLE.firstrow))),0,IF(OFFSET(PLE!$G$14,$M235,AZ$13)="",10^12,OFFSET(PLE!$G$14,$M235,AZ$13))))</f>
        <v>1000000000000</v>
      </c>
      <c r="BA235" s="182">
        <f ca="1">IF($D235&lt;&gt;"Serviço",0,IF(OR(AND(AUTOEVENTO="Manual",$M235=1),$M235&gt;(ROW(PLE.lastrow)-ROW(PLE.firstrow))),0,IF(OFFSET(PLE!$G$14,$M235,BA$13)="",10^12,OFFSET(PLE!$G$14,$M235,BA$13))))</f>
        <v>1000000000000</v>
      </c>
      <c r="BB235" s="182">
        <f ca="1">IF($D235&lt;&gt;"Serviço",0,IF(OR(AND(AUTOEVENTO="Manual",$M235=1),$M235&gt;(ROW(PLE.lastrow)-ROW(PLE.firstrow))),0,IF(OFFSET(PLE!$G$14,$M235,BB$13)="",10^12,OFFSET(PLE!$G$14,$M235,BB$13))))</f>
        <v>1000000000000</v>
      </c>
      <c r="BC235" s="182">
        <f ca="1">IF($D235&lt;&gt;"Serviço",0,IF(OR(AND(AUTOEVENTO="Manual",$M235=1),$M235&gt;(ROW(PLE.lastrow)-ROW(PLE.firstrow))),0,IF(OFFSET(PLE!$G$14,$M235,BC$13)="",10^12,OFFSET(PLE!$G$14,$M235,BC$13))))</f>
        <v>1000000000000</v>
      </c>
      <c r="BD235" s="182">
        <f ca="1">IF($D235&lt;&gt;"Serviço",0,IF(OR(AND(AUTOEVENTO="Manual",$M235=1),$M235&gt;(ROW(PLE.lastrow)-ROW(PLE.firstrow))),0,IF(OFFSET(PLE!$G$14,$M235,BD$13)="",10^12,OFFSET(PLE!$G$14,$M235,BD$13))))</f>
        <v>1000000000000</v>
      </c>
      <c r="BE235" s="182">
        <f ca="1">IF($D235&lt;&gt;"Serviço",0,IF(OR(AND(AUTOEVENTO="Manual",$M235=1),$M235&gt;(ROW(PLE.lastrow)-ROW(PLE.firstrow))),0,IF(OFFSET(PLE!$G$14,$M235,BE$13)="",10^12,OFFSET(PLE!$G$14,$M235,BE$13))))</f>
        <v>1000000000000</v>
      </c>
      <c r="BF235" s="182">
        <f ca="1">IF($D235&lt;&gt;"Serviço",0,IF(OR(AND(AUTOEVENTO="Manual",$M235=1),$M235&gt;(ROW(PLE.lastrow)-ROW(PLE.firstrow))),0,IF(OFFSET(PLE!$G$14,$M235,BF$13)="",10^12,OFFSET(PLE!$G$14,$M235,BF$13))))</f>
        <v>1000000000000</v>
      </c>
      <c r="BG235" s="182">
        <f ca="1">IF($D235&lt;&gt;"Serviço",0,IF(OR(AND(AUTOEVENTO="Manual",$M235=1),$M235&gt;(ROW(PLE.lastrow)-ROW(PLE.firstrow))),0,IF(OFFSET(PLE!$G$14,$M235,BG$13)="",10^12,OFFSET(PLE!$G$14,$M235,BG$13))))</f>
        <v>1000000000000</v>
      </c>
    </row>
    <row r="236" spans="1:59" ht="12.75" x14ac:dyDescent="0.2">
      <c r="A236" s="7" t="str">
        <f t="shared" ca="1" si="11"/>
        <v>191</v>
      </c>
      <c r="B236" s="7">
        <f ca="1">OFFSET(ORÇAMENTO!C$15,ROW(B236)-ROW(B$15),0)</f>
        <v>3</v>
      </c>
      <c r="C236" s="7" t="str">
        <f ca="1">OFFSET(ORÇAMENTO!L$15,ROW(C236)-ROW(C$15),0)</f>
        <v>F</v>
      </c>
      <c r="D236" s="118" t="str">
        <f ca="1">OFFSET(ORÇAMENTO!N$15,ROW(D236)-ROW(D$15),0)</f>
        <v>Nível 3</v>
      </c>
      <c r="E236" s="119" t="str">
        <f ca="1">OFFSET(ORÇAMENTO!O$15,ROW(E236)-ROW(E$15),0)</f>
        <v>1.10.4.</v>
      </c>
      <c r="F236" s="172" t="str">
        <f ca="1">OFFSET(ORÇAMENTO!R$15,ROW(F236)-ROW(F$15),0)</f>
        <v>PAVIMENTAÇÃO EXTERNA - CALÇADA DE CONCRETO 8 CM</v>
      </c>
      <c r="G236" s="173" t="str">
        <f ca="1">IF($D236&lt;&gt;"Serviço","",OFFSET(ORÇAMENTO!S$15,ROW(G236)-ROW(G$15),0))</f>
        <v/>
      </c>
      <c r="H236" s="124">
        <f ca="1">IF($D236&lt;&gt;"Serviço",0,IF(ACOMPANHAMENTO="BM",ROUND(OFFSET(ORÇAMENTO!AJ$15,ROW(H236)-ROW(H$15),0),15-13*ORÇAMENTO!$AF$7),SUMPRODUCT(($Q$12:$AA$12&lt;&gt;"")*ROUND($Q236:$AA236,15-13*ORÇAMENTO!$AF$7))))</f>
        <v>0</v>
      </c>
      <c r="I236" s="561"/>
      <c r="K236" s="174"/>
      <c r="L236" s="175" t="s">
        <v>255</v>
      </c>
      <c r="M236" s="176" t="str">
        <f ca="1">IF($D236&lt;&gt;"Serviço","",IF(AUTOEVENTO="manual",$A236,IF(ISERROR(MATCH($A236,$A$15:OFFSET($A236,-1,0),0)),MAX($M$15:OFFSET(M236,-1,0))+1,INDEX($M$15:OFFSET(M236,-1,0),MATCH($A236,$A$15:OFFSET($A236,-1,0),0)))))</f>
        <v/>
      </c>
      <c r="N236" s="177" t="str">
        <f ca="1">IF($D236&lt;&gt;"Serviço","",IF(AUTOEVENTO="Manual",IF($A236=0,"&lt;-- defina o número do agrupador",OFFSET(EVENTOS!$D$14,$A236,0)),OFFSET($F$15,$A236,0)))</f>
        <v/>
      </c>
      <c r="O236" s="178"/>
      <c r="Q236" s="178"/>
      <c r="R236" s="179"/>
      <c r="S236" s="179"/>
      <c r="T236" s="179"/>
      <c r="U236" s="179"/>
      <c r="V236" s="179"/>
      <c r="W236" s="179"/>
      <c r="X236" s="179"/>
      <c r="Y236" s="179"/>
      <c r="Z236" s="180"/>
      <c r="AB236" s="544">
        <f ca="1">IF(AND($D236="Serviço",AB$12&lt;&gt;0,$H236&gt;0,OR(AUTOEVENTO&lt;&gt;"manual",$M236&lt;&gt;1)),
IF(Import.TipoArredondamento&lt;&gt;"TransfereGOV",
ROUND(OFFSET($P236,0,AB$13),15-13*ORÇAMENTO!$AF$7)/$H236*OFFSET(ORÇAMENTO!$X$15,ROW(AB236)-ROW(AB$15),0),
ROUND(ROUND(OFFSET($P236,0,AB$13),15-13*ORÇAMENTO!$AF$7)*OFFSET(ORÇAMENTO!$W$15,ROW(AB236)-ROW(AB$15),0),15-13*ORÇAMENTO!$AF$11)),0)</f>
        <v>0</v>
      </c>
      <c r="AC236" s="545">
        <f ca="1">IF(AND($D236="Serviço",AC$12&lt;&gt;0,$H236&gt;0,OR(AUTOEVENTO&lt;&gt;"manual",$M236&lt;&gt;1)),
IF(Import.TipoArredondamento&lt;&gt;"TransfereGOV",
ROUND(OFFSET($P236,0,AC$13),15-13*ORÇAMENTO!$AF$7)/$H236*OFFSET(ORÇAMENTO!$X$15,ROW(AC236)-ROW(AC$15),0),
ROUND(ROUND(OFFSET($P236,0,AC$13),15-13*ORÇAMENTO!$AF$7)*OFFSET(ORÇAMENTO!$W$15,ROW(AC236)-ROW(AC$15),0),15-13*ORÇAMENTO!$AF$11)),0)</f>
        <v>0</v>
      </c>
      <c r="AD236" s="545">
        <f ca="1">IF(AND($D236="Serviço",AD$12&lt;&gt;0,$H236&gt;0,OR(AUTOEVENTO&lt;&gt;"manual",$M236&lt;&gt;1)),
IF(Import.TipoArredondamento&lt;&gt;"TransfereGOV",
ROUND(OFFSET($P236,0,AD$13),15-13*ORÇAMENTO!$AF$7)/$H236*OFFSET(ORÇAMENTO!$X$15,ROW(AD236)-ROW(AD$15),0),
ROUND(ROUND(OFFSET($P236,0,AD$13),15-13*ORÇAMENTO!$AF$7)*OFFSET(ORÇAMENTO!$W$15,ROW(AD236)-ROW(AD$15),0),15-13*ORÇAMENTO!$AF$11)),0)</f>
        <v>0</v>
      </c>
      <c r="AE236" s="545">
        <f ca="1">IF(AND($D236="Serviço",AE$12&lt;&gt;0,$H236&gt;0,OR(AUTOEVENTO&lt;&gt;"manual",$M236&lt;&gt;1)),
IF(Import.TipoArredondamento&lt;&gt;"TransfereGOV",
ROUND(OFFSET($P236,0,AE$13),15-13*ORÇAMENTO!$AF$7)/$H236*OFFSET(ORÇAMENTO!$X$15,ROW(AE236)-ROW(AE$15),0),
ROUND(ROUND(OFFSET($P236,0,AE$13),15-13*ORÇAMENTO!$AF$7)*OFFSET(ORÇAMENTO!$W$15,ROW(AE236)-ROW(AE$15),0),15-13*ORÇAMENTO!$AF$11)),0)</f>
        <v>0</v>
      </c>
      <c r="AF236" s="545">
        <f ca="1">IF(AND($D236="Serviço",AF$12&lt;&gt;0,$H236&gt;0,OR(AUTOEVENTO&lt;&gt;"manual",$M236&lt;&gt;1)),
IF(Import.TipoArredondamento&lt;&gt;"TransfereGOV",
ROUND(OFFSET($P236,0,AF$13),15-13*ORÇAMENTO!$AF$7)/$H236*OFFSET(ORÇAMENTO!$X$15,ROW(AF236)-ROW(AF$15),0),
ROUND(ROUND(OFFSET($P236,0,AF$13),15-13*ORÇAMENTO!$AF$7)*OFFSET(ORÇAMENTO!$W$15,ROW(AF236)-ROW(AF$15),0),15-13*ORÇAMENTO!$AF$11)),0)</f>
        <v>0</v>
      </c>
      <c r="AG236" s="545">
        <f ca="1">IF(AND($D236="Serviço",AG$12&lt;&gt;0,$H236&gt;0,OR(AUTOEVENTO&lt;&gt;"manual",$M236&lt;&gt;1)),
IF(Import.TipoArredondamento&lt;&gt;"TransfereGOV",
ROUND(OFFSET($P236,0,AG$13),15-13*ORÇAMENTO!$AF$7)/$H236*OFFSET(ORÇAMENTO!$X$15,ROW(AG236)-ROW(AG$15),0),
ROUND(ROUND(OFFSET($P236,0,AG$13),15-13*ORÇAMENTO!$AF$7)*OFFSET(ORÇAMENTO!$W$15,ROW(AG236)-ROW(AG$15),0),15-13*ORÇAMENTO!$AF$11)),0)</f>
        <v>0</v>
      </c>
      <c r="AH236" s="545">
        <f ca="1">IF(AND($D236="Serviço",AH$12&lt;&gt;0,$H236&gt;0,OR(AUTOEVENTO&lt;&gt;"manual",$M236&lt;&gt;1)),
IF(Import.TipoArredondamento&lt;&gt;"TransfereGOV",
ROUND(OFFSET($P236,0,AH$13),15-13*ORÇAMENTO!$AF$7)/$H236*OFFSET(ORÇAMENTO!$X$15,ROW(AH236)-ROW(AH$15),0),
ROUND(ROUND(OFFSET($P236,0,AH$13),15-13*ORÇAMENTO!$AF$7)*OFFSET(ORÇAMENTO!$W$15,ROW(AH236)-ROW(AH$15),0),15-13*ORÇAMENTO!$AF$11)),0)</f>
        <v>0</v>
      </c>
      <c r="AI236" s="545">
        <f ca="1">IF(AND($D236="Serviço",AI$12&lt;&gt;0,$H236&gt;0,OR(AUTOEVENTO&lt;&gt;"manual",$M236&lt;&gt;1)),
IF(Import.TipoArredondamento&lt;&gt;"TransfereGOV",
ROUND(OFFSET($P236,0,AI$13),15-13*ORÇAMENTO!$AF$7)/$H236*OFFSET(ORÇAMENTO!$X$15,ROW(AI236)-ROW(AI$15),0),
ROUND(ROUND(OFFSET($P236,0,AI$13),15-13*ORÇAMENTO!$AF$7)*OFFSET(ORÇAMENTO!$W$15,ROW(AI236)-ROW(AI$15),0),15-13*ORÇAMENTO!$AF$11)),0)</f>
        <v>0</v>
      </c>
      <c r="AJ236" s="545">
        <f ca="1">IF(AND($D236="Serviço",AJ$12&lt;&gt;0,$H236&gt;0,OR(AUTOEVENTO&lt;&gt;"manual",$M236&lt;&gt;1)),
IF(Import.TipoArredondamento&lt;&gt;"TransfereGOV",
ROUND(OFFSET($P236,0,AJ$13),15-13*ORÇAMENTO!$AF$7)/$H236*OFFSET(ORÇAMENTO!$X$15,ROW(AJ236)-ROW(AJ$15),0),
ROUND(ROUND(OFFSET($P236,0,AJ$13),15-13*ORÇAMENTO!$AF$7)*OFFSET(ORÇAMENTO!$W$15,ROW(AJ236)-ROW(AJ$15),0),15-13*ORÇAMENTO!$AF$11)),0)</f>
        <v>0</v>
      </c>
      <c r="AK236" s="546">
        <f ca="1">IF(AND($D236="Serviço",AK$12&lt;&gt;0,$H236&gt;0,OR(AUTOEVENTO&lt;&gt;"manual",$M236&lt;&gt;1)),
IF(Import.TipoArredondamento&lt;&gt;"TransfereGOV",
ROUND(OFFSET($P236,0,AK$13),15-13*ORÇAMENTO!$AF$7)/$H236*OFFSET(ORÇAMENTO!$X$15,ROW(AK236)-ROW(AK$15),0),
ROUND(ROUND(OFFSET($P236,0,AK$13),15-13*ORÇAMENTO!$AF$7)*OFFSET(ORÇAMENTO!$W$15,ROW(AK236)-ROW(AK$15),0),15-13*ORÇAMENTO!$AF$11)),0)</f>
        <v>0</v>
      </c>
      <c r="AM236" s="181">
        <f ca="1">IF($D236&lt;&gt;"Serviço",0,IF(AND(AUTOEVENTO="Manual",$M236=1),0,IF(OFFSET(CRONOPLE!$F$14,$M236,AM$13)="",10^12,OFFSET(CRONOPLE!$F$14,$M236,AM$13))))</f>
        <v>0</v>
      </c>
      <c r="AN236" s="181">
        <f ca="1">IF($D236&lt;&gt;"Serviço",0,IF(AND(AUTOEVENTO="Manual",$M236=1),0,IF(OFFSET(CRONOPLE!$F$14,$M236,AN$13)="",10^12,OFFSET(CRONOPLE!$F$14,$M236,AN$13))))</f>
        <v>0</v>
      </c>
      <c r="AO236" s="181">
        <f ca="1">IF($D236&lt;&gt;"Serviço",0,IF(AND(AUTOEVENTO="Manual",$M236=1),0,IF(OFFSET(CRONOPLE!$F$14,$M236,AO$13)="",10^12,OFFSET(CRONOPLE!$F$14,$M236,AO$13))))</f>
        <v>0</v>
      </c>
      <c r="AP236" s="181">
        <f ca="1">IF($D236&lt;&gt;"Serviço",0,IF(AND(AUTOEVENTO="Manual",$M236=1),0,IF(OFFSET(CRONOPLE!$F$14,$M236,AP$13)="",10^12,OFFSET(CRONOPLE!$F$14,$M236,AP$13))))</f>
        <v>0</v>
      </c>
      <c r="AQ236" s="181">
        <f ca="1">IF($D236&lt;&gt;"Serviço",0,IF(AND(AUTOEVENTO="Manual",$M236=1),0,IF(OFFSET(CRONOPLE!$F$14,$M236,AQ$13)="",10^12,OFFSET(CRONOPLE!$F$14,$M236,AQ$13))))</f>
        <v>0</v>
      </c>
      <c r="AR236" s="181">
        <f ca="1">IF($D236&lt;&gt;"Serviço",0,IF(AND(AUTOEVENTO="Manual",$M236=1),0,IF(OFFSET(CRONOPLE!$F$14,$M236,AR$13)="",10^12,OFFSET(CRONOPLE!$F$14,$M236,AR$13))))</f>
        <v>0</v>
      </c>
      <c r="AS236" s="181">
        <f ca="1">IF($D236&lt;&gt;"Serviço",0,IF(AND(AUTOEVENTO="Manual",$M236=1),0,IF(OFFSET(CRONOPLE!$F$14,$M236,AS$13)="",10^12,OFFSET(CRONOPLE!$F$14,$M236,AS$13))))</f>
        <v>0</v>
      </c>
      <c r="AT236" s="181">
        <f ca="1">IF($D236&lt;&gt;"Serviço",0,IF(AND(AUTOEVENTO="Manual",$M236=1),0,IF(OFFSET(CRONOPLE!$F$14,$M236,AT$13)="",10^12,OFFSET(CRONOPLE!$F$14,$M236,AT$13))))</f>
        <v>0</v>
      </c>
      <c r="AU236" s="181">
        <f ca="1">IF($D236&lt;&gt;"Serviço",0,IF(AND(AUTOEVENTO="Manual",$M236=1),0,IF(OFFSET(CRONOPLE!$F$14,$M236,AU$13)="",10^12,OFFSET(CRONOPLE!$F$14,$M236,AU$13))))</f>
        <v>0</v>
      </c>
      <c r="AV236" s="181">
        <f ca="1">IF($D236&lt;&gt;"Serviço",0,IF(AND(AUTOEVENTO="Manual",$M236=1),0,IF(OFFSET(CRONOPLE!$F$14,$M236,AV$13)="",10^12,OFFSET(CRONOPLE!$F$14,$M236,AV$13))))</f>
        <v>0</v>
      </c>
      <c r="AX236" s="182">
        <f ca="1">IF($D236&lt;&gt;"Serviço",0,IF(OR(AND(AUTOEVENTO="Manual",$M236=1),$M236&gt;(ROW(PLE.lastrow)-ROW(PLE.firstrow))),0,IF(OFFSET(PLE!$G$14,$M236,AX$13)="",10^12,OFFSET(PLE!$G$14,$M236,AX$13))))</f>
        <v>0</v>
      </c>
      <c r="AY236" s="182">
        <f ca="1">IF($D236&lt;&gt;"Serviço",0,IF(OR(AND(AUTOEVENTO="Manual",$M236=1),$M236&gt;(ROW(PLE.lastrow)-ROW(PLE.firstrow))),0,IF(OFFSET(PLE!$G$14,$M236,AY$13)="",10^12,OFFSET(PLE!$G$14,$M236,AY$13))))</f>
        <v>0</v>
      </c>
      <c r="AZ236" s="182">
        <f ca="1">IF($D236&lt;&gt;"Serviço",0,IF(OR(AND(AUTOEVENTO="Manual",$M236=1),$M236&gt;(ROW(PLE.lastrow)-ROW(PLE.firstrow))),0,IF(OFFSET(PLE!$G$14,$M236,AZ$13)="",10^12,OFFSET(PLE!$G$14,$M236,AZ$13))))</f>
        <v>0</v>
      </c>
      <c r="BA236" s="182">
        <f ca="1">IF($D236&lt;&gt;"Serviço",0,IF(OR(AND(AUTOEVENTO="Manual",$M236=1),$M236&gt;(ROW(PLE.lastrow)-ROW(PLE.firstrow))),0,IF(OFFSET(PLE!$G$14,$M236,BA$13)="",10^12,OFFSET(PLE!$G$14,$M236,BA$13))))</f>
        <v>0</v>
      </c>
      <c r="BB236" s="182">
        <f ca="1">IF($D236&lt;&gt;"Serviço",0,IF(OR(AND(AUTOEVENTO="Manual",$M236=1),$M236&gt;(ROW(PLE.lastrow)-ROW(PLE.firstrow))),0,IF(OFFSET(PLE!$G$14,$M236,BB$13)="",10^12,OFFSET(PLE!$G$14,$M236,BB$13))))</f>
        <v>0</v>
      </c>
      <c r="BC236" s="182">
        <f ca="1">IF($D236&lt;&gt;"Serviço",0,IF(OR(AND(AUTOEVENTO="Manual",$M236=1),$M236&gt;(ROW(PLE.lastrow)-ROW(PLE.firstrow))),0,IF(OFFSET(PLE!$G$14,$M236,BC$13)="",10^12,OFFSET(PLE!$G$14,$M236,BC$13))))</f>
        <v>0</v>
      </c>
      <c r="BD236" s="182">
        <f ca="1">IF($D236&lt;&gt;"Serviço",0,IF(OR(AND(AUTOEVENTO="Manual",$M236=1),$M236&gt;(ROW(PLE.lastrow)-ROW(PLE.firstrow))),0,IF(OFFSET(PLE!$G$14,$M236,BD$13)="",10^12,OFFSET(PLE!$G$14,$M236,BD$13))))</f>
        <v>0</v>
      </c>
      <c r="BE236" s="182">
        <f ca="1">IF($D236&lt;&gt;"Serviço",0,IF(OR(AND(AUTOEVENTO="Manual",$M236=1),$M236&gt;(ROW(PLE.lastrow)-ROW(PLE.firstrow))),0,IF(OFFSET(PLE!$G$14,$M236,BE$13)="",10^12,OFFSET(PLE!$G$14,$M236,BE$13))))</f>
        <v>0</v>
      </c>
      <c r="BF236" s="182">
        <f ca="1">IF($D236&lt;&gt;"Serviço",0,IF(OR(AND(AUTOEVENTO="Manual",$M236=1),$M236&gt;(ROW(PLE.lastrow)-ROW(PLE.firstrow))),0,IF(OFFSET(PLE!$G$14,$M236,BF$13)="",10^12,OFFSET(PLE!$G$14,$M236,BF$13))))</f>
        <v>0</v>
      </c>
      <c r="BG236" s="182">
        <f ca="1">IF($D236&lt;&gt;"Serviço",0,IF(OR(AND(AUTOEVENTO="Manual",$M236=1),$M236&gt;(ROW(PLE.lastrow)-ROW(PLE.firstrow))),0,IF(OFFSET(PLE!$G$14,$M236,BG$13)="",10^12,OFFSET(PLE!$G$14,$M236,BG$13))))</f>
        <v>0</v>
      </c>
    </row>
    <row r="237" spans="1:59" ht="38.25" x14ac:dyDescent="0.2">
      <c r="A237" s="7" t="str">
        <f t="shared" ca="1" si="11"/>
        <v>191</v>
      </c>
      <c r="B237" s="7" t="str">
        <f ca="1">OFFSET(ORÇAMENTO!C$15,ROW(B237)-ROW(B$15),0)</f>
        <v>S</v>
      </c>
      <c r="C237" s="7" t="str">
        <f ca="1">OFFSET(ORÇAMENTO!L$15,ROW(C237)-ROW(C$15),0)</f>
        <v/>
      </c>
      <c r="D237" s="118" t="str">
        <f ca="1">OFFSET(ORÇAMENTO!N$15,ROW(D237)-ROW(D$15),0)</f>
        <v>Serviço</v>
      </c>
      <c r="E237" s="119" t="str">
        <f ca="1">OFFSET(ORÇAMENTO!O$15,ROW(E237)-ROW(E$15),0)</f>
        <v>-</v>
      </c>
      <c r="F237" s="172" t="str">
        <f ca="1">OFFSET(ORÇAMENTO!R$15,ROW(F237)-ROW(F$15),0)</f>
        <v>(abra o arquivo 'Referência 02-2025.xlsm)</v>
      </c>
      <c r="G237" s="173" t="str">
        <f ca="1">IF($D237&lt;&gt;"Serviço","",OFFSET(ORÇAMENTO!S$15,ROW(G237)-ROW(G$15),0))</f>
        <v>-</v>
      </c>
      <c r="H237" s="124">
        <f ca="1">IF($D237&lt;&gt;"Serviço",0,IF(ACOMPANHAMENTO="BM",ROUND(OFFSET(ORÇAMENTO!AJ$15,ROW(H237)-ROW(H$15),0),15-13*ORÇAMENTO!$AF$7),SUMPRODUCT(($Q$12:$AA$12&lt;&gt;"")*ROUND($Q237:$AA237,15-13*ORÇAMENTO!$AF$7))))</f>
        <v>591.02</v>
      </c>
      <c r="I237" s="561"/>
      <c r="K237" s="174"/>
      <c r="L237" s="175" t="s">
        <v>255</v>
      </c>
      <c r="M237" s="176">
        <f ca="1">IF($D237&lt;&gt;"Serviço","",IF(AUTOEVENTO="manual",$A237,IF(ISERROR(MATCH($A237,$A$15:OFFSET($A237,-1,0),0)),MAX($M$15:OFFSET(M237,-1,0))+1,INDEX($M$15:OFFSET(M237,-1,0),MATCH($A237,$A$15:OFFSET($A237,-1,0),0)))))</f>
        <v>11</v>
      </c>
      <c r="N237" s="177" t="str">
        <f ca="1">IF($D237&lt;&gt;"Serviço","",IF(AUTOEVENTO="Manual",IF($A237=0,"&lt;-- defina o número do agrupador",OFFSET(EVENTOS!$D$14,$A237,0)),OFFSET($F$15,$A237,0)))</f>
        <v>SISTEMAS DE PISOS</v>
      </c>
      <c r="O237" s="178"/>
      <c r="Q237" s="178"/>
      <c r="R237" s="179"/>
      <c r="S237" s="179"/>
      <c r="T237" s="179"/>
      <c r="U237" s="179"/>
      <c r="V237" s="179"/>
      <c r="W237" s="179"/>
      <c r="X237" s="179"/>
      <c r="Y237" s="179"/>
      <c r="Z237" s="180"/>
      <c r="AB237" s="544">
        <f ca="1">IF(AND($D237="Serviço",AB$12&lt;&gt;0,$H237&gt;0,OR(AUTOEVENTO&lt;&gt;"manual",$M237&lt;&gt;1)),
IF(Import.TipoArredondamento&lt;&gt;"TransfereGOV",
ROUND(OFFSET($P237,0,AB$13),15-13*ORÇAMENTO!$AF$7)/$H237*OFFSET(ORÇAMENTO!$X$15,ROW(AB237)-ROW(AB$15),0),
ROUND(ROUND(OFFSET($P237,0,AB$13),15-13*ORÇAMENTO!$AF$7)*OFFSET(ORÇAMENTO!$W$15,ROW(AB237)-ROW(AB$15),0),15-13*ORÇAMENTO!$AF$11)),0)</f>
        <v>0</v>
      </c>
      <c r="AC237" s="545">
        <f ca="1">IF(AND($D237="Serviço",AC$12&lt;&gt;0,$H237&gt;0,OR(AUTOEVENTO&lt;&gt;"manual",$M237&lt;&gt;1)),
IF(Import.TipoArredondamento&lt;&gt;"TransfereGOV",
ROUND(OFFSET($P237,0,AC$13),15-13*ORÇAMENTO!$AF$7)/$H237*OFFSET(ORÇAMENTO!$X$15,ROW(AC237)-ROW(AC$15),0),
ROUND(ROUND(OFFSET($P237,0,AC$13),15-13*ORÇAMENTO!$AF$7)*OFFSET(ORÇAMENTO!$W$15,ROW(AC237)-ROW(AC$15),0),15-13*ORÇAMENTO!$AF$11)),0)</f>
        <v>0</v>
      </c>
      <c r="AD237" s="545">
        <f ca="1">IF(AND($D237="Serviço",AD$12&lt;&gt;0,$H237&gt;0,OR(AUTOEVENTO&lt;&gt;"manual",$M237&lt;&gt;1)),
IF(Import.TipoArredondamento&lt;&gt;"TransfereGOV",
ROUND(OFFSET($P237,0,AD$13),15-13*ORÇAMENTO!$AF$7)/$H237*OFFSET(ORÇAMENTO!$X$15,ROW(AD237)-ROW(AD$15),0),
ROUND(ROUND(OFFSET($P237,0,AD$13),15-13*ORÇAMENTO!$AF$7)*OFFSET(ORÇAMENTO!$W$15,ROW(AD237)-ROW(AD$15),0),15-13*ORÇAMENTO!$AF$11)),0)</f>
        <v>0</v>
      </c>
      <c r="AE237" s="545">
        <f ca="1">IF(AND($D237="Serviço",AE$12&lt;&gt;0,$H237&gt;0,OR(AUTOEVENTO&lt;&gt;"manual",$M237&lt;&gt;1)),
IF(Import.TipoArredondamento&lt;&gt;"TransfereGOV",
ROUND(OFFSET($P237,0,AE$13),15-13*ORÇAMENTO!$AF$7)/$H237*OFFSET(ORÇAMENTO!$X$15,ROW(AE237)-ROW(AE$15),0),
ROUND(ROUND(OFFSET($P237,0,AE$13),15-13*ORÇAMENTO!$AF$7)*OFFSET(ORÇAMENTO!$W$15,ROW(AE237)-ROW(AE$15),0),15-13*ORÇAMENTO!$AF$11)),0)</f>
        <v>0</v>
      </c>
      <c r="AF237" s="545">
        <f ca="1">IF(AND($D237="Serviço",AF$12&lt;&gt;0,$H237&gt;0,OR(AUTOEVENTO&lt;&gt;"manual",$M237&lt;&gt;1)),
IF(Import.TipoArredondamento&lt;&gt;"TransfereGOV",
ROUND(OFFSET($P237,0,AF$13),15-13*ORÇAMENTO!$AF$7)/$H237*OFFSET(ORÇAMENTO!$X$15,ROW(AF237)-ROW(AF$15),0),
ROUND(ROUND(OFFSET($P237,0,AF$13),15-13*ORÇAMENTO!$AF$7)*OFFSET(ORÇAMENTO!$W$15,ROW(AF237)-ROW(AF$15),0),15-13*ORÇAMENTO!$AF$11)),0)</f>
        <v>0</v>
      </c>
      <c r="AG237" s="545">
        <f ca="1">IF(AND($D237="Serviço",AG$12&lt;&gt;0,$H237&gt;0,OR(AUTOEVENTO&lt;&gt;"manual",$M237&lt;&gt;1)),
IF(Import.TipoArredondamento&lt;&gt;"TransfereGOV",
ROUND(OFFSET($P237,0,AG$13),15-13*ORÇAMENTO!$AF$7)/$H237*OFFSET(ORÇAMENTO!$X$15,ROW(AG237)-ROW(AG$15),0),
ROUND(ROUND(OFFSET($P237,0,AG$13),15-13*ORÇAMENTO!$AF$7)*OFFSET(ORÇAMENTO!$W$15,ROW(AG237)-ROW(AG$15),0),15-13*ORÇAMENTO!$AF$11)),0)</f>
        <v>0</v>
      </c>
      <c r="AH237" s="545">
        <f ca="1">IF(AND($D237="Serviço",AH$12&lt;&gt;0,$H237&gt;0,OR(AUTOEVENTO&lt;&gt;"manual",$M237&lt;&gt;1)),
IF(Import.TipoArredondamento&lt;&gt;"TransfereGOV",
ROUND(OFFSET($P237,0,AH$13),15-13*ORÇAMENTO!$AF$7)/$H237*OFFSET(ORÇAMENTO!$X$15,ROW(AH237)-ROW(AH$15),0),
ROUND(ROUND(OFFSET($P237,0,AH$13),15-13*ORÇAMENTO!$AF$7)*OFFSET(ORÇAMENTO!$W$15,ROW(AH237)-ROW(AH$15),0),15-13*ORÇAMENTO!$AF$11)),0)</f>
        <v>0</v>
      </c>
      <c r="AI237" s="545">
        <f ca="1">IF(AND($D237="Serviço",AI$12&lt;&gt;0,$H237&gt;0,OR(AUTOEVENTO&lt;&gt;"manual",$M237&lt;&gt;1)),
IF(Import.TipoArredondamento&lt;&gt;"TransfereGOV",
ROUND(OFFSET($P237,0,AI$13),15-13*ORÇAMENTO!$AF$7)/$H237*OFFSET(ORÇAMENTO!$X$15,ROW(AI237)-ROW(AI$15),0),
ROUND(ROUND(OFFSET($P237,0,AI$13),15-13*ORÇAMENTO!$AF$7)*OFFSET(ORÇAMENTO!$W$15,ROW(AI237)-ROW(AI$15),0),15-13*ORÇAMENTO!$AF$11)),0)</f>
        <v>0</v>
      </c>
      <c r="AJ237" s="545">
        <f ca="1">IF(AND($D237="Serviço",AJ$12&lt;&gt;0,$H237&gt;0,OR(AUTOEVENTO&lt;&gt;"manual",$M237&lt;&gt;1)),
IF(Import.TipoArredondamento&lt;&gt;"TransfereGOV",
ROUND(OFFSET($P237,0,AJ$13),15-13*ORÇAMENTO!$AF$7)/$H237*OFFSET(ORÇAMENTO!$X$15,ROW(AJ237)-ROW(AJ$15),0),
ROUND(ROUND(OFFSET($P237,0,AJ$13),15-13*ORÇAMENTO!$AF$7)*OFFSET(ORÇAMENTO!$W$15,ROW(AJ237)-ROW(AJ$15),0),15-13*ORÇAMENTO!$AF$11)),0)</f>
        <v>0</v>
      </c>
      <c r="AK237" s="546">
        <f ca="1">IF(AND($D237="Serviço",AK$12&lt;&gt;0,$H237&gt;0,OR(AUTOEVENTO&lt;&gt;"manual",$M237&lt;&gt;1)),
IF(Import.TipoArredondamento&lt;&gt;"TransfereGOV",
ROUND(OFFSET($P237,0,AK$13),15-13*ORÇAMENTO!$AF$7)/$H237*OFFSET(ORÇAMENTO!$X$15,ROW(AK237)-ROW(AK$15),0),
ROUND(ROUND(OFFSET($P237,0,AK$13),15-13*ORÇAMENTO!$AF$7)*OFFSET(ORÇAMENTO!$W$15,ROW(AK237)-ROW(AK$15),0),15-13*ORÇAMENTO!$AF$11)),0)</f>
        <v>0</v>
      </c>
      <c r="AM237" s="181">
        <f ca="1">IF($D237&lt;&gt;"Serviço",0,IF(AND(AUTOEVENTO="Manual",$M237=1),0,IF(OFFSET(CRONOPLE!$F$14,$M237,AM$13)="",10^12,OFFSET(CRONOPLE!$F$14,$M237,AM$13))))</f>
        <v>1000000000000</v>
      </c>
      <c r="AN237" s="181">
        <f ca="1">IF($D237&lt;&gt;"Serviço",0,IF(AND(AUTOEVENTO="Manual",$M237=1),0,IF(OFFSET(CRONOPLE!$F$14,$M237,AN$13)="",10^12,OFFSET(CRONOPLE!$F$14,$M237,AN$13))))</f>
        <v>1000000000000</v>
      </c>
      <c r="AO237" s="181">
        <f ca="1">IF($D237&lt;&gt;"Serviço",0,IF(AND(AUTOEVENTO="Manual",$M237=1),0,IF(OFFSET(CRONOPLE!$F$14,$M237,AO$13)="",10^12,OFFSET(CRONOPLE!$F$14,$M237,AO$13))))</f>
        <v>1000000000000</v>
      </c>
      <c r="AP237" s="181">
        <f ca="1">IF($D237&lt;&gt;"Serviço",0,IF(AND(AUTOEVENTO="Manual",$M237=1),0,IF(OFFSET(CRONOPLE!$F$14,$M237,AP$13)="",10^12,OFFSET(CRONOPLE!$F$14,$M237,AP$13))))</f>
        <v>1000000000000</v>
      </c>
      <c r="AQ237" s="181">
        <f ca="1">IF($D237&lt;&gt;"Serviço",0,IF(AND(AUTOEVENTO="Manual",$M237=1),0,IF(OFFSET(CRONOPLE!$F$14,$M237,AQ$13)="",10^12,OFFSET(CRONOPLE!$F$14,$M237,AQ$13))))</f>
        <v>1000000000000</v>
      </c>
      <c r="AR237" s="181">
        <f ca="1">IF($D237&lt;&gt;"Serviço",0,IF(AND(AUTOEVENTO="Manual",$M237=1),0,IF(OFFSET(CRONOPLE!$F$14,$M237,AR$13)="",10^12,OFFSET(CRONOPLE!$F$14,$M237,AR$13))))</f>
        <v>1000000000000</v>
      </c>
      <c r="AS237" s="181">
        <f ca="1">IF($D237&lt;&gt;"Serviço",0,IF(AND(AUTOEVENTO="Manual",$M237=1),0,IF(OFFSET(CRONOPLE!$F$14,$M237,AS$13)="",10^12,OFFSET(CRONOPLE!$F$14,$M237,AS$13))))</f>
        <v>1000000000000</v>
      </c>
      <c r="AT237" s="181">
        <f ca="1">IF($D237&lt;&gt;"Serviço",0,IF(AND(AUTOEVENTO="Manual",$M237=1),0,IF(OFFSET(CRONOPLE!$F$14,$M237,AT$13)="",10^12,OFFSET(CRONOPLE!$F$14,$M237,AT$13))))</f>
        <v>1000000000000</v>
      </c>
      <c r="AU237" s="181">
        <f ca="1">IF($D237&lt;&gt;"Serviço",0,IF(AND(AUTOEVENTO="Manual",$M237=1),0,IF(OFFSET(CRONOPLE!$F$14,$M237,AU$13)="",10^12,OFFSET(CRONOPLE!$F$14,$M237,AU$13))))</f>
        <v>1000000000000</v>
      </c>
      <c r="AV237" s="181">
        <f ca="1">IF($D237&lt;&gt;"Serviço",0,IF(AND(AUTOEVENTO="Manual",$M237=1),0,IF(OFFSET(CRONOPLE!$F$14,$M237,AV$13)="",10^12,OFFSET(CRONOPLE!$F$14,$M237,AV$13))))</f>
        <v>1000000000000</v>
      </c>
      <c r="AX237" s="182">
        <f ca="1">IF($D237&lt;&gt;"Serviço",0,IF(OR(AND(AUTOEVENTO="Manual",$M237=1),$M237&gt;(ROW(PLE.lastrow)-ROW(PLE.firstrow))),0,IF(OFFSET(PLE!$G$14,$M237,AX$13)="",10^12,OFFSET(PLE!$G$14,$M237,AX$13))))</f>
        <v>1000000000000</v>
      </c>
      <c r="AY237" s="182">
        <f ca="1">IF($D237&lt;&gt;"Serviço",0,IF(OR(AND(AUTOEVENTO="Manual",$M237=1),$M237&gt;(ROW(PLE.lastrow)-ROW(PLE.firstrow))),0,IF(OFFSET(PLE!$G$14,$M237,AY$13)="",10^12,OFFSET(PLE!$G$14,$M237,AY$13))))</f>
        <v>1000000000000</v>
      </c>
      <c r="AZ237" s="182">
        <f ca="1">IF($D237&lt;&gt;"Serviço",0,IF(OR(AND(AUTOEVENTO="Manual",$M237=1),$M237&gt;(ROW(PLE.lastrow)-ROW(PLE.firstrow))),0,IF(OFFSET(PLE!$G$14,$M237,AZ$13)="",10^12,OFFSET(PLE!$G$14,$M237,AZ$13))))</f>
        <v>1000000000000</v>
      </c>
      <c r="BA237" s="182">
        <f ca="1">IF($D237&lt;&gt;"Serviço",0,IF(OR(AND(AUTOEVENTO="Manual",$M237=1),$M237&gt;(ROW(PLE.lastrow)-ROW(PLE.firstrow))),0,IF(OFFSET(PLE!$G$14,$M237,BA$13)="",10^12,OFFSET(PLE!$G$14,$M237,BA$13))))</f>
        <v>1000000000000</v>
      </c>
      <c r="BB237" s="182">
        <f ca="1">IF($D237&lt;&gt;"Serviço",0,IF(OR(AND(AUTOEVENTO="Manual",$M237=1),$M237&gt;(ROW(PLE.lastrow)-ROW(PLE.firstrow))),0,IF(OFFSET(PLE!$G$14,$M237,BB$13)="",10^12,OFFSET(PLE!$G$14,$M237,BB$13))))</f>
        <v>1000000000000</v>
      </c>
      <c r="BC237" s="182">
        <f ca="1">IF($D237&lt;&gt;"Serviço",0,IF(OR(AND(AUTOEVENTO="Manual",$M237=1),$M237&gt;(ROW(PLE.lastrow)-ROW(PLE.firstrow))),0,IF(OFFSET(PLE!$G$14,$M237,BC$13)="",10^12,OFFSET(PLE!$G$14,$M237,BC$13))))</f>
        <v>1000000000000</v>
      </c>
      <c r="BD237" s="182">
        <f ca="1">IF($D237&lt;&gt;"Serviço",0,IF(OR(AND(AUTOEVENTO="Manual",$M237=1),$M237&gt;(ROW(PLE.lastrow)-ROW(PLE.firstrow))),0,IF(OFFSET(PLE!$G$14,$M237,BD$13)="",10^12,OFFSET(PLE!$G$14,$M237,BD$13))))</f>
        <v>1000000000000</v>
      </c>
      <c r="BE237" s="182">
        <f ca="1">IF($D237&lt;&gt;"Serviço",0,IF(OR(AND(AUTOEVENTO="Manual",$M237=1),$M237&gt;(ROW(PLE.lastrow)-ROW(PLE.firstrow))),0,IF(OFFSET(PLE!$G$14,$M237,BE$13)="",10^12,OFFSET(PLE!$G$14,$M237,BE$13))))</f>
        <v>1000000000000</v>
      </c>
      <c r="BF237" s="182">
        <f ca="1">IF($D237&lt;&gt;"Serviço",0,IF(OR(AND(AUTOEVENTO="Manual",$M237=1),$M237&gt;(ROW(PLE.lastrow)-ROW(PLE.firstrow))),0,IF(OFFSET(PLE!$G$14,$M237,BF$13)="",10^12,OFFSET(PLE!$G$14,$M237,BF$13))))</f>
        <v>1000000000000</v>
      </c>
      <c r="BG237" s="182">
        <f ca="1">IF($D237&lt;&gt;"Serviço",0,IF(OR(AND(AUTOEVENTO="Manual",$M237=1),$M237&gt;(ROW(PLE.lastrow)-ROW(PLE.firstrow))),0,IF(OFFSET(PLE!$G$14,$M237,BG$13)="",10^12,OFFSET(PLE!$G$14,$M237,BG$13))))</f>
        <v>1000000000000</v>
      </c>
    </row>
    <row r="238" spans="1:59" ht="38.25" x14ac:dyDescent="0.2">
      <c r="A238" s="7" t="str">
        <f ca="1">IF(AUTOEVENTO="Manual",IF(K238&lt;&gt;"",MIN(VALUE(LEFT(K238,FIND(".",K238)-1)),COUNTA(EVENTOS.Lista)),0),IF(OR($B238&gt;AUTOEVENTO,$B238="S",$B238=0),SUBSTITUTE(OFFSET($A238,-1,0),IF($D238="Serviço",".",""),""),ROW(A238)-ROW($A$15)&amp;"."))</f>
        <v>191</v>
      </c>
      <c r="B238" s="7" t="str">
        <f ca="1">OFFSET(ORÇAMENTO!C$15,ROW(B238)-ROW(B$15),0)</f>
        <v>S</v>
      </c>
      <c r="C238" s="7" t="str">
        <f ca="1">OFFSET(ORÇAMENTO!L$15,ROW(C238)-ROW(C$15),0)</f>
        <v/>
      </c>
      <c r="D238" s="118" t="str">
        <f ca="1">OFFSET(ORÇAMENTO!N$15,ROW(D238)-ROW(D$15),0)</f>
        <v>Serviço</v>
      </c>
      <c r="E238" s="119" t="str">
        <f ca="1">OFFSET(ORÇAMENTO!O$15,ROW(E238)-ROW(E$15),0)</f>
        <v>-</v>
      </c>
      <c r="F238" s="172" t="str">
        <f ca="1">OFFSET(ORÇAMENTO!R$15,ROW(F238)-ROW(F$15),0)</f>
        <v>(abra o arquivo 'Referência 02-2025.xlsm)</v>
      </c>
      <c r="G238" s="173" t="str">
        <f ca="1">IF($D238&lt;&gt;"Serviço","",OFFSET(ORÇAMENTO!S$15,ROW(G238)-ROW(G$15),0))</f>
        <v>-</v>
      </c>
      <c r="H238" s="124">
        <f ca="1">IF($D238&lt;&gt;"Serviço",0,IF(ACOMPANHAMENTO="BM",ROUND(OFFSET(ORÇAMENTO!AJ$15,ROW(H238)-ROW(H$15),0),15-13*ORÇAMENTO!$AF$7),SUMPRODUCT(($Q$12:$AA$12&lt;&gt;"")*ROUND($Q238:$AA238,15-13*ORÇAMENTO!$AF$7))))</f>
        <v>51.53</v>
      </c>
      <c r="I238" s="561"/>
      <c r="K238" s="174"/>
      <c r="L238" s="175" t="s">
        <v>255</v>
      </c>
      <c r="M238" s="176">
        <f ca="1">IF($D238&lt;&gt;"Serviço","",IF(AUTOEVENTO="manual",$A238,IF(ISERROR(MATCH($A238,$A$15:OFFSET($A238,-1,0),0)),MAX($M$15:OFFSET(M238,-1,0))+1,INDEX($M$15:OFFSET(M238,-1,0),MATCH($A238,$A$15:OFFSET($A238,-1,0),0)))))</f>
        <v>11</v>
      </c>
      <c r="N238" s="177" t="str">
        <f ca="1">IF($D238&lt;&gt;"Serviço","",IF(AUTOEVENTO="Manual",IF($A238=0,"&lt;-- defina o número do agrupador",OFFSET(EVENTOS!$D$14,$A238,0)),OFFSET($F$15,$A238,0)))</f>
        <v>SISTEMAS DE PISOS</v>
      </c>
      <c r="O238" s="178"/>
      <c r="Q238" s="178"/>
      <c r="R238" s="179"/>
      <c r="S238" s="179"/>
      <c r="T238" s="179"/>
      <c r="U238" s="179"/>
      <c r="V238" s="179"/>
      <c r="W238" s="179"/>
      <c r="X238" s="179"/>
      <c r="Y238" s="179"/>
      <c r="Z238" s="180"/>
      <c r="AB238" s="544">
        <f ca="1">IF(AND($D238="Serviço",AB$12&lt;&gt;0,$H238&gt;0,OR(AUTOEVENTO&lt;&gt;"manual",$M238&lt;&gt;1)),
IF(Import.TipoArredondamento&lt;&gt;"TransfereGOV",
ROUND(OFFSET($P238,0,AB$13),15-13*ORÇAMENTO!$AF$7)/$H238*OFFSET(ORÇAMENTO!$X$15,ROW(AB238)-ROW(AB$15),0),
ROUND(ROUND(OFFSET($P238,0,AB$13),15-13*ORÇAMENTO!$AF$7)*OFFSET(ORÇAMENTO!$W$15,ROW(AB238)-ROW(AB$15),0),15-13*ORÇAMENTO!$AF$11)),0)</f>
        <v>0</v>
      </c>
      <c r="AC238" s="545">
        <f ca="1">IF(AND($D238="Serviço",AC$12&lt;&gt;0,$H238&gt;0,OR(AUTOEVENTO&lt;&gt;"manual",$M238&lt;&gt;1)),
IF(Import.TipoArredondamento&lt;&gt;"TransfereGOV",
ROUND(OFFSET($P238,0,AC$13),15-13*ORÇAMENTO!$AF$7)/$H238*OFFSET(ORÇAMENTO!$X$15,ROW(AC238)-ROW(AC$15),0),
ROUND(ROUND(OFFSET($P238,0,AC$13),15-13*ORÇAMENTO!$AF$7)*OFFSET(ORÇAMENTO!$W$15,ROW(AC238)-ROW(AC$15),0),15-13*ORÇAMENTO!$AF$11)),0)</f>
        <v>0</v>
      </c>
      <c r="AD238" s="545">
        <f ca="1">IF(AND($D238="Serviço",AD$12&lt;&gt;0,$H238&gt;0,OR(AUTOEVENTO&lt;&gt;"manual",$M238&lt;&gt;1)),
IF(Import.TipoArredondamento&lt;&gt;"TransfereGOV",
ROUND(OFFSET($P238,0,AD$13),15-13*ORÇAMENTO!$AF$7)/$H238*OFFSET(ORÇAMENTO!$X$15,ROW(AD238)-ROW(AD$15),0),
ROUND(ROUND(OFFSET($P238,0,AD$13),15-13*ORÇAMENTO!$AF$7)*OFFSET(ORÇAMENTO!$W$15,ROW(AD238)-ROW(AD$15),0),15-13*ORÇAMENTO!$AF$11)),0)</f>
        <v>0</v>
      </c>
      <c r="AE238" s="545">
        <f ca="1">IF(AND($D238="Serviço",AE$12&lt;&gt;0,$H238&gt;0,OR(AUTOEVENTO&lt;&gt;"manual",$M238&lt;&gt;1)),
IF(Import.TipoArredondamento&lt;&gt;"TransfereGOV",
ROUND(OFFSET($P238,0,AE$13),15-13*ORÇAMENTO!$AF$7)/$H238*OFFSET(ORÇAMENTO!$X$15,ROW(AE238)-ROW(AE$15),0),
ROUND(ROUND(OFFSET($P238,0,AE$13),15-13*ORÇAMENTO!$AF$7)*OFFSET(ORÇAMENTO!$W$15,ROW(AE238)-ROW(AE$15),0),15-13*ORÇAMENTO!$AF$11)),0)</f>
        <v>0</v>
      </c>
      <c r="AF238" s="545">
        <f ca="1">IF(AND($D238="Serviço",AF$12&lt;&gt;0,$H238&gt;0,OR(AUTOEVENTO&lt;&gt;"manual",$M238&lt;&gt;1)),
IF(Import.TipoArredondamento&lt;&gt;"TransfereGOV",
ROUND(OFFSET($P238,0,AF$13),15-13*ORÇAMENTO!$AF$7)/$H238*OFFSET(ORÇAMENTO!$X$15,ROW(AF238)-ROW(AF$15),0),
ROUND(ROUND(OFFSET($P238,0,AF$13),15-13*ORÇAMENTO!$AF$7)*OFFSET(ORÇAMENTO!$W$15,ROW(AF238)-ROW(AF$15),0),15-13*ORÇAMENTO!$AF$11)),0)</f>
        <v>0</v>
      </c>
      <c r="AG238" s="545">
        <f ca="1">IF(AND($D238="Serviço",AG$12&lt;&gt;0,$H238&gt;0,OR(AUTOEVENTO&lt;&gt;"manual",$M238&lt;&gt;1)),
IF(Import.TipoArredondamento&lt;&gt;"TransfereGOV",
ROUND(OFFSET($P238,0,AG$13),15-13*ORÇAMENTO!$AF$7)/$H238*OFFSET(ORÇAMENTO!$X$15,ROW(AG238)-ROW(AG$15),0),
ROUND(ROUND(OFFSET($P238,0,AG$13),15-13*ORÇAMENTO!$AF$7)*OFFSET(ORÇAMENTO!$W$15,ROW(AG238)-ROW(AG$15),0),15-13*ORÇAMENTO!$AF$11)),0)</f>
        <v>0</v>
      </c>
      <c r="AH238" s="545">
        <f ca="1">IF(AND($D238="Serviço",AH$12&lt;&gt;0,$H238&gt;0,OR(AUTOEVENTO&lt;&gt;"manual",$M238&lt;&gt;1)),
IF(Import.TipoArredondamento&lt;&gt;"TransfereGOV",
ROUND(OFFSET($P238,0,AH$13),15-13*ORÇAMENTO!$AF$7)/$H238*OFFSET(ORÇAMENTO!$X$15,ROW(AH238)-ROW(AH$15),0),
ROUND(ROUND(OFFSET($P238,0,AH$13),15-13*ORÇAMENTO!$AF$7)*OFFSET(ORÇAMENTO!$W$15,ROW(AH238)-ROW(AH$15),0),15-13*ORÇAMENTO!$AF$11)),0)</f>
        <v>0</v>
      </c>
      <c r="AI238" s="545">
        <f ca="1">IF(AND($D238="Serviço",AI$12&lt;&gt;0,$H238&gt;0,OR(AUTOEVENTO&lt;&gt;"manual",$M238&lt;&gt;1)),
IF(Import.TipoArredondamento&lt;&gt;"TransfereGOV",
ROUND(OFFSET($P238,0,AI$13),15-13*ORÇAMENTO!$AF$7)/$H238*OFFSET(ORÇAMENTO!$X$15,ROW(AI238)-ROW(AI$15),0),
ROUND(ROUND(OFFSET($P238,0,AI$13),15-13*ORÇAMENTO!$AF$7)*OFFSET(ORÇAMENTO!$W$15,ROW(AI238)-ROW(AI$15),0),15-13*ORÇAMENTO!$AF$11)),0)</f>
        <v>0</v>
      </c>
      <c r="AJ238" s="545">
        <f ca="1">IF(AND($D238="Serviço",AJ$12&lt;&gt;0,$H238&gt;0,OR(AUTOEVENTO&lt;&gt;"manual",$M238&lt;&gt;1)),
IF(Import.TipoArredondamento&lt;&gt;"TransfereGOV",
ROUND(OFFSET($P238,0,AJ$13),15-13*ORÇAMENTO!$AF$7)/$H238*OFFSET(ORÇAMENTO!$X$15,ROW(AJ238)-ROW(AJ$15),0),
ROUND(ROUND(OFFSET($P238,0,AJ$13),15-13*ORÇAMENTO!$AF$7)*OFFSET(ORÇAMENTO!$W$15,ROW(AJ238)-ROW(AJ$15),0),15-13*ORÇAMENTO!$AF$11)),0)</f>
        <v>0</v>
      </c>
      <c r="AK238" s="546">
        <f ca="1">IF(AND($D238="Serviço",AK$12&lt;&gt;0,$H238&gt;0,OR(AUTOEVENTO&lt;&gt;"manual",$M238&lt;&gt;1)),
IF(Import.TipoArredondamento&lt;&gt;"TransfereGOV",
ROUND(OFFSET($P238,0,AK$13),15-13*ORÇAMENTO!$AF$7)/$H238*OFFSET(ORÇAMENTO!$X$15,ROW(AK238)-ROW(AK$15),0),
ROUND(ROUND(OFFSET($P238,0,AK$13),15-13*ORÇAMENTO!$AF$7)*OFFSET(ORÇAMENTO!$W$15,ROW(AK238)-ROW(AK$15),0),15-13*ORÇAMENTO!$AF$11)),0)</f>
        <v>0</v>
      </c>
      <c r="AM238" s="181">
        <f ca="1">IF($D238&lt;&gt;"Serviço",0,IF(AND(AUTOEVENTO="Manual",$M238=1),0,IF(OFFSET(CRONOPLE!$F$14,$M238,AM$13)="",10^12,OFFSET(CRONOPLE!$F$14,$M238,AM$13))))</f>
        <v>1000000000000</v>
      </c>
      <c r="AN238" s="181">
        <f ca="1">IF($D238&lt;&gt;"Serviço",0,IF(AND(AUTOEVENTO="Manual",$M238=1),0,IF(OFFSET(CRONOPLE!$F$14,$M238,AN$13)="",10^12,OFFSET(CRONOPLE!$F$14,$M238,AN$13))))</f>
        <v>1000000000000</v>
      </c>
      <c r="AO238" s="181">
        <f ca="1">IF($D238&lt;&gt;"Serviço",0,IF(AND(AUTOEVENTO="Manual",$M238=1),0,IF(OFFSET(CRONOPLE!$F$14,$M238,AO$13)="",10^12,OFFSET(CRONOPLE!$F$14,$M238,AO$13))))</f>
        <v>1000000000000</v>
      </c>
      <c r="AP238" s="181">
        <f ca="1">IF($D238&lt;&gt;"Serviço",0,IF(AND(AUTOEVENTO="Manual",$M238=1),0,IF(OFFSET(CRONOPLE!$F$14,$M238,AP$13)="",10^12,OFFSET(CRONOPLE!$F$14,$M238,AP$13))))</f>
        <v>1000000000000</v>
      </c>
      <c r="AQ238" s="181">
        <f ca="1">IF($D238&lt;&gt;"Serviço",0,IF(AND(AUTOEVENTO="Manual",$M238=1),0,IF(OFFSET(CRONOPLE!$F$14,$M238,AQ$13)="",10^12,OFFSET(CRONOPLE!$F$14,$M238,AQ$13))))</f>
        <v>1000000000000</v>
      </c>
      <c r="AR238" s="181">
        <f ca="1">IF($D238&lt;&gt;"Serviço",0,IF(AND(AUTOEVENTO="Manual",$M238=1),0,IF(OFFSET(CRONOPLE!$F$14,$M238,AR$13)="",10^12,OFFSET(CRONOPLE!$F$14,$M238,AR$13))))</f>
        <v>1000000000000</v>
      </c>
      <c r="AS238" s="181">
        <f ca="1">IF($D238&lt;&gt;"Serviço",0,IF(AND(AUTOEVENTO="Manual",$M238=1),0,IF(OFFSET(CRONOPLE!$F$14,$M238,AS$13)="",10^12,OFFSET(CRONOPLE!$F$14,$M238,AS$13))))</f>
        <v>1000000000000</v>
      </c>
      <c r="AT238" s="181">
        <f ca="1">IF($D238&lt;&gt;"Serviço",0,IF(AND(AUTOEVENTO="Manual",$M238=1),0,IF(OFFSET(CRONOPLE!$F$14,$M238,AT$13)="",10^12,OFFSET(CRONOPLE!$F$14,$M238,AT$13))))</f>
        <v>1000000000000</v>
      </c>
      <c r="AU238" s="181">
        <f ca="1">IF($D238&lt;&gt;"Serviço",0,IF(AND(AUTOEVENTO="Manual",$M238=1),0,IF(OFFSET(CRONOPLE!$F$14,$M238,AU$13)="",10^12,OFFSET(CRONOPLE!$F$14,$M238,AU$13))))</f>
        <v>1000000000000</v>
      </c>
      <c r="AV238" s="181">
        <f ca="1">IF($D238&lt;&gt;"Serviço",0,IF(AND(AUTOEVENTO="Manual",$M238=1),0,IF(OFFSET(CRONOPLE!$F$14,$M238,AV$13)="",10^12,OFFSET(CRONOPLE!$F$14,$M238,AV$13))))</f>
        <v>1000000000000</v>
      </c>
      <c r="AX238" s="182">
        <f ca="1">IF($D238&lt;&gt;"Serviço",0,IF(OR(AND(AUTOEVENTO="Manual",$M238=1),$M238&gt;(ROW(PLE.lastrow)-ROW(PLE.firstrow))),0,IF(OFFSET(PLE!$G$14,$M238,AX$13)="",10^12,OFFSET(PLE!$G$14,$M238,AX$13))))</f>
        <v>1000000000000</v>
      </c>
      <c r="AY238" s="182">
        <f ca="1">IF($D238&lt;&gt;"Serviço",0,IF(OR(AND(AUTOEVENTO="Manual",$M238=1),$M238&gt;(ROW(PLE.lastrow)-ROW(PLE.firstrow))),0,IF(OFFSET(PLE!$G$14,$M238,AY$13)="",10^12,OFFSET(PLE!$G$14,$M238,AY$13))))</f>
        <v>1000000000000</v>
      </c>
      <c r="AZ238" s="182">
        <f ca="1">IF($D238&lt;&gt;"Serviço",0,IF(OR(AND(AUTOEVENTO="Manual",$M238=1),$M238&gt;(ROW(PLE.lastrow)-ROW(PLE.firstrow))),0,IF(OFFSET(PLE!$G$14,$M238,AZ$13)="",10^12,OFFSET(PLE!$G$14,$M238,AZ$13))))</f>
        <v>1000000000000</v>
      </c>
      <c r="BA238" s="182">
        <f ca="1">IF($D238&lt;&gt;"Serviço",0,IF(OR(AND(AUTOEVENTO="Manual",$M238=1),$M238&gt;(ROW(PLE.lastrow)-ROW(PLE.firstrow))),0,IF(OFFSET(PLE!$G$14,$M238,BA$13)="",10^12,OFFSET(PLE!$G$14,$M238,BA$13))))</f>
        <v>1000000000000</v>
      </c>
      <c r="BB238" s="182">
        <f ca="1">IF($D238&lt;&gt;"Serviço",0,IF(OR(AND(AUTOEVENTO="Manual",$M238=1),$M238&gt;(ROW(PLE.lastrow)-ROW(PLE.firstrow))),0,IF(OFFSET(PLE!$G$14,$M238,BB$13)="",10^12,OFFSET(PLE!$G$14,$M238,BB$13))))</f>
        <v>1000000000000</v>
      </c>
      <c r="BC238" s="182">
        <f ca="1">IF($D238&lt;&gt;"Serviço",0,IF(OR(AND(AUTOEVENTO="Manual",$M238=1),$M238&gt;(ROW(PLE.lastrow)-ROW(PLE.firstrow))),0,IF(OFFSET(PLE!$G$14,$M238,BC$13)="",10^12,OFFSET(PLE!$G$14,$M238,BC$13))))</f>
        <v>1000000000000</v>
      </c>
      <c r="BD238" s="182">
        <f ca="1">IF($D238&lt;&gt;"Serviço",0,IF(OR(AND(AUTOEVENTO="Manual",$M238=1),$M238&gt;(ROW(PLE.lastrow)-ROW(PLE.firstrow))),0,IF(OFFSET(PLE!$G$14,$M238,BD$13)="",10^12,OFFSET(PLE!$G$14,$M238,BD$13))))</f>
        <v>1000000000000</v>
      </c>
      <c r="BE238" s="182">
        <f ca="1">IF($D238&lt;&gt;"Serviço",0,IF(OR(AND(AUTOEVENTO="Manual",$M238=1),$M238&gt;(ROW(PLE.lastrow)-ROW(PLE.firstrow))),0,IF(OFFSET(PLE!$G$14,$M238,BE$13)="",10^12,OFFSET(PLE!$G$14,$M238,BE$13))))</f>
        <v>1000000000000</v>
      </c>
      <c r="BF238" s="182">
        <f ca="1">IF($D238&lt;&gt;"Serviço",0,IF(OR(AND(AUTOEVENTO="Manual",$M238=1),$M238&gt;(ROW(PLE.lastrow)-ROW(PLE.firstrow))),0,IF(OFFSET(PLE!$G$14,$M238,BF$13)="",10^12,OFFSET(PLE!$G$14,$M238,BF$13))))</f>
        <v>1000000000000</v>
      </c>
      <c r="BG238" s="182">
        <f ca="1">IF($D238&lt;&gt;"Serviço",0,IF(OR(AND(AUTOEVENTO="Manual",$M238=1),$M238&gt;(ROW(PLE.lastrow)-ROW(PLE.firstrow))),0,IF(OFFSET(PLE!$G$14,$M238,BG$13)="",10^12,OFFSET(PLE!$G$14,$M238,BG$13))))</f>
        <v>1000000000000</v>
      </c>
    </row>
    <row r="239" spans="1:59" ht="38.25" x14ac:dyDescent="0.2">
      <c r="A239" s="7" t="str">
        <f ca="1">IF(AUTOEVENTO="Manual",IF(K239&lt;&gt;"",MIN(VALUE(LEFT(K239,FIND(".",K239)-1)),COUNTA(EVENTOS.Lista)),0),IF(OR($B239&gt;AUTOEVENTO,$B239="S",$B239=0),SUBSTITUTE(OFFSET($A239,-1,0),IF($D239="Serviço",".",""),""),ROW(A239)-ROW($A$15)&amp;"."))</f>
        <v>191</v>
      </c>
      <c r="B239" s="7" t="str">
        <f ca="1">OFFSET(ORÇAMENTO!C$15,ROW(B239)-ROW(B$15),0)</f>
        <v>S</v>
      </c>
      <c r="C239" s="7" t="str">
        <f ca="1">OFFSET(ORÇAMENTO!L$15,ROW(C239)-ROW(C$15),0)</f>
        <v/>
      </c>
      <c r="D239" s="118" t="str">
        <f ca="1">OFFSET(ORÇAMENTO!N$15,ROW(D239)-ROW(D$15),0)</f>
        <v>Serviço</v>
      </c>
      <c r="E239" s="119" t="str">
        <f ca="1">OFFSET(ORÇAMENTO!O$15,ROW(E239)-ROW(E$15),0)</f>
        <v>-</v>
      </c>
      <c r="F239" s="172" t="str">
        <f ca="1">OFFSET(ORÇAMENTO!R$15,ROW(F239)-ROW(F$15),0)</f>
        <v>(abra o arquivo 'Referência 02-2025.xlsm)</v>
      </c>
      <c r="G239" s="173" t="str">
        <f ca="1">IF($D239&lt;&gt;"Serviço","",OFFSET(ORÇAMENTO!S$15,ROW(G239)-ROW(G$15),0))</f>
        <v>-</v>
      </c>
      <c r="H239" s="124">
        <f ca="1">IF($D239&lt;&gt;"Serviço",0,IF(ACOMPANHAMENTO="BM",ROUND(OFFSET(ORÇAMENTO!AJ$15,ROW(H239)-ROW(H$15),0),15-13*ORÇAMENTO!$AF$7),SUMPRODUCT(($Q$12:$AA$12&lt;&gt;"")*ROUND($Q239:$AA239,15-13*ORÇAMENTO!$AF$7))))</f>
        <v>431.61</v>
      </c>
      <c r="I239" s="561"/>
      <c r="K239" s="174"/>
      <c r="L239" s="175" t="s">
        <v>255</v>
      </c>
      <c r="M239" s="176">
        <f ca="1">IF($D239&lt;&gt;"Serviço","",IF(AUTOEVENTO="manual",$A239,IF(ISERROR(MATCH($A239,$A$15:OFFSET($A239,-1,0),0)),MAX($M$15:OFFSET(M239,-1,0))+1,INDEX($M$15:OFFSET(M239,-1,0),MATCH($A239,$A$15:OFFSET($A239,-1,0),0)))))</f>
        <v>11</v>
      </c>
      <c r="N239" s="177" t="str">
        <f ca="1">IF($D239&lt;&gt;"Serviço","",IF(AUTOEVENTO="Manual",IF($A239=0,"&lt;-- defina o número do agrupador",OFFSET(EVENTOS!$D$14,$A239,0)),OFFSET($F$15,$A239,0)))</f>
        <v>SISTEMAS DE PISOS</v>
      </c>
      <c r="O239" s="178"/>
      <c r="Q239" s="178"/>
      <c r="R239" s="179"/>
      <c r="S239" s="179"/>
      <c r="T239" s="179"/>
      <c r="U239" s="179"/>
      <c r="V239" s="179"/>
      <c r="W239" s="179"/>
      <c r="X239" s="179"/>
      <c r="Y239" s="179"/>
      <c r="Z239" s="180"/>
      <c r="AB239" s="544">
        <f ca="1">IF(AND($D239="Serviço",AB$12&lt;&gt;0,$H239&gt;0,OR(AUTOEVENTO&lt;&gt;"manual",$M239&lt;&gt;1)),
IF(Import.TipoArredondamento&lt;&gt;"TransfereGOV",
ROUND(OFFSET($P239,0,AB$13),15-13*ORÇAMENTO!$AF$7)/$H239*OFFSET(ORÇAMENTO!$X$15,ROW(AB239)-ROW(AB$15),0),
ROUND(ROUND(OFFSET($P239,0,AB$13),15-13*ORÇAMENTO!$AF$7)*OFFSET(ORÇAMENTO!$W$15,ROW(AB239)-ROW(AB$15),0),15-13*ORÇAMENTO!$AF$11)),0)</f>
        <v>0</v>
      </c>
      <c r="AC239" s="545">
        <f ca="1">IF(AND($D239="Serviço",AC$12&lt;&gt;0,$H239&gt;0,OR(AUTOEVENTO&lt;&gt;"manual",$M239&lt;&gt;1)),
IF(Import.TipoArredondamento&lt;&gt;"TransfereGOV",
ROUND(OFFSET($P239,0,AC$13),15-13*ORÇAMENTO!$AF$7)/$H239*OFFSET(ORÇAMENTO!$X$15,ROW(AC239)-ROW(AC$15),0),
ROUND(ROUND(OFFSET($P239,0,AC$13),15-13*ORÇAMENTO!$AF$7)*OFFSET(ORÇAMENTO!$W$15,ROW(AC239)-ROW(AC$15),0),15-13*ORÇAMENTO!$AF$11)),0)</f>
        <v>0</v>
      </c>
      <c r="AD239" s="545">
        <f ca="1">IF(AND($D239="Serviço",AD$12&lt;&gt;0,$H239&gt;0,OR(AUTOEVENTO&lt;&gt;"manual",$M239&lt;&gt;1)),
IF(Import.TipoArredondamento&lt;&gt;"TransfereGOV",
ROUND(OFFSET($P239,0,AD$13),15-13*ORÇAMENTO!$AF$7)/$H239*OFFSET(ORÇAMENTO!$X$15,ROW(AD239)-ROW(AD$15),0),
ROUND(ROUND(OFFSET($P239,0,AD$13),15-13*ORÇAMENTO!$AF$7)*OFFSET(ORÇAMENTO!$W$15,ROW(AD239)-ROW(AD$15),0),15-13*ORÇAMENTO!$AF$11)),0)</f>
        <v>0</v>
      </c>
      <c r="AE239" s="545">
        <f ca="1">IF(AND($D239="Serviço",AE$12&lt;&gt;0,$H239&gt;0,OR(AUTOEVENTO&lt;&gt;"manual",$M239&lt;&gt;1)),
IF(Import.TipoArredondamento&lt;&gt;"TransfereGOV",
ROUND(OFFSET($P239,0,AE$13),15-13*ORÇAMENTO!$AF$7)/$H239*OFFSET(ORÇAMENTO!$X$15,ROW(AE239)-ROW(AE$15),0),
ROUND(ROUND(OFFSET($P239,0,AE$13),15-13*ORÇAMENTO!$AF$7)*OFFSET(ORÇAMENTO!$W$15,ROW(AE239)-ROW(AE$15),0),15-13*ORÇAMENTO!$AF$11)),0)</f>
        <v>0</v>
      </c>
      <c r="AF239" s="545">
        <f ca="1">IF(AND($D239="Serviço",AF$12&lt;&gt;0,$H239&gt;0,OR(AUTOEVENTO&lt;&gt;"manual",$M239&lt;&gt;1)),
IF(Import.TipoArredondamento&lt;&gt;"TransfereGOV",
ROUND(OFFSET($P239,0,AF$13),15-13*ORÇAMENTO!$AF$7)/$H239*OFFSET(ORÇAMENTO!$X$15,ROW(AF239)-ROW(AF$15),0),
ROUND(ROUND(OFFSET($P239,0,AF$13),15-13*ORÇAMENTO!$AF$7)*OFFSET(ORÇAMENTO!$W$15,ROW(AF239)-ROW(AF$15),0),15-13*ORÇAMENTO!$AF$11)),0)</f>
        <v>0</v>
      </c>
      <c r="AG239" s="545">
        <f ca="1">IF(AND($D239="Serviço",AG$12&lt;&gt;0,$H239&gt;0,OR(AUTOEVENTO&lt;&gt;"manual",$M239&lt;&gt;1)),
IF(Import.TipoArredondamento&lt;&gt;"TransfereGOV",
ROUND(OFFSET($P239,0,AG$13),15-13*ORÇAMENTO!$AF$7)/$H239*OFFSET(ORÇAMENTO!$X$15,ROW(AG239)-ROW(AG$15),0),
ROUND(ROUND(OFFSET($P239,0,AG$13),15-13*ORÇAMENTO!$AF$7)*OFFSET(ORÇAMENTO!$W$15,ROW(AG239)-ROW(AG$15),0),15-13*ORÇAMENTO!$AF$11)),0)</f>
        <v>0</v>
      </c>
      <c r="AH239" s="545">
        <f ca="1">IF(AND($D239="Serviço",AH$12&lt;&gt;0,$H239&gt;0,OR(AUTOEVENTO&lt;&gt;"manual",$M239&lt;&gt;1)),
IF(Import.TipoArredondamento&lt;&gt;"TransfereGOV",
ROUND(OFFSET($P239,0,AH$13),15-13*ORÇAMENTO!$AF$7)/$H239*OFFSET(ORÇAMENTO!$X$15,ROW(AH239)-ROW(AH$15),0),
ROUND(ROUND(OFFSET($P239,0,AH$13),15-13*ORÇAMENTO!$AF$7)*OFFSET(ORÇAMENTO!$W$15,ROW(AH239)-ROW(AH$15),0),15-13*ORÇAMENTO!$AF$11)),0)</f>
        <v>0</v>
      </c>
      <c r="AI239" s="545">
        <f ca="1">IF(AND($D239="Serviço",AI$12&lt;&gt;0,$H239&gt;0,OR(AUTOEVENTO&lt;&gt;"manual",$M239&lt;&gt;1)),
IF(Import.TipoArredondamento&lt;&gt;"TransfereGOV",
ROUND(OFFSET($P239,0,AI$13),15-13*ORÇAMENTO!$AF$7)/$H239*OFFSET(ORÇAMENTO!$X$15,ROW(AI239)-ROW(AI$15),0),
ROUND(ROUND(OFFSET($P239,0,AI$13),15-13*ORÇAMENTO!$AF$7)*OFFSET(ORÇAMENTO!$W$15,ROW(AI239)-ROW(AI$15),0),15-13*ORÇAMENTO!$AF$11)),0)</f>
        <v>0</v>
      </c>
      <c r="AJ239" s="545">
        <f ca="1">IF(AND($D239="Serviço",AJ$12&lt;&gt;0,$H239&gt;0,OR(AUTOEVENTO&lt;&gt;"manual",$M239&lt;&gt;1)),
IF(Import.TipoArredondamento&lt;&gt;"TransfereGOV",
ROUND(OFFSET($P239,0,AJ$13),15-13*ORÇAMENTO!$AF$7)/$H239*OFFSET(ORÇAMENTO!$X$15,ROW(AJ239)-ROW(AJ$15),0),
ROUND(ROUND(OFFSET($P239,0,AJ$13),15-13*ORÇAMENTO!$AF$7)*OFFSET(ORÇAMENTO!$W$15,ROW(AJ239)-ROW(AJ$15),0),15-13*ORÇAMENTO!$AF$11)),0)</f>
        <v>0</v>
      </c>
      <c r="AK239" s="546">
        <f ca="1">IF(AND($D239="Serviço",AK$12&lt;&gt;0,$H239&gt;0,OR(AUTOEVENTO&lt;&gt;"manual",$M239&lt;&gt;1)),
IF(Import.TipoArredondamento&lt;&gt;"TransfereGOV",
ROUND(OFFSET($P239,0,AK$13),15-13*ORÇAMENTO!$AF$7)/$H239*OFFSET(ORÇAMENTO!$X$15,ROW(AK239)-ROW(AK$15),0),
ROUND(ROUND(OFFSET($P239,0,AK$13),15-13*ORÇAMENTO!$AF$7)*OFFSET(ORÇAMENTO!$W$15,ROW(AK239)-ROW(AK$15),0),15-13*ORÇAMENTO!$AF$11)),0)</f>
        <v>0</v>
      </c>
      <c r="AM239" s="181">
        <f ca="1">IF($D239&lt;&gt;"Serviço",0,IF(AND(AUTOEVENTO="Manual",$M239=1),0,IF(OFFSET(CRONOPLE!$F$14,$M239,AM$13)="",10^12,OFFSET(CRONOPLE!$F$14,$M239,AM$13))))</f>
        <v>1000000000000</v>
      </c>
      <c r="AN239" s="181">
        <f ca="1">IF($D239&lt;&gt;"Serviço",0,IF(AND(AUTOEVENTO="Manual",$M239=1),0,IF(OFFSET(CRONOPLE!$F$14,$M239,AN$13)="",10^12,OFFSET(CRONOPLE!$F$14,$M239,AN$13))))</f>
        <v>1000000000000</v>
      </c>
      <c r="AO239" s="181">
        <f ca="1">IF($D239&lt;&gt;"Serviço",0,IF(AND(AUTOEVENTO="Manual",$M239=1),0,IF(OFFSET(CRONOPLE!$F$14,$M239,AO$13)="",10^12,OFFSET(CRONOPLE!$F$14,$M239,AO$13))))</f>
        <v>1000000000000</v>
      </c>
      <c r="AP239" s="181">
        <f ca="1">IF($D239&lt;&gt;"Serviço",0,IF(AND(AUTOEVENTO="Manual",$M239=1),0,IF(OFFSET(CRONOPLE!$F$14,$M239,AP$13)="",10^12,OFFSET(CRONOPLE!$F$14,$M239,AP$13))))</f>
        <v>1000000000000</v>
      </c>
      <c r="AQ239" s="181">
        <f ca="1">IF($D239&lt;&gt;"Serviço",0,IF(AND(AUTOEVENTO="Manual",$M239=1),0,IF(OFFSET(CRONOPLE!$F$14,$M239,AQ$13)="",10^12,OFFSET(CRONOPLE!$F$14,$M239,AQ$13))))</f>
        <v>1000000000000</v>
      </c>
      <c r="AR239" s="181">
        <f ca="1">IF($D239&lt;&gt;"Serviço",0,IF(AND(AUTOEVENTO="Manual",$M239=1),0,IF(OFFSET(CRONOPLE!$F$14,$M239,AR$13)="",10^12,OFFSET(CRONOPLE!$F$14,$M239,AR$13))))</f>
        <v>1000000000000</v>
      </c>
      <c r="AS239" s="181">
        <f ca="1">IF($D239&lt;&gt;"Serviço",0,IF(AND(AUTOEVENTO="Manual",$M239=1),0,IF(OFFSET(CRONOPLE!$F$14,$M239,AS$13)="",10^12,OFFSET(CRONOPLE!$F$14,$M239,AS$13))))</f>
        <v>1000000000000</v>
      </c>
      <c r="AT239" s="181">
        <f ca="1">IF($D239&lt;&gt;"Serviço",0,IF(AND(AUTOEVENTO="Manual",$M239=1),0,IF(OFFSET(CRONOPLE!$F$14,$M239,AT$13)="",10^12,OFFSET(CRONOPLE!$F$14,$M239,AT$13))))</f>
        <v>1000000000000</v>
      </c>
      <c r="AU239" s="181">
        <f ca="1">IF($D239&lt;&gt;"Serviço",0,IF(AND(AUTOEVENTO="Manual",$M239=1),0,IF(OFFSET(CRONOPLE!$F$14,$M239,AU$13)="",10^12,OFFSET(CRONOPLE!$F$14,$M239,AU$13))))</f>
        <v>1000000000000</v>
      </c>
      <c r="AV239" s="181">
        <f ca="1">IF($D239&lt;&gt;"Serviço",0,IF(AND(AUTOEVENTO="Manual",$M239=1),0,IF(OFFSET(CRONOPLE!$F$14,$M239,AV$13)="",10^12,OFFSET(CRONOPLE!$F$14,$M239,AV$13))))</f>
        <v>1000000000000</v>
      </c>
      <c r="AX239" s="182">
        <f ca="1">IF($D239&lt;&gt;"Serviço",0,IF(OR(AND(AUTOEVENTO="Manual",$M239=1),$M239&gt;(ROW(PLE.lastrow)-ROW(PLE.firstrow))),0,IF(OFFSET(PLE!$G$14,$M239,AX$13)="",10^12,OFFSET(PLE!$G$14,$M239,AX$13))))</f>
        <v>1000000000000</v>
      </c>
      <c r="AY239" s="182">
        <f ca="1">IF($D239&lt;&gt;"Serviço",0,IF(OR(AND(AUTOEVENTO="Manual",$M239=1),$M239&gt;(ROW(PLE.lastrow)-ROW(PLE.firstrow))),0,IF(OFFSET(PLE!$G$14,$M239,AY$13)="",10^12,OFFSET(PLE!$G$14,$M239,AY$13))))</f>
        <v>1000000000000</v>
      </c>
      <c r="AZ239" s="182">
        <f ca="1">IF($D239&lt;&gt;"Serviço",0,IF(OR(AND(AUTOEVENTO="Manual",$M239=1),$M239&gt;(ROW(PLE.lastrow)-ROW(PLE.firstrow))),0,IF(OFFSET(PLE!$G$14,$M239,AZ$13)="",10^12,OFFSET(PLE!$G$14,$M239,AZ$13))))</f>
        <v>1000000000000</v>
      </c>
      <c r="BA239" s="182">
        <f ca="1">IF($D239&lt;&gt;"Serviço",0,IF(OR(AND(AUTOEVENTO="Manual",$M239=1),$M239&gt;(ROW(PLE.lastrow)-ROW(PLE.firstrow))),0,IF(OFFSET(PLE!$G$14,$M239,BA$13)="",10^12,OFFSET(PLE!$G$14,$M239,BA$13))))</f>
        <v>1000000000000</v>
      </c>
      <c r="BB239" s="182">
        <f ca="1">IF($D239&lt;&gt;"Serviço",0,IF(OR(AND(AUTOEVENTO="Manual",$M239=1),$M239&gt;(ROW(PLE.lastrow)-ROW(PLE.firstrow))),0,IF(OFFSET(PLE!$G$14,$M239,BB$13)="",10^12,OFFSET(PLE!$G$14,$M239,BB$13))))</f>
        <v>1000000000000</v>
      </c>
      <c r="BC239" s="182">
        <f ca="1">IF($D239&lt;&gt;"Serviço",0,IF(OR(AND(AUTOEVENTO="Manual",$M239=1),$M239&gt;(ROW(PLE.lastrow)-ROW(PLE.firstrow))),0,IF(OFFSET(PLE!$G$14,$M239,BC$13)="",10^12,OFFSET(PLE!$G$14,$M239,BC$13))))</f>
        <v>1000000000000</v>
      </c>
      <c r="BD239" s="182">
        <f ca="1">IF($D239&lt;&gt;"Serviço",0,IF(OR(AND(AUTOEVENTO="Manual",$M239=1),$M239&gt;(ROW(PLE.lastrow)-ROW(PLE.firstrow))),0,IF(OFFSET(PLE!$G$14,$M239,BD$13)="",10^12,OFFSET(PLE!$G$14,$M239,BD$13))))</f>
        <v>1000000000000</v>
      </c>
      <c r="BE239" s="182">
        <f ca="1">IF($D239&lt;&gt;"Serviço",0,IF(OR(AND(AUTOEVENTO="Manual",$M239=1),$M239&gt;(ROW(PLE.lastrow)-ROW(PLE.firstrow))),0,IF(OFFSET(PLE!$G$14,$M239,BE$13)="",10^12,OFFSET(PLE!$G$14,$M239,BE$13))))</f>
        <v>1000000000000</v>
      </c>
      <c r="BF239" s="182">
        <f ca="1">IF($D239&lt;&gt;"Serviço",0,IF(OR(AND(AUTOEVENTO="Manual",$M239=1),$M239&gt;(ROW(PLE.lastrow)-ROW(PLE.firstrow))),0,IF(OFFSET(PLE!$G$14,$M239,BF$13)="",10^12,OFFSET(PLE!$G$14,$M239,BF$13))))</f>
        <v>1000000000000</v>
      </c>
      <c r="BG239" s="182">
        <f ca="1">IF($D239&lt;&gt;"Serviço",0,IF(OR(AND(AUTOEVENTO="Manual",$M239=1),$M239&gt;(ROW(PLE.lastrow)-ROW(PLE.firstrow))),0,IF(OFFSET(PLE!$G$14,$M239,BG$13)="",10^12,OFFSET(PLE!$G$14,$M239,BG$13))))</f>
        <v>1000000000000</v>
      </c>
    </row>
    <row r="240" spans="1:59" ht="12.75" x14ac:dyDescent="0.2">
      <c r="A240" s="7" t="str">
        <f t="shared" ca="1" si="11"/>
        <v>225.</v>
      </c>
      <c r="B240" s="7">
        <f ca="1">OFFSET(ORÇAMENTO!C$15,ROW(B240)-ROW(B$15),0)</f>
        <v>2</v>
      </c>
      <c r="C240" s="7" t="str">
        <f ca="1">OFFSET(ORÇAMENTO!L$15,ROW(C240)-ROW(C$15),0)</f>
        <v>F</v>
      </c>
      <c r="D240" s="118" t="str">
        <f ca="1">OFFSET(ORÇAMENTO!N$15,ROW(D240)-ROW(D$15),0)</f>
        <v>Nível 2</v>
      </c>
      <c r="E240" s="119" t="str">
        <f ca="1">OFFSET(ORÇAMENTO!O$15,ROW(E240)-ROW(E$15),0)</f>
        <v>1.11.</v>
      </c>
      <c r="F240" s="172" t="str">
        <f ca="1">OFFSET(ORÇAMENTO!R$15,ROW(F240)-ROW(F$15),0)</f>
        <v>PINTURAS E ACABAMENTOS</v>
      </c>
      <c r="G240" s="173" t="str">
        <f ca="1">IF($D240&lt;&gt;"Serviço","",OFFSET(ORÇAMENTO!S$15,ROW(G240)-ROW(G$15),0))</f>
        <v/>
      </c>
      <c r="H240" s="124">
        <f ca="1">IF($D240&lt;&gt;"Serviço",0,IF(ACOMPANHAMENTO="BM",ROUND(OFFSET(ORÇAMENTO!AJ$15,ROW(H240)-ROW(H$15),0),15-13*ORÇAMENTO!$AF$7),SUMPRODUCT(($Q$12:$AA$12&lt;&gt;"")*ROUND($Q240:$AA240,15-13*ORÇAMENTO!$AF$7))))</f>
        <v>0</v>
      </c>
      <c r="I240" s="561"/>
      <c r="K240" s="174"/>
      <c r="L240" s="175" t="s">
        <v>255</v>
      </c>
      <c r="M240" s="176" t="str">
        <f ca="1">IF($D240&lt;&gt;"Serviço","",IF(AUTOEVENTO="manual",$A240,IF(ISERROR(MATCH($A240,$A$15:OFFSET($A240,-1,0),0)),MAX($M$15:OFFSET(M240,-1,0))+1,INDEX($M$15:OFFSET(M240,-1,0),MATCH($A240,$A$15:OFFSET($A240,-1,0),0)))))</f>
        <v/>
      </c>
      <c r="N240" s="177" t="str">
        <f ca="1">IF($D240&lt;&gt;"Serviço","",IF(AUTOEVENTO="Manual",IF($A240=0,"&lt;-- defina o número do agrupador",OFFSET(EVENTOS!$D$14,$A240,0)),OFFSET($F$15,$A240,0)))</f>
        <v/>
      </c>
      <c r="O240" s="178"/>
      <c r="Q240" s="178"/>
      <c r="R240" s="179"/>
      <c r="S240" s="179"/>
      <c r="T240" s="179"/>
      <c r="U240" s="179"/>
      <c r="V240" s="179"/>
      <c r="W240" s="179"/>
      <c r="X240" s="179"/>
      <c r="Y240" s="179"/>
      <c r="Z240" s="180"/>
      <c r="AB240" s="544">
        <f ca="1">IF(AND($D240="Serviço",AB$12&lt;&gt;0,$H240&gt;0,OR(AUTOEVENTO&lt;&gt;"manual",$M240&lt;&gt;1)),
IF(Import.TipoArredondamento&lt;&gt;"TransfereGOV",
ROUND(OFFSET($P240,0,AB$13),15-13*ORÇAMENTO!$AF$7)/$H240*OFFSET(ORÇAMENTO!$X$15,ROW(AB240)-ROW(AB$15),0),
ROUND(ROUND(OFFSET($P240,0,AB$13),15-13*ORÇAMENTO!$AF$7)*OFFSET(ORÇAMENTO!$W$15,ROW(AB240)-ROW(AB$15),0),15-13*ORÇAMENTO!$AF$11)),0)</f>
        <v>0</v>
      </c>
      <c r="AC240" s="545">
        <f ca="1">IF(AND($D240="Serviço",AC$12&lt;&gt;0,$H240&gt;0,OR(AUTOEVENTO&lt;&gt;"manual",$M240&lt;&gt;1)),
IF(Import.TipoArredondamento&lt;&gt;"TransfereGOV",
ROUND(OFFSET($P240,0,AC$13),15-13*ORÇAMENTO!$AF$7)/$H240*OFFSET(ORÇAMENTO!$X$15,ROW(AC240)-ROW(AC$15),0),
ROUND(ROUND(OFFSET($P240,0,AC$13),15-13*ORÇAMENTO!$AF$7)*OFFSET(ORÇAMENTO!$W$15,ROW(AC240)-ROW(AC$15),0),15-13*ORÇAMENTO!$AF$11)),0)</f>
        <v>0</v>
      </c>
      <c r="AD240" s="545">
        <f ca="1">IF(AND($D240="Serviço",AD$12&lt;&gt;0,$H240&gt;0,OR(AUTOEVENTO&lt;&gt;"manual",$M240&lt;&gt;1)),
IF(Import.TipoArredondamento&lt;&gt;"TransfereGOV",
ROUND(OFFSET($P240,0,AD$13),15-13*ORÇAMENTO!$AF$7)/$H240*OFFSET(ORÇAMENTO!$X$15,ROW(AD240)-ROW(AD$15),0),
ROUND(ROUND(OFFSET($P240,0,AD$13),15-13*ORÇAMENTO!$AF$7)*OFFSET(ORÇAMENTO!$W$15,ROW(AD240)-ROW(AD$15),0),15-13*ORÇAMENTO!$AF$11)),0)</f>
        <v>0</v>
      </c>
      <c r="AE240" s="545">
        <f ca="1">IF(AND($D240="Serviço",AE$12&lt;&gt;0,$H240&gt;0,OR(AUTOEVENTO&lt;&gt;"manual",$M240&lt;&gt;1)),
IF(Import.TipoArredondamento&lt;&gt;"TransfereGOV",
ROUND(OFFSET($P240,0,AE$13),15-13*ORÇAMENTO!$AF$7)/$H240*OFFSET(ORÇAMENTO!$X$15,ROW(AE240)-ROW(AE$15),0),
ROUND(ROUND(OFFSET($P240,0,AE$13),15-13*ORÇAMENTO!$AF$7)*OFFSET(ORÇAMENTO!$W$15,ROW(AE240)-ROW(AE$15),0),15-13*ORÇAMENTO!$AF$11)),0)</f>
        <v>0</v>
      </c>
      <c r="AF240" s="545">
        <f ca="1">IF(AND($D240="Serviço",AF$12&lt;&gt;0,$H240&gt;0,OR(AUTOEVENTO&lt;&gt;"manual",$M240&lt;&gt;1)),
IF(Import.TipoArredondamento&lt;&gt;"TransfereGOV",
ROUND(OFFSET($P240,0,AF$13),15-13*ORÇAMENTO!$AF$7)/$H240*OFFSET(ORÇAMENTO!$X$15,ROW(AF240)-ROW(AF$15),0),
ROUND(ROUND(OFFSET($P240,0,AF$13),15-13*ORÇAMENTO!$AF$7)*OFFSET(ORÇAMENTO!$W$15,ROW(AF240)-ROW(AF$15),0),15-13*ORÇAMENTO!$AF$11)),0)</f>
        <v>0</v>
      </c>
      <c r="AG240" s="545">
        <f ca="1">IF(AND($D240="Serviço",AG$12&lt;&gt;0,$H240&gt;0,OR(AUTOEVENTO&lt;&gt;"manual",$M240&lt;&gt;1)),
IF(Import.TipoArredondamento&lt;&gt;"TransfereGOV",
ROUND(OFFSET($P240,0,AG$13),15-13*ORÇAMENTO!$AF$7)/$H240*OFFSET(ORÇAMENTO!$X$15,ROW(AG240)-ROW(AG$15),0),
ROUND(ROUND(OFFSET($P240,0,AG$13),15-13*ORÇAMENTO!$AF$7)*OFFSET(ORÇAMENTO!$W$15,ROW(AG240)-ROW(AG$15),0),15-13*ORÇAMENTO!$AF$11)),0)</f>
        <v>0</v>
      </c>
      <c r="AH240" s="545">
        <f ca="1">IF(AND($D240="Serviço",AH$12&lt;&gt;0,$H240&gt;0,OR(AUTOEVENTO&lt;&gt;"manual",$M240&lt;&gt;1)),
IF(Import.TipoArredondamento&lt;&gt;"TransfereGOV",
ROUND(OFFSET($P240,0,AH$13),15-13*ORÇAMENTO!$AF$7)/$H240*OFFSET(ORÇAMENTO!$X$15,ROW(AH240)-ROW(AH$15),0),
ROUND(ROUND(OFFSET($P240,0,AH$13),15-13*ORÇAMENTO!$AF$7)*OFFSET(ORÇAMENTO!$W$15,ROW(AH240)-ROW(AH$15),0),15-13*ORÇAMENTO!$AF$11)),0)</f>
        <v>0</v>
      </c>
      <c r="AI240" s="545">
        <f ca="1">IF(AND($D240="Serviço",AI$12&lt;&gt;0,$H240&gt;0,OR(AUTOEVENTO&lt;&gt;"manual",$M240&lt;&gt;1)),
IF(Import.TipoArredondamento&lt;&gt;"TransfereGOV",
ROUND(OFFSET($P240,0,AI$13),15-13*ORÇAMENTO!$AF$7)/$H240*OFFSET(ORÇAMENTO!$X$15,ROW(AI240)-ROW(AI$15),0),
ROUND(ROUND(OFFSET($P240,0,AI$13),15-13*ORÇAMENTO!$AF$7)*OFFSET(ORÇAMENTO!$W$15,ROW(AI240)-ROW(AI$15),0),15-13*ORÇAMENTO!$AF$11)),0)</f>
        <v>0</v>
      </c>
      <c r="AJ240" s="545">
        <f ca="1">IF(AND($D240="Serviço",AJ$12&lt;&gt;0,$H240&gt;0,OR(AUTOEVENTO&lt;&gt;"manual",$M240&lt;&gt;1)),
IF(Import.TipoArredondamento&lt;&gt;"TransfereGOV",
ROUND(OFFSET($P240,0,AJ$13),15-13*ORÇAMENTO!$AF$7)/$H240*OFFSET(ORÇAMENTO!$X$15,ROW(AJ240)-ROW(AJ$15),0),
ROUND(ROUND(OFFSET($P240,0,AJ$13),15-13*ORÇAMENTO!$AF$7)*OFFSET(ORÇAMENTO!$W$15,ROW(AJ240)-ROW(AJ$15),0),15-13*ORÇAMENTO!$AF$11)),0)</f>
        <v>0</v>
      </c>
      <c r="AK240" s="546">
        <f ca="1">IF(AND($D240="Serviço",AK$12&lt;&gt;0,$H240&gt;0,OR(AUTOEVENTO&lt;&gt;"manual",$M240&lt;&gt;1)),
IF(Import.TipoArredondamento&lt;&gt;"TransfereGOV",
ROUND(OFFSET($P240,0,AK$13),15-13*ORÇAMENTO!$AF$7)/$H240*OFFSET(ORÇAMENTO!$X$15,ROW(AK240)-ROW(AK$15),0),
ROUND(ROUND(OFFSET($P240,0,AK$13),15-13*ORÇAMENTO!$AF$7)*OFFSET(ORÇAMENTO!$W$15,ROW(AK240)-ROW(AK$15),0),15-13*ORÇAMENTO!$AF$11)),0)</f>
        <v>0</v>
      </c>
      <c r="AM240" s="181">
        <f ca="1">IF($D240&lt;&gt;"Serviço",0,IF(AND(AUTOEVENTO="Manual",$M240=1),0,IF(OFFSET(CRONOPLE!$F$14,$M240,AM$13)="",10^12,OFFSET(CRONOPLE!$F$14,$M240,AM$13))))</f>
        <v>0</v>
      </c>
      <c r="AN240" s="181">
        <f ca="1">IF($D240&lt;&gt;"Serviço",0,IF(AND(AUTOEVENTO="Manual",$M240=1),0,IF(OFFSET(CRONOPLE!$F$14,$M240,AN$13)="",10^12,OFFSET(CRONOPLE!$F$14,$M240,AN$13))))</f>
        <v>0</v>
      </c>
      <c r="AO240" s="181">
        <f ca="1">IF($D240&lt;&gt;"Serviço",0,IF(AND(AUTOEVENTO="Manual",$M240=1),0,IF(OFFSET(CRONOPLE!$F$14,$M240,AO$13)="",10^12,OFFSET(CRONOPLE!$F$14,$M240,AO$13))))</f>
        <v>0</v>
      </c>
      <c r="AP240" s="181">
        <f ca="1">IF($D240&lt;&gt;"Serviço",0,IF(AND(AUTOEVENTO="Manual",$M240=1),0,IF(OFFSET(CRONOPLE!$F$14,$M240,AP$13)="",10^12,OFFSET(CRONOPLE!$F$14,$M240,AP$13))))</f>
        <v>0</v>
      </c>
      <c r="AQ240" s="181">
        <f ca="1">IF($D240&lt;&gt;"Serviço",0,IF(AND(AUTOEVENTO="Manual",$M240=1),0,IF(OFFSET(CRONOPLE!$F$14,$M240,AQ$13)="",10^12,OFFSET(CRONOPLE!$F$14,$M240,AQ$13))))</f>
        <v>0</v>
      </c>
      <c r="AR240" s="181">
        <f ca="1">IF($D240&lt;&gt;"Serviço",0,IF(AND(AUTOEVENTO="Manual",$M240=1),0,IF(OFFSET(CRONOPLE!$F$14,$M240,AR$13)="",10^12,OFFSET(CRONOPLE!$F$14,$M240,AR$13))))</f>
        <v>0</v>
      </c>
      <c r="AS240" s="181">
        <f ca="1">IF($D240&lt;&gt;"Serviço",0,IF(AND(AUTOEVENTO="Manual",$M240=1),0,IF(OFFSET(CRONOPLE!$F$14,$M240,AS$13)="",10^12,OFFSET(CRONOPLE!$F$14,$M240,AS$13))))</f>
        <v>0</v>
      </c>
      <c r="AT240" s="181">
        <f ca="1">IF($D240&lt;&gt;"Serviço",0,IF(AND(AUTOEVENTO="Manual",$M240=1),0,IF(OFFSET(CRONOPLE!$F$14,$M240,AT$13)="",10^12,OFFSET(CRONOPLE!$F$14,$M240,AT$13))))</f>
        <v>0</v>
      </c>
      <c r="AU240" s="181">
        <f ca="1">IF($D240&lt;&gt;"Serviço",0,IF(AND(AUTOEVENTO="Manual",$M240=1),0,IF(OFFSET(CRONOPLE!$F$14,$M240,AU$13)="",10^12,OFFSET(CRONOPLE!$F$14,$M240,AU$13))))</f>
        <v>0</v>
      </c>
      <c r="AV240" s="181">
        <f ca="1">IF($D240&lt;&gt;"Serviço",0,IF(AND(AUTOEVENTO="Manual",$M240=1),0,IF(OFFSET(CRONOPLE!$F$14,$M240,AV$13)="",10^12,OFFSET(CRONOPLE!$F$14,$M240,AV$13))))</f>
        <v>0</v>
      </c>
      <c r="AX240" s="182">
        <f ca="1">IF($D240&lt;&gt;"Serviço",0,IF(OR(AND(AUTOEVENTO="Manual",$M240=1),$M240&gt;(ROW(PLE.lastrow)-ROW(PLE.firstrow))),0,IF(OFFSET(PLE!$G$14,$M240,AX$13)="",10^12,OFFSET(PLE!$G$14,$M240,AX$13))))</f>
        <v>0</v>
      </c>
      <c r="AY240" s="182">
        <f ca="1">IF($D240&lt;&gt;"Serviço",0,IF(OR(AND(AUTOEVENTO="Manual",$M240=1),$M240&gt;(ROW(PLE.lastrow)-ROW(PLE.firstrow))),0,IF(OFFSET(PLE!$G$14,$M240,AY$13)="",10^12,OFFSET(PLE!$G$14,$M240,AY$13))))</f>
        <v>0</v>
      </c>
      <c r="AZ240" s="182">
        <f ca="1">IF($D240&lt;&gt;"Serviço",0,IF(OR(AND(AUTOEVENTO="Manual",$M240=1),$M240&gt;(ROW(PLE.lastrow)-ROW(PLE.firstrow))),0,IF(OFFSET(PLE!$G$14,$M240,AZ$13)="",10^12,OFFSET(PLE!$G$14,$M240,AZ$13))))</f>
        <v>0</v>
      </c>
      <c r="BA240" s="182">
        <f ca="1">IF($D240&lt;&gt;"Serviço",0,IF(OR(AND(AUTOEVENTO="Manual",$M240=1),$M240&gt;(ROW(PLE.lastrow)-ROW(PLE.firstrow))),0,IF(OFFSET(PLE!$G$14,$M240,BA$13)="",10^12,OFFSET(PLE!$G$14,$M240,BA$13))))</f>
        <v>0</v>
      </c>
      <c r="BB240" s="182">
        <f ca="1">IF($D240&lt;&gt;"Serviço",0,IF(OR(AND(AUTOEVENTO="Manual",$M240=1),$M240&gt;(ROW(PLE.lastrow)-ROW(PLE.firstrow))),0,IF(OFFSET(PLE!$G$14,$M240,BB$13)="",10^12,OFFSET(PLE!$G$14,$M240,BB$13))))</f>
        <v>0</v>
      </c>
      <c r="BC240" s="182">
        <f ca="1">IF($D240&lt;&gt;"Serviço",0,IF(OR(AND(AUTOEVENTO="Manual",$M240=1),$M240&gt;(ROW(PLE.lastrow)-ROW(PLE.firstrow))),0,IF(OFFSET(PLE!$G$14,$M240,BC$13)="",10^12,OFFSET(PLE!$G$14,$M240,BC$13))))</f>
        <v>0</v>
      </c>
      <c r="BD240" s="182">
        <f ca="1">IF($D240&lt;&gt;"Serviço",0,IF(OR(AND(AUTOEVENTO="Manual",$M240=1),$M240&gt;(ROW(PLE.lastrow)-ROW(PLE.firstrow))),0,IF(OFFSET(PLE!$G$14,$M240,BD$13)="",10^12,OFFSET(PLE!$G$14,$M240,BD$13))))</f>
        <v>0</v>
      </c>
      <c r="BE240" s="182">
        <f ca="1">IF($D240&lt;&gt;"Serviço",0,IF(OR(AND(AUTOEVENTO="Manual",$M240=1),$M240&gt;(ROW(PLE.lastrow)-ROW(PLE.firstrow))),0,IF(OFFSET(PLE!$G$14,$M240,BE$13)="",10^12,OFFSET(PLE!$G$14,$M240,BE$13))))</f>
        <v>0</v>
      </c>
      <c r="BF240" s="182">
        <f ca="1">IF($D240&lt;&gt;"Serviço",0,IF(OR(AND(AUTOEVENTO="Manual",$M240=1),$M240&gt;(ROW(PLE.lastrow)-ROW(PLE.firstrow))),0,IF(OFFSET(PLE!$G$14,$M240,BF$13)="",10^12,OFFSET(PLE!$G$14,$M240,BF$13))))</f>
        <v>0</v>
      </c>
      <c r="BG240" s="182">
        <f ca="1">IF($D240&lt;&gt;"Serviço",0,IF(OR(AND(AUTOEVENTO="Manual",$M240=1),$M240&gt;(ROW(PLE.lastrow)-ROW(PLE.firstrow))),0,IF(OFFSET(PLE!$G$14,$M240,BG$13)="",10^12,OFFSET(PLE!$G$14,$M240,BG$13))))</f>
        <v>0</v>
      </c>
    </row>
    <row r="241" spans="1:59" ht="12.75" x14ac:dyDescent="0.2">
      <c r="A241" s="7" t="str">
        <f t="shared" ca="1" si="11"/>
        <v>225.</v>
      </c>
      <c r="B241" s="7">
        <f ca="1">OFFSET(ORÇAMENTO!C$15,ROW(B241)-ROW(B$15),0)</f>
        <v>3</v>
      </c>
      <c r="C241" s="7" t="str">
        <f ca="1">OFFSET(ORÇAMENTO!L$15,ROW(C241)-ROW(C$15),0)</f>
        <v>F</v>
      </c>
      <c r="D241" s="118" t="str">
        <f ca="1">OFFSET(ORÇAMENTO!N$15,ROW(D241)-ROW(D$15),0)</f>
        <v>Nível 3</v>
      </c>
      <c r="E241" s="119" t="str">
        <f ca="1">OFFSET(ORÇAMENTO!O$15,ROW(E241)-ROW(E$15),0)</f>
        <v>1.11.1.</v>
      </c>
      <c r="F241" s="172" t="str">
        <f ca="1">OFFSET(ORÇAMENTO!R$15,ROW(F241)-ROW(F$15),0)</f>
        <v>PINTURA PAREDES</v>
      </c>
      <c r="G241" s="173" t="str">
        <f ca="1">IF($D241&lt;&gt;"Serviço","",OFFSET(ORÇAMENTO!S$15,ROW(G241)-ROW(G$15),0))</f>
        <v/>
      </c>
      <c r="H241" s="124">
        <f ca="1">IF($D241&lt;&gt;"Serviço",0,IF(ACOMPANHAMENTO="BM",ROUND(OFFSET(ORÇAMENTO!AJ$15,ROW(H241)-ROW(H$15),0),15-13*ORÇAMENTO!$AF$7),SUMPRODUCT(($Q$12:$AA$12&lt;&gt;"")*ROUND($Q241:$AA241,15-13*ORÇAMENTO!$AF$7))))</f>
        <v>0</v>
      </c>
      <c r="I241" s="561"/>
      <c r="K241" s="174"/>
      <c r="L241" s="175" t="s">
        <v>255</v>
      </c>
      <c r="M241" s="176" t="str">
        <f ca="1">IF($D241&lt;&gt;"Serviço","",IF(AUTOEVENTO="manual",$A241,IF(ISERROR(MATCH($A241,$A$15:OFFSET($A241,-1,0),0)),MAX($M$15:OFFSET(M241,-1,0))+1,INDEX($M$15:OFFSET(M241,-1,0),MATCH($A241,$A$15:OFFSET($A241,-1,0),0)))))</f>
        <v/>
      </c>
      <c r="N241" s="177" t="str">
        <f ca="1">IF($D241&lt;&gt;"Serviço","",IF(AUTOEVENTO="Manual",IF($A241=0,"&lt;-- defina o número do agrupador",OFFSET(EVENTOS!$D$14,$A241,0)),OFFSET($F$15,$A241,0)))</f>
        <v/>
      </c>
      <c r="O241" s="178"/>
      <c r="Q241" s="178"/>
      <c r="R241" s="179"/>
      <c r="S241" s="179"/>
      <c r="T241" s="179"/>
      <c r="U241" s="179"/>
      <c r="V241" s="179"/>
      <c r="W241" s="179"/>
      <c r="X241" s="179"/>
      <c r="Y241" s="179"/>
      <c r="Z241" s="180"/>
      <c r="AB241" s="544">
        <f ca="1">IF(AND($D241="Serviço",AB$12&lt;&gt;0,$H241&gt;0,OR(AUTOEVENTO&lt;&gt;"manual",$M241&lt;&gt;1)),
IF(Import.TipoArredondamento&lt;&gt;"TransfereGOV",
ROUND(OFFSET($P241,0,AB$13),15-13*ORÇAMENTO!$AF$7)/$H241*OFFSET(ORÇAMENTO!$X$15,ROW(AB241)-ROW(AB$15),0),
ROUND(ROUND(OFFSET($P241,0,AB$13),15-13*ORÇAMENTO!$AF$7)*OFFSET(ORÇAMENTO!$W$15,ROW(AB241)-ROW(AB$15),0),15-13*ORÇAMENTO!$AF$11)),0)</f>
        <v>0</v>
      </c>
      <c r="AC241" s="545">
        <f ca="1">IF(AND($D241="Serviço",AC$12&lt;&gt;0,$H241&gt;0,OR(AUTOEVENTO&lt;&gt;"manual",$M241&lt;&gt;1)),
IF(Import.TipoArredondamento&lt;&gt;"TransfereGOV",
ROUND(OFFSET($P241,0,AC$13),15-13*ORÇAMENTO!$AF$7)/$H241*OFFSET(ORÇAMENTO!$X$15,ROW(AC241)-ROW(AC$15),0),
ROUND(ROUND(OFFSET($P241,0,AC$13),15-13*ORÇAMENTO!$AF$7)*OFFSET(ORÇAMENTO!$W$15,ROW(AC241)-ROW(AC$15),0),15-13*ORÇAMENTO!$AF$11)),0)</f>
        <v>0</v>
      </c>
      <c r="AD241" s="545">
        <f ca="1">IF(AND($D241="Serviço",AD$12&lt;&gt;0,$H241&gt;0,OR(AUTOEVENTO&lt;&gt;"manual",$M241&lt;&gt;1)),
IF(Import.TipoArredondamento&lt;&gt;"TransfereGOV",
ROUND(OFFSET($P241,0,AD$13),15-13*ORÇAMENTO!$AF$7)/$H241*OFFSET(ORÇAMENTO!$X$15,ROW(AD241)-ROW(AD$15),0),
ROUND(ROUND(OFFSET($P241,0,AD$13),15-13*ORÇAMENTO!$AF$7)*OFFSET(ORÇAMENTO!$W$15,ROW(AD241)-ROW(AD$15),0),15-13*ORÇAMENTO!$AF$11)),0)</f>
        <v>0</v>
      </c>
      <c r="AE241" s="545">
        <f ca="1">IF(AND($D241="Serviço",AE$12&lt;&gt;0,$H241&gt;0,OR(AUTOEVENTO&lt;&gt;"manual",$M241&lt;&gt;1)),
IF(Import.TipoArredondamento&lt;&gt;"TransfereGOV",
ROUND(OFFSET($P241,0,AE$13),15-13*ORÇAMENTO!$AF$7)/$H241*OFFSET(ORÇAMENTO!$X$15,ROW(AE241)-ROW(AE$15),0),
ROUND(ROUND(OFFSET($P241,0,AE$13),15-13*ORÇAMENTO!$AF$7)*OFFSET(ORÇAMENTO!$W$15,ROW(AE241)-ROW(AE$15),0),15-13*ORÇAMENTO!$AF$11)),0)</f>
        <v>0</v>
      </c>
      <c r="AF241" s="545">
        <f ca="1">IF(AND($D241="Serviço",AF$12&lt;&gt;0,$H241&gt;0,OR(AUTOEVENTO&lt;&gt;"manual",$M241&lt;&gt;1)),
IF(Import.TipoArredondamento&lt;&gt;"TransfereGOV",
ROUND(OFFSET($P241,0,AF$13),15-13*ORÇAMENTO!$AF$7)/$H241*OFFSET(ORÇAMENTO!$X$15,ROW(AF241)-ROW(AF$15),0),
ROUND(ROUND(OFFSET($P241,0,AF$13),15-13*ORÇAMENTO!$AF$7)*OFFSET(ORÇAMENTO!$W$15,ROW(AF241)-ROW(AF$15),0),15-13*ORÇAMENTO!$AF$11)),0)</f>
        <v>0</v>
      </c>
      <c r="AG241" s="545">
        <f ca="1">IF(AND($D241="Serviço",AG$12&lt;&gt;0,$H241&gt;0,OR(AUTOEVENTO&lt;&gt;"manual",$M241&lt;&gt;1)),
IF(Import.TipoArredondamento&lt;&gt;"TransfereGOV",
ROUND(OFFSET($P241,0,AG$13),15-13*ORÇAMENTO!$AF$7)/$H241*OFFSET(ORÇAMENTO!$X$15,ROW(AG241)-ROW(AG$15),0),
ROUND(ROUND(OFFSET($P241,0,AG$13),15-13*ORÇAMENTO!$AF$7)*OFFSET(ORÇAMENTO!$W$15,ROW(AG241)-ROW(AG$15),0),15-13*ORÇAMENTO!$AF$11)),0)</f>
        <v>0</v>
      </c>
      <c r="AH241" s="545">
        <f ca="1">IF(AND($D241="Serviço",AH$12&lt;&gt;0,$H241&gt;0,OR(AUTOEVENTO&lt;&gt;"manual",$M241&lt;&gt;1)),
IF(Import.TipoArredondamento&lt;&gt;"TransfereGOV",
ROUND(OFFSET($P241,0,AH$13),15-13*ORÇAMENTO!$AF$7)/$H241*OFFSET(ORÇAMENTO!$X$15,ROW(AH241)-ROW(AH$15),0),
ROUND(ROUND(OFFSET($P241,0,AH$13),15-13*ORÇAMENTO!$AF$7)*OFFSET(ORÇAMENTO!$W$15,ROW(AH241)-ROW(AH$15),0),15-13*ORÇAMENTO!$AF$11)),0)</f>
        <v>0</v>
      </c>
      <c r="AI241" s="545">
        <f ca="1">IF(AND($D241="Serviço",AI$12&lt;&gt;0,$H241&gt;0,OR(AUTOEVENTO&lt;&gt;"manual",$M241&lt;&gt;1)),
IF(Import.TipoArredondamento&lt;&gt;"TransfereGOV",
ROUND(OFFSET($P241,0,AI$13),15-13*ORÇAMENTO!$AF$7)/$H241*OFFSET(ORÇAMENTO!$X$15,ROW(AI241)-ROW(AI$15),0),
ROUND(ROUND(OFFSET($P241,0,AI$13),15-13*ORÇAMENTO!$AF$7)*OFFSET(ORÇAMENTO!$W$15,ROW(AI241)-ROW(AI$15),0),15-13*ORÇAMENTO!$AF$11)),0)</f>
        <v>0</v>
      </c>
      <c r="AJ241" s="545">
        <f ca="1">IF(AND($D241="Serviço",AJ$12&lt;&gt;0,$H241&gt;0,OR(AUTOEVENTO&lt;&gt;"manual",$M241&lt;&gt;1)),
IF(Import.TipoArredondamento&lt;&gt;"TransfereGOV",
ROUND(OFFSET($P241,0,AJ$13),15-13*ORÇAMENTO!$AF$7)/$H241*OFFSET(ORÇAMENTO!$X$15,ROW(AJ241)-ROW(AJ$15),0),
ROUND(ROUND(OFFSET($P241,0,AJ$13),15-13*ORÇAMENTO!$AF$7)*OFFSET(ORÇAMENTO!$W$15,ROW(AJ241)-ROW(AJ$15),0),15-13*ORÇAMENTO!$AF$11)),0)</f>
        <v>0</v>
      </c>
      <c r="AK241" s="546">
        <f ca="1">IF(AND($D241="Serviço",AK$12&lt;&gt;0,$H241&gt;0,OR(AUTOEVENTO&lt;&gt;"manual",$M241&lt;&gt;1)),
IF(Import.TipoArredondamento&lt;&gt;"TransfereGOV",
ROUND(OFFSET($P241,0,AK$13),15-13*ORÇAMENTO!$AF$7)/$H241*OFFSET(ORÇAMENTO!$X$15,ROW(AK241)-ROW(AK$15),0),
ROUND(ROUND(OFFSET($P241,0,AK$13),15-13*ORÇAMENTO!$AF$7)*OFFSET(ORÇAMENTO!$W$15,ROW(AK241)-ROW(AK$15),0),15-13*ORÇAMENTO!$AF$11)),0)</f>
        <v>0</v>
      </c>
      <c r="AM241" s="181">
        <f ca="1">IF($D241&lt;&gt;"Serviço",0,IF(AND(AUTOEVENTO="Manual",$M241=1),0,IF(OFFSET(CRONOPLE!$F$14,$M241,AM$13)="",10^12,OFFSET(CRONOPLE!$F$14,$M241,AM$13))))</f>
        <v>0</v>
      </c>
      <c r="AN241" s="181">
        <f ca="1">IF($D241&lt;&gt;"Serviço",0,IF(AND(AUTOEVENTO="Manual",$M241=1),0,IF(OFFSET(CRONOPLE!$F$14,$M241,AN$13)="",10^12,OFFSET(CRONOPLE!$F$14,$M241,AN$13))))</f>
        <v>0</v>
      </c>
      <c r="AO241" s="181">
        <f ca="1">IF($D241&lt;&gt;"Serviço",0,IF(AND(AUTOEVENTO="Manual",$M241=1),0,IF(OFFSET(CRONOPLE!$F$14,$M241,AO$13)="",10^12,OFFSET(CRONOPLE!$F$14,$M241,AO$13))))</f>
        <v>0</v>
      </c>
      <c r="AP241" s="181">
        <f ca="1">IF($D241&lt;&gt;"Serviço",0,IF(AND(AUTOEVENTO="Manual",$M241=1),0,IF(OFFSET(CRONOPLE!$F$14,$M241,AP$13)="",10^12,OFFSET(CRONOPLE!$F$14,$M241,AP$13))))</f>
        <v>0</v>
      </c>
      <c r="AQ241" s="181">
        <f ca="1">IF($D241&lt;&gt;"Serviço",0,IF(AND(AUTOEVENTO="Manual",$M241=1),0,IF(OFFSET(CRONOPLE!$F$14,$M241,AQ$13)="",10^12,OFFSET(CRONOPLE!$F$14,$M241,AQ$13))))</f>
        <v>0</v>
      </c>
      <c r="AR241" s="181">
        <f ca="1">IF($D241&lt;&gt;"Serviço",0,IF(AND(AUTOEVENTO="Manual",$M241=1),0,IF(OFFSET(CRONOPLE!$F$14,$M241,AR$13)="",10^12,OFFSET(CRONOPLE!$F$14,$M241,AR$13))))</f>
        <v>0</v>
      </c>
      <c r="AS241" s="181">
        <f ca="1">IF($D241&lt;&gt;"Serviço",0,IF(AND(AUTOEVENTO="Manual",$M241=1),0,IF(OFFSET(CRONOPLE!$F$14,$M241,AS$13)="",10^12,OFFSET(CRONOPLE!$F$14,$M241,AS$13))))</f>
        <v>0</v>
      </c>
      <c r="AT241" s="181">
        <f ca="1">IF($D241&lt;&gt;"Serviço",0,IF(AND(AUTOEVENTO="Manual",$M241=1),0,IF(OFFSET(CRONOPLE!$F$14,$M241,AT$13)="",10^12,OFFSET(CRONOPLE!$F$14,$M241,AT$13))))</f>
        <v>0</v>
      </c>
      <c r="AU241" s="181">
        <f ca="1">IF($D241&lt;&gt;"Serviço",0,IF(AND(AUTOEVENTO="Manual",$M241=1),0,IF(OFFSET(CRONOPLE!$F$14,$M241,AU$13)="",10^12,OFFSET(CRONOPLE!$F$14,$M241,AU$13))))</f>
        <v>0</v>
      </c>
      <c r="AV241" s="181">
        <f ca="1">IF($D241&lt;&gt;"Serviço",0,IF(AND(AUTOEVENTO="Manual",$M241=1),0,IF(OFFSET(CRONOPLE!$F$14,$M241,AV$13)="",10^12,OFFSET(CRONOPLE!$F$14,$M241,AV$13))))</f>
        <v>0</v>
      </c>
      <c r="AX241" s="182">
        <f ca="1">IF($D241&lt;&gt;"Serviço",0,IF(OR(AND(AUTOEVENTO="Manual",$M241=1),$M241&gt;(ROW(PLE.lastrow)-ROW(PLE.firstrow))),0,IF(OFFSET(PLE!$G$14,$M241,AX$13)="",10^12,OFFSET(PLE!$G$14,$M241,AX$13))))</f>
        <v>0</v>
      </c>
      <c r="AY241" s="182">
        <f ca="1">IF($D241&lt;&gt;"Serviço",0,IF(OR(AND(AUTOEVENTO="Manual",$M241=1),$M241&gt;(ROW(PLE.lastrow)-ROW(PLE.firstrow))),0,IF(OFFSET(PLE!$G$14,$M241,AY$13)="",10^12,OFFSET(PLE!$G$14,$M241,AY$13))))</f>
        <v>0</v>
      </c>
      <c r="AZ241" s="182">
        <f ca="1">IF($D241&lt;&gt;"Serviço",0,IF(OR(AND(AUTOEVENTO="Manual",$M241=1),$M241&gt;(ROW(PLE.lastrow)-ROW(PLE.firstrow))),0,IF(OFFSET(PLE!$G$14,$M241,AZ$13)="",10^12,OFFSET(PLE!$G$14,$M241,AZ$13))))</f>
        <v>0</v>
      </c>
      <c r="BA241" s="182">
        <f ca="1">IF($D241&lt;&gt;"Serviço",0,IF(OR(AND(AUTOEVENTO="Manual",$M241=1),$M241&gt;(ROW(PLE.lastrow)-ROW(PLE.firstrow))),0,IF(OFFSET(PLE!$G$14,$M241,BA$13)="",10^12,OFFSET(PLE!$G$14,$M241,BA$13))))</f>
        <v>0</v>
      </c>
      <c r="BB241" s="182">
        <f ca="1">IF($D241&lt;&gt;"Serviço",0,IF(OR(AND(AUTOEVENTO="Manual",$M241=1),$M241&gt;(ROW(PLE.lastrow)-ROW(PLE.firstrow))),0,IF(OFFSET(PLE!$G$14,$M241,BB$13)="",10^12,OFFSET(PLE!$G$14,$M241,BB$13))))</f>
        <v>0</v>
      </c>
      <c r="BC241" s="182">
        <f ca="1">IF($D241&lt;&gt;"Serviço",0,IF(OR(AND(AUTOEVENTO="Manual",$M241=1),$M241&gt;(ROW(PLE.lastrow)-ROW(PLE.firstrow))),0,IF(OFFSET(PLE!$G$14,$M241,BC$13)="",10^12,OFFSET(PLE!$G$14,$M241,BC$13))))</f>
        <v>0</v>
      </c>
      <c r="BD241" s="182">
        <f ca="1">IF($D241&lt;&gt;"Serviço",0,IF(OR(AND(AUTOEVENTO="Manual",$M241=1),$M241&gt;(ROW(PLE.lastrow)-ROW(PLE.firstrow))),0,IF(OFFSET(PLE!$G$14,$M241,BD$13)="",10^12,OFFSET(PLE!$G$14,$M241,BD$13))))</f>
        <v>0</v>
      </c>
      <c r="BE241" s="182">
        <f ca="1">IF($D241&lt;&gt;"Serviço",0,IF(OR(AND(AUTOEVENTO="Manual",$M241=1),$M241&gt;(ROW(PLE.lastrow)-ROW(PLE.firstrow))),0,IF(OFFSET(PLE!$G$14,$M241,BE$13)="",10^12,OFFSET(PLE!$G$14,$M241,BE$13))))</f>
        <v>0</v>
      </c>
      <c r="BF241" s="182">
        <f ca="1">IF($D241&lt;&gt;"Serviço",0,IF(OR(AND(AUTOEVENTO="Manual",$M241=1),$M241&gt;(ROW(PLE.lastrow)-ROW(PLE.firstrow))),0,IF(OFFSET(PLE!$G$14,$M241,BF$13)="",10^12,OFFSET(PLE!$G$14,$M241,BF$13))))</f>
        <v>0</v>
      </c>
      <c r="BG241" s="182">
        <f ca="1">IF($D241&lt;&gt;"Serviço",0,IF(OR(AND(AUTOEVENTO="Manual",$M241=1),$M241&gt;(ROW(PLE.lastrow)-ROW(PLE.firstrow))),0,IF(OFFSET(PLE!$G$14,$M241,BG$13)="",10^12,OFFSET(PLE!$G$14,$M241,BG$13))))</f>
        <v>0</v>
      </c>
    </row>
    <row r="242" spans="1:59" ht="25.5" x14ac:dyDescent="0.2">
      <c r="A242" s="7" t="str">
        <f t="shared" ca="1" si="11"/>
        <v>225</v>
      </c>
      <c r="B242" s="7" t="str">
        <f ca="1">OFFSET(ORÇAMENTO!C$15,ROW(B242)-ROW(B$15),0)</f>
        <v>S</v>
      </c>
      <c r="C242" s="7" t="str">
        <f ca="1">OFFSET(ORÇAMENTO!L$15,ROW(C242)-ROW(C$15),0)</f>
        <v/>
      </c>
      <c r="D242" s="118" t="str">
        <f ca="1">OFFSET(ORÇAMENTO!N$15,ROW(D242)-ROW(D$15),0)</f>
        <v>Serviço</v>
      </c>
      <c r="E242" s="119" t="str">
        <f ca="1">OFFSET(ORÇAMENTO!O$15,ROW(E242)-ROW(E$15),0)</f>
        <v>-</v>
      </c>
      <c r="F242" s="172" t="str">
        <f ca="1">OFFSET(ORÇAMENTO!R$15,ROW(F242)-ROW(F$15),0)</f>
        <v>(abra o arquivo 'Referência 02-2025.xlsm)</v>
      </c>
      <c r="G242" s="173" t="str">
        <f ca="1">IF($D242&lt;&gt;"Serviço","",OFFSET(ORÇAMENTO!S$15,ROW(G242)-ROW(G$15),0))</f>
        <v>-</v>
      </c>
      <c r="H242" s="124">
        <f ca="1">IF($D242&lt;&gt;"Serviço",0,IF(ACOMPANHAMENTO="BM",ROUND(OFFSET(ORÇAMENTO!AJ$15,ROW(H242)-ROW(H$15),0),15-13*ORÇAMENTO!$AF$7),SUMPRODUCT(($Q$12:$AA$12&lt;&gt;"")*ROUND($Q242:$AA242,15-13*ORÇAMENTO!$AF$7))))</f>
        <v>1380.6</v>
      </c>
      <c r="I242" s="561" t="s">
        <v>890</v>
      </c>
      <c r="K242" s="174"/>
      <c r="L242" s="175" t="s">
        <v>255</v>
      </c>
      <c r="M242" s="176">
        <f ca="1">IF($D242&lt;&gt;"Serviço","",IF(AUTOEVENTO="manual",$A242,IF(ISERROR(MATCH($A242,$A$15:OFFSET($A242,-1,0),0)),MAX($M$15:OFFSET(M242,-1,0))+1,INDEX($M$15:OFFSET(M242,-1,0),MATCH($A242,$A$15:OFFSET($A242,-1,0),0)))))</f>
        <v>12</v>
      </c>
      <c r="N242" s="177" t="str">
        <f ca="1">IF($D242&lt;&gt;"Serviço","",IF(AUTOEVENTO="Manual",IF($A242=0,"&lt;-- defina o número do agrupador",OFFSET(EVENTOS!$D$14,$A242,0)),OFFSET($F$15,$A242,0)))</f>
        <v>PINTURAS E ACABAMENTOS</v>
      </c>
      <c r="O242" s="178"/>
      <c r="Q242" s="178"/>
      <c r="R242" s="179"/>
      <c r="S242" s="179"/>
      <c r="T242" s="179"/>
      <c r="U242" s="179"/>
      <c r="V242" s="179"/>
      <c r="W242" s="179"/>
      <c r="X242" s="179"/>
      <c r="Y242" s="179"/>
      <c r="Z242" s="180"/>
      <c r="AB242" s="544">
        <f ca="1">IF(AND($D242="Serviço",AB$12&lt;&gt;0,$H242&gt;0,OR(AUTOEVENTO&lt;&gt;"manual",$M242&lt;&gt;1)),
IF(Import.TipoArredondamento&lt;&gt;"TransfereGOV",
ROUND(OFFSET($P242,0,AB$13),15-13*ORÇAMENTO!$AF$7)/$H242*OFFSET(ORÇAMENTO!$X$15,ROW(AB242)-ROW(AB$15),0),
ROUND(ROUND(OFFSET($P242,0,AB$13),15-13*ORÇAMENTO!$AF$7)*OFFSET(ORÇAMENTO!$W$15,ROW(AB242)-ROW(AB$15),0),15-13*ORÇAMENTO!$AF$11)),0)</f>
        <v>0</v>
      </c>
      <c r="AC242" s="545">
        <f ca="1">IF(AND($D242="Serviço",AC$12&lt;&gt;0,$H242&gt;0,OR(AUTOEVENTO&lt;&gt;"manual",$M242&lt;&gt;1)),
IF(Import.TipoArredondamento&lt;&gt;"TransfereGOV",
ROUND(OFFSET($P242,0,AC$13),15-13*ORÇAMENTO!$AF$7)/$H242*OFFSET(ORÇAMENTO!$X$15,ROW(AC242)-ROW(AC$15),0),
ROUND(ROUND(OFFSET($P242,0,AC$13),15-13*ORÇAMENTO!$AF$7)*OFFSET(ORÇAMENTO!$W$15,ROW(AC242)-ROW(AC$15),0),15-13*ORÇAMENTO!$AF$11)),0)</f>
        <v>0</v>
      </c>
      <c r="AD242" s="545">
        <f ca="1">IF(AND($D242="Serviço",AD$12&lt;&gt;0,$H242&gt;0,OR(AUTOEVENTO&lt;&gt;"manual",$M242&lt;&gt;1)),
IF(Import.TipoArredondamento&lt;&gt;"TransfereGOV",
ROUND(OFFSET($P242,0,AD$13),15-13*ORÇAMENTO!$AF$7)/$H242*OFFSET(ORÇAMENTO!$X$15,ROW(AD242)-ROW(AD$15),0),
ROUND(ROUND(OFFSET($P242,0,AD$13),15-13*ORÇAMENTO!$AF$7)*OFFSET(ORÇAMENTO!$W$15,ROW(AD242)-ROW(AD$15),0),15-13*ORÇAMENTO!$AF$11)),0)</f>
        <v>0</v>
      </c>
      <c r="AE242" s="545">
        <f ca="1">IF(AND($D242="Serviço",AE$12&lt;&gt;0,$H242&gt;0,OR(AUTOEVENTO&lt;&gt;"manual",$M242&lt;&gt;1)),
IF(Import.TipoArredondamento&lt;&gt;"TransfereGOV",
ROUND(OFFSET($P242,0,AE$13),15-13*ORÇAMENTO!$AF$7)/$H242*OFFSET(ORÇAMENTO!$X$15,ROW(AE242)-ROW(AE$15),0),
ROUND(ROUND(OFFSET($P242,0,AE$13),15-13*ORÇAMENTO!$AF$7)*OFFSET(ORÇAMENTO!$W$15,ROW(AE242)-ROW(AE$15),0),15-13*ORÇAMENTO!$AF$11)),0)</f>
        <v>0</v>
      </c>
      <c r="AF242" s="545">
        <f ca="1">IF(AND($D242="Serviço",AF$12&lt;&gt;0,$H242&gt;0,OR(AUTOEVENTO&lt;&gt;"manual",$M242&lt;&gt;1)),
IF(Import.TipoArredondamento&lt;&gt;"TransfereGOV",
ROUND(OFFSET($P242,0,AF$13),15-13*ORÇAMENTO!$AF$7)/$H242*OFFSET(ORÇAMENTO!$X$15,ROW(AF242)-ROW(AF$15),0),
ROUND(ROUND(OFFSET($P242,0,AF$13),15-13*ORÇAMENTO!$AF$7)*OFFSET(ORÇAMENTO!$W$15,ROW(AF242)-ROW(AF$15),0),15-13*ORÇAMENTO!$AF$11)),0)</f>
        <v>0</v>
      </c>
      <c r="AG242" s="545">
        <f ca="1">IF(AND($D242="Serviço",AG$12&lt;&gt;0,$H242&gt;0,OR(AUTOEVENTO&lt;&gt;"manual",$M242&lt;&gt;1)),
IF(Import.TipoArredondamento&lt;&gt;"TransfereGOV",
ROUND(OFFSET($P242,0,AG$13),15-13*ORÇAMENTO!$AF$7)/$H242*OFFSET(ORÇAMENTO!$X$15,ROW(AG242)-ROW(AG$15),0),
ROUND(ROUND(OFFSET($P242,0,AG$13),15-13*ORÇAMENTO!$AF$7)*OFFSET(ORÇAMENTO!$W$15,ROW(AG242)-ROW(AG$15),0),15-13*ORÇAMENTO!$AF$11)),0)</f>
        <v>0</v>
      </c>
      <c r="AH242" s="545">
        <f ca="1">IF(AND($D242="Serviço",AH$12&lt;&gt;0,$H242&gt;0,OR(AUTOEVENTO&lt;&gt;"manual",$M242&lt;&gt;1)),
IF(Import.TipoArredondamento&lt;&gt;"TransfereGOV",
ROUND(OFFSET($P242,0,AH$13),15-13*ORÇAMENTO!$AF$7)/$H242*OFFSET(ORÇAMENTO!$X$15,ROW(AH242)-ROW(AH$15),0),
ROUND(ROUND(OFFSET($P242,0,AH$13),15-13*ORÇAMENTO!$AF$7)*OFFSET(ORÇAMENTO!$W$15,ROW(AH242)-ROW(AH$15),0),15-13*ORÇAMENTO!$AF$11)),0)</f>
        <v>0</v>
      </c>
      <c r="AI242" s="545">
        <f ca="1">IF(AND($D242="Serviço",AI$12&lt;&gt;0,$H242&gt;0,OR(AUTOEVENTO&lt;&gt;"manual",$M242&lt;&gt;1)),
IF(Import.TipoArredondamento&lt;&gt;"TransfereGOV",
ROUND(OFFSET($P242,0,AI$13),15-13*ORÇAMENTO!$AF$7)/$H242*OFFSET(ORÇAMENTO!$X$15,ROW(AI242)-ROW(AI$15),0),
ROUND(ROUND(OFFSET($P242,0,AI$13),15-13*ORÇAMENTO!$AF$7)*OFFSET(ORÇAMENTO!$W$15,ROW(AI242)-ROW(AI$15),0),15-13*ORÇAMENTO!$AF$11)),0)</f>
        <v>0</v>
      </c>
      <c r="AJ242" s="545">
        <f ca="1">IF(AND($D242="Serviço",AJ$12&lt;&gt;0,$H242&gt;0,OR(AUTOEVENTO&lt;&gt;"manual",$M242&lt;&gt;1)),
IF(Import.TipoArredondamento&lt;&gt;"TransfereGOV",
ROUND(OFFSET($P242,0,AJ$13),15-13*ORÇAMENTO!$AF$7)/$H242*OFFSET(ORÇAMENTO!$X$15,ROW(AJ242)-ROW(AJ$15),0),
ROUND(ROUND(OFFSET($P242,0,AJ$13),15-13*ORÇAMENTO!$AF$7)*OFFSET(ORÇAMENTO!$W$15,ROW(AJ242)-ROW(AJ$15),0),15-13*ORÇAMENTO!$AF$11)),0)</f>
        <v>0</v>
      </c>
      <c r="AK242" s="546">
        <f ca="1">IF(AND($D242="Serviço",AK$12&lt;&gt;0,$H242&gt;0,OR(AUTOEVENTO&lt;&gt;"manual",$M242&lt;&gt;1)),
IF(Import.TipoArredondamento&lt;&gt;"TransfereGOV",
ROUND(OFFSET($P242,0,AK$13),15-13*ORÇAMENTO!$AF$7)/$H242*OFFSET(ORÇAMENTO!$X$15,ROW(AK242)-ROW(AK$15),0),
ROUND(ROUND(OFFSET($P242,0,AK$13),15-13*ORÇAMENTO!$AF$7)*OFFSET(ORÇAMENTO!$W$15,ROW(AK242)-ROW(AK$15),0),15-13*ORÇAMENTO!$AF$11)),0)</f>
        <v>0</v>
      </c>
      <c r="AM242" s="181">
        <f ca="1">IF($D242&lt;&gt;"Serviço",0,IF(AND(AUTOEVENTO="Manual",$M242=1),0,IF(OFFSET(CRONOPLE!$F$14,$M242,AM$13)="",10^12,OFFSET(CRONOPLE!$F$14,$M242,AM$13))))</f>
        <v>1000000000000</v>
      </c>
      <c r="AN242" s="181">
        <f ca="1">IF($D242&lt;&gt;"Serviço",0,IF(AND(AUTOEVENTO="Manual",$M242=1),0,IF(OFFSET(CRONOPLE!$F$14,$M242,AN$13)="",10^12,OFFSET(CRONOPLE!$F$14,$M242,AN$13))))</f>
        <v>1000000000000</v>
      </c>
      <c r="AO242" s="181">
        <f ca="1">IF($D242&lt;&gt;"Serviço",0,IF(AND(AUTOEVENTO="Manual",$M242=1),0,IF(OFFSET(CRONOPLE!$F$14,$M242,AO$13)="",10^12,OFFSET(CRONOPLE!$F$14,$M242,AO$13))))</f>
        <v>1000000000000</v>
      </c>
      <c r="AP242" s="181">
        <f ca="1">IF($D242&lt;&gt;"Serviço",0,IF(AND(AUTOEVENTO="Manual",$M242=1),0,IF(OFFSET(CRONOPLE!$F$14,$M242,AP$13)="",10^12,OFFSET(CRONOPLE!$F$14,$M242,AP$13))))</f>
        <v>1000000000000</v>
      </c>
      <c r="AQ242" s="181">
        <f ca="1">IF($D242&lt;&gt;"Serviço",0,IF(AND(AUTOEVENTO="Manual",$M242=1),0,IF(OFFSET(CRONOPLE!$F$14,$M242,AQ$13)="",10^12,OFFSET(CRONOPLE!$F$14,$M242,AQ$13))))</f>
        <v>1000000000000</v>
      </c>
      <c r="AR242" s="181">
        <f ca="1">IF($D242&lt;&gt;"Serviço",0,IF(AND(AUTOEVENTO="Manual",$M242=1),0,IF(OFFSET(CRONOPLE!$F$14,$M242,AR$13)="",10^12,OFFSET(CRONOPLE!$F$14,$M242,AR$13))))</f>
        <v>1000000000000</v>
      </c>
      <c r="AS242" s="181">
        <f ca="1">IF($D242&lt;&gt;"Serviço",0,IF(AND(AUTOEVENTO="Manual",$M242=1),0,IF(OFFSET(CRONOPLE!$F$14,$M242,AS$13)="",10^12,OFFSET(CRONOPLE!$F$14,$M242,AS$13))))</f>
        <v>1000000000000</v>
      </c>
      <c r="AT242" s="181">
        <f ca="1">IF($D242&lt;&gt;"Serviço",0,IF(AND(AUTOEVENTO="Manual",$M242=1),0,IF(OFFSET(CRONOPLE!$F$14,$M242,AT$13)="",10^12,OFFSET(CRONOPLE!$F$14,$M242,AT$13))))</f>
        <v>1000000000000</v>
      </c>
      <c r="AU242" s="181">
        <f ca="1">IF($D242&lt;&gt;"Serviço",0,IF(AND(AUTOEVENTO="Manual",$M242=1),0,IF(OFFSET(CRONOPLE!$F$14,$M242,AU$13)="",10^12,OFFSET(CRONOPLE!$F$14,$M242,AU$13))))</f>
        <v>1000000000000</v>
      </c>
      <c r="AV242" s="181">
        <f ca="1">IF($D242&lt;&gt;"Serviço",0,IF(AND(AUTOEVENTO="Manual",$M242=1),0,IF(OFFSET(CRONOPLE!$F$14,$M242,AV$13)="",10^12,OFFSET(CRONOPLE!$F$14,$M242,AV$13))))</f>
        <v>1000000000000</v>
      </c>
      <c r="AX242" s="182">
        <f ca="1">IF($D242&lt;&gt;"Serviço",0,IF(OR(AND(AUTOEVENTO="Manual",$M242=1),$M242&gt;(ROW(PLE.lastrow)-ROW(PLE.firstrow))),0,IF(OFFSET(PLE!$G$14,$M242,AX$13)="",10^12,OFFSET(PLE!$G$14,$M242,AX$13))))</f>
        <v>1000000000000</v>
      </c>
      <c r="AY242" s="182">
        <f ca="1">IF($D242&lt;&gt;"Serviço",0,IF(OR(AND(AUTOEVENTO="Manual",$M242=1),$M242&gt;(ROW(PLE.lastrow)-ROW(PLE.firstrow))),0,IF(OFFSET(PLE!$G$14,$M242,AY$13)="",10^12,OFFSET(PLE!$G$14,$M242,AY$13))))</f>
        <v>1000000000000</v>
      </c>
      <c r="AZ242" s="182">
        <f ca="1">IF($D242&lt;&gt;"Serviço",0,IF(OR(AND(AUTOEVENTO="Manual",$M242=1),$M242&gt;(ROW(PLE.lastrow)-ROW(PLE.firstrow))),0,IF(OFFSET(PLE!$G$14,$M242,AZ$13)="",10^12,OFFSET(PLE!$G$14,$M242,AZ$13))))</f>
        <v>1000000000000</v>
      </c>
      <c r="BA242" s="182">
        <f ca="1">IF($D242&lt;&gt;"Serviço",0,IF(OR(AND(AUTOEVENTO="Manual",$M242=1),$M242&gt;(ROW(PLE.lastrow)-ROW(PLE.firstrow))),0,IF(OFFSET(PLE!$G$14,$M242,BA$13)="",10^12,OFFSET(PLE!$G$14,$M242,BA$13))))</f>
        <v>1000000000000</v>
      </c>
      <c r="BB242" s="182">
        <f ca="1">IF($D242&lt;&gt;"Serviço",0,IF(OR(AND(AUTOEVENTO="Manual",$M242=1),$M242&gt;(ROW(PLE.lastrow)-ROW(PLE.firstrow))),0,IF(OFFSET(PLE!$G$14,$M242,BB$13)="",10^12,OFFSET(PLE!$G$14,$M242,BB$13))))</f>
        <v>1000000000000</v>
      </c>
      <c r="BC242" s="182">
        <f ca="1">IF($D242&lt;&gt;"Serviço",0,IF(OR(AND(AUTOEVENTO="Manual",$M242=1),$M242&gt;(ROW(PLE.lastrow)-ROW(PLE.firstrow))),0,IF(OFFSET(PLE!$G$14,$M242,BC$13)="",10^12,OFFSET(PLE!$G$14,$M242,BC$13))))</f>
        <v>1000000000000</v>
      </c>
      <c r="BD242" s="182">
        <f ca="1">IF($D242&lt;&gt;"Serviço",0,IF(OR(AND(AUTOEVENTO="Manual",$M242=1),$M242&gt;(ROW(PLE.lastrow)-ROW(PLE.firstrow))),0,IF(OFFSET(PLE!$G$14,$M242,BD$13)="",10^12,OFFSET(PLE!$G$14,$M242,BD$13))))</f>
        <v>1000000000000</v>
      </c>
      <c r="BE242" s="182">
        <f ca="1">IF($D242&lt;&gt;"Serviço",0,IF(OR(AND(AUTOEVENTO="Manual",$M242=1),$M242&gt;(ROW(PLE.lastrow)-ROW(PLE.firstrow))),0,IF(OFFSET(PLE!$G$14,$M242,BE$13)="",10^12,OFFSET(PLE!$G$14,$M242,BE$13))))</f>
        <v>1000000000000</v>
      </c>
      <c r="BF242" s="182">
        <f ca="1">IF($D242&lt;&gt;"Serviço",0,IF(OR(AND(AUTOEVENTO="Manual",$M242=1),$M242&gt;(ROW(PLE.lastrow)-ROW(PLE.firstrow))),0,IF(OFFSET(PLE!$G$14,$M242,BF$13)="",10^12,OFFSET(PLE!$G$14,$M242,BF$13))))</f>
        <v>1000000000000</v>
      </c>
      <c r="BG242" s="182">
        <f ca="1">IF($D242&lt;&gt;"Serviço",0,IF(OR(AND(AUTOEVENTO="Manual",$M242=1),$M242&gt;(ROW(PLE.lastrow)-ROW(PLE.firstrow))),0,IF(OFFSET(PLE!$G$14,$M242,BG$13)="",10^12,OFFSET(PLE!$G$14,$M242,BG$13))))</f>
        <v>1000000000000</v>
      </c>
    </row>
    <row r="243" spans="1:59" ht="25.5" x14ac:dyDescent="0.2">
      <c r="A243" s="7" t="str">
        <f t="shared" ca="1" si="11"/>
        <v>225</v>
      </c>
      <c r="B243" s="7" t="str">
        <f ca="1">OFFSET(ORÇAMENTO!C$15,ROW(B243)-ROW(B$15),0)</f>
        <v>S</v>
      </c>
      <c r="C243" s="7" t="str">
        <f ca="1">OFFSET(ORÇAMENTO!L$15,ROW(C243)-ROW(C$15),0)</f>
        <v/>
      </c>
      <c r="D243" s="118" t="str">
        <f ca="1">OFFSET(ORÇAMENTO!N$15,ROW(D243)-ROW(D$15),0)</f>
        <v>Serviço</v>
      </c>
      <c r="E243" s="119" t="str">
        <f ca="1">OFFSET(ORÇAMENTO!O$15,ROW(E243)-ROW(E$15),0)</f>
        <v>-</v>
      </c>
      <c r="F243" s="172" t="str">
        <f ca="1">OFFSET(ORÇAMENTO!R$15,ROW(F243)-ROW(F$15),0)</f>
        <v>(abra o arquivo 'Referência 02-2025.xlsm)</v>
      </c>
      <c r="G243" s="173" t="str">
        <f ca="1">IF($D243&lt;&gt;"Serviço","",OFFSET(ORÇAMENTO!S$15,ROW(G243)-ROW(G$15),0))</f>
        <v>-</v>
      </c>
      <c r="H243" s="124">
        <f ca="1">IF($D243&lt;&gt;"Serviço",0,IF(ACOMPANHAMENTO="BM",ROUND(OFFSET(ORÇAMENTO!AJ$15,ROW(H243)-ROW(H$15),0),15-13*ORÇAMENTO!$AF$7),SUMPRODUCT(($Q$12:$AA$12&lt;&gt;"")*ROUND($Q243:$AA243,15-13*ORÇAMENTO!$AF$7))))</f>
        <v>1360.44</v>
      </c>
      <c r="I243" s="561" t="s">
        <v>890</v>
      </c>
      <c r="K243" s="174"/>
      <c r="L243" s="175" t="s">
        <v>255</v>
      </c>
      <c r="M243" s="176">
        <f ca="1">IF($D243&lt;&gt;"Serviço","",IF(AUTOEVENTO="manual",$A243,IF(ISERROR(MATCH($A243,$A$15:OFFSET($A243,-1,0),0)),MAX($M$15:OFFSET(M243,-1,0))+1,INDEX($M$15:OFFSET(M243,-1,0),MATCH($A243,$A$15:OFFSET($A243,-1,0),0)))))</f>
        <v>12</v>
      </c>
      <c r="N243" s="177" t="str">
        <f ca="1">IF($D243&lt;&gt;"Serviço","",IF(AUTOEVENTO="Manual",IF($A243=0,"&lt;-- defina o número do agrupador",OFFSET(EVENTOS!$D$14,$A243,0)),OFFSET($F$15,$A243,0)))</f>
        <v>PINTURAS E ACABAMENTOS</v>
      </c>
      <c r="O243" s="178"/>
      <c r="Q243" s="178"/>
      <c r="R243" s="179"/>
      <c r="S243" s="179"/>
      <c r="T243" s="179"/>
      <c r="U243" s="179"/>
      <c r="V243" s="179"/>
      <c r="W243" s="179"/>
      <c r="X243" s="179"/>
      <c r="Y243" s="179"/>
      <c r="Z243" s="180"/>
      <c r="AB243" s="544">
        <f ca="1">IF(AND($D243="Serviço",AB$12&lt;&gt;0,$H243&gt;0,OR(AUTOEVENTO&lt;&gt;"manual",$M243&lt;&gt;1)),
IF(Import.TipoArredondamento&lt;&gt;"TransfereGOV",
ROUND(OFFSET($P243,0,AB$13),15-13*ORÇAMENTO!$AF$7)/$H243*OFFSET(ORÇAMENTO!$X$15,ROW(AB243)-ROW(AB$15),0),
ROUND(ROUND(OFFSET($P243,0,AB$13),15-13*ORÇAMENTO!$AF$7)*OFFSET(ORÇAMENTO!$W$15,ROW(AB243)-ROW(AB$15),0),15-13*ORÇAMENTO!$AF$11)),0)</f>
        <v>0</v>
      </c>
      <c r="AC243" s="545">
        <f ca="1">IF(AND($D243="Serviço",AC$12&lt;&gt;0,$H243&gt;0,OR(AUTOEVENTO&lt;&gt;"manual",$M243&lt;&gt;1)),
IF(Import.TipoArredondamento&lt;&gt;"TransfereGOV",
ROUND(OFFSET($P243,0,AC$13),15-13*ORÇAMENTO!$AF$7)/$H243*OFFSET(ORÇAMENTO!$X$15,ROW(AC243)-ROW(AC$15),0),
ROUND(ROUND(OFFSET($P243,0,AC$13),15-13*ORÇAMENTO!$AF$7)*OFFSET(ORÇAMENTO!$W$15,ROW(AC243)-ROW(AC$15),0),15-13*ORÇAMENTO!$AF$11)),0)</f>
        <v>0</v>
      </c>
      <c r="AD243" s="545">
        <f ca="1">IF(AND($D243="Serviço",AD$12&lt;&gt;0,$H243&gt;0,OR(AUTOEVENTO&lt;&gt;"manual",$M243&lt;&gt;1)),
IF(Import.TipoArredondamento&lt;&gt;"TransfereGOV",
ROUND(OFFSET($P243,0,AD$13),15-13*ORÇAMENTO!$AF$7)/$H243*OFFSET(ORÇAMENTO!$X$15,ROW(AD243)-ROW(AD$15),0),
ROUND(ROUND(OFFSET($P243,0,AD$13),15-13*ORÇAMENTO!$AF$7)*OFFSET(ORÇAMENTO!$W$15,ROW(AD243)-ROW(AD$15),0),15-13*ORÇAMENTO!$AF$11)),0)</f>
        <v>0</v>
      </c>
      <c r="AE243" s="545">
        <f ca="1">IF(AND($D243="Serviço",AE$12&lt;&gt;0,$H243&gt;0,OR(AUTOEVENTO&lt;&gt;"manual",$M243&lt;&gt;1)),
IF(Import.TipoArredondamento&lt;&gt;"TransfereGOV",
ROUND(OFFSET($P243,0,AE$13),15-13*ORÇAMENTO!$AF$7)/$H243*OFFSET(ORÇAMENTO!$X$15,ROW(AE243)-ROW(AE$15),0),
ROUND(ROUND(OFFSET($P243,0,AE$13),15-13*ORÇAMENTO!$AF$7)*OFFSET(ORÇAMENTO!$W$15,ROW(AE243)-ROW(AE$15),0),15-13*ORÇAMENTO!$AF$11)),0)</f>
        <v>0</v>
      </c>
      <c r="AF243" s="545">
        <f ca="1">IF(AND($D243="Serviço",AF$12&lt;&gt;0,$H243&gt;0,OR(AUTOEVENTO&lt;&gt;"manual",$M243&lt;&gt;1)),
IF(Import.TipoArredondamento&lt;&gt;"TransfereGOV",
ROUND(OFFSET($P243,0,AF$13),15-13*ORÇAMENTO!$AF$7)/$H243*OFFSET(ORÇAMENTO!$X$15,ROW(AF243)-ROW(AF$15),0),
ROUND(ROUND(OFFSET($P243,0,AF$13),15-13*ORÇAMENTO!$AF$7)*OFFSET(ORÇAMENTO!$W$15,ROW(AF243)-ROW(AF$15),0),15-13*ORÇAMENTO!$AF$11)),0)</f>
        <v>0</v>
      </c>
      <c r="AG243" s="545">
        <f ca="1">IF(AND($D243="Serviço",AG$12&lt;&gt;0,$H243&gt;0,OR(AUTOEVENTO&lt;&gt;"manual",$M243&lt;&gt;1)),
IF(Import.TipoArredondamento&lt;&gt;"TransfereGOV",
ROUND(OFFSET($P243,0,AG$13),15-13*ORÇAMENTO!$AF$7)/$H243*OFFSET(ORÇAMENTO!$X$15,ROW(AG243)-ROW(AG$15),0),
ROUND(ROUND(OFFSET($P243,0,AG$13),15-13*ORÇAMENTO!$AF$7)*OFFSET(ORÇAMENTO!$W$15,ROW(AG243)-ROW(AG$15),0),15-13*ORÇAMENTO!$AF$11)),0)</f>
        <v>0</v>
      </c>
      <c r="AH243" s="545">
        <f ca="1">IF(AND($D243="Serviço",AH$12&lt;&gt;0,$H243&gt;0,OR(AUTOEVENTO&lt;&gt;"manual",$M243&lt;&gt;1)),
IF(Import.TipoArredondamento&lt;&gt;"TransfereGOV",
ROUND(OFFSET($P243,0,AH$13),15-13*ORÇAMENTO!$AF$7)/$H243*OFFSET(ORÇAMENTO!$X$15,ROW(AH243)-ROW(AH$15),0),
ROUND(ROUND(OFFSET($P243,0,AH$13),15-13*ORÇAMENTO!$AF$7)*OFFSET(ORÇAMENTO!$W$15,ROW(AH243)-ROW(AH$15),0),15-13*ORÇAMENTO!$AF$11)),0)</f>
        <v>0</v>
      </c>
      <c r="AI243" s="545">
        <f ca="1">IF(AND($D243="Serviço",AI$12&lt;&gt;0,$H243&gt;0,OR(AUTOEVENTO&lt;&gt;"manual",$M243&lt;&gt;1)),
IF(Import.TipoArredondamento&lt;&gt;"TransfereGOV",
ROUND(OFFSET($P243,0,AI$13),15-13*ORÇAMENTO!$AF$7)/$H243*OFFSET(ORÇAMENTO!$X$15,ROW(AI243)-ROW(AI$15),0),
ROUND(ROUND(OFFSET($P243,0,AI$13),15-13*ORÇAMENTO!$AF$7)*OFFSET(ORÇAMENTO!$W$15,ROW(AI243)-ROW(AI$15),0),15-13*ORÇAMENTO!$AF$11)),0)</f>
        <v>0</v>
      </c>
      <c r="AJ243" s="545">
        <f ca="1">IF(AND($D243="Serviço",AJ$12&lt;&gt;0,$H243&gt;0,OR(AUTOEVENTO&lt;&gt;"manual",$M243&lt;&gt;1)),
IF(Import.TipoArredondamento&lt;&gt;"TransfereGOV",
ROUND(OFFSET($P243,0,AJ$13),15-13*ORÇAMENTO!$AF$7)/$H243*OFFSET(ORÇAMENTO!$X$15,ROW(AJ243)-ROW(AJ$15),0),
ROUND(ROUND(OFFSET($P243,0,AJ$13),15-13*ORÇAMENTO!$AF$7)*OFFSET(ORÇAMENTO!$W$15,ROW(AJ243)-ROW(AJ$15),0),15-13*ORÇAMENTO!$AF$11)),0)</f>
        <v>0</v>
      </c>
      <c r="AK243" s="546">
        <f ca="1">IF(AND($D243="Serviço",AK$12&lt;&gt;0,$H243&gt;0,OR(AUTOEVENTO&lt;&gt;"manual",$M243&lt;&gt;1)),
IF(Import.TipoArredondamento&lt;&gt;"TransfereGOV",
ROUND(OFFSET($P243,0,AK$13),15-13*ORÇAMENTO!$AF$7)/$H243*OFFSET(ORÇAMENTO!$X$15,ROW(AK243)-ROW(AK$15),0),
ROUND(ROUND(OFFSET($P243,0,AK$13),15-13*ORÇAMENTO!$AF$7)*OFFSET(ORÇAMENTO!$W$15,ROW(AK243)-ROW(AK$15),0),15-13*ORÇAMENTO!$AF$11)),0)</f>
        <v>0</v>
      </c>
      <c r="AM243" s="181">
        <f ca="1">IF($D243&lt;&gt;"Serviço",0,IF(AND(AUTOEVENTO="Manual",$M243=1),0,IF(OFFSET(CRONOPLE!$F$14,$M243,AM$13)="",10^12,OFFSET(CRONOPLE!$F$14,$M243,AM$13))))</f>
        <v>1000000000000</v>
      </c>
      <c r="AN243" s="181">
        <f ca="1">IF($D243&lt;&gt;"Serviço",0,IF(AND(AUTOEVENTO="Manual",$M243=1),0,IF(OFFSET(CRONOPLE!$F$14,$M243,AN$13)="",10^12,OFFSET(CRONOPLE!$F$14,$M243,AN$13))))</f>
        <v>1000000000000</v>
      </c>
      <c r="AO243" s="181">
        <f ca="1">IF($D243&lt;&gt;"Serviço",0,IF(AND(AUTOEVENTO="Manual",$M243=1),0,IF(OFFSET(CRONOPLE!$F$14,$M243,AO$13)="",10^12,OFFSET(CRONOPLE!$F$14,$M243,AO$13))))</f>
        <v>1000000000000</v>
      </c>
      <c r="AP243" s="181">
        <f ca="1">IF($D243&lt;&gt;"Serviço",0,IF(AND(AUTOEVENTO="Manual",$M243=1),0,IF(OFFSET(CRONOPLE!$F$14,$M243,AP$13)="",10^12,OFFSET(CRONOPLE!$F$14,$M243,AP$13))))</f>
        <v>1000000000000</v>
      </c>
      <c r="AQ243" s="181">
        <f ca="1">IF($D243&lt;&gt;"Serviço",0,IF(AND(AUTOEVENTO="Manual",$M243=1),0,IF(OFFSET(CRONOPLE!$F$14,$M243,AQ$13)="",10^12,OFFSET(CRONOPLE!$F$14,$M243,AQ$13))))</f>
        <v>1000000000000</v>
      </c>
      <c r="AR243" s="181">
        <f ca="1">IF($D243&lt;&gt;"Serviço",0,IF(AND(AUTOEVENTO="Manual",$M243=1),0,IF(OFFSET(CRONOPLE!$F$14,$M243,AR$13)="",10^12,OFFSET(CRONOPLE!$F$14,$M243,AR$13))))</f>
        <v>1000000000000</v>
      </c>
      <c r="AS243" s="181">
        <f ca="1">IF($D243&lt;&gt;"Serviço",0,IF(AND(AUTOEVENTO="Manual",$M243=1),0,IF(OFFSET(CRONOPLE!$F$14,$M243,AS$13)="",10^12,OFFSET(CRONOPLE!$F$14,$M243,AS$13))))</f>
        <v>1000000000000</v>
      </c>
      <c r="AT243" s="181">
        <f ca="1">IF($D243&lt;&gt;"Serviço",0,IF(AND(AUTOEVENTO="Manual",$M243=1),0,IF(OFFSET(CRONOPLE!$F$14,$M243,AT$13)="",10^12,OFFSET(CRONOPLE!$F$14,$M243,AT$13))))</f>
        <v>1000000000000</v>
      </c>
      <c r="AU243" s="181">
        <f ca="1">IF($D243&lt;&gt;"Serviço",0,IF(AND(AUTOEVENTO="Manual",$M243=1),0,IF(OFFSET(CRONOPLE!$F$14,$M243,AU$13)="",10^12,OFFSET(CRONOPLE!$F$14,$M243,AU$13))))</f>
        <v>1000000000000</v>
      </c>
      <c r="AV243" s="181">
        <f ca="1">IF($D243&lt;&gt;"Serviço",0,IF(AND(AUTOEVENTO="Manual",$M243=1),0,IF(OFFSET(CRONOPLE!$F$14,$M243,AV$13)="",10^12,OFFSET(CRONOPLE!$F$14,$M243,AV$13))))</f>
        <v>1000000000000</v>
      </c>
      <c r="AX243" s="182">
        <f ca="1">IF($D243&lt;&gt;"Serviço",0,IF(OR(AND(AUTOEVENTO="Manual",$M243=1),$M243&gt;(ROW(PLE.lastrow)-ROW(PLE.firstrow))),0,IF(OFFSET(PLE!$G$14,$M243,AX$13)="",10^12,OFFSET(PLE!$G$14,$M243,AX$13))))</f>
        <v>1000000000000</v>
      </c>
      <c r="AY243" s="182">
        <f ca="1">IF($D243&lt;&gt;"Serviço",0,IF(OR(AND(AUTOEVENTO="Manual",$M243=1),$M243&gt;(ROW(PLE.lastrow)-ROW(PLE.firstrow))),0,IF(OFFSET(PLE!$G$14,$M243,AY$13)="",10^12,OFFSET(PLE!$G$14,$M243,AY$13))))</f>
        <v>1000000000000</v>
      </c>
      <c r="AZ243" s="182">
        <f ca="1">IF($D243&lt;&gt;"Serviço",0,IF(OR(AND(AUTOEVENTO="Manual",$M243=1),$M243&gt;(ROW(PLE.lastrow)-ROW(PLE.firstrow))),0,IF(OFFSET(PLE!$G$14,$M243,AZ$13)="",10^12,OFFSET(PLE!$G$14,$M243,AZ$13))))</f>
        <v>1000000000000</v>
      </c>
      <c r="BA243" s="182">
        <f ca="1">IF($D243&lt;&gt;"Serviço",0,IF(OR(AND(AUTOEVENTO="Manual",$M243=1),$M243&gt;(ROW(PLE.lastrow)-ROW(PLE.firstrow))),0,IF(OFFSET(PLE!$G$14,$M243,BA$13)="",10^12,OFFSET(PLE!$G$14,$M243,BA$13))))</f>
        <v>1000000000000</v>
      </c>
      <c r="BB243" s="182">
        <f ca="1">IF($D243&lt;&gt;"Serviço",0,IF(OR(AND(AUTOEVENTO="Manual",$M243=1),$M243&gt;(ROW(PLE.lastrow)-ROW(PLE.firstrow))),0,IF(OFFSET(PLE!$G$14,$M243,BB$13)="",10^12,OFFSET(PLE!$G$14,$M243,BB$13))))</f>
        <v>1000000000000</v>
      </c>
      <c r="BC243" s="182">
        <f ca="1">IF($D243&lt;&gt;"Serviço",0,IF(OR(AND(AUTOEVENTO="Manual",$M243=1),$M243&gt;(ROW(PLE.lastrow)-ROW(PLE.firstrow))),0,IF(OFFSET(PLE!$G$14,$M243,BC$13)="",10^12,OFFSET(PLE!$G$14,$M243,BC$13))))</f>
        <v>1000000000000</v>
      </c>
      <c r="BD243" s="182">
        <f ca="1">IF($D243&lt;&gt;"Serviço",0,IF(OR(AND(AUTOEVENTO="Manual",$M243=1),$M243&gt;(ROW(PLE.lastrow)-ROW(PLE.firstrow))),0,IF(OFFSET(PLE!$G$14,$M243,BD$13)="",10^12,OFFSET(PLE!$G$14,$M243,BD$13))))</f>
        <v>1000000000000</v>
      </c>
      <c r="BE243" s="182">
        <f ca="1">IF($D243&lt;&gt;"Serviço",0,IF(OR(AND(AUTOEVENTO="Manual",$M243=1),$M243&gt;(ROW(PLE.lastrow)-ROW(PLE.firstrow))),0,IF(OFFSET(PLE!$G$14,$M243,BE$13)="",10^12,OFFSET(PLE!$G$14,$M243,BE$13))))</f>
        <v>1000000000000</v>
      </c>
      <c r="BF243" s="182">
        <f ca="1">IF($D243&lt;&gt;"Serviço",0,IF(OR(AND(AUTOEVENTO="Manual",$M243=1),$M243&gt;(ROW(PLE.lastrow)-ROW(PLE.firstrow))),0,IF(OFFSET(PLE!$G$14,$M243,BF$13)="",10^12,OFFSET(PLE!$G$14,$M243,BF$13))))</f>
        <v>1000000000000</v>
      </c>
      <c r="BG243" s="182">
        <f ca="1">IF($D243&lt;&gt;"Serviço",0,IF(OR(AND(AUTOEVENTO="Manual",$M243=1),$M243&gt;(ROW(PLE.lastrow)-ROW(PLE.firstrow))),0,IF(OFFSET(PLE!$G$14,$M243,BG$13)="",10^12,OFFSET(PLE!$G$14,$M243,BG$13))))</f>
        <v>1000000000000</v>
      </c>
    </row>
    <row r="244" spans="1:59" ht="25.5" x14ac:dyDescent="0.2">
      <c r="A244" s="7" t="str">
        <f t="shared" ca="1" si="11"/>
        <v>225</v>
      </c>
      <c r="B244" s="7" t="str">
        <f ca="1">OFFSET(ORÇAMENTO!C$15,ROW(B244)-ROW(B$15),0)</f>
        <v>S</v>
      </c>
      <c r="C244" s="7" t="str">
        <f ca="1">OFFSET(ORÇAMENTO!L$15,ROW(C244)-ROW(C$15),0)</f>
        <v/>
      </c>
      <c r="D244" s="118" t="str">
        <f ca="1">OFFSET(ORÇAMENTO!N$15,ROW(D244)-ROW(D$15),0)</f>
        <v>Serviço</v>
      </c>
      <c r="E244" s="119" t="str">
        <f ca="1">OFFSET(ORÇAMENTO!O$15,ROW(E244)-ROW(E$15),0)</f>
        <v>-</v>
      </c>
      <c r="F244" s="172" t="str">
        <f ca="1">OFFSET(ORÇAMENTO!R$15,ROW(F244)-ROW(F$15),0)</f>
        <v>(abra o arquivo 'Referência 02-2025.xlsm)</v>
      </c>
      <c r="G244" s="173" t="str">
        <f ca="1">IF($D244&lt;&gt;"Serviço","",OFFSET(ORÇAMENTO!S$15,ROW(G244)-ROW(G$15),0))</f>
        <v>-</v>
      </c>
      <c r="H244" s="124">
        <f ca="1">IF($D244&lt;&gt;"Serviço",0,IF(ACOMPANHAMENTO="BM",ROUND(OFFSET(ORÇAMENTO!AJ$15,ROW(H244)-ROW(H$15),0),15-13*ORÇAMENTO!$AF$7),SUMPRODUCT(($Q$12:$AA$12&lt;&gt;"")*ROUND($Q244:$AA244,15-13*ORÇAMENTO!$AF$7))))</f>
        <v>2203.5700000000002</v>
      </c>
      <c r="I244" s="561" t="s">
        <v>890</v>
      </c>
      <c r="K244" s="174"/>
      <c r="L244" s="175" t="s">
        <v>255</v>
      </c>
      <c r="M244" s="176">
        <f ca="1">IF($D244&lt;&gt;"Serviço","",IF(AUTOEVENTO="manual",$A244,IF(ISERROR(MATCH($A244,$A$15:OFFSET($A244,-1,0),0)),MAX($M$15:OFFSET(M244,-1,0))+1,INDEX($M$15:OFFSET(M244,-1,0),MATCH($A244,$A$15:OFFSET($A244,-1,0),0)))))</f>
        <v>12</v>
      </c>
      <c r="N244" s="177" t="str">
        <f ca="1">IF($D244&lt;&gt;"Serviço","",IF(AUTOEVENTO="Manual",IF($A244=0,"&lt;-- defina o número do agrupador",OFFSET(EVENTOS!$D$14,$A244,0)),OFFSET($F$15,$A244,0)))</f>
        <v>PINTURAS E ACABAMENTOS</v>
      </c>
      <c r="O244" s="178"/>
      <c r="Q244" s="178"/>
      <c r="R244" s="179"/>
      <c r="S244" s="179"/>
      <c r="T244" s="179"/>
      <c r="U244" s="179"/>
      <c r="V244" s="179"/>
      <c r="W244" s="179"/>
      <c r="X244" s="179"/>
      <c r="Y244" s="179"/>
      <c r="Z244" s="180"/>
      <c r="AB244" s="544">
        <f ca="1">IF(AND($D244="Serviço",AB$12&lt;&gt;0,$H244&gt;0,OR(AUTOEVENTO&lt;&gt;"manual",$M244&lt;&gt;1)),
IF(Import.TipoArredondamento&lt;&gt;"TransfereGOV",
ROUND(OFFSET($P244,0,AB$13),15-13*ORÇAMENTO!$AF$7)/$H244*OFFSET(ORÇAMENTO!$X$15,ROW(AB244)-ROW(AB$15),0),
ROUND(ROUND(OFFSET($P244,0,AB$13),15-13*ORÇAMENTO!$AF$7)*OFFSET(ORÇAMENTO!$W$15,ROW(AB244)-ROW(AB$15),0),15-13*ORÇAMENTO!$AF$11)),0)</f>
        <v>0</v>
      </c>
      <c r="AC244" s="545">
        <f ca="1">IF(AND($D244="Serviço",AC$12&lt;&gt;0,$H244&gt;0,OR(AUTOEVENTO&lt;&gt;"manual",$M244&lt;&gt;1)),
IF(Import.TipoArredondamento&lt;&gt;"TransfereGOV",
ROUND(OFFSET($P244,0,AC$13),15-13*ORÇAMENTO!$AF$7)/$H244*OFFSET(ORÇAMENTO!$X$15,ROW(AC244)-ROW(AC$15),0),
ROUND(ROUND(OFFSET($P244,0,AC$13),15-13*ORÇAMENTO!$AF$7)*OFFSET(ORÇAMENTO!$W$15,ROW(AC244)-ROW(AC$15),0),15-13*ORÇAMENTO!$AF$11)),0)</f>
        <v>0</v>
      </c>
      <c r="AD244" s="545">
        <f ca="1">IF(AND($D244="Serviço",AD$12&lt;&gt;0,$H244&gt;0,OR(AUTOEVENTO&lt;&gt;"manual",$M244&lt;&gt;1)),
IF(Import.TipoArredondamento&lt;&gt;"TransfereGOV",
ROUND(OFFSET($P244,0,AD$13),15-13*ORÇAMENTO!$AF$7)/$H244*OFFSET(ORÇAMENTO!$X$15,ROW(AD244)-ROW(AD$15),0),
ROUND(ROUND(OFFSET($P244,0,AD$13),15-13*ORÇAMENTO!$AF$7)*OFFSET(ORÇAMENTO!$W$15,ROW(AD244)-ROW(AD$15),0),15-13*ORÇAMENTO!$AF$11)),0)</f>
        <v>0</v>
      </c>
      <c r="AE244" s="545">
        <f ca="1">IF(AND($D244="Serviço",AE$12&lt;&gt;0,$H244&gt;0,OR(AUTOEVENTO&lt;&gt;"manual",$M244&lt;&gt;1)),
IF(Import.TipoArredondamento&lt;&gt;"TransfereGOV",
ROUND(OFFSET($P244,0,AE$13),15-13*ORÇAMENTO!$AF$7)/$H244*OFFSET(ORÇAMENTO!$X$15,ROW(AE244)-ROW(AE$15),0),
ROUND(ROUND(OFFSET($P244,0,AE$13),15-13*ORÇAMENTO!$AF$7)*OFFSET(ORÇAMENTO!$W$15,ROW(AE244)-ROW(AE$15),0),15-13*ORÇAMENTO!$AF$11)),0)</f>
        <v>0</v>
      </c>
      <c r="AF244" s="545">
        <f ca="1">IF(AND($D244="Serviço",AF$12&lt;&gt;0,$H244&gt;0,OR(AUTOEVENTO&lt;&gt;"manual",$M244&lt;&gt;1)),
IF(Import.TipoArredondamento&lt;&gt;"TransfereGOV",
ROUND(OFFSET($P244,0,AF$13),15-13*ORÇAMENTO!$AF$7)/$H244*OFFSET(ORÇAMENTO!$X$15,ROW(AF244)-ROW(AF$15),0),
ROUND(ROUND(OFFSET($P244,0,AF$13),15-13*ORÇAMENTO!$AF$7)*OFFSET(ORÇAMENTO!$W$15,ROW(AF244)-ROW(AF$15),0),15-13*ORÇAMENTO!$AF$11)),0)</f>
        <v>0</v>
      </c>
      <c r="AG244" s="545">
        <f ca="1">IF(AND($D244="Serviço",AG$12&lt;&gt;0,$H244&gt;0,OR(AUTOEVENTO&lt;&gt;"manual",$M244&lt;&gt;1)),
IF(Import.TipoArredondamento&lt;&gt;"TransfereGOV",
ROUND(OFFSET($P244,0,AG$13),15-13*ORÇAMENTO!$AF$7)/$H244*OFFSET(ORÇAMENTO!$X$15,ROW(AG244)-ROW(AG$15),0),
ROUND(ROUND(OFFSET($P244,0,AG$13),15-13*ORÇAMENTO!$AF$7)*OFFSET(ORÇAMENTO!$W$15,ROW(AG244)-ROW(AG$15),0),15-13*ORÇAMENTO!$AF$11)),0)</f>
        <v>0</v>
      </c>
      <c r="AH244" s="545">
        <f ca="1">IF(AND($D244="Serviço",AH$12&lt;&gt;0,$H244&gt;0,OR(AUTOEVENTO&lt;&gt;"manual",$M244&lt;&gt;1)),
IF(Import.TipoArredondamento&lt;&gt;"TransfereGOV",
ROUND(OFFSET($P244,0,AH$13),15-13*ORÇAMENTO!$AF$7)/$H244*OFFSET(ORÇAMENTO!$X$15,ROW(AH244)-ROW(AH$15),0),
ROUND(ROUND(OFFSET($P244,0,AH$13),15-13*ORÇAMENTO!$AF$7)*OFFSET(ORÇAMENTO!$W$15,ROW(AH244)-ROW(AH$15),0),15-13*ORÇAMENTO!$AF$11)),0)</f>
        <v>0</v>
      </c>
      <c r="AI244" s="545">
        <f ca="1">IF(AND($D244="Serviço",AI$12&lt;&gt;0,$H244&gt;0,OR(AUTOEVENTO&lt;&gt;"manual",$M244&lt;&gt;1)),
IF(Import.TipoArredondamento&lt;&gt;"TransfereGOV",
ROUND(OFFSET($P244,0,AI$13),15-13*ORÇAMENTO!$AF$7)/$H244*OFFSET(ORÇAMENTO!$X$15,ROW(AI244)-ROW(AI$15),0),
ROUND(ROUND(OFFSET($P244,0,AI$13),15-13*ORÇAMENTO!$AF$7)*OFFSET(ORÇAMENTO!$W$15,ROW(AI244)-ROW(AI$15),0),15-13*ORÇAMENTO!$AF$11)),0)</f>
        <v>0</v>
      </c>
      <c r="AJ244" s="545">
        <f ca="1">IF(AND($D244="Serviço",AJ$12&lt;&gt;0,$H244&gt;0,OR(AUTOEVENTO&lt;&gt;"manual",$M244&lt;&gt;1)),
IF(Import.TipoArredondamento&lt;&gt;"TransfereGOV",
ROUND(OFFSET($P244,0,AJ$13),15-13*ORÇAMENTO!$AF$7)/$H244*OFFSET(ORÇAMENTO!$X$15,ROW(AJ244)-ROW(AJ$15),0),
ROUND(ROUND(OFFSET($P244,0,AJ$13),15-13*ORÇAMENTO!$AF$7)*OFFSET(ORÇAMENTO!$W$15,ROW(AJ244)-ROW(AJ$15),0),15-13*ORÇAMENTO!$AF$11)),0)</f>
        <v>0</v>
      </c>
      <c r="AK244" s="546">
        <f ca="1">IF(AND($D244="Serviço",AK$12&lt;&gt;0,$H244&gt;0,OR(AUTOEVENTO&lt;&gt;"manual",$M244&lt;&gt;1)),
IF(Import.TipoArredondamento&lt;&gt;"TransfereGOV",
ROUND(OFFSET($P244,0,AK$13),15-13*ORÇAMENTO!$AF$7)/$H244*OFFSET(ORÇAMENTO!$X$15,ROW(AK244)-ROW(AK$15),0),
ROUND(ROUND(OFFSET($P244,0,AK$13),15-13*ORÇAMENTO!$AF$7)*OFFSET(ORÇAMENTO!$W$15,ROW(AK244)-ROW(AK$15),0),15-13*ORÇAMENTO!$AF$11)),0)</f>
        <v>0</v>
      </c>
      <c r="AM244" s="181">
        <f ca="1">IF($D244&lt;&gt;"Serviço",0,IF(AND(AUTOEVENTO="Manual",$M244=1),0,IF(OFFSET(CRONOPLE!$F$14,$M244,AM$13)="",10^12,OFFSET(CRONOPLE!$F$14,$M244,AM$13))))</f>
        <v>1000000000000</v>
      </c>
      <c r="AN244" s="181">
        <f ca="1">IF($D244&lt;&gt;"Serviço",0,IF(AND(AUTOEVENTO="Manual",$M244=1),0,IF(OFFSET(CRONOPLE!$F$14,$M244,AN$13)="",10^12,OFFSET(CRONOPLE!$F$14,$M244,AN$13))))</f>
        <v>1000000000000</v>
      </c>
      <c r="AO244" s="181">
        <f ca="1">IF($D244&lt;&gt;"Serviço",0,IF(AND(AUTOEVENTO="Manual",$M244=1),0,IF(OFFSET(CRONOPLE!$F$14,$M244,AO$13)="",10^12,OFFSET(CRONOPLE!$F$14,$M244,AO$13))))</f>
        <v>1000000000000</v>
      </c>
      <c r="AP244" s="181">
        <f ca="1">IF($D244&lt;&gt;"Serviço",0,IF(AND(AUTOEVENTO="Manual",$M244=1),0,IF(OFFSET(CRONOPLE!$F$14,$M244,AP$13)="",10^12,OFFSET(CRONOPLE!$F$14,$M244,AP$13))))</f>
        <v>1000000000000</v>
      </c>
      <c r="AQ244" s="181">
        <f ca="1">IF($D244&lt;&gt;"Serviço",0,IF(AND(AUTOEVENTO="Manual",$M244=1),0,IF(OFFSET(CRONOPLE!$F$14,$M244,AQ$13)="",10^12,OFFSET(CRONOPLE!$F$14,$M244,AQ$13))))</f>
        <v>1000000000000</v>
      </c>
      <c r="AR244" s="181">
        <f ca="1">IF($D244&lt;&gt;"Serviço",0,IF(AND(AUTOEVENTO="Manual",$M244=1),0,IF(OFFSET(CRONOPLE!$F$14,$M244,AR$13)="",10^12,OFFSET(CRONOPLE!$F$14,$M244,AR$13))))</f>
        <v>1000000000000</v>
      </c>
      <c r="AS244" s="181">
        <f ca="1">IF($D244&lt;&gt;"Serviço",0,IF(AND(AUTOEVENTO="Manual",$M244=1),0,IF(OFFSET(CRONOPLE!$F$14,$M244,AS$13)="",10^12,OFFSET(CRONOPLE!$F$14,$M244,AS$13))))</f>
        <v>1000000000000</v>
      </c>
      <c r="AT244" s="181">
        <f ca="1">IF($D244&lt;&gt;"Serviço",0,IF(AND(AUTOEVENTO="Manual",$M244=1),0,IF(OFFSET(CRONOPLE!$F$14,$M244,AT$13)="",10^12,OFFSET(CRONOPLE!$F$14,$M244,AT$13))))</f>
        <v>1000000000000</v>
      </c>
      <c r="AU244" s="181">
        <f ca="1">IF($D244&lt;&gt;"Serviço",0,IF(AND(AUTOEVENTO="Manual",$M244=1),0,IF(OFFSET(CRONOPLE!$F$14,$M244,AU$13)="",10^12,OFFSET(CRONOPLE!$F$14,$M244,AU$13))))</f>
        <v>1000000000000</v>
      </c>
      <c r="AV244" s="181">
        <f ca="1">IF($D244&lt;&gt;"Serviço",0,IF(AND(AUTOEVENTO="Manual",$M244=1),0,IF(OFFSET(CRONOPLE!$F$14,$M244,AV$13)="",10^12,OFFSET(CRONOPLE!$F$14,$M244,AV$13))))</f>
        <v>1000000000000</v>
      </c>
      <c r="AX244" s="182">
        <f ca="1">IF($D244&lt;&gt;"Serviço",0,IF(OR(AND(AUTOEVENTO="Manual",$M244=1),$M244&gt;(ROW(PLE.lastrow)-ROW(PLE.firstrow))),0,IF(OFFSET(PLE!$G$14,$M244,AX$13)="",10^12,OFFSET(PLE!$G$14,$M244,AX$13))))</f>
        <v>1000000000000</v>
      </c>
      <c r="AY244" s="182">
        <f ca="1">IF($D244&lt;&gt;"Serviço",0,IF(OR(AND(AUTOEVENTO="Manual",$M244=1),$M244&gt;(ROW(PLE.lastrow)-ROW(PLE.firstrow))),0,IF(OFFSET(PLE!$G$14,$M244,AY$13)="",10^12,OFFSET(PLE!$G$14,$M244,AY$13))))</f>
        <v>1000000000000</v>
      </c>
      <c r="AZ244" s="182">
        <f ca="1">IF($D244&lt;&gt;"Serviço",0,IF(OR(AND(AUTOEVENTO="Manual",$M244=1),$M244&gt;(ROW(PLE.lastrow)-ROW(PLE.firstrow))),0,IF(OFFSET(PLE!$G$14,$M244,AZ$13)="",10^12,OFFSET(PLE!$G$14,$M244,AZ$13))))</f>
        <v>1000000000000</v>
      </c>
      <c r="BA244" s="182">
        <f ca="1">IF($D244&lt;&gt;"Serviço",0,IF(OR(AND(AUTOEVENTO="Manual",$M244=1),$M244&gt;(ROW(PLE.lastrow)-ROW(PLE.firstrow))),0,IF(OFFSET(PLE!$G$14,$M244,BA$13)="",10^12,OFFSET(PLE!$G$14,$M244,BA$13))))</f>
        <v>1000000000000</v>
      </c>
      <c r="BB244" s="182">
        <f ca="1">IF($D244&lt;&gt;"Serviço",0,IF(OR(AND(AUTOEVENTO="Manual",$M244=1),$M244&gt;(ROW(PLE.lastrow)-ROW(PLE.firstrow))),0,IF(OFFSET(PLE!$G$14,$M244,BB$13)="",10^12,OFFSET(PLE!$G$14,$M244,BB$13))))</f>
        <v>1000000000000</v>
      </c>
      <c r="BC244" s="182">
        <f ca="1">IF($D244&lt;&gt;"Serviço",0,IF(OR(AND(AUTOEVENTO="Manual",$M244=1),$M244&gt;(ROW(PLE.lastrow)-ROW(PLE.firstrow))),0,IF(OFFSET(PLE!$G$14,$M244,BC$13)="",10^12,OFFSET(PLE!$G$14,$M244,BC$13))))</f>
        <v>1000000000000</v>
      </c>
      <c r="BD244" s="182">
        <f ca="1">IF($D244&lt;&gt;"Serviço",0,IF(OR(AND(AUTOEVENTO="Manual",$M244=1),$M244&gt;(ROW(PLE.lastrow)-ROW(PLE.firstrow))),0,IF(OFFSET(PLE!$G$14,$M244,BD$13)="",10^12,OFFSET(PLE!$G$14,$M244,BD$13))))</f>
        <v>1000000000000</v>
      </c>
      <c r="BE244" s="182">
        <f ca="1">IF($D244&lt;&gt;"Serviço",0,IF(OR(AND(AUTOEVENTO="Manual",$M244=1),$M244&gt;(ROW(PLE.lastrow)-ROW(PLE.firstrow))),0,IF(OFFSET(PLE!$G$14,$M244,BE$13)="",10^12,OFFSET(PLE!$G$14,$M244,BE$13))))</f>
        <v>1000000000000</v>
      </c>
      <c r="BF244" s="182">
        <f ca="1">IF($D244&lt;&gt;"Serviço",0,IF(OR(AND(AUTOEVENTO="Manual",$M244=1),$M244&gt;(ROW(PLE.lastrow)-ROW(PLE.firstrow))),0,IF(OFFSET(PLE!$G$14,$M244,BF$13)="",10^12,OFFSET(PLE!$G$14,$M244,BF$13))))</f>
        <v>1000000000000</v>
      </c>
      <c r="BG244" s="182">
        <f ca="1">IF($D244&lt;&gt;"Serviço",0,IF(OR(AND(AUTOEVENTO="Manual",$M244=1),$M244&gt;(ROW(PLE.lastrow)-ROW(PLE.firstrow))),0,IF(OFFSET(PLE!$G$14,$M244,BG$13)="",10^12,OFFSET(PLE!$G$14,$M244,BG$13))))</f>
        <v>1000000000000</v>
      </c>
    </row>
    <row r="245" spans="1:59" ht="25.5" x14ac:dyDescent="0.2">
      <c r="A245" s="7" t="str">
        <f t="shared" ca="1" si="11"/>
        <v>225</v>
      </c>
      <c r="B245" s="7" t="str">
        <f ca="1">OFFSET(ORÇAMENTO!C$15,ROW(B245)-ROW(B$15),0)</f>
        <v>S</v>
      </c>
      <c r="C245" s="7" t="str">
        <f ca="1">OFFSET(ORÇAMENTO!L$15,ROW(C245)-ROW(C$15),0)</f>
        <v/>
      </c>
      <c r="D245" s="118" t="str">
        <f ca="1">OFFSET(ORÇAMENTO!N$15,ROW(D245)-ROW(D$15),0)</f>
        <v>Serviço</v>
      </c>
      <c r="E245" s="119" t="str">
        <f ca="1">OFFSET(ORÇAMENTO!O$15,ROW(E245)-ROW(E$15),0)</f>
        <v>-</v>
      </c>
      <c r="F245" s="172" t="str">
        <f ca="1">OFFSET(ORÇAMENTO!R$15,ROW(F245)-ROW(F$15),0)</f>
        <v>(abra o arquivo 'Referência 02-2025.xlsm)</v>
      </c>
      <c r="G245" s="173" t="str">
        <f ca="1">IF($D245&lt;&gt;"Serviço","",OFFSET(ORÇAMENTO!S$15,ROW(G245)-ROW(G$15),0))</f>
        <v>-</v>
      </c>
      <c r="H245" s="124">
        <f ca="1">IF($D245&lt;&gt;"Serviço",0,IF(ACOMPANHAMENTO="BM",ROUND(OFFSET(ORÇAMENTO!AJ$15,ROW(H245)-ROW(H$15),0),15-13*ORÇAMENTO!$AF$7),SUMPRODUCT(($Q$12:$AA$12&lt;&gt;"")*ROUND($Q245:$AA245,15-13*ORÇAMENTO!$AF$7))))</f>
        <v>15.55</v>
      </c>
      <c r="I245" s="561" t="s">
        <v>890</v>
      </c>
      <c r="K245" s="174"/>
      <c r="L245" s="175" t="s">
        <v>255</v>
      </c>
      <c r="M245" s="176">
        <f ca="1">IF($D245&lt;&gt;"Serviço","",IF(AUTOEVENTO="manual",$A245,IF(ISERROR(MATCH($A245,$A$15:OFFSET($A245,-1,0),0)),MAX($M$15:OFFSET(M245,-1,0))+1,INDEX($M$15:OFFSET(M245,-1,0),MATCH($A245,$A$15:OFFSET($A245,-1,0),0)))))</f>
        <v>12</v>
      </c>
      <c r="N245" s="177" t="str">
        <f ca="1">IF($D245&lt;&gt;"Serviço","",IF(AUTOEVENTO="Manual",IF($A245=0,"&lt;-- defina o número do agrupador",OFFSET(EVENTOS!$D$14,$A245,0)),OFFSET($F$15,$A245,0)))</f>
        <v>PINTURAS E ACABAMENTOS</v>
      </c>
      <c r="O245" s="178"/>
      <c r="Q245" s="178"/>
      <c r="R245" s="179"/>
      <c r="S245" s="179"/>
      <c r="T245" s="179"/>
      <c r="U245" s="179"/>
      <c r="V245" s="179"/>
      <c r="W245" s="179"/>
      <c r="X245" s="179"/>
      <c r="Y245" s="179"/>
      <c r="Z245" s="180"/>
      <c r="AB245" s="544">
        <f ca="1">IF(AND($D245="Serviço",AB$12&lt;&gt;0,$H245&gt;0,OR(AUTOEVENTO&lt;&gt;"manual",$M245&lt;&gt;1)),
IF(Import.TipoArredondamento&lt;&gt;"TransfereGOV",
ROUND(OFFSET($P245,0,AB$13),15-13*ORÇAMENTO!$AF$7)/$H245*OFFSET(ORÇAMENTO!$X$15,ROW(AB245)-ROW(AB$15),0),
ROUND(ROUND(OFFSET($P245,0,AB$13),15-13*ORÇAMENTO!$AF$7)*OFFSET(ORÇAMENTO!$W$15,ROW(AB245)-ROW(AB$15),0),15-13*ORÇAMENTO!$AF$11)),0)</f>
        <v>0</v>
      </c>
      <c r="AC245" s="545">
        <f ca="1">IF(AND($D245="Serviço",AC$12&lt;&gt;0,$H245&gt;0,OR(AUTOEVENTO&lt;&gt;"manual",$M245&lt;&gt;1)),
IF(Import.TipoArredondamento&lt;&gt;"TransfereGOV",
ROUND(OFFSET($P245,0,AC$13),15-13*ORÇAMENTO!$AF$7)/$H245*OFFSET(ORÇAMENTO!$X$15,ROW(AC245)-ROW(AC$15),0),
ROUND(ROUND(OFFSET($P245,0,AC$13),15-13*ORÇAMENTO!$AF$7)*OFFSET(ORÇAMENTO!$W$15,ROW(AC245)-ROW(AC$15),0),15-13*ORÇAMENTO!$AF$11)),0)</f>
        <v>0</v>
      </c>
      <c r="AD245" s="545">
        <f ca="1">IF(AND($D245="Serviço",AD$12&lt;&gt;0,$H245&gt;0,OR(AUTOEVENTO&lt;&gt;"manual",$M245&lt;&gt;1)),
IF(Import.TipoArredondamento&lt;&gt;"TransfereGOV",
ROUND(OFFSET($P245,0,AD$13),15-13*ORÇAMENTO!$AF$7)/$H245*OFFSET(ORÇAMENTO!$X$15,ROW(AD245)-ROW(AD$15),0),
ROUND(ROUND(OFFSET($P245,0,AD$13),15-13*ORÇAMENTO!$AF$7)*OFFSET(ORÇAMENTO!$W$15,ROW(AD245)-ROW(AD$15),0),15-13*ORÇAMENTO!$AF$11)),0)</f>
        <v>0</v>
      </c>
      <c r="AE245" s="545">
        <f ca="1">IF(AND($D245="Serviço",AE$12&lt;&gt;0,$H245&gt;0,OR(AUTOEVENTO&lt;&gt;"manual",$M245&lt;&gt;1)),
IF(Import.TipoArredondamento&lt;&gt;"TransfereGOV",
ROUND(OFFSET($P245,0,AE$13),15-13*ORÇAMENTO!$AF$7)/$H245*OFFSET(ORÇAMENTO!$X$15,ROW(AE245)-ROW(AE$15),0),
ROUND(ROUND(OFFSET($P245,0,AE$13),15-13*ORÇAMENTO!$AF$7)*OFFSET(ORÇAMENTO!$W$15,ROW(AE245)-ROW(AE$15),0),15-13*ORÇAMENTO!$AF$11)),0)</f>
        <v>0</v>
      </c>
      <c r="AF245" s="545">
        <f ca="1">IF(AND($D245="Serviço",AF$12&lt;&gt;0,$H245&gt;0,OR(AUTOEVENTO&lt;&gt;"manual",$M245&lt;&gt;1)),
IF(Import.TipoArredondamento&lt;&gt;"TransfereGOV",
ROUND(OFFSET($P245,0,AF$13),15-13*ORÇAMENTO!$AF$7)/$H245*OFFSET(ORÇAMENTO!$X$15,ROW(AF245)-ROW(AF$15),0),
ROUND(ROUND(OFFSET($P245,0,AF$13),15-13*ORÇAMENTO!$AF$7)*OFFSET(ORÇAMENTO!$W$15,ROW(AF245)-ROW(AF$15),0),15-13*ORÇAMENTO!$AF$11)),0)</f>
        <v>0</v>
      </c>
      <c r="AG245" s="545">
        <f ca="1">IF(AND($D245="Serviço",AG$12&lt;&gt;0,$H245&gt;0,OR(AUTOEVENTO&lt;&gt;"manual",$M245&lt;&gt;1)),
IF(Import.TipoArredondamento&lt;&gt;"TransfereGOV",
ROUND(OFFSET($P245,0,AG$13),15-13*ORÇAMENTO!$AF$7)/$H245*OFFSET(ORÇAMENTO!$X$15,ROW(AG245)-ROW(AG$15),0),
ROUND(ROUND(OFFSET($P245,0,AG$13),15-13*ORÇAMENTO!$AF$7)*OFFSET(ORÇAMENTO!$W$15,ROW(AG245)-ROW(AG$15),0),15-13*ORÇAMENTO!$AF$11)),0)</f>
        <v>0</v>
      </c>
      <c r="AH245" s="545">
        <f ca="1">IF(AND($D245="Serviço",AH$12&lt;&gt;0,$H245&gt;0,OR(AUTOEVENTO&lt;&gt;"manual",$M245&lt;&gt;1)),
IF(Import.TipoArredondamento&lt;&gt;"TransfereGOV",
ROUND(OFFSET($P245,0,AH$13),15-13*ORÇAMENTO!$AF$7)/$H245*OFFSET(ORÇAMENTO!$X$15,ROW(AH245)-ROW(AH$15),0),
ROUND(ROUND(OFFSET($P245,0,AH$13),15-13*ORÇAMENTO!$AF$7)*OFFSET(ORÇAMENTO!$W$15,ROW(AH245)-ROW(AH$15),0),15-13*ORÇAMENTO!$AF$11)),0)</f>
        <v>0</v>
      </c>
      <c r="AI245" s="545">
        <f ca="1">IF(AND($D245="Serviço",AI$12&lt;&gt;0,$H245&gt;0,OR(AUTOEVENTO&lt;&gt;"manual",$M245&lt;&gt;1)),
IF(Import.TipoArredondamento&lt;&gt;"TransfereGOV",
ROUND(OFFSET($P245,0,AI$13),15-13*ORÇAMENTO!$AF$7)/$H245*OFFSET(ORÇAMENTO!$X$15,ROW(AI245)-ROW(AI$15),0),
ROUND(ROUND(OFFSET($P245,0,AI$13),15-13*ORÇAMENTO!$AF$7)*OFFSET(ORÇAMENTO!$W$15,ROW(AI245)-ROW(AI$15),0),15-13*ORÇAMENTO!$AF$11)),0)</f>
        <v>0</v>
      </c>
      <c r="AJ245" s="545">
        <f ca="1">IF(AND($D245="Serviço",AJ$12&lt;&gt;0,$H245&gt;0,OR(AUTOEVENTO&lt;&gt;"manual",$M245&lt;&gt;1)),
IF(Import.TipoArredondamento&lt;&gt;"TransfereGOV",
ROUND(OFFSET($P245,0,AJ$13),15-13*ORÇAMENTO!$AF$7)/$H245*OFFSET(ORÇAMENTO!$X$15,ROW(AJ245)-ROW(AJ$15),0),
ROUND(ROUND(OFFSET($P245,0,AJ$13),15-13*ORÇAMENTO!$AF$7)*OFFSET(ORÇAMENTO!$W$15,ROW(AJ245)-ROW(AJ$15),0),15-13*ORÇAMENTO!$AF$11)),0)</f>
        <v>0</v>
      </c>
      <c r="AK245" s="546">
        <f ca="1">IF(AND($D245="Serviço",AK$12&lt;&gt;0,$H245&gt;0,OR(AUTOEVENTO&lt;&gt;"manual",$M245&lt;&gt;1)),
IF(Import.TipoArredondamento&lt;&gt;"TransfereGOV",
ROUND(OFFSET($P245,0,AK$13),15-13*ORÇAMENTO!$AF$7)/$H245*OFFSET(ORÇAMENTO!$X$15,ROW(AK245)-ROW(AK$15),0),
ROUND(ROUND(OFFSET($P245,0,AK$13),15-13*ORÇAMENTO!$AF$7)*OFFSET(ORÇAMENTO!$W$15,ROW(AK245)-ROW(AK$15),0),15-13*ORÇAMENTO!$AF$11)),0)</f>
        <v>0</v>
      </c>
      <c r="AM245" s="181">
        <f ca="1">IF($D245&lt;&gt;"Serviço",0,IF(AND(AUTOEVENTO="Manual",$M245=1),0,IF(OFFSET(CRONOPLE!$F$14,$M245,AM$13)="",10^12,OFFSET(CRONOPLE!$F$14,$M245,AM$13))))</f>
        <v>1000000000000</v>
      </c>
      <c r="AN245" s="181">
        <f ca="1">IF($D245&lt;&gt;"Serviço",0,IF(AND(AUTOEVENTO="Manual",$M245=1),0,IF(OFFSET(CRONOPLE!$F$14,$M245,AN$13)="",10^12,OFFSET(CRONOPLE!$F$14,$M245,AN$13))))</f>
        <v>1000000000000</v>
      </c>
      <c r="AO245" s="181">
        <f ca="1">IF($D245&lt;&gt;"Serviço",0,IF(AND(AUTOEVENTO="Manual",$M245=1),0,IF(OFFSET(CRONOPLE!$F$14,$M245,AO$13)="",10^12,OFFSET(CRONOPLE!$F$14,$M245,AO$13))))</f>
        <v>1000000000000</v>
      </c>
      <c r="AP245" s="181">
        <f ca="1">IF($D245&lt;&gt;"Serviço",0,IF(AND(AUTOEVENTO="Manual",$M245=1),0,IF(OFFSET(CRONOPLE!$F$14,$M245,AP$13)="",10^12,OFFSET(CRONOPLE!$F$14,$M245,AP$13))))</f>
        <v>1000000000000</v>
      </c>
      <c r="AQ245" s="181">
        <f ca="1">IF($D245&lt;&gt;"Serviço",0,IF(AND(AUTOEVENTO="Manual",$M245=1),0,IF(OFFSET(CRONOPLE!$F$14,$M245,AQ$13)="",10^12,OFFSET(CRONOPLE!$F$14,$M245,AQ$13))))</f>
        <v>1000000000000</v>
      </c>
      <c r="AR245" s="181">
        <f ca="1">IF($D245&lt;&gt;"Serviço",0,IF(AND(AUTOEVENTO="Manual",$M245=1),0,IF(OFFSET(CRONOPLE!$F$14,$M245,AR$13)="",10^12,OFFSET(CRONOPLE!$F$14,$M245,AR$13))))</f>
        <v>1000000000000</v>
      </c>
      <c r="AS245" s="181">
        <f ca="1">IF($D245&lt;&gt;"Serviço",0,IF(AND(AUTOEVENTO="Manual",$M245=1),0,IF(OFFSET(CRONOPLE!$F$14,$M245,AS$13)="",10^12,OFFSET(CRONOPLE!$F$14,$M245,AS$13))))</f>
        <v>1000000000000</v>
      </c>
      <c r="AT245" s="181">
        <f ca="1">IF($D245&lt;&gt;"Serviço",0,IF(AND(AUTOEVENTO="Manual",$M245=1),0,IF(OFFSET(CRONOPLE!$F$14,$M245,AT$13)="",10^12,OFFSET(CRONOPLE!$F$14,$M245,AT$13))))</f>
        <v>1000000000000</v>
      </c>
      <c r="AU245" s="181">
        <f ca="1">IF($D245&lt;&gt;"Serviço",0,IF(AND(AUTOEVENTO="Manual",$M245=1),0,IF(OFFSET(CRONOPLE!$F$14,$M245,AU$13)="",10^12,OFFSET(CRONOPLE!$F$14,$M245,AU$13))))</f>
        <v>1000000000000</v>
      </c>
      <c r="AV245" s="181">
        <f ca="1">IF($D245&lt;&gt;"Serviço",0,IF(AND(AUTOEVENTO="Manual",$M245=1),0,IF(OFFSET(CRONOPLE!$F$14,$M245,AV$13)="",10^12,OFFSET(CRONOPLE!$F$14,$M245,AV$13))))</f>
        <v>1000000000000</v>
      </c>
      <c r="AX245" s="182">
        <f ca="1">IF($D245&lt;&gt;"Serviço",0,IF(OR(AND(AUTOEVENTO="Manual",$M245=1),$M245&gt;(ROW(PLE.lastrow)-ROW(PLE.firstrow))),0,IF(OFFSET(PLE!$G$14,$M245,AX$13)="",10^12,OFFSET(PLE!$G$14,$M245,AX$13))))</f>
        <v>1000000000000</v>
      </c>
      <c r="AY245" s="182">
        <f ca="1">IF($D245&lt;&gt;"Serviço",0,IF(OR(AND(AUTOEVENTO="Manual",$M245=1),$M245&gt;(ROW(PLE.lastrow)-ROW(PLE.firstrow))),0,IF(OFFSET(PLE!$G$14,$M245,AY$13)="",10^12,OFFSET(PLE!$G$14,$M245,AY$13))))</f>
        <v>1000000000000</v>
      </c>
      <c r="AZ245" s="182">
        <f ca="1">IF($D245&lt;&gt;"Serviço",0,IF(OR(AND(AUTOEVENTO="Manual",$M245=1),$M245&gt;(ROW(PLE.lastrow)-ROW(PLE.firstrow))),0,IF(OFFSET(PLE!$G$14,$M245,AZ$13)="",10^12,OFFSET(PLE!$G$14,$M245,AZ$13))))</f>
        <v>1000000000000</v>
      </c>
      <c r="BA245" s="182">
        <f ca="1">IF($D245&lt;&gt;"Serviço",0,IF(OR(AND(AUTOEVENTO="Manual",$M245=1),$M245&gt;(ROW(PLE.lastrow)-ROW(PLE.firstrow))),0,IF(OFFSET(PLE!$G$14,$M245,BA$13)="",10^12,OFFSET(PLE!$G$14,$M245,BA$13))))</f>
        <v>1000000000000</v>
      </c>
      <c r="BB245" s="182">
        <f ca="1">IF($D245&lt;&gt;"Serviço",0,IF(OR(AND(AUTOEVENTO="Manual",$M245=1),$M245&gt;(ROW(PLE.lastrow)-ROW(PLE.firstrow))),0,IF(OFFSET(PLE!$G$14,$M245,BB$13)="",10^12,OFFSET(PLE!$G$14,$M245,BB$13))))</f>
        <v>1000000000000</v>
      </c>
      <c r="BC245" s="182">
        <f ca="1">IF($D245&lt;&gt;"Serviço",0,IF(OR(AND(AUTOEVENTO="Manual",$M245=1),$M245&gt;(ROW(PLE.lastrow)-ROW(PLE.firstrow))),0,IF(OFFSET(PLE!$G$14,$M245,BC$13)="",10^12,OFFSET(PLE!$G$14,$M245,BC$13))))</f>
        <v>1000000000000</v>
      </c>
      <c r="BD245" s="182">
        <f ca="1">IF($D245&lt;&gt;"Serviço",0,IF(OR(AND(AUTOEVENTO="Manual",$M245=1),$M245&gt;(ROW(PLE.lastrow)-ROW(PLE.firstrow))),0,IF(OFFSET(PLE!$G$14,$M245,BD$13)="",10^12,OFFSET(PLE!$G$14,$M245,BD$13))))</f>
        <v>1000000000000</v>
      </c>
      <c r="BE245" s="182">
        <f ca="1">IF($D245&lt;&gt;"Serviço",0,IF(OR(AND(AUTOEVENTO="Manual",$M245=1),$M245&gt;(ROW(PLE.lastrow)-ROW(PLE.firstrow))),0,IF(OFFSET(PLE!$G$14,$M245,BE$13)="",10^12,OFFSET(PLE!$G$14,$M245,BE$13))))</f>
        <v>1000000000000</v>
      </c>
      <c r="BF245" s="182">
        <f ca="1">IF($D245&lt;&gt;"Serviço",0,IF(OR(AND(AUTOEVENTO="Manual",$M245=1),$M245&gt;(ROW(PLE.lastrow)-ROW(PLE.firstrow))),0,IF(OFFSET(PLE!$G$14,$M245,BF$13)="",10^12,OFFSET(PLE!$G$14,$M245,BF$13))))</f>
        <v>1000000000000</v>
      </c>
      <c r="BG245" s="182">
        <f ca="1">IF($D245&lt;&gt;"Serviço",0,IF(OR(AND(AUTOEVENTO="Manual",$M245=1),$M245&gt;(ROW(PLE.lastrow)-ROW(PLE.firstrow))),0,IF(OFFSET(PLE!$G$14,$M245,BG$13)="",10^12,OFFSET(PLE!$G$14,$M245,BG$13))))</f>
        <v>1000000000000</v>
      </c>
    </row>
    <row r="246" spans="1:59" ht="25.5" x14ac:dyDescent="0.2">
      <c r="A246" s="7" t="str">
        <f t="shared" ca="1" si="11"/>
        <v>225</v>
      </c>
      <c r="B246" s="7" t="str">
        <f ca="1">OFFSET(ORÇAMENTO!C$15,ROW(B246)-ROW(B$15),0)</f>
        <v>S</v>
      </c>
      <c r="C246" s="7" t="str">
        <f ca="1">OFFSET(ORÇAMENTO!L$15,ROW(C246)-ROW(C$15),0)</f>
        <v/>
      </c>
      <c r="D246" s="118" t="str">
        <f ca="1">OFFSET(ORÇAMENTO!N$15,ROW(D246)-ROW(D$15),0)</f>
        <v>Serviço</v>
      </c>
      <c r="E246" s="119" t="str">
        <f ca="1">OFFSET(ORÇAMENTO!O$15,ROW(E246)-ROW(E$15),0)</f>
        <v>-</v>
      </c>
      <c r="F246" s="172" t="str">
        <f ca="1">OFFSET(ORÇAMENTO!R$15,ROW(F246)-ROW(F$15),0)</f>
        <v>(abra o arquivo 'Referência 02-2025.xlsm)</v>
      </c>
      <c r="G246" s="173" t="str">
        <f ca="1">IF($D246&lt;&gt;"Serviço","",OFFSET(ORÇAMENTO!S$15,ROW(G246)-ROW(G$15),0))</f>
        <v>-</v>
      </c>
      <c r="H246" s="124">
        <f ca="1">IF($D246&lt;&gt;"Serviço",0,IF(ACOMPANHAMENTO="BM",ROUND(OFFSET(ORÇAMENTO!AJ$15,ROW(H246)-ROW(H$15),0),15-13*ORÇAMENTO!$AF$7),SUMPRODUCT(($Q$12:$AA$12&lt;&gt;"")*ROUND($Q246:$AA246,15-13*ORÇAMENTO!$AF$7))))</f>
        <v>454.59</v>
      </c>
      <c r="I246" s="561" t="s">
        <v>890</v>
      </c>
      <c r="K246" s="174"/>
      <c r="L246" s="175" t="s">
        <v>255</v>
      </c>
      <c r="M246" s="176">
        <f ca="1">IF($D246&lt;&gt;"Serviço","",IF(AUTOEVENTO="manual",$A246,IF(ISERROR(MATCH($A246,$A$15:OFFSET($A246,-1,0),0)),MAX($M$15:OFFSET(M246,-1,0))+1,INDEX($M$15:OFFSET(M246,-1,0),MATCH($A246,$A$15:OFFSET($A246,-1,0),0)))))</f>
        <v>12</v>
      </c>
      <c r="N246" s="177" t="str">
        <f ca="1">IF($D246&lt;&gt;"Serviço","",IF(AUTOEVENTO="Manual",IF($A246=0,"&lt;-- defina o número do agrupador",OFFSET(EVENTOS!$D$14,$A246,0)),OFFSET($F$15,$A246,0)))</f>
        <v>PINTURAS E ACABAMENTOS</v>
      </c>
      <c r="O246" s="178"/>
      <c r="Q246" s="178"/>
      <c r="R246" s="179"/>
      <c r="S246" s="179"/>
      <c r="T246" s="179"/>
      <c r="U246" s="179"/>
      <c r="V246" s="179"/>
      <c r="W246" s="179"/>
      <c r="X246" s="179"/>
      <c r="Y246" s="179"/>
      <c r="Z246" s="180"/>
      <c r="AB246" s="544">
        <f ca="1">IF(AND($D246="Serviço",AB$12&lt;&gt;0,$H246&gt;0,OR(AUTOEVENTO&lt;&gt;"manual",$M246&lt;&gt;1)),
IF(Import.TipoArredondamento&lt;&gt;"TransfereGOV",
ROUND(OFFSET($P246,0,AB$13),15-13*ORÇAMENTO!$AF$7)/$H246*OFFSET(ORÇAMENTO!$X$15,ROW(AB246)-ROW(AB$15),0),
ROUND(ROUND(OFFSET($P246,0,AB$13),15-13*ORÇAMENTO!$AF$7)*OFFSET(ORÇAMENTO!$W$15,ROW(AB246)-ROW(AB$15),0),15-13*ORÇAMENTO!$AF$11)),0)</f>
        <v>0</v>
      </c>
      <c r="AC246" s="545">
        <f ca="1">IF(AND($D246="Serviço",AC$12&lt;&gt;0,$H246&gt;0,OR(AUTOEVENTO&lt;&gt;"manual",$M246&lt;&gt;1)),
IF(Import.TipoArredondamento&lt;&gt;"TransfereGOV",
ROUND(OFFSET($P246,0,AC$13),15-13*ORÇAMENTO!$AF$7)/$H246*OFFSET(ORÇAMENTO!$X$15,ROW(AC246)-ROW(AC$15),0),
ROUND(ROUND(OFFSET($P246,0,AC$13),15-13*ORÇAMENTO!$AF$7)*OFFSET(ORÇAMENTO!$W$15,ROW(AC246)-ROW(AC$15),0),15-13*ORÇAMENTO!$AF$11)),0)</f>
        <v>0</v>
      </c>
      <c r="AD246" s="545">
        <f ca="1">IF(AND($D246="Serviço",AD$12&lt;&gt;0,$H246&gt;0,OR(AUTOEVENTO&lt;&gt;"manual",$M246&lt;&gt;1)),
IF(Import.TipoArredondamento&lt;&gt;"TransfereGOV",
ROUND(OFFSET($P246,0,AD$13),15-13*ORÇAMENTO!$AF$7)/$H246*OFFSET(ORÇAMENTO!$X$15,ROW(AD246)-ROW(AD$15),0),
ROUND(ROUND(OFFSET($P246,0,AD$13),15-13*ORÇAMENTO!$AF$7)*OFFSET(ORÇAMENTO!$W$15,ROW(AD246)-ROW(AD$15),0),15-13*ORÇAMENTO!$AF$11)),0)</f>
        <v>0</v>
      </c>
      <c r="AE246" s="545">
        <f ca="1">IF(AND($D246="Serviço",AE$12&lt;&gt;0,$H246&gt;0,OR(AUTOEVENTO&lt;&gt;"manual",$M246&lt;&gt;1)),
IF(Import.TipoArredondamento&lt;&gt;"TransfereGOV",
ROUND(OFFSET($P246,0,AE$13),15-13*ORÇAMENTO!$AF$7)/$H246*OFFSET(ORÇAMENTO!$X$15,ROW(AE246)-ROW(AE$15),0),
ROUND(ROUND(OFFSET($P246,0,AE$13),15-13*ORÇAMENTO!$AF$7)*OFFSET(ORÇAMENTO!$W$15,ROW(AE246)-ROW(AE$15),0),15-13*ORÇAMENTO!$AF$11)),0)</f>
        <v>0</v>
      </c>
      <c r="AF246" s="545">
        <f ca="1">IF(AND($D246="Serviço",AF$12&lt;&gt;0,$H246&gt;0,OR(AUTOEVENTO&lt;&gt;"manual",$M246&lt;&gt;1)),
IF(Import.TipoArredondamento&lt;&gt;"TransfereGOV",
ROUND(OFFSET($P246,0,AF$13),15-13*ORÇAMENTO!$AF$7)/$H246*OFFSET(ORÇAMENTO!$X$15,ROW(AF246)-ROW(AF$15),0),
ROUND(ROUND(OFFSET($P246,0,AF$13),15-13*ORÇAMENTO!$AF$7)*OFFSET(ORÇAMENTO!$W$15,ROW(AF246)-ROW(AF$15),0),15-13*ORÇAMENTO!$AF$11)),0)</f>
        <v>0</v>
      </c>
      <c r="AG246" s="545">
        <f ca="1">IF(AND($D246="Serviço",AG$12&lt;&gt;0,$H246&gt;0,OR(AUTOEVENTO&lt;&gt;"manual",$M246&lt;&gt;1)),
IF(Import.TipoArredondamento&lt;&gt;"TransfereGOV",
ROUND(OFFSET($P246,0,AG$13),15-13*ORÇAMENTO!$AF$7)/$H246*OFFSET(ORÇAMENTO!$X$15,ROW(AG246)-ROW(AG$15),0),
ROUND(ROUND(OFFSET($P246,0,AG$13),15-13*ORÇAMENTO!$AF$7)*OFFSET(ORÇAMENTO!$W$15,ROW(AG246)-ROW(AG$15),0),15-13*ORÇAMENTO!$AF$11)),0)</f>
        <v>0</v>
      </c>
      <c r="AH246" s="545">
        <f ca="1">IF(AND($D246="Serviço",AH$12&lt;&gt;0,$H246&gt;0,OR(AUTOEVENTO&lt;&gt;"manual",$M246&lt;&gt;1)),
IF(Import.TipoArredondamento&lt;&gt;"TransfereGOV",
ROUND(OFFSET($P246,0,AH$13),15-13*ORÇAMENTO!$AF$7)/$H246*OFFSET(ORÇAMENTO!$X$15,ROW(AH246)-ROW(AH$15),0),
ROUND(ROUND(OFFSET($P246,0,AH$13),15-13*ORÇAMENTO!$AF$7)*OFFSET(ORÇAMENTO!$W$15,ROW(AH246)-ROW(AH$15),0),15-13*ORÇAMENTO!$AF$11)),0)</f>
        <v>0</v>
      </c>
      <c r="AI246" s="545">
        <f ca="1">IF(AND($D246="Serviço",AI$12&lt;&gt;0,$H246&gt;0,OR(AUTOEVENTO&lt;&gt;"manual",$M246&lt;&gt;1)),
IF(Import.TipoArredondamento&lt;&gt;"TransfereGOV",
ROUND(OFFSET($P246,0,AI$13),15-13*ORÇAMENTO!$AF$7)/$H246*OFFSET(ORÇAMENTO!$X$15,ROW(AI246)-ROW(AI$15),0),
ROUND(ROUND(OFFSET($P246,0,AI$13),15-13*ORÇAMENTO!$AF$7)*OFFSET(ORÇAMENTO!$W$15,ROW(AI246)-ROW(AI$15),0),15-13*ORÇAMENTO!$AF$11)),0)</f>
        <v>0</v>
      </c>
      <c r="AJ246" s="545">
        <f ca="1">IF(AND($D246="Serviço",AJ$12&lt;&gt;0,$H246&gt;0,OR(AUTOEVENTO&lt;&gt;"manual",$M246&lt;&gt;1)),
IF(Import.TipoArredondamento&lt;&gt;"TransfereGOV",
ROUND(OFFSET($P246,0,AJ$13),15-13*ORÇAMENTO!$AF$7)/$H246*OFFSET(ORÇAMENTO!$X$15,ROW(AJ246)-ROW(AJ$15),0),
ROUND(ROUND(OFFSET($P246,0,AJ$13),15-13*ORÇAMENTO!$AF$7)*OFFSET(ORÇAMENTO!$W$15,ROW(AJ246)-ROW(AJ$15),0),15-13*ORÇAMENTO!$AF$11)),0)</f>
        <v>0</v>
      </c>
      <c r="AK246" s="546">
        <f ca="1">IF(AND($D246="Serviço",AK$12&lt;&gt;0,$H246&gt;0,OR(AUTOEVENTO&lt;&gt;"manual",$M246&lt;&gt;1)),
IF(Import.TipoArredondamento&lt;&gt;"TransfereGOV",
ROUND(OFFSET($P246,0,AK$13),15-13*ORÇAMENTO!$AF$7)/$H246*OFFSET(ORÇAMENTO!$X$15,ROW(AK246)-ROW(AK$15),0),
ROUND(ROUND(OFFSET($P246,0,AK$13),15-13*ORÇAMENTO!$AF$7)*OFFSET(ORÇAMENTO!$W$15,ROW(AK246)-ROW(AK$15),0),15-13*ORÇAMENTO!$AF$11)),0)</f>
        <v>0</v>
      </c>
      <c r="AM246" s="181">
        <f ca="1">IF($D246&lt;&gt;"Serviço",0,IF(AND(AUTOEVENTO="Manual",$M246=1),0,IF(OFFSET(CRONOPLE!$F$14,$M246,AM$13)="",10^12,OFFSET(CRONOPLE!$F$14,$M246,AM$13))))</f>
        <v>1000000000000</v>
      </c>
      <c r="AN246" s="181">
        <f ca="1">IF($D246&lt;&gt;"Serviço",0,IF(AND(AUTOEVENTO="Manual",$M246=1),0,IF(OFFSET(CRONOPLE!$F$14,$M246,AN$13)="",10^12,OFFSET(CRONOPLE!$F$14,$M246,AN$13))))</f>
        <v>1000000000000</v>
      </c>
      <c r="AO246" s="181">
        <f ca="1">IF($D246&lt;&gt;"Serviço",0,IF(AND(AUTOEVENTO="Manual",$M246=1),0,IF(OFFSET(CRONOPLE!$F$14,$M246,AO$13)="",10^12,OFFSET(CRONOPLE!$F$14,$M246,AO$13))))</f>
        <v>1000000000000</v>
      </c>
      <c r="AP246" s="181">
        <f ca="1">IF($D246&lt;&gt;"Serviço",0,IF(AND(AUTOEVENTO="Manual",$M246=1),0,IF(OFFSET(CRONOPLE!$F$14,$M246,AP$13)="",10^12,OFFSET(CRONOPLE!$F$14,$M246,AP$13))))</f>
        <v>1000000000000</v>
      </c>
      <c r="AQ246" s="181">
        <f ca="1">IF($D246&lt;&gt;"Serviço",0,IF(AND(AUTOEVENTO="Manual",$M246=1),0,IF(OFFSET(CRONOPLE!$F$14,$M246,AQ$13)="",10^12,OFFSET(CRONOPLE!$F$14,$M246,AQ$13))))</f>
        <v>1000000000000</v>
      </c>
      <c r="AR246" s="181">
        <f ca="1">IF($D246&lt;&gt;"Serviço",0,IF(AND(AUTOEVENTO="Manual",$M246=1),0,IF(OFFSET(CRONOPLE!$F$14,$M246,AR$13)="",10^12,OFFSET(CRONOPLE!$F$14,$M246,AR$13))))</f>
        <v>1000000000000</v>
      </c>
      <c r="AS246" s="181">
        <f ca="1">IF($D246&lt;&gt;"Serviço",0,IF(AND(AUTOEVENTO="Manual",$M246=1),0,IF(OFFSET(CRONOPLE!$F$14,$M246,AS$13)="",10^12,OFFSET(CRONOPLE!$F$14,$M246,AS$13))))</f>
        <v>1000000000000</v>
      </c>
      <c r="AT246" s="181">
        <f ca="1">IF($D246&lt;&gt;"Serviço",0,IF(AND(AUTOEVENTO="Manual",$M246=1),0,IF(OFFSET(CRONOPLE!$F$14,$M246,AT$13)="",10^12,OFFSET(CRONOPLE!$F$14,$M246,AT$13))))</f>
        <v>1000000000000</v>
      </c>
      <c r="AU246" s="181">
        <f ca="1">IF($D246&lt;&gt;"Serviço",0,IF(AND(AUTOEVENTO="Manual",$M246=1),0,IF(OFFSET(CRONOPLE!$F$14,$M246,AU$13)="",10^12,OFFSET(CRONOPLE!$F$14,$M246,AU$13))))</f>
        <v>1000000000000</v>
      </c>
      <c r="AV246" s="181">
        <f ca="1">IF($D246&lt;&gt;"Serviço",0,IF(AND(AUTOEVENTO="Manual",$M246=1),0,IF(OFFSET(CRONOPLE!$F$14,$M246,AV$13)="",10^12,OFFSET(CRONOPLE!$F$14,$M246,AV$13))))</f>
        <v>1000000000000</v>
      </c>
      <c r="AX246" s="182">
        <f ca="1">IF($D246&lt;&gt;"Serviço",0,IF(OR(AND(AUTOEVENTO="Manual",$M246=1),$M246&gt;(ROW(PLE.lastrow)-ROW(PLE.firstrow))),0,IF(OFFSET(PLE!$G$14,$M246,AX$13)="",10^12,OFFSET(PLE!$G$14,$M246,AX$13))))</f>
        <v>1000000000000</v>
      </c>
      <c r="AY246" s="182">
        <f ca="1">IF($D246&lt;&gt;"Serviço",0,IF(OR(AND(AUTOEVENTO="Manual",$M246=1),$M246&gt;(ROW(PLE.lastrow)-ROW(PLE.firstrow))),0,IF(OFFSET(PLE!$G$14,$M246,AY$13)="",10^12,OFFSET(PLE!$G$14,$M246,AY$13))))</f>
        <v>1000000000000</v>
      </c>
      <c r="AZ246" s="182">
        <f ca="1">IF($D246&lt;&gt;"Serviço",0,IF(OR(AND(AUTOEVENTO="Manual",$M246=1),$M246&gt;(ROW(PLE.lastrow)-ROW(PLE.firstrow))),0,IF(OFFSET(PLE!$G$14,$M246,AZ$13)="",10^12,OFFSET(PLE!$G$14,$M246,AZ$13))))</f>
        <v>1000000000000</v>
      </c>
      <c r="BA246" s="182">
        <f ca="1">IF($D246&lt;&gt;"Serviço",0,IF(OR(AND(AUTOEVENTO="Manual",$M246=1),$M246&gt;(ROW(PLE.lastrow)-ROW(PLE.firstrow))),0,IF(OFFSET(PLE!$G$14,$M246,BA$13)="",10^12,OFFSET(PLE!$G$14,$M246,BA$13))))</f>
        <v>1000000000000</v>
      </c>
      <c r="BB246" s="182">
        <f ca="1">IF($D246&lt;&gt;"Serviço",0,IF(OR(AND(AUTOEVENTO="Manual",$M246=1),$M246&gt;(ROW(PLE.lastrow)-ROW(PLE.firstrow))),0,IF(OFFSET(PLE!$G$14,$M246,BB$13)="",10^12,OFFSET(PLE!$G$14,$M246,BB$13))))</f>
        <v>1000000000000</v>
      </c>
      <c r="BC246" s="182">
        <f ca="1">IF($D246&lt;&gt;"Serviço",0,IF(OR(AND(AUTOEVENTO="Manual",$M246=1),$M246&gt;(ROW(PLE.lastrow)-ROW(PLE.firstrow))),0,IF(OFFSET(PLE!$G$14,$M246,BC$13)="",10^12,OFFSET(PLE!$G$14,$M246,BC$13))))</f>
        <v>1000000000000</v>
      </c>
      <c r="BD246" s="182">
        <f ca="1">IF($D246&lt;&gt;"Serviço",0,IF(OR(AND(AUTOEVENTO="Manual",$M246=1),$M246&gt;(ROW(PLE.lastrow)-ROW(PLE.firstrow))),0,IF(OFFSET(PLE!$G$14,$M246,BD$13)="",10^12,OFFSET(PLE!$G$14,$M246,BD$13))))</f>
        <v>1000000000000</v>
      </c>
      <c r="BE246" s="182">
        <f ca="1">IF($D246&lt;&gt;"Serviço",0,IF(OR(AND(AUTOEVENTO="Manual",$M246=1),$M246&gt;(ROW(PLE.lastrow)-ROW(PLE.firstrow))),0,IF(OFFSET(PLE!$G$14,$M246,BE$13)="",10^12,OFFSET(PLE!$G$14,$M246,BE$13))))</f>
        <v>1000000000000</v>
      </c>
      <c r="BF246" s="182">
        <f ca="1">IF($D246&lt;&gt;"Serviço",0,IF(OR(AND(AUTOEVENTO="Manual",$M246=1),$M246&gt;(ROW(PLE.lastrow)-ROW(PLE.firstrow))),0,IF(OFFSET(PLE!$G$14,$M246,BF$13)="",10^12,OFFSET(PLE!$G$14,$M246,BF$13))))</f>
        <v>1000000000000</v>
      </c>
      <c r="BG246" s="182">
        <f ca="1">IF($D246&lt;&gt;"Serviço",0,IF(OR(AND(AUTOEVENTO="Manual",$M246=1),$M246&gt;(ROW(PLE.lastrow)-ROW(PLE.firstrow))),0,IF(OFFSET(PLE!$G$14,$M246,BG$13)="",10^12,OFFSET(PLE!$G$14,$M246,BG$13))))</f>
        <v>1000000000000</v>
      </c>
    </row>
    <row r="247" spans="1:59" ht="25.5" x14ac:dyDescent="0.2">
      <c r="A247" s="7" t="str">
        <f t="shared" ca="1" si="11"/>
        <v>225</v>
      </c>
      <c r="B247" s="7" t="str">
        <f ca="1">OFFSET(ORÇAMENTO!C$15,ROW(B247)-ROW(B$15),0)</f>
        <v>S</v>
      </c>
      <c r="C247" s="7" t="str">
        <f ca="1">OFFSET(ORÇAMENTO!L$15,ROW(C247)-ROW(C$15),0)</f>
        <v/>
      </c>
      <c r="D247" s="118" t="str">
        <f ca="1">OFFSET(ORÇAMENTO!N$15,ROW(D247)-ROW(D$15),0)</f>
        <v>Serviço</v>
      </c>
      <c r="E247" s="119" t="str">
        <f ca="1">OFFSET(ORÇAMENTO!O$15,ROW(E247)-ROW(E$15),0)</f>
        <v>-</v>
      </c>
      <c r="F247" s="172" t="str">
        <f ca="1">OFFSET(ORÇAMENTO!R$15,ROW(F247)-ROW(F$15),0)</f>
        <v>(abra o arquivo 'Referência 02-2025.xlsm)</v>
      </c>
      <c r="G247" s="173" t="str">
        <f ca="1">IF($D247&lt;&gt;"Serviço","",OFFSET(ORÇAMENTO!S$15,ROW(G247)-ROW(G$15),0))</f>
        <v>-</v>
      </c>
      <c r="H247" s="124">
        <f ca="1">IF($D247&lt;&gt;"Serviço",0,IF(ACOMPANHAMENTO="BM",ROUND(OFFSET(ORÇAMENTO!AJ$15,ROW(H247)-ROW(H$15),0),15-13*ORÇAMENTO!$AF$7),SUMPRODUCT(($Q$12:$AA$12&lt;&gt;"")*ROUND($Q247:$AA247,15-13*ORÇAMENTO!$AF$7))))</f>
        <v>154.44</v>
      </c>
      <c r="I247" s="561" t="s">
        <v>890</v>
      </c>
      <c r="K247" s="174"/>
      <c r="L247" s="175" t="s">
        <v>255</v>
      </c>
      <c r="M247" s="176">
        <f ca="1">IF($D247&lt;&gt;"Serviço","",IF(AUTOEVENTO="manual",$A247,IF(ISERROR(MATCH($A247,$A$15:OFFSET($A247,-1,0),0)),MAX($M$15:OFFSET(M247,-1,0))+1,INDEX($M$15:OFFSET(M247,-1,0),MATCH($A247,$A$15:OFFSET($A247,-1,0),0)))))</f>
        <v>12</v>
      </c>
      <c r="N247" s="177" t="str">
        <f ca="1">IF($D247&lt;&gt;"Serviço","",IF(AUTOEVENTO="Manual",IF($A247=0,"&lt;-- defina o número do agrupador",OFFSET(EVENTOS!$D$14,$A247,0)),OFFSET($F$15,$A247,0)))</f>
        <v>PINTURAS E ACABAMENTOS</v>
      </c>
      <c r="O247" s="178"/>
      <c r="Q247" s="178"/>
      <c r="R247" s="179"/>
      <c r="S247" s="179"/>
      <c r="T247" s="179"/>
      <c r="U247" s="179"/>
      <c r="V247" s="179"/>
      <c r="W247" s="179"/>
      <c r="X247" s="179"/>
      <c r="Y247" s="179"/>
      <c r="Z247" s="180"/>
      <c r="AB247" s="544">
        <f ca="1">IF(AND($D247="Serviço",AB$12&lt;&gt;0,$H247&gt;0,OR(AUTOEVENTO&lt;&gt;"manual",$M247&lt;&gt;1)),
IF(Import.TipoArredondamento&lt;&gt;"TransfereGOV",
ROUND(OFFSET($P247,0,AB$13),15-13*ORÇAMENTO!$AF$7)/$H247*OFFSET(ORÇAMENTO!$X$15,ROW(AB247)-ROW(AB$15),0),
ROUND(ROUND(OFFSET($P247,0,AB$13),15-13*ORÇAMENTO!$AF$7)*OFFSET(ORÇAMENTO!$W$15,ROW(AB247)-ROW(AB$15),0),15-13*ORÇAMENTO!$AF$11)),0)</f>
        <v>0</v>
      </c>
      <c r="AC247" s="545">
        <f ca="1">IF(AND($D247="Serviço",AC$12&lt;&gt;0,$H247&gt;0,OR(AUTOEVENTO&lt;&gt;"manual",$M247&lt;&gt;1)),
IF(Import.TipoArredondamento&lt;&gt;"TransfereGOV",
ROUND(OFFSET($P247,0,AC$13),15-13*ORÇAMENTO!$AF$7)/$H247*OFFSET(ORÇAMENTO!$X$15,ROW(AC247)-ROW(AC$15),0),
ROUND(ROUND(OFFSET($P247,0,AC$13),15-13*ORÇAMENTO!$AF$7)*OFFSET(ORÇAMENTO!$W$15,ROW(AC247)-ROW(AC$15),0),15-13*ORÇAMENTO!$AF$11)),0)</f>
        <v>0</v>
      </c>
      <c r="AD247" s="545">
        <f ca="1">IF(AND($D247="Serviço",AD$12&lt;&gt;0,$H247&gt;0,OR(AUTOEVENTO&lt;&gt;"manual",$M247&lt;&gt;1)),
IF(Import.TipoArredondamento&lt;&gt;"TransfereGOV",
ROUND(OFFSET($P247,0,AD$13),15-13*ORÇAMENTO!$AF$7)/$H247*OFFSET(ORÇAMENTO!$X$15,ROW(AD247)-ROW(AD$15),0),
ROUND(ROUND(OFFSET($P247,0,AD$13),15-13*ORÇAMENTO!$AF$7)*OFFSET(ORÇAMENTO!$W$15,ROW(AD247)-ROW(AD$15),0),15-13*ORÇAMENTO!$AF$11)),0)</f>
        <v>0</v>
      </c>
      <c r="AE247" s="545">
        <f ca="1">IF(AND($D247="Serviço",AE$12&lt;&gt;0,$H247&gt;0,OR(AUTOEVENTO&lt;&gt;"manual",$M247&lt;&gt;1)),
IF(Import.TipoArredondamento&lt;&gt;"TransfereGOV",
ROUND(OFFSET($P247,0,AE$13),15-13*ORÇAMENTO!$AF$7)/$H247*OFFSET(ORÇAMENTO!$X$15,ROW(AE247)-ROW(AE$15),0),
ROUND(ROUND(OFFSET($P247,0,AE$13),15-13*ORÇAMENTO!$AF$7)*OFFSET(ORÇAMENTO!$W$15,ROW(AE247)-ROW(AE$15),0),15-13*ORÇAMENTO!$AF$11)),0)</f>
        <v>0</v>
      </c>
      <c r="AF247" s="545">
        <f ca="1">IF(AND($D247="Serviço",AF$12&lt;&gt;0,$H247&gt;0,OR(AUTOEVENTO&lt;&gt;"manual",$M247&lt;&gt;1)),
IF(Import.TipoArredondamento&lt;&gt;"TransfereGOV",
ROUND(OFFSET($P247,0,AF$13),15-13*ORÇAMENTO!$AF$7)/$H247*OFFSET(ORÇAMENTO!$X$15,ROW(AF247)-ROW(AF$15),0),
ROUND(ROUND(OFFSET($P247,0,AF$13),15-13*ORÇAMENTO!$AF$7)*OFFSET(ORÇAMENTO!$W$15,ROW(AF247)-ROW(AF$15),0),15-13*ORÇAMENTO!$AF$11)),0)</f>
        <v>0</v>
      </c>
      <c r="AG247" s="545">
        <f ca="1">IF(AND($D247="Serviço",AG$12&lt;&gt;0,$H247&gt;0,OR(AUTOEVENTO&lt;&gt;"manual",$M247&lt;&gt;1)),
IF(Import.TipoArredondamento&lt;&gt;"TransfereGOV",
ROUND(OFFSET($P247,0,AG$13),15-13*ORÇAMENTO!$AF$7)/$H247*OFFSET(ORÇAMENTO!$X$15,ROW(AG247)-ROW(AG$15),0),
ROUND(ROUND(OFFSET($P247,0,AG$13),15-13*ORÇAMENTO!$AF$7)*OFFSET(ORÇAMENTO!$W$15,ROW(AG247)-ROW(AG$15),0),15-13*ORÇAMENTO!$AF$11)),0)</f>
        <v>0</v>
      </c>
      <c r="AH247" s="545">
        <f ca="1">IF(AND($D247="Serviço",AH$12&lt;&gt;0,$H247&gt;0,OR(AUTOEVENTO&lt;&gt;"manual",$M247&lt;&gt;1)),
IF(Import.TipoArredondamento&lt;&gt;"TransfereGOV",
ROUND(OFFSET($P247,0,AH$13),15-13*ORÇAMENTO!$AF$7)/$H247*OFFSET(ORÇAMENTO!$X$15,ROW(AH247)-ROW(AH$15),0),
ROUND(ROUND(OFFSET($P247,0,AH$13),15-13*ORÇAMENTO!$AF$7)*OFFSET(ORÇAMENTO!$W$15,ROW(AH247)-ROW(AH$15),0),15-13*ORÇAMENTO!$AF$11)),0)</f>
        <v>0</v>
      </c>
      <c r="AI247" s="545">
        <f ca="1">IF(AND($D247="Serviço",AI$12&lt;&gt;0,$H247&gt;0,OR(AUTOEVENTO&lt;&gt;"manual",$M247&lt;&gt;1)),
IF(Import.TipoArredondamento&lt;&gt;"TransfereGOV",
ROUND(OFFSET($P247,0,AI$13),15-13*ORÇAMENTO!$AF$7)/$H247*OFFSET(ORÇAMENTO!$X$15,ROW(AI247)-ROW(AI$15),0),
ROUND(ROUND(OFFSET($P247,0,AI$13),15-13*ORÇAMENTO!$AF$7)*OFFSET(ORÇAMENTO!$W$15,ROW(AI247)-ROW(AI$15),0),15-13*ORÇAMENTO!$AF$11)),0)</f>
        <v>0</v>
      </c>
      <c r="AJ247" s="545">
        <f ca="1">IF(AND($D247="Serviço",AJ$12&lt;&gt;0,$H247&gt;0,OR(AUTOEVENTO&lt;&gt;"manual",$M247&lt;&gt;1)),
IF(Import.TipoArredondamento&lt;&gt;"TransfereGOV",
ROUND(OFFSET($P247,0,AJ$13),15-13*ORÇAMENTO!$AF$7)/$H247*OFFSET(ORÇAMENTO!$X$15,ROW(AJ247)-ROW(AJ$15),0),
ROUND(ROUND(OFFSET($P247,0,AJ$13),15-13*ORÇAMENTO!$AF$7)*OFFSET(ORÇAMENTO!$W$15,ROW(AJ247)-ROW(AJ$15),0),15-13*ORÇAMENTO!$AF$11)),0)</f>
        <v>0</v>
      </c>
      <c r="AK247" s="546">
        <f ca="1">IF(AND($D247="Serviço",AK$12&lt;&gt;0,$H247&gt;0,OR(AUTOEVENTO&lt;&gt;"manual",$M247&lt;&gt;1)),
IF(Import.TipoArredondamento&lt;&gt;"TransfereGOV",
ROUND(OFFSET($P247,0,AK$13),15-13*ORÇAMENTO!$AF$7)/$H247*OFFSET(ORÇAMENTO!$X$15,ROW(AK247)-ROW(AK$15),0),
ROUND(ROUND(OFFSET($P247,0,AK$13),15-13*ORÇAMENTO!$AF$7)*OFFSET(ORÇAMENTO!$W$15,ROW(AK247)-ROW(AK$15),0),15-13*ORÇAMENTO!$AF$11)),0)</f>
        <v>0</v>
      </c>
      <c r="AM247" s="181">
        <f ca="1">IF($D247&lt;&gt;"Serviço",0,IF(AND(AUTOEVENTO="Manual",$M247=1),0,IF(OFFSET(CRONOPLE!$F$14,$M247,AM$13)="",10^12,OFFSET(CRONOPLE!$F$14,$M247,AM$13))))</f>
        <v>1000000000000</v>
      </c>
      <c r="AN247" s="181">
        <f ca="1">IF($D247&lt;&gt;"Serviço",0,IF(AND(AUTOEVENTO="Manual",$M247=1),0,IF(OFFSET(CRONOPLE!$F$14,$M247,AN$13)="",10^12,OFFSET(CRONOPLE!$F$14,$M247,AN$13))))</f>
        <v>1000000000000</v>
      </c>
      <c r="AO247" s="181">
        <f ca="1">IF($D247&lt;&gt;"Serviço",0,IF(AND(AUTOEVENTO="Manual",$M247=1),0,IF(OFFSET(CRONOPLE!$F$14,$M247,AO$13)="",10^12,OFFSET(CRONOPLE!$F$14,$M247,AO$13))))</f>
        <v>1000000000000</v>
      </c>
      <c r="AP247" s="181">
        <f ca="1">IF($D247&lt;&gt;"Serviço",0,IF(AND(AUTOEVENTO="Manual",$M247=1),0,IF(OFFSET(CRONOPLE!$F$14,$M247,AP$13)="",10^12,OFFSET(CRONOPLE!$F$14,$M247,AP$13))))</f>
        <v>1000000000000</v>
      </c>
      <c r="AQ247" s="181">
        <f ca="1">IF($D247&lt;&gt;"Serviço",0,IF(AND(AUTOEVENTO="Manual",$M247=1),0,IF(OFFSET(CRONOPLE!$F$14,$M247,AQ$13)="",10^12,OFFSET(CRONOPLE!$F$14,$M247,AQ$13))))</f>
        <v>1000000000000</v>
      </c>
      <c r="AR247" s="181">
        <f ca="1">IF($D247&lt;&gt;"Serviço",0,IF(AND(AUTOEVENTO="Manual",$M247=1),0,IF(OFFSET(CRONOPLE!$F$14,$M247,AR$13)="",10^12,OFFSET(CRONOPLE!$F$14,$M247,AR$13))))</f>
        <v>1000000000000</v>
      </c>
      <c r="AS247" s="181">
        <f ca="1">IF($D247&lt;&gt;"Serviço",0,IF(AND(AUTOEVENTO="Manual",$M247=1),0,IF(OFFSET(CRONOPLE!$F$14,$M247,AS$13)="",10^12,OFFSET(CRONOPLE!$F$14,$M247,AS$13))))</f>
        <v>1000000000000</v>
      </c>
      <c r="AT247" s="181">
        <f ca="1">IF($D247&lt;&gt;"Serviço",0,IF(AND(AUTOEVENTO="Manual",$M247=1),0,IF(OFFSET(CRONOPLE!$F$14,$M247,AT$13)="",10^12,OFFSET(CRONOPLE!$F$14,$M247,AT$13))))</f>
        <v>1000000000000</v>
      </c>
      <c r="AU247" s="181">
        <f ca="1">IF($D247&lt;&gt;"Serviço",0,IF(AND(AUTOEVENTO="Manual",$M247=1),0,IF(OFFSET(CRONOPLE!$F$14,$M247,AU$13)="",10^12,OFFSET(CRONOPLE!$F$14,$M247,AU$13))))</f>
        <v>1000000000000</v>
      </c>
      <c r="AV247" s="181">
        <f ca="1">IF($D247&lt;&gt;"Serviço",0,IF(AND(AUTOEVENTO="Manual",$M247=1),0,IF(OFFSET(CRONOPLE!$F$14,$M247,AV$13)="",10^12,OFFSET(CRONOPLE!$F$14,$M247,AV$13))))</f>
        <v>1000000000000</v>
      </c>
      <c r="AX247" s="182">
        <f ca="1">IF($D247&lt;&gt;"Serviço",0,IF(OR(AND(AUTOEVENTO="Manual",$M247=1),$M247&gt;(ROW(PLE.lastrow)-ROW(PLE.firstrow))),0,IF(OFFSET(PLE!$G$14,$M247,AX$13)="",10^12,OFFSET(PLE!$G$14,$M247,AX$13))))</f>
        <v>1000000000000</v>
      </c>
      <c r="AY247" s="182">
        <f ca="1">IF($D247&lt;&gt;"Serviço",0,IF(OR(AND(AUTOEVENTO="Manual",$M247=1),$M247&gt;(ROW(PLE.lastrow)-ROW(PLE.firstrow))),0,IF(OFFSET(PLE!$G$14,$M247,AY$13)="",10^12,OFFSET(PLE!$G$14,$M247,AY$13))))</f>
        <v>1000000000000</v>
      </c>
      <c r="AZ247" s="182">
        <f ca="1">IF($D247&lt;&gt;"Serviço",0,IF(OR(AND(AUTOEVENTO="Manual",$M247=1),$M247&gt;(ROW(PLE.lastrow)-ROW(PLE.firstrow))),0,IF(OFFSET(PLE!$G$14,$M247,AZ$13)="",10^12,OFFSET(PLE!$G$14,$M247,AZ$13))))</f>
        <v>1000000000000</v>
      </c>
      <c r="BA247" s="182">
        <f ca="1">IF($D247&lt;&gt;"Serviço",0,IF(OR(AND(AUTOEVENTO="Manual",$M247=1),$M247&gt;(ROW(PLE.lastrow)-ROW(PLE.firstrow))),0,IF(OFFSET(PLE!$G$14,$M247,BA$13)="",10^12,OFFSET(PLE!$G$14,$M247,BA$13))))</f>
        <v>1000000000000</v>
      </c>
      <c r="BB247" s="182">
        <f ca="1">IF($D247&lt;&gt;"Serviço",0,IF(OR(AND(AUTOEVENTO="Manual",$M247=1),$M247&gt;(ROW(PLE.lastrow)-ROW(PLE.firstrow))),0,IF(OFFSET(PLE!$G$14,$M247,BB$13)="",10^12,OFFSET(PLE!$G$14,$M247,BB$13))))</f>
        <v>1000000000000</v>
      </c>
      <c r="BC247" s="182">
        <f ca="1">IF($D247&lt;&gt;"Serviço",0,IF(OR(AND(AUTOEVENTO="Manual",$M247=1),$M247&gt;(ROW(PLE.lastrow)-ROW(PLE.firstrow))),0,IF(OFFSET(PLE!$G$14,$M247,BC$13)="",10^12,OFFSET(PLE!$G$14,$M247,BC$13))))</f>
        <v>1000000000000</v>
      </c>
      <c r="BD247" s="182">
        <f ca="1">IF($D247&lt;&gt;"Serviço",0,IF(OR(AND(AUTOEVENTO="Manual",$M247=1),$M247&gt;(ROW(PLE.lastrow)-ROW(PLE.firstrow))),0,IF(OFFSET(PLE!$G$14,$M247,BD$13)="",10^12,OFFSET(PLE!$G$14,$M247,BD$13))))</f>
        <v>1000000000000</v>
      </c>
      <c r="BE247" s="182">
        <f ca="1">IF($D247&lt;&gt;"Serviço",0,IF(OR(AND(AUTOEVENTO="Manual",$M247=1),$M247&gt;(ROW(PLE.lastrow)-ROW(PLE.firstrow))),0,IF(OFFSET(PLE!$G$14,$M247,BE$13)="",10^12,OFFSET(PLE!$G$14,$M247,BE$13))))</f>
        <v>1000000000000</v>
      </c>
      <c r="BF247" s="182">
        <f ca="1">IF($D247&lt;&gt;"Serviço",0,IF(OR(AND(AUTOEVENTO="Manual",$M247=1),$M247&gt;(ROW(PLE.lastrow)-ROW(PLE.firstrow))),0,IF(OFFSET(PLE!$G$14,$M247,BF$13)="",10^12,OFFSET(PLE!$G$14,$M247,BF$13))))</f>
        <v>1000000000000</v>
      </c>
      <c r="BG247" s="182">
        <f ca="1">IF($D247&lt;&gt;"Serviço",0,IF(OR(AND(AUTOEVENTO="Manual",$M247=1),$M247&gt;(ROW(PLE.lastrow)-ROW(PLE.firstrow))),0,IF(OFFSET(PLE!$G$14,$M247,BG$13)="",10^12,OFFSET(PLE!$G$14,$M247,BG$13))))</f>
        <v>1000000000000</v>
      </c>
    </row>
    <row r="248" spans="1:59" ht="25.5" x14ac:dyDescent="0.2">
      <c r="A248" s="7" t="str">
        <f t="shared" ca="1" si="11"/>
        <v>225</v>
      </c>
      <c r="B248" s="7" t="str">
        <f ca="1">OFFSET(ORÇAMENTO!C$15,ROW(B248)-ROW(B$15),0)</f>
        <v>S</v>
      </c>
      <c r="C248" s="7" t="str">
        <f ca="1">OFFSET(ORÇAMENTO!L$15,ROW(C248)-ROW(C$15),0)</f>
        <v/>
      </c>
      <c r="D248" s="118" t="str">
        <f ca="1">OFFSET(ORÇAMENTO!N$15,ROW(D248)-ROW(D$15),0)</f>
        <v>Serviço</v>
      </c>
      <c r="E248" s="119" t="str">
        <f ca="1">OFFSET(ORÇAMENTO!O$15,ROW(E248)-ROW(E$15),0)</f>
        <v>-</v>
      </c>
      <c r="F248" s="172" t="str">
        <f ca="1">OFFSET(ORÇAMENTO!R$15,ROW(F248)-ROW(F$15),0)</f>
        <v>(abra o arquivo 'Referência 02-2025.xlsm)</v>
      </c>
      <c r="G248" s="173" t="str">
        <f ca="1">IF($D248&lt;&gt;"Serviço","",OFFSET(ORÇAMENTO!S$15,ROW(G248)-ROW(G$15),0))</f>
        <v>-</v>
      </c>
      <c r="H248" s="124">
        <f ca="1">IF($D248&lt;&gt;"Serviço",0,IF(ACOMPANHAMENTO="BM",ROUND(OFFSET(ORÇAMENTO!AJ$15,ROW(H248)-ROW(H$15),0),15-13*ORÇAMENTO!$AF$7),SUMPRODUCT(($Q$12:$AA$12&lt;&gt;"")*ROUND($Q248:$AA248,15-13*ORÇAMENTO!$AF$7))))</f>
        <v>98.15</v>
      </c>
      <c r="I248" s="561" t="s">
        <v>890</v>
      </c>
      <c r="K248" s="174"/>
      <c r="L248" s="175" t="s">
        <v>255</v>
      </c>
      <c r="M248" s="176">
        <f ca="1">IF($D248&lt;&gt;"Serviço","",IF(AUTOEVENTO="manual",$A248,IF(ISERROR(MATCH($A248,$A$15:OFFSET($A248,-1,0),0)),MAX($M$15:OFFSET(M248,-1,0))+1,INDEX($M$15:OFFSET(M248,-1,0),MATCH($A248,$A$15:OFFSET($A248,-1,0),0)))))</f>
        <v>12</v>
      </c>
      <c r="N248" s="177" t="str">
        <f ca="1">IF($D248&lt;&gt;"Serviço","",IF(AUTOEVENTO="Manual",IF($A248=0,"&lt;-- defina o número do agrupador",OFFSET(EVENTOS!$D$14,$A248,0)),OFFSET($F$15,$A248,0)))</f>
        <v>PINTURAS E ACABAMENTOS</v>
      </c>
      <c r="O248" s="178"/>
      <c r="Q248" s="178"/>
      <c r="R248" s="179"/>
      <c r="S248" s="179"/>
      <c r="T248" s="179"/>
      <c r="U248" s="179"/>
      <c r="V248" s="179"/>
      <c r="W248" s="179"/>
      <c r="X248" s="179"/>
      <c r="Y248" s="179"/>
      <c r="Z248" s="180"/>
      <c r="AB248" s="544">
        <f ca="1">IF(AND($D248="Serviço",AB$12&lt;&gt;0,$H248&gt;0,OR(AUTOEVENTO&lt;&gt;"manual",$M248&lt;&gt;1)),
IF(Import.TipoArredondamento&lt;&gt;"TransfereGOV",
ROUND(OFFSET($P248,0,AB$13),15-13*ORÇAMENTO!$AF$7)/$H248*OFFSET(ORÇAMENTO!$X$15,ROW(AB248)-ROW(AB$15),0),
ROUND(ROUND(OFFSET($P248,0,AB$13),15-13*ORÇAMENTO!$AF$7)*OFFSET(ORÇAMENTO!$W$15,ROW(AB248)-ROW(AB$15),0),15-13*ORÇAMENTO!$AF$11)),0)</f>
        <v>0</v>
      </c>
      <c r="AC248" s="545">
        <f ca="1">IF(AND($D248="Serviço",AC$12&lt;&gt;0,$H248&gt;0,OR(AUTOEVENTO&lt;&gt;"manual",$M248&lt;&gt;1)),
IF(Import.TipoArredondamento&lt;&gt;"TransfereGOV",
ROUND(OFFSET($P248,0,AC$13),15-13*ORÇAMENTO!$AF$7)/$H248*OFFSET(ORÇAMENTO!$X$15,ROW(AC248)-ROW(AC$15),0),
ROUND(ROUND(OFFSET($P248,0,AC$13),15-13*ORÇAMENTO!$AF$7)*OFFSET(ORÇAMENTO!$W$15,ROW(AC248)-ROW(AC$15),0),15-13*ORÇAMENTO!$AF$11)),0)</f>
        <v>0</v>
      </c>
      <c r="AD248" s="545">
        <f ca="1">IF(AND($D248="Serviço",AD$12&lt;&gt;0,$H248&gt;0,OR(AUTOEVENTO&lt;&gt;"manual",$M248&lt;&gt;1)),
IF(Import.TipoArredondamento&lt;&gt;"TransfereGOV",
ROUND(OFFSET($P248,0,AD$13),15-13*ORÇAMENTO!$AF$7)/$H248*OFFSET(ORÇAMENTO!$X$15,ROW(AD248)-ROW(AD$15),0),
ROUND(ROUND(OFFSET($P248,0,AD$13),15-13*ORÇAMENTO!$AF$7)*OFFSET(ORÇAMENTO!$W$15,ROW(AD248)-ROW(AD$15),0),15-13*ORÇAMENTO!$AF$11)),0)</f>
        <v>0</v>
      </c>
      <c r="AE248" s="545">
        <f ca="1">IF(AND($D248="Serviço",AE$12&lt;&gt;0,$H248&gt;0,OR(AUTOEVENTO&lt;&gt;"manual",$M248&lt;&gt;1)),
IF(Import.TipoArredondamento&lt;&gt;"TransfereGOV",
ROUND(OFFSET($P248,0,AE$13),15-13*ORÇAMENTO!$AF$7)/$H248*OFFSET(ORÇAMENTO!$X$15,ROW(AE248)-ROW(AE$15),0),
ROUND(ROUND(OFFSET($P248,0,AE$13),15-13*ORÇAMENTO!$AF$7)*OFFSET(ORÇAMENTO!$W$15,ROW(AE248)-ROW(AE$15),0),15-13*ORÇAMENTO!$AF$11)),0)</f>
        <v>0</v>
      </c>
      <c r="AF248" s="545">
        <f ca="1">IF(AND($D248="Serviço",AF$12&lt;&gt;0,$H248&gt;0,OR(AUTOEVENTO&lt;&gt;"manual",$M248&lt;&gt;1)),
IF(Import.TipoArredondamento&lt;&gt;"TransfereGOV",
ROUND(OFFSET($P248,0,AF$13),15-13*ORÇAMENTO!$AF$7)/$H248*OFFSET(ORÇAMENTO!$X$15,ROW(AF248)-ROW(AF$15),0),
ROUND(ROUND(OFFSET($P248,0,AF$13),15-13*ORÇAMENTO!$AF$7)*OFFSET(ORÇAMENTO!$W$15,ROW(AF248)-ROW(AF$15),0),15-13*ORÇAMENTO!$AF$11)),0)</f>
        <v>0</v>
      </c>
      <c r="AG248" s="545">
        <f ca="1">IF(AND($D248="Serviço",AG$12&lt;&gt;0,$H248&gt;0,OR(AUTOEVENTO&lt;&gt;"manual",$M248&lt;&gt;1)),
IF(Import.TipoArredondamento&lt;&gt;"TransfereGOV",
ROUND(OFFSET($P248,0,AG$13),15-13*ORÇAMENTO!$AF$7)/$H248*OFFSET(ORÇAMENTO!$X$15,ROW(AG248)-ROW(AG$15),0),
ROUND(ROUND(OFFSET($P248,0,AG$13),15-13*ORÇAMENTO!$AF$7)*OFFSET(ORÇAMENTO!$W$15,ROW(AG248)-ROW(AG$15),0),15-13*ORÇAMENTO!$AF$11)),0)</f>
        <v>0</v>
      </c>
      <c r="AH248" s="545">
        <f ca="1">IF(AND($D248="Serviço",AH$12&lt;&gt;0,$H248&gt;0,OR(AUTOEVENTO&lt;&gt;"manual",$M248&lt;&gt;1)),
IF(Import.TipoArredondamento&lt;&gt;"TransfereGOV",
ROUND(OFFSET($P248,0,AH$13),15-13*ORÇAMENTO!$AF$7)/$H248*OFFSET(ORÇAMENTO!$X$15,ROW(AH248)-ROW(AH$15),0),
ROUND(ROUND(OFFSET($P248,0,AH$13),15-13*ORÇAMENTO!$AF$7)*OFFSET(ORÇAMENTO!$W$15,ROW(AH248)-ROW(AH$15),0),15-13*ORÇAMENTO!$AF$11)),0)</f>
        <v>0</v>
      </c>
      <c r="AI248" s="545">
        <f ca="1">IF(AND($D248="Serviço",AI$12&lt;&gt;0,$H248&gt;0,OR(AUTOEVENTO&lt;&gt;"manual",$M248&lt;&gt;1)),
IF(Import.TipoArredondamento&lt;&gt;"TransfereGOV",
ROUND(OFFSET($P248,0,AI$13),15-13*ORÇAMENTO!$AF$7)/$H248*OFFSET(ORÇAMENTO!$X$15,ROW(AI248)-ROW(AI$15),0),
ROUND(ROUND(OFFSET($P248,0,AI$13),15-13*ORÇAMENTO!$AF$7)*OFFSET(ORÇAMENTO!$W$15,ROW(AI248)-ROW(AI$15),0),15-13*ORÇAMENTO!$AF$11)),0)</f>
        <v>0</v>
      </c>
      <c r="AJ248" s="545">
        <f ca="1">IF(AND($D248="Serviço",AJ$12&lt;&gt;0,$H248&gt;0,OR(AUTOEVENTO&lt;&gt;"manual",$M248&lt;&gt;1)),
IF(Import.TipoArredondamento&lt;&gt;"TransfereGOV",
ROUND(OFFSET($P248,0,AJ$13),15-13*ORÇAMENTO!$AF$7)/$H248*OFFSET(ORÇAMENTO!$X$15,ROW(AJ248)-ROW(AJ$15),0),
ROUND(ROUND(OFFSET($P248,0,AJ$13),15-13*ORÇAMENTO!$AF$7)*OFFSET(ORÇAMENTO!$W$15,ROW(AJ248)-ROW(AJ$15),0),15-13*ORÇAMENTO!$AF$11)),0)</f>
        <v>0</v>
      </c>
      <c r="AK248" s="546">
        <f ca="1">IF(AND($D248="Serviço",AK$12&lt;&gt;0,$H248&gt;0,OR(AUTOEVENTO&lt;&gt;"manual",$M248&lt;&gt;1)),
IF(Import.TipoArredondamento&lt;&gt;"TransfereGOV",
ROUND(OFFSET($P248,0,AK$13),15-13*ORÇAMENTO!$AF$7)/$H248*OFFSET(ORÇAMENTO!$X$15,ROW(AK248)-ROW(AK$15),0),
ROUND(ROUND(OFFSET($P248,0,AK$13),15-13*ORÇAMENTO!$AF$7)*OFFSET(ORÇAMENTO!$W$15,ROW(AK248)-ROW(AK$15),0),15-13*ORÇAMENTO!$AF$11)),0)</f>
        <v>0</v>
      </c>
      <c r="AM248" s="181">
        <f ca="1">IF($D248&lt;&gt;"Serviço",0,IF(AND(AUTOEVENTO="Manual",$M248=1),0,IF(OFFSET(CRONOPLE!$F$14,$M248,AM$13)="",10^12,OFFSET(CRONOPLE!$F$14,$M248,AM$13))))</f>
        <v>1000000000000</v>
      </c>
      <c r="AN248" s="181">
        <f ca="1">IF($D248&lt;&gt;"Serviço",0,IF(AND(AUTOEVENTO="Manual",$M248=1),0,IF(OFFSET(CRONOPLE!$F$14,$M248,AN$13)="",10^12,OFFSET(CRONOPLE!$F$14,$M248,AN$13))))</f>
        <v>1000000000000</v>
      </c>
      <c r="AO248" s="181">
        <f ca="1">IF($D248&lt;&gt;"Serviço",0,IF(AND(AUTOEVENTO="Manual",$M248=1),0,IF(OFFSET(CRONOPLE!$F$14,$M248,AO$13)="",10^12,OFFSET(CRONOPLE!$F$14,$M248,AO$13))))</f>
        <v>1000000000000</v>
      </c>
      <c r="AP248" s="181">
        <f ca="1">IF($D248&lt;&gt;"Serviço",0,IF(AND(AUTOEVENTO="Manual",$M248=1),0,IF(OFFSET(CRONOPLE!$F$14,$M248,AP$13)="",10^12,OFFSET(CRONOPLE!$F$14,$M248,AP$13))))</f>
        <v>1000000000000</v>
      </c>
      <c r="AQ248" s="181">
        <f ca="1">IF($D248&lt;&gt;"Serviço",0,IF(AND(AUTOEVENTO="Manual",$M248=1),0,IF(OFFSET(CRONOPLE!$F$14,$M248,AQ$13)="",10^12,OFFSET(CRONOPLE!$F$14,$M248,AQ$13))))</f>
        <v>1000000000000</v>
      </c>
      <c r="AR248" s="181">
        <f ca="1">IF($D248&lt;&gt;"Serviço",0,IF(AND(AUTOEVENTO="Manual",$M248=1),0,IF(OFFSET(CRONOPLE!$F$14,$M248,AR$13)="",10^12,OFFSET(CRONOPLE!$F$14,$M248,AR$13))))</f>
        <v>1000000000000</v>
      </c>
      <c r="AS248" s="181">
        <f ca="1">IF($D248&lt;&gt;"Serviço",0,IF(AND(AUTOEVENTO="Manual",$M248=1),0,IF(OFFSET(CRONOPLE!$F$14,$M248,AS$13)="",10^12,OFFSET(CRONOPLE!$F$14,$M248,AS$13))))</f>
        <v>1000000000000</v>
      </c>
      <c r="AT248" s="181">
        <f ca="1">IF($D248&lt;&gt;"Serviço",0,IF(AND(AUTOEVENTO="Manual",$M248=1),0,IF(OFFSET(CRONOPLE!$F$14,$M248,AT$13)="",10^12,OFFSET(CRONOPLE!$F$14,$M248,AT$13))))</f>
        <v>1000000000000</v>
      </c>
      <c r="AU248" s="181">
        <f ca="1">IF($D248&lt;&gt;"Serviço",0,IF(AND(AUTOEVENTO="Manual",$M248=1),0,IF(OFFSET(CRONOPLE!$F$14,$M248,AU$13)="",10^12,OFFSET(CRONOPLE!$F$14,$M248,AU$13))))</f>
        <v>1000000000000</v>
      </c>
      <c r="AV248" s="181">
        <f ca="1">IF($D248&lt;&gt;"Serviço",0,IF(AND(AUTOEVENTO="Manual",$M248=1),0,IF(OFFSET(CRONOPLE!$F$14,$M248,AV$13)="",10^12,OFFSET(CRONOPLE!$F$14,$M248,AV$13))))</f>
        <v>1000000000000</v>
      </c>
      <c r="AX248" s="182">
        <f ca="1">IF($D248&lt;&gt;"Serviço",0,IF(OR(AND(AUTOEVENTO="Manual",$M248=1),$M248&gt;(ROW(PLE.lastrow)-ROW(PLE.firstrow))),0,IF(OFFSET(PLE!$G$14,$M248,AX$13)="",10^12,OFFSET(PLE!$G$14,$M248,AX$13))))</f>
        <v>1000000000000</v>
      </c>
      <c r="AY248" s="182">
        <f ca="1">IF($D248&lt;&gt;"Serviço",0,IF(OR(AND(AUTOEVENTO="Manual",$M248=1),$M248&gt;(ROW(PLE.lastrow)-ROW(PLE.firstrow))),0,IF(OFFSET(PLE!$G$14,$M248,AY$13)="",10^12,OFFSET(PLE!$G$14,$M248,AY$13))))</f>
        <v>1000000000000</v>
      </c>
      <c r="AZ248" s="182">
        <f ca="1">IF($D248&lt;&gt;"Serviço",0,IF(OR(AND(AUTOEVENTO="Manual",$M248=1),$M248&gt;(ROW(PLE.lastrow)-ROW(PLE.firstrow))),0,IF(OFFSET(PLE!$G$14,$M248,AZ$13)="",10^12,OFFSET(PLE!$G$14,$M248,AZ$13))))</f>
        <v>1000000000000</v>
      </c>
      <c r="BA248" s="182">
        <f ca="1">IF($D248&lt;&gt;"Serviço",0,IF(OR(AND(AUTOEVENTO="Manual",$M248=1),$M248&gt;(ROW(PLE.lastrow)-ROW(PLE.firstrow))),0,IF(OFFSET(PLE!$G$14,$M248,BA$13)="",10^12,OFFSET(PLE!$G$14,$M248,BA$13))))</f>
        <v>1000000000000</v>
      </c>
      <c r="BB248" s="182">
        <f ca="1">IF($D248&lt;&gt;"Serviço",0,IF(OR(AND(AUTOEVENTO="Manual",$M248=1),$M248&gt;(ROW(PLE.lastrow)-ROW(PLE.firstrow))),0,IF(OFFSET(PLE!$G$14,$M248,BB$13)="",10^12,OFFSET(PLE!$G$14,$M248,BB$13))))</f>
        <v>1000000000000</v>
      </c>
      <c r="BC248" s="182">
        <f ca="1">IF($D248&lt;&gt;"Serviço",0,IF(OR(AND(AUTOEVENTO="Manual",$M248=1),$M248&gt;(ROW(PLE.lastrow)-ROW(PLE.firstrow))),0,IF(OFFSET(PLE!$G$14,$M248,BC$13)="",10^12,OFFSET(PLE!$G$14,$M248,BC$13))))</f>
        <v>1000000000000</v>
      </c>
      <c r="BD248" s="182">
        <f ca="1">IF($D248&lt;&gt;"Serviço",0,IF(OR(AND(AUTOEVENTO="Manual",$M248=1),$M248&gt;(ROW(PLE.lastrow)-ROW(PLE.firstrow))),0,IF(OFFSET(PLE!$G$14,$M248,BD$13)="",10^12,OFFSET(PLE!$G$14,$M248,BD$13))))</f>
        <v>1000000000000</v>
      </c>
      <c r="BE248" s="182">
        <f ca="1">IF($D248&lt;&gt;"Serviço",0,IF(OR(AND(AUTOEVENTO="Manual",$M248=1),$M248&gt;(ROW(PLE.lastrow)-ROW(PLE.firstrow))),0,IF(OFFSET(PLE!$G$14,$M248,BE$13)="",10^12,OFFSET(PLE!$G$14,$M248,BE$13))))</f>
        <v>1000000000000</v>
      </c>
      <c r="BF248" s="182">
        <f ca="1">IF($D248&lt;&gt;"Serviço",0,IF(OR(AND(AUTOEVENTO="Manual",$M248=1),$M248&gt;(ROW(PLE.lastrow)-ROW(PLE.firstrow))),0,IF(OFFSET(PLE!$G$14,$M248,BF$13)="",10^12,OFFSET(PLE!$G$14,$M248,BF$13))))</f>
        <v>1000000000000</v>
      </c>
      <c r="BG248" s="182">
        <f ca="1">IF($D248&lt;&gt;"Serviço",0,IF(OR(AND(AUTOEVENTO="Manual",$M248=1),$M248&gt;(ROW(PLE.lastrow)-ROW(PLE.firstrow))),0,IF(OFFSET(PLE!$G$14,$M248,BG$13)="",10^12,OFFSET(PLE!$G$14,$M248,BG$13))))</f>
        <v>1000000000000</v>
      </c>
    </row>
    <row r="249" spans="1:59" ht="25.5" x14ac:dyDescent="0.2">
      <c r="A249" s="7" t="str">
        <f t="shared" ca="1" si="11"/>
        <v>225</v>
      </c>
      <c r="B249" s="7" t="str">
        <f ca="1">OFFSET(ORÇAMENTO!C$15,ROW(B249)-ROW(B$15),0)</f>
        <v>S</v>
      </c>
      <c r="C249" s="7" t="str">
        <f ca="1">OFFSET(ORÇAMENTO!L$15,ROW(C249)-ROW(C$15),0)</f>
        <v/>
      </c>
      <c r="D249" s="118" t="str">
        <f ca="1">OFFSET(ORÇAMENTO!N$15,ROW(D249)-ROW(D$15),0)</f>
        <v>Serviço</v>
      </c>
      <c r="E249" s="119" t="str">
        <f ca="1">OFFSET(ORÇAMENTO!O$15,ROW(E249)-ROW(E$15),0)</f>
        <v>-</v>
      </c>
      <c r="F249" s="172" t="str">
        <f ca="1">OFFSET(ORÇAMENTO!R$15,ROW(F249)-ROW(F$15),0)</f>
        <v>(abra o arquivo 'Referência 02-2025.xlsm)</v>
      </c>
      <c r="G249" s="173" t="str">
        <f ca="1">IF($D249&lt;&gt;"Serviço","",OFFSET(ORÇAMENTO!S$15,ROW(G249)-ROW(G$15),0))</f>
        <v>-</v>
      </c>
      <c r="H249" s="124">
        <f ca="1">IF($D249&lt;&gt;"Serviço",0,IF(ACOMPANHAMENTO="BM",ROUND(OFFSET(ORÇAMENTO!AJ$15,ROW(H249)-ROW(H$15),0),15-13*ORÇAMENTO!$AF$7),SUMPRODUCT(($Q$12:$AA$12&lt;&gt;"")*ROUND($Q249:$AA249,15-13*ORÇAMENTO!$AF$7))))</f>
        <v>84.65</v>
      </c>
      <c r="I249" s="561" t="s">
        <v>890</v>
      </c>
      <c r="K249" s="174"/>
      <c r="L249" s="175" t="s">
        <v>255</v>
      </c>
      <c r="M249" s="176">
        <f ca="1">IF($D249&lt;&gt;"Serviço","",IF(AUTOEVENTO="manual",$A249,IF(ISERROR(MATCH($A249,$A$15:OFFSET($A249,-1,0),0)),MAX($M$15:OFFSET(M249,-1,0))+1,INDEX($M$15:OFFSET(M249,-1,0),MATCH($A249,$A$15:OFFSET($A249,-1,0),0)))))</f>
        <v>12</v>
      </c>
      <c r="N249" s="177" t="str">
        <f ca="1">IF($D249&lt;&gt;"Serviço","",IF(AUTOEVENTO="Manual",IF($A249=0,"&lt;-- defina o número do agrupador",OFFSET(EVENTOS!$D$14,$A249,0)),OFFSET($F$15,$A249,0)))</f>
        <v>PINTURAS E ACABAMENTOS</v>
      </c>
      <c r="O249" s="178"/>
      <c r="Q249" s="178"/>
      <c r="R249" s="179"/>
      <c r="S249" s="179"/>
      <c r="T249" s="179"/>
      <c r="U249" s="179"/>
      <c r="V249" s="179"/>
      <c r="W249" s="179"/>
      <c r="X249" s="179"/>
      <c r="Y249" s="179"/>
      <c r="Z249" s="180"/>
      <c r="AB249" s="544">
        <f ca="1">IF(AND($D249="Serviço",AB$12&lt;&gt;0,$H249&gt;0,OR(AUTOEVENTO&lt;&gt;"manual",$M249&lt;&gt;1)),
IF(Import.TipoArredondamento&lt;&gt;"TransfereGOV",
ROUND(OFFSET($P249,0,AB$13),15-13*ORÇAMENTO!$AF$7)/$H249*OFFSET(ORÇAMENTO!$X$15,ROW(AB249)-ROW(AB$15),0),
ROUND(ROUND(OFFSET($P249,0,AB$13),15-13*ORÇAMENTO!$AF$7)*OFFSET(ORÇAMENTO!$W$15,ROW(AB249)-ROW(AB$15),0),15-13*ORÇAMENTO!$AF$11)),0)</f>
        <v>0</v>
      </c>
      <c r="AC249" s="545">
        <f ca="1">IF(AND($D249="Serviço",AC$12&lt;&gt;0,$H249&gt;0,OR(AUTOEVENTO&lt;&gt;"manual",$M249&lt;&gt;1)),
IF(Import.TipoArredondamento&lt;&gt;"TransfereGOV",
ROUND(OFFSET($P249,0,AC$13),15-13*ORÇAMENTO!$AF$7)/$H249*OFFSET(ORÇAMENTO!$X$15,ROW(AC249)-ROW(AC$15),0),
ROUND(ROUND(OFFSET($P249,0,AC$13),15-13*ORÇAMENTO!$AF$7)*OFFSET(ORÇAMENTO!$W$15,ROW(AC249)-ROW(AC$15),0),15-13*ORÇAMENTO!$AF$11)),0)</f>
        <v>0</v>
      </c>
      <c r="AD249" s="545">
        <f ca="1">IF(AND($D249="Serviço",AD$12&lt;&gt;0,$H249&gt;0,OR(AUTOEVENTO&lt;&gt;"manual",$M249&lt;&gt;1)),
IF(Import.TipoArredondamento&lt;&gt;"TransfereGOV",
ROUND(OFFSET($P249,0,AD$13),15-13*ORÇAMENTO!$AF$7)/$H249*OFFSET(ORÇAMENTO!$X$15,ROW(AD249)-ROW(AD$15),0),
ROUND(ROUND(OFFSET($P249,0,AD$13),15-13*ORÇAMENTO!$AF$7)*OFFSET(ORÇAMENTO!$W$15,ROW(AD249)-ROW(AD$15),0),15-13*ORÇAMENTO!$AF$11)),0)</f>
        <v>0</v>
      </c>
      <c r="AE249" s="545">
        <f ca="1">IF(AND($D249="Serviço",AE$12&lt;&gt;0,$H249&gt;0,OR(AUTOEVENTO&lt;&gt;"manual",$M249&lt;&gt;1)),
IF(Import.TipoArredondamento&lt;&gt;"TransfereGOV",
ROUND(OFFSET($P249,0,AE$13),15-13*ORÇAMENTO!$AF$7)/$H249*OFFSET(ORÇAMENTO!$X$15,ROW(AE249)-ROW(AE$15),0),
ROUND(ROUND(OFFSET($P249,0,AE$13),15-13*ORÇAMENTO!$AF$7)*OFFSET(ORÇAMENTO!$W$15,ROW(AE249)-ROW(AE$15),0),15-13*ORÇAMENTO!$AF$11)),0)</f>
        <v>0</v>
      </c>
      <c r="AF249" s="545">
        <f ca="1">IF(AND($D249="Serviço",AF$12&lt;&gt;0,$H249&gt;0,OR(AUTOEVENTO&lt;&gt;"manual",$M249&lt;&gt;1)),
IF(Import.TipoArredondamento&lt;&gt;"TransfereGOV",
ROUND(OFFSET($P249,0,AF$13),15-13*ORÇAMENTO!$AF$7)/$H249*OFFSET(ORÇAMENTO!$X$15,ROW(AF249)-ROW(AF$15),0),
ROUND(ROUND(OFFSET($P249,0,AF$13),15-13*ORÇAMENTO!$AF$7)*OFFSET(ORÇAMENTO!$W$15,ROW(AF249)-ROW(AF$15),0),15-13*ORÇAMENTO!$AF$11)),0)</f>
        <v>0</v>
      </c>
      <c r="AG249" s="545">
        <f ca="1">IF(AND($D249="Serviço",AG$12&lt;&gt;0,$H249&gt;0,OR(AUTOEVENTO&lt;&gt;"manual",$M249&lt;&gt;1)),
IF(Import.TipoArredondamento&lt;&gt;"TransfereGOV",
ROUND(OFFSET($P249,0,AG$13),15-13*ORÇAMENTO!$AF$7)/$H249*OFFSET(ORÇAMENTO!$X$15,ROW(AG249)-ROW(AG$15),0),
ROUND(ROUND(OFFSET($P249,0,AG$13),15-13*ORÇAMENTO!$AF$7)*OFFSET(ORÇAMENTO!$W$15,ROW(AG249)-ROW(AG$15),0),15-13*ORÇAMENTO!$AF$11)),0)</f>
        <v>0</v>
      </c>
      <c r="AH249" s="545">
        <f ca="1">IF(AND($D249="Serviço",AH$12&lt;&gt;0,$H249&gt;0,OR(AUTOEVENTO&lt;&gt;"manual",$M249&lt;&gt;1)),
IF(Import.TipoArredondamento&lt;&gt;"TransfereGOV",
ROUND(OFFSET($P249,0,AH$13),15-13*ORÇAMENTO!$AF$7)/$H249*OFFSET(ORÇAMENTO!$X$15,ROW(AH249)-ROW(AH$15),0),
ROUND(ROUND(OFFSET($P249,0,AH$13),15-13*ORÇAMENTO!$AF$7)*OFFSET(ORÇAMENTO!$W$15,ROW(AH249)-ROW(AH$15),0),15-13*ORÇAMENTO!$AF$11)),0)</f>
        <v>0</v>
      </c>
      <c r="AI249" s="545">
        <f ca="1">IF(AND($D249="Serviço",AI$12&lt;&gt;0,$H249&gt;0,OR(AUTOEVENTO&lt;&gt;"manual",$M249&lt;&gt;1)),
IF(Import.TipoArredondamento&lt;&gt;"TransfereGOV",
ROUND(OFFSET($P249,0,AI$13),15-13*ORÇAMENTO!$AF$7)/$H249*OFFSET(ORÇAMENTO!$X$15,ROW(AI249)-ROW(AI$15),0),
ROUND(ROUND(OFFSET($P249,0,AI$13),15-13*ORÇAMENTO!$AF$7)*OFFSET(ORÇAMENTO!$W$15,ROW(AI249)-ROW(AI$15),0),15-13*ORÇAMENTO!$AF$11)),0)</f>
        <v>0</v>
      </c>
      <c r="AJ249" s="545">
        <f ca="1">IF(AND($D249="Serviço",AJ$12&lt;&gt;0,$H249&gt;0,OR(AUTOEVENTO&lt;&gt;"manual",$M249&lt;&gt;1)),
IF(Import.TipoArredondamento&lt;&gt;"TransfereGOV",
ROUND(OFFSET($P249,0,AJ$13),15-13*ORÇAMENTO!$AF$7)/$H249*OFFSET(ORÇAMENTO!$X$15,ROW(AJ249)-ROW(AJ$15),0),
ROUND(ROUND(OFFSET($P249,0,AJ$13),15-13*ORÇAMENTO!$AF$7)*OFFSET(ORÇAMENTO!$W$15,ROW(AJ249)-ROW(AJ$15),0),15-13*ORÇAMENTO!$AF$11)),0)</f>
        <v>0</v>
      </c>
      <c r="AK249" s="546">
        <f ca="1">IF(AND($D249="Serviço",AK$12&lt;&gt;0,$H249&gt;0,OR(AUTOEVENTO&lt;&gt;"manual",$M249&lt;&gt;1)),
IF(Import.TipoArredondamento&lt;&gt;"TransfereGOV",
ROUND(OFFSET($P249,0,AK$13),15-13*ORÇAMENTO!$AF$7)/$H249*OFFSET(ORÇAMENTO!$X$15,ROW(AK249)-ROW(AK$15),0),
ROUND(ROUND(OFFSET($P249,0,AK$13),15-13*ORÇAMENTO!$AF$7)*OFFSET(ORÇAMENTO!$W$15,ROW(AK249)-ROW(AK$15),0),15-13*ORÇAMENTO!$AF$11)),0)</f>
        <v>0</v>
      </c>
      <c r="AM249" s="181">
        <f ca="1">IF($D249&lt;&gt;"Serviço",0,IF(AND(AUTOEVENTO="Manual",$M249=1),0,IF(OFFSET(CRONOPLE!$F$14,$M249,AM$13)="",10^12,OFFSET(CRONOPLE!$F$14,$M249,AM$13))))</f>
        <v>1000000000000</v>
      </c>
      <c r="AN249" s="181">
        <f ca="1">IF($D249&lt;&gt;"Serviço",0,IF(AND(AUTOEVENTO="Manual",$M249=1),0,IF(OFFSET(CRONOPLE!$F$14,$M249,AN$13)="",10^12,OFFSET(CRONOPLE!$F$14,$M249,AN$13))))</f>
        <v>1000000000000</v>
      </c>
      <c r="AO249" s="181">
        <f ca="1">IF($D249&lt;&gt;"Serviço",0,IF(AND(AUTOEVENTO="Manual",$M249=1),0,IF(OFFSET(CRONOPLE!$F$14,$M249,AO$13)="",10^12,OFFSET(CRONOPLE!$F$14,$M249,AO$13))))</f>
        <v>1000000000000</v>
      </c>
      <c r="AP249" s="181">
        <f ca="1">IF($D249&lt;&gt;"Serviço",0,IF(AND(AUTOEVENTO="Manual",$M249=1),0,IF(OFFSET(CRONOPLE!$F$14,$M249,AP$13)="",10^12,OFFSET(CRONOPLE!$F$14,$M249,AP$13))))</f>
        <v>1000000000000</v>
      </c>
      <c r="AQ249" s="181">
        <f ca="1">IF($D249&lt;&gt;"Serviço",0,IF(AND(AUTOEVENTO="Manual",$M249=1),0,IF(OFFSET(CRONOPLE!$F$14,$M249,AQ$13)="",10^12,OFFSET(CRONOPLE!$F$14,$M249,AQ$13))))</f>
        <v>1000000000000</v>
      </c>
      <c r="AR249" s="181">
        <f ca="1">IF($D249&lt;&gt;"Serviço",0,IF(AND(AUTOEVENTO="Manual",$M249=1),0,IF(OFFSET(CRONOPLE!$F$14,$M249,AR$13)="",10^12,OFFSET(CRONOPLE!$F$14,$M249,AR$13))))</f>
        <v>1000000000000</v>
      </c>
      <c r="AS249" s="181">
        <f ca="1">IF($D249&lt;&gt;"Serviço",0,IF(AND(AUTOEVENTO="Manual",$M249=1),0,IF(OFFSET(CRONOPLE!$F$14,$M249,AS$13)="",10^12,OFFSET(CRONOPLE!$F$14,$M249,AS$13))))</f>
        <v>1000000000000</v>
      </c>
      <c r="AT249" s="181">
        <f ca="1">IF($D249&lt;&gt;"Serviço",0,IF(AND(AUTOEVENTO="Manual",$M249=1),0,IF(OFFSET(CRONOPLE!$F$14,$M249,AT$13)="",10^12,OFFSET(CRONOPLE!$F$14,$M249,AT$13))))</f>
        <v>1000000000000</v>
      </c>
      <c r="AU249" s="181">
        <f ca="1">IF($D249&lt;&gt;"Serviço",0,IF(AND(AUTOEVENTO="Manual",$M249=1),0,IF(OFFSET(CRONOPLE!$F$14,$M249,AU$13)="",10^12,OFFSET(CRONOPLE!$F$14,$M249,AU$13))))</f>
        <v>1000000000000</v>
      </c>
      <c r="AV249" s="181">
        <f ca="1">IF($D249&lt;&gt;"Serviço",0,IF(AND(AUTOEVENTO="Manual",$M249=1),0,IF(OFFSET(CRONOPLE!$F$14,$M249,AV$13)="",10^12,OFFSET(CRONOPLE!$F$14,$M249,AV$13))))</f>
        <v>1000000000000</v>
      </c>
      <c r="AX249" s="182">
        <f ca="1">IF($D249&lt;&gt;"Serviço",0,IF(OR(AND(AUTOEVENTO="Manual",$M249=1),$M249&gt;(ROW(PLE.lastrow)-ROW(PLE.firstrow))),0,IF(OFFSET(PLE!$G$14,$M249,AX$13)="",10^12,OFFSET(PLE!$G$14,$M249,AX$13))))</f>
        <v>1000000000000</v>
      </c>
      <c r="AY249" s="182">
        <f ca="1">IF($D249&lt;&gt;"Serviço",0,IF(OR(AND(AUTOEVENTO="Manual",$M249=1),$M249&gt;(ROW(PLE.lastrow)-ROW(PLE.firstrow))),0,IF(OFFSET(PLE!$G$14,$M249,AY$13)="",10^12,OFFSET(PLE!$G$14,$M249,AY$13))))</f>
        <v>1000000000000</v>
      </c>
      <c r="AZ249" s="182">
        <f ca="1">IF($D249&lt;&gt;"Serviço",0,IF(OR(AND(AUTOEVENTO="Manual",$M249=1),$M249&gt;(ROW(PLE.lastrow)-ROW(PLE.firstrow))),0,IF(OFFSET(PLE!$G$14,$M249,AZ$13)="",10^12,OFFSET(PLE!$G$14,$M249,AZ$13))))</f>
        <v>1000000000000</v>
      </c>
      <c r="BA249" s="182">
        <f ca="1">IF($D249&lt;&gt;"Serviço",0,IF(OR(AND(AUTOEVENTO="Manual",$M249=1),$M249&gt;(ROW(PLE.lastrow)-ROW(PLE.firstrow))),0,IF(OFFSET(PLE!$G$14,$M249,BA$13)="",10^12,OFFSET(PLE!$G$14,$M249,BA$13))))</f>
        <v>1000000000000</v>
      </c>
      <c r="BB249" s="182">
        <f ca="1">IF($D249&lt;&gt;"Serviço",0,IF(OR(AND(AUTOEVENTO="Manual",$M249=1),$M249&gt;(ROW(PLE.lastrow)-ROW(PLE.firstrow))),0,IF(OFFSET(PLE!$G$14,$M249,BB$13)="",10^12,OFFSET(PLE!$G$14,$M249,BB$13))))</f>
        <v>1000000000000</v>
      </c>
      <c r="BC249" s="182">
        <f ca="1">IF($D249&lt;&gt;"Serviço",0,IF(OR(AND(AUTOEVENTO="Manual",$M249=1),$M249&gt;(ROW(PLE.lastrow)-ROW(PLE.firstrow))),0,IF(OFFSET(PLE!$G$14,$M249,BC$13)="",10^12,OFFSET(PLE!$G$14,$M249,BC$13))))</f>
        <v>1000000000000</v>
      </c>
      <c r="BD249" s="182">
        <f ca="1">IF($D249&lt;&gt;"Serviço",0,IF(OR(AND(AUTOEVENTO="Manual",$M249=1),$M249&gt;(ROW(PLE.lastrow)-ROW(PLE.firstrow))),0,IF(OFFSET(PLE!$G$14,$M249,BD$13)="",10^12,OFFSET(PLE!$G$14,$M249,BD$13))))</f>
        <v>1000000000000</v>
      </c>
      <c r="BE249" s="182">
        <f ca="1">IF($D249&lt;&gt;"Serviço",0,IF(OR(AND(AUTOEVENTO="Manual",$M249=1),$M249&gt;(ROW(PLE.lastrow)-ROW(PLE.firstrow))),0,IF(OFFSET(PLE!$G$14,$M249,BE$13)="",10^12,OFFSET(PLE!$G$14,$M249,BE$13))))</f>
        <v>1000000000000</v>
      </c>
      <c r="BF249" s="182">
        <f ca="1">IF($D249&lt;&gt;"Serviço",0,IF(OR(AND(AUTOEVENTO="Manual",$M249=1),$M249&gt;(ROW(PLE.lastrow)-ROW(PLE.firstrow))),0,IF(OFFSET(PLE!$G$14,$M249,BF$13)="",10^12,OFFSET(PLE!$G$14,$M249,BF$13))))</f>
        <v>1000000000000</v>
      </c>
      <c r="BG249" s="182">
        <f ca="1">IF($D249&lt;&gt;"Serviço",0,IF(OR(AND(AUTOEVENTO="Manual",$M249=1),$M249&gt;(ROW(PLE.lastrow)-ROW(PLE.firstrow))),0,IF(OFFSET(PLE!$G$14,$M249,BG$13)="",10^12,OFFSET(PLE!$G$14,$M249,BG$13))))</f>
        <v>1000000000000</v>
      </c>
    </row>
    <row r="250" spans="1:59" ht="25.5" x14ac:dyDescent="0.2">
      <c r="A250" s="7" t="str">
        <f ca="1">IF(AUTOEVENTO="Manual",IF(K250&lt;&gt;"",MIN(VALUE(LEFT(K250,FIND(".",K250)-1)),COUNTA(EVENTOS.Lista)),0),IF(OR($B250&gt;AUTOEVENTO,$B250="S",$B250=0),SUBSTITUTE(OFFSET($A250,-1,0),IF($D250="Serviço",".",""),""),ROW(A250)-ROW($A$15)&amp;"."))</f>
        <v>225</v>
      </c>
      <c r="B250" s="7" t="str">
        <f ca="1">OFFSET(ORÇAMENTO!C$15,ROW(B250)-ROW(B$15),0)</f>
        <v>S</v>
      </c>
      <c r="C250" s="7" t="str">
        <f ca="1">OFFSET(ORÇAMENTO!L$15,ROW(C250)-ROW(C$15),0)</f>
        <v/>
      </c>
      <c r="D250" s="118" t="str">
        <f ca="1">OFFSET(ORÇAMENTO!N$15,ROW(D250)-ROW(D$15),0)</f>
        <v>Serviço</v>
      </c>
      <c r="E250" s="119" t="str">
        <f ca="1">OFFSET(ORÇAMENTO!O$15,ROW(E250)-ROW(E$15),0)</f>
        <v>-</v>
      </c>
      <c r="F250" s="172" t="str">
        <f ca="1">OFFSET(ORÇAMENTO!R$15,ROW(F250)-ROW(F$15),0)</f>
        <v>(abra o arquivo 'Referência 02-2025.xlsm)</v>
      </c>
      <c r="G250" s="173" t="str">
        <f ca="1">IF($D250&lt;&gt;"Serviço","",OFFSET(ORÇAMENTO!S$15,ROW(G250)-ROW(G$15),0))</f>
        <v>-</v>
      </c>
      <c r="H250" s="124">
        <f ca="1">IF($D250&lt;&gt;"Serviço",0,IF(ACOMPANHAMENTO="BM",ROUND(OFFSET(ORÇAMENTO!AJ$15,ROW(H250)-ROW(H$15),0),15-13*ORÇAMENTO!$AF$7),SUMPRODUCT(($Q$12:$AA$12&lt;&gt;"")*ROUND($Q250:$AA250,15-13*ORÇAMENTO!$AF$7))))</f>
        <v>15.3</v>
      </c>
      <c r="I250" s="561"/>
      <c r="K250" s="174"/>
      <c r="L250" s="175" t="s">
        <v>255</v>
      </c>
      <c r="M250" s="176">
        <f ca="1">IF($D250&lt;&gt;"Serviço","",IF(AUTOEVENTO="manual",$A250,IF(ISERROR(MATCH($A250,$A$15:OFFSET($A250,-1,0),0)),MAX($M$15:OFFSET(M250,-1,0))+1,INDEX($M$15:OFFSET(M250,-1,0),MATCH($A250,$A$15:OFFSET($A250,-1,0),0)))))</f>
        <v>12</v>
      </c>
      <c r="N250" s="177" t="str">
        <f ca="1">IF($D250&lt;&gt;"Serviço","",IF(AUTOEVENTO="Manual",IF($A250=0,"&lt;-- defina o número do agrupador",OFFSET(EVENTOS!$D$14,$A250,0)),OFFSET($F$15,$A250,0)))</f>
        <v>PINTURAS E ACABAMENTOS</v>
      </c>
      <c r="O250" s="178"/>
      <c r="Q250" s="178"/>
      <c r="R250" s="179"/>
      <c r="S250" s="179"/>
      <c r="T250" s="179"/>
      <c r="U250" s="179"/>
      <c r="V250" s="179"/>
      <c r="W250" s="179"/>
      <c r="X250" s="179"/>
      <c r="Y250" s="179"/>
      <c r="Z250" s="180"/>
      <c r="AB250" s="544">
        <f ca="1">IF(AND($D250="Serviço",AB$12&lt;&gt;0,$H250&gt;0,OR(AUTOEVENTO&lt;&gt;"manual",$M250&lt;&gt;1)),
IF(Import.TipoArredondamento&lt;&gt;"TransfereGOV",
ROUND(OFFSET($P250,0,AB$13),15-13*ORÇAMENTO!$AF$7)/$H250*OFFSET(ORÇAMENTO!$X$15,ROW(AB250)-ROW(AB$15),0),
ROUND(ROUND(OFFSET($P250,0,AB$13),15-13*ORÇAMENTO!$AF$7)*OFFSET(ORÇAMENTO!$W$15,ROW(AB250)-ROW(AB$15),0),15-13*ORÇAMENTO!$AF$11)),0)</f>
        <v>0</v>
      </c>
      <c r="AC250" s="545">
        <f ca="1">IF(AND($D250="Serviço",AC$12&lt;&gt;0,$H250&gt;0,OR(AUTOEVENTO&lt;&gt;"manual",$M250&lt;&gt;1)),
IF(Import.TipoArredondamento&lt;&gt;"TransfereGOV",
ROUND(OFFSET($P250,0,AC$13),15-13*ORÇAMENTO!$AF$7)/$H250*OFFSET(ORÇAMENTO!$X$15,ROW(AC250)-ROW(AC$15),0),
ROUND(ROUND(OFFSET($P250,0,AC$13),15-13*ORÇAMENTO!$AF$7)*OFFSET(ORÇAMENTO!$W$15,ROW(AC250)-ROW(AC$15),0),15-13*ORÇAMENTO!$AF$11)),0)</f>
        <v>0</v>
      </c>
      <c r="AD250" s="545">
        <f ca="1">IF(AND($D250="Serviço",AD$12&lt;&gt;0,$H250&gt;0,OR(AUTOEVENTO&lt;&gt;"manual",$M250&lt;&gt;1)),
IF(Import.TipoArredondamento&lt;&gt;"TransfereGOV",
ROUND(OFFSET($P250,0,AD$13),15-13*ORÇAMENTO!$AF$7)/$H250*OFFSET(ORÇAMENTO!$X$15,ROW(AD250)-ROW(AD$15),0),
ROUND(ROUND(OFFSET($P250,0,AD$13),15-13*ORÇAMENTO!$AF$7)*OFFSET(ORÇAMENTO!$W$15,ROW(AD250)-ROW(AD$15),0),15-13*ORÇAMENTO!$AF$11)),0)</f>
        <v>0</v>
      </c>
      <c r="AE250" s="545">
        <f ca="1">IF(AND($D250="Serviço",AE$12&lt;&gt;0,$H250&gt;0,OR(AUTOEVENTO&lt;&gt;"manual",$M250&lt;&gt;1)),
IF(Import.TipoArredondamento&lt;&gt;"TransfereGOV",
ROUND(OFFSET($P250,0,AE$13),15-13*ORÇAMENTO!$AF$7)/$H250*OFFSET(ORÇAMENTO!$X$15,ROW(AE250)-ROW(AE$15),0),
ROUND(ROUND(OFFSET($P250,0,AE$13),15-13*ORÇAMENTO!$AF$7)*OFFSET(ORÇAMENTO!$W$15,ROW(AE250)-ROW(AE$15),0),15-13*ORÇAMENTO!$AF$11)),0)</f>
        <v>0</v>
      </c>
      <c r="AF250" s="545">
        <f ca="1">IF(AND($D250="Serviço",AF$12&lt;&gt;0,$H250&gt;0,OR(AUTOEVENTO&lt;&gt;"manual",$M250&lt;&gt;1)),
IF(Import.TipoArredondamento&lt;&gt;"TransfereGOV",
ROUND(OFFSET($P250,0,AF$13),15-13*ORÇAMENTO!$AF$7)/$H250*OFFSET(ORÇAMENTO!$X$15,ROW(AF250)-ROW(AF$15),0),
ROUND(ROUND(OFFSET($P250,0,AF$13),15-13*ORÇAMENTO!$AF$7)*OFFSET(ORÇAMENTO!$W$15,ROW(AF250)-ROW(AF$15),0),15-13*ORÇAMENTO!$AF$11)),0)</f>
        <v>0</v>
      </c>
      <c r="AG250" s="545">
        <f ca="1">IF(AND($D250="Serviço",AG$12&lt;&gt;0,$H250&gt;0,OR(AUTOEVENTO&lt;&gt;"manual",$M250&lt;&gt;1)),
IF(Import.TipoArredondamento&lt;&gt;"TransfereGOV",
ROUND(OFFSET($P250,0,AG$13),15-13*ORÇAMENTO!$AF$7)/$H250*OFFSET(ORÇAMENTO!$X$15,ROW(AG250)-ROW(AG$15),0),
ROUND(ROUND(OFFSET($P250,0,AG$13),15-13*ORÇAMENTO!$AF$7)*OFFSET(ORÇAMENTO!$W$15,ROW(AG250)-ROW(AG$15),0),15-13*ORÇAMENTO!$AF$11)),0)</f>
        <v>0</v>
      </c>
      <c r="AH250" s="545">
        <f ca="1">IF(AND($D250="Serviço",AH$12&lt;&gt;0,$H250&gt;0,OR(AUTOEVENTO&lt;&gt;"manual",$M250&lt;&gt;1)),
IF(Import.TipoArredondamento&lt;&gt;"TransfereGOV",
ROUND(OFFSET($P250,0,AH$13),15-13*ORÇAMENTO!$AF$7)/$H250*OFFSET(ORÇAMENTO!$X$15,ROW(AH250)-ROW(AH$15),0),
ROUND(ROUND(OFFSET($P250,0,AH$13),15-13*ORÇAMENTO!$AF$7)*OFFSET(ORÇAMENTO!$W$15,ROW(AH250)-ROW(AH$15),0),15-13*ORÇAMENTO!$AF$11)),0)</f>
        <v>0</v>
      </c>
      <c r="AI250" s="545">
        <f ca="1">IF(AND($D250="Serviço",AI$12&lt;&gt;0,$H250&gt;0,OR(AUTOEVENTO&lt;&gt;"manual",$M250&lt;&gt;1)),
IF(Import.TipoArredondamento&lt;&gt;"TransfereGOV",
ROUND(OFFSET($P250,0,AI$13),15-13*ORÇAMENTO!$AF$7)/$H250*OFFSET(ORÇAMENTO!$X$15,ROW(AI250)-ROW(AI$15),0),
ROUND(ROUND(OFFSET($P250,0,AI$13),15-13*ORÇAMENTO!$AF$7)*OFFSET(ORÇAMENTO!$W$15,ROW(AI250)-ROW(AI$15),0),15-13*ORÇAMENTO!$AF$11)),0)</f>
        <v>0</v>
      </c>
      <c r="AJ250" s="545">
        <f ca="1">IF(AND($D250="Serviço",AJ$12&lt;&gt;0,$H250&gt;0,OR(AUTOEVENTO&lt;&gt;"manual",$M250&lt;&gt;1)),
IF(Import.TipoArredondamento&lt;&gt;"TransfereGOV",
ROUND(OFFSET($P250,0,AJ$13),15-13*ORÇAMENTO!$AF$7)/$H250*OFFSET(ORÇAMENTO!$X$15,ROW(AJ250)-ROW(AJ$15),0),
ROUND(ROUND(OFFSET($P250,0,AJ$13),15-13*ORÇAMENTO!$AF$7)*OFFSET(ORÇAMENTO!$W$15,ROW(AJ250)-ROW(AJ$15),0),15-13*ORÇAMENTO!$AF$11)),0)</f>
        <v>0</v>
      </c>
      <c r="AK250" s="546">
        <f ca="1">IF(AND($D250="Serviço",AK$12&lt;&gt;0,$H250&gt;0,OR(AUTOEVENTO&lt;&gt;"manual",$M250&lt;&gt;1)),
IF(Import.TipoArredondamento&lt;&gt;"TransfereGOV",
ROUND(OFFSET($P250,0,AK$13),15-13*ORÇAMENTO!$AF$7)/$H250*OFFSET(ORÇAMENTO!$X$15,ROW(AK250)-ROW(AK$15),0),
ROUND(ROUND(OFFSET($P250,0,AK$13),15-13*ORÇAMENTO!$AF$7)*OFFSET(ORÇAMENTO!$W$15,ROW(AK250)-ROW(AK$15),0),15-13*ORÇAMENTO!$AF$11)),0)</f>
        <v>0</v>
      </c>
      <c r="AM250" s="181">
        <f ca="1">IF($D250&lt;&gt;"Serviço",0,IF(AND(AUTOEVENTO="Manual",$M250=1),0,IF(OFFSET(CRONOPLE!$F$14,$M250,AM$13)="",10^12,OFFSET(CRONOPLE!$F$14,$M250,AM$13))))</f>
        <v>1000000000000</v>
      </c>
      <c r="AN250" s="181">
        <f ca="1">IF($D250&lt;&gt;"Serviço",0,IF(AND(AUTOEVENTO="Manual",$M250=1),0,IF(OFFSET(CRONOPLE!$F$14,$M250,AN$13)="",10^12,OFFSET(CRONOPLE!$F$14,$M250,AN$13))))</f>
        <v>1000000000000</v>
      </c>
      <c r="AO250" s="181">
        <f ca="1">IF($D250&lt;&gt;"Serviço",0,IF(AND(AUTOEVENTO="Manual",$M250=1),0,IF(OFFSET(CRONOPLE!$F$14,$M250,AO$13)="",10^12,OFFSET(CRONOPLE!$F$14,$M250,AO$13))))</f>
        <v>1000000000000</v>
      </c>
      <c r="AP250" s="181">
        <f ca="1">IF($D250&lt;&gt;"Serviço",0,IF(AND(AUTOEVENTO="Manual",$M250=1),0,IF(OFFSET(CRONOPLE!$F$14,$M250,AP$13)="",10^12,OFFSET(CRONOPLE!$F$14,$M250,AP$13))))</f>
        <v>1000000000000</v>
      </c>
      <c r="AQ250" s="181">
        <f ca="1">IF($D250&lt;&gt;"Serviço",0,IF(AND(AUTOEVENTO="Manual",$M250=1),0,IF(OFFSET(CRONOPLE!$F$14,$M250,AQ$13)="",10^12,OFFSET(CRONOPLE!$F$14,$M250,AQ$13))))</f>
        <v>1000000000000</v>
      </c>
      <c r="AR250" s="181">
        <f ca="1">IF($D250&lt;&gt;"Serviço",0,IF(AND(AUTOEVENTO="Manual",$M250=1),0,IF(OFFSET(CRONOPLE!$F$14,$M250,AR$13)="",10^12,OFFSET(CRONOPLE!$F$14,$M250,AR$13))))</f>
        <v>1000000000000</v>
      </c>
      <c r="AS250" s="181">
        <f ca="1">IF($D250&lt;&gt;"Serviço",0,IF(AND(AUTOEVENTO="Manual",$M250=1),0,IF(OFFSET(CRONOPLE!$F$14,$M250,AS$13)="",10^12,OFFSET(CRONOPLE!$F$14,$M250,AS$13))))</f>
        <v>1000000000000</v>
      </c>
      <c r="AT250" s="181">
        <f ca="1">IF($D250&lt;&gt;"Serviço",0,IF(AND(AUTOEVENTO="Manual",$M250=1),0,IF(OFFSET(CRONOPLE!$F$14,$M250,AT$13)="",10^12,OFFSET(CRONOPLE!$F$14,$M250,AT$13))))</f>
        <v>1000000000000</v>
      </c>
      <c r="AU250" s="181">
        <f ca="1">IF($D250&lt;&gt;"Serviço",0,IF(AND(AUTOEVENTO="Manual",$M250=1),0,IF(OFFSET(CRONOPLE!$F$14,$M250,AU$13)="",10^12,OFFSET(CRONOPLE!$F$14,$M250,AU$13))))</f>
        <v>1000000000000</v>
      </c>
      <c r="AV250" s="181">
        <f ca="1">IF($D250&lt;&gt;"Serviço",0,IF(AND(AUTOEVENTO="Manual",$M250=1),0,IF(OFFSET(CRONOPLE!$F$14,$M250,AV$13)="",10^12,OFFSET(CRONOPLE!$F$14,$M250,AV$13))))</f>
        <v>1000000000000</v>
      </c>
      <c r="AX250" s="182">
        <f ca="1">IF($D250&lt;&gt;"Serviço",0,IF(OR(AND(AUTOEVENTO="Manual",$M250=1),$M250&gt;(ROW(PLE.lastrow)-ROW(PLE.firstrow))),0,IF(OFFSET(PLE!$G$14,$M250,AX$13)="",10^12,OFFSET(PLE!$G$14,$M250,AX$13))))</f>
        <v>1000000000000</v>
      </c>
      <c r="AY250" s="182">
        <f ca="1">IF($D250&lt;&gt;"Serviço",0,IF(OR(AND(AUTOEVENTO="Manual",$M250=1),$M250&gt;(ROW(PLE.lastrow)-ROW(PLE.firstrow))),0,IF(OFFSET(PLE!$G$14,$M250,AY$13)="",10^12,OFFSET(PLE!$G$14,$M250,AY$13))))</f>
        <v>1000000000000</v>
      </c>
      <c r="AZ250" s="182">
        <f ca="1">IF($D250&lt;&gt;"Serviço",0,IF(OR(AND(AUTOEVENTO="Manual",$M250=1),$M250&gt;(ROW(PLE.lastrow)-ROW(PLE.firstrow))),0,IF(OFFSET(PLE!$G$14,$M250,AZ$13)="",10^12,OFFSET(PLE!$G$14,$M250,AZ$13))))</f>
        <v>1000000000000</v>
      </c>
      <c r="BA250" s="182">
        <f ca="1">IF($D250&lt;&gt;"Serviço",0,IF(OR(AND(AUTOEVENTO="Manual",$M250=1),$M250&gt;(ROW(PLE.lastrow)-ROW(PLE.firstrow))),0,IF(OFFSET(PLE!$G$14,$M250,BA$13)="",10^12,OFFSET(PLE!$G$14,$M250,BA$13))))</f>
        <v>1000000000000</v>
      </c>
      <c r="BB250" s="182">
        <f ca="1">IF($D250&lt;&gt;"Serviço",0,IF(OR(AND(AUTOEVENTO="Manual",$M250=1),$M250&gt;(ROW(PLE.lastrow)-ROW(PLE.firstrow))),0,IF(OFFSET(PLE!$G$14,$M250,BB$13)="",10^12,OFFSET(PLE!$G$14,$M250,BB$13))))</f>
        <v>1000000000000</v>
      </c>
      <c r="BC250" s="182">
        <f ca="1">IF($D250&lt;&gt;"Serviço",0,IF(OR(AND(AUTOEVENTO="Manual",$M250=1),$M250&gt;(ROW(PLE.lastrow)-ROW(PLE.firstrow))),0,IF(OFFSET(PLE!$G$14,$M250,BC$13)="",10^12,OFFSET(PLE!$G$14,$M250,BC$13))))</f>
        <v>1000000000000</v>
      </c>
      <c r="BD250" s="182">
        <f ca="1">IF($D250&lt;&gt;"Serviço",0,IF(OR(AND(AUTOEVENTO="Manual",$M250=1),$M250&gt;(ROW(PLE.lastrow)-ROW(PLE.firstrow))),0,IF(OFFSET(PLE!$G$14,$M250,BD$13)="",10^12,OFFSET(PLE!$G$14,$M250,BD$13))))</f>
        <v>1000000000000</v>
      </c>
      <c r="BE250" s="182">
        <f ca="1">IF($D250&lt;&gt;"Serviço",0,IF(OR(AND(AUTOEVENTO="Manual",$M250=1),$M250&gt;(ROW(PLE.lastrow)-ROW(PLE.firstrow))),0,IF(OFFSET(PLE!$G$14,$M250,BE$13)="",10^12,OFFSET(PLE!$G$14,$M250,BE$13))))</f>
        <v>1000000000000</v>
      </c>
      <c r="BF250" s="182">
        <f ca="1">IF($D250&lt;&gt;"Serviço",0,IF(OR(AND(AUTOEVENTO="Manual",$M250=1),$M250&gt;(ROW(PLE.lastrow)-ROW(PLE.firstrow))),0,IF(OFFSET(PLE!$G$14,$M250,BF$13)="",10^12,OFFSET(PLE!$G$14,$M250,BF$13))))</f>
        <v>1000000000000</v>
      </c>
      <c r="BG250" s="182">
        <f ca="1">IF($D250&lt;&gt;"Serviço",0,IF(OR(AND(AUTOEVENTO="Manual",$M250=1),$M250&gt;(ROW(PLE.lastrow)-ROW(PLE.firstrow))),0,IF(OFFSET(PLE!$G$14,$M250,BG$13)="",10^12,OFFSET(PLE!$G$14,$M250,BG$13))))</f>
        <v>1000000000000</v>
      </c>
    </row>
    <row r="251" spans="1:59" ht="12.75" x14ac:dyDescent="0.2">
      <c r="A251" s="7" t="str">
        <f t="shared" ca="1" si="11"/>
        <v>225</v>
      </c>
      <c r="B251" s="7">
        <f ca="1">OFFSET(ORÇAMENTO!C$15,ROW(B251)-ROW(B$15),0)</f>
        <v>3</v>
      </c>
      <c r="C251" s="7" t="str">
        <f ca="1">OFFSET(ORÇAMENTO!L$15,ROW(C251)-ROW(C$15),0)</f>
        <v>F</v>
      </c>
      <c r="D251" s="118" t="str">
        <f ca="1">OFFSET(ORÇAMENTO!N$15,ROW(D251)-ROW(D$15),0)</f>
        <v>Nível 3</v>
      </c>
      <c r="E251" s="119" t="str">
        <f ca="1">OFFSET(ORÇAMENTO!O$15,ROW(E251)-ROW(E$15),0)</f>
        <v>1.11.2.</v>
      </c>
      <c r="F251" s="172" t="str">
        <f ca="1">OFFSET(ORÇAMENTO!R$15,ROW(F251)-ROW(F$15),0)</f>
        <v>PINTURA DE FORROS</v>
      </c>
      <c r="G251" s="173" t="str">
        <f ca="1">IF($D251&lt;&gt;"Serviço","",OFFSET(ORÇAMENTO!S$15,ROW(G251)-ROW(G$15),0))</f>
        <v/>
      </c>
      <c r="H251" s="124">
        <f ca="1">IF($D251&lt;&gt;"Serviço",0,IF(ACOMPANHAMENTO="BM",ROUND(OFFSET(ORÇAMENTO!AJ$15,ROW(H251)-ROW(H$15),0),15-13*ORÇAMENTO!$AF$7),SUMPRODUCT(($Q$12:$AA$12&lt;&gt;"")*ROUND($Q251:$AA251,15-13*ORÇAMENTO!$AF$7))))</f>
        <v>0</v>
      </c>
      <c r="I251" s="561"/>
      <c r="K251" s="174"/>
      <c r="L251" s="175" t="s">
        <v>255</v>
      </c>
      <c r="M251" s="176" t="str">
        <f ca="1">IF($D251&lt;&gt;"Serviço","",IF(AUTOEVENTO="manual",$A251,IF(ISERROR(MATCH($A251,$A$15:OFFSET($A251,-1,0),0)),MAX($M$15:OFFSET(M251,-1,0))+1,INDEX($M$15:OFFSET(M251,-1,0),MATCH($A251,$A$15:OFFSET($A251,-1,0),0)))))</f>
        <v/>
      </c>
      <c r="N251" s="177" t="str">
        <f ca="1">IF($D251&lt;&gt;"Serviço","",IF(AUTOEVENTO="Manual",IF($A251=0,"&lt;-- defina o número do agrupador",OFFSET(EVENTOS!$D$14,$A251,0)),OFFSET($F$15,$A251,0)))</f>
        <v/>
      </c>
      <c r="O251" s="178"/>
      <c r="Q251" s="178"/>
      <c r="R251" s="179"/>
      <c r="S251" s="179"/>
      <c r="T251" s="179"/>
      <c r="U251" s="179"/>
      <c r="V251" s="179"/>
      <c r="W251" s="179"/>
      <c r="X251" s="179"/>
      <c r="Y251" s="179"/>
      <c r="Z251" s="180"/>
      <c r="AB251" s="544">
        <f ca="1">IF(AND($D251="Serviço",AB$12&lt;&gt;0,$H251&gt;0,OR(AUTOEVENTO&lt;&gt;"manual",$M251&lt;&gt;1)),
IF(Import.TipoArredondamento&lt;&gt;"TransfereGOV",
ROUND(OFFSET($P251,0,AB$13),15-13*ORÇAMENTO!$AF$7)/$H251*OFFSET(ORÇAMENTO!$X$15,ROW(AB251)-ROW(AB$15),0),
ROUND(ROUND(OFFSET($P251,0,AB$13),15-13*ORÇAMENTO!$AF$7)*OFFSET(ORÇAMENTO!$W$15,ROW(AB251)-ROW(AB$15),0),15-13*ORÇAMENTO!$AF$11)),0)</f>
        <v>0</v>
      </c>
      <c r="AC251" s="545">
        <f ca="1">IF(AND($D251="Serviço",AC$12&lt;&gt;0,$H251&gt;0,OR(AUTOEVENTO&lt;&gt;"manual",$M251&lt;&gt;1)),
IF(Import.TipoArredondamento&lt;&gt;"TransfereGOV",
ROUND(OFFSET($P251,0,AC$13),15-13*ORÇAMENTO!$AF$7)/$H251*OFFSET(ORÇAMENTO!$X$15,ROW(AC251)-ROW(AC$15),0),
ROUND(ROUND(OFFSET($P251,0,AC$13),15-13*ORÇAMENTO!$AF$7)*OFFSET(ORÇAMENTO!$W$15,ROW(AC251)-ROW(AC$15),0),15-13*ORÇAMENTO!$AF$11)),0)</f>
        <v>0</v>
      </c>
      <c r="AD251" s="545">
        <f ca="1">IF(AND($D251="Serviço",AD$12&lt;&gt;0,$H251&gt;0,OR(AUTOEVENTO&lt;&gt;"manual",$M251&lt;&gt;1)),
IF(Import.TipoArredondamento&lt;&gt;"TransfereGOV",
ROUND(OFFSET($P251,0,AD$13),15-13*ORÇAMENTO!$AF$7)/$H251*OFFSET(ORÇAMENTO!$X$15,ROW(AD251)-ROW(AD$15),0),
ROUND(ROUND(OFFSET($P251,0,AD$13),15-13*ORÇAMENTO!$AF$7)*OFFSET(ORÇAMENTO!$W$15,ROW(AD251)-ROW(AD$15),0),15-13*ORÇAMENTO!$AF$11)),0)</f>
        <v>0</v>
      </c>
      <c r="AE251" s="545">
        <f ca="1">IF(AND($D251="Serviço",AE$12&lt;&gt;0,$H251&gt;0,OR(AUTOEVENTO&lt;&gt;"manual",$M251&lt;&gt;1)),
IF(Import.TipoArredondamento&lt;&gt;"TransfereGOV",
ROUND(OFFSET($P251,0,AE$13),15-13*ORÇAMENTO!$AF$7)/$H251*OFFSET(ORÇAMENTO!$X$15,ROW(AE251)-ROW(AE$15),0),
ROUND(ROUND(OFFSET($P251,0,AE$13),15-13*ORÇAMENTO!$AF$7)*OFFSET(ORÇAMENTO!$W$15,ROW(AE251)-ROW(AE$15),0),15-13*ORÇAMENTO!$AF$11)),0)</f>
        <v>0</v>
      </c>
      <c r="AF251" s="545">
        <f ca="1">IF(AND($D251="Serviço",AF$12&lt;&gt;0,$H251&gt;0,OR(AUTOEVENTO&lt;&gt;"manual",$M251&lt;&gt;1)),
IF(Import.TipoArredondamento&lt;&gt;"TransfereGOV",
ROUND(OFFSET($P251,0,AF$13),15-13*ORÇAMENTO!$AF$7)/$H251*OFFSET(ORÇAMENTO!$X$15,ROW(AF251)-ROW(AF$15),0),
ROUND(ROUND(OFFSET($P251,0,AF$13),15-13*ORÇAMENTO!$AF$7)*OFFSET(ORÇAMENTO!$W$15,ROW(AF251)-ROW(AF$15),0),15-13*ORÇAMENTO!$AF$11)),0)</f>
        <v>0</v>
      </c>
      <c r="AG251" s="545">
        <f ca="1">IF(AND($D251="Serviço",AG$12&lt;&gt;0,$H251&gt;0,OR(AUTOEVENTO&lt;&gt;"manual",$M251&lt;&gt;1)),
IF(Import.TipoArredondamento&lt;&gt;"TransfereGOV",
ROUND(OFFSET($P251,0,AG$13),15-13*ORÇAMENTO!$AF$7)/$H251*OFFSET(ORÇAMENTO!$X$15,ROW(AG251)-ROW(AG$15),0),
ROUND(ROUND(OFFSET($P251,0,AG$13),15-13*ORÇAMENTO!$AF$7)*OFFSET(ORÇAMENTO!$W$15,ROW(AG251)-ROW(AG$15),0),15-13*ORÇAMENTO!$AF$11)),0)</f>
        <v>0</v>
      </c>
      <c r="AH251" s="545">
        <f ca="1">IF(AND($D251="Serviço",AH$12&lt;&gt;0,$H251&gt;0,OR(AUTOEVENTO&lt;&gt;"manual",$M251&lt;&gt;1)),
IF(Import.TipoArredondamento&lt;&gt;"TransfereGOV",
ROUND(OFFSET($P251,0,AH$13),15-13*ORÇAMENTO!$AF$7)/$H251*OFFSET(ORÇAMENTO!$X$15,ROW(AH251)-ROW(AH$15),0),
ROUND(ROUND(OFFSET($P251,0,AH$13),15-13*ORÇAMENTO!$AF$7)*OFFSET(ORÇAMENTO!$W$15,ROW(AH251)-ROW(AH$15),0),15-13*ORÇAMENTO!$AF$11)),0)</f>
        <v>0</v>
      </c>
      <c r="AI251" s="545">
        <f ca="1">IF(AND($D251="Serviço",AI$12&lt;&gt;0,$H251&gt;0,OR(AUTOEVENTO&lt;&gt;"manual",$M251&lt;&gt;1)),
IF(Import.TipoArredondamento&lt;&gt;"TransfereGOV",
ROUND(OFFSET($P251,0,AI$13),15-13*ORÇAMENTO!$AF$7)/$H251*OFFSET(ORÇAMENTO!$X$15,ROW(AI251)-ROW(AI$15),0),
ROUND(ROUND(OFFSET($P251,0,AI$13),15-13*ORÇAMENTO!$AF$7)*OFFSET(ORÇAMENTO!$W$15,ROW(AI251)-ROW(AI$15),0),15-13*ORÇAMENTO!$AF$11)),0)</f>
        <v>0</v>
      </c>
      <c r="AJ251" s="545">
        <f ca="1">IF(AND($D251="Serviço",AJ$12&lt;&gt;0,$H251&gt;0,OR(AUTOEVENTO&lt;&gt;"manual",$M251&lt;&gt;1)),
IF(Import.TipoArredondamento&lt;&gt;"TransfereGOV",
ROUND(OFFSET($P251,0,AJ$13),15-13*ORÇAMENTO!$AF$7)/$H251*OFFSET(ORÇAMENTO!$X$15,ROW(AJ251)-ROW(AJ$15),0),
ROUND(ROUND(OFFSET($P251,0,AJ$13),15-13*ORÇAMENTO!$AF$7)*OFFSET(ORÇAMENTO!$W$15,ROW(AJ251)-ROW(AJ$15),0),15-13*ORÇAMENTO!$AF$11)),0)</f>
        <v>0</v>
      </c>
      <c r="AK251" s="546">
        <f ca="1">IF(AND($D251="Serviço",AK$12&lt;&gt;0,$H251&gt;0,OR(AUTOEVENTO&lt;&gt;"manual",$M251&lt;&gt;1)),
IF(Import.TipoArredondamento&lt;&gt;"TransfereGOV",
ROUND(OFFSET($P251,0,AK$13),15-13*ORÇAMENTO!$AF$7)/$H251*OFFSET(ORÇAMENTO!$X$15,ROW(AK251)-ROW(AK$15),0),
ROUND(ROUND(OFFSET($P251,0,AK$13),15-13*ORÇAMENTO!$AF$7)*OFFSET(ORÇAMENTO!$W$15,ROW(AK251)-ROW(AK$15),0),15-13*ORÇAMENTO!$AF$11)),0)</f>
        <v>0</v>
      </c>
      <c r="AM251" s="181">
        <f ca="1">IF($D251&lt;&gt;"Serviço",0,IF(AND(AUTOEVENTO="Manual",$M251=1),0,IF(OFFSET(CRONOPLE!$F$14,$M251,AM$13)="",10^12,OFFSET(CRONOPLE!$F$14,$M251,AM$13))))</f>
        <v>0</v>
      </c>
      <c r="AN251" s="181">
        <f ca="1">IF($D251&lt;&gt;"Serviço",0,IF(AND(AUTOEVENTO="Manual",$M251=1),0,IF(OFFSET(CRONOPLE!$F$14,$M251,AN$13)="",10^12,OFFSET(CRONOPLE!$F$14,$M251,AN$13))))</f>
        <v>0</v>
      </c>
      <c r="AO251" s="181">
        <f ca="1">IF($D251&lt;&gt;"Serviço",0,IF(AND(AUTOEVENTO="Manual",$M251=1),0,IF(OFFSET(CRONOPLE!$F$14,$M251,AO$13)="",10^12,OFFSET(CRONOPLE!$F$14,$M251,AO$13))))</f>
        <v>0</v>
      </c>
      <c r="AP251" s="181">
        <f ca="1">IF($D251&lt;&gt;"Serviço",0,IF(AND(AUTOEVENTO="Manual",$M251=1),0,IF(OFFSET(CRONOPLE!$F$14,$M251,AP$13)="",10^12,OFFSET(CRONOPLE!$F$14,$M251,AP$13))))</f>
        <v>0</v>
      </c>
      <c r="AQ251" s="181">
        <f ca="1">IF($D251&lt;&gt;"Serviço",0,IF(AND(AUTOEVENTO="Manual",$M251=1),0,IF(OFFSET(CRONOPLE!$F$14,$M251,AQ$13)="",10^12,OFFSET(CRONOPLE!$F$14,$M251,AQ$13))))</f>
        <v>0</v>
      </c>
      <c r="AR251" s="181">
        <f ca="1">IF($D251&lt;&gt;"Serviço",0,IF(AND(AUTOEVENTO="Manual",$M251=1),0,IF(OFFSET(CRONOPLE!$F$14,$M251,AR$13)="",10^12,OFFSET(CRONOPLE!$F$14,$M251,AR$13))))</f>
        <v>0</v>
      </c>
      <c r="AS251" s="181">
        <f ca="1">IF($D251&lt;&gt;"Serviço",0,IF(AND(AUTOEVENTO="Manual",$M251=1),0,IF(OFFSET(CRONOPLE!$F$14,$M251,AS$13)="",10^12,OFFSET(CRONOPLE!$F$14,$M251,AS$13))))</f>
        <v>0</v>
      </c>
      <c r="AT251" s="181">
        <f ca="1">IF($D251&lt;&gt;"Serviço",0,IF(AND(AUTOEVENTO="Manual",$M251=1),0,IF(OFFSET(CRONOPLE!$F$14,$M251,AT$13)="",10^12,OFFSET(CRONOPLE!$F$14,$M251,AT$13))))</f>
        <v>0</v>
      </c>
      <c r="AU251" s="181">
        <f ca="1">IF($D251&lt;&gt;"Serviço",0,IF(AND(AUTOEVENTO="Manual",$M251=1),0,IF(OFFSET(CRONOPLE!$F$14,$M251,AU$13)="",10^12,OFFSET(CRONOPLE!$F$14,$M251,AU$13))))</f>
        <v>0</v>
      </c>
      <c r="AV251" s="181">
        <f ca="1">IF($D251&lt;&gt;"Serviço",0,IF(AND(AUTOEVENTO="Manual",$M251=1),0,IF(OFFSET(CRONOPLE!$F$14,$M251,AV$13)="",10^12,OFFSET(CRONOPLE!$F$14,$M251,AV$13))))</f>
        <v>0</v>
      </c>
      <c r="AX251" s="182">
        <f ca="1">IF($D251&lt;&gt;"Serviço",0,IF(OR(AND(AUTOEVENTO="Manual",$M251=1),$M251&gt;(ROW(PLE.lastrow)-ROW(PLE.firstrow))),0,IF(OFFSET(PLE!$G$14,$M251,AX$13)="",10^12,OFFSET(PLE!$G$14,$M251,AX$13))))</f>
        <v>0</v>
      </c>
      <c r="AY251" s="182">
        <f ca="1">IF($D251&lt;&gt;"Serviço",0,IF(OR(AND(AUTOEVENTO="Manual",$M251=1),$M251&gt;(ROW(PLE.lastrow)-ROW(PLE.firstrow))),0,IF(OFFSET(PLE!$G$14,$M251,AY$13)="",10^12,OFFSET(PLE!$G$14,$M251,AY$13))))</f>
        <v>0</v>
      </c>
      <c r="AZ251" s="182">
        <f ca="1">IF($D251&lt;&gt;"Serviço",0,IF(OR(AND(AUTOEVENTO="Manual",$M251=1),$M251&gt;(ROW(PLE.lastrow)-ROW(PLE.firstrow))),0,IF(OFFSET(PLE!$G$14,$M251,AZ$13)="",10^12,OFFSET(PLE!$G$14,$M251,AZ$13))))</f>
        <v>0</v>
      </c>
      <c r="BA251" s="182">
        <f ca="1">IF($D251&lt;&gt;"Serviço",0,IF(OR(AND(AUTOEVENTO="Manual",$M251=1),$M251&gt;(ROW(PLE.lastrow)-ROW(PLE.firstrow))),0,IF(OFFSET(PLE!$G$14,$M251,BA$13)="",10^12,OFFSET(PLE!$G$14,$M251,BA$13))))</f>
        <v>0</v>
      </c>
      <c r="BB251" s="182">
        <f ca="1">IF($D251&lt;&gt;"Serviço",0,IF(OR(AND(AUTOEVENTO="Manual",$M251=1),$M251&gt;(ROW(PLE.lastrow)-ROW(PLE.firstrow))),0,IF(OFFSET(PLE!$G$14,$M251,BB$13)="",10^12,OFFSET(PLE!$G$14,$M251,BB$13))))</f>
        <v>0</v>
      </c>
      <c r="BC251" s="182">
        <f ca="1">IF($D251&lt;&gt;"Serviço",0,IF(OR(AND(AUTOEVENTO="Manual",$M251=1),$M251&gt;(ROW(PLE.lastrow)-ROW(PLE.firstrow))),0,IF(OFFSET(PLE!$G$14,$M251,BC$13)="",10^12,OFFSET(PLE!$G$14,$M251,BC$13))))</f>
        <v>0</v>
      </c>
      <c r="BD251" s="182">
        <f ca="1">IF($D251&lt;&gt;"Serviço",0,IF(OR(AND(AUTOEVENTO="Manual",$M251=1),$M251&gt;(ROW(PLE.lastrow)-ROW(PLE.firstrow))),0,IF(OFFSET(PLE!$G$14,$M251,BD$13)="",10^12,OFFSET(PLE!$G$14,$M251,BD$13))))</f>
        <v>0</v>
      </c>
      <c r="BE251" s="182">
        <f ca="1">IF($D251&lt;&gt;"Serviço",0,IF(OR(AND(AUTOEVENTO="Manual",$M251=1),$M251&gt;(ROW(PLE.lastrow)-ROW(PLE.firstrow))),0,IF(OFFSET(PLE!$G$14,$M251,BE$13)="",10^12,OFFSET(PLE!$G$14,$M251,BE$13))))</f>
        <v>0</v>
      </c>
      <c r="BF251" s="182">
        <f ca="1">IF($D251&lt;&gt;"Serviço",0,IF(OR(AND(AUTOEVENTO="Manual",$M251=1),$M251&gt;(ROW(PLE.lastrow)-ROW(PLE.firstrow))),0,IF(OFFSET(PLE!$G$14,$M251,BF$13)="",10^12,OFFSET(PLE!$G$14,$M251,BF$13))))</f>
        <v>0</v>
      </c>
      <c r="BG251" s="182">
        <f ca="1">IF($D251&lt;&gt;"Serviço",0,IF(OR(AND(AUTOEVENTO="Manual",$M251=1),$M251&gt;(ROW(PLE.lastrow)-ROW(PLE.firstrow))),0,IF(OFFSET(PLE!$G$14,$M251,BG$13)="",10^12,OFFSET(PLE!$G$14,$M251,BG$13))))</f>
        <v>0</v>
      </c>
    </row>
    <row r="252" spans="1:59" ht="25.5" x14ac:dyDescent="0.2">
      <c r="A252" s="7" t="str">
        <f t="shared" ca="1" si="11"/>
        <v>225</v>
      </c>
      <c r="B252" s="7" t="str">
        <f ca="1">OFFSET(ORÇAMENTO!C$15,ROW(B252)-ROW(B$15),0)</f>
        <v>S</v>
      </c>
      <c r="C252" s="7" t="str">
        <f ca="1">OFFSET(ORÇAMENTO!L$15,ROW(C252)-ROW(C$15),0)</f>
        <v/>
      </c>
      <c r="D252" s="118" t="str">
        <f ca="1">OFFSET(ORÇAMENTO!N$15,ROW(D252)-ROW(D$15),0)</f>
        <v>Serviço</v>
      </c>
      <c r="E252" s="119" t="str">
        <f ca="1">OFFSET(ORÇAMENTO!O$15,ROW(E252)-ROW(E$15),0)</f>
        <v>-</v>
      </c>
      <c r="F252" s="172" t="str">
        <f ca="1">OFFSET(ORÇAMENTO!R$15,ROW(F252)-ROW(F$15),0)</f>
        <v>(abra o arquivo 'Referência 02-2025.xlsm)</v>
      </c>
      <c r="G252" s="173" t="str">
        <f ca="1">IF($D252&lt;&gt;"Serviço","",OFFSET(ORÇAMENTO!S$15,ROW(G252)-ROW(G$15),0))</f>
        <v>-</v>
      </c>
      <c r="H252" s="124">
        <f ca="1">IF($D252&lt;&gt;"Serviço",0,IF(ACOMPANHAMENTO="BM",ROUND(OFFSET(ORÇAMENTO!AJ$15,ROW(H252)-ROW(H$15),0),15-13*ORÇAMENTO!$AF$7),SUMPRODUCT(($Q$12:$AA$12&lt;&gt;"")*ROUND($Q252:$AA252,15-13*ORÇAMENTO!$AF$7))))</f>
        <v>481.05</v>
      </c>
      <c r="I252" s="561" t="s">
        <v>890</v>
      </c>
      <c r="K252" s="174"/>
      <c r="L252" s="175" t="s">
        <v>255</v>
      </c>
      <c r="M252" s="176">
        <f ca="1">IF($D252&lt;&gt;"Serviço","",IF(AUTOEVENTO="manual",$A252,IF(ISERROR(MATCH($A252,$A$15:OFFSET($A252,-1,0),0)),MAX($M$15:OFFSET(M252,-1,0))+1,INDEX($M$15:OFFSET(M252,-1,0),MATCH($A252,$A$15:OFFSET($A252,-1,0),0)))))</f>
        <v>12</v>
      </c>
      <c r="N252" s="177" t="str">
        <f ca="1">IF($D252&lt;&gt;"Serviço","",IF(AUTOEVENTO="Manual",IF($A252=0,"&lt;-- defina o número do agrupador",OFFSET(EVENTOS!$D$14,$A252,0)),OFFSET($F$15,$A252,0)))</f>
        <v>PINTURAS E ACABAMENTOS</v>
      </c>
      <c r="O252" s="178"/>
      <c r="Q252" s="178"/>
      <c r="R252" s="179"/>
      <c r="S252" s="179"/>
      <c r="T252" s="179"/>
      <c r="U252" s="179"/>
      <c r="V252" s="179"/>
      <c r="W252" s="179"/>
      <c r="X252" s="179"/>
      <c r="Y252" s="179"/>
      <c r="Z252" s="180"/>
      <c r="AB252" s="544">
        <f ca="1">IF(AND($D252="Serviço",AB$12&lt;&gt;0,$H252&gt;0,OR(AUTOEVENTO&lt;&gt;"manual",$M252&lt;&gt;1)),
IF(Import.TipoArredondamento&lt;&gt;"TransfereGOV",
ROUND(OFFSET($P252,0,AB$13),15-13*ORÇAMENTO!$AF$7)/$H252*OFFSET(ORÇAMENTO!$X$15,ROW(AB252)-ROW(AB$15),0),
ROUND(ROUND(OFFSET($P252,0,AB$13),15-13*ORÇAMENTO!$AF$7)*OFFSET(ORÇAMENTO!$W$15,ROW(AB252)-ROW(AB$15),0),15-13*ORÇAMENTO!$AF$11)),0)</f>
        <v>0</v>
      </c>
      <c r="AC252" s="545">
        <f ca="1">IF(AND($D252="Serviço",AC$12&lt;&gt;0,$H252&gt;0,OR(AUTOEVENTO&lt;&gt;"manual",$M252&lt;&gt;1)),
IF(Import.TipoArredondamento&lt;&gt;"TransfereGOV",
ROUND(OFFSET($P252,0,AC$13),15-13*ORÇAMENTO!$AF$7)/$H252*OFFSET(ORÇAMENTO!$X$15,ROW(AC252)-ROW(AC$15),0),
ROUND(ROUND(OFFSET($P252,0,AC$13),15-13*ORÇAMENTO!$AF$7)*OFFSET(ORÇAMENTO!$W$15,ROW(AC252)-ROW(AC$15),0),15-13*ORÇAMENTO!$AF$11)),0)</f>
        <v>0</v>
      </c>
      <c r="AD252" s="545">
        <f ca="1">IF(AND($D252="Serviço",AD$12&lt;&gt;0,$H252&gt;0,OR(AUTOEVENTO&lt;&gt;"manual",$M252&lt;&gt;1)),
IF(Import.TipoArredondamento&lt;&gt;"TransfereGOV",
ROUND(OFFSET($P252,0,AD$13),15-13*ORÇAMENTO!$AF$7)/$H252*OFFSET(ORÇAMENTO!$X$15,ROW(AD252)-ROW(AD$15),0),
ROUND(ROUND(OFFSET($P252,0,AD$13),15-13*ORÇAMENTO!$AF$7)*OFFSET(ORÇAMENTO!$W$15,ROW(AD252)-ROW(AD$15),0),15-13*ORÇAMENTO!$AF$11)),0)</f>
        <v>0</v>
      </c>
      <c r="AE252" s="545">
        <f ca="1">IF(AND($D252="Serviço",AE$12&lt;&gt;0,$H252&gt;0,OR(AUTOEVENTO&lt;&gt;"manual",$M252&lt;&gt;1)),
IF(Import.TipoArredondamento&lt;&gt;"TransfereGOV",
ROUND(OFFSET($P252,0,AE$13),15-13*ORÇAMENTO!$AF$7)/$H252*OFFSET(ORÇAMENTO!$X$15,ROW(AE252)-ROW(AE$15),0),
ROUND(ROUND(OFFSET($P252,0,AE$13),15-13*ORÇAMENTO!$AF$7)*OFFSET(ORÇAMENTO!$W$15,ROW(AE252)-ROW(AE$15),0),15-13*ORÇAMENTO!$AF$11)),0)</f>
        <v>0</v>
      </c>
      <c r="AF252" s="545">
        <f ca="1">IF(AND($D252="Serviço",AF$12&lt;&gt;0,$H252&gt;0,OR(AUTOEVENTO&lt;&gt;"manual",$M252&lt;&gt;1)),
IF(Import.TipoArredondamento&lt;&gt;"TransfereGOV",
ROUND(OFFSET($P252,0,AF$13),15-13*ORÇAMENTO!$AF$7)/$H252*OFFSET(ORÇAMENTO!$X$15,ROW(AF252)-ROW(AF$15),0),
ROUND(ROUND(OFFSET($P252,0,AF$13),15-13*ORÇAMENTO!$AF$7)*OFFSET(ORÇAMENTO!$W$15,ROW(AF252)-ROW(AF$15),0),15-13*ORÇAMENTO!$AF$11)),0)</f>
        <v>0</v>
      </c>
      <c r="AG252" s="545">
        <f ca="1">IF(AND($D252="Serviço",AG$12&lt;&gt;0,$H252&gt;0,OR(AUTOEVENTO&lt;&gt;"manual",$M252&lt;&gt;1)),
IF(Import.TipoArredondamento&lt;&gt;"TransfereGOV",
ROUND(OFFSET($P252,0,AG$13),15-13*ORÇAMENTO!$AF$7)/$H252*OFFSET(ORÇAMENTO!$X$15,ROW(AG252)-ROW(AG$15),0),
ROUND(ROUND(OFFSET($P252,0,AG$13),15-13*ORÇAMENTO!$AF$7)*OFFSET(ORÇAMENTO!$W$15,ROW(AG252)-ROW(AG$15),0),15-13*ORÇAMENTO!$AF$11)),0)</f>
        <v>0</v>
      </c>
      <c r="AH252" s="545">
        <f ca="1">IF(AND($D252="Serviço",AH$12&lt;&gt;0,$H252&gt;0,OR(AUTOEVENTO&lt;&gt;"manual",$M252&lt;&gt;1)),
IF(Import.TipoArredondamento&lt;&gt;"TransfereGOV",
ROUND(OFFSET($P252,0,AH$13),15-13*ORÇAMENTO!$AF$7)/$H252*OFFSET(ORÇAMENTO!$X$15,ROW(AH252)-ROW(AH$15),0),
ROUND(ROUND(OFFSET($P252,0,AH$13),15-13*ORÇAMENTO!$AF$7)*OFFSET(ORÇAMENTO!$W$15,ROW(AH252)-ROW(AH$15),0),15-13*ORÇAMENTO!$AF$11)),0)</f>
        <v>0</v>
      </c>
      <c r="AI252" s="545">
        <f ca="1">IF(AND($D252="Serviço",AI$12&lt;&gt;0,$H252&gt;0,OR(AUTOEVENTO&lt;&gt;"manual",$M252&lt;&gt;1)),
IF(Import.TipoArredondamento&lt;&gt;"TransfereGOV",
ROUND(OFFSET($P252,0,AI$13),15-13*ORÇAMENTO!$AF$7)/$H252*OFFSET(ORÇAMENTO!$X$15,ROW(AI252)-ROW(AI$15),0),
ROUND(ROUND(OFFSET($P252,0,AI$13),15-13*ORÇAMENTO!$AF$7)*OFFSET(ORÇAMENTO!$W$15,ROW(AI252)-ROW(AI$15),0),15-13*ORÇAMENTO!$AF$11)),0)</f>
        <v>0</v>
      </c>
      <c r="AJ252" s="545">
        <f ca="1">IF(AND($D252="Serviço",AJ$12&lt;&gt;0,$H252&gt;0,OR(AUTOEVENTO&lt;&gt;"manual",$M252&lt;&gt;1)),
IF(Import.TipoArredondamento&lt;&gt;"TransfereGOV",
ROUND(OFFSET($P252,0,AJ$13),15-13*ORÇAMENTO!$AF$7)/$H252*OFFSET(ORÇAMENTO!$X$15,ROW(AJ252)-ROW(AJ$15),0),
ROUND(ROUND(OFFSET($P252,0,AJ$13),15-13*ORÇAMENTO!$AF$7)*OFFSET(ORÇAMENTO!$W$15,ROW(AJ252)-ROW(AJ$15),0),15-13*ORÇAMENTO!$AF$11)),0)</f>
        <v>0</v>
      </c>
      <c r="AK252" s="546">
        <f ca="1">IF(AND($D252="Serviço",AK$12&lt;&gt;0,$H252&gt;0,OR(AUTOEVENTO&lt;&gt;"manual",$M252&lt;&gt;1)),
IF(Import.TipoArredondamento&lt;&gt;"TransfereGOV",
ROUND(OFFSET($P252,0,AK$13),15-13*ORÇAMENTO!$AF$7)/$H252*OFFSET(ORÇAMENTO!$X$15,ROW(AK252)-ROW(AK$15),0),
ROUND(ROUND(OFFSET($P252,0,AK$13),15-13*ORÇAMENTO!$AF$7)*OFFSET(ORÇAMENTO!$W$15,ROW(AK252)-ROW(AK$15),0),15-13*ORÇAMENTO!$AF$11)),0)</f>
        <v>0</v>
      </c>
      <c r="AM252" s="181">
        <f ca="1">IF($D252&lt;&gt;"Serviço",0,IF(AND(AUTOEVENTO="Manual",$M252=1),0,IF(OFFSET(CRONOPLE!$F$14,$M252,AM$13)="",10^12,OFFSET(CRONOPLE!$F$14,$M252,AM$13))))</f>
        <v>1000000000000</v>
      </c>
      <c r="AN252" s="181">
        <f ca="1">IF($D252&lt;&gt;"Serviço",0,IF(AND(AUTOEVENTO="Manual",$M252=1),0,IF(OFFSET(CRONOPLE!$F$14,$M252,AN$13)="",10^12,OFFSET(CRONOPLE!$F$14,$M252,AN$13))))</f>
        <v>1000000000000</v>
      </c>
      <c r="AO252" s="181">
        <f ca="1">IF($D252&lt;&gt;"Serviço",0,IF(AND(AUTOEVENTO="Manual",$M252=1),0,IF(OFFSET(CRONOPLE!$F$14,$M252,AO$13)="",10^12,OFFSET(CRONOPLE!$F$14,$M252,AO$13))))</f>
        <v>1000000000000</v>
      </c>
      <c r="AP252" s="181">
        <f ca="1">IF($D252&lt;&gt;"Serviço",0,IF(AND(AUTOEVENTO="Manual",$M252=1),0,IF(OFFSET(CRONOPLE!$F$14,$M252,AP$13)="",10^12,OFFSET(CRONOPLE!$F$14,$M252,AP$13))))</f>
        <v>1000000000000</v>
      </c>
      <c r="AQ252" s="181">
        <f ca="1">IF($D252&lt;&gt;"Serviço",0,IF(AND(AUTOEVENTO="Manual",$M252=1),0,IF(OFFSET(CRONOPLE!$F$14,$M252,AQ$13)="",10^12,OFFSET(CRONOPLE!$F$14,$M252,AQ$13))))</f>
        <v>1000000000000</v>
      </c>
      <c r="AR252" s="181">
        <f ca="1">IF($D252&lt;&gt;"Serviço",0,IF(AND(AUTOEVENTO="Manual",$M252=1),0,IF(OFFSET(CRONOPLE!$F$14,$M252,AR$13)="",10^12,OFFSET(CRONOPLE!$F$14,$M252,AR$13))))</f>
        <v>1000000000000</v>
      </c>
      <c r="AS252" s="181">
        <f ca="1">IF($D252&lt;&gt;"Serviço",0,IF(AND(AUTOEVENTO="Manual",$M252=1),0,IF(OFFSET(CRONOPLE!$F$14,$M252,AS$13)="",10^12,OFFSET(CRONOPLE!$F$14,$M252,AS$13))))</f>
        <v>1000000000000</v>
      </c>
      <c r="AT252" s="181">
        <f ca="1">IF($D252&lt;&gt;"Serviço",0,IF(AND(AUTOEVENTO="Manual",$M252=1),0,IF(OFFSET(CRONOPLE!$F$14,$M252,AT$13)="",10^12,OFFSET(CRONOPLE!$F$14,$M252,AT$13))))</f>
        <v>1000000000000</v>
      </c>
      <c r="AU252" s="181">
        <f ca="1">IF($D252&lt;&gt;"Serviço",0,IF(AND(AUTOEVENTO="Manual",$M252=1),0,IF(OFFSET(CRONOPLE!$F$14,$M252,AU$13)="",10^12,OFFSET(CRONOPLE!$F$14,$M252,AU$13))))</f>
        <v>1000000000000</v>
      </c>
      <c r="AV252" s="181">
        <f ca="1">IF($D252&lt;&gt;"Serviço",0,IF(AND(AUTOEVENTO="Manual",$M252=1),0,IF(OFFSET(CRONOPLE!$F$14,$M252,AV$13)="",10^12,OFFSET(CRONOPLE!$F$14,$M252,AV$13))))</f>
        <v>1000000000000</v>
      </c>
      <c r="AX252" s="182">
        <f ca="1">IF($D252&lt;&gt;"Serviço",0,IF(OR(AND(AUTOEVENTO="Manual",$M252=1),$M252&gt;(ROW(PLE.lastrow)-ROW(PLE.firstrow))),0,IF(OFFSET(PLE!$G$14,$M252,AX$13)="",10^12,OFFSET(PLE!$G$14,$M252,AX$13))))</f>
        <v>1000000000000</v>
      </c>
      <c r="AY252" s="182">
        <f ca="1">IF($D252&lt;&gt;"Serviço",0,IF(OR(AND(AUTOEVENTO="Manual",$M252=1),$M252&gt;(ROW(PLE.lastrow)-ROW(PLE.firstrow))),0,IF(OFFSET(PLE!$G$14,$M252,AY$13)="",10^12,OFFSET(PLE!$G$14,$M252,AY$13))))</f>
        <v>1000000000000</v>
      </c>
      <c r="AZ252" s="182">
        <f ca="1">IF($D252&lt;&gt;"Serviço",0,IF(OR(AND(AUTOEVENTO="Manual",$M252=1),$M252&gt;(ROW(PLE.lastrow)-ROW(PLE.firstrow))),0,IF(OFFSET(PLE!$G$14,$M252,AZ$13)="",10^12,OFFSET(PLE!$G$14,$M252,AZ$13))))</f>
        <v>1000000000000</v>
      </c>
      <c r="BA252" s="182">
        <f ca="1">IF($D252&lt;&gt;"Serviço",0,IF(OR(AND(AUTOEVENTO="Manual",$M252=1),$M252&gt;(ROW(PLE.lastrow)-ROW(PLE.firstrow))),0,IF(OFFSET(PLE!$G$14,$M252,BA$13)="",10^12,OFFSET(PLE!$G$14,$M252,BA$13))))</f>
        <v>1000000000000</v>
      </c>
      <c r="BB252" s="182">
        <f ca="1">IF($D252&lt;&gt;"Serviço",0,IF(OR(AND(AUTOEVENTO="Manual",$M252=1),$M252&gt;(ROW(PLE.lastrow)-ROW(PLE.firstrow))),0,IF(OFFSET(PLE!$G$14,$M252,BB$13)="",10^12,OFFSET(PLE!$G$14,$M252,BB$13))))</f>
        <v>1000000000000</v>
      </c>
      <c r="BC252" s="182">
        <f ca="1">IF($D252&lt;&gt;"Serviço",0,IF(OR(AND(AUTOEVENTO="Manual",$M252=1),$M252&gt;(ROW(PLE.lastrow)-ROW(PLE.firstrow))),0,IF(OFFSET(PLE!$G$14,$M252,BC$13)="",10^12,OFFSET(PLE!$G$14,$M252,BC$13))))</f>
        <v>1000000000000</v>
      </c>
      <c r="BD252" s="182">
        <f ca="1">IF($D252&lt;&gt;"Serviço",0,IF(OR(AND(AUTOEVENTO="Manual",$M252=1),$M252&gt;(ROW(PLE.lastrow)-ROW(PLE.firstrow))),0,IF(OFFSET(PLE!$G$14,$M252,BD$13)="",10^12,OFFSET(PLE!$G$14,$M252,BD$13))))</f>
        <v>1000000000000</v>
      </c>
      <c r="BE252" s="182">
        <f ca="1">IF($D252&lt;&gt;"Serviço",0,IF(OR(AND(AUTOEVENTO="Manual",$M252=1),$M252&gt;(ROW(PLE.lastrow)-ROW(PLE.firstrow))),0,IF(OFFSET(PLE!$G$14,$M252,BE$13)="",10^12,OFFSET(PLE!$G$14,$M252,BE$13))))</f>
        <v>1000000000000</v>
      </c>
      <c r="BF252" s="182">
        <f ca="1">IF($D252&lt;&gt;"Serviço",0,IF(OR(AND(AUTOEVENTO="Manual",$M252=1),$M252&gt;(ROW(PLE.lastrow)-ROW(PLE.firstrow))),0,IF(OFFSET(PLE!$G$14,$M252,BF$13)="",10^12,OFFSET(PLE!$G$14,$M252,BF$13))))</f>
        <v>1000000000000</v>
      </c>
      <c r="BG252" s="182">
        <f ca="1">IF($D252&lt;&gt;"Serviço",0,IF(OR(AND(AUTOEVENTO="Manual",$M252=1),$M252&gt;(ROW(PLE.lastrow)-ROW(PLE.firstrow))),0,IF(OFFSET(PLE!$G$14,$M252,BG$13)="",10^12,OFFSET(PLE!$G$14,$M252,BG$13))))</f>
        <v>1000000000000</v>
      </c>
    </row>
    <row r="253" spans="1:59" ht="25.5" x14ac:dyDescent="0.2">
      <c r="A253" s="7" t="str">
        <f t="shared" ca="1" si="11"/>
        <v>225</v>
      </c>
      <c r="B253" s="7" t="str">
        <f ca="1">OFFSET(ORÇAMENTO!C$15,ROW(B253)-ROW(B$15),0)</f>
        <v>S</v>
      </c>
      <c r="C253" s="7" t="str">
        <f ca="1">OFFSET(ORÇAMENTO!L$15,ROW(C253)-ROW(C$15),0)</f>
        <v/>
      </c>
      <c r="D253" s="118" t="str">
        <f ca="1">OFFSET(ORÇAMENTO!N$15,ROW(D253)-ROW(D$15),0)</f>
        <v>Serviço</v>
      </c>
      <c r="E253" s="119" t="str">
        <f ca="1">OFFSET(ORÇAMENTO!O$15,ROW(E253)-ROW(E$15),0)</f>
        <v>-</v>
      </c>
      <c r="F253" s="172" t="str">
        <f ca="1">OFFSET(ORÇAMENTO!R$15,ROW(F253)-ROW(F$15),0)</f>
        <v>(abra o arquivo 'Referência 02-2025.xlsm)</v>
      </c>
      <c r="G253" s="173" t="str">
        <f ca="1">IF($D253&lt;&gt;"Serviço","",OFFSET(ORÇAMENTO!S$15,ROW(G253)-ROW(G$15),0))</f>
        <v>-</v>
      </c>
      <c r="H253" s="124">
        <f ca="1">IF($D253&lt;&gt;"Serviço",0,IF(ACOMPANHAMENTO="BM",ROUND(OFFSET(ORÇAMENTO!AJ$15,ROW(H253)-ROW(H$15),0),15-13*ORÇAMENTO!$AF$7),SUMPRODUCT(($Q$12:$AA$12&lt;&gt;"")*ROUND($Q253:$AA253,15-13*ORÇAMENTO!$AF$7))))</f>
        <v>481.05</v>
      </c>
      <c r="I253" s="561" t="s">
        <v>890</v>
      </c>
      <c r="K253" s="174"/>
      <c r="L253" s="175" t="s">
        <v>255</v>
      </c>
      <c r="M253" s="176">
        <f ca="1">IF($D253&lt;&gt;"Serviço","",IF(AUTOEVENTO="manual",$A253,IF(ISERROR(MATCH($A253,$A$15:OFFSET($A253,-1,0),0)),MAX($M$15:OFFSET(M253,-1,0))+1,INDEX($M$15:OFFSET(M253,-1,0),MATCH($A253,$A$15:OFFSET($A253,-1,0),0)))))</f>
        <v>12</v>
      </c>
      <c r="N253" s="177" t="str">
        <f ca="1">IF($D253&lt;&gt;"Serviço","",IF(AUTOEVENTO="Manual",IF($A253=0,"&lt;-- defina o número do agrupador",OFFSET(EVENTOS!$D$14,$A253,0)),OFFSET($F$15,$A253,0)))</f>
        <v>PINTURAS E ACABAMENTOS</v>
      </c>
      <c r="O253" s="178"/>
      <c r="Q253" s="178"/>
      <c r="R253" s="179"/>
      <c r="S253" s="179"/>
      <c r="T253" s="179"/>
      <c r="U253" s="179"/>
      <c r="V253" s="179"/>
      <c r="W253" s="179"/>
      <c r="X253" s="179"/>
      <c r="Y253" s="179"/>
      <c r="Z253" s="180"/>
      <c r="AB253" s="544">
        <f ca="1">IF(AND($D253="Serviço",AB$12&lt;&gt;0,$H253&gt;0,OR(AUTOEVENTO&lt;&gt;"manual",$M253&lt;&gt;1)),
IF(Import.TipoArredondamento&lt;&gt;"TransfereGOV",
ROUND(OFFSET($P253,0,AB$13),15-13*ORÇAMENTO!$AF$7)/$H253*OFFSET(ORÇAMENTO!$X$15,ROW(AB253)-ROW(AB$15),0),
ROUND(ROUND(OFFSET($P253,0,AB$13),15-13*ORÇAMENTO!$AF$7)*OFFSET(ORÇAMENTO!$W$15,ROW(AB253)-ROW(AB$15),0),15-13*ORÇAMENTO!$AF$11)),0)</f>
        <v>0</v>
      </c>
      <c r="AC253" s="545">
        <f ca="1">IF(AND($D253="Serviço",AC$12&lt;&gt;0,$H253&gt;0,OR(AUTOEVENTO&lt;&gt;"manual",$M253&lt;&gt;1)),
IF(Import.TipoArredondamento&lt;&gt;"TransfereGOV",
ROUND(OFFSET($P253,0,AC$13),15-13*ORÇAMENTO!$AF$7)/$H253*OFFSET(ORÇAMENTO!$X$15,ROW(AC253)-ROW(AC$15),0),
ROUND(ROUND(OFFSET($P253,0,AC$13),15-13*ORÇAMENTO!$AF$7)*OFFSET(ORÇAMENTO!$W$15,ROW(AC253)-ROW(AC$15),0),15-13*ORÇAMENTO!$AF$11)),0)</f>
        <v>0</v>
      </c>
      <c r="AD253" s="545">
        <f ca="1">IF(AND($D253="Serviço",AD$12&lt;&gt;0,$H253&gt;0,OR(AUTOEVENTO&lt;&gt;"manual",$M253&lt;&gt;1)),
IF(Import.TipoArredondamento&lt;&gt;"TransfereGOV",
ROUND(OFFSET($P253,0,AD$13),15-13*ORÇAMENTO!$AF$7)/$H253*OFFSET(ORÇAMENTO!$X$15,ROW(AD253)-ROW(AD$15),0),
ROUND(ROUND(OFFSET($P253,0,AD$13),15-13*ORÇAMENTO!$AF$7)*OFFSET(ORÇAMENTO!$W$15,ROW(AD253)-ROW(AD$15),0),15-13*ORÇAMENTO!$AF$11)),0)</f>
        <v>0</v>
      </c>
      <c r="AE253" s="545">
        <f ca="1">IF(AND($D253="Serviço",AE$12&lt;&gt;0,$H253&gt;0,OR(AUTOEVENTO&lt;&gt;"manual",$M253&lt;&gt;1)),
IF(Import.TipoArredondamento&lt;&gt;"TransfereGOV",
ROUND(OFFSET($P253,0,AE$13),15-13*ORÇAMENTO!$AF$7)/$H253*OFFSET(ORÇAMENTO!$X$15,ROW(AE253)-ROW(AE$15),0),
ROUND(ROUND(OFFSET($P253,0,AE$13),15-13*ORÇAMENTO!$AF$7)*OFFSET(ORÇAMENTO!$W$15,ROW(AE253)-ROW(AE$15),0),15-13*ORÇAMENTO!$AF$11)),0)</f>
        <v>0</v>
      </c>
      <c r="AF253" s="545">
        <f ca="1">IF(AND($D253="Serviço",AF$12&lt;&gt;0,$H253&gt;0,OR(AUTOEVENTO&lt;&gt;"manual",$M253&lt;&gt;1)),
IF(Import.TipoArredondamento&lt;&gt;"TransfereGOV",
ROUND(OFFSET($P253,0,AF$13),15-13*ORÇAMENTO!$AF$7)/$H253*OFFSET(ORÇAMENTO!$X$15,ROW(AF253)-ROW(AF$15),0),
ROUND(ROUND(OFFSET($P253,0,AF$13),15-13*ORÇAMENTO!$AF$7)*OFFSET(ORÇAMENTO!$W$15,ROW(AF253)-ROW(AF$15),0),15-13*ORÇAMENTO!$AF$11)),0)</f>
        <v>0</v>
      </c>
      <c r="AG253" s="545">
        <f ca="1">IF(AND($D253="Serviço",AG$12&lt;&gt;0,$H253&gt;0,OR(AUTOEVENTO&lt;&gt;"manual",$M253&lt;&gt;1)),
IF(Import.TipoArredondamento&lt;&gt;"TransfereGOV",
ROUND(OFFSET($P253,0,AG$13),15-13*ORÇAMENTO!$AF$7)/$H253*OFFSET(ORÇAMENTO!$X$15,ROW(AG253)-ROW(AG$15),0),
ROUND(ROUND(OFFSET($P253,0,AG$13),15-13*ORÇAMENTO!$AF$7)*OFFSET(ORÇAMENTO!$W$15,ROW(AG253)-ROW(AG$15),0),15-13*ORÇAMENTO!$AF$11)),0)</f>
        <v>0</v>
      </c>
      <c r="AH253" s="545">
        <f ca="1">IF(AND($D253="Serviço",AH$12&lt;&gt;0,$H253&gt;0,OR(AUTOEVENTO&lt;&gt;"manual",$M253&lt;&gt;1)),
IF(Import.TipoArredondamento&lt;&gt;"TransfereGOV",
ROUND(OFFSET($P253,0,AH$13),15-13*ORÇAMENTO!$AF$7)/$H253*OFFSET(ORÇAMENTO!$X$15,ROW(AH253)-ROW(AH$15),0),
ROUND(ROUND(OFFSET($P253,0,AH$13),15-13*ORÇAMENTO!$AF$7)*OFFSET(ORÇAMENTO!$W$15,ROW(AH253)-ROW(AH$15),0),15-13*ORÇAMENTO!$AF$11)),0)</f>
        <v>0</v>
      </c>
      <c r="AI253" s="545">
        <f ca="1">IF(AND($D253="Serviço",AI$12&lt;&gt;0,$H253&gt;0,OR(AUTOEVENTO&lt;&gt;"manual",$M253&lt;&gt;1)),
IF(Import.TipoArredondamento&lt;&gt;"TransfereGOV",
ROUND(OFFSET($P253,0,AI$13),15-13*ORÇAMENTO!$AF$7)/$H253*OFFSET(ORÇAMENTO!$X$15,ROW(AI253)-ROW(AI$15),0),
ROUND(ROUND(OFFSET($P253,0,AI$13),15-13*ORÇAMENTO!$AF$7)*OFFSET(ORÇAMENTO!$W$15,ROW(AI253)-ROW(AI$15),0),15-13*ORÇAMENTO!$AF$11)),0)</f>
        <v>0</v>
      </c>
      <c r="AJ253" s="545">
        <f ca="1">IF(AND($D253="Serviço",AJ$12&lt;&gt;0,$H253&gt;0,OR(AUTOEVENTO&lt;&gt;"manual",$M253&lt;&gt;1)),
IF(Import.TipoArredondamento&lt;&gt;"TransfereGOV",
ROUND(OFFSET($P253,0,AJ$13),15-13*ORÇAMENTO!$AF$7)/$H253*OFFSET(ORÇAMENTO!$X$15,ROW(AJ253)-ROW(AJ$15),0),
ROUND(ROUND(OFFSET($P253,0,AJ$13),15-13*ORÇAMENTO!$AF$7)*OFFSET(ORÇAMENTO!$W$15,ROW(AJ253)-ROW(AJ$15),0),15-13*ORÇAMENTO!$AF$11)),0)</f>
        <v>0</v>
      </c>
      <c r="AK253" s="546">
        <f ca="1">IF(AND($D253="Serviço",AK$12&lt;&gt;0,$H253&gt;0,OR(AUTOEVENTO&lt;&gt;"manual",$M253&lt;&gt;1)),
IF(Import.TipoArredondamento&lt;&gt;"TransfereGOV",
ROUND(OFFSET($P253,0,AK$13),15-13*ORÇAMENTO!$AF$7)/$H253*OFFSET(ORÇAMENTO!$X$15,ROW(AK253)-ROW(AK$15),0),
ROUND(ROUND(OFFSET($P253,0,AK$13),15-13*ORÇAMENTO!$AF$7)*OFFSET(ORÇAMENTO!$W$15,ROW(AK253)-ROW(AK$15),0),15-13*ORÇAMENTO!$AF$11)),0)</f>
        <v>0</v>
      </c>
      <c r="AM253" s="181">
        <f ca="1">IF($D253&lt;&gt;"Serviço",0,IF(AND(AUTOEVENTO="Manual",$M253=1),0,IF(OFFSET(CRONOPLE!$F$14,$M253,AM$13)="",10^12,OFFSET(CRONOPLE!$F$14,$M253,AM$13))))</f>
        <v>1000000000000</v>
      </c>
      <c r="AN253" s="181">
        <f ca="1">IF($D253&lt;&gt;"Serviço",0,IF(AND(AUTOEVENTO="Manual",$M253=1),0,IF(OFFSET(CRONOPLE!$F$14,$M253,AN$13)="",10^12,OFFSET(CRONOPLE!$F$14,$M253,AN$13))))</f>
        <v>1000000000000</v>
      </c>
      <c r="AO253" s="181">
        <f ca="1">IF($D253&lt;&gt;"Serviço",0,IF(AND(AUTOEVENTO="Manual",$M253=1),0,IF(OFFSET(CRONOPLE!$F$14,$M253,AO$13)="",10^12,OFFSET(CRONOPLE!$F$14,$M253,AO$13))))</f>
        <v>1000000000000</v>
      </c>
      <c r="AP253" s="181">
        <f ca="1">IF($D253&lt;&gt;"Serviço",0,IF(AND(AUTOEVENTO="Manual",$M253=1),0,IF(OFFSET(CRONOPLE!$F$14,$M253,AP$13)="",10^12,OFFSET(CRONOPLE!$F$14,$M253,AP$13))))</f>
        <v>1000000000000</v>
      </c>
      <c r="AQ253" s="181">
        <f ca="1">IF($D253&lt;&gt;"Serviço",0,IF(AND(AUTOEVENTO="Manual",$M253=1),0,IF(OFFSET(CRONOPLE!$F$14,$M253,AQ$13)="",10^12,OFFSET(CRONOPLE!$F$14,$M253,AQ$13))))</f>
        <v>1000000000000</v>
      </c>
      <c r="AR253" s="181">
        <f ca="1">IF($D253&lt;&gt;"Serviço",0,IF(AND(AUTOEVENTO="Manual",$M253=1),0,IF(OFFSET(CRONOPLE!$F$14,$M253,AR$13)="",10^12,OFFSET(CRONOPLE!$F$14,$M253,AR$13))))</f>
        <v>1000000000000</v>
      </c>
      <c r="AS253" s="181">
        <f ca="1">IF($D253&lt;&gt;"Serviço",0,IF(AND(AUTOEVENTO="Manual",$M253=1),0,IF(OFFSET(CRONOPLE!$F$14,$M253,AS$13)="",10^12,OFFSET(CRONOPLE!$F$14,$M253,AS$13))))</f>
        <v>1000000000000</v>
      </c>
      <c r="AT253" s="181">
        <f ca="1">IF($D253&lt;&gt;"Serviço",0,IF(AND(AUTOEVENTO="Manual",$M253=1),0,IF(OFFSET(CRONOPLE!$F$14,$M253,AT$13)="",10^12,OFFSET(CRONOPLE!$F$14,$M253,AT$13))))</f>
        <v>1000000000000</v>
      </c>
      <c r="AU253" s="181">
        <f ca="1">IF($D253&lt;&gt;"Serviço",0,IF(AND(AUTOEVENTO="Manual",$M253=1),0,IF(OFFSET(CRONOPLE!$F$14,$M253,AU$13)="",10^12,OFFSET(CRONOPLE!$F$14,$M253,AU$13))))</f>
        <v>1000000000000</v>
      </c>
      <c r="AV253" s="181">
        <f ca="1">IF($D253&lt;&gt;"Serviço",0,IF(AND(AUTOEVENTO="Manual",$M253=1),0,IF(OFFSET(CRONOPLE!$F$14,$M253,AV$13)="",10^12,OFFSET(CRONOPLE!$F$14,$M253,AV$13))))</f>
        <v>1000000000000</v>
      </c>
      <c r="AX253" s="182">
        <f ca="1">IF($D253&lt;&gt;"Serviço",0,IF(OR(AND(AUTOEVENTO="Manual",$M253=1),$M253&gt;(ROW(PLE.lastrow)-ROW(PLE.firstrow))),0,IF(OFFSET(PLE!$G$14,$M253,AX$13)="",10^12,OFFSET(PLE!$G$14,$M253,AX$13))))</f>
        <v>1000000000000</v>
      </c>
      <c r="AY253" s="182">
        <f ca="1">IF($D253&lt;&gt;"Serviço",0,IF(OR(AND(AUTOEVENTO="Manual",$M253=1),$M253&gt;(ROW(PLE.lastrow)-ROW(PLE.firstrow))),0,IF(OFFSET(PLE!$G$14,$M253,AY$13)="",10^12,OFFSET(PLE!$G$14,$M253,AY$13))))</f>
        <v>1000000000000</v>
      </c>
      <c r="AZ253" s="182">
        <f ca="1">IF($D253&lt;&gt;"Serviço",0,IF(OR(AND(AUTOEVENTO="Manual",$M253=1),$M253&gt;(ROW(PLE.lastrow)-ROW(PLE.firstrow))),0,IF(OFFSET(PLE!$G$14,$M253,AZ$13)="",10^12,OFFSET(PLE!$G$14,$M253,AZ$13))))</f>
        <v>1000000000000</v>
      </c>
      <c r="BA253" s="182">
        <f ca="1">IF($D253&lt;&gt;"Serviço",0,IF(OR(AND(AUTOEVENTO="Manual",$M253=1),$M253&gt;(ROW(PLE.lastrow)-ROW(PLE.firstrow))),0,IF(OFFSET(PLE!$G$14,$M253,BA$13)="",10^12,OFFSET(PLE!$G$14,$M253,BA$13))))</f>
        <v>1000000000000</v>
      </c>
      <c r="BB253" s="182">
        <f ca="1">IF($D253&lt;&gt;"Serviço",0,IF(OR(AND(AUTOEVENTO="Manual",$M253=1),$M253&gt;(ROW(PLE.lastrow)-ROW(PLE.firstrow))),0,IF(OFFSET(PLE!$G$14,$M253,BB$13)="",10^12,OFFSET(PLE!$G$14,$M253,BB$13))))</f>
        <v>1000000000000</v>
      </c>
      <c r="BC253" s="182">
        <f ca="1">IF($D253&lt;&gt;"Serviço",0,IF(OR(AND(AUTOEVENTO="Manual",$M253=1),$M253&gt;(ROW(PLE.lastrow)-ROW(PLE.firstrow))),0,IF(OFFSET(PLE!$G$14,$M253,BC$13)="",10^12,OFFSET(PLE!$G$14,$M253,BC$13))))</f>
        <v>1000000000000</v>
      </c>
      <c r="BD253" s="182">
        <f ca="1">IF($D253&lt;&gt;"Serviço",0,IF(OR(AND(AUTOEVENTO="Manual",$M253=1),$M253&gt;(ROW(PLE.lastrow)-ROW(PLE.firstrow))),0,IF(OFFSET(PLE!$G$14,$M253,BD$13)="",10^12,OFFSET(PLE!$G$14,$M253,BD$13))))</f>
        <v>1000000000000</v>
      </c>
      <c r="BE253" s="182">
        <f ca="1">IF($D253&lt;&gt;"Serviço",0,IF(OR(AND(AUTOEVENTO="Manual",$M253=1),$M253&gt;(ROW(PLE.lastrow)-ROW(PLE.firstrow))),0,IF(OFFSET(PLE!$G$14,$M253,BE$13)="",10^12,OFFSET(PLE!$G$14,$M253,BE$13))))</f>
        <v>1000000000000</v>
      </c>
      <c r="BF253" s="182">
        <f ca="1">IF($D253&lt;&gt;"Serviço",0,IF(OR(AND(AUTOEVENTO="Manual",$M253=1),$M253&gt;(ROW(PLE.lastrow)-ROW(PLE.firstrow))),0,IF(OFFSET(PLE!$G$14,$M253,BF$13)="",10^12,OFFSET(PLE!$G$14,$M253,BF$13))))</f>
        <v>1000000000000</v>
      </c>
      <c r="BG253" s="182">
        <f ca="1">IF($D253&lt;&gt;"Serviço",0,IF(OR(AND(AUTOEVENTO="Manual",$M253=1),$M253&gt;(ROW(PLE.lastrow)-ROW(PLE.firstrow))),0,IF(OFFSET(PLE!$G$14,$M253,BG$13)="",10^12,OFFSET(PLE!$G$14,$M253,BG$13))))</f>
        <v>1000000000000</v>
      </c>
    </row>
    <row r="254" spans="1:59" ht="12.75" x14ac:dyDescent="0.2">
      <c r="A254" s="7" t="str">
        <f t="shared" ca="1" si="11"/>
        <v>225</v>
      </c>
      <c r="B254" s="7">
        <f ca="1">OFFSET(ORÇAMENTO!C$15,ROW(B254)-ROW(B$15),0)</f>
        <v>3</v>
      </c>
      <c r="C254" s="7" t="str">
        <f ca="1">OFFSET(ORÇAMENTO!L$15,ROW(C254)-ROW(C$15),0)</f>
        <v>F</v>
      </c>
      <c r="D254" s="118" t="str">
        <f ca="1">OFFSET(ORÇAMENTO!N$15,ROW(D254)-ROW(D$15),0)</f>
        <v>Nível 3</v>
      </c>
      <c r="E254" s="119" t="str">
        <f ca="1">OFFSET(ORÇAMENTO!O$15,ROW(E254)-ROW(E$15),0)</f>
        <v>1.11.3.</v>
      </c>
      <c r="F254" s="172" t="str">
        <f ca="1">OFFSET(ORÇAMENTO!R$15,ROW(F254)-ROW(F$15),0)</f>
        <v>PISO - ESTACIONAMENTO</v>
      </c>
      <c r="G254" s="173" t="str">
        <f ca="1">IF($D254&lt;&gt;"Serviço","",OFFSET(ORÇAMENTO!S$15,ROW(G254)-ROW(G$15),0))</f>
        <v/>
      </c>
      <c r="H254" s="124">
        <f ca="1">IF($D254&lt;&gt;"Serviço",0,IF(ACOMPANHAMENTO="BM",ROUND(OFFSET(ORÇAMENTO!AJ$15,ROW(H254)-ROW(H$15),0),15-13*ORÇAMENTO!$AF$7),SUMPRODUCT(($Q$12:$AA$12&lt;&gt;"")*ROUND($Q254:$AA254,15-13*ORÇAMENTO!$AF$7))))</f>
        <v>0</v>
      </c>
      <c r="I254" s="561"/>
      <c r="K254" s="174"/>
      <c r="L254" s="175" t="s">
        <v>255</v>
      </c>
      <c r="M254" s="176" t="str">
        <f ca="1">IF($D254&lt;&gt;"Serviço","",IF(AUTOEVENTO="manual",$A254,IF(ISERROR(MATCH($A254,$A$15:OFFSET($A254,-1,0),0)),MAX($M$15:OFFSET(M254,-1,0))+1,INDEX($M$15:OFFSET(M254,-1,0),MATCH($A254,$A$15:OFFSET($A254,-1,0),0)))))</f>
        <v/>
      </c>
      <c r="N254" s="177" t="str">
        <f ca="1">IF($D254&lt;&gt;"Serviço","",IF(AUTOEVENTO="Manual",IF($A254=0,"&lt;-- defina o número do agrupador",OFFSET(EVENTOS!$D$14,$A254,0)),OFFSET($F$15,$A254,0)))</f>
        <v/>
      </c>
      <c r="O254" s="178"/>
      <c r="Q254" s="178"/>
      <c r="R254" s="179"/>
      <c r="S254" s="179"/>
      <c r="T254" s="179"/>
      <c r="U254" s="179"/>
      <c r="V254" s="179"/>
      <c r="W254" s="179"/>
      <c r="X254" s="179"/>
      <c r="Y254" s="179"/>
      <c r="Z254" s="180"/>
      <c r="AB254" s="544">
        <f ca="1">IF(AND($D254="Serviço",AB$12&lt;&gt;0,$H254&gt;0,OR(AUTOEVENTO&lt;&gt;"manual",$M254&lt;&gt;1)),
IF(Import.TipoArredondamento&lt;&gt;"TransfereGOV",
ROUND(OFFSET($P254,0,AB$13),15-13*ORÇAMENTO!$AF$7)/$H254*OFFSET(ORÇAMENTO!$X$15,ROW(AB254)-ROW(AB$15),0),
ROUND(ROUND(OFFSET($P254,0,AB$13),15-13*ORÇAMENTO!$AF$7)*OFFSET(ORÇAMENTO!$W$15,ROW(AB254)-ROW(AB$15),0),15-13*ORÇAMENTO!$AF$11)),0)</f>
        <v>0</v>
      </c>
      <c r="AC254" s="545">
        <f ca="1">IF(AND($D254="Serviço",AC$12&lt;&gt;0,$H254&gt;0,OR(AUTOEVENTO&lt;&gt;"manual",$M254&lt;&gt;1)),
IF(Import.TipoArredondamento&lt;&gt;"TransfereGOV",
ROUND(OFFSET($P254,0,AC$13),15-13*ORÇAMENTO!$AF$7)/$H254*OFFSET(ORÇAMENTO!$X$15,ROW(AC254)-ROW(AC$15),0),
ROUND(ROUND(OFFSET($P254,0,AC$13),15-13*ORÇAMENTO!$AF$7)*OFFSET(ORÇAMENTO!$W$15,ROW(AC254)-ROW(AC$15),0),15-13*ORÇAMENTO!$AF$11)),0)</f>
        <v>0</v>
      </c>
      <c r="AD254" s="545">
        <f ca="1">IF(AND($D254="Serviço",AD$12&lt;&gt;0,$H254&gt;0,OR(AUTOEVENTO&lt;&gt;"manual",$M254&lt;&gt;1)),
IF(Import.TipoArredondamento&lt;&gt;"TransfereGOV",
ROUND(OFFSET($P254,0,AD$13),15-13*ORÇAMENTO!$AF$7)/$H254*OFFSET(ORÇAMENTO!$X$15,ROW(AD254)-ROW(AD$15),0),
ROUND(ROUND(OFFSET($P254,0,AD$13),15-13*ORÇAMENTO!$AF$7)*OFFSET(ORÇAMENTO!$W$15,ROW(AD254)-ROW(AD$15),0),15-13*ORÇAMENTO!$AF$11)),0)</f>
        <v>0</v>
      </c>
      <c r="AE254" s="545">
        <f ca="1">IF(AND($D254="Serviço",AE$12&lt;&gt;0,$H254&gt;0,OR(AUTOEVENTO&lt;&gt;"manual",$M254&lt;&gt;1)),
IF(Import.TipoArredondamento&lt;&gt;"TransfereGOV",
ROUND(OFFSET($P254,0,AE$13),15-13*ORÇAMENTO!$AF$7)/$H254*OFFSET(ORÇAMENTO!$X$15,ROW(AE254)-ROW(AE$15),0),
ROUND(ROUND(OFFSET($P254,0,AE$13),15-13*ORÇAMENTO!$AF$7)*OFFSET(ORÇAMENTO!$W$15,ROW(AE254)-ROW(AE$15),0),15-13*ORÇAMENTO!$AF$11)),0)</f>
        <v>0</v>
      </c>
      <c r="AF254" s="545">
        <f ca="1">IF(AND($D254="Serviço",AF$12&lt;&gt;0,$H254&gt;0,OR(AUTOEVENTO&lt;&gt;"manual",$M254&lt;&gt;1)),
IF(Import.TipoArredondamento&lt;&gt;"TransfereGOV",
ROUND(OFFSET($P254,0,AF$13),15-13*ORÇAMENTO!$AF$7)/$H254*OFFSET(ORÇAMENTO!$X$15,ROW(AF254)-ROW(AF$15),0),
ROUND(ROUND(OFFSET($P254,0,AF$13),15-13*ORÇAMENTO!$AF$7)*OFFSET(ORÇAMENTO!$W$15,ROW(AF254)-ROW(AF$15),0),15-13*ORÇAMENTO!$AF$11)),0)</f>
        <v>0</v>
      </c>
      <c r="AG254" s="545">
        <f ca="1">IF(AND($D254="Serviço",AG$12&lt;&gt;0,$H254&gt;0,OR(AUTOEVENTO&lt;&gt;"manual",$M254&lt;&gt;1)),
IF(Import.TipoArredondamento&lt;&gt;"TransfereGOV",
ROUND(OFFSET($P254,0,AG$13),15-13*ORÇAMENTO!$AF$7)/$H254*OFFSET(ORÇAMENTO!$X$15,ROW(AG254)-ROW(AG$15),0),
ROUND(ROUND(OFFSET($P254,0,AG$13),15-13*ORÇAMENTO!$AF$7)*OFFSET(ORÇAMENTO!$W$15,ROW(AG254)-ROW(AG$15),0),15-13*ORÇAMENTO!$AF$11)),0)</f>
        <v>0</v>
      </c>
      <c r="AH254" s="545">
        <f ca="1">IF(AND($D254="Serviço",AH$12&lt;&gt;0,$H254&gt;0,OR(AUTOEVENTO&lt;&gt;"manual",$M254&lt;&gt;1)),
IF(Import.TipoArredondamento&lt;&gt;"TransfereGOV",
ROUND(OFFSET($P254,0,AH$13),15-13*ORÇAMENTO!$AF$7)/$H254*OFFSET(ORÇAMENTO!$X$15,ROW(AH254)-ROW(AH$15),0),
ROUND(ROUND(OFFSET($P254,0,AH$13),15-13*ORÇAMENTO!$AF$7)*OFFSET(ORÇAMENTO!$W$15,ROW(AH254)-ROW(AH$15),0),15-13*ORÇAMENTO!$AF$11)),0)</f>
        <v>0</v>
      </c>
      <c r="AI254" s="545">
        <f ca="1">IF(AND($D254="Serviço",AI$12&lt;&gt;0,$H254&gt;0,OR(AUTOEVENTO&lt;&gt;"manual",$M254&lt;&gt;1)),
IF(Import.TipoArredondamento&lt;&gt;"TransfereGOV",
ROUND(OFFSET($P254,0,AI$13),15-13*ORÇAMENTO!$AF$7)/$H254*OFFSET(ORÇAMENTO!$X$15,ROW(AI254)-ROW(AI$15),0),
ROUND(ROUND(OFFSET($P254,0,AI$13),15-13*ORÇAMENTO!$AF$7)*OFFSET(ORÇAMENTO!$W$15,ROW(AI254)-ROW(AI$15),0),15-13*ORÇAMENTO!$AF$11)),0)</f>
        <v>0</v>
      </c>
      <c r="AJ254" s="545">
        <f ca="1">IF(AND($D254="Serviço",AJ$12&lt;&gt;0,$H254&gt;0,OR(AUTOEVENTO&lt;&gt;"manual",$M254&lt;&gt;1)),
IF(Import.TipoArredondamento&lt;&gt;"TransfereGOV",
ROUND(OFFSET($P254,0,AJ$13),15-13*ORÇAMENTO!$AF$7)/$H254*OFFSET(ORÇAMENTO!$X$15,ROW(AJ254)-ROW(AJ$15),0),
ROUND(ROUND(OFFSET($P254,0,AJ$13),15-13*ORÇAMENTO!$AF$7)*OFFSET(ORÇAMENTO!$W$15,ROW(AJ254)-ROW(AJ$15),0),15-13*ORÇAMENTO!$AF$11)),0)</f>
        <v>0</v>
      </c>
      <c r="AK254" s="546">
        <f ca="1">IF(AND($D254="Serviço",AK$12&lt;&gt;0,$H254&gt;0,OR(AUTOEVENTO&lt;&gt;"manual",$M254&lt;&gt;1)),
IF(Import.TipoArredondamento&lt;&gt;"TransfereGOV",
ROUND(OFFSET($P254,0,AK$13),15-13*ORÇAMENTO!$AF$7)/$H254*OFFSET(ORÇAMENTO!$X$15,ROW(AK254)-ROW(AK$15),0),
ROUND(ROUND(OFFSET($P254,0,AK$13),15-13*ORÇAMENTO!$AF$7)*OFFSET(ORÇAMENTO!$W$15,ROW(AK254)-ROW(AK$15),0),15-13*ORÇAMENTO!$AF$11)),0)</f>
        <v>0</v>
      </c>
      <c r="AM254" s="181">
        <f ca="1">IF($D254&lt;&gt;"Serviço",0,IF(AND(AUTOEVENTO="Manual",$M254=1),0,IF(OFFSET(CRONOPLE!$F$14,$M254,AM$13)="",10^12,OFFSET(CRONOPLE!$F$14,$M254,AM$13))))</f>
        <v>0</v>
      </c>
      <c r="AN254" s="181">
        <f ca="1">IF($D254&lt;&gt;"Serviço",0,IF(AND(AUTOEVENTO="Manual",$M254=1),0,IF(OFFSET(CRONOPLE!$F$14,$M254,AN$13)="",10^12,OFFSET(CRONOPLE!$F$14,$M254,AN$13))))</f>
        <v>0</v>
      </c>
      <c r="AO254" s="181">
        <f ca="1">IF($D254&lt;&gt;"Serviço",0,IF(AND(AUTOEVENTO="Manual",$M254=1),0,IF(OFFSET(CRONOPLE!$F$14,$M254,AO$13)="",10^12,OFFSET(CRONOPLE!$F$14,$M254,AO$13))))</f>
        <v>0</v>
      </c>
      <c r="AP254" s="181">
        <f ca="1">IF($D254&lt;&gt;"Serviço",0,IF(AND(AUTOEVENTO="Manual",$M254=1),0,IF(OFFSET(CRONOPLE!$F$14,$M254,AP$13)="",10^12,OFFSET(CRONOPLE!$F$14,$M254,AP$13))))</f>
        <v>0</v>
      </c>
      <c r="AQ254" s="181">
        <f ca="1">IF($D254&lt;&gt;"Serviço",0,IF(AND(AUTOEVENTO="Manual",$M254=1),0,IF(OFFSET(CRONOPLE!$F$14,$M254,AQ$13)="",10^12,OFFSET(CRONOPLE!$F$14,$M254,AQ$13))))</f>
        <v>0</v>
      </c>
      <c r="AR254" s="181">
        <f ca="1">IF($D254&lt;&gt;"Serviço",0,IF(AND(AUTOEVENTO="Manual",$M254=1),0,IF(OFFSET(CRONOPLE!$F$14,$M254,AR$13)="",10^12,OFFSET(CRONOPLE!$F$14,$M254,AR$13))))</f>
        <v>0</v>
      </c>
      <c r="AS254" s="181">
        <f ca="1">IF($D254&lt;&gt;"Serviço",0,IF(AND(AUTOEVENTO="Manual",$M254=1),0,IF(OFFSET(CRONOPLE!$F$14,$M254,AS$13)="",10^12,OFFSET(CRONOPLE!$F$14,$M254,AS$13))))</f>
        <v>0</v>
      </c>
      <c r="AT254" s="181">
        <f ca="1">IF($D254&lt;&gt;"Serviço",0,IF(AND(AUTOEVENTO="Manual",$M254=1),0,IF(OFFSET(CRONOPLE!$F$14,$M254,AT$13)="",10^12,OFFSET(CRONOPLE!$F$14,$M254,AT$13))))</f>
        <v>0</v>
      </c>
      <c r="AU254" s="181">
        <f ca="1">IF($D254&lt;&gt;"Serviço",0,IF(AND(AUTOEVENTO="Manual",$M254=1),0,IF(OFFSET(CRONOPLE!$F$14,$M254,AU$13)="",10^12,OFFSET(CRONOPLE!$F$14,$M254,AU$13))))</f>
        <v>0</v>
      </c>
      <c r="AV254" s="181">
        <f ca="1">IF($D254&lt;&gt;"Serviço",0,IF(AND(AUTOEVENTO="Manual",$M254=1),0,IF(OFFSET(CRONOPLE!$F$14,$M254,AV$13)="",10^12,OFFSET(CRONOPLE!$F$14,$M254,AV$13))))</f>
        <v>0</v>
      </c>
      <c r="AX254" s="182">
        <f ca="1">IF($D254&lt;&gt;"Serviço",0,IF(OR(AND(AUTOEVENTO="Manual",$M254=1),$M254&gt;(ROW(PLE.lastrow)-ROW(PLE.firstrow))),0,IF(OFFSET(PLE!$G$14,$M254,AX$13)="",10^12,OFFSET(PLE!$G$14,$M254,AX$13))))</f>
        <v>0</v>
      </c>
      <c r="AY254" s="182">
        <f ca="1">IF($D254&lt;&gt;"Serviço",0,IF(OR(AND(AUTOEVENTO="Manual",$M254=1),$M254&gt;(ROW(PLE.lastrow)-ROW(PLE.firstrow))),0,IF(OFFSET(PLE!$G$14,$M254,AY$13)="",10^12,OFFSET(PLE!$G$14,$M254,AY$13))))</f>
        <v>0</v>
      </c>
      <c r="AZ254" s="182">
        <f ca="1">IF($D254&lt;&gt;"Serviço",0,IF(OR(AND(AUTOEVENTO="Manual",$M254=1),$M254&gt;(ROW(PLE.lastrow)-ROW(PLE.firstrow))),0,IF(OFFSET(PLE!$G$14,$M254,AZ$13)="",10^12,OFFSET(PLE!$G$14,$M254,AZ$13))))</f>
        <v>0</v>
      </c>
      <c r="BA254" s="182">
        <f ca="1">IF($D254&lt;&gt;"Serviço",0,IF(OR(AND(AUTOEVENTO="Manual",$M254=1),$M254&gt;(ROW(PLE.lastrow)-ROW(PLE.firstrow))),0,IF(OFFSET(PLE!$G$14,$M254,BA$13)="",10^12,OFFSET(PLE!$G$14,$M254,BA$13))))</f>
        <v>0</v>
      </c>
      <c r="BB254" s="182">
        <f ca="1">IF($D254&lt;&gt;"Serviço",0,IF(OR(AND(AUTOEVENTO="Manual",$M254=1),$M254&gt;(ROW(PLE.lastrow)-ROW(PLE.firstrow))),0,IF(OFFSET(PLE!$G$14,$M254,BB$13)="",10^12,OFFSET(PLE!$G$14,$M254,BB$13))))</f>
        <v>0</v>
      </c>
      <c r="BC254" s="182">
        <f ca="1">IF($D254&lt;&gt;"Serviço",0,IF(OR(AND(AUTOEVENTO="Manual",$M254=1),$M254&gt;(ROW(PLE.lastrow)-ROW(PLE.firstrow))),0,IF(OFFSET(PLE!$G$14,$M254,BC$13)="",10^12,OFFSET(PLE!$G$14,$M254,BC$13))))</f>
        <v>0</v>
      </c>
      <c r="BD254" s="182">
        <f ca="1">IF($D254&lt;&gt;"Serviço",0,IF(OR(AND(AUTOEVENTO="Manual",$M254=1),$M254&gt;(ROW(PLE.lastrow)-ROW(PLE.firstrow))),0,IF(OFFSET(PLE!$G$14,$M254,BD$13)="",10^12,OFFSET(PLE!$G$14,$M254,BD$13))))</f>
        <v>0</v>
      </c>
      <c r="BE254" s="182">
        <f ca="1">IF($D254&lt;&gt;"Serviço",0,IF(OR(AND(AUTOEVENTO="Manual",$M254=1),$M254&gt;(ROW(PLE.lastrow)-ROW(PLE.firstrow))),0,IF(OFFSET(PLE!$G$14,$M254,BE$13)="",10^12,OFFSET(PLE!$G$14,$M254,BE$13))))</f>
        <v>0</v>
      </c>
      <c r="BF254" s="182">
        <f ca="1">IF($D254&lt;&gt;"Serviço",0,IF(OR(AND(AUTOEVENTO="Manual",$M254=1),$M254&gt;(ROW(PLE.lastrow)-ROW(PLE.firstrow))),0,IF(OFFSET(PLE!$G$14,$M254,BF$13)="",10^12,OFFSET(PLE!$G$14,$M254,BF$13))))</f>
        <v>0</v>
      </c>
      <c r="BG254" s="182">
        <f ca="1">IF($D254&lt;&gt;"Serviço",0,IF(OR(AND(AUTOEVENTO="Manual",$M254=1),$M254&gt;(ROW(PLE.lastrow)-ROW(PLE.firstrow))),0,IF(OFFSET(PLE!$G$14,$M254,BG$13)="",10^12,OFFSET(PLE!$G$14,$M254,BG$13))))</f>
        <v>0</v>
      </c>
    </row>
    <row r="255" spans="1:59" ht="25.5" x14ac:dyDescent="0.2">
      <c r="A255" s="7" t="str">
        <f t="shared" ca="1" si="11"/>
        <v>225</v>
      </c>
      <c r="B255" s="7" t="str">
        <f ca="1">OFFSET(ORÇAMENTO!C$15,ROW(B255)-ROW(B$15),0)</f>
        <v>S</v>
      </c>
      <c r="C255" s="7" t="str">
        <f ca="1">OFFSET(ORÇAMENTO!L$15,ROW(C255)-ROW(C$15),0)</f>
        <v/>
      </c>
      <c r="D255" s="118" t="str">
        <f ca="1">OFFSET(ORÇAMENTO!N$15,ROW(D255)-ROW(D$15),0)</f>
        <v>Serviço</v>
      </c>
      <c r="E255" s="119" t="str">
        <f ca="1">OFFSET(ORÇAMENTO!O$15,ROW(E255)-ROW(E$15),0)</f>
        <v>-</v>
      </c>
      <c r="F255" s="172" t="str">
        <f ca="1">OFFSET(ORÇAMENTO!R$15,ROW(F255)-ROW(F$15),0)</f>
        <v>(abra o arquivo 'Referência 02-2025.xlsm)</v>
      </c>
      <c r="G255" s="173" t="str">
        <f ca="1">IF($D255&lt;&gt;"Serviço","",OFFSET(ORÇAMENTO!S$15,ROW(G255)-ROW(G$15),0))</f>
        <v>-</v>
      </c>
      <c r="H255" s="124">
        <f ca="1">IF($D255&lt;&gt;"Serviço",0,IF(ACOMPANHAMENTO="BM",ROUND(OFFSET(ORÇAMENTO!AJ$15,ROW(H255)-ROW(H$15),0),15-13*ORÇAMENTO!$AF$7),SUMPRODUCT(($Q$12:$AA$12&lt;&gt;"")*ROUND($Q255:$AA255,15-13*ORÇAMENTO!$AF$7))))</f>
        <v>3.32</v>
      </c>
      <c r="I255" s="561" t="s">
        <v>890</v>
      </c>
      <c r="K255" s="174"/>
      <c r="L255" s="175" t="s">
        <v>255</v>
      </c>
      <c r="M255" s="176">
        <f ca="1">IF($D255&lt;&gt;"Serviço","",IF(AUTOEVENTO="manual",$A255,IF(ISERROR(MATCH($A255,$A$15:OFFSET($A255,-1,0),0)),MAX($M$15:OFFSET(M255,-1,0))+1,INDEX($M$15:OFFSET(M255,-1,0),MATCH($A255,$A$15:OFFSET($A255,-1,0),0)))))</f>
        <v>12</v>
      </c>
      <c r="N255" s="177" t="str">
        <f ca="1">IF($D255&lt;&gt;"Serviço","",IF(AUTOEVENTO="Manual",IF($A255=0,"&lt;-- defina o número do agrupador",OFFSET(EVENTOS!$D$14,$A255,0)),OFFSET($F$15,$A255,0)))</f>
        <v>PINTURAS E ACABAMENTOS</v>
      </c>
      <c r="O255" s="178"/>
      <c r="Q255" s="178"/>
      <c r="R255" s="179"/>
      <c r="S255" s="179"/>
      <c r="T255" s="179"/>
      <c r="U255" s="179"/>
      <c r="V255" s="179"/>
      <c r="W255" s="179"/>
      <c r="X255" s="179"/>
      <c r="Y255" s="179"/>
      <c r="Z255" s="180"/>
      <c r="AB255" s="544">
        <f ca="1">IF(AND($D255="Serviço",AB$12&lt;&gt;0,$H255&gt;0,OR(AUTOEVENTO&lt;&gt;"manual",$M255&lt;&gt;1)),
IF(Import.TipoArredondamento&lt;&gt;"TransfereGOV",
ROUND(OFFSET($P255,0,AB$13),15-13*ORÇAMENTO!$AF$7)/$H255*OFFSET(ORÇAMENTO!$X$15,ROW(AB255)-ROW(AB$15),0),
ROUND(ROUND(OFFSET($P255,0,AB$13),15-13*ORÇAMENTO!$AF$7)*OFFSET(ORÇAMENTO!$W$15,ROW(AB255)-ROW(AB$15),0),15-13*ORÇAMENTO!$AF$11)),0)</f>
        <v>0</v>
      </c>
      <c r="AC255" s="545">
        <f ca="1">IF(AND($D255="Serviço",AC$12&lt;&gt;0,$H255&gt;0,OR(AUTOEVENTO&lt;&gt;"manual",$M255&lt;&gt;1)),
IF(Import.TipoArredondamento&lt;&gt;"TransfereGOV",
ROUND(OFFSET($P255,0,AC$13),15-13*ORÇAMENTO!$AF$7)/$H255*OFFSET(ORÇAMENTO!$X$15,ROW(AC255)-ROW(AC$15),0),
ROUND(ROUND(OFFSET($P255,0,AC$13),15-13*ORÇAMENTO!$AF$7)*OFFSET(ORÇAMENTO!$W$15,ROW(AC255)-ROW(AC$15),0),15-13*ORÇAMENTO!$AF$11)),0)</f>
        <v>0</v>
      </c>
      <c r="AD255" s="545">
        <f ca="1">IF(AND($D255="Serviço",AD$12&lt;&gt;0,$H255&gt;0,OR(AUTOEVENTO&lt;&gt;"manual",$M255&lt;&gt;1)),
IF(Import.TipoArredondamento&lt;&gt;"TransfereGOV",
ROUND(OFFSET($P255,0,AD$13),15-13*ORÇAMENTO!$AF$7)/$H255*OFFSET(ORÇAMENTO!$X$15,ROW(AD255)-ROW(AD$15),0),
ROUND(ROUND(OFFSET($P255,0,AD$13),15-13*ORÇAMENTO!$AF$7)*OFFSET(ORÇAMENTO!$W$15,ROW(AD255)-ROW(AD$15),0),15-13*ORÇAMENTO!$AF$11)),0)</f>
        <v>0</v>
      </c>
      <c r="AE255" s="545">
        <f ca="1">IF(AND($D255="Serviço",AE$12&lt;&gt;0,$H255&gt;0,OR(AUTOEVENTO&lt;&gt;"manual",$M255&lt;&gt;1)),
IF(Import.TipoArredondamento&lt;&gt;"TransfereGOV",
ROUND(OFFSET($P255,0,AE$13),15-13*ORÇAMENTO!$AF$7)/$H255*OFFSET(ORÇAMENTO!$X$15,ROW(AE255)-ROW(AE$15),0),
ROUND(ROUND(OFFSET($P255,0,AE$13),15-13*ORÇAMENTO!$AF$7)*OFFSET(ORÇAMENTO!$W$15,ROW(AE255)-ROW(AE$15),0),15-13*ORÇAMENTO!$AF$11)),0)</f>
        <v>0</v>
      </c>
      <c r="AF255" s="545">
        <f ca="1">IF(AND($D255="Serviço",AF$12&lt;&gt;0,$H255&gt;0,OR(AUTOEVENTO&lt;&gt;"manual",$M255&lt;&gt;1)),
IF(Import.TipoArredondamento&lt;&gt;"TransfereGOV",
ROUND(OFFSET($P255,0,AF$13),15-13*ORÇAMENTO!$AF$7)/$H255*OFFSET(ORÇAMENTO!$X$15,ROW(AF255)-ROW(AF$15),0),
ROUND(ROUND(OFFSET($P255,0,AF$13),15-13*ORÇAMENTO!$AF$7)*OFFSET(ORÇAMENTO!$W$15,ROW(AF255)-ROW(AF$15),0),15-13*ORÇAMENTO!$AF$11)),0)</f>
        <v>0</v>
      </c>
      <c r="AG255" s="545">
        <f ca="1">IF(AND($D255="Serviço",AG$12&lt;&gt;0,$H255&gt;0,OR(AUTOEVENTO&lt;&gt;"manual",$M255&lt;&gt;1)),
IF(Import.TipoArredondamento&lt;&gt;"TransfereGOV",
ROUND(OFFSET($P255,0,AG$13),15-13*ORÇAMENTO!$AF$7)/$H255*OFFSET(ORÇAMENTO!$X$15,ROW(AG255)-ROW(AG$15),0),
ROUND(ROUND(OFFSET($P255,0,AG$13),15-13*ORÇAMENTO!$AF$7)*OFFSET(ORÇAMENTO!$W$15,ROW(AG255)-ROW(AG$15),0),15-13*ORÇAMENTO!$AF$11)),0)</f>
        <v>0</v>
      </c>
      <c r="AH255" s="545">
        <f ca="1">IF(AND($D255="Serviço",AH$12&lt;&gt;0,$H255&gt;0,OR(AUTOEVENTO&lt;&gt;"manual",$M255&lt;&gt;1)),
IF(Import.TipoArredondamento&lt;&gt;"TransfereGOV",
ROUND(OFFSET($P255,0,AH$13),15-13*ORÇAMENTO!$AF$7)/$H255*OFFSET(ORÇAMENTO!$X$15,ROW(AH255)-ROW(AH$15),0),
ROUND(ROUND(OFFSET($P255,0,AH$13),15-13*ORÇAMENTO!$AF$7)*OFFSET(ORÇAMENTO!$W$15,ROW(AH255)-ROW(AH$15),0),15-13*ORÇAMENTO!$AF$11)),0)</f>
        <v>0</v>
      </c>
      <c r="AI255" s="545">
        <f ca="1">IF(AND($D255="Serviço",AI$12&lt;&gt;0,$H255&gt;0,OR(AUTOEVENTO&lt;&gt;"manual",$M255&lt;&gt;1)),
IF(Import.TipoArredondamento&lt;&gt;"TransfereGOV",
ROUND(OFFSET($P255,0,AI$13),15-13*ORÇAMENTO!$AF$7)/$H255*OFFSET(ORÇAMENTO!$X$15,ROW(AI255)-ROW(AI$15),0),
ROUND(ROUND(OFFSET($P255,0,AI$13),15-13*ORÇAMENTO!$AF$7)*OFFSET(ORÇAMENTO!$W$15,ROW(AI255)-ROW(AI$15),0),15-13*ORÇAMENTO!$AF$11)),0)</f>
        <v>0</v>
      </c>
      <c r="AJ255" s="545">
        <f ca="1">IF(AND($D255="Serviço",AJ$12&lt;&gt;0,$H255&gt;0,OR(AUTOEVENTO&lt;&gt;"manual",$M255&lt;&gt;1)),
IF(Import.TipoArredondamento&lt;&gt;"TransfereGOV",
ROUND(OFFSET($P255,0,AJ$13),15-13*ORÇAMENTO!$AF$7)/$H255*OFFSET(ORÇAMENTO!$X$15,ROW(AJ255)-ROW(AJ$15),0),
ROUND(ROUND(OFFSET($P255,0,AJ$13),15-13*ORÇAMENTO!$AF$7)*OFFSET(ORÇAMENTO!$W$15,ROW(AJ255)-ROW(AJ$15),0),15-13*ORÇAMENTO!$AF$11)),0)</f>
        <v>0</v>
      </c>
      <c r="AK255" s="546">
        <f ca="1">IF(AND($D255="Serviço",AK$12&lt;&gt;0,$H255&gt;0,OR(AUTOEVENTO&lt;&gt;"manual",$M255&lt;&gt;1)),
IF(Import.TipoArredondamento&lt;&gt;"TransfereGOV",
ROUND(OFFSET($P255,0,AK$13),15-13*ORÇAMENTO!$AF$7)/$H255*OFFSET(ORÇAMENTO!$X$15,ROW(AK255)-ROW(AK$15),0),
ROUND(ROUND(OFFSET($P255,0,AK$13),15-13*ORÇAMENTO!$AF$7)*OFFSET(ORÇAMENTO!$W$15,ROW(AK255)-ROW(AK$15),0),15-13*ORÇAMENTO!$AF$11)),0)</f>
        <v>0</v>
      </c>
      <c r="AM255" s="181">
        <f ca="1">IF($D255&lt;&gt;"Serviço",0,IF(AND(AUTOEVENTO="Manual",$M255=1),0,IF(OFFSET(CRONOPLE!$F$14,$M255,AM$13)="",10^12,OFFSET(CRONOPLE!$F$14,$M255,AM$13))))</f>
        <v>1000000000000</v>
      </c>
      <c r="AN255" s="181">
        <f ca="1">IF($D255&lt;&gt;"Serviço",0,IF(AND(AUTOEVENTO="Manual",$M255=1),0,IF(OFFSET(CRONOPLE!$F$14,$M255,AN$13)="",10^12,OFFSET(CRONOPLE!$F$14,$M255,AN$13))))</f>
        <v>1000000000000</v>
      </c>
      <c r="AO255" s="181">
        <f ca="1">IF($D255&lt;&gt;"Serviço",0,IF(AND(AUTOEVENTO="Manual",$M255=1),0,IF(OFFSET(CRONOPLE!$F$14,$M255,AO$13)="",10^12,OFFSET(CRONOPLE!$F$14,$M255,AO$13))))</f>
        <v>1000000000000</v>
      </c>
      <c r="AP255" s="181">
        <f ca="1">IF($D255&lt;&gt;"Serviço",0,IF(AND(AUTOEVENTO="Manual",$M255=1),0,IF(OFFSET(CRONOPLE!$F$14,$M255,AP$13)="",10^12,OFFSET(CRONOPLE!$F$14,$M255,AP$13))))</f>
        <v>1000000000000</v>
      </c>
      <c r="AQ255" s="181">
        <f ca="1">IF($D255&lt;&gt;"Serviço",0,IF(AND(AUTOEVENTO="Manual",$M255=1),0,IF(OFFSET(CRONOPLE!$F$14,$M255,AQ$13)="",10^12,OFFSET(CRONOPLE!$F$14,$M255,AQ$13))))</f>
        <v>1000000000000</v>
      </c>
      <c r="AR255" s="181">
        <f ca="1">IF($D255&lt;&gt;"Serviço",0,IF(AND(AUTOEVENTO="Manual",$M255=1),0,IF(OFFSET(CRONOPLE!$F$14,$M255,AR$13)="",10^12,OFFSET(CRONOPLE!$F$14,$M255,AR$13))))</f>
        <v>1000000000000</v>
      </c>
      <c r="AS255" s="181">
        <f ca="1">IF($D255&lt;&gt;"Serviço",0,IF(AND(AUTOEVENTO="Manual",$M255=1),0,IF(OFFSET(CRONOPLE!$F$14,$M255,AS$13)="",10^12,OFFSET(CRONOPLE!$F$14,$M255,AS$13))))</f>
        <v>1000000000000</v>
      </c>
      <c r="AT255" s="181">
        <f ca="1">IF($D255&lt;&gt;"Serviço",0,IF(AND(AUTOEVENTO="Manual",$M255=1),0,IF(OFFSET(CRONOPLE!$F$14,$M255,AT$13)="",10^12,OFFSET(CRONOPLE!$F$14,$M255,AT$13))))</f>
        <v>1000000000000</v>
      </c>
      <c r="AU255" s="181">
        <f ca="1">IF($D255&lt;&gt;"Serviço",0,IF(AND(AUTOEVENTO="Manual",$M255=1),0,IF(OFFSET(CRONOPLE!$F$14,$M255,AU$13)="",10^12,OFFSET(CRONOPLE!$F$14,$M255,AU$13))))</f>
        <v>1000000000000</v>
      </c>
      <c r="AV255" s="181">
        <f ca="1">IF($D255&lt;&gt;"Serviço",0,IF(AND(AUTOEVENTO="Manual",$M255=1),0,IF(OFFSET(CRONOPLE!$F$14,$M255,AV$13)="",10^12,OFFSET(CRONOPLE!$F$14,$M255,AV$13))))</f>
        <v>1000000000000</v>
      </c>
      <c r="AX255" s="182">
        <f ca="1">IF($D255&lt;&gt;"Serviço",0,IF(OR(AND(AUTOEVENTO="Manual",$M255=1),$M255&gt;(ROW(PLE.lastrow)-ROW(PLE.firstrow))),0,IF(OFFSET(PLE!$G$14,$M255,AX$13)="",10^12,OFFSET(PLE!$G$14,$M255,AX$13))))</f>
        <v>1000000000000</v>
      </c>
      <c r="AY255" s="182">
        <f ca="1">IF($D255&lt;&gt;"Serviço",0,IF(OR(AND(AUTOEVENTO="Manual",$M255=1),$M255&gt;(ROW(PLE.lastrow)-ROW(PLE.firstrow))),0,IF(OFFSET(PLE!$G$14,$M255,AY$13)="",10^12,OFFSET(PLE!$G$14,$M255,AY$13))))</f>
        <v>1000000000000</v>
      </c>
      <c r="AZ255" s="182">
        <f ca="1">IF($D255&lt;&gt;"Serviço",0,IF(OR(AND(AUTOEVENTO="Manual",$M255=1),$M255&gt;(ROW(PLE.lastrow)-ROW(PLE.firstrow))),0,IF(OFFSET(PLE!$G$14,$M255,AZ$13)="",10^12,OFFSET(PLE!$G$14,$M255,AZ$13))))</f>
        <v>1000000000000</v>
      </c>
      <c r="BA255" s="182">
        <f ca="1">IF($D255&lt;&gt;"Serviço",0,IF(OR(AND(AUTOEVENTO="Manual",$M255=1),$M255&gt;(ROW(PLE.lastrow)-ROW(PLE.firstrow))),0,IF(OFFSET(PLE!$G$14,$M255,BA$13)="",10^12,OFFSET(PLE!$G$14,$M255,BA$13))))</f>
        <v>1000000000000</v>
      </c>
      <c r="BB255" s="182">
        <f ca="1">IF($D255&lt;&gt;"Serviço",0,IF(OR(AND(AUTOEVENTO="Manual",$M255=1),$M255&gt;(ROW(PLE.lastrow)-ROW(PLE.firstrow))),0,IF(OFFSET(PLE!$G$14,$M255,BB$13)="",10^12,OFFSET(PLE!$G$14,$M255,BB$13))))</f>
        <v>1000000000000</v>
      </c>
      <c r="BC255" s="182">
        <f ca="1">IF($D255&lt;&gt;"Serviço",0,IF(OR(AND(AUTOEVENTO="Manual",$M255=1),$M255&gt;(ROW(PLE.lastrow)-ROW(PLE.firstrow))),0,IF(OFFSET(PLE!$G$14,$M255,BC$13)="",10^12,OFFSET(PLE!$G$14,$M255,BC$13))))</f>
        <v>1000000000000</v>
      </c>
      <c r="BD255" s="182">
        <f ca="1">IF($D255&lt;&gt;"Serviço",0,IF(OR(AND(AUTOEVENTO="Manual",$M255=1),$M255&gt;(ROW(PLE.lastrow)-ROW(PLE.firstrow))),0,IF(OFFSET(PLE!$G$14,$M255,BD$13)="",10^12,OFFSET(PLE!$G$14,$M255,BD$13))))</f>
        <v>1000000000000</v>
      </c>
      <c r="BE255" s="182">
        <f ca="1">IF($D255&lt;&gt;"Serviço",0,IF(OR(AND(AUTOEVENTO="Manual",$M255=1),$M255&gt;(ROW(PLE.lastrow)-ROW(PLE.firstrow))),0,IF(OFFSET(PLE!$G$14,$M255,BE$13)="",10^12,OFFSET(PLE!$G$14,$M255,BE$13))))</f>
        <v>1000000000000</v>
      </c>
      <c r="BF255" s="182">
        <f ca="1">IF($D255&lt;&gt;"Serviço",0,IF(OR(AND(AUTOEVENTO="Manual",$M255=1),$M255&gt;(ROW(PLE.lastrow)-ROW(PLE.firstrow))),0,IF(OFFSET(PLE!$G$14,$M255,BF$13)="",10^12,OFFSET(PLE!$G$14,$M255,BF$13))))</f>
        <v>1000000000000</v>
      </c>
      <c r="BG255" s="182">
        <f ca="1">IF($D255&lt;&gt;"Serviço",0,IF(OR(AND(AUTOEVENTO="Manual",$M255=1),$M255&gt;(ROW(PLE.lastrow)-ROW(PLE.firstrow))),0,IF(OFFSET(PLE!$G$14,$M255,BG$13)="",10^12,OFFSET(PLE!$G$14,$M255,BG$13))))</f>
        <v>1000000000000</v>
      </c>
    </row>
    <row r="256" spans="1:59" ht="25.5" x14ac:dyDescent="0.2">
      <c r="A256" s="7" t="str">
        <f t="shared" ca="1" si="11"/>
        <v>225</v>
      </c>
      <c r="B256" s="7" t="str">
        <f ca="1">OFFSET(ORÇAMENTO!C$15,ROW(B256)-ROW(B$15),0)</f>
        <v>S</v>
      </c>
      <c r="C256" s="7" t="str">
        <f ca="1">OFFSET(ORÇAMENTO!L$15,ROW(C256)-ROW(C$15),0)</f>
        <v/>
      </c>
      <c r="D256" s="118" t="str">
        <f ca="1">OFFSET(ORÇAMENTO!N$15,ROW(D256)-ROW(D$15),0)</f>
        <v>Serviço</v>
      </c>
      <c r="E256" s="119" t="str">
        <f ca="1">OFFSET(ORÇAMENTO!O$15,ROW(E256)-ROW(E$15),0)</f>
        <v>-</v>
      </c>
      <c r="F256" s="172" t="str">
        <f ca="1">OFFSET(ORÇAMENTO!R$15,ROW(F256)-ROW(F$15),0)</f>
        <v>(abra o arquivo 'Referência 02-2025.xlsm)</v>
      </c>
      <c r="G256" s="173" t="str">
        <f ca="1">IF($D256&lt;&gt;"Serviço","",OFFSET(ORÇAMENTO!S$15,ROW(G256)-ROW(G$15),0))</f>
        <v>-</v>
      </c>
      <c r="H256" s="124">
        <f ca="1">IF($D256&lt;&gt;"Serviço",0,IF(ACOMPANHAMENTO="BM",ROUND(OFFSET(ORÇAMENTO!AJ$15,ROW(H256)-ROW(H$15),0),15-13*ORÇAMENTO!$AF$7),SUMPRODUCT(($Q$12:$AA$12&lt;&gt;"")*ROUND($Q256:$AA256,15-13*ORÇAMENTO!$AF$7))))</f>
        <v>2.4900000000000002</v>
      </c>
      <c r="I256" s="561" t="s">
        <v>890</v>
      </c>
      <c r="K256" s="174"/>
      <c r="L256" s="175" t="s">
        <v>255</v>
      </c>
      <c r="M256" s="176">
        <f ca="1">IF($D256&lt;&gt;"Serviço","",IF(AUTOEVENTO="manual",$A256,IF(ISERROR(MATCH($A256,$A$15:OFFSET($A256,-1,0),0)),MAX($M$15:OFFSET(M256,-1,0))+1,INDEX($M$15:OFFSET(M256,-1,0),MATCH($A256,$A$15:OFFSET($A256,-1,0),0)))))</f>
        <v>12</v>
      </c>
      <c r="N256" s="177" t="str">
        <f ca="1">IF($D256&lt;&gt;"Serviço","",IF(AUTOEVENTO="Manual",IF($A256=0,"&lt;-- defina o número do agrupador",OFFSET(EVENTOS!$D$14,$A256,0)),OFFSET($F$15,$A256,0)))</f>
        <v>PINTURAS E ACABAMENTOS</v>
      </c>
      <c r="O256" s="178"/>
      <c r="Q256" s="178"/>
      <c r="R256" s="179"/>
      <c r="S256" s="179"/>
      <c r="T256" s="179"/>
      <c r="U256" s="179"/>
      <c r="V256" s="179"/>
      <c r="W256" s="179"/>
      <c r="X256" s="179"/>
      <c r="Y256" s="179"/>
      <c r="Z256" s="180"/>
      <c r="AB256" s="544">
        <f ca="1">IF(AND($D256="Serviço",AB$12&lt;&gt;0,$H256&gt;0,OR(AUTOEVENTO&lt;&gt;"manual",$M256&lt;&gt;1)),
IF(Import.TipoArredondamento&lt;&gt;"TransfereGOV",
ROUND(OFFSET($P256,0,AB$13),15-13*ORÇAMENTO!$AF$7)/$H256*OFFSET(ORÇAMENTO!$X$15,ROW(AB256)-ROW(AB$15),0),
ROUND(ROUND(OFFSET($P256,0,AB$13),15-13*ORÇAMENTO!$AF$7)*OFFSET(ORÇAMENTO!$W$15,ROW(AB256)-ROW(AB$15),0),15-13*ORÇAMENTO!$AF$11)),0)</f>
        <v>0</v>
      </c>
      <c r="AC256" s="545">
        <f ca="1">IF(AND($D256="Serviço",AC$12&lt;&gt;0,$H256&gt;0,OR(AUTOEVENTO&lt;&gt;"manual",$M256&lt;&gt;1)),
IF(Import.TipoArredondamento&lt;&gt;"TransfereGOV",
ROUND(OFFSET($P256,0,AC$13),15-13*ORÇAMENTO!$AF$7)/$H256*OFFSET(ORÇAMENTO!$X$15,ROW(AC256)-ROW(AC$15),0),
ROUND(ROUND(OFFSET($P256,0,AC$13),15-13*ORÇAMENTO!$AF$7)*OFFSET(ORÇAMENTO!$W$15,ROW(AC256)-ROW(AC$15),0),15-13*ORÇAMENTO!$AF$11)),0)</f>
        <v>0</v>
      </c>
      <c r="AD256" s="545">
        <f ca="1">IF(AND($D256="Serviço",AD$12&lt;&gt;0,$H256&gt;0,OR(AUTOEVENTO&lt;&gt;"manual",$M256&lt;&gt;1)),
IF(Import.TipoArredondamento&lt;&gt;"TransfereGOV",
ROUND(OFFSET($P256,0,AD$13),15-13*ORÇAMENTO!$AF$7)/$H256*OFFSET(ORÇAMENTO!$X$15,ROW(AD256)-ROW(AD$15),0),
ROUND(ROUND(OFFSET($P256,0,AD$13),15-13*ORÇAMENTO!$AF$7)*OFFSET(ORÇAMENTO!$W$15,ROW(AD256)-ROW(AD$15),0),15-13*ORÇAMENTO!$AF$11)),0)</f>
        <v>0</v>
      </c>
      <c r="AE256" s="545">
        <f ca="1">IF(AND($D256="Serviço",AE$12&lt;&gt;0,$H256&gt;0,OR(AUTOEVENTO&lt;&gt;"manual",$M256&lt;&gt;1)),
IF(Import.TipoArredondamento&lt;&gt;"TransfereGOV",
ROUND(OFFSET($P256,0,AE$13),15-13*ORÇAMENTO!$AF$7)/$H256*OFFSET(ORÇAMENTO!$X$15,ROW(AE256)-ROW(AE$15),0),
ROUND(ROUND(OFFSET($P256,0,AE$13),15-13*ORÇAMENTO!$AF$7)*OFFSET(ORÇAMENTO!$W$15,ROW(AE256)-ROW(AE$15),0),15-13*ORÇAMENTO!$AF$11)),0)</f>
        <v>0</v>
      </c>
      <c r="AF256" s="545">
        <f ca="1">IF(AND($D256="Serviço",AF$12&lt;&gt;0,$H256&gt;0,OR(AUTOEVENTO&lt;&gt;"manual",$M256&lt;&gt;1)),
IF(Import.TipoArredondamento&lt;&gt;"TransfereGOV",
ROUND(OFFSET($P256,0,AF$13),15-13*ORÇAMENTO!$AF$7)/$H256*OFFSET(ORÇAMENTO!$X$15,ROW(AF256)-ROW(AF$15),0),
ROUND(ROUND(OFFSET($P256,0,AF$13),15-13*ORÇAMENTO!$AF$7)*OFFSET(ORÇAMENTO!$W$15,ROW(AF256)-ROW(AF$15),0),15-13*ORÇAMENTO!$AF$11)),0)</f>
        <v>0</v>
      </c>
      <c r="AG256" s="545">
        <f ca="1">IF(AND($D256="Serviço",AG$12&lt;&gt;0,$H256&gt;0,OR(AUTOEVENTO&lt;&gt;"manual",$M256&lt;&gt;1)),
IF(Import.TipoArredondamento&lt;&gt;"TransfereGOV",
ROUND(OFFSET($P256,0,AG$13),15-13*ORÇAMENTO!$AF$7)/$H256*OFFSET(ORÇAMENTO!$X$15,ROW(AG256)-ROW(AG$15),0),
ROUND(ROUND(OFFSET($P256,0,AG$13),15-13*ORÇAMENTO!$AF$7)*OFFSET(ORÇAMENTO!$W$15,ROW(AG256)-ROW(AG$15),0),15-13*ORÇAMENTO!$AF$11)),0)</f>
        <v>0</v>
      </c>
      <c r="AH256" s="545">
        <f ca="1">IF(AND($D256="Serviço",AH$12&lt;&gt;0,$H256&gt;0,OR(AUTOEVENTO&lt;&gt;"manual",$M256&lt;&gt;1)),
IF(Import.TipoArredondamento&lt;&gt;"TransfereGOV",
ROUND(OFFSET($P256,0,AH$13),15-13*ORÇAMENTO!$AF$7)/$H256*OFFSET(ORÇAMENTO!$X$15,ROW(AH256)-ROW(AH$15),0),
ROUND(ROUND(OFFSET($P256,0,AH$13),15-13*ORÇAMENTO!$AF$7)*OFFSET(ORÇAMENTO!$W$15,ROW(AH256)-ROW(AH$15),0),15-13*ORÇAMENTO!$AF$11)),0)</f>
        <v>0</v>
      </c>
      <c r="AI256" s="545">
        <f ca="1">IF(AND($D256="Serviço",AI$12&lt;&gt;0,$H256&gt;0,OR(AUTOEVENTO&lt;&gt;"manual",$M256&lt;&gt;1)),
IF(Import.TipoArredondamento&lt;&gt;"TransfereGOV",
ROUND(OFFSET($P256,0,AI$13),15-13*ORÇAMENTO!$AF$7)/$H256*OFFSET(ORÇAMENTO!$X$15,ROW(AI256)-ROW(AI$15),0),
ROUND(ROUND(OFFSET($P256,0,AI$13),15-13*ORÇAMENTO!$AF$7)*OFFSET(ORÇAMENTO!$W$15,ROW(AI256)-ROW(AI$15),0),15-13*ORÇAMENTO!$AF$11)),0)</f>
        <v>0</v>
      </c>
      <c r="AJ256" s="545">
        <f ca="1">IF(AND($D256="Serviço",AJ$12&lt;&gt;0,$H256&gt;0,OR(AUTOEVENTO&lt;&gt;"manual",$M256&lt;&gt;1)),
IF(Import.TipoArredondamento&lt;&gt;"TransfereGOV",
ROUND(OFFSET($P256,0,AJ$13),15-13*ORÇAMENTO!$AF$7)/$H256*OFFSET(ORÇAMENTO!$X$15,ROW(AJ256)-ROW(AJ$15),0),
ROUND(ROUND(OFFSET($P256,0,AJ$13),15-13*ORÇAMENTO!$AF$7)*OFFSET(ORÇAMENTO!$W$15,ROW(AJ256)-ROW(AJ$15),0),15-13*ORÇAMENTO!$AF$11)),0)</f>
        <v>0</v>
      </c>
      <c r="AK256" s="546">
        <f ca="1">IF(AND($D256="Serviço",AK$12&lt;&gt;0,$H256&gt;0,OR(AUTOEVENTO&lt;&gt;"manual",$M256&lt;&gt;1)),
IF(Import.TipoArredondamento&lt;&gt;"TransfereGOV",
ROUND(OFFSET($P256,0,AK$13),15-13*ORÇAMENTO!$AF$7)/$H256*OFFSET(ORÇAMENTO!$X$15,ROW(AK256)-ROW(AK$15),0),
ROUND(ROUND(OFFSET($P256,0,AK$13),15-13*ORÇAMENTO!$AF$7)*OFFSET(ORÇAMENTO!$W$15,ROW(AK256)-ROW(AK$15),0),15-13*ORÇAMENTO!$AF$11)),0)</f>
        <v>0</v>
      </c>
      <c r="AM256" s="181">
        <f ca="1">IF($D256&lt;&gt;"Serviço",0,IF(AND(AUTOEVENTO="Manual",$M256=1),0,IF(OFFSET(CRONOPLE!$F$14,$M256,AM$13)="",10^12,OFFSET(CRONOPLE!$F$14,$M256,AM$13))))</f>
        <v>1000000000000</v>
      </c>
      <c r="AN256" s="181">
        <f ca="1">IF($D256&lt;&gt;"Serviço",0,IF(AND(AUTOEVENTO="Manual",$M256=1),0,IF(OFFSET(CRONOPLE!$F$14,$M256,AN$13)="",10^12,OFFSET(CRONOPLE!$F$14,$M256,AN$13))))</f>
        <v>1000000000000</v>
      </c>
      <c r="AO256" s="181">
        <f ca="1">IF($D256&lt;&gt;"Serviço",0,IF(AND(AUTOEVENTO="Manual",$M256=1),0,IF(OFFSET(CRONOPLE!$F$14,$M256,AO$13)="",10^12,OFFSET(CRONOPLE!$F$14,$M256,AO$13))))</f>
        <v>1000000000000</v>
      </c>
      <c r="AP256" s="181">
        <f ca="1">IF($D256&lt;&gt;"Serviço",0,IF(AND(AUTOEVENTO="Manual",$M256=1),0,IF(OFFSET(CRONOPLE!$F$14,$M256,AP$13)="",10^12,OFFSET(CRONOPLE!$F$14,$M256,AP$13))))</f>
        <v>1000000000000</v>
      </c>
      <c r="AQ256" s="181">
        <f ca="1">IF($D256&lt;&gt;"Serviço",0,IF(AND(AUTOEVENTO="Manual",$M256=1),0,IF(OFFSET(CRONOPLE!$F$14,$M256,AQ$13)="",10^12,OFFSET(CRONOPLE!$F$14,$M256,AQ$13))))</f>
        <v>1000000000000</v>
      </c>
      <c r="AR256" s="181">
        <f ca="1">IF($D256&lt;&gt;"Serviço",0,IF(AND(AUTOEVENTO="Manual",$M256=1),0,IF(OFFSET(CRONOPLE!$F$14,$M256,AR$13)="",10^12,OFFSET(CRONOPLE!$F$14,$M256,AR$13))))</f>
        <v>1000000000000</v>
      </c>
      <c r="AS256" s="181">
        <f ca="1">IF($D256&lt;&gt;"Serviço",0,IF(AND(AUTOEVENTO="Manual",$M256=1),0,IF(OFFSET(CRONOPLE!$F$14,$M256,AS$13)="",10^12,OFFSET(CRONOPLE!$F$14,$M256,AS$13))))</f>
        <v>1000000000000</v>
      </c>
      <c r="AT256" s="181">
        <f ca="1">IF($D256&lt;&gt;"Serviço",0,IF(AND(AUTOEVENTO="Manual",$M256=1),0,IF(OFFSET(CRONOPLE!$F$14,$M256,AT$13)="",10^12,OFFSET(CRONOPLE!$F$14,$M256,AT$13))))</f>
        <v>1000000000000</v>
      </c>
      <c r="AU256" s="181">
        <f ca="1">IF($D256&lt;&gt;"Serviço",0,IF(AND(AUTOEVENTO="Manual",$M256=1),0,IF(OFFSET(CRONOPLE!$F$14,$M256,AU$13)="",10^12,OFFSET(CRONOPLE!$F$14,$M256,AU$13))))</f>
        <v>1000000000000</v>
      </c>
      <c r="AV256" s="181">
        <f ca="1">IF($D256&lt;&gt;"Serviço",0,IF(AND(AUTOEVENTO="Manual",$M256=1),0,IF(OFFSET(CRONOPLE!$F$14,$M256,AV$13)="",10^12,OFFSET(CRONOPLE!$F$14,$M256,AV$13))))</f>
        <v>1000000000000</v>
      </c>
      <c r="AX256" s="182">
        <f ca="1">IF($D256&lt;&gt;"Serviço",0,IF(OR(AND(AUTOEVENTO="Manual",$M256=1),$M256&gt;(ROW(PLE.lastrow)-ROW(PLE.firstrow))),0,IF(OFFSET(PLE!$G$14,$M256,AX$13)="",10^12,OFFSET(PLE!$G$14,$M256,AX$13))))</f>
        <v>1000000000000</v>
      </c>
      <c r="AY256" s="182">
        <f ca="1">IF($D256&lt;&gt;"Serviço",0,IF(OR(AND(AUTOEVENTO="Manual",$M256=1),$M256&gt;(ROW(PLE.lastrow)-ROW(PLE.firstrow))),0,IF(OFFSET(PLE!$G$14,$M256,AY$13)="",10^12,OFFSET(PLE!$G$14,$M256,AY$13))))</f>
        <v>1000000000000</v>
      </c>
      <c r="AZ256" s="182">
        <f ca="1">IF($D256&lt;&gt;"Serviço",0,IF(OR(AND(AUTOEVENTO="Manual",$M256=1),$M256&gt;(ROW(PLE.lastrow)-ROW(PLE.firstrow))),0,IF(OFFSET(PLE!$G$14,$M256,AZ$13)="",10^12,OFFSET(PLE!$G$14,$M256,AZ$13))))</f>
        <v>1000000000000</v>
      </c>
      <c r="BA256" s="182">
        <f ca="1">IF($D256&lt;&gt;"Serviço",0,IF(OR(AND(AUTOEVENTO="Manual",$M256=1),$M256&gt;(ROW(PLE.lastrow)-ROW(PLE.firstrow))),0,IF(OFFSET(PLE!$G$14,$M256,BA$13)="",10^12,OFFSET(PLE!$G$14,$M256,BA$13))))</f>
        <v>1000000000000</v>
      </c>
      <c r="BB256" s="182">
        <f ca="1">IF($D256&lt;&gt;"Serviço",0,IF(OR(AND(AUTOEVENTO="Manual",$M256=1),$M256&gt;(ROW(PLE.lastrow)-ROW(PLE.firstrow))),0,IF(OFFSET(PLE!$G$14,$M256,BB$13)="",10^12,OFFSET(PLE!$G$14,$M256,BB$13))))</f>
        <v>1000000000000</v>
      </c>
      <c r="BC256" s="182">
        <f ca="1">IF($D256&lt;&gt;"Serviço",0,IF(OR(AND(AUTOEVENTO="Manual",$M256=1),$M256&gt;(ROW(PLE.lastrow)-ROW(PLE.firstrow))),0,IF(OFFSET(PLE!$G$14,$M256,BC$13)="",10^12,OFFSET(PLE!$G$14,$M256,BC$13))))</f>
        <v>1000000000000</v>
      </c>
      <c r="BD256" s="182">
        <f ca="1">IF($D256&lt;&gt;"Serviço",0,IF(OR(AND(AUTOEVENTO="Manual",$M256=1),$M256&gt;(ROW(PLE.lastrow)-ROW(PLE.firstrow))),0,IF(OFFSET(PLE!$G$14,$M256,BD$13)="",10^12,OFFSET(PLE!$G$14,$M256,BD$13))))</f>
        <v>1000000000000</v>
      </c>
      <c r="BE256" s="182">
        <f ca="1">IF($D256&lt;&gt;"Serviço",0,IF(OR(AND(AUTOEVENTO="Manual",$M256=1),$M256&gt;(ROW(PLE.lastrow)-ROW(PLE.firstrow))),0,IF(OFFSET(PLE!$G$14,$M256,BE$13)="",10^12,OFFSET(PLE!$G$14,$M256,BE$13))))</f>
        <v>1000000000000</v>
      </c>
      <c r="BF256" s="182">
        <f ca="1">IF($D256&lt;&gt;"Serviço",0,IF(OR(AND(AUTOEVENTO="Manual",$M256=1),$M256&gt;(ROW(PLE.lastrow)-ROW(PLE.firstrow))),0,IF(OFFSET(PLE!$G$14,$M256,BF$13)="",10^12,OFFSET(PLE!$G$14,$M256,BF$13))))</f>
        <v>1000000000000</v>
      </c>
      <c r="BG256" s="182">
        <f ca="1">IF($D256&lt;&gt;"Serviço",0,IF(OR(AND(AUTOEVENTO="Manual",$M256=1),$M256&gt;(ROW(PLE.lastrow)-ROW(PLE.firstrow))),0,IF(OFFSET(PLE!$G$14,$M256,BG$13)="",10^12,OFFSET(PLE!$G$14,$M256,BG$13))))</f>
        <v>1000000000000</v>
      </c>
    </row>
    <row r="257" spans="1:59" ht="25.5" x14ac:dyDescent="0.2">
      <c r="A257" s="7" t="str">
        <f t="shared" ca="1" si="11"/>
        <v>225</v>
      </c>
      <c r="B257" s="7" t="str">
        <f ca="1">OFFSET(ORÇAMENTO!C$15,ROW(B257)-ROW(B$15),0)</f>
        <v>S</v>
      </c>
      <c r="C257" s="7" t="str">
        <f ca="1">OFFSET(ORÇAMENTO!L$15,ROW(C257)-ROW(C$15),0)</f>
        <v/>
      </c>
      <c r="D257" s="118" t="str">
        <f ca="1">OFFSET(ORÇAMENTO!N$15,ROW(D257)-ROW(D$15),0)</f>
        <v>Serviço</v>
      </c>
      <c r="E257" s="119" t="str">
        <f ca="1">OFFSET(ORÇAMENTO!O$15,ROW(E257)-ROW(E$15),0)</f>
        <v>-</v>
      </c>
      <c r="F257" s="172" t="str">
        <f ca="1">OFFSET(ORÇAMENTO!R$15,ROW(F257)-ROW(F$15),0)</f>
        <v>(abra o arquivo 'Referência 02-2025.xlsm)</v>
      </c>
      <c r="G257" s="173" t="str">
        <f ca="1">IF($D257&lt;&gt;"Serviço","",OFFSET(ORÇAMENTO!S$15,ROW(G257)-ROW(G$15),0))</f>
        <v>-</v>
      </c>
      <c r="H257" s="124">
        <f ca="1">IF($D257&lt;&gt;"Serviço",0,IF(ACOMPANHAMENTO="BM",ROUND(OFFSET(ORÇAMENTO!AJ$15,ROW(H257)-ROW(H$15),0),15-13*ORÇAMENTO!$AF$7),SUMPRODUCT(($Q$12:$AA$12&lt;&gt;"")*ROUND($Q257:$AA257,15-13*ORÇAMENTO!$AF$7))))</f>
        <v>2.65</v>
      </c>
      <c r="I257" s="561" t="s">
        <v>890</v>
      </c>
      <c r="K257" s="174"/>
      <c r="L257" s="175" t="s">
        <v>255</v>
      </c>
      <c r="M257" s="176">
        <f ca="1">IF($D257&lt;&gt;"Serviço","",IF(AUTOEVENTO="manual",$A257,IF(ISERROR(MATCH($A257,$A$15:OFFSET($A257,-1,0),0)),MAX($M$15:OFFSET(M257,-1,0))+1,INDEX($M$15:OFFSET(M257,-1,0),MATCH($A257,$A$15:OFFSET($A257,-1,0),0)))))</f>
        <v>12</v>
      </c>
      <c r="N257" s="177" t="str">
        <f ca="1">IF($D257&lt;&gt;"Serviço","",IF(AUTOEVENTO="Manual",IF($A257=0,"&lt;-- defina o número do agrupador",OFFSET(EVENTOS!$D$14,$A257,0)),OFFSET($F$15,$A257,0)))</f>
        <v>PINTURAS E ACABAMENTOS</v>
      </c>
      <c r="O257" s="178"/>
      <c r="Q257" s="178"/>
      <c r="R257" s="179"/>
      <c r="S257" s="179"/>
      <c r="T257" s="179"/>
      <c r="U257" s="179"/>
      <c r="V257" s="179"/>
      <c r="W257" s="179"/>
      <c r="X257" s="179"/>
      <c r="Y257" s="179"/>
      <c r="Z257" s="180"/>
      <c r="AB257" s="544">
        <f ca="1">IF(AND($D257="Serviço",AB$12&lt;&gt;0,$H257&gt;0,OR(AUTOEVENTO&lt;&gt;"manual",$M257&lt;&gt;1)),
IF(Import.TipoArredondamento&lt;&gt;"TransfereGOV",
ROUND(OFFSET($P257,0,AB$13),15-13*ORÇAMENTO!$AF$7)/$H257*OFFSET(ORÇAMENTO!$X$15,ROW(AB257)-ROW(AB$15),0),
ROUND(ROUND(OFFSET($P257,0,AB$13),15-13*ORÇAMENTO!$AF$7)*OFFSET(ORÇAMENTO!$W$15,ROW(AB257)-ROW(AB$15),0),15-13*ORÇAMENTO!$AF$11)),0)</f>
        <v>0</v>
      </c>
      <c r="AC257" s="545">
        <f ca="1">IF(AND($D257="Serviço",AC$12&lt;&gt;0,$H257&gt;0,OR(AUTOEVENTO&lt;&gt;"manual",$M257&lt;&gt;1)),
IF(Import.TipoArredondamento&lt;&gt;"TransfereGOV",
ROUND(OFFSET($P257,0,AC$13),15-13*ORÇAMENTO!$AF$7)/$H257*OFFSET(ORÇAMENTO!$X$15,ROW(AC257)-ROW(AC$15),0),
ROUND(ROUND(OFFSET($P257,0,AC$13),15-13*ORÇAMENTO!$AF$7)*OFFSET(ORÇAMENTO!$W$15,ROW(AC257)-ROW(AC$15),0),15-13*ORÇAMENTO!$AF$11)),0)</f>
        <v>0</v>
      </c>
      <c r="AD257" s="545">
        <f ca="1">IF(AND($D257="Serviço",AD$12&lt;&gt;0,$H257&gt;0,OR(AUTOEVENTO&lt;&gt;"manual",$M257&lt;&gt;1)),
IF(Import.TipoArredondamento&lt;&gt;"TransfereGOV",
ROUND(OFFSET($P257,0,AD$13),15-13*ORÇAMENTO!$AF$7)/$H257*OFFSET(ORÇAMENTO!$X$15,ROW(AD257)-ROW(AD$15),0),
ROUND(ROUND(OFFSET($P257,0,AD$13),15-13*ORÇAMENTO!$AF$7)*OFFSET(ORÇAMENTO!$W$15,ROW(AD257)-ROW(AD$15),0),15-13*ORÇAMENTO!$AF$11)),0)</f>
        <v>0</v>
      </c>
      <c r="AE257" s="545">
        <f ca="1">IF(AND($D257="Serviço",AE$12&lt;&gt;0,$H257&gt;0,OR(AUTOEVENTO&lt;&gt;"manual",$M257&lt;&gt;1)),
IF(Import.TipoArredondamento&lt;&gt;"TransfereGOV",
ROUND(OFFSET($P257,0,AE$13),15-13*ORÇAMENTO!$AF$7)/$H257*OFFSET(ORÇAMENTO!$X$15,ROW(AE257)-ROW(AE$15),0),
ROUND(ROUND(OFFSET($P257,0,AE$13),15-13*ORÇAMENTO!$AF$7)*OFFSET(ORÇAMENTO!$W$15,ROW(AE257)-ROW(AE$15),0),15-13*ORÇAMENTO!$AF$11)),0)</f>
        <v>0</v>
      </c>
      <c r="AF257" s="545">
        <f ca="1">IF(AND($D257="Serviço",AF$12&lt;&gt;0,$H257&gt;0,OR(AUTOEVENTO&lt;&gt;"manual",$M257&lt;&gt;1)),
IF(Import.TipoArredondamento&lt;&gt;"TransfereGOV",
ROUND(OFFSET($P257,0,AF$13),15-13*ORÇAMENTO!$AF$7)/$H257*OFFSET(ORÇAMENTO!$X$15,ROW(AF257)-ROW(AF$15),0),
ROUND(ROUND(OFFSET($P257,0,AF$13),15-13*ORÇAMENTO!$AF$7)*OFFSET(ORÇAMENTO!$W$15,ROW(AF257)-ROW(AF$15),0),15-13*ORÇAMENTO!$AF$11)),0)</f>
        <v>0</v>
      </c>
      <c r="AG257" s="545">
        <f ca="1">IF(AND($D257="Serviço",AG$12&lt;&gt;0,$H257&gt;0,OR(AUTOEVENTO&lt;&gt;"manual",$M257&lt;&gt;1)),
IF(Import.TipoArredondamento&lt;&gt;"TransfereGOV",
ROUND(OFFSET($P257,0,AG$13),15-13*ORÇAMENTO!$AF$7)/$H257*OFFSET(ORÇAMENTO!$X$15,ROW(AG257)-ROW(AG$15),0),
ROUND(ROUND(OFFSET($P257,0,AG$13),15-13*ORÇAMENTO!$AF$7)*OFFSET(ORÇAMENTO!$W$15,ROW(AG257)-ROW(AG$15),0),15-13*ORÇAMENTO!$AF$11)),0)</f>
        <v>0</v>
      </c>
      <c r="AH257" s="545">
        <f ca="1">IF(AND($D257="Serviço",AH$12&lt;&gt;0,$H257&gt;0,OR(AUTOEVENTO&lt;&gt;"manual",$M257&lt;&gt;1)),
IF(Import.TipoArredondamento&lt;&gt;"TransfereGOV",
ROUND(OFFSET($P257,0,AH$13),15-13*ORÇAMENTO!$AF$7)/$H257*OFFSET(ORÇAMENTO!$X$15,ROW(AH257)-ROW(AH$15),0),
ROUND(ROUND(OFFSET($P257,0,AH$13),15-13*ORÇAMENTO!$AF$7)*OFFSET(ORÇAMENTO!$W$15,ROW(AH257)-ROW(AH$15),0),15-13*ORÇAMENTO!$AF$11)),0)</f>
        <v>0</v>
      </c>
      <c r="AI257" s="545">
        <f ca="1">IF(AND($D257="Serviço",AI$12&lt;&gt;0,$H257&gt;0,OR(AUTOEVENTO&lt;&gt;"manual",$M257&lt;&gt;1)),
IF(Import.TipoArredondamento&lt;&gt;"TransfereGOV",
ROUND(OFFSET($P257,0,AI$13),15-13*ORÇAMENTO!$AF$7)/$H257*OFFSET(ORÇAMENTO!$X$15,ROW(AI257)-ROW(AI$15),0),
ROUND(ROUND(OFFSET($P257,0,AI$13),15-13*ORÇAMENTO!$AF$7)*OFFSET(ORÇAMENTO!$W$15,ROW(AI257)-ROW(AI$15),0),15-13*ORÇAMENTO!$AF$11)),0)</f>
        <v>0</v>
      </c>
      <c r="AJ257" s="545">
        <f ca="1">IF(AND($D257="Serviço",AJ$12&lt;&gt;0,$H257&gt;0,OR(AUTOEVENTO&lt;&gt;"manual",$M257&lt;&gt;1)),
IF(Import.TipoArredondamento&lt;&gt;"TransfereGOV",
ROUND(OFFSET($P257,0,AJ$13),15-13*ORÇAMENTO!$AF$7)/$H257*OFFSET(ORÇAMENTO!$X$15,ROW(AJ257)-ROW(AJ$15),0),
ROUND(ROUND(OFFSET($P257,0,AJ$13),15-13*ORÇAMENTO!$AF$7)*OFFSET(ORÇAMENTO!$W$15,ROW(AJ257)-ROW(AJ$15),0),15-13*ORÇAMENTO!$AF$11)),0)</f>
        <v>0</v>
      </c>
      <c r="AK257" s="546">
        <f ca="1">IF(AND($D257="Serviço",AK$12&lt;&gt;0,$H257&gt;0,OR(AUTOEVENTO&lt;&gt;"manual",$M257&lt;&gt;1)),
IF(Import.TipoArredondamento&lt;&gt;"TransfereGOV",
ROUND(OFFSET($P257,0,AK$13),15-13*ORÇAMENTO!$AF$7)/$H257*OFFSET(ORÇAMENTO!$X$15,ROW(AK257)-ROW(AK$15),0),
ROUND(ROUND(OFFSET($P257,0,AK$13),15-13*ORÇAMENTO!$AF$7)*OFFSET(ORÇAMENTO!$W$15,ROW(AK257)-ROW(AK$15),0),15-13*ORÇAMENTO!$AF$11)),0)</f>
        <v>0</v>
      </c>
      <c r="AM257" s="181">
        <f ca="1">IF($D257&lt;&gt;"Serviço",0,IF(AND(AUTOEVENTO="Manual",$M257=1),0,IF(OFFSET(CRONOPLE!$F$14,$M257,AM$13)="",10^12,OFFSET(CRONOPLE!$F$14,$M257,AM$13))))</f>
        <v>1000000000000</v>
      </c>
      <c r="AN257" s="181">
        <f ca="1">IF($D257&lt;&gt;"Serviço",0,IF(AND(AUTOEVENTO="Manual",$M257=1),0,IF(OFFSET(CRONOPLE!$F$14,$M257,AN$13)="",10^12,OFFSET(CRONOPLE!$F$14,$M257,AN$13))))</f>
        <v>1000000000000</v>
      </c>
      <c r="AO257" s="181">
        <f ca="1">IF($D257&lt;&gt;"Serviço",0,IF(AND(AUTOEVENTO="Manual",$M257=1),0,IF(OFFSET(CRONOPLE!$F$14,$M257,AO$13)="",10^12,OFFSET(CRONOPLE!$F$14,$M257,AO$13))))</f>
        <v>1000000000000</v>
      </c>
      <c r="AP257" s="181">
        <f ca="1">IF($D257&lt;&gt;"Serviço",0,IF(AND(AUTOEVENTO="Manual",$M257=1),0,IF(OFFSET(CRONOPLE!$F$14,$M257,AP$13)="",10^12,OFFSET(CRONOPLE!$F$14,$M257,AP$13))))</f>
        <v>1000000000000</v>
      </c>
      <c r="AQ257" s="181">
        <f ca="1">IF($D257&lt;&gt;"Serviço",0,IF(AND(AUTOEVENTO="Manual",$M257=1),0,IF(OFFSET(CRONOPLE!$F$14,$M257,AQ$13)="",10^12,OFFSET(CRONOPLE!$F$14,$M257,AQ$13))))</f>
        <v>1000000000000</v>
      </c>
      <c r="AR257" s="181">
        <f ca="1">IF($D257&lt;&gt;"Serviço",0,IF(AND(AUTOEVENTO="Manual",$M257=1),0,IF(OFFSET(CRONOPLE!$F$14,$M257,AR$13)="",10^12,OFFSET(CRONOPLE!$F$14,$M257,AR$13))))</f>
        <v>1000000000000</v>
      </c>
      <c r="AS257" s="181">
        <f ca="1">IF($D257&lt;&gt;"Serviço",0,IF(AND(AUTOEVENTO="Manual",$M257=1),0,IF(OFFSET(CRONOPLE!$F$14,$M257,AS$13)="",10^12,OFFSET(CRONOPLE!$F$14,$M257,AS$13))))</f>
        <v>1000000000000</v>
      </c>
      <c r="AT257" s="181">
        <f ca="1">IF($D257&lt;&gt;"Serviço",0,IF(AND(AUTOEVENTO="Manual",$M257=1),0,IF(OFFSET(CRONOPLE!$F$14,$M257,AT$13)="",10^12,OFFSET(CRONOPLE!$F$14,$M257,AT$13))))</f>
        <v>1000000000000</v>
      </c>
      <c r="AU257" s="181">
        <f ca="1">IF($D257&lt;&gt;"Serviço",0,IF(AND(AUTOEVENTO="Manual",$M257=1),0,IF(OFFSET(CRONOPLE!$F$14,$M257,AU$13)="",10^12,OFFSET(CRONOPLE!$F$14,$M257,AU$13))))</f>
        <v>1000000000000</v>
      </c>
      <c r="AV257" s="181">
        <f ca="1">IF($D257&lt;&gt;"Serviço",0,IF(AND(AUTOEVENTO="Manual",$M257=1),0,IF(OFFSET(CRONOPLE!$F$14,$M257,AV$13)="",10^12,OFFSET(CRONOPLE!$F$14,$M257,AV$13))))</f>
        <v>1000000000000</v>
      </c>
      <c r="AX257" s="182">
        <f ca="1">IF($D257&lt;&gt;"Serviço",0,IF(OR(AND(AUTOEVENTO="Manual",$M257=1),$M257&gt;(ROW(PLE.lastrow)-ROW(PLE.firstrow))),0,IF(OFFSET(PLE!$G$14,$M257,AX$13)="",10^12,OFFSET(PLE!$G$14,$M257,AX$13))))</f>
        <v>1000000000000</v>
      </c>
      <c r="AY257" s="182">
        <f ca="1">IF($D257&lt;&gt;"Serviço",0,IF(OR(AND(AUTOEVENTO="Manual",$M257=1),$M257&gt;(ROW(PLE.lastrow)-ROW(PLE.firstrow))),0,IF(OFFSET(PLE!$G$14,$M257,AY$13)="",10^12,OFFSET(PLE!$G$14,$M257,AY$13))))</f>
        <v>1000000000000</v>
      </c>
      <c r="AZ257" s="182">
        <f ca="1">IF($D257&lt;&gt;"Serviço",0,IF(OR(AND(AUTOEVENTO="Manual",$M257=1),$M257&gt;(ROW(PLE.lastrow)-ROW(PLE.firstrow))),0,IF(OFFSET(PLE!$G$14,$M257,AZ$13)="",10^12,OFFSET(PLE!$G$14,$M257,AZ$13))))</f>
        <v>1000000000000</v>
      </c>
      <c r="BA257" s="182">
        <f ca="1">IF($D257&lt;&gt;"Serviço",0,IF(OR(AND(AUTOEVENTO="Manual",$M257=1),$M257&gt;(ROW(PLE.lastrow)-ROW(PLE.firstrow))),0,IF(OFFSET(PLE!$G$14,$M257,BA$13)="",10^12,OFFSET(PLE!$G$14,$M257,BA$13))))</f>
        <v>1000000000000</v>
      </c>
      <c r="BB257" s="182">
        <f ca="1">IF($D257&lt;&gt;"Serviço",0,IF(OR(AND(AUTOEVENTO="Manual",$M257=1),$M257&gt;(ROW(PLE.lastrow)-ROW(PLE.firstrow))),0,IF(OFFSET(PLE!$G$14,$M257,BB$13)="",10^12,OFFSET(PLE!$G$14,$M257,BB$13))))</f>
        <v>1000000000000</v>
      </c>
      <c r="BC257" s="182">
        <f ca="1">IF($D257&lt;&gt;"Serviço",0,IF(OR(AND(AUTOEVENTO="Manual",$M257=1),$M257&gt;(ROW(PLE.lastrow)-ROW(PLE.firstrow))),0,IF(OFFSET(PLE!$G$14,$M257,BC$13)="",10^12,OFFSET(PLE!$G$14,$M257,BC$13))))</f>
        <v>1000000000000</v>
      </c>
      <c r="BD257" s="182">
        <f ca="1">IF($D257&lt;&gt;"Serviço",0,IF(OR(AND(AUTOEVENTO="Manual",$M257=1),$M257&gt;(ROW(PLE.lastrow)-ROW(PLE.firstrow))),0,IF(OFFSET(PLE!$G$14,$M257,BD$13)="",10^12,OFFSET(PLE!$G$14,$M257,BD$13))))</f>
        <v>1000000000000</v>
      </c>
      <c r="BE257" s="182">
        <f ca="1">IF($D257&lt;&gt;"Serviço",0,IF(OR(AND(AUTOEVENTO="Manual",$M257=1),$M257&gt;(ROW(PLE.lastrow)-ROW(PLE.firstrow))),0,IF(OFFSET(PLE!$G$14,$M257,BE$13)="",10^12,OFFSET(PLE!$G$14,$M257,BE$13))))</f>
        <v>1000000000000</v>
      </c>
      <c r="BF257" s="182">
        <f ca="1">IF($D257&lt;&gt;"Serviço",0,IF(OR(AND(AUTOEVENTO="Manual",$M257=1),$M257&gt;(ROW(PLE.lastrow)-ROW(PLE.firstrow))),0,IF(OFFSET(PLE!$G$14,$M257,BF$13)="",10^12,OFFSET(PLE!$G$14,$M257,BF$13))))</f>
        <v>1000000000000</v>
      </c>
      <c r="BG257" s="182">
        <f ca="1">IF($D257&lt;&gt;"Serviço",0,IF(OR(AND(AUTOEVENTO="Manual",$M257=1),$M257&gt;(ROW(PLE.lastrow)-ROW(PLE.firstrow))),0,IF(OFFSET(PLE!$G$14,$M257,BG$13)="",10^12,OFFSET(PLE!$G$14,$M257,BG$13))))</f>
        <v>1000000000000</v>
      </c>
    </row>
    <row r="258" spans="1:59" ht="12.75" x14ac:dyDescent="0.2">
      <c r="A258" s="7" t="str">
        <f t="shared" ca="1" si="11"/>
        <v>225</v>
      </c>
      <c r="B258" s="7">
        <f ca="1">OFFSET(ORÇAMENTO!C$15,ROW(B258)-ROW(B$15),0)</f>
        <v>3</v>
      </c>
      <c r="C258" s="7" t="str">
        <f ca="1">OFFSET(ORÇAMENTO!L$15,ROW(C258)-ROW(C$15),0)</f>
        <v>F</v>
      </c>
      <c r="D258" s="118" t="str">
        <f ca="1">OFFSET(ORÇAMENTO!N$15,ROW(D258)-ROW(D$15),0)</f>
        <v>Nível 3</v>
      </c>
      <c r="E258" s="119" t="str">
        <f ca="1">OFFSET(ORÇAMENTO!O$15,ROW(E258)-ROW(E$15),0)</f>
        <v>1.11.4.</v>
      </c>
      <c r="F258" s="172" t="str">
        <f ca="1">OFFSET(ORÇAMENTO!R$15,ROW(F258)-ROW(F$15),0)</f>
        <v>PISO PLAYGROUND</v>
      </c>
      <c r="G258" s="173" t="str">
        <f ca="1">IF($D258&lt;&gt;"Serviço","",OFFSET(ORÇAMENTO!S$15,ROW(G258)-ROW(G$15),0))</f>
        <v/>
      </c>
      <c r="H258" s="124">
        <f ca="1">IF($D258&lt;&gt;"Serviço",0,IF(ACOMPANHAMENTO="BM",ROUND(OFFSET(ORÇAMENTO!AJ$15,ROW(H258)-ROW(H$15),0),15-13*ORÇAMENTO!$AF$7),SUMPRODUCT(($Q$12:$AA$12&lt;&gt;"")*ROUND($Q258:$AA258,15-13*ORÇAMENTO!$AF$7))))</f>
        <v>0</v>
      </c>
      <c r="I258" s="561"/>
      <c r="K258" s="174"/>
      <c r="L258" s="175" t="s">
        <v>255</v>
      </c>
      <c r="M258" s="176" t="str">
        <f ca="1">IF($D258&lt;&gt;"Serviço","",IF(AUTOEVENTO="manual",$A258,IF(ISERROR(MATCH($A258,$A$15:OFFSET($A258,-1,0),0)),MAX($M$15:OFFSET(M258,-1,0))+1,INDEX($M$15:OFFSET(M258,-1,0),MATCH($A258,$A$15:OFFSET($A258,-1,0),0)))))</f>
        <v/>
      </c>
      <c r="N258" s="177" t="str">
        <f ca="1">IF($D258&lt;&gt;"Serviço","",IF(AUTOEVENTO="Manual",IF($A258=0,"&lt;-- defina o número do agrupador",OFFSET(EVENTOS!$D$14,$A258,0)),OFFSET($F$15,$A258,0)))</f>
        <v/>
      </c>
      <c r="O258" s="178"/>
      <c r="Q258" s="178"/>
      <c r="R258" s="179"/>
      <c r="S258" s="179"/>
      <c r="T258" s="179"/>
      <c r="U258" s="179"/>
      <c r="V258" s="179"/>
      <c r="W258" s="179"/>
      <c r="X258" s="179"/>
      <c r="Y258" s="179"/>
      <c r="Z258" s="180"/>
      <c r="AB258" s="544">
        <f ca="1">IF(AND($D258="Serviço",AB$12&lt;&gt;0,$H258&gt;0,OR(AUTOEVENTO&lt;&gt;"manual",$M258&lt;&gt;1)),
IF(Import.TipoArredondamento&lt;&gt;"TransfereGOV",
ROUND(OFFSET($P258,0,AB$13),15-13*ORÇAMENTO!$AF$7)/$H258*OFFSET(ORÇAMENTO!$X$15,ROW(AB258)-ROW(AB$15),0),
ROUND(ROUND(OFFSET($P258,0,AB$13),15-13*ORÇAMENTO!$AF$7)*OFFSET(ORÇAMENTO!$W$15,ROW(AB258)-ROW(AB$15),0),15-13*ORÇAMENTO!$AF$11)),0)</f>
        <v>0</v>
      </c>
      <c r="AC258" s="545">
        <f ca="1">IF(AND($D258="Serviço",AC$12&lt;&gt;0,$H258&gt;0,OR(AUTOEVENTO&lt;&gt;"manual",$M258&lt;&gt;1)),
IF(Import.TipoArredondamento&lt;&gt;"TransfereGOV",
ROUND(OFFSET($P258,0,AC$13),15-13*ORÇAMENTO!$AF$7)/$H258*OFFSET(ORÇAMENTO!$X$15,ROW(AC258)-ROW(AC$15),0),
ROUND(ROUND(OFFSET($P258,0,AC$13),15-13*ORÇAMENTO!$AF$7)*OFFSET(ORÇAMENTO!$W$15,ROW(AC258)-ROW(AC$15),0),15-13*ORÇAMENTO!$AF$11)),0)</f>
        <v>0</v>
      </c>
      <c r="AD258" s="545">
        <f ca="1">IF(AND($D258="Serviço",AD$12&lt;&gt;0,$H258&gt;0,OR(AUTOEVENTO&lt;&gt;"manual",$M258&lt;&gt;1)),
IF(Import.TipoArredondamento&lt;&gt;"TransfereGOV",
ROUND(OFFSET($P258,0,AD$13),15-13*ORÇAMENTO!$AF$7)/$H258*OFFSET(ORÇAMENTO!$X$15,ROW(AD258)-ROW(AD$15),0),
ROUND(ROUND(OFFSET($P258,0,AD$13),15-13*ORÇAMENTO!$AF$7)*OFFSET(ORÇAMENTO!$W$15,ROW(AD258)-ROW(AD$15),0),15-13*ORÇAMENTO!$AF$11)),0)</f>
        <v>0</v>
      </c>
      <c r="AE258" s="545">
        <f ca="1">IF(AND($D258="Serviço",AE$12&lt;&gt;0,$H258&gt;0,OR(AUTOEVENTO&lt;&gt;"manual",$M258&lt;&gt;1)),
IF(Import.TipoArredondamento&lt;&gt;"TransfereGOV",
ROUND(OFFSET($P258,0,AE$13),15-13*ORÇAMENTO!$AF$7)/$H258*OFFSET(ORÇAMENTO!$X$15,ROW(AE258)-ROW(AE$15),0),
ROUND(ROUND(OFFSET($P258,0,AE$13),15-13*ORÇAMENTO!$AF$7)*OFFSET(ORÇAMENTO!$W$15,ROW(AE258)-ROW(AE$15),0),15-13*ORÇAMENTO!$AF$11)),0)</f>
        <v>0</v>
      </c>
      <c r="AF258" s="545">
        <f ca="1">IF(AND($D258="Serviço",AF$12&lt;&gt;0,$H258&gt;0,OR(AUTOEVENTO&lt;&gt;"manual",$M258&lt;&gt;1)),
IF(Import.TipoArredondamento&lt;&gt;"TransfereGOV",
ROUND(OFFSET($P258,0,AF$13),15-13*ORÇAMENTO!$AF$7)/$H258*OFFSET(ORÇAMENTO!$X$15,ROW(AF258)-ROW(AF$15),0),
ROUND(ROUND(OFFSET($P258,0,AF$13),15-13*ORÇAMENTO!$AF$7)*OFFSET(ORÇAMENTO!$W$15,ROW(AF258)-ROW(AF$15),0),15-13*ORÇAMENTO!$AF$11)),0)</f>
        <v>0</v>
      </c>
      <c r="AG258" s="545">
        <f ca="1">IF(AND($D258="Serviço",AG$12&lt;&gt;0,$H258&gt;0,OR(AUTOEVENTO&lt;&gt;"manual",$M258&lt;&gt;1)),
IF(Import.TipoArredondamento&lt;&gt;"TransfereGOV",
ROUND(OFFSET($P258,0,AG$13),15-13*ORÇAMENTO!$AF$7)/$H258*OFFSET(ORÇAMENTO!$X$15,ROW(AG258)-ROW(AG$15),0),
ROUND(ROUND(OFFSET($P258,0,AG$13),15-13*ORÇAMENTO!$AF$7)*OFFSET(ORÇAMENTO!$W$15,ROW(AG258)-ROW(AG$15),0),15-13*ORÇAMENTO!$AF$11)),0)</f>
        <v>0</v>
      </c>
      <c r="AH258" s="545">
        <f ca="1">IF(AND($D258="Serviço",AH$12&lt;&gt;0,$H258&gt;0,OR(AUTOEVENTO&lt;&gt;"manual",$M258&lt;&gt;1)),
IF(Import.TipoArredondamento&lt;&gt;"TransfereGOV",
ROUND(OFFSET($P258,0,AH$13),15-13*ORÇAMENTO!$AF$7)/$H258*OFFSET(ORÇAMENTO!$X$15,ROW(AH258)-ROW(AH$15),0),
ROUND(ROUND(OFFSET($P258,0,AH$13),15-13*ORÇAMENTO!$AF$7)*OFFSET(ORÇAMENTO!$W$15,ROW(AH258)-ROW(AH$15),0),15-13*ORÇAMENTO!$AF$11)),0)</f>
        <v>0</v>
      </c>
      <c r="AI258" s="545">
        <f ca="1">IF(AND($D258="Serviço",AI$12&lt;&gt;0,$H258&gt;0,OR(AUTOEVENTO&lt;&gt;"manual",$M258&lt;&gt;1)),
IF(Import.TipoArredondamento&lt;&gt;"TransfereGOV",
ROUND(OFFSET($P258,0,AI$13),15-13*ORÇAMENTO!$AF$7)/$H258*OFFSET(ORÇAMENTO!$X$15,ROW(AI258)-ROW(AI$15),0),
ROUND(ROUND(OFFSET($P258,0,AI$13),15-13*ORÇAMENTO!$AF$7)*OFFSET(ORÇAMENTO!$W$15,ROW(AI258)-ROW(AI$15),0),15-13*ORÇAMENTO!$AF$11)),0)</f>
        <v>0</v>
      </c>
      <c r="AJ258" s="545">
        <f ca="1">IF(AND($D258="Serviço",AJ$12&lt;&gt;0,$H258&gt;0,OR(AUTOEVENTO&lt;&gt;"manual",$M258&lt;&gt;1)),
IF(Import.TipoArredondamento&lt;&gt;"TransfereGOV",
ROUND(OFFSET($P258,0,AJ$13),15-13*ORÇAMENTO!$AF$7)/$H258*OFFSET(ORÇAMENTO!$X$15,ROW(AJ258)-ROW(AJ$15),0),
ROUND(ROUND(OFFSET($P258,0,AJ$13),15-13*ORÇAMENTO!$AF$7)*OFFSET(ORÇAMENTO!$W$15,ROW(AJ258)-ROW(AJ$15),0),15-13*ORÇAMENTO!$AF$11)),0)</f>
        <v>0</v>
      </c>
      <c r="AK258" s="546">
        <f ca="1">IF(AND($D258="Serviço",AK$12&lt;&gt;0,$H258&gt;0,OR(AUTOEVENTO&lt;&gt;"manual",$M258&lt;&gt;1)),
IF(Import.TipoArredondamento&lt;&gt;"TransfereGOV",
ROUND(OFFSET($P258,0,AK$13),15-13*ORÇAMENTO!$AF$7)/$H258*OFFSET(ORÇAMENTO!$X$15,ROW(AK258)-ROW(AK$15),0),
ROUND(ROUND(OFFSET($P258,0,AK$13),15-13*ORÇAMENTO!$AF$7)*OFFSET(ORÇAMENTO!$W$15,ROW(AK258)-ROW(AK$15),0),15-13*ORÇAMENTO!$AF$11)),0)</f>
        <v>0</v>
      </c>
      <c r="AM258" s="181">
        <f ca="1">IF($D258&lt;&gt;"Serviço",0,IF(AND(AUTOEVENTO="Manual",$M258=1),0,IF(OFFSET(CRONOPLE!$F$14,$M258,AM$13)="",10^12,OFFSET(CRONOPLE!$F$14,$M258,AM$13))))</f>
        <v>0</v>
      </c>
      <c r="AN258" s="181">
        <f ca="1">IF($D258&lt;&gt;"Serviço",0,IF(AND(AUTOEVENTO="Manual",$M258=1),0,IF(OFFSET(CRONOPLE!$F$14,$M258,AN$13)="",10^12,OFFSET(CRONOPLE!$F$14,$M258,AN$13))))</f>
        <v>0</v>
      </c>
      <c r="AO258" s="181">
        <f ca="1">IF($D258&lt;&gt;"Serviço",0,IF(AND(AUTOEVENTO="Manual",$M258=1),0,IF(OFFSET(CRONOPLE!$F$14,$M258,AO$13)="",10^12,OFFSET(CRONOPLE!$F$14,$M258,AO$13))))</f>
        <v>0</v>
      </c>
      <c r="AP258" s="181">
        <f ca="1">IF($D258&lt;&gt;"Serviço",0,IF(AND(AUTOEVENTO="Manual",$M258=1),0,IF(OFFSET(CRONOPLE!$F$14,$M258,AP$13)="",10^12,OFFSET(CRONOPLE!$F$14,$M258,AP$13))))</f>
        <v>0</v>
      </c>
      <c r="AQ258" s="181">
        <f ca="1">IF($D258&lt;&gt;"Serviço",0,IF(AND(AUTOEVENTO="Manual",$M258=1),0,IF(OFFSET(CRONOPLE!$F$14,$M258,AQ$13)="",10^12,OFFSET(CRONOPLE!$F$14,$M258,AQ$13))))</f>
        <v>0</v>
      </c>
      <c r="AR258" s="181">
        <f ca="1">IF($D258&lt;&gt;"Serviço",0,IF(AND(AUTOEVENTO="Manual",$M258=1),0,IF(OFFSET(CRONOPLE!$F$14,$M258,AR$13)="",10^12,OFFSET(CRONOPLE!$F$14,$M258,AR$13))))</f>
        <v>0</v>
      </c>
      <c r="AS258" s="181">
        <f ca="1">IF($D258&lt;&gt;"Serviço",0,IF(AND(AUTOEVENTO="Manual",$M258=1),0,IF(OFFSET(CRONOPLE!$F$14,$M258,AS$13)="",10^12,OFFSET(CRONOPLE!$F$14,$M258,AS$13))))</f>
        <v>0</v>
      </c>
      <c r="AT258" s="181">
        <f ca="1">IF($D258&lt;&gt;"Serviço",0,IF(AND(AUTOEVENTO="Manual",$M258=1),0,IF(OFFSET(CRONOPLE!$F$14,$M258,AT$13)="",10^12,OFFSET(CRONOPLE!$F$14,$M258,AT$13))))</f>
        <v>0</v>
      </c>
      <c r="AU258" s="181">
        <f ca="1">IF($D258&lt;&gt;"Serviço",0,IF(AND(AUTOEVENTO="Manual",$M258=1),0,IF(OFFSET(CRONOPLE!$F$14,$M258,AU$13)="",10^12,OFFSET(CRONOPLE!$F$14,$M258,AU$13))))</f>
        <v>0</v>
      </c>
      <c r="AV258" s="181">
        <f ca="1">IF($D258&lt;&gt;"Serviço",0,IF(AND(AUTOEVENTO="Manual",$M258=1),0,IF(OFFSET(CRONOPLE!$F$14,$M258,AV$13)="",10^12,OFFSET(CRONOPLE!$F$14,$M258,AV$13))))</f>
        <v>0</v>
      </c>
      <c r="AX258" s="182">
        <f ca="1">IF($D258&lt;&gt;"Serviço",0,IF(OR(AND(AUTOEVENTO="Manual",$M258=1),$M258&gt;(ROW(PLE.lastrow)-ROW(PLE.firstrow))),0,IF(OFFSET(PLE!$G$14,$M258,AX$13)="",10^12,OFFSET(PLE!$G$14,$M258,AX$13))))</f>
        <v>0</v>
      </c>
      <c r="AY258" s="182">
        <f ca="1">IF($D258&lt;&gt;"Serviço",0,IF(OR(AND(AUTOEVENTO="Manual",$M258=1),$M258&gt;(ROW(PLE.lastrow)-ROW(PLE.firstrow))),0,IF(OFFSET(PLE!$G$14,$M258,AY$13)="",10^12,OFFSET(PLE!$G$14,$M258,AY$13))))</f>
        <v>0</v>
      </c>
      <c r="AZ258" s="182">
        <f ca="1">IF($D258&lt;&gt;"Serviço",0,IF(OR(AND(AUTOEVENTO="Manual",$M258=1),$M258&gt;(ROW(PLE.lastrow)-ROW(PLE.firstrow))),0,IF(OFFSET(PLE!$G$14,$M258,AZ$13)="",10^12,OFFSET(PLE!$G$14,$M258,AZ$13))))</f>
        <v>0</v>
      </c>
      <c r="BA258" s="182">
        <f ca="1">IF($D258&lt;&gt;"Serviço",0,IF(OR(AND(AUTOEVENTO="Manual",$M258=1),$M258&gt;(ROW(PLE.lastrow)-ROW(PLE.firstrow))),0,IF(OFFSET(PLE!$G$14,$M258,BA$13)="",10^12,OFFSET(PLE!$G$14,$M258,BA$13))))</f>
        <v>0</v>
      </c>
      <c r="BB258" s="182">
        <f ca="1">IF($D258&lt;&gt;"Serviço",0,IF(OR(AND(AUTOEVENTO="Manual",$M258=1),$M258&gt;(ROW(PLE.lastrow)-ROW(PLE.firstrow))),0,IF(OFFSET(PLE!$G$14,$M258,BB$13)="",10^12,OFFSET(PLE!$G$14,$M258,BB$13))))</f>
        <v>0</v>
      </c>
      <c r="BC258" s="182">
        <f ca="1">IF($D258&lt;&gt;"Serviço",0,IF(OR(AND(AUTOEVENTO="Manual",$M258=1),$M258&gt;(ROW(PLE.lastrow)-ROW(PLE.firstrow))),0,IF(OFFSET(PLE!$G$14,$M258,BC$13)="",10^12,OFFSET(PLE!$G$14,$M258,BC$13))))</f>
        <v>0</v>
      </c>
      <c r="BD258" s="182">
        <f ca="1">IF($D258&lt;&gt;"Serviço",0,IF(OR(AND(AUTOEVENTO="Manual",$M258=1),$M258&gt;(ROW(PLE.lastrow)-ROW(PLE.firstrow))),0,IF(OFFSET(PLE!$G$14,$M258,BD$13)="",10^12,OFFSET(PLE!$G$14,$M258,BD$13))))</f>
        <v>0</v>
      </c>
      <c r="BE258" s="182">
        <f ca="1">IF($D258&lt;&gt;"Serviço",0,IF(OR(AND(AUTOEVENTO="Manual",$M258=1),$M258&gt;(ROW(PLE.lastrow)-ROW(PLE.firstrow))),0,IF(OFFSET(PLE!$G$14,$M258,BE$13)="",10^12,OFFSET(PLE!$G$14,$M258,BE$13))))</f>
        <v>0</v>
      </c>
      <c r="BF258" s="182">
        <f ca="1">IF($D258&lt;&gt;"Serviço",0,IF(OR(AND(AUTOEVENTO="Manual",$M258=1),$M258&gt;(ROW(PLE.lastrow)-ROW(PLE.firstrow))),0,IF(OFFSET(PLE!$G$14,$M258,BF$13)="",10^12,OFFSET(PLE!$G$14,$M258,BF$13))))</f>
        <v>0</v>
      </c>
      <c r="BG258" s="182">
        <f ca="1">IF($D258&lt;&gt;"Serviço",0,IF(OR(AND(AUTOEVENTO="Manual",$M258=1),$M258&gt;(ROW(PLE.lastrow)-ROW(PLE.firstrow))),0,IF(OFFSET(PLE!$G$14,$M258,BG$13)="",10^12,OFFSET(PLE!$G$14,$M258,BG$13))))</f>
        <v>0</v>
      </c>
    </row>
    <row r="259" spans="1:59" ht="25.5" x14ac:dyDescent="0.2">
      <c r="A259" s="7" t="str">
        <f t="shared" ca="1" si="11"/>
        <v>225</v>
      </c>
      <c r="B259" s="7" t="str">
        <f ca="1">OFFSET(ORÇAMENTO!C$15,ROW(B259)-ROW(B$15),0)</f>
        <v>S</v>
      </c>
      <c r="C259" s="7" t="str">
        <f ca="1">OFFSET(ORÇAMENTO!L$15,ROW(C259)-ROW(C$15),0)</f>
        <v/>
      </c>
      <c r="D259" s="118" t="str">
        <f ca="1">OFFSET(ORÇAMENTO!N$15,ROW(D259)-ROW(D$15),0)</f>
        <v>Serviço</v>
      </c>
      <c r="E259" s="119" t="str">
        <f ca="1">OFFSET(ORÇAMENTO!O$15,ROW(E259)-ROW(E$15),0)</f>
        <v>-</v>
      </c>
      <c r="F259" s="172" t="str">
        <f ca="1">OFFSET(ORÇAMENTO!R$15,ROW(F259)-ROW(F$15),0)</f>
        <v>(abra o arquivo 'Referência 02-2025.xlsm)</v>
      </c>
      <c r="G259" s="173" t="str">
        <f ca="1">IF($D259&lt;&gt;"Serviço","",OFFSET(ORÇAMENTO!S$15,ROW(G259)-ROW(G$15),0))</f>
        <v>-</v>
      </c>
      <c r="H259" s="124">
        <f ca="1">IF($D259&lt;&gt;"Serviço",0,IF(ACOMPANHAMENTO="BM",ROUND(OFFSET(ORÇAMENTO!AJ$15,ROW(H259)-ROW(H$15),0),15-13*ORÇAMENTO!$AF$7),SUMPRODUCT(($Q$12:$AA$12&lt;&gt;"")*ROUND($Q259:$AA259,15-13*ORÇAMENTO!$AF$7))))</f>
        <v>3.96</v>
      </c>
      <c r="I259" s="561" t="s">
        <v>890</v>
      </c>
      <c r="K259" s="174"/>
      <c r="L259" s="175" t="s">
        <v>255</v>
      </c>
      <c r="M259" s="176">
        <f ca="1">IF($D259&lt;&gt;"Serviço","",IF(AUTOEVENTO="manual",$A259,IF(ISERROR(MATCH($A259,$A$15:OFFSET($A259,-1,0),0)),MAX($M$15:OFFSET(M259,-1,0))+1,INDEX($M$15:OFFSET(M259,-1,0),MATCH($A259,$A$15:OFFSET($A259,-1,0),0)))))</f>
        <v>12</v>
      </c>
      <c r="N259" s="177" t="str">
        <f ca="1">IF($D259&lt;&gt;"Serviço","",IF(AUTOEVENTO="Manual",IF($A259=0,"&lt;-- defina o número do agrupador",OFFSET(EVENTOS!$D$14,$A259,0)),OFFSET($F$15,$A259,0)))</f>
        <v>PINTURAS E ACABAMENTOS</v>
      </c>
      <c r="O259" s="178"/>
      <c r="Q259" s="178"/>
      <c r="R259" s="179"/>
      <c r="S259" s="179"/>
      <c r="T259" s="179"/>
      <c r="U259" s="179"/>
      <c r="V259" s="179"/>
      <c r="W259" s="179"/>
      <c r="X259" s="179"/>
      <c r="Y259" s="179"/>
      <c r="Z259" s="180"/>
      <c r="AB259" s="544">
        <f ca="1">IF(AND($D259="Serviço",AB$12&lt;&gt;0,$H259&gt;0,OR(AUTOEVENTO&lt;&gt;"manual",$M259&lt;&gt;1)),
IF(Import.TipoArredondamento&lt;&gt;"TransfereGOV",
ROUND(OFFSET($P259,0,AB$13),15-13*ORÇAMENTO!$AF$7)/$H259*OFFSET(ORÇAMENTO!$X$15,ROW(AB259)-ROW(AB$15),0),
ROUND(ROUND(OFFSET($P259,0,AB$13),15-13*ORÇAMENTO!$AF$7)*OFFSET(ORÇAMENTO!$W$15,ROW(AB259)-ROW(AB$15),0),15-13*ORÇAMENTO!$AF$11)),0)</f>
        <v>0</v>
      </c>
      <c r="AC259" s="545">
        <f ca="1">IF(AND($D259="Serviço",AC$12&lt;&gt;0,$H259&gt;0,OR(AUTOEVENTO&lt;&gt;"manual",$M259&lt;&gt;1)),
IF(Import.TipoArredondamento&lt;&gt;"TransfereGOV",
ROUND(OFFSET($P259,0,AC$13),15-13*ORÇAMENTO!$AF$7)/$H259*OFFSET(ORÇAMENTO!$X$15,ROW(AC259)-ROW(AC$15),0),
ROUND(ROUND(OFFSET($P259,0,AC$13),15-13*ORÇAMENTO!$AF$7)*OFFSET(ORÇAMENTO!$W$15,ROW(AC259)-ROW(AC$15),0),15-13*ORÇAMENTO!$AF$11)),0)</f>
        <v>0</v>
      </c>
      <c r="AD259" s="545">
        <f ca="1">IF(AND($D259="Serviço",AD$12&lt;&gt;0,$H259&gt;0,OR(AUTOEVENTO&lt;&gt;"manual",$M259&lt;&gt;1)),
IF(Import.TipoArredondamento&lt;&gt;"TransfereGOV",
ROUND(OFFSET($P259,0,AD$13),15-13*ORÇAMENTO!$AF$7)/$H259*OFFSET(ORÇAMENTO!$X$15,ROW(AD259)-ROW(AD$15),0),
ROUND(ROUND(OFFSET($P259,0,AD$13),15-13*ORÇAMENTO!$AF$7)*OFFSET(ORÇAMENTO!$W$15,ROW(AD259)-ROW(AD$15),0),15-13*ORÇAMENTO!$AF$11)),0)</f>
        <v>0</v>
      </c>
      <c r="AE259" s="545">
        <f ca="1">IF(AND($D259="Serviço",AE$12&lt;&gt;0,$H259&gt;0,OR(AUTOEVENTO&lt;&gt;"manual",$M259&lt;&gt;1)),
IF(Import.TipoArredondamento&lt;&gt;"TransfereGOV",
ROUND(OFFSET($P259,0,AE$13),15-13*ORÇAMENTO!$AF$7)/$H259*OFFSET(ORÇAMENTO!$X$15,ROW(AE259)-ROW(AE$15),0),
ROUND(ROUND(OFFSET($P259,0,AE$13),15-13*ORÇAMENTO!$AF$7)*OFFSET(ORÇAMENTO!$W$15,ROW(AE259)-ROW(AE$15),0),15-13*ORÇAMENTO!$AF$11)),0)</f>
        <v>0</v>
      </c>
      <c r="AF259" s="545">
        <f ca="1">IF(AND($D259="Serviço",AF$12&lt;&gt;0,$H259&gt;0,OR(AUTOEVENTO&lt;&gt;"manual",$M259&lt;&gt;1)),
IF(Import.TipoArredondamento&lt;&gt;"TransfereGOV",
ROUND(OFFSET($P259,0,AF$13),15-13*ORÇAMENTO!$AF$7)/$H259*OFFSET(ORÇAMENTO!$X$15,ROW(AF259)-ROW(AF$15),0),
ROUND(ROUND(OFFSET($P259,0,AF$13),15-13*ORÇAMENTO!$AF$7)*OFFSET(ORÇAMENTO!$W$15,ROW(AF259)-ROW(AF$15),0),15-13*ORÇAMENTO!$AF$11)),0)</f>
        <v>0</v>
      </c>
      <c r="AG259" s="545">
        <f ca="1">IF(AND($D259="Serviço",AG$12&lt;&gt;0,$H259&gt;0,OR(AUTOEVENTO&lt;&gt;"manual",$M259&lt;&gt;1)),
IF(Import.TipoArredondamento&lt;&gt;"TransfereGOV",
ROUND(OFFSET($P259,0,AG$13),15-13*ORÇAMENTO!$AF$7)/$H259*OFFSET(ORÇAMENTO!$X$15,ROW(AG259)-ROW(AG$15),0),
ROUND(ROUND(OFFSET($P259,0,AG$13),15-13*ORÇAMENTO!$AF$7)*OFFSET(ORÇAMENTO!$W$15,ROW(AG259)-ROW(AG$15),0),15-13*ORÇAMENTO!$AF$11)),0)</f>
        <v>0</v>
      </c>
      <c r="AH259" s="545">
        <f ca="1">IF(AND($D259="Serviço",AH$12&lt;&gt;0,$H259&gt;0,OR(AUTOEVENTO&lt;&gt;"manual",$M259&lt;&gt;1)),
IF(Import.TipoArredondamento&lt;&gt;"TransfereGOV",
ROUND(OFFSET($P259,0,AH$13),15-13*ORÇAMENTO!$AF$7)/$H259*OFFSET(ORÇAMENTO!$X$15,ROW(AH259)-ROW(AH$15),0),
ROUND(ROUND(OFFSET($P259,0,AH$13),15-13*ORÇAMENTO!$AF$7)*OFFSET(ORÇAMENTO!$W$15,ROW(AH259)-ROW(AH$15),0),15-13*ORÇAMENTO!$AF$11)),0)</f>
        <v>0</v>
      </c>
      <c r="AI259" s="545">
        <f ca="1">IF(AND($D259="Serviço",AI$12&lt;&gt;0,$H259&gt;0,OR(AUTOEVENTO&lt;&gt;"manual",$M259&lt;&gt;1)),
IF(Import.TipoArredondamento&lt;&gt;"TransfereGOV",
ROUND(OFFSET($P259,0,AI$13),15-13*ORÇAMENTO!$AF$7)/$H259*OFFSET(ORÇAMENTO!$X$15,ROW(AI259)-ROW(AI$15),0),
ROUND(ROUND(OFFSET($P259,0,AI$13),15-13*ORÇAMENTO!$AF$7)*OFFSET(ORÇAMENTO!$W$15,ROW(AI259)-ROW(AI$15),0),15-13*ORÇAMENTO!$AF$11)),0)</f>
        <v>0</v>
      </c>
      <c r="AJ259" s="545">
        <f ca="1">IF(AND($D259="Serviço",AJ$12&lt;&gt;0,$H259&gt;0,OR(AUTOEVENTO&lt;&gt;"manual",$M259&lt;&gt;1)),
IF(Import.TipoArredondamento&lt;&gt;"TransfereGOV",
ROUND(OFFSET($P259,0,AJ$13),15-13*ORÇAMENTO!$AF$7)/$H259*OFFSET(ORÇAMENTO!$X$15,ROW(AJ259)-ROW(AJ$15),0),
ROUND(ROUND(OFFSET($P259,0,AJ$13),15-13*ORÇAMENTO!$AF$7)*OFFSET(ORÇAMENTO!$W$15,ROW(AJ259)-ROW(AJ$15),0),15-13*ORÇAMENTO!$AF$11)),0)</f>
        <v>0</v>
      </c>
      <c r="AK259" s="546">
        <f ca="1">IF(AND($D259="Serviço",AK$12&lt;&gt;0,$H259&gt;0,OR(AUTOEVENTO&lt;&gt;"manual",$M259&lt;&gt;1)),
IF(Import.TipoArredondamento&lt;&gt;"TransfereGOV",
ROUND(OFFSET($P259,0,AK$13),15-13*ORÇAMENTO!$AF$7)/$H259*OFFSET(ORÇAMENTO!$X$15,ROW(AK259)-ROW(AK$15),0),
ROUND(ROUND(OFFSET($P259,0,AK$13),15-13*ORÇAMENTO!$AF$7)*OFFSET(ORÇAMENTO!$W$15,ROW(AK259)-ROW(AK$15),0),15-13*ORÇAMENTO!$AF$11)),0)</f>
        <v>0</v>
      </c>
      <c r="AM259" s="181">
        <f ca="1">IF($D259&lt;&gt;"Serviço",0,IF(AND(AUTOEVENTO="Manual",$M259=1),0,IF(OFFSET(CRONOPLE!$F$14,$M259,AM$13)="",10^12,OFFSET(CRONOPLE!$F$14,$M259,AM$13))))</f>
        <v>1000000000000</v>
      </c>
      <c r="AN259" s="181">
        <f ca="1">IF($D259&lt;&gt;"Serviço",0,IF(AND(AUTOEVENTO="Manual",$M259=1),0,IF(OFFSET(CRONOPLE!$F$14,$M259,AN$13)="",10^12,OFFSET(CRONOPLE!$F$14,$M259,AN$13))))</f>
        <v>1000000000000</v>
      </c>
      <c r="AO259" s="181">
        <f ca="1">IF($D259&lt;&gt;"Serviço",0,IF(AND(AUTOEVENTO="Manual",$M259=1),0,IF(OFFSET(CRONOPLE!$F$14,$M259,AO$13)="",10^12,OFFSET(CRONOPLE!$F$14,$M259,AO$13))))</f>
        <v>1000000000000</v>
      </c>
      <c r="AP259" s="181">
        <f ca="1">IF($D259&lt;&gt;"Serviço",0,IF(AND(AUTOEVENTO="Manual",$M259=1),0,IF(OFFSET(CRONOPLE!$F$14,$M259,AP$13)="",10^12,OFFSET(CRONOPLE!$F$14,$M259,AP$13))))</f>
        <v>1000000000000</v>
      </c>
      <c r="AQ259" s="181">
        <f ca="1">IF($D259&lt;&gt;"Serviço",0,IF(AND(AUTOEVENTO="Manual",$M259=1),0,IF(OFFSET(CRONOPLE!$F$14,$M259,AQ$13)="",10^12,OFFSET(CRONOPLE!$F$14,$M259,AQ$13))))</f>
        <v>1000000000000</v>
      </c>
      <c r="AR259" s="181">
        <f ca="1">IF($D259&lt;&gt;"Serviço",0,IF(AND(AUTOEVENTO="Manual",$M259=1),0,IF(OFFSET(CRONOPLE!$F$14,$M259,AR$13)="",10^12,OFFSET(CRONOPLE!$F$14,$M259,AR$13))))</f>
        <v>1000000000000</v>
      </c>
      <c r="AS259" s="181">
        <f ca="1">IF($D259&lt;&gt;"Serviço",0,IF(AND(AUTOEVENTO="Manual",$M259=1),0,IF(OFFSET(CRONOPLE!$F$14,$M259,AS$13)="",10^12,OFFSET(CRONOPLE!$F$14,$M259,AS$13))))</f>
        <v>1000000000000</v>
      </c>
      <c r="AT259" s="181">
        <f ca="1">IF($D259&lt;&gt;"Serviço",0,IF(AND(AUTOEVENTO="Manual",$M259=1),0,IF(OFFSET(CRONOPLE!$F$14,$M259,AT$13)="",10^12,OFFSET(CRONOPLE!$F$14,$M259,AT$13))))</f>
        <v>1000000000000</v>
      </c>
      <c r="AU259" s="181">
        <f ca="1">IF($D259&lt;&gt;"Serviço",0,IF(AND(AUTOEVENTO="Manual",$M259=1),0,IF(OFFSET(CRONOPLE!$F$14,$M259,AU$13)="",10^12,OFFSET(CRONOPLE!$F$14,$M259,AU$13))))</f>
        <v>1000000000000</v>
      </c>
      <c r="AV259" s="181">
        <f ca="1">IF($D259&lt;&gt;"Serviço",0,IF(AND(AUTOEVENTO="Manual",$M259=1),0,IF(OFFSET(CRONOPLE!$F$14,$M259,AV$13)="",10^12,OFFSET(CRONOPLE!$F$14,$M259,AV$13))))</f>
        <v>1000000000000</v>
      </c>
      <c r="AX259" s="182">
        <f ca="1">IF($D259&lt;&gt;"Serviço",0,IF(OR(AND(AUTOEVENTO="Manual",$M259=1),$M259&gt;(ROW(PLE.lastrow)-ROW(PLE.firstrow))),0,IF(OFFSET(PLE!$G$14,$M259,AX$13)="",10^12,OFFSET(PLE!$G$14,$M259,AX$13))))</f>
        <v>1000000000000</v>
      </c>
      <c r="AY259" s="182">
        <f ca="1">IF($D259&lt;&gt;"Serviço",0,IF(OR(AND(AUTOEVENTO="Manual",$M259=1),$M259&gt;(ROW(PLE.lastrow)-ROW(PLE.firstrow))),0,IF(OFFSET(PLE!$G$14,$M259,AY$13)="",10^12,OFFSET(PLE!$G$14,$M259,AY$13))))</f>
        <v>1000000000000</v>
      </c>
      <c r="AZ259" s="182">
        <f ca="1">IF($D259&lt;&gt;"Serviço",0,IF(OR(AND(AUTOEVENTO="Manual",$M259=1),$M259&gt;(ROW(PLE.lastrow)-ROW(PLE.firstrow))),0,IF(OFFSET(PLE!$G$14,$M259,AZ$13)="",10^12,OFFSET(PLE!$G$14,$M259,AZ$13))))</f>
        <v>1000000000000</v>
      </c>
      <c r="BA259" s="182">
        <f ca="1">IF($D259&lt;&gt;"Serviço",0,IF(OR(AND(AUTOEVENTO="Manual",$M259=1),$M259&gt;(ROW(PLE.lastrow)-ROW(PLE.firstrow))),0,IF(OFFSET(PLE!$G$14,$M259,BA$13)="",10^12,OFFSET(PLE!$G$14,$M259,BA$13))))</f>
        <v>1000000000000</v>
      </c>
      <c r="BB259" s="182">
        <f ca="1">IF($D259&lt;&gt;"Serviço",0,IF(OR(AND(AUTOEVENTO="Manual",$M259=1),$M259&gt;(ROW(PLE.lastrow)-ROW(PLE.firstrow))),0,IF(OFFSET(PLE!$G$14,$M259,BB$13)="",10^12,OFFSET(PLE!$G$14,$M259,BB$13))))</f>
        <v>1000000000000</v>
      </c>
      <c r="BC259" s="182">
        <f ca="1">IF($D259&lt;&gt;"Serviço",0,IF(OR(AND(AUTOEVENTO="Manual",$M259=1),$M259&gt;(ROW(PLE.lastrow)-ROW(PLE.firstrow))),0,IF(OFFSET(PLE!$G$14,$M259,BC$13)="",10^12,OFFSET(PLE!$G$14,$M259,BC$13))))</f>
        <v>1000000000000</v>
      </c>
      <c r="BD259" s="182">
        <f ca="1">IF($D259&lt;&gt;"Serviço",0,IF(OR(AND(AUTOEVENTO="Manual",$M259=1),$M259&gt;(ROW(PLE.lastrow)-ROW(PLE.firstrow))),0,IF(OFFSET(PLE!$G$14,$M259,BD$13)="",10^12,OFFSET(PLE!$G$14,$M259,BD$13))))</f>
        <v>1000000000000</v>
      </c>
      <c r="BE259" s="182">
        <f ca="1">IF($D259&lt;&gt;"Serviço",0,IF(OR(AND(AUTOEVENTO="Manual",$M259=1),$M259&gt;(ROW(PLE.lastrow)-ROW(PLE.firstrow))),0,IF(OFFSET(PLE!$G$14,$M259,BE$13)="",10^12,OFFSET(PLE!$G$14,$M259,BE$13))))</f>
        <v>1000000000000</v>
      </c>
      <c r="BF259" s="182">
        <f ca="1">IF($D259&lt;&gt;"Serviço",0,IF(OR(AND(AUTOEVENTO="Manual",$M259=1),$M259&gt;(ROW(PLE.lastrow)-ROW(PLE.firstrow))),0,IF(OFFSET(PLE!$G$14,$M259,BF$13)="",10^12,OFFSET(PLE!$G$14,$M259,BF$13))))</f>
        <v>1000000000000</v>
      </c>
      <c r="BG259" s="182">
        <f ca="1">IF($D259&lt;&gt;"Serviço",0,IF(OR(AND(AUTOEVENTO="Manual",$M259=1),$M259&gt;(ROW(PLE.lastrow)-ROW(PLE.firstrow))),0,IF(OFFSET(PLE!$G$14,$M259,BG$13)="",10^12,OFFSET(PLE!$G$14,$M259,BG$13))))</f>
        <v>1000000000000</v>
      </c>
    </row>
    <row r="260" spans="1:59" ht="25.5" x14ac:dyDescent="0.2">
      <c r="A260" s="7" t="str">
        <f t="shared" ca="1" si="11"/>
        <v>225</v>
      </c>
      <c r="B260" s="7" t="str">
        <f ca="1">OFFSET(ORÇAMENTO!C$15,ROW(B260)-ROW(B$15),0)</f>
        <v>S</v>
      </c>
      <c r="C260" s="7" t="str">
        <f ca="1">OFFSET(ORÇAMENTO!L$15,ROW(C260)-ROW(C$15),0)</f>
        <v/>
      </c>
      <c r="D260" s="118" t="str">
        <f ca="1">OFFSET(ORÇAMENTO!N$15,ROW(D260)-ROW(D$15),0)</f>
        <v>Serviço</v>
      </c>
      <c r="E260" s="119" t="str">
        <f ca="1">OFFSET(ORÇAMENTO!O$15,ROW(E260)-ROW(E$15),0)</f>
        <v>-</v>
      </c>
      <c r="F260" s="172" t="str">
        <f ca="1">OFFSET(ORÇAMENTO!R$15,ROW(F260)-ROW(F$15),0)</f>
        <v>(abra o arquivo 'Referência 02-2025.xlsm)</v>
      </c>
      <c r="G260" s="173" t="str">
        <f ca="1">IF($D260&lt;&gt;"Serviço","",OFFSET(ORÇAMENTO!S$15,ROW(G260)-ROW(G$15),0))</f>
        <v>-</v>
      </c>
      <c r="H260" s="124">
        <f ca="1">IF($D260&lt;&gt;"Serviço",0,IF(ACOMPANHAMENTO="BM",ROUND(OFFSET(ORÇAMENTO!AJ$15,ROW(H260)-ROW(H$15),0),15-13*ORÇAMENTO!$AF$7),SUMPRODUCT(($Q$12:$AA$12&lt;&gt;"")*ROUND($Q260:$AA260,15-13*ORÇAMENTO!$AF$7))))</f>
        <v>3.23</v>
      </c>
      <c r="I260" s="561" t="s">
        <v>890</v>
      </c>
      <c r="K260" s="174"/>
      <c r="L260" s="175" t="s">
        <v>255</v>
      </c>
      <c r="M260" s="176">
        <f ca="1">IF($D260&lt;&gt;"Serviço","",IF(AUTOEVENTO="manual",$A260,IF(ISERROR(MATCH($A260,$A$15:OFFSET($A260,-1,0),0)),MAX($M$15:OFFSET(M260,-1,0))+1,INDEX($M$15:OFFSET(M260,-1,0),MATCH($A260,$A$15:OFFSET($A260,-1,0),0)))))</f>
        <v>12</v>
      </c>
      <c r="N260" s="177" t="str">
        <f ca="1">IF($D260&lt;&gt;"Serviço","",IF(AUTOEVENTO="Manual",IF($A260=0,"&lt;-- defina o número do agrupador",OFFSET(EVENTOS!$D$14,$A260,0)),OFFSET($F$15,$A260,0)))</f>
        <v>PINTURAS E ACABAMENTOS</v>
      </c>
      <c r="O260" s="178"/>
      <c r="Q260" s="178"/>
      <c r="R260" s="179"/>
      <c r="S260" s="179"/>
      <c r="T260" s="179"/>
      <c r="U260" s="179"/>
      <c r="V260" s="179"/>
      <c r="W260" s="179"/>
      <c r="X260" s="179"/>
      <c r="Y260" s="179"/>
      <c r="Z260" s="180"/>
      <c r="AB260" s="544">
        <f ca="1">IF(AND($D260="Serviço",AB$12&lt;&gt;0,$H260&gt;0,OR(AUTOEVENTO&lt;&gt;"manual",$M260&lt;&gt;1)),
IF(Import.TipoArredondamento&lt;&gt;"TransfereGOV",
ROUND(OFFSET($P260,0,AB$13),15-13*ORÇAMENTO!$AF$7)/$H260*OFFSET(ORÇAMENTO!$X$15,ROW(AB260)-ROW(AB$15),0),
ROUND(ROUND(OFFSET($P260,0,AB$13),15-13*ORÇAMENTO!$AF$7)*OFFSET(ORÇAMENTO!$W$15,ROW(AB260)-ROW(AB$15),0),15-13*ORÇAMENTO!$AF$11)),0)</f>
        <v>0</v>
      </c>
      <c r="AC260" s="545">
        <f ca="1">IF(AND($D260="Serviço",AC$12&lt;&gt;0,$H260&gt;0,OR(AUTOEVENTO&lt;&gt;"manual",$M260&lt;&gt;1)),
IF(Import.TipoArredondamento&lt;&gt;"TransfereGOV",
ROUND(OFFSET($P260,0,AC$13),15-13*ORÇAMENTO!$AF$7)/$H260*OFFSET(ORÇAMENTO!$X$15,ROW(AC260)-ROW(AC$15),0),
ROUND(ROUND(OFFSET($P260,0,AC$13),15-13*ORÇAMENTO!$AF$7)*OFFSET(ORÇAMENTO!$W$15,ROW(AC260)-ROW(AC$15),0),15-13*ORÇAMENTO!$AF$11)),0)</f>
        <v>0</v>
      </c>
      <c r="AD260" s="545">
        <f ca="1">IF(AND($D260="Serviço",AD$12&lt;&gt;0,$H260&gt;0,OR(AUTOEVENTO&lt;&gt;"manual",$M260&lt;&gt;1)),
IF(Import.TipoArredondamento&lt;&gt;"TransfereGOV",
ROUND(OFFSET($P260,0,AD$13),15-13*ORÇAMENTO!$AF$7)/$H260*OFFSET(ORÇAMENTO!$X$15,ROW(AD260)-ROW(AD$15),0),
ROUND(ROUND(OFFSET($P260,0,AD$13),15-13*ORÇAMENTO!$AF$7)*OFFSET(ORÇAMENTO!$W$15,ROW(AD260)-ROW(AD$15),0),15-13*ORÇAMENTO!$AF$11)),0)</f>
        <v>0</v>
      </c>
      <c r="AE260" s="545">
        <f ca="1">IF(AND($D260="Serviço",AE$12&lt;&gt;0,$H260&gt;0,OR(AUTOEVENTO&lt;&gt;"manual",$M260&lt;&gt;1)),
IF(Import.TipoArredondamento&lt;&gt;"TransfereGOV",
ROUND(OFFSET($P260,0,AE$13),15-13*ORÇAMENTO!$AF$7)/$H260*OFFSET(ORÇAMENTO!$X$15,ROW(AE260)-ROW(AE$15),0),
ROUND(ROUND(OFFSET($P260,0,AE$13),15-13*ORÇAMENTO!$AF$7)*OFFSET(ORÇAMENTO!$W$15,ROW(AE260)-ROW(AE$15),0),15-13*ORÇAMENTO!$AF$11)),0)</f>
        <v>0</v>
      </c>
      <c r="AF260" s="545">
        <f ca="1">IF(AND($D260="Serviço",AF$12&lt;&gt;0,$H260&gt;0,OR(AUTOEVENTO&lt;&gt;"manual",$M260&lt;&gt;1)),
IF(Import.TipoArredondamento&lt;&gt;"TransfereGOV",
ROUND(OFFSET($P260,0,AF$13),15-13*ORÇAMENTO!$AF$7)/$H260*OFFSET(ORÇAMENTO!$X$15,ROW(AF260)-ROW(AF$15),0),
ROUND(ROUND(OFFSET($P260,0,AF$13),15-13*ORÇAMENTO!$AF$7)*OFFSET(ORÇAMENTO!$W$15,ROW(AF260)-ROW(AF$15),0),15-13*ORÇAMENTO!$AF$11)),0)</f>
        <v>0</v>
      </c>
      <c r="AG260" s="545">
        <f ca="1">IF(AND($D260="Serviço",AG$12&lt;&gt;0,$H260&gt;0,OR(AUTOEVENTO&lt;&gt;"manual",$M260&lt;&gt;1)),
IF(Import.TipoArredondamento&lt;&gt;"TransfereGOV",
ROUND(OFFSET($P260,0,AG$13),15-13*ORÇAMENTO!$AF$7)/$H260*OFFSET(ORÇAMENTO!$X$15,ROW(AG260)-ROW(AG$15),0),
ROUND(ROUND(OFFSET($P260,0,AG$13),15-13*ORÇAMENTO!$AF$7)*OFFSET(ORÇAMENTO!$W$15,ROW(AG260)-ROW(AG$15),0),15-13*ORÇAMENTO!$AF$11)),0)</f>
        <v>0</v>
      </c>
      <c r="AH260" s="545">
        <f ca="1">IF(AND($D260="Serviço",AH$12&lt;&gt;0,$H260&gt;0,OR(AUTOEVENTO&lt;&gt;"manual",$M260&lt;&gt;1)),
IF(Import.TipoArredondamento&lt;&gt;"TransfereGOV",
ROUND(OFFSET($P260,0,AH$13),15-13*ORÇAMENTO!$AF$7)/$H260*OFFSET(ORÇAMENTO!$X$15,ROW(AH260)-ROW(AH$15),0),
ROUND(ROUND(OFFSET($P260,0,AH$13),15-13*ORÇAMENTO!$AF$7)*OFFSET(ORÇAMENTO!$W$15,ROW(AH260)-ROW(AH$15),0),15-13*ORÇAMENTO!$AF$11)),0)</f>
        <v>0</v>
      </c>
      <c r="AI260" s="545">
        <f ca="1">IF(AND($D260="Serviço",AI$12&lt;&gt;0,$H260&gt;0,OR(AUTOEVENTO&lt;&gt;"manual",$M260&lt;&gt;1)),
IF(Import.TipoArredondamento&lt;&gt;"TransfereGOV",
ROUND(OFFSET($P260,0,AI$13),15-13*ORÇAMENTO!$AF$7)/$H260*OFFSET(ORÇAMENTO!$X$15,ROW(AI260)-ROW(AI$15),0),
ROUND(ROUND(OFFSET($P260,0,AI$13),15-13*ORÇAMENTO!$AF$7)*OFFSET(ORÇAMENTO!$W$15,ROW(AI260)-ROW(AI$15),0),15-13*ORÇAMENTO!$AF$11)),0)</f>
        <v>0</v>
      </c>
      <c r="AJ260" s="545">
        <f ca="1">IF(AND($D260="Serviço",AJ$12&lt;&gt;0,$H260&gt;0,OR(AUTOEVENTO&lt;&gt;"manual",$M260&lt;&gt;1)),
IF(Import.TipoArredondamento&lt;&gt;"TransfereGOV",
ROUND(OFFSET($P260,0,AJ$13),15-13*ORÇAMENTO!$AF$7)/$H260*OFFSET(ORÇAMENTO!$X$15,ROW(AJ260)-ROW(AJ$15),0),
ROUND(ROUND(OFFSET($P260,0,AJ$13),15-13*ORÇAMENTO!$AF$7)*OFFSET(ORÇAMENTO!$W$15,ROW(AJ260)-ROW(AJ$15),0),15-13*ORÇAMENTO!$AF$11)),0)</f>
        <v>0</v>
      </c>
      <c r="AK260" s="546">
        <f ca="1">IF(AND($D260="Serviço",AK$12&lt;&gt;0,$H260&gt;0,OR(AUTOEVENTO&lt;&gt;"manual",$M260&lt;&gt;1)),
IF(Import.TipoArredondamento&lt;&gt;"TransfereGOV",
ROUND(OFFSET($P260,0,AK$13),15-13*ORÇAMENTO!$AF$7)/$H260*OFFSET(ORÇAMENTO!$X$15,ROW(AK260)-ROW(AK$15),0),
ROUND(ROUND(OFFSET($P260,0,AK$13),15-13*ORÇAMENTO!$AF$7)*OFFSET(ORÇAMENTO!$W$15,ROW(AK260)-ROW(AK$15),0),15-13*ORÇAMENTO!$AF$11)),0)</f>
        <v>0</v>
      </c>
      <c r="AM260" s="181">
        <f ca="1">IF($D260&lt;&gt;"Serviço",0,IF(AND(AUTOEVENTO="Manual",$M260=1),0,IF(OFFSET(CRONOPLE!$F$14,$M260,AM$13)="",10^12,OFFSET(CRONOPLE!$F$14,$M260,AM$13))))</f>
        <v>1000000000000</v>
      </c>
      <c r="AN260" s="181">
        <f ca="1">IF($D260&lt;&gt;"Serviço",0,IF(AND(AUTOEVENTO="Manual",$M260=1),0,IF(OFFSET(CRONOPLE!$F$14,$M260,AN$13)="",10^12,OFFSET(CRONOPLE!$F$14,$M260,AN$13))))</f>
        <v>1000000000000</v>
      </c>
      <c r="AO260" s="181">
        <f ca="1">IF($D260&lt;&gt;"Serviço",0,IF(AND(AUTOEVENTO="Manual",$M260=1),0,IF(OFFSET(CRONOPLE!$F$14,$M260,AO$13)="",10^12,OFFSET(CRONOPLE!$F$14,$M260,AO$13))))</f>
        <v>1000000000000</v>
      </c>
      <c r="AP260" s="181">
        <f ca="1">IF($D260&lt;&gt;"Serviço",0,IF(AND(AUTOEVENTO="Manual",$M260=1),0,IF(OFFSET(CRONOPLE!$F$14,$M260,AP$13)="",10^12,OFFSET(CRONOPLE!$F$14,$M260,AP$13))))</f>
        <v>1000000000000</v>
      </c>
      <c r="AQ260" s="181">
        <f ca="1">IF($D260&lt;&gt;"Serviço",0,IF(AND(AUTOEVENTO="Manual",$M260=1),0,IF(OFFSET(CRONOPLE!$F$14,$M260,AQ$13)="",10^12,OFFSET(CRONOPLE!$F$14,$M260,AQ$13))))</f>
        <v>1000000000000</v>
      </c>
      <c r="AR260" s="181">
        <f ca="1">IF($D260&lt;&gt;"Serviço",0,IF(AND(AUTOEVENTO="Manual",$M260=1),0,IF(OFFSET(CRONOPLE!$F$14,$M260,AR$13)="",10^12,OFFSET(CRONOPLE!$F$14,$M260,AR$13))))</f>
        <v>1000000000000</v>
      </c>
      <c r="AS260" s="181">
        <f ca="1">IF($D260&lt;&gt;"Serviço",0,IF(AND(AUTOEVENTO="Manual",$M260=1),0,IF(OFFSET(CRONOPLE!$F$14,$M260,AS$13)="",10^12,OFFSET(CRONOPLE!$F$14,$M260,AS$13))))</f>
        <v>1000000000000</v>
      </c>
      <c r="AT260" s="181">
        <f ca="1">IF($D260&lt;&gt;"Serviço",0,IF(AND(AUTOEVENTO="Manual",$M260=1),0,IF(OFFSET(CRONOPLE!$F$14,$M260,AT$13)="",10^12,OFFSET(CRONOPLE!$F$14,$M260,AT$13))))</f>
        <v>1000000000000</v>
      </c>
      <c r="AU260" s="181">
        <f ca="1">IF($D260&lt;&gt;"Serviço",0,IF(AND(AUTOEVENTO="Manual",$M260=1),0,IF(OFFSET(CRONOPLE!$F$14,$M260,AU$13)="",10^12,OFFSET(CRONOPLE!$F$14,$M260,AU$13))))</f>
        <v>1000000000000</v>
      </c>
      <c r="AV260" s="181">
        <f ca="1">IF($D260&lt;&gt;"Serviço",0,IF(AND(AUTOEVENTO="Manual",$M260=1),0,IF(OFFSET(CRONOPLE!$F$14,$M260,AV$13)="",10^12,OFFSET(CRONOPLE!$F$14,$M260,AV$13))))</f>
        <v>1000000000000</v>
      </c>
      <c r="AX260" s="182">
        <f ca="1">IF($D260&lt;&gt;"Serviço",0,IF(OR(AND(AUTOEVENTO="Manual",$M260=1),$M260&gt;(ROW(PLE.lastrow)-ROW(PLE.firstrow))),0,IF(OFFSET(PLE!$G$14,$M260,AX$13)="",10^12,OFFSET(PLE!$G$14,$M260,AX$13))))</f>
        <v>1000000000000</v>
      </c>
      <c r="AY260" s="182">
        <f ca="1">IF($D260&lt;&gt;"Serviço",0,IF(OR(AND(AUTOEVENTO="Manual",$M260=1),$M260&gt;(ROW(PLE.lastrow)-ROW(PLE.firstrow))),0,IF(OFFSET(PLE!$G$14,$M260,AY$13)="",10^12,OFFSET(PLE!$G$14,$M260,AY$13))))</f>
        <v>1000000000000</v>
      </c>
      <c r="AZ260" s="182">
        <f ca="1">IF($D260&lt;&gt;"Serviço",0,IF(OR(AND(AUTOEVENTO="Manual",$M260=1),$M260&gt;(ROW(PLE.lastrow)-ROW(PLE.firstrow))),0,IF(OFFSET(PLE!$G$14,$M260,AZ$13)="",10^12,OFFSET(PLE!$G$14,$M260,AZ$13))))</f>
        <v>1000000000000</v>
      </c>
      <c r="BA260" s="182">
        <f ca="1">IF($D260&lt;&gt;"Serviço",0,IF(OR(AND(AUTOEVENTO="Manual",$M260=1),$M260&gt;(ROW(PLE.lastrow)-ROW(PLE.firstrow))),0,IF(OFFSET(PLE!$G$14,$M260,BA$13)="",10^12,OFFSET(PLE!$G$14,$M260,BA$13))))</f>
        <v>1000000000000</v>
      </c>
      <c r="BB260" s="182">
        <f ca="1">IF($D260&lt;&gt;"Serviço",0,IF(OR(AND(AUTOEVENTO="Manual",$M260=1),$M260&gt;(ROW(PLE.lastrow)-ROW(PLE.firstrow))),0,IF(OFFSET(PLE!$G$14,$M260,BB$13)="",10^12,OFFSET(PLE!$G$14,$M260,BB$13))))</f>
        <v>1000000000000</v>
      </c>
      <c r="BC260" s="182">
        <f ca="1">IF($D260&lt;&gt;"Serviço",0,IF(OR(AND(AUTOEVENTO="Manual",$M260=1),$M260&gt;(ROW(PLE.lastrow)-ROW(PLE.firstrow))),0,IF(OFFSET(PLE!$G$14,$M260,BC$13)="",10^12,OFFSET(PLE!$G$14,$M260,BC$13))))</f>
        <v>1000000000000</v>
      </c>
      <c r="BD260" s="182">
        <f ca="1">IF($D260&lt;&gt;"Serviço",0,IF(OR(AND(AUTOEVENTO="Manual",$M260=1),$M260&gt;(ROW(PLE.lastrow)-ROW(PLE.firstrow))),0,IF(OFFSET(PLE!$G$14,$M260,BD$13)="",10^12,OFFSET(PLE!$G$14,$M260,BD$13))))</f>
        <v>1000000000000</v>
      </c>
      <c r="BE260" s="182">
        <f ca="1">IF($D260&lt;&gt;"Serviço",0,IF(OR(AND(AUTOEVENTO="Manual",$M260=1),$M260&gt;(ROW(PLE.lastrow)-ROW(PLE.firstrow))),0,IF(OFFSET(PLE!$G$14,$M260,BE$13)="",10^12,OFFSET(PLE!$G$14,$M260,BE$13))))</f>
        <v>1000000000000</v>
      </c>
      <c r="BF260" s="182">
        <f ca="1">IF($D260&lt;&gt;"Serviço",0,IF(OR(AND(AUTOEVENTO="Manual",$M260=1),$M260&gt;(ROW(PLE.lastrow)-ROW(PLE.firstrow))),0,IF(OFFSET(PLE!$G$14,$M260,BF$13)="",10^12,OFFSET(PLE!$G$14,$M260,BF$13))))</f>
        <v>1000000000000</v>
      </c>
      <c r="BG260" s="182">
        <f ca="1">IF($D260&lt;&gt;"Serviço",0,IF(OR(AND(AUTOEVENTO="Manual",$M260=1),$M260&gt;(ROW(PLE.lastrow)-ROW(PLE.firstrow))),0,IF(OFFSET(PLE!$G$14,$M260,BG$13)="",10^12,OFFSET(PLE!$G$14,$M260,BG$13))))</f>
        <v>1000000000000</v>
      </c>
    </row>
    <row r="261" spans="1:59" ht="25.5" x14ac:dyDescent="0.2">
      <c r="A261" s="7" t="str">
        <f t="shared" ca="1" si="11"/>
        <v>225</v>
      </c>
      <c r="B261" s="7" t="str">
        <f ca="1">OFFSET(ORÇAMENTO!C$15,ROW(B261)-ROW(B$15),0)</f>
        <v>S</v>
      </c>
      <c r="C261" s="7" t="str">
        <f ca="1">OFFSET(ORÇAMENTO!L$15,ROW(C261)-ROW(C$15),0)</f>
        <v/>
      </c>
      <c r="D261" s="118" t="str">
        <f ca="1">OFFSET(ORÇAMENTO!N$15,ROW(D261)-ROW(D$15),0)</f>
        <v>Serviço</v>
      </c>
      <c r="E261" s="119" t="str">
        <f ca="1">OFFSET(ORÇAMENTO!O$15,ROW(E261)-ROW(E$15),0)</f>
        <v>-</v>
      </c>
      <c r="F261" s="172" t="str">
        <f ca="1">OFFSET(ORÇAMENTO!R$15,ROW(F261)-ROW(F$15),0)</f>
        <v>(abra o arquivo 'Referência 02-2025.xlsm)</v>
      </c>
      <c r="G261" s="173" t="str">
        <f ca="1">IF($D261&lt;&gt;"Serviço","",OFFSET(ORÇAMENTO!S$15,ROW(G261)-ROW(G$15),0))</f>
        <v>-</v>
      </c>
      <c r="H261" s="124">
        <f ca="1">IF($D261&lt;&gt;"Serviço",0,IF(ACOMPANHAMENTO="BM",ROUND(OFFSET(ORÇAMENTO!AJ$15,ROW(H261)-ROW(H$15),0),15-13*ORÇAMENTO!$AF$7),SUMPRODUCT(($Q$12:$AA$12&lt;&gt;"")*ROUND($Q261:$AA261,15-13*ORÇAMENTO!$AF$7))))</f>
        <v>1.72</v>
      </c>
      <c r="I261" s="561" t="s">
        <v>890</v>
      </c>
      <c r="K261" s="174"/>
      <c r="L261" s="175" t="s">
        <v>255</v>
      </c>
      <c r="M261" s="176">
        <f ca="1">IF($D261&lt;&gt;"Serviço","",IF(AUTOEVENTO="manual",$A261,IF(ISERROR(MATCH($A261,$A$15:OFFSET($A261,-1,0),0)),MAX($M$15:OFFSET(M261,-1,0))+1,INDEX($M$15:OFFSET(M261,-1,0),MATCH($A261,$A$15:OFFSET($A261,-1,0),0)))))</f>
        <v>12</v>
      </c>
      <c r="N261" s="177" t="str">
        <f ca="1">IF($D261&lt;&gt;"Serviço","",IF(AUTOEVENTO="Manual",IF($A261=0,"&lt;-- defina o número do agrupador",OFFSET(EVENTOS!$D$14,$A261,0)),OFFSET($F$15,$A261,0)))</f>
        <v>PINTURAS E ACABAMENTOS</v>
      </c>
      <c r="O261" s="178"/>
      <c r="Q261" s="178"/>
      <c r="R261" s="179"/>
      <c r="S261" s="179"/>
      <c r="T261" s="179"/>
      <c r="U261" s="179"/>
      <c r="V261" s="179"/>
      <c r="W261" s="179"/>
      <c r="X261" s="179"/>
      <c r="Y261" s="179"/>
      <c r="Z261" s="180"/>
      <c r="AB261" s="544">
        <f ca="1">IF(AND($D261="Serviço",AB$12&lt;&gt;0,$H261&gt;0,OR(AUTOEVENTO&lt;&gt;"manual",$M261&lt;&gt;1)),
IF(Import.TipoArredondamento&lt;&gt;"TransfereGOV",
ROUND(OFFSET($P261,0,AB$13),15-13*ORÇAMENTO!$AF$7)/$H261*OFFSET(ORÇAMENTO!$X$15,ROW(AB261)-ROW(AB$15),0),
ROUND(ROUND(OFFSET($P261,0,AB$13),15-13*ORÇAMENTO!$AF$7)*OFFSET(ORÇAMENTO!$W$15,ROW(AB261)-ROW(AB$15),0),15-13*ORÇAMENTO!$AF$11)),0)</f>
        <v>0</v>
      </c>
      <c r="AC261" s="545">
        <f ca="1">IF(AND($D261="Serviço",AC$12&lt;&gt;0,$H261&gt;0,OR(AUTOEVENTO&lt;&gt;"manual",$M261&lt;&gt;1)),
IF(Import.TipoArredondamento&lt;&gt;"TransfereGOV",
ROUND(OFFSET($P261,0,AC$13),15-13*ORÇAMENTO!$AF$7)/$H261*OFFSET(ORÇAMENTO!$X$15,ROW(AC261)-ROW(AC$15),0),
ROUND(ROUND(OFFSET($P261,0,AC$13),15-13*ORÇAMENTO!$AF$7)*OFFSET(ORÇAMENTO!$W$15,ROW(AC261)-ROW(AC$15),0),15-13*ORÇAMENTO!$AF$11)),0)</f>
        <v>0</v>
      </c>
      <c r="AD261" s="545">
        <f ca="1">IF(AND($D261="Serviço",AD$12&lt;&gt;0,$H261&gt;0,OR(AUTOEVENTO&lt;&gt;"manual",$M261&lt;&gt;1)),
IF(Import.TipoArredondamento&lt;&gt;"TransfereGOV",
ROUND(OFFSET($P261,0,AD$13),15-13*ORÇAMENTO!$AF$7)/$H261*OFFSET(ORÇAMENTO!$X$15,ROW(AD261)-ROW(AD$15),0),
ROUND(ROUND(OFFSET($P261,0,AD$13),15-13*ORÇAMENTO!$AF$7)*OFFSET(ORÇAMENTO!$W$15,ROW(AD261)-ROW(AD$15),0),15-13*ORÇAMENTO!$AF$11)),0)</f>
        <v>0</v>
      </c>
      <c r="AE261" s="545">
        <f ca="1">IF(AND($D261="Serviço",AE$12&lt;&gt;0,$H261&gt;0,OR(AUTOEVENTO&lt;&gt;"manual",$M261&lt;&gt;1)),
IF(Import.TipoArredondamento&lt;&gt;"TransfereGOV",
ROUND(OFFSET($P261,0,AE$13),15-13*ORÇAMENTO!$AF$7)/$H261*OFFSET(ORÇAMENTO!$X$15,ROW(AE261)-ROW(AE$15),0),
ROUND(ROUND(OFFSET($P261,0,AE$13),15-13*ORÇAMENTO!$AF$7)*OFFSET(ORÇAMENTO!$W$15,ROW(AE261)-ROW(AE$15),0),15-13*ORÇAMENTO!$AF$11)),0)</f>
        <v>0</v>
      </c>
      <c r="AF261" s="545">
        <f ca="1">IF(AND($D261="Serviço",AF$12&lt;&gt;0,$H261&gt;0,OR(AUTOEVENTO&lt;&gt;"manual",$M261&lt;&gt;1)),
IF(Import.TipoArredondamento&lt;&gt;"TransfereGOV",
ROUND(OFFSET($P261,0,AF$13),15-13*ORÇAMENTO!$AF$7)/$H261*OFFSET(ORÇAMENTO!$X$15,ROW(AF261)-ROW(AF$15),0),
ROUND(ROUND(OFFSET($P261,0,AF$13),15-13*ORÇAMENTO!$AF$7)*OFFSET(ORÇAMENTO!$W$15,ROW(AF261)-ROW(AF$15),0),15-13*ORÇAMENTO!$AF$11)),0)</f>
        <v>0</v>
      </c>
      <c r="AG261" s="545">
        <f ca="1">IF(AND($D261="Serviço",AG$12&lt;&gt;0,$H261&gt;0,OR(AUTOEVENTO&lt;&gt;"manual",$M261&lt;&gt;1)),
IF(Import.TipoArredondamento&lt;&gt;"TransfereGOV",
ROUND(OFFSET($P261,0,AG$13),15-13*ORÇAMENTO!$AF$7)/$H261*OFFSET(ORÇAMENTO!$X$15,ROW(AG261)-ROW(AG$15),0),
ROUND(ROUND(OFFSET($P261,0,AG$13),15-13*ORÇAMENTO!$AF$7)*OFFSET(ORÇAMENTO!$W$15,ROW(AG261)-ROW(AG$15),0),15-13*ORÇAMENTO!$AF$11)),0)</f>
        <v>0</v>
      </c>
      <c r="AH261" s="545">
        <f ca="1">IF(AND($D261="Serviço",AH$12&lt;&gt;0,$H261&gt;0,OR(AUTOEVENTO&lt;&gt;"manual",$M261&lt;&gt;1)),
IF(Import.TipoArredondamento&lt;&gt;"TransfereGOV",
ROUND(OFFSET($P261,0,AH$13),15-13*ORÇAMENTO!$AF$7)/$H261*OFFSET(ORÇAMENTO!$X$15,ROW(AH261)-ROW(AH$15),0),
ROUND(ROUND(OFFSET($P261,0,AH$13),15-13*ORÇAMENTO!$AF$7)*OFFSET(ORÇAMENTO!$W$15,ROW(AH261)-ROW(AH$15),0),15-13*ORÇAMENTO!$AF$11)),0)</f>
        <v>0</v>
      </c>
      <c r="AI261" s="545">
        <f ca="1">IF(AND($D261="Serviço",AI$12&lt;&gt;0,$H261&gt;0,OR(AUTOEVENTO&lt;&gt;"manual",$M261&lt;&gt;1)),
IF(Import.TipoArredondamento&lt;&gt;"TransfereGOV",
ROUND(OFFSET($P261,0,AI$13),15-13*ORÇAMENTO!$AF$7)/$H261*OFFSET(ORÇAMENTO!$X$15,ROW(AI261)-ROW(AI$15),0),
ROUND(ROUND(OFFSET($P261,0,AI$13),15-13*ORÇAMENTO!$AF$7)*OFFSET(ORÇAMENTO!$W$15,ROW(AI261)-ROW(AI$15),0),15-13*ORÇAMENTO!$AF$11)),0)</f>
        <v>0</v>
      </c>
      <c r="AJ261" s="545">
        <f ca="1">IF(AND($D261="Serviço",AJ$12&lt;&gt;0,$H261&gt;0,OR(AUTOEVENTO&lt;&gt;"manual",$M261&lt;&gt;1)),
IF(Import.TipoArredondamento&lt;&gt;"TransfereGOV",
ROUND(OFFSET($P261,0,AJ$13),15-13*ORÇAMENTO!$AF$7)/$H261*OFFSET(ORÇAMENTO!$X$15,ROW(AJ261)-ROW(AJ$15),0),
ROUND(ROUND(OFFSET($P261,0,AJ$13),15-13*ORÇAMENTO!$AF$7)*OFFSET(ORÇAMENTO!$W$15,ROW(AJ261)-ROW(AJ$15),0),15-13*ORÇAMENTO!$AF$11)),0)</f>
        <v>0</v>
      </c>
      <c r="AK261" s="546">
        <f ca="1">IF(AND($D261="Serviço",AK$12&lt;&gt;0,$H261&gt;0,OR(AUTOEVENTO&lt;&gt;"manual",$M261&lt;&gt;1)),
IF(Import.TipoArredondamento&lt;&gt;"TransfereGOV",
ROUND(OFFSET($P261,0,AK$13),15-13*ORÇAMENTO!$AF$7)/$H261*OFFSET(ORÇAMENTO!$X$15,ROW(AK261)-ROW(AK$15),0),
ROUND(ROUND(OFFSET($P261,0,AK$13),15-13*ORÇAMENTO!$AF$7)*OFFSET(ORÇAMENTO!$W$15,ROW(AK261)-ROW(AK$15),0),15-13*ORÇAMENTO!$AF$11)),0)</f>
        <v>0</v>
      </c>
      <c r="AM261" s="181">
        <f ca="1">IF($D261&lt;&gt;"Serviço",0,IF(AND(AUTOEVENTO="Manual",$M261=1),0,IF(OFFSET(CRONOPLE!$F$14,$M261,AM$13)="",10^12,OFFSET(CRONOPLE!$F$14,$M261,AM$13))))</f>
        <v>1000000000000</v>
      </c>
      <c r="AN261" s="181">
        <f ca="1">IF($D261&lt;&gt;"Serviço",0,IF(AND(AUTOEVENTO="Manual",$M261=1),0,IF(OFFSET(CRONOPLE!$F$14,$M261,AN$13)="",10^12,OFFSET(CRONOPLE!$F$14,$M261,AN$13))))</f>
        <v>1000000000000</v>
      </c>
      <c r="AO261" s="181">
        <f ca="1">IF($D261&lt;&gt;"Serviço",0,IF(AND(AUTOEVENTO="Manual",$M261=1),0,IF(OFFSET(CRONOPLE!$F$14,$M261,AO$13)="",10^12,OFFSET(CRONOPLE!$F$14,$M261,AO$13))))</f>
        <v>1000000000000</v>
      </c>
      <c r="AP261" s="181">
        <f ca="1">IF($D261&lt;&gt;"Serviço",0,IF(AND(AUTOEVENTO="Manual",$M261=1),0,IF(OFFSET(CRONOPLE!$F$14,$M261,AP$13)="",10^12,OFFSET(CRONOPLE!$F$14,$M261,AP$13))))</f>
        <v>1000000000000</v>
      </c>
      <c r="AQ261" s="181">
        <f ca="1">IF($D261&lt;&gt;"Serviço",0,IF(AND(AUTOEVENTO="Manual",$M261=1),0,IF(OFFSET(CRONOPLE!$F$14,$M261,AQ$13)="",10^12,OFFSET(CRONOPLE!$F$14,$M261,AQ$13))))</f>
        <v>1000000000000</v>
      </c>
      <c r="AR261" s="181">
        <f ca="1">IF($D261&lt;&gt;"Serviço",0,IF(AND(AUTOEVENTO="Manual",$M261=1),0,IF(OFFSET(CRONOPLE!$F$14,$M261,AR$13)="",10^12,OFFSET(CRONOPLE!$F$14,$M261,AR$13))))</f>
        <v>1000000000000</v>
      </c>
      <c r="AS261" s="181">
        <f ca="1">IF($D261&lt;&gt;"Serviço",0,IF(AND(AUTOEVENTO="Manual",$M261=1),0,IF(OFFSET(CRONOPLE!$F$14,$M261,AS$13)="",10^12,OFFSET(CRONOPLE!$F$14,$M261,AS$13))))</f>
        <v>1000000000000</v>
      </c>
      <c r="AT261" s="181">
        <f ca="1">IF($D261&lt;&gt;"Serviço",0,IF(AND(AUTOEVENTO="Manual",$M261=1),0,IF(OFFSET(CRONOPLE!$F$14,$M261,AT$13)="",10^12,OFFSET(CRONOPLE!$F$14,$M261,AT$13))))</f>
        <v>1000000000000</v>
      </c>
      <c r="AU261" s="181">
        <f ca="1">IF($D261&lt;&gt;"Serviço",0,IF(AND(AUTOEVENTO="Manual",$M261=1),0,IF(OFFSET(CRONOPLE!$F$14,$M261,AU$13)="",10^12,OFFSET(CRONOPLE!$F$14,$M261,AU$13))))</f>
        <v>1000000000000</v>
      </c>
      <c r="AV261" s="181">
        <f ca="1">IF($D261&lt;&gt;"Serviço",0,IF(AND(AUTOEVENTO="Manual",$M261=1),0,IF(OFFSET(CRONOPLE!$F$14,$M261,AV$13)="",10^12,OFFSET(CRONOPLE!$F$14,$M261,AV$13))))</f>
        <v>1000000000000</v>
      </c>
      <c r="AX261" s="182">
        <f ca="1">IF($D261&lt;&gt;"Serviço",0,IF(OR(AND(AUTOEVENTO="Manual",$M261=1),$M261&gt;(ROW(PLE.lastrow)-ROW(PLE.firstrow))),0,IF(OFFSET(PLE!$G$14,$M261,AX$13)="",10^12,OFFSET(PLE!$G$14,$M261,AX$13))))</f>
        <v>1000000000000</v>
      </c>
      <c r="AY261" s="182">
        <f ca="1">IF($D261&lt;&gt;"Serviço",0,IF(OR(AND(AUTOEVENTO="Manual",$M261=1),$M261&gt;(ROW(PLE.lastrow)-ROW(PLE.firstrow))),0,IF(OFFSET(PLE!$G$14,$M261,AY$13)="",10^12,OFFSET(PLE!$G$14,$M261,AY$13))))</f>
        <v>1000000000000</v>
      </c>
      <c r="AZ261" s="182">
        <f ca="1">IF($D261&lt;&gt;"Serviço",0,IF(OR(AND(AUTOEVENTO="Manual",$M261=1),$M261&gt;(ROW(PLE.lastrow)-ROW(PLE.firstrow))),0,IF(OFFSET(PLE!$G$14,$M261,AZ$13)="",10^12,OFFSET(PLE!$G$14,$M261,AZ$13))))</f>
        <v>1000000000000</v>
      </c>
      <c r="BA261" s="182">
        <f ca="1">IF($D261&lt;&gt;"Serviço",0,IF(OR(AND(AUTOEVENTO="Manual",$M261=1),$M261&gt;(ROW(PLE.lastrow)-ROW(PLE.firstrow))),0,IF(OFFSET(PLE!$G$14,$M261,BA$13)="",10^12,OFFSET(PLE!$G$14,$M261,BA$13))))</f>
        <v>1000000000000</v>
      </c>
      <c r="BB261" s="182">
        <f ca="1">IF($D261&lt;&gt;"Serviço",0,IF(OR(AND(AUTOEVENTO="Manual",$M261=1),$M261&gt;(ROW(PLE.lastrow)-ROW(PLE.firstrow))),0,IF(OFFSET(PLE!$G$14,$M261,BB$13)="",10^12,OFFSET(PLE!$G$14,$M261,BB$13))))</f>
        <v>1000000000000</v>
      </c>
      <c r="BC261" s="182">
        <f ca="1">IF($D261&lt;&gt;"Serviço",0,IF(OR(AND(AUTOEVENTO="Manual",$M261=1),$M261&gt;(ROW(PLE.lastrow)-ROW(PLE.firstrow))),0,IF(OFFSET(PLE!$G$14,$M261,BC$13)="",10^12,OFFSET(PLE!$G$14,$M261,BC$13))))</f>
        <v>1000000000000</v>
      </c>
      <c r="BD261" s="182">
        <f ca="1">IF($D261&lt;&gt;"Serviço",0,IF(OR(AND(AUTOEVENTO="Manual",$M261=1),$M261&gt;(ROW(PLE.lastrow)-ROW(PLE.firstrow))),0,IF(OFFSET(PLE!$G$14,$M261,BD$13)="",10^12,OFFSET(PLE!$G$14,$M261,BD$13))))</f>
        <v>1000000000000</v>
      </c>
      <c r="BE261" s="182">
        <f ca="1">IF($D261&lt;&gt;"Serviço",0,IF(OR(AND(AUTOEVENTO="Manual",$M261=1),$M261&gt;(ROW(PLE.lastrow)-ROW(PLE.firstrow))),0,IF(OFFSET(PLE!$G$14,$M261,BE$13)="",10^12,OFFSET(PLE!$G$14,$M261,BE$13))))</f>
        <v>1000000000000</v>
      </c>
      <c r="BF261" s="182">
        <f ca="1">IF($D261&lt;&gt;"Serviço",0,IF(OR(AND(AUTOEVENTO="Manual",$M261=1),$M261&gt;(ROW(PLE.lastrow)-ROW(PLE.firstrow))),0,IF(OFFSET(PLE!$G$14,$M261,BF$13)="",10^12,OFFSET(PLE!$G$14,$M261,BF$13))))</f>
        <v>1000000000000</v>
      </c>
      <c r="BG261" s="182">
        <f ca="1">IF($D261&lt;&gt;"Serviço",0,IF(OR(AND(AUTOEVENTO="Manual",$M261=1),$M261&gt;(ROW(PLE.lastrow)-ROW(PLE.firstrow))),0,IF(OFFSET(PLE!$G$14,$M261,BG$13)="",10^12,OFFSET(PLE!$G$14,$M261,BG$13))))</f>
        <v>1000000000000</v>
      </c>
    </row>
    <row r="262" spans="1:59" ht="25.5" x14ac:dyDescent="0.2">
      <c r="A262" s="7" t="str">
        <f t="shared" ca="1" si="11"/>
        <v>225</v>
      </c>
      <c r="B262" s="7" t="str">
        <f ca="1">OFFSET(ORÇAMENTO!C$15,ROW(B262)-ROW(B$15),0)</f>
        <v>S</v>
      </c>
      <c r="C262" s="7" t="str">
        <f ca="1">OFFSET(ORÇAMENTO!L$15,ROW(C262)-ROW(C$15),0)</f>
        <v/>
      </c>
      <c r="D262" s="118" t="str">
        <f ca="1">OFFSET(ORÇAMENTO!N$15,ROW(D262)-ROW(D$15),0)</f>
        <v>Serviço</v>
      </c>
      <c r="E262" s="119" t="str">
        <f ca="1">OFFSET(ORÇAMENTO!O$15,ROW(E262)-ROW(E$15),0)</f>
        <v>-</v>
      </c>
      <c r="F262" s="172" t="str">
        <f ca="1">OFFSET(ORÇAMENTO!R$15,ROW(F262)-ROW(F$15),0)</f>
        <v>(abra o arquivo 'Referência 02-2025.xlsm)</v>
      </c>
      <c r="G262" s="173" t="str">
        <f ca="1">IF($D262&lt;&gt;"Serviço","",OFFSET(ORÇAMENTO!S$15,ROW(G262)-ROW(G$15),0))</f>
        <v>-</v>
      </c>
      <c r="H262" s="124">
        <f ca="1">IF($D262&lt;&gt;"Serviço",0,IF(ACOMPANHAMENTO="BM",ROUND(OFFSET(ORÇAMENTO!AJ$15,ROW(H262)-ROW(H$15),0),15-13*ORÇAMENTO!$AF$7),SUMPRODUCT(($Q$12:$AA$12&lt;&gt;"")*ROUND($Q262:$AA262,15-13*ORÇAMENTO!$AF$7))))</f>
        <v>10.49</v>
      </c>
      <c r="I262" s="561" t="s">
        <v>890</v>
      </c>
      <c r="K262" s="174"/>
      <c r="L262" s="175" t="s">
        <v>255</v>
      </c>
      <c r="M262" s="176">
        <f ca="1">IF($D262&lt;&gt;"Serviço","",IF(AUTOEVENTO="manual",$A262,IF(ISERROR(MATCH($A262,$A$15:OFFSET($A262,-1,0),0)),MAX($M$15:OFFSET(M262,-1,0))+1,INDEX($M$15:OFFSET(M262,-1,0),MATCH($A262,$A$15:OFFSET($A262,-1,0),0)))))</f>
        <v>12</v>
      </c>
      <c r="N262" s="177" t="str">
        <f ca="1">IF($D262&lt;&gt;"Serviço","",IF(AUTOEVENTO="Manual",IF($A262=0,"&lt;-- defina o número do agrupador",OFFSET(EVENTOS!$D$14,$A262,0)),OFFSET($F$15,$A262,0)))</f>
        <v>PINTURAS E ACABAMENTOS</v>
      </c>
      <c r="O262" s="178"/>
      <c r="Q262" s="178"/>
      <c r="R262" s="179"/>
      <c r="S262" s="179"/>
      <c r="T262" s="179"/>
      <c r="U262" s="179"/>
      <c r="V262" s="179"/>
      <c r="W262" s="179"/>
      <c r="X262" s="179"/>
      <c r="Y262" s="179"/>
      <c r="Z262" s="180"/>
      <c r="AB262" s="544">
        <f ca="1">IF(AND($D262="Serviço",AB$12&lt;&gt;0,$H262&gt;0,OR(AUTOEVENTO&lt;&gt;"manual",$M262&lt;&gt;1)),
IF(Import.TipoArredondamento&lt;&gt;"TransfereGOV",
ROUND(OFFSET($P262,0,AB$13),15-13*ORÇAMENTO!$AF$7)/$H262*OFFSET(ORÇAMENTO!$X$15,ROW(AB262)-ROW(AB$15),0),
ROUND(ROUND(OFFSET($P262,0,AB$13),15-13*ORÇAMENTO!$AF$7)*OFFSET(ORÇAMENTO!$W$15,ROW(AB262)-ROW(AB$15),0),15-13*ORÇAMENTO!$AF$11)),0)</f>
        <v>0</v>
      </c>
      <c r="AC262" s="545">
        <f ca="1">IF(AND($D262="Serviço",AC$12&lt;&gt;0,$H262&gt;0,OR(AUTOEVENTO&lt;&gt;"manual",$M262&lt;&gt;1)),
IF(Import.TipoArredondamento&lt;&gt;"TransfereGOV",
ROUND(OFFSET($P262,0,AC$13),15-13*ORÇAMENTO!$AF$7)/$H262*OFFSET(ORÇAMENTO!$X$15,ROW(AC262)-ROW(AC$15),0),
ROUND(ROUND(OFFSET($P262,0,AC$13),15-13*ORÇAMENTO!$AF$7)*OFFSET(ORÇAMENTO!$W$15,ROW(AC262)-ROW(AC$15),0),15-13*ORÇAMENTO!$AF$11)),0)</f>
        <v>0</v>
      </c>
      <c r="AD262" s="545">
        <f ca="1">IF(AND($D262="Serviço",AD$12&lt;&gt;0,$H262&gt;0,OR(AUTOEVENTO&lt;&gt;"manual",$M262&lt;&gt;1)),
IF(Import.TipoArredondamento&lt;&gt;"TransfereGOV",
ROUND(OFFSET($P262,0,AD$13),15-13*ORÇAMENTO!$AF$7)/$H262*OFFSET(ORÇAMENTO!$X$15,ROW(AD262)-ROW(AD$15),0),
ROUND(ROUND(OFFSET($P262,0,AD$13),15-13*ORÇAMENTO!$AF$7)*OFFSET(ORÇAMENTO!$W$15,ROW(AD262)-ROW(AD$15),0),15-13*ORÇAMENTO!$AF$11)),0)</f>
        <v>0</v>
      </c>
      <c r="AE262" s="545">
        <f ca="1">IF(AND($D262="Serviço",AE$12&lt;&gt;0,$H262&gt;0,OR(AUTOEVENTO&lt;&gt;"manual",$M262&lt;&gt;1)),
IF(Import.TipoArredondamento&lt;&gt;"TransfereGOV",
ROUND(OFFSET($P262,0,AE$13),15-13*ORÇAMENTO!$AF$7)/$H262*OFFSET(ORÇAMENTO!$X$15,ROW(AE262)-ROW(AE$15),0),
ROUND(ROUND(OFFSET($P262,0,AE$13),15-13*ORÇAMENTO!$AF$7)*OFFSET(ORÇAMENTO!$W$15,ROW(AE262)-ROW(AE$15),0),15-13*ORÇAMENTO!$AF$11)),0)</f>
        <v>0</v>
      </c>
      <c r="AF262" s="545">
        <f ca="1">IF(AND($D262="Serviço",AF$12&lt;&gt;0,$H262&gt;0,OR(AUTOEVENTO&lt;&gt;"manual",$M262&lt;&gt;1)),
IF(Import.TipoArredondamento&lt;&gt;"TransfereGOV",
ROUND(OFFSET($P262,0,AF$13),15-13*ORÇAMENTO!$AF$7)/$H262*OFFSET(ORÇAMENTO!$X$15,ROW(AF262)-ROW(AF$15),0),
ROUND(ROUND(OFFSET($P262,0,AF$13),15-13*ORÇAMENTO!$AF$7)*OFFSET(ORÇAMENTO!$W$15,ROW(AF262)-ROW(AF$15),0),15-13*ORÇAMENTO!$AF$11)),0)</f>
        <v>0</v>
      </c>
      <c r="AG262" s="545">
        <f ca="1">IF(AND($D262="Serviço",AG$12&lt;&gt;0,$H262&gt;0,OR(AUTOEVENTO&lt;&gt;"manual",$M262&lt;&gt;1)),
IF(Import.TipoArredondamento&lt;&gt;"TransfereGOV",
ROUND(OFFSET($P262,0,AG$13),15-13*ORÇAMENTO!$AF$7)/$H262*OFFSET(ORÇAMENTO!$X$15,ROW(AG262)-ROW(AG$15),0),
ROUND(ROUND(OFFSET($P262,0,AG$13),15-13*ORÇAMENTO!$AF$7)*OFFSET(ORÇAMENTO!$W$15,ROW(AG262)-ROW(AG$15),0),15-13*ORÇAMENTO!$AF$11)),0)</f>
        <v>0</v>
      </c>
      <c r="AH262" s="545">
        <f ca="1">IF(AND($D262="Serviço",AH$12&lt;&gt;0,$H262&gt;0,OR(AUTOEVENTO&lt;&gt;"manual",$M262&lt;&gt;1)),
IF(Import.TipoArredondamento&lt;&gt;"TransfereGOV",
ROUND(OFFSET($P262,0,AH$13),15-13*ORÇAMENTO!$AF$7)/$H262*OFFSET(ORÇAMENTO!$X$15,ROW(AH262)-ROW(AH$15),0),
ROUND(ROUND(OFFSET($P262,0,AH$13),15-13*ORÇAMENTO!$AF$7)*OFFSET(ORÇAMENTO!$W$15,ROW(AH262)-ROW(AH$15),0),15-13*ORÇAMENTO!$AF$11)),0)</f>
        <v>0</v>
      </c>
      <c r="AI262" s="545">
        <f ca="1">IF(AND($D262="Serviço",AI$12&lt;&gt;0,$H262&gt;0,OR(AUTOEVENTO&lt;&gt;"manual",$M262&lt;&gt;1)),
IF(Import.TipoArredondamento&lt;&gt;"TransfereGOV",
ROUND(OFFSET($P262,0,AI$13),15-13*ORÇAMENTO!$AF$7)/$H262*OFFSET(ORÇAMENTO!$X$15,ROW(AI262)-ROW(AI$15),0),
ROUND(ROUND(OFFSET($P262,0,AI$13),15-13*ORÇAMENTO!$AF$7)*OFFSET(ORÇAMENTO!$W$15,ROW(AI262)-ROW(AI$15),0),15-13*ORÇAMENTO!$AF$11)),0)</f>
        <v>0</v>
      </c>
      <c r="AJ262" s="545">
        <f ca="1">IF(AND($D262="Serviço",AJ$12&lt;&gt;0,$H262&gt;0,OR(AUTOEVENTO&lt;&gt;"manual",$M262&lt;&gt;1)),
IF(Import.TipoArredondamento&lt;&gt;"TransfereGOV",
ROUND(OFFSET($P262,0,AJ$13),15-13*ORÇAMENTO!$AF$7)/$H262*OFFSET(ORÇAMENTO!$X$15,ROW(AJ262)-ROW(AJ$15),0),
ROUND(ROUND(OFFSET($P262,0,AJ$13),15-13*ORÇAMENTO!$AF$7)*OFFSET(ORÇAMENTO!$W$15,ROW(AJ262)-ROW(AJ$15),0),15-13*ORÇAMENTO!$AF$11)),0)</f>
        <v>0</v>
      </c>
      <c r="AK262" s="546">
        <f ca="1">IF(AND($D262="Serviço",AK$12&lt;&gt;0,$H262&gt;0,OR(AUTOEVENTO&lt;&gt;"manual",$M262&lt;&gt;1)),
IF(Import.TipoArredondamento&lt;&gt;"TransfereGOV",
ROUND(OFFSET($P262,0,AK$13),15-13*ORÇAMENTO!$AF$7)/$H262*OFFSET(ORÇAMENTO!$X$15,ROW(AK262)-ROW(AK$15),0),
ROUND(ROUND(OFFSET($P262,0,AK$13),15-13*ORÇAMENTO!$AF$7)*OFFSET(ORÇAMENTO!$W$15,ROW(AK262)-ROW(AK$15),0),15-13*ORÇAMENTO!$AF$11)),0)</f>
        <v>0</v>
      </c>
      <c r="AM262" s="181">
        <f ca="1">IF($D262&lt;&gt;"Serviço",0,IF(AND(AUTOEVENTO="Manual",$M262=1),0,IF(OFFSET(CRONOPLE!$F$14,$M262,AM$13)="",10^12,OFFSET(CRONOPLE!$F$14,$M262,AM$13))))</f>
        <v>1000000000000</v>
      </c>
      <c r="AN262" s="181">
        <f ca="1">IF($D262&lt;&gt;"Serviço",0,IF(AND(AUTOEVENTO="Manual",$M262=1),0,IF(OFFSET(CRONOPLE!$F$14,$M262,AN$13)="",10^12,OFFSET(CRONOPLE!$F$14,$M262,AN$13))))</f>
        <v>1000000000000</v>
      </c>
      <c r="AO262" s="181">
        <f ca="1">IF($D262&lt;&gt;"Serviço",0,IF(AND(AUTOEVENTO="Manual",$M262=1),0,IF(OFFSET(CRONOPLE!$F$14,$M262,AO$13)="",10^12,OFFSET(CRONOPLE!$F$14,$M262,AO$13))))</f>
        <v>1000000000000</v>
      </c>
      <c r="AP262" s="181">
        <f ca="1">IF($D262&lt;&gt;"Serviço",0,IF(AND(AUTOEVENTO="Manual",$M262=1),0,IF(OFFSET(CRONOPLE!$F$14,$M262,AP$13)="",10^12,OFFSET(CRONOPLE!$F$14,$M262,AP$13))))</f>
        <v>1000000000000</v>
      </c>
      <c r="AQ262" s="181">
        <f ca="1">IF($D262&lt;&gt;"Serviço",0,IF(AND(AUTOEVENTO="Manual",$M262=1),0,IF(OFFSET(CRONOPLE!$F$14,$M262,AQ$13)="",10^12,OFFSET(CRONOPLE!$F$14,$M262,AQ$13))))</f>
        <v>1000000000000</v>
      </c>
      <c r="AR262" s="181">
        <f ca="1">IF($D262&lt;&gt;"Serviço",0,IF(AND(AUTOEVENTO="Manual",$M262=1),0,IF(OFFSET(CRONOPLE!$F$14,$M262,AR$13)="",10^12,OFFSET(CRONOPLE!$F$14,$M262,AR$13))))</f>
        <v>1000000000000</v>
      </c>
      <c r="AS262" s="181">
        <f ca="1">IF($D262&lt;&gt;"Serviço",0,IF(AND(AUTOEVENTO="Manual",$M262=1),0,IF(OFFSET(CRONOPLE!$F$14,$M262,AS$13)="",10^12,OFFSET(CRONOPLE!$F$14,$M262,AS$13))))</f>
        <v>1000000000000</v>
      </c>
      <c r="AT262" s="181">
        <f ca="1">IF($D262&lt;&gt;"Serviço",0,IF(AND(AUTOEVENTO="Manual",$M262=1),0,IF(OFFSET(CRONOPLE!$F$14,$M262,AT$13)="",10^12,OFFSET(CRONOPLE!$F$14,$M262,AT$13))))</f>
        <v>1000000000000</v>
      </c>
      <c r="AU262" s="181">
        <f ca="1">IF($D262&lt;&gt;"Serviço",0,IF(AND(AUTOEVENTO="Manual",$M262=1),0,IF(OFFSET(CRONOPLE!$F$14,$M262,AU$13)="",10^12,OFFSET(CRONOPLE!$F$14,$M262,AU$13))))</f>
        <v>1000000000000</v>
      </c>
      <c r="AV262" s="181">
        <f ca="1">IF($D262&lt;&gt;"Serviço",0,IF(AND(AUTOEVENTO="Manual",$M262=1),0,IF(OFFSET(CRONOPLE!$F$14,$M262,AV$13)="",10^12,OFFSET(CRONOPLE!$F$14,$M262,AV$13))))</f>
        <v>1000000000000</v>
      </c>
      <c r="AX262" s="182">
        <f ca="1">IF($D262&lt;&gt;"Serviço",0,IF(OR(AND(AUTOEVENTO="Manual",$M262=1),$M262&gt;(ROW(PLE.lastrow)-ROW(PLE.firstrow))),0,IF(OFFSET(PLE!$G$14,$M262,AX$13)="",10^12,OFFSET(PLE!$G$14,$M262,AX$13))))</f>
        <v>1000000000000</v>
      </c>
      <c r="AY262" s="182">
        <f ca="1">IF($D262&lt;&gt;"Serviço",0,IF(OR(AND(AUTOEVENTO="Manual",$M262=1),$M262&gt;(ROW(PLE.lastrow)-ROW(PLE.firstrow))),0,IF(OFFSET(PLE!$G$14,$M262,AY$13)="",10^12,OFFSET(PLE!$G$14,$M262,AY$13))))</f>
        <v>1000000000000</v>
      </c>
      <c r="AZ262" s="182">
        <f ca="1">IF($D262&lt;&gt;"Serviço",0,IF(OR(AND(AUTOEVENTO="Manual",$M262=1),$M262&gt;(ROW(PLE.lastrow)-ROW(PLE.firstrow))),0,IF(OFFSET(PLE!$G$14,$M262,AZ$13)="",10^12,OFFSET(PLE!$G$14,$M262,AZ$13))))</f>
        <v>1000000000000</v>
      </c>
      <c r="BA262" s="182">
        <f ca="1">IF($D262&lt;&gt;"Serviço",0,IF(OR(AND(AUTOEVENTO="Manual",$M262=1),$M262&gt;(ROW(PLE.lastrow)-ROW(PLE.firstrow))),0,IF(OFFSET(PLE!$G$14,$M262,BA$13)="",10^12,OFFSET(PLE!$G$14,$M262,BA$13))))</f>
        <v>1000000000000</v>
      </c>
      <c r="BB262" s="182">
        <f ca="1">IF($D262&lt;&gt;"Serviço",0,IF(OR(AND(AUTOEVENTO="Manual",$M262=1),$M262&gt;(ROW(PLE.lastrow)-ROW(PLE.firstrow))),0,IF(OFFSET(PLE!$G$14,$M262,BB$13)="",10^12,OFFSET(PLE!$G$14,$M262,BB$13))))</f>
        <v>1000000000000</v>
      </c>
      <c r="BC262" s="182">
        <f ca="1">IF($D262&lt;&gt;"Serviço",0,IF(OR(AND(AUTOEVENTO="Manual",$M262=1),$M262&gt;(ROW(PLE.lastrow)-ROW(PLE.firstrow))),0,IF(OFFSET(PLE!$G$14,$M262,BC$13)="",10^12,OFFSET(PLE!$G$14,$M262,BC$13))))</f>
        <v>1000000000000</v>
      </c>
      <c r="BD262" s="182">
        <f ca="1">IF($D262&lt;&gt;"Serviço",0,IF(OR(AND(AUTOEVENTO="Manual",$M262=1),$M262&gt;(ROW(PLE.lastrow)-ROW(PLE.firstrow))),0,IF(OFFSET(PLE!$G$14,$M262,BD$13)="",10^12,OFFSET(PLE!$G$14,$M262,BD$13))))</f>
        <v>1000000000000</v>
      </c>
      <c r="BE262" s="182">
        <f ca="1">IF($D262&lt;&gt;"Serviço",0,IF(OR(AND(AUTOEVENTO="Manual",$M262=1),$M262&gt;(ROW(PLE.lastrow)-ROW(PLE.firstrow))),0,IF(OFFSET(PLE!$G$14,$M262,BE$13)="",10^12,OFFSET(PLE!$G$14,$M262,BE$13))))</f>
        <v>1000000000000</v>
      </c>
      <c r="BF262" s="182">
        <f ca="1">IF($D262&lt;&gt;"Serviço",0,IF(OR(AND(AUTOEVENTO="Manual",$M262=1),$M262&gt;(ROW(PLE.lastrow)-ROW(PLE.firstrow))),0,IF(OFFSET(PLE!$G$14,$M262,BF$13)="",10^12,OFFSET(PLE!$G$14,$M262,BF$13))))</f>
        <v>1000000000000</v>
      </c>
      <c r="BG262" s="182">
        <f ca="1">IF($D262&lt;&gt;"Serviço",0,IF(OR(AND(AUTOEVENTO="Manual",$M262=1),$M262&gt;(ROW(PLE.lastrow)-ROW(PLE.firstrow))),0,IF(OFFSET(PLE!$G$14,$M262,BG$13)="",10^12,OFFSET(PLE!$G$14,$M262,BG$13))))</f>
        <v>1000000000000</v>
      </c>
    </row>
    <row r="263" spans="1:59" ht="25.5" x14ac:dyDescent="0.2">
      <c r="A263" s="7" t="str">
        <f t="shared" ca="1" si="11"/>
        <v>225</v>
      </c>
      <c r="B263" s="7" t="str">
        <f ca="1">OFFSET(ORÇAMENTO!C$15,ROW(B263)-ROW(B$15),0)</f>
        <v>S</v>
      </c>
      <c r="C263" s="7" t="str">
        <f ca="1">OFFSET(ORÇAMENTO!L$15,ROW(C263)-ROW(C$15),0)</f>
        <v/>
      </c>
      <c r="D263" s="118" t="str">
        <f ca="1">OFFSET(ORÇAMENTO!N$15,ROW(D263)-ROW(D$15),0)</f>
        <v>Serviço</v>
      </c>
      <c r="E263" s="119" t="str">
        <f ca="1">OFFSET(ORÇAMENTO!O$15,ROW(E263)-ROW(E$15),0)</f>
        <v>-</v>
      </c>
      <c r="F263" s="172" t="str">
        <f ca="1">OFFSET(ORÇAMENTO!R$15,ROW(F263)-ROW(F$15),0)</f>
        <v>(abra o arquivo 'Referência 02-2025.xlsm)</v>
      </c>
      <c r="G263" s="173" t="str">
        <f ca="1">IF($D263&lt;&gt;"Serviço","",OFFSET(ORÇAMENTO!S$15,ROW(G263)-ROW(G$15),0))</f>
        <v>-</v>
      </c>
      <c r="H263" s="124">
        <f ca="1">IF($D263&lt;&gt;"Serviço",0,IF(ACOMPANHAMENTO="BM",ROUND(OFFSET(ORÇAMENTO!AJ$15,ROW(H263)-ROW(H$15),0),15-13*ORÇAMENTO!$AF$7),SUMPRODUCT(($Q$12:$AA$12&lt;&gt;"")*ROUND($Q263:$AA263,15-13*ORÇAMENTO!$AF$7))))</f>
        <v>2.2999999999999998</v>
      </c>
      <c r="I263" s="561" t="s">
        <v>890</v>
      </c>
      <c r="K263" s="174"/>
      <c r="L263" s="175" t="s">
        <v>255</v>
      </c>
      <c r="M263" s="176">
        <f ca="1">IF($D263&lt;&gt;"Serviço","",IF(AUTOEVENTO="manual",$A263,IF(ISERROR(MATCH($A263,$A$15:OFFSET($A263,-1,0),0)),MAX($M$15:OFFSET(M263,-1,0))+1,INDEX($M$15:OFFSET(M263,-1,0),MATCH($A263,$A$15:OFFSET($A263,-1,0),0)))))</f>
        <v>12</v>
      </c>
      <c r="N263" s="177" t="str">
        <f ca="1">IF($D263&lt;&gt;"Serviço","",IF(AUTOEVENTO="Manual",IF($A263=0,"&lt;-- defina o número do agrupador",OFFSET(EVENTOS!$D$14,$A263,0)),OFFSET($F$15,$A263,0)))</f>
        <v>PINTURAS E ACABAMENTOS</v>
      </c>
      <c r="O263" s="178"/>
      <c r="Q263" s="178"/>
      <c r="R263" s="179"/>
      <c r="S263" s="179"/>
      <c r="T263" s="179"/>
      <c r="U263" s="179"/>
      <c r="V263" s="179"/>
      <c r="W263" s="179"/>
      <c r="X263" s="179"/>
      <c r="Y263" s="179"/>
      <c r="Z263" s="180"/>
      <c r="AB263" s="544">
        <f ca="1">IF(AND($D263="Serviço",AB$12&lt;&gt;0,$H263&gt;0,OR(AUTOEVENTO&lt;&gt;"manual",$M263&lt;&gt;1)),
IF(Import.TipoArredondamento&lt;&gt;"TransfereGOV",
ROUND(OFFSET($P263,0,AB$13),15-13*ORÇAMENTO!$AF$7)/$H263*OFFSET(ORÇAMENTO!$X$15,ROW(AB263)-ROW(AB$15),0),
ROUND(ROUND(OFFSET($P263,0,AB$13),15-13*ORÇAMENTO!$AF$7)*OFFSET(ORÇAMENTO!$W$15,ROW(AB263)-ROW(AB$15),0),15-13*ORÇAMENTO!$AF$11)),0)</f>
        <v>0</v>
      </c>
      <c r="AC263" s="545">
        <f ca="1">IF(AND($D263="Serviço",AC$12&lt;&gt;0,$H263&gt;0,OR(AUTOEVENTO&lt;&gt;"manual",$M263&lt;&gt;1)),
IF(Import.TipoArredondamento&lt;&gt;"TransfereGOV",
ROUND(OFFSET($P263,0,AC$13),15-13*ORÇAMENTO!$AF$7)/$H263*OFFSET(ORÇAMENTO!$X$15,ROW(AC263)-ROW(AC$15),0),
ROUND(ROUND(OFFSET($P263,0,AC$13),15-13*ORÇAMENTO!$AF$7)*OFFSET(ORÇAMENTO!$W$15,ROW(AC263)-ROW(AC$15),0),15-13*ORÇAMENTO!$AF$11)),0)</f>
        <v>0</v>
      </c>
      <c r="AD263" s="545">
        <f ca="1">IF(AND($D263="Serviço",AD$12&lt;&gt;0,$H263&gt;0,OR(AUTOEVENTO&lt;&gt;"manual",$M263&lt;&gt;1)),
IF(Import.TipoArredondamento&lt;&gt;"TransfereGOV",
ROUND(OFFSET($P263,0,AD$13),15-13*ORÇAMENTO!$AF$7)/$H263*OFFSET(ORÇAMENTO!$X$15,ROW(AD263)-ROW(AD$15),0),
ROUND(ROUND(OFFSET($P263,0,AD$13),15-13*ORÇAMENTO!$AF$7)*OFFSET(ORÇAMENTO!$W$15,ROW(AD263)-ROW(AD$15),0),15-13*ORÇAMENTO!$AF$11)),0)</f>
        <v>0</v>
      </c>
      <c r="AE263" s="545">
        <f ca="1">IF(AND($D263="Serviço",AE$12&lt;&gt;0,$H263&gt;0,OR(AUTOEVENTO&lt;&gt;"manual",$M263&lt;&gt;1)),
IF(Import.TipoArredondamento&lt;&gt;"TransfereGOV",
ROUND(OFFSET($P263,0,AE$13),15-13*ORÇAMENTO!$AF$7)/$H263*OFFSET(ORÇAMENTO!$X$15,ROW(AE263)-ROW(AE$15),0),
ROUND(ROUND(OFFSET($P263,0,AE$13),15-13*ORÇAMENTO!$AF$7)*OFFSET(ORÇAMENTO!$W$15,ROW(AE263)-ROW(AE$15),0),15-13*ORÇAMENTO!$AF$11)),0)</f>
        <v>0</v>
      </c>
      <c r="AF263" s="545">
        <f ca="1">IF(AND($D263="Serviço",AF$12&lt;&gt;0,$H263&gt;0,OR(AUTOEVENTO&lt;&gt;"manual",$M263&lt;&gt;1)),
IF(Import.TipoArredondamento&lt;&gt;"TransfereGOV",
ROUND(OFFSET($P263,0,AF$13),15-13*ORÇAMENTO!$AF$7)/$H263*OFFSET(ORÇAMENTO!$X$15,ROW(AF263)-ROW(AF$15),0),
ROUND(ROUND(OFFSET($P263,0,AF$13),15-13*ORÇAMENTO!$AF$7)*OFFSET(ORÇAMENTO!$W$15,ROW(AF263)-ROW(AF$15),0),15-13*ORÇAMENTO!$AF$11)),0)</f>
        <v>0</v>
      </c>
      <c r="AG263" s="545">
        <f ca="1">IF(AND($D263="Serviço",AG$12&lt;&gt;0,$H263&gt;0,OR(AUTOEVENTO&lt;&gt;"manual",$M263&lt;&gt;1)),
IF(Import.TipoArredondamento&lt;&gt;"TransfereGOV",
ROUND(OFFSET($P263,0,AG$13),15-13*ORÇAMENTO!$AF$7)/$H263*OFFSET(ORÇAMENTO!$X$15,ROW(AG263)-ROW(AG$15),0),
ROUND(ROUND(OFFSET($P263,0,AG$13),15-13*ORÇAMENTO!$AF$7)*OFFSET(ORÇAMENTO!$W$15,ROW(AG263)-ROW(AG$15),0),15-13*ORÇAMENTO!$AF$11)),0)</f>
        <v>0</v>
      </c>
      <c r="AH263" s="545">
        <f ca="1">IF(AND($D263="Serviço",AH$12&lt;&gt;0,$H263&gt;0,OR(AUTOEVENTO&lt;&gt;"manual",$M263&lt;&gt;1)),
IF(Import.TipoArredondamento&lt;&gt;"TransfereGOV",
ROUND(OFFSET($P263,0,AH$13),15-13*ORÇAMENTO!$AF$7)/$H263*OFFSET(ORÇAMENTO!$X$15,ROW(AH263)-ROW(AH$15),0),
ROUND(ROUND(OFFSET($P263,0,AH$13),15-13*ORÇAMENTO!$AF$7)*OFFSET(ORÇAMENTO!$W$15,ROW(AH263)-ROW(AH$15),0),15-13*ORÇAMENTO!$AF$11)),0)</f>
        <v>0</v>
      </c>
      <c r="AI263" s="545">
        <f ca="1">IF(AND($D263="Serviço",AI$12&lt;&gt;0,$H263&gt;0,OR(AUTOEVENTO&lt;&gt;"manual",$M263&lt;&gt;1)),
IF(Import.TipoArredondamento&lt;&gt;"TransfereGOV",
ROUND(OFFSET($P263,0,AI$13),15-13*ORÇAMENTO!$AF$7)/$H263*OFFSET(ORÇAMENTO!$X$15,ROW(AI263)-ROW(AI$15),0),
ROUND(ROUND(OFFSET($P263,0,AI$13),15-13*ORÇAMENTO!$AF$7)*OFFSET(ORÇAMENTO!$W$15,ROW(AI263)-ROW(AI$15),0),15-13*ORÇAMENTO!$AF$11)),0)</f>
        <v>0</v>
      </c>
      <c r="AJ263" s="545">
        <f ca="1">IF(AND($D263="Serviço",AJ$12&lt;&gt;0,$H263&gt;0,OR(AUTOEVENTO&lt;&gt;"manual",$M263&lt;&gt;1)),
IF(Import.TipoArredondamento&lt;&gt;"TransfereGOV",
ROUND(OFFSET($P263,0,AJ$13),15-13*ORÇAMENTO!$AF$7)/$H263*OFFSET(ORÇAMENTO!$X$15,ROW(AJ263)-ROW(AJ$15),0),
ROUND(ROUND(OFFSET($P263,0,AJ$13),15-13*ORÇAMENTO!$AF$7)*OFFSET(ORÇAMENTO!$W$15,ROW(AJ263)-ROW(AJ$15),0),15-13*ORÇAMENTO!$AF$11)),0)</f>
        <v>0</v>
      </c>
      <c r="AK263" s="546">
        <f ca="1">IF(AND($D263="Serviço",AK$12&lt;&gt;0,$H263&gt;0,OR(AUTOEVENTO&lt;&gt;"manual",$M263&lt;&gt;1)),
IF(Import.TipoArredondamento&lt;&gt;"TransfereGOV",
ROUND(OFFSET($P263,0,AK$13),15-13*ORÇAMENTO!$AF$7)/$H263*OFFSET(ORÇAMENTO!$X$15,ROW(AK263)-ROW(AK$15),0),
ROUND(ROUND(OFFSET($P263,0,AK$13),15-13*ORÇAMENTO!$AF$7)*OFFSET(ORÇAMENTO!$W$15,ROW(AK263)-ROW(AK$15),0),15-13*ORÇAMENTO!$AF$11)),0)</f>
        <v>0</v>
      </c>
      <c r="AM263" s="181">
        <f ca="1">IF($D263&lt;&gt;"Serviço",0,IF(AND(AUTOEVENTO="Manual",$M263=1),0,IF(OFFSET(CRONOPLE!$F$14,$M263,AM$13)="",10^12,OFFSET(CRONOPLE!$F$14,$M263,AM$13))))</f>
        <v>1000000000000</v>
      </c>
      <c r="AN263" s="181">
        <f ca="1">IF($D263&lt;&gt;"Serviço",0,IF(AND(AUTOEVENTO="Manual",$M263=1),0,IF(OFFSET(CRONOPLE!$F$14,$M263,AN$13)="",10^12,OFFSET(CRONOPLE!$F$14,$M263,AN$13))))</f>
        <v>1000000000000</v>
      </c>
      <c r="AO263" s="181">
        <f ca="1">IF($D263&lt;&gt;"Serviço",0,IF(AND(AUTOEVENTO="Manual",$M263=1),0,IF(OFFSET(CRONOPLE!$F$14,$M263,AO$13)="",10^12,OFFSET(CRONOPLE!$F$14,$M263,AO$13))))</f>
        <v>1000000000000</v>
      </c>
      <c r="AP263" s="181">
        <f ca="1">IF($D263&lt;&gt;"Serviço",0,IF(AND(AUTOEVENTO="Manual",$M263=1),0,IF(OFFSET(CRONOPLE!$F$14,$M263,AP$13)="",10^12,OFFSET(CRONOPLE!$F$14,$M263,AP$13))))</f>
        <v>1000000000000</v>
      </c>
      <c r="AQ263" s="181">
        <f ca="1">IF($D263&lt;&gt;"Serviço",0,IF(AND(AUTOEVENTO="Manual",$M263=1),0,IF(OFFSET(CRONOPLE!$F$14,$M263,AQ$13)="",10^12,OFFSET(CRONOPLE!$F$14,$M263,AQ$13))))</f>
        <v>1000000000000</v>
      </c>
      <c r="AR263" s="181">
        <f ca="1">IF($D263&lt;&gt;"Serviço",0,IF(AND(AUTOEVENTO="Manual",$M263=1),0,IF(OFFSET(CRONOPLE!$F$14,$M263,AR$13)="",10^12,OFFSET(CRONOPLE!$F$14,$M263,AR$13))))</f>
        <v>1000000000000</v>
      </c>
      <c r="AS263" s="181">
        <f ca="1">IF($D263&lt;&gt;"Serviço",0,IF(AND(AUTOEVENTO="Manual",$M263=1),0,IF(OFFSET(CRONOPLE!$F$14,$M263,AS$13)="",10^12,OFFSET(CRONOPLE!$F$14,$M263,AS$13))))</f>
        <v>1000000000000</v>
      </c>
      <c r="AT263" s="181">
        <f ca="1">IF($D263&lt;&gt;"Serviço",0,IF(AND(AUTOEVENTO="Manual",$M263=1),0,IF(OFFSET(CRONOPLE!$F$14,$M263,AT$13)="",10^12,OFFSET(CRONOPLE!$F$14,$M263,AT$13))))</f>
        <v>1000000000000</v>
      </c>
      <c r="AU263" s="181">
        <f ca="1">IF($D263&lt;&gt;"Serviço",0,IF(AND(AUTOEVENTO="Manual",$M263=1),0,IF(OFFSET(CRONOPLE!$F$14,$M263,AU$13)="",10^12,OFFSET(CRONOPLE!$F$14,$M263,AU$13))))</f>
        <v>1000000000000</v>
      </c>
      <c r="AV263" s="181">
        <f ca="1">IF($D263&lt;&gt;"Serviço",0,IF(AND(AUTOEVENTO="Manual",$M263=1),0,IF(OFFSET(CRONOPLE!$F$14,$M263,AV$13)="",10^12,OFFSET(CRONOPLE!$F$14,$M263,AV$13))))</f>
        <v>1000000000000</v>
      </c>
      <c r="AX263" s="182">
        <f ca="1">IF($D263&lt;&gt;"Serviço",0,IF(OR(AND(AUTOEVENTO="Manual",$M263=1),$M263&gt;(ROW(PLE.lastrow)-ROW(PLE.firstrow))),0,IF(OFFSET(PLE!$G$14,$M263,AX$13)="",10^12,OFFSET(PLE!$G$14,$M263,AX$13))))</f>
        <v>1000000000000</v>
      </c>
      <c r="AY263" s="182">
        <f ca="1">IF($D263&lt;&gt;"Serviço",0,IF(OR(AND(AUTOEVENTO="Manual",$M263=1),$M263&gt;(ROW(PLE.lastrow)-ROW(PLE.firstrow))),0,IF(OFFSET(PLE!$G$14,$M263,AY$13)="",10^12,OFFSET(PLE!$G$14,$M263,AY$13))))</f>
        <v>1000000000000</v>
      </c>
      <c r="AZ263" s="182">
        <f ca="1">IF($D263&lt;&gt;"Serviço",0,IF(OR(AND(AUTOEVENTO="Manual",$M263=1),$M263&gt;(ROW(PLE.lastrow)-ROW(PLE.firstrow))),0,IF(OFFSET(PLE!$G$14,$M263,AZ$13)="",10^12,OFFSET(PLE!$G$14,$M263,AZ$13))))</f>
        <v>1000000000000</v>
      </c>
      <c r="BA263" s="182">
        <f ca="1">IF($D263&lt;&gt;"Serviço",0,IF(OR(AND(AUTOEVENTO="Manual",$M263=1),$M263&gt;(ROW(PLE.lastrow)-ROW(PLE.firstrow))),0,IF(OFFSET(PLE!$G$14,$M263,BA$13)="",10^12,OFFSET(PLE!$G$14,$M263,BA$13))))</f>
        <v>1000000000000</v>
      </c>
      <c r="BB263" s="182">
        <f ca="1">IF($D263&lt;&gt;"Serviço",0,IF(OR(AND(AUTOEVENTO="Manual",$M263=1),$M263&gt;(ROW(PLE.lastrow)-ROW(PLE.firstrow))),0,IF(OFFSET(PLE!$G$14,$M263,BB$13)="",10^12,OFFSET(PLE!$G$14,$M263,BB$13))))</f>
        <v>1000000000000</v>
      </c>
      <c r="BC263" s="182">
        <f ca="1">IF($D263&lt;&gt;"Serviço",0,IF(OR(AND(AUTOEVENTO="Manual",$M263=1),$M263&gt;(ROW(PLE.lastrow)-ROW(PLE.firstrow))),0,IF(OFFSET(PLE!$G$14,$M263,BC$13)="",10^12,OFFSET(PLE!$G$14,$M263,BC$13))))</f>
        <v>1000000000000</v>
      </c>
      <c r="BD263" s="182">
        <f ca="1">IF($D263&lt;&gt;"Serviço",0,IF(OR(AND(AUTOEVENTO="Manual",$M263=1),$M263&gt;(ROW(PLE.lastrow)-ROW(PLE.firstrow))),0,IF(OFFSET(PLE!$G$14,$M263,BD$13)="",10^12,OFFSET(PLE!$G$14,$M263,BD$13))))</f>
        <v>1000000000000</v>
      </c>
      <c r="BE263" s="182">
        <f ca="1">IF($D263&lt;&gt;"Serviço",0,IF(OR(AND(AUTOEVENTO="Manual",$M263=1),$M263&gt;(ROW(PLE.lastrow)-ROW(PLE.firstrow))),0,IF(OFFSET(PLE!$G$14,$M263,BE$13)="",10^12,OFFSET(PLE!$G$14,$M263,BE$13))))</f>
        <v>1000000000000</v>
      </c>
      <c r="BF263" s="182">
        <f ca="1">IF($D263&lt;&gt;"Serviço",0,IF(OR(AND(AUTOEVENTO="Manual",$M263=1),$M263&gt;(ROW(PLE.lastrow)-ROW(PLE.firstrow))),0,IF(OFFSET(PLE!$G$14,$M263,BF$13)="",10^12,OFFSET(PLE!$G$14,$M263,BF$13))))</f>
        <v>1000000000000</v>
      </c>
      <c r="BG263" s="182">
        <f ca="1">IF($D263&lt;&gt;"Serviço",0,IF(OR(AND(AUTOEVENTO="Manual",$M263=1),$M263&gt;(ROW(PLE.lastrow)-ROW(PLE.firstrow))),0,IF(OFFSET(PLE!$G$14,$M263,BG$13)="",10^12,OFFSET(PLE!$G$14,$M263,BG$13))))</f>
        <v>1000000000000</v>
      </c>
    </row>
    <row r="264" spans="1:59" ht="25.5" x14ac:dyDescent="0.2">
      <c r="A264" s="7" t="str">
        <f t="shared" ca="1" si="11"/>
        <v>225</v>
      </c>
      <c r="B264" s="7" t="str">
        <f ca="1">OFFSET(ORÇAMENTO!C$15,ROW(B264)-ROW(B$15),0)</f>
        <v>S</v>
      </c>
      <c r="C264" s="7" t="str">
        <f ca="1">OFFSET(ORÇAMENTO!L$15,ROW(C264)-ROW(C$15),0)</f>
        <v/>
      </c>
      <c r="D264" s="118" t="str">
        <f ca="1">OFFSET(ORÇAMENTO!N$15,ROW(D264)-ROW(D$15),0)</f>
        <v>Serviço</v>
      </c>
      <c r="E264" s="119" t="str">
        <f ca="1">OFFSET(ORÇAMENTO!O$15,ROW(E264)-ROW(E$15),0)</f>
        <v>-</v>
      </c>
      <c r="F264" s="172" t="str">
        <f ca="1">OFFSET(ORÇAMENTO!R$15,ROW(F264)-ROW(F$15),0)</f>
        <v>(abra o arquivo 'Referência 02-2025.xlsm)</v>
      </c>
      <c r="G264" s="173" t="str">
        <f ca="1">IF($D264&lt;&gt;"Serviço","",OFFSET(ORÇAMENTO!S$15,ROW(G264)-ROW(G$15),0))</f>
        <v>-</v>
      </c>
      <c r="H264" s="124">
        <f ca="1">IF($D264&lt;&gt;"Serviço",0,IF(ACOMPANHAMENTO="BM",ROUND(OFFSET(ORÇAMENTO!AJ$15,ROW(H264)-ROW(H$15),0),15-13*ORÇAMENTO!$AF$7),SUMPRODUCT(($Q$12:$AA$12&lt;&gt;"")*ROUND($Q264:$AA264,15-13*ORÇAMENTO!$AF$7))))</f>
        <v>1.7</v>
      </c>
      <c r="I264" s="561" t="s">
        <v>890</v>
      </c>
      <c r="K264" s="174"/>
      <c r="L264" s="175" t="s">
        <v>255</v>
      </c>
      <c r="M264" s="176">
        <f ca="1">IF($D264&lt;&gt;"Serviço","",IF(AUTOEVENTO="manual",$A264,IF(ISERROR(MATCH($A264,$A$15:OFFSET($A264,-1,0),0)),MAX($M$15:OFFSET(M264,-1,0))+1,INDEX($M$15:OFFSET(M264,-1,0),MATCH($A264,$A$15:OFFSET($A264,-1,0),0)))))</f>
        <v>12</v>
      </c>
      <c r="N264" s="177" t="str">
        <f ca="1">IF($D264&lt;&gt;"Serviço","",IF(AUTOEVENTO="Manual",IF($A264=0,"&lt;-- defina o número do agrupador",OFFSET(EVENTOS!$D$14,$A264,0)),OFFSET($F$15,$A264,0)))</f>
        <v>PINTURAS E ACABAMENTOS</v>
      </c>
      <c r="O264" s="178"/>
      <c r="Q264" s="178"/>
      <c r="R264" s="179"/>
      <c r="S264" s="179"/>
      <c r="T264" s="179"/>
      <c r="U264" s="179"/>
      <c r="V264" s="179"/>
      <c r="W264" s="179"/>
      <c r="X264" s="179"/>
      <c r="Y264" s="179"/>
      <c r="Z264" s="180"/>
      <c r="AB264" s="544">
        <f ca="1">IF(AND($D264="Serviço",AB$12&lt;&gt;0,$H264&gt;0,OR(AUTOEVENTO&lt;&gt;"manual",$M264&lt;&gt;1)),
IF(Import.TipoArredondamento&lt;&gt;"TransfereGOV",
ROUND(OFFSET($P264,0,AB$13),15-13*ORÇAMENTO!$AF$7)/$H264*OFFSET(ORÇAMENTO!$X$15,ROW(AB264)-ROW(AB$15),0),
ROUND(ROUND(OFFSET($P264,0,AB$13),15-13*ORÇAMENTO!$AF$7)*OFFSET(ORÇAMENTO!$W$15,ROW(AB264)-ROW(AB$15),0),15-13*ORÇAMENTO!$AF$11)),0)</f>
        <v>0</v>
      </c>
      <c r="AC264" s="545">
        <f ca="1">IF(AND($D264="Serviço",AC$12&lt;&gt;0,$H264&gt;0,OR(AUTOEVENTO&lt;&gt;"manual",$M264&lt;&gt;1)),
IF(Import.TipoArredondamento&lt;&gt;"TransfereGOV",
ROUND(OFFSET($P264,0,AC$13),15-13*ORÇAMENTO!$AF$7)/$H264*OFFSET(ORÇAMENTO!$X$15,ROW(AC264)-ROW(AC$15),0),
ROUND(ROUND(OFFSET($P264,0,AC$13),15-13*ORÇAMENTO!$AF$7)*OFFSET(ORÇAMENTO!$W$15,ROW(AC264)-ROW(AC$15),0),15-13*ORÇAMENTO!$AF$11)),0)</f>
        <v>0</v>
      </c>
      <c r="AD264" s="545">
        <f ca="1">IF(AND($D264="Serviço",AD$12&lt;&gt;0,$H264&gt;0,OR(AUTOEVENTO&lt;&gt;"manual",$M264&lt;&gt;1)),
IF(Import.TipoArredondamento&lt;&gt;"TransfereGOV",
ROUND(OFFSET($P264,0,AD$13),15-13*ORÇAMENTO!$AF$7)/$H264*OFFSET(ORÇAMENTO!$X$15,ROW(AD264)-ROW(AD$15),0),
ROUND(ROUND(OFFSET($P264,0,AD$13),15-13*ORÇAMENTO!$AF$7)*OFFSET(ORÇAMENTO!$W$15,ROW(AD264)-ROW(AD$15),0),15-13*ORÇAMENTO!$AF$11)),0)</f>
        <v>0</v>
      </c>
      <c r="AE264" s="545">
        <f ca="1">IF(AND($D264="Serviço",AE$12&lt;&gt;0,$H264&gt;0,OR(AUTOEVENTO&lt;&gt;"manual",$M264&lt;&gt;1)),
IF(Import.TipoArredondamento&lt;&gt;"TransfereGOV",
ROUND(OFFSET($P264,0,AE$13),15-13*ORÇAMENTO!$AF$7)/$H264*OFFSET(ORÇAMENTO!$X$15,ROW(AE264)-ROW(AE$15),0),
ROUND(ROUND(OFFSET($P264,0,AE$13),15-13*ORÇAMENTO!$AF$7)*OFFSET(ORÇAMENTO!$W$15,ROW(AE264)-ROW(AE$15),0),15-13*ORÇAMENTO!$AF$11)),0)</f>
        <v>0</v>
      </c>
      <c r="AF264" s="545">
        <f ca="1">IF(AND($D264="Serviço",AF$12&lt;&gt;0,$H264&gt;0,OR(AUTOEVENTO&lt;&gt;"manual",$M264&lt;&gt;1)),
IF(Import.TipoArredondamento&lt;&gt;"TransfereGOV",
ROUND(OFFSET($P264,0,AF$13),15-13*ORÇAMENTO!$AF$7)/$H264*OFFSET(ORÇAMENTO!$X$15,ROW(AF264)-ROW(AF$15),0),
ROUND(ROUND(OFFSET($P264,0,AF$13),15-13*ORÇAMENTO!$AF$7)*OFFSET(ORÇAMENTO!$W$15,ROW(AF264)-ROW(AF$15),0),15-13*ORÇAMENTO!$AF$11)),0)</f>
        <v>0</v>
      </c>
      <c r="AG264" s="545">
        <f ca="1">IF(AND($D264="Serviço",AG$12&lt;&gt;0,$H264&gt;0,OR(AUTOEVENTO&lt;&gt;"manual",$M264&lt;&gt;1)),
IF(Import.TipoArredondamento&lt;&gt;"TransfereGOV",
ROUND(OFFSET($P264,0,AG$13),15-13*ORÇAMENTO!$AF$7)/$H264*OFFSET(ORÇAMENTO!$X$15,ROW(AG264)-ROW(AG$15),0),
ROUND(ROUND(OFFSET($P264,0,AG$13),15-13*ORÇAMENTO!$AF$7)*OFFSET(ORÇAMENTO!$W$15,ROW(AG264)-ROW(AG$15),0),15-13*ORÇAMENTO!$AF$11)),0)</f>
        <v>0</v>
      </c>
      <c r="AH264" s="545">
        <f ca="1">IF(AND($D264="Serviço",AH$12&lt;&gt;0,$H264&gt;0,OR(AUTOEVENTO&lt;&gt;"manual",$M264&lt;&gt;1)),
IF(Import.TipoArredondamento&lt;&gt;"TransfereGOV",
ROUND(OFFSET($P264,0,AH$13),15-13*ORÇAMENTO!$AF$7)/$H264*OFFSET(ORÇAMENTO!$X$15,ROW(AH264)-ROW(AH$15),0),
ROUND(ROUND(OFFSET($P264,0,AH$13),15-13*ORÇAMENTO!$AF$7)*OFFSET(ORÇAMENTO!$W$15,ROW(AH264)-ROW(AH$15),0),15-13*ORÇAMENTO!$AF$11)),0)</f>
        <v>0</v>
      </c>
      <c r="AI264" s="545">
        <f ca="1">IF(AND($D264="Serviço",AI$12&lt;&gt;0,$H264&gt;0,OR(AUTOEVENTO&lt;&gt;"manual",$M264&lt;&gt;1)),
IF(Import.TipoArredondamento&lt;&gt;"TransfereGOV",
ROUND(OFFSET($P264,0,AI$13),15-13*ORÇAMENTO!$AF$7)/$H264*OFFSET(ORÇAMENTO!$X$15,ROW(AI264)-ROW(AI$15),0),
ROUND(ROUND(OFFSET($P264,0,AI$13),15-13*ORÇAMENTO!$AF$7)*OFFSET(ORÇAMENTO!$W$15,ROW(AI264)-ROW(AI$15),0),15-13*ORÇAMENTO!$AF$11)),0)</f>
        <v>0</v>
      </c>
      <c r="AJ264" s="545">
        <f ca="1">IF(AND($D264="Serviço",AJ$12&lt;&gt;0,$H264&gt;0,OR(AUTOEVENTO&lt;&gt;"manual",$M264&lt;&gt;1)),
IF(Import.TipoArredondamento&lt;&gt;"TransfereGOV",
ROUND(OFFSET($P264,0,AJ$13),15-13*ORÇAMENTO!$AF$7)/$H264*OFFSET(ORÇAMENTO!$X$15,ROW(AJ264)-ROW(AJ$15),0),
ROUND(ROUND(OFFSET($P264,0,AJ$13),15-13*ORÇAMENTO!$AF$7)*OFFSET(ORÇAMENTO!$W$15,ROW(AJ264)-ROW(AJ$15),0),15-13*ORÇAMENTO!$AF$11)),0)</f>
        <v>0</v>
      </c>
      <c r="AK264" s="546">
        <f ca="1">IF(AND($D264="Serviço",AK$12&lt;&gt;0,$H264&gt;0,OR(AUTOEVENTO&lt;&gt;"manual",$M264&lt;&gt;1)),
IF(Import.TipoArredondamento&lt;&gt;"TransfereGOV",
ROUND(OFFSET($P264,0,AK$13),15-13*ORÇAMENTO!$AF$7)/$H264*OFFSET(ORÇAMENTO!$X$15,ROW(AK264)-ROW(AK$15),0),
ROUND(ROUND(OFFSET($P264,0,AK$13),15-13*ORÇAMENTO!$AF$7)*OFFSET(ORÇAMENTO!$W$15,ROW(AK264)-ROW(AK$15),0),15-13*ORÇAMENTO!$AF$11)),0)</f>
        <v>0</v>
      </c>
      <c r="AM264" s="181">
        <f ca="1">IF($D264&lt;&gt;"Serviço",0,IF(AND(AUTOEVENTO="Manual",$M264=1),0,IF(OFFSET(CRONOPLE!$F$14,$M264,AM$13)="",10^12,OFFSET(CRONOPLE!$F$14,$M264,AM$13))))</f>
        <v>1000000000000</v>
      </c>
      <c r="AN264" s="181">
        <f ca="1">IF($D264&lt;&gt;"Serviço",0,IF(AND(AUTOEVENTO="Manual",$M264=1),0,IF(OFFSET(CRONOPLE!$F$14,$M264,AN$13)="",10^12,OFFSET(CRONOPLE!$F$14,$M264,AN$13))))</f>
        <v>1000000000000</v>
      </c>
      <c r="AO264" s="181">
        <f ca="1">IF($D264&lt;&gt;"Serviço",0,IF(AND(AUTOEVENTO="Manual",$M264=1),0,IF(OFFSET(CRONOPLE!$F$14,$M264,AO$13)="",10^12,OFFSET(CRONOPLE!$F$14,$M264,AO$13))))</f>
        <v>1000000000000</v>
      </c>
      <c r="AP264" s="181">
        <f ca="1">IF($D264&lt;&gt;"Serviço",0,IF(AND(AUTOEVENTO="Manual",$M264=1),0,IF(OFFSET(CRONOPLE!$F$14,$M264,AP$13)="",10^12,OFFSET(CRONOPLE!$F$14,$M264,AP$13))))</f>
        <v>1000000000000</v>
      </c>
      <c r="AQ264" s="181">
        <f ca="1">IF($D264&lt;&gt;"Serviço",0,IF(AND(AUTOEVENTO="Manual",$M264=1),0,IF(OFFSET(CRONOPLE!$F$14,$M264,AQ$13)="",10^12,OFFSET(CRONOPLE!$F$14,$M264,AQ$13))))</f>
        <v>1000000000000</v>
      </c>
      <c r="AR264" s="181">
        <f ca="1">IF($D264&lt;&gt;"Serviço",0,IF(AND(AUTOEVENTO="Manual",$M264=1),0,IF(OFFSET(CRONOPLE!$F$14,$M264,AR$13)="",10^12,OFFSET(CRONOPLE!$F$14,$M264,AR$13))))</f>
        <v>1000000000000</v>
      </c>
      <c r="AS264" s="181">
        <f ca="1">IF($D264&lt;&gt;"Serviço",0,IF(AND(AUTOEVENTO="Manual",$M264=1),0,IF(OFFSET(CRONOPLE!$F$14,$M264,AS$13)="",10^12,OFFSET(CRONOPLE!$F$14,$M264,AS$13))))</f>
        <v>1000000000000</v>
      </c>
      <c r="AT264" s="181">
        <f ca="1">IF($D264&lt;&gt;"Serviço",0,IF(AND(AUTOEVENTO="Manual",$M264=1),0,IF(OFFSET(CRONOPLE!$F$14,$M264,AT$13)="",10^12,OFFSET(CRONOPLE!$F$14,$M264,AT$13))))</f>
        <v>1000000000000</v>
      </c>
      <c r="AU264" s="181">
        <f ca="1">IF($D264&lt;&gt;"Serviço",0,IF(AND(AUTOEVENTO="Manual",$M264=1),0,IF(OFFSET(CRONOPLE!$F$14,$M264,AU$13)="",10^12,OFFSET(CRONOPLE!$F$14,$M264,AU$13))))</f>
        <v>1000000000000</v>
      </c>
      <c r="AV264" s="181">
        <f ca="1">IF($D264&lt;&gt;"Serviço",0,IF(AND(AUTOEVENTO="Manual",$M264=1),0,IF(OFFSET(CRONOPLE!$F$14,$M264,AV$13)="",10^12,OFFSET(CRONOPLE!$F$14,$M264,AV$13))))</f>
        <v>1000000000000</v>
      </c>
      <c r="AX264" s="182">
        <f ca="1">IF($D264&lt;&gt;"Serviço",0,IF(OR(AND(AUTOEVENTO="Manual",$M264=1),$M264&gt;(ROW(PLE.lastrow)-ROW(PLE.firstrow))),0,IF(OFFSET(PLE!$G$14,$M264,AX$13)="",10^12,OFFSET(PLE!$G$14,$M264,AX$13))))</f>
        <v>1000000000000</v>
      </c>
      <c r="AY264" s="182">
        <f ca="1">IF($D264&lt;&gt;"Serviço",0,IF(OR(AND(AUTOEVENTO="Manual",$M264=1),$M264&gt;(ROW(PLE.lastrow)-ROW(PLE.firstrow))),0,IF(OFFSET(PLE!$G$14,$M264,AY$13)="",10^12,OFFSET(PLE!$G$14,$M264,AY$13))))</f>
        <v>1000000000000</v>
      </c>
      <c r="AZ264" s="182">
        <f ca="1">IF($D264&lt;&gt;"Serviço",0,IF(OR(AND(AUTOEVENTO="Manual",$M264=1),$M264&gt;(ROW(PLE.lastrow)-ROW(PLE.firstrow))),0,IF(OFFSET(PLE!$G$14,$M264,AZ$13)="",10^12,OFFSET(PLE!$G$14,$M264,AZ$13))))</f>
        <v>1000000000000</v>
      </c>
      <c r="BA264" s="182">
        <f ca="1">IF($D264&lt;&gt;"Serviço",0,IF(OR(AND(AUTOEVENTO="Manual",$M264=1),$M264&gt;(ROW(PLE.lastrow)-ROW(PLE.firstrow))),0,IF(OFFSET(PLE!$G$14,$M264,BA$13)="",10^12,OFFSET(PLE!$G$14,$M264,BA$13))))</f>
        <v>1000000000000</v>
      </c>
      <c r="BB264" s="182">
        <f ca="1">IF($D264&lt;&gt;"Serviço",0,IF(OR(AND(AUTOEVENTO="Manual",$M264=1),$M264&gt;(ROW(PLE.lastrow)-ROW(PLE.firstrow))),0,IF(OFFSET(PLE!$G$14,$M264,BB$13)="",10^12,OFFSET(PLE!$G$14,$M264,BB$13))))</f>
        <v>1000000000000</v>
      </c>
      <c r="BC264" s="182">
        <f ca="1">IF($D264&lt;&gt;"Serviço",0,IF(OR(AND(AUTOEVENTO="Manual",$M264=1),$M264&gt;(ROW(PLE.lastrow)-ROW(PLE.firstrow))),0,IF(OFFSET(PLE!$G$14,$M264,BC$13)="",10^12,OFFSET(PLE!$G$14,$M264,BC$13))))</f>
        <v>1000000000000</v>
      </c>
      <c r="BD264" s="182">
        <f ca="1">IF($D264&lt;&gt;"Serviço",0,IF(OR(AND(AUTOEVENTO="Manual",$M264=1),$M264&gt;(ROW(PLE.lastrow)-ROW(PLE.firstrow))),0,IF(OFFSET(PLE!$G$14,$M264,BD$13)="",10^12,OFFSET(PLE!$G$14,$M264,BD$13))))</f>
        <v>1000000000000</v>
      </c>
      <c r="BE264" s="182">
        <f ca="1">IF($D264&lt;&gt;"Serviço",0,IF(OR(AND(AUTOEVENTO="Manual",$M264=1),$M264&gt;(ROW(PLE.lastrow)-ROW(PLE.firstrow))),0,IF(OFFSET(PLE!$G$14,$M264,BE$13)="",10^12,OFFSET(PLE!$G$14,$M264,BE$13))))</f>
        <v>1000000000000</v>
      </c>
      <c r="BF264" s="182">
        <f ca="1">IF($D264&lt;&gt;"Serviço",0,IF(OR(AND(AUTOEVENTO="Manual",$M264=1),$M264&gt;(ROW(PLE.lastrow)-ROW(PLE.firstrow))),0,IF(OFFSET(PLE!$G$14,$M264,BF$13)="",10^12,OFFSET(PLE!$G$14,$M264,BF$13))))</f>
        <v>1000000000000</v>
      </c>
      <c r="BG264" s="182">
        <f ca="1">IF($D264&lt;&gt;"Serviço",0,IF(OR(AND(AUTOEVENTO="Manual",$M264=1),$M264&gt;(ROW(PLE.lastrow)-ROW(PLE.firstrow))),0,IF(OFFSET(PLE!$G$14,$M264,BG$13)="",10^12,OFFSET(PLE!$G$14,$M264,BG$13))))</f>
        <v>1000000000000</v>
      </c>
    </row>
    <row r="265" spans="1:59" ht="25.5" x14ac:dyDescent="0.2">
      <c r="A265" s="7" t="str">
        <f t="shared" ca="1" si="11"/>
        <v>225</v>
      </c>
      <c r="B265" s="7" t="str">
        <f ca="1">OFFSET(ORÇAMENTO!C$15,ROW(B265)-ROW(B$15),0)</f>
        <v>S</v>
      </c>
      <c r="C265" s="7" t="str">
        <f ca="1">OFFSET(ORÇAMENTO!L$15,ROW(C265)-ROW(C$15),0)</f>
        <v/>
      </c>
      <c r="D265" s="118" t="str">
        <f ca="1">OFFSET(ORÇAMENTO!N$15,ROW(D265)-ROW(D$15),0)</f>
        <v>Serviço</v>
      </c>
      <c r="E265" s="119" t="str">
        <f ca="1">OFFSET(ORÇAMENTO!O$15,ROW(E265)-ROW(E$15),0)</f>
        <v>-</v>
      </c>
      <c r="F265" s="172" t="str">
        <f ca="1">OFFSET(ORÇAMENTO!R$15,ROW(F265)-ROW(F$15),0)</f>
        <v>(abra o arquivo 'Referência 02-2025.xlsm)</v>
      </c>
      <c r="G265" s="173" t="str">
        <f ca="1">IF($D265&lt;&gt;"Serviço","",OFFSET(ORÇAMENTO!S$15,ROW(G265)-ROW(G$15),0))</f>
        <v>-</v>
      </c>
      <c r="H265" s="124">
        <f ca="1">IF($D265&lt;&gt;"Serviço",0,IF(ACOMPANHAMENTO="BM",ROUND(OFFSET(ORÇAMENTO!AJ$15,ROW(H265)-ROW(H$15),0),15-13*ORÇAMENTO!$AF$7),SUMPRODUCT(($Q$12:$AA$12&lt;&gt;"")*ROUND($Q265:$AA265,15-13*ORÇAMENTO!$AF$7))))</f>
        <v>0.49</v>
      </c>
      <c r="I265" s="561" t="s">
        <v>890</v>
      </c>
      <c r="K265" s="174"/>
      <c r="L265" s="175" t="s">
        <v>255</v>
      </c>
      <c r="M265" s="176">
        <f ca="1">IF($D265&lt;&gt;"Serviço","",IF(AUTOEVENTO="manual",$A265,IF(ISERROR(MATCH($A265,$A$15:OFFSET($A265,-1,0),0)),MAX($M$15:OFFSET(M265,-1,0))+1,INDEX($M$15:OFFSET(M265,-1,0),MATCH($A265,$A$15:OFFSET($A265,-1,0),0)))))</f>
        <v>12</v>
      </c>
      <c r="N265" s="177" t="str">
        <f ca="1">IF($D265&lt;&gt;"Serviço","",IF(AUTOEVENTO="Manual",IF($A265=0,"&lt;-- defina o número do agrupador",OFFSET(EVENTOS!$D$14,$A265,0)),OFFSET($F$15,$A265,0)))</f>
        <v>PINTURAS E ACABAMENTOS</v>
      </c>
      <c r="O265" s="178"/>
      <c r="Q265" s="178"/>
      <c r="R265" s="179"/>
      <c r="S265" s="179"/>
      <c r="T265" s="179"/>
      <c r="U265" s="179"/>
      <c r="V265" s="179"/>
      <c r="W265" s="179"/>
      <c r="X265" s="179"/>
      <c r="Y265" s="179"/>
      <c r="Z265" s="180"/>
      <c r="AB265" s="544">
        <f ca="1">IF(AND($D265="Serviço",AB$12&lt;&gt;0,$H265&gt;0,OR(AUTOEVENTO&lt;&gt;"manual",$M265&lt;&gt;1)),
IF(Import.TipoArredondamento&lt;&gt;"TransfereGOV",
ROUND(OFFSET($P265,0,AB$13),15-13*ORÇAMENTO!$AF$7)/$H265*OFFSET(ORÇAMENTO!$X$15,ROW(AB265)-ROW(AB$15),0),
ROUND(ROUND(OFFSET($P265,0,AB$13),15-13*ORÇAMENTO!$AF$7)*OFFSET(ORÇAMENTO!$W$15,ROW(AB265)-ROW(AB$15),0),15-13*ORÇAMENTO!$AF$11)),0)</f>
        <v>0</v>
      </c>
      <c r="AC265" s="545">
        <f ca="1">IF(AND($D265="Serviço",AC$12&lt;&gt;0,$H265&gt;0,OR(AUTOEVENTO&lt;&gt;"manual",$M265&lt;&gt;1)),
IF(Import.TipoArredondamento&lt;&gt;"TransfereGOV",
ROUND(OFFSET($P265,0,AC$13),15-13*ORÇAMENTO!$AF$7)/$H265*OFFSET(ORÇAMENTO!$X$15,ROW(AC265)-ROW(AC$15),0),
ROUND(ROUND(OFFSET($P265,0,AC$13),15-13*ORÇAMENTO!$AF$7)*OFFSET(ORÇAMENTO!$W$15,ROW(AC265)-ROW(AC$15),0),15-13*ORÇAMENTO!$AF$11)),0)</f>
        <v>0</v>
      </c>
      <c r="AD265" s="545">
        <f ca="1">IF(AND($D265="Serviço",AD$12&lt;&gt;0,$H265&gt;0,OR(AUTOEVENTO&lt;&gt;"manual",$M265&lt;&gt;1)),
IF(Import.TipoArredondamento&lt;&gt;"TransfereGOV",
ROUND(OFFSET($P265,0,AD$13),15-13*ORÇAMENTO!$AF$7)/$H265*OFFSET(ORÇAMENTO!$X$15,ROW(AD265)-ROW(AD$15),0),
ROUND(ROUND(OFFSET($P265,0,AD$13),15-13*ORÇAMENTO!$AF$7)*OFFSET(ORÇAMENTO!$W$15,ROW(AD265)-ROW(AD$15),0),15-13*ORÇAMENTO!$AF$11)),0)</f>
        <v>0</v>
      </c>
      <c r="AE265" s="545">
        <f ca="1">IF(AND($D265="Serviço",AE$12&lt;&gt;0,$H265&gt;0,OR(AUTOEVENTO&lt;&gt;"manual",$M265&lt;&gt;1)),
IF(Import.TipoArredondamento&lt;&gt;"TransfereGOV",
ROUND(OFFSET($P265,0,AE$13),15-13*ORÇAMENTO!$AF$7)/$H265*OFFSET(ORÇAMENTO!$X$15,ROW(AE265)-ROW(AE$15),0),
ROUND(ROUND(OFFSET($P265,0,AE$13),15-13*ORÇAMENTO!$AF$7)*OFFSET(ORÇAMENTO!$W$15,ROW(AE265)-ROW(AE$15),0),15-13*ORÇAMENTO!$AF$11)),0)</f>
        <v>0</v>
      </c>
      <c r="AF265" s="545">
        <f ca="1">IF(AND($D265="Serviço",AF$12&lt;&gt;0,$H265&gt;0,OR(AUTOEVENTO&lt;&gt;"manual",$M265&lt;&gt;1)),
IF(Import.TipoArredondamento&lt;&gt;"TransfereGOV",
ROUND(OFFSET($P265,0,AF$13),15-13*ORÇAMENTO!$AF$7)/$H265*OFFSET(ORÇAMENTO!$X$15,ROW(AF265)-ROW(AF$15),0),
ROUND(ROUND(OFFSET($P265,0,AF$13),15-13*ORÇAMENTO!$AF$7)*OFFSET(ORÇAMENTO!$W$15,ROW(AF265)-ROW(AF$15),0),15-13*ORÇAMENTO!$AF$11)),0)</f>
        <v>0</v>
      </c>
      <c r="AG265" s="545">
        <f ca="1">IF(AND($D265="Serviço",AG$12&lt;&gt;0,$H265&gt;0,OR(AUTOEVENTO&lt;&gt;"manual",$M265&lt;&gt;1)),
IF(Import.TipoArredondamento&lt;&gt;"TransfereGOV",
ROUND(OFFSET($P265,0,AG$13),15-13*ORÇAMENTO!$AF$7)/$H265*OFFSET(ORÇAMENTO!$X$15,ROW(AG265)-ROW(AG$15),0),
ROUND(ROUND(OFFSET($P265,0,AG$13),15-13*ORÇAMENTO!$AF$7)*OFFSET(ORÇAMENTO!$W$15,ROW(AG265)-ROW(AG$15),0),15-13*ORÇAMENTO!$AF$11)),0)</f>
        <v>0</v>
      </c>
      <c r="AH265" s="545">
        <f ca="1">IF(AND($D265="Serviço",AH$12&lt;&gt;0,$H265&gt;0,OR(AUTOEVENTO&lt;&gt;"manual",$M265&lt;&gt;1)),
IF(Import.TipoArredondamento&lt;&gt;"TransfereGOV",
ROUND(OFFSET($P265,0,AH$13),15-13*ORÇAMENTO!$AF$7)/$H265*OFFSET(ORÇAMENTO!$X$15,ROW(AH265)-ROW(AH$15),0),
ROUND(ROUND(OFFSET($P265,0,AH$13),15-13*ORÇAMENTO!$AF$7)*OFFSET(ORÇAMENTO!$W$15,ROW(AH265)-ROW(AH$15),0),15-13*ORÇAMENTO!$AF$11)),0)</f>
        <v>0</v>
      </c>
      <c r="AI265" s="545">
        <f ca="1">IF(AND($D265="Serviço",AI$12&lt;&gt;0,$H265&gt;0,OR(AUTOEVENTO&lt;&gt;"manual",$M265&lt;&gt;1)),
IF(Import.TipoArredondamento&lt;&gt;"TransfereGOV",
ROUND(OFFSET($P265,0,AI$13),15-13*ORÇAMENTO!$AF$7)/$H265*OFFSET(ORÇAMENTO!$X$15,ROW(AI265)-ROW(AI$15),0),
ROUND(ROUND(OFFSET($P265,0,AI$13),15-13*ORÇAMENTO!$AF$7)*OFFSET(ORÇAMENTO!$W$15,ROW(AI265)-ROW(AI$15),0),15-13*ORÇAMENTO!$AF$11)),0)</f>
        <v>0</v>
      </c>
      <c r="AJ265" s="545">
        <f ca="1">IF(AND($D265="Serviço",AJ$12&lt;&gt;0,$H265&gt;0,OR(AUTOEVENTO&lt;&gt;"manual",$M265&lt;&gt;1)),
IF(Import.TipoArredondamento&lt;&gt;"TransfereGOV",
ROUND(OFFSET($P265,0,AJ$13),15-13*ORÇAMENTO!$AF$7)/$H265*OFFSET(ORÇAMENTO!$X$15,ROW(AJ265)-ROW(AJ$15),0),
ROUND(ROUND(OFFSET($P265,0,AJ$13),15-13*ORÇAMENTO!$AF$7)*OFFSET(ORÇAMENTO!$W$15,ROW(AJ265)-ROW(AJ$15),0),15-13*ORÇAMENTO!$AF$11)),0)</f>
        <v>0</v>
      </c>
      <c r="AK265" s="546">
        <f ca="1">IF(AND($D265="Serviço",AK$12&lt;&gt;0,$H265&gt;0,OR(AUTOEVENTO&lt;&gt;"manual",$M265&lt;&gt;1)),
IF(Import.TipoArredondamento&lt;&gt;"TransfereGOV",
ROUND(OFFSET($P265,0,AK$13),15-13*ORÇAMENTO!$AF$7)/$H265*OFFSET(ORÇAMENTO!$X$15,ROW(AK265)-ROW(AK$15),0),
ROUND(ROUND(OFFSET($P265,0,AK$13),15-13*ORÇAMENTO!$AF$7)*OFFSET(ORÇAMENTO!$W$15,ROW(AK265)-ROW(AK$15),0),15-13*ORÇAMENTO!$AF$11)),0)</f>
        <v>0</v>
      </c>
      <c r="AM265" s="181">
        <f ca="1">IF($D265&lt;&gt;"Serviço",0,IF(AND(AUTOEVENTO="Manual",$M265=1),0,IF(OFFSET(CRONOPLE!$F$14,$M265,AM$13)="",10^12,OFFSET(CRONOPLE!$F$14,$M265,AM$13))))</f>
        <v>1000000000000</v>
      </c>
      <c r="AN265" s="181">
        <f ca="1">IF($D265&lt;&gt;"Serviço",0,IF(AND(AUTOEVENTO="Manual",$M265=1),0,IF(OFFSET(CRONOPLE!$F$14,$M265,AN$13)="",10^12,OFFSET(CRONOPLE!$F$14,$M265,AN$13))))</f>
        <v>1000000000000</v>
      </c>
      <c r="AO265" s="181">
        <f ca="1">IF($D265&lt;&gt;"Serviço",0,IF(AND(AUTOEVENTO="Manual",$M265=1),0,IF(OFFSET(CRONOPLE!$F$14,$M265,AO$13)="",10^12,OFFSET(CRONOPLE!$F$14,$M265,AO$13))))</f>
        <v>1000000000000</v>
      </c>
      <c r="AP265" s="181">
        <f ca="1">IF($D265&lt;&gt;"Serviço",0,IF(AND(AUTOEVENTO="Manual",$M265=1),0,IF(OFFSET(CRONOPLE!$F$14,$M265,AP$13)="",10^12,OFFSET(CRONOPLE!$F$14,$M265,AP$13))))</f>
        <v>1000000000000</v>
      </c>
      <c r="AQ265" s="181">
        <f ca="1">IF($D265&lt;&gt;"Serviço",0,IF(AND(AUTOEVENTO="Manual",$M265=1),0,IF(OFFSET(CRONOPLE!$F$14,$M265,AQ$13)="",10^12,OFFSET(CRONOPLE!$F$14,$M265,AQ$13))))</f>
        <v>1000000000000</v>
      </c>
      <c r="AR265" s="181">
        <f ca="1">IF($D265&lt;&gt;"Serviço",0,IF(AND(AUTOEVENTO="Manual",$M265=1),0,IF(OFFSET(CRONOPLE!$F$14,$M265,AR$13)="",10^12,OFFSET(CRONOPLE!$F$14,$M265,AR$13))))</f>
        <v>1000000000000</v>
      </c>
      <c r="AS265" s="181">
        <f ca="1">IF($D265&lt;&gt;"Serviço",0,IF(AND(AUTOEVENTO="Manual",$M265=1),0,IF(OFFSET(CRONOPLE!$F$14,$M265,AS$13)="",10^12,OFFSET(CRONOPLE!$F$14,$M265,AS$13))))</f>
        <v>1000000000000</v>
      </c>
      <c r="AT265" s="181">
        <f ca="1">IF($D265&lt;&gt;"Serviço",0,IF(AND(AUTOEVENTO="Manual",$M265=1),0,IF(OFFSET(CRONOPLE!$F$14,$M265,AT$13)="",10^12,OFFSET(CRONOPLE!$F$14,$M265,AT$13))))</f>
        <v>1000000000000</v>
      </c>
      <c r="AU265" s="181">
        <f ca="1">IF($D265&lt;&gt;"Serviço",0,IF(AND(AUTOEVENTO="Manual",$M265=1),0,IF(OFFSET(CRONOPLE!$F$14,$M265,AU$13)="",10^12,OFFSET(CRONOPLE!$F$14,$M265,AU$13))))</f>
        <v>1000000000000</v>
      </c>
      <c r="AV265" s="181">
        <f ca="1">IF($D265&lt;&gt;"Serviço",0,IF(AND(AUTOEVENTO="Manual",$M265=1),0,IF(OFFSET(CRONOPLE!$F$14,$M265,AV$13)="",10^12,OFFSET(CRONOPLE!$F$14,$M265,AV$13))))</f>
        <v>1000000000000</v>
      </c>
      <c r="AX265" s="182">
        <f ca="1">IF($D265&lt;&gt;"Serviço",0,IF(OR(AND(AUTOEVENTO="Manual",$M265=1),$M265&gt;(ROW(PLE.lastrow)-ROW(PLE.firstrow))),0,IF(OFFSET(PLE!$G$14,$M265,AX$13)="",10^12,OFFSET(PLE!$G$14,$M265,AX$13))))</f>
        <v>1000000000000</v>
      </c>
      <c r="AY265" s="182">
        <f ca="1">IF($D265&lt;&gt;"Serviço",0,IF(OR(AND(AUTOEVENTO="Manual",$M265=1),$M265&gt;(ROW(PLE.lastrow)-ROW(PLE.firstrow))),0,IF(OFFSET(PLE!$G$14,$M265,AY$13)="",10^12,OFFSET(PLE!$G$14,$M265,AY$13))))</f>
        <v>1000000000000</v>
      </c>
      <c r="AZ265" s="182">
        <f ca="1">IF($D265&lt;&gt;"Serviço",0,IF(OR(AND(AUTOEVENTO="Manual",$M265=1),$M265&gt;(ROW(PLE.lastrow)-ROW(PLE.firstrow))),0,IF(OFFSET(PLE!$G$14,$M265,AZ$13)="",10^12,OFFSET(PLE!$G$14,$M265,AZ$13))))</f>
        <v>1000000000000</v>
      </c>
      <c r="BA265" s="182">
        <f ca="1">IF($D265&lt;&gt;"Serviço",0,IF(OR(AND(AUTOEVENTO="Manual",$M265=1),$M265&gt;(ROW(PLE.lastrow)-ROW(PLE.firstrow))),0,IF(OFFSET(PLE!$G$14,$M265,BA$13)="",10^12,OFFSET(PLE!$G$14,$M265,BA$13))))</f>
        <v>1000000000000</v>
      </c>
      <c r="BB265" s="182">
        <f ca="1">IF($D265&lt;&gt;"Serviço",0,IF(OR(AND(AUTOEVENTO="Manual",$M265=1),$M265&gt;(ROW(PLE.lastrow)-ROW(PLE.firstrow))),0,IF(OFFSET(PLE!$G$14,$M265,BB$13)="",10^12,OFFSET(PLE!$G$14,$M265,BB$13))))</f>
        <v>1000000000000</v>
      </c>
      <c r="BC265" s="182">
        <f ca="1">IF($D265&lt;&gt;"Serviço",0,IF(OR(AND(AUTOEVENTO="Manual",$M265=1),$M265&gt;(ROW(PLE.lastrow)-ROW(PLE.firstrow))),0,IF(OFFSET(PLE!$G$14,$M265,BC$13)="",10^12,OFFSET(PLE!$G$14,$M265,BC$13))))</f>
        <v>1000000000000</v>
      </c>
      <c r="BD265" s="182">
        <f ca="1">IF($D265&lt;&gt;"Serviço",0,IF(OR(AND(AUTOEVENTO="Manual",$M265=1),$M265&gt;(ROW(PLE.lastrow)-ROW(PLE.firstrow))),0,IF(OFFSET(PLE!$G$14,$M265,BD$13)="",10^12,OFFSET(PLE!$G$14,$M265,BD$13))))</f>
        <v>1000000000000</v>
      </c>
      <c r="BE265" s="182">
        <f ca="1">IF($D265&lt;&gt;"Serviço",0,IF(OR(AND(AUTOEVENTO="Manual",$M265=1),$M265&gt;(ROW(PLE.lastrow)-ROW(PLE.firstrow))),0,IF(OFFSET(PLE!$G$14,$M265,BE$13)="",10^12,OFFSET(PLE!$G$14,$M265,BE$13))))</f>
        <v>1000000000000</v>
      </c>
      <c r="BF265" s="182">
        <f ca="1">IF($D265&lt;&gt;"Serviço",0,IF(OR(AND(AUTOEVENTO="Manual",$M265=1),$M265&gt;(ROW(PLE.lastrow)-ROW(PLE.firstrow))),0,IF(OFFSET(PLE!$G$14,$M265,BF$13)="",10^12,OFFSET(PLE!$G$14,$M265,BF$13))))</f>
        <v>1000000000000</v>
      </c>
      <c r="BG265" s="182">
        <f ca="1">IF($D265&lt;&gt;"Serviço",0,IF(OR(AND(AUTOEVENTO="Manual",$M265=1),$M265&gt;(ROW(PLE.lastrow)-ROW(PLE.firstrow))),0,IF(OFFSET(PLE!$G$14,$M265,BG$13)="",10^12,OFFSET(PLE!$G$14,$M265,BG$13))))</f>
        <v>1000000000000</v>
      </c>
    </row>
    <row r="266" spans="1:59" ht="12.75" x14ac:dyDescent="0.2">
      <c r="A266" s="7" t="str">
        <f t="shared" ca="1" si="11"/>
        <v>251.</v>
      </c>
      <c r="B266" s="7">
        <f ca="1">OFFSET(ORÇAMENTO!C$15,ROW(B266)-ROW(B$15),0)</f>
        <v>2</v>
      </c>
      <c r="C266" s="7" t="str">
        <f ca="1">OFFSET(ORÇAMENTO!L$15,ROW(C266)-ROW(C$15),0)</f>
        <v>F</v>
      </c>
      <c r="D266" s="118" t="str">
        <f ca="1">OFFSET(ORÇAMENTO!N$15,ROW(D266)-ROW(D$15),0)</f>
        <v>Nível 2</v>
      </c>
      <c r="E266" s="119" t="str">
        <f ca="1">OFFSET(ORÇAMENTO!O$15,ROW(E266)-ROW(E$15),0)</f>
        <v>1.12.</v>
      </c>
      <c r="F266" s="172" t="str">
        <f ca="1">OFFSET(ORÇAMENTO!R$15,ROW(F266)-ROW(F$15),0)</f>
        <v>INSTALAÇÃO HIDRÁULICA</v>
      </c>
      <c r="G266" s="173" t="str">
        <f ca="1">IF($D266&lt;&gt;"Serviço","",OFFSET(ORÇAMENTO!S$15,ROW(G266)-ROW(G$15),0))</f>
        <v/>
      </c>
      <c r="H266" s="124">
        <f ca="1">IF($D266&lt;&gt;"Serviço",0,IF(ACOMPANHAMENTO="BM",ROUND(OFFSET(ORÇAMENTO!AJ$15,ROW(H266)-ROW(H$15),0),15-13*ORÇAMENTO!$AF$7),SUMPRODUCT(($Q$12:$AA$12&lt;&gt;"")*ROUND($Q266:$AA266,15-13*ORÇAMENTO!$AF$7))))</f>
        <v>0</v>
      </c>
      <c r="I266" s="561"/>
      <c r="K266" s="174"/>
      <c r="L266" s="175" t="s">
        <v>255</v>
      </c>
      <c r="M266" s="176" t="str">
        <f ca="1">IF($D266&lt;&gt;"Serviço","",IF(AUTOEVENTO="manual",$A266,IF(ISERROR(MATCH($A266,$A$15:OFFSET($A266,-1,0),0)),MAX($M$15:OFFSET(M266,-1,0))+1,INDEX($M$15:OFFSET(M266,-1,0),MATCH($A266,$A$15:OFFSET($A266,-1,0),0)))))</f>
        <v/>
      </c>
      <c r="N266" s="177" t="str">
        <f ca="1">IF($D266&lt;&gt;"Serviço","",IF(AUTOEVENTO="Manual",IF($A266=0,"&lt;-- defina o número do agrupador",OFFSET(EVENTOS!$D$14,$A266,0)),OFFSET($F$15,$A266,0)))</f>
        <v/>
      </c>
      <c r="O266" s="178"/>
      <c r="Q266" s="178"/>
      <c r="R266" s="179"/>
      <c r="S266" s="179"/>
      <c r="T266" s="179"/>
      <c r="U266" s="179"/>
      <c r="V266" s="179"/>
      <c r="W266" s="179"/>
      <c r="X266" s="179"/>
      <c r="Y266" s="179"/>
      <c r="Z266" s="180"/>
      <c r="AB266" s="544">
        <f ca="1">IF(AND($D266="Serviço",AB$12&lt;&gt;0,$H266&gt;0,OR(AUTOEVENTO&lt;&gt;"manual",$M266&lt;&gt;1)),
IF(Import.TipoArredondamento&lt;&gt;"TransfereGOV",
ROUND(OFFSET($P266,0,AB$13),15-13*ORÇAMENTO!$AF$7)/$H266*OFFSET(ORÇAMENTO!$X$15,ROW(AB266)-ROW(AB$15),0),
ROUND(ROUND(OFFSET($P266,0,AB$13),15-13*ORÇAMENTO!$AF$7)*OFFSET(ORÇAMENTO!$W$15,ROW(AB266)-ROW(AB$15),0),15-13*ORÇAMENTO!$AF$11)),0)</f>
        <v>0</v>
      </c>
      <c r="AC266" s="545">
        <f ca="1">IF(AND($D266="Serviço",AC$12&lt;&gt;0,$H266&gt;0,OR(AUTOEVENTO&lt;&gt;"manual",$M266&lt;&gt;1)),
IF(Import.TipoArredondamento&lt;&gt;"TransfereGOV",
ROUND(OFFSET($P266,0,AC$13),15-13*ORÇAMENTO!$AF$7)/$H266*OFFSET(ORÇAMENTO!$X$15,ROW(AC266)-ROW(AC$15),0),
ROUND(ROUND(OFFSET($P266,0,AC$13),15-13*ORÇAMENTO!$AF$7)*OFFSET(ORÇAMENTO!$W$15,ROW(AC266)-ROW(AC$15),0),15-13*ORÇAMENTO!$AF$11)),0)</f>
        <v>0</v>
      </c>
      <c r="AD266" s="545">
        <f ca="1">IF(AND($D266="Serviço",AD$12&lt;&gt;0,$H266&gt;0,OR(AUTOEVENTO&lt;&gt;"manual",$M266&lt;&gt;1)),
IF(Import.TipoArredondamento&lt;&gt;"TransfereGOV",
ROUND(OFFSET($P266,0,AD$13),15-13*ORÇAMENTO!$AF$7)/$H266*OFFSET(ORÇAMENTO!$X$15,ROW(AD266)-ROW(AD$15),0),
ROUND(ROUND(OFFSET($P266,0,AD$13),15-13*ORÇAMENTO!$AF$7)*OFFSET(ORÇAMENTO!$W$15,ROW(AD266)-ROW(AD$15),0),15-13*ORÇAMENTO!$AF$11)),0)</f>
        <v>0</v>
      </c>
      <c r="AE266" s="545">
        <f ca="1">IF(AND($D266="Serviço",AE$12&lt;&gt;0,$H266&gt;0,OR(AUTOEVENTO&lt;&gt;"manual",$M266&lt;&gt;1)),
IF(Import.TipoArredondamento&lt;&gt;"TransfereGOV",
ROUND(OFFSET($P266,0,AE$13),15-13*ORÇAMENTO!$AF$7)/$H266*OFFSET(ORÇAMENTO!$X$15,ROW(AE266)-ROW(AE$15),0),
ROUND(ROUND(OFFSET($P266,0,AE$13),15-13*ORÇAMENTO!$AF$7)*OFFSET(ORÇAMENTO!$W$15,ROW(AE266)-ROW(AE$15),0),15-13*ORÇAMENTO!$AF$11)),0)</f>
        <v>0</v>
      </c>
      <c r="AF266" s="545">
        <f ca="1">IF(AND($D266="Serviço",AF$12&lt;&gt;0,$H266&gt;0,OR(AUTOEVENTO&lt;&gt;"manual",$M266&lt;&gt;1)),
IF(Import.TipoArredondamento&lt;&gt;"TransfereGOV",
ROUND(OFFSET($P266,0,AF$13),15-13*ORÇAMENTO!$AF$7)/$H266*OFFSET(ORÇAMENTO!$X$15,ROW(AF266)-ROW(AF$15),0),
ROUND(ROUND(OFFSET($P266,0,AF$13),15-13*ORÇAMENTO!$AF$7)*OFFSET(ORÇAMENTO!$W$15,ROW(AF266)-ROW(AF$15),0),15-13*ORÇAMENTO!$AF$11)),0)</f>
        <v>0</v>
      </c>
      <c r="AG266" s="545">
        <f ca="1">IF(AND($D266="Serviço",AG$12&lt;&gt;0,$H266&gt;0,OR(AUTOEVENTO&lt;&gt;"manual",$M266&lt;&gt;1)),
IF(Import.TipoArredondamento&lt;&gt;"TransfereGOV",
ROUND(OFFSET($P266,0,AG$13),15-13*ORÇAMENTO!$AF$7)/$H266*OFFSET(ORÇAMENTO!$X$15,ROW(AG266)-ROW(AG$15),0),
ROUND(ROUND(OFFSET($P266,0,AG$13),15-13*ORÇAMENTO!$AF$7)*OFFSET(ORÇAMENTO!$W$15,ROW(AG266)-ROW(AG$15),0),15-13*ORÇAMENTO!$AF$11)),0)</f>
        <v>0</v>
      </c>
      <c r="AH266" s="545">
        <f ca="1">IF(AND($D266="Serviço",AH$12&lt;&gt;0,$H266&gt;0,OR(AUTOEVENTO&lt;&gt;"manual",$M266&lt;&gt;1)),
IF(Import.TipoArredondamento&lt;&gt;"TransfereGOV",
ROUND(OFFSET($P266,0,AH$13),15-13*ORÇAMENTO!$AF$7)/$H266*OFFSET(ORÇAMENTO!$X$15,ROW(AH266)-ROW(AH$15),0),
ROUND(ROUND(OFFSET($P266,0,AH$13),15-13*ORÇAMENTO!$AF$7)*OFFSET(ORÇAMENTO!$W$15,ROW(AH266)-ROW(AH$15),0),15-13*ORÇAMENTO!$AF$11)),0)</f>
        <v>0</v>
      </c>
      <c r="AI266" s="545">
        <f ca="1">IF(AND($D266="Serviço",AI$12&lt;&gt;0,$H266&gt;0,OR(AUTOEVENTO&lt;&gt;"manual",$M266&lt;&gt;1)),
IF(Import.TipoArredondamento&lt;&gt;"TransfereGOV",
ROUND(OFFSET($P266,0,AI$13),15-13*ORÇAMENTO!$AF$7)/$H266*OFFSET(ORÇAMENTO!$X$15,ROW(AI266)-ROW(AI$15),0),
ROUND(ROUND(OFFSET($P266,0,AI$13),15-13*ORÇAMENTO!$AF$7)*OFFSET(ORÇAMENTO!$W$15,ROW(AI266)-ROW(AI$15),0),15-13*ORÇAMENTO!$AF$11)),0)</f>
        <v>0</v>
      </c>
      <c r="AJ266" s="545">
        <f ca="1">IF(AND($D266="Serviço",AJ$12&lt;&gt;0,$H266&gt;0,OR(AUTOEVENTO&lt;&gt;"manual",$M266&lt;&gt;1)),
IF(Import.TipoArredondamento&lt;&gt;"TransfereGOV",
ROUND(OFFSET($P266,0,AJ$13),15-13*ORÇAMENTO!$AF$7)/$H266*OFFSET(ORÇAMENTO!$X$15,ROW(AJ266)-ROW(AJ$15),0),
ROUND(ROUND(OFFSET($P266,0,AJ$13),15-13*ORÇAMENTO!$AF$7)*OFFSET(ORÇAMENTO!$W$15,ROW(AJ266)-ROW(AJ$15),0),15-13*ORÇAMENTO!$AF$11)),0)</f>
        <v>0</v>
      </c>
      <c r="AK266" s="546">
        <f ca="1">IF(AND($D266="Serviço",AK$12&lt;&gt;0,$H266&gt;0,OR(AUTOEVENTO&lt;&gt;"manual",$M266&lt;&gt;1)),
IF(Import.TipoArredondamento&lt;&gt;"TransfereGOV",
ROUND(OFFSET($P266,0,AK$13),15-13*ORÇAMENTO!$AF$7)/$H266*OFFSET(ORÇAMENTO!$X$15,ROW(AK266)-ROW(AK$15),0),
ROUND(ROUND(OFFSET($P266,0,AK$13),15-13*ORÇAMENTO!$AF$7)*OFFSET(ORÇAMENTO!$W$15,ROW(AK266)-ROW(AK$15),0),15-13*ORÇAMENTO!$AF$11)),0)</f>
        <v>0</v>
      </c>
      <c r="AM266" s="181">
        <f ca="1">IF($D266&lt;&gt;"Serviço",0,IF(AND(AUTOEVENTO="Manual",$M266=1),0,IF(OFFSET(CRONOPLE!$F$14,$M266,AM$13)="",10^12,OFFSET(CRONOPLE!$F$14,$M266,AM$13))))</f>
        <v>0</v>
      </c>
      <c r="AN266" s="181">
        <f ca="1">IF($D266&lt;&gt;"Serviço",0,IF(AND(AUTOEVENTO="Manual",$M266=1),0,IF(OFFSET(CRONOPLE!$F$14,$M266,AN$13)="",10^12,OFFSET(CRONOPLE!$F$14,$M266,AN$13))))</f>
        <v>0</v>
      </c>
      <c r="AO266" s="181">
        <f ca="1">IF($D266&lt;&gt;"Serviço",0,IF(AND(AUTOEVENTO="Manual",$M266=1),0,IF(OFFSET(CRONOPLE!$F$14,$M266,AO$13)="",10^12,OFFSET(CRONOPLE!$F$14,$M266,AO$13))))</f>
        <v>0</v>
      </c>
      <c r="AP266" s="181">
        <f ca="1">IF($D266&lt;&gt;"Serviço",0,IF(AND(AUTOEVENTO="Manual",$M266=1),0,IF(OFFSET(CRONOPLE!$F$14,$M266,AP$13)="",10^12,OFFSET(CRONOPLE!$F$14,$M266,AP$13))))</f>
        <v>0</v>
      </c>
      <c r="AQ266" s="181">
        <f ca="1">IF($D266&lt;&gt;"Serviço",0,IF(AND(AUTOEVENTO="Manual",$M266=1),0,IF(OFFSET(CRONOPLE!$F$14,$M266,AQ$13)="",10^12,OFFSET(CRONOPLE!$F$14,$M266,AQ$13))))</f>
        <v>0</v>
      </c>
      <c r="AR266" s="181">
        <f ca="1">IF($D266&lt;&gt;"Serviço",0,IF(AND(AUTOEVENTO="Manual",$M266=1),0,IF(OFFSET(CRONOPLE!$F$14,$M266,AR$13)="",10^12,OFFSET(CRONOPLE!$F$14,$M266,AR$13))))</f>
        <v>0</v>
      </c>
      <c r="AS266" s="181">
        <f ca="1">IF($D266&lt;&gt;"Serviço",0,IF(AND(AUTOEVENTO="Manual",$M266=1),0,IF(OFFSET(CRONOPLE!$F$14,$M266,AS$13)="",10^12,OFFSET(CRONOPLE!$F$14,$M266,AS$13))))</f>
        <v>0</v>
      </c>
      <c r="AT266" s="181">
        <f ca="1">IF($D266&lt;&gt;"Serviço",0,IF(AND(AUTOEVENTO="Manual",$M266=1),0,IF(OFFSET(CRONOPLE!$F$14,$M266,AT$13)="",10^12,OFFSET(CRONOPLE!$F$14,$M266,AT$13))))</f>
        <v>0</v>
      </c>
      <c r="AU266" s="181">
        <f ca="1">IF($D266&lt;&gt;"Serviço",0,IF(AND(AUTOEVENTO="Manual",$M266=1),0,IF(OFFSET(CRONOPLE!$F$14,$M266,AU$13)="",10^12,OFFSET(CRONOPLE!$F$14,$M266,AU$13))))</f>
        <v>0</v>
      </c>
      <c r="AV266" s="181">
        <f ca="1">IF($D266&lt;&gt;"Serviço",0,IF(AND(AUTOEVENTO="Manual",$M266=1),0,IF(OFFSET(CRONOPLE!$F$14,$M266,AV$13)="",10^12,OFFSET(CRONOPLE!$F$14,$M266,AV$13))))</f>
        <v>0</v>
      </c>
      <c r="AX266" s="182">
        <f ca="1">IF($D266&lt;&gt;"Serviço",0,IF(OR(AND(AUTOEVENTO="Manual",$M266=1),$M266&gt;(ROW(PLE.lastrow)-ROW(PLE.firstrow))),0,IF(OFFSET(PLE!$G$14,$M266,AX$13)="",10^12,OFFSET(PLE!$G$14,$M266,AX$13))))</f>
        <v>0</v>
      </c>
      <c r="AY266" s="182">
        <f ca="1">IF($D266&lt;&gt;"Serviço",0,IF(OR(AND(AUTOEVENTO="Manual",$M266=1),$M266&gt;(ROW(PLE.lastrow)-ROW(PLE.firstrow))),0,IF(OFFSET(PLE!$G$14,$M266,AY$13)="",10^12,OFFSET(PLE!$G$14,$M266,AY$13))))</f>
        <v>0</v>
      </c>
      <c r="AZ266" s="182">
        <f ca="1">IF($D266&lt;&gt;"Serviço",0,IF(OR(AND(AUTOEVENTO="Manual",$M266=1),$M266&gt;(ROW(PLE.lastrow)-ROW(PLE.firstrow))),0,IF(OFFSET(PLE!$G$14,$M266,AZ$13)="",10^12,OFFSET(PLE!$G$14,$M266,AZ$13))))</f>
        <v>0</v>
      </c>
      <c r="BA266" s="182">
        <f ca="1">IF($D266&lt;&gt;"Serviço",0,IF(OR(AND(AUTOEVENTO="Manual",$M266=1),$M266&gt;(ROW(PLE.lastrow)-ROW(PLE.firstrow))),0,IF(OFFSET(PLE!$G$14,$M266,BA$13)="",10^12,OFFSET(PLE!$G$14,$M266,BA$13))))</f>
        <v>0</v>
      </c>
      <c r="BB266" s="182">
        <f ca="1">IF($D266&lt;&gt;"Serviço",0,IF(OR(AND(AUTOEVENTO="Manual",$M266=1),$M266&gt;(ROW(PLE.lastrow)-ROW(PLE.firstrow))),0,IF(OFFSET(PLE!$G$14,$M266,BB$13)="",10^12,OFFSET(PLE!$G$14,$M266,BB$13))))</f>
        <v>0</v>
      </c>
      <c r="BC266" s="182">
        <f ca="1">IF($D266&lt;&gt;"Serviço",0,IF(OR(AND(AUTOEVENTO="Manual",$M266=1),$M266&gt;(ROW(PLE.lastrow)-ROW(PLE.firstrow))),0,IF(OFFSET(PLE!$G$14,$M266,BC$13)="",10^12,OFFSET(PLE!$G$14,$M266,BC$13))))</f>
        <v>0</v>
      </c>
      <c r="BD266" s="182">
        <f ca="1">IF($D266&lt;&gt;"Serviço",0,IF(OR(AND(AUTOEVENTO="Manual",$M266=1),$M266&gt;(ROW(PLE.lastrow)-ROW(PLE.firstrow))),0,IF(OFFSET(PLE!$G$14,$M266,BD$13)="",10^12,OFFSET(PLE!$G$14,$M266,BD$13))))</f>
        <v>0</v>
      </c>
      <c r="BE266" s="182">
        <f ca="1">IF($D266&lt;&gt;"Serviço",0,IF(OR(AND(AUTOEVENTO="Manual",$M266=1),$M266&gt;(ROW(PLE.lastrow)-ROW(PLE.firstrow))),0,IF(OFFSET(PLE!$G$14,$M266,BE$13)="",10^12,OFFSET(PLE!$G$14,$M266,BE$13))))</f>
        <v>0</v>
      </c>
      <c r="BF266" s="182">
        <f ca="1">IF($D266&lt;&gt;"Serviço",0,IF(OR(AND(AUTOEVENTO="Manual",$M266=1),$M266&gt;(ROW(PLE.lastrow)-ROW(PLE.firstrow))),0,IF(OFFSET(PLE!$G$14,$M266,BF$13)="",10^12,OFFSET(PLE!$G$14,$M266,BF$13))))</f>
        <v>0</v>
      </c>
      <c r="BG266" s="182">
        <f ca="1">IF($D266&lt;&gt;"Serviço",0,IF(OR(AND(AUTOEVENTO="Manual",$M266=1),$M266&gt;(ROW(PLE.lastrow)-ROW(PLE.firstrow))),0,IF(OFFSET(PLE!$G$14,$M266,BG$13)="",10^12,OFFSET(PLE!$G$14,$M266,BG$13))))</f>
        <v>0</v>
      </c>
    </row>
    <row r="267" spans="1:59" ht="12.75" x14ac:dyDescent="0.2">
      <c r="A267" s="7" t="str">
        <f t="shared" ca="1" si="11"/>
        <v>251.</v>
      </c>
      <c r="B267" s="7">
        <f ca="1">OFFSET(ORÇAMENTO!C$15,ROW(B267)-ROW(B$15),0)</f>
        <v>3</v>
      </c>
      <c r="C267" s="7" t="str">
        <f ca="1">OFFSET(ORÇAMENTO!L$15,ROW(C267)-ROW(C$15),0)</f>
        <v>F</v>
      </c>
      <c r="D267" s="118" t="str">
        <f ca="1">OFFSET(ORÇAMENTO!N$15,ROW(D267)-ROW(D$15),0)</f>
        <v>Nível 3</v>
      </c>
      <c r="E267" s="119" t="str">
        <f ca="1">OFFSET(ORÇAMENTO!O$15,ROW(E267)-ROW(E$15),0)</f>
        <v>1.12.1.</v>
      </c>
      <c r="F267" s="172" t="str">
        <f ca="1">OFFSET(ORÇAMENTO!R$15,ROW(F267)-ROW(F$15),0)</f>
        <v>TUBULAÇÕES E CONEXÕES DE PVC RÍGIDO</v>
      </c>
      <c r="G267" s="173" t="str">
        <f ca="1">IF($D267&lt;&gt;"Serviço","",OFFSET(ORÇAMENTO!S$15,ROW(G267)-ROW(G$15),0))</f>
        <v/>
      </c>
      <c r="H267" s="124">
        <f ca="1">IF($D267&lt;&gt;"Serviço",0,IF(ACOMPANHAMENTO="BM",ROUND(OFFSET(ORÇAMENTO!AJ$15,ROW(H267)-ROW(H$15),0),15-13*ORÇAMENTO!$AF$7),SUMPRODUCT(($Q$12:$AA$12&lt;&gt;"")*ROUND($Q267:$AA267,15-13*ORÇAMENTO!$AF$7))))</f>
        <v>0</v>
      </c>
      <c r="I267" s="561"/>
      <c r="K267" s="174"/>
      <c r="L267" s="175" t="s">
        <v>255</v>
      </c>
      <c r="M267" s="176" t="str">
        <f ca="1">IF($D267&lt;&gt;"Serviço","",IF(AUTOEVENTO="manual",$A267,IF(ISERROR(MATCH($A267,$A$15:OFFSET($A267,-1,0),0)),MAX($M$15:OFFSET(M267,-1,0))+1,INDEX($M$15:OFFSET(M267,-1,0),MATCH($A267,$A$15:OFFSET($A267,-1,0),0)))))</f>
        <v/>
      </c>
      <c r="N267" s="177" t="str">
        <f ca="1">IF($D267&lt;&gt;"Serviço","",IF(AUTOEVENTO="Manual",IF($A267=0,"&lt;-- defina o número do agrupador",OFFSET(EVENTOS!$D$14,$A267,0)),OFFSET($F$15,$A267,0)))</f>
        <v/>
      </c>
      <c r="O267" s="178"/>
      <c r="Q267" s="178"/>
      <c r="R267" s="179"/>
      <c r="S267" s="179"/>
      <c r="T267" s="179"/>
      <c r="U267" s="179"/>
      <c r="V267" s="179"/>
      <c r="W267" s="179"/>
      <c r="X267" s="179"/>
      <c r="Y267" s="179"/>
      <c r="Z267" s="180"/>
      <c r="AB267" s="544">
        <f ca="1">IF(AND($D267="Serviço",AB$12&lt;&gt;0,$H267&gt;0,OR(AUTOEVENTO&lt;&gt;"manual",$M267&lt;&gt;1)),
IF(Import.TipoArredondamento&lt;&gt;"TransfereGOV",
ROUND(OFFSET($P267,0,AB$13),15-13*ORÇAMENTO!$AF$7)/$H267*OFFSET(ORÇAMENTO!$X$15,ROW(AB267)-ROW(AB$15),0),
ROUND(ROUND(OFFSET($P267,0,AB$13),15-13*ORÇAMENTO!$AF$7)*OFFSET(ORÇAMENTO!$W$15,ROW(AB267)-ROW(AB$15),0),15-13*ORÇAMENTO!$AF$11)),0)</f>
        <v>0</v>
      </c>
      <c r="AC267" s="545">
        <f ca="1">IF(AND($D267="Serviço",AC$12&lt;&gt;0,$H267&gt;0,OR(AUTOEVENTO&lt;&gt;"manual",$M267&lt;&gt;1)),
IF(Import.TipoArredondamento&lt;&gt;"TransfereGOV",
ROUND(OFFSET($P267,0,AC$13),15-13*ORÇAMENTO!$AF$7)/$H267*OFFSET(ORÇAMENTO!$X$15,ROW(AC267)-ROW(AC$15),0),
ROUND(ROUND(OFFSET($P267,0,AC$13),15-13*ORÇAMENTO!$AF$7)*OFFSET(ORÇAMENTO!$W$15,ROW(AC267)-ROW(AC$15),0),15-13*ORÇAMENTO!$AF$11)),0)</f>
        <v>0</v>
      </c>
      <c r="AD267" s="545">
        <f ca="1">IF(AND($D267="Serviço",AD$12&lt;&gt;0,$H267&gt;0,OR(AUTOEVENTO&lt;&gt;"manual",$M267&lt;&gt;1)),
IF(Import.TipoArredondamento&lt;&gt;"TransfereGOV",
ROUND(OFFSET($P267,0,AD$13),15-13*ORÇAMENTO!$AF$7)/$H267*OFFSET(ORÇAMENTO!$X$15,ROW(AD267)-ROW(AD$15),0),
ROUND(ROUND(OFFSET($P267,0,AD$13),15-13*ORÇAMENTO!$AF$7)*OFFSET(ORÇAMENTO!$W$15,ROW(AD267)-ROW(AD$15),0),15-13*ORÇAMENTO!$AF$11)),0)</f>
        <v>0</v>
      </c>
      <c r="AE267" s="545">
        <f ca="1">IF(AND($D267="Serviço",AE$12&lt;&gt;0,$H267&gt;0,OR(AUTOEVENTO&lt;&gt;"manual",$M267&lt;&gt;1)),
IF(Import.TipoArredondamento&lt;&gt;"TransfereGOV",
ROUND(OFFSET($P267,0,AE$13),15-13*ORÇAMENTO!$AF$7)/$H267*OFFSET(ORÇAMENTO!$X$15,ROW(AE267)-ROW(AE$15),0),
ROUND(ROUND(OFFSET($P267,0,AE$13),15-13*ORÇAMENTO!$AF$7)*OFFSET(ORÇAMENTO!$W$15,ROW(AE267)-ROW(AE$15),0),15-13*ORÇAMENTO!$AF$11)),0)</f>
        <v>0</v>
      </c>
      <c r="AF267" s="545">
        <f ca="1">IF(AND($D267="Serviço",AF$12&lt;&gt;0,$H267&gt;0,OR(AUTOEVENTO&lt;&gt;"manual",$M267&lt;&gt;1)),
IF(Import.TipoArredondamento&lt;&gt;"TransfereGOV",
ROUND(OFFSET($P267,0,AF$13),15-13*ORÇAMENTO!$AF$7)/$H267*OFFSET(ORÇAMENTO!$X$15,ROW(AF267)-ROW(AF$15),0),
ROUND(ROUND(OFFSET($P267,0,AF$13),15-13*ORÇAMENTO!$AF$7)*OFFSET(ORÇAMENTO!$W$15,ROW(AF267)-ROW(AF$15),0),15-13*ORÇAMENTO!$AF$11)),0)</f>
        <v>0</v>
      </c>
      <c r="AG267" s="545">
        <f ca="1">IF(AND($D267="Serviço",AG$12&lt;&gt;0,$H267&gt;0,OR(AUTOEVENTO&lt;&gt;"manual",$M267&lt;&gt;1)),
IF(Import.TipoArredondamento&lt;&gt;"TransfereGOV",
ROUND(OFFSET($P267,0,AG$13),15-13*ORÇAMENTO!$AF$7)/$H267*OFFSET(ORÇAMENTO!$X$15,ROW(AG267)-ROW(AG$15),0),
ROUND(ROUND(OFFSET($P267,0,AG$13),15-13*ORÇAMENTO!$AF$7)*OFFSET(ORÇAMENTO!$W$15,ROW(AG267)-ROW(AG$15),0),15-13*ORÇAMENTO!$AF$11)),0)</f>
        <v>0</v>
      </c>
      <c r="AH267" s="545">
        <f ca="1">IF(AND($D267="Serviço",AH$12&lt;&gt;0,$H267&gt;0,OR(AUTOEVENTO&lt;&gt;"manual",$M267&lt;&gt;1)),
IF(Import.TipoArredondamento&lt;&gt;"TransfereGOV",
ROUND(OFFSET($P267,0,AH$13),15-13*ORÇAMENTO!$AF$7)/$H267*OFFSET(ORÇAMENTO!$X$15,ROW(AH267)-ROW(AH$15),0),
ROUND(ROUND(OFFSET($P267,0,AH$13),15-13*ORÇAMENTO!$AF$7)*OFFSET(ORÇAMENTO!$W$15,ROW(AH267)-ROW(AH$15),0),15-13*ORÇAMENTO!$AF$11)),0)</f>
        <v>0</v>
      </c>
      <c r="AI267" s="545">
        <f ca="1">IF(AND($D267="Serviço",AI$12&lt;&gt;0,$H267&gt;0,OR(AUTOEVENTO&lt;&gt;"manual",$M267&lt;&gt;1)),
IF(Import.TipoArredondamento&lt;&gt;"TransfereGOV",
ROUND(OFFSET($P267,0,AI$13),15-13*ORÇAMENTO!$AF$7)/$H267*OFFSET(ORÇAMENTO!$X$15,ROW(AI267)-ROW(AI$15),0),
ROUND(ROUND(OFFSET($P267,0,AI$13),15-13*ORÇAMENTO!$AF$7)*OFFSET(ORÇAMENTO!$W$15,ROW(AI267)-ROW(AI$15),0),15-13*ORÇAMENTO!$AF$11)),0)</f>
        <v>0</v>
      </c>
      <c r="AJ267" s="545">
        <f ca="1">IF(AND($D267="Serviço",AJ$12&lt;&gt;0,$H267&gt;0,OR(AUTOEVENTO&lt;&gt;"manual",$M267&lt;&gt;1)),
IF(Import.TipoArredondamento&lt;&gt;"TransfereGOV",
ROUND(OFFSET($P267,0,AJ$13),15-13*ORÇAMENTO!$AF$7)/$H267*OFFSET(ORÇAMENTO!$X$15,ROW(AJ267)-ROW(AJ$15),0),
ROUND(ROUND(OFFSET($P267,0,AJ$13),15-13*ORÇAMENTO!$AF$7)*OFFSET(ORÇAMENTO!$W$15,ROW(AJ267)-ROW(AJ$15),0),15-13*ORÇAMENTO!$AF$11)),0)</f>
        <v>0</v>
      </c>
      <c r="AK267" s="546">
        <f ca="1">IF(AND($D267="Serviço",AK$12&lt;&gt;0,$H267&gt;0,OR(AUTOEVENTO&lt;&gt;"manual",$M267&lt;&gt;1)),
IF(Import.TipoArredondamento&lt;&gt;"TransfereGOV",
ROUND(OFFSET($P267,0,AK$13),15-13*ORÇAMENTO!$AF$7)/$H267*OFFSET(ORÇAMENTO!$X$15,ROW(AK267)-ROW(AK$15),0),
ROUND(ROUND(OFFSET($P267,0,AK$13),15-13*ORÇAMENTO!$AF$7)*OFFSET(ORÇAMENTO!$W$15,ROW(AK267)-ROW(AK$15),0),15-13*ORÇAMENTO!$AF$11)),0)</f>
        <v>0</v>
      </c>
      <c r="AM267" s="181">
        <f ca="1">IF($D267&lt;&gt;"Serviço",0,IF(AND(AUTOEVENTO="Manual",$M267=1),0,IF(OFFSET(CRONOPLE!$F$14,$M267,AM$13)="",10^12,OFFSET(CRONOPLE!$F$14,$M267,AM$13))))</f>
        <v>0</v>
      </c>
      <c r="AN267" s="181">
        <f ca="1">IF($D267&lt;&gt;"Serviço",0,IF(AND(AUTOEVENTO="Manual",$M267=1),0,IF(OFFSET(CRONOPLE!$F$14,$M267,AN$13)="",10^12,OFFSET(CRONOPLE!$F$14,$M267,AN$13))))</f>
        <v>0</v>
      </c>
      <c r="AO267" s="181">
        <f ca="1">IF($D267&lt;&gt;"Serviço",0,IF(AND(AUTOEVENTO="Manual",$M267=1),0,IF(OFFSET(CRONOPLE!$F$14,$M267,AO$13)="",10^12,OFFSET(CRONOPLE!$F$14,$M267,AO$13))))</f>
        <v>0</v>
      </c>
      <c r="AP267" s="181">
        <f ca="1">IF($D267&lt;&gt;"Serviço",0,IF(AND(AUTOEVENTO="Manual",$M267=1),0,IF(OFFSET(CRONOPLE!$F$14,$M267,AP$13)="",10^12,OFFSET(CRONOPLE!$F$14,$M267,AP$13))))</f>
        <v>0</v>
      </c>
      <c r="AQ267" s="181">
        <f ca="1">IF($D267&lt;&gt;"Serviço",0,IF(AND(AUTOEVENTO="Manual",$M267=1),0,IF(OFFSET(CRONOPLE!$F$14,$M267,AQ$13)="",10^12,OFFSET(CRONOPLE!$F$14,$M267,AQ$13))))</f>
        <v>0</v>
      </c>
      <c r="AR267" s="181">
        <f ca="1">IF($D267&lt;&gt;"Serviço",0,IF(AND(AUTOEVENTO="Manual",$M267=1),0,IF(OFFSET(CRONOPLE!$F$14,$M267,AR$13)="",10^12,OFFSET(CRONOPLE!$F$14,$M267,AR$13))))</f>
        <v>0</v>
      </c>
      <c r="AS267" s="181">
        <f ca="1">IF($D267&lt;&gt;"Serviço",0,IF(AND(AUTOEVENTO="Manual",$M267=1),0,IF(OFFSET(CRONOPLE!$F$14,$M267,AS$13)="",10^12,OFFSET(CRONOPLE!$F$14,$M267,AS$13))))</f>
        <v>0</v>
      </c>
      <c r="AT267" s="181">
        <f ca="1">IF($D267&lt;&gt;"Serviço",0,IF(AND(AUTOEVENTO="Manual",$M267=1),0,IF(OFFSET(CRONOPLE!$F$14,$M267,AT$13)="",10^12,OFFSET(CRONOPLE!$F$14,$M267,AT$13))))</f>
        <v>0</v>
      </c>
      <c r="AU267" s="181">
        <f ca="1">IF($D267&lt;&gt;"Serviço",0,IF(AND(AUTOEVENTO="Manual",$M267=1),0,IF(OFFSET(CRONOPLE!$F$14,$M267,AU$13)="",10^12,OFFSET(CRONOPLE!$F$14,$M267,AU$13))))</f>
        <v>0</v>
      </c>
      <c r="AV267" s="181">
        <f ca="1">IF($D267&lt;&gt;"Serviço",0,IF(AND(AUTOEVENTO="Manual",$M267=1),0,IF(OFFSET(CRONOPLE!$F$14,$M267,AV$13)="",10^12,OFFSET(CRONOPLE!$F$14,$M267,AV$13))))</f>
        <v>0</v>
      </c>
      <c r="AX267" s="182">
        <f ca="1">IF($D267&lt;&gt;"Serviço",0,IF(OR(AND(AUTOEVENTO="Manual",$M267=1),$M267&gt;(ROW(PLE.lastrow)-ROW(PLE.firstrow))),0,IF(OFFSET(PLE!$G$14,$M267,AX$13)="",10^12,OFFSET(PLE!$G$14,$M267,AX$13))))</f>
        <v>0</v>
      </c>
      <c r="AY267" s="182">
        <f ca="1">IF($D267&lt;&gt;"Serviço",0,IF(OR(AND(AUTOEVENTO="Manual",$M267=1),$M267&gt;(ROW(PLE.lastrow)-ROW(PLE.firstrow))),0,IF(OFFSET(PLE!$G$14,$M267,AY$13)="",10^12,OFFSET(PLE!$G$14,$M267,AY$13))))</f>
        <v>0</v>
      </c>
      <c r="AZ267" s="182">
        <f ca="1">IF($D267&lt;&gt;"Serviço",0,IF(OR(AND(AUTOEVENTO="Manual",$M267=1),$M267&gt;(ROW(PLE.lastrow)-ROW(PLE.firstrow))),0,IF(OFFSET(PLE!$G$14,$M267,AZ$13)="",10^12,OFFSET(PLE!$G$14,$M267,AZ$13))))</f>
        <v>0</v>
      </c>
      <c r="BA267" s="182">
        <f ca="1">IF($D267&lt;&gt;"Serviço",0,IF(OR(AND(AUTOEVENTO="Manual",$M267=1),$M267&gt;(ROW(PLE.lastrow)-ROW(PLE.firstrow))),0,IF(OFFSET(PLE!$G$14,$M267,BA$13)="",10^12,OFFSET(PLE!$G$14,$M267,BA$13))))</f>
        <v>0</v>
      </c>
      <c r="BB267" s="182">
        <f ca="1">IF($D267&lt;&gt;"Serviço",0,IF(OR(AND(AUTOEVENTO="Manual",$M267=1),$M267&gt;(ROW(PLE.lastrow)-ROW(PLE.firstrow))),0,IF(OFFSET(PLE!$G$14,$M267,BB$13)="",10^12,OFFSET(PLE!$G$14,$M267,BB$13))))</f>
        <v>0</v>
      </c>
      <c r="BC267" s="182">
        <f ca="1">IF($D267&lt;&gt;"Serviço",0,IF(OR(AND(AUTOEVENTO="Manual",$M267=1),$M267&gt;(ROW(PLE.lastrow)-ROW(PLE.firstrow))),0,IF(OFFSET(PLE!$G$14,$M267,BC$13)="",10^12,OFFSET(PLE!$G$14,$M267,BC$13))))</f>
        <v>0</v>
      </c>
      <c r="BD267" s="182">
        <f ca="1">IF($D267&lt;&gt;"Serviço",0,IF(OR(AND(AUTOEVENTO="Manual",$M267=1),$M267&gt;(ROW(PLE.lastrow)-ROW(PLE.firstrow))),0,IF(OFFSET(PLE!$G$14,$M267,BD$13)="",10^12,OFFSET(PLE!$G$14,$M267,BD$13))))</f>
        <v>0</v>
      </c>
      <c r="BE267" s="182">
        <f ca="1">IF($D267&lt;&gt;"Serviço",0,IF(OR(AND(AUTOEVENTO="Manual",$M267=1),$M267&gt;(ROW(PLE.lastrow)-ROW(PLE.firstrow))),0,IF(OFFSET(PLE!$G$14,$M267,BE$13)="",10^12,OFFSET(PLE!$G$14,$M267,BE$13))))</f>
        <v>0</v>
      </c>
      <c r="BF267" s="182">
        <f ca="1">IF($D267&lt;&gt;"Serviço",0,IF(OR(AND(AUTOEVENTO="Manual",$M267=1),$M267&gt;(ROW(PLE.lastrow)-ROW(PLE.firstrow))),0,IF(OFFSET(PLE!$G$14,$M267,BF$13)="",10^12,OFFSET(PLE!$G$14,$M267,BF$13))))</f>
        <v>0</v>
      </c>
      <c r="BG267" s="182">
        <f ca="1">IF($D267&lt;&gt;"Serviço",0,IF(OR(AND(AUTOEVENTO="Manual",$M267=1),$M267&gt;(ROW(PLE.lastrow)-ROW(PLE.firstrow))),0,IF(OFFSET(PLE!$G$14,$M267,BG$13)="",10^12,OFFSET(PLE!$G$14,$M267,BG$13))))</f>
        <v>0</v>
      </c>
    </row>
    <row r="268" spans="1:59" ht="25.5" x14ac:dyDescent="0.2">
      <c r="A268" s="7" t="str">
        <f t="shared" ca="1" si="11"/>
        <v>251</v>
      </c>
      <c r="B268" s="7" t="str">
        <f ca="1">OFFSET(ORÇAMENTO!C$15,ROW(B268)-ROW(B$15),0)</f>
        <v>S</v>
      </c>
      <c r="C268" s="7" t="str">
        <f ca="1">OFFSET(ORÇAMENTO!L$15,ROW(C268)-ROW(C$15),0)</f>
        <v/>
      </c>
      <c r="D268" s="118" t="str">
        <f ca="1">OFFSET(ORÇAMENTO!N$15,ROW(D268)-ROW(D$15),0)</f>
        <v>Serviço</v>
      </c>
      <c r="E268" s="119" t="str">
        <f ca="1">OFFSET(ORÇAMENTO!O$15,ROW(E268)-ROW(E$15),0)</f>
        <v>-</v>
      </c>
      <c r="F268" s="172" t="str">
        <f ca="1">OFFSET(ORÇAMENTO!R$15,ROW(F268)-ROW(F$15),0)</f>
        <v>(abra o arquivo 'Referência 02-2025.xlsm)</v>
      </c>
      <c r="G268" s="173" t="str">
        <f ca="1">IF($D268&lt;&gt;"Serviço","",OFFSET(ORÇAMENTO!S$15,ROW(G268)-ROW(G$15),0))</f>
        <v>-</v>
      </c>
      <c r="H268" s="124">
        <f ca="1">IF($D268&lt;&gt;"Serviço",0,IF(ACOMPANHAMENTO="BM",ROUND(OFFSET(ORÇAMENTO!AJ$15,ROW(H268)-ROW(H$15),0),15-13*ORÇAMENTO!$AF$7),SUMPRODUCT(($Q$12:$AA$12&lt;&gt;"")*ROUND($Q268:$AA268,15-13*ORÇAMENTO!$AF$7))))</f>
        <v>407.4</v>
      </c>
      <c r="I268" s="561" t="s">
        <v>890</v>
      </c>
      <c r="K268" s="174"/>
      <c r="L268" s="175" t="s">
        <v>255</v>
      </c>
      <c r="M268" s="176">
        <f ca="1">IF($D268&lt;&gt;"Serviço","",IF(AUTOEVENTO="manual",$A268,IF(ISERROR(MATCH($A268,$A$15:OFFSET($A268,-1,0),0)),MAX($M$15:OFFSET(M268,-1,0))+1,INDEX($M$15:OFFSET(M268,-1,0),MATCH($A268,$A$15:OFFSET($A268,-1,0),0)))))</f>
        <v>13</v>
      </c>
      <c r="N268" s="177" t="str">
        <f ca="1">IF($D268&lt;&gt;"Serviço","",IF(AUTOEVENTO="Manual",IF($A268=0,"&lt;-- defina o número do agrupador",OFFSET(EVENTOS!$D$14,$A268,0)),OFFSET($F$15,$A268,0)))</f>
        <v>INSTALAÇÃO HIDRÁULICA</v>
      </c>
      <c r="O268" s="178"/>
      <c r="Q268" s="178"/>
      <c r="R268" s="179"/>
      <c r="S268" s="179"/>
      <c r="T268" s="179"/>
      <c r="U268" s="179"/>
      <c r="V268" s="179"/>
      <c r="W268" s="179"/>
      <c r="X268" s="179"/>
      <c r="Y268" s="179"/>
      <c r="Z268" s="180"/>
      <c r="AB268" s="544">
        <f ca="1">IF(AND($D268="Serviço",AB$12&lt;&gt;0,$H268&gt;0,OR(AUTOEVENTO&lt;&gt;"manual",$M268&lt;&gt;1)),
IF(Import.TipoArredondamento&lt;&gt;"TransfereGOV",
ROUND(OFFSET($P268,0,AB$13),15-13*ORÇAMENTO!$AF$7)/$H268*OFFSET(ORÇAMENTO!$X$15,ROW(AB268)-ROW(AB$15),0),
ROUND(ROUND(OFFSET($P268,0,AB$13),15-13*ORÇAMENTO!$AF$7)*OFFSET(ORÇAMENTO!$W$15,ROW(AB268)-ROW(AB$15),0),15-13*ORÇAMENTO!$AF$11)),0)</f>
        <v>0</v>
      </c>
      <c r="AC268" s="545">
        <f ca="1">IF(AND($D268="Serviço",AC$12&lt;&gt;0,$H268&gt;0,OR(AUTOEVENTO&lt;&gt;"manual",$M268&lt;&gt;1)),
IF(Import.TipoArredondamento&lt;&gt;"TransfereGOV",
ROUND(OFFSET($P268,0,AC$13),15-13*ORÇAMENTO!$AF$7)/$H268*OFFSET(ORÇAMENTO!$X$15,ROW(AC268)-ROW(AC$15),0),
ROUND(ROUND(OFFSET($P268,0,AC$13),15-13*ORÇAMENTO!$AF$7)*OFFSET(ORÇAMENTO!$W$15,ROW(AC268)-ROW(AC$15),0),15-13*ORÇAMENTO!$AF$11)),0)</f>
        <v>0</v>
      </c>
      <c r="AD268" s="545">
        <f ca="1">IF(AND($D268="Serviço",AD$12&lt;&gt;0,$H268&gt;0,OR(AUTOEVENTO&lt;&gt;"manual",$M268&lt;&gt;1)),
IF(Import.TipoArredondamento&lt;&gt;"TransfereGOV",
ROUND(OFFSET($P268,0,AD$13),15-13*ORÇAMENTO!$AF$7)/$H268*OFFSET(ORÇAMENTO!$X$15,ROW(AD268)-ROW(AD$15),0),
ROUND(ROUND(OFFSET($P268,0,AD$13),15-13*ORÇAMENTO!$AF$7)*OFFSET(ORÇAMENTO!$W$15,ROW(AD268)-ROW(AD$15),0),15-13*ORÇAMENTO!$AF$11)),0)</f>
        <v>0</v>
      </c>
      <c r="AE268" s="545">
        <f ca="1">IF(AND($D268="Serviço",AE$12&lt;&gt;0,$H268&gt;0,OR(AUTOEVENTO&lt;&gt;"manual",$M268&lt;&gt;1)),
IF(Import.TipoArredondamento&lt;&gt;"TransfereGOV",
ROUND(OFFSET($P268,0,AE$13),15-13*ORÇAMENTO!$AF$7)/$H268*OFFSET(ORÇAMENTO!$X$15,ROW(AE268)-ROW(AE$15),0),
ROUND(ROUND(OFFSET($P268,0,AE$13),15-13*ORÇAMENTO!$AF$7)*OFFSET(ORÇAMENTO!$W$15,ROW(AE268)-ROW(AE$15),0),15-13*ORÇAMENTO!$AF$11)),0)</f>
        <v>0</v>
      </c>
      <c r="AF268" s="545">
        <f ca="1">IF(AND($D268="Serviço",AF$12&lt;&gt;0,$H268&gt;0,OR(AUTOEVENTO&lt;&gt;"manual",$M268&lt;&gt;1)),
IF(Import.TipoArredondamento&lt;&gt;"TransfereGOV",
ROUND(OFFSET($P268,0,AF$13),15-13*ORÇAMENTO!$AF$7)/$H268*OFFSET(ORÇAMENTO!$X$15,ROW(AF268)-ROW(AF$15),0),
ROUND(ROUND(OFFSET($P268,0,AF$13),15-13*ORÇAMENTO!$AF$7)*OFFSET(ORÇAMENTO!$W$15,ROW(AF268)-ROW(AF$15),0),15-13*ORÇAMENTO!$AF$11)),0)</f>
        <v>0</v>
      </c>
      <c r="AG268" s="545">
        <f ca="1">IF(AND($D268="Serviço",AG$12&lt;&gt;0,$H268&gt;0,OR(AUTOEVENTO&lt;&gt;"manual",$M268&lt;&gt;1)),
IF(Import.TipoArredondamento&lt;&gt;"TransfereGOV",
ROUND(OFFSET($P268,0,AG$13),15-13*ORÇAMENTO!$AF$7)/$H268*OFFSET(ORÇAMENTO!$X$15,ROW(AG268)-ROW(AG$15),0),
ROUND(ROUND(OFFSET($P268,0,AG$13),15-13*ORÇAMENTO!$AF$7)*OFFSET(ORÇAMENTO!$W$15,ROW(AG268)-ROW(AG$15),0),15-13*ORÇAMENTO!$AF$11)),0)</f>
        <v>0</v>
      </c>
      <c r="AH268" s="545">
        <f ca="1">IF(AND($D268="Serviço",AH$12&lt;&gt;0,$H268&gt;0,OR(AUTOEVENTO&lt;&gt;"manual",$M268&lt;&gt;1)),
IF(Import.TipoArredondamento&lt;&gt;"TransfereGOV",
ROUND(OFFSET($P268,0,AH$13),15-13*ORÇAMENTO!$AF$7)/$H268*OFFSET(ORÇAMENTO!$X$15,ROW(AH268)-ROW(AH$15),0),
ROUND(ROUND(OFFSET($P268,0,AH$13),15-13*ORÇAMENTO!$AF$7)*OFFSET(ORÇAMENTO!$W$15,ROW(AH268)-ROW(AH$15),0),15-13*ORÇAMENTO!$AF$11)),0)</f>
        <v>0</v>
      </c>
      <c r="AI268" s="545">
        <f ca="1">IF(AND($D268="Serviço",AI$12&lt;&gt;0,$H268&gt;0,OR(AUTOEVENTO&lt;&gt;"manual",$M268&lt;&gt;1)),
IF(Import.TipoArredondamento&lt;&gt;"TransfereGOV",
ROUND(OFFSET($P268,0,AI$13),15-13*ORÇAMENTO!$AF$7)/$H268*OFFSET(ORÇAMENTO!$X$15,ROW(AI268)-ROW(AI$15),0),
ROUND(ROUND(OFFSET($P268,0,AI$13),15-13*ORÇAMENTO!$AF$7)*OFFSET(ORÇAMENTO!$W$15,ROW(AI268)-ROW(AI$15),0),15-13*ORÇAMENTO!$AF$11)),0)</f>
        <v>0</v>
      </c>
      <c r="AJ268" s="545">
        <f ca="1">IF(AND($D268="Serviço",AJ$12&lt;&gt;0,$H268&gt;0,OR(AUTOEVENTO&lt;&gt;"manual",$M268&lt;&gt;1)),
IF(Import.TipoArredondamento&lt;&gt;"TransfereGOV",
ROUND(OFFSET($P268,0,AJ$13),15-13*ORÇAMENTO!$AF$7)/$H268*OFFSET(ORÇAMENTO!$X$15,ROW(AJ268)-ROW(AJ$15),0),
ROUND(ROUND(OFFSET($P268,0,AJ$13),15-13*ORÇAMENTO!$AF$7)*OFFSET(ORÇAMENTO!$W$15,ROW(AJ268)-ROW(AJ$15),0),15-13*ORÇAMENTO!$AF$11)),0)</f>
        <v>0</v>
      </c>
      <c r="AK268" s="546">
        <f ca="1">IF(AND($D268="Serviço",AK$12&lt;&gt;0,$H268&gt;0,OR(AUTOEVENTO&lt;&gt;"manual",$M268&lt;&gt;1)),
IF(Import.TipoArredondamento&lt;&gt;"TransfereGOV",
ROUND(OFFSET($P268,0,AK$13),15-13*ORÇAMENTO!$AF$7)/$H268*OFFSET(ORÇAMENTO!$X$15,ROW(AK268)-ROW(AK$15),0),
ROUND(ROUND(OFFSET($P268,0,AK$13),15-13*ORÇAMENTO!$AF$7)*OFFSET(ORÇAMENTO!$W$15,ROW(AK268)-ROW(AK$15),0),15-13*ORÇAMENTO!$AF$11)),0)</f>
        <v>0</v>
      </c>
      <c r="AM268" s="181">
        <f ca="1">IF($D268&lt;&gt;"Serviço",0,IF(AND(AUTOEVENTO="Manual",$M268=1),0,IF(OFFSET(CRONOPLE!$F$14,$M268,AM$13)="",10^12,OFFSET(CRONOPLE!$F$14,$M268,AM$13))))</f>
        <v>1000000000000</v>
      </c>
      <c r="AN268" s="181">
        <f ca="1">IF($D268&lt;&gt;"Serviço",0,IF(AND(AUTOEVENTO="Manual",$M268=1),0,IF(OFFSET(CRONOPLE!$F$14,$M268,AN$13)="",10^12,OFFSET(CRONOPLE!$F$14,$M268,AN$13))))</f>
        <v>1000000000000</v>
      </c>
      <c r="AO268" s="181">
        <f ca="1">IF($D268&lt;&gt;"Serviço",0,IF(AND(AUTOEVENTO="Manual",$M268=1),0,IF(OFFSET(CRONOPLE!$F$14,$M268,AO$13)="",10^12,OFFSET(CRONOPLE!$F$14,$M268,AO$13))))</f>
        <v>1000000000000</v>
      </c>
      <c r="AP268" s="181">
        <f ca="1">IF($D268&lt;&gt;"Serviço",0,IF(AND(AUTOEVENTO="Manual",$M268=1),0,IF(OFFSET(CRONOPLE!$F$14,$M268,AP$13)="",10^12,OFFSET(CRONOPLE!$F$14,$M268,AP$13))))</f>
        <v>1000000000000</v>
      </c>
      <c r="AQ268" s="181">
        <f ca="1">IF($D268&lt;&gt;"Serviço",0,IF(AND(AUTOEVENTO="Manual",$M268=1),0,IF(OFFSET(CRONOPLE!$F$14,$M268,AQ$13)="",10^12,OFFSET(CRONOPLE!$F$14,$M268,AQ$13))))</f>
        <v>1000000000000</v>
      </c>
      <c r="AR268" s="181">
        <f ca="1">IF($D268&lt;&gt;"Serviço",0,IF(AND(AUTOEVENTO="Manual",$M268=1),0,IF(OFFSET(CRONOPLE!$F$14,$M268,AR$13)="",10^12,OFFSET(CRONOPLE!$F$14,$M268,AR$13))))</f>
        <v>1000000000000</v>
      </c>
      <c r="AS268" s="181">
        <f ca="1">IF($D268&lt;&gt;"Serviço",0,IF(AND(AUTOEVENTO="Manual",$M268=1),0,IF(OFFSET(CRONOPLE!$F$14,$M268,AS$13)="",10^12,OFFSET(CRONOPLE!$F$14,$M268,AS$13))))</f>
        <v>1000000000000</v>
      </c>
      <c r="AT268" s="181">
        <f ca="1">IF($D268&lt;&gt;"Serviço",0,IF(AND(AUTOEVENTO="Manual",$M268=1),0,IF(OFFSET(CRONOPLE!$F$14,$M268,AT$13)="",10^12,OFFSET(CRONOPLE!$F$14,$M268,AT$13))))</f>
        <v>1000000000000</v>
      </c>
      <c r="AU268" s="181">
        <f ca="1">IF($D268&lt;&gt;"Serviço",0,IF(AND(AUTOEVENTO="Manual",$M268=1),0,IF(OFFSET(CRONOPLE!$F$14,$M268,AU$13)="",10^12,OFFSET(CRONOPLE!$F$14,$M268,AU$13))))</f>
        <v>1000000000000</v>
      </c>
      <c r="AV268" s="181">
        <f ca="1">IF($D268&lt;&gt;"Serviço",0,IF(AND(AUTOEVENTO="Manual",$M268=1),0,IF(OFFSET(CRONOPLE!$F$14,$M268,AV$13)="",10^12,OFFSET(CRONOPLE!$F$14,$M268,AV$13))))</f>
        <v>1000000000000</v>
      </c>
      <c r="AX268" s="182">
        <f ca="1">IF($D268&lt;&gt;"Serviço",0,IF(OR(AND(AUTOEVENTO="Manual",$M268=1),$M268&gt;(ROW(PLE.lastrow)-ROW(PLE.firstrow))),0,IF(OFFSET(PLE!$G$14,$M268,AX$13)="",10^12,OFFSET(PLE!$G$14,$M268,AX$13))))</f>
        <v>1000000000000</v>
      </c>
      <c r="AY268" s="182">
        <f ca="1">IF($D268&lt;&gt;"Serviço",0,IF(OR(AND(AUTOEVENTO="Manual",$M268=1),$M268&gt;(ROW(PLE.lastrow)-ROW(PLE.firstrow))),0,IF(OFFSET(PLE!$G$14,$M268,AY$13)="",10^12,OFFSET(PLE!$G$14,$M268,AY$13))))</f>
        <v>1000000000000</v>
      </c>
      <c r="AZ268" s="182">
        <f ca="1">IF($D268&lt;&gt;"Serviço",0,IF(OR(AND(AUTOEVENTO="Manual",$M268=1),$M268&gt;(ROW(PLE.lastrow)-ROW(PLE.firstrow))),0,IF(OFFSET(PLE!$G$14,$M268,AZ$13)="",10^12,OFFSET(PLE!$G$14,$M268,AZ$13))))</f>
        <v>1000000000000</v>
      </c>
      <c r="BA268" s="182">
        <f ca="1">IF($D268&lt;&gt;"Serviço",0,IF(OR(AND(AUTOEVENTO="Manual",$M268=1),$M268&gt;(ROW(PLE.lastrow)-ROW(PLE.firstrow))),0,IF(OFFSET(PLE!$G$14,$M268,BA$13)="",10^12,OFFSET(PLE!$G$14,$M268,BA$13))))</f>
        <v>1000000000000</v>
      </c>
      <c r="BB268" s="182">
        <f ca="1">IF($D268&lt;&gt;"Serviço",0,IF(OR(AND(AUTOEVENTO="Manual",$M268=1),$M268&gt;(ROW(PLE.lastrow)-ROW(PLE.firstrow))),0,IF(OFFSET(PLE!$G$14,$M268,BB$13)="",10^12,OFFSET(PLE!$G$14,$M268,BB$13))))</f>
        <v>1000000000000</v>
      </c>
      <c r="BC268" s="182">
        <f ca="1">IF($D268&lt;&gt;"Serviço",0,IF(OR(AND(AUTOEVENTO="Manual",$M268=1),$M268&gt;(ROW(PLE.lastrow)-ROW(PLE.firstrow))),0,IF(OFFSET(PLE!$G$14,$M268,BC$13)="",10^12,OFFSET(PLE!$G$14,$M268,BC$13))))</f>
        <v>1000000000000</v>
      </c>
      <c r="BD268" s="182">
        <f ca="1">IF($D268&lt;&gt;"Serviço",0,IF(OR(AND(AUTOEVENTO="Manual",$M268=1),$M268&gt;(ROW(PLE.lastrow)-ROW(PLE.firstrow))),0,IF(OFFSET(PLE!$G$14,$M268,BD$13)="",10^12,OFFSET(PLE!$G$14,$M268,BD$13))))</f>
        <v>1000000000000</v>
      </c>
      <c r="BE268" s="182">
        <f ca="1">IF($D268&lt;&gt;"Serviço",0,IF(OR(AND(AUTOEVENTO="Manual",$M268=1),$M268&gt;(ROW(PLE.lastrow)-ROW(PLE.firstrow))),0,IF(OFFSET(PLE!$G$14,$M268,BE$13)="",10^12,OFFSET(PLE!$G$14,$M268,BE$13))))</f>
        <v>1000000000000</v>
      </c>
      <c r="BF268" s="182">
        <f ca="1">IF($D268&lt;&gt;"Serviço",0,IF(OR(AND(AUTOEVENTO="Manual",$M268=1),$M268&gt;(ROW(PLE.lastrow)-ROW(PLE.firstrow))),0,IF(OFFSET(PLE!$G$14,$M268,BF$13)="",10^12,OFFSET(PLE!$G$14,$M268,BF$13))))</f>
        <v>1000000000000</v>
      </c>
      <c r="BG268" s="182">
        <f ca="1">IF($D268&lt;&gt;"Serviço",0,IF(OR(AND(AUTOEVENTO="Manual",$M268=1),$M268&gt;(ROW(PLE.lastrow)-ROW(PLE.firstrow))),0,IF(OFFSET(PLE!$G$14,$M268,BG$13)="",10^12,OFFSET(PLE!$G$14,$M268,BG$13))))</f>
        <v>1000000000000</v>
      </c>
    </row>
    <row r="269" spans="1:59" ht="38.25" x14ac:dyDescent="0.2">
      <c r="A269" s="7" t="str">
        <f t="shared" ca="1" si="11"/>
        <v>251</v>
      </c>
      <c r="B269" s="7" t="str">
        <f ca="1">OFFSET(ORÇAMENTO!C$15,ROW(B269)-ROW(B$15),0)</f>
        <v>S</v>
      </c>
      <c r="C269" s="7" t="str">
        <f ca="1">OFFSET(ORÇAMENTO!L$15,ROW(C269)-ROW(C$15),0)</f>
        <v/>
      </c>
      <c r="D269" s="118" t="str">
        <f ca="1">OFFSET(ORÇAMENTO!N$15,ROW(D269)-ROW(D$15),0)</f>
        <v>Serviço</v>
      </c>
      <c r="E269" s="119" t="str">
        <f ca="1">OFFSET(ORÇAMENTO!O$15,ROW(E269)-ROW(E$15),0)</f>
        <v>-</v>
      </c>
      <c r="F269" s="172" t="str">
        <f ca="1">OFFSET(ORÇAMENTO!R$15,ROW(F269)-ROW(F$15),0)</f>
        <v>(abra o arquivo 'Referência 02-2025.xlsm)</v>
      </c>
      <c r="G269" s="173" t="str">
        <f ca="1">IF($D269&lt;&gt;"Serviço","",OFFSET(ORÇAMENTO!S$15,ROW(G269)-ROW(G$15),0))</f>
        <v>-</v>
      </c>
      <c r="H269" s="124">
        <f ca="1">IF($D269&lt;&gt;"Serviço",0,IF(ACOMPANHAMENTO="BM",ROUND(OFFSET(ORÇAMENTO!AJ$15,ROW(H269)-ROW(H$15),0),15-13*ORÇAMENTO!$AF$7),SUMPRODUCT(($Q$12:$AA$12&lt;&gt;"")*ROUND($Q269:$AA269,15-13*ORÇAMENTO!$AF$7))))</f>
        <v>15.5</v>
      </c>
      <c r="I269" s="561" t="s">
        <v>890</v>
      </c>
      <c r="K269" s="174"/>
      <c r="L269" s="175" t="s">
        <v>255</v>
      </c>
      <c r="M269" s="176">
        <f ca="1">IF($D269&lt;&gt;"Serviço","",IF(AUTOEVENTO="manual",$A269,IF(ISERROR(MATCH($A269,$A$15:OFFSET($A269,-1,0),0)),MAX($M$15:OFFSET(M269,-1,0))+1,INDEX($M$15:OFFSET(M269,-1,0),MATCH($A269,$A$15:OFFSET($A269,-1,0),0)))))</f>
        <v>13</v>
      </c>
      <c r="N269" s="177" t="str">
        <f ca="1">IF($D269&lt;&gt;"Serviço","",IF(AUTOEVENTO="Manual",IF($A269=0,"&lt;-- defina o número do agrupador",OFFSET(EVENTOS!$D$14,$A269,0)),OFFSET($F$15,$A269,0)))</f>
        <v>INSTALAÇÃO HIDRÁULICA</v>
      </c>
      <c r="O269" s="178"/>
      <c r="Q269" s="178"/>
      <c r="R269" s="179"/>
      <c r="S269" s="179"/>
      <c r="T269" s="179"/>
      <c r="U269" s="179"/>
      <c r="V269" s="179"/>
      <c r="W269" s="179"/>
      <c r="X269" s="179"/>
      <c r="Y269" s="179"/>
      <c r="Z269" s="180"/>
      <c r="AB269" s="544">
        <f ca="1">IF(AND($D269="Serviço",AB$12&lt;&gt;0,$H269&gt;0,OR(AUTOEVENTO&lt;&gt;"manual",$M269&lt;&gt;1)),
IF(Import.TipoArredondamento&lt;&gt;"TransfereGOV",
ROUND(OFFSET($P269,0,AB$13),15-13*ORÇAMENTO!$AF$7)/$H269*OFFSET(ORÇAMENTO!$X$15,ROW(AB269)-ROW(AB$15),0),
ROUND(ROUND(OFFSET($P269,0,AB$13),15-13*ORÇAMENTO!$AF$7)*OFFSET(ORÇAMENTO!$W$15,ROW(AB269)-ROW(AB$15),0),15-13*ORÇAMENTO!$AF$11)),0)</f>
        <v>0</v>
      </c>
      <c r="AC269" s="545">
        <f ca="1">IF(AND($D269="Serviço",AC$12&lt;&gt;0,$H269&gt;0,OR(AUTOEVENTO&lt;&gt;"manual",$M269&lt;&gt;1)),
IF(Import.TipoArredondamento&lt;&gt;"TransfereGOV",
ROUND(OFFSET($P269,0,AC$13),15-13*ORÇAMENTO!$AF$7)/$H269*OFFSET(ORÇAMENTO!$X$15,ROW(AC269)-ROW(AC$15),0),
ROUND(ROUND(OFFSET($P269,0,AC$13),15-13*ORÇAMENTO!$AF$7)*OFFSET(ORÇAMENTO!$W$15,ROW(AC269)-ROW(AC$15),0),15-13*ORÇAMENTO!$AF$11)),0)</f>
        <v>0</v>
      </c>
      <c r="AD269" s="545">
        <f ca="1">IF(AND($D269="Serviço",AD$12&lt;&gt;0,$H269&gt;0,OR(AUTOEVENTO&lt;&gt;"manual",$M269&lt;&gt;1)),
IF(Import.TipoArredondamento&lt;&gt;"TransfereGOV",
ROUND(OFFSET($P269,0,AD$13),15-13*ORÇAMENTO!$AF$7)/$H269*OFFSET(ORÇAMENTO!$X$15,ROW(AD269)-ROW(AD$15),0),
ROUND(ROUND(OFFSET($P269,0,AD$13),15-13*ORÇAMENTO!$AF$7)*OFFSET(ORÇAMENTO!$W$15,ROW(AD269)-ROW(AD$15),0),15-13*ORÇAMENTO!$AF$11)),0)</f>
        <v>0</v>
      </c>
      <c r="AE269" s="545">
        <f ca="1">IF(AND($D269="Serviço",AE$12&lt;&gt;0,$H269&gt;0,OR(AUTOEVENTO&lt;&gt;"manual",$M269&lt;&gt;1)),
IF(Import.TipoArredondamento&lt;&gt;"TransfereGOV",
ROUND(OFFSET($P269,0,AE$13),15-13*ORÇAMENTO!$AF$7)/$H269*OFFSET(ORÇAMENTO!$X$15,ROW(AE269)-ROW(AE$15),0),
ROUND(ROUND(OFFSET($P269,0,AE$13),15-13*ORÇAMENTO!$AF$7)*OFFSET(ORÇAMENTO!$W$15,ROW(AE269)-ROW(AE$15),0),15-13*ORÇAMENTO!$AF$11)),0)</f>
        <v>0</v>
      </c>
      <c r="AF269" s="545">
        <f ca="1">IF(AND($D269="Serviço",AF$12&lt;&gt;0,$H269&gt;0,OR(AUTOEVENTO&lt;&gt;"manual",$M269&lt;&gt;1)),
IF(Import.TipoArredondamento&lt;&gt;"TransfereGOV",
ROUND(OFFSET($P269,0,AF$13),15-13*ORÇAMENTO!$AF$7)/$H269*OFFSET(ORÇAMENTO!$X$15,ROW(AF269)-ROW(AF$15),0),
ROUND(ROUND(OFFSET($P269,0,AF$13),15-13*ORÇAMENTO!$AF$7)*OFFSET(ORÇAMENTO!$W$15,ROW(AF269)-ROW(AF$15),0),15-13*ORÇAMENTO!$AF$11)),0)</f>
        <v>0</v>
      </c>
      <c r="AG269" s="545">
        <f ca="1">IF(AND($D269="Serviço",AG$12&lt;&gt;0,$H269&gt;0,OR(AUTOEVENTO&lt;&gt;"manual",$M269&lt;&gt;1)),
IF(Import.TipoArredondamento&lt;&gt;"TransfereGOV",
ROUND(OFFSET($P269,0,AG$13),15-13*ORÇAMENTO!$AF$7)/$H269*OFFSET(ORÇAMENTO!$X$15,ROW(AG269)-ROW(AG$15),0),
ROUND(ROUND(OFFSET($P269,0,AG$13),15-13*ORÇAMENTO!$AF$7)*OFFSET(ORÇAMENTO!$W$15,ROW(AG269)-ROW(AG$15),0),15-13*ORÇAMENTO!$AF$11)),0)</f>
        <v>0</v>
      </c>
      <c r="AH269" s="545">
        <f ca="1">IF(AND($D269="Serviço",AH$12&lt;&gt;0,$H269&gt;0,OR(AUTOEVENTO&lt;&gt;"manual",$M269&lt;&gt;1)),
IF(Import.TipoArredondamento&lt;&gt;"TransfereGOV",
ROUND(OFFSET($P269,0,AH$13),15-13*ORÇAMENTO!$AF$7)/$H269*OFFSET(ORÇAMENTO!$X$15,ROW(AH269)-ROW(AH$15),0),
ROUND(ROUND(OFFSET($P269,0,AH$13),15-13*ORÇAMENTO!$AF$7)*OFFSET(ORÇAMENTO!$W$15,ROW(AH269)-ROW(AH$15),0),15-13*ORÇAMENTO!$AF$11)),0)</f>
        <v>0</v>
      </c>
      <c r="AI269" s="545">
        <f ca="1">IF(AND($D269="Serviço",AI$12&lt;&gt;0,$H269&gt;0,OR(AUTOEVENTO&lt;&gt;"manual",$M269&lt;&gt;1)),
IF(Import.TipoArredondamento&lt;&gt;"TransfereGOV",
ROUND(OFFSET($P269,0,AI$13),15-13*ORÇAMENTO!$AF$7)/$H269*OFFSET(ORÇAMENTO!$X$15,ROW(AI269)-ROW(AI$15),0),
ROUND(ROUND(OFFSET($P269,0,AI$13),15-13*ORÇAMENTO!$AF$7)*OFFSET(ORÇAMENTO!$W$15,ROW(AI269)-ROW(AI$15),0),15-13*ORÇAMENTO!$AF$11)),0)</f>
        <v>0</v>
      </c>
      <c r="AJ269" s="545">
        <f ca="1">IF(AND($D269="Serviço",AJ$12&lt;&gt;0,$H269&gt;0,OR(AUTOEVENTO&lt;&gt;"manual",$M269&lt;&gt;1)),
IF(Import.TipoArredondamento&lt;&gt;"TransfereGOV",
ROUND(OFFSET($P269,0,AJ$13),15-13*ORÇAMENTO!$AF$7)/$H269*OFFSET(ORÇAMENTO!$X$15,ROW(AJ269)-ROW(AJ$15),0),
ROUND(ROUND(OFFSET($P269,0,AJ$13),15-13*ORÇAMENTO!$AF$7)*OFFSET(ORÇAMENTO!$W$15,ROW(AJ269)-ROW(AJ$15),0),15-13*ORÇAMENTO!$AF$11)),0)</f>
        <v>0</v>
      </c>
      <c r="AK269" s="546">
        <f ca="1">IF(AND($D269="Serviço",AK$12&lt;&gt;0,$H269&gt;0,OR(AUTOEVENTO&lt;&gt;"manual",$M269&lt;&gt;1)),
IF(Import.TipoArredondamento&lt;&gt;"TransfereGOV",
ROUND(OFFSET($P269,0,AK$13),15-13*ORÇAMENTO!$AF$7)/$H269*OFFSET(ORÇAMENTO!$X$15,ROW(AK269)-ROW(AK$15),0),
ROUND(ROUND(OFFSET($P269,0,AK$13),15-13*ORÇAMENTO!$AF$7)*OFFSET(ORÇAMENTO!$W$15,ROW(AK269)-ROW(AK$15),0),15-13*ORÇAMENTO!$AF$11)),0)</f>
        <v>0</v>
      </c>
      <c r="AM269" s="181">
        <f ca="1">IF($D269&lt;&gt;"Serviço",0,IF(AND(AUTOEVENTO="Manual",$M269=1),0,IF(OFFSET(CRONOPLE!$F$14,$M269,AM$13)="",10^12,OFFSET(CRONOPLE!$F$14,$M269,AM$13))))</f>
        <v>1000000000000</v>
      </c>
      <c r="AN269" s="181">
        <f ca="1">IF($D269&lt;&gt;"Serviço",0,IF(AND(AUTOEVENTO="Manual",$M269=1),0,IF(OFFSET(CRONOPLE!$F$14,$M269,AN$13)="",10^12,OFFSET(CRONOPLE!$F$14,$M269,AN$13))))</f>
        <v>1000000000000</v>
      </c>
      <c r="AO269" s="181">
        <f ca="1">IF($D269&lt;&gt;"Serviço",0,IF(AND(AUTOEVENTO="Manual",$M269=1),0,IF(OFFSET(CRONOPLE!$F$14,$M269,AO$13)="",10^12,OFFSET(CRONOPLE!$F$14,$M269,AO$13))))</f>
        <v>1000000000000</v>
      </c>
      <c r="AP269" s="181">
        <f ca="1">IF($D269&lt;&gt;"Serviço",0,IF(AND(AUTOEVENTO="Manual",$M269=1),0,IF(OFFSET(CRONOPLE!$F$14,$M269,AP$13)="",10^12,OFFSET(CRONOPLE!$F$14,$M269,AP$13))))</f>
        <v>1000000000000</v>
      </c>
      <c r="AQ269" s="181">
        <f ca="1">IF($D269&lt;&gt;"Serviço",0,IF(AND(AUTOEVENTO="Manual",$M269=1),0,IF(OFFSET(CRONOPLE!$F$14,$M269,AQ$13)="",10^12,OFFSET(CRONOPLE!$F$14,$M269,AQ$13))))</f>
        <v>1000000000000</v>
      </c>
      <c r="AR269" s="181">
        <f ca="1">IF($D269&lt;&gt;"Serviço",0,IF(AND(AUTOEVENTO="Manual",$M269=1),0,IF(OFFSET(CRONOPLE!$F$14,$M269,AR$13)="",10^12,OFFSET(CRONOPLE!$F$14,$M269,AR$13))))</f>
        <v>1000000000000</v>
      </c>
      <c r="AS269" s="181">
        <f ca="1">IF($D269&lt;&gt;"Serviço",0,IF(AND(AUTOEVENTO="Manual",$M269=1),0,IF(OFFSET(CRONOPLE!$F$14,$M269,AS$13)="",10^12,OFFSET(CRONOPLE!$F$14,$M269,AS$13))))</f>
        <v>1000000000000</v>
      </c>
      <c r="AT269" s="181">
        <f ca="1">IF($D269&lt;&gt;"Serviço",0,IF(AND(AUTOEVENTO="Manual",$M269=1),0,IF(OFFSET(CRONOPLE!$F$14,$M269,AT$13)="",10^12,OFFSET(CRONOPLE!$F$14,$M269,AT$13))))</f>
        <v>1000000000000</v>
      </c>
      <c r="AU269" s="181">
        <f ca="1">IF($D269&lt;&gt;"Serviço",0,IF(AND(AUTOEVENTO="Manual",$M269=1),0,IF(OFFSET(CRONOPLE!$F$14,$M269,AU$13)="",10^12,OFFSET(CRONOPLE!$F$14,$M269,AU$13))))</f>
        <v>1000000000000</v>
      </c>
      <c r="AV269" s="181">
        <f ca="1">IF($D269&lt;&gt;"Serviço",0,IF(AND(AUTOEVENTO="Manual",$M269=1),0,IF(OFFSET(CRONOPLE!$F$14,$M269,AV$13)="",10^12,OFFSET(CRONOPLE!$F$14,$M269,AV$13))))</f>
        <v>1000000000000</v>
      </c>
      <c r="AX269" s="182">
        <f ca="1">IF($D269&lt;&gt;"Serviço",0,IF(OR(AND(AUTOEVENTO="Manual",$M269=1),$M269&gt;(ROW(PLE.lastrow)-ROW(PLE.firstrow))),0,IF(OFFSET(PLE!$G$14,$M269,AX$13)="",10^12,OFFSET(PLE!$G$14,$M269,AX$13))))</f>
        <v>1000000000000</v>
      </c>
      <c r="AY269" s="182">
        <f ca="1">IF($D269&lt;&gt;"Serviço",0,IF(OR(AND(AUTOEVENTO="Manual",$M269=1),$M269&gt;(ROW(PLE.lastrow)-ROW(PLE.firstrow))),0,IF(OFFSET(PLE!$G$14,$M269,AY$13)="",10^12,OFFSET(PLE!$G$14,$M269,AY$13))))</f>
        <v>1000000000000</v>
      </c>
      <c r="AZ269" s="182">
        <f ca="1">IF($D269&lt;&gt;"Serviço",0,IF(OR(AND(AUTOEVENTO="Manual",$M269=1),$M269&gt;(ROW(PLE.lastrow)-ROW(PLE.firstrow))),0,IF(OFFSET(PLE!$G$14,$M269,AZ$13)="",10^12,OFFSET(PLE!$G$14,$M269,AZ$13))))</f>
        <v>1000000000000</v>
      </c>
      <c r="BA269" s="182">
        <f ca="1">IF($D269&lt;&gt;"Serviço",0,IF(OR(AND(AUTOEVENTO="Manual",$M269=1),$M269&gt;(ROW(PLE.lastrow)-ROW(PLE.firstrow))),0,IF(OFFSET(PLE!$G$14,$M269,BA$13)="",10^12,OFFSET(PLE!$G$14,$M269,BA$13))))</f>
        <v>1000000000000</v>
      </c>
      <c r="BB269" s="182">
        <f ca="1">IF($D269&lt;&gt;"Serviço",0,IF(OR(AND(AUTOEVENTO="Manual",$M269=1),$M269&gt;(ROW(PLE.lastrow)-ROW(PLE.firstrow))),0,IF(OFFSET(PLE!$G$14,$M269,BB$13)="",10^12,OFFSET(PLE!$G$14,$M269,BB$13))))</f>
        <v>1000000000000</v>
      </c>
      <c r="BC269" s="182">
        <f ca="1">IF($D269&lt;&gt;"Serviço",0,IF(OR(AND(AUTOEVENTO="Manual",$M269=1),$M269&gt;(ROW(PLE.lastrow)-ROW(PLE.firstrow))),0,IF(OFFSET(PLE!$G$14,$M269,BC$13)="",10^12,OFFSET(PLE!$G$14,$M269,BC$13))))</f>
        <v>1000000000000</v>
      </c>
      <c r="BD269" s="182">
        <f ca="1">IF($D269&lt;&gt;"Serviço",0,IF(OR(AND(AUTOEVENTO="Manual",$M269=1),$M269&gt;(ROW(PLE.lastrow)-ROW(PLE.firstrow))),0,IF(OFFSET(PLE!$G$14,$M269,BD$13)="",10^12,OFFSET(PLE!$G$14,$M269,BD$13))))</f>
        <v>1000000000000</v>
      </c>
      <c r="BE269" s="182">
        <f ca="1">IF($D269&lt;&gt;"Serviço",0,IF(OR(AND(AUTOEVENTO="Manual",$M269=1),$M269&gt;(ROW(PLE.lastrow)-ROW(PLE.firstrow))),0,IF(OFFSET(PLE!$G$14,$M269,BE$13)="",10^12,OFFSET(PLE!$G$14,$M269,BE$13))))</f>
        <v>1000000000000</v>
      </c>
      <c r="BF269" s="182">
        <f ca="1">IF($D269&lt;&gt;"Serviço",0,IF(OR(AND(AUTOEVENTO="Manual",$M269=1),$M269&gt;(ROW(PLE.lastrow)-ROW(PLE.firstrow))),0,IF(OFFSET(PLE!$G$14,$M269,BF$13)="",10^12,OFFSET(PLE!$G$14,$M269,BF$13))))</f>
        <v>1000000000000</v>
      </c>
      <c r="BG269" s="182">
        <f ca="1">IF($D269&lt;&gt;"Serviço",0,IF(OR(AND(AUTOEVENTO="Manual",$M269=1),$M269&gt;(ROW(PLE.lastrow)-ROW(PLE.firstrow))),0,IF(OFFSET(PLE!$G$14,$M269,BG$13)="",10^12,OFFSET(PLE!$G$14,$M269,BG$13))))</f>
        <v>1000000000000</v>
      </c>
    </row>
    <row r="270" spans="1:59" ht="38.25" x14ac:dyDescent="0.2">
      <c r="A270" s="7" t="str">
        <f t="shared" ca="1" si="11"/>
        <v>251</v>
      </c>
      <c r="B270" s="7" t="str">
        <f ca="1">OFFSET(ORÇAMENTO!C$15,ROW(B270)-ROW(B$15),0)</f>
        <v>S</v>
      </c>
      <c r="C270" s="7" t="str">
        <f ca="1">OFFSET(ORÇAMENTO!L$15,ROW(C270)-ROW(C$15),0)</f>
        <v/>
      </c>
      <c r="D270" s="118" t="str">
        <f ca="1">OFFSET(ORÇAMENTO!N$15,ROW(D270)-ROW(D$15),0)</f>
        <v>Serviço</v>
      </c>
      <c r="E270" s="119" t="str">
        <f ca="1">OFFSET(ORÇAMENTO!O$15,ROW(E270)-ROW(E$15),0)</f>
        <v>-</v>
      </c>
      <c r="F270" s="172" t="str">
        <f ca="1">OFFSET(ORÇAMENTO!R$15,ROW(F270)-ROW(F$15),0)</f>
        <v>(abra o arquivo 'Referência 02-2025.xlsm)</v>
      </c>
      <c r="G270" s="173" t="str">
        <f ca="1">IF($D270&lt;&gt;"Serviço","",OFFSET(ORÇAMENTO!S$15,ROW(G270)-ROW(G$15),0))</f>
        <v>-</v>
      </c>
      <c r="H270" s="124">
        <f ca="1">IF($D270&lt;&gt;"Serviço",0,IF(ACOMPANHAMENTO="BM",ROUND(OFFSET(ORÇAMENTO!AJ$15,ROW(H270)-ROW(H$15),0),15-13*ORÇAMENTO!$AF$7),SUMPRODUCT(($Q$12:$AA$12&lt;&gt;"")*ROUND($Q270:$AA270,15-13*ORÇAMENTO!$AF$7))))</f>
        <v>51.5</v>
      </c>
      <c r="I270" s="561" t="s">
        <v>890</v>
      </c>
      <c r="K270" s="174"/>
      <c r="L270" s="175" t="s">
        <v>255</v>
      </c>
      <c r="M270" s="176">
        <f ca="1">IF($D270&lt;&gt;"Serviço","",IF(AUTOEVENTO="manual",$A270,IF(ISERROR(MATCH($A270,$A$15:OFFSET($A270,-1,0),0)),MAX($M$15:OFFSET(M270,-1,0))+1,INDEX($M$15:OFFSET(M270,-1,0),MATCH($A270,$A$15:OFFSET($A270,-1,0),0)))))</f>
        <v>13</v>
      </c>
      <c r="N270" s="177" t="str">
        <f ca="1">IF($D270&lt;&gt;"Serviço","",IF(AUTOEVENTO="Manual",IF($A270=0,"&lt;-- defina o número do agrupador",OFFSET(EVENTOS!$D$14,$A270,0)),OFFSET($F$15,$A270,0)))</f>
        <v>INSTALAÇÃO HIDRÁULICA</v>
      </c>
      <c r="O270" s="178"/>
      <c r="Q270" s="178"/>
      <c r="R270" s="179"/>
      <c r="S270" s="179"/>
      <c r="T270" s="179"/>
      <c r="U270" s="179"/>
      <c r="V270" s="179"/>
      <c r="W270" s="179"/>
      <c r="X270" s="179"/>
      <c r="Y270" s="179"/>
      <c r="Z270" s="180"/>
      <c r="AB270" s="544">
        <f ca="1">IF(AND($D270="Serviço",AB$12&lt;&gt;0,$H270&gt;0,OR(AUTOEVENTO&lt;&gt;"manual",$M270&lt;&gt;1)),
IF(Import.TipoArredondamento&lt;&gt;"TransfereGOV",
ROUND(OFFSET($P270,0,AB$13),15-13*ORÇAMENTO!$AF$7)/$H270*OFFSET(ORÇAMENTO!$X$15,ROW(AB270)-ROW(AB$15),0),
ROUND(ROUND(OFFSET($P270,0,AB$13),15-13*ORÇAMENTO!$AF$7)*OFFSET(ORÇAMENTO!$W$15,ROW(AB270)-ROW(AB$15),0),15-13*ORÇAMENTO!$AF$11)),0)</f>
        <v>0</v>
      </c>
      <c r="AC270" s="545">
        <f ca="1">IF(AND($D270="Serviço",AC$12&lt;&gt;0,$H270&gt;0,OR(AUTOEVENTO&lt;&gt;"manual",$M270&lt;&gt;1)),
IF(Import.TipoArredondamento&lt;&gt;"TransfereGOV",
ROUND(OFFSET($P270,0,AC$13),15-13*ORÇAMENTO!$AF$7)/$H270*OFFSET(ORÇAMENTO!$X$15,ROW(AC270)-ROW(AC$15),0),
ROUND(ROUND(OFFSET($P270,0,AC$13),15-13*ORÇAMENTO!$AF$7)*OFFSET(ORÇAMENTO!$W$15,ROW(AC270)-ROW(AC$15),0),15-13*ORÇAMENTO!$AF$11)),0)</f>
        <v>0</v>
      </c>
      <c r="AD270" s="545">
        <f ca="1">IF(AND($D270="Serviço",AD$12&lt;&gt;0,$H270&gt;0,OR(AUTOEVENTO&lt;&gt;"manual",$M270&lt;&gt;1)),
IF(Import.TipoArredondamento&lt;&gt;"TransfereGOV",
ROUND(OFFSET($P270,0,AD$13),15-13*ORÇAMENTO!$AF$7)/$H270*OFFSET(ORÇAMENTO!$X$15,ROW(AD270)-ROW(AD$15),0),
ROUND(ROUND(OFFSET($P270,0,AD$13),15-13*ORÇAMENTO!$AF$7)*OFFSET(ORÇAMENTO!$W$15,ROW(AD270)-ROW(AD$15),0),15-13*ORÇAMENTO!$AF$11)),0)</f>
        <v>0</v>
      </c>
      <c r="AE270" s="545">
        <f ca="1">IF(AND($D270="Serviço",AE$12&lt;&gt;0,$H270&gt;0,OR(AUTOEVENTO&lt;&gt;"manual",$M270&lt;&gt;1)),
IF(Import.TipoArredondamento&lt;&gt;"TransfereGOV",
ROUND(OFFSET($P270,0,AE$13),15-13*ORÇAMENTO!$AF$7)/$H270*OFFSET(ORÇAMENTO!$X$15,ROW(AE270)-ROW(AE$15),0),
ROUND(ROUND(OFFSET($P270,0,AE$13),15-13*ORÇAMENTO!$AF$7)*OFFSET(ORÇAMENTO!$W$15,ROW(AE270)-ROW(AE$15),0),15-13*ORÇAMENTO!$AF$11)),0)</f>
        <v>0</v>
      </c>
      <c r="AF270" s="545">
        <f ca="1">IF(AND($D270="Serviço",AF$12&lt;&gt;0,$H270&gt;0,OR(AUTOEVENTO&lt;&gt;"manual",$M270&lt;&gt;1)),
IF(Import.TipoArredondamento&lt;&gt;"TransfereGOV",
ROUND(OFFSET($P270,0,AF$13),15-13*ORÇAMENTO!$AF$7)/$H270*OFFSET(ORÇAMENTO!$X$15,ROW(AF270)-ROW(AF$15),0),
ROUND(ROUND(OFFSET($P270,0,AF$13),15-13*ORÇAMENTO!$AF$7)*OFFSET(ORÇAMENTO!$W$15,ROW(AF270)-ROW(AF$15),0),15-13*ORÇAMENTO!$AF$11)),0)</f>
        <v>0</v>
      </c>
      <c r="AG270" s="545">
        <f ca="1">IF(AND($D270="Serviço",AG$12&lt;&gt;0,$H270&gt;0,OR(AUTOEVENTO&lt;&gt;"manual",$M270&lt;&gt;1)),
IF(Import.TipoArredondamento&lt;&gt;"TransfereGOV",
ROUND(OFFSET($P270,0,AG$13),15-13*ORÇAMENTO!$AF$7)/$H270*OFFSET(ORÇAMENTO!$X$15,ROW(AG270)-ROW(AG$15),0),
ROUND(ROUND(OFFSET($P270,0,AG$13),15-13*ORÇAMENTO!$AF$7)*OFFSET(ORÇAMENTO!$W$15,ROW(AG270)-ROW(AG$15),0),15-13*ORÇAMENTO!$AF$11)),0)</f>
        <v>0</v>
      </c>
      <c r="AH270" s="545">
        <f ca="1">IF(AND($D270="Serviço",AH$12&lt;&gt;0,$H270&gt;0,OR(AUTOEVENTO&lt;&gt;"manual",$M270&lt;&gt;1)),
IF(Import.TipoArredondamento&lt;&gt;"TransfereGOV",
ROUND(OFFSET($P270,0,AH$13),15-13*ORÇAMENTO!$AF$7)/$H270*OFFSET(ORÇAMENTO!$X$15,ROW(AH270)-ROW(AH$15),0),
ROUND(ROUND(OFFSET($P270,0,AH$13),15-13*ORÇAMENTO!$AF$7)*OFFSET(ORÇAMENTO!$W$15,ROW(AH270)-ROW(AH$15),0),15-13*ORÇAMENTO!$AF$11)),0)</f>
        <v>0</v>
      </c>
      <c r="AI270" s="545">
        <f ca="1">IF(AND($D270="Serviço",AI$12&lt;&gt;0,$H270&gt;0,OR(AUTOEVENTO&lt;&gt;"manual",$M270&lt;&gt;1)),
IF(Import.TipoArredondamento&lt;&gt;"TransfereGOV",
ROUND(OFFSET($P270,0,AI$13),15-13*ORÇAMENTO!$AF$7)/$H270*OFFSET(ORÇAMENTO!$X$15,ROW(AI270)-ROW(AI$15),0),
ROUND(ROUND(OFFSET($P270,0,AI$13),15-13*ORÇAMENTO!$AF$7)*OFFSET(ORÇAMENTO!$W$15,ROW(AI270)-ROW(AI$15),0),15-13*ORÇAMENTO!$AF$11)),0)</f>
        <v>0</v>
      </c>
      <c r="AJ270" s="545">
        <f ca="1">IF(AND($D270="Serviço",AJ$12&lt;&gt;0,$H270&gt;0,OR(AUTOEVENTO&lt;&gt;"manual",$M270&lt;&gt;1)),
IF(Import.TipoArredondamento&lt;&gt;"TransfereGOV",
ROUND(OFFSET($P270,0,AJ$13),15-13*ORÇAMENTO!$AF$7)/$H270*OFFSET(ORÇAMENTO!$X$15,ROW(AJ270)-ROW(AJ$15),0),
ROUND(ROUND(OFFSET($P270,0,AJ$13),15-13*ORÇAMENTO!$AF$7)*OFFSET(ORÇAMENTO!$W$15,ROW(AJ270)-ROW(AJ$15),0),15-13*ORÇAMENTO!$AF$11)),0)</f>
        <v>0</v>
      </c>
      <c r="AK270" s="546">
        <f ca="1">IF(AND($D270="Serviço",AK$12&lt;&gt;0,$H270&gt;0,OR(AUTOEVENTO&lt;&gt;"manual",$M270&lt;&gt;1)),
IF(Import.TipoArredondamento&lt;&gt;"TransfereGOV",
ROUND(OFFSET($P270,0,AK$13),15-13*ORÇAMENTO!$AF$7)/$H270*OFFSET(ORÇAMENTO!$X$15,ROW(AK270)-ROW(AK$15),0),
ROUND(ROUND(OFFSET($P270,0,AK$13),15-13*ORÇAMENTO!$AF$7)*OFFSET(ORÇAMENTO!$W$15,ROW(AK270)-ROW(AK$15),0),15-13*ORÇAMENTO!$AF$11)),0)</f>
        <v>0</v>
      </c>
      <c r="AM270" s="181">
        <f ca="1">IF($D270&lt;&gt;"Serviço",0,IF(AND(AUTOEVENTO="Manual",$M270=1),0,IF(OFFSET(CRONOPLE!$F$14,$M270,AM$13)="",10^12,OFFSET(CRONOPLE!$F$14,$M270,AM$13))))</f>
        <v>1000000000000</v>
      </c>
      <c r="AN270" s="181">
        <f ca="1">IF($D270&lt;&gt;"Serviço",0,IF(AND(AUTOEVENTO="Manual",$M270=1),0,IF(OFFSET(CRONOPLE!$F$14,$M270,AN$13)="",10^12,OFFSET(CRONOPLE!$F$14,$M270,AN$13))))</f>
        <v>1000000000000</v>
      </c>
      <c r="AO270" s="181">
        <f ca="1">IF($D270&lt;&gt;"Serviço",0,IF(AND(AUTOEVENTO="Manual",$M270=1),0,IF(OFFSET(CRONOPLE!$F$14,$M270,AO$13)="",10^12,OFFSET(CRONOPLE!$F$14,$M270,AO$13))))</f>
        <v>1000000000000</v>
      </c>
      <c r="AP270" s="181">
        <f ca="1">IF($D270&lt;&gt;"Serviço",0,IF(AND(AUTOEVENTO="Manual",$M270=1),0,IF(OFFSET(CRONOPLE!$F$14,$M270,AP$13)="",10^12,OFFSET(CRONOPLE!$F$14,$M270,AP$13))))</f>
        <v>1000000000000</v>
      </c>
      <c r="AQ270" s="181">
        <f ca="1">IF($D270&lt;&gt;"Serviço",0,IF(AND(AUTOEVENTO="Manual",$M270=1),0,IF(OFFSET(CRONOPLE!$F$14,$M270,AQ$13)="",10^12,OFFSET(CRONOPLE!$F$14,$M270,AQ$13))))</f>
        <v>1000000000000</v>
      </c>
      <c r="AR270" s="181">
        <f ca="1">IF($D270&lt;&gt;"Serviço",0,IF(AND(AUTOEVENTO="Manual",$M270=1),0,IF(OFFSET(CRONOPLE!$F$14,$M270,AR$13)="",10^12,OFFSET(CRONOPLE!$F$14,$M270,AR$13))))</f>
        <v>1000000000000</v>
      </c>
      <c r="AS270" s="181">
        <f ca="1">IF($D270&lt;&gt;"Serviço",0,IF(AND(AUTOEVENTO="Manual",$M270=1),0,IF(OFFSET(CRONOPLE!$F$14,$M270,AS$13)="",10^12,OFFSET(CRONOPLE!$F$14,$M270,AS$13))))</f>
        <v>1000000000000</v>
      </c>
      <c r="AT270" s="181">
        <f ca="1">IF($D270&lt;&gt;"Serviço",0,IF(AND(AUTOEVENTO="Manual",$M270=1),0,IF(OFFSET(CRONOPLE!$F$14,$M270,AT$13)="",10^12,OFFSET(CRONOPLE!$F$14,$M270,AT$13))))</f>
        <v>1000000000000</v>
      </c>
      <c r="AU270" s="181">
        <f ca="1">IF($D270&lt;&gt;"Serviço",0,IF(AND(AUTOEVENTO="Manual",$M270=1),0,IF(OFFSET(CRONOPLE!$F$14,$M270,AU$13)="",10^12,OFFSET(CRONOPLE!$F$14,$M270,AU$13))))</f>
        <v>1000000000000</v>
      </c>
      <c r="AV270" s="181">
        <f ca="1">IF($D270&lt;&gt;"Serviço",0,IF(AND(AUTOEVENTO="Manual",$M270=1),0,IF(OFFSET(CRONOPLE!$F$14,$M270,AV$13)="",10^12,OFFSET(CRONOPLE!$F$14,$M270,AV$13))))</f>
        <v>1000000000000</v>
      </c>
      <c r="AX270" s="182">
        <f ca="1">IF($D270&lt;&gt;"Serviço",0,IF(OR(AND(AUTOEVENTO="Manual",$M270=1),$M270&gt;(ROW(PLE.lastrow)-ROW(PLE.firstrow))),0,IF(OFFSET(PLE!$G$14,$M270,AX$13)="",10^12,OFFSET(PLE!$G$14,$M270,AX$13))))</f>
        <v>1000000000000</v>
      </c>
      <c r="AY270" s="182">
        <f ca="1">IF($D270&lt;&gt;"Serviço",0,IF(OR(AND(AUTOEVENTO="Manual",$M270=1),$M270&gt;(ROW(PLE.lastrow)-ROW(PLE.firstrow))),0,IF(OFFSET(PLE!$G$14,$M270,AY$13)="",10^12,OFFSET(PLE!$G$14,$M270,AY$13))))</f>
        <v>1000000000000</v>
      </c>
      <c r="AZ270" s="182">
        <f ca="1">IF($D270&lt;&gt;"Serviço",0,IF(OR(AND(AUTOEVENTO="Manual",$M270=1),$M270&gt;(ROW(PLE.lastrow)-ROW(PLE.firstrow))),0,IF(OFFSET(PLE!$G$14,$M270,AZ$13)="",10^12,OFFSET(PLE!$G$14,$M270,AZ$13))))</f>
        <v>1000000000000</v>
      </c>
      <c r="BA270" s="182">
        <f ca="1">IF($D270&lt;&gt;"Serviço",0,IF(OR(AND(AUTOEVENTO="Manual",$M270=1),$M270&gt;(ROW(PLE.lastrow)-ROW(PLE.firstrow))),0,IF(OFFSET(PLE!$G$14,$M270,BA$13)="",10^12,OFFSET(PLE!$G$14,$M270,BA$13))))</f>
        <v>1000000000000</v>
      </c>
      <c r="BB270" s="182">
        <f ca="1">IF($D270&lt;&gt;"Serviço",0,IF(OR(AND(AUTOEVENTO="Manual",$M270=1),$M270&gt;(ROW(PLE.lastrow)-ROW(PLE.firstrow))),0,IF(OFFSET(PLE!$G$14,$M270,BB$13)="",10^12,OFFSET(PLE!$G$14,$M270,BB$13))))</f>
        <v>1000000000000</v>
      </c>
      <c r="BC270" s="182">
        <f ca="1">IF($D270&lt;&gt;"Serviço",0,IF(OR(AND(AUTOEVENTO="Manual",$M270=1),$M270&gt;(ROW(PLE.lastrow)-ROW(PLE.firstrow))),0,IF(OFFSET(PLE!$G$14,$M270,BC$13)="",10^12,OFFSET(PLE!$G$14,$M270,BC$13))))</f>
        <v>1000000000000</v>
      </c>
      <c r="BD270" s="182">
        <f ca="1">IF($D270&lt;&gt;"Serviço",0,IF(OR(AND(AUTOEVENTO="Manual",$M270=1),$M270&gt;(ROW(PLE.lastrow)-ROW(PLE.firstrow))),0,IF(OFFSET(PLE!$G$14,$M270,BD$13)="",10^12,OFFSET(PLE!$G$14,$M270,BD$13))))</f>
        <v>1000000000000</v>
      </c>
      <c r="BE270" s="182">
        <f ca="1">IF($D270&lt;&gt;"Serviço",0,IF(OR(AND(AUTOEVENTO="Manual",$M270=1),$M270&gt;(ROW(PLE.lastrow)-ROW(PLE.firstrow))),0,IF(OFFSET(PLE!$G$14,$M270,BE$13)="",10^12,OFFSET(PLE!$G$14,$M270,BE$13))))</f>
        <v>1000000000000</v>
      </c>
      <c r="BF270" s="182">
        <f ca="1">IF($D270&lt;&gt;"Serviço",0,IF(OR(AND(AUTOEVENTO="Manual",$M270=1),$M270&gt;(ROW(PLE.lastrow)-ROW(PLE.firstrow))),0,IF(OFFSET(PLE!$G$14,$M270,BF$13)="",10^12,OFFSET(PLE!$G$14,$M270,BF$13))))</f>
        <v>1000000000000</v>
      </c>
      <c r="BG270" s="182">
        <f ca="1">IF($D270&lt;&gt;"Serviço",0,IF(OR(AND(AUTOEVENTO="Manual",$M270=1),$M270&gt;(ROW(PLE.lastrow)-ROW(PLE.firstrow))),0,IF(OFFSET(PLE!$G$14,$M270,BG$13)="",10^12,OFFSET(PLE!$G$14,$M270,BG$13))))</f>
        <v>1000000000000</v>
      </c>
    </row>
    <row r="271" spans="1:59" ht="25.5" x14ac:dyDescent="0.2">
      <c r="A271" s="7" t="str">
        <f t="shared" ca="1" si="11"/>
        <v>251</v>
      </c>
      <c r="B271" s="7" t="str">
        <f ca="1">OFFSET(ORÇAMENTO!C$15,ROW(B271)-ROW(B$15),0)</f>
        <v>S</v>
      </c>
      <c r="C271" s="7" t="str">
        <f ca="1">OFFSET(ORÇAMENTO!L$15,ROW(C271)-ROW(C$15),0)</f>
        <v/>
      </c>
      <c r="D271" s="118" t="str">
        <f ca="1">OFFSET(ORÇAMENTO!N$15,ROW(D271)-ROW(D$15),0)</f>
        <v>Serviço</v>
      </c>
      <c r="E271" s="119" t="str">
        <f ca="1">OFFSET(ORÇAMENTO!O$15,ROW(E271)-ROW(E$15),0)</f>
        <v>-</v>
      </c>
      <c r="F271" s="172" t="str">
        <f ca="1">OFFSET(ORÇAMENTO!R$15,ROW(F271)-ROW(F$15),0)</f>
        <v>(abra o arquivo 'Referência 02-2025.xlsm)</v>
      </c>
      <c r="G271" s="173" t="str">
        <f ca="1">IF($D271&lt;&gt;"Serviço","",OFFSET(ORÇAMENTO!S$15,ROW(G271)-ROW(G$15),0))</f>
        <v>-</v>
      </c>
      <c r="H271" s="124">
        <f ca="1">IF($D271&lt;&gt;"Serviço",0,IF(ACOMPANHAMENTO="BM",ROUND(OFFSET(ORÇAMENTO!AJ$15,ROW(H271)-ROW(H$15),0),15-13*ORÇAMENTO!$AF$7),SUMPRODUCT(($Q$12:$AA$12&lt;&gt;"")*ROUND($Q271:$AA271,15-13*ORÇAMENTO!$AF$7))))</f>
        <v>44.5</v>
      </c>
      <c r="I271" s="561" t="s">
        <v>890</v>
      </c>
      <c r="K271" s="174"/>
      <c r="L271" s="175" t="s">
        <v>255</v>
      </c>
      <c r="M271" s="176">
        <f ca="1">IF($D271&lt;&gt;"Serviço","",IF(AUTOEVENTO="manual",$A271,IF(ISERROR(MATCH($A271,$A$15:OFFSET($A271,-1,0),0)),MAX($M$15:OFFSET(M271,-1,0))+1,INDEX($M$15:OFFSET(M271,-1,0),MATCH($A271,$A$15:OFFSET($A271,-1,0),0)))))</f>
        <v>13</v>
      </c>
      <c r="N271" s="177" t="str">
        <f ca="1">IF($D271&lt;&gt;"Serviço","",IF(AUTOEVENTO="Manual",IF($A271=0,"&lt;-- defina o número do agrupador",OFFSET(EVENTOS!$D$14,$A271,0)),OFFSET($F$15,$A271,0)))</f>
        <v>INSTALAÇÃO HIDRÁULICA</v>
      </c>
      <c r="O271" s="178"/>
      <c r="Q271" s="178"/>
      <c r="R271" s="179"/>
      <c r="S271" s="179"/>
      <c r="T271" s="179"/>
      <c r="U271" s="179"/>
      <c r="V271" s="179"/>
      <c r="W271" s="179"/>
      <c r="X271" s="179"/>
      <c r="Y271" s="179"/>
      <c r="Z271" s="180"/>
      <c r="AB271" s="544">
        <f ca="1">IF(AND($D271="Serviço",AB$12&lt;&gt;0,$H271&gt;0,OR(AUTOEVENTO&lt;&gt;"manual",$M271&lt;&gt;1)),
IF(Import.TipoArredondamento&lt;&gt;"TransfereGOV",
ROUND(OFFSET($P271,0,AB$13),15-13*ORÇAMENTO!$AF$7)/$H271*OFFSET(ORÇAMENTO!$X$15,ROW(AB271)-ROW(AB$15),0),
ROUND(ROUND(OFFSET($P271,0,AB$13),15-13*ORÇAMENTO!$AF$7)*OFFSET(ORÇAMENTO!$W$15,ROW(AB271)-ROW(AB$15),0),15-13*ORÇAMENTO!$AF$11)),0)</f>
        <v>0</v>
      </c>
      <c r="AC271" s="545">
        <f ca="1">IF(AND($D271="Serviço",AC$12&lt;&gt;0,$H271&gt;0,OR(AUTOEVENTO&lt;&gt;"manual",$M271&lt;&gt;1)),
IF(Import.TipoArredondamento&lt;&gt;"TransfereGOV",
ROUND(OFFSET($P271,0,AC$13),15-13*ORÇAMENTO!$AF$7)/$H271*OFFSET(ORÇAMENTO!$X$15,ROW(AC271)-ROW(AC$15),0),
ROUND(ROUND(OFFSET($P271,0,AC$13),15-13*ORÇAMENTO!$AF$7)*OFFSET(ORÇAMENTO!$W$15,ROW(AC271)-ROW(AC$15),0),15-13*ORÇAMENTO!$AF$11)),0)</f>
        <v>0</v>
      </c>
      <c r="AD271" s="545">
        <f ca="1">IF(AND($D271="Serviço",AD$12&lt;&gt;0,$H271&gt;0,OR(AUTOEVENTO&lt;&gt;"manual",$M271&lt;&gt;1)),
IF(Import.TipoArredondamento&lt;&gt;"TransfereGOV",
ROUND(OFFSET($P271,0,AD$13),15-13*ORÇAMENTO!$AF$7)/$H271*OFFSET(ORÇAMENTO!$X$15,ROW(AD271)-ROW(AD$15),0),
ROUND(ROUND(OFFSET($P271,0,AD$13),15-13*ORÇAMENTO!$AF$7)*OFFSET(ORÇAMENTO!$W$15,ROW(AD271)-ROW(AD$15),0),15-13*ORÇAMENTO!$AF$11)),0)</f>
        <v>0</v>
      </c>
      <c r="AE271" s="545">
        <f ca="1">IF(AND($D271="Serviço",AE$12&lt;&gt;0,$H271&gt;0,OR(AUTOEVENTO&lt;&gt;"manual",$M271&lt;&gt;1)),
IF(Import.TipoArredondamento&lt;&gt;"TransfereGOV",
ROUND(OFFSET($P271,0,AE$13),15-13*ORÇAMENTO!$AF$7)/$H271*OFFSET(ORÇAMENTO!$X$15,ROW(AE271)-ROW(AE$15),0),
ROUND(ROUND(OFFSET($P271,0,AE$13),15-13*ORÇAMENTO!$AF$7)*OFFSET(ORÇAMENTO!$W$15,ROW(AE271)-ROW(AE$15),0),15-13*ORÇAMENTO!$AF$11)),0)</f>
        <v>0</v>
      </c>
      <c r="AF271" s="545">
        <f ca="1">IF(AND($D271="Serviço",AF$12&lt;&gt;0,$H271&gt;0,OR(AUTOEVENTO&lt;&gt;"manual",$M271&lt;&gt;1)),
IF(Import.TipoArredondamento&lt;&gt;"TransfereGOV",
ROUND(OFFSET($P271,0,AF$13),15-13*ORÇAMENTO!$AF$7)/$H271*OFFSET(ORÇAMENTO!$X$15,ROW(AF271)-ROW(AF$15),0),
ROUND(ROUND(OFFSET($P271,0,AF$13),15-13*ORÇAMENTO!$AF$7)*OFFSET(ORÇAMENTO!$W$15,ROW(AF271)-ROW(AF$15),0),15-13*ORÇAMENTO!$AF$11)),0)</f>
        <v>0</v>
      </c>
      <c r="AG271" s="545">
        <f ca="1">IF(AND($D271="Serviço",AG$12&lt;&gt;0,$H271&gt;0,OR(AUTOEVENTO&lt;&gt;"manual",$M271&lt;&gt;1)),
IF(Import.TipoArredondamento&lt;&gt;"TransfereGOV",
ROUND(OFFSET($P271,0,AG$13),15-13*ORÇAMENTO!$AF$7)/$H271*OFFSET(ORÇAMENTO!$X$15,ROW(AG271)-ROW(AG$15),0),
ROUND(ROUND(OFFSET($P271,0,AG$13),15-13*ORÇAMENTO!$AF$7)*OFFSET(ORÇAMENTO!$W$15,ROW(AG271)-ROW(AG$15),0),15-13*ORÇAMENTO!$AF$11)),0)</f>
        <v>0</v>
      </c>
      <c r="AH271" s="545">
        <f ca="1">IF(AND($D271="Serviço",AH$12&lt;&gt;0,$H271&gt;0,OR(AUTOEVENTO&lt;&gt;"manual",$M271&lt;&gt;1)),
IF(Import.TipoArredondamento&lt;&gt;"TransfereGOV",
ROUND(OFFSET($P271,0,AH$13),15-13*ORÇAMENTO!$AF$7)/$H271*OFFSET(ORÇAMENTO!$X$15,ROW(AH271)-ROW(AH$15),0),
ROUND(ROUND(OFFSET($P271,0,AH$13),15-13*ORÇAMENTO!$AF$7)*OFFSET(ORÇAMENTO!$W$15,ROW(AH271)-ROW(AH$15),0),15-13*ORÇAMENTO!$AF$11)),0)</f>
        <v>0</v>
      </c>
      <c r="AI271" s="545">
        <f ca="1">IF(AND($D271="Serviço",AI$12&lt;&gt;0,$H271&gt;0,OR(AUTOEVENTO&lt;&gt;"manual",$M271&lt;&gt;1)),
IF(Import.TipoArredondamento&lt;&gt;"TransfereGOV",
ROUND(OFFSET($P271,0,AI$13),15-13*ORÇAMENTO!$AF$7)/$H271*OFFSET(ORÇAMENTO!$X$15,ROW(AI271)-ROW(AI$15),0),
ROUND(ROUND(OFFSET($P271,0,AI$13),15-13*ORÇAMENTO!$AF$7)*OFFSET(ORÇAMENTO!$W$15,ROW(AI271)-ROW(AI$15),0),15-13*ORÇAMENTO!$AF$11)),0)</f>
        <v>0</v>
      </c>
      <c r="AJ271" s="545">
        <f ca="1">IF(AND($D271="Serviço",AJ$12&lt;&gt;0,$H271&gt;0,OR(AUTOEVENTO&lt;&gt;"manual",$M271&lt;&gt;1)),
IF(Import.TipoArredondamento&lt;&gt;"TransfereGOV",
ROUND(OFFSET($P271,0,AJ$13),15-13*ORÇAMENTO!$AF$7)/$H271*OFFSET(ORÇAMENTO!$X$15,ROW(AJ271)-ROW(AJ$15),0),
ROUND(ROUND(OFFSET($P271,0,AJ$13),15-13*ORÇAMENTO!$AF$7)*OFFSET(ORÇAMENTO!$W$15,ROW(AJ271)-ROW(AJ$15),0),15-13*ORÇAMENTO!$AF$11)),0)</f>
        <v>0</v>
      </c>
      <c r="AK271" s="546">
        <f ca="1">IF(AND($D271="Serviço",AK$12&lt;&gt;0,$H271&gt;0,OR(AUTOEVENTO&lt;&gt;"manual",$M271&lt;&gt;1)),
IF(Import.TipoArredondamento&lt;&gt;"TransfereGOV",
ROUND(OFFSET($P271,0,AK$13),15-13*ORÇAMENTO!$AF$7)/$H271*OFFSET(ORÇAMENTO!$X$15,ROW(AK271)-ROW(AK$15),0),
ROUND(ROUND(OFFSET($P271,0,AK$13),15-13*ORÇAMENTO!$AF$7)*OFFSET(ORÇAMENTO!$W$15,ROW(AK271)-ROW(AK$15),0),15-13*ORÇAMENTO!$AF$11)),0)</f>
        <v>0</v>
      </c>
      <c r="AM271" s="181">
        <f ca="1">IF($D271&lt;&gt;"Serviço",0,IF(AND(AUTOEVENTO="Manual",$M271=1),0,IF(OFFSET(CRONOPLE!$F$14,$M271,AM$13)="",10^12,OFFSET(CRONOPLE!$F$14,$M271,AM$13))))</f>
        <v>1000000000000</v>
      </c>
      <c r="AN271" s="181">
        <f ca="1">IF($D271&lt;&gt;"Serviço",0,IF(AND(AUTOEVENTO="Manual",$M271=1),0,IF(OFFSET(CRONOPLE!$F$14,$M271,AN$13)="",10^12,OFFSET(CRONOPLE!$F$14,$M271,AN$13))))</f>
        <v>1000000000000</v>
      </c>
      <c r="AO271" s="181">
        <f ca="1">IF($D271&lt;&gt;"Serviço",0,IF(AND(AUTOEVENTO="Manual",$M271=1),0,IF(OFFSET(CRONOPLE!$F$14,$M271,AO$13)="",10^12,OFFSET(CRONOPLE!$F$14,$M271,AO$13))))</f>
        <v>1000000000000</v>
      </c>
      <c r="AP271" s="181">
        <f ca="1">IF($D271&lt;&gt;"Serviço",0,IF(AND(AUTOEVENTO="Manual",$M271=1),0,IF(OFFSET(CRONOPLE!$F$14,$M271,AP$13)="",10^12,OFFSET(CRONOPLE!$F$14,$M271,AP$13))))</f>
        <v>1000000000000</v>
      </c>
      <c r="AQ271" s="181">
        <f ca="1">IF($D271&lt;&gt;"Serviço",0,IF(AND(AUTOEVENTO="Manual",$M271=1),0,IF(OFFSET(CRONOPLE!$F$14,$M271,AQ$13)="",10^12,OFFSET(CRONOPLE!$F$14,$M271,AQ$13))))</f>
        <v>1000000000000</v>
      </c>
      <c r="AR271" s="181">
        <f ca="1">IF($D271&lt;&gt;"Serviço",0,IF(AND(AUTOEVENTO="Manual",$M271=1),0,IF(OFFSET(CRONOPLE!$F$14,$M271,AR$13)="",10^12,OFFSET(CRONOPLE!$F$14,$M271,AR$13))))</f>
        <v>1000000000000</v>
      </c>
      <c r="AS271" s="181">
        <f ca="1">IF($D271&lt;&gt;"Serviço",0,IF(AND(AUTOEVENTO="Manual",$M271=1),0,IF(OFFSET(CRONOPLE!$F$14,$M271,AS$13)="",10^12,OFFSET(CRONOPLE!$F$14,$M271,AS$13))))</f>
        <v>1000000000000</v>
      </c>
      <c r="AT271" s="181">
        <f ca="1">IF($D271&lt;&gt;"Serviço",0,IF(AND(AUTOEVENTO="Manual",$M271=1),0,IF(OFFSET(CRONOPLE!$F$14,$M271,AT$13)="",10^12,OFFSET(CRONOPLE!$F$14,$M271,AT$13))))</f>
        <v>1000000000000</v>
      </c>
      <c r="AU271" s="181">
        <f ca="1">IF($D271&lt;&gt;"Serviço",0,IF(AND(AUTOEVENTO="Manual",$M271=1),0,IF(OFFSET(CRONOPLE!$F$14,$M271,AU$13)="",10^12,OFFSET(CRONOPLE!$F$14,$M271,AU$13))))</f>
        <v>1000000000000</v>
      </c>
      <c r="AV271" s="181">
        <f ca="1">IF($D271&lt;&gt;"Serviço",0,IF(AND(AUTOEVENTO="Manual",$M271=1),0,IF(OFFSET(CRONOPLE!$F$14,$M271,AV$13)="",10^12,OFFSET(CRONOPLE!$F$14,$M271,AV$13))))</f>
        <v>1000000000000</v>
      </c>
      <c r="AX271" s="182">
        <f ca="1">IF($D271&lt;&gt;"Serviço",0,IF(OR(AND(AUTOEVENTO="Manual",$M271=1),$M271&gt;(ROW(PLE.lastrow)-ROW(PLE.firstrow))),0,IF(OFFSET(PLE!$G$14,$M271,AX$13)="",10^12,OFFSET(PLE!$G$14,$M271,AX$13))))</f>
        <v>1000000000000</v>
      </c>
      <c r="AY271" s="182">
        <f ca="1">IF($D271&lt;&gt;"Serviço",0,IF(OR(AND(AUTOEVENTO="Manual",$M271=1),$M271&gt;(ROW(PLE.lastrow)-ROW(PLE.firstrow))),0,IF(OFFSET(PLE!$G$14,$M271,AY$13)="",10^12,OFFSET(PLE!$G$14,$M271,AY$13))))</f>
        <v>1000000000000</v>
      </c>
      <c r="AZ271" s="182">
        <f ca="1">IF($D271&lt;&gt;"Serviço",0,IF(OR(AND(AUTOEVENTO="Manual",$M271=1),$M271&gt;(ROW(PLE.lastrow)-ROW(PLE.firstrow))),0,IF(OFFSET(PLE!$G$14,$M271,AZ$13)="",10^12,OFFSET(PLE!$G$14,$M271,AZ$13))))</f>
        <v>1000000000000</v>
      </c>
      <c r="BA271" s="182">
        <f ca="1">IF($D271&lt;&gt;"Serviço",0,IF(OR(AND(AUTOEVENTO="Manual",$M271=1),$M271&gt;(ROW(PLE.lastrow)-ROW(PLE.firstrow))),0,IF(OFFSET(PLE!$G$14,$M271,BA$13)="",10^12,OFFSET(PLE!$G$14,$M271,BA$13))))</f>
        <v>1000000000000</v>
      </c>
      <c r="BB271" s="182">
        <f ca="1">IF($D271&lt;&gt;"Serviço",0,IF(OR(AND(AUTOEVENTO="Manual",$M271=1),$M271&gt;(ROW(PLE.lastrow)-ROW(PLE.firstrow))),0,IF(OFFSET(PLE!$G$14,$M271,BB$13)="",10^12,OFFSET(PLE!$G$14,$M271,BB$13))))</f>
        <v>1000000000000</v>
      </c>
      <c r="BC271" s="182">
        <f ca="1">IF($D271&lt;&gt;"Serviço",0,IF(OR(AND(AUTOEVENTO="Manual",$M271=1),$M271&gt;(ROW(PLE.lastrow)-ROW(PLE.firstrow))),0,IF(OFFSET(PLE!$G$14,$M271,BC$13)="",10^12,OFFSET(PLE!$G$14,$M271,BC$13))))</f>
        <v>1000000000000</v>
      </c>
      <c r="BD271" s="182">
        <f ca="1">IF($D271&lt;&gt;"Serviço",0,IF(OR(AND(AUTOEVENTO="Manual",$M271=1),$M271&gt;(ROW(PLE.lastrow)-ROW(PLE.firstrow))),0,IF(OFFSET(PLE!$G$14,$M271,BD$13)="",10^12,OFFSET(PLE!$G$14,$M271,BD$13))))</f>
        <v>1000000000000</v>
      </c>
      <c r="BE271" s="182">
        <f ca="1">IF($D271&lt;&gt;"Serviço",0,IF(OR(AND(AUTOEVENTO="Manual",$M271=1),$M271&gt;(ROW(PLE.lastrow)-ROW(PLE.firstrow))),0,IF(OFFSET(PLE!$G$14,$M271,BE$13)="",10^12,OFFSET(PLE!$G$14,$M271,BE$13))))</f>
        <v>1000000000000</v>
      </c>
      <c r="BF271" s="182">
        <f ca="1">IF($D271&lt;&gt;"Serviço",0,IF(OR(AND(AUTOEVENTO="Manual",$M271=1),$M271&gt;(ROW(PLE.lastrow)-ROW(PLE.firstrow))),0,IF(OFFSET(PLE!$G$14,$M271,BF$13)="",10^12,OFFSET(PLE!$G$14,$M271,BF$13))))</f>
        <v>1000000000000</v>
      </c>
      <c r="BG271" s="182">
        <f ca="1">IF($D271&lt;&gt;"Serviço",0,IF(OR(AND(AUTOEVENTO="Manual",$M271=1),$M271&gt;(ROW(PLE.lastrow)-ROW(PLE.firstrow))),0,IF(OFFSET(PLE!$G$14,$M271,BG$13)="",10^12,OFFSET(PLE!$G$14,$M271,BG$13))))</f>
        <v>1000000000000</v>
      </c>
    </row>
    <row r="272" spans="1:59" ht="25.5" x14ac:dyDescent="0.2">
      <c r="A272" s="7" t="str">
        <f t="shared" ca="1" si="11"/>
        <v>251</v>
      </c>
      <c r="B272" s="7" t="str">
        <f ca="1">OFFSET(ORÇAMENTO!C$15,ROW(B272)-ROW(B$15),0)</f>
        <v>S</v>
      </c>
      <c r="C272" s="7" t="str">
        <f ca="1">OFFSET(ORÇAMENTO!L$15,ROW(C272)-ROW(C$15),0)</f>
        <v/>
      </c>
      <c r="D272" s="118" t="str">
        <f ca="1">OFFSET(ORÇAMENTO!N$15,ROW(D272)-ROW(D$15),0)</f>
        <v>Serviço</v>
      </c>
      <c r="E272" s="119" t="str">
        <f ca="1">OFFSET(ORÇAMENTO!O$15,ROW(E272)-ROW(E$15),0)</f>
        <v>-</v>
      </c>
      <c r="F272" s="172" t="str">
        <f ca="1">OFFSET(ORÇAMENTO!R$15,ROW(F272)-ROW(F$15),0)</f>
        <v>(abra o arquivo 'Referência 02-2025.xlsm)</v>
      </c>
      <c r="G272" s="173" t="str">
        <f ca="1">IF($D272&lt;&gt;"Serviço","",OFFSET(ORÇAMENTO!S$15,ROW(G272)-ROW(G$15),0))</f>
        <v>-</v>
      </c>
      <c r="H272" s="124">
        <f ca="1">IF($D272&lt;&gt;"Serviço",0,IF(ACOMPANHAMENTO="BM",ROUND(OFFSET(ORÇAMENTO!AJ$15,ROW(H272)-ROW(H$15),0),15-13*ORÇAMENTO!$AF$7),SUMPRODUCT(($Q$12:$AA$12&lt;&gt;"")*ROUND($Q272:$AA272,15-13*ORÇAMENTO!$AF$7))))</f>
        <v>316.7</v>
      </c>
      <c r="I272" s="561" t="s">
        <v>890</v>
      </c>
      <c r="K272" s="174"/>
      <c r="L272" s="175" t="s">
        <v>255</v>
      </c>
      <c r="M272" s="176">
        <f ca="1">IF($D272&lt;&gt;"Serviço","",IF(AUTOEVENTO="manual",$A272,IF(ISERROR(MATCH($A272,$A$15:OFFSET($A272,-1,0),0)),MAX($M$15:OFFSET(M272,-1,0))+1,INDEX($M$15:OFFSET(M272,-1,0),MATCH($A272,$A$15:OFFSET($A272,-1,0),0)))))</f>
        <v>13</v>
      </c>
      <c r="N272" s="177" t="str">
        <f ca="1">IF($D272&lt;&gt;"Serviço","",IF(AUTOEVENTO="Manual",IF($A272=0,"&lt;-- defina o número do agrupador",OFFSET(EVENTOS!$D$14,$A272,0)),OFFSET($F$15,$A272,0)))</f>
        <v>INSTALAÇÃO HIDRÁULICA</v>
      </c>
      <c r="O272" s="178"/>
      <c r="Q272" s="178"/>
      <c r="R272" s="179"/>
      <c r="S272" s="179"/>
      <c r="T272" s="179"/>
      <c r="U272" s="179"/>
      <c r="V272" s="179"/>
      <c r="W272" s="179"/>
      <c r="X272" s="179"/>
      <c r="Y272" s="179"/>
      <c r="Z272" s="180"/>
      <c r="AB272" s="544">
        <f ca="1">IF(AND($D272="Serviço",AB$12&lt;&gt;0,$H272&gt;0,OR(AUTOEVENTO&lt;&gt;"manual",$M272&lt;&gt;1)),
IF(Import.TipoArredondamento&lt;&gt;"TransfereGOV",
ROUND(OFFSET($P272,0,AB$13),15-13*ORÇAMENTO!$AF$7)/$H272*OFFSET(ORÇAMENTO!$X$15,ROW(AB272)-ROW(AB$15),0),
ROUND(ROUND(OFFSET($P272,0,AB$13),15-13*ORÇAMENTO!$AF$7)*OFFSET(ORÇAMENTO!$W$15,ROW(AB272)-ROW(AB$15),0),15-13*ORÇAMENTO!$AF$11)),0)</f>
        <v>0</v>
      </c>
      <c r="AC272" s="545">
        <f ca="1">IF(AND($D272="Serviço",AC$12&lt;&gt;0,$H272&gt;0,OR(AUTOEVENTO&lt;&gt;"manual",$M272&lt;&gt;1)),
IF(Import.TipoArredondamento&lt;&gt;"TransfereGOV",
ROUND(OFFSET($P272,0,AC$13),15-13*ORÇAMENTO!$AF$7)/$H272*OFFSET(ORÇAMENTO!$X$15,ROW(AC272)-ROW(AC$15),0),
ROUND(ROUND(OFFSET($P272,0,AC$13),15-13*ORÇAMENTO!$AF$7)*OFFSET(ORÇAMENTO!$W$15,ROW(AC272)-ROW(AC$15),0),15-13*ORÇAMENTO!$AF$11)),0)</f>
        <v>0</v>
      </c>
      <c r="AD272" s="545">
        <f ca="1">IF(AND($D272="Serviço",AD$12&lt;&gt;0,$H272&gt;0,OR(AUTOEVENTO&lt;&gt;"manual",$M272&lt;&gt;1)),
IF(Import.TipoArredondamento&lt;&gt;"TransfereGOV",
ROUND(OFFSET($P272,0,AD$13),15-13*ORÇAMENTO!$AF$7)/$H272*OFFSET(ORÇAMENTO!$X$15,ROW(AD272)-ROW(AD$15),0),
ROUND(ROUND(OFFSET($P272,0,AD$13),15-13*ORÇAMENTO!$AF$7)*OFFSET(ORÇAMENTO!$W$15,ROW(AD272)-ROW(AD$15),0),15-13*ORÇAMENTO!$AF$11)),0)</f>
        <v>0</v>
      </c>
      <c r="AE272" s="545">
        <f ca="1">IF(AND($D272="Serviço",AE$12&lt;&gt;0,$H272&gt;0,OR(AUTOEVENTO&lt;&gt;"manual",$M272&lt;&gt;1)),
IF(Import.TipoArredondamento&lt;&gt;"TransfereGOV",
ROUND(OFFSET($P272,0,AE$13),15-13*ORÇAMENTO!$AF$7)/$H272*OFFSET(ORÇAMENTO!$X$15,ROW(AE272)-ROW(AE$15),0),
ROUND(ROUND(OFFSET($P272,0,AE$13),15-13*ORÇAMENTO!$AF$7)*OFFSET(ORÇAMENTO!$W$15,ROW(AE272)-ROW(AE$15),0),15-13*ORÇAMENTO!$AF$11)),0)</f>
        <v>0</v>
      </c>
      <c r="AF272" s="545">
        <f ca="1">IF(AND($D272="Serviço",AF$12&lt;&gt;0,$H272&gt;0,OR(AUTOEVENTO&lt;&gt;"manual",$M272&lt;&gt;1)),
IF(Import.TipoArredondamento&lt;&gt;"TransfereGOV",
ROUND(OFFSET($P272,0,AF$13),15-13*ORÇAMENTO!$AF$7)/$H272*OFFSET(ORÇAMENTO!$X$15,ROW(AF272)-ROW(AF$15),0),
ROUND(ROUND(OFFSET($P272,0,AF$13),15-13*ORÇAMENTO!$AF$7)*OFFSET(ORÇAMENTO!$W$15,ROW(AF272)-ROW(AF$15),0),15-13*ORÇAMENTO!$AF$11)),0)</f>
        <v>0</v>
      </c>
      <c r="AG272" s="545">
        <f ca="1">IF(AND($D272="Serviço",AG$12&lt;&gt;0,$H272&gt;0,OR(AUTOEVENTO&lt;&gt;"manual",$M272&lt;&gt;1)),
IF(Import.TipoArredondamento&lt;&gt;"TransfereGOV",
ROUND(OFFSET($P272,0,AG$13),15-13*ORÇAMENTO!$AF$7)/$H272*OFFSET(ORÇAMENTO!$X$15,ROW(AG272)-ROW(AG$15),0),
ROUND(ROUND(OFFSET($P272,0,AG$13),15-13*ORÇAMENTO!$AF$7)*OFFSET(ORÇAMENTO!$W$15,ROW(AG272)-ROW(AG$15),0),15-13*ORÇAMENTO!$AF$11)),0)</f>
        <v>0</v>
      </c>
      <c r="AH272" s="545">
        <f ca="1">IF(AND($D272="Serviço",AH$12&lt;&gt;0,$H272&gt;0,OR(AUTOEVENTO&lt;&gt;"manual",$M272&lt;&gt;1)),
IF(Import.TipoArredondamento&lt;&gt;"TransfereGOV",
ROUND(OFFSET($P272,0,AH$13),15-13*ORÇAMENTO!$AF$7)/$H272*OFFSET(ORÇAMENTO!$X$15,ROW(AH272)-ROW(AH$15),0),
ROUND(ROUND(OFFSET($P272,0,AH$13),15-13*ORÇAMENTO!$AF$7)*OFFSET(ORÇAMENTO!$W$15,ROW(AH272)-ROW(AH$15),0),15-13*ORÇAMENTO!$AF$11)),0)</f>
        <v>0</v>
      </c>
      <c r="AI272" s="545">
        <f ca="1">IF(AND($D272="Serviço",AI$12&lt;&gt;0,$H272&gt;0,OR(AUTOEVENTO&lt;&gt;"manual",$M272&lt;&gt;1)),
IF(Import.TipoArredondamento&lt;&gt;"TransfereGOV",
ROUND(OFFSET($P272,0,AI$13),15-13*ORÇAMENTO!$AF$7)/$H272*OFFSET(ORÇAMENTO!$X$15,ROW(AI272)-ROW(AI$15),0),
ROUND(ROUND(OFFSET($P272,0,AI$13),15-13*ORÇAMENTO!$AF$7)*OFFSET(ORÇAMENTO!$W$15,ROW(AI272)-ROW(AI$15),0),15-13*ORÇAMENTO!$AF$11)),0)</f>
        <v>0</v>
      </c>
      <c r="AJ272" s="545">
        <f ca="1">IF(AND($D272="Serviço",AJ$12&lt;&gt;0,$H272&gt;0,OR(AUTOEVENTO&lt;&gt;"manual",$M272&lt;&gt;1)),
IF(Import.TipoArredondamento&lt;&gt;"TransfereGOV",
ROUND(OFFSET($P272,0,AJ$13),15-13*ORÇAMENTO!$AF$7)/$H272*OFFSET(ORÇAMENTO!$X$15,ROW(AJ272)-ROW(AJ$15),0),
ROUND(ROUND(OFFSET($P272,0,AJ$13),15-13*ORÇAMENTO!$AF$7)*OFFSET(ORÇAMENTO!$W$15,ROW(AJ272)-ROW(AJ$15),0),15-13*ORÇAMENTO!$AF$11)),0)</f>
        <v>0</v>
      </c>
      <c r="AK272" s="546">
        <f ca="1">IF(AND($D272="Serviço",AK$12&lt;&gt;0,$H272&gt;0,OR(AUTOEVENTO&lt;&gt;"manual",$M272&lt;&gt;1)),
IF(Import.TipoArredondamento&lt;&gt;"TransfereGOV",
ROUND(OFFSET($P272,0,AK$13),15-13*ORÇAMENTO!$AF$7)/$H272*OFFSET(ORÇAMENTO!$X$15,ROW(AK272)-ROW(AK$15),0),
ROUND(ROUND(OFFSET($P272,0,AK$13),15-13*ORÇAMENTO!$AF$7)*OFFSET(ORÇAMENTO!$W$15,ROW(AK272)-ROW(AK$15),0),15-13*ORÇAMENTO!$AF$11)),0)</f>
        <v>0</v>
      </c>
      <c r="AM272" s="181">
        <f ca="1">IF($D272&lt;&gt;"Serviço",0,IF(AND(AUTOEVENTO="Manual",$M272=1),0,IF(OFFSET(CRONOPLE!$F$14,$M272,AM$13)="",10^12,OFFSET(CRONOPLE!$F$14,$M272,AM$13))))</f>
        <v>1000000000000</v>
      </c>
      <c r="AN272" s="181">
        <f ca="1">IF($D272&lt;&gt;"Serviço",0,IF(AND(AUTOEVENTO="Manual",$M272=1),0,IF(OFFSET(CRONOPLE!$F$14,$M272,AN$13)="",10^12,OFFSET(CRONOPLE!$F$14,$M272,AN$13))))</f>
        <v>1000000000000</v>
      </c>
      <c r="AO272" s="181">
        <f ca="1">IF($D272&lt;&gt;"Serviço",0,IF(AND(AUTOEVENTO="Manual",$M272=1),0,IF(OFFSET(CRONOPLE!$F$14,$M272,AO$13)="",10^12,OFFSET(CRONOPLE!$F$14,$M272,AO$13))))</f>
        <v>1000000000000</v>
      </c>
      <c r="AP272" s="181">
        <f ca="1">IF($D272&lt;&gt;"Serviço",0,IF(AND(AUTOEVENTO="Manual",$M272=1),0,IF(OFFSET(CRONOPLE!$F$14,$M272,AP$13)="",10^12,OFFSET(CRONOPLE!$F$14,$M272,AP$13))))</f>
        <v>1000000000000</v>
      </c>
      <c r="AQ272" s="181">
        <f ca="1">IF($D272&lt;&gt;"Serviço",0,IF(AND(AUTOEVENTO="Manual",$M272=1),0,IF(OFFSET(CRONOPLE!$F$14,$M272,AQ$13)="",10^12,OFFSET(CRONOPLE!$F$14,$M272,AQ$13))))</f>
        <v>1000000000000</v>
      </c>
      <c r="AR272" s="181">
        <f ca="1">IF($D272&lt;&gt;"Serviço",0,IF(AND(AUTOEVENTO="Manual",$M272=1),0,IF(OFFSET(CRONOPLE!$F$14,$M272,AR$13)="",10^12,OFFSET(CRONOPLE!$F$14,$M272,AR$13))))</f>
        <v>1000000000000</v>
      </c>
      <c r="AS272" s="181">
        <f ca="1">IF($D272&lt;&gt;"Serviço",0,IF(AND(AUTOEVENTO="Manual",$M272=1),0,IF(OFFSET(CRONOPLE!$F$14,$M272,AS$13)="",10^12,OFFSET(CRONOPLE!$F$14,$M272,AS$13))))</f>
        <v>1000000000000</v>
      </c>
      <c r="AT272" s="181">
        <f ca="1">IF($D272&lt;&gt;"Serviço",0,IF(AND(AUTOEVENTO="Manual",$M272=1),0,IF(OFFSET(CRONOPLE!$F$14,$M272,AT$13)="",10^12,OFFSET(CRONOPLE!$F$14,$M272,AT$13))))</f>
        <v>1000000000000</v>
      </c>
      <c r="AU272" s="181">
        <f ca="1">IF($D272&lt;&gt;"Serviço",0,IF(AND(AUTOEVENTO="Manual",$M272=1),0,IF(OFFSET(CRONOPLE!$F$14,$M272,AU$13)="",10^12,OFFSET(CRONOPLE!$F$14,$M272,AU$13))))</f>
        <v>1000000000000</v>
      </c>
      <c r="AV272" s="181">
        <f ca="1">IF($D272&lt;&gt;"Serviço",0,IF(AND(AUTOEVENTO="Manual",$M272=1),0,IF(OFFSET(CRONOPLE!$F$14,$M272,AV$13)="",10^12,OFFSET(CRONOPLE!$F$14,$M272,AV$13))))</f>
        <v>1000000000000</v>
      </c>
      <c r="AX272" s="182">
        <f ca="1">IF($D272&lt;&gt;"Serviço",0,IF(OR(AND(AUTOEVENTO="Manual",$M272=1),$M272&gt;(ROW(PLE.lastrow)-ROW(PLE.firstrow))),0,IF(OFFSET(PLE!$G$14,$M272,AX$13)="",10^12,OFFSET(PLE!$G$14,$M272,AX$13))))</f>
        <v>1000000000000</v>
      </c>
      <c r="AY272" s="182">
        <f ca="1">IF($D272&lt;&gt;"Serviço",0,IF(OR(AND(AUTOEVENTO="Manual",$M272=1),$M272&gt;(ROW(PLE.lastrow)-ROW(PLE.firstrow))),0,IF(OFFSET(PLE!$G$14,$M272,AY$13)="",10^12,OFFSET(PLE!$G$14,$M272,AY$13))))</f>
        <v>1000000000000</v>
      </c>
      <c r="AZ272" s="182">
        <f ca="1">IF($D272&lt;&gt;"Serviço",0,IF(OR(AND(AUTOEVENTO="Manual",$M272=1),$M272&gt;(ROW(PLE.lastrow)-ROW(PLE.firstrow))),0,IF(OFFSET(PLE!$G$14,$M272,AZ$13)="",10^12,OFFSET(PLE!$G$14,$M272,AZ$13))))</f>
        <v>1000000000000</v>
      </c>
      <c r="BA272" s="182">
        <f ca="1">IF($D272&lt;&gt;"Serviço",0,IF(OR(AND(AUTOEVENTO="Manual",$M272=1),$M272&gt;(ROW(PLE.lastrow)-ROW(PLE.firstrow))),0,IF(OFFSET(PLE!$G$14,$M272,BA$13)="",10^12,OFFSET(PLE!$G$14,$M272,BA$13))))</f>
        <v>1000000000000</v>
      </c>
      <c r="BB272" s="182">
        <f ca="1">IF($D272&lt;&gt;"Serviço",0,IF(OR(AND(AUTOEVENTO="Manual",$M272=1),$M272&gt;(ROW(PLE.lastrow)-ROW(PLE.firstrow))),0,IF(OFFSET(PLE!$G$14,$M272,BB$13)="",10^12,OFFSET(PLE!$G$14,$M272,BB$13))))</f>
        <v>1000000000000</v>
      </c>
      <c r="BC272" s="182">
        <f ca="1">IF($D272&lt;&gt;"Serviço",0,IF(OR(AND(AUTOEVENTO="Manual",$M272=1),$M272&gt;(ROW(PLE.lastrow)-ROW(PLE.firstrow))),0,IF(OFFSET(PLE!$G$14,$M272,BC$13)="",10^12,OFFSET(PLE!$G$14,$M272,BC$13))))</f>
        <v>1000000000000</v>
      </c>
      <c r="BD272" s="182">
        <f ca="1">IF($D272&lt;&gt;"Serviço",0,IF(OR(AND(AUTOEVENTO="Manual",$M272=1),$M272&gt;(ROW(PLE.lastrow)-ROW(PLE.firstrow))),0,IF(OFFSET(PLE!$G$14,$M272,BD$13)="",10^12,OFFSET(PLE!$G$14,$M272,BD$13))))</f>
        <v>1000000000000</v>
      </c>
      <c r="BE272" s="182">
        <f ca="1">IF($D272&lt;&gt;"Serviço",0,IF(OR(AND(AUTOEVENTO="Manual",$M272=1),$M272&gt;(ROW(PLE.lastrow)-ROW(PLE.firstrow))),0,IF(OFFSET(PLE!$G$14,$M272,BE$13)="",10^12,OFFSET(PLE!$G$14,$M272,BE$13))))</f>
        <v>1000000000000</v>
      </c>
      <c r="BF272" s="182">
        <f ca="1">IF($D272&lt;&gt;"Serviço",0,IF(OR(AND(AUTOEVENTO="Manual",$M272=1),$M272&gt;(ROW(PLE.lastrow)-ROW(PLE.firstrow))),0,IF(OFFSET(PLE!$G$14,$M272,BF$13)="",10^12,OFFSET(PLE!$G$14,$M272,BF$13))))</f>
        <v>1000000000000</v>
      </c>
      <c r="BG272" s="182">
        <f ca="1">IF($D272&lt;&gt;"Serviço",0,IF(OR(AND(AUTOEVENTO="Manual",$M272=1),$M272&gt;(ROW(PLE.lastrow)-ROW(PLE.firstrow))),0,IF(OFFSET(PLE!$G$14,$M272,BG$13)="",10^12,OFFSET(PLE!$G$14,$M272,BG$13))))</f>
        <v>1000000000000</v>
      </c>
    </row>
    <row r="273" spans="1:59" ht="25.5" x14ac:dyDescent="0.2">
      <c r="A273" s="7" t="str">
        <f t="shared" ca="1" si="11"/>
        <v>251</v>
      </c>
      <c r="B273" s="7" t="str">
        <f ca="1">OFFSET(ORÇAMENTO!C$15,ROW(B273)-ROW(B$15),0)</f>
        <v>S</v>
      </c>
      <c r="C273" s="7" t="str">
        <f ca="1">OFFSET(ORÇAMENTO!L$15,ROW(C273)-ROW(C$15),0)</f>
        <v/>
      </c>
      <c r="D273" s="118" t="str">
        <f ca="1">OFFSET(ORÇAMENTO!N$15,ROW(D273)-ROW(D$15),0)</f>
        <v>Serviço</v>
      </c>
      <c r="E273" s="119" t="str">
        <f ca="1">OFFSET(ORÇAMENTO!O$15,ROW(E273)-ROW(E$15),0)</f>
        <v>-</v>
      </c>
      <c r="F273" s="172" t="str">
        <f ca="1">OFFSET(ORÇAMENTO!R$15,ROW(F273)-ROW(F$15),0)</f>
        <v>(abra o arquivo 'Referência 02-2025.xlsm)</v>
      </c>
      <c r="G273" s="173" t="str">
        <f ca="1">IF($D273&lt;&gt;"Serviço","",OFFSET(ORÇAMENTO!S$15,ROW(G273)-ROW(G$15),0))</f>
        <v>-</v>
      </c>
      <c r="H273" s="124">
        <f ca="1">IF($D273&lt;&gt;"Serviço",0,IF(ACOMPANHAMENTO="BM",ROUND(OFFSET(ORÇAMENTO!AJ$15,ROW(H273)-ROW(H$15),0),15-13*ORÇAMENTO!$AF$7),SUMPRODUCT(($Q$12:$AA$12&lt;&gt;"")*ROUND($Q273:$AA273,15-13*ORÇAMENTO!$AF$7))))</f>
        <v>24</v>
      </c>
      <c r="I273" s="561" t="s">
        <v>890</v>
      </c>
      <c r="K273" s="174"/>
      <c r="L273" s="175" t="s">
        <v>255</v>
      </c>
      <c r="M273" s="176">
        <f ca="1">IF($D273&lt;&gt;"Serviço","",IF(AUTOEVENTO="manual",$A273,IF(ISERROR(MATCH($A273,$A$15:OFFSET($A273,-1,0),0)),MAX($M$15:OFFSET(M273,-1,0))+1,INDEX($M$15:OFFSET(M273,-1,0),MATCH($A273,$A$15:OFFSET($A273,-1,0),0)))))</f>
        <v>13</v>
      </c>
      <c r="N273" s="177" t="str">
        <f ca="1">IF($D273&lt;&gt;"Serviço","",IF(AUTOEVENTO="Manual",IF($A273=0,"&lt;-- defina o número do agrupador",OFFSET(EVENTOS!$D$14,$A273,0)),OFFSET($F$15,$A273,0)))</f>
        <v>INSTALAÇÃO HIDRÁULICA</v>
      </c>
      <c r="O273" s="178"/>
      <c r="Q273" s="178"/>
      <c r="R273" s="179"/>
      <c r="S273" s="179"/>
      <c r="T273" s="179"/>
      <c r="U273" s="179"/>
      <c r="V273" s="179"/>
      <c r="W273" s="179"/>
      <c r="X273" s="179"/>
      <c r="Y273" s="179"/>
      <c r="Z273" s="180"/>
      <c r="AB273" s="544">
        <f ca="1">IF(AND($D273="Serviço",AB$12&lt;&gt;0,$H273&gt;0,OR(AUTOEVENTO&lt;&gt;"manual",$M273&lt;&gt;1)),
IF(Import.TipoArredondamento&lt;&gt;"TransfereGOV",
ROUND(OFFSET($P273,0,AB$13),15-13*ORÇAMENTO!$AF$7)/$H273*OFFSET(ORÇAMENTO!$X$15,ROW(AB273)-ROW(AB$15),0),
ROUND(ROUND(OFFSET($P273,0,AB$13),15-13*ORÇAMENTO!$AF$7)*OFFSET(ORÇAMENTO!$W$15,ROW(AB273)-ROW(AB$15),0),15-13*ORÇAMENTO!$AF$11)),0)</f>
        <v>0</v>
      </c>
      <c r="AC273" s="545">
        <f ca="1">IF(AND($D273="Serviço",AC$12&lt;&gt;0,$H273&gt;0,OR(AUTOEVENTO&lt;&gt;"manual",$M273&lt;&gt;1)),
IF(Import.TipoArredondamento&lt;&gt;"TransfereGOV",
ROUND(OFFSET($P273,0,AC$13),15-13*ORÇAMENTO!$AF$7)/$H273*OFFSET(ORÇAMENTO!$X$15,ROW(AC273)-ROW(AC$15),0),
ROUND(ROUND(OFFSET($P273,0,AC$13),15-13*ORÇAMENTO!$AF$7)*OFFSET(ORÇAMENTO!$W$15,ROW(AC273)-ROW(AC$15),0),15-13*ORÇAMENTO!$AF$11)),0)</f>
        <v>0</v>
      </c>
      <c r="AD273" s="545">
        <f ca="1">IF(AND($D273="Serviço",AD$12&lt;&gt;0,$H273&gt;0,OR(AUTOEVENTO&lt;&gt;"manual",$M273&lt;&gt;1)),
IF(Import.TipoArredondamento&lt;&gt;"TransfereGOV",
ROUND(OFFSET($P273,0,AD$13),15-13*ORÇAMENTO!$AF$7)/$H273*OFFSET(ORÇAMENTO!$X$15,ROW(AD273)-ROW(AD$15),0),
ROUND(ROUND(OFFSET($P273,0,AD$13),15-13*ORÇAMENTO!$AF$7)*OFFSET(ORÇAMENTO!$W$15,ROW(AD273)-ROW(AD$15),0),15-13*ORÇAMENTO!$AF$11)),0)</f>
        <v>0</v>
      </c>
      <c r="AE273" s="545">
        <f ca="1">IF(AND($D273="Serviço",AE$12&lt;&gt;0,$H273&gt;0,OR(AUTOEVENTO&lt;&gt;"manual",$M273&lt;&gt;1)),
IF(Import.TipoArredondamento&lt;&gt;"TransfereGOV",
ROUND(OFFSET($P273,0,AE$13),15-13*ORÇAMENTO!$AF$7)/$H273*OFFSET(ORÇAMENTO!$X$15,ROW(AE273)-ROW(AE$15),0),
ROUND(ROUND(OFFSET($P273,0,AE$13),15-13*ORÇAMENTO!$AF$7)*OFFSET(ORÇAMENTO!$W$15,ROW(AE273)-ROW(AE$15),0),15-13*ORÇAMENTO!$AF$11)),0)</f>
        <v>0</v>
      </c>
      <c r="AF273" s="545">
        <f ca="1">IF(AND($D273="Serviço",AF$12&lt;&gt;0,$H273&gt;0,OR(AUTOEVENTO&lt;&gt;"manual",$M273&lt;&gt;1)),
IF(Import.TipoArredondamento&lt;&gt;"TransfereGOV",
ROUND(OFFSET($P273,0,AF$13),15-13*ORÇAMENTO!$AF$7)/$H273*OFFSET(ORÇAMENTO!$X$15,ROW(AF273)-ROW(AF$15),0),
ROUND(ROUND(OFFSET($P273,0,AF$13),15-13*ORÇAMENTO!$AF$7)*OFFSET(ORÇAMENTO!$W$15,ROW(AF273)-ROW(AF$15),0),15-13*ORÇAMENTO!$AF$11)),0)</f>
        <v>0</v>
      </c>
      <c r="AG273" s="545">
        <f ca="1">IF(AND($D273="Serviço",AG$12&lt;&gt;0,$H273&gt;0,OR(AUTOEVENTO&lt;&gt;"manual",$M273&lt;&gt;1)),
IF(Import.TipoArredondamento&lt;&gt;"TransfereGOV",
ROUND(OFFSET($P273,0,AG$13),15-13*ORÇAMENTO!$AF$7)/$H273*OFFSET(ORÇAMENTO!$X$15,ROW(AG273)-ROW(AG$15),0),
ROUND(ROUND(OFFSET($P273,0,AG$13),15-13*ORÇAMENTO!$AF$7)*OFFSET(ORÇAMENTO!$W$15,ROW(AG273)-ROW(AG$15),0),15-13*ORÇAMENTO!$AF$11)),0)</f>
        <v>0</v>
      </c>
      <c r="AH273" s="545">
        <f ca="1">IF(AND($D273="Serviço",AH$12&lt;&gt;0,$H273&gt;0,OR(AUTOEVENTO&lt;&gt;"manual",$M273&lt;&gt;1)),
IF(Import.TipoArredondamento&lt;&gt;"TransfereGOV",
ROUND(OFFSET($P273,0,AH$13),15-13*ORÇAMENTO!$AF$7)/$H273*OFFSET(ORÇAMENTO!$X$15,ROW(AH273)-ROW(AH$15),0),
ROUND(ROUND(OFFSET($P273,0,AH$13),15-13*ORÇAMENTO!$AF$7)*OFFSET(ORÇAMENTO!$W$15,ROW(AH273)-ROW(AH$15),0),15-13*ORÇAMENTO!$AF$11)),0)</f>
        <v>0</v>
      </c>
      <c r="AI273" s="545">
        <f ca="1">IF(AND($D273="Serviço",AI$12&lt;&gt;0,$H273&gt;0,OR(AUTOEVENTO&lt;&gt;"manual",$M273&lt;&gt;1)),
IF(Import.TipoArredondamento&lt;&gt;"TransfereGOV",
ROUND(OFFSET($P273,0,AI$13),15-13*ORÇAMENTO!$AF$7)/$H273*OFFSET(ORÇAMENTO!$X$15,ROW(AI273)-ROW(AI$15),0),
ROUND(ROUND(OFFSET($P273,0,AI$13),15-13*ORÇAMENTO!$AF$7)*OFFSET(ORÇAMENTO!$W$15,ROW(AI273)-ROW(AI$15),0),15-13*ORÇAMENTO!$AF$11)),0)</f>
        <v>0</v>
      </c>
      <c r="AJ273" s="545">
        <f ca="1">IF(AND($D273="Serviço",AJ$12&lt;&gt;0,$H273&gt;0,OR(AUTOEVENTO&lt;&gt;"manual",$M273&lt;&gt;1)),
IF(Import.TipoArredondamento&lt;&gt;"TransfereGOV",
ROUND(OFFSET($P273,0,AJ$13),15-13*ORÇAMENTO!$AF$7)/$H273*OFFSET(ORÇAMENTO!$X$15,ROW(AJ273)-ROW(AJ$15),0),
ROUND(ROUND(OFFSET($P273,0,AJ$13),15-13*ORÇAMENTO!$AF$7)*OFFSET(ORÇAMENTO!$W$15,ROW(AJ273)-ROW(AJ$15),0),15-13*ORÇAMENTO!$AF$11)),0)</f>
        <v>0</v>
      </c>
      <c r="AK273" s="546">
        <f ca="1">IF(AND($D273="Serviço",AK$12&lt;&gt;0,$H273&gt;0,OR(AUTOEVENTO&lt;&gt;"manual",$M273&lt;&gt;1)),
IF(Import.TipoArredondamento&lt;&gt;"TransfereGOV",
ROUND(OFFSET($P273,0,AK$13),15-13*ORÇAMENTO!$AF$7)/$H273*OFFSET(ORÇAMENTO!$X$15,ROW(AK273)-ROW(AK$15),0),
ROUND(ROUND(OFFSET($P273,0,AK$13),15-13*ORÇAMENTO!$AF$7)*OFFSET(ORÇAMENTO!$W$15,ROW(AK273)-ROW(AK$15),0),15-13*ORÇAMENTO!$AF$11)),0)</f>
        <v>0</v>
      </c>
      <c r="AM273" s="181">
        <f ca="1">IF($D273&lt;&gt;"Serviço",0,IF(AND(AUTOEVENTO="Manual",$M273=1),0,IF(OFFSET(CRONOPLE!$F$14,$M273,AM$13)="",10^12,OFFSET(CRONOPLE!$F$14,$M273,AM$13))))</f>
        <v>1000000000000</v>
      </c>
      <c r="AN273" s="181">
        <f ca="1">IF($D273&lt;&gt;"Serviço",0,IF(AND(AUTOEVENTO="Manual",$M273=1),0,IF(OFFSET(CRONOPLE!$F$14,$M273,AN$13)="",10^12,OFFSET(CRONOPLE!$F$14,$M273,AN$13))))</f>
        <v>1000000000000</v>
      </c>
      <c r="AO273" s="181">
        <f ca="1">IF($D273&lt;&gt;"Serviço",0,IF(AND(AUTOEVENTO="Manual",$M273=1),0,IF(OFFSET(CRONOPLE!$F$14,$M273,AO$13)="",10^12,OFFSET(CRONOPLE!$F$14,$M273,AO$13))))</f>
        <v>1000000000000</v>
      </c>
      <c r="AP273" s="181">
        <f ca="1">IF($D273&lt;&gt;"Serviço",0,IF(AND(AUTOEVENTO="Manual",$M273=1),0,IF(OFFSET(CRONOPLE!$F$14,$M273,AP$13)="",10^12,OFFSET(CRONOPLE!$F$14,$M273,AP$13))))</f>
        <v>1000000000000</v>
      </c>
      <c r="AQ273" s="181">
        <f ca="1">IF($D273&lt;&gt;"Serviço",0,IF(AND(AUTOEVENTO="Manual",$M273=1),0,IF(OFFSET(CRONOPLE!$F$14,$M273,AQ$13)="",10^12,OFFSET(CRONOPLE!$F$14,$M273,AQ$13))))</f>
        <v>1000000000000</v>
      </c>
      <c r="AR273" s="181">
        <f ca="1">IF($D273&lt;&gt;"Serviço",0,IF(AND(AUTOEVENTO="Manual",$M273=1),0,IF(OFFSET(CRONOPLE!$F$14,$M273,AR$13)="",10^12,OFFSET(CRONOPLE!$F$14,$M273,AR$13))))</f>
        <v>1000000000000</v>
      </c>
      <c r="AS273" s="181">
        <f ca="1">IF($D273&lt;&gt;"Serviço",0,IF(AND(AUTOEVENTO="Manual",$M273=1),0,IF(OFFSET(CRONOPLE!$F$14,$M273,AS$13)="",10^12,OFFSET(CRONOPLE!$F$14,$M273,AS$13))))</f>
        <v>1000000000000</v>
      </c>
      <c r="AT273" s="181">
        <f ca="1">IF($D273&lt;&gt;"Serviço",0,IF(AND(AUTOEVENTO="Manual",$M273=1),0,IF(OFFSET(CRONOPLE!$F$14,$M273,AT$13)="",10^12,OFFSET(CRONOPLE!$F$14,$M273,AT$13))))</f>
        <v>1000000000000</v>
      </c>
      <c r="AU273" s="181">
        <f ca="1">IF($D273&lt;&gt;"Serviço",0,IF(AND(AUTOEVENTO="Manual",$M273=1),0,IF(OFFSET(CRONOPLE!$F$14,$M273,AU$13)="",10^12,OFFSET(CRONOPLE!$F$14,$M273,AU$13))))</f>
        <v>1000000000000</v>
      </c>
      <c r="AV273" s="181">
        <f ca="1">IF($D273&lt;&gt;"Serviço",0,IF(AND(AUTOEVENTO="Manual",$M273=1),0,IF(OFFSET(CRONOPLE!$F$14,$M273,AV$13)="",10^12,OFFSET(CRONOPLE!$F$14,$M273,AV$13))))</f>
        <v>1000000000000</v>
      </c>
      <c r="AX273" s="182">
        <f ca="1">IF($D273&lt;&gt;"Serviço",0,IF(OR(AND(AUTOEVENTO="Manual",$M273=1),$M273&gt;(ROW(PLE.lastrow)-ROW(PLE.firstrow))),0,IF(OFFSET(PLE!$G$14,$M273,AX$13)="",10^12,OFFSET(PLE!$G$14,$M273,AX$13))))</f>
        <v>1000000000000</v>
      </c>
      <c r="AY273" s="182">
        <f ca="1">IF($D273&lt;&gt;"Serviço",0,IF(OR(AND(AUTOEVENTO="Manual",$M273=1),$M273&gt;(ROW(PLE.lastrow)-ROW(PLE.firstrow))),0,IF(OFFSET(PLE!$G$14,$M273,AY$13)="",10^12,OFFSET(PLE!$G$14,$M273,AY$13))))</f>
        <v>1000000000000</v>
      </c>
      <c r="AZ273" s="182">
        <f ca="1">IF($D273&lt;&gt;"Serviço",0,IF(OR(AND(AUTOEVENTO="Manual",$M273=1),$M273&gt;(ROW(PLE.lastrow)-ROW(PLE.firstrow))),0,IF(OFFSET(PLE!$G$14,$M273,AZ$13)="",10^12,OFFSET(PLE!$G$14,$M273,AZ$13))))</f>
        <v>1000000000000</v>
      </c>
      <c r="BA273" s="182">
        <f ca="1">IF($D273&lt;&gt;"Serviço",0,IF(OR(AND(AUTOEVENTO="Manual",$M273=1),$M273&gt;(ROW(PLE.lastrow)-ROW(PLE.firstrow))),0,IF(OFFSET(PLE!$G$14,$M273,BA$13)="",10^12,OFFSET(PLE!$G$14,$M273,BA$13))))</f>
        <v>1000000000000</v>
      </c>
      <c r="BB273" s="182">
        <f ca="1">IF($D273&lt;&gt;"Serviço",0,IF(OR(AND(AUTOEVENTO="Manual",$M273=1),$M273&gt;(ROW(PLE.lastrow)-ROW(PLE.firstrow))),0,IF(OFFSET(PLE!$G$14,$M273,BB$13)="",10^12,OFFSET(PLE!$G$14,$M273,BB$13))))</f>
        <v>1000000000000</v>
      </c>
      <c r="BC273" s="182">
        <f ca="1">IF($D273&lt;&gt;"Serviço",0,IF(OR(AND(AUTOEVENTO="Manual",$M273=1),$M273&gt;(ROW(PLE.lastrow)-ROW(PLE.firstrow))),0,IF(OFFSET(PLE!$G$14,$M273,BC$13)="",10^12,OFFSET(PLE!$G$14,$M273,BC$13))))</f>
        <v>1000000000000</v>
      </c>
      <c r="BD273" s="182">
        <f ca="1">IF($D273&lt;&gt;"Serviço",0,IF(OR(AND(AUTOEVENTO="Manual",$M273=1),$M273&gt;(ROW(PLE.lastrow)-ROW(PLE.firstrow))),0,IF(OFFSET(PLE!$G$14,$M273,BD$13)="",10^12,OFFSET(PLE!$G$14,$M273,BD$13))))</f>
        <v>1000000000000</v>
      </c>
      <c r="BE273" s="182">
        <f ca="1">IF($D273&lt;&gt;"Serviço",0,IF(OR(AND(AUTOEVENTO="Manual",$M273=1),$M273&gt;(ROW(PLE.lastrow)-ROW(PLE.firstrow))),0,IF(OFFSET(PLE!$G$14,$M273,BE$13)="",10^12,OFFSET(PLE!$G$14,$M273,BE$13))))</f>
        <v>1000000000000</v>
      </c>
      <c r="BF273" s="182">
        <f ca="1">IF($D273&lt;&gt;"Serviço",0,IF(OR(AND(AUTOEVENTO="Manual",$M273=1),$M273&gt;(ROW(PLE.lastrow)-ROW(PLE.firstrow))),0,IF(OFFSET(PLE!$G$14,$M273,BF$13)="",10^12,OFFSET(PLE!$G$14,$M273,BF$13))))</f>
        <v>1000000000000</v>
      </c>
      <c r="BG273" s="182">
        <f ca="1">IF($D273&lt;&gt;"Serviço",0,IF(OR(AND(AUTOEVENTO="Manual",$M273=1),$M273&gt;(ROW(PLE.lastrow)-ROW(PLE.firstrow))),0,IF(OFFSET(PLE!$G$14,$M273,BG$13)="",10^12,OFFSET(PLE!$G$14,$M273,BG$13))))</f>
        <v>1000000000000</v>
      </c>
    </row>
    <row r="274" spans="1:59" ht="38.25" x14ac:dyDescent="0.2">
      <c r="A274" s="7" t="str">
        <f t="shared" ca="1" si="11"/>
        <v>251</v>
      </c>
      <c r="B274" s="7" t="str">
        <f ca="1">OFFSET(ORÇAMENTO!C$15,ROW(B274)-ROW(B$15),0)</f>
        <v>S</v>
      </c>
      <c r="C274" s="7" t="str">
        <f ca="1">OFFSET(ORÇAMENTO!L$15,ROW(C274)-ROW(C$15),0)</f>
        <v/>
      </c>
      <c r="D274" s="118" t="str">
        <f ca="1">OFFSET(ORÇAMENTO!N$15,ROW(D274)-ROW(D$15),0)</f>
        <v>Serviço</v>
      </c>
      <c r="E274" s="119" t="str">
        <f ca="1">OFFSET(ORÇAMENTO!O$15,ROW(E274)-ROW(E$15),0)</f>
        <v>-</v>
      </c>
      <c r="F274" s="172" t="str">
        <f ca="1">OFFSET(ORÇAMENTO!R$15,ROW(F274)-ROW(F$15),0)</f>
        <v>(abra o arquivo 'Referência 02-2025.xlsm)</v>
      </c>
      <c r="G274" s="173" t="str">
        <f ca="1">IF($D274&lt;&gt;"Serviço","",OFFSET(ORÇAMENTO!S$15,ROW(G274)-ROW(G$15),0))</f>
        <v>-</v>
      </c>
      <c r="H274" s="124">
        <f ca="1">IF($D274&lt;&gt;"Serviço",0,IF(ACOMPANHAMENTO="BM",ROUND(OFFSET(ORÇAMENTO!AJ$15,ROW(H274)-ROW(H$15),0),15-13*ORÇAMENTO!$AF$7),SUMPRODUCT(($Q$12:$AA$12&lt;&gt;"")*ROUND($Q274:$AA274,15-13*ORÇAMENTO!$AF$7))))</f>
        <v>83</v>
      </c>
      <c r="I274" s="561" t="s">
        <v>890</v>
      </c>
      <c r="K274" s="174"/>
      <c r="L274" s="175" t="s">
        <v>255</v>
      </c>
      <c r="M274" s="176">
        <f ca="1">IF($D274&lt;&gt;"Serviço","",IF(AUTOEVENTO="manual",$A274,IF(ISERROR(MATCH($A274,$A$15:OFFSET($A274,-1,0),0)),MAX($M$15:OFFSET(M274,-1,0))+1,INDEX($M$15:OFFSET(M274,-1,0),MATCH($A274,$A$15:OFFSET($A274,-1,0),0)))))</f>
        <v>13</v>
      </c>
      <c r="N274" s="177" t="str">
        <f ca="1">IF($D274&lt;&gt;"Serviço","",IF(AUTOEVENTO="Manual",IF($A274=0,"&lt;-- defina o número do agrupador",OFFSET(EVENTOS!$D$14,$A274,0)),OFFSET($F$15,$A274,0)))</f>
        <v>INSTALAÇÃO HIDRÁULICA</v>
      </c>
      <c r="O274" s="178"/>
      <c r="Q274" s="178"/>
      <c r="R274" s="179"/>
      <c r="S274" s="179"/>
      <c r="T274" s="179"/>
      <c r="U274" s="179"/>
      <c r="V274" s="179"/>
      <c r="W274" s="179"/>
      <c r="X274" s="179"/>
      <c r="Y274" s="179"/>
      <c r="Z274" s="180"/>
      <c r="AB274" s="544">
        <f ca="1">IF(AND($D274="Serviço",AB$12&lt;&gt;0,$H274&gt;0,OR(AUTOEVENTO&lt;&gt;"manual",$M274&lt;&gt;1)),
IF(Import.TipoArredondamento&lt;&gt;"TransfereGOV",
ROUND(OFFSET($P274,0,AB$13),15-13*ORÇAMENTO!$AF$7)/$H274*OFFSET(ORÇAMENTO!$X$15,ROW(AB274)-ROW(AB$15),0),
ROUND(ROUND(OFFSET($P274,0,AB$13),15-13*ORÇAMENTO!$AF$7)*OFFSET(ORÇAMENTO!$W$15,ROW(AB274)-ROW(AB$15),0),15-13*ORÇAMENTO!$AF$11)),0)</f>
        <v>0</v>
      </c>
      <c r="AC274" s="545">
        <f ca="1">IF(AND($D274="Serviço",AC$12&lt;&gt;0,$H274&gt;0,OR(AUTOEVENTO&lt;&gt;"manual",$M274&lt;&gt;1)),
IF(Import.TipoArredondamento&lt;&gt;"TransfereGOV",
ROUND(OFFSET($P274,0,AC$13),15-13*ORÇAMENTO!$AF$7)/$H274*OFFSET(ORÇAMENTO!$X$15,ROW(AC274)-ROW(AC$15),0),
ROUND(ROUND(OFFSET($P274,0,AC$13),15-13*ORÇAMENTO!$AF$7)*OFFSET(ORÇAMENTO!$W$15,ROW(AC274)-ROW(AC$15),0),15-13*ORÇAMENTO!$AF$11)),0)</f>
        <v>0</v>
      </c>
      <c r="AD274" s="545">
        <f ca="1">IF(AND($D274="Serviço",AD$12&lt;&gt;0,$H274&gt;0,OR(AUTOEVENTO&lt;&gt;"manual",$M274&lt;&gt;1)),
IF(Import.TipoArredondamento&lt;&gt;"TransfereGOV",
ROUND(OFFSET($P274,0,AD$13),15-13*ORÇAMENTO!$AF$7)/$H274*OFFSET(ORÇAMENTO!$X$15,ROW(AD274)-ROW(AD$15),0),
ROUND(ROUND(OFFSET($P274,0,AD$13),15-13*ORÇAMENTO!$AF$7)*OFFSET(ORÇAMENTO!$W$15,ROW(AD274)-ROW(AD$15),0),15-13*ORÇAMENTO!$AF$11)),0)</f>
        <v>0</v>
      </c>
      <c r="AE274" s="545">
        <f ca="1">IF(AND($D274="Serviço",AE$12&lt;&gt;0,$H274&gt;0,OR(AUTOEVENTO&lt;&gt;"manual",$M274&lt;&gt;1)),
IF(Import.TipoArredondamento&lt;&gt;"TransfereGOV",
ROUND(OFFSET($P274,0,AE$13),15-13*ORÇAMENTO!$AF$7)/$H274*OFFSET(ORÇAMENTO!$X$15,ROW(AE274)-ROW(AE$15),0),
ROUND(ROUND(OFFSET($P274,0,AE$13),15-13*ORÇAMENTO!$AF$7)*OFFSET(ORÇAMENTO!$W$15,ROW(AE274)-ROW(AE$15),0),15-13*ORÇAMENTO!$AF$11)),0)</f>
        <v>0</v>
      </c>
      <c r="AF274" s="545">
        <f ca="1">IF(AND($D274="Serviço",AF$12&lt;&gt;0,$H274&gt;0,OR(AUTOEVENTO&lt;&gt;"manual",$M274&lt;&gt;1)),
IF(Import.TipoArredondamento&lt;&gt;"TransfereGOV",
ROUND(OFFSET($P274,0,AF$13),15-13*ORÇAMENTO!$AF$7)/$H274*OFFSET(ORÇAMENTO!$X$15,ROW(AF274)-ROW(AF$15),0),
ROUND(ROUND(OFFSET($P274,0,AF$13),15-13*ORÇAMENTO!$AF$7)*OFFSET(ORÇAMENTO!$W$15,ROW(AF274)-ROW(AF$15),0),15-13*ORÇAMENTO!$AF$11)),0)</f>
        <v>0</v>
      </c>
      <c r="AG274" s="545">
        <f ca="1">IF(AND($D274="Serviço",AG$12&lt;&gt;0,$H274&gt;0,OR(AUTOEVENTO&lt;&gt;"manual",$M274&lt;&gt;1)),
IF(Import.TipoArredondamento&lt;&gt;"TransfereGOV",
ROUND(OFFSET($P274,0,AG$13),15-13*ORÇAMENTO!$AF$7)/$H274*OFFSET(ORÇAMENTO!$X$15,ROW(AG274)-ROW(AG$15),0),
ROUND(ROUND(OFFSET($P274,0,AG$13),15-13*ORÇAMENTO!$AF$7)*OFFSET(ORÇAMENTO!$W$15,ROW(AG274)-ROW(AG$15),0),15-13*ORÇAMENTO!$AF$11)),0)</f>
        <v>0</v>
      </c>
      <c r="AH274" s="545">
        <f ca="1">IF(AND($D274="Serviço",AH$12&lt;&gt;0,$H274&gt;0,OR(AUTOEVENTO&lt;&gt;"manual",$M274&lt;&gt;1)),
IF(Import.TipoArredondamento&lt;&gt;"TransfereGOV",
ROUND(OFFSET($P274,0,AH$13),15-13*ORÇAMENTO!$AF$7)/$H274*OFFSET(ORÇAMENTO!$X$15,ROW(AH274)-ROW(AH$15),0),
ROUND(ROUND(OFFSET($P274,0,AH$13),15-13*ORÇAMENTO!$AF$7)*OFFSET(ORÇAMENTO!$W$15,ROW(AH274)-ROW(AH$15),0),15-13*ORÇAMENTO!$AF$11)),0)</f>
        <v>0</v>
      </c>
      <c r="AI274" s="545">
        <f ca="1">IF(AND($D274="Serviço",AI$12&lt;&gt;0,$H274&gt;0,OR(AUTOEVENTO&lt;&gt;"manual",$M274&lt;&gt;1)),
IF(Import.TipoArredondamento&lt;&gt;"TransfereGOV",
ROUND(OFFSET($P274,0,AI$13),15-13*ORÇAMENTO!$AF$7)/$H274*OFFSET(ORÇAMENTO!$X$15,ROW(AI274)-ROW(AI$15),0),
ROUND(ROUND(OFFSET($P274,0,AI$13),15-13*ORÇAMENTO!$AF$7)*OFFSET(ORÇAMENTO!$W$15,ROW(AI274)-ROW(AI$15),0),15-13*ORÇAMENTO!$AF$11)),0)</f>
        <v>0</v>
      </c>
      <c r="AJ274" s="545">
        <f ca="1">IF(AND($D274="Serviço",AJ$12&lt;&gt;0,$H274&gt;0,OR(AUTOEVENTO&lt;&gt;"manual",$M274&lt;&gt;1)),
IF(Import.TipoArredondamento&lt;&gt;"TransfereGOV",
ROUND(OFFSET($P274,0,AJ$13),15-13*ORÇAMENTO!$AF$7)/$H274*OFFSET(ORÇAMENTO!$X$15,ROW(AJ274)-ROW(AJ$15),0),
ROUND(ROUND(OFFSET($P274,0,AJ$13),15-13*ORÇAMENTO!$AF$7)*OFFSET(ORÇAMENTO!$W$15,ROW(AJ274)-ROW(AJ$15),0),15-13*ORÇAMENTO!$AF$11)),0)</f>
        <v>0</v>
      </c>
      <c r="AK274" s="546">
        <f ca="1">IF(AND($D274="Serviço",AK$12&lt;&gt;0,$H274&gt;0,OR(AUTOEVENTO&lt;&gt;"manual",$M274&lt;&gt;1)),
IF(Import.TipoArredondamento&lt;&gt;"TransfereGOV",
ROUND(OFFSET($P274,0,AK$13),15-13*ORÇAMENTO!$AF$7)/$H274*OFFSET(ORÇAMENTO!$X$15,ROW(AK274)-ROW(AK$15),0),
ROUND(ROUND(OFFSET($P274,0,AK$13),15-13*ORÇAMENTO!$AF$7)*OFFSET(ORÇAMENTO!$W$15,ROW(AK274)-ROW(AK$15),0),15-13*ORÇAMENTO!$AF$11)),0)</f>
        <v>0</v>
      </c>
      <c r="AM274" s="181">
        <f ca="1">IF($D274&lt;&gt;"Serviço",0,IF(AND(AUTOEVENTO="Manual",$M274=1),0,IF(OFFSET(CRONOPLE!$F$14,$M274,AM$13)="",10^12,OFFSET(CRONOPLE!$F$14,$M274,AM$13))))</f>
        <v>1000000000000</v>
      </c>
      <c r="AN274" s="181">
        <f ca="1">IF($D274&lt;&gt;"Serviço",0,IF(AND(AUTOEVENTO="Manual",$M274=1),0,IF(OFFSET(CRONOPLE!$F$14,$M274,AN$13)="",10^12,OFFSET(CRONOPLE!$F$14,$M274,AN$13))))</f>
        <v>1000000000000</v>
      </c>
      <c r="AO274" s="181">
        <f ca="1">IF($D274&lt;&gt;"Serviço",0,IF(AND(AUTOEVENTO="Manual",$M274=1),0,IF(OFFSET(CRONOPLE!$F$14,$M274,AO$13)="",10^12,OFFSET(CRONOPLE!$F$14,$M274,AO$13))))</f>
        <v>1000000000000</v>
      </c>
      <c r="AP274" s="181">
        <f ca="1">IF($D274&lt;&gt;"Serviço",0,IF(AND(AUTOEVENTO="Manual",$M274=1),0,IF(OFFSET(CRONOPLE!$F$14,$M274,AP$13)="",10^12,OFFSET(CRONOPLE!$F$14,$M274,AP$13))))</f>
        <v>1000000000000</v>
      </c>
      <c r="AQ274" s="181">
        <f ca="1">IF($D274&lt;&gt;"Serviço",0,IF(AND(AUTOEVENTO="Manual",$M274=1),0,IF(OFFSET(CRONOPLE!$F$14,$M274,AQ$13)="",10^12,OFFSET(CRONOPLE!$F$14,$M274,AQ$13))))</f>
        <v>1000000000000</v>
      </c>
      <c r="AR274" s="181">
        <f ca="1">IF($D274&lt;&gt;"Serviço",0,IF(AND(AUTOEVENTO="Manual",$M274=1),0,IF(OFFSET(CRONOPLE!$F$14,$M274,AR$13)="",10^12,OFFSET(CRONOPLE!$F$14,$M274,AR$13))))</f>
        <v>1000000000000</v>
      </c>
      <c r="AS274" s="181">
        <f ca="1">IF($D274&lt;&gt;"Serviço",0,IF(AND(AUTOEVENTO="Manual",$M274=1),0,IF(OFFSET(CRONOPLE!$F$14,$M274,AS$13)="",10^12,OFFSET(CRONOPLE!$F$14,$M274,AS$13))))</f>
        <v>1000000000000</v>
      </c>
      <c r="AT274" s="181">
        <f ca="1">IF($D274&lt;&gt;"Serviço",0,IF(AND(AUTOEVENTO="Manual",$M274=1),0,IF(OFFSET(CRONOPLE!$F$14,$M274,AT$13)="",10^12,OFFSET(CRONOPLE!$F$14,$M274,AT$13))))</f>
        <v>1000000000000</v>
      </c>
      <c r="AU274" s="181">
        <f ca="1">IF($D274&lt;&gt;"Serviço",0,IF(AND(AUTOEVENTO="Manual",$M274=1),0,IF(OFFSET(CRONOPLE!$F$14,$M274,AU$13)="",10^12,OFFSET(CRONOPLE!$F$14,$M274,AU$13))))</f>
        <v>1000000000000</v>
      </c>
      <c r="AV274" s="181">
        <f ca="1">IF($D274&lt;&gt;"Serviço",0,IF(AND(AUTOEVENTO="Manual",$M274=1),0,IF(OFFSET(CRONOPLE!$F$14,$M274,AV$13)="",10^12,OFFSET(CRONOPLE!$F$14,$M274,AV$13))))</f>
        <v>1000000000000</v>
      </c>
      <c r="AX274" s="182">
        <f ca="1">IF($D274&lt;&gt;"Serviço",0,IF(OR(AND(AUTOEVENTO="Manual",$M274=1),$M274&gt;(ROW(PLE.lastrow)-ROW(PLE.firstrow))),0,IF(OFFSET(PLE!$G$14,$M274,AX$13)="",10^12,OFFSET(PLE!$G$14,$M274,AX$13))))</f>
        <v>1000000000000</v>
      </c>
      <c r="AY274" s="182">
        <f ca="1">IF($D274&lt;&gt;"Serviço",0,IF(OR(AND(AUTOEVENTO="Manual",$M274=1),$M274&gt;(ROW(PLE.lastrow)-ROW(PLE.firstrow))),0,IF(OFFSET(PLE!$G$14,$M274,AY$13)="",10^12,OFFSET(PLE!$G$14,$M274,AY$13))))</f>
        <v>1000000000000</v>
      </c>
      <c r="AZ274" s="182">
        <f ca="1">IF($D274&lt;&gt;"Serviço",0,IF(OR(AND(AUTOEVENTO="Manual",$M274=1),$M274&gt;(ROW(PLE.lastrow)-ROW(PLE.firstrow))),0,IF(OFFSET(PLE!$G$14,$M274,AZ$13)="",10^12,OFFSET(PLE!$G$14,$M274,AZ$13))))</f>
        <v>1000000000000</v>
      </c>
      <c r="BA274" s="182">
        <f ca="1">IF($D274&lt;&gt;"Serviço",0,IF(OR(AND(AUTOEVENTO="Manual",$M274=1),$M274&gt;(ROW(PLE.lastrow)-ROW(PLE.firstrow))),0,IF(OFFSET(PLE!$G$14,$M274,BA$13)="",10^12,OFFSET(PLE!$G$14,$M274,BA$13))))</f>
        <v>1000000000000</v>
      </c>
      <c r="BB274" s="182">
        <f ca="1">IF($D274&lt;&gt;"Serviço",0,IF(OR(AND(AUTOEVENTO="Manual",$M274=1),$M274&gt;(ROW(PLE.lastrow)-ROW(PLE.firstrow))),0,IF(OFFSET(PLE!$G$14,$M274,BB$13)="",10^12,OFFSET(PLE!$G$14,$M274,BB$13))))</f>
        <v>1000000000000</v>
      </c>
      <c r="BC274" s="182">
        <f ca="1">IF($D274&lt;&gt;"Serviço",0,IF(OR(AND(AUTOEVENTO="Manual",$M274=1),$M274&gt;(ROW(PLE.lastrow)-ROW(PLE.firstrow))),0,IF(OFFSET(PLE!$G$14,$M274,BC$13)="",10^12,OFFSET(PLE!$G$14,$M274,BC$13))))</f>
        <v>1000000000000</v>
      </c>
      <c r="BD274" s="182">
        <f ca="1">IF($D274&lt;&gt;"Serviço",0,IF(OR(AND(AUTOEVENTO="Manual",$M274=1),$M274&gt;(ROW(PLE.lastrow)-ROW(PLE.firstrow))),0,IF(OFFSET(PLE!$G$14,$M274,BD$13)="",10^12,OFFSET(PLE!$G$14,$M274,BD$13))))</f>
        <v>1000000000000</v>
      </c>
      <c r="BE274" s="182">
        <f ca="1">IF($D274&lt;&gt;"Serviço",0,IF(OR(AND(AUTOEVENTO="Manual",$M274=1),$M274&gt;(ROW(PLE.lastrow)-ROW(PLE.firstrow))),0,IF(OFFSET(PLE!$G$14,$M274,BE$13)="",10^12,OFFSET(PLE!$G$14,$M274,BE$13))))</f>
        <v>1000000000000</v>
      </c>
      <c r="BF274" s="182">
        <f ca="1">IF($D274&lt;&gt;"Serviço",0,IF(OR(AND(AUTOEVENTO="Manual",$M274=1),$M274&gt;(ROW(PLE.lastrow)-ROW(PLE.firstrow))),0,IF(OFFSET(PLE!$G$14,$M274,BF$13)="",10^12,OFFSET(PLE!$G$14,$M274,BF$13))))</f>
        <v>1000000000000</v>
      </c>
      <c r="BG274" s="182">
        <f ca="1">IF($D274&lt;&gt;"Serviço",0,IF(OR(AND(AUTOEVENTO="Manual",$M274=1),$M274&gt;(ROW(PLE.lastrow)-ROW(PLE.firstrow))),0,IF(OFFSET(PLE!$G$14,$M274,BG$13)="",10^12,OFFSET(PLE!$G$14,$M274,BG$13))))</f>
        <v>1000000000000</v>
      </c>
    </row>
    <row r="275" spans="1:59" ht="38.25" x14ac:dyDescent="0.2">
      <c r="A275" s="7" t="str">
        <f t="shared" ca="1" si="11"/>
        <v>251</v>
      </c>
      <c r="B275" s="7" t="str">
        <f ca="1">OFFSET(ORÇAMENTO!C$15,ROW(B275)-ROW(B$15),0)</f>
        <v>S</v>
      </c>
      <c r="C275" s="7" t="str">
        <f ca="1">OFFSET(ORÇAMENTO!L$15,ROW(C275)-ROW(C$15),0)</f>
        <v/>
      </c>
      <c r="D275" s="118" t="str">
        <f ca="1">OFFSET(ORÇAMENTO!N$15,ROW(D275)-ROW(D$15),0)</f>
        <v>Serviço</v>
      </c>
      <c r="E275" s="119" t="str">
        <f ca="1">OFFSET(ORÇAMENTO!O$15,ROW(E275)-ROW(E$15),0)</f>
        <v>-</v>
      </c>
      <c r="F275" s="172" t="str">
        <f ca="1">OFFSET(ORÇAMENTO!R$15,ROW(F275)-ROW(F$15),0)</f>
        <v>(abra o arquivo 'Referência 02-2025.xlsm)</v>
      </c>
      <c r="G275" s="173" t="str">
        <f ca="1">IF($D275&lt;&gt;"Serviço","",OFFSET(ORÇAMENTO!S$15,ROW(G275)-ROW(G$15),0))</f>
        <v>-</v>
      </c>
      <c r="H275" s="124">
        <f ca="1">IF($D275&lt;&gt;"Serviço",0,IF(ACOMPANHAMENTO="BM",ROUND(OFFSET(ORÇAMENTO!AJ$15,ROW(H275)-ROW(H$15),0),15-13*ORÇAMENTO!$AF$7),SUMPRODUCT(($Q$12:$AA$12&lt;&gt;"")*ROUND($Q275:$AA275,15-13*ORÇAMENTO!$AF$7))))</f>
        <v>2</v>
      </c>
      <c r="I275" s="561" t="s">
        <v>890</v>
      </c>
      <c r="K275" s="174"/>
      <c r="L275" s="175" t="s">
        <v>255</v>
      </c>
      <c r="M275" s="176">
        <f ca="1">IF($D275&lt;&gt;"Serviço","",IF(AUTOEVENTO="manual",$A275,IF(ISERROR(MATCH($A275,$A$15:OFFSET($A275,-1,0),0)),MAX($M$15:OFFSET(M275,-1,0))+1,INDEX($M$15:OFFSET(M275,-1,0),MATCH($A275,$A$15:OFFSET($A275,-1,0),0)))))</f>
        <v>13</v>
      </c>
      <c r="N275" s="177" t="str">
        <f ca="1">IF($D275&lt;&gt;"Serviço","",IF(AUTOEVENTO="Manual",IF($A275=0,"&lt;-- defina o número do agrupador",OFFSET(EVENTOS!$D$14,$A275,0)),OFFSET($F$15,$A275,0)))</f>
        <v>INSTALAÇÃO HIDRÁULICA</v>
      </c>
      <c r="O275" s="178"/>
      <c r="Q275" s="178"/>
      <c r="R275" s="179"/>
      <c r="S275" s="179"/>
      <c r="T275" s="179"/>
      <c r="U275" s="179"/>
      <c r="V275" s="179"/>
      <c r="W275" s="179"/>
      <c r="X275" s="179"/>
      <c r="Y275" s="179"/>
      <c r="Z275" s="180"/>
      <c r="AB275" s="544">
        <f ca="1">IF(AND($D275="Serviço",AB$12&lt;&gt;0,$H275&gt;0,OR(AUTOEVENTO&lt;&gt;"manual",$M275&lt;&gt;1)),
IF(Import.TipoArredondamento&lt;&gt;"TransfereGOV",
ROUND(OFFSET($P275,0,AB$13),15-13*ORÇAMENTO!$AF$7)/$H275*OFFSET(ORÇAMENTO!$X$15,ROW(AB275)-ROW(AB$15),0),
ROUND(ROUND(OFFSET($P275,0,AB$13),15-13*ORÇAMENTO!$AF$7)*OFFSET(ORÇAMENTO!$W$15,ROW(AB275)-ROW(AB$15),0),15-13*ORÇAMENTO!$AF$11)),0)</f>
        <v>0</v>
      </c>
      <c r="AC275" s="545">
        <f ca="1">IF(AND($D275="Serviço",AC$12&lt;&gt;0,$H275&gt;0,OR(AUTOEVENTO&lt;&gt;"manual",$M275&lt;&gt;1)),
IF(Import.TipoArredondamento&lt;&gt;"TransfereGOV",
ROUND(OFFSET($P275,0,AC$13),15-13*ORÇAMENTO!$AF$7)/$H275*OFFSET(ORÇAMENTO!$X$15,ROW(AC275)-ROW(AC$15),0),
ROUND(ROUND(OFFSET($P275,0,AC$13),15-13*ORÇAMENTO!$AF$7)*OFFSET(ORÇAMENTO!$W$15,ROW(AC275)-ROW(AC$15),0),15-13*ORÇAMENTO!$AF$11)),0)</f>
        <v>0</v>
      </c>
      <c r="AD275" s="545">
        <f ca="1">IF(AND($D275="Serviço",AD$12&lt;&gt;0,$H275&gt;0,OR(AUTOEVENTO&lt;&gt;"manual",$M275&lt;&gt;1)),
IF(Import.TipoArredondamento&lt;&gt;"TransfereGOV",
ROUND(OFFSET($P275,0,AD$13),15-13*ORÇAMENTO!$AF$7)/$H275*OFFSET(ORÇAMENTO!$X$15,ROW(AD275)-ROW(AD$15),0),
ROUND(ROUND(OFFSET($P275,0,AD$13),15-13*ORÇAMENTO!$AF$7)*OFFSET(ORÇAMENTO!$W$15,ROW(AD275)-ROW(AD$15),0),15-13*ORÇAMENTO!$AF$11)),0)</f>
        <v>0</v>
      </c>
      <c r="AE275" s="545">
        <f ca="1">IF(AND($D275="Serviço",AE$12&lt;&gt;0,$H275&gt;0,OR(AUTOEVENTO&lt;&gt;"manual",$M275&lt;&gt;1)),
IF(Import.TipoArredondamento&lt;&gt;"TransfereGOV",
ROUND(OFFSET($P275,0,AE$13),15-13*ORÇAMENTO!$AF$7)/$H275*OFFSET(ORÇAMENTO!$X$15,ROW(AE275)-ROW(AE$15),0),
ROUND(ROUND(OFFSET($P275,0,AE$13),15-13*ORÇAMENTO!$AF$7)*OFFSET(ORÇAMENTO!$W$15,ROW(AE275)-ROW(AE$15),0),15-13*ORÇAMENTO!$AF$11)),0)</f>
        <v>0</v>
      </c>
      <c r="AF275" s="545">
        <f ca="1">IF(AND($D275="Serviço",AF$12&lt;&gt;0,$H275&gt;0,OR(AUTOEVENTO&lt;&gt;"manual",$M275&lt;&gt;1)),
IF(Import.TipoArredondamento&lt;&gt;"TransfereGOV",
ROUND(OFFSET($P275,0,AF$13),15-13*ORÇAMENTO!$AF$7)/$H275*OFFSET(ORÇAMENTO!$X$15,ROW(AF275)-ROW(AF$15),0),
ROUND(ROUND(OFFSET($P275,0,AF$13),15-13*ORÇAMENTO!$AF$7)*OFFSET(ORÇAMENTO!$W$15,ROW(AF275)-ROW(AF$15),0),15-13*ORÇAMENTO!$AF$11)),0)</f>
        <v>0</v>
      </c>
      <c r="AG275" s="545">
        <f ca="1">IF(AND($D275="Serviço",AG$12&lt;&gt;0,$H275&gt;0,OR(AUTOEVENTO&lt;&gt;"manual",$M275&lt;&gt;1)),
IF(Import.TipoArredondamento&lt;&gt;"TransfereGOV",
ROUND(OFFSET($P275,0,AG$13),15-13*ORÇAMENTO!$AF$7)/$H275*OFFSET(ORÇAMENTO!$X$15,ROW(AG275)-ROW(AG$15),0),
ROUND(ROUND(OFFSET($P275,0,AG$13),15-13*ORÇAMENTO!$AF$7)*OFFSET(ORÇAMENTO!$W$15,ROW(AG275)-ROW(AG$15),0),15-13*ORÇAMENTO!$AF$11)),0)</f>
        <v>0</v>
      </c>
      <c r="AH275" s="545">
        <f ca="1">IF(AND($D275="Serviço",AH$12&lt;&gt;0,$H275&gt;0,OR(AUTOEVENTO&lt;&gt;"manual",$M275&lt;&gt;1)),
IF(Import.TipoArredondamento&lt;&gt;"TransfereGOV",
ROUND(OFFSET($P275,0,AH$13),15-13*ORÇAMENTO!$AF$7)/$H275*OFFSET(ORÇAMENTO!$X$15,ROW(AH275)-ROW(AH$15),0),
ROUND(ROUND(OFFSET($P275,0,AH$13),15-13*ORÇAMENTO!$AF$7)*OFFSET(ORÇAMENTO!$W$15,ROW(AH275)-ROW(AH$15),0),15-13*ORÇAMENTO!$AF$11)),0)</f>
        <v>0</v>
      </c>
      <c r="AI275" s="545">
        <f ca="1">IF(AND($D275="Serviço",AI$12&lt;&gt;0,$H275&gt;0,OR(AUTOEVENTO&lt;&gt;"manual",$M275&lt;&gt;1)),
IF(Import.TipoArredondamento&lt;&gt;"TransfereGOV",
ROUND(OFFSET($P275,0,AI$13),15-13*ORÇAMENTO!$AF$7)/$H275*OFFSET(ORÇAMENTO!$X$15,ROW(AI275)-ROW(AI$15),0),
ROUND(ROUND(OFFSET($P275,0,AI$13),15-13*ORÇAMENTO!$AF$7)*OFFSET(ORÇAMENTO!$W$15,ROW(AI275)-ROW(AI$15),0),15-13*ORÇAMENTO!$AF$11)),0)</f>
        <v>0</v>
      </c>
      <c r="AJ275" s="545">
        <f ca="1">IF(AND($D275="Serviço",AJ$12&lt;&gt;0,$H275&gt;0,OR(AUTOEVENTO&lt;&gt;"manual",$M275&lt;&gt;1)),
IF(Import.TipoArredondamento&lt;&gt;"TransfereGOV",
ROUND(OFFSET($P275,0,AJ$13),15-13*ORÇAMENTO!$AF$7)/$H275*OFFSET(ORÇAMENTO!$X$15,ROW(AJ275)-ROW(AJ$15),0),
ROUND(ROUND(OFFSET($P275,0,AJ$13),15-13*ORÇAMENTO!$AF$7)*OFFSET(ORÇAMENTO!$W$15,ROW(AJ275)-ROW(AJ$15),0),15-13*ORÇAMENTO!$AF$11)),0)</f>
        <v>0</v>
      </c>
      <c r="AK275" s="546">
        <f ca="1">IF(AND($D275="Serviço",AK$12&lt;&gt;0,$H275&gt;0,OR(AUTOEVENTO&lt;&gt;"manual",$M275&lt;&gt;1)),
IF(Import.TipoArredondamento&lt;&gt;"TransfereGOV",
ROUND(OFFSET($P275,0,AK$13),15-13*ORÇAMENTO!$AF$7)/$H275*OFFSET(ORÇAMENTO!$X$15,ROW(AK275)-ROW(AK$15),0),
ROUND(ROUND(OFFSET($P275,0,AK$13),15-13*ORÇAMENTO!$AF$7)*OFFSET(ORÇAMENTO!$W$15,ROW(AK275)-ROW(AK$15),0),15-13*ORÇAMENTO!$AF$11)),0)</f>
        <v>0</v>
      </c>
      <c r="AM275" s="181">
        <f ca="1">IF($D275&lt;&gt;"Serviço",0,IF(AND(AUTOEVENTO="Manual",$M275=1),0,IF(OFFSET(CRONOPLE!$F$14,$M275,AM$13)="",10^12,OFFSET(CRONOPLE!$F$14,$M275,AM$13))))</f>
        <v>1000000000000</v>
      </c>
      <c r="AN275" s="181">
        <f ca="1">IF($D275&lt;&gt;"Serviço",0,IF(AND(AUTOEVENTO="Manual",$M275=1),0,IF(OFFSET(CRONOPLE!$F$14,$M275,AN$13)="",10^12,OFFSET(CRONOPLE!$F$14,$M275,AN$13))))</f>
        <v>1000000000000</v>
      </c>
      <c r="AO275" s="181">
        <f ca="1">IF($D275&lt;&gt;"Serviço",0,IF(AND(AUTOEVENTO="Manual",$M275=1),0,IF(OFFSET(CRONOPLE!$F$14,$M275,AO$13)="",10^12,OFFSET(CRONOPLE!$F$14,$M275,AO$13))))</f>
        <v>1000000000000</v>
      </c>
      <c r="AP275" s="181">
        <f ca="1">IF($D275&lt;&gt;"Serviço",0,IF(AND(AUTOEVENTO="Manual",$M275=1),0,IF(OFFSET(CRONOPLE!$F$14,$M275,AP$13)="",10^12,OFFSET(CRONOPLE!$F$14,$M275,AP$13))))</f>
        <v>1000000000000</v>
      </c>
      <c r="AQ275" s="181">
        <f ca="1">IF($D275&lt;&gt;"Serviço",0,IF(AND(AUTOEVENTO="Manual",$M275=1),0,IF(OFFSET(CRONOPLE!$F$14,$M275,AQ$13)="",10^12,OFFSET(CRONOPLE!$F$14,$M275,AQ$13))))</f>
        <v>1000000000000</v>
      </c>
      <c r="AR275" s="181">
        <f ca="1">IF($D275&lt;&gt;"Serviço",0,IF(AND(AUTOEVENTO="Manual",$M275=1),0,IF(OFFSET(CRONOPLE!$F$14,$M275,AR$13)="",10^12,OFFSET(CRONOPLE!$F$14,$M275,AR$13))))</f>
        <v>1000000000000</v>
      </c>
      <c r="AS275" s="181">
        <f ca="1">IF($D275&lt;&gt;"Serviço",0,IF(AND(AUTOEVENTO="Manual",$M275=1),0,IF(OFFSET(CRONOPLE!$F$14,$M275,AS$13)="",10^12,OFFSET(CRONOPLE!$F$14,$M275,AS$13))))</f>
        <v>1000000000000</v>
      </c>
      <c r="AT275" s="181">
        <f ca="1">IF($D275&lt;&gt;"Serviço",0,IF(AND(AUTOEVENTO="Manual",$M275=1),0,IF(OFFSET(CRONOPLE!$F$14,$M275,AT$13)="",10^12,OFFSET(CRONOPLE!$F$14,$M275,AT$13))))</f>
        <v>1000000000000</v>
      </c>
      <c r="AU275" s="181">
        <f ca="1">IF($D275&lt;&gt;"Serviço",0,IF(AND(AUTOEVENTO="Manual",$M275=1),0,IF(OFFSET(CRONOPLE!$F$14,$M275,AU$13)="",10^12,OFFSET(CRONOPLE!$F$14,$M275,AU$13))))</f>
        <v>1000000000000</v>
      </c>
      <c r="AV275" s="181">
        <f ca="1">IF($D275&lt;&gt;"Serviço",0,IF(AND(AUTOEVENTO="Manual",$M275=1),0,IF(OFFSET(CRONOPLE!$F$14,$M275,AV$13)="",10^12,OFFSET(CRONOPLE!$F$14,$M275,AV$13))))</f>
        <v>1000000000000</v>
      </c>
      <c r="AX275" s="182">
        <f ca="1">IF($D275&lt;&gt;"Serviço",0,IF(OR(AND(AUTOEVENTO="Manual",$M275=1),$M275&gt;(ROW(PLE.lastrow)-ROW(PLE.firstrow))),0,IF(OFFSET(PLE!$G$14,$M275,AX$13)="",10^12,OFFSET(PLE!$G$14,$M275,AX$13))))</f>
        <v>1000000000000</v>
      </c>
      <c r="AY275" s="182">
        <f ca="1">IF($D275&lt;&gt;"Serviço",0,IF(OR(AND(AUTOEVENTO="Manual",$M275=1),$M275&gt;(ROW(PLE.lastrow)-ROW(PLE.firstrow))),0,IF(OFFSET(PLE!$G$14,$M275,AY$13)="",10^12,OFFSET(PLE!$G$14,$M275,AY$13))))</f>
        <v>1000000000000</v>
      </c>
      <c r="AZ275" s="182">
        <f ca="1">IF($D275&lt;&gt;"Serviço",0,IF(OR(AND(AUTOEVENTO="Manual",$M275=1),$M275&gt;(ROW(PLE.lastrow)-ROW(PLE.firstrow))),0,IF(OFFSET(PLE!$G$14,$M275,AZ$13)="",10^12,OFFSET(PLE!$G$14,$M275,AZ$13))))</f>
        <v>1000000000000</v>
      </c>
      <c r="BA275" s="182">
        <f ca="1">IF($D275&lt;&gt;"Serviço",0,IF(OR(AND(AUTOEVENTO="Manual",$M275=1),$M275&gt;(ROW(PLE.lastrow)-ROW(PLE.firstrow))),0,IF(OFFSET(PLE!$G$14,$M275,BA$13)="",10^12,OFFSET(PLE!$G$14,$M275,BA$13))))</f>
        <v>1000000000000</v>
      </c>
      <c r="BB275" s="182">
        <f ca="1">IF($D275&lt;&gt;"Serviço",0,IF(OR(AND(AUTOEVENTO="Manual",$M275=1),$M275&gt;(ROW(PLE.lastrow)-ROW(PLE.firstrow))),0,IF(OFFSET(PLE!$G$14,$M275,BB$13)="",10^12,OFFSET(PLE!$G$14,$M275,BB$13))))</f>
        <v>1000000000000</v>
      </c>
      <c r="BC275" s="182">
        <f ca="1">IF($D275&lt;&gt;"Serviço",0,IF(OR(AND(AUTOEVENTO="Manual",$M275=1),$M275&gt;(ROW(PLE.lastrow)-ROW(PLE.firstrow))),0,IF(OFFSET(PLE!$G$14,$M275,BC$13)="",10^12,OFFSET(PLE!$G$14,$M275,BC$13))))</f>
        <v>1000000000000</v>
      </c>
      <c r="BD275" s="182">
        <f ca="1">IF($D275&lt;&gt;"Serviço",0,IF(OR(AND(AUTOEVENTO="Manual",$M275=1),$M275&gt;(ROW(PLE.lastrow)-ROW(PLE.firstrow))),0,IF(OFFSET(PLE!$G$14,$M275,BD$13)="",10^12,OFFSET(PLE!$G$14,$M275,BD$13))))</f>
        <v>1000000000000</v>
      </c>
      <c r="BE275" s="182">
        <f ca="1">IF($D275&lt;&gt;"Serviço",0,IF(OR(AND(AUTOEVENTO="Manual",$M275=1),$M275&gt;(ROW(PLE.lastrow)-ROW(PLE.firstrow))),0,IF(OFFSET(PLE!$G$14,$M275,BE$13)="",10^12,OFFSET(PLE!$G$14,$M275,BE$13))))</f>
        <v>1000000000000</v>
      </c>
      <c r="BF275" s="182">
        <f ca="1">IF($D275&lt;&gt;"Serviço",0,IF(OR(AND(AUTOEVENTO="Manual",$M275=1),$M275&gt;(ROW(PLE.lastrow)-ROW(PLE.firstrow))),0,IF(OFFSET(PLE!$G$14,$M275,BF$13)="",10^12,OFFSET(PLE!$G$14,$M275,BF$13))))</f>
        <v>1000000000000</v>
      </c>
      <c r="BG275" s="182">
        <f ca="1">IF($D275&lt;&gt;"Serviço",0,IF(OR(AND(AUTOEVENTO="Manual",$M275=1),$M275&gt;(ROW(PLE.lastrow)-ROW(PLE.firstrow))),0,IF(OFFSET(PLE!$G$14,$M275,BG$13)="",10^12,OFFSET(PLE!$G$14,$M275,BG$13))))</f>
        <v>1000000000000</v>
      </c>
    </row>
    <row r="276" spans="1:59" ht="51" x14ac:dyDescent="0.2">
      <c r="A276" s="7" t="str">
        <f t="shared" ca="1" si="11"/>
        <v>251</v>
      </c>
      <c r="B276" s="7" t="str">
        <f ca="1">OFFSET(ORÇAMENTO!C$15,ROW(B276)-ROW(B$15),0)</f>
        <v>S</v>
      </c>
      <c r="C276" s="7" t="str">
        <f ca="1">OFFSET(ORÇAMENTO!L$15,ROW(C276)-ROW(C$15),0)</f>
        <v/>
      </c>
      <c r="D276" s="118" t="str">
        <f ca="1">OFFSET(ORÇAMENTO!N$15,ROW(D276)-ROW(D$15),0)</f>
        <v>Serviço</v>
      </c>
      <c r="E276" s="119" t="str">
        <f ca="1">OFFSET(ORÇAMENTO!O$15,ROW(E276)-ROW(E$15),0)</f>
        <v>-</v>
      </c>
      <c r="F276" s="172" t="str">
        <f ca="1">OFFSET(ORÇAMENTO!R$15,ROW(F276)-ROW(F$15),0)</f>
        <v>(abra o arquivo 'Referência 02-2025.xlsm)</v>
      </c>
      <c r="G276" s="173" t="str">
        <f ca="1">IF($D276&lt;&gt;"Serviço","",OFFSET(ORÇAMENTO!S$15,ROW(G276)-ROW(G$15),0))</f>
        <v>-</v>
      </c>
      <c r="H276" s="124">
        <f ca="1">IF($D276&lt;&gt;"Serviço",0,IF(ACOMPANHAMENTO="BM",ROUND(OFFSET(ORÇAMENTO!AJ$15,ROW(H276)-ROW(H$15),0),15-13*ORÇAMENTO!$AF$7),SUMPRODUCT(($Q$12:$AA$12&lt;&gt;"")*ROUND($Q276:$AA276,15-13*ORÇAMENTO!$AF$7))))</f>
        <v>56</v>
      </c>
      <c r="I276" s="561" t="s">
        <v>890</v>
      </c>
      <c r="K276" s="174"/>
      <c r="L276" s="175" t="s">
        <v>255</v>
      </c>
      <c r="M276" s="176">
        <f ca="1">IF($D276&lt;&gt;"Serviço","",IF(AUTOEVENTO="manual",$A276,IF(ISERROR(MATCH($A276,$A$15:OFFSET($A276,-1,0),0)),MAX($M$15:OFFSET(M276,-1,0))+1,INDEX($M$15:OFFSET(M276,-1,0),MATCH($A276,$A$15:OFFSET($A276,-1,0),0)))))</f>
        <v>13</v>
      </c>
      <c r="N276" s="177" t="str">
        <f ca="1">IF($D276&lt;&gt;"Serviço","",IF(AUTOEVENTO="Manual",IF($A276=0,"&lt;-- defina o número do agrupador",OFFSET(EVENTOS!$D$14,$A276,0)),OFFSET($F$15,$A276,0)))</f>
        <v>INSTALAÇÃO HIDRÁULICA</v>
      </c>
      <c r="O276" s="178"/>
      <c r="Q276" s="178"/>
      <c r="R276" s="179"/>
      <c r="S276" s="179"/>
      <c r="T276" s="179"/>
      <c r="U276" s="179"/>
      <c r="V276" s="179"/>
      <c r="W276" s="179"/>
      <c r="X276" s="179"/>
      <c r="Y276" s="179"/>
      <c r="Z276" s="180"/>
      <c r="AB276" s="544">
        <f ca="1">IF(AND($D276="Serviço",AB$12&lt;&gt;0,$H276&gt;0,OR(AUTOEVENTO&lt;&gt;"manual",$M276&lt;&gt;1)),
IF(Import.TipoArredondamento&lt;&gt;"TransfereGOV",
ROUND(OFFSET($P276,0,AB$13),15-13*ORÇAMENTO!$AF$7)/$H276*OFFSET(ORÇAMENTO!$X$15,ROW(AB276)-ROW(AB$15),0),
ROUND(ROUND(OFFSET($P276,0,AB$13),15-13*ORÇAMENTO!$AF$7)*OFFSET(ORÇAMENTO!$W$15,ROW(AB276)-ROW(AB$15),0),15-13*ORÇAMENTO!$AF$11)),0)</f>
        <v>0</v>
      </c>
      <c r="AC276" s="545">
        <f ca="1">IF(AND($D276="Serviço",AC$12&lt;&gt;0,$H276&gt;0,OR(AUTOEVENTO&lt;&gt;"manual",$M276&lt;&gt;1)),
IF(Import.TipoArredondamento&lt;&gt;"TransfereGOV",
ROUND(OFFSET($P276,0,AC$13),15-13*ORÇAMENTO!$AF$7)/$H276*OFFSET(ORÇAMENTO!$X$15,ROW(AC276)-ROW(AC$15),0),
ROUND(ROUND(OFFSET($P276,0,AC$13),15-13*ORÇAMENTO!$AF$7)*OFFSET(ORÇAMENTO!$W$15,ROW(AC276)-ROW(AC$15),0),15-13*ORÇAMENTO!$AF$11)),0)</f>
        <v>0</v>
      </c>
      <c r="AD276" s="545">
        <f ca="1">IF(AND($D276="Serviço",AD$12&lt;&gt;0,$H276&gt;0,OR(AUTOEVENTO&lt;&gt;"manual",$M276&lt;&gt;1)),
IF(Import.TipoArredondamento&lt;&gt;"TransfereGOV",
ROUND(OFFSET($P276,0,AD$13),15-13*ORÇAMENTO!$AF$7)/$H276*OFFSET(ORÇAMENTO!$X$15,ROW(AD276)-ROW(AD$15),0),
ROUND(ROUND(OFFSET($P276,0,AD$13),15-13*ORÇAMENTO!$AF$7)*OFFSET(ORÇAMENTO!$W$15,ROW(AD276)-ROW(AD$15),0),15-13*ORÇAMENTO!$AF$11)),0)</f>
        <v>0</v>
      </c>
      <c r="AE276" s="545">
        <f ca="1">IF(AND($D276="Serviço",AE$12&lt;&gt;0,$H276&gt;0,OR(AUTOEVENTO&lt;&gt;"manual",$M276&lt;&gt;1)),
IF(Import.TipoArredondamento&lt;&gt;"TransfereGOV",
ROUND(OFFSET($P276,0,AE$13),15-13*ORÇAMENTO!$AF$7)/$H276*OFFSET(ORÇAMENTO!$X$15,ROW(AE276)-ROW(AE$15),0),
ROUND(ROUND(OFFSET($P276,0,AE$13),15-13*ORÇAMENTO!$AF$7)*OFFSET(ORÇAMENTO!$W$15,ROW(AE276)-ROW(AE$15),0),15-13*ORÇAMENTO!$AF$11)),0)</f>
        <v>0</v>
      </c>
      <c r="AF276" s="545">
        <f ca="1">IF(AND($D276="Serviço",AF$12&lt;&gt;0,$H276&gt;0,OR(AUTOEVENTO&lt;&gt;"manual",$M276&lt;&gt;1)),
IF(Import.TipoArredondamento&lt;&gt;"TransfereGOV",
ROUND(OFFSET($P276,0,AF$13),15-13*ORÇAMENTO!$AF$7)/$H276*OFFSET(ORÇAMENTO!$X$15,ROW(AF276)-ROW(AF$15),0),
ROUND(ROUND(OFFSET($P276,0,AF$13),15-13*ORÇAMENTO!$AF$7)*OFFSET(ORÇAMENTO!$W$15,ROW(AF276)-ROW(AF$15),0),15-13*ORÇAMENTO!$AF$11)),0)</f>
        <v>0</v>
      </c>
      <c r="AG276" s="545">
        <f ca="1">IF(AND($D276="Serviço",AG$12&lt;&gt;0,$H276&gt;0,OR(AUTOEVENTO&lt;&gt;"manual",$M276&lt;&gt;1)),
IF(Import.TipoArredondamento&lt;&gt;"TransfereGOV",
ROUND(OFFSET($P276,0,AG$13),15-13*ORÇAMENTO!$AF$7)/$H276*OFFSET(ORÇAMENTO!$X$15,ROW(AG276)-ROW(AG$15),0),
ROUND(ROUND(OFFSET($P276,0,AG$13),15-13*ORÇAMENTO!$AF$7)*OFFSET(ORÇAMENTO!$W$15,ROW(AG276)-ROW(AG$15),0),15-13*ORÇAMENTO!$AF$11)),0)</f>
        <v>0</v>
      </c>
      <c r="AH276" s="545">
        <f ca="1">IF(AND($D276="Serviço",AH$12&lt;&gt;0,$H276&gt;0,OR(AUTOEVENTO&lt;&gt;"manual",$M276&lt;&gt;1)),
IF(Import.TipoArredondamento&lt;&gt;"TransfereGOV",
ROUND(OFFSET($P276,0,AH$13),15-13*ORÇAMENTO!$AF$7)/$H276*OFFSET(ORÇAMENTO!$X$15,ROW(AH276)-ROW(AH$15),0),
ROUND(ROUND(OFFSET($P276,0,AH$13),15-13*ORÇAMENTO!$AF$7)*OFFSET(ORÇAMENTO!$W$15,ROW(AH276)-ROW(AH$15),0),15-13*ORÇAMENTO!$AF$11)),0)</f>
        <v>0</v>
      </c>
      <c r="AI276" s="545">
        <f ca="1">IF(AND($D276="Serviço",AI$12&lt;&gt;0,$H276&gt;0,OR(AUTOEVENTO&lt;&gt;"manual",$M276&lt;&gt;1)),
IF(Import.TipoArredondamento&lt;&gt;"TransfereGOV",
ROUND(OFFSET($P276,0,AI$13),15-13*ORÇAMENTO!$AF$7)/$H276*OFFSET(ORÇAMENTO!$X$15,ROW(AI276)-ROW(AI$15),0),
ROUND(ROUND(OFFSET($P276,0,AI$13),15-13*ORÇAMENTO!$AF$7)*OFFSET(ORÇAMENTO!$W$15,ROW(AI276)-ROW(AI$15),0),15-13*ORÇAMENTO!$AF$11)),0)</f>
        <v>0</v>
      </c>
      <c r="AJ276" s="545">
        <f ca="1">IF(AND($D276="Serviço",AJ$12&lt;&gt;0,$H276&gt;0,OR(AUTOEVENTO&lt;&gt;"manual",$M276&lt;&gt;1)),
IF(Import.TipoArredondamento&lt;&gt;"TransfereGOV",
ROUND(OFFSET($P276,0,AJ$13),15-13*ORÇAMENTO!$AF$7)/$H276*OFFSET(ORÇAMENTO!$X$15,ROW(AJ276)-ROW(AJ$15),0),
ROUND(ROUND(OFFSET($P276,0,AJ$13),15-13*ORÇAMENTO!$AF$7)*OFFSET(ORÇAMENTO!$W$15,ROW(AJ276)-ROW(AJ$15),0),15-13*ORÇAMENTO!$AF$11)),0)</f>
        <v>0</v>
      </c>
      <c r="AK276" s="546">
        <f ca="1">IF(AND($D276="Serviço",AK$12&lt;&gt;0,$H276&gt;0,OR(AUTOEVENTO&lt;&gt;"manual",$M276&lt;&gt;1)),
IF(Import.TipoArredondamento&lt;&gt;"TransfereGOV",
ROUND(OFFSET($P276,0,AK$13),15-13*ORÇAMENTO!$AF$7)/$H276*OFFSET(ORÇAMENTO!$X$15,ROW(AK276)-ROW(AK$15),0),
ROUND(ROUND(OFFSET($P276,0,AK$13),15-13*ORÇAMENTO!$AF$7)*OFFSET(ORÇAMENTO!$W$15,ROW(AK276)-ROW(AK$15),0),15-13*ORÇAMENTO!$AF$11)),0)</f>
        <v>0</v>
      </c>
      <c r="AM276" s="181">
        <f ca="1">IF($D276&lt;&gt;"Serviço",0,IF(AND(AUTOEVENTO="Manual",$M276=1),0,IF(OFFSET(CRONOPLE!$F$14,$M276,AM$13)="",10^12,OFFSET(CRONOPLE!$F$14,$M276,AM$13))))</f>
        <v>1000000000000</v>
      </c>
      <c r="AN276" s="181">
        <f ca="1">IF($D276&lt;&gt;"Serviço",0,IF(AND(AUTOEVENTO="Manual",$M276=1),0,IF(OFFSET(CRONOPLE!$F$14,$M276,AN$13)="",10^12,OFFSET(CRONOPLE!$F$14,$M276,AN$13))))</f>
        <v>1000000000000</v>
      </c>
      <c r="AO276" s="181">
        <f ca="1">IF($D276&lt;&gt;"Serviço",0,IF(AND(AUTOEVENTO="Manual",$M276=1),0,IF(OFFSET(CRONOPLE!$F$14,$M276,AO$13)="",10^12,OFFSET(CRONOPLE!$F$14,$M276,AO$13))))</f>
        <v>1000000000000</v>
      </c>
      <c r="AP276" s="181">
        <f ca="1">IF($D276&lt;&gt;"Serviço",0,IF(AND(AUTOEVENTO="Manual",$M276=1),0,IF(OFFSET(CRONOPLE!$F$14,$M276,AP$13)="",10^12,OFFSET(CRONOPLE!$F$14,$M276,AP$13))))</f>
        <v>1000000000000</v>
      </c>
      <c r="AQ276" s="181">
        <f ca="1">IF($D276&lt;&gt;"Serviço",0,IF(AND(AUTOEVENTO="Manual",$M276=1),0,IF(OFFSET(CRONOPLE!$F$14,$M276,AQ$13)="",10^12,OFFSET(CRONOPLE!$F$14,$M276,AQ$13))))</f>
        <v>1000000000000</v>
      </c>
      <c r="AR276" s="181">
        <f ca="1">IF($D276&lt;&gt;"Serviço",0,IF(AND(AUTOEVENTO="Manual",$M276=1),0,IF(OFFSET(CRONOPLE!$F$14,$M276,AR$13)="",10^12,OFFSET(CRONOPLE!$F$14,$M276,AR$13))))</f>
        <v>1000000000000</v>
      </c>
      <c r="AS276" s="181">
        <f ca="1">IF($D276&lt;&gt;"Serviço",0,IF(AND(AUTOEVENTO="Manual",$M276=1),0,IF(OFFSET(CRONOPLE!$F$14,$M276,AS$13)="",10^12,OFFSET(CRONOPLE!$F$14,$M276,AS$13))))</f>
        <v>1000000000000</v>
      </c>
      <c r="AT276" s="181">
        <f ca="1">IF($D276&lt;&gt;"Serviço",0,IF(AND(AUTOEVENTO="Manual",$M276=1),0,IF(OFFSET(CRONOPLE!$F$14,$M276,AT$13)="",10^12,OFFSET(CRONOPLE!$F$14,$M276,AT$13))))</f>
        <v>1000000000000</v>
      </c>
      <c r="AU276" s="181">
        <f ca="1">IF($D276&lt;&gt;"Serviço",0,IF(AND(AUTOEVENTO="Manual",$M276=1),0,IF(OFFSET(CRONOPLE!$F$14,$M276,AU$13)="",10^12,OFFSET(CRONOPLE!$F$14,$M276,AU$13))))</f>
        <v>1000000000000</v>
      </c>
      <c r="AV276" s="181">
        <f ca="1">IF($D276&lt;&gt;"Serviço",0,IF(AND(AUTOEVENTO="Manual",$M276=1),0,IF(OFFSET(CRONOPLE!$F$14,$M276,AV$13)="",10^12,OFFSET(CRONOPLE!$F$14,$M276,AV$13))))</f>
        <v>1000000000000</v>
      </c>
      <c r="AX276" s="182">
        <f ca="1">IF($D276&lt;&gt;"Serviço",0,IF(OR(AND(AUTOEVENTO="Manual",$M276=1),$M276&gt;(ROW(PLE.lastrow)-ROW(PLE.firstrow))),0,IF(OFFSET(PLE!$G$14,$M276,AX$13)="",10^12,OFFSET(PLE!$G$14,$M276,AX$13))))</f>
        <v>1000000000000</v>
      </c>
      <c r="AY276" s="182">
        <f ca="1">IF($D276&lt;&gt;"Serviço",0,IF(OR(AND(AUTOEVENTO="Manual",$M276=1),$M276&gt;(ROW(PLE.lastrow)-ROW(PLE.firstrow))),0,IF(OFFSET(PLE!$G$14,$M276,AY$13)="",10^12,OFFSET(PLE!$G$14,$M276,AY$13))))</f>
        <v>1000000000000</v>
      </c>
      <c r="AZ276" s="182">
        <f ca="1">IF($D276&lt;&gt;"Serviço",0,IF(OR(AND(AUTOEVENTO="Manual",$M276=1),$M276&gt;(ROW(PLE.lastrow)-ROW(PLE.firstrow))),0,IF(OFFSET(PLE!$G$14,$M276,AZ$13)="",10^12,OFFSET(PLE!$G$14,$M276,AZ$13))))</f>
        <v>1000000000000</v>
      </c>
      <c r="BA276" s="182">
        <f ca="1">IF($D276&lt;&gt;"Serviço",0,IF(OR(AND(AUTOEVENTO="Manual",$M276=1),$M276&gt;(ROW(PLE.lastrow)-ROW(PLE.firstrow))),0,IF(OFFSET(PLE!$G$14,$M276,BA$13)="",10^12,OFFSET(PLE!$G$14,$M276,BA$13))))</f>
        <v>1000000000000</v>
      </c>
      <c r="BB276" s="182">
        <f ca="1">IF($D276&lt;&gt;"Serviço",0,IF(OR(AND(AUTOEVENTO="Manual",$M276=1),$M276&gt;(ROW(PLE.lastrow)-ROW(PLE.firstrow))),0,IF(OFFSET(PLE!$G$14,$M276,BB$13)="",10^12,OFFSET(PLE!$G$14,$M276,BB$13))))</f>
        <v>1000000000000</v>
      </c>
      <c r="BC276" s="182">
        <f ca="1">IF($D276&lt;&gt;"Serviço",0,IF(OR(AND(AUTOEVENTO="Manual",$M276=1),$M276&gt;(ROW(PLE.lastrow)-ROW(PLE.firstrow))),0,IF(OFFSET(PLE!$G$14,$M276,BC$13)="",10^12,OFFSET(PLE!$G$14,$M276,BC$13))))</f>
        <v>1000000000000</v>
      </c>
      <c r="BD276" s="182">
        <f ca="1">IF($D276&lt;&gt;"Serviço",0,IF(OR(AND(AUTOEVENTO="Manual",$M276=1),$M276&gt;(ROW(PLE.lastrow)-ROW(PLE.firstrow))),0,IF(OFFSET(PLE!$G$14,$M276,BD$13)="",10^12,OFFSET(PLE!$G$14,$M276,BD$13))))</f>
        <v>1000000000000</v>
      </c>
      <c r="BE276" s="182">
        <f ca="1">IF($D276&lt;&gt;"Serviço",0,IF(OR(AND(AUTOEVENTO="Manual",$M276=1),$M276&gt;(ROW(PLE.lastrow)-ROW(PLE.firstrow))),0,IF(OFFSET(PLE!$G$14,$M276,BE$13)="",10^12,OFFSET(PLE!$G$14,$M276,BE$13))))</f>
        <v>1000000000000</v>
      </c>
      <c r="BF276" s="182">
        <f ca="1">IF($D276&lt;&gt;"Serviço",0,IF(OR(AND(AUTOEVENTO="Manual",$M276=1),$M276&gt;(ROW(PLE.lastrow)-ROW(PLE.firstrow))),0,IF(OFFSET(PLE!$G$14,$M276,BF$13)="",10^12,OFFSET(PLE!$G$14,$M276,BF$13))))</f>
        <v>1000000000000</v>
      </c>
      <c r="BG276" s="182">
        <f ca="1">IF($D276&lt;&gt;"Serviço",0,IF(OR(AND(AUTOEVENTO="Manual",$M276=1),$M276&gt;(ROW(PLE.lastrow)-ROW(PLE.firstrow))),0,IF(OFFSET(PLE!$G$14,$M276,BG$13)="",10^12,OFFSET(PLE!$G$14,$M276,BG$13))))</f>
        <v>1000000000000</v>
      </c>
    </row>
    <row r="277" spans="1:59" ht="38.25" x14ac:dyDescent="0.2">
      <c r="A277" s="7" t="str">
        <f t="shared" ca="1" si="11"/>
        <v>251</v>
      </c>
      <c r="B277" s="7" t="str">
        <f ca="1">OFFSET(ORÇAMENTO!C$15,ROW(B277)-ROW(B$15),0)</f>
        <v>S</v>
      </c>
      <c r="C277" s="7" t="str">
        <f ca="1">OFFSET(ORÇAMENTO!L$15,ROW(C277)-ROW(C$15),0)</f>
        <v/>
      </c>
      <c r="D277" s="118" t="str">
        <f ca="1">OFFSET(ORÇAMENTO!N$15,ROW(D277)-ROW(D$15),0)</f>
        <v>Serviço</v>
      </c>
      <c r="E277" s="119" t="str">
        <f ca="1">OFFSET(ORÇAMENTO!O$15,ROW(E277)-ROW(E$15),0)</f>
        <v>-</v>
      </c>
      <c r="F277" s="172" t="str">
        <f ca="1">OFFSET(ORÇAMENTO!R$15,ROW(F277)-ROW(F$15),0)</f>
        <v>(abra o arquivo 'Referência 02-2025.xlsm)</v>
      </c>
      <c r="G277" s="173" t="str">
        <f ca="1">IF($D277&lt;&gt;"Serviço","",OFFSET(ORÇAMENTO!S$15,ROW(G277)-ROW(G$15),0))</f>
        <v>-</v>
      </c>
      <c r="H277" s="124">
        <f ca="1">IF($D277&lt;&gt;"Serviço",0,IF(ACOMPANHAMENTO="BM",ROUND(OFFSET(ORÇAMENTO!AJ$15,ROW(H277)-ROW(H$15),0),15-13*ORÇAMENTO!$AF$7),SUMPRODUCT(($Q$12:$AA$12&lt;&gt;"")*ROUND($Q277:$AA277,15-13*ORÇAMENTO!$AF$7))))</f>
        <v>16</v>
      </c>
      <c r="I277" s="561" t="s">
        <v>890</v>
      </c>
      <c r="K277" s="174"/>
      <c r="L277" s="175" t="s">
        <v>255</v>
      </c>
      <c r="M277" s="176">
        <f ca="1">IF($D277&lt;&gt;"Serviço","",IF(AUTOEVENTO="manual",$A277,IF(ISERROR(MATCH($A277,$A$15:OFFSET($A277,-1,0),0)),MAX($M$15:OFFSET(M277,-1,0))+1,INDEX($M$15:OFFSET(M277,-1,0),MATCH($A277,$A$15:OFFSET($A277,-1,0),0)))))</f>
        <v>13</v>
      </c>
      <c r="N277" s="177" t="str">
        <f ca="1">IF($D277&lt;&gt;"Serviço","",IF(AUTOEVENTO="Manual",IF($A277=0,"&lt;-- defina o número do agrupador",OFFSET(EVENTOS!$D$14,$A277,0)),OFFSET($F$15,$A277,0)))</f>
        <v>INSTALAÇÃO HIDRÁULICA</v>
      </c>
      <c r="O277" s="178"/>
      <c r="Q277" s="178"/>
      <c r="R277" s="179"/>
      <c r="S277" s="179"/>
      <c r="T277" s="179"/>
      <c r="U277" s="179"/>
      <c r="V277" s="179"/>
      <c r="W277" s="179"/>
      <c r="X277" s="179"/>
      <c r="Y277" s="179"/>
      <c r="Z277" s="180"/>
      <c r="AB277" s="544">
        <f ca="1">IF(AND($D277="Serviço",AB$12&lt;&gt;0,$H277&gt;0,OR(AUTOEVENTO&lt;&gt;"manual",$M277&lt;&gt;1)),
IF(Import.TipoArredondamento&lt;&gt;"TransfereGOV",
ROUND(OFFSET($P277,0,AB$13),15-13*ORÇAMENTO!$AF$7)/$H277*OFFSET(ORÇAMENTO!$X$15,ROW(AB277)-ROW(AB$15),0),
ROUND(ROUND(OFFSET($P277,0,AB$13),15-13*ORÇAMENTO!$AF$7)*OFFSET(ORÇAMENTO!$W$15,ROW(AB277)-ROW(AB$15),0),15-13*ORÇAMENTO!$AF$11)),0)</f>
        <v>0</v>
      </c>
      <c r="AC277" s="545">
        <f ca="1">IF(AND($D277="Serviço",AC$12&lt;&gt;0,$H277&gt;0,OR(AUTOEVENTO&lt;&gt;"manual",$M277&lt;&gt;1)),
IF(Import.TipoArredondamento&lt;&gt;"TransfereGOV",
ROUND(OFFSET($P277,0,AC$13),15-13*ORÇAMENTO!$AF$7)/$H277*OFFSET(ORÇAMENTO!$X$15,ROW(AC277)-ROW(AC$15),0),
ROUND(ROUND(OFFSET($P277,0,AC$13),15-13*ORÇAMENTO!$AF$7)*OFFSET(ORÇAMENTO!$W$15,ROW(AC277)-ROW(AC$15),0),15-13*ORÇAMENTO!$AF$11)),0)</f>
        <v>0</v>
      </c>
      <c r="AD277" s="545">
        <f ca="1">IF(AND($D277="Serviço",AD$12&lt;&gt;0,$H277&gt;0,OR(AUTOEVENTO&lt;&gt;"manual",$M277&lt;&gt;1)),
IF(Import.TipoArredondamento&lt;&gt;"TransfereGOV",
ROUND(OFFSET($P277,0,AD$13),15-13*ORÇAMENTO!$AF$7)/$H277*OFFSET(ORÇAMENTO!$X$15,ROW(AD277)-ROW(AD$15),0),
ROUND(ROUND(OFFSET($P277,0,AD$13),15-13*ORÇAMENTO!$AF$7)*OFFSET(ORÇAMENTO!$W$15,ROW(AD277)-ROW(AD$15),0),15-13*ORÇAMENTO!$AF$11)),0)</f>
        <v>0</v>
      </c>
      <c r="AE277" s="545">
        <f ca="1">IF(AND($D277="Serviço",AE$12&lt;&gt;0,$H277&gt;0,OR(AUTOEVENTO&lt;&gt;"manual",$M277&lt;&gt;1)),
IF(Import.TipoArredondamento&lt;&gt;"TransfereGOV",
ROUND(OFFSET($P277,0,AE$13),15-13*ORÇAMENTO!$AF$7)/$H277*OFFSET(ORÇAMENTO!$X$15,ROW(AE277)-ROW(AE$15),0),
ROUND(ROUND(OFFSET($P277,0,AE$13),15-13*ORÇAMENTO!$AF$7)*OFFSET(ORÇAMENTO!$W$15,ROW(AE277)-ROW(AE$15),0),15-13*ORÇAMENTO!$AF$11)),0)</f>
        <v>0</v>
      </c>
      <c r="AF277" s="545">
        <f ca="1">IF(AND($D277="Serviço",AF$12&lt;&gt;0,$H277&gt;0,OR(AUTOEVENTO&lt;&gt;"manual",$M277&lt;&gt;1)),
IF(Import.TipoArredondamento&lt;&gt;"TransfereGOV",
ROUND(OFFSET($P277,0,AF$13),15-13*ORÇAMENTO!$AF$7)/$H277*OFFSET(ORÇAMENTO!$X$15,ROW(AF277)-ROW(AF$15),0),
ROUND(ROUND(OFFSET($P277,0,AF$13),15-13*ORÇAMENTO!$AF$7)*OFFSET(ORÇAMENTO!$W$15,ROW(AF277)-ROW(AF$15),0),15-13*ORÇAMENTO!$AF$11)),0)</f>
        <v>0</v>
      </c>
      <c r="AG277" s="545">
        <f ca="1">IF(AND($D277="Serviço",AG$12&lt;&gt;0,$H277&gt;0,OR(AUTOEVENTO&lt;&gt;"manual",$M277&lt;&gt;1)),
IF(Import.TipoArredondamento&lt;&gt;"TransfereGOV",
ROUND(OFFSET($P277,0,AG$13),15-13*ORÇAMENTO!$AF$7)/$H277*OFFSET(ORÇAMENTO!$X$15,ROW(AG277)-ROW(AG$15),0),
ROUND(ROUND(OFFSET($P277,0,AG$13),15-13*ORÇAMENTO!$AF$7)*OFFSET(ORÇAMENTO!$W$15,ROW(AG277)-ROW(AG$15),0),15-13*ORÇAMENTO!$AF$11)),0)</f>
        <v>0</v>
      </c>
      <c r="AH277" s="545">
        <f ca="1">IF(AND($D277="Serviço",AH$12&lt;&gt;0,$H277&gt;0,OR(AUTOEVENTO&lt;&gt;"manual",$M277&lt;&gt;1)),
IF(Import.TipoArredondamento&lt;&gt;"TransfereGOV",
ROUND(OFFSET($P277,0,AH$13),15-13*ORÇAMENTO!$AF$7)/$H277*OFFSET(ORÇAMENTO!$X$15,ROW(AH277)-ROW(AH$15),0),
ROUND(ROUND(OFFSET($P277,0,AH$13),15-13*ORÇAMENTO!$AF$7)*OFFSET(ORÇAMENTO!$W$15,ROW(AH277)-ROW(AH$15),0),15-13*ORÇAMENTO!$AF$11)),0)</f>
        <v>0</v>
      </c>
      <c r="AI277" s="545">
        <f ca="1">IF(AND($D277="Serviço",AI$12&lt;&gt;0,$H277&gt;0,OR(AUTOEVENTO&lt;&gt;"manual",$M277&lt;&gt;1)),
IF(Import.TipoArredondamento&lt;&gt;"TransfereGOV",
ROUND(OFFSET($P277,0,AI$13),15-13*ORÇAMENTO!$AF$7)/$H277*OFFSET(ORÇAMENTO!$X$15,ROW(AI277)-ROW(AI$15),0),
ROUND(ROUND(OFFSET($P277,0,AI$13),15-13*ORÇAMENTO!$AF$7)*OFFSET(ORÇAMENTO!$W$15,ROW(AI277)-ROW(AI$15),0),15-13*ORÇAMENTO!$AF$11)),0)</f>
        <v>0</v>
      </c>
      <c r="AJ277" s="545">
        <f ca="1">IF(AND($D277="Serviço",AJ$12&lt;&gt;0,$H277&gt;0,OR(AUTOEVENTO&lt;&gt;"manual",$M277&lt;&gt;1)),
IF(Import.TipoArredondamento&lt;&gt;"TransfereGOV",
ROUND(OFFSET($P277,0,AJ$13),15-13*ORÇAMENTO!$AF$7)/$H277*OFFSET(ORÇAMENTO!$X$15,ROW(AJ277)-ROW(AJ$15),0),
ROUND(ROUND(OFFSET($P277,0,AJ$13),15-13*ORÇAMENTO!$AF$7)*OFFSET(ORÇAMENTO!$W$15,ROW(AJ277)-ROW(AJ$15),0),15-13*ORÇAMENTO!$AF$11)),0)</f>
        <v>0</v>
      </c>
      <c r="AK277" s="546">
        <f ca="1">IF(AND($D277="Serviço",AK$12&lt;&gt;0,$H277&gt;0,OR(AUTOEVENTO&lt;&gt;"manual",$M277&lt;&gt;1)),
IF(Import.TipoArredondamento&lt;&gt;"TransfereGOV",
ROUND(OFFSET($P277,0,AK$13),15-13*ORÇAMENTO!$AF$7)/$H277*OFFSET(ORÇAMENTO!$X$15,ROW(AK277)-ROW(AK$15),0),
ROUND(ROUND(OFFSET($P277,0,AK$13),15-13*ORÇAMENTO!$AF$7)*OFFSET(ORÇAMENTO!$W$15,ROW(AK277)-ROW(AK$15),0),15-13*ORÇAMENTO!$AF$11)),0)</f>
        <v>0</v>
      </c>
      <c r="AM277" s="181">
        <f ca="1">IF($D277&lt;&gt;"Serviço",0,IF(AND(AUTOEVENTO="Manual",$M277=1),0,IF(OFFSET(CRONOPLE!$F$14,$M277,AM$13)="",10^12,OFFSET(CRONOPLE!$F$14,$M277,AM$13))))</f>
        <v>1000000000000</v>
      </c>
      <c r="AN277" s="181">
        <f ca="1">IF($D277&lt;&gt;"Serviço",0,IF(AND(AUTOEVENTO="Manual",$M277=1),0,IF(OFFSET(CRONOPLE!$F$14,$M277,AN$13)="",10^12,OFFSET(CRONOPLE!$F$14,$M277,AN$13))))</f>
        <v>1000000000000</v>
      </c>
      <c r="AO277" s="181">
        <f ca="1">IF($D277&lt;&gt;"Serviço",0,IF(AND(AUTOEVENTO="Manual",$M277=1),0,IF(OFFSET(CRONOPLE!$F$14,$M277,AO$13)="",10^12,OFFSET(CRONOPLE!$F$14,$M277,AO$13))))</f>
        <v>1000000000000</v>
      </c>
      <c r="AP277" s="181">
        <f ca="1">IF($D277&lt;&gt;"Serviço",0,IF(AND(AUTOEVENTO="Manual",$M277=1),0,IF(OFFSET(CRONOPLE!$F$14,$M277,AP$13)="",10^12,OFFSET(CRONOPLE!$F$14,$M277,AP$13))))</f>
        <v>1000000000000</v>
      </c>
      <c r="AQ277" s="181">
        <f ca="1">IF($D277&lt;&gt;"Serviço",0,IF(AND(AUTOEVENTO="Manual",$M277=1),0,IF(OFFSET(CRONOPLE!$F$14,$M277,AQ$13)="",10^12,OFFSET(CRONOPLE!$F$14,$M277,AQ$13))))</f>
        <v>1000000000000</v>
      </c>
      <c r="AR277" s="181">
        <f ca="1">IF($D277&lt;&gt;"Serviço",0,IF(AND(AUTOEVENTO="Manual",$M277=1),0,IF(OFFSET(CRONOPLE!$F$14,$M277,AR$13)="",10^12,OFFSET(CRONOPLE!$F$14,$M277,AR$13))))</f>
        <v>1000000000000</v>
      </c>
      <c r="AS277" s="181">
        <f ca="1">IF($D277&lt;&gt;"Serviço",0,IF(AND(AUTOEVENTO="Manual",$M277=1),0,IF(OFFSET(CRONOPLE!$F$14,$M277,AS$13)="",10^12,OFFSET(CRONOPLE!$F$14,$M277,AS$13))))</f>
        <v>1000000000000</v>
      </c>
      <c r="AT277" s="181">
        <f ca="1">IF($D277&lt;&gt;"Serviço",0,IF(AND(AUTOEVENTO="Manual",$M277=1),0,IF(OFFSET(CRONOPLE!$F$14,$M277,AT$13)="",10^12,OFFSET(CRONOPLE!$F$14,$M277,AT$13))))</f>
        <v>1000000000000</v>
      </c>
      <c r="AU277" s="181">
        <f ca="1">IF($D277&lt;&gt;"Serviço",0,IF(AND(AUTOEVENTO="Manual",$M277=1),0,IF(OFFSET(CRONOPLE!$F$14,$M277,AU$13)="",10^12,OFFSET(CRONOPLE!$F$14,$M277,AU$13))))</f>
        <v>1000000000000</v>
      </c>
      <c r="AV277" s="181">
        <f ca="1">IF($D277&lt;&gt;"Serviço",0,IF(AND(AUTOEVENTO="Manual",$M277=1),0,IF(OFFSET(CRONOPLE!$F$14,$M277,AV$13)="",10^12,OFFSET(CRONOPLE!$F$14,$M277,AV$13))))</f>
        <v>1000000000000</v>
      </c>
      <c r="AX277" s="182">
        <f ca="1">IF($D277&lt;&gt;"Serviço",0,IF(OR(AND(AUTOEVENTO="Manual",$M277=1),$M277&gt;(ROW(PLE.lastrow)-ROW(PLE.firstrow))),0,IF(OFFSET(PLE!$G$14,$M277,AX$13)="",10^12,OFFSET(PLE!$G$14,$M277,AX$13))))</f>
        <v>1000000000000</v>
      </c>
      <c r="AY277" s="182">
        <f ca="1">IF($D277&lt;&gt;"Serviço",0,IF(OR(AND(AUTOEVENTO="Manual",$M277=1),$M277&gt;(ROW(PLE.lastrow)-ROW(PLE.firstrow))),0,IF(OFFSET(PLE!$G$14,$M277,AY$13)="",10^12,OFFSET(PLE!$G$14,$M277,AY$13))))</f>
        <v>1000000000000</v>
      </c>
      <c r="AZ277" s="182">
        <f ca="1">IF($D277&lt;&gt;"Serviço",0,IF(OR(AND(AUTOEVENTO="Manual",$M277=1),$M277&gt;(ROW(PLE.lastrow)-ROW(PLE.firstrow))),0,IF(OFFSET(PLE!$G$14,$M277,AZ$13)="",10^12,OFFSET(PLE!$G$14,$M277,AZ$13))))</f>
        <v>1000000000000</v>
      </c>
      <c r="BA277" s="182">
        <f ca="1">IF($D277&lt;&gt;"Serviço",0,IF(OR(AND(AUTOEVENTO="Manual",$M277=1),$M277&gt;(ROW(PLE.lastrow)-ROW(PLE.firstrow))),0,IF(OFFSET(PLE!$G$14,$M277,BA$13)="",10^12,OFFSET(PLE!$G$14,$M277,BA$13))))</f>
        <v>1000000000000</v>
      </c>
      <c r="BB277" s="182">
        <f ca="1">IF($D277&lt;&gt;"Serviço",0,IF(OR(AND(AUTOEVENTO="Manual",$M277=1),$M277&gt;(ROW(PLE.lastrow)-ROW(PLE.firstrow))),0,IF(OFFSET(PLE!$G$14,$M277,BB$13)="",10^12,OFFSET(PLE!$G$14,$M277,BB$13))))</f>
        <v>1000000000000</v>
      </c>
      <c r="BC277" s="182">
        <f ca="1">IF($D277&lt;&gt;"Serviço",0,IF(OR(AND(AUTOEVENTO="Manual",$M277=1),$M277&gt;(ROW(PLE.lastrow)-ROW(PLE.firstrow))),0,IF(OFFSET(PLE!$G$14,$M277,BC$13)="",10^12,OFFSET(PLE!$G$14,$M277,BC$13))))</f>
        <v>1000000000000</v>
      </c>
      <c r="BD277" s="182">
        <f ca="1">IF($D277&lt;&gt;"Serviço",0,IF(OR(AND(AUTOEVENTO="Manual",$M277=1),$M277&gt;(ROW(PLE.lastrow)-ROW(PLE.firstrow))),0,IF(OFFSET(PLE!$G$14,$M277,BD$13)="",10^12,OFFSET(PLE!$G$14,$M277,BD$13))))</f>
        <v>1000000000000</v>
      </c>
      <c r="BE277" s="182">
        <f ca="1">IF($D277&lt;&gt;"Serviço",0,IF(OR(AND(AUTOEVENTO="Manual",$M277=1),$M277&gt;(ROW(PLE.lastrow)-ROW(PLE.firstrow))),0,IF(OFFSET(PLE!$G$14,$M277,BE$13)="",10^12,OFFSET(PLE!$G$14,$M277,BE$13))))</f>
        <v>1000000000000</v>
      </c>
      <c r="BF277" s="182">
        <f ca="1">IF($D277&lt;&gt;"Serviço",0,IF(OR(AND(AUTOEVENTO="Manual",$M277=1),$M277&gt;(ROW(PLE.lastrow)-ROW(PLE.firstrow))),0,IF(OFFSET(PLE!$G$14,$M277,BF$13)="",10^12,OFFSET(PLE!$G$14,$M277,BF$13))))</f>
        <v>1000000000000</v>
      </c>
      <c r="BG277" s="182">
        <f ca="1">IF($D277&lt;&gt;"Serviço",0,IF(OR(AND(AUTOEVENTO="Manual",$M277=1),$M277&gt;(ROW(PLE.lastrow)-ROW(PLE.firstrow))),0,IF(OFFSET(PLE!$G$14,$M277,BG$13)="",10^12,OFFSET(PLE!$G$14,$M277,BG$13))))</f>
        <v>1000000000000</v>
      </c>
    </row>
    <row r="278" spans="1:59" ht="38.25" x14ac:dyDescent="0.2">
      <c r="A278" s="7" t="str">
        <f t="shared" ca="1" si="11"/>
        <v>251</v>
      </c>
      <c r="B278" s="7" t="str">
        <f ca="1">OFFSET(ORÇAMENTO!C$15,ROW(B278)-ROW(B$15),0)</f>
        <v>S</v>
      </c>
      <c r="C278" s="7" t="str">
        <f ca="1">OFFSET(ORÇAMENTO!L$15,ROW(C278)-ROW(C$15),0)</f>
        <v/>
      </c>
      <c r="D278" s="118" t="str">
        <f ca="1">OFFSET(ORÇAMENTO!N$15,ROW(D278)-ROW(D$15),0)</f>
        <v>Serviço</v>
      </c>
      <c r="E278" s="119" t="str">
        <f ca="1">OFFSET(ORÇAMENTO!O$15,ROW(E278)-ROW(E$15),0)</f>
        <v>-</v>
      </c>
      <c r="F278" s="172" t="str">
        <f ca="1">OFFSET(ORÇAMENTO!R$15,ROW(F278)-ROW(F$15),0)</f>
        <v>(abra o arquivo 'Referência 02-2025.xlsm)</v>
      </c>
      <c r="G278" s="173" t="str">
        <f ca="1">IF($D278&lt;&gt;"Serviço","",OFFSET(ORÇAMENTO!S$15,ROW(G278)-ROW(G$15),0))</f>
        <v>-</v>
      </c>
      <c r="H278" s="124">
        <f ca="1">IF($D278&lt;&gt;"Serviço",0,IF(ACOMPANHAMENTO="BM",ROUND(OFFSET(ORÇAMENTO!AJ$15,ROW(H278)-ROW(H$15),0),15-13*ORÇAMENTO!$AF$7),SUMPRODUCT(($Q$12:$AA$12&lt;&gt;"")*ROUND($Q278:$AA278,15-13*ORÇAMENTO!$AF$7))))</f>
        <v>16</v>
      </c>
      <c r="I278" s="561" t="s">
        <v>890</v>
      </c>
      <c r="K278" s="174"/>
      <c r="L278" s="175" t="s">
        <v>255</v>
      </c>
      <c r="M278" s="176">
        <f ca="1">IF($D278&lt;&gt;"Serviço","",IF(AUTOEVENTO="manual",$A278,IF(ISERROR(MATCH($A278,$A$15:OFFSET($A278,-1,0),0)),MAX($M$15:OFFSET(M278,-1,0))+1,INDEX($M$15:OFFSET(M278,-1,0),MATCH($A278,$A$15:OFFSET($A278,-1,0),0)))))</f>
        <v>13</v>
      </c>
      <c r="N278" s="177" t="str">
        <f ca="1">IF($D278&lt;&gt;"Serviço","",IF(AUTOEVENTO="Manual",IF($A278=0,"&lt;-- defina o número do agrupador",OFFSET(EVENTOS!$D$14,$A278,0)),OFFSET($F$15,$A278,0)))</f>
        <v>INSTALAÇÃO HIDRÁULICA</v>
      </c>
      <c r="O278" s="178"/>
      <c r="Q278" s="178"/>
      <c r="R278" s="179"/>
      <c r="S278" s="179"/>
      <c r="T278" s="179"/>
      <c r="U278" s="179"/>
      <c r="V278" s="179"/>
      <c r="W278" s="179"/>
      <c r="X278" s="179"/>
      <c r="Y278" s="179"/>
      <c r="Z278" s="180"/>
      <c r="AB278" s="544">
        <f ca="1">IF(AND($D278="Serviço",AB$12&lt;&gt;0,$H278&gt;0,OR(AUTOEVENTO&lt;&gt;"manual",$M278&lt;&gt;1)),
IF(Import.TipoArredondamento&lt;&gt;"TransfereGOV",
ROUND(OFFSET($P278,0,AB$13),15-13*ORÇAMENTO!$AF$7)/$H278*OFFSET(ORÇAMENTO!$X$15,ROW(AB278)-ROW(AB$15),0),
ROUND(ROUND(OFFSET($P278,0,AB$13),15-13*ORÇAMENTO!$AF$7)*OFFSET(ORÇAMENTO!$W$15,ROW(AB278)-ROW(AB$15),0),15-13*ORÇAMENTO!$AF$11)),0)</f>
        <v>0</v>
      </c>
      <c r="AC278" s="545">
        <f ca="1">IF(AND($D278="Serviço",AC$12&lt;&gt;0,$H278&gt;0,OR(AUTOEVENTO&lt;&gt;"manual",$M278&lt;&gt;1)),
IF(Import.TipoArredondamento&lt;&gt;"TransfereGOV",
ROUND(OFFSET($P278,0,AC$13),15-13*ORÇAMENTO!$AF$7)/$H278*OFFSET(ORÇAMENTO!$X$15,ROW(AC278)-ROW(AC$15),0),
ROUND(ROUND(OFFSET($P278,0,AC$13),15-13*ORÇAMENTO!$AF$7)*OFFSET(ORÇAMENTO!$W$15,ROW(AC278)-ROW(AC$15),0),15-13*ORÇAMENTO!$AF$11)),0)</f>
        <v>0</v>
      </c>
      <c r="AD278" s="545">
        <f ca="1">IF(AND($D278="Serviço",AD$12&lt;&gt;0,$H278&gt;0,OR(AUTOEVENTO&lt;&gt;"manual",$M278&lt;&gt;1)),
IF(Import.TipoArredondamento&lt;&gt;"TransfereGOV",
ROUND(OFFSET($P278,0,AD$13),15-13*ORÇAMENTO!$AF$7)/$H278*OFFSET(ORÇAMENTO!$X$15,ROW(AD278)-ROW(AD$15),0),
ROUND(ROUND(OFFSET($P278,0,AD$13),15-13*ORÇAMENTO!$AF$7)*OFFSET(ORÇAMENTO!$W$15,ROW(AD278)-ROW(AD$15),0),15-13*ORÇAMENTO!$AF$11)),0)</f>
        <v>0</v>
      </c>
      <c r="AE278" s="545">
        <f ca="1">IF(AND($D278="Serviço",AE$12&lt;&gt;0,$H278&gt;0,OR(AUTOEVENTO&lt;&gt;"manual",$M278&lt;&gt;1)),
IF(Import.TipoArredondamento&lt;&gt;"TransfereGOV",
ROUND(OFFSET($P278,0,AE$13),15-13*ORÇAMENTO!$AF$7)/$H278*OFFSET(ORÇAMENTO!$X$15,ROW(AE278)-ROW(AE$15),0),
ROUND(ROUND(OFFSET($P278,0,AE$13),15-13*ORÇAMENTO!$AF$7)*OFFSET(ORÇAMENTO!$W$15,ROW(AE278)-ROW(AE$15),0),15-13*ORÇAMENTO!$AF$11)),0)</f>
        <v>0</v>
      </c>
      <c r="AF278" s="545">
        <f ca="1">IF(AND($D278="Serviço",AF$12&lt;&gt;0,$H278&gt;0,OR(AUTOEVENTO&lt;&gt;"manual",$M278&lt;&gt;1)),
IF(Import.TipoArredondamento&lt;&gt;"TransfereGOV",
ROUND(OFFSET($P278,0,AF$13),15-13*ORÇAMENTO!$AF$7)/$H278*OFFSET(ORÇAMENTO!$X$15,ROW(AF278)-ROW(AF$15),0),
ROUND(ROUND(OFFSET($P278,0,AF$13),15-13*ORÇAMENTO!$AF$7)*OFFSET(ORÇAMENTO!$W$15,ROW(AF278)-ROW(AF$15),0),15-13*ORÇAMENTO!$AF$11)),0)</f>
        <v>0</v>
      </c>
      <c r="AG278" s="545">
        <f ca="1">IF(AND($D278="Serviço",AG$12&lt;&gt;0,$H278&gt;0,OR(AUTOEVENTO&lt;&gt;"manual",$M278&lt;&gt;1)),
IF(Import.TipoArredondamento&lt;&gt;"TransfereGOV",
ROUND(OFFSET($P278,0,AG$13),15-13*ORÇAMENTO!$AF$7)/$H278*OFFSET(ORÇAMENTO!$X$15,ROW(AG278)-ROW(AG$15),0),
ROUND(ROUND(OFFSET($P278,0,AG$13),15-13*ORÇAMENTO!$AF$7)*OFFSET(ORÇAMENTO!$W$15,ROW(AG278)-ROW(AG$15),0),15-13*ORÇAMENTO!$AF$11)),0)</f>
        <v>0</v>
      </c>
      <c r="AH278" s="545">
        <f ca="1">IF(AND($D278="Serviço",AH$12&lt;&gt;0,$H278&gt;0,OR(AUTOEVENTO&lt;&gt;"manual",$M278&lt;&gt;1)),
IF(Import.TipoArredondamento&lt;&gt;"TransfereGOV",
ROUND(OFFSET($P278,0,AH$13),15-13*ORÇAMENTO!$AF$7)/$H278*OFFSET(ORÇAMENTO!$X$15,ROW(AH278)-ROW(AH$15),0),
ROUND(ROUND(OFFSET($P278,0,AH$13),15-13*ORÇAMENTO!$AF$7)*OFFSET(ORÇAMENTO!$W$15,ROW(AH278)-ROW(AH$15),0),15-13*ORÇAMENTO!$AF$11)),0)</f>
        <v>0</v>
      </c>
      <c r="AI278" s="545">
        <f ca="1">IF(AND($D278="Serviço",AI$12&lt;&gt;0,$H278&gt;0,OR(AUTOEVENTO&lt;&gt;"manual",$M278&lt;&gt;1)),
IF(Import.TipoArredondamento&lt;&gt;"TransfereGOV",
ROUND(OFFSET($P278,0,AI$13),15-13*ORÇAMENTO!$AF$7)/$H278*OFFSET(ORÇAMENTO!$X$15,ROW(AI278)-ROW(AI$15),0),
ROUND(ROUND(OFFSET($P278,0,AI$13),15-13*ORÇAMENTO!$AF$7)*OFFSET(ORÇAMENTO!$W$15,ROW(AI278)-ROW(AI$15),0),15-13*ORÇAMENTO!$AF$11)),0)</f>
        <v>0</v>
      </c>
      <c r="AJ278" s="545">
        <f ca="1">IF(AND($D278="Serviço",AJ$12&lt;&gt;0,$H278&gt;0,OR(AUTOEVENTO&lt;&gt;"manual",$M278&lt;&gt;1)),
IF(Import.TipoArredondamento&lt;&gt;"TransfereGOV",
ROUND(OFFSET($P278,0,AJ$13),15-13*ORÇAMENTO!$AF$7)/$H278*OFFSET(ORÇAMENTO!$X$15,ROW(AJ278)-ROW(AJ$15),0),
ROUND(ROUND(OFFSET($P278,0,AJ$13),15-13*ORÇAMENTO!$AF$7)*OFFSET(ORÇAMENTO!$W$15,ROW(AJ278)-ROW(AJ$15),0),15-13*ORÇAMENTO!$AF$11)),0)</f>
        <v>0</v>
      </c>
      <c r="AK278" s="546">
        <f ca="1">IF(AND($D278="Serviço",AK$12&lt;&gt;0,$H278&gt;0,OR(AUTOEVENTO&lt;&gt;"manual",$M278&lt;&gt;1)),
IF(Import.TipoArredondamento&lt;&gt;"TransfereGOV",
ROUND(OFFSET($P278,0,AK$13),15-13*ORÇAMENTO!$AF$7)/$H278*OFFSET(ORÇAMENTO!$X$15,ROW(AK278)-ROW(AK$15),0),
ROUND(ROUND(OFFSET($P278,0,AK$13),15-13*ORÇAMENTO!$AF$7)*OFFSET(ORÇAMENTO!$W$15,ROW(AK278)-ROW(AK$15),0),15-13*ORÇAMENTO!$AF$11)),0)</f>
        <v>0</v>
      </c>
      <c r="AM278" s="181">
        <f ca="1">IF($D278&lt;&gt;"Serviço",0,IF(AND(AUTOEVENTO="Manual",$M278=1),0,IF(OFFSET(CRONOPLE!$F$14,$M278,AM$13)="",10^12,OFFSET(CRONOPLE!$F$14,$M278,AM$13))))</f>
        <v>1000000000000</v>
      </c>
      <c r="AN278" s="181">
        <f ca="1">IF($D278&lt;&gt;"Serviço",0,IF(AND(AUTOEVENTO="Manual",$M278=1),0,IF(OFFSET(CRONOPLE!$F$14,$M278,AN$13)="",10^12,OFFSET(CRONOPLE!$F$14,$M278,AN$13))))</f>
        <v>1000000000000</v>
      </c>
      <c r="AO278" s="181">
        <f ca="1">IF($D278&lt;&gt;"Serviço",0,IF(AND(AUTOEVENTO="Manual",$M278=1),0,IF(OFFSET(CRONOPLE!$F$14,$M278,AO$13)="",10^12,OFFSET(CRONOPLE!$F$14,$M278,AO$13))))</f>
        <v>1000000000000</v>
      </c>
      <c r="AP278" s="181">
        <f ca="1">IF($D278&lt;&gt;"Serviço",0,IF(AND(AUTOEVENTO="Manual",$M278=1),0,IF(OFFSET(CRONOPLE!$F$14,$M278,AP$13)="",10^12,OFFSET(CRONOPLE!$F$14,$M278,AP$13))))</f>
        <v>1000000000000</v>
      </c>
      <c r="AQ278" s="181">
        <f ca="1">IF($D278&lt;&gt;"Serviço",0,IF(AND(AUTOEVENTO="Manual",$M278=1),0,IF(OFFSET(CRONOPLE!$F$14,$M278,AQ$13)="",10^12,OFFSET(CRONOPLE!$F$14,$M278,AQ$13))))</f>
        <v>1000000000000</v>
      </c>
      <c r="AR278" s="181">
        <f ca="1">IF($D278&lt;&gt;"Serviço",0,IF(AND(AUTOEVENTO="Manual",$M278=1),0,IF(OFFSET(CRONOPLE!$F$14,$M278,AR$13)="",10^12,OFFSET(CRONOPLE!$F$14,$M278,AR$13))))</f>
        <v>1000000000000</v>
      </c>
      <c r="AS278" s="181">
        <f ca="1">IF($D278&lt;&gt;"Serviço",0,IF(AND(AUTOEVENTO="Manual",$M278=1),0,IF(OFFSET(CRONOPLE!$F$14,$M278,AS$13)="",10^12,OFFSET(CRONOPLE!$F$14,$M278,AS$13))))</f>
        <v>1000000000000</v>
      </c>
      <c r="AT278" s="181">
        <f ca="1">IF($D278&lt;&gt;"Serviço",0,IF(AND(AUTOEVENTO="Manual",$M278=1),0,IF(OFFSET(CRONOPLE!$F$14,$M278,AT$13)="",10^12,OFFSET(CRONOPLE!$F$14,$M278,AT$13))))</f>
        <v>1000000000000</v>
      </c>
      <c r="AU278" s="181">
        <f ca="1">IF($D278&lt;&gt;"Serviço",0,IF(AND(AUTOEVENTO="Manual",$M278=1),0,IF(OFFSET(CRONOPLE!$F$14,$M278,AU$13)="",10^12,OFFSET(CRONOPLE!$F$14,$M278,AU$13))))</f>
        <v>1000000000000</v>
      </c>
      <c r="AV278" s="181">
        <f ca="1">IF($D278&lt;&gt;"Serviço",0,IF(AND(AUTOEVENTO="Manual",$M278=1),0,IF(OFFSET(CRONOPLE!$F$14,$M278,AV$13)="",10^12,OFFSET(CRONOPLE!$F$14,$M278,AV$13))))</f>
        <v>1000000000000</v>
      </c>
      <c r="AX278" s="182">
        <f ca="1">IF($D278&lt;&gt;"Serviço",0,IF(OR(AND(AUTOEVENTO="Manual",$M278=1),$M278&gt;(ROW(PLE.lastrow)-ROW(PLE.firstrow))),0,IF(OFFSET(PLE!$G$14,$M278,AX$13)="",10^12,OFFSET(PLE!$G$14,$M278,AX$13))))</f>
        <v>1000000000000</v>
      </c>
      <c r="AY278" s="182">
        <f ca="1">IF($D278&lt;&gt;"Serviço",0,IF(OR(AND(AUTOEVENTO="Manual",$M278=1),$M278&gt;(ROW(PLE.lastrow)-ROW(PLE.firstrow))),0,IF(OFFSET(PLE!$G$14,$M278,AY$13)="",10^12,OFFSET(PLE!$G$14,$M278,AY$13))))</f>
        <v>1000000000000</v>
      </c>
      <c r="AZ278" s="182">
        <f ca="1">IF($D278&lt;&gt;"Serviço",0,IF(OR(AND(AUTOEVENTO="Manual",$M278=1),$M278&gt;(ROW(PLE.lastrow)-ROW(PLE.firstrow))),0,IF(OFFSET(PLE!$G$14,$M278,AZ$13)="",10^12,OFFSET(PLE!$G$14,$M278,AZ$13))))</f>
        <v>1000000000000</v>
      </c>
      <c r="BA278" s="182">
        <f ca="1">IF($D278&lt;&gt;"Serviço",0,IF(OR(AND(AUTOEVENTO="Manual",$M278=1),$M278&gt;(ROW(PLE.lastrow)-ROW(PLE.firstrow))),0,IF(OFFSET(PLE!$G$14,$M278,BA$13)="",10^12,OFFSET(PLE!$G$14,$M278,BA$13))))</f>
        <v>1000000000000</v>
      </c>
      <c r="BB278" s="182">
        <f ca="1">IF($D278&lt;&gt;"Serviço",0,IF(OR(AND(AUTOEVENTO="Manual",$M278=1),$M278&gt;(ROW(PLE.lastrow)-ROW(PLE.firstrow))),0,IF(OFFSET(PLE!$G$14,$M278,BB$13)="",10^12,OFFSET(PLE!$G$14,$M278,BB$13))))</f>
        <v>1000000000000</v>
      </c>
      <c r="BC278" s="182">
        <f ca="1">IF($D278&lt;&gt;"Serviço",0,IF(OR(AND(AUTOEVENTO="Manual",$M278=1),$M278&gt;(ROW(PLE.lastrow)-ROW(PLE.firstrow))),0,IF(OFFSET(PLE!$G$14,$M278,BC$13)="",10^12,OFFSET(PLE!$G$14,$M278,BC$13))))</f>
        <v>1000000000000</v>
      </c>
      <c r="BD278" s="182">
        <f ca="1">IF($D278&lt;&gt;"Serviço",0,IF(OR(AND(AUTOEVENTO="Manual",$M278=1),$M278&gt;(ROW(PLE.lastrow)-ROW(PLE.firstrow))),0,IF(OFFSET(PLE!$G$14,$M278,BD$13)="",10^12,OFFSET(PLE!$G$14,$M278,BD$13))))</f>
        <v>1000000000000</v>
      </c>
      <c r="BE278" s="182">
        <f ca="1">IF($D278&lt;&gt;"Serviço",0,IF(OR(AND(AUTOEVENTO="Manual",$M278=1),$M278&gt;(ROW(PLE.lastrow)-ROW(PLE.firstrow))),0,IF(OFFSET(PLE!$G$14,$M278,BE$13)="",10^12,OFFSET(PLE!$G$14,$M278,BE$13))))</f>
        <v>1000000000000</v>
      </c>
      <c r="BF278" s="182">
        <f ca="1">IF($D278&lt;&gt;"Serviço",0,IF(OR(AND(AUTOEVENTO="Manual",$M278=1),$M278&gt;(ROW(PLE.lastrow)-ROW(PLE.firstrow))),0,IF(OFFSET(PLE!$G$14,$M278,BF$13)="",10^12,OFFSET(PLE!$G$14,$M278,BF$13))))</f>
        <v>1000000000000</v>
      </c>
      <c r="BG278" s="182">
        <f ca="1">IF($D278&lt;&gt;"Serviço",0,IF(OR(AND(AUTOEVENTO="Manual",$M278=1),$M278&gt;(ROW(PLE.lastrow)-ROW(PLE.firstrow))),0,IF(OFFSET(PLE!$G$14,$M278,BG$13)="",10^12,OFFSET(PLE!$G$14,$M278,BG$13))))</f>
        <v>1000000000000</v>
      </c>
    </row>
    <row r="279" spans="1:59" ht="38.25" x14ac:dyDescent="0.2">
      <c r="A279" s="7" t="str">
        <f t="shared" ca="1" si="11"/>
        <v>251</v>
      </c>
      <c r="B279" s="7" t="str">
        <f ca="1">OFFSET(ORÇAMENTO!C$15,ROW(B279)-ROW(B$15),0)</f>
        <v>S</v>
      </c>
      <c r="C279" s="7" t="str">
        <f ca="1">OFFSET(ORÇAMENTO!L$15,ROW(C279)-ROW(C$15),0)</f>
        <v/>
      </c>
      <c r="D279" s="118" t="str">
        <f ca="1">OFFSET(ORÇAMENTO!N$15,ROW(D279)-ROW(D$15),0)</f>
        <v>Serviço</v>
      </c>
      <c r="E279" s="119" t="str">
        <f ca="1">OFFSET(ORÇAMENTO!O$15,ROW(E279)-ROW(E$15),0)</f>
        <v>-</v>
      </c>
      <c r="F279" s="172" t="str">
        <f ca="1">OFFSET(ORÇAMENTO!R$15,ROW(F279)-ROW(F$15),0)</f>
        <v>(abra o arquivo 'Referência 02-2025.xlsm)</v>
      </c>
      <c r="G279" s="173" t="str">
        <f ca="1">IF($D279&lt;&gt;"Serviço","",OFFSET(ORÇAMENTO!S$15,ROW(G279)-ROW(G$15),0))</f>
        <v>-</v>
      </c>
      <c r="H279" s="124">
        <f ca="1">IF($D279&lt;&gt;"Serviço",0,IF(ACOMPANHAMENTO="BM",ROUND(OFFSET(ORÇAMENTO!AJ$15,ROW(H279)-ROW(H$15),0),15-13*ORÇAMENTO!$AF$7),SUMPRODUCT(($Q$12:$AA$12&lt;&gt;"")*ROUND($Q279:$AA279,15-13*ORÇAMENTO!$AF$7))))</f>
        <v>38</v>
      </c>
      <c r="I279" s="561" t="s">
        <v>890</v>
      </c>
      <c r="K279" s="174"/>
      <c r="L279" s="175" t="s">
        <v>255</v>
      </c>
      <c r="M279" s="176">
        <f ca="1">IF($D279&lt;&gt;"Serviço","",IF(AUTOEVENTO="manual",$A279,IF(ISERROR(MATCH($A279,$A$15:OFFSET($A279,-1,0),0)),MAX($M$15:OFFSET(M279,-1,0))+1,INDEX($M$15:OFFSET(M279,-1,0),MATCH($A279,$A$15:OFFSET($A279,-1,0),0)))))</f>
        <v>13</v>
      </c>
      <c r="N279" s="177" t="str">
        <f ca="1">IF($D279&lt;&gt;"Serviço","",IF(AUTOEVENTO="Manual",IF($A279=0,"&lt;-- defina o número do agrupador",OFFSET(EVENTOS!$D$14,$A279,0)),OFFSET($F$15,$A279,0)))</f>
        <v>INSTALAÇÃO HIDRÁULICA</v>
      </c>
      <c r="O279" s="178"/>
      <c r="Q279" s="178"/>
      <c r="R279" s="179"/>
      <c r="S279" s="179"/>
      <c r="T279" s="179"/>
      <c r="U279" s="179"/>
      <c r="V279" s="179"/>
      <c r="W279" s="179"/>
      <c r="X279" s="179"/>
      <c r="Y279" s="179"/>
      <c r="Z279" s="180"/>
      <c r="AB279" s="544">
        <f ca="1">IF(AND($D279="Serviço",AB$12&lt;&gt;0,$H279&gt;0,OR(AUTOEVENTO&lt;&gt;"manual",$M279&lt;&gt;1)),
IF(Import.TipoArredondamento&lt;&gt;"TransfereGOV",
ROUND(OFFSET($P279,0,AB$13),15-13*ORÇAMENTO!$AF$7)/$H279*OFFSET(ORÇAMENTO!$X$15,ROW(AB279)-ROW(AB$15),0),
ROUND(ROUND(OFFSET($P279,0,AB$13),15-13*ORÇAMENTO!$AF$7)*OFFSET(ORÇAMENTO!$W$15,ROW(AB279)-ROW(AB$15),0),15-13*ORÇAMENTO!$AF$11)),0)</f>
        <v>0</v>
      </c>
      <c r="AC279" s="545">
        <f ca="1">IF(AND($D279="Serviço",AC$12&lt;&gt;0,$H279&gt;0,OR(AUTOEVENTO&lt;&gt;"manual",$M279&lt;&gt;1)),
IF(Import.TipoArredondamento&lt;&gt;"TransfereGOV",
ROUND(OFFSET($P279,0,AC$13),15-13*ORÇAMENTO!$AF$7)/$H279*OFFSET(ORÇAMENTO!$X$15,ROW(AC279)-ROW(AC$15),0),
ROUND(ROUND(OFFSET($P279,0,AC$13),15-13*ORÇAMENTO!$AF$7)*OFFSET(ORÇAMENTO!$W$15,ROW(AC279)-ROW(AC$15),0),15-13*ORÇAMENTO!$AF$11)),0)</f>
        <v>0</v>
      </c>
      <c r="AD279" s="545">
        <f ca="1">IF(AND($D279="Serviço",AD$12&lt;&gt;0,$H279&gt;0,OR(AUTOEVENTO&lt;&gt;"manual",$M279&lt;&gt;1)),
IF(Import.TipoArredondamento&lt;&gt;"TransfereGOV",
ROUND(OFFSET($P279,0,AD$13),15-13*ORÇAMENTO!$AF$7)/$H279*OFFSET(ORÇAMENTO!$X$15,ROW(AD279)-ROW(AD$15),0),
ROUND(ROUND(OFFSET($P279,0,AD$13),15-13*ORÇAMENTO!$AF$7)*OFFSET(ORÇAMENTO!$W$15,ROW(AD279)-ROW(AD$15),0),15-13*ORÇAMENTO!$AF$11)),0)</f>
        <v>0</v>
      </c>
      <c r="AE279" s="545">
        <f ca="1">IF(AND($D279="Serviço",AE$12&lt;&gt;0,$H279&gt;0,OR(AUTOEVENTO&lt;&gt;"manual",$M279&lt;&gt;1)),
IF(Import.TipoArredondamento&lt;&gt;"TransfereGOV",
ROUND(OFFSET($P279,0,AE$13),15-13*ORÇAMENTO!$AF$7)/$H279*OFFSET(ORÇAMENTO!$X$15,ROW(AE279)-ROW(AE$15),0),
ROUND(ROUND(OFFSET($P279,0,AE$13),15-13*ORÇAMENTO!$AF$7)*OFFSET(ORÇAMENTO!$W$15,ROW(AE279)-ROW(AE$15),0),15-13*ORÇAMENTO!$AF$11)),0)</f>
        <v>0</v>
      </c>
      <c r="AF279" s="545">
        <f ca="1">IF(AND($D279="Serviço",AF$12&lt;&gt;0,$H279&gt;0,OR(AUTOEVENTO&lt;&gt;"manual",$M279&lt;&gt;1)),
IF(Import.TipoArredondamento&lt;&gt;"TransfereGOV",
ROUND(OFFSET($P279,0,AF$13),15-13*ORÇAMENTO!$AF$7)/$H279*OFFSET(ORÇAMENTO!$X$15,ROW(AF279)-ROW(AF$15),0),
ROUND(ROUND(OFFSET($P279,0,AF$13),15-13*ORÇAMENTO!$AF$7)*OFFSET(ORÇAMENTO!$W$15,ROW(AF279)-ROW(AF$15),0),15-13*ORÇAMENTO!$AF$11)),0)</f>
        <v>0</v>
      </c>
      <c r="AG279" s="545">
        <f ca="1">IF(AND($D279="Serviço",AG$12&lt;&gt;0,$H279&gt;0,OR(AUTOEVENTO&lt;&gt;"manual",$M279&lt;&gt;1)),
IF(Import.TipoArredondamento&lt;&gt;"TransfereGOV",
ROUND(OFFSET($P279,0,AG$13),15-13*ORÇAMENTO!$AF$7)/$H279*OFFSET(ORÇAMENTO!$X$15,ROW(AG279)-ROW(AG$15),0),
ROUND(ROUND(OFFSET($P279,0,AG$13),15-13*ORÇAMENTO!$AF$7)*OFFSET(ORÇAMENTO!$W$15,ROW(AG279)-ROW(AG$15),0),15-13*ORÇAMENTO!$AF$11)),0)</f>
        <v>0</v>
      </c>
      <c r="AH279" s="545">
        <f ca="1">IF(AND($D279="Serviço",AH$12&lt;&gt;0,$H279&gt;0,OR(AUTOEVENTO&lt;&gt;"manual",$M279&lt;&gt;1)),
IF(Import.TipoArredondamento&lt;&gt;"TransfereGOV",
ROUND(OFFSET($P279,0,AH$13),15-13*ORÇAMENTO!$AF$7)/$H279*OFFSET(ORÇAMENTO!$X$15,ROW(AH279)-ROW(AH$15),0),
ROUND(ROUND(OFFSET($P279,0,AH$13),15-13*ORÇAMENTO!$AF$7)*OFFSET(ORÇAMENTO!$W$15,ROW(AH279)-ROW(AH$15),0),15-13*ORÇAMENTO!$AF$11)),0)</f>
        <v>0</v>
      </c>
      <c r="AI279" s="545">
        <f ca="1">IF(AND($D279="Serviço",AI$12&lt;&gt;0,$H279&gt;0,OR(AUTOEVENTO&lt;&gt;"manual",$M279&lt;&gt;1)),
IF(Import.TipoArredondamento&lt;&gt;"TransfereGOV",
ROUND(OFFSET($P279,0,AI$13),15-13*ORÇAMENTO!$AF$7)/$H279*OFFSET(ORÇAMENTO!$X$15,ROW(AI279)-ROW(AI$15),0),
ROUND(ROUND(OFFSET($P279,0,AI$13),15-13*ORÇAMENTO!$AF$7)*OFFSET(ORÇAMENTO!$W$15,ROW(AI279)-ROW(AI$15),0),15-13*ORÇAMENTO!$AF$11)),0)</f>
        <v>0</v>
      </c>
      <c r="AJ279" s="545">
        <f ca="1">IF(AND($D279="Serviço",AJ$12&lt;&gt;0,$H279&gt;0,OR(AUTOEVENTO&lt;&gt;"manual",$M279&lt;&gt;1)),
IF(Import.TipoArredondamento&lt;&gt;"TransfereGOV",
ROUND(OFFSET($P279,0,AJ$13),15-13*ORÇAMENTO!$AF$7)/$H279*OFFSET(ORÇAMENTO!$X$15,ROW(AJ279)-ROW(AJ$15),0),
ROUND(ROUND(OFFSET($P279,0,AJ$13),15-13*ORÇAMENTO!$AF$7)*OFFSET(ORÇAMENTO!$W$15,ROW(AJ279)-ROW(AJ$15),0),15-13*ORÇAMENTO!$AF$11)),0)</f>
        <v>0</v>
      </c>
      <c r="AK279" s="546">
        <f ca="1">IF(AND($D279="Serviço",AK$12&lt;&gt;0,$H279&gt;0,OR(AUTOEVENTO&lt;&gt;"manual",$M279&lt;&gt;1)),
IF(Import.TipoArredondamento&lt;&gt;"TransfereGOV",
ROUND(OFFSET($P279,0,AK$13),15-13*ORÇAMENTO!$AF$7)/$H279*OFFSET(ORÇAMENTO!$X$15,ROW(AK279)-ROW(AK$15),0),
ROUND(ROUND(OFFSET($P279,0,AK$13),15-13*ORÇAMENTO!$AF$7)*OFFSET(ORÇAMENTO!$W$15,ROW(AK279)-ROW(AK$15),0),15-13*ORÇAMENTO!$AF$11)),0)</f>
        <v>0</v>
      </c>
      <c r="AM279" s="181">
        <f ca="1">IF($D279&lt;&gt;"Serviço",0,IF(AND(AUTOEVENTO="Manual",$M279=1),0,IF(OFFSET(CRONOPLE!$F$14,$M279,AM$13)="",10^12,OFFSET(CRONOPLE!$F$14,$M279,AM$13))))</f>
        <v>1000000000000</v>
      </c>
      <c r="AN279" s="181">
        <f ca="1">IF($D279&lt;&gt;"Serviço",0,IF(AND(AUTOEVENTO="Manual",$M279=1),0,IF(OFFSET(CRONOPLE!$F$14,$M279,AN$13)="",10^12,OFFSET(CRONOPLE!$F$14,$M279,AN$13))))</f>
        <v>1000000000000</v>
      </c>
      <c r="AO279" s="181">
        <f ca="1">IF($D279&lt;&gt;"Serviço",0,IF(AND(AUTOEVENTO="Manual",$M279=1),0,IF(OFFSET(CRONOPLE!$F$14,$M279,AO$13)="",10^12,OFFSET(CRONOPLE!$F$14,$M279,AO$13))))</f>
        <v>1000000000000</v>
      </c>
      <c r="AP279" s="181">
        <f ca="1">IF($D279&lt;&gt;"Serviço",0,IF(AND(AUTOEVENTO="Manual",$M279=1),0,IF(OFFSET(CRONOPLE!$F$14,$M279,AP$13)="",10^12,OFFSET(CRONOPLE!$F$14,$M279,AP$13))))</f>
        <v>1000000000000</v>
      </c>
      <c r="AQ279" s="181">
        <f ca="1">IF($D279&lt;&gt;"Serviço",0,IF(AND(AUTOEVENTO="Manual",$M279=1),0,IF(OFFSET(CRONOPLE!$F$14,$M279,AQ$13)="",10^12,OFFSET(CRONOPLE!$F$14,$M279,AQ$13))))</f>
        <v>1000000000000</v>
      </c>
      <c r="AR279" s="181">
        <f ca="1">IF($D279&lt;&gt;"Serviço",0,IF(AND(AUTOEVENTO="Manual",$M279=1),0,IF(OFFSET(CRONOPLE!$F$14,$M279,AR$13)="",10^12,OFFSET(CRONOPLE!$F$14,$M279,AR$13))))</f>
        <v>1000000000000</v>
      </c>
      <c r="AS279" s="181">
        <f ca="1">IF($D279&lt;&gt;"Serviço",0,IF(AND(AUTOEVENTO="Manual",$M279=1),0,IF(OFFSET(CRONOPLE!$F$14,$M279,AS$13)="",10^12,OFFSET(CRONOPLE!$F$14,$M279,AS$13))))</f>
        <v>1000000000000</v>
      </c>
      <c r="AT279" s="181">
        <f ca="1">IF($D279&lt;&gt;"Serviço",0,IF(AND(AUTOEVENTO="Manual",$M279=1),0,IF(OFFSET(CRONOPLE!$F$14,$M279,AT$13)="",10^12,OFFSET(CRONOPLE!$F$14,$M279,AT$13))))</f>
        <v>1000000000000</v>
      </c>
      <c r="AU279" s="181">
        <f ca="1">IF($D279&lt;&gt;"Serviço",0,IF(AND(AUTOEVENTO="Manual",$M279=1),0,IF(OFFSET(CRONOPLE!$F$14,$M279,AU$13)="",10^12,OFFSET(CRONOPLE!$F$14,$M279,AU$13))))</f>
        <v>1000000000000</v>
      </c>
      <c r="AV279" s="181">
        <f ca="1">IF($D279&lt;&gt;"Serviço",0,IF(AND(AUTOEVENTO="Manual",$M279=1),0,IF(OFFSET(CRONOPLE!$F$14,$M279,AV$13)="",10^12,OFFSET(CRONOPLE!$F$14,$M279,AV$13))))</f>
        <v>1000000000000</v>
      </c>
      <c r="AX279" s="182">
        <f ca="1">IF($D279&lt;&gt;"Serviço",0,IF(OR(AND(AUTOEVENTO="Manual",$M279=1),$M279&gt;(ROW(PLE.lastrow)-ROW(PLE.firstrow))),0,IF(OFFSET(PLE!$G$14,$M279,AX$13)="",10^12,OFFSET(PLE!$G$14,$M279,AX$13))))</f>
        <v>1000000000000</v>
      </c>
      <c r="AY279" s="182">
        <f ca="1">IF($D279&lt;&gt;"Serviço",0,IF(OR(AND(AUTOEVENTO="Manual",$M279=1),$M279&gt;(ROW(PLE.lastrow)-ROW(PLE.firstrow))),0,IF(OFFSET(PLE!$G$14,$M279,AY$13)="",10^12,OFFSET(PLE!$G$14,$M279,AY$13))))</f>
        <v>1000000000000</v>
      </c>
      <c r="AZ279" s="182">
        <f ca="1">IF($D279&lt;&gt;"Serviço",0,IF(OR(AND(AUTOEVENTO="Manual",$M279=1),$M279&gt;(ROW(PLE.lastrow)-ROW(PLE.firstrow))),0,IF(OFFSET(PLE!$G$14,$M279,AZ$13)="",10^12,OFFSET(PLE!$G$14,$M279,AZ$13))))</f>
        <v>1000000000000</v>
      </c>
      <c r="BA279" s="182">
        <f ca="1">IF($D279&lt;&gt;"Serviço",0,IF(OR(AND(AUTOEVENTO="Manual",$M279=1),$M279&gt;(ROW(PLE.lastrow)-ROW(PLE.firstrow))),0,IF(OFFSET(PLE!$G$14,$M279,BA$13)="",10^12,OFFSET(PLE!$G$14,$M279,BA$13))))</f>
        <v>1000000000000</v>
      </c>
      <c r="BB279" s="182">
        <f ca="1">IF($D279&lt;&gt;"Serviço",0,IF(OR(AND(AUTOEVENTO="Manual",$M279=1),$M279&gt;(ROW(PLE.lastrow)-ROW(PLE.firstrow))),0,IF(OFFSET(PLE!$G$14,$M279,BB$13)="",10^12,OFFSET(PLE!$G$14,$M279,BB$13))))</f>
        <v>1000000000000</v>
      </c>
      <c r="BC279" s="182">
        <f ca="1">IF($D279&lt;&gt;"Serviço",0,IF(OR(AND(AUTOEVENTO="Manual",$M279=1),$M279&gt;(ROW(PLE.lastrow)-ROW(PLE.firstrow))),0,IF(OFFSET(PLE!$G$14,$M279,BC$13)="",10^12,OFFSET(PLE!$G$14,$M279,BC$13))))</f>
        <v>1000000000000</v>
      </c>
      <c r="BD279" s="182">
        <f ca="1">IF($D279&lt;&gt;"Serviço",0,IF(OR(AND(AUTOEVENTO="Manual",$M279=1),$M279&gt;(ROW(PLE.lastrow)-ROW(PLE.firstrow))),0,IF(OFFSET(PLE!$G$14,$M279,BD$13)="",10^12,OFFSET(PLE!$G$14,$M279,BD$13))))</f>
        <v>1000000000000</v>
      </c>
      <c r="BE279" s="182">
        <f ca="1">IF($D279&lt;&gt;"Serviço",0,IF(OR(AND(AUTOEVENTO="Manual",$M279=1),$M279&gt;(ROW(PLE.lastrow)-ROW(PLE.firstrow))),0,IF(OFFSET(PLE!$G$14,$M279,BE$13)="",10^12,OFFSET(PLE!$G$14,$M279,BE$13))))</f>
        <v>1000000000000</v>
      </c>
      <c r="BF279" s="182">
        <f ca="1">IF($D279&lt;&gt;"Serviço",0,IF(OR(AND(AUTOEVENTO="Manual",$M279=1),$M279&gt;(ROW(PLE.lastrow)-ROW(PLE.firstrow))),0,IF(OFFSET(PLE!$G$14,$M279,BF$13)="",10^12,OFFSET(PLE!$G$14,$M279,BF$13))))</f>
        <v>1000000000000</v>
      </c>
      <c r="BG279" s="182">
        <f ca="1">IF($D279&lt;&gt;"Serviço",0,IF(OR(AND(AUTOEVENTO="Manual",$M279=1),$M279&gt;(ROW(PLE.lastrow)-ROW(PLE.firstrow))),0,IF(OFFSET(PLE!$G$14,$M279,BG$13)="",10^12,OFFSET(PLE!$G$14,$M279,BG$13))))</f>
        <v>1000000000000</v>
      </c>
    </row>
    <row r="280" spans="1:59" ht="38.25" x14ac:dyDescent="0.2">
      <c r="A280" s="7" t="str">
        <f t="shared" ca="1" si="11"/>
        <v>251</v>
      </c>
      <c r="B280" s="7" t="str">
        <f ca="1">OFFSET(ORÇAMENTO!C$15,ROW(B280)-ROW(B$15),0)</f>
        <v>S</v>
      </c>
      <c r="C280" s="7" t="str">
        <f ca="1">OFFSET(ORÇAMENTO!L$15,ROW(C280)-ROW(C$15),0)</f>
        <v/>
      </c>
      <c r="D280" s="118" t="str">
        <f ca="1">OFFSET(ORÇAMENTO!N$15,ROW(D280)-ROW(D$15),0)</f>
        <v>Serviço</v>
      </c>
      <c r="E280" s="119" t="str">
        <f ca="1">OFFSET(ORÇAMENTO!O$15,ROW(E280)-ROW(E$15),0)</f>
        <v>-</v>
      </c>
      <c r="F280" s="172" t="str">
        <f ca="1">OFFSET(ORÇAMENTO!R$15,ROW(F280)-ROW(F$15),0)</f>
        <v>(abra o arquivo 'Referência 02-2025.xlsm)</v>
      </c>
      <c r="G280" s="173" t="str">
        <f ca="1">IF($D280&lt;&gt;"Serviço","",OFFSET(ORÇAMENTO!S$15,ROW(G280)-ROW(G$15),0))</f>
        <v>-</v>
      </c>
      <c r="H280" s="124">
        <f ca="1">IF($D280&lt;&gt;"Serviço",0,IF(ACOMPANHAMENTO="BM",ROUND(OFFSET(ORÇAMENTO!AJ$15,ROW(H280)-ROW(H$15),0),15-13*ORÇAMENTO!$AF$7),SUMPRODUCT(($Q$12:$AA$12&lt;&gt;"")*ROUND($Q280:$AA280,15-13*ORÇAMENTO!$AF$7))))</f>
        <v>18</v>
      </c>
      <c r="I280" s="561" t="s">
        <v>890</v>
      </c>
      <c r="K280" s="174"/>
      <c r="L280" s="175" t="s">
        <v>255</v>
      </c>
      <c r="M280" s="176">
        <f ca="1">IF($D280&lt;&gt;"Serviço","",IF(AUTOEVENTO="manual",$A280,IF(ISERROR(MATCH($A280,$A$15:OFFSET($A280,-1,0),0)),MAX($M$15:OFFSET(M280,-1,0))+1,INDEX($M$15:OFFSET(M280,-1,0),MATCH($A280,$A$15:OFFSET($A280,-1,0),0)))))</f>
        <v>13</v>
      </c>
      <c r="N280" s="177" t="str">
        <f ca="1">IF($D280&lt;&gt;"Serviço","",IF(AUTOEVENTO="Manual",IF($A280=0,"&lt;-- defina o número do agrupador",OFFSET(EVENTOS!$D$14,$A280,0)),OFFSET($F$15,$A280,0)))</f>
        <v>INSTALAÇÃO HIDRÁULICA</v>
      </c>
      <c r="O280" s="178"/>
      <c r="Q280" s="178"/>
      <c r="R280" s="179"/>
      <c r="S280" s="179"/>
      <c r="T280" s="179"/>
      <c r="U280" s="179"/>
      <c r="V280" s="179"/>
      <c r="W280" s="179"/>
      <c r="X280" s="179"/>
      <c r="Y280" s="179"/>
      <c r="Z280" s="180"/>
      <c r="AB280" s="544">
        <f ca="1">IF(AND($D280="Serviço",AB$12&lt;&gt;0,$H280&gt;0,OR(AUTOEVENTO&lt;&gt;"manual",$M280&lt;&gt;1)),
IF(Import.TipoArredondamento&lt;&gt;"TransfereGOV",
ROUND(OFFSET($P280,0,AB$13),15-13*ORÇAMENTO!$AF$7)/$H280*OFFSET(ORÇAMENTO!$X$15,ROW(AB280)-ROW(AB$15),0),
ROUND(ROUND(OFFSET($P280,0,AB$13),15-13*ORÇAMENTO!$AF$7)*OFFSET(ORÇAMENTO!$W$15,ROW(AB280)-ROW(AB$15),0),15-13*ORÇAMENTO!$AF$11)),0)</f>
        <v>0</v>
      </c>
      <c r="AC280" s="545">
        <f ca="1">IF(AND($D280="Serviço",AC$12&lt;&gt;0,$H280&gt;0,OR(AUTOEVENTO&lt;&gt;"manual",$M280&lt;&gt;1)),
IF(Import.TipoArredondamento&lt;&gt;"TransfereGOV",
ROUND(OFFSET($P280,0,AC$13),15-13*ORÇAMENTO!$AF$7)/$H280*OFFSET(ORÇAMENTO!$X$15,ROW(AC280)-ROW(AC$15),0),
ROUND(ROUND(OFFSET($P280,0,AC$13),15-13*ORÇAMENTO!$AF$7)*OFFSET(ORÇAMENTO!$W$15,ROW(AC280)-ROW(AC$15),0),15-13*ORÇAMENTO!$AF$11)),0)</f>
        <v>0</v>
      </c>
      <c r="AD280" s="545">
        <f ca="1">IF(AND($D280="Serviço",AD$12&lt;&gt;0,$H280&gt;0,OR(AUTOEVENTO&lt;&gt;"manual",$M280&lt;&gt;1)),
IF(Import.TipoArredondamento&lt;&gt;"TransfereGOV",
ROUND(OFFSET($P280,0,AD$13),15-13*ORÇAMENTO!$AF$7)/$H280*OFFSET(ORÇAMENTO!$X$15,ROW(AD280)-ROW(AD$15),0),
ROUND(ROUND(OFFSET($P280,0,AD$13),15-13*ORÇAMENTO!$AF$7)*OFFSET(ORÇAMENTO!$W$15,ROW(AD280)-ROW(AD$15),0),15-13*ORÇAMENTO!$AF$11)),0)</f>
        <v>0</v>
      </c>
      <c r="AE280" s="545">
        <f ca="1">IF(AND($D280="Serviço",AE$12&lt;&gt;0,$H280&gt;0,OR(AUTOEVENTO&lt;&gt;"manual",$M280&lt;&gt;1)),
IF(Import.TipoArredondamento&lt;&gt;"TransfereGOV",
ROUND(OFFSET($P280,0,AE$13),15-13*ORÇAMENTO!$AF$7)/$H280*OFFSET(ORÇAMENTO!$X$15,ROW(AE280)-ROW(AE$15),0),
ROUND(ROUND(OFFSET($P280,0,AE$13),15-13*ORÇAMENTO!$AF$7)*OFFSET(ORÇAMENTO!$W$15,ROW(AE280)-ROW(AE$15),0),15-13*ORÇAMENTO!$AF$11)),0)</f>
        <v>0</v>
      </c>
      <c r="AF280" s="545">
        <f ca="1">IF(AND($D280="Serviço",AF$12&lt;&gt;0,$H280&gt;0,OR(AUTOEVENTO&lt;&gt;"manual",$M280&lt;&gt;1)),
IF(Import.TipoArredondamento&lt;&gt;"TransfereGOV",
ROUND(OFFSET($P280,0,AF$13),15-13*ORÇAMENTO!$AF$7)/$H280*OFFSET(ORÇAMENTO!$X$15,ROW(AF280)-ROW(AF$15),0),
ROUND(ROUND(OFFSET($P280,0,AF$13),15-13*ORÇAMENTO!$AF$7)*OFFSET(ORÇAMENTO!$W$15,ROW(AF280)-ROW(AF$15),0),15-13*ORÇAMENTO!$AF$11)),0)</f>
        <v>0</v>
      </c>
      <c r="AG280" s="545">
        <f ca="1">IF(AND($D280="Serviço",AG$12&lt;&gt;0,$H280&gt;0,OR(AUTOEVENTO&lt;&gt;"manual",$M280&lt;&gt;1)),
IF(Import.TipoArredondamento&lt;&gt;"TransfereGOV",
ROUND(OFFSET($P280,0,AG$13),15-13*ORÇAMENTO!$AF$7)/$H280*OFFSET(ORÇAMENTO!$X$15,ROW(AG280)-ROW(AG$15),0),
ROUND(ROUND(OFFSET($P280,0,AG$13),15-13*ORÇAMENTO!$AF$7)*OFFSET(ORÇAMENTO!$W$15,ROW(AG280)-ROW(AG$15),0),15-13*ORÇAMENTO!$AF$11)),0)</f>
        <v>0</v>
      </c>
      <c r="AH280" s="545">
        <f ca="1">IF(AND($D280="Serviço",AH$12&lt;&gt;0,$H280&gt;0,OR(AUTOEVENTO&lt;&gt;"manual",$M280&lt;&gt;1)),
IF(Import.TipoArredondamento&lt;&gt;"TransfereGOV",
ROUND(OFFSET($P280,0,AH$13),15-13*ORÇAMENTO!$AF$7)/$H280*OFFSET(ORÇAMENTO!$X$15,ROW(AH280)-ROW(AH$15),0),
ROUND(ROUND(OFFSET($P280,0,AH$13),15-13*ORÇAMENTO!$AF$7)*OFFSET(ORÇAMENTO!$W$15,ROW(AH280)-ROW(AH$15),0),15-13*ORÇAMENTO!$AF$11)),0)</f>
        <v>0</v>
      </c>
      <c r="AI280" s="545">
        <f ca="1">IF(AND($D280="Serviço",AI$12&lt;&gt;0,$H280&gt;0,OR(AUTOEVENTO&lt;&gt;"manual",$M280&lt;&gt;1)),
IF(Import.TipoArredondamento&lt;&gt;"TransfereGOV",
ROUND(OFFSET($P280,0,AI$13),15-13*ORÇAMENTO!$AF$7)/$H280*OFFSET(ORÇAMENTO!$X$15,ROW(AI280)-ROW(AI$15),0),
ROUND(ROUND(OFFSET($P280,0,AI$13),15-13*ORÇAMENTO!$AF$7)*OFFSET(ORÇAMENTO!$W$15,ROW(AI280)-ROW(AI$15),0),15-13*ORÇAMENTO!$AF$11)),0)</f>
        <v>0</v>
      </c>
      <c r="AJ280" s="545">
        <f ca="1">IF(AND($D280="Serviço",AJ$12&lt;&gt;0,$H280&gt;0,OR(AUTOEVENTO&lt;&gt;"manual",$M280&lt;&gt;1)),
IF(Import.TipoArredondamento&lt;&gt;"TransfereGOV",
ROUND(OFFSET($P280,0,AJ$13),15-13*ORÇAMENTO!$AF$7)/$H280*OFFSET(ORÇAMENTO!$X$15,ROW(AJ280)-ROW(AJ$15),0),
ROUND(ROUND(OFFSET($P280,0,AJ$13),15-13*ORÇAMENTO!$AF$7)*OFFSET(ORÇAMENTO!$W$15,ROW(AJ280)-ROW(AJ$15),0),15-13*ORÇAMENTO!$AF$11)),0)</f>
        <v>0</v>
      </c>
      <c r="AK280" s="546">
        <f ca="1">IF(AND($D280="Serviço",AK$12&lt;&gt;0,$H280&gt;0,OR(AUTOEVENTO&lt;&gt;"manual",$M280&lt;&gt;1)),
IF(Import.TipoArredondamento&lt;&gt;"TransfereGOV",
ROUND(OFFSET($P280,0,AK$13),15-13*ORÇAMENTO!$AF$7)/$H280*OFFSET(ORÇAMENTO!$X$15,ROW(AK280)-ROW(AK$15),0),
ROUND(ROUND(OFFSET($P280,0,AK$13),15-13*ORÇAMENTO!$AF$7)*OFFSET(ORÇAMENTO!$W$15,ROW(AK280)-ROW(AK$15),0),15-13*ORÇAMENTO!$AF$11)),0)</f>
        <v>0</v>
      </c>
      <c r="AM280" s="181">
        <f ca="1">IF($D280&lt;&gt;"Serviço",0,IF(AND(AUTOEVENTO="Manual",$M280=1),0,IF(OFFSET(CRONOPLE!$F$14,$M280,AM$13)="",10^12,OFFSET(CRONOPLE!$F$14,$M280,AM$13))))</f>
        <v>1000000000000</v>
      </c>
      <c r="AN280" s="181">
        <f ca="1">IF($D280&lt;&gt;"Serviço",0,IF(AND(AUTOEVENTO="Manual",$M280=1),0,IF(OFFSET(CRONOPLE!$F$14,$M280,AN$13)="",10^12,OFFSET(CRONOPLE!$F$14,$M280,AN$13))))</f>
        <v>1000000000000</v>
      </c>
      <c r="AO280" s="181">
        <f ca="1">IF($D280&lt;&gt;"Serviço",0,IF(AND(AUTOEVENTO="Manual",$M280=1),0,IF(OFFSET(CRONOPLE!$F$14,$M280,AO$13)="",10^12,OFFSET(CRONOPLE!$F$14,$M280,AO$13))))</f>
        <v>1000000000000</v>
      </c>
      <c r="AP280" s="181">
        <f ca="1">IF($D280&lt;&gt;"Serviço",0,IF(AND(AUTOEVENTO="Manual",$M280=1),0,IF(OFFSET(CRONOPLE!$F$14,$M280,AP$13)="",10^12,OFFSET(CRONOPLE!$F$14,$M280,AP$13))))</f>
        <v>1000000000000</v>
      </c>
      <c r="AQ280" s="181">
        <f ca="1">IF($D280&lt;&gt;"Serviço",0,IF(AND(AUTOEVENTO="Manual",$M280=1),0,IF(OFFSET(CRONOPLE!$F$14,$M280,AQ$13)="",10^12,OFFSET(CRONOPLE!$F$14,$M280,AQ$13))))</f>
        <v>1000000000000</v>
      </c>
      <c r="AR280" s="181">
        <f ca="1">IF($D280&lt;&gt;"Serviço",0,IF(AND(AUTOEVENTO="Manual",$M280=1),0,IF(OFFSET(CRONOPLE!$F$14,$M280,AR$13)="",10^12,OFFSET(CRONOPLE!$F$14,$M280,AR$13))))</f>
        <v>1000000000000</v>
      </c>
      <c r="AS280" s="181">
        <f ca="1">IF($D280&lt;&gt;"Serviço",0,IF(AND(AUTOEVENTO="Manual",$M280=1),0,IF(OFFSET(CRONOPLE!$F$14,$M280,AS$13)="",10^12,OFFSET(CRONOPLE!$F$14,$M280,AS$13))))</f>
        <v>1000000000000</v>
      </c>
      <c r="AT280" s="181">
        <f ca="1">IF($D280&lt;&gt;"Serviço",0,IF(AND(AUTOEVENTO="Manual",$M280=1),0,IF(OFFSET(CRONOPLE!$F$14,$M280,AT$13)="",10^12,OFFSET(CRONOPLE!$F$14,$M280,AT$13))))</f>
        <v>1000000000000</v>
      </c>
      <c r="AU280" s="181">
        <f ca="1">IF($D280&lt;&gt;"Serviço",0,IF(AND(AUTOEVENTO="Manual",$M280=1),0,IF(OFFSET(CRONOPLE!$F$14,$M280,AU$13)="",10^12,OFFSET(CRONOPLE!$F$14,$M280,AU$13))))</f>
        <v>1000000000000</v>
      </c>
      <c r="AV280" s="181">
        <f ca="1">IF($D280&lt;&gt;"Serviço",0,IF(AND(AUTOEVENTO="Manual",$M280=1),0,IF(OFFSET(CRONOPLE!$F$14,$M280,AV$13)="",10^12,OFFSET(CRONOPLE!$F$14,$M280,AV$13))))</f>
        <v>1000000000000</v>
      </c>
      <c r="AX280" s="182">
        <f ca="1">IF($D280&lt;&gt;"Serviço",0,IF(OR(AND(AUTOEVENTO="Manual",$M280=1),$M280&gt;(ROW(PLE.lastrow)-ROW(PLE.firstrow))),0,IF(OFFSET(PLE!$G$14,$M280,AX$13)="",10^12,OFFSET(PLE!$G$14,$M280,AX$13))))</f>
        <v>1000000000000</v>
      </c>
      <c r="AY280" s="182">
        <f ca="1">IF($D280&lt;&gt;"Serviço",0,IF(OR(AND(AUTOEVENTO="Manual",$M280=1),$M280&gt;(ROW(PLE.lastrow)-ROW(PLE.firstrow))),0,IF(OFFSET(PLE!$G$14,$M280,AY$13)="",10^12,OFFSET(PLE!$G$14,$M280,AY$13))))</f>
        <v>1000000000000</v>
      </c>
      <c r="AZ280" s="182">
        <f ca="1">IF($D280&lt;&gt;"Serviço",0,IF(OR(AND(AUTOEVENTO="Manual",$M280=1),$M280&gt;(ROW(PLE.lastrow)-ROW(PLE.firstrow))),0,IF(OFFSET(PLE!$G$14,$M280,AZ$13)="",10^12,OFFSET(PLE!$G$14,$M280,AZ$13))))</f>
        <v>1000000000000</v>
      </c>
      <c r="BA280" s="182">
        <f ca="1">IF($D280&lt;&gt;"Serviço",0,IF(OR(AND(AUTOEVENTO="Manual",$M280=1),$M280&gt;(ROW(PLE.lastrow)-ROW(PLE.firstrow))),0,IF(OFFSET(PLE!$G$14,$M280,BA$13)="",10^12,OFFSET(PLE!$G$14,$M280,BA$13))))</f>
        <v>1000000000000</v>
      </c>
      <c r="BB280" s="182">
        <f ca="1">IF($D280&lt;&gt;"Serviço",0,IF(OR(AND(AUTOEVENTO="Manual",$M280=1),$M280&gt;(ROW(PLE.lastrow)-ROW(PLE.firstrow))),0,IF(OFFSET(PLE!$G$14,$M280,BB$13)="",10^12,OFFSET(PLE!$G$14,$M280,BB$13))))</f>
        <v>1000000000000</v>
      </c>
      <c r="BC280" s="182">
        <f ca="1">IF($D280&lt;&gt;"Serviço",0,IF(OR(AND(AUTOEVENTO="Manual",$M280=1),$M280&gt;(ROW(PLE.lastrow)-ROW(PLE.firstrow))),0,IF(OFFSET(PLE!$G$14,$M280,BC$13)="",10^12,OFFSET(PLE!$G$14,$M280,BC$13))))</f>
        <v>1000000000000</v>
      </c>
      <c r="BD280" s="182">
        <f ca="1">IF($D280&lt;&gt;"Serviço",0,IF(OR(AND(AUTOEVENTO="Manual",$M280=1),$M280&gt;(ROW(PLE.lastrow)-ROW(PLE.firstrow))),0,IF(OFFSET(PLE!$G$14,$M280,BD$13)="",10^12,OFFSET(PLE!$G$14,$M280,BD$13))))</f>
        <v>1000000000000</v>
      </c>
      <c r="BE280" s="182">
        <f ca="1">IF($D280&lt;&gt;"Serviço",0,IF(OR(AND(AUTOEVENTO="Manual",$M280=1),$M280&gt;(ROW(PLE.lastrow)-ROW(PLE.firstrow))),0,IF(OFFSET(PLE!$G$14,$M280,BE$13)="",10^12,OFFSET(PLE!$G$14,$M280,BE$13))))</f>
        <v>1000000000000</v>
      </c>
      <c r="BF280" s="182">
        <f ca="1">IF($D280&lt;&gt;"Serviço",0,IF(OR(AND(AUTOEVENTO="Manual",$M280=1),$M280&gt;(ROW(PLE.lastrow)-ROW(PLE.firstrow))),0,IF(OFFSET(PLE!$G$14,$M280,BF$13)="",10^12,OFFSET(PLE!$G$14,$M280,BF$13))))</f>
        <v>1000000000000</v>
      </c>
      <c r="BG280" s="182">
        <f ca="1">IF($D280&lt;&gt;"Serviço",0,IF(OR(AND(AUTOEVENTO="Manual",$M280=1),$M280&gt;(ROW(PLE.lastrow)-ROW(PLE.firstrow))),0,IF(OFFSET(PLE!$G$14,$M280,BG$13)="",10^12,OFFSET(PLE!$G$14,$M280,BG$13))))</f>
        <v>1000000000000</v>
      </c>
    </row>
    <row r="281" spans="1:59" ht="25.5" x14ac:dyDescent="0.2">
      <c r="A281" s="7" t="str">
        <f t="shared" ca="1" si="11"/>
        <v>251</v>
      </c>
      <c r="B281" s="7" t="str">
        <f ca="1">OFFSET(ORÇAMENTO!C$15,ROW(B281)-ROW(B$15),0)</f>
        <v>S</v>
      </c>
      <c r="C281" s="7" t="str">
        <f ca="1">OFFSET(ORÇAMENTO!L$15,ROW(C281)-ROW(C$15),0)</f>
        <v/>
      </c>
      <c r="D281" s="118" t="str">
        <f ca="1">OFFSET(ORÇAMENTO!N$15,ROW(D281)-ROW(D$15),0)</f>
        <v>Serviço</v>
      </c>
      <c r="E281" s="119" t="str">
        <f ca="1">OFFSET(ORÇAMENTO!O$15,ROW(E281)-ROW(E$15),0)</f>
        <v>-</v>
      </c>
      <c r="F281" s="172" t="str">
        <f ca="1">OFFSET(ORÇAMENTO!R$15,ROW(F281)-ROW(F$15),0)</f>
        <v>(abra o arquivo 'Referência 02-2025.xlsm)</v>
      </c>
      <c r="G281" s="173" t="str">
        <f ca="1">IF($D281&lt;&gt;"Serviço","",OFFSET(ORÇAMENTO!S$15,ROW(G281)-ROW(G$15),0))</f>
        <v>-</v>
      </c>
      <c r="H281" s="124">
        <f ca="1">IF($D281&lt;&gt;"Serviço",0,IF(ACOMPANHAMENTO="BM",ROUND(OFFSET(ORÇAMENTO!AJ$15,ROW(H281)-ROW(H$15),0),15-13*ORÇAMENTO!$AF$7),SUMPRODUCT(($Q$12:$AA$12&lt;&gt;"")*ROUND($Q281:$AA281,15-13*ORÇAMENTO!$AF$7))))</f>
        <v>1</v>
      </c>
      <c r="I281" s="561" t="s">
        <v>890</v>
      </c>
      <c r="K281" s="174"/>
      <c r="L281" s="175" t="s">
        <v>255</v>
      </c>
      <c r="M281" s="176">
        <f ca="1">IF($D281&lt;&gt;"Serviço","",IF(AUTOEVENTO="manual",$A281,IF(ISERROR(MATCH($A281,$A$15:OFFSET($A281,-1,0),0)),MAX($M$15:OFFSET(M281,-1,0))+1,INDEX($M$15:OFFSET(M281,-1,0),MATCH($A281,$A$15:OFFSET($A281,-1,0),0)))))</f>
        <v>13</v>
      </c>
      <c r="N281" s="177" t="str">
        <f ca="1">IF($D281&lt;&gt;"Serviço","",IF(AUTOEVENTO="Manual",IF($A281=0,"&lt;-- defina o número do agrupador",OFFSET(EVENTOS!$D$14,$A281,0)),OFFSET($F$15,$A281,0)))</f>
        <v>INSTALAÇÃO HIDRÁULICA</v>
      </c>
      <c r="O281" s="178"/>
      <c r="Q281" s="178"/>
      <c r="R281" s="179"/>
      <c r="S281" s="179"/>
      <c r="T281" s="179"/>
      <c r="U281" s="179"/>
      <c r="V281" s="179"/>
      <c r="W281" s="179"/>
      <c r="X281" s="179"/>
      <c r="Y281" s="179"/>
      <c r="Z281" s="180"/>
      <c r="AB281" s="544">
        <f ca="1">IF(AND($D281="Serviço",AB$12&lt;&gt;0,$H281&gt;0,OR(AUTOEVENTO&lt;&gt;"manual",$M281&lt;&gt;1)),
IF(Import.TipoArredondamento&lt;&gt;"TransfereGOV",
ROUND(OFFSET($P281,0,AB$13),15-13*ORÇAMENTO!$AF$7)/$H281*OFFSET(ORÇAMENTO!$X$15,ROW(AB281)-ROW(AB$15),0),
ROUND(ROUND(OFFSET($P281,0,AB$13),15-13*ORÇAMENTO!$AF$7)*OFFSET(ORÇAMENTO!$W$15,ROW(AB281)-ROW(AB$15),0),15-13*ORÇAMENTO!$AF$11)),0)</f>
        <v>0</v>
      </c>
      <c r="AC281" s="545">
        <f ca="1">IF(AND($D281="Serviço",AC$12&lt;&gt;0,$H281&gt;0,OR(AUTOEVENTO&lt;&gt;"manual",$M281&lt;&gt;1)),
IF(Import.TipoArredondamento&lt;&gt;"TransfereGOV",
ROUND(OFFSET($P281,0,AC$13),15-13*ORÇAMENTO!$AF$7)/$H281*OFFSET(ORÇAMENTO!$X$15,ROW(AC281)-ROW(AC$15),0),
ROUND(ROUND(OFFSET($P281,0,AC$13),15-13*ORÇAMENTO!$AF$7)*OFFSET(ORÇAMENTO!$W$15,ROW(AC281)-ROW(AC$15),0),15-13*ORÇAMENTO!$AF$11)),0)</f>
        <v>0</v>
      </c>
      <c r="AD281" s="545">
        <f ca="1">IF(AND($D281="Serviço",AD$12&lt;&gt;0,$H281&gt;0,OR(AUTOEVENTO&lt;&gt;"manual",$M281&lt;&gt;1)),
IF(Import.TipoArredondamento&lt;&gt;"TransfereGOV",
ROUND(OFFSET($P281,0,AD$13),15-13*ORÇAMENTO!$AF$7)/$H281*OFFSET(ORÇAMENTO!$X$15,ROW(AD281)-ROW(AD$15),0),
ROUND(ROUND(OFFSET($P281,0,AD$13),15-13*ORÇAMENTO!$AF$7)*OFFSET(ORÇAMENTO!$W$15,ROW(AD281)-ROW(AD$15),0),15-13*ORÇAMENTO!$AF$11)),0)</f>
        <v>0</v>
      </c>
      <c r="AE281" s="545">
        <f ca="1">IF(AND($D281="Serviço",AE$12&lt;&gt;0,$H281&gt;0,OR(AUTOEVENTO&lt;&gt;"manual",$M281&lt;&gt;1)),
IF(Import.TipoArredondamento&lt;&gt;"TransfereGOV",
ROUND(OFFSET($P281,0,AE$13),15-13*ORÇAMENTO!$AF$7)/$H281*OFFSET(ORÇAMENTO!$X$15,ROW(AE281)-ROW(AE$15),0),
ROUND(ROUND(OFFSET($P281,0,AE$13),15-13*ORÇAMENTO!$AF$7)*OFFSET(ORÇAMENTO!$W$15,ROW(AE281)-ROW(AE$15),0),15-13*ORÇAMENTO!$AF$11)),0)</f>
        <v>0</v>
      </c>
      <c r="AF281" s="545">
        <f ca="1">IF(AND($D281="Serviço",AF$12&lt;&gt;0,$H281&gt;0,OR(AUTOEVENTO&lt;&gt;"manual",$M281&lt;&gt;1)),
IF(Import.TipoArredondamento&lt;&gt;"TransfereGOV",
ROUND(OFFSET($P281,0,AF$13),15-13*ORÇAMENTO!$AF$7)/$H281*OFFSET(ORÇAMENTO!$X$15,ROW(AF281)-ROW(AF$15),0),
ROUND(ROUND(OFFSET($P281,0,AF$13),15-13*ORÇAMENTO!$AF$7)*OFFSET(ORÇAMENTO!$W$15,ROW(AF281)-ROW(AF$15),0),15-13*ORÇAMENTO!$AF$11)),0)</f>
        <v>0</v>
      </c>
      <c r="AG281" s="545">
        <f ca="1">IF(AND($D281="Serviço",AG$12&lt;&gt;0,$H281&gt;0,OR(AUTOEVENTO&lt;&gt;"manual",$M281&lt;&gt;1)),
IF(Import.TipoArredondamento&lt;&gt;"TransfereGOV",
ROUND(OFFSET($P281,0,AG$13),15-13*ORÇAMENTO!$AF$7)/$H281*OFFSET(ORÇAMENTO!$X$15,ROW(AG281)-ROW(AG$15),0),
ROUND(ROUND(OFFSET($P281,0,AG$13),15-13*ORÇAMENTO!$AF$7)*OFFSET(ORÇAMENTO!$W$15,ROW(AG281)-ROW(AG$15),0),15-13*ORÇAMENTO!$AF$11)),0)</f>
        <v>0</v>
      </c>
      <c r="AH281" s="545">
        <f ca="1">IF(AND($D281="Serviço",AH$12&lt;&gt;0,$H281&gt;0,OR(AUTOEVENTO&lt;&gt;"manual",$M281&lt;&gt;1)),
IF(Import.TipoArredondamento&lt;&gt;"TransfereGOV",
ROUND(OFFSET($P281,0,AH$13),15-13*ORÇAMENTO!$AF$7)/$H281*OFFSET(ORÇAMENTO!$X$15,ROW(AH281)-ROW(AH$15),0),
ROUND(ROUND(OFFSET($P281,0,AH$13),15-13*ORÇAMENTO!$AF$7)*OFFSET(ORÇAMENTO!$W$15,ROW(AH281)-ROW(AH$15),0),15-13*ORÇAMENTO!$AF$11)),0)</f>
        <v>0</v>
      </c>
      <c r="AI281" s="545">
        <f ca="1">IF(AND($D281="Serviço",AI$12&lt;&gt;0,$H281&gt;0,OR(AUTOEVENTO&lt;&gt;"manual",$M281&lt;&gt;1)),
IF(Import.TipoArredondamento&lt;&gt;"TransfereGOV",
ROUND(OFFSET($P281,0,AI$13),15-13*ORÇAMENTO!$AF$7)/$H281*OFFSET(ORÇAMENTO!$X$15,ROW(AI281)-ROW(AI$15),0),
ROUND(ROUND(OFFSET($P281,0,AI$13),15-13*ORÇAMENTO!$AF$7)*OFFSET(ORÇAMENTO!$W$15,ROW(AI281)-ROW(AI$15),0),15-13*ORÇAMENTO!$AF$11)),0)</f>
        <v>0</v>
      </c>
      <c r="AJ281" s="545">
        <f ca="1">IF(AND($D281="Serviço",AJ$12&lt;&gt;0,$H281&gt;0,OR(AUTOEVENTO&lt;&gt;"manual",$M281&lt;&gt;1)),
IF(Import.TipoArredondamento&lt;&gt;"TransfereGOV",
ROUND(OFFSET($P281,0,AJ$13),15-13*ORÇAMENTO!$AF$7)/$H281*OFFSET(ORÇAMENTO!$X$15,ROW(AJ281)-ROW(AJ$15),0),
ROUND(ROUND(OFFSET($P281,0,AJ$13),15-13*ORÇAMENTO!$AF$7)*OFFSET(ORÇAMENTO!$W$15,ROW(AJ281)-ROW(AJ$15),0),15-13*ORÇAMENTO!$AF$11)),0)</f>
        <v>0</v>
      </c>
      <c r="AK281" s="546">
        <f ca="1">IF(AND($D281="Serviço",AK$12&lt;&gt;0,$H281&gt;0,OR(AUTOEVENTO&lt;&gt;"manual",$M281&lt;&gt;1)),
IF(Import.TipoArredondamento&lt;&gt;"TransfereGOV",
ROUND(OFFSET($P281,0,AK$13),15-13*ORÇAMENTO!$AF$7)/$H281*OFFSET(ORÇAMENTO!$X$15,ROW(AK281)-ROW(AK$15),0),
ROUND(ROUND(OFFSET($P281,0,AK$13),15-13*ORÇAMENTO!$AF$7)*OFFSET(ORÇAMENTO!$W$15,ROW(AK281)-ROW(AK$15),0),15-13*ORÇAMENTO!$AF$11)),0)</f>
        <v>0</v>
      </c>
      <c r="AM281" s="181">
        <f ca="1">IF($D281&lt;&gt;"Serviço",0,IF(AND(AUTOEVENTO="Manual",$M281=1),0,IF(OFFSET(CRONOPLE!$F$14,$M281,AM$13)="",10^12,OFFSET(CRONOPLE!$F$14,$M281,AM$13))))</f>
        <v>1000000000000</v>
      </c>
      <c r="AN281" s="181">
        <f ca="1">IF($D281&lt;&gt;"Serviço",0,IF(AND(AUTOEVENTO="Manual",$M281=1),0,IF(OFFSET(CRONOPLE!$F$14,$M281,AN$13)="",10^12,OFFSET(CRONOPLE!$F$14,$M281,AN$13))))</f>
        <v>1000000000000</v>
      </c>
      <c r="AO281" s="181">
        <f ca="1">IF($D281&lt;&gt;"Serviço",0,IF(AND(AUTOEVENTO="Manual",$M281=1),0,IF(OFFSET(CRONOPLE!$F$14,$M281,AO$13)="",10^12,OFFSET(CRONOPLE!$F$14,$M281,AO$13))))</f>
        <v>1000000000000</v>
      </c>
      <c r="AP281" s="181">
        <f ca="1">IF($D281&lt;&gt;"Serviço",0,IF(AND(AUTOEVENTO="Manual",$M281=1),0,IF(OFFSET(CRONOPLE!$F$14,$M281,AP$13)="",10^12,OFFSET(CRONOPLE!$F$14,$M281,AP$13))))</f>
        <v>1000000000000</v>
      </c>
      <c r="AQ281" s="181">
        <f ca="1">IF($D281&lt;&gt;"Serviço",0,IF(AND(AUTOEVENTO="Manual",$M281=1),0,IF(OFFSET(CRONOPLE!$F$14,$M281,AQ$13)="",10^12,OFFSET(CRONOPLE!$F$14,$M281,AQ$13))))</f>
        <v>1000000000000</v>
      </c>
      <c r="AR281" s="181">
        <f ca="1">IF($D281&lt;&gt;"Serviço",0,IF(AND(AUTOEVENTO="Manual",$M281=1),0,IF(OFFSET(CRONOPLE!$F$14,$M281,AR$13)="",10^12,OFFSET(CRONOPLE!$F$14,$M281,AR$13))))</f>
        <v>1000000000000</v>
      </c>
      <c r="AS281" s="181">
        <f ca="1">IF($D281&lt;&gt;"Serviço",0,IF(AND(AUTOEVENTO="Manual",$M281=1),0,IF(OFFSET(CRONOPLE!$F$14,$M281,AS$13)="",10^12,OFFSET(CRONOPLE!$F$14,$M281,AS$13))))</f>
        <v>1000000000000</v>
      </c>
      <c r="AT281" s="181">
        <f ca="1">IF($D281&lt;&gt;"Serviço",0,IF(AND(AUTOEVENTO="Manual",$M281=1),0,IF(OFFSET(CRONOPLE!$F$14,$M281,AT$13)="",10^12,OFFSET(CRONOPLE!$F$14,$M281,AT$13))))</f>
        <v>1000000000000</v>
      </c>
      <c r="AU281" s="181">
        <f ca="1">IF($D281&lt;&gt;"Serviço",0,IF(AND(AUTOEVENTO="Manual",$M281=1),0,IF(OFFSET(CRONOPLE!$F$14,$M281,AU$13)="",10^12,OFFSET(CRONOPLE!$F$14,$M281,AU$13))))</f>
        <v>1000000000000</v>
      </c>
      <c r="AV281" s="181">
        <f ca="1">IF($D281&lt;&gt;"Serviço",0,IF(AND(AUTOEVENTO="Manual",$M281=1),0,IF(OFFSET(CRONOPLE!$F$14,$M281,AV$13)="",10^12,OFFSET(CRONOPLE!$F$14,$M281,AV$13))))</f>
        <v>1000000000000</v>
      </c>
      <c r="AX281" s="182">
        <f ca="1">IF($D281&lt;&gt;"Serviço",0,IF(OR(AND(AUTOEVENTO="Manual",$M281=1),$M281&gt;(ROW(PLE.lastrow)-ROW(PLE.firstrow))),0,IF(OFFSET(PLE!$G$14,$M281,AX$13)="",10^12,OFFSET(PLE!$G$14,$M281,AX$13))))</f>
        <v>1000000000000</v>
      </c>
      <c r="AY281" s="182">
        <f ca="1">IF($D281&lt;&gt;"Serviço",0,IF(OR(AND(AUTOEVENTO="Manual",$M281=1),$M281&gt;(ROW(PLE.lastrow)-ROW(PLE.firstrow))),0,IF(OFFSET(PLE!$G$14,$M281,AY$13)="",10^12,OFFSET(PLE!$G$14,$M281,AY$13))))</f>
        <v>1000000000000</v>
      </c>
      <c r="AZ281" s="182">
        <f ca="1">IF($D281&lt;&gt;"Serviço",0,IF(OR(AND(AUTOEVENTO="Manual",$M281=1),$M281&gt;(ROW(PLE.lastrow)-ROW(PLE.firstrow))),0,IF(OFFSET(PLE!$G$14,$M281,AZ$13)="",10^12,OFFSET(PLE!$G$14,$M281,AZ$13))))</f>
        <v>1000000000000</v>
      </c>
      <c r="BA281" s="182">
        <f ca="1">IF($D281&lt;&gt;"Serviço",0,IF(OR(AND(AUTOEVENTO="Manual",$M281=1),$M281&gt;(ROW(PLE.lastrow)-ROW(PLE.firstrow))),0,IF(OFFSET(PLE!$G$14,$M281,BA$13)="",10^12,OFFSET(PLE!$G$14,$M281,BA$13))))</f>
        <v>1000000000000</v>
      </c>
      <c r="BB281" s="182">
        <f ca="1">IF($D281&lt;&gt;"Serviço",0,IF(OR(AND(AUTOEVENTO="Manual",$M281=1),$M281&gt;(ROW(PLE.lastrow)-ROW(PLE.firstrow))),0,IF(OFFSET(PLE!$G$14,$M281,BB$13)="",10^12,OFFSET(PLE!$G$14,$M281,BB$13))))</f>
        <v>1000000000000</v>
      </c>
      <c r="BC281" s="182">
        <f ca="1">IF($D281&lt;&gt;"Serviço",0,IF(OR(AND(AUTOEVENTO="Manual",$M281=1),$M281&gt;(ROW(PLE.lastrow)-ROW(PLE.firstrow))),0,IF(OFFSET(PLE!$G$14,$M281,BC$13)="",10^12,OFFSET(PLE!$G$14,$M281,BC$13))))</f>
        <v>1000000000000</v>
      </c>
      <c r="BD281" s="182">
        <f ca="1">IF($D281&lt;&gt;"Serviço",0,IF(OR(AND(AUTOEVENTO="Manual",$M281=1),$M281&gt;(ROW(PLE.lastrow)-ROW(PLE.firstrow))),0,IF(OFFSET(PLE!$G$14,$M281,BD$13)="",10^12,OFFSET(PLE!$G$14,$M281,BD$13))))</f>
        <v>1000000000000</v>
      </c>
      <c r="BE281" s="182">
        <f ca="1">IF($D281&lt;&gt;"Serviço",0,IF(OR(AND(AUTOEVENTO="Manual",$M281=1),$M281&gt;(ROW(PLE.lastrow)-ROW(PLE.firstrow))),0,IF(OFFSET(PLE!$G$14,$M281,BE$13)="",10^12,OFFSET(PLE!$G$14,$M281,BE$13))))</f>
        <v>1000000000000</v>
      </c>
      <c r="BF281" s="182">
        <f ca="1">IF($D281&lt;&gt;"Serviço",0,IF(OR(AND(AUTOEVENTO="Manual",$M281=1),$M281&gt;(ROW(PLE.lastrow)-ROW(PLE.firstrow))),0,IF(OFFSET(PLE!$G$14,$M281,BF$13)="",10^12,OFFSET(PLE!$G$14,$M281,BF$13))))</f>
        <v>1000000000000</v>
      </c>
      <c r="BG281" s="182">
        <f ca="1">IF($D281&lt;&gt;"Serviço",0,IF(OR(AND(AUTOEVENTO="Manual",$M281=1),$M281&gt;(ROW(PLE.lastrow)-ROW(PLE.firstrow))),0,IF(OFFSET(PLE!$G$14,$M281,BG$13)="",10^12,OFFSET(PLE!$G$14,$M281,BG$13))))</f>
        <v>1000000000000</v>
      </c>
    </row>
    <row r="282" spans="1:59" ht="38.25" x14ac:dyDescent="0.2">
      <c r="A282" s="7" t="str">
        <f t="shared" ca="1" si="11"/>
        <v>251</v>
      </c>
      <c r="B282" s="7" t="str">
        <f ca="1">OFFSET(ORÇAMENTO!C$15,ROW(B282)-ROW(B$15),0)</f>
        <v>S</v>
      </c>
      <c r="C282" s="7" t="str">
        <f ca="1">OFFSET(ORÇAMENTO!L$15,ROW(C282)-ROW(C$15),0)</f>
        <v/>
      </c>
      <c r="D282" s="118" t="str">
        <f ca="1">OFFSET(ORÇAMENTO!N$15,ROW(D282)-ROW(D$15),0)</f>
        <v>Serviço</v>
      </c>
      <c r="E282" s="119" t="str">
        <f ca="1">OFFSET(ORÇAMENTO!O$15,ROW(E282)-ROW(E$15),0)</f>
        <v>-</v>
      </c>
      <c r="F282" s="172" t="str">
        <f ca="1">OFFSET(ORÇAMENTO!R$15,ROW(F282)-ROW(F$15),0)</f>
        <v>(abra o arquivo 'Referência 02-2025.xlsm)</v>
      </c>
      <c r="G282" s="173" t="str">
        <f ca="1">IF($D282&lt;&gt;"Serviço","",OFFSET(ORÇAMENTO!S$15,ROW(G282)-ROW(G$15),0))</f>
        <v>-</v>
      </c>
      <c r="H282" s="124">
        <f ca="1">IF($D282&lt;&gt;"Serviço",0,IF(ACOMPANHAMENTO="BM",ROUND(OFFSET(ORÇAMENTO!AJ$15,ROW(H282)-ROW(H$15),0),15-13*ORÇAMENTO!$AF$7),SUMPRODUCT(($Q$12:$AA$12&lt;&gt;"")*ROUND($Q282:$AA282,15-13*ORÇAMENTO!$AF$7))))</f>
        <v>25</v>
      </c>
      <c r="I282" s="561" t="s">
        <v>890</v>
      </c>
      <c r="K282" s="174"/>
      <c r="L282" s="175" t="s">
        <v>255</v>
      </c>
      <c r="M282" s="176">
        <f ca="1">IF($D282&lt;&gt;"Serviço","",IF(AUTOEVENTO="manual",$A282,IF(ISERROR(MATCH($A282,$A$15:OFFSET($A282,-1,0),0)),MAX($M$15:OFFSET(M282,-1,0))+1,INDEX($M$15:OFFSET(M282,-1,0),MATCH($A282,$A$15:OFFSET($A282,-1,0),0)))))</f>
        <v>13</v>
      </c>
      <c r="N282" s="177" t="str">
        <f ca="1">IF($D282&lt;&gt;"Serviço","",IF(AUTOEVENTO="Manual",IF($A282=0,"&lt;-- defina o número do agrupador",OFFSET(EVENTOS!$D$14,$A282,0)),OFFSET($F$15,$A282,0)))</f>
        <v>INSTALAÇÃO HIDRÁULICA</v>
      </c>
      <c r="O282" s="178"/>
      <c r="Q282" s="178"/>
      <c r="R282" s="179"/>
      <c r="S282" s="179"/>
      <c r="T282" s="179"/>
      <c r="U282" s="179"/>
      <c r="V282" s="179"/>
      <c r="W282" s="179"/>
      <c r="X282" s="179"/>
      <c r="Y282" s="179"/>
      <c r="Z282" s="180"/>
      <c r="AB282" s="544">
        <f ca="1">IF(AND($D282="Serviço",AB$12&lt;&gt;0,$H282&gt;0,OR(AUTOEVENTO&lt;&gt;"manual",$M282&lt;&gt;1)),
IF(Import.TipoArredondamento&lt;&gt;"TransfereGOV",
ROUND(OFFSET($P282,0,AB$13),15-13*ORÇAMENTO!$AF$7)/$H282*OFFSET(ORÇAMENTO!$X$15,ROW(AB282)-ROW(AB$15),0),
ROUND(ROUND(OFFSET($P282,0,AB$13),15-13*ORÇAMENTO!$AF$7)*OFFSET(ORÇAMENTO!$W$15,ROW(AB282)-ROW(AB$15),0),15-13*ORÇAMENTO!$AF$11)),0)</f>
        <v>0</v>
      </c>
      <c r="AC282" s="545">
        <f ca="1">IF(AND($D282="Serviço",AC$12&lt;&gt;0,$H282&gt;0,OR(AUTOEVENTO&lt;&gt;"manual",$M282&lt;&gt;1)),
IF(Import.TipoArredondamento&lt;&gt;"TransfereGOV",
ROUND(OFFSET($P282,0,AC$13),15-13*ORÇAMENTO!$AF$7)/$H282*OFFSET(ORÇAMENTO!$X$15,ROW(AC282)-ROW(AC$15),0),
ROUND(ROUND(OFFSET($P282,0,AC$13),15-13*ORÇAMENTO!$AF$7)*OFFSET(ORÇAMENTO!$W$15,ROW(AC282)-ROW(AC$15),0),15-13*ORÇAMENTO!$AF$11)),0)</f>
        <v>0</v>
      </c>
      <c r="AD282" s="545">
        <f ca="1">IF(AND($D282="Serviço",AD$12&lt;&gt;0,$H282&gt;0,OR(AUTOEVENTO&lt;&gt;"manual",$M282&lt;&gt;1)),
IF(Import.TipoArredondamento&lt;&gt;"TransfereGOV",
ROUND(OFFSET($P282,0,AD$13),15-13*ORÇAMENTO!$AF$7)/$H282*OFFSET(ORÇAMENTO!$X$15,ROW(AD282)-ROW(AD$15),0),
ROUND(ROUND(OFFSET($P282,0,AD$13),15-13*ORÇAMENTO!$AF$7)*OFFSET(ORÇAMENTO!$W$15,ROW(AD282)-ROW(AD$15),0),15-13*ORÇAMENTO!$AF$11)),0)</f>
        <v>0</v>
      </c>
      <c r="AE282" s="545">
        <f ca="1">IF(AND($D282="Serviço",AE$12&lt;&gt;0,$H282&gt;0,OR(AUTOEVENTO&lt;&gt;"manual",$M282&lt;&gt;1)),
IF(Import.TipoArredondamento&lt;&gt;"TransfereGOV",
ROUND(OFFSET($P282,0,AE$13),15-13*ORÇAMENTO!$AF$7)/$H282*OFFSET(ORÇAMENTO!$X$15,ROW(AE282)-ROW(AE$15),0),
ROUND(ROUND(OFFSET($P282,0,AE$13),15-13*ORÇAMENTO!$AF$7)*OFFSET(ORÇAMENTO!$W$15,ROW(AE282)-ROW(AE$15),0),15-13*ORÇAMENTO!$AF$11)),0)</f>
        <v>0</v>
      </c>
      <c r="AF282" s="545">
        <f ca="1">IF(AND($D282="Serviço",AF$12&lt;&gt;0,$H282&gt;0,OR(AUTOEVENTO&lt;&gt;"manual",$M282&lt;&gt;1)),
IF(Import.TipoArredondamento&lt;&gt;"TransfereGOV",
ROUND(OFFSET($P282,0,AF$13),15-13*ORÇAMENTO!$AF$7)/$H282*OFFSET(ORÇAMENTO!$X$15,ROW(AF282)-ROW(AF$15),0),
ROUND(ROUND(OFFSET($P282,0,AF$13),15-13*ORÇAMENTO!$AF$7)*OFFSET(ORÇAMENTO!$W$15,ROW(AF282)-ROW(AF$15),0),15-13*ORÇAMENTO!$AF$11)),0)</f>
        <v>0</v>
      </c>
      <c r="AG282" s="545">
        <f ca="1">IF(AND($D282="Serviço",AG$12&lt;&gt;0,$H282&gt;0,OR(AUTOEVENTO&lt;&gt;"manual",$M282&lt;&gt;1)),
IF(Import.TipoArredondamento&lt;&gt;"TransfereGOV",
ROUND(OFFSET($P282,0,AG$13),15-13*ORÇAMENTO!$AF$7)/$H282*OFFSET(ORÇAMENTO!$X$15,ROW(AG282)-ROW(AG$15),0),
ROUND(ROUND(OFFSET($P282,0,AG$13),15-13*ORÇAMENTO!$AF$7)*OFFSET(ORÇAMENTO!$W$15,ROW(AG282)-ROW(AG$15),0),15-13*ORÇAMENTO!$AF$11)),0)</f>
        <v>0</v>
      </c>
      <c r="AH282" s="545">
        <f ca="1">IF(AND($D282="Serviço",AH$12&lt;&gt;0,$H282&gt;0,OR(AUTOEVENTO&lt;&gt;"manual",$M282&lt;&gt;1)),
IF(Import.TipoArredondamento&lt;&gt;"TransfereGOV",
ROUND(OFFSET($P282,0,AH$13),15-13*ORÇAMENTO!$AF$7)/$H282*OFFSET(ORÇAMENTO!$X$15,ROW(AH282)-ROW(AH$15),0),
ROUND(ROUND(OFFSET($P282,0,AH$13),15-13*ORÇAMENTO!$AF$7)*OFFSET(ORÇAMENTO!$W$15,ROW(AH282)-ROW(AH$15),0),15-13*ORÇAMENTO!$AF$11)),0)</f>
        <v>0</v>
      </c>
      <c r="AI282" s="545">
        <f ca="1">IF(AND($D282="Serviço",AI$12&lt;&gt;0,$H282&gt;0,OR(AUTOEVENTO&lt;&gt;"manual",$M282&lt;&gt;1)),
IF(Import.TipoArredondamento&lt;&gt;"TransfereGOV",
ROUND(OFFSET($P282,0,AI$13),15-13*ORÇAMENTO!$AF$7)/$H282*OFFSET(ORÇAMENTO!$X$15,ROW(AI282)-ROW(AI$15),0),
ROUND(ROUND(OFFSET($P282,0,AI$13),15-13*ORÇAMENTO!$AF$7)*OFFSET(ORÇAMENTO!$W$15,ROW(AI282)-ROW(AI$15),0),15-13*ORÇAMENTO!$AF$11)),0)</f>
        <v>0</v>
      </c>
      <c r="AJ282" s="545">
        <f ca="1">IF(AND($D282="Serviço",AJ$12&lt;&gt;0,$H282&gt;0,OR(AUTOEVENTO&lt;&gt;"manual",$M282&lt;&gt;1)),
IF(Import.TipoArredondamento&lt;&gt;"TransfereGOV",
ROUND(OFFSET($P282,0,AJ$13),15-13*ORÇAMENTO!$AF$7)/$H282*OFFSET(ORÇAMENTO!$X$15,ROW(AJ282)-ROW(AJ$15),0),
ROUND(ROUND(OFFSET($P282,0,AJ$13),15-13*ORÇAMENTO!$AF$7)*OFFSET(ORÇAMENTO!$W$15,ROW(AJ282)-ROW(AJ$15),0),15-13*ORÇAMENTO!$AF$11)),0)</f>
        <v>0</v>
      </c>
      <c r="AK282" s="546">
        <f ca="1">IF(AND($D282="Serviço",AK$12&lt;&gt;0,$H282&gt;0,OR(AUTOEVENTO&lt;&gt;"manual",$M282&lt;&gt;1)),
IF(Import.TipoArredondamento&lt;&gt;"TransfereGOV",
ROUND(OFFSET($P282,0,AK$13),15-13*ORÇAMENTO!$AF$7)/$H282*OFFSET(ORÇAMENTO!$X$15,ROW(AK282)-ROW(AK$15),0),
ROUND(ROUND(OFFSET($P282,0,AK$13),15-13*ORÇAMENTO!$AF$7)*OFFSET(ORÇAMENTO!$W$15,ROW(AK282)-ROW(AK$15),0),15-13*ORÇAMENTO!$AF$11)),0)</f>
        <v>0</v>
      </c>
      <c r="AM282" s="181">
        <f ca="1">IF($D282&lt;&gt;"Serviço",0,IF(AND(AUTOEVENTO="Manual",$M282=1),0,IF(OFFSET(CRONOPLE!$F$14,$M282,AM$13)="",10^12,OFFSET(CRONOPLE!$F$14,$M282,AM$13))))</f>
        <v>1000000000000</v>
      </c>
      <c r="AN282" s="181">
        <f ca="1">IF($D282&lt;&gt;"Serviço",0,IF(AND(AUTOEVENTO="Manual",$M282=1),0,IF(OFFSET(CRONOPLE!$F$14,$M282,AN$13)="",10^12,OFFSET(CRONOPLE!$F$14,$M282,AN$13))))</f>
        <v>1000000000000</v>
      </c>
      <c r="AO282" s="181">
        <f ca="1">IF($D282&lt;&gt;"Serviço",0,IF(AND(AUTOEVENTO="Manual",$M282=1),0,IF(OFFSET(CRONOPLE!$F$14,$M282,AO$13)="",10^12,OFFSET(CRONOPLE!$F$14,$M282,AO$13))))</f>
        <v>1000000000000</v>
      </c>
      <c r="AP282" s="181">
        <f ca="1">IF($D282&lt;&gt;"Serviço",0,IF(AND(AUTOEVENTO="Manual",$M282=1),0,IF(OFFSET(CRONOPLE!$F$14,$M282,AP$13)="",10^12,OFFSET(CRONOPLE!$F$14,$M282,AP$13))))</f>
        <v>1000000000000</v>
      </c>
      <c r="AQ282" s="181">
        <f ca="1">IF($D282&lt;&gt;"Serviço",0,IF(AND(AUTOEVENTO="Manual",$M282=1),0,IF(OFFSET(CRONOPLE!$F$14,$M282,AQ$13)="",10^12,OFFSET(CRONOPLE!$F$14,$M282,AQ$13))))</f>
        <v>1000000000000</v>
      </c>
      <c r="AR282" s="181">
        <f ca="1">IF($D282&lt;&gt;"Serviço",0,IF(AND(AUTOEVENTO="Manual",$M282=1),0,IF(OFFSET(CRONOPLE!$F$14,$M282,AR$13)="",10^12,OFFSET(CRONOPLE!$F$14,$M282,AR$13))))</f>
        <v>1000000000000</v>
      </c>
      <c r="AS282" s="181">
        <f ca="1">IF($D282&lt;&gt;"Serviço",0,IF(AND(AUTOEVENTO="Manual",$M282=1),0,IF(OFFSET(CRONOPLE!$F$14,$M282,AS$13)="",10^12,OFFSET(CRONOPLE!$F$14,$M282,AS$13))))</f>
        <v>1000000000000</v>
      </c>
      <c r="AT282" s="181">
        <f ca="1">IF($D282&lt;&gt;"Serviço",0,IF(AND(AUTOEVENTO="Manual",$M282=1),0,IF(OFFSET(CRONOPLE!$F$14,$M282,AT$13)="",10^12,OFFSET(CRONOPLE!$F$14,$M282,AT$13))))</f>
        <v>1000000000000</v>
      </c>
      <c r="AU282" s="181">
        <f ca="1">IF($D282&lt;&gt;"Serviço",0,IF(AND(AUTOEVENTO="Manual",$M282=1),0,IF(OFFSET(CRONOPLE!$F$14,$M282,AU$13)="",10^12,OFFSET(CRONOPLE!$F$14,$M282,AU$13))))</f>
        <v>1000000000000</v>
      </c>
      <c r="AV282" s="181">
        <f ca="1">IF($D282&lt;&gt;"Serviço",0,IF(AND(AUTOEVENTO="Manual",$M282=1),0,IF(OFFSET(CRONOPLE!$F$14,$M282,AV$13)="",10^12,OFFSET(CRONOPLE!$F$14,$M282,AV$13))))</f>
        <v>1000000000000</v>
      </c>
      <c r="AX282" s="182">
        <f ca="1">IF($D282&lt;&gt;"Serviço",0,IF(OR(AND(AUTOEVENTO="Manual",$M282=1),$M282&gt;(ROW(PLE.lastrow)-ROW(PLE.firstrow))),0,IF(OFFSET(PLE!$G$14,$M282,AX$13)="",10^12,OFFSET(PLE!$G$14,$M282,AX$13))))</f>
        <v>1000000000000</v>
      </c>
      <c r="AY282" s="182">
        <f ca="1">IF($D282&lt;&gt;"Serviço",0,IF(OR(AND(AUTOEVENTO="Manual",$M282=1),$M282&gt;(ROW(PLE.lastrow)-ROW(PLE.firstrow))),0,IF(OFFSET(PLE!$G$14,$M282,AY$13)="",10^12,OFFSET(PLE!$G$14,$M282,AY$13))))</f>
        <v>1000000000000</v>
      </c>
      <c r="AZ282" s="182">
        <f ca="1">IF($D282&lt;&gt;"Serviço",0,IF(OR(AND(AUTOEVENTO="Manual",$M282=1),$M282&gt;(ROW(PLE.lastrow)-ROW(PLE.firstrow))),0,IF(OFFSET(PLE!$G$14,$M282,AZ$13)="",10^12,OFFSET(PLE!$G$14,$M282,AZ$13))))</f>
        <v>1000000000000</v>
      </c>
      <c r="BA282" s="182">
        <f ca="1">IF($D282&lt;&gt;"Serviço",0,IF(OR(AND(AUTOEVENTO="Manual",$M282=1),$M282&gt;(ROW(PLE.lastrow)-ROW(PLE.firstrow))),0,IF(OFFSET(PLE!$G$14,$M282,BA$13)="",10^12,OFFSET(PLE!$G$14,$M282,BA$13))))</f>
        <v>1000000000000</v>
      </c>
      <c r="BB282" s="182">
        <f ca="1">IF($D282&lt;&gt;"Serviço",0,IF(OR(AND(AUTOEVENTO="Manual",$M282=1),$M282&gt;(ROW(PLE.lastrow)-ROW(PLE.firstrow))),0,IF(OFFSET(PLE!$G$14,$M282,BB$13)="",10^12,OFFSET(PLE!$G$14,$M282,BB$13))))</f>
        <v>1000000000000</v>
      </c>
      <c r="BC282" s="182">
        <f ca="1">IF($D282&lt;&gt;"Serviço",0,IF(OR(AND(AUTOEVENTO="Manual",$M282=1),$M282&gt;(ROW(PLE.lastrow)-ROW(PLE.firstrow))),0,IF(OFFSET(PLE!$G$14,$M282,BC$13)="",10^12,OFFSET(PLE!$G$14,$M282,BC$13))))</f>
        <v>1000000000000</v>
      </c>
      <c r="BD282" s="182">
        <f ca="1">IF($D282&lt;&gt;"Serviço",0,IF(OR(AND(AUTOEVENTO="Manual",$M282=1),$M282&gt;(ROW(PLE.lastrow)-ROW(PLE.firstrow))),0,IF(OFFSET(PLE!$G$14,$M282,BD$13)="",10^12,OFFSET(PLE!$G$14,$M282,BD$13))))</f>
        <v>1000000000000</v>
      </c>
      <c r="BE282" s="182">
        <f ca="1">IF($D282&lt;&gt;"Serviço",0,IF(OR(AND(AUTOEVENTO="Manual",$M282=1),$M282&gt;(ROW(PLE.lastrow)-ROW(PLE.firstrow))),0,IF(OFFSET(PLE!$G$14,$M282,BE$13)="",10^12,OFFSET(PLE!$G$14,$M282,BE$13))))</f>
        <v>1000000000000</v>
      </c>
      <c r="BF282" s="182">
        <f ca="1">IF($D282&lt;&gt;"Serviço",0,IF(OR(AND(AUTOEVENTO="Manual",$M282=1),$M282&gt;(ROW(PLE.lastrow)-ROW(PLE.firstrow))),0,IF(OFFSET(PLE!$G$14,$M282,BF$13)="",10^12,OFFSET(PLE!$G$14,$M282,BF$13))))</f>
        <v>1000000000000</v>
      </c>
      <c r="BG282" s="182">
        <f ca="1">IF($D282&lt;&gt;"Serviço",0,IF(OR(AND(AUTOEVENTO="Manual",$M282=1),$M282&gt;(ROW(PLE.lastrow)-ROW(PLE.firstrow))),0,IF(OFFSET(PLE!$G$14,$M282,BG$13)="",10^12,OFFSET(PLE!$G$14,$M282,BG$13))))</f>
        <v>1000000000000</v>
      </c>
    </row>
    <row r="283" spans="1:59" ht="38.25" x14ac:dyDescent="0.2">
      <c r="A283" s="7" t="str">
        <f t="shared" ca="1" si="11"/>
        <v>251</v>
      </c>
      <c r="B283" s="7" t="str">
        <f ca="1">OFFSET(ORÇAMENTO!C$15,ROW(B283)-ROW(B$15),0)</f>
        <v>S</v>
      </c>
      <c r="C283" s="7" t="str">
        <f ca="1">OFFSET(ORÇAMENTO!L$15,ROW(C283)-ROW(C$15),0)</f>
        <v/>
      </c>
      <c r="D283" s="118" t="str">
        <f ca="1">OFFSET(ORÇAMENTO!N$15,ROW(D283)-ROW(D$15),0)</f>
        <v>Serviço</v>
      </c>
      <c r="E283" s="119" t="str">
        <f ca="1">OFFSET(ORÇAMENTO!O$15,ROW(E283)-ROW(E$15),0)</f>
        <v>-</v>
      </c>
      <c r="F283" s="172" t="str">
        <f ca="1">OFFSET(ORÇAMENTO!R$15,ROW(F283)-ROW(F$15),0)</f>
        <v>(abra o arquivo 'Referência 02-2025.xlsm)</v>
      </c>
      <c r="G283" s="173" t="str">
        <f ca="1">IF($D283&lt;&gt;"Serviço","",OFFSET(ORÇAMENTO!S$15,ROW(G283)-ROW(G$15),0))</f>
        <v>-</v>
      </c>
      <c r="H283" s="124">
        <f ca="1">IF($D283&lt;&gt;"Serviço",0,IF(ACOMPANHAMENTO="BM",ROUND(OFFSET(ORÇAMENTO!AJ$15,ROW(H283)-ROW(H$15),0),15-13*ORÇAMENTO!$AF$7),SUMPRODUCT(($Q$12:$AA$12&lt;&gt;"")*ROUND($Q283:$AA283,15-13*ORÇAMENTO!$AF$7))))</f>
        <v>216</v>
      </c>
      <c r="I283" s="561" t="s">
        <v>890</v>
      </c>
      <c r="K283" s="174"/>
      <c r="L283" s="175" t="s">
        <v>255</v>
      </c>
      <c r="M283" s="176">
        <f ca="1">IF($D283&lt;&gt;"Serviço","",IF(AUTOEVENTO="manual",$A283,IF(ISERROR(MATCH($A283,$A$15:OFFSET($A283,-1,0),0)),MAX($M$15:OFFSET(M283,-1,0))+1,INDEX($M$15:OFFSET(M283,-1,0),MATCH($A283,$A$15:OFFSET($A283,-1,0),0)))))</f>
        <v>13</v>
      </c>
      <c r="N283" s="177" t="str">
        <f ca="1">IF($D283&lt;&gt;"Serviço","",IF(AUTOEVENTO="Manual",IF($A283=0,"&lt;-- defina o número do agrupador",OFFSET(EVENTOS!$D$14,$A283,0)),OFFSET($F$15,$A283,0)))</f>
        <v>INSTALAÇÃO HIDRÁULICA</v>
      </c>
      <c r="O283" s="178"/>
      <c r="Q283" s="178"/>
      <c r="R283" s="179"/>
      <c r="S283" s="179"/>
      <c r="T283" s="179"/>
      <c r="U283" s="179"/>
      <c r="V283" s="179"/>
      <c r="W283" s="179"/>
      <c r="X283" s="179"/>
      <c r="Y283" s="179"/>
      <c r="Z283" s="180"/>
      <c r="AB283" s="544">
        <f ca="1">IF(AND($D283="Serviço",AB$12&lt;&gt;0,$H283&gt;0,OR(AUTOEVENTO&lt;&gt;"manual",$M283&lt;&gt;1)),
IF(Import.TipoArredondamento&lt;&gt;"TransfereGOV",
ROUND(OFFSET($P283,0,AB$13),15-13*ORÇAMENTO!$AF$7)/$H283*OFFSET(ORÇAMENTO!$X$15,ROW(AB283)-ROW(AB$15),0),
ROUND(ROUND(OFFSET($P283,0,AB$13),15-13*ORÇAMENTO!$AF$7)*OFFSET(ORÇAMENTO!$W$15,ROW(AB283)-ROW(AB$15),0),15-13*ORÇAMENTO!$AF$11)),0)</f>
        <v>0</v>
      </c>
      <c r="AC283" s="545">
        <f ca="1">IF(AND($D283="Serviço",AC$12&lt;&gt;0,$H283&gt;0,OR(AUTOEVENTO&lt;&gt;"manual",$M283&lt;&gt;1)),
IF(Import.TipoArredondamento&lt;&gt;"TransfereGOV",
ROUND(OFFSET($P283,0,AC$13),15-13*ORÇAMENTO!$AF$7)/$H283*OFFSET(ORÇAMENTO!$X$15,ROW(AC283)-ROW(AC$15),0),
ROUND(ROUND(OFFSET($P283,0,AC$13),15-13*ORÇAMENTO!$AF$7)*OFFSET(ORÇAMENTO!$W$15,ROW(AC283)-ROW(AC$15),0),15-13*ORÇAMENTO!$AF$11)),0)</f>
        <v>0</v>
      </c>
      <c r="AD283" s="545">
        <f ca="1">IF(AND($D283="Serviço",AD$12&lt;&gt;0,$H283&gt;0,OR(AUTOEVENTO&lt;&gt;"manual",$M283&lt;&gt;1)),
IF(Import.TipoArredondamento&lt;&gt;"TransfereGOV",
ROUND(OFFSET($P283,0,AD$13),15-13*ORÇAMENTO!$AF$7)/$H283*OFFSET(ORÇAMENTO!$X$15,ROW(AD283)-ROW(AD$15),0),
ROUND(ROUND(OFFSET($P283,0,AD$13),15-13*ORÇAMENTO!$AF$7)*OFFSET(ORÇAMENTO!$W$15,ROW(AD283)-ROW(AD$15),0),15-13*ORÇAMENTO!$AF$11)),0)</f>
        <v>0</v>
      </c>
      <c r="AE283" s="545">
        <f ca="1">IF(AND($D283="Serviço",AE$12&lt;&gt;0,$H283&gt;0,OR(AUTOEVENTO&lt;&gt;"manual",$M283&lt;&gt;1)),
IF(Import.TipoArredondamento&lt;&gt;"TransfereGOV",
ROUND(OFFSET($P283,0,AE$13),15-13*ORÇAMENTO!$AF$7)/$H283*OFFSET(ORÇAMENTO!$X$15,ROW(AE283)-ROW(AE$15),0),
ROUND(ROUND(OFFSET($P283,0,AE$13),15-13*ORÇAMENTO!$AF$7)*OFFSET(ORÇAMENTO!$W$15,ROW(AE283)-ROW(AE$15),0),15-13*ORÇAMENTO!$AF$11)),0)</f>
        <v>0</v>
      </c>
      <c r="AF283" s="545">
        <f ca="1">IF(AND($D283="Serviço",AF$12&lt;&gt;0,$H283&gt;0,OR(AUTOEVENTO&lt;&gt;"manual",$M283&lt;&gt;1)),
IF(Import.TipoArredondamento&lt;&gt;"TransfereGOV",
ROUND(OFFSET($P283,0,AF$13),15-13*ORÇAMENTO!$AF$7)/$H283*OFFSET(ORÇAMENTO!$X$15,ROW(AF283)-ROW(AF$15),0),
ROUND(ROUND(OFFSET($P283,0,AF$13),15-13*ORÇAMENTO!$AF$7)*OFFSET(ORÇAMENTO!$W$15,ROW(AF283)-ROW(AF$15),0),15-13*ORÇAMENTO!$AF$11)),0)</f>
        <v>0</v>
      </c>
      <c r="AG283" s="545">
        <f ca="1">IF(AND($D283="Serviço",AG$12&lt;&gt;0,$H283&gt;0,OR(AUTOEVENTO&lt;&gt;"manual",$M283&lt;&gt;1)),
IF(Import.TipoArredondamento&lt;&gt;"TransfereGOV",
ROUND(OFFSET($P283,0,AG$13),15-13*ORÇAMENTO!$AF$7)/$H283*OFFSET(ORÇAMENTO!$X$15,ROW(AG283)-ROW(AG$15),0),
ROUND(ROUND(OFFSET($P283,0,AG$13),15-13*ORÇAMENTO!$AF$7)*OFFSET(ORÇAMENTO!$W$15,ROW(AG283)-ROW(AG$15),0),15-13*ORÇAMENTO!$AF$11)),0)</f>
        <v>0</v>
      </c>
      <c r="AH283" s="545">
        <f ca="1">IF(AND($D283="Serviço",AH$12&lt;&gt;0,$H283&gt;0,OR(AUTOEVENTO&lt;&gt;"manual",$M283&lt;&gt;1)),
IF(Import.TipoArredondamento&lt;&gt;"TransfereGOV",
ROUND(OFFSET($P283,0,AH$13),15-13*ORÇAMENTO!$AF$7)/$H283*OFFSET(ORÇAMENTO!$X$15,ROW(AH283)-ROW(AH$15),0),
ROUND(ROUND(OFFSET($P283,0,AH$13),15-13*ORÇAMENTO!$AF$7)*OFFSET(ORÇAMENTO!$W$15,ROW(AH283)-ROW(AH$15),0),15-13*ORÇAMENTO!$AF$11)),0)</f>
        <v>0</v>
      </c>
      <c r="AI283" s="545">
        <f ca="1">IF(AND($D283="Serviço",AI$12&lt;&gt;0,$H283&gt;0,OR(AUTOEVENTO&lt;&gt;"manual",$M283&lt;&gt;1)),
IF(Import.TipoArredondamento&lt;&gt;"TransfereGOV",
ROUND(OFFSET($P283,0,AI$13),15-13*ORÇAMENTO!$AF$7)/$H283*OFFSET(ORÇAMENTO!$X$15,ROW(AI283)-ROW(AI$15),0),
ROUND(ROUND(OFFSET($P283,0,AI$13),15-13*ORÇAMENTO!$AF$7)*OFFSET(ORÇAMENTO!$W$15,ROW(AI283)-ROW(AI$15),0),15-13*ORÇAMENTO!$AF$11)),0)</f>
        <v>0</v>
      </c>
      <c r="AJ283" s="545">
        <f ca="1">IF(AND($D283="Serviço",AJ$12&lt;&gt;0,$H283&gt;0,OR(AUTOEVENTO&lt;&gt;"manual",$M283&lt;&gt;1)),
IF(Import.TipoArredondamento&lt;&gt;"TransfereGOV",
ROUND(OFFSET($P283,0,AJ$13),15-13*ORÇAMENTO!$AF$7)/$H283*OFFSET(ORÇAMENTO!$X$15,ROW(AJ283)-ROW(AJ$15),0),
ROUND(ROUND(OFFSET($P283,0,AJ$13),15-13*ORÇAMENTO!$AF$7)*OFFSET(ORÇAMENTO!$W$15,ROW(AJ283)-ROW(AJ$15),0),15-13*ORÇAMENTO!$AF$11)),0)</f>
        <v>0</v>
      </c>
      <c r="AK283" s="546">
        <f ca="1">IF(AND($D283="Serviço",AK$12&lt;&gt;0,$H283&gt;0,OR(AUTOEVENTO&lt;&gt;"manual",$M283&lt;&gt;1)),
IF(Import.TipoArredondamento&lt;&gt;"TransfereGOV",
ROUND(OFFSET($P283,0,AK$13),15-13*ORÇAMENTO!$AF$7)/$H283*OFFSET(ORÇAMENTO!$X$15,ROW(AK283)-ROW(AK$15),0),
ROUND(ROUND(OFFSET($P283,0,AK$13),15-13*ORÇAMENTO!$AF$7)*OFFSET(ORÇAMENTO!$W$15,ROW(AK283)-ROW(AK$15),0),15-13*ORÇAMENTO!$AF$11)),0)</f>
        <v>0</v>
      </c>
      <c r="AM283" s="181">
        <f ca="1">IF($D283&lt;&gt;"Serviço",0,IF(AND(AUTOEVENTO="Manual",$M283=1),0,IF(OFFSET(CRONOPLE!$F$14,$M283,AM$13)="",10^12,OFFSET(CRONOPLE!$F$14,$M283,AM$13))))</f>
        <v>1000000000000</v>
      </c>
      <c r="AN283" s="181">
        <f ca="1">IF($D283&lt;&gt;"Serviço",0,IF(AND(AUTOEVENTO="Manual",$M283=1),0,IF(OFFSET(CRONOPLE!$F$14,$M283,AN$13)="",10^12,OFFSET(CRONOPLE!$F$14,$M283,AN$13))))</f>
        <v>1000000000000</v>
      </c>
      <c r="AO283" s="181">
        <f ca="1">IF($D283&lt;&gt;"Serviço",0,IF(AND(AUTOEVENTO="Manual",$M283=1),0,IF(OFFSET(CRONOPLE!$F$14,$M283,AO$13)="",10^12,OFFSET(CRONOPLE!$F$14,$M283,AO$13))))</f>
        <v>1000000000000</v>
      </c>
      <c r="AP283" s="181">
        <f ca="1">IF($D283&lt;&gt;"Serviço",0,IF(AND(AUTOEVENTO="Manual",$M283=1),0,IF(OFFSET(CRONOPLE!$F$14,$M283,AP$13)="",10^12,OFFSET(CRONOPLE!$F$14,$M283,AP$13))))</f>
        <v>1000000000000</v>
      </c>
      <c r="AQ283" s="181">
        <f ca="1">IF($D283&lt;&gt;"Serviço",0,IF(AND(AUTOEVENTO="Manual",$M283=1),0,IF(OFFSET(CRONOPLE!$F$14,$M283,AQ$13)="",10^12,OFFSET(CRONOPLE!$F$14,$M283,AQ$13))))</f>
        <v>1000000000000</v>
      </c>
      <c r="AR283" s="181">
        <f ca="1">IF($D283&lt;&gt;"Serviço",0,IF(AND(AUTOEVENTO="Manual",$M283=1),0,IF(OFFSET(CRONOPLE!$F$14,$M283,AR$13)="",10^12,OFFSET(CRONOPLE!$F$14,$M283,AR$13))))</f>
        <v>1000000000000</v>
      </c>
      <c r="AS283" s="181">
        <f ca="1">IF($D283&lt;&gt;"Serviço",0,IF(AND(AUTOEVENTO="Manual",$M283=1),0,IF(OFFSET(CRONOPLE!$F$14,$M283,AS$13)="",10^12,OFFSET(CRONOPLE!$F$14,$M283,AS$13))))</f>
        <v>1000000000000</v>
      </c>
      <c r="AT283" s="181">
        <f ca="1">IF($D283&lt;&gt;"Serviço",0,IF(AND(AUTOEVENTO="Manual",$M283=1),0,IF(OFFSET(CRONOPLE!$F$14,$M283,AT$13)="",10^12,OFFSET(CRONOPLE!$F$14,$M283,AT$13))))</f>
        <v>1000000000000</v>
      </c>
      <c r="AU283" s="181">
        <f ca="1">IF($D283&lt;&gt;"Serviço",0,IF(AND(AUTOEVENTO="Manual",$M283=1),0,IF(OFFSET(CRONOPLE!$F$14,$M283,AU$13)="",10^12,OFFSET(CRONOPLE!$F$14,$M283,AU$13))))</f>
        <v>1000000000000</v>
      </c>
      <c r="AV283" s="181">
        <f ca="1">IF($D283&lt;&gt;"Serviço",0,IF(AND(AUTOEVENTO="Manual",$M283=1),0,IF(OFFSET(CRONOPLE!$F$14,$M283,AV$13)="",10^12,OFFSET(CRONOPLE!$F$14,$M283,AV$13))))</f>
        <v>1000000000000</v>
      </c>
      <c r="AX283" s="182">
        <f ca="1">IF($D283&lt;&gt;"Serviço",0,IF(OR(AND(AUTOEVENTO="Manual",$M283=1),$M283&gt;(ROW(PLE.lastrow)-ROW(PLE.firstrow))),0,IF(OFFSET(PLE!$G$14,$M283,AX$13)="",10^12,OFFSET(PLE!$G$14,$M283,AX$13))))</f>
        <v>1000000000000</v>
      </c>
      <c r="AY283" s="182">
        <f ca="1">IF($D283&lt;&gt;"Serviço",0,IF(OR(AND(AUTOEVENTO="Manual",$M283=1),$M283&gt;(ROW(PLE.lastrow)-ROW(PLE.firstrow))),0,IF(OFFSET(PLE!$G$14,$M283,AY$13)="",10^12,OFFSET(PLE!$G$14,$M283,AY$13))))</f>
        <v>1000000000000</v>
      </c>
      <c r="AZ283" s="182">
        <f ca="1">IF($D283&lt;&gt;"Serviço",0,IF(OR(AND(AUTOEVENTO="Manual",$M283=1),$M283&gt;(ROW(PLE.lastrow)-ROW(PLE.firstrow))),0,IF(OFFSET(PLE!$G$14,$M283,AZ$13)="",10^12,OFFSET(PLE!$G$14,$M283,AZ$13))))</f>
        <v>1000000000000</v>
      </c>
      <c r="BA283" s="182">
        <f ca="1">IF($D283&lt;&gt;"Serviço",0,IF(OR(AND(AUTOEVENTO="Manual",$M283=1),$M283&gt;(ROW(PLE.lastrow)-ROW(PLE.firstrow))),0,IF(OFFSET(PLE!$G$14,$M283,BA$13)="",10^12,OFFSET(PLE!$G$14,$M283,BA$13))))</f>
        <v>1000000000000</v>
      </c>
      <c r="BB283" s="182">
        <f ca="1">IF($D283&lt;&gt;"Serviço",0,IF(OR(AND(AUTOEVENTO="Manual",$M283=1),$M283&gt;(ROW(PLE.lastrow)-ROW(PLE.firstrow))),0,IF(OFFSET(PLE!$G$14,$M283,BB$13)="",10^12,OFFSET(PLE!$G$14,$M283,BB$13))))</f>
        <v>1000000000000</v>
      </c>
      <c r="BC283" s="182">
        <f ca="1">IF($D283&lt;&gt;"Serviço",0,IF(OR(AND(AUTOEVENTO="Manual",$M283=1),$M283&gt;(ROW(PLE.lastrow)-ROW(PLE.firstrow))),0,IF(OFFSET(PLE!$G$14,$M283,BC$13)="",10^12,OFFSET(PLE!$G$14,$M283,BC$13))))</f>
        <v>1000000000000</v>
      </c>
      <c r="BD283" s="182">
        <f ca="1">IF($D283&lt;&gt;"Serviço",0,IF(OR(AND(AUTOEVENTO="Manual",$M283=1),$M283&gt;(ROW(PLE.lastrow)-ROW(PLE.firstrow))),0,IF(OFFSET(PLE!$G$14,$M283,BD$13)="",10^12,OFFSET(PLE!$G$14,$M283,BD$13))))</f>
        <v>1000000000000</v>
      </c>
      <c r="BE283" s="182">
        <f ca="1">IF($D283&lt;&gt;"Serviço",0,IF(OR(AND(AUTOEVENTO="Manual",$M283=1),$M283&gt;(ROW(PLE.lastrow)-ROW(PLE.firstrow))),0,IF(OFFSET(PLE!$G$14,$M283,BE$13)="",10^12,OFFSET(PLE!$G$14,$M283,BE$13))))</f>
        <v>1000000000000</v>
      </c>
      <c r="BF283" s="182">
        <f ca="1">IF($D283&lt;&gt;"Serviço",0,IF(OR(AND(AUTOEVENTO="Manual",$M283=1),$M283&gt;(ROW(PLE.lastrow)-ROW(PLE.firstrow))),0,IF(OFFSET(PLE!$G$14,$M283,BF$13)="",10^12,OFFSET(PLE!$G$14,$M283,BF$13))))</f>
        <v>1000000000000</v>
      </c>
      <c r="BG283" s="182">
        <f ca="1">IF($D283&lt;&gt;"Serviço",0,IF(OR(AND(AUTOEVENTO="Manual",$M283=1),$M283&gt;(ROW(PLE.lastrow)-ROW(PLE.firstrow))),0,IF(OFFSET(PLE!$G$14,$M283,BG$13)="",10^12,OFFSET(PLE!$G$14,$M283,BG$13))))</f>
        <v>1000000000000</v>
      </c>
    </row>
    <row r="284" spans="1:59" ht="38.25" x14ac:dyDescent="0.2">
      <c r="A284" s="7" t="str">
        <f t="shared" ca="1" si="11"/>
        <v>251</v>
      </c>
      <c r="B284" s="7" t="str">
        <f ca="1">OFFSET(ORÇAMENTO!C$15,ROW(B284)-ROW(B$15),0)</f>
        <v>S</v>
      </c>
      <c r="C284" s="7" t="str">
        <f ca="1">OFFSET(ORÇAMENTO!L$15,ROW(C284)-ROW(C$15),0)</f>
        <v/>
      </c>
      <c r="D284" s="118" t="str">
        <f ca="1">OFFSET(ORÇAMENTO!N$15,ROW(D284)-ROW(D$15),0)</f>
        <v>Serviço</v>
      </c>
      <c r="E284" s="119" t="str">
        <f ca="1">OFFSET(ORÇAMENTO!O$15,ROW(E284)-ROW(E$15),0)</f>
        <v>-</v>
      </c>
      <c r="F284" s="172" t="str">
        <f ca="1">OFFSET(ORÇAMENTO!R$15,ROW(F284)-ROW(F$15),0)</f>
        <v>(abra o arquivo 'Referência 02-2025.xlsm)</v>
      </c>
      <c r="G284" s="173" t="str">
        <f ca="1">IF($D284&lt;&gt;"Serviço","",OFFSET(ORÇAMENTO!S$15,ROW(G284)-ROW(G$15),0))</f>
        <v>-</v>
      </c>
      <c r="H284" s="124">
        <f ca="1">IF($D284&lt;&gt;"Serviço",0,IF(ACOMPANHAMENTO="BM",ROUND(OFFSET(ORÇAMENTO!AJ$15,ROW(H284)-ROW(H$15),0),15-13*ORÇAMENTO!$AF$7),SUMPRODUCT(($Q$12:$AA$12&lt;&gt;"")*ROUND($Q284:$AA284,15-13*ORÇAMENTO!$AF$7))))</f>
        <v>2</v>
      </c>
      <c r="I284" s="561" t="s">
        <v>890</v>
      </c>
      <c r="K284" s="174"/>
      <c r="L284" s="175" t="s">
        <v>255</v>
      </c>
      <c r="M284" s="176">
        <f ca="1">IF($D284&lt;&gt;"Serviço","",IF(AUTOEVENTO="manual",$A284,IF(ISERROR(MATCH($A284,$A$15:OFFSET($A284,-1,0),0)),MAX($M$15:OFFSET(M284,-1,0))+1,INDEX($M$15:OFFSET(M284,-1,0),MATCH($A284,$A$15:OFFSET($A284,-1,0),0)))))</f>
        <v>13</v>
      </c>
      <c r="N284" s="177" t="str">
        <f ca="1">IF($D284&lt;&gt;"Serviço","",IF(AUTOEVENTO="Manual",IF($A284=0,"&lt;-- defina o número do agrupador",OFFSET(EVENTOS!$D$14,$A284,0)),OFFSET($F$15,$A284,0)))</f>
        <v>INSTALAÇÃO HIDRÁULICA</v>
      </c>
      <c r="O284" s="178"/>
      <c r="Q284" s="178"/>
      <c r="R284" s="179"/>
      <c r="S284" s="179"/>
      <c r="T284" s="179"/>
      <c r="U284" s="179"/>
      <c r="V284" s="179"/>
      <c r="W284" s="179"/>
      <c r="X284" s="179"/>
      <c r="Y284" s="179"/>
      <c r="Z284" s="180"/>
      <c r="AB284" s="544">
        <f ca="1">IF(AND($D284="Serviço",AB$12&lt;&gt;0,$H284&gt;0,OR(AUTOEVENTO&lt;&gt;"manual",$M284&lt;&gt;1)),
IF(Import.TipoArredondamento&lt;&gt;"TransfereGOV",
ROUND(OFFSET($P284,0,AB$13),15-13*ORÇAMENTO!$AF$7)/$H284*OFFSET(ORÇAMENTO!$X$15,ROW(AB284)-ROW(AB$15),0),
ROUND(ROUND(OFFSET($P284,0,AB$13),15-13*ORÇAMENTO!$AF$7)*OFFSET(ORÇAMENTO!$W$15,ROW(AB284)-ROW(AB$15),0),15-13*ORÇAMENTO!$AF$11)),0)</f>
        <v>0</v>
      </c>
      <c r="AC284" s="545">
        <f ca="1">IF(AND($D284="Serviço",AC$12&lt;&gt;0,$H284&gt;0,OR(AUTOEVENTO&lt;&gt;"manual",$M284&lt;&gt;1)),
IF(Import.TipoArredondamento&lt;&gt;"TransfereGOV",
ROUND(OFFSET($P284,0,AC$13),15-13*ORÇAMENTO!$AF$7)/$H284*OFFSET(ORÇAMENTO!$X$15,ROW(AC284)-ROW(AC$15),0),
ROUND(ROUND(OFFSET($P284,0,AC$13),15-13*ORÇAMENTO!$AF$7)*OFFSET(ORÇAMENTO!$W$15,ROW(AC284)-ROW(AC$15),0),15-13*ORÇAMENTO!$AF$11)),0)</f>
        <v>0</v>
      </c>
      <c r="AD284" s="545">
        <f ca="1">IF(AND($D284="Serviço",AD$12&lt;&gt;0,$H284&gt;0,OR(AUTOEVENTO&lt;&gt;"manual",$M284&lt;&gt;1)),
IF(Import.TipoArredondamento&lt;&gt;"TransfereGOV",
ROUND(OFFSET($P284,0,AD$13),15-13*ORÇAMENTO!$AF$7)/$H284*OFFSET(ORÇAMENTO!$X$15,ROW(AD284)-ROW(AD$15),0),
ROUND(ROUND(OFFSET($P284,0,AD$13),15-13*ORÇAMENTO!$AF$7)*OFFSET(ORÇAMENTO!$W$15,ROW(AD284)-ROW(AD$15),0),15-13*ORÇAMENTO!$AF$11)),0)</f>
        <v>0</v>
      </c>
      <c r="AE284" s="545">
        <f ca="1">IF(AND($D284="Serviço",AE$12&lt;&gt;0,$H284&gt;0,OR(AUTOEVENTO&lt;&gt;"manual",$M284&lt;&gt;1)),
IF(Import.TipoArredondamento&lt;&gt;"TransfereGOV",
ROUND(OFFSET($P284,0,AE$13),15-13*ORÇAMENTO!$AF$7)/$H284*OFFSET(ORÇAMENTO!$X$15,ROW(AE284)-ROW(AE$15),0),
ROUND(ROUND(OFFSET($P284,0,AE$13),15-13*ORÇAMENTO!$AF$7)*OFFSET(ORÇAMENTO!$W$15,ROW(AE284)-ROW(AE$15),0),15-13*ORÇAMENTO!$AF$11)),0)</f>
        <v>0</v>
      </c>
      <c r="AF284" s="545">
        <f ca="1">IF(AND($D284="Serviço",AF$12&lt;&gt;0,$H284&gt;0,OR(AUTOEVENTO&lt;&gt;"manual",$M284&lt;&gt;1)),
IF(Import.TipoArredondamento&lt;&gt;"TransfereGOV",
ROUND(OFFSET($P284,0,AF$13),15-13*ORÇAMENTO!$AF$7)/$H284*OFFSET(ORÇAMENTO!$X$15,ROW(AF284)-ROW(AF$15),0),
ROUND(ROUND(OFFSET($P284,0,AF$13),15-13*ORÇAMENTO!$AF$7)*OFFSET(ORÇAMENTO!$W$15,ROW(AF284)-ROW(AF$15),0),15-13*ORÇAMENTO!$AF$11)),0)</f>
        <v>0</v>
      </c>
      <c r="AG284" s="545">
        <f ca="1">IF(AND($D284="Serviço",AG$12&lt;&gt;0,$H284&gt;0,OR(AUTOEVENTO&lt;&gt;"manual",$M284&lt;&gt;1)),
IF(Import.TipoArredondamento&lt;&gt;"TransfereGOV",
ROUND(OFFSET($P284,0,AG$13),15-13*ORÇAMENTO!$AF$7)/$H284*OFFSET(ORÇAMENTO!$X$15,ROW(AG284)-ROW(AG$15),0),
ROUND(ROUND(OFFSET($P284,0,AG$13),15-13*ORÇAMENTO!$AF$7)*OFFSET(ORÇAMENTO!$W$15,ROW(AG284)-ROW(AG$15),0),15-13*ORÇAMENTO!$AF$11)),0)</f>
        <v>0</v>
      </c>
      <c r="AH284" s="545">
        <f ca="1">IF(AND($D284="Serviço",AH$12&lt;&gt;0,$H284&gt;0,OR(AUTOEVENTO&lt;&gt;"manual",$M284&lt;&gt;1)),
IF(Import.TipoArredondamento&lt;&gt;"TransfereGOV",
ROUND(OFFSET($P284,0,AH$13),15-13*ORÇAMENTO!$AF$7)/$H284*OFFSET(ORÇAMENTO!$X$15,ROW(AH284)-ROW(AH$15),0),
ROUND(ROUND(OFFSET($P284,0,AH$13),15-13*ORÇAMENTO!$AF$7)*OFFSET(ORÇAMENTO!$W$15,ROW(AH284)-ROW(AH$15),0),15-13*ORÇAMENTO!$AF$11)),0)</f>
        <v>0</v>
      </c>
      <c r="AI284" s="545">
        <f ca="1">IF(AND($D284="Serviço",AI$12&lt;&gt;0,$H284&gt;0,OR(AUTOEVENTO&lt;&gt;"manual",$M284&lt;&gt;1)),
IF(Import.TipoArredondamento&lt;&gt;"TransfereGOV",
ROUND(OFFSET($P284,0,AI$13),15-13*ORÇAMENTO!$AF$7)/$H284*OFFSET(ORÇAMENTO!$X$15,ROW(AI284)-ROW(AI$15),0),
ROUND(ROUND(OFFSET($P284,0,AI$13),15-13*ORÇAMENTO!$AF$7)*OFFSET(ORÇAMENTO!$W$15,ROW(AI284)-ROW(AI$15),0),15-13*ORÇAMENTO!$AF$11)),0)</f>
        <v>0</v>
      </c>
      <c r="AJ284" s="545">
        <f ca="1">IF(AND($D284="Serviço",AJ$12&lt;&gt;0,$H284&gt;0,OR(AUTOEVENTO&lt;&gt;"manual",$M284&lt;&gt;1)),
IF(Import.TipoArredondamento&lt;&gt;"TransfereGOV",
ROUND(OFFSET($P284,0,AJ$13),15-13*ORÇAMENTO!$AF$7)/$H284*OFFSET(ORÇAMENTO!$X$15,ROW(AJ284)-ROW(AJ$15),0),
ROUND(ROUND(OFFSET($P284,0,AJ$13),15-13*ORÇAMENTO!$AF$7)*OFFSET(ORÇAMENTO!$W$15,ROW(AJ284)-ROW(AJ$15),0),15-13*ORÇAMENTO!$AF$11)),0)</f>
        <v>0</v>
      </c>
      <c r="AK284" s="546">
        <f ca="1">IF(AND($D284="Serviço",AK$12&lt;&gt;0,$H284&gt;0,OR(AUTOEVENTO&lt;&gt;"manual",$M284&lt;&gt;1)),
IF(Import.TipoArredondamento&lt;&gt;"TransfereGOV",
ROUND(OFFSET($P284,0,AK$13),15-13*ORÇAMENTO!$AF$7)/$H284*OFFSET(ORÇAMENTO!$X$15,ROW(AK284)-ROW(AK$15),0),
ROUND(ROUND(OFFSET($P284,0,AK$13),15-13*ORÇAMENTO!$AF$7)*OFFSET(ORÇAMENTO!$W$15,ROW(AK284)-ROW(AK$15),0),15-13*ORÇAMENTO!$AF$11)),0)</f>
        <v>0</v>
      </c>
      <c r="AM284" s="181">
        <f ca="1">IF($D284&lt;&gt;"Serviço",0,IF(AND(AUTOEVENTO="Manual",$M284=1),0,IF(OFFSET(CRONOPLE!$F$14,$M284,AM$13)="",10^12,OFFSET(CRONOPLE!$F$14,$M284,AM$13))))</f>
        <v>1000000000000</v>
      </c>
      <c r="AN284" s="181">
        <f ca="1">IF($D284&lt;&gt;"Serviço",0,IF(AND(AUTOEVENTO="Manual",$M284=1),0,IF(OFFSET(CRONOPLE!$F$14,$M284,AN$13)="",10^12,OFFSET(CRONOPLE!$F$14,$M284,AN$13))))</f>
        <v>1000000000000</v>
      </c>
      <c r="AO284" s="181">
        <f ca="1">IF($D284&lt;&gt;"Serviço",0,IF(AND(AUTOEVENTO="Manual",$M284=1),0,IF(OFFSET(CRONOPLE!$F$14,$M284,AO$13)="",10^12,OFFSET(CRONOPLE!$F$14,$M284,AO$13))))</f>
        <v>1000000000000</v>
      </c>
      <c r="AP284" s="181">
        <f ca="1">IF($D284&lt;&gt;"Serviço",0,IF(AND(AUTOEVENTO="Manual",$M284=1),0,IF(OFFSET(CRONOPLE!$F$14,$M284,AP$13)="",10^12,OFFSET(CRONOPLE!$F$14,$M284,AP$13))))</f>
        <v>1000000000000</v>
      </c>
      <c r="AQ284" s="181">
        <f ca="1">IF($D284&lt;&gt;"Serviço",0,IF(AND(AUTOEVENTO="Manual",$M284=1),0,IF(OFFSET(CRONOPLE!$F$14,$M284,AQ$13)="",10^12,OFFSET(CRONOPLE!$F$14,$M284,AQ$13))))</f>
        <v>1000000000000</v>
      </c>
      <c r="AR284" s="181">
        <f ca="1">IF($D284&lt;&gt;"Serviço",0,IF(AND(AUTOEVENTO="Manual",$M284=1),0,IF(OFFSET(CRONOPLE!$F$14,$M284,AR$13)="",10^12,OFFSET(CRONOPLE!$F$14,$M284,AR$13))))</f>
        <v>1000000000000</v>
      </c>
      <c r="AS284" s="181">
        <f ca="1">IF($D284&lt;&gt;"Serviço",0,IF(AND(AUTOEVENTO="Manual",$M284=1),0,IF(OFFSET(CRONOPLE!$F$14,$M284,AS$13)="",10^12,OFFSET(CRONOPLE!$F$14,$M284,AS$13))))</f>
        <v>1000000000000</v>
      </c>
      <c r="AT284" s="181">
        <f ca="1">IF($D284&lt;&gt;"Serviço",0,IF(AND(AUTOEVENTO="Manual",$M284=1),0,IF(OFFSET(CRONOPLE!$F$14,$M284,AT$13)="",10^12,OFFSET(CRONOPLE!$F$14,$M284,AT$13))))</f>
        <v>1000000000000</v>
      </c>
      <c r="AU284" s="181">
        <f ca="1">IF($D284&lt;&gt;"Serviço",0,IF(AND(AUTOEVENTO="Manual",$M284=1),0,IF(OFFSET(CRONOPLE!$F$14,$M284,AU$13)="",10^12,OFFSET(CRONOPLE!$F$14,$M284,AU$13))))</f>
        <v>1000000000000</v>
      </c>
      <c r="AV284" s="181">
        <f ca="1">IF($D284&lt;&gt;"Serviço",0,IF(AND(AUTOEVENTO="Manual",$M284=1),0,IF(OFFSET(CRONOPLE!$F$14,$M284,AV$13)="",10^12,OFFSET(CRONOPLE!$F$14,$M284,AV$13))))</f>
        <v>1000000000000</v>
      </c>
      <c r="AX284" s="182">
        <f ca="1">IF($D284&lt;&gt;"Serviço",0,IF(OR(AND(AUTOEVENTO="Manual",$M284=1),$M284&gt;(ROW(PLE.lastrow)-ROW(PLE.firstrow))),0,IF(OFFSET(PLE!$G$14,$M284,AX$13)="",10^12,OFFSET(PLE!$G$14,$M284,AX$13))))</f>
        <v>1000000000000</v>
      </c>
      <c r="AY284" s="182">
        <f ca="1">IF($D284&lt;&gt;"Serviço",0,IF(OR(AND(AUTOEVENTO="Manual",$M284=1),$M284&gt;(ROW(PLE.lastrow)-ROW(PLE.firstrow))),0,IF(OFFSET(PLE!$G$14,$M284,AY$13)="",10^12,OFFSET(PLE!$G$14,$M284,AY$13))))</f>
        <v>1000000000000</v>
      </c>
      <c r="AZ284" s="182">
        <f ca="1">IF($D284&lt;&gt;"Serviço",0,IF(OR(AND(AUTOEVENTO="Manual",$M284=1),$M284&gt;(ROW(PLE.lastrow)-ROW(PLE.firstrow))),0,IF(OFFSET(PLE!$G$14,$M284,AZ$13)="",10^12,OFFSET(PLE!$G$14,$M284,AZ$13))))</f>
        <v>1000000000000</v>
      </c>
      <c r="BA284" s="182">
        <f ca="1">IF($D284&lt;&gt;"Serviço",0,IF(OR(AND(AUTOEVENTO="Manual",$M284=1),$M284&gt;(ROW(PLE.lastrow)-ROW(PLE.firstrow))),0,IF(OFFSET(PLE!$G$14,$M284,BA$13)="",10^12,OFFSET(PLE!$G$14,$M284,BA$13))))</f>
        <v>1000000000000</v>
      </c>
      <c r="BB284" s="182">
        <f ca="1">IF($D284&lt;&gt;"Serviço",0,IF(OR(AND(AUTOEVENTO="Manual",$M284=1),$M284&gt;(ROW(PLE.lastrow)-ROW(PLE.firstrow))),0,IF(OFFSET(PLE!$G$14,$M284,BB$13)="",10^12,OFFSET(PLE!$G$14,$M284,BB$13))))</f>
        <v>1000000000000</v>
      </c>
      <c r="BC284" s="182">
        <f ca="1">IF($D284&lt;&gt;"Serviço",0,IF(OR(AND(AUTOEVENTO="Manual",$M284=1),$M284&gt;(ROW(PLE.lastrow)-ROW(PLE.firstrow))),0,IF(OFFSET(PLE!$G$14,$M284,BC$13)="",10^12,OFFSET(PLE!$G$14,$M284,BC$13))))</f>
        <v>1000000000000</v>
      </c>
      <c r="BD284" s="182">
        <f ca="1">IF($D284&lt;&gt;"Serviço",0,IF(OR(AND(AUTOEVENTO="Manual",$M284=1),$M284&gt;(ROW(PLE.lastrow)-ROW(PLE.firstrow))),0,IF(OFFSET(PLE!$G$14,$M284,BD$13)="",10^12,OFFSET(PLE!$G$14,$M284,BD$13))))</f>
        <v>1000000000000</v>
      </c>
      <c r="BE284" s="182">
        <f ca="1">IF($D284&lt;&gt;"Serviço",0,IF(OR(AND(AUTOEVENTO="Manual",$M284=1),$M284&gt;(ROW(PLE.lastrow)-ROW(PLE.firstrow))),0,IF(OFFSET(PLE!$G$14,$M284,BE$13)="",10^12,OFFSET(PLE!$G$14,$M284,BE$13))))</f>
        <v>1000000000000</v>
      </c>
      <c r="BF284" s="182">
        <f ca="1">IF($D284&lt;&gt;"Serviço",0,IF(OR(AND(AUTOEVENTO="Manual",$M284=1),$M284&gt;(ROW(PLE.lastrow)-ROW(PLE.firstrow))),0,IF(OFFSET(PLE!$G$14,$M284,BF$13)="",10^12,OFFSET(PLE!$G$14,$M284,BF$13))))</f>
        <v>1000000000000</v>
      </c>
      <c r="BG284" s="182">
        <f ca="1">IF($D284&lt;&gt;"Serviço",0,IF(OR(AND(AUTOEVENTO="Manual",$M284=1),$M284&gt;(ROW(PLE.lastrow)-ROW(PLE.firstrow))),0,IF(OFFSET(PLE!$G$14,$M284,BG$13)="",10^12,OFFSET(PLE!$G$14,$M284,BG$13))))</f>
        <v>1000000000000</v>
      </c>
    </row>
    <row r="285" spans="1:59" ht="38.25" x14ac:dyDescent="0.2">
      <c r="A285" s="7" t="str">
        <f t="shared" ca="1" si="11"/>
        <v>251</v>
      </c>
      <c r="B285" s="7" t="str">
        <f ca="1">OFFSET(ORÇAMENTO!C$15,ROW(B285)-ROW(B$15),0)</f>
        <v>S</v>
      </c>
      <c r="C285" s="7" t="str">
        <f ca="1">OFFSET(ORÇAMENTO!L$15,ROW(C285)-ROW(C$15),0)</f>
        <v/>
      </c>
      <c r="D285" s="118" t="str">
        <f ca="1">OFFSET(ORÇAMENTO!N$15,ROW(D285)-ROW(D$15),0)</f>
        <v>Serviço</v>
      </c>
      <c r="E285" s="119" t="str">
        <f ca="1">OFFSET(ORÇAMENTO!O$15,ROW(E285)-ROW(E$15),0)</f>
        <v>-</v>
      </c>
      <c r="F285" s="172" t="str">
        <f ca="1">OFFSET(ORÇAMENTO!R$15,ROW(F285)-ROW(F$15),0)</f>
        <v>(abra o arquivo 'Referência 02-2025.xlsm)</v>
      </c>
      <c r="G285" s="173" t="str">
        <f ca="1">IF($D285&lt;&gt;"Serviço","",OFFSET(ORÇAMENTO!S$15,ROW(G285)-ROW(G$15),0))</f>
        <v>-</v>
      </c>
      <c r="H285" s="124">
        <f ca="1">IF($D285&lt;&gt;"Serviço",0,IF(ACOMPANHAMENTO="BM",ROUND(OFFSET(ORÇAMENTO!AJ$15,ROW(H285)-ROW(H$15),0),15-13*ORÇAMENTO!$AF$7),SUMPRODUCT(($Q$12:$AA$12&lt;&gt;"")*ROUND($Q285:$AA285,15-13*ORÇAMENTO!$AF$7))))</f>
        <v>5</v>
      </c>
      <c r="I285" s="561" t="s">
        <v>890</v>
      </c>
      <c r="K285" s="174"/>
      <c r="L285" s="175" t="s">
        <v>255</v>
      </c>
      <c r="M285" s="176">
        <f ca="1">IF($D285&lt;&gt;"Serviço","",IF(AUTOEVENTO="manual",$A285,IF(ISERROR(MATCH($A285,$A$15:OFFSET($A285,-1,0),0)),MAX($M$15:OFFSET(M285,-1,0))+1,INDEX($M$15:OFFSET(M285,-1,0),MATCH($A285,$A$15:OFFSET($A285,-1,0),0)))))</f>
        <v>13</v>
      </c>
      <c r="N285" s="177" t="str">
        <f ca="1">IF($D285&lt;&gt;"Serviço","",IF(AUTOEVENTO="Manual",IF($A285=0,"&lt;-- defina o número do agrupador",OFFSET(EVENTOS!$D$14,$A285,0)),OFFSET($F$15,$A285,0)))</f>
        <v>INSTALAÇÃO HIDRÁULICA</v>
      </c>
      <c r="O285" s="178"/>
      <c r="Q285" s="178"/>
      <c r="R285" s="179"/>
      <c r="S285" s="179"/>
      <c r="T285" s="179"/>
      <c r="U285" s="179"/>
      <c r="V285" s="179"/>
      <c r="W285" s="179"/>
      <c r="X285" s="179"/>
      <c r="Y285" s="179"/>
      <c r="Z285" s="180"/>
      <c r="AB285" s="544">
        <f ca="1">IF(AND($D285="Serviço",AB$12&lt;&gt;0,$H285&gt;0,OR(AUTOEVENTO&lt;&gt;"manual",$M285&lt;&gt;1)),
IF(Import.TipoArredondamento&lt;&gt;"TransfereGOV",
ROUND(OFFSET($P285,0,AB$13),15-13*ORÇAMENTO!$AF$7)/$H285*OFFSET(ORÇAMENTO!$X$15,ROW(AB285)-ROW(AB$15),0),
ROUND(ROUND(OFFSET($P285,0,AB$13),15-13*ORÇAMENTO!$AF$7)*OFFSET(ORÇAMENTO!$W$15,ROW(AB285)-ROW(AB$15),0),15-13*ORÇAMENTO!$AF$11)),0)</f>
        <v>0</v>
      </c>
      <c r="AC285" s="545">
        <f ca="1">IF(AND($D285="Serviço",AC$12&lt;&gt;0,$H285&gt;0,OR(AUTOEVENTO&lt;&gt;"manual",$M285&lt;&gt;1)),
IF(Import.TipoArredondamento&lt;&gt;"TransfereGOV",
ROUND(OFFSET($P285,0,AC$13),15-13*ORÇAMENTO!$AF$7)/$H285*OFFSET(ORÇAMENTO!$X$15,ROW(AC285)-ROW(AC$15),0),
ROUND(ROUND(OFFSET($P285,0,AC$13),15-13*ORÇAMENTO!$AF$7)*OFFSET(ORÇAMENTO!$W$15,ROW(AC285)-ROW(AC$15),0),15-13*ORÇAMENTO!$AF$11)),0)</f>
        <v>0</v>
      </c>
      <c r="AD285" s="545">
        <f ca="1">IF(AND($D285="Serviço",AD$12&lt;&gt;0,$H285&gt;0,OR(AUTOEVENTO&lt;&gt;"manual",$M285&lt;&gt;1)),
IF(Import.TipoArredondamento&lt;&gt;"TransfereGOV",
ROUND(OFFSET($P285,0,AD$13),15-13*ORÇAMENTO!$AF$7)/$H285*OFFSET(ORÇAMENTO!$X$15,ROW(AD285)-ROW(AD$15),0),
ROUND(ROUND(OFFSET($P285,0,AD$13),15-13*ORÇAMENTO!$AF$7)*OFFSET(ORÇAMENTO!$W$15,ROW(AD285)-ROW(AD$15),0),15-13*ORÇAMENTO!$AF$11)),0)</f>
        <v>0</v>
      </c>
      <c r="AE285" s="545">
        <f ca="1">IF(AND($D285="Serviço",AE$12&lt;&gt;0,$H285&gt;0,OR(AUTOEVENTO&lt;&gt;"manual",$M285&lt;&gt;1)),
IF(Import.TipoArredondamento&lt;&gt;"TransfereGOV",
ROUND(OFFSET($P285,0,AE$13),15-13*ORÇAMENTO!$AF$7)/$H285*OFFSET(ORÇAMENTO!$X$15,ROW(AE285)-ROW(AE$15),0),
ROUND(ROUND(OFFSET($P285,0,AE$13),15-13*ORÇAMENTO!$AF$7)*OFFSET(ORÇAMENTO!$W$15,ROW(AE285)-ROW(AE$15),0),15-13*ORÇAMENTO!$AF$11)),0)</f>
        <v>0</v>
      </c>
      <c r="AF285" s="545">
        <f ca="1">IF(AND($D285="Serviço",AF$12&lt;&gt;0,$H285&gt;0,OR(AUTOEVENTO&lt;&gt;"manual",$M285&lt;&gt;1)),
IF(Import.TipoArredondamento&lt;&gt;"TransfereGOV",
ROUND(OFFSET($P285,0,AF$13),15-13*ORÇAMENTO!$AF$7)/$H285*OFFSET(ORÇAMENTO!$X$15,ROW(AF285)-ROW(AF$15),0),
ROUND(ROUND(OFFSET($P285,0,AF$13),15-13*ORÇAMENTO!$AF$7)*OFFSET(ORÇAMENTO!$W$15,ROW(AF285)-ROW(AF$15),0),15-13*ORÇAMENTO!$AF$11)),0)</f>
        <v>0</v>
      </c>
      <c r="AG285" s="545">
        <f ca="1">IF(AND($D285="Serviço",AG$12&lt;&gt;0,$H285&gt;0,OR(AUTOEVENTO&lt;&gt;"manual",$M285&lt;&gt;1)),
IF(Import.TipoArredondamento&lt;&gt;"TransfereGOV",
ROUND(OFFSET($P285,0,AG$13),15-13*ORÇAMENTO!$AF$7)/$H285*OFFSET(ORÇAMENTO!$X$15,ROW(AG285)-ROW(AG$15),0),
ROUND(ROUND(OFFSET($P285,0,AG$13),15-13*ORÇAMENTO!$AF$7)*OFFSET(ORÇAMENTO!$W$15,ROW(AG285)-ROW(AG$15),0),15-13*ORÇAMENTO!$AF$11)),0)</f>
        <v>0</v>
      </c>
      <c r="AH285" s="545">
        <f ca="1">IF(AND($D285="Serviço",AH$12&lt;&gt;0,$H285&gt;0,OR(AUTOEVENTO&lt;&gt;"manual",$M285&lt;&gt;1)),
IF(Import.TipoArredondamento&lt;&gt;"TransfereGOV",
ROUND(OFFSET($P285,0,AH$13),15-13*ORÇAMENTO!$AF$7)/$H285*OFFSET(ORÇAMENTO!$X$15,ROW(AH285)-ROW(AH$15),0),
ROUND(ROUND(OFFSET($P285,0,AH$13),15-13*ORÇAMENTO!$AF$7)*OFFSET(ORÇAMENTO!$W$15,ROW(AH285)-ROW(AH$15),0),15-13*ORÇAMENTO!$AF$11)),0)</f>
        <v>0</v>
      </c>
      <c r="AI285" s="545">
        <f ca="1">IF(AND($D285="Serviço",AI$12&lt;&gt;0,$H285&gt;0,OR(AUTOEVENTO&lt;&gt;"manual",$M285&lt;&gt;1)),
IF(Import.TipoArredondamento&lt;&gt;"TransfereGOV",
ROUND(OFFSET($P285,0,AI$13),15-13*ORÇAMENTO!$AF$7)/$H285*OFFSET(ORÇAMENTO!$X$15,ROW(AI285)-ROW(AI$15),0),
ROUND(ROUND(OFFSET($P285,0,AI$13),15-13*ORÇAMENTO!$AF$7)*OFFSET(ORÇAMENTO!$W$15,ROW(AI285)-ROW(AI$15),0),15-13*ORÇAMENTO!$AF$11)),0)</f>
        <v>0</v>
      </c>
      <c r="AJ285" s="545">
        <f ca="1">IF(AND($D285="Serviço",AJ$12&lt;&gt;0,$H285&gt;0,OR(AUTOEVENTO&lt;&gt;"manual",$M285&lt;&gt;1)),
IF(Import.TipoArredondamento&lt;&gt;"TransfereGOV",
ROUND(OFFSET($P285,0,AJ$13),15-13*ORÇAMENTO!$AF$7)/$H285*OFFSET(ORÇAMENTO!$X$15,ROW(AJ285)-ROW(AJ$15),0),
ROUND(ROUND(OFFSET($P285,0,AJ$13),15-13*ORÇAMENTO!$AF$7)*OFFSET(ORÇAMENTO!$W$15,ROW(AJ285)-ROW(AJ$15),0),15-13*ORÇAMENTO!$AF$11)),0)</f>
        <v>0</v>
      </c>
      <c r="AK285" s="546">
        <f ca="1">IF(AND($D285="Serviço",AK$12&lt;&gt;0,$H285&gt;0,OR(AUTOEVENTO&lt;&gt;"manual",$M285&lt;&gt;1)),
IF(Import.TipoArredondamento&lt;&gt;"TransfereGOV",
ROUND(OFFSET($P285,0,AK$13),15-13*ORÇAMENTO!$AF$7)/$H285*OFFSET(ORÇAMENTO!$X$15,ROW(AK285)-ROW(AK$15),0),
ROUND(ROUND(OFFSET($P285,0,AK$13),15-13*ORÇAMENTO!$AF$7)*OFFSET(ORÇAMENTO!$W$15,ROW(AK285)-ROW(AK$15),0),15-13*ORÇAMENTO!$AF$11)),0)</f>
        <v>0</v>
      </c>
      <c r="AM285" s="181">
        <f ca="1">IF($D285&lt;&gt;"Serviço",0,IF(AND(AUTOEVENTO="Manual",$M285=1),0,IF(OFFSET(CRONOPLE!$F$14,$M285,AM$13)="",10^12,OFFSET(CRONOPLE!$F$14,$M285,AM$13))))</f>
        <v>1000000000000</v>
      </c>
      <c r="AN285" s="181">
        <f ca="1">IF($D285&lt;&gt;"Serviço",0,IF(AND(AUTOEVENTO="Manual",$M285=1),0,IF(OFFSET(CRONOPLE!$F$14,$M285,AN$13)="",10^12,OFFSET(CRONOPLE!$F$14,$M285,AN$13))))</f>
        <v>1000000000000</v>
      </c>
      <c r="AO285" s="181">
        <f ca="1">IF($D285&lt;&gt;"Serviço",0,IF(AND(AUTOEVENTO="Manual",$M285=1),0,IF(OFFSET(CRONOPLE!$F$14,$M285,AO$13)="",10^12,OFFSET(CRONOPLE!$F$14,$M285,AO$13))))</f>
        <v>1000000000000</v>
      </c>
      <c r="AP285" s="181">
        <f ca="1">IF($D285&lt;&gt;"Serviço",0,IF(AND(AUTOEVENTO="Manual",$M285=1),0,IF(OFFSET(CRONOPLE!$F$14,$M285,AP$13)="",10^12,OFFSET(CRONOPLE!$F$14,$M285,AP$13))))</f>
        <v>1000000000000</v>
      </c>
      <c r="AQ285" s="181">
        <f ca="1">IF($D285&lt;&gt;"Serviço",0,IF(AND(AUTOEVENTO="Manual",$M285=1),0,IF(OFFSET(CRONOPLE!$F$14,$M285,AQ$13)="",10^12,OFFSET(CRONOPLE!$F$14,$M285,AQ$13))))</f>
        <v>1000000000000</v>
      </c>
      <c r="AR285" s="181">
        <f ca="1">IF($D285&lt;&gt;"Serviço",0,IF(AND(AUTOEVENTO="Manual",$M285=1),0,IF(OFFSET(CRONOPLE!$F$14,$M285,AR$13)="",10^12,OFFSET(CRONOPLE!$F$14,$M285,AR$13))))</f>
        <v>1000000000000</v>
      </c>
      <c r="AS285" s="181">
        <f ca="1">IF($D285&lt;&gt;"Serviço",0,IF(AND(AUTOEVENTO="Manual",$M285=1),0,IF(OFFSET(CRONOPLE!$F$14,$M285,AS$13)="",10^12,OFFSET(CRONOPLE!$F$14,$M285,AS$13))))</f>
        <v>1000000000000</v>
      </c>
      <c r="AT285" s="181">
        <f ca="1">IF($D285&lt;&gt;"Serviço",0,IF(AND(AUTOEVENTO="Manual",$M285=1),0,IF(OFFSET(CRONOPLE!$F$14,$M285,AT$13)="",10^12,OFFSET(CRONOPLE!$F$14,$M285,AT$13))))</f>
        <v>1000000000000</v>
      </c>
      <c r="AU285" s="181">
        <f ca="1">IF($D285&lt;&gt;"Serviço",0,IF(AND(AUTOEVENTO="Manual",$M285=1),0,IF(OFFSET(CRONOPLE!$F$14,$M285,AU$13)="",10^12,OFFSET(CRONOPLE!$F$14,$M285,AU$13))))</f>
        <v>1000000000000</v>
      </c>
      <c r="AV285" s="181">
        <f ca="1">IF($D285&lt;&gt;"Serviço",0,IF(AND(AUTOEVENTO="Manual",$M285=1),0,IF(OFFSET(CRONOPLE!$F$14,$M285,AV$13)="",10^12,OFFSET(CRONOPLE!$F$14,$M285,AV$13))))</f>
        <v>1000000000000</v>
      </c>
      <c r="AX285" s="182">
        <f ca="1">IF($D285&lt;&gt;"Serviço",0,IF(OR(AND(AUTOEVENTO="Manual",$M285=1),$M285&gt;(ROW(PLE.lastrow)-ROW(PLE.firstrow))),0,IF(OFFSET(PLE!$G$14,$M285,AX$13)="",10^12,OFFSET(PLE!$G$14,$M285,AX$13))))</f>
        <v>1000000000000</v>
      </c>
      <c r="AY285" s="182">
        <f ca="1">IF($D285&lt;&gt;"Serviço",0,IF(OR(AND(AUTOEVENTO="Manual",$M285=1),$M285&gt;(ROW(PLE.lastrow)-ROW(PLE.firstrow))),0,IF(OFFSET(PLE!$G$14,$M285,AY$13)="",10^12,OFFSET(PLE!$G$14,$M285,AY$13))))</f>
        <v>1000000000000</v>
      </c>
      <c r="AZ285" s="182">
        <f ca="1">IF($D285&lt;&gt;"Serviço",0,IF(OR(AND(AUTOEVENTO="Manual",$M285=1),$M285&gt;(ROW(PLE.lastrow)-ROW(PLE.firstrow))),0,IF(OFFSET(PLE!$G$14,$M285,AZ$13)="",10^12,OFFSET(PLE!$G$14,$M285,AZ$13))))</f>
        <v>1000000000000</v>
      </c>
      <c r="BA285" s="182">
        <f ca="1">IF($D285&lt;&gt;"Serviço",0,IF(OR(AND(AUTOEVENTO="Manual",$M285=1),$M285&gt;(ROW(PLE.lastrow)-ROW(PLE.firstrow))),0,IF(OFFSET(PLE!$G$14,$M285,BA$13)="",10^12,OFFSET(PLE!$G$14,$M285,BA$13))))</f>
        <v>1000000000000</v>
      </c>
      <c r="BB285" s="182">
        <f ca="1">IF($D285&lt;&gt;"Serviço",0,IF(OR(AND(AUTOEVENTO="Manual",$M285=1),$M285&gt;(ROW(PLE.lastrow)-ROW(PLE.firstrow))),0,IF(OFFSET(PLE!$G$14,$M285,BB$13)="",10^12,OFFSET(PLE!$G$14,$M285,BB$13))))</f>
        <v>1000000000000</v>
      </c>
      <c r="BC285" s="182">
        <f ca="1">IF($D285&lt;&gt;"Serviço",0,IF(OR(AND(AUTOEVENTO="Manual",$M285=1),$M285&gt;(ROW(PLE.lastrow)-ROW(PLE.firstrow))),0,IF(OFFSET(PLE!$G$14,$M285,BC$13)="",10^12,OFFSET(PLE!$G$14,$M285,BC$13))))</f>
        <v>1000000000000</v>
      </c>
      <c r="BD285" s="182">
        <f ca="1">IF($D285&lt;&gt;"Serviço",0,IF(OR(AND(AUTOEVENTO="Manual",$M285=1),$M285&gt;(ROW(PLE.lastrow)-ROW(PLE.firstrow))),0,IF(OFFSET(PLE!$G$14,$M285,BD$13)="",10^12,OFFSET(PLE!$G$14,$M285,BD$13))))</f>
        <v>1000000000000</v>
      </c>
      <c r="BE285" s="182">
        <f ca="1">IF($D285&lt;&gt;"Serviço",0,IF(OR(AND(AUTOEVENTO="Manual",$M285=1),$M285&gt;(ROW(PLE.lastrow)-ROW(PLE.firstrow))),0,IF(OFFSET(PLE!$G$14,$M285,BE$13)="",10^12,OFFSET(PLE!$G$14,$M285,BE$13))))</f>
        <v>1000000000000</v>
      </c>
      <c r="BF285" s="182">
        <f ca="1">IF($D285&lt;&gt;"Serviço",0,IF(OR(AND(AUTOEVENTO="Manual",$M285=1),$M285&gt;(ROW(PLE.lastrow)-ROW(PLE.firstrow))),0,IF(OFFSET(PLE!$G$14,$M285,BF$13)="",10^12,OFFSET(PLE!$G$14,$M285,BF$13))))</f>
        <v>1000000000000</v>
      </c>
      <c r="BG285" s="182">
        <f ca="1">IF($D285&lt;&gt;"Serviço",0,IF(OR(AND(AUTOEVENTO="Manual",$M285=1),$M285&gt;(ROW(PLE.lastrow)-ROW(PLE.firstrow))),0,IF(OFFSET(PLE!$G$14,$M285,BG$13)="",10^12,OFFSET(PLE!$G$14,$M285,BG$13))))</f>
        <v>1000000000000</v>
      </c>
    </row>
    <row r="286" spans="1:59" ht="25.5" x14ac:dyDescent="0.2">
      <c r="A286" s="7" t="str">
        <f t="shared" ca="1" si="11"/>
        <v>251</v>
      </c>
      <c r="B286" s="7" t="str">
        <f ca="1">OFFSET(ORÇAMENTO!C$15,ROW(B286)-ROW(B$15),0)</f>
        <v>S</v>
      </c>
      <c r="C286" s="7" t="str">
        <f ca="1">OFFSET(ORÇAMENTO!L$15,ROW(C286)-ROW(C$15),0)</f>
        <v/>
      </c>
      <c r="D286" s="118" t="str">
        <f ca="1">OFFSET(ORÇAMENTO!N$15,ROW(D286)-ROW(D$15),0)</f>
        <v>Serviço</v>
      </c>
      <c r="E286" s="119" t="str">
        <f ca="1">OFFSET(ORÇAMENTO!O$15,ROW(E286)-ROW(E$15),0)</f>
        <v>-</v>
      </c>
      <c r="F286" s="172" t="str">
        <f ca="1">OFFSET(ORÇAMENTO!R$15,ROW(F286)-ROW(F$15),0)</f>
        <v>(abra o arquivo 'Referência 02-2025.xlsm)</v>
      </c>
      <c r="G286" s="173" t="str">
        <f ca="1">IF($D286&lt;&gt;"Serviço","",OFFSET(ORÇAMENTO!S$15,ROW(G286)-ROW(G$15),0))</f>
        <v>-</v>
      </c>
      <c r="H286" s="124">
        <f ca="1">IF($D286&lt;&gt;"Serviço",0,IF(ACOMPANHAMENTO="BM",ROUND(OFFSET(ORÇAMENTO!AJ$15,ROW(H286)-ROW(H$15),0),15-13*ORÇAMENTO!$AF$7),SUMPRODUCT(($Q$12:$AA$12&lt;&gt;"")*ROUND($Q286:$AA286,15-13*ORÇAMENTO!$AF$7))))</f>
        <v>1</v>
      </c>
      <c r="I286" s="561" t="s">
        <v>890</v>
      </c>
      <c r="K286" s="174"/>
      <c r="L286" s="175" t="s">
        <v>255</v>
      </c>
      <c r="M286" s="176">
        <f ca="1">IF($D286&lt;&gt;"Serviço","",IF(AUTOEVENTO="manual",$A286,IF(ISERROR(MATCH($A286,$A$15:OFFSET($A286,-1,0),0)),MAX($M$15:OFFSET(M286,-1,0))+1,INDEX($M$15:OFFSET(M286,-1,0),MATCH($A286,$A$15:OFFSET($A286,-1,0),0)))))</f>
        <v>13</v>
      </c>
      <c r="N286" s="177" t="str">
        <f ca="1">IF($D286&lt;&gt;"Serviço","",IF(AUTOEVENTO="Manual",IF($A286=0,"&lt;-- defina o número do agrupador",OFFSET(EVENTOS!$D$14,$A286,0)),OFFSET($F$15,$A286,0)))</f>
        <v>INSTALAÇÃO HIDRÁULICA</v>
      </c>
      <c r="O286" s="178"/>
      <c r="Q286" s="178"/>
      <c r="R286" s="179"/>
      <c r="S286" s="179"/>
      <c r="T286" s="179"/>
      <c r="U286" s="179"/>
      <c r="V286" s="179"/>
      <c r="W286" s="179"/>
      <c r="X286" s="179"/>
      <c r="Y286" s="179"/>
      <c r="Z286" s="180"/>
      <c r="AB286" s="544">
        <f ca="1">IF(AND($D286="Serviço",AB$12&lt;&gt;0,$H286&gt;0,OR(AUTOEVENTO&lt;&gt;"manual",$M286&lt;&gt;1)),
IF(Import.TipoArredondamento&lt;&gt;"TransfereGOV",
ROUND(OFFSET($P286,0,AB$13),15-13*ORÇAMENTO!$AF$7)/$H286*OFFSET(ORÇAMENTO!$X$15,ROW(AB286)-ROW(AB$15),0),
ROUND(ROUND(OFFSET($P286,0,AB$13),15-13*ORÇAMENTO!$AF$7)*OFFSET(ORÇAMENTO!$W$15,ROW(AB286)-ROW(AB$15),0),15-13*ORÇAMENTO!$AF$11)),0)</f>
        <v>0</v>
      </c>
      <c r="AC286" s="545">
        <f ca="1">IF(AND($D286="Serviço",AC$12&lt;&gt;0,$H286&gt;0,OR(AUTOEVENTO&lt;&gt;"manual",$M286&lt;&gt;1)),
IF(Import.TipoArredondamento&lt;&gt;"TransfereGOV",
ROUND(OFFSET($P286,0,AC$13),15-13*ORÇAMENTO!$AF$7)/$H286*OFFSET(ORÇAMENTO!$X$15,ROW(AC286)-ROW(AC$15),0),
ROUND(ROUND(OFFSET($P286,0,AC$13),15-13*ORÇAMENTO!$AF$7)*OFFSET(ORÇAMENTO!$W$15,ROW(AC286)-ROW(AC$15),0),15-13*ORÇAMENTO!$AF$11)),0)</f>
        <v>0</v>
      </c>
      <c r="AD286" s="545">
        <f ca="1">IF(AND($D286="Serviço",AD$12&lt;&gt;0,$H286&gt;0,OR(AUTOEVENTO&lt;&gt;"manual",$M286&lt;&gt;1)),
IF(Import.TipoArredondamento&lt;&gt;"TransfereGOV",
ROUND(OFFSET($P286,0,AD$13),15-13*ORÇAMENTO!$AF$7)/$H286*OFFSET(ORÇAMENTO!$X$15,ROW(AD286)-ROW(AD$15),0),
ROUND(ROUND(OFFSET($P286,0,AD$13),15-13*ORÇAMENTO!$AF$7)*OFFSET(ORÇAMENTO!$W$15,ROW(AD286)-ROW(AD$15),0),15-13*ORÇAMENTO!$AF$11)),0)</f>
        <v>0</v>
      </c>
      <c r="AE286" s="545">
        <f ca="1">IF(AND($D286="Serviço",AE$12&lt;&gt;0,$H286&gt;0,OR(AUTOEVENTO&lt;&gt;"manual",$M286&lt;&gt;1)),
IF(Import.TipoArredondamento&lt;&gt;"TransfereGOV",
ROUND(OFFSET($P286,0,AE$13),15-13*ORÇAMENTO!$AF$7)/$H286*OFFSET(ORÇAMENTO!$X$15,ROW(AE286)-ROW(AE$15),0),
ROUND(ROUND(OFFSET($P286,0,AE$13),15-13*ORÇAMENTO!$AF$7)*OFFSET(ORÇAMENTO!$W$15,ROW(AE286)-ROW(AE$15),0),15-13*ORÇAMENTO!$AF$11)),0)</f>
        <v>0</v>
      </c>
      <c r="AF286" s="545">
        <f ca="1">IF(AND($D286="Serviço",AF$12&lt;&gt;0,$H286&gt;0,OR(AUTOEVENTO&lt;&gt;"manual",$M286&lt;&gt;1)),
IF(Import.TipoArredondamento&lt;&gt;"TransfereGOV",
ROUND(OFFSET($P286,0,AF$13),15-13*ORÇAMENTO!$AF$7)/$H286*OFFSET(ORÇAMENTO!$X$15,ROW(AF286)-ROW(AF$15),0),
ROUND(ROUND(OFFSET($P286,0,AF$13),15-13*ORÇAMENTO!$AF$7)*OFFSET(ORÇAMENTO!$W$15,ROW(AF286)-ROW(AF$15),0),15-13*ORÇAMENTO!$AF$11)),0)</f>
        <v>0</v>
      </c>
      <c r="AG286" s="545">
        <f ca="1">IF(AND($D286="Serviço",AG$12&lt;&gt;0,$H286&gt;0,OR(AUTOEVENTO&lt;&gt;"manual",$M286&lt;&gt;1)),
IF(Import.TipoArredondamento&lt;&gt;"TransfereGOV",
ROUND(OFFSET($P286,0,AG$13),15-13*ORÇAMENTO!$AF$7)/$H286*OFFSET(ORÇAMENTO!$X$15,ROW(AG286)-ROW(AG$15),0),
ROUND(ROUND(OFFSET($P286,0,AG$13),15-13*ORÇAMENTO!$AF$7)*OFFSET(ORÇAMENTO!$W$15,ROW(AG286)-ROW(AG$15),0),15-13*ORÇAMENTO!$AF$11)),0)</f>
        <v>0</v>
      </c>
      <c r="AH286" s="545">
        <f ca="1">IF(AND($D286="Serviço",AH$12&lt;&gt;0,$H286&gt;0,OR(AUTOEVENTO&lt;&gt;"manual",$M286&lt;&gt;1)),
IF(Import.TipoArredondamento&lt;&gt;"TransfereGOV",
ROUND(OFFSET($P286,0,AH$13),15-13*ORÇAMENTO!$AF$7)/$H286*OFFSET(ORÇAMENTO!$X$15,ROW(AH286)-ROW(AH$15),0),
ROUND(ROUND(OFFSET($P286,0,AH$13),15-13*ORÇAMENTO!$AF$7)*OFFSET(ORÇAMENTO!$W$15,ROW(AH286)-ROW(AH$15),0),15-13*ORÇAMENTO!$AF$11)),0)</f>
        <v>0</v>
      </c>
      <c r="AI286" s="545">
        <f ca="1">IF(AND($D286="Serviço",AI$12&lt;&gt;0,$H286&gt;0,OR(AUTOEVENTO&lt;&gt;"manual",$M286&lt;&gt;1)),
IF(Import.TipoArredondamento&lt;&gt;"TransfereGOV",
ROUND(OFFSET($P286,0,AI$13),15-13*ORÇAMENTO!$AF$7)/$H286*OFFSET(ORÇAMENTO!$X$15,ROW(AI286)-ROW(AI$15),0),
ROUND(ROUND(OFFSET($P286,0,AI$13),15-13*ORÇAMENTO!$AF$7)*OFFSET(ORÇAMENTO!$W$15,ROW(AI286)-ROW(AI$15),0),15-13*ORÇAMENTO!$AF$11)),0)</f>
        <v>0</v>
      </c>
      <c r="AJ286" s="545">
        <f ca="1">IF(AND($D286="Serviço",AJ$12&lt;&gt;0,$H286&gt;0,OR(AUTOEVENTO&lt;&gt;"manual",$M286&lt;&gt;1)),
IF(Import.TipoArredondamento&lt;&gt;"TransfereGOV",
ROUND(OFFSET($P286,0,AJ$13),15-13*ORÇAMENTO!$AF$7)/$H286*OFFSET(ORÇAMENTO!$X$15,ROW(AJ286)-ROW(AJ$15),0),
ROUND(ROUND(OFFSET($P286,0,AJ$13),15-13*ORÇAMENTO!$AF$7)*OFFSET(ORÇAMENTO!$W$15,ROW(AJ286)-ROW(AJ$15),0),15-13*ORÇAMENTO!$AF$11)),0)</f>
        <v>0</v>
      </c>
      <c r="AK286" s="546">
        <f ca="1">IF(AND($D286="Serviço",AK$12&lt;&gt;0,$H286&gt;0,OR(AUTOEVENTO&lt;&gt;"manual",$M286&lt;&gt;1)),
IF(Import.TipoArredondamento&lt;&gt;"TransfereGOV",
ROUND(OFFSET($P286,0,AK$13),15-13*ORÇAMENTO!$AF$7)/$H286*OFFSET(ORÇAMENTO!$X$15,ROW(AK286)-ROW(AK$15),0),
ROUND(ROUND(OFFSET($P286,0,AK$13),15-13*ORÇAMENTO!$AF$7)*OFFSET(ORÇAMENTO!$W$15,ROW(AK286)-ROW(AK$15),0),15-13*ORÇAMENTO!$AF$11)),0)</f>
        <v>0</v>
      </c>
      <c r="AM286" s="181">
        <f ca="1">IF($D286&lt;&gt;"Serviço",0,IF(AND(AUTOEVENTO="Manual",$M286=1),0,IF(OFFSET(CRONOPLE!$F$14,$M286,AM$13)="",10^12,OFFSET(CRONOPLE!$F$14,$M286,AM$13))))</f>
        <v>1000000000000</v>
      </c>
      <c r="AN286" s="181">
        <f ca="1">IF($D286&lt;&gt;"Serviço",0,IF(AND(AUTOEVENTO="Manual",$M286=1),0,IF(OFFSET(CRONOPLE!$F$14,$M286,AN$13)="",10^12,OFFSET(CRONOPLE!$F$14,$M286,AN$13))))</f>
        <v>1000000000000</v>
      </c>
      <c r="AO286" s="181">
        <f ca="1">IF($D286&lt;&gt;"Serviço",0,IF(AND(AUTOEVENTO="Manual",$M286=1),0,IF(OFFSET(CRONOPLE!$F$14,$M286,AO$13)="",10^12,OFFSET(CRONOPLE!$F$14,$M286,AO$13))))</f>
        <v>1000000000000</v>
      </c>
      <c r="AP286" s="181">
        <f ca="1">IF($D286&lt;&gt;"Serviço",0,IF(AND(AUTOEVENTO="Manual",$M286=1),0,IF(OFFSET(CRONOPLE!$F$14,$M286,AP$13)="",10^12,OFFSET(CRONOPLE!$F$14,$M286,AP$13))))</f>
        <v>1000000000000</v>
      </c>
      <c r="AQ286" s="181">
        <f ca="1">IF($D286&lt;&gt;"Serviço",0,IF(AND(AUTOEVENTO="Manual",$M286=1),0,IF(OFFSET(CRONOPLE!$F$14,$M286,AQ$13)="",10^12,OFFSET(CRONOPLE!$F$14,$M286,AQ$13))))</f>
        <v>1000000000000</v>
      </c>
      <c r="AR286" s="181">
        <f ca="1">IF($D286&lt;&gt;"Serviço",0,IF(AND(AUTOEVENTO="Manual",$M286=1),0,IF(OFFSET(CRONOPLE!$F$14,$M286,AR$13)="",10^12,OFFSET(CRONOPLE!$F$14,$M286,AR$13))))</f>
        <v>1000000000000</v>
      </c>
      <c r="AS286" s="181">
        <f ca="1">IF($D286&lt;&gt;"Serviço",0,IF(AND(AUTOEVENTO="Manual",$M286=1),0,IF(OFFSET(CRONOPLE!$F$14,$M286,AS$13)="",10^12,OFFSET(CRONOPLE!$F$14,$M286,AS$13))))</f>
        <v>1000000000000</v>
      </c>
      <c r="AT286" s="181">
        <f ca="1">IF($D286&lt;&gt;"Serviço",0,IF(AND(AUTOEVENTO="Manual",$M286=1),0,IF(OFFSET(CRONOPLE!$F$14,$M286,AT$13)="",10^12,OFFSET(CRONOPLE!$F$14,$M286,AT$13))))</f>
        <v>1000000000000</v>
      </c>
      <c r="AU286" s="181">
        <f ca="1">IF($D286&lt;&gt;"Serviço",0,IF(AND(AUTOEVENTO="Manual",$M286=1),0,IF(OFFSET(CRONOPLE!$F$14,$M286,AU$13)="",10^12,OFFSET(CRONOPLE!$F$14,$M286,AU$13))))</f>
        <v>1000000000000</v>
      </c>
      <c r="AV286" s="181">
        <f ca="1">IF($D286&lt;&gt;"Serviço",0,IF(AND(AUTOEVENTO="Manual",$M286=1),0,IF(OFFSET(CRONOPLE!$F$14,$M286,AV$13)="",10^12,OFFSET(CRONOPLE!$F$14,$M286,AV$13))))</f>
        <v>1000000000000</v>
      </c>
      <c r="AX286" s="182">
        <f ca="1">IF($D286&lt;&gt;"Serviço",0,IF(OR(AND(AUTOEVENTO="Manual",$M286=1),$M286&gt;(ROW(PLE.lastrow)-ROW(PLE.firstrow))),0,IF(OFFSET(PLE!$G$14,$M286,AX$13)="",10^12,OFFSET(PLE!$G$14,$M286,AX$13))))</f>
        <v>1000000000000</v>
      </c>
      <c r="AY286" s="182">
        <f ca="1">IF($D286&lt;&gt;"Serviço",0,IF(OR(AND(AUTOEVENTO="Manual",$M286=1),$M286&gt;(ROW(PLE.lastrow)-ROW(PLE.firstrow))),0,IF(OFFSET(PLE!$G$14,$M286,AY$13)="",10^12,OFFSET(PLE!$G$14,$M286,AY$13))))</f>
        <v>1000000000000</v>
      </c>
      <c r="AZ286" s="182">
        <f ca="1">IF($D286&lt;&gt;"Serviço",0,IF(OR(AND(AUTOEVENTO="Manual",$M286=1),$M286&gt;(ROW(PLE.lastrow)-ROW(PLE.firstrow))),0,IF(OFFSET(PLE!$G$14,$M286,AZ$13)="",10^12,OFFSET(PLE!$G$14,$M286,AZ$13))))</f>
        <v>1000000000000</v>
      </c>
      <c r="BA286" s="182">
        <f ca="1">IF($D286&lt;&gt;"Serviço",0,IF(OR(AND(AUTOEVENTO="Manual",$M286=1),$M286&gt;(ROW(PLE.lastrow)-ROW(PLE.firstrow))),0,IF(OFFSET(PLE!$G$14,$M286,BA$13)="",10^12,OFFSET(PLE!$G$14,$M286,BA$13))))</f>
        <v>1000000000000</v>
      </c>
      <c r="BB286" s="182">
        <f ca="1">IF($D286&lt;&gt;"Serviço",0,IF(OR(AND(AUTOEVENTO="Manual",$M286=1),$M286&gt;(ROW(PLE.lastrow)-ROW(PLE.firstrow))),0,IF(OFFSET(PLE!$G$14,$M286,BB$13)="",10^12,OFFSET(PLE!$G$14,$M286,BB$13))))</f>
        <v>1000000000000</v>
      </c>
      <c r="BC286" s="182">
        <f ca="1">IF($D286&lt;&gt;"Serviço",0,IF(OR(AND(AUTOEVENTO="Manual",$M286=1),$M286&gt;(ROW(PLE.lastrow)-ROW(PLE.firstrow))),0,IF(OFFSET(PLE!$G$14,$M286,BC$13)="",10^12,OFFSET(PLE!$G$14,$M286,BC$13))))</f>
        <v>1000000000000</v>
      </c>
      <c r="BD286" s="182">
        <f ca="1">IF($D286&lt;&gt;"Serviço",0,IF(OR(AND(AUTOEVENTO="Manual",$M286=1),$M286&gt;(ROW(PLE.lastrow)-ROW(PLE.firstrow))),0,IF(OFFSET(PLE!$G$14,$M286,BD$13)="",10^12,OFFSET(PLE!$G$14,$M286,BD$13))))</f>
        <v>1000000000000</v>
      </c>
      <c r="BE286" s="182">
        <f ca="1">IF($D286&lt;&gt;"Serviço",0,IF(OR(AND(AUTOEVENTO="Manual",$M286=1),$M286&gt;(ROW(PLE.lastrow)-ROW(PLE.firstrow))),0,IF(OFFSET(PLE!$G$14,$M286,BE$13)="",10^12,OFFSET(PLE!$G$14,$M286,BE$13))))</f>
        <v>1000000000000</v>
      </c>
      <c r="BF286" s="182">
        <f ca="1">IF($D286&lt;&gt;"Serviço",0,IF(OR(AND(AUTOEVENTO="Manual",$M286=1),$M286&gt;(ROW(PLE.lastrow)-ROW(PLE.firstrow))),0,IF(OFFSET(PLE!$G$14,$M286,BF$13)="",10^12,OFFSET(PLE!$G$14,$M286,BF$13))))</f>
        <v>1000000000000</v>
      </c>
      <c r="BG286" s="182">
        <f ca="1">IF($D286&lt;&gt;"Serviço",0,IF(OR(AND(AUTOEVENTO="Manual",$M286=1),$M286&gt;(ROW(PLE.lastrow)-ROW(PLE.firstrow))),0,IF(OFFSET(PLE!$G$14,$M286,BG$13)="",10^12,OFFSET(PLE!$G$14,$M286,BG$13))))</f>
        <v>1000000000000</v>
      </c>
    </row>
    <row r="287" spans="1:59" ht="25.5" x14ac:dyDescent="0.2">
      <c r="A287" s="7" t="str">
        <f t="shared" ca="1" si="11"/>
        <v>251</v>
      </c>
      <c r="B287" s="7" t="str">
        <f ca="1">OFFSET(ORÇAMENTO!C$15,ROW(B287)-ROW(B$15),0)</f>
        <v>S</v>
      </c>
      <c r="C287" s="7" t="str">
        <f ca="1">OFFSET(ORÇAMENTO!L$15,ROW(C287)-ROW(C$15),0)</f>
        <v/>
      </c>
      <c r="D287" s="118" t="str">
        <f ca="1">OFFSET(ORÇAMENTO!N$15,ROW(D287)-ROW(D$15),0)</f>
        <v>Serviço</v>
      </c>
      <c r="E287" s="119" t="str">
        <f ca="1">OFFSET(ORÇAMENTO!O$15,ROW(E287)-ROW(E$15),0)</f>
        <v>-</v>
      </c>
      <c r="F287" s="172" t="str">
        <f ca="1">OFFSET(ORÇAMENTO!R$15,ROW(F287)-ROW(F$15),0)</f>
        <v>(abra o arquivo 'Referência 02-2025.xlsm)</v>
      </c>
      <c r="G287" s="173" t="str">
        <f ca="1">IF($D287&lt;&gt;"Serviço","",OFFSET(ORÇAMENTO!S$15,ROW(G287)-ROW(G$15),0))</f>
        <v>-</v>
      </c>
      <c r="H287" s="124">
        <f ca="1">IF($D287&lt;&gt;"Serviço",0,IF(ACOMPANHAMENTO="BM",ROUND(OFFSET(ORÇAMENTO!AJ$15,ROW(H287)-ROW(H$15),0),15-13*ORÇAMENTO!$AF$7),SUMPRODUCT(($Q$12:$AA$12&lt;&gt;"")*ROUND($Q287:$AA287,15-13*ORÇAMENTO!$AF$7))))</f>
        <v>45</v>
      </c>
      <c r="I287" s="561" t="s">
        <v>890</v>
      </c>
      <c r="K287" s="174"/>
      <c r="L287" s="175" t="s">
        <v>255</v>
      </c>
      <c r="M287" s="176">
        <f ca="1">IF($D287&lt;&gt;"Serviço","",IF(AUTOEVENTO="manual",$A287,IF(ISERROR(MATCH($A287,$A$15:OFFSET($A287,-1,0),0)),MAX($M$15:OFFSET(M287,-1,0))+1,INDEX($M$15:OFFSET(M287,-1,0),MATCH($A287,$A$15:OFFSET($A287,-1,0),0)))))</f>
        <v>13</v>
      </c>
      <c r="N287" s="177" t="str">
        <f ca="1">IF($D287&lt;&gt;"Serviço","",IF(AUTOEVENTO="Manual",IF($A287=0,"&lt;-- defina o número do agrupador",OFFSET(EVENTOS!$D$14,$A287,0)),OFFSET($F$15,$A287,0)))</f>
        <v>INSTALAÇÃO HIDRÁULICA</v>
      </c>
      <c r="O287" s="178"/>
      <c r="Q287" s="178"/>
      <c r="R287" s="179"/>
      <c r="S287" s="179"/>
      <c r="T287" s="179"/>
      <c r="U287" s="179"/>
      <c r="V287" s="179"/>
      <c r="W287" s="179"/>
      <c r="X287" s="179"/>
      <c r="Y287" s="179"/>
      <c r="Z287" s="180"/>
      <c r="AB287" s="544">
        <f ca="1">IF(AND($D287="Serviço",AB$12&lt;&gt;0,$H287&gt;0,OR(AUTOEVENTO&lt;&gt;"manual",$M287&lt;&gt;1)),
IF(Import.TipoArredondamento&lt;&gt;"TransfereGOV",
ROUND(OFFSET($P287,0,AB$13),15-13*ORÇAMENTO!$AF$7)/$H287*OFFSET(ORÇAMENTO!$X$15,ROW(AB287)-ROW(AB$15),0),
ROUND(ROUND(OFFSET($P287,0,AB$13),15-13*ORÇAMENTO!$AF$7)*OFFSET(ORÇAMENTO!$W$15,ROW(AB287)-ROW(AB$15),0),15-13*ORÇAMENTO!$AF$11)),0)</f>
        <v>0</v>
      </c>
      <c r="AC287" s="545">
        <f ca="1">IF(AND($D287="Serviço",AC$12&lt;&gt;0,$H287&gt;0,OR(AUTOEVENTO&lt;&gt;"manual",$M287&lt;&gt;1)),
IF(Import.TipoArredondamento&lt;&gt;"TransfereGOV",
ROUND(OFFSET($P287,0,AC$13),15-13*ORÇAMENTO!$AF$7)/$H287*OFFSET(ORÇAMENTO!$X$15,ROW(AC287)-ROW(AC$15),0),
ROUND(ROUND(OFFSET($P287,0,AC$13),15-13*ORÇAMENTO!$AF$7)*OFFSET(ORÇAMENTO!$W$15,ROW(AC287)-ROW(AC$15),0),15-13*ORÇAMENTO!$AF$11)),0)</f>
        <v>0</v>
      </c>
      <c r="AD287" s="545">
        <f ca="1">IF(AND($D287="Serviço",AD$12&lt;&gt;0,$H287&gt;0,OR(AUTOEVENTO&lt;&gt;"manual",$M287&lt;&gt;1)),
IF(Import.TipoArredondamento&lt;&gt;"TransfereGOV",
ROUND(OFFSET($P287,0,AD$13),15-13*ORÇAMENTO!$AF$7)/$H287*OFFSET(ORÇAMENTO!$X$15,ROW(AD287)-ROW(AD$15),0),
ROUND(ROUND(OFFSET($P287,0,AD$13),15-13*ORÇAMENTO!$AF$7)*OFFSET(ORÇAMENTO!$W$15,ROW(AD287)-ROW(AD$15),0),15-13*ORÇAMENTO!$AF$11)),0)</f>
        <v>0</v>
      </c>
      <c r="AE287" s="545">
        <f ca="1">IF(AND($D287="Serviço",AE$12&lt;&gt;0,$H287&gt;0,OR(AUTOEVENTO&lt;&gt;"manual",$M287&lt;&gt;1)),
IF(Import.TipoArredondamento&lt;&gt;"TransfereGOV",
ROUND(OFFSET($P287,0,AE$13),15-13*ORÇAMENTO!$AF$7)/$H287*OFFSET(ORÇAMENTO!$X$15,ROW(AE287)-ROW(AE$15),0),
ROUND(ROUND(OFFSET($P287,0,AE$13),15-13*ORÇAMENTO!$AF$7)*OFFSET(ORÇAMENTO!$W$15,ROW(AE287)-ROW(AE$15),0),15-13*ORÇAMENTO!$AF$11)),0)</f>
        <v>0</v>
      </c>
      <c r="AF287" s="545">
        <f ca="1">IF(AND($D287="Serviço",AF$12&lt;&gt;0,$H287&gt;0,OR(AUTOEVENTO&lt;&gt;"manual",$M287&lt;&gt;1)),
IF(Import.TipoArredondamento&lt;&gt;"TransfereGOV",
ROUND(OFFSET($P287,0,AF$13),15-13*ORÇAMENTO!$AF$7)/$H287*OFFSET(ORÇAMENTO!$X$15,ROW(AF287)-ROW(AF$15),0),
ROUND(ROUND(OFFSET($P287,0,AF$13),15-13*ORÇAMENTO!$AF$7)*OFFSET(ORÇAMENTO!$W$15,ROW(AF287)-ROW(AF$15),0),15-13*ORÇAMENTO!$AF$11)),0)</f>
        <v>0</v>
      </c>
      <c r="AG287" s="545">
        <f ca="1">IF(AND($D287="Serviço",AG$12&lt;&gt;0,$H287&gt;0,OR(AUTOEVENTO&lt;&gt;"manual",$M287&lt;&gt;1)),
IF(Import.TipoArredondamento&lt;&gt;"TransfereGOV",
ROUND(OFFSET($P287,0,AG$13),15-13*ORÇAMENTO!$AF$7)/$H287*OFFSET(ORÇAMENTO!$X$15,ROW(AG287)-ROW(AG$15),0),
ROUND(ROUND(OFFSET($P287,0,AG$13),15-13*ORÇAMENTO!$AF$7)*OFFSET(ORÇAMENTO!$W$15,ROW(AG287)-ROW(AG$15),0),15-13*ORÇAMENTO!$AF$11)),0)</f>
        <v>0</v>
      </c>
      <c r="AH287" s="545">
        <f ca="1">IF(AND($D287="Serviço",AH$12&lt;&gt;0,$H287&gt;0,OR(AUTOEVENTO&lt;&gt;"manual",$M287&lt;&gt;1)),
IF(Import.TipoArredondamento&lt;&gt;"TransfereGOV",
ROUND(OFFSET($P287,0,AH$13),15-13*ORÇAMENTO!$AF$7)/$H287*OFFSET(ORÇAMENTO!$X$15,ROW(AH287)-ROW(AH$15),0),
ROUND(ROUND(OFFSET($P287,0,AH$13),15-13*ORÇAMENTO!$AF$7)*OFFSET(ORÇAMENTO!$W$15,ROW(AH287)-ROW(AH$15),0),15-13*ORÇAMENTO!$AF$11)),0)</f>
        <v>0</v>
      </c>
      <c r="AI287" s="545">
        <f ca="1">IF(AND($D287="Serviço",AI$12&lt;&gt;0,$H287&gt;0,OR(AUTOEVENTO&lt;&gt;"manual",$M287&lt;&gt;1)),
IF(Import.TipoArredondamento&lt;&gt;"TransfereGOV",
ROUND(OFFSET($P287,0,AI$13),15-13*ORÇAMENTO!$AF$7)/$H287*OFFSET(ORÇAMENTO!$X$15,ROW(AI287)-ROW(AI$15),0),
ROUND(ROUND(OFFSET($P287,0,AI$13),15-13*ORÇAMENTO!$AF$7)*OFFSET(ORÇAMENTO!$W$15,ROW(AI287)-ROW(AI$15),0),15-13*ORÇAMENTO!$AF$11)),0)</f>
        <v>0</v>
      </c>
      <c r="AJ287" s="545">
        <f ca="1">IF(AND($D287="Serviço",AJ$12&lt;&gt;0,$H287&gt;0,OR(AUTOEVENTO&lt;&gt;"manual",$M287&lt;&gt;1)),
IF(Import.TipoArredondamento&lt;&gt;"TransfereGOV",
ROUND(OFFSET($P287,0,AJ$13),15-13*ORÇAMENTO!$AF$7)/$H287*OFFSET(ORÇAMENTO!$X$15,ROW(AJ287)-ROW(AJ$15),0),
ROUND(ROUND(OFFSET($P287,0,AJ$13),15-13*ORÇAMENTO!$AF$7)*OFFSET(ORÇAMENTO!$W$15,ROW(AJ287)-ROW(AJ$15),0),15-13*ORÇAMENTO!$AF$11)),0)</f>
        <v>0</v>
      </c>
      <c r="AK287" s="546">
        <f ca="1">IF(AND($D287="Serviço",AK$12&lt;&gt;0,$H287&gt;0,OR(AUTOEVENTO&lt;&gt;"manual",$M287&lt;&gt;1)),
IF(Import.TipoArredondamento&lt;&gt;"TransfereGOV",
ROUND(OFFSET($P287,0,AK$13),15-13*ORÇAMENTO!$AF$7)/$H287*OFFSET(ORÇAMENTO!$X$15,ROW(AK287)-ROW(AK$15),0),
ROUND(ROUND(OFFSET($P287,0,AK$13),15-13*ORÇAMENTO!$AF$7)*OFFSET(ORÇAMENTO!$W$15,ROW(AK287)-ROW(AK$15),0),15-13*ORÇAMENTO!$AF$11)),0)</f>
        <v>0</v>
      </c>
      <c r="AM287" s="181">
        <f ca="1">IF($D287&lt;&gt;"Serviço",0,IF(AND(AUTOEVENTO="Manual",$M287=1),0,IF(OFFSET(CRONOPLE!$F$14,$M287,AM$13)="",10^12,OFFSET(CRONOPLE!$F$14,$M287,AM$13))))</f>
        <v>1000000000000</v>
      </c>
      <c r="AN287" s="181">
        <f ca="1">IF($D287&lt;&gt;"Serviço",0,IF(AND(AUTOEVENTO="Manual",$M287=1),0,IF(OFFSET(CRONOPLE!$F$14,$M287,AN$13)="",10^12,OFFSET(CRONOPLE!$F$14,$M287,AN$13))))</f>
        <v>1000000000000</v>
      </c>
      <c r="AO287" s="181">
        <f ca="1">IF($D287&lt;&gt;"Serviço",0,IF(AND(AUTOEVENTO="Manual",$M287=1),0,IF(OFFSET(CRONOPLE!$F$14,$M287,AO$13)="",10^12,OFFSET(CRONOPLE!$F$14,$M287,AO$13))))</f>
        <v>1000000000000</v>
      </c>
      <c r="AP287" s="181">
        <f ca="1">IF($D287&lt;&gt;"Serviço",0,IF(AND(AUTOEVENTO="Manual",$M287=1),0,IF(OFFSET(CRONOPLE!$F$14,$M287,AP$13)="",10^12,OFFSET(CRONOPLE!$F$14,$M287,AP$13))))</f>
        <v>1000000000000</v>
      </c>
      <c r="AQ287" s="181">
        <f ca="1">IF($D287&lt;&gt;"Serviço",0,IF(AND(AUTOEVENTO="Manual",$M287=1),0,IF(OFFSET(CRONOPLE!$F$14,$M287,AQ$13)="",10^12,OFFSET(CRONOPLE!$F$14,$M287,AQ$13))))</f>
        <v>1000000000000</v>
      </c>
      <c r="AR287" s="181">
        <f ca="1">IF($D287&lt;&gt;"Serviço",0,IF(AND(AUTOEVENTO="Manual",$M287=1),0,IF(OFFSET(CRONOPLE!$F$14,$M287,AR$13)="",10^12,OFFSET(CRONOPLE!$F$14,$M287,AR$13))))</f>
        <v>1000000000000</v>
      </c>
      <c r="AS287" s="181">
        <f ca="1">IF($D287&lt;&gt;"Serviço",0,IF(AND(AUTOEVENTO="Manual",$M287=1),0,IF(OFFSET(CRONOPLE!$F$14,$M287,AS$13)="",10^12,OFFSET(CRONOPLE!$F$14,$M287,AS$13))))</f>
        <v>1000000000000</v>
      </c>
      <c r="AT287" s="181">
        <f ca="1">IF($D287&lt;&gt;"Serviço",0,IF(AND(AUTOEVENTO="Manual",$M287=1),0,IF(OFFSET(CRONOPLE!$F$14,$M287,AT$13)="",10^12,OFFSET(CRONOPLE!$F$14,$M287,AT$13))))</f>
        <v>1000000000000</v>
      </c>
      <c r="AU287" s="181">
        <f ca="1">IF($D287&lt;&gt;"Serviço",0,IF(AND(AUTOEVENTO="Manual",$M287=1),0,IF(OFFSET(CRONOPLE!$F$14,$M287,AU$13)="",10^12,OFFSET(CRONOPLE!$F$14,$M287,AU$13))))</f>
        <v>1000000000000</v>
      </c>
      <c r="AV287" s="181">
        <f ca="1">IF($D287&lt;&gt;"Serviço",0,IF(AND(AUTOEVENTO="Manual",$M287=1),0,IF(OFFSET(CRONOPLE!$F$14,$M287,AV$13)="",10^12,OFFSET(CRONOPLE!$F$14,$M287,AV$13))))</f>
        <v>1000000000000</v>
      </c>
      <c r="AX287" s="182">
        <f ca="1">IF($D287&lt;&gt;"Serviço",0,IF(OR(AND(AUTOEVENTO="Manual",$M287=1),$M287&gt;(ROW(PLE.lastrow)-ROW(PLE.firstrow))),0,IF(OFFSET(PLE!$G$14,$M287,AX$13)="",10^12,OFFSET(PLE!$G$14,$M287,AX$13))))</f>
        <v>1000000000000</v>
      </c>
      <c r="AY287" s="182">
        <f ca="1">IF($D287&lt;&gt;"Serviço",0,IF(OR(AND(AUTOEVENTO="Manual",$M287=1),$M287&gt;(ROW(PLE.lastrow)-ROW(PLE.firstrow))),0,IF(OFFSET(PLE!$G$14,$M287,AY$13)="",10^12,OFFSET(PLE!$G$14,$M287,AY$13))))</f>
        <v>1000000000000</v>
      </c>
      <c r="AZ287" s="182">
        <f ca="1">IF($D287&lt;&gt;"Serviço",0,IF(OR(AND(AUTOEVENTO="Manual",$M287=1),$M287&gt;(ROW(PLE.lastrow)-ROW(PLE.firstrow))),0,IF(OFFSET(PLE!$G$14,$M287,AZ$13)="",10^12,OFFSET(PLE!$G$14,$M287,AZ$13))))</f>
        <v>1000000000000</v>
      </c>
      <c r="BA287" s="182">
        <f ca="1">IF($D287&lt;&gt;"Serviço",0,IF(OR(AND(AUTOEVENTO="Manual",$M287=1),$M287&gt;(ROW(PLE.lastrow)-ROW(PLE.firstrow))),0,IF(OFFSET(PLE!$G$14,$M287,BA$13)="",10^12,OFFSET(PLE!$G$14,$M287,BA$13))))</f>
        <v>1000000000000</v>
      </c>
      <c r="BB287" s="182">
        <f ca="1">IF($D287&lt;&gt;"Serviço",0,IF(OR(AND(AUTOEVENTO="Manual",$M287=1),$M287&gt;(ROW(PLE.lastrow)-ROW(PLE.firstrow))),0,IF(OFFSET(PLE!$G$14,$M287,BB$13)="",10^12,OFFSET(PLE!$G$14,$M287,BB$13))))</f>
        <v>1000000000000</v>
      </c>
      <c r="BC287" s="182">
        <f ca="1">IF($D287&lt;&gt;"Serviço",0,IF(OR(AND(AUTOEVENTO="Manual",$M287=1),$M287&gt;(ROW(PLE.lastrow)-ROW(PLE.firstrow))),0,IF(OFFSET(PLE!$G$14,$M287,BC$13)="",10^12,OFFSET(PLE!$G$14,$M287,BC$13))))</f>
        <v>1000000000000</v>
      </c>
      <c r="BD287" s="182">
        <f ca="1">IF($D287&lt;&gt;"Serviço",0,IF(OR(AND(AUTOEVENTO="Manual",$M287=1),$M287&gt;(ROW(PLE.lastrow)-ROW(PLE.firstrow))),0,IF(OFFSET(PLE!$G$14,$M287,BD$13)="",10^12,OFFSET(PLE!$G$14,$M287,BD$13))))</f>
        <v>1000000000000</v>
      </c>
      <c r="BE287" s="182">
        <f ca="1">IF($D287&lt;&gt;"Serviço",0,IF(OR(AND(AUTOEVENTO="Manual",$M287=1),$M287&gt;(ROW(PLE.lastrow)-ROW(PLE.firstrow))),0,IF(OFFSET(PLE!$G$14,$M287,BE$13)="",10^12,OFFSET(PLE!$G$14,$M287,BE$13))))</f>
        <v>1000000000000</v>
      </c>
      <c r="BF287" s="182">
        <f ca="1">IF($D287&lt;&gt;"Serviço",0,IF(OR(AND(AUTOEVENTO="Manual",$M287=1),$M287&gt;(ROW(PLE.lastrow)-ROW(PLE.firstrow))),0,IF(OFFSET(PLE!$G$14,$M287,BF$13)="",10^12,OFFSET(PLE!$G$14,$M287,BF$13))))</f>
        <v>1000000000000</v>
      </c>
      <c r="BG287" s="182">
        <f ca="1">IF($D287&lt;&gt;"Serviço",0,IF(OR(AND(AUTOEVENTO="Manual",$M287=1),$M287&gt;(ROW(PLE.lastrow)-ROW(PLE.firstrow))),0,IF(OFFSET(PLE!$G$14,$M287,BG$13)="",10^12,OFFSET(PLE!$G$14,$M287,BG$13))))</f>
        <v>1000000000000</v>
      </c>
    </row>
    <row r="288" spans="1:59" ht="25.5" x14ac:dyDescent="0.2">
      <c r="A288" s="7" t="str">
        <f t="shared" ca="1" si="11"/>
        <v>251</v>
      </c>
      <c r="B288" s="7" t="str">
        <f ca="1">OFFSET(ORÇAMENTO!C$15,ROW(B288)-ROW(B$15),0)</f>
        <v>S</v>
      </c>
      <c r="C288" s="7" t="str">
        <f ca="1">OFFSET(ORÇAMENTO!L$15,ROW(C288)-ROW(C$15),0)</f>
        <v/>
      </c>
      <c r="D288" s="118" t="str">
        <f ca="1">OFFSET(ORÇAMENTO!N$15,ROW(D288)-ROW(D$15),0)</f>
        <v>Serviço</v>
      </c>
      <c r="E288" s="119" t="str">
        <f ca="1">OFFSET(ORÇAMENTO!O$15,ROW(E288)-ROW(E$15),0)</f>
        <v>-</v>
      </c>
      <c r="F288" s="172" t="str">
        <f ca="1">OFFSET(ORÇAMENTO!R$15,ROW(F288)-ROW(F$15),0)</f>
        <v>(abra o arquivo 'Referência 02-2025.xlsm)</v>
      </c>
      <c r="G288" s="173" t="str">
        <f ca="1">IF($D288&lt;&gt;"Serviço","",OFFSET(ORÇAMENTO!S$15,ROW(G288)-ROW(G$15),0))</f>
        <v>-</v>
      </c>
      <c r="H288" s="124">
        <f ca="1">IF($D288&lt;&gt;"Serviço",0,IF(ACOMPANHAMENTO="BM",ROUND(OFFSET(ORÇAMENTO!AJ$15,ROW(H288)-ROW(H$15),0),15-13*ORÇAMENTO!$AF$7),SUMPRODUCT(($Q$12:$AA$12&lt;&gt;"")*ROUND($Q288:$AA288,15-13*ORÇAMENTO!$AF$7))))</f>
        <v>4</v>
      </c>
      <c r="I288" s="561" t="s">
        <v>890</v>
      </c>
      <c r="K288" s="174"/>
      <c r="L288" s="175" t="s">
        <v>255</v>
      </c>
      <c r="M288" s="176">
        <f ca="1">IF($D288&lt;&gt;"Serviço","",IF(AUTOEVENTO="manual",$A288,IF(ISERROR(MATCH($A288,$A$15:OFFSET($A288,-1,0),0)),MAX($M$15:OFFSET(M288,-1,0))+1,INDEX($M$15:OFFSET(M288,-1,0),MATCH($A288,$A$15:OFFSET($A288,-1,0),0)))))</f>
        <v>13</v>
      </c>
      <c r="N288" s="177" t="str">
        <f ca="1">IF($D288&lt;&gt;"Serviço","",IF(AUTOEVENTO="Manual",IF($A288=0,"&lt;-- defina o número do agrupador",OFFSET(EVENTOS!$D$14,$A288,0)),OFFSET($F$15,$A288,0)))</f>
        <v>INSTALAÇÃO HIDRÁULICA</v>
      </c>
      <c r="O288" s="178"/>
      <c r="Q288" s="178"/>
      <c r="R288" s="179"/>
      <c r="S288" s="179"/>
      <c r="T288" s="179"/>
      <c r="U288" s="179"/>
      <c r="V288" s="179"/>
      <c r="W288" s="179"/>
      <c r="X288" s="179"/>
      <c r="Y288" s="179"/>
      <c r="Z288" s="180"/>
      <c r="AB288" s="544">
        <f ca="1">IF(AND($D288="Serviço",AB$12&lt;&gt;0,$H288&gt;0,OR(AUTOEVENTO&lt;&gt;"manual",$M288&lt;&gt;1)),
IF(Import.TipoArredondamento&lt;&gt;"TransfereGOV",
ROUND(OFFSET($P288,0,AB$13),15-13*ORÇAMENTO!$AF$7)/$H288*OFFSET(ORÇAMENTO!$X$15,ROW(AB288)-ROW(AB$15),0),
ROUND(ROUND(OFFSET($P288,0,AB$13),15-13*ORÇAMENTO!$AF$7)*OFFSET(ORÇAMENTO!$W$15,ROW(AB288)-ROW(AB$15),0),15-13*ORÇAMENTO!$AF$11)),0)</f>
        <v>0</v>
      </c>
      <c r="AC288" s="545">
        <f ca="1">IF(AND($D288="Serviço",AC$12&lt;&gt;0,$H288&gt;0,OR(AUTOEVENTO&lt;&gt;"manual",$M288&lt;&gt;1)),
IF(Import.TipoArredondamento&lt;&gt;"TransfereGOV",
ROUND(OFFSET($P288,0,AC$13),15-13*ORÇAMENTO!$AF$7)/$H288*OFFSET(ORÇAMENTO!$X$15,ROW(AC288)-ROW(AC$15),0),
ROUND(ROUND(OFFSET($P288,0,AC$13),15-13*ORÇAMENTO!$AF$7)*OFFSET(ORÇAMENTO!$W$15,ROW(AC288)-ROW(AC$15),0),15-13*ORÇAMENTO!$AF$11)),0)</f>
        <v>0</v>
      </c>
      <c r="AD288" s="545">
        <f ca="1">IF(AND($D288="Serviço",AD$12&lt;&gt;0,$H288&gt;0,OR(AUTOEVENTO&lt;&gt;"manual",$M288&lt;&gt;1)),
IF(Import.TipoArredondamento&lt;&gt;"TransfereGOV",
ROUND(OFFSET($P288,0,AD$13),15-13*ORÇAMENTO!$AF$7)/$H288*OFFSET(ORÇAMENTO!$X$15,ROW(AD288)-ROW(AD$15),0),
ROUND(ROUND(OFFSET($P288,0,AD$13),15-13*ORÇAMENTO!$AF$7)*OFFSET(ORÇAMENTO!$W$15,ROW(AD288)-ROW(AD$15),0),15-13*ORÇAMENTO!$AF$11)),0)</f>
        <v>0</v>
      </c>
      <c r="AE288" s="545">
        <f ca="1">IF(AND($D288="Serviço",AE$12&lt;&gt;0,$H288&gt;0,OR(AUTOEVENTO&lt;&gt;"manual",$M288&lt;&gt;1)),
IF(Import.TipoArredondamento&lt;&gt;"TransfereGOV",
ROUND(OFFSET($P288,0,AE$13),15-13*ORÇAMENTO!$AF$7)/$H288*OFFSET(ORÇAMENTO!$X$15,ROW(AE288)-ROW(AE$15),0),
ROUND(ROUND(OFFSET($P288,0,AE$13),15-13*ORÇAMENTO!$AF$7)*OFFSET(ORÇAMENTO!$W$15,ROW(AE288)-ROW(AE$15),0),15-13*ORÇAMENTO!$AF$11)),0)</f>
        <v>0</v>
      </c>
      <c r="AF288" s="545">
        <f ca="1">IF(AND($D288="Serviço",AF$12&lt;&gt;0,$H288&gt;0,OR(AUTOEVENTO&lt;&gt;"manual",$M288&lt;&gt;1)),
IF(Import.TipoArredondamento&lt;&gt;"TransfereGOV",
ROUND(OFFSET($P288,0,AF$13),15-13*ORÇAMENTO!$AF$7)/$H288*OFFSET(ORÇAMENTO!$X$15,ROW(AF288)-ROW(AF$15),0),
ROUND(ROUND(OFFSET($P288,0,AF$13),15-13*ORÇAMENTO!$AF$7)*OFFSET(ORÇAMENTO!$W$15,ROW(AF288)-ROW(AF$15),0),15-13*ORÇAMENTO!$AF$11)),0)</f>
        <v>0</v>
      </c>
      <c r="AG288" s="545">
        <f ca="1">IF(AND($D288="Serviço",AG$12&lt;&gt;0,$H288&gt;0,OR(AUTOEVENTO&lt;&gt;"manual",$M288&lt;&gt;1)),
IF(Import.TipoArredondamento&lt;&gt;"TransfereGOV",
ROUND(OFFSET($P288,0,AG$13),15-13*ORÇAMENTO!$AF$7)/$H288*OFFSET(ORÇAMENTO!$X$15,ROW(AG288)-ROW(AG$15),0),
ROUND(ROUND(OFFSET($P288,0,AG$13),15-13*ORÇAMENTO!$AF$7)*OFFSET(ORÇAMENTO!$W$15,ROW(AG288)-ROW(AG$15),0),15-13*ORÇAMENTO!$AF$11)),0)</f>
        <v>0</v>
      </c>
      <c r="AH288" s="545">
        <f ca="1">IF(AND($D288="Serviço",AH$12&lt;&gt;0,$H288&gt;0,OR(AUTOEVENTO&lt;&gt;"manual",$M288&lt;&gt;1)),
IF(Import.TipoArredondamento&lt;&gt;"TransfereGOV",
ROUND(OFFSET($P288,0,AH$13),15-13*ORÇAMENTO!$AF$7)/$H288*OFFSET(ORÇAMENTO!$X$15,ROW(AH288)-ROW(AH$15),0),
ROUND(ROUND(OFFSET($P288,0,AH$13),15-13*ORÇAMENTO!$AF$7)*OFFSET(ORÇAMENTO!$W$15,ROW(AH288)-ROW(AH$15),0),15-13*ORÇAMENTO!$AF$11)),0)</f>
        <v>0</v>
      </c>
      <c r="AI288" s="545">
        <f ca="1">IF(AND($D288="Serviço",AI$12&lt;&gt;0,$H288&gt;0,OR(AUTOEVENTO&lt;&gt;"manual",$M288&lt;&gt;1)),
IF(Import.TipoArredondamento&lt;&gt;"TransfereGOV",
ROUND(OFFSET($P288,0,AI$13),15-13*ORÇAMENTO!$AF$7)/$H288*OFFSET(ORÇAMENTO!$X$15,ROW(AI288)-ROW(AI$15),0),
ROUND(ROUND(OFFSET($P288,0,AI$13),15-13*ORÇAMENTO!$AF$7)*OFFSET(ORÇAMENTO!$W$15,ROW(AI288)-ROW(AI$15),0),15-13*ORÇAMENTO!$AF$11)),0)</f>
        <v>0</v>
      </c>
      <c r="AJ288" s="545">
        <f ca="1">IF(AND($D288="Serviço",AJ$12&lt;&gt;0,$H288&gt;0,OR(AUTOEVENTO&lt;&gt;"manual",$M288&lt;&gt;1)),
IF(Import.TipoArredondamento&lt;&gt;"TransfereGOV",
ROUND(OFFSET($P288,0,AJ$13),15-13*ORÇAMENTO!$AF$7)/$H288*OFFSET(ORÇAMENTO!$X$15,ROW(AJ288)-ROW(AJ$15),0),
ROUND(ROUND(OFFSET($P288,0,AJ$13),15-13*ORÇAMENTO!$AF$7)*OFFSET(ORÇAMENTO!$W$15,ROW(AJ288)-ROW(AJ$15),0),15-13*ORÇAMENTO!$AF$11)),0)</f>
        <v>0</v>
      </c>
      <c r="AK288" s="546">
        <f ca="1">IF(AND($D288="Serviço",AK$12&lt;&gt;0,$H288&gt;0,OR(AUTOEVENTO&lt;&gt;"manual",$M288&lt;&gt;1)),
IF(Import.TipoArredondamento&lt;&gt;"TransfereGOV",
ROUND(OFFSET($P288,0,AK$13),15-13*ORÇAMENTO!$AF$7)/$H288*OFFSET(ORÇAMENTO!$X$15,ROW(AK288)-ROW(AK$15),0),
ROUND(ROUND(OFFSET($P288,0,AK$13),15-13*ORÇAMENTO!$AF$7)*OFFSET(ORÇAMENTO!$W$15,ROW(AK288)-ROW(AK$15),0),15-13*ORÇAMENTO!$AF$11)),0)</f>
        <v>0</v>
      </c>
      <c r="AM288" s="181">
        <f ca="1">IF($D288&lt;&gt;"Serviço",0,IF(AND(AUTOEVENTO="Manual",$M288=1),0,IF(OFFSET(CRONOPLE!$F$14,$M288,AM$13)="",10^12,OFFSET(CRONOPLE!$F$14,$M288,AM$13))))</f>
        <v>1000000000000</v>
      </c>
      <c r="AN288" s="181">
        <f ca="1">IF($D288&lt;&gt;"Serviço",0,IF(AND(AUTOEVENTO="Manual",$M288=1),0,IF(OFFSET(CRONOPLE!$F$14,$M288,AN$13)="",10^12,OFFSET(CRONOPLE!$F$14,$M288,AN$13))))</f>
        <v>1000000000000</v>
      </c>
      <c r="AO288" s="181">
        <f ca="1">IF($D288&lt;&gt;"Serviço",0,IF(AND(AUTOEVENTO="Manual",$M288=1),0,IF(OFFSET(CRONOPLE!$F$14,$M288,AO$13)="",10^12,OFFSET(CRONOPLE!$F$14,$M288,AO$13))))</f>
        <v>1000000000000</v>
      </c>
      <c r="AP288" s="181">
        <f ca="1">IF($D288&lt;&gt;"Serviço",0,IF(AND(AUTOEVENTO="Manual",$M288=1),0,IF(OFFSET(CRONOPLE!$F$14,$M288,AP$13)="",10^12,OFFSET(CRONOPLE!$F$14,$M288,AP$13))))</f>
        <v>1000000000000</v>
      </c>
      <c r="AQ288" s="181">
        <f ca="1">IF($D288&lt;&gt;"Serviço",0,IF(AND(AUTOEVENTO="Manual",$M288=1),0,IF(OFFSET(CRONOPLE!$F$14,$M288,AQ$13)="",10^12,OFFSET(CRONOPLE!$F$14,$M288,AQ$13))))</f>
        <v>1000000000000</v>
      </c>
      <c r="AR288" s="181">
        <f ca="1">IF($D288&lt;&gt;"Serviço",0,IF(AND(AUTOEVENTO="Manual",$M288=1),0,IF(OFFSET(CRONOPLE!$F$14,$M288,AR$13)="",10^12,OFFSET(CRONOPLE!$F$14,$M288,AR$13))))</f>
        <v>1000000000000</v>
      </c>
      <c r="AS288" s="181">
        <f ca="1">IF($D288&lt;&gt;"Serviço",0,IF(AND(AUTOEVENTO="Manual",$M288=1),0,IF(OFFSET(CRONOPLE!$F$14,$M288,AS$13)="",10^12,OFFSET(CRONOPLE!$F$14,$M288,AS$13))))</f>
        <v>1000000000000</v>
      </c>
      <c r="AT288" s="181">
        <f ca="1">IF($D288&lt;&gt;"Serviço",0,IF(AND(AUTOEVENTO="Manual",$M288=1),0,IF(OFFSET(CRONOPLE!$F$14,$M288,AT$13)="",10^12,OFFSET(CRONOPLE!$F$14,$M288,AT$13))))</f>
        <v>1000000000000</v>
      </c>
      <c r="AU288" s="181">
        <f ca="1">IF($D288&lt;&gt;"Serviço",0,IF(AND(AUTOEVENTO="Manual",$M288=1),0,IF(OFFSET(CRONOPLE!$F$14,$M288,AU$13)="",10^12,OFFSET(CRONOPLE!$F$14,$M288,AU$13))))</f>
        <v>1000000000000</v>
      </c>
      <c r="AV288" s="181">
        <f ca="1">IF($D288&lt;&gt;"Serviço",0,IF(AND(AUTOEVENTO="Manual",$M288=1),0,IF(OFFSET(CRONOPLE!$F$14,$M288,AV$13)="",10^12,OFFSET(CRONOPLE!$F$14,$M288,AV$13))))</f>
        <v>1000000000000</v>
      </c>
      <c r="AX288" s="182">
        <f ca="1">IF($D288&lt;&gt;"Serviço",0,IF(OR(AND(AUTOEVENTO="Manual",$M288=1),$M288&gt;(ROW(PLE.lastrow)-ROW(PLE.firstrow))),0,IF(OFFSET(PLE!$G$14,$M288,AX$13)="",10^12,OFFSET(PLE!$G$14,$M288,AX$13))))</f>
        <v>1000000000000</v>
      </c>
      <c r="AY288" s="182">
        <f ca="1">IF($D288&lt;&gt;"Serviço",0,IF(OR(AND(AUTOEVENTO="Manual",$M288=1),$M288&gt;(ROW(PLE.lastrow)-ROW(PLE.firstrow))),0,IF(OFFSET(PLE!$G$14,$M288,AY$13)="",10^12,OFFSET(PLE!$G$14,$M288,AY$13))))</f>
        <v>1000000000000</v>
      </c>
      <c r="AZ288" s="182">
        <f ca="1">IF($D288&lt;&gt;"Serviço",0,IF(OR(AND(AUTOEVENTO="Manual",$M288=1),$M288&gt;(ROW(PLE.lastrow)-ROW(PLE.firstrow))),0,IF(OFFSET(PLE!$G$14,$M288,AZ$13)="",10^12,OFFSET(PLE!$G$14,$M288,AZ$13))))</f>
        <v>1000000000000</v>
      </c>
      <c r="BA288" s="182">
        <f ca="1">IF($D288&lt;&gt;"Serviço",0,IF(OR(AND(AUTOEVENTO="Manual",$M288=1),$M288&gt;(ROW(PLE.lastrow)-ROW(PLE.firstrow))),0,IF(OFFSET(PLE!$G$14,$M288,BA$13)="",10^12,OFFSET(PLE!$G$14,$M288,BA$13))))</f>
        <v>1000000000000</v>
      </c>
      <c r="BB288" s="182">
        <f ca="1">IF($D288&lt;&gt;"Serviço",0,IF(OR(AND(AUTOEVENTO="Manual",$M288=1),$M288&gt;(ROW(PLE.lastrow)-ROW(PLE.firstrow))),0,IF(OFFSET(PLE!$G$14,$M288,BB$13)="",10^12,OFFSET(PLE!$G$14,$M288,BB$13))))</f>
        <v>1000000000000</v>
      </c>
      <c r="BC288" s="182">
        <f ca="1">IF($D288&lt;&gt;"Serviço",0,IF(OR(AND(AUTOEVENTO="Manual",$M288=1),$M288&gt;(ROW(PLE.lastrow)-ROW(PLE.firstrow))),0,IF(OFFSET(PLE!$G$14,$M288,BC$13)="",10^12,OFFSET(PLE!$G$14,$M288,BC$13))))</f>
        <v>1000000000000</v>
      </c>
      <c r="BD288" s="182">
        <f ca="1">IF($D288&lt;&gt;"Serviço",0,IF(OR(AND(AUTOEVENTO="Manual",$M288=1),$M288&gt;(ROW(PLE.lastrow)-ROW(PLE.firstrow))),0,IF(OFFSET(PLE!$G$14,$M288,BD$13)="",10^12,OFFSET(PLE!$G$14,$M288,BD$13))))</f>
        <v>1000000000000</v>
      </c>
      <c r="BE288" s="182">
        <f ca="1">IF($D288&lt;&gt;"Serviço",0,IF(OR(AND(AUTOEVENTO="Manual",$M288=1),$M288&gt;(ROW(PLE.lastrow)-ROW(PLE.firstrow))),0,IF(OFFSET(PLE!$G$14,$M288,BE$13)="",10^12,OFFSET(PLE!$G$14,$M288,BE$13))))</f>
        <v>1000000000000</v>
      </c>
      <c r="BF288" s="182">
        <f ca="1">IF($D288&lt;&gt;"Serviço",0,IF(OR(AND(AUTOEVENTO="Manual",$M288=1),$M288&gt;(ROW(PLE.lastrow)-ROW(PLE.firstrow))),0,IF(OFFSET(PLE!$G$14,$M288,BF$13)="",10^12,OFFSET(PLE!$G$14,$M288,BF$13))))</f>
        <v>1000000000000</v>
      </c>
      <c r="BG288" s="182">
        <f ca="1">IF($D288&lt;&gt;"Serviço",0,IF(OR(AND(AUTOEVENTO="Manual",$M288=1),$M288&gt;(ROW(PLE.lastrow)-ROW(PLE.firstrow))),0,IF(OFFSET(PLE!$G$14,$M288,BG$13)="",10^12,OFFSET(PLE!$G$14,$M288,BG$13))))</f>
        <v>1000000000000</v>
      </c>
    </row>
    <row r="289" spans="1:59" ht="38.25" x14ac:dyDescent="0.2">
      <c r="A289" s="7" t="str">
        <f t="shared" ca="1" si="11"/>
        <v>251</v>
      </c>
      <c r="B289" s="7" t="str">
        <f ca="1">OFFSET(ORÇAMENTO!C$15,ROW(B289)-ROW(B$15),0)</f>
        <v>S</v>
      </c>
      <c r="C289" s="7" t="str">
        <f ca="1">OFFSET(ORÇAMENTO!L$15,ROW(C289)-ROW(C$15),0)</f>
        <v/>
      </c>
      <c r="D289" s="118" t="str">
        <f ca="1">OFFSET(ORÇAMENTO!N$15,ROW(D289)-ROW(D$15),0)</f>
        <v>Serviço</v>
      </c>
      <c r="E289" s="119" t="str">
        <f ca="1">OFFSET(ORÇAMENTO!O$15,ROW(E289)-ROW(E$15),0)</f>
        <v>-</v>
      </c>
      <c r="F289" s="172" t="str">
        <f ca="1">OFFSET(ORÇAMENTO!R$15,ROW(F289)-ROW(F$15),0)</f>
        <v>(abra o arquivo 'Referência 02-2025.xlsm)</v>
      </c>
      <c r="G289" s="173" t="str">
        <f ca="1">IF($D289&lt;&gt;"Serviço","",OFFSET(ORÇAMENTO!S$15,ROW(G289)-ROW(G$15),0))</f>
        <v>-</v>
      </c>
      <c r="H289" s="124">
        <f ca="1">IF($D289&lt;&gt;"Serviço",0,IF(ACOMPANHAMENTO="BM",ROUND(OFFSET(ORÇAMENTO!AJ$15,ROW(H289)-ROW(H$15),0),15-13*ORÇAMENTO!$AF$7),SUMPRODUCT(($Q$12:$AA$12&lt;&gt;"")*ROUND($Q289:$AA289,15-13*ORÇAMENTO!$AF$7))))</f>
        <v>2</v>
      </c>
      <c r="I289" s="561" t="s">
        <v>890</v>
      </c>
      <c r="K289" s="174"/>
      <c r="L289" s="175" t="s">
        <v>255</v>
      </c>
      <c r="M289" s="176">
        <f ca="1">IF($D289&lt;&gt;"Serviço","",IF(AUTOEVENTO="manual",$A289,IF(ISERROR(MATCH($A289,$A$15:OFFSET($A289,-1,0),0)),MAX($M$15:OFFSET(M289,-1,0))+1,INDEX($M$15:OFFSET(M289,-1,0),MATCH($A289,$A$15:OFFSET($A289,-1,0),0)))))</f>
        <v>13</v>
      </c>
      <c r="N289" s="177" t="str">
        <f ca="1">IF($D289&lt;&gt;"Serviço","",IF(AUTOEVENTO="Manual",IF($A289=0,"&lt;-- defina o número do agrupador",OFFSET(EVENTOS!$D$14,$A289,0)),OFFSET($F$15,$A289,0)))</f>
        <v>INSTALAÇÃO HIDRÁULICA</v>
      </c>
      <c r="O289" s="178"/>
      <c r="Q289" s="178"/>
      <c r="R289" s="179"/>
      <c r="S289" s="179"/>
      <c r="T289" s="179"/>
      <c r="U289" s="179"/>
      <c r="V289" s="179"/>
      <c r="W289" s="179"/>
      <c r="X289" s="179"/>
      <c r="Y289" s="179"/>
      <c r="Z289" s="180"/>
      <c r="AB289" s="544">
        <f ca="1">IF(AND($D289="Serviço",AB$12&lt;&gt;0,$H289&gt;0,OR(AUTOEVENTO&lt;&gt;"manual",$M289&lt;&gt;1)),
IF(Import.TipoArredondamento&lt;&gt;"TransfereGOV",
ROUND(OFFSET($P289,0,AB$13),15-13*ORÇAMENTO!$AF$7)/$H289*OFFSET(ORÇAMENTO!$X$15,ROW(AB289)-ROW(AB$15),0),
ROUND(ROUND(OFFSET($P289,0,AB$13),15-13*ORÇAMENTO!$AF$7)*OFFSET(ORÇAMENTO!$W$15,ROW(AB289)-ROW(AB$15),0),15-13*ORÇAMENTO!$AF$11)),0)</f>
        <v>0</v>
      </c>
      <c r="AC289" s="545">
        <f ca="1">IF(AND($D289="Serviço",AC$12&lt;&gt;0,$H289&gt;0,OR(AUTOEVENTO&lt;&gt;"manual",$M289&lt;&gt;1)),
IF(Import.TipoArredondamento&lt;&gt;"TransfereGOV",
ROUND(OFFSET($P289,0,AC$13),15-13*ORÇAMENTO!$AF$7)/$H289*OFFSET(ORÇAMENTO!$X$15,ROW(AC289)-ROW(AC$15),0),
ROUND(ROUND(OFFSET($P289,0,AC$13),15-13*ORÇAMENTO!$AF$7)*OFFSET(ORÇAMENTO!$W$15,ROW(AC289)-ROW(AC$15),0),15-13*ORÇAMENTO!$AF$11)),0)</f>
        <v>0</v>
      </c>
      <c r="AD289" s="545">
        <f ca="1">IF(AND($D289="Serviço",AD$12&lt;&gt;0,$H289&gt;0,OR(AUTOEVENTO&lt;&gt;"manual",$M289&lt;&gt;1)),
IF(Import.TipoArredondamento&lt;&gt;"TransfereGOV",
ROUND(OFFSET($P289,0,AD$13),15-13*ORÇAMENTO!$AF$7)/$H289*OFFSET(ORÇAMENTO!$X$15,ROW(AD289)-ROW(AD$15),0),
ROUND(ROUND(OFFSET($P289,0,AD$13),15-13*ORÇAMENTO!$AF$7)*OFFSET(ORÇAMENTO!$W$15,ROW(AD289)-ROW(AD$15),0),15-13*ORÇAMENTO!$AF$11)),0)</f>
        <v>0</v>
      </c>
      <c r="AE289" s="545">
        <f ca="1">IF(AND($D289="Serviço",AE$12&lt;&gt;0,$H289&gt;0,OR(AUTOEVENTO&lt;&gt;"manual",$M289&lt;&gt;1)),
IF(Import.TipoArredondamento&lt;&gt;"TransfereGOV",
ROUND(OFFSET($P289,0,AE$13),15-13*ORÇAMENTO!$AF$7)/$H289*OFFSET(ORÇAMENTO!$X$15,ROW(AE289)-ROW(AE$15),0),
ROUND(ROUND(OFFSET($P289,0,AE$13),15-13*ORÇAMENTO!$AF$7)*OFFSET(ORÇAMENTO!$W$15,ROW(AE289)-ROW(AE$15),0),15-13*ORÇAMENTO!$AF$11)),0)</f>
        <v>0</v>
      </c>
      <c r="AF289" s="545">
        <f ca="1">IF(AND($D289="Serviço",AF$12&lt;&gt;0,$H289&gt;0,OR(AUTOEVENTO&lt;&gt;"manual",$M289&lt;&gt;1)),
IF(Import.TipoArredondamento&lt;&gt;"TransfereGOV",
ROUND(OFFSET($P289,0,AF$13),15-13*ORÇAMENTO!$AF$7)/$H289*OFFSET(ORÇAMENTO!$X$15,ROW(AF289)-ROW(AF$15),0),
ROUND(ROUND(OFFSET($P289,0,AF$13),15-13*ORÇAMENTO!$AF$7)*OFFSET(ORÇAMENTO!$W$15,ROW(AF289)-ROW(AF$15),0),15-13*ORÇAMENTO!$AF$11)),0)</f>
        <v>0</v>
      </c>
      <c r="AG289" s="545">
        <f ca="1">IF(AND($D289="Serviço",AG$12&lt;&gt;0,$H289&gt;0,OR(AUTOEVENTO&lt;&gt;"manual",$M289&lt;&gt;1)),
IF(Import.TipoArredondamento&lt;&gt;"TransfereGOV",
ROUND(OFFSET($P289,0,AG$13),15-13*ORÇAMENTO!$AF$7)/$H289*OFFSET(ORÇAMENTO!$X$15,ROW(AG289)-ROW(AG$15),0),
ROUND(ROUND(OFFSET($P289,0,AG$13),15-13*ORÇAMENTO!$AF$7)*OFFSET(ORÇAMENTO!$W$15,ROW(AG289)-ROW(AG$15),0),15-13*ORÇAMENTO!$AF$11)),0)</f>
        <v>0</v>
      </c>
      <c r="AH289" s="545">
        <f ca="1">IF(AND($D289="Serviço",AH$12&lt;&gt;0,$H289&gt;0,OR(AUTOEVENTO&lt;&gt;"manual",$M289&lt;&gt;1)),
IF(Import.TipoArredondamento&lt;&gt;"TransfereGOV",
ROUND(OFFSET($P289,0,AH$13),15-13*ORÇAMENTO!$AF$7)/$H289*OFFSET(ORÇAMENTO!$X$15,ROW(AH289)-ROW(AH$15),0),
ROUND(ROUND(OFFSET($P289,0,AH$13),15-13*ORÇAMENTO!$AF$7)*OFFSET(ORÇAMENTO!$W$15,ROW(AH289)-ROW(AH$15),0),15-13*ORÇAMENTO!$AF$11)),0)</f>
        <v>0</v>
      </c>
      <c r="AI289" s="545">
        <f ca="1">IF(AND($D289="Serviço",AI$12&lt;&gt;0,$H289&gt;0,OR(AUTOEVENTO&lt;&gt;"manual",$M289&lt;&gt;1)),
IF(Import.TipoArredondamento&lt;&gt;"TransfereGOV",
ROUND(OFFSET($P289,0,AI$13),15-13*ORÇAMENTO!$AF$7)/$H289*OFFSET(ORÇAMENTO!$X$15,ROW(AI289)-ROW(AI$15),0),
ROUND(ROUND(OFFSET($P289,0,AI$13),15-13*ORÇAMENTO!$AF$7)*OFFSET(ORÇAMENTO!$W$15,ROW(AI289)-ROW(AI$15),0),15-13*ORÇAMENTO!$AF$11)),0)</f>
        <v>0</v>
      </c>
      <c r="AJ289" s="545">
        <f ca="1">IF(AND($D289="Serviço",AJ$12&lt;&gt;0,$H289&gt;0,OR(AUTOEVENTO&lt;&gt;"manual",$M289&lt;&gt;1)),
IF(Import.TipoArredondamento&lt;&gt;"TransfereGOV",
ROUND(OFFSET($P289,0,AJ$13),15-13*ORÇAMENTO!$AF$7)/$H289*OFFSET(ORÇAMENTO!$X$15,ROW(AJ289)-ROW(AJ$15),0),
ROUND(ROUND(OFFSET($P289,0,AJ$13),15-13*ORÇAMENTO!$AF$7)*OFFSET(ORÇAMENTO!$W$15,ROW(AJ289)-ROW(AJ$15),0),15-13*ORÇAMENTO!$AF$11)),0)</f>
        <v>0</v>
      </c>
      <c r="AK289" s="546">
        <f ca="1">IF(AND($D289="Serviço",AK$12&lt;&gt;0,$H289&gt;0,OR(AUTOEVENTO&lt;&gt;"manual",$M289&lt;&gt;1)),
IF(Import.TipoArredondamento&lt;&gt;"TransfereGOV",
ROUND(OFFSET($P289,0,AK$13),15-13*ORÇAMENTO!$AF$7)/$H289*OFFSET(ORÇAMENTO!$X$15,ROW(AK289)-ROW(AK$15),0),
ROUND(ROUND(OFFSET($P289,0,AK$13),15-13*ORÇAMENTO!$AF$7)*OFFSET(ORÇAMENTO!$W$15,ROW(AK289)-ROW(AK$15),0),15-13*ORÇAMENTO!$AF$11)),0)</f>
        <v>0</v>
      </c>
      <c r="AM289" s="181">
        <f ca="1">IF($D289&lt;&gt;"Serviço",0,IF(AND(AUTOEVENTO="Manual",$M289=1),0,IF(OFFSET(CRONOPLE!$F$14,$M289,AM$13)="",10^12,OFFSET(CRONOPLE!$F$14,$M289,AM$13))))</f>
        <v>1000000000000</v>
      </c>
      <c r="AN289" s="181">
        <f ca="1">IF($D289&lt;&gt;"Serviço",0,IF(AND(AUTOEVENTO="Manual",$M289=1),0,IF(OFFSET(CRONOPLE!$F$14,$M289,AN$13)="",10^12,OFFSET(CRONOPLE!$F$14,$M289,AN$13))))</f>
        <v>1000000000000</v>
      </c>
      <c r="AO289" s="181">
        <f ca="1">IF($D289&lt;&gt;"Serviço",0,IF(AND(AUTOEVENTO="Manual",$M289=1),0,IF(OFFSET(CRONOPLE!$F$14,$M289,AO$13)="",10^12,OFFSET(CRONOPLE!$F$14,$M289,AO$13))))</f>
        <v>1000000000000</v>
      </c>
      <c r="AP289" s="181">
        <f ca="1">IF($D289&lt;&gt;"Serviço",0,IF(AND(AUTOEVENTO="Manual",$M289=1),0,IF(OFFSET(CRONOPLE!$F$14,$M289,AP$13)="",10^12,OFFSET(CRONOPLE!$F$14,$M289,AP$13))))</f>
        <v>1000000000000</v>
      </c>
      <c r="AQ289" s="181">
        <f ca="1">IF($D289&lt;&gt;"Serviço",0,IF(AND(AUTOEVENTO="Manual",$M289=1),0,IF(OFFSET(CRONOPLE!$F$14,$M289,AQ$13)="",10^12,OFFSET(CRONOPLE!$F$14,$M289,AQ$13))))</f>
        <v>1000000000000</v>
      </c>
      <c r="AR289" s="181">
        <f ca="1">IF($D289&lt;&gt;"Serviço",0,IF(AND(AUTOEVENTO="Manual",$M289=1),0,IF(OFFSET(CRONOPLE!$F$14,$M289,AR$13)="",10^12,OFFSET(CRONOPLE!$F$14,$M289,AR$13))))</f>
        <v>1000000000000</v>
      </c>
      <c r="AS289" s="181">
        <f ca="1">IF($D289&lt;&gt;"Serviço",0,IF(AND(AUTOEVENTO="Manual",$M289=1),0,IF(OFFSET(CRONOPLE!$F$14,$M289,AS$13)="",10^12,OFFSET(CRONOPLE!$F$14,$M289,AS$13))))</f>
        <v>1000000000000</v>
      </c>
      <c r="AT289" s="181">
        <f ca="1">IF($D289&lt;&gt;"Serviço",0,IF(AND(AUTOEVENTO="Manual",$M289=1),0,IF(OFFSET(CRONOPLE!$F$14,$M289,AT$13)="",10^12,OFFSET(CRONOPLE!$F$14,$M289,AT$13))))</f>
        <v>1000000000000</v>
      </c>
      <c r="AU289" s="181">
        <f ca="1">IF($D289&lt;&gt;"Serviço",0,IF(AND(AUTOEVENTO="Manual",$M289=1),0,IF(OFFSET(CRONOPLE!$F$14,$M289,AU$13)="",10^12,OFFSET(CRONOPLE!$F$14,$M289,AU$13))))</f>
        <v>1000000000000</v>
      </c>
      <c r="AV289" s="181">
        <f ca="1">IF($D289&lt;&gt;"Serviço",0,IF(AND(AUTOEVENTO="Manual",$M289=1),0,IF(OFFSET(CRONOPLE!$F$14,$M289,AV$13)="",10^12,OFFSET(CRONOPLE!$F$14,$M289,AV$13))))</f>
        <v>1000000000000</v>
      </c>
      <c r="AX289" s="182">
        <f ca="1">IF($D289&lt;&gt;"Serviço",0,IF(OR(AND(AUTOEVENTO="Manual",$M289=1),$M289&gt;(ROW(PLE.lastrow)-ROW(PLE.firstrow))),0,IF(OFFSET(PLE!$G$14,$M289,AX$13)="",10^12,OFFSET(PLE!$G$14,$M289,AX$13))))</f>
        <v>1000000000000</v>
      </c>
      <c r="AY289" s="182">
        <f ca="1">IF($D289&lt;&gt;"Serviço",0,IF(OR(AND(AUTOEVENTO="Manual",$M289=1),$M289&gt;(ROW(PLE.lastrow)-ROW(PLE.firstrow))),0,IF(OFFSET(PLE!$G$14,$M289,AY$13)="",10^12,OFFSET(PLE!$G$14,$M289,AY$13))))</f>
        <v>1000000000000</v>
      </c>
      <c r="AZ289" s="182">
        <f ca="1">IF($D289&lt;&gt;"Serviço",0,IF(OR(AND(AUTOEVENTO="Manual",$M289=1),$M289&gt;(ROW(PLE.lastrow)-ROW(PLE.firstrow))),0,IF(OFFSET(PLE!$G$14,$M289,AZ$13)="",10^12,OFFSET(PLE!$G$14,$M289,AZ$13))))</f>
        <v>1000000000000</v>
      </c>
      <c r="BA289" s="182">
        <f ca="1">IF($D289&lt;&gt;"Serviço",0,IF(OR(AND(AUTOEVENTO="Manual",$M289=1),$M289&gt;(ROW(PLE.lastrow)-ROW(PLE.firstrow))),0,IF(OFFSET(PLE!$G$14,$M289,BA$13)="",10^12,OFFSET(PLE!$G$14,$M289,BA$13))))</f>
        <v>1000000000000</v>
      </c>
      <c r="BB289" s="182">
        <f ca="1">IF($D289&lt;&gt;"Serviço",0,IF(OR(AND(AUTOEVENTO="Manual",$M289=1),$M289&gt;(ROW(PLE.lastrow)-ROW(PLE.firstrow))),0,IF(OFFSET(PLE!$G$14,$M289,BB$13)="",10^12,OFFSET(PLE!$G$14,$M289,BB$13))))</f>
        <v>1000000000000</v>
      </c>
      <c r="BC289" s="182">
        <f ca="1">IF($D289&lt;&gt;"Serviço",0,IF(OR(AND(AUTOEVENTO="Manual",$M289=1),$M289&gt;(ROW(PLE.lastrow)-ROW(PLE.firstrow))),0,IF(OFFSET(PLE!$G$14,$M289,BC$13)="",10^12,OFFSET(PLE!$G$14,$M289,BC$13))))</f>
        <v>1000000000000</v>
      </c>
      <c r="BD289" s="182">
        <f ca="1">IF($D289&lt;&gt;"Serviço",0,IF(OR(AND(AUTOEVENTO="Manual",$M289=1),$M289&gt;(ROW(PLE.lastrow)-ROW(PLE.firstrow))),0,IF(OFFSET(PLE!$G$14,$M289,BD$13)="",10^12,OFFSET(PLE!$G$14,$M289,BD$13))))</f>
        <v>1000000000000</v>
      </c>
      <c r="BE289" s="182">
        <f ca="1">IF($D289&lt;&gt;"Serviço",0,IF(OR(AND(AUTOEVENTO="Manual",$M289=1),$M289&gt;(ROW(PLE.lastrow)-ROW(PLE.firstrow))),0,IF(OFFSET(PLE!$G$14,$M289,BE$13)="",10^12,OFFSET(PLE!$G$14,$M289,BE$13))))</f>
        <v>1000000000000</v>
      </c>
      <c r="BF289" s="182">
        <f ca="1">IF($D289&lt;&gt;"Serviço",0,IF(OR(AND(AUTOEVENTO="Manual",$M289=1),$M289&gt;(ROW(PLE.lastrow)-ROW(PLE.firstrow))),0,IF(OFFSET(PLE!$G$14,$M289,BF$13)="",10^12,OFFSET(PLE!$G$14,$M289,BF$13))))</f>
        <v>1000000000000</v>
      </c>
      <c r="BG289" s="182">
        <f ca="1">IF($D289&lt;&gt;"Serviço",0,IF(OR(AND(AUTOEVENTO="Manual",$M289=1),$M289&gt;(ROW(PLE.lastrow)-ROW(PLE.firstrow))),0,IF(OFFSET(PLE!$G$14,$M289,BG$13)="",10^12,OFFSET(PLE!$G$14,$M289,BG$13))))</f>
        <v>1000000000000</v>
      </c>
    </row>
    <row r="290" spans="1:59" ht="38.25" x14ac:dyDescent="0.2">
      <c r="A290" s="7" t="str">
        <f t="shared" ca="1" si="11"/>
        <v>251</v>
      </c>
      <c r="B290" s="7" t="str">
        <f ca="1">OFFSET(ORÇAMENTO!C$15,ROW(B290)-ROW(B$15),0)</f>
        <v>S</v>
      </c>
      <c r="C290" s="7" t="str">
        <f ca="1">OFFSET(ORÇAMENTO!L$15,ROW(C290)-ROW(C$15),0)</f>
        <v/>
      </c>
      <c r="D290" s="118" t="str">
        <f ca="1">OFFSET(ORÇAMENTO!N$15,ROW(D290)-ROW(D$15),0)</f>
        <v>Serviço</v>
      </c>
      <c r="E290" s="119" t="str">
        <f ca="1">OFFSET(ORÇAMENTO!O$15,ROW(E290)-ROW(E$15),0)</f>
        <v>-</v>
      </c>
      <c r="F290" s="172" t="str">
        <f ca="1">OFFSET(ORÇAMENTO!R$15,ROW(F290)-ROW(F$15),0)</f>
        <v>(abra o arquivo 'Referência 02-2025.xlsm)</v>
      </c>
      <c r="G290" s="173" t="str">
        <f ca="1">IF($D290&lt;&gt;"Serviço","",OFFSET(ORÇAMENTO!S$15,ROW(G290)-ROW(G$15),0))</f>
        <v>-</v>
      </c>
      <c r="H290" s="124">
        <f ca="1">IF($D290&lt;&gt;"Serviço",0,IF(ACOMPANHAMENTO="BM",ROUND(OFFSET(ORÇAMENTO!AJ$15,ROW(H290)-ROW(H$15),0),15-13*ORÇAMENTO!$AF$7),SUMPRODUCT(($Q$12:$AA$12&lt;&gt;"")*ROUND($Q290:$AA290,15-13*ORÇAMENTO!$AF$7))))</f>
        <v>1</v>
      </c>
      <c r="I290" s="561" t="s">
        <v>890</v>
      </c>
      <c r="K290" s="174"/>
      <c r="L290" s="175" t="s">
        <v>255</v>
      </c>
      <c r="M290" s="176">
        <f ca="1">IF($D290&lt;&gt;"Serviço","",IF(AUTOEVENTO="manual",$A290,IF(ISERROR(MATCH($A290,$A$15:OFFSET($A290,-1,0),0)),MAX($M$15:OFFSET(M290,-1,0))+1,INDEX($M$15:OFFSET(M290,-1,0),MATCH($A290,$A$15:OFFSET($A290,-1,0),0)))))</f>
        <v>13</v>
      </c>
      <c r="N290" s="177" t="str">
        <f ca="1">IF($D290&lt;&gt;"Serviço","",IF(AUTOEVENTO="Manual",IF($A290=0,"&lt;-- defina o número do agrupador",OFFSET(EVENTOS!$D$14,$A290,0)),OFFSET($F$15,$A290,0)))</f>
        <v>INSTALAÇÃO HIDRÁULICA</v>
      </c>
      <c r="O290" s="178"/>
      <c r="Q290" s="178"/>
      <c r="R290" s="179"/>
      <c r="S290" s="179"/>
      <c r="T290" s="179"/>
      <c r="U290" s="179"/>
      <c r="V290" s="179"/>
      <c r="W290" s="179"/>
      <c r="X290" s="179"/>
      <c r="Y290" s="179"/>
      <c r="Z290" s="180"/>
      <c r="AB290" s="544">
        <f ca="1">IF(AND($D290="Serviço",AB$12&lt;&gt;0,$H290&gt;0,OR(AUTOEVENTO&lt;&gt;"manual",$M290&lt;&gt;1)),
IF(Import.TipoArredondamento&lt;&gt;"TransfereGOV",
ROUND(OFFSET($P290,0,AB$13),15-13*ORÇAMENTO!$AF$7)/$H290*OFFSET(ORÇAMENTO!$X$15,ROW(AB290)-ROW(AB$15),0),
ROUND(ROUND(OFFSET($P290,0,AB$13),15-13*ORÇAMENTO!$AF$7)*OFFSET(ORÇAMENTO!$W$15,ROW(AB290)-ROW(AB$15),0),15-13*ORÇAMENTO!$AF$11)),0)</f>
        <v>0</v>
      </c>
      <c r="AC290" s="545">
        <f ca="1">IF(AND($D290="Serviço",AC$12&lt;&gt;0,$H290&gt;0,OR(AUTOEVENTO&lt;&gt;"manual",$M290&lt;&gt;1)),
IF(Import.TipoArredondamento&lt;&gt;"TransfereGOV",
ROUND(OFFSET($P290,0,AC$13),15-13*ORÇAMENTO!$AF$7)/$H290*OFFSET(ORÇAMENTO!$X$15,ROW(AC290)-ROW(AC$15),0),
ROUND(ROUND(OFFSET($P290,0,AC$13),15-13*ORÇAMENTO!$AF$7)*OFFSET(ORÇAMENTO!$W$15,ROW(AC290)-ROW(AC$15),0),15-13*ORÇAMENTO!$AF$11)),0)</f>
        <v>0</v>
      </c>
      <c r="AD290" s="545">
        <f ca="1">IF(AND($D290="Serviço",AD$12&lt;&gt;0,$H290&gt;0,OR(AUTOEVENTO&lt;&gt;"manual",$M290&lt;&gt;1)),
IF(Import.TipoArredondamento&lt;&gt;"TransfereGOV",
ROUND(OFFSET($P290,0,AD$13),15-13*ORÇAMENTO!$AF$7)/$H290*OFFSET(ORÇAMENTO!$X$15,ROW(AD290)-ROW(AD$15),0),
ROUND(ROUND(OFFSET($P290,0,AD$13),15-13*ORÇAMENTO!$AF$7)*OFFSET(ORÇAMENTO!$W$15,ROW(AD290)-ROW(AD$15),0),15-13*ORÇAMENTO!$AF$11)),0)</f>
        <v>0</v>
      </c>
      <c r="AE290" s="545">
        <f ca="1">IF(AND($D290="Serviço",AE$12&lt;&gt;0,$H290&gt;0,OR(AUTOEVENTO&lt;&gt;"manual",$M290&lt;&gt;1)),
IF(Import.TipoArredondamento&lt;&gt;"TransfereGOV",
ROUND(OFFSET($P290,0,AE$13),15-13*ORÇAMENTO!$AF$7)/$H290*OFFSET(ORÇAMENTO!$X$15,ROW(AE290)-ROW(AE$15),0),
ROUND(ROUND(OFFSET($P290,0,AE$13),15-13*ORÇAMENTO!$AF$7)*OFFSET(ORÇAMENTO!$W$15,ROW(AE290)-ROW(AE$15),0),15-13*ORÇAMENTO!$AF$11)),0)</f>
        <v>0</v>
      </c>
      <c r="AF290" s="545">
        <f ca="1">IF(AND($D290="Serviço",AF$12&lt;&gt;0,$H290&gt;0,OR(AUTOEVENTO&lt;&gt;"manual",$M290&lt;&gt;1)),
IF(Import.TipoArredondamento&lt;&gt;"TransfereGOV",
ROUND(OFFSET($P290,0,AF$13),15-13*ORÇAMENTO!$AF$7)/$H290*OFFSET(ORÇAMENTO!$X$15,ROW(AF290)-ROW(AF$15),0),
ROUND(ROUND(OFFSET($P290,0,AF$13),15-13*ORÇAMENTO!$AF$7)*OFFSET(ORÇAMENTO!$W$15,ROW(AF290)-ROW(AF$15),0),15-13*ORÇAMENTO!$AF$11)),0)</f>
        <v>0</v>
      </c>
      <c r="AG290" s="545">
        <f ca="1">IF(AND($D290="Serviço",AG$12&lt;&gt;0,$H290&gt;0,OR(AUTOEVENTO&lt;&gt;"manual",$M290&lt;&gt;1)),
IF(Import.TipoArredondamento&lt;&gt;"TransfereGOV",
ROUND(OFFSET($P290,0,AG$13),15-13*ORÇAMENTO!$AF$7)/$H290*OFFSET(ORÇAMENTO!$X$15,ROW(AG290)-ROW(AG$15),0),
ROUND(ROUND(OFFSET($P290,0,AG$13),15-13*ORÇAMENTO!$AF$7)*OFFSET(ORÇAMENTO!$W$15,ROW(AG290)-ROW(AG$15),0),15-13*ORÇAMENTO!$AF$11)),0)</f>
        <v>0</v>
      </c>
      <c r="AH290" s="545">
        <f ca="1">IF(AND($D290="Serviço",AH$12&lt;&gt;0,$H290&gt;0,OR(AUTOEVENTO&lt;&gt;"manual",$M290&lt;&gt;1)),
IF(Import.TipoArredondamento&lt;&gt;"TransfereGOV",
ROUND(OFFSET($P290,0,AH$13),15-13*ORÇAMENTO!$AF$7)/$H290*OFFSET(ORÇAMENTO!$X$15,ROW(AH290)-ROW(AH$15),0),
ROUND(ROUND(OFFSET($P290,0,AH$13),15-13*ORÇAMENTO!$AF$7)*OFFSET(ORÇAMENTO!$W$15,ROW(AH290)-ROW(AH$15),0),15-13*ORÇAMENTO!$AF$11)),0)</f>
        <v>0</v>
      </c>
      <c r="AI290" s="545">
        <f ca="1">IF(AND($D290="Serviço",AI$12&lt;&gt;0,$H290&gt;0,OR(AUTOEVENTO&lt;&gt;"manual",$M290&lt;&gt;1)),
IF(Import.TipoArredondamento&lt;&gt;"TransfereGOV",
ROUND(OFFSET($P290,0,AI$13),15-13*ORÇAMENTO!$AF$7)/$H290*OFFSET(ORÇAMENTO!$X$15,ROW(AI290)-ROW(AI$15),0),
ROUND(ROUND(OFFSET($P290,0,AI$13),15-13*ORÇAMENTO!$AF$7)*OFFSET(ORÇAMENTO!$W$15,ROW(AI290)-ROW(AI$15),0),15-13*ORÇAMENTO!$AF$11)),0)</f>
        <v>0</v>
      </c>
      <c r="AJ290" s="545">
        <f ca="1">IF(AND($D290="Serviço",AJ$12&lt;&gt;0,$H290&gt;0,OR(AUTOEVENTO&lt;&gt;"manual",$M290&lt;&gt;1)),
IF(Import.TipoArredondamento&lt;&gt;"TransfereGOV",
ROUND(OFFSET($P290,0,AJ$13),15-13*ORÇAMENTO!$AF$7)/$H290*OFFSET(ORÇAMENTO!$X$15,ROW(AJ290)-ROW(AJ$15),0),
ROUND(ROUND(OFFSET($P290,0,AJ$13),15-13*ORÇAMENTO!$AF$7)*OFFSET(ORÇAMENTO!$W$15,ROW(AJ290)-ROW(AJ$15),0),15-13*ORÇAMENTO!$AF$11)),0)</f>
        <v>0</v>
      </c>
      <c r="AK290" s="546">
        <f ca="1">IF(AND($D290="Serviço",AK$12&lt;&gt;0,$H290&gt;0,OR(AUTOEVENTO&lt;&gt;"manual",$M290&lt;&gt;1)),
IF(Import.TipoArredondamento&lt;&gt;"TransfereGOV",
ROUND(OFFSET($P290,0,AK$13),15-13*ORÇAMENTO!$AF$7)/$H290*OFFSET(ORÇAMENTO!$X$15,ROW(AK290)-ROW(AK$15),0),
ROUND(ROUND(OFFSET($P290,0,AK$13),15-13*ORÇAMENTO!$AF$7)*OFFSET(ORÇAMENTO!$W$15,ROW(AK290)-ROW(AK$15),0),15-13*ORÇAMENTO!$AF$11)),0)</f>
        <v>0</v>
      </c>
      <c r="AM290" s="181">
        <f ca="1">IF($D290&lt;&gt;"Serviço",0,IF(AND(AUTOEVENTO="Manual",$M290=1),0,IF(OFFSET(CRONOPLE!$F$14,$M290,AM$13)="",10^12,OFFSET(CRONOPLE!$F$14,$M290,AM$13))))</f>
        <v>1000000000000</v>
      </c>
      <c r="AN290" s="181">
        <f ca="1">IF($D290&lt;&gt;"Serviço",0,IF(AND(AUTOEVENTO="Manual",$M290=1),0,IF(OFFSET(CRONOPLE!$F$14,$M290,AN$13)="",10^12,OFFSET(CRONOPLE!$F$14,$M290,AN$13))))</f>
        <v>1000000000000</v>
      </c>
      <c r="AO290" s="181">
        <f ca="1">IF($D290&lt;&gt;"Serviço",0,IF(AND(AUTOEVENTO="Manual",$M290=1),0,IF(OFFSET(CRONOPLE!$F$14,$M290,AO$13)="",10^12,OFFSET(CRONOPLE!$F$14,$M290,AO$13))))</f>
        <v>1000000000000</v>
      </c>
      <c r="AP290" s="181">
        <f ca="1">IF($D290&lt;&gt;"Serviço",0,IF(AND(AUTOEVENTO="Manual",$M290=1),0,IF(OFFSET(CRONOPLE!$F$14,$M290,AP$13)="",10^12,OFFSET(CRONOPLE!$F$14,$M290,AP$13))))</f>
        <v>1000000000000</v>
      </c>
      <c r="AQ290" s="181">
        <f ca="1">IF($D290&lt;&gt;"Serviço",0,IF(AND(AUTOEVENTO="Manual",$M290=1),0,IF(OFFSET(CRONOPLE!$F$14,$M290,AQ$13)="",10^12,OFFSET(CRONOPLE!$F$14,$M290,AQ$13))))</f>
        <v>1000000000000</v>
      </c>
      <c r="AR290" s="181">
        <f ca="1">IF($D290&lt;&gt;"Serviço",0,IF(AND(AUTOEVENTO="Manual",$M290=1),0,IF(OFFSET(CRONOPLE!$F$14,$M290,AR$13)="",10^12,OFFSET(CRONOPLE!$F$14,$M290,AR$13))))</f>
        <v>1000000000000</v>
      </c>
      <c r="AS290" s="181">
        <f ca="1">IF($D290&lt;&gt;"Serviço",0,IF(AND(AUTOEVENTO="Manual",$M290=1),0,IF(OFFSET(CRONOPLE!$F$14,$M290,AS$13)="",10^12,OFFSET(CRONOPLE!$F$14,$M290,AS$13))))</f>
        <v>1000000000000</v>
      </c>
      <c r="AT290" s="181">
        <f ca="1">IF($D290&lt;&gt;"Serviço",0,IF(AND(AUTOEVENTO="Manual",$M290=1),0,IF(OFFSET(CRONOPLE!$F$14,$M290,AT$13)="",10^12,OFFSET(CRONOPLE!$F$14,$M290,AT$13))))</f>
        <v>1000000000000</v>
      </c>
      <c r="AU290" s="181">
        <f ca="1">IF($D290&lt;&gt;"Serviço",0,IF(AND(AUTOEVENTO="Manual",$M290=1),0,IF(OFFSET(CRONOPLE!$F$14,$M290,AU$13)="",10^12,OFFSET(CRONOPLE!$F$14,$M290,AU$13))))</f>
        <v>1000000000000</v>
      </c>
      <c r="AV290" s="181">
        <f ca="1">IF($D290&lt;&gt;"Serviço",0,IF(AND(AUTOEVENTO="Manual",$M290=1),0,IF(OFFSET(CRONOPLE!$F$14,$M290,AV$13)="",10^12,OFFSET(CRONOPLE!$F$14,$M290,AV$13))))</f>
        <v>1000000000000</v>
      </c>
      <c r="AX290" s="182">
        <f ca="1">IF($D290&lt;&gt;"Serviço",0,IF(OR(AND(AUTOEVENTO="Manual",$M290=1),$M290&gt;(ROW(PLE.lastrow)-ROW(PLE.firstrow))),0,IF(OFFSET(PLE!$G$14,$M290,AX$13)="",10^12,OFFSET(PLE!$G$14,$M290,AX$13))))</f>
        <v>1000000000000</v>
      </c>
      <c r="AY290" s="182">
        <f ca="1">IF($D290&lt;&gt;"Serviço",0,IF(OR(AND(AUTOEVENTO="Manual",$M290=1),$M290&gt;(ROW(PLE.lastrow)-ROW(PLE.firstrow))),0,IF(OFFSET(PLE!$G$14,$M290,AY$13)="",10^12,OFFSET(PLE!$G$14,$M290,AY$13))))</f>
        <v>1000000000000</v>
      </c>
      <c r="AZ290" s="182">
        <f ca="1">IF($D290&lt;&gt;"Serviço",0,IF(OR(AND(AUTOEVENTO="Manual",$M290=1),$M290&gt;(ROW(PLE.lastrow)-ROW(PLE.firstrow))),0,IF(OFFSET(PLE!$G$14,$M290,AZ$13)="",10^12,OFFSET(PLE!$G$14,$M290,AZ$13))))</f>
        <v>1000000000000</v>
      </c>
      <c r="BA290" s="182">
        <f ca="1">IF($D290&lt;&gt;"Serviço",0,IF(OR(AND(AUTOEVENTO="Manual",$M290=1),$M290&gt;(ROW(PLE.lastrow)-ROW(PLE.firstrow))),0,IF(OFFSET(PLE!$G$14,$M290,BA$13)="",10^12,OFFSET(PLE!$G$14,$M290,BA$13))))</f>
        <v>1000000000000</v>
      </c>
      <c r="BB290" s="182">
        <f ca="1">IF($D290&lt;&gt;"Serviço",0,IF(OR(AND(AUTOEVENTO="Manual",$M290=1),$M290&gt;(ROW(PLE.lastrow)-ROW(PLE.firstrow))),0,IF(OFFSET(PLE!$G$14,$M290,BB$13)="",10^12,OFFSET(PLE!$G$14,$M290,BB$13))))</f>
        <v>1000000000000</v>
      </c>
      <c r="BC290" s="182">
        <f ca="1">IF($D290&lt;&gt;"Serviço",0,IF(OR(AND(AUTOEVENTO="Manual",$M290=1),$M290&gt;(ROW(PLE.lastrow)-ROW(PLE.firstrow))),0,IF(OFFSET(PLE!$G$14,$M290,BC$13)="",10^12,OFFSET(PLE!$G$14,$M290,BC$13))))</f>
        <v>1000000000000</v>
      </c>
      <c r="BD290" s="182">
        <f ca="1">IF($D290&lt;&gt;"Serviço",0,IF(OR(AND(AUTOEVENTO="Manual",$M290=1),$M290&gt;(ROW(PLE.lastrow)-ROW(PLE.firstrow))),0,IF(OFFSET(PLE!$G$14,$M290,BD$13)="",10^12,OFFSET(PLE!$G$14,$M290,BD$13))))</f>
        <v>1000000000000</v>
      </c>
      <c r="BE290" s="182">
        <f ca="1">IF($D290&lt;&gt;"Serviço",0,IF(OR(AND(AUTOEVENTO="Manual",$M290=1),$M290&gt;(ROW(PLE.lastrow)-ROW(PLE.firstrow))),0,IF(OFFSET(PLE!$G$14,$M290,BE$13)="",10^12,OFFSET(PLE!$G$14,$M290,BE$13))))</f>
        <v>1000000000000</v>
      </c>
      <c r="BF290" s="182">
        <f ca="1">IF($D290&lt;&gt;"Serviço",0,IF(OR(AND(AUTOEVENTO="Manual",$M290=1),$M290&gt;(ROW(PLE.lastrow)-ROW(PLE.firstrow))),0,IF(OFFSET(PLE!$G$14,$M290,BF$13)="",10^12,OFFSET(PLE!$G$14,$M290,BF$13))))</f>
        <v>1000000000000</v>
      </c>
      <c r="BG290" s="182">
        <f ca="1">IF($D290&lt;&gt;"Serviço",0,IF(OR(AND(AUTOEVENTO="Manual",$M290=1),$M290&gt;(ROW(PLE.lastrow)-ROW(PLE.firstrow))),0,IF(OFFSET(PLE!$G$14,$M290,BG$13)="",10^12,OFFSET(PLE!$G$14,$M290,BG$13))))</f>
        <v>1000000000000</v>
      </c>
    </row>
    <row r="291" spans="1:59" ht="38.25" x14ac:dyDescent="0.2">
      <c r="A291" s="7" t="str">
        <f t="shared" ca="1" si="11"/>
        <v>251</v>
      </c>
      <c r="B291" s="7" t="str">
        <f ca="1">OFFSET(ORÇAMENTO!C$15,ROW(B291)-ROW(B$15),0)</f>
        <v>S</v>
      </c>
      <c r="C291" s="7" t="str">
        <f ca="1">OFFSET(ORÇAMENTO!L$15,ROW(C291)-ROW(C$15),0)</f>
        <v/>
      </c>
      <c r="D291" s="118" t="str">
        <f ca="1">OFFSET(ORÇAMENTO!N$15,ROW(D291)-ROW(D$15),0)</f>
        <v>Serviço</v>
      </c>
      <c r="E291" s="119" t="str">
        <f ca="1">OFFSET(ORÇAMENTO!O$15,ROW(E291)-ROW(E$15),0)</f>
        <v>-</v>
      </c>
      <c r="F291" s="172" t="str">
        <f ca="1">OFFSET(ORÇAMENTO!R$15,ROW(F291)-ROW(F$15),0)</f>
        <v>(abra o arquivo 'Referência 02-2025.xlsm)</v>
      </c>
      <c r="G291" s="173" t="str">
        <f ca="1">IF($D291&lt;&gt;"Serviço","",OFFSET(ORÇAMENTO!S$15,ROW(G291)-ROW(G$15),0))</f>
        <v>-</v>
      </c>
      <c r="H291" s="124">
        <f ca="1">IF($D291&lt;&gt;"Serviço",0,IF(ACOMPANHAMENTO="BM",ROUND(OFFSET(ORÇAMENTO!AJ$15,ROW(H291)-ROW(H$15),0),15-13*ORÇAMENTO!$AF$7),SUMPRODUCT(($Q$12:$AA$12&lt;&gt;"")*ROUND($Q291:$AA291,15-13*ORÇAMENTO!$AF$7))))</f>
        <v>38</v>
      </c>
      <c r="I291" s="561" t="s">
        <v>890</v>
      </c>
      <c r="K291" s="174"/>
      <c r="L291" s="175" t="s">
        <v>255</v>
      </c>
      <c r="M291" s="176">
        <f ca="1">IF($D291&lt;&gt;"Serviço","",IF(AUTOEVENTO="manual",$A291,IF(ISERROR(MATCH($A291,$A$15:OFFSET($A291,-1,0),0)),MAX($M$15:OFFSET(M291,-1,0))+1,INDEX($M$15:OFFSET(M291,-1,0),MATCH($A291,$A$15:OFFSET($A291,-1,0),0)))))</f>
        <v>13</v>
      </c>
      <c r="N291" s="177" t="str">
        <f ca="1">IF($D291&lt;&gt;"Serviço","",IF(AUTOEVENTO="Manual",IF($A291=0,"&lt;-- defina o número do agrupador",OFFSET(EVENTOS!$D$14,$A291,0)),OFFSET($F$15,$A291,0)))</f>
        <v>INSTALAÇÃO HIDRÁULICA</v>
      </c>
      <c r="O291" s="178"/>
      <c r="Q291" s="178"/>
      <c r="R291" s="179"/>
      <c r="S291" s="179"/>
      <c r="T291" s="179"/>
      <c r="U291" s="179"/>
      <c r="V291" s="179"/>
      <c r="W291" s="179"/>
      <c r="X291" s="179"/>
      <c r="Y291" s="179"/>
      <c r="Z291" s="180"/>
      <c r="AB291" s="544">
        <f ca="1">IF(AND($D291="Serviço",AB$12&lt;&gt;0,$H291&gt;0,OR(AUTOEVENTO&lt;&gt;"manual",$M291&lt;&gt;1)),
IF(Import.TipoArredondamento&lt;&gt;"TransfereGOV",
ROUND(OFFSET($P291,0,AB$13),15-13*ORÇAMENTO!$AF$7)/$H291*OFFSET(ORÇAMENTO!$X$15,ROW(AB291)-ROW(AB$15),0),
ROUND(ROUND(OFFSET($P291,0,AB$13),15-13*ORÇAMENTO!$AF$7)*OFFSET(ORÇAMENTO!$W$15,ROW(AB291)-ROW(AB$15),0),15-13*ORÇAMENTO!$AF$11)),0)</f>
        <v>0</v>
      </c>
      <c r="AC291" s="545">
        <f ca="1">IF(AND($D291="Serviço",AC$12&lt;&gt;0,$H291&gt;0,OR(AUTOEVENTO&lt;&gt;"manual",$M291&lt;&gt;1)),
IF(Import.TipoArredondamento&lt;&gt;"TransfereGOV",
ROUND(OFFSET($P291,0,AC$13),15-13*ORÇAMENTO!$AF$7)/$H291*OFFSET(ORÇAMENTO!$X$15,ROW(AC291)-ROW(AC$15),0),
ROUND(ROUND(OFFSET($P291,0,AC$13),15-13*ORÇAMENTO!$AF$7)*OFFSET(ORÇAMENTO!$W$15,ROW(AC291)-ROW(AC$15),0),15-13*ORÇAMENTO!$AF$11)),0)</f>
        <v>0</v>
      </c>
      <c r="AD291" s="545">
        <f ca="1">IF(AND($D291="Serviço",AD$12&lt;&gt;0,$H291&gt;0,OR(AUTOEVENTO&lt;&gt;"manual",$M291&lt;&gt;1)),
IF(Import.TipoArredondamento&lt;&gt;"TransfereGOV",
ROUND(OFFSET($P291,0,AD$13),15-13*ORÇAMENTO!$AF$7)/$H291*OFFSET(ORÇAMENTO!$X$15,ROW(AD291)-ROW(AD$15),0),
ROUND(ROUND(OFFSET($P291,0,AD$13),15-13*ORÇAMENTO!$AF$7)*OFFSET(ORÇAMENTO!$W$15,ROW(AD291)-ROW(AD$15),0),15-13*ORÇAMENTO!$AF$11)),0)</f>
        <v>0</v>
      </c>
      <c r="AE291" s="545">
        <f ca="1">IF(AND($D291="Serviço",AE$12&lt;&gt;0,$H291&gt;0,OR(AUTOEVENTO&lt;&gt;"manual",$M291&lt;&gt;1)),
IF(Import.TipoArredondamento&lt;&gt;"TransfereGOV",
ROUND(OFFSET($P291,0,AE$13),15-13*ORÇAMENTO!$AF$7)/$H291*OFFSET(ORÇAMENTO!$X$15,ROW(AE291)-ROW(AE$15),0),
ROUND(ROUND(OFFSET($P291,0,AE$13),15-13*ORÇAMENTO!$AF$7)*OFFSET(ORÇAMENTO!$W$15,ROW(AE291)-ROW(AE$15),0),15-13*ORÇAMENTO!$AF$11)),0)</f>
        <v>0</v>
      </c>
      <c r="AF291" s="545">
        <f ca="1">IF(AND($D291="Serviço",AF$12&lt;&gt;0,$H291&gt;0,OR(AUTOEVENTO&lt;&gt;"manual",$M291&lt;&gt;1)),
IF(Import.TipoArredondamento&lt;&gt;"TransfereGOV",
ROUND(OFFSET($P291,0,AF$13),15-13*ORÇAMENTO!$AF$7)/$H291*OFFSET(ORÇAMENTO!$X$15,ROW(AF291)-ROW(AF$15),0),
ROUND(ROUND(OFFSET($P291,0,AF$13),15-13*ORÇAMENTO!$AF$7)*OFFSET(ORÇAMENTO!$W$15,ROW(AF291)-ROW(AF$15),0),15-13*ORÇAMENTO!$AF$11)),0)</f>
        <v>0</v>
      </c>
      <c r="AG291" s="545">
        <f ca="1">IF(AND($D291="Serviço",AG$12&lt;&gt;0,$H291&gt;0,OR(AUTOEVENTO&lt;&gt;"manual",$M291&lt;&gt;1)),
IF(Import.TipoArredondamento&lt;&gt;"TransfereGOV",
ROUND(OFFSET($P291,0,AG$13),15-13*ORÇAMENTO!$AF$7)/$H291*OFFSET(ORÇAMENTO!$X$15,ROW(AG291)-ROW(AG$15),0),
ROUND(ROUND(OFFSET($P291,0,AG$13),15-13*ORÇAMENTO!$AF$7)*OFFSET(ORÇAMENTO!$W$15,ROW(AG291)-ROW(AG$15),0),15-13*ORÇAMENTO!$AF$11)),0)</f>
        <v>0</v>
      </c>
      <c r="AH291" s="545">
        <f ca="1">IF(AND($D291="Serviço",AH$12&lt;&gt;0,$H291&gt;0,OR(AUTOEVENTO&lt;&gt;"manual",$M291&lt;&gt;1)),
IF(Import.TipoArredondamento&lt;&gt;"TransfereGOV",
ROUND(OFFSET($P291,0,AH$13),15-13*ORÇAMENTO!$AF$7)/$H291*OFFSET(ORÇAMENTO!$X$15,ROW(AH291)-ROW(AH$15),0),
ROUND(ROUND(OFFSET($P291,0,AH$13),15-13*ORÇAMENTO!$AF$7)*OFFSET(ORÇAMENTO!$W$15,ROW(AH291)-ROW(AH$15),0),15-13*ORÇAMENTO!$AF$11)),0)</f>
        <v>0</v>
      </c>
      <c r="AI291" s="545">
        <f ca="1">IF(AND($D291="Serviço",AI$12&lt;&gt;0,$H291&gt;0,OR(AUTOEVENTO&lt;&gt;"manual",$M291&lt;&gt;1)),
IF(Import.TipoArredondamento&lt;&gt;"TransfereGOV",
ROUND(OFFSET($P291,0,AI$13),15-13*ORÇAMENTO!$AF$7)/$H291*OFFSET(ORÇAMENTO!$X$15,ROW(AI291)-ROW(AI$15),0),
ROUND(ROUND(OFFSET($P291,0,AI$13),15-13*ORÇAMENTO!$AF$7)*OFFSET(ORÇAMENTO!$W$15,ROW(AI291)-ROW(AI$15),0),15-13*ORÇAMENTO!$AF$11)),0)</f>
        <v>0</v>
      </c>
      <c r="AJ291" s="545">
        <f ca="1">IF(AND($D291="Serviço",AJ$12&lt;&gt;0,$H291&gt;0,OR(AUTOEVENTO&lt;&gt;"manual",$M291&lt;&gt;1)),
IF(Import.TipoArredondamento&lt;&gt;"TransfereGOV",
ROUND(OFFSET($P291,0,AJ$13),15-13*ORÇAMENTO!$AF$7)/$H291*OFFSET(ORÇAMENTO!$X$15,ROW(AJ291)-ROW(AJ$15),0),
ROUND(ROUND(OFFSET($P291,0,AJ$13),15-13*ORÇAMENTO!$AF$7)*OFFSET(ORÇAMENTO!$W$15,ROW(AJ291)-ROW(AJ$15),0),15-13*ORÇAMENTO!$AF$11)),0)</f>
        <v>0</v>
      </c>
      <c r="AK291" s="546">
        <f ca="1">IF(AND($D291="Serviço",AK$12&lt;&gt;0,$H291&gt;0,OR(AUTOEVENTO&lt;&gt;"manual",$M291&lt;&gt;1)),
IF(Import.TipoArredondamento&lt;&gt;"TransfereGOV",
ROUND(OFFSET($P291,0,AK$13),15-13*ORÇAMENTO!$AF$7)/$H291*OFFSET(ORÇAMENTO!$X$15,ROW(AK291)-ROW(AK$15),0),
ROUND(ROUND(OFFSET($P291,0,AK$13),15-13*ORÇAMENTO!$AF$7)*OFFSET(ORÇAMENTO!$W$15,ROW(AK291)-ROW(AK$15),0),15-13*ORÇAMENTO!$AF$11)),0)</f>
        <v>0</v>
      </c>
      <c r="AM291" s="181">
        <f ca="1">IF($D291&lt;&gt;"Serviço",0,IF(AND(AUTOEVENTO="Manual",$M291=1),0,IF(OFFSET(CRONOPLE!$F$14,$M291,AM$13)="",10^12,OFFSET(CRONOPLE!$F$14,$M291,AM$13))))</f>
        <v>1000000000000</v>
      </c>
      <c r="AN291" s="181">
        <f ca="1">IF($D291&lt;&gt;"Serviço",0,IF(AND(AUTOEVENTO="Manual",$M291=1),0,IF(OFFSET(CRONOPLE!$F$14,$M291,AN$13)="",10^12,OFFSET(CRONOPLE!$F$14,$M291,AN$13))))</f>
        <v>1000000000000</v>
      </c>
      <c r="AO291" s="181">
        <f ca="1">IF($D291&lt;&gt;"Serviço",0,IF(AND(AUTOEVENTO="Manual",$M291=1),0,IF(OFFSET(CRONOPLE!$F$14,$M291,AO$13)="",10^12,OFFSET(CRONOPLE!$F$14,$M291,AO$13))))</f>
        <v>1000000000000</v>
      </c>
      <c r="AP291" s="181">
        <f ca="1">IF($D291&lt;&gt;"Serviço",0,IF(AND(AUTOEVENTO="Manual",$M291=1),0,IF(OFFSET(CRONOPLE!$F$14,$M291,AP$13)="",10^12,OFFSET(CRONOPLE!$F$14,$M291,AP$13))))</f>
        <v>1000000000000</v>
      </c>
      <c r="AQ291" s="181">
        <f ca="1">IF($D291&lt;&gt;"Serviço",0,IF(AND(AUTOEVENTO="Manual",$M291=1),0,IF(OFFSET(CRONOPLE!$F$14,$M291,AQ$13)="",10^12,OFFSET(CRONOPLE!$F$14,$M291,AQ$13))))</f>
        <v>1000000000000</v>
      </c>
      <c r="AR291" s="181">
        <f ca="1">IF($D291&lt;&gt;"Serviço",0,IF(AND(AUTOEVENTO="Manual",$M291=1),0,IF(OFFSET(CRONOPLE!$F$14,$M291,AR$13)="",10^12,OFFSET(CRONOPLE!$F$14,$M291,AR$13))))</f>
        <v>1000000000000</v>
      </c>
      <c r="AS291" s="181">
        <f ca="1">IF($D291&lt;&gt;"Serviço",0,IF(AND(AUTOEVENTO="Manual",$M291=1),0,IF(OFFSET(CRONOPLE!$F$14,$M291,AS$13)="",10^12,OFFSET(CRONOPLE!$F$14,$M291,AS$13))))</f>
        <v>1000000000000</v>
      </c>
      <c r="AT291" s="181">
        <f ca="1">IF($D291&lt;&gt;"Serviço",0,IF(AND(AUTOEVENTO="Manual",$M291=1),0,IF(OFFSET(CRONOPLE!$F$14,$M291,AT$13)="",10^12,OFFSET(CRONOPLE!$F$14,$M291,AT$13))))</f>
        <v>1000000000000</v>
      </c>
      <c r="AU291" s="181">
        <f ca="1">IF($D291&lt;&gt;"Serviço",0,IF(AND(AUTOEVENTO="Manual",$M291=1),0,IF(OFFSET(CRONOPLE!$F$14,$M291,AU$13)="",10^12,OFFSET(CRONOPLE!$F$14,$M291,AU$13))))</f>
        <v>1000000000000</v>
      </c>
      <c r="AV291" s="181">
        <f ca="1">IF($D291&lt;&gt;"Serviço",0,IF(AND(AUTOEVENTO="Manual",$M291=1),0,IF(OFFSET(CRONOPLE!$F$14,$M291,AV$13)="",10^12,OFFSET(CRONOPLE!$F$14,$M291,AV$13))))</f>
        <v>1000000000000</v>
      </c>
      <c r="AX291" s="182">
        <f ca="1">IF($D291&lt;&gt;"Serviço",0,IF(OR(AND(AUTOEVENTO="Manual",$M291=1),$M291&gt;(ROW(PLE.lastrow)-ROW(PLE.firstrow))),0,IF(OFFSET(PLE!$G$14,$M291,AX$13)="",10^12,OFFSET(PLE!$G$14,$M291,AX$13))))</f>
        <v>1000000000000</v>
      </c>
      <c r="AY291" s="182">
        <f ca="1">IF($D291&lt;&gt;"Serviço",0,IF(OR(AND(AUTOEVENTO="Manual",$M291=1),$M291&gt;(ROW(PLE.lastrow)-ROW(PLE.firstrow))),0,IF(OFFSET(PLE!$G$14,$M291,AY$13)="",10^12,OFFSET(PLE!$G$14,$M291,AY$13))))</f>
        <v>1000000000000</v>
      </c>
      <c r="AZ291" s="182">
        <f ca="1">IF($D291&lt;&gt;"Serviço",0,IF(OR(AND(AUTOEVENTO="Manual",$M291=1),$M291&gt;(ROW(PLE.lastrow)-ROW(PLE.firstrow))),0,IF(OFFSET(PLE!$G$14,$M291,AZ$13)="",10^12,OFFSET(PLE!$G$14,$M291,AZ$13))))</f>
        <v>1000000000000</v>
      </c>
      <c r="BA291" s="182">
        <f ca="1">IF($D291&lt;&gt;"Serviço",0,IF(OR(AND(AUTOEVENTO="Manual",$M291=1),$M291&gt;(ROW(PLE.lastrow)-ROW(PLE.firstrow))),0,IF(OFFSET(PLE!$G$14,$M291,BA$13)="",10^12,OFFSET(PLE!$G$14,$M291,BA$13))))</f>
        <v>1000000000000</v>
      </c>
      <c r="BB291" s="182">
        <f ca="1">IF($D291&lt;&gt;"Serviço",0,IF(OR(AND(AUTOEVENTO="Manual",$M291=1),$M291&gt;(ROW(PLE.lastrow)-ROW(PLE.firstrow))),0,IF(OFFSET(PLE!$G$14,$M291,BB$13)="",10^12,OFFSET(PLE!$G$14,$M291,BB$13))))</f>
        <v>1000000000000</v>
      </c>
      <c r="BC291" s="182">
        <f ca="1">IF($D291&lt;&gt;"Serviço",0,IF(OR(AND(AUTOEVENTO="Manual",$M291=1),$M291&gt;(ROW(PLE.lastrow)-ROW(PLE.firstrow))),0,IF(OFFSET(PLE!$G$14,$M291,BC$13)="",10^12,OFFSET(PLE!$G$14,$M291,BC$13))))</f>
        <v>1000000000000</v>
      </c>
      <c r="BD291" s="182">
        <f ca="1">IF($D291&lt;&gt;"Serviço",0,IF(OR(AND(AUTOEVENTO="Manual",$M291=1),$M291&gt;(ROW(PLE.lastrow)-ROW(PLE.firstrow))),0,IF(OFFSET(PLE!$G$14,$M291,BD$13)="",10^12,OFFSET(PLE!$G$14,$M291,BD$13))))</f>
        <v>1000000000000</v>
      </c>
      <c r="BE291" s="182">
        <f ca="1">IF($D291&lt;&gt;"Serviço",0,IF(OR(AND(AUTOEVENTO="Manual",$M291=1),$M291&gt;(ROW(PLE.lastrow)-ROW(PLE.firstrow))),0,IF(OFFSET(PLE!$G$14,$M291,BE$13)="",10^12,OFFSET(PLE!$G$14,$M291,BE$13))))</f>
        <v>1000000000000</v>
      </c>
      <c r="BF291" s="182">
        <f ca="1">IF($D291&lt;&gt;"Serviço",0,IF(OR(AND(AUTOEVENTO="Manual",$M291=1),$M291&gt;(ROW(PLE.lastrow)-ROW(PLE.firstrow))),0,IF(OFFSET(PLE!$G$14,$M291,BF$13)="",10^12,OFFSET(PLE!$G$14,$M291,BF$13))))</f>
        <v>1000000000000</v>
      </c>
      <c r="BG291" s="182">
        <f ca="1">IF($D291&lt;&gt;"Serviço",0,IF(OR(AND(AUTOEVENTO="Manual",$M291=1),$M291&gt;(ROW(PLE.lastrow)-ROW(PLE.firstrow))),0,IF(OFFSET(PLE!$G$14,$M291,BG$13)="",10^12,OFFSET(PLE!$G$14,$M291,BG$13))))</f>
        <v>1000000000000</v>
      </c>
    </row>
    <row r="292" spans="1:59" ht="38.25" x14ac:dyDescent="0.2">
      <c r="A292" s="7" t="str">
        <f t="shared" ca="1" si="11"/>
        <v>251</v>
      </c>
      <c r="B292" s="7" t="str">
        <f ca="1">OFFSET(ORÇAMENTO!C$15,ROW(B292)-ROW(B$15),0)</f>
        <v>S</v>
      </c>
      <c r="C292" s="7" t="str">
        <f ca="1">OFFSET(ORÇAMENTO!L$15,ROW(C292)-ROW(C$15),0)</f>
        <v/>
      </c>
      <c r="D292" s="118" t="str">
        <f ca="1">OFFSET(ORÇAMENTO!N$15,ROW(D292)-ROW(D$15),0)</f>
        <v>Serviço</v>
      </c>
      <c r="E292" s="119" t="str">
        <f ca="1">OFFSET(ORÇAMENTO!O$15,ROW(E292)-ROW(E$15),0)</f>
        <v>-</v>
      </c>
      <c r="F292" s="172" t="str">
        <f ca="1">OFFSET(ORÇAMENTO!R$15,ROW(F292)-ROW(F$15),0)</f>
        <v>(abra o arquivo 'Referência 02-2025.xlsm)</v>
      </c>
      <c r="G292" s="173" t="str">
        <f ca="1">IF($D292&lt;&gt;"Serviço","",OFFSET(ORÇAMENTO!S$15,ROW(G292)-ROW(G$15),0))</f>
        <v>-</v>
      </c>
      <c r="H292" s="124">
        <f ca="1">IF($D292&lt;&gt;"Serviço",0,IF(ACOMPANHAMENTO="BM",ROUND(OFFSET(ORÇAMENTO!AJ$15,ROW(H292)-ROW(H$15),0),15-13*ORÇAMENTO!$AF$7),SUMPRODUCT(($Q$12:$AA$12&lt;&gt;"")*ROUND($Q292:$AA292,15-13*ORÇAMENTO!$AF$7))))</f>
        <v>83</v>
      </c>
      <c r="I292" s="561" t="s">
        <v>890</v>
      </c>
      <c r="K292" s="174"/>
      <c r="L292" s="175" t="s">
        <v>255</v>
      </c>
      <c r="M292" s="176">
        <f ca="1">IF($D292&lt;&gt;"Serviço","",IF(AUTOEVENTO="manual",$A292,IF(ISERROR(MATCH($A292,$A$15:OFFSET($A292,-1,0),0)),MAX($M$15:OFFSET(M292,-1,0))+1,INDEX($M$15:OFFSET(M292,-1,0),MATCH($A292,$A$15:OFFSET($A292,-1,0),0)))))</f>
        <v>13</v>
      </c>
      <c r="N292" s="177" t="str">
        <f ca="1">IF($D292&lt;&gt;"Serviço","",IF(AUTOEVENTO="Manual",IF($A292=0,"&lt;-- defina o número do agrupador",OFFSET(EVENTOS!$D$14,$A292,0)),OFFSET($F$15,$A292,0)))</f>
        <v>INSTALAÇÃO HIDRÁULICA</v>
      </c>
      <c r="O292" s="178"/>
      <c r="Q292" s="178"/>
      <c r="R292" s="179"/>
      <c r="S292" s="179"/>
      <c r="T292" s="179"/>
      <c r="U292" s="179"/>
      <c r="V292" s="179"/>
      <c r="W292" s="179"/>
      <c r="X292" s="179"/>
      <c r="Y292" s="179"/>
      <c r="Z292" s="180"/>
      <c r="AB292" s="544">
        <f ca="1">IF(AND($D292="Serviço",AB$12&lt;&gt;0,$H292&gt;0,OR(AUTOEVENTO&lt;&gt;"manual",$M292&lt;&gt;1)),
IF(Import.TipoArredondamento&lt;&gt;"TransfereGOV",
ROUND(OFFSET($P292,0,AB$13),15-13*ORÇAMENTO!$AF$7)/$H292*OFFSET(ORÇAMENTO!$X$15,ROW(AB292)-ROW(AB$15),0),
ROUND(ROUND(OFFSET($P292,0,AB$13),15-13*ORÇAMENTO!$AF$7)*OFFSET(ORÇAMENTO!$W$15,ROW(AB292)-ROW(AB$15),0),15-13*ORÇAMENTO!$AF$11)),0)</f>
        <v>0</v>
      </c>
      <c r="AC292" s="545">
        <f ca="1">IF(AND($D292="Serviço",AC$12&lt;&gt;0,$H292&gt;0,OR(AUTOEVENTO&lt;&gt;"manual",$M292&lt;&gt;1)),
IF(Import.TipoArredondamento&lt;&gt;"TransfereGOV",
ROUND(OFFSET($P292,0,AC$13),15-13*ORÇAMENTO!$AF$7)/$H292*OFFSET(ORÇAMENTO!$X$15,ROW(AC292)-ROW(AC$15),0),
ROUND(ROUND(OFFSET($P292,0,AC$13),15-13*ORÇAMENTO!$AF$7)*OFFSET(ORÇAMENTO!$W$15,ROW(AC292)-ROW(AC$15),0),15-13*ORÇAMENTO!$AF$11)),0)</f>
        <v>0</v>
      </c>
      <c r="AD292" s="545">
        <f ca="1">IF(AND($D292="Serviço",AD$12&lt;&gt;0,$H292&gt;0,OR(AUTOEVENTO&lt;&gt;"manual",$M292&lt;&gt;1)),
IF(Import.TipoArredondamento&lt;&gt;"TransfereGOV",
ROUND(OFFSET($P292,0,AD$13),15-13*ORÇAMENTO!$AF$7)/$H292*OFFSET(ORÇAMENTO!$X$15,ROW(AD292)-ROW(AD$15),0),
ROUND(ROUND(OFFSET($P292,0,AD$13),15-13*ORÇAMENTO!$AF$7)*OFFSET(ORÇAMENTO!$W$15,ROW(AD292)-ROW(AD$15),0),15-13*ORÇAMENTO!$AF$11)),0)</f>
        <v>0</v>
      </c>
      <c r="AE292" s="545">
        <f ca="1">IF(AND($D292="Serviço",AE$12&lt;&gt;0,$H292&gt;0,OR(AUTOEVENTO&lt;&gt;"manual",$M292&lt;&gt;1)),
IF(Import.TipoArredondamento&lt;&gt;"TransfereGOV",
ROUND(OFFSET($P292,0,AE$13),15-13*ORÇAMENTO!$AF$7)/$H292*OFFSET(ORÇAMENTO!$X$15,ROW(AE292)-ROW(AE$15),0),
ROUND(ROUND(OFFSET($P292,0,AE$13),15-13*ORÇAMENTO!$AF$7)*OFFSET(ORÇAMENTO!$W$15,ROW(AE292)-ROW(AE$15),0),15-13*ORÇAMENTO!$AF$11)),0)</f>
        <v>0</v>
      </c>
      <c r="AF292" s="545">
        <f ca="1">IF(AND($D292="Serviço",AF$12&lt;&gt;0,$H292&gt;0,OR(AUTOEVENTO&lt;&gt;"manual",$M292&lt;&gt;1)),
IF(Import.TipoArredondamento&lt;&gt;"TransfereGOV",
ROUND(OFFSET($P292,0,AF$13),15-13*ORÇAMENTO!$AF$7)/$H292*OFFSET(ORÇAMENTO!$X$15,ROW(AF292)-ROW(AF$15),0),
ROUND(ROUND(OFFSET($P292,0,AF$13),15-13*ORÇAMENTO!$AF$7)*OFFSET(ORÇAMENTO!$W$15,ROW(AF292)-ROW(AF$15),0),15-13*ORÇAMENTO!$AF$11)),0)</f>
        <v>0</v>
      </c>
      <c r="AG292" s="545">
        <f ca="1">IF(AND($D292="Serviço",AG$12&lt;&gt;0,$H292&gt;0,OR(AUTOEVENTO&lt;&gt;"manual",$M292&lt;&gt;1)),
IF(Import.TipoArredondamento&lt;&gt;"TransfereGOV",
ROUND(OFFSET($P292,0,AG$13),15-13*ORÇAMENTO!$AF$7)/$H292*OFFSET(ORÇAMENTO!$X$15,ROW(AG292)-ROW(AG$15),0),
ROUND(ROUND(OFFSET($P292,0,AG$13),15-13*ORÇAMENTO!$AF$7)*OFFSET(ORÇAMENTO!$W$15,ROW(AG292)-ROW(AG$15),0),15-13*ORÇAMENTO!$AF$11)),0)</f>
        <v>0</v>
      </c>
      <c r="AH292" s="545">
        <f ca="1">IF(AND($D292="Serviço",AH$12&lt;&gt;0,$H292&gt;0,OR(AUTOEVENTO&lt;&gt;"manual",$M292&lt;&gt;1)),
IF(Import.TipoArredondamento&lt;&gt;"TransfereGOV",
ROUND(OFFSET($P292,0,AH$13),15-13*ORÇAMENTO!$AF$7)/$H292*OFFSET(ORÇAMENTO!$X$15,ROW(AH292)-ROW(AH$15),0),
ROUND(ROUND(OFFSET($P292,0,AH$13),15-13*ORÇAMENTO!$AF$7)*OFFSET(ORÇAMENTO!$W$15,ROW(AH292)-ROW(AH$15),0),15-13*ORÇAMENTO!$AF$11)),0)</f>
        <v>0</v>
      </c>
      <c r="AI292" s="545">
        <f ca="1">IF(AND($D292="Serviço",AI$12&lt;&gt;0,$H292&gt;0,OR(AUTOEVENTO&lt;&gt;"manual",$M292&lt;&gt;1)),
IF(Import.TipoArredondamento&lt;&gt;"TransfereGOV",
ROUND(OFFSET($P292,0,AI$13),15-13*ORÇAMENTO!$AF$7)/$H292*OFFSET(ORÇAMENTO!$X$15,ROW(AI292)-ROW(AI$15),0),
ROUND(ROUND(OFFSET($P292,0,AI$13),15-13*ORÇAMENTO!$AF$7)*OFFSET(ORÇAMENTO!$W$15,ROW(AI292)-ROW(AI$15),0),15-13*ORÇAMENTO!$AF$11)),0)</f>
        <v>0</v>
      </c>
      <c r="AJ292" s="545">
        <f ca="1">IF(AND($D292="Serviço",AJ$12&lt;&gt;0,$H292&gt;0,OR(AUTOEVENTO&lt;&gt;"manual",$M292&lt;&gt;1)),
IF(Import.TipoArredondamento&lt;&gt;"TransfereGOV",
ROUND(OFFSET($P292,0,AJ$13),15-13*ORÇAMENTO!$AF$7)/$H292*OFFSET(ORÇAMENTO!$X$15,ROW(AJ292)-ROW(AJ$15),0),
ROUND(ROUND(OFFSET($P292,0,AJ$13),15-13*ORÇAMENTO!$AF$7)*OFFSET(ORÇAMENTO!$W$15,ROW(AJ292)-ROW(AJ$15),0),15-13*ORÇAMENTO!$AF$11)),0)</f>
        <v>0</v>
      </c>
      <c r="AK292" s="546">
        <f ca="1">IF(AND($D292="Serviço",AK$12&lt;&gt;0,$H292&gt;0,OR(AUTOEVENTO&lt;&gt;"manual",$M292&lt;&gt;1)),
IF(Import.TipoArredondamento&lt;&gt;"TransfereGOV",
ROUND(OFFSET($P292,0,AK$13),15-13*ORÇAMENTO!$AF$7)/$H292*OFFSET(ORÇAMENTO!$X$15,ROW(AK292)-ROW(AK$15),0),
ROUND(ROUND(OFFSET($P292,0,AK$13),15-13*ORÇAMENTO!$AF$7)*OFFSET(ORÇAMENTO!$W$15,ROW(AK292)-ROW(AK$15),0),15-13*ORÇAMENTO!$AF$11)),0)</f>
        <v>0</v>
      </c>
      <c r="AM292" s="181">
        <f ca="1">IF($D292&lt;&gt;"Serviço",0,IF(AND(AUTOEVENTO="Manual",$M292=1),0,IF(OFFSET(CRONOPLE!$F$14,$M292,AM$13)="",10^12,OFFSET(CRONOPLE!$F$14,$M292,AM$13))))</f>
        <v>1000000000000</v>
      </c>
      <c r="AN292" s="181">
        <f ca="1">IF($D292&lt;&gt;"Serviço",0,IF(AND(AUTOEVENTO="Manual",$M292=1),0,IF(OFFSET(CRONOPLE!$F$14,$M292,AN$13)="",10^12,OFFSET(CRONOPLE!$F$14,$M292,AN$13))))</f>
        <v>1000000000000</v>
      </c>
      <c r="AO292" s="181">
        <f ca="1">IF($D292&lt;&gt;"Serviço",0,IF(AND(AUTOEVENTO="Manual",$M292=1),0,IF(OFFSET(CRONOPLE!$F$14,$M292,AO$13)="",10^12,OFFSET(CRONOPLE!$F$14,$M292,AO$13))))</f>
        <v>1000000000000</v>
      </c>
      <c r="AP292" s="181">
        <f ca="1">IF($D292&lt;&gt;"Serviço",0,IF(AND(AUTOEVENTO="Manual",$M292=1),0,IF(OFFSET(CRONOPLE!$F$14,$M292,AP$13)="",10^12,OFFSET(CRONOPLE!$F$14,$M292,AP$13))))</f>
        <v>1000000000000</v>
      </c>
      <c r="AQ292" s="181">
        <f ca="1">IF($D292&lt;&gt;"Serviço",0,IF(AND(AUTOEVENTO="Manual",$M292=1),0,IF(OFFSET(CRONOPLE!$F$14,$M292,AQ$13)="",10^12,OFFSET(CRONOPLE!$F$14,$M292,AQ$13))))</f>
        <v>1000000000000</v>
      </c>
      <c r="AR292" s="181">
        <f ca="1">IF($D292&lt;&gt;"Serviço",0,IF(AND(AUTOEVENTO="Manual",$M292=1),0,IF(OFFSET(CRONOPLE!$F$14,$M292,AR$13)="",10^12,OFFSET(CRONOPLE!$F$14,$M292,AR$13))))</f>
        <v>1000000000000</v>
      </c>
      <c r="AS292" s="181">
        <f ca="1">IF($D292&lt;&gt;"Serviço",0,IF(AND(AUTOEVENTO="Manual",$M292=1),0,IF(OFFSET(CRONOPLE!$F$14,$M292,AS$13)="",10^12,OFFSET(CRONOPLE!$F$14,$M292,AS$13))))</f>
        <v>1000000000000</v>
      </c>
      <c r="AT292" s="181">
        <f ca="1">IF($D292&lt;&gt;"Serviço",0,IF(AND(AUTOEVENTO="Manual",$M292=1),0,IF(OFFSET(CRONOPLE!$F$14,$M292,AT$13)="",10^12,OFFSET(CRONOPLE!$F$14,$M292,AT$13))))</f>
        <v>1000000000000</v>
      </c>
      <c r="AU292" s="181">
        <f ca="1">IF($D292&lt;&gt;"Serviço",0,IF(AND(AUTOEVENTO="Manual",$M292=1),0,IF(OFFSET(CRONOPLE!$F$14,$M292,AU$13)="",10^12,OFFSET(CRONOPLE!$F$14,$M292,AU$13))))</f>
        <v>1000000000000</v>
      </c>
      <c r="AV292" s="181">
        <f ca="1">IF($D292&lt;&gt;"Serviço",0,IF(AND(AUTOEVENTO="Manual",$M292=1),0,IF(OFFSET(CRONOPLE!$F$14,$M292,AV$13)="",10^12,OFFSET(CRONOPLE!$F$14,$M292,AV$13))))</f>
        <v>1000000000000</v>
      </c>
      <c r="AX292" s="182">
        <f ca="1">IF($D292&lt;&gt;"Serviço",0,IF(OR(AND(AUTOEVENTO="Manual",$M292=1),$M292&gt;(ROW(PLE.lastrow)-ROW(PLE.firstrow))),0,IF(OFFSET(PLE!$G$14,$M292,AX$13)="",10^12,OFFSET(PLE!$G$14,$M292,AX$13))))</f>
        <v>1000000000000</v>
      </c>
      <c r="AY292" s="182">
        <f ca="1">IF($D292&lt;&gt;"Serviço",0,IF(OR(AND(AUTOEVENTO="Manual",$M292=1),$M292&gt;(ROW(PLE.lastrow)-ROW(PLE.firstrow))),0,IF(OFFSET(PLE!$G$14,$M292,AY$13)="",10^12,OFFSET(PLE!$G$14,$M292,AY$13))))</f>
        <v>1000000000000</v>
      </c>
      <c r="AZ292" s="182">
        <f ca="1">IF($D292&lt;&gt;"Serviço",0,IF(OR(AND(AUTOEVENTO="Manual",$M292=1),$M292&gt;(ROW(PLE.lastrow)-ROW(PLE.firstrow))),0,IF(OFFSET(PLE!$G$14,$M292,AZ$13)="",10^12,OFFSET(PLE!$G$14,$M292,AZ$13))))</f>
        <v>1000000000000</v>
      </c>
      <c r="BA292" s="182">
        <f ca="1">IF($D292&lt;&gt;"Serviço",0,IF(OR(AND(AUTOEVENTO="Manual",$M292=1),$M292&gt;(ROW(PLE.lastrow)-ROW(PLE.firstrow))),0,IF(OFFSET(PLE!$G$14,$M292,BA$13)="",10^12,OFFSET(PLE!$G$14,$M292,BA$13))))</f>
        <v>1000000000000</v>
      </c>
      <c r="BB292" s="182">
        <f ca="1">IF($D292&lt;&gt;"Serviço",0,IF(OR(AND(AUTOEVENTO="Manual",$M292=1),$M292&gt;(ROW(PLE.lastrow)-ROW(PLE.firstrow))),0,IF(OFFSET(PLE!$G$14,$M292,BB$13)="",10^12,OFFSET(PLE!$G$14,$M292,BB$13))))</f>
        <v>1000000000000</v>
      </c>
      <c r="BC292" s="182">
        <f ca="1">IF($D292&lt;&gt;"Serviço",0,IF(OR(AND(AUTOEVENTO="Manual",$M292=1),$M292&gt;(ROW(PLE.lastrow)-ROW(PLE.firstrow))),0,IF(OFFSET(PLE!$G$14,$M292,BC$13)="",10^12,OFFSET(PLE!$G$14,$M292,BC$13))))</f>
        <v>1000000000000</v>
      </c>
      <c r="BD292" s="182">
        <f ca="1">IF($D292&lt;&gt;"Serviço",0,IF(OR(AND(AUTOEVENTO="Manual",$M292=1),$M292&gt;(ROW(PLE.lastrow)-ROW(PLE.firstrow))),0,IF(OFFSET(PLE!$G$14,$M292,BD$13)="",10^12,OFFSET(PLE!$G$14,$M292,BD$13))))</f>
        <v>1000000000000</v>
      </c>
      <c r="BE292" s="182">
        <f ca="1">IF($D292&lt;&gt;"Serviço",0,IF(OR(AND(AUTOEVENTO="Manual",$M292=1),$M292&gt;(ROW(PLE.lastrow)-ROW(PLE.firstrow))),0,IF(OFFSET(PLE!$G$14,$M292,BE$13)="",10^12,OFFSET(PLE!$G$14,$M292,BE$13))))</f>
        <v>1000000000000</v>
      </c>
      <c r="BF292" s="182">
        <f ca="1">IF($D292&lt;&gt;"Serviço",0,IF(OR(AND(AUTOEVENTO="Manual",$M292=1),$M292&gt;(ROW(PLE.lastrow)-ROW(PLE.firstrow))),0,IF(OFFSET(PLE!$G$14,$M292,BF$13)="",10^12,OFFSET(PLE!$G$14,$M292,BF$13))))</f>
        <v>1000000000000</v>
      </c>
      <c r="BG292" s="182">
        <f ca="1">IF($D292&lt;&gt;"Serviço",0,IF(OR(AND(AUTOEVENTO="Manual",$M292=1),$M292&gt;(ROW(PLE.lastrow)-ROW(PLE.firstrow))),0,IF(OFFSET(PLE!$G$14,$M292,BG$13)="",10^12,OFFSET(PLE!$G$14,$M292,BG$13))))</f>
        <v>1000000000000</v>
      </c>
    </row>
    <row r="293" spans="1:59" ht="38.25" x14ac:dyDescent="0.2">
      <c r="A293" s="7" t="str">
        <f t="shared" ca="1" si="11"/>
        <v>251</v>
      </c>
      <c r="B293" s="7" t="str">
        <f ca="1">OFFSET(ORÇAMENTO!C$15,ROW(B293)-ROW(B$15),0)</f>
        <v>S</v>
      </c>
      <c r="C293" s="7" t="str">
        <f ca="1">OFFSET(ORÇAMENTO!L$15,ROW(C293)-ROW(C$15),0)</f>
        <v/>
      </c>
      <c r="D293" s="118" t="str">
        <f ca="1">OFFSET(ORÇAMENTO!N$15,ROW(D293)-ROW(D$15),0)</f>
        <v>Serviço</v>
      </c>
      <c r="E293" s="119" t="str">
        <f ca="1">OFFSET(ORÇAMENTO!O$15,ROW(E293)-ROW(E$15),0)</f>
        <v>-</v>
      </c>
      <c r="F293" s="172" t="str">
        <f ca="1">OFFSET(ORÇAMENTO!R$15,ROW(F293)-ROW(F$15),0)</f>
        <v>(abra o arquivo 'Referência 02-2025.xlsm)</v>
      </c>
      <c r="G293" s="173" t="str">
        <f ca="1">IF($D293&lt;&gt;"Serviço","",OFFSET(ORÇAMENTO!S$15,ROW(G293)-ROW(G$15),0))</f>
        <v>-</v>
      </c>
      <c r="H293" s="124">
        <f ca="1">IF($D293&lt;&gt;"Serviço",0,IF(ACOMPANHAMENTO="BM",ROUND(OFFSET(ORÇAMENTO!AJ$15,ROW(H293)-ROW(H$15),0),15-13*ORÇAMENTO!$AF$7),SUMPRODUCT(($Q$12:$AA$12&lt;&gt;"")*ROUND($Q293:$AA293,15-13*ORÇAMENTO!$AF$7))))</f>
        <v>40</v>
      </c>
      <c r="I293" s="561" t="s">
        <v>890</v>
      </c>
      <c r="K293" s="174"/>
      <c r="L293" s="175" t="s">
        <v>255</v>
      </c>
      <c r="M293" s="176">
        <f ca="1">IF($D293&lt;&gt;"Serviço","",IF(AUTOEVENTO="manual",$A293,IF(ISERROR(MATCH($A293,$A$15:OFFSET($A293,-1,0),0)),MAX($M$15:OFFSET(M293,-1,0))+1,INDEX($M$15:OFFSET(M293,-1,0),MATCH($A293,$A$15:OFFSET($A293,-1,0),0)))))</f>
        <v>13</v>
      </c>
      <c r="N293" s="177" t="str">
        <f ca="1">IF($D293&lt;&gt;"Serviço","",IF(AUTOEVENTO="Manual",IF($A293=0,"&lt;-- defina o número do agrupador",OFFSET(EVENTOS!$D$14,$A293,0)),OFFSET($F$15,$A293,0)))</f>
        <v>INSTALAÇÃO HIDRÁULICA</v>
      </c>
      <c r="O293" s="178"/>
      <c r="Q293" s="178"/>
      <c r="R293" s="179"/>
      <c r="S293" s="179"/>
      <c r="T293" s="179"/>
      <c r="U293" s="179"/>
      <c r="V293" s="179"/>
      <c r="W293" s="179"/>
      <c r="X293" s="179"/>
      <c r="Y293" s="179"/>
      <c r="Z293" s="180"/>
      <c r="AB293" s="544">
        <f ca="1">IF(AND($D293="Serviço",AB$12&lt;&gt;0,$H293&gt;0,OR(AUTOEVENTO&lt;&gt;"manual",$M293&lt;&gt;1)),
IF(Import.TipoArredondamento&lt;&gt;"TransfereGOV",
ROUND(OFFSET($P293,0,AB$13),15-13*ORÇAMENTO!$AF$7)/$H293*OFFSET(ORÇAMENTO!$X$15,ROW(AB293)-ROW(AB$15),0),
ROUND(ROUND(OFFSET($P293,0,AB$13),15-13*ORÇAMENTO!$AF$7)*OFFSET(ORÇAMENTO!$W$15,ROW(AB293)-ROW(AB$15),0),15-13*ORÇAMENTO!$AF$11)),0)</f>
        <v>0</v>
      </c>
      <c r="AC293" s="545">
        <f ca="1">IF(AND($D293="Serviço",AC$12&lt;&gt;0,$H293&gt;0,OR(AUTOEVENTO&lt;&gt;"manual",$M293&lt;&gt;1)),
IF(Import.TipoArredondamento&lt;&gt;"TransfereGOV",
ROUND(OFFSET($P293,0,AC$13),15-13*ORÇAMENTO!$AF$7)/$H293*OFFSET(ORÇAMENTO!$X$15,ROW(AC293)-ROW(AC$15),0),
ROUND(ROUND(OFFSET($P293,0,AC$13),15-13*ORÇAMENTO!$AF$7)*OFFSET(ORÇAMENTO!$W$15,ROW(AC293)-ROW(AC$15),0),15-13*ORÇAMENTO!$AF$11)),0)</f>
        <v>0</v>
      </c>
      <c r="AD293" s="545">
        <f ca="1">IF(AND($D293="Serviço",AD$12&lt;&gt;0,$H293&gt;0,OR(AUTOEVENTO&lt;&gt;"manual",$M293&lt;&gt;1)),
IF(Import.TipoArredondamento&lt;&gt;"TransfereGOV",
ROUND(OFFSET($P293,0,AD$13),15-13*ORÇAMENTO!$AF$7)/$H293*OFFSET(ORÇAMENTO!$X$15,ROW(AD293)-ROW(AD$15),0),
ROUND(ROUND(OFFSET($P293,0,AD$13),15-13*ORÇAMENTO!$AF$7)*OFFSET(ORÇAMENTO!$W$15,ROW(AD293)-ROW(AD$15),0),15-13*ORÇAMENTO!$AF$11)),0)</f>
        <v>0</v>
      </c>
      <c r="AE293" s="545">
        <f ca="1">IF(AND($D293="Serviço",AE$12&lt;&gt;0,$H293&gt;0,OR(AUTOEVENTO&lt;&gt;"manual",$M293&lt;&gt;1)),
IF(Import.TipoArredondamento&lt;&gt;"TransfereGOV",
ROUND(OFFSET($P293,0,AE$13),15-13*ORÇAMENTO!$AF$7)/$H293*OFFSET(ORÇAMENTO!$X$15,ROW(AE293)-ROW(AE$15),0),
ROUND(ROUND(OFFSET($P293,0,AE$13),15-13*ORÇAMENTO!$AF$7)*OFFSET(ORÇAMENTO!$W$15,ROW(AE293)-ROW(AE$15),0),15-13*ORÇAMENTO!$AF$11)),0)</f>
        <v>0</v>
      </c>
      <c r="AF293" s="545">
        <f ca="1">IF(AND($D293="Serviço",AF$12&lt;&gt;0,$H293&gt;0,OR(AUTOEVENTO&lt;&gt;"manual",$M293&lt;&gt;1)),
IF(Import.TipoArredondamento&lt;&gt;"TransfereGOV",
ROUND(OFFSET($P293,0,AF$13),15-13*ORÇAMENTO!$AF$7)/$H293*OFFSET(ORÇAMENTO!$X$15,ROW(AF293)-ROW(AF$15),0),
ROUND(ROUND(OFFSET($P293,0,AF$13),15-13*ORÇAMENTO!$AF$7)*OFFSET(ORÇAMENTO!$W$15,ROW(AF293)-ROW(AF$15),0),15-13*ORÇAMENTO!$AF$11)),0)</f>
        <v>0</v>
      </c>
      <c r="AG293" s="545">
        <f ca="1">IF(AND($D293="Serviço",AG$12&lt;&gt;0,$H293&gt;0,OR(AUTOEVENTO&lt;&gt;"manual",$M293&lt;&gt;1)),
IF(Import.TipoArredondamento&lt;&gt;"TransfereGOV",
ROUND(OFFSET($P293,0,AG$13),15-13*ORÇAMENTO!$AF$7)/$H293*OFFSET(ORÇAMENTO!$X$15,ROW(AG293)-ROW(AG$15),0),
ROUND(ROUND(OFFSET($P293,0,AG$13),15-13*ORÇAMENTO!$AF$7)*OFFSET(ORÇAMENTO!$W$15,ROW(AG293)-ROW(AG$15),0),15-13*ORÇAMENTO!$AF$11)),0)</f>
        <v>0</v>
      </c>
      <c r="AH293" s="545">
        <f ca="1">IF(AND($D293="Serviço",AH$12&lt;&gt;0,$H293&gt;0,OR(AUTOEVENTO&lt;&gt;"manual",$M293&lt;&gt;1)),
IF(Import.TipoArredondamento&lt;&gt;"TransfereGOV",
ROUND(OFFSET($P293,0,AH$13),15-13*ORÇAMENTO!$AF$7)/$H293*OFFSET(ORÇAMENTO!$X$15,ROW(AH293)-ROW(AH$15),0),
ROUND(ROUND(OFFSET($P293,0,AH$13),15-13*ORÇAMENTO!$AF$7)*OFFSET(ORÇAMENTO!$W$15,ROW(AH293)-ROW(AH$15),0),15-13*ORÇAMENTO!$AF$11)),0)</f>
        <v>0</v>
      </c>
      <c r="AI293" s="545">
        <f ca="1">IF(AND($D293="Serviço",AI$12&lt;&gt;0,$H293&gt;0,OR(AUTOEVENTO&lt;&gt;"manual",$M293&lt;&gt;1)),
IF(Import.TipoArredondamento&lt;&gt;"TransfereGOV",
ROUND(OFFSET($P293,0,AI$13),15-13*ORÇAMENTO!$AF$7)/$H293*OFFSET(ORÇAMENTO!$X$15,ROW(AI293)-ROW(AI$15),0),
ROUND(ROUND(OFFSET($P293,0,AI$13),15-13*ORÇAMENTO!$AF$7)*OFFSET(ORÇAMENTO!$W$15,ROW(AI293)-ROW(AI$15),0),15-13*ORÇAMENTO!$AF$11)),0)</f>
        <v>0</v>
      </c>
      <c r="AJ293" s="545">
        <f ca="1">IF(AND($D293="Serviço",AJ$12&lt;&gt;0,$H293&gt;0,OR(AUTOEVENTO&lt;&gt;"manual",$M293&lt;&gt;1)),
IF(Import.TipoArredondamento&lt;&gt;"TransfereGOV",
ROUND(OFFSET($P293,0,AJ$13),15-13*ORÇAMENTO!$AF$7)/$H293*OFFSET(ORÇAMENTO!$X$15,ROW(AJ293)-ROW(AJ$15),0),
ROUND(ROUND(OFFSET($P293,0,AJ$13),15-13*ORÇAMENTO!$AF$7)*OFFSET(ORÇAMENTO!$W$15,ROW(AJ293)-ROW(AJ$15),0),15-13*ORÇAMENTO!$AF$11)),0)</f>
        <v>0</v>
      </c>
      <c r="AK293" s="546">
        <f ca="1">IF(AND($D293="Serviço",AK$12&lt;&gt;0,$H293&gt;0,OR(AUTOEVENTO&lt;&gt;"manual",$M293&lt;&gt;1)),
IF(Import.TipoArredondamento&lt;&gt;"TransfereGOV",
ROUND(OFFSET($P293,0,AK$13),15-13*ORÇAMENTO!$AF$7)/$H293*OFFSET(ORÇAMENTO!$X$15,ROW(AK293)-ROW(AK$15),0),
ROUND(ROUND(OFFSET($P293,0,AK$13),15-13*ORÇAMENTO!$AF$7)*OFFSET(ORÇAMENTO!$W$15,ROW(AK293)-ROW(AK$15),0),15-13*ORÇAMENTO!$AF$11)),0)</f>
        <v>0</v>
      </c>
      <c r="AM293" s="181">
        <f ca="1">IF($D293&lt;&gt;"Serviço",0,IF(AND(AUTOEVENTO="Manual",$M293=1),0,IF(OFFSET(CRONOPLE!$F$14,$M293,AM$13)="",10^12,OFFSET(CRONOPLE!$F$14,$M293,AM$13))))</f>
        <v>1000000000000</v>
      </c>
      <c r="AN293" s="181">
        <f ca="1">IF($D293&lt;&gt;"Serviço",0,IF(AND(AUTOEVENTO="Manual",$M293=1),0,IF(OFFSET(CRONOPLE!$F$14,$M293,AN$13)="",10^12,OFFSET(CRONOPLE!$F$14,$M293,AN$13))))</f>
        <v>1000000000000</v>
      </c>
      <c r="AO293" s="181">
        <f ca="1">IF($D293&lt;&gt;"Serviço",0,IF(AND(AUTOEVENTO="Manual",$M293=1),0,IF(OFFSET(CRONOPLE!$F$14,$M293,AO$13)="",10^12,OFFSET(CRONOPLE!$F$14,$M293,AO$13))))</f>
        <v>1000000000000</v>
      </c>
      <c r="AP293" s="181">
        <f ca="1">IF($D293&lt;&gt;"Serviço",0,IF(AND(AUTOEVENTO="Manual",$M293=1),0,IF(OFFSET(CRONOPLE!$F$14,$M293,AP$13)="",10^12,OFFSET(CRONOPLE!$F$14,$M293,AP$13))))</f>
        <v>1000000000000</v>
      </c>
      <c r="AQ293" s="181">
        <f ca="1">IF($D293&lt;&gt;"Serviço",0,IF(AND(AUTOEVENTO="Manual",$M293=1),0,IF(OFFSET(CRONOPLE!$F$14,$M293,AQ$13)="",10^12,OFFSET(CRONOPLE!$F$14,$M293,AQ$13))))</f>
        <v>1000000000000</v>
      </c>
      <c r="AR293" s="181">
        <f ca="1">IF($D293&lt;&gt;"Serviço",0,IF(AND(AUTOEVENTO="Manual",$M293=1),0,IF(OFFSET(CRONOPLE!$F$14,$M293,AR$13)="",10^12,OFFSET(CRONOPLE!$F$14,$M293,AR$13))))</f>
        <v>1000000000000</v>
      </c>
      <c r="AS293" s="181">
        <f ca="1">IF($D293&lt;&gt;"Serviço",0,IF(AND(AUTOEVENTO="Manual",$M293=1),0,IF(OFFSET(CRONOPLE!$F$14,$M293,AS$13)="",10^12,OFFSET(CRONOPLE!$F$14,$M293,AS$13))))</f>
        <v>1000000000000</v>
      </c>
      <c r="AT293" s="181">
        <f ca="1">IF($D293&lt;&gt;"Serviço",0,IF(AND(AUTOEVENTO="Manual",$M293=1),0,IF(OFFSET(CRONOPLE!$F$14,$M293,AT$13)="",10^12,OFFSET(CRONOPLE!$F$14,$M293,AT$13))))</f>
        <v>1000000000000</v>
      </c>
      <c r="AU293" s="181">
        <f ca="1">IF($D293&lt;&gt;"Serviço",0,IF(AND(AUTOEVENTO="Manual",$M293=1),0,IF(OFFSET(CRONOPLE!$F$14,$M293,AU$13)="",10^12,OFFSET(CRONOPLE!$F$14,$M293,AU$13))))</f>
        <v>1000000000000</v>
      </c>
      <c r="AV293" s="181">
        <f ca="1">IF($D293&lt;&gt;"Serviço",0,IF(AND(AUTOEVENTO="Manual",$M293=1),0,IF(OFFSET(CRONOPLE!$F$14,$M293,AV$13)="",10^12,OFFSET(CRONOPLE!$F$14,$M293,AV$13))))</f>
        <v>1000000000000</v>
      </c>
      <c r="AX293" s="182">
        <f ca="1">IF($D293&lt;&gt;"Serviço",0,IF(OR(AND(AUTOEVENTO="Manual",$M293=1),$M293&gt;(ROW(PLE.lastrow)-ROW(PLE.firstrow))),0,IF(OFFSET(PLE!$G$14,$M293,AX$13)="",10^12,OFFSET(PLE!$G$14,$M293,AX$13))))</f>
        <v>1000000000000</v>
      </c>
      <c r="AY293" s="182">
        <f ca="1">IF($D293&lt;&gt;"Serviço",0,IF(OR(AND(AUTOEVENTO="Manual",$M293=1),$M293&gt;(ROW(PLE.lastrow)-ROW(PLE.firstrow))),0,IF(OFFSET(PLE!$G$14,$M293,AY$13)="",10^12,OFFSET(PLE!$G$14,$M293,AY$13))))</f>
        <v>1000000000000</v>
      </c>
      <c r="AZ293" s="182">
        <f ca="1">IF($D293&lt;&gt;"Serviço",0,IF(OR(AND(AUTOEVENTO="Manual",$M293=1),$M293&gt;(ROW(PLE.lastrow)-ROW(PLE.firstrow))),0,IF(OFFSET(PLE!$G$14,$M293,AZ$13)="",10^12,OFFSET(PLE!$G$14,$M293,AZ$13))))</f>
        <v>1000000000000</v>
      </c>
      <c r="BA293" s="182">
        <f ca="1">IF($D293&lt;&gt;"Serviço",0,IF(OR(AND(AUTOEVENTO="Manual",$M293=1),$M293&gt;(ROW(PLE.lastrow)-ROW(PLE.firstrow))),0,IF(OFFSET(PLE!$G$14,$M293,BA$13)="",10^12,OFFSET(PLE!$G$14,$M293,BA$13))))</f>
        <v>1000000000000</v>
      </c>
      <c r="BB293" s="182">
        <f ca="1">IF($D293&lt;&gt;"Serviço",0,IF(OR(AND(AUTOEVENTO="Manual",$M293=1),$M293&gt;(ROW(PLE.lastrow)-ROW(PLE.firstrow))),0,IF(OFFSET(PLE!$G$14,$M293,BB$13)="",10^12,OFFSET(PLE!$G$14,$M293,BB$13))))</f>
        <v>1000000000000</v>
      </c>
      <c r="BC293" s="182">
        <f ca="1">IF($D293&lt;&gt;"Serviço",0,IF(OR(AND(AUTOEVENTO="Manual",$M293=1),$M293&gt;(ROW(PLE.lastrow)-ROW(PLE.firstrow))),0,IF(OFFSET(PLE!$G$14,$M293,BC$13)="",10^12,OFFSET(PLE!$G$14,$M293,BC$13))))</f>
        <v>1000000000000</v>
      </c>
      <c r="BD293" s="182">
        <f ca="1">IF($D293&lt;&gt;"Serviço",0,IF(OR(AND(AUTOEVENTO="Manual",$M293=1),$M293&gt;(ROW(PLE.lastrow)-ROW(PLE.firstrow))),0,IF(OFFSET(PLE!$G$14,$M293,BD$13)="",10^12,OFFSET(PLE!$G$14,$M293,BD$13))))</f>
        <v>1000000000000</v>
      </c>
      <c r="BE293" s="182">
        <f ca="1">IF($D293&lt;&gt;"Serviço",0,IF(OR(AND(AUTOEVENTO="Manual",$M293=1),$M293&gt;(ROW(PLE.lastrow)-ROW(PLE.firstrow))),0,IF(OFFSET(PLE!$G$14,$M293,BE$13)="",10^12,OFFSET(PLE!$G$14,$M293,BE$13))))</f>
        <v>1000000000000</v>
      </c>
      <c r="BF293" s="182">
        <f ca="1">IF($D293&lt;&gt;"Serviço",0,IF(OR(AND(AUTOEVENTO="Manual",$M293=1),$M293&gt;(ROW(PLE.lastrow)-ROW(PLE.firstrow))),0,IF(OFFSET(PLE!$G$14,$M293,BF$13)="",10^12,OFFSET(PLE!$G$14,$M293,BF$13))))</f>
        <v>1000000000000</v>
      </c>
      <c r="BG293" s="182">
        <f ca="1">IF($D293&lt;&gt;"Serviço",0,IF(OR(AND(AUTOEVENTO="Manual",$M293=1),$M293&gt;(ROW(PLE.lastrow)-ROW(PLE.firstrow))),0,IF(OFFSET(PLE!$G$14,$M293,BG$13)="",10^12,OFFSET(PLE!$G$14,$M293,BG$13))))</f>
        <v>1000000000000</v>
      </c>
    </row>
    <row r="294" spans="1:59" ht="38.25" x14ac:dyDescent="0.2">
      <c r="A294" s="7" t="str">
        <f t="shared" ca="1" si="11"/>
        <v>251</v>
      </c>
      <c r="B294" s="7" t="str">
        <f ca="1">OFFSET(ORÇAMENTO!C$15,ROW(B294)-ROW(B$15),0)</f>
        <v>S</v>
      </c>
      <c r="C294" s="7" t="str">
        <f ca="1">OFFSET(ORÇAMENTO!L$15,ROW(C294)-ROW(C$15),0)</f>
        <v/>
      </c>
      <c r="D294" s="118" t="str">
        <f ca="1">OFFSET(ORÇAMENTO!N$15,ROW(D294)-ROW(D$15),0)</f>
        <v>Serviço</v>
      </c>
      <c r="E294" s="119" t="str">
        <f ca="1">OFFSET(ORÇAMENTO!O$15,ROW(E294)-ROW(E$15),0)</f>
        <v>-</v>
      </c>
      <c r="F294" s="172" t="str">
        <f ca="1">OFFSET(ORÇAMENTO!R$15,ROW(F294)-ROW(F$15),0)</f>
        <v>(abra o arquivo 'Referência 02-2025.xlsm)</v>
      </c>
      <c r="G294" s="173" t="str">
        <f ca="1">IF($D294&lt;&gt;"Serviço","",OFFSET(ORÇAMENTO!S$15,ROW(G294)-ROW(G$15),0))</f>
        <v>-</v>
      </c>
      <c r="H294" s="124">
        <f ca="1">IF($D294&lt;&gt;"Serviço",0,IF(ACOMPANHAMENTO="BM",ROUND(OFFSET(ORÇAMENTO!AJ$15,ROW(H294)-ROW(H$15),0),15-13*ORÇAMENTO!$AF$7),SUMPRODUCT(($Q$12:$AA$12&lt;&gt;"")*ROUND($Q294:$AA294,15-13*ORÇAMENTO!$AF$7))))</f>
        <v>16</v>
      </c>
      <c r="I294" s="561" t="s">
        <v>890</v>
      </c>
      <c r="K294" s="174"/>
      <c r="L294" s="175" t="s">
        <v>255</v>
      </c>
      <c r="M294" s="176">
        <f ca="1">IF($D294&lt;&gt;"Serviço","",IF(AUTOEVENTO="manual",$A294,IF(ISERROR(MATCH($A294,$A$15:OFFSET($A294,-1,0),0)),MAX($M$15:OFFSET(M294,-1,0))+1,INDEX($M$15:OFFSET(M294,-1,0),MATCH($A294,$A$15:OFFSET($A294,-1,0),0)))))</f>
        <v>13</v>
      </c>
      <c r="N294" s="177" t="str">
        <f ca="1">IF($D294&lt;&gt;"Serviço","",IF(AUTOEVENTO="Manual",IF($A294=0,"&lt;-- defina o número do agrupador",OFFSET(EVENTOS!$D$14,$A294,0)),OFFSET($F$15,$A294,0)))</f>
        <v>INSTALAÇÃO HIDRÁULICA</v>
      </c>
      <c r="O294" s="178"/>
      <c r="Q294" s="178"/>
      <c r="R294" s="179"/>
      <c r="S294" s="179"/>
      <c r="T294" s="179"/>
      <c r="U294" s="179"/>
      <c r="V294" s="179"/>
      <c r="W294" s="179"/>
      <c r="X294" s="179"/>
      <c r="Y294" s="179"/>
      <c r="Z294" s="180"/>
      <c r="AB294" s="544">
        <f ca="1">IF(AND($D294="Serviço",AB$12&lt;&gt;0,$H294&gt;0,OR(AUTOEVENTO&lt;&gt;"manual",$M294&lt;&gt;1)),
IF(Import.TipoArredondamento&lt;&gt;"TransfereGOV",
ROUND(OFFSET($P294,0,AB$13),15-13*ORÇAMENTO!$AF$7)/$H294*OFFSET(ORÇAMENTO!$X$15,ROW(AB294)-ROW(AB$15),0),
ROUND(ROUND(OFFSET($P294,0,AB$13),15-13*ORÇAMENTO!$AF$7)*OFFSET(ORÇAMENTO!$W$15,ROW(AB294)-ROW(AB$15),0),15-13*ORÇAMENTO!$AF$11)),0)</f>
        <v>0</v>
      </c>
      <c r="AC294" s="545">
        <f ca="1">IF(AND($D294="Serviço",AC$12&lt;&gt;0,$H294&gt;0,OR(AUTOEVENTO&lt;&gt;"manual",$M294&lt;&gt;1)),
IF(Import.TipoArredondamento&lt;&gt;"TransfereGOV",
ROUND(OFFSET($P294,0,AC$13),15-13*ORÇAMENTO!$AF$7)/$H294*OFFSET(ORÇAMENTO!$X$15,ROW(AC294)-ROW(AC$15),0),
ROUND(ROUND(OFFSET($P294,0,AC$13),15-13*ORÇAMENTO!$AF$7)*OFFSET(ORÇAMENTO!$W$15,ROW(AC294)-ROW(AC$15),0),15-13*ORÇAMENTO!$AF$11)),0)</f>
        <v>0</v>
      </c>
      <c r="AD294" s="545">
        <f ca="1">IF(AND($D294="Serviço",AD$12&lt;&gt;0,$H294&gt;0,OR(AUTOEVENTO&lt;&gt;"manual",$M294&lt;&gt;1)),
IF(Import.TipoArredondamento&lt;&gt;"TransfereGOV",
ROUND(OFFSET($P294,0,AD$13),15-13*ORÇAMENTO!$AF$7)/$H294*OFFSET(ORÇAMENTO!$X$15,ROW(AD294)-ROW(AD$15),0),
ROUND(ROUND(OFFSET($P294,0,AD$13),15-13*ORÇAMENTO!$AF$7)*OFFSET(ORÇAMENTO!$W$15,ROW(AD294)-ROW(AD$15),0),15-13*ORÇAMENTO!$AF$11)),0)</f>
        <v>0</v>
      </c>
      <c r="AE294" s="545">
        <f ca="1">IF(AND($D294="Serviço",AE$12&lt;&gt;0,$H294&gt;0,OR(AUTOEVENTO&lt;&gt;"manual",$M294&lt;&gt;1)),
IF(Import.TipoArredondamento&lt;&gt;"TransfereGOV",
ROUND(OFFSET($P294,0,AE$13),15-13*ORÇAMENTO!$AF$7)/$H294*OFFSET(ORÇAMENTO!$X$15,ROW(AE294)-ROW(AE$15),0),
ROUND(ROUND(OFFSET($P294,0,AE$13),15-13*ORÇAMENTO!$AF$7)*OFFSET(ORÇAMENTO!$W$15,ROW(AE294)-ROW(AE$15),0),15-13*ORÇAMENTO!$AF$11)),0)</f>
        <v>0</v>
      </c>
      <c r="AF294" s="545">
        <f ca="1">IF(AND($D294="Serviço",AF$12&lt;&gt;0,$H294&gt;0,OR(AUTOEVENTO&lt;&gt;"manual",$M294&lt;&gt;1)),
IF(Import.TipoArredondamento&lt;&gt;"TransfereGOV",
ROUND(OFFSET($P294,0,AF$13),15-13*ORÇAMENTO!$AF$7)/$H294*OFFSET(ORÇAMENTO!$X$15,ROW(AF294)-ROW(AF$15),0),
ROUND(ROUND(OFFSET($P294,0,AF$13),15-13*ORÇAMENTO!$AF$7)*OFFSET(ORÇAMENTO!$W$15,ROW(AF294)-ROW(AF$15),0),15-13*ORÇAMENTO!$AF$11)),0)</f>
        <v>0</v>
      </c>
      <c r="AG294" s="545">
        <f ca="1">IF(AND($D294="Serviço",AG$12&lt;&gt;0,$H294&gt;0,OR(AUTOEVENTO&lt;&gt;"manual",$M294&lt;&gt;1)),
IF(Import.TipoArredondamento&lt;&gt;"TransfereGOV",
ROUND(OFFSET($P294,0,AG$13),15-13*ORÇAMENTO!$AF$7)/$H294*OFFSET(ORÇAMENTO!$X$15,ROW(AG294)-ROW(AG$15),0),
ROUND(ROUND(OFFSET($P294,0,AG$13),15-13*ORÇAMENTO!$AF$7)*OFFSET(ORÇAMENTO!$W$15,ROW(AG294)-ROW(AG$15),0),15-13*ORÇAMENTO!$AF$11)),0)</f>
        <v>0</v>
      </c>
      <c r="AH294" s="545">
        <f ca="1">IF(AND($D294="Serviço",AH$12&lt;&gt;0,$H294&gt;0,OR(AUTOEVENTO&lt;&gt;"manual",$M294&lt;&gt;1)),
IF(Import.TipoArredondamento&lt;&gt;"TransfereGOV",
ROUND(OFFSET($P294,0,AH$13),15-13*ORÇAMENTO!$AF$7)/$H294*OFFSET(ORÇAMENTO!$X$15,ROW(AH294)-ROW(AH$15),0),
ROUND(ROUND(OFFSET($P294,0,AH$13),15-13*ORÇAMENTO!$AF$7)*OFFSET(ORÇAMENTO!$W$15,ROW(AH294)-ROW(AH$15),0),15-13*ORÇAMENTO!$AF$11)),0)</f>
        <v>0</v>
      </c>
      <c r="AI294" s="545">
        <f ca="1">IF(AND($D294="Serviço",AI$12&lt;&gt;0,$H294&gt;0,OR(AUTOEVENTO&lt;&gt;"manual",$M294&lt;&gt;1)),
IF(Import.TipoArredondamento&lt;&gt;"TransfereGOV",
ROUND(OFFSET($P294,0,AI$13),15-13*ORÇAMENTO!$AF$7)/$H294*OFFSET(ORÇAMENTO!$X$15,ROW(AI294)-ROW(AI$15),0),
ROUND(ROUND(OFFSET($P294,0,AI$13),15-13*ORÇAMENTO!$AF$7)*OFFSET(ORÇAMENTO!$W$15,ROW(AI294)-ROW(AI$15),0),15-13*ORÇAMENTO!$AF$11)),0)</f>
        <v>0</v>
      </c>
      <c r="AJ294" s="545">
        <f ca="1">IF(AND($D294="Serviço",AJ$12&lt;&gt;0,$H294&gt;0,OR(AUTOEVENTO&lt;&gt;"manual",$M294&lt;&gt;1)),
IF(Import.TipoArredondamento&lt;&gt;"TransfereGOV",
ROUND(OFFSET($P294,0,AJ$13),15-13*ORÇAMENTO!$AF$7)/$H294*OFFSET(ORÇAMENTO!$X$15,ROW(AJ294)-ROW(AJ$15),0),
ROUND(ROUND(OFFSET($P294,0,AJ$13),15-13*ORÇAMENTO!$AF$7)*OFFSET(ORÇAMENTO!$W$15,ROW(AJ294)-ROW(AJ$15),0),15-13*ORÇAMENTO!$AF$11)),0)</f>
        <v>0</v>
      </c>
      <c r="AK294" s="546">
        <f ca="1">IF(AND($D294="Serviço",AK$12&lt;&gt;0,$H294&gt;0,OR(AUTOEVENTO&lt;&gt;"manual",$M294&lt;&gt;1)),
IF(Import.TipoArredondamento&lt;&gt;"TransfereGOV",
ROUND(OFFSET($P294,0,AK$13),15-13*ORÇAMENTO!$AF$7)/$H294*OFFSET(ORÇAMENTO!$X$15,ROW(AK294)-ROW(AK$15),0),
ROUND(ROUND(OFFSET($P294,0,AK$13),15-13*ORÇAMENTO!$AF$7)*OFFSET(ORÇAMENTO!$W$15,ROW(AK294)-ROW(AK$15),0),15-13*ORÇAMENTO!$AF$11)),0)</f>
        <v>0</v>
      </c>
      <c r="AM294" s="181">
        <f ca="1">IF($D294&lt;&gt;"Serviço",0,IF(AND(AUTOEVENTO="Manual",$M294=1),0,IF(OFFSET(CRONOPLE!$F$14,$M294,AM$13)="",10^12,OFFSET(CRONOPLE!$F$14,$M294,AM$13))))</f>
        <v>1000000000000</v>
      </c>
      <c r="AN294" s="181">
        <f ca="1">IF($D294&lt;&gt;"Serviço",0,IF(AND(AUTOEVENTO="Manual",$M294=1),0,IF(OFFSET(CRONOPLE!$F$14,$M294,AN$13)="",10^12,OFFSET(CRONOPLE!$F$14,$M294,AN$13))))</f>
        <v>1000000000000</v>
      </c>
      <c r="AO294" s="181">
        <f ca="1">IF($D294&lt;&gt;"Serviço",0,IF(AND(AUTOEVENTO="Manual",$M294=1),0,IF(OFFSET(CRONOPLE!$F$14,$M294,AO$13)="",10^12,OFFSET(CRONOPLE!$F$14,$M294,AO$13))))</f>
        <v>1000000000000</v>
      </c>
      <c r="AP294" s="181">
        <f ca="1">IF($D294&lt;&gt;"Serviço",0,IF(AND(AUTOEVENTO="Manual",$M294=1),0,IF(OFFSET(CRONOPLE!$F$14,$M294,AP$13)="",10^12,OFFSET(CRONOPLE!$F$14,$M294,AP$13))))</f>
        <v>1000000000000</v>
      </c>
      <c r="AQ294" s="181">
        <f ca="1">IF($D294&lt;&gt;"Serviço",0,IF(AND(AUTOEVENTO="Manual",$M294=1),0,IF(OFFSET(CRONOPLE!$F$14,$M294,AQ$13)="",10^12,OFFSET(CRONOPLE!$F$14,$M294,AQ$13))))</f>
        <v>1000000000000</v>
      </c>
      <c r="AR294" s="181">
        <f ca="1">IF($D294&lt;&gt;"Serviço",0,IF(AND(AUTOEVENTO="Manual",$M294=1),0,IF(OFFSET(CRONOPLE!$F$14,$M294,AR$13)="",10^12,OFFSET(CRONOPLE!$F$14,$M294,AR$13))))</f>
        <v>1000000000000</v>
      </c>
      <c r="AS294" s="181">
        <f ca="1">IF($D294&lt;&gt;"Serviço",0,IF(AND(AUTOEVENTO="Manual",$M294=1),0,IF(OFFSET(CRONOPLE!$F$14,$M294,AS$13)="",10^12,OFFSET(CRONOPLE!$F$14,$M294,AS$13))))</f>
        <v>1000000000000</v>
      </c>
      <c r="AT294" s="181">
        <f ca="1">IF($D294&lt;&gt;"Serviço",0,IF(AND(AUTOEVENTO="Manual",$M294=1),0,IF(OFFSET(CRONOPLE!$F$14,$M294,AT$13)="",10^12,OFFSET(CRONOPLE!$F$14,$M294,AT$13))))</f>
        <v>1000000000000</v>
      </c>
      <c r="AU294" s="181">
        <f ca="1">IF($D294&lt;&gt;"Serviço",0,IF(AND(AUTOEVENTO="Manual",$M294=1),0,IF(OFFSET(CRONOPLE!$F$14,$M294,AU$13)="",10^12,OFFSET(CRONOPLE!$F$14,$M294,AU$13))))</f>
        <v>1000000000000</v>
      </c>
      <c r="AV294" s="181">
        <f ca="1">IF($D294&lt;&gt;"Serviço",0,IF(AND(AUTOEVENTO="Manual",$M294=1),0,IF(OFFSET(CRONOPLE!$F$14,$M294,AV$13)="",10^12,OFFSET(CRONOPLE!$F$14,$M294,AV$13))))</f>
        <v>1000000000000</v>
      </c>
      <c r="AX294" s="182">
        <f ca="1">IF($D294&lt;&gt;"Serviço",0,IF(OR(AND(AUTOEVENTO="Manual",$M294=1),$M294&gt;(ROW(PLE.lastrow)-ROW(PLE.firstrow))),0,IF(OFFSET(PLE!$G$14,$M294,AX$13)="",10^12,OFFSET(PLE!$G$14,$M294,AX$13))))</f>
        <v>1000000000000</v>
      </c>
      <c r="AY294" s="182">
        <f ca="1">IF($D294&lt;&gt;"Serviço",0,IF(OR(AND(AUTOEVENTO="Manual",$M294=1),$M294&gt;(ROW(PLE.lastrow)-ROW(PLE.firstrow))),0,IF(OFFSET(PLE!$G$14,$M294,AY$13)="",10^12,OFFSET(PLE!$G$14,$M294,AY$13))))</f>
        <v>1000000000000</v>
      </c>
      <c r="AZ294" s="182">
        <f ca="1">IF($D294&lt;&gt;"Serviço",0,IF(OR(AND(AUTOEVENTO="Manual",$M294=1),$M294&gt;(ROW(PLE.lastrow)-ROW(PLE.firstrow))),0,IF(OFFSET(PLE!$G$14,$M294,AZ$13)="",10^12,OFFSET(PLE!$G$14,$M294,AZ$13))))</f>
        <v>1000000000000</v>
      </c>
      <c r="BA294" s="182">
        <f ca="1">IF($D294&lt;&gt;"Serviço",0,IF(OR(AND(AUTOEVENTO="Manual",$M294=1),$M294&gt;(ROW(PLE.lastrow)-ROW(PLE.firstrow))),0,IF(OFFSET(PLE!$G$14,$M294,BA$13)="",10^12,OFFSET(PLE!$G$14,$M294,BA$13))))</f>
        <v>1000000000000</v>
      </c>
      <c r="BB294" s="182">
        <f ca="1">IF($D294&lt;&gt;"Serviço",0,IF(OR(AND(AUTOEVENTO="Manual",$M294=1),$M294&gt;(ROW(PLE.lastrow)-ROW(PLE.firstrow))),0,IF(OFFSET(PLE!$G$14,$M294,BB$13)="",10^12,OFFSET(PLE!$G$14,$M294,BB$13))))</f>
        <v>1000000000000</v>
      </c>
      <c r="BC294" s="182">
        <f ca="1">IF($D294&lt;&gt;"Serviço",0,IF(OR(AND(AUTOEVENTO="Manual",$M294=1),$M294&gt;(ROW(PLE.lastrow)-ROW(PLE.firstrow))),0,IF(OFFSET(PLE!$G$14,$M294,BC$13)="",10^12,OFFSET(PLE!$G$14,$M294,BC$13))))</f>
        <v>1000000000000</v>
      </c>
      <c r="BD294" s="182">
        <f ca="1">IF($D294&lt;&gt;"Serviço",0,IF(OR(AND(AUTOEVENTO="Manual",$M294=1),$M294&gt;(ROW(PLE.lastrow)-ROW(PLE.firstrow))),0,IF(OFFSET(PLE!$G$14,$M294,BD$13)="",10^12,OFFSET(PLE!$G$14,$M294,BD$13))))</f>
        <v>1000000000000</v>
      </c>
      <c r="BE294" s="182">
        <f ca="1">IF($D294&lt;&gt;"Serviço",0,IF(OR(AND(AUTOEVENTO="Manual",$M294=1),$M294&gt;(ROW(PLE.lastrow)-ROW(PLE.firstrow))),0,IF(OFFSET(PLE!$G$14,$M294,BE$13)="",10^12,OFFSET(PLE!$G$14,$M294,BE$13))))</f>
        <v>1000000000000</v>
      </c>
      <c r="BF294" s="182">
        <f ca="1">IF($D294&lt;&gt;"Serviço",0,IF(OR(AND(AUTOEVENTO="Manual",$M294=1),$M294&gt;(ROW(PLE.lastrow)-ROW(PLE.firstrow))),0,IF(OFFSET(PLE!$G$14,$M294,BF$13)="",10^12,OFFSET(PLE!$G$14,$M294,BF$13))))</f>
        <v>1000000000000</v>
      </c>
      <c r="BG294" s="182">
        <f ca="1">IF($D294&lt;&gt;"Serviço",0,IF(OR(AND(AUTOEVENTO="Manual",$M294=1),$M294&gt;(ROW(PLE.lastrow)-ROW(PLE.firstrow))),0,IF(OFFSET(PLE!$G$14,$M294,BG$13)="",10^12,OFFSET(PLE!$G$14,$M294,BG$13))))</f>
        <v>1000000000000</v>
      </c>
    </row>
    <row r="295" spans="1:59" ht="25.5" x14ac:dyDescent="0.2">
      <c r="A295" s="7" t="str">
        <f t="shared" ca="1" si="11"/>
        <v>251</v>
      </c>
      <c r="B295" s="7" t="str">
        <f ca="1">OFFSET(ORÇAMENTO!C$15,ROW(B295)-ROW(B$15),0)</f>
        <v>S</v>
      </c>
      <c r="C295" s="7" t="str">
        <f ca="1">OFFSET(ORÇAMENTO!L$15,ROW(C295)-ROW(C$15),0)</f>
        <v/>
      </c>
      <c r="D295" s="118" t="str">
        <f ca="1">OFFSET(ORÇAMENTO!N$15,ROW(D295)-ROW(D$15),0)</f>
        <v>Serviço</v>
      </c>
      <c r="E295" s="119" t="str">
        <f ca="1">OFFSET(ORÇAMENTO!O$15,ROW(E295)-ROW(E$15),0)</f>
        <v>-</v>
      </c>
      <c r="F295" s="172" t="str">
        <f ca="1">OFFSET(ORÇAMENTO!R$15,ROW(F295)-ROW(F$15),0)</f>
        <v>(abra o arquivo 'Referência 02-2025.xlsm)</v>
      </c>
      <c r="G295" s="173" t="str">
        <f ca="1">IF($D295&lt;&gt;"Serviço","",OFFSET(ORÇAMENTO!S$15,ROW(G295)-ROW(G$15),0))</f>
        <v>-</v>
      </c>
      <c r="H295" s="124">
        <f ca="1">IF($D295&lt;&gt;"Serviço",0,IF(ACOMPANHAMENTO="BM",ROUND(OFFSET(ORÇAMENTO!AJ$15,ROW(H295)-ROW(H$15),0),15-13*ORÇAMENTO!$AF$7),SUMPRODUCT(($Q$12:$AA$12&lt;&gt;"")*ROUND($Q295:$AA295,15-13*ORÇAMENTO!$AF$7))))</f>
        <v>53</v>
      </c>
      <c r="I295" s="561" t="s">
        <v>890</v>
      </c>
      <c r="K295" s="174"/>
      <c r="L295" s="175" t="s">
        <v>255</v>
      </c>
      <c r="M295" s="176">
        <f ca="1">IF($D295&lt;&gt;"Serviço","",IF(AUTOEVENTO="manual",$A295,IF(ISERROR(MATCH($A295,$A$15:OFFSET($A295,-1,0),0)),MAX($M$15:OFFSET(M295,-1,0))+1,INDEX($M$15:OFFSET(M295,-1,0),MATCH($A295,$A$15:OFFSET($A295,-1,0),0)))))</f>
        <v>13</v>
      </c>
      <c r="N295" s="177" t="str">
        <f ca="1">IF($D295&lt;&gt;"Serviço","",IF(AUTOEVENTO="Manual",IF($A295=0,"&lt;-- defina o número do agrupador",OFFSET(EVENTOS!$D$14,$A295,0)),OFFSET($F$15,$A295,0)))</f>
        <v>INSTALAÇÃO HIDRÁULICA</v>
      </c>
      <c r="O295" s="178"/>
      <c r="Q295" s="178"/>
      <c r="R295" s="179"/>
      <c r="S295" s="179"/>
      <c r="T295" s="179"/>
      <c r="U295" s="179"/>
      <c r="V295" s="179"/>
      <c r="W295" s="179"/>
      <c r="X295" s="179"/>
      <c r="Y295" s="179"/>
      <c r="Z295" s="180"/>
      <c r="AB295" s="544">
        <f ca="1">IF(AND($D295="Serviço",AB$12&lt;&gt;0,$H295&gt;0,OR(AUTOEVENTO&lt;&gt;"manual",$M295&lt;&gt;1)),
IF(Import.TipoArredondamento&lt;&gt;"TransfereGOV",
ROUND(OFFSET($P295,0,AB$13),15-13*ORÇAMENTO!$AF$7)/$H295*OFFSET(ORÇAMENTO!$X$15,ROW(AB295)-ROW(AB$15),0),
ROUND(ROUND(OFFSET($P295,0,AB$13),15-13*ORÇAMENTO!$AF$7)*OFFSET(ORÇAMENTO!$W$15,ROW(AB295)-ROW(AB$15),0),15-13*ORÇAMENTO!$AF$11)),0)</f>
        <v>0</v>
      </c>
      <c r="AC295" s="545">
        <f ca="1">IF(AND($D295="Serviço",AC$12&lt;&gt;0,$H295&gt;0,OR(AUTOEVENTO&lt;&gt;"manual",$M295&lt;&gt;1)),
IF(Import.TipoArredondamento&lt;&gt;"TransfereGOV",
ROUND(OFFSET($P295,0,AC$13),15-13*ORÇAMENTO!$AF$7)/$H295*OFFSET(ORÇAMENTO!$X$15,ROW(AC295)-ROW(AC$15),0),
ROUND(ROUND(OFFSET($P295,0,AC$13),15-13*ORÇAMENTO!$AF$7)*OFFSET(ORÇAMENTO!$W$15,ROW(AC295)-ROW(AC$15),0),15-13*ORÇAMENTO!$AF$11)),0)</f>
        <v>0</v>
      </c>
      <c r="AD295" s="545">
        <f ca="1">IF(AND($D295="Serviço",AD$12&lt;&gt;0,$H295&gt;0,OR(AUTOEVENTO&lt;&gt;"manual",$M295&lt;&gt;1)),
IF(Import.TipoArredondamento&lt;&gt;"TransfereGOV",
ROUND(OFFSET($P295,0,AD$13),15-13*ORÇAMENTO!$AF$7)/$H295*OFFSET(ORÇAMENTO!$X$15,ROW(AD295)-ROW(AD$15),0),
ROUND(ROUND(OFFSET($P295,0,AD$13),15-13*ORÇAMENTO!$AF$7)*OFFSET(ORÇAMENTO!$W$15,ROW(AD295)-ROW(AD$15),0),15-13*ORÇAMENTO!$AF$11)),0)</f>
        <v>0</v>
      </c>
      <c r="AE295" s="545">
        <f ca="1">IF(AND($D295="Serviço",AE$12&lt;&gt;0,$H295&gt;0,OR(AUTOEVENTO&lt;&gt;"manual",$M295&lt;&gt;1)),
IF(Import.TipoArredondamento&lt;&gt;"TransfereGOV",
ROUND(OFFSET($P295,0,AE$13),15-13*ORÇAMENTO!$AF$7)/$H295*OFFSET(ORÇAMENTO!$X$15,ROW(AE295)-ROW(AE$15),0),
ROUND(ROUND(OFFSET($P295,0,AE$13),15-13*ORÇAMENTO!$AF$7)*OFFSET(ORÇAMENTO!$W$15,ROW(AE295)-ROW(AE$15),0),15-13*ORÇAMENTO!$AF$11)),0)</f>
        <v>0</v>
      </c>
      <c r="AF295" s="545">
        <f ca="1">IF(AND($D295="Serviço",AF$12&lt;&gt;0,$H295&gt;0,OR(AUTOEVENTO&lt;&gt;"manual",$M295&lt;&gt;1)),
IF(Import.TipoArredondamento&lt;&gt;"TransfereGOV",
ROUND(OFFSET($P295,0,AF$13),15-13*ORÇAMENTO!$AF$7)/$H295*OFFSET(ORÇAMENTO!$X$15,ROW(AF295)-ROW(AF$15),0),
ROUND(ROUND(OFFSET($P295,0,AF$13),15-13*ORÇAMENTO!$AF$7)*OFFSET(ORÇAMENTO!$W$15,ROW(AF295)-ROW(AF$15),0),15-13*ORÇAMENTO!$AF$11)),0)</f>
        <v>0</v>
      </c>
      <c r="AG295" s="545">
        <f ca="1">IF(AND($D295="Serviço",AG$12&lt;&gt;0,$H295&gt;0,OR(AUTOEVENTO&lt;&gt;"manual",$M295&lt;&gt;1)),
IF(Import.TipoArredondamento&lt;&gt;"TransfereGOV",
ROUND(OFFSET($P295,0,AG$13),15-13*ORÇAMENTO!$AF$7)/$H295*OFFSET(ORÇAMENTO!$X$15,ROW(AG295)-ROW(AG$15),0),
ROUND(ROUND(OFFSET($P295,0,AG$13),15-13*ORÇAMENTO!$AF$7)*OFFSET(ORÇAMENTO!$W$15,ROW(AG295)-ROW(AG$15),0),15-13*ORÇAMENTO!$AF$11)),0)</f>
        <v>0</v>
      </c>
      <c r="AH295" s="545">
        <f ca="1">IF(AND($D295="Serviço",AH$12&lt;&gt;0,$H295&gt;0,OR(AUTOEVENTO&lt;&gt;"manual",$M295&lt;&gt;1)),
IF(Import.TipoArredondamento&lt;&gt;"TransfereGOV",
ROUND(OFFSET($P295,0,AH$13),15-13*ORÇAMENTO!$AF$7)/$H295*OFFSET(ORÇAMENTO!$X$15,ROW(AH295)-ROW(AH$15),0),
ROUND(ROUND(OFFSET($P295,0,AH$13),15-13*ORÇAMENTO!$AF$7)*OFFSET(ORÇAMENTO!$W$15,ROW(AH295)-ROW(AH$15),0),15-13*ORÇAMENTO!$AF$11)),0)</f>
        <v>0</v>
      </c>
      <c r="AI295" s="545">
        <f ca="1">IF(AND($D295="Serviço",AI$12&lt;&gt;0,$H295&gt;0,OR(AUTOEVENTO&lt;&gt;"manual",$M295&lt;&gt;1)),
IF(Import.TipoArredondamento&lt;&gt;"TransfereGOV",
ROUND(OFFSET($P295,0,AI$13),15-13*ORÇAMENTO!$AF$7)/$H295*OFFSET(ORÇAMENTO!$X$15,ROW(AI295)-ROW(AI$15),0),
ROUND(ROUND(OFFSET($P295,0,AI$13),15-13*ORÇAMENTO!$AF$7)*OFFSET(ORÇAMENTO!$W$15,ROW(AI295)-ROW(AI$15),0),15-13*ORÇAMENTO!$AF$11)),0)</f>
        <v>0</v>
      </c>
      <c r="AJ295" s="545">
        <f ca="1">IF(AND($D295="Serviço",AJ$12&lt;&gt;0,$H295&gt;0,OR(AUTOEVENTO&lt;&gt;"manual",$M295&lt;&gt;1)),
IF(Import.TipoArredondamento&lt;&gt;"TransfereGOV",
ROUND(OFFSET($P295,0,AJ$13),15-13*ORÇAMENTO!$AF$7)/$H295*OFFSET(ORÇAMENTO!$X$15,ROW(AJ295)-ROW(AJ$15),0),
ROUND(ROUND(OFFSET($P295,0,AJ$13),15-13*ORÇAMENTO!$AF$7)*OFFSET(ORÇAMENTO!$W$15,ROW(AJ295)-ROW(AJ$15),0),15-13*ORÇAMENTO!$AF$11)),0)</f>
        <v>0</v>
      </c>
      <c r="AK295" s="546">
        <f ca="1">IF(AND($D295="Serviço",AK$12&lt;&gt;0,$H295&gt;0,OR(AUTOEVENTO&lt;&gt;"manual",$M295&lt;&gt;1)),
IF(Import.TipoArredondamento&lt;&gt;"TransfereGOV",
ROUND(OFFSET($P295,0,AK$13),15-13*ORÇAMENTO!$AF$7)/$H295*OFFSET(ORÇAMENTO!$X$15,ROW(AK295)-ROW(AK$15),0),
ROUND(ROUND(OFFSET($P295,0,AK$13),15-13*ORÇAMENTO!$AF$7)*OFFSET(ORÇAMENTO!$W$15,ROW(AK295)-ROW(AK$15),0),15-13*ORÇAMENTO!$AF$11)),0)</f>
        <v>0</v>
      </c>
      <c r="AM295" s="181">
        <f ca="1">IF($D295&lt;&gt;"Serviço",0,IF(AND(AUTOEVENTO="Manual",$M295=1),0,IF(OFFSET(CRONOPLE!$F$14,$M295,AM$13)="",10^12,OFFSET(CRONOPLE!$F$14,$M295,AM$13))))</f>
        <v>1000000000000</v>
      </c>
      <c r="AN295" s="181">
        <f ca="1">IF($D295&lt;&gt;"Serviço",0,IF(AND(AUTOEVENTO="Manual",$M295=1),0,IF(OFFSET(CRONOPLE!$F$14,$M295,AN$13)="",10^12,OFFSET(CRONOPLE!$F$14,$M295,AN$13))))</f>
        <v>1000000000000</v>
      </c>
      <c r="AO295" s="181">
        <f ca="1">IF($D295&lt;&gt;"Serviço",0,IF(AND(AUTOEVENTO="Manual",$M295=1),0,IF(OFFSET(CRONOPLE!$F$14,$M295,AO$13)="",10^12,OFFSET(CRONOPLE!$F$14,$M295,AO$13))))</f>
        <v>1000000000000</v>
      </c>
      <c r="AP295" s="181">
        <f ca="1">IF($D295&lt;&gt;"Serviço",0,IF(AND(AUTOEVENTO="Manual",$M295=1),0,IF(OFFSET(CRONOPLE!$F$14,$M295,AP$13)="",10^12,OFFSET(CRONOPLE!$F$14,$M295,AP$13))))</f>
        <v>1000000000000</v>
      </c>
      <c r="AQ295" s="181">
        <f ca="1">IF($D295&lt;&gt;"Serviço",0,IF(AND(AUTOEVENTO="Manual",$M295=1),0,IF(OFFSET(CRONOPLE!$F$14,$M295,AQ$13)="",10^12,OFFSET(CRONOPLE!$F$14,$M295,AQ$13))))</f>
        <v>1000000000000</v>
      </c>
      <c r="AR295" s="181">
        <f ca="1">IF($D295&lt;&gt;"Serviço",0,IF(AND(AUTOEVENTO="Manual",$M295=1),0,IF(OFFSET(CRONOPLE!$F$14,$M295,AR$13)="",10^12,OFFSET(CRONOPLE!$F$14,$M295,AR$13))))</f>
        <v>1000000000000</v>
      </c>
      <c r="AS295" s="181">
        <f ca="1">IF($D295&lt;&gt;"Serviço",0,IF(AND(AUTOEVENTO="Manual",$M295=1),0,IF(OFFSET(CRONOPLE!$F$14,$M295,AS$13)="",10^12,OFFSET(CRONOPLE!$F$14,$M295,AS$13))))</f>
        <v>1000000000000</v>
      </c>
      <c r="AT295" s="181">
        <f ca="1">IF($D295&lt;&gt;"Serviço",0,IF(AND(AUTOEVENTO="Manual",$M295=1),0,IF(OFFSET(CRONOPLE!$F$14,$M295,AT$13)="",10^12,OFFSET(CRONOPLE!$F$14,$M295,AT$13))))</f>
        <v>1000000000000</v>
      </c>
      <c r="AU295" s="181">
        <f ca="1">IF($D295&lt;&gt;"Serviço",0,IF(AND(AUTOEVENTO="Manual",$M295=1),0,IF(OFFSET(CRONOPLE!$F$14,$M295,AU$13)="",10^12,OFFSET(CRONOPLE!$F$14,$M295,AU$13))))</f>
        <v>1000000000000</v>
      </c>
      <c r="AV295" s="181">
        <f ca="1">IF($D295&lt;&gt;"Serviço",0,IF(AND(AUTOEVENTO="Manual",$M295=1),0,IF(OFFSET(CRONOPLE!$F$14,$M295,AV$13)="",10^12,OFFSET(CRONOPLE!$F$14,$M295,AV$13))))</f>
        <v>1000000000000</v>
      </c>
      <c r="AX295" s="182">
        <f ca="1">IF($D295&lt;&gt;"Serviço",0,IF(OR(AND(AUTOEVENTO="Manual",$M295=1),$M295&gt;(ROW(PLE.lastrow)-ROW(PLE.firstrow))),0,IF(OFFSET(PLE!$G$14,$M295,AX$13)="",10^12,OFFSET(PLE!$G$14,$M295,AX$13))))</f>
        <v>1000000000000</v>
      </c>
      <c r="AY295" s="182">
        <f ca="1">IF($D295&lt;&gt;"Serviço",0,IF(OR(AND(AUTOEVENTO="Manual",$M295=1),$M295&gt;(ROW(PLE.lastrow)-ROW(PLE.firstrow))),0,IF(OFFSET(PLE!$G$14,$M295,AY$13)="",10^12,OFFSET(PLE!$G$14,$M295,AY$13))))</f>
        <v>1000000000000</v>
      </c>
      <c r="AZ295" s="182">
        <f ca="1">IF($D295&lt;&gt;"Serviço",0,IF(OR(AND(AUTOEVENTO="Manual",$M295=1),$M295&gt;(ROW(PLE.lastrow)-ROW(PLE.firstrow))),0,IF(OFFSET(PLE!$G$14,$M295,AZ$13)="",10^12,OFFSET(PLE!$G$14,$M295,AZ$13))))</f>
        <v>1000000000000</v>
      </c>
      <c r="BA295" s="182">
        <f ca="1">IF($D295&lt;&gt;"Serviço",0,IF(OR(AND(AUTOEVENTO="Manual",$M295=1),$M295&gt;(ROW(PLE.lastrow)-ROW(PLE.firstrow))),0,IF(OFFSET(PLE!$G$14,$M295,BA$13)="",10^12,OFFSET(PLE!$G$14,$M295,BA$13))))</f>
        <v>1000000000000</v>
      </c>
      <c r="BB295" s="182">
        <f ca="1">IF($D295&lt;&gt;"Serviço",0,IF(OR(AND(AUTOEVENTO="Manual",$M295=1),$M295&gt;(ROW(PLE.lastrow)-ROW(PLE.firstrow))),0,IF(OFFSET(PLE!$G$14,$M295,BB$13)="",10^12,OFFSET(PLE!$G$14,$M295,BB$13))))</f>
        <v>1000000000000</v>
      </c>
      <c r="BC295" s="182">
        <f ca="1">IF($D295&lt;&gt;"Serviço",0,IF(OR(AND(AUTOEVENTO="Manual",$M295=1),$M295&gt;(ROW(PLE.lastrow)-ROW(PLE.firstrow))),0,IF(OFFSET(PLE!$G$14,$M295,BC$13)="",10^12,OFFSET(PLE!$G$14,$M295,BC$13))))</f>
        <v>1000000000000</v>
      </c>
      <c r="BD295" s="182">
        <f ca="1">IF($D295&lt;&gt;"Serviço",0,IF(OR(AND(AUTOEVENTO="Manual",$M295=1),$M295&gt;(ROW(PLE.lastrow)-ROW(PLE.firstrow))),0,IF(OFFSET(PLE!$G$14,$M295,BD$13)="",10^12,OFFSET(PLE!$G$14,$M295,BD$13))))</f>
        <v>1000000000000</v>
      </c>
      <c r="BE295" s="182">
        <f ca="1">IF($D295&lt;&gt;"Serviço",0,IF(OR(AND(AUTOEVENTO="Manual",$M295=1),$M295&gt;(ROW(PLE.lastrow)-ROW(PLE.firstrow))),0,IF(OFFSET(PLE!$G$14,$M295,BE$13)="",10^12,OFFSET(PLE!$G$14,$M295,BE$13))))</f>
        <v>1000000000000</v>
      </c>
      <c r="BF295" s="182">
        <f ca="1">IF($D295&lt;&gt;"Serviço",0,IF(OR(AND(AUTOEVENTO="Manual",$M295=1),$M295&gt;(ROW(PLE.lastrow)-ROW(PLE.firstrow))),0,IF(OFFSET(PLE!$G$14,$M295,BF$13)="",10^12,OFFSET(PLE!$G$14,$M295,BF$13))))</f>
        <v>1000000000000</v>
      </c>
      <c r="BG295" s="182">
        <f ca="1">IF($D295&lt;&gt;"Serviço",0,IF(OR(AND(AUTOEVENTO="Manual",$M295=1),$M295&gt;(ROW(PLE.lastrow)-ROW(PLE.firstrow))),0,IF(OFFSET(PLE!$G$14,$M295,BG$13)="",10^12,OFFSET(PLE!$G$14,$M295,BG$13))))</f>
        <v>1000000000000</v>
      </c>
    </row>
    <row r="296" spans="1:59" ht="38.25" x14ac:dyDescent="0.2">
      <c r="A296" s="7" t="str">
        <f t="shared" ca="1" si="11"/>
        <v>251</v>
      </c>
      <c r="B296" s="7" t="str">
        <f ca="1">OFFSET(ORÇAMENTO!C$15,ROW(B296)-ROW(B$15),0)</f>
        <v>S</v>
      </c>
      <c r="C296" s="7" t="str">
        <f ca="1">OFFSET(ORÇAMENTO!L$15,ROW(C296)-ROW(C$15),0)</f>
        <v/>
      </c>
      <c r="D296" s="118" t="str">
        <f ca="1">OFFSET(ORÇAMENTO!N$15,ROW(D296)-ROW(D$15),0)</f>
        <v>Serviço</v>
      </c>
      <c r="E296" s="119" t="str">
        <f ca="1">OFFSET(ORÇAMENTO!O$15,ROW(E296)-ROW(E$15),0)</f>
        <v>-</v>
      </c>
      <c r="F296" s="172" t="str">
        <f ca="1">OFFSET(ORÇAMENTO!R$15,ROW(F296)-ROW(F$15),0)</f>
        <v>(abra o arquivo 'Referência 02-2025.xlsm)</v>
      </c>
      <c r="G296" s="173" t="str">
        <f ca="1">IF($D296&lt;&gt;"Serviço","",OFFSET(ORÇAMENTO!S$15,ROW(G296)-ROW(G$15),0))</f>
        <v>-</v>
      </c>
      <c r="H296" s="124">
        <f ca="1">IF($D296&lt;&gt;"Serviço",0,IF(ACOMPANHAMENTO="BM",ROUND(OFFSET(ORÇAMENTO!AJ$15,ROW(H296)-ROW(H$15),0),15-13*ORÇAMENTO!$AF$7),SUMPRODUCT(($Q$12:$AA$12&lt;&gt;"")*ROUND($Q296:$AA296,15-13*ORÇAMENTO!$AF$7))))</f>
        <v>3</v>
      </c>
      <c r="I296" s="561" t="s">
        <v>890</v>
      </c>
      <c r="K296" s="174"/>
      <c r="L296" s="175" t="s">
        <v>255</v>
      </c>
      <c r="M296" s="176">
        <f ca="1">IF($D296&lt;&gt;"Serviço","",IF(AUTOEVENTO="manual",$A296,IF(ISERROR(MATCH($A296,$A$15:OFFSET($A296,-1,0),0)),MAX($M$15:OFFSET(M296,-1,0))+1,INDEX($M$15:OFFSET(M296,-1,0),MATCH($A296,$A$15:OFFSET($A296,-1,0),0)))))</f>
        <v>13</v>
      </c>
      <c r="N296" s="177" t="str">
        <f ca="1">IF($D296&lt;&gt;"Serviço","",IF(AUTOEVENTO="Manual",IF($A296=0,"&lt;-- defina o número do agrupador",OFFSET(EVENTOS!$D$14,$A296,0)),OFFSET($F$15,$A296,0)))</f>
        <v>INSTALAÇÃO HIDRÁULICA</v>
      </c>
      <c r="O296" s="178"/>
      <c r="Q296" s="178"/>
      <c r="R296" s="179"/>
      <c r="S296" s="179"/>
      <c r="T296" s="179"/>
      <c r="U296" s="179"/>
      <c r="V296" s="179"/>
      <c r="W296" s="179"/>
      <c r="X296" s="179"/>
      <c r="Y296" s="179"/>
      <c r="Z296" s="180"/>
      <c r="AB296" s="544">
        <f ca="1">IF(AND($D296="Serviço",AB$12&lt;&gt;0,$H296&gt;0,OR(AUTOEVENTO&lt;&gt;"manual",$M296&lt;&gt;1)),
IF(Import.TipoArredondamento&lt;&gt;"TransfereGOV",
ROUND(OFFSET($P296,0,AB$13),15-13*ORÇAMENTO!$AF$7)/$H296*OFFSET(ORÇAMENTO!$X$15,ROW(AB296)-ROW(AB$15),0),
ROUND(ROUND(OFFSET($P296,0,AB$13),15-13*ORÇAMENTO!$AF$7)*OFFSET(ORÇAMENTO!$W$15,ROW(AB296)-ROW(AB$15),0),15-13*ORÇAMENTO!$AF$11)),0)</f>
        <v>0</v>
      </c>
      <c r="AC296" s="545">
        <f ca="1">IF(AND($D296="Serviço",AC$12&lt;&gt;0,$H296&gt;0,OR(AUTOEVENTO&lt;&gt;"manual",$M296&lt;&gt;1)),
IF(Import.TipoArredondamento&lt;&gt;"TransfereGOV",
ROUND(OFFSET($P296,0,AC$13),15-13*ORÇAMENTO!$AF$7)/$H296*OFFSET(ORÇAMENTO!$X$15,ROW(AC296)-ROW(AC$15),0),
ROUND(ROUND(OFFSET($P296,0,AC$13),15-13*ORÇAMENTO!$AF$7)*OFFSET(ORÇAMENTO!$W$15,ROW(AC296)-ROW(AC$15),0),15-13*ORÇAMENTO!$AF$11)),0)</f>
        <v>0</v>
      </c>
      <c r="AD296" s="545">
        <f ca="1">IF(AND($D296="Serviço",AD$12&lt;&gt;0,$H296&gt;0,OR(AUTOEVENTO&lt;&gt;"manual",$M296&lt;&gt;1)),
IF(Import.TipoArredondamento&lt;&gt;"TransfereGOV",
ROUND(OFFSET($P296,0,AD$13),15-13*ORÇAMENTO!$AF$7)/$H296*OFFSET(ORÇAMENTO!$X$15,ROW(AD296)-ROW(AD$15),0),
ROUND(ROUND(OFFSET($P296,0,AD$13),15-13*ORÇAMENTO!$AF$7)*OFFSET(ORÇAMENTO!$W$15,ROW(AD296)-ROW(AD$15),0),15-13*ORÇAMENTO!$AF$11)),0)</f>
        <v>0</v>
      </c>
      <c r="AE296" s="545">
        <f ca="1">IF(AND($D296="Serviço",AE$12&lt;&gt;0,$H296&gt;0,OR(AUTOEVENTO&lt;&gt;"manual",$M296&lt;&gt;1)),
IF(Import.TipoArredondamento&lt;&gt;"TransfereGOV",
ROUND(OFFSET($P296,0,AE$13),15-13*ORÇAMENTO!$AF$7)/$H296*OFFSET(ORÇAMENTO!$X$15,ROW(AE296)-ROW(AE$15),0),
ROUND(ROUND(OFFSET($P296,0,AE$13),15-13*ORÇAMENTO!$AF$7)*OFFSET(ORÇAMENTO!$W$15,ROW(AE296)-ROW(AE$15),0),15-13*ORÇAMENTO!$AF$11)),0)</f>
        <v>0</v>
      </c>
      <c r="AF296" s="545">
        <f ca="1">IF(AND($D296="Serviço",AF$12&lt;&gt;0,$H296&gt;0,OR(AUTOEVENTO&lt;&gt;"manual",$M296&lt;&gt;1)),
IF(Import.TipoArredondamento&lt;&gt;"TransfereGOV",
ROUND(OFFSET($P296,0,AF$13),15-13*ORÇAMENTO!$AF$7)/$H296*OFFSET(ORÇAMENTO!$X$15,ROW(AF296)-ROW(AF$15),0),
ROUND(ROUND(OFFSET($P296,0,AF$13),15-13*ORÇAMENTO!$AF$7)*OFFSET(ORÇAMENTO!$W$15,ROW(AF296)-ROW(AF$15),0),15-13*ORÇAMENTO!$AF$11)),0)</f>
        <v>0</v>
      </c>
      <c r="AG296" s="545">
        <f ca="1">IF(AND($D296="Serviço",AG$12&lt;&gt;0,$H296&gt;0,OR(AUTOEVENTO&lt;&gt;"manual",$M296&lt;&gt;1)),
IF(Import.TipoArredondamento&lt;&gt;"TransfereGOV",
ROUND(OFFSET($P296,0,AG$13),15-13*ORÇAMENTO!$AF$7)/$H296*OFFSET(ORÇAMENTO!$X$15,ROW(AG296)-ROW(AG$15),0),
ROUND(ROUND(OFFSET($P296,0,AG$13),15-13*ORÇAMENTO!$AF$7)*OFFSET(ORÇAMENTO!$W$15,ROW(AG296)-ROW(AG$15),0),15-13*ORÇAMENTO!$AF$11)),0)</f>
        <v>0</v>
      </c>
      <c r="AH296" s="545">
        <f ca="1">IF(AND($D296="Serviço",AH$12&lt;&gt;0,$H296&gt;0,OR(AUTOEVENTO&lt;&gt;"manual",$M296&lt;&gt;1)),
IF(Import.TipoArredondamento&lt;&gt;"TransfereGOV",
ROUND(OFFSET($P296,0,AH$13),15-13*ORÇAMENTO!$AF$7)/$H296*OFFSET(ORÇAMENTO!$X$15,ROW(AH296)-ROW(AH$15),0),
ROUND(ROUND(OFFSET($P296,0,AH$13),15-13*ORÇAMENTO!$AF$7)*OFFSET(ORÇAMENTO!$W$15,ROW(AH296)-ROW(AH$15),0),15-13*ORÇAMENTO!$AF$11)),0)</f>
        <v>0</v>
      </c>
      <c r="AI296" s="545">
        <f ca="1">IF(AND($D296="Serviço",AI$12&lt;&gt;0,$H296&gt;0,OR(AUTOEVENTO&lt;&gt;"manual",$M296&lt;&gt;1)),
IF(Import.TipoArredondamento&lt;&gt;"TransfereGOV",
ROUND(OFFSET($P296,0,AI$13),15-13*ORÇAMENTO!$AF$7)/$H296*OFFSET(ORÇAMENTO!$X$15,ROW(AI296)-ROW(AI$15),0),
ROUND(ROUND(OFFSET($P296,0,AI$13),15-13*ORÇAMENTO!$AF$7)*OFFSET(ORÇAMENTO!$W$15,ROW(AI296)-ROW(AI$15),0),15-13*ORÇAMENTO!$AF$11)),0)</f>
        <v>0</v>
      </c>
      <c r="AJ296" s="545">
        <f ca="1">IF(AND($D296="Serviço",AJ$12&lt;&gt;0,$H296&gt;0,OR(AUTOEVENTO&lt;&gt;"manual",$M296&lt;&gt;1)),
IF(Import.TipoArredondamento&lt;&gt;"TransfereGOV",
ROUND(OFFSET($P296,0,AJ$13),15-13*ORÇAMENTO!$AF$7)/$H296*OFFSET(ORÇAMENTO!$X$15,ROW(AJ296)-ROW(AJ$15),0),
ROUND(ROUND(OFFSET($P296,0,AJ$13),15-13*ORÇAMENTO!$AF$7)*OFFSET(ORÇAMENTO!$W$15,ROW(AJ296)-ROW(AJ$15),0),15-13*ORÇAMENTO!$AF$11)),0)</f>
        <v>0</v>
      </c>
      <c r="AK296" s="546">
        <f ca="1">IF(AND($D296="Serviço",AK$12&lt;&gt;0,$H296&gt;0,OR(AUTOEVENTO&lt;&gt;"manual",$M296&lt;&gt;1)),
IF(Import.TipoArredondamento&lt;&gt;"TransfereGOV",
ROUND(OFFSET($P296,0,AK$13),15-13*ORÇAMENTO!$AF$7)/$H296*OFFSET(ORÇAMENTO!$X$15,ROW(AK296)-ROW(AK$15),0),
ROUND(ROUND(OFFSET($P296,0,AK$13),15-13*ORÇAMENTO!$AF$7)*OFFSET(ORÇAMENTO!$W$15,ROW(AK296)-ROW(AK$15),0),15-13*ORÇAMENTO!$AF$11)),0)</f>
        <v>0</v>
      </c>
      <c r="AM296" s="181">
        <f ca="1">IF($D296&lt;&gt;"Serviço",0,IF(AND(AUTOEVENTO="Manual",$M296=1),0,IF(OFFSET(CRONOPLE!$F$14,$M296,AM$13)="",10^12,OFFSET(CRONOPLE!$F$14,$M296,AM$13))))</f>
        <v>1000000000000</v>
      </c>
      <c r="AN296" s="181">
        <f ca="1">IF($D296&lt;&gt;"Serviço",0,IF(AND(AUTOEVENTO="Manual",$M296=1),0,IF(OFFSET(CRONOPLE!$F$14,$M296,AN$13)="",10^12,OFFSET(CRONOPLE!$F$14,$M296,AN$13))))</f>
        <v>1000000000000</v>
      </c>
      <c r="AO296" s="181">
        <f ca="1">IF($D296&lt;&gt;"Serviço",0,IF(AND(AUTOEVENTO="Manual",$M296=1),0,IF(OFFSET(CRONOPLE!$F$14,$M296,AO$13)="",10^12,OFFSET(CRONOPLE!$F$14,$M296,AO$13))))</f>
        <v>1000000000000</v>
      </c>
      <c r="AP296" s="181">
        <f ca="1">IF($D296&lt;&gt;"Serviço",0,IF(AND(AUTOEVENTO="Manual",$M296=1),0,IF(OFFSET(CRONOPLE!$F$14,$M296,AP$13)="",10^12,OFFSET(CRONOPLE!$F$14,$M296,AP$13))))</f>
        <v>1000000000000</v>
      </c>
      <c r="AQ296" s="181">
        <f ca="1">IF($D296&lt;&gt;"Serviço",0,IF(AND(AUTOEVENTO="Manual",$M296=1),0,IF(OFFSET(CRONOPLE!$F$14,$M296,AQ$13)="",10^12,OFFSET(CRONOPLE!$F$14,$M296,AQ$13))))</f>
        <v>1000000000000</v>
      </c>
      <c r="AR296" s="181">
        <f ca="1">IF($D296&lt;&gt;"Serviço",0,IF(AND(AUTOEVENTO="Manual",$M296=1),0,IF(OFFSET(CRONOPLE!$F$14,$M296,AR$13)="",10^12,OFFSET(CRONOPLE!$F$14,$M296,AR$13))))</f>
        <v>1000000000000</v>
      </c>
      <c r="AS296" s="181">
        <f ca="1">IF($D296&lt;&gt;"Serviço",0,IF(AND(AUTOEVENTO="Manual",$M296=1),0,IF(OFFSET(CRONOPLE!$F$14,$M296,AS$13)="",10^12,OFFSET(CRONOPLE!$F$14,$M296,AS$13))))</f>
        <v>1000000000000</v>
      </c>
      <c r="AT296" s="181">
        <f ca="1">IF($D296&lt;&gt;"Serviço",0,IF(AND(AUTOEVENTO="Manual",$M296=1),0,IF(OFFSET(CRONOPLE!$F$14,$M296,AT$13)="",10^12,OFFSET(CRONOPLE!$F$14,$M296,AT$13))))</f>
        <v>1000000000000</v>
      </c>
      <c r="AU296" s="181">
        <f ca="1">IF($D296&lt;&gt;"Serviço",0,IF(AND(AUTOEVENTO="Manual",$M296=1),0,IF(OFFSET(CRONOPLE!$F$14,$M296,AU$13)="",10^12,OFFSET(CRONOPLE!$F$14,$M296,AU$13))))</f>
        <v>1000000000000</v>
      </c>
      <c r="AV296" s="181">
        <f ca="1">IF($D296&lt;&gt;"Serviço",0,IF(AND(AUTOEVENTO="Manual",$M296=1),0,IF(OFFSET(CRONOPLE!$F$14,$M296,AV$13)="",10^12,OFFSET(CRONOPLE!$F$14,$M296,AV$13))))</f>
        <v>1000000000000</v>
      </c>
      <c r="AX296" s="182">
        <f ca="1">IF($D296&lt;&gt;"Serviço",0,IF(OR(AND(AUTOEVENTO="Manual",$M296=1),$M296&gt;(ROW(PLE.lastrow)-ROW(PLE.firstrow))),0,IF(OFFSET(PLE!$G$14,$M296,AX$13)="",10^12,OFFSET(PLE!$G$14,$M296,AX$13))))</f>
        <v>1000000000000</v>
      </c>
      <c r="AY296" s="182">
        <f ca="1">IF($D296&lt;&gt;"Serviço",0,IF(OR(AND(AUTOEVENTO="Manual",$M296=1),$M296&gt;(ROW(PLE.lastrow)-ROW(PLE.firstrow))),0,IF(OFFSET(PLE!$G$14,$M296,AY$13)="",10^12,OFFSET(PLE!$G$14,$M296,AY$13))))</f>
        <v>1000000000000</v>
      </c>
      <c r="AZ296" s="182">
        <f ca="1">IF($D296&lt;&gt;"Serviço",0,IF(OR(AND(AUTOEVENTO="Manual",$M296=1),$M296&gt;(ROW(PLE.lastrow)-ROW(PLE.firstrow))),0,IF(OFFSET(PLE!$G$14,$M296,AZ$13)="",10^12,OFFSET(PLE!$G$14,$M296,AZ$13))))</f>
        <v>1000000000000</v>
      </c>
      <c r="BA296" s="182">
        <f ca="1">IF($D296&lt;&gt;"Serviço",0,IF(OR(AND(AUTOEVENTO="Manual",$M296=1),$M296&gt;(ROW(PLE.lastrow)-ROW(PLE.firstrow))),0,IF(OFFSET(PLE!$G$14,$M296,BA$13)="",10^12,OFFSET(PLE!$G$14,$M296,BA$13))))</f>
        <v>1000000000000</v>
      </c>
      <c r="BB296" s="182">
        <f ca="1">IF($D296&lt;&gt;"Serviço",0,IF(OR(AND(AUTOEVENTO="Manual",$M296=1),$M296&gt;(ROW(PLE.lastrow)-ROW(PLE.firstrow))),0,IF(OFFSET(PLE!$G$14,$M296,BB$13)="",10^12,OFFSET(PLE!$G$14,$M296,BB$13))))</f>
        <v>1000000000000</v>
      </c>
      <c r="BC296" s="182">
        <f ca="1">IF($D296&lt;&gt;"Serviço",0,IF(OR(AND(AUTOEVENTO="Manual",$M296=1),$M296&gt;(ROW(PLE.lastrow)-ROW(PLE.firstrow))),0,IF(OFFSET(PLE!$G$14,$M296,BC$13)="",10^12,OFFSET(PLE!$G$14,$M296,BC$13))))</f>
        <v>1000000000000</v>
      </c>
      <c r="BD296" s="182">
        <f ca="1">IF($D296&lt;&gt;"Serviço",0,IF(OR(AND(AUTOEVENTO="Manual",$M296=1),$M296&gt;(ROW(PLE.lastrow)-ROW(PLE.firstrow))),0,IF(OFFSET(PLE!$G$14,$M296,BD$13)="",10^12,OFFSET(PLE!$G$14,$M296,BD$13))))</f>
        <v>1000000000000</v>
      </c>
      <c r="BE296" s="182">
        <f ca="1">IF($D296&lt;&gt;"Serviço",0,IF(OR(AND(AUTOEVENTO="Manual",$M296=1),$M296&gt;(ROW(PLE.lastrow)-ROW(PLE.firstrow))),0,IF(OFFSET(PLE!$G$14,$M296,BE$13)="",10^12,OFFSET(PLE!$G$14,$M296,BE$13))))</f>
        <v>1000000000000</v>
      </c>
      <c r="BF296" s="182">
        <f ca="1">IF($D296&lt;&gt;"Serviço",0,IF(OR(AND(AUTOEVENTO="Manual",$M296=1),$M296&gt;(ROW(PLE.lastrow)-ROW(PLE.firstrow))),0,IF(OFFSET(PLE!$G$14,$M296,BF$13)="",10^12,OFFSET(PLE!$G$14,$M296,BF$13))))</f>
        <v>1000000000000</v>
      </c>
      <c r="BG296" s="182">
        <f ca="1">IF($D296&lt;&gt;"Serviço",0,IF(OR(AND(AUTOEVENTO="Manual",$M296=1),$M296&gt;(ROW(PLE.lastrow)-ROW(PLE.firstrow))),0,IF(OFFSET(PLE!$G$14,$M296,BG$13)="",10^12,OFFSET(PLE!$G$14,$M296,BG$13))))</f>
        <v>1000000000000</v>
      </c>
    </row>
    <row r="297" spans="1:59" ht="25.5" x14ac:dyDescent="0.2">
      <c r="A297" s="7" t="str">
        <f t="shared" ca="1" si="11"/>
        <v>251</v>
      </c>
      <c r="B297" s="7" t="str">
        <f ca="1">OFFSET(ORÇAMENTO!C$15,ROW(B297)-ROW(B$15),0)</f>
        <v>S</v>
      </c>
      <c r="C297" s="7" t="str">
        <f ca="1">OFFSET(ORÇAMENTO!L$15,ROW(C297)-ROW(C$15),0)</f>
        <v/>
      </c>
      <c r="D297" s="118" t="str">
        <f ca="1">OFFSET(ORÇAMENTO!N$15,ROW(D297)-ROW(D$15),0)</f>
        <v>Serviço</v>
      </c>
      <c r="E297" s="119" t="str">
        <f ca="1">OFFSET(ORÇAMENTO!O$15,ROW(E297)-ROW(E$15),0)</f>
        <v>-</v>
      </c>
      <c r="F297" s="172" t="str">
        <f ca="1">OFFSET(ORÇAMENTO!R$15,ROW(F297)-ROW(F$15),0)</f>
        <v>(abra o arquivo 'Referência 02-2025.xlsm)</v>
      </c>
      <c r="G297" s="173" t="str">
        <f ca="1">IF($D297&lt;&gt;"Serviço","",OFFSET(ORÇAMENTO!S$15,ROW(G297)-ROW(G$15),0))</f>
        <v>-</v>
      </c>
      <c r="H297" s="124">
        <f ca="1">IF($D297&lt;&gt;"Serviço",0,IF(ACOMPANHAMENTO="BM",ROUND(OFFSET(ORÇAMENTO!AJ$15,ROW(H297)-ROW(H$15),0),15-13*ORÇAMENTO!$AF$7),SUMPRODUCT(($Q$12:$AA$12&lt;&gt;"")*ROUND($Q297:$AA297,15-13*ORÇAMENTO!$AF$7))))</f>
        <v>15</v>
      </c>
      <c r="I297" s="561" t="s">
        <v>890</v>
      </c>
      <c r="K297" s="174"/>
      <c r="L297" s="175" t="s">
        <v>255</v>
      </c>
      <c r="M297" s="176">
        <f ca="1">IF($D297&lt;&gt;"Serviço","",IF(AUTOEVENTO="manual",$A297,IF(ISERROR(MATCH($A297,$A$15:OFFSET($A297,-1,0),0)),MAX($M$15:OFFSET(M297,-1,0))+1,INDEX($M$15:OFFSET(M297,-1,0),MATCH($A297,$A$15:OFFSET($A297,-1,0),0)))))</f>
        <v>13</v>
      </c>
      <c r="N297" s="177" t="str">
        <f ca="1">IF($D297&lt;&gt;"Serviço","",IF(AUTOEVENTO="Manual",IF($A297=0,"&lt;-- defina o número do agrupador",OFFSET(EVENTOS!$D$14,$A297,0)),OFFSET($F$15,$A297,0)))</f>
        <v>INSTALAÇÃO HIDRÁULICA</v>
      </c>
      <c r="O297" s="178"/>
      <c r="Q297" s="178"/>
      <c r="R297" s="179"/>
      <c r="S297" s="179"/>
      <c r="T297" s="179"/>
      <c r="U297" s="179"/>
      <c r="V297" s="179"/>
      <c r="W297" s="179"/>
      <c r="X297" s="179"/>
      <c r="Y297" s="179"/>
      <c r="Z297" s="180"/>
      <c r="AB297" s="544">
        <f ca="1">IF(AND($D297="Serviço",AB$12&lt;&gt;0,$H297&gt;0,OR(AUTOEVENTO&lt;&gt;"manual",$M297&lt;&gt;1)),
IF(Import.TipoArredondamento&lt;&gt;"TransfereGOV",
ROUND(OFFSET($P297,0,AB$13),15-13*ORÇAMENTO!$AF$7)/$H297*OFFSET(ORÇAMENTO!$X$15,ROW(AB297)-ROW(AB$15),0),
ROUND(ROUND(OFFSET($P297,0,AB$13),15-13*ORÇAMENTO!$AF$7)*OFFSET(ORÇAMENTO!$W$15,ROW(AB297)-ROW(AB$15),0),15-13*ORÇAMENTO!$AF$11)),0)</f>
        <v>0</v>
      </c>
      <c r="AC297" s="545">
        <f ca="1">IF(AND($D297="Serviço",AC$12&lt;&gt;0,$H297&gt;0,OR(AUTOEVENTO&lt;&gt;"manual",$M297&lt;&gt;1)),
IF(Import.TipoArredondamento&lt;&gt;"TransfereGOV",
ROUND(OFFSET($P297,0,AC$13),15-13*ORÇAMENTO!$AF$7)/$H297*OFFSET(ORÇAMENTO!$X$15,ROW(AC297)-ROW(AC$15),0),
ROUND(ROUND(OFFSET($P297,0,AC$13),15-13*ORÇAMENTO!$AF$7)*OFFSET(ORÇAMENTO!$W$15,ROW(AC297)-ROW(AC$15),0),15-13*ORÇAMENTO!$AF$11)),0)</f>
        <v>0</v>
      </c>
      <c r="AD297" s="545">
        <f ca="1">IF(AND($D297="Serviço",AD$12&lt;&gt;0,$H297&gt;0,OR(AUTOEVENTO&lt;&gt;"manual",$M297&lt;&gt;1)),
IF(Import.TipoArredondamento&lt;&gt;"TransfereGOV",
ROUND(OFFSET($P297,0,AD$13),15-13*ORÇAMENTO!$AF$7)/$H297*OFFSET(ORÇAMENTO!$X$15,ROW(AD297)-ROW(AD$15),0),
ROUND(ROUND(OFFSET($P297,0,AD$13),15-13*ORÇAMENTO!$AF$7)*OFFSET(ORÇAMENTO!$W$15,ROW(AD297)-ROW(AD$15),0),15-13*ORÇAMENTO!$AF$11)),0)</f>
        <v>0</v>
      </c>
      <c r="AE297" s="545">
        <f ca="1">IF(AND($D297="Serviço",AE$12&lt;&gt;0,$H297&gt;0,OR(AUTOEVENTO&lt;&gt;"manual",$M297&lt;&gt;1)),
IF(Import.TipoArredondamento&lt;&gt;"TransfereGOV",
ROUND(OFFSET($P297,0,AE$13),15-13*ORÇAMENTO!$AF$7)/$H297*OFFSET(ORÇAMENTO!$X$15,ROW(AE297)-ROW(AE$15),0),
ROUND(ROUND(OFFSET($P297,0,AE$13),15-13*ORÇAMENTO!$AF$7)*OFFSET(ORÇAMENTO!$W$15,ROW(AE297)-ROW(AE$15),0),15-13*ORÇAMENTO!$AF$11)),0)</f>
        <v>0</v>
      </c>
      <c r="AF297" s="545">
        <f ca="1">IF(AND($D297="Serviço",AF$12&lt;&gt;0,$H297&gt;0,OR(AUTOEVENTO&lt;&gt;"manual",$M297&lt;&gt;1)),
IF(Import.TipoArredondamento&lt;&gt;"TransfereGOV",
ROUND(OFFSET($P297,0,AF$13),15-13*ORÇAMENTO!$AF$7)/$H297*OFFSET(ORÇAMENTO!$X$15,ROW(AF297)-ROW(AF$15),0),
ROUND(ROUND(OFFSET($P297,0,AF$13),15-13*ORÇAMENTO!$AF$7)*OFFSET(ORÇAMENTO!$W$15,ROW(AF297)-ROW(AF$15),0),15-13*ORÇAMENTO!$AF$11)),0)</f>
        <v>0</v>
      </c>
      <c r="AG297" s="545">
        <f ca="1">IF(AND($D297="Serviço",AG$12&lt;&gt;0,$H297&gt;0,OR(AUTOEVENTO&lt;&gt;"manual",$M297&lt;&gt;1)),
IF(Import.TipoArredondamento&lt;&gt;"TransfereGOV",
ROUND(OFFSET($P297,0,AG$13),15-13*ORÇAMENTO!$AF$7)/$H297*OFFSET(ORÇAMENTO!$X$15,ROW(AG297)-ROW(AG$15),0),
ROUND(ROUND(OFFSET($P297,0,AG$13),15-13*ORÇAMENTO!$AF$7)*OFFSET(ORÇAMENTO!$W$15,ROW(AG297)-ROW(AG$15),0),15-13*ORÇAMENTO!$AF$11)),0)</f>
        <v>0</v>
      </c>
      <c r="AH297" s="545">
        <f ca="1">IF(AND($D297="Serviço",AH$12&lt;&gt;0,$H297&gt;0,OR(AUTOEVENTO&lt;&gt;"manual",$M297&lt;&gt;1)),
IF(Import.TipoArredondamento&lt;&gt;"TransfereGOV",
ROUND(OFFSET($P297,0,AH$13),15-13*ORÇAMENTO!$AF$7)/$H297*OFFSET(ORÇAMENTO!$X$15,ROW(AH297)-ROW(AH$15),0),
ROUND(ROUND(OFFSET($P297,0,AH$13),15-13*ORÇAMENTO!$AF$7)*OFFSET(ORÇAMENTO!$W$15,ROW(AH297)-ROW(AH$15),0),15-13*ORÇAMENTO!$AF$11)),0)</f>
        <v>0</v>
      </c>
      <c r="AI297" s="545">
        <f ca="1">IF(AND($D297="Serviço",AI$12&lt;&gt;0,$H297&gt;0,OR(AUTOEVENTO&lt;&gt;"manual",$M297&lt;&gt;1)),
IF(Import.TipoArredondamento&lt;&gt;"TransfereGOV",
ROUND(OFFSET($P297,0,AI$13),15-13*ORÇAMENTO!$AF$7)/$H297*OFFSET(ORÇAMENTO!$X$15,ROW(AI297)-ROW(AI$15),0),
ROUND(ROUND(OFFSET($P297,0,AI$13),15-13*ORÇAMENTO!$AF$7)*OFFSET(ORÇAMENTO!$W$15,ROW(AI297)-ROW(AI$15),0),15-13*ORÇAMENTO!$AF$11)),0)</f>
        <v>0</v>
      </c>
      <c r="AJ297" s="545">
        <f ca="1">IF(AND($D297="Serviço",AJ$12&lt;&gt;0,$H297&gt;0,OR(AUTOEVENTO&lt;&gt;"manual",$M297&lt;&gt;1)),
IF(Import.TipoArredondamento&lt;&gt;"TransfereGOV",
ROUND(OFFSET($P297,0,AJ$13),15-13*ORÇAMENTO!$AF$7)/$H297*OFFSET(ORÇAMENTO!$X$15,ROW(AJ297)-ROW(AJ$15),0),
ROUND(ROUND(OFFSET($P297,0,AJ$13),15-13*ORÇAMENTO!$AF$7)*OFFSET(ORÇAMENTO!$W$15,ROW(AJ297)-ROW(AJ$15),0),15-13*ORÇAMENTO!$AF$11)),0)</f>
        <v>0</v>
      </c>
      <c r="AK297" s="546">
        <f ca="1">IF(AND($D297="Serviço",AK$12&lt;&gt;0,$H297&gt;0,OR(AUTOEVENTO&lt;&gt;"manual",$M297&lt;&gt;1)),
IF(Import.TipoArredondamento&lt;&gt;"TransfereGOV",
ROUND(OFFSET($P297,0,AK$13),15-13*ORÇAMENTO!$AF$7)/$H297*OFFSET(ORÇAMENTO!$X$15,ROW(AK297)-ROW(AK$15),0),
ROUND(ROUND(OFFSET($P297,0,AK$13),15-13*ORÇAMENTO!$AF$7)*OFFSET(ORÇAMENTO!$W$15,ROW(AK297)-ROW(AK$15),0),15-13*ORÇAMENTO!$AF$11)),0)</f>
        <v>0</v>
      </c>
      <c r="AM297" s="181">
        <f ca="1">IF($D297&lt;&gt;"Serviço",0,IF(AND(AUTOEVENTO="Manual",$M297=1),0,IF(OFFSET(CRONOPLE!$F$14,$M297,AM$13)="",10^12,OFFSET(CRONOPLE!$F$14,$M297,AM$13))))</f>
        <v>1000000000000</v>
      </c>
      <c r="AN297" s="181">
        <f ca="1">IF($D297&lt;&gt;"Serviço",0,IF(AND(AUTOEVENTO="Manual",$M297=1),0,IF(OFFSET(CRONOPLE!$F$14,$M297,AN$13)="",10^12,OFFSET(CRONOPLE!$F$14,$M297,AN$13))))</f>
        <v>1000000000000</v>
      </c>
      <c r="AO297" s="181">
        <f ca="1">IF($D297&lt;&gt;"Serviço",0,IF(AND(AUTOEVENTO="Manual",$M297=1),0,IF(OFFSET(CRONOPLE!$F$14,$M297,AO$13)="",10^12,OFFSET(CRONOPLE!$F$14,$M297,AO$13))))</f>
        <v>1000000000000</v>
      </c>
      <c r="AP297" s="181">
        <f ca="1">IF($D297&lt;&gt;"Serviço",0,IF(AND(AUTOEVENTO="Manual",$M297=1),0,IF(OFFSET(CRONOPLE!$F$14,$M297,AP$13)="",10^12,OFFSET(CRONOPLE!$F$14,$M297,AP$13))))</f>
        <v>1000000000000</v>
      </c>
      <c r="AQ297" s="181">
        <f ca="1">IF($D297&lt;&gt;"Serviço",0,IF(AND(AUTOEVENTO="Manual",$M297=1),0,IF(OFFSET(CRONOPLE!$F$14,$M297,AQ$13)="",10^12,OFFSET(CRONOPLE!$F$14,$M297,AQ$13))))</f>
        <v>1000000000000</v>
      </c>
      <c r="AR297" s="181">
        <f ca="1">IF($D297&lt;&gt;"Serviço",0,IF(AND(AUTOEVENTO="Manual",$M297=1),0,IF(OFFSET(CRONOPLE!$F$14,$M297,AR$13)="",10^12,OFFSET(CRONOPLE!$F$14,$M297,AR$13))))</f>
        <v>1000000000000</v>
      </c>
      <c r="AS297" s="181">
        <f ca="1">IF($D297&lt;&gt;"Serviço",0,IF(AND(AUTOEVENTO="Manual",$M297=1),0,IF(OFFSET(CRONOPLE!$F$14,$M297,AS$13)="",10^12,OFFSET(CRONOPLE!$F$14,$M297,AS$13))))</f>
        <v>1000000000000</v>
      </c>
      <c r="AT297" s="181">
        <f ca="1">IF($D297&lt;&gt;"Serviço",0,IF(AND(AUTOEVENTO="Manual",$M297=1),0,IF(OFFSET(CRONOPLE!$F$14,$M297,AT$13)="",10^12,OFFSET(CRONOPLE!$F$14,$M297,AT$13))))</f>
        <v>1000000000000</v>
      </c>
      <c r="AU297" s="181">
        <f ca="1">IF($D297&lt;&gt;"Serviço",0,IF(AND(AUTOEVENTO="Manual",$M297=1),0,IF(OFFSET(CRONOPLE!$F$14,$M297,AU$13)="",10^12,OFFSET(CRONOPLE!$F$14,$M297,AU$13))))</f>
        <v>1000000000000</v>
      </c>
      <c r="AV297" s="181">
        <f ca="1">IF($D297&lt;&gt;"Serviço",0,IF(AND(AUTOEVENTO="Manual",$M297=1),0,IF(OFFSET(CRONOPLE!$F$14,$M297,AV$13)="",10^12,OFFSET(CRONOPLE!$F$14,$M297,AV$13))))</f>
        <v>1000000000000</v>
      </c>
      <c r="AX297" s="182">
        <f ca="1">IF($D297&lt;&gt;"Serviço",0,IF(OR(AND(AUTOEVENTO="Manual",$M297=1),$M297&gt;(ROW(PLE.lastrow)-ROW(PLE.firstrow))),0,IF(OFFSET(PLE!$G$14,$M297,AX$13)="",10^12,OFFSET(PLE!$G$14,$M297,AX$13))))</f>
        <v>1000000000000</v>
      </c>
      <c r="AY297" s="182">
        <f ca="1">IF($D297&lt;&gt;"Serviço",0,IF(OR(AND(AUTOEVENTO="Manual",$M297=1),$M297&gt;(ROW(PLE.lastrow)-ROW(PLE.firstrow))),0,IF(OFFSET(PLE!$G$14,$M297,AY$13)="",10^12,OFFSET(PLE!$G$14,$M297,AY$13))))</f>
        <v>1000000000000</v>
      </c>
      <c r="AZ297" s="182">
        <f ca="1">IF($D297&lt;&gt;"Serviço",0,IF(OR(AND(AUTOEVENTO="Manual",$M297=1),$M297&gt;(ROW(PLE.lastrow)-ROW(PLE.firstrow))),0,IF(OFFSET(PLE!$G$14,$M297,AZ$13)="",10^12,OFFSET(PLE!$G$14,$M297,AZ$13))))</f>
        <v>1000000000000</v>
      </c>
      <c r="BA297" s="182">
        <f ca="1">IF($D297&lt;&gt;"Serviço",0,IF(OR(AND(AUTOEVENTO="Manual",$M297=1),$M297&gt;(ROW(PLE.lastrow)-ROW(PLE.firstrow))),0,IF(OFFSET(PLE!$G$14,$M297,BA$13)="",10^12,OFFSET(PLE!$G$14,$M297,BA$13))))</f>
        <v>1000000000000</v>
      </c>
      <c r="BB297" s="182">
        <f ca="1">IF($D297&lt;&gt;"Serviço",0,IF(OR(AND(AUTOEVENTO="Manual",$M297=1),$M297&gt;(ROW(PLE.lastrow)-ROW(PLE.firstrow))),0,IF(OFFSET(PLE!$G$14,$M297,BB$13)="",10^12,OFFSET(PLE!$G$14,$M297,BB$13))))</f>
        <v>1000000000000</v>
      </c>
      <c r="BC297" s="182">
        <f ca="1">IF($D297&lt;&gt;"Serviço",0,IF(OR(AND(AUTOEVENTO="Manual",$M297=1),$M297&gt;(ROW(PLE.lastrow)-ROW(PLE.firstrow))),0,IF(OFFSET(PLE!$G$14,$M297,BC$13)="",10^12,OFFSET(PLE!$G$14,$M297,BC$13))))</f>
        <v>1000000000000</v>
      </c>
      <c r="BD297" s="182">
        <f ca="1">IF($D297&lt;&gt;"Serviço",0,IF(OR(AND(AUTOEVENTO="Manual",$M297=1),$M297&gt;(ROW(PLE.lastrow)-ROW(PLE.firstrow))),0,IF(OFFSET(PLE!$G$14,$M297,BD$13)="",10^12,OFFSET(PLE!$G$14,$M297,BD$13))))</f>
        <v>1000000000000</v>
      </c>
      <c r="BE297" s="182">
        <f ca="1">IF($D297&lt;&gt;"Serviço",0,IF(OR(AND(AUTOEVENTO="Manual",$M297=1),$M297&gt;(ROW(PLE.lastrow)-ROW(PLE.firstrow))),0,IF(OFFSET(PLE!$G$14,$M297,BE$13)="",10^12,OFFSET(PLE!$G$14,$M297,BE$13))))</f>
        <v>1000000000000</v>
      </c>
      <c r="BF297" s="182">
        <f ca="1">IF($D297&lt;&gt;"Serviço",0,IF(OR(AND(AUTOEVENTO="Manual",$M297=1),$M297&gt;(ROW(PLE.lastrow)-ROW(PLE.firstrow))),0,IF(OFFSET(PLE!$G$14,$M297,BF$13)="",10^12,OFFSET(PLE!$G$14,$M297,BF$13))))</f>
        <v>1000000000000</v>
      </c>
      <c r="BG297" s="182">
        <f ca="1">IF($D297&lt;&gt;"Serviço",0,IF(OR(AND(AUTOEVENTO="Manual",$M297=1),$M297&gt;(ROW(PLE.lastrow)-ROW(PLE.firstrow))),0,IF(OFFSET(PLE!$G$14,$M297,BG$13)="",10^12,OFFSET(PLE!$G$14,$M297,BG$13))))</f>
        <v>1000000000000</v>
      </c>
    </row>
    <row r="298" spans="1:59" ht="38.25" x14ac:dyDescent="0.2">
      <c r="A298" s="7" t="str">
        <f t="shared" ca="1" si="11"/>
        <v>251</v>
      </c>
      <c r="B298" s="7" t="str">
        <f ca="1">OFFSET(ORÇAMENTO!C$15,ROW(B298)-ROW(B$15),0)</f>
        <v>S</v>
      </c>
      <c r="C298" s="7" t="str">
        <f ca="1">OFFSET(ORÇAMENTO!L$15,ROW(C298)-ROW(C$15),0)</f>
        <v/>
      </c>
      <c r="D298" s="118" t="str">
        <f ca="1">OFFSET(ORÇAMENTO!N$15,ROW(D298)-ROW(D$15),0)</f>
        <v>Serviço</v>
      </c>
      <c r="E298" s="119" t="str">
        <f ca="1">OFFSET(ORÇAMENTO!O$15,ROW(E298)-ROW(E$15),0)</f>
        <v>-</v>
      </c>
      <c r="F298" s="172" t="str">
        <f ca="1">OFFSET(ORÇAMENTO!R$15,ROW(F298)-ROW(F$15),0)</f>
        <v>(abra o arquivo 'Referência 02-2025.xlsm)</v>
      </c>
      <c r="G298" s="173" t="str">
        <f ca="1">IF($D298&lt;&gt;"Serviço","",OFFSET(ORÇAMENTO!S$15,ROW(G298)-ROW(G$15),0))</f>
        <v>-</v>
      </c>
      <c r="H298" s="124">
        <f ca="1">IF($D298&lt;&gt;"Serviço",0,IF(ACOMPANHAMENTO="BM",ROUND(OFFSET(ORÇAMENTO!AJ$15,ROW(H298)-ROW(H$15),0),15-13*ORÇAMENTO!$AF$7),SUMPRODUCT(($Q$12:$AA$12&lt;&gt;"")*ROUND($Q298:$AA298,15-13*ORÇAMENTO!$AF$7))))</f>
        <v>64</v>
      </c>
      <c r="I298" s="561" t="s">
        <v>890</v>
      </c>
      <c r="K298" s="174"/>
      <c r="L298" s="175" t="s">
        <v>255</v>
      </c>
      <c r="M298" s="176">
        <f ca="1">IF($D298&lt;&gt;"Serviço","",IF(AUTOEVENTO="manual",$A298,IF(ISERROR(MATCH($A298,$A$15:OFFSET($A298,-1,0),0)),MAX($M$15:OFFSET(M298,-1,0))+1,INDEX($M$15:OFFSET(M298,-1,0),MATCH($A298,$A$15:OFFSET($A298,-1,0),0)))))</f>
        <v>13</v>
      </c>
      <c r="N298" s="177" t="str">
        <f ca="1">IF($D298&lt;&gt;"Serviço","",IF(AUTOEVENTO="Manual",IF($A298=0,"&lt;-- defina o número do agrupador",OFFSET(EVENTOS!$D$14,$A298,0)),OFFSET($F$15,$A298,0)))</f>
        <v>INSTALAÇÃO HIDRÁULICA</v>
      </c>
      <c r="O298" s="178"/>
      <c r="Q298" s="178"/>
      <c r="R298" s="179"/>
      <c r="S298" s="179"/>
      <c r="T298" s="179"/>
      <c r="U298" s="179"/>
      <c r="V298" s="179"/>
      <c r="W298" s="179"/>
      <c r="X298" s="179"/>
      <c r="Y298" s="179"/>
      <c r="Z298" s="180"/>
      <c r="AB298" s="544">
        <f ca="1">IF(AND($D298="Serviço",AB$12&lt;&gt;0,$H298&gt;0,OR(AUTOEVENTO&lt;&gt;"manual",$M298&lt;&gt;1)),
IF(Import.TipoArredondamento&lt;&gt;"TransfereGOV",
ROUND(OFFSET($P298,0,AB$13),15-13*ORÇAMENTO!$AF$7)/$H298*OFFSET(ORÇAMENTO!$X$15,ROW(AB298)-ROW(AB$15),0),
ROUND(ROUND(OFFSET($P298,0,AB$13),15-13*ORÇAMENTO!$AF$7)*OFFSET(ORÇAMENTO!$W$15,ROW(AB298)-ROW(AB$15),0),15-13*ORÇAMENTO!$AF$11)),0)</f>
        <v>0</v>
      </c>
      <c r="AC298" s="545">
        <f ca="1">IF(AND($D298="Serviço",AC$12&lt;&gt;0,$H298&gt;0,OR(AUTOEVENTO&lt;&gt;"manual",$M298&lt;&gt;1)),
IF(Import.TipoArredondamento&lt;&gt;"TransfereGOV",
ROUND(OFFSET($P298,0,AC$13),15-13*ORÇAMENTO!$AF$7)/$H298*OFFSET(ORÇAMENTO!$X$15,ROW(AC298)-ROW(AC$15),0),
ROUND(ROUND(OFFSET($P298,0,AC$13),15-13*ORÇAMENTO!$AF$7)*OFFSET(ORÇAMENTO!$W$15,ROW(AC298)-ROW(AC$15),0),15-13*ORÇAMENTO!$AF$11)),0)</f>
        <v>0</v>
      </c>
      <c r="AD298" s="545">
        <f ca="1">IF(AND($D298="Serviço",AD$12&lt;&gt;0,$H298&gt;0,OR(AUTOEVENTO&lt;&gt;"manual",$M298&lt;&gt;1)),
IF(Import.TipoArredondamento&lt;&gt;"TransfereGOV",
ROUND(OFFSET($P298,0,AD$13),15-13*ORÇAMENTO!$AF$7)/$H298*OFFSET(ORÇAMENTO!$X$15,ROW(AD298)-ROW(AD$15),0),
ROUND(ROUND(OFFSET($P298,0,AD$13),15-13*ORÇAMENTO!$AF$7)*OFFSET(ORÇAMENTO!$W$15,ROW(AD298)-ROW(AD$15),0),15-13*ORÇAMENTO!$AF$11)),0)</f>
        <v>0</v>
      </c>
      <c r="AE298" s="545">
        <f ca="1">IF(AND($D298="Serviço",AE$12&lt;&gt;0,$H298&gt;0,OR(AUTOEVENTO&lt;&gt;"manual",$M298&lt;&gt;1)),
IF(Import.TipoArredondamento&lt;&gt;"TransfereGOV",
ROUND(OFFSET($P298,0,AE$13),15-13*ORÇAMENTO!$AF$7)/$H298*OFFSET(ORÇAMENTO!$X$15,ROW(AE298)-ROW(AE$15),0),
ROUND(ROUND(OFFSET($P298,0,AE$13),15-13*ORÇAMENTO!$AF$7)*OFFSET(ORÇAMENTO!$W$15,ROW(AE298)-ROW(AE$15),0),15-13*ORÇAMENTO!$AF$11)),0)</f>
        <v>0</v>
      </c>
      <c r="AF298" s="545">
        <f ca="1">IF(AND($D298="Serviço",AF$12&lt;&gt;0,$H298&gt;0,OR(AUTOEVENTO&lt;&gt;"manual",$M298&lt;&gt;1)),
IF(Import.TipoArredondamento&lt;&gt;"TransfereGOV",
ROUND(OFFSET($P298,0,AF$13),15-13*ORÇAMENTO!$AF$7)/$H298*OFFSET(ORÇAMENTO!$X$15,ROW(AF298)-ROW(AF$15),0),
ROUND(ROUND(OFFSET($P298,0,AF$13),15-13*ORÇAMENTO!$AF$7)*OFFSET(ORÇAMENTO!$W$15,ROW(AF298)-ROW(AF$15),0),15-13*ORÇAMENTO!$AF$11)),0)</f>
        <v>0</v>
      </c>
      <c r="AG298" s="545">
        <f ca="1">IF(AND($D298="Serviço",AG$12&lt;&gt;0,$H298&gt;0,OR(AUTOEVENTO&lt;&gt;"manual",$M298&lt;&gt;1)),
IF(Import.TipoArredondamento&lt;&gt;"TransfereGOV",
ROUND(OFFSET($P298,0,AG$13),15-13*ORÇAMENTO!$AF$7)/$H298*OFFSET(ORÇAMENTO!$X$15,ROW(AG298)-ROW(AG$15),0),
ROUND(ROUND(OFFSET($P298,0,AG$13),15-13*ORÇAMENTO!$AF$7)*OFFSET(ORÇAMENTO!$W$15,ROW(AG298)-ROW(AG$15),0),15-13*ORÇAMENTO!$AF$11)),0)</f>
        <v>0</v>
      </c>
      <c r="AH298" s="545">
        <f ca="1">IF(AND($D298="Serviço",AH$12&lt;&gt;0,$H298&gt;0,OR(AUTOEVENTO&lt;&gt;"manual",$M298&lt;&gt;1)),
IF(Import.TipoArredondamento&lt;&gt;"TransfereGOV",
ROUND(OFFSET($P298,0,AH$13),15-13*ORÇAMENTO!$AF$7)/$H298*OFFSET(ORÇAMENTO!$X$15,ROW(AH298)-ROW(AH$15),0),
ROUND(ROUND(OFFSET($P298,0,AH$13),15-13*ORÇAMENTO!$AF$7)*OFFSET(ORÇAMENTO!$W$15,ROW(AH298)-ROW(AH$15),0),15-13*ORÇAMENTO!$AF$11)),0)</f>
        <v>0</v>
      </c>
      <c r="AI298" s="545">
        <f ca="1">IF(AND($D298="Serviço",AI$12&lt;&gt;0,$H298&gt;0,OR(AUTOEVENTO&lt;&gt;"manual",$M298&lt;&gt;1)),
IF(Import.TipoArredondamento&lt;&gt;"TransfereGOV",
ROUND(OFFSET($P298,0,AI$13),15-13*ORÇAMENTO!$AF$7)/$H298*OFFSET(ORÇAMENTO!$X$15,ROW(AI298)-ROW(AI$15),0),
ROUND(ROUND(OFFSET($P298,0,AI$13),15-13*ORÇAMENTO!$AF$7)*OFFSET(ORÇAMENTO!$W$15,ROW(AI298)-ROW(AI$15),0),15-13*ORÇAMENTO!$AF$11)),0)</f>
        <v>0</v>
      </c>
      <c r="AJ298" s="545">
        <f ca="1">IF(AND($D298="Serviço",AJ$12&lt;&gt;0,$H298&gt;0,OR(AUTOEVENTO&lt;&gt;"manual",$M298&lt;&gt;1)),
IF(Import.TipoArredondamento&lt;&gt;"TransfereGOV",
ROUND(OFFSET($P298,0,AJ$13),15-13*ORÇAMENTO!$AF$7)/$H298*OFFSET(ORÇAMENTO!$X$15,ROW(AJ298)-ROW(AJ$15),0),
ROUND(ROUND(OFFSET($P298,0,AJ$13),15-13*ORÇAMENTO!$AF$7)*OFFSET(ORÇAMENTO!$W$15,ROW(AJ298)-ROW(AJ$15),0),15-13*ORÇAMENTO!$AF$11)),0)</f>
        <v>0</v>
      </c>
      <c r="AK298" s="546">
        <f ca="1">IF(AND($D298="Serviço",AK$12&lt;&gt;0,$H298&gt;0,OR(AUTOEVENTO&lt;&gt;"manual",$M298&lt;&gt;1)),
IF(Import.TipoArredondamento&lt;&gt;"TransfereGOV",
ROUND(OFFSET($P298,0,AK$13),15-13*ORÇAMENTO!$AF$7)/$H298*OFFSET(ORÇAMENTO!$X$15,ROW(AK298)-ROW(AK$15),0),
ROUND(ROUND(OFFSET($P298,0,AK$13),15-13*ORÇAMENTO!$AF$7)*OFFSET(ORÇAMENTO!$W$15,ROW(AK298)-ROW(AK$15),0),15-13*ORÇAMENTO!$AF$11)),0)</f>
        <v>0</v>
      </c>
      <c r="AM298" s="181">
        <f ca="1">IF($D298&lt;&gt;"Serviço",0,IF(AND(AUTOEVENTO="Manual",$M298=1),0,IF(OFFSET(CRONOPLE!$F$14,$M298,AM$13)="",10^12,OFFSET(CRONOPLE!$F$14,$M298,AM$13))))</f>
        <v>1000000000000</v>
      </c>
      <c r="AN298" s="181">
        <f ca="1">IF($D298&lt;&gt;"Serviço",0,IF(AND(AUTOEVENTO="Manual",$M298=1),0,IF(OFFSET(CRONOPLE!$F$14,$M298,AN$13)="",10^12,OFFSET(CRONOPLE!$F$14,$M298,AN$13))))</f>
        <v>1000000000000</v>
      </c>
      <c r="AO298" s="181">
        <f ca="1">IF($D298&lt;&gt;"Serviço",0,IF(AND(AUTOEVENTO="Manual",$M298=1),0,IF(OFFSET(CRONOPLE!$F$14,$M298,AO$13)="",10^12,OFFSET(CRONOPLE!$F$14,$M298,AO$13))))</f>
        <v>1000000000000</v>
      </c>
      <c r="AP298" s="181">
        <f ca="1">IF($D298&lt;&gt;"Serviço",0,IF(AND(AUTOEVENTO="Manual",$M298=1),0,IF(OFFSET(CRONOPLE!$F$14,$M298,AP$13)="",10^12,OFFSET(CRONOPLE!$F$14,$M298,AP$13))))</f>
        <v>1000000000000</v>
      </c>
      <c r="AQ298" s="181">
        <f ca="1">IF($D298&lt;&gt;"Serviço",0,IF(AND(AUTOEVENTO="Manual",$M298=1),0,IF(OFFSET(CRONOPLE!$F$14,$M298,AQ$13)="",10^12,OFFSET(CRONOPLE!$F$14,$M298,AQ$13))))</f>
        <v>1000000000000</v>
      </c>
      <c r="AR298" s="181">
        <f ca="1">IF($D298&lt;&gt;"Serviço",0,IF(AND(AUTOEVENTO="Manual",$M298=1),0,IF(OFFSET(CRONOPLE!$F$14,$M298,AR$13)="",10^12,OFFSET(CRONOPLE!$F$14,$M298,AR$13))))</f>
        <v>1000000000000</v>
      </c>
      <c r="AS298" s="181">
        <f ca="1">IF($D298&lt;&gt;"Serviço",0,IF(AND(AUTOEVENTO="Manual",$M298=1),0,IF(OFFSET(CRONOPLE!$F$14,$M298,AS$13)="",10^12,OFFSET(CRONOPLE!$F$14,$M298,AS$13))))</f>
        <v>1000000000000</v>
      </c>
      <c r="AT298" s="181">
        <f ca="1">IF($D298&lt;&gt;"Serviço",0,IF(AND(AUTOEVENTO="Manual",$M298=1),0,IF(OFFSET(CRONOPLE!$F$14,$M298,AT$13)="",10^12,OFFSET(CRONOPLE!$F$14,$M298,AT$13))))</f>
        <v>1000000000000</v>
      </c>
      <c r="AU298" s="181">
        <f ca="1">IF($D298&lt;&gt;"Serviço",0,IF(AND(AUTOEVENTO="Manual",$M298=1),0,IF(OFFSET(CRONOPLE!$F$14,$M298,AU$13)="",10^12,OFFSET(CRONOPLE!$F$14,$M298,AU$13))))</f>
        <v>1000000000000</v>
      </c>
      <c r="AV298" s="181">
        <f ca="1">IF($D298&lt;&gt;"Serviço",0,IF(AND(AUTOEVENTO="Manual",$M298=1),0,IF(OFFSET(CRONOPLE!$F$14,$M298,AV$13)="",10^12,OFFSET(CRONOPLE!$F$14,$M298,AV$13))))</f>
        <v>1000000000000</v>
      </c>
      <c r="AX298" s="182">
        <f ca="1">IF($D298&lt;&gt;"Serviço",0,IF(OR(AND(AUTOEVENTO="Manual",$M298=1),$M298&gt;(ROW(PLE.lastrow)-ROW(PLE.firstrow))),0,IF(OFFSET(PLE!$G$14,$M298,AX$13)="",10^12,OFFSET(PLE!$G$14,$M298,AX$13))))</f>
        <v>1000000000000</v>
      </c>
      <c r="AY298" s="182">
        <f ca="1">IF($D298&lt;&gt;"Serviço",0,IF(OR(AND(AUTOEVENTO="Manual",$M298=1),$M298&gt;(ROW(PLE.lastrow)-ROW(PLE.firstrow))),0,IF(OFFSET(PLE!$G$14,$M298,AY$13)="",10^12,OFFSET(PLE!$G$14,$M298,AY$13))))</f>
        <v>1000000000000</v>
      </c>
      <c r="AZ298" s="182">
        <f ca="1">IF($D298&lt;&gt;"Serviço",0,IF(OR(AND(AUTOEVENTO="Manual",$M298=1),$M298&gt;(ROW(PLE.lastrow)-ROW(PLE.firstrow))),0,IF(OFFSET(PLE!$G$14,$M298,AZ$13)="",10^12,OFFSET(PLE!$G$14,$M298,AZ$13))))</f>
        <v>1000000000000</v>
      </c>
      <c r="BA298" s="182">
        <f ca="1">IF($D298&lt;&gt;"Serviço",0,IF(OR(AND(AUTOEVENTO="Manual",$M298=1),$M298&gt;(ROW(PLE.lastrow)-ROW(PLE.firstrow))),0,IF(OFFSET(PLE!$G$14,$M298,BA$13)="",10^12,OFFSET(PLE!$G$14,$M298,BA$13))))</f>
        <v>1000000000000</v>
      </c>
      <c r="BB298" s="182">
        <f ca="1">IF($D298&lt;&gt;"Serviço",0,IF(OR(AND(AUTOEVENTO="Manual",$M298=1),$M298&gt;(ROW(PLE.lastrow)-ROW(PLE.firstrow))),0,IF(OFFSET(PLE!$G$14,$M298,BB$13)="",10^12,OFFSET(PLE!$G$14,$M298,BB$13))))</f>
        <v>1000000000000</v>
      </c>
      <c r="BC298" s="182">
        <f ca="1">IF($D298&lt;&gt;"Serviço",0,IF(OR(AND(AUTOEVENTO="Manual",$M298=1),$M298&gt;(ROW(PLE.lastrow)-ROW(PLE.firstrow))),0,IF(OFFSET(PLE!$G$14,$M298,BC$13)="",10^12,OFFSET(PLE!$G$14,$M298,BC$13))))</f>
        <v>1000000000000</v>
      </c>
      <c r="BD298" s="182">
        <f ca="1">IF($D298&lt;&gt;"Serviço",0,IF(OR(AND(AUTOEVENTO="Manual",$M298=1),$M298&gt;(ROW(PLE.lastrow)-ROW(PLE.firstrow))),0,IF(OFFSET(PLE!$G$14,$M298,BD$13)="",10^12,OFFSET(PLE!$G$14,$M298,BD$13))))</f>
        <v>1000000000000</v>
      </c>
      <c r="BE298" s="182">
        <f ca="1">IF($D298&lt;&gt;"Serviço",0,IF(OR(AND(AUTOEVENTO="Manual",$M298=1),$M298&gt;(ROW(PLE.lastrow)-ROW(PLE.firstrow))),0,IF(OFFSET(PLE!$G$14,$M298,BE$13)="",10^12,OFFSET(PLE!$G$14,$M298,BE$13))))</f>
        <v>1000000000000</v>
      </c>
      <c r="BF298" s="182">
        <f ca="1">IF($D298&lt;&gt;"Serviço",0,IF(OR(AND(AUTOEVENTO="Manual",$M298=1),$M298&gt;(ROW(PLE.lastrow)-ROW(PLE.firstrow))),0,IF(OFFSET(PLE!$G$14,$M298,BF$13)="",10^12,OFFSET(PLE!$G$14,$M298,BF$13))))</f>
        <v>1000000000000</v>
      </c>
      <c r="BG298" s="182">
        <f ca="1">IF($D298&lt;&gt;"Serviço",0,IF(OR(AND(AUTOEVENTO="Manual",$M298=1),$M298&gt;(ROW(PLE.lastrow)-ROW(PLE.firstrow))),0,IF(OFFSET(PLE!$G$14,$M298,BG$13)="",10^12,OFFSET(PLE!$G$14,$M298,BG$13))))</f>
        <v>1000000000000</v>
      </c>
    </row>
    <row r="299" spans="1:59" ht="38.25" x14ac:dyDescent="0.2">
      <c r="A299" s="7" t="str">
        <f t="shared" ca="1" si="11"/>
        <v>251</v>
      </c>
      <c r="B299" s="7" t="str">
        <f ca="1">OFFSET(ORÇAMENTO!C$15,ROW(B299)-ROW(B$15),0)</f>
        <v>S</v>
      </c>
      <c r="C299" s="7" t="str">
        <f ca="1">OFFSET(ORÇAMENTO!L$15,ROW(C299)-ROW(C$15),0)</f>
        <v/>
      </c>
      <c r="D299" s="118" t="str">
        <f ca="1">OFFSET(ORÇAMENTO!N$15,ROW(D299)-ROW(D$15),0)</f>
        <v>Serviço</v>
      </c>
      <c r="E299" s="119" t="str">
        <f ca="1">OFFSET(ORÇAMENTO!O$15,ROW(E299)-ROW(E$15),0)</f>
        <v>-</v>
      </c>
      <c r="F299" s="172" t="str">
        <f ca="1">OFFSET(ORÇAMENTO!R$15,ROW(F299)-ROW(F$15),0)</f>
        <v>(abra o arquivo 'Referência 02-2025.xlsm)</v>
      </c>
      <c r="G299" s="173" t="str">
        <f ca="1">IF($D299&lt;&gt;"Serviço","",OFFSET(ORÇAMENTO!S$15,ROW(G299)-ROW(G$15),0))</f>
        <v>-</v>
      </c>
      <c r="H299" s="124">
        <f ca="1">IF($D299&lt;&gt;"Serviço",0,IF(ACOMPANHAMENTO="BM",ROUND(OFFSET(ORÇAMENTO!AJ$15,ROW(H299)-ROW(H$15),0),15-13*ORÇAMENTO!$AF$7),SUMPRODUCT(($Q$12:$AA$12&lt;&gt;"")*ROUND($Q299:$AA299,15-13*ORÇAMENTO!$AF$7))))</f>
        <v>1</v>
      </c>
      <c r="I299" s="561" t="s">
        <v>890</v>
      </c>
      <c r="K299" s="174"/>
      <c r="L299" s="175" t="s">
        <v>255</v>
      </c>
      <c r="M299" s="176">
        <f ca="1">IF($D299&lt;&gt;"Serviço","",IF(AUTOEVENTO="manual",$A299,IF(ISERROR(MATCH($A299,$A$15:OFFSET($A299,-1,0),0)),MAX($M$15:OFFSET(M299,-1,0))+1,INDEX($M$15:OFFSET(M299,-1,0),MATCH($A299,$A$15:OFFSET($A299,-1,0),0)))))</f>
        <v>13</v>
      </c>
      <c r="N299" s="177" t="str">
        <f ca="1">IF($D299&lt;&gt;"Serviço","",IF(AUTOEVENTO="Manual",IF($A299=0,"&lt;-- defina o número do agrupador",OFFSET(EVENTOS!$D$14,$A299,0)),OFFSET($F$15,$A299,0)))</f>
        <v>INSTALAÇÃO HIDRÁULICA</v>
      </c>
      <c r="O299" s="178"/>
      <c r="Q299" s="178"/>
      <c r="R299" s="179"/>
      <c r="S299" s="179"/>
      <c r="T299" s="179"/>
      <c r="U299" s="179"/>
      <c r="V299" s="179"/>
      <c r="W299" s="179"/>
      <c r="X299" s="179"/>
      <c r="Y299" s="179"/>
      <c r="Z299" s="180"/>
      <c r="AB299" s="544">
        <f ca="1">IF(AND($D299="Serviço",AB$12&lt;&gt;0,$H299&gt;0,OR(AUTOEVENTO&lt;&gt;"manual",$M299&lt;&gt;1)),
IF(Import.TipoArredondamento&lt;&gt;"TransfereGOV",
ROUND(OFFSET($P299,0,AB$13),15-13*ORÇAMENTO!$AF$7)/$H299*OFFSET(ORÇAMENTO!$X$15,ROW(AB299)-ROW(AB$15),0),
ROUND(ROUND(OFFSET($P299,0,AB$13),15-13*ORÇAMENTO!$AF$7)*OFFSET(ORÇAMENTO!$W$15,ROW(AB299)-ROW(AB$15),0),15-13*ORÇAMENTO!$AF$11)),0)</f>
        <v>0</v>
      </c>
      <c r="AC299" s="545">
        <f ca="1">IF(AND($D299="Serviço",AC$12&lt;&gt;0,$H299&gt;0,OR(AUTOEVENTO&lt;&gt;"manual",$M299&lt;&gt;1)),
IF(Import.TipoArredondamento&lt;&gt;"TransfereGOV",
ROUND(OFFSET($P299,0,AC$13),15-13*ORÇAMENTO!$AF$7)/$H299*OFFSET(ORÇAMENTO!$X$15,ROW(AC299)-ROW(AC$15),0),
ROUND(ROUND(OFFSET($P299,0,AC$13),15-13*ORÇAMENTO!$AF$7)*OFFSET(ORÇAMENTO!$W$15,ROW(AC299)-ROW(AC$15),0),15-13*ORÇAMENTO!$AF$11)),0)</f>
        <v>0</v>
      </c>
      <c r="AD299" s="545">
        <f ca="1">IF(AND($D299="Serviço",AD$12&lt;&gt;0,$H299&gt;0,OR(AUTOEVENTO&lt;&gt;"manual",$M299&lt;&gt;1)),
IF(Import.TipoArredondamento&lt;&gt;"TransfereGOV",
ROUND(OFFSET($P299,0,AD$13),15-13*ORÇAMENTO!$AF$7)/$H299*OFFSET(ORÇAMENTO!$X$15,ROW(AD299)-ROW(AD$15),0),
ROUND(ROUND(OFFSET($P299,0,AD$13),15-13*ORÇAMENTO!$AF$7)*OFFSET(ORÇAMENTO!$W$15,ROW(AD299)-ROW(AD$15),0),15-13*ORÇAMENTO!$AF$11)),0)</f>
        <v>0</v>
      </c>
      <c r="AE299" s="545">
        <f ca="1">IF(AND($D299="Serviço",AE$12&lt;&gt;0,$H299&gt;0,OR(AUTOEVENTO&lt;&gt;"manual",$M299&lt;&gt;1)),
IF(Import.TipoArredondamento&lt;&gt;"TransfereGOV",
ROUND(OFFSET($P299,0,AE$13),15-13*ORÇAMENTO!$AF$7)/$H299*OFFSET(ORÇAMENTO!$X$15,ROW(AE299)-ROW(AE$15),0),
ROUND(ROUND(OFFSET($P299,0,AE$13),15-13*ORÇAMENTO!$AF$7)*OFFSET(ORÇAMENTO!$W$15,ROW(AE299)-ROW(AE$15),0),15-13*ORÇAMENTO!$AF$11)),0)</f>
        <v>0</v>
      </c>
      <c r="AF299" s="545">
        <f ca="1">IF(AND($D299="Serviço",AF$12&lt;&gt;0,$H299&gt;0,OR(AUTOEVENTO&lt;&gt;"manual",$M299&lt;&gt;1)),
IF(Import.TipoArredondamento&lt;&gt;"TransfereGOV",
ROUND(OFFSET($P299,0,AF$13),15-13*ORÇAMENTO!$AF$7)/$H299*OFFSET(ORÇAMENTO!$X$15,ROW(AF299)-ROW(AF$15),0),
ROUND(ROUND(OFFSET($P299,0,AF$13),15-13*ORÇAMENTO!$AF$7)*OFFSET(ORÇAMENTO!$W$15,ROW(AF299)-ROW(AF$15),0),15-13*ORÇAMENTO!$AF$11)),0)</f>
        <v>0</v>
      </c>
      <c r="AG299" s="545">
        <f ca="1">IF(AND($D299="Serviço",AG$12&lt;&gt;0,$H299&gt;0,OR(AUTOEVENTO&lt;&gt;"manual",$M299&lt;&gt;1)),
IF(Import.TipoArredondamento&lt;&gt;"TransfereGOV",
ROUND(OFFSET($P299,0,AG$13),15-13*ORÇAMENTO!$AF$7)/$H299*OFFSET(ORÇAMENTO!$X$15,ROW(AG299)-ROW(AG$15),0),
ROUND(ROUND(OFFSET($P299,0,AG$13),15-13*ORÇAMENTO!$AF$7)*OFFSET(ORÇAMENTO!$W$15,ROW(AG299)-ROW(AG$15),0),15-13*ORÇAMENTO!$AF$11)),0)</f>
        <v>0</v>
      </c>
      <c r="AH299" s="545">
        <f ca="1">IF(AND($D299="Serviço",AH$12&lt;&gt;0,$H299&gt;0,OR(AUTOEVENTO&lt;&gt;"manual",$M299&lt;&gt;1)),
IF(Import.TipoArredondamento&lt;&gt;"TransfereGOV",
ROUND(OFFSET($P299,0,AH$13),15-13*ORÇAMENTO!$AF$7)/$H299*OFFSET(ORÇAMENTO!$X$15,ROW(AH299)-ROW(AH$15),0),
ROUND(ROUND(OFFSET($P299,0,AH$13),15-13*ORÇAMENTO!$AF$7)*OFFSET(ORÇAMENTO!$W$15,ROW(AH299)-ROW(AH$15),0),15-13*ORÇAMENTO!$AF$11)),0)</f>
        <v>0</v>
      </c>
      <c r="AI299" s="545">
        <f ca="1">IF(AND($D299="Serviço",AI$12&lt;&gt;0,$H299&gt;0,OR(AUTOEVENTO&lt;&gt;"manual",$M299&lt;&gt;1)),
IF(Import.TipoArredondamento&lt;&gt;"TransfereGOV",
ROUND(OFFSET($P299,0,AI$13),15-13*ORÇAMENTO!$AF$7)/$H299*OFFSET(ORÇAMENTO!$X$15,ROW(AI299)-ROW(AI$15),0),
ROUND(ROUND(OFFSET($P299,0,AI$13),15-13*ORÇAMENTO!$AF$7)*OFFSET(ORÇAMENTO!$W$15,ROW(AI299)-ROW(AI$15),0),15-13*ORÇAMENTO!$AF$11)),0)</f>
        <v>0</v>
      </c>
      <c r="AJ299" s="545">
        <f ca="1">IF(AND($D299="Serviço",AJ$12&lt;&gt;0,$H299&gt;0,OR(AUTOEVENTO&lt;&gt;"manual",$M299&lt;&gt;1)),
IF(Import.TipoArredondamento&lt;&gt;"TransfereGOV",
ROUND(OFFSET($P299,0,AJ$13),15-13*ORÇAMENTO!$AF$7)/$H299*OFFSET(ORÇAMENTO!$X$15,ROW(AJ299)-ROW(AJ$15),0),
ROUND(ROUND(OFFSET($P299,0,AJ$13),15-13*ORÇAMENTO!$AF$7)*OFFSET(ORÇAMENTO!$W$15,ROW(AJ299)-ROW(AJ$15),0),15-13*ORÇAMENTO!$AF$11)),0)</f>
        <v>0</v>
      </c>
      <c r="AK299" s="546">
        <f ca="1">IF(AND($D299="Serviço",AK$12&lt;&gt;0,$H299&gt;0,OR(AUTOEVENTO&lt;&gt;"manual",$M299&lt;&gt;1)),
IF(Import.TipoArredondamento&lt;&gt;"TransfereGOV",
ROUND(OFFSET($P299,0,AK$13),15-13*ORÇAMENTO!$AF$7)/$H299*OFFSET(ORÇAMENTO!$X$15,ROW(AK299)-ROW(AK$15),0),
ROUND(ROUND(OFFSET($P299,0,AK$13),15-13*ORÇAMENTO!$AF$7)*OFFSET(ORÇAMENTO!$W$15,ROW(AK299)-ROW(AK$15),0),15-13*ORÇAMENTO!$AF$11)),0)</f>
        <v>0</v>
      </c>
      <c r="AM299" s="181">
        <f ca="1">IF($D299&lt;&gt;"Serviço",0,IF(AND(AUTOEVENTO="Manual",$M299=1),0,IF(OFFSET(CRONOPLE!$F$14,$M299,AM$13)="",10^12,OFFSET(CRONOPLE!$F$14,$M299,AM$13))))</f>
        <v>1000000000000</v>
      </c>
      <c r="AN299" s="181">
        <f ca="1">IF($D299&lt;&gt;"Serviço",0,IF(AND(AUTOEVENTO="Manual",$M299=1),0,IF(OFFSET(CRONOPLE!$F$14,$M299,AN$13)="",10^12,OFFSET(CRONOPLE!$F$14,$M299,AN$13))))</f>
        <v>1000000000000</v>
      </c>
      <c r="AO299" s="181">
        <f ca="1">IF($D299&lt;&gt;"Serviço",0,IF(AND(AUTOEVENTO="Manual",$M299=1),0,IF(OFFSET(CRONOPLE!$F$14,$M299,AO$13)="",10^12,OFFSET(CRONOPLE!$F$14,$M299,AO$13))))</f>
        <v>1000000000000</v>
      </c>
      <c r="AP299" s="181">
        <f ca="1">IF($D299&lt;&gt;"Serviço",0,IF(AND(AUTOEVENTO="Manual",$M299=1),0,IF(OFFSET(CRONOPLE!$F$14,$M299,AP$13)="",10^12,OFFSET(CRONOPLE!$F$14,$M299,AP$13))))</f>
        <v>1000000000000</v>
      </c>
      <c r="AQ299" s="181">
        <f ca="1">IF($D299&lt;&gt;"Serviço",0,IF(AND(AUTOEVENTO="Manual",$M299=1),0,IF(OFFSET(CRONOPLE!$F$14,$M299,AQ$13)="",10^12,OFFSET(CRONOPLE!$F$14,$M299,AQ$13))))</f>
        <v>1000000000000</v>
      </c>
      <c r="AR299" s="181">
        <f ca="1">IF($D299&lt;&gt;"Serviço",0,IF(AND(AUTOEVENTO="Manual",$M299=1),0,IF(OFFSET(CRONOPLE!$F$14,$M299,AR$13)="",10^12,OFFSET(CRONOPLE!$F$14,$M299,AR$13))))</f>
        <v>1000000000000</v>
      </c>
      <c r="AS299" s="181">
        <f ca="1">IF($D299&lt;&gt;"Serviço",0,IF(AND(AUTOEVENTO="Manual",$M299=1),0,IF(OFFSET(CRONOPLE!$F$14,$M299,AS$13)="",10^12,OFFSET(CRONOPLE!$F$14,$M299,AS$13))))</f>
        <v>1000000000000</v>
      </c>
      <c r="AT299" s="181">
        <f ca="1">IF($D299&lt;&gt;"Serviço",0,IF(AND(AUTOEVENTO="Manual",$M299=1),0,IF(OFFSET(CRONOPLE!$F$14,$M299,AT$13)="",10^12,OFFSET(CRONOPLE!$F$14,$M299,AT$13))))</f>
        <v>1000000000000</v>
      </c>
      <c r="AU299" s="181">
        <f ca="1">IF($D299&lt;&gt;"Serviço",0,IF(AND(AUTOEVENTO="Manual",$M299=1),0,IF(OFFSET(CRONOPLE!$F$14,$M299,AU$13)="",10^12,OFFSET(CRONOPLE!$F$14,$M299,AU$13))))</f>
        <v>1000000000000</v>
      </c>
      <c r="AV299" s="181">
        <f ca="1">IF($D299&lt;&gt;"Serviço",0,IF(AND(AUTOEVENTO="Manual",$M299=1),0,IF(OFFSET(CRONOPLE!$F$14,$M299,AV$13)="",10^12,OFFSET(CRONOPLE!$F$14,$M299,AV$13))))</f>
        <v>1000000000000</v>
      </c>
      <c r="AX299" s="182">
        <f ca="1">IF($D299&lt;&gt;"Serviço",0,IF(OR(AND(AUTOEVENTO="Manual",$M299=1),$M299&gt;(ROW(PLE.lastrow)-ROW(PLE.firstrow))),0,IF(OFFSET(PLE!$G$14,$M299,AX$13)="",10^12,OFFSET(PLE!$G$14,$M299,AX$13))))</f>
        <v>1000000000000</v>
      </c>
      <c r="AY299" s="182">
        <f ca="1">IF($D299&lt;&gt;"Serviço",0,IF(OR(AND(AUTOEVENTO="Manual",$M299=1),$M299&gt;(ROW(PLE.lastrow)-ROW(PLE.firstrow))),0,IF(OFFSET(PLE!$G$14,$M299,AY$13)="",10^12,OFFSET(PLE!$G$14,$M299,AY$13))))</f>
        <v>1000000000000</v>
      </c>
      <c r="AZ299" s="182">
        <f ca="1">IF($D299&lt;&gt;"Serviço",0,IF(OR(AND(AUTOEVENTO="Manual",$M299=1),$M299&gt;(ROW(PLE.lastrow)-ROW(PLE.firstrow))),0,IF(OFFSET(PLE!$G$14,$M299,AZ$13)="",10^12,OFFSET(PLE!$G$14,$M299,AZ$13))))</f>
        <v>1000000000000</v>
      </c>
      <c r="BA299" s="182">
        <f ca="1">IF($D299&lt;&gt;"Serviço",0,IF(OR(AND(AUTOEVENTO="Manual",$M299=1),$M299&gt;(ROW(PLE.lastrow)-ROW(PLE.firstrow))),0,IF(OFFSET(PLE!$G$14,$M299,BA$13)="",10^12,OFFSET(PLE!$G$14,$M299,BA$13))))</f>
        <v>1000000000000</v>
      </c>
      <c r="BB299" s="182">
        <f ca="1">IF($D299&lt;&gt;"Serviço",0,IF(OR(AND(AUTOEVENTO="Manual",$M299=1),$M299&gt;(ROW(PLE.lastrow)-ROW(PLE.firstrow))),0,IF(OFFSET(PLE!$G$14,$M299,BB$13)="",10^12,OFFSET(PLE!$G$14,$M299,BB$13))))</f>
        <v>1000000000000</v>
      </c>
      <c r="BC299" s="182">
        <f ca="1">IF($D299&lt;&gt;"Serviço",0,IF(OR(AND(AUTOEVENTO="Manual",$M299=1),$M299&gt;(ROW(PLE.lastrow)-ROW(PLE.firstrow))),0,IF(OFFSET(PLE!$G$14,$M299,BC$13)="",10^12,OFFSET(PLE!$G$14,$M299,BC$13))))</f>
        <v>1000000000000</v>
      </c>
      <c r="BD299" s="182">
        <f ca="1">IF($D299&lt;&gt;"Serviço",0,IF(OR(AND(AUTOEVENTO="Manual",$M299=1),$M299&gt;(ROW(PLE.lastrow)-ROW(PLE.firstrow))),0,IF(OFFSET(PLE!$G$14,$M299,BD$13)="",10^12,OFFSET(PLE!$G$14,$M299,BD$13))))</f>
        <v>1000000000000</v>
      </c>
      <c r="BE299" s="182">
        <f ca="1">IF($D299&lt;&gt;"Serviço",0,IF(OR(AND(AUTOEVENTO="Manual",$M299=1),$M299&gt;(ROW(PLE.lastrow)-ROW(PLE.firstrow))),0,IF(OFFSET(PLE!$G$14,$M299,BE$13)="",10^12,OFFSET(PLE!$G$14,$M299,BE$13))))</f>
        <v>1000000000000</v>
      </c>
      <c r="BF299" s="182">
        <f ca="1">IF($D299&lt;&gt;"Serviço",0,IF(OR(AND(AUTOEVENTO="Manual",$M299=1),$M299&gt;(ROW(PLE.lastrow)-ROW(PLE.firstrow))),0,IF(OFFSET(PLE!$G$14,$M299,BF$13)="",10^12,OFFSET(PLE!$G$14,$M299,BF$13))))</f>
        <v>1000000000000</v>
      </c>
      <c r="BG299" s="182">
        <f ca="1">IF($D299&lt;&gt;"Serviço",0,IF(OR(AND(AUTOEVENTO="Manual",$M299=1),$M299&gt;(ROW(PLE.lastrow)-ROW(PLE.firstrow))),0,IF(OFFSET(PLE!$G$14,$M299,BG$13)="",10^12,OFFSET(PLE!$G$14,$M299,BG$13))))</f>
        <v>1000000000000</v>
      </c>
    </row>
    <row r="300" spans="1:59" ht="38.25" x14ac:dyDescent="0.2">
      <c r="A300" s="7" t="str">
        <f t="shared" ca="1" si="11"/>
        <v>251</v>
      </c>
      <c r="B300" s="7" t="str">
        <f ca="1">OFFSET(ORÇAMENTO!C$15,ROW(B300)-ROW(B$15),0)</f>
        <v>S</v>
      </c>
      <c r="C300" s="7" t="str">
        <f ca="1">OFFSET(ORÇAMENTO!L$15,ROW(C300)-ROW(C$15),0)</f>
        <v/>
      </c>
      <c r="D300" s="118" t="str">
        <f ca="1">OFFSET(ORÇAMENTO!N$15,ROW(D300)-ROW(D$15),0)</f>
        <v>Serviço</v>
      </c>
      <c r="E300" s="119" t="str">
        <f ca="1">OFFSET(ORÇAMENTO!O$15,ROW(E300)-ROW(E$15),0)</f>
        <v>-</v>
      </c>
      <c r="F300" s="172" t="str">
        <f ca="1">OFFSET(ORÇAMENTO!R$15,ROW(F300)-ROW(F$15),0)</f>
        <v>(abra o arquivo 'Referência 02-2025.xlsm)</v>
      </c>
      <c r="G300" s="173" t="str">
        <f ca="1">IF($D300&lt;&gt;"Serviço","",OFFSET(ORÇAMENTO!S$15,ROW(G300)-ROW(G$15),0))</f>
        <v>-</v>
      </c>
      <c r="H300" s="124">
        <f ca="1">IF($D300&lt;&gt;"Serviço",0,IF(ACOMPANHAMENTO="BM",ROUND(OFFSET(ORÇAMENTO!AJ$15,ROW(H300)-ROW(H$15),0),15-13*ORÇAMENTO!$AF$7),SUMPRODUCT(($Q$12:$AA$12&lt;&gt;"")*ROUND($Q300:$AA300,15-13*ORÇAMENTO!$AF$7))))</f>
        <v>8</v>
      </c>
      <c r="I300" s="561" t="s">
        <v>890</v>
      </c>
      <c r="K300" s="174"/>
      <c r="L300" s="175" t="s">
        <v>255</v>
      </c>
      <c r="M300" s="176">
        <f ca="1">IF($D300&lt;&gt;"Serviço","",IF(AUTOEVENTO="manual",$A300,IF(ISERROR(MATCH($A300,$A$15:OFFSET($A300,-1,0),0)),MAX($M$15:OFFSET(M300,-1,0))+1,INDEX($M$15:OFFSET(M300,-1,0),MATCH($A300,$A$15:OFFSET($A300,-1,0),0)))))</f>
        <v>13</v>
      </c>
      <c r="N300" s="177" t="str">
        <f ca="1">IF($D300&lt;&gt;"Serviço","",IF(AUTOEVENTO="Manual",IF($A300=0,"&lt;-- defina o número do agrupador",OFFSET(EVENTOS!$D$14,$A300,0)),OFFSET($F$15,$A300,0)))</f>
        <v>INSTALAÇÃO HIDRÁULICA</v>
      </c>
      <c r="O300" s="178"/>
      <c r="Q300" s="178"/>
      <c r="R300" s="179"/>
      <c r="S300" s="179"/>
      <c r="T300" s="179"/>
      <c r="U300" s="179"/>
      <c r="V300" s="179"/>
      <c r="W300" s="179"/>
      <c r="X300" s="179"/>
      <c r="Y300" s="179"/>
      <c r="Z300" s="180"/>
      <c r="AB300" s="544">
        <f ca="1">IF(AND($D300="Serviço",AB$12&lt;&gt;0,$H300&gt;0,OR(AUTOEVENTO&lt;&gt;"manual",$M300&lt;&gt;1)),
IF(Import.TipoArredondamento&lt;&gt;"TransfereGOV",
ROUND(OFFSET($P300,0,AB$13),15-13*ORÇAMENTO!$AF$7)/$H300*OFFSET(ORÇAMENTO!$X$15,ROW(AB300)-ROW(AB$15),0),
ROUND(ROUND(OFFSET($P300,0,AB$13),15-13*ORÇAMENTO!$AF$7)*OFFSET(ORÇAMENTO!$W$15,ROW(AB300)-ROW(AB$15),0),15-13*ORÇAMENTO!$AF$11)),0)</f>
        <v>0</v>
      </c>
      <c r="AC300" s="545">
        <f ca="1">IF(AND($D300="Serviço",AC$12&lt;&gt;0,$H300&gt;0,OR(AUTOEVENTO&lt;&gt;"manual",$M300&lt;&gt;1)),
IF(Import.TipoArredondamento&lt;&gt;"TransfereGOV",
ROUND(OFFSET($P300,0,AC$13),15-13*ORÇAMENTO!$AF$7)/$H300*OFFSET(ORÇAMENTO!$X$15,ROW(AC300)-ROW(AC$15),0),
ROUND(ROUND(OFFSET($P300,0,AC$13),15-13*ORÇAMENTO!$AF$7)*OFFSET(ORÇAMENTO!$W$15,ROW(AC300)-ROW(AC$15),0),15-13*ORÇAMENTO!$AF$11)),0)</f>
        <v>0</v>
      </c>
      <c r="AD300" s="545">
        <f ca="1">IF(AND($D300="Serviço",AD$12&lt;&gt;0,$H300&gt;0,OR(AUTOEVENTO&lt;&gt;"manual",$M300&lt;&gt;1)),
IF(Import.TipoArredondamento&lt;&gt;"TransfereGOV",
ROUND(OFFSET($P300,0,AD$13),15-13*ORÇAMENTO!$AF$7)/$H300*OFFSET(ORÇAMENTO!$X$15,ROW(AD300)-ROW(AD$15),0),
ROUND(ROUND(OFFSET($P300,0,AD$13),15-13*ORÇAMENTO!$AF$7)*OFFSET(ORÇAMENTO!$W$15,ROW(AD300)-ROW(AD$15),0),15-13*ORÇAMENTO!$AF$11)),0)</f>
        <v>0</v>
      </c>
      <c r="AE300" s="545">
        <f ca="1">IF(AND($D300="Serviço",AE$12&lt;&gt;0,$H300&gt;0,OR(AUTOEVENTO&lt;&gt;"manual",$M300&lt;&gt;1)),
IF(Import.TipoArredondamento&lt;&gt;"TransfereGOV",
ROUND(OFFSET($P300,0,AE$13),15-13*ORÇAMENTO!$AF$7)/$H300*OFFSET(ORÇAMENTO!$X$15,ROW(AE300)-ROW(AE$15),0),
ROUND(ROUND(OFFSET($P300,0,AE$13),15-13*ORÇAMENTO!$AF$7)*OFFSET(ORÇAMENTO!$W$15,ROW(AE300)-ROW(AE$15),0),15-13*ORÇAMENTO!$AF$11)),0)</f>
        <v>0</v>
      </c>
      <c r="AF300" s="545">
        <f ca="1">IF(AND($D300="Serviço",AF$12&lt;&gt;0,$H300&gt;0,OR(AUTOEVENTO&lt;&gt;"manual",$M300&lt;&gt;1)),
IF(Import.TipoArredondamento&lt;&gt;"TransfereGOV",
ROUND(OFFSET($P300,0,AF$13),15-13*ORÇAMENTO!$AF$7)/$H300*OFFSET(ORÇAMENTO!$X$15,ROW(AF300)-ROW(AF$15),0),
ROUND(ROUND(OFFSET($P300,0,AF$13),15-13*ORÇAMENTO!$AF$7)*OFFSET(ORÇAMENTO!$W$15,ROW(AF300)-ROW(AF$15),0),15-13*ORÇAMENTO!$AF$11)),0)</f>
        <v>0</v>
      </c>
      <c r="AG300" s="545">
        <f ca="1">IF(AND($D300="Serviço",AG$12&lt;&gt;0,$H300&gt;0,OR(AUTOEVENTO&lt;&gt;"manual",$M300&lt;&gt;1)),
IF(Import.TipoArredondamento&lt;&gt;"TransfereGOV",
ROUND(OFFSET($P300,0,AG$13),15-13*ORÇAMENTO!$AF$7)/$H300*OFFSET(ORÇAMENTO!$X$15,ROW(AG300)-ROW(AG$15),0),
ROUND(ROUND(OFFSET($P300,0,AG$13),15-13*ORÇAMENTO!$AF$7)*OFFSET(ORÇAMENTO!$W$15,ROW(AG300)-ROW(AG$15),0),15-13*ORÇAMENTO!$AF$11)),0)</f>
        <v>0</v>
      </c>
      <c r="AH300" s="545">
        <f ca="1">IF(AND($D300="Serviço",AH$12&lt;&gt;0,$H300&gt;0,OR(AUTOEVENTO&lt;&gt;"manual",$M300&lt;&gt;1)),
IF(Import.TipoArredondamento&lt;&gt;"TransfereGOV",
ROUND(OFFSET($P300,0,AH$13),15-13*ORÇAMENTO!$AF$7)/$H300*OFFSET(ORÇAMENTO!$X$15,ROW(AH300)-ROW(AH$15),0),
ROUND(ROUND(OFFSET($P300,0,AH$13),15-13*ORÇAMENTO!$AF$7)*OFFSET(ORÇAMENTO!$W$15,ROW(AH300)-ROW(AH$15),0),15-13*ORÇAMENTO!$AF$11)),0)</f>
        <v>0</v>
      </c>
      <c r="AI300" s="545">
        <f ca="1">IF(AND($D300="Serviço",AI$12&lt;&gt;0,$H300&gt;0,OR(AUTOEVENTO&lt;&gt;"manual",$M300&lt;&gt;1)),
IF(Import.TipoArredondamento&lt;&gt;"TransfereGOV",
ROUND(OFFSET($P300,0,AI$13),15-13*ORÇAMENTO!$AF$7)/$H300*OFFSET(ORÇAMENTO!$X$15,ROW(AI300)-ROW(AI$15),0),
ROUND(ROUND(OFFSET($P300,0,AI$13),15-13*ORÇAMENTO!$AF$7)*OFFSET(ORÇAMENTO!$W$15,ROW(AI300)-ROW(AI$15),0),15-13*ORÇAMENTO!$AF$11)),0)</f>
        <v>0</v>
      </c>
      <c r="AJ300" s="545">
        <f ca="1">IF(AND($D300="Serviço",AJ$12&lt;&gt;0,$H300&gt;0,OR(AUTOEVENTO&lt;&gt;"manual",$M300&lt;&gt;1)),
IF(Import.TipoArredondamento&lt;&gt;"TransfereGOV",
ROUND(OFFSET($P300,0,AJ$13),15-13*ORÇAMENTO!$AF$7)/$H300*OFFSET(ORÇAMENTO!$X$15,ROW(AJ300)-ROW(AJ$15),0),
ROUND(ROUND(OFFSET($P300,0,AJ$13),15-13*ORÇAMENTO!$AF$7)*OFFSET(ORÇAMENTO!$W$15,ROW(AJ300)-ROW(AJ$15),0),15-13*ORÇAMENTO!$AF$11)),0)</f>
        <v>0</v>
      </c>
      <c r="AK300" s="546">
        <f ca="1">IF(AND($D300="Serviço",AK$12&lt;&gt;0,$H300&gt;0,OR(AUTOEVENTO&lt;&gt;"manual",$M300&lt;&gt;1)),
IF(Import.TipoArredondamento&lt;&gt;"TransfereGOV",
ROUND(OFFSET($P300,0,AK$13),15-13*ORÇAMENTO!$AF$7)/$H300*OFFSET(ORÇAMENTO!$X$15,ROW(AK300)-ROW(AK$15),0),
ROUND(ROUND(OFFSET($P300,0,AK$13),15-13*ORÇAMENTO!$AF$7)*OFFSET(ORÇAMENTO!$W$15,ROW(AK300)-ROW(AK$15),0),15-13*ORÇAMENTO!$AF$11)),0)</f>
        <v>0</v>
      </c>
      <c r="AM300" s="181">
        <f ca="1">IF($D300&lt;&gt;"Serviço",0,IF(AND(AUTOEVENTO="Manual",$M300=1),0,IF(OFFSET(CRONOPLE!$F$14,$M300,AM$13)="",10^12,OFFSET(CRONOPLE!$F$14,$M300,AM$13))))</f>
        <v>1000000000000</v>
      </c>
      <c r="AN300" s="181">
        <f ca="1">IF($D300&lt;&gt;"Serviço",0,IF(AND(AUTOEVENTO="Manual",$M300=1),0,IF(OFFSET(CRONOPLE!$F$14,$M300,AN$13)="",10^12,OFFSET(CRONOPLE!$F$14,$M300,AN$13))))</f>
        <v>1000000000000</v>
      </c>
      <c r="AO300" s="181">
        <f ca="1">IF($D300&lt;&gt;"Serviço",0,IF(AND(AUTOEVENTO="Manual",$M300=1),0,IF(OFFSET(CRONOPLE!$F$14,$M300,AO$13)="",10^12,OFFSET(CRONOPLE!$F$14,$M300,AO$13))))</f>
        <v>1000000000000</v>
      </c>
      <c r="AP300" s="181">
        <f ca="1">IF($D300&lt;&gt;"Serviço",0,IF(AND(AUTOEVENTO="Manual",$M300=1),0,IF(OFFSET(CRONOPLE!$F$14,$M300,AP$13)="",10^12,OFFSET(CRONOPLE!$F$14,$M300,AP$13))))</f>
        <v>1000000000000</v>
      </c>
      <c r="AQ300" s="181">
        <f ca="1">IF($D300&lt;&gt;"Serviço",0,IF(AND(AUTOEVENTO="Manual",$M300=1),0,IF(OFFSET(CRONOPLE!$F$14,$M300,AQ$13)="",10^12,OFFSET(CRONOPLE!$F$14,$M300,AQ$13))))</f>
        <v>1000000000000</v>
      </c>
      <c r="AR300" s="181">
        <f ca="1">IF($D300&lt;&gt;"Serviço",0,IF(AND(AUTOEVENTO="Manual",$M300=1),0,IF(OFFSET(CRONOPLE!$F$14,$M300,AR$13)="",10^12,OFFSET(CRONOPLE!$F$14,$M300,AR$13))))</f>
        <v>1000000000000</v>
      </c>
      <c r="AS300" s="181">
        <f ca="1">IF($D300&lt;&gt;"Serviço",0,IF(AND(AUTOEVENTO="Manual",$M300=1),0,IF(OFFSET(CRONOPLE!$F$14,$M300,AS$13)="",10^12,OFFSET(CRONOPLE!$F$14,$M300,AS$13))))</f>
        <v>1000000000000</v>
      </c>
      <c r="AT300" s="181">
        <f ca="1">IF($D300&lt;&gt;"Serviço",0,IF(AND(AUTOEVENTO="Manual",$M300=1),0,IF(OFFSET(CRONOPLE!$F$14,$M300,AT$13)="",10^12,OFFSET(CRONOPLE!$F$14,$M300,AT$13))))</f>
        <v>1000000000000</v>
      </c>
      <c r="AU300" s="181">
        <f ca="1">IF($D300&lt;&gt;"Serviço",0,IF(AND(AUTOEVENTO="Manual",$M300=1),0,IF(OFFSET(CRONOPLE!$F$14,$M300,AU$13)="",10^12,OFFSET(CRONOPLE!$F$14,$M300,AU$13))))</f>
        <v>1000000000000</v>
      </c>
      <c r="AV300" s="181">
        <f ca="1">IF($D300&lt;&gt;"Serviço",0,IF(AND(AUTOEVENTO="Manual",$M300=1),0,IF(OFFSET(CRONOPLE!$F$14,$M300,AV$13)="",10^12,OFFSET(CRONOPLE!$F$14,$M300,AV$13))))</f>
        <v>1000000000000</v>
      </c>
      <c r="AX300" s="182">
        <f ca="1">IF($D300&lt;&gt;"Serviço",0,IF(OR(AND(AUTOEVENTO="Manual",$M300=1),$M300&gt;(ROW(PLE.lastrow)-ROW(PLE.firstrow))),0,IF(OFFSET(PLE!$G$14,$M300,AX$13)="",10^12,OFFSET(PLE!$G$14,$M300,AX$13))))</f>
        <v>1000000000000</v>
      </c>
      <c r="AY300" s="182">
        <f ca="1">IF($D300&lt;&gt;"Serviço",0,IF(OR(AND(AUTOEVENTO="Manual",$M300=1),$M300&gt;(ROW(PLE.lastrow)-ROW(PLE.firstrow))),0,IF(OFFSET(PLE!$G$14,$M300,AY$13)="",10^12,OFFSET(PLE!$G$14,$M300,AY$13))))</f>
        <v>1000000000000</v>
      </c>
      <c r="AZ300" s="182">
        <f ca="1">IF($D300&lt;&gt;"Serviço",0,IF(OR(AND(AUTOEVENTO="Manual",$M300=1),$M300&gt;(ROW(PLE.lastrow)-ROW(PLE.firstrow))),0,IF(OFFSET(PLE!$G$14,$M300,AZ$13)="",10^12,OFFSET(PLE!$G$14,$M300,AZ$13))))</f>
        <v>1000000000000</v>
      </c>
      <c r="BA300" s="182">
        <f ca="1">IF($D300&lt;&gt;"Serviço",0,IF(OR(AND(AUTOEVENTO="Manual",$M300=1),$M300&gt;(ROW(PLE.lastrow)-ROW(PLE.firstrow))),0,IF(OFFSET(PLE!$G$14,$M300,BA$13)="",10^12,OFFSET(PLE!$G$14,$M300,BA$13))))</f>
        <v>1000000000000</v>
      </c>
      <c r="BB300" s="182">
        <f ca="1">IF($D300&lt;&gt;"Serviço",0,IF(OR(AND(AUTOEVENTO="Manual",$M300=1),$M300&gt;(ROW(PLE.lastrow)-ROW(PLE.firstrow))),0,IF(OFFSET(PLE!$G$14,$M300,BB$13)="",10^12,OFFSET(PLE!$G$14,$M300,BB$13))))</f>
        <v>1000000000000</v>
      </c>
      <c r="BC300" s="182">
        <f ca="1">IF($D300&lt;&gt;"Serviço",0,IF(OR(AND(AUTOEVENTO="Manual",$M300=1),$M300&gt;(ROW(PLE.lastrow)-ROW(PLE.firstrow))),0,IF(OFFSET(PLE!$G$14,$M300,BC$13)="",10^12,OFFSET(PLE!$G$14,$M300,BC$13))))</f>
        <v>1000000000000</v>
      </c>
      <c r="BD300" s="182">
        <f ca="1">IF($D300&lt;&gt;"Serviço",0,IF(OR(AND(AUTOEVENTO="Manual",$M300=1),$M300&gt;(ROW(PLE.lastrow)-ROW(PLE.firstrow))),0,IF(OFFSET(PLE!$G$14,$M300,BD$13)="",10^12,OFFSET(PLE!$G$14,$M300,BD$13))))</f>
        <v>1000000000000</v>
      </c>
      <c r="BE300" s="182">
        <f ca="1">IF($D300&lt;&gt;"Serviço",0,IF(OR(AND(AUTOEVENTO="Manual",$M300=1),$M300&gt;(ROW(PLE.lastrow)-ROW(PLE.firstrow))),0,IF(OFFSET(PLE!$G$14,$M300,BE$13)="",10^12,OFFSET(PLE!$G$14,$M300,BE$13))))</f>
        <v>1000000000000</v>
      </c>
      <c r="BF300" s="182">
        <f ca="1">IF($D300&lt;&gt;"Serviço",0,IF(OR(AND(AUTOEVENTO="Manual",$M300=1),$M300&gt;(ROW(PLE.lastrow)-ROW(PLE.firstrow))),0,IF(OFFSET(PLE!$G$14,$M300,BF$13)="",10^12,OFFSET(PLE!$G$14,$M300,BF$13))))</f>
        <v>1000000000000</v>
      </c>
      <c r="BG300" s="182">
        <f ca="1">IF($D300&lt;&gt;"Serviço",0,IF(OR(AND(AUTOEVENTO="Manual",$M300=1),$M300&gt;(ROW(PLE.lastrow)-ROW(PLE.firstrow))),0,IF(OFFSET(PLE!$G$14,$M300,BG$13)="",10^12,OFFSET(PLE!$G$14,$M300,BG$13))))</f>
        <v>1000000000000</v>
      </c>
    </row>
    <row r="301" spans="1:59" ht="25.5" x14ac:dyDescent="0.2">
      <c r="A301" s="7" t="str">
        <f t="shared" ca="1" si="11"/>
        <v>251</v>
      </c>
      <c r="B301" s="7" t="str">
        <f ca="1">OFFSET(ORÇAMENTO!C$15,ROW(B301)-ROW(B$15),0)</f>
        <v>S</v>
      </c>
      <c r="C301" s="7" t="str">
        <f ca="1">OFFSET(ORÇAMENTO!L$15,ROW(C301)-ROW(C$15),0)</f>
        <v/>
      </c>
      <c r="D301" s="118" t="str">
        <f ca="1">OFFSET(ORÇAMENTO!N$15,ROW(D301)-ROW(D$15),0)</f>
        <v>Serviço</v>
      </c>
      <c r="E301" s="119" t="str">
        <f ca="1">OFFSET(ORÇAMENTO!O$15,ROW(E301)-ROW(E$15),0)</f>
        <v>-</v>
      </c>
      <c r="F301" s="172" t="str">
        <f ca="1">OFFSET(ORÇAMENTO!R$15,ROW(F301)-ROW(F$15),0)</f>
        <v>(abra o arquivo 'Referência 02-2025.xlsm)</v>
      </c>
      <c r="G301" s="173" t="str">
        <f ca="1">IF($D301&lt;&gt;"Serviço","",OFFSET(ORÇAMENTO!S$15,ROW(G301)-ROW(G$15),0))</f>
        <v>-</v>
      </c>
      <c r="H301" s="124">
        <f ca="1">IF($D301&lt;&gt;"Serviço",0,IF(ACOMPANHAMENTO="BM",ROUND(OFFSET(ORÇAMENTO!AJ$15,ROW(H301)-ROW(H$15),0),15-13*ORÇAMENTO!$AF$7),SUMPRODUCT(($Q$12:$AA$12&lt;&gt;"")*ROUND($Q301:$AA301,15-13*ORÇAMENTO!$AF$7))))</f>
        <v>3</v>
      </c>
      <c r="I301" s="561" t="s">
        <v>890</v>
      </c>
      <c r="K301" s="174"/>
      <c r="L301" s="175" t="s">
        <v>255</v>
      </c>
      <c r="M301" s="176">
        <f ca="1">IF($D301&lt;&gt;"Serviço","",IF(AUTOEVENTO="manual",$A301,IF(ISERROR(MATCH($A301,$A$15:OFFSET($A301,-1,0),0)),MAX($M$15:OFFSET(M301,-1,0))+1,INDEX($M$15:OFFSET(M301,-1,0),MATCH($A301,$A$15:OFFSET($A301,-1,0),0)))))</f>
        <v>13</v>
      </c>
      <c r="N301" s="177" t="str">
        <f ca="1">IF($D301&lt;&gt;"Serviço","",IF(AUTOEVENTO="Manual",IF($A301=0,"&lt;-- defina o número do agrupador",OFFSET(EVENTOS!$D$14,$A301,0)),OFFSET($F$15,$A301,0)))</f>
        <v>INSTALAÇÃO HIDRÁULICA</v>
      </c>
      <c r="O301" s="178"/>
      <c r="Q301" s="178"/>
      <c r="R301" s="179"/>
      <c r="S301" s="179"/>
      <c r="T301" s="179"/>
      <c r="U301" s="179"/>
      <c r="V301" s="179"/>
      <c r="W301" s="179"/>
      <c r="X301" s="179"/>
      <c r="Y301" s="179"/>
      <c r="Z301" s="180"/>
      <c r="AB301" s="544">
        <f ca="1">IF(AND($D301="Serviço",AB$12&lt;&gt;0,$H301&gt;0,OR(AUTOEVENTO&lt;&gt;"manual",$M301&lt;&gt;1)),
IF(Import.TipoArredondamento&lt;&gt;"TransfereGOV",
ROUND(OFFSET($P301,0,AB$13),15-13*ORÇAMENTO!$AF$7)/$H301*OFFSET(ORÇAMENTO!$X$15,ROW(AB301)-ROW(AB$15),0),
ROUND(ROUND(OFFSET($P301,0,AB$13),15-13*ORÇAMENTO!$AF$7)*OFFSET(ORÇAMENTO!$W$15,ROW(AB301)-ROW(AB$15),0),15-13*ORÇAMENTO!$AF$11)),0)</f>
        <v>0</v>
      </c>
      <c r="AC301" s="545">
        <f ca="1">IF(AND($D301="Serviço",AC$12&lt;&gt;0,$H301&gt;0,OR(AUTOEVENTO&lt;&gt;"manual",$M301&lt;&gt;1)),
IF(Import.TipoArredondamento&lt;&gt;"TransfereGOV",
ROUND(OFFSET($P301,0,AC$13),15-13*ORÇAMENTO!$AF$7)/$H301*OFFSET(ORÇAMENTO!$X$15,ROW(AC301)-ROW(AC$15),0),
ROUND(ROUND(OFFSET($P301,0,AC$13),15-13*ORÇAMENTO!$AF$7)*OFFSET(ORÇAMENTO!$W$15,ROW(AC301)-ROW(AC$15),0),15-13*ORÇAMENTO!$AF$11)),0)</f>
        <v>0</v>
      </c>
      <c r="AD301" s="545">
        <f ca="1">IF(AND($D301="Serviço",AD$12&lt;&gt;0,$H301&gt;0,OR(AUTOEVENTO&lt;&gt;"manual",$M301&lt;&gt;1)),
IF(Import.TipoArredondamento&lt;&gt;"TransfereGOV",
ROUND(OFFSET($P301,0,AD$13),15-13*ORÇAMENTO!$AF$7)/$H301*OFFSET(ORÇAMENTO!$X$15,ROW(AD301)-ROW(AD$15),0),
ROUND(ROUND(OFFSET($P301,0,AD$13),15-13*ORÇAMENTO!$AF$7)*OFFSET(ORÇAMENTO!$W$15,ROW(AD301)-ROW(AD$15),0),15-13*ORÇAMENTO!$AF$11)),0)</f>
        <v>0</v>
      </c>
      <c r="AE301" s="545">
        <f ca="1">IF(AND($D301="Serviço",AE$12&lt;&gt;0,$H301&gt;0,OR(AUTOEVENTO&lt;&gt;"manual",$M301&lt;&gt;1)),
IF(Import.TipoArredondamento&lt;&gt;"TransfereGOV",
ROUND(OFFSET($P301,0,AE$13),15-13*ORÇAMENTO!$AF$7)/$H301*OFFSET(ORÇAMENTO!$X$15,ROW(AE301)-ROW(AE$15),0),
ROUND(ROUND(OFFSET($P301,0,AE$13),15-13*ORÇAMENTO!$AF$7)*OFFSET(ORÇAMENTO!$W$15,ROW(AE301)-ROW(AE$15),0),15-13*ORÇAMENTO!$AF$11)),0)</f>
        <v>0</v>
      </c>
      <c r="AF301" s="545">
        <f ca="1">IF(AND($D301="Serviço",AF$12&lt;&gt;0,$H301&gt;0,OR(AUTOEVENTO&lt;&gt;"manual",$M301&lt;&gt;1)),
IF(Import.TipoArredondamento&lt;&gt;"TransfereGOV",
ROUND(OFFSET($P301,0,AF$13),15-13*ORÇAMENTO!$AF$7)/$H301*OFFSET(ORÇAMENTO!$X$15,ROW(AF301)-ROW(AF$15),0),
ROUND(ROUND(OFFSET($P301,0,AF$13),15-13*ORÇAMENTO!$AF$7)*OFFSET(ORÇAMENTO!$W$15,ROW(AF301)-ROW(AF$15),0),15-13*ORÇAMENTO!$AF$11)),0)</f>
        <v>0</v>
      </c>
      <c r="AG301" s="545">
        <f ca="1">IF(AND($D301="Serviço",AG$12&lt;&gt;0,$H301&gt;0,OR(AUTOEVENTO&lt;&gt;"manual",$M301&lt;&gt;1)),
IF(Import.TipoArredondamento&lt;&gt;"TransfereGOV",
ROUND(OFFSET($P301,0,AG$13),15-13*ORÇAMENTO!$AF$7)/$H301*OFFSET(ORÇAMENTO!$X$15,ROW(AG301)-ROW(AG$15),0),
ROUND(ROUND(OFFSET($P301,0,AG$13),15-13*ORÇAMENTO!$AF$7)*OFFSET(ORÇAMENTO!$W$15,ROW(AG301)-ROW(AG$15),0),15-13*ORÇAMENTO!$AF$11)),0)</f>
        <v>0</v>
      </c>
      <c r="AH301" s="545">
        <f ca="1">IF(AND($D301="Serviço",AH$12&lt;&gt;0,$H301&gt;0,OR(AUTOEVENTO&lt;&gt;"manual",$M301&lt;&gt;1)),
IF(Import.TipoArredondamento&lt;&gt;"TransfereGOV",
ROUND(OFFSET($P301,0,AH$13),15-13*ORÇAMENTO!$AF$7)/$H301*OFFSET(ORÇAMENTO!$X$15,ROW(AH301)-ROW(AH$15),0),
ROUND(ROUND(OFFSET($P301,0,AH$13),15-13*ORÇAMENTO!$AF$7)*OFFSET(ORÇAMENTO!$W$15,ROW(AH301)-ROW(AH$15),0),15-13*ORÇAMENTO!$AF$11)),0)</f>
        <v>0</v>
      </c>
      <c r="AI301" s="545">
        <f ca="1">IF(AND($D301="Serviço",AI$12&lt;&gt;0,$H301&gt;0,OR(AUTOEVENTO&lt;&gt;"manual",$M301&lt;&gt;1)),
IF(Import.TipoArredondamento&lt;&gt;"TransfereGOV",
ROUND(OFFSET($P301,0,AI$13),15-13*ORÇAMENTO!$AF$7)/$H301*OFFSET(ORÇAMENTO!$X$15,ROW(AI301)-ROW(AI$15),0),
ROUND(ROUND(OFFSET($P301,0,AI$13),15-13*ORÇAMENTO!$AF$7)*OFFSET(ORÇAMENTO!$W$15,ROW(AI301)-ROW(AI$15),0),15-13*ORÇAMENTO!$AF$11)),0)</f>
        <v>0</v>
      </c>
      <c r="AJ301" s="545">
        <f ca="1">IF(AND($D301="Serviço",AJ$12&lt;&gt;0,$H301&gt;0,OR(AUTOEVENTO&lt;&gt;"manual",$M301&lt;&gt;1)),
IF(Import.TipoArredondamento&lt;&gt;"TransfereGOV",
ROUND(OFFSET($P301,0,AJ$13),15-13*ORÇAMENTO!$AF$7)/$H301*OFFSET(ORÇAMENTO!$X$15,ROW(AJ301)-ROW(AJ$15),0),
ROUND(ROUND(OFFSET($P301,0,AJ$13),15-13*ORÇAMENTO!$AF$7)*OFFSET(ORÇAMENTO!$W$15,ROW(AJ301)-ROW(AJ$15),0),15-13*ORÇAMENTO!$AF$11)),0)</f>
        <v>0</v>
      </c>
      <c r="AK301" s="546">
        <f ca="1">IF(AND($D301="Serviço",AK$12&lt;&gt;0,$H301&gt;0,OR(AUTOEVENTO&lt;&gt;"manual",$M301&lt;&gt;1)),
IF(Import.TipoArredondamento&lt;&gt;"TransfereGOV",
ROUND(OFFSET($P301,0,AK$13),15-13*ORÇAMENTO!$AF$7)/$H301*OFFSET(ORÇAMENTO!$X$15,ROW(AK301)-ROW(AK$15),0),
ROUND(ROUND(OFFSET($P301,0,AK$13),15-13*ORÇAMENTO!$AF$7)*OFFSET(ORÇAMENTO!$W$15,ROW(AK301)-ROW(AK$15),0),15-13*ORÇAMENTO!$AF$11)),0)</f>
        <v>0</v>
      </c>
      <c r="AM301" s="181">
        <f ca="1">IF($D301&lt;&gt;"Serviço",0,IF(AND(AUTOEVENTO="Manual",$M301=1),0,IF(OFFSET(CRONOPLE!$F$14,$M301,AM$13)="",10^12,OFFSET(CRONOPLE!$F$14,$M301,AM$13))))</f>
        <v>1000000000000</v>
      </c>
      <c r="AN301" s="181">
        <f ca="1">IF($D301&lt;&gt;"Serviço",0,IF(AND(AUTOEVENTO="Manual",$M301=1),0,IF(OFFSET(CRONOPLE!$F$14,$M301,AN$13)="",10^12,OFFSET(CRONOPLE!$F$14,$M301,AN$13))))</f>
        <v>1000000000000</v>
      </c>
      <c r="AO301" s="181">
        <f ca="1">IF($D301&lt;&gt;"Serviço",0,IF(AND(AUTOEVENTO="Manual",$M301=1),0,IF(OFFSET(CRONOPLE!$F$14,$M301,AO$13)="",10^12,OFFSET(CRONOPLE!$F$14,$M301,AO$13))))</f>
        <v>1000000000000</v>
      </c>
      <c r="AP301" s="181">
        <f ca="1">IF($D301&lt;&gt;"Serviço",0,IF(AND(AUTOEVENTO="Manual",$M301=1),0,IF(OFFSET(CRONOPLE!$F$14,$M301,AP$13)="",10^12,OFFSET(CRONOPLE!$F$14,$M301,AP$13))))</f>
        <v>1000000000000</v>
      </c>
      <c r="AQ301" s="181">
        <f ca="1">IF($D301&lt;&gt;"Serviço",0,IF(AND(AUTOEVENTO="Manual",$M301=1),0,IF(OFFSET(CRONOPLE!$F$14,$M301,AQ$13)="",10^12,OFFSET(CRONOPLE!$F$14,$M301,AQ$13))))</f>
        <v>1000000000000</v>
      </c>
      <c r="AR301" s="181">
        <f ca="1">IF($D301&lt;&gt;"Serviço",0,IF(AND(AUTOEVENTO="Manual",$M301=1),0,IF(OFFSET(CRONOPLE!$F$14,$M301,AR$13)="",10^12,OFFSET(CRONOPLE!$F$14,$M301,AR$13))))</f>
        <v>1000000000000</v>
      </c>
      <c r="AS301" s="181">
        <f ca="1">IF($D301&lt;&gt;"Serviço",0,IF(AND(AUTOEVENTO="Manual",$M301=1),0,IF(OFFSET(CRONOPLE!$F$14,$M301,AS$13)="",10^12,OFFSET(CRONOPLE!$F$14,$M301,AS$13))))</f>
        <v>1000000000000</v>
      </c>
      <c r="AT301" s="181">
        <f ca="1">IF($D301&lt;&gt;"Serviço",0,IF(AND(AUTOEVENTO="Manual",$M301=1),0,IF(OFFSET(CRONOPLE!$F$14,$M301,AT$13)="",10^12,OFFSET(CRONOPLE!$F$14,$M301,AT$13))))</f>
        <v>1000000000000</v>
      </c>
      <c r="AU301" s="181">
        <f ca="1">IF($D301&lt;&gt;"Serviço",0,IF(AND(AUTOEVENTO="Manual",$M301=1),0,IF(OFFSET(CRONOPLE!$F$14,$M301,AU$13)="",10^12,OFFSET(CRONOPLE!$F$14,$M301,AU$13))))</f>
        <v>1000000000000</v>
      </c>
      <c r="AV301" s="181">
        <f ca="1">IF($D301&lt;&gt;"Serviço",0,IF(AND(AUTOEVENTO="Manual",$M301=1),0,IF(OFFSET(CRONOPLE!$F$14,$M301,AV$13)="",10^12,OFFSET(CRONOPLE!$F$14,$M301,AV$13))))</f>
        <v>1000000000000</v>
      </c>
      <c r="AX301" s="182">
        <f ca="1">IF($D301&lt;&gt;"Serviço",0,IF(OR(AND(AUTOEVENTO="Manual",$M301=1),$M301&gt;(ROW(PLE.lastrow)-ROW(PLE.firstrow))),0,IF(OFFSET(PLE!$G$14,$M301,AX$13)="",10^12,OFFSET(PLE!$G$14,$M301,AX$13))))</f>
        <v>1000000000000</v>
      </c>
      <c r="AY301" s="182">
        <f ca="1">IF($D301&lt;&gt;"Serviço",0,IF(OR(AND(AUTOEVENTO="Manual",$M301=1),$M301&gt;(ROW(PLE.lastrow)-ROW(PLE.firstrow))),0,IF(OFFSET(PLE!$G$14,$M301,AY$13)="",10^12,OFFSET(PLE!$G$14,$M301,AY$13))))</f>
        <v>1000000000000</v>
      </c>
      <c r="AZ301" s="182">
        <f ca="1">IF($D301&lt;&gt;"Serviço",0,IF(OR(AND(AUTOEVENTO="Manual",$M301=1),$M301&gt;(ROW(PLE.lastrow)-ROW(PLE.firstrow))),0,IF(OFFSET(PLE!$G$14,$M301,AZ$13)="",10^12,OFFSET(PLE!$G$14,$M301,AZ$13))))</f>
        <v>1000000000000</v>
      </c>
      <c r="BA301" s="182">
        <f ca="1">IF($D301&lt;&gt;"Serviço",0,IF(OR(AND(AUTOEVENTO="Manual",$M301=1),$M301&gt;(ROW(PLE.lastrow)-ROW(PLE.firstrow))),0,IF(OFFSET(PLE!$G$14,$M301,BA$13)="",10^12,OFFSET(PLE!$G$14,$M301,BA$13))))</f>
        <v>1000000000000</v>
      </c>
      <c r="BB301" s="182">
        <f ca="1">IF($D301&lt;&gt;"Serviço",0,IF(OR(AND(AUTOEVENTO="Manual",$M301=1),$M301&gt;(ROW(PLE.lastrow)-ROW(PLE.firstrow))),0,IF(OFFSET(PLE!$G$14,$M301,BB$13)="",10^12,OFFSET(PLE!$G$14,$M301,BB$13))))</f>
        <v>1000000000000</v>
      </c>
      <c r="BC301" s="182">
        <f ca="1">IF($D301&lt;&gt;"Serviço",0,IF(OR(AND(AUTOEVENTO="Manual",$M301=1),$M301&gt;(ROW(PLE.lastrow)-ROW(PLE.firstrow))),0,IF(OFFSET(PLE!$G$14,$M301,BC$13)="",10^12,OFFSET(PLE!$G$14,$M301,BC$13))))</f>
        <v>1000000000000</v>
      </c>
      <c r="BD301" s="182">
        <f ca="1">IF($D301&lt;&gt;"Serviço",0,IF(OR(AND(AUTOEVENTO="Manual",$M301=1),$M301&gt;(ROW(PLE.lastrow)-ROW(PLE.firstrow))),0,IF(OFFSET(PLE!$G$14,$M301,BD$13)="",10^12,OFFSET(PLE!$G$14,$M301,BD$13))))</f>
        <v>1000000000000</v>
      </c>
      <c r="BE301" s="182">
        <f ca="1">IF($D301&lt;&gt;"Serviço",0,IF(OR(AND(AUTOEVENTO="Manual",$M301=1),$M301&gt;(ROW(PLE.lastrow)-ROW(PLE.firstrow))),0,IF(OFFSET(PLE!$G$14,$M301,BE$13)="",10^12,OFFSET(PLE!$G$14,$M301,BE$13))))</f>
        <v>1000000000000</v>
      </c>
      <c r="BF301" s="182">
        <f ca="1">IF($D301&lt;&gt;"Serviço",0,IF(OR(AND(AUTOEVENTO="Manual",$M301=1),$M301&gt;(ROW(PLE.lastrow)-ROW(PLE.firstrow))),0,IF(OFFSET(PLE!$G$14,$M301,BF$13)="",10^12,OFFSET(PLE!$G$14,$M301,BF$13))))</f>
        <v>1000000000000</v>
      </c>
      <c r="BG301" s="182">
        <f ca="1">IF($D301&lt;&gt;"Serviço",0,IF(OR(AND(AUTOEVENTO="Manual",$M301=1),$M301&gt;(ROW(PLE.lastrow)-ROW(PLE.firstrow))),0,IF(OFFSET(PLE!$G$14,$M301,BG$13)="",10^12,OFFSET(PLE!$G$14,$M301,BG$13))))</f>
        <v>1000000000000</v>
      </c>
    </row>
    <row r="302" spans="1:59" ht="25.5" x14ac:dyDescent="0.2">
      <c r="A302" s="7" t="str">
        <f t="shared" ca="1" si="11"/>
        <v>251</v>
      </c>
      <c r="B302" s="7" t="str">
        <f ca="1">OFFSET(ORÇAMENTO!C$15,ROW(B302)-ROW(B$15),0)</f>
        <v>S</v>
      </c>
      <c r="C302" s="7" t="str">
        <f ca="1">OFFSET(ORÇAMENTO!L$15,ROW(C302)-ROW(C$15),0)</f>
        <v/>
      </c>
      <c r="D302" s="118" t="str">
        <f ca="1">OFFSET(ORÇAMENTO!N$15,ROW(D302)-ROW(D$15),0)</f>
        <v>Serviço</v>
      </c>
      <c r="E302" s="119" t="str">
        <f ca="1">OFFSET(ORÇAMENTO!O$15,ROW(E302)-ROW(E$15),0)</f>
        <v>-</v>
      </c>
      <c r="F302" s="172" t="str">
        <f ca="1">OFFSET(ORÇAMENTO!R$15,ROW(F302)-ROW(F$15),0)</f>
        <v>(abra o arquivo 'Referência 02-2025.xlsm)</v>
      </c>
      <c r="G302" s="173" t="str">
        <f ca="1">IF($D302&lt;&gt;"Serviço","",OFFSET(ORÇAMENTO!S$15,ROW(G302)-ROW(G$15),0))</f>
        <v>-</v>
      </c>
      <c r="H302" s="124">
        <f ca="1">IF($D302&lt;&gt;"Serviço",0,IF(ACOMPANHAMENTO="BM",ROUND(OFFSET(ORÇAMENTO!AJ$15,ROW(H302)-ROW(H$15),0),15-13*ORÇAMENTO!$AF$7),SUMPRODUCT(($Q$12:$AA$12&lt;&gt;"")*ROUND($Q302:$AA302,15-13*ORÇAMENTO!$AF$7))))</f>
        <v>18</v>
      </c>
      <c r="I302" s="561" t="s">
        <v>890</v>
      </c>
      <c r="K302" s="174"/>
      <c r="L302" s="175" t="s">
        <v>255</v>
      </c>
      <c r="M302" s="176">
        <f ca="1">IF($D302&lt;&gt;"Serviço","",IF(AUTOEVENTO="manual",$A302,IF(ISERROR(MATCH($A302,$A$15:OFFSET($A302,-1,0),0)),MAX($M$15:OFFSET(M302,-1,0))+1,INDEX($M$15:OFFSET(M302,-1,0),MATCH($A302,$A$15:OFFSET($A302,-1,0),0)))))</f>
        <v>13</v>
      </c>
      <c r="N302" s="177" t="str">
        <f ca="1">IF($D302&lt;&gt;"Serviço","",IF(AUTOEVENTO="Manual",IF($A302=0,"&lt;-- defina o número do agrupador",OFFSET(EVENTOS!$D$14,$A302,0)),OFFSET($F$15,$A302,0)))</f>
        <v>INSTALAÇÃO HIDRÁULICA</v>
      </c>
      <c r="O302" s="178"/>
      <c r="Q302" s="178"/>
      <c r="R302" s="179"/>
      <c r="S302" s="179"/>
      <c r="T302" s="179"/>
      <c r="U302" s="179"/>
      <c r="V302" s="179"/>
      <c r="W302" s="179"/>
      <c r="X302" s="179"/>
      <c r="Y302" s="179"/>
      <c r="Z302" s="180"/>
      <c r="AB302" s="544">
        <f ca="1">IF(AND($D302="Serviço",AB$12&lt;&gt;0,$H302&gt;0,OR(AUTOEVENTO&lt;&gt;"manual",$M302&lt;&gt;1)),
IF(Import.TipoArredondamento&lt;&gt;"TransfereGOV",
ROUND(OFFSET($P302,0,AB$13),15-13*ORÇAMENTO!$AF$7)/$H302*OFFSET(ORÇAMENTO!$X$15,ROW(AB302)-ROW(AB$15),0),
ROUND(ROUND(OFFSET($P302,0,AB$13),15-13*ORÇAMENTO!$AF$7)*OFFSET(ORÇAMENTO!$W$15,ROW(AB302)-ROW(AB$15),0),15-13*ORÇAMENTO!$AF$11)),0)</f>
        <v>0</v>
      </c>
      <c r="AC302" s="545">
        <f ca="1">IF(AND($D302="Serviço",AC$12&lt;&gt;0,$H302&gt;0,OR(AUTOEVENTO&lt;&gt;"manual",$M302&lt;&gt;1)),
IF(Import.TipoArredondamento&lt;&gt;"TransfereGOV",
ROUND(OFFSET($P302,0,AC$13),15-13*ORÇAMENTO!$AF$7)/$H302*OFFSET(ORÇAMENTO!$X$15,ROW(AC302)-ROW(AC$15),0),
ROUND(ROUND(OFFSET($P302,0,AC$13),15-13*ORÇAMENTO!$AF$7)*OFFSET(ORÇAMENTO!$W$15,ROW(AC302)-ROW(AC$15),0),15-13*ORÇAMENTO!$AF$11)),0)</f>
        <v>0</v>
      </c>
      <c r="AD302" s="545">
        <f ca="1">IF(AND($D302="Serviço",AD$12&lt;&gt;0,$H302&gt;0,OR(AUTOEVENTO&lt;&gt;"manual",$M302&lt;&gt;1)),
IF(Import.TipoArredondamento&lt;&gt;"TransfereGOV",
ROUND(OFFSET($P302,0,AD$13),15-13*ORÇAMENTO!$AF$7)/$H302*OFFSET(ORÇAMENTO!$X$15,ROW(AD302)-ROW(AD$15),0),
ROUND(ROUND(OFFSET($P302,0,AD$13),15-13*ORÇAMENTO!$AF$7)*OFFSET(ORÇAMENTO!$W$15,ROW(AD302)-ROW(AD$15),0),15-13*ORÇAMENTO!$AF$11)),0)</f>
        <v>0</v>
      </c>
      <c r="AE302" s="545">
        <f ca="1">IF(AND($D302="Serviço",AE$12&lt;&gt;0,$H302&gt;0,OR(AUTOEVENTO&lt;&gt;"manual",$M302&lt;&gt;1)),
IF(Import.TipoArredondamento&lt;&gt;"TransfereGOV",
ROUND(OFFSET($P302,0,AE$13),15-13*ORÇAMENTO!$AF$7)/$H302*OFFSET(ORÇAMENTO!$X$15,ROW(AE302)-ROW(AE$15),0),
ROUND(ROUND(OFFSET($P302,0,AE$13),15-13*ORÇAMENTO!$AF$7)*OFFSET(ORÇAMENTO!$W$15,ROW(AE302)-ROW(AE$15),0),15-13*ORÇAMENTO!$AF$11)),0)</f>
        <v>0</v>
      </c>
      <c r="AF302" s="545">
        <f ca="1">IF(AND($D302="Serviço",AF$12&lt;&gt;0,$H302&gt;0,OR(AUTOEVENTO&lt;&gt;"manual",$M302&lt;&gt;1)),
IF(Import.TipoArredondamento&lt;&gt;"TransfereGOV",
ROUND(OFFSET($P302,0,AF$13),15-13*ORÇAMENTO!$AF$7)/$H302*OFFSET(ORÇAMENTO!$X$15,ROW(AF302)-ROW(AF$15),0),
ROUND(ROUND(OFFSET($P302,0,AF$13),15-13*ORÇAMENTO!$AF$7)*OFFSET(ORÇAMENTO!$W$15,ROW(AF302)-ROW(AF$15),0),15-13*ORÇAMENTO!$AF$11)),0)</f>
        <v>0</v>
      </c>
      <c r="AG302" s="545">
        <f ca="1">IF(AND($D302="Serviço",AG$12&lt;&gt;0,$H302&gt;0,OR(AUTOEVENTO&lt;&gt;"manual",$M302&lt;&gt;1)),
IF(Import.TipoArredondamento&lt;&gt;"TransfereGOV",
ROUND(OFFSET($P302,0,AG$13),15-13*ORÇAMENTO!$AF$7)/$H302*OFFSET(ORÇAMENTO!$X$15,ROW(AG302)-ROW(AG$15),0),
ROUND(ROUND(OFFSET($P302,0,AG$13),15-13*ORÇAMENTO!$AF$7)*OFFSET(ORÇAMENTO!$W$15,ROW(AG302)-ROW(AG$15),0),15-13*ORÇAMENTO!$AF$11)),0)</f>
        <v>0</v>
      </c>
      <c r="AH302" s="545">
        <f ca="1">IF(AND($D302="Serviço",AH$12&lt;&gt;0,$H302&gt;0,OR(AUTOEVENTO&lt;&gt;"manual",$M302&lt;&gt;1)),
IF(Import.TipoArredondamento&lt;&gt;"TransfereGOV",
ROUND(OFFSET($P302,0,AH$13),15-13*ORÇAMENTO!$AF$7)/$H302*OFFSET(ORÇAMENTO!$X$15,ROW(AH302)-ROW(AH$15),0),
ROUND(ROUND(OFFSET($P302,0,AH$13),15-13*ORÇAMENTO!$AF$7)*OFFSET(ORÇAMENTO!$W$15,ROW(AH302)-ROW(AH$15),0),15-13*ORÇAMENTO!$AF$11)),0)</f>
        <v>0</v>
      </c>
      <c r="AI302" s="545">
        <f ca="1">IF(AND($D302="Serviço",AI$12&lt;&gt;0,$H302&gt;0,OR(AUTOEVENTO&lt;&gt;"manual",$M302&lt;&gt;1)),
IF(Import.TipoArredondamento&lt;&gt;"TransfereGOV",
ROUND(OFFSET($P302,0,AI$13),15-13*ORÇAMENTO!$AF$7)/$H302*OFFSET(ORÇAMENTO!$X$15,ROW(AI302)-ROW(AI$15),0),
ROUND(ROUND(OFFSET($P302,0,AI$13),15-13*ORÇAMENTO!$AF$7)*OFFSET(ORÇAMENTO!$W$15,ROW(AI302)-ROW(AI$15),0),15-13*ORÇAMENTO!$AF$11)),0)</f>
        <v>0</v>
      </c>
      <c r="AJ302" s="545">
        <f ca="1">IF(AND($D302="Serviço",AJ$12&lt;&gt;0,$H302&gt;0,OR(AUTOEVENTO&lt;&gt;"manual",$M302&lt;&gt;1)),
IF(Import.TipoArredondamento&lt;&gt;"TransfereGOV",
ROUND(OFFSET($P302,0,AJ$13),15-13*ORÇAMENTO!$AF$7)/$H302*OFFSET(ORÇAMENTO!$X$15,ROW(AJ302)-ROW(AJ$15),0),
ROUND(ROUND(OFFSET($P302,0,AJ$13),15-13*ORÇAMENTO!$AF$7)*OFFSET(ORÇAMENTO!$W$15,ROW(AJ302)-ROW(AJ$15),0),15-13*ORÇAMENTO!$AF$11)),0)</f>
        <v>0</v>
      </c>
      <c r="AK302" s="546">
        <f ca="1">IF(AND($D302="Serviço",AK$12&lt;&gt;0,$H302&gt;0,OR(AUTOEVENTO&lt;&gt;"manual",$M302&lt;&gt;1)),
IF(Import.TipoArredondamento&lt;&gt;"TransfereGOV",
ROUND(OFFSET($P302,0,AK$13),15-13*ORÇAMENTO!$AF$7)/$H302*OFFSET(ORÇAMENTO!$X$15,ROW(AK302)-ROW(AK$15),0),
ROUND(ROUND(OFFSET($P302,0,AK$13),15-13*ORÇAMENTO!$AF$7)*OFFSET(ORÇAMENTO!$W$15,ROW(AK302)-ROW(AK$15),0),15-13*ORÇAMENTO!$AF$11)),0)</f>
        <v>0</v>
      </c>
      <c r="AM302" s="181">
        <f ca="1">IF($D302&lt;&gt;"Serviço",0,IF(AND(AUTOEVENTO="Manual",$M302=1),0,IF(OFFSET(CRONOPLE!$F$14,$M302,AM$13)="",10^12,OFFSET(CRONOPLE!$F$14,$M302,AM$13))))</f>
        <v>1000000000000</v>
      </c>
      <c r="AN302" s="181">
        <f ca="1">IF($D302&lt;&gt;"Serviço",0,IF(AND(AUTOEVENTO="Manual",$M302=1),0,IF(OFFSET(CRONOPLE!$F$14,$M302,AN$13)="",10^12,OFFSET(CRONOPLE!$F$14,$M302,AN$13))))</f>
        <v>1000000000000</v>
      </c>
      <c r="AO302" s="181">
        <f ca="1">IF($D302&lt;&gt;"Serviço",0,IF(AND(AUTOEVENTO="Manual",$M302=1),0,IF(OFFSET(CRONOPLE!$F$14,$M302,AO$13)="",10^12,OFFSET(CRONOPLE!$F$14,$M302,AO$13))))</f>
        <v>1000000000000</v>
      </c>
      <c r="AP302" s="181">
        <f ca="1">IF($D302&lt;&gt;"Serviço",0,IF(AND(AUTOEVENTO="Manual",$M302=1),0,IF(OFFSET(CRONOPLE!$F$14,$M302,AP$13)="",10^12,OFFSET(CRONOPLE!$F$14,$M302,AP$13))))</f>
        <v>1000000000000</v>
      </c>
      <c r="AQ302" s="181">
        <f ca="1">IF($D302&lt;&gt;"Serviço",0,IF(AND(AUTOEVENTO="Manual",$M302=1),0,IF(OFFSET(CRONOPLE!$F$14,$M302,AQ$13)="",10^12,OFFSET(CRONOPLE!$F$14,$M302,AQ$13))))</f>
        <v>1000000000000</v>
      </c>
      <c r="AR302" s="181">
        <f ca="1">IF($D302&lt;&gt;"Serviço",0,IF(AND(AUTOEVENTO="Manual",$M302=1),0,IF(OFFSET(CRONOPLE!$F$14,$M302,AR$13)="",10^12,OFFSET(CRONOPLE!$F$14,$M302,AR$13))))</f>
        <v>1000000000000</v>
      </c>
      <c r="AS302" s="181">
        <f ca="1">IF($D302&lt;&gt;"Serviço",0,IF(AND(AUTOEVENTO="Manual",$M302=1),0,IF(OFFSET(CRONOPLE!$F$14,$M302,AS$13)="",10^12,OFFSET(CRONOPLE!$F$14,$M302,AS$13))))</f>
        <v>1000000000000</v>
      </c>
      <c r="AT302" s="181">
        <f ca="1">IF($D302&lt;&gt;"Serviço",0,IF(AND(AUTOEVENTO="Manual",$M302=1),0,IF(OFFSET(CRONOPLE!$F$14,$M302,AT$13)="",10^12,OFFSET(CRONOPLE!$F$14,$M302,AT$13))))</f>
        <v>1000000000000</v>
      </c>
      <c r="AU302" s="181">
        <f ca="1">IF($D302&lt;&gt;"Serviço",0,IF(AND(AUTOEVENTO="Manual",$M302=1),0,IF(OFFSET(CRONOPLE!$F$14,$M302,AU$13)="",10^12,OFFSET(CRONOPLE!$F$14,$M302,AU$13))))</f>
        <v>1000000000000</v>
      </c>
      <c r="AV302" s="181">
        <f ca="1">IF($D302&lt;&gt;"Serviço",0,IF(AND(AUTOEVENTO="Manual",$M302=1),0,IF(OFFSET(CRONOPLE!$F$14,$M302,AV$13)="",10^12,OFFSET(CRONOPLE!$F$14,$M302,AV$13))))</f>
        <v>1000000000000</v>
      </c>
      <c r="AX302" s="182">
        <f ca="1">IF($D302&lt;&gt;"Serviço",0,IF(OR(AND(AUTOEVENTO="Manual",$M302=1),$M302&gt;(ROW(PLE.lastrow)-ROW(PLE.firstrow))),0,IF(OFFSET(PLE!$G$14,$M302,AX$13)="",10^12,OFFSET(PLE!$G$14,$M302,AX$13))))</f>
        <v>1000000000000</v>
      </c>
      <c r="AY302" s="182">
        <f ca="1">IF($D302&lt;&gt;"Serviço",0,IF(OR(AND(AUTOEVENTO="Manual",$M302=1),$M302&gt;(ROW(PLE.lastrow)-ROW(PLE.firstrow))),0,IF(OFFSET(PLE!$G$14,$M302,AY$13)="",10^12,OFFSET(PLE!$G$14,$M302,AY$13))))</f>
        <v>1000000000000</v>
      </c>
      <c r="AZ302" s="182">
        <f ca="1">IF($D302&lt;&gt;"Serviço",0,IF(OR(AND(AUTOEVENTO="Manual",$M302=1),$M302&gt;(ROW(PLE.lastrow)-ROW(PLE.firstrow))),0,IF(OFFSET(PLE!$G$14,$M302,AZ$13)="",10^12,OFFSET(PLE!$G$14,$M302,AZ$13))))</f>
        <v>1000000000000</v>
      </c>
      <c r="BA302" s="182">
        <f ca="1">IF($D302&lt;&gt;"Serviço",0,IF(OR(AND(AUTOEVENTO="Manual",$M302=1),$M302&gt;(ROW(PLE.lastrow)-ROW(PLE.firstrow))),0,IF(OFFSET(PLE!$G$14,$M302,BA$13)="",10^12,OFFSET(PLE!$G$14,$M302,BA$13))))</f>
        <v>1000000000000</v>
      </c>
      <c r="BB302" s="182">
        <f ca="1">IF($D302&lt;&gt;"Serviço",0,IF(OR(AND(AUTOEVENTO="Manual",$M302=1),$M302&gt;(ROW(PLE.lastrow)-ROW(PLE.firstrow))),0,IF(OFFSET(PLE!$G$14,$M302,BB$13)="",10^12,OFFSET(PLE!$G$14,$M302,BB$13))))</f>
        <v>1000000000000</v>
      </c>
      <c r="BC302" s="182">
        <f ca="1">IF($D302&lt;&gt;"Serviço",0,IF(OR(AND(AUTOEVENTO="Manual",$M302=1),$M302&gt;(ROW(PLE.lastrow)-ROW(PLE.firstrow))),0,IF(OFFSET(PLE!$G$14,$M302,BC$13)="",10^12,OFFSET(PLE!$G$14,$M302,BC$13))))</f>
        <v>1000000000000</v>
      </c>
      <c r="BD302" s="182">
        <f ca="1">IF($D302&lt;&gt;"Serviço",0,IF(OR(AND(AUTOEVENTO="Manual",$M302=1),$M302&gt;(ROW(PLE.lastrow)-ROW(PLE.firstrow))),0,IF(OFFSET(PLE!$G$14,$M302,BD$13)="",10^12,OFFSET(PLE!$G$14,$M302,BD$13))))</f>
        <v>1000000000000</v>
      </c>
      <c r="BE302" s="182">
        <f ca="1">IF($D302&lt;&gt;"Serviço",0,IF(OR(AND(AUTOEVENTO="Manual",$M302=1),$M302&gt;(ROW(PLE.lastrow)-ROW(PLE.firstrow))),0,IF(OFFSET(PLE!$G$14,$M302,BE$13)="",10^12,OFFSET(PLE!$G$14,$M302,BE$13))))</f>
        <v>1000000000000</v>
      </c>
      <c r="BF302" s="182">
        <f ca="1">IF($D302&lt;&gt;"Serviço",0,IF(OR(AND(AUTOEVENTO="Manual",$M302=1),$M302&gt;(ROW(PLE.lastrow)-ROW(PLE.firstrow))),0,IF(OFFSET(PLE!$G$14,$M302,BF$13)="",10^12,OFFSET(PLE!$G$14,$M302,BF$13))))</f>
        <v>1000000000000</v>
      </c>
      <c r="BG302" s="182">
        <f ca="1">IF($D302&lt;&gt;"Serviço",0,IF(OR(AND(AUTOEVENTO="Manual",$M302=1),$M302&gt;(ROW(PLE.lastrow)-ROW(PLE.firstrow))),0,IF(OFFSET(PLE!$G$14,$M302,BG$13)="",10^12,OFFSET(PLE!$G$14,$M302,BG$13))))</f>
        <v>1000000000000</v>
      </c>
    </row>
    <row r="303" spans="1:59" ht="25.5" x14ac:dyDescent="0.2">
      <c r="A303" s="7" t="str">
        <f t="shared" ca="1" si="11"/>
        <v>251</v>
      </c>
      <c r="B303" s="7" t="str">
        <f ca="1">OFFSET(ORÇAMENTO!C$15,ROW(B303)-ROW(B$15),0)</f>
        <v>S</v>
      </c>
      <c r="C303" s="7" t="str">
        <f ca="1">OFFSET(ORÇAMENTO!L$15,ROW(C303)-ROW(C$15),0)</f>
        <v/>
      </c>
      <c r="D303" s="118" t="str">
        <f ca="1">OFFSET(ORÇAMENTO!N$15,ROW(D303)-ROW(D$15),0)</f>
        <v>Serviço</v>
      </c>
      <c r="E303" s="119" t="str">
        <f ca="1">OFFSET(ORÇAMENTO!O$15,ROW(E303)-ROW(E$15),0)</f>
        <v>-</v>
      </c>
      <c r="F303" s="172" t="str">
        <f ca="1">OFFSET(ORÇAMENTO!R$15,ROW(F303)-ROW(F$15),0)</f>
        <v>(abra o arquivo 'Referência 02-2025.xlsm)</v>
      </c>
      <c r="G303" s="173" t="str">
        <f ca="1">IF($D303&lt;&gt;"Serviço","",OFFSET(ORÇAMENTO!S$15,ROW(G303)-ROW(G$15),0))</f>
        <v>-</v>
      </c>
      <c r="H303" s="124">
        <f ca="1">IF($D303&lt;&gt;"Serviço",0,IF(ACOMPANHAMENTO="BM",ROUND(OFFSET(ORÇAMENTO!AJ$15,ROW(H303)-ROW(H$15),0),15-13*ORÇAMENTO!$AF$7),SUMPRODUCT(($Q$12:$AA$12&lt;&gt;"")*ROUND($Q303:$AA303,15-13*ORÇAMENTO!$AF$7))))</f>
        <v>19</v>
      </c>
      <c r="I303" s="561" t="s">
        <v>890</v>
      </c>
      <c r="K303" s="174"/>
      <c r="L303" s="175" t="s">
        <v>255</v>
      </c>
      <c r="M303" s="176">
        <f ca="1">IF($D303&lt;&gt;"Serviço","",IF(AUTOEVENTO="manual",$A303,IF(ISERROR(MATCH($A303,$A$15:OFFSET($A303,-1,0),0)),MAX($M$15:OFFSET(M303,-1,0))+1,INDEX($M$15:OFFSET(M303,-1,0),MATCH($A303,$A$15:OFFSET($A303,-1,0),0)))))</f>
        <v>13</v>
      </c>
      <c r="N303" s="177" t="str">
        <f ca="1">IF($D303&lt;&gt;"Serviço","",IF(AUTOEVENTO="Manual",IF($A303=0,"&lt;-- defina o número do agrupador",OFFSET(EVENTOS!$D$14,$A303,0)),OFFSET($F$15,$A303,0)))</f>
        <v>INSTALAÇÃO HIDRÁULICA</v>
      </c>
      <c r="O303" s="178"/>
      <c r="Q303" s="178"/>
      <c r="R303" s="179"/>
      <c r="S303" s="179"/>
      <c r="T303" s="179"/>
      <c r="U303" s="179"/>
      <c r="V303" s="179"/>
      <c r="W303" s="179"/>
      <c r="X303" s="179"/>
      <c r="Y303" s="179"/>
      <c r="Z303" s="180"/>
      <c r="AB303" s="544">
        <f ca="1">IF(AND($D303="Serviço",AB$12&lt;&gt;0,$H303&gt;0,OR(AUTOEVENTO&lt;&gt;"manual",$M303&lt;&gt;1)),
IF(Import.TipoArredondamento&lt;&gt;"TransfereGOV",
ROUND(OFFSET($P303,0,AB$13),15-13*ORÇAMENTO!$AF$7)/$H303*OFFSET(ORÇAMENTO!$X$15,ROW(AB303)-ROW(AB$15),0),
ROUND(ROUND(OFFSET($P303,0,AB$13),15-13*ORÇAMENTO!$AF$7)*OFFSET(ORÇAMENTO!$W$15,ROW(AB303)-ROW(AB$15),0),15-13*ORÇAMENTO!$AF$11)),0)</f>
        <v>0</v>
      </c>
      <c r="AC303" s="545">
        <f ca="1">IF(AND($D303="Serviço",AC$12&lt;&gt;0,$H303&gt;0,OR(AUTOEVENTO&lt;&gt;"manual",$M303&lt;&gt;1)),
IF(Import.TipoArredondamento&lt;&gt;"TransfereGOV",
ROUND(OFFSET($P303,0,AC$13),15-13*ORÇAMENTO!$AF$7)/$H303*OFFSET(ORÇAMENTO!$X$15,ROW(AC303)-ROW(AC$15),0),
ROUND(ROUND(OFFSET($P303,0,AC$13),15-13*ORÇAMENTO!$AF$7)*OFFSET(ORÇAMENTO!$W$15,ROW(AC303)-ROW(AC$15),0),15-13*ORÇAMENTO!$AF$11)),0)</f>
        <v>0</v>
      </c>
      <c r="AD303" s="545">
        <f ca="1">IF(AND($D303="Serviço",AD$12&lt;&gt;0,$H303&gt;0,OR(AUTOEVENTO&lt;&gt;"manual",$M303&lt;&gt;1)),
IF(Import.TipoArredondamento&lt;&gt;"TransfereGOV",
ROUND(OFFSET($P303,0,AD$13),15-13*ORÇAMENTO!$AF$7)/$H303*OFFSET(ORÇAMENTO!$X$15,ROW(AD303)-ROW(AD$15),0),
ROUND(ROUND(OFFSET($P303,0,AD$13),15-13*ORÇAMENTO!$AF$7)*OFFSET(ORÇAMENTO!$W$15,ROW(AD303)-ROW(AD$15),0),15-13*ORÇAMENTO!$AF$11)),0)</f>
        <v>0</v>
      </c>
      <c r="AE303" s="545">
        <f ca="1">IF(AND($D303="Serviço",AE$12&lt;&gt;0,$H303&gt;0,OR(AUTOEVENTO&lt;&gt;"manual",$M303&lt;&gt;1)),
IF(Import.TipoArredondamento&lt;&gt;"TransfereGOV",
ROUND(OFFSET($P303,0,AE$13),15-13*ORÇAMENTO!$AF$7)/$H303*OFFSET(ORÇAMENTO!$X$15,ROW(AE303)-ROW(AE$15),0),
ROUND(ROUND(OFFSET($P303,0,AE$13),15-13*ORÇAMENTO!$AF$7)*OFFSET(ORÇAMENTO!$W$15,ROW(AE303)-ROW(AE$15),0),15-13*ORÇAMENTO!$AF$11)),0)</f>
        <v>0</v>
      </c>
      <c r="AF303" s="545">
        <f ca="1">IF(AND($D303="Serviço",AF$12&lt;&gt;0,$H303&gt;0,OR(AUTOEVENTO&lt;&gt;"manual",$M303&lt;&gt;1)),
IF(Import.TipoArredondamento&lt;&gt;"TransfereGOV",
ROUND(OFFSET($P303,0,AF$13),15-13*ORÇAMENTO!$AF$7)/$H303*OFFSET(ORÇAMENTO!$X$15,ROW(AF303)-ROW(AF$15),0),
ROUND(ROUND(OFFSET($P303,0,AF$13),15-13*ORÇAMENTO!$AF$7)*OFFSET(ORÇAMENTO!$W$15,ROW(AF303)-ROW(AF$15),0),15-13*ORÇAMENTO!$AF$11)),0)</f>
        <v>0</v>
      </c>
      <c r="AG303" s="545">
        <f ca="1">IF(AND($D303="Serviço",AG$12&lt;&gt;0,$H303&gt;0,OR(AUTOEVENTO&lt;&gt;"manual",$M303&lt;&gt;1)),
IF(Import.TipoArredondamento&lt;&gt;"TransfereGOV",
ROUND(OFFSET($P303,0,AG$13),15-13*ORÇAMENTO!$AF$7)/$H303*OFFSET(ORÇAMENTO!$X$15,ROW(AG303)-ROW(AG$15),0),
ROUND(ROUND(OFFSET($P303,0,AG$13),15-13*ORÇAMENTO!$AF$7)*OFFSET(ORÇAMENTO!$W$15,ROW(AG303)-ROW(AG$15),0),15-13*ORÇAMENTO!$AF$11)),0)</f>
        <v>0</v>
      </c>
      <c r="AH303" s="545">
        <f ca="1">IF(AND($D303="Serviço",AH$12&lt;&gt;0,$H303&gt;0,OR(AUTOEVENTO&lt;&gt;"manual",$M303&lt;&gt;1)),
IF(Import.TipoArredondamento&lt;&gt;"TransfereGOV",
ROUND(OFFSET($P303,0,AH$13),15-13*ORÇAMENTO!$AF$7)/$H303*OFFSET(ORÇAMENTO!$X$15,ROW(AH303)-ROW(AH$15),0),
ROUND(ROUND(OFFSET($P303,0,AH$13),15-13*ORÇAMENTO!$AF$7)*OFFSET(ORÇAMENTO!$W$15,ROW(AH303)-ROW(AH$15),0),15-13*ORÇAMENTO!$AF$11)),0)</f>
        <v>0</v>
      </c>
      <c r="AI303" s="545">
        <f ca="1">IF(AND($D303="Serviço",AI$12&lt;&gt;0,$H303&gt;0,OR(AUTOEVENTO&lt;&gt;"manual",$M303&lt;&gt;1)),
IF(Import.TipoArredondamento&lt;&gt;"TransfereGOV",
ROUND(OFFSET($P303,0,AI$13),15-13*ORÇAMENTO!$AF$7)/$H303*OFFSET(ORÇAMENTO!$X$15,ROW(AI303)-ROW(AI$15),0),
ROUND(ROUND(OFFSET($P303,0,AI$13),15-13*ORÇAMENTO!$AF$7)*OFFSET(ORÇAMENTO!$W$15,ROW(AI303)-ROW(AI$15),0),15-13*ORÇAMENTO!$AF$11)),0)</f>
        <v>0</v>
      </c>
      <c r="AJ303" s="545">
        <f ca="1">IF(AND($D303="Serviço",AJ$12&lt;&gt;0,$H303&gt;0,OR(AUTOEVENTO&lt;&gt;"manual",$M303&lt;&gt;1)),
IF(Import.TipoArredondamento&lt;&gt;"TransfereGOV",
ROUND(OFFSET($P303,0,AJ$13),15-13*ORÇAMENTO!$AF$7)/$H303*OFFSET(ORÇAMENTO!$X$15,ROW(AJ303)-ROW(AJ$15),0),
ROUND(ROUND(OFFSET($P303,0,AJ$13),15-13*ORÇAMENTO!$AF$7)*OFFSET(ORÇAMENTO!$W$15,ROW(AJ303)-ROW(AJ$15),0),15-13*ORÇAMENTO!$AF$11)),0)</f>
        <v>0</v>
      </c>
      <c r="AK303" s="546">
        <f ca="1">IF(AND($D303="Serviço",AK$12&lt;&gt;0,$H303&gt;0,OR(AUTOEVENTO&lt;&gt;"manual",$M303&lt;&gt;1)),
IF(Import.TipoArredondamento&lt;&gt;"TransfereGOV",
ROUND(OFFSET($P303,0,AK$13),15-13*ORÇAMENTO!$AF$7)/$H303*OFFSET(ORÇAMENTO!$X$15,ROW(AK303)-ROW(AK$15),0),
ROUND(ROUND(OFFSET($P303,0,AK$13),15-13*ORÇAMENTO!$AF$7)*OFFSET(ORÇAMENTO!$W$15,ROW(AK303)-ROW(AK$15),0),15-13*ORÇAMENTO!$AF$11)),0)</f>
        <v>0</v>
      </c>
      <c r="AM303" s="181">
        <f ca="1">IF($D303&lt;&gt;"Serviço",0,IF(AND(AUTOEVENTO="Manual",$M303=1),0,IF(OFFSET(CRONOPLE!$F$14,$M303,AM$13)="",10^12,OFFSET(CRONOPLE!$F$14,$M303,AM$13))))</f>
        <v>1000000000000</v>
      </c>
      <c r="AN303" s="181">
        <f ca="1">IF($D303&lt;&gt;"Serviço",0,IF(AND(AUTOEVENTO="Manual",$M303=1),0,IF(OFFSET(CRONOPLE!$F$14,$M303,AN$13)="",10^12,OFFSET(CRONOPLE!$F$14,$M303,AN$13))))</f>
        <v>1000000000000</v>
      </c>
      <c r="AO303" s="181">
        <f ca="1">IF($D303&lt;&gt;"Serviço",0,IF(AND(AUTOEVENTO="Manual",$M303=1),0,IF(OFFSET(CRONOPLE!$F$14,$M303,AO$13)="",10^12,OFFSET(CRONOPLE!$F$14,$M303,AO$13))))</f>
        <v>1000000000000</v>
      </c>
      <c r="AP303" s="181">
        <f ca="1">IF($D303&lt;&gt;"Serviço",0,IF(AND(AUTOEVENTO="Manual",$M303=1),0,IF(OFFSET(CRONOPLE!$F$14,$M303,AP$13)="",10^12,OFFSET(CRONOPLE!$F$14,$M303,AP$13))))</f>
        <v>1000000000000</v>
      </c>
      <c r="AQ303" s="181">
        <f ca="1">IF($D303&lt;&gt;"Serviço",0,IF(AND(AUTOEVENTO="Manual",$M303=1),0,IF(OFFSET(CRONOPLE!$F$14,$M303,AQ$13)="",10^12,OFFSET(CRONOPLE!$F$14,$M303,AQ$13))))</f>
        <v>1000000000000</v>
      </c>
      <c r="AR303" s="181">
        <f ca="1">IF($D303&lt;&gt;"Serviço",0,IF(AND(AUTOEVENTO="Manual",$M303=1),0,IF(OFFSET(CRONOPLE!$F$14,$M303,AR$13)="",10^12,OFFSET(CRONOPLE!$F$14,$M303,AR$13))))</f>
        <v>1000000000000</v>
      </c>
      <c r="AS303" s="181">
        <f ca="1">IF($D303&lt;&gt;"Serviço",0,IF(AND(AUTOEVENTO="Manual",$M303=1),0,IF(OFFSET(CRONOPLE!$F$14,$M303,AS$13)="",10^12,OFFSET(CRONOPLE!$F$14,$M303,AS$13))))</f>
        <v>1000000000000</v>
      </c>
      <c r="AT303" s="181">
        <f ca="1">IF($D303&lt;&gt;"Serviço",0,IF(AND(AUTOEVENTO="Manual",$M303=1),0,IF(OFFSET(CRONOPLE!$F$14,$M303,AT$13)="",10^12,OFFSET(CRONOPLE!$F$14,$M303,AT$13))))</f>
        <v>1000000000000</v>
      </c>
      <c r="AU303" s="181">
        <f ca="1">IF($D303&lt;&gt;"Serviço",0,IF(AND(AUTOEVENTO="Manual",$M303=1),0,IF(OFFSET(CRONOPLE!$F$14,$M303,AU$13)="",10^12,OFFSET(CRONOPLE!$F$14,$M303,AU$13))))</f>
        <v>1000000000000</v>
      </c>
      <c r="AV303" s="181">
        <f ca="1">IF($D303&lt;&gt;"Serviço",0,IF(AND(AUTOEVENTO="Manual",$M303=1),0,IF(OFFSET(CRONOPLE!$F$14,$M303,AV$13)="",10^12,OFFSET(CRONOPLE!$F$14,$M303,AV$13))))</f>
        <v>1000000000000</v>
      </c>
      <c r="AX303" s="182">
        <f ca="1">IF($D303&lt;&gt;"Serviço",0,IF(OR(AND(AUTOEVENTO="Manual",$M303=1),$M303&gt;(ROW(PLE.lastrow)-ROW(PLE.firstrow))),0,IF(OFFSET(PLE!$G$14,$M303,AX$13)="",10^12,OFFSET(PLE!$G$14,$M303,AX$13))))</f>
        <v>1000000000000</v>
      </c>
      <c r="AY303" s="182">
        <f ca="1">IF($D303&lt;&gt;"Serviço",0,IF(OR(AND(AUTOEVENTO="Manual",$M303=1),$M303&gt;(ROW(PLE.lastrow)-ROW(PLE.firstrow))),0,IF(OFFSET(PLE!$G$14,$M303,AY$13)="",10^12,OFFSET(PLE!$G$14,$M303,AY$13))))</f>
        <v>1000000000000</v>
      </c>
      <c r="AZ303" s="182">
        <f ca="1">IF($D303&lt;&gt;"Serviço",0,IF(OR(AND(AUTOEVENTO="Manual",$M303=1),$M303&gt;(ROW(PLE.lastrow)-ROW(PLE.firstrow))),0,IF(OFFSET(PLE!$G$14,$M303,AZ$13)="",10^12,OFFSET(PLE!$G$14,$M303,AZ$13))))</f>
        <v>1000000000000</v>
      </c>
      <c r="BA303" s="182">
        <f ca="1">IF($D303&lt;&gt;"Serviço",0,IF(OR(AND(AUTOEVENTO="Manual",$M303=1),$M303&gt;(ROW(PLE.lastrow)-ROW(PLE.firstrow))),0,IF(OFFSET(PLE!$G$14,$M303,BA$13)="",10^12,OFFSET(PLE!$G$14,$M303,BA$13))))</f>
        <v>1000000000000</v>
      </c>
      <c r="BB303" s="182">
        <f ca="1">IF($D303&lt;&gt;"Serviço",0,IF(OR(AND(AUTOEVENTO="Manual",$M303=1),$M303&gt;(ROW(PLE.lastrow)-ROW(PLE.firstrow))),0,IF(OFFSET(PLE!$G$14,$M303,BB$13)="",10^12,OFFSET(PLE!$G$14,$M303,BB$13))))</f>
        <v>1000000000000</v>
      </c>
      <c r="BC303" s="182">
        <f ca="1">IF($D303&lt;&gt;"Serviço",0,IF(OR(AND(AUTOEVENTO="Manual",$M303=1),$M303&gt;(ROW(PLE.lastrow)-ROW(PLE.firstrow))),0,IF(OFFSET(PLE!$G$14,$M303,BC$13)="",10^12,OFFSET(PLE!$G$14,$M303,BC$13))))</f>
        <v>1000000000000</v>
      </c>
      <c r="BD303" s="182">
        <f ca="1">IF($D303&lt;&gt;"Serviço",0,IF(OR(AND(AUTOEVENTO="Manual",$M303=1),$M303&gt;(ROW(PLE.lastrow)-ROW(PLE.firstrow))),0,IF(OFFSET(PLE!$G$14,$M303,BD$13)="",10^12,OFFSET(PLE!$G$14,$M303,BD$13))))</f>
        <v>1000000000000</v>
      </c>
      <c r="BE303" s="182">
        <f ca="1">IF($D303&lt;&gt;"Serviço",0,IF(OR(AND(AUTOEVENTO="Manual",$M303=1),$M303&gt;(ROW(PLE.lastrow)-ROW(PLE.firstrow))),0,IF(OFFSET(PLE!$G$14,$M303,BE$13)="",10^12,OFFSET(PLE!$G$14,$M303,BE$13))))</f>
        <v>1000000000000</v>
      </c>
      <c r="BF303" s="182">
        <f ca="1">IF($D303&lt;&gt;"Serviço",0,IF(OR(AND(AUTOEVENTO="Manual",$M303=1),$M303&gt;(ROW(PLE.lastrow)-ROW(PLE.firstrow))),0,IF(OFFSET(PLE!$G$14,$M303,BF$13)="",10^12,OFFSET(PLE!$G$14,$M303,BF$13))))</f>
        <v>1000000000000</v>
      </c>
      <c r="BG303" s="182">
        <f ca="1">IF($D303&lt;&gt;"Serviço",0,IF(OR(AND(AUTOEVENTO="Manual",$M303=1),$M303&gt;(ROW(PLE.lastrow)-ROW(PLE.firstrow))),0,IF(OFFSET(PLE!$G$14,$M303,BG$13)="",10^12,OFFSET(PLE!$G$14,$M303,BG$13))))</f>
        <v>1000000000000</v>
      </c>
    </row>
    <row r="304" spans="1:59" ht="25.5" x14ac:dyDescent="0.2">
      <c r="A304" s="7" t="str">
        <f t="shared" ca="1" si="11"/>
        <v>251</v>
      </c>
      <c r="B304" s="7" t="str">
        <f ca="1">OFFSET(ORÇAMENTO!C$15,ROW(B304)-ROW(B$15),0)</f>
        <v>S</v>
      </c>
      <c r="C304" s="7" t="str">
        <f ca="1">OFFSET(ORÇAMENTO!L$15,ROW(C304)-ROW(C$15),0)</f>
        <v/>
      </c>
      <c r="D304" s="118" t="str">
        <f ca="1">OFFSET(ORÇAMENTO!N$15,ROW(D304)-ROW(D$15),0)</f>
        <v>Serviço</v>
      </c>
      <c r="E304" s="119" t="str">
        <f ca="1">OFFSET(ORÇAMENTO!O$15,ROW(E304)-ROW(E$15),0)</f>
        <v>-</v>
      </c>
      <c r="F304" s="172" t="str">
        <f ca="1">OFFSET(ORÇAMENTO!R$15,ROW(F304)-ROW(F$15),0)</f>
        <v>(abra o arquivo 'Referência 02-2025.xlsm)</v>
      </c>
      <c r="G304" s="173" t="str">
        <f ca="1">IF($D304&lt;&gt;"Serviço","",OFFSET(ORÇAMENTO!S$15,ROW(G304)-ROW(G$15),0))</f>
        <v>-</v>
      </c>
      <c r="H304" s="124">
        <f ca="1">IF($D304&lt;&gt;"Serviço",0,IF(ACOMPANHAMENTO="BM",ROUND(OFFSET(ORÇAMENTO!AJ$15,ROW(H304)-ROW(H$15),0),15-13*ORÇAMENTO!$AF$7),SUMPRODUCT(($Q$12:$AA$12&lt;&gt;"")*ROUND($Q304:$AA304,15-13*ORÇAMENTO!$AF$7))))</f>
        <v>33</v>
      </c>
      <c r="I304" s="561" t="s">
        <v>890</v>
      </c>
      <c r="K304" s="174"/>
      <c r="L304" s="175" t="s">
        <v>255</v>
      </c>
      <c r="M304" s="176">
        <f ca="1">IF($D304&lt;&gt;"Serviço","",IF(AUTOEVENTO="manual",$A304,IF(ISERROR(MATCH($A304,$A$15:OFFSET($A304,-1,0),0)),MAX($M$15:OFFSET(M304,-1,0))+1,INDEX($M$15:OFFSET(M304,-1,0),MATCH($A304,$A$15:OFFSET($A304,-1,0),0)))))</f>
        <v>13</v>
      </c>
      <c r="N304" s="177" t="str">
        <f ca="1">IF($D304&lt;&gt;"Serviço","",IF(AUTOEVENTO="Manual",IF($A304=0,"&lt;-- defina o número do agrupador",OFFSET(EVENTOS!$D$14,$A304,0)),OFFSET($F$15,$A304,0)))</f>
        <v>INSTALAÇÃO HIDRÁULICA</v>
      </c>
      <c r="O304" s="178"/>
      <c r="Q304" s="178"/>
      <c r="R304" s="179"/>
      <c r="S304" s="179"/>
      <c r="T304" s="179"/>
      <c r="U304" s="179"/>
      <c r="V304" s="179"/>
      <c r="W304" s="179"/>
      <c r="X304" s="179"/>
      <c r="Y304" s="179"/>
      <c r="Z304" s="180"/>
      <c r="AB304" s="544">
        <f ca="1">IF(AND($D304="Serviço",AB$12&lt;&gt;0,$H304&gt;0,OR(AUTOEVENTO&lt;&gt;"manual",$M304&lt;&gt;1)),
IF(Import.TipoArredondamento&lt;&gt;"TransfereGOV",
ROUND(OFFSET($P304,0,AB$13),15-13*ORÇAMENTO!$AF$7)/$H304*OFFSET(ORÇAMENTO!$X$15,ROW(AB304)-ROW(AB$15),0),
ROUND(ROUND(OFFSET($P304,0,AB$13),15-13*ORÇAMENTO!$AF$7)*OFFSET(ORÇAMENTO!$W$15,ROW(AB304)-ROW(AB$15),0),15-13*ORÇAMENTO!$AF$11)),0)</f>
        <v>0</v>
      </c>
      <c r="AC304" s="545">
        <f ca="1">IF(AND($D304="Serviço",AC$12&lt;&gt;0,$H304&gt;0,OR(AUTOEVENTO&lt;&gt;"manual",$M304&lt;&gt;1)),
IF(Import.TipoArredondamento&lt;&gt;"TransfereGOV",
ROUND(OFFSET($P304,0,AC$13),15-13*ORÇAMENTO!$AF$7)/$H304*OFFSET(ORÇAMENTO!$X$15,ROW(AC304)-ROW(AC$15),0),
ROUND(ROUND(OFFSET($P304,0,AC$13),15-13*ORÇAMENTO!$AF$7)*OFFSET(ORÇAMENTO!$W$15,ROW(AC304)-ROW(AC$15),0),15-13*ORÇAMENTO!$AF$11)),0)</f>
        <v>0</v>
      </c>
      <c r="AD304" s="545">
        <f ca="1">IF(AND($D304="Serviço",AD$12&lt;&gt;0,$H304&gt;0,OR(AUTOEVENTO&lt;&gt;"manual",$M304&lt;&gt;1)),
IF(Import.TipoArredondamento&lt;&gt;"TransfereGOV",
ROUND(OFFSET($P304,0,AD$13),15-13*ORÇAMENTO!$AF$7)/$H304*OFFSET(ORÇAMENTO!$X$15,ROW(AD304)-ROW(AD$15),0),
ROUND(ROUND(OFFSET($P304,0,AD$13),15-13*ORÇAMENTO!$AF$7)*OFFSET(ORÇAMENTO!$W$15,ROW(AD304)-ROW(AD$15),0),15-13*ORÇAMENTO!$AF$11)),0)</f>
        <v>0</v>
      </c>
      <c r="AE304" s="545">
        <f ca="1">IF(AND($D304="Serviço",AE$12&lt;&gt;0,$H304&gt;0,OR(AUTOEVENTO&lt;&gt;"manual",$M304&lt;&gt;1)),
IF(Import.TipoArredondamento&lt;&gt;"TransfereGOV",
ROUND(OFFSET($P304,0,AE$13),15-13*ORÇAMENTO!$AF$7)/$H304*OFFSET(ORÇAMENTO!$X$15,ROW(AE304)-ROW(AE$15),0),
ROUND(ROUND(OFFSET($P304,0,AE$13),15-13*ORÇAMENTO!$AF$7)*OFFSET(ORÇAMENTO!$W$15,ROW(AE304)-ROW(AE$15),0),15-13*ORÇAMENTO!$AF$11)),0)</f>
        <v>0</v>
      </c>
      <c r="AF304" s="545">
        <f ca="1">IF(AND($D304="Serviço",AF$12&lt;&gt;0,$H304&gt;0,OR(AUTOEVENTO&lt;&gt;"manual",$M304&lt;&gt;1)),
IF(Import.TipoArredondamento&lt;&gt;"TransfereGOV",
ROUND(OFFSET($P304,0,AF$13),15-13*ORÇAMENTO!$AF$7)/$H304*OFFSET(ORÇAMENTO!$X$15,ROW(AF304)-ROW(AF$15),0),
ROUND(ROUND(OFFSET($P304,0,AF$13),15-13*ORÇAMENTO!$AF$7)*OFFSET(ORÇAMENTO!$W$15,ROW(AF304)-ROW(AF$15),0),15-13*ORÇAMENTO!$AF$11)),0)</f>
        <v>0</v>
      </c>
      <c r="AG304" s="545">
        <f ca="1">IF(AND($D304="Serviço",AG$12&lt;&gt;0,$H304&gt;0,OR(AUTOEVENTO&lt;&gt;"manual",$M304&lt;&gt;1)),
IF(Import.TipoArredondamento&lt;&gt;"TransfereGOV",
ROUND(OFFSET($P304,0,AG$13),15-13*ORÇAMENTO!$AF$7)/$H304*OFFSET(ORÇAMENTO!$X$15,ROW(AG304)-ROW(AG$15),0),
ROUND(ROUND(OFFSET($P304,0,AG$13),15-13*ORÇAMENTO!$AF$7)*OFFSET(ORÇAMENTO!$W$15,ROW(AG304)-ROW(AG$15),0),15-13*ORÇAMENTO!$AF$11)),0)</f>
        <v>0</v>
      </c>
      <c r="AH304" s="545">
        <f ca="1">IF(AND($D304="Serviço",AH$12&lt;&gt;0,$H304&gt;0,OR(AUTOEVENTO&lt;&gt;"manual",$M304&lt;&gt;1)),
IF(Import.TipoArredondamento&lt;&gt;"TransfereGOV",
ROUND(OFFSET($P304,0,AH$13),15-13*ORÇAMENTO!$AF$7)/$H304*OFFSET(ORÇAMENTO!$X$15,ROW(AH304)-ROW(AH$15),0),
ROUND(ROUND(OFFSET($P304,0,AH$13),15-13*ORÇAMENTO!$AF$7)*OFFSET(ORÇAMENTO!$W$15,ROW(AH304)-ROW(AH$15),0),15-13*ORÇAMENTO!$AF$11)),0)</f>
        <v>0</v>
      </c>
      <c r="AI304" s="545">
        <f ca="1">IF(AND($D304="Serviço",AI$12&lt;&gt;0,$H304&gt;0,OR(AUTOEVENTO&lt;&gt;"manual",$M304&lt;&gt;1)),
IF(Import.TipoArredondamento&lt;&gt;"TransfereGOV",
ROUND(OFFSET($P304,0,AI$13),15-13*ORÇAMENTO!$AF$7)/$H304*OFFSET(ORÇAMENTO!$X$15,ROW(AI304)-ROW(AI$15),0),
ROUND(ROUND(OFFSET($P304,0,AI$13),15-13*ORÇAMENTO!$AF$7)*OFFSET(ORÇAMENTO!$W$15,ROW(AI304)-ROW(AI$15),0),15-13*ORÇAMENTO!$AF$11)),0)</f>
        <v>0</v>
      </c>
      <c r="AJ304" s="545">
        <f ca="1">IF(AND($D304="Serviço",AJ$12&lt;&gt;0,$H304&gt;0,OR(AUTOEVENTO&lt;&gt;"manual",$M304&lt;&gt;1)),
IF(Import.TipoArredondamento&lt;&gt;"TransfereGOV",
ROUND(OFFSET($P304,0,AJ$13),15-13*ORÇAMENTO!$AF$7)/$H304*OFFSET(ORÇAMENTO!$X$15,ROW(AJ304)-ROW(AJ$15),0),
ROUND(ROUND(OFFSET($P304,0,AJ$13),15-13*ORÇAMENTO!$AF$7)*OFFSET(ORÇAMENTO!$W$15,ROW(AJ304)-ROW(AJ$15),0),15-13*ORÇAMENTO!$AF$11)),0)</f>
        <v>0</v>
      </c>
      <c r="AK304" s="546">
        <f ca="1">IF(AND($D304="Serviço",AK$12&lt;&gt;0,$H304&gt;0,OR(AUTOEVENTO&lt;&gt;"manual",$M304&lt;&gt;1)),
IF(Import.TipoArredondamento&lt;&gt;"TransfereGOV",
ROUND(OFFSET($P304,0,AK$13),15-13*ORÇAMENTO!$AF$7)/$H304*OFFSET(ORÇAMENTO!$X$15,ROW(AK304)-ROW(AK$15),0),
ROUND(ROUND(OFFSET($P304,0,AK$13),15-13*ORÇAMENTO!$AF$7)*OFFSET(ORÇAMENTO!$W$15,ROW(AK304)-ROW(AK$15),0),15-13*ORÇAMENTO!$AF$11)),0)</f>
        <v>0</v>
      </c>
      <c r="AM304" s="181">
        <f ca="1">IF($D304&lt;&gt;"Serviço",0,IF(AND(AUTOEVENTO="Manual",$M304=1),0,IF(OFFSET(CRONOPLE!$F$14,$M304,AM$13)="",10^12,OFFSET(CRONOPLE!$F$14,$M304,AM$13))))</f>
        <v>1000000000000</v>
      </c>
      <c r="AN304" s="181">
        <f ca="1">IF($D304&lt;&gt;"Serviço",0,IF(AND(AUTOEVENTO="Manual",$M304=1),0,IF(OFFSET(CRONOPLE!$F$14,$M304,AN$13)="",10^12,OFFSET(CRONOPLE!$F$14,$M304,AN$13))))</f>
        <v>1000000000000</v>
      </c>
      <c r="AO304" s="181">
        <f ca="1">IF($D304&lt;&gt;"Serviço",0,IF(AND(AUTOEVENTO="Manual",$M304=1),0,IF(OFFSET(CRONOPLE!$F$14,$M304,AO$13)="",10^12,OFFSET(CRONOPLE!$F$14,$M304,AO$13))))</f>
        <v>1000000000000</v>
      </c>
      <c r="AP304" s="181">
        <f ca="1">IF($D304&lt;&gt;"Serviço",0,IF(AND(AUTOEVENTO="Manual",$M304=1),0,IF(OFFSET(CRONOPLE!$F$14,$M304,AP$13)="",10^12,OFFSET(CRONOPLE!$F$14,$M304,AP$13))))</f>
        <v>1000000000000</v>
      </c>
      <c r="AQ304" s="181">
        <f ca="1">IF($D304&lt;&gt;"Serviço",0,IF(AND(AUTOEVENTO="Manual",$M304=1),0,IF(OFFSET(CRONOPLE!$F$14,$M304,AQ$13)="",10^12,OFFSET(CRONOPLE!$F$14,$M304,AQ$13))))</f>
        <v>1000000000000</v>
      </c>
      <c r="AR304" s="181">
        <f ca="1">IF($D304&lt;&gt;"Serviço",0,IF(AND(AUTOEVENTO="Manual",$M304=1),0,IF(OFFSET(CRONOPLE!$F$14,$M304,AR$13)="",10^12,OFFSET(CRONOPLE!$F$14,$M304,AR$13))))</f>
        <v>1000000000000</v>
      </c>
      <c r="AS304" s="181">
        <f ca="1">IF($D304&lt;&gt;"Serviço",0,IF(AND(AUTOEVENTO="Manual",$M304=1),0,IF(OFFSET(CRONOPLE!$F$14,$M304,AS$13)="",10^12,OFFSET(CRONOPLE!$F$14,$M304,AS$13))))</f>
        <v>1000000000000</v>
      </c>
      <c r="AT304" s="181">
        <f ca="1">IF($D304&lt;&gt;"Serviço",0,IF(AND(AUTOEVENTO="Manual",$M304=1),0,IF(OFFSET(CRONOPLE!$F$14,$M304,AT$13)="",10^12,OFFSET(CRONOPLE!$F$14,$M304,AT$13))))</f>
        <v>1000000000000</v>
      </c>
      <c r="AU304" s="181">
        <f ca="1">IF($D304&lt;&gt;"Serviço",0,IF(AND(AUTOEVENTO="Manual",$M304=1),0,IF(OFFSET(CRONOPLE!$F$14,$M304,AU$13)="",10^12,OFFSET(CRONOPLE!$F$14,$M304,AU$13))))</f>
        <v>1000000000000</v>
      </c>
      <c r="AV304" s="181">
        <f ca="1">IF($D304&lt;&gt;"Serviço",0,IF(AND(AUTOEVENTO="Manual",$M304=1),0,IF(OFFSET(CRONOPLE!$F$14,$M304,AV$13)="",10^12,OFFSET(CRONOPLE!$F$14,$M304,AV$13))))</f>
        <v>1000000000000</v>
      </c>
      <c r="AX304" s="182">
        <f ca="1">IF($D304&lt;&gt;"Serviço",0,IF(OR(AND(AUTOEVENTO="Manual",$M304=1),$M304&gt;(ROW(PLE.lastrow)-ROW(PLE.firstrow))),0,IF(OFFSET(PLE!$G$14,$M304,AX$13)="",10^12,OFFSET(PLE!$G$14,$M304,AX$13))))</f>
        <v>1000000000000</v>
      </c>
      <c r="AY304" s="182">
        <f ca="1">IF($D304&lt;&gt;"Serviço",0,IF(OR(AND(AUTOEVENTO="Manual",$M304=1),$M304&gt;(ROW(PLE.lastrow)-ROW(PLE.firstrow))),0,IF(OFFSET(PLE!$G$14,$M304,AY$13)="",10^12,OFFSET(PLE!$G$14,$M304,AY$13))))</f>
        <v>1000000000000</v>
      </c>
      <c r="AZ304" s="182">
        <f ca="1">IF($D304&lt;&gt;"Serviço",0,IF(OR(AND(AUTOEVENTO="Manual",$M304=1),$M304&gt;(ROW(PLE.lastrow)-ROW(PLE.firstrow))),0,IF(OFFSET(PLE!$G$14,$M304,AZ$13)="",10^12,OFFSET(PLE!$G$14,$M304,AZ$13))))</f>
        <v>1000000000000</v>
      </c>
      <c r="BA304" s="182">
        <f ca="1">IF($D304&lt;&gt;"Serviço",0,IF(OR(AND(AUTOEVENTO="Manual",$M304=1),$M304&gt;(ROW(PLE.lastrow)-ROW(PLE.firstrow))),0,IF(OFFSET(PLE!$G$14,$M304,BA$13)="",10^12,OFFSET(PLE!$G$14,$M304,BA$13))))</f>
        <v>1000000000000</v>
      </c>
      <c r="BB304" s="182">
        <f ca="1">IF($D304&lt;&gt;"Serviço",0,IF(OR(AND(AUTOEVENTO="Manual",$M304=1),$M304&gt;(ROW(PLE.lastrow)-ROW(PLE.firstrow))),0,IF(OFFSET(PLE!$G$14,$M304,BB$13)="",10^12,OFFSET(PLE!$G$14,$M304,BB$13))))</f>
        <v>1000000000000</v>
      </c>
      <c r="BC304" s="182">
        <f ca="1">IF($D304&lt;&gt;"Serviço",0,IF(OR(AND(AUTOEVENTO="Manual",$M304=1),$M304&gt;(ROW(PLE.lastrow)-ROW(PLE.firstrow))),0,IF(OFFSET(PLE!$G$14,$M304,BC$13)="",10^12,OFFSET(PLE!$G$14,$M304,BC$13))))</f>
        <v>1000000000000</v>
      </c>
      <c r="BD304" s="182">
        <f ca="1">IF($D304&lt;&gt;"Serviço",0,IF(OR(AND(AUTOEVENTO="Manual",$M304=1),$M304&gt;(ROW(PLE.lastrow)-ROW(PLE.firstrow))),0,IF(OFFSET(PLE!$G$14,$M304,BD$13)="",10^12,OFFSET(PLE!$G$14,$M304,BD$13))))</f>
        <v>1000000000000</v>
      </c>
      <c r="BE304" s="182">
        <f ca="1">IF($D304&lt;&gt;"Serviço",0,IF(OR(AND(AUTOEVENTO="Manual",$M304=1),$M304&gt;(ROW(PLE.lastrow)-ROW(PLE.firstrow))),0,IF(OFFSET(PLE!$G$14,$M304,BE$13)="",10^12,OFFSET(PLE!$G$14,$M304,BE$13))))</f>
        <v>1000000000000</v>
      </c>
      <c r="BF304" s="182">
        <f ca="1">IF($D304&lt;&gt;"Serviço",0,IF(OR(AND(AUTOEVENTO="Manual",$M304=1),$M304&gt;(ROW(PLE.lastrow)-ROW(PLE.firstrow))),0,IF(OFFSET(PLE!$G$14,$M304,BF$13)="",10^12,OFFSET(PLE!$G$14,$M304,BF$13))))</f>
        <v>1000000000000</v>
      </c>
      <c r="BG304" s="182">
        <f ca="1">IF($D304&lt;&gt;"Serviço",0,IF(OR(AND(AUTOEVENTO="Manual",$M304=1),$M304&gt;(ROW(PLE.lastrow)-ROW(PLE.firstrow))),0,IF(OFFSET(PLE!$G$14,$M304,BG$13)="",10^12,OFFSET(PLE!$G$14,$M304,BG$13))))</f>
        <v>1000000000000</v>
      </c>
    </row>
    <row r="305" spans="1:59" ht="38.25" x14ac:dyDescent="0.2">
      <c r="A305" s="7" t="str">
        <f ca="1">IF(AUTOEVENTO="Manual",IF(K305&lt;&gt;"",MIN(VALUE(LEFT(K305,FIND(".",K305)-1)),COUNTA(EVENTOS.Lista)),0),IF(OR($B305&gt;AUTOEVENTO,$B305="S",$B305=0),SUBSTITUTE(OFFSET($A305,-1,0),IF($D305="Serviço",".",""),""),ROW(A305)-ROW($A$15)&amp;"."))</f>
        <v>251</v>
      </c>
      <c r="B305" s="7" t="str">
        <f ca="1">OFFSET(ORÇAMENTO!C$15,ROW(B305)-ROW(B$15),0)</f>
        <v>S</v>
      </c>
      <c r="C305" s="7" t="str">
        <f ca="1">OFFSET(ORÇAMENTO!L$15,ROW(C305)-ROW(C$15),0)</f>
        <v/>
      </c>
      <c r="D305" s="118" t="str">
        <f ca="1">OFFSET(ORÇAMENTO!N$15,ROW(D305)-ROW(D$15),0)</f>
        <v>Serviço</v>
      </c>
      <c r="E305" s="119" t="str">
        <f ca="1">OFFSET(ORÇAMENTO!O$15,ROW(E305)-ROW(E$15),0)</f>
        <v>-</v>
      </c>
      <c r="F305" s="172" t="str">
        <f ca="1">OFFSET(ORÇAMENTO!R$15,ROW(F305)-ROW(F$15),0)</f>
        <v>(abra o arquivo 'Referência 02-2025.xlsm)</v>
      </c>
      <c r="G305" s="173" t="str">
        <f ca="1">IF($D305&lt;&gt;"Serviço","",OFFSET(ORÇAMENTO!S$15,ROW(G305)-ROW(G$15),0))</f>
        <v>-</v>
      </c>
      <c r="H305" s="124">
        <f ca="1">IF($D305&lt;&gt;"Serviço",0,IF(ACOMPANHAMENTO="BM",ROUND(OFFSET(ORÇAMENTO!AJ$15,ROW(H305)-ROW(H$15),0),15-13*ORÇAMENTO!$AF$7),SUMPRODUCT(($Q$12:$AA$12&lt;&gt;"")*ROUND($Q305:$AA305,15-13*ORÇAMENTO!$AF$7))))</f>
        <v>4</v>
      </c>
      <c r="I305" s="561"/>
      <c r="K305" s="174"/>
      <c r="L305" s="175" t="s">
        <v>255</v>
      </c>
      <c r="M305" s="176">
        <f ca="1">IF($D305&lt;&gt;"Serviço","",IF(AUTOEVENTO="manual",$A305,IF(ISERROR(MATCH($A305,$A$15:OFFSET($A305,-1,0),0)),MAX($M$15:OFFSET(M305,-1,0))+1,INDEX($M$15:OFFSET(M305,-1,0),MATCH($A305,$A$15:OFFSET($A305,-1,0),0)))))</f>
        <v>13</v>
      </c>
      <c r="N305" s="177" t="str">
        <f ca="1">IF($D305&lt;&gt;"Serviço","",IF(AUTOEVENTO="Manual",IF($A305=0,"&lt;-- defina o número do agrupador",OFFSET(EVENTOS!$D$14,$A305,0)),OFFSET($F$15,$A305,0)))</f>
        <v>INSTALAÇÃO HIDRÁULICA</v>
      </c>
      <c r="O305" s="178"/>
      <c r="Q305" s="178"/>
      <c r="R305" s="179"/>
      <c r="S305" s="179"/>
      <c r="T305" s="179"/>
      <c r="U305" s="179"/>
      <c r="V305" s="179"/>
      <c r="W305" s="179"/>
      <c r="X305" s="179"/>
      <c r="Y305" s="179"/>
      <c r="Z305" s="180"/>
      <c r="AB305" s="544">
        <f ca="1">IF(AND($D305="Serviço",AB$12&lt;&gt;0,$H305&gt;0,OR(AUTOEVENTO&lt;&gt;"manual",$M305&lt;&gt;1)),
IF(Import.TipoArredondamento&lt;&gt;"TransfereGOV",
ROUND(OFFSET($P305,0,AB$13),15-13*ORÇAMENTO!$AF$7)/$H305*OFFSET(ORÇAMENTO!$X$15,ROW(AB305)-ROW(AB$15),0),
ROUND(ROUND(OFFSET($P305,0,AB$13),15-13*ORÇAMENTO!$AF$7)*OFFSET(ORÇAMENTO!$W$15,ROW(AB305)-ROW(AB$15),0),15-13*ORÇAMENTO!$AF$11)),0)</f>
        <v>0</v>
      </c>
      <c r="AC305" s="545">
        <f ca="1">IF(AND($D305="Serviço",AC$12&lt;&gt;0,$H305&gt;0,OR(AUTOEVENTO&lt;&gt;"manual",$M305&lt;&gt;1)),
IF(Import.TipoArredondamento&lt;&gt;"TransfereGOV",
ROUND(OFFSET($P305,0,AC$13),15-13*ORÇAMENTO!$AF$7)/$H305*OFFSET(ORÇAMENTO!$X$15,ROW(AC305)-ROW(AC$15),0),
ROUND(ROUND(OFFSET($P305,0,AC$13),15-13*ORÇAMENTO!$AF$7)*OFFSET(ORÇAMENTO!$W$15,ROW(AC305)-ROW(AC$15),0),15-13*ORÇAMENTO!$AF$11)),0)</f>
        <v>0</v>
      </c>
      <c r="AD305" s="545">
        <f ca="1">IF(AND($D305="Serviço",AD$12&lt;&gt;0,$H305&gt;0,OR(AUTOEVENTO&lt;&gt;"manual",$M305&lt;&gt;1)),
IF(Import.TipoArredondamento&lt;&gt;"TransfereGOV",
ROUND(OFFSET($P305,0,AD$13),15-13*ORÇAMENTO!$AF$7)/$H305*OFFSET(ORÇAMENTO!$X$15,ROW(AD305)-ROW(AD$15),0),
ROUND(ROUND(OFFSET($P305,0,AD$13),15-13*ORÇAMENTO!$AF$7)*OFFSET(ORÇAMENTO!$W$15,ROW(AD305)-ROW(AD$15),0),15-13*ORÇAMENTO!$AF$11)),0)</f>
        <v>0</v>
      </c>
      <c r="AE305" s="545">
        <f ca="1">IF(AND($D305="Serviço",AE$12&lt;&gt;0,$H305&gt;0,OR(AUTOEVENTO&lt;&gt;"manual",$M305&lt;&gt;1)),
IF(Import.TipoArredondamento&lt;&gt;"TransfereGOV",
ROUND(OFFSET($P305,0,AE$13),15-13*ORÇAMENTO!$AF$7)/$H305*OFFSET(ORÇAMENTO!$X$15,ROW(AE305)-ROW(AE$15),0),
ROUND(ROUND(OFFSET($P305,0,AE$13),15-13*ORÇAMENTO!$AF$7)*OFFSET(ORÇAMENTO!$W$15,ROW(AE305)-ROW(AE$15),0),15-13*ORÇAMENTO!$AF$11)),0)</f>
        <v>0</v>
      </c>
      <c r="AF305" s="545">
        <f ca="1">IF(AND($D305="Serviço",AF$12&lt;&gt;0,$H305&gt;0,OR(AUTOEVENTO&lt;&gt;"manual",$M305&lt;&gt;1)),
IF(Import.TipoArredondamento&lt;&gt;"TransfereGOV",
ROUND(OFFSET($P305,0,AF$13),15-13*ORÇAMENTO!$AF$7)/$H305*OFFSET(ORÇAMENTO!$X$15,ROW(AF305)-ROW(AF$15),0),
ROUND(ROUND(OFFSET($P305,0,AF$13),15-13*ORÇAMENTO!$AF$7)*OFFSET(ORÇAMENTO!$W$15,ROW(AF305)-ROW(AF$15),0),15-13*ORÇAMENTO!$AF$11)),0)</f>
        <v>0</v>
      </c>
      <c r="AG305" s="545">
        <f ca="1">IF(AND($D305="Serviço",AG$12&lt;&gt;0,$H305&gt;0,OR(AUTOEVENTO&lt;&gt;"manual",$M305&lt;&gt;1)),
IF(Import.TipoArredondamento&lt;&gt;"TransfereGOV",
ROUND(OFFSET($P305,0,AG$13),15-13*ORÇAMENTO!$AF$7)/$H305*OFFSET(ORÇAMENTO!$X$15,ROW(AG305)-ROW(AG$15),0),
ROUND(ROUND(OFFSET($P305,0,AG$13),15-13*ORÇAMENTO!$AF$7)*OFFSET(ORÇAMENTO!$W$15,ROW(AG305)-ROW(AG$15),0),15-13*ORÇAMENTO!$AF$11)),0)</f>
        <v>0</v>
      </c>
      <c r="AH305" s="545">
        <f ca="1">IF(AND($D305="Serviço",AH$12&lt;&gt;0,$H305&gt;0,OR(AUTOEVENTO&lt;&gt;"manual",$M305&lt;&gt;1)),
IF(Import.TipoArredondamento&lt;&gt;"TransfereGOV",
ROUND(OFFSET($P305,0,AH$13),15-13*ORÇAMENTO!$AF$7)/$H305*OFFSET(ORÇAMENTO!$X$15,ROW(AH305)-ROW(AH$15),0),
ROUND(ROUND(OFFSET($P305,0,AH$13),15-13*ORÇAMENTO!$AF$7)*OFFSET(ORÇAMENTO!$W$15,ROW(AH305)-ROW(AH$15),0),15-13*ORÇAMENTO!$AF$11)),0)</f>
        <v>0</v>
      </c>
      <c r="AI305" s="545">
        <f ca="1">IF(AND($D305="Serviço",AI$12&lt;&gt;0,$H305&gt;0,OR(AUTOEVENTO&lt;&gt;"manual",$M305&lt;&gt;1)),
IF(Import.TipoArredondamento&lt;&gt;"TransfereGOV",
ROUND(OFFSET($P305,0,AI$13),15-13*ORÇAMENTO!$AF$7)/$H305*OFFSET(ORÇAMENTO!$X$15,ROW(AI305)-ROW(AI$15),0),
ROUND(ROUND(OFFSET($P305,0,AI$13),15-13*ORÇAMENTO!$AF$7)*OFFSET(ORÇAMENTO!$W$15,ROW(AI305)-ROW(AI$15),0),15-13*ORÇAMENTO!$AF$11)),0)</f>
        <v>0</v>
      </c>
      <c r="AJ305" s="545">
        <f ca="1">IF(AND($D305="Serviço",AJ$12&lt;&gt;0,$H305&gt;0,OR(AUTOEVENTO&lt;&gt;"manual",$M305&lt;&gt;1)),
IF(Import.TipoArredondamento&lt;&gt;"TransfereGOV",
ROUND(OFFSET($P305,0,AJ$13),15-13*ORÇAMENTO!$AF$7)/$H305*OFFSET(ORÇAMENTO!$X$15,ROW(AJ305)-ROW(AJ$15),0),
ROUND(ROUND(OFFSET($P305,0,AJ$13),15-13*ORÇAMENTO!$AF$7)*OFFSET(ORÇAMENTO!$W$15,ROW(AJ305)-ROW(AJ$15),0),15-13*ORÇAMENTO!$AF$11)),0)</f>
        <v>0</v>
      </c>
      <c r="AK305" s="546">
        <f ca="1">IF(AND($D305="Serviço",AK$12&lt;&gt;0,$H305&gt;0,OR(AUTOEVENTO&lt;&gt;"manual",$M305&lt;&gt;1)),
IF(Import.TipoArredondamento&lt;&gt;"TransfereGOV",
ROUND(OFFSET($P305,0,AK$13),15-13*ORÇAMENTO!$AF$7)/$H305*OFFSET(ORÇAMENTO!$X$15,ROW(AK305)-ROW(AK$15),0),
ROUND(ROUND(OFFSET($P305,0,AK$13),15-13*ORÇAMENTO!$AF$7)*OFFSET(ORÇAMENTO!$W$15,ROW(AK305)-ROW(AK$15),0),15-13*ORÇAMENTO!$AF$11)),0)</f>
        <v>0</v>
      </c>
      <c r="AM305" s="181">
        <f ca="1">IF($D305&lt;&gt;"Serviço",0,IF(AND(AUTOEVENTO="Manual",$M305=1),0,IF(OFFSET(CRONOPLE!$F$14,$M305,AM$13)="",10^12,OFFSET(CRONOPLE!$F$14,$M305,AM$13))))</f>
        <v>1000000000000</v>
      </c>
      <c r="AN305" s="181">
        <f ca="1">IF($D305&lt;&gt;"Serviço",0,IF(AND(AUTOEVENTO="Manual",$M305=1),0,IF(OFFSET(CRONOPLE!$F$14,$M305,AN$13)="",10^12,OFFSET(CRONOPLE!$F$14,$M305,AN$13))))</f>
        <v>1000000000000</v>
      </c>
      <c r="AO305" s="181">
        <f ca="1">IF($D305&lt;&gt;"Serviço",0,IF(AND(AUTOEVENTO="Manual",$M305=1),0,IF(OFFSET(CRONOPLE!$F$14,$M305,AO$13)="",10^12,OFFSET(CRONOPLE!$F$14,$M305,AO$13))))</f>
        <v>1000000000000</v>
      </c>
      <c r="AP305" s="181">
        <f ca="1">IF($D305&lt;&gt;"Serviço",0,IF(AND(AUTOEVENTO="Manual",$M305=1),0,IF(OFFSET(CRONOPLE!$F$14,$M305,AP$13)="",10^12,OFFSET(CRONOPLE!$F$14,$M305,AP$13))))</f>
        <v>1000000000000</v>
      </c>
      <c r="AQ305" s="181">
        <f ca="1">IF($D305&lt;&gt;"Serviço",0,IF(AND(AUTOEVENTO="Manual",$M305=1),0,IF(OFFSET(CRONOPLE!$F$14,$M305,AQ$13)="",10^12,OFFSET(CRONOPLE!$F$14,$M305,AQ$13))))</f>
        <v>1000000000000</v>
      </c>
      <c r="AR305" s="181">
        <f ca="1">IF($D305&lt;&gt;"Serviço",0,IF(AND(AUTOEVENTO="Manual",$M305=1),0,IF(OFFSET(CRONOPLE!$F$14,$M305,AR$13)="",10^12,OFFSET(CRONOPLE!$F$14,$M305,AR$13))))</f>
        <v>1000000000000</v>
      </c>
      <c r="AS305" s="181">
        <f ca="1">IF($D305&lt;&gt;"Serviço",0,IF(AND(AUTOEVENTO="Manual",$M305=1),0,IF(OFFSET(CRONOPLE!$F$14,$M305,AS$13)="",10^12,OFFSET(CRONOPLE!$F$14,$M305,AS$13))))</f>
        <v>1000000000000</v>
      </c>
      <c r="AT305" s="181">
        <f ca="1">IF($D305&lt;&gt;"Serviço",0,IF(AND(AUTOEVENTO="Manual",$M305=1),0,IF(OFFSET(CRONOPLE!$F$14,$M305,AT$13)="",10^12,OFFSET(CRONOPLE!$F$14,$M305,AT$13))))</f>
        <v>1000000000000</v>
      </c>
      <c r="AU305" s="181">
        <f ca="1">IF($D305&lt;&gt;"Serviço",0,IF(AND(AUTOEVENTO="Manual",$M305=1),0,IF(OFFSET(CRONOPLE!$F$14,$M305,AU$13)="",10^12,OFFSET(CRONOPLE!$F$14,$M305,AU$13))))</f>
        <v>1000000000000</v>
      </c>
      <c r="AV305" s="181">
        <f ca="1">IF($D305&lt;&gt;"Serviço",0,IF(AND(AUTOEVENTO="Manual",$M305=1),0,IF(OFFSET(CRONOPLE!$F$14,$M305,AV$13)="",10^12,OFFSET(CRONOPLE!$F$14,$M305,AV$13))))</f>
        <v>1000000000000</v>
      </c>
      <c r="AX305" s="182">
        <f ca="1">IF($D305&lt;&gt;"Serviço",0,IF(OR(AND(AUTOEVENTO="Manual",$M305=1),$M305&gt;(ROW(PLE.lastrow)-ROW(PLE.firstrow))),0,IF(OFFSET(PLE!$G$14,$M305,AX$13)="",10^12,OFFSET(PLE!$G$14,$M305,AX$13))))</f>
        <v>1000000000000</v>
      </c>
      <c r="AY305" s="182">
        <f ca="1">IF($D305&lt;&gt;"Serviço",0,IF(OR(AND(AUTOEVENTO="Manual",$M305=1),$M305&gt;(ROW(PLE.lastrow)-ROW(PLE.firstrow))),0,IF(OFFSET(PLE!$G$14,$M305,AY$13)="",10^12,OFFSET(PLE!$G$14,$M305,AY$13))))</f>
        <v>1000000000000</v>
      </c>
      <c r="AZ305" s="182">
        <f ca="1">IF($D305&lt;&gt;"Serviço",0,IF(OR(AND(AUTOEVENTO="Manual",$M305=1),$M305&gt;(ROW(PLE.lastrow)-ROW(PLE.firstrow))),0,IF(OFFSET(PLE!$G$14,$M305,AZ$13)="",10^12,OFFSET(PLE!$G$14,$M305,AZ$13))))</f>
        <v>1000000000000</v>
      </c>
      <c r="BA305" s="182">
        <f ca="1">IF($D305&lt;&gt;"Serviço",0,IF(OR(AND(AUTOEVENTO="Manual",$M305=1),$M305&gt;(ROW(PLE.lastrow)-ROW(PLE.firstrow))),0,IF(OFFSET(PLE!$G$14,$M305,BA$13)="",10^12,OFFSET(PLE!$G$14,$M305,BA$13))))</f>
        <v>1000000000000</v>
      </c>
      <c r="BB305" s="182">
        <f ca="1">IF($D305&lt;&gt;"Serviço",0,IF(OR(AND(AUTOEVENTO="Manual",$M305=1),$M305&gt;(ROW(PLE.lastrow)-ROW(PLE.firstrow))),0,IF(OFFSET(PLE!$G$14,$M305,BB$13)="",10^12,OFFSET(PLE!$G$14,$M305,BB$13))))</f>
        <v>1000000000000</v>
      </c>
      <c r="BC305" s="182">
        <f ca="1">IF($D305&lt;&gt;"Serviço",0,IF(OR(AND(AUTOEVENTO="Manual",$M305=1),$M305&gt;(ROW(PLE.lastrow)-ROW(PLE.firstrow))),0,IF(OFFSET(PLE!$G$14,$M305,BC$13)="",10^12,OFFSET(PLE!$G$14,$M305,BC$13))))</f>
        <v>1000000000000</v>
      </c>
      <c r="BD305" s="182">
        <f ca="1">IF($D305&lt;&gt;"Serviço",0,IF(OR(AND(AUTOEVENTO="Manual",$M305=1),$M305&gt;(ROW(PLE.lastrow)-ROW(PLE.firstrow))),0,IF(OFFSET(PLE!$G$14,$M305,BD$13)="",10^12,OFFSET(PLE!$G$14,$M305,BD$13))))</f>
        <v>1000000000000</v>
      </c>
      <c r="BE305" s="182">
        <f ca="1">IF($D305&lt;&gt;"Serviço",0,IF(OR(AND(AUTOEVENTO="Manual",$M305=1),$M305&gt;(ROW(PLE.lastrow)-ROW(PLE.firstrow))),0,IF(OFFSET(PLE!$G$14,$M305,BE$13)="",10^12,OFFSET(PLE!$G$14,$M305,BE$13))))</f>
        <v>1000000000000</v>
      </c>
      <c r="BF305" s="182">
        <f ca="1">IF($D305&lt;&gt;"Serviço",0,IF(OR(AND(AUTOEVENTO="Manual",$M305=1),$M305&gt;(ROW(PLE.lastrow)-ROW(PLE.firstrow))),0,IF(OFFSET(PLE!$G$14,$M305,BF$13)="",10^12,OFFSET(PLE!$G$14,$M305,BF$13))))</f>
        <v>1000000000000</v>
      </c>
      <c r="BG305" s="182">
        <f ca="1">IF($D305&lt;&gt;"Serviço",0,IF(OR(AND(AUTOEVENTO="Manual",$M305=1),$M305&gt;(ROW(PLE.lastrow)-ROW(PLE.firstrow))),0,IF(OFFSET(PLE!$G$14,$M305,BG$13)="",10^12,OFFSET(PLE!$G$14,$M305,BG$13))))</f>
        <v>1000000000000</v>
      </c>
    </row>
    <row r="306" spans="1:59" ht="12.75" x14ac:dyDescent="0.2">
      <c r="A306" s="7" t="str">
        <f t="shared" ca="1" si="11"/>
        <v>251</v>
      </c>
      <c r="B306" s="7">
        <f ca="1">OFFSET(ORÇAMENTO!C$15,ROW(B306)-ROW(B$15),0)</f>
        <v>3</v>
      </c>
      <c r="C306" s="7" t="str">
        <f ca="1">OFFSET(ORÇAMENTO!L$15,ROW(C306)-ROW(C$15),0)</f>
        <v>F</v>
      </c>
      <c r="D306" s="118" t="str">
        <f ca="1">OFFSET(ORÇAMENTO!N$15,ROW(D306)-ROW(D$15),0)</f>
        <v>Nível 3</v>
      </c>
      <c r="E306" s="119" t="str">
        <f ca="1">OFFSET(ORÇAMENTO!O$15,ROW(E306)-ROW(E$15),0)</f>
        <v>1.12.2.</v>
      </c>
      <c r="F306" s="172" t="str">
        <f ca="1">OFFSET(ORÇAMENTO!R$15,ROW(F306)-ROW(F$15),0)</f>
        <v>TUBULAÇÕES E CONEXÕES - METAIS</v>
      </c>
      <c r="G306" s="173" t="str">
        <f ca="1">IF($D306&lt;&gt;"Serviço","",OFFSET(ORÇAMENTO!S$15,ROW(G306)-ROW(G$15),0))</f>
        <v/>
      </c>
      <c r="H306" s="124">
        <f ca="1">IF($D306&lt;&gt;"Serviço",0,IF(ACOMPANHAMENTO="BM",ROUND(OFFSET(ORÇAMENTO!AJ$15,ROW(H306)-ROW(H$15),0),15-13*ORÇAMENTO!$AF$7),SUMPRODUCT(($Q$12:$AA$12&lt;&gt;"")*ROUND($Q306:$AA306,15-13*ORÇAMENTO!$AF$7))))</f>
        <v>0</v>
      </c>
      <c r="I306" s="561"/>
      <c r="K306" s="174"/>
      <c r="L306" s="175" t="s">
        <v>255</v>
      </c>
      <c r="M306" s="176" t="str">
        <f ca="1">IF($D306&lt;&gt;"Serviço","",IF(AUTOEVENTO="manual",$A306,IF(ISERROR(MATCH($A306,$A$15:OFFSET($A306,-1,0),0)),MAX($M$15:OFFSET(M306,-1,0))+1,INDEX($M$15:OFFSET(M306,-1,0),MATCH($A306,$A$15:OFFSET($A306,-1,0),0)))))</f>
        <v/>
      </c>
      <c r="N306" s="177" t="str">
        <f ca="1">IF($D306&lt;&gt;"Serviço","",IF(AUTOEVENTO="Manual",IF($A306=0,"&lt;-- defina o número do agrupador",OFFSET(EVENTOS!$D$14,$A306,0)),OFFSET($F$15,$A306,0)))</f>
        <v/>
      </c>
      <c r="O306" s="178"/>
      <c r="Q306" s="178"/>
      <c r="R306" s="179"/>
      <c r="S306" s="179"/>
      <c r="T306" s="179"/>
      <c r="U306" s="179"/>
      <c r="V306" s="179"/>
      <c r="W306" s="179"/>
      <c r="X306" s="179"/>
      <c r="Y306" s="179"/>
      <c r="Z306" s="180"/>
      <c r="AB306" s="544">
        <f ca="1">IF(AND($D306="Serviço",AB$12&lt;&gt;0,$H306&gt;0,OR(AUTOEVENTO&lt;&gt;"manual",$M306&lt;&gt;1)),
IF(Import.TipoArredondamento&lt;&gt;"TransfereGOV",
ROUND(OFFSET($P306,0,AB$13),15-13*ORÇAMENTO!$AF$7)/$H306*OFFSET(ORÇAMENTO!$X$15,ROW(AB306)-ROW(AB$15),0),
ROUND(ROUND(OFFSET($P306,0,AB$13),15-13*ORÇAMENTO!$AF$7)*OFFSET(ORÇAMENTO!$W$15,ROW(AB306)-ROW(AB$15),0),15-13*ORÇAMENTO!$AF$11)),0)</f>
        <v>0</v>
      </c>
      <c r="AC306" s="545">
        <f ca="1">IF(AND($D306="Serviço",AC$12&lt;&gt;0,$H306&gt;0,OR(AUTOEVENTO&lt;&gt;"manual",$M306&lt;&gt;1)),
IF(Import.TipoArredondamento&lt;&gt;"TransfereGOV",
ROUND(OFFSET($P306,0,AC$13),15-13*ORÇAMENTO!$AF$7)/$H306*OFFSET(ORÇAMENTO!$X$15,ROW(AC306)-ROW(AC$15),0),
ROUND(ROUND(OFFSET($P306,0,AC$13),15-13*ORÇAMENTO!$AF$7)*OFFSET(ORÇAMENTO!$W$15,ROW(AC306)-ROW(AC$15),0),15-13*ORÇAMENTO!$AF$11)),0)</f>
        <v>0</v>
      </c>
      <c r="AD306" s="545">
        <f ca="1">IF(AND($D306="Serviço",AD$12&lt;&gt;0,$H306&gt;0,OR(AUTOEVENTO&lt;&gt;"manual",$M306&lt;&gt;1)),
IF(Import.TipoArredondamento&lt;&gt;"TransfereGOV",
ROUND(OFFSET($P306,0,AD$13),15-13*ORÇAMENTO!$AF$7)/$H306*OFFSET(ORÇAMENTO!$X$15,ROW(AD306)-ROW(AD$15),0),
ROUND(ROUND(OFFSET($P306,0,AD$13),15-13*ORÇAMENTO!$AF$7)*OFFSET(ORÇAMENTO!$W$15,ROW(AD306)-ROW(AD$15),0),15-13*ORÇAMENTO!$AF$11)),0)</f>
        <v>0</v>
      </c>
      <c r="AE306" s="545">
        <f ca="1">IF(AND($D306="Serviço",AE$12&lt;&gt;0,$H306&gt;0,OR(AUTOEVENTO&lt;&gt;"manual",$M306&lt;&gt;1)),
IF(Import.TipoArredondamento&lt;&gt;"TransfereGOV",
ROUND(OFFSET($P306,0,AE$13),15-13*ORÇAMENTO!$AF$7)/$H306*OFFSET(ORÇAMENTO!$X$15,ROW(AE306)-ROW(AE$15),0),
ROUND(ROUND(OFFSET($P306,0,AE$13),15-13*ORÇAMENTO!$AF$7)*OFFSET(ORÇAMENTO!$W$15,ROW(AE306)-ROW(AE$15),0),15-13*ORÇAMENTO!$AF$11)),0)</f>
        <v>0</v>
      </c>
      <c r="AF306" s="545">
        <f ca="1">IF(AND($D306="Serviço",AF$12&lt;&gt;0,$H306&gt;0,OR(AUTOEVENTO&lt;&gt;"manual",$M306&lt;&gt;1)),
IF(Import.TipoArredondamento&lt;&gt;"TransfereGOV",
ROUND(OFFSET($P306,0,AF$13),15-13*ORÇAMENTO!$AF$7)/$H306*OFFSET(ORÇAMENTO!$X$15,ROW(AF306)-ROW(AF$15),0),
ROUND(ROUND(OFFSET($P306,0,AF$13),15-13*ORÇAMENTO!$AF$7)*OFFSET(ORÇAMENTO!$W$15,ROW(AF306)-ROW(AF$15),0),15-13*ORÇAMENTO!$AF$11)),0)</f>
        <v>0</v>
      </c>
      <c r="AG306" s="545">
        <f ca="1">IF(AND($D306="Serviço",AG$12&lt;&gt;0,$H306&gt;0,OR(AUTOEVENTO&lt;&gt;"manual",$M306&lt;&gt;1)),
IF(Import.TipoArredondamento&lt;&gt;"TransfereGOV",
ROUND(OFFSET($P306,0,AG$13),15-13*ORÇAMENTO!$AF$7)/$H306*OFFSET(ORÇAMENTO!$X$15,ROW(AG306)-ROW(AG$15),0),
ROUND(ROUND(OFFSET($P306,0,AG$13),15-13*ORÇAMENTO!$AF$7)*OFFSET(ORÇAMENTO!$W$15,ROW(AG306)-ROW(AG$15),0),15-13*ORÇAMENTO!$AF$11)),0)</f>
        <v>0</v>
      </c>
      <c r="AH306" s="545">
        <f ca="1">IF(AND($D306="Serviço",AH$12&lt;&gt;0,$H306&gt;0,OR(AUTOEVENTO&lt;&gt;"manual",$M306&lt;&gt;1)),
IF(Import.TipoArredondamento&lt;&gt;"TransfereGOV",
ROUND(OFFSET($P306,0,AH$13),15-13*ORÇAMENTO!$AF$7)/$H306*OFFSET(ORÇAMENTO!$X$15,ROW(AH306)-ROW(AH$15),0),
ROUND(ROUND(OFFSET($P306,0,AH$13),15-13*ORÇAMENTO!$AF$7)*OFFSET(ORÇAMENTO!$W$15,ROW(AH306)-ROW(AH$15),0),15-13*ORÇAMENTO!$AF$11)),0)</f>
        <v>0</v>
      </c>
      <c r="AI306" s="545">
        <f ca="1">IF(AND($D306="Serviço",AI$12&lt;&gt;0,$H306&gt;0,OR(AUTOEVENTO&lt;&gt;"manual",$M306&lt;&gt;1)),
IF(Import.TipoArredondamento&lt;&gt;"TransfereGOV",
ROUND(OFFSET($P306,0,AI$13),15-13*ORÇAMENTO!$AF$7)/$H306*OFFSET(ORÇAMENTO!$X$15,ROW(AI306)-ROW(AI$15),0),
ROUND(ROUND(OFFSET($P306,0,AI$13),15-13*ORÇAMENTO!$AF$7)*OFFSET(ORÇAMENTO!$W$15,ROW(AI306)-ROW(AI$15),0),15-13*ORÇAMENTO!$AF$11)),0)</f>
        <v>0</v>
      </c>
      <c r="AJ306" s="545">
        <f ca="1">IF(AND($D306="Serviço",AJ$12&lt;&gt;0,$H306&gt;0,OR(AUTOEVENTO&lt;&gt;"manual",$M306&lt;&gt;1)),
IF(Import.TipoArredondamento&lt;&gt;"TransfereGOV",
ROUND(OFFSET($P306,0,AJ$13),15-13*ORÇAMENTO!$AF$7)/$H306*OFFSET(ORÇAMENTO!$X$15,ROW(AJ306)-ROW(AJ$15),0),
ROUND(ROUND(OFFSET($P306,0,AJ$13),15-13*ORÇAMENTO!$AF$7)*OFFSET(ORÇAMENTO!$W$15,ROW(AJ306)-ROW(AJ$15),0),15-13*ORÇAMENTO!$AF$11)),0)</f>
        <v>0</v>
      </c>
      <c r="AK306" s="546">
        <f ca="1">IF(AND($D306="Serviço",AK$12&lt;&gt;0,$H306&gt;0,OR(AUTOEVENTO&lt;&gt;"manual",$M306&lt;&gt;1)),
IF(Import.TipoArredondamento&lt;&gt;"TransfereGOV",
ROUND(OFFSET($P306,0,AK$13),15-13*ORÇAMENTO!$AF$7)/$H306*OFFSET(ORÇAMENTO!$X$15,ROW(AK306)-ROW(AK$15),0),
ROUND(ROUND(OFFSET($P306,0,AK$13),15-13*ORÇAMENTO!$AF$7)*OFFSET(ORÇAMENTO!$W$15,ROW(AK306)-ROW(AK$15),0),15-13*ORÇAMENTO!$AF$11)),0)</f>
        <v>0</v>
      </c>
      <c r="AM306" s="181">
        <f ca="1">IF($D306&lt;&gt;"Serviço",0,IF(AND(AUTOEVENTO="Manual",$M306=1),0,IF(OFFSET(CRONOPLE!$F$14,$M306,AM$13)="",10^12,OFFSET(CRONOPLE!$F$14,$M306,AM$13))))</f>
        <v>0</v>
      </c>
      <c r="AN306" s="181">
        <f ca="1">IF($D306&lt;&gt;"Serviço",0,IF(AND(AUTOEVENTO="Manual",$M306=1),0,IF(OFFSET(CRONOPLE!$F$14,$M306,AN$13)="",10^12,OFFSET(CRONOPLE!$F$14,$M306,AN$13))))</f>
        <v>0</v>
      </c>
      <c r="AO306" s="181">
        <f ca="1">IF($D306&lt;&gt;"Serviço",0,IF(AND(AUTOEVENTO="Manual",$M306=1),0,IF(OFFSET(CRONOPLE!$F$14,$M306,AO$13)="",10^12,OFFSET(CRONOPLE!$F$14,$M306,AO$13))))</f>
        <v>0</v>
      </c>
      <c r="AP306" s="181">
        <f ca="1">IF($D306&lt;&gt;"Serviço",0,IF(AND(AUTOEVENTO="Manual",$M306=1),0,IF(OFFSET(CRONOPLE!$F$14,$M306,AP$13)="",10^12,OFFSET(CRONOPLE!$F$14,$M306,AP$13))))</f>
        <v>0</v>
      </c>
      <c r="AQ306" s="181">
        <f ca="1">IF($D306&lt;&gt;"Serviço",0,IF(AND(AUTOEVENTO="Manual",$M306=1),0,IF(OFFSET(CRONOPLE!$F$14,$M306,AQ$13)="",10^12,OFFSET(CRONOPLE!$F$14,$M306,AQ$13))))</f>
        <v>0</v>
      </c>
      <c r="AR306" s="181">
        <f ca="1">IF($D306&lt;&gt;"Serviço",0,IF(AND(AUTOEVENTO="Manual",$M306=1),0,IF(OFFSET(CRONOPLE!$F$14,$M306,AR$13)="",10^12,OFFSET(CRONOPLE!$F$14,$M306,AR$13))))</f>
        <v>0</v>
      </c>
      <c r="AS306" s="181">
        <f ca="1">IF($D306&lt;&gt;"Serviço",0,IF(AND(AUTOEVENTO="Manual",$M306=1),0,IF(OFFSET(CRONOPLE!$F$14,$M306,AS$13)="",10^12,OFFSET(CRONOPLE!$F$14,$M306,AS$13))))</f>
        <v>0</v>
      </c>
      <c r="AT306" s="181">
        <f ca="1">IF($D306&lt;&gt;"Serviço",0,IF(AND(AUTOEVENTO="Manual",$M306=1),0,IF(OFFSET(CRONOPLE!$F$14,$M306,AT$13)="",10^12,OFFSET(CRONOPLE!$F$14,$M306,AT$13))))</f>
        <v>0</v>
      </c>
      <c r="AU306" s="181">
        <f ca="1">IF($D306&lt;&gt;"Serviço",0,IF(AND(AUTOEVENTO="Manual",$M306=1),0,IF(OFFSET(CRONOPLE!$F$14,$M306,AU$13)="",10^12,OFFSET(CRONOPLE!$F$14,$M306,AU$13))))</f>
        <v>0</v>
      </c>
      <c r="AV306" s="181">
        <f ca="1">IF($D306&lt;&gt;"Serviço",0,IF(AND(AUTOEVENTO="Manual",$M306=1),0,IF(OFFSET(CRONOPLE!$F$14,$M306,AV$13)="",10^12,OFFSET(CRONOPLE!$F$14,$M306,AV$13))))</f>
        <v>0</v>
      </c>
      <c r="AX306" s="182">
        <f ca="1">IF($D306&lt;&gt;"Serviço",0,IF(OR(AND(AUTOEVENTO="Manual",$M306=1),$M306&gt;(ROW(PLE.lastrow)-ROW(PLE.firstrow))),0,IF(OFFSET(PLE!$G$14,$M306,AX$13)="",10^12,OFFSET(PLE!$G$14,$M306,AX$13))))</f>
        <v>0</v>
      </c>
      <c r="AY306" s="182">
        <f ca="1">IF($D306&lt;&gt;"Serviço",0,IF(OR(AND(AUTOEVENTO="Manual",$M306=1),$M306&gt;(ROW(PLE.lastrow)-ROW(PLE.firstrow))),0,IF(OFFSET(PLE!$G$14,$M306,AY$13)="",10^12,OFFSET(PLE!$G$14,$M306,AY$13))))</f>
        <v>0</v>
      </c>
      <c r="AZ306" s="182">
        <f ca="1">IF($D306&lt;&gt;"Serviço",0,IF(OR(AND(AUTOEVENTO="Manual",$M306=1),$M306&gt;(ROW(PLE.lastrow)-ROW(PLE.firstrow))),0,IF(OFFSET(PLE!$G$14,$M306,AZ$13)="",10^12,OFFSET(PLE!$G$14,$M306,AZ$13))))</f>
        <v>0</v>
      </c>
      <c r="BA306" s="182">
        <f ca="1">IF($D306&lt;&gt;"Serviço",0,IF(OR(AND(AUTOEVENTO="Manual",$M306=1),$M306&gt;(ROW(PLE.lastrow)-ROW(PLE.firstrow))),0,IF(OFFSET(PLE!$G$14,$M306,BA$13)="",10^12,OFFSET(PLE!$G$14,$M306,BA$13))))</f>
        <v>0</v>
      </c>
      <c r="BB306" s="182">
        <f ca="1">IF($D306&lt;&gt;"Serviço",0,IF(OR(AND(AUTOEVENTO="Manual",$M306=1),$M306&gt;(ROW(PLE.lastrow)-ROW(PLE.firstrow))),0,IF(OFFSET(PLE!$G$14,$M306,BB$13)="",10^12,OFFSET(PLE!$G$14,$M306,BB$13))))</f>
        <v>0</v>
      </c>
      <c r="BC306" s="182">
        <f ca="1">IF($D306&lt;&gt;"Serviço",0,IF(OR(AND(AUTOEVENTO="Manual",$M306=1),$M306&gt;(ROW(PLE.lastrow)-ROW(PLE.firstrow))),0,IF(OFFSET(PLE!$G$14,$M306,BC$13)="",10^12,OFFSET(PLE!$G$14,$M306,BC$13))))</f>
        <v>0</v>
      </c>
      <c r="BD306" s="182">
        <f ca="1">IF($D306&lt;&gt;"Serviço",0,IF(OR(AND(AUTOEVENTO="Manual",$M306=1),$M306&gt;(ROW(PLE.lastrow)-ROW(PLE.firstrow))),0,IF(OFFSET(PLE!$G$14,$M306,BD$13)="",10^12,OFFSET(PLE!$G$14,$M306,BD$13))))</f>
        <v>0</v>
      </c>
      <c r="BE306" s="182">
        <f ca="1">IF($D306&lt;&gt;"Serviço",0,IF(OR(AND(AUTOEVENTO="Manual",$M306=1),$M306&gt;(ROW(PLE.lastrow)-ROW(PLE.firstrow))),0,IF(OFFSET(PLE!$G$14,$M306,BE$13)="",10^12,OFFSET(PLE!$G$14,$M306,BE$13))))</f>
        <v>0</v>
      </c>
      <c r="BF306" s="182">
        <f ca="1">IF($D306&lt;&gt;"Serviço",0,IF(OR(AND(AUTOEVENTO="Manual",$M306=1),$M306&gt;(ROW(PLE.lastrow)-ROW(PLE.firstrow))),0,IF(OFFSET(PLE!$G$14,$M306,BF$13)="",10^12,OFFSET(PLE!$G$14,$M306,BF$13))))</f>
        <v>0</v>
      </c>
      <c r="BG306" s="182">
        <f ca="1">IF($D306&lt;&gt;"Serviço",0,IF(OR(AND(AUTOEVENTO="Manual",$M306=1),$M306&gt;(ROW(PLE.lastrow)-ROW(PLE.firstrow))),0,IF(OFFSET(PLE!$G$14,$M306,BG$13)="",10^12,OFFSET(PLE!$G$14,$M306,BG$13))))</f>
        <v>0</v>
      </c>
    </row>
    <row r="307" spans="1:59" ht="25.5" x14ac:dyDescent="0.2">
      <c r="A307" s="7" t="str">
        <f t="shared" ca="1" si="11"/>
        <v>251</v>
      </c>
      <c r="B307" s="7" t="str">
        <f ca="1">OFFSET(ORÇAMENTO!C$15,ROW(B307)-ROW(B$15),0)</f>
        <v>S</v>
      </c>
      <c r="C307" s="7" t="str">
        <f ca="1">OFFSET(ORÇAMENTO!L$15,ROW(C307)-ROW(C$15),0)</f>
        <v/>
      </c>
      <c r="D307" s="118" t="str">
        <f ca="1">OFFSET(ORÇAMENTO!N$15,ROW(D307)-ROW(D$15),0)</f>
        <v>Serviço</v>
      </c>
      <c r="E307" s="119" t="str">
        <f ca="1">OFFSET(ORÇAMENTO!O$15,ROW(E307)-ROW(E$15),0)</f>
        <v>-</v>
      </c>
      <c r="F307" s="172" t="str">
        <f ca="1">OFFSET(ORÇAMENTO!R$15,ROW(F307)-ROW(F$15),0)</f>
        <v>(abra o arquivo 'Referência 02-2025.xlsm)</v>
      </c>
      <c r="G307" s="173" t="str">
        <f ca="1">IF($D307&lt;&gt;"Serviço","",OFFSET(ORÇAMENTO!S$15,ROW(G307)-ROW(G$15),0))</f>
        <v>-</v>
      </c>
      <c r="H307" s="124">
        <f ca="1">IF($D307&lt;&gt;"Serviço",0,IF(ACOMPANHAMENTO="BM",ROUND(OFFSET(ORÇAMENTO!AJ$15,ROW(H307)-ROW(H$15),0),15-13*ORÇAMENTO!$AF$7),SUMPRODUCT(($Q$12:$AA$12&lt;&gt;"")*ROUND($Q307:$AA307,15-13*ORÇAMENTO!$AF$7))))</f>
        <v>8</v>
      </c>
      <c r="I307" s="561" t="s">
        <v>890</v>
      </c>
      <c r="K307" s="174"/>
      <c r="L307" s="175" t="s">
        <v>255</v>
      </c>
      <c r="M307" s="176">
        <f ca="1">IF($D307&lt;&gt;"Serviço","",IF(AUTOEVENTO="manual",$A307,IF(ISERROR(MATCH($A307,$A$15:OFFSET($A307,-1,0),0)),MAX($M$15:OFFSET(M307,-1,0))+1,INDEX($M$15:OFFSET(M307,-1,0),MATCH($A307,$A$15:OFFSET($A307,-1,0),0)))))</f>
        <v>13</v>
      </c>
      <c r="N307" s="177" t="str">
        <f ca="1">IF($D307&lt;&gt;"Serviço","",IF(AUTOEVENTO="Manual",IF($A307=0,"&lt;-- defina o número do agrupador",OFFSET(EVENTOS!$D$14,$A307,0)),OFFSET($F$15,$A307,0)))</f>
        <v>INSTALAÇÃO HIDRÁULICA</v>
      </c>
      <c r="O307" s="178"/>
      <c r="Q307" s="178"/>
      <c r="R307" s="179"/>
      <c r="S307" s="179"/>
      <c r="T307" s="179"/>
      <c r="U307" s="179"/>
      <c r="V307" s="179"/>
      <c r="W307" s="179"/>
      <c r="X307" s="179"/>
      <c r="Y307" s="179"/>
      <c r="Z307" s="180"/>
      <c r="AB307" s="544">
        <f ca="1">IF(AND($D307="Serviço",AB$12&lt;&gt;0,$H307&gt;0,OR(AUTOEVENTO&lt;&gt;"manual",$M307&lt;&gt;1)),
IF(Import.TipoArredondamento&lt;&gt;"TransfereGOV",
ROUND(OFFSET($P307,0,AB$13),15-13*ORÇAMENTO!$AF$7)/$H307*OFFSET(ORÇAMENTO!$X$15,ROW(AB307)-ROW(AB$15),0),
ROUND(ROUND(OFFSET($P307,0,AB$13),15-13*ORÇAMENTO!$AF$7)*OFFSET(ORÇAMENTO!$W$15,ROW(AB307)-ROW(AB$15),0),15-13*ORÇAMENTO!$AF$11)),0)</f>
        <v>0</v>
      </c>
      <c r="AC307" s="545">
        <f ca="1">IF(AND($D307="Serviço",AC$12&lt;&gt;0,$H307&gt;0,OR(AUTOEVENTO&lt;&gt;"manual",$M307&lt;&gt;1)),
IF(Import.TipoArredondamento&lt;&gt;"TransfereGOV",
ROUND(OFFSET($P307,0,AC$13),15-13*ORÇAMENTO!$AF$7)/$H307*OFFSET(ORÇAMENTO!$X$15,ROW(AC307)-ROW(AC$15),0),
ROUND(ROUND(OFFSET($P307,0,AC$13),15-13*ORÇAMENTO!$AF$7)*OFFSET(ORÇAMENTO!$W$15,ROW(AC307)-ROW(AC$15),0),15-13*ORÇAMENTO!$AF$11)),0)</f>
        <v>0</v>
      </c>
      <c r="AD307" s="545">
        <f ca="1">IF(AND($D307="Serviço",AD$12&lt;&gt;0,$H307&gt;0,OR(AUTOEVENTO&lt;&gt;"manual",$M307&lt;&gt;1)),
IF(Import.TipoArredondamento&lt;&gt;"TransfereGOV",
ROUND(OFFSET($P307,0,AD$13),15-13*ORÇAMENTO!$AF$7)/$H307*OFFSET(ORÇAMENTO!$X$15,ROW(AD307)-ROW(AD$15),0),
ROUND(ROUND(OFFSET($P307,0,AD$13),15-13*ORÇAMENTO!$AF$7)*OFFSET(ORÇAMENTO!$W$15,ROW(AD307)-ROW(AD$15),0),15-13*ORÇAMENTO!$AF$11)),0)</f>
        <v>0</v>
      </c>
      <c r="AE307" s="545">
        <f ca="1">IF(AND($D307="Serviço",AE$12&lt;&gt;0,$H307&gt;0,OR(AUTOEVENTO&lt;&gt;"manual",$M307&lt;&gt;1)),
IF(Import.TipoArredondamento&lt;&gt;"TransfereGOV",
ROUND(OFFSET($P307,0,AE$13),15-13*ORÇAMENTO!$AF$7)/$H307*OFFSET(ORÇAMENTO!$X$15,ROW(AE307)-ROW(AE$15),0),
ROUND(ROUND(OFFSET($P307,0,AE$13),15-13*ORÇAMENTO!$AF$7)*OFFSET(ORÇAMENTO!$W$15,ROW(AE307)-ROW(AE$15),0),15-13*ORÇAMENTO!$AF$11)),0)</f>
        <v>0</v>
      </c>
      <c r="AF307" s="545">
        <f ca="1">IF(AND($D307="Serviço",AF$12&lt;&gt;0,$H307&gt;0,OR(AUTOEVENTO&lt;&gt;"manual",$M307&lt;&gt;1)),
IF(Import.TipoArredondamento&lt;&gt;"TransfereGOV",
ROUND(OFFSET($P307,0,AF$13),15-13*ORÇAMENTO!$AF$7)/$H307*OFFSET(ORÇAMENTO!$X$15,ROW(AF307)-ROW(AF$15),0),
ROUND(ROUND(OFFSET($P307,0,AF$13),15-13*ORÇAMENTO!$AF$7)*OFFSET(ORÇAMENTO!$W$15,ROW(AF307)-ROW(AF$15),0),15-13*ORÇAMENTO!$AF$11)),0)</f>
        <v>0</v>
      </c>
      <c r="AG307" s="545">
        <f ca="1">IF(AND($D307="Serviço",AG$12&lt;&gt;0,$H307&gt;0,OR(AUTOEVENTO&lt;&gt;"manual",$M307&lt;&gt;1)),
IF(Import.TipoArredondamento&lt;&gt;"TransfereGOV",
ROUND(OFFSET($P307,0,AG$13),15-13*ORÇAMENTO!$AF$7)/$H307*OFFSET(ORÇAMENTO!$X$15,ROW(AG307)-ROW(AG$15),0),
ROUND(ROUND(OFFSET($P307,0,AG$13),15-13*ORÇAMENTO!$AF$7)*OFFSET(ORÇAMENTO!$W$15,ROW(AG307)-ROW(AG$15),0),15-13*ORÇAMENTO!$AF$11)),0)</f>
        <v>0</v>
      </c>
      <c r="AH307" s="545">
        <f ca="1">IF(AND($D307="Serviço",AH$12&lt;&gt;0,$H307&gt;0,OR(AUTOEVENTO&lt;&gt;"manual",$M307&lt;&gt;1)),
IF(Import.TipoArredondamento&lt;&gt;"TransfereGOV",
ROUND(OFFSET($P307,0,AH$13),15-13*ORÇAMENTO!$AF$7)/$H307*OFFSET(ORÇAMENTO!$X$15,ROW(AH307)-ROW(AH$15),0),
ROUND(ROUND(OFFSET($P307,0,AH$13),15-13*ORÇAMENTO!$AF$7)*OFFSET(ORÇAMENTO!$W$15,ROW(AH307)-ROW(AH$15),0),15-13*ORÇAMENTO!$AF$11)),0)</f>
        <v>0</v>
      </c>
      <c r="AI307" s="545">
        <f ca="1">IF(AND($D307="Serviço",AI$12&lt;&gt;0,$H307&gt;0,OR(AUTOEVENTO&lt;&gt;"manual",$M307&lt;&gt;1)),
IF(Import.TipoArredondamento&lt;&gt;"TransfereGOV",
ROUND(OFFSET($P307,0,AI$13),15-13*ORÇAMENTO!$AF$7)/$H307*OFFSET(ORÇAMENTO!$X$15,ROW(AI307)-ROW(AI$15),0),
ROUND(ROUND(OFFSET($P307,0,AI$13),15-13*ORÇAMENTO!$AF$7)*OFFSET(ORÇAMENTO!$W$15,ROW(AI307)-ROW(AI$15),0),15-13*ORÇAMENTO!$AF$11)),0)</f>
        <v>0</v>
      </c>
      <c r="AJ307" s="545">
        <f ca="1">IF(AND($D307="Serviço",AJ$12&lt;&gt;0,$H307&gt;0,OR(AUTOEVENTO&lt;&gt;"manual",$M307&lt;&gt;1)),
IF(Import.TipoArredondamento&lt;&gt;"TransfereGOV",
ROUND(OFFSET($P307,0,AJ$13),15-13*ORÇAMENTO!$AF$7)/$H307*OFFSET(ORÇAMENTO!$X$15,ROW(AJ307)-ROW(AJ$15),0),
ROUND(ROUND(OFFSET($P307,0,AJ$13),15-13*ORÇAMENTO!$AF$7)*OFFSET(ORÇAMENTO!$W$15,ROW(AJ307)-ROW(AJ$15),0),15-13*ORÇAMENTO!$AF$11)),0)</f>
        <v>0</v>
      </c>
      <c r="AK307" s="546">
        <f ca="1">IF(AND($D307="Serviço",AK$12&lt;&gt;0,$H307&gt;0,OR(AUTOEVENTO&lt;&gt;"manual",$M307&lt;&gt;1)),
IF(Import.TipoArredondamento&lt;&gt;"TransfereGOV",
ROUND(OFFSET($P307,0,AK$13),15-13*ORÇAMENTO!$AF$7)/$H307*OFFSET(ORÇAMENTO!$X$15,ROW(AK307)-ROW(AK$15),0),
ROUND(ROUND(OFFSET($P307,0,AK$13),15-13*ORÇAMENTO!$AF$7)*OFFSET(ORÇAMENTO!$W$15,ROW(AK307)-ROW(AK$15),0),15-13*ORÇAMENTO!$AF$11)),0)</f>
        <v>0</v>
      </c>
      <c r="AM307" s="181">
        <f ca="1">IF($D307&lt;&gt;"Serviço",0,IF(AND(AUTOEVENTO="Manual",$M307=1),0,IF(OFFSET(CRONOPLE!$F$14,$M307,AM$13)="",10^12,OFFSET(CRONOPLE!$F$14,$M307,AM$13))))</f>
        <v>1000000000000</v>
      </c>
      <c r="AN307" s="181">
        <f ca="1">IF($D307&lt;&gt;"Serviço",0,IF(AND(AUTOEVENTO="Manual",$M307=1),0,IF(OFFSET(CRONOPLE!$F$14,$M307,AN$13)="",10^12,OFFSET(CRONOPLE!$F$14,$M307,AN$13))))</f>
        <v>1000000000000</v>
      </c>
      <c r="AO307" s="181">
        <f ca="1">IF($D307&lt;&gt;"Serviço",0,IF(AND(AUTOEVENTO="Manual",$M307=1),0,IF(OFFSET(CRONOPLE!$F$14,$M307,AO$13)="",10^12,OFFSET(CRONOPLE!$F$14,$M307,AO$13))))</f>
        <v>1000000000000</v>
      </c>
      <c r="AP307" s="181">
        <f ca="1">IF($D307&lt;&gt;"Serviço",0,IF(AND(AUTOEVENTO="Manual",$M307=1),0,IF(OFFSET(CRONOPLE!$F$14,$M307,AP$13)="",10^12,OFFSET(CRONOPLE!$F$14,$M307,AP$13))))</f>
        <v>1000000000000</v>
      </c>
      <c r="AQ307" s="181">
        <f ca="1">IF($D307&lt;&gt;"Serviço",0,IF(AND(AUTOEVENTO="Manual",$M307=1),0,IF(OFFSET(CRONOPLE!$F$14,$M307,AQ$13)="",10^12,OFFSET(CRONOPLE!$F$14,$M307,AQ$13))))</f>
        <v>1000000000000</v>
      </c>
      <c r="AR307" s="181">
        <f ca="1">IF($D307&lt;&gt;"Serviço",0,IF(AND(AUTOEVENTO="Manual",$M307=1),0,IF(OFFSET(CRONOPLE!$F$14,$M307,AR$13)="",10^12,OFFSET(CRONOPLE!$F$14,$M307,AR$13))))</f>
        <v>1000000000000</v>
      </c>
      <c r="AS307" s="181">
        <f ca="1">IF($D307&lt;&gt;"Serviço",0,IF(AND(AUTOEVENTO="Manual",$M307=1),0,IF(OFFSET(CRONOPLE!$F$14,$M307,AS$13)="",10^12,OFFSET(CRONOPLE!$F$14,$M307,AS$13))))</f>
        <v>1000000000000</v>
      </c>
      <c r="AT307" s="181">
        <f ca="1">IF($D307&lt;&gt;"Serviço",0,IF(AND(AUTOEVENTO="Manual",$M307=1),0,IF(OFFSET(CRONOPLE!$F$14,$M307,AT$13)="",10^12,OFFSET(CRONOPLE!$F$14,$M307,AT$13))))</f>
        <v>1000000000000</v>
      </c>
      <c r="AU307" s="181">
        <f ca="1">IF($D307&lt;&gt;"Serviço",0,IF(AND(AUTOEVENTO="Manual",$M307=1),0,IF(OFFSET(CRONOPLE!$F$14,$M307,AU$13)="",10^12,OFFSET(CRONOPLE!$F$14,$M307,AU$13))))</f>
        <v>1000000000000</v>
      </c>
      <c r="AV307" s="181">
        <f ca="1">IF($D307&lt;&gt;"Serviço",0,IF(AND(AUTOEVENTO="Manual",$M307=1),0,IF(OFFSET(CRONOPLE!$F$14,$M307,AV$13)="",10^12,OFFSET(CRONOPLE!$F$14,$M307,AV$13))))</f>
        <v>1000000000000</v>
      </c>
      <c r="AX307" s="182">
        <f ca="1">IF($D307&lt;&gt;"Serviço",0,IF(OR(AND(AUTOEVENTO="Manual",$M307=1),$M307&gt;(ROW(PLE.lastrow)-ROW(PLE.firstrow))),0,IF(OFFSET(PLE!$G$14,$M307,AX$13)="",10^12,OFFSET(PLE!$G$14,$M307,AX$13))))</f>
        <v>1000000000000</v>
      </c>
      <c r="AY307" s="182">
        <f ca="1">IF($D307&lt;&gt;"Serviço",0,IF(OR(AND(AUTOEVENTO="Manual",$M307=1),$M307&gt;(ROW(PLE.lastrow)-ROW(PLE.firstrow))),0,IF(OFFSET(PLE!$G$14,$M307,AY$13)="",10^12,OFFSET(PLE!$G$14,$M307,AY$13))))</f>
        <v>1000000000000</v>
      </c>
      <c r="AZ307" s="182">
        <f ca="1">IF($D307&lt;&gt;"Serviço",0,IF(OR(AND(AUTOEVENTO="Manual",$M307=1),$M307&gt;(ROW(PLE.lastrow)-ROW(PLE.firstrow))),0,IF(OFFSET(PLE!$G$14,$M307,AZ$13)="",10^12,OFFSET(PLE!$G$14,$M307,AZ$13))))</f>
        <v>1000000000000</v>
      </c>
      <c r="BA307" s="182">
        <f ca="1">IF($D307&lt;&gt;"Serviço",0,IF(OR(AND(AUTOEVENTO="Manual",$M307=1),$M307&gt;(ROW(PLE.lastrow)-ROW(PLE.firstrow))),0,IF(OFFSET(PLE!$G$14,$M307,BA$13)="",10^12,OFFSET(PLE!$G$14,$M307,BA$13))))</f>
        <v>1000000000000</v>
      </c>
      <c r="BB307" s="182">
        <f ca="1">IF($D307&lt;&gt;"Serviço",0,IF(OR(AND(AUTOEVENTO="Manual",$M307=1),$M307&gt;(ROW(PLE.lastrow)-ROW(PLE.firstrow))),0,IF(OFFSET(PLE!$G$14,$M307,BB$13)="",10^12,OFFSET(PLE!$G$14,$M307,BB$13))))</f>
        <v>1000000000000</v>
      </c>
      <c r="BC307" s="182">
        <f ca="1">IF($D307&lt;&gt;"Serviço",0,IF(OR(AND(AUTOEVENTO="Manual",$M307=1),$M307&gt;(ROW(PLE.lastrow)-ROW(PLE.firstrow))),0,IF(OFFSET(PLE!$G$14,$M307,BC$13)="",10^12,OFFSET(PLE!$G$14,$M307,BC$13))))</f>
        <v>1000000000000</v>
      </c>
      <c r="BD307" s="182">
        <f ca="1">IF($D307&lt;&gt;"Serviço",0,IF(OR(AND(AUTOEVENTO="Manual",$M307=1),$M307&gt;(ROW(PLE.lastrow)-ROW(PLE.firstrow))),0,IF(OFFSET(PLE!$G$14,$M307,BD$13)="",10^12,OFFSET(PLE!$G$14,$M307,BD$13))))</f>
        <v>1000000000000</v>
      </c>
      <c r="BE307" s="182">
        <f ca="1">IF($D307&lt;&gt;"Serviço",0,IF(OR(AND(AUTOEVENTO="Manual",$M307=1),$M307&gt;(ROW(PLE.lastrow)-ROW(PLE.firstrow))),0,IF(OFFSET(PLE!$G$14,$M307,BE$13)="",10^12,OFFSET(PLE!$G$14,$M307,BE$13))))</f>
        <v>1000000000000</v>
      </c>
      <c r="BF307" s="182">
        <f ca="1">IF($D307&lt;&gt;"Serviço",0,IF(OR(AND(AUTOEVENTO="Manual",$M307=1),$M307&gt;(ROW(PLE.lastrow)-ROW(PLE.firstrow))),0,IF(OFFSET(PLE!$G$14,$M307,BF$13)="",10^12,OFFSET(PLE!$G$14,$M307,BF$13))))</f>
        <v>1000000000000</v>
      </c>
      <c r="BG307" s="182">
        <f ca="1">IF($D307&lt;&gt;"Serviço",0,IF(OR(AND(AUTOEVENTO="Manual",$M307=1),$M307&gt;(ROW(PLE.lastrow)-ROW(PLE.firstrow))),0,IF(OFFSET(PLE!$G$14,$M307,BG$13)="",10^12,OFFSET(PLE!$G$14,$M307,BG$13))))</f>
        <v>1000000000000</v>
      </c>
    </row>
    <row r="308" spans="1:59" ht="38.25" x14ac:dyDescent="0.2">
      <c r="A308" s="7" t="str">
        <f t="shared" ca="1" si="11"/>
        <v>251</v>
      </c>
      <c r="B308" s="7" t="str">
        <f ca="1">OFFSET(ORÇAMENTO!C$15,ROW(B308)-ROW(B$15),0)</f>
        <v>S</v>
      </c>
      <c r="C308" s="7" t="str">
        <f ca="1">OFFSET(ORÇAMENTO!L$15,ROW(C308)-ROW(C$15),0)</f>
        <v/>
      </c>
      <c r="D308" s="118" t="str">
        <f ca="1">OFFSET(ORÇAMENTO!N$15,ROW(D308)-ROW(D$15),0)</f>
        <v>Serviço</v>
      </c>
      <c r="E308" s="119" t="str">
        <f ca="1">OFFSET(ORÇAMENTO!O$15,ROW(E308)-ROW(E$15),0)</f>
        <v>-</v>
      </c>
      <c r="F308" s="172" t="str">
        <f ca="1">OFFSET(ORÇAMENTO!R$15,ROW(F308)-ROW(F$15),0)</f>
        <v>(abra o arquivo 'Referência 02-2025.xlsm)</v>
      </c>
      <c r="G308" s="173" t="str">
        <f ca="1">IF($D308&lt;&gt;"Serviço","",OFFSET(ORÇAMENTO!S$15,ROW(G308)-ROW(G$15),0))</f>
        <v>-</v>
      </c>
      <c r="H308" s="124">
        <f ca="1">IF($D308&lt;&gt;"Serviço",0,IF(ACOMPANHAMENTO="BM",ROUND(OFFSET(ORÇAMENTO!AJ$15,ROW(H308)-ROW(H$15),0),15-13*ORÇAMENTO!$AF$7),SUMPRODUCT(($Q$12:$AA$12&lt;&gt;"")*ROUND($Q308:$AA308,15-13*ORÇAMENTO!$AF$7))))</f>
        <v>16</v>
      </c>
      <c r="I308" s="561" t="s">
        <v>890</v>
      </c>
      <c r="K308" s="174"/>
      <c r="L308" s="175" t="s">
        <v>255</v>
      </c>
      <c r="M308" s="176">
        <f ca="1">IF($D308&lt;&gt;"Serviço","",IF(AUTOEVENTO="manual",$A308,IF(ISERROR(MATCH($A308,$A$15:OFFSET($A308,-1,0),0)),MAX($M$15:OFFSET(M308,-1,0))+1,INDEX($M$15:OFFSET(M308,-1,0),MATCH($A308,$A$15:OFFSET($A308,-1,0),0)))))</f>
        <v>13</v>
      </c>
      <c r="N308" s="177" t="str">
        <f ca="1">IF($D308&lt;&gt;"Serviço","",IF(AUTOEVENTO="Manual",IF($A308=0,"&lt;-- defina o número do agrupador",OFFSET(EVENTOS!$D$14,$A308,0)),OFFSET($F$15,$A308,0)))</f>
        <v>INSTALAÇÃO HIDRÁULICA</v>
      </c>
      <c r="O308" s="178"/>
      <c r="Q308" s="178"/>
      <c r="R308" s="179"/>
      <c r="S308" s="179"/>
      <c r="T308" s="179"/>
      <c r="U308" s="179"/>
      <c r="V308" s="179"/>
      <c r="W308" s="179"/>
      <c r="X308" s="179"/>
      <c r="Y308" s="179"/>
      <c r="Z308" s="180"/>
      <c r="AB308" s="544">
        <f ca="1">IF(AND($D308="Serviço",AB$12&lt;&gt;0,$H308&gt;0,OR(AUTOEVENTO&lt;&gt;"manual",$M308&lt;&gt;1)),
IF(Import.TipoArredondamento&lt;&gt;"TransfereGOV",
ROUND(OFFSET($P308,0,AB$13),15-13*ORÇAMENTO!$AF$7)/$H308*OFFSET(ORÇAMENTO!$X$15,ROW(AB308)-ROW(AB$15),0),
ROUND(ROUND(OFFSET($P308,0,AB$13),15-13*ORÇAMENTO!$AF$7)*OFFSET(ORÇAMENTO!$W$15,ROW(AB308)-ROW(AB$15),0),15-13*ORÇAMENTO!$AF$11)),0)</f>
        <v>0</v>
      </c>
      <c r="AC308" s="545">
        <f ca="1">IF(AND($D308="Serviço",AC$12&lt;&gt;0,$H308&gt;0,OR(AUTOEVENTO&lt;&gt;"manual",$M308&lt;&gt;1)),
IF(Import.TipoArredondamento&lt;&gt;"TransfereGOV",
ROUND(OFFSET($P308,0,AC$13),15-13*ORÇAMENTO!$AF$7)/$H308*OFFSET(ORÇAMENTO!$X$15,ROW(AC308)-ROW(AC$15),0),
ROUND(ROUND(OFFSET($P308,0,AC$13),15-13*ORÇAMENTO!$AF$7)*OFFSET(ORÇAMENTO!$W$15,ROW(AC308)-ROW(AC$15),0),15-13*ORÇAMENTO!$AF$11)),0)</f>
        <v>0</v>
      </c>
      <c r="AD308" s="545">
        <f ca="1">IF(AND($D308="Serviço",AD$12&lt;&gt;0,$H308&gt;0,OR(AUTOEVENTO&lt;&gt;"manual",$M308&lt;&gt;1)),
IF(Import.TipoArredondamento&lt;&gt;"TransfereGOV",
ROUND(OFFSET($P308,0,AD$13),15-13*ORÇAMENTO!$AF$7)/$H308*OFFSET(ORÇAMENTO!$X$15,ROW(AD308)-ROW(AD$15),0),
ROUND(ROUND(OFFSET($P308,0,AD$13),15-13*ORÇAMENTO!$AF$7)*OFFSET(ORÇAMENTO!$W$15,ROW(AD308)-ROW(AD$15),0),15-13*ORÇAMENTO!$AF$11)),0)</f>
        <v>0</v>
      </c>
      <c r="AE308" s="545">
        <f ca="1">IF(AND($D308="Serviço",AE$12&lt;&gt;0,$H308&gt;0,OR(AUTOEVENTO&lt;&gt;"manual",$M308&lt;&gt;1)),
IF(Import.TipoArredondamento&lt;&gt;"TransfereGOV",
ROUND(OFFSET($P308,0,AE$13),15-13*ORÇAMENTO!$AF$7)/$H308*OFFSET(ORÇAMENTO!$X$15,ROW(AE308)-ROW(AE$15),0),
ROUND(ROUND(OFFSET($P308,0,AE$13),15-13*ORÇAMENTO!$AF$7)*OFFSET(ORÇAMENTO!$W$15,ROW(AE308)-ROW(AE$15),0),15-13*ORÇAMENTO!$AF$11)),0)</f>
        <v>0</v>
      </c>
      <c r="AF308" s="545">
        <f ca="1">IF(AND($D308="Serviço",AF$12&lt;&gt;0,$H308&gt;0,OR(AUTOEVENTO&lt;&gt;"manual",$M308&lt;&gt;1)),
IF(Import.TipoArredondamento&lt;&gt;"TransfereGOV",
ROUND(OFFSET($P308,0,AF$13),15-13*ORÇAMENTO!$AF$7)/$H308*OFFSET(ORÇAMENTO!$X$15,ROW(AF308)-ROW(AF$15),0),
ROUND(ROUND(OFFSET($P308,0,AF$13),15-13*ORÇAMENTO!$AF$7)*OFFSET(ORÇAMENTO!$W$15,ROW(AF308)-ROW(AF$15),0),15-13*ORÇAMENTO!$AF$11)),0)</f>
        <v>0</v>
      </c>
      <c r="AG308" s="545">
        <f ca="1">IF(AND($D308="Serviço",AG$12&lt;&gt;0,$H308&gt;0,OR(AUTOEVENTO&lt;&gt;"manual",$M308&lt;&gt;1)),
IF(Import.TipoArredondamento&lt;&gt;"TransfereGOV",
ROUND(OFFSET($P308,0,AG$13),15-13*ORÇAMENTO!$AF$7)/$H308*OFFSET(ORÇAMENTO!$X$15,ROW(AG308)-ROW(AG$15),0),
ROUND(ROUND(OFFSET($P308,0,AG$13),15-13*ORÇAMENTO!$AF$7)*OFFSET(ORÇAMENTO!$W$15,ROW(AG308)-ROW(AG$15),0),15-13*ORÇAMENTO!$AF$11)),0)</f>
        <v>0</v>
      </c>
      <c r="AH308" s="545">
        <f ca="1">IF(AND($D308="Serviço",AH$12&lt;&gt;0,$H308&gt;0,OR(AUTOEVENTO&lt;&gt;"manual",$M308&lt;&gt;1)),
IF(Import.TipoArredondamento&lt;&gt;"TransfereGOV",
ROUND(OFFSET($P308,0,AH$13),15-13*ORÇAMENTO!$AF$7)/$H308*OFFSET(ORÇAMENTO!$X$15,ROW(AH308)-ROW(AH$15),0),
ROUND(ROUND(OFFSET($P308,0,AH$13),15-13*ORÇAMENTO!$AF$7)*OFFSET(ORÇAMENTO!$W$15,ROW(AH308)-ROW(AH$15),0),15-13*ORÇAMENTO!$AF$11)),0)</f>
        <v>0</v>
      </c>
      <c r="AI308" s="545">
        <f ca="1">IF(AND($D308="Serviço",AI$12&lt;&gt;0,$H308&gt;0,OR(AUTOEVENTO&lt;&gt;"manual",$M308&lt;&gt;1)),
IF(Import.TipoArredondamento&lt;&gt;"TransfereGOV",
ROUND(OFFSET($P308,0,AI$13),15-13*ORÇAMENTO!$AF$7)/$H308*OFFSET(ORÇAMENTO!$X$15,ROW(AI308)-ROW(AI$15),0),
ROUND(ROUND(OFFSET($P308,0,AI$13),15-13*ORÇAMENTO!$AF$7)*OFFSET(ORÇAMENTO!$W$15,ROW(AI308)-ROW(AI$15),0),15-13*ORÇAMENTO!$AF$11)),0)</f>
        <v>0</v>
      </c>
      <c r="AJ308" s="545">
        <f ca="1">IF(AND($D308="Serviço",AJ$12&lt;&gt;0,$H308&gt;0,OR(AUTOEVENTO&lt;&gt;"manual",$M308&lt;&gt;1)),
IF(Import.TipoArredondamento&lt;&gt;"TransfereGOV",
ROUND(OFFSET($P308,0,AJ$13),15-13*ORÇAMENTO!$AF$7)/$H308*OFFSET(ORÇAMENTO!$X$15,ROW(AJ308)-ROW(AJ$15),0),
ROUND(ROUND(OFFSET($P308,0,AJ$13),15-13*ORÇAMENTO!$AF$7)*OFFSET(ORÇAMENTO!$W$15,ROW(AJ308)-ROW(AJ$15),0),15-13*ORÇAMENTO!$AF$11)),0)</f>
        <v>0</v>
      </c>
      <c r="AK308" s="546">
        <f ca="1">IF(AND($D308="Serviço",AK$12&lt;&gt;0,$H308&gt;0,OR(AUTOEVENTO&lt;&gt;"manual",$M308&lt;&gt;1)),
IF(Import.TipoArredondamento&lt;&gt;"TransfereGOV",
ROUND(OFFSET($P308,0,AK$13),15-13*ORÇAMENTO!$AF$7)/$H308*OFFSET(ORÇAMENTO!$X$15,ROW(AK308)-ROW(AK$15),0),
ROUND(ROUND(OFFSET($P308,0,AK$13),15-13*ORÇAMENTO!$AF$7)*OFFSET(ORÇAMENTO!$W$15,ROW(AK308)-ROW(AK$15),0),15-13*ORÇAMENTO!$AF$11)),0)</f>
        <v>0</v>
      </c>
      <c r="AM308" s="181">
        <f ca="1">IF($D308&lt;&gt;"Serviço",0,IF(AND(AUTOEVENTO="Manual",$M308=1),0,IF(OFFSET(CRONOPLE!$F$14,$M308,AM$13)="",10^12,OFFSET(CRONOPLE!$F$14,$M308,AM$13))))</f>
        <v>1000000000000</v>
      </c>
      <c r="AN308" s="181">
        <f ca="1">IF($D308&lt;&gt;"Serviço",0,IF(AND(AUTOEVENTO="Manual",$M308=1),0,IF(OFFSET(CRONOPLE!$F$14,$M308,AN$13)="",10^12,OFFSET(CRONOPLE!$F$14,$M308,AN$13))))</f>
        <v>1000000000000</v>
      </c>
      <c r="AO308" s="181">
        <f ca="1">IF($D308&lt;&gt;"Serviço",0,IF(AND(AUTOEVENTO="Manual",$M308=1),0,IF(OFFSET(CRONOPLE!$F$14,$M308,AO$13)="",10^12,OFFSET(CRONOPLE!$F$14,$M308,AO$13))))</f>
        <v>1000000000000</v>
      </c>
      <c r="AP308" s="181">
        <f ca="1">IF($D308&lt;&gt;"Serviço",0,IF(AND(AUTOEVENTO="Manual",$M308=1),0,IF(OFFSET(CRONOPLE!$F$14,$M308,AP$13)="",10^12,OFFSET(CRONOPLE!$F$14,$M308,AP$13))))</f>
        <v>1000000000000</v>
      </c>
      <c r="AQ308" s="181">
        <f ca="1">IF($D308&lt;&gt;"Serviço",0,IF(AND(AUTOEVENTO="Manual",$M308=1),0,IF(OFFSET(CRONOPLE!$F$14,$M308,AQ$13)="",10^12,OFFSET(CRONOPLE!$F$14,$M308,AQ$13))))</f>
        <v>1000000000000</v>
      </c>
      <c r="AR308" s="181">
        <f ca="1">IF($D308&lt;&gt;"Serviço",0,IF(AND(AUTOEVENTO="Manual",$M308=1),0,IF(OFFSET(CRONOPLE!$F$14,$M308,AR$13)="",10^12,OFFSET(CRONOPLE!$F$14,$M308,AR$13))))</f>
        <v>1000000000000</v>
      </c>
      <c r="AS308" s="181">
        <f ca="1">IF($D308&lt;&gt;"Serviço",0,IF(AND(AUTOEVENTO="Manual",$M308=1),0,IF(OFFSET(CRONOPLE!$F$14,$M308,AS$13)="",10^12,OFFSET(CRONOPLE!$F$14,$M308,AS$13))))</f>
        <v>1000000000000</v>
      </c>
      <c r="AT308" s="181">
        <f ca="1">IF($D308&lt;&gt;"Serviço",0,IF(AND(AUTOEVENTO="Manual",$M308=1),0,IF(OFFSET(CRONOPLE!$F$14,$M308,AT$13)="",10^12,OFFSET(CRONOPLE!$F$14,$M308,AT$13))))</f>
        <v>1000000000000</v>
      </c>
      <c r="AU308" s="181">
        <f ca="1">IF($D308&lt;&gt;"Serviço",0,IF(AND(AUTOEVENTO="Manual",$M308=1),0,IF(OFFSET(CRONOPLE!$F$14,$M308,AU$13)="",10^12,OFFSET(CRONOPLE!$F$14,$M308,AU$13))))</f>
        <v>1000000000000</v>
      </c>
      <c r="AV308" s="181">
        <f ca="1">IF($D308&lt;&gt;"Serviço",0,IF(AND(AUTOEVENTO="Manual",$M308=1),0,IF(OFFSET(CRONOPLE!$F$14,$M308,AV$13)="",10^12,OFFSET(CRONOPLE!$F$14,$M308,AV$13))))</f>
        <v>1000000000000</v>
      </c>
      <c r="AX308" s="182">
        <f ca="1">IF($D308&lt;&gt;"Serviço",0,IF(OR(AND(AUTOEVENTO="Manual",$M308=1),$M308&gt;(ROW(PLE.lastrow)-ROW(PLE.firstrow))),0,IF(OFFSET(PLE!$G$14,$M308,AX$13)="",10^12,OFFSET(PLE!$G$14,$M308,AX$13))))</f>
        <v>1000000000000</v>
      </c>
      <c r="AY308" s="182">
        <f ca="1">IF($D308&lt;&gt;"Serviço",0,IF(OR(AND(AUTOEVENTO="Manual",$M308=1),$M308&gt;(ROW(PLE.lastrow)-ROW(PLE.firstrow))),0,IF(OFFSET(PLE!$G$14,$M308,AY$13)="",10^12,OFFSET(PLE!$G$14,$M308,AY$13))))</f>
        <v>1000000000000</v>
      </c>
      <c r="AZ308" s="182">
        <f ca="1">IF($D308&lt;&gt;"Serviço",0,IF(OR(AND(AUTOEVENTO="Manual",$M308=1),$M308&gt;(ROW(PLE.lastrow)-ROW(PLE.firstrow))),0,IF(OFFSET(PLE!$G$14,$M308,AZ$13)="",10^12,OFFSET(PLE!$G$14,$M308,AZ$13))))</f>
        <v>1000000000000</v>
      </c>
      <c r="BA308" s="182">
        <f ca="1">IF($D308&lt;&gt;"Serviço",0,IF(OR(AND(AUTOEVENTO="Manual",$M308=1),$M308&gt;(ROW(PLE.lastrow)-ROW(PLE.firstrow))),0,IF(OFFSET(PLE!$G$14,$M308,BA$13)="",10^12,OFFSET(PLE!$G$14,$M308,BA$13))))</f>
        <v>1000000000000</v>
      </c>
      <c r="BB308" s="182">
        <f ca="1">IF($D308&lt;&gt;"Serviço",0,IF(OR(AND(AUTOEVENTO="Manual",$M308=1),$M308&gt;(ROW(PLE.lastrow)-ROW(PLE.firstrow))),0,IF(OFFSET(PLE!$G$14,$M308,BB$13)="",10^12,OFFSET(PLE!$G$14,$M308,BB$13))))</f>
        <v>1000000000000</v>
      </c>
      <c r="BC308" s="182">
        <f ca="1">IF($D308&lt;&gt;"Serviço",0,IF(OR(AND(AUTOEVENTO="Manual",$M308=1),$M308&gt;(ROW(PLE.lastrow)-ROW(PLE.firstrow))),0,IF(OFFSET(PLE!$G$14,$M308,BC$13)="",10^12,OFFSET(PLE!$G$14,$M308,BC$13))))</f>
        <v>1000000000000</v>
      </c>
      <c r="BD308" s="182">
        <f ca="1">IF($D308&lt;&gt;"Serviço",0,IF(OR(AND(AUTOEVENTO="Manual",$M308=1),$M308&gt;(ROW(PLE.lastrow)-ROW(PLE.firstrow))),0,IF(OFFSET(PLE!$G$14,$M308,BD$13)="",10^12,OFFSET(PLE!$G$14,$M308,BD$13))))</f>
        <v>1000000000000</v>
      </c>
      <c r="BE308" s="182">
        <f ca="1">IF($D308&lt;&gt;"Serviço",0,IF(OR(AND(AUTOEVENTO="Manual",$M308=1),$M308&gt;(ROW(PLE.lastrow)-ROW(PLE.firstrow))),0,IF(OFFSET(PLE!$G$14,$M308,BE$13)="",10^12,OFFSET(PLE!$G$14,$M308,BE$13))))</f>
        <v>1000000000000</v>
      </c>
      <c r="BF308" s="182">
        <f ca="1">IF($D308&lt;&gt;"Serviço",0,IF(OR(AND(AUTOEVENTO="Manual",$M308=1),$M308&gt;(ROW(PLE.lastrow)-ROW(PLE.firstrow))),0,IF(OFFSET(PLE!$G$14,$M308,BF$13)="",10^12,OFFSET(PLE!$G$14,$M308,BF$13))))</f>
        <v>1000000000000</v>
      </c>
      <c r="BG308" s="182">
        <f ca="1">IF($D308&lt;&gt;"Serviço",0,IF(OR(AND(AUTOEVENTO="Manual",$M308=1),$M308&gt;(ROW(PLE.lastrow)-ROW(PLE.firstrow))),0,IF(OFFSET(PLE!$G$14,$M308,BG$13)="",10^12,OFFSET(PLE!$G$14,$M308,BG$13))))</f>
        <v>1000000000000</v>
      </c>
    </row>
    <row r="309" spans="1:59" ht="38.25" x14ac:dyDescent="0.2">
      <c r="A309" s="7" t="str">
        <f t="shared" ca="1" si="11"/>
        <v>251</v>
      </c>
      <c r="B309" s="7" t="str">
        <f ca="1">OFFSET(ORÇAMENTO!C$15,ROW(B309)-ROW(B$15),0)</f>
        <v>S</v>
      </c>
      <c r="C309" s="7" t="str">
        <f ca="1">OFFSET(ORÇAMENTO!L$15,ROW(C309)-ROW(C$15),0)</f>
        <v/>
      </c>
      <c r="D309" s="118" t="str">
        <f ca="1">OFFSET(ORÇAMENTO!N$15,ROW(D309)-ROW(D$15),0)</f>
        <v>Serviço</v>
      </c>
      <c r="E309" s="119" t="str">
        <f ca="1">OFFSET(ORÇAMENTO!O$15,ROW(E309)-ROW(E$15),0)</f>
        <v>-</v>
      </c>
      <c r="F309" s="172" t="str">
        <f ca="1">OFFSET(ORÇAMENTO!R$15,ROW(F309)-ROW(F$15),0)</f>
        <v>(abra o arquivo 'Referência 02-2025.xlsm)</v>
      </c>
      <c r="G309" s="173" t="str">
        <f ca="1">IF($D309&lt;&gt;"Serviço","",OFFSET(ORÇAMENTO!S$15,ROW(G309)-ROW(G$15),0))</f>
        <v>-</v>
      </c>
      <c r="H309" s="124">
        <f ca="1">IF($D309&lt;&gt;"Serviço",0,IF(ACOMPANHAMENTO="BM",ROUND(OFFSET(ORÇAMENTO!AJ$15,ROW(H309)-ROW(H$15),0),15-13*ORÇAMENTO!$AF$7),SUMPRODUCT(($Q$12:$AA$12&lt;&gt;"")*ROUND($Q309:$AA309,15-13*ORÇAMENTO!$AF$7))))</f>
        <v>39</v>
      </c>
      <c r="I309" s="561" t="s">
        <v>890</v>
      </c>
      <c r="K309" s="174"/>
      <c r="L309" s="175" t="s">
        <v>255</v>
      </c>
      <c r="M309" s="176">
        <f ca="1">IF($D309&lt;&gt;"Serviço","",IF(AUTOEVENTO="manual",$A309,IF(ISERROR(MATCH($A309,$A$15:OFFSET($A309,-1,0),0)),MAX($M$15:OFFSET(M309,-1,0))+1,INDEX($M$15:OFFSET(M309,-1,0),MATCH($A309,$A$15:OFFSET($A309,-1,0),0)))))</f>
        <v>13</v>
      </c>
      <c r="N309" s="177" t="str">
        <f ca="1">IF($D309&lt;&gt;"Serviço","",IF(AUTOEVENTO="Manual",IF($A309=0,"&lt;-- defina o número do agrupador",OFFSET(EVENTOS!$D$14,$A309,0)),OFFSET($F$15,$A309,0)))</f>
        <v>INSTALAÇÃO HIDRÁULICA</v>
      </c>
      <c r="O309" s="178"/>
      <c r="Q309" s="178"/>
      <c r="R309" s="179"/>
      <c r="S309" s="179"/>
      <c r="T309" s="179"/>
      <c r="U309" s="179"/>
      <c r="V309" s="179"/>
      <c r="W309" s="179"/>
      <c r="X309" s="179"/>
      <c r="Y309" s="179"/>
      <c r="Z309" s="180"/>
      <c r="AB309" s="544">
        <f ca="1">IF(AND($D309="Serviço",AB$12&lt;&gt;0,$H309&gt;0,OR(AUTOEVENTO&lt;&gt;"manual",$M309&lt;&gt;1)),
IF(Import.TipoArredondamento&lt;&gt;"TransfereGOV",
ROUND(OFFSET($P309,0,AB$13),15-13*ORÇAMENTO!$AF$7)/$H309*OFFSET(ORÇAMENTO!$X$15,ROW(AB309)-ROW(AB$15),0),
ROUND(ROUND(OFFSET($P309,0,AB$13),15-13*ORÇAMENTO!$AF$7)*OFFSET(ORÇAMENTO!$W$15,ROW(AB309)-ROW(AB$15),0),15-13*ORÇAMENTO!$AF$11)),0)</f>
        <v>0</v>
      </c>
      <c r="AC309" s="545">
        <f ca="1">IF(AND($D309="Serviço",AC$12&lt;&gt;0,$H309&gt;0,OR(AUTOEVENTO&lt;&gt;"manual",$M309&lt;&gt;1)),
IF(Import.TipoArredondamento&lt;&gt;"TransfereGOV",
ROUND(OFFSET($P309,0,AC$13),15-13*ORÇAMENTO!$AF$7)/$H309*OFFSET(ORÇAMENTO!$X$15,ROW(AC309)-ROW(AC$15),0),
ROUND(ROUND(OFFSET($P309,0,AC$13),15-13*ORÇAMENTO!$AF$7)*OFFSET(ORÇAMENTO!$W$15,ROW(AC309)-ROW(AC$15),0),15-13*ORÇAMENTO!$AF$11)),0)</f>
        <v>0</v>
      </c>
      <c r="AD309" s="545">
        <f ca="1">IF(AND($D309="Serviço",AD$12&lt;&gt;0,$H309&gt;0,OR(AUTOEVENTO&lt;&gt;"manual",$M309&lt;&gt;1)),
IF(Import.TipoArredondamento&lt;&gt;"TransfereGOV",
ROUND(OFFSET($P309,0,AD$13),15-13*ORÇAMENTO!$AF$7)/$H309*OFFSET(ORÇAMENTO!$X$15,ROW(AD309)-ROW(AD$15),0),
ROUND(ROUND(OFFSET($P309,0,AD$13),15-13*ORÇAMENTO!$AF$7)*OFFSET(ORÇAMENTO!$W$15,ROW(AD309)-ROW(AD$15),0),15-13*ORÇAMENTO!$AF$11)),0)</f>
        <v>0</v>
      </c>
      <c r="AE309" s="545">
        <f ca="1">IF(AND($D309="Serviço",AE$12&lt;&gt;0,$H309&gt;0,OR(AUTOEVENTO&lt;&gt;"manual",$M309&lt;&gt;1)),
IF(Import.TipoArredondamento&lt;&gt;"TransfereGOV",
ROUND(OFFSET($P309,0,AE$13),15-13*ORÇAMENTO!$AF$7)/$H309*OFFSET(ORÇAMENTO!$X$15,ROW(AE309)-ROW(AE$15),0),
ROUND(ROUND(OFFSET($P309,0,AE$13),15-13*ORÇAMENTO!$AF$7)*OFFSET(ORÇAMENTO!$W$15,ROW(AE309)-ROW(AE$15),0),15-13*ORÇAMENTO!$AF$11)),0)</f>
        <v>0</v>
      </c>
      <c r="AF309" s="545">
        <f ca="1">IF(AND($D309="Serviço",AF$12&lt;&gt;0,$H309&gt;0,OR(AUTOEVENTO&lt;&gt;"manual",$M309&lt;&gt;1)),
IF(Import.TipoArredondamento&lt;&gt;"TransfereGOV",
ROUND(OFFSET($P309,0,AF$13),15-13*ORÇAMENTO!$AF$7)/$H309*OFFSET(ORÇAMENTO!$X$15,ROW(AF309)-ROW(AF$15),0),
ROUND(ROUND(OFFSET($P309,0,AF$13),15-13*ORÇAMENTO!$AF$7)*OFFSET(ORÇAMENTO!$W$15,ROW(AF309)-ROW(AF$15),0),15-13*ORÇAMENTO!$AF$11)),0)</f>
        <v>0</v>
      </c>
      <c r="AG309" s="545">
        <f ca="1">IF(AND($D309="Serviço",AG$12&lt;&gt;0,$H309&gt;0,OR(AUTOEVENTO&lt;&gt;"manual",$M309&lt;&gt;1)),
IF(Import.TipoArredondamento&lt;&gt;"TransfereGOV",
ROUND(OFFSET($P309,0,AG$13),15-13*ORÇAMENTO!$AF$7)/$H309*OFFSET(ORÇAMENTO!$X$15,ROW(AG309)-ROW(AG$15),0),
ROUND(ROUND(OFFSET($P309,0,AG$13),15-13*ORÇAMENTO!$AF$7)*OFFSET(ORÇAMENTO!$W$15,ROW(AG309)-ROW(AG$15),0),15-13*ORÇAMENTO!$AF$11)),0)</f>
        <v>0</v>
      </c>
      <c r="AH309" s="545">
        <f ca="1">IF(AND($D309="Serviço",AH$12&lt;&gt;0,$H309&gt;0,OR(AUTOEVENTO&lt;&gt;"manual",$M309&lt;&gt;1)),
IF(Import.TipoArredondamento&lt;&gt;"TransfereGOV",
ROUND(OFFSET($P309,0,AH$13),15-13*ORÇAMENTO!$AF$7)/$H309*OFFSET(ORÇAMENTO!$X$15,ROW(AH309)-ROW(AH$15),0),
ROUND(ROUND(OFFSET($P309,0,AH$13),15-13*ORÇAMENTO!$AF$7)*OFFSET(ORÇAMENTO!$W$15,ROW(AH309)-ROW(AH$15),0),15-13*ORÇAMENTO!$AF$11)),0)</f>
        <v>0</v>
      </c>
      <c r="AI309" s="545">
        <f ca="1">IF(AND($D309="Serviço",AI$12&lt;&gt;0,$H309&gt;0,OR(AUTOEVENTO&lt;&gt;"manual",$M309&lt;&gt;1)),
IF(Import.TipoArredondamento&lt;&gt;"TransfereGOV",
ROUND(OFFSET($P309,0,AI$13),15-13*ORÇAMENTO!$AF$7)/$H309*OFFSET(ORÇAMENTO!$X$15,ROW(AI309)-ROW(AI$15),0),
ROUND(ROUND(OFFSET($P309,0,AI$13),15-13*ORÇAMENTO!$AF$7)*OFFSET(ORÇAMENTO!$W$15,ROW(AI309)-ROW(AI$15),0),15-13*ORÇAMENTO!$AF$11)),0)</f>
        <v>0</v>
      </c>
      <c r="AJ309" s="545">
        <f ca="1">IF(AND($D309="Serviço",AJ$12&lt;&gt;0,$H309&gt;0,OR(AUTOEVENTO&lt;&gt;"manual",$M309&lt;&gt;1)),
IF(Import.TipoArredondamento&lt;&gt;"TransfereGOV",
ROUND(OFFSET($P309,0,AJ$13),15-13*ORÇAMENTO!$AF$7)/$H309*OFFSET(ORÇAMENTO!$X$15,ROW(AJ309)-ROW(AJ$15),0),
ROUND(ROUND(OFFSET($P309,0,AJ$13),15-13*ORÇAMENTO!$AF$7)*OFFSET(ORÇAMENTO!$W$15,ROW(AJ309)-ROW(AJ$15),0),15-13*ORÇAMENTO!$AF$11)),0)</f>
        <v>0</v>
      </c>
      <c r="AK309" s="546">
        <f ca="1">IF(AND($D309="Serviço",AK$12&lt;&gt;0,$H309&gt;0,OR(AUTOEVENTO&lt;&gt;"manual",$M309&lt;&gt;1)),
IF(Import.TipoArredondamento&lt;&gt;"TransfereGOV",
ROUND(OFFSET($P309,0,AK$13),15-13*ORÇAMENTO!$AF$7)/$H309*OFFSET(ORÇAMENTO!$X$15,ROW(AK309)-ROW(AK$15),0),
ROUND(ROUND(OFFSET($P309,0,AK$13),15-13*ORÇAMENTO!$AF$7)*OFFSET(ORÇAMENTO!$W$15,ROW(AK309)-ROW(AK$15),0),15-13*ORÇAMENTO!$AF$11)),0)</f>
        <v>0</v>
      </c>
      <c r="AM309" s="181">
        <f ca="1">IF($D309&lt;&gt;"Serviço",0,IF(AND(AUTOEVENTO="Manual",$M309=1),0,IF(OFFSET(CRONOPLE!$F$14,$M309,AM$13)="",10^12,OFFSET(CRONOPLE!$F$14,$M309,AM$13))))</f>
        <v>1000000000000</v>
      </c>
      <c r="AN309" s="181">
        <f ca="1">IF($D309&lt;&gt;"Serviço",0,IF(AND(AUTOEVENTO="Manual",$M309=1),0,IF(OFFSET(CRONOPLE!$F$14,$M309,AN$13)="",10^12,OFFSET(CRONOPLE!$F$14,$M309,AN$13))))</f>
        <v>1000000000000</v>
      </c>
      <c r="AO309" s="181">
        <f ca="1">IF($D309&lt;&gt;"Serviço",0,IF(AND(AUTOEVENTO="Manual",$M309=1),0,IF(OFFSET(CRONOPLE!$F$14,$M309,AO$13)="",10^12,OFFSET(CRONOPLE!$F$14,$M309,AO$13))))</f>
        <v>1000000000000</v>
      </c>
      <c r="AP309" s="181">
        <f ca="1">IF($D309&lt;&gt;"Serviço",0,IF(AND(AUTOEVENTO="Manual",$M309=1),0,IF(OFFSET(CRONOPLE!$F$14,$M309,AP$13)="",10^12,OFFSET(CRONOPLE!$F$14,$M309,AP$13))))</f>
        <v>1000000000000</v>
      </c>
      <c r="AQ309" s="181">
        <f ca="1">IF($D309&lt;&gt;"Serviço",0,IF(AND(AUTOEVENTO="Manual",$M309=1),0,IF(OFFSET(CRONOPLE!$F$14,$M309,AQ$13)="",10^12,OFFSET(CRONOPLE!$F$14,$M309,AQ$13))))</f>
        <v>1000000000000</v>
      </c>
      <c r="AR309" s="181">
        <f ca="1">IF($D309&lt;&gt;"Serviço",0,IF(AND(AUTOEVENTO="Manual",$M309=1),0,IF(OFFSET(CRONOPLE!$F$14,$M309,AR$13)="",10^12,OFFSET(CRONOPLE!$F$14,$M309,AR$13))))</f>
        <v>1000000000000</v>
      </c>
      <c r="AS309" s="181">
        <f ca="1">IF($D309&lt;&gt;"Serviço",0,IF(AND(AUTOEVENTO="Manual",$M309=1),0,IF(OFFSET(CRONOPLE!$F$14,$M309,AS$13)="",10^12,OFFSET(CRONOPLE!$F$14,$M309,AS$13))))</f>
        <v>1000000000000</v>
      </c>
      <c r="AT309" s="181">
        <f ca="1">IF($D309&lt;&gt;"Serviço",0,IF(AND(AUTOEVENTO="Manual",$M309=1),0,IF(OFFSET(CRONOPLE!$F$14,$M309,AT$13)="",10^12,OFFSET(CRONOPLE!$F$14,$M309,AT$13))))</f>
        <v>1000000000000</v>
      </c>
      <c r="AU309" s="181">
        <f ca="1">IF($D309&lt;&gt;"Serviço",0,IF(AND(AUTOEVENTO="Manual",$M309=1),0,IF(OFFSET(CRONOPLE!$F$14,$M309,AU$13)="",10^12,OFFSET(CRONOPLE!$F$14,$M309,AU$13))))</f>
        <v>1000000000000</v>
      </c>
      <c r="AV309" s="181">
        <f ca="1">IF($D309&lt;&gt;"Serviço",0,IF(AND(AUTOEVENTO="Manual",$M309=1),0,IF(OFFSET(CRONOPLE!$F$14,$M309,AV$13)="",10^12,OFFSET(CRONOPLE!$F$14,$M309,AV$13))))</f>
        <v>1000000000000</v>
      </c>
      <c r="AX309" s="182">
        <f ca="1">IF($D309&lt;&gt;"Serviço",0,IF(OR(AND(AUTOEVENTO="Manual",$M309=1),$M309&gt;(ROW(PLE.lastrow)-ROW(PLE.firstrow))),0,IF(OFFSET(PLE!$G$14,$M309,AX$13)="",10^12,OFFSET(PLE!$G$14,$M309,AX$13))))</f>
        <v>1000000000000</v>
      </c>
      <c r="AY309" s="182">
        <f ca="1">IF($D309&lt;&gt;"Serviço",0,IF(OR(AND(AUTOEVENTO="Manual",$M309=1),$M309&gt;(ROW(PLE.lastrow)-ROW(PLE.firstrow))),0,IF(OFFSET(PLE!$G$14,$M309,AY$13)="",10^12,OFFSET(PLE!$G$14,$M309,AY$13))))</f>
        <v>1000000000000</v>
      </c>
      <c r="AZ309" s="182">
        <f ca="1">IF($D309&lt;&gt;"Serviço",0,IF(OR(AND(AUTOEVENTO="Manual",$M309=1),$M309&gt;(ROW(PLE.lastrow)-ROW(PLE.firstrow))),0,IF(OFFSET(PLE!$G$14,$M309,AZ$13)="",10^12,OFFSET(PLE!$G$14,$M309,AZ$13))))</f>
        <v>1000000000000</v>
      </c>
      <c r="BA309" s="182">
        <f ca="1">IF($D309&lt;&gt;"Serviço",0,IF(OR(AND(AUTOEVENTO="Manual",$M309=1),$M309&gt;(ROW(PLE.lastrow)-ROW(PLE.firstrow))),0,IF(OFFSET(PLE!$G$14,$M309,BA$13)="",10^12,OFFSET(PLE!$G$14,$M309,BA$13))))</f>
        <v>1000000000000</v>
      </c>
      <c r="BB309" s="182">
        <f ca="1">IF($D309&lt;&gt;"Serviço",0,IF(OR(AND(AUTOEVENTO="Manual",$M309=1),$M309&gt;(ROW(PLE.lastrow)-ROW(PLE.firstrow))),0,IF(OFFSET(PLE!$G$14,$M309,BB$13)="",10^12,OFFSET(PLE!$G$14,$M309,BB$13))))</f>
        <v>1000000000000</v>
      </c>
      <c r="BC309" s="182">
        <f ca="1">IF($D309&lt;&gt;"Serviço",0,IF(OR(AND(AUTOEVENTO="Manual",$M309=1),$M309&gt;(ROW(PLE.lastrow)-ROW(PLE.firstrow))),0,IF(OFFSET(PLE!$G$14,$M309,BC$13)="",10^12,OFFSET(PLE!$G$14,$M309,BC$13))))</f>
        <v>1000000000000</v>
      </c>
      <c r="BD309" s="182">
        <f ca="1">IF($D309&lt;&gt;"Serviço",0,IF(OR(AND(AUTOEVENTO="Manual",$M309=1),$M309&gt;(ROW(PLE.lastrow)-ROW(PLE.firstrow))),0,IF(OFFSET(PLE!$G$14,$M309,BD$13)="",10^12,OFFSET(PLE!$G$14,$M309,BD$13))))</f>
        <v>1000000000000</v>
      </c>
      <c r="BE309" s="182">
        <f ca="1">IF($D309&lt;&gt;"Serviço",0,IF(OR(AND(AUTOEVENTO="Manual",$M309=1),$M309&gt;(ROW(PLE.lastrow)-ROW(PLE.firstrow))),0,IF(OFFSET(PLE!$G$14,$M309,BE$13)="",10^12,OFFSET(PLE!$G$14,$M309,BE$13))))</f>
        <v>1000000000000</v>
      </c>
      <c r="BF309" s="182">
        <f ca="1">IF($D309&lt;&gt;"Serviço",0,IF(OR(AND(AUTOEVENTO="Manual",$M309=1),$M309&gt;(ROW(PLE.lastrow)-ROW(PLE.firstrow))),0,IF(OFFSET(PLE!$G$14,$M309,BF$13)="",10^12,OFFSET(PLE!$G$14,$M309,BF$13))))</f>
        <v>1000000000000</v>
      </c>
      <c r="BG309" s="182">
        <f ca="1">IF($D309&lt;&gt;"Serviço",0,IF(OR(AND(AUTOEVENTO="Manual",$M309=1),$M309&gt;(ROW(PLE.lastrow)-ROW(PLE.firstrow))),0,IF(OFFSET(PLE!$G$14,$M309,BG$13)="",10^12,OFFSET(PLE!$G$14,$M309,BG$13))))</f>
        <v>1000000000000</v>
      </c>
    </row>
    <row r="310" spans="1:59" ht="38.25" x14ac:dyDescent="0.2">
      <c r="A310" s="7" t="str">
        <f t="shared" ca="1" si="11"/>
        <v>251</v>
      </c>
      <c r="B310" s="7" t="str">
        <f ca="1">OFFSET(ORÇAMENTO!C$15,ROW(B310)-ROW(B$15),0)</f>
        <v>S</v>
      </c>
      <c r="C310" s="7" t="str">
        <f ca="1">OFFSET(ORÇAMENTO!L$15,ROW(C310)-ROW(C$15),0)</f>
        <v/>
      </c>
      <c r="D310" s="118" t="str">
        <f ca="1">OFFSET(ORÇAMENTO!N$15,ROW(D310)-ROW(D$15),0)</f>
        <v>Serviço</v>
      </c>
      <c r="E310" s="119" t="str">
        <f ca="1">OFFSET(ORÇAMENTO!O$15,ROW(E310)-ROW(E$15),0)</f>
        <v>-</v>
      </c>
      <c r="F310" s="172" t="str">
        <f ca="1">OFFSET(ORÇAMENTO!R$15,ROW(F310)-ROW(F$15),0)</f>
        <v>(abra o arquivo 'Referência 02-2025.xlsm)</v>
      </c>
      <c r="G310" s="173" t="str">
        <f ca="1">IF($D310&lt;&gt;"Serviço","",OFFSET(ORÇAMENTO!S$15,ROW(G310)-ROW(G$15),0))</f>
        <v>-</v>
      </c>
      <c r="H310" s="124">
        <f ca="1">IF($D310&lt;&gt;"Serviço",0,IF(ACOMPANHAMENTO="BM",ROUND(OFFSET(ORÇAMENTO!AJ$15,ROW(H310)-ROW(H$15),0),15-13*ORÇAMENTO!$AF$7),SUMPRODUCT(($Q$12:$AA$12&lt;&gt;"")*ROUND($Q310:$AA310,15-13*ORÇAMENTO!$AF$7))))</f>
        <v>13</v>
      </c>
      <c r="I310" s="561" t="s">
        <v>890</v>
      </c>
      <c r="K310" s="174"/>
      <c r="L310" s="175" t="s">
        <v>255</v>
      </c>
      <c r="M310" s="176">
        <f ca="1">IF($D310&lt;&gt;"Serviço","",IF(AUTOEVENTO="manual",$A310,IF(ISERROR(MATCH($A310,$A$15:OFFSET($A310,-1,0),0)),MAX($M$15:OFFSET(M310,-1,0))+1,INDEX($M$15:OFFSET(M310,-1,0),MATCH($A310,$A$15:OFFSET($A310,-1,0),0)))))</f>
        <v>13</v>
      </c>
      <c r="N310" s="177" t="str">
        <f ca="1">IF($D310&lt;&gt;"Serviço","",IF(AUTOEVENTO="Manual",IF($A310=0,"&lt;-- defina o número do agrupador",OFFSET(EVENTOS!$D$14,$A310,0)),OFFSET($F$15,$A310,0)))</f>
        <v>INSTALAÇÃO HIDRÁULICA</v>
      </c>
      <c r="O310" s="178"/>
      <c r="Q310" s="178"/>
      <c r="R310" s="179"/>
      <c r="S310" s="179"/>
      <c r="T310" s="179"/>
      <c r="U310" s="179"/>
      <c r="V310" s="179"/>
      <c r="W310" s="179"/>
      <c r="X310" s="179"/>
      <c r="Y310" s="179"/>
      <c r="Z310" s="180"/>
      <c r="AB310" s="544">
        <f ca="1">IF(AND($D310="Serviço",AB$12&lt;&gt;0,$H310&gt;0,OR(AUTOEVENTO&lt;&gt;"manual",$M310&lt;&gt;1)),
IF(Import.TipoArredondamento&lt;&gt;"TransfereGOV",
ROUND(OFFSET($P310,0,AB$13),15-13*ORÇAMENTO!$AF$7)/$H310*OFFSET(ORÇAMENTO!$X$15,ROW(AB310)-ROW(AB$15),0),
ROUND(ROUND(OFFSET($P310,0,AB$13),15-13*ORÇAMENTO!$AF$7)*OFFSET(ORÇAMENTO!$W$15,ROW(AB310)-ROW(AB$15),0),15-13*ORÇAMENTO!$AF$11)),0)</f>
        <v>0</v>
      </c>
      <c r="AC310" s="545">
        <f ca="1">IF(AND($D310="Serviço",AC$12&lt;&gt;0,$H310&gt;0,OR(AUTOEVENTO&lt;&gt;"manual",$M310&lt;&gt;1)),
IF(Import.TipoArredondamento&lt;&gt;"TransfereGOV",
ROUND(OFFSET($P310,0,AC$13),15-13*ORÇAMENTO!$AF$7)/$H310*OFFSET(ORÇAMENTO!$X$15,ROW(AC310)-ROW(AC$15),0),
ROUND(ROUND(OFFSET($P310,0,AC$13),15-13*ORÇAMENTO!$AF$7)*OFFSET(ORÇAMENTO!$W$15,ROW(AC310)-ROW(AC$15),0),15-13*ORÇAMENTO!$AF$11)),0)</f>
        <v>0</v>
      </c>
      <c r="AD310" s="545">
        <f ca="1">IF(AND($D310="Serviço",AD$12&lt;&gt;0,$H310&gt;0,OR(AUTOEVENTO&lt;&gt;"manual",$M310&lt;&gt;1)),
IF(Import.TipoArredondamento&lt;&gt;"TransfereGOV",
ROUND(OFFSET($P310,0,AD$13),15-13*ORÇAMENTO!$AF$7)/$H310*OFFSET(ORÇAMENTO!$X$15,ROW(AD310)-ROW(AD$15),0),
ROUND(ROUND(OFFSET($P310,0,AD$13),15-13*ORÇAMENTO!$AF$7)*OFFSET(ORÇAMENTO!$W$15,ROW(AD310)-ROW(AD$15),0),15-13*ORÇAMENTO!$AF$11)),0)</f>
        <v>0</v>
      </c>
      <c r="AE310" s="545">
        <f ca="1">IF(AND($D310="Serviço",AE$12&lt;&gt;0,$H310&gt;0,OR(AUTOEVENTO&lt;&gt;"manual",$M310&lt;&gt;1)),
IF(Import.TipoArredondamento&lt;&gt;"TransfereGOV",
ROUND(OFFSET($P310,0,AE$13),15-13*ORÇAMENTO!$AF$7)/$H310*OFFSET(ORÇAMENTO!$X$15,ROW(AE310)-ROW(AE$15),0),
ROUND(ROUND(OFFSET($P310,0,AE$13),15-13*ORÇAMENTO!$AF$7)*OFFSET(ORÇAMENTO!$W$15,ROW(AE310)-ROW(AE$15),0),15-13*ORÇAMENTO!$AF$11)),0)</f>
        <v>0</v>
      </c>
      <c r="AF310" s="545">
        <f ca="1">IF(AND($D310="Serviço",AF$12&lt;&gt;0,$H310&gt;0,OR(AUTOEVENTO&lt;&gt;"manual",$M310&lt;&gt;1)),
IF(Import.TipoArredondamento&lt;&gt;"TransfereGOV",
ROUND(OFFSET($P310,0,AF$13),15-13*ORÇAMENTO!$AF$7)/$H310*OFFSET(ORÇAMENTO!$X$15,ROW(AF310)-ROW(AF$15),0),
ROUND(ROUND(OFFSET($P310,0,AF$13),15-13*ORÇAMENTO!$AF$7)*OFFSET(ORÇAMENTO!$W$15,ROW(AF310)-ROW(AF$15),0),15-13*ORÇAMENTO!$AF$11)),0)</f>
        <v>0</v>
      </c>
      <c r="AG310" s="545">
        <f ca="1">IF(AND($D310="Serviço",AG$12&lt;&gt;0,$H310&gt;0,OR(AUTOEVENTO&lt;&gt;"manual",$M310&lt;&gt;1)),
IF(Import.TipoArredondamento&lt;&gt;"TransfereGOV",
ROUND(OFFSET($P310,0,AG$13),15-13*ORÇAMENTO!$AF$7)/$H310*OFFSET(ORÇAMENTO!$X$15,ROW(AG310)-ROW(AG$15),0),
ROUND(ROUND(OFFSET($P310,0,AG$13),15-13*ORÇAMENTO!$AF$7)*OFFSET(ORÇAMENTO!$W$15,ROW(AG310)-ROW(AG$15),0),15-13*ORÇAMENTO!$AF$11)),0)</f>
        <v>0</v>
      </c>
      <c r="AH310" s="545">
        <f ca="1">IF(AND($D310="Serviço",AH$12&lt;&gt;0,$H310&gt;0,OR(AUTOEVENTO&lt;&gt;"manual",$M310&lt;&gt;1)),
IF(Import.TipoArredondamento&lt;&gt;"TransfereGOV",
ROUND(OFFSET($P310,0,AH$13),15-13*ORÇAMENTO!$AF$7)/$H310*OFFSET(ORÇAMENTO!$X$15,ROW(AH310)-ROW(AH$15),0),
ROUND(ROUND(OFFSET($P310,0,AH$13),15-13*ORÇAMENTO!$AF$7)*OFFSET(ORÇAMENTO!$W$15,ROW(AH310)-ROW(AH$15),0),15-13*ORÇAMENTO!$AF$11)),0)</f>
        <v>0</v>
      </c>
      <c r="AI310" s="545">
        <f ca="1">IF(AND($D310="Serviço",AI$12&lt;&gt;0,$H310&gt;0,OR(AUTOEVENTO&lt;&gt;"manual",$M310&lt;&gt;1)),
IF(Import.TipoArredondamento&lt;&gt;"TransfereGOV",
ROUND(OFFSET($P310,0,AI$13),15-13*ORÇAMENTO!$AF$7)/$H310*OFFSET(ORÇAMENTO!$X$15,ROW(AI310)-ROW(AI$15),0),
ROUND(ROUND(OFFSET($P310,0,AI$13),15-13*ORÇAMENTO!$AF$7)*OFFSET(ORÇAMENTO!$W$15,ROW(AI310)-ROW(AI$15),0),15-13*ORÇAMENTO!$AF$11)),0)</f>
        <v>0</v>
      </c>
      <c r="AJ310" s="545">
        <f ca="1">IF(AND($D310="Serviço",AJ$12&lt;&gt;0,$H310&gt;0,OR(AUTOEVENTO&lt;&gt;"manual",$M310&lt;&gt;1)),
IF(Import.TipoArredondamento&lt;&gt;"TransfereGOV",
ROUND(OFFSET($P310,0,AJ$13),15-13*ORÇAMENTO!$AF$7)/$H310*OFFSET(ORÇAMENTO!$X$15,ROW(AJ310)-ROW(AJ$15),0),
ROUND(ROUND(OFFSET($P310,0,AJ$13),15-13*ORÇAMENTO!$AF$7)*OFFSET(ORÇAMENTO!$W$15,ROW(AJ310)-ROW(AJ$15),0),15-13*ORÇAMENTO!$AF$11)),0)</f>
        <v>0</v>
      </c>
      <c r="AK310" s="546">
        <f ca="1">IF(AND($D310="Serviço",AK$12&lt;&gt;0,$H310&gt;0,OR(AUTOEVENTO&lt;&gt;"manual",$M310&lt;&gt;1)),
IF(Import.TipoArredondamento&lt;&gt;"TransfereGOV",
ROUND(OFFSET($P310,0,AK$13),15-13*ORÇAMENTO!$AF$7)/$H310*OFFSET(ORÇAMENTO!$X$15,ROW(AK310)-ROW(AK$15),0),
ROUND(ROUND(OFFSET($P310,0,AK$13),15-13*ORÇAMENTO!$AF$7)*OFFSET(ORÇAMENTO!$W$15,ROW(AK310)-ROW(AK$15),0),15-13*ORÇAMENTO!$AF$11)),0)</f>
        <v>0</v>
      </c>
      <c r="AM310" s="181">
        <f ca="1">IF($D310&lt;&gt;"Serviço",0,IF(AND(AUTOEVENTO="Manual",$M310=1),0,IF(OFFSET(CRONOPLE!$F$14,$M310,AM$13)="",10^12,OFFSET(CRONOPLE!$F$14,$M310,AM$13))))</f>
        <v>1000000000000</v>
      </c>
      <c r="AN310" s="181">
        <f ca="1">IF($D310&lt;&gt;"Serviço",0,IF(AND(AUTOEVENTO="Manual",$M310=1),0,IF(OFFSET(CRONOPLE!$F$14,$M310,AN$13)="",10^12,OFFSET(CRONOPLE!$F$14,$M310,AN$13))))</f>
        <v>1000000000000</v>
      </c>
      <c r="AO310" s="181">
        <f ca="1">IF($D310&lt;&gt;"Serviço",0,IF(AND(AUTOEVENTO="Manual",$M310=1),0,IF(OFFSET(CRONOPLE!$F$14,$M310,AO$13)="",10^12,OFFSET(CRONOPLE!$F$14,$M310,AO$13))))</f>
        <v>1000000000000</v>
      </c>
      <c r="AP310" s="181">
        <f ca="1">IF($D310&lt;&gt;"Serviço",0,IF(AND(AUTOEVENTO="Manual",$M310=1),0,IF(OFFSET(CRONOPLE!$F$14,$M310,AP$13)="",10^12,OFFSET(CRONOPLE!$F$14,$M310,AP$13))))</f>
        <v>1000000000000</v>
      </c>
      <c r="AQ310" s="181">
        <f ca="1">IF($D310&lt;&gt;"Serviço",0,IF(AND(AUTOEVENTO="Manual",$M310=1),0,IF(OFFSET(CRONOPLE!$F$14,$M310,AQ$13)="",10^12,OFFSET(CRONOPLE!$F$14,$M310,AQ$13))))</f>
        <v>1000000000000</v>
      </c>
      <c r="AR310" s="181">
        <f ca="1">IF($D310&lt;&gt;"Serviço",0,IF(AND(AUTOEVENTO="Manual",$M310=1),0,IF(OFFSET(CRONOPLE!$F$14,$M310,AR$13)="",10^12,OFFSET(CRONOPLE!$F$14,$M310,AR$13))))</f>
        <v>1000000000000</v>
      </c>
      <c r="AS310" s="181">
        <f ca="1">IF($D310&lt;&gt;"Serviço",0,IF(AND(AUTOEVENTO="Manual",$M310=1),0,IF(OFFSET(CRONOPLE!$F$14,$M310,AS$13)="",10^12,OFFSET(CRONOPLE!$F$14,$M310,AS$13))))</f>
        <v>1000000000000</v>
      </c>
      <c r="AT310" s="181">
        <f ca="1">IF($D310&lt;&gt;"Serviço",0,IF(AND(AUTOEVENTO="Manual",$M310=1),0,IF(OFFSET(CRONOPLE!$F$14,$M310,AT$13)="",10^12,OFFSET(CRONOPLE!$F$14,$M310,AT$13))))</f>
        <v>1000000000000</v>
      </c>
      <c r="AU310" s="181">
        <f ca="1">IF($D310&lt;&gt;"Serviço",0,IF(AND(AUTOEVENTO="Manual",$M310=1),0,IF(OFFSET(CRONOPLE!$F$14,$M310,AU$13)="",10^12,OFFSET(CRONOPLE!$F$14,$M310,AU$13))))</f>
        <v>1000000000000</v>
      </c>
      <c r="AV310" s="181">
        <f ca="1">IF($D310&lt;&gt;"Serviço",0,IF(AND(AUTOEVENTO="Manual",$M310=1),0,IF(OFFSET(CRONOPLE!$F$14,$M310,AV$13)="",10^12,OFFSET(CRONOPLE!$F$14,$M310,AV$13))))</f>
        <v>1000000000000</v>
      </c>
      <c r="AX310" s="182">
        <f ca="1">IF($D310&lt;&gt;"Serviço",0,IF(OR(AND(AUTOEVENTO="Manual",$M310=1),$M310&gt;(ROW(PLE.lastrow)-ROW(PLE.firstrow))),0,IF(OFFSET(PLE!$G$14,$M310,AX$13)="",10^12,OFFSET(PLE!$G$14,$M310,AX$13))))</f>
        <v>1000000000000</v>
      </c>
      <c r="AY310" s="182">
        <f ca="1">IF($D310&lt;&gt;"Serviço",0,IF(OR(AND(AUTOEVENTO="Manual",$M310=1),$M310&gt;(ROW(PLE.lastrow)-ROW(PLE.firstrow))),0,IF(OFFSET(PLE!$G$14,$M310,AY$13)="",10^12,OFFSET(PLE!$G$14,$M310,AY$13))))</f>
        <v>1000000000000</v>
      </c>
      <c r="AZ310" s="182">
        <f ca="1">IF($D310&lt;&gt;"Serviço",0,IF(OR(AND(AUTOEVENTO="Manual",$M310=1),$M310&gt;(ROW(PLE.lastrow)-ROW(PLE.firstrow))),0,IF(OFFSET(PLE!$G$14,$M310,AZ$13)="",10^12,OFFSET(PLE!$G$14,$M310,AZ$13))))</f>
        <v>1000000000000</v>
      </c>
      <c r="BA310" s="182">
        <f ca="1">IF($D310&lt;&gt;"Serviço",0,IF(OR(AND(AUTOEVENTO="Manual",$M310=1),$M310&gt;(ROW(PLE.lastrow)-ROW(PLE.firstrow))),0,IF(OFFSET(PLE!$G$14,$M310,BA$13)="",10^12,OFFSET(PLE!$G$14,$M310,BA$13))))</f>
        <v>1000000000000</v>
      </c>
      <c r="BB310" s="182">
        <f ca="1">IF($D310&lt;&gt;"Serviço",0,IF(OR(AND(AUTOEVENTO="Manual",$M310=1),$M310&gt;(ROW(PLE.lastrow)-ROW(PLE.firstrow))),0,IF(OFFSET(PLE!$G$14,$M310,BB$13)="",10^12,OFFSET(PLE!$G$14,$M310,BB$13))))</f>
        <v>1000000000000</v>
      </c>
      <c r="BC310" s="182">
        <f ca="1">IF($D310&lt;&gt;"Serviço",0,IF(OR(AND(AUTOEVENTO="Manual",$M310=1),$M310&gt;(ROW(PLE.lastrow)-ROW(PLE.firstrow))),0,IF(OFFSET(PLE!$G$14,$M310,BC$13)="",10^12,OFFSET(PLE!$G$14,$M310,BC$13))))</f>
        <v>1000000000000</v>
      </c>
      <c r="BD310" s="182">
        <f ca="1">IF($D310&lt;&gt;"Serviço",0,IF(OR(AND(AUTOEVENTO="Manual",$M310=1),$M310&gt;(ROW(PLE.lastrow)-ROW(PLE.firstrow))),0,IF(OFFSET(PLE!$G$14,$M310,BD$13)="",10^12,OFFSET(PLE!$G$14,$M310,BD$13))))</f>
        <v>1000000000000</v>
      </c>
      <c r="BE310" s="182">
        <f ca="1">IF($D310&lt;&gt;"Serviço",0,IF(OR(AND(AUTOEVENTO="Manual",$M310=1),$M310&gt;(ROW(PLE.lastrow)-ROW(PLE.firstrow))),0,IF(OFFSET(PLE!$G$14,$M310,BE$13)="",10^12,OFFSET(PLE!$G$14,$M310,BE$13))))</f>
        <v>1000000000000</v>
      </c>
      <c r="BF310" s="182">
        <f ca="1">IF($D310&lt;&gt;"Serviço",0,IF(OR(AND(AUTOEVENTO="Manual",$M310=1),$M310&gt;(ROW(PLE.lastrow)-ROW(PLE.firstrow))),0,IF(OFFSET(PLE!$G$14,$M310,BF$13)="",10^12,OFFSET(PLE!$G$14,$M310,BF$13))))</f>
        <v>1000000000000</v>
      </c>
      <c r="BG310" s="182">
        <f ca="1">IF($D310&lt;&gt;"Serviço",0,IF(OR(AND(AUTOEVENTO="Manual",$M310=1),$M310&gt;(ROW(PLE.lastrow)-ROW(PLE.firstrow))),0,IF(OFFSET(PLE!$G$14,$M310,BG$13)="",10^12,OFFSET(PLE!$G$14,$M310,BG$13))))</f>
        <v>1000000000000</v>
      </c>
    </row>
    <row r="311" spans="1:59" ht="25.5" x14ac:dyDescent="0.2">
      <c r="A311" s="7" t="str">
        <f t="shared" ca="1" si="11"/>
        <v>251</v>
      </c>
      <c r="B311" s="7" t="str">
        <f ca="1">OFFSET(ORÇAMENTO!C$15,ROW(B311)-ROW(B$15),0)</f>
        <v>S</v>
      </c>
      <c r="C311" s="7" t="str">
        <f ca="1">OFFSET(ORÇAMENTO!L$15,ROW(C311)-ROW(C$15),0)</f>
        <v/>
      </c>
      <c r="D311" s="118" t="str">
        <f ca="1">OFFSET(ORÇAMENTO!N$15,ROW(D311)-ROW(D$15),0)</f>
        <v>Serviço</v>
      </c>
      <c r="E311" s="119" t="str">
        <f ca="1">OFFSET(ORÇAMENTO!O$15,ROW(E311)-ROW(E$15),0)</f>
        <v>-</v>
      </c>
      <c r="F311" s="172" t="str">
        <f ca="1">OFFSET(ORÇAMENTO!R$15,ROW(F311)-ROW(F$15),0)</f>
        <v>(abra o arquivo 'Referência 02-2025.xlsm)</v>
      </c>
      <c r="G311" s="173" t="str">
        <f ca="1">IF($D311&lt;&gt;"Serviço","",OFFSET(ORÇAMENTO!S$15,ROW(G311)-ROW(G$15),0))</f>
        <v>-</v>
      </c>
      <c r="H311" s="124">
        <f ca="1">IF($D311&lt;&gt;"Serviço",0,IF(ACOMPANHAMENTO="BM",ROUND(OFFSET(ORÇAMENTO!AJ$15,ROW(H311)-ROW(H$15),0),15-13*ORÇAMENTO!$AF$7),SUMPRODUCT(($Q$12:$AA$12&lt;&gt;"")*ROUND($Q311:$AA311,15-13*ORÇAMENTO!$AF$7))))</f>
        <v>1</v>
      </c>
      <c r="I311" s="561" t="s">
        <v>890</v>
      </c>
      <c r="K311" s="174"/>
      <c r="L311" s="175" t="s">
        <v>255</v>
      </c>
      <c r="M311" s="176">
        <f ca="1">IF($D311&lt;&gt;"Serviço","",IF(AUTOEVENTO="manual",$A311,IF(ISERROR(MATCH($A311,$A$15:OFFSET($A311,-1,0),0)),MAX($M$15:OFFSET(M311,-1,0))+1,INDEX($M$15:OFFSET(M311,-1,0),MATCH($A311,$A$15:OFFSET($A311,-1,0),0)))))</f>
        <v>13</v>
      </c>
      <c r="N311" s="177" t="str">
        <f ca="1">IF($D311&lt;&gt;"Serviço","",IF(AUTOEVENTO="Manual",IF($A311=0,"&lt;-- defina o número do agrupador",OFFSET(EVENTOS!$D$14,$A311,0)),OFFSET($F$15,$A311,0)))</f>
        <v>INSTALAÇÃO HIDRÁULICA</v>
      </c>
      <c r="O311" s="178"/>
      <c r="Q311" s="178"/>
      <c r="R311" s="179"/>
      <c r="S311" s="179"/>
      <c r="T311" s="179"/>
      <c r="U311" s="179"/>
      <c r="V311" s="179"/>
      <c r="W311" s="179"/>
      <c r="X311" s="179"/>
      <c r="Y311" s="179"/>
      <c r="Z311" s="180"/>
      <c r="AB311" s="544">
        <f ca="1">IF(AND($D311="Serviço",AB$12&lt;&gt;0,$H311&gt;0,OR(AUTOEVENTO&lt;&gt;"manual",$M311&lt;&gt;1)),
IF(Import.TipoArredondamento&lt;&gt;"TransfereGOV",
ROUND(OFFSET($P311,0,AB$13),15-13*ORÇAMENTO!$AF$7)/$H311*OFFSET(ORÇAMENTO!$X$15,ROW(AB311)-ROW(AB$15),0),
ROUND(ROUND(OFFSET($P311,0,AB$13),15-13*ORÇAMENTO!$AF$7)*OFFSET(ORÇAMENTO!$W$15,ROW(AB311)-ROW(AB$15),0),15-13*ORÇAMENTO!$AF$11)),0)</f>
        <v>0</v>
      </c>
      <c r="AC311" s="545">
        <f ca="1">IF(AND($D311="Serviço",AC$12&lt;&gt;0,$H311&gt;0,OR(AUTOEVENTO&lt;&gt;"manual",$M311&lt;&gt;1)),
IF(Import.TipoArredondamento&lt;&gt;"TransfereGOV",
ROUND(OFFSET($P311,0,AC$13),15-13*ORÇAMENTO!$AF$7)/$H311*OFFSET(ORÇAMENTO!$X$15,ROW(AC311)-ROW(AC$15),0),
ROUND(ROUND(OFFSET($P311,0,AC$13),15-13*ORÇAMENTO!$AF$7)*OFFSET(ORÇAMENTO!$W$15,ROW(AC311)-ROW(AC$15),0),15-13*ORÇAMENTO!$AF$11)),0)</f>
        <v>0</v>
      </c>
      <c r="AD311" s="545">
        <f ca="1">IF(AND($D311="Serviço",AD$12&lt;&gt;0,$H311&gt;0,OR(AUTOEVENTO&lt;&gt;"manual",$M311&lt;&gt;1)),
IF(Import.TipoArredondamento&lt;&gt;"TransfereGOV",
ROUND(OFFSET($P311,0,AD$13),15-13*ORÇAMENTO!$AF$7)/$H311*OFFSET(ORÇAMENTO!$X$15,ROW(AD311)-ROW(AD$15),0),
ROUND(ROUND(OFFSET($P311,0,AD$13),15-13*ORÇAMENTO!$AF$7)*OFFSET(ORÇAMENTO!$W$15,ROW(AD311)-ROW(AD$15),0),15-13*ORÇAMENTO!$AF$11)),0)</f>
        <v>0</v>
      </c>
      <c r="AE311" s="545">
        <f ca="1">IF(AND($D311="Serviço",AE$12&lt;&gt;0,$H311&gt;0,OR(AUTOEVENTO&lt;&gt;"manual",$M311&lt;&gt;1)),
IF(Import.TipoArredondamento&lt;&gt;"TransfereGOV",
ROUND(OFFSET($P311,0,AE$13),15-13*ORÇAMENTO!$AF$7)/$H311*OFFSET(ORÇAMENTO!$X$15,ROW(AE311)-ROW(AE$15),0),
ROUND(ROUND(OFFSET($P311,0,AE$13),15-13*ORÇAMENTO!$AF$7)*OFFSET(ORÇAMENTO!$W$15,ROW(AE311)-ROW(AE$15),0),15-13*ORÇAMENTO!$AF$11)),0)</f>
        <v>0</v>
      </c>
      <c r="AF311" s="545">
        <f ca="1">IF(AND($D311="Serviço",AF$12&lt;&gt;0,$H311&gt;0,OR(AUTOEVENTO&lt;&gt;"manual",$M311&lt;&gt;1)),
IF(Import.TipoArredondamento&lt;&gt;"TransfereGOV",
ROUND(OFFSET($P311,0,AF$13),15-13*ORÇAMENTO!$AF$7)/$H311*OFFSET(ORÇAMENTO!$X$15,ROW(AF311)-ROW(AF$15),0),
ROUND(ROUND(OFFSET($P311,0,AF$13),15-13*ORÇAMENTO!$AF$7)*OFFSET(ORÇAMENTO!$W$15,ROW(AF311)-ROW(AF$15),0),15-13*ORÇAMENTO!$AF$11)),0)</f>
        <v>0</v>
      </c>
      <c r="AG311" s="545">
        <f ca="1">IF(AND($D311="Serviço",AG$12&lt;&gt;0,$H311&gt;0,OR(AUTOEVENTO&lt;&gt;"manual",$M311&lt;&gt;1)),
IF(Import.TipoArredondamento&lt;&gt;"TransfereGOV",
ROUND(OFFSET($P311,0,AG$13),15-13*ORÇAMENTO!$AF$7)/$H311*OFFSET(ORÇAMENTO!$X$15,ROW(AG311)-ROW(AG$15),0),
ROUND(ROUND(OFFSET($P311,0,AG$13),15-13*ORÇAMENTO!$AF$7)*OFFSET(ORÇAMENTO!$W$15,ROW(AG311)-ROW(AG$15),0),15-13*ORÇAMENTO!$AF$11)),0)</f>
        <v>0</v>
      </c>
      <c r="AH311" s="545">
        <f ca="1">IF(AND($D311="Serviço",AH$12&lt;&gt;0,$H311&gt;0,OR(AUTOEVENTO&lt;&gt;"manual",$M311&lt;&gt;1)),
IF(Import.TipoArredondamento&lt;&gt;"TransfereGOV",
ROUND(OFFSET($P311,0,AH$13),15-13*ORÇAMENTO!$AF$7)/$H311*OFFSET(ORÇAMENTO!$X$15,ROW(AH311)-ROW(AH$15),0),
ROUND(ROUND(OFFSET($P311,0,AH$13),15-13*ORÇAMENTO!$AF$7)*OFFSET(ORÇAMENTO!$W$15,ROW(AH311)-ROW(AH$15),0),15-13*ORÇAMENTO!$AF$11)),0)</f>
        <v>0</v>
      </c>
      <c r="AI311" s="545">
        <f ca="1">IF(AND($D311="Serviço",AI$12&lt;&gt;0,$H311&gt;0,OR(AUTOEVENTO&lt;&gt;"manual",$M311&lt;&gt;1)),
IF(Import.TipoArredondamento&lt;&gt;"TransfereGOV",
ROUND(OFFSET($P311,0,AI$13),15-13*ORÇAMENTO!$AF$7)/$H311*OFFSET(ORÇAMENTO!$X$15,ROW(AI311)-ROW(AI$15),0),
ROUND(ROUND(OFFSET($P311,0,AI$13),15-13*ORÇAMENTO!$AF$7)*OFFSET(ORÇAMENTO!$W$15,ROW(AI311)-ROW(AI$15),0),15-13*ORÇAMENTO!$AF$11)),0)</f>
        <v>0</v>
      </c>
      <c r="AJ311" s="545">
        <f ca="1">IF(AND($D311="Serviço",AJ$12&lt;&gt;0,$H311&gt;0,OR(AUTOEVENTO&lt;&gt;"manual",$M311&lt;&gt;1)),
IF(Import.TipoArredondamento&lt;&gt;"TransfereGOV",
ROUND(OFFSET($P311,0,AJ$13),15-13*ORÇAMENTO!$AF$7)/$H311*OFFSET(ORÇAMENTO!$X$15,ROW(AJ311)-ROW(AJ$15),0),
ROUND(ROUND(OFFSET($P311,0,AJ$13),15-13*ORÇAMENTO!$AF$7)*OFFSET(ORÇAMENTO!$W$15,ROW(AJ311)-ROW(AJ$15),0),15-13*ORÇAMENTO!$AF$11)),0)</f>
        <v>0</v>
      </c>
      <c r="AK311" s="546">
        <f ca="1">IF(AND($D311="Serviço",AK$12&lt;&gt;0,$H311&gt;0,OR(AUTOEVENTO&lt;&gt;"manual",$M311&lt;&gt;1)),
IF(Import.TipoArredondamento&lt;&gt;"TransfereGOV",
ROUND(OFFSET($P311,0,AK$13),15-13*ORÇAMENTO!$AF$7)/$H311*OFFSET(ORÇAMENTO!$X$15,ROW(AK311)-ROW(AK$15),0),
ROUND(ROUND(OFFSET($P311,0,AK$13),15-13*ORÇAMENTO!$AF$7)*OFFSET(ORÇAMENTO!$W$15,ROW(AK311)-ROW(AK$15),0),15-13*ORÇAMENTO!$AF$11)),0)</f>
        <v>0</v>
      </c>
      <c r="AM311" s="181">
        <f ca="1">IF($D311&lt;&gt;"Serviço",0,IF(AND(AUTOEVENTO="Manual",$M311=1),0,IF(OFFSET(CRONOPLE!$F$14,$M311,AM$13)="",10^12,OFFSET(CRONOPLE!$F$14,$M311,AM$13))))</f>
        <v>1000000000000</v>
      </c>
      <c r="AN311" s="181">
        <f ca="1">IF($D311&lt;&gt;"Serviço",0,IF(AND(AUTOEVENTO="Manual",$M311=1),0,IF(OFFSET(CRONOPLE!$F$14,$M311,AN$13)="",10^12,OFFSET(CRONOPLE!$F$14,$M311,AN$13))))</f>
        <v>1000000000000</v>
      </c>
      <c r="AO311" s="181">
        <f ca="1">IF($D311&lt;&gt;"Serviço",0,IF(AND(AUTOEVENTO="Manual",$M311=1),0,IF(OFFSET(CRONOPLE!$F$14,$M311,AO$13)="",10^12,OFFSET(CRONOPLE!$F$14,$M311,AO$13))))</f>
        <v>1000000000000</v>
      </c>
      <c r="AP311" s="181">
        <f ca="1">IF($D311&lt;&gt;"Serviço",0,IF(AND(AUTOEVENTO="Manual",$M311=1),0,IF(OFFSET(CRONOPLE!$F$14,$M311,AP$13)="",10^12,OFFSET(CRONOPLE!$F$14,$M311,AP$13))))</f>
        <v>1000000000000</v>
      </c>
      <c r="AQ311" s="181">
        <f ca="1">IF($D311&lt;&gt;"Serviço",0,IF(AND(AUTOEVENTO="Manual",$M311=1),0,IF(OFFSET(CRONOPLE!$F$14,$M311,AQ$13)="",10^12,OFFSET(CRONOPLE!$F$14,$M311,AQ$13))))</f>
        <v>1000000000000</v>
      </c>
      <c r="AR311" s="181">
        <f ca="1">IF($D311&lt;&gt;"Serviço",0,IF(AND(AUTOEVENTO="Manual",$M311=1),0,IF(OFFSET(CRONOPLE!$F$14,$M311,AR$13)="",10^12,OFFSET(CRONOPLE!$F$14,$M311,AR$13))))</f>
        <v>1000000000000</v>
      </c>
      <c r="AS311" s="181">
        <f ca="1">IF($D311&lt;&gt;"Serviço",0,IF(AND(AUTOEVENTO="Manual",$M311=1),0,IF(OFFSET(CRONOPLE!$F$14,$M311,AS$13)="",10^12,OFFSET(CRONOPLE!$F$14,$M311,AS$13))))</f>
        <v>1000000000000</v>
      </c>
      <c r="AT311" s="181">
        <f ca="1">IF($D311&lt;&gt;"Serviço",0,IF(AND(AUTOEVENTO="Manual",$M311=1),0,IF(OFFSET(CRONOPLE!$F$14,$M311,AT$13)="",10^12,OFFSET(CRONOPLE!$F$14,$M311,AT$13))))</f>
        <v>1000000000000</v>
      </c>
      <c r="AU311" s="181">
        <f ca="1">IF($D311&lt;&gt;"Serviço",0,IF(AND(AUTOEVENTO="Manual",$M311=1),0,IF(OFFSET(CRONOPLE!$F$14,$M311,AU$13)="",10^12,OFFSET(CRONOPLE!$F$14,$M311,AU$13))))</f>
        <v>1000000000000</v>
      </c>
      <c r="AV311" s="181">
        <f ca="1">IF($D311&lt;&gt;"Serviço",0,IF(AND(AUTOEVENTO="Manual",$M311=1),0,IF(OFFSET(CRONOPLE!$F$14,$M311,AV$13)="",10^12,OFFSET(CRONOPLE!$F$14,$M311,AV$13))))</f>
        <v>1000000000000</v>
      </c>
      <c r="AX311" s="182">
        <f ca="1">IF($D311&lt;&gt;"Serviço",0,IF(OR(AND(AUTOEVENTO="Manual",$M311=1),$M311&gt;(ROW(PLE.lastrow)-ROW(PLE.firstrow))),0,IF(OFFSET(PLE!$G$14,$M311,AX$13)="",10^12,OFFSET(PLE!$G$14,$M311,AX$13))))</f>
        <v>1000000000000</v>
      </c>
      <c r="AY311" s="182">
        <f ca="1">IF($D311&lt;&gt;"Serviço",0,IF(OR(AND(AUTOEVENTO="Manual",$M311=1),$M311&gt;(ROW(PLE.lastrow)-ROW(PLE.firstrow))),0,IF(OFFSET(PLE!$G$14,$M311,AY$13)="",10^12,OFFSET(PLE!$G$14,$M311,AY$13))))</f>
        <v>1000000000000</v>
      </c>
      <c r="AZ311" s="182">
        <f ca="1">IF($D311&lt;&gt;"Serviço",0,IF(OR(AND(AUTOEVENTO="Manual",$M311=1),$M311&gt;(ROW(PLE.lastrow)-ROW(PLE.firstrow))),0,IF(OFFSET(PLE!$G$14,$M311,AZ$13)="",10^12,OFFSET(PLE!$G$14,$M311,AZ$13))))</f>
        <v>1000000000000</v>
      </c>
      <c r="BA311" s="182">
        <f ca="1">IF($D311&lt;&gt;"Serviço",0,IF(OR(AND(AUTOEVENTO="Manual",$M311=1),$M311&gt;(ROW(PLE.lastrow)-ROW(PLE.firstrow))),0,IF(OFFSET(PLE!$G$14,$M311,BA$13)="",10^12,OFFSET(PLE!$G$14,$M311,BA$13))))</f>
        <v>1000000000000</v>
      </c>
      <c r="BB311" s="182">
        <f ca="1">IF($D311&lt;&gt;"Serviço",0,IF(OR(AND(AUTOEVENTO="Manual",$M311=1),$M311&gt;(ROW(PLE.lastrow)-ROW(PLE.firstrow))),0,IF(OFFSET(PLE!$G$14,$M311,BB$13)="",10^12,OFFSET(PLE!$G$14,$M311,BB$13))))</f>
        <v>1000000000000</v>
      </c>
      <c r="BC311" s="182">
        <f ca="1">IF($D311&lt;&gt;"Serviço",0,IF(OR(AND(AUTOEVENTO="Manual",$M311=1),$M311&gt;(ROW(PLE.lastrow)-ROW(PLE.firstrow))),0,IF(OFFSET(PLE!$G$14,$M311,BC$13)="",10^12,OFFSET(PLE!$G$14,$M311,BC$13))))</f>
        <v>1000000000000</v>
      </c>
      <c r="BD311" s="182">
        <f ca="1">IF($D311&lt;&gt;"Serviço",0,IF(OR(AND(AUTOEVENTO="Manual",$M311=1),$M311&gt;(ROW(PLE.lastrow)-ROW(PLE.firstrow))),0,IF(OFFSET(PLE!$G$14,$M311,BD$13)="",10^12,OFFSET(PLE!$G$14,$M311,BD$13))))</f>
        <v>1000000000000</v>
      </c>
      <c r="BE311" s="182">
        <f ca="1">IF($D311&lt;&gt;"Serviço",0,IF(OR(AND(AUTOEVENTO="Manual",$M311=1),$M311&gt;(ROW(PLE.lastrow)-ROW(PLE.firstrow))),0,IF(OFFSET(PLE!$G$14,$M311,BE$13)="",10^12,OFFSET(PLE!$G$14,$M311,BE$13))))</f>
        <v>1000000000000</v>
      </c>
      <c r="BF311" s="182">
        <f ca="1">IF($D311&lt;&gt;"Serviço",0,IF(OR(AND(AUTOEVENTO="Manual",$M311=1),$M311&gt;(ROW(PLE.lastrow)-ROW(PLE.firstrow))),0,IF(OFFSET(PLE!$G$14,$M311,BF$13)="",10^12,OFFSET(PLE!$G$14,$M311,BF$13))))</f>
        <v>1000000000000</v>
      </c>
      <c r="BG311" s="182">
        <f ca="1">IF($D311&lt;&gt;"Serviço",0,IF(OR(AND(AUTOEVENTO="Manual",$M311=1),$M311&gt;(ROW(PLE.lastrow)-ROW(PLE.firstrow))),0,IF(OFFSET(PLE!$G$14,$M311,BG$13)="",10^12,OFFSET(PLE!$G$14,$M311,BG$13))))</f>
        <v>1000000000000</v>
      </c>
    </row>
    <row r="312" spans="1:59" ht="25.5" x14ac:dyDescent="0.2">
      <c r="A312" s="7" t="str">
        <f t="shared" ca="1" si="11"/>
        <v>251</v>
      </c>
      <c r="B312" s="7" t="str">
        <f ca="1">OFFSET(ORÇAMENTO!C$15,ROW(B312)-ROW(B$15),0)</f>
        <v>S</v>
      </c>
      <c r="C312" s="7" t="str">
        <f ca="1">OFFSET(ORÇAMENTO!L$15,ROW(C312)-ROW(C$15),0)</f>
        <v/>
      </c>
      <c r="D312" s="118" t="str">
        <f ca="1">OFFSET(ORÇAMENTO!N$15,ROW(D312)-ROW(D$15),0)</f>
        <v>Serviço</v>
      </c>
      <c r="E312" s="119" t="str">
        <f ca="1">OFFSET(ORÇAMENTO!O$15,ROW(E312)-ROW(E$15),0)</f>
        <v>-</v>
      </c>
      <c r="F312" s="172" t="str">
        <f ca="1">OFFSET(ORÇAMENTO!R$15,ROW(F312)-ROW(F$15),0)</f>
        <v>(abra o arquivo 'Referência 02-2025.xlsm)</v>
      </c>
      <c r="G312" s="173" t="str">
        <f ca="1">IF($D312&lt;&gt;"Serviço","",OFFSET(ORÇAMENTO!S$15,ROW(G312)-ROW(G$15),0))</f>
        <v>-</v>
      </c>
      <c r="H312" s="124">
        <f ca="1">IF($D312&lt;&gt;"Serviço",0,IF(ACOMPANHAMENTO="BM",ROUND(OFFSET(ORÇAMENTO!AJ$15,ROW(H312)-ROW(H$15),0),15-13*ORÇAMENTO!$AF$7),SUMPRODUCT(($Q$12:$AA$12&lt;&gt;"")*ROUND($Q312:$AA312,15-13*ORÇAMENTO!$AF$7))))</f>
        <v>1</v>
      </c>
      <c r="I312" s="561" t="s">
        <v>890</v>
      </c>
      <c r="K312" s="174"/>
      <c r="L312" s="175" t="s">
        <v>255</v>
      </c>
      <c r="M312" s="176">
        <f ca="1">IF($D312&lt;&gt;"Serviço","",IF(AUTOEVENTO="manual",$A312,IF(ISERROR(MATCH($A312,$A$15:OFFSET($A312,-1,0),0)),MAX($M$15:OFFSET(M312,-1,0))+1,INDEX($M$15:OFFSET(M312,-1,0),MATCH($A312,$A$15:OFFSET($A312,-1,0),0)))))</f>
        <v>13</v>
      </c>
      <c r="N312" s="177" t="str">
        <f ca="1">IF($D312&lt;&gt;"Serviço","",IF(AUTOEVENTO="Manual",IF($A312=0,"&lt;-- defina o número do agrupador",OFFSET(EVENTOS!$D$14,$A312,0)),OFFSET($F$15,$A312,0)))</f>
        <v>INSTALAÇÃO HIDRÁULICA</v>
      </c>
      <c r="O312" s="178"/>
      <c r="Q312" s="178"/>
      <c r="R312" s="179"/>
      <c r="S312" s="179"/>
      <c r="T312" s="179"/>
      <c r="U312" s="179"/>
      <c r="V312" s="179"/>
      <c r="W312" s="179"/>
      <c r="X312" s="179"/>
      <c r="Y312" s="179"/>
      <c r="Z312" s="180"/>
      <c r="AB312" s="544">
        <f ca="1">IF(AND($D312="Serviço",AB$12&lt;&gt;0,$H312&gt;0,OR(AUTOEVENTO&lt;&gt;"manual",$M312&lt;&gt;1)),
IF(Import.TipoArredondamento&lt;&gt;"TransfereGOV",
ROUND(OFFSET($P312,0,AB$13),15-13*ORÇAMENTO!$AF$7)/$H312*OFFSET(ORÇAMENTO!$X$15,ROW(AB312)-ROW(AB$15),0),
ROUND(ROUND(OFFSET($P312,0,AB$13),15-13*ORÇAMENTO!$AF$7)*OFFSET(ORÇAMENTO!$W$15,ROW(AB312)-ROW(AB$15),0),15-13*ORÇAMENTO!$AF$11)),0)</f>
        <v>0</v>
      </c>
      <c r="AC312" s="545">
        <f ca="1">IF(AND($D312="Serviço",AC$12&lt;&gt;0,$H312&gt;0,OR(AUTOEVENTO&lt;&gt;"manual",$M312&lt;&gt;1)),
IF(Import.TipoArredondamento&lt;&gt;"TransfereGOV",
ROUND(OFFSET($P312,0,AC$13),15-13*ORÇAMENTO!$AF$7)/$H312*OFFSET(ORÇAMENTO!$X$15,ROW(AC312)-ROW(AC$15),0),
ROUND(ROUND(OFFSET($P312,0,AC$13),15-13*ORÇAMENTO!$AF$7)*OFFSET(ORÇAMENTO!$W$15,ROW(AC312)-ROW(AC$15),0),15-13*ORÇAMENTO!$AF$11)),0)</f>
        <v>0</v>
      </c>
      <c r="AD312" s="545">
        <f ca="1">IF(AND($D312="Serviço",AD$12&lt;&gt;0,$H312&gt;0,OR(AUTOEVENTO&lt;&gt;"manual",$M312&lt;&gt;1)),
IF(Import.TipoArredondamento&lt;&gt;"TransfereGOV",
ROUND(OFFSET($P312,0,AD$13),15-13*ORÇAMENTO!$AF$7)/$H312*OFFSET(ORÇAMENTO!$X$15,ROW(AD312)-ROW(AD$15),0),
ROUND(ROUND(OFFSET($P312,0,AD$13),15-13*ORÇAMENTO!$AF$7)*OFFSET(ORÇAMENTO!$W$15,ROW(AD312)-ROW(AD$15),0),15-13*ORÇAMENTO!$AF$11)),0)</f>
        <v>0</v>
      </c>
      <c r="AE312" s="545">
        <f ca="1">IF(AND($D312="Serviço",AE$12&lt;&gt;0,$H312&gt;0,OR(AUTOEVENTO&lt;&gt;"manual",$M312&lt;&gt;1)),
IF(Import.TipoArredondamento&lt;&gt;"TransfereGOV",
ROUND(OFFSET($P312,0,AE$13),15-13*ORÇAMENTO!$AF$7)/$H312*OFFSET(ORÇAMENTO!$X$15,ROW(AE312)-ROW(AE$15),0),
ROUND(ROUND(OFFSET($P312,0,AE$13),15-13*ORÇAMENTO!$AF$7)*OFFSET(ORÇAMENTO!$W$15,ROW(AE312)-ROW(AE$15),0),15-13*ORÇAMENTO!$AF$11)),0)</f>
        <v>0</v>
      </c>
      <c r="AF312" s="545">
        <f ca="1">IF(AND($D312="Serviço",AF$12&lt;&gt;0,$H312&gt;0,OR(AUTOEVENTO&lt;&gt;"manual",$M312&lt;&gt;1)),
IF(Import.TipoArredondamento&lt;&gt;"TransfereGOV",
ROUND(OFFSET($P312,0,AF$13),15-13*ORÇAMENTO!$AF$7)/$H312*OFFSET(ORÇAMENTO!$X$15,ROW(AF312)-ROW(AF$15),0),
ROUND(ROUND(OFFSET($P312,0,AF$13),15-13*ORÇAMENTO!$AF$7)*OFFSET(ORÇAMENTO!$W$15,ROW(AF312)-ROW(AF$15),0),15-13*ORÇAMENTO!$AF$11)),0)</f>
        <v>0</v>
      </c>
      <c r="AG312" s="545">
        <f ca="1">IF(AND($D312="Serviço",AG$12&lt;&gt;0,$H312&gt;0,OR(AUTOEVENTO&lt;&gt;"manual",$M312&lt;&gt;1)),
IF(Import.TipoArredondamento&lt;&gt;"TransfereGOV",
ROUND(OFFSET($P312,0,AG$13),15-13*ORÇAMENTO!$AF$7)/$H312*OFFSET(ORÇAMENTO!$X$15,ROW(AG312)-ROW(AG$15),0),
ROUND(ROUND(OFFSET($P312,0,AG$13),15-13*ORÇAMENTO!$AF$7)*OFFSET(ORÇAMENTO!$W$15,ROW(AG312)-ROW(AG$15),0),15-13*ORÇAMENTO!$AF$11)),0)</f>
        <v>0</v>
      </c>
      <c r="AH312" s="545">
        <f ca="1">IF(AND($D312="Serviço",AH$12&lt;&gt;0,$H312&gt;0,OR(AUTOEVENTO&lt;&gt;"manual",$M312&lt;&gt;1)),
IF(Import.TipoArredondamento&lt;&gt;"TransfereGOV",
ROUND(OFFSET($P312,0,AH$13),15-13*ORÇAMENTO!$AF$7)/$H312*OFFSET(ORÇAMENTO!$X$15,ROW(AH312)-ROW(AH$15),0),
ROUND(ROUND(OFFSET($P312,0,AH$13),15-13*ORÇAMENTO!$AF$7)*OFFSET(ORÇAMENTO!$W$15,ROW(AH312)-ROW(AH$15),0),15-13*ORÇAMENTO!$AF$11)),0)</f>
        <v>0</v>
      </c>
      <c r="AI312" s="545">
        <f ca="1">IF(AND($D312="Serviço",AI$12&lt;&gt;0,$H312&gt;0,OR(AUTOEVENTO&lt;&gt;"manual",$M312&lt;&gt;1)),
IF(Import.TipoArredondamento&lt;&gt;"TransfereGOV",
ROUND(OFFSET($P312,0,AI$13),15-13*ORÇAMENTO!$AF$7)/$H312*OFFSET(ORÇAMENTO!$X$15,ROW(AI312)-ROW(AI$15),0),
ROUND(ROUND(OFFSET($P312,0,AI$13),15-13*ORÇAMENTO!$AF$7)*OFFSET(ORÇAMENTO!$W$15,ROW(AI312)-ROW(AI$15),0),15-13*ORÇAMENTO!$AF$11)),0)</f>
        <v>0</v>
      </c>
      <c r="AJ312" s="545">
        <f ca="1">IF(AND($D312="Serviço",AJ$12&lt;&gt;0,$H312&gt;0,OR(AUTOEVENTO&lt;&gt;"manual",$M312&lt;&gt;1)),
IF(Import.TipoArredondamento&lt;&gt;"TransfereGOV",
ROUND(OFFSET($P312,0,AJ$13),15-13*ORÇAMENTO!$AF$7)/$H312*OFFSET(ORÇAMENTO!$X$15,ROW(AJ312)-ROW(AJ$15),0),
ROUND(ROUND(OFFSET($P312,0,AJ$13),15-13*ORÇAMENTO!$AF$7)*OFFSET(ORÇAMENTO!$W$15,ROW(AJ312)-ROW(AJ$15),0),15-13*ORÇAMENTO!$AF$11)),0)</f>
        <v>0</v>
      </c>
      <c r="AK312" s="546">
        <f ca="1">IF(AND($D312="Serviço",AK$12&lt;&gt;0,$H312&gt;0,OR(AUTOEVENTO&lt;&gt;"manual",$M312&lt;&gt;1)),
IF(Import.TipoArredondamento&lt;&gt;"TransfereGOV",
ROUND(OFFSET($P312,0,AK$13),15-13*ORÇAMENTO!$AF$7)/$H312*OFFSET(ORÇAMENTO!$X$15,ROW(AK312)-ROW(AK$15),0),
ROUND(ROUND(OFFSET($P312,0,AK$13),15-13*ORÇAMENTO!$AF$7)*OFFSET(ORÇAMENTO!$W$15,ROW(AK312)-ROW(AK$15),0),15-13*ORÇAMENTO!$AF$11)),0)</f>
        <v>0</v>
      </c>
      <c r="AM312" s="181">
        <f ca="1">IF($D312&lt;&gt;"Serviço",0,IF(AND(AUTOEVENTO="Manual",$M312=1),0,IF(OFFSET(CRONOPLE!$F$14,$M312,AM$13)="",10^12,OFFSET(CRONOPLE!$F$14,$M312,AM$13))))</f>
        <v>1000000000000</v>
      </c>
      <c r="AN312" s="181">
        <f ca="1">IF($D312&lt;&gt;"Serviço",0,IF(AND(AUTOEVENTO="Manual",$M312=1),0,IF(OFFSET(CRONOPLE!$F$14,$M312,AN$13)="",10^12,OFFSET(CRONOPLE!$F$14,$M312,AN$13))))</f>
        <v>1000000000000</v>
      </c>
      <c r="AO312" s="181">
        <f ca="1">IF($D312&lt;&gt;"Serviço",0,IF(AND(AUTOEVENTO="Manual",$M312=1),0,IF(OFFSET(CRONOPLE!$F$14,$M312,AO$13)="",10^12,OFFSET(CRONOPLE!$F$14,$M312,AO$13))))</f>
        <v>1000000000000</v>
      </c>
      <c r="AP312" s="181">
        <f ca="1">IF($D312&lt;&gt;"Serviço",0,IF(AND(AUTOEVENTO="Manual",$M312=1),0,IF(OFFSET(CRONOPLE!$F$14,$M312,AP$13)="",10^12,OFFSET(CRONOPLE!$F$14,$M312,AP$13))))</f>
        <v>1000000000000</v>
      </c>
      <c r="AQ312" s="181">
        <f ca="1">IF($D312&lt;&gt;"Serviço",0,IF(AND(AUTOEVENTO="Manual",$M312=1),0,IF(OFFSET(CRONOPLE!$F$14,$M312,AQ$13)="",10^12,OFFSET(CRONOPLE!$F$14,$M312,AQ$13))))</f>
        <v>1000000000000</v>
      </c>
      <c r="AR312" s="181">
        <f ca="1">IF($D312&lt;&gt;"Serviço",0,IF(AND(AUTOEVENTO="Manual",$M312=1),0,IF(OFFSET(CRONOPLE!$F$14,$M312,AR$13)="",10^12,OFFSET(CRONOPLE!$F$14,$M312,AR$13))))</f>
        <v>1000000000000</v>
      </c>
      <c r="AS312" s="181">
        <f ca="1">IF($D312&lt;&gt;"Serviço",0,IF(AND(AUTOEVENTO="Manual",$M312=1),0,IF(OFFSET(CRONOPLE!$F$14,$M312,AS$13)="",10^12,OFFSET(CRONOPLE!$F$14,$M312,AS$13))))</f>
        <v>1000000000000</v>
      </c>
      <c r="AT312" s="181">
        <f ca="1">IF($D312&lt;&gt;"Serviço",0,IF(AND(AUTOEVENTO="Manual",$M312=1),0,IF(OFFSET(CRONOPLE!$F$14,$M312,AT$13)="",10^12,OFFSET(CRONOPLE!$F$14,$M312,AT$13))))</f>
        <v>1000000000000</v>
      </c>
      <c r="AU312" s="181">
        <f ca="1">IF($D312&lt;&gt;"Serviço",0,IF(AND(AUTOEVENTO="Manual",$M312=1),0,IF(OFFSET(CRONOPLE!$F$14,$M312,AU$13)="",10^12,OFFSET(CRONOPLE!$F$14,$M312,AU$13))))</f>
        <v>1000000000000</v>
      </c>
      <c r="AV312" s="181">
        <f ca="1">IF($D312&lt;&gt;"Serviço",0,IF(AND(AUTOEVENTO="Manual",$M312=1),0,IF(OFFSET(CRONOPLE!$F$14,$M312,AV$13)="",10^12,OFFSET(CRONOPLE!$F$14,$M312,AV$13))))</f>
        <v>1000000000000</v>
      </c>
      <c r="AX312" s="182">
        <f ca="1">IF($D312&lt;&gt;"Serviço",0,IF(OR(AND(AUTOEVENTO="Manual",$M312=1),$M312&gt;(ROW(PLE.lastrow)-ROW(PLE.firstrow))),0,IF(OFFSET(PLE!$G$14,$M312,AX$13)="",10^12,OFFSET(PLE!$G$14,$M312,AX$13))))</f>
        <v>1000000000000</v>
      </c>
      <c r="AY312" s="182">
        <f ca="1">IF($D312&lt;&gt;"Serviço",0,IF(OR(AND(AUTOEVENTO="Manual",$M312=1),$M312&gt;(ROW(PLE.lastrow)-ROW(PLE.firstrow))),0,IF(OFFSET(PLE!$G$14,$M312,AY$13)="",10^12,OFFSET(PLE!$G$14,$M312,AY$13))))</f>
        <v>1000000000000</v>
      </c>
      <c r="AZ312" s="182">
        <f ca="1">IF($D312&lt;&gt;"Serviço",0,IF(OR(AND(AUTOEVENTO="Manual",$M312=1),$M312&gt;(ROW(PLE.lastrow)-ROW(PLE.firstrow))),0,IF(OFFSET(PLE!$G$14,$M312,AZ$13)="",10^12,OFFSET(PLE!$G$14,$M312,AZ$13))))</f>
        <v>1000000000000</v>
      </c>
      <c r="BA312" s="182">
        <f ca="1">IF($D312&lt;&gt;"Serviço",0,IF(OR(AND(AUTOEVENTO="Manual",$M312=1),$M312&gt;(ROW(PLE.lastrow)-ROW(PLE.firstrow))),0,IF(OFFSET(PLE!$G$14,$M312,BA$13)="",10^12,OFFSET(PLE!$G$14,$M312,BA$13))))</f>
        <v>1000000000000</v>
      </c>
      <c r="BB312" s="182">
        <f ca="1">IF($D312&lt;&gt;"Serviço",0,IF(OR(AND(AUTOEVENTO="Manual",$M312=1),$M312&gt;(ROW(PLE.lastrow)-ROW(PLE.firstrow))),0,IF(OFFSET(PLE!$G$14,$M312,BB$13)="",10^12,OFFSET(PLE!$G$14,$M312,BB$13))))</f>
        <v>1000000000000</v>
      </c>
      <c r="BC312" s="182">
        <f ca="1">IF($D312&lt;&gt;"Serviço",0,IF(OR(AND(AUTOEVENTO="Manual",$M312=1),$M312&gt;(ROW(PLE.lastrow)-ROW(PLE.firstrow))),0,IF(OFFSET(PLE!$G$14,$M312,BC$13)="",10^12,OFFSET(PLE!$G$14,$M312,BC$13))))</f>
        <v>1000000000000</v>
      </c>
      <c r="BD312" s="182">
        <f ca="1">IF($D312&lt;&gt;"Serviço",0,IF(OR(AND(AUTOEVENTO="Manual",$M312=1),$M312&gt;(ROW(PLE.lastrow)-ROW(PLE.firstrow))),0,IF(OFFSET(PLE!$G$14,$M312,BD$13)="",10^12,OFFSET(PLE!$G$14,$M312,BD$13))))</f>
        <v>1000000000000</v>
      </c>
      <c r="BE312" s="182">
        <f ca="1">IF($D312&lt;&gt;"Serviço",0,IF(OR(AND(AUTOEVENTO="Manual",$M312=1),$M312&gt;(ROW(PLE.lastrow)-ROW(PLE.firstrow))),0,IF(OFFSET(PLE!$G$14,$M312,BE$13)="",10^12,OFFSET(PLE!$G$14,$M312,BE$13))))</f>
        <v>1000000000000</v>
      </c>
      <c r="BF312" s="182">
        <f ca="1">IF($D312&lt;&gt;"Serviço",0,IF(OR(AND(AUTOEVENTO="Manual",$M312=1),$M312&gt;(ROW(PLE.lastrow)-ROW(PLE.firstrow))),0,IF(OFFSET(PLE!$G$14,$M312,BF$13)="",10^12,OFFSET(PLE!$G$14,$M312,BF$13))))</f>
        <v>1000000000000</v>
      </c>
      <c r="BG312" s="182">
        <f ca="1">IF($D312&lt;&gt;"Serviço",0,IF(OR(AND(AUTOEVENTO="Manual",$M312=1),$M312&gt;(ROW(PLE.lastrow)-ROW(PLE.firstrow))),0,IF(OFFSET(PLE!$G$14,$M312,BG$13)="",10^12,OFFSET(PLE!$G$14,$M312,BG$13))))</f>
        <v>1000000000000</v>
      </c>
    </row>
    <row r="313" spans="1:59" ht="25.5" x14ac:dyDescent="0.2">
      <c r="A313" s="7" t="str">
        <f t="shared" ca="1" si="11"/>
        <v>251</v>
      </c>
      <c r="B313" s="7" t="str">
        <f ca="1">OFFSET(ORÇAMENTO!C$15,ROW(B313)-ROW(B$15),0)</f>
        <v>S</v>
      </c>
      <c r="C313" s="7" t="str">
        <f ca="1">OFFSET(ORÇAMENTO!L$15,ROW(C313)-ROW(C$15),0)</f>
        <v/>
      </c>
      <c r="D313" s="118" t="str">
        <f ca="1">OFFSET(ORÇAMENTO!N$15,ROW(D313)-ROW(D$15),0)</f>
        <v>Serviço</v>
      </c>
      <c r="E313" s="119" t="str">
        <f ca="1">OFFSET(ORÇAMENTO!O$15,ROW(E313)-ROW(E$15),0)</f>
        <v>-</v>
      </c>
      <c r="F313" s="172" t="str">
        <f ca="1">OFFSET(ORÇAMENTO!R$15,ROW(F313)-ROW(F$15),0)</f>
        <v>(abra o arquivo 'Referência 02-2025.xlsm)</v>
      </c>
      <c r="G313" s="173" t="str">
        <f ca="1">IF($D313&lt;&gt;"Serviço","",OFFSET(ORÇAMENTO!S$15,ROW(G313)-ROW(G$15),0))</f>
        <v>-</v>
      </c>
      <c r="H313" s="124">
        <f ca="1">IF($D313&lt;&gt;"Serviço",0,IF(ACOMPANHAMENTO="BM",ROUND(OFFSET(ORÇAMENTO!AJ$15,ROW(H313)-ROW(H$15),0),15-13*ORÇAMENTO!$AF$7),SUMPRODUCT(($Q$12:$AA$12&lt;&gt;"")*ROUND($Q313:$AA313,15-13*ORÇAMENTO!$AF$7))))</f>
        <v>1</v>
      </c>
      <c r="I313" s="561" t="s">
        <v>890</v>
      </c>
      <c r="K313" s="174"/>
      <c r="L313" s="175" t="s">
        <v>255</v>
      </c>
      <c r="M313" s="176">
        <f ca="1">IF($D313&lt;&gt;"Serviço","",IF(AUTOEVENTO="manual",$A313,IF(ISERROR(MATCH($A313,$A$15:OFFSET($A313,-1,0),0)),MAX($M$15:OFFSET(M313,-1,0))+1,INDEX($M$15:OFFSET(M313,-1,0),MATCH($A313,$A$15:OFFSET($A313,-1,0),0)))))</f>
        <v>13</v>
      </c>
      <c r="N313" s="177" t="str">
        <f ca="1">IF($D313&lt;&gt;"Serviço","",IF(AUTOEVENTO="Manual",IF($A313=0,"&lt;-- defina o número do agrupador",OFFSET(EVENTOS!$D$14,$A313,0)),OFFSET($F$15,$A313,0)))</f>
        <v>INSTALAÇÃO HIDRÁULICA</v>
      </c>
      <c r="O313" s="178"/>
      <c r="Q313" s="178"/>
      <c r="R313" s="179"/>
      <c r="S313" s="179"/>
      <c r="T313" s="179"/>
      <c r="U313" s="179"/>
      <c r="V313" s="179"/>
      <c r="W313" s="179"/>
      <c r="X313" s="179"/>
      <c r="Y313" s="179"/>
      <c r="Z313" s="180"/>
      <c r="AB313" s="544">
        <f ca="1">IF(AND($D313="Serviço",AB$12&lt;&gt;0,$H313&gt;0,OR(AUTOEVENTO&lt;&gt;"manual",$M313&lt;&gt;1)),
IF(Import.TipoArredondamento&lt;&gt;"TransfereGOV",
ROUND(OFFSET($P313,0,AB$13),15-13*ORÇAMENTO!$AF$7)/$H313*OFFSET(ORÇAMENTO!$X$15,ROW(AB313)-ROW(AB$15),0),
ROUND(ROUND(OFFSET($P313,0,AB$13),15-13*ORÇAMENTO!$AF$7)*OFFSET(ORÇAMENTO!$W$15,ROW(AB313)-ROW(AB$15),0),15-13*ORÇAMENTO!$AF$11)),0)</f>
        <v>0</v>
      </c>
      <c r="AC313" s="545">
        <f ca="1">IF(AND($D313="Serviço",AC$12&lt;&gt;0,$H313&gt;0,OR(AUTOEVENTO&lt;&gt;"manual",$M313&lt;&gt;1)),
IF(Import.TipoArredondamento&lt;&gt;"TransfereGOV",
ROUND(OFFSET($P313,0,AC$13),15-13*ORÇAMENTO!$AF$7)/$H313*OFFSET(ORÇAMENTO!$X$15,ROW(AC313)-ROW(AC$15),0),
ROUND(ROUND(OFFSET($P313,0,AC$13),15-13*ORÇAMENTO!$AF$7)*OFFSET(ORÇAMENTO!$W$15,ROW(AC313)-ROW(AC$15),0),15-13*ORÇAMENTO!$AF$11)),0)</f>
        <v>0</v>
      </c>
      <c r="AD313" s="545">
        <f ca="1">IF(AND($D313="Serviço",AD$12&lt;&gt;0,$H313&gt;0,OR(AUTOEVENTO&lt;&gt;"manual",$M313&lt;&gt;1)),
IF(Import.TipoArredondamento&lt;&gt;"TransfereGOV",
ROUND(OFFSET($P313,0,AD$13),15-13*ORÇAMENTO!$AF$7)/$H313*OFFSET(ORÇAMENTO!$X$15,ROW(AD313)-ROW(AD$15),0),
ROUND(ROUND(OFFSET($P313,0,AD$13),15-13*ORÇAMENTO!$AF$7)*OFFSET(ORÇAMENTO!$W$15,ROW(AD313)-ROW(AD$15),0),15-13*ORÇAMENTO!$AF$11)),0)</f>
        <v>0</v>
      </c>
      <c r="AE313" s="545">
        <f ca="1">IF(AND($D313="Serviço",AE$12&lt;&gt;0,$H313&gt;0,OR(AUTOEVENTO&lt;&gt;"manual",$M313&lt;&gt;1)),
IF(Import.TipoArredondamento&lt;&gt;"TransfereGOV",
ROUND(OFFSET($P313,0,AE$13),15-13*ORÇAMENTO!$AF$7)/$H313*OFFSET(ORÇAMENTO!$X$15,ROW(AE313)-ROW(AE$15),0),
ROUND(ROUND(OFFSET($P313,0,AE$13),15-13*ORÇAMENTO!$AF$7)*OFFSET(ORÇAMENTO!$W$15,ROW(AE313)-ROW(AE$15),0),15-13*ORÇAMENTO!$AF$11)),0)</f>
        <v>0</v>
      </c>
      <c r="AF313" s="545">
        <f ca="1">IF(AND($D313="Serviço",AF$12&lt;&gt;0,$H313&gt;0,OR(AUTOEVENTO&lt;&gt;"manual",$M313&lt;&gt;1)),
IF(Import.TipoArredondamento&lt;&gt;"TransfereGOV",
ROUND(OFFSET($P313,0,AF$13),15-13*ORÇAMENTO!$AF$7)/$H313*OFFSET(ORÇAMENTO!$X$15,ROW(AF313)-ROW(AF$15),0),
ROUND(ROUND(OFFSET($P313,0,AF$13),15-13*ORÇAMENTO!$AF$7)*OFFSET(ORÇAMENTO!$W$15,ROW(AF313)-ROW(AF$15),0),15-13*ORÇAMENTO!$AF$11)),0)</f>
        <v>0</v>
      </c>
      <c r="AG313" s="545">
        <f ca="1">IF(AND($D313="Serviço",AG$12&lt;&gt;0,$H313&gt;0,OR(AUTOEVENTO&lt;&gt;"manual",$M313&lt;&gt;1)),
IF(Import.TipoArredondamento&lt;&gt;"TransfereGOV",
ROUND(OFFSET($P313,0,AG$13),15-13*ORÇAMENTO!$AF$7)/$H313*OFFSET(ORÇAMENTO!$X$15,ROW(AG313)-ROW(AG$15),0),
ROUND(ROUND(OFFSET($P313,0,AG$13),15-13*ORÇAMENTO!$AF$7)*OFFSET(ORÇAMENTO!$W$15,ROW(AG313)-ROW(AG$15),0),15-13*ORÇAMENTO!$AF$11)),0)</f>
        <v>0</v>
      </c>
      <c r="AH313" s="545">
        <f ca="1">IF(AND($D313="Serviço",AH$12&lt;&gt;0,$H313&gt;0,OR(AUTOEVENTO&lt;&gt;"manual",$M313&lt;&gt;1)),
IF(Import.TipoArredondamento&lt;&gt;"TransfereGOV",
ROUND(OFFSET($P313,0,AH$13),15-13*ORÇAMENTO!$AF$7)/$H313*OFFSET(ORÇAMENTO!$X$15,ROW(AH313)-ROW(AH$15),0),
ROUND(ROUND(OFFSET($P313,0,AH$13),15-13*ORÇAMENTO!$AF$7)*OFFSET(ORÇAMENTO!$W$15,ROW(AH313)-ROW(AH$15),0),15-13*ORÇAMENTO!$AF$11)),0)</f>
        <v>0</v>
      </c>
      <c r="AI313" s="545">
        <f ca="1">IF(AND($D313="Serviço",AI$12&lt;&gt;0,$H313&gt;0,OR(AUTOEVENTO&lt;&gt;"manual",$M313&lt;&gt;1)),
IF(Import.TipoArredondamento&lt;&gt;"TransfereGOV",
ROUND(OFFSET($P313,0,AI$13),15-13*ORÇAMENTO!$AF$7)/$H313*OFFSET(ORÇAMENTO!$X$15,ROW(AI313)-ROW(AI$15),0),
ROUND(ROUND(OFFSET($P313,0,AI$13),15-13*ORÇAMENTO!$AF$7)*OFFSET(ORÇAMENTO!$W$15,ROW(AI313)-ROW(AI$15),0),15-13*ORÇAMENTO!$AF$11)),0)</f>
        <v>0</v>
      </c>
      <c r="AJ313" s="545">
        <f ca="1">IF(AND($D313="Serviço",AJ$12&lt;&gt;0,$H313&gt;0,OR(AUTOEVENTO&lt;&gt;"manual",$M313&lt;&gt;1)),
IF(Import.TipoArredondamento&lt;&gt;"TransfereGOV",
ROUND(OFFSET($P313,0,AJ$13),15-13*ORÇAMENTO!$AF$7)/$H313*OFFSET(ORÇAMENTO!$X$15,ROW(AJ313)-ROW(AJ$15),0),
ROUND(ROUND(OFFSET($P313,0,AJ$13),15-13*ORÇAMENTO!$AF$7)*OFFSET(ORÇAMENTO!$W$15,ROW(AJ313)-ROW(AJ$15),0),15-13*ORÇAMENTO!$AF$11)),0)</f>
        <v>0</v>
      </c>
      <c r="AK313" s="546">
        <f ca="1">IF(AND($D313="Serviço",AK$12&lt;&gt;0,$H313&gt;0,OR(AUTOEVENTO&lt;&gt;"manual",$M313&lt;&gt;1)),
IF(Import.TipoArredondamento&lt;&gt;"TransfereGOV",
ROUND(OFFSET($P313,0,AK$13),15-13*ORÇAMENTO!$AF$7)/$H313*OFFSET(ORÇAMENTO!$X$15,ROW(AK313)-ROW(AK$15),0),
ROUND(ROUND(OFFSET($P313,0,AK$13),15-13*ORÇAMENTO!$AF$7)*OFFSET(ORÇAMENTO!$W$15,ROW(AK313)-ROW(AK$15),0),15-13*ORÇAMENTO!$AF$11)),0)</f>
        <v>0</v>
      </c>
      <c r="AM313" s="181">
        <f ca="1">IF($D313&lt;&gt;"Serviço",0,IF(AND(AUTOEVENTO="Manual",$M313=1),0,IF(OFFSET(CRONOPLE!$F$14,$M313,AM$13)="",10^12,OFFSET(CRONOPLE!$F$14,$M313,AM$13))))</f>
        <v>1000000000000</v>
      </c>
      <c r="AN313" s="181">
        <f ca="1">IF($D313&lt;&gt;"Serviço",0,IF(AND(AUTOEVENTO="Manual",$M313=1),0,IF(OFFSET(CRONOPLE!$F$14,$M313,AN$13)="",10^12,OFFSET(CRONOPLE!$F$14,$M313,AN$13))))</f>
        <v>1000000000000</v>
      </c>
      <c r="AO313" s="181">
        <f ca="1">IF($D313&lt;&gt;"Serviço",0,IF(AND(AUTOEVENTO="Manual",$M313=1),0,IF(OFFSET(CRONOPLE!$F$14,$M313,AO$13)="",10^12,OFFSET(CRONOPLE!$F$14,$M313,AO$13))))</f>
        <v>1000000000000</v>
      </c>
      <c r="AP313" s="181">
        <f ca="1">IF($D313&lt;&gt;"Serviço",0,IF(AND(AUTOEVENTO="Manual",$M313=1),0,IF(OFFSET(CRONOPLE!$F$14,$M313,AP$13)="",10^12,OFFSET(CRONOPLE!$F$14,$M313,AP$13))))</f>
        <v>1000000000000</v>
      </c>
      <c r="AQ313" s="181">
        <f ca="1">IF($D313&lt;&gt;"Serviço",0,IF(AND(AUTOEVENTO="Manual",$M313=1),0,IF(OFFSET(CRONOPLE!$F$14,$M313,AQ$13)="",10^12,OFFSET(CRONOPLE!$F$14,$M313,AQ$13))))</f>
        <v>1000000000000</v>
      </c>
      <c r="AR313" s="181">
        <f ca="1">IF($D313&lt;&gt;"Serviço",0,IF(AND(AUTOEVENTO="Manual",$M313=1),0,IF(OFFSET(CRONOPLE!$F$14,$M313,AR$13)="",10^12,OFFSET(CRONOPLE!$F$14,$M313,AR$13))))</f>
        <v>1000000000000</v>
      </c>
      <c r="AS313" s="181">
        <f ca="1">IF($D313&lt;&gt;"Serviço",0,IF(AND(AUTOEVENTO="Manual",$M313=1),0,IF(OFFSET(CRONOPLE!$F$14,$M313,AS$13)="",10^12,OFFSET(CRONOPLE!$F$14,$M313,AS$13))))</f>
        <v>1000000000000</v>
      </c>
      <c r="AT313" s="181">
        <f ca="1">IF($D313&lt;&gt;"Serviço",0,IF(AND(AUTOEVENTO="Manual",$M313=1),0,IF(OFFSET(CRONOPLE!$F$14,$M313,AT$13)="",10^12,OFFSET(CRONOPLE!$F$14,$M313,AT$13))))</f>
        <v>1000000000000</v>
      </c>
      <c r="AU313" s="181">
        <f ca="1">IF($D313&lt;&gt;"Serviço",0,IF(AND(AUTOEVENTO="Manual",$M313=1),0,IF(OFFSET(CRONOPLE!$F$14,$M313,AU$13)="",10^12,OFFSET(CRONOPLE!$F$14,$M313,AU$13))))</f>
        <v>1000000000000</v>
      </c>
      <c r="AV313" s="181">
        <f ca="1">IF($D313&lt;&gt;"Serviço",0,IF(AND(AUTOEVENTO="Manual",$M313=1),0,IF(OFFSET(CRONOPLE!$F$14,$M313,AV$13)="",10^12,OFFSET(CRONOPLE!$F$14,$M313,AV$13))))</f>
        <v>1000000000000</v>
      </c>
      <c r="AX313" s="182">
        <f ca="1">IF($D313&lt;&gt;"Serviço",0,IF(OR(AND(AUTOEVENTO="Manual",$M313=1),$M313&gt;(ROW(PLE.lastrow)-ROW(PLE.firstrow))),0,IF(OFFSET(PLE!$G$14,$M313,AX$13)="",10^12,OFFSET(PLE!$G$14,$M313,AX$13))))</f>
        <v>1000000000000</v>
      </c>
      <c r="AY313" s="182">
        <f ca="1">IF($D313&lt;&gt;"Serviço",0,IF(OR(AND(AUTOEVENTO="Manual",$M313=1),$M313&gt;(ROW(PLE.lastrow)-ROW(PLE.firstrow))),0,IF(OFFSET(PLE!$G$14,$M313,AY$13)="",10^12,OFFSET(PLE!$G$14,$M313,AY$13))))</f>
        <v>1000000000000</v>
      </c>
      <c r="AZ313" s="182">
        <f ca="1">IF($D313&lt;&gt;"Serviço",0,IF(OR(AND(AUTOEVENTO="Manual",$M313=1),$M313&gt;(ROW(PLE.lastrow)-ROW(PLE.firstrow))),0,IF(OFFSET(PLE!$G$14,$M313,AZ$13)="",10^12,OFFSET(PLE!$G$14,$M313,AZ$13))))</f>
        <v>1000000000000</v>
      </c>
      <c r="BA313" s="182">
        <f ca="1">IF($D313&lt;&gt;"Serviço",0,IF(OR(AND(AUTOEVENTO="Manual",$M313=1),$M313&gt;(ROW(PLE.lastrow)-ROW(PLE.firstrow))),0,IF(OFFSET(PLE!$G$14,$M313,BA$13)="",10^12,OFFSET(PLE!$G$14,$M313,BA$13))))</f>
        <v>1000000000000</v>
      </c>
      <c r="BB313" s="182">
        <f ca="1">IF($D313&lt;&gt;"Serviço",0,IF(OR(AND(AUTOEVENTO="Manual",$M313=1),$M313&gt;(ROW(PLE.lastrow)-ROW(PLE.firstrow))),0,IF(OFFSET(PLE!$G$14,$M313,BB$13)="",10^12,OFFSET(PLE!$G$14,$M313,BB$13))))</f>
        <v>1000000000000</v>
      </c>
      <c r="BC313" s="182">
        <f ca="1">IF($D313&lt;&gt;"Serviço",0,IF(OR(AND(AUTOEVENTO="Manual",$M313=1),$M313&gt;(ROW(PLE.lastrow)-ROW(PLE.firstrow))),0,IF(OFFSET(PLE!$G$14,$M313,BC$13)="",10^12,OFFSET(PLE!$G$14,$M313,BC$13))))</f>
        <v>1000000000000</v>
      </c>
      <c r="BD313" s="182">
        <f ca="1">IF($D313&lt;&gt;"Serviço",0,IF(OR(AND(AUTOEVENTO="Manual",$M313=1),$M313&gt;(ROW(PLE.lastrow)-ROW(PLE.firstrow))),0,IF(OFFSET(PLE!$G$14,$M313,BD$13)="",10^12,OFFSET(PLE!$G$14,$M313,BD$13))))</f>
        <v>1000000000000</v>
      </c>
      <c r="BE313" s="182">
        <f ca="1">IF($D313&lt;&gt;"Serviço",0,IF(OR(AND(AUTOEVENTO="Manual",$M313=1),$M313&gt;(ROW(PLE.lastrow)-ROW(PLE.firstrow))),0,IF(OFFSET(PLE!$G$14,$M313,BE$13)="",10^12,OFFSET(PLE!$G$14,$M313,BE$13))))</f>
        <v>1000000000000</v>
      </c>
      <c r="BF313" s="182">
        <f ca="1">IF($D313&lt;&gt;"Serviço",0,IF(OR(AND(AUTOEVENTO="Manual",$M313=1),$M313&gt;(ROW(PLE.lastrow)-ROW(PLE.firstrow))),0,IF(OFFSET(PLE!$G$14,$M313,BF$13)="",10^12,OFFSET(PLE!$G$14,$M313,BF$13))))</f>
        <v>1000000000000</v>
      </c>
      <c r="BG313" s="182">
        <f ca="1">IF($D313&lt;&gt;"Serviço",0,IF(OR(AND(AUTOEVENTO="Manual",$M313=1),$M313&gt;(ROW(PLE.lastrow)-ROW(PLE.firstrow))),0,IF(OFFSET(PLE!$G$14,$M313,BG$13)="",10^12,OFFSET(PLE!$G$14,$M313,BG$13))))</f>
        <v>1000000000000</v>
      </c>
    </row>
    <row r="314" spans="1:59" ht="38.25" x14ac:dyDescent="0.2">
      <c r="A314" s="7" t="str">
        <f ca="1">IF(AUTOEVENTO="Manual",IF(K314&lt;&gt;"",MIN(VALUE(LEFT(K314,FIND(".",K314)-1)),COUNTA(EVENTOS.Lista)),0),IF(OR($B314&gt;AUTOEVENTO,$B314="S",$B314=0),SUBSTITUTE(OFFSET($A314,-1,0),IF($D314="Serviço",".",""),""),ROW(A314)-ROW($A$15)&amp;"."))</f>
        <v>251</v>
      </c>
      <c r="B314" s="7" t="str">
        <f ca="1">OFFSET(ORÇAMENTO!C$15,ROW(B314)-ROW(B$15),0)</f>
        <v>S</v>
      </c>
      <c r="C314" s="7" t="str">
        <f ca="1">OFFSET(ORÇAMENTO!L$15,ROW(C314)-ROW(C$15),0)</f>
        <v/>
      </c>
      <c r="D314" s="118" t="str">
        <f ca="1">OFFSET(ORÇAMENTO!N$15,ROW(D314)-ROW(D$15),0)</f>
        <v>Serviço</v>
      </c>
      <c r="E314" s="119" t="str">
        <f ca="1">OFFSET(ORÇAMENTO!O$15,ROW(E314)-ROW(E$15),0)</f>
        <v>-</v>
      </c>
      <c r="F314" s="172" t="str">
        <f ca="1">OFFSET(ORÇAMENTO!R$15,ROW(F314)-ROW(F$15),0)</f>
        <v>(abra o arquivo 'Referência 02-2025.xlsm)</v>
      </c>
      <c r="G314" s="173" t="str">
        <f ca="1">IF($D314&lt;&gt;"Serviço","",OFFSET(ORÇAMENTO!S$15,ROW(G314)-ROW(G$15),0))</f>
        <v>-</v>
      </c>
      <c r="H314" s="124">
        <f ca="1">IF($D314&lt;&gt;"Serviço",0,IF(ACOMPANHAMENTO="BM",ROUND(OFFSET(ORÇAMENTO!AJ$15,ROW(H314)-ROW(H$15),0),15-13*ORÇAMENTO!$AF$7),SUMPRODUCT(($Q$12:$AA$12&lt;&gt;"")*ROUND($Q314:$AA314,15-13*ORÇAMENTO!$AF$7))))</f>
        <v>24</v>
      </c>
      <c r="I314" s="561"/>
      <c r="K314" s="174"/>
      <c r="L314" s="175" t="s">
        <v>255</v>
      </c>
      <c r="M314" s="176">
        <f ca="1">IF($D314&lt;&gt;"Serviço","",IF(AUTOEVENTO="manual",$A314,IF(ISERROR(MATCH($A314,$A$15:OFFSET($A314,-1,0),0)),MAX($M$15:OFFSET(M314,-1,0))+1,INDEX($M$15:OFFSET(M314,-1,0),MATCH($A314,$A$15:OFFSET($A314,-1,0),0)))))</f>
        <v>13</v>
      </c>
      <c r="N314" s="177" t="str">
        <f ca="1">IF($D314&lt;&gt;"Serviço","",IF(AUTOEVENTO="Manual",IF($A314=0,"&lt;-- defina o número do agrupador",OFFSET(EVENTOS!$D$14,$A314,0)),OFFSET($F$15,$A314,0)))</f>
        <v>INSTALAÇÃO HIDRÁULICA</v>
      </c>
      <c r="O314" s="178"/>
      <c r="Q314" s="178"/>
      <c r="R314" s="179"/>
      <c r="S314" s="179"/>
      <c r="T314" s="179"/>
      <c r="U314" s="179"/>
      <c r="V314" s="179"/>
      <c r="W314" s="179"/>
      <c r="X314" s="179"/>
      <c r="Y314" s="179"/>
      <c r="Z314" s="180"/>
      <c r="AB314" s="544">
        <f ca="1">IF(AND($D314="Serviço",AB$12&lt;&gt;0,$H314&gt;0,OR(AUTOEVENTO&lt;&gt;"manual",$M314&lt;&gt;1)),
IF(Import.TipoArredondamento&lt;&gt;"TransfereGOV",
ROUND(OFFSET($P314,0,AB$13),15-13*ORÇAMENTO!$AF$7)/$H314*OFFSET(ORÇAMENTO!$X$15,ROW(AB314)-ROW(AB$15),0),
ROUND(ROUND(OFFSET($P314,0,AB$13),15-13*ORÇAMENTO!$AF$7)*OFFSET(ORÇAMENTO!$W$15,ROW(AB314)-ROW(AB$15),0),15-13*ORÇAMENTO!$AF$11)),0)</f>
        <v>0</v>
      </c>
      <c r="AC314" s="545">
        <f ca="1">IF(AND($D314="Serviço",AC$12&lt;&gt;0,$H314&gt;0,OR(AUTOEVENTO&lt;&gt;"manual",$M314&lt;&gt;1)),
IF(Import.TipoArredondamento&lt;&gt;"TransfereGOV",
ROUND(OFFSET($P314,0,AC$13),15-13*ORÇAMENTO!$AF$7)/$H314*OFFSET(ORÇAMENTO!$X$15,ROW(AC314)-ROW(AC$15),0),
ROUND(ROUND(OFFSET($P314,0,AC$13),15-13*ORÇAMENTO!$AF$7)*OFFSET(ORÇAMENTO!$W$15,ROW(AC314)-ROW(AC$15),0),15-13*ORÇAMENTO!$AF$11)),0)</f>
        <v>0</v>
      </c>
      <c r="AD314" s="545">
        <f ca="1">IF(AND($D314="Serviço",AD$12&lt;&gt;0,$H314&gt;0,OR(AUTOEVENTO&lt;&gt;"manual",$M314&lt;&gt;1)),
IF(Import.TipoArredondamento&lt;&gt;"TransfereGOV",
ROUND(OFFSET($P314,0,AD$13),15-13*ORÇAMENTO!$AF$7)/$H314*OFFSET(ORÇAMENTO!$X$15,ROW(AD314)-ROW(AD$15),0),
ROUND(ROUND(OFFSET($P314,0,AD$13),15-13*ORÇAMENTO!$AF$7)*OFFSET(ORÇAMENTO!$W$15,ROW(AD314)-ROW(AD$15),0),15-13*ORÇAMENTO!$AF$11)),0)</f>
        <v>0</v>
      </c>
      <c r="AE314" s="545">
        <f ca="1">IF(AND($D314="Serviço",AE$12&lt;&gt;0,$H314&gt;0,OR(AUTOEVENTO&lt;&gt;"manual",$M314&lt;&gt;1)),
IF(Import.TipoArredondamento&lt;&gt;"TransfereGOV",
ROUND(OFFSET($P314,0,AE$13),15-13*ORÇAMENTO!$AF$7)/$H314*OFFSET(ORÇAMENTO!$X$15,ROW(AE314)-ROW(AE$15),0),
ROUND(ROUND(OFFSET($P314,0,AE$13),15-13*ORÇAMENTO!$AF$7)*OFFSET(ORÇAMENTO!$W$15,ROW(AE314)-ROW(AE$15),0),15-13*ORÇAMENTO!$AF$11)),0)</f>
        <v>0</v>
      </c>
      <c r="AF314" s="545">
        <f ca="1">IF(AND($D314="Serviço",AF$12&lt;&gt;0,$H314&gt;0,OR(AUTOEVENTO&lt;&gt;"manual",$M314&lt;&gt;1)),
IF(Import.TipoArredondamento&lt;&gt;"TransfereGOV",
ROUND(OFFSET($P314,0,AF$13),15-13*ORÇAMENTO!$AF$7)/$H314*OFFSET(ORÇAMENTO!$X$15,ROW(AF314)-ROW(AF$15),0),
ROUND(ROUND(OFFSET($P314,0,AF$13),15-13*ORÇAMENTO!$AF$7)*OFFSET(ORÇAMENTO!$W$15,ROW(AF314)-ROW(AF$15),0),15-13*ORÇAMENTO!$AF$11)),0)</f>
        <v>0</v>
      </c>
      <c r="AG314" s="545">
        <f ca="1">IF(AND($D314="Serviço",AG$12&lt;&gt;0,$H314&gt;0,OR(AUTOEVENTO&lt;&gt;"manual",$M314&lt;&gt;1)),
IF(Import.TipoArredondamento&lt;&gt;"TransfereGOV",
ROUND(OFFSET($P314,0,AG$13),15-13*ORÇAMENTO!$AF$7)/$H314*OFFSET(ORÇAMENTO!$X$15,ROW(AG314)-ROW(AG$15),0),
ROUND(ROUND(OFFSET($P314,0,AG$13),15-13*ORÇAMENTO!$AF$7)*OFFSET(ORÇAMENTO!$W$15,ROW(AG314)-ROW(AG$15),0),15-13*ORÇAMENTO!$AF$11)),0)</f>
        <v>0</v>
      </c>
      <c r="AH314" s="545">
        <f ca="1">IF(AND($D314="Serviço",AH$12&lt;&gt;0,$H314&gt;0,OR(AUTOEVENTO&lt;&gt;"manual",$M314&lt;&gt;1)),
IF(Import.TipoArredondamento&lt;&gt;"TransfereGOV",
ROUND(OFFSET($P314,0,AH$13),15-13*ORÇAMENTO!$AF$7)/$H314*OFFSET(ORÇAMENTO!$X$15,ROW(AH314)-ROW(AH$15),0),
ROUND(ROUND(OFFSET($P314,0,AH$13),15-13*ORÇAMENTO!$AF$7)*OFFSET(ORÇAMENTO!$W$15,ROW(AH314)-ROW(AH$15),0),15-13*ORÇAMENTO!$AF$11)),0)</f>
        <v>0</v>
      </c>
      <c r="AI314" s="545">
        <f ca="1">IF(AND($D314="Serviço",AI$12&lt;&gt;0,$H314&gt;0,OR(AUTOEVENTO&lt;&gt;"manual",$M314&lt;&gt;1)),
IF(Import.TipoArredondamento&lt;&gt;"TransfereGOV",
ROUND(OFFSET($P314,0,AI$13),15-13*ORÇAMENTO!$AF$7)/$H314*OFFSET(ORÇAMENTO!$X$15,ROW(AI314)-ROW(AI$15),0),
ROUND(ROUND(OFFSET($P314,0,AI$13),15-13*ORÇAMENTO!$AF$7)*OFFSET(ORÇAMENTO!$W$15,ROW(AI314)-ROW(AI$15),0),15-13*ORÇAMENTO!$AF$11)),0)</f>
        <v>0</v>
      </c>
      <c r="AJ314" s="545">
        <f ca="1">IF(AND($D314="Serviço",AJ$12&lt;&gt;0,$H314&gt;0,OR(AUTOEVENTO&lt;&gt;"manual",$M314&lt;&gt;1)),
IF(Import.TipoArredondamento&lt;&gt;"TransfereGOV",
ROUND(OFFSET($P314,0,AJ$13),15-13*ORÇAMENTO!$AF$7)/$H314*OFFSET(ORÇAMENTO!$X$15,ROW(AJ314)-ROW(AJ$15),0),
ROUND(ROUND(OFFSET($P314,0,AJ$13),15-13*ORÇAMENTO!$AF$7)*OFFSET(ORÇAMENTO!$W$15,ROW(AJ314)-ROW(AJ$15),0),15-13*ORÇAMENTO!$AF$11)),0)</f>
        <v>0</v>
      </c>
      <c r="AK314" s="546">
        <f ca="1">IF(AND($D314="Serviço",AK$12&lt;&gt;0,$H314&gt;0,OR(AUTOEVENTO&lt;&gt;"manual",$M314&lt;&gt;1)),
IF(Import.TipoArredondamento&lt;&gt;"TransfereGOV",
ROUND(OFFSET($P314,0,AK$13),15-13*ORÇAMENTO!$AF$7)/$H314*OFFSET(ORÇAMENTO!$X$15,ROW(AK314)-ROW(AK$15),0),
ROUND(ROUND(OFFSET($P314,0,AK$13),15-13*ORÇAMENTO!$AF$7)*OFFSET(ORÇAMENTO!$W$15,ROW(AK314)-ROW(AK$15),0),15-13*ORÇAMENTO!$AF$11)),0)</f>
        <v>0</v>
      </c>
      <c r="AM314" s="181">
        <f ca="1">IF($D314&lt;&gt;"Serviço",0,IF(AND(AUTOEVENTO="Manual",$M314=1),0,IF(OFFSET(CRONOPLE!$F$14,$M314,AM$13)="",10^12,OFFSET(CRONOPLE!$F$14,$M314,AM$13))))</f>
        <v>1000000000000</v>
      </c>
      <c r="AN314" s="181">
        <f ca="1">IF($D314&lt;&gt;"Serviço",0,IF(AND(AUTOEVENTO="Manual",$M314=1),0,IF(OFFSET(CRONOPLE!$F$14,$M314,AN$13)="",10^12,OFFSET(CRONOPLE!$F$14,$M314,AN$13))))</f>
        <v>1000000000000</v>
      </c>
      <c r="AO314" s="181">
        <f ca="1">IF($D314&lt;&gt;"Serviço",0,IF(AND(AUTOEVENTO="Manual",$M314=1),0,IF(OFFSET(CRONOPLE!$F$14,$M314,AO$13)="",10^12,OFFSET(CRONOPLE!$F$14,$M314,AO$13))))</f>
        <v>1000000000000</v>
      </c>
      <c r="AP314" s="181">
        <f ca="1">IF($D314&lt;&gt;"Serviço",0,IF(AND(AUTOEVENTO="Manual",$M314=1),0,IF(OFFSET(CRONOPLE!$F$14,$M314,AP$13)="",10^12,OFFSET(CRONOPLE!$F$14,$M314,AP$13))))</f>
        <v>1000000000000</v>
      </c>
      <c r="AQ314" s="181">
        <f ca="1">IF($D314&lt;&gt;"Serviço",0,IF(AND(AUTOEVENTO="Manual",$M314=1),0,IF(OFFSET(CRONOPLE!$F$14,$M314,AQ$13)="",10^12,OFFSET(CRONOPLE!$F$14,$M314,AQ$13))))</f>
        <v>1000000000000</v>
      </c>
      <c r="AR314" s="181">
        <f ca="1">IF($D314&lt;&gt;"Serviço",0,IF(AND(AUTOEVENTO="Manual",$M314=1),0,IF(OFFSET(CRONOPLE!$F$14,$M314,AR$13)="",10^12,OFFSET(CRONOPLE!$F$14,$M314,AR$13))))</f>
        <v>1000000000000</v>
      </c>
      <c r="AS314" s="181">
        <f ca="1">IF($D314&lt;&gt;"Serviço",0,IF(AND(AUTOEVENTO="Manual",$M314=1),0,IF(OFFSET(CRONOPLE!$F$14,$M314,AS$13)="",10^12,OFFSET(CRONOPLE!$F$14,$M314,AS$13))))</f>
        <v>1000000000000</v>
      </c>
      <c r="AT314" s="181">
        <f ca="1">IF($D314&lt;&gt;"Serviço",0,IF(AND(AUTOEVENTO="Manual",$M314=1),0,IF(OFFSET(CRONOPLE!$F$14,$M314,AT$13)="",10^12,OFFSET(CRONOPLE!$F$14,$M314,AT$13))))</f>
        <v>1000000000000</v>
      </c>
      <c r="AU314" s="181">
        <f ca="1">IF($D314&lt;&gt;"Serviço",0,IF(AND(AUTOEVENTO="Manual",$M314=1),0,IF(OFFSET(CRONOPLE!$F$14,$M314,AU$13)="",10^12,OFFSET(CRONOPLE!$F$14,$M314,AU$13))))</f>
        <v>1000000000000</v>
      </c>
      <c r="AV314" s="181">
        <f ca="1">IF($D314&lt;&gt;"Serviço",0,IF(AND(AUTOEVENTO="Manual",$M314=1),0,IF(OFFSET(CRONOPLE!$F$14,$M314,AV$13)="",10^12,OFFSET(CRONOPLE!$F$14,$M314,AV$13))))</f>
        <v>1000000000000</v>
      </c>
      <c r="AX314" s="182">
        <f ca="1">IF($D314&lt;&gt;"Serviço",0,IF(OR(AND(AUTOEVENTO="Manual",$M314=1),$M314&gt;(ROW(PLE.lastrow)-ROW(PLE.firstrow))),0,IF(OFFSET(PLE!$G$14,$M314,AX$13)="",10^12,OFFSET(PLE!$G$14,$M314,AX$13))))</f>
        <v>1000000000000</v>
      </c>
      <c r="AY314" s="182">
        <f ca="1">IF($D314&lt;&gt;"Serviço",0,IF(OR(AND(AUTOEVENTO="Manual",$M314=1),$M314&gt;(ROW(PLE.lastrow)-ROW(PLE.firstrow))),0,IF(OFFSET(PLE!$G$14,$M314,AY$13)="",10^12,OFFSET(PLE!$G$14,$M314,AY$13))))</f>
        <v>1000000000000</v>
      </c>
      <c r="AZ314" s="182">
        <f ca="1">IF($D314&lt;&gt;"Serviço",0,IF(OR(AND(AUTOEVENTO="Manual",$M314=1),$M314&gt;(ROW(PLE.lastrow)-ROW(PLE.firstrow))),0,IF(OFFSET(PLE!$G$14,$M314,AZ$13)="",10^12,OFFSET(PLE!$G$14,$M314,AZ$13))))</f>
        <v>1000000000000</v>
      </c>
      <c r="BA314" s="182">
        <f ca="1">IF($D314&lt;&gt;"Serviço",0,IF(OR(AND(AUTOEVENTO="Manual",$M314=1),$M314&gt;(ROW(PLE.lastrow)-ROW(PLE.firstrow))),0,IF(OFFSET(PLE!$G$14,$M314,BA$13)="",10^12,OFFSET(PLE!$G$14,$M314,BA$13))))</f>
        <v>1000000000000</v>
      </c>
      <c r="BB314" s="182">
        <f ca="1">IF($D314&lt;&gt;"Serviço",0,IF(OR(AND(AUTOEVENTO="Manual",$M314=1),$M314&gt;(ROW(PLE.lastrow)-ROW(PLE.firstrow))),0,IF(OFFSET(PLE!$G$14,$M314,BB$13)="",10^12,OFFSET(PLE!$G$14,$M314,BB$13))))</f>
        <v>1000000000000</v>
      </c>
      <c r="BC314" s="182">
        <f ca="1">IF($D314&lt;&gt;"Serviço",0,IF(OR(AND(AUTOEVENTO="Manual",$M314=1),$M314&gt;(ROW(PLE.lastrow)-ROW(PLE.firstrow))),0,IF(OFFSET(PLE!$G$14,$M314,BC$13)="",10^12,OFFSET(PLE!$G$14,$M314,BC$13))))</f>
        <v>1000000000000</v>
      </c>
      <c r="BD314" s="182">
        <f ca="1">IF($D314&lt;&gt;"Serviço",0,IF(OR(AND(AUTOEVENTO="Manual",$M314=1),$M314&gt;(ROW(PLE.lastrow)-ROW(PLE.firstrow))),0,IF(OFFSET(PLE!$G$14,$M314,BD$13)="",10^12,OFFSET(PLE!$G$14,$M314,BD$13))))</f>
        <v>1000000000000</v>
      </c>
      <c r="BE314" s="182">
        <f ca="1">IF($D314&lt;&gt;"Serviço",0,IF(OR(AND(AUTOEVENTO="Manual",$M314=1),$M314&gt;(ROW(PLE.lastrow)-ROW(PLE.firstrow))),0,IF(OFFSET(PLE!$G$14,$M314,BE$13)="",10^12,OFFSET(PLE!$G$14,$M314,BE$13))))</f>
        <v>1000000000000</v>
      </c>
      <c r="BF314" s="182">
        <f ca="1">IF($D314&lt;&gt;"Serviço",0,IF(OR(AND(AUTOEVENTO="Manual",$M314=1),$M314&gt;(ROW(PLE.lastrow)-ROW(PLE.firstrow))),0,IF(OFFSET(PLE!$G$14,$M314,BF$13)="",10^12,OFFSET(PLE!$G$14,$M314,BF$13))))</f>
        <v>1000000000000</v>
      </c>
      <c r="BG314" s="182">
        <f ca="1">IF($D314&lt;&gt;"Serviço",0,IF(OR(AND(AUTOEVENTO="Manual",$M314=1),$M314&gt;(ROW(PLE.lastrow)-ROW(PLE.firstrow))),0,IF(OFFSET(PLE!$G$14,$M314,BG$13)="",10^12,OFFSET(PLE!$G$14,$M314,BG$13))))</f>
        <v>1000000000000</v>
      </c>
    </row>
    <row r="315" spans="1:59" ht="12.75" x14ac:dyDescent="0.2">
      <c r="A315" s="7" t="str">
        <f t="shared" ca="1" si="11"/>
        <v>251</v>
      </c>
      <c r="B315" s="7">
        <f ca="1">OFFSET(ORÇAMENTO!C$15,ROW(B315)-ROW(B$15),0)</f>
        <v>3</v>
      </c>
      <c r="C315" s="7" t="str">
        <f ca="1">OFFSET(ORÇAMENTO!L$15,ROW(C315)-ROW(C$15),0)</f>
        <v>F</v>
      </c>
      <c r="D315" s="118" t="str">
        <f ca="1">OFFSET(ORÇAMENTO!N$15,ROW(D315)-ROW(D$15),0)</f>
        <v>Nível 3</v>
      </c>
      <c r="E315" s="119" t="str">
        <f ca="1">OFFSET(ORÇAMENTO!O$15,ROW(E315)-ROW(E$15),0)</f>
        <v>1.12.3.</v>
      </c>
      <c r="F315" s="172" t="str">
        <f ca="1">OFFSET(ORÇAMENTO!R$15,ROW(F315)-ROW(F$15),0)</f>
        <v>RESERVATÓRIO 30.000 L</v>
      </c>
      <c r="G315" s="173" t="str">
        <f ca="1">IF($D315&lt;&gt;"Serviço","",OFFSET(ORÇAMENTO!S$15,ROW(G315)-ROW(G$15),0))</f>
        <v/>
      </c>
      <c r="H315" s="124">
        <f ca="1">IF($D315&lt;&gt;"Serviço",0,IF(ACOMPANHAMENTO="BM",ROUND(OFFSET(ORÇAMENTO!AJ$15,ROW(H315)-ROW(H$15),0),15-13*ORÇAMENTO!$AF$7),SUMPRODUCT(($Q$12:$AA$12&lt;&gt;"")*ROUND($Q315:$AA315,15-13*ORÇAMENTO!$AF$7))))</f>
        <v>0</v>
      </c>
      <c r="I315" s="561"/>
      <c r="K315" s="174"/>
      <c r="L315" s="175" t="s">
        <v>255</v>
      </c>
      <c r="M315" s="176" t="str">
        <f ca="1">IF($D315&lt;&gt;"Serviço","",IF(AUTOEVENTO="manual",$A315,IF(ISERROR(MATCH($A315,$A$15:OFFSET($A315,-1,0),0)),MAX($M$15:OFFSET(M315,-1,0))+1,INDEX($M$15:OFFSET(M315,-1,0),MATCH($A315,$A$15:OFFSET($A315,-1,0),0)))))</f>
        <v/>
      </c>
      <c r="N315" s="177" t="str">
        <f ca="1">IF($D315&lt;&gt;"Serviço","",IF(AUTOEVENTO="Manual",IF($A315=0,"&lt;-- defina o número do agrupador",OFFSET(EVENTOS!$D$14,$A315,0)),OFFSET($F$15,$A315,0)))</f>
        <v/>
      </c>
      <c r="O315" s="178"/>
      <c r="Q315" s="178"/>
      <c r="R315" s="179"/>
      <c r="S315" s="179"/>
      <c r="T315" s="179"/>
      <c r="U315" s="179"/>
      <c r="V315" s="179"/>
      <c r="W315" s="179"/>
      <c r="X315" s="179"/>
      <c r="Y315" s="179"/>
      <c r="Z315" s="180"/>
      <c r="AB315" s="544">
        <f ca="1">IF(AND($D315="Serviço",AB$12&lt;&gt;0,$H315&gt;0,OR(AUTOEVENTO&lt;&gt;"manual",$M315&lt;&gt;1)),
IF(Import.TipoArredondamento&lt;&gt;"TransfereGOV",
ROUND(OFFSET($P315,0,AB$13),15-13*ORÇAMENTO!$AF$7)/$H315*OFFSET(ORÇAMENTO!$X$15,ROW(AB315)-ROW(AB$15),0),
ROUND(ROUND(OFFSET($P315,0,AB$13),15-13*ORÇAMENTO!$AF$7)*OFFSET(ORÇAMENTO!$W$15,ROW(AB315)-ROW(AB$15),0),15-13*ORÇAMENTO!$AF$11)),0)</f>
        <v>0</v>
      </c>
      <c r="AC315" s="545">
        <f ca="1">IF(AND($D315="Serviço",AC$12&lt;&gt;0,$H315&gt;0,OR(AUTOEVENTO&lt;&gt;"manual",$M315&lt;&gt;1)),
IF(Import.TipoArredondamento&lt;&gt;"TransfereGOV",
ROUND(OFFSET($P315,0,AC$13),15-13*ORÇAMENTO!$AF$7)/$H315*OFFSET(ORÇAMENTO!$X$15,ROW(AC315)-ROW(AC$15),0),
ROUND(ROUND(OFFSET($P315,0,AC$13),15-13*ORÇAMENTO!$AF$7)*OFFSET(ORÇAMENTO!$W$15,ROW(AC315)-ROW(AC$15),0),15-13*ORÇAMENTO!$AF$11)),0)</f>
        <v>0</v>
      </c>
      <c r="AD315" s="545">
        <f ca="1">IF(AND($D315="Serviço",AD$12&lt;&gt;0,$H315&gt;0,OR(AUTOEVENTO&lt;&gt;"manual",$M315&lt;&gt;1)),
IF(Import.TipoArredondamento&lt;&gt;"TransfereGOV",
ROUND(OFFSET($P315,0,AD$13),15-13*ORÇAMENTO!$AF$7)/$H315*OFFSET(ORÇAMENTO!$X$15,ROW(AD315)-ROW(AD$15),0),
ROUND(ROUND(OFFSET($P315,0,AD$13),15-13*ORÇAMENTO!$AF$7)*OFFSET(ORÇAMENTO!$W$15,ROW(AD315)-ROW(AD$15),0),15-13*ORÇAMENTO!$AF$11)),0)</f>
        <v>0</v>
      </c>
      <c r="AE315" s="545">
        <f ca="1">IF(AND($D315="Serviço",AE$12&lt;&gt;0,$H315&gt;0,OR(AUTOEVENTO&lt;&gt;"manual",$M315&lt;&gt;1)),
IF(Import.TipoArredondamento&lt;&gt;"TransfereGOV",
ROUND(OFFSET($P315,0,AE$13),15-13*ORÇAMENTO!$AF$7)/$H315*OFFSET(ORÇAMENTO!$X$15,ROW(AE315)-ROW(AE$15),0),
ROUND(ROUND(OFFSET($P315,0,AE$13),15-13*ORÇAMENTO!$AF$7)*OFFSET(ORÇAMENTO!$W$15,ROW(AE315)-ROW(AE$15),0),15-13*ORÇAMENTO!$AF$11)),0)</f>
        <v>0</v>
      </c>
      <c r="AF315" s="545">
        <f ca="1">IF(AND($D315="Serviço",AF$12&lt;&gt;0,$H315&gt;0,OR(AUTOEVENTO&lt;&gt;"manual",$M315&lt;&gt;1)),
IF(Import.TipoArredondamento&lt;&gt;"TransfereGOV",
ROUND(OFFSET($P315,0,AF$13),15-13*ORÇAMENTO!$AF$7)/$H315*OFFSET(ORÇAMENTO!$X$15,ROW(AF315)-ROW(AF$15),0),
ROUND(ROUND(OFFSET($P315,0,AF$13),15-13*ORÇAMENTO!$AF$7)*OFFSET(ORÇAMENTO!$W$15,ROW(AF315)-ROW(AF$15),0),15-13*ORÇAMENTO!$AF$11)),0)</f>
        <v>0</v>
      </c>
      <c r="AG315" s="545">
        <f ca="1">IF(AND($D315="Serviço",AG$12&lt;&gt;0,$H315&gt;0,OR(AUTOEVENTO&lt;&gt;"manual",$M315&lt;&gt;1)),
IF(Import.TipoArredondamento&lt;&gt;"TransfereGOV",
ROUND(OFFSET($P315,0,AG$13),15-13*ORÇAMENTO!$AF$7)/$H315*OFFSET(ORÇAMENTO!$X$15,ROW(AG315)-ROW(AG$15),0),
ROUND(ROUND(OFFSET($P315,0,AG$13),15-13*ORÇAMENTO!$AF$7)*OFFSET(ORÇAMENTO!$W$15,ROW(AG315)-ROW(AG$15),0),15-13*ORÇAMENTO!$AF$11)),0)</f>
        <v>0</v>
      </c>
      <c r="AH315" s="545">
        <f ca="1">IF(AND($D315="Serviço",AH$12&lt;&gt;0,$H315&gt;0,OR(AUTOEVENTO&lt;&gt;"manual",$M315&lt;&gt;1)),
IF(Import.TipoArredondamento&lt;&gt;"TransfereGOV",
ROUND(OFFSET($P315,0,AH$13),15-13*ORÇAMENTO!$AF$7)/$H315*OFFSET(ORÇAMENTO!$X$15,ROW(AH315)-ROW(AH$15),0),
ROUND(ROUND(OFFSET($P315,0,AH$13),15-13*ORÇAMENTO!$AF$7)*OFFSET(ORÇAMENTO!$W$15,ROW(AH315)-ROW(AH$15),0),15-13*ORÇAMENTO!$AF$11)),0)</f>
        <v>0</v>
      </c>
      <c r="AI315" s="545">
        <f ca="1">IF(AND($D315="Serviço",AI$12&lt;&gt;0,$H315&gt;0,OR(AUTOEVENTO&lt;&gt;"manual",$M315&lt;&gt;1)),
IF(Import.TipoArredondamento&lt;&gt;"TransfereGOV",
ROUND(OFFSET($P315,0,AI$13),15-13*ORÇAMENTO!$AF$7)/$H315*OFFSET(ORÇAMENTO!$X$15,ROW(AI315)-ROW(AI$15),0),
ROUND(ROUND(OFFSET($P315,0,AI$13),15-13*ORÇAMENTO!$AF$7)*OFFSET(ORÇAMENTO!$W$15,ROW(AI315)-ROW(AI$15),0),15-13*ORÇAMENTO!$AF$11)),0)</f>
        <v>0</v>
      </c>
      <c r="AJ315" s="545">
        <f ca="1">IF(AND($D315="Serviço",AJ$12&lt;&gt;0,$H315&gt;0,OR(AUTOEVENTO&lt;&gt;"manual",$M315&lt;&gt;1)),
IF(Import.TipoArredondamento&lt;&gt;"TransfereGOV",
ROUND(OFFSET($P315,0,AJ$13),15-13*ORÇAMENTO!$AF$7)/$H315*OFFSET(ORÇAMENTO!$X$15,ROW(AJ315)-ROW(AJ$15),0),
ROUND(ROUND(OFFSET($P315,0,AJ$13),15-13*ORÇAMENTO!$AF$7)*OFFSET(ORÇAMENTO!$W$15,ROW(AJ315)-ROW(AJ$15),0),15-13*ORÇAMENTO!$AF$11)),0)</f>
        <v>0</v>
      </c>
      <c r="AK315" s="546">
        <f ca="1">IF(AND($D315="Serviço",AK$12&lt;&gt;0,$H315&gt;0,OR(AUTOEVENTO&lt;&gt;"manual",$M315&lt;&gt;1)),
IF(Import.TipoArredondamento&lt;&gt;"TransfereGOV",
ROUND(OFFSET($P315,0,AK$13),15-13*ORÇAMENTO!$AF$7)/$H315*OFFSET(ORÇAMENTO!$X$15,ROW(AK315)-ROW(AK$15),0),
ROUND(ROUND(OFFSET($P315,0,AK$13),15-13*ORÇAMENTO!$AF$7)*OFFSET(ORÇAMENTO!$W$15,ROW(AK315)-ROW(AK$15),0),15-13*ORÇAMENTO!$AF$11)),0)</f>
        <v>0</v>
      </c>
      <c r="AM315" s="181">
        <f ca="1">IF($D315&lt;&gt;"Serviço",0,IF(AND(AUTOEVENTO="Manual",$M315=1),0,IF(OFFSET(CRONOPLE!$F$14,$M315,AM$13)="",10^12,OFFSET(CRONOPLE!$F$14,$M315,AM$13))))</f>
        <v>0</v>
      </c>
      <c r="AN315" s="181">
        <f ca="1">IF($D315&lt;&gt;"Serviço",0,IF(AND(AUTOEVENTO="Manual",$M315=1),0,IF(OFFSET(CRONOPLE!$F$14,$M315,AN$13)="",10^12,OFFSET(CRONOPLE!$F$14,$M315,AN$13))))</f>
        <v>0</v>
      </c>
      <c r="AO315" s="181">
        <f ca="1">IF($D315&lt;&gt;"Serviço",0,IF(AND(AUTOEVENTO="Manual",$M315=1),0,IF(OFFSET(CRONOPLE!$F$14,$M315,AO$13)="",10^12,OFFSET(CRONOPLE!$F$14,$M315,AO$13))))</f>
        <v>0</v>
      </c>
      <c r="AP315" s="181">
        <f ca="1">IF($D315&lt;&gt;"Serviço",0,IF(AND(AUTOEVENTO="Manual",$M315=1),0,IF(OFFSET(CRONOPLE!$F$14,$M315,AP$13)="",10^12,OFFSET(CRONOPLE!$F$14,$M315,AP$13))))</f>
        <v>0</v>
      </c>
      <c r="AQ315" s="181">
        <f ca="1">IF($D315&lt;&gt;"Serviço",0,IF(AND(AUTOEVENTO="Manual",$M315=1),0,IF(OFFSET(CRONOPLE!$F$14,$M315,AQ$13)="",10^12,OFFSET(CRONOPLE!$F$14,$M315,AQ$13))))</f>
        <v>0</v>
      </c>
      <c r="AR315" s="181">
        <f ca="1">IF($D315&lt;&gt;"Serviço",0,IF(AND(AUTOEVENTO="Manual",$M315=1),0,IF(OFFSET(CRONOPLE!$F$14,$M315,AR$13)="",10^12,OFFSET(CRONOPLE!$F$14,$M315,AR$13))))</f>
        <v>0</v>
      </c>
      <c r="AS315" s="181">
        <f ca="1">IF($D315&lt;&gt;"Serviço",0,IF(AND(AUTOEVENTO="Manual",$M315=1),0,IF(OFFSET(CRONOPLE!$F$14,$M315,AS$13)="",10^12,OFFSET(CRONOPLE!$F$14,$M315,AS$13))))</f>
        <v>0</v>
      </c>
      <c r="AT315" s="181">
        <f ca="1">IF($D315&lt;&gt;"Serviço",0,IF(AND(AUTOEVENTO="Manual",$M315=1),0,IF(OFFSET(CRONOPLE!$F$14,$M315,AT$13)="",10^12,OFFSET(CRONOPLE!$F$14,$M315,AT$13))))</f>
        <v>0</v>
      </c>
      <c r="AU315" s="181">
        <f ca="1">IF($D315&lt;&gt;"Serviço",0,IF(AND(AUTOEVENTO="Manual",$M315=1),0,IF(OFFSET(CRONOPLE!$F$14,$M315,AU$13)="",10^12,OFFSET(CRONOPLE!$F$14,$M315,AU$13))))</f>
        <v>0</v>
      </c>
      <c r="AV315" s="181">
        <f ca="1">IF($D315&lt;&gt;"Serviço",0,IF(AND(AUTOEVENTO="Manual",$M315=1),0,IF(OFFSET(CRONOPLE!$F$14,$M315,AV$13)="",10^12,OFFSET(CRONOPLE!$F$14,$M315,AV$13))))</f>
        <v>0</v>
      </c>
      <c r="AX315" s="182">
        <f ca="1">IF($D315&lt;&gt;"Serviço",0,IF(OR(AND(AUTOEVENTO="Manual",$M315=1),$M315&gt;(ROW(PLE.lastrow)-ROW(PLE.firstrow))),0,IF(OFFSET(PLE!$G$14,$M315,AX$13)="",10^12,OFFSET(PLE!$G$14,$M315,AX$13))))</f>
        <v>0</v>
      </c>
      <c r="AY315" s="182">
        <f ca="1">IF($D315&lt;&gt;"Serviço",0,IF(OR(AND(AUTOEVENTO="Manual",$M315=1),$M315&gt;(ROW(PLE.lastrow)-ROW(PLE.firstrow))),0,IF(OFFSET(PLE!$G$14,$M315,AY$13)="",10^12,OFFSET(PLE!$G$14,$M315,AY$13))))</f>
        <v>0</v>
      </c>
      <c r="AZ315" s="182">
        <f ca="1">IF($D315&lt;&gt;"Serviço",0,IF(OR(AND(AUTOEVENTO="Manual",$M315=1),$M315&gt;(ROW(PLE.lastrow)-ROW(PLE.firstrow))),0,IF(OFFSET(PLE!$G$14,$M315,AZ$13)="",10^12,OFFSET(PLE!$G$14,$M315,AZ$13))))</f>
        <v>0</v>
      </c>
      <c r="BA315" s="182">
        <f ca="1">IF($D315&lt;&gt;"Serviço",0,IF(OR(AND(AUTOEVENTO="Manual",$M315=1),$M315&gt;(ROW(PLE.lastrow)-ROW(PLE.firstrow))),0,IF(OFFSET(PLE!$G$14,$M315,BA$13)="",10^12,OFFSET(PLE!$G$14,$M315,BA$13))))</f>
        <v>0</v>
      </c>
      <c r="BB315" s="182">
        <f ca="1">IF($D315&lt;&gt;"Serviço",0,IF(OR(AND(AUTOEVENTO="Manual",$M315=1),$M315&gt;(ROW(PLE.lastrow)-ROW(PLE.firstrow))),0,IF(OFFSET(PLE!$G$14,$M315,BB$13)="",10^12,OFFSET(PLE!$G$14,$M315,BB$13))))</f>
        <v>0</v>
      </c>
      <c r="BC315" s="182">
        <f ca="1">IF($D315&lt;&gt;"Serviço",0,IF(OR(AND(AUTOEVENTO="Manual",$M315=1),$M315&gt;(ROW(PLE.lastrow)-ROW(PLE.firstrow))),0,IF(OFFSET(PLE!$G$14,$M315,BC$13)="",10^12,OFFSET(PLE!$G$14,$M315,BC$13))))</f>
        <v>0</v>
      </c>
      <c r="BD315" s="182">
        <f ca="1">IF($D315&lt;&gt;"Serviço",0,IF(OR(AND(AUTOEVENTO="Manual",$M315=1),$M315&gt;(ROW(PLE.lastrow)-ROW(PLE.firstrow))),0,IF(OFFSET(PLE!$G$14,$M315,BD$13)="",10^12,OFFSET(PLE!$G$14,$M315,BD$13))))</f>
        <v>0</v>
      </c>
      <c r="BE315" s="182">
        <f ca="1">IF($D315&lt;&gt;"Serviço",0,IF(OR(AND(AUTOEVENTO="Manual",$M315=1),$M315&gt;(ROW(PLE.lastrow)-ROW(PLE.firstrow))),0,IF(OFFSET(PLE!$G$14,$M315,BE$13)="",10^12,OFFSET(PLE!$G$14,$M315,BE$13))))</f>
        <v>0</v>
      </c>
      <c r="BF315" s="182">
        <f ca="1">IF($D315&lt;&gt;"Serviço",0,IF(OR(AND(AUTOEVENTO="Manual",$M315=1),$M315&gt;(ROW(PLE.lastrow)-ROW(PLE.firstrow))),0,IF(OFFSET(PLE!$G$14,$M315,BF$13)="",10^12,OFFSET(PLE!$G$14,$M315,BF$13))))</f>
        <v>0</v>
      </c>
      <c r="BG315" s="182">
        <f ca="1">IF($D315&lt;&gt;"Serviço",0,IF(OR(AND(AUTOEVENTO="Manual",$M315=1),$M315&gt;(ROW(PLE.lastrow)-ROW(PLE.firstrow))),0,IF(OFFSET(PLE!$G$14,$M315,BG$13)="",10^12,OFFSET(PLE!$G$14,$M315,BG$13))))</f>
        <v>0</v>
      </c>
    </row>
    <row r="316" spans="1:59" ht="25.5" x14ac:dyDescent="0.2">
      <c r="A316" s="7" t="str">
        <f t="shared" ca="1" si="11"/>
        <v>251</v>
      </c>
      <c r="B316" s="7" t="str">
        <f ca="1">OFFSET(ORÇAMENTO!C$15,ROW(B316)-ROW(B$15),0)</f>
        <v>S</v>
      </c>
      <c r="C316" s="7" t="str">
        <f ca="1">OFFSET(ORÇAMENTO!L$15,ROW(C316)-ROW(C$15),0)</f>
        <v/>
      </c>
      <c r="D316" s="118" t="str">
        <f ca="1">OFFSET(ORÇAMENTO!N$15,ROW(D316)-ROW(D$15),0)</f>
        <v>Serviço</v>
      </c>
      <c r="E316" s="119" t="str">
        <f ca="1">OFFSET(ORÇAMENTO!O$15,ROW(E316)-ROW(E$15),0)</f>
        <v>-</v>
      </c>
      <c r="F316" s="172" t="str">
        <f ca="1">OFFSET(ORÇAMENTO!R$15,ROW(F316)-ROW(F$15),0)</f>
        <v>(abra o arquivo 'Referência 02-2025.xlsm)</v>
      </c>
      <c r="G316" s="173" t="str">
        <f ca="1">IF($D316&lt;&gt;"Serviço","",OFFSET(ORÇAMENTO!S$15,ROW(G316)-ROW(G$15),0))</f>
        <v>-</v>
      </c>
      <c r="H316" s="124">
        <f ca="1">IF($D316&lt;&gt;"Serviço",0,IF(ACOMPANHAMENTO="BM",ROUND(OFFSET(ORÇAMENTO!AJ$15,ROW(H316)-ROW(H$15),0),15-13*ORÇAMENTO!$AF$7),SUMPRODUCT(($Q$12:$AA$12&lt;&gt;"")*ROUND($Q316:$AA316,15-13*ORÇAMENTO!$AF$7))))</f>
        <v>1</v>
      </c>
      <c r="I316" s="561" t="s">
        <v>890</v>
      </c>
      <c r="K316" s="174"/>
      <c r="L316" s="175" t="s">
        <v>255</v>
      </c>
      <c r="M316" s="176">
        <f ca="1">IF($D316&lt;&gt;"Serviço","",IF(AUTOEVENTO="manual",$A316,IF(ISERROR(MATCH($A316,$A$15:OFFSET($A316,-1,0),0)),MAX($M$15:OFFSET(M316,-1,0))+1,INDEX($M$15:OFFSET(M316,-1,0),MATCH($A316,$A$15:OFFSET($A316,-1,0),0)))))</f>
        <v>13</v>
      </c>
      <c r="N316" s="177" t="str">
        <f ca="1">IF($D316&lt;&gt;"Serviço","",IF(AUTOEVENTO="Manual",IF($A316=0,"&lt;-- defina o número do agrupador",OFFSET(EVENTOS!$D$14,$A316,0)),OFFSET($F$15,$A316,0)))</f>
        <v>INSTALAÇÃO HIDRÁULICA</v>
      </c>
      <c r="O316" s="178"/>
      <c r="Q316" s="178"/>
      <c r="R316" s="179"/>
      <c r="S316" s="179"/>
      <c r="T316" s="179"/>
      <c r="U316" s="179"/>
      <c r="V316" s="179"/>
      <c r="W316" s="179"/>
      <c r="X316" s="179"/>
      <c r="Y316" s="179"/>
      <c r="Z316" s="180"/>
      <c r="AB316" s="544">
        <f ca="1">IF(AND($D316="Serviço",AB$12&lt;&gt;0,$H316&gt;0,OR(AUTOEVENTO&lt;&gt;"manual",$M316&lt;&gt;1)),
IF(Import.TipoArredondamento&lt;&gt;"TransfereGOV",
ROUND(OFFSET($P316,0,AB$13),15-13*ORÇAMENTO!$AF$7)/$H316*OFFSET(ORÇAMENTO!$X$15,ROW(AB316)-ROW(AB$15),0),
ROUND(ROUND(OFFSET($P316,0,AB$13),15-13*ORÇAMENTO!$AF$7)*OFFSET(ORÇAMENTO!$W$15,ROW(AB316)-ROW(AB$15),0),15-13*ORÇAMENTO!$AF$11)),0)</f>
        <v>0</v>
      </c>
      <c r="AC316" s="545">
        <f ca="1">IF(AND($D316="Serviço",AC$12&lt;&gt;0,$H316&gt;0,OR(AUTOEVENTO&lt;&gt;"manual",$M316&lt;&gt;1)),
IF(Import.TipoArredondamento&lt;&gt;"TransfereGOV",
ROUND(OFFSET($P316,0,AC$13),15-13*ORÇAMENTO!$AF$7)/$H316*OFFSET(ORÇAMENTO!$X$15,ROW(AC316)-ROW(AC$15),0),
ROUND(ROUND(OFFSET($P316,0,AC$13),15-13*ORÇAMENTO!$AF$7)*OFFSET(ORÇAMENTO!$W$15,ROW(AC316)-ROW(AC$15),0),15-13*ORÇAMENTO!$AF$11)),0)</f>
        <v>0</v>
      </c>
      <c r="AD316" s="545">
        <f ca="1">IF(AND($D316="Serviço",AD$12&lt;&gt;0,$H316&gt;0,OR(AUTOEVENTO&lt;&gt;"manual",$M316&lt;&gt;1)),
IF(Import.TipoArredondamento&lt;&gt;"TransfereGOV",
ROUND(OFFSET($P316,0,AD$13),15-13*ORÇAMENTO!$AF$7)/$H316*OFFSET(ORÇAMENTO!$X$15,ROW(AD316)-ROW(AD$15),0),
ROUND(ROUND(OFFSET($P316,0,AD$13),15-13*ORÇAMENTO!$AF$7)*OFFSET(ORÇAMENTO!$W$15,ROW(AD316)-ROW(AD$15),0),15-13*ORÇAMENTO!$AF$11)),0)</f>
        <v>0</v>
      </c>
      <c r="AE316" s="545">
        <f ca="1">IF(AND($D316="Serviço",AE$12&lt;&gt;0,$H316&gt;0,OR(AUTOEVENTO&lt;&gt;"manual",$M316&lt;&gt;1)),
IF(Import.TipoArredondamento&lt;&gt;"TransfereGOV",
ROUND(OFFSET($P316,0,AE$13),15-13*ORÇAMENTO!$AF$7)/$H316*OFFSET(ORÇAMENTO!$X$15,ROW(AE316)-ROW(AE$15),0),
ROUND(ROUND(OFFSET($P316,0,AE$13),15-13*ORÇAMENTO!$AF$7)*OFFSET(ORÇAMENTO!$W$15,ROW(AE316)-ROW(AE$15),0),15-13*ORÇAMENTO!$AF$11)),0)</f>
        <v>0</v>
      </c>
      <c r="AF316" s="545">
        <f ca="1">IF(AND($D316="Serviço",AF$12&lt;&gt;0,$H316&gt;0,OR(AUTOEVENTO&lt;&gt;"manual",$M316&lt;&gt;1)),
IF(Import.TipoArredondamento&lt;&gt;"TransfereGOV",
ROUND(OFFSET($P316,0,AF$13),15-13*ORÇAMENTO!$AF$7)/$H316*OFFSET(ORÇAMENTO!$X$15,ROW(AF316)-ROW(AF$15),0),
ROUND(ROUND(OFFSET($P316,0,AF$13),15-13*ORÇAMENTO!$AF$7)*OFFSET(ORÇAMENTO!$W$15,ROW(AF316)-ROW(AF$15),0),15-13*ORÇAMENTO!$AF$11)),0)</f>
        <v>0</v>
      </c>
      <c r="AG316" s="545">
        <f ca="1">IF(AND($D316="Serviço",AG$12&lt;&gt;0,$H316&gt;0,OR(AUTOEVENTO&lt;&gt;"manual",$M316&lt;&gt;1)),
IF(Import.TipoArredondamento&lt;&gt;"TransfereGOV",
ROUND(OFFSET($P316,0,AG$13),15-13*ORÇAMENTO!$AF$7)/$H316*OFFSET(ORÇAMENTO!$X$15,ROW(AG316)-ROW(AG$15),0),
ROUND(ROUND(OFFSET($P316,0,AG$13),15-13*ORÇAMENTO!$AF$7)*OFFSET(ORÇAMENTO!$W$15,ROW(AG316)-ROW(AG$15),0),15-13*ORÇAMENTO!$AF$11)),0)</f>
        <v>0</v>
      </c>
      <c r="AH316" s="545">
        <f ca="1">IF(AND($D316="Serviço",AH$12&lt;&gt;0,$H316&gt;0,OR(AUTOEVENTO&lt;&gt;"manual",$M316&lt;&gt;1)),
IF(Import.TipoArredondamento&lt;&gt;"TransfereGOV",
ROUND(OFFSET($P316,0,AH$13),15-13*ORÇAMENTO!$AF$7)/$H316*OFFSET(ORÇAMENTO!$X$15,ROW(AH316)-ROW(AH$15),0),
ROUND(ROUND(OFFSET($P316,0,AH$13),15-13*ORÇAMENTO!$AF$7)*OFFSET(ORÇAMENTO!$W$15,ROW(AH316)-ROW(AH$15),0),15-13*ORÇAMENTO!$AF$11)),0)</f>
        <v>0</v>
      </c>
      <c r="AI316" s="545">
        <f ca="1">IF(AND($D316="Serviço",AI$12&lt;&gt;0,$H316&gt;0,OR(AUTOEVENTO&lt;&gt;"manual",$M316&lt;&gt;1)),
IF(Import.TipoArredondamento&lt;&gt;"TransfereGOV",
ROUND(OFFSET($P316,0,AI$13),15-13*ORÇAMENTO!$AF$7)/$H316*OFFSET(ORÇAMENTO!$X$15,ROW(AI316)-ROW(AI$15),0),
ROUND(ROUND(OFFSET($P316,0,AI$13),15-13*ORÇAMENTO!$AF$7)*OFFSET(ORÇAMENTO!$W$15,ROW(AI316)-ROW(AI$15),0),15-13*ORÇAMENTO!$AF$11)),0)</f>
        <v>0</v>
      </c>
      <c r="AJ316" s="545">
        <f ca="1">IF(AND($D316="Serviço",AJ$12&lt;&gt;0,$H316&gt;0,OR(AUTOEVENTO&lt;&gt;"manual",$M316&lt;&gt;1)),
IF(Import.TipoArredondamento&lt;&gt;"TransfereGOV",
ROUND(OFFSET($P316,0,AJ$13),15-13*ORÇAMENTO!$AF$7)/$H316*OFFSET(ORÇAMENTO!$X$15,ROW(AJ316)-ROW(AJ$15),0),
ROUND(ROUND(OFFSET($P316,0,AJ$13),15-13*ORÇAMENTO!$AF$7)*OFFSET(ORÇAMENTO!$W$15,ROW(AJ316)-ROW(AJ$15),0),15-13*ORÇAMENTO!$AF$11)),0)</f>
        <v>0</v>
      </c>
      <c r="AK316" s="546">
        <f ca="1">IF(AND($D316="Serviço",AK$12&lt;&gt;0,$H316&gt;0,OR(AUTOEVENTO&lt;&gt;"manual",$M316&lt;&gt;1)),
IF(Import.TipoArredondamento&lt;&gt;"TransfereGOV",
ROUND(OFFSET($P316,0,AK$13),15-13*ORÇAMENTO!$AF$7)/$H316*OFFSET(ORÇAMENTO!$X$15,ROW(AK316)-ROW(AK$15),0),
ROUND(ROUND(OFFSET($P316,0,AK$13),15-13*ORÇAMENTO!$AF$7)*OFFSET(ORÇAMENTO!$W$15,ROW(AK316)-ROW(AK$15),0),15-13*ORÇAMENTO!$AF$11)),0)</f>
        <v>0</v>
      </c>
      <c r="AM316" s="181">
        <f ca="1">IF($D316&lt;&gt;"Serviço",0,IF(AND(AUTOEVENTO="Manual",$M316=1),0,IF(OFFSET(CRONOPLE!$F$14,$M316,AM$13)="",10^12,OFFSET(CRONOPLE!$F$14,$M316,AM$13))))</f>
        <v>1000000000000</v>
      </c>
      <c r="AN316" s="181">
        <f ca="1">IF($D316&lt;&gt;"Serviço",0,IF(AND(AUTOEVENTO="Manual",$M316=1),0,IF(OFFSET(CRONOPLE!$F$14,$M316,AN$13)="",10^12,OFFSET(CRONOPLE!$F$14,$M316,AN$13))))</f>
        <v>1000000000000</v>
      </c>
      <c r="AO316" s="181">
        <f ca="1">IF($D316&lt;&gt;"Serviço",0,IF(AND(AUTOEVENTO="Manual",$M316=1),0,IF(OFFSET(CRONOPLE!$F$14,$M316,AO$13)="",10^12,OFFSET(CRONOPLE!$F$14,$M316,AO$13))))</f>
        <v>1000000000000</v>
      </c>
      <c r="AP316" s="181">
        <f ca="1">IF($D316&lt;&gt;"Serviço",0,IF(AND(AUTOEVENTO="Manual",$M316=1),0,IF(OFFSET(CRONOPLE!$F$14,$M316,AP$13)="",10^12,OFFSET(CRONOPLE!$F$14,$M316,AP$13))))</f>
        <v>1000000000000</v>
      </c>
      <c r="AQ316" s="181">
        <f ca="1">IF($D316&lt;&gt;"Serviço",0,IF(AND(AUTOEVENTO="Manual",$M316=1),0,IF(OFFSET(CRONOPLE!$F$14,$M316,AQ$13)="",10^12,OFFSET(CRONOPLE!$F$14,$M316,AQ$13))))</f>
        <v>1000000000000</v>
      </c>
      <c r="AR316" s="181">
        <f ca="1">IF($D316&lt;&gt;"Serviço",0,IF(AND(AUTOEVENTO="Manual",$M316=1),0,IF(OFFSET(CRONOPLE!$F$14,$M316,AR$13)="",10^12,OFFSET(CRONOPLE!$F$14,$M316,AR$13))))</f>
        <v>1000000000000</v>
      </c>
      <c r="AS316" s="181">
        <f ca="1">IF($D316&lt;&gt;"Serviço",0,IF(AND(AUTOEVENTO="Manual",$M316=1),0,IF(OFFSET(CRONOPLE!$F$14,$M316,AS$13)="",10^12,OFFSET(CRONOPLE!$F$14,$M316,AS$13))))</f>
        <v>1000000000000</v>
      </c>
      <c r="AT316" s="181">
        <f ca="1">IF($D316&lt;&gt;"Serviço",0,IF(AND(AUTOEVENTO="Manual",$M316=1),0,IF(OFFSET(CRONOPLE!$F$14,$M316,AT$13)="",10^12,OFFSET(CRONOPLE!$F$14,$M316,AT$13))))</f>
        <v>1000000000000</v>
      </c>
      <c r="AU316" s="181">
        <f ca="1">IF($D316&lt;&gt;"Serviço",0,IF(AND(AUTOEVENTO="Manual",$M316=1),0,IF(OFFSET(CRONOPLE!$F$14,$M316,AU$13)="",10^12,OFFSET(CRONOPLE!$F$14,$M316,AU$13))))</f>
        <v>1000000000000</v>
      </c>
      <c r="AV316" s="181">
        <f ca="1">IF($D316&lt;&gt;"Serviço",0,IF(AND(AUTOEVENTO="Manual",$M316=1),0,IF(OFFSET(CRONOPLE!$F$14,$M316,AV$13)="",10^12,OFFSET(CRONOPLE!$F$14,$M316,AV$13))))</f>
        <v>1000000000000</v>
      </c>
      <c r="AX316" s="182">
        <f ca="1">IF($D316&lt;&gt;"Serviço",0,IF(OR(AND(AUTOEVENTO="Manual",$M316=1),$M316&gt;(ROW(PLE.lastrow)-ROW(PLE.firstrow))),0,IF(OFFSET(PLE!$G$14,$M316,AX$13)="",10^12,OFFSET(PLE!$G$14,$M316,AX$13))))</f>
        <v>1000000000000</v>
      </c>
      <c r="AY316" s="182">
        <f ca="1">IF($D316&lt;&gt;"Serviço",0,IF(OR(AND(AUTOEVENTO="Manual",$M316=1),$M316&gt;(ROW(PLE.lastrow)-ROW(PLE.firstrow))),0,IF(OFFSET(PLE!$G$14,$M316,AY$13)="",10^12,OFFSET(PLE!$G$14,$M316,AY$13))))</f>
        <v>1000000000000</v>
      </c>
      <c r="AZ316" s="182">
        <f ca="1">IF($D316&lt;&gt;"Serviço",0,IF(OR(AND(AUTOEVENTO="Manual",$M316=1),$M316&gt;(ROW(PLE.lastrow)-ROW(PLE.firstrow))),0,IF(OFFSET(PLE!$G$14,$M316,AZ$13)="",10^12,OFFSET(PLE!$G$14,$M316,AZ$13))))</f>
        <v>1000000000000</v>
      </c>
      <c r="BA316" s="182">
        <f ca="1">IF($D316&lt;&gt;"Serviço",0,IF(OR(AND(AUTOEVENTO="Manual",$M316=1),$M316&gt;(ROW(PLE.lastrow)-ROW(PLE.firstrow))),0,IF(OFFSET(PLE!$G$14,$M316,BA$13)="",10^12,OFFSET(PLE!$G$14,$M316,BA$13))))</f>
        <v>1000000000000</v>
      </c>
      <c r="BB316" s="182">
        <f ca="1">IF($D316&lt;&gt;"Serviço",0,IF(OR(AND(AUTOEVENTO="Manual",$M316=1),$M316&gt;(ROW(PLE.lastrow)-ROW(PLE.firstrow))),0,IF(OFFSET(PLE!$G$14,$M316,BB$13)="",10^12,OFFSET(PLE!$G$14,$M316,BB$13))))</f>
        <v>1000000000000</v>
      </c>
      <c r="BC316" s="182">
        <f ca="1">IF($D316&lt;&gt;"Serviço",0,IF(OR(AND(AUTOEVENTO="Manual",$M316=1),$M316&gt;(ROW(PLE.lastrow)-ROW(PLE.firstrow))),0,IF(OFFSET(PLE!$G$14,$M316,BC$13)="",10^12,OFFSET(PLE!$G$14,$M316,BC$13))))</f>
        <v>1000000000000</v>
      </c>
      <c r="BD316" s="182">
        <f ca="1">IF($D316&lt;&gt;"Serviço",0,IF(OR(AND(AUTOEVENTO="Manual",$M316=1),$M316&gt;(ROW(PLE.lastrow)-ROW(PLE.firstrow))),0,IF(OFFSET(PLE!$G$14,$M316,BD$13)="",10^12,OFFSET(PLE!$G$14,$M316,BD$13))))</f>
        <v>1000000000000</v>
      </c>
      <c r="BE316" s="182">
        <f ca="1">IF($D316&lt;&gt;"Serviço",0,IF(OR(AND(AUTOEVENTO="Manual",$M316=1),$M316&gt;(ROW(PLE.lastrow)-ROW(PLE.firstrow))),0,IF(OFFSET(PLE!$G$14,$M316,BE$13)="",10^12,OFFSET(PLE!$G$14,$M316,BE$13))))</f>
        <v>1000000000000</v>
      </c>
      <c r="BF316" s="182">
        <f ca="1">IF($D316&lt;&gt;"Serviço",0,IF(OR(AND(AUTOEVENTO="Manual",$M316=1),$M316&gt;(ROW(PLE.lastrow)-ROW(PLE.firstrow))),0,IF(OFFSET(PLE!$G$14,$M316,BF$13)="",10^12,OFFSET(PLE!$G$14,$M316,BF$13))))</f>
        <v>1000000000000</v>
      </c>
      <c r="BG316" s="182">
        <f ca="1">IF($D316&lt;&gt;"Serviço",0,IF(OR(AND(AUTOEVENTO="Manual",$M316=1),$M316&gt;(ROW(PLE.lastrow)-ROW(PLE.firstrow))),0,IF(OFFSET(PLE!$G$14,$M316,BG$13)="",10^12,OFFSET(PLE!$G$14,$M316,BG$13))))</f>
        <v>1000000000000</v>
      </c>
    </row>
    <row r="317" spans="1:59" ht="12.75" x14ac:dyDescent="0.2">
      <c r="A317" s="7" t="str">
        <f t="shared" ca="1" si="11"/>
        <v>302.</v>
      </c>
      <c r="B317" s="7">
        <f ca="1">OFFSET(ORÇAMENTO!C$15,ROW(B317)-ROW(B$15),0)</f>
        <v>2</v>
      </c>
      <c r="C317" s="7" t="str">
        <f ca="1">OFFSET(ORÇAMENTO!L$15,ROW(C317)-ROW(C$15),0)</f>
        <v>F</v>
      </c>
      <c r="D317" s="118" t="str">
        <f ca="1">OFFSET(ORÇAMENTO!N$15,ROW(D317)-ROW(D$15),0)</f>
        <v>Nível 2</v>
      </c>
      <c r="E317" s="119" t="str">
        <f ca="1">OFFSET(ORÇAMENTO!O$15,ROW(E317)-ROW(E$15),0)</f>
        <v>1.13.</v>
      </c>
      <c r="F317" s="172" t="str">
        <f ca="1">OFFSET(ORÇAMENTO!R$15,ROW(F317)-ROW(F$15),0)</f>
        <v>DRENAGEM DE ÁGUAS PLUVIAIS</v>
      </c>
      <c r="G317" s="173" t="str">
        <f ca="1">IF($D317&lt;&gt;"Serviço","",OFFSET(ORÇAMENTO!S$15,ROW(G317)-ROW(G$15),0))</f>
        <v/>
      </c>
      <c r="H317" s="124">
        <f ca="1">IF($D317&lt;&gt;"Serviço",0,IF(ACOMPANHAMENTO="BM",ROUND(OFFSET(ORÇAMENTO!AJ$15,ROW(H317)-ROW(H$15),0),15-13*ORÇAMENTO!$AF$7),SUMPRODUCT(($Q$12:$AA$12&lt;&gt;"")*ROUND($Q317:$AA317,15-13*ORÇAMENTO!$AF$7))))</f>
        <v>0</v>
      </c>
      <c r="I317" s="561"/>
      <c r="K317" s="174"/>
      <c r="L317" s="175" t="s">
        <v>255</v>
      </c>
      <c r="M317" s="176" t="str">
        <f ca="1">IF($D317&lt;&gt;"Serviço","",IF(AUTOEVENTO="manual",$A317,IF(ISERROR(MATCH($A317,$A$15:OFFSET($A317,-1,0),0)),MAX($M$15:OFFSET(M317,-1,0))+1,INDEX($M$15:OFFSET(M317,-1,0),MATCH($A317,$A$15:OFFSET($A317,-1,0),0)))))</f>
        <v/>
      </c>
      <c r="N317" s="177" t="str">
        <f ca="1">IF($D317&lt;&gt;"Serviço","",IF(AUTOEVENTO="Manual",IF($A317=0,"&lt;-- defina o número do agrupador",OFFSET(EVENTOS!$D$14,$A317,0)),OFFSET($F$15,$A317,0)))</f>
        <v/>
      </c>
      <c r="O317" s="178"/>
      <c r="Q317" s="178"/>
      <c r="R317" s="179"/>
      <c r="S317" s="179"/>
      <c r="T317" s="179"/>
      <c r="U317" s="179"/>
      <c r="V317" s="179"/>
      <c r="W317" s="179"/>
      <c r="X317" s="179"/>
      <c r="Y317" s="179"/>
      <c r="Z317" s="180"/>
      <c r="AB317" s="544">
        <f ca="1">IF(AND($D317="Serviço",AB$12&lt;&gt;0,$H317&gt;0,OR(AUTOEVENTO&lt;&gt;"manual",$M317&lt;&gt;1)),
IF(Import.TipoArredondamento&lt;&gt;"TransfereGOV",
ROUND(OFFSET($P317,0,AB$13),15-13*ORÇAMENTO!$AF$7)/$H317*OFFSET(ORÇAMENTO!$X$15,ROW(AB317)-ROW(AB$15),0),
ROUND(ROUND(OFFSET($P317,0,AB$13),15-13*ORÇAMENTO!$AF$7)*OFFSET(ORÇAMENTO!$W$15,ROW(AB317)-ROW(AB$15),0),15-13*ORÇAMENTO!$AF$11)),0)</f>
        <v>0</v>
      </c>
      <c r="AC317" s="545">
        <f ca="1">IF(AND($D317="Serviço",AC$12&lt;&gt;0,$H317&gt;0,OR(AUTOEVENTO&lt;&gt;"manual",$M317&lt;&gt;1)),
IF(Import.TipoArredondamento&lt;&gt;"TransfereGOV",
ROUND(OFFSET($P317,0,AC$13),15-13*ORÇAMENTO!$AF$7)/$H317*OFFSET(ORÇAMENTO!$X$15,ROW(AC317)-ROW(AC$15),0),
ROUND(ROUND(OFFSET($P317,0,AC$13),15-13*ORÇAMENTO!$AF$7)*OFFSET(ORÇAMENTO!$W$15,ROW(AC317)-ROW(AC$15),0),15-13*ORÇAMENTO!$AF$11)),0)</f>
        <v>0</v>
      </c>
      <c r="AD317" s="545">
        <f ca="1">IF(AND($D317="Serviço",AD$12&lt;&gt;0,$H317&gt;0,OR(AUTOEVENTO&lt;&gt;"manual",$M317&lt;&gt;1)),
IF(Import.TipoArredondamento&lt;&gt;"TransfereGOV",
ROUND(OFFSET($P317,0,AD$13),15-13*ORÇAMENTO!$AF$7)/$H317*OFFSET(ORÇAMENTO!$X$15,ROW(AD317)-ROW(AD$15),0),
ROUND(ROUND(OFFSET($P317,0,AD$13),15-13*ORÇAMENTO!$AF$7)*OFFSET(ORÇAMENTO!$W$15,ROW(AD317)-ROW(AD$15),0),15-13*ORÇAMENTO!$AF$11)),0)</f>
        <v>0</v>
      </c>
      <c r="AE317" s="545">
        <f ca="1">IF(AND($D317="Serviço",AE$12&lt;&gt;0,$H317&gt;0,OR(AUTOEVENTO&lt;&gt;"manual",$M317&lt;&gt;1)),
IF(Import.TipoArredondamento&lt;&gt;"TransfereGOV",
ROUND(OFFSET($P317,0,AE$13),15-13*ORÇAMENTO!$AF$7)/$H317*OFFSET(ORÇAMENTO!$X$15,ROW(AE317)-ROW(AE$15),0),
ROUND(ROUND(OFFSET($P317,0,AE$13),15-13*ORÇAMENTO!$AF$7)*OFFSET(ORÇAMENTO!$W$15,ROW(AE317)-ROW(AE$15),0),15-13*ORÇAMENTO!$AF$11)),0)</f>
        <v>0</v>
      </c>
      <c r="AF317" s="545">
        <f ca="1">IF(AND($D317="Serviço",AF$12&lt;&gt;0,$H317&gt;0,OR(AUTOEVENTO&lt;&gt;"manual",$M317&lt;&gt;1)),
IF(Import.TipoArredondamento&lt;&gt;"TransfereGOV",
ROUND(OFFSET($P317,0,AF$13),15-13*ORÇAMENTO!$AF$7)/$H317*OFFSET(ORÇAMENTO!$X$15,ROW(AF317)-ROW(AF$15),0),
ROUND(ROUND(OFFSET($P317,0,AF$13),15-13*ORÇAMENTO!$AF$7)*OFFSET(ORÇAMENTO!$W$15,ROW(AF317)-ROW(AF$15),0),15-13*ORÇAMENTO!$AF$11)),0)</f>
        <v>0</v>
      </c>
      <c r="AG317" s="545">
        <f ca="1">IF(AND($D317="Serviço",AG$12&lt;&gt;0,$H317&gt;0,OR(AUTOEVENTO&lt;&gt;"manual",$M317&lt;&gt;1)),
IF(Import.TipoArredondamento&lt;&gt;"TransfereGOV",
ROUND(OFFSET($P317,0,AG$13),15-13*ORÇAMENTO!$AF$7)/$H317*OFFSET(ORÇAMENTO!$X$15,ROW(AG317)-ROW(AG$15),0),
ROUND(ROUND(OFFSET($P317,0,AG$13),15-13*ORÇAMENTO!$AF$7)*OFFSET(ORÇAMENTO!$W$15,ROW(AG317)-ROW(AG$15),0),15-13*ORÇAMENTO!$AF$11)),0)</f>
        <v>0</v>
      </c>
      <c r="AH317" s="545">
        <f ca="1">IF(AND($D317="Serviço",AH$12&lt;&gt;0,$H317&gt;0,OR(AUTOEVENTO&lt;&gt;"manual",$M317&lt;&gt;1)),
IF(Import.TipoArredondamento&lt;&gt;"TransfereGOV",
ROUND(OFFSET($P317,0,AH$13),15-13*ORÇAMENTO!$AF$7)/$H317*OFFSET(ORÇAMENTO!$X$15,ROW(AH317)-ROW(AH$15),0),
ROUND(ROUND(OFFSET($P317,0,AH$13),15-13*ORÇAMENTO!$AF$7)*OFFSET(ORÇAMENTO!$W$15,ROW(AH317)-ROW(AH$15),0),15-13*ORÇAMENTO!$AF$11)),0)</f>
        <v>0</v>
      </c>
      <c r="AI317" s="545">
        <f ca="1">IF(AND($D317="Serviço",AI$12&lt;&gt;0,$H317&gt;0,OR(AUTOEVENTO&lt;&gt;"manual",$M317&lt;&gt;1)),
IF(Import.TipoArredondamento&lt;&gt;"TransfereGOV",
ROUND(OFFSET($P317,0,AI$13),15-13*ORÇAMENTO!$AF$7)/$H317*OFFSET(ORÇAMENTO!$X$15,ROW(AI317)-ROW(AI$15),0),
ROUND(ROUND(OFFSET($P317,0,AI$13),15-13*ORÇAMENTO!$AF$7)*OFFSET(ORÇAMENTO!$W$15,ROW(AI317)-ROW(AI$15),0),15-13*ORÇAMENTO!$AF$11)),0)</f>
        <v>0</v>
      </c>
      <c r="AJ317" s="545">
        <f ca="1">IF(AND($D317="Serviço",AJ$12&lt;&gt;0,$H317&gt;0,OR(AUTOEVENTO&lt;&gt;"manual",$M317&lt;&gt;1)),
IF(Import.TipoArredondamento&lt;&gt;"TransfereGOV",
ROUND(OFFSET($P317,0,AJ$13),15-13*ORÇAMENTO!$AF$7)/$H317*OFFSET(ORÇAMENTO!$X$15,ROW(AJ317)-ROW(AJ$15),0),
ROUND(ROUND(OFFSET($P317,0,AJ$13),15-13*ORÇAMENTO!$AF$7)*OFFSET(ORÇAMENTO!$W$15,ROW(AJ317)-ROW(AJ$15),0),15-13*ORÇAMENTO!$AF$11)),0)</f>
        <v>0</v>
      </c>
      <c r="AK317" s="546">
        <f ca="1">IF(AND($D317="Serviço",AK$12&lt;&gt;0,$H317&gt;0,OR(AUTOEVENTO&lt;&gt;"manual",$M317&lt;&gt;1)),
IF(Import.TipoArredondamento&lt;&gt;"TransfereGOV",
ROUND(OFFSET($P317,0,AK$13),15-13*ORÇAMENTO!$AF$7)/$H317*OFFSET(ORÇAMENTO!$X$15,ROW(AK317)-ROW(AK$15),0),
ROUND(ROUND(OFFSET($P317,0,AK$13),15-13*ORÇAMENTO!$AF$7)*OFFSET(ORÇAMENTO!$W$15,ROW(AK317)-ROW(AK$15),0),15-13*ORÇAMENTO!$AF$11)),0)</f>
        <v>0</v>
      </c>
      <c r="AM317" s="181">
        <f ca="1">IF($D317&lt;&gt;"Serviço",0,IF(AND(AUTOEVENTO="Manual",$M317=1),0,IF(OFFSET(CRONOPLE!$F$14,$M317,AM$13)="",10^12,OFFSET(CRONOPLE!$F$14,$M317,AM$13))))</f>
        <v>0</v>
      </c>
      <c r="AN317" s="181">
        <f ca="1">IF($D317&lt;&gt;"Serviço",0,IF(AND(AUTOEVENTO="Manual",$M317=1),0,IF(OFFSET(CRONOPLE!$F$14,$M317,AN$13)="",10^12,OFFSET(CRONOPLE!$F$14,$M317,AN$13))))</f>
        <v>0</v>
      </c>
      <c r="AO317" s="181">
        <f ca="1">IF($D317&lt;&gt;"Serviço",0,IF(AND(AUTOEVENTO="Manual",$M317=1),0,IF(OFFSET(CRONOPLE!$F$14,$M317,AO$13)="",10^12,OFFSET(CRONOPLE!$F$14,$M317,AO$13))))</f>
        <v>0</v>
      </c>
      <c r="AP317" s="181">
        <f ca="1">IF($D317&lt;&gt;"Serviço",0,IF(AND(AUTOEVENTO="Manual",$M317=1),0,IF(OFFSET(CRONOPLE!$F$14,$M317,AP$13)="",10^12,OFFSET(CRONOPLE!$F$14,$M317,AP$13))))</f>
        <v>0</v>
      </c>
      <c r="AQ317" s="181">
        <f ca="1">IF($D317&lt;&gt;"Serviço",0,IF(AND(AUTOEVENTO="Manual",$M317=1),0,IF(OFFSET(CRONOPLE!$F$14,$M317,AQ$13)="",10^12,OFFSET(CRONOPLE!$F$14,$M317,AQ$13))))</f>
        <v>0</v>
      </c>
      <c r="AR317" s="181">
        <f ca="1">IF($D317&lt;&gt;"Serviço",0,IF(AND(AUTOEVENTO="Manual",$M317=1),0,IF(OFFSET(CRONOPLE!$F$14,$M317,AR$13)="",10^12,OFFSET(CRONOPLE!$F$14,$M317,AR$13))))</f>
        <v>0</v>
      </c>
      <c r="AS317" s="181">
        <f ca="1">IF($D317&lt;&gt;"Serviço",0,IF(AND(AUTOEVENTO="Manual",$M317=1),0,IF(OFFSET(CRONOPLE!$F$14,$M317,AS$13)="",10^12,OFFSET(CRONOPLE!$F$14,$M317,AS$13))))</f>
        <v>0</v>
      </c>
      <c r="AT317" s="181">
        <f ca="1">IF($D317&lt;&gt;"Serviço",0,IF(AND(AUTOEVENTO="Manual",$M317=1),0,IF(OFFSET(CRONOPLE!$F$14,$M317,AT$13)="",10^12,OFFSET(CRONOPLE!$F$14,$M317,AT$13))))</f>
        <v>0</v>
      </c>
      <c r="AU317" s="181">
        <f ca="1">IF($D317&lt;&gt;"Serviço",0,IF(AND(AUTOEVENTO="Manual",$M317=1),0,IF(OFFSET(CRONOPLE!$F$14,$M317,AU$13)="",10^12,OFFSET(CRONOPLE!$F$14,$M317,AU$13))))</f>
        <v>0</v>
      </c>
      <c r="AV317" s="181">
        <f ca="1">IF($D317&lt;&gt;"Serviço",0,IF(AND(AUTOEVENTO="Manual",$M317=1),0,IF(OFFSET(CRONOPLE!$F$14,$M317,AV$13)="",10^12,OFFSET(CRONOPLE!$F$14,$M317,AV$13))))</f>
        <v>0</v>
      </c>
      <c r="AX317" s="182">
        <f ca="1">IF($D317&lt;&gt;"Serviço",0,IF(OR(AND(AUTOEVENTO="Manual",$M317=1),$M317&gt;(ROW(PLE.lastrow)-ROW(PLE.firstrow))),0,IF(OFFSET(PLE!$G$14,$M317,AX$13)="",10^12,OFFSET(PLE!$G$14,$M317,AX$13))))</f>
        <v>0</v>
      </c>
      <c r="AY317" s="182">
        <f ca="1">IF($D317&lt;&gt;"Serviço",0,IF(OR(AND(AUTOEVENTO="Manual",$M317=1),$M317&gt;(ROW(PLE.lastrow)-ROW(PLE.firstrow))),0,IF(OFFSET(PLE!$G$14,$M317,AY$13)="",10^12,OFFSET(PLE!$G$14,$M317,AY$13))))</f>
        <v>0</v>
      </c>
      <c r="AZ317" s="182">
        <f ca="1">IF($D317&lt;&gt;"Serviço",0,IF(OR(AND(AUTOEVENTO="Manual",$M317=1),$M317&gt;(ROW(PLE.lastrow)-ROW(PLE.firstrow))),0,IF(OFFSET(PLE!$G$14,$M317,AZ$13)="",10^12,OFFSET(PLE!$G$14,$M317,AZ$13))))</f>
        <v>0</v>
      </c>
      <c r="BA317" s="182">
        <f ca="1">IF($D317&lt;&gt;"Serviço",0,IF(OR(AND(AUTOEVENTO="Manual",$M317=1),$M317&gt;(ROW(PLE.lastrow)-ROW(PLE.firstrow))),0,IF(OFFSET(PLE!$G$14,$M317,BA$13)="",10^12,OFFSET(PLE!$G$14,$M317,BA$13))))</f>
        <v>0</v>
      </c>
      <c r="BB317" s="182">
        <f ca="1">IF($D317&lt;&gt;"Serviço",0,IF(OR(AND(AUTOEVENTO="Manual",$M317=1),$M317&gt;(ROW(PLE.lastrow)-ROW(PLE.firstrow))),0,IF(OFFSET(PLE!$G$14,$M317,BB$13)="",10^12,OFFSET(PLE!$G$14,$M317,BB$13))))</f>
        <v>0</v>
      </c>
      <c r="BC317" s="182">
        <f ca="1">IF($D317&lt;&gt;"Serviço",0,IF(OR(AND(AUTOEVENTO="Manual",$M317=1),$M317&gt;(ROW(PLE.lastrow)-ROW(PLE.firstrow))),0,IF(OFFSET(PLE!$G$14,$M317,BC$13)="",10^12,OFFSET(PLE!$G$14,$M317,BC$13))))</f>
        <v>0</v>
      </c>
      <c r="BD317" s="182">
        <f ca="1">IF($D317&lt;&gt;"Serviço",0,IF(OR(AND(AUTOEVENTO="Manual",$M317=1),$M317&gt;(ROW(PLE.lastrow)-ROW(PLE.firstrow))),0,IF(OFFSET(PLE!$G$14,$M317,BD$13)="",10^12,OFFSET(PLE!$G$14,$M317,BD$13))))</f>
        <v>0</v>
      </c>
      <c r="BE317" s="182">
        <f ca="1">IF($D317&lt;&gt;"Serviço",0,IF(OR(AND(AUTOEVENTO="Manual",$M317=1),$M317&gt;(ROW(PLE.lastrow)-ROW(PLE.firstrow))),0,IF(OFFSET(PLE!$G$14,$M317,BE$13)="",10^12,OFFSET(PLE!$G$14,$M317,BE$13))))</f>
        <v>0</v>
      </c>
      <c r="BF317" s="182">
        <f ca="1">IF($D317&lt;&gt;"Serviço",0,IF(OR(AND(AUTOEVENTO="Manual",$M317=1),$M317&gt;(ROW(PLE.lastrow)-ROW(PLE.firstrow))),0,IF(OFFSET(PLE!$G$14,$M317,BF$13)="",10^12,OFFSET(PLE!$G$14,$M317,BF$13))))</f>
        <v>0</v>
      </c>
      <c r="BG317" s="182">
        <f ca="1">IF($D317&lt;&gt;"Serviço",0,IF(OR(AND(AUTOEVENTO="Manual",$M317=1),$M317&gt;(ROW(PLE.lastrow)-ROW(PLE.firstrow))),0,IF(OFFSET(PLE!$G$14,$M317,BG$13)="",10^12,OFFSET(PLE!$G$14,$M317,BG$13))))</f>
        <v>0</v>
      </c>
    </row>
    <row r="318" spans="1:59" ht="12.75" x14ac:dyDescent="0.2">
      <c r="A318" s="7" t="str">
        <f t="shared" ca="1" si="11"/>
        <v>302.</v>
      </c>
      <c r="B318" s="7">
        <f ca="1">OFFSET(ORÇAMENTO!C$15,ROW(B318)-ROW(B$15),0)</f>
        <v>3</v>
      </c>
      <c r="C318" s="7" t="str">
        <f ca="1">OFFSET(ORÇAMENTO!L$15,ROW(C318)-ROW(C$15),0)</f>
        <v>F</v>
      </c>
      <c r="D318" s="118" t="str">
        <f ca="1">OFFSET(ORÇAMENTO!N$15,ROW(D318)-ROW(D$15),0)</f>
        <v>Nível 3</v>
      </c>
      <c r="E318" s="119" t="str">
        <f ca="1">OFFSET(ORÇAMENTO!O$15,ROW(E318)-ROW(E$15),0)</f>
        <v>1.13.1.</v>
      </c>
      <c r="F318" s="172" t="str">
        <f ca="1">OFFSET(ORÇAMENTO!R$15,ROW(F318)-ROW(F$15),0)</f>
        <v>TUBULAÇÕES E CONEXÕES DE PVC</v>
      </c>
      <c r="G318" s="173" t="str">
        <f ca="1">IF($D318&lt;&gt;"Serviço","",OFFSET(ORÇAMENTO!S$15,ROW(G318)-ROW(G$15),0))</f>
        <v/>
      </c>
      <c r="H318" s="124">
        <f ca="1">IF($D318&lt;&gt;"Serviço",0,IF(ACOMPANHAMENTO="BM",ROUND(OFFSET(ORÇAMENTO!AJ$15,ROW(H318)-ROW(H$15),0),15-13*ORÇAMENTO!$AF$7),SUMPRODUCT(($Q$12:$AA$12&lt;&gt;"")*ROUND($Q318:$AA318,15-13*ORÇAMENTO!$AF$7))))</f>
        <v>0</v>
      </c>
      <c r="I318" s="561"/>
      <c r="K318" s="174"/>
      <c r="L318" s="175" t="s">
        <v>255</v>
      </c>
      <c r="M318" s="176" t="str">
        <f ca="1">IF($D318&lt;&gt;"Serviço","",IF(AUTOEVENTO="manual",$A318,IF(ISERROR(MATCH($A318,$A$15:OFFSET($A318,-1,0),0)),MAX($M$15:OFFSET(M318,-1,0))+1,INDEX($M$15:OFFSET(M318,-1,0),MATCH($A318,$A$15:OFFSET($A318,-1,0),0)))))</f>
        <v/>
      </c>
      <c r="N318" s="177" t="str">
        <f ca="1">IF($D318&lt;&gt;"Serviço","",IF(AUTOEVENTO="Manual",IF($A318=0,"&lt;-- defina o número do agrupador",OFFSET(EVENTOS!$D$14,$A318,0)),OFFSET($F$15,$A318,0)))</f>
        <v/>
      </c>
      <c r="O318" s="178"/>
      <c r="Q318" s="178"/>
      <c r="R318" s="179"/>
      <c r="S318" s="179"/>
      <c r="T318" s="179"/>
      <c r="U318" s="179"/>
      <c r="V318" s="179"/>
      <c r="W318" s="179"/>
      <c r="X318" s="179"/>
      <c r="Y318" s="179"/>
      <c r="Z318" s="180"/>
      <c r="AB318" s="544">
        <f ca="1">IF(AND($D318="Serviço",AB$12&lt;&gt;0,$H318&gt;0,OR(AUTOEVENTO&lt;&gt;"manual",$M318&lt;&gt;1)),
IF(Import.TipoArredondamento&lt;&gt;"TransfereGOV",
ROUND(OFFSET($P318,0,AB$13),15-13*ORÇAMENTO!$AF$7)/$H318*OFFSET(ORÇAMENTO!$X$15,ROW(AB318)-ROW(AB$15),0),
ROUND(ROUND(OFFSET($P318,0,AB$13),15-13*ORÇAMENTO!$AF$7)*OFFSET(ORÇAMENTO!$W$15,ROW(AB318)-ROW(AB$15),0),15-13*ORÇAMENTO!$AF$11)),0)</f>
        <v>0</v>
      </c>
      <c r="AC318" s="545">
        <f ca="1">IF(AND($D318="Serviço",AC$12&lt;&gt;0,$H318&gt;0,OR(AUTOEVENTO&lt;&gt;"manual",$M318&lt;&gt;1)),
IF(Import.TipoArredondamento&lt;&gt;"TransfereGOV",
ROUND(OFFSET($P318,0,AC$13),15-13*ORÇAMENTO!$AF$7)/$H318*OFFSET(ORÇAMENTO!$X$15,ROW(AC318)-ROW(AC$15),0),
ROUND(ROUND(OFFSET($P318,0,AC$13),15-13*ORÇAMENTO!$AF$7)*OFFSET(ORÇAMENTO!$W$15,ROW(AC318)-ROW(AC$15),0),15-13*ORÇAMENTO!$AF$11)),0)</f>
        <v>0</v>
      </c>
      <c r="AD318" s="545">
        <f ca="1">IF(AND($D318="Serviço",AD$12&lt;&gt;0,$H318&gt;0,OR(AUTOEVENTO&lt;&gt;"manual",$M318&lt;&gt;1)),
IF(Import.TipoArredondamento&lt;&gt;"TransfereGOV",
ROUND(OFFSET($P318,0,AD$13),15-13*ORÇAMENTO!$AF$7)/$H318*OFFSET(ORÇAMENTO!$X$15,ROW(AD318)-ROW(AD$15),0),
ROUND(ROUND(OFFSET($P318,0,AD$13),15-13*ORÇAMENTO!$AF$7)*OFFSET(ORÇAMENTO!$W$15,ROW(AD318)-ROW(AD$15),0),15-13*ORÇAMENTO!$AF$11)),0)</f>
        <v>0</v>
      </c>
      <c r="AE318" s="545">
        <f ca="1">IF(AND($D318="Serviço",AE$12&lt;&gt;0,$H318&gt;0,OR(AUTOEVENTO&lt;&gt;"manual",$M318&lt;&gt;1)),
IF(Import.TipoArredondamento&lt;&gt;"TransfereGOV",
ROUND(OFFSET($P318,0,AE$13),15-13*ORÇAMENTO!$AF$7)/$H318*OFFSET(ORÇAMENTO!$X$15,ROW(AE318)-ROW(AE$15),0),
ROUND(ROUND(OFFSET($P318,0,AE$13),15-13*ORÇAMENTO!$AF$7)*OFFSET(ORÇAMENTO!$W$15,ROW(AE318)-ROW(AE$15),0),15-13*ORÇAMENTO!$AF$11)),0)</f>
        <v>0</v>
      </c>
      <c r="AF318" s="545">
        <f ca="1">IF(AND($D318="Serviço",AF$12&lt;&gt;0,$H318&gt;0,OR(AUTOEVENTO&lt;&gt;"manual",$M318&lt;&gt;1)),
IF(Import.TipoArredondamento&lt;&gt;"TransfereGOV",
ROUND(OFFSET($P318,0,AF$13),15-13*ORÇAMENTO!$AF$7)/$H318*OFFSET(ORÇAMENTO!$X$15,ROW(AF318)-ROW(AF$15),0),
ROUND(ROUND(OFFSET($P318,0,AF$13),15-13*ORÇAMENTO!$AF$7)*OFFSET(ORÇAMENTO!$W$15,ROW(AF318)-ROW(AF$15),0),15-13*ORÇAMENTO!$AF$11)),0)</f>
        <v>0</v>
      </c>
      <c r="AG318" s="545">
        <f ca="1">IF(AND($D318="Serviço",AG$12&lt;&gt;0,$H318&gt;0,OR(AUTOEVENTO&lt;&gt;"manual",$M318&lt;&gt;1)),
IF(Import.TipoArredondamento&lt;&gt;"TransfereGOV",
ROUND(OFFSET($P318,0,AG$13),15-13*ORÇAMENTO!$AF$7)/$H318*OFFSET(ORÇAMENTO!$X$15,ROW(AG318)-ROW(AG$15),0),
ROUND(ROUND(OFFSET($P318,0,AG$13),15-13*ORÇAMENTO!$AF$7)*OFFSET(ORÇAMENTO!$W$15,ROW(AG318)-ROW(AG$15),0),15-13*ORÇAMENTO!$AF$11)),0)</f>
        <v>0</v>
      </c>
      <c r="AH318" s="545">
        <f ca="1">IF(AND($D318="Serviço",AH$12&lt;&gt;0,$H318&gt;0,OR(AUTOEVENTO&lt;&gt;"manual",$M318&lt;&gt;1)),
IF(Import.TipoArredondamento&lt;&gt;"TransfereGOV",
ROUND(OFFSET($P318,0,AH$13),15-13*ORÇAMENTO!$AF$7)/$H318*OFFSET(ORÇAMENTO!$X$15,ROW(AH318)-ROW(AH$15),0),
ROUND(ROUND(OFFSET($P318,0,AH$13),15-13*ORÇAMENTO!$AF$7)*OFFSET(ORÇAMENTO!$W$15,ROW(AH318)-ROW(AH$15),0),15-13*ORÇAMENTO!$AF$11)),0)</f>
        <v>0</v>
      </c>
      <c r="AI318" s="545">
        <f ca="1">IF(AND($D318="Serviço",AI$12&lt;&gt;0,$H318&gt;0,OR(AUTOEVENTO&lt;&gt;"manual",$M318&lt;&gt;1)),
IF(Import.TipoArredondamento&lt;&gt;"TransfereGOV",
ROUND(OFFSET($P318,0,AI$13),15-13*ORÇAMENTO!$AF$7)/$H318*OFFSET(ORÇAMENTO!$X$15,ROW(AI318)-ROW(AI$15),0),
ROUND(ROUND(OFFSET($P318,0,AI$13),15-13*ORÇAMENTO!$AF$7)*OFFSET(ORÇAMENTO!$W$15,ROW(AI318)-ROW(AI$15),0),15-13*ORÇAMENTO!$AF$11)),0)</f>
        <v>0</v>
      </c>
      <c r="AJ318" s="545">
        <f ca="1">IF(AND($D318="Serviço",AJ$12&lt;&gt;0,$H318&gt;0,OR(AUTOEVENTO&lt;&gt;"manual",$M318&lt;&gt;1)),
IF(Import.TipoArredondamento&lt;&gt;"TransfereGOV",
ROUND(OFFSET($P318,0,AJ$13),15-13*ORÇAMENTO!$AF$7)/$H318*OFFSET(ORÇAMENTO!$X$15,ROW(AJ318)-ROW(AJ$15),0),
ROUND(ROUND(OFFSET($P318,0,AJ$13),15-13*ORÇAMENTO!$AF$7)*OFFSET(ORÇAMENTO!$W$15,ROW(AJ318)-ROW(AJ$15),0),15-13*ORÇAMENTO!$AF$11)),0)</f>
        <v>0</v>
      </c>
      <c r="AK318" s="546">
        <f ca="1">IF(AND($D318="Serviço",AK$12&lt;&gt;0,$H318&gt;0,OR(AUTOEVENTO&lt;&gt;"manual",$M318&lt;&gt;1)),
IF(Import.TipoArredondamento&lt;&gt;"TransfereGOV",
ROUND(OFFSET($P318,0,AK$13),15-13*ORÇAMENTO!$AF$7)/$H318*OFFSET(ORÇAMENTO!$X$15,ROW(AK318)-ROW(AK$15),0),
ROUND(ROUND(OFFSET($P318,0,AK$13),15-13*ORÇAMENTO!$AF$7)*OFFSET(ORÇAMENTO!$W$15,ROW(AK318)-ROW(AK$15),0),15-13*ORÇAMENTO!$AF$11)),0)</f>
        <v>0</v>
      </c>
      <c r="AM318" s="181">
        <f ca="1">IF($D318&lt;&gt;"Serviço",0,IF(AND(AUTOEVENTO="Manual",$M318=1),0,IF(OFFSET(CRONOPLE!$F$14,$M318,AM$13)="",10^12,OFFSET(CRONOPLE!$F$14,$M318,AM$13))))</f>
        <v>0</v>
      </c>
      <c r="AN318" s="181">
        <f ca="1">IF($D318&lt;&gt;"Serviço",0,IF(AND(AUTOEVENTO="Manual",$M318=1),0,IF(OFFSET(CRONOPLE!$F$14,$M318,AN$13)="",10^12,OFFSET(CRONOPLE!$F$14,$M318,AN$13))))</f>
        <v>0</v>
      </c>
      <c r="AO318" s="181">
        <f ca="1">IF($D318&lt;&gt;"Serviço",0,IF(AND(AUTOEVENTO="Manual",$M318=1),0,IF(OFFSET(CRONOPLE!$F$14,$M318,AO$13)="",10^12,OFFSET(CRONOPLE!$F$14,$M318,AO$13))))</f>
        <v>0</v>
      </c>
      <c r="AP318" s="181">
        <f ca="1">IF($D318&lt;&gt;"Serviço",0,IF(AND(AUTOEVENTO="Manual",$M318=1),0,IF(OFFSET(CRONOPLE!$F$14,$M318,AP$13)="",10^12,OFFSET(CRONOPLE!$F$14,$M318,AP$13))))</f>
        <v>0</v>
      </c>
      <c r="AQ318" s="181">
        <f ca="1">IF($D318&lt;&gt;"Serviço",0,IF(AND(AUTOEVENTO="Manual",$M318=1),0,IF(OFFSET(CRONOPLE!$F$14,$M318,AQ$13)="",10^12,OFFSET(CRONOPLE!$F$14,$M318,AQ$13))))</f>
        <v>0</v>
      </c>
      <c r="AR318" s="181">
        <f ca="1">IF($D318&lt;&gt;"Serviço",0,IF(AND(AUTOEVENTO="Manual",$M318=1),0,IF(OFFSET(CRONOPLE!$F$14,$M318,AR$13)="",10^12,OFFSET(CRONOPLE!$F$14,$M318,AR$13))))</f>
        <v>0</v>
      </c>
      <c r="AS318" s="181">
        <f ca="1">IF($D318&lt;&gt;"Serviço",0,IF(AND(AUTOEVENTO="Manual",$M318=1),0,IF(OFFSET(CRONOPLE!$F$14,$M318,AS$13)="",10^12,OFFSET(CRONOPLE!$F$14,$M318,AS$13))))</f>
        <v>0</v>
      </c>
      <c r="AT318" s="181">
        <f ca="1">IF($D318&lt;&gt;"Serviço",0,IF(AND(AUTOEVENTO="Manual",$M318=1),0,IF(OFFSET(CRONOPLE!$F$14,$M318,AT$13)="",10^12,OFFSET(CRONOPLE!$F$14,$M318,AT$13))))</f>
        <v>0</v>
      </c>
      <c r="AU318" s="181">
        <f ca="1">IF($D318&lt;&gt;"Serviço",0,IF(AND(AUTOEVENTO="Manual",$M318=1),0,IF(OFFSET(CRONOPLE!$F$14,$M318,AU$13)="",10^12,OFFSET(CRONOPLE!$F$14,$M318,AU$13))))</f>
        <v>0</v>
      </c>
      <c r="AV318" s="181">
        <f ca="1">IF($D318&lt;&gt;"Serviço",0,IF(AND(AUTOEVENTO="Manual",$M318=1),0,IF(OFFSET(CRONOPLE!$F$14,$M318,AV$13)="",10^12,OFFSET(CRONOPLE!$F$14,$M318,AV$13))))</f>
        <v>0</v>
      </c>
      <c r="AX318" s="182">
        <f ca="1">IF($D318&lt;&gt;"Serviço",0,IF(OR(AND(AUTOEVENTO="Manual",$M318=1),$M318&gt;(ROW(PLE.lastrow)-ROW(PLE.firstrow))),0,IF(OFFSET(PLE!$G$14,$M318,AX$13)="",10^12,OFFSET(PLE!$G$14,$M318,AX$13))))</f>
        <v>0</v>
      </c>
      <c r="AY318" s="182">
        <f ca="1">IF($D318&lt;&gt;"Serviço",0,IF(OR(AND(AUTOEVENTO="Manual",$M318=1),$M318&gt;(ROW(PLE.lastrow)-ROW(PLE.firstrow))),0,IF(OFFSET(PLE!$G$14,$M318,AY$13)="",10^12,OFFSET(PLE!$G$14,$M318,AY$13))))</f>
        <v>0</v>
      </c>
      <c r="AZ318" s="182">
        <f ca="1">IF($D318&lt;&gt;"Serviço",0,IF(OR(AND(AUTOEVENTO="Manual",$M318=1),$M318&gt;(ROW(PLE.lastrow)-ROW(PLE.firstrow))),0,IF(OFFSET(PLE!$G$14,$M318,AZ$13)="",10^12,OFFSET(PLE!$G$14,$M318,AZ$13))))</f>
        <v>0</v>
      </c>
      <c r="BA318" s="182">
        <f ca="1">IF($D318&lt;&gt;"Serviço",0,IF(OR(AND(AUTOEVENTO="Manual",$M318=1),$M318&gt;(ROW(PLE.lastrow)-ROW(PLE.firstrow))),0,IF(OFFSET(PLE!$G$14,$M318,BA$13)="",10^12,OFFSET(PLE!$G$14,$M318,BA$13))))</f>
        <v>0</v>
      </c>
      <c r="BB318" s="182">
        <f ca="1">IF($D318&lt;&gt;"Serviço",0,IF(OR(AND(AUTOEVENTO="Manual",$M318=1),$M318&gt;(ROW(PLE.lastrow)-ROW(PLE.firstrow))),0,IF(OFFSET(PLE!$G$14,$M318,BB$13)="",10^12,OFFSET(PLE!$G$14,$M318,BB$13))))</f>
        <v>0</v>
      </c>
      <c r="BC318" s="182">
        <f ca="1">IF($D318&lt;&gt;"Serviço",0,IF(OR(AND(AUTOEVENTO="Manual",$M318=1),$M318&gt;(ROW(PLE.lastrow)-ROW(PLE.firstrow))),0,IF(OFFSET(PLE!$G$14,$M318,BC$13)="",10^12,OFFSET(PLE!$G$14,$M318,BC$13))))</f>
        <v>0</v>
      </c>
      <c r="BD318" s="182">
        <f ca="1">IF($D318&lt;&gt;"Serviço",0,IF(OR(AND(AUTOEVENTO="Manual",$M318=1),$M318&gt;(ROW(PLE.lastrow)-ROW(PLE.firstrow))),0,IF(OFFSET(PLE!$G$14,$M318,BD$13)="",10^12,OFFSET(PLE!$G$14,$M318,BD$13))))</f>
        <v>0</v>
      </c>
      <c r="BE318" s="182">
        <f ca="1">IF($D318&lt;&gt;"Serviço",0,IF(OR(AND(AUTOEVENTO="Manual",$M318=1),$M318&gt;(ROW(PLE.lastrow)-ROW(PLE.firstrow))),0,IF(OFFSET(PLE!$G$14,$M318,BE$13)="",10^12,OFFSET(PLE!$G$14,$M318,BE$13))))</f>
        <v>0</v>
      </c>
      <c r="BF318" s="182">
        <f ca="1">IF($D318&lt;&gt;"Serviço",0,IF(OR(AND(AUTOEVENTO="Manual",$M318=1),$M318&gt;(ROW(PLE.lastrow)-ROW(PLE.firstrow))),0,IF(OFFSET(PLE!$G$14,$M318,BF$13)="",10^12,OFFSET(PLE!$G$14,$M318,BF$13))))</f>
        <v>0</v>
      </c>
      <c r="BG318" s="182">
        <f ca="1">IF($D318&lt;&gt;"Serviço",0,IF(OR(AND(AUTOEVENTO="Manual",$M318=1),$M318&gt;(ROW(PLE.lastrow)-ROW(PLE.firstrow))),0,IF(OFFSET(PLE!$G$14,$M318,BG$13)="",10^12,OFFSET(PLE!$G$14,$M318,BG$13))))</f>
        <v>0</v>
      </c>
    </row>
    <row r="319" spans="1:59" ht="38.25" x14ac:dyDescent="0.2">
      <c r="A319" s="7" t="str">
        <f t="shared" ca="1" si="11"/>
        <v>302</v>
      </c>
      <c r="B319" s="7" t="str">
        <f ca="1">OFFSET(ORÇAMENTO!C$15,ROW(B319)-ROW(B$15),0)</f>
        <v>S</v>
      </c>
      <c r="C319" s="7" t="str">
        <f ca="1">OFFSET(ORÇAMENTO!L$15,ROW(C319)-ROW(C$15),0)</f>
        <v/>
      </c>
      <c r="D319" s="118" t="str">
        <f ca="1">OFFSET(ORÇAMENTO!N$15,ROW(D319)-ROW(D$15),0)</f>
        <v>Serviço</v>
      </c>
      <c r="E319" s="119" t="str">
        <f ca="1">OFFSET(ORÇAMENTO!O$15,ROW(E319)-ROW(E$15),0)</f>
        <v>-</v>
      </c>
      <c r="F319" s="172" t="str">
        <f ca="1">OFFSET(ORÇAMENTO!R$15,ROW(F319)-ROW(F$15),0)</f>
        <v>(abra o arquivo 'Referência 02-2025.xlsm)</v>
      </c>
      <c r="G319" s="173" t="str">
        <f ca="1">IF($D319&lt;&gt;"Serviço","",OFFSET(ORÇAMENTO!S$15,ROW(G319)-ROW(G$15),0))</f>
        <v>-</v>
      </c>
      <c r="H319" s="124">
        <f ca="1">IF($D319&lt;&gt;"Serviço",0,IF(ACOMPANHAMENTO="BM",ROUND(OFFSET(ORÇAMENTO!AJ$15,ROW(H319)-ROW(H$15),0),15-13*ORÇAMENTO!$AF$7),SUMPRODUCT(($Q$12:$AA$12&lt;&gt;"")*ROUND($Q319:$AA319,15-13*ORÇAMENTO!$AF$7))))</f>
        <v>163</v>
      </c>
      <c r="I319" s="561" t="s">
        <v>890</v>
      </c>
      <c r="K319" s="174"/>
      <c r="L319" s="175" t="s">
        <v>255</v>
      </c>
      <c r="M319" s="176">
        <f ca="1">IF($D319&lt;&gt;"Serviço","",IF(AUTOEVENTO="manual",$A319,IF(ISERROR(MATCH($A319,$A$15:OFFSET($A319,-1,0),0)),MAX($M$15:OFFSET(M319,-1,0))+1,INDEX($M$15:OFFSET(M319,-1,0),MATCH($A319,$A$15:OFFSET($A319,-1,0),0)))))</f>
        <v>14</v>
      </c>
      <c r="N319" s="177" t="str">
        <f ca="1">IF($D319&lt;&gt;"Serviço","",IF(AUTOEVENTO="Manual",IF($A319=0,"&lt;-- defina o número do agrupador",OFFSET(EVENTOS!$D$14,$A319,0)),OFFSET($F$15,$A319,0)))</f>
        <v>DRENAGEM DE ÁGUAS PLUVIAIS</v>
      </c>
      <c r="O319" s="178"/>
      <c r="Q319" s="178"/>
      <c r="R319" s="179"/>
      <c r="S319" s="179"/>
      <c r="T319" s="179"/>
      <c r="U319" s="179"/>
      <c r="V319" s="179"/>
      <c r="W319" s="179"/>
      <c r="X319" s="179"/>
      <c r="Y319" s="179"/>
      <c r="Z319" s="180"/>
      <c r="AB319" s="544">
        <f ca="1">IF(AND($D319="Serviço",AB$12&lt;&gt;0,$H319&gt;0,OR(AUTOEVENTO&lt;&gt;"manual",$M319&lt;&gt;1)),
IF(Import.TipoArredondamento&lt;&gt;"TransfereGOV",
ROUND(OFFSET($P319,0,AB$13),15-13*ORÇAMENTO!$AF$7)/$H319*OFFSET(ORÇAMENTO!$X$15,ROW(AB319)-ROW(AB$15),0),
ROUND(ROUND(OFFSET($P319,0,AB$13),15-13*ORÇAMENTO!$AF$7)*OFFSET(ORÇAMENTO!$W$15,ROW(AB319)-ROW(AB$15),0),15-13*ORÇAMENTO!$AF$11)),0)</f>
        <v>0</v>
      </c>
      <c r="AC319" s="545">
        <f ca="1">IF(AND($D319="Serviço",AC$12&lt;&gt;0,$H319&gt;0,OR(AUTOEVENTO&lt;&gt;"manual",$M319&lt;&gt;1)),
IF(Import.TipoArredondamento&lt;&gt;"TransfereGOV",
ROUND(OFFSET($P319,0,AC$13),15-13*ORÇAMENTO!$AF$7)/$H319*OFFSET(ORÇAMENTO!$X$15,ROW(AC319)-ROW(AC$15),0),
ROUND(ROUND(OFFSET($P319,0,AC$13),15-13*ORÇAMENTO!$AF$7)*OFFSET(ORÇAMENTO!$W$15,ROW(AC319)-ROW(AC$15),0),15-13*ORÇAMENTO!$AF$11)),0)</f>
        <v>0</v>
      </c>
      <c r="AD319" s="545">
        <f ca="1">IF(AND($D319="Serviço",AD$12&lt;&gt;0,$H319&gt;0,OR(AUTOEVENTO&lt;&gt;"manual",$M319&lt;&gt;1)),
IF(Import.TipoArredondamento&lt;&gt;"TransfereGOV",
ROUND(OFFSET($P319,0,AD$13),15-13*ORÇAMENTO!$AF$7)/$H319*OFFSET(ORÇAMENTO!$X$15,ROW(AD319)-ROW(AD$15),0),
ROUND(ROUND(OFFSET($P319,0,AD$13),15-13*ORÇAMENTO!$AF$7)*OFFSET(ORÇAMENTO!$W$15,ROW(AD319)-ROW(AD$15),0),15-13*ORÇAMENTO!$AF$11)),0)</f>
        <v>0</v>
      </c>
      <c r="AE319" s="545">
        <f ca="1">IF(AND($D319="Serviço",AE$12&lt;&gt;0,$H319&gt;0,OR(AUTOEVENTO&lt;&gt;"manual",$M319&lt;&gt;1)),
IF(Import.TipoArredondamento&lt;&gt;"TransfereGOV",
ROUND(OFFSET($P319,0,AE$13),15-13*ORÇAMENTO!$AF$7)/$H319*OFFSET(ORÇAMENTO!$X$15,ROW(AE319)-ROW(AE$15),0),
ROUND(ROUND(OFFSET($P319,0,AE$13),15-13*ORÇAMENTO!$AF$7)*OFFSET(ORÇAMENTO!$W$15,ROW(AE319)-ROW(AE$15),0),15-13*ORÇAMENTO!$AF$11)),0)</f>
        <v>0</v>
      </c>
      <c r="AF319" s="545">
        <f ca="1">IF(AND($D319="Serviço",AF$12&lt;&gt;0,$H319&gt;0,OR(AUTOEVENTO&lt;&gt;"manual",$M319&lt;&gt;1)),
IF(Import.TipoArredondamento&lt;&gt;"TransfereGOV",
ROUND(OFFSET($P319,0,AF$13),15-13*ORÇAMENTO!$AF$7)/$H319*OFFSET(ORÇAMENTO!$X$15,ROW(AF319)-ROW(AF$15),0),
ROUND(ROUND(OFFSET($P319,0,AF$13),15-13*ORÇAMENTO!$AF$7)*OFFSET(ORÇAMENTO!$W$15,ROW(AF319)-ROW(AF$15),0),15-13*ORÇAMENTO!$AF$11)),0)</f>
        <v>0</v>
      </c>
      <c r="AG319" s="545">
        <f ca="1">IF(AND($D319="Serviço",AG$12&lt;&gt;0,$H319&gt;0,OR(AUTOEVENTO&lt;&gt;"manual",$M319&lt;&gt;1)),
IF(Import.TipoArredondamento&lt;&gt;"TransfereGOV",
ROUND(OFFSET($P319,0,AG$13),15-13*ORÇAMENTO!$AF$7)/$H319*OFFSET(ORÇAMENTO!$X$15,ROW(AG319)-ROW(AG$15),0),
ROUND(ROUND(OFFSET($P319,0,AG$13),15-13*ORÇAMENTO!$AF$7)*OFFSET(ORÇAMENTO!$W$15,ROW(AG319)-ROW(AG$15),0),15-13*ORÇAMENTO!$AF$11)),0)</f>
        <v>0</v>
      </c>
      <c r="AH319" s="545">
        <f ca="1">IF(AND($D319="Serviço",AH$12&lt;&gt;0,$H319&gt;0,OR(AUTOEVENTO&lt;&gt;"manual",$M319&lt;&gt;1)),
IF(Import.TipoArredondamento&lt;&gt;"TransfereGOV",
ROUND(OFFSET($P319,0,AH$13),15-13*ORÇAMENTO!$AF$7)/$H319*OFFSET(ORÇAMENTO!$X$15,ROW(AH319)-ROW(AH$15),0),
ROUND(ROUND(OFFSET($P319,0,AH$13),15-13*ORÇAMENTO!$AF$7)*OFFSET(ORÇAMENTO!$W$15,ROW(AH319)-ROW(AH$15),0),15-13*ORÇAMENTO!$AF$11)),0)</f>
        <v>0</v>
      </c>
      <c r="AI319" s="545">
        <f ca="1">IF(AND($D319="Serviço",AI$12&lt;&gt;0,$H319&gt;0,OR(AUTOEVENTO&lt;&gt;"manual",$M319&lt;&gt;1)),
IF(Import.TipoArredondamento&lt;&gt;"TransfereGOV",
ROUND(OFFSET($P319,0,AI$13),15-13*ORÇAMENTO!$AF$7)/$H319*OFFSET(ORÇAMENTO!$X$15,ROW(AI319)-ROW(AI$15),0),
ROUND(ROUND(OFFSET($P319,0,AI$13),15-13*ORÇAMENTO!$AF$7)*OFFSET(ORÇAMENTO!$W$15,ROW(AI319)-ROW(AI$15),0),15-13*ORÇAMENTO!$AF$11)),0)</f>
        <v>0</v>
      </c>
      <c r="AJ319" s="545">
        <f ca="1">IF(AND($D319="Serviço",AJ$12&lt;&gt;0,$H319&gt;0,OR(AUTOEVENTO&lt;&gt;"manual",$M319&lt;&gt;1)),
IF(Import.TipoArredondamento&lt;&gt;"TransfereGOV",
ROUND(OFFSET($P319,0,AJ$13),15-13*ORÇAMENTO!$AF$7)/$H319*OFFSET(ORÇAMENTO!$X$15,ROW(AJ319)-ROW(AJ$15),0),
ROUND(ROUND(OFFSET($P319,0,AJ$13),15-13*ORÇAMENTO!$AF$7)*OFFSET(ORÇAMENTO!$W$15,ROW(AJ319)-ROW(AJ$15),0),15-13*ORÇAMENTO!$AF$11)),0)</f>
        <v>0</v>
      </c>
      <c r="AK319" s="546">
        <f ca="1">IF(AND($D319="Serviço",AK$12&lt;&gt;0,$H319&gt;0,OR(AUTOEVENTO&lt;&gt;"manual",$M319&lt;&gt;1)),
IF(Import.TipoArredondamento&lt;&gt;"TransfereGOV",
ROUND(OFFSET($P319,0,AK$13),15-13*ORÇAMENTO!$AF$7)/$H319*OFFSET(ORÇAMENTO!$X$15,ROW(AK319)-ROW(AK$15),0),
ROUND(ROUND(OFFSET($P319,0,AK$13),15-13*ORÇAMENTO!$AF$7)*OFFSET(ORÇAMENTO!$W$15,ROW(AK319)-ROW(AK$15),0),15-13*ORÇAMENTO!$AF$11)),0)</f>
        <v>0</v>
      </c>
      <c r="AM319" s="181">
        <f ca="1">IF($D319&lt;&gt;"Serviço",0,IF(AND(AUTOEVENTO="Manual",$M319=1),0,IF(OFFSET(CRONOPLE!$F$14,$M319,AM$13)="",10^12,OFFSET(CRONOPLE!$F$14,$M319,AM$13))))</f>
        <v>1000000000000</v>
      </c>
      <c r="AN319" s="181">
        <f ca="1">IF($D319&lt;&gt;"Serviço",0,IF(AND(AUTOEVENTO="Manual",$M319=1),0,IF(OFFSET(CRONOPLE!$F$14,$M319,AN$13)="",10^12,OFFSET(CRONOPLE!$F$14,$M319,AN$13))))</f>
        <v>1000000000000</v>
      </c>
      <c r="AO319" s="181">
        <f ca="1">IF($D319&lt;&gt;"Serviço",0,IF(AND(AUTOEVENTO="Manual",$M319=1),0,IF(OFFSET(CRONOPLE!$F$14,$M319,AO$13)="",10^12,OFFSET(CRONOPLE!$F$14,$M319,AO$13))))</f>
        <v>1000000000000</v>
      </c>
      <c r="AP319" s="181">
        <f ca="1">IF($D319&lt;&gt;"Serviço",0,IF(AND(AUTOEVENTO="Manual",$M319=1),0,IF(OFFSET(CRONOPLE!$F$14,$M319,AP$13)="",10^12,OFFSET(CRONOPLE!$F$14,$M319,AP$13))))</f>
        <v>1000000000000</v>
      </c>
      <c r="AQ319" s="181">
        <f ca="1">IF($D319&lt;&gt;"Serviço",0,IF(AND(AUTOEVENTO="Manual",$M319=1),0,IF(OFFSET(CRONOPLE!$F$14,$M319,AQ$13)="",10^12,OFFSET(CRONOPLE!$F$14,$M319,AQ$13))))</f>
        <v>1000000000000</v>
      </c>
      <c r="AR319" s="181">
        <f ca="1">IF($D319&lt;&gt;"Serviço",0,IF(AND(AUTOEVENTO="Manual",$M319=1),0,IF(OFFSET(CRONOPLE!$F$14,$M319,AR$13)="",10^12,OFFSET(CRONOPLE!$F$14,$M319,AR$13))))</f>
        <v>1000000000000</v>
      </c>
      <c r="AS319" s="181">
        <f ca="1">IF($D319&lt;&gt;"Serviço",0,IF(AND(AUTOEVENTO="Manual",$M319=1),0,IF(OFFSET(CRONOPLE!$F$14,$M319,AS$13)="",10^12,OFFSET(CRONOPLE!$F$14,$M319,AS$13))))</f>
        <v>1000000000000</v>
      </c>
      <c r="AT319" s="181">
        <f ca="1">IF($D319&lt;&gt;"Serviço",0,IF(AND(AUTOEVENTO="Manual",$M319=1),0,IF(OFFSET(CRONOPLE!$F$14,$M319,AT$13)="",10^12,OFFSET(CRONOPLE!$F$14,$M319,AT$13))))</f>
        <v>1000000000000</v>
      </c>
      <c r="AU319" s="181">
        <f ca="1">IF($D319&lt;&gt;"Serviço",0,IF(AND(AUTOEVENTO="Manual",$M319=1),0,IF(OFFSET(CRONOPLE!$F$14,$M319,AU$13)="",10^12,OFFSET(CRONOPLE!$F$14,$M319,AU$13))))</f>
        <v>1000000000000</v>
      </c>
      <c r="AV319" s="181">
        <f ca="1">IF($D319&lt;&gt;"Serviço",0,IF(AND(AUTOEVENTO="Manual",$M319=1),0,IF(OFFSET(CRONOPLE!$F$14,$M319,AV$13)="",10^12,OFFSET(CRONOPLE!$F$14,$M319,AV$13))))</f>
        <v>1000000000000</v>
      </c>
      <c r="AX319" s="182">
        <f ca="1">IF($D319&lt;&gt;"Serviço",0,IF(OR(AND(AUTOEVENTO="Manual",$M319=1),$M319&gt;(ROW(PLE.lastrow)-ROW(PLE.firstrow))),0,IF(OFFSET(PLE!$G$14,$M319,AX$13)="",10^12,OFFSET(PLE!$G$14,$M319,AX$13))))</f>
        <v>1000000000000</v>
      </c>
      <c r="AY319" s="182">
        <f ca="1">IF($D319&lt;&gt;"Serviço",0,IF(OR(AND(AUTOEVENTO="Manual",$M319=1),$M319&gt;(ROW(PLE.lastrow)-ROW(PLE.firstrow))),0,IF(OFFSET(PLE!$G$14,$M319,AY$13)="",10^12,OFFSET(PLE!$G$14,$M319,AY$13))))</f>
        <v>1000000000000</v>
      </c>
      <c r="AZ319" s="182">
        <f ca="1">IF($D319&lt;&gt;"Serviço",0,IF(OR(AND(AUTOEVENTO="Manual",$M319=1),$M319&gt;(ROW(PLE.lastrow)-ROW(PLE.firstrow))),0,IF(OFFSET(PLE!$G$14,$M319,AZ$13)="",10^12,OFFSET(PLE!$G$14,$M319,AZ$13))))</f>
        <v>1000000000000</v>
      </c>
      <c r="BA319" s="182">
        <f ca="1">IF($D319&lt;&gt;"Serviço",0,IF(OR(AND(AUTOEVENTO="Manual",$M319=1),$M319&gt;(ROW(PLE.lastrow)-ROW(PLE.firstrow))),0,IF(OFFSET(PLE!$G$14,$M319,BA$13)="",10^12,OFFSET(PLE!$G$14,$M319,BA$13))))</f>
        <v>1000000000000</v>
      </c>
      <c r="BB319" s="182">
        <f ca="1">IF($D319&lt;&gt;"Serviço",0,IF(OR(AND(AUTOEVENTO="Manual",$M319=1),$M319&gt;(ROW(PLE.lastrow)-ROW(PLE.firstrow))),0,IF(OFFSET(PLE!$G$14,$M319,BB$13)="",10^12,OFFSET(PLE!$G$14,$M319,BB$13))))</f>
        <v>1000000000000</v>
      </c>
      <c r="BC319" s="182">
        <f ca="1">IF($D319&lt;&gt;"Serviço",0,IF(OR(AND(AUTOEVENTO="Manual",$M319=1),$M319&gt;(ROW(PLE.lastrow)-ROW(PLE.firstrow))),0,IF(OFFSET(PLE!$G$14,$M319,BC$13)="",10^12,OFFSET(PLE!$G$14,$M319,BC$13))))</f>
        <v>1000000000000</v>
      </c>
      <c r="BD319" s="182">
        <f ca="1">IF($D319&lt;&gt;"Serviço",0,IF(OR(AND(AUTOEVENTO="Manual",$M319=1),$M319&gt;(ROW(PLE.lastrow)-ROW(PLE.firstrow))),0,IF(OFFSET(PLE!$G$14,$M319,BD$13)="",10^12,OFFSET(PLE!$G$14,$M319,BD$13))))</f>
        <v>1000000000000</v>
      </c>
      <c r="BE319" s="182">
        <f ca="1">IF($D319&lt;&gt;"Serviço",0,IF(OR(AND(AUTOEVENTO="Manual",$M319=1),$M319&gt;(ROW(PLE.lastrow)-ROW(PLE.firstrow))),0,IF(OFFSET(PLE!$G$14,$M319,BE$13)="",10^12,OFFSET(PLE!$G$14,$M319,BE$13))))</f>
        <v>1000000000000</v>
      </c>
      <c r="BF319" s="182">
        <f ca="1">IF($D319&lt;&gt;"Serviço",0,IF(OR(AND(AUTOEVENTO="Manual",$M319=1),$M319&gt;(ROW(PLE.lastrow)-ROW(PLE.firstrow))),0,IF(OFFSET(PLE!$G$14,$M319,BF$13)="",10^12,OFFSET(PLE!$G$14,$M319,BF$13))))</f>
        <v>1000000000000</v>
      </c>
      <c r="BG319" s="182">
        <f ca="1">IF($D319&lt;&gt;"Serviço",0,IF(OR(AND(AUTOEVENTO="Manual",$M319=1),$M319&gt;(ROW(PLE.lastrow)-ROW(PLE.firstrow))),0,IF(OFFSET(PLE!$G$14,$M319,BG$13)="",10^12,OFFSET(PLE!$G$14,$M319,BG$13))))</f>
        <v>1000000000000</v>
      </c>
    </row>
    <row r="320" spans="1:59" ht="38.25" x14ac:dyDescent="0.2">
      <c r="A320" s="7" t="str">
        <f t="shared" ca="1" si="11"/>
        <v>302</v>
      </c>
      <c r="B320" s="7" t="str">
        <f ca="1">OFFSET(ORÇAMENTO!C$15,ROW(B320)-ROW(B$15),0)</f>
        <v>S</v>
      </c>
      <c r="C320" s="7" t="str">
        <f ca="1">OFFSET(ORÇAMENTO!L$15,ROW(C320)-ROW(C$15),0)</f>
        <v/>
      </c>
      <c r="D320" s="118" t="str">
        <f ca="1">OFFSET(ORÇAMENTO!N$15,ROW(D320)-ROW(D$15),0)</f>
        <v>Serviço</v>
      </c>
      <c r="E320" s="119" t="str">
        <f ca="1">OFFSET(ORÇAMENTO!O$15,ROW(E320)-ROW(E$15),0)</f>
        <v>-</v>
      </c>
      <c r="F320" s="172" t="str">
        <f ca="1">OFFSET(ORÇAMENTO!R$15,ROW(F320)-ROW(F$15),0)</f>
        <v>(abra o arquivo 'Referência 02-2025.xlsm)</v>
      </c>
      <c r="G320" s="173" t="str">
        <f ca="1">IF($D320&lt;&gt;"Serviço","",OFFSET(ORÇAMENTO!S$15,ROW(G320)-ROW(G$15),0))</f>
        <v>-</v>
      </c>
      <c r="H320" s="124">
        <f ca="1">IF($D320&lt;&gt;"Serviço",0,IF(ACOMPANHAMENTO="BM",ROUND(OFFSET(ORÇAMENTO!AJ$15,ROW(H320)-ROW(H$15),0),15-13*ORÇAMENTO!$AF$7),SUMPRODUCT(($Q$12:$AA$12&lt;&gt;"")*ROUND($Q320:$AA320,15-13*ORÇAMENTO!$AF$7))))</f>
        <v>65.7</v>
      </c>
      <c r="I320" s="561" t="s">
        <v>890</v>
      </c>
      <c r="K320" s="174"/>
      <c r="L320" s="175" t="s">
        <v>255</v>
      </c>
      <c r="M320" s="176">
        <f ca="1">IF($D320&lt;&gt;"Serviço","",IF(AUTOEVENTO="manual",$A320,IF(ISERROR(MATCH($A320,$A$15:OFFSET($A320,-1,0),0)),MAX($M$15:OFFSET(M320,-1,0))+1,INDEX($M$15:OFFSET(M320,-1,0),MATCH($A320,$A$15:OFFSET($A320,-1,0),0)))))</f>
        <v>14</v>
      </c>
      <c r="N320" s="177" t="str">
        <f ca="1">IF($D320&lt;&gt;"Serviço","",IF(AUTOEVENTO="Manual",IF($A320=0,"&lt;-- defina o número do agrupador",OFFSET(EVENTOS!$D$14,$A320,0)),OFFSET($F$15,$A320,0)))</f>
        <v>DRENAGEM DE ÁGUAS PLUVIAIS</v>
      </c>
      <c r="O320" s="178"/>
      <c r="Q320" s="178"/>
      <c r="R320" s="179"/>
      <c r="S320" s="179"/>
      <c r="T320" s="179"/>
      <c r="U320" s="179"/>
      <c r="V320" s="179"/>
      <c r="W320" s="179"/>
      <c r="X320" s="179"/>
      <c r="Y320" s="179"/>
      <c r="Z320" s="180"/>
      <c r="AB320" s="544">
        <f ca="1">IF(AND($D320="Serviço",AB$12&lt;&gt;0,$H320&gt;0,OR(AUTOEVENTO&lt;&gt;"manual",$M320&lt;&gt;1)),
IF(Import.TipoArredondamento&lt;&gt;"TransfereGOV",
ROUND(OFFSET($P320,0,AB$13),15-13*ORÇAMENTO!$AF$7)/$H320*OFFSET(ORÇAMENTO!$X$15,ROW(AB320)-ROW(AB$15),0),
ROUND(ROUND(OFFSET($P320,0,AB$13),15-13*ORÇAMENTO!$AF$7)*OFFSET(ORÇAMENTO!$W$15,ROW(AB320)-ROW(AB$15),0),15-13*ORÇAMENTO!$AF$11)),0)</f>
        <v>0</v>
      </c>
      <c r="AC320" s="545">
        <f ca="1">IF(AND($D320="Serviço",AC$12&lt;&gt;0,$H320&gt;0,OR(AUTOEVENTO&lt;&gt;"manual",$M320&lt;&gt;1)),
IF(Import.TipoArredondamento&lt;&gt;"TransfereGOV",
ROUND(OFFSET($P320,0,AC$13),15-13*ORÇAMENTO!$AF$7)/$H320*OFFSET(ORÇAMENTO!$X$15,ROW(AC320)-ROW(AC$15),0),
ROUND(ROUND(OFFSET($P320,0,AC$13),15-13*ORÇAMENTO!$AF$7)*OFFSET(ORÇAMENTO!$W$15,ROW(AC320)-ROW(AC$15),0),15-13*ORÇAMENTO!$AF$11)),0)</f>
        <v>0</v>
      </c>
      <c r="AD320" s="545">
        <f ca="1">IF(AND($D320="Serviço",AD$12&lt;&gt;0,$H320&gt;0,OR(AUTOEVENTO&lt;&gt;"manual",$M320&lt;&gt;1)),
IF(Import.TipoArredondamento&lt;&gt;"TransfereGOV",
ROUND(OFFSET($P320,0,AD$13),15-13*ORÇAMENTO!$AF$7)/$H320*OFFSET(ORÇAMENTO!$X$15,ROW(AD320)-ROW(AD$15),0),
ROUND(ROUND(OFFSET($P320,0,AD$13),15-13*ORÇAMENTO!$AF$7)*OFFSET(ORÇAMENTO!$W$15,ROW(AD320)-ROW(AD$15),0),15-13*ORÇAMENTO!$AF$11)),0)</f>
        <v>0</v>
      </c>
      <c r="AE320" s="545">
        <f ca="1">IF(AND($D320="Serviço",AE$12&lt;&gt;0,$H320&gt;0,OR(AUTOEVENTO&lt;&gt;"manual",$M320&lt;&gt;1)),
IF(Import.TipoArredondamento&lt;&gt;"TransfereGOV",
ROUND(OFFSET($P320,0,AE$13),15-13*ORÇAMENTO!$AF$7)/$H320*OFFSET(ORÇAMENTO!$X$15,ROW(AE320)-ROW(AE$15),0),
ROUND(ROUND(OFFSET($P320,0,AE$13),15-13*ORÇAMENTO!$AF$7)*OFFSET(ORÇAMENTO!$W$15,ROW(AE320)-ROW(AE$15),0),15-13*ORÇAMENTO!$AF$11)),0)</f>
        <v>0</v>
      </c>
      <c r="AF320" s="545">
        <f ca="1">IF(AND($D320="Serviço",AF$12&lt;&gt;0,$H320&gt;0,OR(AUTOEVENTO&lt;&gt;"manual",$M320&lt;&gt;1)),
IF(Import.TipoArredondamento&lt;&gt;"TransfereGOV",
ROUND(OFFSET($P320,0,AF$13),15-13*ORÇAMENTO!$AF$7)/$H320*OFFSET(ORÇAMENTO!$X$15,ROW(AF320)-ROW(AF$15),0),
ROUND(ROUND(OFFSET($P320,0,AF$13),15-13*ORÇAMENTO!$AF$7)*OFFSET(ORÇAMENTO!$W$15,ROW(AF320)-ROW(AF$15),0),15-13*ORÇAMENTO!$AF$11)),0)</f>
        <v>0</v>
      </c>
      <c r="AG320" s="545">
        <f ca="1">IF(AND($D320="Serviço",AG$12&lt;&gt;0,$H320&gt;0,OR(AUTOEVENTO&lt;&gt;"manual",$M320&lt;&gt;1)),
IF(Import.TipoArredondamento&lt;&gt;"TransfereGOV",
ROUND(OFFSET($P320,0,AG$13),15-13*ORÇAMENTO!$AF$7)/$H320*OFFSET(ORÇAMENTO!$X$15,ROW(AG320)-ROW(AG$15),0),
ROUND(ROUND(OFFSET($P320,0,AG$13),15-13*ORÇAMENTO!$AF$7)*OFFSET(ORÇAMENTO!$W$15,ROW(AG320)-ROW(AG$15),0),15-13*ORÇAMENTO!$AF$11)),0)</f>
        <v>0</v>
      </c>
      <c r="AH320" s="545">
        <f ca="1">IF(AND($D320="Serviço",AH$12&lt;&gt;0,$H320&gt;0,OR(AUTOEVENTO&lt;&gt;"manual",$M320&lt;&gt;1)),
IF(Import.TipoArredondamento&lt;&gt;"TransfereGOV",
ROUND(OFFSET($P320,0,AH$13),15-13*ORÇAMENTO!$AF$7)/$H320*OFFSET(ORÇAMENTO!$X$15,ROW(AH320)-ROW(AH$15),0),
ROUND(ROUND(OFFSET($P320,0,AH$13),15-13*ORÇAMENTO!$AF$7)*OFFSET(ORÇAMENTO!$W$15,ROW(AH320)-ROW(AH$15),0),15-13*ORÇAMENTO!$AF$11)),0)</f>
        <v>0</v>
      </c>
      <c r="AI320" s="545">
        <f ca="1">IF(AND($D320="Serviço",AI$12&lt;&gt;0,$H320&gt;0,OR(AUTOEVENTO&lt;&gt;"manual",$M320&lt;&gt;1)),
IF(Import.TipoArredondamento&lt;&gt;"TransfereGOV",
ROUND(OFFSET($P320,0,AI$13),15-13*ORÇAMENTO!$AF$7)/$H320*OFFSET(ORÇAMENTO!$X$15,ROW(AI320)-ROW(AI$15),0),
ROUND(ROUND(OFFSET($P320,0,AI$13),15-13*ORÇAMENTO!$AF$7)*OFFSET(ORÇAMENTO!$W$15,ROW(AI320)-ROW(AI$15),0),15-13*ORÇAMENTO!$AF$11)),0)</f>
        <v>0</v>
      </c>
      <c r="AJ320" s="545">
        <f ca="1">IF(AND($D320="Serviço",AJ$12&lt;&gt;0,$H320&gt;0,OR(AUTOEVENTO&lt;&gt;"manual",$M320&lt;&gt;1)),
IF(Import.TipoArredondamento&lt;&gt;"TransfereGOV",
ROUND(OFFSET($P320,0,AJ$13),15-13*ORÇAMENTO!$AF$7)/$H320*OFFSET(ORÇAMENTO!$X$15,ROW(AJ320)-ROW(AJ$15),0),
ROUND(ROUND(OFFSET($P320,0,AJ$13),15-13*ORÇAMENTO!$AF$7)*OFFSET(ORÇAMENTO!$W$15,ROW(AJ320)-ROW(AJ$15),0),15-13*ORÇAMENTO!$AF$11)),0)</f>
        <v>0</v>
      </c>
      <c r="AK320" s="546">
        <f ca="1">IF(AND($D320="Serviço",AK$12&lt;&gt;0,$H320&gt;0,OR(AUTOEVENTO&lt;&gt;"manual",$M320&lt;&gt;1)),
IF(Import.TipoArredondamento&lt;&gt;"TransfereGOV",
ROUND(OFFSET($P320,0,AK$13),15-13*ORÇAMENTO!$AF$7)/$H320*OFFSET(ORÇAMENTO!$X$15,ROW(AK320)-ROW(AK$15),0),
ROUND(ROUND(OFFSET($P320,0,AK$13),15-13*ORÇAMENTO!$AF$7)*OFFSET(ORÇAMENTO!$W$15,ROW(AK320)-ROW(AK$15),0),15-13*ORÇAMENTO!$AF$11)),0)</f>
        <v>0</v>
      </c>
      <c r="AM320" s="181">
        <f ca="1">IF($D320&lt;&gt;"Serviço",0,IF(AND(AUTOEVENTO="Manual",$M320=1),0,IF(OFFSET(CRONOPLE!$F$14,$M320,AM$13)="",10^12,OFFSET(CRONOPLE!$F$14,$M320,AM$13))))</f>
        <v>1000000000000</v>
      </c>
      <c r="AN320" s="181">
        <f ca="1">IF($D320&lt;&gt;"Serviço",0,IF(AND(AUTOEVENTO="Manual",$M320=1),0,IF(OFFSET(CRONOPLE!$F$14,$M320,AN$13)="",10^12,OFFSET(CRONOPLE!$F$14,$M320,AN$13))))</f>
        <v>1000000000000</v>
      </c>
      <c r="AO320" s="181">
        <f ca="1">IF($D320&lt;&gt;"Serviço",0,IF(AND(AUTOEVENTO="Manual",$M320=1),0,IF(OFFSET(CRONOPLE!$F$14,$M320,AO$13)="",10^12,OFFSET(CRONOPLE!$F$14,$M320,AO$13))))</f>
        <v>1000000000000</v>
      </c>
      <c r="AP320" s="181">
        <f ca="1">IF($D320&lt;&gt;"Serviço",0,IF(AND(AUTOEVENTO="Manual",$M320=1),0,IF(OFFSET(CRONOPLE!$F$14,$M320,AP$13)="",10^12,OFFSET(CRONOPLE!$F$14,$M320,AP$13))))</f>
        <v>1000000000000</v>
      </c>
      <c r="AQ320" s="181">
        <f ca="1">IF($D320&lt;&gt;"Serviço",0,IF(AND(AUTOEVENTO="Manual",$M320=1),0,IF(OFFSET(CRONOPLE!$F$14,$M320,AQ$13)="",10^12,OFFSET(CRONOPLE!$F$14,$M320,AQ$13))))</f>
        <v>1000000000000</v>
      </c>
      <c r="AR320" s="181">
        <f ca="1">IF($D320&lt;&gt;"Serviço",0,IF(AND(AUTOEVENTO="Manual",$M320=1),0,IF(OFFSET(CRONOPLE!$F$14,$M320,AR$13)="",10^12,OFFSET(CRONOPLE!$F$14,$M320,AR$13))))</f>
        <v>1000000000000</v>
      </c>
      <c r="AS320" s="181">
        <f ca="1">IF($D320&lt;&gt;"Serviço",0,IF(AND(AUTOEVENTO="Manual",$M320=1),0,IF(OFFSET(CRONOPLE!$F$14,$M320,AS$13)="",10^12,OFFSET(CRONOPLE!$F$14,$M320,AS$13))))</f>
        <v>1000000000000</v>
      </c>
      <c r="AT320" s="181">
        <f ca="1">IF($D320&lt;&gt;"Serviço",0,IF(AND(AUTOEVENTO="Manual",$M320=1),0,IF(OFFSET(CRONOPLE!$F$14,$M320,AT$13)="",10^12,OFFSET(CRONOPLE!$F$14,$M320,AT$13))))</f>
        <v>1000000000000</v>
      </c>
      <c r="AU320" s="181">
        <f ca="1">IF($D320&lt;&gt;"Serviço",0,IF(AND(AUTOEVENTO="Manual",$M320=1),0,IF(OFFSET(CRONOPLE!$F$14,$M320,AU$13)="",10^12,OFFSET(CRONOPLE!$F$14,$M320,AU$13))))</f>
        <v>1000000000000</v>
      </c>
      <c r="AV320" s="181">
        <f ca="1">IF($D320&lt;&gt;"Serviço",0,IF(AND(AUTOEVENTO="Manual",$M320=1),0,IF(OFFSET(CRONOPLE!$F$14,$M320,AV$13)="",10^12,OFFSET(CRONOPLE!$F$14,$M320,AV$13))))</f>
        <v>1000000000000</v>
      </c>
      <c r="AX320" s="182">
        <f ca="1">IF($D320&lt;&gt;"Serviço",0,IF(OR(AND(AUTOEVENTO="Manual",$M320=1),$M320&gt;(ROW(PLE.lastrow)-ROW(PLE.firstrow))),0,IF(OFFSET(PLE!$G$14,$M320,AX$13)="",10^12,OFFSET(PLE!$G$14,$M320,AX$13))))</f>
        <v>1000000000000</v>
      </c>
      <c r="AY320" s="182">
        <f ca="1">IF($D320&lt;&gt;"Serviço",0,IF(OR(AND(AUTOEVENTO="Manual",$M320=1),$M320&gt;(ROW(PLE.lastrow)-ROW(PLE.firstrow))),0,IF(OFFSET(PLE!$G$14,$M320,AY$13)="",10^12,OFFSET(PLE!$G$14,$M320,AY$13))))</f>
        <v>1000000000000</v>
      </c>
      <c r="AZ320" s="182">
        <f ca="1">IF($D320&lt;&gt;"Serviço",0,IF(OR(AND(AUTOEVENTO="Manual",$M320=1),$M320&gt;(ROW(PLE.lastrow)-ROW(PLE.firstrow))),0,IF(OFFSET(PLE!$G$14,$M320,AZ$13)="",10^12,OFFSET(PLE!$G$14,$M320,AZ$13))))</f>
        <v>1000000000000</v>
      </c>
      <c r="BA320" s="182">
        <f ca="1">IF($D320&lt;&gt;"Serviço",0,IF(OR(AND(AUTOEVENTO="Manual",$M320=1),$M320&gt;(ROW(PLE.lastrow)-ROW(PLE.firstrow))),0,IF(OFFSET(PLE!$G$14,$M320,BA$13)="",10^12,OFFSET(PLE!$G$14,$M320,BA$13))))</f>
        <v>1000000000000</v>
      </c>
      <c r="BB320" s="182">
        <f ca="1">IF($D320&lt;&gt;"Serviço",0,IF(OR(AND(AUTOEVENTO="Manual",$M320=1),$M320&gt;(ROW(PLE.lastrow)-ROW(PLE.firstrow))),0,IF(OFFSET(PLE!$G$14,$M320,BB$13)="",10^12,OFFSET(PLE!$G$14,$M320,BB$13))))</f>
        <v>1000000000000</v>
      </c>
      <c r="BC320" s="182">
        <f ca="1">IF($D320&lt;&gt;"Serviço",0,IF(OR(AND(AUTOEVENTO="Manual",$M320=1),$M320&gt;(ROW(PLE.lastrow)-ROW(PLE.firstrow))),0,IF(OFFSET(PLE!$G$14,$M320,BC$13)="",10^12,OFFSET(PLE!$G$14,$M320,BC$13))))</f>
        <v>1000000000000</v>
      </c>
      <c r="BD320" s="182">
        <f ca="1">IF($D320&lt;&gt;"Serviço",0,IF(OR(AND(AUTOEVENTO="Manual",$M320=1),$M320&gt;(ROW(PLE.lastrow)-ROW(PLE.firstrow))),0,IF(OFFSET(PLE!$G$14,$M320,BD$13)="",10^12,OFFSET(PLE!$G$14,$M320,BD$13))))</f>
        <v>1000000000000</v>
      </c>
      <c r="BE320" s="182">
        <f ca="1">IF($D320&lt;&gt;"Serviço",0,IF(OR(AND(AUTOEVENTO="Manual",$M320=1),$M320&gt;(ROW(PLE.lastrow)-ROW(PLE.firstrow))),0,IF(OFFSET(PLE!$G$14,$M320,BE$13)="",10^12,OFFSET(PLE!$G$14,$M320,BE$13))))</f>
        <v>1000000000000</v>
      </c>
      <c r="BF320" s="182">
        <f ca="1">IF($D320&lt;&gt;"Serviço",0,IF(OR(AND(AUTOEVENTO="Manual",$M320=1),$M320&gt;(ROW(PLE.lastrow)-ROW(PLE.firstrow))),0,IF(OFFSET(PLE!$G$14,$M320,BF$13)="",10^12,OFFSET(PLE!$G$14,$M320,BF$13))))</f>
        <v>1000000000000</v>
      </c>
      <c r="BG320" s="182">
        <f ca="1">IF($D320&lt;&gt;"Serviço",0,IF(OR(AND(AUTOEVENTO="Manual",$M320=1),$M320&gt;(ROW(PLE.lastrow)-ROW(PLE.firstrow))),0,IF(OFFSET(PLE!$G$14,$M320,BG$13)="",10^12,OFFSET(PLE!$G$14,$M320,BG$13))))</f>
        <v>1000000000000</v>
      </c>
    </row>
    <row r="321" spans="1:59" ht="38.25" x14ac:dyDescent="0.2">
      <c r="A321" s="7" t="str">
        <f t="shared" ca="1" si="11"/>
        <v>302</v>
      </c>
      <c r="B321" s="7" t="str">
        <f ca="1">OFFSET(ORÇAMENTO!C$15,ROW(B321)-ROW(B$15),0)</f>
        <v>S</v>
      </c>
      <c r="C321" s="7" t="str">
        <f ca="1">OFFSET(ORÇAMENTO!L$15,ROW(C321)-ROW(C$15),0)</f>
        <v/>
      </c>
      <c r="D321" s="118" t="str">
        <f ca="1">OFFSET(ORÇAMENTO!N$15,ROW(D321)-ROW(D$15),0)</f>
        <v>Serviço</v>
      </c>
      <c r="E321" s="119" t="str">
        <f ca="1">OFFSET(ORÇAMENTO!O$15,ROW(E321)-ROW(E$15),0)</f>
        <v>-</v>
      </c>
      <c r="F321" s="172" t="str">
        <f ca="1">OFFSET(ORÇAMENTO!R$15,ROW(F321)-ROW(F$15),0)</f>
        <v>(abra o arquivo 'Referência 02-2025.xlsm)</v>
      </c>
      <c r="G321" s="173" t="str">
        <f ca="1">IF($D321&lt;&gt;"Serviço","",OFFSET(ORÇAMENTO!S$15,ROW(G321)-ROW(G$15),0))</f>
        <v>-</v>
      </c>
      <c r="H321" s="124">
        <f ca="1">IF($D321&lt;&gt;"Serviço",0,IF(ACOMPANHAMENTO="BM",ROUND(OFFSET(ORÇAMENTO!AJ$15,ROW(H321)-ROW(H$15),0),15-13*ORÇAMENTO!$AF$7),SUMPRODUCT(($Q$12:$AA$12&lt;&gt;"")*ROUND($Q321:$AA321,15-13*ORÇAMENTO!$AF$7))))</f>
        <v>39.700000000000003</v>
      </c>
      <c r="I321" s="561" t="s">
        <v>890</v>
      </c>
      <c r="K321" s="174"/>
      <c r="L321" s="175" t="s">
        <v>255</v>
      </c>
      <c r="M321" s="176">
        <f ca="1">IF($D321&lt;&gt;"Serviço","",IF(AUTOEVENTO="manual",$A321,IF(ISERROR(MATCH($A321,$A$15:OFFSET($A321,-1,0),0)),MAX($M$15:OFFSET(M321,-1,0))+1,INDEX($M$15:OFFSET(M321,-1,0),MATCH($A321,$A$15:OFFSET($A321,-1,0),0)))))</f>
        <v>14</v>
      </c>
      <c r="N321" s="177" t="str">
        <f ca="1">IF($D321&lt;&gt;"Serviço","",IF(AUTOEVENTO="Manual",IF($A321=0,"&lt;-- defina o número do agrupador",OFFSET(EVENTOS!$D$14,$A321,0)),OFFSET($F$15,$A321,0)))</f>
        <v>DRENAGEM DE ÁGUAS PLUVIAIS</v>
      </c>
      <c r="O321" s="178"/>
      <c r="Q321" s="178"/>
      <c r="R321" s="179"/>
      <c r="S321" s="179"/>
      <c r="T321" s="179"/>
      <c r="U321" s="179"/>
      <c r="V321" s="179"/>
      <c r="W321" s="179"/>
      <c r="X321" s="179"/>
      <c r="Y321" s="179"/>
      <c r="Z321" s="180"/>
      <c r="AB321" s="544">
        <f ca="1">IF(AND($D321="Serviço",AB$12&lt;&gt;0,$H321&gt;0,OR(AUTOEVENTO&lt;&gt;"manual",$M321&lt;&gt;1)),
IF(Import.TipoArredondamento&lt;&gt;"TransfereGOV",
ROUND(OFFSET($P321,0,AB$13),15-13*ORÇAMENTO!$AF$7)/$H321*OFFSET(ORÇAMENTO!$X$15,ROW(AB321)-ROW(AB$15),0),
ROUND(ROUND(OFFSET($P321,0,AB$13),15-13*ORÇAMENTO!$AF$7)*OFFSET(ORÇAMENTO!$W$15,ROW(AB321)-ROW(AB$15),0),15-13*ORÇAMENTO!$AF$11)),0)</f>
        <v>0</v>
      </c>
      <c r="AC321" s="545">
        <f ca="1">IF(AND($D321="Serviço",AC$12&lt;&gt;0,$H321&gt;0,OR(AUTOEVENTO&lt;&gt;"manual",$M321&lt;&gt;1)),
IF(Import.TipoArredondamento&lt;&gt;"TransfereGOV",
ROUND(OFFSET($P321,0,AC$13),15-13*ORÇAMENTO!$AF$7)/$H321*OFFSET(ORÇAMENTO!$X$15,ROW(AC321)-ROW(AC$15),0),
ROUND(ROUND(OFFSET($P321,0,AC$13),15-13*ORÇAMENTO!$AF$7)*OFFSET(ORÇAMENTO!$W$15,ROW(AC321)-ROW(AC$15),0),15-13*ORÇAMENTO!$AF$11)),0)</f>
        <v>0</v>
      </c>
      <c r="AD321" s="545">
        <f ca="1">IF(AND($D321="Serviço",AD$12&lt;&gt;0,$H321&gt;0,OR(AUTOEVENTO&lt;&gt;"manual",$M321&lt;&gt;1)),
IF(Import.TipoArredondamento&lt;&gt;"TransfereGOV",
ROUND(OFFSET($P321,0,AD$13),15-13*ORÇAMENTO!$AF$7)/$H321*OFFSET(ORÇAMENTO!$X$15,ROW(AD321)-ROW(AD$15),0),
ROUND(ROUND(OFFSET($P321,0,AD$13),15-13*ORÇAMENTO!$AF$7)*OFFSET(ORÇAMENTO!$W$15,ROW(AD321)-ROW(AD$15),0),15-13*ORÇAMENTO!$AF$11)),0)</f>
        <v>0</v>
      </c>
      <c r="AE321" s="545">
        <f ca="1">IF(AND($D321="Serviço",AE$12&lt;&gt;0,$H321&gt;0,OR(AUTOEVENTO&lt;&gt;"manual",$M321&lt;&gt;1)),
IF(Import.TipoArredondamento&lt;&gt;"TransfereGOV",
ROUND(OFFSET($P321,0,AE$13),15-13*ORÇAMENTO!$AF$7)/$H321*OFFSET(ORÇAMENTO!$X$15,ROW(AE321)-ROW(AE$15),0),
ROUND(ROUND(OFFSET($P321,0,AE$13),15-13*ORÇAMENTO!$AF$7)*OFFSET(ORÇAMENTO!$W$15,ROW(AE321)-ROW(AE$15),0),15-13*ORÇAMENTO!$AF$11)),0)</f>
        <v>0</v>
      </c>
      <c r="AF321" s="545">
        <f ca="1">IF(AND($D321="Serviço",AF$12&lt;&gt;0,$H321&gt;0,OR(AUTOEVENTO&lt;&gt;"manual",$M321&lt;&gt;1)),
IF(Import.TipoArredondamento&lt;&gt;"TransfereGOV",
ROUND(OFFSET($P321,0,AF$13),15-13*ORÇAMENTO!$AF$7)/$H321*OFFSET(ORÇAMENTO!$X$15,ROW(AF321)-ROW(AF$15),0),
ROUND(ROUND(OFFSET($P321,0,AF$13),15-13*ORÇAMENTO!$AF$7)*OFFSET(ORÇAMENTO!$W$15,ROW(AF321)-ROW(AF$15),0),15-13*ORÇAMENTO!$AF$11)),0)</f>
        <v>0</v>
      </c>
      <c r="AG321" s="545">
        <f ca="1">IF(AND($D321="Serviço",AG$12&lt;&gt;0,$H321&gt;0,OR(AUTOEVENTO&lt;&gt;"manual",$M321&lt;&gt;1)),
IF(Import.TipoArredondamento&lt;&gt;"TransfereGOV",
ROUND(OFFSET($P321,0,AG$13),15-13*ORÇAMENTO!$AF$7)/$H321*OFFSET(ORÇAMENTO!$X$15,ROW(AG321)-ROW(AG$15),0),
ROUND(ROUND(OFFSET($P321,0,AG$13),15-13*ORÇAMENTO!$AF$7)*OFFSET(ORÇAMENTO!$W$15,ROW(AG321)-ROW(AG$15),0),15-13*ORÇAMENTO!$AF$11)),0)</f>
        <v>0</v>
      </c>
      <c r="AH321" s="545">
        <f ca="1">IF(AND($D321="Serviço",AH$12&lt;&gt;0,$H321&gt;0,OR(AUTOEVENTO&lt;&gt;"manual",$M321&lt;&gt;1)),
IF(Import.TipoArredondamento&lt;&gt;"TransfereGOV",
ROUND(OFFSET($P321,0,AH$13),15-13*ORÇAMENTO!$AF$7)/$H321*OFFSET(ORÇAMENTO!$X$15,ROW(AH321)-ROW(AH$15),0),
ROUND(ROUND(OFFSET($P321,0,AH$13),15-13*ORÇAMENTO!$AF$7)*OFFSET(ORÇAMENTO!$W$15,ROW(AH321)-ROW(AH$15),0),15-13*ORÇAMENTO!$AF$11)),0)</f>
        <v>0</v>
      </c>
      <c r="AI321" s="545">
        <f ca="1">IF(AND($D321="Serviço",AI$12&lt;&gt;0,$H321&gt;0,OR(AUTOEVENTO&lt;&gt;"manual",$M321&lt;&gt;1)),
IF(Import.TipoArredondamento&lt;&gt;"TransfereGOV",
ROUND(OFFSET($P321,0,AI$13),15-13*ORÇAMENTO!$AF$7)/$H321*OFFSET(ORÇAMENTO!$X$15,ROW(AI321)-ROW(AI$15),0),
ROUND(ROUND(OFFSET($P321,0,AI$13),15-13*ORÇAMENTO!$AF$7)*OFFSET(ORÇAMENTO!$W$15,ROW(AI321)-ROW(AI$15),0),15-13*ORÇAMENTO!$AF$11)),0)</f>
        <v>0</v>
      </c>
      <c r="AJ321" s="545">
        <f ca="1">IF(AND($D321="Serviço",AJ$12&lt;&gt;0,$H321&gt;0,OR(AUTOEVENTO&lt;&gt;"manual",$M321&lt;&gt;1)),
IF(Import.TipoArredondamento&lt;&gt;"TransfereGOV",
ROUND(OFFSET($P321,0,AJ$13),15-13*ORÇAMENTO!$AF$7)/$H321*OFFSET(ORÇAMENTO!$X$15,ROW(AJ321)-ROW(AJ$15),0),
ROUND(ROUND(OFFSET($P321,0,AJ$13),15-13*ORÇAMENTO!$AF$7)*OFFSET(ORÇAMENTO!$W$15,ROW(AJ321)-ROW(AJ$15),0),15-13*ORÇAMENTO!$AF$11)),0)</f>
        <v>0</v>
      </c>
      <c r="AK321" s="546">
        <f ca="1">IF(AND($D321="Serviço",AK$12&lt;&gt;0,$H321&gt;0,OR(AUTOEVENTO&lt;&gt;"manual",$M321&lt;&gt;1)),
IF(Import.TipoArredondamento&lt;&gt;"TransfereGOV",
ROUND(OFFSET($P321,0,AK$13),15-13*ORÇAMENTO!$AF$7)/$H321*OFFSET(ORÇAMENTO!$X$15,ROW(AK321)-ROW(AK$15),0),
ROUND(ROUND(OFFSET($P321,0,AK$13),15-13*ORÇAMENTO!$AF$7)*OFFSET(ORÇAMENTO!$W$15,ROW(AK321)-ROW(AK$15),0),15-13*ORÇAMENTO!$AF$11)),0)</f>
        <v>0</v>
      </c>
      <c r="AM321" s="181">
        <f ca="1">IF($D321&lt;&gt;"Serviço",0,IF(AND(AUTOEVENTO="Manual",$M321=1),0,IF(OFFSET(CRONOPLE!$F$14,$M321,AM$13)="",10^12,OFFSET(CRONOPLE!$F$14,$M321,AM$13))))</f>
        <v>1000000000000</v>
      </c>
      <c r="AN321" s="181">
        <f ca="1">IF($D321&lt;&gt;"Serviço",0,IF(AND(AUTOEVENTO="Manual",$M321=1),0,IF(OFFSET(CRONOPLE!$F$14,$M321,AN$13)="",10^12,OFFSET(CRONOPLE!$F$14,$M321,AN$13))))</f>
        <v>1000000000000</v>
      </c>
      <c r="AO321" s="181">
        <f ca="1">IF($D321&lt;&gt;"Serviço",0,IF(AND(AUTOEVENTO="Manual",$M321=1),0,IF(OFFSET(CRONOPLE!$F$14,$M321,AO$13)="",10^12,OFFSET(CRONOPLE!$F$14,$M321,AO$13))))</f>
        <v>1000000000000</v>
      </c>
      <c r="AP321" s="181">
        <f ca="1">IF($D321&lt;&gt;"Serviço",0,IF(AND(AUTOEVENTO="Manual",$M321=1),0,IF(OFFSET(CRONOPLE!$F$14,$M321,AP$13)="",10^12,OFFSET(CRONOPLE!$F$14,$M321,AP$13))))</f>
        <v>1000000000000</v>
      </c>
      <c r="AQ321" s="181">
        <f ca="1">IF($D321&lt;&gt;"Serviço",0,IF(AND(AUTOEVENTO="Manual",$M321=1),0,IF(OFFSET(CRONOPLE!$F$14,$M321,AQ$13)="",10^12,OFFSET(CRONOPLE!$F$14,$M321,AQ$13))))</f>
        <v>1000000000000</v>
      </c>
      <c r="AR321" s="181">
        <f ca="1">IF($D321&lt;&gt;"Serviço",0,IF(AND(AUTOEVENTO="Manual",$M321=1),0,IF(OFFSET(CRONOPLE!$F$14,$M321,AR$13)="",10^12,OFFSET(CRONOPLE!$F$14,$M321,AR$13))))</f>
        <v>1000000000000</v>
      </c>
      <c r="AS321" s="181">
        <f ca="1">IF($D321&lt;&gt;"Serviço",0,IF(AND(AUTOEVENTO="Manual",$M321=1),0,IF(OFFSET(CRONOPLE!$F$14,$M321,AS$13)="",10^12,OFFSET(CRONOPLE!$F$14,$M321,AS$13))))</f>
        <v>1000000000000</v>
      </c>
      <c r="AT321" s="181">
        <f ca="1">IF($D321&lt;&gt;"Serviço",0,IF(AND(AUTOEVENTO="Manual",$M321=1),0,IF(OFFSET(CRONOPLE!$F$14,$M321,AT$13)="",10^12,OFFSET(CRONOPLE!$F$14,$M321,AT$13))))</f>
        <v>1000000000000</v>
      </c>
      <c r="AU321" s="181">
        <f ca="1">IF($D321&lt;&gt;"Serviço",0,IF(AND(AUTOEVENTO="Manual",$M321=1),0,IF(OFFSET(CRONOPLE!$F$14,$M321,AU$13)="",10^12,OFFSET(CRONOPLE!$F$14,$M321,AU$13))))</f>
        <v>1000000000000</v>
      </c>
      <c r="AV321" s="181">
        <f ca="1">IF($D321&lt;&gt;"Serviço",0,IF(AND(AUTOEVENTO="Manual",$M321=1),0,IF(OFFSET(CRONOPLE!$F$14,$M321,AV$13)="",10^12,OFFSET(CRONOPLE!$F$14,$M321,AV$13))))</f>
        <v>1000000000000</v>
      </c>
      <c r="AX321" s="182">
        <f ca="1">IF($D321&lt;&gt;"Serviço",0,IF(OR(AND(AUTOEVENTO="Manual",$M321=1),$M321&gt;(ROW(PLE.lastrow)-ROW(PLE.firstrow))),0,IF(OFFSET(PLE!$G$14,$M321,AX$13)="",10^12,OFFSET(PLE!$G$14,$M321,AX$13))))</f>
        <v>1000000000000</v>
      </c>
      <c r="AY321" s="182">
        <f ca="1">IF($D321&lt;&gt;"Serviço",0,IF(OR(AND(AUTOEVENTO="Manual",$M321=1),$M321&gt;(ROW(PLE.lastrow)-ROW(PLE.firstrow))),0,IF(OFFSET(PLE!$G$14,$M321,AY$13)="",10^12,OFFSET(PLE!$G$14,$M321,AY$13))))</f>
        <v>1000000000000</v>
      </c>
      <c r="AZ321" s="182">
        <f ca="1">IF($D321&lt;&gt;"Serviço",0,IF(OR(AND(AUTOEVENTO="Manual",$M321=1),$M321&gt;(ROW(PLE.lastrow)-ROW(PLE.firstrow))),0,IF(OFFSET(PLE!$G$14,$M321,AZ$13)="",10^12,OFFSET(PLE!$G$14,$M321,AZ$13))))</f>
        <v>1000000000000</v>
      </c>
      <c r="BA321" s="182">
        <f ca="1">IF($D321&lt;&gt;"Serviço",0,IF(OR(AND(AUTOEVENTO="Manual",$M321=1),$M321&gt;(ROW(PLE.lastrow)-ROW(PLE.firstrow))),0,IF(OFFSET(PLE!$G$14,$M321,BA$13)="",10^12,OFFSET(PLE!$G$14,$M321,BA$13))))</f>
        <v>1000000000000</v>
      </c>
      <c r="BB321" s="182">
        <f ca="1">IF($D321&lt;&gt;"Serviço",0,IF(OR(AND(AUTOEVENTO="Manual",$M321=1),$M321&gt;(ROW(PLE.lastrow)-ROW(PLE.firstrow))),0,IF(OFFSET(PLE!$G$14,$M321,BB$13)="",10^12,OFFSET(PLE!$G$14,$M321,BB$13))))</f>
        <v>1000000000000</v>
      </c>
      <c r="BC321" s="182">
        <f ca="1">IF($D321&lt;&gt;"Serviço",0,IF(OR(AND(AUTOEVENTO="Manual",$M321=1),$M321&gt;(ROW(PLE.lastrow)-ROW(PLE.firstrow))),0,IF(OFFSET(PLE!$G$14,$M321,BC$13)="",10^12,OFFSET(PLE!$G$14,$M321,BC$13))))</f>
        <v>1000000000000</v>
      </c>
      <c r="BD321" s="182">
        <f ca="1">IF($D321&lt;&gt;"Serviço",0,IF(OR(AND(AUTOEVENTO="Manual",$M321=1),$M321&gt;(ROW(PLE.lastrow)-ROW(PLE.firstrow))),0,IF(OFFSET(PLE!$G$14,$M321,BD$13)="",10^12,OFFSET(PLE!$G$14,$M321,BD$13))))</f>
        <v>1000000000000</v>
      </c>
      <c r="BE321" s="182">
        <f ca="1">IF($D321&lt;&gt;"Serviço",0,IF(OR(AND(AUTOEVENTO="Manual",$M321=1),$M321&gt;(ROW(PLE.lastrow)-ROW(PLE.firstrow))),0,IF(OFFSET(PLE!$G$14,$M321,BE$13)="",10^12,OFFSET(PLE!$G$14,$M321,BE$13))))</f>
        <v>1000000000000</v>
      </c>
      <c r="BF321" s="182">
        <f ca="1">IF($D321&lt;&gt;"Serviço",0,IF(OR(AND(AUTOEVENTO="Manual",$M321=1),$M321&gt;(ROW(PLE.lastrow)-ROW(PLE.firstrow))),0,IF(OFFSET(PLE!$G$14,$M321,BF$13)="",10^12,OFFSET(PLE!$G$14,$M321,BF$13))))</f>
        <v>1000000000000</v>
      </c>
      <c r="BG321" s="182">
        <f ca="1">IF($D321&lt;&gt;"Serviço",0,IF(OR(AND(AUTOEVENTO="Manual",$M321=1),$M321&gt;(ROW(PLE.lastrow)-ROW(PLE.firstrow))),0,IF(OFFSET(PLE!$G$14,$M321,BG$13)="",10^12,OFFSET(PLE!$G$14,$M321,BG$13))))</f>
        <v>1000000000000</v>
      </c>
    </row>
    <row r="322" spans="1:59" ht="38.25" x14ac:dyDescent="0.2">
      <c r="A322" s="7" t="str">
        <f t="shared" ca="1" si="11"/>
        <v>302</v>
      </c>
      <c r="B322" s="7" t="str">
        <f ca="1">OFFSET(ORÇAMENTO!C$15,ROW(B322)-ROW(B$15),0)</f>
        <v>S</v>
      </c>
      <c r="C322" s="7" t="str">
        <f ca="1">OFFSET(ORÇAMENTO!L$15,ROW(C322)-ROW(C$15),0)</f>
        <v/>
      </c>
      <c r="D322" s="118" t="str">
        <f ca="1">OFFSET(ORÇAMENTO!N$15,ROW(D322)-ROW(D$15),0)</f>
        <v>Serviço</v>
      </c>
      <c r="E322" s="119" t="str">
        <f ca="1">OFFSET(ORÇAMENTO!O$15,ROW(E322)-ROW(E$15),0)</f>
        <v>-</v>
      </c>
      <c r="F322" s="172" t="str">
        <f ca="1">OFFSET(ORÇAMENTO!R$15,ROW(F322)-ROW(F$15),0)</f>
        <v>(abra o arquivo 'Referência 02-2025.xlsm)</v>
      </c>
      <c r="G322" s="173" t="str">
        <f ca="1">IF($D322&lt;&gt;"Serviço","",OFFSET(ORÇAMENTO!S$15,ROW(G322)-ROW(G$15),0))</f>
        <v>-</v>
      </c>
      <c r="H322" s="124">
        <f ca="1">IF($D322&lt;&gt;"Serviço",0,IF(ACOMPANHAMENTO="BM",ROUND(OFFSET(ORÇAMENTO!AJ$15,ROW(H322)-ROW(H$15),0),15-13*ORÇAMENTO!$AF$7),SUMPRODUCT(($Q$12:$AA$12&lt;&gt;"")*ROUND($Q322:$AA322,15-13*ORÇAMENTO!$AF$7))))</f>
        <v>62.8</v>
      </c>
      <c r="I322" s="561" t="s">
        <v>890</v>
      </c>
      <c r="K322" s="174"/>
      <c r="L322" s="175" t="s">
        <v>255</v>
      </c>
      <c r="M322" s="176">
        <f ca="1">IF($D322&lt;&gt;"Serviço","",IF(AUTOEVENTO="manual",$A322,IF(ISERROR(MATCH($A322,$A$15:OFFSET($A322,-1,0),0)),MAX($M$15:OFFSET(M322,-1,0))+1,INDEX($M$15:OFFSET(M322,-1,0),MATCH($A322,$A$15:OFFSET($A322,-1,0),0)))))</f>
        <v>14</v>
      </c>
      <c r="N322" s="177" t="str">
        <f ca="1">IF($D322&lt;&gt;"Serviço","",IF(AUTOEVENTO="Manual",IF($A322=0,"&lt;-- defina o número do agrupador",OFFSET(EVENTOS!$D$14,$A322,0)),OFFSET($F$15,$A322,0)))</f>
        <v>DRENAGEM DE ÁGUAS PLUVIAIS</v>
      </c>
      <c r="O322" s="178"/>
      <c r="Q322" s="178"/>
      <c r="R322" s="179"/>
      <c r="S322" s="179"/>
      <c r="T322" s="179"/>
      <c r="U322" s="179"/>
      <c r="V322" s="179"/>
      <c r="W322" s="179"/>
      <c r="X322" s="179"/>
      <c r="Y322" s="179"/>
      <c r="Z322" s="180"/>
      <c r="AB322" s="544">
        <f ca="1">IF(AND($D322="Serviço",AB$12&lt;&gt;0,$H322&gt;0,OR(AUTOEVENTO&lt;&gt;"manual",$M322&lt;&gt;1)),
IF(Import.TipoArredondamento&lt;&gt;"TransfereGOV",
ROUND(OFFSET($P322,0,AB$13),15-13*ORÇAMENTO!$AF$7)/$H322*OFFSET(ORÇAMENTO!$X$15,ROW(AB322)-ROW(AB$15),0),
ROUND(ROUND(OFFSET($P322,0,AB$13),15-13*ORÇAMENTO!$AF$7)*OFFSET(ORÇAMENTO!$W$15,ROW(AB322)-ROW(AB$15),0),15-13*ORÇAMENTO!$AF$11)),0)</f>
        <v>0</v>
      </c>
      <c r="AC322" s="545">
        <f ca="1">IF(AND($D322="Serviço",AC$12&lt;&gt;0,$H322&gt;0,OR(AUTOEVENTO&lt;&gt;"manual",$M322&lt;&gt;1)),
IF(Import.TipoArredondamento&lt;&gt;"TransfereGOV",
ROUND(OFFSET($P322,0,AC$13),15-13*ORÇAMENTO!$AF$7)/$H322*OFFSET(ORÇAMENTO!$X$15,ROW(AC322)-ROW(AC$15),0),
ROUND(ROUND(OFFSET($P322,0,AC$13),15-13*ORÇAMENTO!$AF$7)*OFFSET(ORÇAMENTO!$W$15,ROW(AC322)-ROW(AC$15),0),15-13*ORÇAMENTO!$AF$11)),0)</f>
        <v>0</v>
      </c>
      <c r="AD322" s="545">
        <f ca="1">IF(AND($D322="Serviço",AD$12&lt;&gt;0,$H322&gt;0,OR(AUTOEVENTO&lt;&gt;"manual",$M322&lt;&gt;1)),
IF(Import.TipoArredondamento&lt;&gt;"TransfereGOV",
ROUND(OFFSET($P322,0,AD$13),15-13*ORÇAMENTO!$AF$7)/$H322*OFFSET(ORÇAMENTO!$X$15,ROW(AD322)-ROW(AD$15),0),
ROUND(ROUND(OFFSET($P322,0,AD$13),15-13*ORÇAMENTO!$AF$7)*OFFSET(ORÇAMENTO!$W$15,ROW(AD322)-ROW(AD$15),0),15-13*ORÇAMENTO!$AF$11)),0)</f>
        <v>0</v>
      </c>
      <c r="AE322" s="545">
        <f ca="1">IF(AND($D322="Serviço",AE$12&lt;&gt;0,$H322&gt;0,OR(AUTOEVENTO&lt;&gt;"manual",$M322&lt;&gt;1)),
IF(Import.TipoArredondamento&lt;&gt;"TransfereGOV",
ROUND(OFFSET($P322,0,AE$13),15-13*ORÇAMENTO!$AF$7)/$H322*OFFSET(ORÇAMENTO!$X$15,ROW(AE322)-ROW(AE$15),0),
ROUND(ROUND(OFFSET($P322,0,AE$13),15-13*ORÇAMENTO!$AF$7)*OFFSET(ORÇAMENTO!$W$15,ROW(AE322)-ROW(AE$15),0),15-13*ORÇAMENTO!$AF$11)),0)</f>
        <v>0</v>
      </c>
      <c r="AF322" s="545">
        <f ca="1">IF(AND($D322="Serviço",AF$12&lt;&gt;0,$H322&gt;0,OR(AUTOEVENTO&lt;&gt;"manual",$M322&lt;&gt;1)),
IF(Import.TipoArredondamento&lt;&gt;"TransfereGOV",
ROUND(OFFSET($P322,0,AF$13),15-13*ORÇAMENTO!$AF$7)/$H322*OFFSET(ORÇAMENTO!$X$15,ROW(AF322)-ROW(AF$15),0),
ROUND(ROUND(OFFSET($P322,0,AF$13),15-13*ORÇAMENTO!$AF$7)*OFFSET(ORÇAMENTO!$W$15,ROW(AF322)-ROW(AF$15),0),15-13*ORÇAMENTO!$AF$11)),0)</f>
        <v>0</v>
      </c>
      <c r="AG322" s="545">
        <f ca="1">IF(AND($D322="Serviço",AG$12&lt;&gt;0,$H322&gt;0,OR(AUTOEVENTO&lt;&gt;"manual",$M322&lt;&gt;1)),
IF(Import.TipoArredondamento&lt;&gt;"TransfereGOV",
ROUND(OFFSET($P322,0,AG$13),15-13*ORÇAMENTO!$AF$7)/$H322*OFFSET(ORÇAMENTO!$X$15,ROW(AG322)-ROW(AG$15),0),
ROUND(ROUND(OFFSET($P322,0,AG$13),15-13*ORÇAMENTO!$AF$7)*OFFSET(ORÇAMENTO!$W$15,ROW(AG322)-ROW(AG$15),0),15-13*ORÇAMENTO!$AF$11)),0)</f>
        <v>0</v>
      </c>
      <c r="AH322" s="545">
        <f ca="1">IF(AND($D322="Serviço",AH$12&lt;&gt;0,$H322&gt;0,OR(AUTOEVENTO&lt;&gt;"manual",$M322&lt;&gt;1)),
IF(Import.TipoArredondamento&lt;&gt;"TransfereGOV",
ROUND(OFFSET($P322,0,AH$13),15-13*ORÇAMENTO!$AF$7)/$H322*OFFSET(ORÇAMENTO!$X$15,ROW(AH322)-ROW(AH$15),0),
ROUND(ROUND(OFFSET($P322,0,AH$13),15-13*ORÇAMENTO!$AF$7)*OFFSET(ORÇAMENTO!$W$15,ROW(AH322)-ROW(AH$15),0),15-13*ORÇAMENTO!$AF$11)),0)</f>
        <v>0</v>
      </c>
      <c r="AI322" s="545">
        <f ca="1">IF(AND($D322="Serviço",AI$12&lt;&gt;0,$H322&gt;0,OR(AUTOEVENTO&lt;&gt;"manual",$M322&lt;&gt;1)),
IF(Import.TipoArredondamento&lt;&gt;"TransfereGOV",
ROUND(OFFSET($P322,0,AI$13),15-13*ORÇAMENTO!$AF$7)/$H322*OFFSET(ORÇAMENTO!$X$15,ROW(AI322)-ROW(AI$15),0),
ROUND(ROUND(OFFSET($P322,0,AI$13),15-13*ORÇAMENTO!$AF$7)*OFFSET(ORÇAMENTO!$W$15,ROW(AI322)-ROW(AI$15),0),15-13*ORÇAMENTO!$AF$11)),0)</f>
        <v>0</v>
      </c>
      <c r="AJ322" s="545">
        <f ca="1">IF(AND($D322="Serviço",AJ$12&lt;&gt;0,$H322&gt;0,OR(AUTOEVENTO&lt;&gt;"manual",$M322&lt;&gt;1)),
IF(Import.TipoArredondamento&lt;&gt;"TransfereGOV",
ROUND(OFFSET($P322,0,AJ$13),15-13*ORÇAMENTO!$AF$7)/$H322*OFFSET(ORÇAMENTO!$X$15,ROW(AJ322)-ROW(AJ$15),0),
ROUND(ROUND(OFFSET($P322,0,AJ$13),15-13*ORÇAMENTO!$AF$7)*OFFSET(ORÇAMENTO!$W$15,ROW(AJ322)-ROW(AJ$15),0),15-13*ORÇAMENTO!$AF$11)),0)</f>
        <v>0</v>
      </c>
      <c r="AK322" s="546">
        <f ca="1">IF(AND($D322="Serviço",AK$12&lt;&gt;0,$H322&gt;0,OR(AUTOEVENTO&lt;&gt;"manual",$M322&lt;&gt;1)),
IF(Import.TipoArredondamento&lt;&gt;"TransfereGOV",
ROUND(OFFSET($P322,0,AK$13),15-13*ORÇAMENTO!$AF$7)/$H322*OFFSET(ORÇAMENTO!$X$15,ROW(AK322)-ROW(AK$15),0),
ROUND(ROUND(OFFSET($P322,0,AK$13),15-13*ORÇAMENTO!$AF$7)*OFFSET(ORÇAMENTO!$W$15,ROW(AK322)-ROW(AK$15),0),15-13*ORÇAMENTO!$AF$11)),0)</f>
        <v>0</v>
      </c>
      <c r="AM322" s="181">
        <f ca="1">IF($D322&lt;&gt;"Serviço",0,IF(AND(AUTOEVENTO="Manual",$M322=1),0,IF(OFFSET(CRONOPLE!$F$14,$M322,AM$13)="",10^12,OFFSET(CRONOPLE!$F$14,$M322,AM$13))))</f>
        <v>1000000000000</v>
      </c>
      <c r="AN322" s="181">
        <f ca="1">IF($D322&lt;&gt;"Serviço",0,IF(AND(AUTOEVENTO="Manual",$M322=1),0,IF(OFFSET(CRONOPLE!$F$14,$M322,AN$13)="",10^12,OFFSET(CRONOPLE!$F$14,$M322,AN$13))))</f>
        <v>1000000000000</v>
      </c>
      <c r="AO322" s="181">
        <f ca="1">IF($D322&lt;&gt;"Serviço",0,IF(AND(AUTOEVENTO="Manual",$M322=1),0,IF(OFFSET(CRONOPLE!$F$14,$M322,AO$13)="",10^12,OFFSET(CRONOPLE!$F$14,$M322,AO$13))))</f>
        <v>1000000000000</v>
      </c>
      <c r="AP322" s="181">
        <f ca="1">IF($D322&lt;&gt;"Serviço",0,IF(AND(AUTOEVENTO="Manual",$M322=1),0,IF(OFFSET(CRONOPLE!$F$14,$M322,AP$13)="",10^12,OFFSET(CRONOPLE!$F$14,$M322,AP$13))))</f>
        <v>1000000000000</v>
      </c>
      <c r="AQ322" s="181">
        <f ca="1">IF($D322&lt;&gt;"Serviço",0,IF(AND(AUTOEVENTO="Manual",$M322=1),0,IF(OFFSET(CRONOPLE!$F$14,$M322,AQ$13)="",10^12,OFFSET(CRONOPLE!$F$14,$M322,AQ$13))))</f>
        <v>1000000000000</v>
      </c>
      <c r="AR322" s="181">
        <f ca="1">IF($D322&lt;&gt;"Serviço",0,IF(AND(AUTOEVENTO="Manual",$M322=1),0,IF(OFFSET(CRONOPLE!$F$14,$M322,AR$13)="",10^12,OFFSET(CRONOPLE!$F$14,$M322,AR$13))))</f>
        <v>1000000000000</v>
      </c>
      <c r="AS322" s="181">
        <f ca="1">IF($D322&lt;&gt;"Serviço",0,IF(AND(AUTOEVENTO="Manual",$M322=1),0,IF(OFFSET(CRONOPLE!$F$14,$M322,AS$13)="",10^12,OFFSET(CRONOPLE!$F$14,$M322,AS$13))))</f>
        <v>1000000000000</v>
      </c>
      <c r="AT322" s="181">
        <f ca="1">IF($D322&lt;&gt;"Serviço",0,IF(AND(AUTOEVENTO="Manual",$M322=1),0,IF(OFFSET(CRONOPLE!$F$14,$M322,AT$13)="",10^12,OFFSET(CRONOPLE!$F$14,$M322,AT$13))))</f>
        <v>1000000000000</v>
      </c>
      <c r="AU322" s="181">
        <f ca="1">IF($D322&lt;&gt;"Serviço",0,IF(AND(AUTOEVENTO="Manual",$M322=1),0,IF(OFFSET(CRONOPLE!$F$14,$M322,AU$13)="",10^12,OFFSET(CRONOPLE!$F$14,$M322,AU$13))))</f>
        <v>1000000000000</v>
      </c>
      <c r="AV322" s="181">
        <f ca="1">IF($D322&lt;&gt;"Serviço",0,IF(AND(AUTOEVENTO="Manual",$M322=1),0,IF(OFFSET(CRONOPLE!$F$14,$M322,AV$13)="",10^12,OFFSET(CRONOPLE!$F$14,$M322,AV$13))))</f>
        <v>1000000000000</v>
      </c>
      <c r="AX322" s="182">
        <f ca="1">IF($D322&lt;&gt;"Serviço",0,IF(OR(AND(AUTOEVENTO="Manual",$M322=1),$M322&gt;(ROW(PLE.lastrow)-ROW(PLE.firstrow))),0,IF(OFFSET(PLE!$G$14,$M322,AX$13)="",10^12,OFFSET(PLE!$G$14,$M322,AX$13))))</f>
        <v>1000000000000</v>
      </c>
      <c r="AY322" s="182">
        <f ca="1">IF($D322&lt;&gt;"Serviço",0,IF(OR(AND(AUTOEVENTO="Manual",$M322=1),$M322&gt;(ROW(PLE.lastrow)-ROW(PLE.firstrow))),0,IF(OFFSET(PLE!$G$14,$M322,AY$13)="",10^12,OFFSET(PLE!$G$14,$M322,AY$13))))</f>
        <v>1000000000000</v>
      </c>
      <c r="AZ322" s="182">
        <f ca="1">IF($D322&lt;&gt;"Serviço",0,IF(OR(AND(AUTOEVENTO="Manual",$M322=1),$M322&gt;(ROW(PLE.lastrow)-ROW(PLE.firstrow))),0,IF(OFFSET(PLE!$G$14,$M322,AZ$13)="",10^12,OFFSET(PLE!$G$14,$M322,AZ$13))))</f>
        <v>1000000000000</v>
      </c>
      <c r="BA322" s="182">
        <f ca="1">IF($D322&lt;&gt;"Serviço",0,IF(OR(AND(AUTOEVENTO="Manual",$M322=1),$M322&gt;(ROW(PLE.lastrow)-ROW(PLE.firstrow))),0,IF(OFFSET(PLE!$G$14,$M322,BA$13)="",10^12,OFFSET(PLE!$G$14,$M322,BA$13))))</f>
        <v>1000000000000</v>
      </c>
      <c r="BB322" s="182">
        <f ca="1">IF($D322&lt;&gt;"Serviço",0,IF(OR(AND(AUTOEVENTO="Manual",$M322=1),$M322&gt;(ROW(PLE.lastrow)-ROW(PLE.firstrow))),0,IF(OFFSET(PLE!$G$14,$M322,BB$13)="",10^12,OFFSET(PLE!$G$14,$M322,BB$13))))</f>
        <v>1000000000000</v>
      </c>
      <c r="BC322" s="182">
        <f ca="1">IF($D322&lt;&gt;"Serviço",0,IF(OR(AND(AUTOEVENTO="Manual",$M322=1),$M322&gt;(ROW(PLE.lastrow)-ROW(PLE.firstrow))),0,IF(OFFSET(PLE!$G$14,$M322,BC$13)="",10^12,OFFSET(PLE!$G$14,$M322,BC$13))))</f>
        <v>1000000000000</v>
      </c>
      <c r="BD322" s="182">
        <f ca="1">IF($D322&lt;&gt;"Serviço",0,IF(OR(AND(AUTOEVENTO="Manual",$M322=1),$M322&gt;(ROW(PLE.lastrow)-ROW(PLE.firstrow))),0,IF(OFFSET(PLE!$G$14,$M322,BD$13)="",10^12,OFFSET(PLE!$G$14,$M322,BD$13))))</f>
        <v>1000000000000</v>
      </c>
      <c r="BE322" s="182">
        <f ca="1">IF($D322&lt;&gt;"Serviço",0,IF(OR(AND(AUTOEVENTO="Manual",$M322=1),$M322&gt;(ROW(PLE.lastrow)-ROW(PLE.firstrow))),0,IF(OFFSET(PLE!$G$14,$M322,BE$13)="",10^12,OFFSET(PLE!$G$14,$M322,BE$13))))</f>
        <v>1000000000000</v>
      </c>
      <c r="BF322" s="182">
        <f ca="1">IF($D322&lt;&gt;"Serviço",0,IF(OR(AND(AUTOEVENTO="Manual",$M322=1),$M322&gt;(ROW(PLE.lastrow)-ROW(PLE.firstrow))),0,IF(OFFSET(PLE!$G$14,$M322,BF$13)="",10^12,OFFSET(PLE!$G$14,$M322,BF$13))))</f>
        <v>1000000000000</v>
      </c>
      <c r="BG322" s="182">
        <f ca="1">IF($D322&lt;&gt;"Serviço",0,IF(OR(AND(AUTOEVENTO="Manual",$M322=1),$M322&gt;(ROW(PLE.lastrow)-ROW(PLE.firstrow))),0,IF(OFFSET(PLE!$G$14,$M322,BG$13)="",10^12,OFFSET(PLE!$G$14,$M322,BG$13))))</f>
        <v>1000000000000</v>
      </c>
    </row>
    <row r="323" spans="1:59" ht="25.5" x14ac:dyDescent="0.2">
      <c r="A323" s="7" t="str">
        <f t="shared" ca="1" si="11"/>
        <v>302</v>
      </c>
      <c r="B323" s="7" t="str">
        <f ca="1">OFFSET(ORÇAMENTO!C$15,ROW(B323)-ROW(B$15),0)</f>
        <v>S</v>
      </c>
      <c r="C323" s="7" t="str">
        <f ca="1">OFFSET(ORÇAMENTO!L$15,ROW(C323)-ROW(C$15),0)</f>
        <v/>
      </c>
      <c r="D323" s="118" t="str">
        <f ca="1">OFFSET(ORÇAMENTO!N$15,ROW(D323)-ROW(D$15),0)</f>
        <v>Serviço</v>
      </c>
      <c r="E323" s="119" t="str">
        <f ca="1">OFFSET(ORÇAMENTO!O$15,ROW(E323)-ROW(E$15),0)</f>
        <v>-</v>
      </c>
      <c r="F323" s="172" t="str">
        <f ca="1">OFFSET(ORÇAMENTO!R$15,ROW(F323)-ROW(F$15),0)</f>
        <v>(abra o arquivo 'Referência 02-2025.xlsm)</v>
      </c>
      <c r="G323" s="173" t="str">
        <f ca="1">IF($D323&lt;&gt;"Serviço","",OFFSET(ORÇAMENTO!S$15,ROW(G323)-ROW(G$15),0))</f>
        <v>-</v>
      </c>
      <c r="H323" s="124">
        <f ca="1">IF($D323&lt;&gt;"Serviço",0,IF(ACOMPANHAMENTO="BM",ROUND(OFFSET(ORÇAMENTO!AJ$15,ROW(H323)-ROW(H$15),0),15-13*ORÇAMENTO!$AF$7),SUMPRODUCT(($Q$12:$AA$12&lt;&gt;"")*ROUND($Q323:$AA323,15-13*ORÇAMENTO!$AF$7))))</f>
        <v>32.4</v>
      </c>
      <c r="I323" s="561" t="s">
        <v>890</v>
      </c>
      <c r="K323" s="174"/>
      <c r="L323" s="175" t="s">
        <v>255</v>
      </c>
      <c r="M323" s="176">
        <f ca="1">IF($D323&lt;&gt;"Serviço","",IF(AUTOEVENTO="manual",$A323,IF(ISERROR(MATCH($A323,$A$15:OFFSET($A323,-1,0),0)),MAX($M$15:OFFSET(M323,-1,0))+1,INDEX($M$15:OFFSET(M323,-1,0),MATCH($A323,$A$15:OFFSET($A323,-1,0),0)))))</f>
        <v>14</v>
      </c>
      <c r="N323" s="177" t="str">
        <f ca="1">IF($D323&lt;&gt;"Serviço","",IF(AUTOEVENTO="Manual",IF($A323=0,"&lt;-- defina o número do agrupador",OFFSET(EVENTOS!$D$14,$A323,0)),OFFSET($F$15,$A323,0)))</f>
        <v>DRENAGEM DE ÁGUAS PLUVIAIS</v>
      </c>
      <c r="O323" s="178"/>
      <c r="Q323" s="178"/>
      <c r="R323" s="179"/>
      <c r="S323" s="179"/>
      <c r="T323" s="179"/>
      <c r="U323" s="179"/>
      <c r="V323" s="179"/>
      <c r="W323" s="179"/>
      <c r="X323" s="179"/>
      <c r="Y323" s="179"/>
      <c r="Z323" s="180"/>
      <c r="AB323" s="544">
        <f ca="1">IF(AND($D323="Serviço",AB$12&lt;&gt;0,$H323&gt;0,OR(AUTOEVENTO&lt;&gt;"manual",$M323&lt;&gt;1)),
IF(Import.TipoArredondamento&lt;&gt;"TransfereGOV",
ROUND(OFFSET($P323,0,AB$13),15-13*ORÇAMENTO!$AF$7)/$H323*OFFSET(ORÇAMENTO!$X$15,ROW(AB323)-ROW(AB$15),0),
ROUND(ROUND(OFFSET($P323,0,AB$13),15-13*ORÇAMENTO!$AF$7)*OFFSET(ORÇAMENTO!$W$15,ROW(AB323)-ROW(AB$15),0),15-13*ORÇAMENTO!$AF$11)),0)</f>
        <v>0</v>
      </c>
      <c r="AC323" s="545">
        <f ca="1">IF(AND($D323="Serviço",AC$12&lt;&gt;0,$H323&gt;0,OR(AUTOEVENTO&lt;&gt;"manual",$M323&lt;&gt;1)),
IF(Import.TipoArredondamento&lt;&gt;"TransfereGOV",
ROUND(OFFSET($P323,0,AC$13),15-13*ORÇAMENTO!$AF$7)/$H323*OFFSET(ORÇAMENTO!$X$15,ROW(AC323)-ROW(AC$15),0),
ROUND(ROUND(OFFSET($P323,0,AC$13),15-13*ORÇAMENTO!$AF$7)*OFFSET(ORÇAMENTO!$W$15,ROW(AC323)-ROW(AC$15),0),15-13*ORÇAMENTO!$AF$11)),0)</f>
        <v>0</v>
      </c>
      <c r="AD323" s="545">
        <f ca="1">IF(AND($D323="Serviço",AD$12&lt;&gt;0,$H323&gt;0,OR(AUTOEVENTO&lt;&gt;"manual",$M323&lt;&gt;1)),
IF(Import.TipoArredondamento&lt;&gt;"TransfereGOV",
ROUND(OFFSET($P323,0,AD$13),15-13*ORÇAMENTO!$AF$7)/$H323*OFFSET(ORÇAMENTO!$X$15,ROW(AD323)-ROW(AD$15),0),
ROUND(ROUND(OFFSET($P323,0,AD$13),15-13*ORÇAMENTO!$AF$7)*OFFSET(ORÇAMENTO!$W$15,ROW(AD323)-ROW(AD$15),0),15-13*ORÇAMENTO!$AF$11)),0)</f>
        <v>0</v>
      </c>
      <c r="AE323" s="545">
        <f ca="1">IF(AND($D323="Serviço",AE$12&lt;&gt;0,$H323&gt;0,OR(AUTOEVENTO&lt;&gt;"manual",$M323&lt;&gt;1)),
IF(Import.TipoArredondamento&lt;&gt;"TransfereGOV",
ROUND(OFFSET($P323,0,AE$13),15-13*ORÇAMENTO!$AF$7)/$H323*OFFSET(ORÇAMENTO!$X$15,ROW(AE323)-ROW(AE$15),0),
ROUND(ROUND(OFFSET($P323,0,AE$13),15-13*ORÇAMENTO!$AF$7)*OFFSET(ORÇAMENTO!$W$15,ROW(AE323)-ROW(AE$15),0),15-13*ORÇAMENTO!$AF$11)),0)</f>
        <v>0</v>
      </c>
      <c r="AF323" s="545">
        <f ca="1">IF(AND($D323="Serviço",AF$12&lt;&gt;0,$H323&gt;0,OR(AUTOEVENTO&lt;&gt;"manual",$M323&lt;&gt;1)),
IF(Import.TipoArredondamento&lt;&gt;"TransfereGOV",
ROUND(OFFSET($P323,0,AF$13),15-13*ORÇAMENTO!$AF$7)/$H323*OFFSET(ORÇAMENTO!$X$15,ROW(AF323)-ROW(AF$15),0),
ROUND(ROUND(OFFSET($P323,0,AF$13),15-13*ORÇAMENTO!$AF$7)*OFFSET(ORÇAMENTO!$W$15,ROW(AF323)-ROW(AF$15),0),15-13*ORÇAMENTO!$AF$11)),0)</f>
        <v>0</v>
      </c>
      <c r="AG323" s="545">
        <f ca="1">IF(AND($D323="Serviço",AG$12&lt;&gt;0,$H323&gt;0,OR(AUTOEVENTO&lt;&gt;"manual",$M323&lt;&gt;1)),
IF(Import.TipoArredondamento&lt;&gt;"TransfereGOV",
ROUND(OFFSET($P323,0,AG$13),15-13*ORÇAMENTO!$AF$7)/$H323*OFFSET(ORÇAMENTO!$X$15,ROW(AG323)-ROW(AG$15),0),
ROUND(ROUND(OFFSET($P323,0,AG$13),15-13*ORÇAMENTO!$AF$7)*OFFSET(ORÇAMENTO!$W$15,ROW(AG323)-ROW(AG$15),0),15-13*ORÇAMENTO!$AF$11)),0)</f>
        <v>0</v>
      </c>
      <c r="AH323" s="545">
        <f ca="1">IF(AND($D323="Serviço",AH$12&lt;&gt;0,$H323&gt;0,OR(AUTOEVENTO&lt;&gt;"manual",$M323&lt;&gt;1)),
IF(Import.TipoArredondamento&lt;&gt;"TransfereGOV",
ROUND(OFFSET($P323,0,AH$13),15-13*ORÇAMENTO!$AF$7)/$H323*OFFSET(ORÇAMENTO!$X$15,ROW(AH323)-ROW(AH$15),0),
ROUND(ROUND(OFFSET($P323,0,AH$13),15-13*ORÇAMENTO!$AF$7)*OFFSET(ORÇAMENTO!$W$15,ROW(AH323)-ROW(AH$15),0),15-13*ORÇAMENTO!$AF$11)),0)</f>
        <v>0</v>
      </c>
      <c r="AI323" s="545">
        <f ca="1">IF(AND($D323="Serviço",AI$12&lt;&gt;0,$H323&gt;0,OR(AUTOEVENTO&lt;&gt;"manual",$M323&lt;&gt;1)),
IF(Import.TipoArredondamento&lt;&gt;"TransfereGOV",
ROUND(OFFSET($P323,0,AI$13),15-13*ORÇAMENTO!$AF$7)/$H323*OFFSET(ORÇAMENTO!$X$15,ROW(AI323)-ROW(AI$15),0),
ROUND(ROUND(OFFSET($P323,0,AI$13),15-13*ORÇAMENTO!$AF$7)*OFFSET(ORÇAMENTO!$W$15,ROW(AI323)-ROW(AI$15),0),15-13*ORÇAMENTO!$AF$11)),0)</f>
        <v>0</v>
      </c>
      <c r="AJ323" s="545">
        <f ca="1">IF(AND($D323="Serviço",AJ$12&lt;&gt;0,$H323&gt;0,OR(AUTOEVENTO&lt;&gt;"manual",$M323&lt;&gt;1)),
IF(Import.TipoArredondamento&lt;&gt;"TransfereGOV",
ROUND(OFFSET($P323,0,AJ$13),15-13*ORÇAMENTO!$AF$7)/$H323*OFFSET(ORÇAMENTO!$X$15,ROW(AJ323)-ROW(AJ$15),0),
ROUND(ROUND(OFFSET($P323,0,AJ$13),15-13*ORÇAMENTO!$AF$7)*OFFSET(ORÇAMENTO!$W$15,ROW(AJ323)-ROW(AJ$15),0),15-13*ORÇAMENTO!$AF$11)),0)</f>
        <v>0</v>
      </c>
      <c r="AK323" s="546">
        <f ca="1">IF(AND($D323="Serviço",AK$12&lt;&gt;0,$H323&gt;0,OR(AUTOEVENTO&lt;&gt;"manual",$M323&lt;&gt;1)),
IF(Import.TipoArredondamento&lt;&gt;"TransfereGOV",
ROUND(OFFSET($P323,0,AK$13),15-13*ORÇAMENTO!$AF$7)/$H323*OFFSET(ORÇAMENTO!$X$15,ROW(AK323)-ROW(AK$15),0),
ROUND(ROUND(OFFSET($P323,0,AK$13),15-13*ORÇAMENTO!$AF$7)*OFFSET(ORÇAMENTO!$W$15,ROW(AK323)-ROW(AK$15),0),15-13*ORÇAMENTO!$AF$11)),0)</f>
        <v>0</v>
      </c>
      <c r="AM323" s="181">
        <f ca="1">IF($D323&lt;&gt;"Serviço",0,IF(AND(AUTOEVENTO="Manual",$M323=1),0,IF(OFFSET(CRONOPLE!$F$14,$M323,AM$13)="",10^12,OFFSET(CRONOPLE!$F$14,$M323,AM$13))))</f>
        <v>1000000000000</v>
      </c>
      <c r="AN323" s="181">
        <f ca="1">IF($D323&lt;&gt;"Serviço",0,IF(AND(AUTOEVENTO="Manual",$M323=1),0,IF(OFFSET(CRONOPLE!$F$14,$M323,AN$13)="",10^12,OFFSET(CRONOPLE!$F$14,$M323,AN$13))))</f>
        <v>1000000000000</v>
      </c>
      <c r="AO323" s="181">
        <f ca="1">IF($D323&lt;&gt;"Serviço",0,IF(AND(AUTOEVENTO="Manual",$M323=1),0,IF(OFFSET(CRONOPLE!$F$14,$M323,AO$13)="",10^12,OFFSET(CRONOPLE!$F$14,$M323,AO$13))))</f>
        <v>1000000000000</v>
      </c>
      <c r="AP323" s="181">
        <f ca="1">IF($D323&lt;&gt;"Serviço",0,IF(AND(AUTOEVENTO="Manual",$M323=1),0,IF(OFFSET(CRONOPLE!$F$14,$M323,AP$13)="",10^12,OFFSET(CRONOPLE!$F$14,$M323,AP$13))))</f>
        <v>1000000000000</v>
      </c>
      <c r="AQ323" s="181">
        <f ca="1">IF($D323&lt;&gt;"Serviço",0,IF(AND(AUTOEVENTO="Manual",$M323=1),0,IF(OFFSET(CRONOPLE!$F$14,$M323,AQ$13)="",10^12,OFFSET(CRONOPLE!$F$14,$M323,AQ$13))))</f>
        <v>1000000000000</v>
      </c>
      <c r="AR323" s="181">
        <f ca="1">IF($D323&lt;&gt;"Serviço",0,IF(AND(AUTOEVENTO="Manual",$M323=1),0,IF(OFFSET(CRONOPLE!$F$14,$M323,AR$13)="",10^12,OFFSET(CRONOPLE!$F$14,$M323,AR$13))))</f>
        <v>1000000000000</v>
      </c>
      <c r="AS323" s="181">
        <f ca="1">IF($D323&lt;&gt;"Serviço",0,IF(AND(AUTOEVENTO="Manual",$M323=1),0,IF(OFFSET(CRONOPLE!$F$14,$M323,AS$13)="",10^12,OFFSET(CRONOPLE!$F$14,$M323,AS$13))))</f>
        <v>1000000000000</v>
      </c>
      <c r="AT323" s="181">
        <f ca="1">IF($D323&lt;&gt;"Serviço",0,IF(AND(AUTOEVENTO="Manual",$M323=1),0,IF(OFFSET(CRONOPLE!$F$14,$M323,AT$13)="",10^12,OFFSET(CRONOPLE!$F$14,$M323,AT$13))))</f>
        <v>1000000000000</v>
      </c>
      <c r="AU323" s="181">
        <f ca="1">IF($D323&lt;&gt;"Serviço",0,IF(AND(AUTOEVENTO="Manual",$M323=1),0,IF(OFFSET(CRONOPLE!$F$14,$M323,AU$13)="",10^12,OFFSET(CRONOPLE!$F$14,$M323,AU$13))))</f>
        <v>1000000000000</v>
      </c>
      <c r="AV323" s="181">
        <f ca="1">IF($D323&lt;&gt;"Serviço",0,IF(AND(AUTOEVENTO="Manual",$M323=1),0,IF(OFFSET(CRONOPLE!$F$14,$M323,AV$13)="",10^12,OFFSET(CRONOPLE!$F$14,$M323,AV$13))))</f>
        <v>1000000000000</v>
      </c>
      <c r="AX323" s="182">
        <f ca="1">IF($D323&lt;&gt;"Serviço",0,IF(OR(AND(AUTOEVENTO="Manual",$M323=1),$M323&gt;(ROW(PLE.lastrow)-ROW(PLE.firstrow))),0,IF(OFFSET(PLE!$G$14,$M323,AX$13)="",10^12,OFFSET(PLE!$G$14,$M323,AX$13))))</f>
        <v>1000000000000</v>
      </c>
      <c r="AY323" s="182">
        <f ca="1">IF($D323&lt;&gt;"Serviço",0,IF(OR(AND(AUTOEVENTO="Manual",$M323=1),$M323&gt;(ROW(PLE.lastrow)-ROW(PLE.firstrow))),0,IF(OFFSET(PLE!$G$14,$M323,AY$13)="",10^12,OFFSET(PLE!$G$14,$M323,AY$13))))</f>
        <v>1000000000000</v>
      </c>
      <c r="AZ323" s="182">
        <f ca="1">IF($D323&lt;&gt;"Serviço",0,IF(OR(AND(AUTOEVENTO="Manual",$M323=1),$M323&gt;(ROW(PLE.lastrow)-ROW(PLE.firstrow))),0,IF(OFFSET(PLE!$G$14,$M323,AZ$13)="",10^12,OFFSET(PLE!$G$14,$M323,AZ$13))))</f>
        <v>1000000000000</v>
      </c>
      <c r="BA323" s="182">
        <f ca="1">IF($D323&lt;&gt;"Serviço",0,IF(OR(AND(AUTOEVENTO="Manual",$M323=1),$M323&gt;(ROW(PLE.lastrow)-ROW(PLE.firstrow))),0,IF(OFFSET(PLE!$G$14,$M323,BA$13)="",10^12,OFFSET(PLE!$G$14,$M323,BA$13))))</f>
        <v>1000000000000</v>
      </c>
      <c r="BB323" s="182">
        <f ca="1">IF($D323&lt;&gt;"Serviço",0,IF(OR(AND(AUTOEVENTO="Manual",$M323=1),$M323&gt;(ROW(PLE.lastrow)-ROW(PLE.firstrow))),0,IF(OFFSET(PLE!$G$14,$M323,BB$13)="",10^12,OFFSET(PLE!$G$14,$M323,BB$13))))</f>
        <v>1000000000000</v>
      </c>
      <c r="BC323" s="182">
        <f ca="1">IF($D323&lt;&gt;"Serviço",0,IF(OR(AND(AUTOEVENTO="Manual",$M323=1),$M323&gt;(ROW(PLE.lastrow)-ROW(PLE.firstrow))),0,IF(OFFSET(PLE!$G$14,$M323,BC$13)="",10^12,OFFSET(PLE!$G$14,$M323,BC$13))))</f>
        <v>1000000000000</v>
      </c>
      <c r="BD323" s="182">
        <f ca="1">IF($D323&lt;&gt;"Serviço",0,IF(OR(AND(AUTOEVENTO="Manual",$M323=1),$M323&gt;(ROW(PLE.lastrow)-ROW(PLE.firstrow))),0,IF(OFFSET(PLE!$G$14,$M323,BD$13)="",10^12,OFFSET(PLE!$G$14,$M323,BD$13))))</f>
        <v>1000000000000</v>
      </c>
      <c r="BE323" s="182">
        <f ca="1">IF($D323&lt;&gt;"Serviço",0,IF(OR(AND(AUTOEVENTO="Manual",$M323=1),$M323&gt;(ROW(PLE.lastrow)-ROW(PLE.firstrow))),0,IF(OFFSET(PLE!$G$14,$M323,BE$13)="",10^12,OFFSET(PLE!$G$14,$M323,BE$13))))</f>
        <v>1000000000000</v>
      </c>
      <c r="BF323" s="182">
        <f ca="1">IF($D323&lt;&gt;"Serviço",0,IF(OR(AND(AUTOEVENTO="Manual",$M323=1),$M323&gt;(ROW(PLE.lastrow)-ROW(PLE.firstrow))),0,IF(OFFSET(PLE!$G$14,$M323,BF$13)="",10^12,OFFSET(PLE!$G$14,$M323,BF$13))))</f>
        <v>1000000000000</v>
      </c>
      <c r="BG323" s="182">
        <f ca="1">IF($D323&lt;&gt;"Serviço",0,IF(OR(AND(AUTOEVENTO="Manual",$M323=1),$M323&gt;(ROW(PLE.lastrow)-ROW(PLE.firstrow))),0,IF(OFFSET(PLE!$G$14,$M323,BG$13)="",10^12,OFFSET(PLE!$G$14,$M323,BG$13))))</f>
        <v>1000000000000</v>
      </c>
    </row>
    <row r="324" spans="1:59" ht="38.25" x14ac:dyDescent="0.2">
      <c r="A324" s="7" t="str">
        <f t="shared" ca="1" si="11"/>
        <v>302</v>
      </c>
      <c r="B324" s="7" t="str">
        <f ca="1">OFFSET(ORÇAMENTO!C$15,ROW(B324)-ROW(B$15),0)</f>
        <v>S</v>
      </c>
      <c r="C324" s="7" t="str">
        <f ca="1">OFFSET(ORÇAMENTO!L$15,ROW(C324)-ROW(C$15),0)</f>
        <v/>
      </c>
      <c r="D324" s="118" t="str">
        <f ca="1">OFFSET(ORÇAMENTO!N$15,ROW(D324)-ROW(D$15),0)</f>
        <v>Serviço</v>
      </c>
      <c r="E324" s="119" t="str">
        <f ca="1">OFFSET(ORÇAMENTO!O$15,ROW(E324)-ROW(E$15),0)</f>
        <v>-</v>
      </c>
      <c r="F324" s="172" t="str">
        <f ca="1">OFFSET(ORÇAMENTO!R$15,ROW(F324)-ROW(F$15),0)</f>
        <v>(abra o arquivo 'Referência 02-2025.xlsm)</v>
      </c>
      <c r="G324" s="173" t="str">
        <f ca="1">IF($D324&lt;&gt;"Serviço","",OFFSET(ORÇAMENTO!S$15,ROW(G324)-ROW(G$15),0))</f>
        <v>-</v>
      </c>
      <c r="H324" s="124">
        <f ca="1">IF($D324&lt;&gt;"Serviço",0,IF(ACOMPANHAMENTO="BM",ROUND(OFFSET(ORÇAMENTO!AJ$15,ROW(H324)-ROW(H$15),0),15-13*ORÇAMENTO!$AF$7),SUMPRODUCT(($Q$12:$AA$12&lt;&gt;"")*ROUND($Q324:$AA324,15-13*ORÇAMENTO!$AF$7))))</f>
        <v>6</v>
      </c>
      <c r="I324" s="561" t="s">
        <v>890</v>
      </c>
      <c r="K324" s="174"/>
      <c r="L324" s="175" t="s">
        <v>255</v>
      </c>
      <c r="M324" s="176">
        <f ca="1">IF($D324&lt;&gt;"Serviço","",IF(AUTOEVENTO="manual",$A324,IF(ISERROR(MATCH($A324,$A$15:OFFSET($A324,-1,0),0)),MAX($M$15:OFFSET(M324,-1,0))+1,INDEX($M$15:OFFSET(M324,-1,0),MATCH($A324,$A$15:OFFSET($A324,-1,0),0)))))</f>
        <v>14</v>
      </c>
      <c r="N324" s="177" t="str">
        <f ca="1">IF($D324&lt;&gt;"Serviço","",IF(AUTOEVENTO="Manual",IF($A324=0,"&lt;-- defina o número do agrupador",OFFSET(EVENTOS!$D$14,$A324,0)),OFFSET($F$15,$A324,0)))</f>
        <v>DRENAGEM DE ÁGUAS PLUVIAIS</v>
      </c>
      <c r="O324" s="178"/>
      <c r="Q324" s="178"/>
      <c r="R324" s="179"/>
      <c r="S324" s="179"/>
      <c r="T324" s="179"/>
      <c r="U324" s="179"/>
      <c r="V324" s="179"/>
      <c r="W324" s="179"/>
      <c r="X324" s="179"/>
      <c r="Y324" s="179"/>
      <c r="Z324" s="180"/>
      <c r="AB324" s="544">
        <f ca="1">IF(AND($D324="Serviço",AB$12&lt;&gt;0,$H324&gt;0,OR(AUTOEVENTO&lt;&gt;"manual",$M324&lt;&gt;1)),
IF(Import.TipoArredondamento&lt;&gt;"TransfereGOV",
ROUND(OFFSET($P324,0,AB$13),15-13*ORÇAMENTO!$AF$7)/$H324*OFFSET(ORÇAMENTO!$X$15,ROW(AB324)-ROW(AB$15),0),
ROUND(ROUND(OFFSET($P324,0,AB$13),15-13*ORÇAMENTO!$AF$7)*OFFSET(ORÇAMENTO!$W$15,ROW(AB324)-ROW(AB$15),0),15-13*ORÇAMENTO!$AF$11)),0)</f>
        <v>0</v>
      </c>
      <c r="AC324" s="545">
        <f ca="1">IF(AND($D324="Serviço",AC$12&lt;&gt;0,$H324&gt;0,OR(AUTOEVENTO&lt;&gt;"manual",$M324&lt;&gt;1)),
IF(Import.TipoArredondamento&lt;&gt;"TransfereGOV",
ROUND(OFFSET($P324,0,AC$13),15-13*ORÇAMENTO!$AF$7)/$H324*OFFSET(ORÇAMENTO!$X$15,ROW(AC324)-ROW(AC$15),0),
ROUND(ROUND(OFFSET($P324,0,AC$13),15-13*ORÇAMENTO!$AF$7)*OFFSET(ORÇAMENTO!$W$15,ROW(AC324)-ROW(AC$15),0),15-13*ORÇAMENTO!$AF$11)),0)</f>
        <v>0</v>
      </c>
      <c r="AD324" s="545">
        <f ca="1">IF(AND($D324="Serviço",AD$12&lt;&gt;0,$H324&gt;0,OR(AUTOEVENTO&lt;&gt;"manual",$M324&lt;&gt;1)),
IF(Import.TipoArredondamento&lt;&gt;"TransfereGOV",
ROUND(OFFSET($P324,0,AD$13),15-13*ORÇAMENTO!$AF$7)/$H324*OFFSET(ORÇAMENTO!$X$15,ROW(AD324)-ROW(AD$15),0),
ROUND(ROUND(OFFSET($P324,0,AD$13),15-13*ORÇAMENTO!$AF$7)*OFFSET(ORÇAMENTO!$W$15,ROW(AD324)-ROW(AD$15),0),15-13*ORÇAMENTO!$AF$11)),0)</f>
        <v>0</v>
      </c>
      <c r="AE324" s="545">
        <f ca="1">IF(AND($D324="Serviço",AE$12&lt;&gt;0,$H324&gt;0,OR(AUTOEVENTO&lt;&gt;"manual",$M324&lt;&gt;1)),
IF(Import.TipoArredondamento&lt;&gt;"TransfereGOV",
ROUND(OFFSET($P324,0,AE$13),15-13*ORÇAMENTO!$AF$7)/$H324*OFFSET(ORÇAMENTO!$X$15,ROW(AE324)-ROW(AE$15),0),
ROUND(ROUND(OFFSET($P324,0,AE$13),15-13*ORÇAMENTO!$AF$7)*OFFSET(ORÇAMENTO!$W$15,ROW(AE324)-ROW(AE$15),0),15-13*ORÇAMENTO!$AF$11)),0)</f>
        <v>0</v>
      </c>
      <c r="AF324" s="545">
        <f ca="1">IF(AND($D324="Serviço",AF$12&lt;&gt;0,$H324&gt;0,OR(AUTOEVENTO&lt;&gt;"manual",$M324&lt;&gt;1)),
IF(Import.TipoArredondamento&lt;&gt;"TransfereGOV",
ROUND(OFFSET($P324,0,AF$13),15-13*ORÇAMENTO!$AF$7)/$H324*OFFSET(ORÇAMENTO!$X$15,ROW(AF324)-ROW(AF$15),0),
ROUND(ROUND(OFFSET($P324,0,AF$13),15-13*ORÇAMENTO!$AF$7)*OFFSET(ORÇAMENTO!$W$15,ROW(AF324)-ROW(AF$15),0),15-13*ORÇAMENTO!$AF$11)),0)</f>
        <v>0</v>
      </c>
      <c r="AG324" s="545">
        <f ca="1">IF(AND($D324="Serviço",AG$12&lt;&gt;0,$H324&gt;0,OR(AUTOEVENTO&lt;&gt;"manual",$M324&lt;&gt;1)),
IF(Import.TipoArredondamento&lt;&gt;"TransfereGOV",
ROUND(OFFSET($P324,0,AG$13),15-13*ORÇAMENTO!$AF$7)/$H324*OFFSET(ORÇAMENTO!$X$15,ROW(AG324)-ROW(AG$15),0),
ROUND(ROUND(OFFSET($P324,0,AG$13),15-13*ORÇAMENTO!$AF$7)*OFFSET(ORÇAMENTO!$W$15,ROW(AG324)-ROW(AG$15),0),15-13*ORÇAMENTO!$AF$11)),0)</f>
        <v>0</v>
      </c>
      <c r="AH324" s="545">
        <f ca="1">IF(AND($D324="Serviço",AH$12&lt;&gt;0,$H324&gt;0,OR(AUTOEVENTO&lt;&gt;"manual",$M324&lt;&gt;1)),
IF(Import.TipoArredondamento&lt;&gt;"TransfereGOV",
ROUND(OFFSET($P324,0,AH$13),15-13*ORÇAMENTO!$AF$7)/$H324*OFFSET(ORÇAMENTO!$X$15,ROW(AH324)-ROW(AH$15),0),
ROUND(ROUND(OFFSET($P324,0,AH$13),15-13*ORÇAMENTO!$AF$7)*OFFSET(ORÇAMENTO!$W$15,ROW(AH324)-ROW(AH$15),0),15-13*ORÇAMENTO!$AF$11)),0)</f>
        <v>0</v>
      </c>
      <c r="AI324" s="545">
        <f ca="1">IF(AND($D324="Serviço",AI$12&lt;&gt;0,$H324&gt;0,OR(AUTOEVENTO&lt;&gt;"manual",$M324&lt;&gt;1)),
IF(Import.TipoArredondamento&lt;&gt;"TransfereGOV",
ROUND(OFFSET($P324,0,AI$13),15-13*ORÇAMENTO!$AF$7)/$H324*OFFSET(ORÇAMENTO!$X$15,ROW(AI324)-ROW(AI$15),0),
ROUND(ROUND(OFFSET($P324,0,AI$13),15-13*ORÇAMENTO!$AF$7)*OFFSET(ORÇAMENTO!$W$15,ROW(AI324)-ROW(AI$15),0),15-13*ORÇAMENTO!$AF$11)),0)</f>
        <v>0</v>
      </c>
      <c r="AJ324" s="545">
        <f ca="1">IF(AND($D324="Serviço",AJ$12&lt;&gt;0,$H324&gt;0,OR(AUTOEVENTO&lt;&gt;"manual",$M324&lt;&gt;1)),
IF(Import.TipoArredondamento&lt;&gt;"TransfereGOV",
ROUND(OFFSET($P324,0,AJ$13),15-13*ORÇAMENTO!$AF$7)/$H324*OFFSET(ORÇAMENTO!$X$15,ROW(AJ324)-ROW(AJ$15),0),
ROUND(ROUND(OFFSET($P324,0,AJ$13),15-13*ORÇAMENTO!$AF$7)*OFFSET(ORÇAMENTO!$W$15,ROW(AJ324)-ROW(AJ$15),0),15-13*ORÇAMENTO!$AF$11)),0)</f>
        <v>0</v>
      </c>
      <c r="AK324" s="546">
        <f ca="1">IF(AND($D324="Serviço",AK$12&lt;&gt;0,$H324&gt;0,OR(AUTOEVENTO&lt;&gt;"manual",$M324&lt;&gt;1)),
IF(Import.TipoArredondamento&lt;&gt;"TransfereGOV",
ROUND(OFFSET($P324,0,AK$13),15-13*ORÇAMENTO!$AF$7)/$H324*OFFSET(ORÇAMENTO!$X$15,ROW(AK324)-ROW(AK$15),0),
ROUND(ROUND(OFFSET($P324,0,AK$13),15-13*ORÇAMENTO!$AF$7)*OFFSET(ORÇAMENTO!$W$15,ROW(AK324)-ROW(AK$15),0),15-13*ORÇAMENTO!$AF$11)),0)</f>
        <v>0</v>
      </c>
      <c r="AM324" s="181">
        <f ca="1">IF($D324&lt;&gt;"Serviço",0,IF(AND(AUTOEVENTO="Manual",$M324=1),0,IF(OFFSET(CRONOPLE!$F$14,$M324,AM$13)="",10^12,OFFSET(CRONOPLE!$F$14,$M324,AM$13))))</f>
        <v>1000000000000</v>
      </c>
      <c r="AN324" s="181">
        <f ca="1">IF($D324&lt;&gt;"Serviço",0,IF(AND(AUTOEVENTO="Manual",$M324=1),0,IF(OFFSET(CRONOPLE!$F$14,$M324,AN$13)="",10^12,OFFSET(CRONOPLE!$F$14,$M324,AN$13))))</f>
        <v>1000000000000</v>
      </c>
      <c r="AO324" s="181">
        <f ca="1">IF($D324&lt;&gt;"Serviço",0,IF(AND(AUTOEVENTO="Manual",$M324=1),0,IF(OFFSET(CRONOPLE!$F$14,$M324,AO$13)="",10^12,OFFSET(CRONOPLE!$F$14,$M324,AO$13))))</f>
        <v>1000000000000</v>
      </c>
      <c r="AP324" s="181">
        <f ca="1">IF($D324&lt;&gt;"Serviço",0,IF(AND(AUTOEVENTO="Manual",$M324=1),0,IF(OFFSET(CRONOPLE!$F$14,$M324,AP$13)="",10^12,OFFSET(CRONOPLE!$F$14,$M324,AP$13))))</f>
        <v>1000000000000</v>
      </c>
      <c r="AQ324" s="181">
        <f ca="1">IF($D324&lt;&gt;"Serviço",0,IF(AND(AUTOEVENTO="Manual",$M324=1),0,IF(OFFSET(CRONOPLE!$F$14,$M324,AQ$13)="",10^12,OFFSET(CRONOPLE!$F$14,$M324,AQ$13))))</f>
        <v>1000000000000</v>
      </c>
      <c r="AR324" s="181">
        <f ca="1">IF($D324&lt;&gt;"Serviço",0,IF(AND(AUTOEVENTO="Manual",$M324=1),0,IF(OFFSET(CRONOPLE!$F$14,$M324,AR$13)="",10^12,OFFSET(CRONOPLE!$F$14,$M324,AR$13))))</f>
        <v>1000000000000</v>
      </c>
      <c r="AS324" s="181">
        <f ca="1">IF($D324&lt;&gt;"Serviço",0,IF(AND(AUTOEVENTO="Manual",$M324=1),0,IF(OFFSET(CRONOPLE!$F$14,$M324,AS$13)="",10^12,OFFSET(CRONOPLE!$F$14,$M324,AS$13))))</f>
        <v>1000000000000</v>
      </c>
      <c r="AT324" s="181">
        <f ca="1">IF($D324&lt;&gt;"Serviço",0,IF(AND(AUTOEVENTO="Manual",$M324=1),0,IF(OFFSET(CRONOPLE!$F$14,$M324,AT$13)="",10^12,OFFSET(CRONOPLE!$F$14,$M324,AT$13))))</f>
        <v>1000000000000</v>
      </c>
      <c r="AU324" s="181">
        <f ca="1">IF($D324&lt;&gt;"Serviço",0,IF(AND(AUTOEVENTO="Manual",$M324=1),0,IF(OFFSET(CRONOPLE!$F$14,$M324,AU$13)="",10^12,OFFSET(CRONOPLE!$F$14,$M324,AU$13))))</f>
        <v>1000000000000</v>
      </c>
      <c r="AV324" s="181">
        <f ca="1">IF($D324&lt;&gt;"Serviço",0,IF(AND(AUTOEVENTO="Manual",$M324=1),0,IF(OFFSET(CRONOPLE!$F$14,$M324,AV$13)="",10^12,OFFSET(CRONOPLE!$F$14,$M324,AV$13))))</f>
        <v>1000000000000</v>
      </c>
      <c r="AX324" s="182">
        <f ca="1">IF($D324&lt;&gt;"Serviço",0,IF(OR(AND(AUTOEVENTO="Manual",$M324=1),$M324&gt;(ROW(PLE.lastrow)-ROW(PLE.firstrow))),0,IF(OFFSET(PLE!$G$14,$M324,AX$13)="",10^12,OFFSET(PLE!$G$14,$M324,AX$13))))</f>
        <v>1000000000000</v>
      </c>
      <c r="AY324" s="182">
        <f ca="1">IF($D324&lt;&gt;"Serviço",0,IF(OR(AND(AUTOEVENTO="Manual",$M324=1),$M324&gt;(ROW(PLE.lastrow)-ROW(PLE.firstrow))),0,IF(OFFSET(PLE!$G$14,$M324,AY$13)="",10^12,OFFSET(PLE!$G$14,$M324,AY$13))))</f>
        <v>1000000000000</v>
      </c>
      <c r="AZ324" s="182">
        <f ca="1">IF($D324&lt;&gt;"Serviço",0,IF(OR(AND(AUTOEVENTO="Manual",$M324=1),$M324&gt;(ROW(PLE.lastrow)-ROW(PLE.firstrow))),0,IF(OFFSET(PLE!$G$14,$M324,AZ$13)="",10^12,OFFSET(PLE!$G$14,$M324,AZ$13))))</f>
        <v>1000000000000</v>
      </c>
      <c r="BA324" s="182">
        <f ca="1">IF($D324&lt;&gt;"Serviço",0,IF(OR(AND(AUTOEVENTO="Manual",$M324=1),$M324&gt;(ROW(PLE.lastrow)-ROW(PLE.firstrow))),0,IF(OFFSET(PLE!$G$14,$M324,BA$13)="",10^12,OFFSET(PLE!$G$14,$M324,BA$13))))</f>
        <v>1000000000000</v>
      </c>
      <c r="BB324" s="182">
        <f ca="1">IF($D324&lt;&gt;"Serviço",0,IF(OR(AND(AUTOEVENTO="Manual",$M324=1),$M324&gt;(ROW(PLE.lastrow)-ROW(PLE.firstrow))),0,IF(OFFSET(PLE!$G$14,$M324,BB$13)="",10^12,OFFSET(PLE!$G$14,$M324,BB$13))))</f>
        <v>1000000000000</v>
      </c>
      <c r="BC324" s="182">
        <f ca="1">IF($D324&lt;&gt;"Serviço",0,IF(OR(AND(AUTOEVENTO="Manual",$M324=1),$M324&gt;(ROW(PLE.lastrow)-ROW(PLE.firstrow))),0,IF(OFFSET(PLE!$G$14,$M324,BC$13)="",10^12,OFFSET(PLE!$G$14,$M324,BC$13))))</f>
        <v>1000000000000</v>
      </c>
      <c r="BD324" s="182">
        <f ca="1">IF($D324&lt;&gt;"Serviço",0,IF(OR(AND(AUTOEVENTO="Manual",$M324=1),$M324&gt;(ROW(PLE.lastrow)-ROW(PLE.firstrow))),0,IF(OFFSET(PLE!$G$14,$M324,BD$13)="",10^12,OFFSET(PLE!$G$14,$M324,BD$13))))</f>
        <v>1000000000000</v>
      </c>
      <c r="BE324" s="182">
        <f ca="1">IF($D324&lt;&gt;"Serviço",0,IF(OR(AND(AUTOEVENTO="Manual",$M324=1),$M324&gt;(ROW(PLE.lastrow)-ROW(PLE.firstrow))),0,IF(OFFSET(PLE!$G$14,$M324,BE$13)="",10^12,OFFSET(PLE!$G$14,$M324,BE$13))))</f>
        <v>1000000000000</v>
      </c>
      <c r="BF324" s="182">
        <f ca="1">IF($D324&lt;&gt;"Serviço",0,IF(OR(AND(AUTOEVENTO="Manual",$M324=1),$M324&gt;(ROW(PLE.lastrow)-ROW(PLE.firstrow))),0,IF(OFFSET(PLE!$G$14,$M324,BF$13)="",10^12,OFFSET(PLE!$G$14,$M324,BF$13))))</f>
        <v>1000000000000</v>
      </c>
      <c r="BG324" s="182">
        <f ca="1">IF($D324&lt;&gt;"Serviço",0,IF(OR(AND(AUTOEVENTO="Manual",$M324=1),$M324&gt;(ROW(PLE.lastrow)-ROW(PLE.firstrow))),0,IF(OFFSET(PLE!$G$14,$M324,BG$13)="",10^12,OFFSET(PLE!$G$14,$M324,BG$13))))</f>
        <v>1000000000000</v>
      </c>
    </row>
    <row r="325" spans="1:59" ht="38.25" x14ac:dyDescent="0.2">
      <c r="A325" s="7" t="str">
        <f t="shared" ca="1" si="11"/>
        <v>302</v>
      </c>
      <c r="B325" s="7" t="str">
        <f ca="1">OFFSET(ORÇAMENTO!C$15,ROW(B325)-ROW(B$15),0)</f>
        <v>S</v>
      </c>
      <c r="C325" s="7" t="str">
        <f ca="1">OFFSET(ORÇAMENTO!L$15,ROW(C325)-ROW(C$15),0)</f>
        <v/>
      </c>
      <c r="D325" s="118" t="str">
        <f ca="1">OFFSET(ORÇAMENTO!N$15,ROW(D325)-ROW(D$15),0)</f>
        <v>Serviço</v>
      </c>
      <c r="E325" s="119" t="str">
        <f ca="1">OFFSET(ORÇAMENTO!O$15,ROW(E325)-ROW(E$15),0)</f>
        <v>-</v>
      </c>
      <c r="F325" s="172" t="str">
        <f ca="1">OFFSET(ORÇAMENTO!R$15,ROW(F325)-ROW(F$15),0)</f>
        <v>(abra o arquivo 'Referência 02-2025.xlsm)</v>
      </c>
      <c r="G325" s="173" t="str">
        <f ca="1">IF($D325&lt;&gt;"Serviço","",OFFSET(ORÇAMENTO!S$15,ROW(G325)-ROW(G$15),0))</f>
        <v>-</v>
      </c>
      <c r="H325" s="124">
        <f ca="1">IF($D325&lt;&gt;"Serviço",0,IF(ACOMPANHAMENTO="BM",ROUND(OFFSET(ORÇAMENTO!AJ$15,ROW(H325)-ROW(H$15),0),15-13*ORÇAMENTO!$AF$7),SUMPRODUCT(($Q$12:$AA$12&lt;&gt;"")*ROUND($Q325:$AA325,15-13*ORÇAMENTO!$AF$7))))</f>
        <v>6</v>
      </c>
      <c r="I325" s="561" t="s">
        <v>890</v>
      </c>
      <c r="K325" s="174"/>
      <c r="L325" s="175" t="s">
        <v>255</v>
      </c>
      <c r="M325" s="176">
        <f ca="1">IF($D325&lt;&gt;"Serviço","",IF(AUTOEVENTO="manual",$A325,IF(ISERROR(MATCH($A325,$A$15:OFFSET($A325,-1,0),0)),MAX($M$15:OFFSET(M325,-1,0))+1,INDEX($M$15:OFFSET(M325,-1,0),MATCH($A325,$A$15:OFFSET($A325,-1,0),0)))))</f>
        <v>14</v>
      </c>
      <c r="N325" s="177" t="str">
        <f ca="1">IF($D325&lt;&gt;"Serviço","",IF(AUTOEVENTO="Manual",IF($A325=0,"&lt;-- defina o número do agrupador",OFFSET(EVENTOS!$D$14,$A325,0)),OFFSET($F$15,$A325,0)))</f>
        <v>DRENAGEM DE ÁGUAS PLUVIAIS</v>
      </c>
      <c r="O325" s="178"/>
      <c r="Q325" s="178"/>
      <c r="R325" s="179"/>
      <c r="S325" s="179"/>
      <c r="T325" s="179"/>
      <c r="U325" s="179"/>
      <c r="V325" s="179"/>
      <c r="W325" s="179"/>
      <c r="X325" s="179"/>
      <c r="Y325" s="179"/>
      <c r="Z325" s="180"/>
      <c r="AB325" s="544">
        <f ca="1">IF(AND($D325="Serviço",AB$12&lt;&gt;0,$H325&gt;0,OR(AUTOEVENTO&lt;&gt;"manual",$M325&lt;&gt;1)),
IF(Import.TipoArredondamento&lt;&gt;"TransfereGOV",
ROUND(OFFSET($P325,0,AB$13),15-13*ORÇAMENTO!$AF$7)/$H325*OFFSET(ORÇAMENTO!$X$15,ROW(AB325)-ROW(AB$15),0),
ROUND(ROUND(OFFSET($P325,0,AB$13),15-13*ORÇAMENTO!$AF$7)*OFFSET(ORÇAMENTO!$W$15,ROW(AB325)-ROW(AB$15),0),15-13*ORÇAMENTO!$AF$11)),0)</f>
        <v>0</v>
      </c>
      <c r="AC325" s="545">
        <f ca="1">IF(AND($D325="Serviço",AC$12&lt;&gt;0,$H325&gt;0,OR(AUTOEVENTO&lt;&gt;"manual",$M325&lt;&gt;1)),
IF(Import.TipoArredondamento&lt;&gt;"TransfereGOV",
ROUND(OFFSET($P325,0,AC$13),15-13*ORÇAMENTO!$AF$7)/$H325*OFFSET(ORÇAMENTO!$X$15,ROW(AC325)-ROW(AC$15),0),
ROUND(ROUND(OFFSET($P325,0,AC$13),15-13*ORÇAMENTO!$AF$7)*OFFSET(ORÇAMENTO!$W$15,ROW(AC325)-ROW(AC$15),0),15-13*ORÇAMENTO!$AF$11)),0)</f>
        <v>0</v>
      </c>
      <c r="AD325" s="545">
        <f ca="1">IF(AND($D325="Serviço",AD$12&lt;&gt;0,$H325&gt;0,OR(AUTOEVENTO&lt;&gt;"manual",$M325&lt;&gt;1)),
IF(Import.TipoArredondamento&lt;&gt;"TransfereGOV",
ROUND(OFFSET($P325,0,AD$13),15-13*ORÇAMENTO!$AF$7)/$H325*OFFSET(ORÇAMENTO!$X$15,ROW(AD325)-ROW(AD$15),0),
ROUND(ROUND(OFFSET($P325,0,AD$13),15-13*ORÇAMENTO!$AF$7)*OFFSET(ORÇAMENTO!$W$15,ROW(AD325)-ROW(AD$15),0),15-13*ORÇAMENTO!$AF$11)),0)</f>
        <v>0</v>
      </c>
      <c r="AE325" s="545">
        <f ca="1">IF(AND($D325="Serviço",AE$12&lt;&gt;0,$H325&gt;0,OR(AUTOEVENTO&lt;&gt;"manual",$M325&lt;&gt;1)),
IF(Import.TipoArredondamento&lt;&gt;"TransfereGOV",
ROUND(OFFSET($P325,0,AE$13),15-13*ORÇAMENTO!$AF$7)/$H325*OFFSET(ORÇAMENTO!$X$15,ROW(AE325)-ROW(AE$15),0),
ROUND(ROUND(OFFSET($P325,0,AE$13),15-13*ORÇAMENTO!$AF$7)*OFFSET(ORÇAMENTO!$W$15,ROW(AE325)-ROW(AE$15),0),15-13*ORÇAMENTO!$AF$11)),0)</f>
        <v>0</v>
      </c>
      <c r="AF325" s="545">
        <f ca="1">IF(AND($D325="Serviço",AF$12&lt;&gt;0,$H325&gt;0,OR(AUTOEVENTO&lt;&gt;"manual",$M325&lt;&gt;1)),
IF(Import.TipoArredondamento&lt;&gt;"TransfereGOV",
ROUND(OFFSET($P325,0,AF$13),15-13*ORÇAMENTO!$AF$7)/$H325*OFFSET(ORÇAMENTO!$X$15,ROW(AF325)-ROW(AF$15),0),
ROUND(ROUND(OFFSET($P325,0,AF$13),15-13*ORÇAMENTO!$AF$7)*OFFSET(ORÇAMENTO!$W$15,ROW(AF325)-ROW(AF$15),0),15-13*ORÇAMENTO!$AF$11)),0)</f>
        <v>0</v>
      </c>
      <c r="AG325" s="545">
        <f ca="1">IF(AND($D325="Serviço",AG$12&lt;&gt;0,$H325&gt;0,OR(AUTOEVENTO&lt;&gt;"manual",$M325&lt;&gt;1)),
IF(Import.TipoArredondamento&lt;&gt;"TransfereGOV",
ROUND(OFFSET($P325,0,AG$13),15-13*ORÇAMENTO!$AF$7)/$H325*OFFSET(ORÇAMENTO!$X$15,ROW(AG325)-ROW(AG$15),0),
ROUND(ROUND(OFFSET($P325,0,AG$13),15-13*ORÇAMENTO!$AF$7)*OFFSET(ORÇAMENTO!$W$15,ROW(AG325)-ROW(AG$15),0),15-13*ORÇAMENTO!$AF$11)),0)</f>
        <v>0</v>
      </c>
      <c r="AH325" s="545">
        <f ca="1">IF(AND($D325="Serviço",AH$12&lt;&gt;0,$H325&gt;0,OR(AUTOEVENTO&lt;&gt;"manual",$M325&lt;&gt;1)),
IF(Import.TipoArredondamento&lt;&gt;"TransfereGOV",
ROUND(OFFSET($P325,0,AH$13),15-13*ORÇAMENTO!$AF$7)/$H325*OFFSET(ORÇAMENTO!$X$15,ROW(AH325)-ROW(AH$15),0),
ROUND(ROUND(OFFSET($P325,0,AH$13),15-13*ORÇAMENTO!$AF$7)*OFFSET(ORÇAMENTO!$W$15,ROW(AH325)-ROW(AH$15),0),15-13*ORÇAMENTO!$AF$11)),0)</f>
        <v>0</v>
      </c>
      <c r="AI325" s="545">
        <f ca="1">IF(AND($D325="Serviço",AI$12&lt;&gt;0,$H325&gt;0,OR(AUTOEVENTO&lt;&gt;"manual",$M325&lt;&gt;1)),
IF(Import.TipoArredondamento&lt;&gt;"TransfereGOV",
ROUND(OFFSET($P325,0,AI$13),15-13*ORÇAMENTO!$AF$7)/$H325*OFFSET(ORÇAMENTO!$X$15,ROW(AI325)-ROW(AI$15),0),
ROUND(ROUND(OFFSET($P325,0,AI$13),15-13*ORÇAMENTO!$AF$7)*OFFSET(ORÇAMENTO!$W$15,ROW(AI325)-ROW(AI$15),0),15-13*ORÇAMENTO!$AF$11)),0)</f>
        <v>0</v>
      </c>
      <c r="AJ325" s="545">
        <f ca="1">IF(AND($D325="Serviço",AJ$12&lt;&gt;0,$H325&gt;0,OR(AUTOEVENTO&lt;&gt;"manual",$M325&lt;&gt;1)),
IF(Import.TipoArredondamento&lt;&gt;"TransfereGOV",
ROUND(OFFSET($P325,0,AJ$13),15-13*ORÇAMENTO!$AF$7)/$H325*OFFSET(ORÇAMENTO!$X$15,ROW(AJ325)-ROW(AJ$15),0),
ROUND(ROUND(OFFSET($P325,0,AJ$13),15-13*ORÇAMENTO!$AF$7)*OFFSET(ORÇAMENTO!$W$15,ROW(AJ325)-ROW(AJ$15),0),15-13*ORÇAMENTO!$AF$11)),0)</f>
        <v>0</v>
      </c>
      <c r="AK325" s="546">
        <f ca="1">IF(AND($D325="Serviço",AK$12&lt;&gt;0,$H325&gt;0,OR(AUTOEVENTO&lt;&gt;"manual",$M325&lt;&gt;1)),
IF(Import.TipoArredondamento&lt;&gt;"TransfereGOV",
ROUND(OFFSET($P325,0,AK$13),15-13*ORÇAMENTO!$AF$7)/$H325*OFFSET(ORÇAMENTO!$X$15,ROW(AK325)-ROW(AK$15),0),
ROUND(ROUND(OFFSET($P325,0,AK$13),15-13*ORÇAMENTO!$AF$7)*OFFSET(ORÇAMENTO!$W$15,ROW(AK325)-ROW(AK$15),0),15-13*ORÇAMENTO!$AF$11)),0)</f>
        <v>0</v>
      </c>
      <c r="AM325" s="181">
        <f ca="1">IF($D325&lt;&gt;"Serviço",0,IF(AND(AUTOEVENTO="Manual",$M325=1),0,IF(OFFSET(CRONOPLE!$F$14,$M325,AM$13)="",10^12,OFFSET(CRONOPLE!$F$14,$M325,AM$13))))</f>
        <v>1000000000000</v>
      </c>
      <c r="AN325" s="181">
        <f ca="1">IF($D325&lt;&gt;"Serviço",0,IF(AND(AUTOEVENTO="Manual",$M325=1),0,IF(OFFSET(CRONOPLE!$F$14,$M325,AN$13)="",10^12,OFFSET(CRONOPLE!$F$14,$M325,AN$13))))</f>
        <v>1000000000000</v>
      </c>
      <c r="AO325" s="181">
        <f ca="1">IF($D325&lt;&gt;"Serviço",0,IF(AND(AUTOEVENTO="Manual",$M325=1),0,IF(OFFSET(CRONOPLE!$F$14,$M325,AO$13)="",10^12,OFFSET(CRONOPLE!$F$14,$M325,AO$13))))</f>
        <v>1000000000000</v>
      </c>
      <c r="AP325" s="181">
        <f ca="1">IF($D325&lt;&gt;"Serviço",0,IF(AND(AUTOEVENTO="Manual",$M325=1),0,IF(OFFSET(CRONOPLE!$F$14,$M325,AP$13)="",10^12,OFFSET(CRONOPLE!$F$14,$M325,AP$13))))</f>
        <v>1000000000000</v>
      </c>
      <c r="AQ325" s="181">
        <f ca="1">IF($D325&lt;&gt;"Serviço",0,IF(AND(AUTOEVENTO="Manual",$M325=1),0,IF(OFFSET(CRONOPLE!$F$14,$M325,AQ$13)="",10^12,OFFSET(CRONOPLE!$F$14,$M325,AQ$13))))</f>
        <v>1000000000000</v>
      </c>
      <c r="AR325" s="181">
        <f ca="1">IF($D325&lt;&gt;"Serviço",0,IF(AND(AUTOEVENTO="Manual",$M325=1),0,IF(OFFSET(CRONOPLE!$F$14,$M325,AR$13)="",10^12,OFFSET(CRONOPLE!$F$14,$M325,AR$13))))</f>
        <v>1000000000000</v>
      </c>
      <c r="AS325" s="181">
        <f ca="1">IF($D325&lt;&gt;"Serviço",0,IF(AND(AUTOEVENTO="Manual",$M325=1),0,IF(OFFSET(CRONOPLE!$F$14,$M325,AS$13)="",10^12,OFFSET(CRONOPLE!$F$14,$M325,AS$13))))</f>
        <v>1000000000000</v>
      </c>
      <c r="AT325" s="181">
        <f ca="1">IF($D325&lt;&gt;"Serviço",0,IF(AND(AUTOEVENTO="Manual",$M325=1),0,IF(OFFSET(CRONOPLE!$F$14,$M325,AT$13)="",10^12,OFFSET(CRONOPLE!$F$14,$M325,AT$13))))</f>
        <v>1000000000000</v>
      </c>
      <c r="AU325" s="181">
        <f ca="1">IF($D325&lt;&gt;"Serviço",0,IF(AND(AUTOEVENTO="Manual",$M325=1),0,IF(OFFSET(CRONOPLE!$F$14,$M325,AU$13)="",10^12,OFFSET(CRONOPLE!$F$14,$M325,AU$13))))</f>
        <v>1000000000000</v>
      </c>
      <c r="AV325" s="181">
        <f ca="1">IF($D325&lt;&gt;"Serviço",0,IF(AND(AUTOEVENTO="Manual",$M325=1),0,IF(OFFSET(CRONOPLE!$F$14,$M325,AV$13)="",10^12,OFFSET(CRONOPLE!$F$14,$M325,AV$13))))</f>
        <v>1000000000000</v>
      </c>
      <c r="AX325" s="182">
        <f ca="1">IF($D325&lt;&gt;"Serviço",0,IF(OR(AND(AUTOEVENTO="Manual",$M325=1),$M325&gt;(ROW(PLE.lastrow)-ROW(PLE.firstrow))),0,IF(OFFSET(PLE!$G$14,$M325,AX$13)="",10^12,OFFSET(PLE!$G$14,$M325,AX$13))))</f>
        <v>1000000000000</v>
      </c>
      <c r="AY325" s="182">
        <f ca="1">IF($D325&lt;&gt;"Serviço",0,IF(OR(AND(AUTOEVENTO="Manual",$M325=1),$M325&gt;(ROW(PLE.lastrow)-ROW(PLE.firstrow))),0,IF(OFFSET(PLE!$G$14,$M325,AY$13)="",10^12,OFFSET(PLE!$G$14,$M325,AY$13))))</f>
        <v>1000000000000</v>
      </c>
      <c r="AZ325" s="182">
        <f ca="1">IF($D325&lt;&gt;"Serviço",0,IF(OR(AND(AUTOEVENTO="Manual",$M325=1),$M325&gt;(ROW(PLE.lastrow)-ROW(PLE.firstrow))),0,IF(OFFSET(PLE!$G$14,$M325,AZ$13)="",10^12,OFFSET(PLE!$G$14,$M325,AZ$13))))</f>
        <v>1000000000000</v>
      </c>
      <c r="BA325" s="182">
        <f ca="1">IF($D325&lt;&gt;"Serviço",0,IF(OR(AND(AUTOEVENTO="Manual",$M325=1),$M325&gt;(ROW(PLE.lastrow)-ROW(PLE.firstrow))),0,IF(OFFSET(PLE!$G$14,$M325,BA$13)="",10^12,OFFSET(PLE!$G$14,$M325,BA$13))))</f>
        <v>1000000000000</v>
      </c>
      <c r="BB325" s="182">
        <f ca="1">IF($D325&lt;&gt;"Serviço",0,IF(OR(AND(AUTOEVENTO="Manual",$M325=1),$M325&gt;(ROW(PLE.lastrow)-ROW(PLE.firstrow))),0,IF(OFFSET(PLE!$G$14,$M325,BB$13)="",10^12,OFFSET(PLE!$G$14,$M325,BB$13))))</f>
        <v>1000000000000</v>
      </c>
      <c r="BC325" s="182">
        <f ca="1">IF($D325&lt;&gt;"Serviço",0,IF(OR(AND(AUTOEVENTO="Manual",$M325=1),$M325&gt;(ROW(PLE.lastrow)-ROW(PLE.firstrow))),0,IF(OFFSET(PLE!$G$14,$M325,BC$13)="",10^12,OFFSET(PLE!$G$14,$M325,BC$13))))</f>
        <v>1000000000000</v>
      </c>
      <c r="BD325" s="182">
        <f ca="1">IF($D325&lt;&gt;"Serviço",0,IF(OR(AND(AUTOEVENTO="Manual",$M325=1),$M325&gt;(ROW(PLE.lastrow)-ROW(PLE.firstrow))),0,IF(OFFSET(PLE!$G$14,$M325,BD$13)="",10^12,OFFSET(PLE!$G$14,$M325,BD$13))))</f>
        <v>1000000000000</v>
      </c>
      <c r="BE325" s="182">
        <f ca="1">IF($D325&lt;&gt;"Serviço",0,IF(OR(AND(AUTOEVENTO="Manual",$M325=1),$M325&gt;(ROW(PLE.lastrow)-ROW(PLE.firstrow))),0,IF(OFFSET(PLE!$G$14,$M325,BE$13)="",10^12,OFFSET(PLE!$G$14,$M325,BE$13))))</f>
        <v>1000000000000</v>
      </c>
      <c r="BF325" s="182">
        <f ca="1">IF($D325&lt;&gt;"Serviço",0,IF(OR(AND(AUTOEVENTO="Manual",$M325=1),$M325&gt;(ROW(PLE.lastrow)-ROW(PLE.firstrow))),0,IF(OFFSET(PLE!$G$14,$M325,BF$13)="",10^12,OFFSET(PLE!$G$14,$M325,BF$13))))</f>
        <v>1000000000000</v>
      </c>
      <c r="BG325" s="182">
        <f ca="1">IF($D325&lt;&gt;"Serviço",0,IF(OR(AND(AUTOEVENTO="Manual",$M325=1),$M325&gt;(ROW(PLE.lastrow)-ROW(PLE.firstrow))),0,IF(OFFSET(PLE!$G$14,$M325,BG$13)="",10^12,OFFSET(PLE!$G$14,$M325,BG$13))))</f>
        <v>1000000000000</v>
      </c>
    </row>
    <row r="326" spans="1:59" ht="38.25" x14ac:dyDescent="0.2">
      <c r="A326" s="7" t="str">
        <f t="shared" ca="1" si="11"/>
        <v>302</v>
      </c>
      <c r="B326" s="7" t="str">
        <f ca="1">OFFSET(ORÇAMENTO!C$15,ROW(B326)-ROW(B$15),0)</f>
        <v>S</v>
      </c>
      <c r="C326" s="7" t="str">
        <f ca="1">OFFSET(ORÇAMENTO!L$15,ROW(C326)-ROW(C$15),0)</f>
        <v/>
      </c>
      <c r="D326" s="118" t="str">
        <f ca="1">OFFSET(ORÇAMENTO!N$15,ROW(D326)-ROW(D$15),0)</f>
        <v>Serviço</v>
      </c>
      <c r="E326" s="119" t="str">
        <f ca="1">OFFSET(ORÇAMENTO!O$15,ROW(E326)-ROW(E$15),0)</f>
        <v>-</v>
      </c>
      <c r="F326" s="172" t="str">
        <f ca="1">OFFSET(ORÇAMENTO!R$15,ROW(F326)-ROW(F$15),0)</f>
        <v>CURVA 45 GRAUS, PVC, SERIE R, ÁGUA PLUVIAL, DN 200 MM, VINILFORT, JUNTA ELÁSTICA, FORNECIDO E INSTALADO EM RAMAL DE ENCAMINHAMENTO (UN)</v>
      </c>
      <c r="G326" s="173" t="str">
        <f ca="1">IF($D326&lt;&gt;"Serviço","",OFFSET(ORÇAMENTO!S$15,ROW(G326)-ROW(G$15),0))</f>
        <v>-</v>
      </c>
      <c r="H326" s="124">
        <f ca="1">IF($D326&lt;&gt;"Serviço",0,IF(ACOMPANHAMENTO="BM",ROUND(OFFSET(ORÇAMENTO!AJ$15,ROW(H326)-ROW(H$15),0),15-13*ORÇAMENTO!$AF$7),SUMPRODUCT(($Q$12:$AA$12&lt;&gt;"")*ROUND($Q326:$AA326,15-13*ORÇAMENTO!$AF$7))))</f>
        <v>2</v>
      </c>
      <c r="I326" s="561" t="s">
        <v>890</v>
      </c>
      <c r="K326" s="174"/>
      <c r="L326" s="175" t="s">
        <v>255</v>
      </c>
      <c r="M326" s="176">
        <f ca="1">IF($D326&lt;&gt;"Serviço","",IF(AUTOEVENTO="manual",$A326,IF(ISERROR(MATCH($A326,$A$15:OFFSET($A326,-1,0),0)),MAX($M$15:OFFSET(M326,-1,0))+1,INDEX($M$15:OFFSET(M326,-1,0),MATCH($A326,$A$15:OFFSET($A326,-1,0),0)))))</f>
        <v>14</v>
      </c>
      <c r="N326" s="177" t="str">
        <f ca="1">IF($D326&lt;&gt;"Serviço","",IF(AUTOEVENTO="Manual",IF($A326=0,"&lt;-- defina o número do agrupador",OFFSET(EVENTOS!$D$14,$A326,0)),OFFSET($F$15,$A326,0)))</f>
        <v>DRENAGEM DE ÁGUAS PLUVIAIS</v>
      </c>
      <c r="O326" s="178"/>
      <c r="Q326" s="178"/>
      <c r="R326" s="179"/>
      <c r="S326" s="179"/>
      <c r="T326" s="179"/>
      <c r="U326" s="179"/>
      <c r="V326" s="179"/>
      <c r="W326" s="179"/>
      <c r="X326" s="179"/>
      <c r="Y326" s="179"/>
      <c r="Z326" s="180"/>
      <c r="AB326" s="544">
        <f ca="1">IF(AND($D326="Serviço",AB$12&lt;&gt;0,$H326&gt;0,OR(AUTOEVENTO&lt;&gt;"manual",$M326&lt;&gt;1)),
IF(Import.TipoArredondamento&lt;&gt;"TransfereGOV",
ROUND(OFFSET($P326,0,AB$13),15-13*ORÇAMENTO!$AF$7)/$H326*OFFSET(ORÇAMENTO!$X$15,ROW(AB326)-ROW(AB$15),0),
ROUND(ROUND(OFFSET($P326,0,AB$13),15-13*ORÇAMENTO!$AF$7)*OFFSET(ORÇAMENTO!$W$15,ROW(AB326)-ROW(AB$15),0),15-13*ORÇAMENTO!$AF$11)),0)</f>
        <v>0</v>
      </c>
      <c r="AC326" s="545">
        <f ca="1">IF(AND($D326="Serviço",AC$12&lt;&gt;0,$H326&gt;0,OR(AUTOEVENTO&lt;&gt;"manual",$M326&lt;&gt;1)),
IF(Import.TipoArredondamento&lt;&gt;"TransfereGOV",
ROUND(OFFSET($P326,0,AC$13),15-13*ORÇAMENTO!$AF$7)/$H326*OFFSET(ORÇAMENTO!$X$15,ROW(AC326)-ROW(AC$15),0),
ROUND(ROUND(OFFSET($P326,0,AC$13),15-13*ORÇAMENTO!$AF$7)*OFFSET(ORÇAMENTO!$W$15,ROW(AC326)-ROW(AC$15),0),15-13*ORÇAMENTO!$AF$11)),0)</f>
        <v>0</v>
      </c>
      <c r="AD326" s="545">
        <f ca="1">IF(AND($D326="Serviço",AD$12&lt;&gt;0,$H326&gt;0,OR(AUTOEVENTO&lt;&gt;"manual",$M326&lt;&gt;1)),
IF(Import.TipoArredondamento&lt;&gt;"TransfereGOV",
ROUND(OFFSET($P326,0,AD$13),15-13*ORÇAMENTO!$AF$7)/$H326*OFFSET(ORÇAMENTO!$X$15,ROW(AD326)-ROW(AD$15),0),
ROUND(ROUND(OFFSET($P326,0,AD$13),15-13*ORÇAMENTO!$AF$7)*OFFSET(ORÇAMENTO!$W$15,ROW(AD326)-ROW(AD$15),0),15-13*ORÇAMENTO!$AF$11)),0)</f>
        <v>0</v>
      </c>
      <c r="AE326" s="545">
        <f ca="1">IF(AND($D326="Serviço",AE$12&lt;&gt;0,$H326&gt;0,OR(AUTOEVENTO&lt;&gt;"manual",$M326&lt;&gt;1)),
IF(Import.TipoArredondamento&lt;&gt;"TransfereGOV",
ROUND(OFFSET($P326,0,AE$13),15-13*ORÇAMENTO!$AF$7)/$H326*OFFSET(ORÇAMENTO!$X$15,ROW(AE326)-ROW(AE$15),0),
ROUND(ROUND(OFFSET($P326,0,AE$13),15-13*ORÇAMENTO!$AF$7)*OFFSET(ORÇAMENTO!$W$15,ROW(AE326)-ROW(AE$15),0),15-13*ORÇAMENTO!$AF$11)),0)</f>
        <v>0</v>
      </c>
      <c r="AF326" s="545">
        <f ca="1">IF(AND($D326="Serviço",AF$12&lt;&gt;0,$H326&gt;0,OR(AUTOEVENTO&lt;&gt;"manual",$M326&lt;&gt;1)),
IF(Import.TipoArredondamento&lt;&gt;"TransfereGOV",
ROUND(OFFSET($P326,0,AF$13),15-13*ORÇAMENTO!$AF$7)/$H326*OFFSET(ORÇAMENTO!$X$15,ROW(AF326)-ROW(AF$15),0),
ROUND(ROUND(OFFSET($P326,0,AF$13),15-13*ORÇAMENTO!$AF$7)*OFFSET(ORÇAMENTO!$W$15,ROW(AF326)-ROW(AF$15),0),15-13*ORÇAMENTO!$AF$11)),0)</f>
        <v>0</v>
      </c>
      <c r="AG326" s="545">
        <f ca="1">IF(AND($D326="Serviço",AG$12&lt;&gt;0,$H326&gt;0,OR(AUTOEVENTO&lt;&gt;"manual",$M326&lt;&gt;1)),
IF(Import.TipoArredondamento&lt;&gt;"TransfereGOV",
ROUND(OFFSET($P326,0,AG$13),15-13*ORÇAMENTO!$AF$7)/$H326*OFFSET(ORÇAMENTO!$X$15,ROW(AG326)-ROW(AG$15),0),
ROUND(ROUND(OFFSET($P326,0,AG$13),15-13*ORÇAMENTO!$AF$7)*OFFSET(ORÇAMENTO!$W$15,ROW(AG326)-ROW(AG$15),0),15-13*ORÇAMENTO!$AF$11)),0)</f>
        <v>0</v>
      </c>
      <c r="AH326" s="545">
        <f ca="1">IF(AND($D326="Serviço",AH$12&lt;&gt;0,$H326&gt;0,OR(AUTOEVENTO&lt;&gt;"manual",$M326&lt;&gt;1)),
IF(Import.TipoArredondamento&lt;&gt;"TransfereGOV",
ROUND(OFFSET($P326,0,AH$13),15-13*ORÇAMENTO!$AF$7)/$H326*OFFSET(ORÇAMENTO!$X$15,ROW(AH326)-ROW(AH$15),0),
ROUND(ROUND(OFFSET($P326,0,AH$13),15-13*ORÇAMENTO!$AF$7)*OFFSET(ORÇAMENTO!$W$15,ROW(AH326)-ROW(AH$15),0),15-13*ORÇAMENTO!$AF$11)),0)</f>
        <v>0</v>
      </c>
      <c r="AI326" s="545">
        <f ca="1">IF(AND($D326="Serviço",AI$12&lt;&gt;0,$H326&gt;0,OR(AUTOEVENTO&lt;&gt;"manual",$M326&lt;&gt;1)),
IF(Import.TipoArredondamento&lt;&gt;"TransfereGOV",
ROUND(OFFSET($P326,0,AI$13),15-13*ORÇAMENTO!$AF$7)/$H326*OFFSET(ORÇAMENTO!$X$15,ROW(AI326)-ROW(AI$15),0),
ROUND(ROUND(OFFSET($P326,0,AI$13),15-13*ORÇAMENTO!$AF$7)*OFFSET(ORÇAMENTO!$W$15,ROW(AI326)-ROW(AI$15),0),15-13*ORÇAMENTO!$AF$11)),0)</f>
        <v>0</v>
      </c>
      <c r="AJ326" s="545">
        <f ca="1">IF(AND($D326="Serviço",AJ$12&lt;&gt;0,$H326&gt;0,OR(AUTOEVENTO&lt;&gt;"manual",$M326&lt;&gt;1)),
IF(Import.TipoArredondamento&lt;&gt;"TransfereGOV",
ROUND(OFFSET($P326,0,AJ$13),15-13*ORÇAMENTO!$AF$7)/$H326*OFFSET(ORÇAMENTO!$X$15,ROW(AJ326)-ROW(AJ$15),0),
ROUND(ROUND(OFFSET($P326,0,AJ$13),15-13*ORÇAMENTO!$AF$7)*OFFSET(ORÇAMENTO!$W$15,ROW(AJ326)-ROW(AJ$15),0),15-13*ORÇAMENTO!$AF$11)),0)</f>
        <v>0</v>
      </c>
      <c r="AK326" s="546">
        <f ca="1">IF(AND($D326="Serviço",AK$12&lt;&gt;0,$H326&gt;0,OR(AUTOEVENTO&lt;&gt;"manual",$M326&lt;&gt;1)),
IF(Import.TipoArredondamento&lt;&gt;"TransfereGOV",
ROUND(OFFSET($P326,0,AK$13),15-13*ORÇAMENTO!$AF$7)/$H326*OFFSET(ORÇAMENTO!$X$15,ROW(AK326)-ROW(AK$15),0),
ROUND(ROUND(OFFSET($P326,0,AK$13),15-13*ORÇAMENTO!$AF$7)*OFFSET(ORÇAMENTO!$W$15,ROW(AK326)-ROW(AK$15),0),15-13*ORÇAMENTO!$AF$11)),0)</f>
        <v>0</v>
      </c>
      <c r="AM326" s="181">
        <f ca="1">IF($D326&lt;&gt;"Serviço",0,IF(AND(AUTOEVENTO="Manual",$M326=1),0,IF(OFFSET(CRONOPLE!$F$14,$M326,AM$13)="",10^12,OFFSET(CRONOPLE!$F$14,$M326,AM$13))))</f>
        <v>1000000000000</v>
      </c>
      <c r="AN326" s="181">
        <f ca="1">IF($D326&lt;&gt;"Serviço",0,IF(AND(AUTOEVENTO="Manual",$M326=1),0,IF(OFFSET(CRONOPLE!$F$14,$M326,AN$13)="",10^12,OFFSET(CRONOPLE!$F$14,$M326,AN$13))))</f>
        <v>1000000000000</v>
      </c>
      <c r="AO326" s="181">
        <f ca="1">IF($D326&lt;&gt;"Serviço",0,IF(AND(AUTOEVENTO="Manual",$M326=1),0,IF(OFFSET(CRONOPLE!$F$14,$M326,AO$13)="",10^12,OFFSET(CRONOPLE!$F$14,$M326,AO$13))))</f>
        <v>1000000000000</v>
      </c>
      <c r="AP326" s="181">
        <f ca="1">IF($D326&lt;&gt;"Serviço",0,IF(AND(AUTOEVENTO="Manual",$M326=1),0,IF(OFFSET(CRONOPLE!$F$14,$M326,AP$13)="",10^12,OFFSET(CRONOPLE!$F$14,$M326,AP$13))))</f>
        <v>1000000000000</v>
      </c>
      <c r="AQ326" s="181">
        <f ca="1">IF($D326&lt;&gt;"Serviço",0,IF(AND(AUTOEVENTO="Manual",$M326=1),0,IF(OFFSET(CRONOPLE!$F$14,$M326,AQ$13)="",10^12,OFFSET(CRONOPLE!$F$14,$M326,AQ$13))))</f>
        <v>1000000000000</v>
      </c>
      <c r="AR326" s="181">
        <f ca="1">IF($D326&lt;&gt;"Serviço",0,IF(AND(AUTOEVENTO="Manual",$M326=1),0,IF(OFFSET(CRONOPLE!$F$14,$M326,AR$13)="",10^12,OFFSET(CRONOPLE!$F$14,$M326,AR$13))))</f>
        <v>1000000000000</v>
      </c>
      <c r="AS326" s="181">
        <f ca="1">IF($D326&lt;&gt;"Serviço",0,IF(AND(AUTOEVENTO="Manual",$M326=1),0,IF(OFFSET(CRONOPLE!$F$14,$M326,AS$13)="",10^12,OFFSET(CRONOPLE!$F$14,$M326,AS$13))))</f>
        <v>1000000000000</v>
      </c>
      <c r="AT326" s="181">
        <f ca="1">IF($D326&lt;&gt;"Serviço",0,IF(AND(AUTOEVENTO="Manual",$M326=1),0,IF(OFFSET(CRONOPLE!$F$14,$M326,AT$13)="",10^12,OFFSET(CRONOPLE!$F$14,$M326,AT$13))))</f>
        <v>1000000000000</v>
      </c>
      <c r="AU326" s="181">
        <f ca="1">IF($D326&lt;&gt;"Serviço",0,IF(AND(AUTOEVENTO="Manual",$M326=1),0,IF(OFFSET(CRONOPLE!$F$14,$M326,AU$13)="",10^12,OFFSET(CRONOPLE!$F$14,$M326,AU$13))))</f>
        <v>1000000000000</v>
      </c>
      <c r="AV326" s="181">
        <f ca="1">IF($D326&lt;&gt;"Serviço",0,IF(AND(AUTOEVENTO="Manual",$M326=1),0,IF(OFFSET(CRONOPLE!$F$14,$M326,AV$13)="",10^12,OFFSET(CRONOPLE!$F$14,$M326,AV$13))))</f>
        <v>1000000000000</v>
      </c>
      <c r="AX326" s="182">
        <f ca="1">IF($D326&lt;&gt;"Serviço",0,IF(OR(AND(AUTOEVENTO="Manual",$M326=1),$M326&gt;(ROW(PLE.lastrow)-ROW(PLE.firstrow))),0,IF(OFFSET(PLE!$G$14,$M326,AX$13)="",10^12,OFFSET(PLE!$G$14,$M326,AX$13))))</f>
        <v>1000000000000</v>
      </c>
      <c r="AY326" s="182">
        <f ca="1">IF($D326&lt;&gt;"Serviço",0,IF(OR(AND(AUTOEVENTO="Manual",$M326=1),$M326&gt;(ROW(PLE.lastrow)-ROW(PLE.firstrow))),0,IF(OFFSET(PLE!$G$14,$M326,AY$13)="",10^12,OFFSET(PLE!$G$14,$M326,AY$13))))</f>
        <v>1000000000000</v>
      </c>
      <c r="AZ326" s="182">
        <f ca="1">IF($D326&lt;&gt;"Serviço",0,IF(OR(AND(AUTOEVENTO="Manual",$M326=1),$M326&gt;(ROW(PLE.lastrow)-ROW(PLE.firstrow))),0,IF(OFFSET(PLE!$G$14,$M326,AZ$13)="",10^12,OFFSET(PLE!$G$14,$M326,AZ$13))))</f>
        <v>1000000000000</v>
      </c>
      <c r="BA326" s="182">
        <f ca="1">IF($D326&lt;&gt;"Serviço",0,IF(OR(AND(AUTOEVENTO="Manual",$M326=1),$M326&gt;(ROW(PLE.lastrow)-ROW(PLE.firstrow))),0,IF(OFFSET(PLE!$G$14,$M326,BA$13)="",10^12,OFFSET(PLE!$G$14,$M326,BA$13))))</f>
        <v>1000000000000</v>
      </c>
      <c r="BB326" s="182">
        <f ca="1">IF($D326&lt;&gt;"Serviço",0,IF(OR(AND(AUTOEVENTO="Manual",$M326=1),$M326&gt;(ROW(PLE.lastrow)-ROW(PLE.firstrow))),0,IF(OFFSET(PLE!$G$14,$M326,BB$13)="",10^12,OFFSET(PLE!$G$14,$M326,BB$13))))</f>
        <v>1000000000000</v>
      </c>
      <c r="BC326" s="182">
        <f ca="1">IF($D326&lt;&gt;"Serviço",0,IF(OR(AND(AUTOEVENTO="Manual",$M326=1),$M326&gt;(ROW(PLE.lastrow)-ROW(PLE.firstrow))),0,IF(OFFSET(PLE!$G$14,$M326,BC$13)="",10^12,OFFSET(PLE!$G$14,$M326,BC$13))))</f>
        <v>1000000000000</v>
      </c>
      <c r="BD326" s="182">
        <f ca="1">IF($D326&lt;&gt;"Serviço",0,IF(OR(AND(AUTOEVENTO="Manual",$M326=1),$M326&gt;(ROW(PLE.lastrow)-ROW(PLE.firstrow))),0,IF(OFFSET(PLE!$G$14,$M326,BD$13)="",10^12,OFFSET(PLE!$G$14,$M326,BD$13))))</f>
        <v>1000000000000</v>
      </c>
      <c r="BE326" s="182">
        <f ca="1">IF($D326&lt;&gt;"Serviço",0,IF(OR(AND(AUTOEVENTO="Manual",$M326=1),$M326&gt;(ROW(PLE.lastrow)-ROW(PLE.firstrow))),0,IF(OFFSET(PLE!$G$14,$M326,BE$13)="",10^12,OFFSET(PLE!$G$14,$M326,BE$13))))</f>
        <v>1000000000000</v>
      </c>
      <c r="BF326" s="182">
        <f ca="1">IF($D326&lt;&gt;"Serviço",0,IF(OR(AND(AUTOEVENTO="Manual",$M326=1),$M326&gt;(ROW(PLE.lastrow)-ROW(PLE.firstrow))),0,IF(OFFSET(PLE!$G$14,$M326,BF$13)="",10^12,OFFSET(PLE!$G$14,$M326,BF$13))))</f>
        <v>1000000000000</v>
      </c>
      <c r="BG326" s="182">
        <f ca="1">IF($D326&lt;&gt;"Serviço",0,IF(OR(AND(AUTOEVENTO="Manual",$M326=1),$M326&gt;(ROW(PLE.lastrow)-ROW(PLE.firstrow))),0,IF(OFFSET(PLE!$G$14,$M326,BG$13)="",10^12,OFFSET(PLE!$G$14,$M326,BG$13))))</f>
        <v>1000000000000</v>
      </c>
    </row>
    <row r="327" spans="1:59" ht="38.25" x14ac:dyDescent="0.2">
      <c r="A327" s="7" t="str">
        <f t="shared" ca="1" si="11"/>
        <v>302</v>
      </c>
      <c r="B327" s="7" t="str">
        <f ca="1">OFFSET(ORÇAMENTO!C$15,ROW(B327)-ROW(B$15),0)</f>
        <v>S</v>
      </c>
      <c r="C327" s="7" t="str">
        <f ca="1">OFFSET(ORÇAMENTO!L$15,ROW(C327)-ROW(C$15),0)</f>
        <v/>
      </c>
      <c r="D327" s="118" t="str">
        <f ca="1">OFFSET(ORÇAMENTO!N$15,ROW(D327)-ROW(D$15),0)</f>
        <v>Serviço</v>
      </c>
      <c r="E327" s="119" t="str">
        <f ca="1">OFFSET(ORÇAMENTO!O$15,ROW(E327)-ROW(E$15),0)</f>
        <v>-</v>
      </c>
      <c r="F327" s="172" t="str">
        <f ca="1">OFFSET(ORÇAMENTO!R$15,ROW(F327)-ROW(F$15),0)</f>
        <v>(abra o arquivo 'Referência 02-2025.xlsm)</v>
      </c>
      <c r="G327" s="173" t="str">
        <f ca="1">IF($D327&lt;&gt;"Serviço","",OFFSET(ORÇAMENTO!S$15,ROW(G327)-ROW(G$15),0))</f>
        <v>-</v>
      </c>
      <c r="H327" s="124">
        <f ca="1">IF($D327&lt;&gt;"Serviço",0,IF(ACOMPANHAMENTO="BM",ROUND(OFFSET(ORÇAMENTO!AJ$15,ROW(H327)-ROW(H$15),0),15-13*ORÇAMENTO!$AF$7),SUMPRODUCT(($Q$12:$AA$12&lt;&gt;"")*ROUND($Q327:$AA327,15-13*ORÇAMENTO!$AF$7))))</f>
        <v>16</v>
      </c>
      <c r="I327" s="561" t="s">
        <v>890</v>
      </c>
      <c r="K327" s="174"/>
      <c r="L327" s="175" t="s">
        <v>255</v>
      </c>
      <c r="M327" s="176">
        <f ca="1">IF($D327&lt;&gt;"Serviço","",IF(AUTOEVENTO="manual",$A327,IF(ISERROR(MATCH($A327,$A$15:OFFSET($A327,-1,0),0)),MAX($M$15:OFFSET(M327,-1,0))+1,INDEX($M$15:OFFSET(M327,-1,0),MATCH($A327,$A$15:OFFSET($A327,-1,0),0)))))</f>
        <v>14</v>
      </c>
      <c r="N327" s="177" t="str">
        <f ca="1">IF($D327&lt;&gt;"Serviço","",IF(AUTOEVENTO="Manual",IF($A327=0,"&lt;-- defina o número do agrupador",OFFSET(EVENTOS!$D$14,$A327,0)),OFFSET($F$15,$A327,0)))</f>
        <v>DRENAGEM DE ÁGUAS PLUVIAIS</v>
      </c>
      <c r="O327" s="178"/>
      <c r="Q327" s="178"/>
      <c r="R327" s="179"/>
      <c r="S327" s="179"/>
      <c r="T327" s="179"/>
      <c r="U327" s="179"/>
      <c r="V327" s="179"/>
      <c r="W327" s="179"/>
      <c r="X327" s="179"/>
      <c r="Y327" s="179"/>
      <c r="Z327" s="180"/>
      <c r="AB327" s="544">
        <f ca="1">IF(AND($D327="Serviço",AB$12&lt;&gt;0,$H327&gt;0,OR(AUTOEVENTO&lt;&gt;"manual",$M327&lt;&gt;1)),
IF(Import.TipoArredondamento&lt;&gt;"TransfereGOV",
ROUND(OFFSET($P327,0,AB$13),15-13*ORÇAMENTO!$AF$7)/$H327*OFFSET(ORÇAMENTO!$X$15,ROW(AB327)-ROW(AB$15),0),
ROUND(ROUND(OFFSET($P327,0,AB$13),15-13*ORÇAMENTO!$AF$7)*OFFSET(ORÇAMENTO!$W$15,ROW(AB327)-ROW(AB$15),0),15-13*ORÇAMENTO!$AF$11)),0)</f>
        <v>0</v>
      </c>
      <c r="AC327" s="545">
        <f ca="1">IF(AND($D327="Serviço",AC$12&lt;&gt;0,$H327&gt;0,OR(AUTOEVENTO&lt;&gt;"manual",$M327&lt;&gt;1)),
IF(Import.TipoArredondamento&lt;&gt;"TransfereGOV",
ROUND(OFFSET($P327,0,AC$13),15-13*ORÇAMENTO!$AF$7)/$H327*OFFSET(ORÇAMENTO!$X$15,ROW(AC327)-ROW(AC$15),0),
ROUND(ROUND(OFFSET($P327,0,AC$13),15-13*ORÇAMENTO!$AF$7)*OFFSET(ORÇAMENTO!$W$15,ROW(AC327)-ROW(AC$15),0),15-13*ORÇAMENTO!$AF$11)),0)</f>
        <v>0</v>
      </c>
      <c r="AD327" s="545">
        <f ca="1">IF(AND($D327="Serviço",AD$12&lt;&gt;0,$H327&gt;0,OR(AUTOEVENTO&lt;&gt;"manual",$M327&lt;&gt;1)),
IF(Import.TipoArredondamento&lt;&gt;"TransfereGOV",
ROUND(OFFSET($P327,0,AD$13),15-13*ORÇAMENTO!$AF$7)/$H327*OFFSET(ORÇAMENTO!$X$15,ROW(AD327)-ROW(AD$15),0),
ROUND(ROUND(OFFSET($P327,0,AD$13),15-13*ORÇAMENTO!$AF$7)*OFFSET(ORÇAMENTO!$W$15,ROW(AD327)-ROW(AD$15),0),15-13*ORÇAMENTO!$AF$11)),0)</f>
        <v>0</v>
      </c>
      <c r="AE327" s="545">
        <f ca="1">IF(AND($D327="Serviço",AE$12&lt;&gt;0,$H327&gt;0,OR(AUTOEVENTO&lt;&gt;"manual",$M327&lt;&gt;1)),
IF(Import.TipoArredondamento&lt;&gt;"TransfereGOV",
ROUND(OFFSET($P327,0,AE$13),15-13*ORÇAMENTO!$AF$7)/$H327*OFFSET(ORÇAMENTO!$X$15,ROW(AE327)-ROW(AE$15),0),
ROUND(ROUND(OFFSET($P327,0,AE$13),15-13*ORÇAMENTO!$AF$7)*OFFSET(ORÇAMENTO!$W$15,ROW(AE327)-ROW(AE$15),0),15-13*ORÇAMENTO!$AF$11)),0)</f>
        <v>0</v>
      </c>
      <c r="AF327" s="545">
        <f ca="1">IF(AND($D327="Serviço",AF$12&lt;&gt;0,$H327&gt;0,OR(AUTOEVENTO&lt;&gt;"manual",$M327&lt;&gt;1)),
IF(Import.TipoArredondamento&lt;&gt;"TransfereGOV",
ROUND(OFFSET($P327,0,AF$13),15-13*ORÇAMENTO!$AF$7)/$H327*OFFSET(ORÇAMENTO!$X$15,ROW(AF327)-ROW(AF$15),0),
ROUND(ROUND(OFFSET($P327,0,AF$13),15-13*ORÇAMENTO!$AF$7)*OFFSET(ORÇAMENTO!$W$15,ROW(AF327)-ROW(AF$15),0),15-13*ORÇAMENTO!$AF$11)),0)</f>
        <v>0</v>
      </c>
      <c r="AG327" s="545">
        <f ca="1">IF(AND($D327="Serviço",AG$12&lt;&gt;0,$H327&gt;0,OR(AUTOEVENTO&lt;&gt;"manual",$M327&lt;&gt;1)),
IF(Import.TipoArredondamento&lt;&gt;"TransfereGOV",
ROUND(OFFSET($P327,0,AG$13),15-13*ORÇAMENTO!$AF$7)/$H327*OFFSET(ORÇAMENTO!$X$15,ROW(AG327)-ROW(AG$15),0),
ROUND(ROUND(OFFSET($P327,0,AG$13),15-13*ORÇAMENTO!$AF$7)*OFFSET(ORÇAMENTO!$W$15,ROW(AG327)-ROW(AG$15),0),15-13*ORÇAMENTO!$AF$11)),0)</f>
        <v>0</v>
      </c>
      <c r="AH327" s="545">
        <f ca="1">IF(AND($D327="Serviço",AH$12&lt;&gt;0,$H327&gt;0,OR(AUTOEVENTO&lt;&gt;"manual",$M327&lt;&gt;1)),
IF(Import.TipoArredondamento&lt;&gt;"TransfereGOV",
ROUND(OFFSET($P327,0,AH$13),15-13*ORÇAMENTO!$AF$7)/$H327*OFFSET(ORÇAMENTO!$X$15,ROW(AH327)-ROW(AH$15),0),
ROUND(ROUND(OFFSET($P327,0,AH$13),15-13*ORÇAMENTO!$AF$7)*OFFSET(ORÇAMENTO!$W$15,ROW(AH327)-ROW(AH$15),0),15-13*ORÇAMENTO!$AF$11)),0)</f>
        <v>0</v>
      </c>
      <c r="AI327" s="545">
        <f ca="1">IF(AND($D327="Serviço",AI$12&lt;&gt;0,$H327&gt;0,OR(AUTOEVENTO&lt;&gt;"manual",$M327&lt;&gt;1)),
IF(Import.TipoArredondamento&lt;&gt;"TransfereGOV",
ROUND(OFFSET($P327,0,AI$13),15-13*ORÇAMENTO!$AF$7)/$H327*OFFSET(ORÇAMENTO!$X$15,ROW(AI327)-ROW(AI$15),0),
ROUND(ROUND(OFFSET($P327,0,AI$13),15-13*ORÇAMENTO!$AF$7)*OFFSET(ORÇAMENTO!$W$15,ROW(AI327)-ROW(AI$15),0),15-13*ORÇAMENTO!$AF$11)),0)</f>
        <v>0</v>
      </c>
      <c r="AJ327" s="545">
        <f ca="1">IF(AND($D327="Serviço",AJ$12&lt;&gt;0,$H327&gt;0,OR(AUTOEVENTO&lt;&gt;"manual",$M327&lt;&gt;1)),
IF(Import.TipoArredondamento&lt;&gt;"TransfereGOV",
ROUND(OFFSET($P327,0,AJ$13),15-13*ORÇAMENTO!$AF$7)/$H327*OFFSET(ORÇAMENTO!$X$15,ROW(AJ327)-ROW(AJ$15),0),
ROUND(ROUND(OFFSET($P327,0,AJ$13),15-13*ORÇAMENTO!$AF$7)*OFFSET(ORÇAMENTO!$W$15,ROW(AJ327)-ROW(AJ$15),0),15-13*ORÇAMENTO!$AF$11)),0)</f>
        <v>0</v>
      </c>
      <c r="AK327" s="546">
        <f ca="1">IF(AND($D327="Serviço",AK$12&lt;&gt;0,$H327&gt;0,OR(AUTOEVENTO&lt;&gt;"manual",$M327&lt;&gt;1)),
IF(Import.TipoArredondamento&lt;&gt;"TransfereGOV",
ROUND(OFFSET($P327,0,AK$13),15-13*ORÇAMENTO!$AF$7)/$H327*OFFSET(ORÇAMENTO!$X$15,ROW(AK327)-ROW(AK$15),0),
ROUND(ROUND(OFFSET($P327,0,AK$13),15-13*ORÇAMENTO!$AF$7)*OFFSET(ORÇAMENTO!$W$15,ROW(AK327)-ROW(AK$15),0),15-13*ORÇAMENTO!$AF$11)),0)</f>
        <v>0</v>
      </c>
      <c r="AM327" s="181">
        <f ca="1">IF($D327&lt;&gt;"Serviço",0,IF(AND(AUTOEVENTO="Manual",$M327=1),0,IF(OFFSET(CRONOPLE!$F$14,$M327,AM$13)="",10^12,OFFSET(CRONOPLE!$F$14,$M327,AM$13))))</f>
        <v>1000000000000</v>
      </c>
      <c r="AN327" s="181">
        <f ca="1">IF($D327&lt;&gt;"Serviço",0,IF(AND(AUTOEVENTO="Manual",$M327=1),0,IF(OFFSET(CRONOPLE!$F$14,$M327,AN$13)="",10^12,OFFSET(CRONOPLE!$F$14,$M327,AN$13))))</f>
        <v>1000000000000</v>
      </c>
      <c r="AO327" s="181">
        <f ca="1">IF($D327&lt;&gt;"Serviço",0,IF(AND(AUTOEVENTO="Manual",$M327=1),0,IF(OFFSET(CRONOPLE!$F$14,$M327,AO$13)="",10^12,OFFSET(CRONOPLE!$F$14,$M327,AO$13))))</f>
        <v>1000000000000</v>
      </c>
      <c r="AP327" s="181">
        <f ca="1">IF($D327&lt;&gt;"Serviço",0,IF(AND(AUTOEVENTO="Manual",$M327=1),0,IF(OFFSET(CRONOPLE!$F$14,$M327,AP$13)="",10^12,OFFSET(CRONOPLE!$F$14,$M327,AP$13))))</f>
        <v>1000000000000</v>
      </c>
      <c r="AQ327" s="181">
        <f ca="1">IF($D327&lt;&gt;"Serviço",0,IF(AND(AUTOEVENTO="Manual",$M327=1),0,IF(OFFSET(CRONOPLE!$F$14,$M327,AQ$13)="",10^12,OFFSET(CRONOPLE!$F$14,$M327,AQ$13))))</f>
        <v>1000000000000</v>
      </c>
      <c r="AR327" s="181">
        <f ca="1">IF($D327&lt;&gt;"Serviço",0,IF(AND(AUTOEVENTO="Manual",$M327=1),0,IF(OFFSET(CRONOPLE!$F$14,$M327,AR$13)="",10^12,OFFSET(CRONOPLE!$F$14,$M327,AR$13))))</f>
        <v>1000000000000</v>
      </c>
      <c r="AS327" s="181">
        <f ca="1">IF($D327&lt;&gt;"Serviço",0,IF(AND(AUTOEVENTO="Manual",$M327=1),0,IF(OFFSET(CRONOPLE!$F$14,$M327,AS$13)="",10^12,OFFSET(CRONOPLE!$F$14,$M327,AS$13))))</f>
        <v>1000000000000</v>
      </c>
      <c r="AT327" s="181">
        <f ca="1">IF($D327&lt;&gt;"Serviço",0,IF(AND(AUTOEVENTO="Manual",$M327=1),0,IF(OFFSET(CRONOPLE!$F$14,$M327,AT$13)="",10^12,OFFSET(CRONOPLE!$F$14,$M327,AT$13))))</f>
        <v>1000000000000</v>
      </c>
      <c r="AU327" s="181">
        <f ca="1">IF($D327&lt;&gt;"Serviço",0,IF(AND(AUTOEVENTO="Manual",$M327=1),0,IF(OFFSET(CRONOPLE!$F$14,$M327,AU$13)="",10^12,OFFSET(CRONOPLE!$F$14,$M327,AU$13))))</f>
        <v>1000000000000</v>
      </c>
      <c r="AV327" s="181">
        <f ca="1">IF($D327&lt;&gt;"Serviço",0,IF(AND(AUTOEVENTO="Manual",$M327=1),0,IF(OFFSET(CRONOPLE!$F$14,$M327,AV$13)="",10^12,OFFSET(CRONOPLE!$F$14,$M327,AV$13))))</f>
        <v>1000000000000</v>
      </c>
      <c r="AX327" s="182">
        <f ca="1">IF($D327&lt;&gt;"Serviço",0,IF(OR(AND(AUTOEVENTO="Manual",$M327=1),$M327&gt;(ROW(PLE.lastrow)-ROW(PLE.firstrow))),0,IF(OFFSET(PLE!$G$14,$M327,AX$13)="",10^12,OFFSET(PLE!$G$14,$M327,AX$13))))</f>
        <v>1000000000000</v>
      </c>
      <c r="AY327" s="182">
        <f ca="1">IF($D327&lt;&gt;"Serviço",0,IF(OR(AND(AUTOEVENTO="Manual",$M327=1),$M327&gt;(ROW(PLE.lastrow)-ROW(PLE.firstrow))),0,IF(OFFSET(PLE!$G$14,$M327,AY$13)="",10^12,OFFSET(PLE!$G$14,$M327,AY$13))))</f>
        <v>1000000000000</v>
      </c>
      <c r="AZ327" s="182">
        <f ca="1">IF($D327&lt;&gt;"Serviço",0,IF(OR(AND(AUTOEVENTO="Manual",$M327=1),$M327&gt;(ROW(PLE.lastrow)-ROW(PLE.firstrow))),0,IF(OFFSET(PLE!$G$14,$M327,AZ$13)="",10^12,OFFSET(PLE!$G$14,$M327,AZ$13))))</f>
        <v>1000000000000</v>
      </c>
      <c r="BA327" s="182">
        <f ca="1">IF($D327&lt;&gt;"Serviço",0,IF(OR(AND(AUTOEVENTO="Manual",$M327=1),$M327&gt;(ROW(PLE.lastrow)-ROW(PLE.firstrow))),0,IF(OFFSET(PLE!$G$14,$M327,BA$13)="",10^12,OFFSET(PLE!$G$14,$M327,BA$13))))</f>
        <v>1000000000000</v>
      </c>
      <c r="BB327" s="182">
        <f ca="1">IF($D327&lt;&gt;"Serviço",0,IF(OR(AND(AUTOEVENTO="Manual",$M327=1),$M327&gt;(ROW(PLE.lastrow)-ROW(PLE.firstrow))),0,IF(OFFSET(PLE!$G$14,$M327,BB$13)="",10^12,OFFSET(PLE!$G$14,$M327,BB$13))))</f>
        <v>1000000000000</v>
      </c>
      <c r="BC327" s="182">
        <f ca="1">IF($D327&lt;&gt;"Serviço",0,IF(OR(AND(AUTOEVENTO="Manual",$M327=1),$M327&gt;(ROW(PLE.lastrow)-ROW(PLE.firstrow))),0,IF(OFFSET(PLE!$G$14,$M327,BC$13)="",10^12,OFFSET(PLE!$G$14,$M327,BC$13))))</f>
        <v>1000000000000</v>
      </c>
      <c r="BD327" s="182">
        <f ca="1">IF($D327&lt;&gt;"Serviço",0,IF(OR(AND(AUTOEVENTO="Manual",$M327=1),$M327&gt;(ROW(PLE.lastrow)-ROW(PLE.firstrow))),0,IF(OFFSET(PLE!$G$14,$M327,BD$13)="",10^12,OFFSET(PLE!$G$14,$M327,BD$13))))</f>
        <v>1000000000000</v>
      </c>
      <c r="BE327" s="182">
        <f ca="1">IF($D327&lt;&gt;"Serviço",0,IF(OR(AND(AUTOEVENTO="Manual",$M327=1),$M327&gt;(ROW(PLE.lastrow)-ROW(PLE.firstrow))),0,IF(OFFSET(PLE!$G$14,$M327,BE$13)="",10^12,OFFSET(PLE!$G$14,$M327,BE$13))))</f>
        <v>1000000000000</v>
      </c>
      <c r="BF327" s="182">
        <f ca="1">IF($D327&lt;&gt;"Serviço",0,IF(OR(AND(AUTOEVENTO="Manual",$M327=1),$M327&gt;(ROW(PLE.lastrow)-ROW(PLE.firstrow))),0,IF(OFFSET(PLE!$G$14,$M327,BF$13)="",10^12,OFFSET(PLE!$G$14,$M327,BF$13))))</f>
        <v>1000000000000</v>
      </c>
      <c r="BG327" s="182">
        <f ca="1">IF($D327&lt;&gt;"Serviço",0,IF(OR(AND(AUTOEVENTO="Manual",$M327=1),$M327&gt;(ROW(PLE.lastrow)-ROW(PLE.firstrow))),0,IF(OFFSET(PLE!$G$14,$M327,BG$13)="",10^12,OFFSET(PLE!$G$14,$M327,BG$13))))</f>
        <v>1000000000000</v>
      </c>
    </row>
    <row r="328" spans="1:59" ht="38.25" x14ac:dyDescent="0.2">
      <c r="A328" s="7" t="str">
        <f t="shared" ca="1" si="11"/>
        <v>302</v>
      </c>
      <c r="B328" s="7" t="str">
        <f ca="1">OFFSET(ORÇAMENTO!C$15,ROW(B328)-ROW(B$15),0)</f>
        <v>S</v>
      </c>
      <c r="C328" s="7" t="str">
        <f ca="1">OFFSET(ORÇAMENTO!L$15,ROW(C328)-ROW(C$15),0)</f>
        <v/>
      </c>
      <c r="D328" s="118" t="str">
        <f ca="1">OFFSET(ORÇAMENTO!N$15,ROW(D328)-ROW(D$15),0)</f>
        <v>Serviço</v>
      </c>
      <c r="E328" s="119" t="str">
        <f ca="1">OFFSET(ORÇAMENTO!O$15,ROW(E328)-ROW(E$15),0)</f>
        <v>-</v>
      </c>
      <c r="F328" s="172" t="str">
        <f ca="1">OFFSET(ORÇAMENTO!R$15,ROW(F328)-ROW(F$15),0)</f>
        <v>(abra o arquivo 'Referência 02-2025.xlsm)</v>
      </c>
      <c r="G328" s="173" t="str">
        <f ca="1">IF($D328&lt;&gt;"Serviço","",OFFSET(ORÇAMENTO!S$15,ROW(G328)-ROW(G$15),0))</f>
        <v>-</v>
      </c>
      <c r="H328" s="124">
        <f ca="1">IF($D328&lt;&gt;"Serviço",0,IF(ACOMPANHAMENTO="BM",ROUND(OFFSET(ORÇAMENTO!AJ$15,ROW(H328)-ROW(H$15),0),15-13*ORÇAMENTO!$AF$7),SUMPRODUCT(($Q$12:$AA$12&lt;&gt;"")*ROUND($Q328:$AA328,15-13*ORÇAMENTO!$AF$7))))</f>
        <v>2</v>
      </c>
      <c r="I328" s="561" t="s">
        <v>890</v>
      </c>
      <c r="K328" s="174"/>
      <c r="L328" s="175" t="s">
        <v>255</v>
      </c>
      <c r="M328" s="176">
        <f ca="1">IF($D328&lt;&gt;"Serviço","",IF(AUTOEVENTO="manual",$A328,IF(ISERROR(MATCH($A328,$A$15:OFFSET($A328,-1,0),0)),MAX($M$15:OFFSET(M328,-1,0))+1,INDEX($M$15:OFFSET(M328,-1,0),MATCH($A328,$A$15:OFFSET($A328,-1,0),0)))))</f>
        <v>14</v>
      </c>
      <c r="N328" s="177" t="str">
        <f ca="1">IF($D328&lt;&gt;"Serviço","",IF(AUTOEVENTO="Manual",IF($A328=0,"&lt;-- defina o número do agrupador",OFFSET(EVENTOS!$D$14,$A328,0)),OFFSET($F$15,$A328,0)))</f>
        <v>DRENAGEM DE ÁGUAS PLUVIAIS</v>
      </c>
      <c r="O328" s="178"/>
      <c r="Q328" s="178"/>
      <c r="R328" s="179"/>
      <c r="S328" s="179"/>
      <c r="T328" s="179"/>
      <c r="U328" s="179"/>
      <c r="V328" s="179"/>
      <c r="W328" s="179"/>
      <c r="X328" s="179"/>
      <c r="Y328" s="179"/>
      <c r="Z328" s="180"/>
      <c r="AB328" s="544">
        <f ca="1">IF(AND($D328="Serviço",AB$12&lt;&gt;0,$H328&gt;0,OR(AUTOEVENTO&lt;&gt;"manual",$M328&lt;&gt;1)),
IF(Import.TipoArredondamento&lt;&gt;"TransfereGOV",
ROUND(OFFSET($P328,0,AB$13),15-13*ORÇAMENTO!$AF$7)/$H328*OFFSET(ORÇAMENTO!$X$15,ROW(AB328)-ROW(AB$15),0),
ROUND(ROUND(OFFSET($P328,0,AB$13),15-13*ORÇAMENTO!$AF$7)*OFFSET(ORÇAMENTO!$W$15,ROW(AB328)-ROW(AB$15),0),15-13*ORÇAMENTO!$AF$11)),0)</f>
        <v>0</v>
      </c>
      <c r="AC328" s="545">
        <f ca="1">IF(AND($D328="Serviço",AC$12&lt;&gt;0,$H328&gt;0,OR(AUTOEVENTO&lt;&gt;"manual",$M328&lt;&gt;1)),
IF(Import.TipoArredondamento&lt;&gt;"TransfereGOV",
ROUND(OFFSET($P328,0,AC$13),15-13*ORÇAMENTO!$AF$7)/$H328*OFFSET(ORÇAMENTO!$X$15,ROW(AC328)-ROW(AC$15),0),
ROUND(ROUND(OFFSET($P328,0,AC$13),15-13*ORÇAMENTO!$AF$7)*OFFSET(ORÇAMENTO!$W$15,ROW(AC328)-ROW(AC$15),0),15-13*ORÇAMENTO!$AF$11)),0)</f>
        <v>0</v>
      </c>
      <c r="AD328" s="545">
        <f ca="1">IF(AND($D328="Serviço",AD$12&lt;&gt;0,$H328&gt;0,OR(AUTOEVENTO&lt;&gt;"manual",$M328&lt;&gt;1)),
IF(Import.TipoArredondamento&lt;&gt;"TransfereGOV",
ROUND(OFFSET($P328,0,AD$13),15-13*ORÇAMENTO!$AF$7)/$H328*OFFSET(ORÇAMENTO!$X$15,ROW(AD328)-ROW(AD$15),0),
ROUND(ROUND(OFFSET($P328,0,AD$13),15-13*ORÇAMENTO!$AF$7)*OFFSET(ORÇAMENTO!$W$15,ROW(AD328)-ROW(AD$15),0),15-13*ORÇAMENTO!$AF$11)),0)</f>
        <v>0</v>
      </c>
      <c r="AE328" s="545">
        <f ca="1">IF(AND($D328="Serviço",AE$12&lt;&gt;0,$H328&gt;0,OR(AUTOEVENTO&lt;&gt;"manual",$M328&lt;&gt;1)),
IF(Import.TipoArredondamento&lt;&gt;"TransfereGOV",
ROUND(OFFSET($P328,0,AE$13),15-13*ORÇAMENTO!$AF$7)/$H328*OFFSET(ORÇAMENTO!$X$15,ROW(AE328)-ROW(AE$15),0),
ROUND(ROUND(OFFSET($P328,0,AE$13),15-13*ORÇAMENTO!$AF$7)*OFFSET(ORÇAMENTO!$W$15,ROW(AE328)-ROW(AE$15),0),15-13*ORÇAMENTO!$AF$11)),0)</f>
        <v>0</v>
      </c>
      <c r="AF328" s="545">
        <f ca="1">IF(AND($D328="Serviço",AF$12&lt;&gt;0,$H328&gt;0,OR(AUTOEVENTO&lt;&gt;"manual",$M328&lt;&gt;1)),
IF(Import.TipoArredondamento&lt;&gt;"TransfereGOV",
ROUND(OFFSET($P328,0,AF$13),15-13*ORÇAMENTO!$AF$7)/$H328*OFFSET(ORÇAMENTO!$X$15,ROW(AF328)-ROW(AF$15),0),
ROUND(ROUND(OFFSET($P328,0,AF$13),15-13*ORÇAMENTO!$AF$7)*OFFSET(ORÇAMENTO!$W$15,ROW(AF328)-ROW(AF$15),0),15-13*ORÇAMENTO!$AF$11)),0)</f>
        <v>0</v>
      </c>
      <c r="AG328" s="545">
        <f ca="1">IF(AND($D328="Serviço",AG$12&lt;&gt;0,$H328&gt;0,OR(AUTOEVENTO&lt;&gt;"manual",$M328&lt;&gt;1)),
IF(Import.TipoArredondamento&lt;&gt;"TransfereGOV",
ROUND(OFFSET($P328,0,AG$13),15-13*ORÇAMENTO!$AF$7)/$H328*OFFSET(ORÇAMENTO!$X$15,ROW(AG328)-ROW(AG$15),0),
ROUND(ROUND(OFFSET($P328,0,AG$13),15-13*ORÇAMENTO!$AF$7)*OFFSET(ORÇAMENTO!$W$15,ROW(AG328)-ROW(AG$15),0),15-13*ORÇAMENTO!$AF$11)),0)</f>
        <v>0</v>
      </c>
      <c r="AH328" s="545">
        <f ca="1">IF(AND($D328="Serviço",AH$12&lt;&gt;0,$H328&gt;0,OR(AUTOEVENTO&lt;&gt;"manual",$M328&lt;&gt;1)),
IF(Import.TipoArredondamento&lt;&gt;"TransfereGOV",
ROUND(OFFSET($P328,0,AH$13),15-13*ORÇAMENTO!$AF$7)/$H328*OFFSET(ORÇAMENTO!$X$15,ROW(AH328)-ROW(AH$15),0),
ROUND(ROUND(OFFSET($P328,0,AH$13),15-13*ORÇAMENTO!$AF$7)*OFFSET(ORÇAMENTO!$W$15,ROW(AH328)-ROW(AH$15),0),15-13*ORÇAMENTO!$AF$11)),0)</f>
        <v>0</v>
      </c>
      <c r="AI328" s="545">
        <f ca="1">IF(AND($D328="Serviço",AI$12&lt;&gt;0,$H328&gt;0,OR(AUTOEVENTO&lt;&gt;"manual",$M328&lt;&gt;1)),
IF(Import.TipoArredondamento&lt;&gt;"TransfereGOV",
ROUND(OFFSET($P328,0,AI$13),15-13*ORÇAMENTO!$AF$7)/$H328*OFFSET(ORÇAMENTO!$X$15,ROW(AI328)-ROW(AI$15),0),
ROUND(ROUND(OFFSET($P328,0,AI$13),15-13*ORÇAMENTO!$AF$7)*OFFSET(ORÇAMENTO!$W$15,ROW(AI328)-ROW(AI$15),0),15-13*ORÇAMENTO!$AF$11)),0)</f>
        <v>0</v>
      </c>
      <c r="AJ328" s="545">
        <f ca="1">IF(AND($D328="Serviço",AJ$12&lt;&gt;0,$H328&gt;0,OR(AUTOEVENTO&lt;&gt;"manual",$M328&lt;&gt;1)),
IF(Import.TipoArredondamento&lt;&gt;"TransfereGOV",
ROUND(OFFSET($P328,0,AJ$13),15-13*ORÇAMENTO!$AF$7)/$H328*OFFSET(ORÇAMENTO!$X$15,ROW(AJ328)-ROW(AJ$15),0),
ROUND(ROUND(OFFSET($P328,0,AJ$13),15-13*ORÇAMENTO!$AF$7)*OFFSET(ORÇAMENTO!$W$15,ROW(AJ328)-ROW(AJ$15),0),15-13*ORÇAMENTO!$AF$11)),0)</f>
        <v>0</v>
      </c>
      <c r="AK328" s="546">
        <f ca="1">IF(AND($D328="Serviço",AK$12&lt;&gt;0,$H328&gt;0,OR(AUTOEVENTO&lt;&gt;"manual",$M328&lt;&gt;1)),
IF(Import.TipoArredondamento&lt;&gt;"TransfereGOV",
ROUND(OFFSET($P328,0,AK$13),15-13*ORÇAMENTO!$AF$7)/$H328*OFFSET(ORÇAMENTO!$X$15,ROW(AK328)-ROW(AK$15),0),
ROUND(ROUND(OFFSET($P328,0,AK$13),15-13*ORÇAMENTO!$AF$7)*OFFSET(ORÇAMENTO!$W$15,ROW(AK328)-ROW(AK$15),0),15-13*ORÇAMENTO!$AF$11)),0)</f>
        <v>0</v>
      </c>
      <c r="AM328" s="181">
        <f ca="1">IF($D328&lt;&gt;"Serviço",0,IF(AND(AUTOEVENTO="Manual",$M328=1),0,IF(OFFSET(CRONOPLE!$F$14,$M328,AM$13)="",10^12,OFFSET(CRONOPLE!$F$14,$M328,AM$13))))</f>
        <v>1000000000000</v>
      </c>
      <c r="AN328" s="181">
        <f ca="1">IF($D328&lt;&gt;"Serviço",0,IF(AND(AUTOEVENTO="Manual",$M328=1),0,IF(OFFSET(CRONOPLE!$F$14,$M328,AN$13)="",10^12,OFFSET(CRONOPLE!$F$14,$M328,AN$13))))</f>
        <v>1000000000000</v>
      </c>
      <c r="AO328" s="181">
        <f ca="1">IF($D328&lt;&gt;"Serviço",0,IF(AND(AUTOEVENTO="Manual",$M328=1),0,IF(OFFSET(CRONOPLE!$F$14,$M328,AO$13)="",10^12,OFFSET(CRONOPLE!$F$14,$M328,AO$13))))</f>
        <v>1000000000000</v>
      </c>
      <c r="AP328" s="181">
        <f ca="1">IF($D328&lt;&gt;"Serviço",0,IF(AND(AUTOEVENTO="Manual",$M328=1),0,IF(OFFSET(CRONOPLE!$F$14,$M328,AP$13)="",10^12,OFFSET(CRONOPLE!$F$14,$M328,AP$13))))</f>
        <v>1000000000000</v>
      </c>
      <c r="AQ328" s="181">
        <f ca="1">IF($D328&lt;&gt;"Serviço",0,IF(AND(AUTOEVENTO="Manual",$M328=1),0,IF(OFFSET(CRONOPLE!$F$14,$M328,AQ$13)="",10^12,OFFSET(CRONOPLE!$F$14,$M328,AQ$13))))</f>
        <v>1000000000000</v>
      </c>
      <c r="AR328" s="181">
        <f ca="1">IF($D328&lt;&gt;"Serviço",0,IF(AND(AUTOEVENTO="Manual",$M328=1),0,IF(OFFSET(CRONOPLE!$F$14,$M328,AR$13)="",10^12,OFFSET(CRONOPLE!$F$14,$M328,AR$13))))</f>
        <v>1000000000000</v>
      </c>
      <c r="AS328" s="181">
        <f ca="1">IF($D328&lt;&gt;"Serviço",0,IF(AND(AUTOEVENTO="Manual",$M328=1),0,IF(OFFSET(CRONOPLE!$F$14,$M328,AS$13)="",10^12,OFFSET(CRONOPLE!$F$14,$M328,AS$13))))</f>
        <v>1000000000000</v>
      </c>
      <c r="AT328" s="181">
        <f ca="1">IF($D328&lt;&gt;"Serviço",0,IF(AND(AUTOEVENTO="Manual",$M328=1),0,IF(OFFSET(CRONOPLE!$F$14,$M328,AT$13)="",10^12,OFFSET(CRONOPLE!$F$14,$M328,AT$13))))</f>
        <v>1000000000000</v>
      </c>
      <c r="AU328" s="181">
        <f ca="1">IF($D328&lt;&gt;"Serviço",0,IF(AND(AUTOEVENTO="Manual",$M328=1),0,IF(OFFSET(CRONOPLE!$F$14,$M328,AU$13)="",10^12,OFFSET(CRONOPLE!$F$14,$M328,AU$13))))</f>
        <v>1000000000000</v>
      </c>
      <c r="AV328" s="181">
        <f ca="1">IF($D328&lt;&gt;"Serviço",0,IF(AND(AUTOEVENTO="Manual",$M328=1),0,IF(OFFSET(CRONOPLE!$F$14,$M328,AV$13)="",10^12,OFFSET(CRONOPLE!$F$14,$M328,AV$13))))</f>
        <v>1000000000000</v>
      </c>
      <c r="AX328" s="182">
        <f ca="1">IF($D328&lt;&gt;"Serviço",0,IF(OR(AND(AUTOEVENTO="Manual",$M328=1),$M328&gt;(ROW(PLE.lastrow)-ROW(PLE.firstrow))),0,IF(OFFSET(PLE!$G$14,$M328,AX$13)="",10^12,OFFSET(PLE!$G$14,$M328,AX$13))))</f>
        <v>1000000000000</v>
      </c>
      <c r="AY328" s="182">
        <f ca="1">IF($D328&lt;&gt;"Serviço",0,IF(OR(AND(AUTOEVENTO="Manual",$M328=1),$M328&gt;(ROW(PLE.lastrow)-ROW(PLE.firstrow))),0,IF(OFFSET(PLE!$G$14,$M328,AY$13)="",10^12,OFFSET(PLE!$G$14,$M328,AY$13))))</f>
        <v>1000000000000</v>
      </c>
      <c r="AZ328" s="182">
        <f ca="1">IF($D328&lt;&gt;"Serviço",0,IF(OR(AND(AUTOEVENTO="Manual",$M328=1),$M328&gt;(ROW(PLE.lastrow)-ROW(PLE.firstrow))),0,IF(OFFSET(PLE!$G$14,$M328,AZ$13)="",10^12,OFFSET(PLE!$G$14,$M328,AZ$13))))</f>
        <v>1000000000000</v>
      </c>
      <c r="BA328" s="182">
        <f ca="1">IF($D328&lt;&gt;"Serviço",0,IF(OR(AND(AUTOEVENTO="Manual",$M328=1),$M328&gt;(ROW(PLE.lastrow)-ROW(PLE.firstrow))),0,IF(OFFSET(PLE!$G$14,$M328,BA$13)="",10^12,OFFSET(PLE!$G$14,$M328,BA$13))))</f>
        <v>1000000000000</v>
      </c>
      <c r="BB328" s="182">
        <f ca="1">IF($D328&lt;&gt;"Serviço",0,IF(OR(AND(AUTOEVENTO="Manual",$M328=1),$M328&gt;(ROW(PLE.lastrow)-ROW(PLE.firstrow))),0,IF(OFFSET(PLE!$G$14,$M328,BB$13)="",10^12,OFFSET(PLE!$G$14,$M328,BB$13))))</f>
        <v>1000000000000</v>
      </c>
      <c r="BC328" s="182">
        <f ca="1">IF($D328&lt;&gt;"Serviço",0,IF(OR(AND(AUTOEVENTO="Manual",$M328=1),$M328&gt;(ROW(PLE.lastrow)-ROW(PLE.firstrow))),0,IF(OFFSET(PLE!$G$14,$M328,BC$13)="",10^12,OFFSET(PLE!$G$14,$M328,BC$13))))</f>
        <v>1000000000000</v>
      </c>
      <c r="BD328" s="182">
        <f ca="1">IF($D328&lt;&gt;"Serviço",0,IF(OR(AND(AUTOEVENTO="Manual",$M328=1),$M328&gt;(ROW(PLE.lastrow)-ROW(PLE.firstrow))),0,IF(OFFSET(PLE!$G$14,$M328,BD$13)="",10^12,OFFSET(PLE!$G$14,$M328,BD$13))))</f>
        <v>1000000000000</v>
      </c>
      <c r="BE328" s="182">
        <f ca="1">IF($D328&lt;&gt;"Serviço",0,IF(OR(AND(AUTOEVENTO="Manual",$M328=1),$M328&gt;(ROW(PLE.lastrow)-ROW(PLE.firstrow))),0,IF(OFFSET(PLE!$G$14,$M328,BE$13)="",10^12,OFFSET(PLE!$G$14,$M328,BE$13))))</f>
        <v>1000000000000</v>
      </c>
      <c r="BF328" s="182">
        <f ca="1">IF($D328&lt;&gt;"Serviço",0,IF(OR(AND(AUTOEVENTO="Manual",$M328=1),$M328&gt;(ROW(PLE.lastrow)-ROW(PLE.firstrow))),0,IF(OFFSET(PLE!$G$14,$M328,BF$13)="",10^12,OFFSET(PLE!$G$14,$M328,BF$13))))</f>
        <v>1000000000000</v>
      </c>
      <c r="BG328" s="182">
        <f ca="1">IF($D328&lt;&gt;"Serviço",0,IF(OR(AND(AUTOEVENTO="Manual",$M328=1),$M328&gt;(ROW(PLE.lastrow)-ROW(PLE.firstrow))),0,IF(OFFSET(PLE!$G$14,$M328,BG$13)="",10^12,OFFSET(PLE!$G$14,$M328,BG$13))))</f>
        <v>1000000000000</v>
      </c>
    </row>
    <row r="329" spans="1:59" ht="38.25" x14ac:dyDescent="0.2">
      <c r="A329" s="7" t="str">
        <f t="shared" ca="1" si="11"/>
        <v>302</v>
      </c>
      <c r="B329" s="7" t="str">
        <f ca="1">OFFSET(ORÇAMENTO!C$15,ROW(B329)-ROW(B$15),0)</f>
        <v>S</v>
      </c>
      <c r="C329" s="7" t="str">
        <f ca="1">OFFSET(ORÇAMENTO!L$15,ROW(C329)-ROW(C$15),0)</f>
        <v/>
      </c>
      <c r="D329" s="118" t="str">
        <f ca="1">OFFSET(ORÇAMENTO!N$15,ROW(D329)-ROW(D$15),0)</f>
        <v>Serviço</v>
      </c>
      <c r="E329" s="119" t="str">
        <f ca="1">OFFSET(ORÇAMENTO!O$15,ROW(E329)-ROW(E$15),0)</f>
        <v>-</v>
      </c>
      <c r="F329" s="172" t="str">
        <f ca="1">OFFSET(ORÇAMENTO!R$15,ROW(F329)-ROW(F$15),0)</f>
        <v>(abra o arquivo 'Referência 02-2025.xlsm)</v>
      </c>
      <c r="G329" s="173" t="str">
        <f ca="1">IF($D329&lt;&gt;"Serviço","",OFFSET(ORÇAMENTO!S$15,ROW(G329)-ROW(G$15),0))</f>
        <v>-</v>
      </c>
      <c r="H329" s="124">
        <f ca="1">IF($D329&lt;&gt;"Serviço",0,IF(ACOMPANHAMENTO="BM",ROUND(OFFSET(ORÇAMENTO!AJ$15,ROW(H329)-ROW(H$15),0),15-13*ORÇAMENTO!$AF$7),SUMPRODUCT(($Q$12:$AA$12&lt;&gt;"")*ROUND($Q329:$AA329,15-13*ORÇAMENTO!$AF$7))))</f>
        <v>48</v>
      </c>
      <c r="I329" s="561" t="s">
        <v>890</v>
      </c>
      <c r="K329" s="174"/>
      <c r="L329" s="175" t="s">
        <v>255</v>
      </c>
      <c r="M329" s="176">
        <f ca="1">IF($D329&lt;&gt;"Serviço","",IF(AUTOEVENTO="manual",$A329,IF(ISERROR(MATCH($A329,$A$15:OFFSET($A329,-1,0),0)),MAX($M$15:OFFSET(M329,-1,0))+1,INDEX($M$15:OFFSET(M329,-1,0),MATCH($A329,$A$15:OFFSET($A329,-1,0),0)))))</f>
        <v>14</v>
      </c>
      <c r="N329" s="177" t="str">
        <f ca="1">IF($D329&lt;&gt;"Serviço","",IF(AUTOEVENTO="Manual",IF($A329=0,"&lt;-- defina o número do agrupador",OFFSET(EVENTOS!$D$14,$A329,0)),OFFSET($F$15,$A329,0)))</f>
        <v>DRENAGEM DE ÁGUAS PLUVIAIS</v>
      </c>
      <c r="O329" s="178"/>
      <c r="Q329" s="178"/>
      <c r="R329" s="179"/>
      <c r="S329" s="179"/>
      <c r="T329" s="179"/>
      <c r="U329" s="179"/>
      <c r="V329" s="179"/>
      <c r="W329" s="179"/>
      <c r="X329" s="179"/>
      <c r="Y329" s="179"/>
      <c r="Z329" s="180"/>
      <c r="AB329" s="544">
        <f ca="1">IF(AND($D329="Serviço",AB$12&lt;&gt;0,$H329&gt;0,OR(AUTOEVENTO&lt;&gt;"manual",$M329&lt;&gt;1)),
IF(Import.TipoArredondamento&lt;&gt;"TransfereGOV",
ROUND(OFFSET($P329,0,AB$13),15-13*ORÇAMENTO!$AF$7)/$H329*OFFSET(ORÇAMENTO!$X$15,ROW(AB329)-ROW(AB$15),0),
ROUND(ROUND(OFFSET($P329,0,AB$13),15-13*ORÇAMENTO!$AF$7)*OFFSET(ORÇAMENTO!$W$15,ROW(AB329)-ROW(AB$15),0),15-13*ORÇAMENTO!$AF$11)),0)</f>
        <v>0</v>
      </c>
      <c r="AC329" s="545">
        <f ca="1">IF(AND($D329="Serviço",AC$12&lt;&gt;0,$H329&gt;0,OR(AUTOEVENTO&lt;&gt;"manual",$M329&lt;&gt;1)),
IF(Import.TipoArredondamento&lt;&gt;"TransfereGOV",
ROUND(OFFSET($P329,0,AC$13),15-13*ORÇAMENTO!$AF$7)/$H329*OFFSET(ORÇAMENTO!$X$15,ROW(AC329)-ROW(AC$15),0),
ROUND(ROUND(OFFSET($P329,0,AC$13),15-13*ORÇAMENTO!$AF$7)*OFFSET(ORÇAMENTO!$W$15,ROW(AC329)-ROW(AC$15),0),15-13*ORÇAMENTO!$AF$11)),0)</f>
        <v>0</v>
      </c>
      <c r="AD329" s="545">
        <f ca="1">IF(AND($D329="Serviço",AD$12&lt;&gt;0,$H329&gt;0,OR(AUTOEVENTO&lt;&gt;"manual",$M329&lt;&gt;1)),
IF(Import.TipoArredondamento&lt;&gt;"TransfereGOV",
ROUND(OFFSET($P329,0,AD$13),15-13*ORÇAMENTO!$AF$7)/$H329*OFFSET(ORÇAMENTO!$X$15,ROW(AD329)-ROW(AD$15),0),
ROUND(ROUND(OFFSET($P329,0,AD$13),15-13*ORÇAMENTO!$AF$7)*OFFSET(ORÇAMENTO!$W$15,ROW(AD329)-ROW(AD$15),0),15-13*ORÇAMENTO!$AF$11)),0)</f>
        <v>0</v>
      </c>
      <c r="AE329" s="545">
        <f ca="1">IF(AND($D329="Serviço",AE$12&lt;&gt;0,$H329&gt;0,OR(AUTOEVENTO&lt;&gt;"manual",$M329&lt;&gt;1)),
IF(Import.TipoArredondamento&lt;&gt;"TransfereGOV",
ROUND(OFFSET($P329,0,AE$13),15-13*ORÇAMENTO!$AF$7)/$H329*OFFSET(ORÇAMENTO!$X$15,ROW(AE329)-ROW(AE$15),0),
ROUND(ROUND(OFFSET($P329,0,AE$13),15-13*ORÇAMENTO!$AF$7)*OFFSET(ORÇAMENTO!$W$15,ROW(AE329)-ROW(AE$15),0),15-13*ORÇAMENTO!$AF$11)),0)</f>
        <v>0</v>
      </c>
      <c r="AF329" s="545">
        <f ca="1">IF(AND($D329="Serviço",AF$12&lt;&gt;0,$H329&gt;0,OR(AUTOEVENTO&lt;&gt;"manual",$M329&lt;&gt;1)),
IF(Import.TipoArredondamento&lt;&gt;"TransfereGOV",
ROUND(OFFSET($P329,0,AF$13),15-13*ORÇAMENTO!$AF$7)/$H329*OFFSET(ORÇAMENTO!$X$15,ROW(AF329)-ROW(AF$15),0),
ROUND(ROUND(OFFSET($P329,0,AF$13),15-13*ORÇAMENTO!$AF$7)*OFFSET(ORÇAMENTO!$W$15,ROW(AF329)-ROW(AF$15),0),15-13*ORÇAMENTO!$AF$11)),0)</f>
        <v>0</v>
      </c>
      <c r="AG329" s="545">
        <f ca="1">IF(AND($D329="Serviço",AG$12&lt;&gt;0,$H329&gt;0,OR(AUTOEVENTO&lt;&gt;"manual",$M329&lt;&gt;1)),
IF(Import.TipoArredondamento&lt;&gt;"TransfereGOV",
ROUND(OFFSET($P329,0,AG$13),15-13*ORÇAMENTO!$AF$7)/$H329*OFFSET(ORÇAMENTO!$X$15,ROW(AG329)-ROW(AG$15),0),
ROUND(ROUND(OFFSET($P329,0,AG$13),15-13*ORÇAMENTO!$AF$7)*OFFSET(ORÇAMENTO!$W$15,ROW(AG329)-ROW(AG$15),0),15-13*ORÇAMENTO!$AF$11)),0)</f>
        <v>0</v>
      </c>
      <c r="AH329" s="545">
        <f ca="1">IF(AND($D329="Serviço",AH$12&lt;&gt;0,$H329&gt;0,OR(AUTOEVENTO&lt;&gt;"manual",$M329&lt;&gt;1)),
IF(Import.TipoArredondamento&lt;&gt;"TransfereGOV",
ROUND(OFFSET($P329,0,AH$13),15-13*ORÇAMENTO!$AF$7)/$H329*OFFSET(ORÇAMENTO!$X$15,ROW(AH329)-ROW(AH$15),0),
ROUND(ROUND(OFFSET($P329,0,AH$13),15-13*ORÇAMENTO!$AF$7)*OFFSET(ORÇAMENTO!$W$15,ROW(AH329)-ROW(AH$15),0),15-13*ORÇAMENTO!$AF$11)),0)</f>
        <v>0</v>
      </c>
      <c r="AI329" s="545">
        <f ca="1">IF(AND($D329="Serviço",AI$12&lt;&gt;0,$H329&gt;0,OR(AUTOEVENTO&lt;&gt;"manual",$M329&lt;&gt;1)),
IF(Import.TipoArredondamento&lt;&gt;"TransfereGOV",
ROUND(OFFSET($P329,0,AI$13),15-13*ORÇAMENTO!$AF$7)/$H329*OFFSET(ORÇAMENTO!$X$15,ROW(AI329)-ROW(AI$15),0),
ROUND(ROUND(OFFSET($P329,0,AI$13),15-13*ORÇAMENTO!$AF$7)*OFFSET(ORÇAMENTO!$W$15,ROW(AI329)-ROW(AI$15),0),15-13*ORÇAMENTO!$AF$11)),0)</f>
        <v>0</v>
      </c>
      <c r="AJ329" s="545">
        <f ca="1">IF(AND($D329="Serviço",AJ$12&lt;&gt;0,$H329&gt;0,OR(AUTOEVENTO&lt;&gt;"manual",$M329&lt;&gt;1)),
IF(Import.TipoArredondamento&lt;&gt;"TransfereGOV",
ROUND(OFFSET($P329,0,AJ$13),15-13*ORÇAMENTO!$AF$7)/$H329*OFFSET(ORÇAMENTO!$X$15,ROW(AJ329)-ROW(AJ$15),0),
ROUND(ROUND(OFFSET($P329,0,AJ$13),15-13*ORÇAMENTO!$AF$7)*OFFSET(ORÇAMENTO!$W$15,ROW(AJ329)-ROW(AJ$15),0),15-13*ORÇAMENTO!$AF$11)),0)</f>
        <v>0</v>
      </c>
      <c r="AK329" s="546">
        <f ca="1">IF(AND($D329="Serviço",AK$12&lt;&gt;0,$H329&gt;0,OR(AUTOEVENTO&lt;&gt;"manual",$M329&lt;&gt;1)),
IF(Import.TipoArredondamento&lt;&gt;"TransfereGOV",
ROUND(OFFSET($P329,0,AK$13),15-13*ORÇAMENTO!$AF$7)/$H329*OFFSET(ORÇAMENTO!$X$15,ROW(AK329)-ROW(AK$15),0),
ROUND(ROUND(OFFSET($P329,0,AK$13),15-13*ORÇAMENTO!$AF$7)*OFFSET(ORÇAMENTO!$W$15,ROW(AK329)-ROW(AK$15),0),15-13*ORÇAMENTO!$AF$11)),0)</f>
        <v>0</v>
      </c>
      <c r="AM329" s="181">
        <f ca="1">IF($D329&lt;&gt;"Serviço",0,IF(AND(AUTOEVENTO="Manual",$M329=1),0,IF(OFFSET(CRONOPLE!$F$14,$M329,AM$13)="",10^12,OFFSET(CRONOPLE!$F$14,$M329,AM$13))))</f>
        <v>1000000000000</v>
      </c>
      <c r="AN329" s="181">
        <f ca="1">IF($D329&lt;&gt;"Serviço",0,IF(AND(AUTOEVENTO="Manual",$M329=1),0,IF(OFFSET(CRONOPLE!$F$14,$M329,AN$13)="",10^12,OFFSET(CRONOPLE!$F$14,$M329,AN$13))))</f>
        <v>1000000000000</v>
      </c>
      <c r="AO329" s="181">
        <f ca="1">IF($D329&lt;&gt;"Serviço",0,IF(AND(AUTOEVENTO="Manual",$M329=1),0,IF(OFFSET(CRONOPLE!$F$14,$M329,AO$13)="",10^12,OFFSET(CRONOPLE!$F$14,$M329,AO$13))))</f>
        <v>1000000000000</v>
      </c>
      <c r="AP329" s="181">
        <f ca="1">IF($D329&lt;&gt;"Serviço",0,IF(AND(AUTOEVENTO="Manual",$M329=1),0,IF(OFFSET(CRONOPLE!$F$14,$M329,AP$13)="",10^12,OFFSET(CRONOPLE!$F$14,$M329,AP$13))))</f>
        <v>1000000000000</v>
      </c>
      <c r="AQ329" s="181">
        <f ca="1">IF($D329&lt;&gt;"Serviço",0,IF(AND(AUTOEVENTO="Manual",$M329=1),0,IF(OFFSET(CRONOPLE!$F$14,$M329,AQ$13)="",10^12,OFFSET(CRONOPLE!$F$14,$M329,AQ$13))))</f>
        <v>1000000000000</v>
      </c>
      <c r="AR329" s="181">
        <f ca="1">IF($D329&lt;&gt;"Serviço",0,IF(AND(AUTOEVENTO="Manual",$M329=1),0,IF(OFFSET(CRONOPLE!$F$14,$M329,AR$13)="",10^12,OFFSET(CRONOPLE!$F$14,$M329,AR$13))))</f>
        <v>1000000000000</v>
      </c>
      <c r="AS329" s="181">
        <f ca="1">IF($D329&lt;&gt;"Serviço",0,IF(AND(AUTOEVENTO="Manual",$M329=1),0,IF(OFFSET(CRONOPLE!$F$14,$M329,AS$13)="",10^12,OFFSET(CRONOPLE!$F$14,$M329,AS$13))))</f>
        <v>1000000000000</v>
      </c>
      <c r="AT329" s="181">
        <f ca="1">IF($D329&lt;&gt;"Serviço",0,IF(AND(AUTOEVENTO="Manual",$M329=1),0,IF(OFFSET(CRONOPLE!$F$14,$M329,AT$13)="",10^12,OFFSET(CRONOPLE!$F$14,$M329,AT$13))))</f>
        <v>1000000000000</v>
      </c>
      <c r="AU329" s="181">
        <f ca="1">IF($D329&lt;&gt;"Serviço",0,IF(AND(AUTOEVENTO="Manual",$M329=1),0,IF(OFFSET(CRONOPLE!$F$14,$M329,AU$13)="",10^12,OFFSET(CRONOPLE!$F$14,$M329,AU$13))))</f>
        <v>1000000000000</v>
      </c>
      <c r="AV329" s="181">
        <f ca="1">IF($D329&lt;&gt;"Serviço",0,IF(AND(AUTOEVENTO="Manual",$M329=1),0,IF(OFFSET(CRONOPLE!$F$14,$M329,AV$13)="",10^12,OFFSET(CRONOPLE!$F$14,$M329,AV$13))))</f>
        <v>1000000000000</v>
      </c>
      <c r="AX329" s="182">
        <f ca="1">IF($D329&lt;&gt;"Serviço",0,IF(OR(AND(AUTOEVENTO="Manual",$M329=1),$M329&gt;(ROW(PLE.lastrow)-ROW(PLE.firstrow))),0,IF(OFFSET(PLE!$G$14,$M329,AX$13)="",10^12,OFFSET(PLE!$G$14,$M329,AX$13))))</f>
        <v>1000000000000</v>
      </c>
      <c r="AY329" s="182">
        <f ca="1">IF($D329&lt;&gt;"Serviço",0,IF(OR(AND(AUTOEVENTO="Manual",$M329=1),$M329&gt;(ROW(PLE.lastrow)-ROW(PLE.firstrow))),0,IF(OFFSET(PLE!$G$14,$M329,AY$13)="",10^12,OFFSET(PLE!$G$14,$M329,AY$13))))</f>
        <v>1000000000000</v>
      </c>
      <c r="AZ329" s="182">
        <f ca="1">IF($D329&lt;&gt;"Serviço",0,IF(OR(AND(AUTOEVENTO="Manual",$M329=1),$M329&gt;(ROW(PLE.lastrow)-ROW(PLE.firstrow))),0,IF(OFFSET(PLE!$G$14,$M329,AZ$13)="",10^12,OFFSET(PLE!$G$14,$M329,AZ$13))))</f>
        <v>1000000000000</v>
      </c>
      <c r="BA329" s="182">
        <f ca="1">IF($D329&lt;&gt;"Serviço",0,IF(OR(AND(AUTOEVENTO="Manual",$M329=1),$M329&gt;(ROW(PLE.lastrow)-ROW(PLE.firstrow))),0,IF(OFFSET(PLE!$G$14,$M329,BA$13)="",10^12,OFFSET(PLE!$G$14,$M329,BA$13))))</f>
        <v>1000000000000</v>
      </c>
      <c r="BB329" s="182">
        <f ca="1">IF($D329&lt;&gt;"Serviço",0,IF(OR(AND(AUTOEVENTO="Manual",$M329=1),$M329&gt;(ROW(PLE.lastrow)-ROW(PLE.firstrow))),0,IF(OFFSET(PLE!$G$14,$M329,BB$13)="",10^12,OFFSET(PLE!$G$14,$M329,BB$13))))</f>
        <v>1000000000000</v>
      </c>
      <c r="BC329" s="182">
        <f ca="1">IF($D329&lt;&gt;"Serviço",0,IF(OR(AND(AUTOEVENTO="Manual",$M329=1),$M329&gt;(ROW(PLE.lastrow)-ROW(PLE.firstrow))),0,IF(OFFSET(PLE!$G$14,$M329,BC$13)="",10^12,OFFSET(PLE!$G$14,$M329,BC$13))))</f>
        <v>1000000000000</v>
      </c>
      <c r="BD329" s="182">
        <f ca="1">IF($D329&lt;&gt;"Serviço",0,IF(OR(AND(AUTOEVENTO="Manual",$M329=1),$M329&gt;(ROW(PLE.lastrow)-ROW(PLE.firstrow))),0,IF(OFFSET(PLE!$G$14,$M329,BD$13)="",10^12,OFFSET(PLE!$G$14,$M329,BD$13))))</f>
        <v>1000000000000</v>
      </c>
      <c r="BE329" s="182">
        <f ca="1">IF($D329&lt;&gt;"Serviço",0,IF(OR(AND(AUTOEVENTO="Manual",$M329=1),$M329&gt;(ROW(PLE.lastrow)-ROW(PLE.firstrow))),0,IF(OFFSET(PLE!$G$14,$M329,BE$13)="",10^12,OFFSET(PLE!$G$14,$M329,BE$13))))</f>
        <v>1000000000000</v>
      </c>
      <c r="BF329" s="182">
        <f ca="1">IF($D329&lt;&gt;"Serviço",0,IF(OR(AND(AUTOEVENTO="Manual",$M329=1),$M329&gt;(ROW(PLE.lastrow)-ROW(PLE.firstrow))),0,IF(OFFSET(PLE!$G$14,$M329,BF$13)="",10^12,OFFSET(PLE!$G$14,$M329,BF$13))))</f>
        <v>1000000000000</v>
      </c>
      <c r="BG329" s="182">
        <f ca="1">IF($D329&lt;&gt;"Serviço",0,IF(OR(AND(AUTOEVENTO="Manual",$M329=1),$M329&gt;(ROW(PLE.lastrow)-ROW(PLE.firstrow))),0,IF(OFFSET(PLE!$G$14,$M329,BG$13)="",10^12,OFFSET(PLE!$G$14,$M329,BG$13))))</f>
        <v>1000000000000</v>
      </c>
    </row>
    <row r="330" spans="1:59" ht="51" x14ac:dyDescent="0.2">
      <c r="A330" s="7" t="str">
        <f t="shared" ca="1" si="11"/>
        <v>302</v>
      </c>
      <c r="B330" s="7" t="str">
        <f ca="1">OFFSET(ORÇAMENTO!C$15,ROW(B330)-ROW(B$15),0)</f>
        <v>S</v>
      </c>
      <c r="C330" s="7" t="str">
        <f ca="1">OFFSET(ORÇAMENTO!L$15,ROW(C330)-ROW(C$15),0)</f>
        <v/>
      </c>
      <c r="D330" s="118" t="str">
        <f ca="1">OFFSET(ORÇAMENTO!N$15,ROW(D330)-ROW(D$15),0)</f>
        <v>Serviço</v>
      </c>
      <c r="E330" s="119" t="str">
        <f ca="1">OFFSET(ORÇAMENTO!O$15,ROW(E330)-ROW(E$15),0)</f>
        <v>-</v>
      </c>
      <c r="F330" s="172" t="str">
        <f ca="1">OFFSET(ORÇAMENTO!R$15,ROW(F330)-ROW(F$15),0)</f>
        <v>(abra o arquivo 'Referência 02-2025.xlsm)</v>
      </c>
      <c r="G330" s="173" t="str">
        <f ca="1">IF($D330&lt;&gt;"Serviço","",OFFSET(ORÇAMENTO!S$15,ROW(G330)-ROW(G$15),0))</f>
        <v>-</v>
      </c>
      <c r="H330" s="124">
        <f ca="1">IF($D330&lt;&gt;"Serviço",0,IF(ACOMPANHAMENTO="BM",ROUND(OFFSET(ORÇAMENTO!AJ$15,ROW(H330)-ROW(H$15),0),15-13*ORÇAMENTO!$AF$7),SUMPRODUCT(($Q$12:$AA$12&lt;&gt;"")*ROUND($Q330:$AA330,15-13*ORÇAMENTO!$AF$7))))</f>
        <v>1</v>
      </c>
      <c r="I330" s="561" t="s">
        <v>890</v>
      </c>
      <c r="K330" s="174"/>
      <c r="L330" s="175" t="s">
        <v>255</v>
      </c>
      <c r="M330" s="176">
        <f ca="1">IF($D330&lt;&gt;"Serviço","",IF(AUTOEVENTO="manual",$A330,IF(ISERROR(MATCH($A330,$A$15:OFFSET($A330,-1,0),0)),MAX($M$15:OFFSET(M330,-1,0))+1,INDEX($M$15:OFFSET(M330,-1,0),MATCH($A330,$A$15:OFFSET($A330,-1,0),0)))))</f>
        <v>14</v>
      </c>
      <c r="N330" s="177" t="str">
        <f ca="1">IF($D330&lt;&gt;"Serviço","",IF(AUTOEVENTO="Manual",IF($A330=0,"&lt;-- defina o número do agrupador",OFFSET(EVENTOS!$D$14,$A330,0)),OFFSET($F$15,$A330,0)))</f>
        <v>DRENAGEM DE ÁGUAS PLUVIAIS</v>
      </c>
      <c r="O330" s="178"/>
      <c r="Q330" s="178"/>
      <c r="R330" s="179"/>
      <c r="S330" s="179"/>
      <c r="T330" s="179"/>
      <c r="U330" s="179"/>
      <c r="V330" s="179"/>
      <c r="W330" s="179"/>
      <c r="X330" s="179"/>
      <c r="Y330" s="179"/>
      <c r="Z330" s="180"/>
      <c r="AB330" s="544">
        <f ca="1">IF(AND($D330="Serviço",AB$12&lt;&gt;0,$H330&gt;0,OR(AUTOEVENTO&lt;&gt;"manual",$M330&lt;&gt;1)),
IF(Import.TipoArredondamento&lt;&gt;"TransfereGOV",
ROUND(OFFSET($P330,0,AB$13),15-13*ORÇAMENTO!$AF$7)/$H330*OFFSET(ORÇAMENTO!$X$15,ROW(AB330)-ROW(AB$15),0),
ROUND(ROUND(OFFSET($P330,0,AB$13),15-13*ORÇAMENTO!$AF$7)*OFFSET(ORÇAMENTO!$W$15,ROW(AB330)-ROW(AB$15),0),15-13*ORÇAMENTO!$AF$11)),0)</f>
        <v>0</v>
      </c>
      <c r="AC330" s="545">
        <f ca="1">IF(AND($D330="Serviço",AC$12&lt;&gt;0,$H330&gt;0,OR(AUTOEVENTO&lt;&gt;"manual",$M330&lt;&gt;1)),
IF(Import.TipoArredondamento&lt;&gt;"TransfereGOV",
ROUND(OFFSET($P330,0,AC$13),15-13*ORÇAMENTO!$AF$7)/$H330*OFFSET(ORÇAMENTO!$X$15,ROW(AC330)-ROW(AC$15),0),
ROUND(ROUND(OFFSET($P330,0,AC$13),15-13*ORÇAMENTO!$AF$7)*OFFSET(ORÇAMENTO!$W$15,ROW(AC330)-ROW(AC$15),0),15-13*ORÇAMENTO!$AF$11)),0)</f>
        <v>0</v>
      </c>
      <c r="AD330" s="545">
        <f ca="1">IF(AND($D330="Serviço",AD$12&lt;&gt;0,$H330&gt;0,OR(AUTOEVENTO&lt;&gt;"manual",$M330&lt;&gt;1)),
IF(Import.TipoArredondamento&lt;&gt;"TransfereGOV",
ROUND(OFFSET($P330,0,AD$13),15-13*ORÇAMENTO!$AF$7)/$H330*OFFSET(ORÇAMENTO!$X$15,ROW(AD330)-ROW(AD$15),0),
ROUND(ROUND(OFFSET($P330,0,AD$13),15-13*ORÇAMENTO!$AF$7)*OFFSET(ORÇAMENTO!$W$15,ROW(AD330)-ROW(AD$15),0),15-13*ORÇAMENTO!$AF$11)),0)</f>
        <v>0</v>
      </c>
      <c r="AE330" s="545">
        <f ca="1">IF(AND($D330="Serviço",AE$12&lt;&gt;0,$H330&gt;0,OR(AUTOEVENTO&lt;&gt;"manual",$M330&lt;&gt;1)),
IF(Import.TipoArredondamento&lt;&gt;"TransfereGOV",
ROUND(OFFSET($P330,0,AE$13),15-13*ORÇAMENTO!$AF$7)/$H330*OFFSET(ORÇAMENTO!$X$15,ROW(AE330)-ROW(AE$15),0),
ROUND(ROUND(OFFSET($P330,0,AE$13),15-13*ORÇAMENTO!$AF$7)*OFFSET(ORÇAMENTO!$W$15,ROW(AE330)-ROW(AE$15),0),15-13*ORÇAMENTO!$AF$11)),0)</f>
        <v>0</v>
      </c>
      <c r="AF330" s="545">
        <f ca="1">IF(AND($D330="Serviço",AF$12&lt;&gt;0,$H330&gt;0,OR(AUTOEVENTO&lt;&gt;"manual",$M330&lt;&gt;1)),
IF(Import.TipoArredondamento&lt;&gt;"TransfereGOV",
ROUND(OFFSET($P330,0,AF$13),15-13*ORÇAMENTO!$AF$7)/$H330*OFFSET(ORÇAMENTO!$X$15,ROW(AF330)-ROW(AF$15),0),
ROUND(ROUND(OFFSET($P330,0,AF$13),15-13*ORÇAMENTO!$AF$7)*OFFSET(ORÇAMENTO!$W$15,ROW(AF330)-ROW(AF$15),0),15-13*ORÇAMENTO!$AF$11)),0)</f>
        <v>0</v>
      </c>
      <c r="AG330" s="545">
        <f ca="1">IF(AND($D330="Serviço",AG$12&lt;&gt;0,$H330&gt;0,OR(AUTOEVENTO&lt;&gt;"manual",$M330&lt;&gt;1)),
IF(Import.TipoArredondamento&lt;&gt;"TransfereGOV",
ROUND(OFFSET($P330,0,AG$13),15-13*ORÇAMENTO!$AF$7)/$H330*OFFSET(ORÇAMENTO!$X$15,ROW(AG330)-ROW(AG$15),0),
ROUND(ROUND(OFFSET($P330,0,AG$13),15-13*ORÇAMENTO!$AF$7)*OFFSET(ORÇAMENTO!$W$15,ROW(AG330)-ROW(AG$15),0),15-13*ORÇAMENTO!$AF$11)),0)</f>
        <v>0</v>
      </c>
      <c r="AH330" s="545">
        <f ca="1">IF(AND($D330="Serviço",AH$12&lt;&gt;0,$H330&gt;0,OR(AUTOEVENTO&lt;&gt;"manual",$M330&lt;&gt;1)),
IF(Import.TipoArredondamento&lt;&gt;"TransfereGOV",
ROUND(OFFSET($P330,0,AH$13),15-13*ORÇAMENTO!$AF$7)/$H330*OFFSET(ORÇAMENTO!$X$15,ROW(AH330)-ROW(AH$15),0),
ROUND(ROUND(OFFSET($P330,0,AH$13),15-13*ORÇAMENTO!$AF$7)*OFFSET(ORÇAMENTO!$W$15,ROW(AH330)-ROW(AH$15),0),15-13*ORÇAMENTO!$AF$11)),0)</f>
        <v>0</v>
      </c>
      <c r="AI330" s="545">
        <f ca="1">IF(AND($D330="Serviço",AI$12&lt;&gt;0,$H330&gt;0,OR(AUTOEVENTO&lt;&gt;"manual",$M330&lt;&gt;1)),
IF(Import.TipoArredondamento&lt;&gt;"TransfereGOV",
ROUND(OFFSET($P330,0,AI$13),15-13*ORÇAMENTO!$AF$7)/$H330*OFFSET(ORÇAMENTO!$X$15,ROW(AI330)-ROW(AI$15),0),
ROUND(ROUND(OFFSET($P330,0,AI$13),15-13*ORÇAMENTO!$AF$7)*OFFSET(ORÇAMENTO!$W$15,ROW(AI330)-ROW(AI$15),0),15-13*ORÇAMENTO!$AF$11)),0)</f>
        <v>0</v>
      </c>
      <c r="AJ330" s="545">
        <f ca="1">IF(AND($D330="Serviço",AJ$12&lt;&gt;0,$H330&gt;0,OR(AUTOEVENTO&lt;&gt;"manual",$M330&lt;&gt;1)),
IF(Import.TipoArredondamento&lt;&gt;"TransfereGOV",
ROUND(OFFSET($P330,0,AJ$13),15-13*ORÇAMENTO!$AF$7)/$H330*OFFSET(ORÇAMENTO!$X$15,ROW(AJ330)-ROW(AJ$15),0),
ROUND(ROUND(OFFSET($P330,0,AJ$13),15-13*ORÇAMENTO!$AF$7)*OFFSET(ORÇAMENTO!$W$15,ROW(AJ330)-ROW(AJ$15),0),15-13*ORÇAMENTO!$AF$11)),0)</f>
        <v>0</v>
      </c>
      <c r="AK330" s="546">
        <f ca="1">IF(AND($D330="Serviço",AK$12&lt;&gt;0,$H330&gt;0,OR(AUTOEVENTO&lt;&gt;"manual",$M330&lt;&gt;1)),
IF(Import.TipoArredondamento&lt;&gt;"TransfereGOV",
ROUND(OFFSET($P330,0,AK$13),15-13*ORÇAMENTO!$AF$7)/$H330*OFFSET(ORÇAMENTO!$X$15,ROW(AK330)-ROW(AK$15),0),
ROUND(ROUND(OFFSET($P330,0,AK$13),15-13*ORÇAMENTO!$AF$7)*OFFSET(ORÇAMENTO!$W$15,ROW(AK330)-ROW(AK$15),0),15-13*ORÇAMENTO!$AF$11)),0)</f>
        <v>0</v>
      </c>
      <c r="AM330" s="181">
        <f ca="1">IF($D330&lt;&gt;"Serviço",0,IF(AND(AUTOEVENTO="Manual",$M330=1),0,IF(OFFSET(CRONOPLE!$F$14,$M330,AM$13)="",10^12,OFFSET(CRONOPLE!$F$14,$M330,AM$13))))</f>
        <v>1000000000000</v>
      </c>
      <c r="AN330" s="181">
        <f ca="1">IF($D330&lt;&gt;"Serviço",0,IF(AND(AUTOEVENTO="Manual",$M330=1),0,IF(OFFSET(CRONOPLE!$F$14,$M330,AN$13)="",10^12,OFFSET(CRONOPLE!$F$14,$M330,AN$13))))</f>
        <v>1000000000000</v>
      </c>
      <c r="AO330" s="181">
        <f ca="1">IF($D330&lt;&gt;"Serviço",0,IF(AND(AUTOEVENTO="Manual",$M330=1),0,IF(OFFSET(CRONOPLE!$F$14,$M330,AO$13)="",10^12,OFFSET(CRONOPLE!$F$14,$M330,AO$13))))</f>
        <v>1000000000000</v>
      </c>
      <c r="AP330" s="181">
        <f ca="1">IF($D330&lt;&gt;"Serviço",0,IF(AND(AUTOEVENTO="Manual",$M330=1),0,IF(OFFSET(CRONOPLE!$F$14,$M330,AP$13)="",10^12,OFFSET(CRONOPLE!$F$14,$M330,AP$13))))</f>
        <v>1000000000000</v>
      </c>
      <c r="AQ330" s="181">
        <f ca="1">IF($D330&lt;&gt;"Serviço",0,IF(AND(AUTOEVENTO="Manual",$M330=1),0,IF(OFFSET(CRONOPLE!$F$14,$M330,AQ$13)="",10^12,OFFSET(CRONOPLE!$F$14,$M330,AQ$13))))</f>
        <v>1000000000000</v>
      </c>
      <c r="AR330" s="181">
        <f ca="1">IF($D330&lt;&gt;"Serviço",0,IF(AND(AUTOEVENTO="Manual",$M330=1),0,IF(OFFSET(CRONOPLE!$F$14,$M330,AR$13)="",10^12,OFFSET(CRONOPLE!$F$14,$M330,AR$13))))</f>
        <v>1000000000000</v>
      </c>
      <c r="AS330" s="181">
        <f ca="1">IF($D330&lt;&gt;"Serviço",0,IF(AND(AUTOEVENTO="Manual",$M330=1),0,IF(OFFSET(CRONOPLE!$F$14,$M330,AS$13)="",10^12,OFFSET(CRONOPLE!$F$14,$M330,AS$13))))</f>
        <v>1000000000000</v>
      </c>
      <c r="AT330" s="181">
        <f ca="1">IF($D330&lt;&gt;"Serviço",0,IF(AND(AUTOEVENTO="Manual",$M330=1),0,IF(OFFSET(CRONOPLE!$F$14,$M330,AT$13)="",10^12,OFFSET(CRONOPLE!$F$14,$M330,AT$13))))</f>
        <v>1000000000000</v>
      </c>
      <c r="AU330" s="181">
        <f ca="1">IF($D330&lt;&gt;"Serviço",0,IF(AND(AUTOEVENTO="Manual",$M330=1),0,IF(OFFSET(CRONOPLE!$F$14,$M330,AU$13)="",10^12,OFFSET(CRONOPLE!$F$14,$M330,AU$13))))</f>
        <v>1000000000000</v>
      </c>
      <c r="AV330" s="181">
        <f ca="1">IF($D330&lt;&gt;"Serviço",0,IF(AND(AUTOEVENTO="Manual",$M330=1),0,IF(OFFSET(CRONOPLE!$F$14,$M330,AV$13)="",10^12,OFFSET(CRONOPLE!$F$14,$M330,AV$13))))</f>
        <v>1000000000000</v>
      </c>
      <c r="AX330" s="182">
        <f ca="1">IF($D330&lt;&gt;"Serviço",0,IF(OR(AND(AUTOEVENTO="Manual",$M330=1),$M330&gt;(ROW(PLE.lastrow)-ROW(PLE.firstrow))),0,IF(OFFSET(PLE!$G$14,$M330,AX$13)="",10^12,OFFSET(PLE!$G$14,$M330,AX$13))))</f>
        <v>1000000000000</v>
      </c>
      <c r="AY330" s="182">
        <f ca="1">IF($D330&lt;&gt;"Serviço",0,IF(OR(AND(AUTOEVENTO="Manual",$M330=1),$M330&gt;(ROW(PLE.lastrow)-ROW(PLE.firstrow))),0,IF(OFFSET(PLE!$G$14,$M330,AY$13)="",10^12,OFFSET(PLE!$G$14,$M330,AY$13))))</f>
        <v>1000000000000</v>
      </c>
      <c r="AZ330" s="182">
        <f ca="1">IF($D330&lt;&gt;"Serviço",0,IF(OR(AND(AUTOEVENTO="Manual",$M330=1),$M330&gt;(ROW(PLE.lastrow)-ROW(PLE.firstrow))),0,IF(OFFSET(PLE!$G$14,$M330,AZ$13)="",10^12,OFFSET(PLE!$G$14,$M330,AZ$13))))</f>
        <v>1000000000000</v>
      </c>
      <c r="BA330" s="182">
        <f ca="1">IF($D330&lt;&gt;"Serviço",0,IF(OR(AND(AUTOEVENTO="Manual",$M330=1),$M330&gt;(ROW(PLE.lastrow)-ROW(PLE.firstrow))),0,IF(OFFSET(PLE!$G$14,$M330,BA$13)="",10^12,OFFSET(PLE!$G$14,$M330,BA$13))))</f>
        <v>1000000000000</v>
      </c>
      <c r="BB330" s="182">
        <f ca="1">IF($D330&lt;&gt;"Serviço",0,IF(OR(AND(AUTOEVENTO="Manual",$M330=1),$M330&gt;(ROW(PLE.lastrow)-ROW(PLE.firstrow))),0,IF(OFFSET(PLE!$G$14,$M330,BB$13)="",10^12,OFFSET(PLE!$G$14,$M330,BB$13))))</f>
        <v>1000000000000</v>
      </c>
      <c r="BC330" s="182">
        <f ca="1">IF($D330&lt;&gt;"Serviço",0,IF(OR(AND(AUTOEVENTO="Manual",$M330=1),$M330&gt;(ROW(PLE.lastrow)-ROW(PLE.firstrow))),0,IF(OFFSET(PLE!$G$14,$M330,BC$13)="",10^12,OFFSET(PLE!$G$14,$M330,BC$13))))</f>
        <v>1000000000000</v>
      </c>
      <c r="BD330" s="182">
        <f ca="1">IF($D330&lt;&gt;"Serviço",0,IF(OR(AND(AUTOEVENTO="Manual",$M330=1),$M330&gt;(ROW(PLE.lastrow)-ROW(PLE.firstrow))),0,IF(OFFSET(PLE!$G$14,$M330,BD$13)="",10^12,OFFSET(PLE!$G$14,$M330,BD$13))))</f>
        <v>1000000000000</v>
      </c>
      <c r="BE330" s="182">
        <f ca="1">IF($D330&lt;&gt;"Serviço",0,IF(OR(AND(AUTOEVENTO="Manual",$M330=1),$M330&gt;(ROW(PLE.lastrow)-ROW(PLE.firstrow))),0,IF(OFFSET(PLE!$G$14,$M330,BE$13)="",10^12,OFFSET(PLE!$G$14,$M330,BE$13))))</f>
        <v>1000000000000</v>
      </c>
      <c r="BF330" s="182">
        <f ca="1">IF($D330&lt;&gt;"Serviço",0,IF(OR(AND(AUTOEVENTO="Manual",$M330=1),$M330&gt;(ROW(PLE.lastrow)-ROW(PLE.firstrow))),0,IF(OFFSET(PLE!$G$14,$M330,BF$13)="",10^12,OFFSET(PLE!$G$14,$M330,BF$13))))</f>
        <v>1000000000000</v>
      </c>
      <c r="BG330" s="182">
        <f ca="1">IF($D330&lt;&gt;"Serviço",0,IF(OR(AND(AUTOEVENTO="Manual",$M330=1),$M330&gt;(ROW(PLE.lastrow)-ROW(PLE.firstrow))),0,IF(OFFSET(PLE!$G$14,$M330,BG$13)="",10^12,OFFSET(PLE!$G$14,$M330,BG$13))))</f>
        <v>1000000000000</v>
      </c>
    </row>
    <row r="331" spans="1:59" ht="38.25" x14ac:dyDescent="0.2">
      <c r="A331" s="7" t="str">
        <f t="shared" ca="1" si="11"/>
        <v>302</v>
      </c>
      <c r="B331" s="7" t="str">
        <f ca="1">OFFSET(ORÇAMENTO!C$15,ROW(B331)-ROW(B$15),0)</f>
        <v>S</v>
      </c>
      <c r="C331" s="7" t="str">
        <f ca="1">OFFSET(ORÇAMENTO!L$15,ROW(C331)-ROW(C$15),0)</f>
        <v/>
      </c>
      <c r="D331" s="118" t="str">
        <f ca="1">OFFSET(ORÇAMENTO!N$15,ROW(D331)-ROW(D$15),0)</f>
        <v>Serviço</v>
      </c>
      <c r="E331" s="119" t="str">
        <f ca="1">OFFSET(ORÇAMENTO!O$15,ROW(E331)-ROW(E$15),0)</f>
        <v>-</v>
      </c>
      <c r="F331" s="172" t="str">
        <f ca="1">OFFSET(ORÇAMENTO!R$15,ROW(F331)-ROW(F$15),0)</f>
        <v>(abra o arquivo 'Referência 02-2025.xlsm)</v>
      </c>
      <c r="G331" s="173" t="str">
        <f ca="1">IF($D331&lt;&gt;"Serviço","",OFFSET(ORÇAMENTO!S$15,ROW(G331)-ROW(G$15),0))</f>
        <v>-</v>
      </c>
      <c r="H331" s="124">
        <f ca="1">IF($D331&lt;&gt;"Serviço",0,IF(ACOMPANHAMENTO="BM",ROUND(OFFSET(ORÇAMENTO!AJ$15,ROW(H331)-ROW(H$15),0),15-13*ORÇAMENTO!$AF$7),SUMPRODUCT(($Q$12:$AA$12&lt;&gt;"")*ROUND($Q331:$AA331,15-13*ORÇAMENTO!$AF$7))))</f>
        <v>3</v>
      </c>
      <c r="I331" s="561" t="s">
        <v>890</v>
      </c>
      <c r="K331" s="174"/>
      <c r="L331" s="175" t="s">
        <v>255</v>
      </c>
      <c r="M331" s="176">
        <f ca="1">IF($D331&lt;&gt;"Serviço","",IF(AUTOEVENTO="manual",$A331,IF(ISERROR(MATCH($A331,$A$15:OFFSET($A331,-1,0),0)),MAX($M$15:OFFSET(M331,-1,0))+1,INDEX($M$15:OFFSET(M331,-1,0),MATCH($A331,$A$15:OFFSET($A331,-1,0),0)))))</f>
        <v>14</v>
      </c>
      <c r="N331" s="177" t="str">
        <f ca="1">IF($D331&lt;&gt;"Serviço","",IF(AUTOEVENTO="Manual",IF($A331=0,"&lt;-- defina o número do agrupador",OFFSET(EVENTOS!$D$14,$A331,0)),OFFSET($F$15,$A331,0)))</f>
        <v>DRENAGEM DE ÁGUAS PLUVIAIS</v>
      </c>
      <c r="O331" s="178"/>
      <c r="Q331" s="178"/>
      <c r="R331" s="179"/>
      <c r="S331" s="179"/>
      <c r="T331" s="179"/>
      <c r="U331" s="179"/>
      <c r="V331" s="179"/>
      <c r="W331" s="179"/>
      <c r="X331" s="179"/>
      <c r="Y331" s="179"/>
      <c r="Z331" s="180"/>
      <c r="AB331" s="544">
        <f ca="1">IF(AND($D331="Serviço",AB$12&lt;&gt;0,$H331&gt;0,OR(AUTOEVENTO&lt;&gt;"manual",$M331&lt;&gt;1)),
IF(Import.TipoArredondamento&lt;&gt;"TransfereGOV",
ROUND(OFFSET($P331,0,AB$13),15-13*ORÇAMENTO!$AF$7)/$H331*OFFSET(ORÇAMENTO!$X$15,ROW(AB331)-ROW(AB$15),0),
ROUND(ROUND(OFFSET($P331,0,AB$13),15-13*ORÇAMENTO!$AF$7)*OFFSET(ORÇAMENTO!$W$15,ROW(AB331)-ROW(AB$15),0),15-13*ORÇAMENTO!$AF$11)),0)</f>
        <v>0</v>
      </c>
      <c r="AC331" s="545">
        <f ca="1">IF(AND($D331="Serviço",AC$12&lt;&gt;0,$H331&gt;0,OR(AUTOEVENTO&lt;&gt;"manual",$M331&lt;&gt;1)),
IF(Import.TipoArredondamento&lt;&gt;"TransfereGOV",
ROUND(OFFSET($P331,0,AC$13),15-13*ORÇAMENTO!$AF$7)/$H331*OFFSET(ORÇAMENTO!$X$15,ROW(AC331)-ROW(AC$15),0),
ROUND(ROUND(OFFSET($P331,0,AC$13),15-13*ORÇAMENTO!$AF$7)*OFFSET(ORÇAMENTO!$W$15,ROW(AC331)-ROW(AC$15),0),15-13*ORÇAMENTO!$AF$11)),0)</f>
        <v>0</v>
      </c>
      <c r="AD331" s="545">
        <f ca="1">IF(AND($D331="Serviço",AD$12&lt;&gt;0,$H331&gt;0,OR(AUTOEVENTO&lt;&gt;"manual",$M331&lt;&gt;1)),
IF(Import.TipoArredondamento&lt;&gt;"TransfereGOV",
ROUND(OFFSET($P331,0,AD$13),15-13*ORÇAMENTO!$AF$7)/$H331*OFFSET(ORÇAMENTO!$X$15,ROW(AD331)-ROW(AD$15),0),
ROUND(ROUND(OFFSET($P331,0,AD$13),15-13*ORÇAMENTO!$AF$7)*OFFSET(ORÇAMENTO!$W$15,ROW(AD331)-ROW(AD$15),0),15-13*ORÇAMENTO!$AF$11)),0)</f>
        <v>0</v>
      </c>
      <c r="AE331" s="545">
        <f ca="1">IF(AND($D331="Serviço",AE$12&lt;&gt;0,$H331&gt;0,OR(AUTOEVENTO&lt;&gt;"manual",$M331&lt;&gt;1)),
IF(Import.TipoArredondamento&lt;&gt;"TransfereGOV",
ROUND(OFFSET($P331,0,AE$13),15-13*ORÇAMENTO!$AF$7)/$H331*OFFSET(ORÇAMENTO!$X$15,ROW(AE331)-ROW(AE$15),0),
ROUND(ROUND(OFFSET($P331,0,AE$13),15-13*ORÇAMENTO!$AF$7)*OFFSET(ORÇAMENTO!$W$15,ROW(AE331)-ROW(AE$15),0),15-13*ORÇAMENTO!$AF$11)),0)</f>
        <v>0</v>
      </c>
      <c r="AF331" s="545">
        <f ca="1">IF(AND($D331="Serviço",AF$12&lt;&gt;0,$H331&gt;0,OR(AUTOEVENTO&lt;&gt;"manual",$M331&lt;&gt;1)),
IF(Import.TipoArredondamento&lt;&gt;"TransfereGOV",
ROUND(OFFSET($P331,0,AF$13),15-13*ORÇAMENTO!$AF$7)/$H331*OFFSET(ORÇAMENTO!$X$15,ROW(AF331)-ROW(AF$15),0),
ROUND(ROUND(OFFSET($P331,0,AF$13),15-13*ORÇAMENTO!$AF$7)*OFFSET(ORÇAMENTO!$W$15,ROW(AF331)-ROW(AF$15),0),15-13*ORÇAMENTO!$AF$11)),0)</f>
        <v>0</v>
      </c>
      <c r="AG331" s="545">
        <f ca="1">IF(AND($D331="Serviço",AG$12&lt;&gt;0,$H331&gt;0,OR(AUTOEVENTO&lt;&gt;"manual",$M331&lt;&gt;1)),
IF(Import.TipoArredondamento&lt;&gt;"TransfereGOV",
ROUND(OFFSET($P331,0,AG$13),15-13*ORÇAMENTO!$AF$7)/$H331*OFFSET(ORÇAMENTO!$X$15,ROW(AG331)-ROW(AG$15),0),
ROUND(ROUND(OFFSET($P331,0,AG$13),15-13*ORÇAMENTO!$AF$7)*OFFSET(ORÇAMENTO!$W$15,ROW(AG331)-ROW(AG$15),0),15-13*ORÇAMENTO!$AF$11)),0)</f>
        <v>0</v>
      </c>
      <c r="AH331" s="545">
        <f ca="1">IF(AND($D331="Serviço",AH$12&lt;&gt;0,$H331&gt;0,OR(AUTOEVENTO&lt;&gt;"manual",$M331&lt;&gt;1)),
IF(Import.TipoArredondamento&lt;&gt;"TransfereGOV",
ROUND(OFFSET($P331,0,AH$13),15-13*ORÇAMENTO!$AF$7)/$H331*OFFSET(ORÇAMENTO!$X$15,ROW(AH331)-ROW(AH$15),0),
ROUND(ROUND(OFFSET($P331,0,AH$13),15-13*ORÇAMENTO!$AF$7)*OFFSET(ORÇAMENTO!$W$15,ROW(AH331)-ROW(AH$15),0),15-13*ORÇAMENTO!$AF$11)),0)</f>
        <v>0</v>
      </c>
      <c r="AI331" s="545">
        <f ca="1">IF(AND($D331="Serviço",AI$12&lt;&gt;0,$H331&gt;0,OR(AUTOEVENTO&lt;&gt;"manual",$M331&lt;&gt;1)),
IF(Import.TipoArredondamento&lt;&gt;"TransfereGOV",
ROUND(OFFSET($P331,0,AI$13),15-13*ORÇAMENTO!$AF$7)/$H331*OFFSET(ORÇAMENTO!$X$15,ROW(AI331)-ROW(AI$15),0),
ROUND(ROUND(OFFSET($P331,0,AI$13),15-13*ORÇAMENTO!$AF$7)*OFFSET(ORÇAMENTO!$W$15,ROW(AI331)-ROW(AI$15),0),15-13*ORÇAMENTO!$AF$11)),0)</f>
        <v>0</v>
      </c>
      <c r="AJ331" s="545">
        <f ca="1">IF(AND($D331="Serviço",AJ$12&lt;&gt;0,$H331&gt;0,OR(AUTOEVENTO&lt;&gt;"manual",$M331&lt;&gt;1)),
IF(Import.TipoArredondamento&lt;&gt;"TransfereGOV",
ROUND(OFFSET($P331,0,AJ$13),15-13*ORÇAMENTO!$AF$7)/$H331*OFFSET(ORÇAMENTO!$X$15,ROW(AJ331)-ROW(AJ$15),0),
ROUND(ROUND(OFFSET($P331,0,AJ$13),15-13*ORÇAMENTO!$AF$7)*OFFSET(ORÇAMENTO!$W$15,ROW(AJ331)-ROW(AJ$15),0),15-13*ORÇAMENTO!$AF$11)),0)</f>
        <v>0</v>
      </c>
      <c r="AK331" s="546">
        <f ca="1">IF(AND($D331="Serviço",AK$12&lt;&gt;0,$H331&gt;0,OR(AUTOEVENTO&lt;&gt;"manual",$M331&lt;&gt;1)),
IF(Import.TipoArredondamento&lt;&gt;"TransfereGOV",
ROUND(OFFSET($P331,0,AK$13),15-13*ORÇAMENTO!$AF$7)/$H331*OFFSET(ORÇAMENTO!$X$15,ROW(AK331)-ROW(AK$15),0),
ROUND(ROUND(OFFSET($P331,0,AK$13),15-13*ORÇAMENTO!$AF$7)*OFFSET(ORÇAMENTO!$W$15,ROW(AK331)-ROW(AK$15),0),15-13*ORÇAMENTO!$AF$11)),0)</f>
        <v>0</v>
      </c>
      <c r="AM331" s="181">
        <f ca="1">IF($D331&lt;&gt;"Serviço",0,IF(AND(AUTOEVENTO="Manual",$M331=1),0,IF(OFFSET(CRONOPLE!$F$14,$M331,AM$13)="",10^12,OFFSET(CRONOPLE!$F$14,$M331,AM$13))))</f>
        <v>1000000000000</v>
      </c>
      <c r="AN331" s="181">
        <f ca="1">IF($D331&lt;&gt;"Serviço",0,IF(AND(AUTOEVENTO="Manual",$M331=1),0,IF(OFFSET(CRONOPLE!$F$14,$M331,AN$13)="",10^12,OFFSET(CRONOPLE!$F$14,$M331,AN$13))))</f>
        <v>1000000000000</v>
      </c>
      <c r="AO331" s="181">
        <f ca="1">IF($D331&lt;&gt;"Serviço",0,IF(AND(AUTOEVENTO="Manual",$M331=1),0,IF(OFFSET(CRONOPLE!$F$14,$M331,AO$13)="",10^12,OFFSET(CRONOPLE!$F$14,$M331,AO$13))))</f>
        <v>1000000000000</v>
      </c>
      <c r="AP331" s="181">
        <f ca="1">IF($D331&lt;&gt;"Serviço",0,IF(AND(AUTOEVENTO="Manual",$M331=1),0,IF(OFFSET(CRONOPLE!$F$14,$M331,AP$13)="",10^12,OFFSET(CRONOPLE!$F$14,$M331,AP$13))))</f>
        <v>1000000000000</v>
      </c>
      <c r="AQ331" s="181">
        <f ca="1">IF($D331&lt;&gt;"Serviço",0,IF(AND(AUTOEVENTO="Manual",$M331=1),0,IF(OFFSET(CRONOPLE!$F$14,$M331,AQ$13)="",10^12,OFFSET(CRONOPLE!$F$14,$M331,AQ$13))))</f>
        <v>1000000000000</v>
      </c>
      <c r="AR331" s="181">
        <f ca="1">IF($D331&lt;&gt;"Serviço",0,IF(AND(AUTOEVENTO="Manual",$M331=1),0,IF(OFFSET(CRONOPLE!$F$14,$M331,AR$13)="",10^12,OFFSET(CRONOPLE!$F$14,$M331,AR$13))))</f>
        <v>1000000000000</v>
      </c>
      <c r="AS331" s="181">
        <f ca="1">IF($D331&lt;&gt;"Serviço",0,IF(AND(AUTOEVENTO="Manual",$M331=1),0,IF(OFFSET(CRONOPLE!$F$14,$M331,AS$13)="",10^12,OFFSET(CRONOPLE!$F$14,$M331,AS$13))))</f>
        <v>1000000000000</v>
      </c>
      <c r="AT331" s="181">
        <f ca="1">IF($D331&lt;&gt;"Serviço",0,IF(AND(AUTOEVENTO="Manual",$M331=1),0,IF(OFFSET(CRONOPLE!$F$14,$M331,AT$13)="",10^12,OFFSET(CRONOPLE!$F$14,$M331,AT$13))))</f>
        <v>1000000000000</v>
      </c>
      <c r="AU331" s="181">
        <f ca="1">IF($D331&lt;&gt;"Serviço",0,IF(AND(AUTOEVENTO="Manual",$M331=1),0,IF(OFFSET(CRONOPLE!$F$14,$M331,AU$13)="",10^12,OFFSET(CRONOPLE!$F$14,$M331,AU$13))))</f>
        <v>1000000000000</v>
      </c>
      <c r="AV331" s="181">
        <f ca="1">IF($D331&lt;&gt;"Serviço",0,IF(AND(AUTOEVENTO="Manual",$M331=1),0,IF(OFFSET(CRONOPLE!$F$14,$M331,AV$13)="",10^12,OFFSET(CRONOPLE!$F$14,$M331,AV$13))))</f>
        <v>1000000000000</v>
      </c>
      <c r="AX331" s="182">
        <f ca="1">IF($D331&lt;&gt;"Serviço",0,IF(OR(AND(AUTOEVENTO="Manual",$M331=1),$M331&gt;(ROW(PLE.lastrow)-ROW(PLE.firstrow))),0,IF(OFFSET(PLE!$G$14,$M331,AX$13)="",10^12,OFFSET(PLE!$G$14,$M331,AX$13))))</f>
        <v>1000000000000</v>
      </c>
      <c r="AY331" s="182">
        <f ca="1">IF($D331&lt;&gt;"Serviço",0,IF(OR(AND(AUTOEVENTO="Manual",$M331=1),$M331&gt;(ROW(PLE.lastrow)-ROW(PLE.firstrow))),0,IF(OFFSET(PLE!$G$14,$M331,AY$13)="",10^12,OFFSET(PLE!$G$14,$M331,AY$13))))</f>
        <v>1000000000000</v>
      </c>
      <c r="AZ331" s="182">
        <f ca="1">IF($D331&lt;&gt;"Serviço",0,IF(OR(AND(AUTOEVENTO="Manual",$M331=1),$M331&gt;(ROW(PLE.lastrow)-ROW(PLE.firstrow))),0,IF(OFFSET(PLE!$G$14,$M331,AZ$13)="",10^12,OFFSET(PLE!$G$14,$M331,AZ$13))))</f>
        <v>1000000000000</v>
      </c>
      <c r="BA331" s="182">
        <f ca="1">IF($D331&lt;&gt;"Serviço",0,IF(OR(AND(AUTOEVENTO="Manual",$M331=1),$M331&gt;(ROW(PLE.lastrow)-ROW(PLE.firstrow))),0,IF(OFFSET(PLE!$G$14,$M331,BA$13)="",10^12,OFFSET(PLE!$G$14,$M331,BA$13))))</f>
        <v>1000000000000</v>
      </c>
      <c r="BB331" s="182">
        <f ca="1">IF($D331&lt;&gt;"Serviço",0,IF(OR(AND(AUTOEVENTO="Manual",$M331=1),$M331&gt;(ROW(PLE.lastrow)-ROW(PLE.firstrow))),0,IF(OFFSET(PLE!$G$14,$M331,BB$13)="",10^12,OFFSET(PLE!$G$14,$M331,BB$13))))</f>
        <v>1000000000000</v>
      </c>
      <c r="BC331" s="182">
        <f ca="1">IF($D331&lt;&gt;"Serviço",0,IF(OR(AND(AUTOEVENTO="Manual",$M331=1),$M331&gt;(ROW(PLE.lastrow)-ROW(PLE.firstrow))),0,IF(OFFSET(PLE!$G$14,$M331,BC$13)="",10^12,OFFSET(PLE!$G$14,$M331,BC$13))))</f>
        <v>1000000000000</v>
      </c>
      <c r="BD331" s="182">
        <f ca="1">IF($D331&lt;&gt;"Serviço",0,IF(OR(AND(AUTOEVENTO="Manual",$M331=1),$M331&gt;(ROW(PLE.lastrow)-ROW(PLE.firstrow))),0,IF(OFFSET(PLE!$G$14,$M331,BD$13)="",10^12,OFFSET(PLE!$G$14,$M331,BD$13))))</f>
        <v>1000000000000</v>
      </c>
      <c r="BE331" s="182">
        <f ca="1">IF($D331&lt;&gt;"Serviço",0,IF(OR(AND(AUTOEVENTO="Manual",$M331=1),$M331&gt;(ROW(PLE.lastrow)-ROW(PLE.firstrow))),0,IF(OFFSET(PLE!$G$14,$M331,BE$13)="",10^12,OFFSET(PLE!$G$14,$M331,BE$13))))</f>
        <v>1000000000000</v>
      </c>
      <c r="BF331" s="182">
        <f ca="1">IF($D331&lt;&gt;"Serviço",0,IF(OR(AND(AUTOEVENTO="Manual",$M331=1),$M331&gt;(ROW(PLE.lastrow)-ROW(PLE.firstrow))),0,IF(OFFSET(PLE!$G$14,$M331,BF$13)="",10^12,OFFSET(PLE!$G$14,$M331,BF$13))))</f>
        <v>1000000000000</v>
      </c>
      <c r="BG331" s="182">
        <f ca="1">IF($D331&lt;&gt;"Serviço",0,IF(OR(AND(AUTOEVENTO="Manual",$M331=1),$M331&gt;(ROW(PLE.lastrow)-ROW(PLE.firstrow))),0,IF(OFFSET(PLE!$G$14,$M331,BG$13)="",10^12,OFFSET(PLE!$G$14,$M331,BG$13))))</f>
        <v>1000000000000</v>
      </c>
    </row>
    <row r="332" spans="1:59" ht="38.25" x14ac:dyDescent="0.2">
      <c r="A332" s="7" t="str">
        <f t="shared" ca="1" si="11"/>
        <v>302</v>
      </c>
      <c r="B332" s="7" t="str">
        <f ca="1">OFFSET(ORÇAMENTO!C$15,ROW(B332)-ROW(B$15),0)</f>
        <v>S</v>
      </c>
      <c r="C332" s="7" t="str">
        <f ca="1">OFFSET(ORÇAMENTO!L$15,ROW(C332)-ROW(C$15),0)</f>
        <v/>
      </c>
      <c r="D332" s="118" t="str">
        <f ca="1">OFFSET(ORÇAMENTO!N$15,ROW(D332)-ROW(D$15),0)</f>
        <v>Serviço</v>
      </c>
      <c r="E332" s="119" t="str">
        <f ca="1">OFFSET(ORÇAMENTO!O$15,ROW(E332)-ROW(E$15),0)</f>
        <v>-</v>
      </c>
      <c r="F332" s="172" t="str">
        <f ca="1">OFFSET(ORÇAMENTO!R$15,ROW(F332)-ROW(F$15),0)</f>
        <v>(abra o arquivo 'Referência 02-2025.xlsm)</v>
      </c>
      <c r="G332" s="173" t="str">
        <f ca="1">IF($D332&lt;&gt;"Serviço","",OFFSET(ORÇAMENTO!S$15,ROW(G332)-ROW(G$15),0))</f>
        <v>-</v>
      </c>
      <c r="H332" s="124">
        <f ca="1">IF($D332&lt;&gt;"Serviço",0,IF(ACOMPANHAMENTO="BM",ROUND(OFFSET(ORÇAMENTO!AJ$15,ROW(H332)-ROW(H$15),0),15-13*ORÇAMENTO!$AF$7),SUMPRODUCT(($Q$12:$AA$12&lt;&gt;"")*ROUND($Q332:$AA332,15-13*ORÇAMENTO!$AF$7))))</f>
        <v>2</v>
      </c>
      <c r="I332" s="561" t="s">
        <v>890</v>
      </c>
      <c r="K332" s="174"/>
      <c r="L332" s="175" t="s">
        <v>255</v>
      </c>
      <c r="M332" s="176">
        <f ca="1">IF($D332&lt;&gt;"Serviço","",IF(AUTOEVENTO="manual",$A332,IF(ISERROR(MATCH($A332,$A$15:OFFSET($A332,-1,0),0)),MAX($M$15:OFFSET(M332,-1,0))+1,INDEX($M$15:OFFSET(M332,-1,0),MATCH($A332,$A$15:OFFSET($A332,-1,0),0)))))</f>
        <v>14</v>
      </c>
      <c r="N332" s="177" t="str">
        <f ca="1">IF($D332&lt;&gt;"Serviço","",IF(AUTOEVENTO="Manual",IF($A332=0,"&lt;-- defina o número do agrupador",OFFSET(EVENTOS!$D$14,$A332,0)),OFFSET($F$15,$A332,0)))</f>
        <v>DRENAGEM DE ÁGUAS PLUVIAIS</v>
      </c>
      <c r="O332" s="178"/>
      <c r="Q332" s="178"/>
      <c r="R332" s="179"/>
      <c r="S332" s="179"/>
      <c r="T332" s="179"/>
      <c r="U332" s="179"/>
      <c r="V332" s="179"/>
      <c r="W332" s="179"/>
      <c r="X332" s="179"/>
      <c r="Y332" s="179"/>
      <c r="Z332" s="180"/>
      <c r="AB332" s="544">
        <f ca="1">IF(AND($D332="Serviço",AB$12&lt;&gt;0,$H332&gt;0,OR(AUTOEVENTO&lt;&gt;"manual",$M332&lt;&gt;1)),
IF(Import.TipoArredondamento&lt;&gt;"TransfereGOV",
ROUND(OFFSET($P332,0,AB$13),15-13*ORÇAMENTO!$AF$7)/$H332*OFFSET(ORÇAMENTO!$X$15,ROW(AB332)-ROW(AB$15),0),
ROUND(ROUND(OFFSET($P332,0,AB$13),15-13*ORÇAMENTO!$AF$7)*OFFSET(ORÇAMENTO!$W$15,ROW(AB332)-ROW(AB$15),0),15-13*ORÇAMENTO!$AF$11)),0)</f>
        <v>0</v>
      </c>
      <c r="AC332" s="545">
        <f ca="1">IF(AND($D332="Serviço",AC$12&lt;&gt;0,$H332&gt;0,OR(AUTOEVENTO&lt;&gt;"manual",$M332&lt;&gt;1)),
IF(Import.TipoArredondamento&lt;&gt;"TransfereGOV",
ROUND(OFFSET($P332,0,AC$13),15-13*ORÇAMENTO!$AF$7)/$H332*OFFSET(ORÇAMENTO!$X$15,ROW(AC332)-ROW(AC$15),0),
ROUND(ROUND(OFFSET($P332,0,AC$13),15-13*ORÇAMENTO!$AF$7)*OFFSET(ORÇAMENTO!$W$15,ROW(AC332)-ROW(AC$15),0),15-13*ORÇAMENTO!$AF$11)),0)</f>
        <v>0</v>
      </c>
      <c r="AD332" s="545">
        <f ca="1">IF(AND($D332="Serviço",AD$12&lt;&gt;0,$H332&gt;0,OR(AUTOEVENTO&lt;&gt;"manual",$M332&lt;&gt;1)),
IF(Import.TipoArredondamento&lt;&gt;"TransfereGOV",
ROUND(OFFSET($P332,0,AD$13),15-13*ORÇAMENTO!$AF$7)/$H332*OFFSET(ORÇAMENTO!$X$15,ROW(AD332)-ROW(AD$15),0),
ROUND(ROUND(OFFSET($P332,0,AD$13),15-13*ORÇAMENTO!$AF$7)*OFFSET(ORÇAMENTO!$W$15,ROW(AD332)-ROW(AD$15),0),15-13*ORÇAMENTO!$AF$11)),0)</f>
        <v>0</v>
      </c>
      <c r="AE332" s="545">
        <f ca="1">IF(AND($D332="Serviço",AE$12&lt;&gt;0,$H332&gt;0,OR(AUTOEVENTO&lt;&gt;"manual",$M332&lt;&gt;1)),
IF(Import.TipoArredondamento&lt;&gt;"TransfereGOV",
ROUND(OFFSET($P332,0,AE$13),15-13*ORÇAMENTO!$AF$7)/$H332*OFFSET(ORÇAMENTO!$X$15,ROW(AE332)-ROW(AE$15),0),
ROUND(ROUND(OFFSET($P332,0,AE$13),15-13*ORÇAMENTO!$AF$7)*OFFSET(ORÇAMENTO!$W$15,ROW(AE332)-ROW(AE$15),0),15-13*ORÇAMENTO!$AF$11)),0)</f>
        <v>0</v>
      </c>
      <c r="AF332" s="545">
        <f ca="1">IF(AND($D332="Serviço",AF$12&lt;&gt;0,$H332&gt;0,OR(AUTOEVENTO&lt;&gt;"manual",$M332&lt;&gt;1)),
IF(Import.TipoArredondamento&lt;&gt;"TransfereGOV",
ROUND(OFFSET($P332,0,AF$13),15-13*ORÇAMENTO!$AF$7)/$H332*OFFSET(ORÇAMENTO!$X$15,ROW(AF332)-ROW(AF$15),0),
ROUND(ROUND(OFFSET($P332,0,AF$13),15-13*ORÇAMENTO!$AF$7)*OFFSET(ORÇAMENTO!$W$15,ROW(AF332)-ROW(AF$15),0),15-13*ORÇAMENTO!$AF$11)),0)</f>
        <v>0</v>
      </c>
      <c r="AG332" s="545">
        <f ca="1">IF(AND($D332="Serviço",AG$12&lt;&gt;0,$H332&gt;0,OR(AUTOEVENTO&lt;&gt;"manual",$M332&lt;&gt;1)),
IF(Import.TipoArredondamento&lt;&gt;"TransfereGOV",
ROUND(OFFSET($P332,0,AG$13),15-13*ORÇAMENTO!$AF$7)/$H332*OFFSET(ORÇAMENTO!$X$15,ROW(AG332)-ROW(AG$15),0),
ROUND(ROUND(OFFSET($P332,0,AG$13),15-13*ORÇAMENTO!$AF$7)*OFFSET(ORÇAMENTO!$W$15,ROW(AG332)-ROW(AG$15),0),15-13*ORÇAMENTO!$AF$11)),0)</f>
        <v>0</v>
      </c>
      <c r="AH332" s="545">
        <f ca="1">IF(AND($D332="Serviço",AH$12&lt;&gt;0,$H332&gt;0,OR(AUTOEVENTO&lt;&gt;"manual",$M332&lt;&gt;1)),
IF(Import.TipoArredondamento&lt;&gt;"TransfereGOV",
ROUND(OFFSET($P332,0,AH$13),15-13*ORÇAMENTO!$AF$7)/$H332*OFFSET(ORÇAMENTO!$X$15,ROW(AH332)-ROW(AH$15),0),
ROUND(ROUND(OFFSET($P332,0,AH$13),15-13*ORÇAMENTO!$AF$7)*OFFSET(ORÇAMENTO!$W$15,ROW(AH332)-ROW(AH$15),0),15-13*ORÇAMENTO!$AF$11)),0)</f>
        <v>0</v>
      </c>
      <c r="AI332" s="545">
        <f ca="1">IF(AND($D332="Serviço",AI$12&lt;&gt;0,$H332&gt;0,OR(AUTOEVENTO&lt;&gt;"manual",$M332&lt;&gt;1)),
IF(Import.TipoArredondamento&lt;&gt;"TransfereGOV",
ROUND(OFFSET($P332,0,AI$13),15-13*ORÇAMENTO!$AF$7)/$H332*OFFSET(ORÇAMENTO!$X$15,ROW(AI332)-ROW(AI$15),0),
ROUND(ROUND(OFFSET($P332,0,AI$13),15-13*ORÇAMENTO!$AF$7)*OFFSET(ORÇAMENTO!$W$15,ROW(AI332)-ROW(AI$15),0),15-13*ORÇAMENTO!$AF$11)),0)</f>
        <v>0</v>
      </c>
      <c r="AJ332" s="545">
        <f ca="1">IF(AND($D332="Serviço",AJ$12&lt;&gt;0,$H332&gt;0,OR(AUTOEVENTO&lt;&gt;"manual",$M332&lt;&gt;1)),
IF(Import.TipoArredondamento&lt;&gt;"TransfereGOV",
ROUND(OFFSET($P332,0,AJ$13),15-13*ORÇAMENTO!$AF$7)/$H332*OFFSET(ORÇAMENTO!$X$15,ROW(AJ332)-ROW(AJ$15),0),
ROUND(ROUND(OFFSET($P332,0,AJ$13),15-13*ORÇAMENTO!$AF$7)*OFFSET(ORÇAMENTO!$W$15,ROW(AJ332)-ROW(AJ$15),0),15-13*ORÇAMENTO!$AF$11)),0)</f>
        <v>0</v>
      </c>
      <c r="AK332" s="546">
        <f ca="1">IF(AND($D332="Serviço",AK$12&lt;&gt;0,$H332&gt;0,OR(AUTOEVENTO&lt;&gt;"manual",$M332&lt;&gt;1)),
IF(Import.TipoArredondamento&lt;&gt;"TransfereGOV",
ROUND(OFFSET($P332,0,AK$13),15-13*ORÇAMENTO!$AF$7)/$H332*OFFSET(ORÇAMENTO!$X$15,ROW(AK332)-ROW(AK$15),0),
ROUND(ROUND(OFFSET($P332,0,AK$13),15-13*ORÇAMENTO!$AF$7)*OFFSET(ORÇAMENTO!$W$15,ROW(AK332)-ROW(AK$15),0),15-13*ORÇAMENTO!$AF$11)),0)</f>
        <v>0</v>
      </c>
      <c r="AM332" s="181">
        <f ca="1">IF($D332&lt;&gt;"Serviço",0,IF(AND(AUTOEVENTO="Manual",$M332=1),0,IF(OFFSET(CRONOPLE!$F$14,$M332,AM$13)="",10^12,OFFSET(CRONOPLE!$F$14,$M332,AM$13))))</f>
        <v>1000000000000</v>
      </c>
      <c r="AN332" s="181">
        <f ca="1">IF($D332&lt;&gt;"Serviço",0,IF(AND(AUTOEVENTO="Manual",$M332=1),0,IF(OFFSET(CRONOPLE!$F$14,$M332,AN$13)="",10^12,OFFSET(CRONOPLE!$F$14,$M332,AN$13))))</f>
        <v>1000000000000</v>
      </c>
      <c r="AO332" s="181">
        <f ca="1">IF($D332&lt;&gt;"Serviço",0,IF(AND(AUTOEVENTO="Manual",$M332=1),0,IF(OFFSET(CRONOPLE!$F$14,$M332,AO$13)="",10^12,OFFSET(CRONOPLE!$F$14,$M332,AO$13))))</f>
        <v>1000000000000</v>
      </c>
      <c r="AP332" s="181">
        <f ca="1">IF($D332&lt;&gt;"Serviço",0,IF(AND(AUTOEVENTO="Manual",$M332=1),0,IF(OFFSET(CRONOPLE!$F$14,$M332,AP$13)="",10^12,OFFSET(CRONOPLE!$F$14,$M332,AP$13))))</f>
        <v>1000000000000</v>
      </c>
      <c r="AQ332" s="181">
        <f ca="1">IF($D332&lt;&gt;"Serviço",0,IF(AND(AUTOEVENTO="Manual",$M332=1),0,IF(OFFSET(CRONOPLE!$F$14,$M332,AQ$13)="",10^12,OFFSET(CRONOPLE!$F$14,$M332,AQ$13))))</f>
        <v>1000000000000</v>
      </c>
      <c r="AR332" s="181">
        <f ca="1">IF($D332&lt;&gt;"Serviço",0,IF(AND(AUTOEVENTO="Manual",$M332=1),0,IF(OFFSET(CRONOPLE!$F$14,$M332,AR$13)="",10^12,OFFSET(CRONOPLE!$F$14,$M332,AR$13))))</f>
        <v>1000000000000</v>
      </c>
      <c r="AS332" s="181">
        <f ca="1">IF($D332&lt;&gt;"Serviço",0,IF(AND(AUTOEVENTO="Manual",$M332=1),0,IF(OFFSET(CRONOPLE!$F$14,$M332,AS$13)="",10^12,OFFSET(CRONOPLE!$F$14,$M332,AS$13))))</f>
        <v>1000000000000</v>
      </c>
      <c r="AT332" s="181">
        <f ca="1">IF($D332&lt;&gt;"Serviço",0,IF(AND(AUTOEVENTO="Manual",$M332=1),0,IF(OFFSET(CRONOPLE!$F$14,$M332,AT$13)="",10^12,OFFSET(CRONOPLE!$F$14,$M332,AT$13))))</f>
        <v>1000000000000</v>
      </c>
      <c r="AU332" s="181">
        <f ca="1">IF($D332&lt;&gt;"Serviço",0,IF(AND(AUTOEVENTO="Manual",$M332=1),0,IF(OFFSET(CRONOPLE!$F$14,$M332,AU$13)="",10^12,OFFSET(CRONOPLE!$F$14,$M332,AU$13))))</f>
        <v>1000000000000</v>
      </c>
      <c r="AV332" s="181">
        <f ca="1">IF($D332&lt;&gt;"Serviço",0,IF(AND(AUTOEVENTO="Manual",$M332=1),0,IF(OFFSET(CRONOPLE!$F$14,$M332,AV$13)="",10^12,OFFSET(CRONOPLE!$F$14,$M332,AV$13))))</f>
        <v>1000000000000</v>
      </c>
      <c r="AX332" s="182">
        <f ca="1">IF($D332&lt;&gt;"Serviço",0,IF(OR(AND(AUTOEVENTO="Manual",$M332=1),$M332&gt;(ROW(PLE.lastrow)-ROW(PLE.firstrow))),0,IF(OFFSET(PLE!$G$14,$M332,AX$13)="",10^12,OFFSET(PLE!$G$14,$M332,AX$13))))</f>
        <v>1000000000000</v>
      </c>
      <c r="AY332" s="182">
        <f ca="1">IF($D332&lt;&gt;"Serviço",0,IF(OR(AND(AUTOEVENTO="Manual",$M332=1),$M332&gt;(ROW(PLE.lastrow)-ROW(PLE.firstrow))),0,IF(OFFSET(PLE!$G$14,$M332,AY$13)="",10^12,OFFSET(PLE!$G$14,$M332,AY$13))))</f>
        <v>1000000000000</v>
      </c>
      <c r="AZ332" s="182">
        <f ca="1">IF($D332&lt;&gt;"Serviço",0,IF(OR(AND(AUTOEVENTO="Manual",$M332=1),$M332&gt;(ROW(PLE.lastrow)-ROW(PLE.firstrow))),0,IF(OFFSET(PLE!$G$14,$M332,AZ$13)="",10^12,OFFSET(PLE!$G$14,$M332,AZ$13))))</f>
        <v>1000000000000</v>
      </c>
      <c r="BA332" s="182">
        <f ca="1">IF($D332&lt;&gt;"Serviço",0,IF(OR(AND(AUTOEVENTO="Manual",$M332=1),$M332&gt;(ROW(PLE.lastrow)-ROW(PLE.firstrow))),0,IF(OFFSET(PLE!$G$14,$M332,BA$13)="",10^12,OFFSET(PLE!$G$14,$M332,BA$13))))</f>
        <v>1000000000000</v>
      </c>
      <c r="BB332" s="182">
        <f ca="1">IF($D332&lt;&gt;"Serviço",0,IF(OR(AND(AUTOEVENTO="Manual",$M332=1),$M332&gt;(ROW(PLE.lastrow)-ROW(PLE.firstrow))),0,IF(OFFSET(PLE!$G$14,$M332,BB$13)="",10^12,OFFSET(PLE!$G$14,$M332,BB$13))))</f>
        <v>1000000000000</v>
      </c>
      <c r="BC332" s="182">
        <f ca="1">IF($D332&lt;&gt;"Serviço",0,IF(OR(AND(AUTOEVENTO="Manual",$M332=1),$M332&gt;(ROW(PLE.lastrow)-ROW(PLE.firstrow))),0,IF(OFFSET(PLE!$G$14,$M332,BC$13)="",10^12,OFFSET(PLE!$G$14,$M332,BC$13))))</f>
        <v>1000000000000</v>
      </c>
      <c r="BD332" s="182">
        <f ca="1">IF($D332&lt;&gt;"Serviço",0,IF(OR(AND(AUTOEVENTO="Manual",$M332=1),$M332&gt;(ROW(PLE.lastrow)-ROW(PLE.firstrow))),0,IF(OFFSET(PLE!$G$14,$M332,BD$13)="",10^12,OFFSET(PLE!$G$14,$M332,BD$13))))</f>
        <v>1000000000000</v>
      </c>
      <c r="BE332" s="182">
        <f ca="1">IF($D332&lt;&gt;"Serviço",0,IF(OR(AND(AUTOEVENTO="Manual",$M332=1),$M332&gt;(ROW(PLE.lastrow)-ROW(PLE.firstrow))),0,IF(OFFSET(PLE!$G$14,$M332,BE$13)="",10^12,OFFSET(PLE!$G$14,$M332,BE$13))))</f>
        <v>1000000000000</v>
      </c>
      <c r="BF332" s="182">
        <f ca="1">IF($D332&lt;&gt;"Serviço",0,IF(OR(AND(AUTOEVENTO="Manual",$M332=1),$M332&gt;(ROW(PLE.lastrow)-ROW(PLE.firstrow))),0,IF(OFFSET(PLE!$G$14,$M332,BF$13)="",10^12,OFFSET(PLE!$G$14,$M332,BF$13))))</f>
        <v>1000000000000</v>
      </c>
      <c r="BG332" s="182">
        <f ca="1">IF($D332&lt;&gt;"Serviço",0,IF(OR(AND(AUTOEVENTO="Manual",$M332=1),$M332&gt;(ROW(PLE.lastrow)-ROW(PLE.firstrow))),0,IF(OFFSET(PLE!$G$14,$M332,BG$13)="",10^12,OFFSET(PLE!$G$14,$M332,BG$13))))</f>
        <v>1000000000000</v>
      </c>
    </row>
    <row r="333" spans="1:59" ht="38.25" x14ac:dyDescent="0.2">
      <c r="A333" s="7" t="str">
        <f t="shared" ca="1" si="11"/>
        <v>302</v>
      </c>
      <c r="B333" s="7" t="str">
        <f ca="1">OFFSET(ORÇAMENTO!C$15,ROW(B333)-ROW(B$15),0)</f>
        <v>S</v>
      </c>
      <c r="C333" s="7" t="str">
        <f ca="1">OFFSET(ORÇAMENTO!L$15,ROW(C333)-ROW(C$15),0)</f>
        <v/>
      </c>
      <c r="D333" s="118" t="str">
        <f ca="1">OFFSET(ORÇAMENTO!N$15,ROW(D333)-ROW(D$15),0)</f>
        <v>Serviço</v>
      </c>
      <c r="E333" s="119" t="str">
        <f ca="1">OFFSET(ORÇAMENTO!O$15,ROW(E333)-ROW(E$15),0)</f>
        <v>-</v>
      </c>
      <c r="F333" s="172" t="str">
        <f ca="1">OFFSET(ORÇAMENTO!R$15,ROW(F333)-ROW(F$15),0)</f>
        <v>(abra o arquivo 'Referência 02-2025.xlsm)</v>
      </c>
      <c r="G333" s="173" t="str">
        <f ca="1">IF($D333&lt;&gt;"Serviço","",OFFSET(ORÇAMENTO!S$15,ROW(G333)-ROW(G$15),0))</f>
        <v>-</v>
      </c>
      <c r="H333" s="124">
        <f ca="1">IF($D333&lt;&gt;"Serviço",0,IF(ACOMPANHAMENTO="BM",ROUND(OFFSET(ORÇAMENTO!AJ$15,ROW(H333)-ROW(H$15),0),15-13*ORÇAMENTO!$AF$7),SUMPRODUCT(($Q$12:$AA$12&lt;&gt;"")*ROUND($Q333:$AA333,15-13*ORÇAMENTO!$AF$7))))</f>
        <v>2</v>
      </c>
      <c r="I333" s="561" t="s">
        <v>890</v>
      </c>
      <c r="K333" s="174"/>
      <c r="L333" s="175" t="s">
        <v>255</v>
      </c>
      <c r="M333" s="176">
        <f ca="1">IF($D333&lt;&gt;"Serviço","",IF(AUTOEVENTO="manual",$A333,IF(ISERROR(MATCH($A333,$A$15:OFFSET($A333,-1,0),0)),MAX($M$15:OFFSET(M333,-1,0))+1,INDEX($M$15:OFFSET(M333,-1,0),MATCH($A333,$A$15:OFFSET($A333,-1,0),0)))))</f>
        <v>14</v>
      </c>
      <c r="N333" s="177" t="str">
        <f ca="1">IF($D333&lt;&gt;"Serviço","",IF(AUTOEVENTO="Manual",IF($A333=0,"&lt;-- defina o número do agrupador",OFFSET(EVENTOS!$D$14,$A333,0)),OFFSET($F$15,$A333,0)))</f>
        <v>DRENAGEM DE ÁGUAS PLUVIAIS</v>
      </c>
      <c r="O333" s="178"/>
      <c r="Q333" s="178"/>
      <c r="R333" s="179"/>
      <c r="S333" s="179"/>
      <c r="T333" s="179"/>
      <c r="U333" s="179"/>
      <c r="V333" s="179"/>
      <c r="W333" s="179"/>
      <c r="X333" s="179"/>
      <c r="Y333" s="179"/>
      <c r="Z333" s="180"/>
      <c r="AB333" s="544">
        <f ca="1">IF(AND($D333="Serviço",AB$12&lt;&gt;0,$H333&gt;0,OR(AUTOEVENTO&lt;&gt;"manual",$M333&lt;&gt;1)),
IF(Import.TipoArredondamento&lt;&gt;"TransfereGOV",
ROUND(OFFSET($P333,0,AB$13),15-13*ORÇAMENTO!$AF$7)/$H333*OFFSET(ORÇAMENTO!$X$15,ROW(AB333)-ROW(AB$15),0),
ROUND(ROUND(OFFSET($P333,0,AB$13),15-13*ORÇAMENTO!$AF$7)*OFFSET(ORÇAMENTO!$W$15,ROW(AB333)-ROW(AB$15),0),15-13*ORÇAMENTO!$AF$11)),0)</f>
        <v>0</v>
      </c>
      <c r="AC333" s="545">
        <f ca="1">IF(AND($D333="Serviço",AC$12&lt;&gt;0,$H333&gt;0,OR(AUTOEVENTO&lt;&gt;"manual",$M333&lt;&gt;1)),
IF(Import.TipoArredondamento&lt;&gt;"TransfereGOV",
ROUND(OFFSET($P333,0,AC$13),15-13*ORÇAMENTO!$AF$7)/$H333*OFFSET(ORÇAMENTO!$X$15,ROW(AC333)-ROW(AC$15),0),
ROUND(ROUND(OFFSET($P333,0,AC$13),15-13*ORÇAMENTO!$AF$7)*OFFSET(ORÇAMENTO!$W$15,ROW(AC333)-ROW(AC$15),0),15-13*ORÇAMENTO!$AF$11)),0)</f>
        <v>0</v>
      </c>
      <c r="AD333" s="545">
        <f ca="1">IF(AND($D333="Serviço",AD$12&lt;&gt;0,$H333&gt;0,OR(AUTOEVENTO&lt;&gt;"manual",$M333&lt;&gt;1)),
IF(Import.TipoArredondamento&lt;&gt;"TransfereGOV",
ROUND(OFFSET($P333,0,AD$13),15-13*ORÇAMENTO!$AF$7)/$H333*OFFSET(ORÇAMENTO!$X$15,ROW(AD333)-ROW(AD$15),0),
ROUND(ROUND(OFFSET($P333,0,AD$13),15-13*ORÇAMENTO!$AF$7)*OFFSET(ORÇAMENTO!$W$15,ROW(AD333)-ROW(AD$15),0),15-13*ORÇAMENTO!$AF$11)),0)</f>
        <v>0</v>
      </c>
      <c r="AE333" s="545">
        <f ca="1">IF(AND($D333="Serviço",AE$12&lt;&gt;0,$H333&gt;0,OR(AUTOEVENTO&lt;&gt;"manual",$M333&lt;&gt;1)),
IF(Import.TipoArredondamento&lt;&gt;"TransfereGOV",
ROUND(OFFSET($P333,0,AE$13),15-13*ORÇAMENTO!$AF$7)/$H333*OFFSET(ORÇAMENTO!$X$15,ROW(AE333)-ROW(AE$15),0),
ROUND(ROUND(OFFSET($P333,0,AE$13),15-13*ORÇAMENTO!$AF$7)*OFFSET(ORÇAMENTO!$W$15,ROW(AE333)-ROW(AE$15),0),15-13*ORÇAMENTO!$AF$11)),0)</f>
        <v>0</v>
      </c>
      <c r="AF333" s="545">
        <f ca="1">IF(AND($D333="Serviço",AF$12&lt;&gt;0,$H333&gt;0,OR(AUTOEVENTO&lt;&gt;"manual",$M333&lt;&gt;1)),
IF(Import.TipoArredondamento&lt;&gt;"TransfereGOV",
ROUND(OFFSET($P333,0,AF$13),15-13*ORÇAMENTO!$AF$7)/$H333*OFFSET(ORÇAMENTO!$X$15,ROW(AF333)-ROW(AF$15),0),
ROUND(ROUND(OFFSET($P333,0,AF$13),15-13*ORÇAMENTO!$AF$7)*OFFSET(ORÇAMENTO!$W$15,ROW(AF333)-ROW(AF$15),0),15-13*ORÇAMENTO!$AF$11)),0)</f>
        <v>0</v>
      </c>
      <c r="AG333" s="545">
        <f ca="1">IF(AND($D333="Serviço",AG$12&lt;&gt;0,$H333&gt;0,OR(AUTOEVENTO&lt;&gt;"manual",$M333&lt;&gt;1)),
IF(Import.TipoArredondamento&lt;&gt;"TransfereGOV",
ROUND(OFFSET($P333,0,AG$13),15-13*ORÇAMENTO!$AF$7)/$H333*OFFSET(ORÇAMENTO!$X$15,ROW(AG333)-ROW(AG$15),0),
ROUND(ROUND(OFFSET($P333,0,AG$13),15-13*ORÇAMENTO!$AF$7)*OFFSET(ORÇAMENTO!$W$15,ROW(AG333)-ROW(AG$15),0),15-13*ORÇAMENTO!$AF$11)),0)</f>
        <v>0</v>
      </c>
      <c r="AH333" s="545">
        <f ca="1">IF(AND($D333="Serviço",AH$12&lt;&gt;0,$H333&gt;0,OR(AUTOEVENTO&lt;&gt;"manual",$M333&lt;&gt;1)),
IF(Import.TipoArredondamento&lt;&gt;"TransfereGOV",
ROUND(OFFSET($P333,0,AH$13),15-13*ORÇAMENTO!$AF$7)/$H333*OFFSET(ORÇAMENTO!$X$15,ROW(AH333)-ROW(AH$15),0),
ROUND(ROUND(OFFSET($P333,0,AH$13),15-13*ORÇAMENTO!$AF$7)*OFFSET(ORÇAMENTO!$W$15,ROW(AH333)-ROW(AH$15),0),15-13*ORÇAMENTO!$AF$11)),0)</f>
        <v>0</v>
      </c>
      <c r="AI333" s="545">
        <f ca="1">IF(AND($D333="Serviço",AI$12&lt;&gt;0,$H333&gt;0,OR(AUTOEVENTO&lt;&gt;"manual",$M333&lt;&gt;1)),
IF(Import.TipoArredondamento&lt;&gt;"TransfereGOV",
ROUND(OFFSET($P333,0,AI$13),15-13*ORÇAMENTO!$AF$7)/$H333*OFFSET(ORÇAMENTO!$X$15,ROW(AI333)-ROW(AI$15),0),
ROUND(ROUND(OFFSET($P333,0,AI$13),15-13*ORÇAMENTO!$AF$7)*OFFSET(ORÇAMENTO!$W$15,ROW(AI333)-ROW(AI$15),0),15-13*ORÇAMENTO!$AF$11)),0)</f>
        <v>0</v>
      </c>
      <c r="AJ333" s="545">
        <f ca="1">IF(AND($D333="Serviço",AJ$12&lt;&gt;0,$H333&gt;0,OR(AUTOEVENTO&lt;&gt;"manual",$M333&lt;&gt;1)),
IF(Import.TipoArredondamento&lt;&gt;"TransfereGOV",
ROUND(OFFSET($P333,0,AJ$13),15-13*ORÇAMENTO!$AF$7)/$H333*OFFSET(ORÇAMENTO!$X$15,ROW(AJ333)-ROW(AJ$15),0),
ROUND(ROUND(OFFSET($P333,0,AJ$13),15-13*ORÇAMENTO!$AF$7)*OFFSET(ORÇAMENTO!$W$15,ROW(AJ333)-ROW(AJ$15),0),15-13*ORÇAMENTO!$AF$11)),0)</f>
        <v>0</v>
      </c>
      <c r="AK333" s="546">
        <f ca="1">IF(AND($D333="Serviço",AK$12&lt;&gt;0,$H333&gt;0,OR(AUTOEVENTO&lt;&gt;"manual",$M333&lt;&gt;1)),
IF(Import.TipoArredondamento&lt;&gt;"TransfereGOV",
ROUND(OFFSET($P333,0,AK$13),15-13*ORÇAMENTO!$AF$7)/$H333*OFFSET(ORÇAMENTO!$X$15,ROW(AK333)-ROW(AK$15),0),
ROUND(ROUND(OFFSET($P333,0,AK$13),15-13*ORÇAMENTO!$AF$7)*OFFSET(ORÇAMENTO!$W$15,ROW(AK333)-ROW(AK$15),0),15-13*ORÇAMENTO!$AF$11)),0)</f>
        <v>0</v>
      </c>
      <c r="AM333" s="181">
        <f ca="1">IF($D333&lt;&gt;"Serviço",0,IF(AND(AUTOEVENTO="Manual",$M333=1),0,IF(OFFSET(CRONOPLE!$F$14,$M333,AM$13)="",10^12,OFFSET(CRONOPLE!$F$14,$M333,AM$13))))</f>
        <v>1000000000000</v>
      </c>
      <c r="AN333" s="181">
        <f ca="1">IF($D333&lt;&gt;"Serviço",0,IF(AND(AUTOEVENTO="Manual",$M333=1),0,IF(OFFSET(CRONOPLE!$F$14,$M333,AN$13)="",10^12,OFFSET(CRONOPLE!$F$14,$M333,AN$13))))</f>
        <v>1000000000000</v>
      </c>
      <c r="AO333" s="181">
        <f ca="1">IF($D333&lt;&gt;"Serviço",0,IF(AND(AUTOEVENTO="Manual",$M333=1),0,IF(OFFSET(CRONOPLE!$F$14,$M333,AO$13)="",10^12,OFFSET(CRONOPLE!$F$14,$M333,AO$13))))</f>
        <v>1000000000000</v>
      </c>
      <c r="AP333" s="181">
        <f ca="1">IF($D333&lt;&gt;"Serviço",0,IF(AND(AUTOEVENTO="Manual",$M333=1),0,IF(OFFSET(CRONOPLE!$F$14,$M333,AP$13)="",10^12,OFFSET(CRONOPLE!$F$14,$M333,AP$13))))</f>
        <v>1000000000000</v>
      </c>
      <c r="AQ333" s="181">
        <f ca="1">IF($D333&lt;&gt;"Serviço",0,IF(AND(AUTOEVENTO="Manual",$M333=1),0,IF(OFFSET(CRONOPLE!$F$14,$M333,AQ$13)="",10^12,OFFSET(CRONOPLE!$F$14,$M333,AQ$13))))</f>
        <v>1000000000000</v>
      </c>
      <c r="AR333" s="181">
        <f ca="1">IF($D333&lt;&gt;"Serviço",0,IF(AND(AUTOEVENTO="Manual",$M333=1),0,IF(OFFSET(CRONOPLE!$F$14,$M333,AR$13)="",10^12,OFFSET(CRONOPLE!$F$14,$M333,AR$13))))</f>
        <v>1000000000000</v>
      </c>
      <c r="AS333" s="181">
        <f ca="1">IF($D333&lt;&gt;"Serviço",0,IF(AND(AUTOEVENTO="Manual",$M333=1),0,IF(OFFSET(CRONOPLE!$F$14,$M333,AS$13)="",10^12,OFFSET(CRONOPLE!$F$14,$M333,AS$13))))</f>
        <v>1000000000000</v>
      </c>
      <c r="AT333" s="181">
        <f ca="1">IF($D333&lt;&gt;"Serviço",0,IF(AND(AUTOEVENTO="Manual",$M333=1),0,IF(OFFSET(CRONOPLE!$F$14,$M333,AT$13)="",10^12,OFFSET(CRONOPLE!$F$14,$M333,AT$13))))</f>
        <v>1000000000000</v>
      </c>
      <c r="AU333" s="181">
        <f ca="1">IF($D333&lt;&gt;"Serviço",0,IF(AND(AUTOEVENTO="Manual",$M333=1),0,IF(OFFSET(CRONOPLE!$F$14,$M333,AU$13)="",10^12,OFFSET(CRONOPLE!$F$14,$M333,AU$13))))</f>
        <v>1000000000000</v>
      </c>
      <c r="AV333" s="181">
        <f ca="1">IF($D333&lt;&gt;"Serviço",0,IF(AND(AUTOEVENTO="Manual",$M333=1),0,IF(OFFSET(CRONOPLE!$F$14,$M333,AV$13)="",10^12,OFFSET(CRONOPLE!$F$14,$M333,AV$13))))</f>
        <v>1000000000000</v>
      </c>
      <c r="AX333" s="182">
        <f ca="1">IF($D333&lt;&gt;"Serviço",0,IF(OR(AND(AUTOEVENTO="Manual",$M333=1),$M333&gt;(ROW(PLE.lastrow)-ROW(PLE.firstrow))),0,IF(OFFSET(PLE!$G$14,$M333,AX$13)="",10^12,OFFSET(PLE!$G$14,$M333,AX$13))))</f>
        <v>1000000000000</v>
      </c>
      <c r="AY333" s="182">
        <f ca="1">IF($D333&lt;&gt;"Serviço",0,IF(OR(AND(AUTOEVENTO="Manual",$M333=1),$M333&gt;(ROW(PLE.lastrow)-ROW(PLE.firstrow))),0,IF(OFFSET(PLE!$G$14,$M333,AY$13)="",10^12,OFFSET(PLE!$G$14,$M333,AY$13))))</f>
        <v>1000000000000</v>
      </c>
      <c r="AZ333" s="182">
        <f ca="1">IF($D333&lt;&gt;"Serviço",0,IF(OR(AND(AUTOEVENTO="Manual",$M333=1),$M333&gt;(ROW(PLE.lastrow)-ROW(PLE.firstrow))),0,IF(OFFSET(PLE!$G$14,$M333,AZ$13)="",10^12,OFFSET(PLE!$G$14,$M333,AZ$13))))</f>
        <v>1000000000000</v>
      </c>
      <c r="BA333" s="182">
        <f ca="1">IF($D333&lt;&gt;"Serviço",0,IF(OR(AND(AUTOEVENTO="Manual",$M333=1),$M333&gt;(ROW(PLE.lastrow)-ROW(PLE.firstrow))),0,IF(OFFSET(PLE!$G$14,$M333,BA$13)="",10^12,OFFSET(PLE!$G$14,$M333,BA$13))))</f>
        <v>1000000000000</v>
      </c>
      <c r="BB333" s="182">
        <f ca="1">IF($D333&lt;&gt;"Serviço",0,IF(OR(AND(AUTOEVENTO="Manual",$M333=1),$M333&gt;(ROW(PLE.lastrow)-ROW(PLE.firstrow))),0,IF(OFFSET(PLE!$G$14,$M333,BB$13)="",10^12,OFFSET(PLE!$G$14,$M333,BB$13))))</f>
        <v>1000000000000</v>
      </c>
      <c r="BC333" s="182">
        <f ca="1">IF($D333&lt;&gt;"Serviço",0,IF(OR(AND(AUTOEVENTO="Manual",$M333=1),$M333&gt;(ROW(PLE.lastrow)-ROW(PLE.firstrow))),0,IF(OFFSET(PLE!$G$14,$M333,BC$13)="",10^12,OFFSET(PLE!$G$14,$M333,BC$13))))</f>
        <v>1000000000000</v>
      </c>
      <c r="BD333" s="182">
        <f ca="1">IF($D333&lt;&gt;"Serviço",0,IF(OR(AND(AUTOEVENTO="Manual",$M333=1),$M333&gt;(ROW(PLE.lastrow)-ROW(PLE.firstrow))),0,IF(OFFSET(PLE!$G$14,$M333,BD$13)="",10^12,OFFSET(PLE!$G$14,$M333,BD$13))))</f>
        <v>1000000000000</v>
      </c>
      <c r="BE333" s="182">
        <f ca="1">IF($D333&lt;&gt;"Serviço",0,IF(OR(AND(AUTOEVENTO="Manual",$M333=1),$M333&gt;(ROW(PLE.lastrow)-ROW(PLE.firstrow))),0,IF(OFFSET(PLE!$G$14,$M333,BE$13)="",10^12,OFFSET(PLE!$G$14,$M333,BE$13))))</f>
        <v>1000000000000</v>
      </c>
      <c r="BF333" s="182">
        <f ca="1">IF($D333&lt;&gt;"Serviço",0,IF(OR(AND(AUTOEVENTO="Manual",$M333=1),$M333&gt;(ROW(PLE.lastrow)-ROW(PLE.firstrow))),0,IF(OFFSET(PLE!$G$14,$M333,BF$13)="",10^12,OFFSET(PLE!$G$14,$M333,BF$13))))</f>
        <v>1000000000000</v>
      </c>
      <c r="BG333" s="182">
        <f ca="1">IF($D333&lt;&gt;"Serviço",0,IF(OR(AND(AUTOEVENTO="Manual",$M333=1),$M333&gt;(ROW(PLE.lastrow)-ROW(PLE.firstrow))),0,IF(OFFSET(PLE!$G$14,$M333,BG$13)="",10^12,OFFSET(PLE!$G$14,$M333,BG$13))))</f>
        <v>1000000000000</v>
      </c>
    </row>
    <row r="334" spans="1:59" ht="12.75" x14ac:dyDescent="0.2">
      <c r="A334" s="7" t="str">
        <f t="shared" ca="1" si="11"/>
        <v>302</v>
      </c>
      <c r="B334" s="7">
        <f ca="1">OFFSET(ORÇAMENTO!C$15,ROW(B334)-ROW(B$15),0)</f>
        <v>3</v>
      </c>
      <c r="C334" s="7" t="str">
        <f ca="1">OFFSET(ORÇAMENTO!L$15,ROW(C334)-ROW(C$15),0)</f>
        <v>F</v>
      </c>
      <c r="D334" s="118" t="str">
        <f ca="1">OFFSET(ORÇAMENTO!N$15,ROW(D334)-ROW(D$15),0)</f>
        <v>Nível 3</v>
      </c>
      <c r="E334" s="119" t="str">
        <f ca="1">OFFSET(ORÇAMENTO!O$15,ROW(E334)-ROW(E$15),0)</f>
        <v>1.13.2.</v>
      </c>
      <c r="F334" s="172" t="str">
        <f ca="1">OFFSET(ORÇAMENTO!R$15,ROW(F334)-ROW(F$15),0)</f>
        <v>ACESSÓRIOS</v>
      </c>
      <c r="G334" s="173" t="str">
        <f ca="1">IF($D334&lt;&gt;"Serviço","",OFFSET(ORÇAMENTO!S$15,ROW(G334)-ROW(G$15),0))</f>
        <v/>
      </c>
      <c r="H334" s="124">
        <f ca="1">IF($D334&lt;&gt;"Serviço",0,IF(ACOMPANHAMENTO="BM",ROUND(OFFSET(ORÇAMENTO!AJ$15,ROW(H334)-ROW(H$15),0),15-13*ORÇAMENTO!$AF$7),SUMPRODUCT(($Q$12:$AA$12&lt;&gt;"")*ROUND($Q334:$AA334,15-13*ORÇAMENTO!$AF$7))))</f>
        <v>0</v>
      </c>
      <c r="I334" s="561"/>
      <c r="K334" s="174"/>
      <c r="L334" s="175" t="s">
        <v>255</v>
      </c>
      <c r="M334" s="176" t="str">
        <f ca="1">IF($D334&lt;&gt;"Serviço","",IF(AUTOEVENTO="manual",$A334,IF(ISERROR(MATCH($A334,$A$15:OFFSET($A334,-1,0),0)),MAX($M$15:OFFSET(M334,-1,0))+1,INDEX($M$15:OFFSET(M334,-1,0),MATCH($A334,$A$15:OFFSET($A334,-1,0),0)))))</f>
        <v/>
      </c>
      <c r="N334" s="177" t="str">
        <f ca="1">IF($D334&lt;&gt;"Serviço","",IF(AUTOEVENTO="Manual",IF($A334=0,"&lt;-- defina o número do agrupador",OFFSET(EVENTOS!$D$14,$A334,0)),OFFSET($F$15,$A334,0)))</f>
        <v/>
      </c>
      <c r="O334" s="178"/>
      <c r="Q334" s="178"/>
      <c r="R334" s="179"/>
      <c r="S334" s="179"/>
      <c r="T334" s="179"/>
      <c r="U334" s="179"/>
      <c r="V334" s="179"/>
      <c r="W334" s="179"/>
      <c r="X334" s="179"/>
      <c r="Y334" s="179"/>
      <c r="Z334" s="180"/>
      <c r="AB334" s="544">
        <f ca="1">IF(AND($D334="Serviço",AB$12&lt;&gt;0,$H334&gt;0,OR(AUTOEVENTO&lt;&gt;"manual",$M334&lt;&gt;1)),
IF(Import.TipoArredondamento&lt;&gt;"TransfereGOV",
ROUND(OFFSET($P334,0,AB$13),15-13*ORÇAMENTO!$AF$7)/$H334*OFFSET(ORÇAMENTO!$X$15,ROW(AB334)-ROW(AB$15),0),
ROUND(ROUND(OFFSET($P334,0,AB$13),15-13*ORÇAMENTO!$AF$7)*OFFSET(ORÇAMENTO!$W$15,ROW(AB334)-ROW(AB$15),0),15-13*ORÇAMENTO!$AF$11)),0)</f>
        <v>0</v>
      </c>
      <c r="AC334" s="545">
        <f ca="1">IF(AND($D334="Serviço",AC$12&lt;&gt;0,$H334&gt;0,OR(AUTOEVENTO&lt;&gt;"manual",$M334&lt;&gt;1)),
IF(Import.TipoArredondamento&lt;&gt;"TransfereGOV",
ROUND(OFFSET($P334,0,AC$13),15-13*ORÇAMENTO!$AF$7)/$H334*OFFSET(ORÇAMENTO!$X$15,ROW(AC334)-ROW(AC$15),0),
ROUND(ROUND(OFFSET($P334,0,AC$13),15-13*ORÇAMENTO!$AF$7)*OFFSET(ORÇAMENTO!$W$15,ROW(AC334)-ROW(AC$15),0),15-13*ORÇAMENTO!$AF$11)),0)</f>
        <v>0</v>
      </c>
      <c r="AD334" s="545">
        <f ca="1">IF(AND($D334="Serviço",AD$12&lt;&gt;0,$H334&gt;0,OR(AUTOEVENTO&lt;&gt;"manual",$M334&lt;&gt;1)),
IF(Import.TipoArredondamento&lt;&gt;"TransfereGOV",
ROUND(OFFSET($P334,0,AD$13),15-13*ORÇAMENTO!$AF$7)/$H334*OFFSET(ORÇAMENTO!$X$15,ROW(AD334)-ROW(AD$15),0),
ROUND(ROUND(OFFSET($P334,0,AD$13),15-13*ORÇAMENTO!$AF$7)*OFFSET(ORÇAMENTO!$W$15,ROW(AD334)-ROW(AD$15),0),15-13*ORÇAMENTO!$AF$11)),0)</f>
        <v>0</v>
      </c>
      <c r="AE334" s="545">
        <f ca="1">IF(AND($D334="Serviço",AE$12&lt;&gt;0,$H334&gt;0,OR(AUTOEVENTO&lt;&gt;"manual",$M334&lt;&gt;1)),
IF(Import.TipoArredondamento&lt;&gt;"TransfereGOV",
ROUND(OFFSET($P334,0,AE$13),15-13*ORÇAMENTO!$AF$7)/$H334*OFFSET(ORÇAMENTO!$X$15,ROW(AE334)-ROW(AE$15),0),
ROUND(ROUND(OFFSET($P334,0,AE$13),15-13*ORÇAMENTO!$AF$7)*OFFSET(ORÇAMENTO!$W$15,ROW(AE334)-ROW(AE$15),0),15-13*ORÇAMENTO!$AF$11)),0)</f>
        <v>0</v>
      </c>
      <c r="AF334" s="545">
        <f ca="1">IF(AND($D334="Serviço",AF$12&lt;&gt;0,$H334&gt;0,OR(AUTOEVENTO&lt;&gt;"manual",$M334&lt;&gt;1)),
IF(Import.TipoArredondamento&lt;&gt;"TransfereGOV",
ROUND(OFFSET($P334,0,AF$13),15-13*ORÇAMENTO!$AF$7)/$H334*OFFSET(ORÇAMENTO!$X$15,ROW(AF334)-ROW(AF$15),0),
ROUND(ROUND(OFFSET($P334,0,AF$13),15-13*ORÇAMENTO!$AF$7)*OFFSET(ORÇAMENTO!$W$15,ROW(AF334)-ROW(AF$15),0),15-13*ORÇAMENTO!$AF$11)),0)</f>
        <v>0</v>
      </c>
      <c r="AG334" s="545">
        <f ca="1">IF(AND($D334="Serviço",AG$12&lt;&gt;0,$H334&gt;0,OR(AUTOEVENTO&lt;&gt;"manual",$M334&lt;&gt;1)),
IF(Import.TipoArredondamento&lt;&gt;"TransfereGOV",
ROUND(OFFSET($P334,0,AG$13),15-13*ORÇAMENTO!$AF$7)/$H334*OFFSET(ORÇAMENTO!$X$15,ROW(AG334)-ROW(AG$15),0),
ROUND(ROUND(OFFSET($P334,0,AG$13),15-13*ORÇAMENTO!$AF$7)*OFFSET(ORÇAMENTO!$W$15,ROW(AG334)-ROW(AG$15),0),15-13*ORÇAMENTO!$AF$11)),0)</f>
        <v>0</v>
      </c>
      <c r="AH334" s="545">
        <f ca="1">IF(AND($D334="Serviço",AH$12&lt;&gt;0,$H334&gt;0,OR(AUTOEVENTO&lt;&gt;"manual",$M334&lt;&gt;1)),
IF(Import.TipoArredondamento&lt;&gt;"TransfereGOV",
ROUND(OFFSET($P334,0,AH$13),15-13*ORÇAMENTO!$AF$7)/$H334*OFFSET(ORÇAMENTO!$X$15,ROW(AH334)-ROW(AH$15),0),
ROUND(ROUND(OFFSET($P334,0,AH$13),15-13*ORÇAMENTO!$AF$7)*OFFSET(ORÇAMENTO!$W$15,ROW(AH334)-ROW(AH$15),0),15-13*ORÇAMENTO!$AF$11)),0)</f>
        <v>0</v>
      </c>
      <c r="AI334" s="545">
        <f ca="1">IF(AND($D334="Serviço",AI$12&lt;&gt;0,$H334&gt;0,OR(AUTOEVENTO&lt;&gt;"manual",$M334&lt;&gt;1)),
IF(Import.TipoArredondamento&lt;&gt;"TransfereGOV",
ROUND(OFFSET($P334,0,AI$13),15-13*ORÇAMENTO!$AF$7)/$H334*OFFSET(ORÇAMENTO!$X$15,ROW(AI334)-ROW(AI$15),0),
ROUND(ROUND(OFFSET($P334,0,AI$13),15-13*ORÇAMENTO!$AF$7)*OFFSET(ORÇAMENTO!$W$15,ROW(AI334)-ROW(AI$15),0),15-13*ORÇAMENTO!$AF$11)),0)</f>
        <v>0</v>
      </c>
      <c r="AJ334" s="545">
        <f ca="1">IF(AND($D334="Serviço",AJ$12&lt;&gt;0,$H334&gt;0,OR(AUTOEVENTO&lt;&gt;"manual",$M334&lt;&gt;1)),
IF(Import.TipoArredondamento&lt;&gt;"TransfereGOV",
ROUND(OFFSET($P334,0,AJ$13),15-13*ORÇAMENTO!$AF$7)/$H334*OFFSET(ORÇAMENTO!$X$15,ROW(AJ334)-ROW(AJ$15),0),
ROUND(ROUND(OFFSET($P334,0,AJ$13),15-13*ORÇAMENTO!$AF$7)*OFFSET(ORÇAMENTO!$W$15,ROW(AJ334)-ROW(AJ$15),0),15-13*ORÇAMENTO!$AF$11)),0)</f>
        <v>0</v>
      </c>
      <c r="AK334" s="546">
        <f ca="1">IF(AND($D334="Serviço",AK$12&lt;&gt;0,$H334&gt;0,OR(AUTOEVENTO&lt;&gt;"manual",$M334&lt;&gt;1)),
IF(Import.TipoArredondamento&lt;&gt;"TransfereGOV",
ROUND(OFFSET($P334,0,AK$13),15-13*ORÇAMENTO!$AF$7)/$H334*OFFSET(ORÇAMENTO!$X$15,ROW(AK334)-ROW(AK$15),0),
ROUND(ROUND(OFFSET($P334,0,AK$13),15-13*ORÇAMENTO!$AF$7)*OFFSET(ORÇAMENTO!$W$15,ROW(AK334)-ROW(AK$15),0),15-13*ORÇAMENTO!$AF$11)),0)</f>
        <v>0</v>
      </c>
      <c r="AM334" s="181">
        <f ca="1">IF($D334&lt;&gt;"Serviço",0,IF(AND(AUTOEVENTO="Manual",$M334=1),0,IF(OFFSET(CRONOPLE!$F$14,$M334,AM$13)="",10^12,OFFSET(CRONOPLE!$F$14,$M334,AM$13))))</f>
        <v>0</v>
      </c>
      <c r="AN334" s="181">
        <f ca="1">IF($D334&lt;&gt;"Serviço",0,IF(AND(AUTOEVENTO="Manual",$M334=1),0,IF(OFFSET(CRONOPLE!$F$14,$M334,AN$13)="",10^12,OFFSET(CRONOPLE!$F$14,$M334,AN$13))))</f>
        <v>0</v>
      </c>
      <c r="AO334" s="181">
        <f ca="1">IF($D334&lt;&gt;"Serviço",0,IF(AND(AUTOEVENTO="Manual",$M334=1),0,IF(OFFSET(CRONOPLE!$F$14,$M334,AO$13)="",10^12,OFFSET(CRONOPLE!$F$14,$M334,AO$13))))</f>
        <v>0</v>
      </c>
      <c r="AP334" s="181">
        <f ca="1">IF($D334&lt;&gt;"Serviço",0,IF(AND(AUTOEVENTO="Manual",$M334=1),0,IF(OFFSET(CRONOPLE!$F$14,$M334,AP$13)="",10^12,OFFSET(CRONOPLE!$F$14,$M334,AP$13))))</f>
        <v>0</v>
      </c>
      <c r="AQ334" s="181">
        <f ca="1">IF($D334&lt;&gt;"Serviço",0,IF(AND(AUTOEVENTO="Manual",$M334=1),0,IF(OFFSET(CRONOPLE!$F$14,$M334,AQ$13)="",10^12,OFFSET(CRONOPLE!$F$14,$M334,AQ$13))))</f>
        <v>0</v>
      </c>
      <c r="AR334" s="181">
        <f ca="1">IF($D334&lt;&gt;"Serviço",0,IF(AND(AUTOEVENTO="Manual",$M334=1),0,IF(OFFSET(CRONOPLE!$F$14,$M334,AR$13)="",10^12,OFFSET(CRONOPLE!$F$14,$M334,AR$13))))</f>
        <v>0</v>
      </c>
      <c r="AS334" s="181">
        <f ca="1">IF($D334&lt;&gt;"Serviço",0,IF(AND(AUTOEVENTO="Manual",$M334=1),0,IF(OFFSET(CRONOPLE!$F$14,$M334,AS$13)="",10^12,OFFSET(CRONOPLE!$F$14,$M334,AS$13))))</f>
        <v>0</v>
      </c>
      <c r="AT334" s="181">
        <f ca="1">IF($D334&lt;&gt;"Serviço",0,IF(AND(AUTOEVENTO="Manual",$M334=1),0,IF(OFFSET(CRONOPLE!$F$14,$M334,AT$13)="",10^12,OFFSET(CRONOPLE!$F$14,$M334,AT$13))))</f>
        <v>0</v>
      </c>
      <c r="AU334" s="181">
        <f ca="1">IF($D334&lt;&gt;"Serviço",0,IF(AND(AUTOEVENTO="Manual",$M334=1),0,IF(OFFSET(CRONOPLE!$F$14,$M334,AU$13)="",10^12,OFFSET(CRONOPLE!$F$14,$M334,AU$13))))</f>
        <v>0</v>
      </c>
      <c r="AV334" s="181">
        <f ca="1">IF($D334&lt;&gt;"Serviço",0,IF(AND(AUTOEVENTO="Manual",$M334=1),0,IF(OFFSET(CRONOPLE!$F$14,$M334,AV$13)="",10^12,OFFSET(CRONOPLE!$F$14,$M334,AV$13))))</f>
        <v>0</v>
      </c>
      <c r="AX334" s="182">
        <f ca="1">IF($D334&lt;&gt;"Serviço",0,IF(OR(AND(AUTOEVENTO="Manual",$M334=1),$M334&gt;(ROW(PLE.lastrow)-ROW(PLE.firstrow))),0,IF(OFFSET(PLE!$G$14,$M334,AX$13)="",10^12,OFFSET(PLE!$G$14,$M334,AX$13))))</f>
        <v>0</v>
      </c>
      <c r="AY334" s="182">
        <f ca="1">IF($D334&lt;&gt;"Serviço",0,IF(OR(AND(AUTOEVENTO="Manual",$M334=1),$M334&gt;(ROW(PLE.lastrow)-ROW(PLE.firstrow))),0,IF(OFFSET(PLE!$G$14,$M334,AY$13)="",10^12,OFFSET(PLE!$G$14,$M334,AY$13))))</f>
        <v>0</v>
      </c>
      <c r="AZ334" s="182">
        <f ca="1">IF($D334&lt;&gt;"Serviço",0,IF(OR(AND(AUTOEVENTO="Manual",$M334=1),$M334&gt;(ROW(PLE.lastrow)-ROW(PLE.firstrow))),0,IF(OFFSET(PLE!$G$14,$M334,AZ$13)="",10^12,OFFSET(PLE!$G$14,$M334,AZ$13))))</f>
        <v>0</v>
      </c>
      <c r="BA334" s="182">
        <f ca="1">IF($D334&lt;&gt;"Serviço",0,IF(OR(AND(AUTOEVENTO="Manual",$M334=1),$M334&gt;(ROW(PLE.lastrow)-ROW(PLE.firstrow))),0,IF(OFFSET(PLE!$G$14,$M334,BA$13)="",10^12,OFFSET(PLE!$G$14,$M334,BA$13))))</f>
        <v>0</v>
      </c>
      <c r="BB334" s="182">
        <f ca="1">IF($D334&lt;&gt;"Serviço",0,IF(OR(AND(AUTOEVENTO="Manual",$M334=1),$M334&gt;(ROW(PLE.lastrow)-ROW(PLE.firstrow))),0,IF(OFFSET(PLE!$G$14,$M334,BB$13)="",10^12,OFFSET(PLE!$G$14,$M334,BB$13))))</f>
        <v>0</v>
      </c>
      <c r="BC334" s="182">
        <f ca="1">IF($D334&lt;&gt;"Serviço",0,IF(OR(AND(AUTOEVENTO="Manual",$M334=1),$M334&gt;(ROW(PLE.lastrow)-ROW(PLE.firstrow))),0,IF(OFFSET(PLE!$G$14,$M334,BC$13)="",10^12,OFFSET(PLE!$G$14,$M334,BC$13))))</f>
        <v>0</v>
      </c>
      <c r="BD334" s="182">
        <f ca="1">IF($D334&lt;&gt;"Serviço",0,IF(OR(AND(AUTOEVENTO="Manual",$M334=1),$M334&gt;(ROW(PLE.lastrow)-ROW(PLE.firstrow))),0,IF(OFFSET(PLE!$G$14,$M334,BD$13)="",10^12,OFFSET(PLE!$G$14,$M334,BD$13))))</f>
        <v>0</v>
      </c>
      <c r="BE334" s="182">
        <f ca="1">IF($D334&lt;&gt;"Serviço",0,IF(OR(AND(AUTOEVENTO="Manual",$M334=1),$M334&gt;(ROW(PLE.lastrow)-ROW(PLE.firstrow))),0,IF(OFFSET(PLE!$G$14,$M334,BE$13)="",10^12,OFFSET(PLE!$G$14,$M334,BE$13))))</f>
        <v>0</v>
      </c>
      <c r="BF334" s="182">
        <f ca="1">IF($D334&lt;&gt;"Serviço",0,IF(OR(AND(AUTOEVENTO="Manual",$M334=1),$M334&gt;(ROW(PLE.lastrow)-ROW(PLE.firstrow))),0,IF(OFFSET(PLE!$G$14,$M334,BF$13)="",10^12,OFFSET(PLE!$G$14,$M334,BF$13))))</f>
        <v>0</v>
      </c>
      <c r="BG334" s="182">
        <f ca="1">IF($D334&lt;&gt;"Serviço",0,IF(OR(AND(AUTOEVENTO="Manual",$M334=1),$M334&gt;(ROW(PLE.lastrow)-ROW(PLE.firstrow))),0,IF(OFFSET(PLE!$G$14,$M334,BG$13)="",10^12,OFFSET(PLE!$G$14,$M334,BG$13))))</f>
        <v>0</v>
      </c>
    </row>
    <row r="335" spans="1:59" ht="38.25" x14ac:dyDescent="0.2">
      <c r="A335" s="7" t="str">
        <f t="shared" ca="1" si="11"/>
        <v>302</v>
      </c>
      <c r="B335" s="7" t="str">
        <f ca="1">OFFSET(ORÇAMENTO!C$15,ROW(B335)-ROW(B$15),0)</f>
        <v>S</v>
      </c>
      <c r="C335" s="7" t="str">
        <f ca="1">OFFSET(ORÇAMENTO!L$15,ROW(C335)-ROW(C$15),0)</f>
        <v/>
      </c>
      <c r="D335" s="118" t="str">
        <f ca="1">OFFSET(ORÇAMENTO!N$15,ROW(D335)-ROW(D$15),0)</f>
        <v>Serviço</v>
      </c>
      <c r="E335" s="119" t="str">
        <f ca="1">OFFSET(ORÇAMENTO!O$15,ROW(E335)-ROW(E$15),0)</f>
        <v>-</v>
      </c>
      <c r="F335" s="172" t="str">
        <f ca="1">OFFSET(ORÇAMENTO!R$15,ROW(F335)-ROW(F$15),0)</f>
        <v>(abra o arquivo 'Referência 02-2025.xlsm)</v>
      </c>
      <c r="G335" s="173" t="str">
        <f ca="1">IF($D335&lt;&gt;"Serviço","",OFFSET(ORÇAMENTO!S$15,ROW(G335)-ROW(G$15),0))</f>
        <v>-</v>
      </c>
      <c r="H335" s="124">
        <f ca="1">IF($D335&lt;&gt;"Serviço",0,IF(ACOMPANHAMENTO="BM",ROUND(OFFSET(ORÇAMENTO!AJ$15,ROW(H335)-ROW(H$15),0),15-13*ORÇAMENTO!$AF$7),SUMPRODUCT(($Q$12:$AA$12&lt;&gt;"")*ROUND($Q335:$AA335,15-13*ORÇAMENTO!$AF$7))))</f>
        <v>13</v>
      </c>
      <c r="I335" s="561" t="s">
        <v>890</v>
      </c>
      <c r="K335" s="174"/>
      <c r="L335" s="175" t="s">
        <v>255</v>
      </c>
      <c r="M335" s="176">
        <f ca="1">IF($D335&lt;&gt;"Serviço","",IF(AUTOEVENTO="manual",$A335,IF(ISERROR(MATCH($A335,$A$15:OFFSET($A335,-1,0),0)),MAX($M$15:OFFSET(M335,-1,0))+1,INDEX($M$15:OFFSET(M335,-1,0),MATCH($A335,$A$15:OFFSET($A335,-1,0),0)))))</f>
        <v>14</v>
      </c>
      <c r="N335" s="177" t="str">
        <f ca="1">IF($D335&lt;&gt;"Serviço","",IF(AUTOEVENTO="Manual",IF($A335=0,"&lt;-- defina o número do agrupador",OFFSET(EVENTOS!$D$14,$A335,0)),OFFSET($F$15,$A335,0)))</f>
        <v>DRENAGEM DE ÁGUAS PLUVIAIS</v>
      </c>
      <c r="O335" s="178"/>
      <c r="Q335" s="178"/>
      <c r="R335" s="179"/>
      <c r="S335" s="179"/>
      <c r="T335" s="179"/>
      <c r="U335" s="179"/>
      <c r="V335" s="179"/>
      <c r="W335" s="179"/>
      <c r="X335" s="179"/>
      <c r="Y335" s="179"/>
      <c r="Z335" s="180"/>
      <c r="AB335" s="544">
        <f ca="1">IF(AND($D335="Serviço",AB$12&lt;&gt;0,$H335&gt;0,OR(AUTOEVENTO&lt;&gt;"manual",$M335&lt;&gt;1)),
IF(Import.TipoArredondamento&lt;&gt;"TransfereGOV",
ROUND(OFFSET($P335,0,AB$13),15-13*ORÇAMENTO!$AF$7)/$H335*OFFSET(ORÇAMENTO!$X$15,ROW(AB335)-ROW(AB$15),0),
ROUND(ROUND(OFFSET($P335,0,AB$13),15-13*ORÇAMENTO!$AF$7)*OFFSET(ORÇAMENTO!$W$15,ROW(AB335)-ROW(AB$15),0),15-13*ORÇAMENTO!$AF$11)),0)</f>
        <v>0</v>
      </c>
      <c r="AC335" s="545">
        <f ca="1">IF(AND($D335="Serviço",AC$12&lt;&gt;0,$H335&gt;0,OR(AUTOEVENTO&lt;&gt;"manual",$M335&lt;&gt;1)),
IF(Import.TipoArredondamento&lt;&gt;"TransfereGOV",
ROUND(OFFSET($P335,0,AC$13),15-13*ORÇAMENTO!$AF$7)/$H335*OFFSET(ORÇAMENTO!$X$15,ROW(AC335)-ROW(AC$15),0),
ROUND(ROUND(OFFSET($P335,0,AC$13),15-13*ORÇAMENTO!$AF$7)*OFFSET(ORÇAMENTO!$W$15,ROW(AC335)-ROW(AC$15),0),15-13*ORÇAMENTO!$AF$11)),0)</f>
        <v>0</v>
      </c>
      <c r="AD335" s="545">
        <f ca="1">IF(AND($D335="Serviço",AD$12&lt;&gt;0,$H335&gt;0,OR(AUTOEVENTO&lt;&gt;"manual",$M335&lt;&gt;1)),
IF(Import.TipoArredondamento&lt;&gt;"TransfereGOV",
ROUND(OFFSET($P335,0,AD$13),15-13*ORÇAMENTO!$AF$7)/$H335*OFFSET(ORÇAMENTO!$X$15,ROW(AD335)-ROW(AD$15),0),
ROUND(ROUND(OFFSET($P335,0,AD$13),15-13*ORÇAMENTO!$AF$7)*OFFSET(ORÇAMENTO!$W$15,ROW(AD335)-ROW(AD$15),0),15-13*ORÇAMENTO!$AF$11)),0)</f>
        <v>0</v>
      </c>
      <c r="AE335" s="545">
        <f ca="1">IF(AND($D335="Serviço",AE$12&lt;&gt;0,$H335&gt;0,OR(AUTOEVENTO&lt;&gt;"manual",$M335&lt;&gt;1)),
IF(Import.TipoArredondamento&lt;&gt;"TransfereGOV",
ROUND(OFFSET($P335,0,AE$13),15-13*ORÇAMENTO!$AF$7)/$H335*OFFSET(ORÇAMENTO!$X$15,ROW(AE335)-ROW(AE$15),0),
ROUND(ROUND(OFFSET($P335,0,AE$13),15-13*ORÇAMENTO!$AF$7)*OFFSET(ORÇAMENTO!$W$15,ROW(AE335)-ROW(AE$15),0),15-13*ORÇAMENTO!$AF$11)),0)</f>
        <v>0</v>
      </c>
      <c r="AF335" s="545">
        <f ca="1">IF(AND($D335="Serviço",AF$12&lt;&gt;0,$H335&gt;0,OR(AUTOEVENTO&lt;&gt;"manual",$M335&lt;&gt;1)),
IF(Import.TipoArredondamento&lt;&gt;"TransfereGOV",
ROUND(OFFSET($P335,0,AF$13),15-13*ORÇAMENTO!$AF$7)/$H335*OFFSET(ORÇAMENTO!$X$15,ROW(AF335)-ROW(AF$15),0),
ROUND(ROUND(OFFSET($P335,0,AF$13),15-13*ORÇAMENTO!$AF$7)*OFFSET(ORÇAMENTO!$W$15,ROW(AF335)-ROW(AF$15),0),15-13*ORÇAMENTO!$AF$11)),0)</f>
        <v>0</v>
      </c>
      <c r="AG335" s="545">
        <f ca="1">IF(AND($D335="Serviço",AG$12&lt;&gt;0,$H335&gt;0,OR(AUTOEVENTO&lt;&gt;"manual",$M335&lt;&gt;1)),
IF(Import.TipoArredondamento&lt;&gt;"TransfereGOV",
ROUND(OFFSET($P335,0,AG$13),15-13*ORÇAMENTO!$AF$7)/$H335*OFFSET(ORÇAMENTO!$X$15,ROW(AG335)-ROW(AG$15),0),
ROUND(ROUND(OFFSET($P335,0,AG$13),15-13*ORÇAMENTO!$AF$7)*OFFSET(ORÇAMENTO!$W$15,ROW(AG335)-ROW(AG$15),0),15-13*ORÇAMENTO!$AF$11)),0)</f>
        <v>0</v>
      </c>
      <c r="AH335" s="545">
        <f ca="1">IF(AND($D335="Serviço",AH$12&lt;&gt;0,$H335&gt;0,OR(AUTOEVENTO&lt;&gt;"manual",$M335&lt;&gt;1)),
IF(Import.TipoArredondamento&lt;&gt;"TransfereGOV",
ROUND(OFFSET($P335,0,AH$13),15-13*ORÇAMENTO!$AF$7)/$H335*OFFSET(ORÇAMENTO!$X$15,ROW(AH335)-ROW(AH$15),0),
ROUND(ROUND(OFFSET($P335,0,AH$13),15-13*ORÇAMENTO!$AF$7)*OFFSET(ORÇAMENTO!$W$15,ROW(AH335)-ROW(AH$15),0),15-13*ORÇAMENTO!$AF$11)),0)</f>
        <v>0</v>
      </c>
      <c r="AI335" s="545">
        <f ca="1">IF(AND($D335="Serviço",AI$12&lt;&gt;0,$H335&gt;0,OR(AUTOEVENTO&lt;&gt;"manual",$M335&lt;&gt;1)),
IF(Import.TipoArredondamento&lt;&gt;"TransfereGOV",
ROUND(OFFSET($P335,0,AI$13),15-13*ORÇAMENTO!$AF$7)/$H335*OFFSET(ORÇAMENTO!$X$15,ROW(AI335)-ROW(AI$15),0),
ROUND(ROUND(OFFSET($P335,0,AI$13),15-13*ORÇAMENTO!$AF$7)*OFFSET(ORÇAMENTO!$W$15,ROW(AI335)-ROW(AI$15),0),15-13*ORÇAMENTO!$AF$11)),0)</f>
        <v>0</v>
      </c>
      <c r="AJ335" s="545">
        <f ca="1">IF(AND($D335="Serviço",AJ$12&lt;&gt;0,$H335&gt;0,OR(AUTOEVENTO&lt;&gt;"manual",$M335&lt;&gt;1)),
IF(Import.TipoArredondamento&lt;&gt;"TransfereGOV",
ROUND(OFFSET($P335,0,AJ$13),15-13*ORÇAMENTO!$AF$7)/$H335*OFFSET(ORÇAMENTO!$X$15,ROW(AJ335)-ROW(AJ$15),0),
ROUND(ROUND(OFFSET($P335,0,AJ$13),15-13*ORÇAMENTO!$AF$7)*OFFSET(ORÇAMENTO!$W$15,ROW(AJ335)-ROW(AJ$15),0),15-13*ORÇAMENTO!$AF$11)),0)</f>
        <v>0</v>
      </c>
      <c r="AK335" s="546">
        <f ca="1">IF(AND($D335="Serviço",AK$12&lt;&gt;0,$H335&gt;0,OR(AUTOEVENTO&lt;&gt;"manual",$M335&lt;&gt;1)),
IF(Import.TipoArredondamento&lt;&gt;"TransfereGOV",
ROUND(OFFSET($P335,0,AK$13),15-13*ORÇAMENTO!$AF$7)/$H335*OFFSET(ORÇAMENTO!$X$15,ROW(AK335)-ROW(AK$15),0),
ROUND(ROUND(OFFSET($P335,0,AK$13),15-13*ORÇAMENTO!$AF$7)*OFFSET(ORÇAMENTO!$W$15,ROW(AK335)-ROW(AK$15),0),15-13*ORÇAMENTO!$AF$11)),0)</f>
        <v>0</v>
      </c>
      <c r="AM335" s="181">
        <f ca="1">IF($D335&lt;&gt;"Serviço",0,IF(AND(AUTOEVENTO="Manual",$M335=1),0,IF(OFFSET(CRONOPLE!$F$14,$M335,AM$13)="",10^12,OFFSET(CRONOPLE!$F$14,$M335,AM$13))))</f>
        <v>1000000000000</v>
      </c>
      <c r="AN335" s="181">
        <f ca="1">IF($D335&lt;&gt;"Serviço",0,IF(AND(AUTOEVENTO="Manual",$M335=1),0,IF(OFFSET(CRONOPLE!$F$14,$M335,AN$13)="",10^12,OFFSET(CRONOPLE!$F$14,$M335,AN$13))))</f>
        <v>1000000000000</v>
      </c>
      <c r="AO335" s="181">
        <f ca="1">IF($D335&lt;&gt;"Serviço",0,IF(AND(AUTOEVENTO="Manual",$M335=1),0,IF(OFFSET(CRONOPLE!$F$14,$M335,AO$13)="",10^12,OFFSET(CRONOPLE!$F$14,$M335,AO$13))))</f>
        <v>1000000000000</v>
      </c>
      <c r="AP335" s="181">
        <f ca="1">IF($D335&lt;&gt;"Serviço",0,IF(AND(AUTOEVENTO="Manual",$M335=1),0,IF(OFFSET(CRONOPLE!$F$14,$M335,AP$13)="",10^12,OFFSET(CRONOPLE!$F$14,$M335,AP$13))))</f>
        <v>1000000000000</v>
      </c>
      <c r="AQ335" s="181">
        <f ca="1">IF($D335&lt;&gt;"Serviço",0,IF(AND(AUTOEVENTO="Manual",$M335=1),0,IF(OFFSET(CRONOPLE!$F$14,$M335,AQ$13)="",10^12,OFFSET(CRONOPLE!$F$14,$M335,AQ$13))))</f>
        <v>1000000000000</v>
      </c>
      <c r="AR335" s="181">
        <f ca="1">IF($D335&lt;&gt;"Serviço",0,IF(AND(AUTOEVENTO="Manual",$M335=1),0,IF(OFFSET(CRONOPLE!$F$14,$M335,AR$13)="",10^12,OFFSET(CRONOPLE!$F$14,$M335,AR$13))))</f>
        <v>1000000000000</v>
      </c>
      <c r="AS335" s="181">
        <f ca="1">IF($D335&lt;&gt;"Serviço",0,IF(AND(AUTOEVENTO="Manual",$M335=1),0,IF(OFFSET(CRONOPLE!$F$14,$M335,AS$13)="",10^12,OFFSET(CRONOPLE!$F$14,$M335,AS$13))))</f>
        <v>1000000000000</v>
      </c>
      <c r="AT335" s="181">
        <f ca="1">IF($D335&lt;&gt;"Serviço",0,IF(AND(AUTOEVENTO="Manual",$M335=1),0,IF(OFFSET(CRONOPLE!$F$14,$M335,AT$13)="",10^12,OFFSET(CRONOPLE!$F$14,$M335,AT$13))))</f>
        <v>1000000000000</v>
      </c>
      <c r="AU335" s="181">
        <f ca="1">IF($D335&lt;&gt;"Serviço",0,IF(AND(AUTOEVENTO="Manual",$M335=1),0,IF(OFFSET(CRONOPLE!$F$14,$M335,AU$13)="",10^12,OFFSET(CRONOPLE!$F$14,$M335,AU$13))))</f>
        <v>1000000000000</v>
      </c>
      <c r="AV335" s="181">
        <f ca="1">IF($D335&lt;&gt;"Serviço",0,IF(AND(AUTOEVENTO="Manual",$M335=1),0,IF(OFFSET(CRONOPLE!$F$14,$M335,AV$13)="",10^12,OFFSET(CRONOPLE!$F$14,$M335,AV$13))))</f>
        <v>1000000000000</v>
      </c>
      <c r="AX335" s="182">
        <f ca="1">IF($D335&lt;&gt;"Serviço",0,IF(OR(AND(AUTOEVENTO="Manual",$M335=1),$M335&gt;(ROW(PLE.lastrow)-ROW(PLE.firstrow))),0,IF(OFFSET(PLE!$G$14,$M335,AX$13)="",10^12,OFFSET(PLE!$G$14,$M335,AX$13))))</f>
        <v>1000000000000</v>
      </c>
      <c r="AY335" s="182">
        <f ca="1">IF($D335&lt;&gt;"Serviço",0,IF(OR(AND(AUTOEVENTO="Manual",$M335=1),$M335&gt;(ROW(PLE.lastrow)-ROW(PLE.firstrow))),0,IF(OFFSET(PLE!$G$14,$M335,AY$13)="",10^12,OFFSET(PLE!$G$14,$M335,AY$13))))</f>
        <v>1000000000000</v>
      </c>
      <c r="AZ335" s="182">
        <f ca="1">IF($D335&lt;&gt;"Serviço",0,IF(OR(AND(AUTOEVENTO="Manual",$M335=1),$M335&gt;(ROW(PLE.lastrow)-ROW(PLE.firstrow))),0,IF(OFFSET(PLE!$G$14,$M335,AZ$13)="",10^12,OFFSET(PLE!$G$14,$M335,AZ$13))))</f>
        <v>1000000000000</v>
      </c>
      <c r="BA335" s="182">
        <f ca="1">IF($D335&lt;&gt;"Serviço",0,IF(OR(AND(AUTOEVENTO="Manual",$M335=1),$M335&gt;(ROW(PLE.lastrow)-ROW(PLE.firstrow))),0,IF(OFFSET(PLE!$G$14,$M335,BA$13)="",10^12,OFFSET(PLE!$G$14,$M335,BA$13))))</f>
        <v>1000000000000</v>
      </c>
      <c r="BB335" s="182">
        <f ca="1">IF($D335&lt;&gt;"Serviço",0,IF(OR(AND(AUTOEVENTO="Manual",$M335=1),$M335&gt;(ROW(PLE.lastrow)-ROW(PLE.firstrow))),0,IF(OFFSET(PLE!$G$14,$M335,BB$13)="",10^12,OFFSET(PLE!$G$14,$M335,BB$13))))</f>
        <v>1000000000000</v>
      </c>
      <c r="BC335" s="182">
        <f ca="1">IF($D335&lt;&gt;"Serviço",0,IF(OR(AND(AUTOEVENTO="Manual",$M335=1),$M335&gt;(ROW(PLE.lastrow)-ROW(PLE.firstrow))),0,IF(OFFSET(PLE!$G$14,$M335,BC$13)="",10^12,OFFSET(PLE!$G$14,$M335,BC$13))))</f>
        <v>1000000000000</v>
      </c>
      <c r="BD335" s="182">
        <f ca="1">IF($D335&lt;&gt;"Serviço",0,IF(OR(AND(AUTOEVENTO="Manual",$M335=1),$M335&gt;(ROW(PLE.lastrow)-ROW(PLE.firstrow))),0,IF(OFFSET(PLE!$G$14,$M335,BD$13)="",10^12,OFFSET(PLE!$G$14,$M335,BD$13))))</f>
        <v>1000000000000</v>
      </c>
      <c r="BE335" s="182">
        <f ca="1">IF($D335&lt;&gt;"Serviço",0,IF(OR(AND(AUTOEVENTO="Manual",$M335=1),$M335&gt;(ROW(PLE.lastrow)-ROW(PLE.firstrow))),0,IF(OFFSET(PLE!$G$14,$M335,BE$13)="",10^12,OFFSET(PLE!$G$14,$M335,BE$13))))</f>
        <v>1000000000000</v>
      </c>
      <c r="BF335" s="182">
        <f ca="1">IF($D335&lt;&gt;"Serviço",0,IF(OR(AND(AUTOEVENTO="Manual",$M335=1),$M335&gt;(ROW(PLE.lastrow)-ROW(PLE.firstrow))),0,IF(OFFSET(PLE!$G$14,$M335,BF$13)="",10^12,OFFSET(PLE!$G$14,$M335,BF$13))))</f>
        <v>1000000000000</v>
      </c>
      <c r="BG335" s="182">
        <f ca="1">IF($D335&lt;&gt;"Serviço",0,IF(OR(AND(AUTOEVENTO="Manual",$M335=1),$M335&gt;(ROW(PLE.lastrow)-ROW(PLE.firstrow))),0,IF(OFFSET(PLE!$G$14,$M335,BG$13)="",10^12,OFFSET(PLE!$G$14,$M335,BG$13))))</f>
        <v>1000000000000</v>
      </c>
    </row>
    <row r="336" spans="1:59" ht="38.25" x14ac:dyDescent="0.2">
      <c r="A336" s="7" t="str">
        <f t="shared" ca="1" si="11"/>
        <v>302</v>
      </c>
      <c r="B336" s="7" t="str">
        <f ca="1">OFFSET(ORÇAMENTO!C$15,ROW(B336)-ROW(B$15),0)</f>
        <v>S</v>
      </c>
      <c r="C336" s="7" t="str">
        <f ca="1">OFFSET(ORÇAMENTO!L$15,ROW(C336)-ROW(C$15),0)</f>
        <v/>
      </c>
      <c r="D336" s="118" t="str">
        <f ca="1">OFFSET(ORÇAMENTO!N$15,ROW(D336)-ROW(D$15),0)</f>
        <v>Serviço</v>
      </c>
      <c r="E336" s="119" t="str">
        <f ca="1">OFFSET(ORÇAMENTO!O$15,ROW(E336)-ROW(E$15),0)</f>
        <v>-</v>
      </c>
      <c r="F336" s="172" t="str">
        <f ca="1">OFFSET(ORÇAMENTO!R$15,ROW(F336)-ROW(F$15),0)</f>
        <v>(abra o arquivo 'Referência 02-2025.xlsm)</v>
      </c>
      <c r="G336" s="173" t="str">
        <f ca="1">IF($D336&lt;&gt;"Serviço","",OFFSET(ORÇAMENTO!S$15,ROW(G336)-ROW(G$15),0))</f>
        <v>-</v>
      </c>
      <c r="H336" s="124">
        <f ca="1">IF($D336&lt;&gt;"Serviço",0,IF(ACOMPANHAMENTO="BM",ROUND(OFFSET(ORÇAMENTO!AJ$15,ROW(H336)-ROW(H$15),0),15-13*ORÇAMENTO!$AF$7),SUMPRODUCT(($Q$12:$AA$12&lt;&gt;"")*ROUND($Q336:$AA336,15-13*ORÇAMENTO!$AF$7))))</f>
        <v>11</v>
      </c>
      <c r="I336" s="561" t="s">
        <v>890</v>
      </c>
      <c r="K336" s="174"/>
      <c r="L336" s="175" t="s">
        <v>255</v>
      </c>
      <c r="M336" s="176">
        <f ca="1">IF($D336&lt;&gt;"Serviço","",IF(AUTOEVENTO="manual",$A336,IF(ISERROR(MATCH($A336,$A$15:OFFSET($A336,-1,0),0)),MAX($M$15:OFFSET(M336,-1,0))+1,INDEX($M$15:OFFSET(M336,-1,0),MATCH($A336,$A$15:OFFSET($A336,-1,0),0)))))</f>
        <v>14</v>
      </c>
      <c r="N336" s="177" t="str">
        <f ca="1">IF($D336&lt;&gt;"Serviço","",IF(AUTOEVENTO="Manual",IF($A336=0,"&lt;-- defina o número do agrupador",OFFSET(EVENTOS!$D$14,$A336,0)),OFFSET($F$15,$A336,0)))</f>
        <v>DRENAGEM DE ÁGUAS PLUVIAIS</v>
      </c>
      <c r="O336" s="178"/>
      <c r="Q336" s="178"/>
      <c r="R336" s="179"/>
      <c r="S336" s="179"/>
      <c r="T336" s="179"/>
      <c r="U336" s="179"/>
      <c r="V336" s="179"/>
      <c r="W336" s="179"/>
      <c r="X336" s="179"/>
      <c r="Y336" s="179"/>
      <c r="Z336" s="180"/>
      <c r="AB336" s="544">
        <f ca="1">IF(AND($D336="Serviço",AB$12&lt;&gt;0,$H336&gt;0,OR(AUTOEVENTO&lt;&gt;"manual",$M336&lt;&gt;1)),
IF(Import.TipoArredondamento&lt;&gt;"TransfereGOV",
ROUND(OFFSET($P336,0,AB$13),15-13*ORÇAMENTO!$AF$7)/$H336*OFFSET(ORÇAMENTO!$X$15,ROW(AB336)-ROW(AB$15),0),
ROUND(ROUND(OFFSET($P336,0,AB$13),15-13*ORÇAMENTO!$AF$7)*OFFSET(ORÇAMENTO!$W$15,ROW(AB336)-ROW(AB$15),0),15-13*ORÇAMENTO!$AF$11)),0)</f>
        <v>0</v>
      </c>
      <c r="AC336" s="545">
        <f ca="1">IF(AND($D336="Serviço",AC$12&lt;&gt;0,$H336&gt;0,OR(AUTOEVENTO&lt;&gt;"manual",$M336&lt;&gt;1)),
IF(Import.TipoArredondamento&lt;&gt;"TransfereGOV",
ROUND(OFFSET($P336,0,AC$13),15-13*ORÇAMENTO!$AF$7)/$H336*OFFSET(ORÇAMENTO!$X$15,ROW(AC336)-ROW(AC$15),0),
ROUND(ROUND(OFFSET($P336,0,AC$13),15-13*ORÇAMENTO!$AF$7)*OFFSET(ORÇAMENTO!$W$15,ROW(AC336)-ROW(AC$15),0),15-13*ORÇAMENTO!$AF$11)),0)</f>
        <v>0</v>
      </c>
      <c r="AD336" s="545">
        <f ca="1">IF(AND($D336="Serviço",AD$12&lt;&gt;0,$H336&gt;0,OR(AUTOEVENTO&lt;&gt;"manual",$M336&lt;&gt;1)),
IF(Import.TipoArredondamento&lt;&gt;"TransfereGOV",
ROUND(OFFSET($P336,0,AD$13),15-13*ORÇAMENTO!$AF$7)/$H336*OFFSET(ORÇAMENTO!$X$15,ROW(AD336)-ROW(AD$15),0),
ROUND(ROUND(OFFSET($P336,0,AD$13),15-13*ORÇAMENTO!$AF$7)*OFFSET(ORÇAMENTO!$W$15,ROW(AD336)-ROW(AD$15),0),15-13*ORÇAMENTO!$AF$11)),0)</f>
        <v>0</v>
      </c>
      <c r="AE336" s="545">
        <f ca="1">IF(AND($D336="Serviço",AE$12&lt;&gt;0,$H336&gt;0,OR(AUTOEVENTO&lt;&gt;"manual",$M336&lt;&gt;1)),
IF(Import.TipoArredondamento&lt;&gt;"TransfereGOV",
ROUND(OFFSET($P336,0,AE$13),15-13*ORÇAMENTO!$AF$7)/$H336*OFFSET(ORÇAMENTO!$X$15,ROW(AE336)-ROW(AE$15),0),
ROUND(ROUND(OFFSET($P336,0,AE$13),15-13*ORÇAMENTO!$AF$7)*OFFSET(ORÇAMENTO!$W$15,ROW(AE336)-ROW(AE$15),0),15-13*ORÇAMENTO!$AF$11)),0)</f>
        <v>0</v>
      </c>
      <c r="AF336" s="545">
        <f ca="1">IF(AND($D336="Serviço",AF$12&lt;&gt;0,$H336&gt;0,OR(AUTOEVENTO&lt;&gt;"manual",$M336&lt;&gt;1)),
IF(Import.TipoArredondamento&lt;&gt;"TransfereGOV",
ROUND(OFFSET($P336,0,AF$13),15-13*ORÇAMENTO!$AF$7)/$H336*OFFSET(ORÇAMENTO!$X$15,ROW(AF336)-ROW(AF$15),0),
ROUND(ROUND(OFFSET($P336,0,AF$13),15-13*ORÇAMENTO!$AF$7)*OFFSET(ORÇAMENTO!$W$15,ROW(AF336)-ROW(AF$15),0),15-13*ORÇAMENTO!$AF$11)),0)</f>
        <v>0</v>
      </c>
      <c r="AG336" s="545">
        <f ca="1">IF(AND($D336="Serviço",AG$12&lt;&gt;0,$H336&gt;0,OR(AUTOEVENTO&lt;&gt;"manual",$M336&lt;&gt;1)),
IF(Import.TipoArredondamento&lt;&gt;"TransfereGOV",
ROUND(OFFSET($P336,0,AG$13),15-13*ORÇAMENTO!$AF$7)/$H336*OFFSET(ORÇAMENTO!$X$15,ROW(AG336)-ROW(AG$15),0),
ROUND(ROUND(OFFSET($P336,0,AG$13),15-13*ORÇAMENTO!$AF$7)*OFFSET(ORÇAMENTO!$W$15,ROW(AG336)-ROW(AG$15),0),15-13*ORÇAMENTO!$AF$11)),0)</f>
        <v>0</v>
      </c>
      <c r="AH336" s="545">
        <f ca="1">IF(AND($D336="Serviço",AH$12&lt;&gt;0,$H336&gt;0,OR(AUTOEVENTO&lt;&gt;"manual",$M336&lt;&gt;1)),
IF(Import.TipoArredondamento&lt;&gt;"TransfereGOV",
ROUND(OFFSET($P336,0,AH$13),15-13*ORÇAMENTO!$AF$7)/$H336*OFFSET(ORÇAMENTO!$X$15,ROW(AH336)-ROW(AH$15),0),
ROUND(ROUND(OFFSET($P336,0,AH$13),15-13*ORÇAMENTO!$AF$7)*OFFSET(ORÇAMENTO!$W$15,ROW(AH336)-ROW(AH$15),0),15-13*ORÇAMENTO!$AF$11)),0)</f>
        <v>0</v>
      </c>
      <c r="AI336" s="545">
        <f ca="1">IF(AND($D336="Serviço",AI$12&lt;&gt;0,$H336&gt;0,OR(AUTOEVENTO&lt;&gt;"manual",$M336&lt;&gt;1)),
IF(Import.TipoArredondamento&lt;&gt;"TransfereGOV",
ROUND(OFFSET($P336,0,AI$13),15-13*ORÇAMENTO!$AF$7)/$H336*OFFSET(ORÇAMENTO!$X$15,ROW(AI336)-ROW(AI$15),0),
ROUND(ROUND(OFFSET($P336,0,AI$13),15-13*ORÇAMENTO!$AF$7)*OFFSET(ORÇAMENTO!$W$15,ROW(AI336)-ROW(AI$15),0),15-13*ORÇAMENTO!$AF$11)),0)</f>
        <v>0</v>
      </c>
      <c r="AJ336" s="545">
        <f ca="1">IF(AND($D336="Serviço",AJ$12&lt;&gt;0,$H336&gt;0,OR(AUTOEVENTO&lt;&gt;"manual",$M336&lt;&gt;1)),
IF(Import.TipoArredondamento&lt;&gt;"TransfereGOV",
ROUND(OFFSET($P336,0,AJ$13),15-13*ORÇAMENTO!$AF$7)/$H336*OFFSET(ORÇAMENTO!$X$15,ROW(AJ336)-ROW(AJ$15),0),
ROUND(ROUND(OFFSET($P336,0,AJ$13),15-13*ORÇAMENTO!$AF$7)*OFFSET(ORÇAMENTO!$W$15,ROW(AJ336)-ROW(AJ$15),0),15-13*ORÇAMENTO!$AF$11)),0)</f>
        <v>0</v>
      </c>
      <c r="AK336" s="546">
        <f ca="1">IF(AND($D336="Serviço",AK$12&lt;&gt;0,$H336&gt;0,OR(AUTOEVENTO&lt;&gt;"manual",$M336&lt;&gt;1)),
IF(Import.TipoArredondamento&lt;&gt;"TransfereGOV",
ROUND(OFFSET($P336,0,AK$13),15-13*ORÇAMENTO!$AF$7)/$H336*OFFSET(ORÇAMENTO!$X$15,ROW(AK336)-ROW(AK$15),0),
ROUND(ROUND(OFFSET($P336,0,AK$13),15-13*ORÇAMENTO!$AF$7)*OFFSET(ORÇAMENTO!$W$15,ROW(AK336)-ROW(AK$15),0),15-13*ORÇAMENTO!$AF$11)),0)</f>
        <v>0</v>
      </c>
      <c r="AM336" s="181">
        <f ca="1">IF($D336&lt;&gt;"Serviço",0,IF(AND(AUTOEVENTO="Manual",$M336=1),0,IF(OFFSET(CRONOPLE!$F$14,$M336,AM$13)="",10^12,OFFSET(CRONOPLE!$F$14,$M336,AM$13))))</f>
        <v>1000000000000</v>
      </c>
      <c r="AN336" s="181">
        <f ca="1">IF($D336&lt;&gt;"Serviço",0,IF(AND(AUTOEVENTO="Manual",$M336=1),0,IF(OFFSET(CRONOPLE!$F$14,$M336,AN$13)="",10^12,OFFSET(CRONOPLE!$F$14,$M336,AN$13))))</f>
        <v>1000000000000</v>
      </c>
      <c r="AO336" s="181">
        <f ca="1">IF($D336&lt;&gt;"Serviço",0,IF(AND(AUTOEVENTO="Manual",$M336=1),0,IF(OFFSET(CRONOPLE!$F$14,$M336,AO$13)="",10^12,OFFSET(CRONOPLE!$F$14,$M336,AO$13))))</f>
        <v>1000000000000</v>
      </c>
      <c r="AP336" s="181">
        <f ca="1">IF($D336&lt;&gt;"Serviço",0,IF(AND(AUTOEVENTO="Manual",$M336=1),0,IF(OFFSET(CRONOPLE!$F$14,$M336,AP$13)="",10^12,OFFSET(CRONOPLE!$F$14,$M336,AP$13))))</f>
        <v>1000000000000</v>
      </c>
      <c r="AQ336" s="181">
        <f ca="1">IF($D336&lt;&gt;"Serviço",0,IF(AND(AUTOEVENTO="Manual",$M336=1),0,IF(OFFSET(CRONOPLE!$F$14,$M336,AQ$13)="",10^12,OFFSET(CRONOPLE!$F$14,$M336,AQ$13))))</f>
        <v>1000000000000</v>
      </c>
      <c r="AR336" s="181">
        <f ca="1">IF($D336&lt;&gt;"Serviço",0,IF(AND(AUTOEVENTO="Manual",$M336=1),0,IF(OFFSET(CRONOPLE!$F$14,$M336,AR$13)="",10^12,OFFSET(CRONOPLE!$F$14,$M336,AR$13))))</f>
        <v>1000000000000</v>
      </c>
      <c r="AS336" s="181">
        <f ca="1">IF($D336&lt;&gt;"Serviço",0,IF(AND(AUTOEVENTO="Manual",$M336=1),0,IF(OFFSET(CRONOPLE!$F$14,$M336,AS$13)="",10^12,OFFSET(CRONOPLE!$F$14,$M336,AS$13))))</f>
        <v>1000000000000</v>
      </c>
      <c r="AT336" s="181">
        <f ca="1">IF($D336&lt;&gt;"Serviço",0,IF(AND(AUTOEVENTO="Manual",$M336=1),0,IF(OFFSET(CRONOPLE!$F$14,$M336,AT$13)="",10^12,OFFSET(CRONOPLE!$F$14,$M336,AT$13))))</f>
        <v>1000000000000</v>
      </c>
      <c r="AU336" s="181">
        <f ca="1">IF($D336&lt;&gt;"Serviço",0,IF(AND(AUTOEVENTO="Manual",$M336=1),0,IF(OFFSET(CRONOPLE!$F$14,$M336,AU$13)="",10^12,OFFSET(CRONOPLE!$F$14,$M336,AU$13))))</f>
        <v>1000000000000</v>
      </c>
      <c r="AV336" s="181">
        <f ca="1">IF($D336&lt;&gt;"Serviço",0,IF(AND(AUTOEVENTO="Manual",$M336=1),0,IF(OFFSET(CRONOPLE!$F$14,$M336,AV$13)="",10^12,OFFSET(CRONOPLE!$F$14,$M336,AV$13))))</f>
        <v>1000000000000</v>
      </c>
      <c r="AX336" s="182">
        <f ca="1">IF($D336&lt;&gt;"Serviço",0,IF(OR(AND(AUTOEVENTO="Manual",$M336=1),$M336&gt;(ROW(PLE.lastrow)-ROW(PLE.firstrow))),0,IF(OFFSET(PLE!$G$14,$M336,AX$13)="",10^12,OFFSET(PLE!$G$14,$M336,AX$13))))</f>
        <v>1000000000000</v>
      </c>
      <c r="AY336" s="182">
        <f ca="1">IF($D336&lt;&gt;"Serviço",0,IF(OR(AND(AUTOEVENTO="Manual",$M336=1),$M336&gt;(ROW(PLE.lastrow)-ROW(PLE.firstrow))),0,IF(OFFSET(PLE!$G$14,$M336,AY$13)="",10^12,OFFSET(PLE!$G$14,$M336,AY$13))))</f>
        <v>1000000000000</v>
      </c>
      <c r="AZ336" s="182">
        <f ca="1">IF($D336&lt;&gt;"Serviço",0,IF(OR(AND(AUTOEVENTO="Manual",$M336=1),$M336&gt;(ROW(PLE.lastrow)-ROW(PLE.firstrow))),0,IF(OFFSET(PLE!$G$14,$M336,AZ$13)="",10^12,OFFSET(PLE!$G$14,$M336,AZ$13))))</f>
        <v>1000000000000</v>
      </c>
      <c r="BA336" s="182">
        <f ca="1">IF($D336&lt;&gt;"Serviço",0,IF(OR(AND(AUTOEVENTO="Manual",$M336=1),$M336&gt;(ROW(PLE.lastrow)-ROW(PLE.firstrow))),0,IF(OFFSET(PLE!$G$14,$M336,BA$13)="",10^12,OFFSET(PLE!$G$14,$M336,BA$13))))</f>
        <v>1000000000000</v>
      </c>
      <c r="BB336" s="182">
        <f ca="1">IF($D336&lt;&gt;"Serviço",0,IF(OR(AND(AUTOEVENTO="Manual",$M336=1),$M336&gt;(ROW(PLE.lastrow)-ROW(PLE.firstrow))),0,IF(OFFSET(PLE!$G$14,$M336,BB$13)="",10^12,OFFSET(PLE!$G$14,$M336,BB$13))))</f>
        <v>1000000000000</v>
      </c>
      <c r="BC336" s="182">
        <f ca="1">IF($D336&lt;&gt;"Serviço",0,IF(OR(AND(AUTOEVENTO="Manual",$M336=1),$M336&gt;(ROW(PLE.lastrow)-ROW(PLE.firstrow))),0,IF(OFFSET(PLE!$G$14,$M336,BC$13)="",10^12,OFFSET(PLE!$G$14,$M336,BC$13))))</f>
        <v>1000000000000</v>
      </c>
      <c r="BD336" s="182">
        <f ca="1">IF($D336&lt;&gt;"Serviço",0,IF(OR(AND(AUTOEVENTO="Manual",$M336=1),$M336&gt;(ROW(PLE.lastrow)-ROW(PLE.firstrow))),0,IF(OFFSET(PLE!$G$14,$M336,BD$13)="",10^12,OFFSET(PLE!$G$14,$M336,BD$13))))</f>
        <v>1000000000000</v>
      </c>
      <c r="BE336" s="182">
        <f ca="1">IF($D336&lt;&gt;"Serviço",0,IF(OR(AND(AUTOEVENTO="Manual",$M336=1),$M336&gt;(ROW(PLE.lastrow)-ROW(PLE.firstrow))),0,IF(OFFSET(PLE!$G$14,$M336,BE$13)="",10^12,OFFSET(PLE!$G$14,$M336,BE$13))))</f>
        <v>1000000000000</v>
      </c>
      <c r="BF336" s="182">
        <f ca="1">IF($D336&lt;&gt;"Serviço",0,IF(OR(AND(AUTOEVENTO="Manual",$M336=1),$M336&gt;(ROW(PLE.lastrow)-ROW(PLE.firstrow))),0,IF(OFFSET(PLE!$G$14,$M336,BF$13)="",10^12,OFFSET(PLE!$G$14,$M336,BF$13))))</f>
        <v>1000000000000</v>
      </c>
      <c r="BG336" s="182">
        <f ca="1">IF($D336&lt;&gt;"Serviço",0,IF(OR(AND(AUTOEVENTO="Manual",$M336=1),$M336&gt;(ROW(PLE.lastrow)-ROW(PLE.firstrow))),0,IF(OFFSET(PLE!$G$14,$M336,BG$13)="",10^12,OFFSET(PLE!$G$14,$M336,BG$13))))</f>
        <v>1000000000000</v>
      </c>
    </row>
    <row r="337" spans="1:59" ht="12.75" x14ac:dyDescent="0.2">
      <c r="A337" s="7" t="str">
        <f t="shared" ca="1" si="11"/>
        <v>302</v>
      </c>
      <c r="B337" s="7">
        <f ca="1">OFFSET(ORÇAMENTO!C$15,ROW(B337)-ROW(B$15),0)</f>
        <v>3</v>
      </c>
      <c r="C337" s="7" t="str">
        <f ca="1">OFFSET(ORÇAMENTO!L$15,ROW(C337)-ROW(C$15),0)</f>
        <v>F</v>
      </c>
      <c r="D337" s="118" t="str">
        <f ca="1">OFFSET(ORÇAMENTO!N$15,ROW(D337)-ROW(D$15),0)</f>
        <v>Nível 3</v>
      </c>
      <c r="E337" s="119" t="str">
        <f ca="1">OFFSET(ORÇAMENTO!O$15,ROW(E337)-ROW(E$15),0)</f>
        <v>1.13.3.</v>
      </c>
      <c r="F337" s="172" t="str">
        <f ca="1">OFFSET(ORÇAMENTO!R$15,ROW(F337)-ROW(F$15),0)</f>
        <v>SISTEMA DE REUSO DE ÁGUA</v>
      </c>
      <c r="G337" s="173" t="str">
        <f ca="1">IF($D337&lt;&gt;"Serviço","",OFFSET(ORÇAMENTO!S$15,ROW(G337)-ROW(G$15),0))</f>
        <v/>
      </c>
      <c r="H337" s="124">
        <f ca="1">IF($D337&lt;&gt;"Serviço",0,IF(ACOMPANHAMENTO="BM",ROUND(OFFSET(ORÇAMENTO!AJ$15,ROW(H337)-ROW(H$15),0),15-13*ORÇAMENTO!$AF$7),SUMPRODUCT(($Q$12:$AA$12&lt;&gt;"")*ROUND($Q337:$AA337,15-13*ORÇAMENTO!$AF$7))))</f>
        <v>0</v>
      </c>
      <c r="I337" s="561"/>
      <c r="K337" s="174"/>
      <c r="L337" s="175" t="s">
        <v>255</v>
      </c>
      <c r="M337" s="176" t="str">
        <f ca="1">IF($D337&lt;&gt;"Serviço","",IF(AUTOEVENTO="manual",$A337,IF(ISERROR(MATCH($A337,$A$15:OFFSET($A337,-1,0),0)),MAX($M$15:OFFSET(M337,-1,0))+1,INDEX($M$15:OFFSET(M337,-1,0),MATCH($A337,$A$15:OFFSET($A337,-1,0),0)))))</f>
        <v/>
      </c>
      <c r="N337" s="177" t="str">
        <f ca="1">IF($D337&lt;&gt;"Serviço","",IF(AUTOEVENTO="Manual",IF($A337=0,"&lt;-- defina o número do agrupador",OFFSET(EVENTOS!$D$14,$A337,0)),OFFSET($F$15,$A337,0)))</f>
        <v/>
      </c>
      <c r="O337" s="178"/>
      <c r="Q337" s="178"/>
      <c r="R337" s="179"/>
      <c r="S337" s="179"/>
      <c r="T337" s="179"/>
      <c r="U337" s="179"/>
      <c r="V337" s="179"/>
      <c r="W337" s="179"/>
      <c r="X337" s="179"/>
      <c r="Y337" s="179"/>
      <c r="Z337" s="180"/>
      <c r="AB337" s="544">
        <f ca="1">IF(AND($D337="Serviço",AB$12&lt;&gt;0,$H337&gt;0,OR(AUTOEVENTO&lt;&gt;"manual",$M337&lt;&gt;1)),
IF(Import.TipoArredondamento&lt;&gt;"TransfereGOV",
ROUND(OFFSET($P337,0,AB$13),15-13*ORÇAMENTO!$AF$7)/$H337*OFFSET(ORÇAMENTO!$X$15,ROW(AB337)-ROW(AB$15),0),
ROUND(ROUND(OFFSET($P337,0,AB$13),15-13*ORÇAMENTO!$AF$7)*OFFSET(ORÇAMENTO!$W$15,ROW(AB337)-ROW(AB$15),0),15-13*ORÇAMENTO!$AF$11)),0)</f>
        <v>0</v>
      </c>
      <c r="AC337" s="545">
        <f ca="1">IF(AND($D337="Serviço",AC$12&lt;&gt;0,$H337&gt;0,OR(AUTOEVENTO&lt;&gt;"manual",$M337&lt;&gt;1)),
IF(Import.TipoArredondamento&lt;&gt;"TransfereGOV",
ROUND(OFFSET($P337,0,AC$13),15-13*ORÇAMENTO!$AF$7)/$H337*OFFSET(ORÇAMENTO!$X$15,ROW(AC337)-ROW(AC$15),0),
ROUND(ROUND(OFFSET($P337,0,AC$13),15-13*ORÇAMENTO!$AF$7)*OFFSET(ORÇAMENTO!$W$15,ROW(AC337)-ROW(AC$15),0),15-13*ORÇAMENTO!$AF$11)),0)</f>
        <v>0</v>
      </c>
      <c r="AD337" s="545">
        <f ca="1">IF(AND($D337="Serviço",AD$12&lt;&gt;0,$H337&gt;0,OR(AUTOEVENTO&lt;&gt;"manual",$M337&lt;&gt;1)),
IF(Import.TipoArredondamento&lt;&gt;"TransfereGOV",
ROUND(OFFSET($P337,0,AD$13),15-13*ORÇAMENTO!$AF$7)/$H337*OFFSET(ORÇAMENTO!$X$15,ROW(AD337)-ROW(AD$15),0),
ROUND(ROUND(OFFSET($P337,0,AD$13),15-13*ORÇAMENTO!$AF$7)*OFFSET(ORÇAMENTO!$W$15,ROW(AD337)-ROW(AD$15),0),15-13*ORÇAMENTO!$AF$11)),0)</f>
        <v>0</v>
      </c>
      <c r="AE337" s="545">
        <f ca="1">IF(AND($D337="Serviço",AE$12&lt;&gt;0,$H337&gt;0,OR(AUTOEVENTO&lt;&gt;"manual",$M337&lt;&gt;1)),
IF(Import.TipoArredondamento&lt;&gt;"TransfereGOV",
ROUND(OFFSET($P337,0,AE$13),15-13*ORÇAMENTO!$AF$7)/$H337*OFFSET(ORÇAMENTO!$X$15,ROW(AE337)-ROW(AE$15),0),
ROUND(ROUND(OFFSET($P337,0,AE$13),15-13*ORÇAMENTO!$AF$7)*OFFSET(ORÇAMENTO!$W$15,ROW(AE337)-ROW(AE$15),0),15-13*ORÇAMENTO!$AF$11)),0)</f>
        <v>0</v>
      </c>
      <c r="AF337" s="545">
        <f ca="1">IF(AND($D337="Serviço",AF$12&lt;&gt;0,$H337&gt;0,OR(AUTOEVENTO&lt;&gt;"manual",$M337&lt;&gt;1)),
IF(Import.TipoArredondamento&lt;&gt;"TransfereGOV",
ROUND(OFFSET($P337,0,AF$13),15-13*ORÇAMENTO!$AF$7)/$H337*OFFSET(ORÇAMENTO!$X$15,ROW(AF337)-ROW(AF$15),0),
ROUND(ROUND(OFFSET($P337,0,AF$13),15-13*ORÇAMENTO!$AF$7)*OFFSET(ORÇAMENTO!$W$15,ROW(AF337)-ROW(AF$15),0),15-13*ORÇAMENTO!$AF$11)),0)</f>
        <v>0</v>
      </c>
      <c r="AG337" s="545">
        <f ca="1">IF(AND($D337="Serviço",AG$12&lt;&gt;0,$H337&gt;0,OR(AUTOEVENTO&lt;&gt;"manual",$M337&lt;&gt;1)),
IF(Import.TipoArredondamento&lt;&gt;"TransfereGOV",
ROUND(OFFSET($P337,0,AG$13),15-13*ORÇAMENTO!$AF$7)/$H337*OFFSET(ORÇAMENTO!$X$15,ROW(AG337)-ROW(AG$15),0),
ROUND(ROUND(OFFSET($P337,0,AG$13),15-13*ORÇAMENTO!$AF$7)*OFFSET(ORÇAMENTO!$W$15,ROW(AG337)-ROW(AG$15),0),15-13*ORÇAMENTO!$AF$11)),0)</f>
        <v>0</v>
      </c>
      <c r="AH337" s="545">
        <f ca="1">IF(AND($D337="Serviço",AH$12&lt;&gt;0,$H337&gt;0,OR(AUTOEVENTO&lt;&gt;"manual",$M337&lt;&gt;1)),
IF(Import.TipoArredondamento&lt;&gt;"TransfereGOV",
ROUND(OFFSET($P337,0,AH$13),15-13*ORÇAMENTO!$AF$7)/$H337*OFFSET(ORÇAMENTO!$X$15,ROW(AH337)-ROW(AH$15),0),
ROUND(ROUND(OFFSET($P337,0,AH$13),15-13*ORÇAMENTO!$AF$7)*OFFSET(ORÇAMENTO!$W$15,ROW(AH337)-ROW(AH$15),0),15-13*ORÇAMENTO!$AF$11)),0)</f>
        <v>0</v>
      </c>
      <c r="AI337" s="545">
        <f ca="1">IF(AND($D337="Serviço",AI$12&lt;&gt;0,$H337&gt;0,OR(AUTOEVENTO&lt;&gt;"manual",$M337&lt;&gt;1)),
IF(Import.TipoArredondamento&lt;&gt;"TransfereGOV",
ROUND(OFFSET($P337,0,AI$13),15-13*ORÇAMENTO!$AF$7)/$H337*OFFSET(ORÇAMENTO!$X$15,ROW(AI337)-ROW(AI$15),0),
ROUND(ROUND(OFFSET($P337,0,AI$13),15-13*ORÇAMENTO!$AF$7)*OFFSET(ORÇAMENTO!$W$15,ROW(AI337)-ROW(AI$15),0),15-13*ORÇAMENTO!$AF$11)),0)</f>
        <v>0</v>
      </c>
      <c r="AJ337" s="545">
        <f ca="1">IF(AND($D337="Serviço",AJ$12&lt;&gt;0,$H337&gt;0,OR(AUTOEVENTO&lt;&gt;"manual",$M337&lt;&gt;1)),
IF(Import.TipoArredondamento&lt;&gt;"TransfereGOV",
ROUND(OFFSET($P337,0,AJ$13),15-13*ORÇAMENTO!$AF$7)/$H337*OFFSET(ORÇAMENTO!$X$15,ROW(AJ337)-ROW(AJ$15),0),
ROUND(ROUND(OFFSET($P337,0,AJ$13),15-13*ORÇAMENTO!$AF$7)*OFFSET(ORÇAMENTO!$W$15,ROW(AJ337)-ROW(AJ$15),0),15-13*ORÇAMENTO!$AF$11)),0)</f>
        <v>0</v>
      </c>
      <c r="AK337" s="546">
        <f ca="1">IF(AND($D337="Serviço",AK$12&lt;&gt;0,$H337&gt;0,OR(AUTOEVENTO&lt;&gt;"manual",$M337&lt;&gt;1)),
IF(Import.TipoArredondamento&lt;&gt;"TransfereGOV",
ROUND(OFFSET($P337,0,AK$13),15-13*ORÇAMENTO!$AF$7)/$H337*OFFSET(ORÇAMENTO!$X$15,ROW(AK337)-ROW(AK$15),0),
ROUND(ROUND(OFFSET($P337,0,AK$13),15-13*ORÇAMENTO!$AF$7)*OFFSET(ORÇAMENTO!$W$15,ROW(AK337)-ROW(AK$15),0),15-13*ORÇAMENTO!$AF$11)),0)</f>
        <v>0</v>
      </c>
      <c r="AM337" s="181">
        <f ca="1">IF($D337&lt;&gt;"Serviço",0,IF(AND(AUTOEVENTO="Manual",$M337=1),0,IF(OFFSET(CRONOPLE!$F$14,$M337,AM$13)="",10^12,OFFSET(CRONOPLE!$F$14,$M337,AM$13))))</f>
        <v>0</v>
      </c>
      <c r="AN337" s="181">
        <f ca="1">IF($D337&lt;&gt;"Serviço",0,IF(AND(AUTOEVENTO="Manual",$M337=1),0,IF(OFFSET(CRONOPLE!$F$14,$M337,AN$13)="",10^12,OFFSET(CRONOPLE!$F$14,$M337,AN$13))))</f>
        <v>0</v>
      </c>
      <c r="AO337" s="181">
        <f ca="1">IF($D337&lt;&gt;"Serviço",0,IF(AND(AUTOEVENTO="Manual",$M337=1),0,IF(OFFSET(CRONOPLE!$F$14,$M337,AO$13)="",10^12,OFFSET(CRONOPLE!$F$14,$M337,AO$13))))</f>
        <v>0</v>
      </c>
      <c r="AP337" s="181">
        <f ca="1">IF($D337&lt;&gt;"Serviço",0,IF(AND(AUTOEVENTO="Manual",$M337=1),0,IF(OFFSET(CRONOPLE!$F$14,$M337,AP$13)="",10^12,OFFSET(CRONOPLE!$F$14,$M337,AP$13))))</f>
        <v>0</v>
      </c>
      <c r="AQ337" s="181">
        <f ca="1">IF($D337&lt;&gt;"Serviço",0,IF(AND(AUTOEVENTO="Manual",$M337=1),0,IF(OFFSET(CRONOPLE!$F$14,$M337,AQ$13)="",10^12,OFFSET(CRONOPLE!$F$14,$M337,AQ$13))))</f>
        <v>0</v>
      </c>
      <c r="AR337" s="181">
        <f ca="1">IF($D337&lt;&gt;"Serviço",0,IF(AND(AUTOEVENTO="Manual",$M337=1),0,IF(OFFSET(CRONOPLE!$F$14,$M337,AR$13)="",10^12,OFFSET(CRONOPLE!$F$14,$M337,AR$13))))</f>
        <v>0</v>
      </c>
      <c r="AS337" s="181">
        <f ca="1">IF($D337&lt;&gt;"Serviço",0,IF(AND(AUTOEVENTO="Manual",$M337=1),0,IF(OFFSET(CRONOPLE!$F$14,$M337,AS$13)="",10^12,OFFSET(CRONOPLE!$F$14,$M337,AS$13))))</f>
        <v>0</v>
      </c>
      <c r="AT337" s="181">
        <f ca="1">IF($D337&lt;&gt;"Serviço",0,IF(AND(AUTOEVENTO="Manual",$M337=1),0,IF(OFFSET(CRONOPLE!$F$14,$M337,AT$13)="",10^12,OFFSET(CRONOPLE!$F$14,$M337,AT$13))))</f>
        <v>0</v>
      </c>
      <c r="AU337" s="181">
        <f ca="1">IF($D337&lt;&gt;"Serviço",0,IF(AND(AUTOEVENTO="Manual",$M337=1),0,IF(OFFSET(CRONOPLE!$F$14,$M337,AU$13)="",10^12,OFFSET(CRONOPLE!$F$14,$M337,AU$13))))</f>
        <v>0</v>
      </c>
      <c r="AV337" s="181">
        <f ca="1">IF($D337&lt;&gt;"Serviço",0,IF(AND(AUTOEVENTO="Manual",$M337=1),0,IF(OFFSET(CRONOPLE!$F$14,$M337,AV$13)="",10^12,OFFSET(CRONOPLE!$F$14,$M337,AV$13))))</f>
        <v>0</v>
      </c>
      <c r="AX337" s="182">
        <f ca="1">IF($D337&lt;&gt;"Serviço",0,IF(OR(AND(AUTOEVENTO="Manual",$M337=1),$M337&gt;(ROW(PLE.lastrow)-ROW(PLE.firstrow))),0,IF(OFFSET(PLE!$G$14,$M337,AX$13)="",10^12,OFFSET(PLE!$G$14,$M337,AX$13))))</f>
        <v>0</v>
      </c>
      <c r="AY337" s="182">
        <f ca="1">IF($D337&lt;&gt;"Serviço",0,IF(OR(AND(AUTOEVENTO="Manual",$M337=1),$M337&gt;(ROW(PLE.lastrow)-ROW(PLE.firstrow))),0,IF(OFFSET(PLE!$G$14,$M337,AY$13)="",10^12,OFFSET(PLE!$G$14,$M337,AY$13))))</f>
        <v>0</v>
      </c>
      <c r="AZ337" s="182">
        <f ca="1">IF($D337&lt;&gt;"Serviço",0,IF(OR(AND(AUTOEVENTO="Manual",$M337=1),$M337&gt;(ROW(PLE.lastrow)-ROW(PLE.firstrow))),0,IF(OFFSET(PLE!$G$14,$M337,AZ$13)="",10^12,OFFSET(PLE!$G$14,$M337,AZ$13))))</f>
        <v>0</v>
      </c>
      <c r="BA337" s="182">
        <f ca="1">IF($D337&lt;&gt;"Serviço",0,IF(OR(AND(AUTOEVENTO="Manual",$M337=1),$M337&gt;(ROW(PLE.lastrow)-ROW(PLE.firstrow))),0,IF(OFFSET(PLE!$G$14,$M337,BA$13)="",10^12,OFFSET(PLE!$G$14,$M337,BA$13))))</f>
        <v>0</v>
      </c>
      <c r="BB337" s="182">
        <f ca="1">IF($D337&lt;&gt;"Serviço",0,IF(OR(AND(AUTOEVENTO="Manual",$M337=1),$M337&gt;(ROW(PLE.lastrow)-ROW(PLE.firstrow))),0,IF(OFFSET(PLE!$G$14,$M337,BB$13)="",10^12,OFFSET(PLE!$G$14,$M337,BB$13))))</f>
        <v>0</v>
      </c>
      <c r="BC337" s="182">
        <f ca="1">IF($D337&lt;&gt;"Serviço",0,IF(OR(AND(AUTOEVENTO="Manual",$M337=1),$M337&gt;(ROW(PLE.lastrow)-ROW(PLE.firstrow))),0,IF(OFFSET(PLE!$G$14,$M337,BC$13)="",10^12,OFFSET(PLE!$G$14,$M337,BC$13))))</f>
        <v>0</v>
      </c>
      <c r="BD337" s="182">
        <f ca="1">IF($D337&lt;&gt;"Serviço",0,IF(OR(AND(AUTOEVENTO="Manual",$M337=1),$M337&gt;(ROW(PLE.lastrow)-ROW(PLE.firstrow))),0,IF(OFFSET(PLE!$G$14,$M337,BD$13)="",10^12,OFFSET(PLE!$G$14,$M337,BD$13))))</f>
        <v>0</v>
      </c>
      <c r="BE337" s="182">
        <f ca="1">IF($D337&lt;&gt;"Serviço",0,IF(OR(AND(AUTOEVENTO="Manual",$M337=1),$M337&gt;(ROW(PLE.lastrow)-ROW(PLE.firstrow))),0,IF(OFFSET(PLE!$G$14,$M337,BE$13)="",10^12,OFFSET(PLE!$G$14,$M337,BE$13))))</f>
        <v>0</v>
      </c>
      <c r="BF337" s="182">
        <f ca="1">IF($D337&lt;&gt;"Serviço",0,IF(OR(AND(AUTOEVENTO="Manual",$M337=1),$M337&gt;(ROW(PLE.lastrow)-ROW(PLE.firstrow))),0,IF(OFFSET(PLE!$G$14,$M337,BF$13)="",10^12,OFFSET(PLE!$G$14,$M337,BF$13))))</f>
        <v>0</v>
      </c>
      <c r="BG337" s="182">
        <f ca="1">IF($D337&lt;&gt;"Serviço",0,IF(OR(AND(AUTOEVENTO="Manual",$M337=1),$M337&gt;(ROW(PLE.lastrow)-ROW(PLE.firstrow))),0,IF(OFFSET(PLE!$G$14,$M337,BG$13)="",10^12,OFFSET(PLE!$G$14,$M337,BG$13))))</f>
        <v>0</v>
      </c>
    </row>
    <row r="338" spans="1:59" ht="25.5" x14ac:dyDescent="0.2">
      <c r="A338" s="7" t="str">
        <f t="shared" ca="1" si="11"/>
        <v>302</v>
      </c>
      <c r="B338" s="7" t="str">
        <f ca="1">OFFSET(ORÇAMENTO!C$15,ROW(B338)-ROW(B$15),0)</f>
        <v>S</v>
      </c>
      <c r="C338" s="7" t="str">
        <f ca="1">OFFSET(ORÇAMENTO!L$15,ROW(C338)-ROW(C$15),0)</f>
        <v/>
      </c>
      <c r="D338" s="118" t="str">
        <f ca="1">OFFSET(ORÇAMENTO!N$15,ROW(D338)-ROW(D$15),0)</f>
        <v>Serviço</v>
      </c>
      <c r="E338" s="119" t="str">
        <f ca="1">OFFSET(ORÇAMENTO!O$15,ROW(E338)-ROW(E$15),0)</f>
        <v>-</v>
      </c>
      <c r="F338" s="172" t="str">
        <f ca="1">OFFSET(ORÇAMENTO!R$15,ROW(F338)-ROW(F$15),0)</f>
        <v>(abra o arquivo 'Referência 02-2025.xlsm)</v>
      </c>
      <c r="G338" s="173" t="str">
        <f ca="1">IF($D338&lt;&gt;"Serviço","",OFFSET(ORÇAMENTO!S$15,ROW(G338)-ROW(G$15),0))</f>
        <v>-</v>
      </c>
      <c r="H338" s="124">
        <f ca="1">IF($D338&lt;&gt;"Serviço",0,IF(ACOMPANHAMENTO="BM",ROUND(OFFSET(ORÇAMENTO!AJ$15,ROW(H338)-ROW(H$15),0),15-13*ORÇAMENTO!$AF$7),SUMPRODUCT(($Q$12:$AA$12&lt;&gt;"")*ROUND($Q338:$AA338,15-13*ORÇAMENTO!$AF$7))))</f>
        <v>6</v>
      </c>
      <c r="I338" s="561"/>
      <c r="K338" s="174"/>
      <c r="L338" s="175" t="s">
        <v>255</v>
      </c>
      <c r="M338" s="176">
        <f ca="1">IF($D338&lt;&gt;"Serviço","",IF(AUTOEVENTO="manual",$A338,IF(ISERROR(MATCH($A338,$A$15:OFFSET($A338,-1,0),0)),MAX($M$15:OFFSET(M338,-1,0))+1,INDEX($M$15:OFFSET(M338,-1,0),MATCH($A338,$A$15:OFFSET($A338,-1,0),0)))))</f>
        <v>14</v>
      </c>
      <c r="N338" s="177" t="str">
        <f ca="1">IF($D338&lt;&gt;"Serviço","",IF(AUTOEVENTO="Manual",IF($A338=0,"&lt;-- defina o número do agrupador",OFFSET(EVENTOS!$D$14,$A338,0)),OFFSET($F$15,$A338,0)))</f>
        <v>DRENAGEM DE ÁGUAS PLUVIAIS</v>
      </c>
      <c r="O338" s="178"/>
      <c r="Q338" s="178"/>
      <c r="R338" s="179"/>
      <c r="S338" s="179"/>
      <c r="T338" s="179"/>
      <c r="U338" s="179"/>
      <c r="V338" s="179"/>
      <c r="W338" s="179"/>
      <c r="X338" s="179"/>
      <c r="Y338" s="179"/>
      <c r="Z338" s="180"/>
      <c r="AB338" s="544">
        <f ca="1">IF(AND($D338="Serviço",AB$12&lt;&gt;0,$H338&gt;0,OR(AUTOEVENTO&lt;&gt;"manual",$M338&lt;&gt;1)),
IF(Import.TipoArredondamento&lt;&gt;"TransfereGOV",
ROUND(OFFSET($P338,0,AB$13),15-13*ORÇAMENTO!$AF$7)/$H338*OFFSET(ORÇAMENTO!$X$15,ROW(AB338)-ROW(AB$15),0),
ROUND(ROUND(OFFSET($P338,0,AB$13),15-13*ORÇAMENTO!$AF$7)*OFFSET(ORÇAMENTO!$W$15,ROW(AB338)-ROW(AB$15),0),15-13*ORÇAMENTO!$AF$11)),0)</f>
        <v>0</v>
      </c>
      <c r="AC338" s="545">
        <f ca="1">IF(AND($D338="Serviço",AC$12&lt;&gt;0,$H338&gt;0,OR(AUTOEVENTO&lt;&gt;"manual",$M338&lt;&gt;1)),
IF(Import.TipoArredondamento&lt;&gt;"TransfereGOV",
ROUND(OFFSET($P338,0,AC$13),15-13*ORÇAMENTO!$AF$7)/$H338*OFFSET(ORÇAMENTO!$X$15,ROW(AC338)-ROW(AC$15),0),
ROUND(ROUND(OFFSET($P338,0,AC$13),15-13*ORÇAMENTO!$AF$7)*OFFSET(ORÇAMENTO!$W$15,ROW(AC338)-ROW(AC$15),0),15-13*ORÇAMENTO!$AF$11)),0)</f>
        <v>0</v>
      </c>
      <c r="AD338" s="545">
        <f ca="1">IF(AND($D338="Serviço",AD$12&lt;&gt;0,$H338&gt;0,OR(AUTOEVENTO&lt;&gt;"manual",$M338&lt;&gt;1)),
IF(Import.TipoArredondamento&lt;&gt;"TransfereGOV",
ROUND(OFFSET($P338,0,AD$13),15-13*ORÇAMENTO!$AF$7)/$H338*OFFSET(ORÇAMENTO!$X$15,ROW(AD338)-ROW(AD$15),0),
ROUND(ROUND(OFFSET($P338,0,AD$13),15-13*ORÇAMENTO!$AF$7)*OFFSET(ORÇAMENTO!$W$15,ROW(AD338)-ROW(AD$15),0),15-13*ORÇAMENTO!$AF$11)),0)</f>
        <v>0</v>
      </c>
      <c r="AE338" s="545">
        <f ca="1">IF(AND($D338="Serviço",AE$12&lt;&gt;0,$H338&gt;0,OR(AUTOEVENTO&lt;&gt;"manual",$M338&lt;&gt;1)),
IF(Import.TipoArredondamento&lt;&gt;"TransfereGOV",
ROUND(OFFSET($P338,0,AE$13),15-13*ORÇAMENTO!$AF$7)/$H338*OFFSET(ORÇAMENTO!$X$15,ROW(AE338)-ROW(AE$15),0),
ROUND(ROUND(OFFSET($P338,0,AE$13),15-13*ORÇAMENTO!$AF$7)*OFFSET(ORÇAMENTO!$W$15,ROW(AE338)-ROW(AE$15),0),15-13*ORÇAMENTO!$AF$11)),0)</f>
        <v>0</v>
      </c>
      <c r="AF338" s="545">
        <f ca="1">IF(AND($D338="Serviço",AF$12&lt;&gt;0,$H338&gt;0,OR(AUTOEVENTO&lt;&gt;"manual",$M338&lt;&gt;1)),
IF(Import.TipoArredondamento&lt;&gt;"TransfereGOV",
ROUND(OFFSET($P338,0,AF$13),15-13*ORÇAMENTO!$AF$7)/$H338*OFFSET(ORÇAMENTO!$X$15,ROW(AF338)-ROW(AF$15),0),
ROUND(ROUND(OFFSET($P338,0,AF$13),15-13*ORÇAMENTO!$AF$7)*OFFSET(ORÇAMENTO!$W$15,ROW(AF338)-ROW(AF$15),0),15-13*ORÇAMENTO!$AF$11)),0)</f>
        <v>0</v>
      </c>
      <c r="AG338" s="545">
        <f ca="1">IF(AND($D338="Serviço",AG$12&lt;&gt;0,$H338&gt;0,OR(AUTOEVENTO&lt;&gt;"manual",$M338&lt;&gt;1)),
IF(Import.TipoArredondamento&lt;&gt;"TransfereGOV",
ROUND(OFFSET($P338,0,AG$13),15-13*ORÇAMENTO!$AF$7)/$H338*OFFSET(ORÇAMENTO!$X$15,ROW(AG338)-ROW(AG$15),0),
ROUND(ROUND(OFFSET($P338,0,AG$13),15-13*ORÇAMENTO!$AF$7)*OFFSET(ORÇAMENTO!$W$15,ROW(AG338)-ROW(AG$15),0),15-13*ORÇAMENTO!$AF$11)),0)</f>
        <v>0</v>
      </c>
      <c r="AH338" s="545">
        <f ca="1">IF(AND($D338="Serviço",AH$12&lt;&gt;0,$H338&gt;0,OR(AUTOEVENTO&lt;&gt;"manual",$M338&lt;&gt;1)),
IF(Import.TipoArredondamento&lt;&gt;"TransfereGOV",
ROUND(OFFSET($P338,0,AH$13),15-13*ORÇAMENTO!$AF$7)/$H338*OFFSET(ORÇAMENTO!$X$15,ROW(AH338)-ROW(AH$15),0),
ROUND(ROUND(OFFSET($P338,0,AH$13),15-13*ORÇAMENTO!$AF$7)*OFFSET(ORÇAMENTO!$W$15,ROW(AH338)-ROW(AH$15),0),15-13*ORÇAMENTO!$AF$11)),0)</f>
        <v>0</v>
      </c>
      <c r="AI338" s="545">
        <f ca="1">IF(AND($D338="Serviço",AI$12&lt;&gt;0,$H338&gt;0,OR(AUTOEVENTO&lt;&gt;"manual",$M338&lt;&gt;1)),
IF(Import.TipoArredondamento&lt;&gt;"TransfereGOV",
ROUND(OFFSET($P338,0,AI$13),15-13*ORÇAMENTO!$AF$7)/$H338*OFFSET(ORÇAMENTO!$X$15,ROW(AI338)-ROW(AI$15),0),
ROUND(ROUND(OFFSET($P338,0,AI$13),15-13*ORÇAMENTO!$AF$7)*OFFSET(ORÇAMENTO!$W$15,ROW(AI338)-ROW(AI$15),0),15-13*ORÇAMENTO!$AF$11)),0)</f>
        <v>0</v>
      </c>
      <c r="AJ338" s="545">
        <f ca="1">IF(AND($D338="Serviço",AJ$12&lt;&gt;0,$H338&gt;0,OR(AUTOEVENTO&lt;&gt;"manual",$M338&lt;&gt;1)),
IF(Import.TipoArredondamento&lt;&gt;"TransfereGOV",
ROUND(OFFSET($P338,0,AJ$13),15-13*ORÇAMENTO!$AF$7)/$H338*OFFSET(ORÇAMENTO!$X$15,ROW(AJ338)-ROW(AJ$15),0),
ROUND(ROUND(OFFSET($P338,0,AJ$13),15-13*ORÇAMENTO!$AF$7)*OFFSET(ORÇAMENTO!$W$15,ROW(AJ338)-ROW(AJ$15),0),15-13*ORÇAMENTO!$AF$11)),0)</f>
        <v>0</v>
      </c>
      <c r="AK338" s="546">
        <f ca="1">IF(AND($D338="Serviço",AK$12&lt;&gt;0,$H338&gt;0,OR(AUTOEVENTO&lt;&gt;"manual",$M338&lt;&gt;1)),
IF(Import.TipoArredondamento&lt;&gt;"TransfereGOV",
ROUND(OFFSET($P338,0,AK$13),15-13*ORÇAMENTO!$AF$7)/$H338*OFFSET(ORÇAMENTO!$X$15,ROW(AK338)-ROW(AK$15),0),
ROUND(ROUND(OFFSET($P338,0,AK$13),15-13*ORÇAMENTO!$AF$7)*OFFSET(ORÇAMENTO!$W$15,ROW(AK338)-ROW(AK$15),0),15-13*ORÇAMENTO!$AF$11)),0)</f>
        <v>0</v>
      </c>
      <c r="AM338" s="181">
        <f ca="1">IF($D338&lt;&gt;"Serviço",0,IF(AND(AUTOEVENTO="Manual",$M338=1),0,IF(OFFSET(CRONOPLE!$F$14,$M338,AM$13)="",10^12,OFFSET(CRONOPLE!$F$14,$M338,AM$13))))</f>
        <v>1000000000000</v>
      </c>
      <c r="AN338" s="181">
        <f ca="1">IF($D338&lt;&gt;"Serviço",0,IF(AND(AUTOEVENTO="Manual",$M338=1),0,IF(OFFSET(CRONOPLE!$F$14,$M338,AN$13)="",10^12,OFFSET(CRONOPLE!$F$14,$M338,AN$13))))</f>
        <v>1000000000000</v>
      </c>
      <c r="AO338" s="181">
        <f ca="1">IF($D338&lt;&gt;"Serviço",0,IF(AND(AUTOEVENTO="Manual",$M338=1),0,IF(OFFSET(CRONOPLE!$F$14,$M338,AO$13)="",10^12,OFFSET(CRONOPLE!$F$14,$M338,AO$13))))</f>
        <v>1000000000000</v>
      </c>
      <c r="AP338" s="181">
        <f ca="1">IF($D338&lt;&gt;"Serviço",0,IF(AND(AUTOEVENTO="Manual",$M338=1),0,IF(OFFSET(CRONOPLE!$F$14,$M338,AP$13)="",10^12,OFFSET(CRONOPLE!$F$14,$M338,AP$13))))</f>
        <v>1000000000000</v>
      </c>
      <c r="AQ338" s="181">
        <f ca="1">IF($D338&lt;&gt;"Serviço",0,IF(AND(AUTOEVENTO="Manual",$M338=1),0,IF(OFFSET(CRONOPLE!$F$14,$M338,AQ$13)="",10^12,OFFSET(CRONOPLE!$F$14,$M338,AQ$13))))</f>
        <v>1000000000000</v>
      </c>
      <c r="AR338" s="181">
        <f ca="1">IF($D338&lt;&gt;"Serviço",0,IF(AND(AUTOEVENTO="Manual",$M338=1),0,IF(OFFSET(CRONOPLE!$F$14,$M338,AR$13)="",10^12,OFFSET(CRONOPLE!$F$14,$M338,AR$13))))</f>
        <v>1000000000000</v>
      </c>
      <c r="AS338" s="181">
        <f ca="1">IF($D338&lt;&gt;"Serviço",0,IF(AND(AUTOEVENTO="Manual",$M338=1),0,IF(OFFSET(CRONOPLE!$F$14,$M338,AS$13)="",10^12,OFFSET(CRONOPLE!$F$14,$M338,AS$13))))</f>
        <v>1000000000000</v>
      </c>
      <c r="AT338" s="181">
        <f ca="1">IF($D338&lt;&gt;"Serviço",0,IF(AND(AUTOEVENTO="Manual",$M338=1),0,IF(OFFSET(CRONOPLE!$F$14,$M338,AT$13)="",10^12,OFFSET(CRONOPLE!$F$14,$M338,AT$13))))</f>
        <v>1000000000000</v>
      </c>
      <c r="AU338" s="181">
        <f ca="1">IF($D338&lt;&gt;"Serviço",0,IF(AND(AUTOEVENTO="Manual",$M338=1),0,IF(OFFSET(CRONOPLE!$F$14,$M338,AU$13)="",10^12,OFFSET(CRONOPLE!$F$14,$M338,AU$13))))</f>
        <v>1000000000000</v>
      </c>
      <c r="AV338" s="181">
        <f ca="1">IF($D338&lt;&gt;"Serviço",0,IF(AND(AUTOEVENTO="Manual",$M338=1),0,IF(OFFSET(CRONOPLE!$F$14,$M338,AV$13)="",10^12,OFFSET(CRONOPLE!$F$14,$M338,AV$13))))</f>
        <v>1000000000000</v>
      </c>
      <c r="AX338" s="182">
        <f ca="1">IF($D338&lt;&gt;"Serviço",0,IF(OR(AND(AUTOEVENTO="Manual",$M338=1),$M338&gt;(ROW(PLE.lastrow)-ROW(PLE.firstrow))),0,IF(OFFSET(PLE!$G$14,$M338,AX$13)="",10^12,OFFSET(PLE!$G$14,$M338,AX$13))))</f>
        <v>1000000000000</v>
      </c>
      <c r="AY338" s="182">
        <f ca="1">IF($D338&lt;&gt;"Serviço",0,IF(OR(AND(AUTOEVENTO="Manual",$M338=1),$M338&gt;(ROW(PLE.lastrow)-ROW(PLE.firstrow))),0,IF(OFFSET(PLE!$G$14,$M338,AY$13)="",10^12,OFFSET(PLE!$G$14,$M338,AY$13))))</f>
        <v>1000000000000</v>
      </c>
      <c r="AZ338" s="182">
        <f ca="1">IF($D338&lt;&gt;"Serviço",0,IF(OR(AND(AUTOEVENTO="Manual",$M338=1),$M338&gt;(ROW(PLE.lastrow)-ROW(PLE.firstrow))),0,IF(OFFSET(PLE!$G$14,$M338,AZ$13)="",10^12,OFFSET(PLE!$G$14,$M338,AZ$13))))</f>
        <v>1000000000000</v>
      </c>
      <c r="BA338" s="182">
        <f ca="1">IF($D338&lt;&gt;"Serviço",0,IF(OR(AND(AUTOEVENTO="Manual",$M338=1),$M338&gt;(ROW(PLE.lastrow)-ROW(PLE.firstrow))),0,IF(OFFSET(PLE!$G$14,$M338,BA$13)="",10^12,OFFSET(PLE!$G$14,$M338,BA$13))))</f>
        <v>1000000000000</v>
      </c>
      <c r="BB338" s="182">
        <f ca="1">IF($D338&lt;&gt;"Serviço",0,IF(OR(AND(AUTOEVENTO="Manual",$M338=1),$M338&gt;(ROW(PLE.lastrow)-ROW(PLE.firstrow))),0,IF(OFFSET(PLE!$G$14,$M338,BB$13)="",10^12,OFFSET(PLE!$G$14,$M338,BB$13))))</f>
        <v>1000000000000</v>
      </c>
      <c r="BC338" s="182">
        <f ca="1">IF($D338&lt;&gt;"Serviço",0,IF(OR(AND(AUTOEVENTO="Manual",$M338=1),$M338&gt;(ROW(PLE.lastrow)-ROW(PLE.firstrow))),0,IF(OFFSET(PLE!$G$14,$M338,BC$13)="",10^12,OFFSET(PLE!$G$14,$M338,BC$13))))</f>
        <v>1000000000000</v>
      </c>
      <c r="BD338" s="182">
        <f ca="1">IF($D338&lt;&gt;"Serviço",0,IF(OR(AND(AUTOEVENTO="Manual",$M338=1),$M338&gt;(ROW(PLE.lastrow)-ROW(PLE.firstrow))),0,IF(OFFSET(PLE!$G$14,$M338,BD$13)="",10^12,OFFSET(PLE!$G$14,$M338,BD$13))))</f>
        <v>1000000000000</v>
      </c>
      <c r="BE338" s="182">
        <f ca="1">IF($D338&lt;&gt;"Serviço",0,IF(OR(AND(AUTOEVENTO="Manual",$M338=1),$M338&gt;(ROW(PLE.lastrow)-ROW(PLE.firstrow))),0,IF(OFFSET(PLE!$G$14,$M338,BE$13)="",10^12,OFFSET(PLE!$G$14,$M338,BE$13))))</f>
        <v>1000000000000</v>
      </c>
      <c r="BF338" s="182">
        <f ca="1">IF($D338&lt;&gt;"Serviço",0,IF(OR(AND(AUTOEVENTO="Manual",$M338=1),$M338&gt;(ROW(PLE.lastrow)-ROW(PLE.firstrow))),0,IF(OFFSET(PLE!$G$14,$M338,BF$13)="",10^12,OFFSET(PLE!$G$14,$M338,BF$13))))</f>
        <v>1000000000000</v>
      </c>
      <c r="BG338" s="182">
        <f ca="1">IF($D338&lt;&gt;"Serviço",0,IF(OR(AND(AUTOEVENTO="Manual",$M338=1),$M338&gt;(ROW(PLE.lastrow)-ROW(PLE.firstrow))),0,IF(OFFSET(PLE!$G$14,$M338,BG$13)="",10^12,OFFSET(PLE!$G$14,$M338,BG$13))))</f>
        <v>1000000000000</v>
      </c>
    </row>
    <row r="339" spans="1:59" ht="25.5" x14ac:dyDescent="0.2">
      <c r="A339" s="7" t="str">
        <f t="shared" ca="1" si="11"/>
        <v>302</v>
      </c>
      <c r="B339" s="7" t="str">
        <f ca="1">OFFSET(ORÇAMENTO!C$15,ROW(B339)-ROW(B$15),0)</f>
        <v>S</v>
      </c>
      <c r="C339" s="7" t="str">
        <f ca="1">OFFSET(ORÇAMENTO!L$15,ROW(C339)-ROW(C$15),0)</f>
        <v/>
      </c>
      <c r="D339" s="118" t="str">
        <f ca="1">OFFSET(ORÇAMENTO!N$15,ROW(D339)-ROW(D$15),0)</f>
        <v>Serviço</v>
      </c>
      <c r="E339" s="119" t="str">
        <f ca="1">OFFSET(ORÇAMENTO!O$15,ROW(E339)-ROW(E$15),0)</f>
        <v>-</v>
      </c>
      <c r="F339" s="172" t="str">
        <f ca="1">OFFSET(ORÇAMENTO!R$15,ROW(F339)-ROW(F$15),0)</f>
        <v>(abra o arquivo 'Referência 02-2025.xlsm)</v>
      </c>
      <c r="G339" s="173" t="str">
        <f ca="1">IF($D339&lt;&gt;"Serviço","",OFFSET(ORÇAMENTO!S$15,ROW(G339)-ROW(G$15),0))</f>
        <v>-</v>
      </c>
      <c r="H339" s="124">
        <f ca="1">IF($D339&lt;&gt;"Serviço",0,IF(ACOMPANHAMENTO="BM",ROUND(OFFSET(ORÇAMENTO!AJ$15,ROW(H339)-ROW(H$15),0),15-13*ORÇAMENTO!$AF$7),SUMPRODUCT(($Q$12:$AA$12&lt;&gt;"")*ROUND($Q339:$AA339,15-13*ORÇAMENTO!$AF$7))))</f>
        <v>6</v>
      </c>
      <c r="I339" s="561"/>
      <c r="K339" s="174"/>
      <c r="L339" s="175" t="s">
        <v>255</v>
      </c>
      <c r="M339" s="176">
        <f ca="1">IF($D339&lt;&gt;"Serviço","",IF(AUTOEVENTO="manual",$A339,IF(ISERROR(MATCH($A339,$A$15:OFFSET($A339,-1,0),0)),MAX($M$15:OFFSET(M339,-1,0))+1,INDEX($M$15:OFFSET(M339,-1,0),MATCH($A339,$A$15:OFFSET($A339,-1,0),0)))))</f>
        <v>14</v>
      </c>
      <c r="N339" s="177" t="str">
        <f ca="1">IF($D339&lt;&gt;"Serviço","",IF(AUTOEVENTO="Manual",IF($A339=0,"&lt;-- defina o número do agrupador",OFFSET(EVENTOS!$D$14,$A339,0)),OFFSET($F$15,$A339,0)))</f>
        <v>DRENAGEM DE ÁGUAS PLUVIAIS</v>
      </c>
      <c r="O339" s="178"/>
      <c r="Q339" s="178"/>
      <c r="R339" s="179"/>
      <c r="S339" s="179"/>
      <c r="T339" s="179"/>
      <c r="U339" s="179"/>
      <c r="V339" s="179"/>
      <c r="W339" s="179"/>
      <c r="X339" s="179"/>
      <c r="Y339" s="179"/>
      <c r="Z339" s="180"/>
      <c r="AB339" s="544">
        <f ca="1">IF(AND($D339="Serviço",AB$12&lt;&gt;0,$H339&gt;0,OR(AUTOEVENTO&lt;&gt;"manual",$M339&lt;&gt;1)),
IF(Import.TipoArredondamento&lt;&gt;"TransfereGOV",
ROUND(OFFSET($P339,0,AB$13),15-13*ORÇAMENTO!$AF$7)/$H339*OFFSET(ORÇAMENTO!$X$15,ROW(AB339)-ROW(AB$15),0),
ROUND(ROUND(OFFSET($P339,0,AB$13),15-13*ORÇAMENTO!$AF$7)*OFFSET(ORÇAMENTO!$W$15,ROW(AB339)-ROW(AB$15),0),15-13*ORÇAMENTO!$AF$11)),0)</f>
        <v>0</v>
      </c>
      <c r="AC339" s="545">
        <f ca="1">IF(AND($D339="Serviço",AC$12&lt;&gt;0,$H339&gt;0,OR(AUTOEVENTO&lt;&gt;"manual",$M339&lt;&gt;1)),
IF(Import.TipoArredondamento&lt;&gt;"TransfereGOV",
ROUND(OFFSET($P339,0,AC$13),15-13*ORÇAMENTO!$AF$7)/$H339*OFFSET(ORÇAMENTO!$X$15,ROW(AC339)-ROW(AC$15),0),
ROUND(ROUND(OFFSET($P339,0,AC$13),15-13*ORÇAMENTO!$AF$7)*OFFSET(ORÇAMENTO!$W$15,ROW(AC339)-ROW(AC$15),0),15-13*ORÇAMENTO!$AF$11)),0)</f>
        <v>0</v>
      </c>
      <c r="AD339" s="545">
        <f ca="1">IF(AND($D339="Serviço",AD$12&lt;&gt;0,$H339&gt;0,OR(AUTOEVENTO&lt;&gt;"manual",$M339&lt;&gt;1)),
IF(Import.TipoArredondamento&lt;&gt;"TransfereGOV",
ROUND(OFFSET($P339,0,AD$13),15-13*ORÇAMENTO!$AF$7)/$H339*OFFSET(ORÇAMENTO!$X$15,ROW(AD339)-ROW(AD$15),0),
ROUND(ROUND(OFFSET($P339,0,AD$13),15-13*ORÇAMENTO!$AF$7)*OFFSET(ORÇAMENTO!$W$15,ROW(AD339)-ROW(AD$15),0),15-13*ORÇAMENTO!$AF$11)),0)</f>
        <v>0</v>
      </c>
      <c r="AE339" s="545">
        <f ca="1">IF(AND($D339="Serviço",AE$12&lt;&gt;0,$H339&gt;0,OR(AUTOEVENTO&lt;&gt;"manual",$M339&lt;&gt;1)),
IF(Import.TipoArredondamento&lt;&gt;"TransfereGOV",
ROUND(OFFSET($P339,0,AE$13),15-13*ORÇAMENTO!$AF$7)/$H339*OFFSET(ORÇAMENTO!$X$15,ROW(AE339)-ROW(AE$15),0),
ROUND(ROUND(OFFSET($P339,0,AE$13),15-13*ORÇAMENTO!$AF$7)*OFFSET(ORÇAMENTO!$W$15,ROW(AE339)-ROW(AE$15),0),15-13*ORÇAMENTO!$AF$11)),0)</f>
        <v>0</v>
      </c>
      <c r="AF339" s="545">
        <f ca="1">IF(AND($D339="Serviço",AF$12&lt;&gt;0,$H339&gt;0,OR(AUTOEVENTO&lt;&gt;"manual",$M339&lt;&gt;1)),
IF(Import.TipoArredondamento&lt;&gt;"TransfereGOV",
ROUND(OFFSET($P339,0,AF$13),15-13*ORÇAMENTO!$AF$7)/$H339*OFFSET(ORÇAMENTO!$X$15,ROW(AF339)-ROW(AF$15),0),
ROUND(ROUND(OFFSET($P339,0,AF$13),15-13*ORÇAMENTO!$AF$7)*OFFSET(ORÇAMENTO!$W$15,ROW(AF339)-ROW(AF$15),0),15-13*ORÇAMENTO!$AF$11)),0)</f>
        <v>0</v>
      </c>
      <c r="AG339" s="545">
        <f ca="1">IF(AND($D339="Serviço",AG$12&lt;&gt;0,$H339&gt;0,OR(AUTOEVENTO&lt;&gt;"manual",$M339&lt;&gt;1)),
IF(Import.TipoArredondamento&lt;&gt;"TransfereGOV",
ROUND(OFFSET($P339,0,AG$13),15-13*ORÇAMENTO!$AF$7)/$H339*OFFSET(ORÇAMENTO!$X$15,ROW(AG339)-ROW(AG$15),0),
ROUND(ROUND(OFFSET($P339,0,AG$13),15-13*ORÇAMENTO!$AF$7)*OFFSET(ORÇAMENTO!$W$15,ROW(AG339)-ROW(AG$15),0),15-13*ORÇAMENTO!$AF$11)),0)</f>
        <v>0</v>
      </c>
      <c r="AH339" s="545">
        <f ca="1">IF(AND($D339="Serviço",AH$12&lt;&gt;0,$H339&gt;0,OR(AUTOEVENTO&lt;&gt;"manual",$M339&lt;&gt;1)),
IF(Import.TipoArredondamento&lt;&gt;"TransfereGOV",
ROUND(OFFSET($P339,0,AH$13),15-13*ORÇAMENTO!$AF$7)/$H339*OFFSET(ORÇAMENTO!$X$15,ROW(AH339)-ROW(AH$15),0),
ROUND(ROUND(OFFSET($P339,0,AH$13),15-13*ORÇAMENTO!$AF$7)*OFFSET(ORÇAMENTO!$W$15,ROW(AH339)-ROW(AH$15),0),15-13*ORÇAMENTO!$AF$11)),0)</f>
        <v>0</v>
      </c>
      <c r="AI339" s="545">
        <f ca="1">IF(AND($D339="Serviço",AI$12&lt;&gt;0,$H339&gt;0,OR(AUTOEVENTO&lt;&gt;"manual",$M339&lt;&gt;1)),
IF(Import.TipoArredondamento&lt;&gt;"TransfereGOV",
ROUND(OFFSET($P339,0,AI$13),15-13*ORÇAMENTO!$AF$7)/$H339*OFFSET(ORÇAMENTO!$X$15,ROW(AI339)-ROW(AI$15),0),
ROUND(ROUND(OFFSET($P339,0,AI$13),15-13*ORÇAMENTO!$AF$7)*OFFSET(ORÇAMENTO!$W$15,ROW(AI339)-ROW(AI$15),0),15-13*ORÇAMENTO!$AF$11)),0)</f>
        <v>0</v>
      </c>
      <c r="AJ339" s="545">
        <f ca="1">IF(AND($D339="Serviço",AJ$12&lt;&gt;0,$H339&gt;0,OR(AUTOEVENTO&lt;&gt;"manual",$M339&lt;&gt;1)),
IF(Import.TipoArredondamento&lt;&gt;"TransfereGOV",
ROUND(OFFSET($P339,0,AJ$13),15-13*ORÇAMENTO!$AF$7)/$H339*OFFSET(ORÇAMENTO!$X$15,ROW(AJ339)-ROW(AJ$15),0),
ROUND(ROUND(OFFSET($P339,0,AJ$13),15-13*ORÇAMENTO!$AF$7)*OFFSET(ORÇAMENTO!$W$15,ROW(AJ339)-ROW(AJ$15),0),15-13*ORÇAMENTO!$AF$11)),0)</f>
        <v>0</v>
      </c>
      <c r="AK339" s="546">
        <f ca="1">IF(AND($D339="Serviço",AK$12&lt;&gt;0,$H339&gt;0,OR(AUTOEVENTO&lt;&gt;"manual",$M339&lt;&gt;1)),
IF(Import.TipoArredondamento&lt;&gt;"TransfereGOV",
ROUND(OFFSET($P339,0,AK$13),15-13*ORÇAMENTO!$AF$7)/$H339*OFFSET(ORÇAMENTO!$X$15,ROW(AK339)-ROW(AK$15),0),
ROUND(ROUND(OFFSET($P339,0,AK$13),15-13*ORÇAMENTO!$AF$7)*OFFSET(ORÇAMENTO!$W$15,ROW(AK339)-ROW(AK$15),0),15-13*ORÇAMENTO!$AF$11)),0)</f>
        <v>0</v>
      </c>
      <c r="AM339" s="181">
        <f ca="1">IF($D339&lt;&gt;"Serviço",0,IF(AND(AUTOEVENTO="Manual",$M339=1),0,IF(OFFSET(CRONOPLE!$F$14,$M339,AM$13)="",10^12,OFFSET(CRONOPLE!$F$14,$M339,AM$13))))</f>
        <v>1000000000000</v>
      </c>
      <c r="AN339" s="181">
        <f ca="1">IF($D339&lt;&gt;"Serviço",0,IF(AND(AUTOEVENTO="Manual",$M339=1),0,IF(OFFSET(CRONOPLE!$F$14,$M339,AN$13)="",10^12,OFFSET(CRONOPLE!$F$14,$M339,AN$13))))</f>
        <v>1000000000000</v>
      </c>
      <c r="AO339" s="181">
        <f ca="1">IF($D339&lt;&gt;"Serviço",0,IF(AND(AUTOEVENTO="Manual",$M339=1),0,IF(OFFSET(CRONOPLE!$F$14,$M339,AO$13)="",10^12,OFFSET(CRONOPLE!$F$14,$M339,AO$13))))</f>
        <v>1000000000000</v>
      </c>
      <c r="AP339" s="181">
        <f ca="1">IF($D339&lt;&gt;"Serviço",0,IF(AND(AUTOEVENTO="Manual",$M339=1),0,IF(OFFSET(CRONOPLE!$F$14,$M339,AP$13)="",10^12,OFFSET(CRONOPLE!$F$14,$M339,AP$13))))</f>
        <v>1000000000000</v>
      </c>
      <c r="AQ339" s="181">
        <f ca="1">IF($D339&lt;&gt;"Serviço",0,IF(AND(AUTOEVENTO="Manual",$M339=1),0,IF(OFFSET(CRONOPLE!$F$14,$M339,AQ$13)="",10^12,OFFSET(CRONOPLE!$F$14,$M339,AQ$13))))</f>
        <v>1000000000000</v>
      </c>
      <c r="AR339" s="181">
        <f ca="1">IF($D339&lt;&gt;"Serviço",0,IF(AND(AUTOEVENTO="Manual",$M339=1),0,IF(OFFSET(CRONOPLE!$F$14,$M339,AR$13)="",10^12,OFFSET(CRONOPLE!$F$14,$M339,AR$13))))</f>
        <v>1000000000000</v>
      </c>
      <c r="AS339" s="181">
        <f ca="1">IF($D339&lt;&gt;"Serviço",0,IF(AND(AUTOEVENTO="Manual",$M339=1),0,IF(OFFSET(CRONOPLE!$F$14,$M339,AS$13)="",10^12,OFFSET(CRONOPLE!$F$14,$M339,AS$13))))</f>
        <v>1000000000000</v>
      </c>
      <c r="AT339" s="181">
        <f ca="1">IF($D339&lt;&gt;"Serviço",0,IF(AND(AUTOEVENTO="Manual",$M339=1),0,IF(OFFSET(CRONOPLE!$F$14,$M339,AT$13)="",10^12,OFFSET(CRONOPLE!$F$14,$M339,AT$13))))</f>
        <v>1000000000000</v>
      </c>
      <c r="AU339" s="181">
        <f ca="1">IF($D339&lt;&gt;"Serviço",0,IF(AND(AUTOEVENTO="Manual",$M339=1),0,IF(OFFSET(CRONOPLE!$F$14,$M339,AU$13)="",10^12,OFFSET(CRONOPLE!$F$14,$M339,AU$13))))</f>
        <v>1000000000000</v>
      </c>
      <c r="AV339" s="181">
        <f ca="1">IF($D339&lt;&gt;"Serviço",0,IF(AND(AUTOEVENTO="Manual",$M339=1),0,IF(OFFSET(CRONOPLE!$F$14,$M339,AV$13)="",10^12,OFFSET(CRONOPLE!$F$14,$M339,AV$13))))</f>
        <v>1000000000000</v>
      </c>
      <c r="AX339" s="182">
        <f ca="1">IF($D339&lt;&gt;"Serviço",0,IF(OR(AND(AUTOEVENTO="Manual",$M339=1),$M339&gt;(ROW(PLE.lastrow)-ROW(PLE.firstrow))),0,IF(OFFSET(PLE!$G$14,$M339,AX$13)="",10^12,OFFSET(PLE!$G$14,$M339,AX$13))))</f>
        <v>1000000000000</v>
      </c>
      <c r="AY339" s="182">
        <f ca="1">IF($D339&lt;&gt;"Serviço",0,IF(OR(AND(AUTOEVENTO="Manual",$M339=1),$M339&gt;(ROW(PLE.lastrow)-ROW(PLE.firstrow))),0,IF(OFFSET(PLE!$G$14,$M339,AY$13)="",10^12,OFFSET(PLE!$G$14,$M339,AY$13))))</f>
        <v>1000000000000</v>
      </c>
      <c r="AZ339" s="182">
        <f ca="1">IF($D339&lt;&gt;"Serviço",0,IF(OR(AND(AUTOEVENTO="Manual",$M339=1),$M339&gt;(ROW(PLE.lastrow)-ROW(PLE.firstrow))),0,IF(OFFSET(PLE!$G$14,$M339,AZ$13)="",10^12,OFFSET(PLE!$G$14,$M339,AZ$13))))</f>
        <v>1000000000000</v>
      </c>
      <c r="BA339" s="182">
        <f ca="1">IF($D339&lt;&gt;"Serviço",0,IF(OR(AND(AUTOEVENTO="Manual",$M339=1),$M339&gt;(ROW(PLE.lastrow)-ROW(PLE.firstrow))),0,IF(OFFSET(PLE!$G$14,$M339,BA$13)="",10^12,OFFSET(PLE!$G$14,$M339,BA$13))))</f>
        <v>1000000000000</v>
      </c>
      <c r="BB339" s="182">
        <f ca="1">IF($D339&lt;&gt;"Serviço",0,IF(OR(AND(AUTOEVENTO="Manual",$M339=1),$M339&gt;(ROW(PLE.lastrow)-ROW(PLE.firstrow))),0,IF(OFFSET(PLE!$G$14,$M339,BB$13)="",10^12,OFFSET(PLE!$G$14,$M339,BB$13))))</f>
        <v>1000000000000</v>
      </c>
      <c r="BC339" s="182">
        <f ca="1">IF($D339&lt;&gt;"Serviço",0,IF(OR(AND(AUTOEVENTO="Manual",$M339=1),$M339&gt;(ROW(PLE.lastrow)-ROW(PLE.firstrow))),0,IF(OFFSET(PLE!$G$14,$M339,BC$13)="",10^12,OFFSET(PLE!$G$14,$M339,BC$13))))</f>
        <v>1000000000000</v>
      </c>
      <c r="BD339" s="182">
        <f ca="1">IF($D339&lt;&gt;"Serviço",0,IF(OR(AND(AUTOEVENTO="Manual",$M339=1),$M339&gt;(ROW(PLE.lastrow)-ROW(PLE.firstrow))),0,IF(OFFSET(PLE!$G$14,$M339,BD$13)="",10^12,OFFSET(PLE!$G$14,$M339,BD$13))))</f>
        <v>1000000000000</v>
      </c>
      <c r="BE339" s="182">
        <f ca="1">IF($D339&lt;&gt;"Serviço",0,IF(OR(AND(AUTOEVENTO="Manual",$M339=1),$M339&gt;(ROW(PLE.lastrow)-ROW(PLE.firstrow))),0,IF(OFFSET(PLE!$G$14,$M339,BE$13)="",10^12,OFFSET(PLE!$G$14,$M339,BE$13))))</f>
        <v>1000000000000</v>
      </c>
      <c r="BF339" s="182">
        <f ca="1">IF($D339&lt;&gt;"Serviço",0,IF(OR(AND(AUTOEVENTO="Manual",$M339=1),$M339&gt;(ROW(PLE.lastrow)-ROW(PLE.firstrow))),0,IF(OFFSET(PLE!$G$14,$M339,BF$13)="",10^12,OFFSET(PLE!$G$14,$M339,BF$13))))</f>
        <v>1000000000000</v>
      </c>
      <c r="BG339" s="182">
        <f ca="1">IF($D339&lt;&gt;"Serviço",0,IF(OR(AND(AUTOEVENTO="Manual",$M339=1),$M339&gt;(ROW(PLE.lastrow)-ROW(PLE.firstrow))),0,IF(OFFSET(PLE!$G$14,$M339,BG$13)="",10^12,OFFSET(PLE!$G$14,$M339,BG$13))))</f>
        <v>1000000000000</v>
      </c>
    </row>
    <row r="340" spans="1:59" ht="12.75" x14ac:dyDescent="0.2">
      <c r="A340" s="7" t="str">
        <f t="shared" ca="1" si="11"/>
        <v>325.</v>
      </c>
      <c r="B340" s="7">
        <f ca="1">OFFSET(ORÇAMENTO!C$15,ROW(B340)-ROW(B$15),0)</f>
        <v>2</v>
      </c>
      <c r="C340" s="7" t="str">
        <f ca="1">OFFSET(ORÇAMENTO!L$15,ROW(C340)-ROW(C$15),0)</f>
        <v>F</v>
      </c>
      <c r="D340" s="118" t="str">
        <f ca="1">OFFSET(ORÇAMENTO!N$15,ROW(D340)-ROW(D$15),0)</f>
        <v>Nível 2</v>
      </c>
      <c r="E340" s="119" t="str">
        <f ca="1">OFFSET(ORÇAMENTO!O$15,ROW(E340)-ROW(E$15),0)</f>
        <v>1.14.</v>
      </c>
      <c r="F340" s="172" t="str">
        <f ca="1">OFFSET(ORÇAMENTO!R$15,ROW(F340)-ROW(F$15),0)</f>
        <v>INSTALAÇÕES DE ESGOTO SANITÁRIO</v>
      </c>
      <c r="G340" s="173" t="str">
        <f ca="1">IF($D340&lt;&gt;"Serviço","",OFFSET(ORÇAMENTO!S$15,ROW(G340)-ROW(G$15),0))</f>
        <v/>
      </c>
      <c r="H340" s="124">
        <f ca="1">IF($D340&lt;&gt;"Serviço",0,IF(ACOMPANHAMENTO="BM",ROUND(OFFSET(ORÇAMENTO!AJ$15,ROW(H340)-ROW(H$15),0),15-13*ORÇAMENTO!$AF$7),SUMPRODUCT(($Q$12:$AA$12&lt;&gt;"")*ROUND($Q340:$AA340,15-13*ORÇAMENTO!$AF$7))))</f>
        <v>0</v>
      </c>
      <c r="I340" s="561"/>
      <c r="K340" s="174"/>
      <c r="L340" s="175" t="s">
        <v>255</v>
      </c>
      <c r="M340" s="176" t="str">
        <f ca="1">IF($D340&lt;&gt;"Serviço","",IF(AUTOEVENTO="manual",$A340,IF(ISERROR(MATCH($A340,$A$15:OFFSET($A340,-1,0),0)),MAX($M$15:OFFSET(M340,-1,0))+1,INDEX($M$15:OFFSET(M340,-1,0),MATCH($A340,$A$15:OFFSET($A340,-1,0),0)))))</f>
        <v/>
      </c>
      <c r="N340" s="177" t="str">
        <f ca="1">IF($D340&lt;&gt;"Serviço","",IF(AUTOEVENTO="Manual",IF($A340=0,"&lt;-- defina o número do agrupador",OFFSET(EVENTOS!$D$14,$A340,0)),OFFSET($F$15,$A340,0)))</f>
        <v/>
      </c>
      <c r="O340" s="178"/>
      <c r="Q340" s="178"/>
      <c r="R340" s="179"/>
      <c r="S340" s="179"/>
      <c r="T340" s="179"/>
      <c r="U340" s="179"/>
      <c r="V340" s="179"/>
      <c r="W340" s="179"/>
      <c r="X340" s="179"/>
      <c r="Y340" s="179"/>
      <c r="Z340" s="180"/>
      <c r="AB340" s="544">
        <f ca="1">IF(AND($D340="Serviço",AB$12&lt;&gt;0,$H340&gt;0,OR(AUTOEVENTO&lt;&gt;"manual",$M340&lt;&gt;1)),
IF(Import.TipoArredondamento&lt;&gt;"TransfereGOV",
ROUND(OFFSET($P340,0,AB$13),15-13*ORÇAMENTO!$AF$7)/$H340*OFFSET(ORÇAMENTO!$X$15,ROW(AB340)-ROW(AB$15),0),
ROUND(ROUND(OFFSET($P340,0,AB$13),15-13*ORÇAMENTO!$AF$7)*OFFSET(ORÇAMENTO!$W$15,ROW(AB340)-ROW(AB$15),0),15-13*ORÇAMENTO!$AF$11)),0)</f>
        <v>0</v>
      </c>
      <c r="AC340" s="545">
        <f ca="1">IF(AND($D340="Serviço",AC$12&lt;&gt;0,$H340&gt;0,OR(AUTOEVENTO&lt;&gt;"manual",$M340&lt;&gt;1)),
IF(Import.TipoArredondamento&lt;&gt;"TransfereGOV",
ROUND(OFFSET($P340,0,AC$13),15-13*ORÇAMENTO!$AF$7)/$H340*OFFSET(ORÇAMENTO!$X$15,ROW(AC340)-ROW(AC$15),0),
ROUND(ROUND(OFFSET($P340,0,AC$13),15-13*ORÇAMENTO!$AF$7)*OFFSET(ORÇAMENTO!$W$15,ROW(AC340)-ROW(AC$15),0),15-13*ORÇAMENTO!$AF$11)),0)</f>
        <v>0</v>
      </c>
      <c r="AD340" s="545">
        <f ca="1">IF(AND($D340="Serviço",AD$12&lt;&gt;0,$H340&gt;0,OR(AUTOEVENTO&lt;&gt;"manual",$M340&lt;&gt;1)),
IF(Import.TipoArredondamento&lt;&gt;"TransfereGOV",
ROUND(OFFSET($P340,0,AD$13),15-13*ORÇAMENTO!$AF$7)/$H340*OFFSET(ORÇAMENTO!$X$15,ROW(AD340)-ROW(AD$15),0),
ROUND(ROUND(OFFSET($P340,0,AD$13),15-13*ORÇAMENTO!$AF$7)*OFFSET(ORÇAMENTO!$W$15,ROW(AD340)-ROW(AD$15),0),15-13*ORÇAMENTO!$AF$11)),0)</f>
        <v>0</v>
      </c>
      <c r="AE340" s="545">
        <f ca="1">IF(AND($D340="Serviço",AE$12&lt;&gt;0,$H340&gt;0,OR(AUTOEVENTO&lt;&gt;"manual",$M340&lt;&gt;1)),
IF(Import.TipoArredondamento&lt;&gt;"TransfereGOV",
ROUND(OFFSET($P340,0,AE$13),15-13*ORÇAMENTO!$AF$7)/$H340*OFFSET(ORÇAMENTO!$X$15,ROW(AE340)-ROW(AE$15),0),
ROUND(ROUND(OFFSET($P340,0,AE$13),15-13*ORÇAMENTO!$AF$7)*OFFSET(ORÇAMENTO!$W$15,ROW(AE340)-ROW(AE$15),0),15-13*ORÇAMENTO!$AF$11)),0)</f>
        <v>0</v>
      </c>
      <c r="AF340" s="545">
        <f ca="1">IF(AND($D340="Serviço",AF$12&lt;&gt;0,$H340&gt;0,OR(AUTOEVENTO&lt;&gt;"manual",$M340&lt;&gt;1)),
IF(Import.TipoArredondamento&lt;&gt;"TransfereGOV",
ROUND(OFFSET($P340,0,AF$13),15-13*ORÇAMENTO!$AF$7)/$H340*OFFSET(ORÇAMENTO!$X$15,ROW(AF340)-ROW(AF$15),0),
ROUND(ROUND(OFFSET($P340,0,AF$13),15-13*ORÇAMENTO!$AF$7)*OFFSET(ORÇAMENTO!$W$15,ROW(AF340)-ROW(AF$15),0),15-13*ORÇAMENTO!$AF$11)),0)</f>
        <v>0</v>
      </c>
      <c r="AG340" s="545">
        <f ca="1">IF(AND($D340="Serviço",AG$12&lt;&gt;0,$H340&gt;0,OR(AUTOEVENTO&lt;&gt;"manual",$M340&lt;&gt;1)),
IF(Import.TipoArredondamento&lt;&gt;"TransfereGOV",
ROUND(OFFSET($P340,0,AG$13),15-13*ORÇAMENTO!$AF$7)/$H340*OFFSET(ORÇAMENTO!$X$15,ROW(AG340)-ROW(AG$15),0),
ROUND(ROUND(OFFSET($P340,0,AG$13),15-13*ORÇAMENTO!$AF$7)*OFFSET(ORÇAMENTO!$W$15,ROW(AG340)-ROW(AG$15),0),15-13*ORÇAMENTO!$AF$11)),0)</f>
        <v>0</v>
      </c>
      <c r="AH340" s="545">
        <f ca="1">IF(AND($D340="Serviço",AH$12&lt;&gt;0,$H340&gt;0,OR(AUTOEVENTO&lt;&gt;"manual",$M340&lt;&gt;1)),
IF(Import.TipoArredondamento&lt;&gt;"TransfereGOV",
ROUND(OFFSET($P340,0,AH$13),15-13*ORÇAMENTO!$AF$7)/$H340*OFFSET(ORÇAMENTO!$X$15,ROW(AH340)-ROW(AH$15),0),
ROUND(ROUND(OFFSET($P340,0,AH$13),15-13*ORÇAMENTO!$AF$7)*OFFSET(ORÇAMENTO!$W$15,ROW(AH340)-ROW(AH$15),0),15-13*ORÇAMENTO!$AF$11)),0)</f>
        <v>0</v>
      </c>
      <c r="AI340" s="545">
        <f ca="1">IF(AND($D340="Serviço",AI$12&lt;&gt;0,$H340&gt;0,OR(AUTOEVENTO&lt;&gt;"manual",$M340&lt;&gt;1)),
IF(Import.TipoArredondamento&lt;&gt;"TransfereGOV",
ROUND(OFFSET($P340,0,AI$13),15-13*ORÇAMENTO!$AF$7)/$H340*OFFSET(ORÇAMENTO!$X$15,ROW(AI340)-ROW(AI$15),0),
ROUND(ROUND(OFFSET($P340,0,AI$13),15-13*ORÇAMENTO!$AF$7)*OFFSET(ORÇAMENTO!$W$15,ROW(AI340)-ROW(AI$15),0),15-13*ORÇAMENTO!$AF$11)),0)</f>
        <v>0</v>
      </c>
      <c r="AJ340" s="545">
        <f ca="1">IF(AND($D340="Serviço",AJ$12&lt;&gt;0,$H340&gt;0,OR(AUTOEVENTO&lt;&gt;"manual",$M340&lt;&gt;1)),
IF(Import.TipoArredondamento&lt;&gt;"TransfereGOV",
ROUND(OFFSET($P340,0,AJ$13),15-13*ORÇAMENTO!$AF$7)/$H340*OFFSET(ORÇAMENTO!$X$15,ROW(AJ340)-ROW(AJ$15),0),
ROUND(ROUND(OFFSET($P340,0,AJ$13),15-13*ORÇAMENTO!$AF$7)*OFFSET(ORÇAMENTO!$W$15,ROW(AJ340)-ROW(AJ$15),0),15-13*ORÇAMENTO!$AF$11)),0)</f>
        <v>0</v>
      </c>
      <c r="AK340" s="546">
        <f ca="1">IF(AND($D340="Serviço",AK$12&lt;&gt;0,$H340&gt;0,OR(AUTOEVENTO&lt;&gt;"manual",$M340&lt;&gt;1)),
IF(Import.TipoArredondamento&lt;&gt;"TransfereGOV",
ROUND(OFFSET($P340,0,AK$13),15-13*ORÇAMENTO!$AF$7)/$H340*OFFSET(ORÇAMENTO!$X$15,ROW(AK340)-ROW(AK$15),0),
ROUND(ROUND(OFFSET($P340,0,AK$13),15-13*ORÇAMENTO!$AF$7)*OFFSET(ORÇAMENTO!$W$15,ROW(AK340)-ROW(AK$15),0),15-13*ORÇAMENTO!$AF$11)),0)</f>
        <v>0</v>
      </c>
      <c r="AM340" s="181">
        <f ca="1">IF($D340&lt;&gt;"Serviço",0,IF(AND(AUTOEVENTO="Manual",$M340=1),0,IF(OFFSET(CRONOPLE!$F$14,$M340,AM$13)="",10^12,OFFSET(CRONOPLE!$F$14,$M340,AM$13))))</f>
        <v>0</v>
      </c>
      <c r="AN340" s="181">
        <f ca="1">IF($D340&lt;&gt;"Serviço",0,IF(AND(AUTOEVENTO="Manual",$M340=1),0,IF(OFFSET(CRONOPLE!$F$14,$M340,AN$13)="",10^12,OFFSET(CRONOPLE!$F$14,$M340,AN$13))))</f>
        <v>0</v>
      </c>
      <c r="AO340" s="181">
        <f ca="1">IF($D340&lt;&gt;"Serviço",0,IF(AND(AUTOEVENTO="Manual",$M340=1),0,IF(OFFSET(CRONOPLE!$F$14,$M340,AO$13)="",10^12,OFFSET(CRONOPLE!$F$14,$M340,AO$13))))</f>
        <v>0</v>
      </c>
      <c r="AP340" s="181">
        <f ca="1">IF($D340&lt;&gt;"Serviço",0,IF(AND(AUTOEVENTO="Manual",$M340=1),0,IF(OFFSET(CRONOPLE!$F$14,$M340,AP$13)="",10^12,OFFSET(CRONOPLE!$F$14,$M340,AP$13))))</f>
        <v>0</v>
      </c>
      <c r="AQ340" s="181">
        <f ca="1">IF($D340&lt;&gt;"Serviço",0,IF(AND(AUTOEVENTO="Manual",$M340=1),0,IF(OFFSET(CRONOPLE!$F$14,$M340,AQ$13)="",10^12,OFFSET(CRONOPLE!$F$14,$M340,AQ$13))))</f>
        <v>0</v>
      </c>
      <c r="AR340" s="181">
        <f ca="1">IF($D340&lt;&gt;"Serviço",0,IF(AND(AUTOEVENTO="Manual",$M340=1),0,IF(OFFSET(CRONOPLE!$F$14,$M340,AR$13)="",10^12,OFFSET(CRONOPLE!$F$14,$M340,AR$13))))</f>
        <v>0</v>
      </c>
      <c r="AS340" s="181">
        <f ca="1">IF($D340&lt;&gt;"Serviço",0,IF(AND(AUTOEVENTO="Manual",$M340=1),0,IF(OFFSET(CRONOPLE!$F$14,$M340,AS$13)="",10^12,OFFSET(CRONOPLE!$F$14,$M340,AS$13))))</f>
        <v>0</v>
      </c>
      <c r="AT340" s="181">
        <f ca="1">IF($D340&lt;&gt;"Serviço",0,IF(AND(AUTOEVENTO="Manual",$M340=1),0,IF(OFFSET(CRONOPLE!$F$14,$M340,AT$13)="",10^12,OFFSET(CRONOPLE!$F$14,$M340,AT$13))))</f>
        <v>0</v>
      </c>
      <c r="AU340" s="181">
        <f ca="1">IF($D340&lt;&gt;"Serviço",0,IF(AND(AUTOEVENTO="Manual",$M340=1),0,IF(OFFSET(CRONOPLE!$F$14,$M340,AU$13)="",10^12,OFFSET(CRONOPLE!$F$14,$M340,AU$13))))</f>
        <v>0</v>
      </c>
      <c r="AV340" s="181">
        <f ca="1">IF($D340&lt;&gt;"Serviço",0,IF(AND(AUTOEVENTO="Manual",$M340=1),0,IF(OFFSET(CRONOPLE!$F$14,$M340,AV$13)="",10^12,OFFSET(CRONOPLE!$F$14,$M340,AV$13))))</f>
        <v>0</v>
      </c>
      <c r="AX340" s="182">
        <f ca="1">IF($D340&lt;&gt;"Serviço",0,IF(OR(AND(AUTOEVENTO="Manual",$M340=1),$M340&gt;(ROW(PLE.lastrow)-ROW(PLE.firstrow))),0,IF(OFFSET(PLE!$G$14,$M340,AX$13)="",10^12,OFFSET(PLE!$G$14,$M340,AX$13))))</f>
        <v>0</v>
      </c>
      <c r="AY340" s="182">
        <f ca="1">IF($D340&lt;&gt;"Serviço",0,IF(OR(AND(AUTOEVENTO="Manual",$M340=1),$M340&gt;(ROW(PLE.lastrow)-ROW(PLE.firstrow))),0,IF(OFFSET(PLE!$G$14,$M340,AY$13)="",10^12,OFFSET(PLE!$G$14,$M340,AY$13))))</f>
        <v>0</v>
      </c>
      <c r="AZ340" s="182">
        <f ca="1">IF($D340&lt;&gt;"Serviço",0,IF(OR(AND(AUTOEVENTO="Manual",$M340=1),$M340&gt;(ROW(PLE.lastrow)-ROW(PLE.firstrow))),0,IF(OFFSET(PLE!$G$14,$M340,AZ$13)="",10^12,OFFSET(PLE!$G$14,$M340,AZ$13))))</f>
        <v>0</v>
      </c>
      <c r="BA340" s="182">
        <f ca="1">IF($D340&lt;&gt;"Serviço",0,IF(OR(AND(AUTOEVENTO="Manual",$M340=1),$M340&gt;(ROW(PLE.lastrow)-ROW(PLE.firstrow))),0,IF(OFFSET(PLE!$G$14,$M340,BA$13)="",10^12,OFFSET(PLE!$G$14,$M340,BA$13))))</f>
        <v>0</v>
      </c>
      <c r="BB340" s="182">
        <f ca="1">IF($D340&lt;&gt;"Serviço",0,IF(OR(AND(AUTOEVENTO="Manual",$M340=1),$M340&gt;(ROW(PLE.lastrow)-ROW(PLE.firstrow))),0,IF(OFFSET(PLE!$G$14,$M340,BB$13)="",10^12,OFFSET(PLE!$G$14,$M340,BB$13))))</f>
        <v>0</v>
      </c>
      <c r="BC340" s="182">
        <f ca="1">IF($D340&lt;&gt;"Serviço",0,IF(OR(AND(AUTOEVENTO="Manual",$M340=1),$M340&gt;(ROW(PLE.lastrow)-ROW(PLE.firstrow))),0,IF(OFFSET(PLE!$G$14,$M340,BC$13)="",10^12,OFFSET(PLE!$G$14,$M340,BC$13))))</f>
        <v>0</v>
      </c>
      <c r="BD340" s="182">
        <f ca="1">IF($D340&lt;&gt;"Serviço",0,IF(OR(AND(AUTOEVENTO="Manual",$M340=1),$M340&gt;(ROW(PLE.lastrow)-ROW(PLE.firstrow))),0,IF(OFFSET(PLE!$G$14,$M340,BD$13)="",10^12,OFFSET(PLE!$G$14,$M340,BD$13))))</f>
        <v>0</v>
      </c>
      <c r="BE340" s="182">
        <f ca="1">IF($D340&lt;&gt;"Serviço",0,IF(OR(AND(AUTOEVENTO="Manual",$M340=1),$M340&gt;(ROW(PLE.lastrow)-ROW(PLE.firstrow))),0,IF(OFFSET(PLE!$G$14,$M340,BE$13)="",10^12,OFFSET(PLE!$G$14,$M340,BE$13))))</f>
        <v>0</v>
      </c>
      <c r="BF340" s="182">
        <f ca="1">IF($D340&lt;&gt;"Serviço",0,IF(OR(AND(AUTOEVENTO="Manual",$M340=1),$M340&gt;(ROW(PLE.lastrow)-ROW(PLE.firstrow))),0,IF(OFFSET(PLE!$G$14,$M340,BF$13)="",10^12,OFFSET(PLE!$G$14,$M340,BF$13))))</f>
        <v>0</v>
      </c>
      <c r="BG340" s="182">
        <f ca="1">IF($D340&lt;&gt;"Serviço",0,IF(OR(AND(AUTOEVENTO="Manual",$M340=1),$M340&gt;(ROW(PLE.lastrow)-ROW(PLE.firstrow))),0,IF(OFFSET(PLE!$G$14,$M340,BG$13)="",10^12,OFFSET(PLE!$G$14,$M340,BG$13))))</f>
        <v>0</v>
      </c>
    </row>
    <row r="341" spans="1:59" ht="12.75" x14ac:dyDescent="0.2">
      <c r="A341" s="7" t="str">
        <f t="shared" ca="1" si="11"/>
        <v>325.</v>
      </c>
      <c r="B341" s="7">
        <f ca="1">OFFSET(ORÇAMENTO!C$15,ROW(B341)-ROW(B$15),0)</f>
        <v>3</v>
      </c>
      <c r="C341" s="7" t="str">
        <f ca="1">OFFSET(ORÇAMENTO!L$15,ROW(C341)-ROW(C$15),0)</f>
        <v>F</v>
      </c>
      <c r="D341" s="118" t="str">
        <f ca="1">OFFSET(ORÇAMENTO!N$15,ROW(D341)-ROW(D$15),0)</f>
        <v>Nível 3</v>
      </c>
      <c r="E341" s="119" t="str">
        <f ca="1">OFFSET(ORÇAMENTO!O$15,ROW(E341)-ROW(E$15),0)</f>
        <v>1.14.1.</v>
      </c>
      <c r="F341" s="172" t="str">
        <f ca="1">OFFSET(ORÇAMENTO!R$15,ROW(F341)-ROW(F$15),0)</f>
        <v>TUBULAÇÕES E CONEXÕES</v>
      </c>
      <c r="G341" s="173" t="str">
        <f ca="1">IF($D341&lt;&gt;"Serviço","",OFFSET(ORÇAMENTO!S$15,ROW(G341)-ROW(G$15),0))</f>
        <v/>
      </c>
      <c r="H341" s="124">
        <f ca="1">IF($D341&lt;&gt;"Serviço",0,IF(ACOMPANHAMENTO="BM",ROUND(OFFSET(ORÇAMENTO!AJ$15,ROW(H341)-ROW(H$15),0),15-13*ORÇAMENTO!$AF$7),SUMPRODUCT(($Q$12:$AA$12&lt;&gt;"")*ROUND($Q341:$AA341,15-13*ORÇAMENTO!$AF$7))))</f>
        <v>0</v>
      </c>
      <c r="I341" s="561"/>
      <c r="K341" s="174"/>
      <c r="L341" s="175" t="s">
        <v>255</v>
      </c>
      <c r="M341" s="176" t="str">
        <f ca="1">IF($D341&lt;&gt;"Serviço","",IF(AUTOEVENTO="manual",$A341,IF(ISERROR(MATCH($A341,$A$15:OFFSET($A341,-1,0),0)),MAX($M$15:OFFSET(M341,-1,0))+1,INDEX($M$15:OFFSET(M341,-1,0),MATCH($A341,$A$15:OFFSET($A341,-1,0),0)))))</f>
        <v/>
      </c>
      <c r="N341" s="177" t="str">
        <f ca="1">IF($D341&lt;&gt;"Serviço","",IF(AUTOEVENTO="Manual",IF($A341=0,"&lt;-- defina o número do agrupador",OFFSET(EVENTOS!$D$14,$A341,0)),OFFSET($F$15,$A341,0)))</f>
        <v/>
      </c>
      <c r="O341" s="178"/>
      <c r="Q341" s="178"/>
      <c r="R341" s="179"/>
      <c r="S341" s="179"/>
      <c r="T341" s="179"/>
      <c r="U341" s="179"/>
      <c r="V341" s="179"/>
      <c r="W341" s="179"/>
      <c r="X341" s="179"/>
      <c r="Y341" s="179"/>
      <c r="Z341" s="180"/>
      <c r="AB341" s="544">
        <f ca="1">IF(AND($D341="Serviço",AB$12&lt;&gt;0,$H341&gt;0,OR(AUTOEVENTO&lt;&gt;"manual",$M341&lt;&gt;1)),
IF(Import.TipoArredondamento&lt;&gt;"TransfereGOV",
ROUND(OFFSET($P341,0,AB$13),15-13*ORÇAMENTO!$AF$7)/$H341*OFFSET(ORÇAMENTO!$X$15,ROW(AB341)-ROW(AB$15),0),
ROUND(ROUND(OFFSET($P341,0,AB$13),15-13*ORÇAMENTO!$AF$7)*OFFSET(ORÇAMENTO!$W$15,ROW(AB341)-ROW(AB$15),0),15-13*ORÇAMENTO!$AF$11)),0)</f>
        <v>0</v>
      </c>
      <c r="AC341" s="545">
        <f ca="1">IF(AND($D341="Serviço",AC$12&lt;&gt;0,$H341&gt;0,OR(AUTOEVENTO&lt;&gt;"manual",$M341&lt;&gt;1)),
IF(Import.TipoArredondamento&lt;&gt;"TransfereGOV",
ROUND(OFFSET($P341,0,AC$13),15-13*ORÇAMENTO!$AF$7)/$H341*OFFSET(ORÇAMENTO!$X$15,ROW(AC341)-ROW(AC$15),0),
ROUND(ROUND(OFFSET($P341,0,AC$13),15-13*ORÇAMENTO!$AF$7)*OFFSET(ORÇAMENTO!$W$15,ROW(AC341)-ROW(AC$15),0),15-13*ORÇAMENTO!$AF$11)),0)</f>
        <v>0</v>
      </c>
      <c r="AD341" s="545">
        <f ca="1">IF(AND($D341="Serviço",AD$12&lt;&gt;0,$H341&gt;0,OR(AUTOEVENTO&lt;&gt;"manual",$M341&lt;&gt;1)),
IF(Import.TipoArredondamento&lt;&gt;"TransfereGOV",
ROUND(OFFSET($P341,0,AD$13),15-13*ORÇAMENTO!$AF$7)/$H341*OFFSET(ORÇAMENTO!$X$15,ROW(AD341)-ROW(AD$15),0),
ROUND(ROUND(OFFSET($P341,0,AD$13),15-13*ORÇAMENTO!$AF$7)*OFFSET(ORÇAMENTO!$W$15,ROW(AD341)-ROW(AD$15),0),15-13*ORÇAMENTO!$AF$11)),0)</f>
        <v>0</v>
      </c>
      <c r="AE341" s="545">
        <f ca="1">IF(AND($D341="Serviço",AE$12&lt;&gt;0,$H341&gt;0,OR(AUTOEVENTO&lt;&gt;"manual",$M341&lt;&gt;1)),
IF(Import.TipoArredondamento&lt;&gt;"TransfereGOV",
ROUND(OFFSET($P341,0,AE$13),15-13*ORÇAMENTO!$AF$7)/$H341*OFFSET(ORÇAMENTO!$X$15,ROW(AE341)-ROW(AE$15),0),
ROUND(ROUND(OFFSET($P341,0,AE$13),15-13*ORÇAMENTO!$AF$7)*OFFSET(ORÇAMENTO!$W$15,ROW(AE341)-ROW(AE$15),0),15-13*ORÇAMENTO!$AF$11)),0)</f>
        <v>0</v>
      </c>
      <c r="AF341" s="545">
        <f ca="1">IF(AND($D341="Serviço",AF$12&lt;&gt;0,$H341&gt;0,OR(AUTOEVENTO&lt;&gt;"manual",$M341&lt;&gt;1)),
IF(Import.TipoArredondamento&lt;&gt;"TransfereGOV",
ROUND(OFFSET($P341,0,AF$13),15-13*ORÇAMENTO!$AF$7)/$H341*OFFSET(ORÇAMENTO!$X$15,ROW(AF341)-ROW(AF$15),0),
ROUND(ROUND(OFFSET($P341,0,AF$13),15-13*ORÇAMENTO!$AF$7)*OFFSET(ORÇAMENTO!$W$15,ROW(AF341)-ROW(AF$15),0),15-13*ORÇAMENTO!$AF$11)),0)</f>
        <v>0</v>
      </c>
      <c r="AG341" s="545">
        <f ca="1">IF(AND($D341="Serviço",AG$12&lt;&gt;0,$H341&gt;0,OR(AUTOEVENTO&lt;&gt;"manual",$M341&lt;&gt;1)),
IF(Import.TipoArredondamento&lt;&gt;"TransfereGOV",
ROUND(OFFSET($P341,0,AG$13),15-13*ORÇAMENTO!$AF$7)/$H341*OFFSET(ORÇAMENTO!$X$15,ROW(AG341)-ROW(AG$15),0),
ROUND(ROUND(OFFSET($P341,0,AG$13),15-13*ORÇAMENTO!$AF$7)*OFFSET(ORÇAMENTO!$W$15,ROW(AG341)-ROW(AG$15),0),15-13*ORÇAMENTO!$AF$11)),0)</f>
        <v>0</v>
      </c>
      <c r="AH341" s="545">
        <f ca="1">IF(AND($D341="Serviço",AH$12&lt;&gt;0,$H341&gt;0,OR(AUTOEVENTO&lt;&gt;"manual",$M341&lt;&gt;1)),
IF(Import.TipoArredondamento&lt;&gt;"TransfereGOV",
ROUND(OFFSET($P341,0,AH$13),15-13*ORÇAMENTO!$AF$7)/$H341*OFFSET(ORÇAMENTO!$X$15,ROW(AH341)-ROW(AH$15),0),
ROUND(ROUND(OFFSET($P341,0,AH$13),15-13*ORÇAMENTO!$AF$7)*OFFSET(ORÇAMENTO!$W$15,ROW(AH341)-ROW(AH$15),0),15-13*ORÇAMENTO!$AF$11)),0)</f>
        <v>0</v>
      </c>
      <c r="AI341" s="545">
        <f ca="1">IF(AND($D341="Serviço",AI$12&lt;&gt;0,$H341&gt;0,OR(AUTOEVENTO&lt;&gt;"manual",$M341&lt;&gt;1)),
IF(Import.TipoArredondamento&lt;&gt;"TransfereGOV",
ROUND(OFFSET($P341,0,AI$13),15-13*ORÇAMENTO!$AF$7)/$H341*OFFSET(ORÇAMENTO!$X$15,ROW(AI341)-ROW(AI$15),0),
ROUND(ROUND(OFFSET($P341,0,AI$13),15-13*ORÇAMENTO!$AF$7)*OFFSET(ORÇAMENTO!$W$15,ROW(AI341)-ROW(AI$15),0),15-13*ORÇAMENTO!$AF$11)),0)</f>
        <v>0</v>
      </c>
      <c r="AJ341" s="545">
        <f ca="1">IF(AND($D341="Serviço",AJ$12&lt;&gt;0,$H341&gt;0,OR(AUTOEVENTO&lt;&gt;"manual",$M341&lt;&gt;1)),
IF(Import.TipoArredondamento&lt;&gt;"TransfereGOV",
ROUND(OFFSET($P341,0,AJ$13),15-13*ORÇAMENTO!$AF$7)/$H341*OFFSET(ORÇAMENTO!$X$15,ROW(AJ341)-ROW(AJ$15),0),
ROUND(ROUND(OFFSET($P341,0,AJ$13),15-13*ORÇAMENTO!$AF$7)*OFFSET(ORÇAMENTO!$W$15,ROW(AJ341)-ROW(AJ$15),0),15-13*ORÇAMENTO!$AF$11)),0)</f>
        <v>0</v>
      </c>
      <c r="AK341" s="546">
        <f ca="1">IF(AND($D341="Serviço",AK$12&lt;&gt;0,$H341&gt;0,OR(AUTOEVENTO&lt;&gt;"manual",$M341&lt;&gt;1)),
IF(Import.TipoArredondamento&lt;&gt;"TransfereGOV",
ROUND(OFFSET($P341,0,AK$13),15-13*ORÇAMENTO!$AF$7)/$H341*OFFSET(ORÇAMENTO!$X$15,ROW(AK341)-ROW(AK$15),0),
ROUND(ROUND(OFFSET($P341,0,AK$13),15-13*ORÇAMENTO!$AF$7)*OFFSET(ORÇAMENTO!$W$15,ROW(AK341)-ROW(AK$15),0),15-13*ORÇAMENTO!$AF$11)),0)</f>
        <v>0</v>
      </c>
      <c r="AM341" s="181">
        <f ca="1">IF($D341&lt;&gt;"Serviço",0,IF(AND(AUTOEVENTO="Manual",$M341=1),0,IF(OFFSET(CRONOPLE!$F$14,$M341,AM$13)="",10^12,OFFSET(CRONOPLE!$F$14,$M341,AM$13))))</f>
        <v>0</v>
      </c>
      <c r="AN341" s="181">
        <f ca="1">IF($D341&lt;&gt;"Serviço",0,IF(AND(AUTOEVENTO="Manual",$M341=1),0,IF(OFFSET(CRONOPLE!$F$14,$M341,AN$13)="",10^12,OFFSET(CRONOPLE!$F$14,$M341,AN$13))))</f>
        <v>0</v>
      </c>
      <c r="AO341" s="181">
        <f ca="1">IF($D341&lt;&gt;"Serviço",0,IF(AND(AUTOEVENTO="Manual",$M341=1),0,IF(OFFSET(CRONOPLE!$F$14,$M341,AO$13)="",10^12,OFFSET(CRONOPLE!$F$14,$M341,AO$13))))</f>
        <v>0</v>
      </c>
      <c r="AP341" s="181">
        <f ca="1">IF($D341&lt;&gt;"Serviço",0,IF(AND(AUTOEVENTO="Manual",$M341=1),0,IF(OFFSET(CRONOPLE!$F$14,$M341,AP$13)="",10^12,OFFSET(CRONOPLE!$F$14,$M341,AP$13))))</f>
        <v>0</v>
      </c>
      <c r="AQ341" s="181">
        <f ca="1">IF($D341&lt;&gt;"Serviço",0,IF(AND(AUTOEVENTO="Manual",$M341=1),0,IF(OFFSET(CRONOPLE!$F$14,$M341,AQ$13)="",10^12,OFFSET(CRONOPLE!$F$14,$M341,AQ$13))))</f>
        <v>0</v>
      </c>
      <c r="AR341" s="181">
        <f ca="1">IF($D341&lt;&gt;"Serviço",0,IF(AND(AUTOEVENTO="Manual",$M341=1),0,IF(OFFSET(CRONOPLE!$F$14,$M341,AR$13)="",10^12,OFFSET(CRONOPLE!$F$14,$M341,AR$13))))</f>
        <v>0</v>
      </c>
      <c r="AS341" s="181">
        <f ca="1">IF($D341&lt;&gt;"Serviço",0,IF(AND(AUTOEVENTO="Manual",$M341=1),0,IF(OFFSET(CRONOPLE!$F$14,$M341,AS$13)="",10^12,OFFSET(CRONOPLE!$F$14,$M341,AS$13))))</f>
        <v>0</v>
      </c>
      <c r="AT341" s="181">
        <f ca="1">IF($D341&lt;&gt;"Serviço",0,IF(AND(AUTOEVENTO="Manual",$M341=1),0,IF(OFFSET(CRONOPLE!$F$14,$M341,AT$13)="",10^12,OFFSET(CRONOPLE!$F$14,$M341,AT$13))))</f>
        <v>0</v>
      </c>
      <c r="AU341" s="181">
        <f ca="1">IF($D341&lt;&gt;"Serviço",0,IF(AND(AUTOEVENTO="Manual",$M341=1),0,IF(OFFSET(CRONOPLE!$F$14,$M341,AU$13)="",10^12,OFFSET(CRONOPLE!$F$14,$M341,AU$13))))</f>
        <v>0</v>
      </c>
      <c r="AV341" s="181">
        <f ca="1">IF($D341&lt;&gt;"Serviço",0,IF(AND(AUTOEVENTO="Manual",$M341=1),0,IF(OFFSET(CRONOPLE!$F$14,$M341,AV$13)="",10^12,OFFSET(CRONOPLE!$F$14,$M341,AV$13))))</f>
        <v>0</v>
      </c>
      <c r="AX341" s="182">
        <f ca="1">IF($D341&lt;&gt;"Serviço",0,IF(OR(AND(AUTOEVENTO="Manual",$M341=1),$M341&gt;(ROW(PLE.lastrow)-ROW(PLE.firstrow))),0,IF(OFFSET(PLE!$G$14,$M341,AX$13)="",10^12,OFFSET(PLE!$G$14,$M341,AX$13))))</f>
        <v>0</v>
      </c>
      <c r="AY341" s="182">
        <f ca="1">IF($D341&lt;&gt;"Serviço",0,IF(OR(AND(AUTOEVENTO="Manual",$M341=1),$M341&gt;(ROW(PLE.lastrow)-ROW(PLE.firstrow))),0,IF(OFFSET(PLE!$G$14,$M341,AY$13)="",10^12,OFFSET(PLE!$G$14,$M341,AY$13))))</f>
        <v>0</v>
      </c>
      <c r="AZ341" s="182">
        <f ca="1">IF($D341&lt;&gt;"Serviço",0,IF(OR(AND(AUTOEVENTO="Manual",$M341=1),$M341&gt;(ROW(PLE.lastrow)-ROW(PLE.firstrow))),0,IF(OFFSET(PLE!$G$14,$M341,AZ$13)="",10^12,OFFSET(PLE!$G$14,$M341,AZ$13))))</f>
        <v>0</v>
      </c>
      <c r="BA341" s="182">
        <f ca="1">IF($D341&lt;&gt;"Serviço",0,IF(OR(AND(AUTOEVENTO="Manual",$M341=1),$M341&gt;(ROW(PLE.lastrow)-ROW(PLE.firstrow))),0,IF(OFFSET(PLE!$G$14,$M341,BA$13)="",10^12,OFFSET(PLE!$G$14,$M341,BA$13))))</f>
        <v>0</v>
      </c>
      <c r="BB341" s="182">
        <f ca="1">IF($D341&lt;&gt;"Serviço",0,IF(OR(AND(AUTOEVENTO="Manual",$M341=1),$M341&gt;(ROW(PLE.lastrow)-ROW(PLE.firstrow))),0,IF(OFFSET(PLE!$G$14,$M341,BB$13)="",10^12,OFFSET(PLE!$G$14,$M341,BB$13))))</f>
        <v>0</v>
      </c>
      <c r="BC341" s="182">
        <f ca="1">IF($D341&lt;&gt;"Serviço",0,IF(OR(AND(AUTOEVENTO="Manual",$M341=1),$M341&gt;(ROW(PLE.lastrow)-ROW(PLE.firstrow))),0,IF(OFFSET(PLE!$G$14,$M341,BC$13)="",10^12,OFFSET(PLE!$G$14,$M341,BC$13))))</f>
        <v>0</v>
      </c>
      <c r="BD341" s="182">
        <f ca="1">IF($D341&lt;&gt;"Serviço",0,IF(OR(AND(AUTOEVENTO="Manual",$M341=1),$M341&gt;(ROW(PLE.lastrow)-ROW(PLE.firstrow))),0,IF(OFFSET(PLE!$G$14,$M341,BD$13)="",10^12,OFFSET(PLE!$G$14,$M341,BD$13))))</f>
        <v>0</v>
      </c>
      <c r="BE341" s="182">
        <f ca="1">IF($D341&lt;&gt;"Serviço",0,IF(OR(AND(AUTOEVENTO="Manual",$M341=1),$M341&gt;(ROW(PLE.lastrow)-ROW(PLE.firstrow))),0,IF(OFFSET(PLE!$G$14,$M341,BE$13)="",10^12,OFFSET(PLE!$G$14,$M341,BE$13))))</f>
        <v>0</v>
      </c>
      <c r="BF341" s="182">
        <f ca="1">IF($D341&lt;&gt;"Serviço",0,IF(OR(AND(AUTOEVENTO="Manual",$M341=1),$M341&gt;(ROW(PLE.lastrow)-ROW(PLE.firstrow))),0,IF(OFFSET(PLE!$G$14,$M341,BF$13)="",10^12,OFFSET(PLE!$G$14,$M341,BF$13))))</f>
        <v>0</v>
      </c>
      <c r="BG341" s="182">
        <f ca="1">IF($D341&lt;&gt;"Serviço",0,IF(OR(AND(AUTOEVENTO="Manual",$M341=1),$M341&gt;(ROW(PLE.lastrow)-ROW(PLE.firstrow))),0,IF(OFFSET(PLE!$G$14,$M341,BG$13)="",10^12,OFFSET(PLE!$G$14,$M341,BG$13))))</f>
        <v>0</v>
      </c>
    </row>
    <row r="342" spans="1:59" ht="38.25" x14ac:dyDescent="0.2">
      <c r="A342" s="7" t="str">
        <f t="shared" ca="1" si="11"/>
        <v>325</v>
      </c>
      <c r="B342" s="7" t="str">
        <f ca="1">OFFSET(ORÇAMENTO!C$15,ROW(B342)-ROW(B$15),0)</f>
        <v>S</v>
      </c>
      <c r="C342" s="7" t="str">
        <f ca="1">OFFSET(ORÇAMENTO!L$15,ROW(C342)-ROW(C$15),0)</f>
        <v/>
      </c>
      <c r="D342" s="118" t="str">
        <f ca="1">OFFSET(ORÇAMENTO!N$15,ROW(D342)-ROW(D$15),0)</f>
        <v>Serviço</v>
      </c>
      <c r="E342" s="119" t="str">
        <f ca="1">OFFSET(ORÇAMENTO!O$15,ROW(E342)-ROW(E$15),0)</f>
        <v>-</v>
      </c>
      <c r="F342" s="172" t="str">
        <f ca="1">OFFSET(ORÇAMENTO!R$15,ROW(F342)-ROW(F$15),0)</f>
        <v>(abra o arquivo 'Referência 02-2025.xlsm)</v>
      </c>
      <c r="G342" s="173" t="str">
        <f ca="1">IF($D342&lt;&gt;"Serviço","",OFFSET(ORÇAMENTO!S$15,ROW(G342)-ROW(G$15),0))</f>
        <v>-</v>
      </c>
      <c r="H342" s="124">
        <f ca="1">IF($D342&lt;&gt;"Serviço",0,IF(ACOMPANHAMENTO="BM",ROUND(OFFSET(ORÇAMENTO!AJ$15,ROW(H342)-ROW(H$15),0),15-13*ORÇAMENTO!$AF$7),SUMPRODUCT(($Q$12:$AA$12&lt;&gt;"")*ROUND($Q342:$AA342,15-13*ORÇAMENTO!$AF$7))))</f>
        <v>88.7</v>
      </c>
      <c r="I342" s="561" t="s">
        <v>890</v>
      </c>
      <c r="K342" s="174"/>
      <c r="L342" s="175" t="s">
        <v>255</v>
      </c>
      <c r="M342" s="176">
        <f ca="1">IF($D342&lt;&gt;"Serviço","",IF(AUTOEVENTO="manual",$A342,IF(ISERROR(MATCH($A342,$A$15:OFFSET($A342,-1,0),0)),MAX($M$15:OFFSET(M342,-1,0))+1,INDEX($M$15:OFFSET(M342,-1,0),MATCH($A342,$A$15:OFFSET($A342,-1,0),0)))))</f>
        <v>15</v>
      </c>
      <c r="N342" s="177" t="str">
        <f ca="1">IF($D342&lt;&gt;"Serviço","",IF(AUTOEVENTO="Manual",IF($A342=0,"&lt;-- defina o número do agrupador",OFFSET(EVENTOS!$D$14,$A342,0)),OFFSET($F$15,$A342,0)))</f>
        <v>INSTALAÇÕES DE ESGOTO SANITÁRIO</v>
      </c>
      <c r="O342" s="178"/>
      <c r="Q342" s="178"/>
      <c r="R342" s="179"/>
      <c r="S342" s="179"/>
      <c r="T342" s="179"/>
      <c r="U342" s="179"/>
      <c r="V342" s="179"/>
      <c r="W342" s="179"/>
      <c r="X342" s="179"/>
      <c r="Y342" s="179"/>
      <c r="Z342" s="180"/>
      <c r="AB342" s="544">
        <f ca="1">IF(AND($D342="Serviço",AB$12&lt;&gt;0,$H342&gt;0,OR(AUTOEVENTO&lt;&gt;"manual",$M342&lt;&gt;1)),
IF(Import.TipoArredondamento&lt;&gt;"TransfereGOV",
ROUND(OFFSET($P342,0,AB$13),15-13*ORÇAMENTO!$AF$7)/$H342*OFFSET(ORÇAMENTO!$X$15,ROW(AB342)-ROW(AB$15),0),
ROUND(ROUND(OFFSET($P342,0,AB$13),15-13*ORÇAMENTO!$AF$7)*OFFSET(ORÇAMENTO!$W$15,ROW(AB342)-ROW(AB$15),0),15-13*ORÇAMENTO!$AF$11)),0)</f>
        <v>0</v>
      </c>
      <c r="AC342" s="545">
        <f ca="1">IF(AND($D342="Serviço",AC$12&lt;&gt;0,$H342&gt;0,OR(AUTOEVENTO&lt;&gt;"manual",$M342&lt;&gt;1)),
IF(Import.TipoArredondamento&lt;&gt;"TransfereGOV",
ROUND(OFFSET($P342,0,AC$13),15-13*ORÇAMENTO!$AF$7)/$H342*OFFSET(ORÇAMENTO!$X$15,ROW(AC342)-ROW(AC$15),0),
ROUND(ROUND(OFFSET($P342,0,AC$13),15-13*ORÇAMENTO!$AF$7)*OFFSET(ORÇAMENTO!$W$15,ROW(AC342)-ROW(AC$15),0),15-13*ORÇAMENTO!$AF$11)),0)</f>
        <v>0</v>
      </c>
      <c r="AD342" s="545">
        <f ca="1">IF(AND($D342="Serviço",AD$12&lt;&gt;0,$H342&gt;0,OR(AUTOEVENTO&lt;&gt;"manual",$M342&lt;&gt;1)),
IF(Import.TipoArredondamento&lt;&gt;"TransfereGOV",
ROUND(OFFSET($P342,0,AD$13),15-13*ORÇAMENTO!$AF$7)/$H342*OFFSET(ORÇAMENTO!$X$15,ROW(AD342)-ROW(AD$15),0),
ROUND(ROUND(OFFSET($P342,0,AD$13),15-13*ORÇAMENTO!$AF$7)*OFFSET(ORÇAMENTO!$W$15,ROW(AD342)-ROW(AD$15),0),15-13*ORÇAMENTO!$AF$11)),0)</f>
        <v>0</v>
      </c>
      <c r="AE342" s="545">
        <f ca="1">IF(AND($D342="Serviço",AE$12&lt;&gt;0,$H342&gt;0,OR(AUTOEVENTO&lt;&gt;"manual",$M342&lt;&gt;1)),
IF(Import.TipoArredondamento&lt;&gt;"TransfereGOV",
ROUND(OFFSET($P342,0,AE$13),15-13*ORÇAMENTO!$AF$7)/$H342*OFFSET(ORÇAMENTO!$X$15,ROW(AE342)-ROW(AE$15),0),
ROUND(ROUND(OFFSET($P342,0,AE$13),15-13*ORÇAMENTO!$AF$7)*OFFSET(ORÇAMENTO!$W$15,ROW(AE342)-ROW(AE$15),0),15-13*ORÇAMENTO!$AF$11)),0)</f>
        <v>0</v>
      </c>
      <c r="AF342" s="545">
        <f ca="1">IF(AND($D342="Serviço",AF$12&lt;&gt;0,$H342&gt;0,OR(AUTOEVENTO&lt;&gt;"manual",$M342&lt;&gt;1)),
IF(Import.TipoArredondamento&lt;&gt;"TransfereGOV",
ROUND(OFFSET($P342,0,AF$13),15-13*ORÇAMENTO!$AF$7)/$H342*OFFSET(ORÇAMENTO!$X$15,ROW(AF342)-ROW(AF$15),0),
ROUND(ROUND(OFFSET($P342,0,AF$13),15-13*ORÇAMENTO!$AF$7)*OFFSET(ORÇAMENTO!$W$15,ROW(AF342)-ROW(AF$15),0),15-13*ORÇAMENTO!$AF$11)),0)</f>
        <v>0</v>
      </c>
      <c r="AG342" s="545">
        <f ca="1">IF(AND($D342="Serviço",AG$12&lt;&gt;0,$H342&gt;0,OR(AUTOEVENTO&lt;&gt;"manual",$M342&lt;&gt;1)),
IF(Import.TipoArredondamento&lt;&gt;"TransfereGOV",
ROUND(OFFSET($P342,0,AG$13),15-13*ORÇAMENTO!$AF$7)/$H342*OFFSET(ORÇAMENTO!$X$15,ROW(AG342)-ROW(AG$15),0),
ROUND(ROUND(OFFSET($P342,0,AG$13),15-13*ORÇAMENTO!$AF$7)*OFFSET(ORÇAMENTO!$W$15,ROW(AG342)-ROW(AG$15),0),15-13*ORÇAMENTO!$AF$11)),0)</f>
        <v>0</v>
      </c>
      <c r="AH342" s="545">
        <f ca="1">IF(AND($D342="Serviço",AH$12&lt;&gt;0,$H342&gt;0,OR(AUTOEVENTO&lt;&gt;"manual",$M342&lt;&gt;1)),
IF(Import.TipoArredondamento&lt;&gt;"TransfereGOV",
ROUND(OFFSET($P342,0,AH$13),15-13*ORÇAMENTO!$AF$7)/$H342*OFFSET(ORÇAMENTO!$X$15,ROW(AH342)-ROW(AH$15),0),
ROUND(ROUND(OFFSET($P342,0,AH$13),15-13*ORÇAMENTO!$AF$7)*OFFSET(ORÇAMENTO!$W$15,ROW(AH342)-ROW(AH$15),0),15-13*ORÇAMENTO!$AF$11)),0)</f>
        <v>0</v>
      </c>
      <c r="AI342" s="545">
        <f ca="1">IF(AND($D342="Serviço",AI$12&lt;&gt;0,$H342&gt;0,OR(AUTOEVENTO&lt;&gt;"manual",$M342&lt;&gt;1)),
IF(Import.TipoArredondamento&lt;&gt;"TransfereGOV",
ROUND(OFFSET($P342,0,AI$13),15-13*ORÇAMENTO!$AF$7)/$H342*OFFSET(ORÇAMENTO!$X$15,ROW(AI342)-ROW(AI$15),0),
ROUND(ROUND(OFFSET($P342,0,AI$13),15-13*ORÇAMENTO!$AF$7)*OFFSET(ORÇAMENTO!$W$15,ROW(AI342)-ROW(AI$15),0),15-13*ORÇAMENTO!$AF$11)),0)</f>
        <v>0</v>
      </c>
      <c r="AJ342" s="545">
        <f ca="1">IF(AND($D342="Serviço",AJ$12&lt;&gt;0,$H342&gt;0,OR(AUTOEVENTO&lt;&gt;"manual",$M342&lt;&gt;1)),
IF(Import.TipoArredondamento&lt;&gt;"TransfereGOV",
ROUND(OFFSET($P342,0,AJ$13),15-13*ORÇAMENTO!$AF$7)/$H342*OFFSET(ORÇAMENTO!$X$15,ROW(AJ342)-ROW(AJ$15),0),
ROUND(ROUND(OFFSET($P342,0,AJ$13),15-13*ORÇAMENTO!$AF$7)*OFFSET(ORÇAMENTO!$W$15,ROW(AJ342)-ROW(AJ$15),0),15-13*ORÇAMENTO!$AF$11)),0)</f>
        <v>0</v>
      </c>
      <c r="AK342" s="546">
        <f ca="1">IF(AND($D342="Serviço",AK$12&lt;&gt;0,$H342&gt;0,OR(AUTOEVENTO&lt;&gt;"manual",$M342&lt;&gt;1)),
IF(Import.TipoArredondamento&lt;&gt;"TransfereGOV",
ROUND(OFFSET($P342,0,AK$13),15-13*ORÇAMENTO!$AF$7)/$H342*OFFSET(ORÇAMENTO!$X$15,ROW(AK342)-ROW(AK$15),0),
ROUND(ROUND(OFFSET($P342,0,AK$13),15-13*ORÇAMENTO!$AF$7)*OFFSET(ORÇAMENTO!$W$15,ROW(AK342)-ROW(AK$15),0),15-13*ORÇAMENTO!$AF$11)),0)</f>
        <v>0</v>
      </c>
      <c r="AM342" s="181">
        <f ca="1">IF($D342&lt;&gt;"Serviço",0,IF(AND(AUTOEVENTO="Manual",$M342=1),0,IF(OFFSET(CRONOPLE!$F$14,$M342,AM$13)="",10^12,OFFSET(CRONOPLE!$F$14,$M342,AM$13))))</f>
        <v>1000000000000</v>
      </c>
      <c r="AN342" s="181">
        <f ca="1">IF($D342&lt;&gt;"Serviço",0,IF(AND(AUTOEVENTO="Manual",$M342=1),0,IF(OFFSET(CRONOPLE!$F$14,$M342,AN$13)="",10^12,OFFSET(CRONOPLE!$F$14,$M342,AN$13))))</f>
        <v>1000000000000</v>
      </c>
      <c r="AO342" s="181">
        <f ca="1">IF($D342&lt;&gt;"Serviço",0,IF(AND(AUTOEVENTO="Manual",$M342=1),0,IF(OFFSET(CRONOPLE!$F$14,$M342,AO$13)="",10^12,OFFSET(CRONOPLE!$F$14,$M342,AO$13))))</f>
        <v>1000000000000</v>
      </c>
      <c r="AP342" s="181">
        <f ca="1">IF($D342&lt;&gt;"Serviço",0,IF(AND(AUTOEVENTO="Manual",$M342=1),0,IF(OFFSET(CRONOPLE!$F$14,$M342,AP$13)="",10^12,OFFSET(CRONOPLE!$F$14,$M342,AP$13))))</f>
        <v>1000000000000</v>
      </c>
      <c r="AQ342" s="181">
        <f ca="1">IF($D342&lt;&gt;"Serviço",0,IF(AND(AUTOEVENTO="Manual",$M342=1),0,IF(OFFSET(CRONOPLE!$F$14,$M342,AQ$13)="",10^12,OFFSET(CRONOPLE!$F$14,$M342,AQ$13))))</f>
        <v>1000000000000</v>
      </c>
      <c r="AR342" s="181">
        <f ca="1">IF($D342&lt;&gt;"Serviço",0,IF(AND(AUTOEVENTO="Manual",$M342=1),0,IF(OFFSET(CRONOPLE!$F$14,$M342,AR$13)="",10^12,OFFSET(CRONOPLE!$F$14,$M342,AR$13))))</f>
        <v>1000000000000</v>
      </c>
      <c r="AS342" s="181">
        <f ca="1">IF($D342&lt;&gt;"Serviço",0,IF(AND(AUTOEVENTO="Manual",$M342=1),0,IF(OFFSET(CRONOPLE!$F$14,$M342,AS$13)="",10^12,OFFSET(CRONOPLE!$F$14,$M342,AS$13))))</f>
        <v>1000000000000</v>
      </c>
      <c r="AT342" s="181">
        <f ca="1">IF($D342&lt;&gt;"Serviço",0,IF(AND(AUTOEVENTO="Manual",$M342=1),0,IF(OFFSET(CRONOPLE!$F$14,$M342,AT$13)="",10^12,OFFSET(CRONOPLE!$F$14,$M342,AT$13))))</f>
        <v>1000000000000</v>
      </c>
      <c r="AU342" s="181">
        <f ca="1">IF($D342&lt;&gt;"Serviço",0,IF(AND(AUTOEVENTO="Manual",$M342=1),0,IF(OFFSET(CRONOPLE!$F$14,$M342,AU$13)="",10^12,OFFSET(CRONOPLE!$F$14,$M342,AU$13))))</f>
        <v>1000000000000</v>
      </c>
      <c r="AV342" s="181">
        <f ca="1">IF($D342&lt;&gt;"Serviço",0,IF(AND(AUTOEVENTO="Manual",$M342=1),0,IF(OFFSET(CRONOPLE!$F$14,$M342,AV$13)="",10^12,OFFSET(CRONOPLE!$F$14,$M342,AV$13))))</f>
        <v>1000000000000</v>
      </c>
      <c r="AX342" s="182">
        <f ca="1">IF($D342&lt;&gt;"Serviço",0,IF(OR(AND(AUTOEVENTO="Manual",$M342=1),$M342&gt;(ROW(PLE.lastrow)-ROW(PLE.firstrow))),0,IF(OFFSET(PLE!$G$14,$M342,AX$13)="",10^12,OFFSET(PLE!$G$14,$M342,AX$13))))</f>
        <v>1000000000000</v>
      </c>
      <c r="AY342" s="182">
        <f ca="1">IF($D342&lt;&gt;"Serviço",0,IF(OR(AND(AUTOEVENTO="Manual",$M342=1),$M342&gt;(ROW(PLE.lastrow)-ROW(PLE.firstrow))),0,IF(OFFSET(PLE!$G$14,$M342,AY$13)="",10^12,OFFSET(PLE!$G$14,$M342,AY$13))))</f>
        <v>1000000000000</v>
      </c>
      <c r="AZ342" s="182">
        <f ca="1">IF($D342&lt;&gt;"Serviço",0,IF(OR(AND(AUTOEVENTO="Manual",$M342=1),$M342&gt;(ROW(PLE.lastrow)-ROW(PLE.firstrow))),0,IF(OFFSET(PLE!$G$14,$M342,AZ$13)="",10^12,OFFSET(PLE!$G$14,$M342,AZ$13))))</f>
        <v>1000000000000</v>
      </c>
      <c r="BA342" s="182">
        <f ca="1">IF($D342&lt;&gt;"Serviço",0,IF(OR(AND(AUTOEVENTO="Manual",$M342=1),$M342&gt;(ROW(PLE.lastrow)-ROW(PLE.firstrow))),0,IF(OFFSET(PLE!$G$14,$M342,BA$13)="",10^12,OFFSET(PLE!$G$14,$M342,BA$13))))</f>
        <v>1000000000000</v>
      </c>
      <c r="BB342" s="182">
        <f ca="1">IF($D342&lt;&gt;"Serviço",0,IF(OR(AND(AUTOEVENTO="Manual",$M342=1),$M342&gt;(ROW(PLE.lastrow)-ROW(PLE.firstrow))),0,IF(OFFSET(PLE!$G$14,$M342,BB$13)="",10^12,OFFSET(PLE!$G$14,$M342,BB$13))))</f>
        <v>1000000000000</v>
      </c>
      <c r="BC342" s="182">
        <f ca="1">IF($D342&lt;&gt;"Serviço",0,IF(OR(AND(AUTOEVENTO="Manual",$M342=1),$M342&gt;(ROW(PLE.lastrow)-ROW(PLE.firstrow))),0,IF(OFFSET(PLE!$G$14,$M342,BC$13)="",10^12,OFFSET(PLE!$G$14,$M342,BC$13))))</f>
        <v>1000000000000</v>
      </c>
      <c r="BD342" s="182">
        <f ca="1">IF($D342&lt;&gt;"Serviço",0,IF(OR(AND(AUTOEVENTO="Manual",$M342=1),$M342&gt;(ROW(PLE.lastrow)-ROW(PLE.firstrow))),0,IF(OFFSET(PLE!$G$14,$M342,BD$13)="",10^12,OFFSET(PLE!$G$14,$M342,BD$13))))</f>
        <v>1000000000000</v>
      </c>
      <c r="BE342" s="182">
        <f ca="1">IF($D342&lt;&gt;"Serviço",0,IF(OR(AND(AUTOEVENTO="Manual",$M342=1),$M342&gt;(ROW(PLE.lastrow)-ROW(PLE.firstrow))),0,IF(OFFSET(PLE!$G$14,$M342,BE$13)="",10^12,OFFSET(PLE!$G$14,$M342,BE$13))))</f>
        <v>1000000000000</v>
      </c>
      <c r="BF342" s="182">
        <f ca="1">IF($D342&lt;&gt;"Serviço",0,IF(OR(AND(AUTOEVENTO="Manual",$M342=1),$M342&gt;(ROW(PLE.lastrow)-ROW(PLE.firstrow))),0,IF(OFFSET(PLE!$G$14,$M342,BF$13)="",10^12,OFFSET(PLE!$G$14,$M342,BF$13))))</f>
        <v>1000000000000</v>
      </c>
      <c r="BG342" s="182">
        <f ca="1">IF($D342&lt;&gt;"Serviço",0,IF(OR(AND(AUTOEVENTO="Manual",$M342=1),$M342&gt;(ROW(PLE.lastrow)-ROW(PLE.firstrow))),0,IF(OFFSET(PLE!$G$14,$M342,BG$13)="",10^12,OFFSET(PLE!$G$14,$M342,BG$13))))</f>
        <v>1000000000000</v>
      </c>
    </row>
    <row r="343" spans="1:59" ht="38.25" x14ac:dyDescent="0.2">
      <c r="A343" s="7" t="str">
        <f t="shared" ca="1" si="11"/>
        <v>325</v>
      </c>
      <c r="B343" s="7" t="str">
        <f ca="1">OFFSET(ORÇAMENTO!C$15,ROW(B343)-ROW(B$15),0)</f>
        <v>S</v>
      </c>
      <c r="C343" s="7" t="str">
        <f ca="1">OFFSET(ORÇAMENTO!L$15,ROW(C343)-ROW(C$15),0)</f>
        <v/>
      </c>
      <c r="D343" s="118" t="str">
        <f ca="1">OFFSET(ORÇAMENTO!N$15,ROW(D343)-ROW(D$15),0)</f>
        <v>Serviço</v>
      </c>
      <c r="E343" s="119" t="str">
        <f ca="1">OFFSET(ORÇAMENTO!O$15,ROW(E343)-ROW(E$15),0)</f>
        <v>-</v>
      </c>
      <c r="F343" s="172" t="str">
        <f ca="1">OFFSET(ORÇAMENTO!R$15,ROW(F343)-ROW(F$15),0)</f>
        <v>(abra o arquivo 'Referência 02-2025.xlsm)</v>
      </c>
      <c r="G343" s="173" t="str">
        <f ca="1">IF($D343&lt;&gt;"Serviço","",OFFSET(ORÇAMENTO!S$15,ROW(G343)-ROW(G$15),0))</f>
        <v>-</v>
      </c>
      <c r="H343" s="124">
        <f ca="1">IF($D343&lt;&gt;"Serviço",0,IF(ACOMPANHAMENTO="BM",ROUND(OFFSET(ORÇAMENTO!AJ$15,ROW(H343)-ROW(H$15),0),15-13*ORÇAMENTO!$AF$7),SUMPRODUCT(($Q$12:$AA$12&lt;&gt;"")*ROUND($Q343:$AA343,15-13*ORÇAMENTO!$AF$7))))</f>
        <v>207.2</v>
      </c>
      <c r="I343" s="561" t="s">
        <v>890</v>
      </c>
      <c r="K343" s="174"/>
      <c r="L343" s="175" t="s">
        <v>255</v>
      </c>
      <c r="M343" s="176">
        <f ca="1">IF($D343&lt;&gt;"Serviço","",IF(AUTOEVENTO="manual",$A343,IF(ISERROR(MATCH($A343,$A$15:OFFSET($A343,-1,0),0)),MAX($M$15:OFFSET(M343,-1,0))+1,INDEX($M$15:OFFSET(M343,-1,0),MATCH($A343,$A$15:OFFSET($A343,-1,0),0)))))</f>
        <v>15</v>
      </c>
      <c r="N343" s="177" t="str">
        <f ca="1">IF($D343&lt;&gt;"Serviço","",IF(AUTOEVENTO="Manual",IF($A343=0,"&lt;-- defina o número do agrupador",OFFSET(EVENTOS!$D$14,$A343,0)),OFFSET($F$15,$A343,0)))</f>
        <v>INSTALAÇÕES DE ESGOTO SANITÁRIO</v>
      </c>
      <c r="O343" s="178"/>
      <c r="Q343" s="178"/>
      <c r="R343" s="179"/>
      <c r="S343" s="179"/>
      <c r="T343" s="179"/>
      <c r="U343" s="179"/>
      <c r="V343" s="179"/>
      <c r="W343" s="179"/>
      <c r="X343" s="179"/>
      <c r="Y343" s="179"/>
      <c r="Z343" s="180"/>
      <c r="AB343" s="544">
        <f ca="1">IF(AND($D343="Serviço",AB$12&lt;&gt;0,$H343&gt;0,OR(AUTOEVENTO&lt;&gt;"manual",$M343&lt;&gt;1)),
IF(Import.TipoArredondamento&lt;&gt;"TransfereGOV",
ROUND(OFFSET($P343,0,AB$13),15-13*ORÇAMENTO!$AF$7)/$H343*OFFSET(ORÇAMENTO!$X$15,ROW(AB343)-ROW(AB$15),0),
ROUND(ROUND(OFFSET($P343,0,AB$13),15-13*ORÇAMENTO!$AF$7)*OFFSET(ORÇAMENTO!$W$15,ROW(AB343)-ROW(AB$15),0),15-13*ORÇAMENTO!$AF$11)),0)</f>
        <v>0</v>
      </c>
      <c r="AC343" s="545">
        <f ca="1">IF(AND($D343="Serviço",AC$12&lt;&gt;0,$H343&gt;0,OR(AUTOEVENTO&lt;&gt;"manual",$M343&lt;&gt;1)),
IF(Import.TipoArredondamento&lt;&gt;"TransfereGOV",
ROUND(OFFSET($P343,0,AC$13),15-13*ORÇAMENTO!$AF$7)/$H343*OFFSET(ORÇAMENTO!$X$15,ROW(AC343)-ROW(AC$15),0),
ROUND(ROUND(OFFSET($P343,0,AC$13),15-13*ORÇAMENTO!$AF$7)*OFFSET(ORÇAMENTO!$W$15,ROW(AC343)-ROW(AC$15),0),15-13*ORÇAMENTO!$AF$11)),0)</f>
        <v>0</v>
      </c>
      <c r="AD343" s="545">
        <f ca="1">IF(AND($D343="Serviço",AD$12&lt;&gt;0,$H343&gt;0,OR(AUTOEVENTO&lt;&gt;"manual",$M343&lt;&gt;1)),
IF(Import.TipoArredondamento&lt;&gt;"TransfereGOV",
ROUND(OFFSET($P343,0,AD$13),15-13*ORÇAMENTO!$AF$7)/$H343*OFFSET(ORÇAMENTO!$X$15,ROW(AD343)-ROW(AD$15),0),
ROUND(ROUND(OFFSET($P343,0,AD$13),15-13*ORÇAMENTO!$AF$7)*OFFSET(ORÇAMENTO!$W$15,ROW(AD343)-ROW(AD$15),0),15-13*ORÇAMENTO!$AF$11)),0)</f>
        <v>0</v>
      </c>
      <c r="AE343" s="545">
        <f ca="1">IF(AND($D343="Serviço",AE$12&lt;&gt;0,$H343&gt;0,OR(AUTOEVENTO&lt;&gt;"manual",$M343&lt;&gt;1)),
IF(Import.TipoArredondamento&lt;&gt;"TransfereGOV",
ROUND(OFFSET($P343,0,AE$13),15-13*ORÇAMENTO!$AF$7)/$H343*OFFSET(ORÇAMENTO!$X$15,ROW(AE343)-ROW(AE$15),0),
ROUND(ROUND(OFFSET($P343,0,AE$13),15-13*ORÇAMENTO!$AF$7)*OFFSET(ORÇAMENTO!$W$15,ROW(AE343)-ROW(AE$15),0),15-13*ORÇAMENTO!$AF$11)),0)</f>
        <v>0</v>
      </c>
      <c r="AF343" s="545">
        <f ca="1">IF(AND($D343="Serviço",AF$12&lt;&gt;0,$H343&gt;0,OR(AUTOEVENTO&lt;&gt;"manual",$M343&lt;&gt;1)),
IF(Import.TipoArredondamento&lt;&gt;"TransfereGOV",
ROUND(OFFSET($P343,0,AF$13),15-13*ORÇAMENTO!$AF$7)/$H343*OFFSET(ORÇAMENTO!$X$15,ROW(AF343)-ROW(AF$15),0),
ROUND(ROUND(OFFSET($P343,0,AF$13),15-13*ORÇAMENTO!$AF$7)*OFFSET(ORÇAMENTO!$W$15,ROW(AF343)-ROW(AF$15),0),15-13*ORÇAMENTO!$AF$11)),0)</f>
        <v>0</v>
      </c>
      <c r="AG343" s="545">
        <f ca="1">IF(AND($D343="Serviço",AG$12&lt;&gt;0,$H343&gt;0,OR(AUTOEVENTO&lt;&gt;"manual",$M343&lt;&gt;1)),
IF(Import.TipoArredondamento&lt;&gt;"TransfereGOV",
ROUND(OFFSET($P343,0,AG$13),15-13*ORÇAMENTO!$AF$7)/$H343*OFFSET(ORÇAMENTO!$X$15,ROW(AG343)-ROW(AG$15),0),
ROUND(ROUND(OFFSET($P343,0,AG$13),15-13*ORÇAMENTO!$AF$7)*OFFSET(ORÇAMENTO!$W$15,ROW(AG343)-ROW(AG$15),0),15-13*ORÇAMENTO!$AF$11)),0)</f>
        <v>0</v>
      </c>
      <c r="AH343" s="545">
        <f ca="1">IF(AND($D343="Serviço",AH$12&lt;&gt;0,$H343&gt;0,OR(AUTOEVENTO&lt;&gt;"manual",$M343&lt;&gt;1)),
IF(Import.TipoArredondamento&lt;&gt;"TransfereGOV",
ROUND(OFFSET($P343,0,AH$13),15-13*ORÇAMENTO!$AF$7)/$H343*OFFSET(ORÇAMENTO!$X$15,ROW(AH343)-ROW(AH$15),0),
ROUND(ROUND(OFFSET($P343,0,AH$13),15-13*ORÇAMENTO!$AF$7)*OFFSET(ORÇAMENTO!$W$15,ROW(AH343)-ROW(AH$15),0),15-13*ORÇAMENTO!$AF$11)),0)</f>
        <v>0</v>
      </c>
      <c r="AI343" s="545">
        <f ca="1">IF(AND($D343="Serviço",AI$12&lt;&gt;0,$H343&gt;0,OR(AUTOEVENTO&lt;&gt;"manual",$M343&lt;&gt;1)),
IF(Import.TipoArredondamento&lt;&gt;"TransfereGOV",
ROUND(OFFSET($P343,0,AI$13),15-13*ORÇAMENTO!$AF$7)/$H343*OFFSET(ORÇAMENTO!$X$15,ROW(AI343)-ROW(AI$15),0),
ROUND(ROUND(OFFSET($P343,0,AI$13),15-13*ORÇAMENTO!$AF$7)*OFFSET(ORÇAMENTO!$W$15,ROW(AI343)-ROW(AI$15),0),15-13*ORÇAMENTO!$AF$11)),0)</f>
        <v>0</v>
      </c>
      <c r="AJ343" s="545">
        <f ca="1">IF(AND($D343="Serviço",AJ$12&lt;&gt;0,$H343&gt;0,OR(AUTOEVENTO&lt;&gt;"manual",$M343&lt;&gt;1)),
IF(Import.TipoArredondamento&lt;&gt;"TransfereGOV",
ROUND(OFFSET($P343,0,AJ$13),15-13*ORÇAMENTO!$AF$7)/$H343*OFFSET(ORÇAMENTO!$X$15,ROW(AJ343)-ROW(AJ$15),0),
ROUND(ROUND(OFFSET($P343,0,AJ$13),15-13*ORÇAMENTO!$AF$7)*OFFSET(ORÇAMENTO!$W$15,ROW(AJ343)-ROW(AJ$15),0),15-13*ORÇAMENTO!$AF$11)),0)</f>
        <v>0</v>
      </c>
      <c r="AK343" s="546">
        <f ca="1">IF(AND($D343="Serviço",AK$12&lt;&gt;0,$H343&gt;0,OR(AUTOEVENTO&lt;&gt;"manual",$M343&lt;&gt;1)),
IF(Import.TipoArredondamento&lt;&gt;"TransfereGOV",
ROUND(OFFSET($P343,0,AK$13),15-13*ORÇAMENTO!$AF$7)/$H343*OFFSET(ORÇAMENTO!$X$15,ROW(AK343)-ROW(AK$15),0),
ROUND(ROUND(OFFSET($P343,0,AK$13),15-13*ORÇAMENTO!$AF$7)*OFFSET(ORÇAMENTO!$W$15,ROW(AK343)-ROW(AK$15),0),15-13*ORÇAMENTO!$AF$11)),0)</f>
        <v>0</v>
      </c>
      <c r="AM343" s="181">
        <f ca="1">IF($D343&lt;&gt;"Serviço",0,IF(AND(AUTOEVENTO="Manual",$M343=1),0,IF(OFFSET(CRONOPLE!$F$14,$M343,AM$13)="",10^12,OFFSET(CRONOPLE!$F$14,$M343,AM$13))))</f>
        <v>1000000000000</v>
      </c>
      <c r="AN343" s="181">
        <f ca="1">IF($D343&lt;&gt;"Serviço",0,IF(AND(AUTOEVENTO="Manual",$M343=1),0,IF(OFFSET(CRONOPLE!$F$14,$M343,AN$13)="",10^12,OFFSET(CRONOPLE!$F$14,$M343,AN$13))))</f>
        <v>1000000000000</v>
      </c>
      <c r="AO343" s="181">
        <f ca="1">IF($D343&lt;&gt;"Serviço",0,IF(AND(AUTOEVENTO="Manual",$M343=1),0,IF(OFFSET(CRONOPLE!$F$14,$M343,AO$13)="",10^12,OFFSET(CRONOPLE!$F$14,$M343,AO$13))))</f>
        <v>1000000000000</v>
      </c>
      <c r="AP343" s="181">
        <f ca="1">IF($D343&lt;&gt;"Serviço",0,IF(AND(AUTOEVENTO="Manual",$M343=1),0,IF(OFFSET(CRONOPLE!$F$14,$M343,AP$13)="",10^12,OFFSET(CRONOPLE!$F$14,$M343,AP$13))))</f>
        <v>1000000000000</v>
      </c>
      <c r="AQ343" s="181">
        <f ca="1">IF($D343&lt;&gt;"Serviço",0,IF(AND(AUTOEVENTO="Manual",$M343=1),0,IF(OFFSET(CRONOPLE!$F$14,$M343,AQ$13)="",10^12,OFFSET(CRONOPLE!$F$14,$M343,AQ$13))))</f>
        <v>1000000000000</v>
      </c>
      <c r="AR343" s="181">
        <f ca="1">IF($D343&lt;&gt;"Serviço",0,IF(AND(AUTOEVENTO="Manual",$M343=1),0,IF(OFFSET(CRONOPLE!$F$14,$M343,AR$13)="",10^12,OFFSET(CRONOPLE!$F$14,$M343,AR$13))))</f>
        <v>1000000000000</v>
      </c>
      <c r="AS343" s="181">
        <f ca="1">IF($D343&lt;&gt;"Serviço",0,IF(AND(AUTOEVENTO="Manual",$M343=1),0,IF(OFFSET(CRONOPLE!$F$14,$M343,AS$13)="",10^12,OFFSET(CRONOPLE!$F$14,$M343,AS$13))))</f>
        <v>1000000000000</v>
      </c>
      <c r="AT343" s="181">
        <f ca="1">IF($D343&lt;&gt;"Serviço",0,IF(AND(AUTOEVENTO="Manual",$M343=1),0,IF(OFFSET(CRONOPLE!$F$14,$M343,AT$13)="",10^12,OFFSET(CRONOPLE!$F$14,$M343,AT$13))))</f>
        <v>1000000000000</v>
      </c>
      <c r="AU343" s="181">
        <f ca="1">IF($D343&lt;&gt;"Serviço",0,IF(AND(AUTOEVENTO="Manual",$M343=1),0,IF(OFFSET(CRONOPLE!$F$14,$M343,AU$13)="",10^12,OFFSET(CRONOPLE!$F$14,$M343,AU$13))))</f>
        <v>1000000000000</v>
      </c>
      <c r="AV343" s="181">
        <f ca="1">IF($D343&lt;&gt;"Serviço",0,IF(AND(AUTOEVENTO="Manual",$M343=1),0,IF(OFFSET(CRONOPLE!$F$14,$M343,AV$13)="",10^12,OFFSET(CRONOPLE!$F$14,$M343,AV$13))))</f>
        <v>1000000000000</v>
      </c>
      <c r="AX343" s="182">
        <f ca="1">IF($D343&lt;&gt;"Serviço",0,IF(OR(AND(AUTOEVENTO="Manual",$M343=1),$M343&gt;(ROW(PLE.lastrow)-ROW(PLE.firstrow))),0,IF(OFFSET(PLE!$G$14,$M343,AX$13)="",10^12,OFFSET(PLE!$G$14,$M343,AX$13))))</f>
        <v>1000000000000</v>
      </c>
      <c r="AY343" s="182">
        <f ca="1">IF($D343&lt;&gt;"Serviço",0,IF(OR(AND(AUTOEVENTO="Manual",$M343=1),$M343&gt;(ROW(PLE.lastrow)-ROW(PLE.firstrow))),0,IF(OFFSET(PLE!$G$14,$M343,AY$13)="",10^12,OFFSET(PLE!$G$14,$M343,AY$13))))</f>
        <v>1000000000000</v>
      </c>
      <c r="AZ343" s="182">
        <f ca="1">IF($D343&lt;&gt;"Serviço",0,IF(OR(AND(AUTOEVENTO="Manual",$M343=1),$M343&gt;(ROW(PLE.lastrow)-ROW(PLE.firstrow))),0,IF(OFFSET(PLE!$G$14,$M343,AZ$13)="",10^12,OFFSET(PLE!$G$14,$M343,AZ$13))))</f>
        <v>1000000000000</v>
      </c>
      <c r="BA343" s="182">
        <f ca="1">IF($D343&lt;&gt;"Serviço",0,IF(OR(AND(AUTOEVENTO="Manual",$M343=1),$M343&gt;(ROW(PLE.lastrow)-ROW(PLE.firstrow))),0,IF(OFFSET(PLE!$G$14,$M343,BA$13)="",10^12,OFFSET(PLE!$G$14,$M343,BA$13))))</f>
        <v>1000000000000</v>
      </c>
      <c r="BB343" s="182">
        <f ca="1">IF($D343&lt;&gt;"Serviço",0,IF(OR(AND(AUTOEVENTO="Manual",$M343=1),$M343&gt;(ROW(PLE.lastrow)-ROW(PLE.firstrow))),0,IF(OFFSET(PLE!$G$14,$M343,BB$13)="",10^12,OFFSET(PLE!$G$14,$M343,BB$13))))</f>
        <v>1000000000000</v>
      </c>
      <c r="BC343" s="182">
        <f ca="1">IF($D343&lt;&gt;"Serviço",0,IF(OR(AND(AUTOEVENTO="Manual",$M343=1),$M343&gt;(ROW(PLE.lastrow)-ROW(PLE.firstrow))),0,IF(OFFSET(PLE!$G$14,$M343,BC$13)="",10^12,OFFSET(PLE!$G$14,$M343,BC$13))))</f>
        <v>1000000000000</v>
      </c>
      <c r="BD343" s="182">
        <f ca="1">IF($D343&lt;&gt;"Serviço",0,IF(OR(AND(AUTOEVENTO="Manual",$M343=1),$M343&gt;(ROW(PLE.lastrow)-ROW(PLE.firstrow))),0,IF(OFFSET(PLE!$G$14,$M343,BD$13)="",10^12,OFFSET(PLE!$G$14,$M343,BD$13))))</f>
        <v>1000000000000</v>
      </c>
      <c r="BE343" s="182">
        <f ca="1">IF($D343&lt;&gt;"Serviço",0,IF(OR(AND(AUTOEVENTO="Manual",$M343=1),$M343&gt;(ROW(PLE.lastrow)-ROW(PLE.firstrow))),0,IF(OFFSET(PLE!$G$14,$M343,BE$13)="",10^12,OFFSET(PLE!$G$14,$M343,BE$13))))</f>
        <v>1000000000000</v>
      </c>
      <c r="BF343" s="182">
        <f ca="1">IF($D343&lt;&gt;"Serviço",0,IF(OR(AND(AUTOEVENTO="Manual",$M343=1),$M343&gt;(ROW(PLE.lastrow)-ROW(PLE.firstrow))),0,IF(OFFSET(PLE!$G$14,$M343,BF$13)="",10^12,OFFSET(PLE!$G$14,$M343,BF$13))))</f>
        <v>1000000000000</v>
      </c>
      <c r="BG343" s="182">
        <f ca="1">IF($D343&lt;&gt;"Serviço",0,IF(OR(AND(AUTOEVENTO="Manual",$M343=1),$M343&gt;(ROW(PLE.lastrow)-ROW(PLE.firstrow))),0,IF(OFFSET(PLE!$G$14,$M343,BG$13)="",10^12,OFFSET(PLE!$G$14,$M343,BG$13))))</f>
        <v>1000000000000</v>
      </c>
    </row>
    <row r="344" spans="1:59" ht="38.25" x14ac:dyDescent="0.2">
      <c r="A344" s="7" t="str">
        <f t="shared" ca="1" si="11"/>
        <v>325</v>
      </c>
      <c r="B344" s="7" t="str">
        <f ca="1">OFFSET(ORÇAMENTO!C$15,ROW(B344)-ROW(B$15),0)</f>
        <v>S</v>
      </c>
      <c r="C344" s="7" t="str">
        <f ca="1">OFFSET(ORÇAMENTO!L$15,ROW(C344)-ROW(C$15),0)</f>
        <v/>
      </c>
      <c r="D344" s="118" t="str">
        <f ca="1">OFFSET(ORÇAMENTO!N$15,ROW(D344)-ROW(D$15),0)</f>
        <v>Serviço</v>
      </c>
      <c r="E344" s="119" t="str">
        <f ca="1">OFFSET(ORÇAMENTO!O$15,ROW(E344)-ROW(E$15),0)</f>
        <v>-</v>
      </c>
      <c r="F344" s="172" t="str">
        <f ca="1">OFFSET(ORÇAMENTO!R$15,ROW(F344)-ROW(F$15),0)</f>
        <v>(abra o arquivo 'Referência 02-2025.xlsm)</v>
      </c>
      <c r="G344" s="173" t="str">
        <f ca="1">IF($D344&lt;&gt;"Serviço","",OFFSET(ORÇAMENTO!S$15,ROW(G344)-ROW(G$15),0))</f>
        <v>-</v>
      </c>
      <c r="H344" s="124">
        <f ca="1">IF($D344&lt;&gt;"Serviço",0,IF(ACOMPANHAMENTO="BM",ROUND(OFFSET(ORÇAMENTO!AJ$15,ROW(H344)-ROW(H$15),0),15-13*ORÇAMENTO!$AF$7),SUMPRODUCT(($Q$12:$AA$12&lt;&gt;"")*ROUND($Q344:$AA344,15-13*ORÇAMENTO!$AF$7))))</f>
        <v>21.1</v>
      </c>
      <c r="I344" s="561" t="s">
        <v>890</v>
      </c>
      <c r="K344" s="174"/>
      <c r="L344" s="175" t="s">
        <v>255</v>
      </c>
      <c r="M344" s="176">
        <f ca="1">IF($D344&lt;&gt;"Serviço","",IF(AUTOEVENTO="manual",$A344,IF(ISERROR(MATCH($A344,$A$15:OFFSET($A344,-1,0),0)),MAX($M$15:OFFSET(M344,-1,0))+1,INDEX($M$15:OFFSET(M344,-1,0),MATCH($A344,$A$15:OFFSET($A344,-1,0),0)))))</f>
        <v>15</v>
      </c>
      <c r="N344" s="177" t="str">
        <f ca="1">IF($D344&lt;&gt;"Serviço","",IF(AUTOEVENTO="Manual",IF($A344=0,"&lt;-- defina o número do agrupador",OFFSET(EVENTOS!$D$14,$A344,0)),OFFSET($F$15,$A344,0)))</f>
        <v>INSTALAÇÕES DE ESGOTO SANITÁRIO</v>
      </c>
      <c r="O344" s="178"/>
      <c r="Q344" s="178"/>
      <c r="R344" s="179"/>
      <c r="S344" s="179"/>
      <c r="T344" s="179"/>
      <c r="U344" s="179"/>
      <c r="V344" s="179"/>
      <c r="W344" s="179"/>
      <c r="X344" s="179"/>
      <c r="Y344" s="179"/>
      <c r="Z344" s="180"/>
      <c r="AB344" s="544">
        <f ca="1">IF(AND($D344="Serviço",AB$12&lt;&gt;0,$H344&gt;0,OR(AUTOEVENTO&lt;&gt;"manual",$M344&lt;&gt;1)),
IF(Import.TipoArredondamento&lt;&gt;"TransfereGOV",
ROUND(OFFSET($P344,0,AB$13),15-13*ORÇAMENTO!$AF$7)/$H344*OFFSET(ORÇAMENTO!$X$15,ROW(AB344)-ROW(AB$15),0),
ROUND(ROUND(OFFSET($P344,0,AB$13),15-13*ORÇAMENTO!$AF$7)*OFFSET(ORÇAMENTO!$W$15,ROW(AB344)-ROW(AB$15),0),15-13*ORÇAMENTO!$AF$11)),0)</f>
        <v>0</v>
      </c>
      <c r="AC344" s="545">
        <f ca="1">IF(AND($D344="Serviço",AC$12&lt;&gt;0,$H344&gt;0,OR(AUTOEVENTO&lt;&gt;"manual",$M344&lt;&gt;1)),
IF(Import.TipoArredondamento&lt;&gt;"TransfereGOV",
ROUND(OFFSET($P344,0,AC$13),15-13*ORÇAMENTO!$AF$7)/$H344*OFFSET(ORÇAMENTO!$X$15,ROW(AC344)-ROW(AC$15),0),
ROUND(ROUND(OFFSET($P344,0,AC$13),15-13*ORÇAMENTO!$AF$7)*OFFSET(ORÇAMENTO!$W$15,ROW(AC344)-ROW(AC$15),0),15-13*ORÇAMENTO!$AF$11)),0)</f>
        <v>0</v>
      </c>
      <c r="AD344" s="545">
        <f ca="1">IF(AND($D344="Serviço",AD$12&lt;&gt;0,$H344&gt;0,OR(AUTOEVENTO&lt;&gt;"manual",$M344&lt;&gt;1)),
IF(Import.TipoArredondamento&lt;&gt;"TransfereGOV",
ROUND(OFFSET($P344,0,AD$13),15-13*ORÇAMENTO!$AF$7)/$H344*OFFSET(ORÇAMENTO!$X$15,ROW(AD344)-ROW(AD$15),0),
ROUND(ROUND(OFFSET($P344,0,AD$13),15-13*ORÇAMENTO!$AF$7)*OFFSET(ORÇAMENTO!$W$15,ROW(AD344)-ROW(AD$15),0),15-13*ORÇAMENTO!$AF$11)),0)</f>
        <v>0</v>
      </c>
      <c r="AE344" s="545">
        <f ca="1">IF(AND($D344="Serviço",AE$12&lt;&gt;0,$H344&gt;0,OR(AUTOEVENTO&lt;&gt;"manual",$M344&lt;&gt;1)),
IF(Import.TipoArredondamento&lt;&gt;"TransfereGOV",
ROUND(OFFSET($P344,0,AE$13),15-13*ORÇAMENTO!$AF$7)/$H344*OFFSET(ORÇAMENTO!$X$15,ROW(AE344)-ROW(AE$15),0),
ROUND(ROUND(OFFSET($P344,0,AE$13),15-13*ORÇAMENTO!$AF$7)*OFFSET(ORÇAMENTO!$W$15,ROW(AE344)-ROW(AE$15),0),15-13*ORÇAMENTO!$AF$11)),0)</f>
        <v>0</v>
      </c>
      <c r="AF344" s="545">
        <f ca="1">IF(AND($D344="Serviço",AF$12&lt;&gt;0,$H344&gt;0,OR(AUTOEVENTO&lt;&gt;"manual",$M344&lt;&gt;1)),
IF(Import.TipoArredondamento&lt;&gt;"TransfereGOV",
ROUND(OFFSET($P344,0,AF$13),15-13*ORÇAMENTO!$AF$7)/$H344*OFFSET(ORÇAMENTO!$X$15,ROW(AF344)-ROW(AF$15),0),
ROUND(ROUND(OFFSET($P344,0,AF$13),15-13*ORÇAMENTO!$AF$7)*OFFSET(ORÇAMENTO!$W$15,ROW(AF344)-ROW(AF$15),0),15-13*ORÇAMENTO!$AF$11)),0)</f>
        <v>0</v>
      </c>
      <c r="AG344" s="545">
        <f ca="1">IF(AND($D344="Serviço",AG$12&lt;&gt;0,$H344&gt;0,OR(AUTOEVENTO&lt;&gt;"manual",$M344&lt;&gt;1)),
IF(Import.TipoArredondamento&lt;&gt;"TransfereGOV",
ROUND(OFFSET($P344,0,AG$13),15-13*ORÇAMENTO!$AF$7)/$H344*OFFSET(ORÇAMENTO!$X$15,ROW(AG344)-ROW(AG$15),0),
ROUND(ROUND(OFFSET($P344,0,AG$13),15-13*ORÇAMENTO!$AF$7)*OFFSET(ORÇAMENTO!$W$15,ROW(AG344)-ROW(AG$15),0),15-13*ORÇAMENTO!$AF$11)),0)</f>
        <v>0</v>
      </c>
      <c r="AH344" s="545">
        <f ca="1">IF(AND($D344="Serviço",AH$12&lt;&gt;0,$H344&gt;0,OR(AUTOEVENTO&lt;&gt;"manual",$M344&lt;&gt;1)),
IF(Import.TipoArredondamento&lt;&gt;"TransfereGOV",
ROUND(OFFSET($P344,0,AH$13),15-13*ORÇAMENTO!$AF$7)/$H344*OFFSET(ORÇAMENTO!$X$15,ROW(AH344)-ROW(AH$15),0),
ROUND(ROUND(OFFSET($P344,0,AH$13),15-13*ORÇAMENTO!$AF$7)*OFFSET(ORÇAMENTO!$W$15,ROW(AH344)-ROW(AH$15),0),15-13*ORÇAMENTO!$AF$11)),0)</f>
        <v>0</v>
      </c>
      <c r="AI344" s="545">
        <f ca="1">IF(AND($D344="Serviço",AI$12&lt;&gt;0,$H344&gt;0,OR(AUTOEVENTO&lt;&gt;"manual",$M344&lt;&gt;1)),
IF(Import.TipoArredondamento&lt;&gt;"TransfereGOV",
ROUND(OFFSET($P344,0,AI$13),15-13*ORÇAMENTO!$AF$7)/$H344*OFFSET(ORÇAMENTO!$X$15,ROW(AI344)-ROW(AI$15),0),
ROUND(ROUND(OFFSET($P344,0,AI$13),15-13*ORÇAMENTO!$AF$7)*OFFSET(ORÇAMENTO!$W$15,ROW(AI344)-ROW(AI$15),0),15-13*ORÇAMENTO!$AF$11)),0)</f>
        <v>0</v>
      </c>
      <c r="AJ344" s="545">
        <f ca="1">IF(AND($D344="Serviço",AJ$12&lt;&gt;0,$H344&gt;0,OR(AUTOEVENTO&lt;&gt;"manual",$M344&lt;&gt;1)),
IF(Import.TipoArredondamento&lt;&gt;"TransfereGOV",
ROUND(OFFSET($P344,0,AJ$13),15-13*ORÇAMENTO!$AF$7)/$H344*OFFSET(ORÇAMENTO!$X$15,ROW(AJ344)-ROW(AJ$15),0),
ROUND(ROUND(OFFSET($P344,0,AJ$13),15-13*ORÇAMENTO!$AF$7)*OFFSET(ORÇAMENTO!$W$15,ROW(AJ344)-ROW(AJ$15),0),15-13*ORÇAMENTO!$AF$11)),0)</f>
        <v>0</v>
      </c>
      <c r="AK344" s="546">
        <f ca="1">IF(AND($D344="Serviço",AK$12&lt;&gt;0,$H344&gt;0,OR(AUTOEVENTO&lt;&gt;"manual",$M344&lt;&gt;1)),
IF(Import.TipoArredondamento&lt;&gt;"TransfereGOV",
ROUND(OFFSET($P344,0,AK$13),15-13*ORÇAMENTO!$AF$7)/$H344*OFFSET(ORÇAMENTO!$X$15,ROW(AK344)-ROW(AK$15),0),
ROUND(ROUND(OFFSET($P344,0,AK$13),15-13*ORÇAMENTO!$AF$7)*OFFSET(ORÇAMENTO!$W$15,ROW(AK344)-ROW(AK$15),0),15-13*ORÇAMENTO!$AF$11)),0)</f>
        <v>0</v>
      </c>
      <c r="AM344" s="181">
        <f ca="1">IF($D344&lt;&gt;"Serviço",0,IF(AND(AUTOEVENTO="Manual",$M344=1),0,IF(OFFSET(CRONOPLE!$F$14,$M344,AM$13)="",10^12,OFFSET(CRONOPLE!$F$14,$M344,AM$13))))</f>
        <v>1000000000000</v>
      </c>
      <c r="AN344" s="181">
        <f ca="1">IF($D344&lt;&gt;"Serviço",0,IF(AND(AUTOEVENTO="Manual",$M344=1),0,IF(OFFSET(CRONOPLE!$F$14,$M344,AN$13)="",10^12,OFFSET(CRONOPLE!$F$14,$M344,AN$13))))</f>
        <v>1000000000000</v>
      </c>
      <c r="AO344" s="181">
        <f ca="1">IF($D344&lt;&gt;"Serviço",0,IF(AND(AUTOEVENTO="Manual",$M344=1),0,IF(OFFSET(CRONOPLE!$F$14,$M344,AO$13)="",10^12,OFFSET(CRONOPLE!$F$14,$M344,AO$13))))</f>
        <v>1000000000000</v>
      </c>
      <c r="AP344" s="181">
        <f ca="1">IF($D344&lt;&gt;"Serviço",0,IF(AND(AUTOEVENTO="Manual",$M344=1),0,IF(OFFSET(CRONOPLE!$F$14,$M344,AP$13)="",10^12,OFFSET(CRONOPLE!$F$14,$M344,AP$13))))</f>
        <v>1000000000000</v>
      </c>
      <c r="AQ344" s="181">
        <f ca="1">IF($D344&lt;&gt;"Serviço",0,IF(AND(AUTOEVENTO="Manual",$M344=1),0,IF(OFFSET(CRONOPLE!$F$14,$M344,AQ$13)="",10^12,OFFSET(CRONOPLE!$F$14,$M344,AQ$13))))</f>
        <v>1000000000000</v>
      </c>
      <c r="AR344" s="181">
        <f ca="1">IF($D344&lt;&gt;"Serviço",0,IF(AND(AUTOEVENTO="Manual",$M344=1),0,IF(OFFSET(CRONOPLE!$F$14,$M344,AR$13)="",10^12,OFFSET(CRONOPLE!$F$14,$M344,AR$13))))</f>
        <v>1000000000000</v>
      </c>
      <c r="AS344" s="181">
        <f ca="1">IF($D344&lt;&gt;"Serviço",0,IF(AND(AUTOEVENTO="Manual",$M344=1),0,IF(OFFSET(CRONOPLE!$F$14,$M344,AS$13)="",10^12,OFFSET(CRONOPLE!$F$14,$M344,AS$13))))</f>
        <v>1000000000000</v>
      </c>
      <c r="AT344" s="181">
        <f ca="1">IF($D344&lt;&gt;"Serviço",0,IF(AND(AUTOEVENTO="Manual",$M344=1),0,IF(OFFSET(CRONOPLE!$F$14,$M344,AT$13)="",10^12,OFFSET(CRONOPLE!$F$14,$M344,AT$13))))</f>
        <v>1000000000000</v>
      </c>
      <c r="AU344" s="181">
        <f ca="1">IF($D344&lt;&gt;"Serviço",0,IF(AND(AUTOEVENTO="Manual",$M344=1),0,IF(OFFSET(CRONOPLE!$F$14,$M344,AU$13)="",10^12,OFFSET(CRONOPLE!$F$14,$M344,AU$13))))</f>
        <v>1000000000000</v>
      </c>
      <c r="AV344" s="181">
        <f ca="1">IF($D344&lt;&gt;"Serviço",0,IF(AND(AUTOEVENTO="Manual",$M344=1),0,IF(OFFSET(CRONOPLE!$F$14,$M344,AV$13)="",10^12,OFFSET(CRONOPLE!$F$14,$M344,AV$13))))</f>
        <v>1000000000000</v>
      </c>
      <c r="AX344" s="182">
        <f ca="1">IF($D344&lt;&gt;"Serviço",0,IF(OR(AND(AUTOEVENTO="Manual",$M344=1),$M344&gt;(ROW(PLE.lastrow)-ROW(PLE.firstrow))),0,IF(OFFSET(PLE!$G$14,$M344,AX$13)="",10^12,OFFSET(PLE!$G$14,$M344,AX$13))))</f>
        <v>1000000000000</v>
      </c>
      <c r="AY344" s="182">
        <f ca="1">IF($D344&lt;&gt;"Serviço",0,IF(OR(AND(AUTOEVENTO="Manual",$M344=1),$M344&gt;(ROW(PLE.lastrow)-ROW(PLE.firstrow))),0,IF(OFFSET(PLE!$G$14,$M344,AY$13)="",10^12,OFFSET(PLE!$G$14,$M344,AY$13))))</f>
        <v>1000000000000</v>
      </c>
      <c r="AZ344" s="182">
        <f ca="1">IF($D344&lt;&gt;"Serviço",0,IF(OR(AND(AUTOEVENTO="Manual",$M344=1),$M344&gt;(ROW(PLE.lastrow)-ROW(PLE.firstrow))),0,IF(OFFSET(PLE!$G$14,$M344,AZ$13)="",10^12,OFFSET(PLE!$G$14,$M344,AZ$13))))</f>
        <v>1000000000000</v>
      </c>
      <c r="BA344" s="182">
        <f ca="1">IF($D344&lt;&gt;"Serviço",0,IF(OR(AND(AUTOEVENTO="Manual",$M344=1),$M344&gt;(ROW(PLE.lastrow)-ROW(PLE.firstrow))),0,IF(OFFSET(PLE!$G$14,$M344,BA$13)="",10^12,OFFSET(PLE!$G$14,$M344,BA$13))))</f>
        <v>1000000000000</v>
      </c>
      <c r="BB344" s="182">
        <f ca="1">IF($D344&lt;&gt;"Serviço",0,IF(OR(AND(AUTOEVENTO="Manual",$M344=1),$M344&gt;(ROW(PLE.lastrow)-ROW(PLE.firstrow))),0,IF(OFFSET(PLE!$G$14,$M344,BB$13)="",10^12,OFFSET(PLE!$G$14,$M344,BB$13))))</f>
        <v>1000000000000</v>
      </c>
      <c r="BC344" s="182">
        <f ca="1">IF($D344&lt;&gt;"Serviço",0,IF(OR(AND(AUTOEVENTO="Manual",$M344=1),$M344&gt;(ROW(PLE.lastrow)-ROW(PLE.firstrow))),0,IF(OFFSET(PLE!$G$14,$M344,BC$13)="",10^12,OFFSET(PLE!$G$14,$M344,BC$13))))</f>
        <v>1000000000000</v>
      </c>
      <c r="BD344" s="182">
        <f ca="1">IF($D344&lt;&gt;"Serviço",0,IF(OR(AND(AUTOEVENTO="Manual",$M344=1),$M344&gt;(ROW(PLE.lastrow)-ROW(PLE.firstrow))),0,IF(OFFSET(PLE!$G$14,$M344,BD$13)="",10^12,OFFSET(PLE!$G$14,$M344,BD$13))))</f>
        <v>1000000000000</v>
      </c>
      <c r="BE344" s="182">
        <f ca="1">IF($D344&lt;&gt;"Serviço",0,IF(OR(AND(AUTOEVENTO="Manual",$M344=1),$M344&gt;(ROW(PLE.lastrow)-ROW(PLE.firstrow))),0,IF(OFFSET(PLE!$G$14,$M344,BE$13)="",10^12,OFFSET(PLE!$G$14,$M344,BE$13))))</f>
        <v>1000000000000</v>
      </c>
      <c r="BF344" s="182">
        <f ca="1">IF($D344&lt;&gt;"Serviço",0,IF(OR(AND(AUTOEVENTO="Manual",$M344=1),$M344&gt;(ROW(PLE.lastrow)-ROW(PLE.firstrow))),0,IF(OFFSET(PLE!$G$14,$M344,BF$13)="",10^12,OFFSET(PLE!$G$14,$M344,BF$13))))</f>
        <v>1000000000000</v>
      </c>
      <c r="BG344" s="182">
        <f ca="1">IF($D344&lt;&gt;"Serviço",0,IF(OR(AND(AUTOEVENTO="Manual",$M344=1),$M344&gt;(ROW(PLE.lastrow)-ROW(PLE.firstrow))),0,IF(OFFSET(PLE!$G$14,$M344,BG$13)="",10^12,OFFSET(PLE!$G$14,$M344,BG$13))))</f>
        <v>1000000000000</v>
      </c>
    </row>
    <row r="345" spans="1:59" ht="38.25" x14ac:dyDescent="0.2">
      <c r="A345" s="7" t="str">
        <f t="shared" ca="1" si="11"/>
        <v>325</v>
      </c>
      <c r="B345" s="7" t="str">
        <f ca="1">OFFSET(ORÇAMENTO!C$15,ROW(B345)-ROW(B$15),0)</f>
        <v>S</v>
      </c>
      <c r="C345" s="7" t="str">
        <f ca="1">OFFSET(ORÇAMENTO!L$15,ROW(C345)-ROW(C$15),0)</f>
        <v/>
      </c>
      <c r="D345" s="118" t="str">
        <f ca="1">OFFSET(ORÇAMENTO!N$15,ROW(D345)-ROW(D$15),0)</f>
        <v>Serviço</v>
      </c>
      <c r="E345" s="119" t="str">
        <f ca="1">OFFSET(ORÇAMENTO!O$15,ROW(E345)-ROW(E$15),0)</f>
        <v>-</v>
      </c>
      <c r="F345" s="172" t="str">
        <f ca="1">OFFSET(ORÇAMENTO!R$15,ROW(F345)-ROW(F$15),0)</f>
        <v>(abra o arquivo 'Referência 02-2025.xlsm)</v>
      </c>
      <c r="G345" s="173" t="str">
        <f ca="1">IF($D345&lt;&gt;"Serviço","",OFFSET(ORÇAMENTO!S$15,ROW(G345)-ROW(G$15),0))</f>
        <v>-</v>
      </c>
      <c r="H345" s="124">
        <f ca="1">IF($D345&lt;&gt;"Serviço",0,IF(ACOMPANHAMENTO="BM",ROUND(OFFSET(ORÇAMENTO!AJ$15,ROW(H345)-ROW(H$15),0),15-13*ORÇAMENTO!$AF$7),SUMPRODUCT(($Q$12:$AA$12&lt;&gt;"")*ROUND($Q345:$AA345,15-13*ORÇAMENTO!$AF$7))))</f>
        <v>252.1</v>
      </c>
      <c r="I345" s="561" t="s">
        <v>890</v>
      </c>
      <c r="K345" s="174"/>
      <c r="L345" s="175" t="s">
        <v>255</v>
      </c>
      <c r="M345" s="176">
        <f ca="1">IF($D345&lt;&gt;"Serviço","",IF(AUTOEVENTO="manual",$A345,IF(ISERROR(MATCH($A345,$A$15:OFFSET($A345,-1,0),0)),MAX($M$15:OFFSET(M345,-1,0))+1,INDEX($M$15:OFFSET(M345,-1,0),MATCH($A345,$A$15:OFFSET($A345,-1,0),0)))))</f>
        <v>15</v>
      </c>
      <c r="N345" s="177" t="str">
        <f ca="1">IF($D345&lt;&gt;"Serviço","",IF(AUTOEVENTO="Manual",IF($A345=0,"&lt;-- defina o número do agrupador",OFFSET(EVENTOS!$D$14,$A345,0)),OFFSET($F$15,$A345,0)))</f>
        <v>INSTALAÇÕES DE ESGOTO SANITÁRIO</v>
      </c>
      <c r="O345" s="178"/>
      <c r="Q345" s="178"/>
      <c r="R345" s="179"/>
      <c r="S345" s="179"/>
      <c r="T345" s="179"/>
      <c r="U345" s="179"/>
      <c r="V345" s="179"/>
      <c r="W345" s="179"/>
      <c r="X345" s="179"/>
      <c r="Y345" s="179"/>
      <c r="Z345" s="180"/>
      <c r="AB345" s="544">
        <f ca="1">IF(AND($D345="Serviço",AB$12&lt;&gt;0,$H345&gt;0,OR(AUTOEVENTO&lt;&gt;"manual",$M345&lt;&gt;1)),
IF(Import.TipoArredondamento&lt;&gt;"TransfereGOV",
ROUND(OFFSET($P345,0,AB$13),15-13*ORÇAMENTO!$AF$7)/$H345*OFFSET(ORÇAMENTO!$X$15,ROW(AB345)-ROW(AB$15),0),
ROUND(ROUND(OFFSET($P345,0,AB$13),15-13*ORÇAMENTO!$AF$7)*OFFSET(ORÇAMENTO!$W$15,ROW(AB345)-ROW(AB$15),0),15-13*ORÇAMENTO!$AF$11)),0)</f>
        <v>0</v>
      </c>
      <c r="AC345" s="545">
        <f ca="1">IF(AND($D345="Serviço",AC$12&lt;&gt;0,$H345&gt;0,OR(AUTOEVENTO&lt;&gt;"manual",$M345&lt;&gt;1)),
IF(Import.TipoArredondamento&lt;&gt;"TransfereGOV",
ROUND(OFFSET($P345,0,AC$13),15-13*ORÇAMENTO!$AF$7)/$H345*OFFSET(ORÇAMENTO!$X$15,ROW(AC345)-ROW(AC$15),0),
ROUND(ROUND(OFFSET($P345,0,AC$13),15-13*ORÇAMENTO!$AF$7)*OFFSET(ORÇAMENTO!$W$15,ROW(AC345)-ROW(AC$15),0),15-13*ORÇAMENTO!$AF$11)),0)</f>
        <v>0</v>
      </c>
      <c r="AD345" s="545">
        <f ca="1">IF(AND($D345="Serviço",AD$12&lt;&gt;0,$H345&gt;0,OR(AUTOEVENTO&lt;&gt;"manual",$M345&lt;&gt;1)),
IF(Import.TipoArredondamento&lt;&gt;"TransfereGOV",
ROUND(OFFSET($P345,0,AD$13),15-13*ORÇAMENTO!$AF$7)/$H345*OFFSET(ORÇAMENTO!$X$15,ROW(AD345)-ROW(AD$15),0),
ROUND(ROUND(OFFSET($P345,0,AD$13),15-13*ORÇAMENTO!$AF$7)*OFFSET(ORÇAMENTO!$W$15,ROW(AD345)-ROW(AD$15),0),15-13*ORÇAMENTO!$AF$11)),0)</f>
        <v>0</v>
      </c>
      <c r="AE345" s="545">
        <f ca="1">IF(AND($D345="Serviço",AE$12&lt;&gt;0,$H345&gt;0,OR(AUTOEVENTO&lt;&gt;"manual",$M345&lt;&gt;1)),
IF(Import.TipoArredondamento&lt;&gt;"TransfereGOV",
ROUND(OFFSET($P345,0,AE$13),15-13*ORÇAMENTO!$AF$7)/$H345*OFFSET(ORÇAMENTO!$X$15,ROW(AE345)-ROW(AE$15),0),
ROUND(ROUND(OFFSET($P345,0,AE$13),15-13*ORÇAMENTO!$AF$7)*OFFSET(ORÇAMENTO!$W$15,ROW(AE345)-ROW(AE$15),0),15-13*ORÇAMENTO!$AF$11)),0)</f>
        <v>0</v>
      </c>
      <c r="AF345" s="545">
        <f ca="1">IF(AND($D345="Serviço",AF$12&lt;&gt;0,$H345&gt;0,OR(AUTOEVENTO&lt;&gt;"manual",$M345&lt;&gt;1)),
IF(Import.TipoArredondamento&lt;&gt;"TransfereGOV",
ROUND(OFFSET($P345,0,AF$13),15-13*ORÇAMENTO!$AF$7)/$H345*OFFSET(ORÇAMENTO!$X$15,ROW(AF345)-ROW(AF$15),0),
ROUND(ROUND(OFFSET($P345,0,AF$13),15-13*ORÇAMENTO!$AF$7)*OFFSET(ORÇAMENTO!$W$15,ROW(AF345)-ROW(AF$15),0),15-13*ORÇAMENTO!$AF$11)),0)</f>
        <v>0</v>
      </c>
      <c r="AG345" s="545">
        <f ca="1">IF(AND($D345="Serviço",AG$12&lt;&gt;0,$H345&gt;0,OR(AUTOEVENTO&lt;&gt;"manual",$M345&lt;&gt;1)),
IF(Import.TipoArredondamento&lt;&gt;"TransfereGOV",
ROUND(OFFSET($P345,0,AG$13),15-13*ORÇAMENTO!$AF$7)/$H345*OFFSET(ORÇAMENTO!$X$15,ROW(AG345)-ROW(AG$15),0),
ROUND(ROUND(OFFSET($P345,0,AG$13),15-13*ORÇAMENTO!$AF$7)*OFFSET(ORÇAMENTO!$W$15,ROW(AG345)-ROW(AG$15),0),15-13*ORÇAMENTO!$AF$11)),0)</f>
        <v>0</v>
      </c>
      <c r="AH345" s="545">
        <f ca="1">IF(AND($D345="Serviço",AH$12&lt;&gt;0,$H345&gt;0,OR(AUTOEVENTO&lt;&gt;"manual",$M345&lt;&gt;1)),
IF(Import.TipoArredondamento&lt;&gt;"TransfereGOV",
ROUND(OFFSET($P345,0,AH$13),15-13*ORÇAMENTO!$AF$7)/$H345*OFFSET(ORÇAMENTO!$X$15,ROW(AH345)-ROW(AH$15),0),
ROUND(ROUND(OFFSET($P345,0,AH$13),15-13*ORÇAMENTO!$AF$7)*OFFSET(ORÇAMENTO!$W$15,ROW(AH345)-ROW(AH$15),0),15-13*ORÇAMENTO!$AF$11)),0)</f>
        <v>0</v>
      </c>
      <c r="AI345" s="545">
        <f ca="1">IF(AND($D345="Serviço",AI$12&lt;&gt;0,$H345&gt;0,OR(AUTOEVENTO&lt;&gt;"manual",$M345&lt;&gt;1)),
IF(Import.TipoArredondamento&lt;&gt;"TransfereGOV",
ROUND(OFFSET($P345,0,AI$13),15-13*ORÇAMENTO!$AF$7)/$H345*OFFSET(ORÇAMENTO!$X$15,ROW(AI345)-ROW(AI$15),0),
ROUND(ROUND(OFFSET($P345,0,AI$13),15-13*ORÇAMENTO!$AF$7)*OFFSET(ORÇAMENTO!$W$15,ROW(AI345)-ROW(AI$15),0),15-13*ORÇAMENTO!$AF$11)),0)</f>
        <v>0</v>
      </c>
      <c r="AJ345" s="545">
        <f ca="1">IF(AND($D345="Serviço",AJ$12&lt;&gt;0,$H345&gt;0,OR(AUTOEVENTO&lt;&gt;"manual",$M345&lt;&gt;1)),
IF(Import.TipoArredondamento&lt;&gt;"TransfereGOV",
ROUND(OFFSET($P345,0,AJ$13),15-13*ORÇAMENTO!$AF$7)/$H345*OFFSET(ORÇAMENTO!$X$15,ROW(AJ345)-ROW(AJ$15),0),
ROUND(ROUND(OFFSET($P345,0,AJ$13),15-13*ORÇAMENTO!$AF$7)*OFFSET(ORÇAMENTO!$W$15,ROW(AJ345)-ROW(AJ$15),0),15-13*ORÇAMENTO!$AF$11)),0)</f>
        <v>0</v>
      </c>
      <c r="AK345" s="546">
        <f ca="1">IF(AND($D345="Serviço",AK$12&lt;&gt;0,$H345&gt;0,OR(AUTOEVENTO&lt;&gt;"manual",$M345&lt;&gt;1)),
IF(Import.TipoArredondamento&lt;&gt;"TransfereGOV",
ROUND(OFFSET($P345,0,AK$13),15-13*ORÇAMENTO!$AF$7)/$H345*OFFSET(ORÇAMENTO!$X$15,ROW(AK345)-ROW(AK$15),0),
ROUND(ROUND(OFFSET($P345,0,AK$13),15-13*ORÇAMENTO!$AF$7)*OFFSET(ORÇAMENTO!$W$15,ROW(AK345)-ROW(AK$15),0),15-13*ORÇAMENTO!$AF$11)),0)</f>
        <v>0</v>
      </c>
      <c r="AM345" s="181">
        <f ca="1">IF($D345&lt;&gt;"Serviço",0,IF(AND(AUTOEVENTO="Manual",$M345=1),0,IF(OFFSET(CRONOPLE!$F$14,$M345,AM$13)="",10^12,OFFSET(CRONOPLE!$F$14,$M345,AM$13))))</f>
        <v>1000000000000</v>
      </c>
      <c r="AN345" s="181">
        <f ca="1">IF($D345&lt;&gt;"Serviço",0,IF(AND(AUTOEVENTO="Manual",$M345=1),0,IF(OFFSET(CRONOPLE!$F$14,$M345,AN$13)="",10^12,OFFSET(CRONOPLE!$F$14,$M345,AN$13))))</f>
        <v>1000000000000</v>
      </c>
      <c r="AO345" s="181">
        <f ca="1">IF($D345&lt;&gt;"Serviço",0,IF(AND(AUTOEVENTO="Manual",$M345=1),0,IF(OFFSET(CRONOPLE!$F$14,$M345,AO$13)="",10^12,OFFSET(CRONOPLE!$F$14,$M345,AO$13))))</f>
        <v>1000000000000</v>
      </c>
      <c r="AP345" s="181">
        <f ca="1">IF($D345&lt;&gt;"Serviço",0,IF(AND(AUTOEVENTO="Manual",$M345=1),0,IF(OFFSET(CRONOPLE!$F$14,$M345,AP$13)="",10^12,OFFSET(CRONOPLE!$F$14,$M345,AP$13))))</f>
        <v>1000000000000</v>
      </c>
      <c r="AQ345" s="181">
        <f ca="1">IF($D345&lt;&gt;"Serviço",0,IF(AND(AUTOEVENTO="Manual",$M345=1),0,IF(OFFSET(CRONOPLE!$F$14,$M345,AQ$13)="",10^12,OFFSET(CRONOPLE!$F$14,$M345,AQ$13))))</f>
        <v>1000000000000</v>
      </c>
      <c r="AR345" s="181">
        <f ca="1">IF($D345&lt;&gt;"Serviço",0,IF(AND(AUTOEVENTO="Manual",$M345=1),0,IF(OFFSET(CRONOPLE!$F$14,$M345,AR$13)="",10^12,OFFSET(CRONOPLE!$F$14,$M345,AR$13))))</f>
        <v>1000000000000</v>
      </c>
      <c r="AS345" s="181">
        <f ca="1">IF($D345&lt;&gt;"Serviço",0,IF(AND(AUTOEVENTO="Manual",$M345=1),0,IF(OFFSET(CRONOPLE!$F$14,$M345,AS$13)="",10^12,OFFSET(CRONOPLE!$F$14,$M345,AS$13))))</f>
        <v>1000000000000</v>
      </c>
      <c r="AT345" s="181">
        <f ca="1">IF($D345&lt;&gt;"Serviço",0,IF(AND(AUTOEVENTO="Manual",$M345=1),0,IF(OFFSET(CRONOPLE!$F$14,$M345,AT$13)="",10^12,OFFSET(CRONOPLE!$F$14,$M345,AT$13))))</f>
        <v>1000000000000</v>
      </c>
      <c r="AU345" s="181">
        <f ca="1">IF($D345&lt;&gt;"Serviço",0,IF(AND(AUTOEVENTO="Manual",$M345=1),0,IF(OFFSET(CRONOPLE!$F$14,$M345,AU$13)="",10^12,OFFSET(CRONOPLE!$F$14,$M345,AU$13))))</f>
        <v>1000000000000</v>
      </c>
      <c r="AV345" s="181">
        <f ca="1">IF($D345&lt;&gt;"Serviço",0,IF(AND(AUTOEVENTO="Manual",$M345=1),0,IF(OFFSET(CRONOPLE!$F$14,$M345,AV$13)="",10^12,OFFSET(CRONOPLE!$F$14,$M345,AV$13))))</f>
        <v>1000000000000</v>
      </c>
      <c r="AX345" s="182">
        <f ca="1">IF($D345&lt;&gt;"Serviço",0,IF(OR(AND(AUTOEVENTO="Manual",$M345=1),$M345&gt;(ROW(PLE.lastrow)-ROW(PLE.firstrow))),0,IF(OFFSET(PLE!$G$14,$M345,AX$13)="",10^12,OFFSET(PLE!$G$14,$M345,AX$13))))</f>
        <v>1000000000000</v>
      </c>
      <c r="AY345" s="182">
        <f ca="1">IF($D345&lt;&gt;"Serviço",0,IF(OR(AND(AUTOEVENTO="Manual",$M345=1),$M345&gt;(ROW(PLE.lastrow)-ROW(PLE.firstrow))),0,IF(OFFSET(PLE!$G$14,$M345,AY$13)="",10^12,OFFSET(PLE!$G$14,$M345,AY$13))))</f>
        <v>1000000000000</v>
      </c>
      <c r="AZ345" s="182">
        <f ca="1">IF($D345&lt;&gt;"Serviço",0,IF(OR(AND(AUTOEVENTO="Manual",$M345=1),$M345&gt;(ROW(PLE.lastrow)-ROW(PLE.firstrow))),0,IF(OFFSET(PLE!$G$14,$M345,AZ$13)="",10^12,OFFSET(PLE!$G$14,$M345,AZ$13))))</f>
        <v>1000000000000</v>
      </c>
      <c r="BA345" s="182">
        <f ca="1">IF($D345&lt;&gt;"Serviço",0,IF(OR(AND(AUTOEVENTO="Manual",$M345=1),$M345&gt;(ROW(PLE.lastrow)-ROW(PLE.firstrow))),0,IF(OFFSET(PLE!$G$14,$M345,BA$13)="",10^12,OFFSET(PLE!$G$14,$M345,BA$13))))</f>
        <v>1000000000000</v>
      </c>
      <c r="BB345" s="182">
        <f ca="1">IF($D345&lt;&gt;"Serviço",0,IF(OR(AND(AUTOEVENTO="Manual",$M345=1),$M345&gt;(ROW(PLE.lastrow)-ROW(PLE.firstrow))),0,IF(OFFSET(PLE!$G$14,$M345,BB$13)="",10^12,OFFSET(PLE!$G$14,$M345,BB$13))))</f>
        <v>1000000000000</v>
      </c>
      <c r="BC345" s="182">
        <f ca="1">IF($D345&lt;&gt;"Serviço",0,IF(OR(AND(AUTOEVENTO="Manual",$M345=1),$M345&gt;(ROW(PLE.lastrow)-ROW(PLE.firstrow))),0,IF(OFFSET(PLE!$G$14,$M345,BC$13)="",10^12,OFFSET(PLE!$G$14,$M345,BC$13))))</f>
        <v>1000000000000</v>
      </c>
      <c r="BD345" s="182">
        <f ca="1">IF($D345&lt;&gt;"Serviço",0,IF(OR(AND(AUTOEVENTO="Manual",$M345=1),$M345&gt;(ROW(PLE.lastrow)-ROW(PLE.firstrow))),0,IF(OFFSET(PLE!$G$14,$M345,BD$13)="",10^12,OFFSET(PLE!$G$14,$M345,BD$13))))</f>
        <v>1000000000000</v>
      </c>
      <c r="BE345" s="182">
        <f ca="1">IF($D345&lt;&gt;"Serviço",0,IF(OR(AND(AUTOEVENTO="Manual",$M345=1),$M345&gt;(ROW(PLE.lastrow)-ROW(PLE.firstrow))),0,IF(OFFSET(PLE!$G$14,$M345,BE$13)="",10^12,OFFSET(PLE!$G$14,$M345,BE$13))))</f>
        <v>1000000000000</v>
      </c>
      <c r="BF345" s="182">
        <f ca="1">IF($D345&lt;&gt;"Serviço",0,IF(OR(AND(AUTOEVENTO="Manual",$M345=1),$M345&gt;(ROW(PLE.lastrow)-ROW(PLE.firstrow))),0,IF(OFFSET(PLE!$G$14,$M345,BF$13)="",10^12,OFFSET(PLE!$G$14,$M345,BF$13))))</f>
        <v>1000000000000</v>
      </c>
      <c r="BG345" s="182">
        <f ca="1">IF($D345&lt;&gt;"Serviço",0,IF(OR(AND(AUTOEVENTO="Manual",$M345=1),$M345&gt;(ROW(PLE.lastrow)-ROW(PLE.firstrow))),0,IF(OFFSET(PLE!$G$14,$M345,BG$13)="",10^12,OFFSET(PLE!$G$14,$M345,BG$13))))</f>
        <v>1000000000000</v>
      </c>
    </row>
    <row r="346" spans="1:59" ht="38.25" x14ac:dyDescent="0.2">
      <c r="A346" s="7" t="str">
        <f t="shared" ca="1" si="11"/>
        <v>325</v>
      </c>
      <c r="B346" s="7" t="str">
        <f ca="1">OFFSET(ORÇAMENTO!C$15,ROW(B346)-ROW(B$15),0)</f>
        <v>S</v>
      </c>
      <c r="C346" s="7" t="str">
        <f ca="1">OFFSET(ORÇAMENTO!L$15,ROW(C346)-ROW(C$15),0)</f>
        <v/>
      </c>
      <c r="D346" s="118" t="str">
        <f ca="1">OFFSET(ORÇAMENTO!N$15,ROW(D346)-ROW(D$15),0)</f>
        <v>Serviço</v>
      </c>
      <c r="E346" s="119" t="str">
        <f ca="1">OFFSET(ORÇAMENTO!O$15,ROW(E346)-ROW(E$15),0)</f>
        <v>-</v>
      </c>
      <c r="F346" s="172" t="str">
        <f ca="1">OFFSET(ORÇAMENTO!R$15,ROW(F346)-ROW(F$15),0)</f>
        <v>(abra o arquivo 'Referência 02-2025.xlsm)</v>
      </c>
      <c r="G346" s="173" t="str">
        <f ca="1">IF($D346&lt;&gt;"Serviço","",OFFSET(ORÇAMENTO!S$15,ROW(G346)-ROW(G$15),0))</f>
        <v>-</v>
      </c>
      <c r="H346" s="124">
        <f ca="1">IF($D346&lt;&gt;"Serviço",0,IF(ACOMPANHAMENTO="BM",ROUND(OFFSET(ORÇAMENTO!AJ$15,ROW(H346)-ROW(H$15),0),15-13*ORÇAMENTO!$AF$7),SUMPRODUCT(($Q$12:$AA$12&lt;&gt;"")*ROUND($Q346:$AA346,15-13*ORÇAMENTO!$AF$7))))</f>
        <v>39</v>
      </c>
      <c r="I346" s="561" t="s">
        <v>890</v>
      </c>
      <c r="K346" s="174"/>
      <c r="L346" s="175" t="s">
        <v>255</v>
      </c>
      <c r="M346" s="176">
        <f ca="1">IF($D346&lt;&gt;"Serviço","",IF(AUTOEVENTO="manual",$A346,IF(ISERROR(MATCH($A346,$A$15:OFFSET($A346,-1,0),0)),MAX($M$15:OFFSET(M346,-1,0))+1,INDEX($M$15:OFFSET(M346,-1,0),MATCH($A346,$A$15:OFFSET($A346,-1,0),0)))))</f>
        <v>15</v>
      </c>
      <c r="N346" s="177" t="str">
        <f ca="1">IF($D346&lt;&gt;"Serviço","",IF(AUTOEVENTO="Manual",IF($A346=0,"&lt;-- defina o número do agrupador",OFFSET(EVENTOS!$D$14,$A346,0)),OFFSET($F$15,$A346,0)))</f>
        <v>INSTALAÇÕES DE ESGOTO SANITÁRIO</v>
      </c>
      <c r="O346" s="178"/>
      <c r="Q346" s="178"/>
      <c r="R346" s="179"/>
      <c r="S346" s="179"/>
      <c r="T346" s="179"/>
      <c r="U346" s="179"/>
      <c r="V346" s="179"/>
      <c r="W346" s="179"/>
      <c r="X346" s="179"/>
      <c r="Y346" s="179"/>
      <c r="Z346" s="180"/>
      <c r="AB346" s="544">
        <f ca="1">IF(AND($D346="Serviço",AB$12&lt;&gt;0,$H346&gt;0,OR(AUTOEVENTO&lt;&gt;"manual",$M346&lt;&gt;1)),
IF(Import.TipoArredondamento&lt;&gt;"TransfereGOV",
ROUND(OFFSET($P346,0,AB$13),15-13*ORÇAMENTO!$AF$7)/$H346*OFFSET(ORÇAMENTO!$X$15,ROW(AB346)-ROW(AB$15),0),
ROUND(ROUND(OFFSET($P346,0,AB$13),15-13*ORÇAMENTO!$AF$7)*OFFSET(ORÇAMENTO!$W$15,ROW(AB346)-ROW(AB$15),0),15-13*ORÇAMENTO!$AF$11)),0)</f>
        <v>0</v>
      </c>
      <c r="AC346" s="545">
        <f ca="1">IF(AND($D346="Serviço",AC$12&lt;&gt;0,$H346&gt;0,OR(AUTOEVENTO&lt;&gt;"manual",$M346&lt;&gt;1)),
IF(Import.TipoArredondamento&lt;&gt;"TransfereGOV",
ROUND(OFFSET($P346,0,AC$13),15-13*ORÇAMENTO!$AF$7)/$H346*OFFSET(ORÇAMENTO!$X$15,ROW(AC346)-ROW(AC$15),0),
ROUND(ROUND(OFFSET($P346,0,AC$13),15-13*ORÇAMENTO!$AF$7)*OFFSET(ORÇAMENTO!$W$15,ROW(AC346)-ROW(AC$15),0),15-13*ORÇAMENTO!$AF$11)),0)</f>
        <v>0</v>
      </c>
      <c r="AD346" s="545">
        <f ca="1">IF(AND($D346="Serviço",AD$12&lt;&gt;0,$H346&gt;0,OR(AUTOEVENTO&lt;&gt;"manual",$M346&lt;&gt;1)),
IF(Import.TipoArredondamento&lt;&gt;"TransfereGOV",
ROUND(OFFSET($P346,0,AD$13),15-13*ORÇAMENTO!$AF$7)/$H346*OFFSET(ORÇAMENTO!$X$15,ROW(AD346)-ROW(AD$15),0),
ROUND(ROUND(OFFSET($P346,0,AD$13),15-13*ORÇAMENTO!$AF$7)*OFFSET(ORÇAMENTO!$W$15,ROW(AD346)-ROW(AD$15),0),15-13*ORÇAMENTO!$AF$11)),0)</f>
        <v>0</v>
      </c>
      <c r="AE346" s="545">
        <f ca="1">IF(AND($D346="Serviço",AE$12&lt;&gt;0,$H346&gt;0,OR(AUTOEVENTO&lt;&gt;"manual",$M346&lt;&gt;1)),
IF(Import.TipoArredondamento&lt;&gt;"TransfereGOV",
ROUND(OFFSET($P346,0,AE$13),15-13*ORÇAMENTO!$AF$7)/$H346*OFFSET(ORÇAMENTO!$X$15,ROW(AE346)-ROW(AE$15),0),
ROUND(ROUND(OFFSET($P346,0,AE$13),15-13*ORÇAMENTO!$AF$7)*OFFSET(ORÇAMENTO!$W$15,ROW(AE346)-ROW(AE$15),0),15-13*ORÇAMENTO!$AF$11)),0)</f>
        <v>0</v>
      </c>
      <c r="AF346" s="545">
        <f ca="1">IF(AND($D346="Serviço",AF$12&lt;&gt;0,$H346&gt;0,OR(AUTOEVENTO&lt;&gt;"manual",$M346&lt;&gt;1)),
IF(Import.TipoArredondamento&lt;&gt;"TransfereGOV",
ROUND(OFFSET($P346,0,AF$13),15-13*ORÇAMENTO!$AF$7)/$H346*OFFSET(ORÇAMENTO!$X$15,ROW(AF346)-ROW(AF$15),0),
ROUND(ROUND(OFFSET($P346,0,AF$13),15-13*ORÇAMENTO!$AF$7)*OFFSET(ORÇAMENTO!$W$15,ROW(AF346)-ROW(AF$15),0),15-13*ORÇAMENTO!$AF$11)),0)</f>
        <v>0</v>
      </c>
      <c r="AG346" s="545">
        <f ca="1">IF(AND($D346="Serviço",AG$12&lt;&gt;0,$H346&gt;0,OR(AUTOEVENTO&lt;&gt;"manual",$M346&lt;&gt;1)),
IF(Import.TipoArredondamento&lt;&gt;"TransfereGOV",
ROUND(OFFSET($P346,0,AG$13),15-13*ORÇAMENTO!$AF$7)/$H346*OFFSET(ORÇAMENTO!$X$15,ROW(AG346)-ROW(AG$15),0),
ROUND(ROUND(OFFSET($P346,0,AG$13),15-13*ORÇAMENTO!$AF$7)*OFFSET(ORÇAMENTO!$W$15,ROW(AG346)-ROW(AG$15),0),15-13*ORÇAMENTO!$AF$11)),0)</f>
        <v>0</v>
      </c>
      <c r="AH346" s="545">
        <f ca="1">IF(AND($D346="Serviço",AH$12&lt;&gt;0,$H346&gt;0,OR(AUTOEVENTO&lt;&gt;"manual",$M346&lt;&gt;1)),
IF(Import.TipoArredondamento&lt;&gt;"TransfereGOV",
ROUND(OFFSET($P346,0,AH$13),15-13*ORÇAMENTO!$AF$7)/$H346*OFFSET(ORÇAMENTO!$X$15,ROW(AH346)-ROW(AH$15),0),
ROUND(ROUND(OFFSET($P346,0,AH$13),15-13*ORÇAMENTO!$AF$7)*OFFSET(ORÇAMENTO!$W$15,ROW(AH346)-ROW(AH$15),0),15-13*ORÇAMENTO!$AF$11)),0)</f>
        <v>0</v>
      </c>
      <c r="AI346" s="545">
        <f ca="1">IF(AND($D346="Serviço",AI$12&lt;&gt;0,$H346&gt;0,OR(AUTOEVENTO&lt;&gt;"manual",$M346&lt;&gt;1)),
IF(Import.TipoArredondamento&lt;&gt;"TransfereGOV",
ROUND(OFFSET($P346,0,AI$13),15-13*ORÇAMENTO!$AF$7)/$H346*OFFSET(ORÇAMENTO!$X$15,ROW(AI346)-ROW(AI$15),0),
ROUND(ROUND(OFFSET($P346,0,AI$13),15-13*ORÇAMENTO!$AF$7)*OFFSET(ORÇAMENTO!$W$15,ROW(AI346)-ROW(AI$15),0),15-13*ORÇAMENTO!$AF$11)),0)</f>
        <v>0</v>
      </c>
      <c r="AJ346" s="545">
        <f ca="1">IF(AND($D346="Serviço",AJ$12&lt;&gt;0,$H346&gt;0,OR(AUTOEVENTO&lt;&gt;"manual",$M346&lt;&gt;1)),
IF(Import.TipoArredondamento&lt;&gt;"TransfereGOV",
ROUND(OFFSET($P346,0,AJ$13),15-13*ORÇAMENTO!$AF$7)/$H346*OFFSET(ORÇAMENTO!$X$15,ROW(AJ346)-ROW(AJ$15),0),
ROUND(ROUND(OFFSET($P346,0,AJ$13),15-13*ORÇAMENTO!$AF$7)*OFFSET(ORÇAMENTO!$W$15,ROW(AJ346)-ROW(AJ$15),0),15-13*ORÇAMENTO!$AF$11)),0)</f>
        <v>0</v>
      </c>
      <c r="AK346" s="546">
        <f ca="1">IF(AND($D346="Serviço",AK$12&lt;&gt;0,$H346&gt;0,OR(AUTOEVENTO&lt;&gt;"manual",$M346&lt;&gt;1)),
IF(Import.TipoArredondamento&lt;&gt;"TransfereGOV",
ROUND(OFFSET($P346,0,AK$13),15-13*ORÇAMENTO!$AF$7)/$H346*OFFSET(ORÇAMENTO!$X$15,ROW(AK346)-ROW(AK$15),0),
ROUND(ROUND(OFFSET($P346,0,AK$13),15-13*ORÇAMENTO!$AF$7)*OFFSET(ORÇAMENTO!$W$15,ROW(AK346)-ROW(AK$15),0),15-13*ORÇAMENTO!$AF$11)),0)</f>
        <v>0</v>
      </c>
      <c r="AM346" s="181">
        <f ca="1">IF($D346&lt;&gt;"Serviço",0,IF(AND(AUTOEVENTO="Manual",$M346=1),0,IF(OFFSET(CRONOPLE!$F$14,$M346,AM$13)="",10^12,OFFSET(CRONOPLE!$F$14,$M346,AM$13))))</f>
        <v>1000000000000</v>
      </c>
      <c r="AN346" s="181">
        <f ca="1">IF($D346&lt;&gt;"Serviço",0,IF(AND(AUTOEVENTO="Manual",$M346=1),0,IF(OFFSET(CRONOPLE!$F$14,$M346,AN$13)="",10^12,OFFSET(CRONOPLE!$F$14,$M346,AN$13))))</f>
        <v>1000000000000</v>
      </c>
      <c r="AO346" s="181">
        <f ca="1">IF($D346&lt;&gt;"Serviço",0,IF(AND(AUTOEVENTO="Manual",$M346=1),0,IF(OFFSET(CRONOPLE!$F$14,$M346,AO$13)="",10^12,OFFSET(CRONOPLE!$F$14,$M346,AO$13))))</f>
        <v>1000000000000</v>
      </c>
      <c r="AP346" s="181">
        <f ca="1">IF($D346&lt;&gt;"Serviço",0,IF(AND(AUTOEVENTO="Manual",$M346=1),0,IF(OFFSET(CRONOPLE!$F$14,$M346,AP$13)="",10^12,OFFSET(CRONOPLE!$F$14,$M346,AP$13))))</f>
        <v>1000000000000</v>
      </c>
      <c r="AQ346" s="181">
        <f ca="1">IF($D346&lt;&gt;"Serviço",0,IF(AND(AUTOEVENTO="Manual",$M346=1),0,IF(OFFSET(CRONOPLE!$F$14,$M346,AQ$13)="",10^12,OFFSET(CRONOPLE!$F$14,$M346,AQ$13))))</f>
        <v>1000000000000</v>
      </c>
      <c r="AR346" s="181">
        <f ca="1">IF($D346&lt;&gt;"Serviço",0,IF(AND(AUTOEVENTO="Manual",$M346=1),0,IF(OFFSET(CRONOPLE!$F$14,$M346,AR$13)="",10^12,OFFSET(CRONOPLE!$F$14,$M346,AR$13))))</f>
        <v>1000000000000</v>
      </c>
      <c r="AS346" s="181">
        <f ca="1">IF($D346&lt;&gt;"Serviço",0,IF(AND(AUTOEVENTO="Manual",$M346=1),0,IF(OFFSET(CRONOPLE!$F$14,$M346,AS$13)="",10^12,OFFSET(CRONOPLE!$F$14,$M346,AS$13))))</f>
        <v>1000000000000</v>
      </c>
      <c r="AT346" s="181">
        <f ca="1">IF($D346&lt;&gt;"Serviço",0,IF(AND(AUTOEVENTO="Manual",$M346=1),0,IF(OFFSET(CRONOPLE!$F$14,$M346,AT$13)="",10^12,OFFSET(CRONOPLE!$F$14,$M346,AT$13))))</f>
        <v>1000000000000</v>
      </c>
      <c r="AU346" s="181">
        <f ca="1">IF($D346&lt;&gt;"Serviço",0,IF(AND(AUTOEVENTO="Manual",$M346=1),0,IF(OFFSET(CRONOPLE!$F$14,$M346,AU$13)="",10^12,OFFSET(CRONOPLE!$F$14,$M346,AU$13))))</f>
        <v>1000000000000</v>
      </c>
      <c r="AV346" s="181">
        <f ca="1">IF($D346&lt;&gt;"Serviço",0,IF(AND(AUTOEVENTO="Manual",$M346=1),0,IF(OFFSET(CRONOPLE!$F$14,$M346,AV$13)="",10^12,OFFSET(CRONOPLE!$F$14,$M346,AV$13))))</f>
        <v>1000000000000</v>
      </c>
      <c r="AX346" s="182">
        <f ca="1">IF($D346&lt;&gt;"Serviço",0,IF(OR(AND(AUTOEVENTO="Manual",$M346=1),$M346&gt;(ROW(PLE.lastrow)-ROW(PLE.firstrow))),0,IF(OFFSET(PLE!$G$14,$M346,AX$13)="",10^12,OFFSET(PLE!$G$14,$M346,AX$13))))</f>
        <v>1000000000000</v>
      </c>
      <c r="AY346" s="182">
        <f ca="1">IF($D346&lt;&gt;"Serviço",0,IF(OR(AND(AUTOEVENTO="Manual",$M346=1),$M346&gt;(ROW(PLE.lastrow)-ROW(PLE.firstrow))),0,IF(OFFSET(PLE!$G$14,$M346,AY$13)="",10^12,OFFSET(PLE!$G$14,$M346,AY$13))))</f>
        <v>1000000000000</v>
      </c>
      <c r="AZ346" s="182">
        <f ca="1">IF($D346&lt;&gt;"Serviço",0,IF(OR(AND(AUTOEVENTO="Manual",$M346=1),$M346&gt;(ROW(PLE.lastrow)-ROW(PLE.firstrow))),0,IF(OFFSET(PLE!$G$14,$M346,AZ$13)="",10^12,OFFSET(PLE!$G$14,$M346,AZ$13))))</f>
        <v>1000000000000</v>
      </c>
      <c r="BA346" s="182">
        <f ca="1">IF($D346&lt;&gt;"Serviço",0,IF(OR(AND(AUTOEVENTO="Manual",$M346=1),$M346&gt;(ROW(PLE.lastrow)-ROW(PLE.firstrow))),0,IF(OFFSET(PLE!$G$14,$M346,BA$13)="",10^12,OFFSET(PLE!$G$14,$M346,BA$13))))</f>
        <v>1000000000000</v>
      </c>
      <c r="BB346" s="182">
        <f ca="1">IF($D346&lt;&gt;"Serviço",0,IF(OR(AND(AUTOEVENTO="Manual",$M346=1),$M346&gt;(ROW(PLE.lastrow)-ROW(PLE.firstrow))),0,IF(OFFSET(PLE!$G$14,$M346,BB$13)="",10^12,OFFSET(PLE!$G$14,$M346,BB$13))))</f>
        <v>1000000000000</v>
      </c>
      <c r="BC346" s="182">
        <f ca="1">IF($D346&lt;&gt;"Serviço",0,IF(OR(AND(AUTOEVENTO="Manual",$M346=1),$M346&gt;(ROW(PLE.lastrow)-ROW(PLE.firstrow))),0,IF(OFFSET(PLE!$G$14,$M346,BC$13)="",10^12,OFFSET(PLE!$G$14,$M346,BC$13))))</f>
        <v>1000000000000</v>
      </c>
      <c r="BD346" s="182">
        <f ca="1">IF($D346&lt;&gt;"Serviço",0,IF(OR(AND(AUTOEVENTO="Manual",$M346=1),$M346&gt;(ROW(PLE.lastrow)-ROW(PLE.firstrow))),0,IF(OFFSET(PLE!$G$14,$M346,BD$13)="",10^12,OFFSET(PLE!$G$14,$M346,BD$13))))</f>
        <v>1000000000000</v>
      </c>
      <c r="BE346" s="182">
        <f ca="1">IF($D346&lt;&gt;"Serviço",0,IF(OR(AND(AUTOEVENTO="Manual",$M346=1),$M346&gt;(ROW(PLE.lastrow)-ROW(PLE.firstrow))),0,IF(OFFSET(PLE!$G$14,$M346,BE$13)="",10^12,OFFSET(PLE!$G$14,$M346,BE$13))))</f>
        <v>1000000000000</v>
      </c>
      <c r="BF346" s="182">
        <f ca="1">IF($D346&lt;&gt;"Serviço",0,IF(OR(AND(AUTOEVENTO="Manual",$M346=1),$M346&gt;(ROW(PLE.lastrow)-ROW(PLE.firstrow))),0,IF(OFFSET(PLE!$G$14,$M346,BF$13)="",10^12,OFFSET(PLE!$G$14,$M346,BF$13))))</f>
        <v>1000000000000</v>
      </c>
      <c r="BG346" s="182">
        <f ca="1">IF($D346&lt;&gt;"Serviço",0,IF(OR(AND(AUTOEVENTO="Manual",$M346=1),$M346&gt;(ROW(PLE.lastrow)-ROW(PLE.firstrow))),0,IF(OFFSET(PLE!$G$14,$M346,BG$13)="",10^12,OFFSET(PLE!$G$14,$M346,BG$13))))</f>
        <v>1000000000000</v>
      </c>
    </row>
    <row r="347" spans="1:59" ht="51" x14ac:dyDescent="0.2">
      <c r="A347" s="7" t="str">
        <f t="shared" ca="1" si="11"/>
        <v>325</v>
      </c>
      <c r="B347" s="7" t="str">
        <f ca="1">OFFSET(ORÇAMENTO!C$15,ROW(B347)-ROW(B$15),0)</f>
        <v>S</v>
      </c>
      <c r="C347" s="7" t="str">
        <f ca="1">OFFSET(ORÇAMENTO!L$15,ROW(C347)-ROW(C$15),0)</f>
        <v/>
      </c>
      <c r="D347" s="118" t="str">
        <f ca="1">OFFSET(ORÇAMENTO!N$15,ROW(D347)-ROW(D$15),0)</f>
        <v>Serviço</v>
      </c>
      <c r="E347" s="119" t="str">
        <f ca="1">OFFSET(ORÇAMENTO!O$15,ROW(E347)-ROW(E$15),0)</f>
        <v>-</v>
      </c>
      <c r="F347" s="172" t="str">
        <f ca="1">OFFSET(ORÇAMENTO!R$15,ROW(F347)-ROW(F$15),0)</f>
        <v>(abra o arquivo 'Referência 02-2025.xlsm)</v>
      </c>
      <c r="G347" s="173" t="str">
        <f ca="1">IF($D347&lt;&gt;"Serviço","",OFFSET(ORÇAMENTO!S$15,ROW(G347)-ROW(G$15),0))</f>
        <v>-</v>
      </c>
      <c r="H347" s="124">
        <f ca="1">IF($D347&lt;&gt;"Serviço",0,IF(ACOMPANHAMENTO="BM",ROUND(OFFSET(ORÇAMENTO!AJ$15,ROW(H347)-ROW(H$15),0),15-13*ORÇAMENTO!$AF$7),SUMPRODUCT(($Q$12:$AA$12&lt;&gt;"")*ROUND($Q347:$AA347,15-13*ORÇAMENTO!$AF$7))))</f>
        <v>24</v>
      </c>
      <c r="I347" s="561" t="s">
        <v>890</v>
      </c>
      <c r="K347" s="174"/>
      <c r="L347" s="175" t="s">
        <v>255</v>
      </c>
      <c r="M347" s="176">
        <f ca="1">IF($D347&lt;&gt;"Serviço","",IF(AUTOEVENTO="manual",$A347,IF(ISERROR(MATCH($A347,$A$15:OFFSET($A347,-1,0),0)),MAX($M$15:OFFSET(M347,-1,0))+1,INDEX($M$15:OFFSET(M347,-1,0),MATCH($A347,$A$15:OFFSET($A347,-1,0),0)))))</f>
        <v>15</v>
      </c>
      <c r="N347" s="177" t="str">
        <f ca="1">IF($D347&lt;&gt;"Serviço","",IF(AUTOEVENTO="Manual",IF($A347=0,"&lt;-- defina o número do agrupador",OFFSET(EVENTOS!$D$14,$A347,0)),OFFSET($F$15,$A347,0)))</f>
        <v>INSTALAÇÕES DE ESGOTO SANITÁRIO</v>
      </c>
      <c r="O347" s="178"/>
      <c r="Q347" s="178"/>
      <c r="R347" s="179"/>
      <c r="S347" s="179"/>
      <c r="T347" s="179"/>
      <c r="U347" s="179"/>
      <c r="V347" s="179"/>
      <c r="W347" s="179"/>
      <c r="X347" s="179"/>
      <c r="Y347" s="179"/>
      <c r="Z347" s="180"/>
      <c r="AB347" s="544">
        <f ca="1">IF(AND($D347="Serviço",AB$12&lt;&gt;0,$H347&gt;0,OR(AUTOEVENTO&lt;&gt;"manual",$M347&lt;&gt;1)),
IF(Import.TipoArredondamento&lt;&gt;"TransfereGOV",
ROUND(OFFSET($P347,0,AB$13),15-13*ORÇAMENTO!$AF$7)/$H347*OFFSET(ORÇAMENTO!$X$15,ROW(AB347)-ROW(AB$15),0),
ROUND(ROUND(OFFSET($P347,0,AB$13),15-13*ORÇAMENTO!$AF$7)*OFFSET(ORÇAMENTO!$W$15,ROW(AB347)-ROW(AB$15),0),15-13*ORÇAMENTO!$AF$11)),0)</f>
        <v>0</v>
      </c>
      <c r="AC347" s="545">
        <f ca="1">IF(AND($D347="Serviço",AC$12&lt;&gt;0,$H347&gt;0,OR(AUTOEVENTO&lt;&gt;"manual",$M347&lt;&gt;1)),
IF(Import.TipoArredondamento&lt;&gt;"TransfereGOV",
ROUND(OFFSET($P347,0,AC$13),15-13*ORÇAMENTO!$AF$7)/$H347*OFFSET(ORÇAMENTO!$X$15,ROW(AC347)-ROW(AC$15),0),
ROUND(ROUND(OFFSET($P347,0,AC$13),15-13*ORÇAMENTO!$AF$7)*OFFSET(ORÇAMENTO!$W$15,ROW(AC347)-ROW(AC$15),0),15-13*ORÇAMENTO!$AF$11)),0)</f>
        <v>0</v>
      </c>
      <c r="AD347" s="545">
        <f ca="1">IF(AND($D347="Serviço",AD$12&lt;&gt;0,$H347&gt;0,OR(AUTOEVENTO&lt;&gt;"manual",$M347&lt;&gt;1)),
IF(Import.TipoArredondamento&lt;&gt;"TransfereGOV",
ROUND(OFFSET($P347,0,AD$13),15-13*ORÇAMENTO!$AF$7)/$H347*OFFSET(ORÇAMENTO!$X$15,ROW(AD347)-ROW(AD$15),0),
ROUND(ROUND(OFFSET($P347,0,AD$13),15-13*ORÇAMENTO!$AF$7)*OFFSET(ORÇAMENTO!$W$15,ROW(AD347)-ROW(AD$15),0),15-13*ORÇAMENTO!$AF$11)),0)</f>
        <v>0</v>
      </c>
      <c r="AE347" s="545">
        <f ca="1">IF(AND($D347="Serviço",AE$12&lt;&gt;0,$H347&gt;0,OR(AUTOEVENTO&lt;&gt;"manual",$M347&lt;&gt;1)),
IF(Import.TipoArredondamento&lt;&gt;"TransfereGOV",
ROUND(OFFSET($P347,0,AE$13),15-13*ORÇAMENTO!$AF$7)/$H347*OFFSET(ORÇAMENTO!$X$15,ROW(AE347)-ROW(AE$15),0),
ROUND(ROUND(OFFSET($P347,0,AE$13),15-13*ORÇAMENTO!$AF$7)*OFFSET(ORÇAMENTO!$W$15,ROW(AE347)-ROW(AE$15),0),15-13*ORÇAMENTO!$AF$11)),0)</f>
        <v>0</v>
      </c>
      <c r="AF347" s="545">
        <f ca="1">IF(AND($D347="Serviço",AF$12&lt;&gt;0,$H347&gt;0,OR(AUTOEVENTO&lt;&gt;"manual",$M347&lt;&gt;1)),
IF(Import.TipoArredondamento&lt;&gt;"TransfereGOV",
ROUND(OFFSET($P347,0,AF$13),15-13*ORÇAMENTO!$AF$7)/$H347*OFFSET(ORÇAMENTO!$X$15,ROW(AF347)-ROW(AF$15),0),
ROUND(ROUND(OFFSET($P347,0,AF$13),15-13*ORÇAMENTO!$AF$7)*OFFSET(ORÇAMENTO!$W$15,ROW(AF347)-ROW(AF$15),0),15-13*ORÇAMENTO!$AF$11)),0)</f>
        <v>0</v>
      </c>
      <c r="AG347" s="545">
        <f ca="1">IF(AND($D347="Serviço",AG$12&lt;&gt;0,$H347&gt;0,OR(AUTOEVENTO&lt;&gt;"manual",$M347&lt;&gt;1)),
IF(Import.TipoArredondamento&lt;&gt;"TransfereGOV",
ROUND(OFFSET($P347,0,AG$13),15-13*ORÇAMENTO!$AF$7)/$H347*OFFSET(ORÇAMENTO!$X$15,ROW(AG347)-ROW(AG$15),0),
ROUND(ROUND(OFFSET($P347,0,AG$13),15-13*ORÇAMENTO!$AF$7)*OFFSET(ORÇAMENTO!$W$15,ROW(AG347)-ROW(AG$15),0),15-13*ORÇAMENTO!$AF$11)),0)</f>
        <v>0</v>
      </c>
      <c r="AH347" s="545">
        <f ca="1">IF(AND($D347="Serviço",AH$12&lt;&gt;0,$H347&gt;0,OR(AUTOEVENTO&lt;&gt;"manual",$M347&lt;&gt;1)),
IF(Import.TipoArredondamento&lt;&gt;"TransfereGOV",
ROUND(OFFSET($P347,0,AH$13),15-13*ORÇAMENTO!$AF$7)/$H347*OFFSET(ORÇAMENTO!$X$15,ROW(AH347)-ROW(AH$15),0),
ROUND(ROUND(OFFSET($P347,0,AH$13),15-13*ORÇAMENTO!$AF$7)*OFFSET(ORÇAMENTO!$W$15,ROW(AH347)-ROW(AH$15),0),15-13*ORÇAMENTO!$AF$11)),0)</f>
        <v>0</v>
      </c>
      <c r="AI347" s="545">
        <f ca="1">IF(AND($D347="Serviço",AI$12&lt;&gt;0,$H347&gt;0,OR(AUTOEVENTO&lt;&gt;"manual",$M347&lt;&gt;1)),
IF(Import.TipoArredondamento&lt;&gt;"TransfereGOV",
ROUND(OFFSET($P347,0,AI$13),15-13*ORÇAMENTO!$AF$7)/$H347*OFFSET(ORÇAMENTO!$X$15,ROW(AI347)-ROW(AI$15),0),
ROUND(ROUND(OFFSET($P347,0,AI$13),15-13*ORÇAMENTO!$AF$7)*OFFSET(ORÇAMENTO!$W$15,ROW(AI347)-ROW(AI$15),0),15-13*ORÇAMENTO!$AF$11)),0)</f>
        <v>0</v>
      </c>
      <c r="AJ347" s="545">
        <f ca="1">IF(AND($D347="Serviço",AJ$12&lt;&gt;0,$H347&gt;0,OR(AUTOEVENTO&lt;&gt;"manual",$M347&lt;&gt;1)),
IF(Import.TipoArredondamento&lt;&gt;"TransfereGOV",
ROUND(OFFSET($P347,0,AJ$13),15-13*ORÇAMENTO!$AF$7)/$H347*OFFSET(ORÇAMENTO!$X$15,ROW(AJ347)-ROW(AJ$15),0),
ROUND(ROUND(OFFSET($P347,0,AJ$13),15-13*ORÇAMENTO!$AF$7)*OFFSET(ORÇAMENTO!$W$15,ROW(AJ347)-ROW(AJ$15),0),15-13*ORÇAMENTO!$AF$11)),0)</f>
        <v>0</v>
      </c>
      <c r="AK347" s="546">
        <f ca="1">IF(AND($D347="Serviço",AK$12&lt;&gt;0,$H347&gt;0,OR(AUTOEVENTO&lt;&gt;"manual",$M347&lt;&gt;1)),
IF(Import.TipoArredondamento&lt;&gt;"TransfereGOV",
ROUND(OFFSET($P347,0,AK$13),15-13*ORÇAMENTO!$AF$7)/$H347*OFFSET(ORÇAMENTO!$X$15,ROW(AK347)-ROW(AK$15),0),
ROUND(ROUND(OFFSET($P347,0,AK$13),15-13*ORÇAMENTO!$AF$7)*OFFSET(ORÇAMENTO!$W$15,ROW(AK347)-ROW(AK$15),0),15-13*ORÇAMENTO!$AF$11)),0)</f>
        <v>0</v>
      </c>
      <c r="AM347" s="181">
        <f ca="1">IF($D347&lt;&gt;"Serviço",0,IF(AND(AUTOEVENTO="Manual",$M347=1),0,IF(OFFSET(CRONOPLE!$F$14,$M347,AM$13)="",10^12,OFFSET(CRONOPLE!$F$14,$M347,AM$13))))</f>
        <v>1000000000000</v>
      </c>
      <c r="AN347" s="181">
        <f ca="1">IF($D347&lt;&gt;"Serviço",0,IF(AND(AUTOEVENTO="Manual",$M347=1),0,IF(OFFSET(CRONOPLE!$F$14,$M347,AN$13)="",10^12,OFFSET(CRONOPLE!$F$14,$M347,AN$13))))</f>
        <v>1000000000000</v>
      </c>
      <c r="AO347" s="181">
        <f ca="1">IF($D347&lt;&gt;"Serviço",0,IF(AND(AUTOEVENTO="Manual",$M347=1),0,IF(OFFSET(CRONOPLE!$F$14,$M347,AO$13)="",10^12,OFFSET(CRONOPLE!$F$14,$M347,AO$13))))</f>
        <v>1000000000000</v>
      </c>
      <c r="AP347" s="181">
        <f ca="1">IF($D347&lt;&gt;"Serviço",0,IF(AND(AUTOEVENTO="Manual",$M347=1),0,IF(OFFSET(CRONOPLE!$F$14,$M347,AP$13)="",10^12,OFFSET(CRONOPLE!$F$14,$M347,AP$13))))</f>
        <v>1000000000000</v>
      </c>
      <c r="AQ347" s="181">
        <f ca="1">IF($D347&lt;&gt;"Serviço",0,IF(AND(AUTOEVENTO="Manual",$M347=1),0,IF(OFFSET(CRONOPLE!$F$14,$M347,AQ$13)="",10^12,OFFSET(CRONOPLE!$F$14,$M347,AQ$13))))</f>
        <v>1000000000000</v>
      </c>
      <c r="AR347" s="181">
        <f ca="1">IF($D347&lt;&gt;"Serviço",0,IF(AND(AUTOEVENTO="Manual",$M347=1),0,IF(OFFSET(CRONOPLE!$F$14,$M347,AR$13)="",10^12,OFFSET(CRONOPLE!$F$14,$M347,AR$13))))</f>
        <v>1000000000000</v>
      </c>
      <c r="AS347" s="181">
        <f ca="1">IF($D347&lt;&gt;"Serviço",0,IF(AND(AUTOEVENTO="Manual",$M347=1),0,IF(OFFSET(CRONOPLE!$F$14,$M347,AS$13)="",10^12,OFFSET(CRONOPLE!$F$14,$M347,AS$13))))</f>
        <v>1000000000000</v>
      </c>
      <c r="AT347" s="181">
        <f ca="1">IF($D347&lt;&gt;"Serviço",0,IF(AND(AUTOEVENTO="Manual",$M347=1),0,IF(OFFSET(CRONOPLE!$F$14,$M347,AT$13)="",10^12,OFFSET(CRONOPLE!$F$14,$M347,AT$13))))</f>
        <v>1000000000000</v>
      </c>
      <c r="AU347" s="181">
        <f ca="1">IF($D347&lt;&gt;"Serviço",0,IF(AND(AUTOEVENTO="Manual",$M347=1),0,IF(OFFSET(CRONOPLE!$F$14,$M347,AU$13)="",10^12,OFFSET(CRONOPLE!$F$14,$M347,AU$13))))</f>
        <v>1000000000000</v>
      </c>
      <c r="AV347" s="181">
        <f ca="1">IF($D347&lt;&gt;"Serviço",0,IF(AND(AUTOEVENTO="Manual",$M347=1),0,IF(OFFSET(CRONOPLE!$F$14,$M347,AV$13)="",10^12,OFFSET(CRONOPLE!$F$14,$M347,AV$13))))</f>
        <v>1000000000000</v>
      </c>
      <c r="AX347" s="182">
        <f ca="1">IF($D347&lt;&gt;"Serviço",0,IF(OR(AND(AUTOEVENTO="Manual",$M347=1),$M347&gt;(ROW(PLE.lastrow)-ROW(PLE.firstrow))),0,IF(OFFSET(PLE!$G$14,$M347,AX$13)="",10^12,OFFSET(PLE!$G$14,$M347,AX$13))))</f>
        <v>1000000000000</v>
      </c>
      <c r="AY347" s="182">
        <f ca="1">IF($D347&lt;&gt;"Serviço",0,IF(OR(AND(AUTOEVENTO="Manual",$M347=1),$M347&gt;(ROW(PLE.lastrow)-ROW(PLE.firstrow))),0,IF(OFFSET(PLE!$G$14,$M347,AY$13)="",10^12,OFFSET(PLE!$G$14,$M347,AY$13))))</f>
        <v>1000000000000</v>
      </c>
      <c r="AZ347" s="182">
        <f ca="1">IF($D347&lt;&gt;"Serviço",0,IF(OR(AND(AUTOEVENTO="Manual",$M347=1),$M347&gt;(ROW(PLE.lastrow)-ROW(PLE.firstrow))),0,IF(OFFSET(PLE!$G$14,$M347,AZ$13)="",10^12,OFFSET(PLE!$G$14,$M347,AZ$13))))</f>
        <v>1000000000000</v>
      </c>
      <c r="BA347" s="182">
        <f ca="1">IF($D347&lt;&gt;"Serviço",0,IF(OR(AND(AUTOEVENTO="Manual",$M347=1),$M347&gt;(ROW(PLE.lastrow)-ROW(PLE.firstrow))),0,IF(OFFSET(PLE!$G$14,$M347,BA$13)="",10^12,OFFSET(PLE!$G$14,$M347,BA$13))))</f>
        <v>1000000000000</v>
      </c>
      <c r="BB347" s="182">
        <f ca="1">IF($D347&lt;&gt;"Serviço",0,IF(OR(AND(AUTOEVENTO="Manual",$M347=1),$M347&gt;(ROW(PLE.lastrow)-ROW(PLE.firstrow))),0,IF(OFFSET(PLE!$G$14,$M347,BB$13)="",10^12,OFFSET(PLE!$G$14,$M347,BB$13))))</f>
        <v>1000000000000</v>
      </c>
      <c r="BC347" s="182">
        <f ca="1">IF($D347&lt;&gt;"Serviço",0,IF(OR(AND(AUTOEVENTO="Manual",$M347=1),$M347&gt;(ROW(PLE.lastrow)-ROW(PLE.firstrow))),0,IF(OFFSET(PLE!$G$14,$M347,BC$13)="",10^12,OFFSET(PLE!$G$14,$M347,BC$13))))</f>
        <v>1000000000000</v>
      </c>
      <c r="BD347" s="182">
        <f ca="1">IF($D347&lt;&gt;"Serviço",0,IF(OR(AND(AUTOEVENTO="Manual",$M347=1),$M347&gt;(ROW(PLE.lastrow)-ROW(PLE.firstrow))),0,IF(OFFSET(PLE!$G$14,$M347,BD$13)="",10^12,OFFSET(PLE!$G$14,$M347,BD$13))))</f>
        <v>1000000000000</v>
      </c>
      <c r="BE347" s="182">
        <f ca="1">IF($D347&lt;&gt;"Serviço",0,IF(OR(AND(AUTOEVENTO="Manual",$M347=1),$M347&gt;(ROW(PLE.lastrow)-ROW(PLE.firstrow))),0,IF(OFFSET(PLE!$G$14,$M347,BE$13)="",10^12,OFFSET(PLE!$G$14,$M347,BE$13))))</f>
        <v>1000000000000</v>
      </c>
      <c r="BF347" s="182">
        <f ca="1">IF($D347&lt;&gt;"Serviço",0,IF(OR(AND(AUTOEVENTO="Manual",$M347=1),$M347&gt;(ROW(PLE.lastrow)-ROW(PLE.firstrow))),0,IF(OFFSET(PLE!$G$14,$M347,BF$13)="",10^12,OFFSET(PLE!$G$14,$M347,BF$13))))</f>
        <v>1000000000000</v>
      </c>
      <c r="BG347" s="182">
        <f ca="1">IF($D347&lt;&gt;"Serviço",0,IF(OR(AND(AUTOEVENTO="Manual",$M347=1),$M347&gt;(ROW(PLE.lastrow)-ROW(PLE.firstrow))),0,IF(OFFSET(PLE!$G$14,$M347,BG$13)="",10^12,OFFSET(PLE!$G$14,$M347,BG$13))))</f>
        <v>1000000000000</v>
      </c>
    </row>
    <row r="348" spans="1:59" ht="38.25" x14ac:dyDescent="0.2">
      <c r="A348" s="7" t="str">
        <f t="shared" ca="1" si="11"/>
        <v>325</v>
      </c>
      <c r="B348" s="7" t="str">
        <f ca="1">OFFSET(ORÇAMENTO!C$15,ROW(B348)-ROW(B$15),0)</f>
        <v>S</v>
      </c>
      <c r="C348" s="7" t="str">
        <f ca="1">OFFSET(ORÇAMENTO!L$15,ROW(C348)-ROW(C$15),0)</f>
        <v/>
      </c>
      <c r="D348" s="118" t="str">
        <f ca="1">OFFSET(ORÇAMENTO!N$15,ROW(D348)-ROW(D$15),0)</f>
        <v>Serviço</v>
      </c>
      <c r="E348" s="119" t="str">
        <f ca="1">OFFSET(ORÇAMENTO!O$15,ROW(E348)-ROW(E$15),0)</f>
        <v>-</v>
      </c>
      <c r="F348" s="172" t="str">
        <f ca="1">OFFSET(ORÇAMENTO!R$15,ROW(F348)-ROW(F$15),0)</f>
        <v>(abra o arquivo 'Referência 02-2025.xlsm)</v>
      </c>
      <c r="G348" s="173" t="str">
        <f ca="1">IF($D348&lt;&gt;"Serviço","",OFFSET(ORÇAMENTO!S$15,ROW(G348)-ROW(G$15),0))</f>
        <v>-</v>
      </c>
      <c r="H348" s="124">
        <f ca="1">IF($D348&lt;&gt;"Serviço",0,IF(ACOMPANHAMENTO="BM",ROUND(OFFSET(ORÇAMENTO!AJ$15,ROW(H348)-ROW(H$15),0),15-13*ORÇAMENTO!$AF$7),SUMPRODUCT(($Q$12:$AA$12&lt;&gt;"")*ROUND($Q348:$AA348,15-13*ORÇAMENTO!$AF$7))))</f>
        <v>74</v>
      </c>
      <c r="I348" s="561" t="s">
        <v>890</v>
      </c>
      <c r="K348" s="174"/>
      <c r="L348" s="175" t="s">
        <v>255</v>
      </c>
      <c r="M348" s="176">
        <f ca="1">IF($D348&lt;&gt;"Serviço","",IF(AUTOEVENTO="manual",$A348,IF(ISERROR(MATCH($A348,$A$15:OFFSET($A348,-1,0),0)),MAX($M$15:OFFSET(M348,-1,0))+1,INDEX($M$15:OFFSET(M348,-1,0),MATCH($A348,$A$15:OFFSET($A348,-1,0),0)))))</f>
        <v>15</v>
      </c>
      <c r="N348" s="177" t="str">
        <f ca="1">IF($D348&lt;&gt;"Serviço","",IF(AUTOEVENTO="Manual",IF($A348=0,"&lt;-- defina o número do agrupador",OFFSET(EVENTOS!$D$14,$A348,0)),OFFSET($F$15,$A348,0)))</f>
        <v>INSTALAÇÕES DE ESGOTO SANITÁRIO</v>
      </c>
      <c r="O348" s="178"/>
      <c r="Q348" s="178"/>
      <c r="R348" s="179"/>
      <c r="S348" s="179"/>
      <c r="T348" s="179"/>
      <c r="U348" s="179"/>
      <c r="V348" s="179"/>
      <c r="W348" s="179"/>
      <c r="X348" s="179"/>
      <c r="Y348" s="179"/>
      <c r="Z348" s="180"/>
      <c r="AB348" s="544">
        <f ca="1">IF(AND($D348="Serviço",AB$12&lt;&gt;0,$H348&gt;0,OR(AUTOEVENTO&lt;&gt;"manual",$M348&lt;&gt;1)),
IF(Import.TipoArredondamento&lt;&gt;"TransfereGOV",
ROUND(OFFSET($P348,0,AB$13),15-13*ORÇAMENTO!$AF$7)/$H348*OFFSET(ORÇAMENTO!$X$15,ROW(AB348)-ROW(AB$15),0),
ROUND(ROUND(OFFSET($P348,0,AB$13),15-13*ORÇAMENTO!$AF$7)*OFFSET(ORÇAMENTO!$W$15,ROW(AB348)-ROW(AB$15),0),15-13*ORÇAMENTO!$AF$11)),0)</f>
        <v>0</v>
      </c>
      <c r="AC348" s="545">
        <f ca="1">IF(AND($D348="Serviço",AC$12&lt;&gt;0,$H348&gt;0,OR(AUTOEVENTO&lt;&gt;"manual",$M348&lt;&gt;1)),
IF(Import.TipoArredondamento&lt;&gt;"TransfereGOV",
ROUND(OFFSET($P348,0,AC$13),15-13*ORÇAMENTO!$AF$7)/$H348*OFFSET(ORÇAMENTO!$X$15,ROW(AC348)-ROW(AC$15),0),
ROUND(ROUND(OFFSET($P348,0,AC$13),15-13*ORÇAMENTO!$AF$7)*OFFSET(ORÇAMENTO!$W$15,ROW(AC348)-ROW(AC$15),0),15-13*ORÇAMENTO!$AF$11)),0)</f>
        <v>0</v>
      </c>
      <c r="AD348" s="545">
        <f ca="1">IF(AND($D348="Serviço",AD$12&lt;&gt;0,$H348&gt;0,OR(AUTOEVENTO&lt;&gt;"manual",$M348&lt;&gt;1)),
IF(Import.TipoArredondamento&lt;&gt;"TransfereGOV",
ROUND(OFFSET($P348,0,AD$13),15-13*ORÇAMENTO!$AF$7)/$H348*OFFSET(ORÇAMENTO!$X$15,ROW(AD348)-ROW(AD$15),0),
ROUND(ROUND(OFFSET($P348,0,AD$13),15-13*ORÇAMENTO!$AF$7)*OFFSET(ORÇAMENTO!$W$15,ROW(AD348)-ROW(AD$15),0),15-13*ORÇAMENTO!$AF$11)),0)</f>
        <v>0</v>
      </c>
      <c r="AE348" s="545">
        <f ca="1">IF(AND($D348="Serviço",AE$12&lt;&gt;0,$H348&gt;0,OR(AUTOEVENTO&lt;&gt;"manual",$M348&lt;&gt;1)),
IF(Import.TipoArredondamento&lt;&gt;"TransfereGOV",
ROUND(OFFSET($P348,0,AE$13),15-13*ORÇAMENTO!$AF$7)/$H348*OFFSET(ORÇAMENTO!$X$15,ROW(AE348)-ROW(AE$15),0),
ROUND(ROUND(OFFSET($P348,0,AE$13),15-13*ORÇAMENTO!$AF$7)*OFFSET(ORÇAMENTO!$W$15,ROW(AE348)-ROW(AE$15),0),15-13*ORÇAMENTO!$AF$11)),0)</f>
        <v>0</v>
      </c>
      <c r="AF348" s="545">
        <f ca="1">IF(AND($D348="Serviço",AF$12&lt;&gt;0,$H348&gt;0,OR(AUTOEVENTO&lt;&gt;"manual",$M348&lt;&gt;1)),
IF(Import.TipoArredondamento&lt;&gt;"TransfereGOV",
ROUND(OFFSET($P348,0,AF$13),15-13*ORÇAMENTO!$AF$7)/$H348*OFFSET(ORÇAMENTO!$X$15,ROW(AF348)-ROW(AF$15),0),
ROUND(ROUND(OFFSET($P348,0,AF$13),15-13*ORÇAMENTO!$AF$7)*OFFSET(ORÇAMENTO!$W$15,ROW(AF348)-ROW(AF$15),0),15-13*ORÇAMENTO!$AF$11)),0)</f>
        <v>0</v>
      </c>
      <c r="AG348" s="545">
        <f ca="1">IF(AND($D348="Serviço",AG$12&lt;&gt;0,$H348&gt;0,OR(AUTOEVENTO&lt;&gt;"manual",$M348&lt;&gt;1)),
IF(Import.TipoArredondamento&lt;&gt;"TransfereGOV",
ROUND(OFFSET($P348,0,AG$13),15-13*ORÇAMENTO!$AF$7)/$H348*OFFSET(ORÇAMENTO!$X$15,ROW(AG348)-ROW(AG$15),0),
ROUND(ROUND(OFFSET($P348,0,AG$13),15-13*ORÇAMENTO!$AF$7)*OFFSET(ORÇAMENTO!$W$15,ROW(AG348)-ROW(AG$15),0),15-13*ORÇAMENTO!$AF$11)),0)</f>
        <v>0</v>
      </c>
      <c r="AH348" s="545">
        <f ca="1">IF(AND($D348="Serviço",AH$12&lt;&gt;0,$H348&gt;0,OR(AUTOEVENTO&lt;&gt;"manual",$M348&lt;&gt;1)),
IF(Import.TipoArredondamento&lt;&gt;"TransfereGOV",
ROUND(OFFSET($P348,0,AH$13),15-13*ORÇAMENTO!$AF$7)/$H348*OFFSET(ORÇAMENTO!$X$15,ROW(AH348)-ROW(AH$15),0),
ROUND(ROUND(OFFSET($P348,0,AH$13),15-13*ORÇAMENTO!$AF$7)*OFFSET(ORÇAMENTO!$W$15,ROW(AH348)-ROW(AH$15),0),15-13*ORÇAMENTO!$AF$11)),0)</f>
        <v>0</v>
      </c>
      <c r="AI348" s="545">
        <f ca="1">IF(AND($D348="Serviço",AI$12&lt;&gt;0,$H348&gt;0,OR(AUTOEVENTO&lt;&gt;"manual",$M348&lt;&gt;1)),
IF(Import.TipoArredondamento&lt;&gt;"TransfereGOV",
ROUND(OFFSET($P348,0,AI$13),15-13*ORÇAMENTO!$AF$7)/$H348*OFFSET(ORÇAMENTO!$X$15,ROW(AI348)-ROW(AI$15),0),
ROUND(ROUND(OFFSET($P348,0,AI$13),15-13*ORÇAMENTO!$AF$7)*OFFSET(ORÇAMENTO!$W$15,ROW(AI348)-ROW(AI$15),0),15-13*ORÇAMENTO!$AF$11)),0)</f>
        <v>0</v>
      </c>
      <c r="AJ348" s="545">
        <f ca="1">IF(AND($D348="Serviço",AJ$12&lt;&gt;0,$H348&gt;0,OR(AUTOEVENTO&lt;&gt;"manual",$M348&lt;&gt;1)),
IF(Import.TipoArredondamento&lt;&gt;"TransfereGOV",
ROUND(OFFSET($P348,0,AJ$13),15-13*ORÇAMENTO!$AF$7)/$H348*OFFSET(ORÇAMENTO!$X$15,ROW(AJ348)-ROW(AJ$15),0),
ROUND(ROUND(OFFSET($P348,0,AJ$13),15-13*ORÇAMENTO!$AF$7)*OFFSET(ORÇAMENTO!$W$15,ROW(AJ348)-ROW(AJ$15),0),15-13*ORÇAMENTO!$AF$11)),0)</f>
        <v>0</v>
      </c>
      <c r="AK348" s="546">
        <f ca="1">IF(AND($D348="Serviço",AK$12&lt;&gt;0,$H348&gt;0,OR(AUTOEVENTO&lt;&gt;"manual",$M348&lt;&gt;1)),
IF(Import.TipoArredondamento&lt;&gt;"TransfereGOV",
ROUND(OFFSET($P348,0,AK$13),15-13*ORÇAMENTO!$AF$7)/$H348*OFFSET(ORÇAMENTO!$X$15,ROW(AK348)-ROW(AK$15),0),
ROUND(ROUND(OFFSET($P348,0,AK$13),15-13*ORÇAMENTO!$AF$7)*OFFSET(ORÇAMENTO!$W$15,ROW(AK348)-ROW(AK$15),0),15-13*ORÇAMENTO!$AF$11)),0)</f>
        <v>0</v>
      </c>
      <c r="AM348" s="181">
        <f ca="1">IF($D348&lt;&gt;"Serviço",0,IF(AND(AUTOEVENTO="Manual",$M348=1),0,IF(OFFSET(CRONOPLE!$F$14,$M348,AM$13)="",10^12,OFFSET(CRONOPLE!$F$14,$M348,AM$13))))</f>
        <v>1000000000000</v>
      </c>
      <c r="AN348" s="181">
        <f ca="1">IF($D348&lt;&gt;"Serviço",0,IF(AND(AUTOEVENTO="Manual",$M348=1),0,IF(OFFSET(CRONOPLE!$F$14,$M348,AN$13)="",10^12,OFFSET(CRONOPLE!$F$14,$M348,AN$13))))</f>
        <v>1000000000000</v>
      </c>
      <c r="AO348" s="181">
        <f ca="1">IF($D348&lt;&gt;"Serviço",0,IF(AND(AUTOEVENTO="Manual",$M348=1),0,IF(OFFSET(CRONOPLE!$F$14,$M348,AO$13)="",10^12,OFFSET(CRONOPLE!$F$14,$M348,AO$13))))</f>
        <v>1000000000000</v>
      </c>
      <c r="AP348" s="181">
        <f ca="1">IF($D348&lt;&gt;"Serviço",0,IF(AND(AUTOEVENTO="Manual",$M348=1),0,IF(OFFSET(CRONOPLE!$F$14,$M348,AP$13)="",10^12,OFFSET(CRONOPLE!$F$14,$M348,AP$13))))</f>
        <v>1000000000000</v>
      </c>
      <c r="AQ348" s="181">
        <f ca="1">IF($D348&lt;&gt;"Serviço",0,IF(AND(AUTOEVENTO="Manual",$M348=1),0,IF(OFFSET(CRONOPLE!$F$14,$M348,AQ$13)="",10^12,OFFSET(CRONOPLE!$F$14,$M348,AQ$13))))</f>
        <v>1000000000000</v>
      </c>
      <c r="AR348" s="181">
        <f ca="1">IF($D348&lt;&gt;"Serviço",0,IF(AND(AUTOEVENTO="Manual",$M348=1),0,IF(OFFSET(CRONOPLE!$F$14,$M348,AR$13)="",10^12,OFFSET(CRONOPLE!$F$14,$M348,AR$13))))</f>
        <v>1000000000000</v>
      </c>
      <c r="AS348" s="181">
        <f ca="1">IF($D348&lt;&gt;"Serviço",0,IF(AND(AUTOEVENTO="Manual",$M348=1),0,IF(OFFSET(CRONOPLE!$F$14,$M348,AS$13)="",10^12,OFFSET(CRONOPLE!$F$14,$M348,AS$13))))</f>
        <v>1000000000000</v>
      </c>
      <c r="AT348" s="181">
        <f ca="1">IF($D348&lt;&gt;"Serviço",0,IF(AND(AUTOEVENTO="Manual",$M348=1),0,IF(OFFSET(CRONOPLE!$F$14,$M348,AT$13)="",10^12,OFFSET(CRONOPLE!$F$14,$M348,AT$13))))</f>
        <v>1000000000000</v>
      </c>
      <c r="AU348" s="181">
        <f ca="1">IF($D348&lt;&gt;"Serviço",0,IF(AND(AUTOEVENTO="Manual",$M348=1),0,IF(OFFSET(CRONOPLE!$F$14,$M348,AU$13)="",10^12,OFFSET(CRONOPLE!$F$14,$M348,AU$13))))</f>
        <v>1000000000000</v>
      </c>
      <c r="AV348" s="181">
        <f ca="1">IF($D348&lt;&gt;"Serviço",0,IF(AND(AUTOEVENTO="Manual",$M348=1),0,IF(OFFSET(CRONOPLE!$F$14,$M348,AV$13)="",10^12,OFFSET(CRONOPLE!$F$14,$M348,AV$13))))</f>
        <v>1000000000000</v>
      </c>
      <c r="AX348" s="182">
        <f ca="1">IF($D348&lt;&gt;"Serviço",0,IF(OR(AND(AUTOEVENTO="Manual",$M348=1),$M348&gt;(ROW(PLE.lastrow)-ROW(PLE.firstrow))),0,IF(OFFSET(PLE!$G$14,$M348,AX$13)="",10^12,OFFSET(PLE!$G$14,$M348,AX$13))))</f>
        <v>1000000000000</v>
      </c>
      <c r="AY348" s="182">
        <f ca="1">IF($D348&lt;&gt;"Serviço",0,IF(OR(AND(AUTOEVENTO="Manual",$M348=1),$M348&gt;(ROW(PLE.lastrow)-ROW(PLE.firstrow))),0,IF(OFFSET(PLE!$G$14,$M348,AY$13)="",10^12,OFFSET(PLE!$G$14,$M348,AY$13))))</f>
        <v>1000000000000</v>
      </c>
      <c r="AZ348" s="182">
        <f ca="1">IF($D348&lt;&gt;"Serviço",0,IF(OR(AND(AUTOEVENTO="Manual",$M348=1),$M348&gt;(ROW(PLE.lastrow)-ROW(PLE.firstrow))),0,IF(OFFSET(PLE!$G$14,$M348,AZ$13)="",10^12,OFFSET(PLE!$G$14,$M348,AZ$13))))</f>
        <v>1000000000000</v>
      </c>
      <c r="BA348" s="182">
        <f ca="1">IF($D348&lt;&gt;"Serviço",0,IF(OR(AND(AUTOEVENTO="Manual",$M348=1),$M348&gt;(ROW(PLE.lastrow)-ROW(PLE.firstrow))),0,IF(OFFSET(PLE!$G$14,$M348,BA$13)="",10^12,OFFSET(PLE!$G$14,$M348,BA$13))))</f>
        <v>1000000000000</v>
      </c>
      <c r="BB348" s="182">
        <f ca="1">IF($D348&lt;&gt;"Serviço",0,IF(OR(AND(AUTOEVENTO="Manual",$M348=1),$M348&gt;(ROW(PLE.lastrow)-ROW(PLE.firstrow))),0,IF(OFFSET(PLE!$G$14,$M348,BB$13)="",10^12,OFFSET(PLE!$G$14,$M348,BB$13))))</f>
        <v>1000000000000</v>
      </c>
      <c r="BC348" s="182">
        <f ca="1">IF($D348&lt;&gt;"Serviço",0,IF(OR(AND(AUTOEVENTO="Manual",$M348=1),$M348&gt;(ROW(PLE.lastrow)-ROW(PLE.firstrow))),0,IF(OFFSET(PLE!$G$14,$M348,BC$13)="",10^12,OFFSET(PLE!$G$14,$M348,BC$13))))</f>
        <v>1000000000000</v>
      </c>
      <c r="BD348" s="182">
        <f ca="1">IF($D348&lt;&gt;"Serviço",0,IF(OR(AND(AUTOEVENTO="Manual",$M348=1),$M348&gt;(ROW(PLE.lastrow)-ROW(PLE.firstrow))),0,IF(OFFSET(PLE!$G$14,$M348,BD$13)="",10^12,OFFSET(PLE!$G$14,$M348,BD$13))))</f>
        <v>1000000000000</v>
      </c>
      <c r="BE348" s="182">
        <f ca="1">IF($D348&lt;&gt;"Serviço",0,IF(OR(AND(AUTOEVENTO="Manual",$M348=1),$M348&gt;(ROW(PLE.lastrow)-ROW(PLE.firstrow))),0,IF(OFFSET(PLE!$G$14,$M348,BE$13)="",10^12,OFFSET(PLE!$G$14,$M348,BE$13))))</f>
        <v>1000000000000</v>
      </c>
      <c r="BF348" s="182">
        <f ca="1">IF($D348&lt;&gt;"Serviço",0,IF(OR(AND(AUTOEVENTO="Manual",$M348=1),$M348&gt;(ROW(PLE.lastrow)-ROW(PLE.firstrow))),0,IF(OFFSET(PLE!$G$14,$M348,BF$13)="",10^12,OFFSET(PLE!$G$14,$M348,BF$13))))</f>
        <v>1000000000000</v>
      </c>
      <c r="BG348" s="182">
        <f ca="1">IF($D348&lt;&gt;"Serviço",0,IF(OR(AND(AUTOEVENTO="Manual",$M348=1),$M348&gt;(ROW(PLE.lastrow)-ROW(PLE.firstrow))),0,IF(OFFSET(PLE!$G$14,$M348,BG$13)="",10^12,OFFSET(PLE!$G$14,$M348,BG$13))))</f>
        <v>1000000000000</v>
      </c>
    </row>
    <row r="349" spans="1:59" ht="38.25" x14ac:dyDescent="0.2">
      <c r="A349" s="7" t="str">
        <f t="shared" ca="1" si="11"/>
        <v>325</v>
      </c>
      <c r="B349" s="7" t="str">
        <f ca="1">OFFSET(ORÇAMENTO!C$15,ROW(B349)-ROW(B$15),0)</f>
        <v>S</v>
      </c>
      <c r="C349" s="7" t="str">
        <f ca="1">OFFSET(ORÇAMENTO!L$15,ROW(C349)-ROW(C$15),0)</f>
        <v/>
      </c>
      <c r="D349" s="118" t="str">
        <f ca="1">OFFSET(ORÇAMENTO!N$15,ROW(D349)-ROW(D$15),0)</f>
        <v>Serviço</v>
      </c>
      <c r="E349" s="119" t="str">
        <f ca="1">OFFSET(ORÇAMENTO!O$15,ROW(E349)-ROW(E$15),0)</f>
        <v>-</v>
      </c>
      <c r="F349" s="172" t="str">
        <f ca="1">OFFSET(ORÇAMENTO!R$15,ROW(F349)-ROW(F$15),0)</f>
        <v>(abra o arquivo 'Referência 02-2025.xlsm)</v>
      </c>
      <c r="G349" s="173" t="str">
        <f ca="1">IF($D349&lt;&gt;"Serviço","",OFFSET(ORÇAMENTO!S$15,ROW(G349)-ROW(G$15),0))</f>
        <v>-</v>
      </c>
      <c r="H349" s="124">
        <f ca="1">IF($D349&lt;&gt;"Serviço",0,IF(ACOMPANHAMENTO="BM",ROUND(OFFSET(ORÇAMENTO!AJ$15,ROW(H349)-ROW(H$15),0),15-13*ORÇAMENTO!$AF$7),SUMPRODUCT(($Q$12:$AA$12&lt;&gt;"")*ROUND($Q349:$AA349,15-13*ORÇAMENTO!$AF$7))))</f>
        <v>8</v>
      </c>
      <c r="I349" s="561" t="s">
        <v>890</v>
      </c>
      <c r="K349" s="174"/>
      <c r="L349" s="175" t="s">
        <v>255</v>
      </c>
      <c r="M349" s="176">
        <f ca="1">IF($D349&lt;&gt;"Serviço","",IF(AUTOEVENTO="manual",$A349,IF(ISERROR(MATCH($A349,$A$15:OFFSET($A349,-1,0),0)),MAX($M$15:OFFSET(M349,-1,0))+1,INDEX($M$15:OFFSET(M349,-1,0),MATCH($A349,$A$15:OFFSET($A349,-1,0),0)))))</f>
        <v>15</v>
      </c>
      <c r="N349" s="177" t="str">
        <f ca="1">IF($D349&lt;&gt;"Serviço","",IF(AUTOEVENTO="Manual",IF($A349=0,"&lt;-- defina o número do agrupador",OFFSET(EVENTOS!$D$14,$A349,0)),OFFSET($F$15,$A349,0)))</f>
        <v>INSTALAÇÕES DE ESGOTO SANITÁRIO</v>
      </c>
      <c r="O349" s="178"/>
      <c r="Q349" s="178"/>
      <c r="R349" s="179"/>
      <c r="S349" s="179"/>
      <c r="T349" s="179"/>
      <c r="U349" s="179"/>
      <c r="V349" s="179"/>
      <c r="W349" s="179"/>
      <c r="X349" s="179"/>
      <c r="Y349" s="179"/>
      <c r="Z349" s="180"/>
      <c r="AB349" s="544">
        <f ca="1">IF(AND($D349="Serviço",AB$12&lt;&gt;0,$H349&gt;0,OR(AUTOEVENTO&lt;&gt;"manual",$M349&lt;&gt;1)),
IF(Import.TipoArredondamento&lt;&gt;"TransfereGOV",
ROUND(OFFSET($P349,0,AB$13),15-13*ORÇAMENTO!$AF$7)/$H349*OFFSET(ORÇAMENTO!$X$15,ROW(AB349)-ROW(AB$15),0),
ROUND(ROUND(OFFSET($P349,0,AB$13),15-13*ORÇAMENTO!$AF$7)*OFFSET(ORÇAMENTO!$W$15,ROW(AB349)-ROW(AB$15),0),15-13*ORÇAMENTO!$AF$11)),0)</f>
        <v>0</v>
      </c>
      <c r="AC349" s="545">
        <f ca="1">IF(AND($D349="Serviço",AC$12&lt;&gt;0,$H349&gt;0,OR(AUTOEVENTO&lt;&gt;"manual",$M349&lt;&gt;1)),
IF(Import.TipoArredondamento&lt;&gt;"TransfereGOV",
ROUND(OFFSET($P349,0,AC$13),15-13*ORÇAMENTO!$AF$7)/$H349*OFFSET(ORÇAMENTO!$X$15,ROW(AC349)-ROW(AC$15),0),
ROUND(ROUND(OFFSET($P349,0,AC$13),15-13*ORÇAMENTO!$AF$7)*OFFSET(ORÇAMENTO!$W$15,ROW(AC349)-ROW(AC$15),0),15-13*ORÇAMENTO!$AF$11)),0)</f>
        <v>0</v>
      </c>
      <c r="AD349" s="545">
        <f ca="1">IF(AND($D349="Serviço",AD$12&lt;&gt;0,$H349&gt;0,OR(AUTOEVENTO&lt;&gt;"manual",$M349&lt;&gt;1)),
IF(Import.TipoArredondamento&lt;&gt;"TransfereGOV",
ROUND(OFFSET($P349,0,AD$13),15-13*ORÇAMENTO!$AF$7)/$H349*OFFSET(ORÇAMENTO!$X$15,ROW(AD349)-ROW(AD$15),0),
ROUND(ROUND(OFFSET($P349,0,AD$13),15-13*ORÇAMENTO!$AF$7)*OFFSET(ORÇAMENTO!$W$15,ROW(AD349)-ROW(AD$15),0),15-13*ORÇAMENTO!$AF$11)),0)</f>
        <v>0</v>
      </c>
      <c r="AE349" s="545">
        <f ca="1">IF(AND($D349="Serviço",AE$12&lt;&gt;0,$H349&gt;0,OR(AUTOEVENTO&lt;&gt;"manual",$M349&lt;&gt;1)),
IF(Import.TipoArredondamento&lt;&gt;"TransfereGOV",
ROUND(OFFSET($P349,0,AE$13),15-13*ORÇAMENTO!$AF$7)/$H349*OFFSET(ORÇAMENTO!$X$15,ROW(AE349)-ROW(AE$15),0),
ROUND(ROUND(OFFSET($P349,0,AE$13),15-13*ORÇAMENTO!$AF$7)*OFFSET(ORÇAMENTO!$W$15,ROW(AE349)-ROW(AE$15),0),15-13*ORÇAMENTO!$AF$11)),0)</f>
        <v>0</v>
      </c>
      <c r="AF349" s="545">
        <f ca="1">IF(AND($D349="Serviço",AF$12&lt;&gt;0,$H349&gt;0,OR(AUTOEVENTO&lt;&gt;"manual",$M349&lt;&gt;1)),
IF(Import.TipoArredondamento&lt;&gt;"TransfereGOV",
ROUND(OFFSET($P349,0,AF$13),15-13*ORÇAMENTO!$AF$7)/$H349*OFFSET(ORÇAMENTO!$X$15,ROW(AF349)-ROW(AF$15),0),
ROUND(ROUND(OFFSET($P349,0,AF$13),15-13*ORÇAMENTO!$AF$7)*OFFSET(ORÇAMENTO!$W$15,ROW(AF349)-ROW(AF$15),0),15-13*ORÇAMENTO!$AF$11)),0)</f>
        <v>0</v>
      </c>
      <c r="AG349" s="545">
        <f ca="1">IF(AND($D349="Serviço",AG$12&lt;&gt;0,$H349&gt;0,OR(AUTOEVENTO&lt;&gt;"manual",$M349&lt;&gt;1)),
IF(Import.TipoArredondamento&lt;&gt;"TransfereGOV",
ROUND(OFFSET($P349,0,AG$13),15-13*ORÇAMENTO!$AF$7)/$H349*OFFSET(ORÇAMENTO!$X$15,ROW(AG349)-ROW(AG$15),0),
ROUND(ROUND(OFFSET($P349,0,AG$13),15-13*ORÇAMENTO!$AF$7)*OFFSET(ORÇAMENTO!$W$15,ROW(AG349)-ROW(AG$15),0),15-13*ORÇAMENTO!$AF$11)),0)</f>
        <v>0</v>
      </c>
      <c r="AH349" s="545">
        <f ca="1">IF(AND($D349="Serviço",AH$12&lt;&gt;0,$H349&gt;0,OR(AUTOEVENTO&lt;&gt;"manual",$M349&lt;&gt;1)),
IF(Import.TipoArredondamento&lt;&gt;"TransfereGOV",
ROUND(OFFSET($P349,0,AH$13),15-13*ORÇAMENTO!$AF$7)/$H349*OFFSET(ORÇAMENTO!$X$15,ROW(AH349)-ROW(AH$15),0),
ROUND(ROUND(OFFSET($P349,0,AH$13),15-13*ORÇAMENTO!$AF$7)*OFFSET(ORÇAMENTO!$W$15,ROW(AH349)-ROW(AH$15),0),15-13*ORÇAMENTO!$AF$11)),0)</f>
        <v>0</v>
      </c>
      <c r="AI349" s="545">
        <f ca="1">IF(AND($D349="Serviço",AI$12&lt;&gt;0,$H349&gt;0,OR(AUTOEVENTO&lt;&gt;"manual",$M349&lt;&gt;1)),
IF(Import.TipoArredondamento&lt;&gt;"TransfereGOV",
ROUND(OFFSET($P349,0,AI$13),15-13*ORÇAMENTO!$AF$7)/$H349*OFFSET(ORÇAMENTO!$X$15,ROW(AI349)-ROW(AI$15),0),
ROUND(ROUND(OFFSET($P349,0,AI$13),15-13*ORÇAMENTO!$AF$7)*OFFSET(ORÇAMENTO!$W$15,ROW(AI349)-ROW(AI$15),0),15-13*ORÇAMENTO!$AF$11)),0)</f>
        <v>0</v>
      </c>
      <c r="AJ349" s="545">
        <f ca="1">IF(AND($D349="Serviço",AJ$12&lt;&gt;0,$H349&gt;0,OR(AUTOEVENTO&lt;&gt;"manual",$M349&lt;&gt;1)),
IF(Import.TipoArredondamento&lt;&gt;"TransfereGOV",
ROUND(OFFSET($P349,0,AJ$13),15-13*ORÇAMENTO!$AF$7)/$H349*OFFSET(ORÇAMENTO!$X$15,ROW(AJ349)-ROW(AJ$15),0),
ROUND(ROUND(OFFSET($P349,0,AJ$13),15-13*ORÇAMENTO!$AF$7)*OFFSET(ORÇAMENTO!$W$15,ROW(AJ349)-ROW(AJ$15),0),15-13*ORÇAMENTO!$AF$11)),0)</f>
        <v>0</v>
      </c>
      <c r="AK349" s="546">
        <f ca="1">IF(AND($D349="Serviço",AK$12&lt;&gt;0,$H349&gt;0,OR(AUTOEVENTO&lt;&gt;"manual",$M349&lt;&gt;1)),
IF(Import.TipoArredondamento&lt;&gt;"TransfereGOV",
ROUND(OFFSET($P349,0,AK$13),15-13*ORÇAMENTO!$AF$7)/$H349*OFFSET(ORÇAMENTO!$X$15,ROW(AK349)-ROW(AK$15),0),
ROUND(ROUND(OFFSET($P349,0,AK$13),15-13*ORÇAMENTO!$AF$7)*OFFSET(ORÇAMENTO!$W$15,ROW(AK349)-ROW(AK$15),0),15-13*ORÇAMENTO!$AF$11)),0)</f>
        <v>0</v>
      </c>
      <c r="AM349" s="181">
        <f ca="1">IF($D349&lt;&gt;"Serviço",0,IF(AND(AUTOEVENTO="Manual",$M349=1),0,IF(OFFSET(CRONOPLE!$F$14,$M349,AM$13)="",10^12,OFFSET(CRONOPLE!$F$14,$M349,AM$13))))</f>
        <v>1000000000000</v>
      </c>
      <c r="AN349" s="181">
        <f ca="1">IF($D349&lt;&gt;"Serviço",0,IF(AND(AUTOEVENTO="Manual",$M349=1),0,IF(OFFSET(CRONOPLE!$F$14,$M349,AN$13)="",10^12,OFFSET(CRONOPLE!$F$14,$M349,AN$13))))</f>
        <v>1000000000000</v>
      </c>
      <c r="AO349" s="181">
        <f ca="1">IF($D349&lt;&gt;"Serviço",0,IF(AND(AUTOEVENTO="Manual",$M349=1),0,IF(OFFSET(CRONOPLE!$F$14,$M349,AO$13)="",10^12,OFFSET(CRONOPLE!$F$14,$M349,AO$13))))</f>
        <v>1000000000000</v>
      </c>
      <c r="AP349" s="181">
        <f ca="1">IF($D349&lt;&gt;"Serviço",0,IF(AND(AUTOEVENTO="Manual",$M349=1),0,IF(OFFSET(CRONOPLE!$F$14,$M349,AP$13)="",10^12,OFFSET(CRONOPLE!$F$14,$M349,AP$13))))</f>
        <v>1000000000000</v>
      </c>
      <c r="AQ349" s="181">
        <f ca="1">IF($D349&lt;&gt;"Serviço",0,IF(AND(AUTOEVENTO="Manual",$M349=1),0,IF(OFFSET(CRONOPLE!$F$14,$M349,AQ$13)="",10^12,OFFSET(CRONOPLE!$F$14,$M349,AQ$13))))</f>
        <v>1000000000000</v>
      </c>
      <c r="AR349" s="181">
        <f ca="1">IF($D349&lt;&gt;"Serviço",0,IF(AND(AUTOEVENTO="Manual",$M349=1),0,IF(OFFSET(CRONOPLE!$F$14,$M349,AR$13)="",10^12,OFFSET(CRONOPLE!$F$14,$M349,AR$13))))</f>
        <v>1000000000000</v>
      </c>
      <c r="AS349" s="181">
        <f ca="1">IF($D349&lt;&gt;"Serviço",0,IF(AND(AUTOEVENTO="Manual",$M349=1),0,IF(OFFSET(CRONOPLE!$F$14,$M349,AS$13)="",10^12,OFFSET(CRONOPLE!$F$14,$M349,AS$13))))</f>
        <v>1000000000000</v>
      </c>
      <c r="AT349" s="181">
        <f ca="1">IF($D349&lt;&gt;"Serviço",0,IF(AND(AUTOEVENTO="Manual",$M349=1),0,IF(OFFSET(CRONOPLE!$F$14,$M349,AT$13)="",10^12,OFFSET(CRONOPLE!$F$14,$M349,AT$13))))</f>
        <v>1000000000000</v>
      </c>
      <c r="AU349" s="181">
        <f ca="1">IF($D349&lt;&gt;"Serviço",0,IF(AND(AUTOEVENTO="Manual",$M349=1),0,IF(OFFSET(CRONOPLE!$F$14,$M349,AU$13)="",10^12,OFFSET(CRONOPLE!$F$14,$M349,AU$13))))</f>
        <v>1000000000000</v>
      </c>
      <c r="AV349" s="181">
        <f ca="1">IF($D349&lt;&gt;"Serviço",0,IF(AND(AUTOEVENTO="Manual",$M349=1),0,IF(OFFSET(CRONOPLE!$F$14,$M349,AV$13)="",10^12,OFFSET(CRONOPLE!$F$14,$M349,AV$13))))</f>
        <v>1000000000000</v>
      </c>
      <c r="AX349" s="182">
        <f ca="1">IF($D349&lt;&gt;"Serviço",0,IF(OR(AND(AUTOEVENTO="Manual",$M349=1),$M349&gt;(ROW(PLE.lastrow)-ROW(PLE.firstrow))),0,IF(OFFSET(PLE!$G$14,$M349,AX$13)="",10^12,OFFSET(PLE!$G$14,$M349,AX$13))))</f>
        <v>1000000000000</v>
      </c>
      <c r="AY349" s="182">
        <f ca="1">IF($D349&lt;&gt;"Serviço",0,IF(OR(AND(AUTOEVENTO="Manual",$M349=1),$M349&gt;(ROW(PLE.lastrow)-ROW(PLE.firstrow))),0,IF(OFFSET(PLE!$G$14,$M349,AY$13)="",10^12,OFFSET(PLE!$G$14,$M349,AY$13))))</f>
        <v>1000000000000</v>
      </c>
      <c r="AZ349" s="182">
        <f ca="1">IF($D349&lt;&gt;"Serviço",0,IF(OR(AND(AUTOEVENTO="Manual",$M349=1),$M349&gt;(ROW(PLE.lastrow)-ROW(PLE.firstrow))),0,IF(OFFSET(PLE!$G$14,$M349,AZ$13)="",10^12,OFFSET(PLE!$G$14,$M349,AZ$13))))</f>
        <v>1000000000000</v>
      </c>
      <c r="BA349" s="182">
        <f ca="1">IF($D349&lt;&gt;"Serviço",0,IF(OR(AND(AUTOEVENTO="Manual",$M349=1),$M349&gt;(ROW(PLE.lastrow)-ROW(PLE.firstrow))),0,IF(OFFSET(PLE!$G$14,$M349,BA$13)="",10^12,OFFSET(PLE!$G$14,$M349,BA$13))))</f>
        <v>1000000000000</v>
      </c>
      <c r="BB349" s="182">
        <f ca="1">IF($D349&lt;&gt;"Serviço",0,IF(OR(AND(AUTOEVENTO="Manual",$M349=1),$M349&gt;(ROW(PLE.lastrow)-ROW(PLE.firstrow))),0,IF(OFFSET(PLE!$G$14,$M349,BB$13)="",10^12,OFFSET(PLE!$G$14,$M349,BB$13))))</f>
        <v>1000000000000</v>
      </c>
      <c r="BC349" s="182">
        <f ca="1">IF($D349&lt;&gt;"Serviço",0,IF(OR(AND(AUTOEVENTO="Manual",$M349=1),$M349&gt;(ROW(PLE.lastrow)-ROW(PLE.firstrow))),0,IF(OFFSET(PLE!$G$14,$M349,BC$13)="",10^12,OFFSET(PLE!$G$14,$M349,BC$13))))</f>
        <v>1000000000000</v>
      </c>
      <c r="BD349" s="182">
        <f ca="1">IF($D349&lt;&gt;"Serviço",0,IF(OR(AND(AUTOEVENTO="Manual",$M349=1),$M349&gt;(ROW(PLE.lastrow)-ROW(PLE.firstrow))),0,IF(OFFSET(PLE!$G$14,$M349,BD$13)="",10^12,OFFSET(PLE!$G$14,$M349,BD$13))))</f>
        <v>1000000000000</v>
      </c>
      <c r="BE349" s="182">
        <f ca="1">IF($D349&lt;&gt;"Serviço",0,IF(OR(AND(AUTOEVENTO="Manual",$M349=1),$M349&gt;(ROW(PLE.lastrow)-ROW(PLE.firstrow))),0,IF(OFFSET(PLE!$G$14,$M349,BE$13)="",10^12,OFFSET(PLE!$G$14,$M349,BE$13))))</f>
        <v>1000000000000</v>
      </c>
      <c r="BF349" s="182">
        <f ca="1">IF($D349&lt;&gt;"Serviço",0,IF(OR(AND(AUTOEVENTO="Manual",$M349=1),$M349&gt;(ROW(PLE.lastrow)-ROW(PLE.firstrow))),0,IF(OFFSET(PLE!$G$14,$M349,BF$13)="",10^12,OFFSET(PLE!$G$14,$M349,BF$13))))</f>
        <v>1000000000000</v>
      </c>
      <c r="BG349" s="182">
        <f ca="1">IF($D349&lt;&gt;"Serviço",0,IF(OR(AND(AUTOEVENTO="Manual",$M349=1),$M349&gt;(ROW(PLE.lastrow)-ROW(PLE.firstrow))),0,IF(OFFSET(PLE!$G$14,$M349,BG$13)="",10^12,OFFSET(PLE!$G$14,$M349,BG$13))))</f>
        <v>1000000000000</v>
      </c>
    </row>
    <row r="350" spans="1:59" ht="38.25" x14ac:dyDescent="0.2">
      <c r="A350" s="7" t="str">
        <f t="shared" ca="1" si="11"/>
        <v>325</v>
      </c>
      <c r="B350" s="7" t="str">
        <f ca="1">OFFSET(ORÇAMENTO!C$15,ROW(B350)-ROW(B$15),0)</f>
        <v>S</v>
      </c>
      <c r="C350" s="7" t="str">
        <f ca="1">OFFSET(ORÇAMENTO!L$15,ROW(C350)-ROW(C$15),0)</f>
        <v/>
      </c>
      <c r="D350" s="118" t="str">
        <f ca="1">OFFSET(ORÇAMENTO!N$15,ROW(D350)-ROW(D$15),0)</f>
        <v>Serviço</v>
      </c>
      <c r="E350" s="119" t="str">
        <f ca="1">OFFSET(ORÇAMENTO!O$15,ROW(E350)-ROW(E$15),0)</f>
        <v>-</v>
      </c>
      <c r="F350" s="172" t="str">
        <f ca="1">OFFSET(ORÇAMENTO!R$15,ROW(F350)-ROW(F$15),0)</f>
        <v>(abra o arquivo 'Referência 02-2025.xlsm)</v>
      </c>
      <c r="G350" s="173" t="str">
        <f ca="1">IF($D350&lt;&gt;"Serviço","",OFFSET(ORÇAMENTO!S$15,ROW(G350)-ROW(G$15),0))</f>
        <v>-</v>
      </c>
      <c r="H350" s="124">
        <f ca="1">IF($D350&lt;&gt;"Serviço",0,IF(ACOMPANHAMENTO="BM",ROUND(OFFSET(ORÇAMENTO!AJ$15,ROW(H350)-ROW(H$15),0),15-13*ORÇAMENTO!$AF$7),SUMPRODUCT(($Q$12:$AA$12&lt;&gt;"")*ROUND($Q350:$AA350,15-13*ORÇAMENTO!$AF$7))))</f>
        <v>24</v>
      </c>
      <c r="I350" s="561" t="s">
        <v>890</v>
      </c>
      <c r="K350" s="174"/>
      <c r="L350" s="175" t="s">
        <v>255</v>
      </c>
      <c r="M350" s="176">
        <f ca="1">IF($D350&lt;&gt;"Serviço","",IF(AUTOEVENTO="manual",$A350,IF(ISERROR(MATCH($A350,$A$15:OFFSET($A350,-1,0),0)),MAX($M$15:OFFSET(M350,-1,0))+1,INDEX($M$15:OFFSET(M350,-1,0),MATCH($A350,$A$15:OFFSET($A350,-1,0),0)))))</f>
        <v>15</v>
      </c>
      <c r="N350" s="177" t="str">
        <f ca="1">IF($D350&lt;&gt;"Serviço","",IF(AUTOEVENTO="Manual",IF($A350=0,"&lt;-- defina o número do agrupador",OFFSET(EVENTOS!$D$14,$A350,0)),OFFSET($F$15,$A350,0)))</f>
        <v>INSTALAÇÕES DE ESGOTO SANITÁRIO</v>
      </c>
      <c r="O350" s="178"/>
      <c r="Q350" s="178"/>
      <c r="R350" s="179"/>
      <c r="S350" s="179"/>
      <c r="T350" s="179"/>
      <c r="U350" s="179"/>
      <c r="V350" s="179"/>
      <c r="W350" s="179"/>
      <c r="X350" s="179"/>
      <c r="Y350" s="179"/>
      <c r="Z350" s="180"/>
      <c r="AB350" s="544">
        <f ca="1">IF(AND($D350="Serviço",AB$12&lt;&gt;0,$H350&gt;0,OR(AUTOEVENTO&lt;&gt;"manual",$M350&lt;&gt;1)),
IF(Import.TipoArredondamento&lt;&gt;"TransfereGOV",
ROUND(OFFSET($P350,0,AB$13),15-13*ORÇAMENTO!$AF$7)/$H350*OFFSET(ORÇAMENTO!$X$15,ROW(AB350)-ROW(AB$15),0),
ROUND(ROUND(OFFSET($P350,0,AB$13),15-13*ORÇAMENTO!$AF$7)*OFFSET(ORÇAMENTO!$W$15,ROW(AB350)-ROW(AB$15),0),15-13*ORÇAMENTO!$AF$11)),0)</f>
        <v>0</v>
      </c>
      <c r="AC350" s="545">
        <f ca="1">IF(AND($D350="Serviço",AC$12&lt;&gt;0,$H350&gt;0,OR(AUTOEVENTO&lt;&gt;"manual",$M350&lt;&gt;1)),
IF(Import.TipoArredondamento&lt;&gt;"TransfereGOV",
ROUND(OFFSET($P350,0,AC$13),15-13*ORÇAMENTO!$AF$7)/$H350*OFFSET(ORÇAMENTO!$X$15,ROW(AC350)-ROW(AC$15),0),
ROUND(ROUND(OFFSET($P350,0,AC$13),15-13*ORÇAMENTO!$AF$7)*OFFSET(ORÇAMENTO!$W$15,ROW(AC350)-ROW(AC$15),0),15-13*ORÇAMENTO!$AF$11)),0)</f>
        <v>0</v>
      </c>
      <c r="AD350" s="545">
        <f ca="1">IF(AND($D350="Serviço",AD$12&lt;&gt;0,$H350&gt;0,OR(AUTOEVENTO&lt;&gt;"manual",$M350&lt;&gt;1)),
IF(Import.TipoArredondamento&lt;&gt;"TransfereGOV",
ROUND(OFFSET($P350,0,AD$13),15-13*ORÇAMENTO!$AF$7)/$H350*OFFSET(ORÇAMENTO!$X$15,ROW(AD350)-ROW(AD$15),0),
ROUND(ROUND(OFFSET($P350,0,AD$13),15-13*ORÇAMENTO!$AF$7)*OFFSET(ORÇAMENTO!$W$15,ROW(AD350)-ROW(AD$15),0),15-13*ORÇAMENTO!$AF$11)),0)</f>
        <v>0</v>
      </c>
      <c r="AE350" s="545">
        <f ca="1">IF(AND($D350="Serviço",AE$12&lt;&gt;0,$H350&gt;0,OR(AUTOEVENTO&lt;&gt;"manual",$M350&lt;&gt;1)),
IF(Import.TipoArredondamento&lt;&gt;"TransfereGOV",
ROUND(OFFSET($P350,0,AE$13),15-13*ORÇAMENTO!$AF$7)/$H350*OFFSET(ORÇAMENTO!$X$15,ROW(AE350)-ROW(AE$15),0),
ROUND(ROUND(OFFSET($P350,0,AE$13),15-13*ORÇAMENTO!$AF$7)*OFFSET(ORÇAMENTO!$W$15,ROW(AE350)-ROW(AE$15),0),15-13*ORÇAMENTO!$AF$11)),0)</f>
        <v>0</v>
      </c>
      <c r="AF350" s="545">
        <f ca="1">IF(AND($D350="Serviço",AF$12&lt;&gt;0,$H350&gt;0,OR(AUTOEVENTO&lt;&gt;"manual",$M350&lt;&gt;1)),
IF(Import.TipoArredondamento&lt;&gt;"TransfereGOV",
ROUND(OFFSET($P350,0,AF$13),15-13*ORÇAMENTO!$AF$7)/$H350*OFFSET(ORÇAMENTO!$X$15,ROW(AF350)-ROW(AF$15),0),
ROUND(ROUND(OFFSET($P350,0,AF$13),15-13*ORÇAMENTO!$AF$7)*OFFSET(ORÇAMENTO!$W$15,ROW(AF350)-ROW(AF$15),0),15-13*ORÇAMENTO!$AF$11)),0)</f>
        <v>0</v>
      </c>
      <c r="AG350" s="545">
        <f ca="1">IF(AND($D350="Serviço",AG$12&lt;&gt;0,$H350&gt;0,OR(AUTOEVENTO&lt;&gt;"manual",$M350&lt;&gt;1)),
IF(Import.TipoArredondamento&lt;&gt;"TransfereGOV",
ROUND(OFFSET($P350,0,AG$13),15-13*ORÇAMENTO!$AF$7)/$H350*OFFSET(ORÇAMENTO!$X$15,ROW(AG350)-ROW(AG$15),0),
ROUND(ROUND(OFFSET($P350,0,AG$13),15-13*ORÇAMENTO!$AF$7)*OFFSET(ORÇAMENTO!$W$15,ROW(AG350)-ROW(AG$15),0),15-13*ORÇAMENTO!$AF$11)),0)</f>
        <v>0</v>
      </c>
      <c r="AH350" s="545">
        <f ca="1">IF(AND($D350="Serviço",AH$12&lt;&gt;0,$H350&gt;0,OR(AUTOEVENTO&lt;&gt;"manual",$M350&lt;&gt;1)),
IF(Import.TipoArredondamento&lt;&gt;"TransfereGOV",
ROUND(OFFSET($P350,0,AH$13),15-13*ORÇAMENTO!$AF$7)/$H350*OFFSET(ORÇAMENTO!$X$15,ROW(AH350)-ROW(AH$15),0),
ROUND(ROUND(OFFSET($P350,0,AH$13),15-13*ORÇAMENTO!$AF$7)*OFFSET(ORÇAMENTO!$W$15,ROW(AH350)-ROW(AH$15),0),15-13*ORÇAMENTO!$AF$11)),0)</f>
        <v>0</v>
      </c>
      <c r="AI350" s="545">
        <f ca="1">IF(AND($D350="Serviço",AI$12&lt;&gt;0,$H350&gt;0,OR(AUTOEVENTO&lt;&gt;"manual",$M350&lt;&gt;1)),
IF(Import.TipoArredondamento&lt;&gt;"TransfereGOV",
ROUND(OFFSET($P350,0,AI$13),15-13*ORÇAMENTO!$AF$7)/$H350*OFFSET(ORÇAMENTO!$X$15,ROW(AI350)-ROW(AI$15),0),
ROUND(ROUND(OFFSET($P350,0,AI$13),15-13*ORÇAMENTO!$AF$7)*OFFSET(ORÇAMENTO!$W$15,ROW(AI350)-ROW(AI$15),0),15-13*ORÇAMENTO!$AF$11)),0)</f>
        <v>0</v>
      </c>
      <c r="AJ350" s="545">
        <f ca="1">IF(AND($D350="Serviço",AJ$12&lt;&gt;0,$H350&gt;0,OR(AUTOEVENTO&lt;&gt;"manual",$M350&lt;&gt;1)),
IF(Import.TipoArredondamento&lt;&gt;"TransfereGOV",
ROUND(OFFSET($P350,0,AJ$13),15-13*ORÇAMENTO!$AF$7)/$H350*OFFSET(ORÇAMENTO!$X$15,ROW(AJ350)-ROW(AJ$15),0),
ROUND(ROUND(OFFSET($P350,0,AJ$13),15-13*ORÇAMENTO!$AF$7)*OFFSET(ORÇAMENTO!$W$15,ROW(AJ350)-ROW(AJ$15),0),15-13*ORÇAMENTO!$AF$11)),0)</f>
        <v>0</v>
      </c>
      <c r="AK350" s="546">
        <f ca="1">IF(AND($D350="Serviço",AK$12&lt;&gt;0,$H350&gt;0,OR(AUTOEVENTO&lt;&gt;"manual",$M350&lt;&gt;1)),
IF(Import.TipoArredondamento&lt;&gt;"TransfereGOV",
ROUND(OFFSET($P350,0,AK$13),15-13*ORÇAMENTO!$AF$7)/$H350*OFFSET(ORÇAMENTO!$X$15,ROW(AK350)-ROW(AK$15),0),
ROUND(ROUND(OFFSET($P350,0,AK$13),15-13*ORÇAMENTO!$AF$7)*OFFSET(ORÇAMENTO!$W$15,ROW(AK350)-ROW(AK$15),0),15-13*ORÇAMENTO!$AF$11)),0)</f>
        <v>0</v>
      </c>
      <c r="AM350" s="181">
        <f ca="1">IF($D350&lt;&gt;"Serviço",0,IF(AND(AUTOEVENTO="Manual",$M350=1),0,IF(OFFSET(CRONOPLE!$F$14,$M350,AM$13)="",10^12,OFFSET(CRONOPLE!$F$14,$M350,AM$13))))</f>
        <v>1000000000000</v>
      </c>
      <c r="AN350" s="181">
        <f ca="1">IF($D350&lt;&gt;"Serviço",0,IF(AND(AUTOEVENTO="Manual",$M350=1),0,IF(OFFSET(CRONOPLE!$F$14,$M350,AN$13)="",10^12,OFFSET(CRONOPLE!$F$14,$M350,AN$13))))</f>
        <v>1000000000000</v>
      </c>
      <c r="AO350" s="181">
        <f ca="1">IF($D350&lt;&gt;"Serviço",0,IF(AND(AUTOEVENTO="Manual",$M350=1),0,IF(OFFSET(CRONOPLE!$F$14,$M350,AO$13)="",10^12,OFFSET(CRONOPLE!$F$14,$M350,AO$13))))</f>
        <v>1000000000000</v>
      </c>
      <c r="AP350" s="181">
        <f ca="1">IF($D350&lt;&gt;"Serviço",0,IF(AND(AUTOEVENTO="Manual",$M350=1),0,IF(OFFSET(CRONOPLE!$F$14,$M350,AP$13)="",10^12,OFFSET(CRONOPLE!$F$14,$M350,AP$13))))</f>
        <v>1000000000000</v>
      </c>
      <c r="AQ350" s="181">
        <f ca="1">IF($D350&lt;&gt;"Serviço",0,IF(AND(AUTOEVENTO="Manual",$M350=1),0,IF(OFFSET(CRONOPLE!$F$14,$M350,AQ$13)="",10^12,OFFSET(CRONOPLE!$F$14,$M350,AQ$13))))</f>
        <v>1000000000000</v>
      </c>
      <c r="AR350" s="181">
        <f ca="1">IF($D350&lt;&gt;"Serviço",0,IF(AND(AUTOEVENTO="Manual",$M350=1),0,IF(OFFSET(CRONOPLE!$F$14,$M350,AR$13)="",10^12,OFFSET(CRONOPLE!$F$14,$M350,AR$13))))</f>
        <v>1000000000000</v>
      </c>
      <c r="AS350" s="181">
        <f ca="1">IF($D350&lt;&gt;"Serviço",0,IF(AND(AUTOEVENTO="Manual",$M350=1),0,IF(OFFSET(CRONOPLE!$F$14,$M350,AS$13)="",10^12,OFFSET(CRONOPLE!$F$14,$M350,AS$13))))</f>
        <v>1000000000000</v>
      </c>
      <c r="AT350" s="181">
        <f ca="1">IF($D350&lt;&gt;"Serviço",0,IF(AND(AUTOEVENTO="Manual",$M350=1),0,IF(OFFSET(CRONOPLE!$F$14,$M350,AT$13)="",10^12,OFFSET(CRONOPLE!$F$14,$M350,AT$13))))</f>
        <v>1000000000000</v>
      </c>
      <c r="AU350" s="181">
        <f ca="1">IF($D350&lt;&gt;"Serviço",0,IF(AND(AUTOEVENTO="Manual",$M350=1),0,IF(OFFSET(CRONOPLE!$F$14,$M350,AU$13)="",10^12,OFFSET(CRONOPLE!$F$14,$M350,AU$13))))</f>
        <v>1000000000000</v>
      </c>
      <c r="AV350" s="181">
        <f ca="1">IF($D350&lt;&gt;"Serviço",0,IF(AND(AUTOEVENTO="Manual",$M350=1),0,IF(OFFSET(CRONOPLE!$F$14,$M350,AV$13)="",10^12,OFFSET(CRONOPLE!$F$14,$M350,AV$13))))</f>
        <v>1000000000000</v>
      </c>
      <c r="AX350" s="182">
        <f ca="1">IF($D350&lt;&gt;"Serviço",0,IF(OR(AND(AUTOEVENTO="Manual",$M350=1),$M350&gt;(ROW(PLE.lastrow)-ROW(PLE.firstrow))),0,IF(OFFSET(PLE!$G$14,$M350,AX$13)="",10^12,OFFSET(PLE!$G$14,$M350,AX$13))))</f>
        <v>1000000000000</v>
      </c>
      <c r="AY350" s="182">
        <f ca="1">IF($D350&lt;&gt;"Serviço",0,IF(OR(AND(AUTOEVENTO="Manual",$M350=1),$M350&gt;(ROW(PLE.lastrow)-ROW(PLE.firstrow))),0,IF(OFFSET(PLE!$G$14,$M350,AY$13)="",10^12,OFFSET(PLE!$G$14,$M350,AY$13))))</f>
        <v>1000000000000</v>
      </c>
      <c r="AZ350" s="182">
        <f ca="1">IF($D350&lt;&gt;"Serviço",0,IF(OR(AND(AUTOEVENTO="Manual",$M350=1),$M350&gt;(ROW(PLE.lastrow)-ROW(PLE.firstrow))),0,IF(OFFSET(PLE!$G$14,$M350,AZ$13)="",10^12,OFFSET(PLE!$G$14,$M350,AZ$13))))</f>
        <v>1000000000000</v>
      </c>
      <c r="BA350" s="182">
        <f ca="1">IF($D350&lt;&gt;"Serviço",0,IF(OR(AND(AUTOEVENTO="Manual",$M350=1),$M350&gt;(ROW(PLE.lastrow)-ROW(PLE.firstrow))),0,IF(OFFSET(PLE!$G$14,$M350,BA$13)="",10^12,OFFSET(PLE!$G$14,$M350,BA$13))))</f>
        <v>1000000000000</v>
      </c>
      <c r="BB350" s="182">
        <f ca="1">IF($D350&lt;&gt;"Serviço",0,IF(OR(AND(AUTOEVENTO="Manual",$M350=1),$M350&gt;(ROW(PLE.lastrow)-ROW(PLE.firstrow))),0,IF(OFFSET(PLE!$G$14,$M350,BB$13)="",10^12,OFFSET(PLE!$G$14,$M350,BB$13))))</f>
        <v>1000000000000</v>
      </c>
      <c r="BC350" s="182">
        <f ca="1">IF($D350&lt;&gt;"Serviço",0,IF(OR(AND(AUTOEVENTO="Manual",$M350=1),$M350&gt;(ROW(PLE.lastrow)-ROW(PLE.firstrow))),0,IF(OFFSET(PLE!$G$14,$M350,BC$13)="",10^12,OFFSET(PLE!$G$14,$M350,BC$13))))</f>
        <v>1000000000000</v>
      </c>
      <c r="BD350" s="182">
        <f ca="1">IF($D350&lt;&gt;"Serviço",0,IF(OR(AND(AUTOEVENTO="Manual",$M350=1),$M350&gt;(ROW(PLE.lastrow)-ROW(PLE.firstrow))),0,IF(OFFSET(PLE!$G$14,$M350,BD$13)="",10^12,OFFSET(PLE!$G$14,$M350,BD$13))))</f>
        <v>1000000000000</v>
      </c>
      <c r="BE350" s="182">
        <f ca="1">IF($D350&lt;&gt;"Serviço",0,IF(OR(AND(AUTOEVENTO="Manual",$M350=1),$M350&gt;(ROW(PLE.lastrow)-ROW(PLE.firstrow))),0,IF(OFFSET(PLE!$G$14,$M350,BE$13)="",10^12,OFFSET(PLE!$G$14,$M350,BE$13))))</f>
        <v>1000000000000</v>
      </c>
      <c r="BF350" s="182">
        <f ca="1">IF($D350&lt;&gt;"Serviço",0,IF(OR(AND(AUTOEVENTO="Manual",$M350=1),$M350&gt;(ROW(PLE.lastrow)-ROW(PLE.firstrow))),0,IF(OFFSET(PLE!$G$14,$M350,BF$13)="",10^12,OFFSET(PLE!$G$14,$M350,BF$13))))</f>
        <v>1000000000000</v>
      </c>
      <c r="BG350" s="182">
        <f ca="1">IF($D350&lt;&gt;"Serviço",0,IF(OR(AND(AUTOEVENTO="Manual",$M350=1),$M350&gt;(ROW(PLE.lastrow)-ROW(PLE.firstrow))),0,IF(OFFSET(PLE!$G$14,$M350,BG$13)="",10^12,OFFSET(PLE!$G$14,$M350,BG$13))))</f>
        <v>1000000000000</v>
      </c>
    </row>
    <row r="351" spans="1:59" ht="38.25" x14ac:dyDescent="0.2">
      <c r="A351" s="7" t="str">
        <f t="shared" ca="1" si="11"/>
        <v>325</v>
      </c>
      <c r="B351" s="7" t="str">
        <f ca="1">OFFSET(ORÇAMENTO!C$15,ROW(B351)-ROW(B$15),0)</f>
        <v>S</v>
      </c>
      <c r="C351" s="7" t="str">
        <f ca="1">OFFSET(ORÇAMENTO!L$15,ROW(C351)-ROW(C$15),0)</f>
        <v/>
      </c>
      <c r="D351" s="118" t="str">
        <f ca="1">OFFSET(ORÇAMENTO!N$15,ROW(D351)-ROW(D$15),0)</f>
        <v>Serviço</v>
      </c>
      <c r="E351" s="119" t="str">
        <f ca="1">OFFSET(ORÇAMENTO!O$15,ROW(E351)-ROW(E$15),0)</f>
        <v>-</v>
      </c>
      <c r="F351" s="172" t="str">
        <f ca="1">OFFSET(ORÇAMENTO!R$15,ROW(F351)-ROW(F$15),0)</f>
        <v>(abra o arquivo 'Referência 02-2025.xlsm)</v>
      </c>
      <c r="G351" s="173" t="str">
        <f ca="1">IF($D351&lt;&gt;"Serviço","",OFFSET(ORÇAMENTO!S$15,ROW(G351)-ROW(G$15),0))</f>
        <v>-</v>
      </c>
      <c r="H351" s="124">
        <f ca="1">IF($D351&lt;&gt;"Serviço",0,IF(ACOMPANHAMENTO="BM",ROUND(OFFSET(ORÇAMENTO!AJ$15,ROW(H351)-ROW(H$15),0),15-13*ORÇAMENTO!$AF$7),SUMPRODUCT(($Q$12:$AA$12&lt;&gt;"")*ROUND($Q351:$AA351,15-13*ORÇAMENTO!$AF$7))))</f>
        <v>3</v>
      </c>
      <c r="I351" s="561" t="s">
        <v>890</v>
      </c>
      <c r="K351" s="174"/>
      <c r="L351" s="175" t="s">
        <v>255</v>
      </c>
      <c r="M351" s="176">
        <f ca="1">IF($D351&lt;&gt;"Serviço","",IF(AUTOEVENTO="manual",$A351,IF(ISERROR(MATCH($A351,$A$15:OFFSET($A351,-1,0),0)),MAX($M$15:OFFSET(M351,-1,0))+1,INDEX($M$15:OFFSET(M351,-1,0),MATCH($A351,$A$15:OFFSET($A351,-1,0),0)))))</f>
        <v>15</v>
      </c>
      <c r="N351" s="177" t="str">
        <f ca="1">IF($D351&lt;&gt;"Serviço","",IF(AUTOEVENTO="Manual",IF($A351=0,"&lt;-- defina o número do agrupador",OFFSET(EVENTOS!$D$14,$A351,0)),OFFSET($F$15,$A351,0)))</f>
        <v>INSTALAÇÕES DE ESGOTO SANITÁRIO</v>
      </c>
      <c r="O351" s="178"/>
      <c r="Q351" s="178"/>
      <c r="R351" s="179"/>
      <c r="S351" s="179"/>
      <c r="T351" s="179"/>
      <c r="U351" s="179"/>
      <c r="V351" s="179"/>
      <c r="W351" s="179"/>
      <c r="X351" s="179"/>
      <c r="Y351" s="179"/>
      <c r="Z351" s="180"/>
      <c r="AB351" s="544">
        <f ca="1">IF(AND($D351="Serviço",AB$12&lt;&gt;0,$H351&gt;0,OR(AUTOEVENTO&lt;&gt;"manual",$M351&lt;&gt;1)),
IF(Import.TipoArredondamento&lt;&gt;"TransfereGOV",
ROUND(OFFSET($P351,0,AB$13),15-13*ORÇAMENTO!$AF$7)/$H351*OFFSET(ORÇAMENTO!$X$15,ROW(AB351)-ROW(AB$15),0),
ROUND(ROUND(OFFSET($P351,0,AB$13),15-13*ORÇAMENTO!$AF$7)*OFFSET(ORÇAMENTO!$W$15,ROW(AB351)-ROW(AB$15),0),15-13*ORÇAMENTO!$AF$11)),0)</f>
        <v>0</v>
      </c>
      <c r="AC351" s="545">
        <f ca="1">IF(AND($D351="Serviço",AC$12&lt;&gt;0,$H351&gt;0,OR(AUTOEVENTO&lt;&gt;"manual",$M351&lt;&gt;1)),
IF(Import.TipoArredondamento&lt;&gt;"TransfereGOV",
ROUND(OFFSET($P351,0,AC$13),15-13*ORÇAMENTO!$AF$7)/$H351*OFFSET(ORÇAMENTO!$X$15,ROW(AC351)-ROW(AC$15),0),
ROUND(ROUND(OFFSET($P351,0,AC$13),15-13*ORÇAMENTO!$AF$7)*OFFSET(ORÇAMENTO!$W$15,ROW(AC351)-ROW(AC$15),0),15-13*ORÇAMENTO!$AF$11)),0)</f>
        <v>0</v>
      </c>
      <c r="AD351" s="545">
        <f ca="1">IF(AND($D351="Serviço",AD$12&lt;&gt;0,$H351&gt;0,OR(AUTOEVENTO&lt;&gt;"manual",$M351&lt;&gt;1)),
IF(Import.TipoArredondamento&lt;&gt;"TransfereGOV",
ROUND(OFFSET($P351,0,AD$13),15-13*ORÇAMENTO!$AF$7)/$H351*OFFSET(ORÇAMENTO!$X$15,ROW(AD351)-ROW(AD$15),0),
ROUND(ROUND(OFFSET($P351,0,AD$13),15-13*ORÇAMENTO!$AF$7)*OFFSET(ORÇAMENTO!$W$15,ROW(AD351)-ROW(AD$15),0),15-13*ORÇAMENTO!$AF$11)),0)</f>
        <v>0</v>
      </c>
      <c r="AE351" s="545">
        <f ca="1">IF(AND($D351="Serviço",AE$12&lt;&gt;0,$H351&gt;0,OR(AUTOEVENTO&lt;&gt;"manual",$M351&lt;&gt;1)),
IF(Import.TipoArredondamento&lt;&gt;"TransfereGOV",
ROUND(OFFSET($P351,0,AE$13),15-13*ORÇAMENTO!$AF$7)/$H351*OFFSET(ORÇAMENTO!$X$15,ROW(AE351)-ROW(AE$15),0),
ROUND(ROUND(OFFSET($P351,0,AE$13),15-13*ORÇAMENTO!$AF$7)*OFFSET(ORÇAMENTO!$W$15,ROW(AE351)-ROW(AE$15),0),15-13*ORÇAMENTO!$AF$11)),0)</f>
        <v>0</v>
      </c>
      <c r="AF351" s="545">
        <f ca="1">IF(AND($D351="Serviço",AF$12&lt;&gt;0,$H351&gt;0,OR(AUTOEVENTO&lt;&gt;"manual",$M351&lt;&gt;1)),
IF(Import.TipoArredondamento&lt;&gt;"TransfereGOV",
ROUND(OFFSET($P351,0,AF$13),15-13*ORÇAMENTO!$AF$7)/$H351*OFFSET(ORÇAMENTO!$X$15,ROW(AF351)-ROW(AF$15),0),
ROUND(ROUND(OFFSET($P351,0,AF$13),15-13*ORÇAMENTO!$AF$7)*OFFSET(ORÇAMENTO!$W$15,ROW(AF351)-ROW(AF$15),0),15-13*ORÇAMENTO!$AF$11)),0)</f>
        <v>0</v>
      </c>
      <c r="AG351" s="545">
        <f ca="1">IF(AND($D351="Serviço",AG$12&lt;&gt;0,$H351&gt;0,OR(AUTOEVENTO&lt;&gt;"manual",$M351&lt;&gt;1)),
IF(Import.TipoArredondamento&lt;&gt;"TransfereGOV",
ROUND(OFFSET($P351,0,AG$13),15-13*ORÇAMENTO!$AF$7)/$H351*OFFSET(ORÇAMENTO!$X$15,ROW(AG351)-ROW(AG$15),0),
ROUND(ROUND(OFFSET($P351,0,AG$13),15-13*ORÇAMENTO!$AF$7)*OFFSET(ORÇAMENTO!$W$15,ROW(AG351)-ROW(AG$15),0),15-13*ORÇAMENTO!$AF$11)),0)</f>
        <v>0</v>
      </c>
      <c r="AH351" s="545">
        <f ca="1">IF(AND($D351="Serviço",AH$12&lt;&gt;0,$H351&gt;0,OR(AUTOEVENTO&lt;&gt;"manual",$M351&lt;&gt;1)),
IF(Import.TipoArredondamento&lt;&gt;"TransfereGOV",
ROUND(OFFSET($P351,0,AH$13),15-13*ORÇAMENTO!$AF$7)/$H351*OFFSET(ORÇAMENTO!$X$15,ROW(AH351)-ROW(AH$15),0),
ROUND(ROUND(OFFSET($P351,0,AH$13),15-13*ORÇAMENTO!$AF$7)*OFFSET(ORÇAMENTO!$W$15,ROW(AH351)-ROW(AH$15),0),15-13*ORÇAMENTO!$AF$11)),0)</f>
        <v>0</v>
      </c>
      <c r="AI351" s="545">
        <f ca="1">IF(AND($D351="Serviço",AI$12&lt;&gt;0,$H351&gt;0,OR(AUTOEVENTO&lt;&gt;"manual",$M351&lt;&gt;1)),
IF(Import.TipoArredondamento&lt;&gt;"TransfereGOV",
ROUND(OFFSET($P351,0,AI$13),15-13*ORÇAMENTO!$AF$7)/$H351*OFFSET(ORÇAMENTO!$X$15,ROW(AI351)-ROW(AI$15),0),
ROUND(ROUND(OFFSET($P351,0,AI$13),15-13*ORÇAMENTO!$AF$7)*OFFSET(ORÇAMENTO!$W$15,ROW(AI351)-ROW(AI$15),0),15-13*ORÇAMENTO!$AF$11)),0)</f>
        <v>0</v>
      </c>
      <c r="AJ351" s="545">
        <f ca="1">IF(AND($D351="Serviço",AJ$12&lt;&gt;0,$H351&gt;0,OR(AUTOEVENTO&lt;&gt;"manual",$M351&lt;&gt;1)),
IF(Import.TipoArredondamento&lt;&gt;"TransfereGOV",
ROUND(OFFSET($P351,0,AJ$13),15-13*ORÇAMENTO!$AF$7)/$H351*OFFSET(ORÇAMENTO!$X$15,ROW(AJ351)-ROW(AJ$15),0),
ROUND(ROUND(OFFSET($P351,0,AJ$13),15-13*ORÇAMENTO!$AF$7)*OFFSET(ORÇAMENTO!$W$15,ROW(AJ351)-ROW(AJ$15),0),15-13*ORÇAMENTO!$AF$11)),0)</f>
        <v>0</v>
      </c>
      <c r="AK351" s="546">
        <f ca="1">IF(AND($D351="Serviço",AK$12&lt;&gt;0,$H351&gt;0,OR(AUTOEVENTO&lt;&gt;"manual",$M351&lt;&gt;1)),
IF(Import.TipoArredondamento&lt;&gt;"TransfereGOV",
ROUND(OFFSET($P351,0,AK$13),15-13*ORÇAMENTO!$AF$7)/$H351*OFFSET(ORÇAMENTO!$X$15,ROW(AK351)-ROW(AK$15),0),
ROUND(ROUND(OFFSET($P351,0,AK$13),15-13*ORÇAMENTO!$AF$7)*OFFSET(ORÇAMENTO!$W$15,ROW(AK351)-ROW(AK$15),0),15-13*ORÇAMENTO!$AF$11)),0)</f>
        <v>0</v>
      </c>
      <c r="AM351" s="181">
        <f ca="1">IF($D351&lt;&gt;"Serviço",0,IF(AND(AUTOEVENTO="Manual",$M351=1),0,IF(OFFSET(CRONOPLE!$F$14,$M351,AM$13)="",10^12,OFFSET(CRONOPLE!$F$14,$M351,AM$13))))</f>
        <v>1000000000000</v>
      </c>
      <c r="AN351" s="181">
        <f ca="1">IF($D351&lt;&gt;"Serviço",0,IF(AND(AUTOEVENTO="Manual",$M351=1),0,IF(OFFSET(CRONOPLE!$F$14,$M351,AN$13)="",10^12,OFFSET(CRONOPLE!$F$14,$M351,AN$13))))</f>
        <v>1000000000000</v>
      </c>
      <c r="AO351" s="181">
        <f ca="1">IF($D351&lt;&gt;"Serviço",0,IF(AND(AUTOEVENTO="Manual",$M351=1),0,IF(OFFSET(CRONOPLE!$F$14,$M351,AO$13)="",10^12,OFFSET(CRONOPLE!$F$14,$M351,AO$13))))</f>
        <v>1000000000000</v>
      </c>
      <c r="AP351" s="181">
        <f ca="1">IF($D351&lt;&gt;"Serviço",0,IF(AND(AUTOEVENTO="Manual",$M351=1),0,IF(OFFSET(CRONOPLE!$F$14,$M351,AP$13)="",10^12,OFFSET(CRONOPLE!$F$14,$M351,AP$13))))</f>
        <v>1000000000000</v>
      </c>
      <c r="AQ351" s="181">
        <f ca="1">IF($D351&lt;&gt;"Serviço",0,IF(AND(AUTOEVENTO="Manual",$M351=1),0,IF(OFFSET(CRONOPLE!$F$14,$M351,AQ$13)="",10^12,OFFSET(CRONOPLE!$F$14,$M351,AQ$13))))</f>
        <v>1000000000000</v>
      </c>
      <c r="AR351" s="181">
        <f ca="1">IF($D351&lt;&gt;"Serviço",0,IF(AND(AUTOEVENTO="Manual",$M351=1),0,IF(OFFSET(CRONOPLE!$F$14,$M351,AR$13)="",10^12,OFFSET(CRONOPLE!$F$14,$M351,AR$13))))</f>
        <v>1000000000000</v>
      </c>
      <c r="AS351" s="181">
        <f ca="1">IF($D351&lt;&gt;"Serviço",0,IF(AND(AUTOEVENTO="Manual",$M351=1),0,IF(OFFSET(CRONOPLE!$F$14,$M351,AS$13)="",10^12,OFFSET(CRONOPLE!$F$14,$M351,AS$13))))</f>
        <v>1000000000000</v>
      </c>
      <c r="AT351" s="181">
        <f ca="1">IF($D351&lt;&gt;"Serviço",0,IF(AND(AUTOEVENTO="Manual",$M351=1),0,IF(OFFSET(CRONOPLE!$F$14,$M351,AT$13)="",10^12,OFFSET(CRONOPLE!$F$14,$M351,AT$13))))</f>
        <v>1000000000000</v>
      </c>
      <c r="AU351" s="181">
        <f ca="1">IF($D351&lt;&gt;"Serviço",0,IF(AND(AUTOEVENTO="Manual",$M351=1),0,IF(OFFSET(CRONOPLE!$F$14,$M351,AU$13)="",10^12,OFFSET(CRONOPLE!$F$14,$M351,AU$13))))</f>
        <v>1000000000000</v>
      </c>
      <c r="AV351" s="181">
        <f ca="1">IF($D351&lt;&gt;"Serviço",0,IF(AND(AUTOEVENTO="Manual",$M351=1),0,IF(OFFSET(CRONOPLE!$F$14,$M351,AV$13)="",10^12,OFFSET(CRONOPLE!$F$14,$M351,AV$13))))</f>
        <v>1000000000000</v>
      </c>
      <c r="AX351" s="182">
        <f ca="1">IF($D351&lt;&gt;"Serviço",0,IF(OR(AND(AUTOEVENTO="Manual",$M351=1),$M351&gt;(ROW(PLE.lastrow)-ROW(PLE.firstrow))),0,IF(OFFSET(PLE!$G$14,$M351,AX$13)="",10^12,OFFSET(PLE!$G$14,$M351,AX$13))))</f>
        <v>1000000000000</v>
      </c>
      <c r="AY351" s="182">
        <f ca="1">IF($D351&lt;&gt;"Serviço",0,IF(OR(AND(AUTOEVENTO="Manual",$M351=1),$M351&gt;(ROW(PLE.lastrow)-ROW(PLE.firstrow))),0,IF(OFFSET(PLE!$G$14,$M351,AY$13)="",10^12,OFFSET(PLE!$G$14,$M351,AY$13))))</f>
        <v>1000000000000</v>
      </c>
      <c r="AZ351" s="182">
        <f ca="1">IF($D351&lt;&gt;"Serviço",0,IF(OR(AND(AUTOEVENTO="Manual",$M351=1),$M351&gt;(ROW(PLE.lastrow)-ROW(PLE.firstrow))),0,IF(OFFSET(PLE!$G$14,$M351,AZ$13)="",10^12,OFFSET(PLE!$G$14,$M351,AZ$13))))</f>
        <v>1000000000000</v>
      </c>
      <c r="BA351" s="182">
        <f ca="1">IF($D351&lt;&gt;"Serviço",0,IF(OR(AND(AUTOEVENTO="Manual",$M351=1),$M351&gt;(ROW(PLE.lastrow)-ROW(PLE.firstrow))),0,IF(OFFSET(PLE!$G$14,$M351,BA$13)="",10^12,OFFSET(PLE!$G$14,$M351,BA$13))))</f>
        <v>1000000000000</v>
      </c>
      <c r="BB351" s="182">
        <f ca="1">IF($D351&lt;&gt;"Serviço",0,IF(OR(AND(AUTOEVENTO="Manual",$M351=1),$M351&gt;(ROW(PLE.lastrow)-ROW(PLE.firstrow))),0,IF(OFFSET(PLE!$G$14,$M351,BB$13)="",10^12,OFFSET(PLE!$G$14,$M351,BB$13))))</f>
        <v>1000000000000</v>
      </c>
      <c r="BC351" s="182">
        <f ca="1">IF($D351&lt;&gt;"Serviço",0,IF(OR(AND(AUTOEVENTO="Manual",$M351=1),$M351&gt;(ROW(PLE.lastrow)-ROW(PLE.firstrow))),0,IF(OFFSET(PLE!$G$14,$M351,BC$13)="",10^12,OFFSET(PLE!$G$14,$M351,BC$13))))</f>
        <v>1000000000000</v>
      </c>
      <c r="BD351" s="182">
        <f ca="1">IF($D351&lt;&gt;"Serviço",0,IF(OR(AND(AUTOEVENTO="Manual",$M351=1),$M351&gt;(ROW(PLE.lastrow)-ROW(PLE.firstrow))),0,IF(OFFSET(PLE!$G$14,$M351,BD$13)="",10^12,OFFSET(PLE!$G$14,$M351,BD$13))))</f>
        <v>1000000000000</v>
      </c>
      <c r="BE351" s="182">
        <f ca="1">IF($D351&lt;&gt;"Serviço",0,IF(OR(AND(AUTOEVENTO="Manual",$M351=1),$M351&gt;(ROW(PLE.lastrow)-ROW(PLE.firstrow))),0,IF(OFFSET(PLE!$G$14,$M351,BE$13)="",10^12,OFFSET(PLE!$G$14,$M351,BE$13))))</f>
        <v>1000000000000</v>
      </c>
      <c r="BF351" s="182">
        <f ca="1">IF($D351&lt;&gt;"Serviço",0,IF(OR(AND(AUTOEVENTO="Manual",$M351=1),$M351&gt;(ROW(PLE.lastrow)-ROW(PLE.firstrow))),0,IF(OFFSET(PLE!$G$14,$M351,BF$13)="",10^12,OFFSET(PLE!$G$14,$M351,BF$13))))</f>
        <v>1000000000000</v>
      </c>
      <c r="BG351" s="182">
        <f ca="1">IF($D351&lt;&gt;"Serviço",0,IF(OR(AND(AUTOEVENTO="Manual",$M351=1),$M351&gt;(ROW(PLE.lastrow)-ROW(PLE.firstrow))),0,IF(OFFSET(PLE!$G$14,$M351,BG$13)="",10^12,OFFSET(PLE!$G$14,$M351,BG$13))))</f>
        <v>1000000000000</v>
      </c>
    </row>
    <row r="352" spans="1:59" ht="25.5" x14ac:dyDescent="0.2">
      <c r="A352" s="7" t="str">
        <f t="shared" ca="1" si="11"/>
        <v>325</v>
      </c>
      <c r="B352" s="7" t="str">
        <f ca="1">OFFSET(ORÇAMENTO!C$15,ROW(B352)-ROW(B$15),0)</f>
        <v>S</v>
      </c>
      <c r="C352" s="7" t="str">
        <f ca="1">OFFSET(ORÇAMENTO!L$15,ROW(C352)-ROW(C$15),0)</f>
        <v/>
      </c>
      <c r="D352" s="118" t="str">
        <f ca="1">OFFSET(ORÇAMENTO!N$15,ROW(D352)-ROW(D$15),0)</f>
        <v>Serviço</v>
      </c>
      <c r="E352" s="119" t="str">
        <f ca="1">OFFSET(ORÇAMENTO!O$15,ROW(E352)-ROW(E$15),0)</f>
        <v>-</v>
      </c>
      <c r="F352" s="172" t="str">
        <f ca="1">OFFSET(ORÇAMENTO!R$15,ROW(F352)-ROW(F$15),0)</f>
        <v>(abra o arquivo 'Referência 02-2025.xlsm)</v>
      </c>
      <c r="G352" s="173" t="str">
        <f ca="1">IF($D352&lt;&gt;"Serviço","",OFFSET(ORÇAMENTO!S$15,ROW(G352)-ROW(G$15),0))</f>
        <v>-</v>
      </c>
      <c r="H352" s="124">
        <f ca="1">IF($D352&lt;&gt;"Serviço",0,IF(ACOMPANHAMENTO="BM",ROUND(OFFSET(ORÇAMENTO!AJ$15,ROW(H352)-ROW(H$15),0),15-13*ORÇAMENTO!$AF$7),SUMPRODUCT(($Q$12:$AA$12&lt;&gt;"")*ROUND($Q352:$AA352,15-13*ORÇAMENTO!$AF$7))))</f>
        <v>5</v>
      </c>
      <c r="I352" s="561" t="s">
        <v>890</v>
      </c>
      <c r="K352" s="174"/>
      <c r="L352" s="175" t="s">
        <v>255</v>
      </c>
      <c r="M352" s="176">
        <f ca="1">IF($D352&lt;&gt;"Serviço","",IF(AUTOEVENTO="manual",$A352,IF(ISERROR(MATCH($A352,$A$15:OFFSET($A352,-1,0),0)),MAX($M$15:OFFSET(M352,-1,0))+1,INDEX($M$15:OFFSET(M352,-1,0),MATCH($A352,$A$15:OFFSET($A352,-1,0),0)))))</f>
        <v>15</v>
      </c>
      <c r="N352" s="177" t="str">
        <f ca="1">IF($D352&lt;&gt;"Serviço","",IF(AUTOEVENTO="Manual",IF($A352=0,"&lt;-- defina o número do agrupador",OFFSET(EVENTOS!$D$14,$A352,0)),OFFSET($F$15,$A352,0)))</f>
        <v>INSTALAÇÕES DE ESGOTO SANITÁRIO</v>
      </c>
      <c r="O352" s="178"/>
      <c r="Q352" s="178"/>
      <c r="R352" s="179"/>
      <c r="S352" s="179"/>
      <c r="T352" s="179"/>
      <c r="U352" s="179"/>
      <c r="V352" s="179"/>
      <c r="W352" s="179"/>
      <c r="X352" s="179"/>
      <c r="Y352" s="179"/>
      <c r="Z352" s="180"/>
      <c r="AB352" s="544">
        <f ca="1">IF(AND($D352="Serviço",AB$12&lt;&gt;0,$H352&gt;0,OR(AUTOEVENTO&lt;&gt;"manual",$M352&lt;&gt;1)),
IF(Import.TipoArredondamento&lt;&gt;"TransfereGOV",
ROUND(OFFSET($P352,0,AB$13),15-13*ORÇAMENTO!$AF$7)/$H352*OFFSET(ORÇAMENTO!$X$15,ROW(AB352)-ROW(AB$15),0),
ROUND(ROUND(OFFSET($P352,0,AB$13),15-13*ORÇAMENTO!$AF$7)*OFFSET(ORÇAMENTO!$W$15,ROW(AB352)-ROW(AB$15),0),15-13*ORÇAMENTO!$AF$11)),0)</f>
        <v>0</v>
      </c>
      <c r="AC352" s="545">
        <f ca="1">IF(AND($D352="Serviço",AC$12&lt;&gt;0,$H352&gt;0,OR(AUTOEVENTO&lt;&gt;"manual",$M352&lt;&gt;1)),
IF(Import.TipoArredondamento&lt;&gt;"TransfereGOV",
ROUND(OFFSET($P352,0,AC$13),15-13*ORÇAMENTO!$AF$7)/$H352*OFFSET(ORÇAMENTO!$X$15,ROW(AC352)-ROW(AC$15),0),
ROUND(ROUND(OFFSET($P352,0,AC$13),15-13*ORÇAMENTO!$AF$7)*OFFSET(ORÇAMENTO!$W$15,ROW(AC352)-ROW(AC$15),0),15-13*ORÇAMENTO!$AF$11)),0)</f>
        <v>0</v>
      </c>
      <c r="AD352" s="545">
        <f ca="1">IF(AND($D352="Serviço",AD$12&lt;&gt;0,$H352&gt;0,OR(AUTOEVENTO&lt;&gt;"manual",$M352&lt;&gt;1)),
IF(Import.TipoArredondamento&lt;&gt;"TransfereGOV",
ROUND(OFFSET($P352,0,AD$13),15-13*ORÇAMENTO!$AF$7)/$H352*OFFSET(ORÇAMENTO!$X$15,ROW(AD352)-ROW(AD$15),0),
ROUND(ROUND(OFFSET($P352,0,AD$13),15-13*ORÇAMENTO!$AF$7)*OFFSET(ORÇAMENTO!$W$15,ROW(AD352)-ROW(AD$15),0),15-13*ORÇAMENTO!$AF$11)),0)</f>
        <v>0</v>
      </c>
      <c r="AE352" s="545">
        <f ca="1">IF(AND($D352="Serviço",AE$12&lt;&gt;0,$H352&gt;0,OR(AUTOEVENTO&lt;&gt;"manual",$M352&lt;&gt;1)),
IF(Import.TipoArredondamento&lt;&gt;"TransfereGOV",
ROUND(OFFSET($P352,0,AE$13),15-13*ORÇAMENTO!$AF$7)/$H352*OFFSET(ORÇAMENTO!$X$15,ROW(AE352)-ROW(AE$15),0),
ROUND(ROUND(OFFSET($P352,0,AE$13),15-13*ORÇAMENTO!$AF$7)*OFFSET(ORÇAMENTO!$W$15,ROW(AE352)-ROW(AE$15),0),15-13*ORÇAMENTO!$AF$11)),0)</f>
        <v>0</v>
      </c>
      <c r="AF352" s="545">
        <f ca="1">IF(AND($D352="Serviço",AF$12&lt;&gt;0,$H352&gt;0,OR(AUTOEVENTO&lt;&gt;"manual",$M352&lt;&gt;1)),
IF(Import.TipoArredondamento&lt;&gt;"TransfereGOV",
ROUND(OFFSET($P352,0,AF$13),15-13*ORÇAMENTO!$AF$7)/$H352*OFFSET(ORÇAMENTO!$X$15,ROW(AF352)-ROW(AF$15),0),
ROUND(ROUND(OFFSET($P352,0,AF$13),15-13*ORÇAMENTO!$AF$7)*OFFSET(ORÇAMENTO!$W$15,ROW(AF352)-ROW(AF$15),0),15-13*ORÇAMENTO!$AF$11)),0)</f>
        <v>0</v>
      </c>
      <c r="AG352" s="545">
        <f ca="1">IF(AND($D352="Serviço",AG$12&lt;&gt;0,$H352&gt;0,OR(AUTOEVENTO&lt;&gt;"manual",$M352&lt;&gt;1)),
IF(Import.TipoArredondamento&lt;&gt;"TransfereGOV",
ROUND(OFFSET($P352,0,AG$13),15-13*ORÇAMENTO!$AF$7)/$H352*OFFSET(ORÇAMENTO!$X$15,ROW(AG352)-ROW(AG$15),0),
ROUND(ROUND(OFFSET($P352,0,AG$13),15-13*ORÇAMENTO!$AF$7)*OFFSET(ORÇAMENTO!$W$15,ROW(AG352)-ROW(AG$15),0),15-13*ORÇAMENTO!$AF$11)),0)</f>
        <v>0</v>
      </c>
      <c r="AH352" s="545">
        <f ca="1">IF(AND($D352="Serviço",AH$12&lt;&gt;0,$H352&gt;0,OR(AUTOEVENTO&lt;&gt;"manual",$M352&lt;&gt;1)),
IF(Import.TipoArredondamento&lt;&gt;"TransfereGOV",
ROUND(OFFSET($P352,0,AH$13),15-13*ORÇAMENTO!$AF$7)/$H352*OFFSET(ORÇAMENTO!$X$15,ROW(AH352)-ROW(AH$15),0),
ROUND(ROUND(OFFSET($P352,0,AH$13),15-13*ORÇAMENTO!$AF$7)*OFFSET(ORÇAMENTO!$W$15,ROW(AH352)-ROW(AH$15),0),15-13*ORÇAMENTO!$AF$11)),0)</f>
        <v>0</v>
      </c>
      <c r="AI352" s="545">
        <f ca="1">IF(AND($D352="Serviço",AI$12&lt;&gt;0,$H352&gt;0,OR(AUTOEVENTO&lt;&gt;"manual",$M352&lt;&gt;1)),
IF(Import.TipoArredondamento&lt;&gt;"TransfereGOV",
ROUND(OFFSET($P352,0,AI$13),15-13*ORÇAMENTO!$AF$7)/$H352*OFFSET(ORÇAMENTO!$X$15,ROW(AI352)-ROW(AI$15),0),
ROUND(ROUND(OFFSET($P352,0,AI$13),15-13*ORÇAMENTO!$AF$7)*OFFSET(ORÇAMENTO!$W$15,ROW(AI352)-ROW(AI$15),0),15-13*ORÇAMENTO!$AF$11)),0)</f>
        <v>0</v>
      </c>
      <c r="AJ352" s="545">
        <f ca="1">IF(AND($D352="Serviço",AJ$12&lt;&gt;0,$H352&gt;0,OR(AUTOEVENTO&lt;&gt;"manual",$M352&lt;&gt;1)),
IF(Import.TipoArredondamento&lt;&gt;"TransfereGOV",
ROUND(OFFSET($P352,0,AJ$13),15-13*ORÇAMENTO!$AF$7)/$H352*OFFSET(ORÇAMENTO!$X$15,ROW(AJ352)-ROW(AJ$15),0),
ROUND(ROUND(OFFSET($P352,0,AJ$13),15-13*ORÇAMENTO!$AF$7)*OFFSET(ORÇAMENTO!$W$15,ROW(AJ352)-ROW(AJ$15),0),15-13*ORÇAMENTO!$AF$11)),0)</f>
        <v>0</v>
      </c>
      <c r="AK352" s="546">
        <f ca="1">IF(AND($D352="Serviço",AK$12&lt;&gt;0,$H352&gt;0,OR(AUTOEVENTO&lt;&gt;"manual",$M352&lt;&gt;1)),
IF(Import.TipoArredondamento&lt;&gt;"TransfereGOV",
ROUND(OFFSET($P352,0,AK$13),15-13*ORÇAMENTO!$AF$7)/$H352*OFFSET(ORÇAMENTO!$X$15,ROW(AK352)-ROW(AK$15),0),
ROUND(ROUND(OFFSET($P352,0,AK$13),15-13*ORÇAMENTO!$AF$7)*OFFSET(ORÇAMENTO!$W$15,ROW(AK352)-ROW(AK$15),0),15-13*ORÇAMENTO!$AF$11)),0)</f>
        <v>0</v>
      </c>
      <c r="AM352" s="181">
        <f ca="1">IF($D352&lt;&gt;"Serviço",0,IF(AND(AUTOEVENTO="Manual",$M352=1),0,IF(OFFSET(CRONOPLE!$F$14,$M352,AM$13)="",10^12,OFFSET(CRONOPLE!$F$14,$M352,AM$13))))</f>
        <v>1000000000000</v>
      </c>
      <c r="AN352" s="181">
        <f ca="1">IF($D352&lt;&gt;"Serviço",0,IF(AND(AUTOEVENTO="Manual",$M352=1),0,IF(OFFSET(CRONOPLE!$F$14,$M352,AN$13)="",10^12,OFFSET(CRONOPLE!$F$14,$M352,AN$13))))</f>
        <v>1000000000000</v>
      </c>
      <c r="AO352" s="181">
        <f ca="1">IF($D352&lt;&gt;"Serviço",0,IF(AND(AUTOEVENTO="Manual",$M352=1),0,IF(OFFSET(CRONOPLE!$F$14,$M352,AO$13)="",10^12,OFFSET(CRONOPLE!$F$14,$M352,AO$13))))</f>
        <v>1000000000000</v>
      </c>
      <c r="AP352" s="181">
        <f ca="1">IF($D352&lt;&gt;"Serviço",0,IF(AND(AUTOEVENTO="Manual",$M352=1),0,IF(OFFSET(CRONOPLE!$F$14,$M352,AP$13)="",10^12,OFFSET(CRONOPLE!$F$14,$M352,AP$13))))</f>
        <v>1000000000000</v>
      </c>
      <c r="AQ352" s="181">
        <f ca="1">IF($D352&lt;&gt;"Serviço",0,IF(AND(AUTOEVENTO="Manual",$M352=1),0,IF(OFFSET(CRONOPLE!$F$14,$M352,AQ$13)="",10^12,OFFSET(CRONOPLE!$F$14,$M352,AQ$13))))</f>
        <v>1000000000000</v>
      </c>
      <c r="AR352" s="181">
        <f ca="1">IF($D352&lt;&gt;"Serviço",0,IF(AND(AUTOEVENTO="Manual",$M352=1),0,IF(OFFSET(CRONOPLE!$F$14,$M352,AR$13)="",10^12,OFFSET(CRONOPLE!$F$14,$M352,AR$13))))</f>
        <v>1000000000000</v>
      </c>
      <c r="AS352" s="181">
        <f ca="1">IF($D352&lt;&gt;"Serviço",0,IF(AND(AUTOEVENTO="Manual",$M352=1),0,IF(OFFSET(CRONOPLE!$F$14,$M352,AS$13)="",10^12,OFFSET(CRONOPLE!$F$14,$M352,AS$13))))</f>
        <v>1000000000000</v>
      </c>
      <c r="AT352" s="181">
        <f ca="1">IF($D352&lt;&gt;"Serviço",0,IF(AND(AUTOEVENTO="Manual",$M352=1),0,IF(OFFSET(CRONOPLE!$F$14,$M352,AT$13)="",10^12,OFFSET(CRONOPLE!$F$14,$M352,AT$13))))</f>
        <v>1000000000000</v>
      </c>
      <c r="AU352" s="181">
        <f ca="1">IF($D352&lt;&gt;"Serviço",0,IF(AND(AUTOEVENTO="Manual",$M352=1),0,IF(OFFSET(CRONOPLE!$F$14,$M352,AU$13)="",10^12,OFFSET(CRONOPLE!$F$14,$M352,AU$13))))</f>
        <v>1000000000000</v>
      </c>
      <c r="AV352" s="181">
        <f ca="1">IF($D352&lt;&gt;"Serviço",0,IF(AND(AUTOEVENTO="Manual",$M352=1),0,IF(OFFSET(CRONOPLE!$F$14,$M352,AV$13)="",10^12,OFFSET(CRONOPLE!$F$14,$M352,AV$13))))</f>
        <v>1000000000000</v>
      </c>
      <c r="AX352" s="182">
        <f ca="1">IF($D352&lt;&gt;"Serviço",0,IF(OR(AND(AUTOEVENTO="Manual",$M352=1),$M352&gt;(ROW(PLE.lastrow)-ROW(PLE.firstrow))),0,IF(OFFSET(PLE!$G$14,$M352,AX$13)="",10^12,OFFSET(PLE!$G$14,$M352,AX$13))))</f>
        <v>1000000000000</v>
      </c>
      <c r="AY352" s="182">
        <f ca="1">IF($D352&lt;&gt;"Serviço",0,IF(OR(AND(AUTOEVENTO="Manual",$M352=1),$M352&gt;(ROW(PLE.lastrow)-ROW(PLE.firstrow))),0,IF(OFFSET(PLE!$G$14,$M352,AY$13)="",10^12,OFFSET(PLE!$G$14,$M352,AY$13))))</f>
        <v>1000000000000</v>
      </c>
      <c r="AZ352" s="182">
        <f ca="1">IF($D352&lt;&gt;"Serviço",0,IF(OR(AND(AUTOEVENTO="Manual",$M352=1),$M352&gt;(ROW(PLE.lastrow)-ROW(PLE.firstrow))),0,IF(OFFSET(PLE!$G$14,$M352,AZ$13)="",10^12,OFFSET(PLE!$G$14,$M352,AZ$13))))</f>
        <v>1000000000000</v>
      </c>
      <c r="BA352" s="182">
        <f ca="1">IF($D352&lt;&gt;"Serviço",0,IF(OR(AND(AUTOEVENTO="Manual",$M352=1),$M352&gt;(ROW(PLE.lastrow)-ROW(PLE.firstrow))),0,IF(OFFSET(PLE!$G$14,$M352,BA$13)="",10^12,OFFSET(PLE!$G$14,$M352,BA$13))))</f>
        <v>1000000000000</v>
      </c>
      <c r="BB352" s="182">
        <f ca="1">IF($D352&lt;&gt;"Serviço",0,IF(OR(AND(AUTOEVENTO="Manual",$M352=1),$M352&gt;(ROW(PLE.lastrow)-ROW(PLE.firstrow))),0,IF(OFFSET(PLE!$G$14,$M352,BB$13)="",10^12,OFFSET(PLE!$G$14,$M352,BB$13))))</f>
        <v>1000000000000</v>
      </c>
      <c r="BC352" s="182">
        <f ca="1">IF($D352&lt;&gt;"Serviço",0,IF(OR(AND(AUTOEVENTO="Manual",$M352=1),$M352&gt;(ROW(PLE.lastrow)-ROW(PLE.firstrow))),0,IF(OFFSET(PLE!$G$14,$M352,BC$13)="",10^12,OFFSET(PLE!$G$14,$M352,BC$13))))</f>
        <v>1000000000000</v>
      </c>
      <c r="BD352" s="182">
        <f ca="1">IF($D352&lt;&gt;"Serviço",0,IF(OR(AND(AUTOEVENTO="Manual",$M352=1),$M352&gt;(ROW(PLE.lastrow)-ROW(PLE.firstrow))),0,IF(OFFSET(PLE!$G$14,$M352,BD$13)="",10^12,OFFSET(PLE!$G$14,$M352,BD$13))))</f>
        <v>1000000000000</v>
      </c>
      <c r="BE352" s="182">
        <f ca="1">IF($D352&lt;&gt;"Serviço",0,IF(OR(AND(AUTOEVENTO="Manual",$M352=1),$M352&gt;(ROW(PLE.lastrow)-ROW(PLE.firstrow))),0,IF(OFFSET(PLE!$G$14,$M352,BE$13)="",10^12,OFFSET(PLE!$G$14,$M352,BE$13))))</f>
        <v>1000000000000</v>
      </c>
      <c r="BF352" s="182">
        <f ca="1">IF($D352&lt;&gt;"Serviço",0,IF(OR(AND(AUTOEVENTO="Manual",$M352=1),$M352&gt;(ROW(PLE.lastrow)-ROW(PLE.firstrow))),0,IF(OFFSET(PLE!$G$14,$M352,BF$13)="",10^12,OFFSET(PLE!$G$14,$M352,BF$13))))</f>
        <v>1000000000000</v>
      </c>
      <c r="BG352" s="182">
        <f ca="1">IF($D352&lt;&gt;"Serviço",0,IF(OR(AND(AUTOEVENTO="Manual",$M352=1),$M352&gt;(ROW(PLE.lastrow)-ROW(PLE.firstrow))),0,IF(OFFSET(PLE!$G$14,$M352,BG$13)="",10^12,OFFSET(PLE!$G$14,$M352,BG$13))))</f>
        <v>1000000000000</v>
      </c>
    </row>
    <row r="353" spans="1:59" ht="38.25" x14ac:dyDescent="0.2">
      <c r="A353" s="7" t="str">
        <f t="shared" ca="1" si="11"/>
        <v>325</v>
      </c>
      <c r="B353" s="7" t="str">
        <f ca="1">OFFSET(ORÇAMENTO!C$15,ROW(B353)-ROW(B$15),0)</f>
        <v>S</v>
      </c>
      <c r="C353" s="7" t="str">
        <f ca="1">OFFSET(ORÇAMENTO!L$15,ROW(C353)-ROW(C$15),0)</f>
        <v/>
      </c>
      <c r="D353" s="118" t="str">
        <f ca="1">OFFSET(ORÇAMENTO!N$15,ROW(D353)-ROW(D$15),0)</f>
        <v>Serviço</v>
      </c>
      <c r="E353" s="119" t="str">
        <f ca="1">OFFSET(ORÇAMENTO!O$15,ROW(E353)-ROW(E$15),0)</f>
        <v>-</v>
      </c>
      <c r="F353" s="172" t="str">
        <f ca="1">OFFSET(ORÇAMENTO!R$15,ROW(F353)-ROW(F$15),0)</f>
        <v>(abra o arquivo 'Referência 02-2025.xlsm)</v>
      </c>
      <c r="G353" s="173" t="str">
        <f ca="1">IF($D353&lt;&gt;"Serviço","",OFFSET(ORÇAMENTO!S$15,ROW(G353)-ROW(G$15),0))</f>
        <v>-</v>
      </c>
      <c r="H353" s="124">
        <f ca="1">IF($D353&lt;&gt;"Serviço",0,IF(ACOMPANHAMENTO="BM",ROUND(OFFSET(ORÇAMENTO!AJ$15,ROW(H353)-ROW(H$15),0),15-13*ORÇAMENTO!$AF$7),SUMPRODUCT(($Q$12:$AA$12&lt;&gt;"")*ROUND($Q353:$AA353,15-13*ORÇAMENTO!$AF$7))))</f>
        <v>4</v>
      </c>
      <c r="I353" s="561" t="s">
        <v>890</v>
      </c>
      <c r="K353" s="174"/>
      <c r="L353" s="175" t="s">
        <v>255</v>
      </c>
      <c r="M353" s="176">
        <f ca="1">IF($D353&lt;&gt;"Serviço","",IF(AUTOEVENTO="manual",$A353,IF(ISERROR(MATCH($A353,$A$15:OFFSET($A353,-1,0),0)),MAX($M$15:OFFSET(M353,-1,0))+1,INDEX($M$15:OFFSET(M353,-1,0),MATCH($A353,$A$15:OFFSET($A353,-1,0),0)))))</f>
        <v>15</v>
      </c>
      <c r="N353" s="177" t="str">
        <f ca="1">IF($D353&lt;&gt;"Serviço","",IF(AUTOEVENTO="Manual",IF($A353=0,"&lt;-- defina o número do agrupador",OFFSET(EVENTOS!$D$14,$A353,0)),OFFSET($F$15,$A353,0)))</f>
        <v>INSTALAÇÕES DE ESGOTO SANITÁRIO</v>
      </c>
      <c r="O353" s="178"/>
      <c r="Q353" s="178"/>
      <c r="R353" s="179"/>
      <c r="S353" s="179"/>
      <c r="T353" s="179"/>
      <c r="U353" s="179"/>
      <c r="V353" s="179"/>
      <c r="W353" s="179"/>
      <c r="X353" s="179"/>
      <c r="Y353" s="179"/>
      <c r="Z353" s="180"/>
      <c r="AB353" s="544">
        <f ca="1">IF(AND($D353="Serviço",AB$12&lt;&gt;0,$H353&gt;0,OR(AUTOEVENTO&lt;&gt;"manual",$M353&lt;&gt;1)),
IF(Import.TipoArredondamento&lt;&gt;"TransfereGOV",
ROUND(OFFSET($P353,0,AB$13),15-13*ORÇAMENTO!$AF$7)/$H353*OFFSET(ORÇAMENTO!$X$15,ROW(AB353)-ROW(AB$15),0),
ROUND(ROUND(OFFSET($P353,0,AB$13),15-13*ORÇAMENTO!$AF$7)*OFFSET(ORÇAMENTO!$W$15,ROW(AB353)-ROW(AB$15),0),15-13*ORÇAMENTO!$AF$11)),0)</f>
        <v>0</v>
      </c>
      <c r="AC353" s="545">
        <f ca="1">IF(AND($D353="Serviço",AC$12&lt;&gt;0,$H353&gt;0,OR(AUTOEVENTO&lt;&gt;"manual",$M353&lt;&gt;1)),
IF(Import.TipoArredondamento&lt;&gt;"TransfereGOV",
ROUND(OFFSET($P353,0,AC$13),15-13*ORÇAMENTO!$AF$7)/$H353*OFFSET(ORÇAMENTO!$X$15,ROW(AC353)-ROW(AC$15),0),
ROUND(ROUND(OFFSET($P353,0,AC$13),15-13*ORÇAMENTO!$AF$7)*OFFSET(ORÇAMENTO!$W$15,ROW(AC353)-ROW(AC$15),0),15-13*ORÇAMENTO!$AF$11)),0)</f>
        <v>0</v>
      </c>
      <c r="AD353" s="545">
        <f ca="1">IF(AND($D353="Serviço",AD$12&lt;&gt;0,$H353&gt;0,OR(AUTOEVENTO&lt;&gt;"manual",$M353&lt;&gt;1)),
IF(Import.TipoArredondamento&lt;&gt;"TransfereGOV",
ROUND(OFFSET($P353,0,AD$13),15-13*ORÇAMENTO!$AF$7)/$H353*OFFSET(ORÇAMENTO!$X$15,ROW(AD353)-ROW(AD$15),0),
ROUND(ROUND(OFFSET($P353,0,AD$13),15-13*ORÇAMENTO!$AF$7)*OFFSET(ORÇAMENTO!$W$15,ROW(AD353)-ROW(AD$15),0),15-13*ORÇAMENTO!$AF$11)),0)</f>
        <v>0</v>
      </c>
      <c r="AE353" s="545">
        <f ca="1">IF(AND($D353="Serviço",AE$12&lt;&gt;0,$H353&gt;0,OR(AUTOEVENTO&lt;&gt;"manual",$M353&lt;&gt;1)),
IF(Import.TipoArredondamento&lt;&gt;"TransfereGOV",
ROUND(OFFSET($P353,0,AE$13),15-13*ORÇAMENTO!$AF$7)/$H353*OFFSET(ORÇAMENTO!$X$15,ROW(AE353)-ROW(AE$15),0),
ROUND(ROUND(OFFSET($P353,0,AE$13),15-13*ORÇAMENTO!$AF$7)*OFFSET(ORÇAMENTO!$W$15,ROW(AE353)-ROW(AE$15),0),15-13*ORÇAMENTO!$AF$11)),0)</f>
        <v>0</v>
      </c>
      <c r="AF353" s="545">
        <f ca="1">IF(AND($D353="Serviço",AF$12&lt;&gt;0,$H353&gt;0,OR(AUTOEVENTO&lt;&gt;"manual",$M353&lt;&gt;1)),
IF(Import.TipoArredondamento&lt;&gt;"TransfereGOV",
ROUND(OFFSET($P353,0,AF$13),15-13*ORÇAMENTO!$AF$7)/$H353*OFFSET(ORÇAMENTO!$X$15,ROW(AF353)-ROW(AF$15),0),
ROUND(ROUND(OFFSET($P353,0,AF$13),15-13*ORÇAMENTO!$AF$7)*OFFSET(ORÇAMENTO!$W$15,ROW(AF353)-ROW(AF$15),0),15-13*ORÇAMENTO!$AF$11)),0)</f>
        <v>0</v>
      </c>
      <c r="AG353" s="545">
        <f ca="1">IF(AND($D353="Serviço",AG$12&lt;&gt;0,$H353&gt;0,OR(AUTOEVENTO&lt;&gt;"manual",$M353&lt;&gt;1)),
IF(Import.TipoArredondamento&lt;&gt;"TransfereGOV",
ROUND(OFFSET($P353,0,AG$13),15-13*ORÇAMENTO!$AF$7)/$H353*OFFSET(ORÇAMENTO!$X$15,ROW(AG353)-ROW(AG$15),0),
ROUND(ROUND(OFFSET($P353,0,AG$13),15-13*ORÇAMENTO!$AF$7)*OFFSET(ORÇAMENTO!$W$15,ROW(AG353)-ROW(AG$15),0),15-13*ORÇAMENTO!$AF$11)),0)</f>
        <v>0</v>
      </c>
      <c r="AH353" s="545">
        <f ca="1">IF(AND($D353="Serviço",AH$12&lt;&gt;0,$H353&gt;0,OR(AUTOEVENTO&lt;&gt;"manual",$M353&lt;&gt;1)),
IF(Import.TipoArredondamento&lt;&gt;"TransfereGOV",
ROUND(OFFSET($P353,0,AH$13),15-13*ORÇAMENTO!$AF$7)/$H353*OFFSET(ORÇAMENTO!$X$15,ROW(AH353)-ROW(AH$15),0),
ROUND(ROUND(OFFSET($P353,0,AH$13),15-13*ORÇAMENTO!$AF$7)*OFFSET(ORÇAMENTO!$W$15,ROW(AH353)-ROW(AH$15),0),15-13*ORÇAMENTO!$AF$11)),0)</f>
        <v>0</v>
      </c>
      <c r="AI353" s="545">
        <f ca="1">IF(AND($D353="Serviço",AI$12&lt;&gt;0,$H353&gt;0,OR(AUTOEVENTO&lt;&gt;"manual",$M353&lt;&gt;1)),
IF(Import.TipoArredondamento&lt;&gt;"TransfereGOV",
ROUND(OFFSET($P353,0,AI$13),15-13*ORÇAMENTO!$AF$7)/$H353*OFFSET(ORÇAMENTO!$X$15,ROW(AI353)-ROW(AI$15),0),
ROUND(ROUND(OFFSET($P353,0,AI$13),15-13*ORÇAMENTO!$AF$7)*OFFSET(ORÇAMENTO!$W$15,ROW(AI353)-ROW(AI$15),0),15-13*ORÇAMENTO!$AF$11)),0)</f>
        <v>0</v>
      </c>
      <c r="AJ353" s="545">
        <f ca="1">IF(AND($D353="Serviço",AJ$12&lt;&gt;0,$H353&gt;0,OR(AUTOEVENTO&lt;&gt;"manual",$M353&lt;&gt;1)),
IF(Import.TipoArredondamento&lt;&gt;"TransfereGOV",
ROUND(OFFSET($P353,0,AJ$13),15-13*ORÇAMENTO!$AF$7)/$H353*OFFSET(ORÇAMENTO!$X$15,ROW(AJ353)-ROW(AJ$15),0),
ROUND(ROUND(OFFSET($P353,0,AJ$13),15-13*ORÇAMENTO!$AF$7)*OFFSET(ORÇAMENTO!$W$15,ROW(AJ353)-ROW(AJ$15),0),15-13*ORÇAMENTO!$AF$11)),0)</f>
        <v>0</v>
      </c>
      <c r="AK353" s="546">
        <f ca="1">IF(AND($D353="Serviço",AK$12&lt;&gt;0,$H353&gt;0,OR(AUTOEVENTO&lt;&gt;"manual",$M353&lt;&gt;1)),
IF(Import.TipoArredondamento&lt;&gt;"TransfereGOV",
ROUND(OFFSET($P353,0,AK$13),15-13*ORÇAMENTO!$AF$7)/$H353*OFFSET(ORÇAMENTO!$X$15,ROW(AK353)-ROW(AK$15),0),
ROUND(ROUND(OFFSET($P353,0,AK$13),15-13*ORÇAMENTO!$AF$7)*OFFSET(ORÇAMENTO!$W$15,ROW(AK353)-ROW(AK$15),0),15-13*ORÇAMENTO!$AF$11)),0)</f>
        <v>0</v>
      </c>
      <c r="AM353" s="181">
        <f ca="1">IF($D353&lt;&gt;"Serviço",0,IF(AND(AUTOEVENTO="Manual",$M353=1),0,IF(OFFSET(CRONOPLE!$F$14,$M353,AM$13)="",10^12,OFFSET(CRONOPLE!$F$14,$M353,AM$13))))</f>
        <v>1000000000000</v>
      </c>
      <c r="AN353" s="181">
        <f ca="1">IF($D353&lt;&gt;"Serviço",0,IF(AND(AUTOEVENTO="Manual",$M353=1),0,IF(OFFSET(CRONOPLE!$F$14,$M353,AN$13)="",10^12,OFFSET(CRONOPLE!$F$14,$M353,AN$13))))</f>
        <v>1000000000000</v>
      </c>
      <c r="AO353" s="181">
        <f ca="1">IF($D353&lt;&gt;"Serviço",0,IF(AND(AUTOEVENTO="Manual",$M353=1),0,IF(OFFSET(CRONOPLE!$F$14,$M353,AO$13)="",10^12,OFFSET(CRONOPLE!$F$14,$M353,AO$13))))</f>
        <v>1000000000000</v>
      </c>
      <c r="AP353" s="181">
        <f ca="1">IF($D353&lt;&gt;"Serviço",0,IF(AND(AUTOEVENTO="Manual",$M353=1),0,IF(OFFSET(CRONOPLE!$F$14,$M353,AP$13)="",10^12,OFFSET(CRONOPLE!$F$14,$M353,AP$13))))</f>
        <v>1000000000000</v>
      </c>
      <c r="AQ353" s="181">
        <f ca="1">IF($D353&lt;&gt;"Serviço",0,IF(AND(AUTOEVENTO="Manual",$M353=1),0,IF(OFFSET(CRONOPLE!$F$14,$M353,AQ$13)="",10^12,OFFSET(CRONOPLE!$F$14,$M353,AQ$13))))</f>
        <v>1000000000000</v>
      </c>
      <c r="AR353" s="181">
        <f ca="1">IF($D353&lt;&gt;"Serviço",0,IF(AND(AUTOEVENTO="Manual",$M353=1),0,IF(OFFSET(CRONOPLE!$F$14,$M353,AR$13)="",10^12,OFFSET(CRONOPLE!$F$14,$M353,AR$13))))</f>
        <v>1000000000000</v>
      </c>
      <c r="AS353" s="181">
        <f ca="1">IF($D353&lt;&gt;"Serviço",0,IF(AND(AUTOEVENTO="Manual",$M353=1),0,IF(OFFSET(CRONOPLE!$F$14,$M353,AS$13)="",10^12,OFFSET(CRONOPLE!$F$14,$M353,AS$13))))</f>
        <v>1000000000000</v>
      </c>
      <c r="AT353" s="181">
        <f ca="1">IF($D353&lt;&gt;"Serviço",0,IF(AND(AUTOEVENTO="Manual",$M353=1),0,IF(OFFSET(CRONOPLE!$F$14,$M353,AT$13)="",10^12,OFFSET(CRONOPLE!$F$14,$M353,AT$13))))</f>
        <v>1000000000000</v>
      </c>
      <c r="AU353" s="181">
        <f ca="1">IF($D353&lt;&gt;"Serviço",0,IF(AND(AUTOEVENTO="Manual",$M353=1),0,IF(OFFSET(CRONOPLE!$F$14,$M353,AU$13)="",10^12,OFFSET(CRONOPLE!$F$14,$M353,AU$13))))</f>
        <v>1000000000000</v>
      </c>
      <c r="AV353" s="181">
        <f ca="1">IF($D353&lt;&gt;"Serviço",0,IF(AND(AUTOEVENTO="Manual",$M353=1),0,IF(OFFSET(CRONOPLE!$F$14,$M353,AV$13)="",10^12,OFFSET(CRONOPLE!$F$14,$M353,AV$13))))</f>
        <v>1000000000000</v>
      </c>
      <c r="AX353" s="182">
        <f ca="1">IF($D353&lt;&gt;"Serviço",0,IF(OR(AND(AUTOEVENTO="Manual",$M353=1),$M353&gt;(ROW(PLE.lastrow)-ROW(PLE.firstrow))),0,IF(OFFSET(PLE!$G$14,$M353,AX$13)="",10^12,OFFSET(PLE!$G$14,$M353,AX$13))))</f>
        <v>1000000000000</v>
      </c>
      <c r="AY353" s="182">
        <f ca="1">IF($D353&lt;&gt;"Serviço",0,IF(OR(AND(AUTOEVENTO="Manual",$M353=1),$M353&gt;(ROW(PLE.lastrow)-ROW(PLE.firstrow))),0,IF(OFFSET(PLE!$G$14,$M353,AY$13)="",10^12,OFFSET(PLE!$G$14,$M353,AY$13))))</f>
        <v>1000000000000</v>
      </c>
      <c r="AZ353" s="182">
        <f ca="1">IF($D353&lt;&gt;"Serviço",0,IF(OR(AND(AUTOEVENTO="Manual",$M353=1),$M353&gt;(ROW(PLE.lastrow)-ROW(PLE.firstrow))),0,IF(OFFSET(PLE!$G$14,$M353,AZ$13)="",10^12,OFFSET(PLE!$G$14,$M353,AZ$13))))</f>
        <v>1000000000000</v>
      </c>
      <c r="BA353" s="182">
        <f ca="1">IF($D353&lt;&gt;"Serviço",0,IF(OR(AND(AUTOEVENTO="Manual",$M353=1),$M353&gt;(ROW(PLE.lastrow)-ROW(PLE.firstrow))),0,IF(OFFSET(PLE!$G$14,$M353,BA$13)="",10^12,OFFSET(PLE!$G$14,$M353,BA$13))))</f>
        <v>1000000000000</v>
      </c>
      <c r="BB353" s="182">
        <f ca="1">IF($D353&lt;&gt;"Serviço",0,IF(OR(AND(AUTOEVENTO="Manual",$M353=1),$M353&gt;(ROW(PLE.lastrow)-ROW(PLE.firstrow))),0,IF(OFFSET(PLE!$G$14,$M353,BB$13)="",10^12,OFFSET(PLE!$G$14,$M353,BB$13))))</f>
        <v>1000000000000</v>
      </c>
      <c r="BC353" s="182">
        <f ca="1">IF($D353&lt;&gt;"Serviço",0,IF(OR(AND(AUTOEVENTO="Manual",$M353=1),$M353&gt;(ROW(PLE.lastrow)-ROW(PLE.firstrow))),0,IF(OFFSET(PLE!$G$14,$M353,BC$13)="",10^12,OFFSET(PLE!$G$14,$M353,BC$13))))</f>
        <v>1000000000000</v>
      </c>
      <c r="BD353" s="182">
        <f ca="1">IF($D353&lt;&gt;"Serviço",0,IF(OR(AND(AUTOEVENTO="Manual",$M353=1),$M353&gt;(ROW(PLE.lastrow)-ROW(PLE.firstrow))),0,IF(OFFSET(PLE!$G$14,$M353,BD$13)="",10^12,OFFSET(PLE!$G$14,$M353,BD$13))))</f>
        <v>1000000000000</v>
      </c>
      <c r="BE353" s="182">
        <f ca="1">IF($D353&lt;&gt;"Serviço",0,IF(OR(AND(AUTOEVENTO="Manual",$M353=1),$M353&gt;(ROW(PLE.lastrow)-ROW(PLE.firstrow))),0,IF(OFFSET(PLE!$G$14,$M353,BE$13)="",10^12,OFFSET(PLE!$G$14,$M353,BE$13))))</f>
        <v>1000000000000</v>
      </c>
      <c r="BF353" s="182">
        <f ca="1">IF($D353&lt;&gt;"Serviço",0,IF(OR(AND(AUTOEVENTO="Manual",$M353=1),$M353&gt;(ROW(PLE.lastrow)-ROW(PLE.firstrow))),0,IF(OFFSET(PLE!$G$14,$M353,BF$13)="",10^12,OFFSET(PLE!$G$14,$M353,BF$13))))</f>
        <v>1000000000000</v>
      </c>
      <c r="BG353" s="182">
        <f ca="1">IF($D353&lt;&gt;"Serviço",0,IF(OR(AND(AUTOEVENTO="Manual",$M353=1),$M353&gt;(ROW(PLE.lastrow)-ROW(PLE.firstrow))),0,IF(OFFSET(PLE!$G$14,$M353,BG$13)="",10^12,OFFSET(PLE!$G$14,$M353,BG$13))))</f>
        <v>1000000000000</v>
      </c>
    </row>
    <row r="354" spans="1:59" ht="38.25" x14ac:dyDescent="0.2">
      <c r="A354" s="7" t="str">
        <f t="shared" ca="1" si="11"/>
        <v>325</v>
      </c>
      <c r="B354" s="7" t="str">
        <f ca="1">OFFSET(ORÇAMENTO!C$15,ROW(B354)-ROW(B$15),0)</f>
        <v>S</v>
      </c>
      <c r="C354" s="7" t="str">
        <f ca="1">OFFSET(ORÇAMENTO!L$15,ROW(C354)-ROW(C$15),0)</f>
        <v/>
      </c>
      <c r="D354" s="118" t="str">
        <f ca="1">OFFSET(ORÇAMENTO!N$15,ROW(D354)-ROW(D$15),0)</f>
        <v>Serviço</v>
      </c>
      <c r="E354" s="119" t="str">
        <f ca="1">OFFSET(ORÇAMENTO!O$15,ROW(E354)-ROW(E$15),0)</f>
        <v>-</v>
      </c>
      <c r="F354" s="172" t="str">
        <f ca="1">OFFSET(ORÇAMENTO!R$15,ROW(F354)-ROW(F$15),0)</f>
        <v>(abra o arquivo 'Referência 02-2025.xlsm)</v>
      </c>
      <c r="G354" s="173" t="str">
        <f ca="1">IF($D354&lt;&gt;"Serviço","",OFFSET(ORÇAMENTO!S$15,ROW(G354)-ROW(G$15),0))</f>
        <v>-</v>
      </c>
      <c r="H354" s="124">
        <f ca="1">IF($D354&lt;&gt;"Serviço",0,IF(ACOMPANHAMENTO="BM",ROUND(OFFSET(ORÇAMENTO!AJ$15,ROW(H354)-ROW(H$15),0),15-13*ORÇAMENTO!$AF$7),SUMPRODUCT(($Q$12:$AA$12&lt;&gt;"")*ROUND($Q354:$AA354,15-13*ORÇAMENTO!$AF$7))))</f>
        <v>40</v>
      </c>
      <c r="I354" s="561" t="s">
        <v>890</v>
      </c>
      <c r="K354" s="174"/>
      <c r="L354" s="175" t="s">
        <v>255</v>
      </c>
      <c r="M354" s="176">
        <f ca="1">IF($D354&lt;&gt;"Serviço","",IF(AUTOEVENTO="manual",$A354,IF(ISERROR(MATCH($A354,$A$15:OFFSET($A354,-1,0),0)),MAX($M$15:OFFSET(M354,-1,0))+1,INDEX($M$15:OFFSET(M354,-1,0),MATCH($A354,$A$15:OFFSET($A354,-1,0),0)))))</f>
        <v>15</v>
      </c>
      <c r="N354" s="177" t="str">
        <f ca="1">IF($D354&lt;&gt;"Serviço","",IF(AUTOEVENTO="Manual",IF($A354=0,"&lt;-- defina o número do agrupador",OFFSET(EVENTOS!$D$14,$A354,0)),OFFSET($F$15,$A354,0)))</f>
        <v>INSTALAÇÕES DE ESGOTO SANITÁRIO</v>
      </c>
      <c r="O354" s="178"/>
      <c r="Q354" s="178"/>
      <c r="R354" s="179"/>
      <c r="S354" s="179"/>
      <c r="T354" s="179"/>
      <c r="U354" s="179"/>
      <c r="V354" s="179"/>
      <c r="W354" s="179"/>
      <c r="X354" s="179"/>
      <c r="Y354" s="179"/>
      <c r="Z354" s="180"/>
      <c r="AB354" s="544">
        <f ca="1">IF(AND($D354="Serviço",AB$12&lt;&gt;0,$H354&gt;0,OR(AUTOEVENTO&lt;&gt;"manual",$M354&lt;&gt;1)),
IF(Import.TipoArredondamento&lt;&gt;"TransfereGOV",
ROUND(OFFSET($P354,0,AB$13),15-13*ORÇAMENTO!$AF$7)/$H354*OFFSET(ORÇAMENTO!$X$15,ROW(AB354)-ROW(AB$15),0),
ROUND(ROUND(OFFSET($P354,0,AB$13),15-13*ORÇAMENTO!$AF$7)*OFFSET(ORÇAMENTO!$W$15,ROW(AB354)-ROW(AB$15),0),15-13*ORÇAMENTO!$AF$11)),0)</f>
        <v>0</v>
      </c>
      <c r="AC354" s="545">
        <f ca="1">IF(AND($D354="Serviço",AC$12&lt;&gt;0,$H354&gt;0,OR(AUTOEVENTO&lt;&gt;"manual",$M354&lt;&gt;1)),
IF(Import.TipoArredondamento&lt;&gt;"TransfereGOV",
ROUND(OFFSET($P354,0,AC$13),15-13*ORÇAMENTO!$AF$7)/$H354*OFFSET(ORÇAMENTO!$X$15,ROW(AC354)-ROW(AC$15),0),
ROUND(ROUND(OFFSET($P354,0,AC$13),15-13*ORÇAMENTO!$AF$7)*OFFSET(ORÇAMENTO!$W$15,ROW(AC354)-ROW(AC$15),0),15-13*ORÇAMENTO!$AF$11)),0)</f>
        <v>0</v>
      </c>
      <c r="AD354" s="545">
        <f ca="1">IF(AND($D354="Serviço",AD$12&lt;&gt;0,$H354&gt;0,OR(AUTOEVENTO&lt;&gt;"manual",$M354&lt;&gt;1)),
IF(Import.TipoArredondamento&lt;&gt;"TransfereGOV",
ROUND(OFFSET($P354,0,AD$13),15-13*ORÇAMENTO!$AF$7)/$H354*OFFSET(ORÇAMENTO!$X$15,ROW(AD354)-ROW(AD$15),0),
ROUND(ROUND(OFFSET($P354,0,AD$13),15-13*ORÇAMENTO!$AF$7)*OFFSET(ORÇAMENTO!$W$15,ROW(AD354)-ROW(AD$15),0),15-13*ORÇAMENTO!$AF$11)),0)</f>
        <v>0</v>
      </c>
      <c r="AE354" s="545">
        <f ca="1">IF(AND($D354="Serviço",AE$12&lt;&gt;0,$H354&gt;0,OR(AUTOEVENTO&lt;&gt;"manual",$M354&lt;&gt;1)),
IF(Import.TipoArredondamento&lt;&gt;"TransfereGOV",
ROUND(OFFSET($P354,0,AE$13),15-13*ORÇAMENTO!$AF$7)/$H354*OFFSET(ORÇAMENTO!$X$15,ROW(AE354)-ROW(AE$15),0),
ROUND(ROUND(OFFSET($P354,0,AE$13),15-13*ORÇAMENTO!$AF$7)*OFFSET(ORÇAMENTO!$W$15,ROW(AE354)-ROW(AE$15),0),15-13*ORÇAMENTO!$AF$11)),0)</f>
        <v>0</v>
      </c>
      <c r="AF354" s="545">
        <f ca="1">IF(AND($D354="Serviço",AF$12&lt;&gt;0,$H354&gt;0,OR(AUTOEVENTO&lt;&gt;"manual",$M354&lt;&gt;1)),
IF(Import.TipoArredondamento&lt;&gt;"TransfereGOV",
ROUND(OFFSET($P354,0,AF$13),15-13*ORÇAMENTO!$AF$7)/$H354*OFFSET(ORÇAMENTO!$X$15,ROW(AF354)-ROW(AF$15),0),
ROUND(ROUND(OFFSET($P354,0,AF$13),15-13*ORÇAMENTO!$AF$7)*OFFSET(ORÇAMENTO!$W$15,ROW(AF354)-ROW(AF$15),0),15-13*ORÇAMENTO!$AF$11)),0)</f>
        <v>0</v>
      </c>
      <c r="AG354" s="545">
        <f ca="1">IF(AND($D354="Serviço",AG$12&lt;&gt;0,$H354&gt;0,OR(AUTOEVENTO&lt;&gt;"manual",$M354&lt;&gt;1)),
IF(Import.TipoArredondamento&lt;&gt;"TransfereGOV",
ROUND(OFFSET($P354,0,AG$13),15-13*ORÇAMENTO!$AF$7)/$H354*OFFSET(ORÇAMENTO!$X$15,ROW(AG354)-ROW(AG$15),0),
ROUND(ROUND(OFFSET($P354,0,AG$13),15-13*ORÇAMENTO!$AF$7)*OFFSET(ORÇAMENTO!$W$15,ROW(AG354)-ROW(AG$15),0),15-13*ORÇAMENTO!$AF$11)),0)</f>
        <v>0</v>
      </c>
      <c r="AH354" s="545">
        <f ca="1">IF(AND($D354="Serviço",AH$12&lt;&gt;0,$H354&gt;0,OR(AUTOEVENTO&lt;&gt;"manual",$M354&lt;&gt;1)),
IF(Import.TipoArredondamento&lt;&gt;"TransfereGOV",
ROUND(OFFSET($P354,0,AH$13),15-13*ORÇAMENTO!$AF$7)/$H354*OFFSET(ORÇAMENTO!$X$15,ROW(AH354)-ROW(AH$15),0),
ROUND(ROUND(OFFSET($P354,0,AH$13),15-13*ORÇAMENTO!$AF$7)*OFFSET(ORÇAMENTO!$W$15,ROW(AH354)-ROW(AH$15),0),15-13*ORÇAMENTO!$AF$11)),0)</f>
        <v>0</v>
      </c>
      <c r="AI354" s="545">
        <f ca="1">IF(AND($D354="Serviço",AI$12&lt;&gt;0,$H354&gt;0,OR(AUTOEVENTO&lt;&gt;"manual",$M354&lt;&gt;1)),
IF(Import.TipoArredondamento&lt;&gt;"TransfereGOV",
ROUND(OFFSET($P354,0,AI$13),15-13*ORÇAMENTO!$AF$7)/$H354*OFFSET(ORÇAMENTO!$X$15,ROW(AI354)-ROW(AI$15),0),
ROUND(ROUND(OFFSET($P354,0,AI$13),15-13*ORÇAMENTO!$AF$7)*OFFSET(ORÇAMENTO!$W$15,ROW(AI354)-ROW(AI$15),0),15-13*ORÇAMENTO!$AF$11)),0)</f>
        <v>0</v>
      </c>
      <c r="AJ354" s="545">
        <f ca="1">IF(AND($D354="Serviço",AJ$12&lt;&gt;0,$H354&gt;0,OR(AUTOEVENTO&lt;&gt;"manual",$M354&lt;&gt;1)),
IF(Import.TipoArredondamento&lt;&gt;"TransfereGOV",
ROUND(OFFSET($P354,0,AJ$13),15-13*ORÇAMENTO!$AF$7)/$H354*OFFSET(ORÇAMENTO!$X$15,ROW(AJ354)-ROW(AJ$15),0),
ROUND(ROUND(OFFSET($P354,0,AJ$13),15-13*ORÇAMENTO!$AF$7)*OFFSET(ORÇAMENTO!$W$15,ROW(AJ354)-ROW(AJ$15),0),15-13*ORÇAMENTO!$AF$11)),0)</f>
        <v>0</v>
      </c>
      <c r="AK354" s="546">
        <f ca="1">IF(AND($D354="Serviço",AK$12&lt;&gt;0,$H354&gt;0,OR(AUTOEVENTO&lt;&gt;"manual",$M354&lt;&gt;1)),
IF(Import.TipoArredondamento&lt;&gt;"TransfereGOV",
ROUND(OFFSET($P354,0,AK$13),15-13*ORÇAMENTO!$AF$7)/$H354*OFFSET(ORÇAMENTO!$X$15,ROW(AK354)-ROW(AK$15),0),
ROUND(ROUND(OFFSET($P354,0,AK$13),15-13*ORÇAMENTO!$AF$7)*OFFSET(ORÇAMENTO!$W$15,ROW(AK354)-ROW(AK$15),0),15-13*ORÇAMENTO!$AF$11)),0)</f>
        <v>0</v>
      </c>
      <c r="AM354" s="181">
        <f ca="1">IF($D354&lt;&gt;"Serviço",0,IF(AND(AUTOEVENTO="Manual",$M354=1),0,IF(OFFSET(CRONOPLE!$F$14,$M354,AM$13)="",10^12,OFFSET(CRONOPLE!$F$14,$M354,AM$13))))</f>
        <v>1000000000000</v>
      </c>
      <c r="AN354" s="181">
        <f ca="1">IF($D354&lt;&gt;"Serviço",0,IF(AND(AUTOEVENTO="Manual",$M354=1),0,IF(OFFSET(CRONOPLE!$F$14,$M354,AN$13)="",10^12,OFFSET(CRONOPLE!$F$14,$M354,AN$13))))</f>
        <v>1000000000000</v>
      </c>
      <c r="AO354" s="181">
        <f ca="1">IF($D354&lt;&gt;"Serviço",0,IF(AND(AUTOEVENTO="Manual",$M354=1),0,IF(OFFSET(CRONOPLE!$F$14,$M354,AO$13)="",10^12,OFFSET(CRONOPLE!$F$14,$M354,AO$13))))</f>
        <v>1000000000000</v>
      </c>
      <c r="AP354" s="181">
        <f ca="1">IF($D354&lt;&gt;"Serviço",0,IF(AND(AUTOEVENTO="Manual",$M354=1),0,IF(OFFSET(CRONOPLE!$F$14,$M354,AP$13)="",10^12,OFFSET(CRONOPLE!$F$14,$M354,AP$13))))</f>
        <v>1000000000000</v>
      </c>
      <c r="AQ354" s="181">
        <f ca="1">IF($D354&lt;&gt;"Serviço",0,IF(AND(AUTOEVENTO="Manual",$M354=1),0,IF(OFFSET(CRONOPLE!$F$14,$M354,AQ$13)="",10^12,OFFSET(CRONOPLE!$F$14,$M354,AQ$13))))</f>
        <v>1000000000000</v>
      </c>
      <c r="AR354" s="181">
        <f ca="1">IF($D354&lt;&gt;"Serviço",0,IF(AND(AUTOEVENTO="Manual",$M354=1),0,IF(OFFSET(CRONOPLE!$F$14,$M354,AR$13)="",10^12,OFFSET(CRONOPLE!$F$14,$M354,AR$13))))</f>
        <v>1000000000000</v>
      </c>
      <c r="AS354" s="181">
        <f ca="1">IF($D354&lt;&gt;"Serviço",0,IF(AND(AUTOEVENTO="Manual",$M354=1),0,IF(OFFSET(CRONOPLE!$F$14,$M354,AS$13)="",10^12,OFFSET(CRONOPLE!$F$14,$M354,AS$13))))</f>
        <v>1000000000000</v>
      </c>
      <c r="AT354" s="181">
        <f ca="1">IF($D354&lt;&gt;"Serviço",0,IF(AND(AUTOEVENTO="Manual",$M354=1),0,IF(OFFSET(CRONOPLE!$F$14,$M354,AT$13)="",10^12,OFFSET(CRONOPLE!$F$14,$M354,AT$13))))</f>
        <v>1000000000000</v>
      </c>
      <c r="AU354" s="181">
        <f ca="1">IF($D354&lt;&gt;"Serviço",0,IF(AND(AUTOEVENTO="Manual",$M354=1),0,IF(OFFSET(CRONOPLE!$F$14,$M354,AU$13)="",10^12,OFFSET(CRONOPLE!$F$14,$M354,AU$13))))</f>
        <v>1000000000000</v>
      </c>
      <c r="AV354" s="181">
        <f ca="1">IF($D354&lt;&gt;"Serviço",0,IF(AND(AUTOEVENTO="Manual",$M354=1),0,IF(OFFSET(CRONOPLE!$F$14,$M354,AV$13)="",10^12,OFFSET(CRONOPLE!$F$14,$M354,AV$13))))</f>
        <v>1000000000000</v>
      </c>
      <c r="AX354" s="182">
        <f ca="1">IF($D354&lt;&gt;"Serviço",0,IF(OR(AND(AUTOEVENTO="Manual",$M354=1),$M354&gt;(ROW(PLE.lastrow)-ROW(PLE.firstrow))),0,IF(OFFSET(PLE!$G$14,$M354,AX$13)="",10^12,OFFSET(PLE!$G$14,$M354,AX$13))))</f>
        <v>1000000000000</v>
      </c>
      <c r="AY354" s="182">
        <f ca="1">IF($D354&lt;&gt;"Serviço",0,IF(OR(AND(AUTOEVENTO="Manual",$M354=1),$M354&gt;(ROW(PLE.lastrow)-ROW(PLE.firstrow))),0,IF(OFFSET(PLE!$G$14,$M354,AY$13)="",10^12,OFFSET(PLE!$G$14,$M354,AY$13))))</f>
        <v>1000000000000</v>
      </c>
      <c r="AZ354" s="182">
        <f ca="1">IF($D354&lt;&gt;"Serviço",0,IF(OR(AND(AUTOEVENTO="Manual",$M354=1),$M354&gt;(ROW(PLE.lastrow)-ROW(PLE.firstrow))),0,IF(OFFSET(PLE!$G$14,$M354,AZ$13)="",10^12,OFFSET(PLE!$G$14,$M354,AZ$13))))</f>
        <v>1000000000000</v>
      </c>
      <c r="BA354" s="182">
        <f ca="1">IF($D354&lt;&gt;"Serviço",0,IF(OR(AND(AUTOEVENTO="Manual",$M354=1),$M354&gt;(ROW(PLE.lastrow)-ROW(PLE.firstrow))),0,IF(OFFSET(PLE!$G$14,$M354,BA$13)="",10^12,OFFSET(PLE!$G$14,$M354,BA$13))))</f>
        <v>1000000000000</v>
      </c>
      <c r="BB354" s="182">
        <f ca="1">IF($D354&lt;&gt;"Serviço",0,IF(OR(AND(AUTOEVENTO="Manual",$M354=1),$M354&gt;(ROW(PLE.lastrow)-ROW(PLE.firstrow))),0,IF(OFFSET(PLE!$G$14,$M354,BB$13)="",10^12,OFFSET(PLE!$G$14,$M354,BB$13))))</f>
        <v>1000000000000</v>
      </c>
      <c r="BC354" s="182">
        <f ca="1">IF($D354&lt;&gt;"Serviço",0,IF(OR(AND(AUTOEVENTO="Manual",$M354=1),$M354&gt;(ROW(PLE.lastrow)-ROW(PLE.firstrow))),0,IF(OFFSET(PLE!$G$14,$M354,BC$13)="",10^12,OFFSET(PLE!$G$14,$M354,BC$13))))</f>
        <v>1000000000000</v>
      </c>
      <c r="BD354" s="182">
        <f ca="1">IF($D354&lt;&gt;"Serviço",0,IF(OR(AND(AUTOEVENTO="Manual",$M354=1),$M354&gt;(ROW(PLE.lastrow)-ROW(PLE.firstrow))),0,IF(OFFSET(PLE!$G$14,$M354,BD$13)="",10^12,OFFSET(PLE!$G$14,$M354,BD$13))))</f>
        <v>1000000000000</v>
      </c>
      <c r="BE354" s="182">
        <f ca="1">IF($D354&lt;&gt;"Serviço",0,IF(OR(AND(AUTOEVENTO="Manual",$M354=1),$M354&gt;(ROW(PLE.lastrow)-ROW(PLE.firstrow))),0,IF(OFFSET(PLE!$G$14,$M354,BE$13)="",10^12,OFFSET(PLE!$G$14,$M354,BE$13))))</f>
        <v>1000000000000</v>
      </c>
      <c r="BF354" s="182">
        <f ca="1">IF($D354&lt;&gt;"Serviço",0,IF(OR(AND(AUTOEVENTO="Manual",$M354=1),$M354&gt;(ROW(PLE.lastrow)-ROW(PLE.firstrow))),0,IF(OFFSET(PLE!$G$14,$M354,BF$13)="",10^12,OFFSET(PLE!$G$14,$M354,BF$13))))</f>
        <v>1000000000000</v>
      </c>
      <c r="BG354" s="182">
        <f ca="1">IF($D354&lt;&gt;"Serviço",0,IF(OR(AND(AUTOEVENTO="Manual",$M354=1),$M354&gt;(ROW(PLE.lastrow)-ROW(PLE.firstrow))),0,IF(OFFSET(PLE!$G$14,$M354,BG$13)="",10^12,OFFSET(PLE!$G$14,$M354,BG$13))))</f>
        <v>1000000000000</v>
      </c>
    </row>
    <row r="355" spans="1:59" ht="38.25" x14ac:dyDescent="0.2">
      <c r="A355" s="7" t="str">
        <f t="shared" ca="1" si="11"/>
        <v>325</v>
      </c>
      <c r="B355" s="7" t="str">
        <f ca="1">OFFSET(ORÇAMENTO!C$15,ROW(B355)-ROW(B$15),0)</f>
        <v>S</v>
      </c>
      <c r="C355" s="7" t="str">
        <f ca="1">OFFSET(ORÇAMENTO!L$15,ROW(C355)-ROW(C$15),0)</f>
        <v/>
      </c>
      <c r="D355" s="118" t="str">
        <f ca="1">OFFSET(ORÇAMENTO!N$15,ROW(D355)-ROW(D$15),0)</f>
        <v>Serviço</v>
      </c>
      <c r="E355" s="119" t="str">
        <f ca="1">OFFSET(ORÇAMENTO!O$15,ROW(E355)-ROW(E$15),0)</f>
        <v>-</v>
      </c>
      <c r="F355" s="172" t="str">
        <f ca="1">OFFSET(ORÇAMENTO!R$15,ROW(F355)-ROW(F$15),0)</f>
        <v>(abra o arquivo 'Referência 02-2025.xlsm)</v>
      </c>
      <c r="G355" s="173" t="str">
        <f ca="1">IF($D355&lt;&gt;"Serviço","",OFFSET(ORÇAMENTO!S$15,ROW(G355)-ROW(G$15),0))</f>
        <v>-</v>
      </c>
      <c r="H355" s="124">
        <f ca="1">IF($D355&lt;&gt;"Serviço",0,IF(ACOMPANHAMENTO="BM",ROUND(OFFSET(ORÇAMENTO!AJ$15,ROW(H355)-ROW(H$15),0),15-13*ORÇAMENTO!$AF$7),SUMPRODUCT(($Q$12:$AA$12&lt;&gt;"")*ROUND($Q355:$AA355,15-13*ORÇAMENTO!$AF$7))))</f>
        <v>60</v>
      </c>
      <c r="I355" s="561" t="s">
        <v>890</v>
      </c>
      <c r="K355" s="174"/>
      <c r="L355" s="175" t="s">
        <v>255</v>
      </c>
      <c r="M355" s="176">
        <f ca="1">IF($D355&lt;&gt;"Serviço","",IF(AUTOEVENTO="manual",$A355,IF(ISERROR(MATCH($A355,$A$15:OFFSET($A355,-1,0),0)),MAX($M$15:OFFSET(M355,-1,0))+1,INDEX($M$15:OFFSET(M355,-1,0),MATCH($A355,$A$15:OFFSET($A355,-1,0),0)))))</f>
        <v>15</v>
      </c>
      <c r="N355" s="177" t="str">
        <f ca="1">IF($D355&lt;&gt;"Serviço","",IF(AUTOEVENTO="Manual",IF($A355=0,"&lt;-- defina o número do agrupador",OFFSET(EVENTOS!$D$14,$A355,0)),OFFSET($F$15,$A355,0)))</f>
        <v>INSTALAÇÕES DE ESGOTO SANITÁRIO</v>
      </c>
      <c r="O355" s="178"/>
      <c r="Q355" s="178"/>
      <c r="R355" s="179"/>
      <c r="S355" s="179"/>
      <c r="T355" s="179"/>
      <c r="U355" s="179"/>
      <c r="V355" s="179"/>
      <c r="W355" s="179"/>
      <c r="X355" s="179"/>
      <c r="Y355" s="179"/>
      <c r="Z355" s="180"/>
      <c r="AB355" s="544">
        <f ca="1">IF(AND($D355="Serviço",AB$12&lt;&gt;0,$H355&gt;0,OR(AUTOEVENTO&lt;&gt;"manual",$M355&lt;&gt;1)),
IF(Import.TipoArredondamento&lt;&gt;"TransfereGOV",
ROUND(OFFSET($P355,0,AB$13),15-13*ORÇAMENTO!$AF$7)/$H355*OFFSET(ORÇAMENTO!$X$15,ROW(AB355)-ROW(AB$15),0),
ROUND(ROUND(OFFSET($P355,0,AB$13),15-13*ORÇAMENTO!$AF$7)*OFFSET(ORÇAMENTO!$W$15,ROW(AB355)-ROW(AB$15),0),15-13*ORÇAMENTO!$AF$11)),0)</f>
        <v>0</v>
      </c>
      <c r="AC355" s="545">
        <f ca="1">IF(AND($D355="Serviço",AC$12&lt;&gt;0,$H355&gt;0,OR(AUTOEVENTO&lt;&gt;"manual",$M355&lt;&gt;1)),
IF(Import.TipoArredondamento&lt;&gt;"TransfereGOV",
ROUND(OFFSET($P355,0,AC$13),15-13*ORÇAMENTO!$AF$7)/$H355*OFFSET(ORÇAMENTO!$X$15,ROW(AC355)-ROW(AC$15),0),
ROUND(ROUND(OFFSET($P355,0,AC$13),15-13*ORÇAMENTO!$AF$7)*OFFSET(ORÇAMENTO!$W$15,ROW(AC355)-ROW(AC$15),0),15-13*ORÇAMENTO!$AF$11)),0)</f>
        <v>0</v>
      </c>
      <c r="AD355" s="545">
        <f ca="1">IF(AND($D355="Serviço",AD$12&lt;&gt;0,$H355&gt;0,OR(AUTOEVENTO&lt;&gt;"manual",$M355&lt;&gt;1)),
IF(Import.TipoArredondamento&lt;&gt;"TransfereGOV",
ROUND(OFFSET($P355,0,AD$13),15-13*ORÇAMENTO!$AF$7)/$H355*OFFSET(ORÇAMENTO!$X$15,ROW(AD355)-ROW(AD$15),0),
ROUND(ROUND(OFFSET($P355,0,AD$13),15-13*ORÇAMENTO!$AF$7)*OFFSET(ORÇAMENTO!$W$15,ROW(AD355)-ROW(AD$15),0),15-13*ORÇAMENTO!$AF$11)),0)</f>
        <v>0</v>
      </c>
      <c r="AE355" s="545">
        <f ca="1">IF(AND($D355="Serviço",AE$12&lt;&gt;0,$H355&gt;0,OR(AUTOEVENTO&lt;&gt;"manual",$M355&lt;&gt;1)),
IF(Import.TipoArredondamento&lt;&gt;"TransfereGOV",
ROUND(OFFSET($P355,0,AE$13),15-13*ORÇAMENTO!$AF$7)/$H355*OFFSET(ORÇAMENTO!$X$15,ROW(AE355)-ROW(AE$15),0),
ROUND(ROUND(OFFSET($P355,0,AE$13),15-13*ORÇAMENTO!$AF$7)*OFFSET(ORÇAMENTO!$W$15,ROW(AE355)-ROW(AE$15),0),15-13*ORÇAMENTO!$AF$11)),0)</f>
        <v>0</v>
      </c>
      <c r="AF355" s="545">
        <f ca="1">IF(AND($D355="Serviço",AF$12&lt;&gt;0,$H355&gt;0,OR(AUTOEVENTO&lt;&gt;"manual",$M355&lt;&gt;1)),
IF(Import.TipoArredondamento&lt;&gt;"TransfereGOV",
ROUND(OFFSET($P355,0,AF$13),15-13*ORÇAMENTO!$AF$7)/$H355*OFFSET(ORÇAMENTO!$X$15,ROW(AF355)-ROW(AF$15),0),
ROUND(ROUND(OFFSET($P355,0,AF$13),15-13*ORÇAMENTO!$AF$7)*OFFSET(ORÇAMENTO!$W$15,ROW(AF355)-ROW(AF$15),0),15-13*ORÇAMENTO!$AF$11)),0)</f>
        <v>0</v>
      </c>
      <c r="AG355" s="545">
        <f ca="1">IF(AND($D355="Serviço",AG$12&lt;&gt;0,$H355&gt;0,OR(AUTOEVENTO&lt;&gt;"manual",$M355&lt;&gt;1)),
IF(Import.TipoArredondamento&lt;&gt;"TransfereGOV",
ROUND(OFFSET($P355,0,AG$13),15-13*ORÇAMENTO!$AF$7)/$H355*OFFSET(ORÇAMENTO!$X$15,ROW(AG355)-ROW(AG$15),0),
ROUND(ROUND(OFFSET($P355,0,AG$13),15-13*ORÇAMENTO!$AF$7)*OFFSET(ORÇAMENTO!$W$15,ROW(AG355)-ROW(AG$15),0),15-13*ORÇAMENTO!$AF$11)),0)</f>
        <v>0</v>
      </c>
      <c r="AH355" s="545">
        <f ca="1">IF(AND($D355="Serviço",AH$12&lt;&gt;0,$H355&gt;0,OR(AUTOEVENTO&lt;&gt;"manual",$M355&lt;&gt;1)),
IF(Import.TipoArredondamento&lt;&gt;"TransfereGOV",
ROUND(OFFSET($P355,0,AH$13),15-13*ORÇAMENTO!$AF$7)/$H355*OFFSET(ORÇAMENTO!$X$15,ROW(AH355)-ROW(AH$15),0),
ROUND(ROUND(OFFSET($P355,0,AH$13),15-13*ORÇAMENTO!$AF$7)*OFFSET(ORÇAMENTO!$W$15,ROW(AH355)-ROW(AH$15),0),15-13*ORÇAMENTO!$AF$11)),0)</f>
        <v>0</v>
      </c>
      <c r="AI355" s="545">
        <f ca="1">IF(AND($D355="Serviço",AI$12&lt;&gt;0,$H355&gt;0,OR(AUTOEVENTO&lt;&gt;"manual",$M355&lt;&gt;1)),
IF(Import.TipoArredondamento&lt;&gt;"TransfereGOV",
ROUND(OFFSET($P355,0,AI$13),15-13*ORÇAMENTO!$AF$7)/$H355*OFFSET(ORÇAMENTO!$X$15,ROW(AI355)-ROW(AI$15),0),
ROUND(ROUND(OFFSET($P355,0,AI$13),15-13*ORÇAMENTO!$AF$7)*OFFSET(ORÇAMENTO!$W$15,ROW(AI355)-ROW(AI$15),0),15-13*ORÇAMENTO!$AF$11)),0)</f>
        <v>0</v>
      </c>
      <c r="AJ355" s="545">
        <f ca="1">IF(AND($D355="Serviço",AJ$12&lt;&gt;0,$H355&gt;0,OR(AUTOEVENTO&lt;&gt;"manual",$M355&lt;&gt;1)),
IF(Import.TipoArredondamento&lt;&gt;"TransfereGOV",
ROUND(OFFSET($P355,0,AJ$13),15-13*ORÇAMENTO!$AF$7)/$H355*OFFSET(ORÇAMENTO!$X$15,ROW(AJ355)-ROW(AJ$15),0),
ROUND(ROUND(OFFSET($P355,0,AJ$13),15-13*ORÇAMENTO!$AF$7)*OFFSET(ORÇAMENTO!$W$15,ROW(AJ355)-ROW(AJ$15),0),15-13*ORÇAMENTO!$AF$11)),0)</f>
        <v>0</v>
      </c>
      <c r="AK355" s="546">
        <f ca="1">IF(AND($D355="Serviço",AK$12&lt;&gt;0,$H355&gt;0,OR(AUTOEVENTO&lt;&gt;"manual",$M355&lt;&gt;1)),
IF(Import.TipoArredondamento&lt;&gt;"TransfereGOV",
ROUND(OFFSET($P355,0,AK$13),15-13*ORÇAMENTO!$AF$7)/$H355*OFFSET(ORÇAMENTO!$X$15,ROW(AK355)-ROW(AK$15),0),
ROUND(ROUND(OFFSET($P355,0,AK$13),15-13*ORÇAMENTO!$AF$7)*OFFSET(ORÇAMENTO!$W$15,ROW(AK355)-ROW(AK$15),0),15-13*ORÇAMENTO!$AF$11)),0)</f>
        <v>0</v>
      </c>
      <c r="AM355" s="181">
        <f ca="1">IF($D355&lt;&gt;"Serviço",0,IF(AND(AUTOEVENTO="Manual",$M355=1),0,IF(OFFSET(CRONOPLE!$F$14,$M355,AM$13)="",10^12,OFFSET(CRONOPLE!$F$14,$M355,AM$13))))</f>
        <v>1000000000000</v>
      </c>
      <c r="AN355" s="181">
        <f ca="1">IF($D355&lt;&gt;"Serviço",0,IF(AND(AUTOEVENTO="Manual",$M355=1),0,IF(OFFSET(CRONOPLE!$F$14,$M355,AN$13)="",10^12,OFFSET(CRONOPLE!$F$14,$M355,AN$13))))</f>
        <v>1000000000000</v>
      </c>
      <c r="AO355" s="181">
        <f ca="1">IF($D355&lt;&gt;"Serviço",0,IF(AND(AUTOEVENTO="Manual",$M355=1),0,IF(OFFSET(CRONOPLE!$F$14,$M355,AO$13)="",10^12,OFFSET(CRONOPLE!$F$14,$M355,AO$13))))</f>
        <v>1000000000000</v>
      </c>
      <c r="AP355" s="181">
        <f ca="1">IF($D355&lt;&gt;"Serviço",0,IF(AND(AUTOEVENTO="Manual",$M355=1),0,IF(OFFSET(CRONOPLE!$F$14,$M355,AP$13)="",10^12,OFFSET(CRONOPLE!$F$14,$M355,AP$13))))</f>
        <v>1000000000000</v>
      </c>
      <c r="AQ355" s="181">
        <f ca="1">IF($D355&lt;&gt;"Serviço",0,IF(AND(AUTOEVENTO="Manual",$M355=1),0,IF(OFFSET(CRONOPLE!$F$14,$M355,AQ$13)="",10^12,OFFSET(CRONOPLE!$F$14,$M355,AQ$13))))</f>
        <v>1000000000000</v>
      </c>
      <c r="AR355" s="181">
        <f ca="1">IF($D355&lt;&gt;"Serviço",0,IF(AND(AUTOEVENTO="Manual",$M355=1),0,IF(OFFSET(CRONOPLE!$F$14,$M355,AR$13)="",10^12,OFFSET(CRONOPLE!$F$14,$M355,AR$13))))</f>
        <v>1000000000000</v>
      </c>
      <c r="AS355" s="181">
        <f ca="1">IF($D355&lt;&gt;"Serviço",0,IF(AND(AUTOEVENTO="Manual",$M355=1),0,IF(OFFSET(CRONOPLE!$F$14,$M355,AS$13)="",10^12,OFFSET(CRONOPLE!$F$14,$M355,AS$13))))</f>
        <v>1000000000000</v>
      </c>
      <c r="AT355" s="181">
        <f ca="1">IF($D355&lt;&gt;"Serviço",0,IF(AND(AUTOEVENTO="Manual",$M355=1),0,IF(OFFSET(CRONOPLE!$F$14,$M355,AT$13)="",10^12,OFFSET(CRONOPLE!$F$14,$M355,AT$13))))</f>
        <v>1000000000000</v>
      </c>
      <c r="AU355" s="181">
        <f ca="1">IF($D355&lt;&gt;"Serviço",0,IF(AND(AUTOEVENTO="Manual",$M355=1),0,IF(OFFSET(CRONOPLE!$F$14,$M355,AU$13)="",10^12,OFFSET(CRONOPLE!$F$14,$M355,AU$13))))</f>
        <v>1000000000000</v>
      </c>
      <c r="AV355" s="181">
        <f ca="1">IF($D355&lt;&gt;"Serviço",0,IF(AND(AUTOEVENTO="Manual",$M355=1),0,IF(OFFSET(CRONOPLE!$F$14,$M355,AV$13)="",10^12,OFFSET(CRONOPLE!$F$14,$M355,AV$13))))</f>
        <v>1000000000000</v>
      </c>
      <c r="AX355" s="182">
        <f ca="1">IF($D355&lt;&gt;"Serviço",0,IF(OR(AND(AUTOEVENTO="Manual",$M355=1),$M355&gt;(ROW(PLE.lastrow)-ROW(PLE.firstrow))),0,IF(OFFSET(PLE!$G$14,$M355,AX$13)="",10^12,OFFSET(PLE!$G$14,$M355,AX$13))))</f>
        <v>1000000000000</v>
      </c>
      <c r="AY355" s="182">
        <f ca="1">IF($D355&lt;&gt;"Serviço",0,IF(OR(AND(AUTOEVENTO="Manual",$M355=1),$M355&gt;(ROW(PLE.lastrow)-ROW(PLE.firstrow))),0,IF(OFFSET(PLE!$G$14,$M355,AY$13)="",10^12,OFFSET(PLE!$G$14,$M355,AY$13))))</f>
        <v>1000000000000</v>
      </c>
      <c r="AZ355" s="182">
        <f ca="1">IF($D355&lt;&gt;"Serviço",0,IF(OR(AND(AUTOEVENTO="Manual",$M355=1),$M355&gt;(ROW(PLE.lastrow)-ROW(PLE.firstrow))),0,IF(OFFSET(PLE!$G$14,$M355,AZ$13)="",10^12,OFFSET(PLE!$G$14,$M355,AZ$13))))</f>
        <v>1000000000000</v>
      </c>
      <c r="BA355" s="182">
        <f ca="1">IF($D355&lt;&gt;"Serviço",0,IF(OR(AND(AUTOEVENTO="Manual",$M355=1),$M355&gt;(ROW(PLE.lastrow)-ROW(PLE.firstrow))),0,IF(OFFSET(PLE!$G$14,$M355,BA$13)="",10^12,OFFSET(PLE!$G$14,$M355,BA$13))))</f>
        <v>1000000000000</v>
      </c>
      <c r="BB355" s="182">
        <f ca="1">IF($D355&lt;&gt;"Serviço",0,IF(OR(AND(AUTOEVENTO="Manual",$M355=1),$M355&gt;(ROW(PLE.lastrow)-ROW(PLE.firstrow))),0,IF(OFFSET(PLE!$G$14,$M355,BB$13)="",10^12,OFFSET(PLE!$G$14,$M355,BB$13))))</f>
        <v>1000000000000</v>
      </c>
      <c r="BC355" s="182">
        <f ca="1">IF($D355&lt;&gt;"Serviço",0,IF(OR(AND(AUTOEVENTO="Manual",$M355=1),$M355&gt;(ROW(PLE.lastrow)-ROW(PLE.firstrow))),0,IF(OFFSET(PLE!$G$14,$M355,BC$13)="",10^12,OFFSET(PLE!$G$14,$M355,BC$13))))</f>
        <v>1000000000000</v>
      </c>
      <c r="BD355" s="182">
        <f ca="1">IF($D355&lt;&gt;"Serviço",0,IF(OR(AND(AUTOEVENTO="Manual",$M355=1),$M355&gt;(ROW(PLE.lastrow)-ROW(PLE.firstrow))),0,IF(OFFSET(PLE!$G$14,$M355,BD$13)="",10^12,OFFSET(PLE!$G$14,$M355,BD$13))))</f>
        <v>1000000000000</v>
      </c>
      <c r="BE355" s="182">
        <f ca="1">IF($D355&lt;&gt;"Serviço",0,IF(OR(AND(AUTOEVENTO="Manual",$M355=1),$M355&gt;(ROW(PLE.lastrow)-ROW(PLE.firstrow))),0,IF(OFFSET(PLE!$G$14,$M355,BE$13)="",10^12,OFFSET(PLE!$G$14,$M355,BE$13))))</f>
        <v>1000000000000</v>
      </c>
      <c r="BF355" s="182">
        <f ca="1">IF($D355&lt;&gt;"Serviço",0,IF(OR(AND(AUTOEVENTO="Manual",$M355=1),$M355&gt;(ROW(PLE.lastrow)-ROW(PLE.firstrow))),0,IF(OFFSET(PLE!$G$14,$M355,BF$13)="",10^12,OFFSET(PLE!$G$14,$M355,BF$13))))</f>
        <v>1000000000000</v>
      </c>
      <c r="BG355" s="182">
        <f ca="1">IF($D355&lt;&gt;"Serviço",0,IF(OR(AND(AUTOEVENTO="Manual",$M355=1),$M355&gt;(ROW(PLE.lastrow)-ROW(PLE.firstrow))),0,IF(OFFSET(PLE!$G$14,$M355,BG$13)="",10^12,OFFSET(PLE!$G$14,$M355,BG$13))))</f>
        <v>1000000000000</v>
      </c>
    </row>
    <row r="356" spans="1:59" ht="38.25" x14ac:dyDescent="0.2">
      <c r="A356" s="7" t="str">
        <f t="shared" ca="1" si="11"/>
        <v>325</v>
      </c>
      <c r="B356" s="7" t="str">
        <f ca="1">OFFSET(ORÇAMENTO!C$15,ROW(B356)-ROW(B$15),0)</f>
        <v>S</v>
      </c>
      <c r="C356" s="7" t="str">
        <f ca="1">OFFSET(ORÇAMENTO!L$15,ROW(C356)-ROW(C$15),0)</f>
        <v/>
      </c>
      <c r="D356" s="118" t="str">
        <f ca="1">OFFSET(ORÇAMENTO!N$15,ROW(D356)-ROW(D$15),0)</f>
        <v>Serviço</v>
      </c>
      <c r="E356" s="119" t="str">
        <f ca="1">OFFSET(ORÇAMENTO!O$15,ROW(E356)-ROW(E$15),0)</f>
        <v>-</v>
      </c>
      <c r="F356" s="172" t="str">
        <f ca="1">OFFSET(ORÇAMENTO!R$15,ROW(F356)-ROW(F$15),0)</f>
        <v>(abra o arquivo 'Referência 02-2025.xlsm)</v>
      </c>
      <c r="G356" s="173" t="str">
        <f ca="1">IF($D356&lt;&gt;"Serviço","",OFFSET(ORÇAMENTO!S$15,ROW(G356)-ROW(G$15),0))</f>
        <v>-</v>
      </c>
      <c r="H356" s="124">
        <f ca="1">IF($D356&lt;&gt;"Serviço",0,IF(ACOMPANHAMENTO="BM",ROUND(OFFSET(ORÇAMENTO!AJ$15,ROW(H356)-ROW(H$15),0),15-13*ORÇAMENTO!$AF$7),SUMPRODUCT(($Q$12:$AA$12&lt;&gt;"")*ROUND($Q356:$AA356,15-13*ORÇAMENTO!$AF$7))))</f>
        <v>4</v>
      </c>
      <c r="I356" s="561" t="s">
        <v>890</v>
      </c>
      <c r="K356" s="174"/>
      <c r="L356" s="175" t="s">
        <v>255</v>
      </c>
      <c r="M356" s="176">
        <f ca="1">IF($D356&lt;&gt;"Serviço","",IF(AUTOEVENTO="manual",$A356,IF(ISERROR(MATCH($A356,$A$15:OFFSET($A356,-1,0),0)),MAX($M$15:OFFSET(M356,-1,0))+1,INDEX($M$15:OFFSET(M356,-1,0),MATCH($A356,$A$15:OFFSET($A356,-1,0),0)))))</f>
        <v>15</v>
      </c>
      <c r="N356" s="177" t="str">
        <f ca="1">IF($D356&lt;&gt;"Serviço","",IF(AUTOEVENTO="Manual",IF($A356=0,"&lt;-- defina o número do agrupador",OFFSET(EVENTOS!$D$14,$A356,0)),OFFSET($F$15,$A356,0)))</f>
        <v>INSTALAÇÕES DE ESGOTO SANITÁRIO</v>
      </c>
      <c r="O356" s="178"/>
      <c r="Q356" s="178"/>
      <c r="R356" s="179"/>
      <c r="S356" s="179"/>
      <c r="T356" s="179"/>
      <c r="U356" s="179"/>
      <c r="V356" s="179"/>
      <c r="W356" s="179"/>
      <c r="X356" s="179"/>
      <c r="Y356" s="179"/>
      <c r="Z356" s="180"/>
      <c r="AB356" s="544">
        <f ca="1">IF(AND($D356="Serviço",AB$12&lt;&gt;0,$H356&gt;0,OR(AUTOEVENTO&lt;&gt;"manual",$M356&lt;&gt;1)),
IF(Import.TipoArredondamento&lt;&gt;"TransfereGOV",
ROUND(OFFSET($P356,0,AB$13),15-13*ORÇAMENTO!$AF$7)/$H356*OFFSET(ORÇAMENTO!$X$15,ROW(AB356)-ROW(AB$15),0),
ROUND(ROUND(OFFSET($P356,0,AB$13),15-13*ORÇAMENTO!$AF$7)*OFFSET(ORÇAMENTO!$W$15,ROW(AB356)-ROW(AB$15),0),15-13*ORÇAMENTO!$AF$11)),0)</f>
        <v>0</v>
      </c>
      <c r="AC356" s="545">
        <f ca="1">IF(AND($D356="Serviço",AC$12&lt;&gt;0,$H356&gt;0,OR(AUTOEVENTO&lt;&gt;"manual",$M356&lt;&gt;1)),
IF(Import.TipoArredondamento&lt;&gt;"TransfereGOV",
ROUND(OFFSET($P356,0,AC$13),15-13*ORÇAMENTO!$AF$7)/$H356*OFFSET(ORÇAMENTO!$X$15,ROW(AC356)-ROW(AC$15),0),
ROUND(ROUND(OFFSET($P356,0,AC$13),15-13*ORÇAMENTO!$AF$7)*OFFSET(ORÇAMENTO!$W$15,ROW(AC356)-ROW(AC$15),0),15-13*ORÇAMENTO!$AF$11)),0)</f>
        <v>0</v>
      </c>
      <c r="AD356" s="545">
        <f ca="1">IF(AND($D356="Serviço",AD$12&lt;&gt;0,$H356&gt;0,OR(AUTOEVENTO&lt;&gt;"manual",$M356&lt;&gt;1)),
IF(Import.TipoArredondamento&lt;&gt;"TransfereGOV",
ROUND(OFFSET($P356,0,AD$13),15-13*ORÇAMENTO!$AF$7)/$H356*OFFSET(ORÇAMENTO!$X$15,ROW(AD356)-ROW(AD$15),0),
ROUND(ROUND(OFFSET($P356,0,AD$13),15-13*ORÇAMENTO!$AF$7)*OFFSET(ORÇAMENTO!$W$15,ROW(AD356)-ROW(AD$15),0),15-13*ORÇAMENTO!$AF$11)),0)</f>
        <v>0</v>
      </c>
      <c r="AE356" s="545">
        <f ca="1">IF(AND($D356="Serviço",AE$12&lt;&gt;0,$H356&gt;0,OR(AUTOEVENTO&lt;&gt;"manual",$M356&lt;&gt;1)),
IF(Import.TipoArredondamento&lt;&gt;"TransfereGOV",
ROUND(OFFSET($P356,0,AE$13),15-13*ORÇAMENTO!$AF$7)/$H356*OFFSET(ORÇAMENTO!$X$15,ROW(AE356)-ROW(AE$15),0),
ROUND(ROUND(OFFSET($P356,0,AE$13),15-13*ORÇAMENTO!$AF$7)*OFFSET(ORÇAMENTO!$W$15,ROW(AE356)-ROW(AE$15),0),15-13*ORÇAMENTO!$AF$11)),0)</f>
        <v>0</v>
      </c>
      <c r="AF356" s="545">
        <f ca="1">IF(AND($D356="Serviço",AF$12&lt;&gt;0,$H356&gt;0,OR(AUTOEVENTO&lt;&gt;"manual",$M356&lt;&gt;1)),
IF(Import.TipoArredondamento&lt;&gt;"TransfereGOV",
ROUND(OFFSET($P356,0,AF$13),15-13*ORÇAMENTO!$AF$7)/$H356*OFFSET(ORÇAMENTO!$X$15,ROW(AF356)-ROW(AF$15),0),
ROUND(ROUND(OFFSET($P356,0,AF$13),15-13*ORÇAMENTO!$AF$7)*OFFSET(ORÇAMENTO!$W$15,ROW(AF356)-ROW(AF$15),0),15-13*ORÇAMENTO!$AF$11)),0)</f>
        <v>0</v>
      </c>
      <c r="AG356" s="545">
        <f ca="1">IF(AND($D356="Serviço",AG$12&lt;&gt;0,$H356&gt;0,OR(AUTOEVENTO&lt;&gt;"manual",$M356&lt;&gt;1)),
IF(Import.TipoArredondamento&lt;&gt;"TransfereGOV",
ROUND(OFFSET($P356,0,AG$13),15-13*ORÇAMENTO!$AF$7)/$H356*OFFSET(ORÇAMENTO!$X$15,ROW(AG356)-ROW(AG$15),0),
ROUND(ROUND(OFFSET($P356,0,AG$13),15-13*ORÇAMENTO!$AF$7)*OFFSET(ORÇAMENTO!$W$15,ROW(AG356)-ROW(AG$15),0),15-13*ORÇAMENTO!$AF$11)),0)</f>
        <v>0</v>
      </c>
      <c r="AH356" s="545">
        <f ca="1">IF(AND($D356="Serviço",AH$12&lt;&gt;0,$H356&gt;0,OR(AUTOEVENTO&lt;&gt;"manual",$M356&lt;&gt;1)),
IF(Import.TipoArredondamento&lt;&gt;"TransfereGOV",
ROUND(OFFSET($P356,0,AH$13),15-13*ORÇAMENTO!$AF$7)/$H356*OFFSET(ORÇAMENTO!$X$15,ROW(AH356)-ROW(AH$15),0),
ROUND(ROUND(OFFSET($P356,0,AH$13),15-13*ORÇAMENTO!$AF$7)*OFFSET(ORÇAMENTO!$W$15,ROW(AH356)-ROW(AH$15),0),15-13*ORÇAMENTO!$AF$11)),0)</f>
        <v>0</v>
      </c>
      <c r="AI356" s="545">
        <f ca="1">IF(AND($D356="Serviço",AI$12&lt;&gt;0,$H356&gt;0,OR(AUTOEVENTO&lt;&gt;"manual",$M356&lt;&gt;1)),
IF(Import.TipoArredondamento&lt;&gt;"TransfereGOV",
ROUND(OFFSET($P356,0,AI$13),15-13*ORÇAMENTO!$AF$7)/$H356*OFFSET(ORÇAMENTO!$X$15,ROW(AI356)-ROW(AI$15),0),
ROUND(ROUND(OFFSET($P356,0,AI$13),15-13*ORÇAMENTO!$AF$7)*OFFSET(ORÇAMENTO!$W$15,ROW(AI356)-ROW(AI$15),0),15-13*ORÇAMENTO!$AF$11)),0)</f>
        <v>0</v>
      </c>
      <c r="AJ356" s="545">
        <f ca="1">IF(AND($D356="Serviço",AJ$12&lt;&gt;0,$H356&gt;0,OR(AUTOEVENTO&lt;&gt;"manual",$M356&lt;&gt;1)),
IF(Import.TipoArredondamento&lt;&gt;"TransfereGOV",
ROUND(OFFSET($P356,0,AJ$13),15-13*ORÇAMENTO!$AF$7)/$H356*OFFSET(ORÇAMENTO!$X$15,ROW(AJ356)-ROW(AJ$15),0),
ROUND(ROUND(OFFSET($P356,0,AJ$13),15-13*ORÇAMENTO!$AF$7)*OFFSET(ORÇAMENTO!$W$15,ROW(AJ356)-ROW(AJ$15),0),15-13*ORÇAMENTO!$AF$11)),0)</f>
        <v>0</v>
      </c>
      <c r="AK356" s="546">
        <f ca="1">IF(AND($D356="Serviço",AK$12&lt;&gt;0,$H356&gt;0,OR(AUTOEVENTO&lt;&gt;"manual",$M356&lt;&gt;1)),
IF(Import.TipoArredondamento&lt;&gt;"TransfereGOV",
ROUND(OFFSET($P356,0,AK$13),15-13*ORÇAMENTO!$AF$7)/$H356*OFFSET(ORÇAMENTO!$X$15,ROW(AK356)-ROW(AK$15),0),
ROUND(ROUND(OFFSET($P356,0,AK$13),15-13*ORÇAMENTO!$AF$7)*OFFSET(ORÇAMENTO!$W$15,ROW(AK356)-ROW(AK$15),0),15-13*ORÇAMENTO!$AF$11)),0)</f>
        <v>0</v>
      </c>
      <c r="AM356" s="181">
        <f ca="1">IF($D356&lt;&gt;"Serviço",0,IF(AND(AUTOEVENTO="Manual",$M356=1),0,IF(OFFSET(CRONOPLE!$F$14,$M356,AM$13)="",10^12,OFFSET(CRONOPLE!$F$14,$M356,AM$13))))</f>
        <v>1000000000000</v>
      </c>
      <c r="AN356" s="181">
        <f ca="1">IF($D356&lt;&gt;"Serviço",0,IF(AND(AUTOEVENTO="Manual",$M356=1),0,IF(OFFSET(CRONOPLE!$F$14,$M356,AN$13)="",10^12,OFFSET(CRONOPLE!$F$14,$M356,AN$13))))</f>
        <v>1000000000000</v>
      </c>
      <c r="AO356" s="181">
        <f ca="1">IF($D356&lt;&gt;"Serviço",0,IF(AND(AUTOEVENTO="Manual",$M356=1),0,IF(OFFSET(CRONOPLE!$F$14,$M356,AO$13)="",10^12,OFFSET(CRONOPLE!$F$14,$M356,AO$13))))</f>
        <v>1000000000000</v>
      </c>
      <c r="AP356" s="181">
        <f ca="1">IF($D356&lt;&gt;"Serviço",0,IF(AND(AUTOEVENTO="Manual",$M356=1),0,IF(OFFSET(CRONOPLE!$F$14,$M356,AP$13)="",10^12,OFFSET(CRONOPLE!$F$14,$M356,AP$13))))</f>
        <v>1000000000000</v>
      </c>
      <c r="AQ356" s="181">
        <f ca="1">IF($D356&lt;&gt;"Serviço",0,IF(AND(AUTOEVENTO="Manual",$M356=1),0,IF(OFFSET(CRONOPLE!$F$14,$M356,AQ$13)="",10^12,OFFSET(CRONOPLE!$F$14,$M356,AQ$13))))</f>
        <v>1000000000000</v>
      </c>
      <c r="AR356" s="181">
        <f ca="1">IF($D356&lt;&gt;"Serviço",0,IF(AND(AUTOEVENTO="Manual",$M356=1),0,IF(OFFSET(CRONOPLE!$F$14,$M356,AR$13)="",10^12,OFFSET(CRONOPLE!$F$14,$M356,AR$13))))</f>
        <v>1000000000000</v>
      </c>
      <c r="AS356" s="181">
        <f ca="1">IF($D356&lt;&gt;"Serviço",0,IF(AND(AUTOEVENTO="Manual",$M356=1),0,IF(OFFSET(CRONOPLE!$F$14,$M356,AS$13)="",10^12,OFFSET(CRONOPLE!$F$14,$M356,AS$13))))</f>
        <v>1000000000000</v>
      </c>
      <c r="AT356" s="181">
        <f ca="1">IF($D356&lt;&gt;"Serviço",0,IF(AND(AUTOEVENTO="Manual",$M356=1),0,IF(OFFSET(CRONOPLE!$F$14,$M356,AT$13)="",10^12,OFFSET(CRONOPLE!$F$14,$M356,AT$13))))</f>
        <v>1000000000000</v>
      </c>
      <c r="AU356" s="181">
        <f ca="1">IF($D356&lt;&gt;"Serviço",0,IF(AND(AUTOEVENTO="Manual",$M356=1),0,IF(OFFSET(CRONOPLE!$F$14,$M356,AU$13)="",10^12,OFFSET(CRONOPLE!$F$14,$M356,AU$13))))</f>
        <v>1000000000000</v>
      </c>
      <c r="AV356" s="181">
        <f ca="1">IF($D356&lt;&gt;"Serviço",0,IF(AND(AUTOEVENTO="Manual",$M356=1),0,IF(OFFSET(CRONOPLE!$F$14,$M356,AV$13)="",10^12,OFFSET(CRONOPLE!$F$14,$M356,AV$13))))</f>
        <v>1000000000000</v>
      </c>
      <c r="AX356" s="182">
        <f ca="1">IF($D356&lt;&gt;"Serviço",0,IF(OR(AND(AUTOEVENTO="Manual",$M356=1),$M356&gt;(ROW(PLE.lastrow)-ROW(PLE.firstrow))),0,IF(OFFSET(PLE!$G$14,$M356,AX$13)="",10^12,OFFSET(PLE!$G$14,$M356,AX$13))))</f>
        <v>1000000000000</v>
      </c>
      <c r="AY356" s="182">
        <f ca="1">IF($D356&lt;&gt;"Serviço",0,IF(OR(AND(AUTOEVENTO="Manual",$M356=1),$M356&gt;(ROW(PLE.lastrow)-ROW(PLE.firstrow))),0,IF(OFFSET(PLE!$G$14,$M356,AY$13)="",10^12,OFFSET(PLE!$G$14,$M356,AY$13))))</f>
        <v>1000000000000</v>
      </c>
      <c r="AZ356" s="182">
        <f ca="1">IF($D356&lt;&gt;"Serviço",0,IF(OR(AND(AUTOEVENTO="Manual",$M356=1),$M356&gt;(ROW(PLE.lastrow)-ROW(PLE.firstrow))),0,IF(OFFSET(PLE!$G$14,$M356,AZ$13)="",10^12,OFFSET(PLE!$G$14,$M356,AZ$13))))</f>
        <v>1000000000000</v>
      </c>
      <c r="BA356" s="182">
        <f ca="1">IF($D356&lt;&gt;"Serviço",0,IF(OR(AND(AUTOEVENTO="Manual",$M356=1),$M356&gt;(ROW(PLE.lastrow)-ROW(PLE.firstrow))),0,IF(OFFSET(PLE!$G$14,$M356,BA$13)="",10^12,OFFSET(PLE!$G$14,$M356,BA$13))))</f>
        <v>1000000000000</v>
      </c>
      <c r="BB356" s="182">
        <f ca="1">IF($D356&lt;&gt;"Serviço",0,IF(OR(AND(AUTOEVENTO="Manual",$M356=1),$M356&gt;(ROW(PLE.lastrow)-ROW(PLE.firstrow))),0,IF(OFFSET(PLE!$G$14,$M356,BB$13)="",10^12,OFFSET(PLE!$G$14,$M356,BB$13))))</f>
        <v>1000000000000</v>
      </c>
      <c r="BC356" s="182">
        <f ca="1">IF($D356&lt;&gt;"Serviço",0,IF(OR(AND(AUTOEVENTO="Manual",$M356=1),$M356&gt;(ROW(PLE.lastrow)-ROW(PLE.firstrow))),0,IF(OFFSET(PLE!$G$14,$M356,BC$13)="",10^12,OFFSET(PLE!$G$14,$M356,BC$13))))</f>
        <v>1000000000000</v>
      </c>
      <c r="BD356" s="182">
        <f ca="1">IF($D356&lt;&gt;"Serviço",0,IF(OR(AND(AUTOEVENTO="Manual",$M356=1),$M356&gt;(ROW(PLE.lastrow)-ROW(PLE.firstrow))),0,IF(OFFSET(PLE!$G$14,$M356,BD$13)="",10^12,OFFSET(PLE!$G$14,$M356,BD$13))))</f>
        <v>1000000000000</v>
      </c>
      <c r="BE356" s="182">
        <f ca="1">IF($D356&lt;&gt;"Serviço",0,IF(OR(AND(AUTOEVENTO="Manual",$M356=1),$M356&gt;(ROW(PLE.lastrow)-ROW(PLE.firstrow))),0,IF(OFFSET(PLE!$G$14,$M356,BE$13)="",10^12,OFFSET(PLE!$G$14,$M356,BE$13))))</f>
        <v>1000000000000</v>
      </c>
      <c r="BF356" s="182">
        <f ca="1">IF($D356&lt;&gt;"Serviço",0,IF(OR(AND(AUTOEVENTO="Manual",$M356=1),$M356&gt;(ROW(PLE.lastrow)-ROW(PLE.firstrow))),0,IF(OFFSET(PLE!$G$14,$M356,BF$13)="",10^12,OFFSET(PLE!$G$14,$M356,BF$13))))</f>
        <v>1000000000000</v>
      </c>
      <c r="BG356" s="182">
        <f ca="1">IF($D356&lt;&gt;"Serviço",0,IF(OR(AND(AUTOEVENTO="Manual",$M356=1),$M356&gt;(ROW(PLE.lastrow)-ROW(PLE.firstrow))),0,IF(OFFSET(PLE!$G$14,$M356,BG$13)="",10^12,OFFSET(PLE!$G$14,$M356,BG$13))))</f>
        <v>1000000000000</v>
      </c>
    </row>
    <row r="357" spans="1:59" ht="38.25" x14ac:dyDescent="0.2">
      <c r="A357" s="7" t="str">
        <f t="shared" ca="1" si="11"/>
        <v>325</v>
      </c>
      <c r="B357" s="7" t="str">
        <f ca="1">OFFSET(ORÇAMENTO!C$15,ROW(B357)-ROW(B$15),0)</f>
        <v>S</v>
      </c>
      <c r="C357" s="7" t="str">
        <f ca="1">OFFSET(ORÇAMENTO!L$15,ROW(C357)-ROW(C$15),0)</f>
        <v/>
      </c>
      <c r="D357" s="118" t="str">
        <f ca="1">OFFSET(ORÇAMENTO!N$15,ROW(D357)-ROW(D$15),0)</f>
        <v>Serviço</v>
      </c>
      <c r="E357" s="119" t="str">
        <f ca="1">OFFSET(ORÇAMENTO!O$15,ROW(E357)-ROW(E$15),0)</f>
        <v>-</v>
      </c>
      <c r="F357" s="172" t="str">
        <f ca="1">OFFSET(ORÇAMENTO!R$15,ROW(F357)-ROW(F$15),0)</f>
        <v>(abra o arquivo 'Referência 02-2025.xlsm)</v>
      </c>
      <c r="G357" s="173" t="str">
        <f ca="1">IF($D357&lt;&gt;"Serviço","",OFFSET(ORÇAMENTO!S$15,ROW(G357)-ROW(G$15),0))</f>
        <v>-</v>
      </c>
      <c r="H357" s="124">
        <f ca="1">IF($D357&lt;&gt;"Serviço",0,IF(ACOMPANHAMENTO="BM",ROUND(OFFSET(ORÇAMENTO!AJ$15,ROW(H357)-ROW(H$15),0),15-13*ORÇAMENTO!$AF$7),SUMPRODUCT(($Q$12:$AA$12&lt;&gt;"")*ROUND($Q357:$AA357,15-13*ORÇAMENTO!$AF$7))))</f>
        <v>7</v>
      </c>
      <c r="I357" s="561" t="s">
        <v>890</v>
      </c>
      <c r="K357" s="174"/>
      <c r="L357" s="175" t="s">
        <v>255</v>
      </c>
      <c r="M357" s="176">
        <f ca="1">IF($D357&lt;&gt;"Serviço","",IF(AUTOEVENTO="manual",$A357,IF(ISERROR(MATCH($A357,$A$15:OFFSET($A357,-1,0),0)),MAX($M$15:OFFSET(M357,-1,0))+1,INDEX($M$15:OFFSET(M357,-1,0),MATCH($A357,$A$15:OFFSET($A357,-1,0),0)))))</f>
        <v>15</v>
      </c>
      <c r="N357" s="177" t="str">
        <f ca="1">IF($D357&lt;&gt;"Serviço","",IF(AUTOEVENTO="Manual",IF($A357=0,"&lt;-- defina o número do agrupador",OFFSET(EVENTOS!$D$14,$A357,0)),OFFSET($F$15,$A357,0)))</f>
        <v>INSTALAÇÕES DE ESGOTO SANITÁRIO</v>
      </c>
      <c r="O357" s="178"/>
      <c r="Q357" s="178"/>
      <c r="R357" s="179"/>
      <c r="S357" s="179"/>
      <c r="T357" s="179"/>
      <c r="U357" s="179"/>
      <c r="V357" s="179"/>
      <c r="W357" s="179"/>
      <c r="X357" s="179"/>
      <c r="Y357" s="179"/>
      <c r="Z357" s="180"/>
      <c r="AB357" s="544">
        <f ca="1">IF(AND($D357="Serviço",AB$12&lt;&gt;0,$H357&gt;0,OR(AUTOEVENTO&lt;&gt;"manual",$M357&lt;&gt;1)),
IF(Import.TipoArredondamento&lt;&gt;"TransfereGOV",
ROUND(OFFSET($P357,0,AB$13),15-13*ORÇAMENTO!$AF$7)/$H357*OFFSET(ORÇAMENTO!$X$15,ROW(AB357)-ROW(AB$15),0),
ROUND(ROUND(OFFSET($P357,0,AB$13),15-13*ORÇAMENTO!$AF$7)*OFFSET(ORÇAMENTO!$W$15,ROW(AB357)-ROW(AB$15),0),15-13*ORÇAMENTO!$AF$11)),0)</f>
        <v>0</v>
      </c>
      <c r="AC357" s="545">
        <f ca="1">IF(AND($D357="Serviço",AC$12&lt;&gt;0,$H357&gt;0,OR(AUTOEVENTO&lt;&gt;"manual",$M357&lt;&gt;1)),
IF(Import.TipoArredondamento&lt;&gt;"TransfereGOV",
ROUND(OFFSET($P357,0,AC$13),15-13*ORÇAMENTO!$AF$7)/$H357*OFFSET(ORÇAMENTO!$X$15,ROW(AC357)-ROW(AC$15),0),
ROUND(ROUND(OFFSET($P357,0,AC$13),15-13*ORÇAMENTO!$AF$7)*OFFSET(ORÇAMENTO!$W$15,ROW(AC357)-ROW(AC$15),0),15-13*ORÇAMENTO!$AF$11)),0)</f>
        <v>0</v>
      </c>
      <c r="AD357" s="545">
        <f ca="1">IF(AND($D357="Serviço",AD$12&lt;&gt;0,$H357&gt;0,OR(AUTOEVENTO&lt;&gt;"manual",$M357&lt;&gt;1)),
IF(Import.TipoArredondamento&lt;&gt;"TransfereGOV",
ROUND(OFFSET($P357,0,AD$13),15-13*ORÇAMENTO!$AF$7)/$H357*OFFSET(ORÇAMENTO!$X$15,ROW(AD357)-ROW(AD$15),0),
ROUND(ROUND(OFFSET($P357,0,AD$13),15-13*ORÇAMENTO!$AF$7)*OFFSET(ORÇAMENTO!$W$15,ROW(AD357)-ROW(AD$15),0),15-13*ORÇAMENTO!$AF$11)),0)</f>
        <v>0</v>
      </c>
      <c r="AE357" s="545">
        <f ca="1">IF(AND($D357="Serviço",AE$12&lt;&gt;0,$H357&gt;0,OR(AUTOEVENTO&lt;&gt;"manual",$M357&lt;&gt;1)),
IF(Import.TipoArredondamento&lt;&gt;"TransfereGOV",
ROUND(OFFSET($P357,0,AE$13),15-13*ORÇAMENTO!$AF$7)/$H357*OFFSET(ORÇAMENTO!$X$15,ROW(AE357)-ROW(AE$15),0),
ROUND(ROUND(OFFSET($P357,0,AE$13),15-13*ORÇAMENTO!$AF$7)*OFFSET(ORÇAMENTO!$W$15,ROW(AE357)-ROW(AE$15),0),15-13*ORÇAMENTO!$AF$11)),0)</f>
        <v>0</v>
      </c>
      <c r="AF357" s="545">
        <f ca="1">IF(AND($D357="Serviço",AF$12&lt;&gt;0,$H357&gt;0,OR(AUTOEVENTO&lt;&gt;"manual",$M357&lt;&gt;1)),
IF(Import.TipoArredondamento&lt;&gt;"TransfereGOV",
ROUND(OFFSET($P357,0,AF$13),15-13*ORÇAMENTO!$AF$7)/$H357*OFFSET(ORÇAMENTO!$X$15,ROW(AF357)-ROW(AF$15),0),
ROUND(ROUND(OFFSET($P357,0,AF$13),15-13*ORÇAMENTO!$AF$7)*OFFSET(ORÇAMENTO!$W$15,ROW(AF357)-ROW(AF$15),0),15-13*ORÇAMENTO!$AF$11)),0)</f>
        <v>0</v>
      </c>
      <c r="AG357" s="545">
        <f ca="1">IF(AND($D357="Serviço",AG$12&lt;&gt;0,$H357&gt;0,OR(AUTOEVENTO&lt;&gt;"manual",$M357&lt;&gt;1)),
IF(Import.TipoArredondamento&lt;&gt;"TransfereGOV",
ROUND(OFFSET($P357,0,AG$13),15-13*ORÇAMENTO!$AF$7)/$H357*OFFSET(ORÇAMENTO!$X$15,ROW(AG357)-ROW(AG$15),0),
ROUND(ROUND(OFFSET($P357,0,AG$13),15-13*ORÇAMENTO!$AF$7)*OFFSET(ORÇAMENTO!$W$15,ROW(AG357)-ROW(AG$15),0),15-13*ORÇAMENTO!$AF$11)),0)</f>
        <v>0</v>
      </c>
      <c r="AH357" s="545">
        <f ca="1">IF(AND($D357="Serviço",AH$12&lt;&gt;0,$H357&gt;0,OR(AUTOEVENTO&lt;&gt;"manual",$M357&lt;&gt;1)),
IF(Import.TipoArredondamento&lt;&gt;"TransfereGOV",
ROUND(OFFSET($P357,0,AH$13),15-13*ORÇAMENTO!$AF$7)/$H357*OFFSET(ORÇAMENTO!$X$15,ROW(AH357)-ROW(AH$15),0),
ROUND(ROUND(OFFSET($P357,0,AH$13),15-13*ORÇAMENTO!$AF$7)*OFFSET(ORÇAMENTO!$W$15,ROW(AH357)-ROW(AH$15),0),15-13*ORÇAMENTO!$AF$11)),0)</f>
        <v>0</v>
      </c>
      <c r="AI357" s="545">
        <f ca="1">IF(AND($D357="Serviço",AI$12&lt;&gt;0,$H357&gt;0,OR(AUTOEVENTO&lt;&gt;"manual",$M357&lt;&gt;1)),
IF(Import.TipoArredondamento&lt;&gt;"TransfereGOV",
ROUND(OFFSET($P357,0,AI$13),15-13*ORÇAMENTO!$AF$7)/$H357*OFFSET(ORÇAMENTO!$X$15,ROW(AI357)-ROW(AI$15),0),
ROUND(ROUND(OFFSET($P357,0,AI$13),15-13*ORÇAMENTO!$AF$7)*OFFSET(ORÇAMENTO!$W$15,ROW(AI357)-ROW(AI$15),0),15-13*ORÇAMENTO!$AF$11)),0)</f>
        <v>0</v>
      </c>
      <c r="AJ357" s="545">
        <f ca="1">IF(AND($D357="Serviço",AJ$12&lt;&gt;0,$H357&gt;0,OR(AUTOEVENTO&lt;&gt;"manual",$M357&lt;&gt;1)),
IF(Import.TipoArredondamento&lt;&gt;"TransfereGOV",
ROUND(OFFSET($P357,0,AJ$13),15-13*ORÇAMENTO!$AF$7)/$H357*OFFSET(ORÇAMENTO!$X$15,ROW(AJ357)-ROW(AJ$15),0),
ROUND(ROUND(OFFSET($P357,0,AJ$13),15-13*ORÇAMENTO!$AF$7)*OFFSET(ORÇAMENTO!$W$15,ROW(AJ357)-ROW(AJ$15),0),15-13*ORÇAMENTO!$AF$11)),0)</f>
        <v>0</v>
      </c>
      <c r="AK357" s="546">
        <f ca="1">IF(AND($D357="Serviço",AK$12&lt;&gt;0,$H357&gt;0,OR(AUTOEVENTO&lt;&gt;"manual",$M357&lt;&gt;1)),
IF(Import.TipoArredondamento&lt;&gt;"TransfereGOV",
ROUND(OFFSET($P357,0,AK$13),15-13*ORÇAMENTO!$AF$7)/$H357*OFFSET(ORÇAMENTO!$X$15,ROW(AK357)-ROW(AK$15),0),
ROUND(ROUND(OFFSET($P357,0,AK$13),15-13*ORÇAMENTO!$AF$7)*OFFSET(ORÇAMENTO!$W$15,ROW(AK357)-ROW(AK$15),0),15-13*ORÇAMENTO!$AF$11)),0)</f>
        <v>0</v>
      </c>
      <c r="AM357" s="181">
        <f ca="1">IF($D357&lt;&gt;"Serviço",0,IF(AND(AUTOEVENTO="Manual",$M357=1),0,IF(OFFSET(CRONOPLE!$F$14,$M357,AM$13)="",10^12,OFFSET(CRONOPLE!$F$14,$M357,AM$13))))</f>
        <v>1000000000000</v>
      </c>
      <c r="AN357" s="181">
        <f ca="1">IF($D357&lt;&gt;"Serviço",0,IF(AND(AUTOEVENTO="Manual",$M357=1),0,IF(OFFSET(CRONOPLE!$F$14,$M357,AN$13)="",10^12,OFFSET(CRONOPLE!$F$14,$M357,AN$13))))</f>
        <v>1000000000000</v>
      </c>
      <c r="AO357" s="181">
        <f ca="1">IF($D357&lt;&gt;"Serviço",0,IF(AND(AUTOEVENTO="Manual",$M357=1),0,IF(OFFSET(CRONOPLE!$F$14,$M357,AO$13)="",10^12,OFFSET(CRONOPLE!$F$14,$M357,AO$13))))</f>
        <v>1000000000000</v>
      </c>
      <c r="AP357" s="181">
        <f ca="1">IF($D357&lt;&gt;"Serviço",0,IF(AND(AUTOEVENTO="Manual",$M357=1),0,IF(OFFSET(CRONOPLE!$F$14,$M357,AP$13)="",10^12,OFFSET(CRONOPLE!$F$14,$M357,AP$13))))</f>
        <v>1000000000000</v>
      </c>
      <c r="AQ357" s="181">
        <f ca="1">IF($D357&lt;&gt;"Serviço",0,IF(AND(AUTOEVENTO="Manual",$M357=1),0,IF(OFFSET(CRONOPLE!$F$14,$M357,AQ$13)="",10^12,OFFSET(CRONOPLE!$F$14,$M357,AQ$13))))</f>
        <v>1000000000000</v>
      </c>
      <c r="AR357" s="181">
        <f ca="1">IF($D357&lt;&gt;"Serviço",0,IF(AND(AUTOEVENTO="Manual",$M357=1),0,IF(OFFSET(CRONOPLE!$F$14,$M357,AR$13)="",10^12,OFFSET(CRONOPLE!$F$14,$M357,AR$13))))</f>
        <v>1000000000000</v>
      </c>
      <c r="AS357" s="181">
        <f ca="1">IF($D357&lt;&gt;"Serviço",0,IF(AND(AUTOEVENTO="Manual",$M357=1),0,IF(OFFSET(CRONOPLE!$F$14,$M357,AS$13)="",10^12,OFFSET(CRONOPLE!$F$14,$M357,AS$13))))</f>
        <v>1000000000000</v>
      </c>
      <c r="AT357" s="181">
        <f ca="1">IF($D357&lt;&gt;"Serviço",0,IF(AND(AUTOEVENTO="Manual",$M357=1),0,IF(OFFSET(CRONOPLE!$F$14,$M357,AT$13)="",10^12,OFFSET(CRONOPLE!$F$14,$M357,AT$13))))</f>
        <v>1000000000000</v>
      </c>
      <c r="AU357" s="181">
        <f ca="1">IF($D357&lt;&gt;"Serviço",0,IF(AND(AUTOEVENTO="Manual",$M357=1),0,IF(OFFSET(CRONOPLE!$F$14,$M357,AU$13)="",10^12,OFFSET(CRONOPLE!$F$14,$M357,AU$13))))</f>
        <v>1000000000000</v>
      </c>
      <c r="AV357" s="181">
        <f ca="1">IF($D357&lt;&gt;"Serviço",0,IF(AND(AUTOEVENTO="Manual",$M357=1),0,IF(OFFSET(CRONOPLE!$F$14,$M357,AV$13)="",10^12,OFFSET(CRONOPLE!$F$14,$M357,AV$13))))</f>
        <v>1000000000000</v>
      </c>
      <c r="AX357" s="182">
        <f ca="1">IF($D357&lt;&gt;"Serviço",0,IF(OR(AND(AUTOEVENTO="Manual",$M357=1),$M357&gt;(ROW(PLE.lastrow)-ROW(PLE.firstrow))),0,IF(OFFSET(PLE!$G$14,$M357,AX$13)="",10^12,OFFSET(PLE!$G$14,$M357,AX$13))))</f>
        <v>1000000000000</v>
      </c>
      <c r="AY357" s="182">
        <f ca="1">IF($D357&lt;&gt;"Serviço",0,IF(OR(AND(AUTOEVENTO="Manual",$M357=1),$M357&gt;(ROW(PLE.lastrow)-ROW(PLE.firstrow))),0,IF(OFFSET(PLE!$G$14,$M357,AY$13)="",10^12,OFFSET(PLE!$G$14,$M357,AY$13))))</f>
        <v>1000000000000</v>
      </c>
      <c r="AZ357" s="182">
        <f ca="1">IF($D357&lt;&gt;"Serviço",0,IF(OR(AND(AUTOEVENTO="Manual",$M357=1),$M357&gt;(ROW(PLE.lastrow)-ROW(PLE.firstrow))),0,IF(OFFSET(PLE!$G$14,$M357,AZ$13)="",10^12,OFFSET(PLE!$G$14,$M357,AZ$13))))</f>
        <v>1000000000000</v>
      </c>
      <c r="BA357" s="182">
        <f ca="1">IF($D357&lt;&gt;"Serviço",0,IF(OR(AND(AUTOEVENTO="Manual",$M357=1),$M357&gt;(ROW(PLE.lastrow)-ROW(PLE.firstrow))),0,IF(OFFSET(PLE!$G$14,$M357,BA$13)="",10^12,OFFSET(PLE!$G$14,$M357,BA$13))))</f>
        <v>1000000000000</v>
      </c>
      <c r="BB357" s="182">
        <f ca="1">IF($D357&lt;&gt;"Serviço",0,IF(OR(AND(AUTOEVENTO="Manual",$M357=1),$M357&gt;(ROW(PLE.lastrow)-ROW(PLE.firstrow))),0,IF(OFFSET(PLE!$G$14,$M357,BB$13)="",10^12,OFFSET(PLE!$G$14,$M357,BB$13))))</f>
        <v>1000000000000</v>
      </c>
      <c r="BC357" s="182">
        <f ca="1">IF($D357&lt;&gt;"Serviço",0,IF(OR(AND(AUTOEVENTO="Manual",$M357=1),$M357&gt;(ROW(PLE.lastrow)-ROW(PLE.firstrow))),0,IF(OFFSET(PLE!$G$14,$M357,BC$13)="",10^12,OFFSET(PLE!$G$14,$M357,BC$13))))</f>
        <v>1000000000000</v>
      </c>
      <c r="BD357" s="182">
        <f ca="1">IF($D357&lt;&gt;"Serviço",0,IF(OR(AND(AUTOEVENTO="Manual",$M357=1),$M357&gt;(ROW(PLE.lastrow)-ROW(PLE.firstrow))),0,IF(OFFSET(PLE!$G$14,$M357,BD$13)="",10^12,OFFSET(PLE!$G$14,$M357,BD$13))))</f>
        <v>1000000000000</v>
      </c>
      <c r="BE357" s="182">
        <f ca="1">IF($D357&lt;&gt;"Serviço",0,IF(OR(AND(AUTOEVENTO="Manual",$M357=1),$M357&gt;(ROW(PLE.lastrow)-ROW(PLE.firstrow))),0,IF(OFFSET(PLE!$G$14,$M357,BE$13)="",10^12,OFFSET(PLE!$G$14,$M357,BE$13))))</f>
        <v>1000000000000</v>
      </c>
      <c r="BF357" s="182">
        <f ca="1">IF($D357&lt;&gt;"Serviço",0,IF(OR(AND(AUTOEVENTO="Manual",$M357=1),$M357&gt;(ROW(PLE.lastrow)-ROW(PLE.firstrow))),0,IF(OFFSET(PLE!$G$14,$M357,BF$13)="",10^12,OFFSET(PLE!$G$14,$M357,BF$13))))</f>
        <v>1000000000000</v>
      </c>
      <c r="BG357" s="182">
        <f ca="1">IF($D357&lt;&gt;"Serviço",0,IF(OR(AND(AUTOEVENTO="Manual",$M357=1),$M357&gt;(ROW(PLE.lastrow)-ROW(PLE.firstrow))),0,IF(OFFSET(PLE!$G$14,$M357,BG$13)="",10^12,OFFSET(PLE!$G$14,$M357,BG$13))))</f>
        <v>1000000000000</v>
      </c>
    </row>
    <row r="358" spans="1:59" ht="38.25" x14ac:dyDescent="0.2">
      <c r="A358" s="7" t="str">
        <f t="shared" ca="1" si="11"/>
        <v>325</v>
      </c>
      <c r="B358" s="7" t="str">
        <f ca="1">OFFSET(ORÇAMENTO!C$15,ROW(B358)-ROW(B$15),0)</f>
        <v>S</v>
      </c>
      <c r="C358" s="7" t="str">
        <f ca="1">OFFSET(ORÇAMENTO!L$15,ROW(C358)-ROW(C$15),0)</f>
        <v/>
      </c>
      <c r="D358" s="118" t="str">
        <f ca="1">OFFSET(ORÇAMENTO!N$15,ROW(D358)-ROW(D$15),0)</f>
        <v>Serviço</v>
      </c>
      <c r="E358" s="119" t="str">
        <f ca="1">OFFSET(ORÇAMENTO!O$15,ROW(E358)-ROW(E$15),0)</f>
        <v>-</v>
      </c>
      <c r="F358" s="172" t="str">
        <f ca="1">OFFSET(ORÇAMENTO!R$15,ROW(F358)-ROW(F$15),0)</f>
        <v>(abra o arquivo 'Referência 02-2025.xlsm)</v>
      </c>
      <c r="G358" s="173" t="str">
        <f ca="1">IF($D358&lt;&gt;"Serviço","",OFFSET(ORÇAMENTO!S$15,ROW(G358)-ROW(G$15),0))</f>
        <v>-</v>
      </c>
      <c r="H358" s="124">
        <f ca="1">IF($D358&lt;&gt;"Serviço",0,IF(ACOMPANHAMENTO="BM",ROUND(OFFSET(ORÇAMENTO!AJ$15,ROW(H358)-ROW(H$15),0),15-13*ORÇAMENTO!$AF$7),SUMPRODUCT(($Q$12:$AA$12&lt;&gt;"")*ROUND($Q358:$AA358,15-13*ORÇAMENTO!$AF$7))))</f>
        <v>3</v>
      </c>
      <c r="I358" s="561" t="s">
        <v>890</v>
      </c>
      <c r="K358" s="174"/>
      <c r="L358" s="175" t="s">
        <v>255</v>
      </c>
      <c r="M358" s="176">
        <f ca="1">IF($D358&lt;&gt;"Serviço","",IF(AUTOEVENTO="manual",$A358,IF(ISERROR(MATCH($A358,$A$15:OFFSET($A358,-1,0),0)),MAX($M$15:OFFSET(M358,-1,0))+1,INDEX($M$15:OFFSET(M358,-1,0),MATCH($A358,$A$15:OFFSET($A358,-1,0),0)))))</f>
        <v>15</v>
      </c>
      <c r="N358" s="177" t="str">
        <f ca="1">IF($D358&lt;&gt;"Serviço","",IF(AUTOEVENTO="Manual",IF($A358=0,"&lt;-- defina o número do agrupador",OFFSET(EVENTOS!$D$14,$A358,0)),OFFSET($F$15,$A358,0)))</f>
        <v>INSTALAÇÕES DE ESGOTO SANITÁRIO</v>
      </c>
      <c r="O358" s="178"/>
      <c r="Q358" s="178"/>
      <c r="R358" s="179"/>
      <c r="S358" s="179"/>
      <c r="T358" s="179"/>
      <c r="U358" s="179"/>
      <c r="V358" s="179"/>
      <c r="W358" s="179"/>
      <c r="X358" s="179"/>
      <c r="Y358" s="179"/>
      <c r="Z358" s="180"/>
      <c r="AB358" s="544">
        <f ca="1">IF(AND($D358="Serviço",AB$12&lt;&gt;0,$H358&gt;0,OR(AUTOEVENTO&lt;&gt;"manual",$M358&lt;&gt;1)),
IF(Import.TipoArredondamento&lt;&gt;"TransfereGOV",
ROUND(OFFSET($P358,0,AB$13),15-13*ORÇAMENTO!$AF$7)/$H358*OFFSET(ORÇAMENTO!$X$15,ROW(AB358)-ROW(AB$15),0),
ROUND(ROUND(OFFSET($P358,0,AB$13),15-13*ORÇAMENTO!$AF$7)*OFFSET(ORÇAMENTO!$W$15,ROW(AB358)-ROW(AB$15),0),15-13*ORÇAMENTO!$AF$11)),0)</f>
        <v>0</v>
      </c>
      <c r="AC358" s="545">
        <f ca="1">IF(AND($D358="Serviço",AC$12&lt;&gt;0,$H358&gt;0,OR(AUTOEVENTO&lt;&gt;"manual",$M358&lt;&gt;1)),
IF(Import.TipoArredondamento&lt;&gt;"TransfereGOV",
ROUND(OFFSET($P358,0,AC$13),15-13*ORÇAMENTO!$AF$7)/$H358*OFFSET(ORÇAMENTO!$X$15,ROW(AC358)-ROW(AC$15),0),
ROUND(ROUND(OFFSET($P358,0,AC$13),15-13*ORÇAMENTO!$AF$7)*OFFSET(ORÇAMENTO!$W$15,ROW(AC358)-ROW(AC$15),0),15-13*ORÇAMENTO!$AF$11)),0)</f>
        <v>0</v>
      </c>
      <c r="AD358" s="545">
        <f ca="1">IF(AND($D358="Serviço",AD$12&lt;&gt;0,$H358&gt;0,OR(AUTOEVENTO&lt;&gt;"manual",$M358&lt;&gt;1)),
IF(Import.TipoArredondamento&lt;&gt;"TransfereGOV",
ROUND(OFFSET($P358,0,AD$13),15-13*ORÇAMENTO!$AF$7)/$H358*OFFSET(ORÇAMENTO!$X$15,ROW(AD358)-ROW(AD$15),0),
ROUND(ROUND(OFFSET($P358,0,AD$13),15-13*ORÇAMENTO!$AF$7)*OFFSET(ORÇAMENTO!$W$15,ROW(AD358)-ROW(AD$15),0),15-13*ORÇAMENTO!$AF$11)),0)</f>
        <v>0</v>
      </c>
      <c r="AE358" s="545">
        <f ca="1">IF(AND($D358="Serviço",AE$12&lt;&gt;0,$H358&gt;0,OR(AUTOEVENTO&lt;&gt;"manual",$M358&lt;&gt;1)),
IF(Import.TipoArredondamento&lt;&gt;"TransfereGOV",
ROUND(OFFSET($P358,0,AE$13),15-13*ORÇAMENTO!$AF$7)/$H358*OFFSET(ORÇAMENTO!$X$15,ROW(AE358)-ROW(AE$15),0),
ROUND(ROUND(OFFSET($P358,0,AE$13),15-13*ORÇAMENTO!$AF$7)*OFFSET(ORÇAMENTO!$W$15,ROW(AE358)-ROW(AE$15),0),15-13*ORÇAMENTO!$AF$11)),0)</f>
        <v>0</v>
      </c>
      <c r="AF358" s="545">
        <f ca="1">IF(AND($D358="Serviço",AF$12&lt;&gt;0,$H358&gt;0,OR(AUTOEVENTO&lt;&gt;"manual",$M358&lt;&gt;1)),
IF(Import.TipoArredondamento&lt;&gt;"TransfereGOV",
ROUND(OFFSET($P358,0,AF$13),15-13*ORÇAMENTO!$AF$7)/$H358*OFFSET(ORÇAMENTO!$X$15,ROW(AF358)-ROW(AF$15),0),
ROUND(ROUND(OFFSET($P358,0,AF$13),15-13*ORÇAMENTO!$AF$7)*OFFSET(ORÇAMENTO!$W$15,ROW(AF358)-ROW(AF$15),0),15-13*ORÇAMENTO!$AF$11)),0)</f>
        <v>0</v>
      </c>
      <c r="AG358" s="545">
        <f ca="1">IF(AND($D358="Serviço",AG$12&lt;&gt;0,$H358&gt;0,OR(AUTOEVENTO&lt;&gt;"manual",$M358&lt;&gt;1)),
IF(Import.TipoArredondamento&lt;&gt;"TransfereGOV",
ROUND(OFFSET($P358,0,AG$13),15-13*ORÇAMENTO!$AF$7)/$H358*OFFSET(ORÇAMENTO!$X$15,ROW(AG358)-ROW(AG$15),0),
ROUND(ROUND(OFFSET($P358,0,AG$13),15-13*ORÇAMENTO!$AF$7)*OFFSET(ORÇAMENTO!$W$15,ROW(AG358)-ROW(AG$15),0),15-13*ORÇAMENTO!$AF$11)),0)</f>
        <v>0</v>
      </c>
      <c r="AH358" s="545">
        <f ca="1">IF(AND($D358="Serviço",AH$12&lt;&gt;0,$H358&gt;0,OR(AUTOEVENTO&lt;&gt;"manual",$M358&lt;&gt;1)),
IF(Import.TipoArredondamento&lt;&gt;"TransfereGOV",
ROUND(OFFSET($P358,0,AH$13),15-13*ORÇAMENTO!$AF$7)/$H358*OFFSET(ORÇAMENTO!$X$15,ROW(AH358)-ROW(AH$15),0),
ROUND(ROUND(OFFSET($P358,0,AH$13),15-13*ORÇAMENTO!$AF$7)*OFFSET(ORÇAMENTO!$W$15,ROW(AH358)-ROW(AH$15),0),15-13*ORÇAMENTO!$AF$11)),0)</f>
        <v>0</v>
      </c>
      <c r="AI358" s="545">
        <f ca="1">IF(AND($D358="Serviço",AI$12&lt;&gt;0,$H358&gt;0,OR(AUTOEVENTO&lt;&gt;"manual",$M358&lt;&gt;1)),
IF(Import.TipoArredondamento&lt;&gt;"TransfereGOV",
ROUND(OFFSET($P358,0,AI$13),15-13*ORÇAMENTO!$AF$7)/$H358*OFFSET(ORÇAMENTO!$X$15,ROW(AI358)-ROW(AI$15),0),
ROUND(ROUND(OFFSET($P358,0,AI$13),15-13*ORÇAMENTO!$AF$7)*OFFSET(ORÇAMENTO!$W$15,ROW(AI358)-ROW(AI$15),0),15-13*ORÇAMENTO!$AF$11)),0)</f>
        <v>0</v>
      </c>
      <c r="AJ358" s="545">
        <f ca="1">IF(AND($D358="Serviço",AJ$12&lt;&gt;0,$H358&gt;0,OR(AUTOEVENTO&lt;&gt;"manual",$M358&lt;&gt;1)),
IF(Import.TipoArredondamento&lt;&gt;"TransfereGOV",
ROUND(OFFSET($P358,0,AJ$13),15-13*ORÇAMENTO!$AF$7)/$H358*OFFSET(ORÇAMENTO!$X$15,ROW(AJ358)-ROW(AJ$15),0),
ROUND(ROUND(OFFSET($P358,0,AJ$13),15-13*ORÇAMENTO!$AF$7)*OFFSET(ORÇAMENTO!$W$15,ROW(AJ358)-ROW(AJ$15),0),15-13*ORÇAMENTO!$AF$11)),0)</f>
        <v>0</v>
      </c>
      <c r="AK358" s="546">
        <f ca="1">IF(AND($D358="Serviço",AK$12&lt;&gt;0,$H358&gt;0,OR(AUTOEVENTO&lt;&gt;"manual",$M358&lt;&gt;1)),
IF(Import.TipoArredondamento&lt;&gt;"TransfereGOV",
ROUND(OFFSET($P358,0,AK$13),15-13*ORÇAMENTO!$AF$7)/$H358*OFFSET(ORÇAMENTO!$X$15,ROW(AK358)-ROW(AK$15),0),
ROUND(ROUND(OFFSET($P358,0,AK$13),15-13*ORÇAMENTO!$AF$7)*OFFSET(ORÇAMENTO!$W$15,ROW(AK358)-ROW(AK$15),0),15-13*ORÇAMENTO!$AF$11)),0)</f>
        <v>0</v>
      </c>
      <c r="AM358" s="181">
        <f ca="1">IF($D358&lt;&gt;"Serviço",0,IF(AND(AUTOEVENTO="Manual",$M358=1),0,IF(OFFSET(CRONOPLE!$F$14,$M358,AM$13)="",10^12,OFFSET(CRONOPLE!$F$14,$M358,AM$13))))</f>
        <v>1000000000000</v>
      </c>
      <c r="AN358" s="181">
        <f ca="1">IF($D358&lt;&gt;"Serviço",0,IF(AND(AUTOEVENTO="Manual",$M358=1),0,IF(OFFSET(CRONOPLE!$F$14,$M358,AN$13)="",10^12,OFFSET(CRONOPLE!$F$14,$M358,AN$13))))</f>
        <v>1000000000000</v>
      </c>
      <c r="AO358" s="181">
        <f ca="1">IF($D358&lt;&gt;"Serviço",0,IF(AND(AUTOEVENTO="Manual",$M358=1),0,IF(OFFSET(CRONOPLE!$F$14,$M358,AO$13)="",10^12,OFFSET(CRONOPLE!$F$14,$M358,AO$13))))</f>
        <v>1000000000000</v>
      </c>
      <c r="AP358" s="181">
        <f ca="1">IF($D358&lt;&gt;"Serviço",0,IF(AND(AUTOEVENTO="Manual",$M358=1),0,IF(OFFSET(CRONOPLE!$F$14,$M358,AP$13)="",10^12,OFFSET(CRONOPLE!$F$14,$M358,AP$13))))</f>
        <v>1000000000000</v>
      </c>
      <c r="AQ358" s="181">
        <f ca="1">IF($D358&lt;&gt;"Serviço",0,IF(AND(AUTOEVENTO="Manual",$M358=1),0,IF(OFFSET(CRONOPLE!$F$14,$M358,AQ$13)="",10^12,OFFSET(CRONOPLE!$F$14,$M358,AQ$13))))</f>
        <v>1000000000000</v>
      </c>
      <c r="AR358" s="181">
        <f ca="1">IF($D358&lt;&gt;"Serviço",0,IF(AND(AUTOEVENTO="Manual",$M358=1),0,IF(OFFSET(CRONOPLE!$F$14,$M358,AR$13)="",10^12,OFFSET(CRONOPLE!$F$14,$M358,AR$13))))</f>
        <v>1000000000000</v>
      </c>
      <c r="AS358" s="181">
        <f ca="1">IF($D358&lt;&gt;"Serviço",0,IF(AND(AUTOEVENTO="Manual",$M358=1),0,IF(OFFSET(CRONOPLE!$F$14,$M358,AS$13)="",10^12,OFFSET(CRONOPLE!$F$14,$M358,AS$13))))</f>
        <v>1000000000000</v>
      </c>
      <c r="AT358" s="181">
        <f ca="1">IF($D358&lt;&gt;"Serviço",0,IF(AND(AUTOEVENTO="Manual",$M358=1),0,IF(OFFSET(CRONOPLE!$F$14,$M358,AT$13)="",10^12,OFFSET(CRONOPLE!$F$14,$M358,AT$13))))</f>
        <v>1000000000000</v>
      </c>
      <c r="AU358" s="181">
        <f ca="1">IF($D358&lt;&gt;"Serviço",0,IF(AND(AUTOEVENTO="Manual",$M358=1),0,IF(OFFSET(CRONOPLE!$F$14,$M358,AU$13)="",10^12,OFFSET(CRONOPLE!$F$14,$M358,AU$13))))</f>
        <v>1000000000000</v>
      </c>
      <c r="AV358" s="181">
        <f ca="1">IF($D358&lt;&gt;"Serviço",0,IF(AND(AUTOEVENTO="Manual",$M358=1),0,IF(OFFSET(CRONOPLE!$F$14,$M358,AV$13)="",10^12,OFFSET(CRONOPLE!$F$14,$M358,AV$13))))</f>
        <v>1000000000000</v>
      </c>
      <c r="AX358" s="182">
        <f ca="1">IF($D358&lt;&gt;"Serviço",0,IF(OR(AND(AUTOEVENTO="Manual",$M358=1),$M358&gt;(ROW(PLE.lastrow)-ROW(PLE.firstrow))),0,IF(OFFSET(PLE!$G$14,$M358,AX$13)="",10^12,OFFSET(PLE!$G$14,$M358,AX$13))))</f>
        <v>1000000000000</v>
      </c>
      <c r="AY358" s="182">
        <f ca="1">IF($D358&lt;&gt;"Serviço",0,IF(OR(AND(AUTOEVENTO="Manual",$M358=1),$M358&gt;(ROW(PLE.lastrow)-ROW(PLE.firstrow))),0,IF(OFFSET(PLE!$G$14,$M358,AY$13)="",10^12,OFFSET(PLE!$G$14,$M358,AY$13))))</f>
        <v>1000000000000</v>
      </c>
      <c r="AZ358" s="182">
        <f ca="1">IF($D358&lt;&gt;"Serviço",0,IF(OR(AND(AUTOEVENTO="Manual",$M358=1),$M358&gt;(ROW(PLE.lastrow)-ROW(PLE.firstrow))),0,IF(OFFSET(PLE!$G$14,$M358,AZ$13)="",10^12,OFFSET(PLE!$G$14,$M358,AZ$13))))</f>
        <v>1000000000000</v>
      </c>
      <c r="BA358" s="182">
        <f ca="1">IF($D358&lt;&gt;"Serviço",0,IF(OR(AND(AUTOEVENTO="Manual",$M358=1),$M358&gt;(ROW(PLE.lastrow)-ROW(PLE.firstrow))),0,IF(OFFSET(PLE!$G$14,$M358,BA$13)="",10^12,OFFSET(PLE!$G$14,$M358,BA$13))))</f>
        <v>1000000000000</v>
      </c>
      <c r="BB358" s="182">
        <f ca="1">IF($D358&lt;&gt;"Serviço",0,IF(OR(AND(AUTOEVENTO="Manual",$M358=1),$M358&gt;(ROW(PLE.lastrow)-ROW(PLE.firstrow))),0,IF(OFFSET(PLE!$G$14,$M358,BB$13)="",10^12,OFFSET(PLE!$G$14,$M358,BB$13))))</f>
        <v>1000000000000</v>
      </c>
      <c r="BC358" s="182">
        <f ca="1">IF($D358&lt;&gt;"Serviço",0,IF(OR(AND(AUTOEVENTO="Manual",$M358=1),$M358&gt;(ROW(PLE.lastrow)-ROW(PLE.firstrow))),0,IF(OFFSET(PLE!$G$14,$M358,BC$13)="",10^12,OFFSET(PLE!$G$14,$M358,BC$13))))</f>
        <v>1000000000000</v>
      </c>
      <c r="BD358" s="182">
        <f ca="1">IF($D358&lt;&gt;"Serviço",0,IF(OR(AND(AUTOEVENTO="Manual",$M358=1),$M358&gt;(ROW(PLE.lastrow)-ROW(PLE.firstrow))),0,IF(OFFSET(PLE!$G$14,$M358,BD$13)="",10^12,OFFSET(PLE!$G$14,$M358,BD$13))))</f>
        <v>1000000000000</v>
      </c>
      <c r="BE358" s="182">
        <f ca="1">IF($D358&lt;&gt;"Serviço",0,IF(OR(AND(AUTOEVENTO="Manual",$M358=1),$M358&gt;(ROW(PLE.lastrow)-ROW(PLE.firstrow))),0,IF(OFFSET(PLE!$G$14,$M358,BE$13)="",10^12,OFFSET(PLE!$G$14,$M358,BE$13))))</f>
        <v>1000000000000</v>
      </c>
      <c r="BF358" s="182">
        <f ca="1">IF($D358&lt;&gt;"Serviço",0,IF(OR(AND(AUTOEVENTO="Manual",$M358=1),$M358&gt;(ROW(PLE.lastrow)-ROW(PLE.firstrow))),0,IF(OFFSET(PLE!$G$14,$M358,BF$13)="",10^12,OFFSET(PLE!$G$14,$M358,BF$13))))</f>
        <v>1000000000000</v>
      </c>
      <c r="BG358" s="182">
        <f ca="1">IF($D358&lt;&gt;"Serviço",0,IF(OR(AND(AUTOEVENTO="Manual",$M358=1),$M358&gt;(ROW(PLE.lastrow)-ROW(PLE.firstrow))),0,IF(OFFSET(PLE!$G$14,$M358,BG$13)="",10^12,OFFSET(PLE!$G$14,$M358,BG$13))))</f>
        <v>1000000000000</v>
      </c>
    </row>
    <row r="359" spans="1:59" ht="38.25" x14ac:dyDescent="0.2">
      <c r="A359" s="7" t="str">
        <f t="shared" ca="1" si="11"/>
        <v>325</v>
      </c>
      <c r="B359" s="7" t="str">
        <f ca="1">OFFSET(ORÇAMENTO!C$15,ROW(B359)-ROW(B$15),0)</f>
        <v>S</v>
      </c>
      <c r="C359" s="7" t="str">
        <f ca="1">OFFSET(ORÇAMENTO!L$15,ROW(C359)-ROW(C$15),0)</f>
        <v/>
      </c>
      <c r="D359" s="118" t="str">
        <f ca="1">OFFSET(ORÇAMENTO!N$15,ROW(D359)-ROW(D$15),0)</f>
        <v>Serviço</v>
      </c>
      <c r="E359" s="119" t="str">
        <f ca="1">OFFSET(ORÇAMENTO!O$15,ROW(E359)-ROW(E$15),0)</f>
        <v>-</v>
      </c>
      <c r="F359" s="172" t="str">
        <f ca="1">OFFSET(ORÇAMENTO!R$15,ROW(F359)-ROW(F$15),0)</f>
        <v>(abra o arquivo 'Referência 02-2025.xlsm)</v>
      </c>
      <c r="G359" s="173" t="str">
        <f ca="1">IF($D359&lt;&gt;"Serviço","",OFFSET(ORÇAMENTO!S$15,ROW(G359)-ROW(G$15),0))</f>
        <v>-</v>
      </c>
      <c r="H359" s="124">
        <f ca="1">IF($D359&lt;&gt;"Serviço",0,IF(ACOMPANHAMENTO="BM",ROUND(OFFSET(ORÇAMENTO!AJ$15,ROW(H359)-ROW(H$15),0),15-13*ORÇAMENTO!$AF$7),SUMPRODUCT(($Q$12:$AA$12&lt;&gt;"")*ROUND($Q359:$AA359,15-13*ORÇAMENTO!$AF$7))))</f>
        <v>46</v>
      </c>
      <c r="I359" s="561" t="s">
        <v>890</v>
      </c>
      <c r="K359" s="174"/>
      <c r="L359" s="175" t="s">
        <v>255</v>
      </c>
      <c r="M359" s="176">
        <f ca="1">IF($D359&lt;&gt;"Serviço","",IF(AUTOEVENTO="manual",$A359,IF(ISERROR(MATCH($A359,$A$15:OFFSET($A359,-1,0),0)),MAX($M$15:OFFSET(M359,-1,0))+1,INDEX($M$15:OFFSET(M359,-1,0),MATCH($A359,$A$15:OFFSET($A359,-1,0),0)))))</f>
        <v>15</v>
      </c>
      <c r="N359" s="177" t="str">
        <f ca="1">IF($D359&lt;&gt;"Serviço","",IF(AUTOEVENTO="Manual",IF($A359=0,"&lt;-- defina o número do agrupador",OFFSET(EVENTOS!$D$14,$A359,0)),OFFSET($F$15,$A359,0)))</f>
        <v>INSTALAÇÕES DE ESGOTO SANITÁRIO</v>
      </c>
      <c r="O359" s="178"/>
      <c r="Q359" s="178"/>
      <c r="R359" s="179"/>
      <c r="S359" s="179"/>
      <c r="T359" s="179"/>
      <c r="U359" s="179"/>
      <c r="V359" s="179"/>
      <c r="W359" s="179"/>
      <c r="X359" s="179"/>
      <c r="Y359" s="179"/>
      <c r="Z359" s="180"/>
      <c r="AB359" s="544">
        <f ca="1">IF(AND($D359="Serviço",AB$12&lt;&gt;0,$H359&gt;0,OR(AUTOEVENTO&lt;&gt;"manual",$M359&lt;&gt;1)),
IF(Import.TipoArredondamento&lt;&gt;"TransfereGOV",
ROUND(OFFSET($P359,0,AB$13),15-13*ORÇAMENTO!$AF$7)/$H359*OFFSET(ORÇAMENTO!$X$15,ROW(AB359)-ROW(AB$15),0),
ROUND(ROUND(OFFSET($P359,0,AB$13),15-13*ORÇAMENTO!$AF$7)*OFFSET(ORÇAMENTO!$W$15,ROW(AB359)-ROW(AB$15),0),15-13*ORÇAMENTO!$AF$11)),0)</f>
        <v>0</v>
      </c>
      <c r="AC359" s="545">
        <f ca="1">IF(AND($D359="Serviço",AC$12&lt;&gt;0,$H359&gt;0,OR(AUTOEVENTO&lt;&gt;"manual",$M359&lt;&gt;1)),
IF(Import.TipoArredondamento&lt;&gt;"TransfereGOV",
ROUND(OFFSET($P359,0,AC$13),15-13*ORÇAMENTO!$AF$7)/$H359*OFFSET(ORÇAMENTO!$X$15,ROW(AC359)-ROW(AC$15),0),
ROUND(ROUND(OFFSET($P359,0,AC$13),15-13*ORÇAMENTO!$AF$7)*OFFSET(ORÇAMENTO!$W$15,ROW(AC359)-ROW(AC$15),0),15-13*ORÇAMENTO!$AF$11)),0)</f>
        <v>0</v>
      </c>
      <c r="AD359" s="545">
        <f ca="1">IF(AND($D359="Serviço",AD$12&lt;&gt;0,$H359&gt;0,OR(AUTOEVENTO&lt;&gt;"manual",$M359&lt;&gt;1)),
IF(Import.TipoArredondamento&lt;&gt;"TransfereGOV",
ROUND(OFFSET($P359,0,AD$13),15-13*ORÇAMENTO!$AF$7)/$H359*OFFSET(ORÇAMENTO!$X$15,ROW(AD359)-ROW(AD$15),0),
ROUND(ROUND(OFFSET($P359,0,AD$13),15-13*ORÇAMENTO!$AF$7)*OFFSET(ORÇAMENTO!$W$15,ROW(AD359)-ROW(AD$15),0),15-13*ORÇAMENTO!$AF$11)),0)</f>
        <v>0</v>
      </c>
      <c r="AE359" s="545">
        <f ca="1">IF(AND($D359="Serviço",AE$12&lt;&gt;0,$H359&gt;0,OR(AUTOEVENTO&lt;&gt;"manual",$M359&lt;&gt;1)),
IF(Import.TipoArredondamento&lt;&gt;"TransfereGOV",
ROUND(OFFSET($P359,0,AE$13),15-13*ORÇAMENTO!$AF$7)/$H359*OFFSET(ORÇAMENTO!$X$15,ROW(AE359)-ROW(AE$15),0),
ROUND(ROUND(OFFSET($P359,0,AE$13),15-13*ORÇAMENTO!$AF$7)*OFFSET(ORÇAMENTO!$W$15,ROW(AE359)-ROW(AE$15),0),15-13*ORÇAMENTO!$AF$11)),0)</f>
        <v>0</v>
      </c>
      <c r="AF359" s="545">
        <f ca="1">IF(AND($D359="Serviço",AF$12&lt;&gt;0,$H359&gt;0,OR(AUTOEVENTO&lt;&gt;"manual",$M359&lt;&gt;1)),
IF(Import.TipoArredondamento&lt;&gt;"TransfereGOV",
ROUND(OFFSET($P359,0,AF$13),15-13*ORÇAMENTO!$AF$7)/$H359*OFFSET(ORÇAMENTO!$X$15,ROW(AF359)-ROW(AF$15),0),
ROUND(ROUND(OFFSET($P359,0,AF$13),15-13*ORÇAMENTO!$AF$7)*OFFSET(ORÇAMENTO!$W$15,ROW(AF359)-ROW(AF$15),0),15-13*ORÇAMENTO!$AF$11)),0)</f>
        <v>0</v>
      </c>
      <c r="AG359" s="545">
        <f ca="1">IF(AND($D359="Serviço",AG$12&lt;&gt;0,$H359&gt;0,OR(AUTOEVENTO&lt;&gt;"manual",$M359&lt;&gt;1)),
IF(Import.TipoArredondamento&lt;&gt;"TransfereGOV",
ROUND(OFFSET($P359,0,AG$13),15-13*ORÇAMENTO!$AF$7)/$H359*OFFSET(ORÇAMENTO!$X$15,ROW(AG359)-ROW(AG$15),0),
ROUND(ROUND(OFFSET($P359,0,AG$13),15-13*ORÇAMENTO!$AF$7)*OFFSET(ORÇAMENTO!$W$15,ROW(AG359)-ROW(AG$15),0),15-13*ORÇAMENTO!$AF$11)),0)</f>
        <v>0</v>
      </c>
      <c r="AH359" s="545">
        <f ca="1">IF(AND($D359="Serviço",AH$12&lt;&gt;0,$H359&gt;0,OR(AUTOEVENTO&lt;&gt;"manual",$M359&lt;&gt;1)),
IF(Import.TipoArredondamento&lt;&gt;"TransfereGOV",
ROUND(OFFSET($P359,0,AH$13),15-13*ORÇAMENTO!$AF$7)/$H359*OFFSET(ORÇAMENTO!$X$15,ROW(AH359)-ROW(AH$15),0),
ROUND(ROUND(OFFSET($P359,0,AH$13),15-13*ORÇAMENTO!$AF$7)*OFFSET(ORÇAMENTO!$W$15,ROW(AH359)-ROW(AH$15),0),15-13*ORÇAMENTO!$AF$11)),0)</f>
        <v>0</v>
      </c>
      <c r="AI359" s="545">
        <f ca="1">IF(AND($D359="Serviço",AI$12&lt;&gt;0,$H359&gt;0,OR(AUTOEVENTO&lt;&gt;"manual",$M359&lt;&gt;1)),
IF(Import.TipoArredondamento&lt;&gt;"TransfereGOV",
ROUND(OFFSET($P359,0,AI$13),15-13*ORÇAMENTO!$AF$7)/$H359*OFFSET(ORÇAMENTO!$X$15,ROW(AI359)-ROW(AI$15),0),
ROUND(ROUND(OFFSET($P359,0,AI$13),15-13*ORÇAMENTO!$AF$7)*OFFSET(ORÇAMENTO!$W$15,ROW(AI359)-ROW(AI$15),0),15-13*ORÇAMENTO!$AF$11)),0)</f>
        <v>0</v>
      </c>
      <c r="AJ359" s="545">
        <f ca="1">IF(AND($D359="Serviço",AJ$12&lt;&gt;0,$H359&gt;0,OR(AUTOEVENTO&lt;&gt;"manual",$M359&lt;&gt;1)),
IF(Import.TipoArredondamento&lt;&gt;"TransfereGOV",
ROUND(OFFSET($P359,0,AJ$13),15-13*ORÇAMENTO!$AF$7)/$H359*OFFSET(ORÇAMENTO!$X$15,ROW(AJ359)-ROW(AJ$15),0),
ROUND(ROUND(OFFSET($P359,0,AJ$13),15-13*ORÇAMENTO!$AF$7)*OFFSET(ORÇAMENTO!$W$15,ROW(AJ359)-ROW(AJ$15),0),15-13*ORÇAMENTO!$AF$11)),0)</f>
        <v>0</v>
      </c>
      <c r="AK359" s="546">
        <f ca="1">IF(AND($D359="Serviço",AK$12&lt;&gt;0,$H359&gt;0,OR(AUTOEVENTO&lt;&gt;"manual",$M359&lt;&gt;1)),
IF(Import.TipoArredondamento&lt;&gt;"TransfereGOV",
ROUND(OFFSET($P359,0,AK$13),15-13*ORÇAMENTO!$AF$7)/$H359*OFFSET(ORÇAMENTO!$X$15,ROW(AK359)-ROW(AK$15),0),
ROUND(ROUND(OFFSET($P359,0,AK$13),15-13*ORÇAMENTO!$AF$7)*OFFSET(ORÇAMENTO!$W$15,ROW(AK359)-ROW(AK$15),0),15-13*ORÇAMENTO!$AF$11)),0)</f>
        <v>0</v>
      </c>
      <c r="AM359" s="181">
        <f ca="1">IF($D359&lt;&gt;"Serviço",0,IF(AND(AUTOEVENTO="Manual",$M359=1),0,IF(OFFSET(CRONOPLE!$F$14,$M359,AM$13)="",10^12,OFFSET(CRONOPLE!$F$14,$M359,AM$13))))</f>
        <v>1000000000000</v>
      </c>
      <c r="AN359" s="181">
        <f ca="1">IF($D359&lt;&gt;"Serviço",0,IF(AND(AUTOEVENTO="Manual",$M359=1),0,IF(OFFSET(CRONOPLE!$F$14,$M359,AN$13)="",10^12,OFFSET(CRONOPLE!$F$14,$M359,AN$13))))</f>
        <v>1000000000000</v>
      </c>
      <c r="AO359" s="181">
        <f ca="1">IF($D359&lt;&gt;"Serviço",0,IF(AND(AUTOEVENTO="Manual",$M359=1),0,IF(OFFSET(CRONOPLE!$F$14,$M359,AO$13)="",10^12,OFFSET(CRONOPLE!$F$14,$M359,AO$13))))</f>
        <v>1000000000000</v>
      </c>
      <c r="AP359" s="181">
        <f ca="1">IF($D359&lt;&gt;"Serviço",0,IF(AND(AUTOEVENTO="Manual",$M359=1),0,IF(OFFSET(CRONOPLE!$F$14,$M359,AP$13)="",10^12,OFFSET(CRONOPLE!$F$14,$M359,AP$13))))</f>
        <v>1000000000000</v>
      </c>
      <c r="AQ359" s="181">
        <f ca="1">IF($D359&lt;&gt;"Serviço",0,IF(AND(AUTOEVENTO="Manual",$M359=1),0,IF(OFFSET(CRONOPLE!$F$14,$M359,AQ$13)="",10^12,OFFSET(CRONOPLE!$F$14,$M359,AQ$13))))</f>
        <v>1000000000000</v>
      </c>
      <c r="AR359" s="181">
        <f ca="1">IF($D359&lt;&gt;"Serviço",0,IF(AND(AUTOEVENTO="Manual",$M359=1),0,IF(OFFSET(CRONOPLE!$F$14,$M359,AR$13)="",10^12,OFFSET(CRONOPLE!$F$14,$M359,AR$13))))</f>
        <v>1000000000000</v>
      </c>
      <c r="AS359" s="181">
        <f ca="1">IF($D359&lt;&gt;"Serviço",0,IF(AND(AUTOEVENTO="Manual",$M359=1),0,IF(OFFSET(CRONOPLE!$F$14,$M359,AS$13)="",10^12,OFFSET(CRONOPLE!$F$14,$M359,AS$13))))</f>
        <v>1000000000000</v>
      </c>
      <c r="AT359" s="181">
        <f ca="1">IF($D359&lt;&gt;"Serviço",0,IF(AND(AUTOEVENTO="Manual",$M359=1),0,IF(OFFSET(CRONOPLE!$F$14,$M359,AT$13)="",10^12,OFFSET(CRONOPLE!$F$14,$M359,AT$13))))</f>
        <v>1000000000000</v>
      </c>
      <c r="AU359" s="181">
        <f ca="1">IF($D359&lt;&gt;"Serviço",0,IF(AND(AUTOEVENTO="Manual",$M359=1),0,IF(OFFSET(CRONOPLE!$F$14,$M359,AU$13)="",10^12,OFFSET(CRONOPLE!$F$14,$M359,AU$13))))</f>
        <v>1000000000000</v>
      </c>
      <c r="AV359" s="181">
        <f ca="1">IF($D359&lt;&gt;"Serviço",0,IF(AND(AUTOEVENTO="Manual",$M359=1),0,IF(OFFSET(CRONOPLE!$F$14,$M359,AV$13)="",10^12,OFFSET(CRONOPLE!$F$14,$M359,AV$13))))</f>
        <v>1000000000000</v>
      </c>
      <c r="AX359" s="182">
        <f ca="1">IF($D359&lt;&gt;"Serviço",0,IF(OR(AND(AUTOEVENTO="Manual",$M359=1),$M359&gt;(ROW(PLE.lastrow)-ROW(PLE.firstrow))),0,IF(OFFSET(PLE!$G$14,$M359,AX$13)="",10^12,OFFSET(PLE!$G$14,$M359,AX$13))))</f>
        <v>1000000000000</v>
      </c>
      <c r="AY359" s="182">
        <f ca="1">IF($D359&lt;&gt;"Serviço",0,IF(OR(AND(AUTOEVENTO="Manual",$M359=1),$M359&gt;(ROW(PLE.lastrow)-ROW(PLE.firstrow))),0,IF(OFFSET(PLE!$G$14,$M359,AY$13)="",10^12,OFFSET(PLE!$G$14,$M359,AY$13))))</f>
        <v>1000000000000</v>
      </c>
      <c r="AZ359" s="182">
        <f ca="1">IF($D359&lt;&gt;"Serviço",0,IF(OR(AND(AUTOEVENTO="Manual",$M359=1),$M359&gt;(ROW(PLE.lastrow)-ROW(PLE.firstrow))),0,IF(OFFSET(PLE!$G$14,$M359,AZ$13)="",10^12,OFFSET(PLE!$G$14,$M359,AZ$13))))</f>
        <v>1000000000000</v>
      </c>
      <c r="BA359" s="182">
        <f ca="1">IF($D359&lt;&gt;"Serviço",0,IF(OR(AND(AUTOEVENTO="Manual",$M359=1),$M359&gt;(ROW(PLE.lastrow)-ROW(PLE.firstrow))),0,IF(OFFSET(PLE!$G$14,$M359,BA$13)="",10^12,OFFSET(PLE!$G$14,$M359,BA$13))))</f>
        <v>1000000000000</v>
      </c>
      <c r="BB359" s="182">
        <f ca="1">IF($D359&lt;&gt;"Serviço",0,IF(OR(AND(AUTOEVENTO="Manual",$M359=1),$M359&gt;(ROW(PLE.lastrow)-ROW(PLE.firstrow))),0,IF(OFFSET(PLE!$G$14,$M359,BB$13)="",10^12,OFFSET(PLE!$G$14,$M359,BB$13))))</f>
        <v>1000000000000</v>
      </c>
      <c r="BC359" s="182">
        <f ca="1">IF($D359&lt;&gt;"Serviço",0,IF(OR(AND(AUTOEVENTO="Manual",$M359=1),$M359&gt;(ROW(PLE.lastrow)-ROW(PLE.firstrow))),0,IF(OFFSET(PLE!$G$14,$M359,BC$13)="",10^12,OFFSET(PLE!$G$14,$M359,BC$13))))</f>
        <v>1000000000000</v>
      </c>
      <c r="BD359" s="182">
        <f ca="1">IF($D359&lt;&gt;"Serviço",0,IF(OR(AND(AUTOEVENTO="Manual",$M359=1),$M359&gt;(ROW(PLE.lastrow)-ROW(PLE.firstrow))),0,IF(OFFSET(PLE!$G$14,$M359,BD$13)="",10^12,OFFSET(PLE!$G$14,$M359,BD$13))))</f>
        <v>1000000000000</v>
      </c>
      <c r="BE359" s="182">
        <f ca="1">IF($D359&lt;&gt;"Serviço",0,IF(OR(AND(AUTOEVENTO="Manual",$M359=1),$M359&gt;(ROW(PLE.lastrow)-ROW(PLE.firstrow))),0,IF(OFFSET(PLE!$G$14,$M359,BE$13)="",10^12,OFFSET(PLE!$G$14,$M359,BE$13))))</f>
        <v>1000000000000</v>
      </c>
      <c r="BF359" s="182">
        <f ca="1">IF($D359&lt;&gt;"Serviço",0,IF(OR(AND(AUTOEVENTO="Manual",$M359=1),$M359&gt;(ROW(PLE.lastrow)-ROW(PLE.firstrow))),0,IF(OFFSET(PLE!$G$14,$M359,BF$13)="",10^12,OFFSET(PLE!$G$14,$M359,BF$13))))</f>
        <v>1000000000000</v>
      </c>
      <c r="BG359" s="182">
        <f ca="1">IF($D359&lt;&gt;"Serviço",0,IF(OR(AND(AUTOEVENTO="Manual",$M359=1),$M359&gt;(ROW(PLE.lastrow)-ROW(PLE.firstrow))),0,IF(OFFSET(PLE!$G$14,$M359,BG$13)="",10^12,OFFSET(PLE!$G$14,$M359,BG$13))))</f>
        <v>1000000000000</v>
      </c>
    </row>
    <row r="360" spans="1:59" ht="38.25" x14ac:dyDescent="0.2">
      <c r="A360" s="7" t="str">
        <f t="shared" ca="1" si="11"/>
        <v>325</v>
      </c>
      <c r="B360" s="7" t="str">
        <f ca="1">OFFSET(ORÇAMENTO!C$15,ROW(B360)-ROW(B$15),0)</f>
        <v>S</v>
      </c>
      <c r="C360" s="7" t="str">
        <f ca="1">OFFSET(ORÇAMENTO!L$15,ROW(C360)-ROW(C$15),0)</f>
        <v/>
      </c>
      <c r="D360" s="118" t="str">
        <f ca="1">OFFSET(ORÇAMENTO!N$15,ROW(D360)-ROW(D$15),0)</f>
        <v>Serviço</v>
      </c>
      <c r="E360" s="119" t="str">
        <f ca="1">OFFSET(ORÇAMENTO!O$15,ROW(E360)-ROW(E$15),0)</f>
        <v>-</v>
      </c>
      <c r="F360" s="172" t="str">
        <f ca="1">OFFSET(ORÇAMENTO!R$15,ROW(F360)-ROW(F$15),0)</f>
        <v>(abra o arquivo 'Referência 02-2025.xlsm)</v>
      </c>
      <c r="G360" s="173" t="str">
        <f ca="1">IF($D360&lt;&gt;"Serviço","",OFFSET(ORÇAMENTO!S$15,ROW(G360)-ROW(G$15),0))</f>
        <v>-</v>
      </c>
      <c r="H360" s="124">
        <f ca="1">IF($D360&lt;&gt;"Serviço",0,IF(ACOMPANHAMENTO="BM",ROUND(OFFSET(ORÇAMENTO!AJ$15,ROW(H360)-ROW(H$15),0),15-13*ORÇAMENTO!$AF$7),SUMPRODUCT(($Q$12:$AA$12&lt;&gt;"")*ROUND($Q360:$AA360,15-13*ORÇAMENTO!$AF$7))))</f>
        <v>51</v>
      </c>
      <c r="I360" s="561" t="s">
        <v>890</v>
      </c>
      <c r="K360" s="174"/>
      <c r="L360" s="175" t="s">
        <v>255</v>
      </c>
      <c r="M360" s="176">
        <f ca="1">IF($D360&lt;&gt;"Serviço","",IF(AUTOEVENTO="manual",$A360,IF(ISERROR(MATCH($A360,$A$15:OFFSET($A360,-1,0),0)),MAX($M$15:OFFSET(M360,-1,0))+1,INDEX($M$15:OFFSET(M360,-1,0),MATCH($A360,$A$15:OFFSET($A360,-1,0),0)))))</f>
        <v>15</v>
      </c>
      <c r="N360" s="177" t="str">
        <f ca="1">IF($D360&lt;&gt;"Serviço","",IF(AUTOEVENTO="Manual",IF($A360=0,"&lt;-- defina o número do agrupador",OFFSET(EVENTOS!$D$14,$A360,0)),OFFSET($F$15,$A360,0)))</f>
        <v>INSTALAÇÕES DE ESGOTO SANITÁRIO</v>
      </c>
      <c r="O360" s="178"/>
      <c r="Q360" s="178"/>
      <c r="R360" s="179"/>
      <c r="S360" s="179"/>
      <c r="T360" s="179"/>
      <c r="U360" s="179"/>
      <c r="V360" s="179"/>
      <c r="W360" s="179"/>
      <c r="X360" s="179"/>
      <c r="Y360" s="179"/>
      <c r="Z360" s="180"/>
      <c r="AB360" s="544">
        <f ca="1">IF(AND($D360="Serviço",AB$12&lt;&gt;0,$H360&gt;0,OR(AUTOEVENTO&lt;&gt;"manual",$M360&lt;&gt;1)),
IF(Import.TipoArredondamento&lt;&gt;"TransfereGOV",
ROUND(OFFSET($P360,0,AB$13),15-13*ORÇAMENTO!$AF$7)/$H360*OFFSET(ORÇAMENTO!$X$15,ROW(AB360)-ROW(AB$15),0),
ROUND(ROUND(OFFSET($P360,0,AB$13),15-13*ORÇAMENTO!$AF$7)*OFFSET(ORÇAMENTO!$W$15,ROW(AB360)-ROW(AB$15),0),15-13*ORÇAMENTO!$AF$11)),0)</f>
        <v>0</v>
      </c>
      <c r="AC360" s="545">
        <f ca="1">IF(AND($D360="Serviço",AC$12&lt;&gt;0,$H360&gt;0,OR(AUTOEVENTO&lt;&gt;"manual",$M360&lt;&gt;1)),
IF(Import.TipoArredondamento&lt;&gt;"TransfereGOV",
ROUND(OFFSET($P360,0,AC$13),15-13*ORÇAMENTO!$AF$7)/$H360*OFFSET(ORÇAMENTO!$X$15,ROW(AC360)-ROW(AC$15),0),
ROUND(ROUND(OFFSET($P360,0,AC$13),15-13*ORÇAMENTO!$AF$7)*OFFSET(ORÇAMENTO!$W$15,ROW(AC360)-ROW(AC$15),0),15-13*ORÇAMENTO!$AF$11)),0)</f>
        <v>0</v>
      </c>
      <c r="AD360" s="545">
        <f ca="1">IF(AND($D360="Serviço",AD$12&lt;&gt;0,$H360&gt;0,OR(AUTOEVENTO&lt;&gt;"manual",$M360&lt;&gt;1)),
IF(Import.TipoArredondamento&lt;&gt;"TransfereGOV",
ROUND(OFFSET($P360,0,AD$13),15-13*ORÇAMENTO!$AF$7)/$H360*OFFSET(ORÇAMENTO!$X$15,ROW(AD360)-ROW(AD$15),0),
ROUND(ROUND(OFFSET($P360,0,AD$13),15-13*ORÇAMENTO!$AF$7)*OFFSET(ORÇAMENTO!$W$15,ROW(AD360)-ROW(AD$15),0),15-13*ORÇAMENTO!$AF$11)),0)</f>
        <v>0</v>
      </c>
      <c r="AE360" s="545">
        <f ca="1">IF(AND($D360="Serviço",AE$12&lt;&gt;0,$H360&gt;0,OR(AUTOEVENTO&lt;&gt;"manual",$M360&lt;&gt;1)),
IF(Import.TipoArredondamento&lt;&gt;"TransfereGOV",
ROUND(OFFSET($P360,0,AE$13),15-13*ORÇAMENTO!$AF$7)/$H360*OFFSET(ORÇAMENTO!$X$15,ROW(AE360)-ROW(AE$15),0),
ROUND(ROUND(OFFSET($P360,0,AE$13),15-13*ORÇAMENTO!$AF$7)*OFFSET(ORÇAMENTO!$W$15,ROW(AE360)-ROW(AE$15),0),15-13*ORÇAMENTO!$AF$11)),0)</f>
        <v>0</v>
      </c>
      <c r="AF360" s="545">
        <f ca="1">IF(AND($D360="Serviço",AF$12&lt;&gt;0,$H360&gt;0,OR(AUTOEVENTO&lt;&gt;"manual",$M360&lt;&gt;1)),
IF(Import.TipoArredondamento&lt;&gt;"TransfereGOV",
ROUND(OFFSET($P360,0,AF$13),15-13*ORÇAMENTO!$AF$7)/$H360*OFFSET(ORÇAMENTO!$X$15,ROW(AF360)-ROW(AF$15),0),
ROUND(ROUND(OFFSET($P360,0,AF$13),15-13*ORÇAMENTO!$AF$7)*OFFSET(ORÇAMENTO!$W$15,ROW(AF360)-ROW(AF$15),0),15-13*ORÇAMENTO!$AF$11)),0)</f>
        <v>0</v>
      </c>
      <c r="AG360" s="545">
        <f ca="1">IF(AND($D360="Serviço",AG$12&lt;&gt;0,$H360&gt;0,OR(AUTOEVENTO&lt;&gt;"manual",$M360&lt;&gt;1)),
IF(Import.TipoArredondamento&lt;&gt;"TransfereGOV",
ROUND(OFFSET($P360,0,AG$13),15-13*ORÇAMENTO!$AF$7)/$H360*OFFSET(ORÇAMENTO!$X$15,ROW(AG360)-ROW(AG$15),0),
ROUND(ROUND(OFFSET($P360,0,AG$13),15-13*ORÇAMENTO!$AF$7)*OFFSET(ORÇAMENTO!$W$15,ROW(AG360)-ROW(AG$15),0),15-13*ORÇAMENTO!$AF$11)),0)</f>
        <v>0</v>
      </c>
      <c r="AH360" s="545">
        <f ca="1">IF(AND($D360="Serviço",AH$12&lt;&gt;0,$H360&gt;0,OR(AUTOEVENTO&lt;&gt;"manual",$M360&lt;&gt;1)),
IF(Import.TipoArredondamento&lt;&gt;"TransfereGOV",
ROUND(OFFSET($P360,0,AH$13),15-13*ORÇAMENTO!$AF$7)/$H360*OFFSET(ORÇAMENTO!$X$15,ROW(AH360)-ROW(AH$15),0),
ROUND(ROUND(OFFSET($P360,0,AH$13),15-13*ORÇAMENTO!$AF$7)*OFFSET(ORÇAMENTO!$W$15,ROW(AH360)-ROW(AH$15),0),15-13*ORÇAMENTO!$AF$11)),0)</f>
        <v>0</v>
      </c>
      <c r="AI360" s="545">
        <f ca="1">IF(AND($D360="Serviço",AI$12&lt;&gt;0,$H360&gt;0,OR(AUTOEVENTO&lt;&gt;"manual",$M360&lt;&gt;1)),
IF(Import.TipoArredondamento&lt;&gt;"TransfereGOV",
ROUND(OFFSET($P360,0,AI$13),15-13*ORÇAMENTO!$AF$7)/$H360*OFFSET(ORÇAMENTO!$X$15,ROW(AI360)-ROW(AI$15),0),
ROUND(ROUND(OFFSET($P360,0,AI$13),15-13*ORÇAMENTO!$AF$7)*OFFSET(ORÇAMENTO!$W$15,ROW(AI360)-ROW(AI$15),0),15-13*ORÇAMENTO!$AF$11)),0)</f>
        <v>0</v>
      </c>
      <c r="AJ360" s="545">
        <f ca="1">IF(AND($D360="Serviço",AJ$12&lt;&gt;0,$H360&gt;0,OR(AUTOEVENTO&lt;&gt;"manual",$M360&lt;&gt;1)),
IF(Import.TipoArredondamento&lt;&gt;"TransfereGOV",
ROUND(OFFSET($P360,0,AJ$13),15-13*ORÇAMENTO!$AF$7)/$H360*OFFSET(ORÇAMENTO!$X$15,ROW(AJ360)-ROW(AJ$15),0),
ROUND(ROUND(OFFSET($P360,0,AJ$13),15-13*ORÇAMENTO!$AF$7)*OFFSET(ORÇAMENTO!$W$15,ROW(AJ360)-ROW(AJ$15),0),15-13*ORÇAMENTO!$AF$11)),0)</f>
        <v>0</v>
      </c>
      <c r="AK360" s="546">
        <f ca="1">IF(AND($D360="Serviço",AK$12&lt;&gt;0,$H360&gt;0,OR(AUTOEVENTO&lt;&gt;"manual",$M360&lt;&gt;1)),
IF(Import.TipoArredondamento&lt;&gt;"TransfereGOV",
ROUND(OFFSET($P360,0,AK$13),15-13*ORÇAMENTO!$AF$7)/$H360*OFFSET(ORÇAMENTO!$X$15,ROW(AK360)-ROW(AK$15),0),
ROUND(ROUND(OFFSET($P360,0,AK$13),15-13*ORÇAMENTO!$AF$7)*OFFSET(ORÇAMENTO!$W$15,ROW(AK360)-ROW(AK$15),0),15-13*ORÇAMENTO!$AF$11)),0)</f>
        <v>0</v>
      </c>
      <c r="AM360" s="181">
        <f ca="1">IF($D360&lt;&gt;"Serviço",0,IF(AND(AUTOEVENTO="Manual",$M360=1),0,IF(OFFSET(CRONOPLE!$F$14,$M360,AM$13)="",10^12,OFFSET(CRONOPLE!$F$14,$M360,AM$13))))</f>
        <v>1000000000000</v>
      </c>
      <c r="AN360" s="181">
        <f ca="1">IF($D360&lt;&gt;"Serviço",0,IF(AND(AUTOEVENTO="Manual",$M360=1),0,IF(OFFSET(CRONOPLE!$F$14,$M360,AN$13)="",10^12,OFFSET(CRONOPLE!$F$14,$M360,AN$13))))</f>
        <v>1000000000000</v>
      </c>
      <c r="AO360" s="181">
        <f ca="1">IF($D360&lt;&gt;"Serviço",0,IF(AND(AUTOEVENTO="Manual",$M360=1),0,IF(OFFSET(CRONOPLE!$F$14,$M360,AO$13)="",10^12,OFFSET(CRONOPLE!$F$14,$M360,AO$13))))</f>
        <v>1000000000000</v>
      </c>
      <c r="AP360" s="181">
        <f ca="1">IF($D360&lt;&gt;"Serviço",0,IF(AND(AUTOEVENTO="Manual",$M360=1),0,IF(OFFSET(CRONOPLE!$F$14,$M360,AP$13)="",10^12,OFFSET(CRONOPLE!$F$14,$M360,AP$13))))</f>
        <v>1000000000000</v>
      </c>
      <c r="AQ360" s="181">
        <f ca="1">IF($D360&lt;&gt;"Serviço",0,IF(AND(AUTOEVENTO="Manual",$M360=1),0,IF(OFFSET(CRONOPLE!$F$14,$M360,AQ$13)="",10^12,OFFSET(CRONOPLE!$F$14,$M360,AQ$13))))</f>
        <v>1000000000000</v>
      </c>
      <c r="AR360" s="181">
        <f ca="1">IF($D360&lt;&gt;"Serviço",0,IF(AND(AUTOEVENTO="Manual",$M360=1),0,IF(OFFSET(CRONOPLE!$F$14,$M360,AR$13)="",10^12,OFFSET(CRONOPLE!$F$14,$M360,AR$13))))</f>
        <v>1000000000000</v>
      </c>
      <c r="AS360" s="181">
        <f ca="1">IF($D360&lt;&gt;"Serviço",0,IF(AND(AUTOEVENTO="Manual",$M360=1),0,IF(OFFSET(CRONOPLE!$F$14,$M360,AS$13)="",10^12,OFFSET(CRONOPLE!$F$14,$M360,AS$13))))</f>
        <v>1000000000000</v>
      </c>
      <c r="AT360" s="181">
        <f ca="1">IF($D360&lt;&gt;"Serviço",0,IF(AND(AUTOEVENTO="Manual",$M360=1),0,IF(OFFSET(CRONOPLE!$F$14,$M360,AT$13)="",10^12,OFFSET(CRONOPLE!$F$14,$M360,AT$13))))</f>
        <v>1000000000000</v>
      </c>
      <c r="AU360" s="181">
        <f ca="1">IF($D360&lt;&gt;"Serviço",0,IF(AND(AUTOEVENTO="Manual",$M360=1),0,IF(OFFSET(CRONOPLE!$F$14,$M360,AU$13)="",10^12,OFFSET(CRONOPLE!$F$14,$M360,AU$13))))</f>
        <v>1000000000000</v>
      </c>
      <c r="AV360" s="181">
        <f ca="1">IF($D360&lt;&gt;"Serviço",0,IF(AND(AUTOEVENTO="Manual",$M360=1),0,IF(OFFSET(CRONOPLE!$F$14,$M360,AV$13)="",10^12,OFFSET(CRONOPLE!$F$14,$M360,AV$13))))</f>
        <v>1000000000000</v>
      </c>
      <c r="AX360" s="182">
        <f ca="1">IF($D360&lt;&gt;"Serviço",0,IF(OR(AND(AUTOEVENTO="Manual",$M360=1),$M360&gt;(ROW(PLE.lastrow)-ROW(PLE.firstrow))),0,IF(OFFSET(PLE!$G$14,$M360,AX$13)="",10^12,OFFSET(PLE!$G$14,$M360,AX$13))))</f>
        <v>1000000000000</v>
      </c>
      <c r="AY360" s="182">
        <f ca="1">IF($D360&lt;&gt;"Serviço",0,IF(OR(AND(AUTOEVENTO="Manual",$M360=1),$M360&gt;(ROW(PLE.lastrow)-ROW(PLE.firstrow))),0,IF(OFFSET(PLE!$G$14,$M360,AY$13)="",10^12,OFFSET(PLE!$G$14,$M360,AY$13))))</f>
        <v>1000000000000</v>
      </c>
      <c r="AZ360" s="182">
        <f ca="1">IF($D360&lt;&gt;"Serviço",0,IF(OR(AND(AUTOEVENTO="Manual",$M360=1),$M360&gt;(ROW(PLE.lastrow)-ROW(PLE.firstrow))),0,IF(OFFSET(PLE!$G$14,$M360,AZ$13)="",10^12,OFFSET(PLE!$G$14,$M360,AZ$13))))</f>
        <v>1000000000000</v>
      </c>
      <c r="BA360" s="182">
        <f ca="1">IF($D360&lt;&gt;"Serviço",0,IF(OR(AND(AUTOEVENTO="Manual",$M360=1),$M360&gt;(ROW(PLE.lastrow)-ROW(PLE.firstrow))),0,IF(OFFSET(PLE!$G$14,$M360,BA$13)="",10^12,OFFSET(PLE!$G$14,$M360,BA$13))))</f>
        <v>1000000000000</v>
      </c>
      <c r="BB360" s="182">
        <f ca="1">IF($D360&lt;&gt;"Serviço",0,IF(OR(AND(AUTOEVENTO="Manual",$M360=1),$M360&gt;(ROW(PLE.lastrow)-ROW(PLE.firstrow))),0,IF(OFFSET(PLE!$G$14,$M360,BB$13)="",10^12,OFFSET(PLE!$G$14,$M360,BB$13))))</f>
        <v>1000000000000</v>
      </c>
      <c r="BC360" s="182">
        <f ca="1">IF($D360&lt;&gt;"Serviço",0,IF(OR(AND(AUTOEVENTO="Manual",$M360=1),$M360&gt;(ROW(PLE.lastrow)-ROW(PLE.firstrow))),0,IF(OFFSET(PLE!$G$14,$M360,BC$13)="",10^12,OFFSET(PLE!$G$14,$M360,BC$13))))</f>
        <v>1000000000000</v>
      </c>
      <c r="BD360" s="182">
        <f ca="1">IF($D360&lt;&gt;"Serviço",0,IF(OR(AND(AUTOEVENTO="Manual",$M360=1),$M360&gt;(ROW(PLE.lastrow)-ROW(PLE.firstrow))),0,IF(OFFSET(PLE!$G$14,$M360,BD$13)="",10^12,OFFSET(PLE!$G$14,$M360,BD$13))))</f>
        <v>1000000000000</v>
      </c>
      <c r="BE360" s="182">
        <f ca="1">IF($D360&lt;&gt;"Serviço",0,IF(OR(AND(AUTOEVENTO="Manual",$M360=1),$M360&gt;(ROW(PLE.lastrow)-ROW(PLE.firstrow))),0,IF(OFFSET(PLE!$G$14,$M360,BE$13)="",10^12,OFFSET(PLE!$G$14,$M360,BE$13))))</f>
        <v>1000000000000</v>
      </c>
      <c r="BF360" s="182">
        <f ca="1">IF($D360&lt;&gt;"Serviço",0,IF(OR(AND(AUTOEVENTO="Manual",$M360=1),$M360&gt;(ROW(PLE.lastrow)-ROW(PLE.firstrow))),0,IF(OFFSET(PLE!$G$14,$M360,BF$13)="",10^12,OFFSET(PLE!$G$14,$M360,BF$13))))</f>
        <v>1000000000000</v>
      </c>
      <c r="BG360" s="182">
        <f ca="1">IF($D360&lt;&gt;"Serviço",0,IF(OR(AND(AUTOEVENTO="Manual",$M360=1),$M360&gt;(ROW(PLE.lastrow)-ROW(PLE.firstrow))),0,IF(OFFSET(PLE!$G$14,$M360,BG$13)="",10^12,OFFSET(PLE!$G$14,$M360,BG$13))))</f>
        <v>1000000000000</v>
      </c>
    </row>
    <row r="361" spans="1:59" ht="38.25" x14ac:dyDescent="0.2">
      <c r="A361" s="7" t="str">
        <f t="shared" ca="1" si="11"/>
        <v>325</v>
      </c>
      <c r="B361" s="7" t="str">
        <f ca="1">OFFSET(ORÇAMENTO!C$15,ROW(B361)-ROW(B$15),0)</f>
        <v>S</v>
      </c>
      <c r="C361" s="7" t="str">
        <f ca="1">OFFSET(ORÇAMENTO!L$15,ROW(C361)-ROW(C$15),0)</f>
        <v/>
      </c>
      <c r="D361" s="118" t="str">
        <f ca="1">OFFSET(ORÇAMENTO!N$15,ROW(D361)-ROW(D$15),0)</f>
        <v>Serviço</v>
      </c>
      <c r="E361" s="119" t="str">
        <f ca="1">OFFSET(ORÇAMENTO!O$15,ROW(E361)-ROW(E$15),0)</f>
        <v>-</v>
      </c>
      <c r="F361" s="172" t="str">
        <f ca="1">OFFSET(ORÇAMENTO!R$15,ROW(F361)-ROW(F$15),0)</f>
        <v>(abra o arquivo 'Referência 02-2025.xlsm)</v>
      </c>
      <c r="G361" s="173" t="str">
        <f ca="1">IF($D361&lt;&gt;"Serviço","",OFFSET(ORÇAMENTO!S$15,ROW(G361)-ROW(G$15),0))</f>
        <v>-</v>
      </c>
      <c r="H361" s="124">
        <f ca="1">IF($D361&lt;&gt;"Serviço",0,IF(ACOMPANHAMENTO="BM",ROUND(OFFSET(ORÇAMENTO!AJ$15,ROW(H361)-ROW(H$15),0),15-13*ORÇAMENTO!$AF$7),SUMPRODUCT(($Q$12:$AA$12&lt;&gt;"")*ROUND($Q361:$AA361,15-13*ORÇAMENTO!$AF$7))))</f>
        <v>15</v>
      </c>
      <c r="I361" s="561" t="s">
        <v>890</v>
      </c>
      <c r="K361" s="174"/>
      <c r="L361" s="175" t="s">
        <v>255</v>
      </c>
      <c r="M361" s="176">
        <f ca="1">IF($D361&lt;&gt;"Serviço","",IF(AUTOEVENTO="manual",$A361,IF(ISERROR(MATCH($A361,$A$15:OFFSET($A361,-1,0),0)),MAX($M$15:OFFSET(M361,-1,0))+1,INDEX($M$15:OFFSET(M361,-1,0),MATCH($A361,$A$15:OFFSET($A361,-1,0),0)))))</f>
        <v>15</v>
      </c>
      <c r="N361" s="177" t="str">
        <f ca="1">IF($D361&lt;&gt;"Serviço","",IF(AUTOEVENTO="Manual",IF($A361=0,"&lt;-- defina o número do agrupador",OFFSET(EVENTOS!$D$14,$A361,0)),OFFSET($F$15,$A361,0)))</f>
        <v>INSTALAÇÕES DE ESGOTO SANITÁRIO</v>
      </c>
      <c r="O361" s="178"/>
      <c r="Q361" s="178"/>
      <c r="R361" s="179"/>
      <c r="S361" s="179"/>
      <c r="T361" s="179"/>
      <c r="U361" s="179"/>
      <c r="V361" s="179"/>
      <c r="W361" s="179"/>
      <c r="X361" s="179"/>
      <c r="Y361" s="179"/>
      <c r="Z361" s="180"/>
      <c r="AB361" s="544">
        <f ca="1">IF(AND($D361="Serviço",AB$12&lt;&gt;0,$H361&gt;0,OR(AUTOEVENTO&lt;&gt;"manual",$M361&lt;&gt;1)),
IF(Import.TipoArredondamento&lt;&gt;"TransfereGOV",
ROUND(OFFSET($P361,0,AB$13),15-13*ORÇAMENTO!$AF$7)/$H361*OFFSET(ORÇAMENTO!$X$15,ROW(AB361)-ROW(AB$15),0),
ROUND(ROUND(OFFSET($P361,0,AB$13),15-13*ORÇAMENTO!$AF$7)*OFFSET(ORÇAMENTO!$W$15,ROW(AB361)-ROW(AB$15),0),15-13*ORÇAMENTO!$AF$11)),0)</f>
        <v>0</v>
      </c>
      <c r="AC361" s="545">
        <f ca="1">IF(AND($D361="Serviço",AC$12&lt;&gt;0,$H361&gt;0,OR(AUTOEVENTO&lt;&gt;"manual",$M361&lt;&gt;1)),
IF(Import.TipoArredondamento&lt;&gt;"TransfereGOV",
ROUND(OFFSET($P361,0,AC$13),15-13*ORÇAMENTO!$AF$7)/$H361*OFFSET(ORÇAMENTO!$X$15,ROW(AC361)-ROW(AC$15),0),
ROUND(ROUND(OFFSET($P361,0,AC$13),15-13*ORÇAMENTO!$AF$7)*OFFSET(ORÇAMENTO!$W$15,ROW(AC361)-ROW(AC$15),0),15-13*ORÇAMENTO!$AF$11)),0)</f>
        <v>0</v>
      </c>
      <c r="AD361" s="545">
        <f ca="1">IF(AND($D361="Serviço",AD$12&lt;&gt;0,$H361&gt;0,OR(AUTOEVENTO&lt;&gt;"manual",$M361&lt;&gt;1)),
IF(Import.TipoArredondamento&lt;&gt;"TransfereGOV",
ROUND(OFFSET($P361,0,AD$13),15-13*ORÇAMENTO!$AF$7)/$H361*OFFSET(ORÇAMENTO!$X$15,ROW(AD361)-ROW(AD$15),0),
ROUND(ROUND(OFFSET($P361,0,AD$13),15-13*ORÇAMENTO!$AF$7)*OFFSET(ORÇAMENTO!$W$15,ROW(AD361)-ROW(AD$15),0),15-13*ORÇAMENTO!$AF$11)),0)</f>
        <v>0</v>
      </c>
      <c r="AE361" s="545">
        <f ca="1">IF(AND($D361="Serviço",AE$12&lt;&gt;0,$H361&gt;0,OR(AUTOEVENTO&lt;&gt;"manual",$M361&lt;&gt;1)),
IF(Import.TipoArredondamento&lt;&gt;"TransfereGOV",
ROUND(OFFSET($P361,0,AE$13),15-13*ORÇAMENTO!$AF$7)/$H361*OFFSET(ORÇAMENTO!$X$15,ROW(AE361)-ROW(AE$15),0),
ROUND(ROUND(OFFSET($P361,0,AE$13),15-13*ORÇAMENTO!$AF$7)*OFFSET(ORÇAMENTO!$W$15,ROW(AE361)-ROW(AE$15),0),15-13*ORÇAMENTO!$AF$11)),0)</f>
        <v>0</v>
      </c>
      <c r="AF361" s="545">
        <f ca="1">IF(AND($D361="Serviço",AF$12&lt;&gt;0,$H361&gt;0,OR(AUTOEVENTO&lt;&gt;"manual",$M361&lt;&gt;1)),
IF(Import.TipoArredondamento&lt;&gt;"TransfereGOV",
ROUND(OFFSET($P361,0,AF$13),15-13*ORÇAMENTO!$AF$7)/$H361*OFFSET(ORÇAMENTO!$X$15,ROW(AF361)-ROW(AF$15),0),
ROUND(ROUND(OFFSET($P361,0,AF$13),15-13*ORÇAMENTO!$AF$7)*OFFSET(ORÇAMENTO!$W$15,ROW(AF361)-ROW(AF$15),0),15-13*ORÇAMENTO!$AF$11)),0)</f>
        <v>0</v>
      </c>
      <c r="AG361" s="545">
        <f ca="1">IF(AND($D361="Serviço",AG$12&lt;&gt;0,$H361&gt;0,OR(AUTOEVENTO&lt;&gt;"manual",$M361&lt;&gt;1)),
IF(Import.TipoArredondamento&lt;&gt;"TransfereGOV",
ROUND(OFFSET($P361,0,AG$13),15-13*ORÇAMENTO!$AF$7)/$H361*OFFSET(ORÇAMENTO!$X$15,ROW(AG361)-ROW(AG$15),0),
ROUND(ROUND(OFFSET($P361,0,AG$13),15-13*ORÇAMENTO!$AF$7)*OFFSET(ORÇAMENTO!$W$15,ROW(AG361)-ROW(AG$15),0),15-13*ORÇAMENTO!$AF$11)),0)</f>
        <v>0</v>
      </c>
      <c r="AH361" s="545">
        <f ca="1">IF(AND($D361="Serviço",AH$12&lt;&gt;0,$H361&gt;0,OR(AUTOEVENTO&lt;&gt;"manual",$M361&lt;&gt;1)),
IF(Import.TipoArredondamento&lt;&gt;"TransfereGOV",
ROUND(OFFSET($P361,0,AH$13),15-13*ORÇAMENTO!$AF$7)/$H361*OFFSET(ORÇAMENTO!$X$15,ROW(AH361)-ROW(AH$15),0),
ROUND(ROUND(OFFSET($P361,0,AH$13),15-13*ORÇAMENTO!$AF$7)*OFFSET(ORÇAMENTO!$W$15,ROW(AH361)-ROW(AH$15),0),15-13*ORÇAMENTO!$AF$11)),0)</f>
        <v>0</v>
      </c>
      <c r="AI361" s="545">
        <f ca="1">IF(AND($D361="Serviço",AI$12&lt;&gt;0,$H361&gt;0,OR(AUTOEVENTO&lt;&gt;"manual",$M361&lt;&gt;1)),
IF(Import.TipoArredondamento&lt;&gt;"TransfereGOV",
ROUND(OFFSET($P361,0,AI$13),15-13*ORÇAMENTO!$AF$7)/$H361*OFFSET(ORÇAMENTO!$X$15,ROW(AI361)-ROW(AI$15),0),
ROUND(ROUND(OFFSET($P361,0,AI$13),15-13*ORÇAMENTO!$AF$7)*OFFSET(ORÇAMENTO!$W$15,ROW(AI361)-ROW(AI$15),0),15-13*ORÇAMENTO!$AF$11)),0)</f>
        <v>0</v>
      </c>
      <c r="AJ361" s="545">
        <f ca="1">IF(AND($D361="Serviço",AJ$12&lt;&gt;0,$H361&gt;0,OR(AUTOEVENTO&lt;&gt;"manual",$M361&lt;&gt;1)),
IF(Import.TipoArredondamento&lt;&gt;"TransfereGOV",
ROUND(OFFSET($P361,0,AJ$13),15-13*ORÇAMENTO!$AF$7)/$H361*OFFSET(ORÇAMENTO!$X$15,ROW(AJ361)-ROW(AJ$15),0),
ROUND(ROUND(OFFSET($P361,0,AJ$13),15-13*ORÇAMENTO!$AF$7)*OFFSET(ORÇAMENTO!$W$15,ROW(AJ361)-ROW(AJ$15),0),15-13*ORÇAMENTO!$AF$11)),0)</f>
        <v>0</v>
      </c>
      <c r="AK361" s="546">
        <f ca="1">IF(AND($D361="Serviço",AK$12&lt;&gt;0,$H361&gt;0,OR(AUTOEVENTO&lt;&gt;"manual",$M361&lt;&gt;1)),
IF(Import.TipoArredondamento&lt;&gt;"TransfereGOV",
ROUND(OFFSET($P361,0,AK$13),15-13*ORÇAMENTO!$AF$7)/$H361*OFFSET(ORÇAMENTO!$X$15,ROW(AK361)-ROW(AK$15),0),
ROUND(ROUND(OFFSET($P361,0,AK$13),15-13*ORÇAMENTO!$AF$7)*OFFSET(ORÇAMENTO!$W$15,ROW(AK361)-ROW(AK$15),0),15-13*ORÇAMENTO!$AF$11)),0)</f>
        <v>0</v>
      </c>
      <c r="AM361" s="181">
        <f ca="1">IF($D361&lt;&gt;"Serviço",0,IF(AND(AUTOEVENTO="Manual",$M361=1),0,IF(OFFSET(CRONOPLE!$F$14,$M361,AM$13)="",10^12,OFFSET(CRONOPLE!$F$14,$M361,AM$13))))</f>
        <v>1000000000000</v>
      </c>
      <c r="AN361" s="181">
        <f ca="1">IF($D361&lt;&gt;"Serviço",0,IF(AND(AUTOEVENTO="Manual",$M361=1),0,IF(OFFSET(CRONOPLE!$F$14,$M361,AN$13)="",10^12,OFFSET(CRONOPLE!$F$14,$M361,AN$13))))</f>
        <v>1000000000000</v>
      </c>
      <c r="AO361" s="181">
        <f ca="1">IF($D361&lt;&gt;"Serviço",0,IF(AND(AUTOEVENTO="Manual",$M361=1),0,IF(OFFSET(CRONOPLE!$F$14,$M361,AO$13)="",10^12,OFFSET(CRONOPLE!$F$14,$M361,AO$13))))</f>
        <v>1000000000000</v>
      </c>
      <c r="AP361" s="181">
        <f ca="1">IF($D361&lt;&gt;"Serviço",0,IF(AND(AUTOEVENTO="Manual",$M361=1),0,IF(OFFSET(CRONOPLE!$F$14,$M361,AP$13)="",10^12,OFFSET(CRONOPLE!$F$14,$M361,AP$13))))</f>
        <v>1000000000000</v>
      </c>
      <c r="AQ361" s="181">
        <f ca="1">IF($D361&lt;&gt;"Serviço",0,IF(AND(AUTOEVENTO="Manual",$M361=1),0,IF(OFFSET(CRONOPLE!$F$14,$M361,AQ$13)="",10^12,OFFSET(CRONOPLE!$F$14,$M361,AQ$13))))</f>
        <v>1000000000000</v>
      </c>
      <c r="AR361" s="181">
        <f ca="1">IF($D361&lt;&gt;"Serviço",0,IF(AND(AUTOEVENTO="Manual",$M361=1),0,IF(OFFSET(CRONOPLE!$F$14,$M361,AR$13)="",10^12,OFFSET(CRONOPLE!$F$14,$M361,AR$13))))</f>
        <v>1000000000000</v>
      </c>
      <c r="AS361" s="181">
        <f ca="1">IF($D361&lt;&gt;"Serviço",0,IF(AND(AUTOEVENTO="Manual",$M361=1),0,IF(OFFSET(CRONOPLE!$F$14,$M361,AS$13)="",10^12,OFFSET(CRONOPLE!$F$14,$M361,AS$13))))</f>
        <v>1000000000000</v>
      </c>
      <c r="AT361" s="181">
        <f ca="1">IF($D361&lt;&gt;"Serviço",0,IF(AND(AUTOEVENTO="Manual",$M361=1),0,IF(OFFSET(CRONOPLE!$F$14,$M361,AT$13)="",10^12,OFFSET(CRONOPLE!$F$14,$M361,AT$13))))</f>
        <v>1000000000000</v>
      </c>
      <c r="AU361" s="181">
        <f ca="1">IF($D361&lt;&gt;"Serviço",0,IF(AND(AUTOEVENTO="Manual",$M361=1),0,IF(OFFSET(CRONOPLE!$F$14,$M361,AU$13)="",10^12,OFFSET(CRONOPLE!$F$14,$M361,AU$13))))</f>
        <v>1000000000000</v>
      </c>
      <c r="AV361" s="181">
        <f ca="1">IF($D361&lt;&gt;"Serviço",0,IF(AND(AUTOEVENTO="Manual",$M361=1),0,IF(OFFSET(CRONOPLE!$F$14,$M361,AV$13)="",10^12,OFFSET(CRONOPLE!$F$14,$M361,AV$13))))</f>
        <v>1000000000000</v>
      </c>
      <c r="AX361" s="182">
        <f ca="1">IF($D361&lt;&gt;"Serviço",0,IF(OR(AND(AUTOEVENTO="Manual",$M361=1),$M361&gt;(ROW(PLE.lastrow)-ROW(PLE.firstrow))),0,IF(OFFSET(PLE!$G$14,$M361,AX$13)="",10^12,OFFSET(PLE!$G$14,$M361,AX$13))))</f>
        <v>1000000000000</v>
      </c>
      <c r="AY361" s="182">
        <f ca="1">IF($D361&lt;&gt;"Serviço",0,IF(OR(AND(AUTOEVENTO="Manual",$M361=1),$M361&gt;(ROW(PLE.lastrow)-ROW(PLE.firstrow))),0,IF(OFFSET(PLE!$G$14,$M361,AY$13)="",10^12,OFFSET(PLE!$G$14,$M361,AY$13))))</f>
        <v>1000000000000</v>
      </c>
      <c r="AZ361" s="182">
        <f ca="1">IF($D361&lt;&gt;"Serviço",0,IF(OR(AND(AUTOEVENTO="Manual",$M361=1),$M361&gt;(ROW(PLE.lastrow)-ROW(PLE.firstrow))),0,IF(OFFSET(PLE!$G$14,$M361,AZ$13)="",10^12,OFFSET(PLE!$G$14,$M361,AZ$13))))</f>
        <v>1000000000000</v>
      </c>
      <c r="BA361" s="182">
        <f ca="1">IF($D361&lt;&gt;"Serviço",0,IF(OR(AND(AUTOEVENTO="Manual",$M361=1),$M361&gt;(ROW(PLE.lastrow)-ROW(PLE.firstrow))),0,IF(OFFSET(PLE!$G$14,$M361,BA$13)="",10^12,OFFSET(PLE!$G$14,$M361,BA$13))))</f>
        <v>1000000000000</v>
      </c>
      <c r="BB361" s="182">
        <f ca="1">IF($D361&lt;&gt;"Serviço",0,IF(OR(AND(AUTOEVENTO="Manual",$M361=1),$M361&gt;(ROW(PLE.lastrow)-ROW(PLE.firstrow))),0,IF(OFFSET(PLE!$G$14,$M361,BB$13)="",10^12,OFFSET(PLE!$G$14,$M361,BB$13))))</f>
        <v>1000000000000</v>
      </c>
      <c r="BC361" s="182">
        <f ca="1">IF($D361&lt;&gt;"Serviço",0,IF(OR(AND(AUTOEVENTO="Manual",$M361=1),$M361&gt;(ROW(PLE.lastrow)-ROW(PLE.firstrow))),0,IF(OFFSET(PLE!$G$14,$M361,BC$13)="",10^12,OFFSET(PLE!$G$14,$M361,BC$13))))</f>
        <v>1000000000000</v>
      </c>
      <c r="BD361" s="182">
        <f ca="1">IF($D361&lt;&gt;"Serviço",0,IF(OR(AND(AUTOEVENTO="Manual",$M361=1),$M361&gt;(ROW(PLE.lastrow)-ROW(PLE.firstrow))),0,IF(OFFSET(PLE!$G$14,$M361,BD$13)="",10^12,OFFSET(PLE!$G$14,$M361,BD$13))))</f>
        <v>1000000000000</v>
      </c>
      <c r="BE361" s="182">
        <f ca="1">IF($D361&lt;&gt;"Serviço",0,IF(OR(AND(AUTOEVENTO="Manual",$M361=1),$M361&gt;(ROW(PLE.lastrow)-ROW(PLE.firstrow))),0,IF(OFFSET(PLE!$G$14,$M361,BE$13)="",10^12,OFFSET(PLE!$G$14,$M361,BE$13))))</f>
        <v>1000000000000</v>
      </c>
      <c r="BF361" s="182">
        <f ca="1">IF($D361&lt;&gt;"Serviço",0,IF(OR(AND(AUTOEVENTO="Manual",$M361=1),$M361&gt;(ROW(PLE.lastrow)-ROW(PLE.firstrow))),0,IF(OFFSET(PLE!$G$14,$M361,BF$13)="",10^12,OFFSET(PLE!$G$14,$M361,BF$13))))</f>
        <v>1000000000000</v>
      </c>
      <c r="BG361" s="182">
        <f ca="1">IF($D361&lt;&gt;"Serviço",0,IF(OR(AND(AUTOEVENTO="Manual",$M361=1),$M361&gt;(ROW(PLE.lastrow)-ROW(PLE.firstrow))),0,IF(OFFSET(PLE!$G$14,$M361,BG$13)="",10^12,OFFSET(PLE!$G$14,$M361,BG$13))))</f>
        <v>1000000000000</v>
      </c>
    </row>
    <row r="362" spans="1:59" ht="38.25" x14ac:dyDescent="0.2">
      <c r="A362" s="7" t="str">
        <f t="shared" ca="1" si="11"/>
        <v>325</v>
      </c>
      <c r="B362" s="7" t="str">
        <f ca="1">OFFSET(ORÇAMENTO!C$15,ROW(B362)-ROW(B$15),0)</f>
        <v>S</v>
      </c>
      <c r="C362" s="7" t="str">
        <f ca="1">OFFSET(ORÇAMENTO!L$15,ROW(C362)-ROW(C$15),0)</f>
        <v/>
      </c>
      <c r="D362" s="118" t="str">
        <f ca="1">OFFSET(ORÇAMENTO!N$15,ROW(D362)-ROW(D$15),0)</f>
        <v>Serviço</v>
      </c>
      <c r="E362" s="119" t="str">
        <f ca="1">OFFSET(ORÇAMENTO!O$15,ROW(E362)-ROW(E$15),0)</f>
        <v>-</v>
      </c>
      <c r="F362" s="172" t="str">
        <f ca="1">OFFSET(ORÇAMENTO!R$15,ROW(F362)-ROW(F$15),0)</f>
        <v>(abra o arquivo 'Referência 02-2025.xlsm)</v>
      </c>
      <c r="G362" s="173" t="str">
        <f ca="1">IF($D362&lt;&gt;"Serviço","",OFFSET(ORÇAMENTO!S$15,ROW(G362)-ROW(G$15),0))</f>
        <v>-</v>
      </c>
      <c r="H362" s="124">
        <f ca="1">IF($D362&lt;&gt;"Serviço",0,IF(ACOMPANHAMENTO="BM",ROUND(OFFSET(ORÇAMENTO!AJ$15,ROW(H362)-ROW(H$15),0),15-13*ORÇAMENTO!$AF$7),SUMPRODUCT(($Q$12:$AA$12&lt;&gt;"")*ROUND($Q362:$AA362,15-13*ORÇAMENTO!$AF$7))))</f>
        <v>13</v>
      </c>
      <c r="I362" s="561" t="s">
        <v>890</v>
      </c>
      <c r="K362" s="174"/>
      <c r="L362" s="175" t="s">
        <v>255</v>
      </c>
      <c r="M362" s="176">
        <f ca="1">IF($D362&lt;&gt;"Serviço","",IF(AUTOEVENTO="manual",$A362,IF(ISERROR(MATCH($A362,$A$15:OFFSET($A362,-1,0),0)),MAX($M$15:OFFSET(M362,-1,0))+1,INDEX($M$15:OFFSET(M362,-1,0),MATCH($A362,$A$15:OFFSET($A362,-1,0),0)))))</f>
        <v>15</v>
      </c>
      <c r="N362" s="177" t="str">
        <f ca="1">IF($D362&lt;&gt;"Serviço","",IF(AUTOEVENTO="Manual",IF($A362=0,"&lt;-- defina o número do agrupador",OFFSET(EVENTOS!$D$14,$A362,0)),OFFSET($F$15,$A362,0)))</f>
        <v>INSTALAÇÕES DE ESGOTO SANITÁRIO</v>
      </c>
      <c r="O362" s="178"/>
      <c r="Q362" s="178"/>
      <c r="R362" s="179"/>
      <c r="S362" s="179"/>
      <c r="T362" s="179"/>
      <c r="U362" s="179"/>
      <c r="V362" s="179"/>
      <c r="W362" s="179"/>
      <c r="X362" s="179"/>
      <c r="Y362" s="179"/>
      <c r="Z362" s="180"/>
      <c r="AB362" s="544">
        <f ca="1">IF(AND($D362="Serviço",AB$12&lt;&gt;0,$H362&gt;0,OR(AUTOEVENTO&lt;&gt;"manual",$M362&lt;&gt;1)),
IF(Import.TipoArredondamento&lt;&gt;"TransfereGOV",
ROUND(OFFSET($P362,0,AB$13),15-13*ORÇAMENTO!$AF$7)/$H362*OFFSET(ORÇAMENTO!$X$15,ROW(AB362)-ROW(AB$15),0),
ROUND(ROUND(OFFSET($P362,0,AB$13),15-13*ORÇAMENTO!$AF$7)*OFFSET(ORÇAMENTO!$W$15,ROW(AB362)-ROW(AB$15),0),15-13*ORÇAMENTO!$AF$11)),0)</f>
        <v>0</v>
      </c>
      <c r="AC362" s="545">
        <f ca="1">IF(AND($D362="Serviço",AC$12&lt;&gt;0,$H362&gt;0,OR(AUTOEVENTO&lt;&gt;"manual",$M362&lt;&gt;1)),
IF(Import.TipoArredondamento&lt;&gt;"TransfereGOV",
ROUND(OFFSET($P362,0,AC$13),15-13*ORÇAMENTO!$AF$7)/$H362*OFFSET(ORÇAMENTO!$X$15,ROW(AC362)-ROW(AC$15),0),
ROUND(ROUND(OFFSET($P362,0,AC$13),15-13*ORÇAMENTO!$AF$7)*OFFSET(ORÇAMENTO!$W$15,ROW(AC362)-ROW(AC$15),0),15-13*ORÇAMENTO!$AF$11)),0)</f>
        <v>0</v>
      </c>
      <c r="AD362" s="545">
        <f ca="1">IF(AND($D362="Serviço",AD$12&lt;&gt;0,$H362&gt;0,OR(AUTOEVENTO&lt;&gt;"manual",$M362&lt;&gt;1)),
IF(Import.TipoArredondamento&lt;&gt;"TransfereGOV",
ROUND(OFFSET($P362,0,AD$13),15-13*ORÇAMENTO!$AF$7)/$H362*OFFSET(ORÇAMENTO!$X$15,ROW(AD362)-ROW(AD$15),0),
ROUND(ROUND(OFFSET($P362,0,AD$13),15-13*ORÇAMENTO!$AF$7)*OFFSET(ORÇAMENTO!$W$15,ROW(AD362)-ROW(AD$15),0),15-13*ORÇAMENTO!$AF$11)),0)</f>
        <v>0</v>
      </c>
      <c r="AE362" s="545">
        <f ca="1">IF(AND($D362="Serviço",AE$12&lt;&gt;0,$H362&gt;0,OR(AUTOEVENTO&lt;&gt;"manual",$M362&lt;&gt;1)),
IF(Import.TipoArredondamento&lt;&gt;"TransfereGOV",
ROUND(OFFSET($P362,0,AE$13),15-13*ORÇAMENTO!$AF$7)/$H362*OFFSET(ORÇAMENTO!$X$15,ROW(AE362)-ROW(AE$15),0),
ROUND(ROUND(OFFSET($P362,0,AE$13),15-13*ORÇAMENTO!$AF$7)*OFFSET(ORÇAMENTO!$W$15,ROW(AE362)-ROW(AE$15),0),15-13*ORÇAMENTO!$AF$11)),0)</f>
        <v>0</v>
      </c>
      <c r="AF362" s="545">
        <f ca="1">IF(AND($D362="Serviço",AF$12&lt;&gt;0,$H362&gt;0,OR(AUTOEVENTO&lt;&gt;"manual",$M362&lt;&gt;1)),
IF(Import.TipoArredondamento&lt;&gt;"TransfereGOV",
ROUND(OFFSET($P362,0,AF$13),15-13*ORÇAMENTO!$AF$7)/$H362*OFFSET(ORÇAMENTO!$X$15,ROW(AF362)-ROW(AF$15),0),
ROUND(ROUND(OFFSET($P362,0,AF$13),15-13*ORÇAMENTO!$AF$7)*OFFSET(ORÇAMENTO!$W$15,ROW(AF362)-ROW(AF$15),0),15-13*ORÇAMENTO!$AF$11)),0)</f>
        <v>0</v>
      </c>
      <c r="AG362" s="545">
        <f ca="1">IF(AND($D362="Serviço",AG$12&lt;&gt;0,$H362&gt;0,OR(AUTOEVENTO&lt;&gt;"manual",$M362&lt;&gt;1)),
IF(Import.TipoArredondamento&lt;&gt;"TransfereGOV",
ROUND(OFFSET($P362,0,AG$13),15-13*ORÇAMENTO!$AF$7)/$H362*OFFSET(ORÇAMENTO!$X$15,ROW(AG362)-ROW(AG$15),0),
ROUND(ROUND(OFFSET($P362,0,AG$13),15-13*ORÇAMENTO!$AF$7)*OFFSET(ORÇAMENTO!$W$15,ROW(AG362)-ROW(AG$15),0),15-13*ORÇAMENTO!$AF$11)),0)</f>
        <v>0</v>
      </c>
      <c r="AH362" s="545">
        <f ca="1">IF(AND($D362="Serviço",AH$12&lt;&gt;0,$H362&gt;0,OR(AUTOEVENTO&lt;&gt;"manual",$M362&lt;&gt;1)),
IF(Import.TipoArredondamento&lt;&gt;"TransfereGOV",
ROUND(OFFSET($P362,0,AH$13),15-13*ORÇAMENTO!$AF$7)/$H362*OFFSET(ORÇAMENTO!$X$15,ROW(AH362)-ROW(AH$15),0),
ROUND(ROUND(OFFSET($P362,0,AH$13),15-13*ORÇAMENTO!$AF$7)*OFFSET(ORÇAMENTO!$W$15,ROW(AH362)-ROW(AH$15),0),15-13*ORÇAMENTO!$AF$11)),0)</f>
        <v>0</v>
      </c>
      <c r="AI362" s="545">
        <f ca="1">IF(AND($D362="Serviço",AI$12&lt;&gt;0,$H362&gt;0,OR(AUTOEVENTO&lt;&gt;"manual",$M362&lt;&gt;1)),
IF(Import.TipoArredondamento&lt;&gt;"TransfereGOV",
ROUND(OFFSET($P362,0,AI$13),15-13*ORÇAMENTO!$AF$7)/$H362*OFFSET(ORÇAMENTO!$X$15,ROW(AI362)-ROW(AI$15),0),
ROUND(ROUND(OFFSET($P362,0,AI$13),15-13*ORÇAMENTO!$AF$7)*OFFSET(ORÇAMENTO!$W$15,ROW(AI362)-ROW(AI$15),0),15-13*ORÇAMENTO!$AF$11)),0)</f>
        <v>0</v>
      </c>
      <c r="AJ362" s="545">
        <f ca="1">IF(AND($D362="Serviço",AJ$12&lt;&gt;0,$H362&gt;0,OR(AUTOEVENTO&lt;&gt;"manual",$M362&lt;&gt;1)),
IF(Import.TipoArredondamento&lt;&gt;"TransfereGOV",
ROUND(OFFSET($P362,0,AJ$13),15-13*ORÇAMENTO!$AF$7)/$H362*OFFSET(ORÇAMENTO!$X$15,ROW(AJ362)-ROW(AJ$15),0),
ROUND(ROUND(OFFSET($P362,0,AJ$13),15-13*ORÇAMENTO!$AF$7)*OFFSET(ORÇAMENTO!$W$15,ROW(AJ362)-ROW(AJ$15),0),15-13*ORÇAMENTO!$AF$11)),0)</f>
        <v>0</v>
      </c>
      <c r="AK362" s="546">
        <f ca="1">IF(AND($D362="Serviço",AK$12&lt;&gt;0,$H362&gt;0,OR(AUTOEVENTO&lt;&gt;"manual",$M362&lt;&gt;1)),
IF(Import.TipoArredondamento&lt;&gt;"TransfereGOV",
ROUND(OFFSET($P362,0,AK$13),15-13*ORÇAMENTO!$AF$7)/$H362*OFFSET(ORÇAMENTO!$X$15,ROW(AK362)-ROW(AK$15),0),
ROUND(ROUND(OFFSET($P362,0,AK$13),15-13*ORÇAMENTO!$AF$7)*OFFSET(ORÇAMENTO!$W$15,ROW(AK362)-ROW(AK$15),0),15-13*ORÇAMENTO!$AF$11)),0)</f>
        <v>0</v>
      </c>
      <c r="AM362" s="181">
        <f ca="1">IF($D362&lt;&gt;"Serviço",0,IF(AND(AUTOEVENTO="Manual",$M362=1),0,IF(OFFSET(CRONOPLE!$F$14,$M362,AM$13)="",10^12,OFFSET(CRONOPLE!$F$14,$M362,AM$13))))</f>
        <v>1000000000000</v>
      </c>
      <c r="AN362" s="181">
        <f ca="1">IF($D362&lt;&gt;"Serviço",0,IF(AND(AUTOEVENTO="Manual",$M362=1),0,IF(OFFSET(CRONOPLE!$F$14,$M362,AN$13)="",10^12,OFFSET(CRONOPLE!$F$14,$M362,AN$13))))</f>
        <v>1000000000000</v>
      </c>
      <c r="AO362" s="181">
        <f ca="1">IF($D362&lt;&gt;"Serviço",0,IF(AND(AUTOEVENTO="Manual",$M362=1),0,IF(OFFSET(CRONOPLE!$F$14,$M362,AO$13)="",10^12,OFFSET(CRONOPLE!$F$14,$M362,AO$13))))</f>
        <v>1000000000000</v>
      </c>
      <c r="AP362" s="181">
        <f ca="1">IF($D362&lt;&gt;"Serviço",0,IF(AND(AUTOEVENTO="Manual",$M362=1),0,IF(OFFSET(CRONOPLE!$F$14,$M362,AP$13)="",10^12,OFFSET(CRONOPLE!$F$14,$M362,AP$13))))</f>
        <v>1000000000000</v>
      </c>
      <c r="AQ362" s="181">
        <f ca="1">IF($D362&lt;&gt;"Serviço",0,IF(AND(AUTOEVENTO="Manual",$M362=1),0,IF(OFFSET(CRONOPLE!$F$14,$M362,AQ$13)="",10^12,OFFSET(CRONOPLE!$F$14,$M362,AQ$13))))</f>
        <v>1000000000000</v>
      </c>
      <c r="AR362" s="181">
        <f ca="1">IF($D362&lt;&gt;"Serviço",0,IF(AND(AUTOEVENTO="Manual",$M362=1),0,IF(OFFSET(CRONOPLE!$F$14,$M362,AR$13)="",10^12,OFFSET(CRONOPLE!$F$14,$M362,AR$13))))</f>
        <v>1000000000000</v>
      </c>
      <c r="AS362" s="181">
        <f ca="1">IF($D362&lt;&gt;"Serviço",0,IF(AND(AUTOEVENTO="Manual",$M362=1),0,IF(OFFSET(CRONOPLE!$F$14,$M362,AS$13)="",10^12,OFFSET(CRONOPLE!$F$14,$M362,AS$13))))</f>
        <v>1000000000000</v>
      </c>
      <c r="AT362" s="181">
        <f ca="1">IF($D362&lt;&gt;"Serviço",0,IF(AND(AUTOEVENTO="Manual",$M362=1),0,IF(OFFSET(CRONOPLE!$F$14,$M362,AT$13)="",10^12,OFFSET(CRONOPLE!$F$14,$M362,AT$13))))</f>
        <v>1000000000000</v>
      </c>
      <c r="AU362" s="181">
        <f ca="1">IF($D362&lt;&gt;"Serviço",0,IF(AND(AUTOEVENTO="Manual",$M362=1),0,IF(OFFSET(CRONOPLE!$F$14,$M362,AU$13)="",10^12,OFFSET(CRONOPLE!$F$14,$M362,AU$13))))</f>
        <v>1000000000000</v>
      </c>
      <c r="AV362" s="181">
        <f ca="1">IF($D362&lt;&gt;"Serviço",0,IF(AND(AUTOEVENTO="Manual",$M362=1),0,IF(OFFSET(CRONOPLE!$F$14,$M362,AV$13)="",10^12,OFFSET(CRONOPLE!$F$14,$M362,AV$13))))</f>
        <v>1000000000000</v>
      </c>
      <c r="AX362" s="182">
        <f ca="1">IF($D362&lt;&gt;"Serviço",0,IF(OR(AND(AUTOEVENTO="Manual",$M362=1),$M362&gt;(ROW(PLE.lastrow)-ROW(PLE.firstrow))),0,IF(OFFSET(PLE!$G$14,$M362,AX$13)="",10^12,OFFSET(PLE!$G$14,$M362,AX$13))))</f>
        <v>1000000000000</v>
      </c>
      <c r="AY362" s="182">
        <f ca="1">IF($D362&lt;&gt;"Serviço",0,IF(OR(AND(AUTOEVENTO="Manual",$M362=1),$M362&gt;(ROW(PLE.lastrow)-ROW(PLE.firstrow))),0,IF(OFFSET(PLE!$G$14,$M362,AY$13)="",10^12,OFFSET(PLE!$G$14,$M362,AY$13))))</f>
        <v>1000000000000</v>
      </c>
      <c r="AZ362" s="182">
        <f ca="1">IF($D362&lt;&gt;"Serviço",0,IF(OR(AND(AUTOEVENTO="Manual",$M362=1),$M362&gt;(ROW(PLE.lastrow)-ROW(PLE.firstrow))),0,IF(OFFSET(PLE!$G$14,$M362,AZ$13)="",10^12,OFFSET(PLE!$G$14,$M362,AZ$13))))</f>
        <v>1000000000000</v>
      </c>
      <c r="BA362" s="182">
        <f ca="1">IF($D362&lt;&gt;"Serviço",0,IF(OR(AND(AUTOEVENTO="Manual",$M362=1),$M362&gt;(ROW(PLE.lastrow)-ROW(PLE.firstrow))),0,IF(OFFSET(PLE!$G$14,$M362,BA$13)="",10^12,OFFSET(PLE!$G$14,$M362,BA$13))))</f>
        <v>1000000000000</v>
      </c>
      <c r="BB362" s="182">
        <f ca="1">IF($D362&lt;&gt;"Serviço",0,IF(OR(AND(AUTOEVENTO="Manual",$M362=1),$M362&gt;(ROW(PLE.lastrow)-ROW(PLE.firstrow))),0,IF(OFFSET(PLE!$G$14,$M362,BB$13)="",10^12,OFFSET(PLE!$G$14,$M362,BB$13))))</f>
        <v>1000000000000</v>
      </c>
      <c r="BC362" s="182">
        <f ca="1">IF($D362&lt;&gt;"Serviço",0,IF(OR(AND(AUTOEVENTO="Manual",$M362=1),$M362&gt;(ROW(PLE.lastrow)-ROW(PLE.firstrow))),0,IF(OFFSET(PLE!$G$14,$M362,BC$13)="",10^12,OFFSET(PLE!$G$14,$M362,BC$13))))</f>
        <v>1000000000000</v>
      </c>
      <c r="BD362" s="182">
        <f ca="1">IF($D362&lt;&gt;"Serviço",0,IF(OR(AND(AUTOEVENTO="Manual",$M362=1),$M362&gt;(ROW(PLE.lastrow)-ROW(PLE.firstrow))),0,IF(OFFSET(PLE!$G$14,$M362,BD$13)="",10^12,OFFSET(PLE!$G$14,$M362,BD$13))))</f>
        <v>1000000000000</v>
      </c>
      <c r="BE362" s="182">
        <f ca="1">IF($D362&lt;&gt;"Serviço",0,IF(OR(AND(AUTOEVENTO="Manual",$M362=1),$M362&gt;(ROW(PLE.lastrow)-ROW(PLE.firstrow))),0,IF(OFFSET(PLE!$G$14,$M362,BE$13)="",10^12,OFFSET(PLE!$G$14,$M362,BE$13))))</f>
        <v>1000000000000</v>
      </c>
      <c r="BF362" s="182">
        <f ca="1">IF($D362&lt;&gt;"Serviço",0,IF(OR(AND(AUTOEVENTO="Manual",$M362=1),$M362&gt;(ROW(PLE.lastrow)-ROW(PLE.firstrow))),0,IF(OFFSET(PLE!$G$14,$M362,BF$13)="",10^12,OFFSET(PLE!$G$14,$M362,BF$13))))</f>
        <v>1000000000000</v>
      </c>
      <c r="BG362" s="182">
        <f ca="1">IF($D362&lt;&gt;"Serviço",0,IF(OR(AND(AUTOEVENTO="Manual",$M362=1),$M362&gt;(ROW(PLE.lastrow)-ROW(PLE.firstrow))),0,IF(OFFSET(PLE!$G$14,$M362,BG$13)="",10^12,OFFSET(PLE!$G$14,$M362,BG$13))))</f>
        <v>1000000000000</v>
      </c>
    </row>
    <row r="363" spans="1:59" ht="38.25" x14ac:dyDescent="0.2">
      <c r="A363" s="7" t="str">
        <f t="shared" ca="1" si="11"/>
        <v>325</v>
      </c>
      <c r="B363" s="7" t="str">
        <f ca="1">OFFSET(ORÇAMENTO!C$15,ROW(B363)-ROW(B$15),0)</f>
        <v>S</v>
      </c>
      <c r="C363" s="7" t="str">
        <f ca="1">OFFSET(ORÇAMENTO!L$15,ROW(C363)-ROW(C$15),0)</f>
        <v/>
      </c>
      <c r="D363" s="118" t="str">
        <f ca="1">OFFSET(ORÇAMENTO!N$15,ROW(D363)-ROW(D$15),0)</f>
        <v>Serviço</v>
      </c>
      <c r="E363" s="119" t="str">
        <f ca="1">OFFSET(ORÇAMENTO!O$15,ROW(E363)-ROW(E$15),0)</f>
        <v>-</v>
      </c>
      <c r="F363" s="172" t="str">
        <f ca="1">OFFSET(ORÇAMENTO!R$15,ROW(F363)-ROW(F$15),0)</f>
        <v>(abra o arquivo 'Referência 02-2025.xlsm)</v>
      </c>
      <c r="G363" s="173" t="str">
        <f ca="1">IF($D363&lt;&gt;"Serviço","",OFFSET(ORÇAMENTO!S$15,ROW(G363)-ROW(G$15),0))</f>
        <v>-</v>
      </c>
      <c r="H363" s="124">
        <f ca="1">IF($D363&lt;&gt;"Serviço",0,IF(ACOMPANHAMENTO="BM",ROUND(OFFSET(ORÇAMENTO!AJ$15,ROW(H363)-ROW(H$15),0),15-13*ORÇAMENTO!$AF$7),SUMPRODUCT(($Q$12:$AA$12&lt;&gt;"")*ROUND($Q363:$AA363,15-13*ORÇAMENTO!$AF$7))))</f>
        <v>21</v>
      </c>
      <c r="I363" s="561" t="s">
        <v>890</v>
      </c>
      <c r="K363" s="174"/>
      <c r="L363" s="175" t="s">
        <v>255</v>
      </c>
      <c r="M363" s="176">
        <f ca="1">IF($D363&lt;&gt;"Serviço","",IF(AUTOEVENTO="manual",$A363,IF(ISERROR(MATCH($A363,$A$15:OFFSET($A363,-1,0),0)),MAX($M$15:OFFSET(M363,-1,0))+1,INDEX($M$15:OFFSET(M363,-1,0),MATCH($A363,$A$15:OFFSET($A363,-1,0),0)))))</f>
        <v>15</v>
      </c>
      <c r="N363" s="177" t="str">
        <f ca="1">IF($D363&lt;&gt;"Serviço","",IF(AUTOEVENTO="Manual",IF($A363=0,"&lt;-- defina o número do agrupador",OFFSET(EVENTOS!$D$14,$A363,0)),OFFSET($F$15,$A363,0)))</f>
        <v>INSTALAÇÕES DE ESGOTO SANITÁRIO</v>
      </c>
      <c r="O363" s="178"/>
      <c r="Q363" s="178"/>
      <c r="R363" s="179"/>
      <c r="S363" s="179"/>
      <c r="T363" s="179"/>
      <c r="U363" s="179"/>
      <c r="V363" s="179"/>
      <c r="W363" s="179"/>
      <c r="X363" s="179"/>
      <c r="Y363" s="179"/>
      <c r="Z363" s="180"/>
      <c r="AB363" s="544">
        <f ca="1">IF(AND($D363="Serviço",AB$12&lt;&gt;0,$H363&gt;0,OR(AUTOEVENTO&lt;&gt;"manual",$M363&lt;&gt;1)),
IF(Import.TipoArredondamento&lt;&gt;"TransfereGOV",
ROUND(OFFSET($P363,0,AB$13),15-13*ORÇAMENTO!$AF$7)/$H363*OFFSET(ORÇAMENTO!$X$15,ROW(AB363)-ROW(AB$15),0),
ROUND(ROUND(OFFSET($P363,0,AB$13),15-13*ORÇAMENTO!$AF$7)*OFFSET(ORÇAMENTO!$W$15,ROW(AB363)-ROW(AB$15),0),15-13*ORÇAMENTO!$AF$11)),0)</f>
        <v>0</v>
      </c>
      <c r="AC363" s="545">
        <f ca="1">IF(AND($D363="Serviço",AC$12&lt;&gt;0,$H363&gt;0,OR(AUTOEVENTO&lt;&gt;"manual",$M363&lt;&gt;1)),
IF(Import.TipoArredondamento&lt;&gt;"TransfereGOV",
ROUND(OFFSET($P363,0,AC$13),15-13*ORÇAMENTO!$AF$7)/$H363*OFFSET(ORÇAMENTO!$X$15,ROW(AC363)-ROW(AC$15),0),
ROUND(ROUND(OFFSET($P363,0,AC$13),15-13*ORÇAMENTO!$AF$7)*OFFSET(ORÇAMENTO!$W$15,ROW(AC363)-ROW(AC$15),0),15-13*ORÇAMENTO!$AF$11)),0)</f>
        <v>0</v>
      </c>
      <c r="AD363" s="545">
        <f ca="1">IF(AND($D363="Serviço",AD$12&lt;&gt;0,$H363&gt;0,OR(AUTOEVENTO&lt;&gt;"manual",$M363&lt;&gt;1)),
IF(Import.TipoArredondamento&lt;&gt;"TransfereGOV",
ROUND(OFFSET($P363,0,AD$13),15-13*ORÇAMENTO!$AF$7)/$H363*OFFSET(ORÇAMENTO!$X$15,ROW(AD363)-ROW(AD$15),0),
ROUND(ROUND(OFFSET($P363,0,AD$13),15-13*ORÇAMENTO!$AF$7)*OFFSET(ORÇAMENTO!$W$15,ROW(AD363)-ROW(AD$15),0),15-13*ORÇAMENTO!$AF$11)),0)</f>
        <v>0</v>
      </c>
      <c r="AE363" s="545">
        <f ca="1">IF(AND($D363="Serviço",AE$12&lt;&gt;0,$H363&gt;0,OR(AUTOEVENTO&lt;&gt;"manual",$M363&lt;&gt;1)),
IF(Import.TipoArredondamento&lt;&gt;"TransfereGOV",
ROUND(OFFSET($P363,0,AE$13),15-13*ORÇAMENTO!$AF$7)/$H363*OFFSET(ORÇAMENTO!$X$15,ROW(AE363)-ROW(AE$15),0),
ROUND(ROUND(OFFSET($P363,0,AE$13),15-13*ORÇAMENTO!$AF$7)*OFFSET(ORÇAMENTO!$W$15,ROW(AE363)-ROW(AE$15),0),15-13*ORÇAMENTO!$AF$11)),0)</f>
        <v>0</v>
      </c>
      <c r="AF363" s="545">
        <f ca="1">IF(AND($D363="Serviço",AF$12&lt;&gt;0,$H363&gt;0,OR(AUTOEVENTO&lt;&gt;"manual",$M363&lt;&gt;1)),
IF(Import.TipoArredondamento&lt;&gt;"TransfereGOV",
ROUND(OFFSET($P363,0,AF$13),15-13*ORÇAMENTO!$AF$7)/$H363*OFFSET(ORÇAMENTO!$X$15,ROW(AF363)-ROW(AF$15),0),
ROUND(ROUND(OFFSET($P363,0,AF$13),15-13*ORÇAMENTO!$AF$7)*OFFSET(ORÇAMENTO!$W$15,ROW(AF363)-ROW(AF$15),0),15-13*ORÇAMENTO!$AF$11)),0)</f>
        <v>0</v>
      </c>
      <c r="AG363" s="545">
        <f ca="1">IF(AND($D363="Serviço",AG$12&lt;&gt;0,$H363&gt;0,OR(AUTOEVENTO&lt;&gt;"manual",$M363&lt;&gt;1)),
IF(Import.TipoArredondamento&lt;&gt;"TransfereGOV",
ROUND(OFFSET($P363,0,AG$13),15-13*ORÇAMENTO!$AF$7)/$H363*OFFSET(ORÇAMENTO!$X$15,ROW(AG363)-ROW(AG$15),0),
ROUND(ROUND(OFFSET($P363,0,AG$13),15-13*ORÇAMENTO!$AF$7)*OFFSET(ORÇAMENTO!$W$15,ROW(AG363)-ROW(AG$15),0),15-13*ORÇAMENTO!$AF$11)),0)</f>
        <v>0</v>
      </c>
      <c r="AH363" s="545">
        <f ca="1">IF(AND($D363="Serviço",AH$12&lt;&gt;0,$H363&gt;0,OR(AUTOEVENTO&lt;&gt;"manual",$M363&lt;&gt;1)),
IF(Import.TipoArredondamento&lt;&gt;"TransfereGOV",
ROUND(OFFSET($P363,0,AH$13),15-13*ORÇAMENTO!$AF$7)/$H363*OFFSET(ORÇAMENTO!$X$15,ROW(AH363)-ROW(AH$15),0),
ROUND(ROUND(OFFSET($P363,0,AH$13),15-13*ORÇAMENTO!$AF$7)*OFFSET(ORÇAMENTO!$W$15,ROW(AH363)-ROW(AH$15),0),15-13*ORÇAMENTO!$AF$11)),0)</f>
        <v>0</v>
      </c>
      <c r="AI363" s="545">
        <f ca="1">IF(AND($D363="Serviço",AI$12&lt;&gt;0,$H363&gt;0,OR(AUTOEVENTO&lt;&gt;"manual",$M363&lt;&gt;1)),
IF(Import.TipoArredondamento&lt;&gt;"TransfereGOV",
ROUND(OFFSET($P363,0,AI$13),15-13*ORÇAMENTO!$AF$7)/$H363*OFFSET(ORÇAMENTO!$X$15,ROW(AI363)-ROW(AI$15),0),
ROUND(ROUND(OFFSET($P363,0,AI$13),15-13*ORÇAMENTO!$AF$7)*OFFSET(ORÇAMENTO!$W$15,ROW(AI363)-ROW(AI$15),0),15-13*ORÇAMENTO!$AF$11)),0)</f>
        <v>0</v>
      </c>
      <c r="AJ363" s="545">
        <f ca="1">IF(AND($D363="Serviço",AJ$12&lt;&gt;0,$H363&gt;0,OR(AUTOEVENTO&lt;&gt;"manual",$M363&lt;&gt;1)),
IF(Import.TipoArredondamento&lt;&gt;"TransfereGOV",
ROUND(OFFSET($P363,0,AJ$13),15-13*ORÇAMENTO!$AF$7)/$H363*OFFSET(ORÇAMENTO!$X$15,ROW(AJ363)-ROW(AJ$15),0),
ROUND(ROUND(OFFSET($P363,0,AJ$13),15-13*ORÇAMENTO!$AF$7)*OFFSET(ORÇAMENTO!$W$15,ROW(AJ363)-ROW(AJ$15),0),15-13*ORÇAMENTO!$AF$11)),0)</f>
        <v>0</v>
      </c>
      <c r="AK363" s="546">
        <f ca="1">IF(AND($D363="Serviço",AK$12&lt;&gt;0,$H363&gt;0,OR(AUTOEVENTO&lt;&gt;"manual",$M363&lt;&gt;1)),
IF(Import.TipoArredondamento&lt;&gt;"TransfereGOV",
ROUND(OFFSET($P363,0,AK$13),15-13*ORÇAMENTO!$AF$7)/$H363*OFFSET(ORÇAMENTO!$X$15,ROW(AK363)-ROW(AK$15),0),
ROUND(ROUND(OFFSET($P363,0,AK$13),15-13*ORÇAMENTO!$AF$7)*OFFSET(ORÇAMENTO!$W$15,ROW(AK363)-ROW(AK$15),0),15-13*ORÇAMENTO!$AF$11)),0)</f>
        <v>0</v>
      </c>
      <c r="AM363" s="181">
        <f ca="1">IF($D363&lt;&gt;"Serviço",0,IF(AND(AUTOEVENTO="Manual",$M363=1),0,IF(OFFSET(CRONOPLE!$F$14,$M363,AM$13)="",10^12,OFFSET(CRONOPLE!$F$14,$M363,AM$13))))</f>
        <v>1000000000000</v>
      </c>
      <c r="AN363" s="181">
        <f ca="1">IF($D363&lt;&gt;"Serviço",0,IF(AND(AUTOEVENTO="Manual",$M363=1),0,IF(OFFSET(CRONOPLE!$F$14,$M363,AN$13)="",10^12,OFFSET(CRONOPLE!$F$14,$M363,AN$13))))</f>
        <v>1000000000000</v>
      </c>
      <c r="AO363" s="181">
        <f ca="1">IF($D363&lt;&gt;"Serviço",0,IF(AND(AUTOEVENTO="Manual",$M363=1),0,IF(OFFSET(CRONOPLE!$F$14,$M363,AO$13)="",10^12,OFFSET(CRONOPLE!$F$14,$M363,AO$13))))</f>
        <v>1000000000000</v>
      </c>
      <c r="AP363" s="181">
        <f ca="1">IF($D363&lt;&gt;"Serviço",0,IF(AND(AUTOEVENTO="Manual",$M363=1),0,IF(OFFSET(CRONOPLE!$F$14,$M363,AP$13)="",10^12,OFFSET(CRONOPLE!$F$14,$M363,AP$13))))</f>
        <v>1000000000000</v>
      </c>
      <c r="AQ363" s="181">
        <f ca="1">IF($D363&lt;&gt;"Serviço",0,IF(AND(AUTOEVENTO="Manual",$M363=1),0,IF(OFFSET(CRONOPLE!$F$14,$M363,AQ$13)="",10^12,OFFSET(CRONOPLE!$F$14,$M363,AQ$13))))</f>
        <v>1000000000000</v>
      </c>
      <c r="AR363" s="181">
        <f ca="1">IF($D363&lt;&gt;"Serviço",0,IF(AND(AUTOEVENTO="Manual",$M363=1),0,IF(OFFSET(CRONOPLE!$F$14,$M363,AR$13)="",10^12,OFFSET(CRONOPLE!$F$14,$M363,AR$13))))</f>
        <v>1000000000000</v>
      </c>
      <c r="AS363" s="181">
        <f ca="1">IF($D363&lt;&gt;"Serviço",0,IF(AND(AUTOEVENTO="Manual",$M363=1),0,IF(OFFSET(CRONOPLE!$F$14,$M363,AS$13)="",10^12,OFFSET(CRONOPLE!$F$14,$M363,AS$13))))</f>
        <v>1000000000000</v>
      </c>
      <c r="AT363" s="181">
        <f ca="1">IF($D363&lt;&gt;"Serviço",0,IF(AND(AUTOEVENTO="Manual",$M363=1),0,IF(OFFSET(CRONOPLE!$F$14,$M363,AT$13)="",10^12,OFFSET(CRONOPLE!$F$14,$M363,AT$13))))</f>
        <v>1000000000000</v>
      </c>
      <c r="AU363" s="181">
        <f ca="1">IF($D363&lt;&gt;"Serviço",0,IF(AND(AUTOEVENTO="Manual",$M363=1),0,IF(OFFSET(CRONOPLE!$F$14,$M363,AU$13)="",10^12,OFFSET(CRONOPLE!$F$14,$M363,AU$13))))</f>
        <v>1000000000000</v>
      </c>
      <c r="AV363" s="181">
        <f ca="1">IF($D363&lt;&gt;"Serviço",0,IF(AND(AUTOEVENTO="Manual",$M363=1),0,IF(OFFSET(CRONOPLE!$F$14,$M363,AV$13)="",10^12,OFFSET(CRONOPLE!$F$14,$M363,AV$13))))</f>
        <v>1000000000000</v>
      </c>
      <c r="AX363" s="182">
        <f ca="1">IF($D363&lt;&gt;"Serviço",0,IF(OR(AND(AUTOEVENTO="Manual",$M363=1),$M363&gt;(ROW(PLE.lastrow)-ROW(PLE.firstrow))),0,IF(OFFSET(PLE!$G$14,$M363,AX$13)="",10^12,OFFSET(PLE!$G$14,$M363,AX$13))))</f>
        <v>1000000000000</v>
      </c>
      <c r="AY363" s="182">
        <f ca="1">IF($D363&lt;&gt;"Serviço",0,IF(OR(AND(AUTOEVENTO="Manual",$M363=1),$M363&gt;(ROW(PLE.lastrow)-ROW(PLE.firstrow))),0,IF(OFFSET(PLE!$G$14,$M363,AY$13)="",10^12,OFFSET(PLE!$G$14,$M363,AY$13))))</f>
        <v>1000000000000</v>
      </c>
      <c r="AZ363" s="182">
        <f ca="1">IF($D363&lt;&gt;"Serviço",0,IF(OR(AND(AUTOEVENTO="Manual",$M363=1),$M363&gt;(ROW(PLE.lastrow)-ROW(PLE.firstrow))),0,IF(OFFSET(PLE!$G$14,$M363,AZ$13)="",10^12,OFFSET(PLE!$G$14,$M363,AZ$13))))</f>
        <v>1000000000000</v>
      </c>
      <c r="BA363" s="182">
        <f ca="1">IF($D363&lt;&gt;"Serviço",0,IF(OR(AND(AUTOEVENTO="Manual",$M363=1),$M363&gt;(ROW(PLE.lastrow)-ROW(PLE.firstrow))),0,IF(OFFSET(PLE!$G$14,$M363,BA$13)="",10^12,OFFSET(PLE!$G$14,$M363,BA$13))))</f>
        <v>1000000000000</v>
      </c>
      <c r="BB363" s="182">
        <f ca="1">IF($D363&lt;&gt;"Serviço",0,IF(OR(AND(AUTOEVENTO="Manual",$M363=1),$M363&gt;(ROW(PLE.lastrow)-ROW(PLE.firstrow))),0,IF(OFFSET(PLE!$G$14,$M363,BB$13)="",10^12,OFFSET(PLE!$G$14,$M363,BB$13))))</f>
        <v>1000000000000</v>
      </c>
      <c r="BC363" s="182">
        <f ca="1">IF($D363&lt;&gt;"Serviço",0,IF(OR(AND(AUTOEVENTO="Manual",$M363=1),$M363&gt;(ROW(PLE.lastrow)-ROW(PLE.firstrow))),0,IF(OFFSET(PLE!$G$14,$M363,BC$13)="",10^12,OFFSET(PLE!$G$14,$M363,BC$13))))</f>
        <v>1000000000000</v>
      </c>
      <c r="BD363" s="182">
        <f ca="1">IF($D363&lt;&gt;"Serviço",0,IF(OR(AND(AUTOEVENTO="Manual",$M363=1),$M363&gt;(ROW(PLE.lastrow)-ROW(PLE.firstrow))),0,IF(OFFSET(PLE!$G$14,$M363,BD$13)="",10^12,OFFSET(PLE!$G$14,$M363,BD$13))))</f>
        <v>1000000000000</v>
      </c>
      <c r="BE363" s="182">
        <f ca="1">IF($D363&lt;&gt;"Serviço",0,IF(OR(AND(AUTOEVENTO="Manual",$M363=1),$M363&gt;(ROW(PLE.lastrow)-ROW(PLE.firstrow))),0,IF(OFFSET(PLE!$G$14,$M363,BE$13)="",10^12,OFFSET(PLE!$G$14,$M363,BE$13))))</f>
        <v>1000000000000</v>
      </c>
      <c r="BF363" s="182">
        <f ca="1">IF($D363&lt;&gt;"Serviço",0,IF(OR(AND(AUTOEVENTO="Manual",$M363=1),$M363&gt;(ROW(PLE.lastrow)-ROW(PLE.firstrow))),0,IF(OFFSET(PLE!$G$14,$M363,BF$13)="",10^12,OFFSET(PLE!$G$14,$M363,BF$13))))</f>
        <v>1000000000000</v>
      </c>
      <c r="BG363" s="182">
        <f ca="1">IF($D363&lt;&gt;"Serviço",0,IF(OR(AND(AUTOEVENTO="Manual",$M363=1),$M363&gt;(ROW(PLE.lastrow)-ROW(PLE.firstrow))),0,IF(OFFSET(PLE!$G$14,$M363,BG$13)="",10^12,OFFSET(PLE!$G$14,$M363,BG$13))))</f>
        <v>1000000000000</v>
      </c>
    </row>
    <row r="364" spans="1:59" ht="38.25" x14ac:dyDescent="0.2">
      <c r="A364" s="7" t="str">
        <f t="shared" ca="1" si="11"/>
        <v>325</v>
      </c>
      <c r="B364" s="7" t="str">
        <f ca="1">OFFSET(ORÇAMENTO!C$15,ROW(B364)-ROW(B$15),0)</f>
        <v>S</v>
      </c>
      <c r="C364" s="7" t="str">
        <f ca="1">OFFSET(ORÇAMENTO!L$15,ROW(C364)-ROW(C$15),0)</f>
        <v/>
      </c>
      <c r="D364" s="118" t="str">
        <f ca="1">OFFSET(ORÇAMENTO!N$15,ROW(D364)-ROW(D$15),0)</f>
        <v>Serviço</v>
      </c>
      <c r="E364" s="119" t="str">
        <f ca="1">OFFSET(ORÇAMENTO!O$15,ROW(E364)-ROW(E$15),0)</f>
        <v>-</v>
      </c>
      <c r="F364" s="172" t="str">
        <f ca="1">OFFSET(ORÇAMENTO!R$15,ROW(F364)-ROW(F$15),0)</f>
        <v>(abra o arquivo 'Referência 02-2025.xlsm)</v>
      </c>
      <c r="G364" s="173" t="str">
        <f ca="1">IF($D364&lt;&gt;"Serviço","",OFFSET(ORÇAMENTO!S$15,ROW(G364)-ROW(G$15),0))</f>
        <v>-</v>
      </c>
      <c r="H364" s="124">
        <f ca="1">IF($D364&lt;&gt;"Serviço",0,IF(ACOMPANHAMENTO="BM",ROUND(OFFSET(ORÇAMENTO!AJ$15,ROW(H364)-ROW(H$15),0),15-13*ORÇAMENTO!$AF$7),SUMPRODUCT(($Q$12:$AA$12&lt;&gt;"")*ROUND($Q364:$AA364,15-13*ORÇAMENTO!$AF$7))))</f>
        <v>9</v>
      </c>
      <c r="I364" s="561" t="s">
        <v>890</v>
      </c>
      <c r="K364" s="174"/>
      <c r="L364" s="175" t="s">
        <v>255</v>
      </c>
      <c r="M364" s="176">
        <f ca="1">IF($D364&lt;&gt;"Serviço","",IF(AUTOEVENTO="manual",$A364,IF(ISERROR(MATCH($A364,$A$15:OFFSET($A364,-1,0),0)),MAX($M$15:OFFSET(M364,-1,0))+1,INDEX($M$15:OFFSET(M364,-1,0),MATCH($A364,$A$15:OFFSET($A364,-1,0),0)))))</f>
        <v>15</v>
      </c>
      <c r="N364" s="177" t="str">
        <f ca="1">IF($D364&lt;&gt;"Serviço","",IF(AUTOEVENTO="Manual",IF($A364=0,"&lt;-- defina o número do agrupador",OFFSET(EVENTOS!$D$14,$A364,0)),OFFSET($F$15,$A364,0)))</f>
        <v>INSTALAÇÕES DE ESGOTO SANITÁRIO</v>
      </c>
      <c r="O364" s="178"/>
      <c r="Q364" s="178"/>
      <c r="R364" s="179"/>
      <c r="S364" s="179"/>
      <c r="T364" s="179"/>
      <c r="U364" s="179"/>
      <c r="V364" s="179"/>
      <c r="W364" s="179"/>
      <c r="X364" s="179"/>
      <c r="Y364" s="179"/>
      <c r="Z364" s="180"/>
      <c r="AB364" s="544">
        <f ca="1">IF(AND($D364="Serviço",AB$12&lt;&gt;0,$H364&gt;0,OR(AUTOEVENTO&lt;&gt;"manual",$M364&lt;&gt;1)),
IF(Import.TipoArredondamento&lt;&gt;"TransfereGOV",
ROUND(OFFSET($P364,0,AB$13),15-13*ORÇAMENTO!$AF$7)/$H364*OFFSET(ORÇAMENTO!$X$15,ROW(AB364)-ROW(AB$15),0),
ROUND(ROUND(OFFSET($P364,0,AB$13),15-13*ORÇAMENTO!$AF$7)*OFFSET(ORÇAMENTO!$W$15,ROW(AB364)-ROW(AB$15),0),15-13*ORÇAMENTO!$AF$11)),0)</f>
        <v>0</v>
      </c>
      <c r="AC364" s="545">
        <f ca="1">IF(AND($D364="Serviço",AC$12&lt;&gt;0,$H364&gt;0,OR(AUTOEVENTO&lt;&gt;"manual",$M364&lt;&gt;1)),
IF(Import.TipoArredondamento&lt;&gt;"TransfereGOV",
ROUND(OFFSET($P364,0,AC$13),15-13*ORÇAMENTO!$AF$7)/$H364*OFFSET(ORÇAMENTO!$X$15,ROW(AC364)-ROW(AC$15),0),
ROUND(ROUND(OFFSET($P364,0,AC$13),15-13*ORÇAMENTO!$AF$7)*OFFSET(ORÇAMENTO!$W$15,ROW(AC364)-ROW(AC$15),0),15-13*ORÇAMENTO!$AF$11)),0)</f>
        <v>0</v>
      </c>
      <c r="AD364" s="545">
        <f ca="1">IF(AND($D364="Serviço",AD$12&lt;&gt;0,$H364&gt;0,OR(AUTOEVENTO&lt;&gt;"manual",$M364&lt;&gt;1)),
IF(Import.TipoArredondamento&lt;&gt;"TransfereGOV",
ROUND(OFFSET($P364,0,AD$13),15-13*ORÇAMENTO!$AF$7)/$H364*OFFSET(ORÇAMENTO!$X$15,ROW(AD364)-ROW(AD$15),0),
ROUND(ROUND(OFFSET($P364,0,AD$13),15-13*ORÇAMENTO!$AF$7)*OFFSET(ORÇAMENTO!$W$15,ROW(AD364)-ROW(AD$15),0),15-13*ORÇAMENTO!$AF$11)),0)</f>
        <v>0</v>
      </c>
      <c r="AE364" s="545">
        <f ca="1">IF(AND($D364="Serviço",AE$12&lt;&gt;0,$H364&gt;0,OR(AUTOEVENTO&lt;&gt;"manual",$M364&lt;&gt;1)),
IF(Import.TipoArredondamento&lt;&gt;"TransfereGOV",
ROUND(OFFSET($P364,0,AE$13),15-13*ORÇAMENTO!$AF$7)/$H364*OFFSET(ORÇAMENTO!$X$15,ROW(AE364)-ROW(AE$15),0),
ROUND(ROUND(OFFSET($P364,0,AE$13),15-13*ORÇAMENTO!$AF$7)*OFFSET(ORÇAMENTO!$W$15,ROW(AE364)-ROW(AE$15),0),15-13*ORÇAMENTO!$AF$11)),0)</f>
        <v>0</v>
      </c>
      <c r="AF364" s="545">
        <f ca="1">IF(AND($D364="Serviço",AF$12&lt;&gt;0,$H364&gt;0,OR(AUTOEVENTO&lt;&gt;"manual",$M364&lt;&gt;1)),
IF(Import.TipoArredondamento&lt;&gt;"TransfereGOV",
ROUND(OFFSET($P364,0,AF$13),15-13*ORÇAMENTO!$AF$7)/$H364*OFFSET(ORÇAMENTO!$X$15,ROW(AF364)-ROW(AF$15),0),
ROUND(ROUND(OFFSET($P364,0,AF$13),15-13*ORÇAMENTO!$AF$7)*OFFSET(ORÇAMENTO!$W$15,ROW(AF364)-ROW(AF$15),0),15-13*ORÇAMENTO!$AF$11)),0)</f>
        <v>0</v>
      </c>
      <c r="AG364" s="545">
        <f ca="1">IF(AND($D364="Serviço",AG$12&lt;&gt;0,$H364&gt;0,OR(AUTOEVENTO&lt;&gt;"manual",$M364&lt;&gt;1)),
IF(Import.TipoArredondamento&lt;&gt;"TransfereGOV",
ROUND(OFFSET($P364,0,AG$13),15-13*ORÇAMENTO!$AF$7)/$H364*OFFSET(ORÇAMENTO!$X$15,ROW(AG364)-ROW(AG$15),0),
ROUND(ROUND(OFFSET($P364,0,AG$13),15-13*ORÇAMENTO!$AF$7)*OFFSET(ORÇAMENTO!$W$15,ROW(AG364)-ROW(AG$15),0),15-13*ORÇAMENTO!$AF$11)),0)</f>
        <v>0</v>
      </c>
      <c r="AH364" s="545">
        <f ca="1">IF(AND($D364="Serviço",AH$12&lt;&gt;0,$H364&gt;0,OR(AUTOEVENTO&lt;&gt;"manual",$M364&lt;&gt;1)),
IF(Import.TipoArredondamento&lt;&gt;"TransfereGOV",
ROUND(OFFSET($P364,0,AH$13),15-13*ORÇAMENTO!$AF$7)/$H364*OFFSET(ORÇAMENTO!$X$15,ROW(AH364)-ROW(AH$15),0),
ROUND(ROUND(OFFSET($P364,0,AH$13),15-13*ORÇAMENTO!$AF$7)*OFFSET(ORÇAMENTO!$W$15,ROW(AH364)-ROW(AH$15),0),15-13*ORÇAMENTO!$AF$11)),0)</f>
        <v>0</v>
      </c>
      <c r="AI364" s="545">
        <f ca="1">IF(AND($D364="Serviço",AI$12&lt;&gt;0,$H364&gt;0,OR(AUTOEVENTO&lt;&gt;"manual",$M364&lt;&gt;1)),
IF(Import.TipoArredondamento&lt;&gt;"TransfereGOV",
ROUND(OFFSET($P364,0,AI$13),15-13*ORÇAMENTO!$AF$7)/$H364*OFFSET(ORÇAMENTO!$X$15,ROW(AI364)-ROW(AI$15),0),
ROUND(ROUND(OFFSET($P364,0,AI$13),15-13*ORÇAMENTO!$AF$7)*OFFSET(ORÇAMENTO!$W$15,ROW(AI364)-ROW(AI$15),0),15-13*ORÇAMENTO!$AF$11)),0)</f>
        <v>0</v>
      </c>
      <c r="AJ364" s="545">
        <f ca="1">IF(AND($D364="Serviço",AJ$12&lt;&gt;0,$H364&gt;0,OR(AUTOEVENTO&lt;&gt;"manual",$M364&lt;&gt;1)),
IF(Import.TipoArredondamento&lt;&gt;"TransfereGOV",
ROUND(OFFSET($P364,0,AJ$13),15-13*ORÇAMENTO!$AF$7)/$H364*OFFSET(ORÇAMENTO!$X$15,ROW(AJ364)-ROW(AJ$15),0),
ROUND(ROUND(OFFSET($P364,0,AJ$13),15-13*ORÇAMENTO!$AF$7)*OFFSET(ORÇAMENTO!$W$15,ROW(AJ364)-ROW(AJ$15),0),15-13*ORÇAMENTO!$AF$11)),0)</f>
        <v>0</v>
      </c>
      <c r="AK364" s="546">
        <f ca="1">IF(AND($D364="Serviço",AK$12&lt;&gt;0,$H364&gt;0,OR(AUTOEVENTO&lt;&gt;"manual",$M364&lt;&gt;1)),
IF(Import.TipoArredondamento&lt;&gt;"TransfereGOV",
ROUND(OFFSET($P364,0,AK$13),15-13*ORÇAMENTO!$AF$7)/$H364*OFFSET(ORÇAMENTO!$X$15,ROW(AK364)-ROW(AK$15),0),
ROUND(ROUND(OFFSET($P364,0,AK$13),15-13*ORÇAMENTO!$AF$7)*OFFSET(ORÇAMENTO!$W$15,ROW(AK364)-ROW(AK$15),0),15-13*ORÇAMENTO!$AF$11)),0)</f>
        <v>0</v>
      </c>
      <c r="AM364" s="181">
        <f ca="1">IF($D364&lt;&gt;"Serviço",0,IF(AND(AUTOEVENTO="Manual",$M364=1),0,IF(OFFSET(CRONOPLE!$F$14,$M364,AM$13)="",10^12,OFFSET(CRONOPLE!$F$14,$M364,AM$13))))</f>
        <v>1000000000000</v>
      </c>
      <c r="AN364" s="181">
        <f ca="1">IF($D364&lt;&gt;"Serviço",0,IF(AND(AUTOEVENTO="Manual",$M364=1),0,IF(OFFSET(CRONOPLE!$F$14,$M364,AN$13)="",10^12,OFFSET(CRONOPLE!$F$14,$M364,AN$13))))</f>
        <v>1000000000000</v>
      </c>
      <c r="AO364" s="181">
        <f ca="1">IF($D364&lt;&gt;"Serviço",0,IF(AND(AUTOEVENTO="Manual",$M364=1),0,IF(OFFSET(CRONOPLE!$F$14,$M364,AO$13)="",10^12,OFFSET(CRONOPLE!$F$14,$M364,AO$13))))</f>
        <v>1000000000000</v>
      </c>
      <c r="AP364" s="181">
        <f ca="1">IF($D364&lt;&gt;"Serviço",0,IF(AND(AUTOEVENTO="Manual",$M364=1),0,IF(OFFSET(CRONOPLE!$F$14,$M364,AP$13)="",10^12,OFFSET(CRONOPLE!$F$14,$M364,AP$13))))</f>
        <v>1000000000000</v>
      </c>
      <c r="AQ364" s="181">
        <f ca="1">IF($D364&lt;&gt;"Serviço",0,IF(AND(AUTOEVENTO="Manual",$M364=1),0,IF(OFFSET(CRONOPLE!$F$14,$M364,AQ$13)="",10^12,OFFSET(CRONOPLE!$F$14,$M364,AQ$13))))</f>
        <v>1000000000000</v>
      </c>
      <c r="AR364" s="181">
        <f ca="1">IF($D364&lt;&gt;"Serviço",0,IF(AND(AUTOEVENTO="Manual",$M364=1),0,IF(OFFSET(CRONOPLE!$F$14,$M364,AR$13)="",10^12,OFFSET(CRONOPLE!$F$14,$M364,AR$13))))</f>
        <v>1000000000000</v>
      </c>
      <c r="AS364" s="181">
        <f ca="1">IF($D364&lt;&gt;"Serviço",0,IF(AND(AUTOEVENTO="Manual",$M364=1),0,IF(OFFSET(CRONOPLE!$F$14,$M364,AS$13)="",10^12,OFFSET(CRONOPLE!$F$14,$M364,AS$13))))</f>
        <v>1000000000000</v>
      </c>
      <c r="AT364" s="181">
        <f ca="1">IF($D364&lt;&gt;"Serviço",0,IF(AND(AUTOEVENTO="Manual",$M364=1),0,IF(OFFSET(CRONOPLE!$F$14,$M364,AT$13)="",10^12,OFFSET(CRONOPLE!$F$14,$M364,AT$13))))</f>
        <v>1000000000000</v>
      </c>
      <c r="AU364" s="181">
        <f ca="1">IF($D364&lt;&gt;"Serviço",0,IF(AND(AUTOEVENTO="Manual",$M364=1),0,IF(OFFSET(CRONOPLE!$F$14,$M364,AU$13)="",10^12,OFFSET(CRONOPLE!$F$14,$M364,AU$13))))</f>
        <v>1000000000000</v>
      </c>
      <c r="AV364" s="181">
        <f ca="1">IF($D364&lt;&gt;"Serviço",0,IF(AND(AUTOEVENTO="Manual",$M364=1),0,IF(OFFSET(CRONOPLE!$F$14,$M364,AV$13)="",10^12,OFFSET(CRONOPLE!$F$14,$M364,AV$13))))</f>
        <v>1000000000000</v>
      </c>
      <c r="AX364" s="182">
        <f ca="1">IF($D364&lt;&gt;"Serviço",0,IF(OR(AND(AUTOEVENTO="Manual",$M364=1),$M364&gt;(ROW(PLE.lastrow)-ROW(PLE.firstrow))),0,IF(OFFSET(PLE!$G$14,$M364,AX$13)="",10^12,OFFSET(PLE!$G$14,$M364,AX$13))))</f>
        <v>1000000000000</v>
      </c>
      <c r="AY364" s="182">
        <f ca="1">IF($D364&lt;&gt;"Serviço",0,IF(OR(AND(AUTOEVENTO="Manual",$M364=1),$M364&gt;(ROW(PLE.lastrow)-ROW(PLE.firstrow))),0,IF(OFFSET(PLE!$G$14,$M364,AY$13)="",10^12,OFFSET(PLE!$G$14,$M364,AY$13))))</f>
        <v>1000000000000</v>
      </c>
      <c r="AZ364" s="182">
        <f ca="1">IF($D364&lt;&gt;"Serviço",0,IF(OR(AND(AUTOEVENTO="Manual",$M364=1),$M364&gt;(ROW(PLE.lastrow)-ROW(PLE.firstrow))),0,IF(OFFSET(PLE!$G$14,$M364,AZ$13)="",10^12,OFFSET(PLE!$G$14,$M364,AZ$13))))</f>
        <v>1000000000000</v>
      </c>
      <c r="BA364" s="182">
        <f ca="1">IF($D364&lt;&gt;"Serviço",0,IF(OR(AND(AUTOEVENTO="Manual",$M364=1),$M364&gt;(ROW(PLE.lastrow)-ROW(PLE.firstrow))),0,IF(OFFSET(PLE!$G$14,$M364,BA$13)="",10^12,OFFSET(PLE!$G$14,$M364,BA$13))))</f>
        <v>1000000000000</v>
      </c>
      <c r="BB364" s="182">
        <f ca="1">IF($D364&lt;&gt;"Serviço",0,IF(OR(AND(AUTOEVENTO="Manual",$M364=1),$M364&gt;(ROW(PLE.lastrow)-ROW(PLE.firstrow))),0,IF(OFFSET(PLE!$G$14,$M364,BB$13)="",10^12,OFFSET(PLE!$G$14,$M364,BB$13))))</f>
        <v>1000000000000</v>
      </c>
      <c r="BC364" s="182">
        <f ca="1">IF($D364&lt;&gt;"Serviço",0,IF(OR(AND(AUTOEVENTO="Manual",$M364=1),$M364&gt;(ROW(PLE.lastrow)-ROW(PLE.firstrow))),0,IF(OFFSET(PLE!$G$14,$M364,BC$13)="",10^12,OFFSET(PLE!$G$14,$M364,BC$13))))</f>
        <v>1000000000000</v>
      </c>
      <c r="BD364" s="182">
        <f ca="1">IF($D364&lt;&gt;"Serviço",0,IF(OR(AND(AUTOEVENTO="Manual",$M364=1),$M364&gt;(ROW(PLE.lastrow)-ROW(PLE.firstrow))),0,IF(OFFSET(PLE!$G$14,$M364,BD$13)="",10^12,OFFSET(PLE!$G$14,$M364,BD$13))))</f>
        <v>1000000000000</v>
      </c>
      <c r="BE364" s="182">
        <f ca="1">IF($D364&lt;&gt;"Serviço",0,IF(OR(AND(AUTOEVENTO="Manual",$M364=1),$M364&gt;(ROW(PLE.lastrow)-ROW(PLE.firstrow))),0,IF(OFFSET(PLE!$G$14,$M364,BE$13)="",10^12,OFFSET(PLE!$G$14,$M364,BE$13))))</f>
        <v>1000000000000</v>
      </c>
      <c r="BF364" s="182">
        <f ca="1">IF($D364&lt;&gt;"Serviço",0,IF(OR(AND(AUTOEVENTO="Manual",$M364=1),$M364&gt;(ROW(PLE.lastrow)-ROW(PLE.firstrow))),0,IF(OFFSET(PLE!$G$14,$M364,BF$13)="",10^12,OFFSET(PLE!$G$14,$M364,BF$13))))</f>
        <v>1000000000000</v>
      </c>
      <c r="BG364" s="182">
        <f ca="1">IF($D364&lt;&gt;"Serviço",0,IF(OR(AND(AUTOEVENTO="Manual",$M364=1),$M364&gt;(ROW(PLE.lastrow)-ROW(PLE.firstrow))),0,IF(OFFSET(PLE!$G$14,$M364,BG$13)="",10^12,OFFSET(PLE!$G$14,$M364,BG$13))))</f>
        <v>1000000000000</v>
      </c>
    </row>
    <row r="365" spans="1:59" ht="38.25" x14ac:dyDescent="0.2">
      <c r="A365" s="7" t="str">
        <f t="shared" ca="1" si="11"/>
        <v>325</v>
      </c>
      <c r="B365" s="7" t="str">
        <f ca="1">OFFSET(ORÇAMENTO!C$15,ROW(B365)-ROW(B$15),0)</f>
        <v>S</v>
      </c>
      <c r="C365" s="7" t="str">
        <f ca="1">OFFSET(ORÇAMENTO!L$15,ROW(C365)-ROW(C$15),0)</f>
        <v/>
      </c>
      <c r="D365" s="118" t="str">
        <f ca="1">OFFSET(ORÇAMENTO!N$15,ROW(D365)-ROW(D$15),0)</f>
        <v>Serviço</v>
      </c>
      <c r="E365" s="119" t="str">
        <f ca="1">OFFSET(ORÇAMENTO!O$15,ROW(E365)-ROW(E$15),0)</f>
        <v>-</v>
      </c>
      <c r="F365" s="172" t="str">
        <f ca="1">OFFSET(ORÇAMENTO!R$15,ROW(F365)-ROW(F$15),0)</f>
        <v>(abra o arquivo 'Referência 02-2025.xlsm)</v>
      </c>
      <c r="G365" s="173" t="str">
        <f ca="1">IF($D365&lt;&gt;"Serviço","",OFFSET(ORÇAMENTO!S$15,ROW(G365)-ROW(G$15),0))</f>
        <v>-</v>
      </c>
      <c r="H365" s="124">
        <f ca="1">IF($D365&lt;&gt;"Serviço",0,IF(ACOMPANHAMENTO="BM",ROUND(OFFSET(ORÇAMENTO!AJ$15,ROW(H365)-ROW(H$15),0),15-13*ORÇAMENTO!$AF$7),SUMPRODUCT(($Q$12:$AA$12&lt;&gt;"")*ROUND($Q365:$AA365,15-13*ORÇAMENTO!$AF$7))))</f>
        <v>6</v>
      </c>
      <c r="I365" s="561" t="s">
        <v>890</v>
      </c>
      <c r="K365" s="174"/>
      <c r="L365" s="175" t="s">
        <v>255</v>
      </c>
      <c r="M365" s="176">
        <f ca="1">IF($D365&lt;&gt;"Serviço","",IF(AUTOEVENTO="manual",$A365,IF(ISERROR(MATCH($A365,$A$15:OFFSET($A365,-1,0),0)),MAX($M$15:OFFSET(M365,-1,0))+1,INDEX($M$15:OFFSET(M365,-1,0),MATCH($A365,$A$15:OFFSET($A365,-1,0),0)))))</f>
        <v>15</v>
      </c>
      <c r="N365" s="177" t="str">
        <f ca="1">IF($D365&lt;&gt;"Serviço","",IF(AUTOEVENTO="Manual",IF($A365=0,"&lt;-- defina o número do agrupador",OFFSET(EVENTOS!$D$14,$A365,0)),OFFSET($F$15,$A365,0)))</f>
        <v>INSTALAÇÕES DE ESGOTO SANITÁRIO</v>
      </c>
      <c r="O365" s="178"/>
      <c r="Q365" s="178"/>
      <c r="R365" s="179"/>
      <c r="S365" s="179"/>
      <c r="T365" s="179"/>
      <c r="U365" s="179"/>
      <c r="V365" s="179"/>
      <c r="W365" s="179"/>
      <c r="X365" s="179"/>
      <c r="Y365" s="179"/>
      <c r="Z365" s="180"/>
      <c r="AB365" s="544">
        <f ca="1">IF(AND($D365="Serviço",AB$12&lt;&gt;0,$H365&gt;0,OR(AUTOEVENTO&lt;&gt;"manual",$M365&lt;&gt;1)),
IF(Import.TipoArredondamento&lt;&gt;"TransfereGOV",
ROUND(OFFSET($P365,0,AB$13),15-13*ORÇAMENTO!$AF$7)/$H365*OFFSET(ORÇAMENTO!$X$15,ROW(AB365)-ROW(AB$15),0),
ROUND(ROUND(OFFSET($P365,0,AB$13),15-13*ORÇAMENTO!$AF$7)*OFFSET(ORÇAMENTO!$W$15,ROW(AB365)-ROW(AB$15),0),15-13*ORÇAMENTO!$AF$11)),0)</f>
        <v>0</v>
      </c>
      <c r="AC365" s="545">
        <f ca="1">IF(AND($D365="Serviço",AC$12&lt;&gt;0,$H365&gt;0,OR(AUTOEVENTO&lt;&gt;"manual",$M365&lt;&gt;1)),
IF(Import.TipoArredondamento&lt;&gt;"TransfereGOV",
ROUND(OFFSET($P365,0,AC$13),15-13*ORÇAMENTO!$AF$7)/$H365*OFFSET(ORÇAMENTO!$X$15,ROW(AC365)-ROW(AC$15),0),
ROUND(ROUND(OFFSET($P365,0,AC$13),15-13*ORÇAMENTO!$AF$7)*OFFSET(ORÇAMENTO!$W$15,ROW(AC365)-ROW(AC$15),0),15-13*ORÇAMENTO!$AF$11)),0)</f>
        <v>0</v>
      </c>
      <c r="AD365" s="545">
        <f ca="1">IF(AND($D365="Serviço",AD$12&lt;&gt;0,$H365&gt;0,OR(AUTOEVENTO&lt;&gt;"manual",$M365&lt;&gt;1)),
IF(Import.TipoArredondamento&lt;&gt;"TransfereGOV",
ROUND(OFFSET($P365,0,AD$13),15-13*ORÇAMENTO!$AF$7)/$H365*OFFSET(ORÇAMENTO!$X$15,ROW(AD365)-ROW(AD$15),0),
ROUND(ROUND(OFFSET($P365,0,AD$13),15-13*ORÇAMENTO!$AF$7)*OFFSET(ORÇAMENTO!$W$15,ROW(AD365)-ROW(AD$15),0),15-13*ORÇAMENTO!$AF$11)),0)</f>
        <v>0</v>
      </c>
      <c r="AE365" s="545">
        <f ca="1">IF(AND($D365="Serviço",AE$12&lt;&gt;0,$H365&gt;0,OR(AUTOEVENTO&lt;&gt;"manual",$M365&lt;&gt;1)),
IF(Import.TipoArredondamento&lt;&gt;"TransfereGOV",
ROUND(OFFSET($P365,0,AE$13),15-13*ORÇAMENTO!$AF$7)/$H365*OFFSET(ORÇAMENTO!$X$15,ROW(AE365)-ROW(AE$15),0),
ROUND(ROUND(OFFSET($P365,0,AE$13),15-13*ORÇAMENTO!$AF$7)*OFFSET(ORÇAMENTO!$W$15,ROW(AE365)-ROW(AE$15),0),15-13*ORÇAMENTO!$AF$11)),0)</f>
        <v>0</v>
      </c>
      <c r="AF365" s="545">
        <f ca="1">IF(AND($D365="Serviço",AF$12&lt;&gt;0,$H365&gt;0,OR(AUTOEVENTO&lt;&gt;"manual",$M365&lt;&gt;1)),
IF(Import.TipoArredondamento&lt;&gt;"TransfereGOV",
ROUND(OFFSET($P365,0,AF$13),15-13*ORÇAMENTO!$AF$7)/$H365*OFFSET(ORÇAMENTO!$X$15,ROW(AF365)-ROW(AF$15),0),
ROUND(ROUND(OFFSET($P365,0,AF$13),15-13*ORÇAMENTO!$AF$7)*OFFSET(ORÇAMENTO!$W$15,ROW(AF365)-ROW(AF$15),0),15-13*ORÇAMENTO!$AF$11)),0)</f>
        <v>0</v>
      </c>
      <c r="AG365" s="545">
        <f ca="1">IF(AND($D365="Serviço",AG$12&lt;&gt;0,$H365&gt;0,OR(AUTOEVENTO&lt;&gt;"manual",$M365&lt;&gt;1)),
IF(Import.TipoArredondamento&lt;&gt;"TransfereGOV",
ROUND(OFFSET($P365,0,AG$13),15-13*ORÇAMENTO!$AF$7)/$H365*OFFSET(ORÇAMENTO!$X$15,ROW(AG365)-ROW(AG$15),0),
ROUND(ROUND(OFFSET($P365,0,AG$13),15-13*ORÇAMENTO!$AF$7)*OFFSET(ORÇAMENTO!$W$15,ROW(AG365)-ROW(AG$15),0),15-13*ORÇAMENTO!$AF$11)),0)</f>
        <v>0</v>
      </c>
      <c r="AH365" s="545">
        <f ca="1">IF(AND($D365="Serviço",AH$12&lt;&gt;0,$H365&gt;0,OR(AUTOEVENTO&lt;&gt;"manual",$M365&lt;&gt;1)),
IF(Import.TipoArredondamento&lt;&gt;"TransfereGOV",
ROUND(OFFSET($P365,0,AH$13),15-13*ORÇAMENTO!$AF$7)/$H365*OFFSET(ORÇAMENTO!$X$15,ROW(AH365)-ROW(AH$15),0),
ROUND(ROUND(OFFSET($P365,0,AH$13),15-13*ORÇAMENTO!$AF$7)*OFFSET(ORÇAMENTO!$W$15,ROW(AH365)-ROW(AH$15),0),15-13*ORÇAMENTO!$AF$11)),0)</f>
        <v>0</v>
      </c>
      <c r="AI365" s="545">
        <f ca="1">IF(AND($D365="Serviço",AI$12&lt;&gt;0,$H365&gt;0,OR(AUTOEVENTO&lt;&gt;"manual",$M365&lt;&gt;1)),
IF(Import.TipoArredondamento&lt;&gt;"TransfereGOV",
ROUND(OFFSET($P365,0,AI$13),15-13*ORÇAMENTO!$AF$7)/$H365*OFFSET(ORÇAMENTO!$X$15,ROW(AI365)-ROW(AI$15),0),
ROUND(ROUND(OFFSET($P365,0,AI$13),15-13*ORÇAMENTO!$AF$7)*OFFSET(ORÇAMENTO!$W$15,ROW(AI365)-ROW(AI$15),0),15-13*ORÇAMENTO!$AF$11)),0)</f>
        <v>0</v>
      </c>
      <c r="AJ365" s="545">
        <f ca="1">IF(AND($D365="Serviço",AJ$12&lt;&gt;0,$H365&gt;0,OR(AUTOEVENTO&lt;&gt;"manual",$M365&lt;&gt;1)),
IF(Import.TipoArredondamento&lt;&gt;"TransfereGOV",
ROUND(OFFSET($P365,0,AJ$13),15-13*ORÇAMENTO!$AF$7)/$H365*OFFSET(ORÇAMENTO!$X$15,ROW(AJ365)-ROW(AJ$15),0),
ROUND(ROUND(OFFSET($P365,0,AJ$13),15-13*ORÇAMENTO!$AF$7)*OFFSET(ORÇAMENTO!$W$15,ROW(AJ365)-ROW(AJ$15),0),15-13*ORÇAMENTO!$AF$11)),0)</f>
        <v>0</v>
      </c>
      <c r="AK365" s="546">
        <f ca="1">IF(AND($D365="Serviço",AK$12&lt;&gt;0,$H365&gt;0,OR(AUTOEVENTO&lt;&gt;"manual",$M365&lt;&gt;1)),
IF(Import.TipoArredondamento&lt;&gt;"TransfereGOV",
ROUND(OFFSET($P365,0,AK$13),15-13*ORÇAMENTO!$AF$7)/$H365*OFFSET(ORÇAMENTO!$X$15,ROW(AK365)-ROW(AK$15),0),
ROUND(ROUND(OFFSET($P365,0,AK$13),15-13*ORÇAMENTO!$AF$7)*OFFSET(ORÇAMENTO!$W$15,ROW(AK365)-ROW(AK$15),0),15-13*ORÇAMENTO!$AF$11)),0)</f>
        <v>0</v>
      </c>
      <c r="AM365" s="181">
        <f ca="1">IF($D365&lt;&gt;"Serviço",0,IF(AND(AUTOEVENTO="Manual",$M365=1),0,IF(OFFSET(CRONOPLE!$F$14,$M365,AM$13)="",10^12,OFFSET(CRONOPLE!$F$14,$M365,AM$13))))</f>
        <v>1000000000000</v>
      </c>
      <c r="AN365" s="181">
        <f ca="1">IF($D365&lt;&gt;"Serviço",0,IF(AND(AUTOEVENTO="Manual",$M365=1),0,IF(OFFSET(CRONOPLE!$F$14,$M365,AN$13)="",10^12,OFFSET(CRONOPLE!$F$14,$M365,AN$13))))</f>
        <v>1000000000000</v>
      </c>
      <c r="AO365" s="181">
        <f ca="1">IF($D365&lt;&gt;"Serviço",0,IF(AND(AUTOEVENTO="Manual",$M365=1),0,IF(OFFSET(CRONOPLE!$F$14,$M365,AO$13)="",10^12,OFFSET(CRONOPLE!$F$14,$M365,AO$13))))</f>
        <v>1000000000000</v>
      </c>
      <c r="AP365" s="181">
        <f ca="1">IF($D365&lt;&gt;"Serviço",0,IF(AND(AUTOEVENTO="Manual",$M365=1),0,IF(OFFSET(CRONOPLE!$F$14,$M365,AP$13)="",10^12,OFFSET(CRONOPLE!$F$14,$M365,AP$13))))</f>
        <v>1000000000000</v>
      </c>
      <c r="AQ365" s="181">
        <f ca="1">IF($D365&lt;&gt;"Serviço",0,IF(AND(AUTOEVENTO="Manual",$M365=1),0,IF(OFFSET(CRONOPLE!$F$14,$M365,AQ$13)="",10^12,OFFSET(CRONOPLE!$F$14,$M365,AQ$13))))</f>
        <v>1000000000000</v>
      </c>
      <c r="AR365" s="181">
        <f ca="1">IF($D365&lt;&gt;"Serviço",0,IF(AND(AUTOEVENTO="Manual",$M365=1),0,IF(OFFSET(CRONOPLE!$F$14,$M365,AR$13)="",10^12,OFFSET(CRONOPLE!$F$14,$M365,AR$13))))</f>
        <v>1000000000000</v>
      </c>
      <c r="AS365" s="181">
        <f ca="1">IF($D365&lt;&gt;"Serviço",0,IF(AND(AUTOEVENTO="Manual",$M365=1),0,IF(OFFSET(CRONOPLE!$F$14,$M365,AS$13)="",10^12,OFFSET(CRONOPLE!$F$14,$M365,AS$13))))</f>
        <v>1000000000000</v>
      </c>
      <c r="AT365" s="181">
        <f ca="1">IF($D365&lt;&gt;"Serviço",0,IF(AND(AUTOEVENTO="Manual",$M365=1),0,IF(OFFSET(CRONOPLE!$F$14,$M365,AT$13)="",10^12,OFFSET(CRONOPLE!$F$14,$M365,AT$13))))</f>
        <v>1000000000000</v>
      </c>
      <c r="AU365" s="181">
        <f ca="1">IF($D365&lt;&gt;"Serviço",0,IF(AND(AUTOEVENTO="Manual",$M365=1),0,IF(OFFSET(CRONOPLE!$F$14,$M365,AU$13)="",10^12,OFFSET(CRONOPLE!$F$14,$M365,AU$13))))</f>
        <v>1000000000000</v>
      </c>
      <c r="AV365" s="181">
        <f ca="1">IF($D365&lt;&gt;"Serviço",0,IF(AND(AUTOEVENTO="Manual",$M365=1),0,IF(OFFSET(CRONOPLE!$F$14,$M365,AV$13)="",10^12,OFFSET(CRONOPLE!$F$14,$M365,AV$13))))</f>
        <v>1000000000000</v>
      </c>
      <c r="AX365" s="182">
        <f ca="1">IF($D365&lt;&gt;"Serviço",0,IF(OR(AND(AUTOEVENTO="Manual",$M365=1),$M365&gt;(ROW(PLE.lastrow)-ROW(PLE.firstrow))),0,IF(OFFSET(PLE!$G$14,$M365,AX$13)="",10^12,OFFSET(PLE!$G$14,$M365,AX$13))))</f>
        <v>1000000000000</v>
      </c>
      <c r="AY365" s="182">
        <f ca="1">IF($D365&lt;&gt;"Serviço",0,IF(OR(AND(AUTOEVENTO="Manual",$M365=1),$M365&gt;(ROW(PLE.lastrow)-ROW(PLE.firstrow))),0,IF(OFFSET(PLE!$G$14,$M365,AY$13)="",10^12,OFFSET(PLE!$G$14,$M365,AY$13))))</f>
        <v>1000000000000</v>
      </c>
      <c r="AZ365" s="182">
        <f ca="1">IF($D365&lt;&gt;"Serviço",0,IF(OR(AND(AUTOEVENTO="Manual",$M365=1),$M365&gt;(ROW(PLE.lastrow)-ROW(PLE.firstrow))),0,IF(OFFSET(PLE!$G$14,$M365,AZ$13)="",10^12,OFFSET(PLE!$G$14,$M365,AZ$13))))</f>
        <v>1000000000000</v>
      </c>
      <c r="BA365" s="182">
        <f ca="1">IF($D365&lt;&gt;"Serviço",0,IF(OR(AND(AUTOEVENTO="Manual",$M365=1),$M365&gt;(ROW(PLE.lastrow)-ROW(PLE.firstrow))),0,IF(OFFSET(PLE!$G$14,$M365,BA$13)="",10^12,OFFSET(PLE!$G$14,$M365,BA$13))))</f>
        <v>1000000000000</v>
      </c>
      <c r="BB365" s="182">
        <f ca="1">IF($D365&lt;&gt;"Serviço",0,IF(OR(AND(AUTOEVENTO="Manual",$M365=1),$M365&gt;(ROW(PLE.lastrow)-ROW(PLE.firstrow))),0,IF(OFFSET(PLE!$G$14,$M365,BB$13)="",10^12,OFFSET(PLE!$G$14,$M365,BB$13))))</f>
        <v>1000000000000</v>
      </c>
      <c r="BC365" s="182">
        <f ca="1">IF($D365&lt;&gt;"Serviço",0,IF(OR(AND(AUTOEVENTO="Manual",$M365=1),$M365&gt;(ROW(PLE.lastrow)-ROW(PLE.firstrow))),0,IF(OFFSET(PLE!$G$14,$M365,BC$13)="",10^12,OFFSET(PLE!$G$14,$M365,BC$13))))</f>
        <v>1000000000000</v>
      </c>
      <c r="BD365" s="182">
        <f ca="1">IF($D365&lt;&gt;"Serviço",0,IF(OR(AND(AUTOEVENTO="Manual",$M365=1),$M365&gt;(ROW(PLE.lastrow)-ROW(PLE.firstrow))),0,IF(OFFSET(PLE!$G$14,$M365,BD$13)="",10^12,OFFSET(PLE!$G$14,$M365,BD$13))))</f>
        <v>1000000000000</v>
      </c>
      <c r="BE365" s="182">
        <f ca="1">IF($D365&lt;&gt;"Serviço",0,IF(OR(AND(AUTOEVENTO="Manual",$M365=1),$M365&gt;(ROW(PLE.lastrow)-ROW(PLE.firstrow))),0,IF(OFFSET(PLE!$G$14,$M365,BE$13)="",10^12,OFFSET(PLE!$G$14,$M365,BE$13))))</f>
        <v>1000000000000</v>
      </c>
      <c r="BF365" s="182">
        <f ca="1">IF($D365&lt;&gt;"Serviço",0,IF(OR(AND(AUTOEVENTO="Manual",$M365=1),$M365&gt;(ROW(PLE.lastrow)-ROW(PLE.firstrow))),0,IF(OFFSET(PLE!$G$14,$M365,BF$13)="",10^12,OFFSET(PLE!$G$14,$M365,BF$13))))</f>
        <v>1000000000000</v>
      </c>
      <c r="BG365" s="182">
        <f ca="1">IF($D365&lt;&gt;"Serviço",0,IF(OR(AND(AUTOEVENTO="Manual",$M365=1),$M365&gt;(ROW(PLE.lastrow)-ROW(PLE.firstrow))),0,IF(OFFSET(PLE!$G$14,$M365,BG$13)="",10^12,OFFSET(PLE!$G$14,$M365,BG$13))))</f>
        <v>1000000000000</v>
      </c>
    </row>
    <row r="366" spans="1:59" ht="38.25" x14ac:dyDescent="0.2">
      <c r="A366" s="7" t="str">
        <f t="shared" ca="1" si="11"/>
        <v>325</v>
      </c>
      <c r="B366" s="7" t="str">
        <f ca="1">OFFSET(ORÇAMENTO!C$15,ROW(B366)-ROW(B$15),0)</f>
        <v>S</v>
      </c>
      <c r="C366" s="7" t="str">
        <f ca="1">OFFSET(ORÇAMENTO!L$15,ROW(C366)-ROW(C$15),0)</f>
        <v/>
      </c>
      <c r="D366" s="118" t="str">
        <f ca="1">OFFSET(ORÇAMENTO!N$15,ROW(D366)-ROW(D$15),0)</f>
        <v>Serviço</v>
      </c>
      <c r="E366" s="119" t="str">
        <f ca="1">OFFSET(ORÇAMENTO!O$15,ROW(E366)-ROW(E$15),0)</f>
        <v>-</v>
      </c>
      <c r="F366" s="172" t="str">
        <f ca="1">OFFSET(ORÇAMENTO!R$15,ROW(F366)-ROW(F$15),0)</f>
        <v>(abra o arquivo 'Referência 02-2025.xlsm)</v>
      </c>
      <c r="G366" s="173" t="str">
        <f ca="1">IF($D366&lt;&gt;"Serviço","",OFFSET(ORÇAMENTO!S$15,ROW(G366)-ROW(G$15),0))</f>
        <v>-</v>
      </c>
      <c r="H366" s="124">
        <f ca="1">IF($D366&lt;&gt;"Serviço",0,IF(ACOMPANHAMENTO="BM",ROUND(OFFSET(ORÇAMENTO!AJ$15,ROW(H366)-ROW(H$15),0),15-13*ORÇAMENTO!$AF$7),SUMPRODUCT(($Q$12:$AA$12&lt;&gt;"")*ROUND($Q366:$AA366,15-13*ORÇAMENTO!$AF$7))))</f>
        <v>16</v>
      </c>
      <c r="I366" s="561" t="s">
        <v>890</v>
      </c>
      <c r="K366" s="174"/>
      <c r="L366" s="175" t="s">
        <v>255</v>
      </c>
      <c r="M366" s="176">
        <f ca="1">IF($D366&lt;&gt;"Serviço","",IF(AUTOEVENTO="manual",$A366,IF(ISERROR(MATCH($A366,$A$15:OFFSET($A366,-1,0),0)),MAX($M$15:OFFSET(M366,-1,0))+1,INDEX($M$15:OFFSET(M366,-1,0),MATCH($A366,$A$15:OFFSET($A366,-1,0),0)))))</f>
        <v>15</v>
      </c>
      <c r="N366" s="177" t="str">
        <f ca="1">IF($D366&lt;&gt;"Serviço","",IF(AUTOEVENTO="Manual",IF($A366=0,"&lt;-- defina o número do agrupador",OFFSET(EVENTOS!$D$14,$A366,0)),OFFSET($F$15,$A366,0)))</f>
        <v>INSTALAÇÕES DE ESGOTO SANITÁRIO</v>
      </c>
      <c r="O366" s="178"/>
      <c r="Q366" s="178"/>
      <c r="R366" s="179"/>
      <c r="S366" s="179"/>
      <c r="T366" s="179"/>
      <c r="U366" s="179"/>
      <c r="V366" s="179"/>
      <c r="W366" s="179"/>
      <c r="X366" s="179"/>
      <c r="Y366" s="179"/>
      <c r="Z366" s="180"/>
      <c r="AB366" s="544">
        <f ca="1">IF(AND($D366="Serviço",AB$12&lt;&gt;0,$H366&gt;0,OR(AUTOEVENTO&lt;&gt;"manual",$M366&lt;&gt;1)),
IF(Import.TipoArredondamento&lt;&gt;"TransfereGOV",
ROUND(OFFSET($P366,0,AB$13),15-13*ORÇAMENTO!$AF$7)/$H366*OFFSET(ORÇAMENTO!$X$15,ROW(AB366)-ROW(AB$15),0),
ROUND(ROUND(OFFSET($P366,0,AB$13),15-13*ORÇAMENTO!$AF$7)*OFFSET(ORÇAMENTO!$W$15,ROW(AB366)-ROW(AB$15),0),15-13*ORÇAMENTO!$AF$11)),0)</f>
        <v>0</v>
      </c>
      <c r="AC366" s="545">
        <f ca="1">IF(AND($D366="Serviço",AC$12&lt;&gt;0,$H366&gt;0,OR(AUTOEVENTO&lt;&gt;"manual",$M366&lt;&gt;1)),
IF(Import.TipoArredondamento&lt;&gt;"TransfereGOV",
ROUND(OFFSET($P366,0,AC$13),15-13*ORÇAMENTO!$AF$7)/$H366*OFFSET(ORÇAMENTO!$X$15,ROW(AC366)-ROW(AC$15),0),
ROUND(ROUND(OFFSET($P366,0,AC$13),15-13*ORÇAMENTO!$AF$7)*OFFSET(ORÇAMENTO!$W$15,ROW(AC366)-ROW(AC$15),0),15-13*ORÇAMENTO!$AF$11)),0)</f>
        <v>0</v>
      </c>
      <c r="AD366" s="545">
        <f ca="1">IF(AND($D366="Serviço",AD$12&lt;&gt;0,$H366&gt;0,OR(AUTOEVENTO&lt;&gt;"manual",$M366&lt;&gt;1)),
IF(Import.TipoArredondamento&lt;&gt;"TransfereGOV",
ROUND(OFFSET($P366,0,AD$13),15-13*ORÇAMENTO!$AF$7)/$H366*OFFSET(ORÇAMENTO!$X$15,ROW(AD366)-ROW(AD$15),0),
ROUND(ROUND(OFFSET($P366,0,AD$13),15-13*ORÇAMENTO!$AF$7)*OFFSET(ORÇAMENTO!$W$15,ROW(AD366)-ROW(AD$15),0),15-13*ORÇAMENTO!$AF$11)),0)</f>
        <v>0</v>
      </c>
      <c r="AE366" s="545">
        <f ca="1">IF(AND($D366="Serviço",AE$12&lt;&gt;0,$H366&gt;0,OR(AUTOEVENTO&lt;&gt;"manual",$M366&lt;&gt;1)),
IF(Import.TipoArredondamento&lt;&gt;"TransfereGOV",
ROUND(OFFSET($P366,0,AE$13),15-13*ORÇAMENTO!$AF$7)/$H366*OFFSET(ORÇAMENTO!$X$15,ROW(AE366)-ROW(AE$15),0),
ROUND(ROUND(OFFSET($P366,0,AE$13),15-13*ORÇAMENTO!$AF$7)*OFFSET(ORÇAMENTO!$W$15,ROW(AE366)-ROW(AE$15),0),15-13*ORÇAMENTO!$AF$11)),0)</f>
        <v>0</v>
      </c>
      <c r="AF366" s="545">
        <f ca="1">IF(AND($D366="Serviço",AF$12&lt;&gt;0,$H366&gt;0,OR(AUTOEVENTO&lt;&gt;"manual",$M366&lt;&gt;1)),
IF(Import.TipoArredondamento&lt;&gt;"TransfereGOV",
ROUND(OFFSET($P366,0,AF$13),15-13*ORÇAMENTO!$AF$7)/$H366*OFFSET(ORÇAMENTO!$X$15,ROW(AF366)-ROW(AF$15),0),
ROUND(ROUND(OFFSET($P366,0,AF$13),15-13*ORÇAMENTO!$AF$7)*OFFSET(ORÇAMENTO!$W$15,ROW(AF366)-ROW(AF$15),0),15-13*ORÇAMENTO!$AF$11)),0)</f>
        <v>0</v>
      </c>
      <c r="AG366" s="545">
        <f ca="1">IF(AND($D366="Serviço",AG$12&lt;&gt;0,$H366&gt;0,OR(AUTOEVENTO&lt;&gt;"manual",$M366&lt;&gt;1)),
IF(Import.TipoArredondamento&lt;&gt;"TransfereGOV",
ROUND(OFFSET($P366,0,AG$13),15-13*ORÇAMENTO!$AF$7)/$H366*OFFSET(ORÇAMENTO!$X$15,ROW(AG366)-ROW(AG$15),0),
ROUND(ROUND(OFFSET($P366,0,AG$13),15-13*ORÇAMENTO!$AF$7)*OFFSET(ORÇAMENTO!$W$15,ROW(AG366)-ROW(AG$15),0),15-13*ORÇAMENTO!$AF$11)),0)</f>
        <v>0</v>
      </c>
      <c r="AH366" s="545">
        <f ca="1">IF(AND($D366="Serviço",AH$12&lt;&gt;0,$H366&gt;0,OR(AUTOEVENTO&lt;&gt;"manual",$M366&lt;&gt;1)),
IF(Import.TipoArredondamento&lt;&gt;"TransfereGOV",
ROUND(OFFSET($P366,0,AH$13),15-13*ORÇAMENTO!$AF$7)/$H366*OFFSET(ORÇAMENTO!$X$15,ROW(AH366)-ROW(AH$15),0),
ROUND(ROUND(OFFSET($P366,0,AH$13),15-13*ORÇAMENTO!$AF$7)*OFFSET(ORÇAMENTO!$W$15,ROW(AH366)-ROW(AH$15),0),15-13*ORÇAMENTO!$AF$11)),0)</f>
        <v>0</v>
      </c>
      <c r="AI366" s="545">
        <f ca="1">IF(AND($D366="Serviço",AI$12&lt;&gt;0,$H366&gt;0,OR(AUTOEVENTO&lt;&gt;"manual",$M366&lt;&gt;1)),
IF(Import.TipoArredondamento&lt;&gt;"TransfereGOV",
ROUND(OFFSET($P366,0,AI$13),15-13*ORÇAMENTO!$AF$7)/$H366*OFFSET(ORÇAMENTO!$X$15,ROW(AI366)-ROW(AI$15),0),
ROUND(ROUND(OFFSET($P366,0,AI$13),15-13*ORÇAMENTO!$AF$7)*OFFSET(ORÇAMENTO!$W$15,ROW(AI366)-ROW(AI$15),0),15-13*ORÇAMENTO!$AF$11)),0)</f>
        <v>0</v>
      </c>
      <c r="AJ366" s="545">
        <f ca="1">IF(AND($D366="Serviço",AJ$12&lt;&gt;0,$H366&gt;0,OR(AUTOEVENTO&lt;&gt;"manual",$M366&lt;&gt;1)),
IF(Import.TipoArredondamento&lt;&gt;"TransfereGOV",
ROUND(OFFSET($P366,0,AJ$13),15-13*ORÇAMENTO!$AF$7)/$H366*OFFSET(ORÇAMENTO!$X$15,ROW(AJ366)-ROW(AJ$15),0),
ROUND(ROUND(OFFSET($P366,0,AJ$13),15-13*ORÇAMENTO!$AF$7)*OFFSET(ORÇAMENTO!$W$15,ROW(AJ366)-ROW(AJ$15),0),15-13*ORÇAMENTO!$AF$11)),0)</f>
        <v>0</v>
      </c>
      <c r="AK366" s="546">
        <f ca="1">IF(AND($D366="Serviço",AK$12&lt;&gt;0,$H366&gt;0,OR(AUTOEVENTO&lt;&gt;"manual",$M366&lt;&gt;1)),
IF(Import.TipoArredondamento&lt;&gt;"TransfereGOV",
ROUND(OFFSET($P366,0,AK$13),15-13*ORÇAMENTO!$AF$7)/$H366*OFFSET(ORÇAMENTO!$X$15,ROW(AK366)-ROW(AK$15),0),
ROUND(ROUND(OFFSET($P366,0,AK$13),15-13*ORÇAMENTO!$AF$7)*OFFSET(ORÇAMENTO!$W$15,ROW(AK366)-ROW(AK$15),0),15-13*ORÇAMENTO!$AF$11)),0)</f>
        <v>0</v>
      </c>
      <c r="AM366" s="181">
        <f ca="1">IF($D366&lt;&gt;"Serviço",0,IF(AND(AUTOEVENTO="Manual",$M366=1),0,IF(OFFSET(CRONOPLE!$F$14,$M366,AM$13)="",10^12,OFFSET(CRONOPLE!$F$14,$M366,AM$13))))</f>
        <v>1000000000000</v>
      </c>
      <c r="AN366" s="181">
        <f ca="1">IF($D366&lt;&gt;"Serviço",0,IF(AND(AUTOEVENTO="Manual",$M366=1),0,IF(OFFSET(CRONOPLE!$F$14,$M366,AN$13)="",10^12,OFFSET(CRONOPLE!$F$14,$M366,AN$13))))</f>
        <v>1000000000000</v>
      </c>
      <c r="AO366" s="181">
        <f ca="1">IF($D366&lt;&gt;"Serviço",0,IF(AND(AUTOEVENTO="Manual",$M366=1),0,IF(OFFSET(CRONOPLE!$F$14,$M366,AO$13)="",10^12,OFFSET(CRONOPLE!$F$14,$M366,AO$13))))</f>
        <v>1000000000000</v>
      </c>
      <c r="AP366" s="181">
        <f ca="1">IF($D366&lt;&gt;"Serviço",0,IF(AND(AUTOEVENTO="Manual",$M366=1),0,IF(OFFSET(CRONOPLE!$F$14,$M366,AP$13)="",10^12,OFFSET(CRONOPLE!$F$14,$M366,AP$13))))</f>
        <v>1000000000000</v>
      </c>
      <c r="AQ366" s="181">
        <f ca="1">IF($D366&lt;&gt;"Serviço",0,IF(AND(AUTOEVENTO="Manual",$M366=1),0,IF(OFFSET(CRONOPLE!$F$14,$M366,AQ$13)="",10^12,OFFSET(CRONOPLE!$F$14,$M366,AQ$13))))</f>
        <v>1000000000000</v>
      </c>
      <c r="AR366" s="181">
        <f ca="1">IF($D366&lt;&gt;"Serviço",0,IF(AND(AUTOEVENTO="Manual",$M366=1),0,IF(OFFSET(CRONOPLE!$F$14,$M366,AR$13)="",10^12,OFFSET(CRONOPLE!$F$14,$M366,AR$13))))</f>
        <v>1000000000000</v>
      </c>
      <c r="AS366" s="181">
        <f ca="1">IF($D366&lt;&gt;"Serviço",0,IF(AND(AUTOEVENTO="Manual",$M366=1),0,IF(OFFSET(CRONOPLE!$F$14,$M366,AS$13)="",10^12,OFFSET(CRONOPLE!$F$14,$M366,AS$13))))</f>
        <v>1000000000000</v>
      </c>
      <c r="AT366" s="181">
        <f ca="1">IF($D366&lt;&gt;"Serviço",0,IF(AND(AUTOEVENTO="Manual",$M366=1),0,IF(OFFSET(CRONOPLE!$F$14,$M366,AT$13)="",10^12,OFFSET(CRONOPLE!$F$14,$M366,AT$13))))</f>
        <v>1000000000000</v>
      </c>
      <c r="AU366" s="181">
        <f ca="1">IF($D366&lt;&gt;"Serviço",0,IF(AND(AUTOEVENTO="Manual",$M366=1),0,IF(OFFSET(CRONOPLE!$F$14,$M366,AU$13)="",10^12,OFFSET(CRONOPLE!$F$14,$M366,AU$13))))</f>
        <v>1000000000000</v>
      </c>
      <c r="AV366" s="181">
        <f ca="1">IF($D366&lt;&gt;"Serviço",0,IF(AND(AUTOEVENTO="Manual",$M366=1),0,IF(OFFSET(CRONOPLE!$F$14,$M366,AV$13)="",10^12,OFFSET(CRONOPLE!$F$14,$M366,AV$13))))</f>
        <v>1000000000000</v>
      </c>
      <c r="AX366" s="182">
        <f ca="1">IF($D366&lt;&gt;"Serviço",0,IF(OR(AND(AUTOEVENTO="Manual",$M366=1),$M366&gt;(ROW(PLE.lastrow)-ROW(PLE.firstrow))),0,IF(OFFSET(PLE!$G$14,$M366,AX$13)="",10^12,OFFSET(PLE!$G$14,$M366,AX$13))))</f>
        <v>1000000000000</v>
      </c>
      <c r="AY366" s="182">
        <f ca="1">IF($D366&lt;&gt;"Serviço",0,IF(OR(AND(AUTOEVENTO="Manual",$M366=1),$M366&gt;(ROW(PLE.lastrow)-ROW(PLE.firstrow))),0,IF(OFFSET(PLE!$G$14,$M366,AY$13)="",10^12,OFFSET(PLE!$G$14,$M366,AY$13))))</f>
        <v>1000000000000</v>
      </c>
      <c r="AZ366" s="182">
        <f ca="1">IF($D366&lt;&gt;"Serviço",0,IF(OR(AND(AUTOEVENTO="Manual",$M366=1),$M366&gt;(ROW(PLE.lastrow)-ROW(PLE.firstrow))),0,IF(OFFSET(PLE!$G$14,$M366,AZ$13)="",10^12,OFFSET(PLE!$G$14,$M366,AZ$13))))</f>
        <v>1000000000000</v>
      </c>
      <c r="BA366" s="182">
        <f ca="1">IF($D366&lt;&gt;"Serviço",0,IF(OR(AND(AUTOEVENTO="Manual",$M366=1),$M366&gt;(ROW(PLE.lastrow)-ROW(PLE.firstrow))),0,IF(OFFSET(PLE!$G$14,$M366,BA$13)="",10^12,OFFSET(PLE!$G$14,$M366,BA$13))))</f>
        <v>1000000000000</v>
      </c>
      <c r="BB366" s="182">
        <f ca="1">IF($D366&lt;&gt;"Serviço",0,IF(OR(AND(AUTOEVENTO="Manual",$M366=1),$M366&gt;(ROW(PLE.lastrow)-ROW(PLE.firstrow))),0,IF(OFFSET(PLE!$G$14,$M366,BB$13)="",10^12,OFFSET(PLE!$G$14,$M366,BB$13))))</f>
        <v>1000000000000</v>
      </c>
      <c r="BC366" s="182">
        <f ca="1">IF($D366&lt;&gt;"Serviço",0,IF(OR(AND(AUTOEVENTO="Manual",$M366=1),$M366&gt;(ROW(PLE.lastrow)-ROW(PLE.firstrow))),0,IF(OFFSET(PLE!$G$14,$M366,BC$13)="",10^12,OFFSET(PLE!$G$14,$M366,BC$13))))</f>
        <v>1000000000000</v>
      </c>
      <c r="BD366" s="182">
        <f ca="1">IF($D366&lt;&gt;"Serviço",0,IF(OR(AND(AUTOEVENTO="Manual",$M366=1),$M366&gt;(ROW(PLE.lastrow)-ROW(PLE.firstrow))),0,IF(OFFSET(PLE!$G$14,$M366,BD$13)="",10^12,OFFSET(PLE!$G$14,$M366,BD$13))))</f>
        <v>1000000000000</v>
      </c>
      <c r="BE366" s="182">
        <f ca="1">IF($D366&lt;&gt;"Serviço",0,IF(OR(AND(AUTOEVENTO="Manual",$M366=1),$M366&gt;(ROW(PLE.lastrow)-ROW(PLE.firstrow))),0,IF(OFFSET(PLE!$G$14,$M366,BE$13)="",10^12,OFFSET(PLE!$G$14,$M366,BE$13))))</f>
        <v>1000000000000</v>
      </c>
      <c r="BF366" s="182">
        <f ca="1">IF($D366&lt;&gt;"Serviço",0,IF(OR(AND(AUTOEVENTO="Manual",$M366=1),$M366&gt;(ROW(PLE.lastrow)-ROW(PLE.firstrow))),0,IF(OFFSET(PLE!$G$14,$M366,BF$13)="",10^12,OFFSET(PLE!$G$14,$M366,BF$13))))</f>
        <v>1000000000000</v>
      </c>
      <c r="BG366" s="182">
        <f ca="1">IF($D366&lt;&gt;"Serviço",0,IF(OR(AND(AUTOEVENTO="Manual",$M366=1),$M366&gt;(ROW(PLE.lastrow)-ROW(PLE.firstrow))),0,IF(OFFSET(PLE!$G$14,$M366,BG$13)="",10^12,OFFSET(PLE!$G$14,$M366,BG$13))))</f>
        <v>1000000000000</v>
      </c>
    </row>
    <row r="367" spans="1:59" ht="38.25" x14ac:dyDescent="0.2">
      <c r="A367" s="7" t="str">
        <f t="shared" ca="1" si="11"/>
        <v>325</v>
      </c>
      <c r="B367" s="7" t="str">
        <f ca="1">OFFSET(ORÇAMENTO!C$15,ROW(B367)-ROW(B$15),0)</f>
        <v>S</v>
      </c>
      <c r="C367" s="7" t="str">
        <f ca="1">OFFSET(ORÇAMENTO!L$15,ROW(C367)-ROW(C$15),0)</f>
        <v/>
      </c>
      <c r="D367" s="118" t="str">
        <f ca="1">OFFSET(ORÇAMENTO!N$15,ROW(D367)-ROW(D$15),0)</f>
        <v>Serviço</v>
      </c>
      <c r="E367" s="119" t="str">
        <f ca="1">OFFSET(ORÇAMENTO!O$15,ROW(E367)-ROW(E$15),0)</f>
        <v>-</v>
      </c>
      <c r="F367" s="172" t="str">
        <f ca="1">OFFSET(ORÇAMENTO!R$15,ROW(F367)-ROW(F$15),0)</f>
        <v>(abra o arquivo 'Referência 02-2025.xlsm)</v>
      </c>
      <c r="G367" s="173" t="str">
        <f ca="1">IF($D367&lt;&gt;"Serviço","",OFFSET(ORÇAMENTO!S$15,ROW(G367)-ROW(G$15),0))</f>
        <v>-</v>
      </c>
      <c r="H367" s="124">
        <f ca="1">IF($D367&lt;&gt;"Serviço",0,IF(ACOMPANHAMENTO="BM",ROUND(OFFSET(ORÇAMENTO!AJ$15,ROW(H367)-ROW(H$15),0),15-13*ORÇAMENTO!$AF$7),SUMPRODUCT(($Q$12:$AA$12&lt;&gt;"")*ROUND($Q367:$AA367,15-13*ORÇAMENTO!$AF$7))))</f>
        <v>2</v>
      </c>
      <c r="I367" s="561" t="s">
        <v>890</v>
      </c>
      <c r="K367" s="174"/>
      <c r="L367" s="175" t="s">
        <v>255</v>
      </c>
      <c r="M367" s="176">
        <f ca="1">IF($D367&lt;&gt;"Serviço","",IF(AUTOEVENTO="manual",$A367,IF(ISERROR(MATCH($A367,$A$15:OFFSET($A367,-1,0),0)),MAX($M$15:OFFSET(M367,-1,0))+1,INDEX($M$15:OFFSET(M367,-1,0),MATCH($A367,$A$15:OFFSET($A367,-1,0),0)))))</f>
        <v>15</v>
      </c>
      <c r="N367" s="177" t="str">
        <f ca="1">IF($D367&lt;&gt;"Serviço","",IF(AUTOEVENTO="Manual",IF($A367=0,"&lt;-- defina o número do agrupador",OFFSET(EVENTOS!$D$14,$A367,0)),OFFSET($F$15,$A367,0)))</f>
        <v>INSTALAÇÕES DE ESGOTO SANITÁRIO</v>
      </c>
      <c r="O367" s="178"/>
      <c r="Q367" s="178"/>
      <c r="R367" s="179"/>
      <c r="S367" s="179"/>
      <c r="T367" s="179"/>
      <c r="U367" s="179"/>
      <c r="V367" s="179"/>
      <c r="W367" s="179"/>
      <c r="X367" s="179"/>
      <c r="Y367" s="179"/>
      <c r="Z367" s="180"/>
      <c r="AB367" s="544">
        <f ca="1">IF(AND($D367="Serviço",AB$12&lt;&gt;0,$H367&gt;0,OR(AUTOEVENTO&lt;&gt;"manual",$M367&lt;&gt;1)),
IF(Import.TipoArredondamento&lt;&gt;"TransfereGOV",
ROUND(OFFSET($P367,0,AB$13),15-13*ORÇAMENTO!$AF$7)/$H367*OFFSET(ORÇAMENTO!$X$15,ROW(AB367)-ROW(AB$15),0),
ROUND(ROUND(OFFSET($P367,0,AB$13),15-13*ORÇAMENTO!$AF$7)*OFFSET(ORÇAMENTO!$W$15,ROW(AB367)-ROW(AB$15),0),15-13*ORÇAMENTO!$AF$11)),0)</f>
        <v>0</v>
      </c>
      <c r="AC367" s="545">
        <f ca="1">IF(AND($D367="Serviço",AC$12&lt;&gt;0,$H367&gt;0,OR(AUTOEVENTO&lt;&gt;"manual",$M367&lt;&gt;1)),
IF(Import.TipoArredondamento&lt;&gt;"TransfereGOV",
ROUND(OFFSET($P367,0,AC$13),15-13*ORÇAMENTO!$AF$7)/$H367*OFFSET(ORÇAMENTO!$X$15,ROW(AC367)-ROW(AC$15),0),
ROUND(ROUND(OFFSET($P367,0,AC$13),15-13*ORÇAMENTO!$AF$7)*OFFSET(ORÇAMENTO!$W$15,ROW(AC367)-ROW(AC$15),0),15-13*ORÇAMENTO!$AF$11)),0)</f>
        <v>0</v>
      </c>
      <c r="AD367" s="545">
        <f ca="1">IF(AND($D367="Serviço",AD$12&lt;&gt;0,$H367&gt;0,OR(AUTOEVENTO&lt;&gt;"manual",$M367&lt;&gt;1)),
IF(Import.TipoArredondamento&lt;&gt;"TransfereGOV",
ROUND(OFFSET($P367,0,AD$13),15-13*ORÇAMENTO!$AF$7)/$H367*OFFSET(ORÇAMENTO!$X$15,ROW(AD367)-ROW(AD$15),0),
ROUND(ROUND(OFFSET($P367,0,AD$13),15-13*ORÇAMENTO!$AF$7)*OFFSET(ORÇAMENTO!$W$15,ROW(AD367)-ROW(AD$15),0),15-13*ORÇAMENTO!$AF$11)),0)</f>
        <v>0</v>
      </c>
      <c r="AE367" s="545">
        <f ca="1">IF(AND($D367="Serviço",AE$12&lt;&gt;0,$H367&gt;0,OR(AUTOEVENTO&lt;&gt;"manual",$M367&lt;&gt;1)),
IF(Import.TipoArredondamento&lt;&gt;"TransfereGOV",
ROUND(OFFSET($P367,0,AE$13),15-13*ORÇAMENTO!$AF$7)/$H367*OFFSET(ORÇAMENTO!$X$15,ROW(AE367)-ROW(AE$15),0),
ROUND(ROUND(OFFSET($P367,0,AE$13),15-13*ORÇAMENTO!$AF$7)*OFFSET(ORÇAMENTO!$W$15,ROW(AE367)-ROW(AE$15),0),15-13*ORÇAMENTO!$AF$11)),0)</f>
        <v>0</v>
      </c>
      <c r="AF367" s="545">
        <f ca="1">IF(AND($D367="Serviço",AF$12&lt;&gt;0,$H367&gt;0,OR(AUTOEVENTO&lt;&gt;"manual",$M367&lt;&gt;1)),
IF(Import.TipoArredondamento&lt;&gt;"TransfereGOV",
ROUND(OFFSET($P367,0,AF$13),15-13*ORÇAMENTO!$AF$7)/$H367*OFFSET(ORÇAMENTO!$X$15,ROW(AF367)-ROW(AF$15),0),
ROUND(ROUND(OFFSET($P367,0,AF$13),15-13*ORÇAMENTO!$AF$7)*OFFSET(ORÇAMENTO!$W$15,ROW(AF367)-ROW(AF$15),0),15-13*ORÇAMENTO!$AF$11)),0)</f>
        <v>0</v>
      </c>
      <c r="AG367" s="545">
        <f ca="1">IF(AND($D367="Serviço",AG$12&lt;&gt;0,$H367&gt;0,OR(AUTOEVENTO&lt;&gt;"manual",$M367&lt;&gt;1)),
IF(Import.TipoArredondamento&lt;&gt;"TransfereGOV",
ROUND(OFFSET($P367,0,AG$13),15-13*ORÇAMENTO!$AF$7)/$H367*OFFSET(ORÇAMENTO!$X$15,ROW(AG367)-ROW(AG$15),0),
ROUND(ROUND(OFFSET($P367,0,AG$13),15-13*ORÇAMENTO!$AF$7)*OFFSET(ORÇAMENTO!$W$15,ROW(AG367)-ROW(AG$15),0),15-13*ORÇAMENTO!$AF$11)),0)</f>
        <v>0</v>
      </c>
      <c r="AH367" s="545">
        <f ca="1">IF(AND($D367="Serviço",AH$12&lt;&gt;0,$H367&gt;0,OR(AUTOEVENTO&lt;&gt;"manual",$M367&lt;&gt;1)),
IF(Import.TipoArredondamento&lt;&gt;"TransfereGOV",
ROUND(OFFSET($P367,0,AH$13),15-13*ORÇAMENTO!$AF$7)/$H367*OFFSET(ORÇAMENTO!$X$15,ROW(AH367)-ROW(AH$15),0),
ROUND(ROUND(OFFSET($P367,0,AH$13),15-13*ORÇAMENTO!$AF$7)*OFFSET(ORÇAMENTO!$W$15,ROW(AH367)-ROW(AH$15),0),15-13*ORÇAMENTO!$AF$11)),0)</f>
        <v>0</v>
      </c>
      <c r="AI367" s="545">
        <f ca="1">IF(AND($D367="Serviço",AI$12&lt;&gt;0,$H367&gt;0,OR(AUTOEVENTO&lt;&gt;"manual",$M367&lt;&gt;1)),
IF(Import.TipoArredondamento&lt;&gt;"TransfereGOV",
ROUND(OFFSET($P367,0,AI$13),15-13*ORÇAMENTO!$AF$7)/$H367*OFFSET(ORÇAMENTO!$X$15,ROW(AI367)-ROW(AI$15),0),
ROUND(ROUND(OFFSET($P367,0,AI$13),15-13*ORÇAMENTO!$AF$7)*OFFSET(ORÇAMENTO!$W$15,ROW(AI367)-ROW(AI$15),0),15-13*ORÇAMENTO!$AF$11)),0)</f>
        <v>0</v>
      </c>
      <c r="AJ367" s="545">
        <f ca="1">IF(AND($D367="Serviço",AJ$12&lt;&gt;0,$H367&gt;0,OR(AUTOEVENTO&lt;&gt;"manual",$M367&lt;&gt;1)),
IF(Import.TipoArredondamento&lt;&gt;"TransfereGOV",
ROUND(OFFSET($P367,0,AJ$13),15-13*ORÇAMENTO!$AF$7)/$H367*OFFSET(ORÇAMENTO!$X$15,ROW(AJ367)-ROW(AJ$15),0),
ROUND(ROUND(OFFSET($P367,0,AJ$13),15-13*ORÇAMENTO!$AF$7)*OFFSET(ORÇAMENTO!$W$15,ROW(AJ367)-ROW(AJ$15),0),15-13*ORÇAMENTO!$AF$11)),0)</f>
        <v>0</v>
      </c>
      <c r="AK367" s="546">
        <f ca="1">IF(AND($D367="Serviço",AK$12&lt;&gt;0,$H367&gt;0,OR(AUTOEVENTO&lt;&gt;"manual",$M367&lt;&gt;1)),
IF(Import.TipoArredondamento&lt;&gt;"TransfereGOV",
ROUND(OFFSET($P367,0,AK$13),15-13*ORÇAMENTO!$AF$7)/$H367*OFFSET(ORÇAMENTO!$X$15,ROW(AK367)-ROW(AK$15),0),
ROUND(ROUND(OFFSET($P367,0,AK$13),15-13*ORÇAMENTO!$AF$7)*OFFSET(ORÇAMENTO!$W$15,ROW(AK367)-ROW(AK$15),0),15-13*ORÇAMENTO!$AF$11)),0)</f>
        <v>0</v>
      </c>
      <c r="AM367" s="181">
        <f ca="1">IF($D367&lt;&gt;"Serviço",0,IF(AND(AUTOEVENTO="Manual",$M367=1),0,IF(OFFSET(CRONOPLE!$F$14,$M367,AM$13)="",10^12,OFFSET(CRONOPLE!$F$14,$M367,AM$13))))</f>
        <v>1000000000000</v>
      </c>
      <c r="AN367" s="181">
        <f ca="1">IF($D367&lt;&gt;"Serviço",0,IF(AND(AUTOEVENTO="Manual",$M367=1),0,IF(OFFSET(CRONOPLE!$F$14,$M367,AN$13)="",10^12,OFFSET(CRONOPLE!$F$14,$M367,AN$13))))</f>
        <v>1000000000000</v>
      </c>
      <c r="AO367" s="181">
        <f ca="1">IF($D367&lt;&gt;"Serviço",0,IF(AND(AUTOEVENTO="Manual",$M367=1),0,IF(OFFSET(CRONOPLE!$F$14,$M367,AO$13)="",10^12,OFFSET(CRONOPLE!$F$14,$M367,AO$13))))</f>
        <v>1000000000000</v>
      </c>
      <c r="AP367" s="181">
        <f ca="1">IF($D367&lt;&gt;"Serviço",0,IF(AND(AUTOEVENTO="Manual",$M367=1),0,IF(OFFSET(CRONOPLE!$F$14,$M367,AP$13)="",10^12,OFFSET(CRONOPLE!$F$14,$M367,AP$13))))</f>
        <v>1000000000000</v>
      </c>
      <c r="AQ367" s="181">
        <f ca="1">IF($D367&lt;&gt;"Serviço",0,IF(AND(AUTOEVENTO="Manual",$M367=1),0,IF(OFFSET(CRONOPLE!$F$14,$M367,AQ$13)="",10^12,OFFSET(CRONOPLE!$F$14,$M367,AQ$13))))</f>
        <v>1000000000000</v>
      </c>
      <c r="AR367" s="181">
        <f ca="1">IF($D367&lt;&gt;"Serviço",0,IF(AND(AUTOEVENTO="Manual",$M367=1),0,IF(OFFSET(CRONOPLE!$F$14,$M367,AR$13)="",10^12,OFFSET(CRONOPLE!$F$14,$M367,AR$13))))</f>
        <v>1000000000000</v>
      </c>
      <c r="AS367" s="181">
        <f ca="1">IF($D367&lt;&gt;"Serviço",0,IF(AND(AUTOEVENTO="Manual",$M367=1),0,IF(OFFSET(CRONOPLE!$F$14,$M367,AS$13)="",10^12,OFFSET(CRONOPLE!$F$14,$M367,AS$13))))</f>
        <v>1000000000000</v>
      </c>
      <c r="AT367" s="181">
        <f ca="1">IF($D367&lt;&gt;"Serviço",0,IF(AND(AUTOEVENTO="Manual",$M367=1),0,IF(OFFSET(CRONOPLE!$F$14,$M367,AT$13)="",10^12,OFFSET(CRONOPLE!$F$14,$M367,AT$13))))</f>
        <v>1000000000000</v>
      </c>
      <c r="AU367" s="181">
        <f ca="1">IF($D367&lt;&gt;"Serviço",0,IF(AND(AUTOEVENTO="Manual",$M367=1),0,IF(OFFSET(CRONOPLE!$F$14,$M367,AU$13)="",10^12,OFFSET(CRONOPLE!$F$14,$M367,AU$13))))</f>
        <v>1000000000000</v>
      </c>
      <c r="AV367" s="181">
        <f ca="1">IF($D367&lt;&gt;"Serviço",0,IF(AND(AUTOEVENTO="Manual",$M367=1),0,IF(OFFSET(CRONOPLE!$F$14,$M367,AV$13)="",10^12,OFFSET(CRONOPLE!$F$14,$M367,AV$13))))</f>
        <v>1000000000000</v>
      </c>
      <c r="AX367" s="182">
        <f ca="1">IF($D367&lt;&gt;"Serviço",0,IF(OR(AND(AUTOEVENTO="Manual",$M367=1),$M367&gt;(ROW(PLE.lastrow)-ROW(PLE.firstrow))),0,IF(OFFSET(PLE!$G$14,$M367,AX$13)="",10^12,OFFSET(PLE!$G$14,$M367,AX$13))))</f>
        <v>1000000000000</v>
      </c>
      <c r="AY367" s="182">
        <f ca="1">IF($D367&lt;&gt;"Serviço",0,IF(OR(AND(AUTOEVENTO="Manual",$M367=1),$M367&gt;(ROW(PLE.lastrow)-ROW(PLE.firstrow))),0,IF(OFFSET(PLE!$G$14,$M367,AY$13)="",10^12,OFFSET(PLE!$G$14,$M367,AY$13))))</f>
        <v>1000000000000</v>
      </c>
      <c r="AZ367" s="182">
        <f ca="1">IF($D367&lt;&gt;"Serviço",0,IF(OR(AND(AUTOEVENTO="Manual",$M367=1),$M367&gt;(ROW(PLE.lastrow)-ROW(PLE.firstrow))),0,IF(OFFSET(PLE!$G$14,$M367,AZ$13)="",10^12,OFFSET(PLE!$G$14,$M367,AZ$13))))</f>
        <v>1000000000000</v>
      </c>
      <c r="BA367" s="182">
        <f ca="1">IF($D367&lt;&gt;"Serviço",0,IF(OR(AND(AUTOEVENTO="Manual",$M367=1),$M367&gt;(ROW(PLE.lastrow)-ROW(PLE.firstrow))),0,IF(OFFSET(PLE!$G$14,$M367,BA$13)="",10^12,OFFSET(PLE!$G$14,$M367,BA$13))))</f>
        <v>1000000000000</v>
      </c>
      <c r="BB367" s="182">
        <f ca="1">IF($D367&lt;&gt;"Serviço",0,IF(OR(AND(AUTOEVENTO="Manual",$M367=1),$M367&gt;(ROW(PLE.lastrow)-ROW(PLE.firstrow))),0,IF(OFFSET(PLE!$G$14,$M367,BB$13)="",10^12,OFFSET(PLE!$G$14,$M367,BB$13))))</f>
        <v>1000000000000</v>
      </c>
      <c r="BC367" s="182">
        <f ca="1">IF($D367&lt;&gt;"Serviço",0,IF(OR(AND(AUTOEVENTO="Manual",$M367=1),$M367&gt;(ROW(PLE.lastrow)-ROW(PLE.firstrow))),0,IF(OFFSET(PLE!$G$14,$M367,BC$13)="",10^12,OFFSET(PLE!$G$14,$M367,BC$13))))</f>
        <v>1000000000000</v>
      </c>
      <c r="BD367" s="182">
        <f ca="1">IF($D367&lt;&gt;"Serviço",0,IF(OR(AND(AUTOEVENTO="Manual",$M367=1),$M367&gt;(ROW(PLE.lastrow)-ROW(PLE.firstrow))),0,IF(OFFSET(PLE!$G$14,$M367,BD$13)="",10^12,OFFSET(PLE!$G$14,$M367,BD$13))))</f>
        <v>1000000000000</v>
      </c>
      <c r="BE367" s="182">
        <f ca="1">IF($D367&lt;&gt;"Serviço",0,IF(OR(AND(AUTOEVENTO="Manual",$M367=1),$M367&gt;(ROW(PLE.lastrow)-ROW(PLE.firstrow))),0,IF(OFFSET(PLE!$G$14,$M367,BE$13)="",10^12,OFFSET(PLE!$G$14,$M367,BE$13))))</f>
        <v>1000000000000</v>
      </c>
      <c r="BF367" s="182">
        <f ca="1">IF($D367&lt;&gt;"Serviço",0,IF(OR(AND(AUTOEVENTO="Manual",$M367=1),$M367&gt;(ROW(PLE.lastrow)-ROW(PLE.firstrow))),0,IF(OFFSET(PLE!$G$14,$M367,BF$13)="",10^12,OFFSET(PLE!$G$14,$M367,BF$13))))</f>
        <v>1000000000000</v>
      </c>
      <c r="BG367" s="182">
        <f ca="1">IF($D367&lt;&gt;"Serviço",0,IF(OR(AND(AUTOEVENTO="Manual",$M367=1),$M367&gt;(ROW(PLE.lastrow)-ROW(PLE.firstrow))),0,IF(OFFSET(PLE!$G$14,$M367,BG$13)="",10^12,OFFSET(PLE!$G$14,$M367,BG$13))))</f>
        <v>1000000000000</v>
      </c>
    </row>
    <row r="368" spans="1:59" ht="38.25" x14ac:dyDescent="0.2">
      <c r="A368" s="7" t="str">
        <f t="shared" ca="1" si="11"/>
        <v>325</v>
      </c>
      <c r="B368" s="7" t="str">
        <f ca="1">OFFSET(ORÇAMENTO!C$15,ROW(B368)-ROW(B$15),0)</f>
        <v>S</v>
      </c>
      <c r="C368" s="7" t="str">
        <f ca="1">OFFSET(ORÇAMENTO!L$15,ROW(C368)-ROW(C$15),0)</f>
        <v/>
      </c>
      <c r="D368" s="118" t="str">
        <f ca="1">OFFSET(ORÇAMENTO!N$15,ROW(D368)-ROW(D$15),0)</f>
        <v>Serviço</v>
      </c>
      <c r="E368" s="119" t="str">
        <f ca="1">OFFSET(ORÇAMENTO!O$15,ROW(E368)-ROW(E$15),0)</f>
        <v>-</v>
      </c>
      <c r="F368" s="172" t="str">
        <f ca="1">OFFSET(ORÇAMENTO!R$15,ROW(F368)-ROW(F$15),0)</f>
        <v>(abra o arquivo 'Referência 02-2025.xlsm)</v>
      </c>
      <c r="G368" s="173" t="str">
        <f ca="1">IF($D368&lt;&gt;"Serviço","",OFFSET(ORÇAMENTO!S$15,ROW(G368)-ROW(G$15),0))</f>
        <v>-</v>
      </c>
      <c r="H368" s="124">
        <f ca="1">IF($D368&lt;&gt;"Serviço",0,IF(ACOMPANHAMENTO="BM",ROUND(OFFSET(ORÇAMENTO!AJ$15,ROW(H368)-ROW(H$15),0),15-13*ORÇAMENTO!$AF$7),SUMPRODUCT(($Q$12:$AA$12&lt;&gt;"")*ROUND($Q368:$AA368,15-13*ORÇAMENTO!$AF$7))))</f>
        <v>1</v>
      </c>
      <c r="I368" s="561" t="s">
        <v>890</v>
      </c>
      <c r="K368" s="174"/>
      <c r="L368" s="175" t="s">
        <v>255</v>
      </c>
      <c r="M368" s="176">
        <f ca="1">IF($D368&lt;&gt;"Serviço","",IF(AUTOEVENTO="manual",$A368,IF(ISERROR(MATCH($A368,$A$15:OFFSET($A368,-1,0),0)),MAX($M$15:OFFSET(M368,-1,0))+1,INDEX($M$15:OFFSET(M368,-1,0),MATCH($A368,$A$15:OFFSET($A368,-1,0),0)))))</f>
        <v>15</v>
      </c>
      <c r="N368" s="177" t="str">
        <f ca="1">IF($D368&lt;&gt;"Serviço","",IF(AUTOEVENTO="Manual",IF($A368=0,"&lt;-- defina o número do agrupador",OFFSET(EVENTOS!$D$14,$A368,0)),OFFSET($F$15,$A368,0)))</f>
        <v>INSTALAÇÕES DE ESGOTO SANITÁRIO</v>
      </c>
      <c r="O368" s="178"/>
      <c r="Q368" s="178"/>
      <c r="R368" s="179"/>
      <c r="S368" s="179"/>
      <c r="T368" s="179"/>
      <c r="U368" s="179"/>
      <c r="V368" s="179"/>
      <c r="W368" s="179"/>
      <c r="X368" s="179"/>
      <c r="Y368" s="179"/>
      <c r="Z368" s="180"/>
      <c r="AB368" s="544">
        <f ca="1">IF(AND($D368="Serviço",AB$12&lt;&gt;0,$H368&gt;0,OR(AUTOEVENTO&lt;&gt;"manual",$M368&lt;&gt;1)),
IF(Import.TipoArredondamento&lt;&gt;"TransfereGOV",
ROUND(OFFSET($P368,0,AB$13),15-13*ORÇAMENTO!$AF$7)/$H368*OFFSET(ORÇAMENTO!$X$15,ROW(AB368)-ROW(AB$15),0),
ROUND(ROUND(OFFSET($P368,0,AB$13),15-13*ORÇAMENTO!$AF$7)*OFFSET(ORÇAMENTO!$W$15,ROW(AB368)-ROW(AB$15),0),15-13*ORÇAMENTO!$AF$11)),0)</f>
        <v>0</v>
      </c>
      <c r="AC368" s="545">
        <f ca="1">IF(AND($D368="Serviço",AC$12&lt;&gt;0,$H368&gt;0,OR(AUTOEVENTO&lt;&gt;"manual",$M368&lt;&gt;1)),
IF(Import.TipoArredondamento&lt;&gt;"TransfereGOV",
ROUND(OFFSET($P368,0,AC$13),15-13*ORÇAMENTO!$AF$7)/$H368*OFFSET(ORÇAMENTO!$X$15,ROW(AC368)-ROW(AC$15),0),
ROUND(ROUND(OFFSET($P368,0,AC$13),15-13*ORÇAMENTO!$AF$7)*OFFSET(ORÇAMENTO!$W$15,ROW(AC368)-ROW(AC$15),0),15-13*ORÇAMENTO!$AF$11)),0)</f>
        <v>0</v>
      </c>
      <c r="AD368" s="545">
        <f ca="1">IF(AND($D368="Serviço",AD$12&lt;&gt;0,$H368&gt;0,OR(AUTOEVENTO&lt;&gt;"manual",$M368&lt;&gt;1)),
IF(Import.TipoArredondamento&lt;&gt;"TransfereGOV",
ROUND(OFFSET($P368,0,AD$13),15-13*ORÇAMENTO!$AF$7)/$H368*OFFSET(ORÇAMENTO!$X$15,ROW(AD368)-ROW(AD$15),0),
ROUND(ROUND(OFFSET($P368,0,AD$13),15-13*ORÇAMENTO!$AF$7)*OFFSET(ORÇAMENTO!$W$15,ROW(AD368)-ROW(AD$15),0),15-13*ORÇAMENTO!$AF$11)),0)</f>
        <v>0</v>
      </c>
      <c r="AE368" s="545">
        <f ca="1">IF(AND($D368="Serviço",AE$12&lt;&gt;0,$H368&gt;0,OR(AUTOEVENTO&lt;&gt;"manual",$M368&lt;&gt;1)),
IF(Import.TipoArredondamento&lt;&gt;"TransfereGOV",
ROUND(OFFSET($P368,0,AE$13),15-13*ORÇAMENTO!$AF$7)/$H368*OFFSET(ORÇAMENTO!$X$15,ROW(AE368)-ROW(AE$15),0),
ROUND(ROUND(OFFSET($P368,0,AE$13),15-13*ORÇAMENTO!$AF$7)*OFFSET(ORÇAMENTO!$W$15,ROW(AE368)-ROW(AE$15),0),15-13*ORÇAMENTO!$AF$11)),0)</f>
        <v>0</v>
      </c>
      <c r="AF368" s="545">
        <f ca="1">IF(AND($D368="Serviço",AF$12&lt;&gt;0,$H368&gt;0,OR(AUTOEVENTO&lt;&gt;"manual",$M368&lt;&gt;1)),
IF(Import.TipoArredondamento&lt;&gt;"TransfereGOV",
ROUND(OFFSET($P368,0,AF$13),15-13*ORÇAMENTO!$AF$7)/$H368*OFFSET(ORÇAMENTO!$X$15,ROW(AF368)-ROW(AF$15),0),
ROUND(ROUND(OFFSET($P368,0,AF$13),15-13*ORÇAMENTO!$AF$7)*OFFSET(ORÇAMENTO!$W$15,ROW(AF368)-ROW(AF$15),0),15-13*ORÇAMENTO!$AF$11)),0)</f>
        <v>0</v>
      </c>
      <c r="AG368" s="545">
        <f ca="1">IF(AND($D368="Serviço",AG$12&lt;&gt;0,$H368&gt;0,OR(AUTOEVENTO&lt;&gt;"manual",$M368&lt;&gt;1)),
IF(Import.TipoArredondamento&lt;&gt;"TransfereGOV",
ROUND(OFFSET($P368,0,AG$13),15-13*ORÇAMENTO!$AF$7)/$H368*OFFSET(ORÇAMENTO!$X$15,ROW(AG368)-ROW(AG$15),0),
ROUND(ROUND(OFFSET($P368,0,AG$13),15-13*ORÇAMENTO!$AF$7)*OFFSET(ORÇAMENTO!$W$15,ROW(AG368)-ROW(AG$15),0),15-13*ORÇAMENTO!$AF$11)),0)</f>
        <v>0</v>
      </c>
      <c r="AH368" s="545">
        <f ca="1">IF(AND($D368="Serviço",AH$12&lt;&gt;0,$H368&gt;0,OR(AUTOEVENTO&lt;&gt;"manual",$M368&lt;&gt;1)),
IF(Import.TipoArredondamento&lt;&gt;"TransfereGOV",
ROUND(OFFSET($P368,0,AH$13),15-13*ORÇAMENTO!$AF$7)/$H368*OFFSET(ORÇAMENTO!$X$15,ROW(AH368)-ROW(AH$15),0),
ROUND(ROUND(OFFSET($P368,0,AH$13),15-13*ORÇAMENTO!$AF$7)*OFFSET(ORÇAMENTO!$W$15,ROW(AH368)-ROW(AH$15),0),15-13*ORÇAMENTO!$AF$11)),0)</f>
        <v>0</v>
      </c>
      <c r="AI368" s="545">
        <f ca="1">IF(AND($D368="Serviço",AI$12&lt;&gt;0,$H368&gt;0,OR(AUTOEVENTO&lt;&gt;"manual",$M368&lt;&gt;1)),
IF(Import.TipoArredondamento&lt;&gt;"TransfereGOV",
ROUND(OFFSET($P368,0,AI$13),15-13*ORÇAMENTO!$AF$7)/$H368*OFFSET(ORÇAMENTO!$X$15,ROW(AI368)-ROW(AI$15),0),
ROUND(ROUND(OFFSET($P368,0,AI$13),15-13*ORÇAMENTO!$AF$7)*OFFSET(ORÇAMENTO!$W$15,ROW(AI368)-ROW(AI$15),0),15-13*ORÇAMENTO!$AF$11)),0)</f>
        <v>0</v>
      </c>
      <c r="AJ368" s="545">
        <f ca="1">IF(AND($D368="Serviço",AJ$12&lt;&gt;0,$H368&gt;0,OR(AUTOEVENTO&lt;&gt;"manual",$M368&lt;&gt;1)),
IF(Import.TipoArredondamento&lt;&gt;"TransfereGOV",
ROUND(OFFSET($P368,0,AJ$13),15-13*ORÇAMENTO!$AF$7)/$H368*OFFSET(ORÇAMENTO!$X$15,ROW(AJ368)-ROW(AJ$15),0),
ROUND(ROUND(OFFSET($P368,0,AJ$13),15-13*ORÇAMENTO!$AF$7)*OFFSET(ORÇAMENTO!$W$15,ROW(AJ368)-ROW(AJ$15),0),15-13*ORÇAMENTO!$AF$11)),0)</f>
        <v>0</v>
      </c>
      <c r="AK368" s="546">
        <f ca="1">IF(AND($D368="Serviço",AK$12&lt;&gt;0,$H368&gt;0,OR(AUTOEVENTO&lt;&gt;"manual",$M368&lt;&gt;1)),
IF(Import.TipoArredondamento&lt;&gt;"TransfereGOV",
ROUND(OFFSET($P368,0,AK$13),15-13*ORÇAMENTO!$AF$7)/$H368*OFFSET(ORÇAMENTO!$X$15,ROW(AK368)-ROW(AK$15),0),
ROUND(ROUND(OFFSET($P368,0,AK$13),15-13*ORÇAMENTO!$AF$7)*OFFSET(ORÇAMENTO!$W$15,ROW(AK368)-ROW(AK$15),0),15-13*ORÇAMENTO!$AF$11)),0)</f>
        <v>0</v>
      </c>
      <c r="AM368" s="181">
        <f ca="1">IF($D368&lt;&gt;"Serviço",0,IF(AND(AUTOEVENTO="Manual",$M368=1),0,IF(OFFSET(CRONOPLE!$F$14,$M368,AM$13)="",10^12,OFFSET(CRONOPLE!$F$14,$M368,AM$13))))</f>
        <v>1000000000000</v>
      </c>
      <c r="AN368" s="181">
        <f ca="1">IF($D368&lt;&gt;"Serviço",0,IF(AND(AUTOEVENTO="Manual",$M368=1),0,IF(OFFSET(CRONOPLE!$F$14,$M368,AN$13)="",10^12,OFFSET(CRONOPLE!$F$14,$M368,AN$13))))</f>
        <v>1000000000000</v>
      </c>
      <c r="AO368" s="181">
        <f ca="1">IF($D368&lt;&gt;"Serviço",0,IF(AND(AUTOEVENTO="Manual",$M368=1),0,IF(OFFSET(CRONOPLE!$F$14,$M368,AO$13)="",10^12,OFFSET(CRONOPLE!$F$14,$M368,AO$13))))</f>
        <v>1000000000000</v>
      </c>
      <c r="AP368" s="181">
        <f ca="1">IF($D368&lt;&gt;"Serviço",0,IF(AND(AUTOEVENTO="Manual",$M368=1),0,IF(OFFSET(CRONOPLE!$F$14,$M368,AP$13)="",10^12,OFFSET(CRONOPLE!$F$14,$M368,AP$13))))</f>
        <v>1000000000000</v>
      </c>
      <c r="AQ368" s="181">
        <f ca="1">IF($D368&lt;&gt;"Serviço",0,IF(AND(AUTOEVENTO="Manual",$M368=1),0,IF(OFFSET(CRONOPLE!$F$14,$M368,AQ$13)="",10^12,OFFSET(CRONOPLE!$F$14,$M368,AQ$13))))</f>
        <v>1000000000000</v>
      </c>
      <c r="AR368" s="181">
        <f ca="1">IF($D368&lt;&gt;"Serviço",0,IF(AND(AUTOEVENTO="Manual",$M368=1),0,IF(OFFSET(CRONOPLE!$F$14,$M368,AR$13)="",10^12,OFFSET(CRONOPLE!$F$14,$M368,AR$13))))</f>
        <v>1000000000000</v>
      </c>
      <c r="AS368" s="181">
        <f ca="1">IF($D368&lt;&gt;"Serviço",0,IF(AND(AUTOEVENTO="Manual",$M368=1),0,IF(OFFSET(CRONOPLE!$F$14,$M368,AS$13)="",10^12,OFFSET(CRONOPLE!$F$14,$M368,AS$13))))</f>
        <v>1000000000000</v>
      </c>
      <c r="AT368" s="181">
        <f ca="1">IF($D368&lt;&gt;"Serviço",0,IF(AND(AUTOEVENTO="Manual",$M368=1),0,IF(OFFSET(CRONOPLE!$F$14,$M368,AT$13)="",10^12,OFFSET(CRONOPLE!$F$14,$M368,AT$13))))</f>
        <v>1000000000000</v>
      </c>
      <c r="AU368" s="181">
        <f ca="1">IF($D368&lt;&gt;"Serviço",0,IF(AND(AUTOEVENTO="Manual",$M368=1),0,IF(OFFSET(CRONOPLE!$F$14,$M368,AU$13)="",10^12,OFFSET(CRONOPLE!$F$14,$M368,AU$13))))</f>
        <v>1000000000000</v>
      </c>
      <c r="AV368" s="181">
        <f ca="1">IF($D368&lt;&gt;"Serviço",0,IF(AND(AUTOEVENTO="Manual",$M368=1),0,IF(OFFSET(CRONOPLE!$F$14,$M368,AV$13)="",10^12,OFFSET(CRONOPLE!$F$14,$M368,AV$13))))</f>
        <v>1000000000000</v>
      </c>
      <c r="AX368" s="182">
        <f ca="1">IF($D368&lt;&gt;"Serviço",0,IF(OR(AND(AUTOEVENTO="Manual",$M368=1),$M368&gt;(ROW(PLE.lastrow)-ROW(PLE.firstrow))),0,IF(OFFSET(PLE!$G$14,$M368,AX$13)="",10^12,OFFSET(PLE!$G$14,$M368,AX$13))))</f>
        <v>1000000000000</v>
      </c>
      <c r="AY368" s="182">
        <f ca="1">IF($D368&lt;&gt;"Serviço",0,IF(OR(AND(AUTOEVENTO="Manual",$M368=1),$M368&gt;(ROW(PLE.lastrow)-ROW(PLE.firstrow))),0,IF(OFFSET(PLE!$G$14,$M368,AY$13)="",10^12,OFFSET(PLE!$G$14,$M368,AY$13))))</f>
        <v>1000000000000</v>
      </c>
      <c r="AZ368" s="182">
        <f ca="1">IF($D368&lt;&gt;"Serviço",0,IF(OR(AND(AUTOEVENTO="Manual",$M368=1),$M368&gt;(ROW(PLE.lastrow)-ROW(PLE.firstrow))),0,IF(OFFSET(PLE!$G$14,$M368,AZ$13)="",10^12,OFFSET(PLE!$G$14,$M368,AZ$13))))</f>
        <v>1000000000000</v>
      </c>
      <c r="BA368" s="182">
        <f ca="1">IF($D368&lt;&gt;"Serviço",0,IF(OR(AND(AUTOEVENTO="Manual",$M368=1),$M368&gt;(ROW(PLE.lastrow)-ROW(PLE.firstrow))),0,IF(OFFSET(PLE!$G$14,$M368,BA$13)="",10^12,OFFSET(PLE!$G$14,$M368,BA$13))))</f>
        <v>1000000000000</v>
      </c>
      <c r="BB368" s="182">
        <f ca="1">IF($D368&lt;&gt;"Serviço",0,IF(OR(AND(AUTOEVENTO="Manual",$M368=1),$M368&gt;(ROW(PLE.lastrow)-ROW(PLE.firstrow))),0,IF(OFFSET(PLE!$G$14,$M368,BB$13)="",10^12,OFFSET(PLE!$G$14,$M368,BB$13))))</f>
        <v>1000000000000</v>
      </c>
      <c r="BC368" s="182">
        <f ca="1">IF($D368&lt;&gt;"Serviço",0,IF(OR(AND(AUTOEVENTO="Manual",$M368=1),$M368&gt;(ROW(PLE.lastrow)-ROW(PLE.firstrow))),0,IF(OFFSET(PLE!$G$14,$M368,BC$13)="",10^12,OFFSET(PLE!$G$14,$M368,BC$13))))</f>
        <v>1000000000000</v>
      </c>
      <c r="BD368" s="182">
        <f ca="1">IF($D368&lt;&gt;"Serviço",0,IF(OR(AND(AUTOEVENTO="Manual",$M368=1),$M368&gt;(ROW(PLE.lastrow)-ROW(PLE.firstrow))),0,IF(OFFSET(PLE!$G$14,$M368,BD$13)="",10^12,OFFSET(PLE!$G$14,$M368,BD$13))))</f>
        <v>1000000000000</v>
      </c>
      <c r="BE368" s="182">
        <f ca="1">IF($D368&lt;&gt;"Serviço",0,IF(OR(AND(AUTOEVENTO="Manual",$M368=1),$M368&gt;(ROW(PLE.lastrow)-ROW(PLE.firstrow))),0,IF(OFFSET(PLE!$G$14,$M368,BE$13)="",10^12,OFFSET(PLE!$G$14,$M368,BE$13))))</f>
        <v>1000000000000</v>
      </c>
      <c r="BF368" s="182">
        <f ca="1">IF($D368&lt;&gt;"Serviço",0,IF(OR(AND(AUTOEVENTO="Manual",$M368=1),$M368&gt;(ROW(PLE.lastrow)-ROW(PLE.firstrow))),0,IF(OFFSET(PLE!$G$14,$M368,BF$13)="",10^12,OFFSET(PLE!$G$14,$M368,BF$13))))</f>
        <v>1000000000000</v>
      </c>
      <c r="BG368" s="182">
        <f ca="1">IF($D368&lt;&gt;"Serviço",0,IF(OR(AND(AUTOEVENTO="Manual",$M368=1),$M368&gt;(ROW(PLE.lastrow)-ROW(PLE.firstrow))),0,IF(OFFSET(PLE!$G$14,$M368,BG$13)="",10^12,OFFSET(PLE!$G$14,$M368,BG$13))))</f>
        <v>1000000000000</v>
      </c>
    </row>
    <row r="369" spans="1:59" ht="12.75" x14ac:dyDescent="0.2">
      <c r="A369" s="7" t="str">
        <f t="shared" ca="1" si="11"/>
        <v>325</v>
      </c>
      <c r="B369" s="7">
        <f ca="1">OFFSET(ORÇAMENTO!C$15,ROW(B369)-ROW(B$15),0)</f>
        <v>3</v>
      </c>
      <c r="C369" s="7" t="str">
        <f ca="1">OFFSET(ORÇAMENTO!L$15,ROW(C369)-ROW(C$15),0)</f>
        <v>F</v>
      </c>
      <c r="D369" s="118" t="str">
        <f ca="1">OFFSET(ORÇAMENTO!N$15,ROW(D369)-ROW(D$15),0)</f>
        <v>Nível 3</v>
      </c>
      <c r="E369" s="119" t="str">
        <f ca="1">OFFSET(ORÇAMENTO!O$15,ROW(E369)-ROW(E$15),0)</f>
        <v>1.14.2.</v>
      </c>
      <c r="F369" s="172" t="str">
        <f ca="1">OFFSET(ORÇAMENTO!R$15,ROW(F369)-ROW(F$15),0)</f>
        <v>ACESSÓRIOS</v>
      </c>
      <c r="G369" s="173" t="str">
        <f ca="1">IF($D369&lt;&gt;"Serviço","",OFFSET(ORÇAMENTO!S$15,ROW(G369)-ROW(G$15),0))</f>
        <v/>
      </c>
      <c r="H369" s="124">
        <f ca="1">IF($D369&lt;&gt;"Serviço",0,IF(ACOMPANHAMENTO="BM",ROUND(OFFSET(ORÇAMENTO!AJ$15,ROW(H369)-ROW(H$15),0),15-13*ORÇAMENTO!$AF$7),SUMPRODUCT(($Q$12:$AA$12&lt;&gt;"")*ROUND($Q369:$AA369,15-13*ORÇAMENTO!$AF$7))))</f>
        <v>0</v>
      </c>
      <c r="I369" s="561"/>
      <c r="K369" s="174"/>
      <c r="L369" s="175" t="s">
        <v>255</v>
      </c>
      <c r="M369" s="176" t="str">
        <f ca="1">IF($D369&lt;&gt;"Serviço","",IF(AUTOEVENTO="manual",$A369,IF(ISERROR(MATCH($A369,$A$15:OFFSET($A369,-1,0),0)),MAX($M$15:OFFSET(M369,-1,0))+1,INDEX($M$15:OFFSET(M369,-1,0),MATCH($A369,$A$15:OFFSET($A369,-1,0),0)))))</f>
        <v/>
      </c>
      <c r="N369" s="177" t="str">
        <f ca="1">IF($D369&lt;&gt;"Serviço","",IF(AUTOEVENTO="Manual",IF($A369=0,"&lt;-- defina o número do agrupador",OFFSET(EVENTOS!$D$14,$A369,0)),OFFSET($F$15,$A369,0)))</f>
        <v/>
      </c>
      <c r="O369" s="178"/>
      <c r="Q369" s="178"/>
      <c r="R369" s="179"/>
      <c r="S369" s="179"/>
      <c r="T369" s="179"/>
      <c r="U369" s="179"/>
      <c r="V369" s="179"/>
      <c r="W369" s="179"/>
      <c r="X369" s="179"/>
      <c r="Y369" s="179"/>
      <c r="Z369" s="180"/>
      <c r="AB369" s="544">
        <f ca="1">IF(AND($D369="Serviço",AB$12&lt;&gt;0,$H369&gt;0,OR(AUTOEVENTO&lt;&gt;"manual",$M369&lt;&gt;1)),
IF(Import.TipoArredondamento&lt;&gt;"TransfereGOV",
ROUND(OFFSET($P369,0,AB$13),15-13*ORÇAMENTO!$AF$7)/$H369*OFFSET(ORÇAMENTO!$X$15,ROW(AB369)-ROW(AB$15),0),
ROUND(ROUND(OFFSET($P369,0,AB$13),15-13*ORÇAMENTO!$AF$7)*OFFSET(ORÇAMENTO!$W$15,ROW(AB369)-ROW(AB$15),0),15-13*ORÇAMENTO!$AF$11)),0)</f>
        <v>0</v>
      </c>
      <c r="AC369" s="545">
        <f ca="1">IF(AND($D369="Serviço",AC$12&lt;&gt;0,$H369&gt;0,OR(AUTOEVENTO&lt;&gt;"manual",$M369&lt;&gt;1)),
IF(Import.TipoArredondamento&lt;&gt;"TransfereGOV",
ROUND(OFFSET($P369,0,AC$13),15-13*ORÇAMENTO!$AF$7)/$H369*OFFSET(ORÇAMENTO!$X$15,ROW(AC369)-ROW(AC$15),0),
ROUND(ROUND(OFFSET($P369,0,AC$13),15-13*ORÇAMENTO!$AF$7)*OFFSET(ORÇAMENTO!$W$15,ROW(AC369)-ROW(AC$15),0),15-13*ORÇAMENTO!$AF$11)),0)</f>
        <v>0</v>
      </c>
      <c r="AD369" s="545">
        <f ca="1">IF(AND($D369="Serviço",AD$12&lt;&gt;0,$H369&gt;0,OR(AUTOEVENTO&lt;&gt;"manual",$M369&lt;&gt;1)),
IF(Import.TipoArredondamento&lt;&gt;"TransfereGOV",
ROUND(OFFSET($P369,0,AD$13),15-13*ORÇAMENTO!$AF$7)/$H369*OFFSET(ORÇAMENTO!$X$15,ROW(AD369)-ROW(AD$15),0),
ROUND(ROUND(OFFSET($P369,0,AD$13),15-13*ORÇAMENTO!$AF$7)*OFFSET(ORÇAMENTO!$W$15,ROW(AD369)-ROW(AD$15),0),15-13*ORÇAMENTO!$AF$11)),0)</f>
        <v>0</v>
      </c>
      <c r="AE369" s="545">
        <f ca="1">IF(AND($D369="Serviço",AE$12&lt;&gt;0,$H369&gt;0,OR(AUTOEVENTO&lt;&gt;"manual",$M369&lt;&gt;1)),
IF(Import.TipoArredondamento&lt;&gt;"TransfereGOV",
ROUND(OFFSET($P369,0,AE$13),15-13*ORÇAMENTO!$AF$7)/$H369*OFFSET(ORÇAMENTO!$X$15,ROW(AE369)-ROW(AE$15),0),
ROUND(ROUND(OFFSET($P369,0,AE$13),15-13*ORÇAMENTO!$AF$7)*OFFSET(ORÇAMENTO!$W$15,ROW(AE369)-ROW(AE$15),0),15-13*ORÇAMENTO!$AF$11)),0)</f>
        <v>0</v>
      </c>
      <c r="AF369" s="545">
        <f ca="1">IF(AND($D369="Serviço",AF$12&lt;&gt;0,$H369&gt;0,OR(AUTOEVENTO&lt;&gt;"manual",$M369&lt;&gt;1)),
IF(Import.TipoArredondamento&lt;&gt;"TransfereGOV",
ROUND(OFFSET($P369,0,AF$13),15-13*ORÇAMENTO!$AF$7)/$H369*OFFSET(ORÇAMENTO!$X$15,ROW(AF369)-ROW(AF$15),0),
ROUND(ROUND(OFFSET($P369,0,AF$13),15-13*ORÇAMENTO!$AF$7)*OFFSET(ORÇAMENTO!$W$15,ROW(AF369)-ROW(AF$15),0),15-13*ORÇAMENTO!$AF$11)),0)</f>
        <v>0</v>
      </c>
      <c r="AG369" s="545">
        <f ca="1">IF(AND($D369="Serviço",AG$12&lt;&gt;0,$H369&gt;0,OR(AUTOEVENTO&lt;&gt;"manual",$M369&lt;&gt;1)),
IF(Import.TipoArredondamento&lt;&gt;"TransfereGOV",
ROUND(OFFSET($P369,0,AG$13),15-13*ORÇAMENTO!$AF$7)/$H369*OFFSET(ORÇAMENTO!$X$15,ROW(AG369)-ROW(AG$15),0),
ROUND(ROUND(OFFSET($P369,0,AG$13),15-13*ORÇAMENTO!$AF$7)*OFFSET(ORÇAMENTO!$W$15,ROW(AG369)-ROW(AG$15),0),15-13*ORÇAMENTO!$AF$11)),0)</f>
        <v>0</v>
      </c>
      <c r="AH369" s="545">
        <f ca="1">IF(AND($D369="Serviço",AH$12&lt;&gt;0,$H369&gt;0,OR(AUTOEVENTO&lt;&gt;"manual",$M369&lt;&gt;1)),
IF(Import.TipoArredondamento&lt;&gt;"TransfereGOV",
ROUND(OFFSET($P369,0,AH$13),15-13*ORÇAMENTO!$AF$7)/$H369*OFFSET(ORÇAMENTO!$X$15,ROW(AH369)-ROW(AH$15),0),
ROUND(ROUND(OFFSET($P369,0,AH$13),15-13*ORÇAMENTO!$AF$7)*OFFSET(ORÇAMENTO!$W$15,ROW(AH369)-ROW(AH$15),0),15-13*ORÇAMENTO!$AF$11)),0)</f>
        <v>0</v>
      </c>
      <c r="AI369" s="545">
        <f ca="1">IF(AND($D369="Serviço",AI$12&lt;&gt;0,$H369&gt;0,OR(AUTOEVENTO&lt;&gt;"manual",$M369&lt;&gt;1)),
IF(Import.TipoArredondamento&lt;&gt;"TransfereGOV",
ROUND(OFFSET($P369,0,AI$13),15-13*ORÇAMENTO!$AF$7)/$H369*OFFSET(ORÇAMENTO!$X$15,ROW(AI369)-ROW(AI$15),0),
ROUND(ROUND(OFFSET($P369,0,AI$13),15-13*ORÇAMENTO!$AF$7)*OFFSET(ORÇAMENTO!$W$15,ROW(AI369)-ROW(AI$15),0),15-13*ORÇAMENTO!$AF$11)),0)</f>
        <v>0</v>
      </c>
      <c r="AJ369" s="545">
        <f ca="1">IF(AND($D369="Serviço",AJ$12&lt;&gt;0,$H369&gt;0,OR(AUTOEVENTO&lt;&gt;"manual",$M369&lt;&gt;1)),
IF(Import.TipoArredondamento&lt;&gt;"TransfereGOV",
ROUND(OFFSET($P369,0,AJ$13),15-13*ORÇAMENTO!$AF$7)/$H369*OFFSET(ORÇAMENTO!$X$15,ROW(AJ369)-ROW(AJ$15),0),
ROUND(ROUND(OFFSET($P369,0,AJ$13),15-13*ORÇAMENTO!$AF$7)*OFFSET(ORÇAMENTO!$W$15,ROW(AJ369)-ROW(AJ$15),0),15-13*ORÇAMENTO!$AF$11)),0)</f>
        <v>0</v>
      </c>
      <c r="AK369" s="546">
        <f ca="1">IF(AND($D369="Serviço",AK$12&lt;&gt;0,$H369&gt;0,OR(AUTOEVENTO&lt;&gt;"manual",$M369&lt;&gt;1)),
IF(Import.TipoArredondamento&lt;&gt;"TransfereGOV",
ROUND(OFFSET($P369,0,AK$13),15-13*ORÇAMENTO!$AF$7)/$H369*OFFSET(ORÇAMENTO!$X$15,ROW(AK369)-ROW(AK$15),0),
ROUND(ROUND(OFFSET($P369,0,AK$13),15-13*ORÇAMENTO!$AF$7)*OFFSET(ORÇAMENTO!$W$15,ROW(AK369)-ROW(AK$15),0),15-13*ORÇAMENTO!$AF$11)),0)</f>
        <v>0</v>
      </c>
      <c r="AM369" s="181">
        <f ca="1">IF($D369&lt;&gt;"Serviço",0,IF(AND(AUTOEVENTO="Manual",$M369=1),0,IF(OFFSET(CRONOPLE!$F$14,$M369,AM$13)="",10^12,OFFSET(CRONOPLE!$F$14,$M369,AM$13))))</f>
        <v>0</v>
      </c>
      <c r="AN369" s="181">
        <f ca="1">IF($D369&lt;&gt;"Serviço",0,IF(AND(AUTOEVENTO="Manual",$M369=1),0,IF(OFFSET(CRONOPLE!$F$14,$M369,AN$13)="",10^12,OFFSET(CRONOPLE!$F$14,$M369,AN$13))))</f>
        <v>0</v>
      </c>
      <c r="AO369" s="181">
        <f ca="1">IF($D369&lt;&gt;"Serviço",0,IF(AND(AUTOEVENTO="Manual",$M369=1),0,IF(OFFSET(CRONOPLE!$F$14,$M369,AO$13)="",10^12,OFFSET(CRONOPLE!$F$14,$M369,AO$13))))</f>
        <v>0</v>
      </c>
      <c r="AP369" s="181">
        <f ca="1">IF($D369&lt;&gt;"Serviço",0,IF(AND(AUTOEVENTO="Manual",$M369=1),0,IF(OFFSET(CRONOPLE!$F$14,$M369,AP$13)="",10^12,OFFSET(CRONOPLE!$F$14,$M369,AP$13))))</f>
        <v>0</v>
      </c>
      <c r="AQ369" s="181">
        <f ca="1">IF($D369&lt;&gt;"Serviço",0,IF(AND(AUTOEVENTO="Manual",$M369=1),0,IF(OFFSET(CRONOPLE!$F$14,$M369,AQ$13)="",10^12,OFFSET(CRONOPLE!$F$14,$M369,AQ$13))))</f>
        <v>0</v>
      </c>
      <c r="AR369" s="181">
        <f ca="1">IF($D369&lt;&gt;"Serviço",0,IF(AND(AUTOEVENTO="Manual",$M369=1),0,IF(OFFSET(CRONOPLE!$F$14,$M369,AR$13)="",10^12,OFFSET(CRONOPLE!$F$14,$M369,AR$13))))</f>
        <v>0</v>
      </c>
      <c r="AS369" s="181">
        <f ca="1">IF($D369&lt;&gt;"Serviço",0,IF(AND(AUTOEVENTO="Manual",$M369=1),0,IF(OFFSET(CRONOPLE!$F$14,$M369,AS$13)="",10^12,OFFSET(CRONOPLE!$F$14,$M369,AS$13))))</f>
        <v>0</v>
      </c>
      <c r="AT369" s="181">
        <f ca="1">IF($D369&lt;&gt;"Serviço",0,IF(AND(AUTOEVENTO="Manual",$M369=1),0,IF(OFFSET(CRONOPLE!$F$14,$M369,AT$13)="",10^12,OFFSET(CRONOPLE!$F$14,$M369,AT$13))))</f>
        <v>0</v>
      </c>
      <c r="AU369" s="181">
        <f ca="1">IF($D369&lt;&gt;"Serviço",0,IF(AND(AUTOEVENTO="Manual",$M369=1),0,IF(OFFSET(CRONOPLE!$F$14,$M369,AU$13)="",10^12,OFFSET(CRONOPLE!$F$14,$M369,AU$13))))</f>
        <v>0</v>
      </c>
      <c r="AV369" s="181">
        <f ca="1">IF($D369&lt;&gt;"Serviço",0,IF(AND(AUTOEVENTO="Manual",$M369=1),0,IF(OFFSET(CRONOPLE!$F$14,$M369,AV$13)="",10^12,OFFSET(CRONOPLE!$F$14,$M369,AV$13))))</f>
        <v>0</v>
      </c>
      <c r="AX369" s="182">
        <f ca="1">IF($D369&lt;&gt;"Serviço",0,IF(OR(AND(AUTOEVENTO="Manual",$M369=1),$M369&gt;(ROW(PLE.lastrow)-ROW(PLE.firstrow))),0,IF(OFFSET(PLE!$G$14,$M369,AX$13)="",10^12,OFFSET(PLE!$G$14,$M369,AX$13))))</f>
        <v>0</v>
      </c>
      <c r="AY369" s="182">
        <f ca="1">IF($D369&lt;&gt;"Serviço",0,IF(OR(AND(AUTOEVENTO="Manual",$M369=1),$M369&gt;(ROW(PLE.lastrow)-ROW(PLE.firstrow))),0,IF(OFFSET(PLE!$G$14,$M369,AY$13)="",10^12,OFFSET(PLE!$G$14,$M369,AY$13))))</f>
        <v>0</v>
      </c>
      <c r="AZ369" s="182">
        <f ca="1">IF($D369&lt;&gt;"Serviço",0,IF(OR(AND(AUTOEVENTO="Manual",$M369=1),$M369&gt;(ROW(PLE.lastrow)-ROW(PLE.firstrow))),0,IF(OFFSET(PLE!$G$14,$M369,AZ$13)="",10^12,OFFSET(PLE!$G$14,$M369,AZ$13))))</f>
        <v>0</v>
      </c>
      <c r="BA369" s="182">
        <f ca="1">IF($D369&lt;&gt;"Serviço",0,IF(OR(AND(AUTOEVENTO="Manual",$M369=1),$M369&gt;(ROW(PLE.lastrow)-ROW(PLE.firstrow))),0,IF(OFFSET(PLE!$G$14,$M369,BA$13)="",10^12,OFFSET(PLE!$G$14,$M369,BA$13))))</f>
        <v>0</v>
      </c>
      <c r="BB369" s="182">
        <f ca="1">IF($D369&lt;&gt;"Serviço",0,IF(OR(AND(AUTOEVENTO="Manual",$M369=1),$M369&gt;(ROW(PLE.lastrow)-ROW(PLE.firstrow))),0,IF(OFFSET(PLE!$G$14,$M369,BB$13)="",10^12,OFFSET(PLE!$G$14,$M369,BB$13))))</f>
        <v>0</v>
      </c>
      <c r="BC369" s="182">
        <f ca="1">IF($D369&lt;&gt;"Serviço",0,IF(OR(AND(AUTOEVENTO="Manual",$M369=1),$M369&gt;(ROW(PLE.lastrow)-ROW(PLE.firstrow))),0,IF(OFFSET(PLE!$G$14,$M369,BC$13)="",10^12,OFFSET(PLE!$G$14,$M369,BC$13))))</f>
        <v>0</v>
      </c>
      <c r="BD369" s="182">
        <f ca="1">IF($D369&lt;&gt;"Serviço",0,IF(OR(AND(AUTOEVENTO="Manual",$M369=1),$M369&gt;(ROW(PLE.lastrow)-ROW(PLE.firstrow))),0,IF(OFFSET(PLE!$G$14,$M369,BD$13)="",10^12,OFFSET(PLE!$G$14,$M369,BD$13))))</f>
        <v>0</v>
      </c>
      <c r="BE369" s="182">
        <f ca="1">IF($D369&lt;&gt;"Serviço",0,IF(OR(AND(AUTOEVENTO="Manual",$M369=1),$M369&gt;(ROW(PLE.lastrow)-ROW(PLE.firstrow))),0,IF(OFFSET(PLE!$G$14,$M369,BE$13)="",10^12,OFFSET(PLE!$G$14,$M369,BE$13))))</f>
        <v>0</v>
      </c>
      <c r="BF369" s="182">
        <f ca="1">IF($D369&lt;&gt;"Serviço",0,IF(OR(AND(AUTOEVENTO="Manual",$M369=1),$M369&gt;(ROW(PLE.lastrow)-ROW(PLE.firstrow))),0,IF(OFFSET(PLE!$G$14,$M369,BF$13)="",10^12,OFFSET(PLE!$G$14,$M369,BF$13))))</f>
        <v>0</v>
      </c>
      <c r="BG369" s="182">
        <f ca="1">IF($D369&lt;&gt;"Serviço",0,IF(OR(AND(AUTOEVENTO="Manual",$M369=1),$M369&gt;(ROW(PLE.lastrow)-ROW(PLE.firstrow))),0,IF(OFFSET(PLE!$G$14,$M369,BG$13)="",10^12,OFFSET(PLE!$G$14,$M369,BG$13))))</f>
        <v>0</v>
      </c>
    </row>
    <row r="370" spans="1:59" ht="38.25" x14ac:dyDescent="0.2">
      <c r="A370" s="7" t="str">
        <f t="shared" ca="1" si="11"/>
        <v>325</v>
      </c>
      <c r="B370" s="7" t="str">
        <f ca="1">OFFSET(ORÇAMENTO!C$15,ROW(B370)-ROW(B$15),0)</f>
        <v>S</v>
      </c>
      <c r="C370" s="7" t="str">
        <f ca="1">OFFSET(ORÇAMENTO!L$15,ROW(C370)-ROW(C$15),0)</f>
        <v/>
      </c>
      <c r="D370" s="118" t="str">
        <f ca="1">OFFSET(ORÇAMENTO!N$15,ROW(D370)-ROW(D$15),0)</f>
        <v>Serviço</v>
      </c>
      <c r="E370" s="119" t="str">
        <f ca="1">OFFSET(ORÇAMENTO!O$15,ROW(E370)-ROW(E$15),0)</f>
        <v>-</v>
      </c>
      <c r="F370" s="172" t="str">
        <f ca="1">OFFSET(ORÇAMENTO!R$15,ROW(F370)-ROW(F$15),0)</f>
        <v>(abra o arquivo 'Referência 02-2025.xlsm)</v>
      </c>
      <c r="G370" s="173" t="str">
        <f ca="1">IF($D370&lt;&gt;"Serviço","",OFFSET(ORÇAMENTO!S$15,ROW(G370)-ROW(G$15),0))</f>
        <v>-</v>
      </c>
      <c r="H370" s="124">
        <f ca="1">IF($D370&lt;&gt;"Serviço",0,IF(ACOMPANHAMENTO="BM",ROUND(OFFSET(ORÇAMENTO!AJ$15,ROW(H370)-ROW(H$15),0),15-13*ORÇAMENTO!$AF$7),SUMPRODUCT(($Q$12:$AA$12&lt;&gt;"")*ROUND($Q370:$AA370,15-13*ORÇAMENTO!$AF$7))))</f>
        <v>17</v>
      </c>
      <c r="I370" s="561"/>
      <c r="K370" s="174"/>
      <c r="L370" s="175" t="s">
        <v>255</v>
      </c>
      <c r="M370" s="176">
        <f ca="1">IF($D370&lt;&gt;"Serviço","",IF(AUTOEVENTO="manual",$A370,IF(ISERROR(MATCH($A370,$A$15:OFFSET($A370,-1,0),0)),MAX($M$15:OFFSET(M370,-1,0))+1,INDEX($M$15:OFFSET(M370,-1,0),MATCH($A370,$A$15:OFFSET($A370,-1,0),0)))))</f>
        <v>15</v>
      </c>
      <c r="N370" s="177" t="str">
        <f ca="1">IF($D370&lt;&gt;"Serviço","",IF(AUTOEVENTO="Manual",IF($A370=0,"&lt;-- defina o número do agrupador",OFFSET(EVENTOS!$D$14,$A370,0)),OFFSET($F$15,$A370,0)))</f>
        <v>INSTALAÇÕES DE ESGOTO SANITÁRIO</v>
      </c>
      <c r="O370" s="178"/>
      <c r="Q370" s="178"/>
      <c r="R370" s="179"/>
      <c r="S370" s="179"/>
      <c r="T370" s="179"/>
      <c r="U370" s="179"/>
      <c r="V370" s="179"/>
      <c r="W370" s="179"/>
      <c r="X370" s="179"/>
      <c r="Y370" s="179"/>
      <c r="Z370" s="180"/>
      <c r="AB370" s="544">
        <f ca="1">IF(AND($D370="Serviço",AB$12&lt;&gt;0,$H370&gt;0,OR(AUTOEVENTO&lt;&gt;"manual",$M370&lt;&gt;1)),
IF(Import.TipoArredondamento&lt;&gt;"TransfereGOV",
ROUND(OFFSET($P370,0,AB$13),15-13*ORÇAMENTO!$AF$7)/$H370*OFFSET(ORÇAMENTO!$X$15,ROW(AB370)-ROW(AB$15),0),
ROUND(ROUND(OFFSET($P370,0,AB$13),15-13*ORÇAMENTO!$AF$7)*OFFSET(ORÇAMENTO!$W$15,ROW(AB370)-ROW(AB$15),0),15-13*ORÇAMENTO!$AF$11)),0)</f>
        <v>0</v>
      </c>
      <c r="AC370" s="545">
        <f ca="1">IF(AND($D370="Serviço",AC$12&lt;&gt;0,$H370&gt;0,OR(AUTOEVENTO&lt;&gt;"manual",$M370&lt;&gt;1)),
IF(Import.TipoArredondamento&lt;&gt;"TransfereGOV",
ROUND(OFFSET($P370,0,AC$13),15-13*ORÇAMENTO!$AF$7)/$H370*OFFSET(ORÇAMENTO!$X$15,ROW(AC370)-ROW(AC$15),0),
ROUND(ROUND(OFFSET($P370,0,AC$13),15-13*ORÇAMENTO!$AF$7)*OFFSET(ORÇAMENTO!$W$15,ROW(AC370)-ROW(AC$15),0),15-13*ORÇAMENTO!$AF$11)),0)</f>
        <v>0</v>
      </c>
      <c r="AD370" s="545">
        <f ca="1">IF(AND($D370="Serviço",AD$12&lt;&gt;0,$H370&gt;0,OR(AUTOEVENTO&lt;&gt;"manual",$M370&lt;&gt;1)),
IF(Import.TipoArredondamento&lt;&gt;"TransfereGOV",
ROUND(OFFSET($P370,0,AD$13),15-13*ORÇAMENTO!$AF$7)/$H370*OFFSET(ORÇAMENTO!$X$15,ROW(AD370)-ROW(AD$15),0),
ROUND(ROUND(OFFSET($P370,0,AD$13),15-13*ORÇAMENTO!$AF$7)*OFFSET(ORÇAMENTO!$W$15,ROW(AD370)-ROW(AD$15),0),15-13*ORÇAMENTO!$AF$11)),0)</f>
        <v>0</v>
      </c>
      <c r="AE370" s="545">
        <f ca="1">IF(AND($D370="Serviço",AE$12&lt;&gt;0,$H370&gt;0,OR(AUTOEVENTO&lt;&gt;"manual",$M370&lt;&gt;1)),
IF(Import.TipoArredondamento&lt;&gt;"TransfereGOV",
ROUND(OFFSET($P370,0,AE$13),15-13*ORÇAMENTO!$AF$7)/$H370*OFFSET(ORÇAMENTO!$X$15,ROW(AE370)-ROW(AE$15),0),
ROUND(ROUND(OFFSET($P370,0,AE$13),15-13*ORÇAMENTO!$AF$7)*OFFSET(ORÇAMENTO!$W$15,ROW(AE370)-ROW(AE$15),0),15-13*ORÇAMENTO!$AF$11)),0)</f>
        <v>0</v>
      </c>
      <c r="AF370" s="545">
        <f ca="1">IF(AND($D370="Serviço",AF$12&lt;&gt;0,$H370&gt;0,OR(AUTOEVENTO&lt;&gt;"manual",$M370&lt;&gt;1)),
IF(Import.TipoArredondamento&lt;&gt;"TransfereGOV",
ROUND(OFFSET($P370,0,AF$13),15-13*ORÇAMENTO!$AF$7)/$H370*OFFSET(ORÇAMENTO!$X$15,ROW(AF370)-ROW(AF$15),0),
ROUND(ROUND(OFFSET($P370,0,AF$13),15-13*ORÇAMENTO!$AF$7)*OFFSET(ORÇAMENTO!$W$15,ROW(AF370)-ROW(AF$15),0),15-13*ORÇAMENTO!$AF$11)),0)</f>
        <v>0</v>
      </c>
      <c r="AG370" s="545">
        <f ca="1">IF(AND($D370="Serviço",AG$12&lt;&gt;0,$H370&gt;0,OR(AUTOEVENTO&lt;&gt;"manual",$M370&lt;&gt;1)),
IF(Import.TipoArredondamento&lt;&gt;"TransfereGOV",
ROUND(OFFSET($P370,0,AG$13),15-13*ORÇAMENTO!$AF$7)/$H370*OFFSET(ORÇAMENTO!$X$15,ROW(AG370)-ROW(AG$15),0),
ROUND(ROUND(OFFSET($P370,0,AG$13),15-13*ORÇAMENTO!$AF$7)*OFFSET(ORÇAMENTO!$W$15,ROW(AG370)-ROW(AG$15),0),15-13*ORÇAMENTO!$AF$11)),0)</f>
        <v>0</v>
      </c>
      <c r="AH370" s="545">
        <f ca="1">IF(AND($D370="Serviço",AH$12&lt;&gt;0,$H370&gt;0,OR(AUTOEVENTO&lt;&gt;"manual",$M370&lt;&gt;1)),
IF(Import.TipoArredondamento&lt;&gt;"TransfereGOV",
ROUND(OFFSET($P370,0,AH$13),15-13*ORÇAMENTO!$AF$7)/$H370*OFFSET(ORÇAMENTO!$X$15,ROW(AH370)-ROW(AH$15),0),
ROUND(ROUND(OFFSET($P370,0,AH$13),15-13*ORÇAMENTO!$AF$7)*OFFSET(ORÇAMENTO!$W$15,ROW(AH370)-ROW(AH$15),0),15-13*ORÇAMENTO!$AF$11)),0)</f>
        <v>0</v>
      </c>
      <c r="AI370" s="545">
        <f ca="1">IF(AND($D370="Serviço",AI$12&lt;&gt;0,$H370&gt;0,OR(AUTOEVENTO&lt;&gt;"manual",$M370&lt;&gt;1)),
IF(Import.TipoArredondamento&lt;&gt;"TransfereGOV",
ROUND(OFFSET($P370,0,AI$13),15-13*ORÇAMENTO!$AF$7)/$H370*OFFSET(ORÇAMENTO!$X$15,ROW(AI370)-ROW(AI$15),0),
ROUND(ROUND(OFFSET($P370,0,AI$13),15-13*ORÇAMENTO!$AF$7)*OFFSET(ORÇAMENTO!$W$15,ROW(AI370)-ROW(AI$15),0),15-13*ORÇAMENTO!$AF$11)),0)</f>
        <v>0</v>
      </c>
      <c r="AJ370" s="545">
        <f ca="1">IF(AND($D370="Serviço",AJ$12&lt;&gt;0,$H370&gt;0,OR(AUTOEVENTO&lt;&gt;"manual",$M370&lt;&gt;1)),
IF(Import.TipoArredondamento&lt;&gt;"TransfereGOV",
ROUND(OFFSET($P370,0,AJ$13),15-13*ORÇAMENTO!$AF$7)/$H370*OFFSET(ORÇAMENTO!$X$15,ROW(AJ370)-ROW(AJ$15),0),
ROUND(ROUND(OFFSET($P370,0,AJ$13),15-13*ORÇAMENTO!$AF$7)*OFFSET(ORÇAMENTO!$W$15,ROW(AJ370)-ROW(AJ$15),0),15-13*ORÇAMENTO!$AF$11)),0)</f>
        <v>0</v>
      </c>
      <c r="AK370" s="546">
        <f ca="1">IF(AND($D370="Serviço",AK$12&lt;&gt;0,$H370&gt;0,OR(AUTOEVENTO&lt;&gt;"manual",$M370&lt;&gt;1)),
IF(Import.TipoArredondamento&lt;&gt;"TransfereGOV",
ROUND(OFFSET($P370,0,AK$13),15-13*ORÇAMENTO!$AF$7)/$H370*OFFSET(ORÇAMENTO!$X$15,ROW(AK370)-ROW(AK$15),0),
ROUND(ROUND(OFFSET($P370,0,AK$13),15-13*ORÇAMENTO!$AF$7)*OFFSET(ORÇAMENTO!$W$15,ROW(AK370)-ROW(AK$15),0),15-13*ORÇAMENTO!$AF$11)),0)</f>
        <v>0</v>
      </c>
      <c r="AM370" s="181">
        <f ca="1">IF($D370&lt;&gt;"Serviço",0,IF(AND(AUTOEVENTO="Manual",$M370=1),0,IF(OFFSET(CRONOPLE!$F$14,$M370,AM$13)="",10^12,OFFSET(CRONOPLE!$F$14,$M370,AM$13))))</f>
        <v>1000000000000</v>
      </c>
      <c r="AN370" s="181">
        <f ca="1">IF($D370&lt;&gt;"Serviço",0,IF(AND(AUTOEVENTO="Manual",$M370=1),0,IF(OFFSET(CRONOPLE!$F$14,$M370,AN$13)="",10^12,OFFSET(CRONOPLE!$F$14,$M370,AN$13))))</f>
        <v>1000000000000</v>
      </c>
      <c r="AO370" s="181">
        <f ca="1">IF($D370&lt;&gt;"Serviço",0,IF(AND(AUTOEVENTO="Manual",$M370=1),0,IF(OFFSET(CRONOPLE!$F$14,$M370,AO$13)="",10^12,OFFSET(CRONOPLE!$F$14,$M370,AO$13))))</f>
        <v>1000000000000</v>
      </c>
      <c r="AP370" s="181">
        <f ca="1">IF($D370&lt;&gt;"Serviço",0,IF(AND(AUTOEVENTO="Manual",$M370=1),0,IF(OFFSET(CRONOPLE!$F$14,$M370,AP$13)="",10^12,OFFSET(CRONOPLE!$F$14,$M370,AP$13))))</f>
        <v>1000000000000</v>
      </c>
      <c r="AQ370" s="181">
        <f ca="1">IF($D370&lt;&gt;"Serviço",0,IF(AND(AUTOEVENTO="Manual",$M370=1),0,IF(OFFSET(CRONOPLE!$F$14,$M370,AQ$13)="",10^12,OFFSET(CRONOPLE!$F$14,$M370,AQ$13))))</f>
        <v>1000000000000</v>
      </c>
      <c r="AR370" s="181">
        <f ca="1">IF($D370&lt;&gt;"Serviço",0,IF(AND(AUTOEVENTO="Manual",$M370=1),0,IF(OFFSET(CRONOPLE!$F$14,$M370,AR$13)="",10^12,OFFSET(CRONOPLE!$F$14,$M370,AR$13))))</f>
        <v>1000000000000</v>
      </c>
      <c r="AS370" s="181">
        <f ca="1">IF($D370&lt;&gt;"Serviço",0,IF(AND(AUTOEVENTO="Manual",$M370=1),0,IF(OFFSET(CRONOPLE!$F$14,$M370,AS$13)="",10^12,OFFSET(CRONOPLE!$F$14,$M370,AS$13))))</f>
        <v>1000000000000</v>
      </c>
      <c r="AT370" s="181">
        <f ca="1">IF($D370&lt;&gt;"Serviço",0,IF(AND(AUTOEVENTO="Manual",$M370=1),0,IF(OFFSET(CRONOPLE!$F$14,$M370,AT$13)="",10^12,OFFSET(CRONOPLE!$F$14,$M370,AT$13))))</f>
        <v>1000000000000</v>
      </c>
      <c r="AU370" s="181">
        <f ca="1">IF($D370&lt;&gt;"Serviço",0,IF(AND(AUTOEVENTO="Manual",$M370=1),0,IF(OFFSET(CRONOPLE!$F$14,$M370,AU$13)="",10^12,OFFSET(CRONOPLE!$F$14,$M370,AU$13))))</f>
        <v>1000000000000</v>
      </c>
      <c r="AV370" s="181">
        <f ca="1">IF($D370&lt;&gt;"Serviço",0,IF(AND(AUTOEVENTO="Manual",$M370=1),0,IF(OFFSET(CRONOPLE!$F$14,$M370,AV$13)="",10^12,OFFSET(CRONOPLE!$F$14,$M370,AV$13))))</f>
        <v>1000000000000</v>
      </c>
      <c r="AX370" s="182">
        <f ca="1">IF($D370&lt;&gt;"Serviço",0,IF(OR(AND(AUTOEVENTO="Manual",$M370=1),$M370&gt;(ROW(PLE.lastrow)-ROW(PLE.firstrow))),0,IF(OFFSET(PLE!$G$14,$M370,AX$13)="",10^12,OFFSET(PLE!$G$14,$M370,AX$13))))</f>
        <v>1000000000000</v>
      </c>
      <c r="AY370" s="182">
        <f ca="1">IF($D370&lt;&gt;"Serviço",0,IF(OR(AND(AUTOEVENTO="Manual",$M370=1),$M370&gt;(ROW(PLE.lastrow)-ROW(PLE.firstrow))),0,IF(OFFSET(PLE!$G$14,$M370,AY$13)="",10^12,OFFSET(PLE!$G$14,$M370,AY$13))))</f>
        <v>1000000000000</v>
      </c>
      <c r="AZ370" s="182">
        <f ca="1">IF($D370&lt;&gt;"Serviço",0,IF(OR(AND(AUTOEVENTO="Manual",$M370=1),$M370&gt;(ROW(PLE.lastrow)-ROW(PLE.firstrow))),0,IF(OFFSET(PLE!$G$14,$M370,AZ$13)="",10^12,OFFSET(PLE!$G$14,$M370,AZ$13))))</f>
        <v>1000000000000</v>
      </c>
      <c r="BA370" s="182">
        <f ca="1">IF($D370&lt;&gt;"Serviço",0,IF(OR(AND(AUTOEVENTO="Manual",$M370=1),$M370&gt;(ROW(PLE.lastrow)-ROW(PLE.firstrow))),0,IF(OFFSET(PLE!$G$14,$M370,BA$13)="",10^12,OFFSET(PLE!$G$14,$M370,BA$13))))</f>
        <v>1000000000000</v>
      </c>
      <c r="BB370" s="182">
        <f ca="1">IF($D370&lt;&gt;"Serviço",0,IF(OR(AND(AUTOEVENTO="Manual",$M370=1),$M370&gt;(ROW(PLE.lastrow)-ROW(PLE.firstrow))),0,IF(OFFSET(PLE!$G$14,$M370,BB$13)="",10^12,OFFSET(PLE!$G$14,$M370,BB$13))))</f>
        <v>1000000000000</v>
      </c>
      <c r="BC370" s="182">
        <f ca="1">IF($D370&lt;&gt;"Serviço",0,IF(OR(AND(AUTOEVENTO="Manual",$M370=1),$M370&gt;(ROW(PLE.lastrow)-ROW(PLE.firstrow))),0,IF(OFFSET(PLE!$G$14,$M370,BC$13)="",10^12,OFFSET(PLE!$G$14,$M370,BC$13))))</f>
        <v>1000000000000</v>
      </c>
      <c r="BD370" s="182">
        <f ca="1">IF($D370&lt;&gt;"Serviço",0,IF(OR(AND(AUTOEVENTO="Manual",$M370=1),$M370&gt;(ROW(PLE.lastrow)-ROW(PLE.firstrow))),0,IF(OFFSET(PLE!$G$14,$M370,BD$13)="",10^12,OFFSET(PLE!$G$14,$M370,BD$13))))</f>
        <v>1000000000000</v>
      </c>
      <c r="BE370" s="182">
        <f ca="1">IF($D370&lt;&gt;"Serviço",0,IF(OR(AND(AUTOEVENTO="Manual",$M370=1),$M370&gt;(ROW(PLE.lastrow)-ROW(PLE.firstrow))),0,IF(OFFSET(PLE!$G$14,$M370,BE$13)="",10^12,OFFSET(PLE!$G$14,$M370,BE$13))))</f>
        <v>1000000000000</v>
      </c>
      <c r="BF370" s="182">
        <f ca="1">IF($D370&lt;&gt;"Serviço",0,IF(OR(AND(AUTOEVENTO="Manual",$M370=1),$M370&gt;(ROW(PLE.lastrow)-ROW(PLE.firstrow))),0,IF(OFFSET(PLE!$G$14,$M370,BF$13)="",10^12,OFFSET(PLE!$G$14,$M370,BF$13))))</f>
        <v>1000000000000</v>
      </c>
      <c r="BG370" s="182">
        <f ca="1">IF($D370&lt;&gt;"Serviço",0,IF(OR(AND(AUTOEVENTO="Manual",$M370=1),$M370&gt;(ROW(PLE.lastrow)-ROW(PLE.firstrow))),0,IF(OFFSET(PLE!$G$14,$M370,BG$13)="",10^12,OFFSET(PLE!$G$14,$M370,BG$13))))</f>
        <v>1000000000000</v>
      </c>
    </row>
    <row r="371" spans="1:59" ht="38.25" x14ac:dyDescent="0.2">
      <c r="A371" s="7" t="str">
        <f t="shared" ca="1" si="11"/>
        <v>325</v>
      </c>
      <c r="B371" s="7" t="str">
        <f ca="1">OFFSET(ORÇAMENTO!C$15,ROW(B371)-ROW(B$15),0)</f>
        <v>S</v>
      </c>
      <c r="C371" s="7" t="str">
        <f ca="1">OFFSET(ORÇAMENTO!L$15,ROW(C371)-ROW(C$15),0)</f>
        <v/>
      </c>
      <c r="D371" s="118" t="str">
        <f ca="1">OFFSET(ORÇAMENTO!N$15,ROW(D371)-ROW(D$15),0)</f>
        <v>Serviço</v>
      </c>
      <c r="E371" s="119" t="str">
        <f ca="1">OFFSET(ORÇAMENTO!O$15,ROW(E371)-ROW(E$15),0)</f>
        <v>-</v>
      </c>
      <c r="F371" s="172" t="str">
        <f ca="1">OFFSET(ORÇAMENTO!R$15,ROW(F371)-ROW(F$15),0)</f>
        <v>(abra o arquivo 'Referência 02-2025.xlsm)</v>
      </c>
      <c r="G371" s="173" t="str">
        <f ca="1">IF($D371&lt;&gt;"Serviço","",OFFSET(ORÇAMENTO!S$15,ROW(G371)-ROW(G$15),0))</f>
        <v>-</v>
      </c>
      <c r="H371" s="124">
        <f ca="1">IF($D371&lt;&gt;"Serviço",0,IF(ACOMPANHAMENTO="BM",ROUND(OFFSET(ORÇAMENTO!AJ$15,ROW(H371)-ROW(H$15),0),15-13*ORÇAMENTO!$AF$7),SUMPRODUCT(($Q$12:$AA$12&lt;&gt;"")*ROUND($Q371:$AA371,15-13*ORÇAMENTO!$AF$7))))</f>
        <v>17</v>
      </c>
      <c r="I371" s="561"/>
      <c r="K371" s="174"/>
      <c r="L371" s="175" t="s">
        <v>255</v>
      </c>
      <c r="M371" s="176">
        <f ca="1">IF($D371&lt;&gt;"Serviço","",IF(AUTOEVENTO="manual",$A371,IF(ISERROR(MATCH($A371,$A$15:OFFSET($A371,-1,0),0)),MAX($M$15:OFFSET(M371,-1,0))+1,INDEX($M$15:OFFSET(M371,-1,0),MATCH($A371,$A$15:OFFSET($A371,-1,0),0)))))</f>
        <v>15</v>
      </c>
      <c r="N371" s="177" t="str">
        <f ca="1">IF($D371&lt;&gt;"Serviço","",IF(AUTOEVENTO="Manual",IF($A371=0,"&lt;-- defina o número do agrupador",OFFSET(EVENTOS!$D$14,$A371,0)),OFFSET($F$15,$A371,0)))</f>
        <v>INSTALAÇÕES DE ESGOTO SANITÁRIO</v>
      </c>
      <c r="O371" s="178"/>
      <c r="Q371" s="178"/>
      <c r="R371" s="179"/>
      <c r="S371" s="179"/>
      <c r="T371" s="179"/>
      <c r="U371" s="179"/>
      <c r="V371" s="179"/>
      <c r="W371" s="179"/>
      <c r="X371" s="179"/>
      <c r="Y371" s="179"/>
      <c r="Z371" s="180"/>
      <c r="AB371" s="544">
        <f ca="1">IF(AND($D371="Serviço",AB$12&lt;&gt;0,$H371&gt;0,OR(AUTOEVENTO&lt;&gt;"manual",$M371&lt;&gt;1)),
IF(Import.TipoArredondamento&lt;&gt;"TransfereGOV",
ROUND(OFFSET($P371,0,AB$13),15-13*ORÇAMENTO!$AF$7)/$H371*OFFSET(ORÇAMENTO!$X$15,ROW(AB371)-ROW(AB$15),0),
ROUND(ROUND(OFFSET($P371,0,AB$13),15-13*ORÇAMENTO!$AF$7)*OFFSET(ORÇAMENTO!$W$15,ROW(AB371)-ROW(AB$15),0),15-13*ORÇAMENTO!$AF$11)),0)</f>
        <v>0</v>
      </c>
      <c r="AC371" s="545">
        <f ca="1">IF(AND($D371="Serviço",AC$12&lt;&gt;0,$H371&gt;0,OR(AUTOEVENTO&lt;&gt;"manual",$M371&lt;&gt;1)),
IF(Import.TipoArredondamento&lt;&gt;"TransfereGOV",
ROUND(OFFSET($P371,0,AC$13),15-13*ORÇAMENTO!$AF$7)/$H371*OFFSET(ORÇAMENTO!$X$15,ROW(AC371)-ROW(AC$15),0),
ROUND(ROUND(OFFSET($P371,0,AC$13),15-13*ORÇAMENTO!$AF$7)*OFFSET(ORÇAMENTO!$W$15,ROW(AC371)-ROW(AC$15),0),15-13*ORÇAMENTO!$AF$11)),0)</f>
        <v>0</v>
      </c>
      <c r="AD371" s="545">
        <f ca="1">IF(AND($D371="Serviço",AD$12&lt;&gt;0,$H371&gt;0,OR(AUTOEVENTO&lt;&gt;"manual",$M371&lt;&gt;1)),
IF(Import.TipoArredondamento&lt;&gt;"TransfereGOV",
ROUND(OFFSET($P371,0,AD$13),15-13*ORÇAMENTO!$AF$7)/$H371*OFFSET(ORÇAMENTO!$X$15,ROW(AD371)-ROW(AD$15),0),
ROUND(ROUND(OFFSET($P371,0,AD$13),15-13*ORÇAMENTO!$AF$7)*OFFSET(ORÇAMENTO!$W$15,ROW(AD371)-ROW(AD$15),0),15-13*ORÇAMENTO!$AF$11)),0)</f>
        <v>0</v>
      </c>
      <c r="AE371" s="545">
        <f ca="1">IF(AND($D371="Serviço",AE$12&lt;&gt;0,$H371&gt;0,OR(AUTOEVENTO&lt;&gt;"manual",$M371&lt;&gt;1)),
IF(Import.TipoArredondamento&lt;&gt;"TransfereGOV",
ROUND(OFFSET($P371,0,AE$13),15-13*ORÇAMENTO!$AF$7)/$H371*OFFSET(ORÇAMENTO!$X$15,ROW(AE371)-ROW(AE$15),0),
ROUND(ROUND(OFFSET($P371,0,AE$13),15-13*ORÇAMENTO!$AF$7)*OFFSET(ORÇAMENTO!$W$15,ROW(AE371)-ROW(AE$15),0),15-13*ORÇAMENTO!$AF$11)),0)</f>
        <v>0</v>
      </c>
      <c r="AF371" s="545">
        <f ca="1">IF(AND($D371="Serviço",AF$12&lt;&gt;0,$H371&gt;0,OR(AUTOEVENTO&lt;&gt;"manual",$M371&lt;&gt;1)),
IF(Import.TipoArredondamento&lt;&gt;"TransfereGOV",
ROUND(OFFSET($P371,0,AF$13),15-13*ORÇAMENTO!$AF$7)/$H371*OFFSET(ORÇAMENTO!$X$15,ROW(AF371)-ROW(AF$15),0),
ROUND(ROUND(OFFSET($P371,0,AF$13),15-13*ORÇAMENTO!$AF$7)*OFFSET(ORÇAMENTO!$W$15,ROW(AF371)-ROW(AF$15),0),15-13*ORÇAMENTO!$AF$11)),0)</f>
        <v>0</v>
      </c>
      <c r="AG371" s="545">
        <f ca="1">IF(AND($D371="Serviço",AG$12&lt;&gt;0,$H371&gt;0,OR(AUTOEVENTO&lt;&gt;"manual",$M371&lt;&gt;1)),
IF(Import.TipoArredondamento&lt;&gt;"TransfereGOV",
ROUND(OFFSET($P371,0,AG$13),15-13*ORÇAMENTO!$AF$7)/$H371*OFFSET(ORÇAMENTO!$X$15,ROW(AG371)-ROW(AG$15),0),
ROUND(ROUND(OFFSET($P371,0,AG$13),15-13*ORÇAMENTO!$AF$7)*OFFSET(ORÇAMENTO!$W$15,ROW(AG371)-ROW(AG$15),0),15-13*ORÇAMENTO!$AF$11)),0)</f>
        <v>0</v>
      </c>
      <c r="AH371" s="545">
        <f ca="1">IF(AND($D371="Serviço",AH$12&lt;&gt;0,$H371&gt;0,OR(AUTOEVENTO&lt;&gt;"manual",$M371&lt;&gt;1)),
IF(Import.TipoArredondamento&lt;&gt;"TransfereGOV",
ROUND(OFFSET($P371,0,AH$13),15-13*ORÇAMENTO!$AF$7)/$H371*OFFSET(ORÇAMENTO!$X$15,ROW(AH371)-ROW(AH$15),0),
ROUND(ROUND(OFFSET($P371,0,AH$13),15-13*ORÇAMENTO!$AF$7)*OFFSET(ORÇAMENTO!$W$15,ROW(AH371)-ROW(AH$15),0),15-13*ORÇAMENTO!$AF$11)),0)</f>
        <v>0</v>
      </c>
      <c r="AI371" s="545">
        <f ca="1">IF(AND($D371="Serviço",AI$12&lt;&gt;0,$H371&gt;0,OR(AUTOEVENTO&lt;&gt;"manual",$M371&lt;&gt;1)),
IF(Import.TipoArredondamento&lt;&gt;"TransfereGOV",
ROUND(OFFSET($P371,0,AI$13),15-13*ORÇAMENTO!$AF$7)/$H371*OFFSET(ORÇAMENTO!$X$15,ROW(AI371)-ROW(AI$15),0),
ROUND(ROUND(OFFSET($P371,0,AI$13),15-13*ORÇAMENTO!$AF$7)*OFFSET(ORÇAMENTO!$W$15,ROW(AI371)-ROW(AI$15),0),15-13*ORÇAMENTO!$AF$11)),0)</f>
        <v>0</v>
      </c>
      <c r="AJ371" s="545">
        <f ca="1">IF(AND($D371="Serviço",AJ$12&lt;&gt;0,$H371&gt;0,OR(AUTOEVENTO&lt;&gt;"manual",$M371&lt;&gt;1)),
IF(Import.TipoArredondamento&lt;&gt;"TransfereGOV",
ROUND(OFFSET($P371,0,AJ$13),15-13*ORÇAMENTO!$AF$7)/$H371*OFFSET(ORÇAMENTO!$X$15,ROW(AJ371)-ROW(AJ$15),0),
ROUND(ROUND(OFFSET($P371,0,AJ$13),15-13*ORÇAMENTO!$AF$7)*OFFSET(ORÇAMENTO!$W$15,ROW(AJ371)-ROW(AJ$15),0),15-13*ORÇAMENTO!$AF$11)),0)</f>
        <v>0</v>
      </c>
      <c r="AK371" s="546">
        <f ca="1">IF(AND($D371="Serviço",AK$12&lt;&gt;0,$H371&gt;0,OR(AUTOEVENTO&lt;&gt;"manual",$M371&lt;&gt;1)),
IF(Import.TipoArredondamento&lt;&gt;"TransfereGOV",
ROUND(OFFSET($P371,0,AK$13),15-13*ORÇAMENTO!$AF$7)/$H371*OFFSET(ORÇAMENTO!$X$15,ROW(AK371)-ROW(AK$15),0),
ROUND(ROUND(OFFSET($P371,0,AK$13),15-13*ORÇAMENTO!$AF$7)*OFFSET(ORÇAMENTO!$W$15,ROW(AK371)-ROW(AK$15),0),15-13*ORÇAMENTO!$AF$11)),0)</f>
        <v>0</v>
      </c>
      <c r="AM371" s="181">
        <f ca="1">IF($D371&lt;&gt;"Serviço",0,IF(AND(AUTOEVENTO="Manual",$M371=1),0,IF(OFFSET(CRONOPLE!$F$14,$M371,AM$13)="",10^12,OFFSET(CRONOPLE!$F$14,$M371,AM$13))))</f>
        <v>1000000000000</v>
      </c>
      <c r="AN371" s="181">
        <f ca="1">IF($D371&lt;&gt;"Serviço",0,IF(AND(AUTOEVENTO="Manual",$M371=1),0,IF(OFFSET(CRONOPLE!$F$14,$M371,AN$13)="",10^12,OFFSET(CRONOPLE!$F$14,$M371,AN$13))))</f>
        <v>1000000000000</v>
      </c>
      <c r="AO371" s="181">
        <f ca="1">IF($D371&lt;&gt;"Serviço",0,IF(AND(AUTOEVENTO="Manual",$M371=1),0,IF(OFFSET(CRONOPLE!$F$14,$M371,AO$13)="",10^12,OFFSET(CRONOPLE!$F$14,$M371,AO$13))))</f>
        <v>1000000000000</v>
      </c>
      <c r="AP371" s="181">
        <f ca="1">IF($D371&lt;&gt;"Serviço",0,IF(AND(AUTOEVENTO="Manual",$M371=1),0,IF(OFFSET(CRONOPLE!$F$14,$M371,AP$13)="",10^12,OFFSET(CRONOPLE!$F$14,$M371,AP$13))))</f>
        <v>1000000000000</v>
      </c>
      <c r="AQ371" s="181">
        <f ca="1">IF($D371&lt;&gt;"Serviço",0,IF(AND(AUTOEVENTO="Manual",$M371=1),0,IF(OFFSET(CRONOPLE!$F$14,$M371,AQ$13)="",10^12,OFFSET(CRONOPLE!$F$14,$M371,AQ$13))))</f>
        <v>1000000000000</v>
      </c>
      <c r="AR371" s="181">
        <f ca="1">IF($D371&lt;&gt;"Serviço",0,IF(AND(AUTOEVENTO="Manual",$M371=1),0,IF(OFFSET(CRONOPLE!$F$14,$M371,AR$13)="",10^12,OFFSET(CRONOPLE!$F$14,$M371,AR$13))))</f>
        <v>1000000000000</v>
      </c>
      <c r="AS371" s="181">
        <f ca="1">IF($D371&lt;&gt;"Serviço",0,IF(AND(AUTOEVENTO="Manual",$M371=1),0,IF(OFFSET(CRONOPLE!$F$14,$M371,AS$13)="",10^12,OFFSET(CRONOPLE!$F$14,$M371,AS$13))))</f>
        <v>1000000000000</v>
      </c>
      <c r="AT371" s="181">
        <f ca="1">IF($D371&lt;&gt;"Serviço",0,IF(AND(AUTOEVENTO="Manual",$M371=1),0,IF(OFFSET(CRONOPLE!$F$14,$M371,AT$13)="",10^12,OFFSET(CRONOPLE!$F$14,$M371,AT$13))))</f>
        <v>1000000000000</v>
      </c>
      <c r="AU371" s="181">
        <f ca="1">IF($D371&lt;&gt;"Serviço",0,IF(AND(AUTOEVENTO="Manual",$M371=1),0,IF(OFFSET(CRONOPLE!$F$14,$M371,AU$13)="",10^12,OFFSET(CRONOPLE!$F$14,$M371,AU$13))))</f>
        <v>1000000000000</v>
      </c>
      <c r="AV371" s="181">
        <f ca="1">IF($D371&lt;&gt;"Serviço",0,IF(AND(AUTOEVENTO="Manual",$M371=1),0,IF(OFFSET(CRONOPLE!$F$14,$M371,AV$13)="",10^12,OFFSET(CRONOPLE!$F$14,$M371,AV$13))))</f>
        <v>1000000000000</v>
      </c>
      <c r="AX371" s="182">
        <f ca="1">IF($D371&lt;&gt;"Serviço",0,IF(OR(AND(AUTOEVENTO="Manual",$M371=1),$M371&gt;(ROW(PLE.lastrow)-ROW(PLE.firstrow))),0,IF(OFFSET(PLE!$G$14,$M371,AX$13)="",10^12,OFFSET(PLE!$G$14,$M371,AX$13))))</f>
        <v>1000000000000</v>
      </c>
      <c r="AY371" s="182">
        <f ca="1">IF($D371&lt;&gt;"Serviço",0,IF(OR(AND(AUTOEVENTO="Manual",$M371=1),$M371&gt;(ROW(PLE.lastrow)-ROW(PLE.firstrow))),0,IF(OFFSET(PLE!$G$14,$M371,AY$13)="",10^12,OFFSET(PLE!$G$14,$M371,AY$13))))</f>
        <v>1000000000000</v>
      </c>
      <c r="AZ371" s="182">
        <f ca="1">IF($D371&lt;&gt;"Serviço",0,IF(OR(AND(AUTOEVENTO="Manual",$M371=1),$M371&gt;(ROW(PLE.lastrow)-ROW(PLE.firstrow))),0,IF(OFFSET(PLE!$G$14,$M371,AZ$13)="",10^12,OFFSET(PLE!$G$14,$M371,AZ$13))))</f>
        <v>1000000000000</v>
      </c>
      <c r="BA371" s="182">
        <f ca="1">IF($D371&lt;&gt;"Serviço",0,IF(OR(AND(AUTOEVENTO="Manual",$M371=1),$M371&gt;(ROW(PLE.lastrow)-ROW(PLE.firstrow))),0,IF(OFFSET(PLE!$G$14,$M371,BA$13)="",10^12,OFFSET(PLE!$G$14,$M371,BA$13))))</f>
        <v>1000000000000</v>
      </c>
      <c r="BB371" s="182">
        <f ca="1">IF($D371&lt;&gt;"Serviço",0,IF(OR(AND(AUTOEVENTO="Manual",$M371=1),$M371&gt;(ROW(PLE.lastrow)-ROW(PLE.firstrow))),0,IF(OFFSET(PLE!$G$14,$M371,BB$13)="",10^12,OFFSET(PLE!$G$14,$M371,BB$13))))</f>
        <v>1000000000000</v>
      </c>
      <c r="BC371" s="182">
        <f ca="1">IF($D371&lt;&gt;"Serviço",0,IF(OR(AND(AUTOEVENTO="Manual",$M371=1),$M371&gt;(ROW(PLE.lastrow)-ROW(PLE.firstrow))),0,IF(OFFSET(PLE!$G$14,$M371,BC$13)="",10^12,OFFSET(PLE!$G$14,$M371,BC$13))))</f>
        <v>1000000000000</v>
      </c>
      <c r="BD371" s="182">
        <f ca="1">IF($D371&lt;&gt;"Serviço",0,IF(OR(AND(AUTOEVENTO="Manual",$M371=1),$M371&gt;(ROW(PLE.lastrow)-ROW(PLE.firstrow))),0,IF(OFFSET(PLE!$G$14,$M371,BD$13)="",10^12,OFFSET(PLE!$G$14,$M371,BD$13))))</f>
        <v>1000000000000</v>
      </c>
      <c r="BE371" s="182">
        <f ca="1">IF($D371&lt;&gt;"Serviço",0,IF(OR(AND(AUTOEVENTO="Manual",$M371=1),$M371&gt;(ROW(PLE.lastrow)-ROW(PLE.firstrow))),0,IF(OFFSET(PLE!$G$14,$M371,BE$13)="",10^12,OFFSET(PLE!$G$14,$M371,BE$13))))</f>
        <v>1000000000000</v>
      </c>
      <c r="BF371" s="182">
        <f ca="1">IF($D371&lt;&gt;"Serviço",0,IF(OR(AND(AUTOEVENTO="Manual",$M371=1),$M371&gt;(ROW(PLE.lastrow)-ROW(PLE.firstrow))),0,IF(OFFSET(PLE!$G$14,$M371,BF$13)="",10^12,OFFSET(PLE!$G$14,$M371,BF$13))))</f>
        <v>1000000000000</v>
      </c>
      <c r="BG371" s="182">
        <f ca="1">IF($D371&lt;&gt;"Serviço",0,IF(OR(AND(AUTOEVENTO="Manual",$M371=1),$M371&gt;(ROW(PLE.lastrow)-ROW(PLE.firstrow))),0,IF(OFFSET(PLE!$G$14,$M371,BG$13)="",10^12,OFFSET(PLE!$G$14,$M371,BG$13))))</f>
        <v>1000000000000</v>
      </c>
    </row>
    <row r="372" spans="1:59" ht="38.25" x14ac:dyDescent="0.2">
      <c r="A372" s="7" t="str">
        <f t="shared" ca="1" si="11"/>
        <v>325</v>
      </c>
      <c r="B372" s="7" t="str">
        <f ca="1">OFFSET(ORÇAMENTO!C$15,ROW(B372)-ROW(B$15),0)</f>
        <v>S</v>
      </c>
      <c r="C372" s="7" t="str">
        <f ca="1">OFFSET(ORÇAMENTO!L$15,ROW(C372)-ROW(C$15),0)</f>
        <v/>
      </c>
      <c r="D372" s="118" t="str">
        <f ca="1">OFFSET(ORÇAMENTO!N$15,ROW(D372)-ROW(D$15),0)</f>
        <v>Serviço</v>
      </c>
      <c r="E372" s="119" t="str">
        <f ca="1">OFFSET(ORÇAMENTO!O$15,ROW(E372)-ROW(E$15),0)</f>
        <v>-</v>
      </c>
      <c r="F372" s="172" t="str">
        <f ca="1">OFFSET(ORÇAMENTO!R$15,ROW(F372)-ROW(F$15),0)</f>
        <v>(abra o arquivo 'Referência 02-2025.xlsm)</v>
      </c>
      <c r="G372" s="173" t="str">
        <f ca="1">IF($D372&lt;&gt;"Serviço","",OFFSET(ORÇAMENTO!S$15,ROW(G372)-ROW(G$15),0))</f>
        <v>-</v>
      </c>
      <c r="H372" s="124">
        <f ca="1">IF($D372&lt;&gt;"Serviço",0,IF(ACOMPANHAMENTO="BM",ROUND(OFFSET(ORÇAMENTO!AJ$15,ROW(H372)-ROW(H$15),0),15-13*ORÇAMENTO!$AF$7),SUMPRODUCT(($Q$12:$AA$12&lt;&gt;"")*ROUND($Q372:$AA372,15-13*ORÇAMENTO!$AF$7))))</f>
        <v>6</v>
      </c>
      <c r="I372" s="561"/>
      <c r="K372" s="174"/>
      <c r="L372" s="175" t="s">
        <v>255</v>
      </c>
      <c r="M372" s="176">
        <f ca="1">IF($D372&lt;&gt;"Serviço","",IF(AUTOEVENTO="manual",$A372,IF(ISERROR(MATCH($A372,$A$15:OFFSET($A372,-1,0),0)),MAX($M$15:OFFSET(M372,-1,0))+1,INDEX($M$15:OFFSET(M372,-1,0),MATCH($A372,$A$15:OFFSET($A372,-1,0),0)))))</f>
        <v>15</v>
      </c>
      <c r="N372" s="177" t="str">
        <f ca="1">IF($D372&lt;&gt;"Serviço","",IF(AUTOEVENTO="Manual",IF($A372=0,"&lt;-- defina o número do agrupador",OFFSET(EVENTOS!$D$14,$A372,0)),OFFSET($F$15,$A372,0)))</f>
        <v>INSTALAÇÕES DE ESGOTO SANITÁRIO</v>
      </c>
      <c r="O372" s="178"/>
      <c r="Q372" s="178"/>
      <c r="R372" s="179"/>
      <c r="S372" s="179"/>
      <c r="T372" s="179"/>
      <c r="U372" s="179"/>
      <c r="V372" s="179"/>
      <c r="W372" s="179"/>
      <c r="X372" s="179"/>
      <c r="Y372" s="179"/>
      <c r="Z372" s="180"/>
      <c r="AB372" s="544">
        <f ca="1">IF(AND($D372="Serviço",AB$12&lt;&gt;0,$H372&gt;0,OR(AUTOEVENTO&lt;&gt;"manual",$M372&lt;&gt;1)),
IF(Import.TipoArredondamento&lt;&gt;"TransfereGOV",
ROUND(OFFSET($P372,0,AB$13),15-13*ORÇAMENTO!$AF$7)/$H372*OFFSET(ORÇAMENTO!$X$15,ROW(AB372)-ROW(AB$15),0),
ROUND(ROUND(OFFSET($P372,0,AB$13),15-13*ORÇAMENTO!$AF$7)*OFFSET(ORÇAMENTO!$W$15,ROW(AB372)-ROW(AB$15),0),15-13*ORÇAMENTO!$AF$11)),0)</f>
        <v>0</v>
      </c>
      <c r="AC372" s="545">
        <f ca="1">IF(AND($D372="Serviço",AC$12&lt;&gt;0,$H372&gt;0,OR(AUTOEVENTO&lt;&gt;"manual",$M372&lt;&gt;1)),
IF(Import.TipoArredondamento&lt;&gt;"TransfereGOV",
ROUND(OFFSET($P372,0,AC$13),15-13*ORÇAMENTO!$AF$7)/$H372*OFFSET(ORÇAMENTO!$X$15,ROW(AC372)-ROW(AC$15),0),
ROUND(ROUND(OFFSET($P372,0,AC$13),15-13*ORÇAMENTO!$AF$7)*OFFSET(ORÇAMENTO!$W$15,ROW(AC372)-ROW(AC$15),0),15-13*ORÇAMENTO!$AF$11)),0)</f>
        <v>0</v>
      </c>
      <c r="AD372" s="545">
        <f ca="1">IF(AND($D372="Serviço",AD$12&lt;&gt;0,$H372&gt;0,OR(AUTOEVENTO&lt;&gt;"manual",$M372&lt;&gt;1)),
IF(Import.TipoArredondamento&lt;&gt;"TransfereGOV",
ROUND(OFFSET($P372,0,AD$13),15-13*ORÇAMENTO!$AF$7)/$H372*OFFSET(ORÇAMENTO!$X$15,ROW(AD372)-ROW(AD$15),0),
ROUND(ROUND(OFFSET($P372,0,AD$13),15-13*ORÇAMENTO!$AF$7)*OFFSET(ORÇAMENTO!$W$15,ROW(AD372)-ROW(AD$15),0),15-13*ORÇAMENTO!$AF$11)),0)</f>
        <v>0</v>
      </c>
      <c r="AE372" s="545">
        <f ca="1">IF(AND($D372="Serviço",AE$12&lt;&gt;0,$H372&gt;0,OR(AUTOEVENTO&lt;&gt;"manual",$M372&lt;&gt;1)),
IF(Import.TipoArredondamento&lt;&gt;"TransfereGOV",
ROUND(OFFSET($P372,0,AE$13),15-13*ORÇAMENTO!$AF$7)/$H372*OFFSET(ORÇAMENTO!$X$15,ROW(AE372)-ROW(AE$15),0),
ROUND(ROUND(OFFSET($P372,0,AE$13),15-13*ORÇAMENTO!$AF$7)*OFFSET(ORÇAMENTO!$W$15,ROW(AE372)-ROW(AE$15),0),15-13*ORÇAMENTO!$AF$11)),0)</f>
        <v>0</v>
      </c>
      <c r="AF372" s="545">
        <f ca="1">IF(AND($D372="Serviço",AF$12&lt;&gt;0,$H372&gt;0,OR(AUTOEVENTO&lt;&gt;"manual",$M372&lt;&gt;1)),
IF(Import.TipoArredondamento&lt;&gt;"TransfereGOV",
ROUND(OFFSET($P372,0,AF$13),15-13*ORÇAMENTO!$AF$7)/$H372*OFFSET(ORÇAMENTO!$X$15,ROW(AF372)-ROW(AF$15),0),
ROUND(ROUND(OFFSET($P372,0,AF$13),15-13*ORÇAMENTO!$AF$7)*OFFSET(ORÇAMENTO!$W$15,ROW(AF372)-ROW(AF$15),0),15-13*ORÇAMENTO!$AF$11)),0)</f>
        <v>0</v>
      </c>
      <c r="AG372" s="545">
        <f ca="1">IF(AND($D372="Serviço",AG$12&lt;&gt;0,$H372&gt;0,OR(AUTOEVENTO&lt;&gt;"manual",$M372&lt;&gt;1)),
IF(Import.TipoArredondamento&lt;&gt;"TransfereGOV",
ROUND(OFFSET($P372,0,AG$13),15-13*ORÇAMENTO!$AF$7)/$H372*OFFSET(ORÇAMENTO!$X$15,ROW(AG372)-ROW(AG$15),0),
ROUND(ROUND(OFFSET($P372,0,AG$13),15-13*ORÇAMENTO!$AF$7)*OFFSET(ORÇAMENTO!$W$15,ROW(AG372)-ROW(AG$15),0),15-13*ORÇAMENTO!$AF$11)),0)</f>
        <v>0</v>
      </c>
      <c r="AH372" s="545">
        <f ca="1">IF(AND($D372="Serviço",AH$12&lt;&gt;0,$H372&gt;0,OR(AUTOEVENTO&lt;&gt;"manual",$M372&lt;&gt;1)),
IF(Import.TipoArredondamento&lt;&gt;"TransfereGOV",
ROUND(OFFSET($P372,0,AH$13),15-13*ORÇAMENTO!$AF$7)/$H372*OFFSET(ORÇAMENTO!$X$15,ROW(AH372)-ROW(AH$15),0),
ROUND(ROUND(OFFSET($P372,0,AH$13),15-13*ORÇAMENTO!$AF$7)*OFFSET(ORÇAMENTO!$W$15,ROW(AH372)-ROW(AH$15),0),15-13*ORÇAMENTO!$AF$11)),0)</f>
        <v>0</v>
      </c>
      <c r="AI372" s="545">
        <f ca="1">IF(AND($D372="Serviço",AI$12&lt;&gt;0,$H372&gt;0,OR(AUTOEVENTO&lt;&gt;"manual",$M372&lt;&gt;1)),
IF(Import.TipoArredondamento&lt;&gt;"TransfereGOV",
ROUND(OFFSET($P372,0,AI$13),15-13*ORÇAMENTO!$AF$7)/$H372*OFFSET(ORÇAMENTO!$X$15,ROW(AI372)-ROW(AI$15),0),
ROUND(ROUND(OFFSET($P372,0,AI$13),15-13*ORÇAMENTO!$AF$7)*OFFSET(ORÇAMENTO!$W$15,ROW(AI372)-ROW(AI$15),0),15-13*ORÇAMENTO!$AF$11)),0)</f>
        <v>0</v>
      </c>
      <c r="AJ372" s="545">
        <f ca="1">IF(AND($D372="Serviço",AJ$12&lt;&gt;0,$H372&gt;0,OR(AUTOEVENTO&lt;&gt;"manual",$M372&lt;&gt;1)),
IF(Import.TipoArredondamento&lt;&gt;"TransfereGOV",
ROUND(OFFSET($P372,0,AJ$13),15-13*ORÇAMENTO!$AF$7)/$H372*OFFSET(ORÇAMENTO!$X$15,ROW(AJ372)-ROW(AJ$15),0),
ROUND(ROUND(OFFSET($P372,0,AJ$13),15-13*ORÇAMENTO!$AF$7)*OFFSET(ORÇAMENTO!$W$15,ROW(AJ372)-ROW(AJ$15),0),15-13*ORÇAMENTO!$AF$11)),0)</f>
        <v>0</v>
      </c>
      <c r="AK372" s="546">
        <f ca="1">IF(AND($D372="Serviço",AK$12&lt;&gt;0,$H372&gt;0,OR(AUTOEVENTO&lt;&gt;"manual",$M372&lt;&gt;1)),
IF(Import.TipoArredondamento&lt;&gt;"TransfereGOV",
ROUND(OFFSET($P372,0,AK$13),15-13*ORÇAMENTO!$AF$7)/$H372*OFFSET(ORÇAMENTO!$X$15,ROW(AK372)-ROW(AK$15),0),
ROUND(ROUND(OFFSET($P372,0,AK$13),15-13*ORÇAMENTO!$AF$7)*OFFSET(ORÇAMENTO!$W$15,ROW(AK372)-ROW(AK$15),0),15-13*ORÇAMENTO!$AF$11)),0)</f>
        <v>0</v>
      </c>
      <c r="AM372" s="181">
        <f ca="1">IF($D372&lt;&gt;"Serviço",0,IF(AND(AUTOEVENTO="Manual",$M372=1),0,IF(OFFSET(CRONOPLE!$F$14,$M372,AM$13)="",10^12,OFFSET(CRONOPLE!$F$14,$M372,AM$13))))</f>
        <v>1000000000000</v>
      </c>
      <c r="AN372" s="181">
        <f ca="1">IF($D372&lt;&gt;"Serviço",0,IF(AND(AUTOEVENTO="Manual",$M372=1),0,IF(OFFSET(CRONOPLE!$F$14,$M372,AN$13)="",10^12,OFFSET(CRONOPLE!$F$14,$M372,AN$13))))</f>
        <v>1000000000000</v>
      </c>
      <c r="AO372" s="181">
        <f ca="1">IF($D372&lt;&gt;"Serviço",0,IF(AND(AUTOEVENTO="Manual",$M372=1),0,IF(OFFSET(CRONOPLE!$F$14,$M372,AO$13)="",10^12,OFFSET(CRONOPLE!$F$14,$M372,AO$13))))</f>
        <v>1000000000000</v>
      </c>
      <c r="AP372" s="181">
        <f ca="1">IF($D372&lt;&gt;"Serviço",0,IF(AND(AUTOEVENTO="Manual",$M372=1),0,IF(OFFSET(CRONOPLE!$F$14,$M372,AP$13)="",10^12,OFFSET(CRONOPLE!$F$14,$M372,AP$13))))</f>
        <v>1000000000000</v>
      </c>
      <c r="AQ372" s="181">
        <f ca="1">IF($D372&lt;&gt;"Serviço",0,IF(AND(AUTOEVENTO="Manual",$M372=1),0,IF(OFFSET(CRONOPLE!$F$14,$M372,AQ$13)="",10^12,OFFSET(CRONOPLE!$F$14,$M372,AQ$13))))</f>
        <v>1000000000000</v>
      </c>
      <c r="AR372" s="181">
        <f ca="1">IF($D372&lt;&gt;"Serviço",0,IF(AND(AUTOEVENTO="Manual",$M372=1),0,IF(OFFSET(CRONOPLE!$F$14,$M372,AR$13)="",10^12,OFFSET(CRONOPLE!$F$14,$M372,AR$13))))</f>
        <v>1000000000000</v>
      </c>
      <c r="AS372" s="181">
        <f ca="1">IF($D372&lt;&gt;"Serviço",0,IF(AND(AUTOEVENTO="Manual",$M372=1),0,IF(OFFSET(CRONOPLE!$F$14,$M372,AS$13)="",10^12,OFFSET(CRONOPLE!$F$14,$M372,AS$13))))</f>
        <v>1000000000000</v>
      </c>
      <c r="AT372" s="181">
        <f ca="1">IF($D372&lt;&gt;"Serviço",0,IF(AND(AUTOEVENTO="Manual",$M372=1),0,IF(OFFSET(CRONOPLE!$F$14,$M372,AT$13)="",10^12,OFFSET(CRONOPLE!$F$14,$M372,AT$13))))</f>
        <v>1000000000000</v>
      </c>
      <c r="AU372" s="181">
        <f ca="1">IF($D372&lt;&gt;"Serviço",0,IF(AND(AUTOEVENTO="Manual",$M372=1),0,IF(OFFSET(CRONOPLE!$F$14,$M372,AU$13)="",10^12,OFFSET(CRONOPLE!$F$14,$M372,AU$13))))</f>
        <v>1000000000000</v>
      </c>
      <c r="AV372" s="181">
        <f ca="1">IF($D372&lt;&gt;"Serviço",0,IF(AND(AUTOEVENTO="Manual",$M372=1),0,IF(OFFSET(CRONOPLE!$F$14,$M372,AV$13)="",10^12,OFFSET(CRONOPLE!$F$14,$M372,AV$13))))</f>
        <v>1000000000000</v>
      </c>
      <c r="AX372" s="182">
        <f ca="1">IF($D372&lt;&gt;"Serviço",0,IF(OR(AND(AUTOEVENTO="Manual",$M372=1),$M372&gt;(ROW(PLE.lastrow)-ROW(PLE.firstrow))),0,IF(OFFSET(PLE!$G$14,$M372,AX$13)="",10^12,OFFSET(PLE!$G$14,$M372,AX$13))))</f>
        <v>1000000000000</v>
      </c>
      <c r="AY372" s="182">
        <f ca="1">IF($D372&lt;&gt;"Serviço",0,IF(OR(AND(AUTOEVENTO="Manual",$M372=1),$M372&gt;(ROW(PLE.lastrow)-ROW(PLE.firstrow))),0,IF(OFFSET(PLE!$G$14,$M372,AY$13)="",10^12,OFFSET(PLE!$G$14,$M372,AY$13))))</f>
        <v>1000000000000</v>
      </c>
      <c r="AZ372" s="182">
        <f ca="1">IF($D372&lt;&gt;"Serviço",0,IF(OR(AND(AUTOEVENTO="Manual",$M372=1),$M372&gt;(ROW(PLE.lastrow)-ROW(PLE.firstrow))),0,IF(OFFSET(PLE!$G$14,$M372,AZ$13)="",10^12,OFFSET(PLE!$G$14,$M372,AZ$13))))</f>
        <v>1000000000000</v>
      </c>
      <c r="BA372" s="182">
        <f ca="1">IF($D372&lt;&gt;"Serviço",0,IF(OR(AND(AUTOEVENTO="Manual",$M372=1),$M372&gt;(ROW(PLE.lastrow)-ROW(PLE.firstrow))),0,IF(OFFSET(PLE!$G$14,$M372,BA$13)="",10^12,OFFSET(PLE!$G$14,$M372,BA$13))))</f>
        <v>1000000000000</v>
      </c>
      <c r="BB372" s="182">
        <f ca="1">IF($D372&lt;&gt;"Serviço",0,IF(OR(AND(AUTOEVENTO="Manual",$M372=1),$M372&gt;(ROW(PLE.lastrow)-ROW(PLE.firstrow))),0,IF(OFFSET(PLE!$G$14,$M372,BB$13)="",10^12,OFFSET(PLE!$G$14,$M372,BB$13))))</f>
        <v>1000000000000</v>
      </c>
      <c r="BC372" s="182">
        <f ca="1">IF($D372&lt;&gt;"Serviço",0,IF(OR(AND(AUTOEVENTO="Manual",$M372=1),$M372&gt;(ROW(PLE.lastrow)-ROW(PLE.firstrow))),0,IF(OFFSET(PLE!$G$14,$M372,BC$13)="",10^12,OFFSET(PLE!$G$14,$M372,BC$13))))</f>
        <v>1000000000000</v>
      </c>
      <c r="BD372" s="182">
        <f ca="1">IF($D372&lt;&gt;"Serviço",0,IF(OR(AND(AUTOEVENTO="Manual",$M372=1),$M372&gt;(ROW(PLE.lastrow)-ROW(PLE.firstrow))),0,IF(OFFSET(PLE!$G$14,$M372,BD$13)="",10^12,OFFSET(PLE!$G$14,$M372,BD$13))))</f>
        <v>1000000000000</v>
      </c>
      <c r="BE372" s="182">
        <f ca="1">IF($D372&lt;&gt;"Serviço",0,IF(OR(AND(AUTOEVENTO="Manual",$M372=1),$M372&gt;(ROW(PLE.lastrow)-ROW(PLE.firstrow))),0,IF(OFFSET(PLE!$G$14,$M372,BE$13)="",10^12,OFFSET(PLE!$G$14,$M372,BE$13))))</f>
        <v>1000000000000</v>
      </c>
      <c r="BF372" s="182">
        <f ca="1">IF($D372&lt;&gt;"Serviço",0,IF(OR(AND(AUTOEVENTO="Manual",$M372=1),$M372&gt;(ROW(PLE.lastrow)-ROW(PLE.firstrow))),0,IF(OFFSET(PLE!$G$14,$M372,BF$13)="",10^12,OFFSET(PLE!$G$14,$M372,BF$13))))</f>
        <v>1000000000000</v>
      </c>
      <c r="BG372" s="182">
        <f ca="1">IF($D372&lt;&gt;"Serviço",0,IF(OR(AND(AUTOEVENTO="Manual",$M372=1),$M372&gt;(ROW(PLE.lastrow)-ROW(PLE.firstrow))),0,IF(OFFSET(PLE!$G$14,$M372,BG$13)="",10^12,OFFSET(PLE!$G$14,$M372,BG$13))))</f>
        <v>1000000000000</v>
      </c>
    </row>
    <row r="373" spans="1:59" ht="38.25" x14ac:dyDescent="0.2">
      <c r="A373" s="7" t="str">
        <f t="shared" ref="A373:A378" ca="1" si="12">IF(AUTOEVENTO="Manual",IF(K373&lt;&gt;"",MIN(VALUE(LEFT(K373,FIND(".",K373)-1)),COUNTA(EVENTOS.Lista)),0),IF(OR($B373&gt;AUTOEVENTO,$B373="S",$B373=0),SUBSTITUTE(OFFSET($A373,-1,0),IF($D373="Serviço",".",""),""),ROW(A373)-ROW($A$15)&amp;"."))</f>
        <v>325</v>
      </c>
      <c r="B373" s="7" t="str">
        <f ca="1">OFFSET(ORÇAMENTO!C$15,ROW(B373)-ROW(B$15),0)</f>
        <v>S</v>
      </c>
      <c r="C373" s="7" t="str">
        <f ca="1">OFFSET(ORÇAMENTO!L$15,ROW(C373)-ROW(C$15),0)</f>
        <v/>
      </c>
      <c r="D373" s="118" t="str">
        <f ca="1">OFFSET(ORÇAMENTO!N$15,ROW(D373)-ROW(D$15),0)</f>
        <v>Serviço</v>
      </c>
      <c r="E373" s="119" t="str">
        <f ca="1">OFFSET(ORÇAMENTO!O$15,ROW(E373)-ROW(E$15),0)</f>
        <v>-</v>
      </c>
      <c r="F373" s="172" t="str">
        <f ca="1">OFFSET(ORÇAMENTO!R$15,ROW(F373)-ROW(F$15),0)</f>
        <v>(abra o arquivo 'Referência 02-2025.xlsm)</v>
      </c>
      <c r="G373" s="173" t="str">
        <f ca="1">IF($D373&lt;&gt;"Serviço","",OFFSET(ORÇAMENTO!S$15,ROW(G373)-ROW(G$15),0))</f>
        <v>-</v>
      </c>
      <c r="H373" s="124">
        <f ca="1">IF($D373&lt;&gt;"Serviço",0,IF(ACOMPANHAMENTO="BM",ROUND(OFFSET(ORÇAMENTO!AJ$15,ROW(H373)-ROW(H$15),0),15-13*ORÇAMENTO!$AF$7),SUMPRODUCT(($Q$12:$AA$12&lt;&gt;"")*ROUND($Q373:$AA373,15-13*ORÇAMENTO!$AF$7))))</f>
        <v>28</v>
      </c>
      <c r="I373" s="561"/>
      <c r="K373" s="174"/>
      <c r="L373" s="175" t="s">
        <v>255</v>
      </c>
      <c r="M373" s="176">
        <f ca="1">IF($D373&lt;&gt;"Serviço","",IF(AUTOEVENTO="manual",$A373,IF(ISERROR(MATCH($A373,$A$15:OFFSET($A373,-1,0),0)),MAX($M$15:OFFSET(M373,-1,0))+1,INDEX($M$15:OFFSET(M373,-1,0),MATCH($A373,$A$15:OFFSET($A373,-1,0),0)))))</f>
        <v>15</v>
      </c>
      <c r="N373" s="177" t="str">
        <f ca="1">IF($D373&lt;&gt;"Serviço","",IF(AUTOEVENTO="Manual",IF($A373=0,"&lt;-- defina o número do agrupador",OFFSET(EVENTOS!$D$14,$A373,0)),OFFSET($F$15,$A373,0)))</f>
        <v>INSTALAÇÕES DE ESGOTO SANITÁRIO</v>
      </c>
      <c r="O373" s="178"/>
      <c r="Q373" s="178"/>
      <c r="R373" s="179"/>
      <c r="S373" s="179"/>
      <c r="T373" s="179"/>
      <c r="U373" s="179"/>
      <c r="V373" s="179"/>
      <c r="W373" s="179"/>
      <c r="X373" s="179"/>
      <c r="Y373" s="179"/>
      <c r="Z373" s="180"/>
      <c r="AB373" s="544">
        <f ca="1">IF(AND($D373="Serviço",AB$12&lt;&gt;0,$H373&gt;0,OR(AUTOEVENTO&lt;&gt;"manual",$M373&lt;&gt;1)),
IF(Import.TipoArredondamento&lt;&gt;"TransfereGOV",
ROUND(OFFSET($P373,0,AB$13),15-13*ORÇAMENTO!$AF$7)/$H373*OFFSET(ORÇAMENTO!$X$15,ROW(AB373)-ROW(AB$15),0),
ROUND(ROUND(OFFSET($P373,0,AB$13),15-13*ORÇAMENTO!$AF$7)*OFFSET(ORÇAMENTO!$W$15,ROW(AB373)-ROW(AB$15),0),15-13*ORÇAMENTO!$AF$11)),0)</f>
        <v>0</v>
      </c>
      <c r="AC373" s="545">
        <f ca="1">IF(AND($D373="Serviço",AC$12&lt;&gt;0,$H373&gt;0,OR(AUTOEVENTO&lt;&gt;"manual",$M373&lt;&gt;1)),
IF(Import.TipoArredondamento&lt;&gt;"TransfereGOV",
ROUND(OFFSET($P373,0,AC$13),15-13*ORÇAMENTO!$AF$7)/$H373*OFFSET(ORÇAMENTO!$X$15,ROW(AC373)-ROW(AC$15),0),
ROUND(ROUND(OFFSET($P373,0,AC$13),15-13*ORÇAMENTO!$AF$7)*OFFSET(ORÇAMENTO!$W$15,ROW(AC373)-ROW(AC$15),0),15-13*ORÇAMENTO!$AF$11)),0)</f>
        <v>0</v>
      </c>
      <c r="AD373" s="545">
        <f ca="1">IF(AND($D373="Serviço",AD$12&lt;&gt;0,$H373&gt;0,OR(AUTOEVENTO&lt;&gt;"manual",$M373&lt;&gt;1)),
IF(Import.TipoArredondamento&lt;&gt;"TransfereGOV",
ROUND(OFFSET($P373,0,AD$13),15-13*ORÇAMENTO!$AF$7)/$H373*OFFSET(ORÇAMENTO!$X$15,ROW(AD373)-ROW(AD$15),0),
ROUND(ROUND(OFFSET($P373,0,AD$13),15-13*ORÇAMENTO!$AF$7)*OFFSET(ORÇAMENTO!$W$15,ROW(AD373)-ROW(AD$15),0),15-13*ORÇAMENTO!$AF$11)),0)</f>
        <v>0</v>
      </c>
      <c r="AE373" s="545">
        <f ca="1">IF(AND($D373="Serviço",AE$12&lt;&gt;0,$H373&gt;0,OR(AUTOEVENTO&lt;&gt;"manual",$M373&lt;&gt;1)),
IF(Import.TipoArredondamento&lt;&gt;"TransfereGOV",
ROUND(OFFSET($P373,0,AE$13),15-13*ORÇAMENTO!$AF$7)/$H373*OFFSET(ORÇAMENTO!$X$15,ROW(AE373)-ROW(AE$15),0),
ROUND(ROUND(OFFSET($P373,0,AE$13),15-13*ORÇAMENTO!$AF$7)*OFFSET(ORÇAMENTO!$W$15,ROW(AE373)-ROW(AE$15),0),15-13*ORÇAMENTO!$AF$11)),0)</f>
        <v>0</v>
      </c>
      <c r="AF373" s="545">
        <f ca="1">IF(AND($D373="Serviço",AF$12&lt;&gt;0,$H373&gt;0,OR(AUTOEVENTO&lt;&gt;"manual",$M373&lt;&gt;1)),
IF(Import.TipoArredondamento&lt;&gt;"TransfereGOV",
ROUND(OFFSET($P373,0,AF$13),15-13*ORÇAMENTO!$AF$7)/$H373*OFFSET(ORÇAMENTO!$X$15,ROW(AF373)-ROW(AF$15),0),
ROUND(ROUND(OFFSET($P373,0,AF$13),15-13*ORÇAMENTO!$AF$7)*OFFSET(ORÇAMENTO!$W$15,ROW(AF373)-ROW(AF$15),0),15-13*ORÇAMENTO!$AF$11)),0)</f>
        <v>0</v>
      </c>
      <c r="AG373" s="545">
        <f ca="1">IF(AND($D373="Serviço",AG$12&lt;&gt;0,$H373&gt;0,OR(AUTOEVENTO&lt;&gt;"manual",$M373&lt;&gt;1)),
IF(Import.TipoArredondamento&lt;&gt;"TransfereGOV",
ROUND(OFFSET($P373,0,AG$13),15-13*ORÇAMENTO!$AF$7)/$H373*OFFSET(ORÇAMENTO!$X$15,ROW(AG373)-ROW(AG$15),0),
ROUND(ROUND(OFFSET($P373,0,AG$13),15-13*ORÇAMENTO!$AF$7)*OFFSET(ORÇAMENTO!$W$15,ROW(AG373)-ROW(AG$15),0),15-13*ORÇAMENTO!$AF$11)),0)</f>
        <v>0</v>
      </c>
      <c r="AH373" s="545">
        <f ca="1">IF(AND($D373="Serviço",AH$12&lt;&gt;0,$H373&gt;0,OR(AUTOEVENTO&lt;&gt;"manual",$M373&lt;&gt;1)),
IF(Import.TipoArredondamento&lt;&gt;"TransfereGOV",
ROUND(OFFSET($P373,0,AH$13),15-13*ORÇAMENTO!$AF$7)/$H373*OFFSET(ORÇAMENTO!$X$15,ROW(AH373)-ROW(AH$15),0),
ROUND(ROUND(OFFSET($P373,0,AH$13),15-13*ORÇAMENTO!$AF$7)*OFFSET(ORÇAMENTO!$W$15,ROW(AH373)-ROW(AH$15),0),15-13*ORÇAMENTO!$AF$11)),0)</f>
        <v>0</v>
      </c>
      <c r="AI373" s="545">
        <f ca="1">IF(AND($D373="Serviço",AI$12&lt;&gt;0,$H373&gt;0,OR(AUTOEVENTO&lt;&gt;"manual",$M373&lt;&gt;1)),
IF(Import.TipoArredondamento&lt;&gt;"TransfereGOV",
ROUND(OFFSET($P373,0,AI$13),15-13*ORÇAMENTO!$AF$7)/$H373*OFFSET(ORÇAMENTO!$X$15,ROW(AI373)-ROW(AI$15),0),
ROUND(ROUND(OFFSET($P373,0,AI$13),15-13*ORÇAMENTO!$AF$7)*OFFSET(ORÇAMENTO!$W$15,ROW(AI373)-ROW(AI$15),0),15-13*ORÇAMENTO!$AF$11)),0)</f>
        <v>0</v>
      </c>
      <c r="AJ373" s="545">
        <f ca="1">IF(AND($D373="Serviço",AJ$12&lt;&gt;0,$H373&gt;0,OR(AUTOEVENTO&lt;&gt;"manual",$M373&lt;&gt;1)),
IF(Import.TipoArredondamento&lt;&gt;"TransfereGOV",
ROUND(OFFSET($P373,0,AJ$13),15-13*ORÇAMENTO!$AF$7)/$H373*OFFSET(ORÇAMENTO!$X$15,ROW(AJ373)-ROW(AJ$15),0),
ROUND(ROUND(OFFSET($P373,0,AJ$13),15-13*ORÇAMENTO!$AF$7)*OFFSET(ORÇAMENTO!$W$15,ROW(AJ373)-ROW(AJ$15),0),15-13*ORÇAMENTO!$AF$11)),0)</f>
        <v>0</v>
      </c>
      <c r="AK373" s="546">
        <f ca="1">IF(AND($D373="Serviço",AK$12&lt;&gt;0,$H373&gt;0,OR(AUTOEVENTO&lt;&gt;"manual",$M373&lt;&gt;1)),
IF(Import.TipoArredondamento&lt;&gt;"TransfereGOV",
ROUND(OFFSET($P373,0,AK$13),15-13*ORÇAMENTO!$AF$7)/$H373*OFFSET(ORÇAMENTO!$X$15,ROW(AK373)-ROW(AK$15),0),
ROUND(ROUND(OFFSET($P373,0,AK$13),15-13*ORÇAMENTO!$AF$7)*OFFSET(ORÇAMENTO!$W$15,ROW(AK373)-ROW(AK$15),0),15-13*ORÇAMENTO!$AF$11)),0)</f>
        <v>0</v>
      </c>
      <c r="AM373" s="181">
        <f ca="1">IF($D373&lt;&gt;"Serviço",0,IF(AND(AUTOEVENTO="Manual",$M373=1),0,IF(OFFSET(CRONOPLE!$F$14,$M373,AM$13)="",10^12,OFFSET(CRONOPLE!$F$14,$M373,AM$13))))</f>
        <v>1000000000000</v>
      </c>
      <c r="AN373" s="181">
        <f ca="1">IF($D373&lt;&gt;"Serviço",0,IF(AND(AUTOEVENTO="Manual",$M373=1),0,IF(OFFSET(CRONOPLE!$F$14,$M373,AN$13)="",10^12,OFFSET(CRONOPLE!$F$14,$M373,AN$13))))</f>
        <v>1000000000000</v>
      </c>
      <c r="AO373" s="181">
        <f ca="1">IF($D373&lt;&gt;"Serviço",0,IF(AND(AUTOEVENTO="Manual",$M373=1),0,IF(OFFSET(CRONOPLE!$F$14,$M373,AO$13)="",10^12,OFFSET(CRONOPLE!$F$14,$M373,AO$13))))</f>
        <v>1000000000000</v>
      </c>
      <c r="AP373" s="181">
        <f ca="1">IF($D373&lt;&gt;"Serviço",0,IF(AND(AUTOEVENTO="Manual",$M373=1),0,IF(OFFSET(CRONOPLE!$F$14,$M373,AP$13)="",10^12,OFFSET(CRONOPLE!$F$14,$M373,AP$13))))</f>
        <v>1000000000000</v>
      </c>
      <c r="AQ373" s="181">
        <f ca="1">IF($D373&lt;&gt;"Serviço",0,IF(AND(AUTOEVENTO="Manual",$M373=1),0,IF(OFFSET(CRONOPLE!$F$14,$M373,AQ$13)="",10^12,OFFSET(CRONOPLE!$F$14,$M373,AQ$13))))</f>
        <v>1000000000000</v>
      </c>
      <c r="AR373" s="181">
        <f ca="1">IF($D373&lt;&gt;"Serviço",0,IF(AND(AUTOEVENTO="Manual",$M373=1),0,IF(OFFSET(CRONOPLE!$F$14,$M373,AR$13)="",10^12,OFFSET(CRONOPLE!$F$14,$M373,AR$13))))</f>
        <v>1000000000000</v>
      </c>
      <c r="AS373" s="181">
        <f ca="1">IF($D373&lt;&gt;"Serviço",0,IF(AND(AUTOEVENTO="Manual",$M373=1),0,IF(OFFSET(CRONOPLE!$F$14,$M373,AS$13)="",10^12,OFFSET(CRONOPLE!$F$14,$M373,AS$13))))</f>
        <v>1000000000000</v>
      </c>
      <c r="AT373" s="181">
        <f ca="1">IF($D373&lt;&gt;"Serviço",0,IF(AND(AUTOEVENTO="Manual",$M373=1),0,IF(OFFSET(CRONOPLE!$F$14,$M373,AT$13)="",10^12,OFFSET(CRONOPLE!$F$14,$M373,AT$13))))</f>
        <v>1000000000000</v>
      </c>
      <c r="AU373" s="181">
        <f ca="1">IF($D373&lt;&gt;"Serviço",0,IF(AND(AUTOEVENTO="Manual",$M373=1),0,IF(OFFSET(CRONOPLE!$F$14,$M373,AU$13)="",10^12,OFFSET(CRONOPLE!$F$14,$M373,AU$13))))</f>
        <v>1000000000000</v>
      </c>
      <c r="AV373" s="181">
        <f ca="1">IF($D373&lt;&gt;"Serviço",0,IF(AND(AUTOEVENTO="Manual",$M373=1),0,IF(OFFSET(CRONOPLE!$F$14,$M373,AV$13)="",10^12,OFFSET(CRONOPLE!$F$14,$M373,AV$13))))</f>
        <v>1000000000000</v>
      </c>
      <c r="AX373" s="182">
        <f ca="1">IF($D373&lt;&gt;"Serviço",0,IF(OR(AND(AUTOEVENTO="Manual",$M373=1),$M373&gt;(ROW(PLE.lastrow)-ROW(PLE.firstrow))),0,IF(OFFSET(PLE!$G$14,$M373,AX$13)="",10^12,OFFSET(PLE!$G$14,$M373,AX$13))))</f>
        <v>1000000000000</v>
      </c>
      <c r="AY373" s="182">
        <f ca="1">IF($D373&lt;&gt;"Serviço",0,IF(OR(AND(AUTOEVENTO="Manual",$M373=1),$M373&gt;(ROW(PLE.lastrow)-ROW(PLE.firstrow))),0,IF(OFFSET(PLE!$G$14,$M373,AY$13)="",10^12,OFFSET(PLE!$G$14,$M373,AY$13))))</f>
        <v>1000000000000</v>
      </c>
      <c r="AZ373" s="182">
        <f ca="1">IF($D373&lt;&gt;"Serviço",0,IF(OR(AND(AUTOEVENTO="Manual",$M373=1),$M373&gt;(ROW(PLE.lastrow)-ROW(PLE.firstrow))),0,IF(OFFSET(PLE!$G$14,$M373,AZ$13)="",10^12,OFFSET(PLE!$G$14,$M373,AZ$13))))</f>
        <v>1000000000000</v>
      </c>
      <c r="BA373" s="182">
        <f ca="1">IF($D373&lt;&gt;"Serviço",0,IF(OR(AND(AUTOEVENTO="Manual",$M373=1),$M373&gt;(ROW(PLE.lastrow)-ROW(PLE.firstrow))),0,IF(OFFSET(PLE!$G$14,$M373,BA$13)="",10^12,OFFSET(PLE!$G$14,$M373,BA$13))))</f>
        <v>1000000000000</v>
      </c>
      <c r="BB373" s="182">
        <f ca="1">IF($D373&lt;&gt;"Serviço",0,IF(OR(AND(AUTOEVENTO="Manual",$M373=1),$M373&gt;(ROW(PLE.lastrow)-ROW(PLE.firstrow))),0,IF(OFFSET(PLE!$G$14,$M373,BB$13)="",10^12,OFFSET(PLE!$G$14,$M373,BB$13))))</f>
        <v>1000000000000</v>
      </c>
      <c r="BC373" s="182">
        <f ca="1">IF($D373&lt;&gt;"Serviço",0,IF(OR(AND(AUTOEVENTO="Manual",$M373=1),$M373&gt;(ROW(PLE.lastrow)-ROW(PLE.firstrow))),0,IF(OFFSET(PLE!$G$14,$M373,BC$13)="",10^12,OFFSET(PLE!$G$14,$M373,BC$13))))</f>
        <v>1000000000000</v>
      </c>
      <c r="BD373" s="182">
        <f ca="1">IF($D373&lt;&gt;"Serviço",0,IF(OR(AND(AUTOEVENTO="Manual",$M373=1),$M373&gt;(ROW(PLE.lastrow)-ROW(PLE.firstrow))),0,IF(OFFSET(PLE!$G$14,$M373,BD$13)="",10^12,OFFSET(PLE!$G$14,$M373,BD$13))))</f>
        <v>1000000000000</v>
      </c>
      <c r="BE373" s="182">
        <f ca="1">IF($D373&lt;&gt;"Serviço",0,IF(OR(AND(AUTOEVENTO="Manual",$M373=1),$M373&gt;(ROW(PLE.lastrow)-ROW(PLE.firstrow))),0,IF(OFFSET(PLE!$G$14,$M373,BE$13)="",10^12,OFFSET(PLE!$G$14,$M373,BE$13))))</f>
        <v>1000000000000</v>
      </c>
      <c r="BF373" s="182">
        <f ca="1">IF($D373&lt;&gt;"Serviço",0,IF(OR(AND(AUTOEVENTO="Manual",$M373=1),$M373&gt;(ROW(PLE.lastrow)-ROW(PLE.firstrow))),0,IF(OFFSET(PLE!$G$14,$M373,BF$13)="",10^12,OFFSET(PLE!$G$14,$M373,BF$13))))</f>
        <v>1000000000000</v>
      </c>
      <c r="BG373" s="182">
        <f ca="1">IF($D373&lt;&gt;"Serviço",0,IF(OR(AND(AUTOEVENTO="Manual",$M373=1),$M373&gt;(ROW(PLE.lastrow)-ROW(PLE.firstrow))),0,IF(OFFSET(PLE!$G$14,$M373,BG$13)="",10^12,OFFSET(PLE!$G$14,$M373,BG$13))))</f>
        <v>1000000000000</v>
      </c>
    </row>
    <row r="374" spans="1:59" ht="38.25" x14ac:dyDescent="0.2">
      <c r="A374" s="7" t="str">
        <f t="shared" ca="1" si="12"/>
        <v>325</v>
      </c>
      <c r="B374" s="7" t="str">
        <f ca="1">OFFSET(ORÇAMENTO!C$15,ROW(B374)-ROW(B$15),0)</f>
        <v>S</v>
      </c>
      <c r="C374" s="7" t="str">
        <f ca="1">OFFSET(ORÇAMENTO!L$15,ROW(C374)-ROW(C$15),0)</f>
        <v/>
      </c>
      <c r="D374" s="118" t="str">
        <f ca="1">OFFSET(ORÇAMENTO!N$15,ROW(D374)-ROW(D$15),0)</f>
        <v>Serviço</v>
      </c>
      <c r="E374" s="119" t="str">
        <f ca="1">OFFSET(ORÇAMENTO!O$15,ROW(E374)-ROW(E$15),0)</f>
        <v>-</v>
      </c>
      <c r="F374" s="172" t="str">
        <f ca="1">OFFSET(ORÇAMENTO!R$15,ROW(F374)-ROW(F$15),0)</f>
        <v>(abra o arquivo 'Referência 02-2025.xlsm)</v>
      </c>
      <c r="G374" s="173" t="str">
        <f ca="1">IF($D374&lt;&gt;"Serviço","",OFFSET(ORÇAMENTO!S$15,ROW(G374)-ROW(G$15),0))</f>
        <v>-</v>
      </c>
      <c r="H374" s="124">
        <f ca="1">IF($D374&lt;&gt;"Serviço",0,IF(ACOMPANHAMENTO="BM",ROUND(OFFSET(ORÇAMENTO!AJ$15,ROW(H374)-ROW(H$15),0),15-13*ORÇAMENTO!$AF$7),SUMPRODUCT(($Q$12:$AA$12&lt;&gt;"")*ROUND($Q374:$AA374,15-13*ORÇAMENTO!$AF$7))))</f>
        <v>7</v>
      </c>
      <c r="I374" s="561"/>
      <c r="K374" s="174"/>
      <c r="L374" s="175" t="s">
        <v>255</v>
      </c>
      <c r="M374" s="176">
        <f ca="1">IF($D374&lt;&gt;"Serviço","",IF(AUTOEVENTO="manual",$A374,IF(ISERROR(MATCH($A374,$A$15:OFFSET($A374,-1,0),0)),MAX($M$15:OFFSET(M374,-1,0))+1,INDEX($M$15:OFFSET(M374,-1,0),MATCH($A374,$A$15:OFFSET($A374,-1,0),0)))))</f>
        <v>15</v>
      </c>
      <c r="N374" s="177" t="str">
        <f ca="1">IF($D374&lt;&gt;"Serviço","",IF(AUTOEVENTO="Manual",IF($A374=0,"&lt;-- defina o número do agrupador",OFFSET(EVENTOS!$D$14,$A374,0)),OFFSET($F$15,$A374,0)))</f>
        <v>INSTALAÇÕES DE ESGOTO SANITÁRIO</v>
      </c>
      <c r="O374" s="178"/>
      <c r="Q374" s="178"/>
      <c r="R374" s="179"/>
      <c r="S374" s="179"/>
      <c r="T374" s="179"/>
      <c r="U374" s="179"/>
      <c r="V374" s="179"/>
      <c r="W374" s="179"/>
      <c r="X374" s="179"/>
      <c r="Y374" s="179"/>
      <c r="Z374" s="180"/>
      <c r="AB374" s="544">
        <f ca="1">IF(AND($D374="Serviço",AB$12&lt;&gt;0,$H374&gt;0,OR(AUTOEVENTO&lt;&gt;"manual",$M374&lt;&gt;1)),
IF(Import.TipoArredondamento&lt;&gt;"TransfereGOV",
ROUND(OFFSET($P374,0,AB$13),15-13*ORÇAMENTO!$AF$7)/$H374*OFFSET(ORÇAMENTO!$X$15,ROW(AB374)-ROW(AB$15),0),
ROUND(ROUND(OFFSET($P374,0,AB$13),15-13*ORÇAMENTO!$AF$7)*OFFSET(ORÇAMENTO!$W$15,ROW(AB374)-ROW(AB$15),0),15-13*ORÇAMENTO!$AF$11)),0)</f>
        <v>0</v>
      </c>
      <c r="AC374" s="545">
        <f ca="1">IF(AND($D374="Serviço",AC$12&lt;&gt;0,$H374&gt;0,OR(AUTOEVENTO&lt;&gt;"manual",$M374&lt;&gt;1)),
IF(Import.TipoArredondamento&lt;&gt;"TransfereGOV",
ROUND(OFFSET($P374,0,AC$13),15-13*ORÇAMENTO!$AF$7)/$H374*OFFSET(ORÇAMENTO!$X$15,ROW(AC374)-ROW(AC$15),0),
ROUND(ROUND(OFFSET($P374,0,AC$13),15-13*ORÇAMENTO!$AF$7)*OFFSET(ORÇAMENTO!$W$15,ROW(AC374)-ROW(AC$15),0),15-13*ORÇAMENTO!$AF$11)),0)</f>
        <v>0</v>
      </c>
      <c r="AD374" s="545">
        <f ca="1">IF(AND($D374="Serviço",AD$12&lt;&gt;0,$H374&gt;0,OR(AUTOEVENTO&lt;&gt;"manual",$M374&lt;&gt;1)),
IF(Import.TipoArredondamento&lt;&gt;"TransfereGOV",
ROUND(OFFSET($P374,0,AD$13),15-13*ORÇAMENTO!$AF$7)/$H374*OFFSET(ORÇAMENTO!$X$15,ROW(AD374)-ROW(AD$15),0),
ROUND(ROUND(OFFSET($P374,0,AD$13),15-13*ORÇAMENTO!$AF$7)*OFFSET(ORÇAMENTO!$W$15,ROW(AD374)-ROW(AD$15),0),15-13*ORÇAMENTO!$AF$11)),0)</f>
        <v>0</v>
      </c>
      <c r="AE374" s="545">
        <f ca="1">IF(AND($D374="Serviço",AE$12&lt;&gt;0,$H374&gt;0,OR(AUTOEVENTO&lt;&gt;"manual",$M374&lt;&gt;1)),
IF(Import.TipoArredondamento&lt;&gt;"TransfereGOV",
ROUND(OFFSET($P374,0,AE$13),15-13*ORÇAMENTO!$AF$7)/$H374*OFFSET(ORÇAMENTO!$X$15,ROW(AE374)-ROW(AE$15),0),
ROUND(ROUND(OFFSET($P374,0,AE$13),15-13*ORÇAMENTO!$AF$7)*OFFSET(ORÇAMENTO!$W$15,ROW(AE374)-ROW(AE$15),0),15-13*ORÇAMENTO!$AF$11)),0)</f>
        <v>0</v>
      </c>
      <c r="AF374" s="545">
        <f ca="1">IF(AND($D374="Serviço",AF$12&lt;&gt;0,$H374&gt;0,OR(AUTOEVENTO&lt;&gt;"manual",$M374&lt;&gt;1)),
IF(Import.TipoArredondamento&lt;&gt;"TransfereGOV",
ROUND(OFFSET($P374,0,AF$13),15-13*ORÇAMENTO!$AF$7)/$H374*OFFSET(ORÇAMENTO!$X$15,ROW(AF374)-ROW(AF$15),0),
ROUND(ROUND(OFFSET($P374,0,AF$13),15-13*ORÇAMENTO!$AF$7)*OFFSET(ORÇAMENTO!$W$15,ROW(AF374)-ROW(AF$15),0),15-13*ORÇAMENTO!$AF$11)),0)</f>
        <v>0</v>
      </c>
      <c r="AG374" s="545">
        <f ca="1">IF(AND($D374="Serviço",AG$12&lt;&gt;0,$H374&gt;0,OR(AUTOEVENTO&lt;&gt;"manual",$M374&lt;&gt;1)),
IF(Import.TipoArredondamento&lt;&gt;"TransfereGOV",
ROUND(OFFSET($P374,0,AG$13),15-13*ORÇAMENTO!$AF$7)/$H374*OFFSET(ORÇAMENTO!$X$15,ROW(AG374)-ROW(AG$15),0),
ROUND(ROUND(OFFSET($P374,0,AG$13),15-13*ORÇAMENTO!$AF$7)*OFFSET(ORÇAMENTO!$W$15,ROW(AG374)-ROW(AG$15),0),15-13*ORÇAMENTO!$AF$11)),0)</f>
        <v>0</v>
      </c>
      <c r="AH374" s="545">
        <f ca="1">IF(AND($D374="Serviço",AH$12&lt;&gt;0,$H374&gt;0,OR(AUTOEVENTO&lt;&gt;"manual",$M374&lt;&gt;1)),
IF(Import.TipoArredondamento&lt;&gt;"TransfereGOV",
ROUND(OFFSET($P374,0,AH$13),15-13*ORÇAMENTO!$AF$7)/$H374*OFFSET(ORÇAMENTO!$X$15,ROW(AH374)-ROW(AH$15),0),
ROUND(ROUND(OFFSET($P374,0,AH$13),15-13*ORÇAMENTO!$AF$7)*OFFSET(ORÇAMENTO!$W$15,ROW(AH374)-ROW(AH$15),0),15-13*ORÇAMENTO!$AF$11)),0)</f>
        <v>0</v>
      </c>
      <c r="AI374" s="545">
        <f ca="1">IF(AND($D374="Serviço",AI$12&lt;&gt;0,$H374&gt;0,OR(AUTOEVENTO&lt;&gt;"manual",$M374&lt;&gt;1)),
IF(Import.TipoArredondamento&lt;&gt;"TransfereGOV",
ROUND(OFFSET($P374,0,AI$13),15-13*ORÇAMENTO!$AF$7)/$H374*OFFSET(ORÇAMENTO!$X$15,ROW(AI374)-ROW(AI$15),0),
ROUND(ROUND(OFFSET($P374,0,AI$13),15-13*ORÇAMENTO!$AF$7)*OFFSET(ORÇAMENTO!$W$15,ROW(AI374)-ROW(AI$15),0),15-13*ORÇAMENTO!$AF$11)),0)</f>
        <v>0</v>
      </c>
      <c r="AJ374" s="545">
        <f ca="1">IF(AND($D374="Serviço",AJ$12&lt;&gt;0,$H374&gt;0,OR(AUTOEVENTO&lt;&gt;"manual",$M374&lt;&gt;1)),
IF(Import.TipoArredondamento&lt;&gt;"TransfereGOV",
ROUND(OFFSET($P374,0,AJ$13),15-13*ORÇAMENTO!$AF$7)/$H374*OFFSET(ORÇAMENTO!$X$15,ROW(AJ374)-ROW(AJ$15),0),
ROUND(ROUND(OFFSET($P374,0,AJ$13),15-13*ORÇAMENTO!$AF$7)*OFFSET(ORÇAMENTO!$W$15,ROW(AJ374)-ROW(AJ$15),0),15-13*ORÇAMENTO!$AF$11)),0)</f>
        <v>0</v>
      </c>
      <c r="AK374" s="546">
        <f ca="1">IF(AND($D374="Serviço",AK$12&lt;&gt;0,$H374&gt;0,OR(AUTOEVENTO&lt;&gt;"manual",$M374&lt;&gt;1)),
IF(Import.TipoArredondamento&lt;&gt;"TransfereGOV",
ROUND(OFFSET($P374,0,AK$13),15-13*ORÇAMENTO!$AF$7)/$H374*OFFSET(ORÇAMENTO!$X$15,ROW(AK374)-ROW(AK$15),0),
ROUND(ROUND(OFFSET($P374,0,AK$13),15-13*ORÇAMENTO!$AF$7)*OFFSET(ORÇAMENTO!$W$15,ROW(AK374)-ROW(AK$15),0),15-13*ORÇAMENTO!$AF$11)),0)</f>
        <v>0</v>
      </c>
      <c r="AM374" s="181">
        <f ca="1">IF($D374&lt;&gt;"Serviço",0,IF(AND(AUTOEVENTO="Manual",$M374=1),0,IF(OFFSET(CRONOPLE!$F$14,$M374,AM$13)="",10^12,OFFSET(CRONOPLE!$F$14,$M374,AM$13))))</f>
        <v>1000000000000</v>
      </c>
      <c r="AN374" s="181">
        <f ca="1">IF($D374&lt;&gt;"Serviço",0,IF(AND(AUTOEVENTO="Manual",$M374=1),0,IF(OFFSET(CRONOPLE!$F$14,$M374,AN$13)="",10^12,OFFSET(CRONOPLE!$F$14,$M374,AN$13))))</f>
        <v>1000000000000</v>
      </c>
      <c r="AO374" s="181">
        <f ca="1">IF($D374&lt;&gt;"Serviço",0,IF(AND(AUTOEVENTO="Manual",$M374=1),0,IF(OFFSET(CRONOPLE!$F$14,$M374,AO$13)="",10^12,OFFSET(CRONOPLE!$F$14,$M374,AO$13))))</f>
        <v>1000000000000</v>
      </c>
      <c r="AP374" s="181">
        <f ca="1">IF($D374&lt;&gt;"Serviço",0,IF(AND(AUTOEVENTO="Manual",$M374=1),0,IF(OFFSET(CRONOPLE!$F$14,$M374,AP$13)="",10^12,OFFSET(CRONOPLE!$F$14,$M374,AP$13))))</f>
        <v>1000000000000</v>
      </c>
      <c r="AQ374" s="181">
        <f ca="1">IF($D374&lt;&gt;"Serviço",0,IF(AND(AUTOEVENTO="Manual",$M374=1),0,IF(OFFSET(CRONOPLE!$F$14,$M374,AQ$13)="",10^12,OFFSET(CRONOPLE!$F$14,$M374,AQ$13))))</f>
        <v>1000000000000</v>
      </c>
      <c r="AR374" s="181">
        <f ca="1">IF($D374&lt;&gt;"Serviço",0,IF(AND(AUTOEVENTO="Manual",$M374=1),0,IF(OFFSET(CRONOPLE!$F$14,$M374,AR$13)="",10^12,OFFSET(CRONOPLE!$F$14,$M374,AR$13))))</f>
        <v>1000000000000</v>
      </c>
      <c r="AS374" s="181">
        <f ca="1">IF($D374&lt;&gt;"Serviço",0,IF(AND(AUTOEVENTO="Manual",$M374=1),0,IF(OFFSET(CRONOPLE!$F$14,$M374,AS$13)="",10^12,OFFSET(CRONOPLE!$F$14,$M374,AS$13))))</f>
        <v>1000000000000</v>
      </c>
      <c r="AT374" s="181">
        <f ca="1">IF($D374&lt;&gt;"Serviço",0,IF(AND(AUTOEVENTO="Manual",$M374=1),0,IF(OFFSET(CRONOPLE!$F$14,$M374,AT$13)="",10^12,OFFSET(CRONOPLE!$F$14,$M374,AT$13))))</f>
        <v>1000000000000</v>
      </c>
      <c r="AU374" s="181">
        <f ca="1">IF($D374&lt;&gt;"Serviço",0,IF(AND(AUTOEVENTO="Manual",$M374=1),0,IF(OFFSET(CRONOPLE!$F$14,$M374,AU$13)="",10^12,OFFSET(CRONOPLE!$F$14,$M374,AU$13))))</f>
        <v>1000000000000</v>
      </c>
      <c r="AV374" s="181">
        <f ca="1">IF($D374&lt;&gt;"Serviço",0,IF(AND(AUTOEVENTO="Manual",$M374=1),0,IF(OFFSET(CRONOPLE!$F$14,$M374,AV$13)="",10^12,OFFSET(CRONOPLE!$F$14,$M374,AV$13))))</f>
        <v>1000000000000</v>
      </c>
      <c r="AX374" s="182">
        <f ca="1">IF($D374&lt;&gt;"Serviço",0,IF(OR(AND(AUTOEVENTO="Manual",$M374=1),$M374&gt;(ROW(PLE.lastrow)-ROW(PLE.firstrow))),0,IF(OFFSET(PLE!$G$14,$M374,AX$13)="",10^12,OFFSET(PLE!$G$14,$M374,AX$13))))</f>
        <v>1000000000000</v>
      </c>
      <c r="AY374" s="182">
        <f ca="1">IF($D374&lt;&gt;"Serviço",0,IF(OR(AND(AUTOEVENTO="Manual",$M374=1),$M374&gt;(ROW(PLE.lastrow)-ROW(PLE.firstrow))),0,IF(OFFSET(PLE!$G$14,$M374,AY$13)="",10^12,OFFSET(PLE!$G$14,$M374,AY$13))))</f>
        <v>1000000000000</v>
      </c>
      <c r="AZ374" s="182">
        <f ca="1">IF($D374&lt;&gt;"Serviço",0,IF(OR(AND(AUTOEVENTO="Manual",$M374=1),$M374&gt;(ROW(PLE.lastrow)-ROW(PLE.firstrow))),0,IF(OFFSET(PLE!$G$14,$M374,AZ$13)="",10^12,OFFSET(PLE!$G$14,$M374,AZ$13))))</f>
        <v>1000000000000</v>
      </c>
      <c r="BA374" s="182">
        <f ca="1">IF($D374&lt;&gt;"Serviço",0,IF(OR(AND(AUTOEVENTO="Manual",$M374=1),$M374&gt;(ROW(PLE.lastrow)-ROW(PLE.firstrow))),0,IF(OFFSET(PLE!$G$14,$M374,BA$13)="",10^12,OFFSET(PLE!$G$14,$M374,BA$13))))</f>
        <v>1000000000000</v>
      </c>
      <c r="BB374" s="182">
        <f ca="1">IF($D374&lt;&gt;"Serviço",0,IF(OR(AND(AUTOEVENTO="Manual",$M374=1),$M374&gt;(ROW(PLE.lastrow)-ROW(PLE.firstrow))),0,IF(OFFSET(PLE!$G$14,$M374,BB$13)="",10^12,OFFSET(PLE!$G$14,$M374,BB$13))))</f>
        <v>1000000000000</v>
      </c>
      <c r="BC374" s="182">
        <f ca="1">IF($D374&lt;&gt;"Serviço",0,IF(OR(AND(AUTOEVENTO="Manual",$M374=1),$M374&gt;(ROW(PLE.lastrow)-ROW(PLE.firstrow))),0,IF(OFFSET(PLE!$G$14,$M374,BC$13)="",10^12,OFFSET(PLE!$G$14,$M374,BC$13))))</f>
        <v>1000000000000</v>
      </c>
      <c r="BD374" s="182">
        <f ca="1">IF($D374&lt;&gt;"Serviço",0,IF(OR(AND(AUTOEVENTO="Manual",$M374=1),$M374&gt;(ROW(PLE.lastrow)-ROW(PLE.firstrow))),0,IF(OFFSET(PLE!$G$14,$M374,BD$13)="",10^12,OFFSET(PLE!$G$14,$M374,BD$13))))</f>
        <v>1000000000000</v>
      </c>
      <c r="BE374" s="182">
        <f ca="1">IF($D374&lt;&gt;"Serviço",0,IF(OR(AND(AUTOEVENTO="Manual",$M374=1),$M374&gt;(ROW(PLE.lastrow)-ROW(PLE.firstrow))),0,IF(OFFSET(PLE!$G$14,$M374,BE$13)="",10^12,OFFSET(PLE!$G$14,$M374,BE$13))))</f>
        <v>1000000000000</v>
      </c>
      <c r="BF374" s="182">
        <f ca="1">IF($D374&lt;&gt;"Serviço",0,IF(OR(AND(AUTOEVENTO="Manual",$M374=1),$M374&gt;(ROW(PLE.lastrow)-ROW(PLE.firstrow))),0,IF(OFFSET(PLE!$G$14,$M374,BF$13)="",10^12,OFFSET(PLE!$G$14,$M374,BF$13))))</f>
        <v>1000000000000</v>
      </c>
      <c r="BG374" s="182">
        <f ca="1">IF($D374&lt;&gt;"Serviço",0,IF(OR(AND(AUTOEVENTO="Manual",$M374=1),$M374&gt;(ROW(PLE.lastrow)-ROW(PLE.firstrow))),0,IF(OFFSET(PLE!$G$14,$M374,BG$13)="",10^12,OFFSET(PLE!$G$14,$M374,BG$13))))</f>
        <v>1000000000000</v>
      </c>
    </row>
    <row r="375" spans="1:59" ht="12.75" x14ac:dyDescent="0.2">
      <c r="A375" s="7" t="str">
        <f t="shared" ca="1" si="12"/>
        <v>325</v>
      </c>
      <c r="B375" s="7">
        <f ca="1">OFFSET(ORÇAMENTO!C$15,ROW(B375)-ROW(B$15),0)</f>
        <v>3</v>
      </c>
      <c r="C375" s="7" t="str">
        <f ca="1">OFFSET(ORÇAMENTO!L$15,ROW(C375)-ROW(C$15),0)</f>
        <v>F</v>
      </c>
      <c r="D375" s="118" t="str">
        <f ca="1">OFFSET(ORÇAMENTO!N$15,ROW(D375)-ROW(D$15),0)</f>
        <v>Nível 3</v>
      </c>
      <c r="E375" s="119" t="str">
        <f ca="1">OFFSET(ORÇAMENTO!O$15,ROW(E375)-ROW(E$15),0)</f>
        <v>1.14.3.</v>
      </c>
      <c r="F375" s="172" t="str">
        <f ca="1">OFFSET(ORÇAMENTO!R$15,ROW(F375)-ROW(F$15),0)</f>
        <v>UNIDADE DE TRATAMENTO</v>
      </c>
      <c r="G375" s="173" t="str">
        <f ca="1">IF($D375&lt;&gt;"Serviço","",OFFSET(ORÇAMENTO!S$15,ROW(G375)-ROW(G$15),0))</f>
        <v/>
      </c>
      <c r="H375" s="124">
        <f ca="1">IF($D375&lt;&gt;"Serviço",0,IF(ACOMPANHAMENTO="BM",ROUND(OFFSET(ORÇAMENTO!AJ$15,ROW(H375)-ROW(H$15),0),15-13*ORÇAMENTO!$AF$7),SUMPRODUCT(($Q$12:$AA$12&lt;&gt;"")*ROUND($Q375:$AA375,15-13*ORÇAMENTO!$AF$7))))</f>
        <v>0</v>
      </c>
      <c r="I375" s="561"/>
      <c r="K375" s="174"/>
      <c r="L375" s="175" t="s">
        <v>255</v>
      </c>
      <c r="M375" s="176" t="str">
        <f ca="1">IF($D375&lt;&gt;"Serviço","",IF(AUTOEVENTO="manual",$A375,IF(ISERROR(MATCH($A375,$A$15:OFFSET($A375,-1,0),0)),MAX($M$15:OFFSET(M375,-1,0))+1,INDEX($M$15:OFFSET(M375,-1,0),MATCH($A375,$A$15:OFFSET($A375,-1,0),0)))))</f>
        <v/>
      </c>
      <c r="N375" s="177" t="str">
        <f ca="1">IF($D375&lt;&gt;"Serviço","",IF(AUTOEVENTO="Manual",IF($A375=0,"&lt;-- defina o número do agrupador",OFFSET(EVENTOS!$D$14,$A375,0)),OFFSET($F$15,$A375,0)))</f>
        <v/>
      </c>
      <c r="O375" s="178"/>
      <c r="Q375" s="178"/>
      <c r="R375" s="179"/>
      <c r="S375" s="179"/>
      <c r="T375" s="179"/>
      <c r="U375" s="179"/>
      <c r="V375" s="179"/>
      <c r="W375" s="179"/>
      <c r="X375" s="179"/>
      <c r="Y375" s="179"/>
      <c r="Z375" s="180"/>
      <c r="AB375" s="544">
        <f ca="1">IF(AND($D375="Serviço",AB$12&lt;&gt;0,$H375&gt;0,OR(AUTOEVENTO&lt;&gt;"manual",$M375&lt;&gt;1)),
IF(Import.TipoArredondamento&lt;&gt;"TransfereGOV",
ROUND(OFFSET($P375,0,AB$13),15-13*ORÇAMENTO!$AF$7)/$H375*OFFSET(ORÇAMENTO!$X$15,ROW(AB375)-ROW(AB$15),0),
ROUND(ROUND(OFFSET($P375,0,AB$13),15-13*ORÇAMENTO!$AF$7)*OFFSET(ORÇAMENTO!$W$15,ROW(AB375)-ROW(AB$15),0),15-13*ORÇAMENTO!$AF$11)),0)</f>
        <v>0</v>
      </c>
      <c r="AC375" s="545">
        <f ca="1">IF(AND($D375="Serviço",AC$12&lt;&gt;0,$H375&gt;0,OR(AUTOEVENTO&lt;&gt;"manual",$M375&lt;&gt;1)),
IF(Import.TipoArredondamento&lt;&gt;"TransfereGOV",
ROUND(OFFSET($P375,0,AC$13),15-13*ORÇAMENTO!$AF$7)/$H375*OFFSET(ORÇAMENTO!$X$15,ROW(AC375)-ROW(AC$15),0),
ROUND(ROUND(OFFSET($P375,0,AC$13),15-13*ORÇAMENTO!$AF$7)*OFFSET(ORÇAMENTO!$W$15,ROW(AC375)-ROW(AC$15),0),15-13*ORÇAMENTO!$AF$11)),0)</f>
        <v>0</v>
      </c>
      <c r="AD375" s="545">
        <f ca="1">IF(AND($D375="Serviço",AD$12&lt;&gt;0,$H375&gt;0,OR(AUTOEVENTO&lt;&gt;"manual",$M375&lt;&gt;1)),
IF(Import.TipoArredondamento&lt;&gt;"TransfereGOV",
ROUND(OFFSET($P375,0,AD$13),15-13*ORÇAMENTO!$AF$7)/$H375*OFFSET(ORÇAMENTO!$X$15,ROW(AD375)-ROW(AD$15),0),
ROUND(ROUND(OFFSET($P375,0,AD$13),15-13*ORÇAMENTO!$AF$7)*OFFSET(ORÇAMENTO!$W$15,ROW(AD375)-ROW(AD$15),0),15-13*ORÇAMENTO!$AF$11)),0)</f>
        <v>0</v>
      </c>
      <c r="AE375" s="545">
        <f ca="1">IF(AND($D375="Serviço",AE$12&lt;&gt;0,$H375&gt;0,OR(AUTOEVENTO&lt;&gt;"manual",$M375&lt;&gt;1)),
IF(Import.TipoArredondamento&lt;&gt;"TransfereGOV",
ROUND(OFFSET($P375,0,AE$13),15-13*ORÇAMENTO!$AF$7)/$H375*OFFSET(ORÇAMENTO!$X$15,ROW(AE375)-ROW(AE$15),0),
ROUND(ROUND(OFFSET($P375,0,AE$13),15-13*ORÇAMENTO!$AF$7)*OFFSET(ORÇAMENTO!$W$15,ROW(AE375)-ROW(AE$15),0),15-13*ORÇAMENTO!$AF$11)),0)</f>
        <v>0</v>
      </c>
      <c r="AF375" s="545">
        <f ca="1">IF(AND($D375="Serviço",AF$12&lt;&gt;0,$H375&gt;0,OR(AUTOEVENTO&lt;&gt;"manual",$M375&lt;&gt;1)),
IF(Import.TipoArredondamento&lt;&gt;"TransfereGOV",
ROUND(OFFSET($P375,0,AF$13),15-13*ORÇAMENTO!$AF$7)/$H375*OFFSET(ORÇAMENTO!$X$15,ROW(AF375)-ROW(AF$15),0),
ROUND(ROUND(OFFSET($P375,0,AF$13),15-13*ORÇAMENTO!$AF$7)*OFFSET(ORÇAMENTO!$W$15,ROW(AF375)-ROW(AF$15),0),15-13*ORÇAMENTO!$AF$11)),0)</f>
        <v>0</v>
      </c>
      <c r="AG375" s="545">
        <f ca="1">IF(AND($D375="Serviço",AG$12&lt;&gt;0,$H375&gt;0,OR(AUTOEVENTO&lt;&gt;"manual",$M375&lt;&gt;1)),
IF(Import.TipoArredondamento&lt;&gt;"TransfereGOV",
ROUND(OFFSET($P375,0,AG$13),15-13*ORÇAMENTO!$AF$7)/$H375*OFFSET(ORÇAMENTO!$X$15,ROW(AG375)-ROW(AG$15),0),
ROUND(ROUND(OFFSET($P375,0,AG$13),15-13*ORÇAMENTO!$AF$7)*OFFSET(ORÇAMENTO!$W$15,ROW(AG375)-ROW(AG$15),0),15-13*ORÇAMENTO!$AF$11)),0)</f>
        <v>0</v>
      </c>
      <c r="AH375" s="545">
        <f ca="1">IF(AND($D375="Serviço",AH$12&lt;&gt;0,$H375&gt;0,OR(AUTOEVENTO&lt;&gt;"manual",$M375&lt;&gt;1)),
IF(Import.TipoArredondamento&lt;&gt;"TransfereGOV",
ROUND(OFFSET($P375,0,AH$13),15-13*ORÇAMENTO!$AF$7)/$H375*OFFSET(ORÇAMENTO!$X$15,ROW(AH375)-ROW(AH$15),0),
ROUND(ROUND(OFFSET($P375,0,AH$13),15-13*ORÇAMENTO!$AF$7)*OFFSET(ORÇAMENTO!$W$15,ROW(AH375)-ROW(AH$15),0),15-13*ORÇAMENTO!$AF$11)),0)</f>
        <v>0</v>
      </c>
      <c r="AI375" s="545">
        <f ca="1">IF(AND($D375="Serviço",AI$12&lt;&gt;0,$H375&gt;0,OR(AUTOEVENTO&lt;&gt;"manual",$M375&lt;&gt;1)),
IF(Import.TipoArredondamento&lt;&gt;"TransfereGOV",
ROUND(OFFSET($P375,0,AI$13),15-13*ORÇAMENTO!$AF$7)/$H375*OFFSET(ORÇAMENTO!$X$15,ROW(AI375)-ROW(AI$15),0),
ROUND(ROUND(OFFSET($P375,0,AI$13),15-13*ORÇAMENTO!$AF$7)*OFFSET(ORÇAMENTO!$W$15,ROW(AI375)-ROW(AI$15),0),15-13*ORÇAMENTO!$AF$11)),0)</f>
        <v>0</v>
      </c>
      <c r="AJ375" s="545">
        <f ca="1">IF(AND($D375="Serviço",AJ$12&lt;&gt;0,$H375&gt;0,OR(AUTOEVENTO&lt;&gt;"manual",$M375&lt;&gt;1)),
IF(Import.TipoArredondamento&lt;&gt;"TransfereGOV",
ROUND(OFFSET($P375,0,AJ$13),15-13*ORÇAMENTO!$AF$7)/$H375*OFFSET(ORÇAMENTO!$X$15,ROW(AJ375)-ROW(AJ$15),0),
ROUND(ROUND(OFFSET($P375,0,AJ$13),15-13*ORÇAMENTO!$AF$7)*OFFSET(ORÇAMENTO!$W$15,ROW(AJ375)-ROW(AJ$15),0),15-13*ORÇAMENTO!$AF$11)),0)</f>
        <v>0</v>
      </c>
      <c r="AK375" s="546">
        <f ca="1">IF(AND($D375="Serviço",AK$12&lt;&gt;0,$H375&gt;0,OR(AUTOEVENTO&lt;&gt;"manual",$M375&lt;&gt;1)),
IF(Import.TipoArredondamento&lt;&gt;"TransfereGOV",
ROUND(OFFSET($P375,0,AK$13),15-13*ORÇAMENTO!$AF$7)/$H375*OFFSET(ORÇAMENTO!$X$15,ROW(AK375)-ROW(AK$15),0),
ROUND(ROUND(OFFSET($P375,0,AK$13),15-13*ORÇAMENTO!$AF$7)*OFFSET(ORÇAMENTO!$W$15,ROW(AK375)-ROW(AK$15),0),15-13*ORÇAMENTO!$AF$11)),0)</f>
        <v>0</v>
      </c>
      <c r="AM375" s="181">
        <f ca="1">IF($D375&lt;&gt;"Serviço",0,IF(AND(AUTOEVENTO="Manual",$M375=1),0,IF(OFFSET(CRONOPLE!$F$14,$M375,AM$13)="",10^12,OFFSET(CRONOPLE!$F$14,$M375,AM$13))))</f>
        <v>0</v>
      </c>
      <c r="AN375" s="181">
        <f ca="1">IF($D375&lt;&gt;"Serviço",0,IF(AND(AUTOEVENTO="Manual",$M375=1),0,IF(OFFSET(CRONOPLE!$F$14,$M375,AN$13)="",10^12,OFFSET(CRONOPLE!$F$14,$M375,AN$13))))</f>
        <v>0</v>
      </c>
      <c r="AO375" s="181">
        <f ca="1">IF($D375&lt;&gt;"Serviço",0,IF(AND(AUTOEVENTO="Manual",$M375=1),0,IF(OFFSET(CRONOPLE!$F$14,$M375,AO$13)="",10^12,OFFSET(CRONOPLE!$F$14,$M375,AO$13))))</f>
        <v>0</v>
      </c>
      <c r="AP375" s="181">
        <f ca="1">IF($D375&lt;&gt;"Serviço",0,IF(AND(AUTOEVENTO="Manual",$M375=1),0,IF(OFFSET(CRONOPLE!$F$14,$M375,AP$13)="",10^12,OFFSET(CRONOPLE!$F$14,$M375,AP$13))))</f>
        <v>0</v>
      </c>
      <c r="AQ375" s="181">
        <f ca="1">IF($D375&lt;&gt;"Serviço",0,IF(AND(AUTOEVENTO="Manual",$M375=1),0,IF(OFFSET(CRONOPLE!$F$14,$M375,AQ$13)="",10^12,OFFSET(CRONOPLE!$F$14,$M375,AQ$13))))</f>
        <v>0</v>
      </c>
      <c r="AR375" s="181">
        <f ca="1">IF($D375&lt;&gt;"Serviço",0,IF(AND(AUTOEVENTO="Manual",$M375=1),0,IF(OFFSET(CRONOPLE!$F$14,$M375,AR$13)="",10^12,OFFSET(CRONOPLE!$F$14,$M375,AR$13))))</f>
        <v>0</v>
      </c>
      <c r="AS375" s="181">
        <f ca="1">IF($D375&lt;&gt;"Serviço",0,IF(AND(AUTOEVENTO="Manual",$M375=1),0,IF(OFFSET(CRONOPLE!$F$14,$M375,AS$13)="",10^12,OFFSET(CRONOPLE!$F$14,$M375,AS$13))))</f>
        <v>0</v>
      </c>
      <c r="AT375" s="181">
        <f ca="1">IF($D375&lt;&gt;"Serviço",0,IF(AND(AUTOEVENTO="Manual",$M375=1),0,IF(OFFSET(CRONOPLE!$F$14,$M375,AT$13)="",10^12,OFFSET(CRONOPLE!$F$14,$M375,AT$13))))</f>
        <v>0</v>
      </c>
      <c r="AU375" s="181">
        <f ca="1">IF($D375&lt;&gt;"Serviço",0,IF(AND(AUTOEVENTO="Manual",$M375=1),0,IF(OFFSET(CRONOPLE!$F$14,$M375,AU$13)="",10^12,OFFSET(CRONOPLE!$F$14,$M375,AU$13))))</f>
        <v>0</v>
      </c>
      <c r="AV375" s="181">
        <f ca="1">IF($D375&lt;&gt;"Serviço",0,IF(AND(AUTOEVENTO="Manual",$M375=1),0,IF(OFFSET(CRONOPLE!$F$14,$M375,AV$13)="",10^12,OFFSET(CRONOPLE!$F$14,$M375,AV$13))))</f>
        <v>0</v>
      </c>
      <c r="AX375" s="182">
        <f ca="1">IF($D375&lt;&gt;"Serviço",0,IF(OR(AND(AUTOEVENTO="Manual",$M375=1),$M375&gt;(ROW(PLE.lastrow)-ROW(PLE.firstrow))),0,IF(OFFSET(PLE!$G$14,$M375,AX$13)="",10^12,OFFSET(PLE!$G$14,$M375,AX$13))))</f>
        <v>0</v>
      </c>
      <c r="AY375" s="182">
        <f ca="1">IF($D375&lt;&gt;"Serviço",0,IF(OR(AND(AUTOEVENTO="Manual",$M375=1),$M375&gt;(ROW(PLE.lastrow)-ROW(PLE.firstrow))),0,IF(OFFSET(PLE!$G$14,$M375,AY$13)="",10^12,OFFSET(PLE!$G$14,$M375,AY$13))))</f>
        <v>0</v>
      </c>
      <c r="AZ375" s="182">
        <f ca="1">IF($D375&lt;&gt;"Serviço",0,IF(OR(AND(AUTOEVENTO="Manual",$M375=1),$M375&gt;(ROW(PLE.lastrow)-ROW(PLE.firstrow))),0,IF(OFFSET(PLE!$G$14,$M375,AZ$13)="",10^12,OFFSET(PLE!$G$14,$M375,AZ$13))))</f>
        <v>0</v>
      </c>
      <c r="BA375" s="182">
        <f ca="1">IF($D375&lt;&gt;"Serviço",0,IF(OR(AND(AUTOEVENTO="Manual",$M375=1),$M375&gt;(ROW(PLE.lastrow)-ROW(PLE.firstrow))),0,IF(OFFSET(PLE!$G$14,$M375,BA$13)="",10^12,OFFSET(PLE!$G$14,$M375,BA$13))))</f>
        <v>0</v>
      </c>
      <c r="BB375" s="182">
        <f ca="1">IF($D375&lt;&gt;"Serviço",0,IF(OR(AND(AUTOEVENTO="Manual",$M375=1),$M375&gt;(ROW(PLE.lastrow)-ROW(PLE.firstrow))),0,IF(OFFSET(PLE!$G$14,$M375,BB$13)="",10^12,OFFSET(PLE!$G$14,$M375,BB$13))))</f>
        <v>0</v>
      </c>
      <c r="BC375" s="182">
        <f ca="1">IF($D375&lt;&gt;"Serviço",0,IF(OR(AND(AUTOEVENTO="Manual",$M375=1),$M375&gt;(ROW(PLE.lastrow)-ROW(PLE.firstrow))),0,IF(OFFSET(PLE!$G$14,$M375,BC$13)="",10^12,OFFSET(PLE!$G$14,$M375,BC$13))))</f>
        <v>0</v>
      </c>
      <c r="BD375" s="182">
        <f ca="1">IF($D375&lt;&gt;"Serviço",0,IF(OR(AND(AUTOEVENTO="Manual",$M375=1),$M375&gt;(ROW(PLE.lastrow)-ROW(PLE.firstrow))),0,IF(OFFSET(PLE!$G$14,$M375,BD$13)="",10^12,OFFSET(PLE!$G$14,$M375,BD$13))))</f>
        <v>0</v>
      </c>
      <c r="BE375" s="182">
        <f ca="1">IF($D375&lt;&gt;"Serviço",0,IF(OR(AND(AUTOEVENTO="Manual",$M375=1),$M375&gt;(ROW(PLE.lastrow)-ROW(PLE.firstrow))),0,IF(OFFSET(PLE!$G$14,$M375,BE$13)="",10^12,OFFSET(PLE!$G$14,$M375,BE$13))))</f>
        <v>0</v>
      </c>
      <c r="BF375" s="182">
        <f ca="1">IF($D375&lt;&gt;"Serviço",0,IF(OR(AND(AUTOEVENTO="Manual",$M375=1),$M375&gt;(ROW(PLE.lastrow)-ROW(PLE.firstrow))),0,IF(OFFSET(PLE!$G$14,$M375,BF$13)="",10^12,OFFSET(PLE!$G$14,$M375,BF$13))))</f>
        <v>0</v>
      </c>
      <c r="BG375" s="182">
        <f ca="1">IF($D375&lt;&gt;"Serviço",0,IF(OR(AND(AUTOEVENTO="Manual",$M375=1),$M375&gt;(ROW(PLE.lastrow)-ROW(PLE.firstrow))),0,IF(OFFSET(PLE!$G$14,$M375,BG$13)="",10^12,OFFSET(PLE!$G$14,$M375,BG$13))))</f>
        <v>0</v>
      </c>
    </row>
    <row r="376" spans="1:59" ht="38.25" x14ac:dyDescent="0.2">
      <c r="A376" s="7" t="str">
        <f t="shared" ca="1" si="12"/>
        <v>325</v>
      </c>
      <c r="B376" s="7" t="str">
        <f ca="1">OFFSET(ORÇAMENTO!C$15,ROW(B376)-ROW(B$15),0)</f>
        <v>S</v>
      </c>
      <c r="C376" s="7" t="str">
        <f ca="1">OFFSET(ORÇAMENTO!L$15,ROW(C376)-ROW(C$15),0)</f>
        <v/>
      </c>
      <c r="D376" s="118" t="str">
        <f ca="1">OFFSET(ORÇAMENTO!N$15,ROW(D376)-ROW(D$15),0)</f>
        <v>Serviço</v>
      </c>
      <c r="E376" s="119" t="str">
        <f ca="1">OFFSET(ORÇAMENTO!O$15,ROW(E376)-ROW(E$15),0)</f>
        <v>-</v>
      </c>
      <c r="F376" s="172" t="str">
        <f ca="1">OFFSET(ORÇAMENTO!R$15,ROW(F376)-ROW(F$15),0)</f>
        <v>(abra o arquivo 'Referência 02-2025.xlsm)</v>
      </c>
      <c r="G376" s="173" t="str">
        <f ca="1">IF($D376&lt;&gt;"Serviço","",OFFSET(ORÇAMENTO!S$15,ROW(G376)-ROW(G$15),0))</f>
        <v>-</v>
      </c>
      <c r="H376" s="124">
        <f ca="1">IF($D376&lt;&gt;"Serviço",0,IF(ACOMPANHAMENTO="BM",ROUND(OFFSET(ORÇAMENTO!AJ$15,ROW(H376)-ROW(H$15),0),15-13*ORÇAMENTO!$AF$7),SUMPRODUCT(($Q$12:$AA$12&lt;&gt;"")*ROUND($Q376:$AA376,15-13*ORÇAMENTO!$AF$7))))</f>
        <v>1</v>
      </c>
      <c r="I376" s="561"/>
      <c r="K376" s="174"/>
      <c r="L376" s="175" t="s">
        <v>255</v>
      </c>
      <c r="M376" s="176">
        <f ca="1">IF($D376&lt;&gt;"Serviço","",IF(AUTOEVENTO="manual",$A376,IF(ISERROR(MATCH($A376,$A$15:OFFSET($A376,-1,0),0)),MAX($M$15:OFFSET(M376,-1,0))+1,INDEX($M$15:OFFSET(M376,-1,0),MATCH($A376,$A$15:OFFSET($A376,-1,0),0)))))</f>
        <v>15</v>
      </c>
      <c r="N376" s="177" t="str">
        <f ca="1">IF($D376&lt;&gt;"Serviço","",IF(AUTOEVENTO="Manual",IF($A376=0,"&lt;-- defina o número do agrupador",OFFSET(EVENTOS!$D$14,$A376,0)),OFFSET($F$15,$A376,0)))</f>
        <v>INSTALAÇÕES DE ESGOTO SANITÁRIO</v>
      </c>
      <c r="O376" s="178"/>
      <c r="Q376" s="178"/>
      <c r="R376" s="179"/>
      <c r="S376" s="179"/>
      <c r="T376" s="179"/>
      <c r="U376" s="179"/>
      <c r="V376" s="179"/>
      <c r="W376" s="179"/>
      <c r="X376" s="179"/>
      <c r="Y376" s="179"/>
      <c r="Z376" s="180"/>
      <c r="AB376" s="544">
        <f ca="1">IF(AND($D376="Serviço",AB$12&lt;&gt;0,$H376&gt;0,OR(AUTOEVENTO&lt;&gt;"manual",$M376&lt;&gt;1)),
IF(Import.TipoArredondamento&lt;&gt;"TransfereGOV",
ROUND(OFFSET($P376,0,AB$13),15-13*ORÇAMENTO!$AF$7)/$H376*OFFSET(ORÇAMENTO!$X$15,ROW(AB376)-ROW(AB$15),0),
ROUND(ROUND(OFFSET($P376,0,AB$13),15-13*ORÇAMENTO!$AF$7)*OFFSET(ORÇAMENTO!$W$15,ROW(AB376)-ROW(AB$15),0),15-13*ORÇAMENTO!$AF$11)),0)</f>
        <v>0</v>
      </c>
      <c r="AC376" s="545">
        <f ca="1">IF(AND($D376="Serviço",AC$12&lt;&gt;0,$H376&gt;0,OR(AUTOEVENTO&lt;&gt;"manual",$M376&lt;&gt;1)),
IF(Import.TipoArredondamento&lt;&gt;"TransfereGOV",
ROUND(OFFSET($P376,0,AC$13),15-13*ORÇAMENTO!$AF$7)/$H376*OFFSET(ORÇAMENTO!$X$15,ROW(AC376)-ROW(AC$15),0),
ROUND(ROUND(OFFSET($P376,0,AC$13),15-13*ORÇAMENTO!$AF$7)*OFFSET(ORÇAMENTO!$W$15,ROW(AC376)-ROW(AC$15),0),15-13*ORÇAMENTO!$AF$11)),0)</f>
        <v>0</v>
      </c>
      <c r="AD376" s="545">
        <f ca="1">IF(AND($D376="Serviço",AD$12&lt;&gt;0,$H376&gt;0,OR(AUTOEVENTO&lt;&gt;"manual",$M376&lt;&gt;1)),
IF(Import.TipoArredondamento&lt;&gt;"TransfereGOV",
ROUND(OFFSET($P376,0,AD$13),15-13*ORÇAMENTO!$AF$7)/$H376*OFFSET(ORÇAMENTO!$X$15,ROW(AD376)-ROW(AD$15),0),
ROUND(ROUND(OFFSET($P376,0,AD$13),15-13*ORÇAMENTO!$AF$7)*OFFSET(ORÇAMENTO!$W$15,ROW(AD376)-ROW(AD$15),0),15-13*ORÇAMENTO!$AF$11)),0)</f>
        <v>0</v>
      </c>
      <c r="AE376" s="545">
        <f ca="1">IF(AND($D376="Serviço",AE$12&lt;&gt;0,$H376&gt;0,OR(AUTOEVENTO&lt;&gt;"manual",$M376&lt;&gt;1)),
IF(Import.TipoArredondamento&lt;&gt;"TransfereGOV",
ROUND(OFFSET($P376,0,AE$13),15-13*ORÇAMENTO!$AF$7)/$H376*OFFSET(ORÇAMENTO!$X$15,ROW(AE376)-ROW(AE$15),0),
ROUND(ROUND(OFFSET($P376,0,AE$13),15-13*ORÇAMENTO!$AF$7)*OFFSET(ORÇAMENTO!$W$15,ROW(AE376)-ROW(AE$15),0),15-13*ORÇAMENTO!$AF$11)),0)</f>
        <v>0</v>
      </c>
      <c r="AF376" s="545">
        <f ca="1">IF(AND($D376="Serviço",AF$12&lt;&gt;0,$H376&gt;0,OR(AUTOEVENTO&lt;&gt;"manual",$M376&lt;&gt;1)),
IF(Import.TipoArredondamento&lt;&gt;"TransfereGOV",
ROUND(OFFSET($P376,0,AF$13),15-13*ORÇAMENTO!$AF$7)/$H376*OFFSET(ORÇAMENTO!$X$15,ROW(AF376)-ROW(AF$15),0),
ROUND(ROUND(OFFSET($P376,0,AF$13),15-13*ORÇAMENTO!$AF$7)*OFFSET(ORÇAMENTO!$W$15,ROW(AF376)-ROW(AF$15),0),15-13*ORÇAMENTO!$AF$11)),0)</f>
        <v>0</v>
      </c>
      <c r="AG376" s="545">
        <f ca="1">IF(AND($D376="Serviço",AG$12&lt;&gt;0,$H376&gt;0,OR(AUTOEVENTO&lt;&gt;"manual",$M376&lt;&gt;1)),
IF(Import.TipoArredondamento&lt;&gt;"TransfereGOV",
ROUND(OFFSET($P376,0,AG$13),15-13*ORÇAMENTO!$AF$7)/$H376*OFFSET(ORÇAMENTO!$X$15,ROW(AG376)-ROW(AG$15),0),
ROUND(ROUND(OFFSET($P376,0,AG$13),15-13*ORÇAMENTO!$AF$7)*OFFSET(ORÇAMENTO!$W$15,ROW(AG376)-ROW(AG$15),0),15-13*ORÇAMENTO!$AF$11)),0)</f>
        <v>0</v>
      </c>
      <c r="AH376" s="545">
        <f ca="1">IF(AND($D376="Serviço",AH$12&lt;&gt;0,$H376&gt;0,OR(AUTOEVENTO&lt;&gt;"manual",$M376&lt;&gt;1)),
IF(Import.TipoArredondamento&lt;&gt;"TransfereGOV",
ROUND(OFFSET($P376,0,AH$13),15-13*ORÇAMENTO!$AF$7)/$H376*OFFSET(ORÇAMENTO!$X$15,ROW(AH376)-ROW(AH$15),0),
ROUND(ROUND(OFFSET($P376,0,AH$13),15-13*ORÇAMENTO!$AF$7)*OFFSET(ORÇAMENTO!$W$15,ROW(AH376)-ROW(AH$15),0),15-13*ORÇAMENTO!$AF$11)),0)</f>
        <v>0</v>
      </c>
      <c r="AI376" s="545">
        <f ca="1">IF(AND($D376="Serviço",AI$12&lt;&gt;0,$H376&gt;0,OR(AUTOEVENTO&lt;&gt;"manual",$M376&lt;&gt;1)),
IF(Import.TipoArredondamento&lt;&gt;"TransfereGOV",
ROUND(OFFSET($P376,0,AI$13),15-13*ORÇAMENTO!$AF$7)/$H376*OFFSET(ORÇAMENTO!$X$15,ROW(AI376)-ROW(AI$15),0),
ROUND(ROUND(OFFSET($P376,0,AI$13),15-13*ORÇAMENTO!$AF$7)*OFFSET(ORÇAMENTO!$W$15,ROW(AI376)-ROW(AI$15),0),15-13*ORÇAMENTO!$AF$11)),0)</f>
        <v>0</v>
      </c>
      <c r="AJ376" s="545">
        <f ca="1">IF(AND($D376="Serviço",AJ$12&lt;&gt;0,$H376&gt;0,OR(AUTOEVENTO&lt;&gt;"manual",$M376&lt;&gt;1)),
IF(Import.TipoArredondamento&lt;&gt;"TransfereGOV",
ROUND(OFFSET($P376,0,AJ$13),15-13*ORÇAMENTO!$AF$7)/$H376*OFFSET(ORÇAMENTO!$X$15,ROW(AJ376)-ROW(AJ$15),0),
ROUND(ROUND(OFFSET($P376,0,AJ$13),15-13*ORÇAMENTO!$AF$7)*OFFSET(ORÇAMENTO!$W$15,ROW(AJ376)-ROW(AJ$15),0),15-13*ORÇAMENTO!$AF$11)),0)</f>
        <v>0</v>
      </c>
      <c r="AK376" s="546">
        <f ca="1">IF(AND($D376="Serviço",AK$12&lt;&gt;0,$H376&gt;0,OR(AUTOEVENTO&lt;&gt;"manual",$M376&lt;&gt;1)),
IF(Import.TipoArredondamento&lt;&gt;"TransfereGOV",
ROUND(OFFSET($P376,0,AK$13),15-13*ORÇAMENTO!$AF$7)/$H376*OFFSET(ORÇAMENTO!$X$15,ROW(AK376)-ROW(AK$15),0),
ROUND(ROUND(OFFSET($P376,0,AK$13),15-13*ORÇAMENTO!$AF$7)*OFFSET(ORÇAMENTO!$W$15,ROW(AK376)-ROW(AK$15),0),15-13*ORÇAMENTO!$AF$11)),0)</f>
        <v>0</v>
      </c>
      <c r="AM376" s="181">
        <f ca="1">IF($D376&lt;&gt;"Serviço",0,IF(AND(AUTOEVENTO="Manual",$M376=1),0,IF(OFFSET(CRONOPLE!$F$14,$M376,AM$13)="",10^12,OFFSET(CRONOPLE!$F$14,$M376,AM$13))))</f>
        <v>1000000000000</v>
      </c>
      <c r="AN376" s="181">
        <f ca="1">IF($D376&lt;&gt;"Serviço",0,IF(AND(AUTOEVENTO="Manual",$M376=1),0,IF(OFFSET(CRONOPLE!$F$14,$M376,AN$13)="",10^12,OFFSET(CRONOPLE!$F$14,$M376,AN$13))))</f>
        <v>1000000000000</v>
      </c>
      <c r="AO376" s="181">
        <f ca="1">IF($D376&lt;&gt;"Serviço",0,IF(AND(AUTOEVENTO="Manual",$M376=1),0,IF(OFFSET(CRONOPLE!$F$14,$M376,AO$13)="",10^12,OFFSET(CRONOPLE!$F$14,$M376,AO$13))))</f>
        <v>1000000000000</v>
      </c>
      <c r="AP376" s="181">
        <f ca="1">IF($D376&lt;&gt;"Serviço",0,IF(AND(AUTOEVENTO="Manual",$M376=1),0,IF(OFFSET(CRONOPLE!$F$14,$M376,AP$13)="",10^12,OFFSET(CRONOPLE!$F$14,$M376,AP$13))))</f>
        <v>1000000000000</v>
      </c>
      <c r="AQ376" s="181">
        <f ca="1">IF($D376&lt;&gt;"Serviço",0,IF(AND(AUTOEVENTO="Manual",$M376=1),0,IF(OFFSET(CRONOPLE!$F$14,$M376,AQ$13)="",10^12,OFFSET(CRONOPLE!$F$14,$M376,AQ$13))))</f>
        <v>1000000000000</v>
      </c>
      <c r="AR376" s="181">
        <f ca="1">IF($D376&lt;&gt;"Serviço",0,IF(AND(AUTOEVENTO="Manual",$M376=1),0,IF(OFFSET(CRONOPLE!$F$14,$M376,AR$13)="",10^12,OFFSET(CRONOPLE!$F$14,$M376,AR$13))))</f>
        <v>1000000000000</v>
      </c>
      <c r="AS376" s="181">
        <f ca="1">IF($D376&lt;&gt;"Serviço",0,IF(AND(AUTOEVENTO="Manual",$M376=1),0,IF(OFFSET(CRONOPLE!$F$14,$M376,AS$13)="",10^12,OFFSET(CRONOPLE!$F$14,$M376,AS$13))))</f>
        <v>1000000000000</v>
      </c>
      <c r="AT376" s="181">
        <f ca="1">IF($D376&lt;&gt;"Serviço",0,IF(AND(AUTOEVENTO="Manual",$M376=1),0,IF(OFFSET(CRONOPLE!$F$14,$M376,AT$13)="",10^12,OFFSET(CRONOPLE!$F$14,$M376,AT$13))))</f>
        <v>1000000000000</v>
      </c>
      <c r="AU376" s="181">
        <f ca="1">IF($D376&lt;&gt;"Serviço",0,IF(AND(AUTOEVENTO="Manual",$M376=1),0,IF(OFFSET(CRONOPLE!$F$14,$M376,AU$13)="",10^12,OFFSET(CRONOPLE!$F$14,$M376,AU$13))))</f>
        <v>1000000000000</v>
      </c>
      <c r="AV376" s="181">
        <f ca="1">IF($D376&lt;&gt;"Serviço",0,IF(AND(AUTOEVENTO="Manual",$M376=1),0,IF(OFFSET(CRONOPLE!$F$14,$M376,AV$13)="",10^12,OFFSET(CRONOPLE!$F$14,$M376,AV$13))))</f>
        <v>1000000000000</v>
      </c>
      <c r="AX376" s="182">
        <f ca="1">IF($D376&lt;&gt;"Serviço",0,IF(OR(AND(AUTOEVENTO="Manual",$M376=1),$M376&gt;(ROW(PLE.lastrow)-ROW(PLE.firstrow))),0,IF(OFFSET(PLE!$G$14,$M376,AX$13)="",10^12,OFFSET(PLE!$G$14,$M376,AX$13))))</f>
        <v>1000000000000</v>
      </c>
      <c r="AY376" s="182">
        <f ca="1">IF($D376&lt;&gt;"Serviço",0,IF(OR(AND(AUTOEVENTO="Manual",$M376=1),$M376&gt;(ROW(PLE.lastrow)-ROW(PLE.firstrow))),0,IF(OFFSET(PLE!$G$14,$M376,AY$13)="",10^12,OFFSET(PLE!$G$14,$M376,AY$13))))</f>
        <v>1000000000000</v>
      </c>
      <c r="AZ376" s="182">
        <f ca="1">IF($D376&lt;&gt;"Serviço",0,IF(OR(AND(AUTOEVENTO="Manual",$M376=1),$M376&gt;(ROW(PLE.lastrow)-ROW(PLE.firstrow))),0,IF(OFFSET(PLE!$G$14,$M376,AZ$13)="",10^12,OFFSET(PLE!$G$14,$M376,AZ$13))))</f>
        <v>1000000000000</v>
      </c>
      <c r="BA376" s="182">
        <f ca="1">IF($D376&lt;&gt;"Serviço",0,IF(OR(AND(AUTOEVENTO="Manual",$M376=1),$M376&gt;(ROW(PLE.lastrow)-ROW(PLE.firstrow))),0,IF(OFFSET(PLE!$G$14,$M376,BA$13)="",10^12,OFFSET(PLE!$G$14,$M376,BA$13))))</f>
        <v>1000000000000</v>
      </c>
      <c r="BB376" s="182">
        <f ca="1">IF($D376&lt;&gt;"Serviço",0,IF(OR(AND(AUTOEVENTO="Manual",$M376=1),$M376&gt;(ROW(PLE.lastrow)-ROW(PLE.firstrow))),0,IF(OFFSET(PLE!$G$14,$M376,BB$13)="",10^12,OFFSET(PLE!$G$14,$M376,BB$13))))</f>
        <v>1000000000000</v>
      </c>
      <c r="BC376" s="182">
        <f ca="1">IF($D376&lt;&gt;"Serviço",0,IF(OR(AND(AUTOEVENTO="Manual",$M376=1),$M376&gt;(ROW(PLE.lastrow)-ROW(PLE.firstrow))),0,IF(OFFSET(PLE!$G$14,$M376,BC$13)="",10^12,OFFSET(PLE!$G$14,$M376,BC$13))))</f>
        <v>1000000000000</v>
      </c>
      <c r="BD376" s="182">
        <f ca="1">IF($D376&lt;&gt;"Serviço",0,IF(OR(AND(AUTOEVENTO="Manual",$M376=1),$M376&gt;(ROW(PLE.lastrow)-ROW(PLE.firstrow))),0,IF(OFFSET(PLE!$G$14,$M376,BD$13)="",10^12,OFFSET(PLE!$G$14,$M376,BD$13))))</f>
        <v>1000000000000</v>
      </c>
      <c r="BE376" s="182">
        <f ca="1">IF($D376&lt;&gt;"Serviço",0,IF(OR(AND(AUTOEVENTO="Manual",$M376=1),$M376&gt;(ROW(PLE.lastrow)-ROW(PLE.firstrow))),0,IF(OFFSET(PLE!$G$14,$M376,BE$13)="",10^12,OFFSET(PLE!$G$14,$M376,BE$13))))</f>
        <v>1000000000000</v>
      </c>
      <c r="BF376" s="182">
        <f ca="1">IF($D376&lt;&gt;"Serviço",0,IF(OR(AND(AUTOEVENTO="Manual",$M376=1),$M376&gt;(ROW(PLE.lastrow)-ROW(PLE.firstrow))),0,IF(OFFSET(PLE!$G$14,$M376,BF$13)="",10^12,OFFSET(PLE!$G$14,$M376,BF$13))))</f>
        <v>1000000000000</v>
      </c>
      <c r="BG376" s="182">
        <f ca="1">IF($D376&lt;&gt;"Serviço",0,IF(OR(AND(AUTOEVENTO="Manual",$M376=1),$M376&gt;(ROW(PLE.lastrow)-ROW(PLE.firstrow))),0,IF(OFFSET(PLE!$G$14,$M376,BG$13)="",10^12,OFFSET(PLE!$G$14,$M376,BG$13))))</f>
        <v>1000000000000</v>
      </c>
    </row>
    <row r="377" spans="1:59" ht="38.25" x14ac:dyDescent="0.2">
      <c r="A377" s="7" t="str">
        <f t="shared" ca="1" si="12"/>
        <v>325</v>
      </c>
      <c r="B377" s="7" t="str">
        <f ca="1">OFFSET(ORÇAMENTO!C$15,ROW(B377)-ROW(B$15),0)</f>
        <v>S</v>
      </c>
      <c r="C377" s="7" t="str">
        <f ca="1">OFFSET(ORÇAMENTO!L$15,ROW(C377)-ROW(C$15),0)</f>
        <v/>
      </c>
      <c r="D377" s="118" t="str">
        <f ca="1">OFFSET(ORÇAMENTO!N$15,ROW(D377)-ROW(D$15),0)</f>
        <v>Serviço</v>
      </c>
      <c r="E377" s="119" t="str">
        <f ca="1">OFFSET(ORÇAMENTO!O$15,ROW(E377)-ROW(E$15),0)</f>
        <v>-</v>
      </c>
      <c r="F377" s="172" t="str">
        <f ca="1">OFFSET(ORÇAMENTO!R$15,ROW(F377)-ROW(F$15),0)</f>
        <v>(abra o arquivo 'Referência 02-2025.xlsm)</v>
      </c>
      <c r="G377" s="173" t="str">
        <f ca="1">IF($D377&lt;&gt;"Serviço","",OFFSET(ORÇAMENTO!S$15,ROW(G377)-ROW(G$15),0))</f>
        <v>-</v>
      </c>
      <c r="H377" s="124">
        <f ca="1">IF($D377&lt;&gt;"Serviço",0,IF(ACOMPANHAMENTO="BM",ROUND(OFFSET(ORÇAMENTO!AJ$15,ROW(H377)-ROW(H$15),0),15-13*ORÇAMENTO!$AF$7),SUMPRODUCT(($Q$12:$AA$12&lt;&gt;"")*ROUND($Q377:$AA377,15-13*ORÇAMENTO!$AF$7))))</f>
        <v>1</v>
      </c>
      <c r="I377" s="561"/>
      <c r="K377" s="174"/>
      <c r="L377" s="175" t="s">
        <v>255</v>
      </c>
      <c r="M377" s="176">
        <f ca="1">IF($D377&lt;&gt;"Serviço","",IF(AUTOEVENTO="manual",$A377,IF(ISERROR(MATCH($A377,$A$15:OFFSET($A377,-1,0),0)),MAX($M$15:OFFSET(M377,-1,0))+1,INDEX($M$15:OFFSET(M377,-1,0),MATCH($A377,$A$15:OFFSET($A377,-1,0),0)))))</f>
        <v>15</v>
      </c>
      <c r="N377" s="177" t="str">
        <f ca="1">IF($D377&lt;&gt;"Serviço","",IF(AUTOEVENTO="Manual",IF($A377=0,"&lt;-- defina o número do agrupador",OFFSET(EVENTOS!$D$14,$A377,0)),OFFSET($F$15,$A377,0)))</f>
        <v>INSTALAÇÕES DE ESGOTO SANITÁRIO</v>
      </c>
      <c r="O377" s="178"/>
      <c r="Q377" s="178"/>
      <c r="R377" s="179"/>
      <c r="S377" s="179"/>
      <c r="T377" s="179"/>
      <c r="U377" s="179"/>
      <c r="V377" s="179"/>
      <c r="W377" s="179"/>
      <c r="X377" s="179"/>
      <c r="Y377" s="179"/>
      <c r="Z377" s="180"/>
      <c r="AB377" s="544">
        <f ca="1">IF(AND($D377="Serviço",AB$12&lt;&gt;0,$H377&gt;0,OR(AUTOEVENTO&lt;&gt;"manual",$M377&lt;&gt;1)),
IF(Import.TipoArredondamento&lt;&gt;"TransfereGOV",
ROUND(OFFSET($P377,0,AB$13),15-13*ORÇAMENTO!$AF$7)/$H377*OFFSET(ORÇAMENTO!$X$15,ROW(AB377)-ROW(AB$15),0),
ROUND(ROUND(OFFSET($P377,0,AB$13),15-13*ORÇAMENTO!$AF$7)*OFFSET(ORÇAMENTO!$W$15,ROW(AB377)-ROW(AB$15),0),15-13*ORÇAMENTO!$AF$11)),0)</f>
        <v>0</v>
      </c>
      <c r="AC377" s="545">
        <f ca="1">IF(AND($D377="Serviço",AC$12&lt;&gt;0,$H377&gt;0,OR(AUTOEVENTO&lt;&gt;"manual",$M377&lt;&gt;1)),
IF(Import.TipoArredondamento&lt;&gt;"TransfereGOV",
ROUND(OFFSET($P377,0,AC$13),15-13*ORÇAMENTO!$AF$7)/$H377*OFFSET(ORÇAMENTO!$X$15,ROW(AC377)-ROW(AC$15),0),
ROUND(ROUND(OFFSET($P377,0,AC$13),15-13*ORÇAMENTO!$AF$7)*OFFSET(ORÇAMENTO!$W$15,ROW(AC377)-ROW(AC$15),0),15-13*ORÇAMENTO!$AF$11)),0)</f>
        <v>0</v>
      </c>
      <c r="AD377" s="545">
        <f ca="1">IF(AND($D377="Serviço",AD$12&lt;&gt;0,$H377&gt;0,OR(AUTOEVENTO&lt;&gt;"manual",$M377&lt;&gt;1)),
IF(Import.TipoArredondamento&lt;&gt;"TransfereGOV",
ROUND(OFFSET($P377,0,AD$13),15-13*ORÇAMENTO!$AF$7)/$H377*OFFSET(ORÇAMENTO!$X$15,ROW(AD377)-ROW(AD$15),0),
ROUND(ROUND(OFFSET($P377,0,AD$13),15-13*ORÇAMENTO!$AF$7)*OFFSET(ORÇAMENTO!$W$15,ROW(AD377)-ROW(AD$15),0),15-13*ORÇAMENTO!$AF$11)),0)</f>
        <v>0</v>
      </c>
      <c r="AE377" s="545">
        <f ca="1">IF(AND($D377="Serviço",AE$12&lt;&gt;0,$H377&gt;0,OR(AUTOEVENTO&lt;&gt;"manual",$M377&lt;&gt;1)),
IF(Import.TipoArredondamento&lt;&gt;"TransfereGOV",
ROUND(OFFSET($P377,0,AE$13),15-13*ORÇAMENTO!$AF$7)/$H377*OFFSET(ORÇAMENTO!$X$15,ROW(AE377)-ROW(AE$15),0),
ROUND(ROUND(OFFSET($P377,0,AE$13),15-13*ORÇAMENTO!$AF$7)*OFFSET(ORÇAMENTO!$W$15,ROW(AE377)-ROW(AE$15),0),15-13*ORÇAMENTO!$AF$11)),0)</f>
        <v>0</v>
      </c>
      <c r="AF377" s="545">
        <f ca="1">IF(AND($D377="Serviço",AF$12&lt;&gt;0,$H377&gt;0,OR(AUTOEVENTO&lt;&gt;"manual",$M377&lt;&gt;1)),
IF(Import.TipoArredondamento&lt;&gt;"TransfereGOV",
ROUND(OFFSET($P377,0,AF$13),15-13*ORÇAMENTO!$AF$7)/$H377*OFFSET(ORÇAMENTO!$X$15,ROW(AF377)-ROW(AF$15),0),
ROUND(ROUND(OFFSET($P377,0,AF$13),15-13*ORÇAMENTO!$AF$7)*OFFSET(ORÇAMENTO!$W$15,ROW(AF377)-ROW(AF$15),0),15-13*ORÇAMENTO!$AF$11)),0)</f>
        <v>0</v>
      </c>
      <c r="AG377" s="545">
        <f ca="1">IF(AND($D377="Serviço",AG$12&lt;&gt;0,$H377&gt;0,OR(AUTOEVENTO&lt;&gt;"manual",$M377&lt;&gt;1)),
IF(Import.TipoArredondamento&lt;&gt;"TransfereGOV",
ROUND(OFFSET($P377,0,AG$13),15-13*ORÇAMENTO!$AF$7)/$H377*OFFSET(ORÇAMENTO!$X$15,ROW(AG377)-ROW(AG$15),0),
ROUND(ROUND(OFFSET($P377,0,AG$13),15-13*ORÇAMENTO!$AF$7)*OFFSET(ORÇAMENTO!$W$15,ROW(AG377)-ROW(AG$15),0),15-13*ORÇAMENTO!$AF$11)),0)</f>
        <v>0</v>
      </c>
      <c r="AH377" s="545">
        <f ca="1">IF(AND($D377="Serviço",AH$12&lt;&gt;0,$H377&gt;0,OR(AUTOEVENTO&lt;&gt;"manual",$M377&lt;&gt;1)),
IF(Import.TipoArredondamento&lt;&gt;"TransfereGOV",
ROUND(OFFSET($P377,0,AH$13),15-13*ORÇAMENTO!$AF$7)/$H377*OFFSET(ORÇAMENTO!$X$15,ROW(AH377)-ROW(AH$15),0),
ROUND(ROUND(OFFSET($P377,0,AH$13),15-13*ORÇAMENTO!$AF$7)*OFFSET(ORÇAMENTO!$W$15,ROW(AH377)-ROW(AH$15),0),15-13*ORÇAMENTO!$AF$11)),0)</f>
        <v>0</v>
      </c>
      <c r="AI377" s="545">
        <f ca="1">IF(AND($D377="Serviço",AI$12&lt;&gt;0,$H377&gt;0,OR(AUTOEVENTO&lt;&gt;"manual",$M377&lt;&gt;1)),
IF(Import.TipoArredondamento&lt;&gt;"TransfereGOV",
ROUND(OFFSET($P377,0,AI$13),15-13*ORÇAMENTO!$AF$7)/$H377*OFFSET(ORÇAMENTO!$X$15,ROW(AI377)-ROW(AI$15),0),
ROUND(ROUND(OFFSET($P377,0,AI$13),15-13*ORÇAMENTO!$AF$7)*OFFSET(ORÇAMENTO!$W$15,ROW(AI377)-ROW(AI$15),0),15-13*ORÇAMENTO!$AF$11)),0)</f>
        <v>0</v>
      </c>
      <c r="AJ377" s="545">
        <f ca="1">IF(AND($D377="Serviço",AJ$12&lt;&gt;0,$H377&gt;0,OR(AUTOEVENTO&lt;&gt;"manual",$M377&lt;&gt;1)),
IF(Import.TipoArredondamento&lt;&gt;"TransfereGOV",
ROUND(OFFSET($P377,0,AJ$13),15-13*ORÇAMENTO!$AF$7)/$H377*OFFSET(ORÇAMENTO!$X$15,ROW(AJ377)-ROW(AJ$15),0),
ROUND(ROUND(OFFSET($P377,0,AJ$13),15-13*ORÇAMENTO!$AF$7)*OFFSET(ORÇAMENTO!$W$15,ROW(AJ377)-ROW(AJ$15),0),15-13*ORÇAMENTO!$AF$11)),0)</f>
        <v>0</v>
      </c>
      <c r="AK377" s="546">
        <f ca="1">IF(AND($D377="Serviço",AK$12&lt;&gt;0,$H377&gt;0,OR(AUTOEVENTO&lt;&gt;"manual",$M377&lt;&gt;1)),
IF(Import.TipoArredondamento&lt;&gt;"TransfereGOV",
ROUND(OFFSET($P377,0,AK$13),15-13*ORÇAMENTO!$AF$7)/$H377*OFFSET(ORÇAMENTO!$X$15,ROW(AK377)-ROW(AK$15),0),
ROUND(ROUND(OFFSET($P377,0,AK$13),15-13*ORÇAMENTO!$AF$7)*OFFSET(ORÇAMENTO!$W$15,ROW(AK377)-ROW(AK$15),0),15-13*ORÇAMENTO!$AF$11)),0)</f>
        <v>0</v>
      </c>
      <c r="AM377" s="181">
        <f ca="1">IF($D377&lt;&gt;"Serviço",0,IF(AND(AUTOEVENTO="Manual",$M377=1),0,IF(OFFSET(CRONOPLE!$F$14,$M377,AM$13)="",10^12,OFFSET(CRONOPLE!$F$14,$M377,AM$13))))</f>
        <v>1000000000000</v>
      </c>
      <c r="AN377" s="181">
        <f ca="1">IF($D377&lt;&gt;"Serviço",0,IF(AND(AUTOEVENTO="Manual",$M377=1),0,IF(OFFSET(CRONOPLE!$F$14,$M377,AN$13)="",10^12,OFFSET(CRONOPLE!$F$14,$M377,AN$13))))</f>
        <v>1000000000000</v>
      </c>
      <c r="AO377" s="181">
        <f ca="1">IF($D377&lt;&gt;"Serviço",0,IF(AND(AUTOEVENTO="Manual",$M377=1),0,IF(OFFSET(CRONOPLE!$F$14,$M377,AO$13)="",10^12,OFFSET(CRONOPLE!$F$14,$M377,AO$13))))</f>
        <v>1000000000000</v>
      </c>
      <c r="AP377" s="181">
        <f ca="1">IF($D377&lt;&gt;"Serviço",0,IF(AND(AUTOEVENTO="Manual",$M377=1),0,IF(OFFSET(CRONOPLE!$F$14,$M377,AP$13)="",10^12,OFFSET(CRONOPLE!$F$14,$M377,AP$13))))</f>
        <v>1000000000000</v>
      </c>
      <c r="AQ377" s="181">
        <f ca="1">IF($D377&lt;&gt;"Serviço",0,IF(AND(AUTOEVENTO="Manual",$M377=1),0,IF(OFFSET(CRONOPLE!$F$14,$M377,AQ$13)="",10^12,OFFSET(CRONOPLE!$F$14,$M377,AQ$13))))</f>
        <v>1000000000000</v>
      </c>
      <c r="AR377" s="181">
        <f ca="1">IF($D377&lt;&gt;"Serviço",0,IF(AND(AUTOEVENTO="Manual",$M377=1),0,IF(OFFSET(CRONOPLE!$F$14,$M377,AR$13)="",10^12,OFFSET(CRONOPLE!$F$14,$M377,AR$13))))</f>
        <v>1000000000000</v>
      </c>
      <c r="AS377" s="181">
        <f ca="1">IF($D377&lt;&gt;"Serviço",0,IF(AND(AUTOEVENTO="Manual",$M377=1),0,IF(OFFSET(CRONOPLE!$F$14,$M377,AS$13)="",10^12,OFFSET(CRONOPLE!$F$14,$M377,AS$13))))</f>
        <v>1000000000000</v>
      </c>
      <c r="AT377" s="181">
        <f ca="1">IF($D377&lt;&gt;"Serviço",0,IF(AND(AUTOEVENTO="Manual",$M377=1),0,IF(OFFSET(CRONOPLE!$F$14,$M377,AT$13)="",10^12,OFFSET(CRONOPLE!$F$14,$M377,AT$13))))</f>
        <v>1000000000000</v>
      </c>
      <c r="AU377" s="181">
        <f ca="1">IF($D377&lt;&gt;"Serviço",0,IF(AND(AUTOEVENTO="Manual",$M377=1),0,IF(OFFSET(CRONOPLE!$F$14,$M377,AU$13)="",10^12,OFFSET(CRONOPLE!$F$14,$M377,AU$13))))</f>
        <v>1000000000000</v>
      </c>
      <c r="AV377" s="181">
        <f ca="1">IF($D377&lt;&gt;"Serviço",0,IF(AND(AUTOEVENTO="Manual",$M377=1),0,IF(OFFSET(CRONOPLE!$F$14,$M377,AV$13)="",10^12,OFFSET(CRONOPLE!$F$14,$M377,AV$13))))</f>
        <v>1000000000000</v>
      </c>
      <c r="AX377" s="182">
        <f ca="1">IF($D377&lt;&gt;"Serviço",0,IF(OR(AND(AUTOEVENTO="Manual",$M377=1),$M377&gt;(ROW(PLE.lastrow)-ROW(PLE.firstrow))),0,IF(OFFSET(PLE!$G$14,$M377,AX$13)="",10^12,OFFSET(PLE!$G$14,$M377,AX$13))))</f>
        <v>1000000000000</v>
      </c>
      <c r="AY377" s="182">
        <f ca="1">IF($D377&lt;&gt;"Serviço",0,IF(OR(AND(AUTOEVENTO="Manual",$M377=1),$M377&gt;(ROW(PLE.lastrow)-ROW(PLE.firstrow))),0,IF(OFFSET(PLE!$G$14,$M377,AY$13)="",10^12,OFFSET(PLE!$G$14,$M377,AY$13))))</f>
        <v>1000000000000</v>
      </c>
      <c r="AZ377" s="182">
        <f ca="1">IF($D377&lt;&gt;"Serviço",0,IF(OR(AND(AUTOEVENTO="Manual",$M377=1),$M377&gt;(ROW(PLE.lastrow)-ROW(PLE.firstrow))),0,IF(OFFSET(PLE!$G$14,$M377,AZ$13)="",10^12,OFFSET(PLE!$G$14,$M377,AZ$13))))</f>
        <v>1000000000000</v>
      </c>
      <c r="BA377" s="182">
        <f ca="1">IF($D377&lt;&gt;"Serviço",0,IF(OR(AND(AUTOEVENTO="Manual",$M377=1),$M377&gt;(ROW(PLE.lastrow)-ROW(PLE.firstrow))),0,IF(OFFSET(PLE!$G$14,$M377,BA$13)="",10^12,OFFSET(PLE!$G$14,$M377,BA$13))))</f>
        <v>1000000000000</v>
      </c>
      <c r="BB377" s="182">
        <f ca="1">IF($D377&lt;&gt;"Serviço",0,IF(OR(AND(AUTOEVENTO="Manual",$M377=1),$M377&gt;(ROW(PLE.lastrow)-ROW(PLE.firstrow))),0,IF(OFFSET(PLE!$G$14,$M377,BB$13)="",10^12,OFFSET(PLE!$G$14,$M377,BB$13))))</f>
        <v>1000000000000</v>
      </c>
      <c r="BC377" s="182">
        <f ca="1">IF($D377&lt;&gt;"Serviço",0,IF(OR(AND(AUTOEVENTO="Manual",$M377=1),$M377&gt;(ROW(PLE.lastrow)-ROW(PLE.firstrow))),0,IF(OFFSET(PLE!$G$14,$M377,BC$13)="",10^12,OFFSET(PLE!$G$14,$M377,BC$13))))</f>
        <v>1000000000000</v>
      </c>
      <c r="BD377" s="182">
        <f ca="1">IF($D377&lt;&gt;"Serviço",0,IF(OR(AND(AUTOEVENTO="Manual",$M377=1),$M377&gt;(ROW(PLE.lastrow)-ROW(PLE.firstrow))),0,IF(OFFSET(PLE!$G$14,$M377,BD$13)="",10^12,OFFSET(PLE!$G$14,$M377,BD$13))))</f>
        <v>1000000000000</v>
      </c>
      <c r="BE377" s="182">
        <f ca="1">IF($D377&lt;&gt;"Serviço",0,IF(OR(AND(AUTOEVENTO="Manual",$M377=1),$M377&gt;(ROW(PLE.lastrow)-ROW(PLE.firstrow))),0,IF(OFFSET(PLE!$G$14,$M377,BE$13)="",10^12,OFFSET(PLE!$G$14,$M377,BE$13))))</f>
        <v>1000000000000</v>
      </c>
      <c r="BF377" s="182">
        <f ca="1">IF($D377&lt;&gt;"Serviço",0,IF(OR(AND(AUTOEVENTO="Manual",$M377=1),$M377&gt;(ROW(PLE.lastrow)-ROW(PLE.firstrow))),0,IF(OFFSET(PLE!$G$14,$M377,BF$13)="",10^12,OFFSET(PLE!$G$14,$M377,BF$13))))</f>
        <v>1000000000000</v>
      </c>
      <c r="BG377" s="182">
        <f ca="1">IF($D377&lt;&gt;"Serviço",0,IF(OR(AND(AUTOEVENTO="Manual",$M377=1),$M377&gt;(ROW(PLE.lastrow)-ROW(PLE.firstrow))),0,IF(OFFSET(PLE!$G$14,$M377,BG$13)="",10^12,OFFSET(PLE!$G$14,$M377,BG$13))))</f>
        <v>1000000000000</v>
      </c>
    </row>
    <row r="378" spans="1:59" ht="38.25" x14ac:dyDescent="0.2">
      <c r="A378" s="7" t="str">
        <f t="shared" ca="1" si="12"/>
        <v>325</v>
      </c>
      <c r="B378" s="7" t="str">
        <f ca="1">OFFSET(ORÇAMENTO!C$15,ROW(B378)-ROW(B$15),0)</f>
        <v>S</v>
      </c>
      <c r="C378" s="7" t="str">
        <f ca="1">OFFSET(ORÇAMENTO!L$15,ROW(C378)-ROW(C$15),0)</f>
        <v/>
      </c>
      <c r="D378" s="118" t="str">
        <f ca="1">OFFSET(ORÇAMENTO!N$15,ROW(D378)-ROW(D$15),0)</f>
        <v>Serviço</v>
      </c>
      <c r="E378" s="119" t="str">
        <f ca="1">OFFSET(ORÇAMENTO!O$15,ROW(E378)-ROW(E$15),0)</f>
        <v>-</v>
      </c>
      <c r="F378" s="172" t="str">
        <f ca="1">OFFSET(ORÇAMENTO!R$15,ROW(F378)-ROW(F$15),0)</f>
        <v>(abra o arquivo 'Referência 02-2025.xlsm)</v>
      </c>
      <c r="G378" s="173" t="str">
        <f ca="1">IF($D378&lt;&gt;"Serviço","",OFFSET(ORÇAMENTO!S$15,ROW(G378)-ROW(G$15),0))</f>
        <v>-</v>
      </c>
      <c r="H378" s="124">
        <f ca="1">IF($D378&lt;&gt;"Serviço",0,IF(ACOMPANHAMENTO="BM",ROUND(OFFSET(ORÇAMENTO!AJ$15,ROW(H378)-ROW(H$15),0),15-13*ORÇAMENTO!$AF$7),SUMPRODUCT(($Q$12:$AA$12&lt;&gt;"")*ROUND($Q378:$AA378,15-13*ORÇAMENTO!$AF$7))))</f>
        <v>1</v>
      </c>
      <c r="I378" s="561"/>
      <c r="K378" s="174"/>
      <c r="L378" s="175" t="s">
        <v>255</v>
      </c>
      <c r="M378" s="176">
        <f ca="1">IF($D378&lt;&gt;"Serviço","",IF(AUTOEVENTO="manual",$A378,IF(ISERROR(MATCH($A378,$A$15:OFFSET($A378,-1,0),0)),MAX($M$15:OFFSET(M378,-1,0))+1,INDEX($M$15:OFFSET(M378,-1,0),MATCH($A378,$A$15:OFFSET($A378,-1,0),0)))))</f>
        <v>15</v>
      </c>
      <c r="N378" s="177" t="str">
        <f ca="1">IF($D378&lt;&gt;"Serviço","",IF(AUTOEVENTO="Manual",IF($A378=0,"&lt;-- defina o número do agrupador",OFFSET(EVENTOS!$D$14,$A378,0)),OFFSET($F$15,$A378,0)))</f>
        <v>INSTALAÇÕES DE ESGOTO SANITÁRIO</v>
      </c>
      <c r="O378" s="178"/>
      <c r="Q378" s="178"/>
      <c r="R378" s="179"/>
      <c r="S378" s="179"/>
      <c r="T378" s="179"/>
      <c r="U378" s="179"/>
      <c r="V378" s="179"/>
      <c r="W378" s="179"/>
      <c r="X378" s="179"/>
      <c r="Y378" s="179"/>
      <c r="Z378" s="180"/>
      <c r="AB378" s="544">
        <f ca="1">IF(AND($D378="Serviço",AB$12&lt;&gt;0,$H378&gt;0,OR(AUTOEVENTO&lt;&gt;"manual",$M378&lt;&gt;1)),
IF(Import.TipoArredondamento&lt;&gt;"TransfereGOV",
ROUND(OFFSET($P378,0,AB$13),15-13*ORÇAMENTO!$AF$7)/$H378*OFFSET(ORÇAMENTO!$X$15,ROW(AB378)-ROW(AB$15),0),
ROUND(ROUND(OFFSET($P378,0,AB$13),15-13*ORÇAMENTO!$AF$7)*OFFSET(ORÇAMENTO!$W$15,ROW(AB378)-ROW(AB$15),0),15-13*ORÇAMENTO!$AF$11)),0)</f>
        <v>0</v>
      </c>
      <c r="AC378" s="545">
        <f ca="1">IF(AND($D378="Serviço",AC$12&lt;&gt;0,$H378&gt;0,OR(AUTOEVENTO&lt;&gt;"manual",$M378&lt;&gt;1)),
IF(Import.TipoArredondamento&lt;&gt;"TransfereGOV",
ROUND(OFFSET($P378,0,AC$13),15-13*ORÇAMENTO!$AF$7)/$H378*OFFSET(ORÇAMENTO!$X$15,ROW(AC378)-ROW(AC$15),0),
ROUND(ROUND(OFFSET($P378,0,AC$13),15-13*ORÇAMENTO!$AF$7)*OFFSET(ORÇAMENTO!$W$15,ROW(AC378)-ROW(AC$15),0),15-13*ORÇAMENTO!$AF$11)),0)</f>
        <v>0</v>
      </c>
      <c r="AD378" s="545">
        <f ca="1">IF(AND($D378="Serviço",AD$12&lt;&gt;0,$H378&gt;0,OR(AUTOEVENTO&lt;&gt;"manual",$M378&lt;&gt;1)),
IF(Import.TipoArredondamento&lt;&gt;"TransfereGOV",
ROUND(OFFSET($P378,0,AD$13),15-13*ORÇAMENTO!$AF$7)/$H378*OFFSET(ORÇAMENTO!$X$15,ROW(AD378)-ROW(AD$15),0),
ROUND(ROUND(OFFSET($P378,0,AD$13),15-13*ORÇAMENTO!$AF$7)*OFFSET(ORÇAMENTO!$W$15,ROW(AD378)-ROW(AD$15),0),15-13*ORÇAMENTO!$AF$11)),0)</f>
        <v>0</v>
      </c>
      <c r="AE378" s="545">
        <f ca="1">IF(AND($D378="Serviço",AE$12&lt;&gt;0,$H378&gt;0,OR(AUTOEVENTO&lt;&gt;"manual",$M378&lt;&gt;1)),
IF(Import.TipoArredondamento&lt;&gt;"TransfereGOV",
ROUND(OFFSET($P378,0,AE$13),15-13*ORÇAMENTO!$AF$7)/$H378*OFFSET(ORÇAMENTO!$X$15,ROW(AE378)-ROW(AE$15),0),
ROUND(ROUND(OFFSET($P378,0,AE$13),15-13*ORÇAMENTO!$AF$7)*OFFSET(ORÇAMENTO!$W$15,ROW(AE378)-ROW(AE$15),0),15-13*ORÇAMENTO!$AF$11)),0)</f>
        <v>0</v>
      </c>
      <c r="AF378" s="545">
        <f ca="1">IF(AND($D378="Serviço",AF$12&lt;&gt;0,$H378&gt;0,OR(AUTOEVENTO&lt;&gt;"manual",$M378&lt;&gt;1)),
IF(Import.TipoArredondamento&lt;&gt;"TransfereGOV",
ROUND(OFFSET($P378,0,AF$13),15-13*ORÇAMENTO!$AF$7)/$H378*OFFSET(ORÇAMENTO!$X$15,ROW(AF378)-ROW(AF$15),0),
ROUND(ROUND(OFFSET($P378,0,AF$13),15-13*ORÇAMENTO!$AF$7)*OFFSET(ORÇAMENTO!$W$15,ROW(AF378)-ROW(AF$15),0),15-13*ORÇAMENTO!$AF$11)),0)</f>
        <v>0</v>
      </c>
      <c r="AG378" s="545">
        <f ca="1">IF(AND($D378="Serviço",AG$12&lt;&gt;0,$H378&gt;0,OR(AUTOEVENTO&lt;&gt;"manual",$M378&lt;&gt;1)),
IF(Import.TipoArredondamento&lt;&gt;"TransfereGOV",
ROUND(OFFSET($P378,0,AG$13),15-13*ORÇAMENTO!$AF$7)/$H378*OFFSET(ORÇAMENTO!$X$15,ROW(AG378)-ROW(AG$15),0),
ROUND(ROUND(OFFSET($P378,0,AG$13),15-13*ORÇAMENTO!$AF$7)*OFFSET(ORÇAMENTO!$W$15,ROW(AG378)-ROW(AG$15),0),15-13*ORÇAMENTO!$AF$11)),0)</f>
        <v>0</v>
      </c>
      <c r="AH378" s="545">
        <f ca="1">IF(AND($D378="Serviço",AH$12&lt;&gt;0,$H378&gt;0,OR(AUTOEVENTO&lt;&gt;"manual",$M378&lt;&gt;1)),
IF(Import.TipoArredondamento&lt;&gt;"TransfereGOV",
ROUND(OFFSET($P378,0,AH$13),15-13*ORÇAMENTO!$AF$7)/$H378*OFFSET(ORÇAMENTO!$X$15,ROW(AH378)-ROW(AH$15),0),
ROUND(ROUND(OFFSET($P378,0,AH$13),15-13*ORÇAMENTO!$AF$7)*OFFSET(ORÇAMENTO!$W$15,ROW(AH378)-ROW(AH$15),0),15-13*ORÇAMENTO!$AF$11)),0)</f>
        <v>0</v>
      </c>
      <c r="AI378" s="545">
        <f ca="1">IF(AND($D378="Serviço",AI$12&lt;&gt;0,$H378&gt;0,OR(AUTOEVENTO&lt;&gt;"manual",$M378&lt;&gt;1)),
IF(Import.TipoArredondamento&lt;&gt;"TransfereGOV",
ROUND(OFFSET($P378,0,AI$13),15-13*ORÇAMENTO!$AF$7)/$H378*OFFSET(ORÇAMENTO!$X$15,ROW(AI378)-ROW(AI$15),0),
ROUND(ROUND(OFFSET($P378,0,AI$13),15-13*ORÇAMENTO!$AF$7)*OFFSET(ORÇAMENTO!$W$15,ROW(AI378)-ROW(AI$15),0),15-13*ORÇAMENTO!$AF$11)),0)</f>
        <v>0</v>
      </c>
      <c r="AJ378" s="545">
        <f ca="1">IF(AND($D378="Serviço",AJ$12&lt;&gt;0,$H378&gt;0,OR(AUTOEVENTO&lt;&gt;"manual",$M378&lt;&gt;1)),
IF(Import.TipoArredondamento&lt;&gt;"TransfereGOV",
ROUND(OFFSET($P378,0,AJ$13),15-13*ORÇAMENTO!$AF$7)/$H378*OFFSET(ORÇAMENTO!$X$15,ROW(AJ378)-ROW(AJ$15),0),
ROUND(ROUND(OFFSET($P378,0,AJ$13),15-13*ORÇAMENTO!$AF$7)*OFFSET(ORÇAMENTO!$W$15,ROW(AJ378)-ROW(AJ$15),0),15-13*ORÇAMENTO!$AF$11)),0)</f>
        <v>0</v>
      </c>
      <c r="AK378" s="546">
        <f ca="1">IF(AND($D378="Serviço",AK$12&lt;&gt;0,$H378&gt;0,OR(AUTOEVENTO&lt;&gt;"manual",$M378&lt;&gt;1)),
IF(Import.TipoArredondamento&lt;&gt;"TransfereGOV",
ROUND(OFFSET($P378,0,AK$13),15-13*ORÇAMENTO!$AF$7)/$H378*OFFSET(ORÇAMENTO!$X$15,ROW(AK378)-ROW(AK$15),0),
ROUND(ROUND(OFFSET($P378,0,AK$13),15-13*ORÇAMENTO!$AF$7)*OFFSET(ORÇAMENTO!$W$15,ROW(AK378)-ROW(AK$15),0),15-13*ORÇAMENTO!$AF$11)),0)</f>
        <v>0</v>
      </c>
      <c r="AM378" s="181">
        <f ca="1">IF($D378&lt;&gt;"Serviço",0,IF(AND(AUTOEVENTO="Manual",$M378=1),0,IF(OFFSET(CRONOPLE!$F$14,$M378,AM$13)="",10^12,OFFSET(CRONOPLE!$F$14,$M378,AM$13))))</f>
        <v>1000000000000</v>
      </c>
      <c r="AN378" s="181">
        <f ca="1">IF($D378&lt;&gt;"Serviço",0,IF(AND(AUTOEVENTO="Manual",$M378=1),0,IF(OFFSET(CRONOPLE!$F$14,$M378,AN$13)="",10^12,OFFSET(CRONOPLE!$F$14,$M378,AN$13))))</f>
        <v>1000000000000</v>
      </c>
      <c r="AO378" s="181">
        <f ca="1">IF($D378&lt;&gt;"Serviço",0,IF(AND(AUTOEVENTO="Manual",$M378=1),0,IF(OFFSET(CRONOPLE!$F$14,$M378,AO$13)="",10^12,OFFSET(CRONOPLE!$F$14,$M378,AO$13))))</f>
        <v>1000000000000</v>
      </c>
      <c r="AP378" s="181">
        <f ca="1">IF($D378&lt;&gt;"Serviço",0,IF(AND(AUTOEVENTO="Manual",$M378=1),0,IF(OFFSET(CRONOPLE!$F$14,$M378,AP$13)="",10^12,OFFSET(CRONOPLE!$F$14,$M378,AP$13))))</f>
        <v>1000000000000</v>
      </c>
      <c r="AQ378" s="181">
        <f ca="1">IF($D378&lt;&gt;"Serviço",0,IF(AND(AUTOEVENTO="Manual",$M378=1),0,IF(OFFSET(CRONOPLE!$F$14,$M378,AQ$13)="",10^12,OFFSET(CRONOPLE!$F$14,$M378,AQ$13))))</f>
        <v>1000000000000</v>
      </c>
      <c r="AR378" s="181">
        <f ca="1">IF($D378&lt;&gt;"Serviço",0,IF(AND(AUTOEVENTO="Manual",$M378=1),0,IF(OFFSET(CRONOPLE!$F$14,$M378,AR$13)="",10^12,OFFSET(CRONOPLE!$F$14,$M378,AR$13))))</f>
        <v>1000000000000</v>
      </c>
      <c r="AS378" s="181">
        <f ca="1">IF($D378&lt;&gt;"Serviço",0,IF(AND(AUTOEVENTO="Manual",$M378=1),0,IF(OFFSET(CRONOPLE!$F$14,$M378,AS$13)="",10^12,OFFSET(CRONOPLE!$F$14,$M378,AS$13))))</f>
        <v>1000000000000</v>
      </c>
      <c r="AT378" s="181">
        <f ca="1">IF($D378&lt;&gt;"Serviço",0,IF(AND(AUTOEVENTO="Manual",$M378=1),0,IF(OFFSET(CRONOPLE!$F$14,$M378,AT$13)="",10^12,OFFSET(CRONOPLE!$F$14,$M378,AT$13))))</f>
        <v>1000000000000</v>
      </c>
      <c r="AU378" s="181">
        <f ca="1">IF($D378&lt;&gt;"Serviço",0,IF(AND(AUTOEVENTO="Manual",$M378=1),0,IF(OFFSET(CRONOPLE!$F$14,$M378,AU$13)="",10^12,OFFSET(CRONOPLE!$F$14,$M378,AU$13))))</f>
        <v>1000000000000</v>
      </c>
      <c r="AV378" s="181">
        <f ca="1">IF($D378&lt;&gt;"Serviço",0,IF(AND(AUTOEVENTO="Manual",$M378=1),0,IF(OFFSET(CRONOPLE!$F$14,$M378,AV$13)="",10^12,OFFSET(CRONOPLE!$F$14,$M378,AV$13))))</f>
        <v>1000000000000</v>
      </c>
      <c r="AX378" s="182">
        <f ca="1">IF($D378&lt;&gt;"Serviço",0,IF(OR(AND(AUTOEVENTO="Manual",$M378=1),$M378&gt;(ROW(PLE.lastrow)-ROW(PLE.firstrow))),0,IF(OFFSET(PLE!$G$14,$M378,AX$13)="",10^12,OFFSET(PLE!$G$14,$M378,AX$13))))</f>
        <v>1000000000000</v>
      </c>
      <c r="AY378" s="182">
        <f ca="1">IF($D378&lt;&gt;"Serviço",0,IF(OR(AND(AUTOEVENTO="Manual",$M378=1),$M378&gt;(ROW(PLE.lastrow)-ROW(PLE.firstrow))),0,IF(OFFSET(PLE!$G$14,$M378,AY$13)="",10^12,OFFSET(PLE!$G$14,$M378,AY$13))))</f>
        <v>1000000000000</v>
      </c>
      <c r="AZ378" s="182">
        <f ca="1">IF($D378&lt;&gt;"Serviço",0,IF(OR(AND(AUTOEVENTO="Manual",$M378=1),$M378&gt;(ROW(PLE.lastrow)-ROW(PLE.firstrow))),0,IF(OFFSET(PLE!$G$14,$M378,AZ$13)="",10^12,OFFSET(PLE!$G$14,$M378,AZ$13))))</f>
        <v>1000000000000</v>
      </c>
      <c r="BA378" s="182">
        <f ca="1">IF($D378&lt;&gt;"Serviço",0,IF(OR(AND(AUTOEVENTO="Manual",$M378=1),$M378&gt;(ROW(PLE.lastrow)-ROW(PLE.firstrow))),0,IF(OFFSET(PLE!$G$14,$M378,BA$13)="",10^12,OFFSET(PLE!$G$14,$M378,BA$13))))</f>
        <v>1000000000000</v>
      </c>
      <c r="BB378" s="182">
        <f ca="1">IF($D378&lt;&gt;"Serviço",0,IF(OR(AND(AUTOEVENTO="Manual",$M378=1),$M378&gt;(ROW(PLE.lastrow)-ROW(PLE.firstrow))),0,IF(OFFSET(PLE!$G$14,$M378,BB$13)="",10^12,OFFSET(PLE!$G$14,$M378,BB$13))))</f>
        <v>1000000000000</v>
      </c>
      <c r="BC378" s="182">
        <f ca="1">IF($D378&lt;&gt;"Serviço",0,IF(OR(AND(AUTOEVENTO="Manual",$M378=1),$M378&gt;(ROW(PLE.lastrow)-ROW(PLE.firstrow))),0,IF(OFFSET(PLE!$G$14,$M378,BC$13)="",10^12,OFFSET(PLE!$G$14,$M378,BC$13))))</f>
        <v>1000000000000</v>
      </c>
      <c r="BD378" s="182">
        <f ca="1">IF($D378&lt;&gt;"Serviço",0,IF(OR(AND(AUTOEVENTO="Manual",$M378=1),$M378&gt;(ROW(PLE.lastrow)-ROW(PLE.firstrow))),0,IF(OFFSET(PLE!$G$14,$M378,BD$13)="",10^12,OFFSET(PLE!$G$14,$M378,BD$13))))</f>
        <v>1000000000000</v>
      </c>
      <c r="BE378" s="182">
        <f ca="1">IF($D378&lt;&gt;"Serviço",0,IF(OR(AND(AUTOEVENTO="Manual",$M378=1),$M378&gt;(ROW(PLE.lastrow)-ROW(PLE.firstrow))),0,IF(OFFSET(PLE!$G$14,$M378,BE$13)="",10^12,OFFSET(PLE!$G$14,$M378,BE$13))))</f>
        <v>1000000000000</v>
      </c>
      <c r="BF378" s="182">
        <f ca="1">IF($D378&lt;&gt;"Serviço",0,IF(OR(AND(AUTOEVENTO="Manual",$M378=1),$M378&gt;(ROW(PLE.lastrow)-ROW(PLE.firstrow))),0,IF(OFFSET(PLE!$G$14,$M378,BF$13)="",10^12,OFFSET(PLE!$G$14,$M378,BF$13))))</f>
        <v>1000000000000</v>
      </c>
      <c r="BG378" s="182">
        <f ca="1">IF($D378&lt;&gt;"Serviço",0,IF(OR(AND(AUTOEVENTO="Manual",$M378=1),$M378&gt;(ROW(PLE.lastrow)-ROW(PLE.firstrow))),0,IF(OFFSET(PLE!$G$14,$M378,BG$13)="",10^12,OFFSET(PLE!$G$14,$M378,BG$13))))</f>
        <v>1000000000000</v>
      </c>
    </row>
    <row r="379" spans="1:59" ht="12.75" x14ac:dyDescent="0.2">
      <c r="A379" s="7" t="str">
        <f t="shared" ca="1" si="11"/>
        <v>325</v>
      </c>
      <c r="B379" s="7">
        <f ca="1">OFFSET(ORÇAMENTO!C$15,ROW(B379)-ROW(B$15),0)</f>
        <v>3</v>
      </c>
      <c r="C379" s="7" t="str">
        <f ca="1">OFFSET(ORÇAMENTO!L$15,ROW(C379)-ROW(C$15),0)</f>
        <v>F</v>
      </c>
      <c r="D379" s="118" t="str">
        <f ca="1">OFFSET(ORÇAMENTO!N$15,ROW(D379)-ROW(D$15),0)</f>
        <v>Nível 3</v>
      </c>
      <c r="E379" s="119" t="str">
        <f ca="1">OFFSET(ORÇAMENTO!O$15,ROW(E379)-ROW(E$15),0)</f>
        <v>1.14.4.</v>
      </c>
      <c r="F379" s="172" t="str">
        <f ca="1">OFFSET(ORÇAMENTO!R$15,ROW(F379)-ROW(F$15),0)</f>
        <v>VENTILAÇÃO</v>
      </c>
      <c r="G379" s="173" t="str">
        <f ca="1">IF($D379&lt;&gt;"Serviço","",OFFSET(ORÇAMENTO!S$15,ROW(G379)-ROW(G$15),0))</f>
        <v/>
      </c>
      <c r="H379" s="124">
        <f ca="1">IF($D379&lt;&gt;"Serviço",0,IF(ACOMPANHAMENTO="BM",ROUND(OFFSET(ORÇAMENTO!AJ$15,ROW(H379)-ROW(H$15),0),15-13*ORÇAMENTO!$AF$7),SUMPRODUCT(($Q$12:$AA$12&lt;&gt;"")*ROUND($Q379:$AA379,15-13*ORÇAMENTO!$AF$7))))</f>
        <v>0</v>
      </c>
      <c r="I379" s="561"/>
      <c r="K379" s="174"/>
      <c r="L379" s="175" t="s">
        <v>255</v>
      </c>
      <c r="M379" s="176" t="str">
        <f ca="1">IF($D379&lt;&gt;"Serviço","",IF(AUTOEVENTO="manual",$A379,IF(ISERROR(MATCH($A379,$A$15:OFFSET($A379,-1,0),0)),MAX($M$15:OFFSET(M379,-1,0))+1,INDEX($M$15:OFFSET(M379,-1,0),MATCH($A379,$A$15:OFFSET($A379,-1,0),0)))))</f>
        <v/>
      </c>
      <c r="N379" s="177" t="str">
        <f ca="1">IF($D379&lt;&gt;"Serviço","",IF(AUTOEVENTO="Manual",IF($A379=0,"&lt;-- defina o número do agrupador",OFFSET(EVENTOS!$D$14,$A379,0)),OFFSET($F$15,$A379,0)))</f>
        <v/>
      </c>
      <c r="O379" s="178"/>
      <c r="Q379" s="178"/>
      <c r="R379" s="179"/>
      <c r="S379" s="179"/>
      <c r="T379" s="179"/>
      <c r="U379" s="179"/>
      <c r="V379" s="179"/>
      <c r="W379" s="179"/>
      <c r="X379" s="179"/>
      <c r="Y379" s="179"/>
      <c r="Z379" s="180"/>
      <c r="AB379" s="544">
        <f ca="1">IF(AND($D379="Serviço",AB$12&lt;&gt;0,$H379&gt;0,OR(AUTOEVENTO&lt;&gt;"manual",$M379&lt;&gt;1)),
IF(Import.TipoArredondamento&lt;&gt;"TransfereGOV",
ROUND(OFFSET($P379,0,AB$13),15-13*ORÇAMENTO!$AF$7)/$H379*OFFSET(ORÇAMENTO!$X$15,ROW(AB379)-ROW(AB$15),0),
ROUND(ROUND(OFFSET($P379,0,AB$13),15-13*ORÇAMENTO!$AF$7)*OFFSET(ORÇAMENTO!$W$15,ROW(AB379)-ROW(AB$15),0),15-13*ORÇAMENTO!$AF$11)),0)</f>
        <v>0</v>
      </c>
      <c r="AC379" s="545">
        <f ca="1">IF(AND($D379="Serviço",AC$12&lt;&gt;0,$H379&gt;0,OR(AUTOEVENTO&lt;&gt;"manual",$M379&lt;&gt;1)),
IF(Import.TipoArredondamento&lt;&gt;"TransfereGOV",
ROUND(OFFSET($P379,0,AC$13),15-13*ORÇAMENTO!$AF$7)/$H379*OFFSET(ORÇAMENTO!$X$15,ROW(AC379)-ROW(AC$15),0),
ROUND(ROUND(OFFSET($P379,0,AC$13),15-13*ORÇAMENTO!$AF$7)*OFFSET(ORÇAMENTO!$W$15,ROW(AC379)-ROW(AC$15),0),15-13*ORÇAMENTO!$AF$11)),0)</f>
        <v>0</v>
      </c>
      <c r="AD379" s="545">
        <f ca="1">IF(AND($D379="Serviço",AD$12&lt;&gt;0,$H379&gt;0,OR(AUTOEVENTO&lt;&gt;"manual",$M379&lt;&gt;1)),
IF(Import.TipoArredondamento&lt;&gt;"TransfereGOV",
ROUND(OFFSET($P379,0,AD$13),15-13*ORÇAMENTO!$AF$7)/$H379*OFFSET(ORÇAMENTO!$X$15,ROW(AD379)-ROW(AD$15),0),
ROUND(ROUND(OFFSET($P379,0,AD$13),15-13*ORÇAMENTO!$AF$7)*OFFSET(ORÇAMENTO!$W$15,ROW(AD379)-ROW(AD$15),0),15-13*ORÇAMENTO!$AF$11)),0)</f>
        <v>0</v>
      </c>
      <c r="AE379" s="545">
        <f ca="1">IF(AND($D379="Serviço",AE$12&lt;&gt;0,$H379&gt;0,OR(AUTOEVENTO&lt;&gt;"manual",$M379&lt;&gt;1)),
IF(Import.TipoArredondamento&lt;&gt;"TransfereGOV",
ROUND(OFFSET($P379,0,AE$13),15-13*ORÇAMENTO!$AF$7)/$H379*OFFSET(ORÇAMENTO!$X$15,ROW(AE379)-ROW(AE$15),0),
ROUND(ROUND(OFFSET($P379,0,AE$13),15-13*ORÇAMENTO!$AF$7)*OFFSET(ORÇAMENTO!$W$15,ROW(AE379)-ROW(AE$15),0),15-13*ORÇAMENTO!$AF$11)),0)</f>
        <v>0</v>
      </c>
      <c r="AF379" s="545">
        <f ca="1">IF(AND($D379="Serviço",AF$12&lt;&gt;0,$H379&gt;0,OR(AUTOEVENTO&lt;&gt;"manual",$M379&lt;&gt;1)),
IF(Import.TipoArredondamento&lt;&gt;"TransfereGOV",
ROUND(OFFSET($P379,0,AF$13),15-13*ORÇAMENTO!$AF$7)/$H379*OFFSET(ORÇAMENTO!$X$15,ROW(AF379)-ROW(AF$15),0),
ROUND(ROUND(OFFSET($P379,0,AF$13),15-13*ORÇAMENTO!$AF$7)*OFFSET(ORÇAMENTO!$W$15,ROW(AF379)-ROW(AF$15),0),15-13*ORÇAMENTO!$AF$11)),0)</f>
        <v>0</v>
      </c>
      <c r="AG379" s="545">
        <f ca="1">IF(AND($D379="Serviço",AG$12&lt;&gt;0,$H379&gt;0,OR(AUTOEVENTO&lt;&gt;"manual",$M379&lt;&gt;1)),
IF(Import.TipoArredondamento&lt;&gt;"TransfereGOV",
ROUND(OFFSET($P379,0,AG$13),15-13*ORÇAMENTO!$AF$7)/$H379*OFFSET(ORÇAMENTO!$X$15,ROW(AG379)-ROW(AG$15),0),
ROUND(ROUND(OFFSET($P379,0,AG$13),15-13*ORÇAMENTO!$AF$7)*OFFSET(ORÇAMENTO!$W$15,ROW(AG379)-ROW(AG$15),0),15-13*ORÇAMENTO!$AF$11)),0)</f>
        <v>0</v>
      </c>
      <c r="AH379" s="545">
        <f ca="1">IF(AND($D379="Serviço",AH$12&lt;&gt;0,$H379&gt;0,OR(AUTOEVENTO&lt;&gt;"manual",$M379&lt;&gt;1)),
IF(Import.TipoArredondamento&lt;&gt;"TransfereGOV",
ROUND(OFFSET($P379,0,AH$13),15-13*ORÇAMENTO!$AF$7)/$H379*OFFSET(ORÇAMENTO!$X$15,ROW(AH379)-ROW(AH$15),0),
ROUND(ROUND(OFFSET($P379,0,AH$13),15-13*ORÇAMENTO!$AF$7)*OFFSET(ORÇAMENTO!$W$15,ROW(AH379)-ROW(AH$15),0),15-13*ORÇAMENTO!$AF$11)),0)</f>
        <v>0</v>
      </c>
      <c r="AI379" s="545">
        <f ca="1">IF(AND($D379="Serviço",AI$12&lt;&gt;0,$H379&gt;0,OR(AUTOEVENTO&lt;&gt;"manual",$M379&lt;&gt;1)),
IF(Import.TipoArredondamento&lt;&gt;"TransfereGOV",
ROUND(OFFSET($P379,0,AI$13),15-13*ORÇAMENTO!$AF$7)/$H379*OFFSET(ORÇAMENTO!$X$15,ROW(AI379)-ROW(AI$15),0),
ROUND(ROUND(OFFSET($P379,0,AI$13),15-13*ORÇAMENTO!$AF$7)*OFFSET(ORÇAMENTO!$W$15,ROW(AI379)-ROW(AI$15),0),15-13*ORÇAMENTO!$AF$11)),0)</f>
        <v>0</v>
      </c>
      <c r="AJ379" s="545">
        <f ca="1">IF(AND($D379="Serviço",AJ$12&lt;&gt;0,$H379&gt;0,OR(AUTOEVENTO&lt;&gt;"manual",$M379&lt;&gt;1)),
IF(Import.TipoArredondamento&lt;&gt;"TransfereGOV",
ROUND(OFFSET($P379,0,AJ$13),15-13*ORÇAMENTO!$AF$7)/$H379*OFFSET(ORÇAMENTO!$X$15,ROW(AJ379)-ROW(AJ$15),0),
ROUND(ROUND(OFFSET($P379,0,AJ$13),15-13*ORÇAMENTO!$AF$7)*OFFSET(ORÇAMENTO!$W$15,ROW(AJ379)-ROW(AJ$15),0),15-13*ORÇAMENTO!$AF$11)),0)</f>
        <v>0</v>
      </c>
      <c r="AK379" s="546">
        <f ca="1">IF(AND($D379="Serviço",AK$12&lt;&gt;0,$H379&gt;0,OR(AUTOEVENTO&lt;&gt;"manual",$M379&lt;&gt;1)),
IF(Import.TipoArredondamento&lt;&gt;"TransfereGOV",
ROUND(OFFSET($P379,0,AK$13),15-13*ORÇAMENTO!$AF$7)/$H379*OFFSET(ORÇAMENTO!$X$15,ROW(AK379)-ROW(AK$15),0),
ROUND(ROUND(OFFSET($P379,0,AK$13),15-13*ORÇAMENTO!$AF$7)*OFFSET(ORÇAMENTO!$W$15,ROW(AK379)-ROW(AK$15),0),15-13*ORÇAMENTO!$AF$11)),0)</f>
        <v>0</v>
      </c>
      <c r="AM379" s="181">
        <f ca="1">IF($D379&lt;&gt;"Serviço",0,IF(AND(AUTOEVENTO="Manual",$M379=1),0,IF(OFFSET(CRONOPLE!$F$14,$M379,AM$13)="",10^12,OFFSET(CRONOPLE!$F$14,$M379,AM$13))))</f>
        <v>0</v>
      </c>
      <c r="AN379" s="181">
        <f ca="1">IF($D379&lt;&gt;"Serviço",0,IF(AND(AUTOEVENTO="Manual",$M379=1),0,IF(OFFSET(CRONOPLE!$F$14,$M379,AN$13)="",10^12,OFFSET(CRONOPLE!$F$14,$M379,AN$13))))</f>
        <v>0</v>
      </c>
      <c r="AO379" s="181">
        <f ca="1">IF($D379&lt;&gt;"Serviço",0,IF(AND(AUTOEVENTO="Manual",$M379=1),0,IF(OFFSET(CRONOPLE!$F$14,$M379,AO$13)="",10^12,OFFSET(CRONOPLE!$F$14,$M379,AO$13))))</f>
        <v>0</v>
      </c>
      <c r="AP379" s="181">
        <f ca="1">IF($D379&lt;&gt;"Serviço",0,IF(AND(AUTOEVENTO="Manual",$M379=1),0,IF(OFFSET(CRONOPLE!$F$14,$M379,AP$13)="",10^12,OFFSET(CRONOPLE!$F$14,$M379,AP$13))))</f>
        <v>0</v>
      </c>
      <c r="AQ379" s="181">
        <f ca="1">IF($D379&lt;&gt;"Serviço",0,IF(AND(AUTOEVENTO="Manual",$M379=1),0,IF(OFFSET(CRONOPLE!$F$14,$M379,AQ$13)="",10^12,OFFSET(CRONOPLE!$F$14,$M379,AQ$13))))</f>
        <v>0</v>
      </c>
      <c r="AR379" s="181">
        <f ca="1">IF($D379&lt;&gt;"Serviço",0,IF(AND(AUTOEVENTO="Manual",$M379=1),0,IF(OFFSET(CRONOPLE!$F$14,$M379,AR$13)="",10^12,OFFSET(CRONOPLE!$F$14,$M379,AR$13))))</f>
        <v>0</v>
      </c>
      <c r="AS379" s="181">
        <f ca="1">IF($D379&lt;&gt;"Serviço",0,IF(AND(AUTOEVENTO="Manual",$M379=1),0,IF(OFFSET(CRONOPLE!$F$14,$M379,AS$13)="",10^12,OFFSET(CRONOPLE!$F$14,$M379,AS$13))))</f>
        <v>0</v>
      </c>
      <c r="AT379" s="181">
        <f ca="1">IF($D379&lt;&gt;"Serviço",0,IF(AND(AUTOEVENTO="Manual",$M379=1),0,IF(OFFSET(CRONOPLE!$F$14,$M379,AT$13)="",10^12,OFFSET(CRONOPLE!$F$14,$M379,AT$13))))</f>
        <v>0</v>
      </c>
      <c r="AU379" s="181">
        <f ca="1">IF($D379&lt;&gt;"Serviço",0,IF(AND(AUTOEVENTO="Manual",$M379=1),0,IF(OFFSET(CRONOPLE!$F$14,$M379,AU$13)="",10^12,OFFSET(CRONOPLE!$F$14,$M379,AU$13))))</f>
        <v>0</v>
      </c>
      <c r="AV379" s="181">
        <f ca="1">IF($D379&lt;&gt;"Serviço",0,IF(AND(AUTOEVENTO="Manual",$M379=1),0,IF(OFFSET(CRONOPLE!$F$14,$M379,AV$13)="",10^12,OFFSET(CRONOPLE!$F$14,$M379,AV$13))))</f>
        <v>0</v>
      </c>
      <c r="AX379" s="182">
        <f ca="1">IF($D379&lt;&gt;"Serviço",0,IF(OR(AND(AUTOEVENTO="Manual",$M379=1),$M379&gt;(ROW(PLE.lastrow)-ROW(PLE.firstrow))),0,IF(OFFSET(PLE!$G$14,$M379,AX$13)="",10^12,OFFSET(PLE!$G$14,$M379,AX$13))))</f>
        <v>0</v>
      </c>
      <c r="AY379" s="182">
        <f ca="1">IF($D379&lt;&gt;"Serviço",0,IF(OR(AND(AUTOEVENTO="Manual",$M379=1),$M379&gt;(ROW(PLE.lastrow)-ROW(PLE.firstrow))),0,IF(OFFSET(PLE!$G$14,$M379,AY$13)="",10^12,OFFSET(PLE!$G$14,$M379,AY$13))))</f>
        <v>0</v>
      </c>
      <c r="AZ379" s="182">
        <f ca="1">IF($D379&lt;&gt;"Serviço",0,IF(OR(AND(AUTOEVENTO="Manual",$M379=1),$M379&gt;(ROW(PLE.lastrow)-ROW(PLE.firstrow))),0,IF(OFFSET(PLE!$G$14,$M379,AZ$13)="",10^12,OFFSET(PLE!$G$14,$M379,AZ$13))))</f>
        <v>0</v>
      </c>
      <c r="BA379" s="182">
        <f ca="1">IF($D379&lt;&gt;"Serviço",0,IF(OR(AND(AUTOEVENTO="Manual",$M379=1),$M379&gt;(ROW(PLE.lastrow)-ROW(PLE.firstrow))),0,IF(OFFSET(PLE!$G$14,$M379,BA$13)="",10^12,OFFSET(PLE!$G$14,$M379,BA$13))))</f>
        <v>0</v>
      </c>
      <c r="BB379" s="182">
        <f ca="1">IF($D379&lt;&gt;"Serviço",0,IF(OR(AND(AUTOEVENTO="Manual",$M379=1),$M379&gt;(ROW(PLE.lastrow)-ROW(PLE.firstrow))),0,IF(OFFSET(PLE!$G$14,$M379,BB$13)="",10^12,OFFSET(PLE!$G$14,$M379,BB$13))))</f>
        <v>0</v>
      </c>
      <c r="BC379" s="182">
        <f ca="1">IF($D379&lt;&gt;"Serviço",0,IF(OR(AND(AUTOEVENTO="Manual",$M379=1),$M379&gt;(ROW(PLE.lastrow)-ROW(PLE.firstrow))),0,IF(OFFSET(PLE!$G$14,$M379,BC$13)="",10^12,OFFSET(PLE!$G$14,$M379,BC$13))))</f>
        <v>0</v>
      </c>
      <c r="BD379" s="182">
        <f ca="1">IF($D379&lt;&gt;"Serviço",0,IF(OR(AND(AUTOEVENTO="Manual",$M379=1),$M379&gt;(ROW(PLE.lastrow)-ROW(PLE.firstrow))),0,IF(OFFSET(PLE!$G$14,$M379,BD$13)="",10^12,OFFSET(PLE!$G$14,$M379,BD$13))))</f>
        <v>0</v>
      </c>
      <c r="BE379" s="182">
        <f ca="1">IF($D379&lt;&gt;"Serviço",0,IF(OR(AND(AUTOEVENTO="Manual",$M379=1),$M379&gt;(ROW(PLE.lastrow)-ROW(PLE.firstrow))),0,IF(OFFSET(PLE!$G$14,$M379,BE$13)="",10^12,OFFSET(PLE!$G$14,$M379,BE$13))))</f>
        <v>0</v>
      </c>
      <c r="BF379" s="182">
        <f ca="1">IF($D379&lt;&gt;"Serviço",0,IF(OR(AND(AUTOEVENTO="Manual",$M379=1),$M379&gt;(ROW(PLE.lastrow)-ROW(PLE.firstrow))),0,IF(OFFSET(PLE!$G$14,$M379,BF$13)="",10^12,OFFSET(PLE!$G$14,$M379,BF$13))))</f>
        <v>0</v>
      </c>
      <c r="BG379" s="182">
        <f ca="1">IF($D379&lt;&gt;"Serviço",0,IF(OR(AND(AUTOEVENTO="Manual",$M379=1),$M379&gt;(ROW(PLE.lastrow)-ROW(PLE.firstrow))),0,IF(OFFSET(PLE!$G$14,$M379,BG$13)="",10^12,OFFSET(PLE!$G$14,$M379,BG$13))))</f>
        <v>0</v>
      </c>
    </row>
    <row r="380" spans="1:59" ht="38.25" x14ac:dyDescent="0.2">
      <c r="A380" s="7" t="str">
        <f t="shared" ca="1" si="11"/>
        <v>325</v>
      </c>
      <c r="B380" s="7" t="str">
        <f ca="1">OFFSET(ORÇAMENTO!C$15,ROW(B380)-ROW(B$15),0)</f>
        <v>S</v>
      </c>
      <c r="C380" s="7" t="str">
        <f ca="1">OFFSET(ORÇAMENTO!L$15,ROW(C380)-ROW(C$15),0)</f>
        <v/>
      </c>
      <c r="D380" s="118" t="str">
        <f ca="1">OFFSET(ORÇAMENTO!N$15,ROW(D380)-ROW(D$15),0)</f>
        <v>Serviço</v>
      </c>
      <c r="E380" s="119" t="str">
        <f ca="1">OFFSET(ORÇAMENTO!O$15,ROW(E380)-ROW(E$15),0)</f>
        <v>-</v>
      </c>
      <c r="F380" s="172" t="str">
        <f ca="1">OFFSET(ORÇAMENTO!R$15,ROW(F380)-ROW(F$15),0)</f>
        <v>(abra o arquivo 'Referência 02-2025.xlsm)</v>
      </c>
      <c r="G380" s="173" t="str">
        <f ca="1">IF($D380&lt;&gt;"Serviço","",OFFSET(ORÇAMENTO!S$15,ROW(G380)-ROW(G$15),0))</f>
        <v>-</v>
      </c>
      <c r="H380" s="124">
        <f ca="1">IF($D380&lt;&gt;"Serviço",0,IF(ACOMPANHAMENTO="BM",ROUND(OFFSET(ORÇAMENTO!AJ$15,ROW(H380)-ROW(H$15),0),15-13*ORÇAMENTO!$AF$7),SUMPRODUCT(($Q$12:$AA$12&lt;&gt;"")*ROUND($Q380:$AA380,15-13*ORÇAMENTO!$AF$7))))</f>
        <v>46</v>
      </c>
      <c r="I380" s="561" t="s">
        <v>890</v>
      </c>
      <c r="K380" s="174"/>
      <c r="L380" s="175" t="s">
        <v>255</v>
      </c>
      <c r="M380" s="176">
        <f ca="1">IF($D380&lt;&gt;"Serviço","",IF(AUTOEVENTO="manual",$A380,IF(ISERROR(MATCH($A380,$A$15:OFFSET($A380,-1,0),0)),MAX($M$15:OFFSET(M380,-1,0))+1,INDEX($M$15:OFFSET(M380,-1,0),MATCH($A380,$A$15:OFFSET($A380,-1,0),0)))))</f>
        <v>15</v>
      </c>
      <c r="N380" s="177" t="str">
        <f ca="1">IF($D380&lt;&gt;"Serviço","",IF(AUTOEVENTO="Manual",IF($A380=0,"&lt;-- defina o número do agrupador",OFFSET(EVENTOS!$D$14,$A380,0)),OFFSET($F$15,$A380,0)))</f>
        <v>INSTALAÇÕES DE ESGOTO SANITÁRIO</v>
      </c>
      <c r="O380" s="178"/>
      <c r="Q380" s="178"/>
      <c r="R380" s="179"/>
      <c r="S380" s="179"/>
      <c r="T380" s="179"/>
      <c r="U380" s="179"/>
      <c r="V380" s="179"/>
      <c r="W380" s="179"/>
      <c r="X380" s="179"/>
      <c r="Y380" s="179"/>
      <c r="Z380" s="180"/>
      <c r="AB380" s="544">
        <f ca="1">IF(AND($D380="Serviço",AB$12&lt;&gt;0,$H380&gt;0,OR(AUTOEVENTO&lt;&gt;"manual",$M380&lt;&gt;1)),
IF(Import.TipoArredondamento&lt;&gt;"TransfereGOV",
ROUND(OFFSET($P380,0,AB$13),15-13*ORÇAMENTO!$AF$7)/$H380*OFFSET(ORÇAMENTO!$X$15,ROW(AB380)-ROW(AB$15),0),
ROUND(ROUND(OFFSET($P380,0,AB$13),15-13*ORÇAMENTO!$AF$7)*OFFSET(ORÇAMENTO!$W$15,ROW(AB380)-ROW(AB$15),0),15-13*ORÇAMENTO!$AF$11)),0)</f>
        <v>0</v>
      </c>
      <c r="AC380" s="545">
        <f ca="1">IF(AND($D380="Serviço",AC$12&lt;&gt;0,$H380&gt;0,OR(AUTOEVENTO&lt;&gt;"manual",$M380&lt;&gt;1)),
IF(Import.TipoArredondamento&lt;&gt;"TransfereGOV",
ROUND(OFFSET($P380,0,AC$13),15-13*ORÇAMENTO!$AF$7)/$H380*OFFSET(ORÇAMENTO!$X$15,ROW(AC380)-ROW(AC$15),0),
ROUND(ROUND(OFFSET($P380,0,AC$13),15-13*ORÇAMENTO!$AF$7)*OFFSET(ORÇAMENTO!$W$15,ROW(AC380)-ROW(AC$15),0),15-13*ORÇAMENTO!$AF$11)),0)</f>
        <v>0</v>
      </c>
      <c r="AD380" s="545">
        <f ca="1">IF(AND($D380="Serviço",AD$12&lt;&gt;0,$H380&gt;0,OR(AUTOEVENTO&lt;&gt;"manual",$M380&lt;&gt;1)),
IF(Import.TipoArredondamento&lt;&gt;"TransfereGOV",
ROUND(OFFSET($P380,0,AD$13),15-13*ORÇAMENTO!$AF$7)/$H380*OFFSET(ORÇAMENTO!$X$15,ROW(AD380)-ROW(AD$15),0),
ROUND(ROUND(OFFSET($P380,0,AD$13),15-13*ORÇAMENTO!$AF$7)*OFFSET(ORÇAMENTO!$W$15,ROW(AD380)-ROW(AD$15),0),15-13*ORÇAMENTO!$AF$11)),0)</f>
        <v>0</v>
      </c>
      <c r="AE380" s="545">
        <f ca="1">IF(AND($D380="Serviço",AE$12&lt;&gt;0,$H380&gt;0,OR(AUTOEVENTO&lt;&gt;"manual",$M380&lt;&gt;1)),
IF(Import.TipoArredondamento&lt;&gt;"TransfereGOV",
ROUND(OFFSET($P380,0,AE$13),15-13*ORÇAMENTO!$AF$7)/$H380*OFFSET(ORÇAMENTO!$X$15,ROW(AE380)-ROW(AE$15),0),
ROUND(ROUND(OFFSET($P380,0,AE$13),15-13*ORÇAMENTO!$AF$7)*OFFSET(ORÇAMENTO!$W$15,ROW(AE380)-ROW(AE$15),0),15-13*ORÇAMENTO!$AF$11)),0)</f>
        <v>0</v>
      </c>
      <c r="AF380" s="545">
        <f ca="1">IF(AND($D380="Serviço",AF$12&lt;&gt;0,$H380&gt;0,OR(AUTOEVENTO&lt;&gt;"manual",$M380&lt;&gt;1)),
IF(Import.TipoArredondamento&lt;&gt;"TransfereGOV",
ROUND(OFFSET($P380,0,AF$13),15-13*ORÇAMENTO!$AF$7)/$H380*OFFSET(ORÇAMENTO!$X$15,ROW(AF380)-ROW(AF$15),0),
ROUND(ROUND(OFFSET($P380,0,AF$13),15-13*ORÇAMENTO!$AF$7)*OFFSET(ORÇAMENTO!$W$15,ROW(AF380)-ROW(AF$15),0),15-13*ORÇAMENTO!$AF$11)),0)</f>
        <v>0</v>
      </c>
      <c r="AG380" s="545">
        <f ca="1">IF(AND($D380="Serviço",AG$12&lt;&gt;0,$H380&gt;0,OR(AUTOEVENTO&lt;&gt;"manual",$M380&lt;&gt;1)),
IF(Import.TipoArredondamento&lt;&gt;"TransfereGOV",
ROUND(OFFSET($P380,0,AG$13),15-13*ORÇAMENTO!$AF$7)/$H380*OFFSET(ORÇAMENTO!$X$15,ROW(AG380)-ROW(AG$15),0),
ROUND(ROUND(OFFSET($P380,0,AG$13),15-13*ORÇAMENTO!$AF$7)*OFFSET(ORÇAMENTO!$W$15,ROW(AG380)-ROW(AG$15),0),15-13*ORÇAMENTO!$AF$11)),0)</f>
        <v>0</v>
      </c>
      <c r="AH380" s="545">
        <f ca="1">IF(AND($D380="Serviço",AH$12&lt;&gt;0,$H380&gt;0,OR(AUTOEVENTO&lt;&gt;"manual",$M380&lt;&gt;1)),
IF(Import.TipoArredondamento&lt;&gt;"TransfereGOV",
ROUND(OFFSET($P380,0,AH$13),15-13*ORÇAMENTO!$AF$7)/$H380*OFFSET(ORÇAMENTO!$X$15,ROW(AH380)-ROW(AH$15),0),
ROUND(ROUND(OFFSET($P380,0,AH$13),15-13*ORÇAMENTO!$AF$7)*OFFSET(ORÇAMENTO!$W$15,ROW(AH380)-ROW(AH$15),0),15-13*ORÇAMENTO!$AF$11)),0)</f>
        <v>0</v>
      </c>
      <c r="AI380" s="545">
        <f ca="1">IF(AND($D380="Serviço",AI$12&lt;&gt;0,$H380&gt;0,OR(AUTOEVENTO&lt;&gt;"manual",$M380&lt;&gt;1)),
IF(Import.TipoArredondamento&lt;&gt;"TransfereGOV",
ROUND(OFFSET($P380,0,AI$13),15-13*ORÇAMENTO!$AF$7)/$H380*OFFSET(ORÇAMENTO!$X$15,ROW(AI380)-ROW(AI$15),0),
ROUND(ROUND(OFFSET($P380,0,AI$13),15-13*ORÇAMENTO!$AF$7)*OFFSET(ORÇAMENTO!$W$15,ROW(AI380)-ROW(AI$15),0),15-13*ORÇAMENTO!$AF$11)),0)</f>
        <v>0</v>
      </c>
      <c r="AJ380" s="545">
        <f ca="1">IF(AND($D380="Serviço",AJ$12&lt;&gt;0,$H380&gt;0,OR(AUTOEVENTO&lt;&gt;"manual",$M380&lt;&gt;1)),
IF(Import.TipoArredondamento&lt;&gt;"TransfereGOV",
ROUND(OFFSET($P380,0,AJ$13),15-13*ORÇAMENTO!$AF$7)/$H380*OFFSET(ORÇAMENTO!$X$15,ROW(AJ380)-ROW(AJ$15),0),
ROUND(ROUND(OFFSET($P380,0,AJ$13),15-13*ORÇAMENTO!$AF$7)*OFFSET(ORÇAMENTO!$W$15,ROW(AJ380)-ROW(AJ$15),0),15-13*ORÇAMENTO!$AF$11)),0)</f>
        <v>0</v>
      </c>
      <c r="AK380" s="546">
        <f ca="1">IF(AND($D380="Serviço",AK$12&lt;&gt;0,$H380&gt;0,OR(AUTOEVENTO&lt;&gt;"manual",$M380&lt;&gt;1)),
IF(Import.TipoArredondamento&lt;&gt;"TransfereGOV",
ROUND(OFFSET($P380,0,AK$13),15-13*ORÇAMENTO!$AF$7)/$H380*OFFSET(ORÇAMENTO!$X$15,ROW(AK380)-ROW(AK$15),0),
ROUND(ROUND(OFFSET($P380,0,AK$13),15-13*ORÇAMENTO!$AF$7)*OFFSET(ORÇAMENTO!$W$15,ROW(AK380)-ROW(AK$15),0),15-13*ORÇAMENTO!$AF$11)),0)</f>
        <v>0</v>
      </c>
      <c r="AM380" s="181">
        <f ca="1">IF($D380&lt;&gt;"Serviço",0,IF(AND(AUTOEVENTO="Manual",$M380=1),0,IF(OFFSET(CRONOPLE!$F$14,$M380,AM$13)="",10^12,OFFSET(CRONOPLE!$F$14,$M380,AM$13))))</f>
        <v>1000000000000</v>
      </c>
      <c r="AN380" s="181">
        <f ca="1">IF($D380&lt;&gt;"Serviço",0,IF(AND(AUTOEVENTO="Manual",$M380=1),0,IF(OFFSET(CRONOPLE!$F$14,$M380,AN$13)="",10^12,OFFSET(CRONOPLE!$F$14,$M380,AN$13))))</f>
        <v>1000000000000</v>
      </c>
      <c r="AO380" s="181">
        <f ca="1">IF($D380&lt;&gt;"Serviço",0,IF(AND(AUTOEVENTO="Manual",$M380=1),0,IF(OFFSET(CRONOPLE!$F$14,$M380,AO$13)="",10^12,OFFSET(CRONOPLE!$F$14,$M380,AO$13))))</f>
        <v>1000000000000</v>
      </c>
      <c r="AP380" s="181">
        <f ca="1">IF($D380&lt;&gt;"Serviço",0,IF(AND(AUTOEVENTO="Manual",$M380=1),0,IF(OFFSET(CRONOPLE!$F$14,$M380,AP$13)="",10^12,OFFSET(CRONOPLE!$F$14,$M380,AP$13))))</f>
        <v>1000000000000</v>
      </c>
      <c r="AQ380" s="181">
        <f ca="1">IF($D380&lt;&gt;"Serviço",0,IF(AND(AUTOEVENTO="Manual",$M380=1),0,IF(OFFSET(CRONOPLE!$F$14,$M380,AQ$13)="",10^12,OFFSET(CRONOPLE!$F$14,$M380,AQ$13))))</f>
        <v>1000000000000</v>
      </c>
      <c r="AR380" s="181">
        <f ca="1">IF($D380&lt;&gt;"Serviço",0,IF(AND(AUTOEVENTO="Manual",$M380=1),0,IF(OFFSET(CRONOPLE!$F$14,$M380,AR$13)="",10^12,OFFSET(CRONOPLE!$F$14,$M380,AR$13))))</f>
        <v>1000000000000</v>
      </c>
      <c r="AS380" s="181">
        <f ca="1">IF($D380&lt;&gt;"Serviço",0,IF(AND(AUTOEVENTO="Manual",$M380=1),0,IF(OFFSET(CRONOPLE!$F$14,$M380,AS$13)="",10^12,OFFSET(CRONOPLE!$F$14,$M380,AS$13))))</f>
        <v>1000000000000</v>
      </c>
      <c r="AT380" s="181">
        <f ca="1">IF($D380&lt;&gt;"Serviço",0,IF(AND(AUTOEVENTO="Manual",$M380=1),0,IF(OFFSET(CRONOPLE!$F$14,$M380,AT$13)="",10^12,OFFSET(CRONOPLE!$F$14,$M380,AT$13))))</f>
        <v>1000000000000</v>
      </c>
      <c r="AU380" s="181">
        <f ca="1">IF($D380&lt;&gt;"Serviço",0,IF(AND(AUTOEVENTO="Manual",$M380=1),0,IF(OFFSET(CRONOPLE!$F$14,$M380,AU$13)="",10^12,OFFSET(CRONOPLE!$F$14,$M380,AU$13))))</f>
        <v>1000000000000</v>
      </c>
      <c r="AV380" s="181">
        <f ca="1">IF($D380&lt;&gt;"Serviço",0,IF(AND(AUTOEVENTO="Manual",$M380=1),0,IF(OFFSET(CRONOPLE!$F$14,$M380,AV$13)="",10^12,OFFSET(CRONOPLE!$F$14,$M380,AV$13))))</f>
        <v>1000000000000</v>
      </c>
      <c r="AX380" s="182">
        <f ca="1">IF($D380&lt;&gt;"Serviço",0,IF(OR(AND(AUTOEVENTO="Manual",$M380=1),$M380&gt;(ROW(PLE.lastrow)-ROW(PLE.firstrow))),0,IF(OFFSET(PLE!$G$14,$M380,AX$13)="",10^12,OFFSET(PLE!$G$14,$M380,AX$13))))</f>
        <v>1000000000000</v>
      </c>
      <c r="AY380" s="182">
        <f ca="1">IF($D380&lt;&gt;"Serviço",0,IF(OR(AND(AUTOEVENTO="Manual",$M380=1),$M380&gt;(ROW(PLE.lastrow)-ROW(PLE.firstrow))),0,IF(OFFSET(PLE!$G$14,$M380,AY$13)="",10^12,OFFSET(PLE!$G$14,$M380,AY$13))))</f>
        <v>1000000000000</v>
      </c>
      <c r="AZ380" s="182">
        <f ca="1">IF($D380&lt;&gt;"Serviço",0,IF(OR(AND(AUTOEVENTO="Manual",$M380=1),$M380&gt;(ROW(PLE.lastrow)-ROW(PLE.firstrow))),0,IF(OFFSET(PLE!$G$14,$M380,AZ$13)="",10^12,OFFSET(PLE!$G$14,$M380,AZ$13))))</f>
        <v>1000000000000</v>
      </c>
      <c r="BA380" s="182">
        <f ca="1">IF($D380&lt;&gt;"Serviço",0,IF(OR(AND(AUTOEVENTO="Manual",$M380=1),$M380&gt;(ROW(PLE.lastrow)-ROW(PLE.firstrow))),0,IF(OFFSET(PLE!$G$14,$M380,BA$13)="",10^12,OFFSET(PLE!$G$14,$M380,BA$13))))</f>
        <v>1000000000000</v>
      </c>
      <c r="BB380" s="182">
        <f ca="1">IF($D380&lt;&gt;"Serviço",0,IF(OR(AND(AUTOEVENTO="Manual",$M380=1),$M380&gt;(ROW(PLE.lastrow)-ROW(PLE.firstrow))),0,IF(OFFSET(PLE!$G$14,$M380,BB$13)="",10^12,OFFSET(PLE!$G$14,$M380,BB$13))))</f>
        <v>1000000000000</v>
      </c>
      <c r="BC380" s="182">
        <f ca="1">IF($D380&lt;&gt;"Serviço",0,IF(OR(AND(AUTOEVENTO="Manual",$M380=1),$M380&gt;(ROW(PLE.lastrow)-ROW(PLE.firstrow))),0,IF(OFFSET(PLE!$G$14,$M380,BC$13)="",10^12,OFFSET(PLE!$G$14,$M380,BC$13))))</f>
        <v>1000000000000</v>
      </c>
      <c r="BD380" s="182">
        <f ca="1">IF($D380&lt;&gt;"Serviço",0,IF(OR(AND(AUTOEVENTO="Manual",$M380=1),$M380&gt;(ROW(PLE.lastrow)-ROW(PLE.firstrow))),0,IF(OFFSET(PLE!$G$14,$M380,BD$13)="",10^12,OFFSET(PLE!$G$14,$M380,BD$13))))</f>
        <v>1000000000000</v>
      </c>
      <c r="BE380" s="182">
        <f ca="1">IF($D380&lt;&gt;"Serviço",0,IF(OR(AND(AUTOEVENTO="Manual",$M380=1),$M380&gt;(ROW(PLE.lastrow)-ROW(PLE.firstrow))),0,IF(OFFSET(PLE!$G$14,$M380,BE$13)="",10^12,OFFSET(PLE!$G$14,$M380,BE$13))))</f>
        <v>1000000000000</v>
      </c>
      <c r="BF380" s="182">
        <f ca="1">IF($D380&lt;&gt;"Serviço",0,IF(OR(AND(AUTOEVENTO="Manual",$M380=1),$M380&gt;(ROW(PLE.lastrow)-ROW(PLE.firstrow))),0,IF(OFFSET(PLE!$G$14,$M380,BF$13)="",10^12,OFFSET(PLE!$G$14,$M380,BF$13))))</f>
        <v>1000000000000</v>
      </c>
      <c r="BG380" s="182">
        <f ca="1">IF($D380&lt;&gt;"Serviço",0,IF(OR(AND(AUTOEVENTO="Manual",$M380=1),$M380&gt;(ROW(PLE.lastrow)-ROW(PLE.firstrow))),0,IF(OFFSET(PLE!$G$14,$M380,BG$13)="",10^12,OFFSET(PLE!$G$14,$M380,BG$13))))</f>
        <v>1000000000000</v>
      </c>
    </row>
    <row r="381" spans="1:59" ht="38.25" x14ac:dyDescent="0.2">
      <c r="A381" s="7" t="str">
        <f t="shared" ca="1" si="11"/>
        <v>325</v>
      </c>
      <c r="B381" s="7" t="str">
        <f ca="1">OFFSET(ORÇAMENTO!C$15,ROW(B381)-ROW(B$15),0)</f>
        <v>S</v>
      </c>
      <c r="C381" s="7" t="str">
        <f ca="1">OFFSET(ORÇAMENTO!L$15,ROW(C381)-ROW(C$15),0)</f>
        <v/>
      </c>
      <c r="D381" s="118" t="str">
        <f ca="1">OFFSET(ORÇAMENTO!N$15,ROW(D381)-ROW(D$15),0)</f>
        <v>Serviço</v>
      </c>
      <c r="E381" s="119" t="str">
        <f ca="1">OFFSET(ORÇAMENTO!O$15,ROW(E381)-ROW(E$15),0)</f>
        <v>-</v>
      </c>
      <c r="F381" s="172" t="str">
        <f ca="1">OFFSET(ORÇAMENTO!R$15,ROW(F381)-ROW(F$15),0)</f>
        <v>(abra o arquivo 'Referência 02-2025.xlsm)</v>
      </c>
      <c r="G381" s="173" t="str">
        <f ca="1">IF($D381&lt;&gt;"Serviço","",OFFSET(ORÇAMENTO!S$15,ROW(G381)-ROW(G$15),0))</f>
        <v>-</v>
      </c>
      <c r="H381" s="124">
        <f ca="1">IF($D381&lt;&gt;"Serviço",0,IF(ACOMPANHAMENTO="BM",ROUND(OFFSET(ORÇAMENTO!AJ$15,ROW(H381)-ROW(H$15),0),15-13*ORÇAMENTO!$AF$7),SUMPRODUCT(($Q$12:$AA$12&lt;&gt;"")*ROUND($Q381:$AA381,15-13*ORÇAMENTO!$AF$7))))</f>
        <v>248</v>
      </c>
      <c r="I381" s="561" t="s">
        <v>890</v>
      </c>
      <c r="K381" s="174"/>
      <c r="L381" s="175" t="s">
        <v>255</v>
      </c>
      <c r="M381" s="176">
        <f ca="1">IF($D381&lt;&gt;"Serviço","",IF(AUTOEVENTO="manual",$A381,IF(ISERROR(MATCH($A381,$A$15:OFFSET($A381,-1,0),0)),MAX($M$15:OFFSET(M381,-1,0))+1,INDEX($M$15:OFFSET(M381,-1,0),MATCH($A381,$A$15:OFFSET($A381,-1,0),0)))))</f>
        <v>15</v>
      </c>
      <c r="N381" s="177" t="str">
        <f ca="1">IF($D381&lt;&gt;"Serviço","",IF(AUTOEVENTO="Manual",IF($A381=0,"&lt;-- defina o número do agrupador",OFFSET(EVENTOS!$D$14,$A381,0)),OFFSET($F$15,$A381,0)))</f>
        <v>INSTALAÇÕES DE ESGOTO SANITÁRIO</v>
      </c>
      <c r="O381" s="178"/>
      <c r="Q381" s="178"/>
      <c r="R381" s="179"/>
      <c r="S381" s="179"/>
      <c r="T381" s="179"/>
      <c r="U381" s="179"/>
      <c r="V381" s="179"/>
      <c r="W381" s="179"/>
      <c r="X381" s="179"/>
      <c r="Y381" s="179"/>
      <c r="Z381" s="180"/>
      <c r="AB381" s="544">
        <f ca="1">IF(AND($D381="Serviço",AB$12&lt;&gt;0,$H381&gt;0,OR(AUTOEVENTO&lt;&gt;"manual",$M381&lt;&gt;1)),
IF(Import.TipoArredondamento&lt;&gt;"TransfereGOV",
ROUND(OFFSET($P381,0,AB$13),15-13*ORÇAMENTO!$AF$7)/$H381*OFFSET(ORÇAMENTO!$X$15,ROW(AB381)-ROW(AB$15),0),
ROUND(ROUND(OFFSET($P381,0,AB$13),15-13*ORÇAMENTO!$AF$7)*OFFSET(ORÇAMENTO!$W$15,ROW(AB381)-ROW(AB$15),0),15-13*ORÇAMENTO!$AF$11)),0)</f>
        <v>0</v>
      </c>
      <c r="AC381" s="545">
        <f ca="1">IF(AND($D381="Serviço",AC$12&lt;&gt;0,$H381&gt;0,OR(AUTOEVENTO&lt;&gt;"manual",$M381&lt;&gt;1)),
IF(Import.TipoArredondamento&lt;&gt;"TransfereGOV",
ROUND(OFFSET($P381,0,AC$13),15-13*ORÇAMENTO!$AF$7)/$H381*OFFSET(ORÇAMENTO!$X$15,ROW(AC381)-ROW(AC$15),0),
ROUND(ROUND(OFFSET($P381,0,AC$13),15-13*ORÇAMENTO!$AF$7)*OFFSET(ORÇAMENTO!$W$15,ROW(AC381)-ROW(AC$15),0),15-13*ORÇAMENTO!$AF$11)),0)</f>
        <v>0</v>
      </c>
      <c r="AD381" s="545">
        <f ca="1">IF(AND($D381="Serviço",AD$12&lt;&gt;0,$H381&gt;0,OR(AUTOEVENTO&lt;&gt;"manual",$M381&lt;&gt;1)),
IF(Import.TipoArredondamento&lt;&gt;"TransfereGOV",
ROUND(OFFSET($P381,0,AD$13),15-13*ORÇAMENTO!$AF$7)/$H381*OFFSET(ORÇAMENTO!$X$15,ROW(AD381)-ROW(AD$15),0),
ROUND(ROUND(OFFSET($P381,0,AD$13),15-13*ORÇAMENTO!$AF$7)*OFFSET(ORÇAMENTO!$W$15,ROW(AD381)-ROW(AD$15),0),15-13*ORÇAMENTO!$AF$11)),0)</f>
        <v>0</v>
      </c>
      <c r="AE381" s="545">
        <f ca="1">IF(AND($D381="Serviço",AE$12&lt;&gt;0,$H381&gt;0,OR(AUTOEVENTO&lt;&gt;"manual",$M381&lt;&gt;1)),
IF(Import.TipoArredondamento&lt;&gt;"TransfereGOV",
ROUND(OFFSET($P381,0,AE$13),15-13*ORÇAMENTO!$AF$7)/$H381*OFFSET(ORÇAMENTO!$X$15,ROW(AE381)-ROW(AE$15),0),
ROUND(ROUND(OFFSET($P381,0,AE$13),15-13*ORÇAMENTO!$AF$7)*OFFSET(ORÇAMENTO!$W$15,ROW(AE381)-ROW(AE$15),0),15-13*ORÇAMENTO!$AF$11)),0)</f>
        <v>0</v>
      </c>
      <c r="AF381" s="545">
        <f ca="1">IF(AND($D381="Serviço",AF$12&lt;&gt;0,$H381&gt;0,OR(AUTOEVENTO&lt;&gt;"manual",$M381&lt;&gt;1)),
IF(Import.TipoArredondamento&lt;&gt;"TransfereGOV",
ROUND(OFFSET($P381,0,AF$13),15-13*ORÇAMENTO!$AF$7)/$H381*OFFSET(ORÇAMENTO!$X$15,ROW(AF381)-ROW(AF$15),0),
ROUND(ROUND(OFFSET($P381,0,AF$13),15-13*ORÇAMENTO!$AF$7)*OFFSET(ORÇAMENTO!$W$15,ROW(AF381)-ROW(AF$15),0),15-13*ORÇAMENTO!$AF$11)),0)</f>
        <v>0</v>
      </c>
      <c r="AG381" s="545">
        <f ca="1">IF(AND($D381="Serviço",AG$12&lt;&gt;0,$H381&gt;0,OR(AUTOEVENTO&lt;&gt;"manual",$M381&lt;&gt;1)),
IF(Import.TipoArredondamento&lt;&gt;"TransfereGOV",
ROUND(OFFSET($P381,0,AG$13),15-13*ORÇAMENTO!$AF$7)/$H381*OFFSET(ORÇAMENTO!$X$15,ROW(AG381)-ROW(AG$15),0),
ROUND(ROUND(OFFSET($P381,0,AG$13),15-13*ORÇAMENTO!$AF$7)*OFFSET(ORÇAMENTO!$W$15,ROW(AG381)-ROW(AG$15),0),15-13*ORÇAMENTO!$AF$11)),0)</f>
        <v>0</v>
      </c>
      <c r="AH381" s="545">
        <f ca="1">IF(AND($D381="Serviço",AH$12&lt;&gt;0,$H381&gt;0,OR(AUTOEVENTO&lt;&gt;"manual",$M381&lt;&gt;1)),
IF(Import.TipoArredondamento&lt;&gt;"TransfereGOV",
ROUND(OFFSET($P381,0,AH$13),15-13*ORÇAMENTO!$AF$7)/$H381*OFFSET(ORÇAMENTO!$X$15,ROW(AH381)-ROW(AH$15),0),
ROUND(ROUND(OFFSET($P381,0,AH$13),15-13*ORÇAMENTO!$AF$7)*OFFSET(ORÇAMENTO!$W$15,ROW(AH381)-ROW(AH$15),0),15-13*ORÇAMENTO!$AF$11)),0)</f>
        <v>0</v>
      </c>
      <c r="AI381" s="545">
        <f ca="1">IF(AND($D381="Serviço",AI$12&lt;&gt;0,$H381&gt;0,OR(AUTOEVENTO&lt;&gt;"manual",$M381&lt;&gt;1)),
IF(Import.TipoArredondamento&lt;&gt;"TransfereGOV",
ROUND(OFFSET($P381,0,AI$13),15-13*ORÇAMENTO!$AF$7)/$H381*OFFSET(ORÇAMENTO!$X$15,ROW(AI381)-ROW(AI$15),0),
ROUND(ROUND(OFFSET($P381,0,AI$13),15-13*ORÇAMENTO!$AF$7)*OFFSET(ORÇAMENTO!$W$15,ROW(AI381)-ROW(AI$15),0),15-13*ORÇAMENTO!$AF$11)),0)</f>
        <v>0</v>
      </c>
      <c r="AJ381" s="545">
        <f ca="1">IF(AND($D381="Serviço",AJ$12&lt;&gt;0,$H381&gt;0,OR(AUTOEVENTO&lt;&gt;"manual",$M381&lt;&gt;1)),
IF(Import.TipoArredondamento&lt;&gt;"TransfereGOV",
ROUND(OFFSET($P381,0,AJ$13),15-13*ORÇAMENTO!$AF$7)/$H381*OFFSET(ORÇAMENTO!$X$15,ROW(AJ381)-ROW(AJ$15),0),
ROUND(ROUND(OFFSET($P381,0,AJ$13),15-13*ORÇAMENTO!$AF$7)*OFFSET(ORÇAMENTO!$W$15,ROW(AJ381)-ROW(AJ$15),0),15-13*ORÇAMENTO!$AF$11)),0)</f>
        <v>0</v>
      </c>
      <c r="AK381" s="546">
        <f ca="1">IF(AND($D381="Serviço",AK$12&lt;&gt;0,$H381&gt;0,OR(AUTOEVENTO&lt;&gt;"manual",$M381&lt;&gt;1)),
IF(Import.TipoArredondamento&lt;&gt;"TransfereGOV",
ROUND(OFFSET($P381,0,AK$13),15-13*ORÇAMENTO!$AF$7)/$H381*OFFSET(ORÇAMENTO!$X$15,ROW(AK381)-ROW(AK$15),0),
ROUND(ROUND(OFFSET($P381,0,AK$13),15-13*ORÇAMENTO!$AF$7)*OFFSET(ORÇAMENTO!$W$15,ROW(AK381)-ROW(AK$15),0),15-13*ORÇAMENTO!$AF$11)),0)</f>
        <v>0</v>
      </c>
      <c r="AM381" s="181">
        <f ca="1">IF($D381&lt;&gt;"Serviço",0,IF(AND(AUTOEVENTO="Manual",$M381=1),0,IF(OFFSET(CRONOPLE!$F$14,$M381,AM$13)="",10^12,OFFSET(CRONOPLE!$F$14,$M381,AM$13))))</f>
        <v>1000000000000</v>
      </c>
      <c r="AN381" s="181">
        <f ca="1">IF($D381&lt;&gt;"Serviço",0,IF(AND(AUTOEVENTO="Manual",$M381=1),0,IF(OFFSET(CRONOPLE!$F$14,$M381,AN$13)="",10^12,OFFSET(CRONOPLE!$F$14,$M381,AN$13))))</f>
        <v>1000000000000</v>
      </c>
      <c r="AO381" s="181">
        <f ca="1">IF($D381&lt;&gt;"Serviço",0,IF(AND(AUTOEVENTO="Manual",$M381=1),0,IF(OFFSET(CRONOPLE!$F$14,$M381,AO$13)="",10^12,OFFSET(CRONOPLE!$F$14,$M381,AO$13))))</f>
        <v>1000000000000</v>
      </c>
      <c r="AP381" s="181">
        <f ca="1">IF($D381&lt;&gt;"Serviço",0,IF(AND(AUTOEVENTO="Manual",$M381=1),0,IF(OFFSET(CRONOPLE!$F$14,$M381,AP$13)="",10^12,OFFSET(CRONOPLE!$F$14,$M381,AP$13))))</f>
        <v>1000000000000</v>
      </c>
      <c r="AQ381" s="181">
        <f ca="1">IF($D381&lt;&gt;"Serviço",0,IF(AND(AUTOEVENTO="Manual",$M381=1),0,IF(OFFSET(CRONOPLE!$F$14,$M381,AQ$13)="",10^12,OFFSET(CRONOPLE!$F$14,$M381,AQ$13))))</f>
        <v>1000000000000</v>
      </c>
      <c r="AR381" s="181">
        <f ca="1">IF($D381&lt;&gt;"Serviço",0,IF(AND(AUTOEVENTO="Manual",$M381=1),0,IF(OFFSET(CRONOPLE!$F$14,$M381,AR$13)="",10^12,OFFSET(CRONOPLE!$F$14,$M381,AR$13))))</f>
        <v>1000000000000</v>
      </c>
      <c r="AS381" s="181">
        <f ca="1">IF($D381&lt;&gt;"Serviço",0,IF(AND(AUTOEVENTO="Manual",$M381=1),0,IF(OFFSET(CRONOPLE!$F$14,$M381,AS$13)="",10^12,OFFSET(CRONOPLE!$F$14,$M381,AS$13))))</f>
        <v>1000000000000</v>
      </c>
      <c r="AT381" s="181">
        <f ca="1">IF($D381&lt;&gt;"Serviço",0,IF(AND(AUTOEVENTO="Manual",$M381=1),0,IF(OFFSET(CRONOPLE!$F$14,$M381,AT$13)="",10^12,OFFSET(CRONOPLE!$F$14,$M381,AT$13))))</f>
        <v>1000000000000</v>
      </c>
      <c r="AU381" s="181">
        <f ca="1">IF($D381&lt;&gt;"Serviço",0,IF(AND(AUTOEVENTO="Manual",$M381=1),0,IF(OFFSET(CRONOPLE!$F$14,$M381,AU$13)="",10^12,OFFSET(CRONOPLE!$F$14,$M381,AU$13))))</f>
        <v>1000000000000</v>
      </c>
      <c r="AV381" s="181">
        <f ca="1">IF($D381&lt;&gt;"Serviço",0,IF(AND(AUTOEVENTO="Manual",$M381=1),0,IF(OFFSET(CRONOPLE!$F$14,$M381,AV$13)="",10^12,OFFSET(CRONOPLE!$F$14,$M381,AV$13))))</f>
        <v>1000000000000</v>
      </c>
      <c r="AX381" s="182">
        <f ca="1">IF($D381&lt;&gt;"Serviço",0,IF(OR(AND(AUTOEVENTO="Manual",$M381=1),$M381&gt;(ROW(PLE.lastrow)-ROW(PLE.firstrow))),0,IF(OFFSET(PLE!$G$14,$M381,AX$13)="",10^12,OFFSET(PLE!$G$14,$M381,AX$13))))</f>
        <v>1000000000000</v>
      </c>
      <c r="AY381" s="182">
        <f ca="1">IF($D381&lt;&gt;"Serviço",0,IF(OR(AND(AUTOEVENTO="Manual",$M381=1),$M381&gt;(ROW(PLE.lastrow)-ROW(PLE.firstrow))),0,IF(OFFSET(PLE!$G$14,$M381,AY$13)="",10^12,OFFSET(PLE!$G$14,$M381,AY$13))))</f>
        <v>1000000000000</v>
      </c>
      <c r="AZ381" s="182">
        <f ca="1">IF($D381&lt;&gt;"Serviço",0,IF(OR(AND(AUTOEVENTO="Manual",$M381=1),$M381&gt;(ROW(PLE.lastrow)-ROW(PLE.firstrow))),0,IF(OFFSET(PLE!$G$14,$M381,AZ$13)="",10^12,OFFSET(PLE!$G$14,$M381,AZ$13))))</f>
        <v>1000000000000</v>
      </c>
      <c r="BA381" s="182">
        <f ca="1">IF($D381&lt;&gt;"Serviço",0,IF(OR(AND(AUTOEVENTO="Manual",$M381=1),$M381&gt;(ROW(PLE.lastrow)-ROW(PLE.firstrow))),0,IF(OFFSET(PLE!$G$14,$M381,BA$13)="",10^12,OFFSET(PLE!$G$14,$M381,BA$13))))</f>
        <v>1000000000000</v>
      </c>
      <c r="BB381" s="182">
        <f ca="1">IF($D381&lt;&gt;"Serviço",0,IF(OR(AND(AUTOEVENTO="Manual",$M381=1),$M381&gt;(ROW(PLE.lastrow)-ROW(PLE.firstrow))),0,IF(OFFSET(PLE!$G$14,$M381,BB$13)="",10^12,OFFSET(PLE!$G$14,$M381,BB$13))))</f>
        <v>1000000000000</v>
      </c>
      <c r="BC381" s="182">
        <f ca="1">IF($D381&lt;&gt;"Serviço",0,IF(OR(AND(AUTOEVENTO="Manual",$M381=1),$M381&gt;(ROW(PLE.lastrow)-ROW(PLE.firstrow))),0,IF(OFFSET(PLE!$G$14,$M381,BC$13)="",10^12,OFFSET(PLE!$G$14,$M381,BC$13))))</f>
        <v>1000000000000</v>
      </c>
      <c r="BD381" s="182">
        <f ca="1">IF($D381&lt;&gt;"Serviço",0,IF(OR(AND(AUTOEVENTO="Manual",$M381=1),$M381&gt;(ROW(PLE.lastrow)-ROW(PLE.firstrow))),0,IF(OFFSET(PLE!$G$14,$M381,BD$13)="",10^12,OFFSET(PLE!$G$14,$M381,BD$13))))</f>
        <v>1000000000000</v>
      </c>
      <c r="BE381" s="182">
        <f ca="1">IF($D381&lt;&gt;"Serviço",0,IF(OR(AND(AUTOEVENTO="Manual",$M381=1),$M381&gt;(ROW(PLE.lastrow)-ROW(PLE.firstrow))),0,IF(OFFSET(PLE!$G$14,$M381,BE$13)="",10^12,OFFSET(PLE!$G$14,$M381,BE$13))))</f>
        <v>1000000000000</v>
      </c>
      <c r="BF381" s="182">
        <f ca="1">IF($D381&lt;&gt;"Serviço",0,IF(OR(AND(AUTOEVENTO="Manual",$M381=1),$M381&gt;(ROW(PLE.lastrow)-ROW(PLE.firstrow))),0,IF(OFFSET(PLE!$G$14,$M381,BF$13)="",10^12,OFFSET(PLE!$G$14,$M381,BF$13))))</f>
        <v>1000000000000</v>
      </c>
      <c r="BG381" s="182">
        <f ca="1">IF($D381&lt;&gt;"Serviço",0,IF(OR(AND(AUTOEVENTO="Manual",$M381=1),$M381&gt;(ROW(PLE.lastrow)-ROW(PLE.firstrow))),0,IF(OFFSET(PLE!$G$14,$M381,BG$13)="",10^12,OFFSET(PLE!$G$14,$M381,BG$13))))</f>
        <v>1000000000000</v>
      </c>
    </row>
    <row r="382" spans="1:59" ht="38.25" x14ac:dyDescent="0.2">
      <c r="A382" s="7" t="str">
        <f t="shared" ca="1" si="11"/>
        <v>325</v>
      </c>
      <c r="B382" s="7" t="str">
        <f ca="1">OFFSET(ORÇAMENTO!C$15,ROW(B382)-ROW(B$15),0)</f>
        <v>S</v>
      </c>
      <c r="C382" s="7" t="str">
        <f ca="1">OFFSET(ORÇAMENTO!L$15,ROW(C382)-ROW(C$15),0)</f>
        <v/>
      </c>
      <c r="D382" s="118" t="str">
        <f ca="1">OFFSET(ORÇAMENTO!N$15,ROW(D382)-ROW(D$15),0)</f>
        <v>Serviço</v>
      </c>
      <c r="E382" s="119" t="str">
        <f ca="1">OFFSET(ORÇAMENTO!O$15,ROW(E382)-ROW(E$15),0)</f>
        <v>-</v>
      </c>
      <c r="F382" s="172" t="str">
        <f ca="1">OFFSET(ORÇAMENTO!R$15,ROW(F382)-ROW(F$15),0)</f>
        <v>(abra o arquivo 'Referência 02-2025.xlsm)</v>
      </c>
      <c r="G382" s="173" t="str">
        <f ca="1">IF($D382&lt;&gt;"Serviço","",OFFSET(ORÇAMENTO!S$15,ROW(G382)-ROW(G$15),0))</f>
        <v>-</v>
      </c>
      <c r="H382" s="124">
        <f ca="1">IF($D382&lt;&gt;"Serviço",0,IF(ACOMPANHAMENTO="BM",ROUND(OFFSET(ORÇAMENTO!AJ$15,ROW(H382)-ROW(H$15),0),15-13*ORÇAMENTO!$AF$7),SUMPRODUCT(($Q$12:$AA$12&lt;&gt;"")*ROUND($Q382:$AA382,15-13*ORÇAMENTO!$AF$7))))</f>
        <v>2</v>
      </c>
      <c r="I382" s="561" t="s">
        <v>890</v>
      </c>
      <c r="K382" s="174"/>
      <c r="L382" s="175" t="s">
        <v>255</v>
      </c>
      <c r="M382" s="176">
        <f ca="1">IF($D382&lt;&gt;"Serviço","",IF(AUTOEVENTO="manual",$A382,IF(ISERROR(MATCH($A382,$A$15:OFFSET($A382,-1,0),0)),MAX($M$15:OFFSET(M382,-1,0))+1,INDEX($M$15:OFFSET(M382,-1,0),MATCH($A382,$A$15:OFFSET($A382,-1,0),0)))))</f>
        <v>15</v>
      </c>
      <c r="N382" s="177" t="str">
        <f ca="1">IF($D382&lt;&gt;"Serviço","",IF(AUTOEVENTO="Manual",IF($A382=0,"&lt;-- defina o número do agrupador",OFFSET(EVENTOS!$D$14,$A382,0)),OFFSET($F$15,$A382,0)))</f>
        <v>INSTALAÇÕES DE ESGOTO SANITÁRIO</v>
      </c>
      <c r="O382" s="178"/>
      <c r="Q382" s="178"/>
      <c r="R382" s="179"/>
      <c r="S382" s="179"/>
      <c r="T382" s="179"/>
      <c r="U382" s="179"/>
      <c r="V382" s="179"/>
      <c r="W382" s="179"/>
      <c r="X382" s="179"/>
      <c r="Y382" s="179"/>
      <c r="Z382" s="180"/>
      <c r="AB382" s="544">
        <f ca="1">IF(AND($D382="Serviço",AB$12&lt;&gt;0,$H382&gt;0,OR(AUTOEVENTO&lt;&gt;"manual",$M382&lt;&gt;1)),
IF(Import.TipoArredondamento&lt;&gt;"TransfereGOV",
ROUND(OFFSET($P382,0,AB$13),15-13*ORÇAMENTO!$AF$7)/$H382*OFFSET(ORÇAMENTO!$X$15,ROW(AB382)-ROW(AB$15),0),
ROUND(ROUND(OFFSET($P382,0,AB$13),15-13*ORÇAMENTO!$AF$7)*OFFSET(ORÇAMENTO!$W$15,ROW(AB382)-ROW(AB$15),0),15-13*ORÇAMENTO!$AF$11)),0)</f>
        <v>0</v>
      </c>
      <c r="AC382" s="545">
        <f ca="1">IF(AND($D382="Serviço",AC$12&lt;&gt;0,$H382&gt;0,OR(AUTOEVENTO&lt;&gt;"manual",$M382&lt;&gt;1)),
IF(Import.TipoArredondamento&lt;&gt;"TransfereGOV",
ROUND(OFFSET($P382,0,AC$13),15-13*ORÇAMENTO!$AF$7)/$H382*OFFSET(ORÇAMENTO!$X$15,ROW(AC382)-ROW(AC$15),0),
ROUND(ROUND(OFFSET($P382,0,AC$13),15-13*ORÇAMENTO!$AF$7)*OFFSET(ORÇAMENTO!$W$15,ROW(AC382)-ROW(AC$15),0),15-13*ORÇAMENTO!$AF$11)),0)</f>
        <v>0</v>
      </c>
      <c r="AD382" s="545">
        <f ca="1">IF(AND($D382="Serviço",AD$12&lt;&gt;0,$H382&gt;0,OR(AUTOEVENTO&lt;&gt;"manual",$M382&lt;&gt;1)),
IF(Import.TipoArredondamento&lt;&gt;"TransfereGOV",
ROUND(OFFSET($P382,0,AD$13),15-13*ORÇAMENTO!$AF$7)/$H382*OFFSET(ORÇAMENTO!$X$15,ROW(AD382)-ROW(AD$15),0),
ROUND(ROUND(OFFSET($P382,0,AD$13),15-13*ORÇAMENTO!$AF$7)*OFFSET(ORÇAMENTO!$W$15,ROW(AD382)-ROW(AD$15),0),15-13*ORÇAMENTO!$AF$11)),0)</f>
        <v>0</v>
      </c>
      <c r="AE382" s="545">
        <f ca="1">IF(AND($D382="Serviço",AE$12&lt;&gt;0,$H382&gt;0,OR(AUTOEVENTO&lt;&gt;"manual",$M382&lt;&gt;1)),
IF(Import.TipoArredondamento&lt;&gt;"TransfereGOV",
ROUND(OFFSET($P382,0,AE$13),15-13*ORÇAMENTO!$AF$7)/$H382*OFFSET(ORÇAMENTO!$X$15,ROW(AE382)-ROW(AE$15),0),
ROUND(ROUND(OFFSET($P382,0,AE$13),15-13*ORÇAMENTO!$AF$7)*OFFSET(ORÇAMENTO!$W$15,ROW(AE382)-ROW(AE$15),0),15-13*ORÇAMENTO!$AF$11)),0)</f>
        <v>0</v>
      </c>
      <c r="AF382" s="545">
        <f ca="1">IF(AND($D382="Serviço",AF$12&lt;&gt;0,$H382&gt;0,OR(AUTOEVENTO&lt;&gt;"manual",$M382&lt;&gt;1)),
IF(Import.TipoArredondamento&lt;&gt;"TransfereGOV",
ROUND(OFFSET($P382,0,AF$13),15-13*ORÇAMENTO!$AF$7)/$H382*OFFSET(ORÇAMENTO!$X$15,ROW(AF382)-ROW(AF$15),0),
ROUND(ROUND(OFFSET($P382,0,AF$13),15-13*ORÇAMENTO!$AF$7)*OFFSET(ORÇAMENTO!$W$15,ROW(AF382)-ROW(AF$15),0),15-13*ORÇAMENTO!$AF$11)),0)</f>
        <v>0</v>
      </c>
      <c r="AG382" s="545">
        <f ca="1">IF(AND($D382="Serviço",AG$12&lt;&gt;0,$H382&gt;0,OR(AUTOEVENTO&lt;&gt;"manual",$M382&lt;&gt;1)),
IF(Import.TipoArredondamento&lt;&gt;"TransfereGOV",
ROUND(OFFSET($P382,0,AG$13),15-13*ORÇAMENTO!$AF$7)/$H382*OFFSET(ORÇAMENTO!$X$15,ROW(AG382)-ROW(AG$15),0),
ROUND(ROUND(OFFSET($P382,0,AG$13),15-13*ORÇAMENTO!$AF$7)*OFFSET(ORÇAMENTO!$W$15,ROW(AG382)-ROW(AG$15),0),15-13*ORÇAMENTO!$AF$11)),0)</f>
        <v>0</v>
      </c>
      <c r="AH382" s="545">
        <f ca="1">IF(AND($D382="Serviço",AH$12&lt;&gt;0,$H382&gt;0,OR(AUTOEVENTO&lt;&gt;"manual",$M382&lt;&gt;1)),
IF(Import.TipoArredondamento&lt;&gt;"TransfereGOV",
ROUND(OFFSET($P382,0,AH$13),15-13*ORÇAMENTO!$AF$7)/$H382*OFFSET(ORÇAMENTO!$X$15,ROW(AH382)-ROW(AH$15),0),
ROUND(ROUND(OFFSET($P382,0,AH$13),15-13*ORÇAMENTO!$AF$7)*OFFSET(ORÇAMENTO!$W$15,ROW(AH382)-ROW(AH$15),0),15-13*ORÇAMENTO!$AF$11)),0)</f>
        <v>0</v>
      </c>
      <c r="AI382" s="545">
        <f ca="1">IF(AND($D382="Serviço",AI$12&lt;&gt;0,$H382&gt;0,OR(AUTOEVENTO&lt;&gt;"manual",$M382&lt;&gt;1)),
IF(Import.TipoArredondamento&lt;&gt;"TransfereGOV",
ROUND(OFFSET($P382,0,AI$13),15-13*ORÇAMENTO!$AF$7)/$H382*OFFSET(ORÇAMENTO!$X$15,ROW(AI382)-ROW(AI$15),0),
ROUND(ROUND(OFFSET($P382,0,AI$13),15-13*ORÇAMENTO!$AF$7)*OFFSET(ORÇAMENTO!$W$15,ROW(AI382)-ROW(AI$15),0),15-13*ORÇAMENTO!$AF$11)),0)</f>
        <v>0</v>
      </c>
      <c r="AJ382" s="545">
        <f ca="1">IF(AND($D382="Serviço",AJ$12&lt;&gt;0,$H382&gt;0,OR(AUTOEVENTO&lt;&gt;"manual",$M382&lt;&gt;1)),
IF(Import.TipoArredondamento&lt;&gt;"TransfereGOV",
ROUND(OFFSET($P382,0,AJ$13),15-13*ORÇAMENTO!$AF$7)/$H382*OFFSET(ORÇAMENTO!$X$15,ROW(AJ382)-ROW(AJ$15),0),
ROUND(ROUND(OFFSET($P382,0,AJ$13),15-13*ORÇAMENTO!$AF$7)*OFFSET(ORÇAMENTO!$W$15,ROW(AJ382)-ROW(AJ$15),0),15-13*ORÇAMENTO!$AF$11)),0)</f>
        <v>0</v>
      </c>
      <c r="AK382" s="546">
        <f ca="1">IF(AND($D382="Serviço",AK$12&lt;&gt;0,$H382&gt;0,OR(AUTOEVENTO&lt;&gt;"manual",$M382&lt;&gt;1)),
IF(Import.TipoArredondamento&lt;&gt;"TransfereGOV",
ROUND(OFFSET($P382,0,AK$13),15-13*ORÇAMENTO!$AF$7)/$H382*OFFSET(ORÇAMENTO!$X$15,ROW(AK382)-ROW(AK$15),0),
ROUND(ROUND(OFFSET($P382,0,AK$13),15-13*ORÇAMENTO!$AF$7)*OFFSET(ORÇAMENTO!$W$15,ROW(AK382)-ROW(AK$15),0),15-13*ORÇAMENTO!$AF$11)),0)</f>
        <v>0</v>
      </c>
      <c r="AM382" s="181">
        <f ca="1">IF($D382&lt;&gt;"Serviço",0,IF(AND(AUTOEVENTO="Manual",$M382=1),0,IF(OFFSET(CRONOPLE!$F$14,$M382,AM$13)="",10^12,OFFSET(CRONOPLE!$F$14,$M382,AM$13))))</f>
        <v>1000000000000</v>
      </c>
      <c r="AN382" s="181">
        <f ca="1">IF($D382&lt;&gt;"Serviço",0,IF(AND(AUTOEVENTO="Manual",$M382=1),0,IF(OFFSET(CRONOPLE!$F$14,$M382,AN$13)="",10^12,OFFSET(CRONOPLE!$F$14,$M382,AN$13))))</f>
        <v>1000000000000</v>
      </c>
      <c r="AO382" s="181">
        <f ca="1">IF($D382&lt;&gt;"Serviço",0,IF(AND(AUTOEVENTO="Manual",$M382=1),0,IF(OFFSET(CRONOPLE!$F$14,$M382,AO$13)="",10^12,OFFSET(CRONOPLE!$F$14,$M382,AO$13))))</f>
        <v>1000000000000</v>
      </c>
      <c r="AP382" s="181">
        <f ca="1">IF($D382&lt;&gt;"Serviço",0,IF(AND(AUTOEVENTO="Manual",$M382=1),0,IF(OFFSET(CRONOPLE!$F$14,$M382,AP$13)="",10^12,OFFSET(CRONOPLE!$F$14,$M382,AP$13))))</f>
        <v>1000000000000</v>
      </c>
      <c r="AQ382" s="181">
        <f ca="1">IF($D382&lt;&gt;"Serviço",0,IF(AND(AUTOEVENTO="Manual",$M382=1),0,IF(OFFSET(CRONOPLE!$F$14,$M382,AQ$13)="",10^12,OFFSET(CRONOPLE!$F$14,$M382,AQ$13))))</f>
        <v>1000000000000</v>
      </c>
      <c r="AR382" s="181">
        <f ca="1">IF($D382&lt;&gt;"Serviço",0,IF(AND(AUTOEVENTO="Manual",$M382=1),0,IF(OFFSET(CRONOPLE!$F$14,$M382,AR$13)="",10^12,OFFSET(CRONOPLE!$F$14,$M382,AR$13))))</f>
        <v>1000000000000</v>
      </c>
      <c r="AS382" s="181">
        <f ca="1">IF($D382&lt;&gt;"Serviço",0,IF(AND(AUTOEVENTO="Manual",$M382=1),0,IF(OFFSET(CRONOPLE!$F$14,$M382,AS$13)="",10^12,OFFSET(CRONOPLE!$F$14,$M382,AS$13))))</f>
        <v>1000000000000</v>
      </c>
      <c r="AT382" s="181">
        <f ca="1">IF($D382&lt;&gt;"Serviço",0,IF(AND(AUTOEVENTO="Manual",$M382=1),0,IF(OFFSET(CRONOPLE!$F$14,$M382,AT$13)="",10^12,OFFSET(CRONOPLE!$F$14,$M382,AT$13))))</f>
        <v>1000000000000</v>
      </c>
      <c r="AU382" s="181">
        <f ca="1">IF($D382&lt;&gt;"Serviço",0,IF(AND(AUTOEVENTO="Manual",$M382=1),0,IF(OFFSET(CRONOPLE!$F$14,$M382,AU$13)="",10^12,OFFSET(CRONOPLE!$F$14,$M382,AU$13))))</f>
        <v>1000000000000</v>
      </c>
      <c r="AV382" s="181">
        <f ca="1">IF($D382&lt;&gt;"Serviço",0,IF(AND(AUTOEVENTO="Manual",$M382=1),0,IF(OFFSET(CRONOPLE!$F$14,$M382,AV$13)="",10^12,OFFSET(CRONOPLE!$F$14,$M382,AV$13))))</f>
        <v>1000000000000</v>
      </c>
      <c r="AX382" s="182">
        <f ca="1">IF($D382&lt;&gt;"Serviço",0,IF(OR(AND(AUTOEVENTO="Manual",$M382=1),$M382&gt;(ROW(PLE.lastrow)-ROW(PLE.firstrow))),0,IF(OFFSET(PLE!$G$14,$M382,AX$13)="",10^12,OFFSET(PLE!$G$14,$M382,AX$13))))</f>
        <v>1000000000000</v>
      </c>
      <c r="AY382" s="182">
        <f ca="1">IF($D382&lt;&gt;"Serviço",0,IF(OR(AND(AUTOEVENTO="Manual",$M382=1),$M382&gt;(ROW(PLE.lastrow)-ROW(PLE.firstrow))),0,IF(OFFSET(PLE!$G$14,$M382,AY$13)="",10^12,OFFSET(PLE!$G$14,$M382,AY$13))))</f>
        <v>1000000000000</v>
      </c>
      <c r="AZ382" s="182">
        <f ca="1">IF($D382&lt;&gt;"Serviço",0,IF(OR(AND(AUTOEVENTO="Manual",$M382=1),$M382&gt;(ROW(PLE.lastrow)-ROW(PLE.firstrow))),0,IF(OFFSET(PLE!$G$14,$M382,AZ$13)="",10^12,OFFSET(PLE!$G$14,$M382,AZ$13))))</f>
        <v>1000000000000</v>
      </c>
      <c r="BA382" s="182">
        <f ca="1">IF($D382&lt;&gt;"Serviço",0,IF(OR(AND(AUTOEVENTO="Manual",$M382=1),$M382&gt;(ROW(PLE.lastrow)-ROW(PLE.firstrow))),0,IF(OFFSET(PLE!$G$14,$M382,BA$13)="",10^12,OFFSET(PLE!$G$14,$M382,BA$13))))</f>
        <v>1000000000000</v>
      </c>
      <c r="BB382" s="182">
        <f ca="1">IF($D382&lt;&gt;"Serviço",0,IF(OR(AND(AUTOEVENTO="Manual",$M382=1),$M382&gt;(ROW(PLE.lastrow)-ROW(PLE.firstrow))),0,IF(OFFSET(PLE!$G$14,$M382,BB$13)="",10^12,OFFSET(PLE!$G$14,$M382,BB$13))))</f>
        <v>1000000000000</v>
      </c>
      <c r="BC382" s="182">
        <f ca="1">IF($D382&lt;&gt;"Serviço",0,IF(OR(AND(AUTOEVENTO="Manual",$M382=1),$M382&gt;(ROW(PLE.lastrow)-ROW(PLE.firstrow))),0,IF(OFFSET(PLE!$G$14,$M382,BC$13)="",10^12,OFFSET(PLE!$G$14,$M382,BC$13))))</f>
        <v>1000000000000</v>
      </c>
      <c r="BD382" s="182">
        <f ca="1">IF($D382&lt;&gt;"Serviço",0,IF(OR(AND(AUTOEVENTO="Manual",$M382=1),$M382&gt;(ROW(PLE.lastrow)-ROW(PLE.firstrow))),0,IF(OFFSET(PLE!$G$14,$M382,BD$13)="",10^12,OFFSET(PLE!$G$14,$M382,BD$13))))</f>
        <v>1000000000000</v>
      </c>
      <c r="BE382" s="182">
        <f ca="1">IF($D382&lt;&gt;"Serviço",0,IF(OR(AND(AUTOEVENTO="Manual",$M382=1),$M382&gt;(ROW(PLE.lastrow)-ROW(PLE.firstrow))),0,IF(OFFSET(PLE!$G$14,$M382,BE$13)="",10^12,OFFSET(PLE!$G$14,$M382,BE$13))))</f>
        <v>1000000000000</v>
      </c>
      <c r="BF382" s="182">
        <f ca="1">IF($D382&lt;&gt;"Serviço",0,IF(OR(AND(AUTOEVENTO="Manual",$M382=1),$M382&gt;(ROW(PLE.lastrow)-ROW(PLE.firstrow))),0,IF(OFFSET(PLE!$G$14,$M382,BF$13)="",10^12,OFFSET(PLE!$G$14,$M382,BF$13))))</f>
        <v>1000000000000</v>
      </c>
      <c r="BG382" s="182">
        <f ca="1">IF($D382&lt;&gt;"Serviço",0,IF(OR(AND(AUTOEVENTO="Manual",$M382=1),$M382&gt;(ROW(PLE.lastrow)-ROW(PLE.firstrow))),0,IF(OFFSET(PLE!$G$14,$M382,BG$13)="",10^12,OFFSET(PLE!$G$14,$M382,BG$13))))</f>
        <v>1000000000000</v>
      </c>
    </row>
    <row r="383" spans="1:59" ht="38.25" x14ac:dyDescent="0.2">
      <c r="A383" s="7" t="str">
        <f t="shared" ca="1" si="11"/>
        <v>325</v>
      </c>
      <c r="B383" s="7" t="str">
        <f ca="1">OFFSET(ORÇAMENTO!C$15,ROW(B383)-ROW(B$15),0)</f>
        <v>S</v>
      </c>
      <c r="C383" s="7" t="str">
        <f ca="1">OFFSET(ORÇAMENTO!L$15,ROW(C383)-ROW(C$15),0)</f>
        <v/>
      </c>
      <c r="D383" s="118" t="str">
        <f ca="1">OFFSET(ORÇAMENTO!N$15,ROW(D383)-ROW(D$15),0)</f>
        <v>Serviço</v>
      </c>
      <c r="E383" s="119" t="str">
        <f ca="1">OFFSET(ORÇAMENTO!O$15,ROW(E383)-ROW(E$15),0)</f>
        <v>-</v>
      </c>
      <c r="F383" s="172" t="str">
        <f ca="1">OFFSET(ORÇAMENTO!R$15,ROW(F383)-ROW(F$15),0)</f>
        <v>(abra o arquivo 'Referência 02-2025.xlsm)</v>
      </c>
      <c r="G383" s="173" t="str">
        <f ca="1">IF($D383&lt;&gt;"Serviço","",OFFSET(ORÇAMENTO!S$15,ROW(G383)-ROW(G$15),0))</f>
        <v>-</v>
      </c>
      <c r="H383" s="124">
        <f ca="1">IF($D383&lt;&gt;"Serviço",0,IF(ACOMPANHAMENTO="BM",ROUND(OFFSET(ORÇAMENTO!AJ$15,ROW(H383)-ROW(H$15),0),15-13*ORÇAMENTO!$AF$7),SUMPRODUCT(($Q$12:$AA$12&lt;&gt;"")*ROUND($Q383:$AA383,15-13*ORÇAMENTO!$AF$7))))</f>
        <v>39</v>
      </c>
      <c r="I383" s="561" t="s">
        <v>890</v>
      </c>
      <c r="K383" s="174"/>
      <c r="L383" s="175" t="s">
        <v>255</v>
      </c>
      <c r="M383" s="176">
        <f ca="1">IF($D383&lt;&gt;"Serviço","",IF(AUTOEVENTO="manual",$A383,IF(ISERROR(MATCH($A383,$A$15:OFFSET($A383,-1,0),0)),MAX($M$15:OFFSET(M383,-1,0))+1,INDEX($M$15:OFFSET(M383,-1,0),MATCH($A383,$A$15:OFFSET($A383,-1,0),0)))))</f>
        <v>15</v>
      </c>
      <c r="N383" s="177" t="str">
        <f ca="1">IF($D383&lt;&gt;"Serviço","",IF(AUTOEVENTO="Manual",IF($A383=0,"&lt;-- defina o número do agrupador",OFFSET(EVENTOS!$D$14,$A383,0)),OFFSET($F$15,$A383,0)))</f>
        <v>INSTALAÇÕES DE ESGOTO SANITÁRIO</v>
      </c>
      <c r="O383" s="178"/>
      <c r="Q383" s="178"/>
      <c r="R383" s="179"/>
      <c r="S383" s="179"/>
      <c r="T383" s="179"/>
      <c r="U383" s="179"/>
      <c r="V383" s="179"/>
      <c r="W383" s="179"/>
      <c r="X383" s="179"/>
      <c r="Y383" s="179"/>
      <c r="Z383" s="180"/>
      <c r="AB383" s="544">
        <f ca="1">IF(AND($D383="Serviço",AB$12&lt;&gt;0,$H383&gt;0,OR(AUTOEVENTO&lt;&gt;"manual",$M383&lt;&gt;1)),
IF(Import.TipoArredondamento&lt;&gt;"TransfereGOV",
ROUND(OFFSET($P383,0,AB$13),15-13*ORÇAMENTO!$AF$7)/$H383*OFFSET(ORÇAMENTO!$X$15,ROW(AB383)-ROW(AB$15),0),
ROUND(ROUND(OFFSET($P383,0,AB$13),15-13*ORÇAMENTO!$AF$7)*OFFSET(ORÇAMENTO!$W$15,ROW(AB383)-ROW(AB$15),0),15-13*ORÇAMENTO!$AF$11)),0)</f>
        <v>0</v>
      </c>
      <c r="AC383" s="545">
        <f ca="1">IF(AND($D383="Serviço",AC$12&lt;&gt;0,$H383&gt;0,OR(AUTOEVENTO&lt;&gt;"manual",$M383&lt;&gt;1)),
IF(Import.TipoArredondamento&lt;&gt;"TransfereGOV",
ROUND(OFFSET($P383,0,AC$13),15-13*ORÇAMENTO!$AF$7)/$H383*OFFSET(ORÇAMENTO!$X$15,ROW(AC383)-ROW(AC$15),0),
ROUND(ROUND(OFFSET($P383,0,AC$13),15-13*ORÇAMENTO!$AF$7)*OFFSET(ORÇAMENTO!$W$15,ROW(AC383)-ROW(AC$15),0),15-13*ORÇAMENTO!$AF$11)),0)</f>
        <v>0</v>
      </c>
      <c r="AD383" s="545">
        <f ca="1">IF(AND($D383="Serviço",AD$12&lt;&gt;0,$H383&gt;0,OR(AUTOEVENTO&lt;&gt;"manual",$M383&lt;&gt;1)),
IF(Import.TipoArredondamento&lt;&gt;"TransfereGOV",
ROUND(OFFSET($P383,0,AD$13),15-13*ORÇAMENTO!$AF$7)/$H383*OFFSET(ORÇAMENTO!$X$15,ROW(AD383)-ROW(AD$15),0),
ROUND(ROUND(OFFSET($P383,0,AD$13),15-13*ORÇAMENTO!$AF$7)*OFFSET(ORÇAMENTO!$W$15,ROW(AD383)-ROW(AD$15),0),15-13*ORÇAMENTO!$AF$11)),0)</f>
        <v>0</v>
      </c>
      <c r="AE383" s="545">
        <f ca="1">IF(AND($D383="Serviço",AE$12&lt;&gt;0,$H383&gt;0,OR(AUTOEVENTO&lt;&gt;"manual",$M383&lt;&gt;1)),
IF(Import.TipoArredondamento&lt;&gt;"TransfereGOV",
ROUND(OFFSET($P383,0,AE$13),15-13*ORÇAMENTO!$AF$7)/$H383*OFFSET(ORÇAMENTO!$X$15,ROW(AE383)-ROW(AE$15),0),
ROUND(ROUND(OFFSET($P383,0,AE$13),15-13*ORÇAMENTO!$AF$7)*OFFSET(ORÇAMENTO!$W$15,ROW(AE383)-ROW(AE$15),0),15-13*ORÇAMENTO!$AF$11)),0)</f>
        <v>0</v>
      </c>
      <c r="AF383" s="545">
        <f ca="1">IF(AND($D383="Serviço",AF$12&lt;&gt;0,$H383&gt;0,OR(AUTOEVENTO&lt;&gt;"manual",$M383&lt;&gt;1)),
IF(Import.TipoArredondamento&lt;&gt;"TransfereGOV",
ROUND(OFFSET($P383,0,AF$13),15-13*ORÇAMENTO!$AF$7)/$H383*OFFSET(ORÇAMENTO!$X$15,ROW(AF383)-ROW(AF$15),0),
ROUND(ROUND(OFFSET($P383,0,AF$13),15-13*ORÇAMENTO!$AF$7)*OFFSET(ORÇAMENTO!$W$15,ROW(AF383)-ROW(AF$15),0),15-13*ORÇAMENTO!$AF$11)),0)</f>
        <v>0</v>
      </c>
      <c r="AG383" s="545">
        <f ca="1">IF(AND($D383="Serviço",AG$12&lt;&gt;0,$H383&gt;0,OR(AUTOEVENTO&lt;&gt;"manual",$M383&lt;&gt;1)),
IF(Import.TipoArredondamento&lt;&gt;"TransfereGOV",
ROUND(OFFSET($P383,0,AG$13),15-13*ORÇAMENTO!$AF$7)/$H383*OFFSET(ORÇAMENTO!$X$15,ROW(AG383)-ROW(AG$15),0),
ROUND(ROUND(OFFSET($P383,0,AG$13),15-13*ORÇAMENTO!$AF$7)*OFFSET(ORÇAMENTO!$W$15,ROW(AG383)-ROW(AG$15),0),15-13*ORÇAMENTO!$AF$11)),0)</f>
        <v>0</v>
      </c>
      <c r="AH383" s="545">
        <f ca="1">IF(AND($D383="Serviço",AH$12&lt;&gt;0,$H383&gt;0,OR(AUTOEVENTO&lt;&gt;"manual",$M383&lt;&gt;1)),
IF(Import.TipoArredondamento&lt;&gt;"TransfereGOV",
ROUND(OFFSET($P383,0,AH$13),15-13*ORÇAMENTO!$AF$7)/$H383*OFFSET(ORÇAMENTO!$X$15,ROW(AH383)-ROW(AH$15),0),
ROUND(ROUND(OFFSET($P383,0,AH$13),15-13*ORÇAMENTO!$AF$7)*OFFSET(ORÇAMENTO!$W$15,ROW(AH383)-ROW(AH$15),0),15-13*ORÇAMENTO!$AF$11)),0)</f>
        <v>0</v>
      </c>
      <c r="AI383" s="545">
        <f ca="1">IF(AND($D383="Serviço",AI$12&lt;&gt;0,$H383&gt;0,OR(AUTOEVENTO&lt;&gt;"manual",$M383&lt;&gt;1)),
IF(Import.TipoArredondamento&lt;&gt;"TransfereGOV",
ROUND(OFFSET($P383,0,AI$13),15-13*ORÇAMENTO!$AF$7)/$H383*OFFSET(ORÇAMENTO!$X$15,ROW(AI383)-ROW(AI$15),0),
ROUND(ROUND(OFFSET($P383,0,AI$13),15-13*ORÇAMENTO!$AF$7)*OFFSET(ORÇAMENTO!$W$15,ROW(AI383)-ROW(AI$15),0),15-13*ORÇAMENTO!$AF$11)),0)</f>
        <v>0</v>
      </c>
      <c r="AJ383" s="545">
        <f ca="1">IF(AND($D383="Serviço",AJ$12&lt;&gt;0,$H383&gt;0,OR(AUTOEVENTO&lt;&gt;"manual",$M383&lt;&gt;1)),
IF(Import.TipoArredondamento&lt;&gt;"TransfereGOV",
ROUND(OFFSET($P383,0,AJ$13),15-13*ORÇAMENTO!$AF$7)/$H383*OFFSET(ORÇAMENTO!$X$15,ROW(AJ383)-ROW(AJ$15),0),
ROUND(ROUND(OFFSET($P383,0,AJ$13),15-13*ORÇAMENTO!$AF$7)*OFFSET(ORÇAMENTO!$W$15,ROW(AJ383)-ROW(AJ$15),0),15-13*ORÇAMENTO!$AF$11)),0)</f>
        <v>0</v>
      </c>
      <c r="AK383" s="546">
        <f ca="1">IF(AND($D383="Serviço",AK$12&lt;&gt;0,$H383&gt;0,OR(AUTOEVENTO&lt;&gt;"manual",$M383&lt;&gt;1)),
IF(Import.TipoArredondamento&lt;&gt;"TransfereGOV",
ROUND(OFFSET($P383,0,AK$13),15-13*ORÇAMENTO!$AF$7)/$H383*OFFSET(ORÇAMENTO!$X$15,ROW(AK383)-ROW(AK$15),0),
ROUND(ROUND(OFFSET($P383,0,AK$13),15-13*ORÇAMENTO!$AF$7)*OFFSET(ORÇAMENTO!$W$15,ROW(AK383)-ROW(AK$15),0),15-13*ORÇAMENTO!$AF$11)),0)</f>
        <v>0</v>
      </c>
      <c r="AM383" s="181">
        <f ca="1">IF($D383&lt;&gt;"Serviço",0,IF(AND(AUTOEVENTO="Manual",$M383=1),0,IF(OFFSET(CRONOPLE!$F$14,$M383,AM$13)="",10^12,OFFSET(CRONOPLE!$F$14,$M383,AM$13))))</f>
        <v>1000000000000</v>
      </c>
      <c r="AN383" s="181">
        <f ca="1">IF($D383&lt;&gt;"Serviço",0,IF(AND(AUTOEVENTO="Manual",$M383=1),0,IF(OFFSET(CRONOPLE!$F$14,$M383,AN$13)="",10^12,OFFSET(CRONOPLE!$F$14,$M383,AN$13))))</f>
        <v>1000000000000</v>
      </c>
      <c r="AO383" s="181">
        <f ca="1">IF($D383&lt;&gt;"Serviço",0,IF(AND(AUTOEVENTO="Manual",$M383=1),0,IF(OFFSET(CRONOPLE!$F$14,$M383,AO$13)="",10^12,OFFSET(CRONOPLE!$F$14,$M383,AO$13))))</f>
        <v>1000000000000</v>
      </c>
      <c r="AP383" s="181">
        <f ca="1">IF($D383&lt;&gt;"Serviço",0,IF(AND(AUTOEVENTO="Manual",$M383=1),0,IF(OFFSET(CRONOPLE!$F$14,$M383,AP$13)="",10^12,OFFSET(CRONOPLE!$F$14,$M383,AP$13))))</f>
        <v>1000000000000</v>
      </c>
      <c r="AQ383" s="181">
        <f ca="1">IF($D383&lt;&gt;"Serviço",0,IF(AND(AUTOEVENTO="Manual",$M383=1),0,IF(OFFSET(CRONOPLE!$F$14,$M383,AQ$13)="",10^12,OFFSET(CRONOPLE!$F$14,$M383,AQ$13))))</f>
        <v>1000000000000</v>
      </c>
      <c r="AR383" s="181">
        <f ca="1">IF($D383&lt;&gt;"Serviço",0,IF(AND(AUTOEVENTO="Manual",$M383=1),0,IF(OFFSET(CRONOPLE!$F$14,$M383,AR$13)="",10^12,OFFSET(CRONOPLE!$F$14,$M383,AR$13))))</f>
        <v>1000000000000</v>
      </c>
      <c r="AS383" s="181">
        <f ca="1">IF($D383&lt;&gt;"Serviço",0,IF(AND(AUTOEVENTO="Manual",$M383=1),0,IF(OFFSET(CRONOPLE!$F$14,$M383,AS$13)="",10^12,OFFSET(CRONOPLE!$F$14,$M383,AS$13))))</f>
        <v>1000000000000</v>
      </c>
      <c r="AT383" s="181">
        <f ca="1">IF($D383&lt;&gt;"Serviço",0,IF(AND(AUTOEVENTO="Manual",$M383=1),0,IF(OFFSET(CRONOPLE!$F$14,$M383,AT$13)="",10^12,OFFSET(CRONOPLE!$F$14,$M383,AT$13))))</f>
        <v>1000000000000</v>
      </c>
      <c r="AU383" s="181">
        <f ca="1">IF($D383&lt;&gt;"Serviço",0,IF(AND(AUTOEVENTO="Manual",$M383=1),0,IF(OFFSET(CRONOPLE!$F$14,$M383,AU$13)="",10^12,OFFSET(CRONOPLE!$F$14,$M383,AU$13))))</f>
        <v>1000000000000</v>
      </c>
      <c r="AV383" s="181">
        <f ca="1">IF($D383&lt;&gt;"Serviço",0,IF(AND(AUTOEVENTO="Manual",$M383=1),0,IF(OFFSET(CRONOPLE!$F$14,$M383,AV$13)="",10^12,OFFSET(CRONOPLE!$F$14,$M383,AV$13))))</f>
        <v>1000000000000</v>
      </c>
      <c r="AX383" s="182">
        <f ca="1">IF($D383&lt;&gt;"Serviço",0,IF(OR(AND(AUTOEVENTO="Manual",$M383=1),$M383&gt;(ROW(PLE.lastrow)-ROW(PLE.firstrow))),0,IF(OFFSET(PLE!$G$14,$M383,AX$13)="",10^12,OFFSET(PLE!$G$14,$M383,AX$13))))</f>
        <v>1000000000000</v>
      </c>
      <c r="AY383" s="182">
        <f ca="1">IF($D383&lt;&gt;"Serviço",0,IF(OR(AND(AUTOEVENTO="Manual",$M383=1),$M383&gt;(ROW(PLE.lastrow)-ROW(PLE.firstrow))),0,IF(OFFSET(PLE!$G$14,$M383,AY$13)="",10^12,OFFSET(PLE!$G$14,$M383,AY$13))))</f>
        <v>1000000000000</v>
      </c>
      <c r="AZ383" s="182">
        <f ca="1">IF($D383&lt;&gt;"Serviço",0,IF(OR(AND(AUTOEVENTO="Manual",$M383=1),$M383&gt;(ROW(PLE.lastrow)-ROW(PLE.firstrow))),0,IF(OFFSET(PLE!$G$14,$M383,AZ$13)="",10^12,OFFSET(PLE!$G$14,$M383,AZ$13))))</f>
        <v>1000000000000</v>
      </c>
      <c r="BA383" s="182">
        <f ca="1">IF($D383&lt;&gt;"Serviço",0,IF(OR(AND(AUTOEVENTO="Manual",$M383=1),$M383&gt;(ROW(PLE.lastrow)-ROW(PLE.firstrow))),0,IF(OFFSET(PLE!$G$14,$M383,BA$13)="",10^12,OFFSET(PLE!$G$14,$M383,BA$13))))</f>
        <v>1000000000000</v>
      </c>
      <c r="BB383" s="182">
        <f ca="1">IF($D383&lt;&gt;"Serviço",0,IF(OR(AND(AUTOEVENTO="Manual",$M383=1),$M383&gt;(ROW(PLE.lastrow)-ROW(PLE.firstrow))),0,IF(OFFSET(PLE!$G$14,$M383,BB$13)="",10^12,OFFSET(PLE!$G$14,$M383,BB$13))))</f>
        <v>1000000000000</v>
      </c>
      <c r="BC383" s="182">
        <f ca="1">IF($D383&lt;&gt;"Serviço",0,IF(OR(AND(AUTOEVENTO="Manual",$M383=1),$M383&gt;(ROW(PLE.lastrow)-ROW(PLE.firstrow))),0,IF(OFFSET(PLE!$G$14,$M383,BC$13)="",10^12,OFFSET(PLE!$G$14,$M383,BC$13))))</f>
        <v>1000000000000</v>
      </c>
      <c r="BD383" s="182">
        <f ca="1">IF($D383&lt;&gt;"Serviço",0,IF(OR(AND(AUTOEVENTO="Manual",$M383=1),$M383&gt;(ROW(PLE.lastrow)-ROW(PLE.firstrow))),0,IF(OFFSET(PLE!$G$14,$M383,BD$13)="",10^12,OFFSET(PLE!$G$14,$M383,BD$13))))</f>
        <v>1000000000000</v>
      </c>
      <c r="BE383" s="182">
        <f ca="1">IF($D383&lt;&gt;"Serviço",0,IF(OR(AND(AUTOEVENTO="Manual",$M383=1),$M383&gt;(ROW(PLE.lastrow)-ROW(PLE.firstrow))),0,IF(OFFSET(PLE!$G$14,$M383,BE$13)="",10^12,OFFSET(PLE!$G$14,$M383,BE$13))))</f>
        <v>1000000000000</v>
      </c>
      <c r="BF383" s="182">
        <f ca="1">IF($D383&lt;&gt;"Serviço",0,IF(OR(AND(AUTOEVENTO="Manual",$M383=1),$M383&gt;(ROW(PLE.lastrow)-ROW(PLE.firstrow))),0,IF(OFFSET(PLE!$G$14,$M383,BF$13)="",10^12,OFFSET(PLE!$G$14,$M383,BF$13))))</f>
        <v>1000000000000</v>
      </c>
      <c r="BG383" s="182">
        <f ca="1">IF($D383&lt;&gt;"Serviço",0,IF(OR(AND(AUTOEVENTO="Manual",$M383=1),$M383&gt;(ROW(PLE.lastrow)-ROW(PLE.firstrow))),0,IF(OFFSET(PLE!$G$14,$M383,BG$13)="",10^12,OFFSET(PLE!$G$14,$M383,BG$13))))</f>
        <v>1000000000000</v>
      </c>
    </row>
    <row r="384" spans="1:59" ht="38.25" x14ac:dyDescent="0.2">
      <c r="A384" s="7" t="str">
        <f t="shared" ca="1" si="11"/>
        <v>325</v>
      </c>
      <c r="B384" s="7" t="str">
        <f ca="1">OFFSET(ORÇAMENTO!C$15,ROW(B384)-ROW(B$15),0)</f>
        <v>S</v>
      </c>
      <c r="C384" s="7" t="str">
        <f ca="1">OFFSET(ORÇAMENTO!L$15,ROW(C384)-ROW(C$15),0)</f>
        <v/>
      </c>
      <c r="D384" s="118" t="str">
        <f ca="1">OFFSET(ORÇAMENTO!N$15,ROW(D384)-ROW(D$15),0)</f>
        <v>Serviço</v>
      </c>
      <c r="E384" s="119" t="str">
        <f ca="1">OFFSET(ORÇAMENTO!O$15,ROW(E384)-ROW(E$15),0)</f>
        <v>-</v>
      </c>
      <c r="F384" s="172" t="str">
        <f ca="1">OFFSET(ORÇAMENTO!R$15,ROW(F384)-ROW(F$15),0)</f>
        <v>(abra o arquivo 'Referência 02-2025.xlsm)</v>
      </c>
      <c r="G384" s="173" t="str">
        <f ca="1">IF($D384&lt;&gt;"Serviço","",OFFSET(ORÇAMENTO!S$15,ROW(G384)-ROW(G$15),0))</f>
        <v>-</v>
      </c>
      <c r="H384" s="124">
        <f ca="1">IF($D384&lt;&gt;"Serviço",0,IF(ACOMPANHAMENTO="BM",ROUND(OFFSET(ORÇAMENTO!AJ$15,ROW(H384)-ROW(H$15),0),15-13*ORÇAMENTO!$AF$7),SUMPRODUCT(($Q$12:$AA$12&lt;&gt;"")*ROUND($Q384:$AA384,15-13*ORÇAMENTO!$AF$7))))</f>
        <v>2</v>
      </c>
      <c r="I384" s="561" t="s">
        <v>890</v>
      </c>
      <c r="K384" s="174"/>
      <c r="L384" s="175" t="s">
        <v>255</v>
      </c>
      <c r="M384" s="176">
        <f ca="1">IF($D384&lt;&gt;"Serviço","",IF(AUTOEVENTO="manual",$A384,IF(ISERROR(MATCH($A384,$A$15:OFFSET($A384,-1,0),0)),MAX($M$15:OFFSET(M384,-1,0))+1,INDEX($M$15:OFFSET(M384,-1,0),MATCH($A384,$A$15:OFFSET($A384,-1,0),0)))))</f>
        <v>15</v>
      </c>
      <c r="N384" s="177" t="str">
        <f ca="1">IF($D384&lt;&gt;"Serviço","",IF(AUTOEVENTO="Manual",IF($A384=0,"&lt;-- defina o número do agrupador",OFFSET(EVENTOS!$D$14,$A384,0)),OFFSET($F$15,$A384,0)))</f>
        <v>INSTALAÇÕES DE ESGOTO SANITÁRIO</v>
      </c>
      <c r="O384" s="178"/>
      <c r="Q384" s="178"/>
      <c r="R384" s="179"/>
      <c r="S384" s="179"/>
      <c r="T384" s="179"/>
      <c r="U384" s="179"/>
      <c r="V384" s="179"/>
      <c r="W384" s="179"/>
      <c r="X384" s="179"/>
      <c r="Y384" s="179"/>
      <c r="Z384" s="180"/>
      <c r="AB384" s="544">
        <f ca="1">IF(AND($D384="Serviço",AB$12&lt;&gt;0,$H384&gt;0,OR(AUTOEVENTO&lt;&gt;"manual",$M384&lt;&gt;1)),
IF(Import.TipoArredondamento&lt;&gt;"TransfereGOV",
ROUND(OFFSET($P384,0,AB$13),15-13*ORÇAMENTO!$AF$7)/$H384*OFFSET(ORÇAMENTO!$X$15,ROW(AB384)-ROW(AB$15),0),
ROUND(ROUND(OFFSET($P384,0,AB$13),15-13*ORÇAMENTO!$AF$7)*OFFSET(ORÇAMENTO!$W$15,ROW(AB384)-ROW(AB$15),0),15-13*ORÇAMENTO!$AF$11)),0)</f>
        <v>0</v>
      </c>
      <c r="AC384" s="545">
        <f ca="1">IF(AND($D384="Serviço",AC$12&lt;&gt;0,$H384&gt;0,OR(AUTOEVENTO&lt;&gt;"manual",$M384&lt;&gt;1)),
IF(Import.TipoArredondamento&lt;&gt;"TransfereGOV",
ROUND(OFFSET($P384,0,AC$13),15-13*ORÇAMENTO!$AF$7)/$H384*OFFSET(ORÇAMENTO!$X$15,ROW(AC384)-ROW(AC$15),0),
ROUND(ROUND(OFFSET($P384,0,AC$13),15-13*ORÇAMENTO!$AF$7)*OFFSET(ORÇAMENTO!$W$15,ROW(AC384)-ROW(AC$15),0),15-13*ORÇAMENTO!$AF$11)),0)</f>
        <v>0</v>
      </c>
      <c r="AD384" s="545">
        <f ca="1">IF(AND($D384="Serviço",AD$12&lt;&gt;0,$H384&gt;0,OR(AUTOEVENTO&lt;&gt;"manual",$M384&lt;&gt;1)),
IF(Import.TipoArredondamento&lt;&gt;"TransfereGOV",
ROUND(OFFSET($P384,0,AD$13),15-13*ORÇAMENTO!$AF$7)/$H384*OFFSET(ORÇAMENTO!$X$15,ROW(AD384)-ROW(AD$15),0),
ROUND(ROUND(OFFSET($P384,0,AD$13),15-13*ORÇAMENTO!$AF$7)*OFFSET(ORÇAMENTO!$W$15,ROW(AD384)-ROW(AD$15),0),15-13*ORÇAMENTO!$AF$11)),0)</f>
        <v>0</v>
      </c>
      <c r="AE384" s="545">
        <f ca="1">IF(AND($D384="Serviço",AE$12&lt;&gt;0,$H384&gt;0,OR(AUTOEVENTO&lt;&gt;"manual",$M384&lt;&gt;1)),
IF(Import.TipoArredondamento&lt;&gt;"TransfereGOV",
ROUND(OFFSET($P384,0,AE$13),15-13*ORÇAMENTO!$AF$7)/$H384*OFFSET(ORÇAMENTO!$X$15,ROW(AE384)-ROW(AE$15),0),
ROUND(ROUND(OFFSET($P384,0,AE$13),15-13*ORÇAMENTO!$AF$7)*OFFSET(ORÇAMENTO!$W$15,ROW(AE384)-ROW(AE$15),0),15-13*ORÇAMENTO!$AF$11)),0)</f>
        <v>0</v>
      </c>
      <c r="AF384" s="545">
        <f ca="1">IF(AND($D384="Serviço",AF$12&lt;&gt;0,$H384&gt;0,OR(AUTOEVENTO&lt;&gt;"manual",$M384&lt;&gt;1)),
IF(Import.TipoArredondamento&lt;&gt;"TransfereGOV",
ROUND(OFFSET($P384,0,AF$13),15-13*ORÇAMENTO!$AF$7)/$H384*OFFSET(ORÇAMENTO!$X$15,ROW(AF384)-ROW(AF$15),0),
ROUND(ROUND(OFFSET($P384,0,AF$13),15-13*ORÇAMENTO!$AF$7)*OFFSET(ORÇAMENTO!$W$15,ROW(AF384)-ROW(AF$15),0),15-13*ORÇAMENTO!$AF$11)),0)</f>
        <v>0</v>
      </c>
      <c r="AG384" s="545">
        <f ca="1">IF(AND($D384="Serviço",AG$12&lt;&gt;0,$H384&gt;0,OR(AUTOEVENTO&lt;&gt;"manual",$M384&lt;&gt;1)),
IF(Import.TipoArredondamento&lt;&gt;"TransfereGOV",
ROUND(OFFSET($P384,0,AG$13),15-13*ORÇAMENTO!$AF$7)/$H384*OFFSET(ORÇAMENTO!$X$15,ROW(AG384)-ROW(AG$15),0),
ROUND(ROUND(OFFSET($P384,0,AG$13),15-13*ORÇAMENTO!$AF$7)*OFFSET(ORÇAMENTO!$W$15,ROW(AG384)-ROW(AG$15),0),15-13*ORÇAMENTO!$AF$11)),0)</f>
        <v>0</v>
      </c>
      <c r="AH384" s="545">
        <f ca="1">IF(AND($D384="Serviço",AH$12&lt;&gt;0,$H384&gt;0,OR(AUTOEVENTO&lt;&gt;"manual",$M384&lt;&gt;1)),
IF(Import.TipoArredondamento&lt;&gt;"TransfereGOV",
ROUND(OFFSET($P384,0,AH$13),15-13*ORÇAMENTO!$AF$7)/$H384*OFFSET(ORÇAMENTO!$X$15,ROW(AH384)-ROW(AH$15),0),
ROUND(ROUND(OFFSET($P384,0,AH$13),15-13*ORÇAMENTO!$AF$7)*OFFSET(ORÇAMENTO!$W$15,ROW(AH384)-ROW(AH$15),0),15-13*ORÇAMENTO!$AF$11)),0)</f>
        <v>0</v>
      </c>
      <c r="AI384" s="545">
        <f ca="1">IF(AND($D384="Serviço",AI$12&lt;&gt;0,$H384&gt;0,OR(AUTOEVENTO&lt;&gt;"manual",$M384&lt;&gt;1)),
IF(Import.TipoArredondamento&lt;&gt;"TransfereGOV",
ROUND(OFFSET($P384,0,AI$13),15-13*ORÇAMENTO!$AF$7)/$H384*OFFSET(ORÇAMENTO!$X$15,ROW(AI384)-ROW(AI$15),0),
ROUND(ROUND(OFFSET($P384,0,AI$13),15-13*ORÇAMENTO!$AF$7)*OFFSET(ORÇAMENTO!$W$15,ROW(AI384)-ROW(AI$15),0),15-13*ORÇAMENTO!$AF$11)),0)</f>
        <v>0</v>
      </c>
      <c r="AJ384" s="545">
        <f ca="1">IF(AND($D384="Serviço",AJ$12&lt;&gt;0,$H384&gt;0,OR(AUTOEVENTO&lt;&gt;"manual",$M384&lt;&gt;1)),
IF(Import.TipoArredondamento&lt;&gt;"TransfereGOV",
ROUND(OFFSET($P384,0,AJ$13),15-13*ORÇAMENTO!$AF$7)/$H384*OFFSET(ORÇAMENTO!$X$15,ROW(AJ384)-ROW(AJ$15),0),
ROUND(ROUND(OFFSET($P384,0,AJ$13),15-13*ORÇAMENTO!$AF$7)*OFFSET(ORÇAMENTO!$W$15,ROW(AJ384)-ROW(AJ$15),0),15-13*ORÇAMENTO!$AF$11)),0)</f>
        <v>0</v>
      </c>
      <c r="AK384" s="546">
        <f ca="1">IF(AND($D384="Serviço",AK$12&lt;&gt;0,$H384&gt;0,OR(AUTOEVENTO&lt;&gt;"manual",$M384&lt;&gt;1)),
IF(Import.TipoArredondamento&lt;&gt;"TransfereGOV",
ROUND(OFFSET($P384,0,AK$13),15-13*ORÇAMENTO!$AF$7)/$H384*OFFSET(ORÇAMENTO!$X$15,ROW(AK384)-ROW(AK$15),0),
ROUND(ROUND(OFFSET($P384,0,AK$13),15-13*ORÇAMENTO!$AF$7)*OFFSET(ORÇAMENTO!$W$15,ROW(AK384)-ROW(AK$15),0),15-13*ORÇAMENTO!$AF$11)),0)</f>
        <v>0</v>
      </c>
      <c r="AM384" s="181">
        <f ca="1">IF($D384&lt;&gt;"Serviço",0,IF(AND(AUTOEVENTO="Manual",$M384=1),0,IF(OFFSET(CRONOPLE!$F$14,$M384,AM$13)="",10^12,OFFSET(CRONOPLE!$F$14,$M384,AM$13))))</f>
        <v>1000000000000</v>
      </c>
      <c r="AN384" s="181">
        <f ca="1">IF($D384&lt;&gt;"Serviço",0,IF(AND(AUTOEVENTO="Manual",$M384=1),0,IF(OFFSET(CRONOPLE!$F$14,$M384,AN$13)="",10^12,OFFSET(CRONOPLE!$F$14,$M384,AN$13))))</f>
        <v>1000000000000</v>
      </c>
      <c r="AO384" s="181">
        <f ca="1">IF($D384&lt;&gt;"Serviço",0,IF(AND(AUTOEVENTO="Manual",$M384=1),0,IF(OFFSET(CRONOPLE!$F$14,$M384,AO$13)="",10^12,OFFSET(CRONOPLE!$F$14,$M384,AO$13))))</f>
        <v>1000000000000</v>
      </c>
      <c r="AP384" s="181">
        <f ca="1">IF($D384&lt;&gt;"Serviço",0,IF(AND(AUTOEVENTO="Manual",$M384=1),0,IF(OFFSET(CRONOPLE!$F$14,$M384,AP$13)="",10^12,OFFSET(CRONOPLE!$F$14,$M384,AP$13))))</f>
        <v>1000000000000</v>
      </c>
      <c r="AQ384" s="181">
        <f ca="1">IF($D384&lt;&gt;"Serviço",0,IF(AND(AUTOEVENTO="Manual",$M384=1),0,IF(OFFSET(CRONOPLE!$F$14,$M384,AQ$13)="",10^12,OFFSET(CRONOPLE!$F$14,$M384,AQ$13))))</f>
        <v>1000000000000</v>
      </c>
      <c r="AR384" s="181">
        <f ca="1">IF($D384&lt;&gt;"Serviço",0,IF(AND(AUTOEVENTO="Manual",$M384=1),0,IF(OFFSET(CRONOPLE!$F$14,$M384,AR$13)="",10^12,OFFSET(CRONOPLE!$F$14,$M384,AR$13))))</f>
        <v>1000000000000</v>
      </c>
      <c r="AS384" s="181">
        <f ca="1">IF($D384&lt;&gt;"Serviço",0,IF(AND(AUTOEVENTO="Manual",$M384=1),0,IF(OFFSET(CRONOPLE!$F$14,$M384,AS$13)="",10^12,OFFSET(CRONOPLE!$F$14,$M384,AS$13))))</f>
        <v>1000000000000</v>
      </c>
      <c r="AT384" s="181">
        <f ca="1">IF($D384&lt;&gt;"Serviço",0,IF(AND(AUTOEVENTO="Manual",$M384=1),0,IF(OFFSET(CRONOPLE!$F$14,$M384,AT$13)="",10^12,OFFSET(CRONOPLE!$F$14,$M384,AT$13))))</f>
        <v>1000000000000</v>
      </c>
      <c r="AU384" s="181">
        <f ca="1">IF($D384&lt;&gt;"Serviço",0,IF(AND(AUTOEVENTO="Manual",$M384=1),0,IF(OFFSET(CRONOPLE!$F$14,$M384,AU$13)="",10^12,OFFSET(CRONOPLE!$F$14,$M384,AU$13))))</f>
        <v>1000000000000</v>
      </c>
      <c r="AV384" s="181">
        <f ca="1">IF($D384&lt;&gt;"Serviço",0,IF(AND(AUTOEVENTO="Manual",$M384=1),0,IF(OFFSET(CRONOPLE!$F$14,$M384,AV$13)="",10^12,OFFSET(CRONOPLE!$F$14,$M384,AV$13))))</f>
        <v>1000000000000</v>
      </c>
      <c r="AX384" s="182">
        <f ca="1">IF($D384&lt;&gt;"Serviço",0,IF(OR(AND(AUTOEVENTO="Manual",$M384=1),$M384&gt;(ROW(PLE.lastrow)-ROW(PLE.firstrow))),0,IF(OFFSET(PLE!$G$14,$M384,AX$13)="",10^12,OFFSET(PLE!$G$14,$M384,AX$13))))</f>
        <v>1000000000000</v>
      </c>
      <c r="AY384" s="182">
        <f ca="1">IF($D384&lt;&gt;"Serviço",0,IF(OR(AND(AUTOEVENTO="Manual",$M384=1),$M384&gt;(ROW(PLE.lastrow)-ROW(PLE.firstrow))),0,IF(OFFSET(PLE!$G$14,$M384,AY$13)="",10^12,OFFSET(PLE!$G$14,$M384,AY$13))))</f>
        <v>1000000000000</v>
      </c>
      <c r="AZ384" s="182">
        <f ca="1">IF($D384&lt;&gt;"Serviço",0,IF(OR(AND(AUTOEVENTO="Manual",$M384=1),$M384&gt;(ROW(PLE.lastrow)-ROW(PLE.firstrow))),0,IF(OFFSET(PLE!$G$14,$M384,AZ$13)="",10^12,OFFSET(PLE!$G$14,$M384,AZ$13))))</f>
        <v>1000000000000</v>
      </c>
      <c r="BA384" s="182">
        <f ca="1">IF($D384&lt;&gt;"Serviço",0,IF(OR(AND(AUTOEVENTO="Manual",$M384=1),$M384&gt;(ROW(PLE.lastrow)-ROW(PLE.firstrow))),0,IF(OFFSET(PLE!$G$14,$M384,BA$13)="",10^12,OFFSET(PLE!$G$14,$M384,BA$13))))</f>
        <v>1000000000000</v>
      </c>
      <c r="BB384" s="182">
        <f ca="1">IF($D384&lt;&gt;"Serviço",0,IF(OR(AND(AUTOEVENTO="Manual",$M384=1),$M384&gt;(ROW(PLE.lastrow)-ROW(PLE.firstrow))),0,IF(OFFSET(PLE!$G$14,$M384,BB$13)="",10^12,OFFSET(PLE!$G$14,$M384,BB$13))))</f>
        <v>1000000000000</v>
      </c>
      <c r="BC384" s="182">
        <f ca="1">IF($D384&lt;&gt;"Serviço",0,IF(OR(AND(AUTOEVENTO="Manual",$M384=1),$M384&gt;(ROW(PLE.lastrow)-ROW(PLE.firstrow))),0,IF(OFFSET(PLE!$G$14,$M384,BC$13)="",10^12,OFFSET(PLE!$G$14,$M384,BC$13))))</f>
        <v>1000000000000</v>
      </c>
      <c r="BD384" s="182">
        <f ca="1">IF($D384&lt;&gt;"Serviço",0,IF(OR(AND(AUTOEVENTO="Manual",$M384=1),$M384&gt;(ROW(PLE.lastrow)-ROW(PLE.firstrow))),0,IF(OFFSET(PLE!$G$14,$M384,BD$13)="",10^12,OFFSET(PLE!$G$14,$M384,BD$13))))</f>
        <v>1000000000000</v>
      </c>
      <c r="BE384" s="182">
        <f ca="1">IF($D384&lt;&gt;"Serviço",0,IF(OR(AND(AUTOEVENTO="Manual",$M384=1),$M384&gt;(ROW(PLE.lastrow)-ROW(PLE.firstrow))),0,IF(OFFSET(PLE!$G$14,$M384,BE$13)="",10^12,OFFSET(PLE!$G$14,$M384,BE$13))))</f>
        <v>1000000000000</v>
      </c>
      <c r="BF384" s="182">
        <f ca="1">IF($D384&lt;&gt;"Serviço",0,IF(OR(AND(AUTOEVENTO="Manual",$M384=1),$M384&gt;(ROW(PLE.lastrow)-ROW(PLE.firstrow))),0,IF(OFFSET(PLE!$G$14,$M384,BF$13)="",10^12,OFFSET(PLE!$G$14,$M384,BF$13))))</f>
        <v>1000000000000</v>
      </c>
      <c r="BG384" s="182">
        <f ca="1">IF($D384&lt;&gt;"Serviço",0,IF(OR(AND(AUTOEVENTO="Manual",$M384=1),$M384&gt;(ROW(PLE.lastrow)-ROW(PLE.firstrow))),0,IF(OFFSET(PLE!$G$14,$M384,BG$13)="",10^12,OFFSET(PLE!$G$14,$M384,BG$13))))</f>
        <v>1000000000000</v>
      </c>
    </row>
    <row r="385" spans="1:59" ht="38.25" x14ac:dyDescent="0.2">
      <c r="A385" s="7" t="str">
        <f t="shared" ca="1" si="11"/>
        <v>325</v>
      </c>
      <c r="B385" s="7" t="str">
        <f ca="1">OFFSET(ORÇAMENTO!C$15,ROW(B385)-ROW(B$15),0)</f>
        <v>S</v>
      </c>
      <c r="C385" s="7" t="str">
        <f ca="1">OFFSET(ORÇAMENTO!L$15,ROW(C385)-ROW(C$15),0)</f>
        <v/>
      </c>
      <c r="D385" s="118" t="str">
        <f ca="1">OFFSET(ORÇAMENTO!N$15,ROW(D385)-ROW(D$15),0)</f>
        <v>Serviço</v>
      </c>
      <c r="E385" s="119" t="str">
        <f ca="1">OFFSET(ORÇAMENTO!O$15,ROW(E385)-ROW(E$15),0)</f>
        <v>-</v>
      </c>
      <c r="F385" s="172" t="str">
        <f ca="1">OFFSET(ORÇAMENTO!R$15,ROW(F385)-ROW(F$15),0)</f>
        <v>(abra o arquivo 'Referência 02-2025.xlsm)</v>
      </c>
      <c r="G385" s="173" t="str">
        <f ca="1">IF($D385&lt;&gt;"Serviço","",OFFSET(ORÇAMENTO!S$15,ROW(G385)-ROW(G$15),0))</f>
        <v>-</v>
      </c>
      <c r="H385" s="124">
        <f ca="1">IF($D385&lt;&gt;"Serviço",0,IF(ACOMPANHAMENTO="BM",ROUND(OFFSET(ORÇAMENTO!AJ$15,ROW(H385)-ROW(H$15),0),15-13*ORÇAMENTO!$AF$7),SUMPRODUCT(($Q$12:$AA$12&lt;&gt;"")*ROUND($Q385:$AA385,15-13*ORÇAMENTO!$AF$7))))</f>
        <v>24</v>
      </c>
      <c r="I385" s="561" t="s">
        <v>890</v>
      </c>
      <c r="K385" s="174"/>
      <c r="L385" s="175" t="s">
        <v>255</v>
      </c>
      <c r="M385" s="176">
        <f ca="1">IF($D385&lt;&gt;"Serviço","",IF(AUTOEVENTO="manual",$A385,IF(ISERROR(MATCH($A385,$A$15:OFFSET($A385,-1,0),0)),MAX($M$15:OFFSET(M385,-1,0))+1,INDEX($M$15:OFFSET(M385,-1,0),MATCH($A385,$A$15:OFFSET($A385,-1,0),0)))))</f>
        <v>15</v>
      </c>
      <c r="N385" s="177" t="str">
        <f ca="1">IF($D385&lt;&gt;"Serviço","",IF(AUTOEVENTO="Manual",IF($A385=0,"&lt;-- defina o número do agrupador",OFFSET(EVENTOS!$D$14,$A385,0)),OFFSET($F$15,$A385,0)))</f>
        <v>INSTALAÇÕES DE ESGOTO SANITÁRIO</v>
      </c>
      <c r="O385" s="178"/>
      <c r="Q385" s="178"/>
      <c r="R385" s="179"/>
      <c r="S385" s="179"/>
      <c r="T385" s="179"/>
      <c r="U385" s="179"/>
      <c r="V385" s="179"/>
      <c r="W385" s="179"/>
      <c r="X385" s="179"/>
      <c r="Y385" s="179"/>
      <c r="Z385" s="180"/>
      <c r="AB385" s="544">
        <f ca="1">IF(AND($D385="Serviço",AB$12&lt;&gt;0,$H385&gt;0,OR(AUTOEVENTO&lt;&gt;"manual",$M385&lt;&gt;1)),
IF(Import.TipoArredondamento&lt;&gt;"TransfereGOV",
ROUND(OFFSET($P385,0,AB$13),15-13*ORÇAMENTO!$AF$7)/$H385*OFFSET(ORÇAMENTO!$X$15,ROW(AB385)-ROW(AB$15),0),
ROUND(ROUND(OFFSET($P385,0,AB$13),15-13*ORÇAMENTO!$AF$7)*OFFSET(ORÇAMENTO!$W$15,ROW(AB385)-ROW(AB$15),0),15-13*ORÇAMENTO!$AF$11)),0)</f>
        <v>0</v>
      </c>
      <c r="AC385" s="545">
        <f ca="1">IF(AND($D385="Serviço",AC$12&lt;&gt;0,$H385&gt;0,OR(AUTOEVENTO&lt;&gt;"manual",$M385&lt;&gt;1)),
IF(Import.TipoArredondamento&lt;&gt;"TransfereGOV",
ROUND(OFFSET($P385,0,AC$13),15-13*ORÇAMENTO!$AF$7)/$H385*OFFSET(ORÇAMENTO!$X$15,ROW(AC385)-ROW(AC$15),0),
ROUND(ROUND(OFFSET($P385,0,AC$13),15-13*ORÇAMENTO!$AF$7)*OFFSET(ORÇAMENTO!$W$15,ROW(AC385)-ROW(AC$15),0),15-13*ORÇAMENTO!$AF$11)),0)</f>
        <v>0</v>
      </c>
      <c r="AD385" s="545">
        <f ca="1">IF(AND($D385="Serviço",AD$12&lt;&gt;0,$H385&gt;0,OR(AUTOEVENTO&lt;&gt;"manual",$M385&lt;&gt;1)),
IF(Import.TipoArredondamento&lt;&gt;"TransfereGOV",
ROUND(OFFSET($P385,0,AD$13),15-13*ORÇAMENTO!$AF$7)/$H385*OFFSET(ORÇAMENTO!$X$15,ROW(AD385)-ROW(AD$15),0),
ROUND(ROUND(OFFSET($P385,0,AD$13),15-13*ORÇAMENTO!$AF$7)*OFFSET(ORÇAMENTO!$W$15,ROW(AD385)-ROW(AD$15),0),15-13*ORÇAMENTO!$AF$11)),0)</f>
        <v>0</v>
      </c>
      <c r="AE385" s="545">
        <f ca="1">IF(AND($D385="Serviço",AE$12&lt;&gt;0,$H385&gt;0,OR(AUTOEVENTO&lt;&gt;"manual",$M385&lt;&gt;1)),
IF(Import.TipoArredondamento&lt;&gt;"TransfereGOV",
ROUND(OFFSET($P385,0,AE$13),15-13*ORÇAMENTO!$AF$7)/$H385*OFFSET(ORÇAMENTO!$X$15,ROW(AE385)-ROW(AE$15),0),
ROUND(ROUND(OFFSET($P385,0,AE$13),15-13*ORÇAMENTO!$AF$7)*OFFSET(ORÇAMENTO!$W$15,ROW(AE385)-ROW(AE$15),0),15-13*ORÇAMENTO!$AF$11)),0)</f>
        <v>0</v>
      </c>
      <c r="AF385" s="545">
        <f ca="1">IF(AND($D385="Serviço",AF$12&lt;&gt;0,$H385&gt;0,OR(AUTOEVENTO&lt;&gt;"manual",$M385&lt;&gt;1)),
IF(Import.TipoArredondamento&lt;&gt;"TransfereGOV",
ROUND(OFFSET($P385,0,AF$13),15-13*ORÇAMENTO!$AF$7)/$H385*OFFSET(ORÇAMENTO!$X$15,ROW(AF385)-ROW(AF$15),0),
ROUND(ROUND(OFFSET($P385,0,AF$13),15-13*ORÇAMENTO!$AF$7)*OFFSET(ORÇAMENTO!$W$15,ROW(AF385)-ROW(AF$15),0),15-13*ORÇAMENTO!$AF$11)),0)</f>
        <v>0</v>
      </c>
      <c r="AG385" s="545">
        <f ca="1">IF(AND($D385="Serviço",AG$12&lt;&gt;0,$H385&gt;0,OR(AUTOEVENTO&lt;&gt;"manual",$M385&lt;&gt;1)),
IF(Import.TipoArredondamento&lt;&gt;"TransfereGOV",
ROUND(OFFSET($P385,0,AG$13),15-13*ORÇAMENTO!$AF$7)/$H385*OFFSET(ORÇAMENTO!$X$15,ROW(AG385)-ROW(AG$15),0),
ROUND(ROUND(OFFSET($P385,0,AG$13),15-13*ORÇAMENTO!$AF$7)*OFFSET(ORÇAMENTO!$W$15,ROW(AG385)-ROW(AG$15),0),15-13*ORÇAMENTO!$AF$11)),0)</f>
        <v>0</v>
      </c>
      <c r="AH385" s="545">
        <f ca="1">IF(AND($D385="Serviço",AH$12&lt;&gt;0,$H385&gt;0,OR(AUTOEVENTO&lt;&gt;"manual",$M385&lt;&gt;1)),
IF(Import.TipoArredondamento&lt;&gt;"TransfereGOV",
ROUND(OFFSET($P385,0,AH$13),15-13*ORÇAMENTO!$AF$7)/$H385*OFFSET(ORÇAMENTO!$X$15,ROW(AH385)-ROW(AH$15),0),
ROUND(ROUND(OFFSET($P385,0,AH$13),15-13*ORÇAMENTO!$AF$7)*OFFSET(ORÇAMENTO!$W$15,ROW(AH385)-ROW(AH$15),0),15-13*ORÇAMENTO!$AF$11)),0)</f>
        <v>0</v>
      </c>
      <c r="AI385" s="545">
        <f ca="1">IF(AND($D385="Serviço",AI$12&lt;&gt;0,$H385&gt;0,OR(AUTOEVENTO&lt;&gt;"manual",$M385&lt;&gt;1)),
IF(Import.TipoArredondamento&lt;&gt;"TransfereGOV",
ROUND(OFFSET($P385,0,AI$13),15-13*ORÇAMENTO!$AF$7)/$H385*OFFSET(ORÇAMENTO!$X$15,ROW(AI385)-ROW(AI$15),0),
ROUND(ROUND(OFFSET($P385,0,AI$13),15-13*ORÇAMENTO!$AF$7)*OFFSET(ORÇAMENTO!$W$15,ROW(AI385)-ROW(AI$15),0),15-13*ORÇAMENTO!$AF$11)),0)</f>
        <v>0</v>
      </c>
      <c r="AJ385" s="545">
        <f ca="1">IF(AND($D385="Serviço",AJ$12&lt;&gt;0,$H385&gt;0,OR(AUTOEVENTO&lt;&gt;"manual",$M385&lt;&gt;1)),
IF(Import.TipoArredondamento&lt;&gt;"TransfereGOV",
ROUND(OFFSET($P385,0,AJ$13),15-13*ORÇAMENTO!$AF$7)/$H385*OFFSET(ORÇAMENTO!$X$15,ROW(AJ385)-ROW(AJ$15),0),
ROUND(ROUND(OFFSET($P385,0,AJ$13),15-13*ORÇAMENTO!$AF$7)*OFFSET(ORÇAMENTO!$W$15,ROW(AJ385)-ROW(AJ$15),0),15-13*ORÇAMENTO!$AF$11)),0)</f>
        <v>0</v>
      </c>
      <c r="AK385" s="546">
        <f ca="1">IF(AND($D385="Serviço",AK$12&lt;&gt;0,$H385&gt;0,OR(AUTOEVENTO&lt;&gt;"manual",$M385&lt;&gt;1)),
IF(Import.TipoArredondamento&lt;&gt;"TransfereGOV",
ROUND(OFFSET($P385,0,AK$13),15-13*ORÇAMENTO!$AF$7)/$H385*OFFSET(ORÇAMENTO!$X$15,ROW(AK385)-ROW(AK$15),0),
ROUND(ROUND(OFFSET($P385,0,AK$13),15-13*ORÇAMENTO!$AF$7)*OFFSET(ORÇAMENTO!$W$15,ROW(AK385)-ROW(AK$15),0),15-13*ORÇAMENTO!$AF$11)),0)</f>
        <v>0</v>
      </c>
      <c r="AM385" s="181">
        <f ca="1">IF($D385&lt;&gt;"Serviço",0,IF(AND(AUTOEVENTO="Manual",$M385=1),0,IF(OFFSET(CRONOPLE!$F$14,$M385,AM$13)="",10^12,OFFSET(CRONOPLE!$F$14,$M385,AM$13))))</f>
        <v>1000000000000</v>
      </c>
      <c r="AN385" s="181">
        <f ca="1">IF($D385&lt;&gt;"Serviço",0,IF(AND(AUTOEVENTO="Manual",$M385=1),0,IF(OFFSET(CRONOPLE!$F$14,$M385,AN$13)="",10^12,OFFSET(CRONOPLE!$F$14,$M385,AN$13))))</f>
        <v>1000000000000</v>
      </c>
      <c r="AO385" s="181">
        <f ca="1">IF($D385&lt;&gt;"Serviço",0,IF(AND(AUTOEVENTO="Manual",$M385=1),0,IF(OFFSET(CRONOPLE!$F$14,$M385,AO$13)="",10^12,OFFSET(CRONOPLE!$F$14,$M385,AO$13))))</f>
        <v>1000000000000</v>
      </c>
      <c r="AP385" s="181">
        <f ca="1">IF($D385&lt;&gt;"Serviço",0,IF(AND(AUTOEVENTO="Manual",$M385=1),0,IF(OFFSET(CRONOPLE!$F$14,$M385,AP$13)="",10^12,OFFSET(CRONOPLE!$F$14,$M385,AP$13))))</f>
        <v>1000000000000</v>
      </c>
      <c r="AQ385" s="181">
        <f ca="1">IF($D385&lt;&gt;"Serviço",0,IF(AND(AUTOEVENTO="Manual",$M385=1),0,IF(OFFSET(CRONOPLE!$F$14,$M385,AQ$13)="",10^12,OFFSET(CRONOPLE!$F$14,$M385,AQ$13))))</f>
        <v>1000000000000</v>
      </c>
      <c r="AR385" s="181">
        <f ca="1">IF($D385&lt;&gt;"Serviço",0,IF(AND(AUTOEVENTO="Manual",$M385=1),0,IF(OFFSET(CRONOPLE!$F$14,$M385,AR$13)="",10^12,OFFSET(CRONOPLE!$F$14,$M385,AR$13))))</f>
        <v>1000000000000</v>
      </c>
      <c r="AS385" s="181">
        <f ca="1">IF($D385&lt;&gt;"Serviço",0,IF(AND(AUTOEVENTO="Manual",$M385=1),0,IF(OFFSET(CRONOPLE!$F$14,$M385,AS$13)="",10^12,OFFSET(CRONOPLE!$F$14,$M385,AS$13))))</f>
        <v>1000000000000</v>
      </c>
      <c r="AT385" s="181">
        <f ca="1">IF($D385&lt;&gt;"Serviço",0,IF(AND(AUTOEVENTO="Manual",$M385=1),0,IF(OFFSET(CRONOPLE!$F$14,$M385,AT$13)="",10^12,OFFSET(CRONOPLE!$F$14,$M385,AT$13))))</f>
        <v>1000000000000</v>
      </c>
      <c r="AU385" s="181">
        <f ca="1">IF($D385&lt;&gt;"Serviço",0,IF(AND(AUTOEVENTO="Manual",$M385=1),0,IF(OFFSET(CRONOPLE!$F$14,$M385,AU$13)="",10^12,OFFSET(CRONOPLE!$F$14,$M385,AU$13))))</f>
        <v>1000000000000</v>
      </c>
      <c r="AV385" s="181">
        <f ca="1">IF($D385&lt;&gt;"Serviço",0,IF(AND(AUTOEVENTO="Manual",$M385=1),0,IF(OFFSET(CRONOPLE!$F$14,$M385,AV$13)="",10^12,OFFSET(CRONOPLE!$F$14,$M385,AV$13))))</f>
        <v>1000000000000</v>
      </c>
      <c r="AX385" s="182">
        <f ca="1">IF($D385&lt;&gt;"Serviço",0,IF(OR(AND(AUTOEVENTO="Manual",$M385=1),$M385&gt;(ROW(PLE.lastrow)-ROW(PLE.firstrow))),0,IF(OFFSET(PLE!$G$14,$M385,AX$13)="",10^12,OFFSET(PLE!$G$14,$M385,AX$13))))</f>
        <v>1000000000000</v>
      </c>
      <c r="AY385" s="182">
        <f ca="1">IF($D385&lt;&gt;"Serviço",0,IF(OR(AND(AUTOEVENTO="Manual",$M385=1),$M385&gt;(ROW(PLE.lastrow)-ROW(PLE.firstrow))),0,IF(OFFSET(PLE!$G$14,$M385,AY$13)="",10^12,OFFSET(PLE!$G$14,$M385,AY$13))))</f>
        <v>1000000000000</v>
      </c>
      <c r="AZ385" s="182">
        <f ca="1">IF($D385&lt;&gt;"Serviço",0,IF(OR(AND(AUTOEVENTO="Manual",$M385=1),$M385&gt;(ROW(PLE.lastrow)-ROW(PLE.firstrow))),0,IF(OFFSET(PLE!$G$14,$M385,AZ$13)="",10^12,OFFSET(PLE!$G$14,$M385,AZ$13))))</f>
        <v>1000000000000</v>
      </c>
      <c r="BA385" s="182">
        <f ca="1">IF($D385&lt;&gt;"Serviço",0,IF(OR(AND(AUTOEVENTO="Manual",$M385=1),$M385&gt;(ROW(PLE.lastrow)-ROW(PLE.firstrow))),0,IF(OFFSET(PLE!$G$14,$M385,BA$13)="",10^12,OFFSET(PLE!$G$14,$M385,BA$13))))</f>
        <v>1000000000000</v>
      </c>
      <c r="BB385" s="182">
        <f ca="1">IF($D385&lt;&gt;"Serviço",0,IF(OR(AND(AUTOEVENTO="Manual",$M385=1),$M385&gt;(ROW(PLE.lastrow)-ROW(PLE.firstrow))),0,IF(OFFSET(PLE!$G$14,$M385,BB$13)="",10^12,OFFSET(PLE!$G$14,$M385,BB$13))))</f>
        <v>1000000000000</v>
      </c>
      <c r="BC385" s="182">
        <f ca="1">IF($D385&lt;&gt;"Serviço",0,IF(OR(AND(AUTOEVENTO="Manual",$M385=1),$M385&gt;(ROW(PLE.lastrow)-ROW(PLE.firstrow))),0,IF(OFFSET(PLE!$G$14,$M385,BC$13)="",10^12,OFFSET(PLE!$G$14,$M385,BC$13))))</f>
        <v>1000000000000</v>
      </c>
      <c r="BD385" s="182">
        <f ca="1">IF($D385&lt;&gt;"Serviço",0,IF(OR(AND(AUTOEVENTO="Manual",$M385=1),$M385&gt;(ROW(PLE.lastrow)-ROW(PLE.firstrow))),0,IF(OFFSET(PLE!$G$14,$M385,BD$13)="",10^12,OFFSET(PLE!$G$14,$M385,BD$13))))</f>
        <v>1000000000000</v>
      </c>
      <c r="BE385" s="182">
        <f ca="1">IF($D385&lt;&gt;"Serviço",0,IF(OR(AND(AUTOEVENTO="Manual",$M385=1),$M385&gt;(ROW(PLE.lastrow)-ROW(PLE.firstrow))),0,IF(OFFSET(PLE!$G$14,$M385,BE$13)="",10^12,OFFSET(PLE!$G$14,$M385,BE$13))))</f>
        <v>1000000000000</v>
      </c>
      <c r="BF385" s="182">
        <f ca="1">IF($D385&lt;&gt;"Serviço",0,IF(OR(AND(AUTOEVENTO="Manual",$M385=1),$M385&gt;(ROW(PLE.lastrow)-ROW(PLE.firstrow))),0,IF(OFFSET(PLE!$G$14,$M385,BF$13)="",10^12,OFFSET(PLE!$G$14,$M385,BF$13))))</f>
        <v>1000000000000</v>
      </c>
      <c r="BG385" s="182">
        <f ca="1">IF($D385&lt;&gt;"Serviço",0,IF(OR(AND(AUTOEVENTO="Manual",$M385=1),$M385&gt;(ROW(PLE.lastrow)-ROW(PLE.firstrow))),0,IF(OFFSET(PLE!$G$14,$M385,BG$13)="",10^12,OFFSET(PLE!$G$14,$M385,BG$13))))</f>
        <v>1000000000000</v>
      </c>
    </row>
    <row r="386" spans="1:59" ht="38.25" x14ac:dyDescent="0.2">
      <c r="A386" s="7" t="str">
        <f t="shared" ca="1" si="11"/>
        <v>325</v>
      </c>
      <c r="B386" s="7" t="str">
        <f ca="1">OFFSET(ORÇAMENTO!C$15,ROW(B386)-ROW(B$15),0)</f>
        <v>S</v>
      </c>
      <c r="C386" s="7" t="str">
        <f ca="1">OFFSET(ORÇAMENTO!L$15,ROW(C386)-ROW(C$15),0)</f>
        <v/>
      </c>
      <c r="D386" s="118" t="str">
        <f ca="1">OFFSET(ORÇAMENTO!N$15,ROW(D386)-ROW(D$15),0)</f>
        <v>Serviço</v>
      </c>
      <c r="E386" s="119" t="str">
        <f ca="1">OFFSET(ORÇAMENTO!O$15,ROW(E386)-ROW(E$15),0)</f>
        <v>-</v>
      </c>
      <c r="F386" s="172" t="str">
        <f ca="1">OFFSET(ORÇAMENTO!R$15,ROW(F386)-ROW(F$15),0)</f>
        <v>(abra o arquivo 'Referência 02-2025.xlsm)</v>
      </c>
      <c r="G386" s="173" t="str">
        <f ca="1">IF($D386&lt;&gt;"Serviço","",OFFSET(ORÇAMENTO!S$15,ROW(G386)-ROW(G$15),0))</f>
        <v>-</v>
      </c>
      <c r="H386" s="124">
        <f ca="1">IF($D386&lt;&gt;"Serviço",0,IF(ACOMPANHAMENTO="BM",ROUND(OFFSET(ORÇAMENTO!AJ$15,ROW(H386)-ROW(H$15),0),15-13*ORÇAMENTO!$AF$7),SUMPRODUCT(($Q$12:$AA$12&lt;&gt;"")*ROUND($Q386:$AA386,15-13*ORÇAMENTO!$AF$7))))</f>
        <v>388.2</v>
      </c>
      <c r="I386" s="561" t="s">
        <v>890</v>
      </c>
      <c r="K386" s="174"/>
      <c r="L386" s="175" t="s">
        <v>255</v>
      </c>
      <c r="M386" s="176">
        <f ca="1">IF($D386&lt;&gt;"Serviço","",IF(AUTOEVENTO="manual",$A386,IF(ISERROR(MATCH($A386,$A$15:OFFSET($A386,-1,0),0)),MAX($M$15:OFFSET(M386,-1,0))+1,INDEX($M$15:OFFSET(M386,-1,0),MATCH($A386,$A$15:OFFSET($A386,-1,0),0)))))</f>
        <v>15</v>
      </c>
      <c r="N386" s="177" t="str">
        <f ca="1">IF($D386&lt;&gt;"Serviço","",IF(AUTOEVENTO="Manual",IF($A386=0,"&lt;-- defina o número do agrupador",OFFSET(EVENTOS!$D$14,$A386,0)),OFFSET($F$15,$A386,0)))</f>
        <v>INSTALAÇÕES DE ESGOTO SANITÁRIO</v>
      </c>
      <c r="O386" s="178"/>
      <c r="Q386" s="178"/>
      <c r="R386" s="179"/>
      <c r="S386" s="179"/>
      <c r="T386" s="179"/>
      <c r="U386" s="179"/>
      <c r="V386" s="179"/>
      <c r="W386" s="179"/>
      <c r="X386" s="179"/>
      <c r="Y386" s="179"/>
      <c r="Z386" s="180"/>
      <c r="AB386" s="544">
        <f ca="1">IF(AND($D386="Serviço",AB$12&lt;&gt;0,$H386&gt;0,OR(AUTOEVENTO&lt;&gt;"manual",$M386&lt;&gt;1)),
IF(Import.TipoArredondamento&lt;&gt;"TransfereGOV",
ROUND(OFFSET($P386,0,AB$13),15-13*ORÇAMENTO!$AF$7)/$H386*OFFSET(ORÇAMENTO!$X$15,ROW(AB386)-ROW(AB$15),0),
ROUND(ROUND(OFFSET($P386,0,AB$13),15-13*ORÇAMENTO!$AF$7)*OFFSET(ORÇAMENTO!$W$15,ROW(AB386)-ROW(AB$15),0),15-13*ORÇAMENTO!$AF$11)),0)</f>
        <v>0</v>
      </c>
      <c r="AC386" s="545">
        <f ca="1">IF(AND($D386="Serviço",AC$12&lt;&gt;0,$H386&gt;0,OR(AUTOEVENTO&lt;&gt;"manual",$M386&lt;&gt;1)),
IF(Import.TipoArredondamento&lt;&gt;"TransfereGOV",
ROUND(OFFSET($P386,0,AC$13),15-13*ORÇAMENTO!$AF$7)/$H386*OFFSET(ORÇAMENTO!$X$15,ROW(AC386)-ROW(AC$15),0),
ROUND(ROUND(OFFSET($P386,0,AC$13),15-13*ORÇAMENTO!$AF$7)*OFFSET(ORÇAMENTO!$W$15,ROW(AC386)-ROW(AC$15),0),15-13*ORÇAMENTO!$AF$11)),0)</f>
        <v>0</v>
      </c>
      <c r="AD386" s="545">
        <f ca="1">IF(AND($D386="Serviço",AD$12&lt;&gt;0,$H386&gt;0,OR(AUTOEVENTO&lt;&gt;"manual",$M386&lt;&gt;1)),
IF(Import.TipoArredondamento&lt;&gt;"TransfereGOV",
ROUND(OFFSET($P386,0,AD$13),15-13*ORÇAMENTO!$AF$7)/$H386*OFFSET(ORÇAMENTO!$X$15,ROW(AD386)-ROW(AD$15),0),
ROUND(ROUND(OFFSET($P386,0,AD$13),15-13*ORÇAMENTO!$AF$7)*OFFSET(ORÇAMENTO!$W$15,ROW(AD386)-ROW(AD$15),0),15-13*ORÇAMENTO!$AF$11)),0)</f>
        <v>0</v>
      </c>
      <c r="AE386" s="545">
        <f ca="1">IF(AND($D386="Serviço",AE$12&lt;&gt;0,$H386&gt;0,OR(AUTOEVENTO&lt;&gt;"manual",$M386&lt;&gt;1)),
IF(Import.TipoArredondamento&lt;&gt;"TransfereGOV",
ROUND(OFFSET($P386,0,AE$13),15-13*ORÇAMENTO!$AF$7)/$H386*OFFSET(ORÇAMENTO!$X$15,ROW(AE386)-ROW(AE$15),0),
ROUND(ROUND(OFFSET($P386,0,AE$13),15-13*ORÇAMENTO!$AF$7)*OFFSET(ORÇAMENTO!$W$15,ROW(AE386)-ROW(AE$15),0),15-13*ORÇAMENTO!$AF$11)),0)</f>
        <v>0</v>
      </c>
      <c r="AF386" s="545">
        <f ca="1">IF(AND($D386="Serviço",AF$12&lt;&gt;0,$H386&gt;0,OR(AUTOEVENTO&lt;&gt;"manual",$M386&lt;&gt;1)),
IF(Import.TipoArredondamento&lt;&gt;"TransfereGOV",
ROUND(OFFSET($P386,0,AF$13),15-13*ORÇAMENTO!$AF$7)/$H386*OFFSET(ORÇAMENTO!$X$15,ROW(AF386)-ROW(AF$15),0),
ROUND(ROUND(OFFSET($P386,0,AF$13),15-13*ORÇAMENTO!$AF$7)*OFFSET(ORÇAMENTO!$W$15,ROW(AF386)-ROW(AF$15),0),15-13*ORÇAMENTO!$AF$11)),0)</f>
        <v>0</v>
      </c>
      <c r="AG386" s="545">
        <f ca="1">IF(AND($D386="Serviço",AG$12&lt;&gt;0,$H386&gt;0,OR(AUTOEVENTO&lt;&gt;"manual",$M386&lt;&gt;1)),
IF(Import.TipoArredondamento&lt;&gt;"TransfereGOV",
ROUND(OFFSET($P386,0,AG$13),15-13*ORÇAMENTO!$AF$7)/$H386*OFFSET(ORÇAMENTO!$X$15,ROW(AG386)-ROW(AG$15),0),
ROUND(ROUND(OFFSET($P386,0,AG$13),15-13*ORÇAMENTO!$AF$7)*OFFSET(ORÇAMENTO!$W$15,ROW(AG386)-ROW(AG$15),0),15-13*ORÇAMENTO!$AF$11)),0)</f>
        <v>0</v>
      </c>
      <c r="AH386" s="545">
        <f ca="1">IF(AND($D386="Serviço",AH$12&lt;&gt;0,$H386&gt;0,OR(AUTOEVENTO&lt;&gt;"manual",$M386&lt;&gt;1)),
IF(Import.TipoArredondamento&lt;&gt;"TransfereGOV",
ROUND(OFFSET($P386,0,AH$13),15-13*ORÇAMENTO!$AF$7)/$H386*OFFSET(ORÇAMENTO!$X$15,ROW(AH386)-ROW(AH$15),0),
ROUND(ROUND(OFFSET($P386,0,AH$13),15-13*ORÇAMENTO!$AF$7)*OFFSET(ORÇAMENTO!$W$15,ROW(AH386)-ROW(AH$15),0),15-13*ORÇAMENTO!$AF$11)),0)</f>
        <v>0</v>
      </c>
      <c r="AI386" s="545">
        <f ca="1">IF(AND($D386="Serviço",AI$12&lt;&gt;0,$H386&gt;0,OR(AUTOEVENTO&lt;&gt;"manual",$M386&lt;&gt;1)),
IF(Import.TipoArredondamento&lt;&gt;"TransfereGOV",
ROUND(OFFSET($P386,0,AI$13),15-13*ORÇAMENTO!$AF$7)/$H386*OFFSET(ORÇAMENTO!$X$15,ROW(AI386)-ROW(AI$15),0),
ROUND(ROUND(OFFSET($P386,0,AI$13),15-13*ORÇAMENTO!$AF$7)*OFFSET(ORÇAMENTO!$W$15,ROW(AI386)-ROW(AI$15),0),15-13*ORÇAMENTO!$AF$11)),0)</f>
        <v>0</v>
      </c>
      <c r="AJ386" s="545">
        <f ca="1">IF(AND($D386="Serviço",AJ$12&lt;&gt;0,$H386&gt;0,OR(AUTOEVENTO&lt;&gt;"manual",$M386&lt;&gt;1)),
IF(Import.TipoArredondamento&lt;&gt;"TransfereGOV",
ROUND(OFFSET($P386,0,AJ$13),15-13*ORÇAMENTO!$AF$7)/$H386*OFFSET(ORÇAMENTO!$X$15,ROW(AJ386)-ROW(AJ$15),0),
ROUND(ROUND(OFFSET($P386,0,AJ$13),15-13*ORÇAMENTO!$AF$7)*OFFSET(ORÇAMENTO!$W$15,ROW(AJ386)-ROW(AJ$15),0),15-13*ORÇAMENTO!$AF$11)),0)</f>
        <v>0</v>
      </c>
      <c r="AK386" s="546">
        <f ca="1">IF(AND($D386="Serviço",AK$12&lt;&gt;0,$H386&gt;0,OR(AUTOEVENTO&lt;&gt;"manual",$M386&lt;&gt;1)),
IF(Import.TipoArredondamento&lt;&gt;"TransfereGOV",
ROUND(OFFSET($P386,0,AK$13),15-13*ORÇAMENTO!$AF$7)/$H386*OFFSET(ORÇAMENTO!$X$15,ROW(AK386)-ROW(AK$15),0),
ROUND(ROUND(OFFSET($P386,0,AK$13),15-13*ORÇAMENTO!$AF$7)*OFFSET(ORÇAMENTO!$W$15,ROW(AK386)-ROW(AK$15),0),15-13*ORÇAMENTO!$AF$11)),0)</f>
        <v>0</v>
      </c>
      <c r="AM386" s="181">
        <f ca="1">IF($D386&lt;&gt;"Serviço",0,IF(AND(AUTOEVENTO="Manual",$M386=1),0,IF(OFFSET(CRONOPLE!$F$14,$M386,AM$13)="",10^12,OFFSET(CRONOPLE!$F$14,$M386,AM$13))))</f>
        <v>1000000000000</v>
      </c>
      <c r="AN386" s="181">
        <f ca="1">IF($D386&lt;&gt;"Serviço",0,IF(AND(AUTOEVENTO="Manual",$M386=1),0,IF(OFFSET(CRONOPLE!$F$14,$M386,AN$13)="",10^12,OFFSET(CRONOPLE!$F$14,$M386,AN$13))))</f>
        <v>1000000000000</v>
      </c>
      <c r="AO386" s="181">
        <f ca="1">IF($D386&lt;&gt;"Serviço",0,IF(AND(AUTOEVENTO="Manual",$M386=1),0,IF(OFFSET(CRONOPLE!$F$14,$M386,AO$13)="",10^12,OFFSET(CRONOPLE!$F$14,$M386,AO$13))))</f>
        <v>1000000000000</v>
      </c>
      <c r="AP386" s="181">
        <f ca="1">IF($D386&lt;&gt;"Serviço",0,IF(AND(AUTOEVENTO="Manual",$M386=1),0,IF(OFFSET(CRONOPLE!$F$14,$M386,AP$13)="",10^12,OFFSET(CRONOPLE!$F$14,$M386,AP$13))))</f>
        <v>1000000000000</v>
      </c>
      <c r="AQ386" s="181">
        <f ca="1">IF($D386&lt;&gt;"Serviço",0,IF(AND(AUTOEVENTO="Manual",$M386=1),0,IF(OFFSET(CRONOPLE!$F$14,$M386,AQ$13)="",10^12,OFFSET(CRONOPLE!$F$14,$M386,AQ$13))))</f>
        <v>1000000000000</v>
      </c>
      <c r="AR386" s="181">
        <f ca="1">IF($D386&lt;&gt;"Serviço",0,IF(AND(AUTOEVENTO="Manual",$M386=1),0,IF(OFFSET(CRONOPLE!$F$14,$M386,AR$13)="",10^12,OFFSET(CRONOPLE!$F$14,$M386,AR$13))))</f>
        <v>1000000000000</v>
      </c>
      <c r="AS386" s="181">
        <f ca="1">IF($D386&lt;&gt;"Serviço",0,IF(AND(AUTOEVENTO="Manual",$M386=1),0,IF(OFFSET(CRONOPLE!$F$14,$M386,AS$13)="",10^12,OFFSET(CRONOPLE!$F$14,$M386,AS$13))))</f>
        <v>1000000000000</v>
      </c>
      <c r="AT386" s="181">
        <f ca="1">IF($D386&lt;&gt;"Serviço",0,IF(AND(AUTOEVENTO="Manual",$M386=1),0,IF(OFFSET(CRONOPLE!$F$14,$M386,AT$13)="",10^12,OFFSET(CRONOPLE!$F$14,$M386,AT$13))))</f>
        <v>1000000000000</v>
      </c>
      <c r="AU386" s="181">
        <f ca="1">IF($D386&lt;&gt;"Serviço",0,IF(AND(AUTOEVENTO="Manual",$M386=1),0,IF(OFFSET(CRONOPLE!$F$14,$M386,AU$13)="",10^12,OFFSET(CRONOPLE!$F$14,$M386,AU$13))))</f>
        <v>1000000000000</v>
      </c>
      <c r="AV386" s="181">
        <f ca="1">IF($D386&lt;&gt;"Serviço",0,IF(AND(AUTOEVENTO="Manual",$M386=1),0,IF(OFFSET(CRONOPLE!$F$14,$M386,AV$13)="",10^12,OFFSET(CRONOPLE!$F$14,$M386,AV$13))))</f>
        <v>1000000000000</v>
      </c>
      <c r="AX386" s="182">
        <f ca="1">IF($D386&lt;&gt;"Serviço",0,IF(OR(AND(AUTOEVENTO="Manual",$M386=1),$M386&gt;(ROW(PLE.lastrow)-ROW(PLE.firstrow))),0,IF(OFFSET(PLE!$G$14,$M386,AX$13)="",10^12,OFFSET(PLE!$G$14,$M386,AX$13))))</f>
        <v>1000000000000</v>
      </c>
      <c r="AY386" s="182">
        <f ca="1">IF($D386&lt;&gt;"Serviço",0,IF(OR(AND(AUTOEVENTO="Manual",$M386=1),$M386&gt;(ROW(PLE.lastrow)-ROW(PLE.firstrow))),0,IF(OFFSET(PLE!$G$14,$M386,AY$13)="",10^12,OFFSET(PLE!$G$14,$M386,AY$13))))</f>
        <v>1000000000000</v>
      </c>
      <c r="AZ386" s="182">
        <f ca="1">IF($D386&lt;&gt;"Serviço",0,IF(OR(AND(AUTOEVENTO="Manual",$M386=1),$M386&gt;(ROW(PLE.lastrow)-ROW(PLE.firstrow))),0,IF(OFFSET(PLE!$G$14,$M386,AZ$13)="",10^12,OFFSET(PLE!$G$14,$M386,AZ$13))))</f>
        <v>1000000000000</v>
      </c>
      <c r="BA386" s="182">
        <f ca="1">IF($D386&lt;&gt;"Serviço",0,IF(OR(AND(AUTOEVENTO="Manual",$M386=1),$M386&gt;(ROW(PLE.lastrow)-ROW(PLE.firstrow))),0,IF(OFFSET(PLE!$G$14,$M386,BA$13)="",10^12,OFFSET(PLE!$G$14,$M386,BA$13))))</f>
        <v>1000000000000</v>
      </c>
      <c r="BB386" s="182">
        <f ca="1">IF($D386&lt;&gt;"Serviço",0,IF(OR(AND(AUTOEVENTO="Manual",$M386=1),$M386&gt;(ROW(PLE.lastrow)-ROW(PLE.firstrow))),0,IF(OFFSET(PLE!$G$14,$M386,BB$13)="",10^12,OFFSET(PLE!$G$14,$M386,BB$13))))</f>
        <v>1000000000000</v>
      </c>
      <c r="BC386" s="182">
        <f ca="1">IF($D386&lt;&gt;"Serviço",0,IF(OR(AND(AUTOEVENTO="Manual",$M386=1),$M386&gt;(ROW(PLE.lastrow)-ROW(PLE.firstrow))),0,IF(OFFSET(PLE!$G$14,$M386,BC$13)="",10^12,OFFSET(PLE!$G$14,$M386,BC$13))))</f>
        <v>1000000000000</v>
      </c>
      <c r="BD386" s="182">
        <f ca="1">IF($D386&lt;&gt;"Serviço",0,IF(OR(AND(AUTOEVENTO="Manual",$M386=1),$M386&gt;(ROW(PLE.lastrow)-ROW(PLE.firstrow))),0,IF(OFFSET(PLE!$G$14,$M386,BD$13)="",10^12,OFFSET(PLE!$G$14,$M386,BD$13))))</f>
        <v>1000000000000</v>
      </c>
      <c r="BE386" s="182">
        <f ca="1">IF($D386&lt;&gt;"Serviço",0,IF(OR(AND(AUTOEVENTO="Manual",$M386=1),$M386&gt;(ROW(PLE.lastrow)-ROW(PLE.firstrow))),0,IF(OFFSET(PLE!$G$14,$M386,BE$13)="",10^12,OFFSET(PLE!$G$14,$M386,BE$13))))</f>
        <v>1000000000000</v>
      </c>
      <c r="BF386" s="182">
        <f ca="1">IF($D386&lt;&gt;"Serviço",0,IF(OR(AND(AUTOEVENTO="Manual",$M386=1),$M386&gt;(ROW(PLE.lastrow)-ROW(PLE.firstrow))),0,IF(OFFSET(PLE!$G$14,$M386,BF$13)="",10^12,OFFSET(PLE!$G$14,$M386,BF$13))))</f>
        <v>1000000000000</v>
      </c>
      <c r="BG386" s="182">
        <f ca="1">IF($D386&lt;&gt;"Serviço",0,IF(OR(AND(AUTOEVENTO="Manual",$M386=1),$M386&gt;(ROW(PLE.lastrow)-ROW(PLE.firstrow))),0,IF(OFFSET(PLE!$G$14,$M386,BG$13)="",10^12,OFFSET(PLE!$G$14,$M386,BG$13))))</f>
        <v>1000000000000</v>
      </c>
    </row>
    <row r="387" spans="1:59" ht="38.25" x14ac:dyDescent="0.2">
      <c r="A387" s="7" t="str">
        <f t="shared" ca="1" si="11"/>
        <v>325</v>
      </c>
      <c r="B387" s="7" t="str">
        <f ca="1">OFFSET(ORÇAMENTO!C$15,ROW(B387)-ROW(B$15),0)</f>
        <v>S</v>
      </c>
      <c r="C387" s="7" t="str">
        <f ca="1">OFFSET(ORÇAMENTO!L$15,ROW(C387)-ROW(C$15),0)</f>
        <v/>
      </c>
      <c r="D387" s="118" t="str">
        <f ca="1">OFFSET(ORÇAMENTO!N$15,ROW(D387)-ROW(D$15),0)</f>
        <v>Serviço</v>
      </c>
      <c r="E387" s="119" t="str">
        <f ca="1">OFFSET(ORÇAMENTO!O$15,ROW(E387)-ROW(E$15),0)</f>
        <v>-</v>
      </c>
      <c r="F387" s="172" t="str">
        <f ca="1">OFFSET(ORÇAMENTO!R$15,ROW(F387)-ROW(F$15),0)</f>
        <v>(abra o arquivo 'Referência 02-2025.xlsm)</v>
      </c>
      <c r="G387" s="173" t="str">
        <f ca="1">IF($D387&lt;&gt;"Serviço","",OFFSET(ORÇAMENTO!S$15,ROW(G387)-ROW(G$15),0))</f>
        <v>-</v>
      </c>
      <c r="H387" s="124">
        <f ca="1">IF($D387&lt;&gt;"Serviço",0,IF(ACOMPANHAMENTO="BM",ROUND(OFFSET(ORÇAMENTO!AJ$15,ROW(H387)-ROW(H$15),0),15-13*ORÇAMENTO!$AF$7),SUMPRODUCT(($Q$12:$AA$12&lt;&gt;"")*ROUND($Q387:$AA387,15-13*ORÇAMENTO!$AF$7))))</f>
        <v>2</v>
      </c>
      <c r="I387" s="561" t="s">
        <v>890</v>
      </c>
      <c r="K387" s="174"/>
      <c r="L387" s="175" t="s">
        <v>255</v>
      </c>
      <c r="M387" s="176">
        <f ca="1">IF($D387&lt;&gt;"Serviço","",IF(AUTOEVENTO="manual",$A387,IF(ISERROR(MATCH($A387,$A$15:OFFSET($A387,-1,0),0)),MAX($M$15:OFFSET(M387,-1,0))+1,INDEX($M$15:OFFSET(M387,-1,0),MATCH($A387,$A$15:OFFSET($A387,-1,0),0)))))</f>
        <v>15</v>
      </c>
      <c r="N387" s="177" t="str">
        <f ca="1">IF($D387&lt;&gt;"Serviço","",IF(AUTOEVENTO="Manual",IF($A387=0,"&lt;-- defina o número do agrupador",OFFSET(EVENTOS!$D$14,$A387,0)),OFFSET($F$15,$A387,0)))</f>
        <v>INSTALAÇÕES DE ESGOTO SANITÁRIO</v>
      </c>
      <c r="O387" s="178"/>
      <c r="Q387" s="178"/>
      <c r="R387" s="179"/>
      <c r="S387" s="179"/>
      <c r="T387" s="179"/>
      <c r="U387" s="179"/>
      <c r="V387" s="179"/>
      <c r="W387" s="179"/>
      <c r="X387" s="179"/>
      <c r="Y387" s="179"/>
      <c r="Z387" s="180"/>
      <c r="AB387" s="544">
        <f ca="1">IF(AND($D387="Serviço",AB$12&lt;&gt;0,$H387&gt;0,OR(AUTOEVENTO&lt;&gt;"manual",$M387&lt;&gt;1)),
IF(Import.TipoArredondamento&lt;&gt;"TransfereGOV",
ROUND(OFFSET($P387,0,AB$13),15-13*ORÇAMENTO!$AF$7)/$H387*OFFSET(ORÇAMENTO!$X$15,ROW(AB387)-ROW(AB$15),0),
ROUND(ROUND(OFFSET($P387,0,AB$13),15-13*ORÇAMENTO!$AF$7)*OFFSET(ORÇAMENTO!$W$15,ROW(AB387)-ROW(AB$15),0),15-13*ORÇAMENTO!$AF$11)),0)</f>
        <v>0</v>
      </c>
      <c r="AC387" s="545">
        <f ca="1">IF(AND($D387="Serviço",AC$12&lt;&gt;0,$H387&gt;0,OR(AUTOEVENTO&lt;&gt;"manual",$M387&lt;&gt;1)),
IF(Import.TipoArredondamento&lt;&gt;"TransfereGOV",
ROUND(OFFSET($P387,0,AC$13),15-13*ORÇAMENTO!$AF$7)/$H387*OFFSET(ORÇAMENTO!$X$15,ROW(AC387)-ROW(AC$15),0),
ROUND(ROUND(OFFSET($P387,0,AC$13),15-13*ORÇAMENTO!$AF$7)*OFFSET(ORÇAMENTO!$W$15,ROW(AC387)-ROW(AC$15),0),15-13*ORÇAMENTO!$AF$11)),0)</f>
        <v>0</v>
      </c>
      <c r="AD387" s="545">
        <f ca="1">IF(AND($D387="Serviço",AD$12&lt;&gt;0,$H387&gt;0,OR(AUTOEVENTO&lt;&gt;"manual",$M387&lt;&gt;1)),
IF(Import.TipoArredondamento&lt;&gt;"TransfereGOV",
ROUND(OFFSET($P387,0,AD$13),15-13*ORÇAMENTO!$AF$7)/$H387*OFFSET(ORÇAMENTO!$X$15,ROW(AD387)-ROW(AD$15),0),
ROUND(ROUND(OFFSET($P387,0,AD$13),15-13*ORÇAMENTO!$AF$7)*OFFSET(ORÇAMENTO!$W$15,ROW(AD387)-ROW(AD$15),0),15-13*ORÇAMENTO!$AF$11)),0)</f>
        <v>0</v>
      </c>
      <c r="AE387" s="545">
        <f ca="1">IF(AND($D387="Serviço",AE$12&lt;&gt;0,$H387&gt;0,OR(AUTOEVENTO&lt;&gt;"manual",$M387&lt;&gt;1)),
IF(Import.TipoArredondamento&lt;&gt;"TransfereGOV",
ROUND(OFFSET($P387,0,AE$13),15-13*ORÇAMENTO!$AF$7)/$H387*OFFSET(ORÇAMENTO!$X$15,ROW(AE387)-ROW(AE$15),0),
ROUND(ROUND(OFFSET($P387,0,AE$13),15-13*ORÇAMENTO!$AF$7)*OFFSET(ORÇAMENTO!$W$15,ROW(AE387)-ROW(AE$15),0),15-13*ORÇAMENTO!$AF$11)),0)</f>
        <v>0</v>
      </c>
      <c r="AF387" s="545">
        <f ca="1">IF(AND($D387="Serviço",AF$12&lt;&gt;0,$H387&gt;0,OR(AUTOEVENTO&lt;&gt;"manual",$M387&lt;&gt;1)),
IF(Import.TipoArredondamento&lt;&gt;"TransfereGOV",
ROUND(OFFSET($P387,0,AF$13),15-13*ORÇAMENTO!$AF$7)/$H387*OFFSET(ORÇAMENTO!$X$15,ROW(AF387)-ROW(AF$15),0),
ROUND(ROUND(OFFSET($P387,0,AF$13),15-13*ORÇAMENTO!$AF$7)*OFFSET(ORÇAMENTO!$W$15,ROW(AF387)-ROW(AF$15),0),15-13*ORÇAMENTO!$AF$11)),0)</f>
        <v>0</v>
      </c>
      <c r="AG387" s="545">
        <f ca="1">IF(AND($D387="Serviço",AG$12&lt;&gt;0,$H387&gt;0,OR(AUTOEVENTO&lt;&gt;"manual",$M387&lt;&gt;1)),
IF(Import.TipoArredondamento&lt;&gt;"TransfereGOV",
ROUND(OFFSET($P387,0,AG$13),15-13*ORÇAMENTO!$AF$7)/$H387*OFFSET(ORÇAMENTO!$X$15,ROW(AG387)-ROW(AG$15),0),
ROUND(ROUND(OFFSET($P387,0,AG$13),15-13*ORÇAMENTO!$AF$7)*OFFSET(ORÇAMENTO!$W$15,ROW(AG387)-ROW(AG$15),0),15-13*ORÇAMENTO!$AF$11)),0)</f>
        <v>0</v>
      </c>
      <c r="AH387" s="545">
        <f ca="1">IF(AND($D387="Serviço",AH$12&lt;&gt;0,$H387&gt;0,OR(AUTOEVENTO&lt;&gt;"manual",$M387&lt;&gt;1)),
IF(Import.TipoArredondamento&lt;&gt;"TransfereGOV",
ROUND(OFFSET($P387,0,AH$13),15-13*ORÇAMENTO!$AF$7)/$H387*OFFSET(ORÇAMENTO!$X$15,ROW(AH387)-ROW(AH$15),0),
ROUND(ROUND(OFFSET($P387,0,AH$13),15-13*ORÇAMENTO!$AF$7)*OFFSET(ORÇAMENTO!$W$15,ROW(AH387)-ROW(AH$15),0),15-13*ORÇAMENTO!$AF$11)),0)</f>
        <v>0</v>
      </c>
      <c r="AI387" s="545">
        <f ca="1">IF(AND($D387="Serviço",AI$12&lt;&gt;0,$H387&gt;0,OR(AUTOEVENTO&lt;&gt;"manual",$M387&lt;&gt;1)),
IF(Import.TipoArredondamento&lt;&gt;"TransfereGOV",
ROUND(OFFSET($P387,0,AI$13),15-13*ORÇAMENTO!$AF$7)/$H387*OFFSET(ORÇAMENTO!$X$15,ROW(AI387)-ROW(AI$15),0),
ROUND(ROUND(OFFSET($P387,0,AI$13),15-13*ORÇAMENTO!$AF$7)*OFFSET(ORÇAMENTO!$W$15,ROW(AI387)-ROW(AI$15),0),15-13*ORÇAMENTO!$AF$11)),0)</f>
        <v>0</v>
      </c>
      <c r="AJ387" s="545">
        <f ca="1">IF(AND($D387="Serviço",AJ$12&lt;&gt;0,$H387&gt;0,OR(AUTOEVENTO&lt;&gt;"manual",$M387&lt;&gt;1)),
IF(Import.TipoArredondamento&lt;&gt;"TransfereGOV",
ROUND(OFFSET($P387,0,AJ$13),15-13*ORÇAMENTO!$AF$7)/$H387*OFFSET(ORÇAMENTO!$X$15,ROW(AJ387)-ROW(AJ$15),0),
ROUND(ROUND(OFFSET($P387,0,AJ$13),15-13*ORÇAMENTO!$AF$7)*OFFSET(ORÇAMENTO!$W$15,ROW(AJ387)-ROW(AJ$15),0),15-13*ORÇAMENTO!$AF$11)),0)</f>
        <v>0</v>
      </c>
      <c r="AK387" s="546">
        <f ca="1">IF(AND($D387="Serviço",AK$12&lt;&gt;0,$H387&gt;0,OR(AUTOEVENTO&lt;&gt;"manual",$M387&lt;&gt;1)),
IF(Import.TipoArredondamento&lt;&gt;"TransfereGOV",
ROUND(OFFSET($P387,0,AK$13),15-13*ORÇAMENTO!$AF$7)/$H387*OFFSET(ORÇAMENTO!$X$15,ROW(AK387)-ROW(AK$15),0),
ROUND(ROUND(OFFSET($P387,0,AK$13),15-13*ORÇAMENTO!$AF$7)*OFFSET(ORÇAMENTO!$W$15,ROW(AK387)-ROW(AK$15),0),15-13*ORÇAMENTO!$AF$11)),0)</f>
        <v>0</v>
      </c>
      <c r="AM387" s="181">
        <f ca="1">IF($D387&lt;&gt;"Serviço",0,IF(AND(AUTOEVENTO="Manual",$M387=1),0,IF(OFFSET(CRONOPLE!$F$14,$M387,AM$13)="",10^12,OFFSET(CRONOPLE!$F$14,$M387,AM$13))))</f>
        <v>1000000000000</v>
      </c>
      <c r="AN387" s="181">
        <f ca="1">IF($D387&lt;&gt;"Serviço",0,IF(AND(AUTOEVENTO="Manual",$M387=1),0,IF(OFFSET(CRONOPLE!$F$14,$M387,AN$13)="",10^12,OFFSET(CRONOPLE!$F$14,$M387,AN$13))))</f>
        <v>1000000000000</v>
      </c>
      <c r="AO387" s="181">
        <f ca="1">IF($D387&lt;&gt;"Serviço",0,IF(AND(AUTOEVENTO="Manual",$M387=1),0,IF(OFFSET(CRONOPLE!$F$14,$M387,AO$13)="",10^12,OFFSET(CRONOPLE!$F$14,$M387,AO$13))))</f>
        <v>1000000000000</v>
      </c>
      <c r="AP387" s="181">
        <f ca="1">IF($D387&lt;&gt;"Serviço",0,IF(AND(AUTOEVENTO="Manual",$M387=1),0,IF(OFFSET(CRONOPLE!$F$14,$M387,AP$13)="",10^12,OFFSET(CRONOPLE!$F$14,$M387,AP$13))))</f>
        <v>1000000000000</v>
      </c>
      <c r="AQ387" s="181">
        <f ca="1">IF($D387&lt;&gt;"Serviço",0,IF(AND(AUTOEVENTO="Manual",$M387=1),0,IF(OFFSET(CRONOPLE!$F$14,$M387,AQ$13)="",10^12,OFFSET(CRONOPLE!$F$14,$M387,AQ$13))))</f>
        <v>1000000000000</v>
      </c>
      <c r="AR387" s="181">
        <f ca="1">IF($D387&lt;&gt;"Serviço",0,IF(AND(AUTOEVENTO="Manual",$M387=1),0,IF(OFFSET(CRONOPLE!$F$14,$M387,AR$13)="",10^12,OFFSET(CRONOPLE!$F$14,$M387,AR$13))))</f>
        <v>1000000000000</v>
      </c>
      <c r="AS387" s="181">
        <f ca="1">IF($D387&lt;&gt;"Serviço",0,IF(AND(AUTOEVENTO="Manual",$M387=1),0,IF(OFFSET(CRONOPLE!$F$14,$M387,AS$13)="",10^12,OFFSET(CRONOPLE!$F$14,$M387,AS$13))))</f>
        <v>1000000000000</v>
      </c>
      <c r="AT387" s="181">
        <f ca="1">IF($D387&lt;&gt;"Serviço",0,IF(AND(AUTOEVENTO="Manual",$M387=1),0,IF(OFFSET(CRONOPLE!$F$14,$M387,AT$13)="",10^12,OFFSET(CRONOPLE!$F$14,$M387,AT$13))))</f>
        <v>1000000000000</v>
      </c>
      <c r="AU387" s="181">
        <f ca="1">IF($D387&lt;&gt;"Serviço",0,IF(AND(AUTOEVENTO="Manual",$M387=1),0,IF(OFFSET(CRONOPLE!$F$14,$M387,AU$13)="",10^12,OFFSET(CRONOPLE!$F$14,$M387,AU$13))))</f>
        <v>1000000000000</v>
      </c>
      <c r="AV387" s="181">
        <f ca="1">IF($D387&lt;&gt;"Serviço",0,IF(AND(AUTOEVENTO="Manual",$M387=1),0,IF(OFFSET(CRONOPLE!$F$14,$M387,AV$13)="",10^12,OFFSET(CRONOPLE!$F$14,$M387,AV$13))))</f>
        <v>1000000000000</v>
      </c>
      <c r="AX387" s="182">
        <f ca="1">IF($D387&lt;&gt;"Serviço",0,IF(OR(AND(AUTOEVENTO="Manual",$M387=1),$M387&gt;(ROW(PLE.lastrow)-ROW(PLE.firstrow))),0,IF(OFFSET(PLE!$G$14,$M387,AX$13)="",10^12,OFFSET(PLE!$G$14,$M387,AX$13))))</f>
        <v>1000000000000</v>
      </c>
      <c r="AY387" s="182">
        <f ca="1">IF($D387&lt;&gt;"Serviço",0,IF(OR(AND(AUTOEVENTO="Manual",$M387=1),$M387&gt;(ROW(PLE.lastrow)-ROW(PLE.firstrow))),0,IF(OFFSET(PLE!$G$14,$M387,AY$13)="",10^12,OFFSET(PLE!$G$14,$M387,AY$13))))</f>
        <v>1000000000000</v>
      </c>
      <c r="AZ387" s="182">
        <f ca="1">IF($D387&lt;&gt;"Serviço",0,IF(OR(AND(AUTOEVENTO="Manual",$M387=1),$M387&gt;(ROW(PLE.lastrow)-ROW(PLE.firstrow))),0,IF(OFFSET(PLE!$G$14,$M387,AZ$13)="",10^12,OFFSET(PLE!$G$14,$M387,AZ$13))))</f>
        <v>1000000000000</v>
      </c>
      <c r="BA387" s="182">
        <f ca="1">IF($D387&lt;&gt;"Serviço",0,IF(OR(AND(AUTOEVENTO="Manual",$M387=1),$M387&gt;(ROW(PLE.lastrow)-ROW(PLE.firstrow))),0,IF(OFFSET(PLE!$G$14,$M387,BA$13)="",10^12,OFFSET(PLE!$G$14,$M387,BA$13))))</f>
        <v>1000000000000</v>
      </c>
      <c r="BB387" s="182">
        <f ca="1">IF($D387&lt;&gt;"Serviço",0,IF(OR(AND(AUTOEVENTO="Manual",$M387=1),$M387&gt;(ROW(PLE.lastrow)-ROW(PLE.firstrow))),0,IF(OFFSET(PLE!$G$14,$M387,BB$13)="",10^12,OFFSET(PLE!$G$14,$M387,BB$13))))</f>
        <v>1000000000000</v>
      </c>
      <c r="BC387" s="182">
        <f ca="1">IF($D387&lt;&gt;"Serviço",0,IF(OR(AND(AUTOEVENTO="Manual",$M387=1),$M387&gt;(ROW(PLE.lastrow)-ROW(PLE.firstrow))),0,IF(OFFSET(PLE!$G$14,$M387,BC$13)="",10^12,OFFSET(PLE!$G$14,$M387,BC$13))))</f>
        <v>1000000000000</v>
      </c>
      <c r="BD387" s="182">
        <f ca="1">IF($D387&lt;&gt;"Serviço",0,IF(OR(AND(AUTOEVENTO="Manual",$M387=1),$M387&gt;(ROW(PLE.lastrow)-ROW(PLE.firstrow))),0,IF(OFFSET(PLE!$G$14,$M387,BD$13)="",10^12,OFFSET(PLE!$G$14,$M387,BD$13))))</f>
        <v>1000000000000</v>
      </c>
      <c r="BE387" s="182">
        <f ca="1">IF($D387&lt;&gt;"Serviço",0,IF(OR(AND(AUTOEVENTO="Manual",$M387=1),$M387&gt;(ROW(PLE.lastrow)-ROW(PLE.firstrow))),0,IF(OFFSET(PLE!$G$14,$M387,BE$13)="",10^12,OFFSET(PLE!$G$14,$M387,BE$13))))</f>
        <v>1000000000000</v>
      </c>
      <c r="BF387" s="182">
        <f ca="1">IF($D387&lt;&gt;"Serviço",0,IF(OR(AND(AUTOEVENTO="Manual",$M387=1),$M387&gt;(ROW(PLE.lastrow)-ROW(PLE.firstrow))),0,IF(OFFSET(PLE!$G$14,$M387,BF$13)="",10^12,OFFSET(PLE!$G$14,$M387,BF$13))))</f>
        <v>1000000000000</v>
      </c>
      <c r="BG387" s="182">
        <f ca="1">IF($D387&lt;&gt;"Serviço",0,IF(OR(AND(AUTOEVENTO="Manual",$M387=1),$M387&gt;(ROW(PLE.lastrow)-ROW(PLE.firstrow))),0,IF(OFFSET(PLE!$G$14,$M387,BG$13)="",10^12,OFFSET(PLE!$G$14,$M387,BG$13))))</f>
        <v>1000000000000</v>
      </c>
    </row>
    <row r="388" spans="1:59" ht="38.25" x14ac:dyDescent="0.2">
      <c r="A388" s="7" t="str">
        <f t="shared" ca="1" si="11"/>
        <v>325</v>
      </c>
      <c r="B388" s="7" t="str">
        <f ca="1">OFFSET(ORÇAMENTO!C$15,ROW(B388)-ROW(B$15),0)</f>
        <v>S</v>
      </c>
      <c r="C388" s="7" t="str">
        <f ca="1">OFFSET(ORÇAMENTO!L$15,ROW(C388)-ROW(C$15),0)</f>
        <v/>
      </c>
      <c r="D388" s="118" t="str">
        <f ca="1">OFFSET(ORÇAMENTO!N$15,ROW(D388)-ROW(D$15),0)</f>
        <v>Serviço</v>
      </c>
      <c r="E388" s="119" t="str">
        <f ca="1">OFFSET(ORÇAMENTO!O$15,ROW(E388)-ROW(E$15),0)</f>
        <v>-</v>
      </c>
      <c r="F388" s="172" t="str">
        <f ca="1">OFFSET(ORÇAMENTO!R$15,ROW(F388)-ROW(F$15),0)</f>
        <v>(abra o arquivo 'Referência 02-2025.xlsm)</v>
      </c>
      <c r="G388" s="173" t="str">
        <f ca="1">IF($D388&lt;&gt;"Serviço","",OFFSET(ORÇAMENTO!S$15,ROW(G388)-ROW(G$15),0))</f>
        <v>-</v>
      </c>
      <c r="H388" s="124">
        <f ca="1">IF($D388&lt;&gt;"Serviço",0,IF(ACOMPANHAMENTO="BM",ROUND(OFFSET(ORÇAMENTO!AJ$15,ROW(H388)-ROW(H$15),0),15-13*ORÇAMENTO!$AF$7),SUMPRODUCT(($Q$12:$AA$12&lt;&gt;"")*ROUND($Q388:$AA388,15-13*ORÇAMENTO!$AF$7))))</f>
        <v>6</v>
      </c>
      <c r="I388" s="561" t="s">
        <v>890</v>
      </c>
      <c r="K388" s="174"/>
      <c r="L388" s="175" t="s">
        <v>255</v>
      </c>
      <c r="M388" s="176">
        <f ca="1">IF($D388&lt;&gt;"Serviço","",IF(AUTOEVENTO="manual",$A388,IF(ISERROR(MATCH($A388,$A$15:OFFSET($A388,-1,0),0)),MAX($M$15:OFFSET(M388,-1,0))+1,INDEX($M$15:OFFSET(M388,-1,0),MATCH($A388,$A$15:OFFSET($A388,-1,0),0)))))</f>
        <v>15</v>
      </c>
      <c r="N388" s="177" t="str">
        <f ca="1">IF($D388&lt;&gt;"Serviço","",IF(AUTOEVENTO="Manual",IF($A388=0,"&lt;-- defina o número do agrupador",OFFSET(EVENTOS!$D$14,$A388,0)),OFFSET($F$15,$A388,0)))</f>
        <v>INSTALAÇÕES DE ESGOTO SANITÁRIO</v>
      </c>
      <c r="O388" s="178"/>
      <c r="Q388" s="178"/>
      <c r="R388" s="179"/>
      <c r="S388" s="179"/>
      <c r="T388" s="179"/>
      <c r="U388" s="179"/>
      <c r="V388" s="179"/>
      <c r="W388" s="179"/>
      <c r="X388" s="179"/>
      <c r="Y388" s="179"/>
      <c r="Z388" s="180"/>
      <c r="AB388" s="544">
        <f ca="1">IF(AND($D388="Serviço",AB$12&lt;&gt;0,$H388&gt;0,OR(AUTOEVENTO&lt;&gt;"manual",$M388&lt;&gt;1)),
IF(Import.TipoArredondamento&lt;&gt;"TransfereGOV",
ROUND(OFFSET($P388,0,AB$13),15-13*ORÇAMENTO!$AF$7)/$H388*OFFSET(ORÇAMENTO!$X$15,ROW(AB388)-ROW(AB$15),0),
ROUND(ROUND(OFFSET($P388,0,AB$13),15-13*ORÇAMENTO!$AF$7)*OFFSET(ORÇAMENTO!$W$15,ROW(AB388)-ROW(AB$15),0),15-13*ORÇAMENTO!$AF$11)),0)</f>
        <v>0</v>
      </c>
      <c r="AC388" s="545">
        <f ca="1">IF(AND($D388="Serviço",AC$12&lt;&gt;0,$H388&gt;0,OR(AUTOEVENTO&lt;&gt;"manual",$M388&lt;&gt;1)),
IF(Import.TipoArredondamento&lt;&gt;"TransfereGOV",
ROUND(OFFSET($P388,0,AC$13),15-13*ORÇAMENTO!$AF$7)/$H388*OFFSET(ORÇAMENTO!$X$15,ROW(AC388)-ROW(AC$15),0),
ROUND(ROUND(OFFSET($P388,0,AC$13),15-13*ORÇAMENTO!$AF$7)*OFFSET(ORÇAMENTO!$W$15,ROW(AC388)-ROW(AC$15),0),15-13*ORÇAMENTO!$AF$11)),0)</f>
        <v>0</v>
      </c>
      <c r="AD388" s="545">
        <f ca="1">IF(AND($D388="Serviço",AD$12&lt;&gt;0,$H388&gt;0,OR(AUTOEVENTO&lt;&gt;"manual",$M388&lt;&gt;1)),
IF(Import.TipoArredondamento&lt;&gt;"TransfereGOV",
ROUND(OFFSET($P388,0,AD$13),15-13*ORÇAMENTO!$AF$7)/$H388*OFFSET(ORÇAMENTO!$X$15,ROW(AD388)-ROW(AD$15),0),
ROUND(ROUND(OFFSET($P388,0,AD$13),15-13*ORÇAMENTO!$AF$7)*OFFSET(ORÇAMENTO!$W$15,ROW(AD388)-ROW(AD$15),0),15-13*ORÇAMENTO!$AF$11)),0)</f>
        <v>0</v>
      </c>
      <c r="AE388" s="545">
        <f ca="1">IF(AND($D388="Serviço",AE$12&lt;&gt;0,$H388&gt;0,OR(AUTOEVENTO&lt;&gt;"manual",$M388&lt;&gt;1)),
IF(Import.TipoArredondamento&lt;&gt;"TransfereGOV",
ROUND(OFFSET($P388,0,AE$13),15-13*ORÇAMENTO!$AF$7)/$H388*OFFSET(ORÇAMENTO!$X$15,ROW(AE388)-ROW(AE$15),0),
ROUND(ROUND(OFFSET($P388,0,AE$13),15-13*ORÇAMENTO!$AF$7)*OFFSET(ORÇAMENTO!$W$15,ROW(AE388)-ROW(AE$15),0),15-13*ORÇAMENTO!$AF$11)),0)</f>
        <v>0</v>
      </c>
      <c r="AF388" s="545">
        <f ca="1">IF(AND($D388="Serviço",AF$12&lt;&gt;0,$H388&gt;0,OR(AUTOEVENTO&lt;&gt;"manual",$M388&lt;&gt;1)),
IF(Import.TipoArredondamento&lt;&gt;"TransfereGOV",
ROUND(OFFSET($P388,0,AF$13),15-13*ORÇAMENTO!$AF$7)/$H388*OFFSET(ORÇAMENTO!$X$15,ROW(AF388)-ROW(AF$15),0),
ROUND(ROUND(OFFSET($P388,0,AF$13),15-13*ORÇAMENTO!$AF$7)*OFFSET(ORÇAMENTO!$W$15,ROW(AF388)-ROW(AF$15),0),15-13*ORÇAMENTO!$AF$11)),0)</f>
        <v>0</v>
      </c>
      <c r="AG388" s="545">
        <f ca="1">IF(AND($D388="Serviço",AG$12&lt;&gt;0,$H388&gt;0,OR(AUTOEVENTO&lt;&gt;"manual",$M388&lt;&gt;1)),
IF(Import.TipoArredondamento&lt;&gt;"TransfereGOV",
ROUND(OFFSET($P388,0,AG$13),15-13*ORÇAMENTO!$AF$7)/$H388*OFFSET(ORÇAMENTO!$X$15,ROW(AG388)-ROW(AG$15),0),
ROUND(ROUND(OFFSET($P388,0,AG$13),15-13*ORÇAMENTO!$AF$7)*OFFSET(ORÇAMENTO!$W$15,ROW(AG388)-ROW(AG$15),0),15-13*ORÇAMENTO!$AF$11)),0)</f>
        <v>0</v>
      </c>
      <c r="AH388" s="545">
        <f ca="1">IF(AND($D388="Serviço",AH$12&lt;&gt;0,$H388&gt;0,OR(AUTOEVENTO&lt;&gt;"manual",$M388&lt;&gt;1)),
IF(Import.TipoArredondamento&lt;&gt;"TransfereGOV",
ROUND(OFFSET($P388,0,AH$13),15-13*ORÇAMENTO!$AF$7)/$H388*OFFSET(ORÇAMENTO!$X$15,ROW(AH388)-ROW(AH$15),0),
ROUND(ROUND(OFFSET($P388,0,AH$13),15-13*ORÇAMENTO!$AF$7)*OFFSET(ORÇAMENTO!$W$15,ROW(AH388)-ROW(AH$15),0),15-13*ORÇAMENTO!$AF$11)),0)</f>
        <v>0</v>
      </c>
      <c r="AI388" s="545">
        <f ca="1">IF(AND($D388="Serviço",AI$12&lt;&gt;0,$H388&gt;0,OR(AUTOEVENTO&lt;&gt;"manual",$M388&lt;&gt;1)),
IF(Import.TipoArredondamento&lt;&gt;"TransfereGOV",
ROUND(OFFSET($P388,0,AI$13),15-13*ORÇAMENTO!$AF$7)/$H388*OFFSET(ORÇAMENTO!$X$15,ROW(AI388)-ROW(AI$15),0),
ROUND(ROUND(OFFSET($P388,0,AI$13),15-13*ORÇAMENTO!$AF$7)*OFFSET(ORÇAMENTO!$W$15,ROW(AI388)-ROW(AI$15),0),15-13*ORÇAMENTO!$AF$11)),0)</f>
        <v>0</v>
      </c>
      <c r="AJ388" s="545">
        <f ca="1">IF(AND($D388="Serviço",AJ$12&lt;&gt;0,$H388&gt;0,OR(AUTOEVENTO&lt;&gt;"manual",$M388&lt;&gt;1)),
IF(Import.TipoArredondamento&lt;&gt;"TransfereGOV",
ROUND(OFFSET($P388,0,AJ$13),15-13*ORÇAMENTO!$AF$7)/$H388*OFFSET(ORÇAMENTO!$X$15,ROW(AJ388)-ROW(AJ$15),0),
ROUND(ROUND(OFFSET($P388,0,AJ$13),15-13*ORÇAMENTO!$AF$7)*OFFSET(ORÇAMENTO!$W$15,ROW(AJ388)-ROW(AJ$15),0),15-13*ORÇAMENTO!$AF$11)),0)</f>
        <v>0</v>
      </c>
      <c r="AK388" s="546">
        <f ca="1">IF(AND($D388="Serviço",AK$12&lt;&gt;0,$H388&gt;0,OR(AUTOEVENTO&lt;&gt;"manual",$M388&lt;&gt;1)),
IF(Import.TipoArredondamento&lt;&gt;"TransfereGOV",
ROUND(OFFSET($P388,0,AK$13),15-13*ORÇAMENTO!$AF$7)/$H388*OFFSET(ORÇAMENTO!$X$15,ROW(AK388)-ROW(AK$15),0),
ROUND(ROUND(OFFSET($P388,0,AK$13),15-13*ORÇAMENTO!$AF$7)*OFFSET(ORÇAMENTO!$W$15,ROW(AK388)-ROW(AK$15),0),15-13*ORÇAMENTO!$AF$11)),0)</f>
        <v>0</v>
      </c>
      <c r="AM388" s="181">
        <f ca="1">IF($D388&lt;&gt;"Serviço",0,IF(AND(AUTOEVENTO="Manual",$M388=1),0,IF(OFFSET(CRONOPLE!$F$14,$M388,AM$13)="",10^12,OFFSET(CRONOPLE!$F$14,$M388,AM$13))))</f>
        <v>1000000000000</v>
      </c>
      <c r="AN388" s="181">
        <f ca="1">IF($D388&lt;&gt;"Serviço",0,IF(AND(AUTOEVENTO="Manual",$M388=1),0,IF(OFFSET(CRONOPLE!$F$14,$M388,AN$13)="",10^12,OFFSET(CRONOPLE!$F$14,$M388,AN$13))))</f>
        <v>1000000000000</v>
      </c>
      <c r="AO388" s="181">
        <f ca="1">IF($D388&lt;&gt;"Serviço",0,IF(AND(AUTOEVENTO="Manual",$M388=1),0,IF(OFFSET(CRONOPLE!$F$14,$M388,AO$13)="",10^12,OFFSET(CRONOPLE!$F$14,$M388,AO$13))))</f>
        <v>1000000000000</v>
      </c>
      <c r="AP388" s="181">
        <f ca="1">IF($D388&lt;&gt;"Serviço",0,IF(AND(AUTOEVENTO="Manual",$M388=1),0,IF(OFFSET(CRONOPLE!$F$14,$M388,AP$13)="",10^12,OFFSET(CRONOPLE!$F$14,$M388,AP$13))))</f>
        <v>1000000000000</v>
      </c>
      <c r="AQ388" s="181">
        <f ca="1">IF($D388&lt;&gt;"Serviço",0,IF(AND(AUTOEVENTO="Manual",$M388=1),0,IF(OFFSET(CRONOPLE!$F$14,$M388,AQ$13)="",10^12,OFFSET(CRONOPLE!$F$14,$M388,AQ$13))))</f>
        <v>1000000000000</v>
      </c>
      <c r="AR388" s="181">
        <f ca="1">IF($D388&lt;&gt;"Serviço",0,IF(AND(AUTOEVENTO="Manual",$M388=1),0,IF(OFFSET(CRONOPLE!$F$14,$M388,AR$13)="",10^12,OFFSET(CRONOPLE!$F$14,$M388,AR$13))))</f>
        <v>1000000000000</v>
      </c>
      <c r="AS388" s="181">
        <f ca="1">IF($D388&lt;&gt;"Serviço",0,IF(AND(AUTOEVENTO="Manual",$M388=1),0,IF(OFFSET(CRONOPLE!$F$14,$M388,AS$13)="",10^12,OFFSET(CRONOPLE!$F$14,$M388,AS$13))))</f>
        <v>1000000000000</v>
      </c>
      <c r="AT388" s="181">
        <f ca="1">IF($D388&lt;&gt;"Serviço",0,IF(AND(AUTOEVENTO="Manual",$M388=1),0,IF(OFFSET(CRONOPLE!$F$14,$M388,AT$13)="",10^12,OFFSET(CRONOPLE!$F$14,$M388,AT$13))))</f>
        <v>1000000000000</v>
      </c>
      <c r="AU388" s="181">
        <f ca="1">IF($D388&lt;&gt;"Serviço",0,IF(AND(AUTOEVENTO="Manual",$M388=1),0,IF(OFFSET(CRONOPLE!$F$14,$M388,AU$13)="",10^12,OFFSET(CRONOPLE!$F$14,$M388,AU$13))))</f>
        <v>1000000000000</v>
      </c>
      <c r="AV388" s="181">
        <f ca="1">IF($D388&lt;&gt;"Serviço",0,IF(AND(AUTOEVENTO="Manual",$M388=1),0,IF(OFFSET(CRONOPLE!$F$14,$M388,AV$13)="",10^12,OFFSET(CRONOPLE!$F$14,$M388,AV$13))))</f>
        <v>1000000000000</v>
      </c>
      <c r="AX388" s="182">
        <f ca="1">IF($D388&lt;&gt;"Serviço",0,IF(OR(AND(AUTOEVENTO="Manual",$M388=1),$M388&gt;(ROW(PLE.lastrow)-ROW(PLE.firstrow))),0,IF(OFFSET(PLE!$G$14,$M388,AX$13)="",10^12,OFFSET(PLE!$G$14,$M388,AX$13))))</f>
        <v>1000000000000</v>
      </c>
      <c r="AY388" s="182">
        <f ca="1">IF($D388&lt;&gt;"Serviço",0,IF(OR(AND(AUTOEVENTO="Manual",$M388=1),$M388&gt;(ROW(PLE.lastrow)-ROW(PLE.firstrow))),0,IF(OFFSET(PLE!$G$14,$M388,AY$13)="",10^12,OFFSET(PLE!$G$14,$M388,AY$13))))</f>
        <v>1000000000000</v>
      </c>
      <c r="AZ388" s="182">
        <f ca="1">IF($D388&lt;&gt;"Serviço",0,IF(OR(AND(AUTOEVENTO="Manual",$M388=1),$M388&gt;(ROW(PLE.lastrow)-ROW(PLE.firstrow))),0,IF(OFFSET(PLE!$G$14,$M388,AZ$13)="",10^12,OFFSET(PLE!$G$14,$M388,AZ$13))))</f>
        <v>1000000000000</v>
      </c>
      <c r="BA388" s="182">
        <f ca="1">IF($D388&lt;&gt;"Serviço",0,IF(OR(AND(AUTOEVENTO="Manual",$M388=1),$M388&gt;(ROW(PLE.lastrow)-ROW(PLE.firstrow))),0,IF(OFFSET(PLE!$G$14,$M388,BA$13)="",10^12,OFFSET(PLE!$G$14,$M388,BA$13))))</f>
        <v>1000000000000</v>
      </c>
      <c r="BB388" s="182">
        <f ca="1">IF($D388&lt;&gt;"Serviço",0,IF(OR(AND(AUTOEVENTO="Manual",$M388=1),$M388&gt;(ROW(PLE.lastrow)-ROW(PLE.firstrow))),0,IF(OFFSET(PLE!$G$14,$M388,BB$13)="",10^12,OFFSET(PLE!$G$14,$M388,BB$13))))</f>
        <v>1000000000000</v>
      </c>
      <c r="BC388" s="182">
        <f ca="1">IF($D388&lt;&gt;"Serviço",0,IF(OR(AND(AUTOEVENTO="Manual",$M388=1),$M388&gt;(ROW(PLE.lastrow)-ROW(PLE.firstrow))),0,IF(OFFSET(PLE!$G$14,$M388,BC$13)="",10^12,OFFSET(PLE!$G$14,$M388,BC$13))))</f>
        <v>1000000000000</v>
      </c>
      <c r="BD388" s="182">
        <f ca="1">IF($D388&lt;&gt;"Serviço",0,IF(OR(AND(AUTOEVENTO="Manual",$M388=1),$M388&gt;(ROW(PLE.lastrow)-ROW(PLE.firstrow))),0,IF(OFFSET(PLE!$G$14,$M388,BD$13)="",10^12,OFFSET(PLE!$G$14,$M388,BD$13))))</f>
        <v>1000000000000</v>
      </c>
      <c r="BE388" s="182">
        <f ca="1">IF($D388&lt;&gt;"Serviço",0,IF(OR(AND(AUTOEVENTO="Manual",$M388=1),$M388&gt;(ROW(PLE.lastrow)-ROW(PLE.firstrow))),0,IF(OFFSET(PLE!$G$14,$M388,BE$13)="",10^12,OFFSET(PLE!$G$14,$M388,BE$13))))</f>
        <v>1000000000000</v>
      </c>
      <c r="BF388" s="182">
        <f ca="1">IF($D388&lt;&gt;"Serviço",0,IF(OR(AND(AUTOEVENTO="Manual",$M388=1),$M388&gt;(ROW(PLE.lastrow)-ROW(PLE.firstrow))),0,IF(OFFSET(PLE!$G$14,$M388,BF$13)="",10^12,OFFSET(PLE!$G$14,$M388,BF$13))))</f>
        <v>1000000000000</v>
      </c>
      <c r="BG388" s="182">
        <f ca="1">IF($D388&lt;&gt;"Serviço",0,IF(OR(AND(AUTOEVENTO="Manual",$M388=1),$M388&gt;(ROW(PLE.lastrow)-ROW(PLE.firstrow))),0,IF(OFFSET(PLE!$G$14,$M388,BG$13)="",10^12,OFFSET(PLE!$G$14,$M388,BG$13))))</f>
        <v>1000000000000</v>
      </c>
    </row>
    <row r="389" spans="1:59" ht="38.25" x14ac:dyDescent="0.2">
      <c r="A389" s="7" t="str">
        <f t="shared" ca="1" si="11"/>
        <v>325</v>
      </c>
      <c r="B389" s="7" t="str">
        <f ca="1">OFFSET(ORÇAMENTO!C$15,ROW(B389)-ROW(B$15),0)</f>
        <v>S</v>
      </c>
      <c r="C389" s="7" t="str">
        <f ca="1">OFFSET(ORÇAMENTO!L$15,ROW(C389)-ROW(C$15),0)</f>
        <v/>
      </c>
      <c r="D389" s="118" t="str">
        <f ca="1">OFFSET(ORÇAMENTO!N$15,ROW(D389)-ROW(D$15),0)</f>
        <v>Serviço</v>
      </c>
      <c r="E389" s="119" t="str">
        <f ca="1">OFFSET(ORÇAMENTO!O$15,ROW(E389)-ROW(E$15),0)</f>
        <v>-</v>
      </c>
      <c r="F389" s="172" t="str">
        <f ca="1">OFFSET(ORÇAMENTO!R$15,ROW(F389)-ROW(F$15),0)</f>
        <v>(abra o arquivo 'Referência 02-2025.xlsm)</v>
      </c>
      <c r="G389" s="173" t="str">
        <f ca="1">IF($D389&lt;&gt;"Serviço","",OFFSET(ORÇAMENTO!S$15,ROW(G389)-ROW(G$15),0))</f>
        <v>-</v>
      </c>
      <c r="H389" s="124">
        <f ca="1">IF($D389&lt;&gt;"Serviço",0,IF(ACOMPANHAMENTO="BM",ROUND(OFFSET(ORÇAMENTO!AJ$15,ROW(H389)-ROW(H$15),0),15-13*ORÇAMENTO!$AF$7),SUMPRODUCT(($Q$12:$AA$12&lt;&gt;"")*ROUND($Q389:$AA389,15-13*ORÇAMENTO!$AF$7))))</f>
        <v>56</v>
      </c>
      <c r="I389" s="561" t="s">
        <v>890</v>
      </c>
      <c r="K389" s="174"/>
      <c r="L389" s="175" t="s">
        <v>255</v>
      </c>
      <c r="M389" s="176">
        <f ca="1">IF($D389&lt;&gt;"Serviço","",IF(AUTOEVENTO="manual",$A389,IF(ISERROR(MATCH($A389,$A$15:OFFSET($A389,-1,0),0)),MAX($M$15:OFFSET(M389,-1,0))+1,INDEX($M$15:OFFSET(M389,-1,0),MATCH($A389,$A$15:OFFSET($A389,-1,0),0)))))</f>
        <v>15</v>
      </c>
      <c r="N389" s="177" t="str">
        <f ca="1">IF($D389&lt;&gt;"Serviço","",IF(AUTOEVENTO="Manual",IF($A389=0,"&lt;-- defina o número do agrupador",OFFSET(EVENTOS!$D$14,$A389,0)),OFFSET($F$15,$A389,0)))</f>
        <v>INSTALAÇÕES DE ESGOTO SANITÁRIO</v>
      </c>
      <c r="O389" s="178"/>
      <c r="Q389" s="178"/>
      <c r="R389" s="179"/>
      <c r="S389" s="179"/>
      <c r="T389" s="179"/>
      <c r="U389" s="179"/>
      <c r="V389" s="179"/>
      <c r="W389" s="179"/>
      <c r="X389" s="179"/>
      <c r="Y389" s="179"/>
      <c r="Z389" s="180"/>
      <c r="AB389" s="544">
        <f ca="1">IF(AND($D389="Serviço",AB$12&lt;&gt;0,$H389&gt;0,OR(AUTOEVENTO&lt;&gt;"manual",$M389&lt;&gt;1)),
IF(Import.TipoArredondamento&lt;&gt;"TransfereGOV",
ROUND(OFFSET($P389,0,AB$13),15-13*ORÇAMENTO!$AF$7)/$H389*OFFSET(ORÇAMENTO!$X$15,ROW(AB389)-ROW(AB$15),0),
ROUND(ROUND(OFFSET($P389,0,AB$13),15-13*ORÇAMENTO!$AF$7)*OFFSET(ORÇAMENTO!$W$15,ROW(AB389)-ROW(AB$15),0),15-13*ORÇAMENTO!$AF$11)),0)</f>
        <v>0</v>
      </c>
      <c r="AC389" s="545">
        <f ca="1">IF(AND($D389="Serviço",AC$12&lt;&gt;0,$H389&gt;0,OR(AUTOEVENTO&lt;&gt;"manual",$M389&lt;&gt;1)),
IF(Import.TipoArredondamento&lt;&gt;"TransfereGOV",
ROUND(OFFSET($P389,0,AC$13),15-13*ORÇAMENTO!$AF$7)/$H389*OFFSET(ORÇAMENTO!$X$15,ROW(AC389)-ROW(AC$15),0),
ROUND(ROUND(OFFSET($P389,0,AC$13),15-13*ORÇAMENTO!$AF$7)*OFFSET(ORÇAMENTO!$W$15,ROW(AC389)-ROW(AC$15),0),15-13*ORÇAMENTO!$AF$11)),0)</f>
        <v>0</v>
      </c>
      <c r="AD389" s="545">
        <f ca="1">IF(AND($D389="Serviço",AD$12&lt;&gt;0,$H389&gt;0,OR(AUTOEVENTO&lt;&gt;"manual",$M389&lt;&gt;1)),
IF(Import.TipoArredondamento&lt;&gt;"TransfereGOV",
ROUND(OFFSET($P389,0,AD$13),15-13*ORÇAMENTO!$AF$7)/$H389*OFFSET(ORÇAMENTO!$X$15,ROW(AD389)-ROW(AD$15),0),
ROUND(ROUND(OFFSET($P389,0,AD$13),15-13*ORÇAMENTO!$AF$7)*OFFSET(ORÇAMENTO!$W$15,ROW(AD389)-ROW(AD$15),0),15-13*ORÇAMENTO!$AF$11)),0)</f>
        <v>0</v>
      </c>
      <c r="AE389" s="545">
        <f ca="1">IF(AND($D389="Serviço",AE$12&lt;&gt;0,$H389&gt;0,OR(AUTOEVENTO&lt;&gt;"manual",$M389&lt;&gt;1)),
IF(Import.TipoArredondamento&lt;&gt;"TransfereGOV",
ROUND(OFFSET($P389,0,AE$13),15-13*ORÇAMENTO!$AF$7)/$H389*OFFSET(ORÇAMENTO!$X$15,ROW(AE389)-ROW(AE$15),0),
ROUND(ROUND(OFFSET($P389,0,AE$13),15-13*ORÇAMENTO!$AF$7)*OFFSET(ORÇAMENTO!$W$15,ROW(AE389)-ROW(AE$15),0),15-13*ORÇAMENTO!$AF$11)),0)</f>
        <v>0</v>
      </c>
      <c r="AF389" s="545">
        <f ca="1">IF(AND($D389="Serviço",AF$12&lt;&gt;0,$H389&gt;0,OR(AUTOEVENTO&lt;&gt;"manual",$M389&lt;&gt;1)),
IF(Import.TipoArredondamento&lt;&gt;"TransfereGOV",
ROUND(OFFSET($P389,0,AF$13),15-13*ORÇAMENTO!$AF$7)/$H389*OFFSET(ORÇAMENTO!$X$15,ROW(AF389)-ROW(AF$15),0),
ROUND(ROUND(OFFSET($P389,0,AF$13),15-13*ORÇAMENTO!$AF$7)*OFFSET(ORÇAMENTO!$W$15,ROW(AF389)-ROW(AF$15),0),15-13*ORÇAMENTO!$AF$11)),0)</f>
        <v>0</v>
      </c>
      <c r="AG389" s="545">
        <f ca="1">IF(AND($D389="Serviço",AG$12&lt;&gt;0,$H389&gt;0,OR(AUTOEVENTO&lt;&gt;"manual",$M389&lt;&gt;1)),
IF(Import.TipoArredondamento&lt;&gt;"TransfereGOV",
ROUND(OFFSET($P389,0,AG$13),15-13*ORÇAMENTO!$AF$7)/$H389*OFFSET(ORÇAMENTO!$X$15,ROW(AG389)-ROW(AG$15),0),
ROUND(ROUND(OFFSET($P389,0,AG$13),15-13*ORÇAMENTO!$AF$7)*OFFSET(ORÇAMENTO!$W$15,ROW(AG389)-ROW(AG$15),0),15-13*ORÇAMENTO!$AF$11)),0)</f>
        <v>0</v>
      </c>
      <c r="AH389" s="545">
        <f ca="1">IF(AND($D389="Serviço",AH$12&lt;&gt;0,$H389&gt;0,OR(AUTOEVENTO&lt;&gt;"manual",$M389&lt;&gt;1)),
IF(Import.TipoArredondamento&lt;&gt;"TransfereGOV",
ROUND(OFFSET($P389,0,AH$13),15-13*ORÇAMENTO!$AF$7)/$H389*OFFSET(ORÇAMENTO!$X$15,ROW(AH389)-ROW(AH$15),0),
ROUND(ROUND(OFFSET($P389,0,AH$13),15-13*ORÇAMENTO!$AF$7)*OFFSET(ORÇAMENTO!$W$15,ROW(AH389)-ROW(AH$15),0),15-13*ORÇAMENTO!$AF$11)),0)</f>
        <v>0</v>
      </c>
      <c r="AI389" s="545">
        <f ca="1">IF(AND($D389="Serviço",AI$12&lt;&gt;0,$H389&gt;0,OR(AUTOEVENTO&lt;&gt;"manual",$M389&lt;&gt;1)),
IF(Import.TipoArredondamento&lt;&gt;"TransfereGOV",
ROUND(OFFSET($P389,0,AI$13),15-13*ORÇAMENTO!$AF$7)/$H389*OFFSET(ORÇAMENTO!$X$15,ROW(AI389)-ROW(AI$15),0),
ROUND(ROUND(OFFSET($P389,0,AI$13),15-13*ORÇAMENTO!$AF$7)*OFFSET(ORÇAMENTO!$W$15,ROW(AI389)-ROW(AI$15),0),15-13*ORÇAMENTO!$AF$11)),0)</f>
        <v>0</v>
      </c>
      <c r="AJ389" s="545">
        <f ca="1">IF(AND($D389="Serviço",AJ$12&lt;&gt;0,$H389&gt;0,OR(AUTOEVENTO&lt;&gt;"manual",$M389&lt;&gt;1)),
IF(Import.TipoArredondamento&lt;&gt;"TransfereGOV",
ROUND(OFFSET($P389,0,AJ$13),15-13*ORÇAMENTO!$AF$7)/$H389*OFFSET(ORÇAMENTO!$X$15,ROW(AJ389)-ROW(AJ$15),0),
ROUND(ROUND(OFFSET($P389,0,AJ$13),15-13*ORÇAMENTO!$AF$7)*OFFSET(ORÇAMENTO!$W$15,ROW(AJ389)-ROW(AJ$15),0),15-13*ORÇAMENTO!$AF$11)),0)</f>
        <v>0</v>
      </c>
      <c r="AK389" s="546">
        <f ca="1">IF(AND($D389="Serviço",AK$12&lt;&gt;0,$H389&gt;0,OR(AUTOEVENTO&lt;&gt;"manual",$M389&lt;&gt;1)),
IF(Import.TipoArredondamento&lt;&gt;"TransfereGOV",
ROUND(OFFSET($P389,0,AK$13),15-13*ORÇAMENTO!$AF$7)/$H389*OFFSET(ORÇAMENTO!$X$15,ROW(AK389)-ROW(AK$15),0),
ROUND(ROUND(OFFSET($P389,0,AK$13),15-13*ORÇAMENTO!$AF$7)*OFFSET(ORÇAMENTO!$W$15,ROW(AK389)-ROW(AK$15),0),15-13*ORÇAMENTO!$AF$11)),0)</f>
        <v>0</v>
      </c>
      <c r="AM389" s="181">
        <f ca="1">IF($D389&lt;&gt;"Serviço",0,IF(AND(AUTOEVENTO="Manual",$M389=1),0,IF(OFFSET(CRONOPLE!$F$14,$M389,AM$13)="",10^12,OFFSET(CRONOPLE!$F$14,$M389,AM$13))))</f>
        <v>1000000000000</v>
      </c>
      <c r="AN389" s="181">
        <f ca="1">IF($D389&lt;&gt;"Serviço",0,IF(AND(AUTOEVENTO="Manual",$M389=1),0,IF(OFFSET(CRONOPLE!$F$14,$M389,AN$13)="",10^12,OFFSET(CRONOPLE!$F$14,$M389,AN$13))))</f>
        <v>1000000000000</v>
      </c>
      <c r="AO389" s="181">
        <f ca="1">IF($D389&lt;&gt;"Serviço",0,IF(AND(AUTOEVENTO="Manual",$M389=1),0,IF(OFFSET(CRONOPLE!$F$14,$M389,AO$13)="",10^12,OFFSET(CRONOPLE!$F$14,$M389,AO$13))))</f>
        <v>1000000000000</v>
      </c>
      <c r="AP389" s="181">
        <f ca="1">IF($D389&lt;&gt;"Serviço",0,IF(AND(AUTOEVENTO="Manual",$M389=1),0,IF(OFFSET(CRONOPLE!$F$14,$M389,AP$13)="",10^12,OFFSET(CRONOPLE!$F$14,$M389,AP$13))))</f>
        <v>1000000000000</v>
      </c>
      <c r="AQ389" s="181">
        <f ca="1">IF($D389&lt;&gt;"Serviço",0,IF(AND(AUTOEVENTO="Manual",$M389=1),0,IF(OFFSET(CRONOPLE!$F$14,$M389,AQ$13)="",10^12,OFFSET(CRONOPLE!$F$14,$M389,AQ$13))))</f>
        <v>1000000000000</v>
      </c>
      <c r="AR389" s="181">
        <f ca="1">IF($D389&lt;&gt;"Serviço",0,IF(AND(AUTOEVENTO="Manual",$M389=1),0,IF(OFFSET(CRONOPLE!$F$14,$M389,AR$13)="",10^12,OFFSET(CRONOPLE!$F$14,$M389,AR$13))))</f>
        <v>1000000000000</v>
      </c>
      <c r="AS389" s="181">
        <f ca="1">IF($D389&lt;&gt;"Serviço",0,IF(AND(AUTOEVENTO="Manual",$M389=1),0,IF(OFFSET(CRONOPLE!$F$14,$M389,AS$13)="",10^12,OFFSET(CRONOPLE!$F$14,$M389,AS$13))))</f>
        <v>1000000000000</v>
      </c>
      <c r="AT389" s="181">
        <f ca="1">IF($D389&lt;&gt;"Serviço",0,IF(AND(AUTOEVENTO="Manual",$M389=1),0,IF(OFFSET(CRONOPLE!$F$14,$M389,AT$13)="",10^12,OFFSET(CRONOPLE!$F$14,$M389,AT$13))))</f>
        <v>1000000000000</v>
      </c>
      <c r="AU389" s="181">
        <f ca="1">IF($D389&lt;&gt;"Serviço",0,IF(AND(AUTOEVENTO="Manual",$M389=1),0,IF(OFFSET(CRONOPLE!$F$14,$M389,AU$13)="",10^12,OFFSET(CRONOPLE!$F$14,$M389,AU$13))))</f>
        <v>1000000000000</v>
      </c>
      <c r="AV389" s="181">
        <f ca="1">IF($D389&lt;&gt;"Serviço",0,IF(AND(AUTOEVENTO="Manual",$M389=1),0,IF(OFFSET(CRONOPLE!$F$14,$M389,AV$13)="",10^12,OFFSET(CRONOPLE!$F$14,$M389,AV$13))))</f>
        <v>1000000000000</v>
      </c>
      <c r="AX389" s="182">
        <f ca="1">IF($D389&lt;&gt;"Serviço",0,IF(OR(AND(AUTOEVENTO="Manual",$M389=1),$M389&gt;(ROW(PLE.lastrow)-ROW(PLE.firstrow))),0,IF(OFFSET(PLE!$G$14,$M389,AX$13)="",10^12,OFFSET(PLE!$G$14,$M389,AX$13))))</f>
        <v>1000000000000</v>
      </c>
      <c r="AY389" s="182">
        <f ca="1">IF($D389&lt;&gt;"Serviço",0,IF(OR(AND(AUTOEVENTO="Manual",$M389=1),$M389&gt;(ROW(PLE.lastrow)-ROW(PLE.firstrow))),0,IF(OFFSET(PLE!$G$14,$M389,AY$13)="",10^12,OFFSET(PLE!$G$14,$M389,AY$13))))</f>
        <v>1000000000000</v>
      </c>
      <c r="AZ389" s="182">
        <f ca="1">IF($D389&lt;&gt;"Serviço",0,IF(OR(AND(AUTOEVENTO="Manual",$M389=1),$M389&gt;(ROW(PLE.lastrow)-ROW(PLE.firstrow))),0,IF(OFFSET(PLE!$G$14,$M389,AZ$13)="",10^12,OFFSET(PLE!$G$14,$M389,AZ$13))))</f>
        <v>1000000000000</v>
      </c>
      <c r="BA389" s="182">
        <f ca="1">IF($D389&lt;&gt;"Serviço",0,IF(OR(AND(AUTOEVENTO="Manual",$M389=1),$M389&gt;(ROW(PLE.lastrow)-ROW(PLE.firstrow))),0,IF(OFFSET(PLE!$G$14,$M389,BA$13)="",10^12,OFFSET(PLE!$G$14,$M389,BA$13))))</f>
        <v>1000000000000</v>
      </c>
      <c r="BB389" s="182">
        <f ca="1">IF($D389&lt;&gt;"Serviço",0,IF(OR(AND(AUTOEVENTO="Manual",$M389=1),$M389&gt;(ROW(PLE.lastrow)-ROW(PLE.firstrow))),0,IF(OFFSET(PLE!$G$14,$M389,BB$13)="",10^12,OFFSET(PLE!$G$14,$M389,BB$13))))</f>
        <v>1000000000000</v>
      </c>
      <c r="BC389" s="182">
        <f ca="1">IF($D389&lt;&gt;"Serviço",0,IF(OR(AND(AUTOEVENTO="Manual",$M389=1),$M389&gt;(ROW(PLE.lastrow)-ROW(PLE.firstrow))),0,IF(OFFSET(PLE!$G$14,$M389,BC$13)="",10^12,OFFSET(PLE!$G$14,$M389,BC$13))))</f>
        <v>1000000000000</v>
      </c>
      <c r="BD389" s="182">
        <f ca="1">IF($D389&lt;&gt;"Serviço",0,IF(OR(AND(AUTOEVENTO="Manual",$M389=1),$M389&gt;(ROW(PLE.lastrow)-ROW(PLE.firstrow))),0,IF(OFFSET(PLE!$G$14,$M389,BD$13)="",10^12,OFFSET(PLE!$G$14,$M389,BD$13))))</f>
        <v>1000000000000</v>
      </c>
      <c r="BE389" s="182">
        <f ca="1">IF($D389&lt;&gt;"Serviço",0,IF(OR(AND(AUTOEVENTO="Manual",$M389=1),$M389&gt;(ROW(PLE.lastrow)-ROW(PLE.firstrow))),0,IF(OFFSET(PLE!$G$14,$M389,BE$13)="",10^12,OFFSET(PLE!$G$14,$M389,BE$13))))</f>
        <v>1000000000000</v>
      </c>
      <c r="BF389" s="182">
        <f ca="1">IF($D389&lt;&gt;"Serviço",0,IF(OR(AND(AUTOEVENTO="Manual",$M389=1),$M389&gt;(ROW(PLE.lastrow)-ROW(PLE.firstrow))),0,IF(OFFSET(PLE!$G$14,$M389,BF$13)="",10^12,OFFSET(PLE!$G$14,$M389,BF$13))))</f>
        <v>1000000000000</v>
      </c>
      <c r="BG389" s="182">
        <f ca="1">IF($D389&lt;&gt;"Serviço",0,IF(OR(AND(AUTOEVENTO="Manual",$M389=1),$M389&gt;(ROW(PLE.lastrow)-ROW(PLE.firstrow))),0,IF(OFFSET(PLE!$G$14,$M389,BG$13)="",10^12,OFFSET(PLE!$G$14,$M389,BG$13))))</f>
        <v>1000000000000</v>
      </c>
    </row>
    <row r="390" spans="1:59" ht="25.5" x14ac:dyDescent="0.2">
      <c r="A390" s="7" t="str">
        <f t="shared" ca="1" si="11"/>
        <v>325</v>
      </c>
      <c r="B390" s="7" t="str">
        <f ca="1">OFFSET(ORÇAMENTO!C$15,ROW(B390)-ROW(B$15),0)</f>
        <v>S</v>
      </c>
      <c r="C390" s="7" t="str">
        <f ca="1">OFFSET(ORÇAMENTO!L$15,ROW(C390)-ROW(C$15),0)</f>
        <v/>
      </c>
      <c r="D390" s="118" t="str">
        <f ca="1">OFFSET(ORÇAMENTO!N$15,ROW(D390)-ROW(D$15),0)</f>
        <v>Serviço</v>
      </c>
      <c r="E390" s="119" t="str">
        <f ca="1">OFFSET(ORÇAMENTO!O$15,ROW(E390)-ROW(E$15),0)</f>
        <v>-</v>
      </c>
      <c r="F390" s="172" t="str">
        <f ca="1">OFFSET(ORÇAMENTO!R$15,ROW(F390)-ROW(F$15),0)</f>
        <v>(abra o arquivo 'Referência 02-2025.xlsm)</v>
      </c>
      <c r="G390" s="173" t="str">
        <f ca="1">IF($D390&lt;&gt;"Serviço","",OFFSET(ORÇAMENTO!S$15,ROW(G390)-ROW(G$15),0))</f>
        <v>-</v>
      </c>
      <c r="H390" s="124">
        <f ca="1">IF($D390&lt;&gt;"Serviço",0,IF(ACOMPANHAMENTO="BM",ROUND(OFFSET(ORÇAMENTO!AJ$15,ROW(H390)-ROW(H$15),0),15-13*ORÇAMENTO!$AF$7),SUMPRODUCT(($Q$12:$AA$12&lt;&gt;"")*ROUND($Q390:$AA390,15-13*ORÇAMENTO!$AF$7))))</f>
        <v>7</v>
      </c>
      <c r="I390" s="561" t="s">
        <v>890</v>
      </c>
      <c r="K390" s="174"/>
      <c r="L390" s="175" t="s">
        <v>255</v>
      </c>
      <c r="M390" s="176">
        <f ca="1">IF($D390&lt;&gt;"Serviço","",IF(AUTOEVENTO="manual",$A390,IF(ISERROR(MATCH($A390,$A$15:OFFSET($A390,-1,0),0)),MAX($M$15:OFFSET(M390,-1,0))+1,INDEX($M$15:OFFSET(M390,-1,0),MATCH($A390,$A$15:OFFSET($A390,-1,0),0)))))</f>
        <v>15</v>
      </c>
      <c r="N390" s="177" t="str">
        <f ca="1">IF($D390&lt;&gt;"Serviço","",IF(AUTOEVENTO="Manual",IF($A390=0,"&lt;-- defina o número do agrupador",OFFSET(EVENTOS!$D$14,$A390,0)),OFFSET($F$15,$A390,0)))</f>
        <v>INSTALAÇÕES DE ESGOTO SANITÁRIO</v>
      </c>
      <c r="O390" s="178"/>
      <c r="Q390" s="178"/>
      <c r="R390" s="179"/>
      <c r="S390" s="179"/>
      <c r="T390" s="179"/>
      <c r="U390" s="179"/>
      <c r="V390" s="179"/>
      <c r="W390" s="179"/>
      <c r="X390" s="179"/>
      <c r="Y390" s="179"/>
      <c r="Z390" s="180"/>
      <c r="AB390" s="544">
        <f ca="1">IF(AND($D390="Serviço",AB$12&lt;&gt;0,$H390&gt;0,OR(AUTOEVENTO&lt;&gt;"manual",$M390&lt;&gt;1)),
IF(Import.TipoArredondamento&lt;&gt;"TransfereGOV",
ROUND(OFFSET($P390,0,AB$13),15-13*ORÇAMENTO!$AF$7)/$H390*OFFSET(ORÇAMENTO!$X$15,ROW(AB390)-ROW(AB$15),0),
ROUND(ROUND(OFFSET($P390,0,AB$13),15-13*ORÇAMENTO!$AF$7)*OFFSET(ORÇAMENTO!$W$15,ROW(AB390)-ROW(AB$15),0),15-13*ORÇAMENTO!$AF$11)),0)</f>
        <v>0</v>
      </c>
      <c r="AC390" s="545">
        <f ca="1">IF(AND($D390="Serviço",AC$12&lt;&gt;0,$H390&gt;0,OR(AUTOEVENTO&lt;&gt;"manual",$M390&lt;&gt;1)),
IF(Import.TipoArredondamento&lt;&gt;"TransfereGOV",
ROUND(OFFSET($P390,0,AC$13),15-13*ORÇAMENTO!$AF$7)/$H390*OFFSET(ORÇAMENTO!$X$15,ROW(AC390)-ROW(AC$15),0),
ROUND(ROUND(OFFSET($P390,0,AC$13),15-13*ORÇAMENTO!$AF$7)*OFFSET(ORÇAMENTO!$W$15,ROW(AC390)-ROW(AC$15),0),15-13*ORÇAMENTO!$AF$11)),0)</f>
        <v>0</v>
      </c>
      <c r="AD390" s="545">
        <f ca="1">IF(AND($D390="Serviço",AD$12&lt;&gt;0,$H390&gt;0,OR(AUTOEVENTO&lt;&gt;"manual",$M390&lt;&gt;1)),
IF(Import.TipoArredondamento&lt;&gt;"TransfereGOV",
ROUND(OFFSET($P390,0,AD$13),15-13*ORÇAMENTO!$AF$7)/$H390*OFFSET(ORÇAMENTO!$X$15,ROW(AD390)-ROW(AD$15),0),
ROUND(ROUND(OFFSET($P390,0,AD$13),15-13*ORÇAMENTO!$AF$7)*OFFSET(ORÇAMENTO!$W$15,ROW(AD390)-ROW(AD$15),0),15-13*ORÇAMENTO!$AF$11)),0)</f>
        <v>0</v>
      </c>
      <c r="AE390" s="545">
        <f ca="1">IF(AND($D390="Serviço",AE$12&lt;&gt;0,$H390&gt;0,OR(AUTOEVENTO&lt;&gt;"manual",$M390&lt;&gt;1)),
IF(Import.TipoArredondamento&lt;&gt;"TransfereGOV",
ROUND(OFFSET($P390,0,AE$13),15-13*ORÇAMENTO!$AF$7)/$H390*OFFSET(ORÇAMENTO!$X$15,ROW(AE390)-ROW(AE$15),0),
ROUND(ROUND(OFFSET($P390,0,AE$13),15-13*ORÇAMENTO!$AF$7)*OFFSET(ORÇAMENTO!$W$15,ROW(AE390)-ROW(AE$15),0),15-13*ORÇAMENTO!$AF$11)),0)</f>
        <v>0</v>
      </c>
      <c r="AF390" s="545">
        <f ca="1">IF(AND($D390="Serviço",AF$12&lt;&gt;0,$H390&gt;0,OR(AUTOEVENTO&lt;&gt;"manual",$M390&lt;&gt;1)),
IF(Import.TipoArredondamento&lt;&gt;"TransfereGOV",
ROUND(OFFSET($P390,0,AF$13),15-13*ORÇAMENTO!$AF$7)/$H390*OFFSET(ORÇAMENTO!$X$15,ROW(AF390)-ROW(AF$15),0),
ROUND(ROUND(OFFSET($P390,0,AF$13),15-13*ORÇAMENTO!$AF$7)*OFFSET(ORÇAMENTO!$W$15,ROW(AF390)-ROW(AF$15),0),15-13*ORÇAMENTO!$AF$11)),0)</f>
        <v>0</v>
      </c>
      <c r="AG390" s="545">
        <f ca="1">IF(AND($D390="Serviço",AG$12&lt;&gt;0,$H390&gt;0,OR(AUTOEVENTO&lt;&gt;"manual",$M390&lt;&gt;1)),
IF(Import.TipoArredondamento&lt;&gt;"TransfereGOV",
ROUND(OFFSET($P390,0,AG$13),15-13*ORÇAMENTO!$AF$7)/$H390*OFFSET(ORÇAMENTO!$X$15,ROW(AG390)-ROW(AG$15),0),
ROUND(ROUND(OFFSET($P390,0,AG$13),15-13*ORÇAMENTO!$AF$7)*OFFSET(ORÇAMENTO!$W$15,ROW(AG390)-ROW(AG$15),0),15-13*ORÇAMENTO!$AF$11)),0)</f>
        <v>0</v>
      </c>
      <c r="AH390" s="545">
        <f ca="1">IF(AND($D390="Serviço",AH$12&lt;&gt;0,$H390&gt;0,OR(AUTOEVENTO&lt;&gt;"manual",$M390&lt;&gt;1)),
IF(Import.TipoArredondamento&lt;&gt;"TransfereGOV",
ROUND(OFFSET($P390,0,AH$13),15-13*ORÇAMENTO!$AF$7)/$H390*OFFSET(ORÇAMENTO!$X$15,ROW(AH390)-ROW(AH$15),0),
ROUND(ROUND(OFFSET($P390,0,AH$13),15-13*ORÇAMENTO!$AF$7)*OFFSET(ORÇAMENTO!$W$15,ROW(AH390)-ROW(AH$15),0),15-13*ORÇAMENTO!$AF$11)),0)</f>
        <v>0</v>
      </c>
      <c r="AI390" s="545">
        <f ca="1">IF(AND($D390="Serviço",AI$12&lt;&gt;0,$H390&gt;0,OR(AUTOEVENTO&lt;&gt;"manual",$M390&lt;&gt;1)),
IF(Import.TipoArredondamento&lt;&gt;"TransfereGOV",
ROUND(OFFSET($P390,0,AI$13),15-13*ORÇAMENTO!$AF$7)/$H390*OFFSET(ORÇAMENTO!$X$15,ROW(AI390)-ROW(AI$15),0),
ROUND(ROUND(OFFSET($P390,0,AI$13),15-13*ORÇAMENTO!$AF$7)*OFFSET(ORÇAMENTO!$W$15,ROW(AI390)-ROW(AI$15),0),15-13*ORÇAMENTO!$AF$11)),0)</f>
        <v>0</v>
      </c>
      <c r="AJ390" s="545">
        <f ca="1">IF(AND($D390="Serviço",AJ$12&lt;&gt;0,$H390&gt;0,OR(AUTOEVENTO&lt;&gt;"manual",$M390&lt;&gt;1)),
IF(Import.TipoArredondamento&lt;&gt;"TransfereGOV",
ROUND(OFFSET($P390,0,AJ$13),15-13*ORÇAMENTO!$AF$7)/$H390*OFFSET(ORÇAMENTO!$X$15,ROW(AJ390)-ROW(AJ$15),0),
ROUND(ROUND(OFFSET($P390,0,AJ$13),15-13*ORÇAMENTO!$AF$7)*OFFSET(ORÇAMENTO!$W$15,ROW(AJ390)-ROW(AJ$15),0),15-13*ORÇAMENTO!$AF$11)),0)</f>
        <v>0</v>
      </c>
      <c r="AK390" s="546">
        <f ca="1">IF(AND($D390="Serviço",AK$12&lt;&gt;0,$H390&gt;0,OR(AUTOEVENTO&lt;&gt;"manual",$M390&lt;&gt;1)),
IF(Import.TipoArredondamento&lt;&gt;"TransfereGOV",
ROUND(OFFSET($P390,0,AK$13),15-13*ORÇAMENTO!$AF$7)/$H390*OFFSET(ORÇAMENTO!$X$15,ROW(AK390)-ROW(AK$15),0),
ROUND(ROUND(OFFSET($P390,0,AK$13),15-13*ORÇAMENTO!$AF$7)*OFFSET(ORÇAMENTO!$W$15,ROW(AK390)-ROW(AK$15),0),15-13*ORÇAMENTO!$AF$11)),0)</f>
        <v>0</v>
      </c>
      <c r="AM390" s="181">
        <f ca="1">IF($D390&lt;&gt;"Serviço",0,IF(AND(AUTOEVENTO="Manual",$M390=1),0,IF(OFFSET(CRONOPLE!$F$14,$M390,AM$13)="",10^12,OFFSET(CRONOPLE!$F$14,$M390,AM$13))))</f>
        <v>1000000000000</v>
      </c>
      <c r="AN390" s="181">
        <f ca="1">IF($D390&lt;&gt;"Serviço",0,IF(AND(AUTOEVENTO="Manual",$M390=1),0,IF(OFFSET(CRONOPLE!$F$14,$M390,AN$13)="",10^12,OFFSET(CRONOPLE!$F$14,$M390,AN$13))))</f>
        <v>1000000000000</v>
      </c>
      <c r="AO390" s="181">
        <f ca="1">IF($D390&lt;&gt;"Serviço",0,IF(AND(AUTOEVENTO="Manual",$M390=1),0,IF(OFFSET(CRONOPLE!$F$14,$M390,AO$13)="",10^12,OFFSET(CRONOPLE!$F$14,$M390,AO$13))))</f>
        <v>1000000000000</v>
      </c>
      <c r="AP390" s="181">
        <f ca="1">IF($D390&lt;&gt;"Serviço",0,IF(AND(AUTOEVENTO="Manual",$M390=1),0,IF(OFFSET(CRONOPLE!$F$14,$M390,AP$13)="",10^12,OFFSET(CRONOPLE!$F$14,$M390,AP$13))))</f>
        <v>1000000000000</v>
      </c>
      <c r="AQ390" s="181">
        <f ca="1">IF($D390&lt;&gt;"Serviço",0,IF(AND(AUTOEVENTO="Manual",$M390=1),0,IF(OFFSET(CRONOPLE!$F$14,$M390,AQ$13)="",10^12,OFFSET(CRONOPLE!$F$14,$M390,AQ$13))))</f>
        <v>1000000000000</v>
      </c>
      <c r="AR390" s="181">
        <f ca="1">IF($D390&lt;&gt;"Serviço",0,IF(AND(AUTOEVENTO="Manual",$M390=1),0,IF(OFFSET(CRONOPLE!$F$14,$M390,AR$13)="",10^12,OFFSET(CRONOPLE!$F$14,$M390,AR$13))))</f>
        <v>1000000000000</v>
      </c>
      <c r="AS390" s="181">
        <f ca="1">IF($D390&lt;&gt;"Serviço",0,IF(AND(AUTOEVENTO="Manual",$M390=1),0,IF(OFFSET(CRONOPLE!$F$14,$M390,AS$13)="",10^12,OFFSET(CRONOPLE!$F$14,$M390,AS$13))))</f>
        <v>1000000000000</v>
      </c>
      <c r="AT390" s="181">
        <f ca="1">IF($D390&lt;&gt;"Serviço",0,IF(AND(AUTOEVENTO="Manual",$M390=1),0,IF(OFFSET(CRONOPLE!$F$14,$M390,AT$13)="",10^12,OFFSET(CRONOPLE!$F$14,$M390,AT$13))))</f>
        <v>1000000000000</v>
      </c>
      <c r="AU390" s="181">
        <f ca="1">IF($D390&lt;&gt;"Serviço",0,IF(AND(AUTOEVENTO="Manual",$M390=1),0,IF(OFFSET(CRONOPLE!$F$14,$M390,AU$13)="",10^12,OFFSET(CRONOPLE!$F$14,$M390,AU$13))))</f>
        <v>1000000000000</v>
      </c>
      <c r="AV390" s="181">
        <f ca="1">IF($D390&lt;&gt;"Serviço",0,IF(AND(AUTOEVENTO="Manual",$M390=1),0,IF(OFFSET(CRONOPLE!$F$14,$M390,AV$13)="",10^12,OFFSET(CRONOPLE!$F$14,$M390,AV$13))))</f>
        <v>1000000000000</v>
      </c>
      <c r="AX390" s="182">
        <f ca="1">IF($D390&lt;&gt;"Serviço",0,IF(OR(AND(AUTOEVENTO="Manual",$M390=1),$M390&gt;(ROW(PLE.lastrow)-ROW(PLE.firstrow))),0,IF(OFFSET(PLE!$G$14,$M390,AX$13)="",10^12,OFFSET(PLE!$G$14,$M390,AX$13))))</f>
        <v>1000000000000</v>
      </c>
      <c r="AY390" s="182">
        <f ca="1">IF($D390&lt;&gt;"Serviço",0,IF(OR(AND(AUTOEVENTO="Manual",$M390=1),$M390&gt;(ROW(PLE.lastrow)-ROW(PLE.firstrow))),0,IF(OFFSET(PLE!$G$14,$M390,AY$13)="",10^12,OFFSET(PLE!$G$14,$M390,AY$13))))</f>
        <v>1000000000000</v>
      </c>
      <c r="AZ390" s="182">
        <f ca="1">IF($D390&lt;&gt;"Serviço",0,IF(OR(AND(AUTOEVENTO="Manual",$M390=1),$M390&gt;(ROW(PLE.lastrow)-ROW(PLE.firstrow))),0,IF(OFFSET(PLE!$G$14,$M390,AZ$13)="",10^12,OFFSET(PLE!$G$14,$M390,AZ$13))))</f>
        <v>1000000000000</v>
      </c>
      <c r="BA390" s="182">
        <f ca="1">IF($D390&lt;&gt;"Serviço",0,IF(OR(AND(AUTOEVENTO="Manual",$M390=1),$M390&gt;(ROW(PLE.lastrow)-ROW(PLE.firstrow))),0,IF(OFFSET(PLE!$G$14,$M390,BA$13)="",10^12,OFFSET(PLE!$G$14,$M390,BA$13))))</f>
        <v>1000000000000</v>
      </c>
      <c r="BB390" s="182">
        <f ca="1">IF($D390&lt;&gt;"Serviço",0,IF(OR(AND(AUTOEVENTO="Manual",$M390=1),$M390&gt;(ROW(PLE.lastrow)-ROW(PLE.firstrow))),0,IF(OFFSET(PLE!$G$14,$M390,BB$13)="",10^12,OFFSET(PLE!$G$14,$M390,BB$13))))</f>
        <v>1000000000000</v>
      </c>
      <c r="BC390" s="182">
        <f ca="1">IF($D390&lt;&gt;"Serviço",0,IF(OR(AND(AUTOEVENTO="Manual",$M390=1),$M390&gt;(ROW(PLE.lastrow)-ROW(PLE.firstrow))),0,IF(OFFSET(PLE!$G$14,$M390,BC$13)="",10^12,OFFSET(PLE!$G$14,$M390,BC$13))))</f>
        <v>1000000000000</v>
      </c>
      <c r="BD390" s="182">
        <f ca="1">IF($D390&lt;&gt;"Serviço",0,IF(OR(AND(AUTOEVENTO="Manual",$M390=1),$M390&gt;(ROW(PLE.lastrow)-ROW(PLE.firstrow))),0,IF(OFFSET(PLE!$G$14,$M390,BD$13)="",10^12,OFFSET(PLE!$G$14,$M390,BD$13))))</f>
        <v>1000000000000</v>
      </c>
      <c r="BE390" s="182">
        <f ca="1">IF($D390&lt;&gt;"Serviço",0,IF(OR(AND(AUTOEVENTO="Manual",$M390=1),$M390&gt;(ROW(PLE.lastrow)-ROW(PLE.firstrow))),0,IF(OFFSET(PLE!$G$14,$M390,BE$13)="",10^12,OFFSET(PLE!$G$14,$M390,BE$13))))</f>
        <v>1000000000000</v>
      </c>
      <c r="BF390" s="182">
        <f ca="1">IF($D390&lt;&gt;"Serviço",0,IF(OR(AND(AUTOEVENTO="Manual",$M390=1),$M390&gt;(ROW(PLE.lastrow)-ROW(PLE.firstrow))),0,IF(OFFSET(PLE!$G$14,$M390,BF$13)="",10^12,OFFSET(PLE!$G$14,$M390,BF$13))))</f>
        <v>1000000000000</v>
      </c>
      <c r="BG390" s="182">
        <f ca="1">IF($D390&lt;&gt;"Serviço",0,IF(OR(AND(AUTOEVENTO="Manual",$M390=1),$M390&gt;(ROW(PLE.lastrow)-ROW(PLE.firstrow))),0,IF(OFFSET(PLE!$G$14,$M390,BG$13)="",10^12,OFFSET(PLE!$G$14,$M390,BG$13))))</f>
        <v>1000000000000</v>
      </c>
    </row>
    <row r="391" spans="1:59" ht="12.75" x14ac:dyDescent="0.2">
      <c r="A391" s="7" t="str">
        <f t="shared" ca="1" si="11"/>
        <v>376.</v>
      </c>
      <c r="B391" s="7">
        <f ca="1">OFFSET(ORÇAMENTO!C$15,ROW(B391)-ROW(B$15),0)</f>
        <v>2</v>
      </c>
      <c r="C391" s="7" t="str">
        <f ca="1">OFFSET(ORÇAMENTO!L$15,ROW(C391)-ROW(C$15),0)</f>
        <v>F</v>
      </c>
      <c r="D391" s="118" t="str">
        <f ca="1">OFFSET(ORÇAMENTO!N$15,ROW(D391)-ROW(D$15),0)</f>
        <v>Nível 2</v>
      </c>
      <c r="E391" s="119" t="str">
        <f ca="1">OFFSET(ORÇAMENTO!O$15,ROW(E391)-ROW(E$15),0)</f>
        <v>1.15.</v>
      </c>
      <c r="F391" s="172" t="str">
        <f ca="1">OFFSET(ORÇAMENTO!R$15,ROW(F391)-ROW(F$15),0)</f>
        <v>LOUÇAS, ACESSÓRIOS E METAIS</v>
      </c>
      <c r="G391" s="173" t="str">
        <f ca="1">IF($D391&lt;&gt;"Serviço","",OFFSET(ORÇAMENTO!S$15,ROW(G391)-ROW(G$15),0))</f>
        <v/>
      </c>
      <c r="H391" s="124">
        <f ca="1">IF($D391&lt;&gt;"Serviço",0,IF(ACOMPANHAMENTO="BM",ROUND(OFFSET(ORÇAMENTO!AJ$15,ROW(H391)-ROW(H$15),0),15-13*ORÇAMENTO!$AF$7),SUMPRODUCT(($Q$12:$AA$12&lt;&gt;"")*ROUND($Q391:$AA391,15-13*ORÇAMENTO!$AF$7))))</f>
        <v>0</v>
      </c>
      <c r="I391" s="561"/>
      <c r="K391" s="174"/>
      <c r="L391" s="175" t="s">
        <v>255</v>
      </c>
      <c r="M391" s="176" t="str">
        <f ca="1">IF($D391&lt;&gt;"Serviço","",IF(AUTOEVENTO="manual",$A391,IF(ISERROR(MATCH($A391,$A$15:OFFSET($A391,-1,0),0)),MAX($M$15:OFFSET(M391,-1,0))+1,INDEX($M$15:OFFSET(M391,-1,0),MATCH($A391,$A$15:OFFSET($A391,-1,0),0)))))</f>
        <v/>
      </c>
      <c r="N391" s="177" t="str">
        <f ca="1">IF($D391&lt;&gt;"Serviço","",IF(AUTOEVENTO="Manual",IF($A391=0,"&lt;-- defina o número do agrupador",OFFSET(EVENTOS!$D$14,$A391,0)),OFFSET($F$15,$A391,0)))</f>
        <v/>
      </c>
      <c r="O391" s="178"/>
      <c r="Q391" s="178"/>
      <c r="R391" s="179"/>
      <c r="S391" s="179"/>
      <c r="T391" s="179"/>
      <c r="U391" s="179"/>
      <c r="V391" s="179"/>
      <c r="W391" s="179"/>
      <c r="X391" s="179"/>
      <c r="Y391" s="179"/>
      <c r="Z391" s="180"/>
      <c r="AB391" s="544">
        <f ca="1">IF(AND($D391="Serviço",AB$12&lt;&gt;0,$H391&gt;0,OR(AUTOEVENTO&lt;&gt;"manual",$M391&lt;&gt;1)),
IF(Import.TipoArredondamento&lt;&gt;"TransfereGOV",
ROUND(OFFSET($P391,0,AB$13),15-13*ORÇAMENTO!$AF$7)/$H391*OFFSET(ORÇAMENTO!$X$15,ROW(AB391)-ROW(AB$15),0),
ROUND(ROUND(OFFSET($P391,0,AB$13),15-13*ORÇAMENTO!$AF$7)*OFFSET(ORÇAMENTO!$W$15,ROW(AB391)-ROW(AB$15),0),15-13*ORÇAMENTO!$AF$11)),0)</f>
        <v>0</v>
      </c>
      <c r="AC391" s="545">
        <f ca="1">IF(AND($D391="Serviço",AC$12&lt;&gt;0,$H391&gt;0,OR(AUTOEVENTO&lt;&gt;"manual",$M391&lt;&gt;1)),
IF(Import.TipoArredondamento&lt;&gt;"TransfereGOV",
ROUND(OFFSET($P391,0,AC$13),15-13*ORÇAMENTO!$AF$7)/$H391*OFFSET(ORÇAMENTO!$X$15,ROW(AC391)-ROW(AC$15),0),
ROUND(ROUND(OFFSET($P391,0,AC$13),15-13*ORÇAMENTO!$AF$7)*OFFSET(ORÇAMENTO!$W$15,ROW(AC391)-ROW(AC$15),0),15-13*ORÇAMENTO!$AF$11)),0)</f>
        <v>0</v>
      </c>
      <c r="AD391" s="545">
        <f ca="1">IF(AND($D391="Serviço",AD$12&lt;&gt;0,$H391&gt;0,OR(AUTOEVENTO&lt;&gt;"manual",$M391&lt;&gt;1)),
IF(Import.TipoArredondamento&lt;&gt;"TransfereGOV",
ROUND(OFFSET($P391,0,AD$13),15-13*ORÇAMENTO!$AF$7)/$H391*OFFSET(ORÇAMENTO!$X$15,ROW(AD391)-ROW(AD$15),0),
ROUND(ROUND(OFFSET($P391,0,AD$13),15-13*ORÇAMENTO!$AF$7)*OFFSET(ORÇAMENTO!$W$15,ROW(AD391)-ROW(AD$15),0),15-13*ORÇAMENTO!$AF$11)),0)</f>
        <v>0</v>
      </c>
      <c r="AE391" s="545">
        <f ca="1">IF(AND($D391="Serviço",AE$12&lt;&gt;0,$H391&gt;0,OR(AUTOEVENTO&lt;&gt;"manual",$M391&lt;&gt;1)),
IF(Import.TipoArredondamento&lt;&gt;"TransfereGOV",
ROUND(OFFSET($P391,0,AE$13),15-13*ORÇAMENTO!$AF$7)/$H391*OFFSET(ORÇAMENTO!$X$15,ROW(AE391)-ROW(AE$15),0),
ROUND(ROUND(OFFSET($P391,0,AE$13),15-13*ORÇAMENTO!$AF$7)*OFFSET(ORÇAMENTO!$W$15,ROW(AE391)-ROW(AE$15),0),15-13*ORÇAMENTO!$AF$11)),0)</f>
        <v>0</v>
      </c>
      <c r="AF391" s="545">
        <f ca="1">IF(AND($D391="Serviço",AF$12&lt;&gt;0,$H391&gt;0,OR(AUTOEVENTO&lt;&gt;"manual",$M391&lt;&gt;1)),
IF(Import.TipoArredondamento&lt;&gt;"TransfereGOV",
ROUND(OFFSET($P391,0,AF$13),15-13*ORÇAMENTO!$AF$7)/$H391*OFFSET(ORÇAMENTO!$X$15,ROW(AF391)-ROW(AF$15),0),
ROUND(ROUND(OFFSET($P391,0,AF$13),15-13*ORÇAMENTO!$AF$7)*OFFSET(ORÇAMENTO!$W$15,ROW(AF391)-ROW(AF$15),0),15-13*ORÇAMENTO!$AF$11)),0)</f>
        <v>0</v>
      </c>
      <c r="AG391" s="545">
        <f ca="1">IF(AND($D391="Serviço",AG$12&lt;&gt;0,$H391&gt;0,OR(AUTOEVENTO&lt;&gt;"manual",$M391&lt;&gt;1)),
IF(Import.TipoArredondamento&lt;&gt;"TransfereGOV",
ROUND(OFFSET($P391,0,AG$13),15-13*ORÇAMENTO!$AF$7)/$H391*OFFSET(ORÇAMENTO!$X$15,ROW(AG391)-ROW(AG$15),0),
ROUND(ROUND(OFFSET($P391,0,AG$13),15-13*ORÇAMENTO!$AF$7)*OFFSET(ORÇAMENTO!$W$15,ROW(AG391)-ROW(AG$15),0),15-13*ORÇAMENTO!$AF$11)),0)</f>
        <v>0</v>
      </c>
      <c r="AH391" s="545">
        <f ca="1">IF(AND($D391="Serviço",AH$12&lt;&gt;0,$H391&gt;0,OR(AUTOEVENTO&lt;&gt;"manual",$M391&lt;&gt;1)),
IF(Import.TipoArredondamento&lt;&gt;"TransfereGOV",
ROUND(OFFSET($P391,0,AH$13),15-13*ORÇAMENTO!$AF$7)/$H391*OFFSET(ORÇAMENTO!$X$15,ROW(AH391)-ROW(AH$15),0),
ROUND(ROUND(OFFSET($P391,0,AH$13),15-13*ORÇAMENTO!$AF$7)*OFFSET(ORÇAMENTO!$W$15,ROW(AH391)-ROW(AH$15),0),15-13*ORÇAMENTO!$AF$11)),0)</f>
        <v>0</v>
      </c>
      <c r="AI391" s="545">
        <f ca="1">IF(AND($D391="Serviço",AI$12&lt;&gt;0,$H391&gt;0,OR(AUTOEVENTO&lt;&gt;"manual",$M391&lt;&gt;1)),
IF(Import.TipoArredondamento&lt;&gt;"TransfereGOV",
ROUND(OFFSET($P391,0,AI$13),15-13*ORÇAMENTO!$AF$7)/$H391*OFFSET(ORÇAMENTO!$X$15,ROW(AI391)-ROW(AI$15),0),
ROUND(ROUND(OFFSET($P391,0,AI$13),15-13*ORÇAMENTO!$AF$7)*OFFSET(ORÇAMENTO!$W$15,ROW(AI391)-ROW(AI$15),0),15-13*ORÇAMENTO!$AF$11)),0)</f>
        <v>0</v>
      </c>
      <c r="AJ391" s="545">
        <f ca="1">IF(AND($D391="Serviço",AJ$12&lt;&gt;0,$H391&gt;0,OR(AUTOEVENTO&lt;&gt;"manual",$M391&lt;&gt;1)),
IF(Import.TipoArredondamento&lt;&gt;"TransfereGOV",
ROUND(OFFSET($P391,0,AJ$13),15-13*ORÇAMENTO!$AF$7)/$H391*OFFSET(ORÇAMENTO!$X$15,ROW(AJ391)-ROW(AJ$15),0),
ROUND(ROUND(OFFSET($P391,0,AJ$13),15-13*ORÇAMENTO!$AF$7)*OFFSET(ORÇAMENTO!$W$15,ROW(AJ391)-ROW(AJ$15),0),15-13*ORÇAMENTO!$AF$11)),0)</f>
        <v>0</v>
      </c>
      <c r="AK391" s="546">
        <f ca="1">IF(AND($D391="Serviço",AK$12&lt;&gt;0,$H391&gt;0,OR(AUTOEVENTO&lt;&gt;"manual",$M391&lt;&gt;1)),
IF(Import.TipoArredondamento&lt;&gt;"TransfereGOV",
ROUND(OFFSET($P391,0,AK$13),15-13*ORÇAMENTO!$AF$7)/$H391*OFFSET(ORÇAMENTO!$X$15,ROW(AK391)-ROW(AK$15),0),
ROUND(ROUND(OFFSET($P391,0,AK$13),15-13*ORÇAMENTO!$AF$7)*OFFSET(ORÇAMENTO!$W$15,ROW(AK391)-ROW(AK$15),0),15-13*ORÇAMENTO!$AF$11)),0)</f>
        <v>0</v>
      </c>
      <c r="AM391" s="181">
        <f ca="1">IF($D391&lt;&gt;"Serviço",0,IF(AND(AUTOEVENTO="Manual",$M391=1),0,IF(OFFSET(CRONOPLE!$F$14,$M391,AM$13)="",10^12,OFFSET(CRONOPLE!$F$14,$M391,AM$13))))</f>
        <v>0</v>
      </c>
      <c r="AN391" s="181">
        <f ca="1">IF($D391&lt;&gt;"Serviço",0,IF(AND(AUTOEVENTO="Manual",$M391=1),0,IF(OFFSET(CRONOPLE!$F$14,$M391,AN$13)="",10^12,OFFSET(CRONOPLE!$F$14,$M391,AN$13))))</f>
        <v>0</v>
      </c>
      <c r="AO391" s="181">
        <f ca="1">IF($D391&lt;&gt;"Serviço",0,IF(AND(AUTOEVENTO="Manual",$M391=1),0,IF(OFFSET(CRONOPLE!$F$14,$M391,AO$13)="",10^12,OFFSET(CRONOPLE!$F$14,$M391,AO$13))))</f>
        <v>0</v>
      </c>
      <c r="AP391" s="181">
        <f ca="1">IF($D391&lt;&gt;"Serviço",0,IF(AND(AUTOEVENTO="Manual",$M391=1),0,IF(OFFSET(CRONOPLE!$F$14,$M391,AP$13)="",10^12,OFFSET(CRONOPLE!$F$14,$M391,AP$13))))</f>
        <v>0</v>
      </c>
      <c r="AQ391" s="181">
        <f ca="1">IF($D391&lt;&gt;"Serviço",0,IF(AND(AUTOEVENTO="Manual",$M391=1),0,IF(OFFSET(CRONOPLE!$F$14,$M391,AQ$13)="",10^12,OFFSET(CRONOPLE!$F$14,$M391,AQ$13))))</f>
        <v>0</v>
      </c>
      <c r="AR391" s="181">
        <f ca="1">IF($D391&lt;&gt;"Serviço",0,IF(AND(AUTOEVENTO="Manual",$M391=1),0,IF(OFFSET(CRONOPLE!$F$14,$M391,AR$13)="",10^12,OFFSET(CRONOPLE!$F$14,$M391,AR$13))))</f>
        <v>0</v>
      </c>
      <c r="AS391" s="181">
        <f ca="1">IF($D391&lt;&gt;"Serviço",0,IF(AND(AUTOEVENTO="Manual",$M391=1),0,IF(OFFSET(CRONOPLE!$F$14,$M391,AS$13)="",10^12,OFFSET(CRONOPLE!$F$14,$M391,AS$13))))</f>
        <v>0</v>
      </c>
      <c r="AT391" s="181">
        <f ca="1">IF($D391&lt;&gt;"Serviço",0,IF(AND(AUTOEVENTO="Manual",$M391=1),0,IF(OFFSET(CRONOPLE!$F$14,$M391,AT$13)="",10^12,OFFSET(CRONOPLE!$F$14,$M391,AT$13))))</f>
        <v>0</v>
      </c>
      <c r="AU391" s="181">
        <f ca="1">IF($D391&lt;&gt;"Serviço",0,IF(AND(AUTOEVENTO="Manual",$M391=1),0,IF(OFFSET(CRONOPLE!$F$14,$M391,AU$13)="",10^12,OFFSET(CRONOPLE!$F$14,$M391,AU$13))))</f>
        <v>0</v>
      </c>
      <c r="AV391" s="181">
        <f ca="1">IF($D391&lt;&gt;"Serviço",0,IF(AND(AUTOEVENTO="Manual",$M391=1),0,IF(OFFSET(CRONOPLE!$F$14,$M391,AV$13)="",10^12,OFFSET(CRONOPLE!$F$14,$M391,AV$13))))</f>
        <v>0</v>
      </c>
      <c r="AX391" s="182">
        <f ca="1">IF($D391&lt;&gt;"Serviço",0,IF(OR(AND(AUTOEVENTO="Manual",$M391=1),$M391&gt;(ROW(PLE.lastrow)-ROW(PLE.firstrow))),0,IF(OFFSET(PLE!$G$14,$M391,AX$13)="",10^12,OFFSET(PLE!$G$14,$M391,AX$13))))</f>
        <v>0</v>
      </c>
      <c r="AY391" s="182">
        <f ca="1">IF($D391&lt;&gt;"Serviço",0,IF(OR(AND(AUTOEVENTO="Manual",$M391=1),$M391&gt;(ROW(PLE.lastrow)-ROW(PLE.firstrow))),0,IF(OFFSET(PLE!$G$14,$M391,AY$13)="",10^12,OFFSET(PLE!$G$14,$M391,AY$13))))</f>
        <v>0</v>
      </c>
      <c r="AZ391" s="182">
        <f ca="1">IF($D391&lt;&gt;"Serviço",0,IF(OR(AND(AUTOEVENTO="Manual",$M391=1),$M391&gt;(ROW(PLE.lastrow)-ROW(PLE.firstrow))),0,IF(OFFSET(PLE!$G$14,$M391,AZ$13)="",10^12,OFFSET(PLE!$G$14,$M391,AZ$13))))</f>
        <v>0</v>
      </c>
      <c r="BA391" s="182">
        <f ca="1">IF($D391&lt;&gt;"Serviço",0,IF(OR(AND(AUTOEVENTO="Manual",$M391=1),$M391&gt;(ROW(PLE.lastrow)-ROW(PLE.firstrow))),0,IF(OFFSET(PLE!$G$14,$M391,BA$13)="",10^12,OFFSET(PLE!$G$14,$M391,BA$13))))</f>
        <v>0</v>
      </c>
      <c r="BB391" s="182">
        <f ca="1">IF($D391&lt;&gt;"Serviço",0,IF(OR(AND(AUTOEVENTO="Manual",$M391=1),$M391&gt;(ROW(PLE.lastrow)-ROW(PLE.firstrow))),0,IF(OFFSET(PLE!$G$14,$M391,BB$13)="",10^12,OFFSET(PLE!$G$14,$M391,BB$13))))</f>
        <v>0</v>
      </c>
      <c r="BC391" s="182">
        <f ca="1">IF($D391&lt;&gt;"Serviço",0,IF(OR(AND(AUTOEVENTO="Manual",$M391=1),$M391&gt;(ROW(PLE.lastrow)-ROW(PLE.firstrow))),0,IF(OFFSET(PLE!$G$14,$M391,BC$13)="",10^12,OFFSET(PLE!$G$14,$M391,BC$13))))</f>
        <v>0</v>
      </c>
      <c r="BD391" s="182">
        <f ca="1">IF($D391&lt;&gt;"Serviço",0,IF(OR(AND(AUTOEVENTO="Manual",$M391=1),$M391&gt;(ROW(PLE.lastrow)-ROW(PLE.firstrow))),0,IF(OFFSET(PLE!$G$14,$M391,BD$13)="",10^12,OFFSET(PLE!$G$14,$M391,BD$13))))</f>
        <v>0</v>
      </c>
      <c r="BE391" s="182">
        <f ca="1">IF($D391&lt;&gt;"Serviço",0,IF(OR(AND(AUTOEVENTO="Manual",$M391=1),$M391&gt;(ROW(PLE.lastrow)-ROW(PLE.firstrow))),0,IF(OFFSET(PLE!$G$14,$M391,BE$13)="",10^12,OFFSET(PLE!$G$14,$M391,BE$13))))</f>
        <v>0</v>
      </c>
      <c r="BF391" s="182">
        <f ca="1">IF($D391&lt;&gt;"Serviço",0,IF(OR(AND(AUTOEVENTO="Manual",$M391=1),$M391&gt;(ROW(PLE.lastrow)-ROW(PLE.firstrow))),0,IF(OFFSET(PLE!$G$14,$M391,BF$13)="",10^12,OFFSET(PLE!$G$14,$M391,BF$13))))</f>
        <v>0</v>
      </c>
      <c r="BG391" s="182">
        <f ca="1">IF($D391&lt;&gt;"Serviço",0,IF(OR(AND(AUTOEVENTO="Manual",$M391=1),$M391&gt;(ROW(PLE.lastrow)-ROW(PLE.firstrow))),0,IF(OFFSET(PLE!$G$14,$M391,BG$13)="",10^12,OFFSET(PLE!$G$14,$M391,BG$13))))</f>
        <v>0</v>
      </c>
    </row>
    <row r="392" spans="1:59" ht="38.25" x14ac:dyDescent="0.2">
      <c r="A392" s="7" t="str">
        <f t="shared" ca="1" si="11"/>
        <v>376</v>
      </c>
      <c r="B392" s="7" t="str">
        <f ca="1">OFFSET(ORÇAMENTO!C$15,ROW(B392)-ROW(B$15),0)</f>
        <v>S</v>
      </c>
      <c r="C392" s="7" t="str">
        <f ca="1">OFFSET(ORÇAMENTO!L$15,ROW(C392)-ROW(C$15),0)</f>
        <v/>
      </c>
      <c r="D392" s="118" t="str">
        <f ca="1">OFFSET(ORÇAMENTO!N$15,ROW(D392)-ROW(D$15),0)</f>
        <v>Serviço</v>
      </c>
      <c r="E392" s="119" t="str">
        <f ca="1">OFFSET(ORÇAMENTO!O$15,ROW(E392)-ROW(E$15),0)</f>
        <v>-</v>
      </c>
      <c r="F392" s="172" t="str">
        <f ca="1">OFFSET(ORÇAMENTO!R$15,ROW(F392)-ROW(F$15),0)</f>
        <v>(abra o arquivo 'Referência 02-2025.xlsm)</v>
      </c>
      <c r="G392" s="173" t="str">
        <f ca="1">IF($D392&lt;&gt;"Serviço","",OFFSET(ORÇAMENTO!S$15,ROW(G392)-ROW(G$15),0))</f>
        <v>-</v>
      </c>
      <c r="H392" s="124">
        <f ca="1">IF($D392&lt;&gt;"Serviço",0,IF(ACOMPANHAMENTO="BM",ROUND(OFFSET(ORÇAMENTO!AJ$15,ROW(H392)-ROW(H$15),0),15-13*ORÇAMENTO!$AF$7),SUMPRODUCT(($Q$12:$AA$12&lt;&gt;"")*ROUND($Q392:$AA392,15-13*ORÇAMENTO!$AF$7))))</f>
        <v>6</v>
      </c>
      <c r="I392" s="561" t="s">
        <v>890</v>
      </c>
      <c r="K392" s="174"/>
      <c r="L392" s="175" t="s">
        <v>255</v>
      </c>
      <c r="M392" s="176">
        <f ca="1">IF($D392&lt;&gt;"Serviço","",IF(AUTOEVENTO="manual",$A392,IF(ISERROR(MATCH($A392,$A$15:OFFSET($A392,-1,0),0)),MAX($M$15:OFFSET(M392,-1,0))+1,INDEX($M$15:OFFSET(M392,-1,0),MATCH($A392,$A$15:OFFSET($A392,-1,0),0)))))</f>
        <v>16</v>
      </c>
      <c r="N392" s="177" t="str">
        <f ca="1">IF($D392&lt;&gt;"Serviço","",IF(AUTOEVENTO="Manual",IF($A392=0,"&lt;-- defina o número do agrupador",OFFSET(EVENTOS!$D$14,$A392,0)),OFFSET($F$15,$A392,0)))</f>
        <v>LOUÇAS, ACESSÓRIOS E METAIS</v>
      </c>
      <c r="O392" s="178"/>
      <c r="Q392" s="178"/>
      <c r="R392" s="179"/>
      <c r="S392" s="179"/>
      <c r="T392" s="179"/>
      <c r="U392" s="179"/>
      <c r="V392" s="179"/>
      <c r="W392" s="179"/>
      <c r="X392" s="179"/>
      <c r="Y392" s="179"/>
      <c r="Z392" s="180"/>
      <c r="AB392" s="544">
        <f ca="1">IF(AND($D392="Serviço",AB$12&lt;&gt;0,$H392&gt;0,OR(AUTOEVENTO&lt;&gt;"manual",$M392&lt;&gt;1)),
IF(Import.TipoArredondamento&lt;&gt;"TransfereGOV",
ROUND(OFFSET($P392,0,AB$13),15-13*ORÇAMENTO!$AF$7)/$H392*OFFSET(ORÇAMENTO!$X$15,ROW(AB392)-ROW(AB$15),0),
ROUND(ROUND(OFFSET($P392,0,AB$13),15-13*ORÇAMENTO!$AF$7)*OFFSET(ORÇAMENTO!$W$15,ROW(AB392)-ROW(AB$15),0),15-13*ORÇAMENTO!$AF$11)),0)</f>
        <v>0</v>
      </c>
      <c r="AC392" s="545">
        <f ca="1">IF(AND($D392="Serviço",AC$12&lt;&gt;0,$H392&gt;0,OR(AUTOEVENTO&lt;&gt;"manual",$M392&lt;&gt;1)),
IF(Import.TipoArredondamento&lt;&gt;"TransfereGOV",
ROUND(OFFSET($P392,0,AC$13),15-13*ORÇAMENTO!$AF$7)/$H392*OFFSET(ORÇAMENTO!$X$15,ROW(AC392)-ROW(AC$15),0),
ROUND(ROUND(OFFSET($P392,0,AC$13),15-13*ORÇAMENTO!$AF$7)*OFFSET(ORÇAMENTO!$W$15,ROW(AC392)-ROW(AC$15),0),15-13*ORÇAMENTO!$AF$11)),0)</f>
        <v>0</v>
      </c>
      <c r="AD392" s="545">
        <f ca="1">IF(AND($D392="Serviço",AD$12&lt;&gt;0,$H392&gt;0,OR(AUTOEVENTO&lt;&gt;"manual",$M392&lt;&gt;1)),
IF(Import.TipoArredondamento&lt;&gt;"TransfereGOV",
ROUND(OFFSET($P392,0,AD$13),15-13*ORÇAMENTO!$AF$7)/$H392*OFFSET(ORÇAMENTO!$X$15,ROW(AD392)-ROW(AD$15),0),
ROUND(ROUND(OFFSET($P392,0,AD$13),15-13*ORÇAMENTO!$AF$7)*OFFSET(ORÇAMENTO!$W$15,ROW(AD392)-ROW(AD$15),0),15-13*ORÇAMENTO!$AF$11)),0)</f>
        <v>0</v>
      </c>
      <c r="AE392" s="545">
        <f ca="1">IF(AND($D392="Serviço",AE$12&lt;&gt;0,$H392&gt;0,OR(AUTOEVENTO&lt;&gt;"manual",$M392&lt;&gt;1)),
IF(Import.TipoArredondamento&lt;&gt;"TransfereGOV",
ROUND(OFFSET($P392,0,AE$13),15-13*ORÇAMENTO!$AF$7)/$H392*OFFSET(ORÇAMENTO!$X$15,ROW(AE392)-ROW(AE$15),0),
ROUND(ROUND(OFFSET($P392,0,AE$13),15-13*ORÇAMENTO!$AF$7)*OFFSET(ORÇAMENTO!$W$15,ROW(AE392)-ROW(AE$15),0),15-13*ORÇAMENTO!$AF$11)),0)</f>
        <v>0</v>
      </c>
      <c r="AF392" s="545">
        <f ca="1">IF(AND($D392="Serviço",AF$12&lt;&gt;0,$H392&gt;0,OR(AUTOEVENTO&lt;&gt;"manual",$M392&lt;&gt;1)),
IF(Import.TipoArredondamento&lt;&gt;"TransfereGOV",
ROUND(OFFSET($P392,0,AF$13),15-13*ORÇAMENTO!$AF$7)/$H392*OFFSET(ORÇAMENTO!$X$15,ROW(AF392)-ROW(AF$15),0),
ROUND(ROUND(OFFSET($P392,0,AF$13),15-13*ORÇAMENTO!$AF$7)*OFFSET(ORÇAMENTO!$W$15,ROW(AF392)-ROW(AF$15),0),15-13*ORÇAMENTO!$AF$11)),0)</f>
        <v>0</v>
      </c>
      <c r="AG392" s="545">
        <f ca="1">IF(AND($D392="Serviço",AG$12&lt;&gt;0,$H392&gt;0,OR(AUTOEVENTO&lt;&gt;"manual",$M392&lt;&gt;1)),
IF(Import.TipoArredondamento&lt;&gt;"TransfereGOV",
ROUND(OFFSET($P392,0,AG$13),15-13*ORÇAMENTO!$AF$7)/$H392*OFFSET(ORÇAMENTO!$X$15,ROW(AG392)-ROW(AG$15),0),
ROUND(ROUND(OFFSET($P392,0,AG$13),15-13*ORÇAMENTO!$AF$7)*OFFSET(ORÇAMENTO!$W$15,ROW(AG392)-ROW(AG$15),0),15-13*ORÇAMENTO!$AF$11)),0)</f>
        <v>0</v>
      </c>
      <c r="AH392" s="545">
        <f ca="1">IF(AND($D392="Serviço",AH$12&lt;&gt;0,$H392&gt;0,OR(AUTOEVENTO&lt;&gt;"manual",$M392&lt;&gt;1)),
IF(Import.TipoArredondamento&lt;&gt;"TransfereGOV",
ROUND(OFFSET($P392,0,AH$13),15-13*ORÇAMENTO!$AF$7)/$H392*OFFSET(ORÇAMENTO!$X$15,ROW(AH392)-ROW(AH$15),0),
ROUND(ROUND(OFFSET($P392,0,AH$13),15-13*ORÇAMENTO!$AF$7)*OFFSET(ORÇAMENTO!$W$15,ROW(AH392)-ROW(AH$15),0),15-13*ORÇAMENTO!$AF$11)),0)</f>
        <v>0</v>
      </c>
      <c r="AI392" s="545">
        <f ca="1">IF(AND($D392="Serviço",AI$12&lt;&gt;0,$H392&gt;0,OR(AUTOEVENTO&lt;&gt;"manual",$M392&lt;&gt;1)),
IF(Import.TipoArredondamento&lt;&gt;"TransfereGOV",
ROUND(OFFSET($P392,0,AI$13),15-13*ORÇAMENTO!$AF$7)/$H392*OFFSET(ORÇAMENTO!$X$15,ROW(AI392)-ROW(AI$15),0),
ROUND(ROUND(OFFSET($P392,0,AI$13),15-13*ORÇAMENTO!$AF$7)*OFFSET(ORÇAMENTO!$W$15,ROW(AI392)-ROW(AI$15),0),15-13*ORÇAMENTO!$AF$11)),0)</f>
        <v>0</v>
      </c>
      <c r="AJ392" s="545">
        <f ca="1">IF(AND($D392="Serviço",AJ$12&lt;&gt;0,$H392&gt;0,OR(AUTOEVENTO&lt;&gt;"manual",$M392&lt;&gt;1)),
IF(Import.TipoArredondamento&lt;&gt;"TransfereGOV",
ROUND(OFFSET($P392,0,AJ$13),15-13*ORÇAMENTO!$AF$7)/$H392*OFFSET(ORÇAMENTO!$X$15,ROW(AJ392)-ROW(AJ$15),0),
ROUND(ROUND(OFFSET($P392,0,AJ$13),15-13*ORÇAMENTO!$AF$7)*OFFSET(ORÇAMENTO!$W$15,ROW(AJ392)-ROW(AJ$15),0),15-13*ORÇAMENTO!$AF$11)),0)</f>
        <v>0</v>
      </c>
      <c r="AK392" s="546">
        <f ca="1">IF(AND($D392="Serviço",AK$12&lt;&gt;0,$H392&gt;0,OR(AUTOEVENTO&lt;&gt;"manual",$M392&lt;&gt;1)),
IF(Import.TipoArredondamento&lt;&gt;"TransfereGOV",
ROUND(OFFSET($P392,0,AK$13),15-13*ORÇAMENTO!$AF$7)/$H392*OFFSET(ORÇAMENTO!$X$15,ROW(AK392)-ROW(AK$15),0),
ROUND(ROUND(OFFSET($P392,0,AK$13),15-13*ORÇAMENTO!$AF$7)*OFFSET(ORÇAMENTO!$W$15,ROW(AK392)-ROW(AK$15),0),15-13*ORÇAMENTO!$AF$11)),0)</f>
        <v>0</v>
      </c>
      <c r="AM392" s="181">
        <f ca="1">IF($D392&lt;&gt;"Serviço",0,IF(AND(AUTOEVENTO="Manual",$M392=1),0,IF(OFFSET(CRONOPLE!$F$14,$M392,AM$13)="",10^12,OFFSET(CRONOPLE!$F$14,$M392,AM$13))))</f>
        <v>1000000000000</v>
      </c>
      <c r="AN392" s="181">
        <f ca="1">IF($D392&lt;&gt;"Serviço",0,IF(AND(AUTOEVENTO="Manual",$M392=1),0,IF(OFFSET(CRONOPLE!$F$14,$M392,AN$13)="",10^12,OFFSET(CRONOPLE!$F$14,$M392,AN$13))))</f>
        <v>1000000000000</v>
      </c>
      <c r="AO392" s="181">
        <f ca="1">IF($D392&lt;&gt;"Serviço",0,IF(AND(AUTOEVENTO="Manual",$M392=1),0,IF(OFFSET(CRONOPLE!$F$14,$M392,AO$13)="",10^12,OFFSET(CRONOPLE!$F$14,$M392,AO$13))))</f>
        <v>1000000000000</v>
      </c>
      <c r="AP392" s="181">
        <f ca="1">IF($D392&lt;&gt;"Serviço",0,IF(AND(AUTOEVENTO="Manual",$M392=1),0,IF(OFFSET(CRONOPLE!$F$14,$M392,AP$13)="",10^12,OFFSET(CRONOPLE!$F$14,$M392,AP$13))))</f>
        <v>1000000000000</v>
      </c>
      <c r="AQ392" s="181">
        <f ca="1">IF($D392&lt;&gt;"Serviço",0,IF(AND(AUTOEVENTO="Manual",$M392=1),0,IF(OFFSET(CRONOPLE!$F$14,$M392,AQ$13)="",10^12,OFFSET(CRONOPLE!$F$14,$M392,AQ$13))))</f>
        <v>1000000000000</v>
      </c>
      <c r="AR392" s="181">
        <f ca="1">IF($D392&lt;&gt;"Serviço",0,IF(AND(AUTOEVENTO="Manual",$M392=1),0,IF(OFFSET(CRONOPLE!$F$14,$M392,AR$13)="",10^12,OFFSET(CRONOPLE!$F$14,$M392,AR$13))))</f>
        <v>1000000000000</v>
      </c>
      <c r="AS392" s="181">
        <f ca="1">IF($D392&lt;&gt;"Serviço",0,IF(AND(AUTOEVENTO="Manual",$M392=1),0,IF(OFFSET(CRONOPLE!$F$14,$M392,AS$13)="",10^12,OFFSET(CRONOPLE!$F$14,$M392,AS$13))))</f>
        <v>1000000000000</v>
      </c>
      <c r="AT392" s="181">
        <f ca="1">IF($D392&lt;&gt;"Serviço",0,IF(AND(AUTOEVENTO="Manual",$M392=1),0,IF(OFFSET(CRONOPLE!$F$14,$M392,AT$13)="",10^12,OFFSET(CRONOPLE!$F$14,$M392,AT$13))))</f>
        <v>1000000000000</v>
      </c>
      <c r="AU392" s="181">
        <f ca="1">IF($D392&lt;&gt;"Serviço",0,IF(AND(AUTOEVENTO="Manual",$M392=1),0,IF(OFFSET(CRONOPLE!$F$14,$M392,AU$13)="",10^12,OFFSET(CRONOPLE!$F$14,$M392,AU$13))))</f>
        <v>1000000000000</v>
      </c>
      <c r="AV392" s="181">
        <f ca="1">IF($D392&lt;&gt;"Serviço",0,IF(AND(AUTOEVENTO="Manual",$M392=1),0,IF(OFFSET(CRONOPLE!$F$14,$M392,AV$13)="",10^12,OFFSET(CRONOPLE!$F$14,$M392,AV$13))))</f>
        <v>1000000000000</v>
      </c>
      <c r="AX392" s="182">
        <f ca="1">IF($D392&lt;&gt;"Serviço",0,IF(OR(AND(AUTOEVENTO="Manual",$M392=1),$M392&gt;(ROW(PLE.lastrow)-ROW(PLE.firstrow))),0,IF(OFFSET(PLE!$G$14,$M392,AX$13)="",10^12,OFFSET(PLE!$G$14,$M392,AX$13))))</f>
        <v>1000000000000</v>
      </c>
      <c r="AY392" s="182">
        <f ca="1">IF($D392&lt;&gt;"Serviço",0,IF(OR(AND(AUTOEVENTO="Manual",$M392=1),$M392&gt;(ROW(PLE.lastrow)-ROW(PLE.firstrow))),0,IF(OFFSET(PLE!$G$14,$M392,AY$13)="",10^12,OFFSET(PLE!$G$14,$M392,AY$13))))</f>
        <v>1000000000000</v>
      </c>
      <c r="AZ392" s="182">
        <f ca="1">IF($D392&lt;&gt;"Serviço",0,IF(OR(AND(AUTOEVENTO="Manual",$M392=1),$M392&gt;(ROW(PLE.lastrow)-ROW(PLE.firstrow))),0,IF(OFFSET(PLE!$G$14,$M392,AZ$13)="",10^12,OFFSET(PLE!$G$14,$M392,AZ$13))))</f>
        <v>1000000000000</v>
      </c>
      <c r="BA392" s="182">
        <f ca="1">IF($D392&lt;&gt;"Serviço",0,IF(OR(AND(AUTOEVENTO="Manual",$M392=1),$M392&gt;(ROW(PLE.lastrow)-ROW(PLE.firstrow))),0,IF(OFFSET(PLE!$G$14,$M392,BA$13)="",10^12,OFFSET(PLE!$G$14,$M392,BA$13))))</f>
        <v>1000000000000</v>
      </c>
      <c r="BB392" s="182">
        <f ca="1">IF($D392&lt;&gt;"Serviço",0,IF(OR(AND(AUTOEVENTO="Manual",$M392=1),$M392&gt;(ROW(PLE.lastrow)-ROW(PLE.firstrow))),0,IF(OFFSET(PLE!$G$14,$M392,BB$13)="",10^12,OFFSET(PLE!$G$14,$M392,BB$13))))</f>
        <v>1000000000000</v>
      </c>
      <c r="BC392" s="182">
        <f ca="1">IF($D392&lt;&gt;"Serviço",0,IF(OR(AND(AUTOEVENTO="Manual",$M392=1),$M392&gt;(ROW(PLE.lastrow)-ROW(PLE.firstrow))),0,IF(OFFSET(PLE!$G$14,$M392,BC$13)="",10^12,OFFSET(PLE!$G$14,$M392,BC$13))))</f>
        <v>1000000000000</v>
      </c>
      <c r="BD392" s="182">
        <f ca="1">IF($D392&lt;&gt;"Serviço",0,IF(OR(AND(AUTOEVENTO="Manual",$M392=1),$M392&gt;(ROW(PLE.lastrow)-ROW(PLE.firstrow))),0,IF(OFFSET(PLE!$G$14,$M392,BD$13)="",10^12,OFFSET(PLE!$G$14,$M392,BD$13))))</f>
        <v>1000000000000</v>
      </c>
      <c r="BE392" s="182">
        <f ca="1">IF($D392&lt;&gt;"Serviço",0,IF(OR(AND(AUTOEVENTO="Manual",$M392=1),$M392&gt;(ROW(PLE.lastrow)-ROW(PLE.firstrow))),0,IF(OFFSET(PLE!$G$14,$M392,BE$13)="",10^12,OFFSET(PLE!$G$14,$M392,BE$13))))</f>
        <v>1000000000000</v>
      </c>
      <c r="BF392" s="182">
        <f ca="1">IF($D392&lt;&gt;"Serviço",0,IF(OR(AND(AUTOEVENTO="Manual",$M392=1),$M392&gt;(ROW(PLE.lastrow)-ROW(PLE.firstrow))),0,IF(OFFSET(PLE!$G$14,$M392,BF$13)="",10^12,OFFSET(PLE!$G$14,$M392,BF$13))))</f>
        <v>1000000000000</v>
      </c>
      <c r="BG392" s="182">
        <f ca="1">IF($D392&lt;&gt;"Serviço",0,IF(OR(AND(AUTOEVENTO="Manual",$M392=1),$M392&gt;(ROW(PLE.lastrow)-ROW(PLE.firstrow))),0,IF(OFFSET(PLE!$G$14,$M392,BG$13)="",10^12,OFFSET(PLE!$G$14,$M392,BG$13))))</f>
        <v>1000000000000</v>
      </c>
    </row>
    <row r="393" spans="1:59" ht="25.5" x14ac:dyDescent="0.2">
      <c r="A393" s="7" t="str">
        <f t="shared" ca="1" si="11"/>
        <v>376</v>
      </c>
      <c r="B393" s="7" t="str">
        <f ca="1">OFFSET(ORÇAMENTO!C$15,ROW(B393)-ROW(B$15),0)</f>
        <v>S</v>
      </c>
      <c r="C393" s="7" t="str">
        <f ca="1">OFFSET(ORÇAMENTO!L$15,ROW(C393)-ROW(C$15),0)</f>
        <v/>
      </c>
      <c r="D393" s="118" t="str">
        <f ca="1">OFFSET(ORÇAMENTO!N$15,ROW(D393)-ROW(D$15),0)</f>
        <v>Serviço</v>
      </c>
      <c r="E393" s="119" t="str">
        <f ca="1">OFFSET(ORÇAMENTO!O$15,ROW(E393)-ROW(E$15),0)</f>
        <v>-</v>
      </c>
      <c r="F393" s="172" t="str">
        <f ca="1">OFFSET(ORÇAMENTO!R$15,ROW(F393)-ROW(F$15),0)</f>
        <v>(abra o arquivo 'Referência 02-2025.xlsm)</v>
      </c>
      <c r="G393" s="173" t="str">
        <f ca="1">IF($D393&lt;&gt;"Serviço","",OFFSET(ORÇAMENTO!S$15,ROW(G393)-ROW(G$15),0))</f>
        <v>-</v>
      </c>
      <c r="H393" s="124">
        <f ca="1">IF($D393&lt;&gt;"Serviço",0,IF(ACOMPANHAMENTO="BM",ROUND(OFFSET(ORÇAMENTO!AJ$15,ROW(H393)-ROW(H$15),0),15-13*ORÇAMENTO!$AF$7),SUMPRODUCT(($Q$12:$AA$12&lt;&gt;"")*ROUND($Q393:$AA393,15-13*ORÇAMENTO!$AF$7))))</f>
        <v>18</v>
      </c>
      <c r="I393" s="561" t="s">
        <v>890</v>
      </c>
      <c r="K393" s="174"/>
      <c r="L393" s="175" t="s">
        <v>255</v>
      </c>
      <c r="M393" s="176">
        <f ca="1">IF($D393&lt;&gt;"Serviço","",IF(AUTOEVENTO="manual",$A393,IF(ISERROR(MATCH($A393,$A$15:OFFSET($A393,-1,0),0)),MAX($M$15:OFFSET(M393,-1,0))+1,INDEX($M$15:OFFSET(M393,-1,0),MATCH($A393,$A$15:OFFSET($A393,-1,0),0)))))</f>
        <v>16</v>
      </c>
      <c r="N393" s="177" t="str">
        <f ca="1">IF($D393&lt;&gt;"Serviço","",IF(AUTOEVENTO="Manual",IF($A393=0,"&lt;-- defina o número do agrupador",OFFSET(EVENTOS!$D$14,$A393,0)),OFFSET($F$15,$A393,0)))</f>
        <v>LOUÇAS, ACESSÓRIOS E METAIS</v>
      </c>
      <c r="O393" s="178"/>
      <c r="Q393" s="178"/>
      <c r="R393" s="179"/>
      <c r="S393" s="179"/>
      <c r="T393" s="179"/>
      <c r="U393" s="179"/>
      <c r="V393" s="179"/>
      <c r="W393" s="179"/>
      <c r="X393" s="179"/>
      <c r="Y393" s="179"/>
      <c r="Z393" s="180"/>
      <c r="AB393" s="544">
        <f ca="1">IF(AND($D393="Serviço",AB$12&lt;&gt;0,$H393&gt;0,OR(AUTOEVENTO&lt;&gt;"manual",$M393&lt;&gt;1)),
IF(Import.TipoArredondamento&lt;&gt;"TransfereGOV",
ROUND(OFFSET($P393,0,AB$13),15-13*ORÇAMENTO!$AF$7)/$H393*OFFSET(ORÇAMENTO!$X$15,ROW(AB393)-ROW(AB$15),0),
ROUND(ROUND(OFFSET($P393,0,AB$13),15-13*ORÇAMENTO!$AF$7)*OFFSET(ORÇAMENTO!$W$15,ROW(AB393)-ROW(AB$15),0),15-13*ORÇAMENTO!$AF$11)),0)</f>
        <v>0</v>
      </c>
      <c r="AC393" s="545">
        <f ca="1">IF(AND($D393="Serviço",AC$12&lt;&gt;0,$H393&gt;0,OR(AUTOEVENTO&lt;&gt;"manual",$M393&lt;&gt;1)),
IF(Import.TipoArredondamento&lt;&gt;"TransfereGOV",
ROUND(OFFSET($P393,0,AC$13),15-13*ORÇAMENTO!$AF$7)/$H393*OFFSET(ORÇAMENTO!$X$15,ROW(AC393)-ROW(AC$15),0),
ROUND(ROUND(OFFSET($P393,0,AC$13),15-13*ORÇAMENTO!$AF$7)*OFFSET(ORÇAMENTO!$W$15,ROW(AC393)-ROW(AC$15),0),15-13*ORÇAMENTO!$AF$11)),0)</f>
        <v>0</v>
      </c>
      <c r="AD393" s="545">
        <f ca="1">IF(AND($D393="Serviço",AD$12&lt;&gt;0,$H393&gt;0,OR(AUTOEVENTO&lt;&gt;"manual",$M393&lt;&gt;1)),
IF(Import.TipoArredondamento&lt;&gt;"TransfereGOV",
ROUND(OFFSET($P393,0,AD$13),15-13*ORÇAMENTO!$AF$7)/$H393*OFFSET(ORÇAMENTO!$X$15,ROW(AD393)-ROW(AD$15),0),
ROUND(ROUND(OFFSET($P393,0,AD$13),15-13*ORÇAMENTO!$AF$7)*OFFSET(ORÇAMENTO!$W$15,ROW(AD393)-ROW(AD$15),0),15-13*ORÇAMENTO!$AF$11)),0)</f>
        <v>0</v>
      </c>
      <c r="AE393" s="545">
        <f ca="1">IF(AND($D393="Serviço",AE$12&lt;&gt;0,$H393&gt;0,OR(AUTOEVENTO&lt;&gt;"manual",$M393&lt;&gt;1)),
IF(Import.TipoArredondamento&lt;&gt;"TransfereGOV",
ROUND(OFFSET($P393,0,AE$13),15-13*ORÇAMENTO!$AF$7)/$H393*OFFSET(ORÇAMENTO!$X$15,ROW(AE393)-ROW(AE$15),0),
ROUND(ROUND(OFFSET($P393,0,AE$13),15-13*ORÇAMENTO!$AF$7)*OFFSET(ORÇAMENTO!$W$15,ROW(AE393)-ROW(AE$15),0),15-13*ORÇAMENTO!$AF$11)),0)</f>
        <v>0</v>
      </c>
      <c r="AF393" s="545">
        <f ca="1">IF(AND($D393="Serviço",AF$12&lt;&gt;0,$H393&gt;0,OR(AUTOEVENTO&lt;&gt;"manual",$M393&lt;&gt;1)),
IF(Import.TipoArredondamento&lt;&gt;"TransfereGOV",
ROUND(OFFSET($P393,0,AF$13),15-13*ORÇAMENTO!$AF$7)/$H393*OFFSET(ORÇAMENTO!$X$15,ROW(AF393)-ROW(AF$15),0),
ROUND(ROUND(OFFSET($P393,0,AF$13),15-13*ORÇAMENTO!$AF$7)*OFFSET(ORÇAMENTO!$W$15,ROW(AF393)-ROW(AF$15),0),15-13*ORÇAMENTO!$AF$11)),0)</f>
        <v>0</v>
      </c>
      <c r="AG393" s="545">
        <f ca="1">IF(AND($D393="Serviço",AG$12&lt;&gt;0,$H393&gt;0,OR(AUTOEVENTO&lt;&gt;"manual",$M393&lt;&gt;1)),
IF(Import.TipoArredondamento&lt;&gt;"TransfereGOV",
ROUND(OFFSET($P393,0,AG$13),15-13*ORÇAMENTO!$AF$7)/$H393*OFFSET(ORÇAMENTO!$X$15,ROW(AG393)-ROW(AG$15),0),
ROUND(ROUND(OFFSET($P393,0,AG$13),15-13*ORÇAMENTO!$AF$7)*OFFSET(ORÇAMENTO!$W$15,ROW(AG393)-ROW(AG$15),0),15-13*ORÇAMENTO!$AF$11)),0)</f>
        <v>0</v>
      </c>
      <c r="AH393" s="545">
        <f ca="1">IF(AND($D393="Serviço",AH$12&lt;&gt;0,$H393&gt;0,OR(AUTOEVENTO&lt;&gt;"manual",$M393&lt;&gt;1)),
IF(Import.TipoArredondamento&lt;&gt;"TransfereGOV",
ROUND(OFFSET($P393,0,AH$13),15-13*ORÇAMENTO!$AF$7)/$H393*OFFSET(ORÇAMENTO!$X$15,ROW(AH393)-ROW(AH$15),0),
ROUND(ROUND(OFFSET($P393,0,AH$13),15-13*ORÇAMENTO!$AF$7)*OFFSET(ORÇAMENTO!$W$15,ROW(AH393)-ROW(AH$15),0),15-13*ORÇAMENTO!$AF$11)),0)</f>
        <v>0</v>
      </c>
      <c r="AI393" s="545">
        <f ca="1">IF(AND($D393="Serviço",AI$12&lt;&gt;0,$H393&gt;0,OR(AUTOEVENTO&lt;&gt;"manual",$M393&lt;&gt;1)),
IF(Import.TipoArredondamento&lt;&gt;"TransfereGOV",
ROUND(OFFSET($P393,0,AI$13),15-13*ORÇAMENTO!$AF$7)/$H393*OFFSET(ORÇAMENTO!$X$15,ROW(AI393)-ROW(AI$15),0),
ROUND(ROUND(OFFSET($P393,0,AI$13),15-13*ORÇAMENTO!$AF$7)*OFFSET(ORÇAMENTO!$W$15,ROW(AI393)-ROW(AI$15),0),15-13*ORÇAMENTO!$AF$11)),0)</f>
        <v>0</v>
      </c>
      <c r="AJ393" s="545">
        <f ca="1">IF(AND($D393="Serviço",AJ$12&lt;&gt;0,$H393&gt;0,OR(AUTOEVENTO&lt;&gt;"manual",$M393&lt;&gt;1)),
IF(Import.TipoArredondamento&lt;&gt;"TransfereGOV",
ROUND(OFFSET($P393,0,AJ$13),15-13*ORÇAMENTO!$AF$7)/$H393*OFFSET(ORÇAMENTO!$X$15,ROW(AJ393)-ROW(AJ$15),0),
ROUND(ROUND(OFFSET($P393,0,AJ$13),15-13*ORÇAMENTO!$AF$7)*OFFSET(ORÇAMENTO!$W$15,ROW(AJ393)-ROW(AJ$15),0),15-13*ORÇAMENTO!$AF$11)),0)</f>
        <v>0</v>
      </c>
      <c r="AK393" s="546">
        <f ca="1">IF(AND($D393="Serviço",AK$12&lt;&gt;0,$H393&gt;0,OR(AUTOEVENTO&lt;&gt;"manual",$M393&lt;&gt;1)),
IF(Import.TipoArredondamento&lt;&gt;"TransfereGOV",
ROUND(OFFSET($P393,0,AK$13),15-13*ORÇAMENTO!$AF$7)/$H393*OFFSET(ORÇAMENTO!$X$15,ROW(AK393)-ROW(AK$15),0),
ROUND(ROUND(OFFSET($P393,0,AK$13),15-13*ORÇAMENTO!$AF$7)*OFFSET(ORÇAMENTO!$W$15,ROW(AK393)-ROW(AK$15),0),15-13*ORÇAMENTO!$AF$11)),0)</f>
        <v>0</v>
      </c>
      <c r="AM393" s="181">
        <f ca="1">IF($D393&lt;&gt;"Serviço",0,IF(AND(AUTOEVENTO="Manual",$M393=1),0,IF(OFFSET(CRONOPLE!$F$14,$M393,AM$13)="",10^12,OFFSET(CRONOPLE!$F$14,$M393,AM$13))))</f>
        <v>1000000000000</v>
      </c>
      <c r="AN393" s="181">
        <f ca="1">IF($D393&lt;&gt;"Serviço",0,IF(AND(AUTOEVENTO="Manual",$M393=1),0,IF(OFFSET(CRONOPLE!$F$14,$M393,AN$13)="",10^12,OFFSET(CRONOPLE!$F$14,$M393,AN$13))))</f>
        <v>1000000000000</v>
      </c>
      <c r="AO393" s="181">
        <f ca="1">IF($D393&lt;&gt;"Serviço",0,IF(AND(AUTOEVENTO="Manual",$M393=1),0,IF(OFFSET(CRONOPLE!$F$14,$M393,AO$13)="",10^12,OFFSET(CRONOPLE!$F$14,$M393,AO$13))))</f>
        <v>1000000000000</v>
      </c>
      <c r="AP393" s="181">
        <f ca="1">IF($D393&lt;&gt;"Serviço",0,IF(AND(AUTOEVENTO="Manual",$M393=1),0,IF(OFFSET(CRONOPLE!$F$14,$M393,AP$13)="",10^12,OFFSET(CRONOPLE!$F$14,$M393,AP$13))))</f>
        <v>1000000000000</v>
      </c>
      <c r="AQ393" s="181">
        <f ca="1">IF($D393&lt;&gt;"Serviço",0,IF(AND(AUTOEVENTO="Manual",$M393=1),0,IF(OFFSET(CRONOPLE!$F$14,$M393,AQ$13)="",10^12,OFFSET(CRONOPLE!$F$14,$M393,AQ$13))))</f>
        <v>1000000000000</v>
      </c>
      <c r="AR393" s="181">
        <f ca="1">IF($D393&lt;&gt;"Serviço",0,IF(AND(AUTOEVENTO="Manual",$M393=1),0,IF(OFFSET(CRONOPLE!$F$14,$M393,AR$13)="",10^12,OFFSET(CRONOPLE!$F$14,$M393,AR$13))))</f>
        <v>1000000000000</v>
      </c>
      <c r="AS393" s="181">
        <f ca="1">IF($D393&lt;&gt;"Serviço",0,IF(AND(AUTOEVENTO="Manual",$M393=1),0,IF(OFFSET(CRONOPLE!$F$14,$M393,AS$13)="",10^12,OFFSET(CRONOPLE!$F$14,$M393,AS$13))))</f>
        <v>1000000000000</v>
      </c>
      <c r="AT393" s="181">
        <f ca="1">IF($D393&lt;&gt;"Serviço",0,IF(AND(AUTOEVENTO="Manual",$M393=1),0,IF(OFFSET(CRONOPLE!$F$14,$M393,AT$13)="",10^12,OFFSET(CRONOPLE!$F$14,$M393,AT$13))))</f>
        <v>1000000000000</v>
      </c>
      <c r="AU393" s="181">
        <f ca="1">IF($D393&lt;&gt;"Serviço",0,IF(AND(AUTOEVENTO="Manual",$M393=1),0,IF(OFFSET(CRONOPLE!$F$14,$M393,AU$13)="",10^12,OFFSET(CRONOPLE!$F$14,$M393,AU$13))))</f>
        <v>1000000000000</v>
      </c>
      <c r="AV393" s="181">
        <f ca="1">IF($D393&lt;&gt;"Serviço",0,IF(AND(AUTOEVENTO="Manual",$M393=1),0,IF(OFFSET(CRONOPLE!$F$14,$M393,AV$13)="",10^12,OFFSET(CRONOPLE!$F$14,$M393,AV$13))))</f>
        <v>1000000000000</v>
      </c>
      <c r="AX393" s="182">
        <f ca="1">IF($D393&lt;&gt;"Serviço",0,IF(OR(AND(AUTOEVENTO="Manual",$M393=1),$M393&gt;(ROW(PLE.lastrow)-ROW(PLE.firstrow))),0,IF(OFFSET(PLE!$G$14,$M393,AX$13)="",10^12,OFFSET(PLE!$G$14,$M393,AX$13))))</f>
        <v>1000000000000</v>
      </c>
      <c r="AY393" s="182">
        <f ca="1">IF($D393&lt;&gt;"Serviço",0,IF(OR(AND(AUTOEVENTO="Manual",$M393=1),$M393&gt;(ROW(PLE.lastrow)-ROW(PLE.firstrow))),0,IF(OFFSET(PLE!$G$14,$M393,AY$13)="",10^12,OFFSET(PLE!$G$14,$M393,AY$13))))</f>
        <v>1000000000000</v>
      </c>
      <c r="AZ393" s="182">
        <f ca="1">IF($D393&lt;&gt;"Serviço",0,IF(OR(AND(AUTOEVENTO="Manual",$M393=1),$M393&gt;(ROW(PLE.lastrow)-ROW(PLE.firstrow))),0,IF(OFFSET(PLE!$G$14,$M393,AZ$13)="",10^12,OFFSET(PLE!$G$14,$M393,AZ$13))))</f>
        <v>1000000000000</v>
      </c>
      <c r="BA393" s="182">
        <f ca="1">IF($D393&lt;&gt;"Serviço",0,IF(OR(AND(AUTOEVENTO="Manual",$M393=1),$M393&gt;(ROW(PLE.lastrow)-ROW(PLE.firstrow))),0,IF(OFFSET(PLE!$G$14,$M393,BA$13)="",10^12,OFFSET(PLE!$G$14,$M393,BA$13))))</f>
        <v>1000000000000</v>
      </c>
      <c r="BB393" s="182">
        <f ca="1">IF($D393&lt;&gt;"Serviço",0,IF(OR(AND(AUTOEVENTO="Manual",$M393=1),$M393&gt;(ROW(PLE.lastrow)-ROW(PLE.firstrow))),0,IF(OFFSET(PLE!$G$14,$M393,BB$13)="",10^12,OFFSET(PLE!$G$14,$M393,BB$13))))</f>
        <v>1000000000000</v>
      </c>
      <c r="BC393" s="182">
        <f ca="1">IF($D393&lt;&gt;"Serviço",0,IF(OR(AND(AUTOEVENTO="Manual",$M393=1),$M393&gt;(ROW(PLE.lastrow)-ROW(PLE.firstrow))),0,IF(OFFSET(PLE!$G$14,$M393,BC$13)="",10^12,OFFSET(PLE!$G$14,$M393,BC$13))))</f>
        <v>1000000000000</v>
      </c>
      <c r="BD393" s="182">
        <f ca="1">IF($D393&lt;&gt;"Serviço",0,IF(OR(AND(AUTOEVENTO="Manual",$M393=1),$M393&gt;(ROW(PLE.lastrow)-ROW(PLE.firstrow))),0,IF(OFFSET(PLE!$G$14,$M393,BD$13)="",10^12,OFFSET(PLE!$G$14,$M393,BD$13))))</f>
        <v>1000000000000</v>
      </c>
      <c r="BE393" s="182">
        <f ca="1">IF($D393&lt;&gt;"Serviço",0,IF(OR(AND(AUTOEVENTO="Manual",$M393=1),$M393&gt;(ROW(PLE.lastrow)-ROW(PLE.firstrow))),0,IF(OFFSET(PLE!$G$14,$M393,BE$13)="",10^12,OFFSET(PLE!$G$14,$M393,BE$13))))</f>
        <v>1000000000000</v>
      </c>
      <c r="BF393" s="182">
        <f ca="1">IF($D393&lt;&gt;"Serviço",0,IF(OR(AND(AUTOEVENTO="Manual",$M393=1),$M393&gt;(ROW(PLE.lastrow)-ROW(PLE.firstrow))),0,IF(OFFSET(PLE!$G$14,$M393,BF$13)="",10^12,OFFSET(PLE!$G$14,$M393,BF$13))))</f>
        <v>1000000000000</v>
      </c>
      <c r="BG393" s="182">
        <f ca="1">IF($D393&lt;&gt;"Serviço",0,IF(OR(AND(AUTOEVENTO="Manual",$M393=1),$M393&gt;(ROW(PLE.lastrow)-ROW(PLE.firstrow))),0,IF(OFFSET(PLE!$G$14,$M393,BG$13)="",10^12,OFFSET(PLE!$G$14,$M393,BG$13))))</f>
        <v>1000000000000</v>
      </c>
    </row>
    <row r="394" spans="1:59" ht="25.5" x14ac:dyDescent="0.2">
      <c r="A394" s="7" t="str">
        <f t="shared" ca="1" si="11"/>
        <v>376</v>
      </c>
      <c r="B394" s="7" t="str">
        <f ca="1">OFFSET(ORÇAMENTO!C$15,ROW(B394)-ROW(B$15),0)</f>
        <v>S</v>
      </c>
      <c r="C394" s="7" t="str">
        <f ca="1">OFFSET(ORÇAMENTO!L$15,ROW(C394)-ROW(C$15),0)</f>
        <v/>
      </c>
      <c r="D394" s="118" t="str">
        <f ca="1">OFFSET(ORÇAMENTO!N$15,ROW(D394)-ROW(D$15),0)</f>
        <v>Serviço</v>
      </c>
      <c r="E394" s="119" t="str">
        <f ca="1">OFFSET(ORÇAMENTO!O$15,ROW(E394)-ROW(E$15),0)</f>
        <v>-</v>
      </c>
      <c r="F394" s="172" t="str">
        <f ca="1">OFFSET(ORÇAMENTO!R$15,ROW(F394)-ROW(F$15),0)</f>
        <v>(abra o arquivo 'Referência 02-2025.xlsm)</v>
      </c>
      <c r="G394" s="173" t="str">
        <f ca="1">IF($D394&lt;&gt;"Serviço","",OFFSET(ORÇAMENTO!S$15,ROW(G394)-ROW(G$15),0))</f>
        <v>-</v>
      </c>
      <c r="H394" s="124">
        <f ca="1">IF($D394&lt;&gt;"Serviço",0,IF(ACOMPANHAMENTO="BM",ROUND(OFFSET(ORÇAMENTO!AJ$15,ROW(H394)-ROW(H$15),0),15-13*ORÇAMENTO!$AF$7),SUMPRODUCT(($Q$12:$AA$12&lt;&gt;"")*ROUND($Q394:$AA394,15-13*ORÇAMENTO!$AF$7))))</f>
        <v>6</v>
      </c>
      <c r="I394" s="561" t="s">
        <v>890</v>
      </c>
      <c r="K394" s="174"/>
      <c r="L394" s="175" t="s">
        <v>255</v>
      </c>
      <c r="M394" s="176">
        <f ca="1">IF($D394&lt;&gt;"Serviço","",IF(AUTOEVENTO="manual",$A394,IF(ISERROR(MATCH($A394,$A$15:OFFSET($A394,-1,0),0)),MAX($M$15:OFFSET(M394,-1,0))+1,INDEX($M$15:OFFSET(M394,-1,0),MATCH($A394,$A$15:OFFSET($A394,-1,0),0)))))</f>
        <v>16</v>
      </c>
      <c r="N394" s="177" t="str">
        <f ca="1">IF($D394&lt;&gt;"Serviço","",IF(AUTOEVENTO="Manual",IF($A394=0,"&lt;-- defina o número do agrupador",OFFSET(EVENTOS!$D$14,$A394,0)),OFFSET($F$15,$A394,0)))</f>
        <v>LOUÇAS, ACESSÓRIOS E METAIS</v>
      </c>
      <c r="O394" s="178"/>
      <c r="Q394" s="178"/>
      <c r="R394" s="179"/>
      <c r="S394" s="179"/>
      <c r="T394" s="179"/>
      <c r="U394" s="179"/>
      <c r="V394" s="179"/>
      <c r="W394" s="179"/>
      <c r="X394" s="179"/>
      <c r="Y394" s="179"/>
      <c r="Z394" s="180"/>
      <c r="AB394" s="544">
        <f ca="1">IF(AND($D394="Serviço",AB$12&lt;&gt;0,$H394&gt;0,OR(AUTOEVENTO&lt;&gt;"manual",$M394&lt;&gt;1)),
IF(Import.TipoArredondamento&lt;&gt;"TransfereGOV",
ROUND(OFFSET($P394,0,AB$13),15-13*ORÇAMENTO!$AF$7)/$H394*OFFSET(ORÇAMENTO!$X$15,ROW(AB394)-ROW(AB$15),0),
ROUND(ROUND(OFFSET($P394,0,AB$13),15-13*ORÇAMENTO!$AF$7)*OFFSET(ORÇAMENTO!$W$15,ROW(AB394)-ROW(AB$15),0),15-13*ORÇAMENTO!$AF$11)),0)</f>
        <v>0</v>
      </c>
      <c r="AC394" s="545">
        <f ca="1">IF(AND($D394="Serviço",AC$12&lt;&gt;0,$H394&gt;0,OR(AUTOEVENTO&lt;&gt;"manual",$M394&lt;&gt;1)),
IF(Import.TipoArredondamento&lt;&gt;"TransfereGOV",
ROUND(OFFSET($P394,0,AC$13),15-13*ORÇAMENTO!$AF$7)/$H394*OFFSET(ORÇAMENTO!$X$15,ROW(AC394)-ROW(AC$15),0),
ROUND(ROUND(OFFSET($P394,0,AC$13),15-13*ORÇAMENTO!$AF$7)*OFFSET(ORÇAMENTO!$W$15,ROW(AC394)-ROW(AC$15),0),15-13*ORÇAMENTO!$AF$11)),0)</f>
        <v>0</v>
      </c>
      <c r="AD394" s="545">
        <f ca="1">IF(AND($D394="Serviço",AD$12&lt;&gt;0,$H394&gt;0,OR(AUTOEVENTO&lt;&gt;"manual",$M394&lt;&gt;1)),
IF(Import.TipoArredondamento&lt;&gt;"TransfereGOV",
ROUND(OFFSET($P394,0,AD$13),15-13*ORÇAMENTO!$AF$7)/$H394*OFFSET(ORÇAMENTO!$X$15,ROW(AD394)-ROW(AD$15),0),
ROUND(ROUND(OFFSET($P394,0,AD$13),15-13*ORÇAMENTO!$AF$7)*OFFSET(ORÇAMENTO!$W$15,ROW(AD394)-ROW(AD$15),0),15-13*ORÇAMENTO!$AF$11)),0)</f>
        <v>0</v>
      </c>
      <c r="AE394" s="545">
        <f ca="1">IF(AND($D394="Serviço",AE$12&lt;&gt;0,$H394&gt;0,OR(AUTOEVENTO&lt;&gt;"manual",$M394&lt;&gt;1)),
IF(Import.TipoArredondamento&lt;&gt;"TransfereGOV",
ROUND(OFFSET($P394,0,AE$13),15-13*ORÇAMENTO!$AF$7)/$H394*OFFSET(ORÇAMENTO!$X$15,ROW(AE394)-ROW(AE$15),0),
ROUND(ROUND(OFFSET($P394,0,AE$13),15-13*ORÇAMENTO!$AF$7)*OFFSET(ORÇAMENTO!$W$15,ROW(AE394)-ROW(AE$15),0),15-13*ORÇAMENTO!$AF$11)),0)</f>
        <v>0</v>
      </c>
      <c r="AF394" s="545">
        <f ca="1">IF(AND($D394="Serviço",AF$12&lt;&gt;0,$H394&gt;0,OR(AUTOEVENTO&lt;&gt;"manual",$M394&lt;&gt;1)),
IF(Import.TipoArredondamento&lt;&gt;"TransfereGOV",
ROUND(OFFSET($P394,0,AF$13),15-13*ORÇAMENTO!$AF$7)/$H394*OFFSET(ORÇAMENTO!$X$15,ROW(AF394)-ROW(AF$15),0),
ROUND(ROUND(OFFSET($P394,0,AF$13),15-13*ORÇAMENTO!$AF$7)*OFFSET(ORÇAMENTO!$W$15,ROW(AF394)-ROW(AF$15),0),15-13*ORÇAMENTO!$AF$11)),0)</f>
        <v>0</v>
      </c>
      <c r="AG394" s="545">
        <f ca="1">IF(AND($D394="Serviço",AG$12&lt;&gt;0,$H394&gt;0,OR(AUTOEVENTO&lt;&gt;"manual",$M394&lt;&gt;1)),
IF(Import.TipoArredondamento&lt;&gt;"TransfereGOV",
ROUND(OFFSET($P394,0,AG$13),15-13*ORÇAMENTO!$AF$7)/$H394*OFFSET(ORÇAMENTO!$X$15,ROW(AG394)-ROW(AG$15),0),
ROUND(ROUND(OFFSET($P394,0,AG$13),15-13*ORÇAMENTO!$AF$7)*OFFSET(ORÇAMENTO!$W$15,ROW(AG394)-ROW(AG$15),0),15-13*ORÇAMENTO!$AF$11)),0)</f>
        <v>0</v>
      </c>
      <c r="AH394" s="545">
        <f ca="1">IF(AND($D394="Serviço",AH$12&lt;&gt;0,$H394&gt;0,OR(AUTOEVENTO&lt;&gt;"manual",$M394&lt;&gt;1)),
IF(Import.TipoArredondamento&lt;&gt;"TransfereGOV",
ROUND(OFFSET($P394,0,AH$13),15-13*ORÇAMENTO!$AF$7)/$H394*OFFSET(ORÇAMENTO!$X$15,ROW(AH394)-ROW(AH$15),0),
ROUND(ROUND(OFFSET($P394,0,AH$13),15-13*ORÇAMENTO!$AF$7)*OFFSET(ORÇAMENTO!$W$15,ROW(AH394)-ROW(AH$15),0),15-13*ORÇAMENTO!$AF$11)),0)</f>
        <v>0</v>
      </c>
      <c r="AI394" s="545">
        <f ca="1">IF(AND($D394="Serviço",AI$12&lt;&gt;0,$H394&gt;0,OR(AUTOEVENTO&lt;&gt;"manual",$M394&lt;&gt;1)),
IF(Import.TipoArredondamento&lt;&gt;"TransfereGOV",
ROUND(OFFSET($P394,0,AI$13),15-13*ORÇAMENTO!$AF$7)/$H394*OFFSET(ORÇAMENTO!$X$15,ROW(AI394)-ROW(AI$15),0),
ROUND(ROUND(OFFSET($P394,0,AI$13),15-13*ORÇAMENTO!$AF$7)*OFFSET(ORÇAMENTO!$W$15,ROW(AI394)-ROW(AI$15),0),15-13*ORÇAMENTO!$AF$11)),0)</f>
        <v>0</v>
      </c>
      <c r="AJ394" s="545">
        <f ca="1">IF(AND($D394="Serviço",AJ$12&lt;&gt;0,$H394&gt;0,OR(AUTOEVENTO&lt;&gt;"manual",$M394&lt;&gt;1)),
IF(Import.TipoArredondamento&lt;&gt;"TransfereGOV",
ROUND(OFFSET($P394,0,AJ$13),15-13*ORÇAMENTO!$AF$7)/$H394*OFFSET(ORÇAMENTO!$X$15,ROW(AJ394)-ROW(AJ$15),0),
ROUND(ROUND(OFFSET($P394,0,AJ$13),15-13*ORÇAMENTO!$AF$7)*OFFSET(ORÇAMENTO!$W$15,ROW(AJ394)-ROW(AJ$15),0),15-13*ORÇAMENTO!$AF$11)),0)</f>
        <v>0</v>
      </c>
      <c r="AK394" s="546">
        <f ca="1">IF(AND($D394="Serviço",AK$12&lt;&gt;0,$H394&gt;0,OR(AUTOEVENTO&lt;&gt;"manual",$M394&lt;&gt;1)),
IF(Import.TipoArredondamento&lt;&gt;"TransfereGOV",
ROUND(OFFSET($P394,0,AK$13),15-13*ORÇAMENTO!$AF$7)/$H394*OFFSET(ORÇAMENTO!$X$15,ROW(AK394)-ROW(AK$15),0),
ROUND(ROUND(OFFSET($P394,0,AK$13),15-13*ORÇAMENTO!$AF$7)*OFFSET(ORÇAMENTO!$W$15,ROW(AK394)-ROW(AK$15),0),15-13*ORÇAMENTO!$AF$11)),0)</f>
        <v>0</v>
      </c>
      <c r="AM394" s="181">
        <f ca="1">IF($D394&lt;&gt;"Serviço",0,IF(AND(AUTOEVENTO="Manual",$M394=1),0,IF(OFFSET(CRONOPLE!$F$14,$M394,AM$13)="",10^12,OFFSET(CRONOPLE!$F$14,$M394,AM$13))))</f>
        <v>1000000000000</v>
      </c>
      <c r="AN394" s="181">
        <f ca="1">IF($D394&lt;&gt;"Serviço",0,IF(AND(AUTOEVENTO="Manual",$M394=1),0,IF(OFFSET(CRONOPLE!$F$14,$M394,AN$13)="",10^12,OFFSET(CRONOPLE!$F$14,$M394,AN$13))))</f>
        <v>1000000000000</v>
      </c>
      <c r="AO394" s="181">
        <f ca="1">IF($D394&lt;&gt;"Serviço",0,IF(AND(AUTOEVENTO="Manual",$M394=1),0,IF(OFFSET(CRONOPLE!$F$14,$M394,AO$13)="",10^12,OFFSET(CRONOPLE!$F$14,$M394,AO$13))))</f>
        <v>1000000000000</v>
      </c>
      <c r="AP394" s="181">
        <f ca="1">IF($D394&lt;&gt;"Serviço",0,IF(AND(AUTOEVENTO="Manual",$M394=1),0,IF(OFFSET(CRONOPLE!$F$14,$M394,AP$13)="",10^12,OFFSET(CRONOPLE!$F$14,$M394,AP$13))))</f>
        <v>1000000000000</v>
      </c>
      <c r="AQ394" s="181">
        <f ca="1">IF($D394&lt;&gt;"Serviço",0,IF(AND(AUTOEVENTO="Manual",$M394=1),0,IF(OFFSET(CRONOPLE!$F$14,$M394,AQ$13)="",10^12,OFFSET(CRONOPLE!$F$14,$M394,AQ$13))))</f>
        <v>1000000000000</v>
      </c>
      <c r="AR394" s="181">
        <f ca="1">IF($D394&lt;&gt;"Serviço",0,IF(AND(AUTOEVENTO="Manual",$M394=1),0,IF(OFFSET(CRONOPLE!$F$14,$M394,AR$13)="",10^12,OFFSET(CRONOPLE!$F$14,$M394,AR$13))))</f>
        <v>1000000000000</v>
      </c>
      <c r="AS394" s="181">
        <f ca="1">IF($D394&lt;&gt;"Serviço",0,IF(AND(AUTOEVENTO="Manual",$M394=1),0,IF(OFFSET(CRONOPLE!$F$14,$M394,AS$13)="",10^12,OFFSET(CRONOPLE!$F$14,$M394,AS$13))))</f>
        <v>1000000000000</v>
      </c>
      <c r="AT394" s="181">
        <f ca="1">IF($D394&lt;&gt;"Serviço",0,IF(AND(AUTOEVENTO="Manual",$M394=1),0,IF(OFFSET(CRONOPLE!$F$14,$M394,AT$13)="",10^12,OFFSET(CRONOPLE!$F$14,$M394,AT$13))))</f>
        <v>1000000000000</v>
      </c>
      <c r="AU394" s="181">
        <f ca="1">IF($D394&lt;&gt;"Serviço",0,IF(AND(AUTOEVENTO="Manual",$M394=1),0,IF(OFFSET(CRONOPLE!$F$14,$M394,AU$13)="",10^12,OFFSET(CRONOPLE!$F$14,$M394,AU$13))))</f>
        <v>1000000000000</v>
      </c>
      <c r="AV394" s="181">
        <f ca="1">IF($D394&lt;&gt;"Serviço",0,IF(AND(AUTOEVENTO="Manual",$M394=1),0,IF(OFFSET(CRONOPLE!$F$14,$M394,AV$13)="",10^12,OFFSET(CRONOPLE!$F$14,$M394,AV$13))))</f>
        <v>1000000000000</v>
      </c>
      <c r="AX394" s="182">
        <f ca="1">IF($D394&lt;&gt;"Serviço",0,IF(OR(AND(AUTOEVENTO="Manual",$M394=1),$M394&gt;(ROW(PLE.lastrow)-ROW(PLE.firstrow))),0,IF(OFFSET(PLE!$G$14,$M394,AX$13)="",10^12,OFFSET(PLE!$G$14,$M394,AX$13))))</f>
        <v>1000000000000</v>
      </c>
      <c r="AY394" s="182">
        <f ca="1">IF($D394&lt;&gt;"Serviço",0,IF(OR(AND(AUTOEVENTO="Manual",$M394=1),$M394&gt;(ROW(PLE.lastrow)-ROW(PLE.firstrow))),0,IF(OFFSET(PLE!$G$14,$M394,AY$13)="",10^12,OFFSET(PLE!$G$14,$M394,AY$13))))</f>
        <v>1000000000000</v>
      </c>
      <c r="AZ394" s="182">
        <f ca="1">IF($D394&lt;&gt;"Serviço",0,IF(OR(AND(AUTOEVENTO="Manual",$M394=1),$M394&gt;(ROW(PLE.lastrow)-ROW(PLE.firstrow))),0,IF(OFFSET(PLE!$G$14,$M394,AZ$13)="",10^12,OFFSET(PLE!$G$14,$M394,AZ$13))))</f>
        <v>1000000000000</v>
      </c>
      <c r="BA394" s="182">
        <f ca="1">IF($D394&lt;&gt;"Serviço",0,IF(OR(AND(AUTOEVENTO="Manual",$M394=1),$M394&gt;(ROW(PLE.lastrow)-ROW(PLE.firstrow))),0,IF(OFFSET(PLE!$G$14,$M394,BA$13)="",10^12,OFFSET(PLE!$G$14,$M394,BA$13))))</f>
        <v>1000000000000</v>
      </c>
      <c r="BB394" s="182">
        <f ca="1">IF($D394&lt;&gt;"Serviço",0,IF(OR(AND(AUTOEVENTO="Manual",$M394=1),$M394&gt;(ROW(PLE.lastrow)-ROW(PLE.firstrow))),0,IF(OFFSET(PLE!$G$14,$M394,BB$13)="",10^12,OFFSET(PLE!$G$14,$M394,BB$13))))</f>
        <v>1000000000000</v>
      </c>
      <c r="BC394" s="182">
        <f ca="1">IF($D394&lt;&gt;"Serviço",0,IF(OR(AND(AUTOEVENTO="Manual",$M394=1),$M394&gt;(ROW(PLE.lastrow)-ROW(PLE.firstrow))),0,IF(OFFSET(PLE!$G$14,$M394,BC$13)="",10^12,OFFSET(PLE!$G$14,$M394,BC$13))))</f>
        <v>1000000000000</v>
      </c>
      <c r="BD394" s="182">
        <f ca="1">IF($D394&lt;&gt;"Serviço",0,IF(OR(AND(AUTOEVENTO="Manual",$M394=1),$M394&gt;(ROW(PLE.lastrow)-ROW(PLE.firstrow))),0,IF(OFFSET(PLE!$G$14,$M394,BD$13)="",10^12,OFFSET(PLE!$G$14,$M394,BD$13))))</f>
        <v>1000000000000</v>
      </c>
      <c r="BE394" s="182">
        <f ca="1">IF($D394&lt;&gt;"Serviço",0,IF(OR(AND(AUTOEVENTO="Manual",$M394=1),$M394&gt;(ROW(PLE.lastrow)-ROW(PLE.firstrow))),0,IF(OFFSET(PLE!$G$14,$M394,BE$13)="",10^12,OFFSET(PLE!$G$14,$M394,BE$13))))</f>
        <v>1000000000000</v>
      </c>
      <c r="BF394" s="182">
        <f ca="1">IF($D394&lt;&gt;"Serviço",0,IF(OR(AND(AUTOEVENTO="Manual",$M394=1),$M394&gt;(ROW(PLE.lastrow)-ROW(PLE.firstrow))),0,IF(OFFSET(PLE!$G$14,$M394,BF$13)="",10^12,OFFSET(PLE!$G$14,$M394,BF$13))))</f>
        <v>1000000000000</v>
      </c>
      <c r="BG394" s="182">
        <f ca="1">IF($D394&lt;&gt;"Serviço",0,IF(OR(AND(AUTOEVENTO="Manual",$M394=1),$M394&gt;(ROW(PLE.lastrow)-ROW(PLE.firstrow))),0,IF(OFFSET(PLE!$G$14,$M394,BG$13)="",10^12,OFFSET(PLE!$G$14,$M394,BG$13))))</f>
        <v>1000000000000</v>
      </c>
    </row>
    <row r="395" spans="1:59" ht="25.5" x14ac:dyDescent="0.2">
      <c r="A395" s="7" t="str">
        <f t="shared" ca="1" si="11"/>
        <v>376</v>
      </c>
      <c r="B395" s="7" t="str">
        <f ca="1">OFFSET(ORÇAMENTO!C$15,ROW(B395)-ROW(B$15),0)</f>
        <v>S</v>
      </c>
      <c r="C395" s="7" t="str">
        <f ca="1">OFFSET(ORÇAMENTO!L$15,ROW(C395)-ROW(C$15),0)</f>
        <v/>
      </c>
      <c r="D395" s="118" t="str">
        <f ca="1">OFFSET(ORÇAMENTO!N$15,ROW(D395)-ROW(D$15),0)</f>
        <v>Serviço</v>
      </c>
      <c r="E395" s="119" t="str">
        <f ca="1">OFFSET(ORÇAMENTO!O$15,ROW(E395)-ROW(E$15),0)</f>
        <v>-</v>
      </c>
      <c r="F395" s="172" t="str">
        <f ca="1">OFFSET(ORÇAMENTO!R$15,ROW(F395)-ROW(F$15),0)</f>
        <v>(abra o arquivo 'Referência 02-2025.xlsm)</v>
      </c>
      <c r="G395" s="173" t="str">
        <f ca="1">IF($D395&lt;&gt;"Serviço","",OFFSET(ORÇAMENTO!S$15,ROW(G395)-ROW(G$15),0))</f>
        <v>-</v>
      </c>
      <c r="H395" s="124">
        <f ca="1">IF($D395&lt;&gt;"Serviço",0,IF(ACOMPANHAMENTO="BM",ROUND(OFFSET(ORÇAMENTO!AJ$15,ROW(H395)-ROW(H$15),0),15-13*ORÇAMENTO!$AF$7),SUMPRODUCT(($Q$12:$AA$12&lt;&gt;"")*ROUND($Q395:$AA395,15-13*ORÇAMENTO!$AF$7))))</f>
        <v>18</v>
      </c>
      <c r="I395" s="561" t="s">
        <v>890</v>
      </c>
      <c r="K395" s="174"/>
      <c r="L395" s="175" t="s">
        <v>255</v>
      </c>
      <c r="M395" s="176">
        <f ca="1">IF($D395&lt;&gt;"Serviço","",IF(AUTOEVENTO="manual",$A395,IF(ISERROR(MATCH($A395,$A$15:OFFSET($A395,-1,0),0)),MAX($M$15:OFFSET(M395,-1,0))+1,INDEX($M$15:OFFSET(M395,-1,0),MATCH($A395,$A$15:OFFSET($A395,-1,0),0)))))</f>
        <v>16</v>
      </c>
      <c r="N395" s="177" t="str">
        <f ca="1">IF($D395&lt;&gt;"Serviço","",IF(AUTOEVENTO="Manual",IF($A395=0,"&lt;-- defina o número do agrupador",OFFSET(EVENTOS!$D$14,$A395,0)),OFFSET($F$15,$A395,0)))</f>
        <v>LOUÇAS, ACESSÓRIOS E METAIS</v>
      </c>
      <c r="O395" s="178"/>
      <c r="Q395" s="178"/>
      <c r="R395" s="179"/>
      <c r="S395" s="179"/>
      <c r="T395" s="179"/>
      <c r="U395" s="179"/>
      <c r="V395" s="179"/>
      <c r="W395" s="179"/>
      <c r="X395" s="179"/>
      <c r="Y395" s="179"/>
      <c r="Z395" s="180"/>
      <c r="AB395" s="544">
        <f ca="1">IF(AND($D395="Serviço",AB$12&lt;&gt;0,$H395&gt;0,OR(AUTOEVENTO&lt;&gt;"manual",$M395&lt;&gt;1)),
IF(Import.TipoArredondamento&lt;&gt;"TransfereGOV",
ROUND(OFFSET($P395,0,AB$13),15-13*ORÇAMENTO!$AF$7)/$H395*OFFSET(ORÇAMENTO!$X$15,ROW(AB395)-ROW(AB$15),0),
ROUND(ROUND(OFFSET($P395,0,AB$13),15-13*ORÇAMENTO!$AF$7)*OFFSET(ORÇAMENTO!$W$15,ROW(AB395)-ROW(AB$15),0),15-13*ORÇAMENTO!$AF$11)),0)</f>
        <v>0</v>
      </c>
      <c r="AC395" s="545">
        <f ca="1">IF(AND($D395="Serviço",AC$12&lt;&gt;0,$H395&gt;0,OR(AUTOEVENTO&lt;&gt;"manual",$M395&lt;&gt;1)),
IF(Import.TipoArredondamento&lt;&gt;"TransfereGOV",
ROUND(OFFSET($P395,0,AC$13),15-13*ORÇAMENTO!$AF$7)/$H395*OFFSET(ORÇAMENTO!$X$15,ROW(AC395)-ROW(AC$15),0),
ROUND(ROUND(OFFSET($P395,0,AC$13),15-13*ORÇAMENTO!$AF$7)*OFFSET(ORÇAMENTO!$W$15,ROW(AC395)-ROW(AC$15),0),15-13*ORÇAMENTO!$AF$11)),0)</f>
        <v>0</v>
      </c>
      <c r="AD395" s="545">
        <f ca="1">IF(AND($D395="Serviço",AD$12&lt;&gt;0,$H395&gt;0,OR(AUTOEVENTO&lt;&gt;"manual",$M395&lt;&gt;1)),
IF(Import.TipoArredondamento&lt;&gt;"TransfereGOV",
ROUND(OFFSET($P395,0,AD$13),15-13*ORÇAMENTO!$AF$7)/$H395*OFFSET(ORÇAMENTO!$X$15,ROW(AD395)-ROW(AD$15),0),
ROUND(ROUND(OFFSET($P395,0,AD$13),15-13*ORÇAMENTO!$AF$7)*OFFSET(ORÇAMENTO!$W$15,ROW(AD395)-ROW(AD$15),0),15-13*ORÇAMENTO!$AF$11)),0)</f>
        <v>0</v>
      </c>
      <c r="AE395" s="545">
        <f ca="1">IF(AND($D395="Serviço",AE$12&lt;&gt;0,$H395&gt;0,OR(AUTOEVENTO&lt;&gt;"manual",$M395&lt;&gt;1)),
IF(Import.TipoArredondamento&lt;&gt;"TransfereGOV",
ROUND(OFFSET($P395,0,AE$13),15-13*ORÇAMENTO!$AF$7)/$H395*OFFSET(ORÇAMENTO!$X$15,ROW(AE395)-ROW(AE$15),0),
ROUND(ROUND(OFFSET($P395,0,AE$13),15-13*ORÇAMENTO!$AF$7)*OFFSET(ORÇAMENTO!$W$15,ROW(AE395)-ROW(AE$15),0),15-13*ORÇAMENTO!$AF$11)),0)</f>
        <v>0</v>
      </c>
      <c r="AF395" s="545">
        <f ca="1">IF(AND($D395="Serviço",AF$12&lt;&gt;0,$H395&gt;0,OR(AUTOEVENTO&lt;&gt;"manual",$M395&lt;&gt;1)),
IF(Import.TipoArredondamento&lt;&gt;"TransfereGOV",
ROUND(OFFSET($P395,0,AF$13),15-13*ORÇAMENTO!$AF$7)/$H395*OFFSET(ORÇAMENTO!$X$15,ROW(AF395)-ROW(AF$15),0),
ROUND(ROUND(OFFSET($P395,0,AF$13),15-13*ORÇAMENTO!$AF$7)*OFFSET(ORÇAMENTO!$W$15,ROW(AF395)-ROW(AF$15),0),15-13*ORÇAMENTO!$AF$11)),0)</f>
        <v>0</v>
      </c>
      <c r="AG395" s="545">
        <f ca="1">IF(AND($D395="Serviço",AG$12&lt;&gt;0,$H395&gt;0,OR(AUTOEVENTO&lt;&gt;"manual",$M395&lt;&gt;1)),
IF(Import.TipoArredondamento&lt;&gt;"TransfereGOV",
ROUND(OFFSET($P395,0,AG$13),15-13*ORÇAMENTO!$AF$7)/$H395*OFFSET(ORÇAMENTO!$X$15,ROW(AG395)-ROW(AG$15),0),
ROUND(ROUND(OFFSET($P395,0,AG$13),15-13*ORÇAMENTO!$AF$7)*OFFSET(ORÇAMENTO!$W$15,ROW(AG395)-ROW(AG$15),0),15-13*ORÇAMENTO!$AF$11)),0)</f>
        <v>0</v>
      </c>
      <c r="AH395" s="545">
        <f ca="1">IF(AND($D395="Serviço",AH$12&lt;&gt;0,$H395&gt;0,OR(AUTOEVENTO&lt;&gt;"manual",$M395&lt;&gt;1)),
IF(Import.TipoArredondamento&lt;&gt;"TransfereGOV",
ROUND(OFFSET($P395,0,AH$13),15-13*ORÇAMENTO!$AF$7)/$H395*OFFSET(ORÇAMENTO!$X$15,ROW(AH395)-ROW(AH$15),0),
ROUND(ROUND(OFFSET($P395,0,AH$13),15-13*ORÇAMENTO!$AF$7)*OFFSET(ORÇAMENTO!$W$15,ROW(AH395)-ROW(AH$15),0),15-13*ORÇAMENTO!$AF$11)),0)</f>
        <v>0</v>
      </c>
      <c r="AI395" s="545">
        <f ca="1">IF(AND($D395="Serviço",AI$12&lt;&gt;0,$H395&gt;0,OR(AUTOEVENTO&lt;&gt;"manual",$M395&lt;&gt;1)),
IF(Import.TipoArredondamento&lt;&gt;"TransfereGOV",
ROUND(OFFSET($P395,0,AI$13),15-13*ORÇAMENTO!$AF$7)/$H395*OFFSET(ORÇAMENTO!$X$15,ROW(AI395)-ROW(AI$15),0),
ROUND(ROUND(OFFSET($P395,0,AI$13),15-13*ORÇAMENTO!$AF$7)*OFFSET(ORÇAMENTO!$W$15,ROW(AI395)-ROW(AI$15),0),15-13*ORÇAMENTO!$AF$11)),0)</f>
        <v>0</v>
      </c>
      <c r="AJ395" s="545">
        <f ca="1">IF(AND($D395="Serviço",AJ$12&lt;&gt;0,$H395&gt;0,OR(AUTOEVENTO&lt;&gt;"manual",$M395&lt;&gt;1)),
IF(Import.TipoArredondamento&lt;&gt;"TransfereGOV",
ROUND(OFFSET($P395,0,AJ$13),15-13*ORÇAMENTO!$AF$7)/$H395*OFFSET(ORÇAMENTO!$X$15,ROW(AJ395)-ROW(AJ$15),0),
ROUND(ROUND(OFFSET($P395,0,AJ$13),15-13*ORÇAMENTO!$AF$7)*OFFSET(ORÇAMENTO!$W$15,ROW(AJ395)-ROW(AJ$15),0),15-13*ORÇAMENTO!$AF$11)),0)</f>
        <v>0</v>
      </c>
      <c r="AK395" s="546">
        <f ca="1">IF(AND($D395="Serviço",AK$12&lt;&gt;0,$H395&gt;0,OR(AUTOEVENTO&lt;&gt;"manual",$M395&lt;&gt;1)),
IF(Import.TipoArredondamento&lt;&gt;"TransfereGOV",
ROUND(OFFSET($P395,0,AK$13),15-13*ORÇAMENTO!$AF$7)/$H395*OFFSET(ORÇAMENTO!$X$15,ROW(AK395)-ROW(AK$15),0),
ROUND(ROUND(OFFSET($P395,0,AK$13),15-13*ORÇAMENTO!$AF$7)*OFFSET(ORÇAMENTO!$W$15,ROW(AK395)-ROW(AK$15),0),15-13*ORÇAMENTO!$AF$11)),0)</f>
        <v>0</v>
      </c>
      <c r="AM395" s="181">
        <f ca="1">IF($D395&lt;&gt;"Serviço",0,IF(AND(AUTOEVENTO="Manual",$M395=1),0,IF(OFFSET(CRONOPLE!$F$14,$M395,AM$13)="",10^12,OFFSET(CRONOPLE!$F$14,$M395,AM$13))))</f>
        <v>1000000000000</v>
      </c>
      <c r="AN395" s="181">
        <f ca="1">IF($D395&lt;&gt;"Serviço",0,IF(AND(AUTOEVENTO="Manual",$M395=1),0,IF(OFFSET(CRONOPLE!$F$14,$M395,AN$13)="",10^12,OFFSET(CRONOPLE!$F$14,$M395,AN$13))))</f>
        <v>1000000000000</v>
      </c>
      <c r="AO395" s="181">
        <f ca="1">IF($D395&lt;&gt;"Serviço",0,IF(AND(AUTOEVENTO="Manual",$M395=1),0,IF(OFFSET(CRONOPLE!$F$14,$M395,AO$13)="",10^12,OFFSET(CRONOPLE!$F$14,$M395,AO$13))))</f>
        <v>1000000000000</v>
      </c>
      <c r="AP395" s="181">
        <f ca="1">IF($D395&lt;&gt;"Serviço",0,IF(AND(AUTOEVENTO="Manual",$M395=1),0,IF(OFFSET(CRONOPLE!$F$14,$M395,AP$13)="",10^12,OFFSET(CRONOPLE!$F$14,$M395,AP$13))))</f>
        <v>1000000000000</v>
      </c>
      <c r="AQ395" s="181">
        <f ca="1">IF($D395&lt;&gt;"Serviço",0,IF(AND(AUTOEVENTO="Manual",$M395=1),0,IF(OFFSET(CRONOPLE!$F$14,$M395,AQ$13)="",10^12,OFFSET(CRONOPLE!$F$14,$M395,AQ$13))))</f>
        <v>1000000000000</v>
      </c>
      <c r="AR395" s="181">
        <f ca="1">IF($D395&lt;&gt;"Serviço",0,IF(AND(AUTOEVENTO="Manual",$M395=1),0,IF(OFFSET(CRONOPLE!$F$14,$M395,AR$13)="",10^12,OFFSET(CRONOPLE!$F$14,$M395,AR$13))))</f>
        <v>1000000000000</v>
      </c>
      <c r="AS395" s="181">
        <f ca="1">IF($D395&lt;&gt;"Serviço",0,IF(AND(AUTOEVENTO="Manual",$M395=1),0,IF(OFFSET(CRONOPLE!$F$14,$M395,AS$13)="",10^12,OFFSET(CRONOPLE!$F$14,$M395,AS$13))))</f>
        <v>1000000000000</v>
      </c>
      <c r="AT395" s="181">
        <f ca="1">IF($D395&lt;&gt;"Serviço",0,IF(AND(AUTOEVENTO="Manual",$M395=1),0,IF(OFFSET(CRONOPLE!$F$14,$M395,AT$13)="",10^12,OFFSET(CRONOPLE!$F$14,$M395,AT$13))))</f>
        <v>1000000000000</v>
      </c>
      <c r="AU395" s="181">
        <f ca="1">IF($D395&lt;&gt;"Serviço",0,IF(AND(AUTOEVENTO="Manual",$M395=1),0,IF(OFFSET(CRONOPLE!$F$14,$M395,AU$13)="",10^12,OFFSET(CRONOPLE!$F$14,$M395,AU$13))))</f>
        <v>1000000000000</v>
      </c>
      <c r="AV395" s="181">
        <f ca="1">IF($D395&lt;&gt;"Serviço",0,IF(AND(AUTOEVENTO="Manual",$M395=1),0,IF(OFFSET(CRONOPLE!$F$14,$M395,AV$13)="",10^12,OFFSET(CRONOPLE!$F$14,$M395,AV$13))))</f>
        <v>1000000000000</v>
      </c>
      <c r="AX395" s="182">
        <f ca="1">IF($D395&lt;&gt;"Serviço",0,IF(OR(AND(AUTOEVENTO="Manual",$M395=1),$M395&gt;(ROW(PLE.lastrow)-ROW(PLE.firstrow))),0,IF(OFFSET(PLE!$G$14,$M395,AX$13)="",10^12,OFFSET(PLE!$G$14,$M395,AX$13))))</f>
        <v>1000000000000</v>
      </c>
      <c r="AY395" s="182">
        <f ca="1">IF($D395&lt;&gt;"Serviço",0,IF(OR(AND(AUTOEVENTO="Manual",$M395=1),$M395&gt;(ROW(PLE.lastrow)-ROW(PLE.firstrow))),0,IF(OFFSET(PLE!$G$14,$M395,AY$13)="",10^12,OFFSET(PLE!$G$14,$M395,AY$13))))</f>
        <v>1000000000000</v>
      </c>
      <c r="AZ395" s="182">
        <f ca="1">IF($D395&lt;&gt;"Serviço",0,IF(OR(AND(AUTOEVENTO="Manual",$M395=1),$M395&gt;(ROW(PLE.lastrow)-ROW(PLE.firstrow))),0,IF(OFFSET(PLE!$G$14,$M395,AZ$13)="",10^12,OFFSET(PLE!$G$14,$M395,AZ$13))))</f>
        <v>1000000000000</v>
      </c>
      <c r="BA395" s="182">
        <f ca="1">IF($D395&lt;&gt;"Serviço",0,IF(OR(AND(AUTOEVENTO="Manual",$M395=1),$M395&gt;(ROW(PLE.lastrow)-ROW(PLE.firstrow))),0,IF(OFFSET(PLE!$G$14,$M395,BA$13)="",10^12,OFFSET(PLE!$G$14,$M395,BA$13))))</f>
        <v>1000000000000</v>
      </c>
      <c r="BB395" s="182">
        <f ca="1">IF($D395&lt;&gt;"Serviço",0,IF(OR(AND(AUTOEVENTO="Manual",$M395=1),$M395&gt;(ROW(PLE.lastrow)-ROW(PLE.firstrow))),0,IF(OFFSET(PLE!$G$14,$M395,BB$13)="",10^12,OFFSET(PLE!$G$14,$M395,BB$13))))</f>
        <v>1000000000000</v>
      </c>
      <c r="BC395" s="182">
        <f ca="1">IF($D395&lt;&gt;"Serviço",0,IF(OR(AND(AUTOEVENTO="Manual",$M395=1),$M395&gt;(ROW(PLE.lastrow)-ROW(PLE.firstrow))),0,IF(OFFSET(PLE!$G$14,$M395,BC$13)="",10^12,OFFSET(PLE!$G$14,$M395,BC$13))))</f>
        <v>1000000000000</v>
      </c>
      <c r="BD395" s="182">
        <f ca="1">IF($D395&lt;&gt;"Serviço",0,IF(OR(AND(AUTOEVENTO="Manual",$M395=1),$M395&gt;(ROW(PLE.lastrow)-ROW(PLE.firstrow))),0,IF(OFFSET(PLE!$G$14,$M395,BD$13)="",10^12,OFFSET(PLE!$G$14,$M395,BD$13))))</f>
        <v>1000000000000</v>
      </c>
      <c r="BE395" s="182">
        <f ca="1">IF($D395&lt;&gt;"Serviço",0,IF(OR(AND(AUTOEVENTO="Manual",$M395=1),$M395&gt;(ROW(PLE.lastrow)-ROW(PLE.firstrow))),0,IF(OFFSET(PLE!$G$14,$M395,BE$13)="",10^12,OFFSET(PLE!$G$14,$M395,BE$13))))</f>
        <v>1000000000000</v>
      </c>
      <c r="BF395" s="182">
        <f ca="1">IF($D395&lt;&gt;"Serviço",0,IF(OR(AND(AUTOEVENTO="Manual",$M395=1),$M395&gt;(ROW(PLE.lastrow)-ROW(PLE.firstrow))),0,IF(OFFSET(PLE!$G$14,$M395,BF$13)="",10^12,OFFSET(PLE!$G$14,$M395,BF$13))))</f>
        <v>1000000000000</v>
      </c>
      <c r="BG395" s="182">
        <f ca="1">IF($D395&lt;&gt;"Serviço",0,IF(OR(AND(AUTOEVENTO="Manual",$M395=1),$M395&gt;(ROW(PLE.lastrow)-ROW(PLE.firstrow))),0,IF(OFFSET(PLE!$G$14,$M395,BG$13)="",10^12,OFFSET(PLE!$G$14,$M395,BG$13))))</f>
        <v>1000000000000</v>
      </c>
    </row>
    <row r="396" spans="1:59" ht="25.5" x14ac:dyDescent="0.2">
      <c r="A396" s="7" t="str">
        <f t="shared" ca="1" si="11"/>
        <v>376</v>
      </c>
      <c r="B396" s="7" t="str">
        <f ca="1">OFFSET(ORÇAMENTO!C$15,ROW(B396)-ROW(B$15),0)</f>
        <v>S</v>
      </c>
      <c r="C396" s="7" t="str">
        <f ca="1">OFFSET(ORÇAMENTO!L$15,ROW(C396)-ROW(C$15),0)</f>
        <v/>
      </c>
      <c r="D396" s="118" t="str">
        <f ca="1">OFFSET(ORÇAMENTO!N$15,ROW(D396)-ROW(D$15),0)</f>
        <v>Serviço</v>
      </c>
      <c r="E396" s="119" t="str">
        <f ca="1">OFFSET(ORÇAMENTO!O$15,ROW(E396)-ROW(E$15),0)</f>
        <v>-</v>
      </c>
      <c r="F396" s="172" t="str">
        <f ca="1">OFFSET(ORÇAMENTO!R$15,ROW(F396)-ROW(F$15),0)</f>
        <v>(abra o arquivo 'Referência 02-2025.xlsm)</v>
      </c>
      <c r="G396" s="173" t="str">
        <f ca="1">IF($D396&lt;&gt;"Serviço","",OFFSET(ORÇAMENTO!S$15,ROW(G396)-ROW(G$15),0))</f>
        <v>-</v>
      </c>
      <c r="H396" s="124">
        <f ca="1">IF($D396&lt;&gt;"Serviço",0,IF(ACOMPANHAMENTO="BM",ROUND(OFFSET(ORÇAMENTO!AJ$15,ROW(H396)-ROW(H$15),0),15-13*ORÇAMENTO!$AF$7),SUMPRODUCT(($Q$12:$AA$12&lt;&gt;"")*ROUND($Q396:$AA396,15-13*ORÇAMENTO!$AF$7))))</f>
        <v>4</v>
      </c>
      <c r="I396" s="561" t="s">
        <v>890</v>
      </c>
      <c r="K396" s="174"/>
      <c r="L396" s="175" t="s">
        <v>255</v>
      </c>
      <c r="M396" s="176">
        <f ca="1">IF($D396&lt;&gt;"Serviço","",IF(AUTOEVENTO="manual",$A396,IF(ISERROR(MATCH($A396,$A$15:OFFSET($A396,-1,0),0)),MAX($M$15:OFFSET(M396,-1,0))+1,INDEX($M$15:OFFSET(M396,-1,0),MATCH($A396,$A$15:OFFSET($A396,-1,0),0)))))</f>
        <v>16</v>
      </c>
      <c r="N396" s="177" t="str">
        <f ca="1">IF($D396&lt;&gt;"Serviço","",IF(AUTOEVENTO="Manual",IF($A396=0,"&lt;-- defina o número do agrupador",OFFSET(EVENTOS!$D$14,$A396,0)),OFFSET($F$15,$A396,0)))</f>
        <v>LOUÇAS, ACESSÓRIOS E METAIS</v>
      </c>
      <c r="O396" s="178"/>
      <c r="Q396" s="178"/>
      <c r="R396" s="179"/>
      <c r="S396" s="179"/>
      <c r="T396" s="179"/>
      <c r="U396" s="179"/>
      <c r="V396" s="179"/>
      <c r="W396" s="179"/>
      <c r="X396" s="179"/>
      <c r="Y396" s="179"/>
      <c r="Z396" s="180"/>
      <c r="AB396" s="544">
        <f ca="1">IF(AND($D396="Serviço",AB$12&lt;&gt;0,$H396&gt;0,OR(AUTOEVENTO&lt;&gt;"manual",$M396&lt;&gt;1)),
IF(Import.TipoArredondamento&lt;&gt;"TransfereGOV",
ROUND(OFFSET($P396,0,AB$13),15-13*ORÇAMENTO!$AF$7)/$H396*OFFSET(ORÇAMENTO!$X$15,ROW(AB396)-ROW(AB$15),0),
ROUND(ROUND(OFFSET($P396,0,AB$13),15-13*ORÇAMENTO!$AF$7)*OFFSET(ORÇAMENTO!$W$15,ROW(AB396)-ROW(AB$15),0),15-13*ORÇAMENTO!$AF$11)),0)</f>
        <v>0</v>
      </c>
      <c r="AC396" s="545">
        <f ca="1">IF(AND($D396="Serviço",AC$12&lt;&gt;0,$H396&gt;0,OR(AUTOEVENTO&lt;&gt;"manual",$M396&lt;&gt;1)),
IF(Import.TipoArredondamento&lt;&gt;"TransfereGOV",
ROUND(OFFSET($P396,0,AC$13),15-13*ORÇAMENTO!$AF$7)/$H396*OFFSET(ORÇAMENTO!$X$15,ROW(AC396)-ROW(AC$15),0),
ROUND(ROUND(OFFSET($P396,0,AC$13),15-13*ORÇAMENTO!$AF$7)*OFFSET(ORÇAMENTO!$W$15,ROW(AC396)-ROW(AC$15),0),15-13*ORÇAMENTO!$AF$11)),0)</f>
        <v>0</v>
      </c>
      <c r="AD396" s="545">
        <f ca="1">IF(AND($D396="Serviço",AD$12&lt;&gt;0,$H396&gt;0,OR(AUTOEVENTO&lt;&gt;"manual",$M396&lt;&gt;1)),
IF(Import.TipoArredondamento&lt;&gt;"TransfereGOV",
ROUND(OFFSET($P396,0,AD$13),15-13*ORÇAMENTO!$AF$7)/$H396*OFFSET(ORÇAMENTO!$X$15,ROW(AD396)-ROW(AD$15),0),
ROUND(ROUND(OFFSET($P396,0,AD$13),15-13*ORÇAMENTO!$AF$7)*OFFSET(ORÇAMENTO!$W$15,ROW(AD396)-ROW(AD$15),0),15-13*ORÇAMENTO!$AF$11)),0)</f>
        <v>0</v>
      </c>
      <c r="AE396" s="545">
        <f ca="1">IF(AND($D396="Serviço",AE$12&lt;&gt;0,$H396&gt;0,OR(AUTOEVENTO&lt;&gt;"manual",$M396&lt;&gt;1)),
IF(Import.TipoArredondamento&lt;&gt;"TransfereGOV",
ROUND(OFFSET($P396,0,AE$13),15-13*ORÇAMENTO!$AF$7)/$H396*OFFSET(ORÇAMENTO!$X$15,ROW(AE396)-ROW(AE$15),0),
ROUND(ROUND(OFFSET($P396,0,AE$13),15-13*ORÇAMENTO!$AF$7)*OFFSET(ORÇAMENTO!$W$15,ROW(AE396)-ROW(AE$15),0),15-13*ORÇAMENTO!$AF$11)),0)</f>
        <v>0</v>
      </c>
      <c r="AF396" s="545">
        <f ca="1">IF(AND($D396="Serviço",AF$12&lt;&gt;0,$H396&gt;0,OR(AUTOEVENTO&lt;&gt;"manual",$M396&lt;&gt;1)),
IF(Import.TipoArredondamento&lt;&gt;"TransfereGOV",
ROUND(OFFSET($P396,0,AF$13),15-13*ORÇAMENTO!$AF$7)/$H396*OFFSET(ORÇAMENTO!$X$15,ROW(AF396)-ROW(AF$15),0),
ROUND(ROUND(OFFSET($P396,0,AF$13),15-13*ORÇAMENTO!$AF$7)*OFFSET(ORÇAMENTO!$W$15,ROW(AF396)-ROW(AF$15),0),15-13*ORÇAMENTO!$AF$11)),0)</f>
        <v>0</v>
      </c>
      <c r="AG396" s="545">
        <f ca="1">IF(AND($D396="Serviço",AG$12&lt;&gt;0,$H396&gt;0,OR(AUTOEVENTO&lt;&gt;"manual",$M396&lt;&gt;1)),
IF(Import.TipoArredondamento&lt;&gt;"TransfereGOV",
ROUND(OFFSET($P396,0,AG$13),15-13*ORÇAMENTO!$AF$7)/$H396*OFFSET(ORÇAMENTO!$X$15,ROW(AG396)-ROW(AG$15),0),
ROUND(ROUND(OFFSET($P396,0,AG$13),15-13*ORÇAMENTO!$AF$7)*OFFSET(ORÇAMENTO!$W$15,ROW(AG396)-ROW(AG$15),0),15-13*ORÇAMENTO!$AF$11)),0)</f>
        <v>0</v>
      </c>
      <c r="AH396" s="545">
        <f ca="1">IF(AND($D396="Serviço",AH$12&lt;&gt;0,$H396&gt;0,OR(AUTOEVENTO&lt;&gt;"manual",$M396&lt;&gt;1)),
IF(Import.TipoArredondamento&lt;&gt;"TransfereGOV",
ROUND(OFFSET($P396,0,AH$13),15-13*ORÇAMENTO!$AF$7)/$H396*OFFSET(ORÇAMENTO!$X$15,ROW(AH396)-ROW(AH$15),0),
ROUND(ROUND(OFFSET($P396,0,AH$13),15-13*ORÇAMENTO!$AF$7)*OFFSET(ORÇAMENTO!$W$15,ROW(AH396)-ROW(AH$15),0),15-13*ORÇAMENTO!$AF$11)),0)</f>
        <v>0</v>
      </c>
      <c r="AI396" s="545">
        <f ca="1">IF(AND($D396="Serviço",AI$12&lt;&gt;0,$H396&gt;0,OR(AUTOEVENTO&lt;&gt;"manual",$M396&lt;&gt;1)),
IF(Import.TipoArredondamento&lt;&gt;"TransfereGOV",
ROUND(OFFSET($P396,0,AI$13),15-13*ORÇAMENTO!$AF$7)/$H396*OFFSET(ORÇAMENTO!$X$15,ROW(AI396)-ROW(AI$15),0),
ROUND(ROUND(OFFSET($P396,0,AI$13),15-13*ORÇAMENTO!$AF$7)*OFFSET(ORÇAMENTO!$W$15,ROW(AI396)-ROW(AI$15),0),15-13*ORÇAMENTO!$AF$11)),0)</f>
        <v>0</v>
      </c>
      <c r="AJ396" s="545">
        <f ca="1">IF(AND($D396="Serviço",AJ$12&lt;&gt;0,$H396&gt;0,OR(AUTOEVENTO&lt;&gt;"manual",$M396&lt;&gt;1)),
IF(Import.TipoArredondamento&lt;&gt;"TransfereGOV",
ROUND(OFFSET($P396,0,AJ$13),15-13*ORÇAMENTO!$AF$7)/$H396*OFFSET(ORÇAMENTO!$X$15,ROW(AJ396)-ROW(AJ$15),0),
ROUND(ROUND(OFFSET($P396,0,AJ$13),15-13*ORÇAMENTO!$AF$7)*OFFSET(ORÇAMENTO!$W$15,ROW(AJ396)-ROW(AJ$15),0),15-13*ORÇAMENTO!$AF$11)),0)</f>
        <v>0</v>
      </c>
      <c r="AK396" s="546">
        <f ca="1">IF(AND($D396="Serviço",AK$12&lt;&gt;0,$H396&gt;0,OR(AUTOEVENTO&lt;&gt;"manual",$M396&lt;&gt;1)),
IF(Import.TipoArredondamento&lt;&gt;"TransfereGOV",
ROUND(OFFSET($P396,0,AK$13),15-13*ORÇAMENTO!$AF$7)/$H396*OFFSET(ORÇAMENTO!$X$15,ROW(AK396)-ROW(AK$15),0),
ROUND(ROUND(OFFSET($P396,0,AK$13),15-13*ORÇAMENTO!$AF$7)*OFFSET(ORÇAMENTO!$W$15,ROW(AK396)-ROW(AK$15),0),15-13*ORÇAMENTO!$AF$11)),0)</f>
        <v>0</v>
      </c>
      <c r="AM396" s="181">
        <f ca="1">IF($D396&lt;&gt;"Serviço",0,IF(AND(AUTOEVENTO="Manual",$M396=1),0,IF(OFFSET(CRONOPLE!$F$14,$M396,AM$13)="",10^12,OFFSET(CRONOPLE!$F$14,$M396,AM$13))))</f>
        <v>1000000000000</v>
      </c>
      <c r="AN396" s="181">
        <f ca="1">IF($D396&lt;&gt;"Serviço",0,IF(AND(AUTOEVENTO="Manual",$M396=1),0,IF(OFFSET(CRONOPLE!$F$14,$M396,AN$13)="",10^12,OFFSET(CRONOPLE!$F$14,$M396,AN$13))))</f>
        <v>1000000000000</v>
      </c>
      <c r="AO396" s="181">
        <f ca="1">IF($D396&lt;&gt;"Serviço",0,IF(AND(AUTOEVENTO="Manual",$M396=1),0,IF(OFFSET(CRONOPLE!$F$14,$M396,AO$13)="",10^12,OFFSET(CRONOPLE!$F$14,$M396,AO$13))))</f>
        <v>1000000000000</v>
      </c>
      <c r="AP396" s="181">
        <f ca="1">IF($D396&lt;&gt;"Serviço",0,IF(AND(AUTOEVENTO="Manual",$M396=1),0,IF(OFFSET(CRONOPLE!$F$14,$M396,AP$13)="",10^12,OFFSET(CRONOPLE!$F$14,$M396,AP$13))))</f>
        <v>1000000000000</v>
      </c>
      <c r="AQ396" s="181">
        <f ca="1">IF($D396&lt;&gt;"Serviço",0,IF(AND(AUTOEVENTO="Manual",$M396=1),0,IF(OFFSET(CRONOPLE!$F$14,$M396,AQ$13)="",10^12,OFFSET(CRONOPLE!$F$14,$M396,AQ$13))))</f>
        <v>1000000000000</v>
      </c>
      <c r="AR396" s="181">
        <f ca="1">IF($D396&lt;&gt;"Serviço",0,IF(AND(AUTOEVENTO="Manual",$M396=1),0,IF(OFFSET(CRONOPLE!$F$14,$M396,AR$13)="",10^12,OFFSET(CRONOPLE!$F$14,$M396,AR$13))))</f>
        <v>1000000000000</v>
      </c>
      <c r="AS396" s="181">
        <f ca="1">IF($D396&lt;&gt;"Serviço",0,IF(AND(AUTOEVENTO="Manual",$M396=1),0,IF(OFFSET(CRONOPLE!$F$14,$M396,AS$13)="",10^12,OFFSET(CRONOPLE!$F$14,$M396,AS$13))))</f>
        <v>1000000000000</v>
      </c>
      <c r="AT396" s="181">
        <f ca="1">IF($D396&lt;&gt;"Serviço",0,IF(AND(AUTOEVENTO="Manual",$M396=1),0,IF(OFFSET(CRONOPLE!$F$14,$M396,AT$13)="",10^12,OFFSET(CRONOPLE!$F$14,$M396,AT$13))))</f>
        <v>1000000000000</v>
      </c>
      <c r="AU396" s="181">
        <f ca="1">IF($D396&lt;&gt;"Serviço",0,IF(AND(AUTOEVENTO="Manual",$M396=1),0,IF(OFFSET(CRONOPLE!$F$14,$M396,AU$13)="",10^12,OFFSET(CRONOPLE!$F$14,$M396,AU$13))))</f>
        <v>1000000000000</v>
      </c>
      <c r="AV396" s="181">
        <f ca="1">IF($D396&lt;&gt;"Serviço",0,IF(AND(AUTOEVENTO="Manual",$M396=1),0,IF(OFFSET(CRONOPLE!$F$14,$M396,AV$13)="",10^12,OFFSET(CRONOPLE!$F$14,$M396,AV$13))))</f>
        <v>1000000000000</v>
      </c>
      <c r="AX396" s="182">
        <f ca="1">IF($D396&lt;&gt;"Serviço",0,IF(OR(AND(AUTOEVENTO="Manual",$M396=1),$M396&gt;(ROW(PLE.lastrow)-ROW(PLE.firstrow))),0,IF(OFFSET(PLE!$G$14,$M396,AX$13)="",10^12,OFFSET(PLE!$G$14,$M396,AX$13))))</f>
        <v>1000000000000</v>
      </c>
      <c r="AY396" s="182">
        <f ca="1">IF($D396&lt;&gt;"Serviço",0,IF(OR(AND(AUTOEVENTO="Manual",$M396=1),$M396&gt;(ROW(PLE.lastrow)-ROW(PLE.firstrow))),0,IF(OFFSET(PLE!$G$14,$M396,AY$13)="",10^12,OFFSET(PLE!$G$14,$M396,AY$13))))</f>
        <v>1000000000000</v>
      </c>
      <c r="AZ396" s="182">
        <f ca="1">IF($D396&lt;&gt;"Serviço",0,IF(OR(AND(AUTOEVENTO="Manual",$M396=1),$M396&gt;(ROW(PLE.lastrow)-ROW(PLE.firstrow))),0,IF(OFFSET(PLE!$G$14,$M396,AZ$13)="",10^12,OFFSET(PLE!$G$14,$M396,AZ$13))))</f>
        <v>1000000000000</v>
      </c>
      <c r="BA396" s="182">
        <f ca="1">IF($D396&lt;&gt;"Serviço",0,IF(OR(AND(AUTOEVENTO="Manual",$M396=1),$M396&gt;(ROW(PLE.lastrow)-ROW(PLE.firstrow))),0,IF(OFFSET(PLE!$G$14,$M396,BA$13)="",10^12,OFFSET(PLE!$G$14,$M396,BA$13))))</f>
        <v>1000000000000</v>
      </c>
      <c r="BB396" s="182">
        <f ca="1">IF($D396&lt;&gt;"Serviço",0,IF(OR(AND(AUTOEVENTO="Manual",$M396=1),$M396&gt;(ROW(PLE.lastrow)-ROW(PLE.firstrow))),0,IF(OFFSET(PLE!$G$14,$M396,BB$13)="",10^12,OFFSET(PLE!$G$14,$M396,BB$13))))</f>
        <v>1000000000000</v>
      </c>
      <c r="BC396" s="182">
        <f ca="1">IF($D396&lt;&gt;"Serviço",0,IF(OR(AND(AUTOEVENTO="Manual",$M396=1),$M396&gt;(ROW(PLE.lastrow)-ROW(PLE.firstrow))),0,IF(OFFSET(PLE!$G$14,$M396,BC$13)="",10^12,OFFSET(PLE!$G$14,$M396,BC$13))))</f>
        <v>1000000000000</v>
      </c>
      <c r="BD396" s="182">
        <f ca="1">IF($D396&lt;&gt;"Serviço",0,IF(OR(AND(AUTOEVENTO="Manual",$M396=1),$M396&gt;(ROW(PLE.lastrow)-ROW(PLE.firstrow))),0,IF(OFFSET(PLE!$G$14,$M396,BD$13)="",10^12,OFFSET(PLE!$G$14,$M396,BD$13))))</f>
        <v>1000000000000</v>
      </c>
      <c r="BE396" s="182">
        <f ca="1">IF($D396&lt;&gt;"Serviço",0,IF(OR(AND(AUTOEVENTO="Manual",$M396=1),$M396&gt;(ROW(PLE.lastrow)-ROW(PLE.firstrow))),0,IF(OFFSET(PLE!$G$14,$M396,BE$13)="",10^12,OFFSET(PLE!$G$14,$M396,BE$13))))</f>
        <v>1000000000000</v>
      </c>
      <c r="BF396" s="182">
        <f ca="1">IF($D396&lt;&gt;"Serviço",0,IF(OR(AND(AUTOEVENTO="Manual",$M396=1),$M396&gt;(ROW(PLE.lastrow)-ROW(PLE.firstrow))),0,IF(OFFSET(PLE!$G$14,$M396,BF$13)="",10^12,OFFSET(PLE!$G$14,$M396,BF$13))))</f>
        <v>1000000000000</v>
      </c>
      <c r="BG396" s="182">
        <f ca="1">IF($D396&lt;&gt;"Serviço",0,IF(OR(AND(AUTOEVENTO="Manual",$M396=1),$M396&gt;(ROW(PLE.lastrow)-ROW(PLE.firstrow))),0,IF(OFFSET(PLE!$G$14,$M396,BG$13)="",10^12,OFFSET(PLE!$G$14,$M396,BG$13))))</f>
        <v>1000000000000</v>
      </c>
    </row>
    <row r="397" spans="1:59" ht="38.25" x14ac:dyDescent="0.2">
      <c r="A397" s="7" t="str">
        <f t="shared" ca="1" si="11"/>
        <v>376</v>
      </c>
      <c r="B397" s="7" t="str">
        <f ca="1">OFFSET(ORÇAMENTO!C$15,ROW(B397)-ROW(B$15),0)</f>
        <v>S</v>
      </c>
      <c r="C397" s="7" t="str">
        <f ca="1">OFFSET(ORÇAMENTO!L$15,ROW(C397)-ROW(C$15),0)</f>
        <v/>
      </c>
      <c r="D397" s="118" t="str">
        <f ca="1">OFFSET(ORÇAMENTO!N$15,ROW(D397)-ROW(D$15),0)</f>
        <v>Serviço</v>
      </c>
      <c r="E397" s="119" t="str">
        <f ca="1">OFFSET(ORÇAMENTO!O$15,ROW(E397)-ROW(E$15),0)</f>
        <v>-</v>
      </c>
      <c r="F397" s="172" t="str">
        <f ca="1">OFFSET(ORÇAMENTO!R$15,ROW(F397)-ROW(F$15),0)</f>
        <v>(abra o arquivo 'Referência 02-2025.xlsm)</v>
      </c>
      <c r="G397" s="173" t="str">
        <f ca="1">IF($D397&lt;&gt;"Serviço","",OFFSET(ORÇAMENTO!S$15,ROW(G397)-ROW(G$15),0))</f>
        <v>-</v>
      </c>
      <c r="H397" s="124">
        <f ca="1">IF($D397&lt;&gt;"Serviço",0,IF(ACOMPANHAMENTO="BM",ROUND(OFFSET(ORÇAMENTO!AJ$15,ROW(H397)-ROW(H$15),0),15-13*ORÇAMENTO!$AF$7),SUMPRODUCT(($Q$12:$AA$12&lt;&gt;"")*ROUND($Q397:$AA397,15-13*ORÇAMENTO!$AF$7))))</f>
        <v>4</v>
      </c>
      <c r="I397" s="561" t="s">
        <v>890</v>
      </c>
      <c r="K397" s="174"/>
      <c r="L397" s="175" t="s">
        <v>255</v>
      </c>
      <c r="M397" s="176">
        <f ca="1">IF($D397&lt;&gt;"Serviço","",IF(AUTOEVENTO="manual",$A397,IF(ISERROR(MATCH($A397,$A$15:OFFSET($A397,-1,0),0)),MAX($M$15:OFFSET(M397,-1,0))+1,INDEX($M$15:OFFSET(M397,-1,0),MATCH($A397,$A$15:OFFSET($A397,-1,0),0)))))</f>
        <v>16</v>
      </c>
      <c r="N397" s="177" t="str">
        <f ca="1">IF($D397&lt;&gt;"Serviço","",IF(AUTOEVENTO="Manual",IF($A397=0,"&lt;-- defina o número do agrupador",OFFSET(EVENTOS!$D$14,$A397,0)),OFFSET($F$15,$A397,0)))</f>
        <v>LOUÇAS, ACESSÓRIOS E METAIS</v>
      </c>
      <c r="O397" s="178"/>
      <c r="Q397" s="178"/>
      <c r="R397" s="179"/>
      <c r="S397" s="179"/>
      <c r="T397" s="179"/>
      <c r="U397" s="179"/>
      <c r="V397" s="179"/>
      <c r="W397" s="179"/>
      <c r="X397" s="179"/>
      <c r="Y397" s="179"/>
      <c r="Z397" s="180"/>
      <c r="AB397" s="544">
        <f ca="1">IF(AND($D397="Serviço",AB$12&lt;&gt;0,$H397&gt;0,OR(AUTOEVENTO&lt;&gt;"manual",$M397&lt;&gt;1)),
IF(Import.TipoArredondamento&lt;&gt;"TransfereGOV",
ROUND(OFFSET($P397,0,AB$13),15-13*ORÇAMENTO!$AF$7)/$H397*OFFSET(ORÇAMENTO!$X$15,ROW(AB397)-ROW(AB$15),0),
ROUND(ROUND(OFFSET($P397,0,AB$13),15-13*ORÇAMENTO!$AF$7)*OFFSET(ORÇAMENTO!$W$15,ROW(AB397)-ROW(AB$15),0),15-13*ORÇAMENTO!$AF$11)),0)</f>
        <v>0</v>
      </c>
      <c r="AC397" s="545">
        <f ca="1">IF(AND($D397="Serviço",AC$12&lt;&gt;0,$H397&gt;0,OR(AUTOEVENTO&lt;&gt;"manual",$M397&lt;&gt;1)),
IF(Import.TipoArredondamento&lt;&gt;"TransfereGOV",
ROUND(OFFSET($P397,0,AC$13),15-13*ORÇAMENTO!$AF$7)/$H397*OFFSET(ORÇAMENTO!$X$15,ROW(AC397)-ROW(AC$15),0),
ROUND(ROUND(OFFSET($P397,0,AC$13),15-13*ORÇAMENTO!$AF$7)*OFFSET(ORÇAMENTO!$W$15,ROW(AC397)-ROW(AC$15),0),15-13*ORÇAMENTO!$AF$11)),0)</f>
        <v>0</v>
      </c>
      <c r="AD397" s="545">
        <f ca="1">IF(AND($D397="Serviço",AD$12&lt;&gt;0,$H397&gt;0,OR(AUTOEVENTO&lt;&gt;"manual",$M397&lt;&gt;1)),
IF(Import.TipoArredondamento&lt;&gt;"TransfereGOV",
ROUND(OFFSET($P397,0,AD$13),15-13*ORÇAMENTO!$AF$7)/$H397*OFFSET(ORÇAMENTO!$X$15,ROW(AD397)-ROW(AD$15),0),
ROUND(ROUND(OFFSET($P397,0,AD$13),15-13*ORÇAMENTO!$AF$7)*OFFSET(ORÇAMENTO!$W$15,ROW(AD397)-ROW(AD$15),0),15-13*ORÇAMENTO!$AF$11)),0)</f>
        <v>0</v>
      </c>
      <c r="AE397" s="545">
        <f ca="1">IF(AND($D397="Serviço",AE$12&lt;&gt;0,$H397&gt;0,OR(AUTOEVENTO&lt;&gt;"manual",$M397&lt;&gt;1)),
IF(Import.TipoArredondamento&lt;&gt;"TransfereGOV",
ROUND(OFFSET($P397,0,AE$13),15-13*ORÇAMENTO!$AF$7)/$H397*OFFSET(ORÇAMENTO!$X$15,ROW(AE397)-ROW(AE$15),0),
ROUND(ROUND(OFFSET($P397,0,AE$13),15-13*ORÇAMENTO!$AF$7)*OFFSET(ORÇAMENTO!$W$15,ROW(AE397)-ROW(AE$15),0),15-13*ORÇAMENTO!$AF$11)),0)</f>
        <v>0</v>
      </c>
      <c r="AF397" s="545">
        <f ca="1">IF(AND($D397="Serviço",AF$12&lt;&gt;0,$H397&gt;0,OR(AUTOEVENTO&lt;&gt;"manual",$M397&lt;&gt;1)),
IF(Import.TipoArredondamento&lt;&gt;"TransfereGOV",
ROUND(OFFSET($P397,0,AF$13),15-13*ORÇAMENTO!$AF$7)/$H397*OFFSET(ORÇAMENTO!$X$15,ROW(AF397)-ROW(AF$15),0),
ROUND(ROUND(OFFSET($P397,0,AF$13),15-13*ORÇAMENTO!$AF$7)*OFFSET(ORÇAMENTO!$W$15,ROW(AF397)-ROW(AF$15),0),15-13*ORÇAMENTO!$AF$11)),0)</f>
        <v>0</v>
      </c>
      <c r="AG397" s="545">
        <f ca="1">IF(AND($D397="Serviço",AG$12&lt;&gt;0,$H397&gt;0,OR(AUTOEVENTO&lt;&gt;"manual",$M397&lt;&gt;1)),
IF(Import.TipoArredondamento&lt;&gt;"TransfereGOV",
ROUND(OFFSET($P397,0,AG$13),15-13*ORÇAMENTO!$AF$7)/$H397*OFFSET(ORÇAMENTO!$X$15,ROW(AG397)-ROW(AG$15),0),
ROUND(ROUND(OFFSET($P397,0,AG$13),15-13*ORÇAMENTO!$AF$7)*OFFSET(ORÇAMENTO!$W$15,ROW(AG397)-ROW(AG$15),0),15-13*ORÇAMENTO!$AF$11)),0)</f>
        <v>0</v>
      </c>
      <c r="AH397" s="545">
        <f ca="1">IF(AND($D397="Serviço",AH$12&lt;&gt;0,$H397&gt;0,OR(AUTOEVENTO&lt;&gt;"manual",$M397&lt;&gt;1)),
IF(Import.TipoArredondamento&lt;&gt;"TransfereGOV",
ROUND(OFFSET($P397,0,AH$13),15-13*ORÇAMENTO!$AF$7)/$H397*OFFSET(ORÇAMENTO!$X$15,ROW(AH397)-ROW(AH$15),0),
ROUND(ROUND(OFFSET($P397,0,AH$13),15-13*ORÇAMENTO!$AF$7)*OFFSET(ORÇAMENTO!$W$15,ROW(AH397)-ROW(AH$15),0),15-13*ORÇAMENTO!$AF$11)),0)</f>
        <v>0</v>
      </c>
      <c r="AI397" s="545">
        <f ca="1">IF(AND($D397="Serviço",AI$12&lt;&gt;0,$H397&gt;0,OR(AUTOEVENTO&lt;&gt;"manual",$M397&lt;&gt;1)),
IF(Import.TipoArredondamento&lt;&gt;"TransfereGOV",
ROUND(OFFSET($P397,0,AI$13),15-13*ORÇAMENTO!$AF$7)/$H397*OFFSET(ORÇAMENTO!$X$15,ROW(AI397)-ROW(AI$15),0),
ROUND(ROUND(OFFSET($P397,0,AI$13),15-13*ORÇAMENTO!$AF$7)*OFFSET(ORÇAMENTO!$W$15,ROW(AI397)-ROW(AI$15),0),15-13*ORÇAMENTO!$AF$11)),0)</f>
        <v>0</v>
      </c>
      <c r="AJ397" s="545">
        <f ca="1">IF(AND($D397="Serviço",AJ$12&lt;&gt;0,$H397&gt;0,OR(AUTOEVENTO&lt;&gt;"manual",$M397&lt;&gt;1)),
IF(Import.TipoArredondamento&lt;&gt;"TransfereGOV",
ROUND(OFFSET($P397,0,AJ$13),15-13*ORÇAMENTO!$AF$7)/$H397*OFFSET(ORÇAMENTO!$X$15,ROW(AJ397)-ROW(AJ$15),0),
ROUND(ROUND(OFFSET($P397,0,AJ$13),15-13*ORÇAMENTO!$AF$7)*OFFSET(ORÇAMENTO!$W$15,ROW(AJ397)-ROW(AJ$15),0),15-13*ORÇAMENTO!$AF$11)),0)</f>
        <v>0</v>
      </c>
      <c r="AK397" s="546">
        <f ca="1">IF(AND($D397="Serviço",AK$12&lt;&gt;0,$H397&gt;0,OR(AUTOEVENTO&lt;&gt;"manual",$M397&lt;&gt;1)),
IF(Import.TipoArredondamento&lt;&gt;"TransfereGOV",
ROUND(OFFSET($P397,0,AK$13),15-13*ORÇAMENTO!$AF$7)/$H397*OFFSET(ORÇAMENTO!$X$15,ROW(AK397)-ROW(AK$15),0),
ROUND(ROUND(OFFSET($P397,0,AK$13),15-13*ORÇAMENTO!$AF$7)*OFFSET(ORÇAMENTO!$W$15,ROW(AK397)-ROW(AK$15),0),15-13*ORÇAMENTO!$AF$11)),0)</f>
        <v>0</v>
      </c>
      <c r="AM397" s="181">
        <f ca="1">IF($D397&lt;&gt;"Serviço",0,IF(AND(AUTOEVENTO="Manual",$M397=1),0,IF(OFFSET(CRONOPLE!$F$14,$M397,AM$13)="",10^12,OFFSET(CRONOPLE!$F$14,$M397,AM$13))))</f>
        <v>1000000000000</v>
      </c>
      <c r="AN397" s="181">
        <f ca="1">IF($D397&lt;&gt;"Serviço",0,IF(AND(AUTOEVENTO="Manual",$M397=1),0,IF(OFFSET(CRONOPLE!$F$14,$M397,AN$13)="",10^12,OFFSET(CRONOPLE!$F$14,$M397,AN$13))))</f>
        <v>1000000000000</v>
      </c>
      <c r="AO397" s="181">
        <f ca="1">IF($D397&lt;&gt;"Serviço",0,IF(AND(AUTOEVENTO="Manual",$M397=1),0,IF(OFFSET(CRONOPLE!$F$14,$M397,AO$13)="",10^12,OFFSET(CRONOPLE!$F$14,$M397,AO$13))))</f>
        <v>1000000000000</v>
      </c>
      <c r="AP397" s="181">
        <f ca="1">IF($D397&lt;&gt;"Serviço",0,IF(AND(AUTOEVENTO="Manual",$M397=1),0,IF(OFFSET(CRONOPLE!$F$14,$M397,AP$13)="",10^12,OFFSET(CRONOPLE!$F$14,$M397,AP$13))))</f>
        <v>1000000000000</v>
      </c>
      <c r="AQ397" s="181">
        <f ca="1">IF($D397&lt;&gt;"Serviço",0,IF(AND(AUTOEVENTO="Manual",$M397=1),0,IF(OFFSET(CRONOPLE!$F$14,$M397,AQ$13)="",10^12,OFFSET(CRONOPLE!$F$14,$M397,AQ$13))))</f>
        <v>1000000000000</v>
      </c>
      <c r="AR397" s="181">
        <f ca="1">IF($D397&lt;&gt;"Serviço",0,IF(AND(AUTOEVENTO="Manual",$M397=1),0,IF(OFFSET(CRONOPLE!$F$14,$M397,AR$13)="",10^12,OFFSET(CRONOPLE!$F$14,$M397,AR$13))))</f>
        <v>1000000000000</v>
      </c>
      <c r="AS397" s="181">
        <f ca="1">IF($D397&lt;&gt;"Serviço",0,IF(AND(AUTOEVENTO="Manual",$M397=1),0,IF(OFFSET(CRONOPLE!$F$14,$M397,AS$13)="",10^12,OFFSET(CRONOPLE!$F$14,$M397,AS$13))))</f>
        <v>1000000000000</v>
      </c>
      <c r="AT397" s="181">
        <f ca="1">IF($D397&lt;&gt;"Serviço",0,IF(AND(AUTOEVENTO="Manual",$M397=1),0,IF(OFFSET(CRONOPLE!$F$14,$M397,AT$13)="",10^12,OFFSET(CRONOPLE!$F$14,$M397,AT$13))))</f>
        <v>1000000000000</v>
      </c>
      <c r="AU397" s="181">
        <f ca="1">IF($D397&lt;&gt;"Serviço",0,IF(AND(AUTOEVENTO="Manual",$M397=1),0,IF(OFFSET(CRONOPLE!$F$14,$M397,AU$13)="",10^12,OFFSET(CRONOPLE!$F$14,$M397,AU$13))))</f>
        <v>1000000000000</v>
      </c>
      <c r="AV397" s="181">
        <f ca="1">IF($D397&lt;&gt;"Serviço",0,IF(AND(AUTOEVENTO="Manual",$M397=1),0,IF(OFFSET(CRONOPLE!$F$14,$M397,AV$13)="",10^12,OFFSET(CRONOPLE!$F$14,$M397,AV$13))))</f>
        <v>1000000000000</v>
      </c>
      <c r="AX397" s="182">
        <f ca="1">IF($D397&lt;&gt;"Serviço",0,IF(OR(AND(AUTOEVENTO="Manual",$M397=1),$M397&gt;(ROW(PLE.lastrow)-ROW(PLE.firstrow))),0,IF(OFFSET(PLE!$G$14,$M397,AX$13)="",10^12,OFFSET(PLE!$G$14,$M397,AX$13))))</f>
        <v>1000000000000</v>
      </c>
      <c r="AY397" s="182">
        <f ca="1">IF($D397&lt;&gt;"Serviço",0,IF(OR(AND(AUTOEVENTO="Manual",$M397=1),$M397&gt;(ROW(PLE.lastrow)-ROW(PLE.firstrow))),0,IF(OFFSET(PLE!$G$14,$M397,AY$13)="",10^12,OFFSET(PLE!$G$14,$M397,AY$13))))</f>
        <v>1000000000000</v>
      </c>
      <c r="AZ397" s="182">
        <f ca="1">IF($D397&lt;&gt;"Serviço",0,IF(OR(AND(AUTOEVENTO="Manual",$M397=1),$M397&gt;(ROW(PLE.lastrow)-ROW(PLE.firstrow))),0,IF(OFFSET(PLE!$G$14,$M397,AZ$13)="",10^12,OFFSET(PLE!$G$14,$M397,AZ$13))))</f>
        <v>1000000000000</v>
      </c>
      <c r="BA397" s="182">
        <f ca="1">IF($D397&lt;&gt;"Serviço",0,IF(OR(AND(AUTOEVENTO="Manual",$M397=1),$M397&gt;(ROW(PLE.lastrow)-ROW(PLE.firstrow))),0,IF(OFFSET(PLE!$G$14,$M397,BA$13)="",10^12,OFFSET(PLE!$G$14,$M397,BA$13))))</f>
        <v>1000000000000</v>
      </c>
      <c r="BB397" s="182">
        <f ca="1">IF($D397&lt;&gt;"Serviço",0,IF(OR(AND(AUTOEVENTO="Manual",$M397=1),$M397&gt;(ROW(PLE.lastrow)-ROW(PLE.firstrow))),0,IF(OFFSET(PLE!$G$14,$M397,BB$13)="",10^12,OFFSET(PLE!$G$14,$M397,BB$13))))</f>
        <v>1000000000000</v>
      </c>
      <c r="BC397" s="182">
        <f ca="1">IF($D397&lt;&gt;"Serviço",0,IF(OR(AND(AUTOEVENTO="Manual",$M397=1),$M397&gt;(ROW(PLE.lastrow)-ROW(PLE.firstrow))),0,IF(OFFSET(PLE!$G$14,$M397,BC$13)="",10^12,OFFSET(PLE!$G$14,$M397,BC$13))))</f>
        <v>1000000000000</v>
      </c>
      <c r="BD397" s="182">
        <f ca="1">IF($D397&lt;&gt;"Serviço",0,IF(OR(AND(AUTOEVENTO="Manual",$M397=1),$M397&gt;(ROW(PLE.lastrow)-ROW(PLE.firstrow))),0,IF(OFFSET(PLE!$G$14,$M397,BD$13)="",10^12,OFFSET(PLE!$G$14,$M397,BD$13))))</f>
        <v>1000000000000</v>
      </c>
      <c r="BE397" s="182">
        <f ca="1">IF($D397&lt;&gt;"Serviço",0,IF(OR(AND(AUTOEVENTO="Manual",$M397=1),$M397&gt;(ROW(PLE.lastrow)-ROW(PLE.firstrow))),0,IF(OFFSET(PLE!$G$14,$M397,BE$13)="",10^12,OFFSET(PLE!$G$14,$M397,BE$13))))</f>
        <v>1000000000000</v>
      </c>
      <c r="BF397" s="182">
        <f ca="1">IF($D397&lt;&gt;"Serviço",0,IF(OR(AND(AUTOEVENTO="Manual",$M397=1),$M397&gt;(ROW(PLE.lastrow)-ROW(PLE.firstrow))),0,IF(OFFSET(PLE!$G$14,$M397,BF$13)="",10^12,OFFSET(PLE!$G$14,$M397,BF$13))))</f>
        <v>1000000000000</v>
      </c>
      <c r="BG397" s="182">
        <f ca="1">IF($D397&lt;&gt;"Serviço",0,IF(OR(AND(AUTOEVENTO="Manual",$M397=1),$M397&gt;(ROW(PLE.lastrow)-ROW(PLE.firstrow))),0,IF(OFFSET(PLE!$G$14,$M397,BG$13)="",10^12,OFFSET(PLE!$G$14,$M397,BG$13))))</f>
        <v>1000000000000</v>
      </c>
    </row>
    <row r="398" spans="1:59" ht="25.5" x14ac:dyDescent="0.2">
      <c r="A398" s="7" t="str">
        <f t="shared" ca="1" si="11"/>
        <v>376</v>
      </c>
      <c r="B398" s="7" t="str">
        <f ca="1">OFFSET(ORÇAMENTO!C$15,ROW(B398)-ROW(B$15),0)</f>
        <v>S</v>
      </c>
      <c r="C398" s="7" t="str">
        <f ca="1">OFFSET(ORÇAMENTO!L$15,ROW(C398)-ROW(C$15),0)</f>
        <v/>
      </c>
      <c r="D398" s="118" t="str">
        <f ca="1">OFFSET(ORÇAMENTO!N$15,ROW(D398)-ROW(D$15),0)</f>
        <v>Serviço</v>
      </c>
      <c r="E398" s="119" t="str">
        <f ca="1">OFFSET(ORÇAMENTO!O$15,ROW(E398)-ROW(E$15),0)</f>
        <v>-</v>
      </c>
      <c r="F398" s="172" t="str">
        <f ca="1">OFFSET(ORÇAMENTO!R$15,ROW(F398)-ROW(F$15),0)</f>
        <v>(abra o arquivo 'Referência 02-2025.xlsm)</v>
      </c>
      <c r="G398" s="173" t="str">
        <f ca="1">IF($D398&lt;&gt;"Serviço","",OFFSET(ORÇAMENTO!S$15,ROW(G398)-ROW(G$15),0))</f>
        <v>-</v>
      </c>
      <c r="H398" s="124">
        <f ca="1">IF($D398&lt;&gt;"Serviço",0,IF(ACOMPANHAMENTO="BM",ROUND(OFFSET(ORÇAMENTO!AJ$15,ROW(H398)-ROW(H$15),0),15-13*ORÇAMENTO!$AF$7),SUMPRODUCT(($Q$12:$AA$12&lt;&gt;"")*ROUND($Q398:$AA398,15-13*ORÇAMENTO!$AF$7))))</f>
        <v>22</v>
      </c>
      <c r="I398" s="561" t="s">
        <v>890</v>
      </c>
      <c r="K398" s="174"/>
      <c r="L398" s="175" t="s">
        <v>255</v>
      </c>
      <c r="M398" s="176">
        <f ca="1">IF($D398&lt;&gt;"Serviço","",IF(AUTOEVENTO="manual",$A398,IF(ISERROR(MATCH($A398,$A$15:OFFSET($A398,-1,0),0)),MAX($M$15:OFFSET(M398,-1,0))+1,INDEX($M$15:OFFSET(M398,-1,0),MATCH($A398,$A$15:OFFSET($A398,-1,0),0)))))</f>
        <v>16</v>
      </c>
      <c r="N398" s="177" t="str">
        <f ca="1">IF($D398&lt;&gt;"Serviço","",IF(AUTOEVENTO="Manual",IF($A398=0,"&lt;-- defina o número do agrupador",OFFSET(EVENTOS!$D$14,$A398,0)),OFFSET($F$15,$A398,0)))</f>
        <v>LOUÇAS, ACESSÓRIOS E METAIS</v>
      </c>
      <c r="O398" s="178"/>
      <c r="Q398" s="178"/>
      <c r="R398" s="179"/>
      <c r="S398" s="179"/>
      <c r="T398" s="179"/>
      <c r="U398" s="179"/>
      <c r="V398" s="179"/>
      <c r="W398" s="179"/>
      <c r="X398" s="179"/>
      <c r="Y398" s="179"/>
      <c r="Z398" s="180"/>
      <c r="AB398" s="544">
        <f ca="1">IF(AND($D398="Serviço",AB$12&lt;&gt;0,$H398&gt;0,OR(AUTOEVENTO&lt;&gt;"manual",$M398&lt;&gt;1)),
IF(Import.TipoArredondamento&lt;&gt;"TransfereGOV",
ROUND(OFFSET($P398,0,AB$13),15-13*ORÇAMENTO!$AF$7)/$H398*OFFSET(ORÇAMENTO!$X$15,ROW(AB398)-ROW(AB$15),0),
ROUND(ROUND(OFFSET($P398,0,AB$13),15-13*ORÇAMENTO!$AF$7)*OFFSET(ORÇAMENTO!$W$15,ROW(AB398)-ROW(AB$15),0),15-13*ORÇAMENTO!$AF$11)),0)</f>
        <v>0</v>
      </c>
      <c r="AC398" s="545">
        <f ca="1">IF(AND($D398="Serviço",AC$12&lt;&gt;0,$H398&gt;0,OR(AUTOEVENTO&lt;&gt;"manual",$M398&lt;&gt;1)),
IF(Import.TipoArredondamento&lt;&gt;"TransfereGOV",
ROUND(OFFSET($P398,0,AC$13),15-13*ORÇAMENTO!$AF$7)/$H398*OFFSET(ORÇAMENTO!$X$15,ROW(AC398)-ROW(AC$15),0),
ROUND(ROUND(OFFSET($P398,0,AC$13),15-13*ORÇAMENTO!$AF$7)*OFFSET(ORÇAMENTO!$W$15,ROW(AC398)-ROW(AC$15),0),15-13*ORÇAMENTO!$AF$11)),0)</f>
        <v>0</v>
      </c>
      <c r="AD398" s="545">
        <f ca="1">IF(AND($D398="Serviço",AD$12&lt;&gt;0,$H398&gt;0,OR(AUTOEVENTO&lt;&gt;"manual",$M398&lt;&gt;1)),
IF(Import.TipoArredondamento&lt;&gt;"TransfereGOV",
ROUND(OFFSET($P398,0,AD$13),15-13*ORÇAMENTO!$AF$7)/$H398*OFFSET(ORÇAMENTO!$X$15,ROW(AD398)-ROW(AD$15),0),
ROUND(ROUND(OFFSET($P398,0,AD$13),15-13*ORÇAMENTO!$AF$7)*OFFSET(ORÇAMENTO!$W$15,ROW(AD398)-ROW(AD$15),0),15-13*ORÇAMENTO!$AF$11)),0)</f>
        <v>0</v>
      </c>
      <c r="AE398" s="545">
        <f ca="1">IF(AND($D398="Serviço",AE$12&lt;&gt;0,$H398&gt;0,OR(AUTOEVENTO&lt;&gt;"manual",$M398&lt;&gt;1)),
IF(Import.TipoArredondamento&lt;&gt;"TransfereGOV",
ROUND(OFFSET($P398,0,AE$13),15-13*ORÇAMENTO!$AF$7)/$H398*OFFSET(ORÇAMENTO!$X$15,ROW(AE398)-ROW(AE$15),0),
ROUND(ROUND(OFFSET($P398,0,AE$13),15-13*ORÇAMENTO!$AF$7)*OFFSET(ORÇAMENTO!$W$15,ROW(AE398)-ROW(AE$15),0),15-13*ORÇAMENTO!$AF$11)),0)</f>
        <v>0</v>
      </c>
      <c r="AF398" s="545">
        <f ca="1">IF(AND($D398="Serviço",AF$12&lt;&gt;0,$H398&gt;0,OR(AUTOEVENTO&lt;&gt;"manual",$M398&lt;&gt;1)),
IF(Import.TipoArredondamento&lt;&gt;"TransfereGOV",
ROUND(OFFSET($P398,0,AF$13),15-13*ORÇAMENTO!$AF$7)/$H398*OFFSET(ORÇAMENTO!$X$15,ROW(AF398)-ROW(AF$15),0),
ROUND(ROUND(OFFSET($P398,0,AF$13),15-13*ORÇAMENTO!$AF$7)*OFFSET(ORÇAMENTO!$W$15,ROW(AF398)-ROW(AF$15),0),15-13*ORÇAMENTO!$AF$11)),0)</f>
        <v>0</v>
      </c>
      <c r="AG398" s="545">
        <f ca="1">IF(AND($D398="Serviço",AG$12&lt;&gt;0,$H398&gt;0,OR(AUTOEVENTO&lt;&gt;"manual",$M398&lt;&gt;1)),
IF(Import.TipoArredondamento&lt;&gt;"TransfereGOV",
ROUND(OFFSET($P398,0,AG$13),15-13*ORÇAMENTO!$AF$7)/$H398*OFFSET(ORÇAMENTO!$X$15,ROW(AG398)-ROW(AG$15),0),
ROUND(ROUND(OFFSET($P398,0,AG$13),15-13*ORÇAMENTO!$AF$7)*OFFSET(ORÇAMENTO!$W$15,ROW(AG398)-ROW(AG$15),0),15-13*ORÇAMENTO!$AF$11)),0)</f>
        <v>0</v>
      </c>
      <c r="AH398" s="545">
        <f ca="1">IF(AND($D398="Serviço",AH$12&lt;&gt;0,$H398&gt;0,OR(AUTOEVENTO&lt;&gt;"manual",$M398&lt;&gt;1)),
IF(Import.TipoArredondamento&lt;&gt;"TransfereGOV",
ROUND(OFFSET($P398,0,AH$13),15-13*ORÇAMENTO!$AF$7)/$H398*OFFSET(ORÇAMENTO!$X$15,ROW(AH398)-ROW(AH$15),0),
ROUND(ROUND(OFFSET($P398,0,AH$13),15-13*ORÇAMENTO!$AF$7)*OFFSET(ORÇAMENTO!$W$15,ROW(AH398)-ROW(AH$15),0),15-13*ORÇAMENTO!$AF$11)),0)</f>
        <v>0</v>
      </c>
      <c r="AI398" s="545">
        <f ca="1">IF(AND($D398="Serviço",AI$12&lt;&gt;0,$H398&gt;0,OR(AUTOEVENTO&lt;&gt;"manual",$M398&lt;&gt;1)),
IF(Import.TipoArredondamento&lt;&gt;"TransfereGOV",
ROUND(OFFSET($P398,0,AI$13),15-13*ORÇAMENTO!$AF$7)/$H398*OFFSET(ORÇAMENTO!$X$15,ROW(AI398)-ROW(AI$15),0),
ROUND(ROUND(OFFSET($P398,0,AI$13),15-13*ORÇAMENTO!$AF$7)*OFFSET(ORÇAMENTO!$W$15,ROW(AI398)-ROW(AI$15),0),15-13*ORÇAMENTO!$AF$11)),0)</f>
        <v>0</v>
      </c>
      <c r="AJ398" s="545">
        <f ca="1">IF(AND($D398="Serviço",AJ$12&lt;&gt;0,$H398&gt;0,OR(AUTOEVENTO&lt;&gt;"manual",$M398&lt;&gt;1)),
IF(Import.TipoArredondamento&lt;&gt;"TransfereGOV",
ROUND(OFFSET($P398,0,AJ$13),15-13*ORÇAMENTO!$AF$7)/$H398*OFFSET(ORÇAMENTO!$X$15,ROW(AJ398)-ROW(AJ$15),0),
ROUND(ROUND(OFFSET($P398,0,AJ$13),15-13*ORÇAMENTO!$AF$7)*OFFSET(ORÇAMENTO!$W$15,ROW(AJ398)-ROW(AJ$15),0),15-13*ORÇAMENTO!$AF$11)),0)</f>
        <v>0</v>
      </c>
      <c r="AK398" s="546">
        <f ca="1">IF(AND($D398="Serviço",AK$12&lt;&gt;0,$H398&gt;0,OR(AUTOEVENTO&lt;&gt;"manual",$M398&lt;&gt;1)),
IF(Import.TipoArredondamento&lt;&gt;"TransfereGOV",
ROUND(OFFSET($P398,0,AK$13),15-13*ORÇAMENTO!$AF$7)/$H398*OFFSET(ORÇAMENTO!$X$15,ROW(AK398)-ROW(AK$15),0),
ROUND(ROUND(OFFSET($P398,0,AK$13),15-13*ORÇAMENTO!$AF$7)*OFFSET(ORÇAMENTO!$W$15,ROW(AK398)-ROW(AK$15),0),15-13*ORÇAMENTO!$AF$11)),0)</f>
        <v>0</v>
      </c>
      <c r="AM398" s="181">
        <f ca="1">IF($D398&lt;&gt;"Serviço",0,IF(AND(AUTOEVENTO="Manual",$M398=1),0,IF(OFFSET(CRONOPLE!$F$14,$M398,AM$13)="",10^12,OFFSET(CRONOPLE!$F$14,$M398,AM$13))))</f>
        <v>1000000000000</v>
      </c>
      <c r="AN398" s="181">
        <f ca="1">IF($D398&lt;&gt;"Serviço",0,IF(AND(AUTOEVENTO="Manual",$M398=1),0,IF(OFFSET(CRONOPLE!$F$14,$M398,AN$13)="",10^12,OFFSET(CRONOPLE!$F$14,$M398,AN$13))))</f>
        <v>1000000000000</v>
      </c>
      <c r="AO398" s="181">
        <f ca="1">IF($D398&lt;&gt;"Serviço",0,IF(AND(AUTOEVENTO="Manual",$M398=1),0,IF(OFFSET(CRONOPLE!$F$14,$M398,AO$13)="",10^12,OFFSET(CRONOPLE!$F$14,$M398,AO$13))))</f>
        <v>1000000000000</v>
      </c>
      <c r="AP398" s="181">
        <f ca="1">IF($D398&lt;&gt;"Serviço",0,IF(AND(AUTOEVENTO="Manual",$M398=1),0,IF(OFFSET(CRONOPLE!$F$14,$M398,AP$13)="",10^12,OFFSET(CRONOPLE!$F$14,$M398,AP$13))))</f>
        <v>1000000000000</v>
      </c>
      <c r="AQ398" s="181">
        <f ca="1">IF($D398&lt;&gt;"Serviço",0,IF(AND(AUTOEVENTO="Manual",$M398=1),0,IF(OFFSET(CRONOPLE!$F$14,$M398,AQ$13)="",10^12,OFFSET(CRONOPLE!$F$14,$M398,AQ$13))))</f>
        <v>1000000000000</v>
      </c>
      <c r="AR398" s="181">
        <f ca="1">IF($D398&lt;&gt;"Serviço",0,IF(AND(AUTOEVENTO="Manual",$M398=1),0,IF(OFFSET(CRONOPLE!$F$14,$M398,AR$13)="",10^12,OFFSET(CRONOPLE!$F$14,$M398,AR$13))))</f>
        <v>1000000000000</v>
      </c>
      <c r="AS398" s="181">
        <f ca="1">IF($D398&lt;&gt;"Serviço",0,IF(AND(AUTOEVENTO="Manual",$M398=1),0,IF(OFFSET(CRONOPLE!$F$14,$M398,AS$13)="",10^12,OFFSET(CRONOPLE!$F$14,$M398,AS$13))))</f>
        <v>1000000000000</v>
      </c>
      <c r="AT398" s="181">
        <f ca="1">IF($D398&lt;&gt;"Serviço",0,IF(AND(AUTOEVENTO="Manual",$M398=1),0,IF(OFFSET(CRONOPLE!$F$14,$M398,AT$13)="",10^12,OFFSET(CRONOPLE!$F$14,$M398,AT$13))))</f>
        <v>1000000000000</v>
      </c>
      <c r="AU398" s="181">
        <f ca="1">IF($D398&lt;&gt;"Serviço",0,IF(AND(AUTOEVENTO="Manual",$M398=1),0,IF(OFFSET(CRONOPLE!$F$14,$M398,AU$13)="",10^12,OFFSET(CRONOPLE!$F$14,$M398,AU$13))))</f>
        <v>1000000000000</v>
      </c>
      <c r="AV398" s="181">
        <f ca="1">IF($D398&lt;&gt;"Serviço",0,IF(AND(AUTOEVENTO="Manual",$M398=1),0,IF(OFFSET(CRONOPLE!$F$14,$M398,AV$13)="",10^12,OFFSET(CRONOPLE!$F$14,$M398,AV$13))))</f>
        <v>1000000000000</v>
      </c>
      <c r="AX398" s="182">
        <f ca="1">IF($D398&lt;&gt;"Serviço",0,IF(OR(AND(AUTOEVENTO="Manual",$M398=1),$M398&gt;(ROW(PLE.lastrow)-ROW(PLE.firstrow))),0,IF(OFFSET(PLE!$G$14,$M398,AX$13)="",10^12,OFFSET(PLE!$G$14,$M398,AX$13))))</f>
        <v>1000000000000</v>
      </c>
      <c r="AY398" s="182">
        <f ca="1">IF($D398&lt;&gt;"Serviço",0,IF(OR(AND(AUTOEVENTO="Manual",$M398=1),$M398&gt;(ROW(PLE.lastrow)-ROW(PLE.firstrow))),0,IF(OFFSET(PLE!$G$14,$M398,AY$13)="",10^12,OFFSET(PLE!$G$14,$M398,AY$13))))</f>
        <v>1000000000000</v>
      </c>
      <c r="AZ398" s="182">
        <f ca="1">IF($D398&lt;&gt;"Serviço",0,IF(OR(AND(AUTOEVENTO="Manual",$M398=1),$M398&gt;(ROW(PLE.lastrow)-ROW(PLE.firstrow))),0,IF(OFFSET(PLE!$G$14,$M398,AZ$13)="",10^12,OFFSET(PLE!$G$14,$M398,AZ$13))))</f>
        <v>1000000000000</v>
      </c>
      <c r="BA398" s="182">
        <f ca="1">IF($D398&lt;&gt;"Serviço",0,IF(OR(AND(AUTOEVENTO="Manual",$M398=1),$M398&gt;(ROW(PLE.lastrow)-ROW(PLE.firstrow))),0,IF(OFFSET(PLE!$G$14,$M398,BA$13)="",10^12,OFFSET(PLE!$G$14,$M398,BA$13))))</f>
        <v>1000000000000</v>
      </c>
      <c r="BB398" s="182">
        <f ca="1">IF($D398&lt;&gt;"Serviço",0,IF(OR(AND(AUTOEVENTO="Manual",$M398=1),$M398&gt;(ROW(PLE.lastrow)-ROW(PLE.firstrow))),0,IF(OFFSET(PLE!$G$14,$M398,BB$13)="",10^12,OFFSET(PLE!$G$14,$M398,BB$13))))</f>
        <v>1000000000000</v>
      </c>
      <c r="BC398" s="182">
        <f ca="1">IF($D398&lt;&gt;"Serviço",0,IF(OR(AND(AUTOEVENTO="Manual",$M398=1),$M398&gt;(ROW(PLE.lastrow)-ROW(PLE.firstrow))),0,IF(OFFSET(PLE!$G$14,$M398,BC$13)="",10^12,OFFSET(PLE!$G$14,$M398,BC$13))))</f>
        <v>1000000000000</v>
      </c>
      <c r="BD398" s="182">
        <f ca="1">IF($D398&lt;&gt;"Serviço",0,IF(OR(AND(AUTOEVENTO="Manual",$M398=1),$M398&gt;(ROW(PLE.lastrow)-ROW(PLE.firstrow))),0,IF(OFFSET(PLE!$G$14,$M398,BD$13)="",10^12,OFFSET(PLE!$G$14,$M398,BD$13))))</f>
        <v>1000000000000</v>
      </c>
      <c r="BE398" s="182">
        <f ca="1">IF($D398&lt;&gt;"Serviço",0,IF(OR(AND(AUTOEVENTO="Manual",$M398=1),$M398&gt;(ROW(PLE.lastrow)-ROW(PLE.firstrow))),0,IF(OFFSET(PLE!$G$14,$M398,BE$13)="",10^12,OFFSET(PLE!$G$14,$M398,BE$13))))</f>
        <v>1000000000000</v>
      </c>
      <c r="BF398" s="182">
        <f ca="1">IF($D398&lt;&gt;"Serviço",0,IF(OR(AND(AUTOEVENTO="Manual",$M398=1),$M398&gt;(ROW(PLE.lastrow)-ROW(PLE.firstrow))),0,IF(OFFSET(PLE!$G$14,$M398,BF$13)="",10^12,OFFSET(PLE!$G$14,$M398,BF$13))))</f>
        <v>1000000000000</v>
      </c>
      <c r="BG398" s="182">
        <f ca="1">IF($D398&lt;&gt;"Serviço",0,IF(OR(AND(AUTOEVENTO="Manual",$M398=1),$M398&gt;(ROW(PLE.lastrow)-ROW(PLE.firstrow))),0,IF(OFFSET(PLE!$G$14,$M398,BG$13)="",10^12,OFFSET(PLE!$G$14,$M398,BG$13))))</f>
        <v>1000000000000</v>
      </c>
    </row>
    <row r="399" spans="1:59" ht="25.5" x14ac:dyDescent="0.2">
      <c r="A399" s="7" t="str">
        <f t="shared" ca="1" si="11"/>
        <v>376</v>
      </c>
      <c r="B399" s="7" t="str">
        <f ca="1">OFFSET(ORÇAMENTO!C$15,ROW(B399)-ROW(B$15),0)</f>
        <v>S</v>
      </c>
      <c r="C399" s="7" t="str">
        <f ca="1">OFFSET(ORÇAMENTO!L$15,ROW(C399)-ROW(C$15),0)</f>
        <v/>
      </c>
      <c r="D399" s="118" t="str">
        <f ca="1">OFFSET(ORÇAMENTO!N$15,ROW(D399)-ROW(D$15),0)</f>
        <v>Serviço</v>
      </c>
      <c r="E399" s="119" t="str">
        <f ca="1">OFFSET(ORÇAMENTO!O$15,ROW(E399)-ROW(E$15),0)</f>
        <v>-</v>
      </c>
      <c r="F399" s="172" t="str">
        <f ca="1">OFFSET(ORÇAMENTO!R$15,ROW(F399)-ROW(F$15),0)</f>
        <v>(abra o arquivo 'Referência 02-2025.xlsm)</v>
      </c>
      <c r="G399" s="173" t="str">
        <f ca="1">IF($D399&lt;&gt;"Serviço","",OFFSET(ORÇAMENTO!S$15,ROW(G399)-ROW(G$15),0))</f>
        <v>-</v>
      </c>
      <c r="H399" s="124">
        <f ca="1">IF($D399&lt;&gt;"Serviço",0,IF(ACOMPANHAMENTO="BM",ROUND(OFFSET(ORÇAMENTO!AJ$15,ROW(H399)-ROW(H$15),0),15-13*ORÇAMENTO!$AF$7),SUMPRODUCT(($Q$12:$AA$12&lt;&gt;"")*ROUND($Q399:$AA399,15-13*ORÇAMENTO!$AF$7))))</f>
        <v>6</v>
      </c>
      <c r="I399" s="561" t="s">
        <v>890</v>
      </c>
      <c r="K399" s="174"/>
      <c r="L399" s="175" t="s">
        <v>255</v>
      </c>
      <c r="M399" s="176">
        <f ca="1">IF($D399&lt;&gt;"Serviço","",IF(AUTOEVENTO="manual",$A399,IF(ISERROR(MATCH($A399,$A$15:OFFSET($A399,-1,0),0)),MAX($M$15:OFFSET(M399,-1,0))+1,INDEX($M$15:OFFSET(M399,-1,0),MATCH($A399,$A$15:OFFSET($A399,-1,0),0)))))</f>
        <v>16</v>
      </c>
      <c r="N399" s="177" t="str">
        <f ca="1">IF($D399&lt;&gt;"Serviço","",IF(AUTOEVENTO="Manual",IF($A399=0,"&lt;-- defina o número do agrupador",OFFSET(EVENTOS!$D$14,$A399,0)),OFFSET($F$15,$A399,0)))</f>
        <v>LOUÇAS, ACESSÓRIOS E METAIS</v>
      </c>
      <c r="O399" s="178"/>
      <c r="Q399" s="178"/>
      <c r="R399" s="179"/>
      <c r="S399" s="179"/>
      <c r="T399" s="179"/>
      <c r="U399" s="179"/>
      <c r="V399" s="179"/>
      <c r="W399" s="179"/>
      <c r="X399" s="179"/>
      <c r="Y399" s="179"/>
      <c r="Z399" s="180"/>
      <c r="AB399" s="544">
        <f ca="1">IF(AND($D399="Serviço",AB$12&lt;&gt;0,$H399&gt;0,OR(AUTOEVENTO&lt;&gt;"manual",$M399&lt;&gt;1)),
IF(Import.TipoArredondamento&lt;&gt;"TransfereGOV",
ROUND(OFFSET($P399,0,AB$13),15-13*ORÇAMENTO!$AF$7)/$H399*OFFSET(ORÇAMENTO!$X$15,ROW(AB399)-ROW(AB$15),0),
ROUND(ROUND(OFFSET($P399,0,AB$13),15-13*ORÇAMENTO!$AF$7)*OFFSET(ORÇAMENTO!$W$15,ROW(AB399)-ROW(AB$15),0),15-13*ORÇAMENTO!$AF$11)),0)</f>
        <v>0</v>
      </c>
      <c r="AC399" s="545">
        <f ca="1">IF(AND($D399="Serviço",AC$12&lt;&gt;0,$H399&gt;0,OR(AUTOEVENTO&lt;&gt;"manual",$M399&lt;&gt;1)),
IF(Import.TipoArredondamento&lt;&gt;"TransfereGOV",
ROUND(OFFSET($P399,0,AC$13),15-13*ORÇAMENTO!$AF$7)/$H399*OFFSET(ORÇAMENTO!$X$15,ROW(AC399)-ROW(AC$15),0),
ROUND(ROUND(OFFSET($P399,0,AC$13),15-13*ORÇAMENTO!$AF$7)*OFFSET(ORÇAMENTO!$W$15,ROW(AC399)-ROW(AC$15),0),15-13*ORÇAMENTO!$AF$11)),0)</f>
        <v>0</v>
      </c>
      <c r="AD399" s="545">
        <f ca="1">IF(AND($D399="Serviço",AD$12&lt;&gt;0,$H399&gt;0,OR(AUTOEVENTO&lt;&gt;"manual",$M399&lt;&gt;1)),
IF(Import.TipoArredondamento&lt;&gt;"TransfereGOV",
ROUND(OFFSET($P399,0,AD$13),15-13*ORÇAMENTO!$AF$7)/$H399*OFFSET(ORÇAMENTO!$X$15,ROW(AD399)-ROW(AD$15),0),
ROUND(ROUND(OFFSET($P399,0,AD$13),15-13*ORÇAMENTO!$AF$7)*OFFSET(ORÇAMENTO!$W$15,ROW(AD399)-ROW(AD$15),0),15-13*ORÇAMENTO!$AF$11)),0)</f>
        <v>0</v>
      </c>
      <c r="AE399" s="545">
        <f ca="1">IF(AND($D399="Serviço",AE$12&lt;&gt;0,$H399&gt;0,OR(AUTOEVENTO&lt;&gt;"manual",$M399&lt;&gt;1)),
IF(Import.TipoArredondamento&lt;&gt;"TransfereGOV",
ROUND(OFFSET($P399,0,AE$13),15-13*ORÇAMENTO!$AF$7)/$H399*OFFSET(ORÇAMENTO!$X$15,ROW(AE399)-ROW(AE$15),0),
ROUND(ROUND(OFFSET($P399,0,AE$13),15-13*ORÇAMENTO!$AF$7)*OFFSET(ORÇAMENTO!$W$15,ROW(AE399)-ROW(AE$15),0),15-13*ORÇAMENTO!$AF$11)),0)</f>
        <v>0</v>
      </c>
      <c r="AF399" s="545">
        <f ca="1">IF(AND($D399="Serviço",AF$12&lt;&gt;0,$H399&gt;0,OR(AUTOEVENTO&lt;&gt;"manual",$M399&lt;&gt;1)),
IF(Import.TipoArredondamento&lt;&gt;"TransfereGOV",
ROUND(OFFSET($P399,0,AF$13),15-13*ORÇAMENTO!$AF$7)/$H399*OFFSET(ORÇAMENTO!$X$15,ROW(AF399)-ROW(AF$15),0),
ROUND(ROUND(OFFSET($P399,0,AF$13),15-13*ORÇAMENTO!$AF$7)*OFFSET(ORÇAMENTO!$W$15,ROW(AF399)-ROW(AF$15),0),15-13*ORÇAMENTO!$AF$11)),0)</f>
        <v>0</v>
      </c>
      <c r="AG399" s="545">
        <f ca="1">IF(AND($D399="Serviço",AG$12&lt;&gt;0,$H399&gt;0,OR(AUTOEVENTO&lt;&gt;"manual",$M399&lt;&gt;1)),
IF(Import.TipoArredondamento&lt;&gt;"TransfereGOV",
ROUND(OFFSET($P399,0,AG$13),15-13*ORÇAMENTO!$AF$7)/$H399*OFFSET(ORÇAMENTO!$X$15,ROW(AG399)-ROW(AG$15),0),
ROUND(ROUND(OFFSET($P399,0,AG$13),15-13*ORÇAMENTO!$AF$7)*OFFSET(ORÇAMENTO!$W$15,ROW(AG399)-ROW(AG$15),0),15-13*ORÇAMENTO!$AF$11)),0)</f>
        <v>0</v>
      </c>
      <c r="AH399" s="545">
        <f ca="1">IF(AND($D399="Serviço",AH$12&lt;&gt;0,$H399&gt;0,OR(AUTOEVENTO&lt;&gt;"manual",$M399&lt;&gt;1)),
IF(Import.TipoArredondamento&lt;&gt;"TransfereGOV",
ROUND(OFFSET($P399,0,AH$13),15-13*ORÇAMENTO!$AF$7)/$H399*OFFSET(ORÇAMENTO!$X$15,ROW(AH399)-ROW(AH$15),0),
ROUND(ROUND(OFFSET($P399,0,AH$13),15-13*ORÇAMENTO!$AF$7)*OFFSET(ORÇAMENTO!$W$15,ROW(AH399)-ROW(AH$15),0),15-13*ORÇAMENTO!$AF$11)),0)</f>
        <v>0</v>
      </c>
      <c r="AI399" s="545">
        <f ca="1">IF(AND($D399="Serviço",AI$12&lt;&gt;0,$H399&gt;0,OR(AUTOEVENTO&lt;&gt;"manual",$M399&lt;&gt;1)),
IF(Import.TipoArredondamento&lt;&gt;"TransfereGOV",
ROUND(OFFSET($P399,0,AI$13),15-13*ORÇAMENTO!$AF$7)/$H399*OFFSET(ORÇAMENTO!$X$15,ROW(AI399)-ROW(AI$15),0),
ROUND(ROUND(OFFSET($P399,0,AI$13),15-13*ORÇAMENTO!$AF$7)*OFFSET(ORÇAMENTO!$W$15,ROW(AI399)-ROW(AI$15),0),15-13*ORÇAMENTO!$AF$11)),0)</f>
        <v>0</v>
      </c>
      <c r="AJ399" s="545">
        <f ca="1">IF(AND($D399="Serviço",AJ$12&lt;&gt;0,$H399&gt;0,OR(AUTOEVENTO&lt;&gt;"manual",$M399&lt;&gt;1)),
IF(Import.TipoArredondamento&lt;&gt;"TransfereGOV",
ROUND(OFFSET($P399,0,AJ$13),15-13*ORÇAMENTO!$AF$7)/$H399*OFFSET(ORÇAMENTO!$X$15,ROW(AJ399)-ROW(AJ$15),0),
ROUND(ROUND(OFFSET($P399,0,AJ$13),15-13*ORÇAMENTO!$AF$7)*OFFSET(ORÇAMENTO!$W$15,ROW(AJ399)-ROW(AJ$15),0),15-13*ORÇAMENTO!$AF$11)),0)</f>
        <v>0</v>
      </c>
      <c r="AK399" s="546">
        <f ca="1">IF(AND($D399="Serviço",AK$12&lt;&gt;0,$H399&gt;0,OR(AUTOEVENTO&lt;&gt;"manual",$M399&lt;&gt;1)),
IF(Import.TipoArredondamento&lt;&gt;"TransfereGOV",
ROUND(OFFSET($P399,0,AK$13),15-13*ORÇAMENTO!$AF$7)/$H399*OFFSET(ORÇAMENTO!$X$15,ROW(AK399)-ROW(AK$15),0),
ROUND(ROUND(OFFSET($P399,0,AK$13),15-13*ORÇAMENTO!$AF$7)*OFFSET(ORÇAMENTO!$W$15,ROW(AK399)-ROW(AK$15),0),15-13*ORÇAMENTO!$AF$11)),0)</f>
        <v>0</v>
      </c>
      <c r="AM399" s="181">
        <f ca="1">IF($D399&lt;&gt;"Serviço",0,IF(AND(AUTOEVENTO="Manual",$M399=1),0,IF(OFFSET(CRONOPLE!$F$14,$M399,AM$13)="",10^12,OFFSET(CRONOPLE!$F$14,$M399,AM$13))))</f>
        <v>1000000000000</v>
      </c>
      <c r="AN399" s="181">
        <f ca="1">IF($D399&lt;&gt;"Serviço",0,IF(AND(AUTOEVENTO="Manual",$M399=1),0,IF(OFFSET(CRONOPLE!$F$14,$M399,AN$13)="",10^12,OFFSET(CRONOPLE!$F$14,$M399,AN$13))))</f>
        <v>1000000000000</v>
      </c>
      <c r="AO399" s="181">
        <f ca="1">IF($D399&lt;&gt;"Serviço",0,IF(AND(AUTOEVENTO="Manual",$M399=1),0,IF(OFFSET(CRONOPLE!$F$14,$M399,AO$13)="",10^12,OFFSET(CRONOPLE!$F$14,$M399,AO$13))))</f>
        <v>1000000000000</v>
      </c>
      <c r="AP399" s="181">
        <f ca="1">IF($D399&lt;&gt;"Serviço",0,IF(AND(AUTOEVENTO="Manual",$M399=1),0,IF(OFFSET(CRONOPLE!$F$14,$M399,AP$13)="",10^12,OFFSET(CRONOPLE!$F$14,$M399,AP$13))))</f>
        <v>1000000000000</v>
      </c>
      <c r="AQ399" s="181">
        <f ca="1">IF($D399&lt;&gt;"Serviço",0,IF(AND(AUTOEVENTO="Manual",$M399=1),0,IF(OFFSET(CRONOPLE!$F$14,$M399,AQ$13)="",10^12,OFFSET(CRONOPLE!$F$14,$M399,AQ$13))))</f>
        <v>1000000000000</v>
      </c>
      <c r="AR399" s="181">
        <f ca="1">IF($D399&lt;&gt;"Serviço",0,IF(AND(AUTOEVENTO="Manual",$M399=1),0,IF(OFFSET(CRONOPLE!$F$14,$M399,AR$13)="",10^12,OFFSET(CRONOPLE!$F$14,$M399,AR$13))))</f>
        <v>1000000000000</v>
      </c>
      <c r="AS399" s="181">
        <f ca="1">IF($D399&lt;&gt;"Serviço",0,IF(AND(AUTOEVENTO="Manual",$M399=1),0,IF(OFFSET(CRONOPLE!$F$14,$M399,AS$13)="",10^12,OFFSET(CRONOPLE!$F$14,$M399,AS$13))))</f>
        <v>1000000000000</v>
      </c>
      <c r="AT399" s="181">
        <f ca="1">IF($D399&lt;&gt;"Serviço",0,IF(AND(AUTOEVENTO="Manual",$M399=1),0,IF(OFFSET(CRONOPLE!$F$14,$M399,AT$13)="",10^12,OFFSET(CRONOPLE!$F$14,$M399,AT$13))))</f>
        <v>1000000000000</v>
      </c>
      <c r="AU399" s="181">
        <f ca="1">IF($D399&lt;&gt;"Serviço",0,IF(AND(AUTOEVENTO="Manual",$M399=1),0,IF(OFFSET(CRONOPLE!$F$14,$M399,AU$13)="",10^12,OFFSET(CRONOPLE!$F$14,$M399,AU$13))))</f>
        <v>1000000000000</v>
      </c>
      <c r="AV399" s="181">
        <f ca="1">IF($D399&lt;&gt;"Serviço",0,IF(AND(AUTOEVENTO="Manual",$M399=1),0,IF(OFFSET(CRONOPLE!$F$14,$M399,AV$13)="",10^12,OFFSET(CRONOPLE!$F$14,$M399,AV$13))))</f>
        <v>1000000000000</v>
      </c>
      <c r="AX399" s="182">
        <f ca="1">IF($D399&lt;&gt;"Serviço",0,IF(OR(AND(AUTOEVENTO="Manual",$M399=1),$M399&gt;(ROW(PLE.lastrow)-ROW(PLE.firstrow))),0,IF(OFFSET(PLE!$G$14,$M399,AX$13)="",10^12,OFFSET(PLE!$G$14,$M399,AX$13))))</f>
        <v>1000000000000</v>
      </c>
      <c r="AY399" s="182">
        <f ca="1">IF($D399&lt;&gt;"Serviço",0,IF(OR(AND(AUTOEVENTO="Manual",$M399=1),$M399&gt;(ROW(PLE.lastrow)-ROW(PLE.firstrow))),0,IF(OFFSET(PLE!$G$14,$M399,AY$13)="",10^12,OFFSET(PLE!$G$14,$M399,AY$13))))</f>
        <v>1000000000000</v>
      </c>
      <c r="AZ399" s="182">
        <f ca="1">IF($D399&lt;&gt;"Serviço",0,IF(OR(AND(AUTOEVENTO="Manual",$M399=1),$M399&gt;(ROW(PLE.lastrow)-ROW(PLE.firstrow))),0,IF(OFFSET(PLE!$G$14,$M399,AZ$13)="",10^12,OFFSET(PLE!$G$14,$M399,AZ$13))))</f>
        <v>1000000000000</v>
      </c>
      <c r="BA399" s="182">
        <f ca="1">IF($D399&lt;&gt;"Serviço",0,IF(OR(AND(AUTOEVENTO="Manual",$M399=1),$M399&gt;(ROW(PLE.lastrow)-ROW(PLE.firstrow))),0,IF(OFFSET(PLE!$G$14,$M399,BA$13)="",10^12,OFFSET(PLE!$G$14,$M399,BA$13))))</f>
        <v>1000000000000</v>
      </c>
      <c r="BB399" s="182">
        <f ca="1">IF($D399&lt;&gt;"Serviço",0,IF(OR(AND(AUTOEVENTO="Manual",$M399=1),$M399&gt;(ROW(PLE.lastrow)-ROW(PLE.firstrow))),0,IF(OFFSET(PLE!$G$14,$M399,BB$13)="",10^12,OFFSET(PLE!$G$14,$M399,BB$13))))</f>
        <v>1000000000000</v>
      </c>
      <c r="BC399" s="182">
        <f ca="1">IF($D399&lt;&gt;"Serviço",0,IF(OR(AND(AUTOEVENTO="Manual",$M399=1),$M399&gt;(ROW(PLE.lastrow)-ROW(PLE.firstrow))),0,IF(OFFSET(PLE!$G$14,$M399,BC$13)="",10^12,OFFSET(PLE!$G$14,$M399,BC$13))))</f>
        <v>1000000000000</v>
      </c>
      <c r="BD399" s="182">
        <f ca="1">IF($D399&lt;&gt;"Serviço",0,IF(OR(AND(AUTOEVENTO="Manual",$M399=1),$M399&gt;(ROW(PLE.lastrow)-ROW(PLE.firstrow))),0,IF(OFFSET(PLE!$G$14,$M399,BD$13)="",10^12,OFFSET(PLE!$G$14,$M399,BD$13))))</f>
        <v>1000000000000</v>
      </c>
      <c r="BE399" s="182">
        <f ca="1">IF($D399&lt;&gt;"Serviço",0,IF(OR(AND(AUTOEVENTO="Manual",$M399=1),$M399&gt;(ROW(PLE.lastrow)-ROW(PLE.firstrow))),0,IF(OFFSET(PLE!$G$14,$M399,BE$13)="",10^12,OFFSET(PLE!$G$14,$M399,BE$13))))</f>
        <v>1000000000000</v>
      </c>
      <c r="BF399" s="182">
        <f ca="1">IF($D399&lt;&gt;"Serviço",0,IF(OR(AND(AUTOEVENTO="Manual",$M399=1),$M399&gt;(ROW(PLE.lastrow)-ROW(PLE.firstrow))),0,IF(OFFSET(PLE!$G$14,$M399,BF$13)="",10^12,OFFSET(PLE!$G$14,$M399,BF$13))))</f>
        <v>1000000000000</v>
      </c>
      <c r="BG399" s="182">
        <f ca="1">IF($D399&lt;&gt;"Serviço",0,IF(OR(AND(AUTOEVENTO="Manual",$M399=1),$M399&gt;(ROW(PLE.lastrow)-ROW(PLE.firstrow))),0,IF(OFFSET(PLE!$G$14,$M399,BG$13)="",10^12,OFFSET(PLE!$G$14,$M399,BG$13))))</f>
        <v>1000000000000</v>
      </c>
    </row>
    <row r="400" spans="1:59" ht="25.5" x14ac:dyDescent="0.2">
      <c r="A400" s="7" t="str">
        <f t="shared" ca="1" si="11"/>
        <v>376</v>
      </c>
      <c r="B400" s="7" t="str">
        <f ca="1">OFFSET(ORÇAMENTO!C$15,ROW(B400)-ROW(B$15),0)</f>
        <v>S</v>
      </c>
      <c r="C400" s="7" t="str">
        <f ca="1">OFFSET(ORÇAMENTO!L$15,ROW(C400)-ROW(C$15),0)</f>
        <v/>
      </c>
      <c r="D400" s="118" t="str">
        <f ca="1">OFFSET(ORÇAMENTO!N$15,ROW(D400)-ROW(D$15),0)</f>
        <v>Serviço</v>
      </c>
      <c r="E400" s="119" t="str">
        <f ca="1">OFFSET(ORÇAMENTO!O$15,ROW(E400)-ROW(E$15),0)</f>
        <v>-</v>
      </c>
      <c r="F400" s="172" t="str">
        <f ca="1">OFFSET(ORÇAMENTO!R$15,ROW(F400)-ROW(F$15),0)</f>
        <v>(abra o arquivo 'Referência 02-2025.xlsm)</v>
      </c>
      <c r="G400" s="173" t="str">
        <f ca="1">IF($D400&lt;&gt;"Serviço","",OFFSET(ORÇAMENTO!S$15,ROW(G400)-ROW(G$15),0))</f>
        <v>-</v>
      </c>
      <c r="H400" s="124">
        <f ca="1">IF($D400&lt;&gt;"Serviço",0,IF(ACOMPANHAMENTO="BM",ROUND(OFFSET(ORÇAMENTO!AJ$15,ROW(H400)-ROW(H$15),0),15-13*ORÇAMENTO!$AF$7),SUMPRODUCT(($Q$12:$AA$12&lt;&gt;"")*ROUND($Q400:$AA400,15-13*ORÇAMENTO!$AF$7))))</f>
        <v>6</v>
      </c>
      <c r="I400" s="561" t="s">
        <v>890</v>
      </c>
      <c r="K400" s="174"/>
      <c r="L400" s="175" t="s">
        <v>255</v>
      </c>
      <c r="M400" s="176">
        <f ca="1">IF($D400&lt;&gt;"Serviço","",IF(AUTOEVENTO="manual",$A400,IF(ISERROR(MATCH($A400,$A$15:OFFSET($A400,-1,0),0)),MAX($M$15:OFFSET(M400,-1,0))+1,INDEX($M$15:OFFSET(M400,-1,0),MATCH($A400,$A$15:OFFSET($A400,-1,0),0)))))</f>
        <v>16</v>
      </c>
      <c r="N400" s="177" t="str">
        <f ca="1">IF($D400&lt;&gt;"Serviço","",IF(AUTOEVENTO="Manual",IF($A400=0,"&lt;-- defina o número do agrupador",OFFSET(EVENTOS!$D$14,$A400,0)),OFFSET($F$15,$A400,0)))</f>
        <v>LOUÇAS, ACESSÓRIOS E METAIS</v>
      </c>
      <c r="O400" s="178"/>
      <c r="Q400" s="178"/>
      <c r="R400" s="179"/>
      <c r="S400" s="179"/>
      <c r="T400" s="179"/>
      <c r="U400" s="179"/>
      <c r="V400" s="179"/>
      <c r="W400" s="179"/>
      <c r="X400" s="179"/>
      <c r="Y400" s="179"/>
      <c r="Z400" s="180"/>
      <c r="AB400" s="544">
        <f ca="1">IF(AND($D400="Serviço",AB$12&lt;&gt;0,$H400&gt;0,OR(AUTOEVENTO&lt;&gt;"manual",$M400&lt;&gt;1)),
IF(Import.TipoArredondamento&lt;&gt;"TransfereGOV",
ROUND(OFFSET($P400,0,AB$13),15-13*ORÇAMENTO!$AF$7)/$H400*OFFSET(ORÇAMENTO!$X$15,ROW(AB400)-ROW(AB$15),0),
ROUND(ROUND(OFFSET($P400,0,AB$13),15-13*ORÇAMENTO!$AF$7)*OFFSET(ORÇAMENTO!$W$15,ROW(AB400)-ROW(AB$15),0),15-13*ORÇAMENTO!$AF$11)),0)</f>
        <v>0</v>
      </c>
      <c r="AC400" s="545">
        <f ca="1">IF(AND($D400="Serviço",AC$12&lt;&gt;0,$H400&gt;0,OR(AUTOEVENTO&lt;&gt;"manual",$M400&lt;&gt;1)),
IF(Import.TipoArredondamento&lt;&gt;"TransfereGOV",
ROUND(OFFSET($P400,0,AC$13),15-13*ORÇAMENTO!$AF$7)/$H400*OFFSET(ORÇAMENTO!$X$15,ROW(AC400)-ROW(AC$15),0),
ROUND(ROUND(OFFSET($P400,0,AC$13),15-13*ORÇAMENTO!$AF$7)*OFFSET(ORÇAMENTO!$W$15,ROW(AC400)-ROW(AC$15),0),15-13*ORÇAMENTO!$AF$11)),0)</f>
        <v>0</v>
      </c>
      <c r="AD400" s="545">
        <f ca="1">IF(AND($D400="Serviço",AD$12&lt;&gt;0,$H400&gt;0,OR(AUTOEVENTO&lt;&gt;"manual",$M400&lt;&gt;1)),
IF(Import.TipoArredondamento&lt;&gt;"TransfereGOV",
ROUND(OFFSET($P400,0,AD$13),15-13*ORÇAMENTO!$AF$7)/$H400*OFFSET(ORÇAMENTO!$X$15,ROW(AD400)-ROW(AD$15),0),
ROUND(ROUND(OFFSET($P400,0,AD$13),15-13*ORÇAMENTO!$AF$7)*OFFSET(ORÇAMENTO!$W$15,ROW(AD400)-ROW(AD$15),0),15-13*ORÇAMENTO!$AF$11)),0)</f>
        <v>0</v>
      </c>
      <c r="AE400" s="545">
        <f ca="1">IF(AND($D400="Serviço",AE$12&lt;&gt;0,$H400&gt;0,OR(AUTOEVENTO&lt;&gt;"manual",$M400&lt;&gt;1)),
IF(Import.TipoArredondamento&lt;&gt;"TransfereGOV",
ROUND(OFFSET($P400,0,AE$13),15-13*ORÇAMENTO!$AF$7)/$H400*OFFSET(ORÇAMENTO!$X$15,ROW(AE400)-ROW(AE$15),0),
ROUND(ROUND(OFFSET($P400,0,AE$13),15-13*ORÇAMENTO!$AF$7)*OFFSET(ORÇAMENTO!$W$15,ROW(AE400)-ROW(AE$15),0),15-13*ORÇAMENTO!$AF$11)),0)</f>
        <v>0</v>
      </c>
      <c r="AF400" s="545">
        <f ca="1">IF(AND($D400="Serviço",AF$12&lt;&gt;0,$H400&gt;0,OR(AUTOEVENTO&lt;&gt;"manual",$M400&lt;&gt;1)),
IF(Import.TipoArredondamento&lt;&gt;"TransfereGOV",
ROUND(OFFSET($P400,0,AF$13),15-13*ORÇAMENTO!$AF$7)/$H400*OFFSET(ORÇAMENTO!$X$15,ROW(AF400)-ROW(AF$15),0),
ROUND(ROUND(OFFSET($P400,0,AF$13),15-13*ORÇAMENTO!$AF$7)*OFFSET(ORÇAMENTO!$W$15,ROW(AF400)-ROW(AF$15),0),15-13*ORÇAMENTO!$AF$11)),0)</f>
        <v>0</v>
      </c>
      <c r="AG400" s="545">
        <f ca="1">IF(AND($D400="Serviço",AG$12&lt;&gt;0,$H400&gt;0,OR(AUTOEVENTO&lt;&gt;"manual",$M400&lt;&gt;1)),
IF(Import.TipoArredondamento&lt;&gt;"TransfereGOV",
ROUND(OFFSET($P400,0,AG$13),15-13*ORÇAMENTO!$AF$7)/$H400*OFFSET(ORÇAMENTO!$X$15,ROW(AG400)-ROW(AG$15),0),
ROUND(ROUND(OFFSET($P400,0,AG$13),15-13*ORÇAMENTO!$AF$7)*OFFSET(ORÇAMENTO!$W$15,ROW(AG400)-ROW(AG$15),0),15-13*ORÇAMENTO!$AF$11)),0)</f>
        <v>0</v>
      </c>
      <c r="AH400" s="545">
        <f ca="1">IF(AND($D400="Serviço",AH$12&lt;&gt;0,$H400&gt;0,OR(AUTOEVENTO&lt;&gt;"manual",$M400&lt;&gt;1)),
IF(Import.TipoArredondamento&lt;&gt;"TransfereGOV",
ROUND(OFFSET($P400,0,AH$13),15-13*ORÇAMENTO!$AF$7)/$H400*OFFSET(ORÇAMENTO!$X$15,ROW(AH400)-ROW(AH$15),0),
ROUND(ROUND(OFFSET($P400,0,AH$13),15-13*ORÇAMENTO!$AF$7)*OFFSET(ORÇAMENTO!$W$15,ROW(AH400)-ROW(AH$15),0),15-13*ORÇAMENTO!$AF$11)),0)</f>
        <v>0</v>
      </c>
      <c r="AI400" s="545">
        <f ca="1">IF(AND($D400="Serviço",AI$12&lt;&gt;0,$H400&gt;0,OR(AUTOEVENTO&lt;&gt;"manual",$M400&lt;&gt;1)),
IF(Import.TipoArredondamento&lt;&gt;"TransfereGOV",
ROUND(OFFSET($P400,0,AI$13),15-13*ORÇAMENTO!$AF$7)/$H400*OFFSET(ORÇAMENTO!$X$15,ROW(AI400)-ROW(AI$15),0),
ROUND(ROUND(OFFSET($P400,0,AI$13),15-13*ORÇAMENTO!$AF$7)*OFFSET(ORÇAMENTO!$W$15,ROW(AI400)-ROW(AI$15),0),15-13*ORÇAMENTO!$AF$11)),0)</f>
        <v>0</v>
      </c>
      <c r="AJ400" s="545">
        <f ca="1">IF(AND($D400="Serviço",AJ$12&lt;&gt;0,$H400&gt;0,OR(AUTOEVENTO&lt;&gt;"manual",$M400&lt;&gt;1)),
IF(Import.TipoArredondamento&lt;&gt;"TransfereGOV",
ROUND(OFFSET($P400,0,AJ$13),15-13*ORÇAMENTO!$AF$7)/$H400*OFFSET(ORÇAMENTO!$X$15,ROW(AJ400)-ROW(AJ$15),0),
ROUND(ROUND(OFFSET($P400,0,AJ$13),15-13*ORÇAMENTO!$AF$7)*OFFSET(ORÇAMENTO!$W$15,ROW(AJ400)-ROW(AJ$15),0),15-13*ORÇAMENTO!$AF$11)),0)</f>
        <v>0</v>
      </c>
      <c r="AK400" s="546">
        <f ca="1">IF(AND($D400="Serviço",AK$12&lt;&gt;0,$H400&gt;0,OR(AUTOEVENTO&lt;&gt;"manual",$M400&lt;&gt;1)),
IF(Import.TipoArredondamento&lt;&gt;"TransfereGOV",
ROUND(OFFSET($P400,0,AK$13),15-13*ORÇAMENTO!$AF$7)/$H400*OFFSET(ORÇAMENTO!$X$15,ROW(AK400)-ROW(AK$15),0),
ROUND(ROUND(OFFSET($P400,0,AK$13),15-13*ORÇAMENTO!$AF$7)*OFFSET(ORÇAMENTO!$W$15,ROW(AK400)-ROW(AK$15),0),15-13*ORÇAMENTO!$AF$11)),0)</f>
        <v>0</v>
      </c>
      <c r="AM400" s="181">
        <f ca="1">IF($D400&lt;&gt;"Serviço",0,IF(AND(AUTOEVENTO="Manual",$M400=1),0,IF(OFFSET(CRONOPLE!$F$14,$M400,AM$13)="",10^12,OFFSET(CRONOPLE!$F$14,$M400,AM$13))))</f>
        <v>1000000000000</v>
      </c>
      <c r="AN400" s="181">
        <f ca="1">IF($D400&lt;&gt;"Serviço",0,IF(AND(AUTOEVENTO="Manual",$M400=1),0,IF(OFFSET(CRONOPLE!$F$14,$M400,AN$13)="",10^12,OFFSET(CRONOPLE!$F$14,$M400,AN$13))))</f>
        <v>1000000000000</v>
      </c>
      <c r="AO400" s="181">
        <f ca="1">IF($D400&lt;&gt;"Serviço",0,IF(AND(AUTOEVENTO="Manual",$M400=1),0,IF(OFFSET(CRONOPLE!$F$14,$M400,AO$13)="",10^12,OFFSET(CRONOPLE!$F$14,$M400,AO$13))))</f>
        <v>1000000000000</v>
      </c>
      <c r="AP400" s="181">
        <f ca="1">IF($D400&lt;&gt;"Serviço",0,IF(AND(AUTOEVENTO="Manual",$M400=1),0,IF(OFFSET(CRONOPLE!$F$14,$M400,AP$13)="",10^12,OFFSET(CRONOPLE!$F$14,$M400,AP$13))))</f>
        <v>1000000000000</v>
      </c>
      <c r="AQ400" s="181">
        <f ca="1">IF($D400&lt;&gt;"Serviço",0,IF(AND(AUTOEVENTO="Manual",$M400=1),0,IF(OFFSET(CRONOPLE!$F$14,$M400,AQ$13)="",10^12,OFFSET(CRONOPLE!$F$14,$M400,AQ$13))))</f>
        <v>1000000000000</v>
      </c>
      <c r="AR400" s="181">
        <f ca="1">IF($D400&lt;&gt;"Serviço",0,IF(AND(AUTOEVENTO="Manual",$M400=1),0,IF(OFFSET(CRONOPLE!$F$14,$M400,AR$13)="",10^12,OFFSET(CRONOPLE!$F$14,$M400,AR$13))))</f>
        <v>1000000000000</v>
      </c>
      <c r="AS400" s="181">
        <f ca="1">IF($D400&lt;&gt;"Serviço",0,IF(AND(AUTOEVENTO="Manual",$M400=1),0,IF(OFFSET(CRONOPLE!$F$14,$M400,AS$13)="",10^12,OFFSET(CRONOPLE!$F$14,$M400,AS$13))))</f>
        <v>1000000000000</v>
      </c>
      <c r="AT400" s="181">
        <f ca="1">IF($D400&lt;&gt;"Serviço",0,IF(AND(AUTOEVENTO="Manual",$M400=1),0,IF(OFFSET(CRONOPLE!$F$14,$M400,AT$13)="",10^12,OFFSET(CRONOPLE!$F$14,$M400,AT$13))))</f>
        <v>1000000000000</v>
      </c>
      <c r="AU400" s="181">
        <f ca="1">IF($D400&lt;&gt;"Serviço",0,IF(AND(AUTOEVENTO="Manual",$M400=1),0,IF(OFFSET(CRONOPLE!$F$14,$M400,AU$13)="",10^12,OFFSET(CRONOPLE!$F$14,$M400,AU$13))))</f>
        <v>1000000000000</v>
      </c>
      <c r="AV400" s="181">
        <f ca="1">IF($D400&lt;&gt;"Serviço",0,IF(AND(AUTOEVENTO="Manual",$M400=1),0,IF(OFFSET(CRONOPLE!$F$14,$M400,AV$13)="",10^12,OFFSET(CRONOPLE!$F$14,$M400,AV$13))))</f>
        <v>1000000000000</v>
      </c>
      <c r="AX400" s="182">
        <f ca="1">IF($D400&lt;&gt;"Serviço",0,IF(OR(AND(AUTOEVENTO="Manual",$M400=1),$M400&gt;(ROW(PLE.lastrow)-ROW(PLE.firstrow))),0,IF(OFFSET(PLE!$G$14,$M400,AX$13)="",10^12,OFFSET(PLE!$G$14,$M400,AX$13))))</f>
        <v>1000000000000</v>
      </c>
      <c r="AY400" s="182">
        <f ca="1">IF($D400&lt;&gt;"Serviço",0,IF(OR(AND(AUTOEVENTO="Manual",$M400=1),$M400&gt;(ROW(PLE.lastrow)-ROW(PLE.firstrow))),0,IF(OFFSET(PLE!$G$14,$M400,AY$13)="",10^12,OFFSET(PLE!$G$14,$M400,AY$13))))</f>
        <v>1000000000000</v>
      </c>
      <c r="AZ400" s="182">
        <f ca="1">IF($D400&lt;&gt;"Serviço",0,IF(OR(AND(AUTOEVENTO="Manual",$M400=1),$M400&gt;(ROW(PLE.lastrow)-ROW(PLE.firstrow))),0,IF(OFFSET(PLE!$G$14,$M400,AZ$13)="",10^12,OFFSET(PLE!$G$14,$M400,AZ$13))))</f>
        <v>1000000000000</v>
      </c>
      <c r="BA400" s="182">
        <f ca="1">IF($D400&lt;&gt;"Serviço",0,IF(OR(AND(AUTOEVENTO="Manual",$M400=1),$M400&gt;(ROW(PLE.lastrow)-ROW(PLE.firstrow))),0,IF(OFFSET(PLE!$G$14,$M400,BA$13)="",10^12,OFFSET(PLE!$G$14,$M400,BA$13))))</f>
        <v>1000000000000</v>
      </c>
      <c r="BB400" s="182">
        <f ca="1">IF($D400&lt;&gt;"Serviço",0,IF(OR(AND(AUTOEVENTO="Manual",$M400=1),$M400&gt;(ROW(PLE.lastrow)-ROW(PLE.firstrow))),0,IF(OFFSET(PLE!$G$14,$M400,BB$13)="",10^12,OFFSET(PLE!$G$14,$M400,BB$13))))</f>
        <v>1000000000000</v>
      </c>
      <c r="BC400" s="182">
        <f ca="1">IF($D400&lt;&gt;"Serviço",0,IF(OR(AND(AUTOEVENTO="Manual",$M400=1),$M400&gt;(ROW(PLE.lastrow)-ROW(PLE.firstrow))),0,IF(OFFSET(PLE!$G$14,$M400,BC$13)="",10^12,OFFSET(PLE!$G$14,$M400,BC$13))))</f>
        <v>1000000000000</v>
      </c>
      <c r="BD400" s="182">
        <f ca="1">IF($D400&lt;&gt;"Serviço",0,IF(OR(AND(AUTOEVENTO="Manual",$M400=1),$M400&gt;(ROW(PLE.lastrow)-ROW(PLE.firstrow))),0,IF(OFFSET(PLE!$G$14,$M400,BD$13)="",10^12,OFFSET(PLE!$G$14,$M400,BD$13))))</f>
        <v>1000000000000</v>
      </c>
      <c r="BE400" s="182">
        <f ca="1">IF($D400&lt;&gt;"Serviço",0,IF(OR(AND(AUTOEVENTO="Manual",$M400=1),$M400&gt;(ROW(PLE.lastrow)-ROW(PLE.firstrow))),0,IF(OFFSET(PLE!$G$14,$M400,BE$13)="",10^12,OFFSET(PLE!$G$14,$M400,BE$13))))</f>
        <v>1000000000000</v>
      </c>
      <c r="BF400" s="182">
        <f ca="1">IF($D400&lt;&gt;"Serviço",0,IF(OR(AND(AUTOEVENTO="Manual",$M400=1),$M400&gt;(ROW(PLE.lastrow)-ROW(PLE.firstrow))),0,IF(OFFSET(PLE!$G$14,$M400,BF$13)="",10^12,OFFSET(PLE!$G$14,$M400,BF$13))))</f>
        <v>1000000000000</v>
      </c>
      <c r="BG400" s="182">
        <f ca="1">IF($D400&lt;&gt;"Serviço",0,IF(OR(AND(AUTOEVENTO="Manual",$M400=1),$M400&gt;(ROW(PLE.lastrow)-ROW(PLE.firstrow))),0,IF(OFFSET(PLE!$G$14,$M400,BG$13)="",10^12,OFFSET(PLE!$G$14,$M400,BG$13))))</f>
        <v>1000000000000</v>
      </c>
    </row>
    <row r="401" spans="1:59" ht="25.5" x14ac:dyDescent="0.2">
      <c r="A401" s="7" t="str">
        <f t="shared" ca="1" si="11"/>
        <v>376</v>
      </c>
      <c r="B401" s="7" t="str">
        <f ca="1">OFFSET(ORÇAMENTO!C$15,ROW(B401)-ROW(B$15),0)</f>
        <v>S</v>
      </c>
      <c r="C401" s="7" t="str">
        <f ca="1">OFFSET(ORÇAMENTO!L$15,ROW(C401)-ROW(C$15),0)</f>
        <v/>
      </c>
      <c r="D401" s="118" t="str">
        <f ca="1">OFFSET(ORÇAMENTO!N$15,ROW(D401)-ROW(D$15),0)</f>
        <v>Serviço</v>
      </c>
      <c r="E401" s="119" t="str">
        <f ca="1">OFFSET(ORÇAMENTO!O$15,ROW(E401)-ROW(E$15),0)</f>
        <v>-</v>
      </c>
      <c r="F401" s="172" t="str">
        <f ca="1">OFFSET(ORÇAMENTO!R$15,ROW(F401)-ROW(F$15),0)</f>
        <v>(abra o arquivo 'Referência 02-2025.xlsm)</v>
      </c>
      <c r="G401" s="173" t="str">
        <f ca="1">IF($D401&lt;&gt;"Serviço","",OFFSET(ORÇAMENTO!S$15,ROW(G401)-ROW(G$15),0))</f>
        <v>-</v>
      </c>
      <c r="H401" s="124">
        <f ca="1">IF($D401&lt;&gt;"Serviço",0,IF(ACOMPANHAMENTO="BM",ROUND(OFFSET(ORÇAMENTO!AJ$15,ROW(H401)-ROW(H$15),0),15-13*ORÇAMENTO!$AF$7),SUMPRODUCT(($Q$12:$AA$12&lt;&gt;"")*ROUND($Q401:$AA401,15-13*ORÇAMENTO!$AF$7))))</f>
        <v>10</v>
      </c>
      <c r="I401" s="561" t="s">
        <v>890</v>
      </c>
      <c r="K401" s="174"/>
      <c r="L401" s="175" t="s">
        <v>255</v>
      </c>
      <c r="M401" s="176">
        <f ca="1">IF($D401&lt;&gt;"Serviço","",IF(AUTOEVENTO="manual",$A401,IF(ISERROR(MATCH($A401,$A$15:OFFSET($A401,-1,0),0)),MAX($M$15:OFFSET(M401,-1,0))+1,INDEX($M$15:OFFSET(M401,-1,0),MATCH($A401,$A$15:OFFSET($A401,-1,0),0)))))</f>
        <v>16</v>
      </c>
      <c r="N401" s="177" t="str">
        <f ca="1">IF($D401&lt;&gt;"Serviço","",IF(AUTOEVENTO="Manual",IF($A401=0,"&lt;-- defina o número do agrupador",OFFSET(EVENTOS!$D$14,$A401,0)),OFFSET($F$15,$A401,0)))</f>
        <v>LOUÇAS, ACESSÓRIOS E METAIS</v>
      </c>
      <c r="O401" s="178"/>
      <c r="Q401" s="178"/>
      <c r="R401" s="179"/>
      <c r="S401" s="179"/>
      <c r="T401" s="179"/>
      <c r="U401" s="179"/>
      <c r="V401" s="179"/>
      <c r="W401" s="179"/>
      <c r="X401" s="179"/>
      <c r="Y401" s="179"/>
      <c r="Z401" s="180"/>
      <c r="AB401" s="544">
        <f ca="1">IF(AND($D401="Serviço",AB$12&lt;&gt;0,$H401&gt;0,OR(AUTOEVENTO&lt;&gt;"manual",$M401&lt;&gt;1)),
IF(Import.TipoArredondamento&lt;&gt;"TransfereGOV",
ROUND(OFFSET($P401,0,AB$13),15-13*ORÇAMENTO!$AF$7)/$H401*OFFSET(ORÇAMENTO!$X$15,ROW(AB401)-ROW(AB$15),0),
ROUND(ROUND(OFFSET($P401,0,AB$13),15-13*ORÇAMENTO!$AF$7)*OFFSET(ORÇAMENTO!$W$15,ROW(AB401)-ROW(AB$15),0),15-13*ORÇAMENTO!$AF$11)),0)</f>
        <v>0</v>
      </c>
      <c r="AC401" s="545">
        <f ca="1">IF(AND($D401="Serviço",AC$12&lt;&gt;0,$H401&gt;0,OR(AUTOEVENTO&lt;&gt;"manual",$M401&lt;&gt;1)),
IF(Import.TipoArredondamento&lt;&gt;"TransfereGOV",
ROUND(OFFSET($P401,0,AC$13),15-13*ORÇAMENTO!$AF$7)/$H401*OFFSET(ORÇAMENTO!$X$15,ROW(AC401)-ROW(AC$15),0),
ROUND(ROUND(OFFSET($P401,0,AC$13),15-13*ORÇAMENTO!$AF$7)*OFFSET(ORÇAMENTO!$W$15,ROW(AC401)-ROW(AC$15),0),15-13*ORÇAMENTO!$AF$11)),0)</f>
        <v>0</v>
      </c>
      <c r="AD401" s="545">
        <f ca="1">IF(AND($D401="Serviço",AD$12&lt;&gt;0,$H401&gt;0,OR(AUTOEVENTO&lt;&gt;"manual",$M401&lt;&gt;1)),
IF(Import.TipoArredondamento&lt;&gt;"TransfereGOV",
ROUND(OFFSET($P401,0,AD$13),15-13*ORÇAMENTO!$AF$7)/$H401*OFFSET(ORÇAMENTO!$X$15,ROW(AD401)-ROW(AD$15),0),
ROUND(ROUND(OFFSET($P401,0,AD$13),15-13*ORÇAMENTO!$AF$7)*OFFSET(ORÇAMENTO!$W$15,ROW(AD401)-ROW(AD$15),0),15-13*ORÇAMENTO!$AF$11)),0)</f>
        <v>0</v>
      </c>
      <c r="AE401" s="545">
        <f ca="1">IF(AND($D401="Serviço",AE$12&lt;&gt;0,$H401&gt;0,OR(AUTOEVENTO&lt;&gt;"manual",$M401&lt;&gt;1)),
IF(Import.TipoArredondamento&lt;&gt;"TransfereGOV",
ROUND(OFFSET($P401,0,AE$13),15-13*ORÇAMENTO!$AF$7)/$H401*OFFSET(ORÇAMENTO!$X$15,ROW(AE401)-ROW(AE$15),0),
ROUND(ROUND(OFFSET($P401,0,AE$13),15-13*ORÇAMENTO!$AF$7)*OFFSET(ORÇAMENTO!$W$15,ROW(AE401)-ROW(AE$15),0),15-13*ORÇAMENTO!$AF$11)),0)</f>
        <v>0</v>
      </c>
      <c r="AF401" s="545">
        <f ca="1">IF(AND($D401="Serviço",AF$12&lt;&gt;0,$H401&gt;0,OR(AUTOEVENTO&lt;&gt;"manual",$M401&lt;&gt;1)),
IF(Import.TipoArredondamento&lt;&gt;"TransfereGOV",
ROUND(OFFSET($P401,0,AF$13),15-13*ORÇAMENTO!$AF$7)/$H401*OFFSET(ORÇAMENTO!$X$15,ROW(AF401)-ROW(AF$15),0),
ROUND(ROUND(OFFSET($P401,0,AF$13),15-13*ORÇAMENTO!$AF$7)*OFFSET(ORÇAMENTO!$W$15,ROW(AF401)-ROW(AF$15),0),15-13*ORÇAMENTO!$AF$11)),0)</f>
        <v>0</v>
      </c>
      <c r="AG401" s="545">
        <f ca="1">IF(AND($D401="Serviço",AG$12&lt;&gt;0,$H401&gt;0,OR(AUTOEVENTO&lt;&gt;"manual",$M401&lt;&gt;1)),
IF(Import.TipoArredondamento&lt;&gt;"TransfereGOV",
ROUND(OFFSET($P401,0,AG$13),15-13*ORÇAMENTO!$AF$7)/$H401*OFFSET(ORÇAMENTO!$X$15,ROW(AG401)-ROW(AG$15),0),
ROUND(ROUND(OFFSET($P401,0,AG$13),15-13*ORÇAMENTO!$AF$7)*OFFSET(ORÇAMENTO!$W$15,ROW(AG401)-ROW(AG$15),0),15-13*ORÇAMENTO!$AF$11)),0)</f>
        <v>0</v>
      </c>
      <c r="AH401" s="545">
        <f ca="1">IF(AND($D401="Serviço",AH$12&lt;&gt;0,$H401&gt;0,OR(AUTOEVENTO&lt;&gt;"manual",$M401&lt;&gt;1)),
IF(Import.TipoArredondamento&lt;&gt;"TransfereGOV",
ROUND(OFFSET($P401,0,AH$13),15-13*ORÇAMENTO!$AF$7)/$H401*OFFSET(ORÇAMENTO!$X$15,ROW(AH401)-ROW(AH$15),0),
ROUND(ROUND(OFFSET($P401,0,AH$13),15-13*ORÇAMENTO!$AF$7)*OFFSET(ORÇAMENTO!$W$15,ROW(AH401)-ROW(AH$15),0),15-13*ORÇAMENTO!$AF$11)),0)</f>
        <v>0</v>
      </c>
      <c r="AI401" s="545">
        <f ca="1">IF(AND($D401="Serviço",AI$12&lt;&gt;0,$H401&gt;0,OR(AUTOEVENTO&lt;&gt;"manual",$M401&lt;&gt;1)),
IF(Import.TipoArredondamento&lt;&gt;"TransfereGOV",
ROUND(OFFSET($P401,0,AI$13),15-13*ORÇAMENTO!$AF$7)/$H401*OFFSET(ORÇAMENTO!$X$15,ROW(AI401)-ROW(AI$15),0),
ROUND(ROUND(OFFSET($P401,0,AI$13),15-13*ORÇAMENTO!$AF$7)*OFFSET(ORÇAMENTO!$W$15,ROW(AI401)-ROW(AI$15),0),15-13*ORÇAMENTO!$AF$11)),0)</f>
        <v>0</v>
      </c>
      <c r="AJ401" s="545">
        <f ca="1">IF(AND($D401="Serviço",AJ$12&lt;&gt;0,$H401&gt;0,OR(AUTOEVENTO&lt;&gt;"manual",$M401&lt;&gt;1)),
IF(Import.TipoArredondamento&lt;&gt;"TransfereGOV",
ROUND(OFFSET($P401,0,AJ$13),15-13*ORÇAMENTO!$AF$7)/$H401*OFFSET(ORÇAMENTO!$X$15,ROW(AJ401)-ROW(AJ$15),0),
ROUND(ROUND(OFFSET($P401,0,AJ$13),15-13*ORÇAMENTO!$AF$7)*OFFSET(ORÇAMENTO!$W$15,ROW(AJ401)-ROW(AJ$15),0),15-13*ORÇAMENTO!$AF$11)),0)</f>
        <v>0</v>
      </c>
      <c r="AK401" s="546">
        <f ca="1">IF(AND($D401="Serviço",AK$12&lt;&gt;0,$H401&gt;0,OR(AUTOEVENTO&lt;&gt;"manual",$M401&lt;&gt;1)),
IF(Import.TipoArredondamento&lt;&gt;"TransfereGOV",
ROUND(OFFSET($P401,0,AK$13),15-13*ORÇAMENTO!$AF$7)/$H401*OFFSET(ORÇAMENTO!$X$15,ROW(AK401)-ROW(AK$15),0),
ROUND(ROUND(OFFSET($P401,0,AK$13),15-13*ORÇAMENTO!$AF$7)*OFFSET(ORÇAMENTO!$W$15,ROW(AK401)-ROW(AK$15),0),15-13*ORÇAMENTO!$AF$11)),0)</f>
        <v>0</v>
      </c>
      <c r="AM401" s="181">
        <f ca="1">IF($D401&lt;&gt;"Serviço",0,IF(AND(AUTOEVENTO="Manual",$M401=1),0,IF(OFFSET(CRONOPLE!$F$14,$M401,AM$13)="",10^12,OFFSET(CRONOPLE!$F$14,$M401,AM$13))))</f>
        <v>1000000000000</v>
      </c>
      <c r="AN401" s="181">
        <f ca="1">IF($D401&lt;&gt;"Serviço",0,IF(AND(AUTOEVENTO="Manual",$M401=1),0,IF(OFFSET(CRONOPLE!$F$14,$M401,AN$13)="",10^12,OFFSET(CRONOPLE!$F$14,$M401,AN$13))))</f>
        <v>1000000000000</v>
      </c>
      <c r="AO401" s="181">
        <f ca="1">IF($D401&lt;&gt;"Serviço",0,IF(AND(AUTOEVENTO="Manual",$M401=1),0,IF(OFFSET(CRONOPLE!$F$14,$M401,AO$13)="",10^12,OFFSET(CRONOPLE!$F$14,$M401,AO$13))))</f>
        <v>1000000000000</v>
      </c>
      <c r="AP401" s="181">
        <f ca="1">IF($D401&lt;&gt;"Serviço",0,IF(AND(AUTOEVENTO="Manual",$M401=1),0,IF(OFFSET(CRONOPLE!$F$14,$M401,AP$13)="",10^12,OFFSET(CRONOPLE!$F$14,$M401,AP$13))))</f>
        <v>1000000000000</v>
      </c>
      <c r="AQ401" s="181">
        <f ca="1">IF($D401&lt;&gt;"Serviço",0,IF(AND(AUTOEVENTO="Manual",$M401=1),0,IF(OFFSET(CRONOPLE!$F$14,$M401,AQ$13)="",10^12,OFFSET(CRONOPLE!$F$14,$M401,AQ$13))))</f>
        <v>1000000000000</v>
      </c>
      <c r="AR401" s="181">
        <f ca="1">IF($D401&lt;&gt;"Serviço",0,IF(AND(AUTOEVENTO="Manual",$M401=1),0,IF(OFFSET(CRONOPLE!$F$14,$M401,AR$13)="",10^12,OFFSET(CRONOPLE!$F$14,$M401,AR$13))))</f>
        <v>1000000000000</v>
      </c>
      <c r="AS401" s="181">
        <f ca="1">IF($D401&lt;&gt;"Serviço",0,IF(AND(AUTOEVENTO="Manual",$M401=1),0,IF(OFFSET(CRONOPLE!$F$14,$M401,AS$13)="",10^12,OFFSET(CRONOPLE!$F$14,$M401,AS$13))))</f>
        <v>1000000000000</v>
      </c>
      <c r="AT401" s="181">
        <f ca="1">IF($D401&lt;&gt;"Serviço",0,IF(AND(AUTOEVENTO="Manual",$M401=1),0,IF(OFFSET(CRONOPLE!$F$14,$M401,AT$13)="",10^12,OFFSET(CRONOPLE!$F$14,$M401,AT$13))))</f>
        <v>1000000000000</v>
      </c>
      <c r="AU401" s="181">
        <f ca="1">IF($D401&lt;&gt;"Serviço",0,IF(AND(AUTOEVENTO="Manual",$M401=1),0,IF(OFFSET(CRONOPLE!$F$14,$M401,AU$13)="",10^12,OFFSET(CRONOPLE!$F$14,$M401,AU$13))))</f>
        <v>1000000000000</v>
      </c>
      <c r="AV401" s="181">
        <f ca="1">IF($D401&lt;&gt;"Serviço",0,IF(AND(AUTOEVENTO="Manual",$M401=1),0,IF(OFFSET(CRONOPLE!$F$14,$M401,AV$13)="",10^12,OFFSET(CRONOPLE!$F$14,$M401,AV$13))))</f>
        <v>1000000000000</v>
      </c>
      <c r="AX401" s="182">
        <f ca="1">IF($D401&lt;&gt;"Serviço",0,IF(OR(AND(AUTOEVENTO="Manual",$M401=1),$M401&gt;(ROW(PLE.lastrow)-ROW(PLE.firstrow))),0,IF(OFFSET(PLE!$G$14,$M401,AX$13)="",10^12,OFFSET(PLE!$G$14,$M401,AX$13))))</f>
        <v>1000000000000</v>
      </c>
      <c r="AY401" s="182">
        <f ca="1">IF($D401&lt;&gt;"Serviço",0,IF(OR(AND(AUTOEVENTO="Manual",$M401=1),$M401&gt;(ROW(PLE.lastrow)-ROW(PLE.firstrow))),0,IF(OFFSET(PLE!$G$14,$M401,AY$13)="",10^12,OFFSET(PLE!$G$14,$M401,AY$13))))</f>
        <v>1000000000000</v>
      </c>
      <c r="AZ401" s="182">
        <f ca="1">IF($D401&lt;&gt;"Serviço",0,IF(OR(AND(AUTOEVENTO="Manual",$M401=1),$M401&gt;(ROW(PLE.lastrow)-ROW(PLE.firstrow))),0,IF(OFFSET(PLE!$G$14,$M401,AZ$13)="",10^12,OFFSET(PLE!$G$14,$M401,AZ$13))))</f>
        <v>1000000000000</v>
      </c>
      <c r="BA401" s="182">
        <f ca="1">IF($D401&lt;&gt;"Serviço",0,IF(OR(AND(AUTOEVENTO="Manual",$M401=1),$M401&gt;(ROW(PLE.lastrow)-ROW(PLE.firstrow))),0,IF(OFFSET(PLE!$G$14,$M401,BA$13)="",10^12,OFFSET(PLE!$G$14,$M401,BA$13))))</f>
        <v>1000000000000</v>
      </c>
      <c r="BB401" s="182">
        <f ca="1">IF($D401&lt;&gt;"Serviço",0,IF(OR(AND(AUTOEVENTO="Manual",$M401=1),$M401&gt;(ROW(PLE.lastrow)-ROW(PLE.firstrow))),0,IF(OFFSET(PLE!$G$14,$M401,BB$13)="",10^12,OFFSET(PLE!$G$14,$M401,BB$13))))</f>
        <v>1000000000000</v>
      </c>
      <c r="BC401" s="182">
        <f ca="1">IF($D401&lt;&gt;"Serviço",0,IF(OR(AND(AUTOEVENTO="Manual",$M401=1),$M401&gt;(ROW(PLE.lastrow)-ROW(PLE.firstrow))),0,IF(OFFSET(PLE!$G$14,$M401,BC$13)="",10^12,OFFSET(PLE!$G$14,$M401,BC$13))))</f>
        <v>1000000000000</v>
      </c>
      <c r="BD401" s="182">
        <f ca="1">IF($D401&lt;&gt;"Serviço",0,IF(OR(AND(AUTOEVENTO="Manual",$M401=1),$M401&gt;(ROW(PLE.lastrow)-ROW(PLE.firstrow))),0,IF(OFFSET(PLE!$G$14,$M401,BD$13)="",10^12,OFFSET(PLE!$G$14,$M401,BD$13))))</f>
        <v>1000000000000</v>
      </c>
      <c r="BE401" s="182">
        <f ca="1">IF($D401&lt;&gt;"Serviço",0,IF(OR(AND(AUTOEVENTO="Manual",$M401=1),$M401&gt;(ROW(PLE.lastrow)-ROW(PLE.firstrow))),0,IF(OFFSET(PLE!$G$14,$M401,BE$13)="",10^12,OFFSET(PLE!$G$14,$M401,BE$13))))</f>
        <v>1000000000000</v>
      </c>
      <c r="BF401" s="182">
        <f ca="1">IF($D401&lt;&gt;"Serviço",0,IF(OR(AND(AUTOEVENTO="Manual",$M401=1),$M401&gt;(ROW(PLE.lastrow)-ROW(PLE.firstrow))),0,IF(OFFSET(PLE!$G$14,$M401,BF$13)="",10^12,OFFSET(PLE!$G$14,$M401,BF$13))))</f>
        <v>1000000000000</v>
      </c>
      <c r="BG401" s="182">
        <f ca="1">IF($D401&lt;&gt;"Serviço",0,IF(OR(AND(AUTOEVENTO="Manual",$M401=1),$M401&gt;(ROW(PLE.lastrow)-ROW(PLE.firstrow))),0,IF(OFFSET(PLE!$G$14,$M401,BG$13)="",10^12,OFFSET(PLE!$G$14,$M401,BG$13))))</f>
        <v>1000000000000</v>
      </c>
    </row>
    <row r="402" spans="1:59" ht="25.5" x14ac:dyDescent="0.2">
      <c r="A402" s="7" t="str">
        <f t="shared" ca="1" si="11"/>
        <v>376</v>
      </c>
      <c r="B402" s="7" t="str">
        <f ca="1">OFFSET(ORÇAMENTO!C$15,ROW(B402)-ROW(B$15),0)</f>
        <v>S</v>
      </c>
      <c r="C402" s="7" t="str">
        <f ca="1">OFFSET(ORÇAMENTO!L$15,ROW(C402)-ROW(C$15),0)</f>
        <v/>
      </c>
      <c r="D402" s="118" t="str">
        <f ca="1">OFFSET(ORÇAMENTO!N$15,ROW(D402)-ROW(D$15),0)</f>
        <v>Serviço</v>
      </c>
      <c r="E402" s="119" t="str">
        <f ca="1">OFFSET(ORÇAMENTO!O$15,ROW(E402)-ROW(E$15),0)</f>
        <v>-</v>
      </c>
      <c r="F402" s="172" t="str">
        <f ca="1">OFFSET(ORÇAMENTO!R$15,ROW(F402)-ROW(F$15),0)</f>
        <v>(abra o arquivo 'Referência 02-2025.xlsm)</v>
      </c>
      <c r="G402" s="173" t="str">
        <f ca="1">IF($D402&lt;&gt;"Serviço","",OFFSET(ORÇAMENTO!S$15,ROW(G402)-ROW(G$15),0))</f>
        <v>-</v>
      </c>
      <c r="H402" s="124">
        <f ca="1">IF($D402&lt;&gt;"Serviço",0,IF(ACOMPANHAMENTO="BM",ROUND(OFFSET(ORÇAMENTO!AJ$15,ROW(H402)-ROW(H$15),0),15-13*ORÇAMENTO!$AF$7),SUMPRODUCT(($Q$12:$AA$12&lt;&gt;"")*ROUND($Q402:$AA402,15-13*ORÇAMENTO!$AF$7))))</f>
        <v>7</v>
      </c>
      <c r="I402" s="561" t="s">
        <v>890</v>
      </c>
      <c r="K402" s="174"/>
      <c r="L402" s="175" t="s">
        <v>255</v>
      </c>
      <c r="M402" s="176">
        <f ca="1">IF($D402&lt;&gt;"Serviço","",IF(AUTOEVENTO="manual",$A402,IF(ISERROR(MATCH($A402,$A$15:OFFSET($A402,-1,0),0)),MAX($M$15:OFFSET(M402,-1,0))+1,INDEX($M$15:OFFSET(M402,-1,0),MATCH($A402,$A$15:OFFSET($A402,-1,0),0)))))</f>
        <v>16</v>
      </c>
      <c r="N402" s="177" t="str">
        <f ca="1">IF($D402&lt;&gt;"Serviço","",IF(AUTOEVENTO="Manual",IF($A402=0,"&lt;-- defina o número do agrupador",OFFSET(EVENTOS!$D$14,$A402,0)),OFFSET($F$15,$A402,0)))</f>
        <v>LOUÇAS, ACESSÓRIOS E METAIS</v>
      </c>
      <c r="O402" s="178"/>
      <c r="Q402" s="178"/>
      <c r="R402" s="179"/>
      <c r="S402" s="179"/>
      <c r="T402" s="179"/>
      <c r="U402" s="179"/>
      <c r="V402" s="179"/>
      <c r="W402" s="179"/>
      <c r="X402" s="179"/>
      <c r="Y402" s="179"/>
      <c r="Z402" s="180"/>
      <c r="AB402" s="544">
        <f ca="1">IF(AND($D402="Serviço",AB$12&lt;&gt;0,$H402&gt;0,OR(AUTOEVENTO&lt;&gt;"manual",$M402&lt;&gt;1)),
IF(Import.TipoArredondamento&lt;&gt;"TransfereGOV",
ROUND(OFFSET($P402,0,AB$13),15-13*ORÇAMENTO!$AF$7)/$H402*OFFSET(ORÇAMENTO!$X$15,ROW(AB402)-ROW(AB$15),0),
ROUND(ROUND(OFFSET($P402,0,AB$13),15-13*ORÇAMENTO!$AF$7)*OFFSET(ORÇAMENTO!$W$15,ROW(AB402)-ROW(AB$15),0),15-13*ORÇAMENTO!$AF$11)),0)</f>
        <v>0</v>
      </c>
      <c r="AC402" s="545">
        <f ca="1">IF(AND($D402="Serviço",AC$12&lt;&gt;0,$H402&gt;0,OR(AUTOEVENTO&lt;&gt;"manual",$M402&lt;&gt;1)),
IF(Import.TipoArredondamento&lt;&gt;"TransfereGOV",
ROUND(OFFSET($P402,0,AC$13),15-13*ORÇAMENTO!$AF$7)/$H402*OFFSET(ORÇAMENTO!$X$15,ROW(AC402)-ROW(AC$15),0),
ROUND(ROUND(OFFSET($P402,0,AC$13),15-13*ORÇAMENTO!$AF$7)*OFFSET(ORÇAMENTO!$W$15,ROW(AC402)-ROW(AC$15),0),15-13*ORÇAMENTO!$AF$11)),0)</f>
        <v>0</v>
      </c>
      <c r="AD402" s="545">
        <f ca="1">IF(AND($D402="Serviço",AD$12&lt;&gt;0,$H402&gt;0,OR(AUTOEVENTO&lt;&gt;"manual",$M402&lt;&gt;1)),
IF(Import.TipoArredondamento&lt;&gt;"TransfereGOV",
ROUND(OFFSET($P402,0,AD$13),15-13*ORÇAMENTO!$AF$7)/$H402*OFFSET(ORÇAMENTO!$X$15,ROW(AD402)-ROW(AD$15),0),
ROUND(ROUND(OFFSET($P402,0,AD$13),15-13*ORÇAMENTO!$AF$7)*OFFSET(ORÇAMENTO!$W$15,ROW(AD402)-ROW(AD$15),0),15-13*ORÇAMENTO!$AF$11)),0)</f>
        <v>0</v>
      </c>
      <c r="AE402" s="545">
        <f ca="1">IF(AND($D402="Serviço",AE$12&lt;&gt;0,$H402&gt;0,OR(AUTOEVENTO&lt;&gt;"manual",$M402&lt;&gt;1)),
IF(Import.TipoArredondamento&lt;&gt;"TransfereGOV",
ROUND(OFFSET($P402,0,AE$13),15-13*ORÇAMENTO!$AF$7)/$H402*OFFSET(ORÇAMENTO!$X$15,ROW(AE402)-ROW(AE$15),0),
ROUND(ROUND(OFFSET($P402,0,AE$13),15-13*ORÇAMENTO!$AF$7)*OFFSET(ORÇAMENTO!$W$15,ROW(AE402)-ROW(AE$15),0),15-13*ORÇAMENTO!$AF$11)),0)</f>
        <v>0</v>
      </c>
      <c r="AF402" s="545">
        <f ca="1">IF(AND($D402="Serviço",AF$12&lt;&gt;0,$H402&gt;0,OR(AUTOEVENTO&lt;&gt;"manual",$M402&lt;&gt;1)),
IF(Import.TipoArredondamento&lt;&gt;"TransfereGOV",
ROUND(OFFSET($P402,0,AF$13),15-13*ORÇAMENTO!$AF$7)/$H402*OFFSET(ORÇAMENTO!$X$15,ROW(AF402)-ROW(AF$15),0),
ROUND(ROUND(OFFSET($P402,0,AF$13),15-13*ORÇAMENTO!$AF$7)*OFFSET(ORÇAMENTO!$W$15,ROW(AF402)-ROW(AF$15),0),15-13*ORÇAMENTO!$AF$11)),0)</f>
        <v>0</v>
      </c>
      <c r="AG402" s="545">
        <f ca="1">IF(AND($D402="Serviço",AG$12&lt;&gt;0,$H402&gt;0,OR(AUTOEVENTO&lt;&gt;"manual",$M402&lt;&gt;1)),
IF(Import.TipoArredondamento&lt;&gt;"TransfereGOV",
ROUND(OFFSET($P402,0,AG$13),15-13*ORÇAMENTO!$AF$7)/$H402*OFFSET(ORÇAMENTO!$X$15,ROW(AG402)-ROW(AG$15),0),
ROUND(ROUND(OFFSET($P402,0,AG$13),15-13*ORÇAMENTO!$AF$7)*OFFSET(ORÇAMENTO!$W$15,ROW(AG402)-ROW(AG$15),0),15-13*ORÇAMENTO!$AF$11)),0)</f>
        <v>0</v>
      </c>
      <c r="AH402" s="545">
        <f ca="1">IF(AND($D402="Serviço",AH$12&lt;&gt;0,$H402&gt;0,OR(AUTOEVENTO&lt;&gt;"manual",$M402&lt;&gt;1)),
IF(Import.TipoArredondamento&lt;&gt;"TransfereGOV",
ROUND(OFFSET($P402,0,AH$13),15-13*ORÇAMENTO!$AF$7)/$H402*OFFSET(ORÇAMENTO!$X$15,ROW(AH402)-ROW(AH$15),0),
ROUND(ROUND(OFFSET($P402,0,AH$13),15-13*ORÇAMENTO!$AF$7)*OFFSET(ORÇAMENTO!$W$15,ROW(AH402)-ROW(AH$15),0),15-13*ORÇAMENTO!$AF$11)),0)</f>
        <v>0</v>
      </c>
      <c r="AI402" s="545">
        <f ca="1">IF(AND($D402="Serviço",AI$12&lt;&gt;0,$H402&gt;0,OR(AUTOEVENTO&lt;&gt;"manual",$M402&lt;&gt;1)),
IF(Import.TipoArredondamento&lt;&gt;"TransfereGOV",
ROUND(OFFSET($P402,0,AI$13),15-13*ORÇAMENTO!$AF$7)/$H402*OFFSET(ORÇAMENTO!$X$15,ROW(AI402)-ROW(AI$15),0),
ROUND(ROUND(OFFSET($P402,0,AI$13),15-13*ORÇAMENTO!$AF$7)*OFFSET(ORÇAMENTO!$W$15,ROW(AI402)-ROW(AI$15),0),15-13*ORÇAMENTO!$AF$11)),0)</f>
        <v>0</v>
      </c>
      <c r="AJ402" s="545">
        <f ca="1">IF(AND($D402="Serviço",AJ$12&lt;&gt;0,$H402&gt;0,OR(AUTOEVENTO&lt;&gt;"manual",$M402&lt;&gt;1)),
IF(Import.TipoArredondamento&lt;&gt;"TransfereGOV",
ROUND(OFFSET($P402,0,AJ$13),15-13*ORÇAMENTO!$AF$7)/$H402*OFFSET(ORÇAMENTO!$X$15,ROW(AJ402)-ROW(AJ$15),0),
ROUND(ROUND(OFFSET($P402,0,AJ$13),15-13*ORÇAMENTO!$AF$7)*OFFSET(ORÇAMENTO!$W$15,ROW(AJ402)-ROW(AJ$15),0),15-13*ORÇAMENTO!$AF$11)),0)</f>
        <v>0</v>
      </c>
      <c r="AK402" s="546">
        <f ca="1">IF(AND($D402="Serviço",AK$12&lt;&gt;0,$H402&gt;0,OR(AUTOEVENTO&lt;&gt;"manual",$M402&lt;&gt;1)),
IF(Import.TipoArredondamento&lt;&gt;"TransfereGOV",
ROUND(OFFSET($P402,0,AK$13),15-13*ORÇAMENTO!$AF$7)/$H402*OFFSET(ORÇAMENTO!$X$15,ROW(AK402)-ROW(AK$15),0),
ROUND(ROUND(OFFSET($P402,0,AK$13),15-13*ORÇAMENTO!$AF$7)*OFFSET(ORÇAMENTO!$W$15,ROW(AK402)-ROW(AK$15),0),15-13*ORÇAMENTO!$AF$11)),0)</f>
        <v>0</v>
      </c>
      <c r="AM402" s="181">
        <f ca="1">IF($D402&lt;&gt;"Serviço",0,IF(AND(AUTOEVENTO="Manual",$M402=1),0,IF(OFFSET(CRONOPLE!$F$14,$M402,AM$13)="",10^12,OFFSET(CRONOPLE!$F$14,$M402,AM$13))))</f>
        <v>1000000000000</v>
      </c>
      <c r="AN402" s="181">
        <f ca="1">IF($D402&lt;&gt;"Serviço",0,IF(AND(AUTOEVENTO="Manual",$M402=1),0,IF(OFFSET(CRONOPLE!$F$14,$M402,AN$13)="",10^12,OFFSET(CRONOPLE!$F$14,$M402,AN$13))))</f>
        <v>1000000000000</v>
      </c>
      <c r="AO402" s="181">
        <f ca="1">IF($D402&lt;&gt;"Serviço",0,IF(AND(AUTOEVENTO="Manual",$M402=1),0,IF(OFFSET(CRONOPLE!$F$14,$M402,AO$13)="",10^12,OFFSET(CRONOPLE!$F$14,$M402,AO$13))))</f>
        <v>1000000000000</v>
      </c>
      <c r="AP402" s="181">
        <f ca="1">IF($D402&lt;&gt;"Serviço",0,IF(AND(AUTOEVENTO="Manual",$M402=1),0,IF(OFFSET(CRONOPLE!$F$14,$M402,AP$13)="",10^12,OFFSET(CRONOPLE!$F$14,$M402,AP$13))))</f>
        <v>1000000000000</v>
      </c>
      <c r="AQ402" s="181">
        <f ca="1">IF($D402&lt;&gt;"Serviço",0,IF(AND(AUTOEVENTO="Manual",$M402=1),0,IF(OFFSET(CRONOPLE!$F$14,$M402,AQ$13)="",10^12,OFFSET(CRONOPLE!$F$14,$M402,AQ$13))))</f>
        <v>1000000000000</v>
      </c>
      <c r="AR402" s="181">
        <f ca="1">IF($D402&lt;&gt;"Serviço",0,IF(AND(AUTOEVENTO="Manual",$M402=1),0,IF(OFFSET(CRONOPLE!$F$14,$M402,AR$13)="",10^12,OFFSET(CRONOPLE!$F$14,$M402,AR$13))))</f>
        <v>1000000000000</v>
      </c>
      <c r="AS402" s="181">
        <f ca="1">IF($D402&lt;&gt;"Serviço",0,IF(AND(AUTOEVENTO="Manual",$M402=1),0,IF(OFFSET(CRONOPLE!$F$14,$M402,AS$13)="",10^12,OFFSET(CRONOPLE!$F$14,$M402,AS$13))))</f>
        <v>1000000000000</v>
      </c>
      <c r="AT402" s="181">
        <f ca="1">IF($D402&lt;&gt;"Serviço",0,IF(AND(AUTOEVENTO="Manual",$M402=1),0,IF(OFFSET(CRONOPLE!$F$14,$M402,AT$13)="",10^12,OFFSET(CRONOPLE!$F$14,$M402,AT$13))))</f>
        <v>1000000000000</v>
      </c>
      <c r="AU402" s="181">
        <f ca="1">IF($D402&lt;&gt;"Serviço",0,IF(AND(AUTOEVENTO="Manual",$M402=1),0,IF(OFFSET(CRONOPLE!$F$14,$M402,AU$13)="",10^12,OFFSET(CRONOPLE!$F$14,$M402,AU$13))))</f>
        <v>1000000000000</v>
      </c>
      <c r="AV402" s="181">
        <f ca="1">IF($D402&lt;&gt;"Serviço",0,IF(AND(AUTOEVENTO="Manual",$M402=1),0,IF(OFFSET(CRONOPLE!$F$14,$M402,AV$13)="",10^12,OFFSET(CRONOPLE!$F$14,$M402,AV$13))))</f>
        <v>1000000000000</v>
      </c>
      <c r="AX402" s="182">
        <f ca="1">IF($D402&lt;&gt;"Serviço",0,IF(OR(AND(AUTOEVENTO="Manual",$M402=1),$M402&gt;(ROW(PLE.lastrow)-ROW(PLE.firstrow))),0,IF(OFFSET(PLE!$G$14,$M402,AX$13)="",10^12,OFFSET(PLE!$G$14,$M402,AX$13))))</f>
        <v>1000000000000</v>
      </c>
      <c r="AY402" s="182">
        <f ca="1">IF($D402&lt;&gt;"Serviço",0,IF(OR(AND(AUTOEVENTO="Manual",$M402=1),$M402&gt;(ROW(PLE.lastrow)-ROW(PLE.firstrow))),0,IF(OFFSET(PLE!$G$14,$M402,AY$13)="",10^12,OFFSET(PLE!$G$14,$M402,AY$13))))</f>
        <v>1000000000000</v>
      </c>
      <c r="AZ402" s="182">
        <f ca="1">IF($D402&lt;&gt;"Serviço",0,IF(OR(AND(AUTOEVENTO="Manual",$M402=1),$M402&gt;(ROW(PLE.lastrow)-ROW(PLE.firstrow))),0,IF(OFFSET(PLE!$G$14,$M402,AZ$13)="",10^12,OFFSET(PLE!$G$14,$M402,AZ$13))))</f>
        <v>1000000000000</v>
      </c>
      <c r="BA402" s="182">
        <f ca="1">IF($D402&lt;&gt;"Serviço",0,IF(OR(AND(AUTOEVENTO="Manual",$M402=1),$M402&gt;(ROW(PLE.lastrow)-ROW(PLE.firstrow))),0,IF(OFFSET(PLE!$G$14,$M402,BA$13)="",10^12,OFFSET(PLE!$G$14,$M402,BA$13))))</f>
        <v>1000000000000</v>
      </c>
      <c r="BB402" s="182">
        <f ca="1">IF($D402&lt;&gt;"Serviço",0,IF(OR(AND(AUTOEVENTO="Manual",$M402=1),$M402&gt;(ROW(PLE.lastrow)-ROW(PLE.firstrow))),0,IF(OFFSET(PLE!$G$14,$M402,BB$13)="",10^12,OFFSET(PLE!$G$14,$M402,BB$13))))</f>
        <v>1000000000000</v>
      </c>
      <c r="BC402" s="182">
        <f ca="1">IF($D402&lt;&gt;"Serviço",0,IF(OR(AND(AUTOEVENTO="Manual",$M402=1),$M402&gt;(ROW(PLE.lastrow)-ROW(PLE.firstrow))),0,IF(OFFSET(PLE!$G$14,$M402,BC$13)="",10^12,OFFSET(PLE!$G$14,$M402,BC$13))))</f>
        <v>1000000000000</v>
      </c>
      <c r="BD402" s="182">
        <f ca="1">IF($D402&lt;&gt;"Serviço",0,IF(OR(AND(AUTOEVENTO="Manual",$M402=1),$M402&gt;(ROW(PLE.lastrow)-ROW(PLE.firstrow))),0,IF(OFFSET(PLE!$G$14,$M402,BD$13)="",10^12,OFFSET(PLE!$G$14,$M402,BD$13))))</f>
        <v>1000000000000</v>
      </c>
      <c r="BE402" s="182">
        <f ca="1">IF($D402&lt;&gt;"Serviço",0,IF(OR(AND(AUTOEVENTO="Manual",$M402=1),$M402&gt;(ROW(PLE.lastrow)-ROW(PLE.firstrow))),0,IF(OFFSET(PLE!$G$14,$M402,BE$13)="",10^12,OFFSET(PLE!$G$14,$M402,BE$13))))</f>
        <v>1000000000000</v>
      </c>
      <c r="BF402" s="182">
        <f ca="1">IF($D402&lt;&gt;"Serviço",0,IF(OR(AND(AUTOEVENTO="Manual",$M402=1),$M402&gt;(ROW(PLE.lastrow)-ROW(PLE.firstrow))),0,IF(OFFSET(PLE!$G$14,$M402,BF$13)="",10^12,OFFSET(PLE!$G$14,$M402,BF$13))))</f>
        <v>1000000000000</v>
      </c>
      <c r="BG402" s="182">
        <f ca="1">IF($D402&lt;&gt;"Serviço",0,IF(OR(AND(AUTOEVENTO="Manual",$M402=1),$M402&gt;(ROW(PLE.lastrow)-ROW(PLE.firstrow))),0,IF(OFFSET(PLE!$G$14,$M402,BG$13)="",10^12,OFFSET(PLE!$G$14,$M402,BG$13))))</f>
        <v>1000000000000</v>
      </c>
    </row>
    <row r="403" spans="1:59" ht="25.5" x14ac:dyDescent="0.2">
      <c r="A403" s="7" t="str">
        <f t="shared" ca="1" si="11"/>
        <v>376</v>
      </c>
      <c r="B403" s="7" t="str">
        <f ca="1">OFFSET(ORÇAMENTO!C$15,ROW(B403)-ROW(B$15),0)</f>
        <v>S</v>
      </c>
      <c r="C403" s="7" t="str">
        <f ca="1">OFFSET(ORÇAMENTO!L$15,ROW(C403)-ROW(C$15),0)</f>
        <v/>
      </c>
      <c r="D403" s="118" t="str">
        <f ca="1">OFFSET(ORÇAMENTO!N$15,ROW(D403)-ROW(D$15),0)</f>
        <v>Serviço</v>
      </c>
      <c r="E403" s="119" t="str">
        <f ca="1">OFFSET(ORÇAMENTO!O$15,ROW(E403)-ROW(E$15),0)</f>
        <v>-</v>
      </c>
      <c r="F403" s="172" t="str">
        <f ca="1">OFFSET(ORÇAMENTO!R$15,ROW(F403)-ROW(F$15),0)</f>
        <v>(abra o arquivo 'Referência 02-2025.xlsm)</v>
      </c>
      <c r="G403" s="173" t="str">
        <f ca="1">IF($D403&lt;&gt;"Serviço","",OFFSET(ORÇAMENTO!S$15,ROW(G403)-ROW(G$15),0))</f>
        <v>-</v>
      </c>
      <c r="H403" s="124">
        <f ca="1">IF($D403&lt;&gt;"Serviço",0,IF(ACOMPANHAMENTO="BM",ROUND(OFFSET(ORÇAMENTO!AJ$15,ROW(H403)-ROW(H$15),0),15-13*ORÇAMENTO!$AF$7),SUMPRODUCT(($Q$12:$AA$12&lt;&gt;"")*ROUND($Q403:$AA403,15-13*ORÇAMENTO!$AF$7))))</f>
        <v>1</v>
      </c>
      <c r="I403" s="561" t="s">
        <v>890</v>
      </c>
      <c r="K403" s="174"/>
      <c r="L403" s="175" t="s">
        <v>255</v>
      </c>
      <c r="M403" s="176">
        <f ca="1">IF($D403&lt;&gt;"Serviço","",IF(AUTOEVENTO="manual",$A403,IF(ISERROR(MATCH($A403,$A$15:OFFSET($A403,-1,0),0)),MAX($M$15:OFFSET(M403,-1,0))+1,INDEX($M$15:OFFSET(M403,-1,0),MATCH($A403,$A$15:OFFSET($A403,-1,0),0)))))</f>
        <v>16</v>
      </c>
      <c r="N403" s="177" t="str">
        <f ca="1">IF($D403&lt;&gt;"Serviço","",IF(AUTOEVENTO="Manual",IF($A403=0,"&lt;-- defina o número do agrupador",OFFSET(EVENTOS!$D$14,$A403,0)),OFFSET($F$15,$A403,0)))</f>
        <v>LOUÇAS, ACESSÓRIOS E METAIS</v>
      </c>
      <c r="O403" s="178"/>
      <c r="Q403" s="178"/>
      <c r="R403" s="179"/>
      <c r="S403" s="179"/>
      <c r="T403" s="179"/>
      <c r="U403" s="179"/>
      <c r="V403" s="179"/>
      <c r="W403" s="179"/>
      <c r="X403" s="179"/>
      <c r="Y403" s="179"/>
      <c r="Z403" s="180"/>
      <c r="AB403" s="544">
        <f ca="1">IF(AND($D403="Serviço",AB$12&lt;&gt;0,$H403&gt;0,OR(AUTOEVENTO&lt;&gt;"manual",$M403&lt;&gt;1)),
IF(Import.TipoArredondamento&lt;&gt;"TransfereGOV",
ROUND(OFFSET($P403,0,AB$13),15-13*ORÇAMENTO!$AF$7)/$H403*OFFSET(ORÇAMENTO!$X$15,ROW(AB403)-ROW(AB$15),0),
ROUND(ROUND(OFFSET($P403,0,AB$13),15-13*ORÇAMENTO!$AF$7)*OFFSET(ORÇAMENTO!$W$15,ROW(AB403)-ROW(AB$15),0),15-13*ORÇAMENTO!$AF$11)),0)</f>
        <v>0</v>
      </c>
      <c r="AC403" s="545">
        <f ca="1">IF(AND($D403="Serviço",AC$12&lt;&gt;0,$H403&gt;0,OR(AUTOEVENTO&lt;&gt;"manual",$M403&lt;&gt;1)),
IF(Import.TipoArredondamento&lt;&gt;"TransfereGOV",
ROUND(OFFSET($P403,0,AC$13),15-13*ORÇAMENTO!$AF$7)/$H403*OFFSET(ORÇAMENTO!$X$15,ROW(AC403)-ROW(AC$15),0),
ROUND(ROUND(OFFSET($P403,0,AC$13),15-13*ORÇAMENTO!$AF$7)*OFFSET(ORÇAMENTO!$W$15,ROW(AC403)-ROW(AC$15),0),15-13*ORÇAMENTO!$AF$11)),0)</f>
        <v>0</v>
      </c>
      <c r="AD403" s="545">
        <f ca="1">IF(AND($D403="Serviço",AD$12&lt;&gt;0,$H403&gt;0,OR(AUTOEVENTO&lt;&gt;"manual",$M403&lt;&gt;1)),
IF(Import.TipoArredondamento&lt;&gt;"TransfereGOV",
ROUND(OFFSET($P403,0,AD$13),15-13*ORÇAMENTO!$AF$7)/$H403*OFFSET(ORÇAMENTO!$X$15,ROW(AD403)-ROW(AD$15),0),
ROUND(ROUND(OFFSET($P403,0,AD$13),15-13*ORÇAMENTO!$AF$7)*OFFSET(ORÇAMENTO!$W$15,ROW(AD403)-ROW(AD$15),0),15-13*ORÇAMENTO!$AF$11)),0)</f>
        <v>0</v>
      </c>
      <c r="AE403" s="545">
        <f ca="1">IF(AND($D403="Serviço",AE$12&lt;&gt;0,$H403&gt;0,OR(AUTOEVENTO&lt;&gt;"manual",$M403&lt;&gt;1)),
IF(Import.TipoArredondamento&lt;&gt;"TransfereGOV",
ROUND(OFFSET($P403,0,AE$13),15-13*ORÇAMENTO!$AF$7)/$H403*OFFSET(ORÇAMENTO!$X$15,ROW(AE403)-ROW(AE$15),0),
ROUND(ROUND(OFFSET($P403,0,AE$13),15-13*ORÇAMENTO!$AF$7)*OFFSET(ORÇAMENTO!$W$15,ROW(AE403)-ROW(AE$15),0),15-13*ORÇAMENTO!$AF$11)),0)</f>
        <v>0</v>
      </c>
      <c r="AF403" s="545">
        <f ca="1">IF(AND($D403="Serviço",AF$12&lt;&gt;0,$H403&gt;0,OR(AUTOEVENTO&lt;&gt;"manual",$M403&lt;&gt;1)),
IF(Import.TipoArredondamento&lt;&gt;"TransfereGOV",
ROUND(OFFSET($P403,0,AF$13),15-13*ORÇAMENTO!$AF$7)/$H403*OFFSET(ORÇAMENTO!$X$15,ROW(AF403)-ROW(AF$15),0),
ROUND(ROUND(OFFSET($P403,0,AF$13),15-13*ORÇAMENTO!$AF$7)*OFFSET(ORÇAMENTO!$W$15,ROW(AF403)-ROW(AF$15),0),15-13*ORÇAMENTO!$AF$11)),0)</f>
        <v>0</v>
      </c>
      <c r="AG403" s="545">
        <f ca="1">IF(AND($D403="Serviço",AG$12&lt;&gt;0,$H403&gt;0,OR(AUTOEVENTO&lt;&gt;"manual",$M403&lt;&gt;1)),
IF(Import.TipoArredondamento&lt;&gt;"TransfereGOV",
ROUND(OFFSET($P403,0,AG$13),15-13*ORÇAMENTO!$AF$7)/$H403*OFFSET(ORÇAMENTO!$X$15,ROW(AG403)-ROW(AG$15),0),
ROUND(ROUND(OFFSET($P403,0,AG$13),15-13*ORÇAMENTO!$AF$7)*OFFSET(ORÇAMENTO!$W$15,ROW(AG403)-ROW(AG$15),0),15-13*ORÇAMENTO!$AF$11)),0)</f>
        <v>0</v>
      </c>
      <c r="AH403" s="545">
        <f ca="1">IF(AND($D403="Serviço",AH$12&lt;&gt;0,$H403&gt;0,OR(AUTOEVENTO&lt;&gt;"manual",$M403&lt;&gt;1)),
IF(Import.TipoArredondamento&lt;&gt;"TransfereGOV",
ROUND(OFFSET($P403,0,AH$13),15-13*ORÇAMENTO!$AF$7)/$H403*OFFSET(ORÇAMENTO!$X$15,ROW(AH403)-ROW(AH$15),0),
ROUND(ROUND(OFFSET($P403,0,AH$13),15-13*ORÇAMENTO!$AF$7)*OFFSET(ORÇAMENTO!$W$15,ROW(AH403)-ROW(AH$15),0),15-13*ORÇAMENTO!$AF$11)),0)</f>
        <v>0</v>
      </c>
      <c r="AI403" s="545">
        <f ca="1">IF(AND($D403="Serviço",AI$12&lt;&gt;0,$H403&gt;0,OR(AUTOEVENTO&lt;&gt;"manual",$M403&lt;&gt;1)),
IF(Import.TipoArredondamento&lt;&gt;"TransfereGOV",
ROUND(OFFSET($P403,0,AI$13),15-13*ORÇAMENTO!$AF$7)/$H403*OFFSET(ORÇAMENTO!$X$15,ROW(AI403)-ROW(AI$15),0),
ROUND(ROUND(OFFSET($P403,0,AI$13),15-13*ORÇAMENTO!$AF$7)*OFFSET(ORÇAMENTO!$W$15,ROW(AI403)-ROW(AI$15),0),15-13*ORÇAMENTO!$AF$11)),0)</f>
        <v>0</v>
      </c>
      <c r="AJ403" s="545">
        <f ca="1">IF(AND($D403="Serviço",AJ$12&lt;&gt;0,$H403&gt;0,OR(AUTOEVENTO&lt;&gt;"manual",$M403&lt;&gt;1)),
IF(Import.TipoArredondamento&lt;&gt;"TransfereGOV",
ROUND(OFFSET($P403,0,AJ$13),15-13*ORÇAMENTO!$AF$7)/$H403*OFFSET(ORÇAMENTO!$X$15,ROW(AJ403)-ROW(AJ$15),0),
ROUND(ROUND(OFFSET($P403,0,AJ$13),15-13*ORÇAMENTO!$AF$7)*OFFSET(ORÇAMENTO!$W$15,ROW(AJ403)-ROW(AJ$15),0),15-13*ORÇAMENTO!$AF$11)),0)</f>
        <v>0</v>
      </c>
      <c r="AK403" s="546">
        <f ca="1">IF(AND($D403="Serviço",AK$12&lt;&gt;0,$H403&gt;0,OR(AUTOEVENTO&lt;&gt;"manual",$M403&lt;&gt;1)),
IF(Import.TipoArredondamento&lt;&gt;"TransfereGOV",
ROUND(OFFSET($P403,0,AK$13),15-13*ORÇAMENTO!$AF$7)/$H403*OFFSET(ORÇAMENTO!$X$15,ROW(AK403)-ROW(AK$15),0),
ROUND(ROUND(OFFSET($P403,0,AK$13),15-13*ORÇAMENTO!$AF$7)*OFFSET(ORÇAMENTO!$W$15,ROW(AK403)-ROW(AK$15),0),15-13*ORÇAMENTO!$AF$11)),0)</f>
        <v>0</v>
      </c>
      <c r="AM403" s="181">
        <f ca="1">IF($D403&lt;&gt;"Serviço",0,IF(AND(AUTOEVENTO="Manual",$M403=1),0,IF(OFFSET(CRONOPLE!$F$14,$M403,AM$13)="",10^12,OFFSET(CRONOPLE!$F$14,$M403,AM$13))))</f>
        <v>1000000000000</v>
      </c>
      <c r="AN403" s="181">
        <f ca="1">IF($D403&lt;&gt;"Serviço",0,IF(AND(AUTOEVENTO="Manual",$M403=1),0,IF(OFFSET(CRONOPLE!$F$14,$M403,AN$13)="",10^12,OFFSET(CRONOPLE!$F$14,$M403,AN$13))))</f>
        <v>1000000000000</v>
      </c>
      <c r="AO403" s="181">
        <f ca="1">IF($D403&lt;&gt;"Serviço",0,IF(AND(AUTOEVENTO="Manual",$M403=1),0,IF(OFFSET(CRONOPLE!$F$14,$M403,AO$13)="",10^12,OFFSET(CRONOPLE!$F$14,$M403,AO$13))))</f>
        <v>1000000000000</v>
      </c>
      <c r="AP403" s="181">
        <f ca="1">IF($D403&lt;&gt;"Serviço",0,IF(AND(AUTOEVENTO="Manual",$M403=1),0,IF(OFFSET(CRONOPLE!$F$14,$M403,AP$13)="",10^12,OFFSET(CRONOPLE!$F$14,$M403,AP$13))))</f>
        <v>1000000000000</v>
      </c>
      <c r="AQ403" s="181">
        <f ca="1">IF($D403&lt;&gt;"Serviço",0,IF(AND(AUTOEVENTO="Manual",$M403=1),0,IF(OFFSET(CRONOPLE!$F$14,$M403,AQ$13)="",10^12,OFFSET(CRONOPLE!$F$14,$M403,AQ$13))))</f>
        <v>1000000000000</v>
      </c>
      <c r="AR403" s="181">
        <f ca="1">IF($D403&lt;&gt;"Serviço",0,IF(AND(AUTOEVENTO="Manual",$M403=1),0,IF(OFFSET(CRONOPLE!$F$14,$M403,AR$13)="",10^12,OFFSET(CRONOPLE!$F$14,$M403,AR$13))))</f>
        <v>1000000000000</v>
      </c>
      <c r="AS403" s="181">
        <f ca="1">IF($D403&lt;&gt;"Serviço",0,IF(AND(AUTOEVENTO="Manual",$M403=1),0,IF(OFFSET(CRONOPLE!$F$14,$M403,AS$13)="",10^12,OFFSET(CRONOPLE!$F$14,$M403,AS$13))))</f>
        <v>1000000000000</v>
      </c>
      <c r="AT403" s="181">
        <f ca="1">IF($D403&lt;&gt;"Serviço",0,IF(AND(AUTOEVENTO="Manual",$M403=1),0,IF(OFFSET(CRONOPLE!$F$14,$M403,AT$13)="",10^12,OFFSET(CRONOPLE!$F$14,$M403,AT$13))))</f>
        <v>1000000000000</v>
      </c>
      <c r="AU403" s="181">
        <f ca="1">IF($D403&lt;&gt;"Serviço",0,IF(AND(AUTOEVENTO="Manual",$M403=1),0,IF(OFFSET(CRONOPLE!$F$14,$M403,AU$13)="",10^12,OFFSET(CRONOPLE!$F$14,$M403,AU$13))))</f>
        <v>1000000000000</v>
      </c>
      <c r="AV403" s="181">
        <f ca="1">IF($D403&lt;&gt;"Serviço",0,IF(AND(AUTOEVENTO="Manual",$M403=1),0,IF(OFFSET(CRONOPLE!$F$14,$M403,AV$13)="",10^12,OFFSET(CRONOPLE!$F$14,$M403,AV$13))))</f>
        <v>1000000000000</v>
      </c>
      <c r="AX403" s="182">
        <f ca="1">IF($D403&lt;&gt;"Serviço",0,IF(OR(AND(AUTOEVENTO="Manual",$M403=1),$M403&gt;(ROW(PLE.lastrow)-ROW(PLE.firstrow))),0,IF(OFFSET(PLE!$G$14,$M403,AX$13)="",10^12,OFFSET(PLE!$G$14,$M403,AX$13))))</f>
        <v>1000000000000</v>
      </c>
      <c r="AY403" s="182">
        <f ca="1">IF($D403&lt;&gt;"Serviço",0,IF(OR(AND(AUTOEVENTO="Manual",$M403=1),$M403&gt;(ROW(PLE.lastrow)-ROW(PLE.firstrow))),0,IF(OFFSET(PLE!$G$14,$M403,AY$13)="",10^12,OFFSET(PLE!$G$14,$M403,AY$13))))</f>
        <v>1000000000000</v>
      </c>
      <c r="AZ403" s="182">
        <f ca="1">IF($D403&lt;&gt;"Serviço",0,IF(OR(AND(AUTOEVENTO="Manual",$M403=1),$M403&gt;(ROW(PLE.lastrow)-ROW(PLE.firstrow))),0,IF(OFFSET(PLE!$G$14,$M403,AZ$13)="",10^12,OFFSET(PLE!$G$14,$M403,AZ$13))))</f>
        <v>1000000000000</v>
      </c>
      <c r="BA403" s="182">
        <f ca="1">IF($D403&lt;&gt;"Serviço",0,IF(OR(AND(AUTOEVENTO="Manual",$M403=1),$M403&gt;(ROW(PLE.lastrow)-ROW(PLE.firstrow))),0,IF(OFFSET(PLE!$G$14,$M403,BA$13)="",10^12,OFFSET(PLE!$G$14,$M403,BA$13))))</f>
        <v>1000000000000</v>
      </c>
      <c r="BB403" s="182">
        <f ca="1">IF($D403&lt;&gt;"Serviço",0,IF(OR(AND(AUTOEVENTO="Manual",$M403=1),$M403&gt;(ROW(PLE.lastrow)-ROW(PLE.firstrow))),0,IF(OFFSET(PLE!$G$14,$M403,BB$13)="",10^12,OFFSET(PLE!$G$14,$M403,BB$13))))</f>
        <v>1000000000000</v>
      </c>
      <c r="BC403" s="182">
        <f ca="1">IF($D403&lt;&gt;"Serviço",0,IF(OR(AND(AUTOEVENTO="Manual",$M403=1),$M403&gt;(ROW(PLE.lastrow)-ROW(PLE.firstrow))),0,IF(OFFSET(PLE!$G$14,$M403,BC$13)="",10^12,OFFSET(PLE!$G$14,$M403,BC$13))))</f>
        <v>1000000000000</v>
      </c>
      <c r="BD403" s="182">
        <f ca="1">IF($D403&lt;&gt;"Serviço",0,IF(OR(AND(AUTOEVENTO="Manual",$M403=1),$M403&gt;(ROW(PLE.lastrow)-ROW(PLE.firstrow))),0,IF(OFFSET(PLE!$G$14,$M403,BD$13)="",10^12,OFFSET(PLE!$G$14,$M403,BD$13))))</f>
        <v>1000000000000</v>
      </c>
      <c r="BE403" s="182">
        <f ca="1">IF($D403&lt;&gt;"Serviço",0,IF(OR(AND(AUTOEVENTO="Manual",$M403=1),$M403&gt;(ROW(PLE.lastrow)-ROW(PLE.firstrow))),0,IF(OFFSET(PLE!$G$14,$M403,BE$13)="",10^12,OFFSET(PLE!$G$14,$M403,BE$13))))</f>
        <v>1000000000000</v>
      </c>
      <c r="BF403" s="182">
        <f ca="1">IF($D403&lt;&gt;"Serviço",0,IF(OR(AND(AUTOEVENTO="Manual",$M403=1),$M403&gt;(ROW(PLE.lastrow)-ROW(PLE.firstrow))),0,IF(OFFSET(PLE!$G$14,$M403,BF$13)="",10^12,OFFSET(PLE!$G$14,$M403,BF$13))))</f>
        <v>1000000000000</v>
      </c>
      <c r="BG403" s="182">
        <f ca="1">IF($D403&lt;&gt;"Serviço",0,IF(OR(AND(AUTOEVENTO="Manual",$M403=1),$M403&gt;(ROW(PLE.lastrow)-ROW(PLE.firstrow))),0,IF(OFFSET(PLE!$G$14,$M403,BG$13)="",10^12,OFFSET(PLE!$G$14,$M403,BG$13))))</f>
        <v>1000000000000</v>
      </c>
    </row>
    <row r="404" spans="1:59" ht="38.25" x14ac:dyDescent="0.2">
      <c r="A404" s="7" t="str">
        <f t="shared" ca="1" si="11"/>
        <v>376</v>
      </c>
      <c r="B404" s="7" t="str">
        <f ca="1">OFFSET(ORÇAMENTO!C$15,ROW(B404)-ROW(B$15),0)</f>
        <v>S</v>
      </c>
      <c r="C404" s="7" t="str">
        <f ca="1">OFFSET(ORÇAMENTO!L$15,ROW(C404)-ROW(C$15),0)</f>
        <v/>
      </c>
      <c r="D404" s="118" t="str">
        <f ca="1">OFFSET(ORÇAMENTO!N$15,ROW(D404)-ROW(D$15),0)</f>
        <v>Serviço</v>
      </c>
      <c r="E404" s="119" t="str">
        <f ca="1">OFFSET(ORÇAMENTO!O$15,ROW(E404)-ROW(E$15),0)</f>
        <v>-</v>
      </c>
      <c r="F404" s="172" t="str">
        <f ca="1">OFFSET(ORÇAMENTO!R$15,ROW(F404)-ROW(F$15),0)</f>
        <v>(abra o arquivo 'Referência 02-2025.xlsm)</v>
      </c>
      <c r="G404" s="173" t="str">
        <f ca="1">IF($D404&lt;&gt;"Serviço","",OFFSET(ORÇAMENTO!S$15,ROW(G404)-ROW(G$15),0))</f>
        <v>-</v>
      </c>
      <c r="H404" s="124">
        <f ca="1">IF($D404&lt;&gt;"Serviço",0,IF(ACOMPANHAMENTO="BM",ROUND(OFFSET(ORÇAMENTO!AJ$15,ROW(H404)-ROW(H$15),0),15-13*ORÇAMENTO!$AF$7),SUMPRODUCT(($Q$12:$AA$12&lt;&gt;"")*ROUND($Q404:$AA404,15-13*ORÇAMENTO!$AF$7))))</f>
        <v>42</v>
      </c>
      <c r="I404" s="561" t="s">
        <v>890</v>
      </c>
      <c r="K404" s="174"/>
      <c r="L404" s="175" t="s">
        <v>255</v>
      </c>
      <c r="M404" s="176">
        <f ca="1">IF($D404&lt;&gt;"Serviço","",IF(AUTOEVENTO="manual",$A404,IF(ISERROR(MATCH($A404,$A$15:OFFSET($A404,-1,0),0)),MAX($M$15:OFFSET(M404,-1,0))+1,INDEX($M$15:OFFSET(M404,-1,0),MATCH($A404,$A$15:OFFSET($A404,-1,0),0)))))</f>
        <v>16</v>
      </c>
      <c r="N404" s="177" t="str">
        <f ca="1">IF($D404&lt;&gt;"Serviço","",IF(AUTOEVENTO="Manual",IF($A404=0,"&lt;-- defina o número do agrupador",OFFSET(EVENTOS!$D$14,$A404,0)),OFFSET($F$15,$A404,0)))</f>
        <v>LOUÇAS, ACESSÓRIOS E METAIS</v>
      </c>
      <c r="O404" s="178"/>
      <c r="Q404" s="178"/>
      <c r="R404" s="179"/>
      <c r="S404" s="179"/>
      <c r="T404" s="179"/>
      <c r="U404" s="179"/>
      <c r="V404" s="179"/>
      <c r="W404" s="179"/>
      <c r="X404" s="179"/>
      <c r="Y404" s="179"/>
      <c r="Z404" s="180"/>
      <c r="AB404" s="544">
        <f ca="1">IF(AND($D404="Serviço",AB$12&lt;&gt;0,$H404&gt;0,OR(AUTOEVENTO&lt;&gt;"manual",$M404&lt;&gt;1)),
IF(Import.TipoArredondamento&lt;&gt;"TransfereGOV",
ROUND(OFFSET($P404,0,AB$13),15-13*ORÇAMENTO!$AF$7)/$H404*OFFSET(ORÇAMENTO!$X$15,ROW(AB404)-ROW(AB$15),0),
ROUND(ROUND(OFFSET($P404,0,AB$13),15-13*ORÇAMENTO!$AF$7)*OFFSET(ORÇAMENTO!$W$15,ROW(AB404)-ROW(AB$15),0),15-13*ORÇAMENTO!$AF$11)),0)</f>
        <v>0</v>
      </c>
      <c r="AC404" s="545">
        <f ca="1">IF(AND($D404="Serviço",AC$12&lt;&gt;0,$H404&gt;0,OR(AUTOEVENTO&lt;&gt;"manual",$M404&lt;&gt;1)),
IF(Import.TipoArredondamento&lt;&gt;"TransfereGOV",
ROUND(OFFSET($P404,0,AC$13),15-13*ORÇAMENTO!$AF$7)/$H404*OFFSET(ORÇAMENTO!$X$15,ROW(AC404)-ROW(AC$15),0),
ROUND(ROUND(OFFSET($P404,0,AC$13),15-13*ORÇAMENTO!$AF$7)*OFFSET(ORÇAMENTO!$W$15,ROW(AC404)-ROW(AC$15),0),15-13*ORÇAMENTO!$AF$11)),0)</f>
        <v>0</v>
      </c>
      <c r="AD404" s="545">
        <f ca="1">IF(AND($D404="Serviço",AD$12&lt;&gt;0,$H404&gt;0,OR(AUTOEVENTO&lt;&gt;"manual",$M404&lt;&gt;1)),
IF(Import.TipoArredondamento&lt;&gt;"TransfereGOV",
ROUND(OFFSET($P404,0,AD$13),15-13*ORÇAMENTO!$AF$7)/$H404*OFFSET(ORÇAMENTO!$X$15,ROW(AD404)-ROW(AD$15),0),
ROUND(ROUND(OFFSET($P404,0,AD$13),15-13*ORÇAMENTO!$AF$7)*OFFSET(ORÇAMENTO!$W$15,ROW(AD404)-ROW(AD$15),0),15-13*ORÇAMENTO!$AF$11)),0)</f>
        <v>0</v>
      </c>
      <c r="AE404" s="545">
        <f ca="1">IF(AND($D404="Serviço",AE$12&lt;&gt;0,$H404&gt;0,OR(AUTOEVENTO&lt;&gt;"manual",$M404&lt;&gt;1)),
IF(Import.TipoArredondamento&lt;&gt;"TransfereGOV",
ROUND(OFFSET($P404,0,AE$13),15-13*ORÇAMENTO!$AF$7)/$H404*OFFSET(ORÇAMENTO!$X$15,ROW(AE404)-ROW(AE$15),0),
ROUND(ROUND(OFFSET($P404,0,AE$13),15-13*ORÇAMENTO!$AF$7)*OFFSET(ORÇAMENTO!$W$15,ROW(AE404)-ROW(AE$15),0),15-13*ORÇAMENTO!$AF$11)),0)</f>
        <v>0</v>
      </c>
      <c r="AF404" s="545">
        <f ca="1">IF(AND($D404="Serviço",AF$12&lt;&gt;0,$H404&gt;0,OR(AUTOEVENTO&lt;&gt;"manual",$M404&lt;&gt;1)),
IF(Import.TipoArredondamento&lt;&gt;"TransfereGOV",
ROUND(OFFSET($P404,0,AF$13),15-13*ORÇAMENTO!$AF$7)/$H404*OFFSET(ORÇAMENTO!$X$15,ROW(AF404)-ROW(AF$15),0),
ROUND(ROUND(OFFSET($P404,0,AF$13),15-13*ORÇAMENTO!$AF$7)*OFFSET(ORÇAMENTO!$W$15,ROW(AF404)-ROW(AF$15),0),15-13*ORÇAMENTO!$AF$11)),0)</f>
        <v>0</v>
      </c>
      <c r="AG404" s="545">
        <f ca="1">IF(AND($D404="Serviço",AG$12&lt;&gt;0,$H404&gt;0,OR(AUTOEVENTO&lt;&gt;"manual",$M404&lt;&gt;1)),
IF(Import.TipoArredondamento&lt;&gt;"TransfereGOV",
ROUND(OFFSET($P404,0,AG$13),15-13*ORÇAMENTO!$AF$7)/$H404*OFFSET(ORÇAMENTO!$X$15,ROW(AG404)-ROW(AG$15),0),
ROUND(ROUND(OFFSET($P404,0,AG$13),15-13*ORÇAMENTO!$AF$7)*OFFSET(ORÇAMENTO!$W$15,ROW(AG404)-ROW(AG$15),0),15-13*ORÇAMENTO!$AF$11)),0)</f>
        <v>0</v>
      </c>
      <c r="AH404" s="545">
        <f ca="1">IF(AND($D404="Serviço",AH$12&lt;&gt;0,$H404&gt;0,OR(AUTOEVENTO&lt;&gt;"manual",$M404&lt;&gt;1)),
IF(Import.TipoArredondamento&lt;&gt;"TransfereGOV",
ROUND(OFFSET($P404,0,AH$13),15-13*ORÇAMENTO!$AF$7)/$H404*OFFSET(ORÇAMENTO!$X$15,ROW(AH404)-ROW(AH$15),0),
ROUND(ROUND(OFFSET($P404,0,AH$13),15-13*ORÇAMENTO!$AF$7)*OFFSET(ORÇAMENTO!$W$15,ROW(AH404)-ROW(AH$15),0),15-13*ORÇAMENTO!$AF$11)),0)</f>
        <v>0</v>
      </c>
      <c r="AI404" s="545">
        <f ca="1">IF(AND($D404="Serviço",AI$12&lt;&gt;0,$H404&gt;0,OR(AUTOEVENTO&lt;&gt;"manual",$M404&lt;&gt;1)),
IF(Import.TipoArredondamento&lt;&gt;"TransfereGOV",
ROUND(OFFSET($P404,0,AI$13),15-13*ORÇAMENTO!$AF$7)/$H404*OFFSET(ORÇAMENTO!$X$15,ROW(AI404)-ROW(AI$15),0),
ROUND(ROUND(OFFSET($P404,0,AI$13),15-13*ORÇAMENTO!$AF$7)*OFFSET(ORÇAMENTO!$W$15,ROW(AI404)-ROW(AI$15),0),15-13*ORÇAMENTO!$AF$11)),0)</f>
        <v>0</v>
      </c>
      <c r="AJ404" s="545">
        <f ca="1">IF(AND($D404="Serviço",AJ$12&lt;&gt;0,$H404&gt;0,OR(AUTOEVENTO&lt;&gt;"manual",$M404&lt;&gt;1)),
IF(Import.TipoArredondamento&lt;&gt;"TransfereGOV",
ROUND(OFFSET($P404,0,AJ$13),15-13*ORÇAMENTO!$AF$7)/$H404*OFFSET(ORÇAMENTO!$X$15,ROW(AJ404)-ROW(AJ$15),0),
ROUND(ROUND(OFFSET($P404,0,AJ$13),15-13*ORÇAMENTO!$AF$7)*OFFSET(ORÇAMENTO!$W$15,ROW(AJ404)-ROW(AJ$15),0),15-13*ORÇAMENTO!$AF$11)),0)</f>
        <v>0</v>
      </c>
      <c r="AK404" s="546">
        <f ca="1">IF(AND($D404="Serviço",AK$12&lt;&gt;0,$H404&gt;0,OR(AUTOEVENTO&lt;&gt;"manual",$M404&lt;&gt;1)),
IF(Import.TipoArredondamento&lt;&gt;"TransfereGOV",
ROUND(OFFSET($P404,0,AK$13),15-13*ORÇAMENTO!$AF$7)/$H404*OFFSET(ORÇAMENTO!$X$15,ROW(AK404)-ROW(AK$15),0),
ROUND(ROUND(OFFSET($P404,0,AK$13),15-13*ORÇAMENTO!$AF$7)*OFFSET(ORÇAMENTO!$W$15,ROW(AK404)-ROW(AK$15),0),15-13*ORÇAMENTO!$AF$11)),0)</f>
        <v>0</v>
      </c>
      <c r="AM404" s="181">
        <f ca="1">IF($D404&lt;&gt;"Serviço",0,IF(AND(AUTOEVENTO="Manual",$M404=1),0,IF(OFFSET(CRONOPLE!$F$14,$M404,AM$13)="",10^12,OFFSET(CRONOPLE!$F$14,$M404,AM$13))))</f>
        <v>1000000000000</v>
      </c>
      <c r="AN404" s="181">
        <f ca="1">IF($D404&lt;&gt;"Serviço",0,IF(AND(AUTOEVENTO="Manual",$M404=1),0,IF(OFFSET(CRONOPLE!$F$14,$M404,AN$13)="",10^12,OFFSET(CRONOPLE!$F$14,$M404,AN$13))))</f>
        <v>1000000000000</v>
      </c>
      <c r="AO404" s="181">
        <f ca="1">IF($D404&lt;&gt;"Serviço",0,IF(AND(AUTOEVENTO="Manual",$M404=1),0,IF(OFFSET(CRONOPLE!$F$14,$M404,AO$13)="",10^12,OFFSET(CRONOPLE!$F$14,$M404,AO$13))))</f>
        <v>1000000000000</v>
      </c>
      <c r="AP404" s="181">
        <f ca="1">IF($D404&lt;&gt;"Serviço",0,IF(AND(AUTOEVENTO="Manual",$M404=1),0,IF(OFFSET(CRONOPLE!$F$14,$M404,AP$13)="",10^12,OFFSET(CRONOPLE!$F$14,$M404,AP$13))))</f>
        <v>1000000000000</v>
      </c>
      <c r="AQ404" s="181">
        <f ca="1">IF($D404&lt;&gt;"Serviço",0,IF(AND(AUTOEVENTO="Manual",$M404=1),0,IF(OFFSET(CRONOPLE!$F$14,$M404,AQ$13)="",10^12,OFFSET(CRONOPLE!$F$14,$M404,AQ$13))))</f>
        <v>1000000000000</v>
      </c>
      <c r="AR404" s="181">
        <f ca="1">IF($D404&lt;&gt;"Serviço",0,IF(AND(AUTOEVENTO="Manual",$M404=1),0,IF(OFFSET(CRONOPLE!$F$14,$M404,AR$13)="",10^12,OFFSET(CRONOPLE!$F$14,$M404,AR$13))))</f>
        <v>1000000000000</v>
      </c>
      <c r="AS404" s="181">
        <f ca="1">IF($D404&lt;&gt;"Serviço",0,IF(AND(AUTOEVENTO="Manual",$M404=1),0,IF(OFFSET(CRONOPLE!$F$14,$M404,AS$13)="",10^12,OFFSET(CRONOPLE!$F$14,$M404,AS$13))))</f>
        <v>1000000000000</v>
      </c>
      <c r="AT404" s="181">
        <f ca="1">IF($D404&lt;&gt;"Serviço",0,IF(AND(AUTOEVENTO="Manual",$M404=1),0,IF(OFFSET(CRONOPLE!$F$14,$M404,AT$13)="",10^12,OFFSET(CRONOPLE!$F$14,$M404,AT$13))))</f>
        <v>1000000000000</v>
      </c>
      <c r="AU404" s="181">
        <f ca="1">IF($D404&lt;&gt;"Serviço",0,IF(AND(AUTOEVENTO="Manual",$M404=1),0,IF(OFFSET(CRONOPLE!$F$14,$M404,AU$13)="",10^12,OFFSET(CRONOPLE!$F$14,$M404,AU$13))))</f>
        <v>1000000000000</v>
      </c>
      <c r="AV404" s="181">
        <f ca="1">IF($D404&lt;&gt;"Serviço",0,IF(AND(AUTOEVENTO="Manual",$M404=1),0,IF(OFFSET(CRONOPLE!$F$14,$M404,AV$13)="",10^12,OFFSET(CRONOPLE!$F$14,$M404,AV$13))))</f>
        <v>1000000000000</v>
      </c>
      <c r="AX404" s="182">
        <f ca="1">IF($D404&lt;&gt;"Serviço",0,IF(OR(AND(AUTOEVENTO="Manual",$M404=1),$M404&gt;(ROW(PLE.lastrow)-ROW(PLE.firstrow))),0,IF(OFFSET(PLE!$G$14,$M404,AX$13)="",10^12,OFFSET(PLE!$G$14,$M404,AX$13))))</f>
        <v>1000000000000</v>
      </c>
      <c r="AY404" s="182">
        <f ca="1">IF($D404&lt;&gt;"Serviço",0,IF(OR(AND(AUTOEVENTO="Manual",$M404=1),$M404&gt;(ROW(PLE.lastrow)-ROW(PLE.firstrow))),0,IF(OFFSET(PLE!$G$14,$M404,AY$13)="",10^12,OFFSET(PLE!$G$14,$M404,AY$13))))</f>
        <v>1000000000000</v>
      </c>
      <c r="AZ404" s="182">
        <f ca="1">IF($D404&lt;&gt;"Serviço",0,IF(OR(AND(AUTOEVENTO="Manual",$M404=1),$M404&gt;(ROW(PLE.lastrow)-ROW(PLE.firstrow))),0,IF(OFFSET(PLE!$G$14,$M404,AZ$13)="",10^12,OFFSET(PLE!$G$14,$M404,AZ$13))))</f>
        <v>1000000000000</v>
      </c>
      <c r="BA404" s="182">
        <f ca="1">IF($D404&lt;&gt;"Serviço",0,IF(OR(AND(AUTOEVENTO="Manual",$M404=1),$M404&gt;(ROW(PLE.lastrow)-ROW(PLE.firstrow))),0,IF(OFFSET(PLE!$G$14,$M404,BA$13)="",10^12,OFFSET(PLE!$G$14,$M404,BA$13))))</f>
        <v>1000000000000</v>
      </c>
      <c r="BB404" s="182">
        <f ca="1">IF($D404&lt;&gt;"Serviço",0,IF(OR(AND(AUTOEVENTO="Manual",$M404=1),$M404&gt;(ROW(PLE.lastrow)-ROW(PLE.firstrow))),0,IF(OFFSET(PLE!$G$14,$M404,BB$13)="",10^12,OFFSET(PLE!$G$14,$M404,BB$13))))</f>
        <v>1000000000000</v>
      </c>
      <c r="BC404" s="182">
        <f ca="1">IF($D404&lt;&gt;"Serviço",0,IF(OR(AND(AUTOEVENTO="Manual",$M404=1),$M404&gt;(ROW(PLE.lastrow)-ROW(PLE.firstrow))),0,IF(OFFSET(PLE!$G$14,$M404,BC$13)="",10^12,OFFSET(PLE!$G$14,$M404,BC$13))))</f>
        <v>1000000000000</v>
      </c>
      <c r="BD404" s="182">
        <f ca="1">IF($D404&lt;&gt;"Serviço",0,IF(OR(AND(AUTOEVENTO="Manual",$M404=1),$M404&gt;(ROW(PLE.lastrow)-ROW(PLE.firstrow))),0,IF(OFFSET(PLE!$G$14,$M404,BD$13)="",10^12,OFFSET(PLE!$G$14,$M404,BD$13))))</f>
        <v>1000000000000</v>
      </c>
      <c r="BE404" s="182">
        <f ca="1">IF($D404&lt;&gt;"Serviço",0,IF(OR(AND(AUTOEVENTO="Manual",$M404=1),$M404&gt;(ROW(PLE.lastrow)-ROW(PLE.firstrow))),0,IF(OFFSET(PLE!$G$14,$M404,BE$13)="",10^12,OFFSET(PLE!$G$14,$M404,BE$13))))</f>
        <v>1000000000000</v>
      </c>
      <c r="BF404" s="182">
        <f ca="1">IF($D404&lt;&gt;"Serviço",0,IF(OR(AND(AUTOEVENTO="Manual",$M404=1),$M404&gt;(ROW(PLE.lastrow)-ROW(PLE.firstrow))),0,IF(OFFSET(PLE!$G$14,$M404,BF$13)="",10^12,OFFSET(PLE!$G$14,$M404,BF$13))))</f>
        <v>1000000000000</v>
      </c>
      <c r="BG404" s="182">
        <f ca="1">IF($D404&lt;&gt;"Serviço",0,IF(OR(AND(AUTOEVENTO="Manual",$M404=1),$M404&gt;(ROW(PLE.lastrow)-ROW(PLE.firstrow))),0,IF(OFFSET(PLE!$G$14,$M404,BG$13)="",10^12,OFFSET(PLE!$G$14,$M404,BG$13))))</f>
        <v>1000000000000</v>
      </c>
    </row>
    <row r="405" spans="1:59" ht="25.5" x14ac:dyDescent="0.2">
      <c r="A405" s="7" t="str">
        <f t="shared" ca="1" si="11"/>
        <v>376</v>
      </c>
      <c r="B405" s="7" t="str">
        <f ca="1">OFFSET(ORÇAMENTO!C$15,ROW(B405)-ROW(B$15),0)</f>
        <v>S</v>
      </c>
      <c r="C405" s="7" t="str">
        <f ca="1">OFFSET(ORÇAMENTO!L$15,ROW(C405)-ROW(C$15),0)</f>
        <v/>
      </c>
      <c r="D405" s="118" t="str">
        <f ca="1">OFFSET(ORÇAMENTO!N$15,ROW(D405)-ROW(D$15),0)</f>
        <v>Serviço</v>
      </c>
      <c r="E405" s="119" t="str">
        <f ca="1">OFFSET(ORÇAMENTO!O$15,ROW(E405)-ROW(E$15),0)</f>
        <v>-</v>
      </c>
      <c r="F405" s="172" t="str">
        <f ca="1">OFFSET(ORÇAMENTO!R$15,ROW(F405)-ROW(F$15),0)</f>
        <v>(abra o arquivo 'Referência 02-2025.xlsm)</v>
      </c>
      <c r="G405" s="173" t="str">
        <f ca="1">IF($D405&lt;&gt;"Serviço","",OFFSET(ORÇAMENTO!S$15,ROW(G405)-ROW(G$15),0))</f>
        <v>-</v>
      </c>
      <c r="H405" s="124">
        <f ca="1">IF($D405&lt;&gt;"Serviço",0,IF(ACOMPANHAMENTO="BM",ROUND(OFFSET(ORÇAMENTO!AJ$15,ROW(H405)-ROW(H$15),0),15-13*ORÇAMENTO!$AF$7),SUMPRODUCT(($Q$12:$AA$12&lt;&gt;"")*ROUND($Q405:$AA405,15-13*ORÇAMENTO!$AF$7))))</f>
        <v>18</v>
      </c>
      <c r="I405" s="561" t="s">
        <v>890</v>
      </c>
      <c r="K405" s="174"/>
      <c r="L405" s="175" t="s">
        <v>255</v>
      </c>
      <c r="M405" s="176">
        <f ca="1">IF($D405&lt;&gt;"Serviço","",IF(AUTOEVENTO="manual",$A405,IF(ISERROR(MATCH($A405,$A$15:OFFSET($A405,-1,0),0)),MAX($M$15:OFFSET(M405,-1,0))+1,INDEX($M$15:OFFSET(M405,-1,0),MATCH($A405,$A$15:OFFSET($A405,-1,0),0)))))</f>
        <v>16</v>
      </c>
      <c r="N405" s="177" t="str">
        <f ca="1">IF($D405&lt;&gt;"Serviço","",IF(AUTOEVENTO="Manual",IF($A405=0,"&lt;-- defina o número do agrupador",OFFSET(EVENTOS!$D$14,$A405,0)),OFFSET($F$15,$A405,0)))</f>
        <v>LOUÇAS, ACESSÓRIOS E METAIS</v>
      </c>
      <c r="O405" s="178"/>
      <c r="Q405" s="178"/>
      <c r="R405" s="179"/>
      <c r="S405" s="179"/>
      <c r="T405" s="179"/>
      <c r="U405" s="179"/>
      <c r="V405" s="179"/>
      <c r="W405" s="179"/>
      <c r="X405" s="179"/>
      <c r="Y405" s="179"/>
      <c r="Z405" s="180"/>
      <c r="AB405" s="544">
        <f ca="1">IF(AND($D405="Serviço",AB$12&lt;&gt;0,$H405&gt;0,OR(AUTOEVENTO&lt;&gt;"manual",$M405&lt;&gt;1)),
IF(Import.TipoArredondamento&lt;&gt;"TransfereGOV",
ROUND(OFFSET($P405,0,AB$13),15-13*ORÇAMENTO!$AF$7)/$H405*OFFSET(ORÇAMENTO!$X$15,ROW(AB405)-ROW(AB$15),0),
ROUND(ROUND(OFFSET($P405,0,AB$13),15-13*ORÇAMENTO!$AF$7)*OFFSET(ORÇAMENTO!$W$15,ROW(AB405)-ROW(AB$15),0),15-13*ORÇAMENTO!$AF$11)),0)</f>
        <v>0</v>
      </c>
      <c r="AC405" s="545">
        <f ca="1">IF(AND($D405="Serviço",AC$12&lt;&gt;0,$H405&gt;0,OR(AUTOEVENTO&lt;&gt;"manual",$M405&lt;&gt;1)),
IF(Import.TipoArredondamento&lt;&gt;"TransfereGOV",
ROUND(OFFSET($P405,0,AC$13),15-13*ORÇAMENTO!$AF$7)/$H405*OFFSET(ORÇAMENTO!$X$15,ROW(AC405)-ROW(AC$15),0),
ROUND(ROUND(OFFSET($P405,0,AC$13),15-13*ORÇAMENTO!$AF$7)*OFFSET(ORÇAMENTO!$W$15,ROW(AC405)-ROW(AC$15),0),15-13*ORÇAMENTO!$AF$11)),0)</f>
        <v>0</v>
      </c>
      <c r="AD405" s="545">
        <f ca="1">IF(AND($D405="Serviço",AD$12&lt;&gt;0,$H405&gt;0,OR(AUTOEVENTO&lt;&gt;"manual",$M405&lt;&gt;1)),
IF(Import.TipoArredondamento&lt;&gt;"TransfereGOV",
ROUND(OFFSET($P405,0,AD$13),15-13*ORÇAMENTO!$AF$7)/$H405*OFFSET(ORÇAMENTO!$X$15,ROW(AD405)-ROW(AD$15),0),
ROUND(ROUND(OFFSET($P405,0,AD$13),15-13*ORÇAMENTO!$AF$7)*OFFSET(ORÇAMENTO!$W$15,ROW(AD405)-ROW(AD$15),0),15-13*ORÇAMENTO!$AF$11)),0)</f>
        <v>0</v>
      </c>
      <c r="AE405" s="545">
        <f ca="1">IF(AND($D405="Serviço",AE$12&lt;&gt;0,$H405&gt;0,OR(AUTOEVENTO&lt;&gt;"manual",$M405&lt;&gt;1)),
IF(Import.TipoArredondamento&lt;&gt;"TransfereGOV",
ROUND(OFFSET($P405,0,AE$13),15-13*ORÇAMENTO!$AF$7)/$H405*OFFSET(ORÇAMENTO!$X$15,ROW(AE405)-ROW(AE$15),0),
ROUND(ROUND(OFFSET($P405,0,AE$13),15-13*ORÇAMENTO!$AF$7)*OFFSET(ORÇAMENTO!$W$15,ROW(AE405)-ROW(AE$15),0),15-13*ORÇAMENTO!$AF$11)),0)</f>
        <v>0</v>
      </c>
      <c r="AF405" s="545">
        <f ca="1">IF(AND($D405="Serviço",AF$12&lt;&gt;0,$H405&gt;0,OR(AUTOEVENTO&lt;&gt;"manual",$M405&lt;&gt;1)),
IF(Import.TipoArredondamento&lt;&gt;"TransfereGOV",
ROUND(OFFSET($P405,0,AF$13),15-13*ORÇAMENTO!$AF$7)/$H405*OFFSET(ORÇAMENTO!$X$15,ROW(AF405)-ROW(AF$15),0),
ROUND(ROUND(OFFSET($P405,0,AF$13),15-13*ORÇAMENTO!$AF$7)*OFFSET(ORÇAMENTO!$W$15,ROW(AF405)-ROW(AF$15),0),15-13*ORÇAMENTO!$AF$11)),0)</f>
        <v>0</v>
      </c>
      <c r="AG405" s="545">
        <f ca="1">IF(AND($D405="Serviço",AG$12&lt;&gt;0,$H405&gt;0,OR(AUTOEVENTO&lt;&gt;"manual",$M405&lt;&gt;1)),
IF(Import.TipoArredondamento&lt;&gt;"TransfereGOV",
ROUND(OFFSET($P405,0,AG$13),15-13*ORÇAMENTO!$AF$7)/$H405*OFFSET(ORÇAMENTO!$X$15,ROW(AG405)-ROW(AG$15),0),
ROUND(ROUND(OFFSET($P405,0,AG$13),15-13*ORÇAMENTO!$AF$7)*OFFSET(ORÇAMENTO!$W$15,ROW(AG405)-ROW(AG$15),0),15-13*ORÇAMENTO!$AF$11)),0)</f>
        <v>0</v>
      </c>
      <c r="AH405" s="545">
        <f ca="1">IF(AND($D405="Serviço",AH$12&lt;&gt;0,$H405&gt;0,OR(AUTOEVENTO&lt;&gt;"manual",$M405&lt;&gt;1)),
IF(Import.TipoArredondamento&lt;&gt;"TransfereGOV",
ROUND(OFFSET($P405,0,AH$13),15-13*ORÇAMENTO!$AF$7)/$H405*OFFSET(ORÇAMENTO!$X$15,ROW(AH405)-ROW(AH$15),0),
ROUND(ROUND(OFFSET($P405,0,AH$13),15-13*ORÇAMENTO!$AF$7)*OFFSET(ORÇAMENTO!$W$15,ROW(AH405)-ROW(AH$15),0),15-13*ORÇAMENTO!$AF$11)),0)</f>
        <v>0</v>
      </c>
      <c r="AI405" s="545">
        <f ca="1">IF(AND($D405="Serviço",AI$12&lt;&gt;0,$H405&gt;0,OR(AUTOEVENTO&lt;&gt;"manual",$M405&lt;&gt;1)),
IF(Import.TipoArredondamento&lt;&gt;"TransfereGOV",
ROUND(OFFSET($P405,0,AI$13),15-13*ORÇAMENTO!$AF$7)/$H405*OFFSET(ORÇAMENTO!$X$15,ROW(AI405)-ROW(AI$15),0),
ROUND(ROUND(OFFSET($P405,0,AI$13),15-13*ORÇAMENTO!$AF$7)*OFFSET(ORÇAMENTO!$W$15,ROW(AI405)-ROW(AI$15),0),15-13*ORÇAMENTO!$AF$11)),0)</f>
        <v>0</v>
      </c>
      <c r="AJ405" s="545">
        <f ca="1">IF(AND($D405="Serviço",AJ$12&lt;&gt;0,$H405&gt;0,OR(AUTOEVENTO&lt;&gt;"manual",$M405&lt;&gt;1)),
IF(Import.TipoArredondamento&lt;&gt;"TransfereGOV",
ROUND(OFFSET($P405,0,AJ$13),15-13*ORÇAMENTO!$AF$7)/$H405*OFFSET(ORÇAMENTO!$X$15,ROW(AJ405)-ROW(AJ$15),0),
ROUND(ROUND(OFFSET($P405,0,AJ$13),15-13*ORÇAMENTO!$AF$7)*OFFSET(ORÇAMENTO!$W$15,ROW(AJ405)-ROW(AJ$15),0),15-13*ORÇAMENTO!$AF$11)),0)</f>
        <v>0</v>
      </c>
      <c r="AK405" s="546">
        <f ca="1">IF(AND($D405="Serviço",AK$12&lt;&gt;0,$H405&gt;0,OR(AUTOEVENTO&lt;&gt;"manual",$M405&lt;&gt;1)),
IF(Import.TipoArredondamento&lt;&gt;"TransfereGOV",
ROUND(OFFSET($P405,0,AK$13),15-13*ORÇAMENTO!$AF$7)/$H405*OFFSET(ORÇAMENTO!$X$15,ROW(AK405)-ROW(AK$15),0),
ROUND(ROUND(OFFSET($P405,0,AK$13),15-13*ORÇAMENTO!$AF$7)*OFFSET(ORÇAMENTO!$W$15,ROW(AK405)-ROW(AK$15),0),15-13*ORÇAMENTO!$AF$11)),0)</f>
        <v>0</v>
      </c>
      <c r="AM405" s="181">
        <f ca="1">IF($D405&lt;&gt;"Serviço",0,IF(AND(AUTOEVENTO="Manual",$M405=1),0,IF(OFFSET(CRONOPLE!$F$14,$M405,AM$13)="",10^12,OFFSET(CRONOPLE!$F$14,$M405,AM$13))))</f>
        <v>1000000000000</v>
      </c>
      <c r="AN405" s="181">
        <f ca="1">IF($D405&lt;&gt;"Serviço",0,IF(AND(AUTOEVENTO="Manual",$M405=1),0,IF(OFFSET(CRONOPLE!$F$14,$M405,AN$13)="",10^12,OFFSET(CRONOPLE!$F$14,$M405,AN$13))))</f>
        <v>1000000000000</v>
      </c>
      <c r="AO405" s="181">
        <f ca="1">IF($D405&lt;&gt;"Serviço",0,IF(AND(AUTOEVENTO="Manual",$M405=1),0,IF(OFFSET(CRONOPLE!$F$14,$M405,AO$13)="",10^12,OFFSET(CRONOPLE!$F$14,$M405,AO$13))))</f>
        <v>1000000000000</v>
      </c>
      <c r="AP405" s="181">
        <f ca="1">IF($D405&lt;&gt;"Serviço",0,IF(AND(AUTOEVENTO="Manual",$M405=1),0,IF(OFFSET(CRONOPLE!$F$14,$M405,AP$13)="",10^12,OFFSET(CRONOPLE!$F$14,$M405,AP$13))))</f>
        <v>1000000000000</v>
      </c>
      <c r="AQ405" s="181">
        <f ca="1">IF($D405&lt;&gt;"Serviço",0,IF(AND(AUTOEVENTO="Manual",$M405=1),0,IF(OFFSET(CRONOPLE!$F$14,$M405,AQ$13)="",10^12,OFFSET(CRONOPLE!$F$14,$M405,AQ$13))))</f>
        <v>1000000000000</v>
      </c>
      <c r="AR405" s="181">
        <f ca="1">IF($D405&lt;&gt;"Serviço",0,IF(AND(AUTOEVENTO="Manual",$M405=1),0,IF(OFFSET(CRONOPLE!$F$14,$M405,AR$13)="",10^12,OFFSET(CRONOPLE!$F$14,$M405,AR$13))))</f>
        <v>1000000000000</v>
      </c>
      <c r="AS405" s="181">
        <f ca="1">IF($D405&lt;&gt;"Serviço",0,IF(AND(AUTOEVENTO="Manual",$M405=1),0,IF(OFFSET(CRONOPLE!$F$14,$M405,AS$13)="",10^12,OFFSET(CRONOPLE!$F$14,$M405,AS$13))))</f>
        <v>1000000000000</v>
      </c>
      <c r="AT405" s="181">
        <f ca="1">IF($D405&lt;&gt;"Serviço",0,IF(AND(AUTOEVENTO="Manual",$M405=1),0,IF(OFFSET(CRONOPLE!$F$14,$M405,AT$13)="",10^12,OFFSET(CRONOPLE!$F$14,$M405,AT$13))))</f>
        <v>1000000000000</v>
      </c>
      <c r="AU405" s="181">
        <f ca="1">IF($D405&lt;&gt;"Serviço",0,IF(AND(AUTOEVENTO="Manual",$M405=1),0,IF(OFFSET(CRONOPLE!$F$14,$M405,AU$13)="",10^12,OFFSET(CRONOPLE!$F$14,$M405,AU$13))))</f>
        <v>1000000000000</v>
      </c>
      <c r="AV405" s="181">
        <f ca="1">IF($D405&lt;&gt;"Serviço",0,IF(AND(AUTOEVENTO="Manual",$M405=1),0,IF(OFFSET(CRONOPLE!$F$14,$M405,AV$13)="",10^12,OFFSET(CRONOPLE!$F$14,$M405,AV$13))))</f>
        <v>1000000000000</v>
      </c>
      <c r="AX405" s="182">
        <f ca="1">IF($D405&lt;&gt;"Serviço",0,IF(OR(AND(AUTOEVENTO="Manual",$M405=1),$M405&gt;(ROW(PLE.lastrow)-ROW(PLE.firstrow))),0,IF(OFFSET(PLE!$G$14,$M405,AX$13)="",10^12,OFFSET(PLE!$G$14,$M405,AX$13))))</f>
        <v>1000000000000</v>
      </c>
      <c r="AY405" s="182">
        <f ca="1">IF($D405&lt;&gt;"Serviço",0,IF(OR(AND(AUTOEVENTO="Manual",$M405=1),$M405&gt;(ROW(PLE.lastrow)-ROW(PLE.firstrow))),0,IF(OFFSET(PLE!$G$14,$M405,AY$13)="",10^12,OFFSET(PLE!$G$14,$M405,AY$13))))</f>
        <v>1000000000000</v>
      </c>
      <c r="AZ405" s="182">
        <f ca="1">IF($D405&lt;&gt;"Serviço",0,IF(OR(AND(AUTOEVENTO="Manual",$M405=1),$M405&gt;(ROW(PLE.lastrow)-ROW(PLE.firstrow))),0,IF(OFFSET(PLE!$G$14,$M405,AZ$13)="",10^12,OFFSET(PLE!$G$14,$M405,AZ$13))))</f>
        <v>1000000000000</v>
      </c>
      <c r="BA405" s="182">
        <f ca="1">IF($D405&lt;&gt;"Serviço",0,IF(OR(AND(AUTOEVENTO="Manual",$M405=1),$M405&gt;(ROW(PLE.lastrow)-ROW(PLE.firstrow))),0,IF(OFFSET(PLE!$G$14,$M405,BA$13)="",10^12,OFFSET(PLE!$G$14,$M405,BA$13))))</f>
        <v>1000000000000</v>
      </c>
      <c r="BB405" s="182">
        <f ca="1">IF($D405&lt;&gt;"Serviço",0,IF(OR(AND(AUTOEVENTO="Manual",$M405=1),$M405&gt;(ROW(PLE.lastrow)-ROW(PLE.firstrow))),0,IF(OFFSET(PLE!$G$14,$M405,BB$13)="",10^12,OFFSET(PLE!$G$14,$M405,BB$13))))</f>
        <v>1000000000000</v>
      </c>
      <c r="BC405" s="182">
        <f ca="1">IF($D405&lt;&gt;"Serviço",0,IF(OR(AND(AUTOEVENTO="Manual",$M405=1),$M405&gt;(ROW(PLE.lastrow)-ROW(PLE.firstrow))),0,IF(OFFSET(PLE!$G$14,$M405,BC$13)="",10^12,OFFSET(PLE!$G$14,$M405,BC$13))))</f>
        <v>1000000000000</v>
      </c>
      <c r="BD405" s="182">
        <f ca="1">IF($D405&lt;&gt;"Serviço",0,IF(OR(AND(AUTOEVENTO="Manual",$M405=1),$M405&gt;(ROW(PLE.lastrow)-ROW(PLE.firstrow))),0,IF(OFFSET(PLE!$G$14,$M405,BD$13)="",10^12,OFFSET(PLE!$G$14,$M405,BD$13))))</f>
        <v>1000000000000</v>
      </c>
      <c r="BE405" s="182">
        <f ca="1">IF($D405&lt;&gt;"Serviço",0,IF(OR(AND(AUTOEVENTO="Manual",$M405=1),$M405&gt;(ROW(PLE.lastrow)-ROW(PLE.firstrow))),0,IF(OFFSET(PLE!$G$14,$M405,BE$13)="",10^12,OFFSET(PLE!$G$14,$M405,BE$13))))</f>
        <v>1000000000000</v>
      </c>
      <c r="BF405" s="182">
        <f ca="1">IF($D405&lt;&gt;"Serviço",0,IF(OR(AND(AUTOEVENTO="Manual",$M405=1),$M405&gt;(ROW(PLE.lastrow)-ROW(PLE.firstrow))),0,IF(OFFSET(PLE!$G$14,$M405,BF$13)="",10^12,OFFSET(PLE!$G$14,$M405,BF$13))))</f>
        <v>1000000000000</v>
      </c>
      <c r="BG405" s="182">
        <f ca="1">IF($D405&lt;&gt;"Serviço",0,IF(OR(AND(AUTOEVENTO="Manual",$M405=1),$M405&gt;(ROW(PLE.lastrow)-ROW(PLE.firstrow))),0,IF(OFFSET(PLE!$G$14,$M405,BG$13)="",10^12,OFFSET(PLE!$G$14,$M405,BG$13))))</f>
        <v>1000000000000</v>
      </c>
    </row>
    <row r="406" spans="1:59" ht="25.5" x14ac:dyDescent="0.2">
      <c r="A406" s="7" t="str">
        <f t="shared" ca="1" si="11"/>
        <v>376</v>
      </c>
      <c r="B406" s="7" t="str">
        <f ca="1">OFFSET(ORÇAMENTO!C$15,ROW(B406)-ROW(B$15),0)</f>
        <v>S</v>
      </c>
      <c r="C406" s="7" t="str">
        <f ca="1">OFFSET(ORÇAMENTO!L$15,ROW(C406)-ROW(C$15),0)</f>
        <v/>
      </c>
      <c r="D406" s="118" t="str">
        <f ca="1">OFFSET(ORÇAMENTO!N$15,ROW(D406)-ROW(D$15),0)</f>
        <v>Serviço</v>
      </c>
      <c r="E406" s="119" t="str">
        <f ca="1">OFFSET(ORÇAMENTO!O$15,ROW(E406)-ROW(E$15),0)</f>
        <v>-</v>
      </c>
      <c r="F406" s="172" t="str">
        <f ca="1">OFFSET(ORÇAMENTO!R$15,ROW(F406)-ROW(F$15),0)</f>
        <v>(abra o arquivo 'Referência 02-2025.xlsm)</v>
      </c>
      <c r="G406" s="173" t="str">
        <f ca="1">IF($D406&lt;&gt;"Serviço","",OFFSET(ORÇAMENTO!S$15,ROW(G406)-ROW(G$15),0))</f>
        <v>-</v>
      </c>
      <c r="H406" s="124">
        <f ca="1">IF($D406&lt;&gt;"Serviço",0,IF(ACOMPANHAMENTO="BM",ROUND(OFFSET(ORÇAMENTO!AJ$15,ROW(H406)-ROW(H$15),0),15-13*ORÇAMENTO!$AF$7),SUMPRODUCT(($Q$12:$AA$12&lt;&gt;"")*ROUND($Q406:$AA406,15-13*ORÇAMENTO!$AF$7))))</f>
        <v>42</v>
      </c>
      <c r="I406" s="561" t="s">
        <v>890</v>
      </c>
      <c r="K406" s="174"/>
      <c r="L406" s="175" t="s">
        <v>255</v>
      </c>
      <c r="M406" s="176">
        <f ca="1">IF($D406&lt;&gt;"Serviço","",IF(AUTOEVENTO="manual",$A406,IF(ISERROR(MATCH($A406,$A$15:OFFSET($A406,-1,0),0)),MAX($M$15:OFFSET(M406,-1,0))+1,INDEX($M$15:OFFSET(M406,-1,0),MATCH($A406,$A$15:OFFSET($A406,-1,0),0)))))</f>
        <v>16</v>
      </c>
      <c r="N406" s="177" t="str">
        <f ca="1">IF($D406&lt;&gt;"Serviço","",IF(AUTOEVENTO="Manual",IF($A406=0,"&lt;-- defina o número do agrupador",OFFSET(EVENTOS!$D$14,$A406,0)),OFFSET($F$15,$A406,0)))</f>
        <v>LOUÇAS, ACESSÓRIOS E METAIS</v>
      </c>
      <c r="O406" s="178"/>
      <c r="Q406" s="178"/>
      <c r="R406" s="179"/>
      <c r="S406" s="179"/>
      <c r="T406" s="179"/>
      <c r="U406" s="179"/>
      <c r="V406" s="179"/>
      <c r="W406" s="179"/>
      <c r="X406" s="179"/>
      <c r="Y406" s="179"/>
      <c r="Z406" s="180"/>
      <c r="AB406" s="544">
        <f ca="1">IF(AND($D406="Serviço",AB$12&lt;&gt;0,$H406&gt;0,OR(AUTOEVENTO&lt;&gt;"manual",$M406&lt;&gt;1)),
IF(Import.TipoArredondamento&lt;&gt;"TransfereGOV",
ROUND(OFFSET($P406,0,AB$13),15-13*ORÇAMENTO!$AF$7)/$H406*OFFSET(ORÇAMENTO!$X$15,ROW(AB406)-ROW(AB$15),0),
ROUND(ROUND(OFFSET($P406,0,AB$13),15-13*ORÇAMENTO!$AF$7)*OFFSET(ORÇAMENTO!$W$15,ROW(AB406)-ROW(AB$15),0),15-13*ORÇAMENTO!$AF$11)),0)</f>
        <v>0</v>
      </c>
      <c r="AC406" s="545">
        <f ca="1">IF(AND($D406="Serviço",AC$12&lt;&gt;0,$H406&gt;0,OR(AUTOEVENTO&lt;&gt;"manual",$M406&lt;&gt;1)),
IF(Import.TipoArredondamento&lt;&gt;"TransfereGOV",
ROUND(OFFSET($P406,0,AC$13),15-13*ORÇAMENTO!$AF$7)/$H406*OFFSET(ORÇAMENTO!$X$15,ROW(AC406)-ROW(AC$15),0),
ROUND(ROUND(OFFSET($P406,0,AC$13),15-13*ORÇAMENTO!$AF$7)*OFFSET(ORÇAMENTO!$W$15,ROW(AC406)-ROW(AC$15),0),15-13*ORÇAMENTO!$AF$11)),0)</f>
        <v>0</v>
      </c>
      <c r="AD406" s="545">
        <f ca="1">IF(AND($D406="Serviço",AD$12&lt;&gt;0,$H406&gt;0,OR(AUTOEVENTO&lt;&gt;"manual",$M406&lt;&gt;1)),
IF(Import.TipoArredondamento&lt;&gt;"TransfereGOV",
ROUND(OFFSET($P406,0,AD$13),15-13*ORÇAMENTO!$AF$7)/$H406*OFFSET(ORÇAMENTO!$X$15,ROW(AD406)-ROW(AD$15),0),
ROUND(ROUND(OFFSET($P406,0,AD$13),15-13*ORÇAMENTO!$AF$7)*OFFSET(ORÇAMENTO!$W$15,ROW(AD406)-ROW(AD$15),0),15-13*ORÇAMENTO!$AF$11)),0)</f>
        <v>0</v>
      </c>
      <c r="AE406" s="545">
        <f ca="1">IF(AND($D406="Serviço",AE$12&lt;&gt;0,$H406&gt;0,OR(AUTOEVENTO&lt;&gt;"manual",$M406&lt;&gt;1)),
IF(Import.TipoArredondamento&lt;&gt;"TransfereGOV",
ROUND(OFFSET($P406,0,AE$13),15-13*ORÇAMENTO!$AF$7)/$H406*OFFSET(ORÇAMENTO!$X$15,ROW(AE406)-ROW(AE$15),0),
ROUND(ROUND(OFFSET($P406,0,AE$13),15-13*ORÇAMENTO!$AF$7)*OFFSET(ORÇAMENTO!$W$15,ROW(AE406)-ROW(AE$15),0),15-13*ORÇAMENTO!$AF$11)),0)</f>
        <v>0</v>
      </c>
      <c r="AF406" s="545">
        <f ca="1">IF(AND($D406="Serviço",AF$12&lt;&gt;0,$H406&gt;0,OR(AUTOEVENTO&lt;&gt;"manual",$M406&lt;&gt;1)),
IF(Import.TipoArredondamento&lt;&gt;"TransfereGOV",
ROUND(OFFSET($P406,0,AF$13),15-13*ORÇAMENTO!$AF$7)/$H406*OFFSET(ORÇAMENTO!$X$15,ROW(AF406)-ROW(AF$15),0),
ROUND(ROUND(OFFSET($P406,0,AF$13),15-13*ORÇAMENTO!$AF$7)*OFFSET(ORÇAMENTO!$W$15,ROW(AF406)-ROW(AF$15),0),15-13*ORÇAMENTO!$AF$11)),0)</f>
        <v>0</v>
      </c>
      <c r="AG406" s="545">
        <f ca="1">IF(AND($D406="Serviço",AG$12&lt;&gt;0,$H406&gt;0,OR(AUTOEVENTO&lt;&gt;"manual",$M406&lt;&gt;1)),
IF(Import.TipoArredondamento&lt;&gt;"TransfereGOV",
ROUND(OFFSET($P406,0,AG$13),15-13*ORÇAMENTO!$AF$7)/$H406*OFFSET(ORÇAMENTO!$X$15,ROW(AG406)-ROW(AG$15),0),
ROUND(ROUND(OFFSET($P406,0,AG$13),15-13*ORÇAMENTO!$AF$7)*OFFSET(ORÇAMENTO!$W$15,ROW(AG406)-ROW(AG$15),0),15-13*ORÇAMENTO!$AF$11)),0)</f>
        <v>0</v>
      </c>
      <c r="AH406" s="545">
        <f ca="1">IF(AND($D406="Serviço",AH$12&lt;&gt;0,$H406&gt;0,OR(AUTOEVENTO&lt;&gt;"manual",$M406&lt;&gt;1)),
IF(Import.TipoArredondamento&lt;&gt;"TransfereGOV",
ROUND(OFFSET($P406,0,AH$13),15-13*ORÇAMENTO!$AF$7)/$H406*OFFSET(ORÇAMENTO!$X$15,ROW(AH406)-ROW(AH$15),0),
ROUND(ROUND(OFFSET($P406,0,AH$13),15-13*ORÇAMENTO!$AF$7)*OFFSET(ORÇAMENTO!$W$15,ROW(AH406)-ROW(AH$15),0),15-13*ORÇAMENTO!$AF$11)),0)</f>
        <v>0</v>
      </c>
      <c r="AI406" s="545">
        <f ca="1">IF(AND($D406="Serviço",AI$12&lt;&gt;0,$H406&gt;0,OR(AUTOEVENTO&lt;&gt;"manual",$M406&lt;&gt;1)),
IF(Import.TipoArredondamento&lt;&gt;"TransfereGOV",
ROUND(OFFSET($P406,0,AI$13),15-13*ORÇAMENTO!$AF$7)/$H406*OFFSET(ORÇAMENTO!$X$15,ROW(AI406)-ROW(AI$15),0),
ROUND(ROUND(OFFSET($P406,0,AI$13),15-13*ORÇAMENTO!$AF$7)*OFFSET(ORÇAMENTO!$W$15,ROW(AI406)-ROW(AI$15),0),15-13*ORÇAMENTO!$AF$11)),0)</f>
        <v>0</v>
      </c>
      <c r="AJ406" s="545">
        <f ca="1">IF(AND($D406="Serviço",AJ$12&lt;&gt;0,$H406&gt;0,OR(AUTOEVENTO&lt;&gt;"manual",$M406&lt;&gt;1)),
IF(Import.TipoArredondamento&lt;&gt;"TransfereGOV",
ROUND(OFFSET($P406,0,AJ$13),15-13*ORÇAMENTO!$AF$7)/$H406*OFFSET(ORÇAMENTO!$X$15,ROW(AJ406)-ROW(AJ$15),0),
ROUND(ROUND(OFFSET($P406,0,AJ$13),15-13*ORÇAMENTO!$AF$7)*OFFSET(ORÇAMENTO!$W$15,ROW(AJ406)-ROW(AJ$15),0),15-13*ORÇAMENTO!$AF$11)),0)</f>
        <v>0</v>
      </c>
      <c r="AK406" s="546">
        <f ca="1">IF(AND($D406="Serviço",AK$12&lt;&gt;0,$H406&gt;0,OR(AUTOEVENTO&lt;&gt;"manual",$M406&lt;&gt;1)),
IF(Import.TipoArredondamento&lt;&gt;"TransfereGOV",
ROUND(OFFSET($P406,0,AK$13),15-13*ORÇAMENTO!$AF$7)/$H406*OFFSET(ORÇAMENTO!$X$15,ROW(AK406)-ROW(AK$15),0),
ROUND(ROUND(OFFSET($P406,0,AK$13),15-13*ORÇAMENTO!$AF$7)*OFFSET(ORÇAMENTO!$W$15,ROW(AK406)-ROW(AK$15),0),15-13*ORÇAMENTO!$AF$11)),0)</f>
        <v>0</v>
      </c>
      <c r="AM406" s="181">
        <f ca="1">IF($D406&lt;&gt;"Serviço",0,IF(AND(AUTOEVENTO="Manual",$M406=1),0,IF(OFFSET(CRONOPLE!$F$14,$M406,AM$13)="",10^12,OFFSET(CRONOPLE!$F$14,$M406,AM$13))))</f>
        <v>1000000000000</v>
      </c>
      <c r="AN406" s="181">
        <f ca="1">IF($D406&lt;&gt;"Serviço",0,IF(AND(AUTOEVENTO="Manual",$M406=1),0,IF(OFFSET(CRONOPLE!$F$14,$M406,AN$13)="",10^12,OFFSET(CRONOPLE!$F$14,$M406,AN$13))))</f>
        <v>1000000000000</v>
      </c>
      <c r="AO406" s="181">
        <f ca="1">IF($D406&lt;&gt;"Serviço",0,IF(AND(AUTOEVENTO="Manual",$M406=1),0,IF(OFFSET(CRONOPLE!$F$14,$M406,AO$13)="",10^12,OFFSET(CRONOPLE!$F$14,$M406,AO$13))))</f>
        <v>1000000000000</v>
      </c>
      <c r="AP406" s="181">
        <f ca="1">IF($D406&lt;&gt;"Serviço",0,IF(AND(AUTOEVENTO="Manual",$M406=1),0,IF(OFFSET(CRONOPLE!$F$14,$M406,AP$13)="",10^12,OFFSET(CRONOPLE!$F$14,$M406,AP$13))))</f>
        <v>1000000000000</v>
      </c>
      <c r="AQ406" s="181">
        <f ca="1">IF($D406&lt;&gt;"Serviço",0,IF(AND(AUTOEVENTO="Manual",$M406=1),0,IF(OFFSET(CRONOPLE!$F$14,$M406,AQ$13)="",10^12,OFFSET(CRONOPLE!$F$14,$M406,AQ$13))))</f>
        <v>1000000000000</v>
      </c>
      <c r="AR406" s="181">
        <f ca="1">IF($D406&lt;&gt;"Serviço",0,IF(AND(AUTOEVENTO="Manual",$M406=1),0,IF(OFFSET(CRONOPLE!$F$14,$M406,AR$13)="",10^12,OFFSET(CRONOPLE!$F$14,$M406,AR$13))))</f>
        <v>1000000000000</v>
      </c>
      <c r="AS406" s="181">
        <f ca="1">IF($D406&lt;&gt;"Serviço",0,IF(AND(AUTOEVENTO="Manual",$M406=1),0,IF(OFFSET(CRONOPLE!$F$14,$M406,AS$13)="",10^12,OFFSET(CRONOPLE!$F$14,$M406,AS$13))))</f>
        <v>1000000000000</v>
      </c>
      <c r="AT406" s="181">
        <f ca="1">IF($D406&lt;&gt;"Serviço",0,IF(AND(AUTOEVENTO="Manual",$M406=1),0,IF(OFFSET(CRONOPLE!$F$14,$M406,AT$13)="",10^12,OFFSET(CRONOPLE!$F$14,$M406,AT$13))))</f>
        <v>1000000000000</v>
      </c>
      <c r="AU406" s="181">
        <f ca="1">IF($D406&lt;&gt;"Serviço",0,IF(AND(AUTOEVENTO="Manual",$M406=1),0,IF(OFFSET(CRONOPLE!$F$14,$M406,AU$13)="",10^12,OFFSET(CRONOPLE!$F$14,$M406,AU$13))))</f>
        <v>1000000000000</v>
      </c>
      <c r="AV406" s="181">
        <f ca="1">IF($D406&lt;&gt;"Serviço",0,IF(AND(AUTOEVENTO="Manual",$M406=1),0,IF(OFFSET(CRONOPLE!$F$14,$M406,AV$13)="",10^12,OFFSET(CRONOPLE!$F$14,$M406,AV$13))))</f>
        <v>1000000000000</v>
      </c>
      <c r="AX406" s="182">
        <f ca="1">IF($D406&lt;&gt;"Serviço",0,IF(OR(AND(AUTOEVENTO="Manual",$M406=1),$M406&gt;(ROW(PLE.lastrow)-ROW(PLE.firstrow))),0,IF(OFFSET(PLE!$G$14,$M406,AX$13)="",10^12,OFFSET(PLE!$G$14,$M406,AX$13))))</f>
        <v>1000000000000</v>
      </c>
      <c r="AY406" s="182">
        <f ca="1">IF($D406&lt;&gt;"Serviço",0,IF(OR(AND(AUTOEVENTO="Manual",$M406=1),$M406&gt;(ROW(PLE.lastrow)-ROW(PLE.firstrow))),0,IF(OFFSET(PLE!$G$14,$M406,AY$13)="",10^12,OFFSET(PLE!$G$14,$M406,AY$13))))</f>
        <v>1000000000000</v>
      </c>
      <c r="AZ406" s="182">
        <f ca="1">IF($D406&lt;&gt;"Serviço",0,IF(OR(AND(AUTOEVENTO="Manual",$M406=1),$M406&gt;(ROW(PLE.lastrow)-ROW(PLE.firstrow))),0,IF(OFFSET(PLE!$G$14,$M406,AZ$13)="",10^12,OFFSET(PLE!$G$14,$M406,AZ$13))))</f>
        <v>1000000000000</v>
      </c>
      <c r="BA406" s="182">
        <f ca="1">IF($D406&lt;&gt;"Serviço",0,IF(OR(AND(AUTOEVENTO="Manual",$M406=1),$M406&gt;(ROW(PLE.lastrow)-ROW(PLE.firstrow))),0,IF(OFFSET(PLE!$G$14,$M406,BA$13)="",10^12,OFFSET(PLE!$G$14,$M406,BA$13))))</f>
        <v>1000000000000</v>
      </c>
      <c r="BB406" s="182">
        <f ca="1">IF($D406&lt;&gt;"Serviço",0,IF(OR(AND(AUTOEVENTO="Manual",$M406=1),$M406&gt;(ROW(PLE.lastrow)-ROW(PLE.firstrow))),0,IF(OFFSET(PLE!$G$14,$M406,BB$13)="",10^12,OFFSET(PLE!$G$14,$M406,BB$13))))</f>
        <v>1000000000000</v>
      </c>
      <c r="BC406" s="182">
        <f ca="1">IF($D406&lt;&gt;"Serviço",0,IF(OR(AND(AUTOEVENTO="Manual",$M406=1),$M406&gt;(ROW(PLE.lastrow)-ROW(PLE.firstrow))),0,IF(OFFSET(PLE!$G$14,$M406,BC$13)="",10^12,OFFSET(PLE!$G$14,$M406,BC$13))))</f>
        <v>1000000000000</v>
      </c>
      <c r="BD406" s="182">
        <f ca="1">IF($D406&lt;&gt;"Serviço",0,IF(OR(AND(AUTOEVENTO="Manual",$M406=1),$M406&gt;(ROW(PLE.lastrow)-ROW(PLE.firstrow))),0,IF(OFFSET(PLE!$G$14,$M406,BD$13)="",10^12,OFFSET(PLE!$G$14,$M406,BD$13))))</f>
        <v>1000000000000</v>
      </c>
      <c r="BE406" s="182">
        <f ca="1">IF($D406&lt;&gt;"Serviço",0,IF(OR(AND(AUTOEVENTO="Manual",$M406=1),$M406&gt;(ROW(PLE.lastrow)-ROW(PLE.firstrow))),0,IF(OFFSET(PLE!$G$14,$M406,BE$13)="",10^12,OFFSET(PLE!$G$14,$M406,BE$13))))</f>
        <v>1000000000000</v>
      </c>
      <c r="BF406" s="182">
        <f ca="1">IF($D406&lt;&gt;"Serviço",0,IF(OR(AND(AUTOEVENTO="Manual",$M406=1),$M406&gt;(ROW(PLE.lastrow)-ROW(PLE.firstrow))),0,IF(OFFSET(PLE!$G$14,$M406,BF$13)="",10^12,OFFSET(PLE!$G$14,$M406,BF$13))))</f>
        <v>1000000000000</v>
      </c>
      <c r="BG406" s="182">
        <f ca="1">IF($D406&lt;&gt;"Serviço",0,IF(OR(AND(AUTOEVENTO="Manual",$M406=1),$M406&gt;(ROW(PLE.lastrow)-ROW(PLE.firstrow))),0,IF(OFFSET(PLE!$G$14,$M406,BG$13)="",10^12,OFFSET(PLE!$G$14,$M406,BG$13))))</f>
        <v>1000000000000</v>
      </c>
    </row>
    <row r="407" spans="1:59" ht="25.5" x14ac:dyDescent="0.2">
      <c r="A407" s="7" t="str">
        <f t="shared" ca="1" si="11"/>
        <v>376</v>
      </c>
      <c r="B407" s="7" t="str">
        <f ca="1">OFFSET(ORÇAMENTO!C$15,ROW(B407)-ROW(B$15),0)</f>
        <v>S</v>
      </c>
      <c r="C407" s="7" t="str">
        <f ca="1">OFFSET(ORÇAMENTO!L$15,ROW(C407)-ROW(C$15),0)</f>
        <v/>
      </c>
      <c r="D407" s="118" t="str">
        <f ca="1">OFFSET(ORÇAMENTO!N$15,ROW(D407)-ROW(D$15),0)</f>
        <v>Serviço</v>
      </c>
      <c r="E407" s="119" t="str">
        <f ca="1">OFFSET(ORÇAMENTO!O$15,ROW(E407)-ROW(E$15),0)</f>
        <v>-</v>
      </c>
      <c r="F407" s="172" t="str">
        <f ca="1">OFFSET(ORÇAMENTO!R$15,ROW(F407)-ROW(F$15),0)</f>
        <v>(abra o arquivo 'Referência 02-2025.xlsm)</v>
      </c>
      <c r="G407" s="173" t="str">
        <f ca="1">IF($D407&lt;&gt;"Serviço","",OFFSET(ORÇAMENTO!S$15,ROW(G407)-ROW(G$15),0))</f>
        <v>-</v>
      </c>
      <c r="H407" s="124">
        <f ca="1">IF($D407&lt;&gt;"Serviço",0,IF(ACOMPANHAMENTO="BM",ROUND(OFFSET(ORÇAMENTO!AJ$15,ROW(H407)-ROW(H$15),0),15-13*ORÇAMENTO!$AF$7),SUMPRODUCT(($Q$12:$AA$12&lt;&gt;"")*ROUND($Q407:$AA407,15-13*ORÇAMENTO!$AF$7))))</f>
        <v>18</v>
      </c>
      <c r="I407" s="561" t="s">
        <v>890</v>
      </c>
      <c r="K407" s="174"/>
      <c r="L407" s="175" t="s">
        <v>255</v>
      </c>
      <c r="M407" s="176">
        <f ca="1">IF($D407&lt;&gt;"Serviço","",IF(AUTOEVENTO="manual",$A407,IF(ISERROR(MATCH($A407,$A$15:OFFSET($A407,-1,0),0)),MAX($M$15:OFFSET(M407,-1,0))+1,INDEX($M$15:OFFSET(M407,-1,0),MATCH($A407,$A$15:OFFSET($A407,-1,0),0)))))</f>
        <v>16</v>
      </c>
      <c r="N407" s="177" t="str">
        <f ca="1">IF($D407&lt;&gt;"Serviço","",IF(AUTOEVENTO="Manual",IF($A407=0,"&lt;-- defina o número do agrupador",OFFSET(EVENTOS!$D$14,$A407,0)),OFFSET($F$15,$A407,0)))</f>
        <v>LOUÇAS, ACESSÓRIOS E METAIS</v>
      </c>
      <c r="O407" s="178"/>
      <c r="Q407" s="178"/>
      <c r="R407" s="179"/>
      <c r="S407" s="179"/>
      <c r="T407" s="179"/>
      <c r="U407" s="179"/>
      <c r="V407" s="179"/>
      <c r="W407" s="179"/>
      <c r="X407" s="179"/>
      <c r="Y407" s="179"/>
      <c r="Z407" s="180"/>
      <c r="AB407" s="544">
        <f ca="1">IF(AND($D407="Serviço",AB$12&lt;&gt;0,$H407&gt;0,OR(AUTOEVENTO&lt;&gt;"manual",$M407&lt;&gt;1)),
IF(Import.TipoArredondamento&lt;&gt;"TransfereGOV",
ROUND(OFFSET($P407,0,AB$13),15-13*ORÇAMENTO!$AF$7)/$H407*OFFSET(ORÇAMENTO!$X$15,ROW(AB407)-ROW(AB$15),0),
ROUND(ROUND(OFFSET($P407,0,AB$13),15-13*ORÇAMENTO!$AF$7)*OFFSET(ORÇAMENTO!$W$15,ROW(AB407)-ROW(AB$15),0),15-13*ORÇAMENTO!$AF$11)),0)</f>
        <v>0</v>
      </c>
      <c r="AC407" s="545">
        <f ca="1">IF(AND($D407="Serviço",AC$12&lt;&gt;0,$H407&gt;0,OR(AUTOEVENTO&lt;&gt;"manual",$M407&lt;&gt;1)),
IF(Import.TipoArredondamento&lt;&gt;"TransfereGOV",
ROUND(OFFSET($P407,0,AC$13),15-13*ORÇAMENTO!$AF$7)/$H407*OFFSET(ORÇAMENTO!$X$15,ROW(AC407)-ROW(AC$15),0),
ROUND(ROUND(OFFSET($P407,0,AC$13),15-13*ORÇAMENTO!$AF$7)*OFFSET(ORÇAMENTO!$W$15,ROW(AC407)-ROW(AC$15),0),15-13*ORÇAMENTO!$AF$11)),0)</f>
        <v>0</v>
      </c>
      <c r="AD407" s="545">
        <f ca="1">IF(AND($D407="Serviço",AD$12&lt;&gt;0,$H407&gt;0,OR(AUTOEVENTO&lt;&gt;"manual",$M407&lt;&gt;1)),
IF(Import.TipoArredondamento&lt;&gt;"TransfereGOV",
ROUND(OFFSET($P407,0,AD$13),15-13*ORÇAMENTO!$AF$7)/$H407*OFFSET(ORÇAMENTO!$X$15,ROW(AD407)-ROW(AD$15),0),
ROUND(ROUND(OFFSET($P407,0,AD$13),15-13*ORÇAMENTO!$AF$7)*OFFSET(ORÇAMENTO!$W$15,ROW(AD407)-ROW(AD$15),0),15-13*ORÇAMENTO!$AF$11)),0)</f>
        <v>0</v>
      </c>
      <c r="AE407" s="545">
        <f ca="1">IF(AND($D407="Serviço",AE$12&lt;&gt;0,$H407&gt;0,OR(AUTOEVENTO&lt;&gt;"manual",$M407&lt;&gt;1)),
IF(Import.TipoArredondamento&lt;&gt;"TransfereGOV",
ROUND(OFFSET($P407,0,AE$13),15-13*ORÇAMENTO!$AF$7)/$H407*OFFSET(ORÇAMENTO!$X$15,ROW(AE407)-ROW(AE$15),0),
ROUND(ROUND(OFFSET($P407,0,AE$13),15-13*ORÇAMENTO!$AF$7)*OFFSET(ORÇAMENTO!$W$15,ROW(AE407)-ROW(AE$15),0),15-13*ORÇAMENTO!$AF$11)),0)</f>
        <v>0</v>
      </c>
      <c r="AF407" s="545">
        <f ca="1">IF(AND($D407="Serviço",AF$12&lt;&gt;0,$H407&gt;0,OR(AUTOEVENTO&lt;&gt;"manual",$M407&lt;&gt;1)),
IF(Import.TipoArredondamento&lt;&gt;"TransfereGOV",
ROUND(OFFSET($P407,0,AF$13),15-13*ORÇAMENTO!$AF$7)/$H407*OFFSET(ORÇAMENTO!$X$15,ROW(AF407)-ROW(AF$15),0),
ROUND(ROUND(OFFSET($P407,0,AF$13),15-13*ORÇAMENTO!$AF$7)*OFFSET(ORÇAMENTO!$W$15,ROW(AF407)-ROW(AF$15),0),15-13*ORÇAMENTO!$AF$11)),0)</f>
        <v>0</v>
      </c>
      <c r="AG407" s="545">
        <f ca="1">IF(AND($D407="Serviço",AG$12&lt;&gt;0,$H407&gt;0,OR(AUTOEVENTO&lt;&gt;"manual",$M407&lt;&gt;1)),
IF(Import.TipoArredondamento&lt;&gt;"TransfereGOV",
ROUND(OFFSET($P407,0,AG$13),15-13*ORÇAMENTO!$AF$7)/$H407*OFFSET(ORÇAMENTO!$X$15,ROW(AG407)-ROW(AG$15),0),
ROUND(ROUND(OFFSET($P407,0,AG$13),15-13*ORÇAMENTO!$AF$7)*OFFSET(ORÇAMENTO!$W$15,ROW(AG407)-ROW(AG$15),0),15-13*ORÇAMENTO!$AF$11)),0)</f>
        <v>0</v>
      </c>
      <c r="AH407" s="545">
        <f ca="1">IF(AND($D407="Serviço",AH$12&lt;&gt;0,$H407&gt;0,OR(AUTOEVENTO&lt;&gt;"manual",$M407&lt;&gt;1)),
IF(Import.TipoArredondamento&lt;&gt;"TransfereGOV",
ROUND(OFFSET($P407,0,AH$13),15-13*ORÇAMENTO!$AF$7)/$H407*OFFSET(ORÇAMENTO!$X$15,ROW(AH407)-ROW(AH$15),0),
ROUND(ROUND(OFFSET($P407,0,AH$13),15-13*ORÇAMENTO!$AF$7)*OFFSET(ORÇAMENTO!$W$15,ROW(AH407)-ROW(AH$15),0),15-13*ORÇAMENTO!$AF$11)),0)</f>
        <v>0</v>
      </c>
      <c r="AI407" s="545">
        <f ca="1">IF(AND($D407="Serviço",AI$12&lt;&gt;0,$H407&gt;0,OR(AUTOEVENTO&lt;&gt;"manual",$M407&lt;&gt;1)),
IF(Import.TipoArredondamento&lt;&gt;"TransfereGOV",
ROUND(OFFSET($P407,0,AI$13),15-13*ORÇAMENTO!$AF$7)/$H407*OFFSET(ORÇAMENTO!$X$15,ROW(AI407)-ROW(AI$15),0),
ROUND(ROUND(OFFSET($P407,0,AI$13),15-13*ORÇAMENTO!$AF$7)*OFFSET(ORÇAMENTO!$W$15,ROW(AI407)-ROW(AI$15),0),15-13*ORÇAMENTO!$AF$11)),0)</f>
        <v>0</v>
      </c>
      <c r="AJ407" s="545">
        <f ca="1">IF(AND($D407="Serviço",AJ$12&lt;&gt;0,$H407&gt;0,OR(AUTOEVENTO&lt;&gt;"manual",$M407&lt;&gt;1)),
IF(Import.TipoArredondamento&lt;&gt;"TransfereGOV",
ROUND(OFFSET($P407,0,AJ$13),15-13*ORÇAMENTO!$AF$7)/$H407*OFFSET(ORÇAMENTO!$X$15,ROW(AJ407)-ROW(AJ$15),0),
ROUND(ROUND(OFFSET($P407,0,AJ$13),15-13*ORÇAMENTO!$AF$7)*OFFSET(ORÇAMENTO!$W$15,ROW(AJ407)-ROW(AJ$15),0),15-13*ORÇAMENTO!$AF$11)),0)</f>
        <v>0</v>
      </c>
      <c r="AK407" s="546">
        <f ca="1">IF(AND($D407="Serviço",AK$12&lt;&gt;0,$H407&gt;0,OR(AUTOEVENTO&lt;&gt;"manual",$M407&lt;&gt;1)),
IF(Import.TipoArredondamento&lt;&gt;"TransfereGOV",
ROUND(OFFSET($P407,0,AK$13),15-13*ORÇAMENTO!$AF$7)/$H407*OFFSET(ORÇAMENTO!$X$15,ROW(AK407)-ROW(AK$15),0),
ROUND(ROUND(OFFSET($P407,0,AK$13),15-13*ORÇAMENTO!$AF$7)*OFFSET(ORÇAMENTO!$W$15,ROW(AK407)-ROW(AK$15),0),15-13*ORÇAMENTO!$AF$11)),0)</f>
        <v>0</v>
      </c>
      <c r="AM407" s="181">
        <f ca="1">IF($D407&lt;&gt;"Serviço",0,IF(AND(AUTOEVENTO="Manual",$M407=1),0,IF(OFFSET(CRONOPLE!$F$14,$M407,AM$13)="",10^12,OFFSET(CRONOPLE!$F$14,$M407,AM$13))))</f>
        <v>1000000000000</v>
      </c>
      <c r="AN407" s="181">
        <f ca="1">IF($D407&lt;&gt;"Serviço",0,IF(AND(AUTOEVENTO="Manual",$M407=1),0,IF(OFFSET(CRONOPLE!$F$14,$M407,AN$13)="",10^12,OFFSET(CRONOPLE!$F$14,$M407,AN$13))))</f>
        <v>1000000000000</v>
      </c>
      <c r="AO407" s="181">
        <f ca="1">IF($D407&lt;&gt;"Serviço",0,IF(AND(AUTOEVENTO="Manual",$M407=1),0,IF(OFFSET(CRONOPLE!$F$14,$M407,AO$13)="",10^12,OFFSET(CRONOPLE!$F$14,$M407,AO$13))))</f>
        <v>1000000000000</v>
      </c>
      <c r="AP407" s="181">
        <f ca="1">IF($D407&lt;&gt;"Serviço",0,IF(AND(AUTOEVENTO="Manual",$M407=1),0,IF(OFFSET(CRONOPLE!$F$14,$M407,AP$13)="",10^12,OFFSET(CRONOPLE!$F$14,$M407,AP$13))))</f>
        <v>1000000000000</v>
      </c>
      <c r="AQ407" s="181">
        <f ca="1">IF($D407&lt;&gt;"Serviço",0,IF(AND(AUTOEVENTO="Manual",$M407=1),0,IF(OFFSET(CRONOPLE!$F$14,$M407,AQ$13)="",10^12,OFFSET(CRONOPLE!$F$14,$M407,AQ$13))))</f>
        <v>1000000000000</v>
      </c>
      <c r="AR407" s="181">
        <f ca="1">IF($D407&lt;&gt;"Serviço",0,IF(AND(AUTOEVENTO="Manual",$M407=1),0,IF(OFFSET(CRONOPLE!$F$14,$M407,AR$13)="",10^12,OFFSET(CRONOPLE!$F$14,$M407,AR$13))))</f>
        <v>1000000000000</v>
      </c>
      <c r="AS407" s="181">
        <f ca="1">IF($D407&lt;&gt;"Serviço",0,IF(AND(AUTOEVENTO="Manual",$M407=1),0,IF(OFFSET(CRONOPLE!$F$14,$M407,AS$13)="",10^12,OFFSET(CRONOPLE!$F$14,$M407,AS$13))))</f>
        <v>1000000000000</v>
      </c>
      <c r="AT407" s="181">
        <f ca="1">IF($D407&lt;&gt;"Serviço",0,IF(AND(AUTOEVENTO="Manual",$M407=1),0,IF(OFFSET(CRONOPLE!$F$14,$M407,AT$13)="",10^12,OFFSET(CRONOPLE!$F$14,$M407,AT$13))))</f>
        <v>1000000000000</v>
      </c>
      <c r="AU407" s="181">
        <f ca="1">IF($D407&lt;&gt;"Serviço",0,IF(AND(AUTOEVENTO="Manual",$M407=1),0,IF(OFFSET(CRONOPLE!$F$14,$M407,AU$13)="",10^12,OFFSET(CRONOPLE!$F$14,$M407,AU$13))))</f>
        <v>1000000000000</v>
      </c>
      <c r="AV407" s="181">
        <f ca="1">IF($D407&lt;&gt;"Serviço",0,IF(AND(AUTOEVENTO="Manual",$M407=1),0,IF(OFFSET(CRONOPLE!$F$14,$M407,AV$13)="",10^12,OFFSET(CRONOPLE!$F$14,$M407,AV$13))))</f>
        <v>1000000000000</v>
      </c>
      <c r="AX407" s="182">
        <f ca="1">IF($D407&lt;&gt;"Serviço",0,IF(OR(AND(AUTOEVENTO="Manual",$M407=1),$M407&gt;(ROW(PLE.lastrow)-ROW(PLE.firstrow))),0,IF(OFFSET(PLE!$G$14,$M407,AX$13)="",10^12,OFFSET(PLE!$G$14,$M407,AX$13))))</f>
        <v>1000000000000</v>
      </c>
      <c r="AY407" s="182">
        <f ca="1">IF($D407&lt;&gt;"Serviço",0,IF(OR(AND(AUTOEVENTO="Manual",$M407=1),$M407&gt;(ROW(PLE.lastrow)-ROW(PLE.firstrow))),0,IF(OFFSET(PLE!$G$14,$M407,AY$13)="",10^12,OFFSET(PLE!$G$14,$M407,AY$13))))</f>
        <v>1000000000000</v>
      </c>
      <c r="AZ407" s="182">
        <f ca="1">IF($D407&lt;&gt;"Serviço",0,IF(OR(AND(AUTOEVENTO="Manual",$M407=1),$M407&gt;(ROW(PLE.lastrow)-ROW(PLE.firstrow))),0,IF(OFFSET(PLE!$G$14,$M407,AZ$13)="",10^12,OFFSET(PLE!$G$14,$M407,AZ$13))))</f>
        <v>1000000000000</v>
      </c>
      <c r="BA407" s="182">
        <f ca="1">IF($D407&lt;&gt;"Serviço",0,IF(OR(AND(AUTOEVENTO="Manual",$M407=1),$M407&gt;(ROW(PLE.lastrow)-ROW(PLE.firstrow))),0,IF(OFFSET(PLE!$G$14,$M407,BA$13)="",10^12,OFFSET(PLE!$G$14,$M407,BA$13))))</f>
        <v>1000000000000</v>
      </c>
      <c r="BB407" s="182">
        <f ca="1">IF($D407&lt;&gt;"Serviço",0,IF(OR(AND(AUTOEVENTO="Manual",$M407=1),$M407&gt;(ROW(PLE.lastrow)-ROW(PLE.firstrow))),0,IF(OFFSET(PLE!$G$14,$M407,BB$13)="",10^12,OFFSET(PLE!$G$14,$M407,BB$13))))</f>
        <v>1000000000000</v>
      </c>
      <c r="BC407" s="182">
        <f ca="1">IF($D407&lt;&gt;"Serviço",0,IF(OR(AND(AUTOEVENTO="Manual",$M407=1),$M407&gt;(ROW(PLE.lastrow)-ROW(PLE.firstrow))),0,IF(OFFSET(PLE!$G$14,$M407,BC$13)="",10^12,OFFSET(PLE!$G$14,$M407,BC$13))))</f>
        <v>1000000000000</v>
      </c>
      <c r="BD407" s="182">
        <f ca="1">IF($D407&lt;&gt;"Serviço",0,IF(OR(AND(AUTOEVENTO="Manual",$M407=1),$M407&gt;(ROW(PLE.lastrow)-ROW(PLE.firstrow))),0,IF(OFFSET(PLE!$G$14,$M407,BD$13)="",10^12,OFFSET(PLE!$G$14,$M407,BD$13))))</f>
        <v>1000000000000</v>
      </c>
      <c r="BE407" s="182">
        <f ca="1">IF($D407&lt;&gt;"Serviço",0,IF(OR(AND(AUTOEVENTO="Manual",$M407=1),$M407&gt;(ROW(PLE.lastrow)-ROW(PLE.firstrow))),0,IF(OFFSET(PLE!$G$14,$M407,BE$13)="",10^12,OFFSET(PLE!$G$14,$M407,BE$13))))</f>
        <v>1000000000000</v>
      </c>
      <c r="BF407" s="182">
        <f ca="1">IF($D407&lt;&gt;"Serviço",0,IF(OR(AND(AUTOEVENTO="Manual",$M407=1),$M407&gt;(ROW(PLE.lastrow)-ROW(PLE.firstrow))),0,IF(OFFSET(PLE!$G$14,$M407,BF$13)="",10^12,OFFSET(PLE!$G$14,$M407,BF$13))))</f>
        <v>1000000000000</v>
      </c>
      <c r="BG407" s="182">
        <f ca="1">IF($D407&lt;&gt;"Serviço",0,IF(OR(AND(AUTOEVENTO="Manual",$M407=1),$M407&gt;(ROW(PLE.lastrow)-ROW(PLE.firstrow))),0,IF(OFFSET(PLE!$G$14,$M407,BG$13)="",10^12,OFFSET(PLE!$G$14,$M407,BG$13))))</f>
        <v>1000000000000</v>
      </c>
    </row>
    <row r="408" spans="1:59" ht="25.5" x14ac:dyDescent="0.2">
      <c r="A408" s="7" t="str">
        <f t="shared" ca="1" si="11"/>
        <v>376</v>
      </c>
      <c r="B408" s="7" t="str">
        <f ca="1">OFFSET(ORÇAMENTO!C$15,ROW(B408)-ROW(B$15),0)</f>
        <v>S</v>
      </c>
      <c r="C408" s="7" t="str">
        <f ca="1">OFFSET(ORÇAMENTO!L$15,ROW(C408)-ROW(C$15),0)</f>
        <v/>
      </c>
      <c r="D408" s="118" t="str">
        <f ca="1">OFFSET(ORÇAMENTO!N$15,ROW(D408)-ROW(D$15),0)</f>
        <v>Serviço</v>
      </c>
      <c r="E408" s="119" t="str">
        <f ca="1">OFFSET(ORÇAMENTO!O$15,ROW(E408)-ROW(E$15),0)</f>
        <v>-</v>
      </c>
      <c r="F408" s="172" t="str">
        <f ca="1">OFFSET(ORÇAMENTO!R$15,ROW(F408)-ROW(F$15),0)</f>
        <v>(abra o arquivo 'Referência 02-2025.xlsm)</v>
      </c>
      <c r="G408" s="173" t="str">
        <f ca="1">IF($D408&lt;&gt;"Serviço","",OFFSET(ORÇAMENTO!S$15,ROW(G408)-ROW(G$15),0))</f>
        <v>-</v>
      </c>
      <c r="H408" s="124">
        <f ca="1">IF($D408&lt;&gt;"Serviço",0,IF(ACOMPANHAMENTO="BM",ROUND(OFFSET(ORÇAMENTO!AJ$15,ROW(H408)-ROW(H$15),0),15-13*ORÇAMENTO!$AF$7),SUMPRODUCT(($Q$12:$AA$12&lt;&gt;"")*ROUND($Q408:$AA408,15-13*ORÇAMENTO!$AF$7))))</f>
        <v>28</v>
      </c>
      <c r="I408" s="561" t="s">
        <v>890</v>
      </c>
      <c r="K408" s="174"/>
      <c r="L408" s="175" t="s">
        <v>255</v>
      </c>
      <c r="M408" s="176">
        <f ca="1">IF($D408&lt;&gt;"Serviço","",IF(AUTOEVENTO="manual",$A408,IF(ISERROR(MATCH($A408,$A$15:OFFSET($A408,-1,0),0)),MAX($M$15:OFFSET(M408,-1,0))+1,INDEX($M$15:OFFSET(M408,-1,0),MATCH($A408,$A$15:OFFSET($A408,-1,0),0)))))</f>
        <v>16</v>
      </c>
      <c r="N408" s="177" t="str">
        <f ca="1">IF($D408&lt;&gt;"Serviço","",IF(AUTOEVENTO="Manual",IF($A408=0,"&lt;-- defina o número do agrupador",OFFSET(EVENTOS!$D$14,$A408,0)),OFFSET($F$15,$A408,0)))</f>
        <v>LOUÇAS, ACESSÓRIOS E METAIS</v>
      </c>
      <c r="O408" s="178"/>
      <c r="Q408" s="178"/>
      <c r="R408" s="179"/>
      <c r="S408" s="179"/>
      <c r="T408" s="179"/>
      <c r="U408" s="179"/>
      <c r="V408" s="179"/>
      <c r="W408" s="179"/>
      <c r="X408" s="179"/>
      <c r="Y408" s="179"/>
      <c r="Z408" s="180"/>
      <c r="AB408" s="544">
        <f ca="1">IF(AND($D408="Serviço",AB$12&lt;&gt;0,$H408&gt;0,OR(AUTOEVENTO&lt;&gt;"manual",$M408&lt;&gt;1)),
IF(Import.TipoArredondamento&lt;&gt;"TransfereGOV",
ROUND(OFFSET($P408,0,AB$13),15-13*ORÇAMENTO!$AF$7)/$H408*OFFSET(ORÇAMENTO!$X$15,ROW(AB408)-ROW(AB$15),0),
ROUND(ROUND(OFFSET($P408,0,AB$13),15-13*ORÇAMENTO!$AF$7)*OFFSET(ORÇAMENTO!$W$15,ROW(AB408)-ROW(AB$15),0),15-13*ORÇAMENTO!$AF$11)),0)</f>
        <v>0</v>
      </c>
      <c r="AC408" s="545">
        <f ca="1">IF(AND($D408="Serviço",AC$12&lt;&gt;0,$H408&gt;0,OR(AUTOEVENTO&lt;&gt;"manual",$M408&lt;&gt;1)),
IF(Import.TipoArredondamento&lt;&gt;"TransfereGOV",
ROUND(OFFSET($P408,0,AC$13),15-13*ORÇAMENTO!$AF$7)/$H408*OFFSET(ORÇAMENTO!$X$15,ROW(AC408)-ROW(AC$15),0),
ROUND(ROUND(OFFSET($P408,0,AC$13),15-13*ORÇAMENTO!$AF$7)*OFFSET(ORÇAMENTO!$W$15,ROW(AC408)-ROW(AC$15),0),15-13*ORÇAMENTO!$AF$11)),0)</f>
        <v>0</v>
      </c>
      <c r="AD408" s="545">
        <f ca="1">IF(AND($D408="Serviço",AD$12&lt;&gt;0,$H408&gt;0,OR(AUTOEVENTO&lt;&gt;"manual",$M408&lt;&gt;1)),
IF(Import.TipoArredondamento&lt;&gt;"TransfereGOV",
ROUND(OFFSET($P408,0,AD$13),15-13*ORÇAMENTO!$AF$7)/$H408*OFFSET(ORÇAMENTO!$X$15,ROW(AD408)-ROW(AD$15),0),
ROUND(ROUND(OFFSET($P408,0,AD$13),15-13*ORÇAMENTO!$AF$7)*OFFSET(ORÇAMENTO!$W$15,ROW(AD408)-ROW(AD$15),0),15-13*ORÇAMENTO!$AF$11)),0)</f>
        <v>0</v>
      </c>
      <c r="AE408" s="545">
        <f ca="1">IF(AND($D408="Serviço",AE$12&lt;&gt;0,$H408&gt;0,OR(AUTOEVENTO&lt;&gt;"manual",$M408&lt;&gt;1)),
IF(Import.TipoArredondamento&lt;&gt;"TransfereGOV",
ROUND(OFFSET($P408,0,AE$13),15-13*ORÇAMENTO!$AF$7)/$H408*OFFSET(ORÇAMENTO!$X$15,ROW(AE408)-ROW(AE$15),0),
ROUND(ROUND(OFFSET($P408,0,AE$13),15-13*ORÇAMENTO!$AF$7)*OFFSET(ORÇAMENTO!$W$15,ROW(AE408)-ROW(AE$15),0),15-13*ORÇAMENTO!$AF$11)),0)</f>
        <v>0</v>
      </c>
      <c r="AF408" s="545">
        <f ca="1">IF(AND($D408="Serviço",AF$12&lt;&gt;0,$H408&gt;0,OR(AUTOEVENTO&lt;&gt;"manual",$M408&lt;&gt;1)),
IF(Import.TipoArredondamento&lt;&gt;"TransfereGOV",
ROUND(OFFSET($P408,0,AF$13),15-13*ORÇAMENTO!$AF$7)/$H408*OFFSET(ORÇAMENTO!$X$15,ROW(AF408)-ROW(AF$15),0),
ROUND(ROUND(OFFSET($P408,0,AF$13),15-13*ORÇAMENTO!$AF$7)*OFFSET(ORÇAMENTO!$W$15,ROW(AF408)-ROW(AF$15),0),15-13*ORÇAMENTO!$AF$11)),0)</f>
        <v>0</v>
      </c>
      <c r="AG408" s="545">
        <f ca="1">IF(AND($D408="Serviço",AG$12&lt;&gt;0,$H408&gt;0,OR(AUTOEVENTO&lt;&gt;"manual",$M408&lt;&gt;1)),
IF(Import.TipoArredondamento&lt;&gt;"TransfereGOV",
ROUND(OFFSET($P408,0,AG$13),15-13*ORÇAMENTO!$AF$7)/$H408*OFFSET(ORÇAMENTO!$X$15,ROW(AG408)-ROW(AG$15),0),
ROUND(ROUND(OFFSET($P408,0,AG$13),15-13*ORÇAMENTO!$AF$7)*OFFSET(ORÇAMENTO!$W$15,ROW(AG408)-ROW(AG$15),0),15-13*ORÇAMENTO!$AF$11)),0)</f>
        <v>0</v>
      </c>
      <c r="AH408" s="545">
        <f ca="1">IF(AND($D408="Serviço",AH$12&lt;&gt;0,$H408&gt;0,OR(AUTOEVENTO&lt;&gt;"manual",$M408&lt;&gt;1)),
IF(Import.TipoArredondamento&lt;&gt;"TransfereGOV",
ROUND(OFFSET($P408,0,AH$13),15-13*ORÇAMENTO!$AF$7)/$H408*OFFSET(ORÇAMENTO!$X$15,ROW(AH408)-ROW(AH$15),0),
ROUND(ROUND(OFFSET($P408,0,AH$13),15-13*ORÇAMENTO!$AF$7)*OFFSET(ORÇAMENTO!$W$15,ROW(AH408)-ROW(AH$15),0),15-13*ORÇAMENTO!$AF$11)),0)</f>
        <v>0</v>
      </c>
      <c r="AI408" s="545">
        <f ca="1">IF(AND($D408="Serviço",AI$12&lt;&gt;0,$H408&gt;0,OR(AUTOEVENTO&lt;&gt;"manual",$M408&lt;&gt;1)),
IF(Import.TipoArredondamento&lt;&gt;"TransfereGOV",
ROUND(OFFSET($P408,0,AI$13),15-13*ORÇAMENTO!$AF$7)/$H408*OFFSET(ORÇAMENTO!$X$15,ROW(AI408)-ROW(AI$15),0),
ROUND(ROUND(OFFSET($P408,0,AI$13),15-13*ORÇAMENTO!$AF$7)*OFFSET(ORÇAMENTO!$W$15,ROW(AI408)-ROW(AI$15),0),15-13*ORÇAMENTO!$AF$11)),0)</f>
        <v>0</v>
      </c>
      <c r="AJ408" s="545">
        <f ca="1">IF(AND($D408="Serviço",AJ$12&lt;&gt;0,$H408&gt;0,OR(AUTOEVENTO&lt;&gt;"manual",$M408&lt;&gt;1)),
IF(Import.TipoArredondamento&lt;&gt;"TransfereGOV",
ROUND(OFFSET($P408,0,AJ$13),15-13*ORÇAMENTO!$AF$7)/$H408*OFFSET(ORÇAMENTO!$X$15,ROW(AJ408)-ROW(AJ$15),0),
ROUND(ROUND(OFFSET($P408,0,AJ$13),15-13*ORÇAMENTO!$AF$7)*OFFSET(ORÇAMENTO!$W$15,ROW(AJ408)-ROW(AJ$15),0),15-13*ORÇAMENTO!$AF$11)),0)</f>
        <v>0</v>
      </c>
      <c r="AK408" s="546">
        <f ca="1">IF(AND($D408="Serviço",AK$12&lt;&gt;0,$H408&gt;0,OR(AUTOEVENTO&lt;&gt;"manual",$M408&lt;&gt;1)),
IF(Import.TipoArredondamento&lt;&gt;"TransfereGOV",
ROUND(OFFSET($P408,0,AK$13),15-13*ORÇAMENTO!$AF$7)/$H408*OFFSET(ORÇAMENTO!$X$15,ROW(AK408)-ROW(AK$15),0),
ROUND(ROUND(OFFSET($P408,0,AK$13),15-13*ORÇAMENTO!$AF$7)*OFFSET(ORÇAMENTO!$W$15,ROW(AK408)-ROW(AK$15),0),15-13*ORÇAMENTO!$AF$11)),0)</f>
        <v>0</v>
      </c>
      <c r="AM408" s="181">
        <f ca="1">IF($D408&lt;&gt;"Serviço",0,IF(AND(AUTOEVENTO="Manual",$M408=1),0,IF(OFFSET(CRONOPLE!$F$14,$M408,AM$13)="",10^12,OFFSET(CRONOPLE!$F$14,$M408,AM$13))))</f>
        <v>1000000000000</v>
      </c>
      <c r="AN408" s="181">
        <f ca="1">IF($D408&lt;&gt;"Serviço",0,IF(AND(AUTOEVENTO="Manual",$M408=1),0,IF(OFFSET(CRONOPLE!$F$14,$M408,AN$13)="",10^12,OFFSET(CRONOPLE!$F$14,$M408,AN$13))))</f>
        <v>1000000000000</v>
      </c>
      <c r="AO408" s="181">
        <f ca="1">IF($D408&lt;&gt;"Serviço",0,IF(AND(AUTOEVENTO="Manual",$M408=1),0,IF(OFFSET(CRONOPLE!$F$14,$M408,AO$13)="",10^12,OFFSET(CRONOPLE!$F$14,$M408,AO$13))))</f>
        <v>1000000000000</v>
      </c>
      <c r="AP408" s="181">
        <f ca="1">IF($D408&lt;&gt;"Serviço",0,IF(AND(AUTOEVENTO="Manual",$M408=1),0,IF(OFFSET(CRONOPLE!$F$14,$M408,AP$13)="",10^12,OFFSET(CRONOPLE!$F$14,$M408,AP$13))))</f>
        <v>1000000000000</v>
      </c>
      <c r="AQ408" s="181">
        <f ca="1">IF($D408&lt;&gt;"Serviço",0,IF(AND(AUTOEVENTO="Manual",$M408=1),0,IF(OFFSET(CRONOPLE!$F$14,$M408,AQ$13)="",10^12,OFFSET(CRONOPLE!$F$14,$M408,AQ$13))))</f>
        <v>1000000000000</v>
      </c>
      <c r="AR408" s="181">
        <f ca="1">IF($D408&lt;&gt;"Serviço",0,IF(AND(AUTOEVENTO="Manual",$M408=1),0,IF(OFFSET(CRONOPLE!$F$14,$M408,AR$13)="",10^12,OFFSET(CRONOPLE!$F$14,$M408,AR$13))))</f>
        <v>1000000000000</v>
      </c>
      <c r="AS408" s="181">
        <f ca="1">IF($D408&lt;&gt;"Serviço",0,IF(AND(AUTOEVENTO="Manual",$M408=1),0,IF(OFFSET(CRONOPLE!$F$14,$M408,AS$13)="",10^12,OFFSET(CRONOPLE!$F$14,$M408,AS$13))))</f>
        <v>1000000000000</v>
      </c>
      <c r="AT408" s="181">
        <f ca="1">IF($D408&lt;&gt;"Serviço",0,IF(AND(AUTOEVENTO="Manual",$M408=1),0,IF(OFFSET(CRONOPLE!$F$14,$M408,AT$13)="",10^12,OFFSET(CRONOPLE!$F$14,$M408,AT$13))))</f>
        <v>1000000000000</v>
      </c>
      <c r="AU408" s="181">
        <f ca="1">IF($D408&lt;&gt;"Serviço",0,IF(AND(AUTOEVENTO="Manual",$M408=1),0,IF(OFFSET(CRONOPLE!$F$14,$M408,AU$13)="",10^12,OFFSET(CRONOPLE!$F$14,$M408,AU$13))))</f>
        <v>1000000000000</v>
      </c>
      <c r="AV408" s="181">
        <f ca="1">IF($D408&lt;&gt;"Serviço",0,IF(AND(AUTOEVENTO="Manual",$M408=1),0,IF(OFFSET(CRONOPLE!$F$14,$M408,AV$13)="",10^12,OFFSET(CRONOPLE!$F$14,$M408,AV$13))))</f>
        <v>1000000000000</v>
      </c>
      <c r="AX408" s="182">
        <f ca="1">IF($D408&lt;&gt;"Serviço",0,IF(OR(AND(AUTOEVENTO="Manual",$M408=1),$M408&gt;(ROW(PLE.lastrow)-ROW(PLE.firstrow))),0,IF(OFFSET(PLE!$G$14,$M408,AX$13)="",10^12,OFFSET(PLE!$G$14,$M408,AX$13))))</f>
        <v>1000000000000</v>
      </c>
      <c r="AY408" s="182">
        <f ca="1">IF($D408&lt;&gt;"Serviço",0,IF(OR(AND(AUTOEVENTO="Manual",$M408=1),$M408&gt;(ROW(PLE.lastrow)-ROW(PLE.firstrow))),0,IF(OFFSET(PLE!$G$14,$M408,AY$13)="",10^12,OFFSET(PLE!$G$14,$M408,AY$13))))</f>
        <v>1000000000000</v>
      </c>
      <c r="AZ408" s="182">
        <f ca="1">IF($D408&lt;&gt;"Serviço",0,IF(OR(AND(AUTOEVENTO="Manual",$M408=1),$M408&gt;(ROW(PLE.lastrow)-ROW(PLE.firstrow))),0,IF(OFFSET(PLE!$G$14,$M408,AZ$13)="",10^12,OFFSET(PLE!$G$14,$M408,AZ$13))))</f>
        <v>1000000000000</v>
      </c>
      <c r="BA408" s="182">
        <f ca="1">IF($D408&lt;&gt;"Serviço",0,IF(OR(AND(AUTOEVENTO="Manual",$M408=1),$M408&gt;(ROW(PLE.lastrow)-ROW(PLE.firstrow))),0,IF(OFFSET(PLE!$G$14,$M408,BA$13)="",10^12,OFFSET(PLE!$G$14,$M408,BA$13))))</f>
        <v>1000000000000</v>
      </c>
      <c r="BB408" s="182">
        <f ca="1">IF($D408&lt;&gt;"Serviço",0,IF(OR(AND(AUTOEVENTO="Manual",$M408=1),$M408&gt;(ROW(PLE.lastrow)-ROW(PLE.firstrow))),0,IF(OFFSET(PLE!$G$14,$M408,BB$13)="",10^12,OFFSET(PLE!$G$14,$M408,BB$13))))</f>
        <v>1000000000000</v>
      </c>
      <c r="BC408" s="182">
        <f ca="1">IF($D408&lt;&gt;"Serviço",0,IF(OR(AND(AUTOEVENTO="Manual",$M408=1),$M408&gt;(ROW(PLE.lastrow)-ROW(PLE.firstrow))),0,IF(OFFSET(PLE!$G$14,$M408,BC$13)="",10^12,OFFSET(PLE!$G$14,$M408,BC$13))))</f>
        <v>1000000000000</v>
      </c>
      <c r="BD408" s="182">
        <f ca="1">IF($D408&lt;&gt;"Serviço",0,IF(OR(AND(AUTOEVENTO="Manual",$M408=1),$M408&gt;(ROW(PLE.lastrow)-ROW(PLE.firstrow))),0,IF(OFFSET(PLE!$G$14,$M408,BD$13)="",10^12,OFFSET(PLE!$G$14,$M408,BD$13))))</f>
        <v>1000000000000</v>
      </c>
      <c r="BE408" s="182">
        <f ca="1">IF($D408&lt;&gt;"Serviço",0,IF(OR(AND(AUTOEVENTO="Manual",$M408=1),$M408&gt;(ROW(PLE.lastrow)-ROW(PLE.firstrow))),0,IF(OFFSET(PLE!$G$14,$M408,BE$13)="",10^12,OFFSET(PLE!$G$14,$M408,BE$13))))</f>
        <v>1000000000000</v>
      </c>
      <c r="BF408" s="182">
        <f ca="1">IF($D408&lt;&gt;"Serviço",0,IF(OR(AND(AUTOEVENTO="Manual",$M408=1),$M408&gt;(ROW(PLE.lastrow)-ROW(PLE.firstrow))),0,IF(OFFSET(PLE!$G$14,$M408,BF$13)="",10^12,OFFSET(PLE!$G$14,$M408,BF$13))))</f>
        <v>1000000000000</v>
      </c>
      <c r="BG408" s="182">
        <f ca="1">IF($D408&lt;&gt;"Serviço",0,IF(OR(AND(AUTOEVENTO="Manual",$M408=1),$M408&gt;(ROW(PLE.lastrow)-ROW(PLE.firstrow))),0,IF(OFFSET(PLE!$G$14,$M408,BG$13)="",10^12,OFFSET(PLE!$G$14,$M408,BG$13))))</f>
        <v>1000000000000</v>
      </c>
    </row>
    <row r="409" spans="1:59" ht="38.25" x14ac:dyDescent="0.2">
      <c r="A409" s="7" t="str">
        <f t="shared" ca="1" si="11"/>
        <v>376</v>
      </c>
      <c r="B409" s="7" t="str">
        <f ca="1">OFFSET(ORÇAMENTO!C$15,ROW(B409)-ROW(B$15),0)</f>
        <v>S</v>
      </c>
      <c r="C409" s="7" t="str">
        <f ca="1">OFFSET(ORÇAMENTO!L$15,ROW(C409)-ROW(C$15),0)</f>
        <v/>
      </c>
      <c r="D409" s="118" t="str">
        <f ca="1">OFFSET(ORÇAMENTO!N$15,ROW(D409)-ROW(D$15),0)</f>
        <v>Serviço</v>
      </c>
      <c r="E409" s="119" t="str">
        <f ca="1">OFFSET(ORÇAMENTO!O$15,ROW(E409)-ROW(E$15),0)</f>
        <v>-</v>
      </c>
      <c r="F409" s="172" t="str">
        <f ca="1">OFFSET(ORÇAMENTO!R$15,ROW(F409)-ROW(F$15),0)</f>
        <v>(abra o arquivo 'Referência 02-2025.xlsm)</v>
      </c>
      <c r="G409" s="173" t="str">
        <f ca="1">IF($D409&lt;&gt;"Serviço","",OFFSET(ORÇAMENTO!S$15,ROW(G409)-ROW(G$15),0))</f>
        <v>-</v>
      </c>
      <c r="H409" s="124">
        <f ca="1">IF($D409&lt;&gt;"Serviço",0,IF(ACOMPANHAMENTO="BM",ROUND(OFFSET(ORÇAMENTO!AJ$15,ROW(H409)-ROW(H$15),0),15-13*ORÇAMENTO!$AF$7),SUMPRODUCT(($Q$12:$AA$12&lt;&gt;"")*ROUND($Q409:$AA409,15-13*ORÇAMENTO!$AF$7))))</f>
        <v>19</v>
      </c>
      <c r="I409" s="561" t="s">
        <v>890</v>
      </c>
      <c r="K409" s="174"/>
      <c r="L409" s="175" t="s">
        <v>255</v>
      </c>
      <c r="M409" s="176">
        <f ca="1">IF($D409&lt;&gt;"Serviço","",IF(AUTOEVENTO="manual",$A409,IF(ISERROR(MATCH($A409,$A$15:OFFSET($A409,-1,0),0)),MAX($M$15:OFFSET(M409,-1,0))+1,INDEX($M$15:OFFSET(M409,-1,0),MATCH($A409,$A$15:OFFSET($A409,-1,0),0)))))</f>
        <v>16</v>
      </c>
      <c r="N409" s="177" t="str">
        <f ca="1">IF($D409&lt;&gt;"Serviço","",IF(AUTOEVENTO="Manual",IF($A409=0,"&lt;-- defina o número do agrupador",OFFSET(EVENTOS!$D$14,$A409,0)),OFFSET($F$15,$A409,0)))</f>
        <v>LOUÇAS, ACESSÓRIOS E METAIS</v>
      </c>
      <c r="O409" s="178"/>
      <c r="Q409" s="178"/>
      <c r="R409" s="179"/>
      <c r="S409" s="179"/>
      <c r="T409" s="179"/>
      <c r="U409" s="179"/>
      <c r="V409" s="179"/>
      <c r="W409" s="179"/>
      <c r="X409" s="179"/>
      <c r="Y409" s="179"/>
      <c r="Z409" s="180"/>
      <c r="AB409" s="544">
        <f ca="1">IF(AND($D409="Serviço",AB$12&lt;&gt;0,$H409&gt;0,OR(AUTOEVENTO&lt;&gt;"manual",$M409&lt;&gt;1)),
IF(Import.TipoArredondamento&lt;&gt;"TransfereGOV",
ROUND(OFFSET($P409,0,AB$13),15-13*ORÇAMENTO!$AF$7)/$H409*OFFSET(ORÇAMENTO!$X$15,ROW(AB409)-ROW(AB$15),0),
ROUND(ROUND(OFFSET($P409,0,AB$13),15-13*ORÇAMENTO!$AF$7)*OFFSET(ORÇAMENTO!$W$15,ROW(AB409)-ROW(AB$15),0),15-13*ORÇAMENTO!$AF$11)),0)</f>
        <v>0</v>
      </c>
      <c r="AC409" s="545">
        <f ca="1">IF(AND($D409="Serviço",AC$12&lt;&gt;0,$H409&gt;0,OR(AUTOEVENTO&lt;&gt;"manual",$M409&lt;&gt;1)),
IF(Import.TipoArredondamento&lt;&gt;"TransfereGOV",
ROUND(OFFSET($P409,0,AC$13),15-13*ORÇAMENTO!$AF$7)/$H409*OFFSET(ORÇAMENTO!$X$15,ROW(AC409)-ROW(AC$15),0),
ROUND(ROUND(OFFSET($P409,0,AC$13),15-13*ORÇAMENTO!$AF$7)*OFFSET(ORÇAMENTO!$W$15,ROW(AC409)-ROW(AC$15),0),15-13*ORÇAMENTO!$AF$11)),0)</f>
        <v>0</v>
      </c>
      <c r="AD409" s="545">
        <f ca="1">IF(AND($D409="Serviço",AD$12&lt;&gt;0,$H409&gt;0,OR(AUTOEVENTO&lt;&gt;"manual",$M409&lt;&gt;1)),
IF(Import.TipoArredondamento&lt;&gt;"TransfereGOV",
ROUND(OFFSET($P409,0,AD$13),15-13*ORÇAMENTO!$AF$7)/$H409*OFFSET(ORÇAMENTO!$X$15,ROW(AD409)-ROW(AD$15),0),
ROUND(ROUND(OFFSET($P409,0,AD$13),15-13*ORÇAMENTO!$AF$7)*OFFSET(ORÇAMENTO!$W$15,ROW(AD409)-ROW(AD$15),0),15-13*ORÇAMENTO!$AF$11)),0)</f>
        <v>0</v>
      </c>
      <c r="AE409" s="545">
        <f ca="1">IF(AND($D409="Serviço",AE$12&lt;&gt;0,$H409&gt;0,OR(AUTOEVENTO&lt;&gt;"manual",$M409&lt;&gt;1)),
IF(Import.TipoArredondamento&lt;&gt;"TransfereGOV",
ROUND(OFFSET($P409,0,AE$13),15-13*ORÇAMENTO!$AF$7)/$H409*OFFSET(ORÇAMENTO!$X$15,ROW(AE409)-ROW(AE$15),0),
ROUND(ROUND(OFFSET($P409,0,AE$13),15-13*ORÇAMENTO!$AF$7)*OFFSET(ORÇAMENTO!$W$15,ROW(AE409)-ROW(AE$15),0),15-13*ORÇAMENTO!$AF$11)),0)</f>
        <v>0</v>
      </c>
      <c r="AF409" s="545">
        <f ca="1">IF(AND($D409="Serviço",AF$12&lt;&gt;0,$H409&gt;0,OR(AUTOEVENTO&lt;&gt;"manual",$M409&lt;&gt;1)),
IF(Import.TipoArredondamento&lt;&gt;"TransfereGOV",
ROUND(OFFSET($P409,0,AF$13),15-13*ORÇAMENTO!$AF$7)/$H409*OFFSET(ORÇAMENTO!$X$15,ROW(AF409)-ROW(AF$15),0),
ROUND(ROUND(OFFSET($P409,0,AF$13),15-13*ORÇAMENTO!$AF$7)*OFFSET(ORÇAMENTO!$W$15,ROW(AF409)-ROW(AF$15),0),15-13*ORÇAMENTO!$AF$11)),0)</f>
        <v>0</v>
      </c>
      <c r="AG409" s="545">
        <f ca="1">IF(AND($D409="Serviço",AG$12&lt;&gt;0,$H409&gt;0,OR(AUTOEVENTO&lt;&gt;"manual",$M409&lt;&gt;1)),
IF(Import.TipoArredondamento&lt;&gt;"TransfereGOV",
ROUND(OFFSET($P409,0,AG$13),15-13*ORÇAMENTO!$AF$7)/$H409*OFFSET(ORÇAMENTO!$X$15,ROW(AG409)-ROW(AG$15),0),
ROUND(ROUND(OFFSET($P409,0,AG$13),15-13*ORÇAMENTO!$AF$7)*OFFSET(ORÇAMENTO!$W$15,ROW(AG409)-ROW(AG$15),0),15-13*ORÇAMENTO!$AF$11)),0)</f>
        <v>0</v>
      </c>
      <c r="AH409" s="545">
        <f ca="1">IF(AND($D409="Serviço",AH$12&lt;&gt;0,$H409&gt;0,OR(AUTOEVENTO&lt;&gt;"manual",$M409&lt;&gt;1)),
IF(Import.TipoArredondamento&lt;&gt;"TransfereGOV",
ROUND(OFFSET($P409,0,AH$13),15-13*ORÇAMENTO!$AF$7)/$H409*OFFSET(ORÇAMENTO!$X$15,ROW(AH409)-ROW(AH$15),0),
ROUND(ROUND(OFFSET($P409,0,AH$13),15-13*ORÇAMENTO!$AF$7)*OFFSET(ORÇAMENTO!$W$15,ROW(AH409)-ROW(AH$15),0),15-13*ORÇAMENTO!$AF$11)),0)</f>
        <v>0</v>
      </c>
      <c r="AI409" s="545">
        <f ca="1">IF(AND($D409="Serviço",AI$12&lt;&gt;0,$H409&gt;0,OR(AUTOEVENTO&lt;&gt;"manual",$M409&lt;&gt;1)),
IF(Import.TipoArredondamento&lt;&gt;"TransfereGOV",
ROUND(OFFSET($P409,0,AI$13),15-13*ORÇAMENTO!$AF$7)/$H409*OFFSET(ORÇAMENTO!$X$15,ROW(AI409)-ROW(AI$15),0),
ROUND(ROUND(OFFSET($P409,0,AI$13),15-13*ORÇAMENTO!$AF$7)*OFFSET(ORÇAMENTO!$W$15,ROW(AI409)-ROW(AI$15),0),15-13*ORÇAMENTO!$AF$11)),0)</f>
        <v>0</v>
      </c>
      <c r="AJ409" s="545">
        <f ca="1">IF(AND($D409="Serviço",AJ$12&lt;&gt;0,$H409&gt;0,OR(AUTOEVENTO&lt;&gt;"manual",$M409&lt;&gt;1)),
IF(Import.TipoArredondamento&lt;&gt;"TransfereGOV",
ROUND(OFFSET($P409,0,AJ$13),15-13*ORÇAMENTO!$AF$7)/$H409*OFFSET(ORÇAMENTO!$X$15,ROW(AJ409)-ROW(AJ$15),0),
ROUND(ROUND(OFFSET($P409,0,AJ$13),15-13*ORÇAMENTO!$AF$7)*OFFSET(ORÇAMENTO!$W$15,ROW(AJ409)-ROW(AJ$15),0),15-13*ORÇAMENTO!$AF$11)),0)</f>
        <v>0</v>
      </c>
      <c r="AK409" s="546">
        <f ca="1">IF(AND($D409="Serviço",AK$12&lt;&gt;0,$H409&gt;0,OR(AUTOEVENTO&lt;&gt;"manual",$M409&lt;&gt;1)),
IF(Import.TipoArredondamento&lt;&gt;"TransfereGOV",
ROUND(OFFSET($P409,0,AK$13),15-13*ORÇAMENTO!$AF$7)/$H409*OFFSET(ORÇAMENTO!$X$15,ROW(AK409)-ROW(AK$15),0),
ROUND(ROUND(OFFSET($P409,0,AK$13),15-13*ORÇAMENTO!$AF$7)*OFFSET(ORÇAMENTO!$W$15,ROW(AK409)-ROW(AK$15),0),15-13*ORÇAMENTO!$AF$11)),0)</f>
        <v>0</v>
      </c>
      <c r="AM409" s="181">
        <f ca="1">IF($D409&lt;&gt;"Serviço",0,IF(AND(AUTOEVENTO="Manual",$M409=1),0,IF(OFFSET(CRONOPLE!$F$14,$M409,AM$13)="",10^12,OFFSET(CRONOPLE!$F$14,$M409,AM$13))))</f>
        <v>1000000000000</v>
      </c>
      <c r="AN409" s="181">
        <f ca="1">IF($D409&lt;&gt;"Serviço",0,IF(AND(AUTOEVENTO="Manual",$M409=1),0,IF(OFFSET(CRONOPLE!$F$14,$M409,AN$13)="",10^12,OFFSET(CRONOPLE!$F$14,$M409,AN$13))))</f>
        <v>1000000000000</v>
      </c>
      <c r="AO409" s="181">
        <f ca="1">IF($D409&lt;&gt;"Serviço",0,IF(AND(AUTOEVENTO="Manual",$M409=1),0,IF(OFFSET(CRONOPLE!$F$14,$M409,AO$13)="",10^12,OFFSET(CRONOPLE!$F$14,$M409,AO$13))))</f>
        <v>1000000000000</v>
      </c>
      <c r="AP409" s="181">
        <f ca="1">IF($D409&lt;&gt;"Serviço",0,IF(AND(AUTOEVENTO="Manual",$M409=1),0,IF(OFFSET(CRONOPLE!$F$14,$M409,AP$13)="",10^12,OFFSET(CRONOPLE!$F$14,$M409,AP$13))))</f>
        <v>1000000000000</v>
      </c>
      <c r="AQ409" s="181">
        <f ca="1">IF($D409&lt;&gt;"Serviço",0,IF(AND(AUTOEVENTO="Manual",$M409=1),0,IF(OFFSET(CRONOPLE!$F$14,$M409,AQ$13)="",10^12,OFFSET(CRONOPLE!$F$14,$M409,AQ$13))))</f>
        <v>1000000000000</v>
      </c>
      <c r="AR409" s="181">
        <f ca="1">IF($D409&lt;&gt;"Serviço",0,IF(AND(AUTOEVENTO="Manual",$M409=1),0,IF(OFFSET(CRONOPLE!$F$14,$M409,AR$13)="",10^12,OFFSET(CRONOPLE!$F$14,$M409,AR$13))))</f>
        <v>1000000000000</v>
      </c>
      <c r="AS409" s="181">
        <f ca="1">IF($D409&lt;&gt;"Serviço",0,IF(AND(AUTOEVENTO="Manual",$M409=1),0,IF(OFFSET(CRONOPLE!$F$14,$M409,AS$13)="",10^12,OFFSET(CRONOPLE!$F$14,$M409,AS$13))))</f>
        <v>1000000000000</v>
      </c>
      <c r="AT409" s="181">
        <f ca="1">IF($D409&lt;&gt;"Serviço",0,IF(AND(AUTOEVENTO="Manual",$M409=1),0,IF(OFFSET(CRONOPLE!$F$14,$M409,AT$13)="",10^12,OFFSET(CRONOPLE!$F$14,$M409,AT$13))))</f>
        <v>1000000000000</v>
      </c>
      <c r="AU409" s="181">
        <f ca="1">IF($D409&lt;&gt;"Serviço",0,IF(AND(AUTOEVENTO="Manual",$M409=1),0,IF(OFFSET(CRONOPLE!$F$14,$M409,AU$13)="",10^12,OFFSET(CRONOPLE!$F$14,$M409,AU$13))))</f>
        <v>1000000000000</v>
      </c>
      <c r="AV409" s="181">
        <f ca="1">IF($D409&lt;&gt;"Serviço",0,IF(AND(AUTOEVENTO="Manual",$M409=1),0,IF(OFFSET(CRONOPLE!$F$14,$M409,AV$13)="",10^12,OFFSET(CRONOPLE!$F$14,$M409,AV$13))))</f>
        <v>1000000000000</v>
      </c>
      <c r="AX409" s="182">
        <f ca="1">IF($D409&lt;&gt;"Serviço",0,IF(OR(AND(AUTOEVENTO="Manual",$M409=1),$M409&gt;(ROW(PLE.lastrow)-ROW(PLE.firstrow))),0,IF(OFFSET(PLE!$G$14,$M409,AX$13)="",10^12,OFFSET(PLE!$G$14,$M409,AX$13))))</f>
        <v>1000000000000</v>
      </c>
      <c r="AY409" s="182">
        <f ca="1">IF($D409&lt;&gt;"Serviço",0,IF(OR(AND(AUTOEVENTO="Manual",$M409=1),$M409&gt;(ROW(PLE.lastrow)-ROW(PLE.firstrow))),0,IF(OFFSET(PLE!$G$14,$M409,AY$13)="",10^12,OFFSET(PLE!$G$14,$M409,AY$13))))</f>
        <v>1000000000000</v>
      </c>
      <c r="AZ409" s="182">
        <f ca="1">IF($D409&lt;&gt;"Serviço",0,IF(OR(AND(AUTOEVENTO="Manual",$M409=1),$M409&gt;(ROW(PLE.lastrow)-ROW(PLE.firstrow))),0,IF(OFFSET(PLE!$G$14,$M409,AZ$13)="",10^12,OFFSET(PLE!$G$14,$M409,AZ$13))))</f>
        <v>1000000000000</v>
      </c>
      <c r="BA409" s="182">
        <f ca="1">IF($D409&lt;&gt;"Serviço",0,IF(OR(AND(AUTOEVENTO="Manual",$M409=1),$M409&gt;(ROW(PLE.lastrow)-ROW(PLE.firstrow))),0,IF(OFFSET(PLE!$G$14,$M409,BA$13)="",10^12,OFFSET(PLE!$G$14,$M409,BA$13))))</f>
        <v>1000000000000</v>
      </c>
      <c r="BB409" s="182">
        <f ca="1">IF($D409&lt;&gt;"Serviço",0,IF(OR(AND(AUTOEVENTO="Manual",$M409=1),$M409&gt;(ROW(PLE.lastrow)-ROW(PLE.firstrow))),0,IF(OFFSET(PLE!$G$14,$M409,BB$13)="",10^12,OFFSET(PLE!$G$14,$M409,BB$13))))</f>
        <v>1000000000000</v>
      </c>
      <c r="BC409" s="182">
        <f ca="1">IF($D409&lt;&gt;"Serviço",0,IF(OR(AND(AUTOEVENTO="Manual",$M409=1),$M409&gt;(ROW(PLE.lastrow)-ROW(PLE.firstrow))),0,IF(OFFSET(PLE!$G$14,$M409,BC$13)="",10^12,OFFSET(PLE!$G$14,$M409,BC$13))))</f>
        <v>1000000000000</v>
      </c>
      <c r="BD409" s="182">
        <f ca="1">IF($D409&lt;&gt;"Serviço",0,IF(OR(AND(AUTOEVENTO="Manual",$M409=1),$M409&gt;(ROW(PLE.lastrow)-ROW(PLE.firstrow))),0,IF(OFFSET(PLE!$G$14,$M409,BD$13)="",10^12,OFFSET(PLE!$G$14,$M409,BD$13))))</f>
        <v>1000000000000</v>
      </c>
      <c r="BE409" s="182">
        <f ca="1">IF($D409&lt;&gt;"Serviço",0,IF(OR(AND(AUTOEVENTO="Manual",$M409=1),$M409&gt;(ROW(PLE.lastrow)-ROW(PLE.firstrow))),0,IF(OFFSET(PLE!$G$14,$M409,BE$13)="",10^12,OFFSET(PLE!$G$14,$M409,BE$13))))</f>
        <v>1000000000000</v>
      </c>
      <c r="BF409" s="182">
        <f ca="1">IF($D409&lt;&gt;"Serviço",0,IF(OR(AND(AUTOEVENTO="Manual",$M409=1),$M409&gt;(ROW(PLE.lastrow)-ROW(PLE.firstrow))),0,IF(OFFSET(PLE!$G$14,$M409,BF$13)="",10^12,OFFSET(PLE!$G$14,$M409,BF$13))))</f>
        <v>1000000000000</v>
      </c>
      <c r="BG409" s="182">
        <f ca="1">IF($D409&lt;&gt;"Serviço",0,IF(OR(AND(AUTOEVENTO="Manual",$M409=1),$M409&gt;(ROW(PLE.lastrow)-ROW(PLE.firstrow))),0,IF(OFFSET(PLE!$G$14,$M409,BG$13)="",10^12,OFFSET(PLE!$G$14,$M409,BG$13))))</f>
        <v>1000000000000</v>
      </c>
    </row>
    <row r="410" spans="1:59" ht="25.5" x14ac:dyDescent="0.2">
      <c r="A410" s="7" t="str">
        <f t="shared" ca="1" si="11"/>
        <v>376</v>
      </c>
      <c r="B410" s="7" t="str">
        <f ca="1">OFFSET(ORÇAMENTO!C$15,ROW(B410)-ROW(B$15),0)</f>
        <v>S</v>
      </c>
      <c r="C410" s="7" t="str">
        <f ca="1">OFFSET(ORÇAMENTO!L$15,ROW(C410)-ROW(C$15),0)</f>
        <v/>
      </c>
      <c r="D410" s="118" t="str">
        <f ca="1">OFFSET(ORÇAMENTO!N$15,ROW(D410)-ROW(D$15),0)</f>
        <v>Serviço</v>
      </c>
      <c r="E410" s="119" t="str">
        <f ca="1">OFFSET(ORÇAMENTO!O$15,ROW(E410)-ROW(E$15),0)</f>
        <v>-</v>
      </c>
      <c r="F410" s="172" t="str">
        <f ca="1">OFFSET(ORÇAMENTO!R$15,ROW(F410)-ROW(F$15),0)</f>
        <v>(abra o arquivo 'Referência 02-2025.xlsm)</v>
      </c>
      <c r="G410" s="173" t="str">
        <f ca="1">IF($D410&lt;&gt;"Serviço","",OFFSET(ORÇAMENTO!S$15,ROW(G410)-ROW(G$15),0))</f>
        <v>-</v>
      </c>
      <c r="H410" s="124">
        <f ca="1">IF($D410&lt;&gt;"Serviço",0,IF(ACOMPANHAMENTO="BM",ROUND(OFFSET(ORÇAMENTO!AJ$15,ROW(H410)-ROW(H$15),0),15-13*ORÇAMENTO!$AF$7),SUMPRODUCT(($Q$12:$AA$12&lt;&gt;"")*ROUND($Q410:$AA410,15-13*ORÇAMENTO!$AF$7))))</f>
        <v>2</v>
      </c>
      <c r="I410" s="561" t="s">
        <v>890</v>
      </c>
      <c r="K410" s="174"/>
      <c r="L410" s="175" t="s">
        <v>255</v>
      </c>
      <c r="M410" s="176">
        <f ca="1">IF($D410&lt;&gt;"Serviço","",IF(AUTOEVENTO="manual",$A410,IF(ISERROR(MATCH($A410,$A$15:OFFSET($A410,-1,0),0)),MAX($M$15:OFFSET(M410,-1,0))+1,INDEX($M$15:OFFSET(M410,-1,0),MATCH($A410,$A$15:OFFSET($A410,-1,0),0)))))</f>
        <v>16</v>
      </c>
      <c r="N410" s="177" t="str">
        <f ca="1">IF($D410&lt;&gt;"Serviço","",IF(AUTOEVENTO="Manual",IF($A410=0,"&lt;-- defina o número do agrupador",OFFSET(EVENTOS!$D$14,$A410,0)),OFFSET($F$15,$A410,0)))</f>
        <v>LOUÇAS, ACESSÓRIOS E METAIS</v>
      </c>
      <c r="O410" s="178"/>
      <c r="Q410" s="178"/>
      <c r="R410" s="179"/>
      <c r="S410" s="179"/>
      <c r="T410" s="179"/>
      <c r="U410" s="179"/>
      <c r="V410" s="179"/>
      <c r="W410" s="179"/>
      <c r="X410" s="179"/>
      <c r="Y410" s="179"/>
      <c r="Z410" s="180"/>
      <c r="AB410" s="544">
        <f ca="1">IF(AND($D410="Serviço",AB$12&lt;&gt;0,$H410&gt;0,OR(AUTOEVENTO&lt;&gt;"manual",$M410&lt;&gt;1)),
IF(Import.TipoArredondamento&lt;&gt;"TransfereGOV",
ROUND(OFFSET($P410,0,AB$13),15-13*ORÇAMENTO!$AF$7)/$H410*OFFSET(ORÇAMENTO!$X$15,ROW(AB410)-ROW(AB$15),0),
ROUND(ROUND(OFFSET($P410,0,AB$13),15-13*ORÇAMENTO!$AF$7)*OFFSET(ORÇAMENTO!$W$15,ROW(AB410)-ROW(AB$15),0),15-13*ORÇAMENTO!$AF$11)),0)</f>
        <v>0</v>
      </c>
      <c r="AC410" s="545">
        <f ca="1">IF(AND($D410="Serviço",AC$12&lt;&gt;0,$H410&gt;0,OR(AUTOEVENTO&lt;&gt;"manual",$M410&lt;&gt;1)),
IF(Import.TipoArredondamento&lt;&gt;"TransfereGOV",
ROUND(OFFSET($P410,0,AC$13),15-13*ORÇAMENTO!$AF$7)/$H410*OFFSET(ORÇAMENTO!$X$15,ROW(AC410)-ROW(AC$15),0),
ROUND(ROUND(OFFSET($P410,0,AC$13),15-13*ORÇAMENTO!$AF$7)*OFFSET(ORÇAMENTO!$W$15,ROW(AC410)-ROW(AC$15),0),15-13*ORÇAMENTO!$AF$11)),0)</f>
        <v>0</v>
      </c>
      <c r="AD410" s="545">
        <f ca="1">IF(AND($D410="Serviço",AD$12&lt;&gt;0,$H410&gt;0,OR(AUTOEVENTO&lt;&gt;"manual",$M410&lt;&gt;1)),
IF(Import.TipoArredondamento&lt;&gt;"TransfereGOV",
ROUND(OFFSET($P410,0,AD$13),15-13*ORÇAMENTO!$AF$7)/$H410*OFFSET(ORÇAMENTO!$X$15,ROW(AD410)-ROW(AD$15),0),
ROUND(ROUND(OFFSET($P410,0,AD$13),15-13*ORÇAMENTO!$AF$7)*OFFSET(ORÇAMENTO!$W$15,ROW(AD410)-ROW(AD$15),0),15-13*ORÇAMENTO!$AF$11)),0)</f>
        <v>0</v>
      </c>
      <c r="AE410" s="545">
        <f ca="1">IF(AND($D410="Serviço",AE$12&lt;&gt;0,$H410&gt;0,OR(AUTOEVENTO&lt;&gt;"manual",$M410&lt;&gt;1)),
IF(Import.TipoArredondamento&lt;&gt;"TransfereGOV",
ROUND(OFFSET($P410,0,AE$13),15-13*ORÇAMENTO!$AF$7)/$H410*OFFSET(ORÇAMENTO!$X$15,ROW(AE410)-ROW(AE$15),0),
ROUND(ROUND(OFFSET($P410,0,AE$13),15-13*ORÇAMENTO!$AF$7)*OFFSET(ORÇAMENTO!$W$15,ROW(AE410)-ROW(AE$15),0),15-13*ORÇAMENTO!$AF$11)),0)</f>
        <v>0</v>
      </c>
      <c r="AF410" s="545">
        <f ca="1">IF(AND($D410="Serviço",AF$12&lt;&gt;0,$H410&gt;0,OR(AUTOEVENTO&lt;&gt;"manual",$M410&lt;&gt;1)),
IF(Import.TipoArredondamento&lt;&gt;"TransfereGOV",
ROUND(OFFSET($P410,0,AF$13),15-13*ORÇAMENTO!$AF$7)/$H410*OFFSET(ORÇAMENTO!$X$15,ROW(AF410)-ROW(AF$15),0),
ROUND(ROUND(OFFSET($P410,0,AF$13),15-13*ORÇAMENTO!$AF$7)*OFFSET(ORÇAMENTO!$W$15,ROW(AF410)-ROW(AF$15),0),15-13*ORÇAMENTO!$AF$11)),0)</f>
        <v>0</v>
      </c>
      <c r="AG410" s="545">
        <f ca="1">IF(AND($D410="Serviço",AG$12&lt;&gt;0,$H410&gt;0,OR(AUTOEVENTO&lt;&gt;"manual",$M410&lt;&gt;1)),
IF(Import.TipoArredondamento&lt;&gt;"TransfereGOV",
ROUND(OFFSET($P410,0,AG$13),15-13*ORÇAMENTO!$AF$7)/$H410*OFFSET(ORÇAMENTO!$X$15,ROW(AG410)-ROW(AG$15),0),
ROUND(ROUND(OFFSET($P410,0,AG$13),15-13*ORÇAMENTO!$AF$7)*OFFSET(ORÇAMENTO!$W$15,ROW(AG410)-ROW(AG$15),0),15-13*ORÇAMENTO!$AF$11)),0)</f>
        <v>0</v>
      </c>
      <c r="AH410" s="545">
        <f ca="1">IF(AND($D410="Serviço",AH$12&lt;&gt;0,$H410&gt;0,OR(AUTOEVENTO&lt;&gt;"manual",$M410&lt;&gt;1)),
IF(Import.TipoArredondamento&lt;&gt;"TransfereGOV",
ROUND(OFFSET($P410,0,AH$13),15-13*ORÇAMENTO!$AF$7)/$H410*OFFSET(ORÇAMENTO!$X$15,ROW(AH410)-ROW(AH$15),0),
ROUND(ROUND(OFFSET($P410,0,AH$13),15-13*ORÇAMENTO!$AF$7)*OFFSET(ORÇAMENTO!$W$15,ROW(AH410)-ROW(AH$15),0),15-13*ORÇAMENTO!$AF$11)),0)</f>
        <v>0</v>
      </c>
      <c r="AI410" s="545">
        <f ca="1">IF(AND($D410="Serviço",AI$12&lt;&gt;0,$H410&gt;0,OR(AUTOEVENTO&lt;&gt;"manual",$M410&lt;&gt;1)),
IF(Import.TipoArredondamento&lt;&gt;"TransfereGOV",
ROUND(OFFSET($P410,0,AI$13),15-13*ORÇAMENTO!$AF$7)/$H410*OFFSET(ORÇAMENTO!$X$15,ROW(AI410)-ROW(AI$15),0),
ROUND(ROUND(OFFSET($P410,0,AI$13),15-13*ORÇAMENTO!$AF$7)*OFFSET(ORÇAMENTO!$W$15,ROW(AI410)-ROW(AI$15),0),15-13*ORÇAMENTO!$AF$11)),0)</f>
        <v>0</v>
      </c>
      <c r="AJ410" s="545">
        <f ca="1">IF(AND($D410="Serviço",AJ$12&lt;&gt;0,$H410&gt;0,OR(AUTOEVENTO&lt;&gt;"manual",$M410&lt;&gt;1)),
IF(Import.TipoArredondamento&lt;&gt;"TransfereGOV",
ROUND(OFFSET($P410,0,AJ$13),15-13*ORÇAMENTO!$AF$7)/$H410*OFFSET(ORÇAMENTO!$X$15,ROW(AJ410)-ROW(AJ$15),0),
ROUND(ROUND(OFFSET($P410,0,AJ$13),15-13*ORÇAMENTO!$AF$7)*OFFSET(ORÇAMENTO!$W$15,ROW(AJ410)-ROW(AJ$15),0),15-13*ORÇAMENTO!$AF$11)),0)</f>
        <v>0</v>
      </c>
      <c r="AK410" s="546">
        <f ca="1">IF(AND($D410="Serviço",AK$12&lt;&gt;0,$H410&gt;0,OR(AUTOEVENTO&lt;&gt;"manual",$M410&lt;&gt;1)),
IF(Import.TipoArredondamento&lt;&gt;"TransfereGOV",
ROUND(OFFSET($P410,0,AK$13),15-13*ORÇAMENTO!$AF$7)/$H410*OFFSET(ORÇAMENTO!$X$15,ROW(AK410)-ROW(AK$15),0),
ROUND(ROUND(OFFSET($P410,0,AK$13),15-13*ORÇAMENTO!$AF$7)*OFFSET(ORÇAMENTO!$W$15,ROW(AK410)-ROW(AK$15),0),15-13*ORÇAMENTO!$AF$11)),0)</f>
        <v>0</v>
      </c>
      <c r="AM410" s="181">
        <f ca="1">IF($D410&lt;&gt;"Serviço",0,IF(AND(AUTOEVENTO="Manual",$M410=1),0,IF(OFFSET(CRONOPLE!$F$14,$M410,AM$13)="",10^12,OFFSET(CRONOPLE!$F$14,$M410,AM$13))))</f>
        <v>1000000000000</v>
      </c>
      <c r="AN410" s="181">
        <f ca="1">IF($D410&lt;&gt;"Serviço",0,IF(AND(AUTOEVENTO="Manual",$M410=1),0,IF(OFFSET(CRONOPLE!$F$14,$M410,AN$13)="",10^12,OFFSET(CRONOPLE!$F$14,$M410,AN$13))))</f>
        <v>1000000000000</v>
      </c>
      <c r="AO410" s="181">
        <f ca="1">IF($D410&lt;&gt;"Serviço",0,IF(AND(AUTOEVENTO="Manual",$M410=1),0,IF(OFFSET(CRONOPLE!$F$14,$M410,AO$13)="",10^12,OFFSET(CRONOPLE!$F$14,$M410,AO$13))))</f>
        <v>1000000000000</v>
      </c>
      <c r="AP410" s="181">
        <f ca="1">IF($D410&lt;&gt;"Serviço",0,IF(AND(AUTOEVENTO="Manual",$M410=1),0,IF(OFFSET(CRONOPLE!$F$14,$M410,AP$13)="",10^12,OFFSET(CRONOPLE!$F$14,$M410,AP$13))))</f>
        <v>1000000000000</v>
      </c>
      <c r="AQ410" s="181">
        <f ca="1">IF($D410&lt;&gt;"Serviço",0,IF(AND(AUTOEVENTO="Manual",$M410=1),0,IF(OFFSET(CRONOPLE!$F$14,$M410,AQ$13)="",10^12,OFFSET(CRONOPLE!$F$14,$M410,AQ$13))))</f>
        <v>1000000000000</v>
      </c>
      <c r="AR410" s="181">
        <f ca="1">IF($D410&lt;&gt;"Serviço",0,IF(AND(AUTOEVENTO="Manual",$M410=1),0,IF(OFFSET(CRONOPLE!$F$14,$M410,AR$13)="",10^12,OFFSET(CRONOPLE!$F$14,$M410,AR$13))))</f>
        <v>1000000000000</v>
      </c>
      <c r="AS410" s="181">
        <f ca="1">IF($D410&lt;&gt;"Serviço",0,IF(AND(AUTOEVENTO="Manual",$M410=1),0,IF(OFFSET(CRONOPLE!$F$14,$M410,AS$13)="",10^12,OFFSET(CRONOPLE!$F$14,$M410,AS$13))))</f>
        <v>1000000000000</v>
      </c>
      <c r="AT410" s="181">
        <f ca="1">IF($D410&lt;&gt;"Serviço",0,IF(AND(AUTOEVENTO="Manual",$M410=1),0,IF(OFFSET(CRONOPLE!$F$14,$M410,AT$13)="",10^12,OFFSET(CRONOPLE!$F$14,$M410,AT$13))))</f>
        <v>1000000000000</v>
      </c>
      <c r="AU410" s="181">
        <f ca="1">IF($D410&lt;&gt;"Serviço",0,IF(AND(AUTOEVENTO="Manual",$M410=1),0,IF(OFFSET(CRONOPLE!$F$14,$M410,AU$13)="",10^12,OFFSET(CRONOPLE!$F$14,$M410,AU$13))))</f>
        <v>1000000000000</v>
      </c>
      <c r="AV410" s="181">
        <f ca="1">IF($D410&lt;&gt;"Serviço",0,IF(AND(AUTOEVENTO="Manual",$M410=1),0,IF(OFFSET(CRONOPLE!$F$14,$M410,AV$13)="",10^12,OFFSET(CRONOPLE!$F$14,$M410,AV$13))))</f>
        <v>1000000000000</v>
      </c>
      <c r="AX410" s="182">
        <f ca="1">IF($D410&lt;&gt;"Serviço",0,IF(OR(AND(AUTOEVENTO="Manual",$M410=1),$M410&gt;(ROW(PLE.lastrow)-ROW(PLE.firstrow))),0,IF(OFFSET(PLE!$G$14,$M410,AX$13)="",10^12,OFFSET(PLE!$G$14,$M410,AX$13))))</f>
        <v>1000000000000</v>
      </c>
      <c r="AY410" s="182">
        <f ca="1">IF($D410&lt;&gt;"Serviço",0,IF(OR(AND(AUTOEVENTO="Manual",$M410=1),$M410&gt;(ROW(PLE.lastrow)-ROW(PLE.firstrow))),0,IF(OFFSET(PLE!$G$14,$M410,AY$13)="",10^12,OFFSET(PLE!$G$14,$M410,AY$13))))</f>
        <v>1000000000000</v>
      </c>
      <c r="AZ410" s="182">
        <f ca="1">IF($D410&lt;&gt;"Serviço",0,IF(OR(AND(AUTOEVENTO="Manual",$M410=1),$M410&gt;(ROW(PLE.lastrow)-ROW(PLE.firstrow))),0,IF(OFFSET(PLE!$G$14,$M410,AZ$13)="",10^12,OFFSET(PLE!$G$14,$M410,AZ$13))))</f>
        <v>1000000000000</v>
      </c>
      <c r="BA410" s="182">
        <f ca="1">IF($D410&lt;&gt;"Serviço",0,IF(OR(AND(AUTOEVENTO="Manual",$M410=1),$M410&gt;(ROW(PLE.lastrow)-ROW(PLE.firstrow))),0,IF(OFFSET(PLE!$G$14,$M410,BA$13)="",10^12,OFFSET(PLE!$G$14,$M410,BA$13))))</f>
        <v>1000000000000</v>
      </c>
      <c r="BB410" s="182">
        <f ca="1">IF($D410&lt;&gt;"Serviço",0,IF(OR(AND(AUTOEVENTO="Manual",$M410=1),$M410&gt;(ROW(PLE.lastrow)-ROW(PLE.firstrow))),0,IF(OFFSET(PLE!$G$14,$M410,BB$13)="",10^12,OFFSET(PLE!$G$14,$M410,BB$13))))</f>
        <v>1000000000000</v>
      </c>
      <c r="BC410" s="182">
        <f ca="1">IF($D410&lt;&gt;"Serviço",0,IF(OR(AND(AUTOEVENTO="Manual",$M410=1),$M410&gt;(ROW(PLE.lastrow)-ROW(PLE.firstrow))),0,IF(OFFSET(PLE!$G$14,$M410,BC$13)="",10^12,OFFSET(PLE!$G$14,$M410,BC$13))))</f>
        <v>1000000000000</v>
      </c>
      <c r="BD410" s="182">
        <f ca="1">IF($D410&lt;&gt;"Serviço",0,IF(OR(AND(AUTOEVENTO="Manual",$M410=1),$M410&gt;(ROW(PLE.lastrow)-ROW(PLE.firstrow))),0,IF(OFFSET(PLE!$G$14,$M410,BD$13)="",10^12,OFFSET(PLE!$G$14,$M410,BD$13))))</f>
        <v>1000000000000</v>
      </c>
      <c r="BE410" s="182">
        <f ca="1">IF($D410&lt;&gt;"Serviço",0,IF(OR(AND(AUTOEVENTO="Manual",$M410=1),$M410&gt;(ROW(PLE.lastrow)-ROW(PLE.firstrow))),0,IF(OFFSET(PLE!$G$14,$M410,BE$13)="",10^12,OFFSET(PLE!$G$14,$M410,BE$13))))</f>
        <v>1000000000000</v>
      </c>
      <c r="BF410" s="182">
        <f ca="1">IF($D410&lt;&gt;"Serviço",0,IF(OR(AND(AUTOEVENTO="Manual",$M410=1),$M410&gt;(ROW(PLE.lastrow)-ROW(PLE.firstrow))),0,IF(OFFSET(PLE!$G$14,$M410,BF$13)="",10^12,OFFSET(PLE!$G$14,$M410,BF$13))))</f>
        <v>1000000000000</v>
      </c>
      <c r="BG410" s="182">
        <f ca="1">IF($D410&lt;&gt;"Serviço",0,IF(OR(AND(AUTOEVENTO="Manual",$M410=1),$M410&gt;(ROW(PLE.lastrow)-ROW(PLE.firstrow))),0,IF(OFFSET(PLE!$G$14,$M410,BG$13)="",10^12,OFFSET(PLE!$G$14,$M410,BG$13))))</f>
        <v>1000000000000</v>
      </c>
    </row>
    <row r="411" spans="1:59" ht="25.5" x14ac:dyDescent="0.2">
      <c r="A411" s="7" t="str">
        <f t="shared" ca="1" si="11"/>
        <v>376</v>
      </c>
      <c r="B411" s="7" t="str">
        <f ca="1">OFFSET(ORÇAMENTO!C$15,ROW(B411)-ROW(B$15),0)</f>
        <v>S</v>
      </c>
      <c r="C411" s="7" t="str">
        <f ca="1">OFFSET(ORÇAMENTO!L$15,ROW(C411)-ROW(C$15),0)</f>
        <v/>
      </c>
      <c r="D411" s="118" t="str">
        <f ca="1">OFFSET(ORÇAMENTO!N$15,ROW(D411)-ROW(D$15),0)</f>
        <v>Serviço</v>
      </c>
      <c r="E411" s="119" t="str">
        <f ca="1">OFFSET(ORÇAMENTO!O$15,ROW(E411)-ROW(E$15),0)</f>
        <v>-</v>
      </c>
      <c r="F411" s="172" t="str">
        <f ca="1">OFFSET(ORÇAMENTO!R$15,ROW(F411)-ROW(F$15),0)</f>
        <v>(abra o arquivo 'Referência 02-2025.xlsm)</v>
      </c>
      <c r="G411" s="173" t="str">
        <f ca="1">IF($D411&lt;&gt;"Serviço","",OFFSET(ORÇAMENTO!S$15,ROW(G411)-ROW(G$15),0))</f>
        <v>-</v>
      </c>
      <c r="H411" s="124">
        <f ca="1">IF($D411&lt;&gt;"Serviço",0,IF(ACOMPANHAMENTO="BM",ROUND(OFFSET(ORÇAMENTO!AJ$15,ROW(H411)-ROW(H$15),0),15-13*ORÇAMENTO!$AF$7),SUMPRODUCT(($Q$12:$AA$12&lt;&gt;"")*ROUND($Q411:$AA411,15-13*ORÇAMENTO!$AF$7))))</f>
        <v>15</v>
      </c>
      <c r="I411" s="561" t="s">
        <v>890</v>
      </c>
      <c r="K411" s="174"/>
      <c r="L411" s="175" t="s">
        <v>255</v>
      </c>
      <c r="M411" s="176">
        <f ca="1">IF($D411&lt;&gt;"Serviço","",IF(AUTOEVENTO="manual",$A411,IF(ISERROR(MATCH($A411,$A$15:OFFSET($A411,-1,0),0)),MAX($M$15:OFFSET(M411,-1,0))+1,INDEX($M$15:OFFSET(M411,-1,0),MATCH($A411,$A$15:OFFSET($A411,-1,0),0)))))</f>
        <v>16</v>
      </c>
      <c r="N411" s="177" t="str">
        <f ca="1">IF($D411&lt;&gt;"Serviço","",IF(AUTOEVENTO="Manual",IF($A411=0,"&lt;-- defina o número do agrupador",OFFSET(EVENTOS!$D$14,$A411,0)),OFFSET($F$15,$A411,0)))</f>
        <v>LOUÇAS, ACESSÓRIOS E METAIS</v>
      </c>
      <c r="O411" s="178"/>
      <c r="Q411" s="178"/>
      <c r="R411" s="179"/>
      <c r="S411" s="179"/>
      <c r="T411" s="179"/>
      <c r="U411" s="179"/>
      <c r="V411" s="179"/>
      <c r="W411" s="179"/>
      <c r="X411" s="179"/>
      <c r="Y411" s="179"/>
      <c r="Z411" s="180"/>
      <c r="AB411" s="544">
        <f ca="1">IF(AND($D411="Serviço",AB$12&lt;&gt;0,$H411&gt;0,OR(AUTOEVENTO&lt;&gt;"manual",$M411&lt;&gt;1)),
IF(Import.TipoArredondamento&lt;&gt;"TransfereGOV",
ROUND(OFFSET($P411,0,AB$13),15-13*ORÇAMENTO!$AF$7)/$H411*OFFSET(ORÇAMENTO!$X$15,ROW(AB411)-ROW(AB$15),0),
ROUND(ROUND(OFFSET($P411,0,AB$13),15-13*ORÇAMENTO!$AF$7)*OFFSET(ORÇAMENTO!$W$15,ROW(AB411)-ROW(AB$15),0),15-13*ORÇAMENTO!$AF$11)),0)</f>
        <v>0</v>
      </c>
      <c r="AC411" s="545">
        <f ca="1">IF(AND($D411="Serviço",AC$12&lt;&gt;0,$H411&gt;0,OR(AUTOEVENTO&lt;&gt;"manual",$M411&lt;&gt;1)),
IF(Import.TipoArredondamento&lt;&gt;"TransfereGOV",
ROUND(OFFSET($P411,0,AC$13),15-13*ORÇAMENTO!$AF$7)/$H411*OFFSET(ORÇAMENTO!$X$15,ROW(AC411)-ROW(AC$15),0),
ROUND(ROUND(OFFSET($P411,0,AC$13),15-13*ORÇAMENTO!$AF$7)*OFFSET(ORÇAMENTO!$W$15,ROW(AC411)-ROW(AC$15),0),15-13*ORÇAMENTO!$AF$11)),0)</f>
        <v>0</v>
      </c>
      <c r="AD411" s="545">
        <f ca="1">IF(AND($D411="Serviço",AD$12&lt;&gt;0,$H411&gt;0,OR(AUTOEVENTO&lt;&gt;"manual",$M411&lt;&gt;1)),
IF(Import.TipoArredondamento&lt;&gt;"TransfereGOV",
ROUND(OFFSET($P411,0,AD$13),15-13*ORÇAMENTO!$AF$7)/$H411*OFFSET(ORÇAMENTO!$X$15,ROW(AD411)-ROW(AD$15),0),
ROUND(ROUND(OFFSET($P411,0,AD$13),15-13*ORÇAMENTO!$AF$7)*OFFSET(ORÇAMENTO!$W$15,ROW(AD411)-ROW(AD$15),0),15-13*ORÇAMENTO!$AF$11)),0)</f>
        <v>0</v>
      </c>
      <c r="AE411" s="545">
        <f ca="1">IF(AND($D411="Serviço",AE$12&lt;&gt;0,$H411&gt;0,OR(AUTOEVENTO&lt;&gt;"manual",$M411&lt;&gt;1)),
IF(Import.TipoArredondamento&lt;&gt;"TransfereGOV",
ROUND(OFFSET($P411,0,AE$13),15-13*ORÇAMENTO!$AF$7)/$H411*OFFSET(ORÇAMENTO!$X$15,ROW(AE411)-ROW(AE$15),0),
ROUND(ROUND(OFFSET($P411,0,AE$13),15-13*ORÇAMENTO!$AF$7)*OFFSET(ORÇAMENTO!$W$15,ROW(AE411)-ROW(AE$15),0),15-13*ORÇAMENTO!$AF$11)),0)</f>
        <v>0</v>
      </c>
      <c r="AF411" s="545">
        <f ca="1">IF(AND($D411="Serviço",AF$12&lt;&gt;0,$H411&gt;0,OR(AUTOEVENTO&lt;&gt;"manual",$M411&lt;&gt;1)),
IF(Import.TipoArredondamento&lt;&gt;"TransfereGOV",
ROUND(OFFSET($P411,0,AF$13),15-13*ORÇAMENTO!$AF$7)/$H411*OFFSET(ORÇAMENTO!$X$15,ROW(AF411)-ROW(AF$15),0),
ROUND(ROUND(OFFSET($P411,0,AF$13),15-13*ORÇAMENTO!$AF$7)*OFFSET(ORÇAMENTO!$W$15,ROW(AF411)-ROW(AF$15),0),15-13*ORÇAMENTO!$AF$11)),0)</f>
        <v>0</v>
      </c>
      <c r="AG411" s="545">
        <f ca="1">IF(AND($D411="Serviço",AG$12&lt;&gt;0,$H411&gt;0,OR(AUTOEVENTO&lt;&gt;"manual",$M411&lt;&gt;1)),
IF(Import.TipoArredondamento&lt;&gt;"TransfereGOV",
ROUND(OFFSET($P411,0,AG$13),15-13*ORÇAMENTO!$AF$7)/$H411*OFFSET(ORÇAMENTO!$X$15,ROW(AG411)-ROW(AG$15),0),
ROUND(ROUND(OFFSET($P411,0,AG$13),15-13*ORÇAMENTO!$AF$7)*OFFSET(ORÇAMENTO!$W$15,ROW(AG411)-ROW(AG$15),0),15-13*ORÇAMENTO!$AF$11)),0)</f>
        <v>0</v>
      </c>
      <c r="AH411" s="545">
        <f ca="1">IF(AND($D411="Serviço",AH$12&lt;&gt;0,$H411&gt;0,OR(AUTOEVENTO&lt;&gt;"manual",$M411&lt;&gt;1)),
IF(Import.TipoArredondamento&lt;&gt;"TransfereGOV",
ROUND(OFFSET($P411,0,AH$13),15-13*ORÇAMENTO!$AF$7)/$H411*OFFSET(ORÇAMENTO!$X$15,ROW(AH411)-ROW(AH$15),0),
ROUND(ROUND(OFFSET($P411,0,AH$13),15-13*ORÇAMENTO!$AF$7)*OFFSET(ORÇAMENTO!$W$15,ROW(AH411)-ROW(AH$15),0),15-13*ORÇAMENTO!$AF$11)),0)</f>
        <v>0</v>
      </c>
      <c r="AI411" s="545">
        <f ca="1">IF(AND($D411="Serviço",AI$12&lt;&gt;0,$H411&gt;0,OR(AUTOEVENTO&lt;&gt;"manual",$M411&lt;&gt;1)),
IF(Import.TipoArredondamento&lt;&gt;"TransfereGOV",
ROUND(OFFSET($P411,0,AI$13),15-13*ORÇAMENTO!$AF$7)/$H411*OFFSET(ORÇAMENTO!$X$15,ROW(AI411)-ROW(AI$15),0),
ROUND(ROUND(OFFSET($P411,0,AI$13),15-13*ORÇAMENTO!$AF$7)*OFFSET(ORÇAMENTO!$W$15,ROW(AI411)-ROW(AI$15),0),15-13*ORÇAMENTO!$AF$11)),0)</f>
        <v>0</v>
      </c>
      <c r="AJ411" s="545">
        <f ca="1">IF(AND($D411="Serviço",AJ$12&lt;&gt;0,$H411&gt;0,OR(AUTOEVENTO&lt;&gt;"manual",$M411&lt;&gt;1)),
IF(Import.TipoArredondamento&lt;&gt;"TransfereGOV",
ROUND(OFFSET($P411,0,AJ$13),15-13*ORÇAMENTO!$AF$7)/$H411*OFFSET(ORÇAMENTO!$X$15,ROW(AJ411)-ROW(AJ$15),0),
ROUND(ROUND(OFFSET($P411,0,AJ$13),15-13*ORÇAMENTO!$AF$7)*OFFSET(ORÇAMENTO!$W$15,ROW(AJ411)-ROW(AJ$15),0),15-13*ORÇAMENTO!$AF$11)),0)</f>
        <v>0</v>
      </c>
      <c r="AK411" s="546">
        <f ca="1">IF(AND($D411="Serviço",AK$12&lt;&gt;0,$H411&gt;0,OR(AUTOEVENTO&lt;&gt;"manual",$M411&lt;&gt;1)),
IF(Import.TipoArredondamento&lt;&gt;"TransfereGOV",
ROUND(OFFSET($P411,0,AK$13),15-13*ORÇAMENTO!$AF$7)/$H411*OFFSET(ORÇAMENTO!$X$15,ROW(AK411)-ROW(AK$15),0),
ROUND(ROUND(OFFSET($P411,0,AK$13),15-13*ORÇAMENTO!$AF$7)*OFFSET(ORÇAMENTO!$W$15,ROW(AK411)-ROW(AK$15),0),15-13*ORÇAMENTO!$AF$11)),0)</f>
        <v>0</v>
      </c>
      <c r="AM411" s="181">
        <f ca="1">IF($D411&lt;&gt;"Serviço",0,IF(AND(AUTOEVENTO="Manual",$M411=1),0,IF(OFFSET(CRONOPLE!$F$14,$M411,AM$13)="",10^12,OFFSET(CRONOPLE!$F$14,$M411,AM$13))))</f>
        <v>1000000000000</v>
      </c>
      <c r="AN411" s="181">
        <f ca="1">IF($D411&lt;&gt;"Serviço",0,IF(AND(AUTOEVENTO="Manual",$M411=1),0,IF(OFFSET(CRONOPLE!$F$14,$M411,AN$13)="",10^12,OFFSET(CRONOPLE!$F$14,$M411,AN$13))))</f>
        <v>1000000000000</v>
      </c>
      <c r="AO411" s="181">
        <f ca="1">IF($D411&lt;&gt;"Serviço",0,IF(AND(AUTOEVENTO="Manual",$M411=1),0,IF(OFFSET(CRONOPLE!$F$14,$M411,AO$13)="",10^12,OFFSET(CRONOPLE!$F$14,$M411,AO$13))))</f>
        <v>1000000000000</v>
      </c>
      <c r="AP411" s="181">
        <f ca="1">IF($D411&lt;&gt;"Serviço",0,IF(AND(AUTOEVENTO="Manual",$M411=1),0,IF(OFFSET(CRONOPLE!$F$14,$M411,AP$13)="",10^12,OFFSET(CRONOPLE!$F$14,$M411,AP$13))))</f>
        <v>1000000000000</v>
      </c>
      <c r="AQ411" s="181">
        <f ca="1">IF($D411&lt;&gt;"Serviço",0,IF(AND(AUTOEVENTO="Manual",$M411=1),0,IF(OFFSET(CRONOPLE!$F$14,$M411,AQ$13)="",10^12,OFFSET(CRONOPLE!$F$14,$M411,AQ$13))))</f>
        <v>1000000000000</v>
      </c>
      <c r="AR411" s="181">
        <f ca="1">IF($D411&lt;&gt;"Serviço",0,IF(AND(AUTOEVENTO="Manual",$M411=1),0,IF(OFFSET(CRONOPLE!$F$14,$M411,AR$13)="",10^12,OFFSET(CRONOPLE!$F$14,$M411,AR$13))))</f>
        <v>1000000000000</v>
      </c>
      <c r="AS411" s="181">
        <f ca="1">IF($D411&lt;&gt;"Serviço",0,IF(AND(AUTOEVENTO="Manual",$M411=1),0,IF(OFFSET(CRONOPLE!$F$14,$M411,AS$13)="",10^12,OFFSET(CRONOPLE!$F$14,$M411,AS$13))))</f>
        <v>1000000000000</v>
      </c>
      <c r="AT411" s="181">
        <f ca="1">IF($D411&lt;&gt;"Serviço",0,IF(AND(AUTOEVENTO="Manual",$M411=1),0,IF(OFFSET(CRONOPLE!$F$14,$M411,AT$13)="",10^12,OFFSET(CRONOPLE!$F$14,$M411,AT$13))))</f>
        <v>1000000000000</v>
      </c>
      <c r="AU411" s="181">
        <f ca="1">IF($D411&lt;&gt;"Serviço",0,IF(AND(AUTOEVENTO="Manual",$M411=1),0,IF(OFFSET(CRONOPLE!$F$14,$M411,AU$13)="",10^12,OFFSET(CRONOPLE!$F$14,$M411,AU$13))))</f>
        <v>1000000000000</v>
      </c>
      <c r="AV411" s="181">
        <f ca="1">IF($D411&lt;&gt;"Serviço",0,IF(AND(AUTOEVENTO="Manual",$M411=1),0,IF(OFFSET(CRONOPLE!$F$14,$M411,AV$13)="",10^12,OFFSET(CRONOPLE!$F$14,$M411,AV$13))))</f>
        <v>1000000000000</v>
      </c>
      <c r="AX411" s="182">
        <f ca="1">IF($D411&lt;&gt;"Serviço",0,IF(OR(AND(AUTOEVENTO="Manual",$M411=1),$M411&gt;(ROW(PLE.lastrow)-ROW(PLE.firstrow))),0,IF(OFFSET(PLE!$G$14,$M411,AX$13)="",10^12,OFFSET(PLE!$G$14,$M411,AX$13))))</f>
        <v>1000000000000</v>
      </c>
      <c r="AY411" s="182">
        <f ca="1">IF($D411&lt;&gt;"Serviço",0,IF(OR(AND(AUTOEVENTO="Manual",$M411=1),$M411&gt;(ROW(PLE.lastrow)-ROW(PLE.firstrow))),0,IF(OFFSET(PLE!$G$14,$M411,AY$13)="",10^12,OFFSET(PLE!$G$14,$M411,AY$13))))</f>
        <v>1000000000000</v>
      </c>
      <c r="AZ411" s="182">
        <f ca="1">IF($D411&lt;&gt;"Serviço",0,IF(OR(AND(AUTOEVENTO="Manual",$M411=1),$M411&gt;(ROW(PLE.lastrow)-ROW(PLE.firstrow))),0,IF(OFFSET(PLE!$G$14,$M411,AZ$13)="",10^12,OFFSET(PLE!$G$14,$M411,AZ$13))))</f>
        <v>1000000000000</v>
      </c>
      <c r="BA411" s="182">
        <f ca="1">IF($D411&lt;&gt;"Serviço",0,IF(OR(AND(AUTOEVENTO="Manual",$M411=1),$M411&gt;(ROW(PLE.lastrow)-ROW(PLE.firstrow))),0,IF(OFFSET(PLE!$G$14,$M411,BA$13)="",10^12,OFFSET(PLE!$G$14,$M411,BA$13))))</f>
        <v>1000000000000</v>
      </c>
      <c r="BB411" s="182">
        <f ca="1">IF($D411&lt;&gt;"Serviço",0,IF(OR(AND(AUTOEVENTO="Manual",$M411=1),$M411&gt;(ROW(PLE.lastrow)-ROW(PLE.firstrow))),0,IF(OFFSET(PLE!$G$14,$M411,BB$13)="",10^12,OFFSET(PLE!$G$14,$M411,BB$13))))</f>
        <v>1000000000000</v>
      </c>
      <c r="BC411" s="182">
        <f ca="1">IF($D411&lt;&gt;"Serviço",0,IF(OR(AND(AUTOEVENTO="Manual",$M411=1),$M411&gt;(ROW(PLE.lastrow)-ROW(PLE.firstrow))),0,IF(OFFSET(PLE!$G$14,$M411,BC$13)="",10^12,OFFSET(PLE!$G$14,$M411,BC$13))))</f>
        <v>1000000000000</v>
      </c>
      <c r="BD411" s="182">
        <f ca="1">IF($D411&lt;&gt;"Serviço",0,IF(OR(AND(AUTOEVENTO="Manual",$M411=1),$M411&gt;(ROW(PLE.lastrow)-ROW(PLE.firstrow))),0,IF(OFFSET(PLE!$G$14,$M411,BD$13)="",10^12,OFFSET(PLE!$G$14,$M411,BD$13))))</f>
        <v>1000000000000</v>
      </c>
      <c r="BE411" s="182">
        <f ca="1">IF($D411&lt;&gt;"Serviço",0,IF(OR(AND(AUTOEVENTO="Manual",$M411=1),$M411&gt;(ROW(PLE.lastrow)-ROW(PLE.firstrow))),0,IF(OFFSET(PLE!$G$14,$M411,BE$13)="",10^12,OFFSET(PLE!$G$14,$M411,BE$13))))</f>
        <v>1000000000000</v>
      </c>
      <c r="BF411" s="182">
        <f ca="1">IF($D411&lt;&gt;"Serviço",0,IF(OR(AND(AUTOEVENTO="Manual",$M411=1),$M411&gt;(ROW(PLE.lastrow)-ROW(PLE.firstrow))),0,IF(OFFSET(PLE!$G$14,$M411,BF$13)="",10^12,OFFSET(PLE!$G$14,$M411,BF$13))))</f>
        <v>1000000000000</v>
      </c>
      <c r="BG411" s="182">
        <f ca="1">IF($D411&lt;&gt;"Serviço",0,IF(OR(AND(AUTOEVENTO="Manual",$M411=1),$M411&gt;(ROW(PLE.lastrow)-ROW(PLE.firstrow))),0,IF(OFFSET(PLE!$G$14,$M411,BG$13)="",10^12,OFFSET(PLE!$G$14,$M411,BG$13))))</f>
        <v>1000000000000</v>
      </c>
    </row>
    <row r="412" spans="1:59" ht="25.5" x14ac:dyDescent="0.2">
      <c r="A412" s="7" t="str">
        <f t="shared" ca="1" si="11"/>
        <v>376</v>
      </c>
      <c r="B412" s="7" t="str">
        <f ca="1">OFFSET(ORÇAMENTO!C$15,ROW(B412)-ROW(B$15),0)</f>
        <v>S</v>
      </c>
      <c r="C412" s="7" t="str">
        <f ca="1">OFFSET(ORÇAMENTO!L$15,ROW(C412)-ROW(C$15),0)</f>
        <v/>
      </c>
      <c r="D412" s="118" t="str">
        <f ca="1">OFFSET(ORÇAMENTO!N$15,ROW(D412)-ROW(D$15),0)</f>
        <v>Serviço</v>
      </c>
      <c r="E412" s="119" t="str">
        <f ca="1">OFFSET(ORÇAMENTO!O$15,ROW(E412)-ROW(E$15),0)</f>
        <v>-</v>
      </c>
      <c r="F412" s="172" t="str">
        <f ca="1">OFFSET(ORÇAMENTO!R$15,ROW(F412)-ROW(F$15),0)</f>
        <v>(abra o arquivo 'Referência 02-2025.xlsm)</v>
      </c>
      <c r="G412" s="173" t="str">
        <f ca="1">IF($D412&lt;&gt;"Serviço","",OFFSET(ORÇAMENTO!S$15,ROW(G412)-ROW(G$15),0))</f>
        <v>-</v>
      </c>
      <c r="H412" s="124">
        <f ca="1">IF($D412&lt;&gt;"Serviço",0,IF(ACOMPANHAMENTO="BM",ROUND(OFFSET(ORÇAMENTO!AJ$15,ROW(H412)-ROW(H$15),0),15-13*ORÇAMENTO!$AF$7),SUMPRODUCT(($Q$12:$AA$12&lt;&gt;"")*ROUND($Q412:$AA412,15-13*ORÇAMENTO!$AF$7))))</f>
        <v>4</v>
      </c>
      <c r="I412" s="561" t="s">
        <v>890</v>
      </c>
      <c r="K412" s="174"/>
      <c r="L412" s="175" t="s">
        <v>255</v>
      </c>
      <c r="M412" s="176">
        <f ca="1">IF($D412&lt;&gt;"Serviço","",IF(AUTOEVENTO="manual",$A412,IF(ISERROR(MATCH($A412,$A$15:OFFSET($A412,-1,0),0)),MAX($M$15:OFFSET(M412,-1,0))+1,INDEX($M$15:OFFSET(M412,-1,0),MATCH($A412,$A$15:OFFSET($A412,-1,0),0)))))</f>
        <v>16</v>
      </c>
      <c r="N412" s="177" t="str">
        <f ca="1">IF($D412&lt;&gt;"Serviço","",IF(AUTOEVENTO="Manual",IF($A412=0,"&lt;-- defina o número do agrupador",OFFSET(EVENTOS!$D$14,$A412,0)),OFFSET($F$15,$A412,0)))</f>
        <v>LOUÇAS, ACESSÓRIOS E METAIS</v>
      </c>
      <c r="O412" s="178"/>
      <c r="Q412" s="178"/>
      <c r="R412" s="179"/>
      <c r="S412" s="179"/>
      <c r="T412" s="179"/>
      <c r="U412" s="179"/>
      <c r="V412" s="179"/>
      <c r="W412" s="179"/>
      <c r="X412" s="179"/>
      <c r="Y412" s="179"/>
      <c r="Z412" s="180"/>
      <c r="AB412" s="544">
        <f ca="1">IF(AND($D412="Serviço",AB$12&lt;&gt;0,$H412&gt;0,OR(AUTOEVENTO&lt;&gt;"manual",$M412&lt;&gt;1)),
IF(Import.TipoArredondamento&lt;&gt;"TransfereGOV",
ROUND(OFFSET($P412,0,AB$13),15-13*ORÇAMENTO!$AF$7)/$H412*OFFSET(ORÇAMENTO!$X$15,ROW(AB412)-ROW(AB$15),0),
ROUND(ROUND(OFFSET($P412,0,AB$13),15-13*ORÇAMENTO!$AF$7)*OFFSET(ORÇAMENTO!$W$15,ROW(AB412)-ROW(AB$15),0),15-13*ORÇAMENTO!$AF$11)),0)</f>
        <v>0</v>
      </c>
      <c r="AC412" s="545">
        <f ca="1">IF(AND($D412="Serviço",AC$12&lt;&gt;0,$H412&gt;0,OR(AUTOEVENTO&lt;&gt;"manual",$M412&lt;&gt;1)),
IF(Import.TipoArredondamento&lt;&gt;"TransfereGOV",
ROUND(OFFSET($P412,0,AC$13),15-13*ORÇAMENTO!$AF$7)/$H412*OFFSET(ORÇAMENTO!$X$15,ROW(AC412)-ROW(AC$15),0),
ROUND(ROUND(OFFSET($P412,0,AC$13),15-13*ORÇAMENTO!$AF$7)*OFFSET(ORÇAMENTO!$W$15,ROW(AC412)-ROW(AC$15),0),15-13*ORÇAMENTO!$AF$11)),0)</f>
        <v>0</v>
      </c>
      <c r="AD412" s="545">
        <f ca="1">IF(AND($D412="Serviço",AD$12&lt;&gt;0,$H412&gt;0,OR(AUTOEVENTO&lt;&gt;"manual",$M412&lt;&gt;1)),
IF(Import.TipoArredondamento&lt;&gt;"TransfereGOV",
ROUND(OFFSET($P412,0,AD$13),15-13*ORÇAMENTO!$AF$7)/$H412*OFFSET(ORÇAMENTO!$X$15,ROW(AD412)-ROW(AD$15),0),
ROUND(ROUND(OFFSET($P412,0,AD$13),15-13*ORÇAMENTO!$AF$7)*OFFSET(ORÇAMENTO!$W$15,ROW(AD412)-ROW(AD$15),0),15-13*ORÇAMENTO!$AF$11)),0)</f>
        <v>0</v>
      </c>
      <c r="AE412" s="545">
        <f ca="1">IF(AND($D412="Serviço",AE$12&lt;&gt;0,$H412&gt;0,OR(AUTOEVENTO&lt;&gt;"manual",$M412&lt;&gt;1)),
IF(Import.TipoArredondamento&lt;&gt;"TransfereGOV",
ROUND(OFFSET($P412,0,AE$13),15-13*ORÇAMENTO!$AF$7)/$H412*OFFSET(ORÇAMENTO!$X$15,ROW(AE412)-ROW(AE$15),0),
ROUND(ROUND(OFFSET($P412,0,AE$13),15-13*ORÇAMENTO!$AF$7)*OFFSET(ORÇAMENTO!$W$15,ROW(AE412)-ROW(AE$15),0),15-13*ORÇAMENTO!$AF$11)),0)</f>
        <v>0</v>
      </c>
      <c r="AF412" s="545">
        <f ca="1">IF(AND($D412="Serviço",AF$12&lt;&gt;0,$H412&gt;0,OR(AUTOEVENTO&lt;&gt;"manual",$M412&lt;&gt;1)),
IF(Import.TipoArredondamento&lt;&gt;"TransfereGOV",
ROUND(OFFSET($P412,0,AF$13),15-13*ORÇAMENTO!$AF$7)/$H412*OFFSET(ORÇAMENTO!$X$15,ROW(AF412)-ROW(AF$15),0),
ROUND(ROUND(OFFSET($P412,0,AF$13),15-13*ORÇAMENTO!$AF$7)*OFFSET(ORÇAMENTO!$W$15,ROW(AF412)-ROW(AF$15),0),15-13*ORÇAMENTO!$AF$11)),0)</f>
        <v>0</v>
      </c>
      <c r="AG412" s="545">
        <f ca="1">IF(AND($D412="Serviço",AG$12&lt;&gt;0,$H412&gt;0,OR(AUTOEVENTO&lt;&gt;"manual",$M412&lt;&gt;1)),
IF(Import.TipoArredondamento&lt;&gt;"TransfereGOV",
ROUND(OFFSET($P412,0,AG$13),15-13*ORÇAMENTO!$AF$7)/$H412*OFFSET(ORÇAMENTO!$X$15,ROW(AG412)-ROW(AG$15),0),
ROUND(ROUND(OFFSET($P412,0,AG$13),15-13*ORÇAMENTO!$AF$7)*OFFSET(ORÇAMENTO!$W$15,ROW(AG412)-ROW(AG$15),0),15-13*ORÇAMENTO!$AF$11)),0)</f>
        <v>0</v>
      </c>
      <c r="AH412" s="545">
        <f ca="1">IF(AND($D412="Serviço",AH$12&lt;&gt;0,$H412&gt;0,OR(AUTOEVENTO&lt;&gt;"manual",$M412&lt;&gt;1)),
IF(Import.TipoArredondamento&lt;&gt;"TransfereGOV",
ROUND(OFFSET($P412,0,AH$13),15-13*ORÇAMENTO!$AF$7)/$H412*OFFSET(ORÇAMENTO!$X$15,ROW(AH412)-ROW(AH$15),0),
ROUND(ROUND(OFFSET($P412,0,AH$13),15-13*ORÇAMENTO!$AF$7)*OFFSET(ORÇAMENTO!$W$15,ROW(AH412)-ROW(AH$15),0),15-13*ORÇAMENTO!$AF$11)),0)</f>
        <v>0</v>
      </c>
      <c r="AI412" s="545">
        <f ca="1">IF(AND($D412="Serviço",AI$12&lt;&gt;0,$H412&gt;0,OR(AUTOEVENTO&lt;&gt;"manual",$M412&lt;&gt;1)),
IF(Import.TipoArredondamento&lt;&gt;"TransfereGOV",
ROUND(OFFSET($P412,0,AI$13),15-13*ORÇAMENTO!$AF$7)/$H412*OFFSET(ORÇAMENTO!$X$15,ROW(AI412)-ROW(AI$15),0),
ROUND(ROUND(OFFSET($P412,0,AI$13),15-13*ORÇAMENTO!$AF$7)*OFFSET(ORÇAMENTO!$W$15,ROW(AI412)-ROW(AI$15),0),15-13*ORÇAMENTO!$AF$11)),0)</f>
        <v>0</v>
      </c>
      <c r="AJ412" s="545">
        <f ca="1">IF(AND($D412="Serviço",AJ$12&lt;&gt;0,$H412&gt;0,OR(AUTOEVENTO&lt;&gt;"manual",$M412&lt;&gt;1)),
IF(Import.TipoArredondamento&lt;&gt;"TransfereGOV",
ROUND(OFFSET($P412,0,AJ$13),15-13*ORÇAMENTO!$AF$7)/$H412*OFFSET(ORÇAMENTO!$X$15,ROW(AJ412)-ROW(AJ$15),0),
ROUND(ROUND(OFFSET($P412,0,AJ$13),15-13*ORÇAMENTO!$AF$7)*OFFSET(ORÇAMENTO!$W$15,ROW(AJ412)-ROW(AJ$15),0),15-13*ORÇAMENTO!$AF$11)),0)</f>
        <v>0</v>
      </c>
      <c r="AK412" s="546">
        <f ca="1">IF(AND($D412="Serviço",AK$12&lt;&gt;0,$H412&gt;0,OR(AUTOEVENTO&lt;&gt;"manual",$M412&lt;&gt;1)),
IF(Import.TipoArredondamento&lt;&gt;"TransfereGOV",
ROUND(OFFSET($P412,0,AK$13),15-13*ORÇAMENTO!$AF$7)/$H412*OFFSET(ORÇAMENTO!$X$15,ROW(AK412)-ROW(AK$15),0),
ROUND(ROUND(OFFSET($P412,0,AK$13),15-13*ORÇAMENTO!$AF$7)*OFFSET(ORÇAMENTO!$W$15,ROW(AK412)-ROW(AK$15),0),15-13*ORÇAMENTO!$AF$11)),0)</f>
        <v>0</v>
      </c>
      <c r="AM412" s="181">
        <f ca="1">IF($D412&lt;&gt;"Serviço",0,IF(AND(AUTOEVENTO="Manual",$M412=1),0,IF(OFFSET(CRONOPLE!$F$14,$M412,AM$13)="",10^12,OFFSET(CRONOPLE!$F$14,$M412,AM$13))))</f>
        <v>1000000000000</v>
      </c>
      <c r="AN412" s="181">
        <f ca="1">IF($D412&lt;&gt;"Serviço",0,IF(AND(AUTOEVENTO="Manual",$M412=1),0,IF(OFFSET(CRONOPLE!$F$14,$M412,AN$13)="",10^12,OFFSET(CRONOPLE!$F$14,$M412,AN$13))))</f>
        <v>1000000000000</v>
      </c>
      <c r="AO412" s="181">
        <f ca="1">IF($D412&lt;&gt;"Serviço",0,IF(AND(AUTOEVENTO="Manual",$M412=1),0,IF(OFFSET(CRONOPLE!$F$14,$M412,AO$13)="",10^12,OFFSET(CRONOPLE!$F$14,$M412,AO$13))))</f>
        <v>1000000000000</v>
      </c>
      <c r="AP412" s="181">
        <f ca="1">IF($D412&lt;&gt;"Serviço",0,IF(AND(AUTOEVENTO="Manual",$M412=1),0,IF(OFFSET(CRONOPLE!$F$14,$M412,AP$13)="",10^12,OFFSET(CRONOPLE!$F$14,$M412,AP$13))))</f>
        <v>1000000000000</v>
      </c>
      <c r="AQ412" s="181">
        <f ca="1">IF($D412&lt;&gt;"Serviço",0,IF(AND(AUTOEVENTO="Manual",$M412=1),0,IF(OFFSET(CRONOPLE!$F$14,$M412,AQ$13)="",10^12,OFFSET(CRONOPLE!$F$14,$M412,AQ$13))))</f>
        <v>1000000000000</v>
      </c>
      <c r="AR412" s="181">
        <f ca="1">IF($D412&lt;&gt;"Serviço",0,IF(AND(AUTOEVENTO="Manual",$M412=1),0,IF(OFFSET(CRONOPLE!$F$14,$M412,AR$13)="",10^12,OFFSET(CRONOPLE!$F$14,$M412,AR$13))))</f>
        <v>1000000000000</v>
      </c>
      <c r="AS412" s="181">
        <f ca="1">IF($D412&lt;&gt;"Serviço",0,IF(AND(AUTOEVENTO="Manual",$M412=1),0,IF(OFFSET(CRONOPLE!$F$14,$M412,AS$13)="",10^12,OFFSET(CRONOPLE!$F$14,$M412,AS$13))))</f>
        <v>1000000000000</v>
      </c>
      <c r="AT412" s="181">
        <f ca="1">IF($D412&lt;&gt;"Serviço",0,IF(AND(AUTOEVENTO="Manual",$M412=1),0,IF(OFFSET(CRONOPLE!$F$14,$M412,AT$13)="",10^12,OFFSET(CRONOPLE!$F$14,$M412,AT$13))))</f>
        <v>1000000000000</v>
      </c>
      <c r="AU412" s="181">
        <f ca="1">IF($D412&lt;&gt;"Serviço",0,IF(AND(AUTOEVENTO="Manual",$M412=1),0,IF(OFFSET(CRONOPLE!$F$14,$M412,AU$13)="",10^12,OFFSET(CRONOPLE!$F$14,$M412,AU$13))))</f>
        <v>1000000000000</v>
      </c>
      <c r="AV412" s="181">
        <f ca="1">IF($D412&lt;&gt;"Serviço",0,IF(AND(AUTOEVENTO="Manual",$M412=1),0,IF(OFFSET(CRONOPLE!$F$14,$M412,AV$13)="",10^12,OFFSET(CRONOPLE!$F$14,$M412,AV$13))))</f>
        <v>1000000000000</v>
      </c>
      <c r="AX412" s="182">
        <f ca="1">IF($D412&lt;&gt;"Serviço",0,IF(OR(AND(AUTOEVENTO="Manual",$M412=1),$M412&gt;(ROW(PLE.lastrow)-ROW(PLE.firstrow))),0,IF(OFFSET(PLE!$G$14,$M412,AX$13)="",10^12,OFFSET(PLE!$G$14,$M412,AX$13))))</f>
        <v>1000000000000</v>
      </c>
      <c r="AY412" s="182">
        <f ca="1">IF($D412&lt;&gt;"Serviço",0,IF(OR(AND(AUTOEVENTO="Manual",$M412=1),$M412&gt;(ROW(PLE.lastrow)-ROW(PLE.firstrow))),0,IF(OFFSET(PLE!$G$14,$M412,AY$13)="",10^12,OFFSET(PLE!$G$14,$M412,AY$13))))</f>
        <v>1000000000000</v>
      </c>
      <c r="AZ412" s="182">
        <f ca="1">IF($D412&lt;&gt;"Serviço",0,IF(OR(AND(AUTOEVENTO="Manual",$M412=1),$M412&gt;(ROW(PLE.lastrow)-ROW(PLE.firstrow))),0,IF(OFFSET(PLE!$G$14,$M412,AZ$13)="",10^12,OFFSET(PLE!$G$14,$M412,AZ$13))))</f>
        <v>1000000000000</v>
      </c>
      <c r="BA412" s="182">
        <f ca="1">IF($D412&lt;&gt;"Serviço",0,IF(OR(AND(AUTOEVENTO="Manual",$M412=1),$M412&gt;(ROW(PLE.lastrow)-ROW(PLE.firstrow))),0,IF(OFFSET(PLE!$G$14,$M412,BA$13)="",10^12,OFFSET(PLE!$G$14,$M412,BA$13))))</f>
        <v>1000000000000</v>
      </c>
      <c r="BB412" s="182">
        <f ca="1">IF($D412&lt;&gt;"Serviço",0,IF(OR(AND(AUTOEVENTO="Manual",$M412=1),$M412&gt;(ROW(PLE.lastrow)-ROW(PLE.firstrow))),0,IF(OFFSET(PLE!$G$14,$M412,BB$13)="",10^12,OFFSET(PLE!$G$14,$M412,BB$13))))</f>
        <v>1000000000000</v>
      </c>
      <c r="BC412" s="182">
        <f ca="1">IF($D412&lt;&gt;"Serviço",0,IF(OR(AND(AUTOEVENTO="Manual",$M412=1),$M412&gt;(ROW(PLE.lastrow)-ROW(PLE.firstrow))),0,IF(OFFSET(PLE!$G$14,$M412,BC$13)="",10^12,OFFSET(PLE!$G$14,$M412,BC$13))))</f>
        <v>1000000000000</v>
      </c>
      <c r="BD412" s="182">
        <f ca="1">IF($D412&lt;&gt;"Serviço",0,IF(OR(AND(AUTOEVENTO="Manual",$M412=1),$M412&gt;(ROW(PLE.lastrow)-ROW(PLE.firstrow))),0,IF(OFFSET(PLE!$G$14,$M412,BD$13)="",10^12,OFFSET(PLE!$G$14,$M412,BD$13))))</f>
        <v>1000000000000</v>
      </c>
      <c r="BE412" s="182">
        <f ca="1">IF($D412&lt;&gt;"Serviço",0,IF(OR(AND(AUTOEVENTO="Manual",$M412=1),$M412&gt;(ROW(PLE.lastrow)-ROW(PLE.firstrow))),0,IF(OFFSET(PLE!$G$14,$M412,BE$13)="",10^12,OFFSET(PLE!$G$14,$M412,BE$13))))</f>
        <v>1000000000000</v>
      </c>
      <c r="BF412" s="182">
        <f ca="1">IF($D412&lt;&gt;"Serviço",0,IF(OR(AND(AUTOEVENTO="Manual",$M412=1),$M412&gt;(ROW(PLE.lastrow)-ROW(PLE.firstrow))),0,IF(OFFSET(PLE!$G$14,$M412,BF$13)="",10^12,OFFSET(PLE!$G$14,$M412,BF$13))))</f>
        <v>1000000000000</v>
      </c>
      <c r="BG412" s="182">
        <f ca="1">IF($D412&lt;&gt;"Serviço",0,IF(OR(AND(AUTOEVENTO="Manual",$M412=1),$M412&gt;(ROW(PLE.lastrow)-ROW(PLE.firstrow))),0,IF(OFFSET(PLE!$G$14,$M412,BG$13)="",10^12,OFFSET(PLE!$G$14,$M412,BG$13))))</f>
        <v>1000000000000</v>
      </c>
    </row>
    <row r="413" spans="1:59" ht="38.25" x14ac:dyDescent="0.2">
      <c r="A413" s="7" t="str">
        <f t="shared" ca="1" si="11"/>
        <v>376</v>
      </c>
      <c r="B413" s="7" t="str">
        <f ca="1">OFFSET(ORÇAMENTO!C$15,ROW(B413)-ROW(B$15),0)</f>
        <v>S</v>
      </c>
      <c r="C413" s="7" t="str">
        <f ca="1">OFFSET(ORÇAMENTO!L$15,ROW(C413)-ROW(C$15),0)</f>
        <v/>
      </c>
      <c r="D413" s="118" t="str">
        <f ca="1">OFFSET(ORÇAMENTO!N$15,ROW(D413)-ROW(D$15),0)</f>
        <v>Serviço</v>
      </c>
      <c r="E413" s="119" t="str">
        <f ca="1">OFFSET(ORÇAMENTO!O$15,ROW(E413)-ROW(E$15),0)</f>
        <v>-</v>
      </c>
      <c r="F413" s="172" t="str">
        <f ca="1">OFFSET(ORÇAMENTO!R$15,ROW(F413)-ROW(F$15),0)</f>
        <v>(abra o arquivo 'Referência 02-2025.xlsm)</v>
      </c>
      <c r="G413" s="173" t="str">
        <f ca="1">IF($D413&lt;&gt;"Serviço","",OFFSET(ORÇAMENTO!S$15,ROW(G413)-ROW(G$15),0))</f>
        <v>-</v>
      </c>
      <c r="H413" s="124">
        <f ca="1">IF($D413&lt;&gt;"Serviço",0,IF(ACOMPANHAMENTO="BM",ROUND(OFFSET(ORÇAMENTO!AJ$15,ROW(H413)-ROW(H$15),0),15-13*ORÇAMENTO!$AF$7),SUMPRODUCT(($Q$12:$AA$12&lt;&gt;"")*ROUND($Q413:$AA413,15-13*ORÇAMENTO!$AF$7))))</f>
        <v>4</v>
      </c>
      <c r="I413" s="561" t="s">
        <v>890</v>
      </c>
      <c r="K413" s="174"/>
      <c r="L413" s="175" t="s">
        <v>255</v>
      </c>
      <c r="M413" s="176">
        <f ca="1">IF($D413&lt;&gt;"Serviço","",IF(AUTOEVENTO="manual",$A413,IF(ISERROR(MATCH($A413,$A$15:OFFSET($A413,-1,0),0)),MAX($M$15:OFFSET(M413,-1,0))+1,INDEX($M$15:OFFSET(M413,-1,0),MATCH($A413,$A$15:OFFSET($A413,-1,0),0)))))</f>
        <v>16</v>
      </c>
      <c r="N413" s="177" t="str">
        <f ca="1">IF($D413&lt;&gt;"Serviço","",IF(AUTOEVENTO="Manual",IF($A413=0,"&lt;-- defina o número do agrupador",OFFSET(EVENTOS!$D$14,$A413,0)),OFFSET($F$15,$A413,0)))</f>
        <v>LOUÇAS, ACESSÓRIOS E METAIS</v>
      </c>
      <c r="O413" s="178"/>
      <c r="Q413" s="178"/>
      <c r="R413" s="179"/>
      <c r="S413" s="179"/>
      <c r="T413" s="179"/>
      <c r="U413" s="179"/>
      <c r="V413" s="179"/>
      <c r="W413" s="179"/>
      <c r="X413" s="179"/>
      <c r="Y413" s="179"/>
      <c r="Z413" s="180"/>
      <c r="AB413" s="544">
        <f ca="1">IF(AND($D413="Serviço",AB$12&lt;&gt;0,$H413&gt;0,OR(AUTOEVENTO&lt;&gt;"manual",$M413&lt;&gt;1)),
IF(Import.TipoArredondamento&lt;&gt;"TransfereGOV",
ROUND(OFFSET($P413,0,AB$13),15-13*ORÇAMENTO!$AF$7)/$H413*OFFSET(ORÇAMENTO!$X$15,ROW(AB413)-ROW(AB$15),0),
ROUND(ROUND(OFFSET($P413,0,AB$13),15-13*ORÇAMENTO!$AF$7)*OFFSET(ORÇAMENTO!$W$15,ROW(AB413)-ROW(AB$15),0),15-13*ORÇAMENTO!$AF$11)),0)</f>
        <v>0</v>
      </c>
      <c r="AC413" s="545">
        <f ca="1">IF(AND($D413="Serviço",AC$12&lt;&gt;0,$H413&gt;0,OR(AUTOEVENTO&lt;&gt;"manual",$M413&lt;&gt;1)),
IF(Import.TipoArredondamento&lt;&gt;"TransfereGOV",
ROUND(OFFSET($P413,0,AC$13),15-13*ORÇAMENTO!$AF$7)/$H413*OFFSET(ORÇAMENTO!$X$15,ROW(AC413)-ROW(AC$15),0),
ROUND(ROUND(OFFSET($P413,0,AC$13),15-13*ORÇAMENTO!$AF$7)*OFFSET(ORÇAMENTO!$W$15,ROW(AC413)-ROW(AC$15),0),15-13*ORÇAMENTO!$AF$11)),0)</f>
        <v>0</v>
      </c>
      <c r="AD413" s="545">
        <f ca="1">IF(AND($D413="Serviço",AD$12&lt;&gt;0,$H413&gt;0,OR(AUTOEVENTO&lt;&gt;"manual",$M413&lt;&gt;1)),
IF(Import.TipoArredondamento&lt;&gt;"TransfereGOV",
ROUND(OFFSET($P413,0,AD$13),15-13*ORÇAMENTO!$AF$7)/$H413*OFFSET(ORÇAMENTO!$X$15,ROW(AD413)-ROW(AD$15),0),
ROUND(ROUND(OFFSET($P413,0,AD$13),15-13*ORÇAMENTO!$AF$7)*OFFSET(ORÇAMENTO!$W$15,ROW(AD413)-ROW(AD$15),0),15-13*ORÇAMENTO!$AF$11)),0)</f>
        <v>0</v>
      </c>
      <c r="AE413" s="545">
        <f ca="1">IF(AND($D413="Serviço",AE$12&lt;&gt;0,$H413&gt;0,OR(AUTOEVENTO&lt;&gt;"manual",$M413&lt;&gt;1)),
IF(Import.TipoArredondamento&lt;&gt;"TransfereGOV",
ROUND(OFFSET($P413,0,AE$13),15-13*ORÇAMENTO!$AF$7)/$H413*OFFSET(ORÇAMENTO!$X$15,ROW(AE413)-ROW(AE$15),0),
ROUND(ROUND(OFFSET($P413,0,AE$13),15-13*ORÇAMENTO!$AF$7)*OFFSET(ORÇAMENTO!$W$15,ROW(AE413)-ROW(AE$15),0),15-13*ORÇAMENTO!$AF$11)),0)</f>
        <v>0</v>
      </c>
      <c r="AF413" s="545">
        <f ca="1">IF(AND($D413="Serviço",AF$12&lt;&gt;0,$H413&gt;0,OR(AUTOEVENTO&lt;&gt;"manual",$M413&lt;&gt;1)),
IF(Import.TipoArredondamento&lt;&gt;"TransfereGOV",
ROUND(OFFSET($P413,0,AF$13),15-13*ORÇAMENTO!$AF$7)/$H413*OFFSET(ORÇAMENTO!$X$15,ROW(AF413)-ROW(AF$15),0),
ROUND(ROUND(OFFSET($P413,0,AF$13),15-13*ORÇAMENTO!$AF$7)*OFFSET(ORÇAMENTO!$W$15,ROW(AF413)-ROW(AF$15),0),15-13*ORÇAMENTO!$AF$11)),0)</f>
        <v>0</v>
      </c>
      <c r="AG413" s="545">
        <f ca="1">IF(AND($D413="Serviço",AG$12&lt;&gt;0,$H413&gt;0,OR(AUTOEVENTO&lt;&gt;"manual",$M413&lt;&gt;1)),
IF(Import.TipoArredondamento&lt;&gt;"TransfereGOV",
ROUND(OFFSET($P413,0,AG$13),15-13*ORÇAMENTO!$AF$7)/$H413*OFFSET(ORÇAMENTO!$X$15,ROW(AG413)-ROW(AG$15),0),
ROUND(ROUND(OFFSET($P413,0,AG$13),15-13*ORÇAMENTO!$AF$7)*OFFSET(ORÇAMENTO!$W$15,ROW(AG413)-ROW(AG$15),0),15-13*ORÇAMENTO!$AF$11)),0)</f>
        <v>0</v>
      </c>
      <c r="AH413" s="545">
        <f ca="1">IF(AND($D413="Serviço",AH$12&lt;&gt;0,$H413&gt;0,OR(AUTOEVENTO&lt;&gt;"manual",$M413&lt;&gt;1)),
IF(Import.TipoArredondamento&lt;&gt;"TransfereGOV",
ROUND(OFFSET($P413,0,AH$13),15-13*ORÇAMENTO!$AF$7)/$H413*OFFSET(ORÇAMENTO!$X$15,ROW(AH413)-ROW(AH$15),0),
ROUND(ROUND(OFFSET($P413,0,AH$13),15-13*ORÇAMENTO!$AF$7)*OFFSET(ORÇAMENTO!$W$15,ROW(AH413)-ROW(AH$15),0),15-13*ORÇAMENTO!$AF$11)),0)</f>
        <v>0</v>
      </c>
      <c r="AI413" s="545">
        <f ca="1">IF(AND($D413="Serviço",AI$12&lt;&gt;0,$H413&gt;0,OR(AUTOEVENTO&lt;&gt;"manual",$M413&lt;&gt;1)),
IF(Import.TipoArredondamento&lt;&gt;"TransfereGOV",
ROUND(OFFSET($P413,0,AI$13),15-13*ORÇAMENTO!$AF$7)/$H413*OFFSET(ORÇAMENTO!$X$15,ROW(AI413)-ROW(AI$15),0),
ROUND(ROUND(OFFSET($P413,0,AI$13),15-13*ORÇAMENTO!$AF$7)*OFFSET(ORÇAMENTO!$W$15,ROW(AI413)-ROW(AI$15),0),15-13*ORÇAMENTO!$AF$11)),0)</f>
        <v>0</v>
      </c>
      <c r="AJ413" s="545">
        <f ca="1">IF(AND($D413="Serviço",AJ$12&lt;&gt;0,$H413&gt;0,OR(AUTOEVENTO&lt;&gt;"manual",$M413&lt;&gt;1)),
IF(Import.TipoArredondamento&lt;&gt;"TransfereGOV",
ROUND(OFFSET($P413,0,AJ$13),15-13*ORÇAMENTO!$AF$7)/$H413*OFFSET(ORÇAMENTO!$X$15,ROW(AJ413)-ROW(AJ$15),0),
ROUND(ROUND(OFFSET($P413,0,AJ$13),15-13*ORÇAMENTO!$AF$7)*OFFSET(ORÇAMENTO!$W$15,ROW(AJ413)-ROW(AJ$15),0),15-13*ORÇAMENTO!$AF$11)),0)</f>
        <v>0</v>
      </c>
      <c r="AK413" s="546">
        <f ca="1">IF(AND($D413="Serviço",AK$12&lt;&gt;0,$H413&gt;0,OR(AUTOEVENTO&lt;&gt;"manual",$M413&lt;&gt;1)),
IF(Import.TipoArredondamento&lt;&gt;"TransfereGOV",
ROUND(OFFSET($P413,0,AK$13),15-13*ORÇAMENTO!$AF$7)/$H413*OFFSET(ORÇAMENTO!$X$15,ROW(AK413)-ROW(AK$15),0),
ROUND(ROUND(OFFSET($P413,0,AK$13),15-13*ORÇAMENTO!$AF$7)*OFFSET(ORÇAMENTO!$W$15,ROW(AK413)-ROW(AK$15),0),15-13*ORÇAMENTO!$AF$11)),0)</f>
        <v>0</v>
      </c>
      <c r="AM413" s="181">
        <f ca="1">IF($D413&lt;&gt;"Serviço",0,IF(AND(AUTOEVENTO="Manual",$M413=1),0,IF(OFFSET(CRONOPLE!$F$14,$M413,AM$13)="",10^12,OFFSET(CRONOPLE!$F$14,$M413,AM$13))))</f>
        <v>1000000000000</v>
      </c>
      <c r="AN413" s="181">
        <f ca="1">IF($D413&lt;&gt;"Serviço",0,IF(AND(AUTOEVENTO="Manual",$M413=1),0,IF(OFFSET(CRONOPLE!$F$14,$M413,AN$13)="",10^12,OFFSET(CRONOPLE!$F$14,$M413,AN$13))))</f>
        <v>1000000000000</v>
      </c>
      <c r="AO413" s="181">
        <f ca="1">IF($D413&lt;&gt;"Serviço",0,IF(AND(AUTOEVENTO="Manual",$M413=1),0,IF(OFFSET(CRONOPLE!$F$14,$M413,AO$13)="",10^12,OFFSET(CRONOPLE!$F$14,$M413,AO$13))))</f>
        <v>1000000000000</v>
      </c>
      <c r="AP413" s="181">
        <f ca="1">IF($D413&lt;&gt;"Serviço",0,IF(AND(AUTOEVENTO="Manual",$M413=1),0,IF(OFFSET(CRONOPLE!$F$14,$M413,AP$13)="",10^12,OFFSET(CRONOPLE!$F$14,$M413,AP$13))))</f>
        <v>1000000000000</v>
      </c>
      <c r="AQ413" s="181">
        <f ca="1">IF($D413&lt;&gt;"Serviço",0,IF(AND(AUTOEVENTO="Manual",$M413=1),0,IF(OFFSET(CRONOPLE!$F$14,$M413,AQ$13)="",10^12,OFFSET(CRONOPLE!$F$14,$M413,AQ$13))))</f>
        <v>1000000000000</v>
      </c>
      <c r="AR413" s="181">
        <f ca="1">IF($D413&lt;&gt;"Serviço",0,IF(AND(AUTOEVENTO="Manual",$M413=1),0,IF(OFFSET(CRONOPLE!$F$14,$M413,AR$13)="",10^12,OFFSET(CRONOPLE!$F$14,$M413,AR$13))))</f>
        <v>1000000000000</v>
      </c>
      <c r="AS413" s="181">
        <f ca="1">IF($D413&lt;&gt;"Serviço",0,IF(AND(AUTOEVENTO="Manual",$M413=1),0,IF(OFFSET(CRONOPLE!$F$14,$M413,AS$13)="",10^12,OFFSET(CRONOPLE!$F$14,$M413,AS$13))))</f>
        <v>1000000000000</v>
      </c>
      <c r="AT413" s="181">
        <f ca="1">IF($D413&lt;&gt;"Serviço",0,IF(AND(AUTOEVENTO="Manual",$M413=1),0,IF(OFFSET(CRONOPLE!$F$14,$M413,AT$13)="",10^12,OFFSET(CRONOPLE!$F$14,$M413,AT$13))))</f>
        <v>1000000000000</v>
      </c>
      <c r="AU413" s="181">
        <f ca="1">IF($D413&lt;&gt;"Serviço",0,IF(AND(AUTOEVENTO="Manual",$M413=1),0,IF(OFFSET(CRONOPLE!$F$14,$M413,AU$13)="",10^12,OFFSET(CRONOPLE!$F$14,$M413,AU$13))))</f>
        <v>1000000000000</v>
      </c>
      <c r="AV413" s="181">
        <f ca="1">IF($D413&lt;&gt;"Serviço",0,IF(AND(AUTOEVENTO="Manual",$M413=1),0,IF(OFFSET(CRONOPLE!$F$14,$M413,AV$13)="",10^12,OFFSET(CRONOPLE!$F$14,$M413,AV$13))))</f>
        <v>1000000000000</v>
      </c>
      <c r="AX413" s="182">
        <f ca="1">IF($D413&lt;&gt;"Serviço",0,IF(OR(AND(AUTOEVENTO="Manual",$M413=1),$M413&gt;(ROW(PLE.lastrow)-ROW(PLE.firstrow))),0,IF(OFFSET(PLE!$G$14,$M413,AX$13)="",10^12,OFFSET(PLE!$G$14,$M413,AX$13))))</f>
        <v>1000000000000</v>
      </c>
      <c r="AY413" s="182">
        <f ca="1">IF($D413&lt;&gt;"Serviço",0,IF(OR(AND(AUTOEVENTO="Manual",$M413=1),$M413&gt;(ROW(PLE.lastrow)-ROW(PLE.firstrow))),0,IF(OFFSET(PLE!$G$14,$M413,AY$13)="",10^12,OFFSET(PLE!$G$14,$M413,AY$13))))</f>
        <v>1000000000000</v>
      </c>
      <c r="AZ413" s="182">
        <f ca="1">IF($D413&lt;&gt;"Serviço",0,IF(OR(AND(AUTOEVENTO="Manual",$M413=1),$M413&gt;(ROW(PLE.lastrow)-ROW(PLE.firstrow))),0,IF(OFFSET(PLE!$G$14,$M413,AZ$13)="",10^12,OFFSET(PLE!$G$14,$M413,AZ$13))))</f>
        <v>1000000000000</v>
      </c>
      <c r="BA413" s="182">
        <f ca="1">IF($D413&lt;&gt;"Serviço",0,IF(OR(AND(AUTOEVENTO="Manual",$M413=1),$M413&gt;(ROW(PLE.lastrow)-ROW(PLE.firstrow))),0,IF(OFFSET(PLE!$G$14,$M413,BA$13)="",10^12,OFFSET(PLE!$G$14,$M413,BA$13))))</f>
        <v>1000000000000</v>
      </c>
      <c r="BB413" s="182">
        <f ca="1">IF($D413&lt;&gt;"Serviço",0,IF(OR(AND(AUTOEVENTO="Manual",$M413=1),$M413&gt;(ROW(PLE.lastrow)-ROW(PLE.firstrow))),0,IF(OFFSET(PLE!$G$14,$M413,BB$13)="",10^12,OFFSET(PLE!$G$14,$M413,BB$13))))</f>
        <v>1000000000000</v>
      </c>
      <c r="BC413" s="182">
        <f ca="1">IF($D413&lt;&gt;"Serviço",0,IF(OR(AND(AUTOEVENTO="Manual",$M413=1),$M413&gt;(ROW(PLE.lastrow)-ROW(PLE.firstrow))),0,IF(OFFSET(PLE!$G$14,$M413,BC$13)="",10^12,OFFSET(PLE!$G$14,$M413,BC$13))))</f>
        <v>1000000000000</v>
      </c>
      <c r="BD413" s="182">
        <f ca="1">IF($D413&lt;&gt;"Serviço",0,IF(OR(AND(AUTOEVENTO="Manual",$M413=1),$M413&gt;(ROW(PLE.lastrow)-ROW(PLE.firstrow))),0,IF(OFFSET(PLE!$G$14,$M413,BD$13)="",10^12,OFFSET(PLE!$G$14,$M413,BD$13))))</f>
        <v>1000000000000</v>
      </c>
      <c r="BE413" s="182">
        <f ca="1">IF($D413&lt;&gt;"Serviço",0,IF(OR(AND(AUTOEVENTO="Manual",$M413=1),$M413&gt;(ROW(PLE.lastrow)-ROW(PLE.firstrow))),0,IF(OFFSET(PLE!$G$14,$M413,BE$13)="",10^12,OFFSET(PLE!$G$14,$M413,BE$13))))</f>
        <v>1000000000000</v>
      </c>
      <c r="BF413" s="182">
        <f ca="1">IF($D413&lt;&gt;"Serviço",0,IF(OR(AND(AUTOEVENTO="Manual",$M413=1),$M413&gt;(ROW(PLE.lastrow)-ROW(PLE.firstrow))),0,IF(OFFSET(PLE!$G$14,$M413,BF$13)="",10^12,OFFSET(PLE!$G$14,$M413,BF$13))))</f>
        <v>1000000000000</v>
      </c>
      <c r="BG413" s="182">
        <f ca="1">IF($D413&lt;&gt;"Serviço",0,IF(OR(AND(AUTOEVENTO="Manual",$M413=1),$M413&gt;(ROW(PLE.lastrow)-ROW(PLE.firstrow))),0,IF(OFFSET(PLE!$G$14,$M413,BG$13)="",10^12,OFFSET(PLE!$G$14,$M413,BG$13))))</f>
        <v>1000000000000</v>
      </c>
    </row>
    <row r="414" spans="1:59" ht="25.5" x14ac:dyDescent="0.2">
      <c r="A414" s="7" t="str">
        <f t="shared" ca="1" si="11"/>
        <v>376</v>
      </c>
      <c r="B414" s="7" t="str">
        <f ca="1">OFFSET(ORÇAMENTO!C$15,ROW(B414)-ROW(B$15),0)</f>
        <v>S</v>
      </c>
      <c r="C414" s="7" t="str">
        <f ca="1">OFFSET(ORÇAMENTO!L$15,ROW(C414)-ROW(C$15),0)</f>
        <v/>
      </c>
      <c r="D414" s="118" t="str">
        <f ca="1">OFFSET(ORÇAMENTO!N$15,ROW(D414)-ROW(D$15),0)</f>
        <v>Serviço</v>
      </c>
      <c r="E414" s="119" t="str">
        <f ca="1">OFFSET(ORÇAMENTO!O$15,ROW(E414)-ROW(E$15),0)</f>
        <v>-</v>
      </c>
      <c r="F414" s="172" t="str">
        <f ca="1">OFFSET(ORÇAMENTO!R$15,ROW(F414)-ROW(F$15),0)</f>
        <v>(abra o arquivo 'Referência 02-2025.xlsm)</v>
      </c>
      <c r="G414" s="173" t="str">
        <f ca="1">IF($D414&lt;&gt;"Serviço","",OFFSET(ORÇAMENTO!S$15,ROW(G414)-ROW(G$15),0))</f>
        <v>-</v>
      </c>
      <c r="H414" s="124">
        <f ca="1">IF($D414&lt;&gt;"Serviço",0,IF(ACOMPANHAMENTO="BM",ROUND(OFFSET(ORÇAMENTO!AJ$15,ROW(H414)-ROW(H$15),0),15-13*ORÇAMENTO!$AF$7),SUMPRODUCT(($Q$12:$AA$12&lt;&gt;"")*ROUND($Q414:$AA414,15-13*ORÇAMENTO!$AF$7))))</f>
        <v>45</v>
      </c>
      <c r="I414" s="561" t="s">
        <v>890</v>
      </c>
      <c r="K414" s="174"/>
      <c r="L414" s="175" t="s">
        <v>255</v>
      </c>
      <c r="M414" s="176">
        <f ca="1">IF($D414&lt;&gt;"Serviço","",IF(AUTOEVENTO="manual",$A414,IF(ISERROR(MATCH($A414,$A$15:OFFSET($A414,-1,0),0)),MAX($M$15:OFFSET(M414,-1,0))+1,INDEX($M$15:OFFSET(M414,-1,0),MATCH($A414,$A$15:OFFSET($A414,-1,0),0)))))</f>
        <v>16</v>
      </c>
      <c r="N414" s="177" t="str">
        <f ca="1">IF($D414&lt;&gt;"Serviço","",IF(AUTOEVENTO="Manual",IF($A414=0,"&lt;-- defina o número do agrupador",OFFSET(EVENTOS!$D$14,$A414,0)),OFFSET($F$15,$A414,0)))</f>
        <v>LOUÇAS, ACESSÓRIOS E METAIS</v>
      </c>
      <c r="O414" s="178"/>
      <c r="Q414" s="178"/>
      <c r="R414" s="179"/>
      <c r="S414" s="179"/>
      <c r="T414" s="179"/>
      <c r="U414" s="179"/>
      <c r="V414" s="179"/>
      <c r="W414" s="179"/>
      <c r="X414" s="179"/>
      <c r="Y414" s="179"/>
      <c r="Z414" s="180"/>
      <c r="AB414" s="544">
        <f ca="1">IF(AND($D414="Serviço",AB$12&lt;&gt;0,$H414&gt;0,OR(AUTOEVENTO&lt;&gt;"manual",$M414&lt;&gt;1)),
IF(Import.TipoArredondamento&lt;&gt;"TransfereGOV",
ROUND(OFFSET($P414,0,AB$13),15-13*ORÇAMENTO!$AF$7)/$H414*OFFSET(ORÇAMENTO!$X$15,ROW(AB414)-ROW(AB$15),0),
ROUND(ROUND(OFFSET($P414,0,AB$13),15-13*ORÇAMENTO!$AF$7)*OFFSET(ORÇAMENTO!$W$15,ROW(AB414)-ROW(AB$15),0),15-13*ORÇAMENTO!$AF$11)),0)</f>
        <v>0</v>
      </c>
      <c r="AC414" s="545">
        <f ca="1">IF(AND($D414="Serviço",AC$12&lt;&gt;0,$H414&gt;0,OR(AUTOEVENTO&lt;&gt;"manual",$M414&lt;&gt;1)),
IF(Import.TipoArredondamento&lt;&gt;"TransfereGOV",
ROUND(OFFSET($P414,0,AC$13),15-13*ORÇAMENTO!$AF$7)/$H414*OFFSET(ORÇAMENTO!$X$15,ROW(AC414)-ROW(AC$15),0),
ROUND(ROUND(OFFSET($P414,0,AC$13),15-13*ORÇAMENTO!$AF$7)*OFFSET(ORÇAMENTO!$W$15,ROW(AC414)-ROW(AC$15),0),15-13*ORÇAMENTO!$AF$11)),0)</f>
        <v>0</v>
      </c>
      <c r="AD414" s="545">
        <f ca="1">IF(AND($D414="Serviço",AD$12&lt;&gt;0,$H414&gt;0,OR(AUTOEVENTO&lt;&gt;"manual",$M414&lt;&gt;1)),
IF(Import.TipoArredondamento&lt;&gt;"TransfereGOV",
ROUND(OFFSET($P414,0,AD$13),15-13*ORÇAMENTO!$AF$7)/$H414*OFFSET(ORÇAMENTO!$X$15,ROW(AD414)-ROW(AD$15),0),
ROUND(ROUND(OFFSET($P414,0,AD$13),15-13*ORÇAMENTO!$AF$7)*OFFSET(ORÇAMENTO!$W$15,ROW(AD414)-ROW(AD$15),0),15-13*ORÇAMENTO!$AF$11)),0)</f>
        <v>0</v>
      </c>
      <c r="AE414" s="545">
        <f ca="1">IF(AND($D414="Serviço",AE$12&lt;&gt;0,$H414&gt;0,OR(AUTOEVENTO&lt;&gt;"manual",$M414&lt;&gt;1)),
IF(Import.TipoArredondamento&lt;&gt;"TransfereGOV",
ROUND(OFFSET($P414,0,AE$13),15-13*ORÇAMENTO!$AF$7)/$H414*OFFSET(ORÇAMENTO!$X$15,ROW(AE414)-ROW(AE$15),0),
ROUND(ROUND(OFFSET($P414,0,AE$13),15-13*ORÇAMENTO!$AF$7)*OFFSET(ORÇAMENTO!$W$15,ROW(AE414)-ROW(AE$15),0),15-13*ORÇAMENTO!$AF$11)),0)</f>
        <v>0</v>
      </c>
      <c r="AF414" s="545">
        <f ca="1">IF(AND($D414="Serviço",AF$12&lt;&gt;0,$H414&gt;0,OR(AUTOEVENTO&lt;&gt;"manual",$M414&lt;&gt;1)),
IF(Import.TipoArredondamento&lt;&gt;"TransfereGOV",
ROUND(OFFSET($P414,0,AF$13),15-13*ORÇAMENTO!$AF$7)/$H414*OFFSET(ORÇAMENTO!$X$15,ROW(AF414)-ROW(AF$15),0),
ROUND(ROUND(OFFSET($P414,0,AF$13),15-13*ORÇAMENTO!$AF$7)*OFFSET(ORÇAMENTO!$W$15,ROW(AF414)-ROW(AF$15),0),15-13*ORÇAMENTO!$AF$11)),0)</f>
        <v>0</v>
      </c>
      <c r="AG414" s="545">
        <f ca="1">IF(AND($D414="Serviço",AG$12&lt;&gt;0,$H414&gt;0,OR(AUTOEVENTO&lt;&gt;"manual",$M414&lt;&gt;1)),
IF(Import.TipoArredondamento&lt;&gt;"TransfereGOV",
ROUND(OFFSET($P414,0,AG$13),15-13*ORÇAMENTO!$AF$7)/$H414*OFFSET(ORÇAMENTO!$X$15,ROW(AG414)-ROW(AG$15),0),
ROUND(ROUND(OFFSET($P414,0,AG$13),15-13*ORÇAMENTO!$AF$7)*OFFSET(ORÇAMENTO!$W$15,ROW(AG414)-ROW(AG$15),0),15-13*ORÇAMENTO!$AF$11)),0)</f>
        <v>0</v>
      </c>
      <c r="AH414" s="545">
        <f ca="1">IF(AND($D414="Serviço",AH$12&lt;&gt;0,$H414&gt;0,OR(AUTOEVENTO&lt;&gt;"manual",$M414&lt;&gt;1)),
IF(Import.TipoArredondamento&lt;&gt;"TransfereGOV",
ROUND(OFFSET($P414,0,AH$13),15-13*ORÇAMENTO!$AF$7)/$H414*OFFSET(ORÇAMENTO!$X$15,ROW(AH414)-ROW(AH$15),0),
ROUND(ROUND(OFFSET($P414,0,AH$13),15-13*ORÇAMENTO!$AF$7)*OFFSET(ORÇAMENTO!$W$15,ROW(AH414)-ROW(AH$15),0),15-13*ORÇAMENTO!$AF$11)),0)</f>
        <v>0</v>
      </c>
      <c r="AI414" s="545">
        <f ca="1">IF(AND($D414="Serviço",AI$12&lt;&gt;0,$H414&gt;0,OR(AUTOEVENTO&lt;&gt;"manual",$M414&lt;&gt;1)),
IF(Import.TipoArredondamento&lt;&gt;"TransfereGOV",
ROUND(OFFSET($P414,0,AI$13),15-13*ORÇAMENTO!$AF$7)/$H414*OFFSET(ORÇAMENTO!$X$15,ROW(AI414)-ROW(AI$15),0),
ROUND(ROUND(OFFSET($P414,0,AI$13),15-13*ORÇAMENTO!$AF$7)*OFFSET(ORÇAMENTO!$W$15,ROW(AI414)-ROW(AI$15),0),15-13*ORÇAMENTO!$AF$11)),0)</f>
        <v>0</v>
      </c>
      <c r="AJ414" s="545">
        <f ca="1">IF(AND($D414="Serviço",AJ$12&lt;&gt;0,$H414&gt;0,OR(AUTOEVENTO&lt;&gt;"manual",$M414&lt;&gt;1)),
IF(Import.TipoArredondamento&lt;&gt;"TransfereGOV",
ROUND(OFFSET($P414,0,AJ$13),15-13*ORÇAMENTO!$AF$7)/$H414*OFFSET(ORÇAMENTO!$X$15,ROW(AJ414)-ROW(AJ$15),0),
ROUND(ROUND(OFFSET($P414,0,AJ$13),15-13*ORÇAMENTO!$AF$7)*OFFSET(ORÇAMENTO!$W$15,ROW(AJ414)-ROW(AJ$15),0),15-13*ORÇAMENTO!$AF$11)),0)</f>
        <v>0</v>
      </c>
      <c r="AK414" s="546">
        <f ca="1">IF(AND($D414="Serviço",AK$12&lt;&gt;0,$H414&gt;0,OR(AUTOEVENTO&lt;&gt;"manual",$M414&lt;&gt;1)),
IF(Import.TipoArredondamento&lt;&gt;"TransfereGOV",
ROUND(OFFSET($P414,0,AK$13),15-13*ORÇAMENTO!$AF$7)/$H414*OFFSET(ORÇAMENTO!$X$15,ROW(AK414)-ROW(AK$15),0),
ROUND(ROUND(OFFSET($P414,0,AK$13),15-13*ORÇAMENTO!$AF$7)*OFFSET(ORÇAMENTO!$W$15,ROW(AK414)-ROW(AK$15),0),15-13*ORÇAMENTO!$AF$11)),0)</f>
        <v>0</v>
      </c>
      <c r="AM414" s="181">
        <f ca="1">IF($D414&lt;&gt;"Serviço",0,IF(AND(AUTOEVENTO="Manual",$M414=1),0,IF(OFFSET(CRONOPLE!$F$14,$M414,AM$13)="",10^12,OFFSET(CRONOPLE!$F$14,$M414,AM$13))))</f>
        <v>1000000000000</v>
      </c>
      <c r="AN414" s="181">
        <f ca="1">IF($D414&lt;&gt;"Serviço",0,IF(AND(AUTOEVENTO="Manual",$M414=1),0,IF(OFFSET(CRONOPLE!$F$14,$M414,AN$13)="",10^12,OFFSET(CRONOPLE!$F$14,$M414,AN$13))))</f>
        <v>1000000000000</v>
      </c>
      <c r="AO414" s="181">
        <f ca="1">IF($D414&lt;&gt;"Serviço",0,IF(AND(AUTOEVENTO="Manual",$M414=1),0,IF(OFFSET(CRONOPLE!$F$14,$M414,AO$13)="",10^12,OFFSET(CRONOPLE!$F$14,$M414,AO$13))))</f>
        <v>1000000000000</v>
      </c>
      <c r="AP414" s="181">
        <f ca="1">IF($D414&lt;&gt;"Serviço",0,IF(AND(AUTOEVENTO="Manual",$M414=1),0,IF(OFFSET(CRONOPLE!$F$14,$M414,AP$13)="",10^12,OFFSET(CRONOPLE!$F$14,$M414,AP$13))))</f>
        <v>1000000000000</v>
      </c>
      <c r="AQ414" s="181">
        <f ca="1">IF($D414&lt;&gt;"Serviço",0,IF(AND(AUTOEVENTO="Manual",$M414=1),0,IF(OFFSET(CRONOPLE!$F$14,$M414,AQ$13)="",10^12,OFFSET(CRONOPLE!$F$14,$M414,AQ$13))))</f>
        <v>1000000000000</v>
      </c>
      <c r="AR414" s="181">
        <f ca="1">IF($D414&lt;&gt;"Serviço",0,IF(AND(AUTOEVENTO="Manual",$M414=1),0,IF(OFFSET(CRONOPLE!$F$14,$M414,AR$13)="",10^12,OFFSET(CRONOPLE!$F$14,$M414,AR$13))))</f>
        <v>1000000000000</v>
      </c>
      <c r="AS414" s="181">
        <f ca="1">IF($D414&lt;&gt;"Serviço",0,IF(AND(AUTOEVENTO="Manual",$M414=1),0,IF(OFFSET(CRONOPLE!$F$14,$M414,AS$13)="",10^12,OFFSET(CRONOPLE!$F$14,$M414,AS$13))))</f>
        <v>1000000000000</v>
      </c>
      <c r="AT414" s="181">
        <f ca="1">IF($D414&lt;&gt;"Serviço",0,IF(AND(AUTOEVENTO="Manual",$M414=1),0,IF(OFFSET(CRONOPLE!$F$14,$M414,AT$13)="",10^12,OFFSET(CRONOPLE!$F$14,$M414,AT$13))))</f>
        <v>1000000000000</v>
      </c>
      <c r="AU414" s="181">
        <f ca="1">IF($D414&lt;&gt;"Serviço",0,IF(AND(AUTOEVENTO="Manual",$M414=1),0,IF(OFFSET(CRONOPLE!$F$14,$M414,AU$13)="",10^12,OFFSET(CRONOPLE!$F$14,$M414,AU$13))))</f>
        <v>1000000000000</v>
      </c>
      <c r="AV414" s="181">
        <f ca="1">IF($D414&lt;&gt;"Serviço",0,IF(AND(AUTOEVENTO="Manual",$M414=1),0,IF(OFFSET(CRONOPLE!$F$14,$M414,AV$13)="",10^12,OFFSET(CRONOPLE!$F$14,$M414,AV$13))))</f>
        <v>1000000000000</v>
      </c>
      <c r="AX414" s="182">
        <f ca="1">IF($D414&lt;&gt;"Serviço",0,IF(OR(AND(AUTOEVENTO="Manual",$M414=1),$M414&gt;(ROW(PLE.lastrow)-ROW(PLE.firstrow))),0,IF(OFFSET(PLE!$G$14,$M414,AX$13)="",10^12,OFFSET(PLE!$G$14,$M414,AX$13))))</f>
        <v>1000000000000</v>
      </c>
      <c r="AY414" s="182">
        <f ca="1">IF($D414&lt;&gt;"Serviço",0,IF(OR(AND(AUTOEVENTO="Manual",$M414=1),$M414&gt;(ROW(PLE.lastrow)-ROW(PLE.firstrow))),0,IF(OFFSET(PLE!$G$14,$M414,AY$13)="",10^12,OFFSET(PLE!$G$14,$M414,AY$13))))</f>
        <v>1000000000000</v>
      </c>
      <c r="AZ414" s="182">
        <f ca="1">IF($D414&lt;&gt;"Serviço",0,IF(OR(AND(AUTOEVENTO="Manual",$M414=1),$M414&gt;(ROW(PLE.lastrow)-ROW(PLE.firstrow))),0,IF(OFFSET(PLE!$G$14,$M414,AZ$13)="",10^12,OFFSET(PLE!$G$14,$M414,AZ$13))))</f>
        <v>1000000000000</v>
      </c>
      <c r="BA414" s="182">
        <f ca="1">IF($D414&lt;&gt;"Serviço",0,IF(OR(AND(AUTOEVENTO="Manual",$M414=1),$M414&gt;(ROW(PLE.lastrow)-ROW(PLE.firstrow))),0,IF(OFFSET(PLE!$G$14,$M414,BA$13)="",10^12,OFFSET(PLE!$G$14,$M414,BA$13))))</f>
        <v>1000000000000</v>
      </c>
      <c r="BB414" s="182">
        <f ca="1">IF($D414&lt;&gt;"Serviço",0,IF(OR(AND(AUTOEVENTO="Manual",$M414=1),$M414&gt;(ROW(PLE.lastrow)-ROW(PLE.firstrow))),0,IF(OFFSET(PLE!$G$14,$M414,BB$13)="",10^12,OFFSET(PLE!$G$14,$M414,BB$13))))</f>
        <v>1000000000000</v>
      </c>
      <c r="BC414" s="182">
        <f ca="1">IF($D414&lt;&gt;"Serviço",0,IF(OR(AND(AUTOEVENTO="Manual",$M414=1),$M414&gt;(ROW(PLE.lastrow)-ROW(PLE.firstrow))),0,IF(OFFSET(PLE!$G$14,$M414,BC$13)="",10^12,OFFSET(PLE!$G$14,$M414,BC$13))))</f>
        <v>1000000000000</v>
      </c>
      <c r="BD414" s="182">
        <f ca="1">IF($D414&lt;&gt;"Serviço",0,IF(OR(AND(AUTOEVENTO="Manual",$M414=1),$M414&gt;(ROW(PLE.lastrow)-ROW(PLE.firstrow))),0,IF(OFFSET(PLE!$G$14,$M414,BD$13)="",10^12,OFFSET(PLE!$G$14,$M414,BD$13))))</f>
        <v>1000000000000</v>
      </c>
      <c r="BE414" s="182">
        <f ca="1">IF($D414&lt;&gt;"Serviço",0,IF(OR(AND(AUTOEVENTO="Manual",$M414=1),$M414&gt;(ROW(PLE.lastrow)-ROW(PLE.firstrow))),0,IF(OFFSET(PLE!$G$14,$M414,BE$13)="",10^12,OFFSET(PLE!$G$14,$M414,BE$13))))</f>
        <v>1000000000000</v>
      </c>
      <c r="BF414" s="182">
        <f ca="1">IF($D414&lt;&gt;"Serviço",0,IF(OR(AND(AUTOEVENTO="Manual",$M414=1),$M414&gt;(ROW(PLE.lastrow)-ROW(PLE.firstrow))),0,IF(OFFSET(PLE!$G$14,$M414,BF$13)="",10^12,OFFSET(PLE!$G$14,$M414,BF$13))))</f>
        <v>1000000000000</v>
      </c>
      <c r="BG414" s="182">
        <f ca="1">IF($D414&lt;&gt;"Serviço",0,IF(OR(AND(AUTOEVENTO="Manual",$M414=1),$M414&gt;(ROW(PLE.lastrow)-ROW(PLE.firstrow))),0,IF(OFFSET(PLE!$G$14,$M414,BG$13)="",10^12,OFFSET(PLE!$G$14,$M414,BG$13))))</f>
        <v>1000000000000</v>
      </c>
    </row>
    <row r="415" spans="1:59" ht="25.5" x14ac:dyDescent="0.2">
      <c r="A415" s="7" t="str">
        <f t="shared" ca="1" si="11"/>
        <v>376</v>
      </c>
      <c r="B415" s="7" t="str">
        <f ca="1">OFFSET(ORÇAMENTO!C$15,ROW(B415)-ROW(B$15),0)</f>
        <v>S</v>
      </c>
      <c r="C415" s="7" t="str">
        <f ca="1">OFFSET(ORÇAMENTO!L$15,ROW(C415)-ROW(C$15),0)</f>
        <v/>
      </c>
      <c r="D415" s="118" t="str">
        <f ca="1">OFFSET(ORÇAMENTO!N$15,ROW(D415)-ROW(D$15),0)</f>
        <v>Serviço</v>
      </c>
      <c r="E415" s="119" t="str">
        <f ca="1">OFFSET(ORÇAMENTO!O$15,ROW(E415)-ROW(E$15),0)</f>
        <v>-</v>
      </c>
      <c r="F415" s="172" t="str">
        <f ca="1">OFFSET(ORÇAMENTO!R$15,ROW(F415)-ROW(F$15),0)</f>
        <v>(abra o arquivo 'Referência 02-2025.xlsm)</v>
      </c>
      <c r="G415" s="173" t="str">
        <f ca="1">IF($D415&lt;&gt;"Serviço","",OFFSET(ORÇAMENTO!S$15,ROW(G415)-ROW(G$15),0))</f>
        <v>-</v>
      </c>
      <c r="H415" s="124">
        <f ca="1">IF($D415&lt;&gt;"Serviço",0,IF(ACOMPANHAMENTO="BM",ROUND(OFFSET(ORÇAMENTO!AJ$15,ROW(H415)-ROW(H$15),0),15-13*ORÇAMENTO!$AF$7),SUMPRODUCT(($Q$12:$AA$12&lt;&gt;"")*ROUND($Q415:$AA415,15-13*ORÇAMENTO!$AF$7))))</f>
        <v>13</v>
      </c>
      <c r="I415" s="561" t="s">
        <v>890</v>
      </c>
      <c r="K415" s="174"/>
      <c r="L415" s="175" t="s">
        <v>255</v>
      </c>
      <c r="M415" s="176">
        <f ca="1">IF($D415&lt;&gt;"Serviço","",IF(AUTOEVENTO="manual",$A415,IF(ISERROR(MATCH($A415,$A$15:OFFSET($A415,-1,0),0)),MAX($M$15:OFFSET(M415,-1,0))+1,INDEX($M$15:OFFSET(M415,-1,0),MATCH($A415,$A$15:OFFSET($A415,-1,0),0)))))</f>
        <v>16</v>
      </c>
      <c r="N415" s="177" t="str">
        <f ca="1">IF($D415&lt;&gt;"Serviço","",IF(AUTOEVENTO="Manual",IF($A415=0,"&lt;-- defina o número do agrupador",OFFSET(EVENTOS!$D$14,$A415,0)),OFFSET($F$15,$A415,0)))</f>
        <v>LOUÇAS, ACESSÓRIOS E METAIS</v>
      </c>
      <c r="O415" s="178"/>
      <c r="Q415" s="178"/>
      <c r="R415" s="179"/>
      <c r="S415" s="179"/>
      <c r="T415" s="179"/>
      <c r="U415" s="179"/>
      <c r="V415" s="179"/>
      <c r="W415" s="179"/>
      <c r="X415" s="179"/>
      <c r="Y415" s="179"/>
      <c r="Z415" s="180"/>
      <c r="AB415" s="544">
        <f ca="1">IF(AND($D415="Serviço",AB$12&lt;&gt;0,$H415&gt;0,OR(AUTOEVENTO&lt;&gt;"manual",$M415&lt;&gt;1)),
IF(Import.TipoArredondamento&lt;&gt;"TransfereGOV",
ROUND(OFFSET($P415,0,AB$13),15-13*ORÇAMENTO!$AF$7)/$H415*OFFSET(ORÇAMENTO!$X$15,ROW(AB415)-ROW(AB$15),0),
ROUND(ROUND(OFFSET($P415,0,AB$13),15-13*ORÇAMENTO!$AF$7)*OFFSET(ORÇAMENTO!$W$15,ROW(AB415)-ROW(AB$15),0),15-13*ORÇAMENTO!$AF$11)),0)</f>
        <v>0</v>
      </c>
      <c r="AC415" s="545">
        <f ca="1">IF(AND($D415="Serviço",AC$12&lt;&gt;0,$H415&gt;0,OR(AUTOEVENTO&lt;&gt;"manual",$M415&lt;&gt;1)),
IF(Import.TipoArredondamento&lt;&gt;"TransfereGOV",
ROUND(OFFSET($P415,0,AC$13),15-13*ORÇAMENTO!$AF$7)/$H415*OFFSET(ORÇAMENTO!$X$15,ROW(AC415)-ROW(AC$15),0),
ROUND(ROUND(OFFSET($P415,0,AC$13),15-13*ORÇAMENTO!$AF$7)*OFFSET(ORÇAMENTO!$W$15,ROW(AC415)-ROW(AC$15),0),15-13*ORÇAMENTO!$AF$11)),0)</f>
        <v>0</v>
      </c>
      <c r="AD415" s="545">
        <f ca="1">IF(AND($D415="Serviço",AD$12&lt;&gt;0,$H415&gt;0,OR(AUTOEVENTO&lt;&gt;"manual",$M415&lt;&gt;1)),
IF(Import.TipoArredondamento&lt;&gt;"TransfereGOV",
ROUND(OFFSET($P415,0,AD$13),15-13*ORÇAMENTO!$AF$7)/$H415*OFFSET(ORÇAMENTO!$X$15,ROW(AD415)-ROW(AD$15),0),
ROUND(ROUND(OFFSET($P415,0,AD$13),15-13*ORÇAMENTO!$AF$7)*OFFSET(ORÇAMENTO!$W$15,ROW(AD415)-ROW(AD$15),0),15-13*ORÇAMENTO!$AF$11)),0)</f>
        <v>0</v>
      </c>
      <c r="AE415" s="545">
        <f ca="1">IF(AND($D415="Serviço",AE$12&lt;&gt;0,$H415&gt;0,OR(AUTOEVENTO&lt;&gt;"manual",$M415&lt;&gt;1)),
IF(Import.TipoArredondamento&lt;&gt;"TransfereGOV",
ROUND(OFFSET($P415,0,AE$13),15-13*ORÇAMENTO!$AF$7)/$H415*OFFSET(ORÇAMENTO!$X$15,ROW(AE415)-ROW(AE$15),0),
ROUND(ROUND(OFFSET($P415,0,AE$13),15-13*ORÇAMENTO!$AF$7)*OFFSET(ORÇAMENTO!$W$15,ROW(AE415)-ROW(AE$15),0),15-13*ORÇAMENTO!$AF$11)),0)</f>
        <v>0</v>
      </c>
      <c r="AF415" s="545">
        <f ca="1">IF(AND($D415="Serviço",AF$12&lt;&gt;0,$H415&gt;0,OR(AUTOEVENTO&lt;&gt;"manual",$M415&lt;&gt;1)),
IF(Import.TipoArredondamento&lt;&gt;"TransfereGOV",
ROUND(OFFSET($P415,0,AF$13),15-13*ORÇAMENTO!$AF$7)/$H415*OFFSET(ORÇAMENTO!$X$15,ROW(AF415)-ROW(AF$15),0),
ROUND(ROUND(OFFSET($P415,0,AF$13),15-13*ORÇAMENTO!$AF$7)*OFFSET(ORÇAMENTO!$W$15,ROW(AF415)-ROW(AF$15),0),15-13*ORÇAMENTO!$AF$11)),0)</f>
        <v>0</v>
      </c>
      <c r="AG415" s="545">
        <f ca="1">IF(AND($D415="Serviço",AG$12&lt;&gt;0,$H415&gt;0,OR(AUTOEVENTO&lt;&gt;"manual",$M415&lt;&gt;1)),
IF(Import.TipoArredondamento&lt;&gt;"TransfereGOV",
ROUND(OFFSET($P415,0,AG$13),15-13*ORÇAMENTO!$AF$7)/$H415*OFFSET(ORÇAMENTO!$X$15,ROW(AG415)-ROW(AG$15),0),
ROUND(ROUND(OFFSET($P415,0,AG$13),15-13*ORÇAMENTO!$AF$7)*OFFSET(ORÇAMENTO!$W$15,ROW(AG415)-ROW(AG$15),0),15-13*ORÇAMENTO!$AF$11)),0)</f>
        <v>0</v>
      </c>
      <c r="AH415" s="545">
        <f ca="1">IF(AND($D415="Serviço",AH$12&lt;&gt;0,$H415&gt;0,OR(AUTOEVENTO&lt;&gt;"manual",$M415&lt;&gt;1)),
IF(Import.TipoArredondamento&lt;&gt;"TransfereGOV",
ROUND(OFFSET($P415,0,AH$13),15-13*ORÇAMENTO!$AF$7)/$H415*OFFSET(ORÇAMENTO!$X$15,ROW(AH415)-ROW(AH$15),0),
ROUND(ROUND(OFFSET($P415,0,AH$13),15-13*ORÇAMENTO!$AF$7)*OFFSET(ORÇAMENTO!$W$15,ROW(AH415)-ROW(AH$15),0),15-13*ORÇAMENTO!$AF$11)),0)</f>
        <v>0</v>
      </c>
      <c r="AI415" s="545">
        <f ca="1">IF(AND($D415="Serviço",AI$12&lt;&gt;0,$H415&gt;0,OR(AUTOEVENTO&lt;&gt;"manual",$M415&lt;&gt;1)),
IF(Import.TipoArredondamento&lt;&gt;"TransfereGOV",
ROUND(OFFSET($P415,0,AI$13),15-13*ORÇAMENTO!$AF$7)/$H415*OFFSET(ORÇAMENTO!$X$15,ROW(AI415)-ROW(AI$15),0),
ROUND(ROUND(OFFSET($P415,0,AI$13),15-13*ORÇAMENTO!$AF$7)*OFFSET(ORÇAMENTO!$W$15,ROW(AI415)-ROW(AI$15),0),15-13*ORÇAMENTO!$AF$11)),0)</f>
        <v>0</v>
      </c>
      <c r="AJ415" s="545">
        <f ca="1">IF(AND($D415="Serviço",AJ$12&lt;&gt;0,$H415&gt;0,OR(AUTOEVENTO&lt;&gt;"manual",$M415&lt;&gt;1)),
IF(Import.TipoArredondamento&lt;&gt;"TransfereGOV",
ROUND(OFFSET($P415,0,AJ$13),15-13*ORÇAMENTO!$AF$7)/$H415*OFFSET(ORÇAMENTO!$X$15,ROW(AJ415)-ROW(AJ$15),0),
ROUND(ROUND(OFFSET($P415,0,AJ$13),15-13*ORÇAMENTO!$AF$7)*OFFSET(ORÇAMENTO!$W$15,ROW(AJ415)-ROW(AJ$15),0),15-13*ORÇAMENTO!$AF$11)),0)</f>
        <v>0</v>
      </c>
      <c r="AK415" s="546">
        <f ca="1">IF(AND($D415="Serviço",AK$12&lt;&gt;0,$H415&gt;0,OR(AUTOEVENTO&lt;&gt;"manual",$M415&lt;&gt;1)),
IF(Import.TipoArredondamento&lt;&gt;"TransfereGOV",
ROUND(OFFSET($P415,0,AK$13),15-13*ORÇAMENTO!$AF$7)/$H415*OFFSET(ORÇAMENTO!$X$15,ROW(AK415)-ROW(AK$15),0),
ROUND(ROUND(OFFSET($P415,0,AK$13),15-13*ORÇAMENTO!$AF$7)*OFFSET(ORÇAMENTO!$W$15,ROW(AK415)-ROW(AK$15),0),15-13*ORÇAMENTO!$AF$11)),0)</f>
        <v>0</v>
      </c>
      <c r="AM415" s="181">
        <f ca="1">IF($D415&lt;&gt;"Serviço",0,IF(AND(AUTOEVENTO="Manual",$M415=1),0,IF(OFFSET(CRONOPLE!$F$14,$M415,AM$13)="",10^12,OFFSET(CRONOPLE!$F$14,$M415,AM$13))))</f>
        <v>1000000000000</v>
      </c>
      <c r="AN415" s="181">
        <f ca="1">IF($D415&lt;&gt;"Serviço",0,IF(AND(AUTOEVENTO="Manual",$M415=1),0,IF(OFFSET(CRONOPLE!$F$14,$M415,AN$13)="",10^12,OFFSET(CRONOPLE!$F$14,$M415,AN$13))))</f>
        <v>1000000000000</v>
      </c>
      <c r="AO415" s="181">
        <f ca="1">IF($D415&lt;&gt;"Serviço",0,IF(AND(AUTOEVENTO="Manual",$M415=1),0,IF(OFFSET(CRONOPLE!$F$14,$M415,AO$13)="",10^12,OFFSET(CRONOPLE!$F$14,$M415,AO$13))))</f>
        <v>1000000000000</v>
      </c>
      <c r="AP415" s="181">
        <f ca="1">IF($D415&lt;&gt;"Serviço",0,IF(AND(AUTOEVENTO="Manual",$M415=1),0,IF(OFFSET(CRONOPLE!$F$14,$M415,AP$13)="",10^12,OFFSET(CRONOPLE!$F$14,$M415,AP$13))))</f>
        <v>1000000000000</v>
      </c>
      <c r="AQ415" s="181">
        <f ca="1">IF($D415&lt;&gt;"Serviço",0,IF(AND(AUTOEVENTO="Manual",$M415=1),0,IF(OFFSET(CRONOPLE!$F$14,$M415,AQ$13)="",10^12,OFFSET(CRONOPLE!$F$14,$M415,AQ$13))))</f>
        <v>1000000000000</v>
      </c>
      <c r="AR415" s="181">
        <f ca="1">IF($D415&lt;&gt;"Serviço",0,IF(AND(AUTOEVENTO="Manual",$M415=1),0,IF(OFFSET(CRONOPLE!$F$14,$M415,AR$13)="",10^12,OFFSET(CRONOPLE!$F$14,$M415,AR$13))))</f>
        <v>1000000000000</v>
      </c>
      <c r="AS415" s="181">
        <f ca="1">IF($D415&lt;&gt;"Serviço",0,IF(AND(AUTOEVENTO="Manual",$M415=1),0,IF(OFFSET(CRONOPLE!$F$14,$M415,AS$13)="",10^12,OFFSET(CRONOPLE!$F$14,$M415,AS$13))))</f>
        <v>1000000000000</v>
      </c>
      <c r="AT415" s="181">
        <f ca="1">IF($D415&lt;&gt;"Serviço",0,IF(AND(AUTOEVENTO="Manual",$M415=1),0,IF(OFFSET(CRONOPLE!$F$14,$M415,AT$13)="",10^12,OFFSET(CRONOPLE!$F$14,$M415,AT$13))))</f>
        <v>1000000000000</v>
      </c>
      <c r="AU415" s="181">
        <f ca="1">IF($D415&lt;&gt;"Serviço",0,IF(AND(AUTOEVENTO="Manual",$M415=1),0,IF(OFFSET(CRONOPLE!$F$14,$M415,AU$13)="",10^12,OFFSET(CRONOPLE!$F$14,$M415,AU$13))))</f>
        <v>1000000000000</v>
      </c>
      <c r="AV415" s="181">
        <f ca="1">IF($D415&lt;&gt;"Serviço",0,IF(AND(AUTOEVENTO="Manual",$M415=1),0,IF(OFFSET(CRONOPLE!$F$14,$M415,AV$13)="",10^12,OFFSET(CRONOPLE!$F$14,$M415,AV$13))))</f>
        <v>1000000000000</v>
      </c>
      <c r="AX415" s="182">
        <f ca="1">IF($D415&lt;&gt;"Serviço",0,IF(OR(AND(AUTOEVENTO="Manual",$M415=1),$M415&gt;(ROW(PLE.lastrow)-ROW(PLE.firstrow))),0,IF(OFFSET(PLE!$G$14,$M415,AX$13)="",10^12,OFFSET(PLE!$G$14,$M415,AX$13))))</f>
        <v>1000000000000</v>
      </c>
      <c r="AY415" s="182">
        <f ca="1">IF($D415&lt;&gt;"Serviço",0,IF(OR(AND(AUTOEVENTO="Manual",$M415=1),$M415&gt;(ROW(PLE.lastrow)-ROW(PLE.firstrow))),0,IF(OFFSET(PLE!$G$14,$M415,AY$13)="",10^12,OFFSET(PLE!$G$14,$M415,AY$13))))</f>
        <v>1000000000000</v>
      </c>
      <c r="AZ415" s="182">
        <f ca="1">IF($D415&lt;&gt;"Serviço",0,IF(OR(AND(AUTOEVENTO="Manual",$M415=1),$M415&gt;(ROW(PLE.lastrow)-ROW(PLE.firstrow))),0,IF(OFFSET(PLE!$G$14,$M415,AZ$13)="",10^12,OFFSET(PLE!$G$14,$M415,AZ$13))))</f>
        <v>1000000000000</v>
      </c>
      <c r="BA415" s="182">
        <f ca="1">IF($D415&lt;&gt;"Serviço",0,IF(OR(AND(AUTOEVENTO="Manual",$M415=1),$M415&gt;(ROW(PLE.lastrow)-ROW(PLE.firstrow))),0,IF(OFFSET(PLE!$G$14,$M415,BA$13)="",10^12,OFFSET(PLE!$G$14,$M415,BA$13))))</f>
        <v>1000000000000</v>
      </c>
      <c r="BB415" s="182">
        <f ca="1">IF($D415&lt;&gt;"Serviço",0,IF(OR(AND(AUTOEVENTO="Manual",$M415=1),$M415&gt;(ROW(PLE.lastrow)-ROW(PLE.firstrow))),0,IF(OFFSET(PLE!$G$14,$M415,BB$13)="",10^12,OFFSET(PLE!$G$14,$M415,BB$13))))</f>
        <v>1000000000000</v>
      </c>
      <c r="BC415" s="182">
        <f ca="1">IF($D415&lt;&gt;"Serviço",0,IF(OR(AND(AUTOEVENTO="Manual",$M415=1),$M415&gt;(ROW(PLE.lastrow)-ROW(PLE.firstrow))),0,IF(OFFSET(PLE!$G$14,$M415,BC$13)="",10^12,OFFSET(PLE!$G$14,$M415,BC$13))))</f>
        <v>1000000000000</v>
      </c>
      <c r="BD415" s="182">
        <f ca="1">IF($D415&lt;&gt;"Serviço",0,IF(OR(AND(AUTOEVENTO="Manual",$M415=1),$M415&gt;(ROW(PLE.lastrow)-ROW(PLE.firstrow))),0,IF(OFFSET(PLE!$G$14,$M415,BD$13)="",10^12,OFFSET(PLE!$G$14,$M415,BD$13))))</f>
        <v>1000000000000</v>
      </c>
      <c r="BE415" s="182">
        <f ca="1">IF($D415&lt;&gt;"Serviço",0,IF(OR(AND(AUTOEVENTO="Manual",$M415=1),$M415&gt;(ROW(PLE.lastrow)-ROW(PLE.firstrow))),0,IF(OFFSET(PLE!$G$14,$M415,BE$13)="",10^12,OFFSET(PLE!$G$14,$M415,BE$13))))</f>
        <v>1000000000000</v>
      </c>
      <c r="BF415" s="182">
        <f ca="1">IF($D415&lt;&gt;"Serviço",0,IF(OR(AND(AUTOEVENTO="Manual",$M415=1),$M415&gt;(ROW(PLE.lastrow)-ROW(PLE.firstrow))),0,IF(OFFSET(PLE!$G$14,$M415,BF$13)="",10^12,OFFSET(PLE!$G$14,$M415,BF$13))))</f>
        <v>1000000000000</v>
      </c>
      <c r="BG415" s="182">
        <f ca="1">IF($D415&lt;&gt;"Serviço",0,IF(OR(AND(AUTOEVENTO="Manual",$M415=1),$M415&gt;(ROW(PLE.lastrow)-ROW(PLE.firstrow))),0,IF(OFFSET(PLE!$G$14,$M415,BG$13)="",10^12,OFFSET(PLE!$G$14,$M415,BG$13))))</f>
        <v>1000000000000</v>
      </c>
    </row>
    <row r="416" spans="1:59" ht="25.5" x14ac:dyDescent="0.2">
      <c r="A416" s="7" t="str">
        <f t="shared" ca="1" si="11"/>
        <v>376</v>
      </c>
      <c r="B416" s="7" t="str">
        <f ca="1">OFFSET(ORÇAMENTO!C$15,ROW(B416)-ROW(B$15),0)</f>
        <v>S</v>
      </c>
      <c r="C416" s="7" t="str">
        <f ca="1">OFFSET(ORÇAMENTO!L$15,ROW(C416)-ROW(C$15),0)</f>
        <v/>
      </c>
      <c r="D416" s="118" t="str">
        <f ca="1">OFFSET(ORÇAMENTO!N$15,ROW(D416)-ROW(D$15),0)</f>
        <v>Serviço</v>
      </c>
      <c r="E416" s="119" t="str">
        <f ca="1">OFFSET(ORÇAMENTO!O$15,ROW(E416)-ROW(E$15),0)</f>
        <v>-</v>
      </c>
      <c r="F416" s="172" t="str">
        <f ca="1">OFFSET(ORÇAMENTO!R$15,ROW(F416)-ROW(F$15),0)</f>
        <v>(abra o arquivo 'Referência 02-2025.xlsm)</v>
      </c>
      <c r="G416" s="173" t="str">
        <f ca="1">IF($D416&lt;&gt;"Serviço","",OFFSET(ORÇAMENTO!S$15,ROW(G416)-ROW(G$15),0))</f>
        <v>-</v>
      </c>
      <c r="H416" s="124">
        <f ca="1">IF($D416&lt;&gt;"Serviço",0,IF(ACOMPANHAMENTO="BM",ROUND(OFFSET(ORÇAMENTO!AJ$15,ROW(H416)-ROW(H$15),0),15-13*ORÇAMENTO!$AF$7),SUMPRODUCT(($Q$12:$AA$12&lt;&gt;"")*ROUND($Q416:$AA416,15-13*ORÇAMENTO!$AF$7))))</f>
        <v>24</v>
      </c>
      <c r="I416" s="561" t="s">
        <v>890</v>
      </c>
      <c r="K416" s="174"/>
      <c r="L416" s="175" t="s">
        <v>255</v>
      </c>
      <c r="M416" s="176">
        <f ca="1">IF($D416&lt;&gt;"Serviço","",IF(AUTOEVENTO="manual",$A416,IF(ISERROR(MATCH($A416,$A$15:OFFSET($A416,-1,0),0)),MAX($M$15:OFFSET(M416,-1,0))+1,INDEX($M$15:OFFSET(M416,-1,0),MATCH($A416,$A$15:OFFSET($A416,-1,0),0)))))</f>
        <v>16</v>
      </c>
      <c r="N416" s="177" t="str">
        <f ca="1">IF($D416&lt;&gt;"Serviço","",IF(AUTOEVENTO="Manual",IF($A416=0,"&lt;-- defina o número do agrupador",OFFSET(EVENTOS!$D$14,$A416,0)),OFFSET($F$15,$A416,0)))</f>
        <v>LOUÇAS, ACESSÓRIOS E METAIS</v>
      </c>
      <c r="O416" s="178"/>
      <c r="Q416" s="178"/>
      <c r="R416" s="179"/>
      <c r="S416" s="179"/>
      <c r="T416" s="179"/>
      <c r="U416" s="179"/>
      <c r="V416" s="179"/>
      <c r="W416" s="179"/>
      <c r="X416" s="179"/>
      <c r="Y416" s="179"/>
      <c r="Z416" s="180"/>
      <c r="AB416" s="544">
        <f ca="1">IF(AND($D416="Serviço",AB$12&lt;&gt;0,$H416&gt;0,OR(AUTOEVENTO&lt;&gt;"manual",$M416&lt;&gt;1)),
IF(Import.TipoArredondamento&lt;&gt;"TransfereGOV",
ROUND(OFFSET($P416,0,AB$13),15-13*ORÇAMENTO!$AF$7)/$H416*OFFSET(ORÇAMENTO!$X$15,ROW(AB416)-ROW(AB$15),0),
ROUND(ROUND(OFFSET($P416,0,AB$13),15-13*ORÇAMENTO!$AF$7)*OFFSET(ORÇAMENTO!$W$15,ROW(AB416)-ROW(AB$15),0),15-13*ORÇAMENTO!$AF$11)),0)</f>
        <v>0</v>
      </c>
      <c r="AC416" s="545">
        <f ca="1">IF(AND($D416="Serviço",AC$12&lt;&gt;0,$H416&gt;0,OR(AUTOEVENTO&lt;&gt;"manual",$M416&lt;&gt;1)),
IF(Import.TipoArredondamento&lt;&gt;"TransfereGOV",
ROUND(OFFSET($P416,0,AC$13),15-13*ORÇAMENTO!$AF$7)/$H416*OFFSET(ORÇAMENTO!$X$15,ROW(AC416)-ROW(AC$15),0),
ROUND(ROUND(OFFSET($P416,0,AC$13),15-13*ORÇAMENTO!$AF$7)*OFFSET(ORÇAMENTO!$W$15,ROW(AC416)-ROW(AC$15),0),15-13*ORÇAMENTO!$AF$11)),0)</f>
        <v>0</v>
      </c>
      <c r="AD416" s="545">
        <f ca="1">IF(AND($D416="Serviço",AD$12&lt;&gt;0,$H416&gt;0,OR(AUTOEVENTO&lt;&gt;"manual",$M416&lt;&gt;1)),
IF(Import.TipoArredondamento&lt;&gt;"TransfereGOV",
ROUND(OFFSET($P416,0,AD$13),15-13*ORÇAMENTO!$AF$7)/$H416*OFFSET(ORÇAMENTO!$X$15,ROW(AD416)-ROW(AD$15),0),
ROUND(ROUND(OFFSET($P416,0,AD$13),15-13*ORÇAMENTO!$AF$7)*OFFSET(ORÇAMENTO!$W$15,ROW(AD416)-ROW(AD$15),0),15-13*ORÇAMENTO!$AF$11)),0)</f>
        <v>0</v>
      </c>
      <c r="AE416" s="545">
        <f ca="1">IF(AND($D416="Serviço",AE$12&lt;&gt;0,$H416&gt;0,OR(AUTOEVENTO&lt;&gt;"manual",$M416&lt;&gt;1)),
IF(Import.TipoArredondamento&lt;&gt;"TransfereGOV",
ROUND(OFFSET($P416,0,AE$13),15-13*ORÇAMENTO!$AF$7)/$H416*OFFSET(ORÇAMENTO!$X$15,ROW(AE416)-ROW(AE$15),0),
ROUND(ROUND(OFFSET($P416,0,AE$13),15-13*ORÇAMENTO!$AF$7)*OFFSET(ORÇAMENTO!$W$15,ROW(AE416)-ROW(AE$15),0),15-13*ORÇAMENTO!$AF$11)),0)</f>
        <v>0</v>
      </c>
      <c r="AF416" s="545">
        <f ca="1">IF(AND($D416="Serviço",AF$12&lt;&gt;0,$H416&gt;0,OR(AUTOEVENTO&lt;&gt;"manual",$M416&lt;&gt;1)),
IF(Import.TipoArredondamento&lt;&gt;"TransfereGOV",
ROUND(OFFSET($P416,0,AF$13),15-13*ORÇAMENTO!$AF$7)/$H416*OFFSET(ORÇAMENTO!$X$15,ROW(AF416)-ROW(AF$15),0),
ROUND(ROUND(OFFSET($P416,0,AF$13),15-13*ORÇAMENTO!$AF$7)*OFFSET(ORÇAMENTO!$W$15,ROW(AF416)-ROW(AF$15),0),15-13*ORÇAMENTO!$AF$11)),0)</f>
        <v>0</v>
      </c>
      <c r="AG416" s="545">
        <f ca="1">IF(AND($D416="Serviço",AG$12&lt;&gt;0,$H416&gt;0,OR(AUTOEVENTO&lt;&gt;"manual",$M416&lt;&gt;1)),
IF(Import.TipoArredondamento&lt;&gt;"TransfereGOV",
ROUND(OFFSET($P416,0,AG$13),15-13*ORÇAMENTO!$AF$7)/$H416*OFFSET(ORÇAMENTO!$X$15,ROW(AG416)-ROW(AG$15),0),
ROUND(ROUND(OFFSET($P416,0,AG$13),15-13*ORÇAMENTO!$AF$7)*OFFSET(ORÇAMENTO!$W$15,ROW(AG416)-ROW(AG$15),0),15-13*ORÇAMENTO!$AF$11)),0)</f>
        <v>0</v>
      </c>
      <c r="AH416" s="545">
        <f ca="1">IF(AND($D416="Serviço",AH$12&lt;&gt;0,$H416&gt;0,OR(AUTOEVENTO&lt;&gt;"manual",$M416&lt;&gt;1)),
IF(Import.TipoArredondamento&lt;&gt;"TransfereGOV",
ROUND(OFFSET($P416,0,AH$13),15-13*ORÇAMENTO!$AF$7)/$H416*OFFSET(ORÇAMENTO!$X$15,ROW(AH416)-ROW(AH$15),0),
ROUND(ROUND(OFFSET($P416,0,AH$13),15-13*ORÇAMENTO!$AF$7)*OFFSET(ORÇAMENTO!$W$15,ROW(AH416)-ROW(AH$15),0),15-13*ORÇAMENTO!$AF$11)),0)</f>
        <v>0</v>
      </c>
      <c r="AI416" s="545">
        <f ca="1">IF(AND($D416="Serviço",AI$12&lt;&gt;0,$H416&gt;0,OR(AUTOEVENTO&lt;&gt;"manual",$M416&lt;&gt;1)),
IF(Import.TipoArredondamento&lt;&gt;"TransfereGOV",
ROUND(OFFSET($P416,0,AI$13),15-13*ORÇAMENTO!$AF$7)/$H416*OFFSET(ORÇAMENTO!$X$15,ROW(AI416)-ROW(AI$15),0),
ROUND(ROUND(OFFSET($P416,0,AI$13),15-13*ORÇAMENTO!$AF$7)*OFFSET(ORÇAMENTO!$W$15,ROW(AI416)-ROW(AI$15),0),15-13*ORÇAMENTO!$AF$11)),0)</f>
        <v>0</v>
      </c>
      <c r="AJ416" s="545">
        <f ca="1">IF(AND($D416="Serviço",AJ$12&lt;&gt;0,$H416&gt;0,OR(AUTOEVENTO&lt;&gt;"manual",$M416&lt;&gt;1)),
IF(Import.TipoArredondamento&lt;&gt;"TransfereGOV",
ROUND(OFFSET($P416,0,AJ$13),15-13*ORÇAMENTO!$AF$7)/$H416*OFFSET(ORÇAMENTO!$X$15,ROW(AJ416)-ROW(AJ$15),0),
ROUND(ROUND(OFFSET($P416,0,AJ$13),15-13*ORÇAMENTO!$AF$7)*OFFSET(ORÇAMENTO!$W$15,ROW(AJ416)-ROW(AJ$15),0),15-13*ORÇAMENTO!$AF$11)),0)</f>
        <v>0</v>
      </c>
      <c r="AK416" s="546">
        <f ca="1">IF(AND($D416="Serviço",AK$12&lt;&gt;0,$H416&gt;0,OR(AUTOEVENTO&lt;&gt;"manual",$M416&lt;&gt;1)),
IF(Import.TipoArredondamento&lt;&gt;"TransfereGOV",
ROUND(OFFSET($P416,0,AK$13),15-13*ORÇAMENTO!$AF$7)/$H416*OFFSET(ORÇAMENTO!$X$15,ROW(AK416)-ROW(AK$15),0),
ROUND(ROUND(OFFSET($P416,0,AK$13),15-13*ORÇAMENTO!$AF$7)*OFFSET(ORÇAMENTO!$W$15,ROW(AK416)-ROW(AK$15),0),15-13*ORÇAMENTO!$AF$11)),0)</f>
        <v>0</v>
      </c>
      <c r="AM416" s="181">
        <f ca="1">IF($D416&lt;&gt;"Serviço",0,IF(AND(AUTOEVENTO="Manual",$M416=1),0,IF(OFFSET(CRONOPLE!$F$14,$M416,AM$13)="",10^12,OFFSET(CRONOPLE!$F$14,$M416,AM$13))))</f>
        <v>1000000000000</v>
      </c>
      <c r="AN416" s="181">
        <f ca="1">IF($D416&lt;&gt;"Serviço",0,IF(AND(AUTOEVENTO="Manual",$M416=1),0,IF(OFFSET(CRONOPLE!$F$14,$M416,AN$13)="",10^12,OFFSET(CRONOPLE!$F$14,$M416,AN$13))))</f>
        <v>1000000000000</v>
      </c>
      <c r="AO416" s="181">
        <f ca="1">IF($D416&lt;&gt;"Serviço",0,IF(AND(AUTOEVENTO="Manual",$M416=1),0,IF(OFFSET(CRONOPLE!$F$14,$M416,AO$13)="",10^12,OFFSET(CRONOPLE!$F$14,$M416,AO$13))))</f>
        <v>1000000000000</v>
      </c>
      <c r="AP416" s="181">
        <f ca="1">IF($D416&lt;&gt;"Serviço",0,IF(AND(AUTOEVENTO="Manual",$M416=1),0,IF(OFFSET(CRONOPLE!$F$14,$M416,AP$13)="",10^12,OFFSET(CRONOPLE!$F$14,$M416,AP$13))))</f>
        <v>1000000000000</v>
      </c>
      <c r="AQ416" s="181">
        <f ca="1">IF($D416&lt;&gt;"Serviço",0,IF(AND(AUTOEVENTO="Manual",$M416=1),0,IF(OFFSET(CRONOPLE!$F$14,$M416,AQ$13)="",10^12,OFFSET(CRONOPLE!$F$14,$M416,AQ$13))))</f>
        <v>1000000000000</v>
      </c>
      <c r="AR416" s="181">
        <f ca="1">IF($D416&lt;&gt;"Serviço",0,IF(AND(AUTOEVENTO="Manual",$M416=1),0,IF(OFFSET(CRONOPLE!$F$14,$M416,AR$13)="",10^12,OFFSET(CRONOPLE!$F$14,$M416,AR$13))))</f>
        <v>1000000000000</v>
      </c>
      <c r="AS416" s="181">
        <f ca="1">IF($D416&lt;&gt;"Serviço",0,IF(AND(AUTOEVENTO="Manual",$M416=1),0,IF(OFFSET(CRONOPLE!$F$14,$M416,AS$13)="",10^12,OFFSET(CRONOPLE!$F$14,$M416,AS$13))))</f>
        <v>1000000000000</v>
      </c>
      <c r="AT416" s="181">
        <f ca="1">IF($D416&lt;&gt;"Serviço",0,IF(AND(AUTOEVENTO="Manual",$M416=1),0,IF(OFFSET(CRONOPLE!$F$14,$M416,AT$13)="",10^12,OFFSET(CRONOPLE!$F$14,$M416,AT$13))))</f>
        <v>1000000000000</v>
      </c>
      <c r="AU416" s="181">
        <f ca="1">IF($D416&lt;&gt;"Serviço",0,IF(AND(AUTOEVENTO="Manual",$M416=1),0,IF(OFFSET(CRONOPLE!$F$14,$M416,AU$13)="",10^12,OFFSET(CRONOPLE!$F$14,$M416,AU$13))))</f>
        <v>1000000000000</v>
      </c>
      <c r="AV416" s="181">
        <f ca="1">IF($D416&lt;&gt;"Serviço",0,IF(AND(AUTOEVENTO="Manual",$M416=1),0,IF(OFFSET(CRONOPLE!$F$14,$M416,AV$13)="",10^12,OFFSET(CRONOPLE!$F$14,$M416,AV$13))))</f>
        <v>1000000000000</v>
      </c>
      <c r="AX416" s="182">
        <f ca="1">IF($D416&lt;&gt;"Serviço",0,IF(OR(AND(AUTOEVENTO="Manual",$M416=1),$M416&gt;(ROW(PLE.lastrow)-ROW(PLE.firstrow))),0,IF(OFFSET(PLE!$G$14,$M416,AX$13)="",10^12,OFFSET(PLE!$G$14,$M416,AX$13))))</f>
        <v>1000000000000</v>
      </c>
      <c r="AY416" s="182">
        <f ca="1">IF($D416&lt;&gt;"Serviço",0,IF(OR(AND(AUTOEVENTO="Manual",$M416=1),$M416&gt;(ROW(PLE.lastrow)-ROW(PLE.firstrow))),0,IF(OFFSET(PLE!$G$14,$M416,AY$13)="",10^12,OFFSET(PLE!$G$14,$M416,AY$13))))</f>
        <v>1000000000000</v>
      </c>
      <c r="AZ416" s="182">
        <f ca="1">IF($D416&lt;&gt;"Serviço",0,IF(OR(AND(AUTOEVENTO="Manual",$M416=1),$M416&gt;(ROW(PLE.lastrow)-ROW(PLE.firstrow))),0,IF(OFFSET(PLE!$G$14,$M416,AZ$13)="",10^12,OFFSET(PLE!$G$14,$M416,AZ$13))))</f>
        <v>1000000000000</v>
      </c>
      <c r="BA416" s="182">
        <f ca="1">IF($D416&lt;&gt;"Serviço",0,IF(OR(AND(AUTOEVENTO="Manual",$M416=1),$M416&gt;(ROW(PLE.lastrow)-ROW(PLE.firstrow))),0,IF(OFFSET(PLE!$G$14,$M416,BA$13)="",10^12,OFFSET(PLE!$G$14,$M416,BA$13))))</f>
        <v>1000000000000</v>
      </c>
      <c r="BB416" s="182">
        <f ca="1">IF($D416&lt;&gt;"Serviço",0,IF(OR(AND(AUTOEVENTO="Manual",$M416=1),$M416&gt;(ROW(PLE.lastrow)-ROW(PLE.firstrow))),0,IF(OFFSET(PLE!$G$14,$M416,BB$13)="",10^12,OFFSET(PLE!$G$14,$M416,BB$13))))</f>
        <v>1000000000000</v>
      </c>
      <c r="BC416" s="182">
        <f ca="1">IF($D416&lt;&gt;"Serviço",0,IF(OR(AND(AUTOEVENTO="Manual",$M416=1),$M416&gt;(ROW(PLE.lastrow)-ROW(PLE.firstrow))),0,IF(OFFSET(PLE!$G$14,$M416,BC$13)="",10^12,OFFSET(PLE!$G$14,$M416,BC$13))))</f>
        <v>1000000000000</v>
      </c>
      <c r="BD416" s="182">
        <f ca="1">IF($D416&lt;&gt;"Serviço",0,IF(OR(AND(AUTOEVENTO="Manual",$M416=1),$M416&gt;(ROW(PLE.lastrow)-ROW(PLE.firstrow))),0,IF(OFFSET(PLE!$G$14,$M416,BD$13)="",10^12,OFFSET(PLE!$G$14,$M416,BD$13))))</f>
        <v>1000000000000</v>
      </c>
      <c r="BE416" s="182">
        <f ca="1">IF($D416&lt;&gt;"Serviço",0,IF(OR(AND(AUTOEVENTO="Manual",$M416=1),$M416&gt;(ROW(PLE.lastrow)-ROW(PLE.firstrow))),0,IF(OFFSET(PLE!$G$14,$M416,BE$13)="",10^12,OFFSET(PLE!$G$14,$M416,BE$13))))</f>
        <v>1000000000000</v>
      </c>
      <c r="BF416" s="182">
        <f ca="1">IF($D416&lt;&gt;"Serviço",0,IF(OR(AND(AUTOEVENTO="Manual",$M416=1),$M416&gt;(ROW(PLE.lastrow)-ROW(PLE.firstrow))),0,IF(OFFSET(PLE!$G$14,$M416,BF$13)="",10^12,OFFSET(PLE!$G$14,$M416,BF$13))))</f>
        <v>1000000000000</v>
      </c>
      <c r="BG416" s="182">
        <f ca="1">IF($D416&lt;&gt;"Serviço",0,IF(OR(AND(AUTOEVENTO="Manual",$M416=1),$M416&gt;(ROW(PLE.lastrow)-ROW(PLE.firstrow))),0,IF(OFFSET(PLE!$G$14,$M416,BG$13)="",10^12,OFFSET(PLE!$G$14,$M416,BG$13))))</f>
        <v>1000000000000</v>
      </c>
    </row>
    <row r="417" spans="1:59" ht="25.5" x14ac:dyDescent="0.2">
      <c r="A417" s="7" t="str">
        <f t="shared" ca="1" si="11"/>
        <v>376</v>
      </c>
      <c r="B417" s="7" t="str">
        <f ca="1">OFFSET(ORÇAMENTO!C$15,ROW(B417)-ROW(B$15),0)</f>
        <v>S</v>
      </c>
      <c r="C417" s="7" t="str">
        <f ca="1">OFFSET(ORÇAMENTO!L$15,ROW(C417)-ROW(C$15),0)</f>
        <v/>
      </c>
      <c r="D417" s="118" t="str">
        <f ca="1">OFFSET(ORÇAMENTO!N$15,ROW(D417)-ROW(D$15),0)</f>
        <v>Serviço</v>
      </c>
      <c r="E417" s="119" t="str">
        <f ca="1">OFFSET(ORÇAMENTO!O$15,ROW(E417)-ROW(E$15),0)</f>
        <v>-</v>
      </c>
      <c r="F417" s="172" t="str">
        <f ca="1">OFFSET(ORÇAMENTO!R$15,ROW(F417)-ROW(F$15),0)</f>
        <v>(abra o arquivo 'Referência 02-2025.xlsm)</v>
      </c>
      <c r="G417" s="173" t="str">
        <f ca="1">IF($D417&lt;&gt;"Serviço","",OFFSET(ORÇAMENTO!S$15,ROW(G417)-ROW(G$15),0))</f>
        <v>-</v>
      </c>
      <c r="H417" s="124">
        <f ca="1">IF($D417&lt;&gt;"Serviço",0,IF(ACOMPANHAMENTO="BM",ROUND(OFFSET(ORÇAMENTO!AJ$15,ROW(H417)-ROW(H$15),0),15-13*ORÇAMENTO!$AF$7),SUMPRODUCT(($Q$12:$AA$12&lt;&gt;"")*ROUND($Q417:$AA417,15-13*ORÇAMENTO!$AF$7))))</f>
        <v>12</v>
      </c>
      <c r="I417" s="561" t="s">
        <v>890</v>
      </c>
      <c r="K417" s="174"/>
      <c r="L417" s="175" t="s">
        <v>255</v>
      </c>
      <c r="M417" s="176">
        <f ca="1">IF($D417&lt;&gt;"Serviço","",IF(AUTOEVENTO="manual",$A417,IF(ISERROR(MATCH($A417,$A$15:OFFSET($A417,-1,0),0)),MAX($M$15:OFFSET(M417,-1,0))+1,INDEX($M$15:OFFSET(M417,-1,0),MATCH($A417,$A$15:OFFSET($A417,-1,0),0)))))</f>
        <v>16</v>
      </c>
      <c r="N417" s="177" t="str">
        <f ca="1">IF($D417&lt;&gt;"Serviço","",IF(AUTOEVENTO="Manual",IF($A417=0,"&lt;-- defina o número do agrupador",OFFSET(EVENTOS!$D$14,$A417,0)),OFFSET($F$15,$A417,0)))</f>
        <v>LOUÇAS, ACESSÓRIOS E METAIS</v>
      </c>
      <c r="O417" s="178"/>
      <c r="Q417" s="178"/>
      <c r="R417" s="179"/>
      <c r="S417" s="179"/>
      <c r="T417" s="179"/>
      <c r="U417" s="179"/>
      <c r="V417" s="179"/>
      <c r="W417" s="179"/>
      <c r="X417" s="179"/>
      <c r="Y417" s="179"/>
      <c r="Z417" s="180"/>
      <c r="AB417" s="544">
        <f ca="1">IF(AND($D417="Serviço",AB$12&lt;&gt;0,$H417&gt;0,OR(AUTOEVENTO&lt;&gt;"manual",$M417&lt;&gt;1)),
IF(Import.TipoArredondamento&lt;&gt;"TransfereGOV",
ROUND(OFFSET($P417,0,AB$13),15-13*ORÇAMENTO!$AF$7)/$H417*OFFSET(ORÇAMENTO!$X$15,ROW(AB417)-ROW(AB$15),0),
ROUND(ROUND(OFFSET($P417,0,AB$13),15-13*ORÇAMENTO!$AF$7)*OFFSET(ORÇAMENTO!$W$15,ROW(AB417)-ROW(AB$15),0),15-13*ORÇAMENTO!$AF$11)),0)</f>
        <v>0</v>
      </c>
      <c r="AC417" s="545">
        <f ca="1">IF(AND($D417="Serviço",AC$12&lt;&gt;0,$H417&gt;0,OR(AUTOEVENTO&lt;&gt;"manual",$M417&lt;&gt;1)),
IF(Import.TipoArredondamento&lt;&gt;"TransfereGOV",
ROUND(OFFSET($P417,0,AC$13),15-13*ORÇAMENTO!$AF$7)/$H417*OFFSET(ORÇAMENTO!$X$15,ROW(AC417)-ROW(AC$15),0),
ROUND(ROUND(OFFSET($P417,0,AC$13),15-13*ORÇAMENTO!$AF$7)*OFFSET(ORÇAMENTO!$W$15,ROW(AC417)-ROW(AC$15),0),15-13*ORÇAMENTO!$AF$11)),0)</f>
        <v>0</v>
      </c>
      <c r="AD417" s="545">
        <f ca="1">IF(AND($D417="Serviço",AD$12&lt;&gt;0,$H417&gt;0,OR(AUTOEVENTO&lt;&gt;"manual",$M417&lt;&gt;1)),
IF(Import.TipoArredondamento&lt;&gt;"TransfereGOV",
ROUND(OFFSET($P417,0,AD$13),15-13*ORÇAMENTO!$AF$7)/$H417*OFFSET(ORÇAMENTO!$X$15,ROW(AD417)-ROW(AD$15),0),
ROUND(ROUND(OFFSET($P417,0,AD$13),15-13*ORÇAMENTO!$AF$7)*OFFSET(ORÇAMENTO!$W$15,ROW(AD417)-ROW(AD$15),0),15-13*ORÇAMENTO!$AF$11)),0)</f>
        <v>0</v>
      </c>
      <c r="AE417" s="545">
        <f ca="1">IF(AND($D417="Serviço",AE$12&lt;&gt;0,$H417&gt;0,OR(AUTOEVENTO&lt;&gt;"manual",$M417&lt;&gt;1)),
IF(Import.TipoArredondamento&lt;&gt;"TransfereGOV",
ROUND(OFFSET($P417,0,AE$13),15-13*ORÇAMENTO!$AF$7)/$H417*OFFSET(ORÇAMENTO!$X$15,ROW(AE417)-ROW(AE$15),0),
ROUND(ROUND(OFFSET($P417,0,AE$13),15-13*ORÇAMENTO!$AF$7)*OFFSET(ORÇAMENTO!$W$15,ROW(AE417)-ROW(AE$15),0),15-13*ORÇAMENTO!$AF$11)),0)</f>
        <v>0</v>
      </c>
      <c r="AF417" s="545">
        <f ca="1">IF(AND($D417="Serviço",AF$12&lt;&gt;0,$H417&gt;0,OR(AUTOEVENTO&lt;&gt;"manual",$M417&lt;&gt;1)),
IF(Import.TipoArredondamento&lt;&gt;"TransfereGOV",
ROUND(OFFSET($P417,0,AF$13),15-13*ORÇAMENTO!$AF$7)/$H417*OFFSET(ORÇAMENTO!$X$15,ROW(AF417)-ROW(AF$15),0),
ROUND(ROUND(OFFSET($P417,0,AF$13),15-13*ORÇAMENTO!$AF$7)*OFFSET(ORÇAMENTO!$W$15,ROW(AF417)-ROW(AF$15),0),15-13*ORÇAMENTO!$AF$11)),0)</f>
        <v>0</v>
      </c>
      <c r="AG417" s="545">
        <f ca="1">IF(AND($D417="Serviço",AG$12&lt;&gt;0,$H417&gt;0,OR(AUTOEVENTO&lt;&gt;"manual",$M417&lt;&gt;1)),
IF(Import.TipoArredondamento&lt;&gt;"TransfereGOV",
ROUND(OFFSET($P417,0,AG$13),15-13*ORÇAMENTO!$AF$7)/$H417*OFFSET(ORÇAMENTO!$X$15,ROW(AG417)-ROW(AG$15),0),
ROUND(ROUND(OFFSET($P417,0,AG$13),15-13*ORÇAMENTO!$AF$7)*OFFSET(ORÇAMENTO!$W$15,ROW(AG417)-ROW(AG$15),0),15-13*ORÇAMENTO!$AF$11)),0)</f>
        <v>0</v>
      </c>
      <c r="AH417" s="545">
        <f ca="1">IF(AND($D417="Serviço",AH$12&lt;&gt;0,$H417&gt;0,OR(AUTOEVENTO&lt;&gt;"manual",$M417&lt;&gt;1)),
IF(Import.TipoArredondamento&lt;&gt;"TransfereGOV",
ROUND(OFFSET($P417,0,AH$13),15-13*ORÇAMENTO!$AF$7)/$H417*OFFSET(ORÇAMENTO!$X$15,ROW(AH417)-ROW(AH$15),0),
ROUND(ROUND(OFFSET($P417,0,AH$13),15-13*ORÇAMENTO!$AF$7)*OFFSET(ORÇAMENTO!$W$15,ROW(AH417)-ROW(AH$15),0),15-13*ORÇAMENTO!$AF$11)),0)</f>
        <v>0</v>
      </c>
      <c r="AI417" s="545">
        <f ca="1">IF(AND($D417="Serviço",AI$12&lt;&gt;0,$H417&gt;0,OR(AUTOEVENTO&lt;&gt;"manual",$M417&lt;&gt;1)),
IF(Import.TipoArredondamento&lt;&gt;"TransfereGOV",
ROUND(OFFSET($P417,0,AI$13),15-13*ORÇAMENTO!$AF$7)/$H417*OFFSET(ORÇAMENTO!$X$15,ROW(AI417)-ROW(AI$15),0),
ROUND(ROUND(OFFSET($P417,0,AI$13),15-13*ORÇAMENTO!$AF$7)*OFFSET(ORÇAMENTO!$W$15,ROW(AI417)-ROW(AI$15),0),15-13*ORÇAMENTO!$AF$11)),0)</f>
        <v>0</v>
      </c>
      <c r="AJ417" s="545">
        <f ca="1">IF(AND($D417="Serviço",AJ$12&lt;&gt;0,$H417&gt;0,OR(AUTOEVENTO&lt;&gt;"manual",$M417&lt;&gt;1)),
IF(Import.TipoArredondamento&lt;&gt;"TransfereGOV",
ROUND(OFFSET($P417,0,AJ$13),15-13*ORÇAMENTO!$AF$7)/$H417*OFFSET(ORÇAMENTO!$X$15,ROW(AJ417)-ROW(AJ$15),0),
ROUND(ROUND(OFFSET($P417,0,AJ$13),15-13*ORÇAMENTO!$AF$7)*OFFSET(ORÇAMENTO!$W$15,ROW(AJ417)-ROW(AJ$15),0),15-13*ORÇAMENTO!$AF$11)),0)</f>
        <v>0</v>
      </c>
      <c r="AK417" s="546">
        <f ca="1">IF(AND($D417="Serviço",AK$12&lt;&gt;0,$H417&gt;0,OR(AUTOEVENTO&lt;&gt;"manual",$M417&lt;&gt;1)),
IF(Import.TipoArredondamento&lt;&gt;"TransfereGOV",
ROUND(OFFSET($P417,0,AK$13),15-13*ORÇAMENTO!$AF$7)/$H417*OFFSET(ORÇAMENTO!$X$15,ROW(AK417)-ROW(AK$15),0),
ROUND(ROUND(OFFSET($P417,0,AK$13),15-13*ORÇAMENTO!$AF$7)*OFFSET(ORÇAMENTO!$W$15,ROW(AK417)-ROW(AK$15),0),15-13*ORÇAMENTO!$AF$11)),0)</f>
        <v>0</v>
      </c>
      <c r="AM417" s="181">
        <f ca="1">IF($D417&lt;&gt;"Serviço",0,IF(AND(AUTOEVENTO="Manual",$M417=1),0,IF(OFFSET(CRONOPLE!$F$14,$M417,AM$13)="",10^12,OFFSET(CRONOPLE!$F$14,$M417,AM$13))))</f>
        <v>1000000000000</v>
      </c>
      <c r="AN417" s="181">
        <f ca="1">IF($D417&lt;&gt;"Serviço",0,IF(AND(AUTOEVENTO="Manual",$M417=1),0,IF(OFFSET(CRONOPLE!$F$14,$M417,AN$13)="",10^12,OFFSET(CRONOPLE!$F$14,$M417,AN$13))))</f>
        <v>1000000000000</v>
      </c>
      <c r="AO417" s="181">
        <f ca="1">IF($D417&lt;&gt;"Serviço",0,IF(AND(AUTOEVENTO="Manual",$M417=1),0,IF(OFFSET(CRONOPLE!$F$14,$M417,AO$13)="",10^12,OFFSET(CRONOPLE!$F$14,$M417,AO$13))))</f>
        <v>1000000000000</v>
      </c>
      <c r="AP417" s="181">
        <f ca="1">IF($D417&lt;&gt;"Serviço",0,IF(AND(AUTOEVENTO="Manual",$M417=1),0,IF(OFFSET(CRONOPLE!$F$14,$M417,AP$13)="",10^12,OFFSET(CRONOPLE!$F$14,$M417,AP$13))))</f>
        <v>1000000000000</v>
      </c>
      <c r="AQ417" s="181">
        <f ca="1">IF($D417&lt;&gt;"Serviço",0,IF(AND(AUTOEVENTO="Manual",$M417=1),0,IF(OFFSET(CRONOPLE!$F$14,$M417,AQ$13)="",10^12,OFFSET(CRONOPLE!$F$14,$M417,AQ$13))))</f>
        <v>1000000000000</v>
      </c>
      <c r="AR417" s="181">
        <f ca="1">IF($D417&lt;&gt;"Serviço",0,IF(AND(AUTOEVENTO="Manual",$M417=1),0,IF(OFFSET(CRONOPLE!$F$14,$M417,AR$13)="",10^12,OFFSET(CRONOPLE!$F$14,$M417,AR$13))))</f>
        <v>1000000000000</v>
      </c>
      <c r="AS417" s="181">
        <f ca="1">IF($D417&lt;&gt;"Serviço",0,IF(AND(AUTOEVENTO="Manual",$M417=1),0,IF(OFFSET(CRONOPLE!$F$14,$M417,AS$13)="",10^12,OFFSET(CRONOPLE!$F$14,$M417,AS$13))))</f>
        <v>1000000000000</v>
      </c>
      <c r="AT417" s="181">
        <f ca="1">IF($D417&lt;&gt;"Serviço",0,IF(AND(AUTOEVENTO="Manual",$M417=1),0,IF(OFFSET(CRONOPLE!$F$14,$M417,AT$13)="",10^12,OFFSET(CRONOPLE!$F$14,$M417,AT$13))))</f>
        <v>1000000000000</v>
      </c>
      <c r="AU417" s="181">
        <f ca="1">IF($D417&lt;&gt;"Serviço",0,IF(AND(AUTOEVENTO="Manual",$M417=1),0,IF(OFFSET(CRONOPLE!$F$14,$M417,AU$13)="",10^12,OFFSET(CRONOPLE!$F$14,$M417,AU$13))))</f>
        <v>1000000000000</v>
      </c>
      <c r="AV417" s="181">
        <f ca="1">IF($D417&lt;&gt;"Serviço",0,IF(AND(AUTOEVENTO="Manual",$M417=1),0,IF(OFFSET(CRONOPLE!$F$14,$M417,AV$13)="",10^12,OFFSET(CRONOPLE!$F$14,$M417,AV$13))))</f>
        <v>1000000000000</v>
      </c>
      <c r="AX417" s="182">
        <f ca="1">IF($D417&lt;&gt;"Serviço",0,IF(OR(AND(AUTOEVENTO="Manual",$M417=1),$M417&gt;(ROW(PLE.lastrow)-ROW(PLE.firstrow))),0,IF(OFFSET(PLE!$G$14,$M417,AX$13)="",10^12,OFFSET(PLE!$G$14,$M417,AX$13))))</f>
        <v>1000000000000</v>
      </c>
      <c r="AY417" s="182">
        <f ca="1">IF($D417&lt;&gt;"Serviço",0,IF(OR(AND(AUTOEVENTO="Manual",$M417=1),$M417&gt;(ROW(PLE.lastrow)-ROW(PLE.firstrow))),0,IF(OFFSET(PLE!$G$14,$M417,AY$13)="",10^12,OFFSET(PLE!$G$14,$M417,AY$13))))</f>
        <v>1000000000000</v>
      </c>
      <c r="AZ417" s="182">
        <f ca="1">IF($D417&lt;&gt;"Serviço",0,IF(OR(AND(AUTOEVENTO="Manual",$M417=1),$M417&gt;(ROW(PLE.lastrow)-ROW(PLE.firstrow))),0,IF(OFFSET(PLE!$G$14,$M417,AZ$13)="",10^12,OFFSET(PLE!$G$14,$M417,AZ$13))))</f>
        <v>1000000000000</v>
      </c>
      <c r="BA417" s="182">
        <f ca="1">IF($D417&lt;&gt;"Serviço",0,IF(OR(AND(AUTOEVENTO="Manual",$M417=1),$M417&gt;(ROW(PLE.lastrow)-ROW(PLE.firstrow))),0,IF(OFFSET(PLE!$G$14,$M417,BA$13)="",10^12,OFFSET(PLE!$G$14,$M417,BA$13))))</f>
        <v>1000000000000</v>
      </c>
      <c r="BB417" s="182">
        <f ca="1">IF($D417&lt;&gt;"Serviço",0,IF(OR(AND(AUTOEVENTO="Manual",$M417=1),$M417&gt;(ROW(PLE.lastrow)-ROW(PLE.firstrow))),0,IF(OFFSET(PLE!$G$14,$M417,BB$13)="",10^12,OFFSET(PLE!$G$14,$M417,BB$13))))</f>
        <v>1000000000000</v>
      </c>
      <c r="BC417" s="182">
        <f ca="1">IF($D417&lt;&gt;"Serviço",0,IF(OR(AND(AUTOEVENTO="Manual",$M417=1),$M417&gt;(ROW(PLE.lastrow)-ROW(PLE.firstrow))),0,IF(OFFSET(PLE!$G$14,$M417,BC$13)="",10^12,OFFSET(PLE!$G$14,$M417,BC$13))))</f>
        <v>1000000000000</v>
      </c>
      <c r="BD417" s="182">
        <f ca="1">IF($D417&lt;&gt;"Serviço",0,IF(OR(AND(AUTOEVENTO="Manual",$M417=1),$M417&gt;(ROW(PLE.lastrow)-ROW(PLE.firstrow))),0,IF(OFFSET(PLE!$G$14,$M417,BD$13)="",10^12,OFFSET(PLE!$G$14,$M417,BD$13))))</f>
        <v>1000000000000</v>
      </c>
      <c r="BE417" s="182">
        <f ca="1">IF($D417&lt;&gt;"Serviço",0,IF(OR(AND(AUTOEVENTO="Manual",$M417=1),$M417&gt;(ROW(PLE.lastrow)-ROW(PLE.firstrow))),0,IF(OFFSET(PLE!$G$14,$M417,BE$13)="",10^12,OFFSET(PLE!$G$14,$M417,BE$13))))</f>
        <v>1000000000000</v>
      </c>
      <c r="BF417" s="182">
        <f ca="1">IF($D417&lt;&gt;"Serviço",0,IF(OR(AND(AUTOEVENTO="Manual",$M417=1),$M417&gt;(ROW(PLE.lastrow)-ROW(PLE.firstrow))),0,IF(OFFSET(PLE!$G$14,$M417,BF$13)="",10^12,OFFSET(PLE!$G$14,$M417,BF$13))))</f>
        <v>1000000000000</v>
      </c>
      <c r="BG417" s="182">
        <f ca="1">IF($D417&lt;&gt;"Serviço",0,IF(OR(AND(AUTOEVENTO="Manual",$M417=1),$M417&gt;(ROW(PLE.lastrow)-ROW(PLE.firstrow))),0,IF(OFFSET(PLE!$G$14,$M417,BG$13)="",10^12,OFFSET(PLE!$G$14,$M417,BG$13))))</f>
        <v>1000000000000</v>
      </c>
    </row>
    <row r="418" spans="1:59" ht="38.25" x14ac:dyDescent="0.2">
      <c r="A418" s="7" t="str">
        <f t="shared" ca="1" si="11"/>
        <v>376</v>
      </c>
      <c r="B418" s="7" t="str">
        <f ca="1">OFFSET(ORÇAMENTO!C$15,ROW(B418)-ROW(B$15),0)</f>
        <v>S</v>
      </c>
      <c r="C418" s="7" t="str">
        <f ca="1">OFFSET(ORÇAMENTO!L$15,ROW(C418)-ROW(C$15),0)</f>
        <v/>
      </c>
      <c r="D418" s="118" t="str">
        <f ca="1">OFFSET(ORÇAMENTO!N$15,ROW(D418)-ROW(D$15),0)</f>
        <v>Serviço</v>
      </c>
      <c r="E418" s="119" t="str">
        <f ca="1">OFFSET(ORÇAMENTO!O$15,ROW(E418)-ROW(E$15),0)</f>
        <v>-</v>
      </c>
      <c r="F418" s="172" t="str">
        <f ca="1">OFFSET(ORÇAMENTO!R$15,ROW(F418)-ROW(F$15),0)</f>
        <v>(abra o arquivo 'Referência 02-2025.xlsm)</v>
      </c>
      <c r="G418" s="173" t="str">
        <f ca="1">IF($D418&lt;&gt;"Serviço","",OFFSET(ORÇAMENTO!S$15,ROW(G418)-ROW(G$15),0))</f>
        <v>-</v>
      </c>
      <c r="H418" s="124">
        <f ca="1">IF($D418&lt;&gt;"Serviço",0,IF(ACOMPANHAMENTO="BM",ROUND(OFFSET(ORÇAMENTO!AJ$15,ROW(H418)-ROW(H$15),0),15-13*ORÇAMENTO!$AF$7),SUMPRODUCT(($Q$12:$AA$12&lt;&gt;"")*ROUND($Q418:$AA418,15-13*ORÇAMENTO!$AF$7))))</f>
        <v>6</v>
      </c>
      <c r="I418" s="561" t="s">
        <v>890</v>
      </c>
      <c r="K418" s="174"/>
      <c r="L418" s="175" t="s">
        <v>255</v>
      </c>
      <c r="M418" s="176">
        <f ca="1">IF($D418&lt;&gt;"Serviço","",IF(AUTOEVENTO="manual",$A418,IF(ISERROR(MATCH($A418,$A$15:OFFSET($A418,-1,0),0)),MAX($M$15:OFFSET(M418,-1,0))+1,INDEX($M$15:OFFSET(M418,-1,0),MATCH($A418,$A$15:OFFSET($A418,-1,0),0)))))</f>
        <v>16</v>
      </c>
      <c r="N418" s="177" t="str">
        <f ca="1">IF($D418&lt;&gt;"Serviço","",IF(AUTOEVENTO="Manual",IF($A418=0,"&lt;-- defina o número do agrupador",OFFSET(EVENTOS!$D$14,$A418,0)),OFFSET($F$15,$A418,0)))</f>
        <v>LOUÇAS, ACESSÓRIOS E METAIS</v>
      </c>
      <c r="O418" s="178"/>
      <c r="Q418" s="178"/>
      <c r="R418" s="179"/>
      <c r="S418" s="179"/>
      <c r="T418" s="179"/>
      <c r="U418" s="179"/>
      <c r="V418" s="179"/>
      <c r="W418" s="179"/>
      <c r="X418" s="179"/>
      <c r="Y418" s="179"/>
      <c r="Z418" s="180"/>
      <c r="AB418" s="544">
        <f ca="1">IF(AND($D418="Serviço",AB$12&lt;&gt;0,$H418&gt;0,OR(AUTOEVENTO&lt;&gt;"manual",$M418&lt;&gt;1)),
IF(Import.TipoArredondamento&lt;&gt;"TransfereGOV",
ROUND(OFFSET($P418,0,AB$13),15-13*ORÇAMENTO!$AF$7)/$H418*OFFSET(ORÇAMENTO!$X$15,ROW(AB418)-ROW(AB$15),0),
ROUND(ROUND(OFFSET($P418,0,AB$13),15-13*ORÇAMENTO!$AF$7)*OFFSET(ORÇAMENTO!$W$15,ROW(AB418)-ROW(AB$15),0),15-13*ORÇAMENTO!$AF$11)),0)</f>
        <v>0</v>
      </c>
      <c r="AC418" s="545">
        <f ca="1">IF(AND($D418="Serviço",AC$12&lt;&gt;0,$H418&gt;0,OR(AUTOEVENTO&lt;&gt;"manual",$M418&lt;&gt;1)),
IF(Import.TipoArredondamento&lt;&gt;"TransfereGOV",
ROUND(OFFSET($P418,0,AC$13),15-13*ORÇAMENTO!$AF$7)/$H418*OFFSET(ORÇAMENTO!$X$15,ROW(AC418)-ROW(AC$15),0),
ROUND(ROUND(OFFSET($P418,0,AC$13),15-13*ORÇAMENTO!$AF$7)*OFFSET(ORÇAMENTO!$W$15,ROW(AC418)-ROW(AC$15),0),15-13*ORÇAMENTO!$AF$11)),0)</f>
        <v>0</v>
      </c>
      <c r="AD418" s="545">
        <f ca="1">IF(AND($D418="Serviço",AD$12&lt;&gt;0,$H418&gt;0,OR(AUTOEVENTO&lt;&gt;"manual",$M418&lt;&gt;1)),
IF(Import.TipoArredondamento&lt;&gt;"TransfereGOV",
ROUND(OFFSET($P418,0,AD$13),15-13*ORÇAMENTO!$AF$7)/$H418*OFFSET(ORÇAMENTO!$X$15,ROW(AD418)-ROW(AD$15),0),
ROUND(ROUND(OFFSET($P418,0,AD$13),15-13*ORÇAMENTO!$AF$7)*OFFSET(ORÇAMENTO!$W$15,ROW(AD418)-ROW(AD$15),0),15-13*ORÇAMENTO!$AF$11)),0)</f>
        <v>0</v>
      </c>
      <c r="AE418" s="545">
        <f ca="1">IF(AND($D418="Serviço",AE$12&lt;&gt;0,$H418&gt;0,OR(AUTOEVENTO&lt;&gt;"manual",$M418&lt;&gt;1)),
IF(Import.TipoArredondamento&lt;&gt;"TransfereGOV",
ROUND(OFFSET($P418,0,AE$13),15-13*ORÇAMENTO!$AF$7)/$H418*OFFSET(ORÇAMENTO!$X$15,ROW(AE418)-ROW(AE$15),0),
ROUND(ROUND(OFFSET($P418,0,AE$13),15-13*ORÇAMENTO!$AF$7)*OFFSET(ORÇAMENTO!$W$15,ROW(AE418)-ROW(AE$15),0),15-13*ORÇAMENTO!$AF$11)),0)</f>
        <v>0</v>
      </c>
      <c r="AF418" s="545">
        <f ca="1">IF(AND($D418="Serviço",AF$12&lt;&gt;0,$H418&gt;0,OR(AUTOEVENTO&lt;&gt;"manual",$M418&lt;&gt;1)),
IF(Import.TipoArredondamento&lt;&gt;"TransfereGOV",
ROUND(OFFSET($P418,0,AF$13),15-13*ORÇAMENTO!$AF$7)/$H418*OFFSET(ORÇAMENTO!$X$15,ROW(AF418)-ROW(AF$15),0),
ROUND(ROUND(OFFSET($P418,0,AF$13),15-13*ORÇAMENTO!$AF$7)*OFFSET(ORÇAMENTO!$W$15,ROW(AF418)-ROW(AF$15),0),15-13*ORÇAMENTO!$AF$11)),0)</f>
        <v>0</v>
      </c>
      <c r="AG418" s="545">
        <f ca="1">IF(AND($D418="Serviço",AG$12&lt;&gt;0,$H418&gt;0,OR(AUTOEVENTO&lt;&gt;"manual",$M418&lt;&gt;1)),
IF(Import.TipoArredondamento&lt;&gt;"TransfereGOV",
ROUND(OFFSET($P418,0,AG$13),15-13*ORÇAMENTO!$AF$7)/$H418*OFFSET(ORÇAMENTO!$X$15,ROW(AG418)-ROW(AG$15),0),
ROUND(ROUND(OFFSET($P418,0,AG$13),15-13*ORÇAMENTO!$AF$7)*OFFSET(ORÇAMENTO!$W$15,ROW(AG418)-ROW(AG$15),0),15-13*ORÇAMENTO!$AF$11)),0)</f>
        <v>0</v>
      </c>
      <c r="AH418" s="545">
        <f ca="1">IF(AND($D418="Serviço",AH$12&lt;&gt;0,$H418&gt;0,OR(AUTOEVENTO&lt;&gt;"manual",$M418&lt;&gt;1)),
IF(Import.TipoArredondamento&lt;&gt;"TransfereGOV",
ROUND(OFFSET($P418,0,AH$13),15-13*ORÇAMENTO!$AF$7)/$H418*OFFSET(ORÇAMENTO!$X$15,ROW(AH418)-ROW(AH$15),0),
ROUND(ROUND(OFFSET($P418,0,AH$13),15-13*ORÇAMENTO!$AF$7)*OFFSET(ORÇAMENTO!$W$15,ROW(AH418)-ROW(AH$15),0),15-13*ORÇAMENTO!$AF$11)),0)</f>
        <v>0</v>
      </c>
      <c r="AI418" s="545">
        <f ca="1">IF(AND($D418="Serviço",AI$12&lt;&gt;0,$H418&gt;0,OR(AUTOEVENTO&lt;&gt;"manual",$M418&lt;&gt;1)),
IF(Import.TipoArredondamento&lt;&gt;"TransfereGOV",
ROUND(OFFSET($P418,0,AI$13),15-13*ORÇAMENTO!$AF$7)/$H418*OFFSET(ORÇAMENTO!$X$15,ROW(AI418)-ROW(AI$15),0),
ROUND(ROUND(OFFSET($P418,0,AI$13),15-13*ORÇAMENTO!$AF$7)*OFFSET(ORÇAMENTO!$W$15,ROW(AI418)-ROW(AI$15),0),15-13*ORÇAMENTO!$AF$11)),0)</f>
        <v>0</v>
      </c>
      <c r="AJ418" s="545">
        <f ca="1">IF(AND($D418="Serviço",AJ$12&lt;&gt;0,$H418&gt;0,OR(AUTOEVENTO&lt;&gt;"manual",$M418&lt;&gt;1)),
IF(Import.TipoArredondamento&lt;&gt;"TransfereGOV",
ROUND(OFFSET($P418,0,AJ$13),15-13*ORÇAMENTO!$AF$7)/$H418*OFFSET(ORÇAMENTO!$X$15,ROW(AJ418)-ROW(AJ$15),0),
ROUND(ROUND(OFFSET($P418,0,AJ$13),15-13*ORÇAMENTO!$AF$7)*OFFSET(ORÇAMENTO!$W$15,ROW(AJ418)-ROW(AJ$15),0),15-13*ORÇAMENTO!$AF$11)),0)</f>
        <v>0</v>
      </c>
      <c r="AK418" s="546">
        <f ca="1">IF(AND($D418="Serviço",AK$12&lt;&gt;0,$H418&gt;0,OR(AUTOEVENTO&lt;&gt;"manual",$M418&lt;&gt;1)),
IF(Import.TipoArredondamento&lt;&gt;"TransfereGOV",
ROUND(OFFSET($P418,0,AK$13),15-13*ORÇAMENTO!$AF$7)/$H418*OFFSET(ORÇAMENTO!$X$15,ROW(AK418)-ROW(AK$15),0),
ROUND(ROUND(OFFSET($P418,0,AK$13),15-13*ORÇAMENTO!$AF$7)*OFFSET(ORÇAMENTO!$W$15,ROW(AK418)-ROW(AK$15),0),15-13*ORÇAMENTO!$AF$11)),0)</f>
        <v>0</v>
      </c>
      <c r="AM418" s="181">
        <f ca="1">IF($D418&lt;&gt;"Serviço",0,IF(AND(AUTOEVENTO="Manual",$M418=1),0,IF(OFFSET(CRONOPLE!$F$14,$M418,AM$13)="",10^12,OFFSET(CRONOPLE!$F$14,$M418,AM$13))))</f>
        <v>1000000000000</v>
      </c>
      <c r="AN418" s="181">
        <f ca="1">IF($D418&lt;&gt;"Serviço",0,IF(AND(AUTOEVENTO="Manual",$M418=1),0,IF(OFFSET(CRONOPLE!$F$14,$M418,AN$13)="",10^12,OFFSET(CRONOPLE!$F$14,$M418,AN$13))))</f>
        <v>1000000000000</v>
      </c>
      <c r="AO418" s="181">
        <f ca="1">IF($D418&lt;&gt;"Serviço",0,IF(AND(AUTOEVENTO="Manual",$M418=1),0,IF(OFFSET(CRONOPLE!$F$14,$M418,AO$13)="",10^12,OFFSET(CRONOPLE!$F$14,$M418,AO$13))))</f>
        <v>1000000000000</v>
      </c>
      <c r="AP418" s="181">
        <f ca="1">IF($D418&lt;&gt;"Serviço",0,IF(AND(AUTOEVENTO="Manual",$M418=1),0,IF(OFFSET(CRONOPLE!$F$14,$M418,AP$13)="",10^12,OFFSET(CRONOPLE!$F$14,$M418,AP$13))))</f>
        <v>1000000000000</v>
      </c>
      <c r="AQ418" s="181">
        <f ca="1">IF($D418&lt;&gt;"Serviço",0,IF(AND(AUTOEVENTO="Manual",$M418=1),0,IF(OFFSET(CRONOPLE!$F$14,$M418,AQ$13)="",10^12,OFFSET(CRONOPLE!$F$14,$M418,AQ$13))))</f>
        <v>1000000000000</v>
      </c>
      <c r="AR418" s="181">
        <f ca="1">IF($D418&lt;&gt;"Serviço",0,IF(AND(AUTOEVENTO="Manual",$M418=1),0,IF(OFFSET(CRONOPLE!$F$14,$M418,AR$13)="",10^12,OFFSET(CRONOPLE!$F$14,$M418,AR$13))))</f>
        <v>1000000000000</v>
      </c>
      <c r="AS418" s="181">
        <f ca="1">IF($D418&lt;&gt;"Serviço",0,IF(AND(AUTOEVENTO="Manual",$M418=1),0,IF(OFFSET(CRONOPLE!$F$14,$M418,AS$13)="",10^12,OFFSET(CRONOPLE!$F$14,$M418,AS$13))))</f>
        <v>1000000000000</v>
      </c>
      <c r="AT418" s="181">
        <f ca="1">IF($D418&lt;&gt;"Serviço",0,IF(AND(AUTOEVENTO="Manual",$M418=1),0,IF(OFFSET(CRONOPLE!$F$14,$M418,AT$13)="",10^12,OFFSET(CRONOPLE!$F$14,$M418,AT$13))))</f>
        <v>1000000000000</v>
      </c>
      <c r="AU418" s="181">
        <f ca="1">IF($D418&lt;&gt;"Serviço",0,IF(AND(AUTOEVENTO="Manual",$M418=1),0,IF(OFFSET(CRONOPLE!$F$14,$M418,AU$13)="",10^12,OFFSET(CRONOPLE!$F$14,$M418,AU$13))))</f>
        <v>1000000000000</v>
      </c>
      <c r="AV418" s="181">
        <f ca="1">IF($D418&lt;&gt;"Serviço",0,IF(AND(AUTOEVENTO="Manual",$M418=1),0,IF(OFFSET(CRONOPLE!$F$14,$M418,AV$13)="",10^12,OFFSET(CRONOPLE!$F$14,$M418,AV$13))))</f>
        <v>1000000000000</v>
      </c>
      <c r="AX418" s="182">
        <f ca="1">IF($D418&lt;&gt;"Serviço",0,IF(OR(AND(AUTOEVENTO="Manual",$M418=1),$M418&gt;(ROW(PLE.lastrow)-ROW(PLE.firstrow))),0,IF(OFFSET(PLE!$G$14,$M418,AX$13)="",10^12,OFFSET(PLE!$G$14,$M418,AX$13))))</f>
        <v>1000000000000</v>
      </c>
      <c r="AY418" s="182">
        <f ca="1">IF($D418&lt;&gt;"Serviço",0,IF(OR(AND(AUTOEVENTO="Manual",$M418=1),$M418&gt;(ROW(PLE.lastrow)-ROW(PLE.firstrow))),0,IF(OFFSET(PLE!$G$14,$M418,AY$13)="",10^12,OFFSET(PLE!$G$14,$M418,AY$13))))</f>
        <v>1000000000000</v>
      </c>
      <c r="AZ418" s="182">
        <f ca="1">IF($D418&lt;&gt;"Serviço",0,IF(OR(AND(AUTOEVENTO="Manual",$M418=1),$M418&gt;(ROW(PLE.lastrow)-ROW(PLE.firstrow))),0,IF(OFFSET(PLE!$G$14,$M418,AZ$13)="",10^12,OFFSET(PLE!$G$14,$M418,AZ$13))))</f>
        <v>1000000000000</v>
      </c>
      <c r="BA418" s="182">
        <f ca="1">IF($D418&lt;&gt;"Serviço",0,IF(OR(AND(AUTOEVENTO="Manual",$M418=1),$M418&gt;(ROW(PLE.lastrow)-ROW(PLE.firstrow))),0,IF(OFFSET(PLE!$G$14,$M418,BA$13)="",10^12,OFFSET(PLE!$G$14,$M418,BA$13))))</f>
        <v>1000000000000</v>
      </c>
      <c r="BB418" s="182">
        <f ca="1">IF($D418&lt;&gt;"Serviço",0,IF(OR(AND(AUTOEVENTO="Manual",$M418=1),$M418&gt;(ROW(PLE.lastrow)-ROW(PLE.firstrow))),0,IF(OFFSET(PLE!$G$14,$M418,BB$13)="",10^12,OFFSET(PLE!$G$14,$M418,BB$13))))</f>
        <v>1000000000000</v>
      </c>
      <c r="BC418" s="182">
        <f ca="1">IF($D418&lt;&gt;"Serviço",0,IF(OR(AND(AUTOEVENTO="Manual",$M418=1),$M418&gt;(ROW(PLE.lastrow)-ROW(PLE.firstrow))),0,IF(OFFSET(PLE!$G$14,$M418,BC$13)="",10^12,OFFSET(PLE!$G$14,$M418,BC$13))))</f>
        <v>1000000000000</v>
      </c>
      <c r="BD418" s="182">
        <f ca="1">IF($D418&lt;&gt;"Serviço",0,IF(OR(AND(AUTOEVENTO="Manual",$M418=1),$M418&gt;(ROW(PLE.lastrow)-ROW(PLE.firstrow))),0,IF(OFFSET(PLE!$G$14,$M418,BD$13)="",10^12,OFFSET(PLE!$G$14,$M418,BD$13))))</f>
        <v>1000000000000</v>
      </c>
      <c r="BE418" s="182">
        <f ca="1">IF($D418&lt;&gt;"Serviço",0,IF(OR(AND(AUTOEVENTO="Manual",$M418=1),$M418&gt;(ROW(PLE.lastrow)-ROW(PLE.firstrow))),0,IF(OFFSET(PLE!$G$14,$M418,BE$13)="",10^12,OFFSET(PLE!$G$14,$M418,BE$13))))</f>
        <v>1000000000000</v>
      </c>
      <c r="BF418" s="182">
        <f ca="1">IF($D418&lt;&gt;"Serviço",0,IF(OR(AND(AUTOEVENTO="Manual",$M418=1),$M418&gt;(ROW(PLE.lastrow)-ROW(PLE.firstrow))),0,IF(OFFSET(PLE!$G$14,$M418,BF$13)="",10^12,OFFSET(PLE!$G$14,$M418,BF$13))))</f>
        <v>1000000000000</v>
      </c>
      <c r="BG418" s="182">
        <f ca="1">IF($D418&lt;&gt;"Serviço",0,IF(OR(AND(AUTOEVENTO="Manual",$M418=1),$M418&gt;(ROW(PLE.lastrow)-ROW(PLE.firstrow))),0,IF(OFFSET(PLE!$G$14,$M418,BG$13)="",10^12,OFFSET(PLE!$G$14,$M418,BG$13))))</f>
        <v>1000000000000</v>
      </c>
    </row>
    <row r="419" spans="1:59" ht="38.25" x14ac:dyDescent="0.2">
      <c r="A419" s="7" t="str">
        <f t="shared" ca="1" si="11"/>
        <v>376</v>
      </c>
      <c r="B419" s="7" t="str">
        <f ca="1">OFFSET(ORÇAMENTO!C$15,ROW(B419)-ROW(B$15),0)</f>
        <v>S</v>
      </c>
      <c r="C419" s="7" t="str">
        <f ca="1">OFFSET(ORÇAMENTO!L$15,ROW(C419)-ROW(C$15),0)</f>
        <v/>
      </c>
      <c r="D419" s="118" t="str">
        <f ca="1">OFFSET(ORÇAMENTO!N$15,ROW(D419)-ROW(D$15),0)</f>
        <v>Serviço</v>
      </c>
      <c r="E419" s="119" t="str">
        <f ca="1">OFFSET(ORÇAMENTO!O$15,ROW(E419)-ROW(E$15),0)</f>
        <v>-</v>
      </c>
      <c r="F419" s="172" t="str">
        <f ca="1">OFFSET(ORÇAMENTO!R$15,ROW(F419)-ROW(F$15),0)</f>
        <v>(abra o arquivo 'Referência 02-2025.xlsm)</v>
      </c>
      <c r="G419" s="173" t="str">
        <f ca="1">IF($D419&lt;&gt;"Serviço","",OFFSET(ORÇAMENTO!S$15,ROW(G419)-ROW(G$15),0))</f>
        <v>-</v>
      </c>
      <c r="H419" s="124">
        <f ca="1">IF($D419&lt;&gt;"Serviço",0,IF(ACOMPANHAMENTO="BM",ROUND(OFFSET(ORÇAMENTO!AJ$15,ROW(H419)-ROW(H$15),0),15-13*ORÇAMENTO!$AF$7),SUMPRODUCT(($Q$12:$AA$12&lt;&gt;"")*ROUND($Q419:$AA419,15-13*ORÇAMENTO!$AF$7))))</f>
        <v>9</v>
      </c>
      <c r="I419" s="561" t="s">
        <v>890</v>
      </c>
      <c r="K419" s="174"/>
      <c r="L419" s="175" t="s">
        <v>255</v>
      </c>
      <c r="M419" s="176">
        <f ca="1">IF($D419&lt;&gt;"Serviço","",IF(AUTOEVENTO="manual",$A419,IF(ISERROR(MATCH($A419,$A$15:OFFSET($A419,-1,0),0)),MAX($M$15:OFFSET(M419,-1,0))+1,INDEX($M$15:OFFSET(M419,-1,0),MATCH($A419,$A$15:OFFSET($A419,-1,0),0)))))</f>
        <v>16</v>
      </c>
      <c r="N419" s="177" t="str">
        <f ca="1">IF($D419&lt;&gt;"Serviço","",IF(AUTOEVENTO="Manual",IF($A419=0,"&lt;-- defina o número do agrupador",OFFSET(EVENTOS!$D$14,$A419,0)),OFFSET($F$15,$A419,0)))</f>
        <v>LOUÇAS, ACESSÓRIOS E METAIS</v>
      </c>
      <c r="O419" s="178"/>
      <c r="Q419" s="178"/>
      <c r="R419" s="179"/>
      <c r="S419" s="179"/>
      <c r="T419" s="179"/>
      <c r="U419" s="179"/>
      <c r="V419" s="179"/>
      <c r="W419" s="179"/>
      <c r="X419" s="179"/>
      <c r="Y419" s="179"/>
      <c r="Z419" s="180"/>
      <c r="AB419" s="544">
        <f ca="1">IF(AND($D419="Serviço",AB$12&lt;&gt;0,$H419&gt;0,OR(AUTOEVENTO&lt;&gt;"manual",$M419&lt;&gt;1)),
IF(Import.TipoArredondamento&lt;&gt;"TransfereGOV",
ROUND(OFFSET($P419,0,AB$13),15-13*ORÇAMENTO!$AF$7)/$H419*OFFSET(ORÇAMENTO!$X$15,ROW(AB419)-ROW(AB$15),0),
ROUND(ROUND(OFFSET($P419,0,AB$13),15-13*ORÇAMENTO!$AF$7)*OFFSET(ORÇAMENTO!$W$15,ROW(AB419)-ROW(AB$15),0),15-13*ORÇAMENTO!$AF$11)),0)</f>
        <v>0</v>
      </c>
      <c r="AC419" s="545">
        <f ca="1">IF(AND($D419="Serviço",AC$12&lt;&gt;0,$H419&gt;0,OR(AUTOEVENTO&lt;&gt;"manual",$M419&lt;&gt;1)),
IF(Import.TipoArredondamento&lt;&gt;"TransfereGOV",
ROUND(OFFSET($P419,0,AC$13),15-13*ORÇAMENTO!$AF$7)/$H419*OFFSET(ORÇAMENTO!$X$15,ROW(AC419)-ROW(AC$15),0),
ROUND(ROUND(OFFSET($P419,0,AC$13),15-13*ORÇAMENTO!$AF$7)*OFFSET(ORÇAMENTO!$W$15,ROW(AC419)-ROW(AC$15),0),15-13*ORÇAMENTO!$AF$11)),0)</f>
        <v>0</v>
      </c>
      <c r="AD419" s="545">
        <f ca="1">IF(AND($D419="Serviço",AD$12&lt;&gt;0,$H419&gt;0,OR(AUTOEVENTO&lt;&gt;"manual",$M419&lt;&gt;1)),
IF(Import.TipoArredondamento&lt;&gt;"TransfereGOV",
ROUND(OFFSET($P419,0,AD$13),15-13*ORÇAMENTO!$AF$7)/$H419*OFFSET(ORÇAMENTO!$X$15,ROW(AD419)-ROW(AD$15),0),
ROUND(ROUND(OFFSET($P419,0,AD$13),15-13*ORÇAMENTO!$AF$7)*OFFSET(ORÇAMENTO!$W$15,ROW(AD419)-ROW(AD$15),0),15-13*ORÇAMENTO!$AF$11)),0)</f>
        <v>0</v>
      </c>
      <c r="AE419" s="545">
        <f ca="1">IF(AND($D419="Serviço",AE$12&lt;&gt;0,$H419&gt;0,OR(AUTOEVENTO&lt;&gt;"manual",$M419&lt;&gt;1)),
IF(Import.TipoArredondamento&lt;&gt;"TransfereGOV",
ROUND(OFFSET($P419,0,AE$13),15-13*ORÇAMENTO!$AF$7)/$H419*OFFSET(ORÇAMENTO!$X$15,ROW(AE419)-ROW(AE$15),0),
ROUND(ROUND(OFFSET($P419,0,AE$13),15-13*ORÇAMENTO!$AF$7)*OFFSET(ORÇAMENTO!$W$15,ROW(AE419)-ROW(AE$15),0),15-13*ORÇAMENTO!$AF$11)),0)</f>
        <v>0</v>
      </c>
      <c r="AF419" s="545">
        <f ca="1">IF(AND($D419="Serviço",AF$12&lt;&gt;0,$H419&gt;0,OR(AUTOEVENTO&lt;&gt;"manual",$M419&lt;&gt;1)),
IF(Import.TipoArredondamento&lt;&gt;"TransfereGOV",
ROUND(OFFSET($P419,0,AF$13),15-13*ORÇAMENTO!$AF$7)/$H419*OFFSET(ORÇAMENTO!$X$15,ROW(AF419)-ROW(AF$15),0),
ROUND(ROUND(OFFSET($P419,0,AF$13),15-13*ORÇAMENTO!$AF$7)*OFFSET(ORÇAMENTO!$W$15,ROW(AF419)-ROW(AF$15),0),15-13*ORÇAMENTO!$AF$11)),0)</f>
        <v>0</v>
      </c>
      <c r="AG419" s="545">
        <f ca="1">IF(AND($D419="Serviço",AG$12&lt;&gt;0,$H419&gt;0,OR(AUTOEVENTO&lt;&gt;"manual",$M419&lt;&gt;1)),
IF(Import.TipoArredondamento&lt;&gt;"TransfereGOV",
ROUND(OFFSET($P419,0,AG$13),15-13*ORÇAMENTO!$AF$7)/$H419*OFFSET(ORÇAMENTO!$X$15,ROW(AG419)-ROW(AG$15),0),
ROUND(ROUND(OFFSET($P419,0,AG$13),15-13*ORÇAMENTO!$AF$7)*OFFSET(ORÇAMENTO!$W$15,ROW(AG419)-ROW(AG$15),0),15-13*ORÇAMENTO!$AF$11)),0)</f>
        <v>0</v>
      </c>
      <c r="AH419" s="545">
        <f ca="1">IF(AND($D419="Serviço",AH$12&lt;&gt;0,$H419&gt;0,OR(AUTOEVENTO&lt;&gt;"manual",$M419&lt;&gt;1)),
IF(Import.TipoArredondamento&lt;&gt;"TransfereGOV",
ROUND(OFFSET($P419,0,AH$13),15-13*ORÇAMENTO!$AF$7)/$H419*OFFSET(ORÇAMENTO!$X$15,ROW(AH419)-ROW(AH$15),0),
ROUND(ROUND(OFFSET($P419,0,AH$13),15-13*ORÇAMENTO!$AF$7)*OFFSET(ORÇAMENTO!$W$15,ROW(AH419)-ROW(AH$15),0),15-13*ORÇAMENTO!$AF$11)),0)</f>
        <v>0</v>
      </c>
      <c r="AI419" s="545">
        <f ca="1">IF(AND($D419="Serviço",AI$12&lt;&gt;0,$H419&gt;0,OR(AUTOEVENTO&lt;&gt;"manual",$M419&lt;&gt;1)),
IF(Import.TipoArredondamento&lt;&gt;"TransfereGOV",
ROUND(OFFSET($P419,0,AI$13),15-13*ORÇAMENTO!$AF$7)/$H419*OFFSET(ORÇAMENTO!$X$15,ROW(AI419)-ROW(AI$15),0),
ROUND(ROUND(OFFSET($P419,0,AI$13),15-13*ORÇAMENTO!$AF$7)*OFFSET(ORÇAMENTO!$W$15,ROW(AI419)-ROW(AI$15),0),15-13*ORÇAMENTO!$AF$11)),0)</f>
        <v>0</v>
      </c>
      <c r="AJ419" s="545">
        <f ca="1">IF(AND($D419="Serviço",AJ$12&lt;&gt;0,$H419&gt;0,OR(AUTOEVENTO&lt;&gt;"manual",$M419&lt;&gt;1)),
IF(Import.TipoArredondamento&lt;&gt;"TransfereGOV",
ROUND(OFFSET($P419,0,AJ$13),15-13*ORÇAMENTO!$AF$7)/$H419*OFFSET(ORÇAMENTO!$X$15,ROW(AJ419)-ROW(AJ$15),0),
ROUND(ROUND(OFFSET($P419,0,AJ$13),15-13*ORÇAMENTO!$AF$7)*OFFSET(ORÇAMENTO!$W$15,ROW(AJ419)-ROW(AJ$15),0),15-13*ORÇAMENTO!$AF$11)),0)</f>
        <v>0</v>
      </c>
      <c r="AK419" s="546">
        <f ca="1">IF(AND($D419="Serviço",AK$12&lt;&gt;0,$H419&gt;0,OR(AUTOEVENTO&lt;&gt;"manual",$M419&lt;&gt;1)),
IF(Import.TipoArredondamento&lt;&gt;"TransfereGOV",
ROUND(OFFSET($P419,0,AK$13),15-13*ORÇAMENTO!$AF$7)/$H419*OFFSET(ORÇAMENTO!$X$15,ROW(AK419)-ROW(AK$15),0),
ROUND(ROUND(OFFSET($P419,0,AK$13),15-13*ORÇAMENTO!$AF$7)*OFFSET(ORÇAMENTO!$W$15,ROW(AK419)-ROW(AK$15),0),15-13*ORÇAMENTO!$AF$11)),0)</f>
        <v>0</v>
      </c>
      <c r="AM419" s="181">
        <f ca="1">IF($D419&lt;&gt;"Serviço",0,IF(AND(AUTOEVENTO="Manual",$M419=1),0,IF(OFFSET(CRONOPLE!$F$14,$M419,AM$13)="",10^12,OFFSET(CRONOPLE!$F$14,$M419,AM$13))))</f>
        <v>1000000000000</v>
      </c>
      <c r="AN419" s="181">
        <f ca="1">IF($D419&lt;&gt;"Serviço",0,IF(AND(AUTOEVENTO="Manual",$M419=1),0,IF(OFFSET(CRONOPLE!$F$14,$M419,AN$13)="",10^12,OFFSET(CRONOPLE!$F$14,$M419,AN$13))))</f>
        <v>1000000000000</v>
      </c>
      <c r="AO419" s="181">
        <f ca="1">IF($D419&lt;&gt;"Serviço",0,IF(AND(AUTOEVENTO="Manual",$M419=1),0,IF(OFFSET(CRONOPLE!$F$14,$M419,AO$13)="",10^12,OFFSET(CRONOPLE!$F$14,$M419,AO$13))))</f>
        <v>1000000000000</v>
      </c>
      <c r="AP419" s="181">
        <f ca="1">IF($D419&lt;&gt;"Serviço",0,IF(AND(AUTOEVENTO="Manual",$M419=1),0,IF(OFFSET(CRONOPLE!$F$14,$M419,AP$13)="",10^12,OFFSET(CRONOPLE!$F$14,$M419,AP$13))))</f>
        <v>1000000000000</v>
      </c>
      <c r="AQ419" s="181">
        <f ca="1">IF($D419&lt;&gt;"Serviço",0,IF(AND(AUTOEVENTO="Manual",$M419=1),0,IF(OFFSET(CRONOPLE!$F$14,$M419,AQ$13)="",10^12,OFFSET(CRONOPLE!$F$14,$M419,AQ$13))))</f>
        <v>1000000000000</v>
      </c>
      <c r="AR419" s="181">
        <f ca="1">IF($D419&lt;&gt;"Serviço",0,IF(AND(AUTOEVENTO="Manual",$M419=1),0,IF(OFFSET(CRONOPLE!$F$14,$M419,AR$13)="",10^12,OFFSET(CRONOPLE!$F$14,$M419,AR$13))))</f>
        <v>1000000000000</v>
      </c>
      <c r="AS419" s="181">
        <f ca="1">IF($D419&lt;&gt;"Serviço",0,IF(AND(AUTOEVENTO="Manual",$M419=1),0,IF(OFFSET(CRONOPLE!$F$14,$M419,AS$13)="",10^12,OFFSET(CRONOPLE!$F$14,$M419,AS$13))))</f>
        <v>1000000000000</v>
      </c>
      <c r="AT419" s="181">
        <f ca="1">IF($D419&lt;&gt;"Serviço",0,IF(AND(AUTOEVENTO="Manual",$M419=1),0,IF(OFFSET(CRONOPLE!$F$14,$M419,AT$13)="",10^12,OFFSET(CRONOPLE!$F$14,$M419,AT$13))))</f>
        <v>1000000000000</v>
      </c>
      <c r="AU419" s="181">
        <f ca="1">IF($D419&lt;&gt;"Serviço",0,IF(AND(AUTOEVENTO="Manual",$M419=1),0,IF(OFFSET(CRONOPLE!$F$14,$M419,AU$13)="",10^12,OFFSET(CRONOPLE!$F$14,$M419,AU$13))))</f>
        <v>1000000000000</v>
      </c>
      <c r="AV419" s="181">
        <f ca="1">IF($D419&lt;&gt;"Serviço",0,IF(AND(AUTOEVENTO="Manual",$M419=1),0,IF(OFFSET(CRONOPLE!$F$14,$M419,AV$13)="",10^12,OFFSET(CRONOPLE!$F$14,$M419,AV$13))))</f>
        <v>1000000000000</v>
      </c>
      <c r="AX419" s="182">
        <f ca="1">IF($D419&lt;&gt;"Serviço",0,IF(OR(AND(AUTOEVENTO="Manual",$M419=1),$M419&gt;(ROW(PLE.lastrow)-ROW(PLE.firstrow))),0,IF(OFFSET(PLE!$G$14,$M419,AX$13)="",10^12,OFFSET(PLE!$G$14,$M419,AX$13))))</f>
        <v>1000000000000</v>
      </c>
      <c r="AY419" s="182">
        <f ca="1">IF($D419&lt;&gt;"Serviço",0,IF(OR(AND(AUTOEVENTO="Manual",$M419=1),$M419&gt;(ROW(PLE.lastrow)-ROW(PLE.firstrow))),0,IF(OFFSET(PLE!$G$14,$M419,AY$13)="",10^12,OFFSET(PLE!$G$14,$M419,AY$13))))</f>
        <v>1000000000000</v>
      </c>
      <c r="AZ419" s="182">
        <f ca="1">IF($D419&lt;&gt;"Serviço",0,IF(OR(AND(AUTOEVENTO="Manual",$M419=1),$M419&gt;(ROW(PLE.lastrow)-ROW(PLE.firstrow))),0,IF(OFFSET(PLE!$G$14,$M419,AZ$13)="",10^12,OFFSET(PLE!$G$14,$M419,AZ$13))))</f>
        <v>1000000000000</v>
      </c>
      <c r="BA419" s="182">
        <f ca="1">IF($D419&lt;&gt;"Serviço",0,IF(OR(AND(AUTOEVENTO="Manual",$M419=1),$M419&gt;(ROW(PLE.lastrow)-ROW(PLE.firstrow))),0,IF(OFFSET(PLE!$G$14,$M419,BA$13)="",10^12,OFFSET(PLE!$G$14,$M419,BA$13))))</f>
        <v>1000000000000</v>
      </c>
      <c r="BB419" s="182">
        <f ca="1">IF($D419&lt;&gt;"Serviço",0,IF(OR(AND(AUTOEVENTO="Manual",$M419=1),$M419&gt;(ROW(PLE.lastrow)-ROW(PLE.firstrow))),0,IF(OFFSET(PLE!$G$14,$M419,BB$13)="",10^12,OFFSET(PLE!$G$14,$M419,BB$13))))</f>
        <v>1000000000000</v>
      </c>
      <c r="BC419" s="182">
        <f ca="1">IF($D419&lt;&gt;"Serviço",0,IF(OR(AND(AUTOEVENTO="Manual",$M419=1),$M419&gt;(ROW(PLE.lastrow)-ROW(PLE.firstrow))),0,IF(OFFSET(PLE!$G$14,$M419,BC$13)="",10^12,OFFSET(PLE!$G$14,$M419,BC$13))))</f>
        <v>1000000000000</v>
      </c>
      <c r="BD419" s="182">
        <f ca="1">IF($D419&lt;&gt;"Serviço",0,IF(OR(AND(AUTOEVENTO="Manual",$M419=1),$M419&gt;(ROW(PLE.lastrow)-ROW(PLE.firstrow))),0,IF(OFFSET(PLE!$G$14,$M419,BD$13)="",10^12,OFFSET(PLE!$G$14,$M419,BD$13))))</f>
        <v>1000000000000</v>
      </c>
      <c r="BE419" s="182">
        <f ca="1">IF($D419&lt;&gt;"Serviço",0,IF(OR(AND(AUTOEVENTO="Manual",$M419=1),$M419&gt;(ROW(PLE.lastrow)-ROW(PLE.firstrow))),0,IF(OFFSET(PLE!$G$14,$M419,BE$13)="",10^12,OFFSET(PLE!$G$14,$M419,BE$13))))</f>
        <v>1000000000000</v>
      </c>
      <c r="BF419" s="182">
        <f ca="1">IF($D419&lt;&gt;"Serviço",0,IF(OR(AND(AUTOEVENTO="Manual",$M419=1),$M419&gt;(ROW(PLE.lastrow)-ROW(PLE.firstrow))),0,IF(OFFSET(PLE!$G$14,$M419,BF$13)="",10^12,OFFSET(PLE!$G$14,$M419,BF$13))))</f>
        <v>1000000000000</v>
      </c>
      <c r="BG419" s="182">
        <f ca="1">IF($D419&lt;&gt;"Serviço",0,IF(OR(AND(AUTOEVENTO="Manual",$M419=1),$M419&gt;(ROW(PLE.lastrow)-ROW(PLE.firstrow))),0,IF(OFFSET(PLE!$G$14,$M419,BG$13)="",10^12,OFFSET(PLE!$G$14,$M419,BG$13))))</f>
        <v>1000000000000</v>
      </c>
    </row>
    <row r="420" spans="1:59" ht="25.5" x14ac:dyDescent="0.2">
      <c r="A420" s="7" t="str">
        <f t="shared" ca="1" si="11"/>
        <v>376</v>
      </c>
      <c r="B420" s="7" t="str">
        <f ca="1">OFFSET(ORÇAMENTO!C$15,ROW(B420)-ROW(B$15),0)</f>
        <v>S</v>
      </c>
      <c r="C420" s="7" t="str">
        <f ca="1">OFFSET(ORÇAMENTO!L$15,ROW(C420)-ROW(C$15),0)</f>
        <v/>
      </c>
      <c r="D420" s="118" t="str">
        <f ca="1">OFFSET(ORÇAMENTO!N$15,ROW(D420)-ROW(D$15),0)</f>
        <v>Serviço</v>
      </c>
      <c r="E420" s="119" t="str">
        <f ca="1">OFFSET(ORÇAMENTO!O$15,ROW(E420)-ROW(E$15),0)</f>
        <v>-</v>
      </c>
      <c r="F420" s="172" t="str">
        <f ca="1">OFFSET(ORÇAMENTO!R$15,ROW(F420)-ROW(F$15),0)</f>
        <v>(abra o arquivo 'Referência 02-2025.xlsm)</v>
      </c>
      <c r="G420" s="173" t="str">
        <f ca="1">IF($D420&lt;&gt;"Serviço","",OFFSET(ORÇAMENTO!S$15,ROW(G420)-ROW(G$15),0))</f>
        <v>-</v>
      </c>
      <c r="H420" s="124">
        <f ca="1">IF($D420&lt;&gt;"Serviço",0,IF(ACOMPANHAMENTO="BM",ROUND(OFFSET(ORÇAMENTO!AJ$15,ROW(H420)-ROW(H$15),0),15-13*ORÇAMENTO!$AF$7),SUMPRODUCT(($Q$12:$AA$12&lt;&gt;"")*ROUND($Q420:$AA420,15-13*ORÇAMENTO!$AF$7))))</f>
        <v>1</v>
      </c>
      <c r="I420" s="561" t="s">
        <v>890</v>
      </c>
      <c r="K420" s="174"/>
      <c r="L420" s="175" t="s">
        <v>255</v>
      </c>
      <c r="M420" s="176">
        <f ca="1">IF($D420&lt;&gt;"Serviço","",IF(AUTOEVENTO="manual",$A420,IF(ISERROR(MATCH($A420,$A$15:OFFSET($A420,-1,0),0)),MAX($M$15:OFFSET(M420,-1,0))+1,INDEX($M$15:OFFSET(M420,-1,0),MATCH($A420,$A$15:OFFSET($A420,-1,0),0)))))</f>
        <v>16</v>
      </c>
      <c r="N420" s="177" t="str">
        <f ca="1">IF($D420&lt;&gt;"Serviço","",IF(AUTOEVENTO="Manual",IF($A420=0,"&lt;-- defina o número do agrupador",OFFSET(EVENTOS!$D$14,$A420,0)),OFFSET($F$15,$A420,0)))</f>
        <v>LOUÇAS, ACESSÓRIOS E METAIS</v>
      </c>
      <c r="O420" s="178"/>
      <c r="Q420" s="178"/>
      <c r="R420" s="179"/>
      <c r="S420" s="179"/>
      <c r="T420" s="179"/>
      <c r="U420" s="179"/>
      <c r="V420" s="179"/>
      <c r="W420" s="179"/>
      <c r="X420" s="179"/>
      <c r="Y420" s="179"/>
      <c r="Z420" s="180"/>
      <c r="AB420" s="544">
        <f ca="1">IF(AND($D420="Serviço",AB$12&lt;&gt;0,$H420&gt;0,OR(AUTOEVENTO&lt;&gt;"manual",$M420&lt;&gt;1)),
IF(Import.TipoArredondamento&lt;&gt;"TransfereGOV",
ROUND(OFFSET($P420,0,AB$13),15-13*ORÇAMENTO!$AF$7)/$H420*OFFSET(ORÇAMENTO!$X$15,ROW(AB420)-ROW(AB$15),0),
ROUND(ROUND(OFFSET($P420,0,AB$13),15-13*ORÇAMENTO!$AF$7)*OFFSET(ORÇAMENTO!$W$15,ROW(AB420)-ROW(AB$15),0),15-13*ORÇAMENTO!$AF$11)),0)</f>
        <v>0</v>
      </c>
      <c r="AC420" s="545">
        <f ca="1">IF(AND($D420="Serviço",AC$12&lt;&gt;0,$H420&gt;0,OR(AUTOEVENTO&lt;&gt;"manual",$M420&lt;&gt;1)),
IF(Import.TipoArredondamento&lt;&gt;"TransfereGOV",
ROUND(OFFSET($P420,0,AC$13),15-13*ORÇAMENTO!$AF$7)/$H420*OFFSET(ORÇAMENTO!$X$15,ROW(AC420)-ROW(AC$15),0),
ROUND(ROUND(OFFSET($P420,0,AC$13),15-13*ORÇAMENTO!$AF$7)*OFFSET(ORÇAMENTO!$W$15,ROW(AC420)-ROW(AC$15),0),15-13*ORÇAMENTO!$AF$11)),0)</f>
        <v>0</v>
      </c>
      <c r="AD420" s="545">
        <f ca="1">IF(AND($D420="Serviço",AD$12&lt;&gt;0,$H420&gt;0,OR(AUTOEVENTO&lt;&gt;"manual",$M420&lt;&gt;1)),
IF(Import.TipoArredondamento&lt;&gt;"TransfereGOV",
ROUND(OFFSET($P420,0,AD$13),15-13*ORÇAMENTO!$AF$7)/$H420*OFFSET(ORÇAMENTO!$X$15,ROW(AD420)-ROW(AD$15),0),
ROUND(ROUND(OFFSET($P420,0,AD$13),15-13*ORÇAMENTO!$AF$7)*OFFSET(ORÇAMENTO!$W$15,ROW(AD420)-ROW(AD$15),0),15-13*ORÇAMENTO!$AF$11)),0)</f>
        <v>0</v>
      </c>
      <c r="AE420" s="545">
        <f ca="1">IF(AND($D420="Serviço",AE$12&lt;&gt;0,$H420&gt;0,OR(AUTOEVENTO&lt;&gt;"manual",$M420&lt;&gt;1)),
IF(Import.TipoArredondamento&lt;&gt;"TransfereGOV",
ROUND(OFFSET($P420,0,AE$13),15-13*ORÇAMENTO!$AF$7)/$H420*OFFSET(ORÇAMENTO!$X$15,ROW(AE420)-ROW(AE$15),0),
ROUND(ROUND(OFFSET($P420,0,AE$13),15-13*ORÇAMENTO!$AF$7)*OFFSET(ORÇAMENTO!$W$15,ROW(AE420)-ROW(AE$15),0),15-13*ORÇAMENTO!$AF$11)),0)</f>
        <v>0</v>
      </c>
      <c r="AF420" s="545">
        <f ca="1">IF(AND($D420="Serviço",AF$12&lt;&gt;0,$H420&gt;0,OR(AUTOEVENTO&lt;&gt;"manual",$M420&lt;&gt;1)),
IF(Import.TipoArredondamento&lt;&gt;"TransfereGOV",
ROUND(OFFSET($P420,0,AF$13),15-13*ORÇAMENTO!$AF$7)/$H420*OFFSET(ORÇAMENTO!$X$15,ROW(AF420)-ROW(AF$15),0),
ROUND(ROUND(OFFSET($P420,0,AF$13),15-13*ORÇAMENTO!$AF$7)*OFFSET(ORÇAMENTO!$W$15,ROW(AF420)-ROW(AF$15),0),15-13*ORÇAMENTO!$AF$11)),0)</f>
        <v>0</v>
      </c>
      <c r="AG420" s="545">
        <f ca="1">IF(AND($D420="Serviço",AG$12&lt;&gt;0,$H420&gt;0,OR(AUTOEVENTO&lt;&gt;"manual",$M420&lt;&gt;1)),
IF(Import.TipoArredondamento&lt;&gt;"TransfereGOV",
ROUND(OFFSET($P420,0,AG$13),15-13*ORÇAMENTO!$AF$7)/$H420*OFFSET(ORÇAMENTO!$X$15,ROW(AG420)-ROW(AG$15),0),
ROUND(ROUND(OFFSET($P420,0,AG$13),15-13*ORÇAMENTO!$AF$7)*OFFSET(ORÇAMENTO!$W$15,ROW(AG420)-ROW(AG$15),0),15-13*ORÇAMENTO!$AF$11)),0)</f>
        <v>0</v>
      </c>
      <c r="AH420" s="545">
        <f ca="1">IF(AND($D420="Serviço",AH$12&lt;&gt;0,$H420&gt;0,OR(AUTOEVENTO&lt;&gt;"manual",$M420&lt;&gt;1)),
IF(Import.TipoArredondamento&lt;&gt;"TransfereGOV",
ROUND(OFFSET($P420,0,AH$13),15-13*ORÇAMENTO!$AF$7)/$H420*OFFSET(ORÇAMENTO!$X$15,ROW(AH420)-ROW(AH$15),0),
ROUND(ROUND(OFFSET($P420,0,AH$13),15-13*ORÇAMENTO!$AF$7)*OFFSET(ORÇAMENTO!$W$15,ROW(AH420)-ROW(AH$15),0),15-13*ORÇAMENTO!$AF$11)),0)</f>
        <v>0</v>
      </c>
      <c r="AI420" s="545">
        <f ca="1">IF(AND($D420="Serviço",AI$12&lt;&gt;0,$H420&gt;0,OR(AUTOEVENTO&lt;&gt;"manual",$M420&lt;&gt;1)),
IF(Import.TipoArredondamento&lt;&gt;"TransfereGOV",
ROUND(OFFSET($P420,0,AI$13),15-13*ORÇAMENTO!$AF$7)/$H420*OFFSET(ORÇAMENTO!$X$15,ROW(AI420)-ROW(AI$15),0),
ROUND(ROUND(OFFSET($P420,0,AI$13),15-13*ORÇAMENTO!$AF$7)*OFFSET(ORÇAMENTO!$W$15,ROW(AI420)-ROW(AI$15),0),15-13*ORÇAMENTO!$AF$11)),0)</f>
        <v>0</v>
      </c>
      <c r="AJ420" s="545">
        <f ca="1">IF(AND($D420="Serviço",AJ$12&lt;&gt;0,$H420&gt;0,OR(AUTOEVENTO&lt;&gt;"manual",$M420&lt;&gt;1)),
IF(Import.TipoArredondamento&lt;&gt;"TransfereGOV",
ROUND(OFFSET($P420,0,AJ$13),15-13*ORÇAMENTO!$AF$7)/$H420*OFFSET(ORÇAMENTO!$X$15,ROW(AJ420)-ROW(AJ$15),0),
ROUND(ROUND(OFFSET($P420,0,AJ$13),15-13*ORÇAMENTO!$AF$7)*OFFSET(ORÇAMENTO!$W$15,ROW(AJ420)-ROW(AJ$15),0),15-13*ORÇAMENTO!$AF$11)),0)</f>
        <v>0</v>
      </c>
      <c r="AK420" s="546">
        <f ca="1">IF(AND($D420="Serviço",AK$12&lt;&gt;0,$H420&gt;0,OR(AUTOEVENTO&lt;&gt;"manual",$M420&lt;&gt;1)),
IF(Import.TipoArredondamento&lt;&gt;"TransfereGOV",
ROUND(OFFSET($P420,0,AK$13),15-13*ORÇAMENTO!$AF$7)/$H420*OFFSET(ORÇAMENTO!$X$15,ROW(AK420)-ROW(AK$15),0),
ROUND(ROUND(OFFSET($P420,0,AK$13),15-13*ORÇAMENTO!$AF$7)*OFFSET(ORÇAMENTO!$W$15,ROW(AK420)-ROW(AK$15),0),15-13*ORÇAMENTO!$AF$11)),0)</f>
        <v>0</v>
      </c>
      <c r="AM420" s="181">
        <f ca="1">IF($D420&lt;&gt;"Serviço",0,IF(AND(AUTOEVENTO="Manual",$M420=1),0,IF(OFFSET(CRONOPLE!$F$14,$M420,AM$13)="",10^12,OFFSET(CRONOPLE!$F$14,$M420,AM$13))))</f>
        <v>1000000000000</v>
      </c>
      <c r="AN420" s="181">
        <f ca="1">IF($D420&lt;&gt;"Serviço",0,IF(AND(AUTOEVENTO="Manual",$M420=1),0,IF(OFFSET(CRONOPLE!$F$14,$M420,AN$13)="",10^12,OFFSET(CRONOPLE!$F$14,$M420,AN$13))))</f>
        <v>1000000000000</v>
      </c>
      <c r="AO420" s="181">
        <f ca="1">IF($D420&lt;&gt;"Serviço",0,IF(AND(AUTOEVENTO="Manual",$M420=1),0,IF(OFFSET(CRONOPLE!$F$14,$M420,AO$13)="",10^12,OFFSET(CRONOPLE!$F$14,$M420,AO$13))))</f>
        <v>1000000000000</v>
      </c>
      <c r="AP420" s="181">
        <f ca="1">IF($D420&lt;&gt;"Serviço",0,IF(AND(AUTOEVENTO="Manual",$M420=1),0,IF(OFFSET(CRONOPLE!$F$14,$M420,AP$13)="",10^12,OFFSET(CRONOPLE!$F$14,$M420,AP$13))))</f>
        <v>1000000000000</v>
      </c>
      <c r="AQ420" s="181">
        <f ca="1">IF($D420&lt;&gt;"Serviço",0,IF(AND(AUTOEVENTO="Manual",$M420=1),0,IF(OFFSET(CRONOPLE!$F$14,$M420,AQ$13)="",10^12,OFFSET(CRONOPLE!$F$14,$M420,AQ$13))))</f>
        <v>1000000000000</v>
      </c>
      <c r="AR420" s="181">
        <f ca="1">IF($D420&lt;&gt;"Serviço",0,IF(AND(AUTOEVENTO="Manual",$M420=1),0,IF(OFFSET(CRONOPLE!$F$14,$M420,AR$13)="",10^12,OFFSET(CRONOPLE!$F$14,$M420,AR$13))))</f>
        <v>1000000000000</v>
      </c>
      <c r="AS420" s="181">
        <f ca="1">IF($D420&lt;&gt;"Serviço",0,IF(AND(AUTOEVENTO="Manual",$M420=1),0,IF(OFFSET(CRONOPLE!$F$14,$M420,AS$13)="",10^12,OFFSET(CRONOPLE!$F$14,$M420,AS$13))))</f>
        <v>1000000000000</v>
      </c>
      <c r="AT420" s="181">
        <f ca="1">IF($D420&lt;&gt;"Serviço",0,IF(AND(AUTOEVENTO="Manual",$M420=1),0,IF(OFFSET(CRONOPLE!$F$14,$M420,AT$13)="",10^12,OFFSET(CRONOPLE!$F$14,$M420,AT$13))))</f>
        <v>1000000000000</v>
      </c>
      <c r="AU420" s="181">
        <f ca="1">IF($D420&lt;&gt;"Serviço",0,IF(AND(AUTOEVENTO="Manual",$M420=1),0,IF(OFFSET(CRONOPLE!$F$14,$M420,AU$13)="",10^12,OFFSET(CRONOPLE!$F$14,$M420,AU$13))))</f>
        <v>1000000000000</v>
      </c>
      <c r="AV420" s="181">
        <f ca="1">IF($D420&lt;&gt;"Serviço",0,IF(AND(AUTOEVENTO="Manual",$M420=1),0,IF(OFFSET(CRONOPLE!$F$14,$M420,AV$13)="",10^12,OFFSET(CRONOPLE!$F$14,$M420,AV$13))))</f>
        <v>1000000000000</v>
      </c>
      <c r="AX420" s="182">
        <f ca="1">IF($D420&lt;&gt;"Serviço",0,IF(OR(AND(AUTOEVENTO="Manual",$M420=1),$M420&gt;(ROW(PLE.lastrow)-ROW(PLE.firstrow))),0,IF(OFFSET(PLE!$G$14,$M420,AX$13)="",10^12,OFFSET(PLE!$G$14,$M420,AX$13))))</f>
        <v>1000000000000</v>
      </c>
      <c r="AY420" s="182">
        <f ca="1">IF($D420&lt;&gt;"Serviço",0,IF(OR(AND(AUTOEVENTO="Manual",$M420=1),$M420&gt;(ROW(PLE.lastrow)-ROW(PLE.firstrow))),0,IF(OFFSET(PLE!$G$14,$M420,AY$13)="",10^12,OFFSET(PLE!$G$14,$M420,AY$13))))</f>
        <v>1000000000000</v>
      </c>
      <c r="AZ420" s="182">
        <f ca="1">IF($D420&lt;&gt;"Serviço",0,IF(OR(AND(AUTOEVENTO="Manual",$M420=1),$M420&gt;(ROW(PLE.lastrow)-ROW(PLE.firstrow))),0,IF(OFFSET(PLE!$G$14,$M420,AZ$13)="",10^12,OFFSET(PLE!$G$14,$M420,AZ$13))))</f>
        <v>1000000000000</v>
      </c>
      <c r="BA420" s="182">
        <f ca="1">IF($D420&lt;&gt;"Serviço",0,IF(OR(AND(AUTOEVENTO="Manual",$M420=1),$M420&gt;(ROW(PLE.lastrow)-ROW(PLE.firstrow))),0,IF(OFFSET(PLE!$G$14,$M420,BA$13)="",10^12,OFFSET(PLE!$G$14,$M420,BA$13))))</f>
        <v>1000000000000</v>
      </c>
      <c r="BB420" s="182">
        <f ca="1">IF($D420&lt;&gt;"Serviço",0,IF(OR(AND(AUTOEVENTO="Manual",$M420=1),$M420&gt;(ROW(PLE.lastrow)-ROW(PLE.firstrow))),0,IF(OFFSET(PLE!$G$14,$M420,BB$13)="",10^12,OFFSET(PLE!$G$14,$M420,BB$13))))</f>
        <v>1000000000000</v>
      </c>
      <c r="BC420" s="182">
        <f ca="1">IF($D420&lt;&gt;"Serviço",0,IF(OR(AND(AUTOEVENTO="Manual",$M420=1),$M420&gt;(ROW(PLE.lastrow)-ROW(PLE.firstrow))),0,IF(OFFSET(PLE!$G$14,$M420,BC$13)="",10^12,OFFSET(PLE!$G$14,$M420,BC$13))))</f>
        <v>1000000000000</v>
      </c>
      <c r="BD420" s="182">
        <f ca="1">IF($D420&lt;&gt;"Serviço",0,IF(OR(AND(AUTOEVENTO="Manual",$M420=1),$M420&gt;(ROW(PLE.lastrow)-ROW(PLE.firstrow))),0,IF(OFFSET(PLE!$G$14,$M420,BD$13)="",10^12,OFFSET(PLE!$G$14,$M420,BD$13))))</f>
        <v>1000000000000</v>
      </c>
      <c r="BE420" s="182">
        <f ca="1">IF($D420&lt;&gt;"Serviço",0,IF(OR(AND(AUTOEVENTO="Manual",$M420=1),$M420&gt;(ROW(PLE.lastrow)-ROW(PLE.firstrow))),0,IF(OFFSET(PLE!$G$14,$M420,BE$13)="",10^12,OFFSET(PLE!$G$14,$M420,BE$13))))</f>
        <v>1000000000000</v>
      </c>
      <c r="BF420" s="182">
        <f ca="1">IF($D420&lt;&gt;"Serviço",0,IF(OR(AND(AUTOEVENTO="Manual",$M420=1),$M420&gt;(ROW(PLE.lastrow)-ROW(PLE.firstrow))),0,IF(OFFSET(PLE!$G$14,$M420,BF$13)="",10^12,OFFSET(PLE!$G$14,$M420,BF$13))))</f>
        <v>1000000000000</v>
      </c>
      <c r="BG420" s="182">
        <f ca="1">IF($D420&lt;&gt;"Serviço",0,IF(OR(AND(AUTOEVENTO="Manual",$M420=1),$M420&gt;(ROW(PLE.lastrow)-ROW(PLE.firstrow))),0,IF(OFFSET(PLE!$G$14,$M420,BG$13)="",10^12,OFFSET(PLE!$G$14,$M420,BG$13))))</f>
        <v>1000000000000</v>
      </c>
    </row>
    <row r="421" spans="1:59" ht="25.5" x14ac:dyDescent="0.2">
      <c r="A421" s="7" t="str">
        <f t="shared" ca="1" si="11"/>
        <v>376</v>
      </c>
      <c r="B421" s="7" t="str">
        <f ca="1">OFFSET(ORÇAMENTO!C$15,ROW(B421)-ROW(B$15),0)</f>
        <v>S</v>
      </c>
      <c r="C421" s="7" t="str">
        <f ca="1">OFFSET(ORÇAMENTO!L$15,ROW(C421)-ROW(C$15),0)</f>
        <v/>
      </c>
      <c r="D421" s="118" t="str">
        <f ca="1">OFFSET(ORÇAMENTO!N$15,ROW(D421)-ROW(D$15),0)</f>
        <v>Serviço</v>
      </c>
      <c r="E421" s="119" t="str">
        <f ca="1">OFFSET(ORÇAMENTO!O$15,ROW(E421)-ROW(E$15),0)</f>
        <v>-</v>
      </c>
      <c r="F421" s="172" t="str">
        <f ca="1">OFFSET(ORÇAMENTO!R$15,ROW(F421)-ROW(F$15),0)</f>
        <v>(abra o arquivo 'Referência 02-2025.xlsm)</v>
      </c>
      <c r="G421" s="173" t="str">
        <f ca="1">IF($D421&lt;&gt;"Serviço","",OFFSET(ORÇAMENTO!S$15,ROW(G421)-ROW(G$15),0))</f>
        <v>-</v>
      </c>
      <c r="H421" s="124">
        <f ca="1">IF($D421&lt;&gt;"Serviço",0,IF(ACOMPANHAMENTO="BM",ROUND(OFFSET(ORÇAMENTO!AJ$15,ROW(H421)-ROW(H$15),0),15-13*ORÇAMENTO!$AF$7),SUMPRODUCT(($Q$12:$AA$12&lt;&gt;"")*ROUND($Q421:$AA421,15-13*ORÇAMENTO!$AF$7))))</f>
        <v>27</v>
      </c>
      <c r="I421" s="561" t="s">
        <v>890</v>
      </c>
      <c r="K421" s="174"/>
      <c r="L421" s="175" t="s">
        <v>255</v>
      </c>
      <c r="M421" s="176">
        <f ca="1">IF($D421&lt;&gt;"Serviço","",IF(AUTOEVENTO="manual",$A421,IF(ISERROR(MATCH($A421,$A$15:OFFSET($A421,-1,0),0)),MAX($M$15:OFFSET(M421,-1,0))+1,INDEX($M$15:OFFSET(M421,-1,0),MATCH($A421,$A$15:OFFSET($A421,-1,0),0)))))</f>
        <v>16</v>
      </c>
      <c r="N421" s="177" t="str">
        <f ca="1">IF($D421&lt;&gt;"Serviço","",IF(AUTOEVENTO="Manual",IF($A421=0,"&lt;-- defina o número do agrupador",OFFSET(EVENTOS!$D$14,$A421,0)),OFFSET($F$15,$A421,0)))</f>
        <v>LOUÇAS, ACESSÓRIOS E METAIS</v>
      </c>
      <c r="O421" s="178"/>
      <c r="Q421" s="178"/>
      <c r="R421" s="179"/>
      <c r="S421" s="179"/>
      <c r="T421" s="179"/>
      <c r="U421" s="179"/>
      <c r="V421" s="179"/>
      <c r="W421" s="179"/>
      <c r="X421" s="179"/>
      <c r="Y421" s="179"/>
      <c r="Z421" s="180"/>
      <c r="AB421" s="544">
        <f ca="1">IF(AND($D421="Serviço",AB$12&lt;&gt;0,$H421&gt;0,OR(AUTOEVENTO&lt;&gt;"manual",$M421&lt;&gt;1)),
IF(Import.TipoArredondamento&lt;&gt;"TransfereGOV",
ROUND(OFFSET($P421,0,AB$13),15-13*ORÇAMENTO!$AF$7)/$H421*OFFSET(ORÇAMENTO!$X$15,ROW(AB421)-ROW(AB$15),0),
ROUND(ROUND(OFFSET($P421,0,AB$13),15-13*ORÇAMENTO!$AF$7)*OFFSET(ORÇAMENTO!$W$15,ROW(AB421)-ROW(AB$15),0),15-13*ORÇAMENTO!$AF$11)),0)</f>
        <v>0</v>
      </c>
      <c r="AC421" s="545">
        <f ca="1">IF(AND($D421="Serviço",AC$12&lt;&gt;0,$H421&gt;0,OR(AUTOEVENTO&lt;&gt;"manual",$M421&lt;&gt;1)),
IF(Import.TipoArredondamento&lt;&gt;"TransfereGOV",
ROUND(OFFSET($P421,0,AC$13),15-13*ORÇAMENTO!$AF$7)/$H421*OFFSET(ORÇAMENTO!$X$15,ROW(AC421)-ROW(AC$15),0),
ROUND(ROUND(OFFSET($P421,0,AC$13),15-13*ORÇAMENTO!$AF$7)*OFFSET(ORÇAMENTO!$W$15,ROW(AC421)-ROW(AC$15),0),15-13*ORÇAMENTO!$AF$11)),0)</f>
        <v>0</v>
      </c>
      <c r="AD421" s="545">
        <f ca="1">IF(AND($D421="Serviço",AD$12&lt;&gt;0,$H421&gt;0,OR(AUTOEVENTO&lt;&gt;"manual",$M421&lt;&gt;1)),
IF(Import.TipoArredondamento&lt;&gt;"TransfereGOV",
ROUND(OFFSET($P421,0,AD$13),15-13*ORÇAMENTO!$AF$7)/$H421*OFFSET(ORÇAMENTO!$X$15,ROW(AD421)-ROW(AD$15),0),
ROUND(ROUND(OFFSET($P421,0,AD$13),15-13*ORÇAMENTO!$AF$7)*OFFSET(ORÇAMENTO!$W$15,ROW(AD421)-ROW(AD$15),0),15-13*ORÇAMENTO!$AF$11)),0)</f>
        <v>0</v>
      </c>
      <c r="AE421" s="545">
        <f ca="1">IF(AND($D421="Serviço",AE$12&lt;&gt;0,$H421&gt;0,OR(AUTOEVENTO&lt;&gt;"manual",$M421&lt;&gt;1)),
IF(Import.TipoArredondamento&lt;&gt;"TransfereGOV",
ROUND(OFFSET($P421,0,AE$13),15-13*ORÇAMENTO!$AF$7)/$H421*OFFSET(ORÇAMENTO!$X$15,ROW(AE421)-ROW(AE$15),0),
ROUND(ROUND(OFFSET($P421,0,AE$13),15-13*ORÇAMENTO!$AF$7)*OFFSET(ORÇAMENTO!$W$15,ROW(AE421)-ROW(AE$15),0),15-13*ORÇAMENTO!$AF$11)),0)</f>
        <v>0</v>
      </c>
      <c r="AF421" s="545">
        <f ca="1">IF(AND($D421="Serviço",AF$12&lt;&gt;0,$H421&gt;0,OR(AUTOEVENTO&lt;&gt;"manual",$M421&lt;&gt;1)),
IF(Import.TipoArredondamento&lt;&gt;"TransfereGOV",
ROUND(OFFSET($P421,0,AF$13),15-13*ORÇAMENTO!$AF$7)/$H421*OFFSET(ORÇAMENTO!$X$15,ROW(AF421)-ROW(AF$15),0),
ROUND(ROUND(OFFSET($P421,0,AF$13),15-13*ORÇAMENTO!$AF$7)*OFFSET(ORÇAMENTO!$W$15,ROW(AF421)-ROW(AF$15),0),15-13*ORÇAMENTO!$AF$11)),0)</f>
        <v>0</v>
      </c>
      <c r="AG421" s="545">
        <f ca="1">IF(AND($D421="Serviço",AG$12&lt;&gt;0,$H421&gt;0,OR(AUTOEVENTO&lt;&gt;"manual",$M421&lt;&gt;1)),
IF(Import.TipoArredondamento&lt;&gt;"TransfereGOV",
ROUND(OFFSET($P421,0,AG$13),15-13*ORÇAMENTO!$AF$7)/$H421*OFFSET(ORÇAMENTO!$X$15,ROW(AG421)-ROW(AG$15),0),
ROUND(ROUND(OFFSET($P421,0,AG$13),15-13*ORÇAMENTO!$AF$7)*OFFSET(ORÇAMENTO!$W$15,ROW(AG421)-ROW(AG$15),0),15-13*ORÇAMENTO!$AF$11)),0)</f>
        <v>0</v>
      </c>
      <c r="AH421" s="545">
        <f ca="1">IF(AND($D421="Serviço",AH$12&lt;&gt;0,$H421&gt;0,OR(AUTOEVENTO&lt;&gt;"manual",$M421&lt;&gt;1)),
IF(Import.TipoArredondamento&lt;&gt;"TransfereGOV",
ROUND(OFFSET($P421,0,AH$13),15-13*ORÇAMENTO!$AF$7)/$H421*OFFSET(ORÇAMENTO!$X$15,ROW(AH421)-ROW(AH$15),0),
ROUND(ROUND(OFFSET($P421,0,AH$13),15-13*ORÇAMENTO!$AF$7)*OFFSET(ORÇAMENTO!$W$15,ROW(AH421)-ROW(AH$15),0),15-13*ORÇAMENTO!$AF$11)),0)</f>
        <v>0</v>
      </c>
      <c r="AI421" s="545">
        <f ca="1">IF(AND($D421="Serviço",AI$12&lt;&gt;0,$H421&gt;0,OR(AUTOEVENTO&lt;&gt;"manual",$M421&lt;&gt;1)),
IF(Import.TipoArredondamento&lt;&gt;"TransfereGOV",
ROUND(OFFSET($P421,0,AI$13),15-13*ORÇAMENTO!$AF$7)/$H421*OFFSET(ORÇAMENTO!$X$15,ROW(AI421)-ROW(AI$15),0),
ROUND(ROUND(OFFSET($P421,0,AI$13),15-13*ORÇAMENTO!$AF$7)*OFFSET(ORÇAMENTO!$W$15,ROW(AI421)-ROW(AI$15),0),15-13*ORÇAMENTO!$AF$11)),0)</f>
        <v>0</v>
      </c>
      <c r="AJ421" s="545">
        <f ca="1">IF(AND($D421="Serviço",AJ$12&lt;&gt;0,$H421&gt;0,OR(AUTOEVENTO&lt;&gt;"manual",$M421&lt;&gt;1)),
IF(Import.TipoArredondamento&lt;&gt;"TransfereGOV",
ROUND(OFFSET($P421,0,AJ$13),15-13*ORÇAMENTO!$AF$7)/$H421*OFFSET(ORÇAMENTO!$X$15,ROW(AJ421)-ROW(AJ$15),0),
ROUND(ROUND(OFFSET($P421,0,AJ$13),15-13*ORÇAMENTO!$AF$7)*OFFSET(ORÇAMENTO!$W$15,ROW(AJ421)-ROW(AJ$15),0),15-13*ORÇAMENTO!$AF$11)),0)</f>
        <v>0</v>
      </c>
      <c r="AK421" s="546">
        <f ca="1">IF(AND($D421="Serviço",AK$12&lt;&gt;0,$H421&gt;0,OR(AUTOEVENTO&lt;&gt;"manual",$M421&lt;&gt;1)),
IF(Import.TipoArredondamento&lt;&gt;"TransfereGOV",
ROUND(OFFSET($P421,0,AK$13),15-13*ORÇAMENTO!$AF$7)/$H421*OFFSET(ORÇAMENTO!$X$15,ROW(AK421)-ROW(AK$15),0),
ROUND(ROUND(OFFSET($P421,0,AK$13),15-13*ORÇAMENTO!$AF$7)*OFFSET(ORÇAMENTO!$W$15,ROW(AK421)-ROW(AK$15),0),15-13*ORÇAMENTO!$AF$11)),0)</f>
        <v>0</v>
      </c>
      <c r="AM421" s="181">
        <f ca="1">IF($D421&lt;&gt;"Serviço",0,IF(AND(AUTOEVENTO="Manual",$M421=1),0,IF(OFFSET(CRONOPLE!$F$14,$M421,AM$13)="",10^12,OFFSET(CRONOPLE!$F$14,$M421,AM$13))))</f>
        <v>1000000000000</v>
      </c>
      <c r="AN421" s="181">
        <f ca="1">IF($D421&lt;&gt;"Serviço",0,IF(AND(AUTOEVENTO="Manual",$M421=1),0,IF(OFFSET(CRONOPLE!$F$14,$M421,AN$13)="",10^12,OFFSET(CRONOPLE!$F$14,$M421,AN$13))))</f>
        <v>1000000000000</v>
      </c>
      <c r="AO421" s="181">
        <f ca="1">IF($D421&lt;&gt;"Serviço",0,IF(AND(AUTOEVENTO="Manual",$M421=1),0,IF(OFFSET(CRONOPLE!$F$14,$M421,AO$13)="",10^12,OFFSET(CRONOPLE!$F$14,$M421,AO$13))))</f>
        <v>1000000000000</v>
      </c>
      <c r="AP421" s="181">
        <f ca="1">IF($D421&lt;&gt;"Serviço",0,IF(AND(AUTOEVENTO="Manual",$M421=1),0,IF(OFFSET(CRONOPLE!$F$14,$M421,AP$13)="",10^12,OFFSET(CRONOPLE!$F$14,$M421,AP$13))))</f>
        <v>1000000000000</v>
      </c>
      <c r="AQ421" s="181">
        <f ca="1">IF($D421&lt;&gt;"Serviço",0,IF(AND(AUTOEVENTO="Manual",$M421=1),0,IF(OFFSET(CRONOPLE!$F$14,$M421,AQ$13)="",10^12,OFFSET(CRONOPLE!$F$14,$M421,AQ$13))))</f>
        <v>1000000000000</v>
      </c>
      <c r="AR421" s="181">
        <f ca="1">IF($D421&lt;&gt;"Serviço",0,IF(AND(AUTOEVENTO="Manual",$M421=1),0,IF(OFFSET(CRONOPLE!$F$14,$M421,AR$13)="",10^12,OFFSET(CRONOPLE!$F$14,$M421,AR$13))))</f>
        <v>1000000000000</v>
      </c>
      <c r="AS421" s="181">
        <f ca="1">IF($D421&lt;&gt;"Serviço",0,IF(AND(AUTOEVENTO="Manual",$M421=1),0,IF(OFFSET(CRONOPLE!$F$14,$M421,AS$13)="",10^12,OFFSET(CRONOPLE!$F$14,$M421,AS$13))))</f>
        <v>1000000000000</v>
      </c>
      <c r="AT421" s="181">
        <f ca="1">IF($D421&lt;&gt;"Serviço",0,IF(AND(AUTOEVENTO="Manual",$M421=1),0,IF(OFFSET(CRONOPLE!$F$14,$M421,AT$13)="",10^12,OFFSET(CRONOPLE!$F$14,$M421,AT$13))))</f>
        <v>1000000000000</v>
      </c>
      <c r="AU421" s="181">
        <f ca="1">IF($D421&lt;&gt;"Serviço",0,IF(AND(AUTOEVENTO="Manual",$M421=1),0,IF(OFFSET(CRONOPLE!$F$14,$M421,AU$13)="",10^12,OFFSET(CRONOPLE!$F$14,$M421,AU$13))))</f>
        <v>1000000000000</v>
      </c>
      <c r="AV421" s="181">
        <f ca="1">IF($D421&lt;&gt;"Serviço",0,IF(AND(AUTOEVENTO="Manual",$M421=1),0,IF(OFFSET(CRONOPLE!$F$14,$M421,AV$13)="",10^12,OFFSET(CRONOPLE!$F$14,$M421,AV$13))))</f>
        <v>1000000000000</v>
      </c>
      <c r="AX421" s="182">
        <f ca="1">IF($D421&lt;&gt;"Serviço",0,IF(OR(AND(AUTOEVENTO="Manual",$M421=1),$M421&gt;(ROW(PLE.lastrow)-ROW(PLE.firstrow))),0,IF(OFFSET(PLE!$G$14,$M421,AX$13)="",10^12,OFFSET(PLE!$G$14,$M421,AX$13))))</f>
        <v>1000000000000</v>
      </c>
      <c r="AY421" s="182">
        <f ca="1">IF($D421&lt;&gt;"Serviço",0,IF(OR(AND(AUTOEVENTO="Manual",$M421=1),$M421&gt;(ROW(PLE.lastrow)-ROW(PLE.firstrow))),0,IF(OFFSET(PLE!$G$14,$M421,AY$13)="",10^12,OFFSET(PLE!$G$14,$M421,AY$13))))</f>
        <v>1000000000000</v>
      </c>
      <c r="AZ421" s="182">
        <f ca="1">IF($D421&lt;&gt;"Serviço",0,IF(OR(AND(AUTOEVENTO="Manual",$M421=1),$M421&gt;(ROW(PLE.lastrow)-ROW(PLE.firstrow))),0,IF(OFFSET(PLE!$G$14,$M421,AZ$13)="",10^12,OFFSET(PLE!$G$14,$M421,AZ$13))))</f>
        <v>1000000000000</v>
      </c>
      <c r="BA421" s="182">
        <f ca="1">IF($D421&lt;&gt;"Serviço",0,IF(OR(AND(AUTOEVENTO="Manual",$M421=1),$M421&gt;(ROW(PLE.lastrow)-ROW(PLE.firstrow))),0,IF(OFFSET(PLE!$G$14,$M421,BA$13)="",10^12,OFFSET(PLE!$G$14,$M421,BA$13))))</f>
        <v>1000000000000</v>
      </c>
      <c r="BB421" s="182">
        <f ca="1">IF($D421&lt;&gt;"Serviço",0,IF(OR(AND(AUTOEVENTO="Manual",$M421=1),$M421&gt;(ROW(PLE.lastrow)-ROW(PLE.firstrow))),0,IF(OFFSET(PLE!$G$14,$M421,BB$13)="",10^12,OFFSET(PLE!$G$14,$M421,BB$13))))</f>
        <v>1000000000000</v>
      </c>
      <c r="BC421" s="182">
        <f ca="1">IF($D421&lt;&gt;"Serviço",0,IF(OR(AND(AUTOEVENTO="Manual",$M421=1),$M421&gt;(ROW(PLE.lastrow)-ROW(PLE.firstrow))),0,IF(OFFSET(PLE!$G$14,$M421,BC$13)="",10^12,OFFSET(PLE!$G$14,$M421,BC$13))))</f>
        <v>1000000000000</v>
      </c>
      <c r="BD421" s="182">
        <f ca="1">IF($D421&lt;&gt;"Serviço",0,IF(OR(AND(AUTOEVENTO="Manual",$M421=1),$M421&gt;(ROW(PLE.lastrow)-ROW(PLE.firstrow))),0,IF(OFFSET(PLE!$G$14,$M421,BD$13)="",10^12,OFFSET(PLE!$G$14,$M421,BD$13))))</f>
        <v>1000000000000</v>
      </c>
      <c r="BE421" s="182">
        <f ca="1">IF($D421&lt;&gt;"Serviço",0,IF(OR(AND(AUTOEVENTO="Manual",$M421=1),$M421&gt;(ROW(PLE.lastrow)-ROW(PLE.firstrow))),0,IF(OFFSET(PLE!$G$14,$M421,BE$13)="",10^12,OFFSET(PLE!$G$14,$M421,BE$13))))</f>
        <v>1000000000000</v>
      </c>
      <c r="BF421" s="182">
        <f ca="1">IF($D421&lt;&gt;"Serviço",0,IF(OR(AND(AUTOEVENTO="Manual",$M421=1),$M421&gt;(ROW(PLE.lastrow)-ROW(PLE.firstrow))),0,IF(OFFSET(PLE!$G$14,$M421,BF$13)="",10^12,OFFSET(PLE!$G$14,$M421,BF$13))))</f>
        <v>1000000000000</v>
      </c>
      <c r="BG421" s="182">
        <f ca="1">IF($D421&lt;&gt;"Serviço",0,IF(OR(AND(AUTOEVENTO="Manual",$M421=1),$M421&gt;(ROW(PLE.lastrow)-ROW(PLE.firstrow))),0,IF(OFFSET(PLE!$G$14,$M421,BG$13)="",10^12,OFFSET(PLE!$G$14,$M421,BG$13))))</f>
        <v>1000000000000</v>
      </c>
    </row>
    <row r="422" spans="1:59" ht="25.5" x14ac:dyDescent="0.2">
      <c r="A422" s="7" t="str">
        <f t="shared" ca="1" si="11"/>
        <v>376</v>
      </c>
      <c r="B422" s="7" t="str">
        <f ca="1">OFFSET(ORÇAMENTO!C$15,ROW(B422)-ROW(B$15),0)</f>
        <v>S</v>
      </c>
      <c r="C422" s="7" t="str">
        <f ca="1">OFFSET(ORÇAMENTO!L$15,ROW(C422)-ROW(C$15),0)</f>
        <v/>
      </c>
      <c r="D422" s="118" t="str">
        <f ca="1">OFFSET(ORÇAMENTO!N$15,ROW(D422)-ROW(D$15),0)</f>
        <v>Serviço</v>
      </c>
      <c r="E422" s="119" t="str">
        <f ca="1">OFFSET(ORÇAMENTO!O$15,ROW(E422)-ROW(E$15),0)</f>
        <v>-</v>
      </c>
      <c r="F422" s="172" t="str">
        <f ca="1">OFFSET(ORÇAMENTO!R$15,ROW(F422)-ROW(F$15),0)</f>
        <v>(abra o arquivo 'Referência 02-2025.xlsm)</v>
      </c>
      <c r="G422" s="173" t="str">
        <f ca="1">IF($D422&lt;&gt;"Serviço","",OFFSET(ORÇAMENTO!S$15,ROW(G422)-ROW(G$15),0))</f>
        <v>-</v>
      </c>
      <c r="H422" s="124">
        <f ca="1">IF($D422&lt;&gt;"Serviço",0,IF(ACOMPANHAMENTO="BM",ROUND(OFFSET(ORÇAMENTO!AJ$15,ROW(H422)-ROW(H$15),0),15-13*ORÇAMENTO!$AF$7),SUMPRODUCT(($Q$12:$AA$12&lt;&gt;"")*ROUND($Q422:$AA422,15-13*ORÇAMENTO!$AF$7))))</f>
        <v>20</v>
      </c>
      <c r="I422" s="561" t="s">
        <v>890</v>
      </c>
      <c r="K422" s="174"/>
      <c r="L422" s="175" t="s">
        <v>255</v>
      </c>
      <c r="M422" s="176">
        <f ca="1">IF($D422&lt;&gt;"Serviço","",IF(AUTOEVENTO="manual",$A422,IF(ISERROR(MATCH($A422,$A$15:OFFSET($A422,-1,0),0)),MAX($M$15:OFFSET(M422,-1,0))+1,INDEX($M$15:OFFSET(M422,-1,0),MATCH($A422,$A$15:OFFSET($A422,-1,0),0)))))</f>
        <v>16</v>
      </c>
      <c r="N422" s="177" t="str">
        <f ca="1">IF($D422&lt;&gt;"Serviço","",IF(AUTOEVENTO="Manual",IF($A422=0,"&lt;-- defina o número do agrupador",OFFSET(EVENTOS!$D$14,$A422,0)),OFFSET($F$15,$A422,0)))</f>
        <v>LOUÇAS, ACESSÓRIOS E METAIS</v>
      </c>
      <c r="O422" s="178"/>
      <c r="Q422" s="178"/>
      <c r="R422" s="179"/>
      <c r="S422" s="179"/>
      <c r="T422" s="179"/>
      <c r="U422" s="179"/>
      <c r="V422" s="179"/>
      <c r="W422" s="179"/>
      <c r="X422" s="179"/>
      <c r="Y422" s="179"/>
      <c r="Z422" s="180"/>
      <c r="AB422" s="544">
        <f ca="1">IF(AND($D422="Serviço",AB$12&lt;&gt;0,$H422&gt;0,OR(AUTOEVENTO&lt;&gt;"manual",$M422&lt;&gt;1)),
IF(Import.TipoArredondamento&lt;&gt;"TransfereGOV",
ROUND(OFFSET($P422,0,AB$13),15-13*ORÇAMENTO!$AF$7)/$H422*OFFSET(ORÇAMENTO!$X$15,ROW(AB422)-ROW(AB$15),0),
ROUND(ROUND(OFFSET($P422,0,AB$13),15-13*ORÇAMENTO!$AF$7)*OFFSET(ORÇAMENTO!$W$15,ROW(AB422)-ROW(AB$15),0),15-13*ORÇAMENTO!$AF$11)),0)</f>
        <v>0</v>
      </c>
      <c r="AC422" s="545">
        <f ca="1">IF(AND($D422="Serviço",AC$12&lt;&gt;0,$H422&gt;0,OR(AUTOEVENTO&lt;&gt;"manual",$M422&lt;&gt;1)),
IF(Import.TipoArredondamento&lt;&gt;"TransfereGOV",
ROUND(OFFSET($P422,0,AC$13),15-13*ORÇAMENTO!$AF$7)/$H422*OFFSET(ORÇAMENTO!$X$15,ROW(AC422)-ROW(AC$15),0),
ROUND(ROUND(OFFSET($P422,0,AC$13),15-13*ORÇAMENTO!$AF$7)*OFFSET(ORÇAMENTO!$W$15,ROW(AC422)-ROW(AC$15),0),15-13*ORÇAMENTO!$AF$11)),0)</f>
        <v>0</v>
      </c>
      <c r="AD422" s="545">
        <f ca="1">IF(AND($D422="Serviço",AD$12&lt;&gt;0,$H422&gt;0,OR(AUTOEVENTO&lt;&gt;"manual",$M422&lt;&gt;1)),
IF(Import.TipoArredondamento&lt;&gt;"TransfereGOV",
ROUND(OFFSET($P422,0,AD$13),15-13*ORÇAMENTO!$AF$7)/$H422*OFFSET(ORÇAMENTO!$X$15,ROW(AD422)-ROW(AD$15),0),
ROUND(ROUND(OFFSET($P422,0,AD$13),15-13*ORÇAMENTO!$AF$7)*OFFSET(ORÇAMENTO!$W$15,ROW(AD422)-ROW(AD$15),0),15-13*ORÇAMENTO!$AF$11)),0)</f>
        <v>0</v>
      </c>
      <c r="AE422" s="545">
        <f ca="1">IF(AND($D422="Serviço",AE$12&lt;&gt;0,$H422&gt;0,OR(AUTOEVENTO&lt;&gt;"manual",$M422&lt;&gt;1)),
IF(Import.TipoArredondamento&lt;&gt;"TransfereGOV",
ROUND(OFFSET($P422,0,AE$13),15-13*ORÇAMENTO!$AF$7)/$H422*OFFSET(ORÇAMENTO!$X$15,ROW(AE422)-ROW(AE$15),0),
ROUND(ROUND(OFFSET($P422,0,AE$13),15-13*ORÇAMENTO!$AF$7)*OFFSET(ORÇAMENTO!$W$15,ROW(AE422)-ROW(AE$15),0),15-13*ORÇAMENTO!$AF$11)),0)</f>
        <v>0</v>
      </c>
      <c r="AF422" s="545">
        <f ca="1">IF(AND($D422="Serviço",AF$12&lt;&gt;0,$H422&gt;0,OR(AUTOEVENTO&lt;&gt;"manual",$M422&lt;&gt;1)),
IF(Import.TipoArredondamento&lt;&gt;"TransfereGOV",
ROUND(OFFSET($P422,0,AF$13),15-13*ORÇAMENTO!$AF$7)/$H422*OFFSET(ORÇAMENTO!$X$15,ROW(AF422)-ROW(AF$15),0),
ROUND(ROUND(OFFSET($P422,0,AF$13),15-13*ORÇAMENTO!$AF$7)*OFFSET(ORÇAMENTO!$W$15,ROW(AF422)-ROW(AF$15),0),15-13*ORÇAMENTO!$AF$11)),0)</f>
        <v>0</v>
      </c>
      <c r="AG422" s="545">
        <f ca="1">IF(AND($D422="Serviço",AG$12&lt;&gt;0,$H422&gt;0,OR(AUTOEVENTO&lt;&gt;"manual",$M422&lt;&gt;1)),
IF(Import.TipoArredondamento&lt;&gt;"TransfereGOV",
ROUND(OFFSET($P422,0,AG$13),15-13*ORÇAMENTO!$AF$7)/$H422*OFFSET(ORÇAMENTO!$X$15,ROW(AG422)-ROW(AG$15),0),
ROUND(ROUND(OFFSET($P422,0,AG$13),15-13*ORÇAMENTO!$AF$7)*OFFSET(ORÇAMENTO!$W$15,ROW(AG422)-ROW(AG$15),0),15-13*ORÇAMENTO!$AF$11)),0)</f>
        <v>0</v>
      </c>
      <c r="AH422" s="545">
        <f ca="1">IF(AND($D422="Serviço",AH$12&lt;&gt;0,$H422&gt;0,OR(AUTOEVENTO&lt;&gt;"manual",$M422&lt;&gt;1)),
IF(Import.TipoArredondamento&lt;&gt;"TransfereGOV",
ROUND(OFFSET($P422,0,AH$13),15-13*ORÇAMENTO!$AF$7)/$H422*OFFSET(ORÇAMENTO!$X$15,ROW(AH422)-ROW(AH$15),0),
ROUND(ROUND(OFFSET($P422,0,AH$13),15-13*ORÇAMENTO!$AF$7)*OFFSET(ORÇAMENTO!$W$15,ROW(AH422)-ROW(AH$15),0),15-13*ORÇAMENTO!$AF$11)),0)</f>
        <v>0</v>
      </c>
      <c r="AI422" s="545">
        <f ca="1">IF(AND($D422="Serviço",AI$12&lt;&gt;0,$H422&gt;0,OR(AUTOEVENTO&lt;&gt;"manual",$M422&lt;&gt;1)),
IF(Import.TipoArredondamento&lt;&gt;"TransfereGOV",
ROUND(OFFSET($P422,0,AI$13),15-13*ORÇAMENTO!$AF$7)/$H422*OFFSET(ORÇAMENTO!$X$15,ROW(AI422)-ROW(AI$15),0),
ROUND(ROUND(OFFSET($P422,0,AI$13),15-13*ORÇAMENTO!$AF$7)*OFFSET(ORÇAMENTO!$W$15,ROW(AI422)-ROW(AI$15),0),15-13*ORÇAMENTO!$AF$11)),0)</f>
        <v>0</v>
      </c>
      <c r="AJ422" s="545">
        <f ca="1">IF(AND($D422="Serviço",AJ$12&lt;&gt;0,$H422&gt;0,OR(AUTOEVENTO&lt;&gt;"manual",$M422&lt;&gt;1)),
IF(Import.TipoArredondamento&lt;&gt;"TransfereGOV",
ROUND(OFFSET($P422,0,AJ$13),15-13*ORÇAMENTO!$AF$7)/$H422*OFFSET(ORÇAMENTO!$X$15,ROW(AJ422)-ROW(AJ$15),0),
ROUND(ROUND(OFFSET($P422,0,AJ$13),15-13*ORÇAMENTO!$AF$7)*OFFSET(ORÇAMENTO!$W$15,ROW(AJ422)-ROW(AJ$15),0),15-13*ORÇAMENTO!$AF$11)),0)</f>
        <v>0</v>
      </c>
      <c r="AK422" s="546">
        <f ca="1">IF(AND($D422="Serviço",AK$12&lt;&gt;0,$H422&gt;0,OR(AUTOEVENTO&lt;&gt;"manual",$M422&lt;&gt;1)),
IF(Import.TipoArredondamento&lt;&gt;"TransfereGOV",
ROUND(OFFSET($P422,0,AK$13),15-13*ORÇAMENTO!$AF$7)/$H422*OFFSET(ORÇAMENTO!$X$15,ROW(AK422)-ROW(AK$15),0),
ROUND(ROUND(OFFSET($P422,0,AK$13),15-13*ORÇAMENTO!$AF$7)*OFFSET(ORÇAMENTO!$W$15,ROW(AK422)-ROW(AK$15),0),15-13*ORÇAMENTO!$AF$11)),0)</f>
        <v>0</v>
      </c>
      <c r="AM422" s="181">
        <f ca="1">IF($D422&lt;&gt;"Serviço",0,IF(AND(AUTOEVENTO="Manual",$M422=1),0,IF(OFFSET(CRONOPLE!$F$14,$M422,AM$13)="",10^12,OFFSET(CRONOPLE!$F$14,$M422,AM$13))))</f>
        <v>1000000000000</v>
      </c>
      <c r="AN422" s="181">
        <f ca="1">IF($D422&lt;&gt;"Serviço",0,IF(AND(AUTOEVENTO="Manual",$M422=1),0,IF(OFFSET(CRONOPLE!$F$14,$M422,AN$13)="",10^12,OFFSET(CRONOPLE!$F$14,$M422,AN$13))))</f>
        <v>1000000000000</v>
      </c>
      <c r="AO422" s="181">
        <f ca="1">IF($D422&lt;&gt;"Serviço",0,IF(AND(AUTOEVENTO="Manual",$M422=1),0,IF(OFFSET(CRONOPLE!$F$14,$M422,AO$13)="",10^12,OFFSET(CRONOPLE!$F$14,$M422,AO$13))))</f>
        <v>1000000000000</v>
      </c>
      <c r="AP422" s="181">
        <f ca="1">IF($D422&lt;&gt;"Serviço",0,IF(AND(AUTOEVENTO="Manual",$M422=1),0,IF(OFFSET(CRONOPLE!$F$14,$M422,AP$13)="",10^12,OFFSET(CRONOPLE!$F$14,$M422,AP$13))))</f>
        <v>1000000000000</v>
      </c>
      <c r="AQ422" s="181">
        <f ca="1">IF($D422&lt;&gt;"Serviço",0,IF(AND(AUTOEVENTO="Manual",$M422=1),0,IF(OFFSET(CRONOPLE!$F$14,$M422,AQ$13)="",10^12,OFFSET(CRONOPLE!$F$14,$M422,AQ$13))))</f>
        <v>1000000000000</v>
      </c>
      <c r="AR422" s="181">
        <f ca="1">IF($D422&lt;&gt;"Serviço",0,IF(AND(AUTOEVENTO="Manual",$M422=1),0,IF(OFFSET(CRONOPLE!$F$14,$M422,AR$13)="",10^12,OFFSET(CRONOPLE!$F$14,$M422,AR$13))))</f>
        <v>1000000000000</v>
      </c>
      <c r="AS422" s="181">
        <f ca="1">IF($D422&lt;&gt;"Serviço",0,IF(AND(AUTOEVENTO="Manual",$M422=1),0,IF(OFFSET(CRONOPLE!$F$14,$M422,AS$13)="",10^12,OFFSET(CRONOPLE!$F$14,$M422,AS$13))))</f>
        <v>1000000000000</v>
      </c>
      <c r="AT422" s="181">
        <f ca="1">IF($D422&lt;&gt;"Serviço",0,IF(AND(AUTOEVENTO="Manual",$M422=1),0,IF(OFFSET(CRONOPLE!$F$14,$M422,AT$13)="",10^12,OFFSET(CRONOPLE!$F$14,$M422,AT$13))))</f>
        <v>1000000000000</v>
      </c>
      <c r="AU422" s="181">
        <f ca="1">IF($D422&lt;&gt;"Serviço",0,IF(AND(AUTOEVENTO="Manual",$M422=1),0,IF(OFFSET(CRONOPLE!$F$14,$M422,AU$13)="",10^12,OFFSET(CRONOPLE!$F$14,$M422,AU$13))))</f>
        <v>1000000000000</v>
      </c>
      <c r="AV422" s="181">
        <f ca="1">IF($D422&lt;&gt;"Serviço",0,IF(AND(AUTOEVENTO="Manual",$M422=1),0,IF(OFFSET(CRONOPLE!$F$14,$M422,AV$13)="",10^12,OFFSET(CRONOPLE!$F$14,$M422,AV$13))))</f>
        <v>1000000000000</v>
      </c>
      <c r="AX422" s="182">
        <f ca="1">IF($D422&lt;&gt;"Serviço",0,IF(OR(AND(AUTOEVENTO="Manual",$M422=1),$M422&gt;(ROW(PLE.lastrow)-ROW(PLE.firstrow))),0,IF(OFFSET(PLE!$G$14,$M422,AX$13)="",10^12,OFFSET(PLE!$G$14,$M422,AX$13))))</f>
        <v>1000000000000</v>
      </c>
      <c r="AY422" s="182">
        <f ca="1">IF($D422&lt;&gt;"Serviço",0,IF(OR(AND(AUTOEVENTO="Manual",$M422=1),$M422&gt;(ROW(PLE.lastrow)-ROW(PLE.firstrow))),0,IF(OFFSET(PLE!$G$14,$M422,AY$13)="",10^12,OFFSET(PLE!$G$14,$M422,AY$13))))</f>
        <v>1000000000000</v>
      </c>
      <c r="AZ422" s="182">
        <f ca="1">IF($D422&lt;&gt;"Serviço",0,IF(OR(AND(AUTOEVENTO="Manual",$M422=1),$M422&gt;(ROW(PLE.lastrow)-ROW(PLE.firstrow))),0,IF(OFFSET(PLE!$G$14,$M422,AZ$13)="",10^12,OFFSET(PLE!$G$14,$M422,AZ$13))))</f>
        <v>1000000000000</v>
      </c>
      <c r="BA422" s="182">
        <f ca="1">IF($D422&lt;&gt;"Serviço",0,IF(OR(AND(AUTOEVENTO="Manual",$M422=1),$M422&gt;(ROW(PLE.lastrow)-ROW(PLE.firstrow))),0,IF(OFFSET(PLE!$G$14,$M422,BA$13)="",10^12,OFFSET(PLE!$G$14,$M422,BA$13))))</f>
        <v>1000000000000</v>
      </c>
      <c r="BB422" s="182">
        <f ca="1">IF($D422&lt;&gt;"Serviço",0,IF(OR(AND(AUTOEVENTO="Manual",$M422=1),$M422&gt;(ROW(PLE.lastrow)-ROW(PLE.firstrow))),0,IF(OFFSET(PLE!$G$14,$M422,BB$13)="",10^12,OFFSET(PLE!$G$14,$M422,BB$13))))</f>
        <v>1000000000000</v>
      </c>
      <c r="BC422" s="182">
        <f ca="1">IF($D422&lt;&gt;"Serviço",0,IF(OR(AND(AUTOEVENTO="Manual",$M422=1),$M422&gt;(ROW(PLE.lastrow)-ROW(PLE.firstrow))),0,IF(OFFSET(PLE!$G$14,$M422,BC$13)="",10^12,OFFSET(PLE!$G$14,$M422,BC$13))))</f>
        <v>1000000000000</v>
      </c>
      <c r="BD422" s="182">
        <f ca="1">IF($D422&lt;&gt;"Serviço",0,IF(OR(AND(AUTOEVENTO="Manual",$M422=1),$M422&gt;(ROW(PLE.lastrow)-ROW(PLE.firstrow))),0,IF(OFFSET(PLE!$G$14,$M422,BD$13)="",10^12,OFFSET(PLE!$G$14,$M422,BD$13))))</f>
        <v>1000000000000</v>
      </c>
      <c r="BE422" s="182">
        <f ca="1">IF($D422&lt;&gt;"Serviço",0,IF(OR(AND(AUTOEVENTO="Manual",$M422=1),$M422&gt;(ROW(PLE.lastrow)-ROW(PLE.firstrow))),0,IF(OFFSET(PLE!$G$14,$M422,BE$13)="",10^12,OFFSET(PLE!$G$14,$M422,BE$13))))</f>
        <v>1000000000000</v>
      </c>
      <c r="BF422" s="182">
        <f ca="1">IF($D422&lt;&gt;"Serviço",0,IF(OR(AND(AUTOEVENTO="Manual",$M422=1),$M422&gt;(ROW(PLE.lastrow)-ROW(PLE.firstrow))),0,IF(OFFSET(PLE!$G$14,$M422,BF$13)="",10^12,OFFSET(PLE!$G$14,$M422,BF$13))))</f>
        <v>1000000000000</v>
      </c>
      <c r="BG422" s="182">
        <f ca="1">IF($D422&lt;&gt;"Serviço",0,IF(OR(AND(AUTOEVENTO="Manual",$M422=1),$M422&gt;(ROW(PLE.lastrow)-ROW(PLE.firstrow))),0,IF(OFFSET(PLE!$G$14,$M422,BG$13)="",10^12,OFFSET(PLE!$G$14,$M422,BG$13))))</f>
        <v>1000000000000</v>
      </c>
    </row>
    <row r="423" spans="1:59" ht="25.5" x14ac:dyDescent="0.2">
      <c r="A423" s="7" t="str">
        <f t="shared" ca="1" si="11"/>
        <v>376</v>
      </c>
      <c r="B423" s="7" t="str">
        <f ca="1">OFFSET(ORÇAMENTO!C$15,ROW(B423)-ROW(B$15),0)</f>
        <v>S</v>
      </c>
      <c r="C423" s="7" t="str">
        <f ca="1">OFFSET(ORÇAMENTO!L$15,ROW(C423)-ROW(C$15),0)</f>
        <v/>
      </c>
      <c r="D423" s="118" t="str">
        <f ca="1">OFFSET(ORÇAMENTO!N$15,ROW(D423)-ROW(D$15),0)</f>
        <v>Serviço</v>
      </c>
      <c r="E423" s="119" t="str">
        <f ca="1">OFFSET(ORÇAMENTO!O$15,ROW(E423)-ROW(E$15),0)</f>
        <v>-</v>
      </c>
      <c r="F423" s="172" t="str">
        <f ca="1">OFFSET(ORÇAMENTO!R$15,ROW(F423)-ROW(F$15),0)</f>
        <v>(abra o arquivo 'Referência 02-2025.xlsm)</v>
      </c>
      <c r="G423" s="173" t="str">
        <f ca="1">IF($D423&lt;&gt;"Serviço","",OFFSET(ORÇAMENTO!S$15,ROW(G423)-ROW(G$15),0))</f>
        <v>-</v>
      </c>
      <c r="H423" s="124">
        <f ca="1">IF($D423&lt;&gt;"Serviço",0,IF(ACOMPANHAMENTO="BM",ROUND(OFFSET(ORÇAMENTO!AJ$15,ROW(H423)-ROW(H$15),0),15-13*ORÇAMENTO!$AF$7),SUMPRODUCT(($Q$12:$AA$12&lt;&gt;"")*ROUND($Q423:$AA423,15-13*ORÇAMENTO!$AF$7))))</f>
        <v>23</v>
      </c>
      <c r="I423" s="561" t="s">
        <v>890</v>
      </c>
      <c r="K423" s="174"/>
      <c r="L423" s="175" t="s">
        <v>255</v>
      </c>
      <c r="M423" s="176">
        <f ca="1">IF($D423&lt;&gt;"Serviço","",IF(AUTOEVENTO="manual",$A423,IF(ISERROR(MATCH($A423,$A$15:OFFSET($A423,-1,0),0)),MAX($M$15:OFFSET(M423,-1,0))+1,INDEX($M$15:OFFSET(M423,-1,0),MATCH($A423,$A$15:OFFSET($A423,-1,0),0)))))</f>
        <v>16</v>
      </c>
      <c r="N423" s="177" t="str">
        <f ca="1">IF($D423&lt;&gt;"Serviço","",IF(AUTOEVENTO="Manual",IF($A423=0,"&lt;-- defina o número do agrupador",OFFSET(EVENTOS!$D$14,$A423,0)),OFFSET($F$15,$A423,0)))</f>
        <v>LOUÇAS, ACESSÓRIOS E METAIS</v>
      </c>
      <c r="O423" s="178"/>
      <c r="Q423" s="178"/>
      <c r="R423" s="179"/>
      <c r="S423" s="179"/>
      <c r="T423" s="179"/>
      <c r="U423" s="179"/>
      <c r="V423" s="179"/>
      <c r="W423" s="179"/>
      <c r="X423" s="179"/>
      <c r="Y423" s="179"/>
      <c r="Z423" s="180"/>
      <c r="AB423" s="544">
        <f ca="1">IF(AND($D423="Serviço",AB$12&lt;&gt;0,$H423&gt;0,OR(AUTOEVENTO&lt;&gt;"manual",$M423&lt;&gt;1)),
IF(Import.TipoArredondamento&lt;&gt;"TransfereGOV",
ROUND(OFFSET($P423,0,AB$13),15-13*ORÇAMENTO!$AF$7)/$H423*OFFSET(ORÇAMENTO!$X$15,ROW(AB423)-ROW(AB$15),0),
ROUND(ROUND(OFFSET($P423,0,AB$13),15-13*ORÇAMENTO!$AF$7)*OFFSET(ORÇAMENTO!$W$15,ROW(AB423)-ROW(AB$15),0),15-13*ORÇAMENTO!$AF$11)),0)</f>
        <v>0</v>
      </c>
      <c r="AC423" s="545">
        <f ca="1">IF(AND($D423="Serviço",AC$12&lt;&gt;0,$H423&gt;0,OR(AUTOEVENTO&lt;&gt;"manual",$M423&lt;&gt;1)),
IF(Import.TipoArredondamento&lt;&gt;"TransfereGOV",
ROUND(OFFSET($P423,0,AC$13),15-13*ORÇAMENTO!$AF$7)/$H423*OFFSET(ORÇAMENTO!$X$15,ROW(AC423)-ROW(AC$15),0),
ROUND(ROUND(OFFSET($P423,0,AC$13),15-13*ORÇAMENTO!$AF$7)*OFFSET(ORÇAMENTO!$W$15,ROW(AC423)-ROW(AC$15),0),15-13*ORÇAMENTO!$AF$11)),0)</f>
        <v>0</v>
      </c>
      <c r="AD423" s="545">
        <f ca="1">IF(AND($D423="Serviço",AD$12&lt;&gt;0,$H423&gt;0,OR(AUTOEVENTO&lt;&gt;"manual",$M423&lt;&gt;1)),
IF(Import.TipoArredondamento&lt;&gt;"TransfereGOV",
ROUND(OFFSET($P423,0,AD$13),15-13*ORÇAMENTO!$AF$7)/$H423*OFFSET(ORÇAMENTO!$X$15,ROW(AD423)-ROW(AD$15),0),
ROUND(ROUND(OFFSET($P423,0,AD$13),15-13*ORÇAMENTO!$AF$7)*OFFSET(ORÇAMENTO!$W$15,ROW(AD423)-ROW(AD$15),0),15-13*ORÇAMENTO!$AF$11)),0)</f>
        <v>0</v>
      </c>
      <c r="AE423" s="545">
        <f ca="1">IF(AND($D423="Serviço",AE$12&lt;&gt;0,$H423&gt;0,OR(AUTOEVENTO&lt;&gt;"manual",$M423&lt;&gt;1)),
IF(Import.TipoArredondamento&lt;&gt;"TransfereGOV",
ROUND(OFFSET($P423,0,AE$13),15-13*ORÇAMENTO!$AF$7)/$H423*OFFSET(ORÇAMENTO!$X$15,ROW(AE423)-ROW(AE$15),0),
ROUND(ROUND(OFFSET($P423,0,AE$13),15-13*ORÇAMENTO!$AF$7)*OFFSET(ORÇAMENTO!$W$15,ROW(AE423)-ROW(AE$15),0),15-13*ORÇAMENTO!$AF$11)),0)</f>
        <v>0</v>
      </c>
      <c r="AF423" s="545">
        <f ca="1">IF(AND($D423="Serviço",AF$12&lt;&gt;0,$H423&gt;0,OR(AUTOEVENTO&lt;&gt;"manual",$M423&lt;&gt;1)),
IF(Import.TipoArredondamento&lt;&gt;"TransfereGOV",
ROUND(OFFSET($P423,0,AF$13),15-13*ORÇAMENTO!$AF$7)/$H423*OFFSET(ORÇAMENTO!$X$15,ROW(AF423)-ROW(AF$15),0),
ROUND(ROUND(OFFSET($P423,0,AF$13),15-13*ORÇAMENTO!$AF$7)*OFFSET(ORÇAMENTO!$W$15,ROW(AF423)-ROW(AF$15),0),15-13*ORÇAMENTO!$AF$11)),0)</f>
        <v>0</v>
      </c>
      <c r="AG423" s="545">
        <f ca="1">IF(AND($D423="Serviço",AG$12&lt;&gt;0,$H423&gt;0,OR(AUTOEVENTO&lt;&gt;"manual",$M423&lt;&gt;1)),
IF(Import.TipoArredondamento&lt;&gt;"TransfereGOV",
ROUND(OFFSET($P423,0,AG$13),15-13*ORÇAMENTO!$AF$7)/$H423*OFFSET(ORÇAMENTO!$X$15,ROW(AG423)-ROW(AG$15),0),
ROUND(ROUND(OFFSET($P423,0,AG$13),15-13*ORÇAMENTO!$AF$7)*OFFSET(ORÇAMENTO!$W$15,ROW(AG423)-ROW(AG$15),0),15-13*ORÇAMENTO!$AF$11)),0)</f>
        <v>0</v>
      </c>
      <c r="AH423" s="545">
        <f ca="1">IF(AND($D423="Serviço",AH$12&lt;&gt;0,$H423&gt;0,OR(AUTOEVENTO&lt;&gt;"manual",$M423&lt;&gt;1)),
IF(Import.TipoArredondamento&lt;&gt;"TransfereGOV",
ROUND(OFFSET($P423,0,AH$13),15-13*ORÇAMENTO!$AF$7)/$H423*OFFSET(ORÇAMENTO!$X$15,ROW(AH423)-ROW(AH$15),0),
ROUND(ROUND(OFFSET($P423,0,AH$13),15-13*ORÇAMENTO!$AF$7)*OFFSET(ORÇAMENTO!$W$15,ROW(AH423)-ROW(AH$15),0),15-13*ORÇAMENTO!$AF$11)),0)</f>
        <v>0</v>
      </c>
      <c r="AI423" s="545">
        <f ca="1">IF(AND($D423="Serviço",AI$12&lt;&gt;0,$H423&gt;0,OR(AUTOEVENTO&lt;&gt;"manual",$M423&lt;&gt;1)),
IF(Import.TipoArredondamento&lt;&gt;"TransfereGOV",
ROUND(OFFSET($P423,0,AI$13),15-13*ORÇAMENTO!$AF$7)/$H423*OFFSET(ORÇAMENTO!$X$15,ROW(AI423)-ROW(AI$15),0),
ROUND(ROUND(OFFSET($P423,0,AI$13),15-13*ORÇAMENTO!$AF$7)*OFFSET(ORÇAMENTO!$W$15,ROW(AI423)-ROW(AI$15),0),15-13*ORÇAMENTO!$AF$11)),0)</f>
        <v>0</v>
      </c>
      <c r="AJ423" s="545">
        <f ca="1">IF(AND($D423="Serviço",AJ$12&lt;&gt;0,$H423&gt;0,OR(AUTOEVENTO&lt;&gt;"manual",$M423&lt;&gt;1)),
IF(Import.TipoArredondamento&lt;&gt;"TransfereGOV",
ROUND(OFFSET($P423,0,AJ$13),15-13*ORÇAMENTO!$AF$7)/$H423*OFFSET(ORÇAMENTO!$X$15,ROW(AJ423)-ROW(AJ$15),0),
ROUND(ROUND(OFFSET($P423,0,AJ$13),15-13*ORÇAMENTO!$AF$7)*OFFSET(ORÇAMENTO!$W$15,ROW(AJ423)-ROW(AJ$15),0),15-13*ORÇAMENTO!$AF$11)),0)</f>
        <v>0</v>
      </c>
      <c r="AK423" s="546">
        <f ca="1">IF(AND($D423="Serviço",AK$12&lt;&gt;0,$H423&gt;0,OR(AUTOEVENTO&lt;&gt;"manual",$M423&lt;&gt;1)),
IF(Import.TipoArredondamento&lt;&gt;"TransfereGOV",
ROUND(OFFSET($P423,0,AK$13),15-13*ORÇAMENTO!$AF$7)/$H423*OFFSET(ORÇAMENTO!$X$15,ROW(AK423)-ROW(AK$15),0),
ROUND(ROUND(OFFSET($P423,0,AK$13),15-13*ORÇAMENTO!$AF$7)*OFFSET(ORÇAMENTO!$W$15,ROW(AK423)-ROW(AK$15),0),15-13*ORÇAMENTO!$AF$11)),0)</f>
        <v>0</v>
      </c>
      <c r="AM423" s="181">
        <f ca="1">IF($D423&lt;&gt;"Serviço",0,IF(AND(AUTOEVENTO="Manual",$M423=1),0,IF(OFFSET(CRONOPLE!$F$14,$M423,AM$13)="",10^12,OFFSET(CRONOPLE!$F$14,$M423,AM$13))))</f>
        <v>1000000000000</v>
      </c>
      <c r="AN423" s="181">
        <f ca="1">IF($D423&lt;&gt;"Serviço",0,IF(AND(AUTOEVENTO="Manual",$M423=1),0,IF(OFFSET(CRONOPLE!$F$14,$M423,AN$13)="",10^12,OFFSET(CRONOPLE!$F$14,$M423,AN$13))))</f>
        <v>1000000000000</v>
      </c>
      <c r="AO423" s="181">
        <f ca="1">IF($D423&lt;&gt;"Serviço",0,IF(AND(AUTOEVENTO="Manual",$M423=1),0,IF(OFFSET(CRONOPLE!$F$14,$M423,AO$13)="",10^12,OFFSET(CRONOPLE!$F$14,$M423,AO$13))))</f>
        <v>1000000000000</v>
      </c>
      <c r="AP423" s="181">
        <f ca="1">IF($D423&lt;&gt;"Serviço",0,IF(AND(AUTOEVENTO="Manual",$M423=1),0,IF(OFFSET(CRONOPLE!$F$14,$M423,AP$13)="",10^12,OFFSET(CRONOPLE!$F$14,$M423,AP$13))))</f>
        <v>1000000000000</v>
      </c>
      <c r="AQ423" s="181">
        <f ca="1">IF($D423&lt;&gt;"Serviço",0,IF(AND(AUTOEVENTO="Manual",$M423=1),0,IF(OFFSET(CRONOPLE!$F$14,$M423,AQ$13)="",10^12,OFFSET(CRONOPLE!$F$14,$M423,AQ$13))))</f>
        <v>1000000000000</v>
      </c>
      <c r="AR423" s="181">
        <f ca="1">IF($D423&lt;&gt;"Serviço",0,IF(AND(AUTOEVENTO="Manual",$M423=1),0,IF(OFFSET(CRONOPLE!$F$14,$M423,AR$13)="",10^12,OFFSET(CRONOPLE!$F$14,$M423,AR$13))))</f>
        <v>1000000000000</v>
      </c>
      <c r="AS423" s="181">
        <f ca="1">IF($D423&lt;&gt;"Serviço",0,IF(AND(AUTOEVENTO="Manual",$M423=1),0,IF(OFFSET(CRONOPLE!$F$14,$M423,AS$13)="",10^12,OFFSET(CRONOPLE!$F$14,$M423,AS$13))))</f>
        <v>1000000000000</v>
      </c>
      <c r="AT423" s="181">
        <f ca="1">IF($D423&lt;&gt;"Serviço",0,IF(AND(AUTOEVENTO="Manual",$M423=1),0,IF(OFFSET(CRONOPLE!$F$14,$M423,AT$13)="",10^12,OFFSET(CRONOPLE!$F$14,$M423,AT$13))))</f>
        <v>1000000000000</v>
      </c>
      <c r="AU423" s="181">
        <f ca="1">IF($D423&lt;&gt;"Serviço",0,IF(AND(AUTOEVENTO="Manual",$M423=1),0,IF(OFFSET(CRONOPLE!$F$14,$M423,AU$13)="",10^12,OFFSET(CRONOPLE!$F$14,$M423,AU$13))))</f>
        <v>1000000000000</v>
      </c>
      <c r="AV423" s="181">
        <f ca="1">IF($D423&lt;&gt;"Serviço",0,IF(AND(AUTOEVENTO="Manual",$M423=1),0,IF(OFFSET(CRONOPLE!$F$14,$M423,AV$13)="",10^12,OFFSET(CRONOPLE!$F$14,$M423,AV$13))))</f>
        <v>1000000000000</v>
      </c>
      <c r="AX423" s="182">
        <f ca="1">IF($D423&lt;&gt;"Serviço",0,IF(OR(AND(AUTOEVENTO="Manual",$M423=1),$M423&gt;(ROW(PLE.lastrow)-ROW(PLE.firstrow))),0,IF(OFFSET(PLE!$G$14,$M423,AX$13)="",10^12,OFFSET(PLE!$G$14,$M423,AX$13))))</f>
        <v>1000000000000</v>
      </c>
      <c r="AY423" s="182">
        <f ca="1">IF($D423&lt;&gt;"Serviço",0,IF(OR(AND(AUTOEVENTO="Manual",$M423=1),$M423&gt;(ROW(PLE.lastrow)-ROW(PLE.firstrow))),0,IF(OFFSET(PLE!$G$14,$M423,AY$13)="",10^12,OFFSET(PLE!$G$14,$M423,AY$13))))</f>
        <v>1000000000000</v>
      </c>
      <c r="AZ423" s="182">
        <f ca="1">IF($D423&lt;&gt;"Serviço",0,IF(OR(AND(AUTOEVENTO="Manual",$M423=1),$M423&gt;(ROW(PLE.lastrow)-ROW(PLE.firstrow))),0,IF(OFFSET(PLE!$G$14,$M423,AZ$13)="",10^12,OFFSET(PLE!$G$14,$M423,AZ$13))))</f>
        <v>1000000000000</v>
      </c>
      <c r="BA423" s="182">
        <f ca="1">IF($D423&lt;&gt;"Serviço",0,IF(OR(AND(AUTOEVENTO="Manual",$M423=1),$M423&gt;(ROW(PLE.lastrow)-ROW(PLE.firstrow))),0,IF(OFFSET(PLE!$G$14,$M423,BA$13)="",10^12,OFFSET(PLE!$G$14,$M423,BA$13))))</f>
        <v>1000000000000</v>
      </c>
      <c r="BB423" s="182">
        <f ca="1">IF($D423&lt;&gt;"Serviço",0,IF(OR(AND(AUTOEVENTO="Manual",$M423=1),$M423&gt;(ROW(PLE.lastrow)-ROW(PLE.firstrow))),0,IF(OFFSET(PLE!$G$14,$M423,BB$13)="",10^12,OFFSET(PLE!$G$14,$M423,BB$13))))</f>
        <v>1000000000000</v>
      </c>
      <c r="BC423" s="182">
        <f ca="1">IF($D423&lt;&gt;"Serviço",0,IF(OR(AND(AUTOEVENTO="Manual",$M423=1),$M423&gt;(ROW(PLE.lastrow)-ROW(PLE.firstrow))),0,IF(OFFSET(PLE!$G$14,$M423,BC$13)="",10^12,OFFSET(PLE!$G$14,$M423,BC$13))))</f>
        <v>1000000000000</v>
      </c>
      <c r="BD423" s="182">
        <f ca="1">IF($D423&lt;&gt;"Serviço",0,IF(OR(AND(AUTOEVENTO="Manual",$M423=1),$M423&gt;(ROW(PLE.lastrow)-ROW(PLE.firstrow))),0,IF(OFFSET(PLE!$G$14,$M423,BD$13)="",10^12,OFFSET(PLE!$G$14,$M423,BD$13))))</f>
        <v>1000000000000</v>
      </c>
      <c r="BE423" s="182">
        <f ca="1">IF($D423&lt;&gt;"Serviço",0,IF(OR(AND(AUTOEVENTO="Manual",$M423=1),$M423&gt;(ROW(PLE.lastrow)-ROW(PLE.firstrow))),0,IF(OFFSET(PLE!$G$14,$M423,BE$13)="",10^12,OFFSET(PLE!$G$14,$M423,BE$13))))</f>
        <v>1000000000000</v>
      </c>
      <c r="BF423" s="182">
        <f ca="1">IF($D423&lt;&gt;"Serviço",0,IF(OR(AND(AUTOEVENTO="Manual",$M423=1),$M423&gt;(ROW(PLE.lastrow)-ROW(PLE.firstrow))),0,IF(OFFSET(PLE!$G$14,$M423,BF$13)="",10^12,OFFSET(PLE!$G$14,$M423,BF$13))))</f>
        <v>1000000000000</v>
      </c>
      <c r="BG423" s="182">
        <f ca="1">IF($D423&lt;&gt;"Serviço",0,IF(OR(AND(AUTOEVENTO="Manual",$M423=1),$M423&gt;(ROW(PLE.lastrow)-ROW(PLE.firstrow))),0,IF(OFFSET(PLE!$G$14,$M423,BG$13)="",10^12,OFFSET(PLE!$G$14,$M423,BG$13))))</f>
        <v>1000000000000</v>
      </c>
    </row>
    <row r="424" spans="1:59" ht="25.5" x14ac:dyDescent="0.2">
      <c r="A424" s="7" t="str">
        <f t="shared" ca="1" si="11"/>
        <v>376</v>
      </c>
      <c r="B424" s="7" t="str">
        <f ca="1">OFFSET(ORÇAMENTO!C$15,ROW(B424)-ROW(B$15),0)</f>
        <v>S</v>
      </c>
      <c r="C424" s="7" t="str">
        <f ca="1">OFFSET(ORÇAMENTO!L$15,ROW(C424)-ROW(C$15),0)</f>
        <v/>
      </c>
      <c r="D424" s="118" t="str">
        <f ca="1">OFFSET(ORÇAMENTO!N$15,ROW(D424)-ROW(D$15),0)</f>
        <v>Serviço</v>
      </c>
      <c r="E424" s="119" t="str">
        <f ca="1">OFFSET(ORÇAMENTO!O$15,ROW(E424)-ROW(E$15),0)</f>
        <v>-</v>
      </c>
      <c r="F424" s="172" t="str">
        <f ca="1">OFFSET(ORÇAMENTO!R$15,ROW(F424)-ROW(F$15),0)</f>
        <v>(abra o arquivo 'Referência 02-2025.xlsm)</v>
      </c>
      <c r="G424" s="173" t="str">
        <f ca="1">IF($D424&lt;&gt;"Serviço","",OFFSET(ORÇAMENTO!S$15,ROW(G424)-ROW(G$15),0))</f>
        <v>-</v>
      </c>
      <c r="H424" s="124">
        <f ca="1">IF($D424&lt;&gt;"Serviço",0,IF(ACOMPANHAMENTO="BM",ROUND(OFFSET(ORÇAMENTO!AJ$15,ROW(H424)-ROW(H$15),0),15-13*ORÇAMENTO!$AF$7),SUMPRODUCT(($Q$12:$AA$12&lt;&gt;"")*ROUND($Q424:$AA424,15-13*ORÇAMENTO!$AF$7))))</f>
        <v>16.899999999999999</v>
      </c>
      <c r="I424" s="561" t="s">
        <v>890</v>
      </c>
      <c r="K424" s="174"/>
      <c r="L424" s="175" t="s">
        <v>255</v>
      </c>
      <c r="M424" s="176">
        <f ca="1">IF($D424&lt;&gt;"Serviço","",IF(AUTOEVENTO="manual",$A424,IF(ISERROR(MATCH($A424,$A$15:OFFSET($A424,-1,0),0)),MAX($M$15:OFFSET(M424,-1,0))+1,INDEX($M$15:OFFSET(M424,-1,0),MATCH($A424,$A$15:OFFSET($A424,-1,0),0)))))</f>
        <v>16</v>
      </c>
      <c r="N424" s="177" t="str">
        <f ca="1">IF($D424&lt;&gt;"Serviço","",IF(AUTOEVENTO="Manual",IF($A424=0,"&lt;-- defina o número do agrupador",OFFSET(EVENTOS!$D$14,$A424,0)),OFFSET($F$15,$A424,0)))</f>
        <v>LOUÇAS, ACESSÓRIOS E METAIS</v>
      </c>
      <c r="O424" s="178"/>
      <c r="Q424" s="178"/>
      <c r="R424" s="179"/>
      <c r="S424" s="179"/>
      <c r="T424" s="179"/>
      <c r="U424" s="179"/>
      <c r="V424" s="179"/>
      <c r="W424" s="179"/>
      <c r="X424" s="179"/>
      <c r="Y424" s="179"/>
      <c r="Z424" s="180"/>
      <c r="AB424" s="544">
        <f ca="1">IF(AND($D424="Serviço",AB$12&lt;&gt;0,$H424&gt;0,OR(AUTOEVENTO&lt;&gt;"manual",$M424&lt;&gt;1)),
IF(Import.TipoArredondamento&lt;&gt;"TransfereGOV",
ROUND(OFFSET($P424,0,AB$13),15-13*ORÇAMENTO!$AF$7)/$H424*OFFSET(ORÇAMENTO!$X$15,ROW(AB424)-ROW(AB$15),0),
ROUND(ROUND(OFFSET($P424,0,AB$13),15-13*ORÇAMENTO!$AF$7)*OFFSET(ORÇAMENTO!$W$15,ROW(AB424)-ROW(AB$15),0),15-13*ORÇAMENTO!$AF$11)),0)</f>
        <v>0</v>
      </c>
      <c r="AC424" s="545">
        <f ca="1">IF(AND($D424="Serviço",AC$12&lt;&gt;0,$H424&gt;0,OR(AUTOEVENTO&lt;&gt;"manual",$M424&lt;&gt;1)),
IF(Import.TipoArredondamento&lt;&gt;"TransfereGOV",
ROUND(OFFSET($P424,0,AC$13),15-13*ORÇAMENTO!$AF$7)/$H424*OFFSET(ORÇAMENTO!$X$15,ROW(AC424)-ROW(AC$15),0),
ROUND(ROUND(OFFSET($P424,0,AC$13),15-13*ORÇAMENTO!$AF$7)*OFFSET(ORÇAMENTO!$W$15,ROW(AC424)-ROW(AC$15),0),15-13*ORÇAMENTO!$AF$11)),0)</f>
        <v>0</v>
      </c>
      <c r="AD424" s="545">
        <f ca="1">IF(AND($D424="Serviço",AD$12&lt;&gt;0,$H424&gt;0,OR(AUTOEVENTO&lt;&gt;"manual",$M424&lt;&gt;1)),
IF(Import.TipoArredondamento&lt;&gt;"TransfereGOV",
ROUND(OFFSET($P424,0,AD$13),15-13*ORÇAMENTO!$AF$7)/$H424*OFFSET(ORÇAMENTO!$X$15,ROW(AD424)-ROW(AD$15),0),
ROUND(ROUND(OFFSET($P424,0,AD$13),15-13*ORÇAMENTO!$AF$7)*OFFSET(ORÇAMENTO!$W$15,ROW(AD424)-ROW(AD$15),0),15-13*ORÇAMENTO!$AF$11)),0)</f>
        <v>0</v>
      </c>
      <c r="AE424" s="545">
        <f ca="1">IF(AND($D424="Serviço",AE$12&lt;&gt;0,$H424&gt;0,OR(AUTOEVENTO&lt;&gt;"manual",$M424&lt;&gt;1)),
IF(Import.TipoArredondamento&lt;&gt;"TransfereGOV",
ROUND(OFFSET($P424,0,AE$13),15-13*ORÇAMENTO!$AF$7)/$H424*OFFSET(ORÇAMENTO!$X$15,ROW(AE424)-ROW(AE$15),0),
ROUND(ROUND(OFFSET($P424,0,AE$13),15-13*ORÇAMENTO!$AF$7)*OFFSET(ORÇAMENTO!$W$15,ROW(AE424)-ROW(AE$15),0),15-13*ORÇAMENTO!$AF$11)),0)</f>
        <v>0</v>
      </c>
      <c r="AF424" s="545">
        <f ca="1">IF(AND($D424="Serviço",AF$12&lt;&gt;0,$H424&gt;0,OR(AUTOEVENTO&lt;&gt;"manual",$M424&lt;&gt;1)),
IF(Import.TipoArredondamento&lt;&gt;"TransfereGOV",
ROUND(OFFSET($P424,0,AF$13),15-13*ORÇAMENTO!$AF$7)/$H424*OFFSET(ORÇAMENTO!$X$15,ROW(AF424)-ROW(AF$15),0),
ROUND(ROUND(OFFSET($P424,0,AF$13),15-13*ORÇAMENTO!$AF$7)*OFFSET(ORÇAMENTO!$W$15,ROW(AF424)-ROW(AF$15),0),15-13*ORÇAMENTO!$AF$11)),0)</f>
        <v>0</v>
      </c>
      <c r="AG424" s="545">
        <f ca="1">IF(AND($D424="Serviço",AG$12&lt;&gt;0,$H424&gt;0,OR(AUTOEVENTO&lt;&gt;"manual",$M424&lt;&gt;1)),
IF(Import.TipoArredondamento&lt;&gt;"TransfereGOV",
ROUND(OFFSET($P424,0,AG$13),15-13*ORÇAMENTO!$AF$7)/$H424*OFFSET(ORÇAMENTO!$X$15,ROW(AG424)-ROW(AG$15),0),
ROUND(ROUND(OFFSET($P424,0,AG$13),15-13*ORÇAMENTO!$AF$7)*OFFSET(ORÇAMENTO!$W$15,ROW(AG424)-ROW(AG$15),0),15-13*ORÇAMENTO!$AF$11)),0)</f>
        <v>0</v>
      </c>
      <c r="AH424" s="545">
        <f ca="1">IF(AND($D424="Serviço",AH$12&lt;&gt;0,$H424&gt;0,OR(AUTOEVENTO&lt;&gt;"manual",$M424&lt;&gt;1)),
IF(Import.TipoArredondamento&lt;&gt;"TransfereGOV",
ROUND(OFFSET($P424,0,AH$13),15-13*ORÇAMENTO!$AF$7)/$H424*OFFSET(ORÇAMENTO!$X$15,ROW(AH424)-ROW(AH$15),0),
ROUND(ROUND(OFFSET($P424,0,AH$13),15-13*ORÇAMENTO!$AF$7)*OFFSET(ORÇAMENTO!$W$15,ROW(AH424)-ROW(AH$15),0),15-13*ORÇAMENTO!$AF$11)),0)</f>
        <v>0</v>
      </c>
      <c r="AI424" s="545">
        <f ca="1">IF(AND($D424="Serviço",AI$12&lt;&gt;0,$H424&gt;0,OR(AUTOEVENTO&lt;&gt;"manual",$M424&lt;&gt;1)),
IF(Import.TipoArredondamento&lt;&gt;"TransfereGOV",
ROUND(OFFSET($P424,0,AI$13),15-13*ORÇAMENTO!$AF$7)/$H424*OFFSET(ORÇAMENTO!$X$15,ROW(AI424)-ROW(AI$15),0),
ROUND(ROUND(OFFSET($P424,0,AI$13),15-13*ORÇAMENTO!$AF$7)*OFFSET(ORÇAMENTO!$W$15,ROW(AI424)-ROW(AI$15),0),15-13*ORÇAMENTO!$AF$11)),0)</f>
        <v>0</v>
      </c>
      <c r="AJ424" s="545">
        <f ca="1">IF(AND($D424="Serviço",AJ$12&lt;&gt;0,$H424&gt;0,OR(AUTOEVENTO&lt;&gt;"manual",$M424&lt;&gt;1)),
IF(Import.TipoArredondamento&lt;&gt;"TransfereGOV",
ROUND(OFFSET($P424,0,AJ$13),15-13*ORÇAMENTO!$AF$7)/$H424*OFFSET(ORÇAMENTO!$X$15,ROW(AJ424)-ROW(AJ$15),0),
ROUND(ROUND(OFFSET($P424,0,AJ$13),15-13*ORÇAMENTO!$AF$7)*OFFSET(ORÇAMENTO!$W$15,ROW(AJ424)-ROW(AJ$15),0),15-13*ORÇAMENTO!$AF$11)),0)</f>
        <v>0</v>
      </c>
      <c r="AK424" s="546">
        <f ca="1">IF(AND($D424="Serviço",AK$12&lt;&gt;0,$H424&gt;0,OR(AUTOEVENTO&lt;&gt;"manual",$M424&lt;&gt;1)),
IF(Import.TipoArredondamento&lt;&gt;"TransfereGOV",
ROUND(OFFSET($P424,0,AK$13),15-13*ORÇAMENTO!$AF$7)/$H424*OFFSET(ORÇAMENTO!$X$15,ROW(AK424)-ROW(AK$15),0),
ROUND(ROUND(OFFSET($P424,0,AK$13),15-13*ORÇAMENTO!$AF$7)*OFFSET(ORÇAMENTO!$W$15,ROW(AK424)-ROW(AK$15),0),15-13*ORÇAMENTO!$AF$11)),0)</f>
        <v>0</v>
      </c>
      <c r="AM424" s="181">
        <f ca="1">IF($D424&lt;&gt;"Serviço",0,IF(AND(AUTOEVENTO="Manual",$M424=1),0,IF(OFFSET(CRONOPLE!$F$14,$M424,AM$13)="",10^12,OFFSET(CRONOPLE!$F$14,$M424,AM$13))))</f>
        <v>1000000000000</v>
      </c>
      <c r="AN424" s="181">
        <f ca="1">IF($D424&lt;&gt;"Serviço",0,IF(AND(AUTOEVENTO="Manual",$M424=1),0,IF(OFFSET(CRONOPLE!$F$14,$M424,AN$13)="",10^12,OFFSET(CRONOPLE!$F$14,$M424,AN$13))))</f>
        <v>1000000000000</v>
      </c>
      <c r="AO424" s="181">
        <f ca="1">IF($D424&lt;&gt;"Serviço",0,IF(AND(AUTOEVENTO="Manual",$M424=1),0,IF(OFFSET(CRONOPLE!$F$14,$M424,AO$13)="",10^12,OFFSET(CRONOPLE!$F$14,$M424,AO$13))))</f>
        <v>1000000000000</v>
      </c>
      <c r="AP424" s="181">
        <f ca="1">IF($D424&lt;&gt;"Serviço",0,IF(AND(AUTOEVENTO="Manual",$M424=1),0,IF(OFFSET(CRONOPLE!$F$14,$M424,AP$13)="",10^12,OFFSET(CRONOPLE!$F$14,$M424,AP$13))))</f>
        <v>1000000000000</v>
      </c>
      <c r="AQ424" s="181">
        <f ca="1">IF($D424&lt;&gt;"Serviço",0,IF(AND(AUTOEVENTO="Manual",$M424=1),0,IF(OFFSET(CRONOPLE!$F$14,$M424,AQ$13)="",10^12,OFFSET(CRONOPLE!$F$14,$M424,AQ$13))))</f>
        <v>1000000000000</v>
      </c>
      <c r="AR424" s="181">
        <f ca="1">IF($D424&lt;&gt;"Serviço",0,IF(AND(AUTOEVENTO="Manual",$M424=1),0,IF(OFFSET(CRONOPLE!$F$14,$M424,AR$13)="",10^12,OFFSET(CRONOPLE!$F$14,$M424,AR$13))))</f>
        <v>1000000000000</v>
      </c>
      <c r="AS424" s="181">
        <f ca="1">IF($D424&lt;&gt;"Serviço",0,IF(AND(AUTOEVENTO="Manual",$M424=1),0,IF(OFFSET(CRONOPLE!$F$14,$M424,AS$13)="",10^12,OFFSET(CRONOPLE!$F$14,$M424,AS$13))))</f>
        <v>1000000000000</v>
      </c>
      <c r="AT424" s="181">
        <f ca="1">IF($D424&lt;&gt;"Serviço",0,IF(AND(AUTOEVENTO="Manual",$M424=1),0,IF(OFFSET(CRONOPLE!$F$14,$M424,AT$13)="",10^12,OFFSET(CRONOPLE!$F$14,$M424,AT$13))))</f>
        <v>1000000000000</v>
      </c>
      <c r="AU424" s="181">
        <f ca="1">IF($D424&lt;&gt;"Serviço",0,IF(AND(AUTOEVENTO="Manual",$M424=1),0,IF(OFFSET(CRONOPLE!$F$14,$M424,AU$13)="",10^12,OFFSET(CRONOPLE!$F$14,$M424,AU$13))))</f>
        <v>1000000000000</v>
      </c>
      <c r="AV424" s="181">
        <f ca="1">IF($D424&lt;&gt;"Serviço",0,IF(AND(AUTOEVENTO="Manual",$M424=1),0,IF(OFFSET(CRONOPLE!$F$14,$M424,AV$13)="",10^12,OFFSET(CRONOPLE!$F$14,$M424,AV$13))))</f>
        <v>1000000000000</v>
      </c>
      <c r="AX424" s="182">
        <f ca="1">IF($D424&lt;&gt;"Serviço",0,IF(OR(AND(AUTOEVENTO="Manual",$M424=1),$M424&gt;(ROW(PLE.lastrow)-ROW(PLE.firstrow))),0,IF(OFFSET(PLE!$G$14,$M424,AX$13)="",10^12,OFFSET(PLE!$G$14,$M424,AX$13))))</f>
        <v>1000000000000</v>
      </c>
      <c r="AY424" s="182">
        <f ca="1">IF($D424&lt;&gt;"Serviço",0,IF(OR(AND(AUTOEVENTO="Manual",$M424=1),$M424&gt;(ROW(PLE.lastrow)-ROW(PLE.firstrow))),0,IF(OFFSET(PLE!$G$14,$M424,AY$13)="",10^12,OFFSET(PLE!$G$14,$M424,AY$13))))</f>
        <v>1000000000000</v>
      </c>
      <c r="AZ424" s="182">
        <f ca="1">IF($D424&lt;&gt;"Serviço",0,IF(OR(AND(AUTOEVENTO="Manual",$M424=1),$M424&gt;(ROW(PLE.lastrow)-ROW(PLE.firstrow))),0,IF(OFFSET(PLE!$G$14,$M424,AZ$13)="",10^12,OFFSET(PLE!$G$14,$M424,AZ$13))))</f>
        <v>1000000000000</v>
      </c>
      <c r="BA424" s="182">
        <f ca="1">IF($D424&lt;&gt;"Serviço",0,IF(OR(AND(AUTOEVENTO="Manual",$M424=1),$M424&gt;(ROW(PLE.lastrow)-ROW(PLE.firstrow))),0,IF(OFFSET(PLE!$G$14,$M424,BA$13)="",10^12,OFFSET(PLE!$G$14,$M424,BA$13))))</f>
        <v>1000000000000</v>
      </c>
      <c r="BB424" s="182">
        <f ca="1">IF($D424&lt;&gt;"Serviço",0,IF(OR(AND(AUTOEVENTO="Manual",$M424=1),$M424&gt;(ROW(PLE.lastrow)-ROW(PLE.firstrow))),0,IF(OFFSET(PLE!$G$14,$M424,BB$13)="",10^12,OFFSET(PLE!$G$14,$M424,BB$13))))</f>
        <v>1000000000000</v>
      </c>
      <c r="BC424" s="182">
        <f ca="1">IF($D424&lt;&gt;"Serviço",0,IF(OR(AND(AUTOEVENTO="Manual",$M424=1),$M424&gt;(ROW(PLE.lastrow)-ROW(PLE.firstrow))),0,IF(OFFSET(PLE!$G$14,$M424,BC$13)="",10^12,OFFSET(PLE!$G$14,$M424,BC$13))))</f>
        <v>1000000000000</v>
      </c>
      <c r="BD424" s="182">
        <f ca="1">IF($D424&lt;&gt;"Serviço",0,IF(OR(AND(AUTOEVENTO="Manual",$M424=1),$M424&gt;(ROW(PLE.lastrow)-ROW(PLE.firstrow))),0,IF(OFFSET(PLE!$G$14,$M424,BD$13)="",10^12,OFFSET(PLE!$G$14,$M424,BD$13))))</f>
        <v>1000000000000</v>
      </c>
      <c r="BE424" s="182">
        <f ca="1">IF($D424&lt;&gt;"Serviço",0,IF(OR(AND(AUTOEVENTO="Manual",$M424=1),$M424&gt;(ROW(PLE.lastrow)-ROW(PLE.firstrow))),0,IF(OFFSET(PLE!$G$14,$M424,BE$13)="",10^12,OFFSET(PLE!$G$14,$M424,BE$13))))</f>
        <v>1000000000000</v>
      </c>
      <c r="BF424" s="182">
        <f ca="1">IF($D424&lt;&gt;"Serviço",0,IF(OR(AND(AUTOEVENTO="Manual",$M424=1),$M424&gt;(ROW(PLE.lastrow)-ROW(PLE.firstrow))),0,IF(OFFSET(PLE!$G$14,$M424,BF$13)="",10^12,OFFSET(PLE!$G$14,$M424,BF$13))))</f>
        <v>1000000000000</v>
      </c>
      <c r="BG424" s="182">
        <f ca="1">IF($D424&lt;&gt;"Serviço",0,IF(OR(AND(AUTOEVENTO="Manual",$M424=1),$M424&gt;(ROW(PLE.lastrow)-ROW(PLE.firstrow))),0,IF(OFFSET(PLE!$G$14,$M424,BG$13)="",10^12,OFFSET(PLE!$G$14,$M424,BG$13))))</f>
        <v>1000000000000</v>
      </c>
    </row>
    <row r="425" spans="1:59" ht="25.5" x14ac:dyDescent="0.2">
      <c r="A425" s="7" t="str">
        <f t="shared" ca="1" si="11"/>
        <v>376</v>
      </c>
      <c r="B425" s="7" t="str">
        <f ca="1">OFFSET(ORÇAMENTO!C$15,ROW(B425)-ROW(B$15),0)</f>
        <v>S</v>
      </c>
      <c r="C425" s="7" t="str">
        <f ca="1">OFFSET(ORÇAMENTO!L$15,ROW(C425)-ROW(C$15),0)</f>
        <v/>
      </c>
      <c r="D425" s="118" t="str">
        <f ca="1">OFFSET(ORÇAMENTO!N$15,ROW(D425)-ROW(D$15),0)</f>
        <v>Serviço</v>
      </c>
      <c r="E425" s="119" t="str">
        <f ca="1">OFFSET(ORÇAMENTO!O$15,ROW(E425)-ROW(E$15),0)</f>
        <v>-</v>
      </c>
      <c r="F425" s="172" t="str">
        <f ca="1">OFFSET(ORÇAMENTO!R$15,ROW(F425)-ROW(F$15),0)</f>
        <v>(abra o arquivo 'Referência 02-2025.xlsm)</v>
      </c>
      <c r="G425" s="173" t="str">
        <f ca="1">IF($D425&lt;&gt;"Serviço","",OFFSET(ORÇAMENTO!S$15,ROW(G425)-ROW(G$15),0))</f>
        <v>-</v>
      </c>
      <c r="H425" s="124">
        <f ca="1">IF($D425&lt;&gt;"Serviço",0,IF(ACOMPANHAMENTO="BM",ROUND(OFFSET(ORÇAMENTO!AJ$15,ROW(H425)-ROW(H$15),0),15-13*ORÇAMENTO!$AF$7),SUMPRODUCT(($Q$12:$AA$12&lt;&gt;"")*ROUND($Q425:$AA425,15-13*ORÇAMENTO!$AF$7))))</f>
        <v>23</v>
      </c>
      <c r="I425" s="561" t="s">
        <v>890</v>
      </c>
      <c r="K425" s="174"/>
      <c r="L425" s="175" t="s">
        <v>255</v>
      </c>
      <c r="M425" s="176">
        <f ca="1">IF($D425&lt;&gt;"Serviço","",IF(AUTOEVENTO="manual",$A425,IF(ISERROR(MATCH($A425,$A$15:OFFSET($A425,-1,0),0)),MAX($M$15:OFFSET(M425,-1,0))+1,INDEX($M$15:OFFSET(M425,-1,0),MATCH($A425,$A$15:OFFSET($A425,-1,0),0)))))</f>
        <v>16</v>
      </c>
      <c r="N425" s="177" t="str">
        <f ca="1">IF($D425&lt;&gt;"Serviço","",IF(AUTOEVENTO="Manual",IF($A425=0,"&lt;-- defina o número do agrupador",OFFSET(EVENTOS!$D$14,$A425,0)),OFFSET($F$15,$A425,0)))</f>
        <v>LOUÇAS, ACESSÓRIOS E METAIS</v>
      </c>
      <c r="O425" s="178"/>
      <c r="Q425" s="178"/>
      <c r="R425" s="179"/>
      <c r="S425" s="179"/>
      <c r="T425" s="179"/>
      <c r="U425" s="179"/>
      <c r="V425" s="179"/>
      <c r="W425" s="179"/>
      <c r="X425" s="179"/>
      <c r="Y425" s="179"/>
      <c r="Z425" s="180"/>
      <c r="AB425" s="544">
        <f ca="1">IF(AND($D425="Serviço",AB$12&lt;&gt;0,$H425&gt;0,OR(AUTOEVENTO&lt;&gt;"manual",$M425&lt;&gt;1)),
IF(Import.TipoArredondamento&lt;&gt;"TransfereGOV",
ROUND(OFFSET($P425,0,AB$13),15-13*ORÇAMENTO!$AF$7)/$H425*OFFSET(ORÇAMENTO!$X$15,ROW(AB425)-ROW(AB$15),0),
ROUND(ROUND(OFFSET($P425,0,AB$13),15-13*ORÇAMENTO!$AF$7)*OFFSET(ORÇAMENTO!$W$15,ROW(AB425)-ROW(AB$15),0),15-13*ORÇAMENTO!$AF$11)),0)</f>
        <v>0</v>
      </c>
      <c r="AC425" s="545">
        <f ca="1">IF(AND($D425="Serviço",AC$12&lt;&gt;0,$H425&gt;0,OR(AUTOEVENTO&lt;&gt;"manual",$M425&lt;&gt;1)),
IF(Import.TipoArredondamento&lt;&gt;"TransfereGOV",
ROUND(OFFSET($P425,0,AC$13),15-13*ORÇAMENTO!$AF$7)/$H425*OFFSET(ORÇAMENTO!$X$15,ROW(AC425)-ROW(AC$15),0),
ROUND(ROUND(OFFSET($P425,0,AC$13),15-13*ORÇAMENTO!$AF$7)*OFFSET(ORÇAMENTO!$W$15,ROW(AC425)-ROW(AC$15),0),15-13*ORÇAMENTO!$AF$11)),0)</f>
        <v>0</v>
      </c>
      <c r="AD425" s="545">
        <f ca="1">IF(AND($D425="Serviço",AD$12&lt;&gt;0,$H425&gt;0,OR(AUTOEVENTO&lt;&gt;"manual",$M425&lt;&gt;1)),
IF(Import.TipoArredondamento&lt;&gt;"TransfereGOV",
ROUND(OFFSET($P425,0,AD$13),15-13*ORÇAMENTO!$AF$7)/$H425*OFFSET(ORÇAMENTO!$X$15,ROW(AD425)-ROW(AD$15),0),
ROUND(ROUND(OFFSET($P425,0,AD$13),15-13*ORÇAMENTO!$AF$7)*OFFSET(ORÇAMENTO!$W$15,ROW(AD425)-ROW(AD$15),0),15-13*ORÇAMENTO!$AF$11)),0)</f>
        <v>0</v>
      </c>
      <c r="AE425" s="545">
        <f ca="1">IF(AND($D425="Serviço",AE$12&lt;&gt;0,$H425&gt;0,OR(AUTOEVENTO&lt;&gt;"manual",$M425&lt;&gt;1)),
IF(Import.TipoArredondamento&lt;&gt;"TransfereGOV",
ROUND(OFFSET($P425,0,AE$13),15-13*ORÇAMENTO!$AF$7)/$H425*OFFSET(ORÇAMENTO!$X$15,ROW(AE425)-ROW(AE$15),0),
ROUND(ROUND(OFFSET($P425,0,AE$13),15-13*ORÇAMENTO!$AF$7)*OFFSET(ORÇAMENTO!$W$15,ROW(AE425)-ROW(AE$15),0),15-13*ORÇAMENTO!$AF$11)),0)</f>
        <v>0</v>
      </c>
      <c r="AF425" s="545">
        <f ca="1">IF(AND($D425="Serviço",AF$12&lt;&gt;0,$H425&gt;0,OR(AUTOEVENTO&lt;&gt;"manual",$M425&lt;&gt;1)),
IF(Import.TipoArredondamento&lt;&gt;"TransfereGOV",
ROUND(OFFSET($P425,0,AF$13),15-13*ORÇAMENTO!$AF$7)/$H425*OFFSET(ORÇAMENTO!$X$15,ROW(AF425)-ROW(AF$15),0),
ROUND(ROUND(OFFSET($P425,0,AF$13),15-13*ORÇAMENTO!$AF$7)*OFFSET(ORÇAMENTO!$W$15,ROW(AF425)-ROW(AF$15),0),15-13*ORÇAMENTO!$AF$11)),0)</f>
        <v>0</v>
      </c>
      <c r="AG425" s="545">
        <f ca="1">IF(AND($D425="Serviço",AG$12&lt;&gt;0,$H425&gt;0,OR(AUTOEVENTO&lt;&gt;"manual",$M425&lt;&gt;1)),
IF(Import.TipoArredondamento&lt;&gt;"TransfereGOV",
ROUND(OFFSET($P425,0,AG$13),15-13*ORÇAMENTO!$AF$7)/$H425*OFFSET(ORÇAMENTO!$X$15,ROW(AG425)-ROW(AG$15),0),
ROUND(ROUND(OFFSET($P425,0,AG$13),15-13*ORÇAMENTO!$AF$7)*OFFSET(ORÇAMENTO!$W$15,ROW(AG425)-ROW(AG$15),0),15-13*ORÇAMENTO!$AF$11)),0)</f>
        <v>0</v>
      </c>
      <c r="AH425" s="545">
        <f ca="1">IF(AND($D425="Serviço",AH$12&lt;&gt;0,$H425&gt;0,OR(AUTOEVENTO&lt;&gt;"manual",$M425&lt;&gt;1)),
IF(Import.TipoArredondamento&lt;&gt;"TransfereGOV",
ROUND(OFFSET($P425,0,AH$13),15-13*ORÇAMENTO!$AF$7)/$H425*OFFSET(ORÇAMENTO!$X$15,ROW(AH425)-ROW(AH$15),0),
ROUND(ROUND(OFFSET($P425,0,AH$13),15-13*ORÇAMENTO!$AF$7)*OFFSET(ORÇAMENTO!$W$15,ROW(AH425)-ROW(AH$15),0),15-13*ORÇAMENTO!$AF$11)),0)</f>
        <v>0</v>
      </c>
      <c r="AI425" s="545">
        <f ca="1">IF(AND($D425="Serviço",AI$12&lt;&gt;0,$H425&gt;0,OR(AUTOEVENTO&lt;&gt;"manual",$M425&lt;&gt;1)),
IF(Import.TipoArredondamento&lt;&gt;"TransfereGOV",
ROUND(OFFSET($P425,0,AI$13),15-13*ORÇAMENTO!$AF$7)/$H425*OFFSET(ORÇAMENTO!$X$15,ROW(AI425)-ROW(AI$15),0),
ROUND(ROUND(OFFSET($P425,0,AI$13),15-13*ORÇAMENTO!$AF$7)*OFFSET(ORÇAMENTO!$W$15,ROW(AI425)-ROW(AI$15),0),15-13*ORÇAMENTO!$AF$11)),0)</f>
        <v>0</v>
      </c>
      <c r="AJ425" s="545">
        <f ca="1">IF(AND($D425="Serviço",AJ$12&lt;&gt;0,$H425&gt;0,OR(AUTOEVENTO&lt;&gt;"manual",$M425&lt;&gt;1)),
IF(Import.TipoArredondamento&lt;&gt;"TransfereGOV",
ROUND(OFFSET($P425,0,AJ$13),15-13*ORÇAMENTO!$AF$7)/$H425*OFFSET(ORÇAMENTO!$X$15,ROW(AJ425)-ROW(AJ$15),0),
ROUND(ROUND(OFFSET($P425,0,AJ$13),15-13*ORÇAMENTO!$AF$7)*OFFSET(ORÇAMENTO!$W$15,ROW(AJ425)-ROW(AJ$15),0),15-13*ORÇAMENTO!$AF$11)),0)</f>
        <v>0</v>
      </c>
      <c r="AK425" s="546">
        <f ca="1">IF(AND($D425="Serviço",AK$12&lt;&gt;0,$H425&gt;0,OR(AUTOEVENTO&lt;&gt;"manual",$M425&lt;&gt;1)),
IF(Import.TipoArredondamento&lt;&gt;"TransfereGOV",
ROUND(OFFSET($P425,0,AK$13),15-13*ORÇAMENTO!$AF$7)/$H425*OFFSET(ORÇAMENTO!$X$15,ROW(AK425)-ROW(AK$15),0),
ROUND(ROUND(OFFSET($P425,0,AK$13),15-13*ORÇAMENTO!$AF$7)*OFFSET(ORÇAMENTO!$W$15,ROW(AK425)-ROW(AK$15),0),15-13*ORÇAMENTO!$AF$11)),0)</f>
        <v>0</v>
      </c>
      <c r="AM425" s="181">
        <f ca="1">IF($D425&lt;&gt;"Serviço",0,IF(AND(AUTOEVENTO="Manual",$M425=1),0,IF(OFFSET(CRONOPLE!$F$14,$M425,AM$13)="",10^12,OFFSET(CRONOPLE!$F$14,$M425,AM$13))))</f>
        <v>1000000000000</v>
      </c>
      <c r="AN425" s="181">
        <f ca="1">IF($D425&lt;&gt;"Serviço",0,IF(AND(AUTOEVENTO="Manual",$M425=1),0,IF(OFFSET(CRONOPLE!$F$14,$M425,AN$13)="",10^12,OFFSET(CRONOPLE!$F$14,$M425,AN$13))))</f>
        <v>1000000000000</v>
      </c>
      <c r="AO425" s="181">
        <f ca="1">IF($D425&lt;&gt;"Serviço",0,IF(AND(AUTOEVENTO="Manual",$M425=1),0,IF(OFFSET(CRONOPLE!$F$14,$M425,AO$13)="",10^12,OFFSET(CRONOPLE!$F$14,$M425,AO$13))))</f>
        <v>1000000000000</v>
      </c>
      <c r="AP425" s="181">
        <f ca="1">IF($D425&lt;&gt;"Serviço",0,IF(AND(AUTOEVENTO="Manual",$M425=1),0,IF(OFFSET(CRONOPLE!$F$14,$M425,AP$13)="",10^12,OFFSET(CRONOPLE!$F$14,$M425,AP$13))))</f>
        <v>1000000000000</v>
      </c>
      <c r="AQ425" s="181">
        <f ca="1">IF($D425&lt;&gt;"Serviço",0,IF(AND(AUTOEVENTO="Manual",$M425=1),0,IF(OFFSET(CRONOPLE!$F$14,$M425,AQ$13)="",10^12,OFFSET(CRONOPLE!$F$14,$M425,AQ$13))))</f>
        <v>1000000000000</v>
      </c>
      <c r="AR425" s="181">
        <f ca="1">IF($D425&lt;&gt;"Serviço",0,IF(AND(AUTOEVENTO="Manual",$M425=1),0,IF(OFFSET(CRONOPLE!$F$14,$M425,AR$13)="",10^12,OFFSET(CRONOPLE!$F$14,$M425,AR$13))))</f>
        <v>1000000000000</v>
      </c>
      <c r="AS425" s="181">
        <f ca="1">IF($D425&lt;&gt;"Serviço",0,IF(AND(AUTOEVENTO="Manual",$M425=1),0,IF(OFFSET(CRONOPLE!$F$14,$M425,AS$13)="",10^12,OFFSET(CRONOPLE!$F$14,$M425,AS$13))))</f>
        <v>1000000000000</v>
      </c>
      <c r="AT425" s="181">
        <f ca="1">IF($D425&lt;&gt;"Serviço",0,IF(AND(AUTOEVENTO="Manual",$M425=1),0,IF(OFFSET(CRONOPLE!$F$14,$M425,AT$13)="",10^12,OFFSET(CRONOPLE!$F$14,$M425,AT$13))))</f>
        <v>1000000000000</v>
      </c>
      <c r="AU425" s="181">
        <f ca="1">IF($D425&lt;&gt;"Serviço",0,IF(AND(AUTOEVENTO="Manual",$M425=1),0,IF(OFFSET(CRONOPLE!$F$14,$M425,AU$13)="",10^12,OFFSET(CRONOPLE!$F$14,$M425,AU$13))))</f>
        <v>1000000000000</v>
      </c>
      <c r="AV425" s="181">
        <f ca="1">IF($D425&lt;&gt;"Serviço",0,IF(AND(AUTOEVENTO="Manual",$M425=1),0,IF(OFFSET(CRONOPLE!$F$14,$M425,AV$13)="",10^12,OFFSET(CRONOPLE!$F$14,$M425,AV$13))))</f>
        <v>1000000000000</v>
      </c>
      <c r="AX425" s="182">
        <f ca="1">IF($D425&lt;&gt;"Serviço",0,IF(OR(AND(AUTOEVENTO="Manual",$M425=1),$M425&gt;(ROW(PLE.lastrow)-ROW(PLE.firstrow))),0,IF(OFFSET(PLE!$G$14,$M425,AX$13)="",10^12,OFFSET(PLE!$G$14,$M425,AX$13))))</f>
        <v>1000000000000</v>
      </c>
      <c r="AY425" s="182">
        <f ca="1">IF($D425&lt;&gt;"Serviço",0,IF(OR(AND(AUTOEVENTO="Manual",$M425=1),$M425&gt;(ROW(PLE.lastrow)-ROW(PLE.firstrow))),0,IF(OFFSET(PLE!$G$14,$M425,AY$13)="",10^12,OFFSET(PLE!$G$14,$M425,AY$13))))</f>
        <v>1000000000000</v>
      </c>
      <c r="AZ425" s="182">
        <f ca="1">IF($D425&lt;&gt;"Serviço",0,IF(OR(AND(AUTOEVENTO="Manual",$M425=1),$M425&gt;(ROW(PLE.lastrow)-ROW(PLE.firstrow))),0,IF(OFFSET(PLE!$G$14,$M425,AZ$13)="",10^12,OFFSET(PLE!$G$14,$M425,AZ$13))))</f>
        <v>1000000000000</v>
      </c>
      <c r="BA425" s="182">
        <f ca="1">IF($D425&lt;&gt;"Serviço",0,IF(OR(AND(AUTOEVENTO="Manual",$M425=1),$M425&gt;(ROW(PLE.lastrow)-ROW(PLE.firstrow))),0,IF(OFFSET(PLE!$G$14,$M425,BA$13)="",10^12,OFFSET(PLE!$G$14,$M425,BA$13))))</f>
        <v>1000000000000</v>
      </c>
      <c r="BB425" s="182">
        <f ca="1">IF($D425&lt;&gt;"Serviço",0,IF(OR(AND(AUTOEVENTO="Manual",$M425=1),$M425&gt;(ROW(PLE.lastrow)-ROW(PLE.firstrow))),0,IF(OFFSET(PLE!$G$14,$M425,BB$13)="",10^12,OFFSET(PLE!$G$14,$M425,BB$13))))</f>
        <v>1000000000000</v>
      </c>
      <c r="BC425" s="182">
        <f ca="1">IF($D425&lt;&gt;"Serviço",0,IF(OR(AND(AUTOEVENTO="Manual",$M425=1),$M425&gt;(ROW(PLE.lastrow)-ROW(PLE.firstrow))),0,IF(OFFSET(PLE!$G$14,$M425,BC$13)="",10^12,OFFSET(PLE!$G$14,$M425,BC$13))))</f>
        <v>1000000000000</v>
      </c>
      <c r="BD425" s="182">
        <f ca="1">IF($D425&lt;&gt;"Serviço",0,IF(OR(AND(AUTOEVENTO="Manual",$M425=1),$M425&gt;(ROW(PLE.lastrow)-ROW(PLE.firstrow))),0,IF(OFFSET(PLE!$G$14,$M425,BD$13)="",10^12,OFFSET(PLE!$G$14,$M425,BD$13))))</f>
        <v>1000000000000</v>
      </c>
      <c r="BE425" s="182">
        <f ca="1">IF($D425&lt;&gt;"Serviço",0,IF(OR(AND(AUTOEVENTO="Manual",$M425=1),$M425&gt;(ROW(PLE.lastrow)-ROW(PLE.firstrow))),0,IF(OFFSET(PLE!$G$14,$M425,BE$13)="",10^12,OFFSET(PLE!$G$14,$M425,BE$13))))</f>
        <v>1000000000000</v>
      </c>
      <c r="BF425" s="182">
        <f ca="1">IF($D425&lt;&gt;"Serviço",0,IF(OR(AND(AUTOEVENTO="Manual",$M425=1),$M425&gt;(ROW(PLE.lastrow)-ROW(PLE.firstrow))),0,IF(OFFSET(PLE!$G$14,$M425,BF$13)="",10^12,OFFSET(PLE!$G$14,$M425,BF$13))))</f>
        <v>1000000000000</v>
      </c>
      <c r="BG425" s="182">
        <f ca="1">IF($D425&lt;&gt;"Serviço",0,IF(OR(AND(AUTOEVENTO="Manual",$M425=1),$M425&gt;(ROW(PLE.lastrow)-ROW(PLE.firstrow))),0,IF(OFFSET(PLE!$G$14,$M425,BG$13)="",10^12,OFFSET(PLE!$G$14,$M425,BG$13))))</f>
        <v>1000000000000</v>
      </c>
    </row>
    <row r="426" spans="1:59" ht="12.75" x14ac:dyDescent="0.2">
      <c r="A426" s="7" t="str">
        <f t="shared" ref="A426:A449" ca="1" si="13">IF(AUTOEVENTO="Manual",IF(K426&lt;&gt;"",MIN(VALUE(LEFT(K426,FIND(".",K426)-1)),COUNTA(EVENTOS.Lista)),0),IF(OR($B426&gt;AUTOEVENTO,$B426="S",$B426=0),SUBSTITUTE(OFFSET($A426,-1,0),IF($D426="Serviço",".",""),""),ROW(A426)-ROW($A$15)&amp;"."))</f>
        <v>411.</v>
      </c>
      <c r="B426" s="7">
        <f ca="1">OFFSET(ORÇAMENTO!C$15,ROW(B426)-ROW(B$15),0)</f>
        <v>2</v>
      </c>
      <c r="C426" s="7" t="str">
        <f ca="1">OFFSET(ORÇAMENTO!L$15,ROW(C426)-ROW(C$15),0)</f>
        <v>F</v>
      </c>
      <c r="D426" s="118" t="str">
        <f ca="1">OFFSET(ORÇAMENTO!N$15,ROW(D426)-ROW(D$15),0)</f>
        <v>Nível 2</v>
      </c>
      <c r="E426" s="119" t="str">
        <f ca="1">OFFSET(ORÇAMENTO!O$15,ROW(E426)-ROW(E$15),0)</f>
        <v>1.16.</v>
      </c>
      <c r="F426" s="172" t="str">
        <f ca="1">OFFSET(ORÇAMENTO!R$15,ROW(F426)-ROW(F$15),0)</f>
        <v>SISTEMA DE PROTEÇÃO CONTRA INCÊNDIO</v>
      </c>
      <c r="G426" s="173" t="str">
        <f ca="1">IF($D426&lt;&gt;"Serviço","",OFFSET(ORÇAMENTO!S$15,ROW(G426)-ROW(G$15),0))</f>
        <v/>
      </c>
      <c r="H426" s="124">
        <f ca="1">IF($D426&lt;&gt;"Serviço",0,IF(ACOMPANHAMENTO="BM",ROUND(OFFSET(ORÇAMENTO!AJ$15,ROW(H426)-ROW(H$15),0),15-13*ORÇAMENTO!$AF$7),SUMPRODUCT(($Q$12:$AA$12&lt;&gt;"")*ROUND($Q426:$AA426,15-13*ORÇAMENTO!$AF$7))))</f>
        <v>0</v>
      </c>
      <c r="I426" s="561"/>
      <c r="K426" s="174"/>
      <c r="L426" s="175" t="s">
        <v>255</v>
      </c>
      <c r="M426" s="176" t="str">
        <f ca="1">IF($D426&lt;&gt;"Serviço","",IF(AUTOEVENTO="manual",$A426,IF(ISERROR(MATCH($A426,$A$15:OFFSET($A426,-1,0),0)),MAX($M$15:OFFSET(M426,-1,0))+1,INDEX($M$15:OFFSET(M426,-1,0),MATCH($A426,$A$15:OFFSET($A426,-1,0),0)))))</f>
        <v/>
      </c>
      <c r="N426" s="177" t="str">
        <f ca="1">IF($D426&lt;&gt;"Serviço","",IF(AUTOEVENTO="Manual",IF($A426=0,"&lt;-- defina o número do agrupador",OFFSET(EVENTOS!$D$14,$A426,0)),OFFSET($F$15,$A426,0)))</f>
        <v/>
      </c>
      <c r="O426" s="178"/>
      <c r="Q426" s="178"/>
      <c r="R426" s="179"/>
      <c r="S426" s="179"/>
      <c r="T426" s="179"/>
      <c r="U426" s="179"/>
      <c r="V426" s="179"/>
      <c r="W426" s="179"/>
      <c r="X426" s="179"/>
      <c r="Y426" s="179"/>
      <c r="Z426" s="180"/>
      <c r="AB426" s="544">
        <f ca="1">IF(AND($D426="Serviço",AB$12&lt;&gt;0,$H426&gt;0,OR(AUTOEVENTO&lt;&gt;"manual",$M426&lt;&gt;1)),
IF(Import.TipoArredondamento&lt;&gt;"TransfereGOV",
ROUND(OFFSET($P426,0,AB$13),15-13*ORÇAMENTO!$AF$7)/$H426*OFFSET(ORÇAMENTO!$X$15,ROW(AB426)-ROW(AB$15),0),
ROUND(ROUND(OFFSET($P426,0,AB$13),15-13*ORÇAMENTO!$AF$7)*OFFSET(ORÇAMENTO!$W$15,ROW(AB426)-ROW(AB$15),0),15-13*ORÇAMENTO!$AF$11)),0)</f>
        <v>0</v>
      </c>
      <c r="AC426" s="545">
        <f ca="1">IF(AND($D426="Serviço",AC$12&lt;&gt;0,$H426&gt;0,OR(AUTOEVENTO&lt;&gt;"manual",$M426&lt;&gt;1)),
IF(Import.TipoArredondamento&lt;&gt;"TransfereGOV",
ROUND(OFFSET($P426,0,AC$13),15-13*ORÇAMENTO!$AF$7)/$H426*OFFSET(ORÇAMENTO!$X$15,ROW(AC426)-ROW(AC$15),0),
ROUND(ROUND(OFFSET($P426,0,AC$13),15-13*ORÇAMENTO!$AF$7)*OFFSET(ORÇAMENTO!$W$15,ROW(AC426)-ROW(AC$15),0),15-13*ORÇAMENTO!$AF$11)),0)</f>
        <v>0</v>
      </c>
      <c r="AD426" s="545">
        <f ca="1">IF(AND($D426="Serviço",AD$12&lt;&gt;0,$H426&gt;0,OR(AUTOEVENTO&lt;&gt;"manual",$M426&lt;&gt;1)),
IF(Import.TipoArredondamento&lt;&gt;"TransfereGOV",
ROUND(OFFSET($P426,0,AD$13),15-13*ORÇAMENTO!$AF$7)/$H426*OFFSET(ORÇAMENTO!$X$15,ROW(AD426)-ROW(AD$15),0),
ROUND(ROUND(OFFSET($P426,0,AD$13),15-13*ORÇAMENTO!$AF$7)*OFFSET(ORÇAMENTO!$W$15,ROW(AD426)-ROW(AD$15),0),15-13*ORÇAMENTO!$AF$11)),0)</f>
        <v>0</v>
      </c>
      <c r="AE426" s="545">
        <f ca="1">IF(AND($D426="Serviço",AE$12&lt;&gt;0,$H426&gt;0,OR(AUTOEVENTO&lt;&gt;"manual",$M426&lt;&gt;1)),
IF(Import.TipoArredondamento&lt;&gt;"TransfereGOV",
ROUND(OFFSET($P426,0,AE$13),15-13*ORÇAMENTO!$AF$7)/$H426*OFFSET(ORÇAMENTO!$X$15,ROW(AE426)-ROW(AE$15),0),
ROUND(ROUND(OFFSET($P426,0,AE$13),15-13*ORÇAMENTO!$AF$7)*OFFSET(ORÇAMENTO!$W$15,ROW(AE426)-ROW(AE$15),0),15-13*ORÇAMENTO!$AF$11)),0)</f>
        <v>0</v>
      </c>
      <c r="AF426" s="545">
        <f ca="1">IF(AND($D426="Serviço",AF$12&lt;&gt;0,$H426&gt;0,OR(AUTOEVENTO&lt;&gt;"manual",$M426&lt;&gt;1)),
IF(Import.TipoArredondamento&lt;&gt;"TransfereGOV",
ROUND(OFFSET($P426,0,AF$13),15-13*ORÇAMENTO!$AF$7)/$H426*OFFSET(ORÇAMENTO!$X$15,ROW(AF426)-ROW(AF$15),0),
ROUND(ROUND(OFFSET($P426,0,AF$13),15-13*ORÇAMENTO!$AF$7)*OFFSET(ORÇAMENTO!$W$15,ROW(AF426)-ROW(AF$15),0),15-13*ORÇAMENTO!$AF$11)),0)</f>
        <v>0</v>
      </c>
      <c r="AG426" s="545">
        <f ca="1">IF(AND($D426="Serviço",AG$12&lt;&gt;0,$H426&gt;0,OR(AUTOEVENTO&lt;&gt;"manual",$M426&lt;&gt;1)),
IF(Import.TipoArredondamento&lt;&gt;"TransfereGOV",
ROUND(OFFSET($P426,0,AG$13),15-13*ORÇAMENTO!$AF$7)/$H426*OFFSET(ORÇAMENTO!$X$15,ROW(AG426)-ROW(AG$15),0),
ROUND(ROUND(OFFSET($P426,0,AG$13),15-13*ORÇAMENTO!$AF$7)*OFFSET(ORÇAMENTO!$W$15,ROW(AG426)-ROW(AG$15),0),15-13*ORÇAMENTO!$AF$11)),0)</f>
        <v>0</v>
      </c>
      <c r="AH426" s="545">
        <f ca="1">IF(AND($D426="Serviço",AH$12&lt;&gt;0,$H426&gt;0,OR(AUTOEVENTO&lt;&gt;"manual",$M426&lt;&gt;1)),
IF(Import.TipoArredondamento&lt;&gt;"TransfereGOV",
ROUND(OFFSET($P426,0,AH$13),15-13*ORÇAMENTO!$AF$7)/$H426*OFFSET(ORÇAMENTO!$X$15,ROW(AH426)-ROW(AH$15),0),
ROUND(ROUND(OFFSET($P426,0,AH$13),15-13*ORÇAMENTO!$AF$7)*OFFSET(ORÇAMENTO!$W$15,ROW(AH426)-ROW(AH$15),0),15-13*ORÇAMENTO!$AF$11)),0)</f>
        <v>0</v>
      </c>
      <c r="AI426" s="545">
        <f ca="1">IF(AND($D426="Serviço",AI$12&lt;&gt;0,$H426&gt;0,OR(AUTOEVENTO&lt;&gt;"manual",$M426&lt;&gt;1)),
IF(Import.TipoArredondamento&lt;&gt;"TransfereGOV",
ROUND(OFFSET($P426,0,AI$13),15-13*ORÇAMENTO!$AF$7)/$H426*OFFSET(ORÇAMENTO!$X$15,ROW(AI426)-ROW(AI$15),0),
ROUND(ROUND(OFFSET($P426,0,AI$13),15-13*ORÇAMENTO!$AF$7)*OFFSET(ORÇAMENTO!$W$15,ROW(AI426)-ROW(AI$15),0),15-13*ORÇAMENTO!$AF$11)),0)</f>
        <v>0</v>
      </c>
      <c r="AJ426" s="545">
        <f ca="1">IF(AND($D426="Serviço",AJ$12&lt;&gt;0,$H426&gt;0,OR(AUTOEVENTO&lt;&gt;"manual",$M426&lt;&gt;1)),
IF(Import.TipoArredondamento&lt;&gt;"TransfereGOV",
ROUND(OFFSET($P426,0,AJ$13),15-13*ORÇAMENTO!$AF$7)/$H426*OFFSET(ORÇAMENTO!$X$15,ROW(AJ426)-ROW(AJ$15),0),
ROUND(ROUND(OFFSET($P426,0,AJ$13),15-13*ORÇAMENTO!$AF$7)*OFFSET(ORÇAMENTO!$W$15,ROW(AJ426)-ROW(AJ$15),0),15-13*ORÇAMENTO!$AF$11)),0)</f>
        <v>0</v>
      </c>
      <c r="AK426" s="546">
        <f ca="1">IF(AND($D426="Serviço",AK$12&lt;&gt;0,$H426&gt;0,OR(AUTOEVENTO&lt;&gt;"manual",$M426&lt;&gt;1)),
IF(Import.TipoArredondamento&lt;&gt;"TransfereGOV",
ROUND(OFFSET($P426,0,AK$13),15-13*ORÇAMENTO!$AF$7)/$H426*OFFSET(ORÇAMENTO!$X$15,ROW(AK426)-ROW(AK$15),0),
ROUND(ROUND(OFFSET($P426,0,AK$13),15-13*ORÇAMENTO!$AF$7)*OFFSET(ORÇAMENTO!$W$15,ROW(AK426)-ROW(AK$15),0),15-13*ORÇAMENTO!$AF$11)),0)</f>
        <v>0</v>
      </c>
      <c r="AM426" s="181">
        <f ca="1">IF($D426&lt;&gt;"Serviço",0,IF(AND(AUTOEVENTO="Manual",$M426=1),0,IF(OFFSET(CRONOPLE!$F$14,$M426,AM$13)="",10^12,OFFSET(CRONOPLE!$F$14,$M426,AM$13))))</f>
        <v>0</v>
      </c>
      <c r="AN426" s="181">
        <f ca="1">IF($D426&lt;&gt;"Serviço",0,IF(AND(AUTOEVENTO="Manual",$M426=1),0,IF(OFFSET(CRONOPLE!$F$14,$M426,AN$13)="",10^12,OFFSET(CRONOPLE!$F$14,$M426,AN$13))))</f>
        <v>0</v>
      </c>
      <c r="AO426" s="181">
        <f ca="1">IF($D426&lt;&gt;"Serviço",0,IF(AND(AUTOEVENTO="Manual",$M426=1),0,IF(OFFSET(CRONOPLE!$F$14,$M426,AO$13)="",10^12,OFFSET(CRONOPLE!$F$14,$M426,AO$13))))</f>
        <v>0</v>
      </c>
      <c r="AP426" s="181">
        <f ca="1">IF($D426&lt;&gt;"Serviço",0,IF(AND(AUTOEVENTO="Manual",$M426=1),0,IF(OFFSET(CRONOPLE!$F$14,$M426,AP$13)="",10^12,OFFSET(CRONOPLE!$F$14,$M426,AP$13))))</f>
        <v>0</v>
      </c>
      <c r="AQ426" s="181">
        <f ca="1">IF($D426&lt;&gt;"Serviço",0,IF(AND(AUTOEVENTO="Manual",$M426=1),0,IF(OFFSET(CRONOPLE!$F$14,$M426,AQ$13)="",10^12,OFFSET(CRONOPLE!$F$14,$M426,AQ$13))))</f>
        <v>0</v>
      </c>
      <c r="AR426" s="181">
        <f ca="1">IF($D426&lt;&gt;"Serviço",0,IF(AND(AUTOEVENTO="Manual",$M426=1),0,IF(OFFSET(CRONOPLE!$F$14,$M426,AR$13)="",10^12,OFFSET(CRONOPLE!$F$14,$M426,AR$13))))</f>
        <v>0</v>
      </c>
      <c r="AS426" s="181">
        <f ca="1">IF($D426&lt;&gt;"Serviço",0,IF(AND(AUTOEVENTO="Manual",$M426=1),0,IF(OFFSET(CRONOPLE!$F$14,$M426,AS$13)="",10^12,OFFSET(CRONOPLE!$F$14,$M426,AS$13))))</f>
        <v>0</v>
      </c>
      <c r="AT426" s="181">
        <f ca="1">IF($D426&lt;&gt;"Serviço",0,IF(AND(AUTOEVENTO="Manual",$M426=1),0,IF(OFFSET(CRONOPLE!$F$14,$M426,AT$13)="",10^12,OFFSET(CRONOPLE!$F$14,$M426,AT$13))))</f>
        <v>0</v>
      </c>
      <c r="AU426" s="181">
        <f ca="1">IF($D426&lt;&gt;"Serviço",0,IF(AND(AUTOEVENTO="Manual",$M426=1),0,IF(OFFSET(CRONOPLE!$F$14,$M426,AU$13)="",10^12,OFFSET(CRONOPLE!$F$14,$M426,AU$13))))</f>
        <v>0</v>
      </c>
      <c r="AV426" s="181">
        <f ca="1">IF($D426&lt;&gt;"Serviço",0,IF(AND(AUTOEVENTO="Manual",$M426=1),0,IF(OFFSET(CRONOPLE!$F$14,$M426,AV$13)="",10^12,OFFSET(CRONOPLE!$F$14,$M426,AV$13))))</f>
        <v>0</v>
      </c>
      <c r="AX426" s="182">
        <f ca="1">IF($D426&lt;&gt;"Serviço",0,IF(OR(AND(AUTOEVENTO="Manual",$M426=1),$M426&gt;(ROW(PLE.lastrow)-ROW(PLE.firstrow))),0,IF(OFFSET(PLE!$G$14,$M426,AX$13)="",10^12,OFFSET(PLE!$G$14,$M426,AX$13))))</f>
        <v>0</v>
      </c>
      <c r="AY426" s="182">
        <f ca="1">IF($D426&lt;&gt;"Serviço",0,IF(OR(AND(AUTOEVENTO="Manual",$M426=1),$M426&gt;(ROW(PLE.lastrow)-ROW(PLE.firstrow))),0,IF(OFFSET(PLE!$G$14,$M426,AY$13)="",10^12,OFFSET(PLE!$G$14,$M426,AY$13))))</f>
        <v>0</v>
      </c>
      <c r="AZ426" s="182">
        <f ca="1">IF($D426&lt;&gt;"Serviço",0,IF(OR(AND(AUTOEVENTO="Manual",$M426=1),$M426&gt;(ROW(PLE.lastrow)-ROW(PLE.firstrow))),0,IF(OFFSET(PLE!$G$14,$M426,AZ$13)="",10^12,OFFSET(PLE!$G$14,$M426,AZ$13))))</f>
        <v>0</v>
      </c>
      <c r="BA426" s="182">
        <f ca="1">IF($D426&lt;&gt;"Serviço",0,IF(OR(AND(AUTOEVENTO="Manual",$M426=1),$M426&gt;(ROW(PLE.lastrow)-ROW(PLE.firstrow))),0,IF(OFFSET(PLE!$G$14,$M426,BA$13)="",10^12,OFFSET(PLE!$G$14,$M426,BA$13))))</f>
        <v>0</v>
      </c>
      <c r="BB426" s="182">
        <f ca="1">IF($D426&lt;&gt;"Serviço",0,IF(OR(AND(AUTOEVENTO="Manual",$M426=1),$M426&gt;(ROW(PLE.lastrow)-ROW(PLE.firstrow))),0,IF(OFFSET(PLE!$G$14,$M426,BB$13)="",10^12,OFFSET(PLE!$G$14,$M426,BB$13))))</f>
        <v>0</v>
      </c>
      <c r="BC426" s="182">
        <f ca="1">IF($D426&lt;&gt;"Serviço",0,IF(OR(AND(AUTOEVENTO="Manual",$M426=1),$M426&gt;(ROW(PLE.lastrow)-ROW(PLE.firstrow))),0,IF(OFFSET(PLE!$G$14,$M426,BC$13)="",10^12,OFFSET(PLE!$G$14,$M426,BC$13))))</f>
        <v>0</v>
      </c>
      <c r="BD426" s="182">
        <f ca="1">IF($D426&lt;&gt;"Serviço",0,IF(OR(AND(AUTOEVENTO="Manual",$M426=1),$M426&gt;(ROW(PLE.lastrow)-ROW(PLE.firstrow))),0,IF(OFFSET(PLE!$G$14,$M426,BD$13)="",10^12,OFFSET(PLE!$G$14,$M426,BD$13))))</f>
        <v>0</v>
      </c>
      <c r="BE426" s="182">
        <f ca="1">IF($D426&lt;&gt;"Serviço",0,IF(OR(AND(AUTOEVENTO="Manual",$M426=1),$M426&gt;(ROW(PLE.lastrow)-ROW(PLE.firstrow))),0,IF(OFFSET(PLE!$G$14,$M426,BE$13)="",10^12,OFFSET(PLE!$G$14,$M426,BE$13))))</f>
        <v>0</v>
      </c>
      <c r="BF426" s="182">
        <f ca="1">IF($D426&lt;&gt;"Serviço",0,IF(OR(AND(AUTOEVENTO="Manual",$M426=1),$M426&gt;(ROW(PLE.lastrow)-ROW(PLE.firstrow))),0,IF(OFFSET(PLE!$G$14,$M426,BF$13)="",10^12,OFFSET(PLE!$G$14,$M426,BF$13))))</f>
        <v>0</v>
      </c>
      <c r="BG426" s="182">
        <f ca="1">IF($D426&lt;&gt;"Serviço",0,IF(OR(AND(AUTOEVENTO="Manual",$M426=1),$M426&gt;(ROW(PLE.lastrow)-ROW(PLE.firstrow))),0,IF(OFFSET(PLE!$G$14,$M426,BG$13)="",10^12,OFFSET(PLE!$G$14,$M426,BG$13))))</f>
        <v>0</v>
      </c>
    </row>
    <row r="427" spans="1:59" ht="12.75" x14ac:dyDescent="0.2">
      <c r="A427" s="7" t="str">
        <f t="shared" ca="1" si="13"/>
        <v>411.</v>
      </c>
      <c r="B427" s="7">
        <f ca="1">OFFSET(ORÇAMENTO!C$15,ROW(B427)-ROW(B$15),0)</f>
        <v>3</v>
      </c>
      <c r="C427" s="7" t="str">
        <f ca="1">OFFSET(ORÇAMENTO!L$15,ROW(C427)-ROW(C$15),0)</f>
        <v>F</v>
      </c>
      <c r="D427" s="118" t="str">
        <f ca="1">OFFSET(ORÇAMENTO!N$15,ROW(D427)-ROW(D$15),0)</f>
        <v>Nível 3</v>
      </c>
      <c r="E427" s="119" t="str">
        <f ca="1">OFFSET(ORÇAMENTO!O$15,ROW(E427)-ROW(E$15),0)</f>
        <v>1.16.1.</v>
      </c>
      <c r="F427" s="172" t="str">
        <f ca="1">OFFSET(ORÇAMENTO!R$15,ROW(F427)-ROW(F$15),0)</f>
        <v>EXTINTORES</v>
      </c>
      <c r="G427" s="173" t="str">
        <f ca="1">IF($D427&lt;&gt;"Serviço","",OFFSET(ORÇAMENTO!S$15,ROW(G427)-ROW(G$15),0))</f>
        <v/>
      </c>
      <c r="H427" s="124">
        <f ca="1">IF($D427&lt;&gt;"Serviço",0,IF(ACOMPANHAMENTO="BM",ROUND(OFFSET(ORÇAMENTO!AJ$15,ROW(H427)-ROW(H$15),0),15-13*ORÇAMENTO!$AF$7),SUMPRODUCT(($Q$12:$AA$12&lt;&gt;"")*ROUND($Q427:$AA427,15-13*ORÇAMENTO!$AF$7))))</f>
        <v>0</v>
      </c>
      <c r="I427" s="561"/>
      <c r="K427" s="174"/>
      <c r="L427" s="175" t="s">
        <v>255</v>
      </c>
      <c r="M427" s="176" t="str">
        <f ca="1">IF($D427&lt;&gt;"Serviço","",IF(AUTOEVENTO="manual",$A427,IF(ISERROR(MATCH($A427,$A$15:OFFSET($A427,-1,0),0)),MAX($M$15:OFFSET(M427,-1,0))+1,INDEX($M$15:OFFSET(M427,-1,0),MATCH($A427,$A$15:OFFSET($A427,-1,0),0)))))</f>
        <v/>
      </c>
      <c r="N427" s="177" t="str">
        <f ca="1">IF($D427&lt;&gt;"Serviço","",IF(AUTOEVENTO="Manual",IF($A427=0,"&lt;-- defina o número do agrupador",OFFSET(EVENTOS!$D$14,$A427,0)),OFFSET($F$15,$A427,0)))</f>
        <v/>
      </c>
      <c r="O427" s="178"/>
      <c r="Q427" s="178"/>
      <c r="R427" s="179"/>
      <c r="S427" s="179"/>
      <c r="T427" s="179"/>
      <c r="U427" s="179"/>
      <c r="V427" s="179"/>
      <c r="W427" s="179"/>
      <c r="X427" s="179"/>
      <c r="Y427" s="179"/>
      <c r="Z427" s="180"/>
      <c r="AB427" s="544">
        <f ca="1">IF(AND($D427="Serviço",AB$12&lt;&gt;0,$H427&gt;0,OR(AUTOEVENTO&lt;&gt;"manual",$M427&lt;&gt;1)),
IF(Import.TipoArredondamento&lt;&gt;"TransfereGOV",
ROUND(OFFSET($P427,0,AB$13),15-13*ORÇAMENTO!$AF$7)/$H427*OFFSET(ORÇAMENTO!$X$15,ROW(AB427)-ROW(AB$15),0),
ROUND(ROUND(OFFSET($P427,0,AB$13),15-13*ORÇAMENTO!$AF$7)*OFFSET(ORÇAMENTO!$W$15,ROW(AB427)-ROW(AB$15),0),15-13*ORÇAMENTO!$AF$11)),0)</f>
        <v>0</v>
      </c>
      <c r="AC427" s="545">
        <f ca="1">IF(AND($D427="Serviço",AC$12&lt;&gt;0,$H427&gt;0,OR(AUTOEVENTO&lt;&gt;"manual",$M427&lt;&gt;1)),
IF(Import.TipoArredondamento&lt;&gt;"TransfereGOV",
ROUND(OFFSET($P427,0,AC$13),15-13*ORÇAMENTO!$AF$7)/$H427*OFFSET(ORÇAMENTO!$X$15,ROW(AC427)-ROW(AC$15),0),
ROUND(ROUND(OFFSET($P427,0,AC$13),15-13*ORÇAMENTO!$AF$7)*OFFSET(ORÇAMENTO!$W$15,ROW(AC427)-ROW(AC$15),0),15-13*ORÇAMENTO!$AF$11)),0)</f>
        <v>0</v>
      </c>
      <c r="AD427" s="545">
        <f ca="1">IF(AND($D427="Serviço",AD$12&lt;&gt;0,$H427&gt;0,OR(AUTOEVENTO&lt;&gt;"manual",$M427&lt;&gt;1)),
IF(Import.TipoArredondamento&lt;&gt;"TransfereGOV",
ROUND(OFFSET($P427,0,AD$13),15-13*ORÇAMENTO!$AF$7)/$H427*OFFSET(ORÇAMENTO!$X$15,ROW(AD427)-ROW(AD$15),0),
ROUND(ROUND(OFFSET($P427,0,AD$13),15-13*ORÇAMENTO!$AF$7)*OFFSET(ORÇAMENTO!$W$15,ROW(AD427)-ROW(AD$15),0),15-13*ORÇAMENTO!$AF$11)),0)</f>
        <v>0</v>
      </c>
      <c r="AE427" s="545">
        <f ca="1">IF(AND($D427="Serviço",AE$12&lt;&gt;0,$H427&gt;0,OR(AUTOEVENTO&lt;&gt;"manual",$M427&lt;&gt;1)),
IF(Import.TipoArredondamento&lt;&gt;"TransfereGOV",
ROUND(OFFSET($P427,0,AE$13),15-13*ORÇAMENTO!$AF$7)/$H427*OFFSET(ORÇAMENTO!$X$15,ROW(AE427)-ROW(AE$15),0),
ROUND(ROUND(OFFSET($P427,0,AE$13),15-13*ORÇAMENTO!$AF$7)*OFFSET(ORÇAMENTO!$W$15,ROW(AE427)-ROW(AE$15),0),15-13*ORÇAMENTO!$AF$11)),0)</f>
        <v>0</v>
      </c>
      <c r="AF427" s="545">
        <f ca="1">IF(AND($D427="Serviço",AF$12&lt;&gt;0,$H427&gt;0,OR(AUTOEVENTO&lt;&gt;"manual",$M427&lt;&gt;1)),
IF(Import.TipoArredondamento&lt;&gt;"TransfereGOV",
ROUND(OFFSET($P427,0,AF$13),15-13*ORÇAMENTO!$AF$7)/$H427*OFFSET(ORÇAMENTO!$X$15,ROW(AF427)-ROW(AF$15),0),
ROUND(ROUND(OFFSET($P427,0,AF$13),15-13*ORÇAMENTO!$AF$7)*OFFSET(ORÇAMENTO!$W$15,ROW(AF427)-ROW(AF$15),0),15-13*ORÇAMENTO!$AF$11)),0)</f>
        <v>0</v>
      </c>
      <c r="AG427" s="545">
        <f ca="1">IF(AND($D427="Serviço",AG$12&lt;&gt;0,$H427&gt;0,OR(AUTOEVENTO&lt;&gt;"manual",$M427&lt;&gt;1)),
IF(Import.TipoArredondamento&lt;&gt;"TransfereGOV",
ROUND(OFFSET($P427,0,AG$13),15-13*ORÇAMENTO!$AF$7)/$H427*OFFSET(ORÇAMENTO!$X$15,ROW(AG427)-ROW(AG$15),0),
ROUND(ROUND(OFFSET($P427,0,AG$13),15-13*ORÇAMENTO!$AF$7)*OFFSET(ORÇAMENTO!$W$15,ROW(AG427)-ROW(AG$15),0),15-13*ORÇAMENTO!$AF$11)),0)</f>
        <v>0</v>
      </c>
      <c r="AH427" s="545">
        <f ca="1">IF(AND($D427="Serviço",AH$12&lt;&gt;0,$H427&gt;0,OR(AUTOEVENTO&lt;&gt;"manual",$M427&lt;&gt;1)),
IF(Import.TipoArredondamento&lt;&gt;"TransfereGOV",
ROUND(OFFSET($P427,0,AH$13),15-13*ORÇAMENTO!$AF$7)/$H427*OFFSET(ORÇAMENTO!$X$15,ROW(AH427)-ROW(AH$15),0),
ROUND(ROUND(OFFSET($P427,0,AH$13),15-13*ORÇAMENTO!$AF$7)*OFFSET(ORÇAMENTO!$W$15,ROW(AH427)-ROW(AH$15),0),15-13*ORÇAMENTO!$AF$11)),0)</f>
        <v>0</v>
      </c>
      <c r="AI427" s="545">
        <f ca="1">IF(AND($D427="Serviço",AI$12&lt;&gt;0,$H427&gt;0,OR(AUTOEVENTO&lt;&gt;"manual",$M427&lt;&gt;1)),
IF(Import.TipoArredondamento&lt;&gt;"TransfereGOV",
ROUND(OFFSET($P427,0,AI$13),15-13*ORÇAMENTO!$AF$7)/$H427*OFFSET(ORÇAMENTO!$X$15,ROW(AI427)-ROW(AI$15),0),
ROUND(ROUND(OFFSET($P427,0,AI$13),15-13*ORÇAMENTO!$AF$7)*OFFSET(ORÇAMENTO!$W$15,ROW(AI427)-ROW(AI$15),0),15-13*ORÇAMENTO!$AF$11)),0)</f>
        <v>0</v>
      </c>
      <c r="AJ427" s="545">
        <f ca="1">IF(AND($D427="Serviço",AJ$12&lt;&gt;0,$H427&gt;0,OR(AUTOEVENTO&lt;&gt;"manual",$M427&lt;&gt;1)),
IF(Import.TipoArredondamento&lt;&gt;"TransfereGOV",
ROUND(OFFSET($P427,0,AJ$13),15-13*ORÇAMENTO!$AF$7)/$H427*OFFSET(ORÇAMENTO!$X$15,ROW(AJ427)-ROW(AJ$15),0),
ROUND(ROUND(OFFSET($P427,0,AJ$13),15-13*ORÇAMENTO!$AF$7)*OFFSET(ORÇAMENTO!$W$15,ROW(AJ427)-ROW(AJ$15),0),15-13*ORÇAMENTO!$AF$11)),0)</f>
        <v>0</v>
      </c>
      <c r="AK427" s="546">
        <f ca="1">IF(AND($D427="Serviço",AK$12&lt;&gt;0,$H427&gt;0,OR(AUTOEVENTO&lt;&gt;"manual",$M427&lt;&gt;1)),
IF(Import.TipoArredondamento&lt;&gt;"TransfereGOV",
ROUND(OFFSET($P427,0,AK$13),15-13*ORÇAMENTO!$AF$7)/$H427*OFFSET(ORÇAMENTO!$X$15,ROW(AK427)-ROW(AK$15),0),
ROUND(ROUND(OFFSET($P427,0,AK$13),15-13*ORÇAMENTO!$AF$7)*OFFSET(ORÇAMENTO!$W$15,ROW(AK427)-ROW(AK$15),0),15-13*ORÇAMENTO!$AF$11)),0)</f>
        <v>0</v>
      </c>
      <c r="AM427" s="181">
        <f ca="1">IF($D427&lt;&gt;"Serviço",0,IF(AND(AUTOEVENTO="Manual",$M427=1),0,IF(OFFSET(CRONOPLE!$F$14,$M427,AM$13)="",10^12,OFFSET(CRONOPLE!$F$14,$M427,AM$13))))</f>
        <v>0</v>
      </c>
      <c r="AN427" s="181">
        <f ca="1">IF($D427&lt;&gt;"Serviço",0,IF(AND(AUTOEVENTO="Manual",$M427=1),0,IF(OFFSET(CRONOPLE!$F$14,$M427,AN$13)="",10^12,OFFSET(CRONOPLE!$F$14,$M427,AN$13))))</f>
        <v>0</v>
      </c>
      <c r="AO427" s="181">
        <f ca="1">IF($D427&lt;&gt;"Serviço",0,IF(AND(AUTOEVENTO="Manual",$M427=1),0,IF(OFFSET(CRONOPLE!$F$14,$M427,AO$13)="",10^12,OFFSET(CRONOPLE!$F$14,$M427,AO$13))))</f>
        <v>0</v>
      </c>
      <c r="AP427" s="181">
        <f ca="1">IF($D427&lt;&gt;"Serviço",0,IF(AND(AUTOEVENTO="Manual",$M427=1),0,IF(OFFSET(CRONOPLE!$F$14,$M427,AP$13)="",10^12,OFFSET(CRONOPLE!$F$14,$M427,AP$13))))</f>
        <v>0</v>
      </c>
      <c r="AQ427" s="181">
        <f ca="1">IF($D427&lt;&gt;"Serviço",0,IF(AND(AUTOEVENTO="Manual",$M427=1),0,IF(OFFSET(CRONOPLE!$F$14,$M427,AQ$13)="",10^12,OFFSET(CRONOPLE!$F$14,$M427,AQ$13))))</f>
        <v>0</v>
      </c>
      <c r="AR427" s="181">
        <f ca="1">IF($D427&lt;&gt;"Serviço",0,IF(AND(AUTOEVENTO="Manual",$M427=1),0,IF(OFFSET(CRONOPLE!$F$14,$M427,AR$13)="",10^12,OFFSET(CRONOPLE!$F$14,$M427,AR$13))))</f>
        <v>0</v>
      </c>
      <c r="AS427" s="181">
        <f ca="1">IF($D427&lt;&gt;"Serviço",0,IF(AND(AUTOEVENTO="Manual",$M427=1),0,IF(OFFSET(CRONOPLE!$F$14,$M427,AS$13)="",10^12,OFFSET(CRONOPLE!$F$14,$M427,AS$13))))</f>
        <v>0</v>
      </c>
      <c r="AT427" s="181">
        <f ca="1">IF($D427&lt;&gt;"Serviço",0,IF(AND(AUTOEVENTO="Manual",$M427=1),0,IF(OFFSET(CRONOPLE!$F$14,$M427,AT$13)="",10^12,OFFSET(CRONOPLE!$F$14,$M427,AT$13))))</f>
        <v>0</v>
      </c>
      <c r="AU427" s="181">
        <f ca="1">IF($D427&lt;&gt;"Serviço",0,IF(AND(AUTOEVENTO="Manual",$M427=1),0,IF(OFFSET(CRONOPLE!$F$14,$M427,AU$13)="",10^12,OFFSET(CRONOPLE!$F$14,$M427,AU$13))))</f>
        <v>0</v>
      </c>
      <c r="AV427" s="181">
        <f ca="1">IF($D427&lt;&gt;"Serviço",0,IF(AND(AUTOEVENTO="Manual",$M427=1),0,IF(OFFSET(CRONOPLE!$F$14,$M427,AV$13)="",10^12,OFFSET(CRONOPLE!$F$14,$M427,AV$13))))</f>
        <v>0</v>
      </c>
      <c r="AX427" s="182">
        <f ca="1">IF($D427&lt;&gt;"Serviço",0,IF(OR(AND(AUTOEVENTO="Manual",$M427=1),$M427&gt;(ROW(PLE.lastrow)-ROW(PLE.firstrow))),0,IF(OFFSET(PLE!$G$14,$M427,AX$13)="",10^12,OFFSET(PLE!$G$14,$M427,AX$13))))</f>
        <v>0</v>
      </c>
      <c r="AY427" s="182">
        <f ca="1">IF($D427&lt;&gt;"Serviço",0,IF(OR(AND(AUTOEVENTO="Manual",$M427=1),$M427&gt;(ROW(PLE.lastrow)-ROW(PLE.firstrow))),0,IF(OFFSET(PLE!$G$14,$M427,AY$13)="",10^12,OFFSET(PLE!$G$14,$M427,AY$13))))</f>
        <v>0</v>
      </c>
      <c r="AZ427" s="182">
        <f ca="1">IF($D427&lt;&gt;"Serviço",0,IF(OR(AND(AUTOEVENTO="Manual",$M427=1),$M427&gt;(ROW(PLE.lastrow)-ROW(PLE.firstrow))),0,IF(OFFSET(PLE!$G$14,$M427,AZ$13)="",10^12,OFFSET(PLE!$G$14,$M427,AZ$13))))</f>
        <v>0</v>
      </c>
      <c r="BA427" s="182">
        <f ca="1">IF($D427&lt;&gt;"Serviço",0,IF(OR(AND(AUTOEVENTO="Manual",$M427=1),$M427&gt;(ROW(PLE.lastrow)-ROW(PLE.firstrow))),0,IF(OFFSET(PLE!$G$14,$M427,BA$13)="",10^12,OFFSET(PLE!$G$14,$M427,BA$13))))</f>
        <v>0</v>
      </c>
      <c r="BB427" s="182">
        <f ca="1">IF($D427&lt;&gt;"Serviço",0,IF(OR(AND(AUTOEVENTO="Manual",$M427=1),$M427&gt;(ROW(PLE.lastrow)-ROW(PLE.firstrow))),0,IF(OFFSET(PLE!$G$14,$M427,BB$13)="",10^12,OFFSET(PLE!$G$14,$M427,BB$13))))</f>
        <v>0</v>
      </c>
      <c r="BC427" s="182">
        <f ca="1">IF($D427&lt;&gt;"Serviço",0,IF(OR(AND(AUTOEVENTO="Manual",$M427=1),$M427&gt;(ROW(PLE.lastrow)-ROW(PLE.firstrow))),0,IF(OFFSET(PLE!$G$14,$M427,BC$13)="",10^12,OFFSET(PLE!$G$14,$M427,BC$13))))</f>
        <v>0</v>
      </c>
      <c r="BD427" s="182">
        <f ca="1">IF($D427&lt;&gt;"Serviço",0,IF(OR(AND(AUTOEVENTO="Manual",$M427=1),$M427&gt;(ROW(PLE.lastrow)-ROW(PLE.firstrow))),0,IF(OFFSET(PLE!$G$14,$M427,BD$13)="",10^12,OFFSET(PLE!$G$14,$M427,BD$13))))</f>
        <v>0</v>
      </c>
      <c r="BE427" s="182">
        <f ca="1">IF($D427&lt;&gt;"Serviço",0,IF(OR(AND(AUTOEVENTO="Manual",$M427=1),$M427&gt;(ROW(PLE.lastrow)-ROW(PLE.firstrow))),0,IF(OFFSET(PLE!$G$14,$M427,BE$13)="",10^12,OFFSET(PLE!$G$14,$M427,BE$13))))</f>
        <v>0</v>
      </c>
      <c r="BF427" s="182">
        <f ca="1">IF($D427&lt;&gt;"Serviço",0,IF(OR(AND(AUTOEVENTO="Manual",$M427=1),$M427&gt;(ROW(PLE.lastrow)-ROW(PLE.firstrow))),0,IF(OFFSET(PLE!$G$14,$M427,BF$13)="",10^12,OFFSET(PLE!$G$14,$M427,BF$13))))</f>
        <v>0</v>
      </c>
      <c r="BG427" s="182">
        <f ca="1">IF($D427&lt;&gt;"Serviço",0,IF(OR(AND(AUTOEVENTO="Manual",$M427=1),$M427&gt;(ROW(PLE.lastrow)-ROW(PLE.firstrow))),0,IF(OFFSET(PLE!$G$14,$M427,BG$13)="",10^12,OFFSET(PLE!$G$14,$M427,BG$13))))</f>
        <v>0</v>
      </c>
    </row>
    <row r="428" spans="1:59" ht="25.5" x14ac:dyDescent="0.2">
      <c r="A428" s="7" t="str">
        <f t="shared" ca="1" si="13"/>
        <v>411</v>
      </c>
      <c r="B428" s="7" t="str">
        <f ca="1">OFFSET(ORÇAMENTO!C$15,ROW(B428)-ROW(B$15),0)</f>
        <v>S</v>
      </c>
      <c r="C428" s="7" t="str">
        <f ca="1">OFFSET(ORÇAMENTO!L$15,ROW(C428)-ROW(C$15),0)</f>
        <v/>
      </c>
      <c r="D428" s="118" t="str">
        <f ca="1">OFFSET(ORÇAMENTO!N$15,ROW(D428)-ROW(D$15),0)</f>
        <v>Serviço</v>
      </c>
      <c r="E428" s="119" t="str">
        <f ca="1">OFFSET(ORÇAMENTO!O$15,ROW(E428)-ROW(E$15),0)</f>
        <v>-</v>
      </c>
      <c r="F428" s="172" t="str">
        <f ca="1">OFFSET(ORÇAMENTO!R$15,ROW(F428)-ROW(F$15),0)</f>
        <v>(abra o arquivo 'Referência 02-2025.xlsm)</v>
      </c>
      <c r="G428" s="173" t="str">
        <f ca="1">IF($D428&lt;&gt;"Serviço","",OFFSET(ORÇAMENTO!S$15,ROW(G428)-ROW(G$15),0))</f>
        <v>-</v>
      </c>
      <c r="H428" s="124">
        <f ca="1">IF($D428&lt;&gt;"Serviço",0,IF(ACOMPANHAMENTO="BM",ROUND(OFFSET(ORÇAMENTO!AJ$15,ROW(H428)-ROW(H$15),0),15-13*ORÇAMENTO!$AF$7),SUMPRODUCT(($Q$12:$AA$12&lt;&gt;"")*ROUND($Q428:$AA428,15-13*ORÇAMENTO!$AF$7))))</f>
        <v>8</v>
      </c>
      <c r="I428" s="561" t="s">
        <v>890</v>
      </c>
      <c r="K428" s="174"/>
      <c r="L428" s="175" t="s">
        <v>255</v>
      </c>
      <c r="M428" s="176">
        <f ca="1">IF($D428&lt;&gt;"Serviço","",IF(AUTOEVENTO="manual",$A428,IF(ISERROR(MATCH($A428,$A$15:OFFSET($A428,-1,0),0)),MAX($M$15:OFFSET(M428,-1,0))+1,INDEX($M$15:OFFSET(M428,-1,0),MATCH($A428,$A$15:OFFSET($A428,-1,0),0)))))</f>
        <v>17</v>
      </c>
      <c r="N428" s="177" t="str">
        <f ca="1">IF($D428&lt;&gt;"Serviço","",IF(AUTOEVENTO="Manual",IF($A428=0,"&lt;-- defina o número do agrupador",OFFSET(EVENTOS!$D$14,$A428,0)),OFFSET($F$15,$A428,0)))</f>
        <v>SISTEMA DE PROTEÇÃO CONTRA INCÊNDIO</v>
      </c>
      <c r="O428" s="178"/>
      <c r="Q428" s="178"/>
      <c r="R428" s="179"/>
      <c r="S428" s="179"/>
      <c r="T428" s="179"/>
      <c r="U428" s="179"/>
      <c r="V428" s="179"/>
      <c r="W428" s="179"/>
      <c r="X428" s="179"/>
      <c r="Y428" s="179"/>
      <c r="Z428" s="180"/>
      <c r="AB428" s="544">
        <f ca="1">IF(AND($D428="Serviço",AB$12&lt;&gt;0,$H428&gt;0,OR(AUTOEVENTO&lt;&gt;"manual",$M428&lt;&gt;1)),
IF(Import.TipoArredondamento&lt;&gt;"TransfereGOV",
ROUND(OFFSET($P428,0,AB$13),15-13*ORÇAMENTO!$AF$7)/$H428*OFFSET(ORÇAMENTO!$X$15,ROW(AB428)-ROW(AB$15),0),
ROUND(ROUND(OFFSET($P428,0,AB$13),15-13*ORÇAMENTO!$AF$7)*OFFSET(ORÇAMENTO!$W$15,ROW(AB428)-ROW(AB$15),0),15-13*ORÇAMENTO!$AF$11)),0)</f>
        <v>0</v>
      </c>
      <c r="AC428" s="545">
        <f ca="1">IF(AND($D428="Serviço",AC$12&lt;&gt;0,$H428&gt;0,OR(AUTOEVENTO&lt;&gt;"manual",$M428&lt;&gt;1)),
IF(Import.TipoArredondamento&lt;&gt;"TransfereGOV",
ROUND(OFFSET($P428,0,AC$13),15-13*ORÇAMENTO!$AF$7)/$H428*OFFSET(ORÇAMENTO!$X$15,ROW(AC428)-ROW(AC$15),0),
ROUND(ROUND(OFFSET($P428,0,AC$13),15-13*ORÇAMENTO!$AF$7)*OFFSET(ORÇAMENTO!$W$15,ROW(AC428)-ROW(AC$15),0),15-13*ORÇAMENTO!$AF$11)),0)</f>
        <v>0</v>
      </c>
      <c r="AD428" s="545">
        <f ca="1">IF(AND($D428="Serviço",AD$12&lt;&gt;0,$H428&gt;0,OR(AUTOEVENTO&lt;&gt;"manual",$M428&lt;&gt;1)),
IF(Import.TipoArredondamento&lt;&gt;"TransfereGOV",
ROUND(OFFSET($P428,0,AD$13),15-13*ORÇAMENTO!$AF$7)/$H428*OFFSET(ORÇAMENTO!$X$15,ROW(AD428)-ROW(AD$15),0),
ROUND(ROUND(OFFSET($P428,0,AD$13),15-13*ORÇAMENTO!$AF$7)*OFFSET(ORÇAMENTO!$W$15,ROW(AD428)-ROW(AD$15),0),15-13*ORÇAMENTO!$AF$11)),0)</f>
        <v>0</v>
      </c>
      <c r="AE428" s="545">
        <f ca="1">IF(AND($D428="Serviço",AE$12&lt;&gt;0,$H428&gt;0,OR(AUTOEVENTO&lt;&gt;"manual",$M428&lt;&gt;1)),
IF(Import.TipoArredondamento&lt;&gt;"TransfereGOV",
ROUND(OFFSET($P428,0,AE$13),15-13*ORÇAMENTO!$AF$7)/$H428*OFFSET(ORÇAMENTO!$X$15,ROW(AE428)-ROW(AE$15),0),
ROUND(ROUND(OFFSET($P428,0,AE$13),15-13*ORÇAMENTO!$AF$7)*OFFSET(ORÇAMENTO!$W$15,ROW(AE428)-ROW(AE$15),0),15-13*ORÇAMENTO!$AF$11)),0)</f>
        <v>0</v>
      </c>
      <c r="AF428" s="545">
        <f ca="1">IF(AND($D428="Serviço",AF$12&lt;&gt;0,$H428&gt;0,OR(AUTOEVENTO&lt;&gt;"manual",$M428&lt;&gt;1)),
IF(Import.TipoArredondamento&lt;&gt;"TransfereGOV",
ROUND(OFFSET($P428,0,AF$13),15-13*ORÇAMENTO!$AF$7)/$H428*OFFSET(ORÇAMENTO!$X$15,ROW(AF428)-ROW(AF$15),0),
ROUND(ROUND(OFFSET($P428,0,AF$13),15-13*ORÇAMENTO!$AF$7)*OFFSET(ORÇAMENTO!$W$15,ROW(AF428)-ROW(AF$15),0),15-13*ORÇAMENTO!$AF$11)),0)</f>
        <v>0</v>
      </c>
      <c r="AG428" s="545">
        <f ca="1">IF(AND($D428="Serviço",AG$12&lt;&gt;0,$H428&gt;0,OR(AUTOEVENTO&lt;&gt;"manual",$M428&lt;&gt;1)),
IF(Import.TipoArredondamento&lt;&gt;"TransfereGOV",
ROUND(OFFSET($P428,0,AG$13),15-13*ORÇAMENTO!$AF$7)/$H428*OFFSET(ORÇAMENTO!$X$15,ROW(AG428)-ROW(AG$15),0),
ROUND(ROUND(OFFSET($P428,0,AG$13),15-13*ORÇAMENTO!$AF$7)*OFFSET(ORÇAMENTO!$W$15,ROW(AG428)-ROW(AG$15),0),15-13*ORÇAMENTO!$AF$11)),0)</f>
        <v>0</v>
      </c>
      <c r="AH428" s="545">
        <f ca="1">IF(AND($D428="Serviço",AH$12&lt;&gt;0,$H428&gt;0,OR(AUTOEVENTO&lt;&gt;"manual",$M428&lt;&gt;1)),
IF(Import.TipoArredondamento&lt;&gt;"TransfereGOV",
ROUND(OFFSET($P428,0,AH$13),15-13*ORÇAMENTO!$AF$7)/$H428*OFFSET(ORÇAMENTO!$X$15,ROW(AH428)-ROW(AH$15),0),
ROUND(ROUND(OFFSET($P428,0,AH$13),15-13*ORÇAMENTO!$AF$7)*OFFSET(ORÇAMENTO!$W$15,ROW(AH428)-ROW(AH$15),0),15-13*ORÇAMENTO!$AF$11)),0)</f>
        <v>0</v>
      </c>
      <c r="AI428" s="545">
        <f ca="1">IF(AND($D428="Serviço",AI$12&lt;&gt;0,$H428&gt;0,OR(AUTOEVENTO&lt;&gt;"manual",$M428&lt;&gt;1)),
IF(Import.TipoArredondamento&lt;&gt;"TransfereGOV",
ROUND(OFFSET($P428,0,AI$13),15-13*ORÇAMENTO!$AF$7)/$H428*OFFSET(ORÇAMENTO!$X$15,ROW(AI428)-ROW(AI$15),0),
ROUND(ROUND(OFFSET($P428,0,AI$13),15-13*ORÇAMENTO!$AF$7)*OFFSET(ORÇAMENTO!$W$15,ROW(AI428)-ROW(AI$15),0),15-13*ORÇAMENTO!$AF$11)),0)</f>
        <v>0</v>
      </c>
      <c r="AJ428" s="545">
        <f ca="1">IF(AND($D428="Serviço",AJ$12&lt;&gt;0,$H428&gt;0,OR(AUTOEVENTO&lt;&gt;"manual",$M428&lt;&gt;1)),
IF(Import.TipoArredondamento&lt;&gt;"TransfereGOV",
ROUND(OFFSET($P428,0,AJ$13),15-13*ORÇAMENTO!$AF$7)/$H428*OFFSET(ORÇAMENTO!$X$15,ROW(AJ428)-ROW(AJ$15),0),
ROUND(ROUND(OFFSET($P428,0,AJ$13),15-13*ORÇAMENTO!$AF$7)*OFFSET(ORÇAMENTO!$W$15,ROW(AJ428)-ROW(AJ$15),0),15-13*ORÇAMENTO!$AF$11)),0)</f>
        <v>0</v>
      </c>
      <c r="AK428" s="546">
        <f ca="1">IF(AND($D428="Serviço",AK$12&lt;&gt;0,$H428&gt;0,OR(AUTOEVENTO&lt;&gt;"manual",$M428&lt;&gt;1)),
IF(Import.TipoArredondamento&lt;&gt;"TransfereGOV",
ROUND(OFFSET($P428,0,AK$13),15-13*ORÇAMENTO!$AF$7)/$H428*OFFSET(ORÇAMENTO!$X$15,ROW(AK428)-ROW(AK$15),0),
ROUND(ROUND(OFFSET($P428,0,AK$13),15-13*ORÇAMENTO!$AF$7)*OFFSET(ORÇAMENTO!$W$15,ROW(AK428)-ROW(AK$15),0),15-13*ORÇAMENTO!$AF$11)),0)</f>
        <v>0</v>
      </c>
      <c r="AM428" s="181">
        <f ca="1">IF($D428&lt;&gt;"Serviço",0,IF(AND(AUTOEVENTO="Manual",$M428=1),0,IF(OFFSET(CRONOPLE!$F$14,$M428,AM$13)="",10^12,OFFSET(CRONOPLE!$F$14,$M428,AM$13))))</f>
        <v>1000000000000</v>
      </c>
      <c r="AN428" s="181">
        <f ca="1">IF($D428&lt;&gt;"Serviço",0,IF(AND(AUTOEVENTO="Manual",$M428=1),0,IF(OFFSET(CRONOPLE!$F$14,$M428,AN$13)="",10^12,OFFSET(CRONOPLE!$F$14,$M428,AN$13))))</f>
        <v>1000000000000</v>
      </c>
      <c r="AO428" s="181">
        <f ca="1">IF($D428&lt;&gt;"Serviço",0,IF(AND(AUTOEVENTO="Manual",$M428=1),0,IF(OFFSET(CRONOPLE!$F$14,$M428,AO$13)="",10^12,OFFSET(CRONOPLE!$F$14,$M428,AO$13))))</f>
        <v>1000000000000</v>
      </c>
      <c r="AP428" s="181">
        <f ca="1">IF($D428&lt;&gt;"Serviço",0,IF(AND(AUTOEVENTO="Manual",$M428=1),0,IF(OFFSET(CRONOPLE!$F$14,$M428,AP$13)="",10^12,OFFSET(CRONOPLE!$F$14,$M428,AP$13))))</f>
        <v>1000000000000</v>
      </c>
      <c r="AQ428" s="181">
        <f ca="1">IF($D428&lt;&gt;"Serviço",0,IF(AND(AUTOEVENTO="Manual",$M428=1),0,IF(OFFSET(CRONOPLE!$F$14,$M428,AQ$13)="",10^12,OFFSET(CRONOPLE!$F$14,$M428,AQ$13))))</f>
        <v>1000000000000</v>
      </c>
      <c r="AR428" s="181">
        <f ca="1">IF($D428&lt;&gt;"Serviço",0,IF(AND(AUTOEVENTO="Manual",$M428=1),0,IF(OFFSET(CRONOPLE!$F$14,$M428,AR$13)="",10^12,OFFSET(CRONOPLE!$F$14,$M428,AR$13))))</f>
        <v>1000000000000</v>
      </c>
      <c r="AS428" s="181">
        <f ca="1">IF($D428&lt;&gt;"Serviço",0,IF(AND(AUTOEVENTO="Manual",$M428=1),0,IF(OFFSET(CRONOPLE!$F$14,$M428,AS$13)="",10^12,OFFSET(CRONOPLE!$F$14,$M428,AS$13))))</f>
        <v>1000000000000</v>
      </c>
      <c r="AT428" s="181">
        <f ca="1">IF($D428&lt;&gt;"Serviço",0,IF(AND(AUTOEVENTO="Manual",$M428=1),0,IF(OFFSET(CRONOPLE!$F$14,$M428,AT$13)="",10^12,OFFSET(CRONOPLE!$F$14,$M428,AT$13))))</f>
        <v>1000000000000</v>
      </c>
      <c r="AU428" s="181">
        <f ca="1">IF($D428&lt;&gt;"Serviço",0,IF(AND(AUTOEVENTO="Manual",$M428=1),0,IF(OFFSET(CRONOPLE!$F$14,$M428,AU$13)="",10^12,OFFSET(CRONOPLE!$F$14,$M428,AU$13))))</f>
        <v>1000000000000</v>
      </c>
      <c r="AV428" s="181">
        <f ca="1">IF($D428&lt;&gt;"Serviço",0,IF(AND(AUTOEVENTO="Manual",$M428=1),0,IF(OFFSET(CRONOPLE!$F$14,$M428,AV$13)="",10^12,OFFSET(CRONOPLE!$F$14,$M428,AV$13))))</f>
        <v>1000000000000</v>
      </c>
      <c r="AX428" s="182">
        <f ca="1">IF($D428&lt;&gt;"Serviço",0,IF(OR(AND(AUTOEVENTO="Manual",$M428=1),$M428&gt;(ROW(PLE.lastrow)-ROW(PLE.firstrow))),0,IF(OFFSET(PLE!$G$14,$M428,AX$13)="",10^12,OFFSET(PLE!$G$14,$M428,AX$13))))</f>
        <v>1000000000000</v>
      </c>
      <c r="AY428" s="182">
        <f ca="1">IF($D428&lt;&gt;"Serviço",0,IF(OR(AND(AUTOEVENTO="Manual",$M428=1),$M428&gt;(ROW(PLE.lastrow)-ROW(PLE.firstrow))),0,IF(OFFSET(PLE!$G$14,$M428,AY$13)="",10^12,OFFSET(PLE!$G$14,$M428,AY$13))))</f>
        <v>1000000000000</v>
      </c>
      <c r="AZ428" s="182">
        <f ca="1">IF($D428&lt;&gt;"Serviço",0,IF(OR(AND(AUTOEVENTO="Manual",$M428=1),$M428&gt;(ROW(PLE.lastrow)-ROW(PLE.firstrow))),0,IF(OFFSET(PLE!$G$14,$M428,AZ$13)="",10^12,OFFSET(PLE!$G$14,$M428,AZ$13))))</f>
        <v>1000000000000</v>
      </c>
      <c r="BA428" s="182">
        <f ca="1">IF($D428&lt;&gt;"Serviço",0,IF(OR(AND(AUTOEVENTO="Manual",$M428=1),$M428&gt;(ROW(PLE.lastrow)-ROW(PLE.firstrow))),0,IF(OFFSET(PLE!$G$14,$M428,BA$13)="",10^12,OFFSET(PLE!$G$14,$M428,BA$13))))</f>
        <v>1000000000000</v>
      </c>
      <c r="BB428" s="182">
        <f ca="1">IF($D428&lt;&gt;"Serviço",0,IF(OR(AND(AUTOEVENTO="Manual",$M428=1),$M428&gt;(ROW(PLE.lastrow)-ROW(PLE.firstrow))),0,IF(OFFSET(PLE!$G$14,$M428,BB$13)="",10^12,OFFSET(PLE!$G$14,$M428,BB$13))))</f>
        <v>1000000000000</v>
      </c>
      <c r="BC428" s="182">
        <f ca="1">IF($D428&lt;&gt;"Serviço",0,IF(OR(AND(AUTOEVENTO="Manual",$M428=1),$M428&gt;(ROW(PLE.lastrow)-ROW(PLE.firstrow))),0,IF(OFFSET(PLE!$G$14,$M428,BC$13)="",10^12,OFFSET(PLE!$G$14,$M428,BC$13))))</f>
        <v>1000000000000</v>
      </c>
      <c r="BD428" s="182">
        <f ca="1">IF($D428&lt;&gt;"Serviço",0,IF(OR(AND(AUTOEVENTO="Manual",$M428=1),$M428&gt;(ROW(PLE.lastrow)-ROW(PLE.firstrow))),0,IF(OFFSET(PLE!$G$14,$M428,BD$13)="",10^12,OFFSET(PLE!$G$14,$M428,BD$13))))</f>
        <v>1000000000000</v>
      </c>
      <c r="BE428" s="182">
        <f ca="1">IF($D428&lt;&gt;"Serviço",0,IF(OR(AND(AUTOEVENTO="Manual",$M428=1),$M428&gt;(ROW(PLE.lastrow)-ROW(PLE.firstrow))),0,IF(OFFSET(PLE!$G$14,$M428,BE$13)="",10^12,OFFSET(PLE!$G$14,$M428,BE$13))))</f>
        <v>1000000000000</v>
      </c>
      <c r="BF428" s="182">
        <f ca="1">IF($D428&lt;&gt;"Serviço",0,IF(OR(AND(AUTOEVENTO="Manual",$M428=1),$M428&gt;(ROW(PLE.lastrow)-ROW(PLE.firstrow))),0,IF(OFFSET(PLE!$G$14,$M428,BF$13)="",10^12,OFFSET(PLE!$G$14,$M428,BF$13))))</f>
        <v>1000000000000</v>
      </c>
      <c r="BG428" s="182">
        <f ca="1">IF($D428&lt;&gt;"Serviço",0,IF(OR(AND(AUTOEVENTO="Manual",$M428=1),$M428&gt;(ROW(PLE.lastrow)-ROW(PLE.firstrow))),0,IF(OFFSET(PLE!$G$14,$M428,BG$13)="",10^12,OFFSET(PLE!$G$14,$M428,BG$13))))</f>
        <v>1000000000000</v>
      </c>
    </row>
    <row r="429" spans="1:59" ht="25.5" x14ac:dyDescent="0.2">
      <c r="A429" s="7" t="str">
        <f t="shared" ca="1" si="13"/>
        <v>411</v>
      </c>
      <c r="B429" s="7" t="str">
        <f ca="1">OFFSET(ORÇAMENTO!C$15,ROW(B429)-ROW(B$15),0)</f>
        <v>S</v>
      </c>
      <c r="C429" s="7" t="str">
        <f ca="1">OFFSET(ORÇAMENTO!L$15,ROW(C429)-ROW(C$15),0)</f>
        <v/>
      </c>
      <c r="D429" s="118" t="str">
        <f ca="1">OFFSET(ORÇAMENTO!N$15,ROW(D429)-ROW(D$15),0)</f>
        <v>Serviço</v>
      </c>
      <c r="E429" s="119" t="str">
        <f ca="1">OFFSET(ORÇAMENTO!O$15,ROW(E429)-ROW(E$15),0)</f>
        <v>-</v>
      </c>
      <c r="F429" s="172" t="str">
        <f ca="1">OFFSET(ORÇAMENTO!R$15,ROW(F429)-ROW(F$15),0)</f>
        <v>(abra o arquivo 'Referência 02-2025.xlsm)</v>
      </c>
      <c r="G429" s="173" t="str">
        <f ca="1">IF($D429&lt;&gt;"Serviço","",OFFSET(ORÇAMENTO!S$15,ROW(G429)-ROW(G$15),0))</f>
        <v>-</v>
      </c>
      <c r="H429" s="124">
        <f ca="1">IF($D429&lt;&gt;"Serviço",0,IF(ACOMPANHAMENTO="BM",ROUND(OFFSET(ORÇAMENTO!AJ$15,ROW(H429)-ROW(H$15),0),15-13*ORÇAMENTO!$AF$7),SUMPRODUCT(($Q$12:$AA$12&lt;&gt;"")*ROUND($Q429:$AA429,15-13*ORÇAMENTO!$AF$7))))</f>
        <v>1</v>
      </c>
      <c r="I429" s="561" t="s">
        <v>890</v>
      </c>
      <c r="K429" s="174"/>
      <c r="L429" s="175" t="s">
        <v>255</v>
      </c>
      <c r="M429" s="176">
        <f ca="1">IF($D429&lt;&gt;"Serviço","",IF(AUTOEVENTO="manual",$A429,IF(ISERROR(MATCH($A429,$A$15:OFFSET($A429,-1,0),0)),MAX($M$15:OFFSET(M429,-1,0))+1,INDEX($M$15:OFFSET(M429,-1,0),MATCH($A429,$A$15:OFFSET($A429,-1,0),0)))))</f>
        <v>17</v>
      </c>
      <c r="N429" s="177" t="str">
        <f ca="1">IF($D429&lt;&gt;"Serviço","",IF(AUTOEVENTO="Manual",IF($A429=0,"&lt;-- defina o número do agrupador",OFFSET(EVENTOS!$D$14,$A429,0)),OFFSET($F$15,$A429,0)))</f>
        <v>SISTEMA DE PROTEÇÃO CONTRA INCÊNDIO</v>
      </c>
      <c r="O429" s="178"/>
      <c r="Q429" s="178"/>
      <c r="R429" s="179"/>
      <c r="S429" s="179"/>
      <c r="T429" s="179"/>
      <c r="U429" s="179"/>
      <c r="V429" s="179"/>
      <c r="W429" s="179"/>
      <c r="X429" s="179"/>
      <c r="Y429" s="179"/>
      <c r="Z429" s="180"/>
      <c r="AB429" s="544">
        <f ca="1">IF(AND($D429="Serviço",AB$12&lt;&gt;0,$H429&gt;0,OR(AUTOEVENTO&lt;&gt;"manual",$M429&lt;&gt;1)),
IF(Import.TipoArredondamento&lt;&gt;"TransfereGOV",
ROUND(OFFSET($P429,0,AB$13),15-13*ORÇAMENTO!$AF$7)/$H429*OFFSET(ORÇAMENTO!$X$15,ROW(AB429)-ROW(AB$15),0),
ROUND(ROUND(OFFSET($P429,0,AB$13),15-13*ORÇAMENTO!$AF$7)*OFFSET(ORÇAMENTO!$W$15,ROW(AB429)-ROW(AB$15),0),15-13*ORÇAMENTO!$AF$11)),0)</f>
        <v>0</v>
      </c>
      <c r="AC429" s="545">
        <f ca="1">IF(AND($D429="Serviço",AC$12&lt;&gt;0,$H429&gt;0,OR(AUTOEVENTO&lt;&gt;"manual",$M429&lt;&gt;1)),
IF(Import.TipoArredondamento&lt;&gt;"TransfereGOV",
ROUND(OFFSET($P429,0,AC$13),15-13*ORÇAMENTO!$AF$7)/$H429*OFFSET(ORÇAMENTO!$X$15,ROW(AC429)-ROW(AC$15),0),
ROUND(ROUND(OFFSET($P429,0,AC$13),15-13*ORÇAMENTO!$AF$7)*OFFSET(ORÇAMENTO!$W$15,ROW(AC429)-ROW(AC$15),0),15-13*ORÇAMENTO!$AF$11)),0)</f>
        <v>0</v>
      </c>
      <c r="AD429" s="545">
        <f ca="1">IF(AND($D429="Serviço",AD$12&lt;&gt;0,$H429&gt;0,OR(AUTOEVENTO&lt;&gt;"manual",$M429&lt;&gt;1)),
IF(Import.TipoArredondamento&lt;&gt;"TransfereGOV",
ROUND(OFFSET($P429,0,AD$13),15-13*ORÇAMENTO!$AF$7)/$H429*OFFSET(ORÇAMENTO!$X$15,ROW(AD429)-ROW(AD$15),0),
ROUND(ROUND(OFFSET($P429,0,AD$13),15-13*ORÇAMENTO!$AF$7)*OFFSET(ORÇAMENTO!$W$15,ROW(AD429)-ROW(AD$15),0),15-13*ORÇAMENTO!$AF$11)),0)</f>
        <v>0</v>
      </c>
      <c r="AE429" s="545">
        <f ca="1">IF(AND($D429="Serviço",AE$12&lt;&gt;0,$H429&gt;0,OR(AUTOEVENTO&lt;&gt;"manual",$M429&lt;&gt;1)),
IF(Import.TipoArredondamento&lt;&gt;"TransfereGOV",
ROUND(OFFSET($P429,0,AE$13),15-13*ORÇAMENTO!$AF$7)/$H429*OFFSET(ORÇAMENTO!$X$15,ROW(AE429)-ROW(AE$15),0),
ROUND(ROUND(OFFSET($P429,0,AE$13),15-13*ORÇAMENTO!$AF$7)*OFFSET(ORÇAMENTO!$W$15,ROW(AE429)-ROW(AE$15),0),15-13*ORÇAMENTO!$AF$11)),0)</f>
        <v>0</v>
      </c>
      <c r="AF429" s="545">
        <f ca="1">IF(AND($D429="Serviço",AF$12&lt;&gt;0,$H429&gt;0,OR(AUTOEVENTO&lt;&gt;"manual",$M429&lt;&gt;1)),
IF(Import.TipoArredondamento&lt;&gt;"TransfereGOV",
ROUND(OFFSET($P429,0,AF$13),15-13*ORÇAMENTO!$AF$7)/$H429*OFFSET(ORÇAMENTO!$X$15,ROW(AF429)-ROW(AF$15),0),
ROUND(ROUND(OFFSET($P429,0,AF$13),15-13*ORÇAMENTO!$AF$7)*OFFSET(ORÇAMENTO!$W$15,ROW(AF429)-ROW(AF$15),0),15-13*ORÇAMENTO!$AF$11)),0)</f>
        <v>0</v>
      </c>
      <c r="AG429" s="545">
        <f ca="1">IF(AND($D429="Serviço",AG$12&lt;&gt;0,$H429&gt;0,OR(AUTOEVENTO&lt;&gt;"manual",$M429&lt;&gt;1)),
IF(Import.TipoArredondamento&lt;&gt;"TransfereGOV",
ROUND(OFFSET($P429,0,AG$13),15-13*ORÇAMENTO!$AF$7)/$H429*OFFSET(ORÇAMENTO!$X$15,ROW(AG429)-ROW(AG$15),0),
ROUND(ROUND(OFFSET($P429,0,AG$13),15-13*ORÇAMENTO!$AF$7)*OFFSET(ORÇAMENTO!$W$15,ROW(AG429)-ROW(AG$15),0),15-13*ORÇAMENTO!$AF$11)),0)</f>
        <v>0</v>
      </c>
      <c r="AH429" s="545">
        <f ca="1">IF(AND($D429="Serviço",AH$12&lt;&gt;0,$H429&gt;0,OR(AUTOEVENTO&lt;&gt;"manual",$M429&lt;&gt;1)),
IF(Import.TipoArredondamento&lt;&gt;"TransfereGOV",
ROUND(OFFSET($P429,0,AH$13),15-13*ORÇAMENTO!$AF$7)/$H429*OFFSET(ORÇAMENTO!$X$15,ROW(AH429)-ROW(AH$15),0),
ROUND(ROUND(OFFSET($P429,0,AH$13),15-13*ORÇAMENTO!$AF$7)*OFFSET(ORÇAMENTO!$W$15,ROW(AH429)-ROW(AH$15),0),15-13*ORÇAMENTO!$AF$11)),0)</f>
        <v>0</v>
      </c>
      <c r="AI429" s="545">
        <f ca="1">IF(AND($D429="Serviço",AI$12&lt;&gt;0,$H429&gt;0,OR(AUTOEVENTO&lt;&gt;"manual",$M429&lt;&gt;1)),
IF(Import.TipoArredondamento&lt;&gt;"TransfereGOV",
ROUND(OFFSET($P429,0,AI$13),15-13*ORÇAMENTO!$AF$7)/$H429*OFFSET(ORÇAMENTO!$X$15,ROW(AI429)-ROW(AI$15),0),
ROUND(ROUND(OFFSET($P429,0,AI$13),15-13*ORÇAMENTO!$AF$7)*OFFSET(ORÇAMENTO!$W$15,ROW(AI429)-ROW(AI$15),0),15-13*ORÇAMENTO!$AF$11)),0)</f>
        <v>0</v>
      </c>
      <c r="AJ429" s="545">
        <f ca="1">IF(AND($D429="Serviço",AJ$12&lt;&gt;0,$H429&gt;0,OR(AUTOEVENTO&lt;&gt;"manual",$M429&lt;&gt;1)),
IF(Import.TipoArredondamento&lt;&gt;"TransfereGOV",
ROUND(OFFSET($P429,0,AJ$13),15-13*ORÇAMENTO!$AF$7)/$H429*OFFSET(ORÇAMENTO!$X$15,ROW(AJ429)-ROW(AJ$15),0),
ROUND(ROUND(OFFSET($P429,0,AJ$13),15-13*ORÇAMENTO!$AF$7)*OFFSET(ORÇAMENTO!$W$15,ROW(AJ429)-ROW(AJ$15),0),15-13*ORÇAMENTO!$AF$11)),0)</f>
        <v>0</v>
      </c>
      <c r="AK429" s="546">
        <f ca="1">IF(AND($D429="Serviço",AK$12&lt;&gt;0,$H429&gt;0,OR(AUTOEVENTO&lt;&gt;"manual",$M429&lt;&gt;1)),
IF(Import.TipoArredondamento&lt;&gt;"TransfereGOV",
ROUND(OFFSET($P429,0,AK$13),15-13*ORÇAMENTO!$AF$7)/$H429*OFFSET(ORÇAMENTO!$X$15,ROW(AK429)-ROW(AK$15),0),
ROUND(ROUND(OFFSET($P429,0,AK$13),15-13*ORÇAMENTO!$AF$7)*OFFSET(ORÇAMENTO!$W$15,ROW(AK429)-ROW(AK$15),0),15-13*ORÇAMENTO!$AF$11)),0)</f>
        <v>0</v>
      </c>
      <c r="AM429" s="181">
        <f ca="1">IF($D429&lt;&gt;"Serviço",0,IF(AND(AUTOEVENTO="Manual",$M429=1),0,IF(OFFSET(CRONOPLE!$F$14,$M429,AM$13)="",10^12,OFFSET(CRONOPLE!$F$14,$M429,AM$13))))</f>
        <v>1000000000000</v>
      </c>
      <c r="AN429" s="181">
        <f ca="1">IF($D429&lt;&gt;"Serviço",0,IF(AND(AUTOEVENTO="Manual",$M429=1),0,IF(OFFSET(CRONOPLE!$F$14,$M429,AN$13)="",10^12,OFFSET(CRONOPLE!$F$14,$M429,AN$13))))</f>
        <v>1000000000000</v>
      </c>
      <c r="AO429" s="181">
        <f ca="1">IF($D429&lt;&gt;"Serviço",0,IF(AND(AUTOEVENTO="Manual",$M429=1),0,IF(OFFSET(CRONOPLE!$F$14,$M429,AO$13)="",10^12,OFFSET(CRONOPLE!$F$14,$M429,AO$13))))</f>
        <v>1000000000000</v>
      </c>
      <c r="AP429" s="181">
        <f ca="1">IF($D429&lt;&gt;"Serviço",0,IF(AND(AUTOEVENTO="Manual",$M429=1),0,IF(OFFSET(CRONOPLE!$F$14,$M429,AP$13)="",10^12,OFFSET(CRONOPLE!$F$14,$M429,AP$13))))</f>
        <v>1000000000000</v>
      </c>
      <c r="AQ429" s="181">
        <f ca="1">IF($D429&lt;&gt;"Serviço",0,IF(AND(AUTOEVENTO="Manual",$M429=1),0,IF(OFFSET(CRONOPLE!$F$14,$M429,AQ$13)="",10^12,OFFSET(CRONOPLE!$F$14,$M429,AQ$13))))</f>
        <v>1000000000000</v>
      </c>
      <c r="AR429" s="181">
        <f ca="1">IF($D429&lt;&gt;"Serviço",0,IF(AND(AUTOEVENTO="Manual",$M429=1),0,IF(OFFSET(CRONOPLE!$F$14,$M429,AR$13)="",10^12,OFFSET(CRONOPLE!$F$14,$M429,AR$13))))</f>
        <v>1000000000000</v>
      </c>
      <c r="AS429" s="181">
        <f ca="1">IF($D429&lt;&gt;"Serviço",0,IF(AND(AUTOEVENTO="Manual",$M429=1),0,IF(OFFSET(CRONOPLE!$F$14,$M429,AS$13)="",10^12,OFFSET(CRONOPLE!$F$14,$M429,AS$13))))</f>
        <v>1000000000000</v>
      </c>
      <c r="AT429" s="181">
        <f ca="1">IF($D429&lt;&gt;"Serviço",0,IF(AND(AUTOEVENTO="Manual",$M429=1),0,IF(OFFSET(CRONOPLE!$F$14,$M429,AT$13)="",10^12,OFFSET(CRONOPLE!$F$14,$M429,AT$13))))</f>
        <v>1000000000000</v>
      </c>
      <c r="AU429" s="181">
        <f ca="1">IF($D429&lt;&gt;"Serviço",0,IF(AND(AUTOEVENTO="Manual",$M429=1),0,IF(OFFSET(CRONOPLE!$F$14,$M429,AU$13)="",10^12,OFFSET(CRONOPLE!$F$14,$M429,AU$13))))</f>
        <v>1000000000000</v>
      </c>
      <c r="AV429" s="181">
        <f ca="1">IF($D429&lt;&gt;"Serviço",0,IF(AND(AUTOEVENTO="Manual",$M429=1),0,IF(OFFSET(CRONOPLE!$F$14,$M429,AV$13)="",10^12,OFFSET(CRONOPLE!$F$14,$M429,AV$13))))</f>
        <v>1000000000000</v>
      </c>
      <c r="AX429" s="182">
        <f ca="1">IF($D429&lt;&gt;"Serviço",0,IF(OR(AND(AUTOEVENTO="Manual",$M429=1),$M429&gt;(ROW(PLE.lastrow)-ROW(PLE.firstrow))),0,IF(OFFSET(PLE!$G$14,$M429,AX$13)="",10^12,OFFSET(PLE!$G$14,$M429,AX$13))))</f>
        <v>1000000000000</v>
      </c>
      <c r="AY429" s="182">
        <f ca="1">IF($D429&lt;&gt;"Serviço",0,IF(OR(AND(AUTOEVENTO="Manual",$M429=1),$M429&gt;(ROW(PLE.lastrow)-ROW(PLE.firstrow))),0,IF(OFFSET(PLE!$G$14,$M429,AY$13)="",10^12,OFFSET(PLE!$G$14,$M429,AY$13))))</f>
        <v>1000000000000</v>
      </c>
      <c r="AZ429" s="182">
        <f ca="1">IF($D429&lt;&gt;"Serviço",0,IF(OR(AND(AUTOEVENTO="Manual",$M429=1),$M429&gt;(ROW(PLE.lastrow)-ROW(PLE.firstrow))),0,IF(OFFSET(PLE!$G$14,$M429,AZ$13)="",10^12,OFFSET(PLE!$G$14,$M429,AZ$13))))</f>
        <v>1000000000000</v>
      </c>
      <c r="BA429" s="182">
        <f ca="1">IF($D429&lt;&gt;"Serviço",0,IF(OR(AND(AUTOEVENTO="Manual",$M429=1),$M429&gt;(ROW(PLE.lastrow)-ROW(PLE.firstrow))),0,IF(OFFSET(PLE!$G$14,$M429,BA$13)="",10^12,OFFSET(PLE!$G$14,$M429,BA$13))))</f>
        <v>1000000000000</v>
      </c>
      <c r="BB429" s="182">
        <f ca="1">IF($D429&lt;&gt;"Serviço",0,IF(OR(AND(AUTOEVENTO="Manual",$M429=1),$M429&gt;(ROW(PLE.lastrow)-ROW(PLE.firstrow))),0,IF(OFFSET(PLE!$G$14,$M429,BB$13)="",10^12,OFFSET(PLE!$G$14,$M429,BB$13))))</f>
        <v>1000000000000</v>
      </c>
      <c r="BC429" s="182">
        <f ca="1">IF($D429&lt;&gt;"Serviço",0,IF(OR(AND(AUTOEVENTO="Manual",$M429=1),$M429&gt;(ROW(PLE.lastrow)-ROW(PLE.firstrow))),0,IF(OFFSET(PLE!$G$14,$M429,BC$13)="",10^12,OFFSET(PLE!$G$14,$M429,BC$13))))</f>
        <v>1000000000000</v>
      </c>
      <c r="BD429" s="182">
        <f ca="1">IF($D429&lt;&gt;"Serviço",0,IF(OR(AND(AUTOEVENTO="Manual",$M429=1),$M429&gt;(ROW(PLE.lastrow)-ROW(PLE.firstrow))),0,IF(OFFSET(PLE!$G$14,$M429,BD$13)="",10^12,OFFSET(PLE!$G$14,$M429,BD$13))))</f>
        <v>1000000000000</v>
      </c>
      <c r="BE429" s="182">
        <f ca="1">IF($D429&lt;&gt;"Serviço",0,IF(OR(AND(AUTOEVENTO="Manual",$M429=1),$M429&gt;(ROW(PLE.lastrow)-ROW(PLE.firstrow))),0,IF(OFFSET(PLE!$G$14,$M429,BE$13)="",10^12,OFFSET(PLE!$G$14,$M429,BE$13))))</f>
        <v>1000000000000</v>
      </c>
      <c r="BF429" s="182">
        <f ca="1">IF($D429&lt;&gt;"Serviço",0,IF(OR(AND(AUTOEVENTO="Manual",$M429=1),$M429&gt;(ROW(PLE.lastrow)-ROW(PLE.firstrow))),0,IF(OFFSET(PLE!$G$14,$M429,BF$13)="",10^12,OFFSET(PLE!$G$14,$M429,BF$13))))</f>
        <v>1000000000000</v>
      </c>
      <c r="BG429" s="182">
        <f ca="1">IF($D429&lt;&gt;"Serviço",0,IF(OR(AND(AUTOEVENTO="Manual",$M429=1),$M429&gt;(ROW(PLE.lastrow)-ROW(PLE.firstrow))),0,IF(OFFSET(PLE!$G$14,$M429,BG$13)="",10^12,OFFSET(PLE!$G$14,$M429,BG$13))))</f>
        <v>1000000000000</v>
      </c>
    </row>
    <row r="430" spans="1:59" ht="12.75" x14ac:dyDescent="0.2">
      <c r="A430" s="7" t="str">
        <f t="shared" ca="1" si="13"/>
        <v>411</v>
      </c>
      <c r="B430" s="7">
        <f ca="1">OFFSET(ORÇAMENTO!C$15,ROW(B430)-ROW(B$15),0)</f>
        <v>3</v>
      </c>
      <c r="C430" s="7" t="str">
        <f ca="1">OFFSET(ORÇAMENTO!L$15,ROW(C430)-ROW(C$15),0)</f>
        <v>F</v>
      </c>
      <c r="D430" s="118" t="str">
        <f ca="1">OFFSET(ORÇAMENTO!N$15,ROW(D430)-ROW(D$15),0)</f>
        <v>Nível 3</v>
      </c>
      <c r="E430" s="119" t="str">
        <f ca="1">OFFSET(ORÇAMENTO!O$15,ROW(E430)-ROW(E$15),0)</f>
        <v>1.16.2.</v>
      </c>
      <c r="F430" s="172" t="str">
        <f ca="1">OFFSET(ORÇAMENTO!R$15,ROW(F430)-ROW(F$15),0)</f>
        <v>HIDRANTES</v>
      </c>
      <c r="G430" s="173" t="str">
        <f ca="1">IF($D430&lt;&gt;"Serviço","",OFFSET(ORÇAMENTO!S$15,ROW(G430)-ROW(G$15),0))</f>
        <v/>
      </c>
      <c r="H430" s="124">
        <f ca="1">IF($D430&lt;&gt;"Serviço",0,IF(ACOMPANHAMENTO="BM",ROUND(OFFSET(ORÇAMENTO!AJ$15,ROW(H430)-ROW(H$15),0),15-13*ORÇAMENTO!$AF$7),SUMPRODUCT(($Q$12:$AA$12&lt;&gt;"")*ROUND($Q430:$AA430,15-13*ORÇAMENTO!$AF$7))))</f>
        <v>0</v>
      </c>
      <c r="I430" s="561"/>
      <c r="K430" s="174"/>
      <c r="L430" s="175" t="s">
        <v>255</v>
      </c>
      <c r="M430" s="176" t="str">
        <f ca="1">IF($D430&lt;&gt;"Serviço","",IF(AUTOEVENTO="manual",$A430,IF(ISERROR(MATCH($A430,$A$15:OFFSET($A430,-1,0),0)),MAX($M$15:OFFSET(M430,-1,0))+1,INDEX($M$15:OFFSET(M430,-1,0),MATCH($A430,$A$15:OFFSET($A430,-1,0),0)))))</f>
        <v/>
      </c>
      <c r="N430" s="177" t="str">
        <f ca="1">IF($D430&lt;&gt;"Serviço","",IF(AUTOEVENTO="Manual",IF($A430=0,"&lt;-- defina o número do agrupador",OFFSET(EVENTOS!$D$14,$A430,0)),OFFSET($F$15,$A430,0)))</f>
        <v/>
      </c>
      <c r="O430" s="178"/>
      <c r="Q430" s="178"/>
      <c r="R430" s="179"/>
      <c r="S430" s="179"/>
      <c r="T430" s="179"/>
      <c r="U430" s="179"/>
      <c r="V430" s="179"/>
      <c r="W430" s="179"/>
      <c r="X430" s="179"/>
      <c r="Y430" s="179"/>
      <c r="Z430" s="180"/>
      <c r="AB430" s="544">
        <f ca="1">IF(AND($D430="Serviço",AB$12&lt;&gt;0,$H430&gt;0,OR(AUTOEVENTO&lt;&gt;"manual",$M430&lt;&gt;1)),
IF(Import.TipoArredondamento&lt;&gt;"TransfereGOV",
ROUND(OFFSET($P430,0,AB$13),15-13*ORÇAMENTO!$AF$7)/$H430*OFFSET(ORÇAMENTO!$X$15,ROW(AB430)-ROW(AB$15),0),
ROUND(ROUND(OFFSET($P430,0,AB$13),15-13*ORÇAMENTO!$AF$7)*OFFSET(ORÇAMENTO!$W$15,ROW(AB430)-ROW(AB$15),0),15-13*ORÇAMENTO!$AF$11)),0)</f>
        <v>0</v>
      </c>
      <c r="AC430" s="545">
        <f ca="1">IF(AND($D430="Serviço",AC$12&lt;&gt;0,$H430&gt;0,OR(AUTOEVENTO&lt;&gt;"manual",$M430&lt;&gt;1)),
IF(Import.TipoArredondamento&lt;&gt;"TransfereGOV",
ROUND(OFFSET($P430,0,AC$13),15-13*ORÇAMENTO!$AF$7)/$H430*OFFSET(ORÇAMENTO!$X$15,ROW(AC430)-ROW(AC$15),0),
ROUND(ROUND(OFFSET($P430,0,AC$13),15-13*ORÇAMENTO!$AF$7)*OFFSET(ORÇAMENTO!$W$15,ROW(AC430)-ROW(AC$15),0),15-13*ORÇAMENTO!$AF$11)),0)</f>
        <v>0</v>
      </c>
      <c r="AD430" s="545">
        <f ca="1">IF(AND($D430="Serviço",AD$12&lt;&gt;0,$H430&gt;0,OR(AUTOEVENTO&lt;&gt;"manual",$M430&lt;&gt;1)),
IF(Import.TipoArredondamento&lt;&gt;"TransfereGOV",
ROUND(OFFSET($P430,0,AD$13),15-13*ORÇAMENTO!$AF$7)/$H430*OFFSET(ORÇAMENTO!$X$15,ROW(AD430)-ROW(AD$15),0),
ROUND(ROUND(OFFSET($P430,0,AD$13),15-13*ORÇAMENTO!$AF$7)*OFFSET(ORÇAMENTO!$W$15,ROW(AD430)-ROW(AD$15),0),15-13*ORÇAMENTO!$AF$11)),0)</f>
        <v>0</v>
      </c>
      <c r="AE430" s="545">
        <f ca="1">IF(AND($D430="Serviço",AE$12&lt;&gt;0,$H430&gt;0,OR(AUTOEVENTO&lt;&gt;"manual",$M430&lt;&gt;1)),
IF(Import.TipoArredondamento&lt;&gt;"TransfereGOV",
ROUND(OFFSET($P430,0,AE$13),15-13*ORÇAMENTO!$AF$7)/$H430*OFFSET(ORÇAMENTO!$X$15,ROW(AE430)-ROW(AE$15),0),
ROUND(ROUND(OFFSET($P430,0,AE$13),15-13*ORÇAMENTO!$AF$7)*OFFSET(ORÇAMENTO!$W$15,ROW(AE430)-ROW(AE$15),0),15-13*ORÇAMENTO!$AF$11)),0)</f>
        <v>0</v>
      </c>
      <c r="AF430" s="545">
        <f ca="1">IF(AND($D430="Serviço",AF$12&lt;&gt;0,$H430&gt;0,OR(AUTOEVENTO&lt;&gt;"manual",$M430&lt;&gt;1)),
IF(Import.TipoArredondamento&lt;&gt;"TransfereGOV",
ROUND(OFFSET($P430,0,AF$13),15-13*ORÇAMENTO!$AF$7)/$H430*OFFSET(ORÇAMENTO!$X$15,ROW(AF430)-ROW(AF$15),0),
ROUND(ROUND(OFFSET($P430,0,AF$13),15-13*ORÇAMENTO!$AF$7)*OFFSET(ORÇAMENTO!$W$15,ROW(AF430)-ROW(AF$15),0),15-13*ORÇAMENTO!$AF$11)),0)</f>
        <v>0</v>
      </c>
      <c r="AG430" s="545">
        <f ca="1">IF(AND($D430="Serviço",AG$12&lt;&gt;0,$H430&gt;0,OR(AUTOEVENTO&lt;&gt;"manual",$M430&lt;&gt;1)),
IF(Import.TipoArredondamento&lt;&gt;"TransfereGOV",
ROUND(OFFSET($P430,0,AG$13),15-13*ORÇAMENTO!$AF$7)/$H430*OFFSET(ORÇAMENTO!$X$15,ROW(AG430)-ROW(AG$15),0),
ROUND(ROUND(OFFSET($P430,0,AG$13),15-13*ORÇAMENTO!$AF$7)*OFFSET(ORÇAMENTO!$W$15,ROW(AG430)-ROW(AG$15),0),15-13*ORÇAMENTO!$AF$11)),0)</f>
        <v>0</v>
      </c>
      <c r="AH430" s="545">
        <f ca="1">IF(AND($D430="Serviço",AH$12&lt;&gt;0,$H430&gt;0,OR(AUTOEVENTO&lt;&gt;"manual",$M430&lt;&gt;1)),
IF(Import.TipoArredondamento&lt;&gt;"TransfereGOV",
ROUND(OFFSET($P430,0,AH$13),15-13*ORÇAMENTO!$AF$7)/$H430*OFFSET(ORÇAMENTO!$X$15,ROW(AH430)-ROW(AH$15),0),
ROUND(ROUND(OFFSET($P430,0,AH$13),15-13*ORÇAMENTO!$AF$7)*OFFSET(ORÇAMENTO!$W$15,ROW(AH430)-ROW(AH$15),0),15-13*ORÇAMENTO!$AF$11)),0)</f>
        <v>0</v>
      </c>
      <c r="AI430" s="545">
        <f ca="1">IF(AND($D430="Serviço",AI$12&lt;&gt;0,$H430&gt;0,OR(AUTOEVENTO&lt;&gt;"manual",$M430&lt;&gt;1)),
IF(Import.TipoArredondamento&lt;&gt;"TransfereGOV",
ROUND(OFFSET($P430,0,AI$13),15-13*ORÇAMENTO!$AF$7)/$H430*OFFSET(ORÇAMENTO!$X$15,ROW(AI430)-ROW(AI$15),0),
ROUND(ROUND(OFFSET($P430,0,AI$13),15-13*ORÇAMENTO!$AF$7)*OFFSET(ORÇAMENTO!$W$15,ROW(AI430)-ROW(AI$15),0),15-13*ORÇAMENTO!$AF$11)),0)</f>
        <v>0</v>
      </c>
      <c r="AJ430" s="545">
        <f ca="1">IF(AND($D430="Serviço",AJ$12&lt;&gt;0,$H430&gt;0,OR(AUTOEVENTO&lt;&gt;"manual",$M430&lt;&gt;1)),
IF(Import.TipoArredondamento&lt;&gt;"TransfereGOV",
ROUND(OFFSET($P430,0,AJ$13),15-13*ORÇAMENTO!$AF$7)/$H430*OFFSET(ORÇAMENTO!$X$15,ROW(AJ430)-ROW(AJ$15),0),
ROUND(ROUND(OFFSET($P430,0,AJ$13),15-13*ORÇAMENTO!$AF$7)*OFFSET(ORÇAMENTO!$W$15,ROW(AJ430)-ROW(AJ$15),0),15-13*ORÇAMENTO!$AF$11)),0)</f>
        <v>0</v>
      </c>
      <c r="AK430" s="546">
        <f ca="1">IF(AND($D430="Serviço",AK$12&lt;&gt;0,$H430&gt;0,OR(AUTOEVENTO&lt;&gt;"manual",$M430&lt;&gt;1)),
IF(Import.TipoArredondamento&lt;&gt;"TransfereGOV",
ROUND(OFFSET($P430,0,AK$13),15-13*ORÇAMENTO!$AF$7)/$H430*OFFSET(ORÇAMENTO!$X$15,ROW(AK430)-ROW(AK$15),0),
ROUND(ROUND(OFFSET($P430,0,AK$13),15-13*ORÇAMENTO!$AF$7)*OFFSET(ORÇAMENTO!$W$15,ROW(AK430)-ROW(AK$15),0),15-13*ORÇAMENTO!$AF$11)),0)</f>
        <v>0</v>
      </c>
      <c r="AM430" s="181">
        <f ca="1">IF($D430&lt;&gt;"Serviço",0,IF(AND(AUTOEVENTO="Manual",$M430=1),0,IF(OFFSET(CRONOPLE!$F$14,$M430,AM$13)="",10^12,OFFSET(CRONOPLE!$F$14,$M430,AM$13))))</f>
        <v>0</v>
      </c>
      <c r="AN430" s="181">
        <f ca="1">IF($D430&lt;&gt;"Serviço",0,IF(AND(AUTOEVENTO="Manual",$M430=1),0,IF(OFFSET(CRONOPLE!$F$14,$M430,AN$13)="",10^12,OFFSET(CRONOPLE!$F$14,$M430,AN$13))))</f>
        <v>0</v>
      </c>
      <c r="AO430" s="181">
        <f ca="1">IF($D430&lt;&gt;"Serviço",0,IF(AND(AUTOEVENTO="Manual",$M430=1),0,IF(OFFSET(CRONOPLE!$F$14,$M430,AO$13)="",10^12,OFFSET(CRONOPLE!$F$14,$M430,AO$13))))</f>
        <v>0</v>
      </c>
      <c r="AP430" s="181">
        <f ca="1">IF($D430&lt;&gt;"Serviço",0,IF(AND(AUTOEVENTO="Manual",$M430=1),0,IF(OFFSET(CRONOPLE!$F$14,$M430,AP$13)="",10^12,OFFSET(CRONOPLE!$F$14,$M430,AP$13))))</f>
        <v>0</v>
      </c>
      <c r="AQ430" s="181">
        <f ca="1">IF($D430&lt;&gt;"Serviço",0,IF(AND(AUTOEVENTO="Manual",$M430=1),0,IF(OFFSET(CRONOPLE!$F$14,$M430,AQ$13)="",10^12,OFFSET(CRONOPLE!$F$14,$M430,AQ$13))))</f>
        <v>0</v>
      </c>
      <c r="AR430" s="181">
        <f ca="1">IF($D430&lt;&gt;"Serviço",0,IF(AND(AUTOEVENTO="Manual",$M430=1),0,IF(OFFSET(CRONOPLE!$F$14,$M430,AR$13)="",10^12,OFFSET(CRONOPLE!$F$14,$M430,AR$13))))</f>
        <v>0</v>
      </c>
      <c r="AS430" s="181">
        <f ca="1">IF($D430&lt;&gt;"Serviço",0,IF(AND(AUTOEVENTO="Manual",$M430=1),0,IF(OFFSET(CRONOPLE!$F$14,$M430,AS$13)="",10^12,OFFSET(CRONOPLE!$F$14,$M430,AS$13))))</f>
        <v>0</v>
      </c>
      <c r="AT430" s="181">
        <f ca="1">IF($D430&lt;&gt;"Serviço",0,IF(AND(AUTOEVENTO="Manual",$M430=1),0,IF(OFFSET(CRONOPLE!$F$14,$M430,AT$13)="",10^12,OFFSET(CRONOPLE!$F$14,$M430,AT$13))))</f>
        <v>0</v>
      </c>
      <c r="AU430" s="181">
        <f ca="1">IF($D430&lt;&gt;"Serviço",0,IF(AND(AUTOEVENTO="Manual",$M430=1),0,IF(OFFSET(CRONOPLE!$F$14,$M430,AU$13)="",10^12,OFFSET(CRONOPLE!$F$14,$M430,AU$13))))</f>
        <v>0</v>
      </c>
      <c r="AV430" s="181">
        <f ca="1">IF($D430&lt;&gt;"Serviço",0,IF(AND(AUTOEVENTO="Manual",$M430=1),0,IF(OFFSET(CRONOPLE!$F$14,$M430,AV$13)="",10^12,OFFSET(CRONOPLE!$F$14,$M430,AV$13))))</f>
        <v>0</v>
      </c>
      <c r="AX430" s="182">
        <f ca="1">IF($D430&lt;&gt;"Serviço",0,IF(OR(AND(AUTOEVENTO="Manual",$M430=1),$M430&gt;(ROW(PLE.lastrow)-ROW(PLE.firstrow))),0,IF(OFFSET(PLE!$G$14,$M430,AX$13)="",10^12,OFFSET(PLE!$G$14,$M430,AX$13))))</f>
        <v>0</v>
      </c>
      <c r="AY430" s="182">
        <f ca="1">IF($D430&lt;&gt;"Serviço",0,IF(OR(AND(AUTOEVENTO="Manual",$M430=1),$M430&gt;(ROW(PLE.lastrow)-ROW(PLE.firstrow))),0,IF(OFFSET(PLE!$G$14,$M430,AY$13)="",10^12,OFFSET(PLE!$G$14,$M430,AY$13))))</f>
        <v>0</v>
      </c>
      <c r="AZ430" s="182">
        <f ca="1">IF($D430&lt;&gt;"Serviço",0,IF(OR(AND(AUTOEVENTO="Manual",$M430=1),$M430&gt;(ROW(PLE.lastrow)-ROW(PLE.firstrow))),0,IF(OFFSET(PLE!$G$14,$M430,AZ$13)="",10^12,OFFSET(PLE!$G$14,$M430,AZ$13))))</f>
        <v>0</v>
      </c>
      <c r="BA430" s="182">
        <f ca="1">IF($D430&lt;&gt;"Serviço",0,IF(OR(AND(AUTOEVENTO="Manual",$M430=1),$M430&gt;(ROW(PLE.lastrow)-ROW(PLE.firstrow))),0,IF(OFFSET(PLE!$G$14,$M430,BA$13)="",10^12,OFFSET(PLE!$G$14,$M430,BA$13))))</f>
        <v>0</v>
      </c>
      <c r="BB430" s="182">
        <f ca="1">IF($D430&lt;&gt;"Serviço",0,IF(OR(AND(AUTOEVENTO="Manual",$M430=1),$M430&gt;(ROW(PLE.lastrow)-ROW(PLE.firstrow))),0,IF(OFFSET(PLE!$G$14,$M430,BB$13)="",10^12,OFFSET(PLE!$G$14,$M430,BB$13))))</f>
        <v>0</v>
      </c>
      <c r="BC430" s="182">
        <f ca="1">IF($D430&lt;&gt;"Serviço",0,IF(OR(AND(AUTOEVENTO="Manual",$M430=1),$M430&gt;(ROW(PLE.lastrow)-ROW(PLE.firstrow))),0,IF(OFFSET(PLE!$G$14,$M430,BC$13)="",10^12,OFFSET(PLE!$G$14,$M430,BC$13))))</f>
        <v>0</v>
      </c>
      <c r="BD430" s="182">
        <f ca="1">IF($D430&lt;&gt;"Serviço",0,IF(OR(AND(AUTOEVENTO="Manual",$M430=1),$M430&gt;(ROW(PLE.lastrow)-ROW(PLE.firstrow))),0,IF(OFFSET(PLE!$G$14,$M430,BD$13)="",10^12,OFFSET(PLE!$G$14,$M430,BD$13))))</f>
        <v>0</v>
      </c>
      <c r="BE430" s="182">
        <f ca="1">IF($D430&lt;&gt;"Serviço",0,IF(OR(AND(AUTOEVENTO="Manual",$M430=1),$M430&gt;(ROW(PLE.lastrow)-ROW(PLE.firstrow))),0,IF(OFFSET(PLE!$G$14,$M430,BE$13)="",10^12,OFFSET(PLE!$G$14,$M430,BE$13))))</f>
        <v>0</v>
      </c>
      <c r="BF430" s="182">
        <f ca="1">IF($D430&lt;&gt;"Serviço",0,IF(OR(AND(AUTOEVENTO="Manual",$M430=1),$M430&gt;(ROW(PLE.lastrow)-ROW(PLE.firstrow))),0,IF(OFFSET(PLE!$G$14,$M430,BF$13)="",10^12,OFFSET(PLE!$G$14,$M430,BF$13))))</f>
        <v>0</v>
      </c>
      <c r="BG430" s="182">
        <f ca="1">IF($D430&lt;&gt;"Serviço",0,IF(OR(AND(AUTOEVENTO="Manual",$M430=1),$M430&gt;(ROW(PLE.lastrow)-ROW(PLE.firstrow))),0,IF(OFFSET(PLE!$G$14,$M430,BG$13)="",10^12,OFFSET(PLE!$G$14,$M430,BG$13))))</f>
        <v>0</v>
      </c>
    </row>
    <row r="431" spans="1:59" ht="51" x14ac:dyDescent="0.2">
      <c r="A431" s="7" t="str">
        <f t="shared" ca="1" si="13"/>
        <v>411</v>
      </c>
      <c r="B431" s="7" t="str">
        <f ca="1">OFFSET(ORÇAMENTO!C$15,ROW(B431)-ROW(B$15),0)</f>
        <v>S</v>
      </c>
      <c r="C431" s="7" t="str">
        <f ca="1">OFFSET(ORÇAMENTO!L$15,ROW(C431)-ROW(C$15),0)</f>
        <v/>
      </c>
      <c r="D431" s="118" t="str">
        <f ca="1">OFFSET(ORÇAMENTO!N$15,ROW(D431)-ROW(D$15),0)</f>
        <v>Serviço</v>
      </c>
      <c r="E431" s="119" t="str">
        <f ca="1">OFFSET(ORÇAMENTO!O$15,ROW(E431)-ROW(E$15),0)</f>
        <v>-</v>
      </c>
      <c r="F431" s="172" t="str">
        <f ca="1">OFFSET(ORÇAMENTO!R$15,ROW(F431)-ROW(F$15),0)</f>
        <v>(abra o arquivo 'Referência 02-2025.xlsm)</v>
      </c>
      <c r="G431" s="173" t="str">
        <f ca="1">IF($D431&lt;&gt;"Serviço","",OFFSET(ORÇAMENTO!S$15,ROW(G431)-ROW(G$15),0))</f>
        <v>-</v>
      </c>
      <c r="H431" s="124">
        <f ca="1">IF($D431&lt;&gt;"Serviço",0,IF(ACOMPANHAMENTO="BM",ROUND(OFFSET(ORÇAMENTO!AJ$15,ROW(H431)-ROW(H$15),0),15-13*ORÇAMENTO!$AF$7),SUMPRODUCT(($Q$12:$AA$12&lt;&gt;"")*ROUND($Q431:$AA431,15-13*ORÇAMENTO!$AF$7))))</f>
        <v>2</v>
      </c>
      <c r="I431" s="561" t="s">
        <v>890</v>
      </c>
      <c r="K431" s="174"/>
      <c r="L431" s="175" t="s">
        <v>255</v>
      </c>
      <c r="M431" s="176">
        <f ca="1">IF($D431&lt;&gt;"Serviço","",IF(AUTOEVENTO="manual",$A431,IF(ISERROR(MATCH($A431,$A$15:OFFSET($A431,-1,0),0)),MAX($M$15:OFFSET(M431,-1,0))+1,INDEX($M$15:OFFSET(M431,-1,0),MATCH($A431,$A$15:OFFSET($A431,-1,0),0)))))</f>
        <v>17</v>
      </c>
      <c r="N431" s="177" t="str">
        <f ca="1">IF($D431&lt;&gt;"Serviço","",IF(AUTOEVENTO="Manual",IF($A431=0,"&lt;-- defina o número do agrupador",OFFSET(EVENTOS!$D$14,$A431,0)),OFFSET($F$15,$A431,0)))</f>
        <v>SISTEMA DE PROTEÇÃO CONTRA INCÊNDIO</v>
      </c>
      <c r="O431" s="178"/>
      <c r="Q431" s="178"/>
      <c r="R431" s="179"/>
      <c r="S431" s="179"/>
      <c r="T431" s="179"/>
      <c r="U431" s="179"/>
      <c r="V431" s="179"/>
      <c r="W431" s="179"/>
      <c r="X431" s="179"/>
      <c r="Y431" s="179"/>
      <c r="Z431" s="180"/>
      <c r="AB431" s="544">
        <f ca="1">IF(AND($D431="Serviço",AB$12&lt;&gt;0,$H431&gt;0,OR(AUTOEVENTO&lt;&gt;"manual",$M431&lt;&gt;1)),
IF(Import.TipoArredondamento&lt;&gt;"TransfereGOV",
ROUND(OFFSET($P431,0,AB$13),15-13*ORÇAMENTO!$AF$7)/$H431*OFFSET(ORÇAMENTO!$X$15,ROW(AB431)-ROW(AB$15),0),
ROUND(ROUND(OFFSET($P431,0,AB$13),15-13*ORÇAMENTO!$AF$7)*OFFSET(ORÇAMENTO!$W$15,ROW(AB431)-ROW(AB$15),0),15-13*ORÇAMENTO!$AF$11)),0)</f>
        <v>0</v>
      </c>
      <c r="AC431" s="545">
        <f ca="1">IF(AND($D431="Serviço",AC$12&lt;&gt;0,$H431&gt;0,OR(AUTOEVENTO&lt;&gt;"manual",$M431&lt;&gt;1)),
IF(Import.TipoArredondamento&lt;&gt;"TransfereGOV",
ROUND(OFFSET($P431,0,AC$13),15-13*ORÇAMENTO!$AF$7)/$H431*OFFSET(ORÇAMENTO!$X$15,ROW(AC431)-ROW(AC$15),0),
ROUND(ROUND(OFFSET($P431,0,AC$13),15-13*ORÇAMENTO!$AF$7)*OFFSET(ORÇAMENTO!$W$15,ROW(AC431)-ROW(AC$15),0),15-13*ORÇAMENTO!$AF$11)),0)</f>
        <v>0</v>
      </c>
      <c r="AD431" s="545">
        <f ca="1">IF(AND($D431="Serviço",AD$12&lt;&gt;0,$H431&gt;0,OR(AUTOEVENTO&lt;&gt;"manual",$M431&lt;&gt;1)),
IF(Import.TipoArredondamento&lt;&gt;"TransfereGOV",
ROUND(OFFSET($P431,0,AD$13),15-13*ORÇAMENTO!$AF$7)/$H431*OFFSET(ORÇAMENTO!$X$15,ROW(AD431)-ROW(AD$15),0),
ROUND(ROUND(OFFSET($P431,0,AD$13),15-13*ORÇAMENTO!$AF$7)*OFFSET(ORÇAMENTO!$W$15,ROW(AD431)-ROW(AD$15),0),15-13*ORÇAMENTO!$AF$11)),0)</f>
        <v>0</v>
      </c>
      <c r="AE431" s="545">
        <f ca="1">IF(AND($D431="Serviço",AE$12&lt;&gt;0,$H431&gt;0,OR(AUTOEVENTO&lt;&gt;"manual",$M431&lt;&gt;1)),
IF(Import.TipoArredondamento&lt;&gt;"TransfereGOV",
ROUND(OFFSET($P431,0,AE$13),15-13*ORÇAMENTO!$AF$7)/$H431*OFFSET(ORÇAMENTO!$X$15,ROW(AE431)-ROW(AE$15),0),
ROUND(ROUND(OFFSET($P431,0,AE$13),15-13*ORÇAMENTO!$AF$7)*OFFSET(ORÇAMENTO!$W$15,ROW(AE431)-ROW(AE$15),0),15-13*ORÇAMENTO!$AF$11)),0)</f>
        <v>0</v>
      </c>
      <c r="AF431" s="545">
        <f ca="1">IF(AND($D431="Serviço",AF$12&lt;&gt;0,$H431&gt;0,OR(AUTOEVENTO&lt;&gt;"manual",$M431&lt;&gt;1)),
IF(Import.TipoArredondamento&lt;&gt;"TransfereGOV",
ROUND(OFFSET($P431,0,AF$13),15-13*ORÇAMENTO!$AF$7)/$H431*OFFSET(ORÇAMENTO!$X$15,ROW(AF431)-ROW(AF$15),0),
ROUND(ROUND(OFFSET($P431,0,AF$13),15-13*ORÇAMENTO!$AF$7)*OFFSET(ORÇAMENTO!$W$15,ROW(AF431)-ROW(AF$15),0),15-13*ORÇAMENTO!$AF$11)),0)</f>
        <v>0</v>
      </c>
      <c r="AG431" s="545">
        <f ca="1">IF(AND($D431="Serviço",AG$12&lt;&gt;0,$H431&gt;0,OR(AUTOEVENTO&lt;&gt;"manual",$M431&lt;&gt;1)),
IF(Import.TipoArredondamento&lt;&gt;"TransfereGOV",
ROUND(OFFSET($P431,0,AG$13),15-13*ORÇAMENTO!$AF$7)/$H431*OFFSET(ORÇAMENTO!$X$15,ROW(AG431)-ROW(AG$15),0),
ROUND(ROUND(OFFSET($P431,0,AG$13),15-13*ORÇAMENTO!$AF$7)*OFFSET(ORÇAMENTO!$W$15,ROW(AG431)-ROW(AG$15),0),15-13*ORÇAMENTO!$AF$11)),0)</f>
        <v>0</v>
      </c>
      <c r="AH431" s="545">
        <f ca="1">IF(AND($D431="Serviço",AH$12&lt;&gt;0,$H431&gt;0,OR(AUTOEVENTO&lt;&gt;"manual",$M431&lt;&gt;1)),
IF(Import.TipoArredondamento&lt;&gt;"TransfereGOV",
ROUND(OFFSET($P431,0,AH$13),15-13*ORÇAMENTO!$AF$7)/$H431*OFFSET(ORÇAMENTO!$X$15,ROW(AH431)-ROW(AH$15),0),
ROUND(ROUND(OFFSET($P431,0,AH$13),15-13*ORÇAMENTO!$AF$7)*OFFSET(ORÇAMENTO!$W$15,ROW(AH431)-ROW(AH$15),0),15-13*ORÇAMENTO!$AF$11)),0)</f>
        <v>0</v>
      </c>
      <c r="AI431" s="545">
        <f ca="1">IF(AND($D431="Serviço",AI$12&lt;&gt;0,$H431&gt;0,OR(AUTOEVENTO&lt;&gt;"manual",$M431&lt;&gt;1)),
IF(Import.TipoArredondamento&lt;&gt;"TransfereGOV",
ROUND(OFFSET($P431,0,AI$13),15-13*ORÇAMENTO!$AF$7)/$H431*OFFSET(ORÇAMENTO!$X$15,ROW(AI431)-ROW(AI$15),0),
ROUND(ROUND(OFFSET($P431,0,AI$13),15-13*ORÇAMENTO!$AF$7)*OFFSET(ORÇAMENTO!$W$15,ROW(AI431)-ROW(AI$15),0),15-13*ORÇAMENTO!$AF$11)),0)</f>
        <v>0</v>
      </c>
      <c r="AJ431" s="545">
        <f ca="1">IF(AND($D431="Serviço",AJ$12&lt;&gt;0,$H431&gt;0,OR(AUTOEVENTO&lt;&gt;"manual",$M431&lt;&gt;1)),
IF(Import.TipoArredondamento&lt;&gt;"TransfereGOV",
ROUND(OFFSET($P431,0,AJ$13),15-13*ORÇAMENTO!$AF$7)/$H431*OFFSET(ORÇAMENTO!$X$15,ROW(AJ431)-ROW(AJ$15),0),
ROUND(ROUND(OFFSET($P431,0,AJ$13),15-13*ORÇAMENTO!$AF$7)*OFFSET(ORÇAMENTO!$W$15,ROW(AJ431)-ROW(AJ$15),0),15-13*ORÇAMENTO!$AF$11)),0)</f>
        <v>0</v>
      </c>
      <c r="AK431" s="546">
        <f ca="1">IF(AND($D431="Serviço",AK$12&lt;&gt;0,$H431&gt;0,OR(AUTOEVENTO&lt;&gt;"manual",$M431&lt;&gt;1)),
IF(Import.TipoArredondamento&lt;&gt;"TransfereGOV",
ROUND(OFFSET($P431,0,AK$13),15-13*ORÇAMENTO!$AF$7)/$H431*OFFSET(ORÇAMENTO!$X$15,ROW(AK431)-ROW(AK$15),0),
ROUND(ROUND(OFFSET($P431,0,AK$13),15-13*ORÇAMENTO!$AF$7)*OFFSET(ORÇAMENTO!$W$15,ROW(AK431)-ROW(AK$15),0),15-13*ORÇAMENTO!$AF$11)),0)</f>
        <v>0</v>
      </c>
      <c r="AM431" s="181">
        <f ca="1">IF($D431&lt;&gt;"Serviço",0,IF(AND(AUTOEVENTO="Manual",$M431=1),0,IF(OFFSET(CRONOPLE!$F$14,$M431,AM$13)="",10^12,OFFSET(CRONOPLE!$F$14,$M431,AM$13))))</f>
        <v>1000000000000</v>
      </c>
      <c r="AN431" s="181">
        <f ca="1">IF($D431&lt;&gt;"Serviço",0,IF(AND(AUTOEVENTO="Manual",$M431=1),0,IF(OFFSET(CRONOPLE!$F$14,$M431,AN$13)="",10^12,OFFSET(CRONOPLE!$F$14,$M431,AN$13))))</f>
        <v>1000000000000</v>
      </c>
      <c r="AO431" s="181">
        <f ca="1">IF($D431&lt;&gt;"Serviço",0,IF(AND(AUTOEVENTO="Manual",$M431=1),0,IF(OFFSET(CRONOPLE!$F$14,$M431,AO$13)="",10^12,OFFSET(CRONOPLE!$F$14,$M431,AO$13))))</f>
        <v>1000000000000</v>
      </c>
      <c r="AP431" s="181">
        <f ca="1">IF($D431&lt;&gt;"Serviço",0,IF(AND(AUTOEVENTO="Manual",$M431=1),0,IF(OFFSET(CRONOPLE!$F$14,$M431,AP$13)="",10^12,OFFSET(CRONOPLE!$F$14,$M431,AP$13))))</f>
        <v>1000000000000</v>
      </c>
      <c r="AQ431" s="181">
        <f ca="1">IF($D431&lt;&gt;"Serviço",0,IF(AND(AUTOEVENTO="Manual",$M431=1),0,IF(OFFSET(CRONOPLE!$F$14,$M431,AQ$13)="",10^12,OFFSET(CRONOPLE!$F$14,$M431,AQ$13))))</f>
        <v>1000000000000</v>
      </c>
      <c r="AR431" s="181">
        <f ca="1">IF($D431&lt;&gt;"Serviço",0,IF(AND(AUTOEVENTO="Manual",$M431=1),0,IF(OFFSET(CRONOPLE!$F$14,$M431,AR$13)="",10^12,OFFSET(CRONOPLE!$F$14,$M431,AR$13))))</f>
        <v>1000000000000</v>
      </c>
      <c r="AS431" s="181">
        <f ca="1">IF($D431&lt;&gt;"Serviço",0,IF(AND(AUTOEVENTO="Manual",$M431=1),0,IF(OFFSET(CRONOPLE!$F$14,$M431,AS$13)="",10^12,OFFSET(CRONOPLE!$F$14,$M431,AS$13))))</f>
        <v>1000000000000</v>
      </c>
      <c r="AT431" s="181">
        <f ca="1">IF($D431&lt;&gt;"Serviço",0,IF(AND(AUTOEVENTO="Manual",$M431=1),0,IF(OFFSET(CRONOPLE!$F$14,$M431,AT$13)="",10^12,OFFSET(CRONOPLE!$F$14,$M431,AT$13))))</f>
        <v>1000000000000</v>
      </c>
      <c r="AU431" s="181">
        <f ca="1">IF($D431&lt;&gt;"Serviço",0,IF(AND(AUTOEVENTO="Manual",$M431=1),0,IF(OFFSET(CRONOPLE!$F$14,$M431,AU$13)="",10^12,OFFSET(CRONOPLE!$F$14,$M431,AU$13))))</f>
        <v>1000000000000</v>
      </c>
      <c r="AV431" s="181">
        <f ca="1">IF($D431&lt;&gt;"Serviço",0,IF(AND(AUTOEVENTO="Manual",$M431=1),0,IF(OFFSET(CRONOPLE!$F$14,$M431,AV$13)="",10^12,OFFSET(CRONOPLE!$F$14,$M431,AV$13))))</f>
        <v>1000000000000</v>
      </c>
      <c r="AX431" s="182">
        <f ca="1">IF($D431&lt;&gt;"Serviço",0,IF(OR(AND(AUTOEVENTO="Manual",$M431=1),$M431&gt;(ROW(PLE.lastrow)-ROW(PLE.firstrow))),0,IF(OFFSET(PLE!$G$14,$M431,AX$13)="",10^12,OFFSET(PLE!$G$14,$M431,AX$13))))</f>
        <v>1000000000000</v>
      </c>
      <c r="AY431" s="182">
        <f ca="1">IF($D431&lt;&gt;"Serviço",0,IF(OR(AND(AUTOEVENTO="Manual",$M431=1),$M431&gt;(ROW(PLE.lastrow)-ROW(PLE.firstrow))),0,IF(OFFSET(PLE!$G$14,$M431,AY$13)="",10^12,OFFSET(PLE!$G$14,$M431,AY$13))))</f>
        <v>1000000000000</v>
      </c>
      <c r="AZ431" s="182">
        <f ca="1">IF($D431&lt;&gt;"Serviço",0,IF(OR(AND(AUTOEVENTO="Manual",$M431=1),$M431&gt;(ROW(PLE.lastrow)-ROW(PLE.firstrow))),0,IF(OFFSET(PLE!$G$14,$M431,AZ$13)="",10^12,OFFSET(PLE!$G$14,$M431,AZ$13))))</f>
        <v>1000000000000</v>
      </c>
      <c r="BA431" s="182">
        <f ca="1">IF($D431&lt;&gt;"Serviço",0,IF(OR(AND(AUTOEVENTO="Manual",$M431=1),$M431&gt;(ROW(PLE.lastrow)-ROW(PLE.firstrow))),0,IF(OFFSET(PLE!$G$14,$M431,BA$13)="",10^12,OFFSET(PLE!$G$14,$M431,BA$13))))</f>
        <v>1000000000000</v>
      </c>
      <c r="BB431" s="182">
        <f ca="1">IF($D431&lt;&gt;"Serviço",0,IF(OR(AND(AUTOEVENTO="Manual",$M431=1),$M431&gt;(ROW(PLE.lastrow)-ROW(PLE.firstrow))),0,IF(OFFSET(PLE!$G$14,$M431,BB$13)="",10^12,OFFSET(PLE!$G$14,$M431,BB$13))))</f>
        <v>1000000000000</v>
      </c>
      <c r="BC431" s="182">
        <f ca="1">IF($D431&lt;&gt;"Serviço",0,IF(OR(AND(AUTOEVENTO="Manual",$M431=1),$M431&gt;(ROW(PLE.lastrow)-ROW(PLE.firstrow))),0,IF(OFFSET(PLE!$G$14,$M431,BC$13)="",10^12,OFFSET(PLE!$G$14,$M431,BC$13))))</f>
        <v>1000000000000</v>
      </c>
      <c r="BD431" s="182">
        <f ca="1">IF($D431&lt;&gt;"Serviço",0,IF(OR(AND(AUTOEVENTO="Manual",$M431=1),$M431&gt;(ROW(PLE.lastrow)-ROW(PLE.firstrow))),0,IF(OFFSET(PLE!$G$14,$M431,BD$13)="",10^12,OFFSET(PLE!$G$14,$M431,BD$13))))</f>
        <v>1000000000000</v>
      </c>
      <c r="BE431" s="182">
        <f ca="1">IF($D431&lt;&gt;"Serviço",0,IF(OR(AND(AUTOEVENTO="Manual",$M431=1),$M431&gt;(ROW(PLE.lastrow)-ROW(PLE.firstrow))),0,IF(OFFSET(PLE!$G$14,$M431,BE$13)="",10^12,OFFSET(PLE!$G$14,$M431,BE$13))))</f>
        <v>1000000000000</v>
      </c>
      <c r="BF431" s="182">
        <f ca="1">IF($D431&lt;&gt;"Serviço",0,IF(OR(AND(AUTOEVENTO="Manual",$M431=1),$M431&gt;(ROW(PLE.lastrow)-ROW(PLE.firstrow))),0,IF(OFFSET(PLE!$G$14,$M431,BF$13)="",10^12,OFFSET(PLE!$G$14,$M431,BF$13))))</f>
        <v>1000000000000</v>
      </c>
      <c r="BG431" s="182">
        <f ca="1">IF($D431&lt;&gt;"Serviço",0,IF(OR(AND(AUTOEVENTO="Manual",$M431=1),$M431&gt;(ROW(PLE.lastrow)-ROW(PLE.firstrow))),0,IF(OFFSET(PLE!$G$14,$M431,BG$13)="",10^12,OFFSET(PLE!$G$14,$M431,BG$13))))</f>
        <v>1000000000000</v>
      </c>
    </row>
    <row r="432" spans="1:59" ht="25.5" x14ac:dyDescent="0.2">
      <c r="A432" s="7" t="str">
        <f t="shared" ca="1" si="13"/>
        <v>411</v>
      </c>
      <c r="B432" s="7" t="str">
        <f ca="1">OFFSET(ORÇAMENTO!C$15,ROW(B432)-ROW(B$15),0)</f>
        <v>S</v>
      </c>
      <c r="C432" s="7" t="str">
        <f ca="1">OFFSET(ORÇAMENTO!L$15,ROW(C432)-ROW(C$15),0)</f>
        <v/>
      </c>
      <c r="D432" s="118" t="str">
        <f ca="1">OFFSET(ORÇAMENTO!N$15,ROW(D432)-ROW(D$15),0)</f>
        <v>Serviço</v>
      </c>
      <c r="E432" s="119" t="str">
        <f ca="1">OFFSET(ORÇAMENTO!O$15,ROW(E432)-ROW(E$15),0)</f>
        <v>-</v>
      </c>
      <c r="F432" s="172" t="str">
        <f ca="1">OFFSET(ORÇAMENTO!R$15,ROW(F432)-ROW(F$15),0)</f>
        <v>(abra o arquivo 'Referência 02-2025.xlsm)</v>
      </c>
      <c r="G432" s="173" t="str">
        <f ca="1">IF($D432&lt;&gt;"Serviço","",OFFSET(ORÇAMENTO!S$15,ROW(G432)-ROW(G$15),0))</f>
        <v>-</v>
      </c>
      <c r="H432" s="124">
        <f ca="1">IF($D432&lt;&gt;"Serviço",0,IF(ACOMPANHAMENTO="BM",ROUND(OFFSET(ORÇAMENTO!AJ$15,ROW(H432)-ROW(H$15),0),15-13*ORÇAMENTO!$AF$7),SUMPRODUCT(($Q$12:$AA$12&lt;&gt;"")*ROUND($Q432:$AA432,15-13*ORÇAMENTO!$AF$7))))</f>
        <v>1</v>
      </c>
      <c r="I432" s="561" t="s">
        <v>890</v>
      </c>
      <c r="K432" s="174"/>
      <c r="L432" s="175" t="s">
        <v>255</v>
      </c>
      <c r="M432" s="176">
        <f ca="1">IF($D432&lt;&gt;"Serviço","",IF(AUTOEVENTO="manual",$A432,IF(ISERROR(MATCH($A432,$A$15:OFFSET($A432,-1,0),0)),MAX($M$15:OFFSET(M432,-1,0))+1,INDEX($M$15:OFFSET(M432,-1,0),MATCH($A432,$A$15:OFFSET($A432,-1,0),0)))))</f>
        <v>17</v>
      </c>
      <c r="N432" s="177" t="str">
        <f ca="1">IF($D432&lt;&gt;"Serviço","",IF(AUTOEVENTO="Manual",IF($A432=0,"&lt;-- defina o número do agrupador",OFFSET(EVENTOS!$D$14,$A432,0)),OFFSET($F$15,$A432,0)))</f>
        <v>SISTEMA DE PROTEÇÃO CONTRA INCÊNDIO</v>
      </c>
      <c r="O432" s="178"/>
      <c r="Q432" s="178"/>
      <c r="R432" s="179"/>
      <c r="S432" s="179"/>
      <c r="T432" s="179"/>
      <c r="U432" s="179"/>
      <c r="V432" s="179"/>
      <c r="W432" s="179"/>
      <c r="X432" s="179"/>
      <c r="Y432" s="179"/>
      <c r="Z432" s="180"/>
      <c r="AB432" s="544">
        <f ca="1">IF(AND($D432="Serviço",AB$12&lt;&gt;0,$H432&gt;0,OR(AUTOEVENTO&lt;&gt;"manual",$M432&lt;&gt;1)),
IF(Import.TipoArredondamento&lt;&gt;"TransfereGOV",
ROUND(OFFSET($P432,0,AB$13),15-13*ORÇAMENTO!$AF$7)/$H432*OFFSET(ORÇAMENTO!$X$15,ROW(AB432)-ROW(AB$15),0),
ROUND(ROUND(OFFSET($P432,0,AB$13),15-13*ORÇAMENTO!$AF$7)*OFFSET(ORÇAMENTO!$W$15,ROW(AB432)-ROW(AB$15),0),15-13*ORÇAMENTO!$AF$11)),0)</f>
        <v>0</v>
      </c>
      <c r="AC432" s="545">
        <f ca="1">IF(AND($D432="Serviço",AC$12&lt;&gt;0,$H432&gt;0,OR(AUTOEVENTO&lt;&gt;"manual",$M432&lt;&gt;1)),
IF(Import.TipoArredondamento&lt;&gt;"TransfereGOV",
ROUND(OFFSET($P432,0,AC$13),15-13*ORÇAMENTO!$AF$7)/$H432*OFFSET(ORÇAMENTO!$X$15,ROW(AC432)-ROW(AC$15),0),
ROUND(ROUND(OFFSET($P432,0,AC$13),15-13*ORÇAMENTO!$AF$7)*OFFSET(ORÇAMENTO!$W$15,ROW(AC432)-ROW(AC$15),0),15-13*ORÇAMENTO!$AF$11)),0)</f>
        <v>0</v>
      </c>
      <c r="AD432" s="545">
        <f ca="1">IF(AND($D432="Serviço",AD$12&lt;&gt;0,$H432&gt;0,OR(AUTOEVENTO&lt;&gt;"manual",$M432&lt;&gt;1)),
IF(Import.TipoArredondamento&lt;&gt;"TransfereGOV",
ROUND(OFFSET($P432,0,AD$13),15-13*ORÇAMENTO!$AF$7)/$H432*OFFSET(ORÇAMENTO!$X$15,ROW(AD432)-ROW(AD$15),0),
ROUND(ROUND(OFFSET($P432,0,AD$13),15-13*ORÇAMENTO!$AF$7)*OFFSET(ORÇAMENTO!$W$15,ROW(AD432)-ROW(AD$15),0),15-13*ORÇAMENTO!$AF$11)),0)</f>
        <v>0</v>
      </c>
      <c r="AE432" s="545">
        <f ca="1">IF(AND($D432="Serviço",AE$12&lt;&gt;0,$H432&gt;0,OR(AUTOEVENTO&lt;&gt;"manual",$M432&lt;&gt;1)),
IF(Import.TipoArredondamento&lt;&gt;"TransfereGOV",
ROUND(OFFSET($P432,0,AE$13),15-13*ORÇAMENTO!$AF$7)/$H432*OFFSET(ORÇAMENTO!$X$15,ROW(AE432)-ROW(AE$15),0),
ROUND(ROUND(OFFSET($P432,0,AE$13),15-13*ORÇAMENTO!$AF$7)*OFFSET(ORÇAMENTO!$W$15,ROW(AE432)-ROW(AE$15),0),15-13*ORÇAMENTO!$AF$11)),0)</f>
        <v>0</v>
      </c>
      <c r="AF432" s="545">
        <f ca="1">IF(AND($D432="Serviço",AF$12&lt;&gt;0,$H432&gt;0,OR(AUTOEVENTO&lt;&gt;"manual",$M432&lt;&gt;1)),
IF(Import.TipoArredondamento&lt;&gt;"TransfereGOV",
ROUND(OFFSET($P432,0,AF$13),15-13*ORÇAMENTO!$AF$7)/$H432*OFFSET(ORÇAMENTO!$X$15,ROW(AF432)-ROW(AF$15),0),
ROUND(ROUND(OFFSET($P432,0,AF$13),15-13*ORÇAMENTO!$AF$7)*OFFSET(ORÇAMENTO!$W$15,ROW(AF432)-ROW(AF$15),0),15-13*ORÇAMENTO!$AF$11)),0)</f>
        <v>0</v>
      </c>
      <c r="AG432" s="545">
        <f ca="1">IF(AND($D432="Serviço",AG$12&lt;&gt;0,$H432&gt;0,OR(AUTOEVENTO&lt;&gt;"manual",$M432&lt;&gt;1)),
IF(Import.TipoArredondamento&lt;&gt;"TransfereGOV",
ROUND(OFFSET($P432,0,AG$13),15-13*ORÇAMENTO!$AF$7)/$H432*OFFSET(ORÇAMENTO!$X$15,ROW(AG432)-ROW(AG$15),0),
ROUND(ROUND(OFFSET($P432,0,AG$13),15-13*ORÇAMENTO!$AF$7)*OFFSET(ORÇAMENTO!$W$15,ROW(AG432)-ROW(AG$15),0),15-13*ORÇAMENTO!$AF$11)),0)</f>
        <v>0</v>
      </c>
      <c r="AH432" s="545">
        <f ca="1">IF(AND($D432="Serviço",AH$12&lt;&gt;0,$H432&gt;0,OR(AUTOEVENTO&lt;&gt;"manual",$M432&lt;&gt;1)),
IF(Import.TipoArredondamento&lt;&gt;"TransfereGOV",
ROUND(OFFSET($P432,0,AH$13),15-13*ORÇAMENTO!$AF$7)/$H432*OFFSET(ORÇAMENTO!$X$15,ROW(AH432)-ROW(AH$15),0),
ROUND(ROUND(OFFSET($P432,0,AH$13),15-13*ORÇAMENTO!$AF$7)*OFFSET(ORÇAMENTO!$W$15,ROW(AH432)-ROW(AH$15),0),15-13*ORÇAMENTO!$AF$11)),0)</f>
        <v>0</v>
      </c>
      <c r="AI432" s="545">
        <f ca="1">IF(AND($D432="Serviço",AI$12&lt;&gt;0,$H432&gt;0,OR(AUTOEVENTO&lt;&gt;"manual",$M432&lt;&gt;1)),
IF(Import.TipoArredondamento&lt;&gt;"TransfereGOV",
ROUND(OFFSET($P432,0,AI$13),15-13*ORÇAMENTO!$AF$7)/$H432*OFFSET(ORÇAMENTO!$X$15,ROW(AI432)-ROW(AI$15),0),
ROUND(ROUND(OFFSET($P432,0,AI$13),15-13*ORÇAMENTO!$AF$7)*OFFSET(ORÇAMENTO!$W$15,ROW(AI432)-ROW(AI$15),0),15-13*ORÇAMENTO!$AF$11)),0)</f>
        <v>0</v>
      </c>
      <c r="AJ432" s="545">
        <f ca="1">IF(AND($D432="Serviço",AJ$12&lt;&gt;0,$H432&gt;0,OR(AUTOEVENTO&lt;&gt;"manual",$M432&lt;&gt;1)),
IF(Import.TipoArredondamento&lt;&gt;"TransfereGOV",
ROUND(OFFSET($P432,0,AJ$13),15-13*ORÇAMENTO!$AF$7)/$H432*OFFSET(ORÇAMENTO!$X$15,ROW(AJ432)-ROW(AJ$15),0),
ROUND(ROUND(OFFSET($P432,0,AJ$13),15-13*ORÇAMENTO!$AF$7)*OFFSET(ORÇAMENTO!$W$15,ROW(AJ432)-ROW(AJ$15),0),15-13*ORÇAMENTO!$AF$11)),0)</f>
        <v>0</v>
      </c>
      <c r="AK432" s="546">
        <f ca="1">IF(AND($D432="Serviço",AK$12&lt;&gt;0,$H432&gt;0,OR(AUTOEVENTO&lt;&gt;"manual",$M432&lt;&gt;1)),
IF(Import.TipoArredondamento&lt;&gt;"TransfereGOV",
ROUND(OFFSET($P432,0,AK$13),15-13*ORÇAMENTO!$AF$7)/$H432*OFFSET(ORÇAMENTO!$X$15,ROW(AK432)-ROW(AK$15),0),
ROUND(ROUND(OFFSET($P432,0,AK$13),15-13*ORÇAMENTO!$AF$7)*OFFSET(ORÇAMENTO!$W$15,ROW(AK432)-ROW(AK$15),0),15-13*ORÇAMENTO!$AF$11)),0)</f>
        <v>0</v>
      </c>
      <c r="AM432" s="181">
        <f ca="1">IF($D432&lt;&gt;"Serviço",0,IF(AND(AUTOEVENTO="Manual",$M432=1),0,IF(OFFSET(CRONOPLE!$F$14,$M432,AM$13)="",10^12,OFFSET(CRONOPLE!$F$14,$M432,AM$13))))</f>
        <v>1000000000000</v>
      </c>
      <c r="AN432" s="181">
        <f ca="1">IF($D432&lt;&gt;"Serviço",0,IF(AND(AUTOEVENTO="Manual",$M432=1),0,IF(OFFSET(CRONOPLE!$F$14,$M432,AN$13)="",10^12,OFFSET(CRONOPLE!$F$14,$M432,AN$13))))</f>
        <v>1000000000000</v>
      </c>
      <c r="AO432" s="181">
        <f ca="1">IF($D432&lt;&gt;"Serviço",0,IF(AND(AUTOEVENTO="Manual",$M432=1),0,IF(OFFSET(CRONOPLE!$F$14,$M432,AO$13)="",10^12,OFFSET(CRONOPLE!$F$14,$M432,AO$13))))</f>
        <v>1000000000000</v>
      </c>
      <c r="AP432" s="181">
        <f ca="1">IF($D432&lt;&gt;"Serviço",0,IF(AND(AUTOEVENTO="Manual",$M432=1),0,IF(OFFSET(CRONOPLE!$F$14,$M432,AP$13)="",10^12,OFFSET(CRONOPLE!$F$14,$M432,AP$13))))</f>
        <v>1000000000000</v>
      </c>
      <c r="AQ432" s="181">
        <f ca="1">IF($D432&lt;&gt;"Serviço",0,IF(AND(AUTOEVENTO="Manual",$M432=1),0,IF(OFFSET(CRONOPLE!$F$14,$M432,AQ$13)="",10^12,OFFSET(CRONOPLE!$F$14,$M432,AQ$13))))</f>
        <v>1000000000000</v>
      </c>
      <c r="AR432" s="181">
        <f ca="1">IF($D432&lt;&gt;"Serviço",0,IF(AND(AUTOEVENTO="Manual",$M432=1),0,IF(OFFSET(CRONOPLE!$F$14,$M432,AR$13)="",10^12,OFFSET(CRONOPLE!$F$14,$M432,AR$13))))</f>
        <v>1000000000000</v>
      </c>
      <c r="AS432" s="181">
        <f ca="1">IF($D432&lt;&gt;"Serviço",0,IF(AND(AUTOEVENTO="Manual",$M432=1),0,IF(OFFSET(CRONOPLE!$F$14,$M432,AS$13)="",10^12,OFFSET(CRONOPLE!$F$14,$M432,AS$13))))</f>
        <v>1000000000000</v>
      </c>
      <c r="AT432" s="181">
        <f ca="1">IF($D432&lt;&gt;"Serviço",0,IF(AND(AUTOEVENTO="Manual",$M432=1),0,IF(OFFSET(CRONOPLE!$F$14,$M432,AT$13)="",10^12,OFFSET(CRONOPLE!$F$14,$M432,AT$13))))</f>
        <v>1000000000000</v>
      </c>
      <c r="AU432" s="181">
        <f ca="1">IF($D432&lt;&gt;"Serviço",0,IF(AND(AUTOEVENTO="Manual",$M432=1),0,IF(OFFSET(CRONOPLE!$F$14,$M432,AU$13)="",10^12,OFFSET(CRONOPLE!$F$14,$M432,AU$13))))</f>
        <v>1000000000000</v>
      </c>
      <c r="AV432" s="181">
        <f ca="1">IF($D432&lt;&gt;"Serviço",0,IF(AND(AUTOEVENTO="Manual",$M432=1),0,IF(OFFSET(CRONOPLE!$F$14,$M432,AV$13)="",10^12,OFFSET(CRONOPLE!$F$14,$M432,AV$13))))</f>
        <v>1000000000000</v>
      </c>
      <c r="AX432" s="182">
        <f ca="1">IF($D432&lt;&gt;"Serviço",0,IF(OR(AND(AUTOEVENTO="Manual",$M432=1),$M432&gt;(ROW(PLE.lastrow)-ROW(PLE.firstrow))),0,IF(OFFSET(PLE!$G$14,$M432,AX$13)="",10^12,OFFSET(PLE!$G$14,$M432,AX$13))))</f>
        <v>1000000000000</v>
      </c>
      <c r="AY432" s="182">
        <f ca="1">IF($D432&lt;&gt;"Serviço",0,IF(OR(AND(AUTOEVENTO="Manual",$M432=1),$M432&gt;(ROW(PLE.lastrow)-ROW(PLE.firstrow))),0,IF(OFFSET(PLE!$G$14,$M432,AY$13)="",10^12,OFFSET(PLE!$G$14,$M432,AY$13))))</f>
        <v>1000000000000</v>
      </c>
      <c r="AZ432" s="182">
        <f ca="1">IF($D432&lt;&gt;"Serviço",0,IF(OR(AND(AUTOEVENTO="Manual",$M432=1),$M432&gt;(ROW(PLE.lastrow)-ROW(PLE.firstrow))),0,IF(OFFSET(PLE!$G$14,$M432,AZ$13)="",10^12,OFFSET(PLE!$G$14,$M432,AZ$13))))</f>
        <v>1000000000000</v>
      </c>
      <c r="BA432" s="182">
        <f ca="1">IF($D432&lt;&gt;"Serviço",0,IF(OR(AND(AUTOEVENTO="Manual",$M432=1),$M432&gt;(ROW(PLE.lastrow)-ROW(PLE.firstrow))),0,IF(OFFSET(PLE!$G$14,$M432,BA$13)="",10^12,OFFSET(PLE!$G$14,$M432,BA$13))))</f>
        <v>1000000000000</v>
      </c>
      <c r="BB432" s="182">
        <f ca="1">IF($D432&lt;&gt;"Serviço",0,IF(OR(AND(AUTOEVENTO="Manual",$M432=1),$M432&gt;(ROW(PLE.lastrow)-ROW(PLE.firstrow))),0,IF(OFFSET(PLE!$G$14,$M432,BB$13)="",10^12,OFFSET(PLE!$G$14,$M432,BB$13))))</f>
        <v>1000000000000</v>
      </c>
      <c r="BC432" s="182">
        <f ca="1">IF($D432&lt;&gt;"Serviço",0,IF(OR(AND(AUTOEVENTO="Manual",$M432=1),$M432&gt;(ROW(PLE.lastrow)-ROW(PLE.firstrow))),0,IF(OFFSET(PLE!$G$14,$M432,BC$13)="",10^12,OFFSET(PLE!$G$14,$M432,BC$13))))</f>
        <v>1000000000000</v>
      </c>
      <c r="BD432" s="182">
        <f ca="1">IF($D432&lt;&gt;"Serviço",0,IF(OR(AND(AUTOEVENTO="Manual",$M432=1),$M432&gt;(ROW(PLE.lastrow)-ROW(PLE.firstrow))),0,IF(OFFSET(PLE!$G$14,$M432,BD$13)="",10^12,OFFSET(PLE!$G$14,$M432,BD$13))))</f>
        <v>1000000000000</v>
      </c>
      <c r="BE432" s="182">
        <f ca="1">IF($D432&lt;&gt;"Serviço",0,IF(OR(AND(AUTOEVENTO="Manual",$M432=1),$M432&gt;(ROW(PLE.lastrow)-ROW(PLE.firstrow))),0,IF(OFFSET(PLE!$G$14,$M432,BE$13)="",10^12,OFFSET(PLE!$G$14,$M432,BE$13))))</f>
        <v>1000000000000</v>
      </c>
      <c r="BF432" s="182">
        <f ca="1">IF($D432&lt;&gt;"Serviço",0,IF(OR(AND(AUTOEVENTO="Manual",$M432=1),$M432&gt;(ROW(PLE.lastrow)-ROW(PLE.firstrow))),0,IF(OFFSET(PLE!$G$14,$M432,BF$13)="",10^12,OFFSET(PLE!$G$14,$M432,BF$13))))</f>
        <v>1000000000000</v>
      </c>
      <c r="BG432" s="182">
        <f ca="1">IF($D432&lt;&gt;"Serviço",0,IF(OR(AND(AUTOEVENTO="Manual",$M432=1),$M432&gt;(ROW(PLE.lastrow)-ROW(PLE.firstrow))),0,IF(OFFSET(PLE!$G$14,$M432,BG$13)="",10^12,OFFSET(PLE!$G$14,$M432,BG$13))))</f>
        <v>1000000000000</v>
      </c>
    </row>
    <row r="433" spans="1:59" ht="12.75" x14ac:dyDescent="0.2">
      <c r="A433" s="7" t="str">
        <f t="shared" ca="1" si="13"/>
        <v>411</v>
      </c>
      <c r="B433" s="7">
        <f ca="1">OFFSET(ORÇAMENTO!C$15,ROW(B433)-ROW(B$15),0)</f>
        <v>3</v>
      </c>
      <c r="C433" s="7" t="str">
        <f ca="1">OFFSET(ORÇAMENTO!L$15,ROW(C433)-ROW(C$15),0)</f>
        <v>F</v>
      </c>
      <c r="D433" s="118" t="str">
        <f ca="1">OFFSET(ORÇAMENTO!N$15,ROW(D433)-ROW(D$15),0)</f>
        <v>Nível 3</v>
      </c>
      <c r="E433" s="119" t="str">
        <f ca="1">OFFSET(ORÇAMENTO!O$15,ROW(E433)-ROW(E$15),0)</f>
        <v>1.16.3.</v>
      </c>
      <c r="F433" s="172" t="str">
        <f ca="1">OFFSET(ORÇAMENTO!R$15,ROW(F433)-ROW(F$15),0)</f>
        <v>ACESSÓRIOS</v>
      </c>
      <c r="G433" s="173" t="str">
        <f ca="1">IF($D433&lt;&gt;"Serviço","",OFFSET(ORÇAMENTO!S$15,ROW(G433)-ROW(G$15),0))</f>
        <v/>
      </c>
      <c r="H433" s="124">
        <f ca="1">IF($D433&lt;&gt;"Serviço",0,IF(ACOMPANHAMENTO="BM",ROUND(OFFSET(ORÇAMENTO!AJ$15,ROW(H433)-ROW(H$15),0),15-13*ORÇAMENTO!$AF$7),SUMPRODUCT(($Q$12:$AA$12&lt;&gt;"")*ROUND($Q433:$AA433,15-13*ORÇAMENTO!$AF$7))))</f>
        <v>0</v>
      </c>
      <c r="I433" s="561"/>
      <c r="K433" s="174"/>
      <c r="L433" s="175" t="s">
        <v>255</v>
      </c>
      <c r="M433" s="176" t="str">
        <f ca="1">IF($D433&lt;&gt;"Serviço","",IF(AUTOEVENTO="manual",$A433,IF(ISERROR(MATCH($A433,$A$15:OFFSET($A433,-1,0),0)),MAX($M$15:OFFSET(M433,-1,0))+1,INDEX($M$15:OFFSET(M433,-1,0),MATCH($A433,$A$15:OFFSET($A433,-1,0),0)))))</f>
        <v/>
      </c>
      <c r="N433" s="177" t="str">
        <f ca="1">IF($D433&lt;&gt;"Serviço","",IF(AUTOEVENTO="Manual",IF($A433=0,"&lt;-- defina o número do agrupador",OFFSET(EVENTOS!$D$14,$A433,0)),OFFSET($F$15,$A433,0)))</f>
        <v/>
      </c>
      <c r="O433" s="178"/>
      <c r="Q433" s="178"/>
      <c r="R433" s="179"/>
      <c r="S433" s="179"/>
      <c r="T433" s="179"/>
      <c r="U433" s="179"/>
      <c r="V433" s="179"/>
      <c r="W433" s="179"/>
      <c r="X433" s="179"/>
      <c r="Y433" s="179"/>
      <c r="Z433" s="180"/>
      <c r="AB433" s="544">
        <f ca="1">IF(AND($D433="Serviço",AB$12&lt;&gt;0,$H433&gt;0,OR(AUTOEVENTO&lt;&gt;"manual",$M433&lt;&gt;1)),
IF(Import.TipoArredondamento&lt;&gt;"TransfereGOV",
ROUND(OFFSET($P433,0,AB$13),15-13*ORÇAMENTO!$AF$7)/$H433*OFFSET(ORÇAMENTO!$X$15,ROW(AB433)-ROW(AB$15),0),
ROUND(ROUND(OFFSET($P433,0,AB$13),15-13*ORÇAMENTO!$AF$7)*OFFSET(ORÇAMENTO!$W$15,ROW(AB433)-ROW(AB$15),0),15-13*ORÇAMENTO!$AF$11)),0)</f>
        <v>0</v>
      </c>
      <c r="AC433" s="545">
        <f ca="1">IF(AND($D433="Serviço",AC$12&lt;&gt;0,$H433&gt;0,OR(AUTOEVENTO&lt;&gt;"manual",$M433&lt;&gt;1)),
IF(Import.TipoArredondamento&lt;&gt;"TransfereGOV",
ROUND(OFFSET($P433,0,AC$13),15-13*ORÇAMENTO!$AF$7)/$H433*OFFSET(ORÇAMENTO!$X$15,ROW(AC433)-ROW(AC$15),0),
ROUND(ROUND(OFFSET($P433,0,AC$13),15-13*ORÇAMENTO!$AF$7)*OFFSET(ORÇAMENTO!$W$15,ROW(AC433)-ROW(AC$15),0),15-13*ORÇAMENTO!$AF$11)),0)</f>
        <v>0</v>
      </c>
      <c r="AD433" s="545">
        <f ca="1">IF(AND($D433="Serviço",AD$12&lt;&gt;0,$H433&gt;0,OR(AUTOEVENTO&lt;&gt;"manual",$M433&lt;&gt;1)),
IF(Import.TipoArredondamento&lt;&gt;"TransfereGOV",
ROUND(OFFSET($P433,0,AD$13),15-13*ORÇAMENTO!$AF$7)/$H433*OFFSET(ORÇAMENTO!$X$15,ROW(AD433)-ROW(AD$15),0),
ROUND(ROUND(OFFSET($P433,0,AD$13),15-13*ORÇAMENTO!$AF$7)*OFFSET(ORÇAMENTO!$W$15,ROW(AD433)-ROW(AD$15),0),15-13*ORÇAMENTO!$AF$11)),0)</f>
        <v>0</v>
      </c>
      <c r="AE433" s="545">
        <f ca="1">IF(AND($D433="Serviço",AE$12&lt;&gt;0,$H433&gt;0,OR(AUTOEVENTO&lt;&gt;"manual",$M433&lt;&gt;1)),
IF(Import.TipoArredondamento&lt;&gt;"TransfereGOV",
ROUND(OFFSET($P433,0,AE$13),15-13*ORÇAMENTO!$AF$7)/$H433*OFFSET(ORÇAMENTO!$X$15,ROW(AE433)-ROW(AE$15),0),
ROUND(ROUND(OFFSET($P433,0,AE$13),15-13*ORÇAMENTO!$AF$7)*OFFSET(ORÇAMENTO!$W$15,ROW(AE433)-ROW(AE$15),0),15-13*ORÇAMENTO!$AF$11)),0)</f>
        <v>0</v>
      </c>
      <c r="AF433" s="545">
        <f ca="1">IF(AND($D433="Serviço",AF$12&lt;&gt;0,$H433&gt;0,OR(AUTOEVENTO&lt;&gt;"manual",$M433&lt;&gt;1)),
IF(Import.TipoArredondamento&lt;&gt;"TransfereGOV",
ROUND(OFFSET($P433,0,AF$13),15-13*ORÇAMENTO!$AF$7)/$H433*OFFSET(ORÇAMENTO!$X$15,ROW(AF433)-ROW(AF$15),0),
ROUND(ROUND(OFFSET($P433,0,AF$13),15-13*ORÇAMENTO!$AF$7)*OFFSET(ORÇAMENTO!$W$15,ROW(AF433)-ROW(AF$15),0),15-13*ORÇAMENTO!$AF$11)),0)</f>
        <v>0</v>
      </c>
      <c r="AG433" s="545">
        <f ca="1">IF(AND($D433="Serviço",AG$12&lt;&gt;0,$H433&gt;0,OR(AUTOEVENTO&lt;&gt;"manual",$M433&lt;&gt;1)),
IF(Import.TipoArredondamento&lt;&gt;"TransfereGOV",
ROUND(OFFSET($P433,0,AG$13),15-13*ORÇAMENTO!$AF$7)/$H433*OFFSET(ORÇAMENTO!$X$15,ROW(AG433)-ROW(AG$15),0),
ROUND(ROUND(OFFSET($P433,0,AG$13),15-13*ORÇAMENTO!$AF$7)*OFFSET(ORÇAMENTO!$W$15,ROW(AG433)-ROW(AG$15),0),15-13*ORÇAMENTO!$AF$11)),0)</f>
        <v>0</v>
      </c>
      <c r="AH433" s="545">
        <f ca="1">IF(AND($D433="Serviço",AH$12&lt;&gt;0,$H433&gt;0,OR(AUTOEVENTO&lt;&gt;"manual",$M433&lt;&gt;1)),
IF(Import.TipoArredondamento&lt;&gt;"TransfereGOV",
ROUND(OFFSET($P433,0,AH$13),15-13*ORÇAMENTO!$AF$7)/$H433*OFFSET(ORÇAMENTO!$X$15,ROW(AH433)-ROW(AH$15),0),
ROUND(ROUND(OFFSET($P433,0,AH$13),15-13*ORÇAMENTO!$AF$7)*OFFSET(ORÇAMENTO!$W$15,ROW(AH433)-ROW(AH$15),0),15-13*ORÇAMENTO!$AF$11)),0)</f>
        <v>0</v>
      </c>
      <c r="AI433" s="545">
        <f ca="1">IF(AND($D433="Serviço",AI$12&lt;&gt;0,$H433&gt;0,OR(AUTOEVENTO&lt;&gt;"manual",$M433&lt;&gt;1)),
IF(Import.TipoArredondamento&lt;&gt;"TransfereGOV",
ROUND(OFFSET($P433,0,AI$13),15-13*ORÇAMENTO!$AF$7)/$H433*OFFSET(ORÇAMENTO!$X$15,ROW(AI433)-ROW(AI$15),0),
ROUND(ROUND(OFFSET($P433,0,AI$13),15-13*ORÇAMENTO!$AF$7)*OFFSET(ORÇAMENTO!$W$15,ROW(AI433)-ROW(AI$15),0),15-13*ORÇAMENTO!$AF$11)),0)</f>
        <v>0</v>
      </c>
      <c r="AJ433" s="545">
        <f ca="1">IF(AND($D433="Serviço",AJ$12&lt;&gt;0,$H433&gt;0,OR(AUTOEVENTO&lt;&gt;"manual",$M433&lt;&gt;1)),
IF(Import.TipoArredondamento&lt;&gt;"TransfereGOV",
ROUND(OFFSET($P433,0,AJ$13),15-13*ORÇAMENTO!$AF$7)/$H433*OFFSET(ORÇAMENTO!$X$15,ROW(AJ433)-ROW(AJ$15),0),
ROUND(ROUND(OFFSET($P433,0,AJ$13),15-13*ORÇAMENTO!$AF$7)*OFFSET(ORÇAMENTO!$W$15,ROW(AJ433)-ROW(AJ$15),0),15-13*ORÇAMENTO!$AF$11)),0)</f>
        <v>0</v>
      </c>
      <c r="AK433" s="546">
        <f ca="1">IF(AND($D433="Serviço",AK$12&lt;&gt;0,$H433&gt;0,OR(AUTOEVENTO&lt;&gt;"manual",$M433&lt;&gt;1)),
IF(Import.TipoArredondamento&lt;&gt;"TransfereGOV",
ROUND(OFFSET($P433,0,AK$13),15-13*ORÇAMENTO!$AF$7)/$H433*OFFSET(ORÇAMENTO!$X$15,ROW(AK433)-ROW(AK$15),0),
ROUND(ROUND(OFFSET($P433,0,AK$13),15-13*ORÇAMENTO!$AF$7)*OFFSET(ORÇAMENTO!$W$15,ROW(AK433)-ROW(AK$15),0),15-13*ORÇAMENTO!$AF$11)),0)</f>
        <v>0</v>
      </c>
      <c r="AM433" s="181">
        <f ca="1">IF($D433&lt;&gt;"Serviço",0,IF(AND(AUTOEVENTO="Manual",$M433=1),0,IF(OFFSET(CRONOPLE!$F$14,$M433,AM$13)="",10^12,OFFSET(CRONOPLE!$F$14,$M433,AM$13))))</f>
        <v>0</v>
      </c>
      <c r="AN433" s="181">
        <f ca="1">IF($D433&lt;&gt;"Serviço",0,IF(AND(AUTOEVENTO="Manual",$M433=1),0,IF(OFFSET(CRONOPLE!$F$14,$M433,AN$13)="",10^12,OFFSET(CRONOPLE!$F$14,$M433,AN$13))))</f>
        <v>0</v>
      </c>
      <c r="AO433" s="181">
        <f ca="1">IF($D433&lt;&gt;"Serviço",0,IF(AND(AUTOEVENTO="Manual",$M433=1),0,IF(OFFSET(CRONOPLE!$F$14,$M433,AO$13)="",10^12,OFFSET(CRONOPLE!$F$14,$M433,AO$13))))</f>
        <v>0</v>
      </c>
      <c r="AP433" s="181">
        <f ca="1">IF($D433&lt;&gt;"Serviço",0,IF(AND(AUTOEVENTO="Manual",$M433=1),0,IF(OFFSET(CRONOPLE!$F$14,$M433,AP$13)="",10^12,OFFSET(CRONOPLE!$F$14,$M433,AP$13))))</f>
        <v>0</v>
      </c>
      <c r="AQ433" s="181">
        <f ca="1">IF($D433&lt;&gt;"Serviço",0,IF(AND(AUTOEVENTO="Manual",$M433=1),0,IF(OFFSET(CRONOPLE!$F$14,$M433,AQ$13)="",10^12,OFFSET(CRONOPLE!$F$14,$M433,AQ$13))))</f>
        <v>0</v>
      </c>
      <c r="AR433" s="181">
        <f ca="1">IF($D433&lt;&gt;"Serviço",0,IF(AND(AUTOEVENTO="Manual",$M433=1),0,IF(OFFSET(CRONOPLE!$F$14,$M433,AR$13)="",10^12,OFFSET(CRONOPLE!$F$14,$M433,AR$13))))</f>
        <v>0</v>
      </c>
      <c r="AS433" s="181">
        <f ca="1">IF($D433&lt;&gt;"Serviço",0,IF(AND(AUTOEVENTO="Manual",$M433=1),0,IF(OFFSET(CRONOPLE!$F$14,$M433,AS$13)="",10^12,OFFSET(CRONOPLE!$F$14,$M433,AS$13))))</f>
        <v>0</v>
      </c>
      <c r="AT433" s="181">
        <f ca="1">IF($D433&lt;&gt;"Serviço",0,IF(AND(AUTOEVENTO="Manual",$M433=1),0,IF(OFFSET(CRONOPLE!$F$14,$M433,AT$13)="",10^12,OFFSET(CRONOPLE!$F$14,$M433,AT$13))))</f>
        <v>0</v>
      </c>
      <c r="AU433" s="181">
        <f ca="1">IF($D433&lt;&gt;"Serviço",0,IF(AND(AUTOEVENTO="Manual",$M433=1),0,IF(OFFSET(CRONOPLE!$F$14,$M433,AU$13)="",10^12,OFFSET(CRONOPLE!$F$14,$M433,AU$13))))</f>
        <v>0</v>
      </c>
      <c r="AV433" s="181">
        <f ca="1">IF($D433&lt;&gt;"Serviço",0,IF(AND(AUTOEVENTO="Manual",$M433=1),0,IF(OFFSET(CRONOPLE!$F$14,$M433,AV$13)="",10^12,OFFSET(CRONOPLE!$F$14,$M433,AV$13))))</f>
        <v>0</v>
      </c>
      <c r="AX433" s="182">
        <f ca="1">IF($D433&lt;&gt;"Serviço",0,IF(OR(AND(AUTOEVENTO="Manual",$M433=1),$M433&gt;(ROW(PLE.lastrow)-ROW(PLE.firstrow))),0,IF(OFFSET(PLE!$G$14,$M433,AX$13)="",10^12,OFFSET(PLE!$G$14,$M433,AX$13))))</f>
        <v>0</v>
      </c>
      <c r="AY433" s="182">
        <f ca="1">IF($D433&lt;&gt;"Serviço",0,IF(OR(AND(AUTOEVENTO="Manual",$M433=1),$M433&gt;(ROW(PLE.lastrow)-ROW(PLE.firstrow))),0,IF(OFFSET(PLE!$G$14,$M433,AY$13)="",10^12,OFFSET(PLE!$G$14,$M433,AY$13))))</f>
        <v>0</v>
      </c>
      <c r="AZ433" s="182">
        <f ca="1">IF($D433&lt;&gt;"Serviço",0,IF(OR(AND(AUTOEVENTO="Manual",$M433=1),$M433&gt;(ROW(PLE.lastrow)-ROW(PLE.firstrow))),0,IF(OFFSET(PLE!$G$14,$M433,AZ$13)="",10^12,OFFSET(PLE!$G$14,$M433,AZ$13))))</f>
        <v>0</v>
      </c>
      <c r="BA433" s="182">
        <f ca="1">IF($D433&lt;&gt;"Serviço",0,IF(OR(AND(AUTOEVENTO="Manual",$M433=1),$M433&gt;(ROW(PLE.lastrow)-ROW(PLE.firstrow))),0,IF(OFFSET(PLE!$G$14,$M433,BA$13)="",10^12,OFFSET(PLE!$G$14,$M433,BA$13))))</f>
        <v>0</v>
      </c>
      <c r="BB433" s="182">
        <f ca="1">IF($D433&lt;&gt;"Serviço",0,IF(OR(AND(AUTOEVENTO="Manual",$M433=1),$M433&gt;(ROW(PLE.lastrow)-ROW(PLE.firstrow))),0,IF(OFFSET(PLE!$G$14,$M433,BB$13)="",10^12,OFFSET(PLE!$G$14,$M433,BB$13))))</f>
        <v>0</v>
      </c>
      <c r="BC433" s="182">
        <f ca="1">IF($D433&lt;&gt;"Serviço",0,IF(OR(AND(AUTOEVENTO="Manual",$M433=1),$M433&gt;(ROW(PLE.lastrow)-ROW(PLE.firstrow))),0,IF(OFFSET(PLE!$G$14,$M433,BC$13)="",10^12,OFFSET(PLE!$G$14,$M433,BC$13))))</f>
        <v>0</v>
      </c>
      <c r="BD433" s="182">
        <f ca="1">IF($D433&lt;&gt;"Serviço",0,IF(OR(AND(AUTOEVENTO="Manual",$M433=1),$M433&gt;(ROW(PLE.lastrow)-ROW(PLE.firstrow))),0,IF(OFFSET(PLE!$G$14,$M433,BD$13)="",10^12,OFFSET(PLE!$G$14,$M433,BD$13))))</f>
        <v>0</v>
      </c>
      <c r="BE433" s="182">
        <f ca="1">IF($D433&lt;&gt;"Serviço",0,IF(OR(AND(AUTOEVENTO="Manual",$M433=1),$M433&gt;(ROW(PLE.lastrow)-ROW(PLE.firstrow))),0,IF(OFFSET(PLE!$G$14,$M433,BE$13)="",10^12,OFFSET(PLE!$G$14,$M433,BE$13))))</f>
        <v>0</v>
      </c>
      <c r="BF433" s="182">
        <f ca="1">IF($D433&lt;&gt;"Serviço",0,IF(OR(AND(AUTOEVENTO="Manual",$M433=1),$M433&gt;(ROW(PLE.lastrow)-ROW(PLE.firstrow))),0,IF(OFFSET(PLE!$G$14,$M433,BF$13)="",10^12,OFFSET(PLE!$G$14,$M433,BF$13))))</f>
        <v>0</v>
      </c>
      <c r="BG433" s="182">
        <f ca="1">IF($D433&lt;&gt;"Serviço",0,IF(OR(AND(AUTOEVENTO="Manual",$M433=1),$M433&gt;(ROW(PLE.lastrow)-ROW(PLE.firstrow))),0,IF(OFFSET(PLE!$G$14,$M433,BG$13)="",10^12,OFFSET(PLE!$G$14,$M433,BG$13))))</f>
        <v>0</v>
      </c>
    </row>
    <row r="434" spans="1:59" ht="38.25" x14ac:dyDescent="0.2">
      <c r="A434" s="7" t="str">
        <f t="shared" ca="1" si="13"/>
        <v>411</v>
      </c>
      <c r="B434" s="7" t="str">
        <f ca="1">OFFSET(ORÇAMENTO!C$15,ROW(B434)-ROW(B$15),0)</f>
        <v>S</v>
      </c>
      <c r="C434" s="7" t="str">
        <f ca="1">OFFSET(ORÇAMENTO!L$15,ROW(C434)-ROW(C$15),0)</f>
        <v/>
      </c>
      <c r="D434" s="118" t="str">
        <f ca="1">OFFSET(ORÇAMENTO!N$15,ROW(D434)-ROW(D$15),0)</f>
        <v>Serviço</v>
      </c>
      <c r="E434" s="119" t="str">
        <f ca="1">OFFSET(ORÇAMENTO!O$15,ROW(E434)-ROW(E$15),0)</f>
        <v>-</v>
      </c>
      <c r="F434" s="172" t="str">
        <f ca="1">OFFSET(ORÇAMENTO!R$15,ROW(F434)-ROW(F$15),0)</f>
        <v>(abra o arquivo 'Referência 02-2025.xlsm)</v>
      </c>
      <c r="G434" s="173" t="str">
        <f ca="1">IF($D434&lt;&gt;"Serviço","",OFFSET(ORÇAMENTO!S$15,ROW(G434)-ROW(G$15),0))</f>
        <v>-</v>
      </c>
      <c r="H434" s="124">
        <f ca="1">IF($D434&lt;&gt;"Serviço",0,IF(ACOMPANHAMENTO="BM",ROUND(OFFSET(ORÇAMENTO!AJ$15,ROW(H434)-ROW(H$15),0),15-13*ORÇAMENTO!$AF$7),SUMPRODUCT(($Q$12:$AA$12&lt;&gt;"")*ROUND($Q434:$AA434,15-13*ORÇAMENTO!$AF$7))))</f>
        <v>2</v>
      </c>
      <c r="I434" s="561" t="s">
        <v>890</v>
      </c>
      <c r="K434" s="174"/>
      <c r="L434" s="175" t="s">
        <v>255</v>
      </c>
      <c r="M434" s="176">
        <f ca="1">IF($D434&lt;&gt;"Serviço","",IF(AUTOEVENTO="manual",$A434,IF(ISERROR(MATCH($A434,$A$15:OFFSET($A434,-1,0),0)),MAX($M$15:OFFSET(M434,-1,0))+1,INDEX($M$15:OFFSET(M434,-1,0),MATCH($A434,$A$15:OFFSET($A434,-1,0),0)))))</f>
        <v>17</v>
      </c>
      <c r="N434" s="177" t="str">
        <f ca="1">IF($D434&lt;&gt;"Serviço","",IF(AUTOEVENTO="Manual",IF($A434=0,"&lt;-- defina o número do agrupador",OFFSET(EVENTOS!$D$14,$A434,0)),OFFSET($F$15,$A434,0)))</f>
        <v>SISTEMA DE PROTEÇÃO CONTRA INCÊNDIO</v>
      </c>
      <c r="O434" s="178"/>
      <c r="Q434" s="178"/>
      <c r="R434" s="179"/>
      <c r="S434" s="179"/>
      <c r="T434" s="179"/>
      <c r="U434" s="179"/>
      <c r="V434" s="179"/>
      <c r="W434" s="179"/>
      <c r="X434" s="179"/>
      <c r="Y434" s="179"/>
      <c r="Z434" s="180"/>
      <c r="AB434" s="544">
        <f ca="1">IF(AND($D434="Serviço",AB$12&lt;&gt;0,$H434&gt;0,OR(AUTOEVENTO&lt;&gt;"manual",$M434&lt;&gt;1)),
IF(Import.TipoArredondamento&lt;&gt;"TransfereGOV",
ROUND(OFFSET($P434,0,AB$13),15-13*ORÇAMENTO!$AF$7)/$H434*OFFSET(ORÇAMENTO!$X$15,ROW(AB434)-ROW(AB$15),0),
ROUND(ROUND(OFFSET($P434,0,AB$13),15-13*ORÇAMENTO!$AF$7)*OFFSET(ORÇAMENTO!$W$15,ROW(AB434)-ROW(AB$15),0),15-13*ORÇAMENTO!$AF$11)),0)</f>
        <v>0</v>
      </c>
      <c r="AC434" s="545">
        <f ca="1">IF(AND($D434="Serviço",AC$12&lt;&gt;0,$H434&gt;0,OR(AUTOEVENTO&lt;&gt;"manual",$M434&lt;&gt;1)),
IF(Import.TipoArredondamento&lt;&gt;"TransfereGOV",
ROUND(OFFSET($P434,0,AC$13),15-13*ORÇAMENTO!$AF$7)/$H434*OFFSET(ORÇAMENTO!$X$15,ROW(AC434)-ROW(AC$15),0),
ROUND(ROUND(OFFSET($P434,0,AC$13),15-13*ORÇAMENTO!$AF$7)*OFFSET(ORÇAMENTO!$W$15,ROW(AC434)-ROW(AC$15),0),15-13*ORÇAMENTO!$AF$11)),0)</f>
        <v>0</v>
      </c>
      <c r="AD434" s="545">
        <f ca="1">IF(AND($D434="Serviço",AD$12&lt;&gt;0,$H434&gt;0,OR(AUTOEVENTO&lt;&gt;"manual",$M434&lt;&gt;1)),
IF(Import.TipoArredondamento&lt;&gt;"TransfereGOV",
ROUND(OFFSET($P434,0,AD$13),15-13*ORÇAMENTO!$AF$7)/$H434*OFFSET(ORÇAMENTO!$X$15,ROW(AD434)-ROW(AD$15),0),
ROUND(ROUND(OFFSET($P434,0,AD$13),15-13*ORÇAMENTO!$AF$7)*OFFSET(ORÇAMENTO!$W$15,ROW(AD434)-ROW(AD$15),0),15-13*ORÇAMENTO!$AF$11)),0)</f>
        <v>0</v>
      </c>
      <c r="AE434" s="545">
        <f ca="1">IF(AND($D434="Serviço",AE$12&lt;&gt;0,$H434&gt;0,OR(AUTOEVENTO&lt;&gt;"manual",$M434&lt;&gt;1)),
IF(Import.TipoArredondamento&lt;&gt;"TransfereGOV",
ROUND(OFFSET($P434,0,AE$13),15-13*ORÇAMENTO!$AF$7)/$H434*OFFSET(ORÇAMENTO!$X$15,ROW(AE434)-ROW(AE$15),0),
ROUND(ROUND(OFFSET($P434,0,AE$13),15-13*ORÇAMENTO!$AF$7)*OFFSET(ORÇAMENTO!$W$15,ROW(AE434)-ROW(AE$15),0),15-13*ORÇAMENTO!$AF$11)),0)</f>
        <v>0</v>
      </c>
      <c r="AF434" s="545">
        <f ca="1">IF(AND($D434="Serviço",AF$12&lt;&gt;0,$H434&gt;0,OR(AUTOEVENTO&lt;&gt;"manual",$M434&lt;&gt;1)),
IF(Import.TipoArredondamento&lt;&gt;"TransfereGOV",
ROUND(OFFSET($P434,0,AF$13),15-13*ORÇAMENTO!$AF$7)/$H434*OFFSET(ORÇAMENTO!$X$15,ROW(AF434)-ROW(AF$15),0),
ROUND(ROUND(OFFSET($P434,0,AF$13),15-13*ORÇAMENTO!$AF$7)*OFFSET(ORÇAMENTO!$W$15,ROW(AF434)-ROW(AF$15),0),15-13*ORÇAMENTO!$AF$11)),0)</f>
        <v>0</v>
      </c>
      <c r="AG434" s="545">
        <f ca="1">IF(AND($D434="Serviço",AG$12&lt;&gt;0,$H434&gt;0,OR(AUTOEVENTO&lt;&gt;"manual",$M434&lt;&gt;1)),
IF(Import.TipoArredondamento&lt;&gt;"TransfereGOV",
ROUND(OFFSET($P434,0,AG$13),15-13*ORÇAMENTO!$AF$7)/$H434*OFFSET(ORÇAMENTO!$X$15,ROW(AG434)-ROW(AG$15),0),
ROUND(ROUND(OFFSET($P434,0,AG$13),15-13*ORÇAMENTO!$AF$7)*OFFSET(ORÇAMENTO!$W$15,ROW(AG434)-ROW(AG$15),0),15-13*ORÇAMENTO!$AF$11)),0)</f>
        <v>0</v>
      </c>
      <c r="AH434" s="545">
        <f ca="1">IF(AND($D434="Serviço",AH$12&lt;&gt;0,$H434&gt;0,OR(AUTOEVENTO&lt;&gt;"manual",$M434&lt;&gt;1)),
IF(Import.TipoArredondamento&lt;&gt;"TransfereGOV",
ROUND(OFFSET($P434,0,AH$13),15-13*ORÇAMENTO!$AF$7)/$H434*OFFSET(ORÇAMENTO!$X$15,ROW(AH434)-ROW(AH$15),0),
ROUND(ROUND(OFFSET($P434,0,AH$13),15-13*ORÇAMENTO!$AF$7)*OFFSET(ORÇAMENTO!$W$15,ROW(AH434)-ROW(AH$15),0),15-13*ORÇAMENTO!$AF$11)),0)</f>
        <v>0</v>
      </c>
      <c r="AI434" s="545">
        <f ca="1">IF(AND($D434="Serviço",AI$12&lt;&gt;0,$H434&gt;0,OR(AUTOEVENTO&lt;&gt;"manual",$M434&lt;&gt;1)),
IF(Import.TipoArredondamento&lt;&gt;"TransfereGOV",
ROUND(OFFSET($P434,0,AI$13),15-13*ORÇAMENTO!$AF$7)/$H434*OFFSET(ORÇAMENTO!$X$15,ROW(AI434)-ROW(AI$15),0),
ROUND(ROUND(OFFSET($P434,0,AI$13),15-13*ORÇAMENTO!$AF$7)*OFFSET(ORÇAMENTO!$W$15,ROW(AI434)-ROW(AI$15),0),15-13*ORÇAMENTO!$AF$11)),0)</f>
        <v>0</v>
      </c>
      <c r="AJ434" s="545">
        <f ca="1">IF(AND($D434="Serviço",AJ$12&lt;&gt;0,$H434&gt;0,OR(AUTOEVENTO&lt;&gt;"manual",$M434&lt;&gt;1)),
IF(Import.TipoArredondamento&lt;&gt;"TransfereGOV",
ROUND(OFFSET($P434,0,AJ$13),15-13*ORÇAMENTO!$AF$7)/$H434*OFFSET(ORÇAMENTO!$X$15,ROW(AJ434)-ROW(AJ$15),0),
ROUND(ROUND(OFFSET($P434,0,AJ$13),15-13*ORÇAMENTO!$AF$7)*OFFSET(ORÇAMENTO!$W$15,ROW(AJ434)-ROW(AJ$15),0),15-13*ORÇAMENTO!$AF$11)),0)</f>
        <v>0</v>
      </c>
      <c r="AK434" s="546">
        <f ca="1">IF(AND($D434="Serviço",AK$12&lt;&gt;0,$H434&gt;0,OR(AUTOEVENTO&lt;&gt;"manual",$M434&lt;&gt;1)),
IF(Import.TipoArredondamento&lt;&gt;"TransfereGOV",
ROUND(OFFSET($P434,0,AK$13),15-13*ORÇAMENTO!$AF$7)/$H434*OFFSET(ORÇAMENTO!$X$15,ROW(AK434)-ROW(AK$15),0),
ROUND(ROUND(OFFSET($P434,0,AK$13),15-13*ORÇAMENTO!$AF$7)*OFFSET(ORÇAMENTO!$W$15,ROW(AK434)-ROW(AK$15),0),15-13*ORÇAMENTO!$AF$11)),0)</f>
        <v>0</v>
      </c>
      <c r="AM434" s="181">
        <f ca="1">IF($D434&lt;&gt;"Serviço",0,IF(AND(AUTOEVENTO="Manual",$M434=1),0,IF(OFFSET(CRONOPLE!$F$14,$M434,AM$13)="",10^12,OFFSET(CRONOPLE!$F$14,$M434,AM$13))))</f>
        <v>1000000000000</v>
      </c>
      <c r="AN434" s="181">
        <f ca="1">IF($D434&lt;&gt;"Serviço",0,IF(AND(AUTOEVENTO="Manual",$M434=1),0,IF(OFFSET(CRONOPLE!$F$14,$M434,AN$13)="",10^12,OFFSET(CRONOPLE!$F$14,$M434,AN$13))))</f>
        <v>1000000000000</v>
      </c>
      <c r="AO434" s="181">
        <f ca="1">IF($D434&lt;&gt;"Serviço",0,IF(AND(AUTOEVENTO="Manual",$M434=1),0,IF(OFFSET(CRONOPLE!$F$14,$M434,AO$13)="",10^12,OFFSET(CRONOPLE!$F$14,$M434,AO$13))))</f>
        <v>1000000000000</v>
      </c>
      <c r="AP434" s="181">
        <f ca="1">IF($D434&lt;&gt;"Serviço",0,IF(AND(AUTOEVENTO="Manual",$M434=1),0,IF(OFFSET(CRONOPLE!$F$14,$M434,AP$13)="",10^12,OFFSET(CRONOPLE!$F$14,$M434,AP$13))))</f>
        <v>1000000000000</v>
      </c>
      <c r="AQ434" s="181">
        <f ca="1">IF($D434&lt;&gt;"Serviço",0,IF(AND(AUTOEVENTO="Manual",$M434=1),0,IF(OFFSET(CRONOPLE!$F$14,$M434,AQ$13)="",10^12,OFFSET(CRONOPLE!$F$14,$M434,AQ$13))))</f>
        <v>1000000000000</v>
      </c>
      <c r="AR434" s="181">
        <f ca="1">IF($D434&lt;&gt;"Serviço",0,IF(AND(AUTOEVENTO="Manual",$M434=1),0,IF(OFFSET(CRONOPLE!$F$14,$M434,AR$13)="",10^12,OFFSET(CRONOPLE!$F$14,$M434,AR$13))))</f>
        <v>1000000000000</v>
      </c>
      <c r="AS434" s="181">
        <f ca="1">IF($D434&lt;&gt;"Serviço",0,IF(AND(AUTOEVENTO="Manual",$M434=1),0,IF(OFFSET(CRONOPLE!$F$14,$M434,AS$13)="",10^12,OFFSET(CRONOPLE!$F$14,$M434,AS$13))))</f>
        <v>1000000000000</v>
      </c>
      <c r="AT434" s="181">
        <f ca="1">IF($D434&lt;&gt;"Serviço",0,IF(AND(AUTOEVENTO="Manual",$M434=1),0,IF(OFFSET(CRONOPLE!$F$14,$M434,AT$13)="",10^12,OFFSET(CRONOPLE!$F$14,$M434,AT$13))))</f>
        <v>1000000000000</v>
      </c>
      <c r="AU434" s="181">
        <f ca="1">IF($D434&lt;&gt;"Serviço",0,IF(AND(AUTOEVENTO="Manual",$M434=1),0,IF(OFFSET(CRONOPLE!$F$14,$M434,AU$13)="",10^12,OFFSET(CRONOPLE!$F$14,$M434,AU$13))))</f>
        <v>1000000000000</v>
      </c>
      <c r="AV434" s="181">
        <f ca="1">IF($D434&lt;&gt;"Serviço",0,IF(AND(AUTOEVENTO="Manual",$M434=1),0,IF(OFFSET(CRONOPLE!$F$14,$M434,AV$13)="",10^12,OFFSET(CRONOPLE!$F$14,$M434,AV$13))))</f>
        <v>1000000000000</v>
      </c>
      <c r="AX434" s="182">
        <f ca="1">IF($D434&lt;&gt;"Serviço",0,IF(OR(AND(AUTOEVENTO="Manual",$M434=1),$M434&gt;(ROW(PLE.lastrow)-ROW(PLE.firstrow))),0,IF(OFFSET(PLE!$G$14,$M434,AX$13)="",10^12,OFFSET(PLE!$G$14,$M434,AX$13))))</f>
        <v>1000000000000</v>
      </c>
      <c r="AY434" s="182">
        <f ca="1">IF($D434&lt;&gt;"Serviço",0,IF(OR(AND(AUTOEVENTO="Manual",$M434=1),$M434&gt;(ROW(PLE.lastrow)-ROW(PLE.firstrow))),0,IF(OFFSET(PLE!$G$14,$M434,AY$13)="",10^12,OFFSET(PLE!$G$14,$M434,AY$13))))</f>
        <v>1000000000000</v>
      </c>
      <c r="AZ434" s="182">
        <f ca="1">IF($D434&lt;&gt;"Serviço",0,IF(OR(AND(AUTOEVENTO="Manual",$M434=1),$M434&gt;(ROW(PLE.lastrow)-ROW(PLE.firstrow))),0,IF(OFFSET(PLE!$G$14,$M434,AZ$13)="",10^12,OFFSET(PLE!$G$14,$M434,AZ$13))))</f>
        <v>1000000000000</v>
      </c>
      <c r="BA434" s="182">
        <f ca="1">IF($D434&lt;&gt;"Serviço",0,IF(OR(AND(AUTOEVENTO="Manual",$M434=1),$M434&gt;(ROW(PLE.lastrow)-ROW(PLE.firstrow))),0,IF(OFFSET(PLE!$G$14,$M434,BA$13)="",10^12,OFFSET(PLE!$G$14,$M434,BA$13))))</f>
        <v>1000000000000</v>
      </c>
      <c r="BB434" s="182">
        <f ca="1">IF($D434&lt;&gt;"Serviço",0,IF(OR(AND(AUTOEVENTO="Manual",$M434=1),$M434&gt;(ROW(PLE.lastrow)-ROW(PLE.firstrow))),0,IF(OFFSET(PLE!$G$14,$M434,BB$13)="",10^12,OFFSET(PLE!$G$14,$M434,BB$13))))</f>
        <v>1000000000000</v>
      </c>
      <c r="BC434" s="182">
        <f ca="1">IF($D434&lt;&gt;"Serviço",0,IF(OR(AND(AUTOEVENTO="Manual",$M434=1),$M434&gt;(ROW(PLE.lastrow)-ROW(PLE.firstrow))),0,IF(OFFSET(PLE!$G$14,$M434,BC$13)="",10^12,OFFSET(PLE!$G$14,$M434,BC$13))))</f>
        <v>1000000000000</v>
      </c>
      <c r="BD434" s="182">
        <f ca="1">IF($D434&lt;&gt;"Serviço",0,IF(OR(AND(AUTOEVENTO="Manual",$M434=1),$M434&gt;(ROW(PLE.lastrow)-ROW(PLE.firstrow))),0,IF(OFFSET(PLE!$G$14,$M434,BD$13)="",10^12,OFFSET(PLE!$G$14,$M434,BD$13))))</f>
        <v>1000000000000</v>
      </c>
      <c r="BE434" s="182">
        <f ca="1">IF($D434&lt;&gt;"Serviço",0,IF(OR(AND(AUTOEVENTO="Manual",$M434=1),$M434&gt;(ROW(PLE.lastrow)-ROW(PLE.firstrow))),0,IF(OFFSET(PLE!$G$14,$M434,BE$13)="",10^12,OFFSET(PLE!$G$14,$M434,BE$13))))</f>
        <v>1000000000000</v>
      </c>
      <c r="BF434" s="182">
        <f ca="1">IF($D434&lt;&gt;"Serviço",0,IF(OR(AND(AUTOEVENTO="Manual",$M434=1),$M434&gt;(ROW(PLE.lastrow)-ROW(PLE.firstrow))),0,IF(OFFSET(PLE!$G$14,$M434,BF$13)="",10^12,OFFSET(PLE!$G$14,$M434,BF$13))))</f>
        <v>1000000000000</v>
      </c>
      <c r="BG434" s="182">
        <f ca="1">IF($D434&lt;&gt;"Serviço",0,IF(OR(AND(AUTOEVENTO="Manual",$M434=1),$M434&gt;(ROW(PLE.lastrow)-ROW(PLE.firstrow))),0,IF(OFFSET(PLE!$G$14,$M434,BG$13)="",10^12,OFFSET(PLE!$G$14,$M434,BG$13))))</f>
        <v>1000000000000</v>
      </c>
    </row>
    <row r="435" spans="1:59" ht="25.5" x14ac:dyDescent="0.2">
      <c r="A435" s="7" t="str">
        <f t="shared" ca="1" si="13"/>
        <v>411</v>
      </c>
      <c r="B435" s="7" t="str">
        <f ca="1">OFFSET(ORÇAMENTO!C$15,ROW(B435)-ROW(B$15),0)</f>
        <v>S</v>
      </c>
      <c r="C435" s="7" t="str">
        <f ca="1">OFFSET(ORÇAMENTO!L$15,ROW(C435)-ROW(C$15),0)</f>
        <v/>
      </c>
      <c r="D435" s="118" t="str">
        <f ca="1">OFFSET(ORÇAMENTO!N$15,ROW(D435)-ROW(D$15),0)</f>
        <v>Serviço</v>
      </c>
      <c r="E435" s="119" t="str">
        <f ca="1">OFFSET(ORÇAMENTO!O$15,ROW(E435)-ROW(E$15),0)</f>
        <v>-</v>
      </c>
      <c r="F435" s="172" t="str">
        <f ca="1">OFFSET(ORÇAMENTO!R$15,ROW(F435)-ROW(F$15),0)</f>
        <v>(abra o arquivo 'Referência 02-2025.xlsm)</v>
      </c>
      <c r="G435" s="173" t="str">
        <f ca="1">IF($D435&lt;&gt;"Serviço","",OFFSET(ORÇAMENTO!S$15,ROW(G435)-ROW(G$15),0))</f>
        <v>-</v>
      </c>
      <c r="H435" s="124">
        <f ca="1">IF($D435&lt;&gt;"Serviço",0,IF(ACOMPANHAMENTO="BM",ROUND(OFFSET(ORÇAMENTO!AJ$15,ROW(H435)-ROW(H$15),0),15-13*ORÇAMENTO!$AF$7),SUMPRODUCT(($Q$12:$AA$12&lt;&gt;"")*ROUND($Q435:$AA435,15-13*ORÇAMENTO!$AF$7))))</f>
        <v>1</v>
      </c>
      <c r="I435" s="561" t="s">
        <v>890</v>
      </c>
      <c r="K435" s="174"/>
      <c r="L435" s="175" t="s">
        <v>255</v>
      </c>
      <c r="M435" s="176">
        <f ca="1">IF($D435&lt;&gt;"Serviço","",IF(AUTOEVENTO="manual",$A435,IF(ISERROR(MATCH($A435,$A$15:OFFSET($A435,-1,0),0)),MAX($M$15:OFFSET(M435,-1,0))+1,INDEX($M$15:OFFSET(M435,-1,0),MATCH($A435,$A$15:OFFSET($A435,-1,0),0)))))</f>
        <v>17</v>
      </c>
      <c r="N435" s="177" t="str">
        <f ca="1">IF($D435&lt;&gt;"Serviço","",IF(AUTOEVENTO="Manual",IF($A435=0,"&lt;-- defina o número do agrupador",OFFSET(EVENTOS!$D$14,$A435,0)),OFFSET($F$15,$A435,0)))</f>
        <v>SISTEMA DE PROTEÇÃO CONTRA INCÊNDIO</v>
      </c>
      <c r="O435" s="178"/>
      <c r="Q435" s="178"/>
      <c r="R435" s="179"/>
      <c r="S435" s="179"/>
      <c r="T435" s="179"/>
      <c r="U435" s="179"/>
      <c r="V435" s="179"/>
      <c r="W435" s="179"/>
      <c r="X435" s="179"/>
      <c r="Y435" s="179"/>
      <c r="Z435" s="180"/>
      <c r="AB435" s="544">
        <f ca="1">IF(AND($D435="Serviço",AB$12&lt;&gt;0,$H435&gt;0,OR(AUTOEVENTO&lt;&gt;"manual",$M435&lt;&gt;1)),
IF(Import.TipoArredondamento&lt;&gt;"TransfereGOV",
ROUND(OFFSET($P435,0,AB$13),15-13*ORÇAMENTO!$AF$7)/$H435*OFFSET(ORÇAMENTO!$X$15,ROW(AB435)-ROW(AB$15),0),
ROUND(ROUND(OFFSET($P435,0,AB$13),15-13*ORÇAMENTO!$AF$7)*OFFSET(ORÇAMENTO!$W$15,ROW(AB435)-ROW(AB$15),0),15-13*ORÇAMENTO!$AF$11)),0)</f>
        <v>0</v>
      </c>
      <c r="AC435" s="545">
        <f ca="1">IF(AND($D435="Serviço",AC$12&lt;&gt;0,$H435&gt;0,OR(AUTOEVENTO&lt;&gt;"manual",$M435&lt;&gt;1)),
IF(Import.TipoArredondamento&lt;&gt;"TransfereGOV",
ROUND(OFFSET($P435,0,AC$13),15-13*ORÇAMENTO!$AF$7)/$H435*OFFSET(ORÇAMENTO!$X$15,ROW(AC435)-ROW(AC$15),0),
ROUND(ROUND(OFFSET($P435,0,AC$13),15-13*ORÇAMENTO!$AF$7)*OFFSET(ORÇAMENTO!$W$15,ROW(AC435)-ROW(AC$15),0),15-13*ORÇAMENTO!$AF$11)),0)</f>
        <v>0</v>
      </c>
      <c r="AD435" s="545">
        <f ca="1">IF(AND($D435="Serviço",AD$12&lt;&gt;0,$H435&gt;0,OR(AUTOEVENTO&lt;&gt;"manual",$M435&lt;&gt;1)),
IF(Import.TipoArredondamento&lt;&gt;"TransfereGOV",
ROUND(OFFSET($P435,0,AD$13),15-13*ORÇAMENTO!$AF$7)/$H435*OFFSET(ORÇAMENTO!$X$15,ROW(AD435)-ROW(AD$15),0),
ROUND(ROUND(OFFSET($P435,0,AD$13),15-13*ORÇAMENTO!$AF$7)*OFFSET(ORÇAMENTO!$W$15,ROW(AD435)-ROW(AD$15),0),15-13*ORÇAMENTO!$AF$11)),0)</f>
        <v>0</v>
      </c>
      <c r="AE435" s="545">
        <f ca="1">IF(AND($D435="Serviço",AE$12&lt;&gt;0,$H435&gt;0,OR(AUTOEVENTO&lt;&gt;"manual",$M435&lt;&gt;1)),
IF(Import.TipoArredondamento&lt;&gt;"TransfereGOV",
ROUND(OFFSET($P435,0,AE$13),15-13*ORÇAMENTO!$AF$7)/$H435*OFFSET(ORÇAMENTO!$X$15,ROW(AE435)-ROW(AE$15),0),
ROUND(ROUND(OFFSET($P435,0,AE$13),15-13*ORÇAMENTO!$AF$7)*OFFSET(ORÇAMENTO!$W$15,ROW(AE435)-ROW(AE$15),0),15-13*ORÇAMENTO!$AF$11)),0)</f>
        <v>0</v>
      </c>
      <c r="AF435" s="545">
        <f ca="1">IF(AND($D435="Serviço",AF$12&lt;&gt;0,$H435&gt;0,OR(AUTOEVENTO&lt;&gt;"manual",$M435&lt;&gt;1)),
IF(Import.TipoArredondamento&lt;&gt;"TransfereGOV",
ROUND(OFFSET($P435,0,AF$13),15-13*ORÇAMENTO!$AF$7)/$H435*OFFSET(ORÇAMENTO!$X$15,ROW(AF435)-ROW(AF$15),0),
ROUND(ROUND(OFFSET($P435,0,AF$13),15-13*ORÇAMENTO!$AF$7)*OFFSET(ORÇAMENTO!$W$15,ROW(AF435)-ROW(AF$15),0),15-13*ORÇAMENTO!$AF$11)),0)</f>
        <v>0</v>
      </c>
      <c r="AG435" s="545">
        <f ca="1">IF(AND($D435="Serviço",AG$12&lt;&gt;0,$H435&gt;0,OR(AUTOEVENTO&lt;&gt;"manual",$M435&lt;&gt;1)),
IF(Import.TipoArredondamento&lt;&gt;"TransfereGOV",
ROUND(OFFSET($P435,0,AG$13),15-13*ORÇAMENTO!$AF$7)/$H435*OFFSET(ORÇAMENTO!$X$15,ROW(AG435)-ROW(AG$15),0),
ROUND(ROUND(OFFSET($P435,0,AG$13),15-13*ORÇAMENTO!$AF$7)*OFFSET(ORÇAMENTO!$W$15,ROW(AG435)-ROW(AG$15),0),15-13*ORÇAMENTO!$AF$11)),0)</f>
        <v>0</v>
      </c>
      <c r="AH435" s="545">
        <f ca="1">IF(AND($D435="Serviço",AH$12&lt;&gt;0,$H435&gt;0,OR(AUTOEVENTO&lt;&gt;"manual",$M435&lt;&gt;1)),
IF(Import.TipoArredondamento&lt;&gt;"TransfereGOV",
ROUND(OFFSET($P435,0,AH$13),15-13*ORÇAMENTO!$AF$7)/$H435*OFFSET(ORÇAMENTO!$X$15,ROW(AH435)-ROW(AH$15),0),
ROUND(ROUND(OFFSET($P435,0,AH$13),15-13*ORÇAMENTO!$AF$7)*OFFSET(ORÇAMENTO!$W$15,ROW(AH435)-ROW(AH$15),0),15-13*ORÇAMENTO!$AF$11)),0)</f>
        <v>0</v>
      </c>
      <c r="AI435" s="545">
        <f ca="1">IF(AND($D435="Serviço",AI$12&lt;&gt;0,$H435&gt;0,OR(AUTOEVENTO&lt;&gt;"manual",$M435&lt;&gt;1)),
IF(Import.TipoArredondamento&lt;&gt;"TransfereGOV",
ROUND(OFFSET($P435,0,AI$13),15-13*ORÇAMENTO!$AF$7)/$H435*OFFSET(ORÇAMENTO!$X$15,ROW(AI435)-ROW(AI$15),0),
ROUND(ROUND(OFFSET($P435,0,AI$13),15-13*ORÇAMENTO!$AF$7)*OFFSET(ORÇAMENTO!$W$15,ROW(AI435)-ROW(AI$15),0),15-13*ORÇAMENTO!$AF$11)),0)</f>
        <v>0</v>
      </c>
      <c r="AJ435" s="545">
        <f ca="1">IF(AND($D435="Serviço",AJ$12&lt;&gt;0,$H435&gt;0,OR(AUTOEVENTO&lt;&gt;"manual",$M435&lt;&gt;1)),
IF(Import.TipoArredondamento&lt;&gt;"TransfereGOV",
ROUND(OFFSET($P435,0,AJ$13),15-13*ORÇAMENTO!$AF$7)/$H435*OFFSET(ORÇAMENTO!$X$15,ROW(AJ435)-ROW(AJ$15),0),
ROUND(ROUND(OFFSET($P435,0,AJ$13),15-13*ORÇAMENTO!$AF$7)*OFFSET(ORÇAMENTO!$W$15,ROW(AJ435)-ROW(AJ$15),0),15-13*ORÇAMENTO!$AF$11)),0)</f>
        <v>0</v>
      </c>
      <c r="AK435" s="546">
        <f ca="1">IF(AND($D435="Serviço",AK$12&lt;&gt;0,$H435&gt;0,OR(AUTOEVENTO&lt;&gt;"manual",$M435&lt;&gt;1)),
IF(Import.TipoArredondamento&lt;&gt;"TransfereGOV",
ROUND(OFFSET($P435,0,AK$13),15-13*ORÇAMENTO!$AF$7)/$H435*OFFSET(ORÇAMENTO!$X$15,ROW(AK435)-ROW(AK$15),0),
ROUND(ROUND(OFFSET($P435,0,AK$13),15-13*ORÇAMENTO!$AF$7)*OFFSET(ORÇAMENTO!$W$15,ROW(AK435)-ROW(AK$15),0),15-13*ORÇAMENTO!$AF$11)),0)</f>
        <v>0</v>
      </c>
      <c r="AM435" s="181">
        <f ca="1">IF($D435&lt;&gt;"Serviço",0,IF(AND(AUTOEVENTO="Manual",$M435=1),0,IF(OFFSET(CRONOPLE!$F$14,$M435,AM$13)="",10^12,OFFSET(CRONOPLE!$F$14,$M435,AM$13))))</f>
        <v>1000000000000</v>
      </c>
      <c r="AN435" s="181">
        <f ca="1">IF($D435&lt;&gt;"Serviço",0,IF(AND(AUTOEVENTO="Manual",$M435=1),0,IF(OFFSET(CRONOPLE!$F$14,$M435,AN$13)="",10^12,OFFSET(CRONOPLE!$F$14,$M435,AN$13))))</f>
        <v>1000000000000</v>
      </c>
      <c r="AO435" s="181">
        <f ca="1">IF($D435&lt;&gt;"Serviço",0,IF(AND(AUTOEVENTO="Manual",$M435=1),0,IF(OFFSET(CRONOPLE!$F$14,$M435,AO$13)="",10^12,OFFSET(CRONOPLE!$F$14,$M435,AO$13))))</f>
        <v>1000000000000</v>
      </c>
      <c r="AP435" s="181">
        <f ca="1">IF($D435&lt;&gt;"Serviço",0,IF(AND(AUTOEVENTO="Manual",$M435=1),0,IF(OFFSET(CRONOPLE!$F$14,$M435,AP$13)="",10^12,OFFSET(CRONOPLE!$F$14,$M435,AP$13))))</f>
        <v>1000000000000</v>
      </c>
      <c r="AQ435" s="181">
        <f ca="1">IF($D435&lt;&gt;"Serviço",0,IF(AND(AUTOEVENTO="Manual",$M435=1),0,IF(OFFSET(CRONOPLE!$F$14,$M435,AQ$13)="",10^12,OFFSET(CRONOPLE!$F$14,$M435,AQ$13))))</f>
        <v>1000000000000</v>
      </c>
      <c r="AR435" s="181">
        <f ca="1">IF($D435&lt;&gt;"Serviço",0,IF(AND(AUTOEVENTO="Manual",$M435=1),0,IF(OFFSET(CRONOPLE!$F$14,$M435,AR$13)="",10^12,OFFSET(CRONOPLE!$F$14,$M435,AR$13))))</f>
        <v>1000000000000</v>
      </c>
      <c r="AS435" s="181">
        <f ca="1">IF($D435&lt;&gt;"Serviço",0,IF(AND(AUTOEVENTO="Manual",$M435=1),0,IF(OFFSET(CRONOPLE!$F$14,$M435,AS$13)="",10^12,OFFSET(CRONOPLE!$F$14,$M435,AS$13))))</f>
        <v>1000000000000</v>
      </c>
      <c r="AT435" s="181">
        <f ca="1">IF($D435&lt;&gt;"Serviço",0,IF(AND(AUTOEVENTO="Manual",$M435=1),0,IF(OFFSET(CRONOPLE!$F$14,$M435,AT$13)="",10^12,OFFSET(CRONOPLE!$F$14,$M435,AT$13))))</f>
        <v>1000000000000</v>
      </c>
      <c r="AU435" s="181">
        <f ca="1">IF($D435&lt;&gt;"Serviço",0,IF(AND(AUTOEVENTO="Manual",$M435=1),0,IF(OFFSET(CRONOPLE!$F$14,$M435,AU$13)="",10^12,OFFSET(CRONOPLE!$F$14,$M435,AU$13))))</f>
        <v>1000000000000</v>
      </c>
      <c r="AV435" s="181">
        <f ca="1">IF($D435&lt;&gt;"Serviço",0,IF(AND(AUTOEVENTO="Manual",$M435=1),0,IF(OFFSET(CRONOPLE!$F$14,$M435,AV$13)="",10^12,OFFSET(CRONOPLE!$F$14,$M435,AV$13))))</f>
        <v>1000000000000</v>
      </c>
      <c r="AX435" s="182">
        <f ca="1">IF($D435&lt;&gt;"Serviço",0,IF(OR(AND(AUTOEVENTO="Manual",$M435=1),$M435&gt;(ROW(PLE.lastrow)-ROW(PLE.firstrow))),0,IF(OFFSET(PLE!$G$14,$M435,AX$13)="",10^12,OFFSET(PLE!$G$14,$M435,AX$13))))</f>
        <v>1000000000000</v>
      </c>
      <c r="AY435" s="182">
        <f ca="1">IF($D435&lt;&gt;"Serviço",0,IF(OR(AND(AUTOEVENTO="Manual",$M435=1),$M435&gt;(ROW(PLE.lastrow)-ROW(PLE.firstrow))),0,IF(OFFSET(PLE!$G$14,$M435,AY$13)="",10^12,OFFSET(PLE!$G$14,$M435,AY$13))))</f>
        <v>1000000000000</v>
      </c>
      <c r="AZ435" s="182">
        <f ca="1">IF($D435&lt;&gt;"Serviço",0,IF(OR(AND(AUTOEVENTO="Manual",$M435=1),$M435&gt;(ROW(PLE.lastrow)-ROW(PLE.firstrow))),0,IF(OFFSET(PLE!$G$14,$M435,AZ$13)="",10^12,OFFSET(PLE!$G$14,$M435,AZ$13))))</f>
        <v>1000000000000</v>
      </c>
      <c r="BA435" s="182">
        <f ca="1">IF($D435&lt;&gt;"Serviço",0,IF(OR(AND(AUTOEVENTO="Manual",$M435=1),$M435&gt;(ROW(PLE.lastrow)-ROW(PLE.firstrow))),0,IF(OFFSET(PLE!$G$14,$M435,BA$13)="",10^12,OFFSET(PLE!$G$14,$M435,BA$13))))</f>
        <v>1000000000000</v>
      </c>
      <c r="BB435" s="182">
        <f ca="1">IF($D435&lt;&gt;"Serviço",0,IF(OR(AND(AUTOEVENTO="Manual",$M435=1),$M435&gt;(ROW(PLE.lastrow)-ROW(PLE.firstrow))),0,IF(OFFSET(PLE!$G$14,$M435,BB$13)="",10^12,OFFSET(PLE!$G$14,$M435,BB$13))))</f>
        <v>1000000000000</v>
      </c>
      <c r="BC435" s="182">
        <f ca="1">IF($D435&lt;&gt;"Serviço",0,IF(OR(AND(AUTOEVENTO="Manual",$M435=1),$M435&gt;(ROW(PLE.lastrow)-ROW(PLE.firstrow))),0,IF(OFFSET(PLE!$G$14,$M435,BC$13)="",10^12,OFFSET(PLE!$G$14,$M435,BC$13))))</f>
        <v>1000000000000</v>
      </c>
      <c r="BD435" s="182">
        <f ca="1">IF($D435&lt;&gt;"Serviço",0,IF(OR(AND(AUTOEVENTO="Manual",$M435=1),$M435&gt;(ROW(PLE.lastrow)-ROW(PLE.firstrow))),0,IF(OFFSET(PLE!$G$14,$M435,BD$13)="",10^12,OFFSET(PLE!$G$14,$M435,BD$13))))</f>
        <v>1000000000000</v>
      </c>
      <c r="BE435" s="182">
        <f ca="1">IF($D435&lt;&gt;"Serviço",0,IF(OR(AND(AUTOEVENTO="Manual",$M435=1),$M435&gt;(ROW(PLE.lastrow)-ROW(PLE.firstrow))),0,IF(OFFSET(PLE!$G$14,$M435,BE$13)="",10^12,OFFSET(PLE!$G$14,$M435,BE$13))))</f>
        <v>1000000000000</v>
      </c>
      <c r="BF435" s="182">
        <f ca="1">IF($D435&lt;&gt;"Serviço",0,IF(OR(AND(AUTOEVENTO="Manual",$M435=1),$M435&gt;(ROW(PLE.lastrow)-ROW(PLE.firstrow))),0,IF(OFFSET(PLE!$G$14,$M435,BF$13)="",10^12,OFFSET(PLE!$G$14,$M435,BF$13))))</f>
        <v>1000000000000</v>
      </c>
      <c r="BG435" s="182">
        <f ca="1">IF($D435&lt;&gt;"Serviço",0,IF(OR(AND(AUTOEVENTO="Manual",$M435=1),$M435&gt;(ROW(PLE.lastrow)-ROW(PLE.firstrow))),0,IF(OFFSET(PLE!$G$14,$M435,BG$13)="",10^12,OFFSET(PLE!$G$14,$M435,BG$13))))</f>
        <v>1000000000000</v>
      </c>
    </row>
    <row r="436" spans="1:59" ht="25.5" x14ac:dyDescent="0.2">
      <c r="A436" s="7" t="str">
        <f t="shared" ca="1" si="13"/>
        <v>411</v>
      </c>
      <c r="B436" s="7" t="str">
        <f ca="1">OFFSET(ORÇAMENTO!C$15,ROW(B436)-ROW(B$15),0)</f>
        <v>S</v>
      </c>
      <c r="C436" s="7" t="str">
        <f ca="1">OFFSET(ORÇAMENTO!L$15,ROW(C436)-ROW(C$15),0)</f>
        <v/>
      </c>
      <c r="D436" s="118" t="str">
        <f ca="1">OFFSET(ORÇAMENTO!N$15,ROW(D436)-ROW(D$15),0)</f>
        <v>Serviço</v>
      </c>
      <c r="E436" s="119" t="str">
        <f ca="1">OFFSET(ORÇAMENTO!O$15,ROW(E436)-ROW(E$15),0)</f>
        <v>-</v>
      </c>
      <c r="F436" s="172" t="str">
        <f ca="1">OFFSET(ORÇAMENTO!R$15,ROW(F436)-ROW(F$15),0)</f>
        <v>(abra o arquivo 'Referência 02-2025.xlsm)</v>
      </c>
      <c r="G436" s="173" t="str">
        <f ca="1">IF($D436&lt;&gt;"Serviço","",OFFSET(ORÇAMENTO!S$15,ROW(G436)-ROW(G$15),0))</f>
        <v>-</v>
      </c>
      <c r="H436" s="124">
        <f ca="1">IF($D436&lt;&gt;"Serviço",0,IF(ACOMPANHAMENTO="BM",ROUND(OFFSET(ORÇAMENTO!AJ$15,ROW(H436)-ROW(H$15),0),15-13*ORÇAMENTO!$AF$7),SUMPRODUCT(($Q$12:$AA$12&lt;&gt;"")*ROUND($Q436:$AA436,15-13*ORÇAMENTO!$AF$7))))</f>
        <v>4</v>
      </c>
      <c r="I436" s="561" t="s">
        <v>890</v>
      </c>
      <c r="K436" s="174"/>
      <c r="L436" s="175" t="s">
        <v>255</v>
      </c>
      <c r="M436" s="176">
        <f ca="1">IF($D436&lt;&gt;"Serviço","",IF(AUTOEVENTO="manual",$A436,IF(ISERROR(MATCH($A436,$A$15:OFFSET($A436,-1,0),0)),MAX($M$15:OFFSET(M436,-1,0))+1,INDEX($M$15:OFFSET(M436,-1,0),MATCH($A436,$A$15:OFFSET($A436,-1,0),0)))))</f>
        <v>17</v>
      </c>
      <c r="N436" s="177" t="str">
        <f ca="1">IF($D436&lt;&gt;"Serviço","",IF(AUTOEVENTO="Manual",IF($A436=0,"&lt;-- defina o número do agrupador",OFFSET(EVENTOS!$D$14,$A436,0)),OFFSET($F$15,$A436,0)))</f>
        <v>SISTEMA DE PROTEÇÃO CONTRA INCÊNDIO</v>
      </c>
      <c r="O436" s="178"/>
      <c r="Q436" s="178"/>
      <c r="R436" s="179"/>
      <c r="S436" s="179"/>
      <c r="T436" s="179"/>
      <c r="U436" s="179"/>
      <c r="V436" s="179"/>
      <c r="W436" s="179"/>
      <c r="X436" s="179"/>
      <c r="Y436" s="179"/>
      <c r="Z436" s="180"/>
      <c r="AB436" s="544">
        <f ca="1">IF(AND($D436="Serviço",AB$12&lt;&gt;0,$H436&gt;0,OR(AUTOEVENTO&lt;&gt;"manual",$M436&lt;&gt;1)),
IF(Import.TipoArredondamento&lt;&gt;"TransfereGOV",
ROUND(OFFSET($P436,0,AB$13),15-13*ORÇAMENTO!$AF$7)/$H436*OFFSET(ORÇAMENTO!$X$15,ROW(AB436)-ROW(AB$15),0),
ROUND(ROUND(OFFSET($P436,0,AB$13),15-13*ORÇAMENTO!$AF$7)*OFFSET(ORÇAMENTO!$W$15,ROW(AB436)-ROW(AB$15),0),15-13*ORÇAMENTO!$AF$11)),0)</f>
        <v>0</v>
      </c>
      <c r="AC436" s="545">
        <f ca="1">IF(AND($D436="Serviço",AC$12&lt;&gt;0,$H436&gt;0,OR(AUTOEVENTO&lt;&gt;"manual",$M436&lt;&gt;1)),
IF(Import.TipoArredondamento&lt;&gt;"TransfereGOV",
ROUND(OFFSET($P436,0,AC$13),15-13*ORÇAMENTO!$AF$7)/$H436*OFFSET(ORÇAMENTO!$X$15,ROW(AC436)-ROW(AC$15),0),
ROUND(ROUND(OFFSET($P436,0,AC$13),15-13*ORÇAMENTO!$AF$7)*OFFSET(ORÇAMENTO!$W$15,ROW(AC436)-ROW(AC$15),0),15-13*ORÇAMENTO!$AF$11)),0)</f>
        <v>0</v>
      </c>
      <c r="AD436" s="545">
        <f ca="1">IF(AND($D436="Serviço",AD$12&lt;&gt;0,$H436&gt;0,OR(AUTOEVENTO&lt;&gt;"manual",$M436&lt;&gt;1)),
IF(Import.TipoArredondamento&lt;&gt;"TransfereGOV",
ROUND(OFFSET($P436,0,AD$13),15-13*ORÇAMENTO!$AF$7)/$H436*OFFSET(ORÇAMENTO!$X$15,ROW(AD436)-ROW(AD$15),0),
ROUND(ROUND(OFFSET($P436,0,AD$13),15-13*ORÇAMENTO!$AF$7)*OFFSET(ORÇAMENTO!$W$15,ROW(AD436)-ROW(AD$15),0),15-13*ORÇAMENTO!$AF$11)),0)</f>
        <v>0</v>
      </c>
      <c r="AE436" s="545">
        <f ca="1">IF(AND($D436="Serviço",AE$12&lt;&gt;0,$H436&gt;0,OR(AUTOEVENTO&lt;&gt;"manual",$M436&lt;&gt;1)),
IF(Import.TipoArredondamento&lt;&gt;"TransfereGOV",
ROUND(OFFSET($P436,0,AE$13),15-13*ORÇAMENTO!$AF$7)/$H436*OFFSET(ORÇAMENTO!$X$15,ROW(AE436)-ROW(AE$15),0),
ROUND(ROUND(OFFSET($P436,0,AE$13),15-13*ORÇAMENTO!$AF$7)*OFFSET(ORÇAMENTO!$W$15,ROW(AE436)-ROW(AE$15),0),15-13*ORÇAMENTO!$AF$11)),0)</f>
        <v>0</v>
      </c>
      <c r="AF436" s="545">
        <f ca="1">IF(AND($D436="Serviço",AF$12&lt;&gt;0,$H436&gt;0,OR(AUTOEVENTO&lt;&gt;"manual",$M436&lt;&gt;1)),
IF(Import.TipoArredondamento&lt;&gt;"TransfereGOV",
ROUND(OFFSET($P436,0,AF$13),15-13*ORÇAMENTO!$AF$7)/$H436*OFFSET(ORÇAMENTO!$X$15,ROW(AF436)-ROW(AF$15),0),
ROUND(ROUND(OFFSET($P436,0,AF$13),15-13*ORÇAMENTO!$AF$7)*OFFSET(ORÇAMENTO!$W$15,ROW(AF436)-ROW(AF$15),0),15-13*ORÇAMENTO!$AF$11)),0)</f>
        <v>0</v>
      </c>
      <c r="AG436" s="545">
        <f ca="1">IF(AND($D436="Serviço",AG$12&lt;&gt;0,$H436&gt;0,OR(AUTOEVENTO&lt;&gt;"manual",$M436&lt;&gt;1)),
IF(Import.TipoArredondamento&lt;&gt;"TransfereGOV",
ROUND(OFFSET($P436,0,AG$13),15-13*ORÇAMENTO!$AF$7)/$H436*OFFSET(ORÇAMENTO!$X$15,ROW(AG436)-ROW(AG$15),0),
ROUND(ROUND(OFFSET($P436,0,AG$13),15-13*ORÇAMENTO!$AF$7)*OFFSET(ORÇAMENTO!$W$15,ROW(AG436)-ROW(AG$15),0),15-13*ORÇAMENTO!$AF$11)),0)</f>
        <v>0</v>
      </c>
      <c r="AH436" s="545">
        <f ca="1">IF(AND($D436="Serviço",AH$12&lt;&gt;0,$H436&gt;0,OR(AUTOEVENTO&lt;&gt;"manual",$M436&lt;&gt;1)),
IF(Import.TipoArredondamento&lt;&gt;"TransfereGOV",
ROUND(OFFSET($P436,0,AH$13),15-13*ORÇAMENTO!$AF$7)/$H436*OFFSET(ORÇAMENTO!$X$15,ROW(AH436)-ROW(AH$15),0),
ROUND(ROUND(OFFSET($P436,0,AH$13),15-13*ORÇAMENTO!$AF$7)*OFFSET(ORÇAMENTO!$W$15,ROW(AH436)-ROW(AH$15),0),15-13*ORÇAMENTO!$AF$11)),0)</f>
        <v>0</v>
      </c>
      <c r="AI436" s="545">
        <f ca="1">IF(AND($D436="Serviço",AI$12&lt;&gt;0,$H436&gt;0,OR(AUTOEVENTO&lt;&gt;"manual",$M436&lt;&gt;1)),
IF(Import.TipoArredondamento&lt;&gt;"TransfereGOV",
ROUND(OFFSET($P436,0,AI$13),15-13*ORÇAMENTO!$AF$7)/$H436*OFFSET(ORÇAMENTO!$X$15,ROW(AI436)-ROW(AI$15),0),
ROUND(ROUND(OFFSET($P436,0,AI$13),15-13*ORÇAMENTO!$AF$7)*OFFSET(ORÇAMENTO!$W$15,ROW(AI436)-ROW(AI$15),0),15-13*ORÇAMENTO!$AF$11)),0)</f>
        <v>0</v>
      </c>
      <c r="AJ436" s="545">
        <f ca="1">IF(AND($D436="Serviço",AJ$12&lt;&gt;0,$H436&gt;0,OR(AUTOEVENTO&lt;&gt;"manual",$M436&lt;&gt;1)),
IF(Import.TipoArredondamento&lt;&gt;"TransfereGOV",
ROUND(OFFSET($P436,0,AJ$13),15-13*ORÇAMENTO!$AF$7)/$H436*OFFSET(ORÇAMENTO!$X$15,ROW(AJ436)-ROW(AJ$15),0),
ROUND(ROUND(OFFSET($P436,0,AJ$13),15-13*ORÇAMENTO!$AF$7)*OFFSET(ORÇAMENTO!$W$15,ROW(AJ436)-ROW(AJ$15),0),15-13*ORÇAMENTO!$AF$11)),0)</f>
        <v>0</v>
      </c>
      <c r="AK436" s="546">
        <f ca="1">IF(AND($D436="Serviço",AK$12&lt;&gt;0,$H436&gt;0,OR(AUTOEVENTO&lt;&gt;"manual",$M436&lt;&gt;1)),
IF(Import.TipoArredondamento&lt;&gt;"TransfereGOV",
ROUND(OFFSET($P436,0,AK$13),15-13*ORÇAMENTO!$AF$7)/$H436*OFFSET(ORÇAMENTO!$X$15,ROW(AK436)-ROW(AK$15),0),
ROUND(ROUND(OFFSET($P436,0,AK$13),15-13*ORÇAMENTO!$AF$7)*OFFSET(ORÇAMENTO!$W$15,ROW(AK436)-ROW(AK$15),0),15-13*ORÇAMENTO!$AF$11)),0)</f>
        <v>0</v>
      </c>
      <c r="AM436" s="181">
        <f ca="1">IF($D436&lt;&gt;"Serviço",0,IF(AND(AUTOEVENTO="Manual",$M436=1),0,IF(OFFSET(CRONOPLE!$F$14,$M436,AM$13)="",10^12,OFFSET(CRONOPLE!$F$14,$M436,AM$13))))</f>
        <v>1000000000000</v>
      </c>
      <c r="AN436" s="181">
        <f ca="1">IF($D436&lt;&gt;"Serviço",0,IF(AND(AUTOEVENTO="Manual",$M436=1),0,IF(OFFSET(CRONOPLE!$F$14,$M436,AN$13)="",10^12,OFFSET(CRONOPLE!$F$14,$M436,AN$13))))</f>
        <v>1000000000000</v>
      </c>
      <c r="AO436" s="181">
        <f ca="1">IF($D436&lt;&gt;"Serviço",0,IF(AND(AUTOEVENTO="Manual",$M436=1),0,IF(OFFSET(CRONOPLE!$F$14,$M436,AO$13)="",10^12,OFFSET(CRONOPLE!$F$14,$M436,AO$13))))</f>
        <v>1000000000000</v>
      </c>
      <c r="AP436" s="181">
        <f ca="1">IF($D436&lt;&gt;"Serviço",0,IF(AND(AUTOEVENTO="Manual",$M436=1),0,IF(OFFSET(CRONOPLE!$F$14,$M436,AP$13)="",10^12,OFFSET(CRONOPLE!$F$14,$M436,AP$13))))</f>
        <v>1000000000000</v>
      </c>
      <c r="AQ436" s="181">
        <f ca="1">IF($D436&lt;&gt;"Serviço",0,IF(AND(AUTOEVENTO="Manual",$M436=1),0,IF(OFFSET(CRONOPLE!$F$14,$M436,AQ$13)="",10^12,OFFSET(CRONOPLE!$F$14,$M436,AQ$13))))</f>
        <v>1000000000000</v>
      </c>
      <c r="AR436" s="181">
        <f ca="1">IF($D436&lt;&gt;"Serviço",0,IF(AND(AUTOEVENTO="Manual",$M436=1),0,IF(OFFSET(CRONOPLE!$F$14,$M436,AR$13)="",10^12,OFFSET(CRONOPLE!$F$14,$M436,AR$13))))</f>
        <v>1000000000000</v>
      </c>
      <c r="AS436" s="181">
        <f ca="1">IF($D436&lt;&gt;"Serviço",0,IF(AND(AUTOEVENTO="Manual",$M436=1),0,IF(OFFSET(CRONOPLE!$F$14,$M436,AS$13)="",10^12,OFFSET(CRONOPLE!$F$14,$M436,AS$13))))</f>
        <v>1000000000000</v>
      </c>
      <c r="AT436" s="181">
        <f ca="1">IF($D436&lt;&gt;"Serviço",0,IF(AND(AUTOEVENTO="Manual",$M436=1),0,IF(OFFSET(CRONOPLE!$F$14,$M436,AT$13)="",10^12,OFFSET(CRONOPLE!$F$14,$M436,AT$13))))</f>
        <v>1000000000000</v>
      </c>
      <c r="AU436" s="181">
        <f ca="1">IF($D436&lt;&gt;"Serviço",0,IF(AND(AUTOEVENTO="Manual",$M436=1),0,IF(OFFSET(CRONOPLE!$F$14,$M436,AU$13)="",10^12,OFFSET(CRONOPLE!$F$14,$M436,AU$13))))</f>
        <v>1000000000000</v>
      </c>
      <c r="AV436" s="181">
        <f ca="1">IF($D436&lt;&gt;"Serviço",0,IF(AND(AUTOEVENTO="Manual",$M436=1),0,IF(OFFSET(CRONOPLE!$F$14,$M436,AV$13)="",10^12,OFFSET(CRONOPLE!$F$14,$M436,AV$13))))</f>
        <v>1000000000000</v>
      </c>
      <c r="AX436" s="182">
        <f ca="1">IF($D436&lt;&gt;"Serviço",0,IF(OR(AND(AUTOEVENTO="Manual",$M436=1),$M436&gt;(ROW(PLE.lastrow)-ROW(PLE.firstrow))),0,IF(OFFSET(PLE!$G$14,$M436,AX$13)="",10^12,OFFSET(PLE!$G$14,$M436,AX$13))))</f>
        <v>1000000000000</v>
      </c>
      <c r="AY436" s="182">
        <f ca="1">IF($D436&lt;&gt;"Serviço",0,IF(OR(AND(AUTOEVENTO="Manual",$M436=1),$M436&gt;(ROW(PLE.lastrow)-ROW(PLE.firstrow))),0,IF(OFFSET(PLE!$G$14,$M436,AY$13)="",10^12,OFFSET(PLE!$G$14,$M436,AY$13))))</f>
        <v>1000000000000</v>
      </c>
      <c r="AZ436" s="182">
        <f ca="1">IF($D436&lt;&gt;"Serviço",0,IF(OR(AND(AUTOEVENTO="Manual",$M436=1),$M436&gt;(ROW(PLE.lastrow)-ROW(PLE.firstrow))),0,IF(OFFSET(PLE!$G$14,$M436,AZ$13)="",10^12,OFFSET(PLE!$G$14,$M436,AZ$13))))</f>
        <v>1000000000000</v>
      </c>
      <c r="BA436" s="182">
        <f ca="1">IF($D436&lt;&gt;"Serviço",0,IF(OR(AND(AUTOEVENTO="Manual",$M436=1),$M436&gt;(ROW(PLE.lastrow)-ROW(PLE.firstrow))),0,IF(OFFSET(PLE!$G$14,$M436,BA$13)="",10^12,OFFSET(PLE!$G$14,$M436,BA$13))))</f>
        <v>1000000000000</v>
      </c>
      <c r="BB436" s="182">
        <f ca="1">IF($D436&lt;&gt;"Serviço",0,IF(OR(AND(AUTOEVENTO="Manual",$M436=1),$M436&gt;(ROW(PLE.lastrow)-ROW(PLE.firstrow))),0,IF(OFFSET(PLE!$G$14,$M436,BB$13)="",10^12,OFFSET(PLE!$G$14,$M436,BB$13))))</f>
        <v>1000000000000</v>
      </c>
      <c r="BC436" s="182">
        <f ca="1">IF($D436&lt;&gt;"Serviço",0,IF(OR(AND(AUTOEVENTO="Manual",$M436=1),$M436&gt;(ROW(PLE.lastrow)-ROW(PLE.firstrow))),0,IF(OFFSET(PLE!$G$14,$M436,BC$13)="",10^12,OFFSET(PLE!$G$14,$M436,BC$13))))</f>
        <v>1000000000000</v>
      </c>
      <c r="BD436" s="182">
        <f ca="1">IF($D436&lt;&gt;"Serviço",0,IF(OR(AND(AUTOEVENTO="Manual",$M436=1),$M436&gt;(ROW(PLE.lastrow)-ROW(PLE.firstrow))),0,IF(OFFSET(PLE!$G$14,$M436,BD$13)="",10^12,OFFSET(PLE!$G$14,$M436,BD$13))))</f>
        <v>1000000000000</v>
      </c>
      <c r="BE436" s="182">
        <f ca="1">IF($D436&lt;&gt;"Serviço",0,IF(OR(AND(AUTOEVENTO="Manual",$M436=1),$M436&gt;(ROW(PLE.lastrow)-ROW(PLE.firstrow))),0,IF(OFFSET(PLE!$G$14,$M436,BE$13)="",10^12,OFFSET(PLE!$G$14,$M436,BE$13))))</f>
        <v>1000000000000</v>
      </c>
      <c r="BF436" s="182">
        <f ca="1">IF($D436&lt;&gt;"Serviço",0,IF(OR(AND(AUTOEVENTO="Manual",$M436=1),$M436&gt;(ROW(PLE.lastrow)-ROW(PLE.firstrow))),0,IF(OFFSET(PLE!$G$14,$M436,BF$13)="",10^12,OFFSET(PLE!$G$14,$M436,BF$13))))</f>
        <v>1000000000000</v>
      </c>
      <c r="BG436" s="182">
        <f ca="1">IF($D436&lt;&gt;"Serviço",0,IF(OR(AND(AUTOEVENTO="Manual",$M436=1),$M436&gt;(ROW(PLE.lastrow)-ROW(PLE.firstrow))),0,IF(OFFSET(PLE!$G$14,$M436,BG$13)="",10^12,OFFSET(PLE!$G$14,$M436,BG$13))))</f>
        <v>1000000000000</v>
      </c>
    </row>
    <row r="437" spans="1:59" ht="25.5" x14ac:dyDescent="0.2">
      <c r="A437" s="7" t="str">
        <f t="shared" ca="1" si="13"/>
        <v>411</v>
      </c>
      <c r="B437" s="7" t="str">
        <f ca="1">OFFSET(ORÇAMENTO!C$15,ROW(B437)-ROW(B$15),0)</f>
        <v>S</v>
      </c>
      <c r="C437" s="7" t="str">
        <f ca="1">OFFSET(ORÇAMENTO!L$15,ROW(C437)-ROW(C$15),0)</f>
        <v/>
      </c>
      <c r="D437" s="118" t="str">
        <f ca="1">OFFSET(ORÇAMENTO!N$15,ROW(D437)-ROW(D$15),0)</f>
        <v>Serviço</v>
      </c>
      <c r="E437" s="119" t="str">
        <f ca="1">OFFSET(ORÇAMENTO!O$15,ROW(E437)-ROW(E$15),0)</f>
        <v>-</v>
      </c>
      <c r="F437" s="172" t="str">
        <f ca="1">OFFSET(ORÇAMENTO!R$15,ROW(F437)-ROW(F$15),0)</f>
        <v>(abra o arquivo 'Referência 02-2025.xlsm)</v>
      </c>
      <c r="G437" s="173" t="str">
        <f ca="1">IF($D437&lt;&gt;"Serviço","",OFFSET(ORÇAMENTO!S$15,ROW(G437)-ROW(G$15),0))</f>
        <v>-</v>
      </c>
      <c r="H437" s="124">
        <f ca="1">IF($D437&lt;&gt;"Serviço",0,IF(ACOMPANHAMENTO="BM",ROUND(OFFSET(ORÇAMENTO!AJ$15,ROW(H437)-ROW(H$15),0),15-13*ORÇAMENTO!$AF$7),SUMPRODUCT(($Q$12:$AA$12&lt;&gt;"")*ROUND($Q437:$AA437,15-13*ORÇAMENTO!$AF$7))))</f>
        <v>1</v>
      </c>
      <c r="I437" s="561" t="s">
        <v>890</v>
      </c>
      <c r="K437" s="174"/>
      <c r="L437" s="175" t="s">
        <v>255</v>
      </c>
      <c r="M437" s="176">
        <f ca="1">IF($D437&lt;&gt;"Serviço","",IF(AUTOEVENTO="manual",$A437,IF(ISERROR(MATCH($A437,$A$15:OFFSET($A437,-1,0),0)),MAX($M$15:OFFSET(M437,-1,0))+1,INDEX($M$15:OFFSET(M437,-1,0),MATCH($A437,$A$15:OFFSET($A437,-1,0),0)))))</f>
        <v>17</v>
      </c>
      <c r="N437" s="177" t="str">
        <f ca="1">IF($D437&lt;&gt;"Serviço","",IF(AUTOEVENTO="Manual",IF($A437=0,"&lt;-- defina o número do agrupador",OFFSET(EVENTOS!$D$14,$A437,0)),OFFSET($F$15,$A437,0)))</f>
        <v>SISTEMA DE PROTEÇÃO CONTRA INCÊNDIO</v>
      </c>
      <c r="O437" s="178"/>
      <c r="Q437" s="178"/>
      <c r="R437" s="179"/>
      <c r="S437" s="179"/>
      <c r="T437" s="179"/>
      <c r="U437" s="179"/>
      <c r="V437" s="179"/>
      <c r="W437" s="179"/>
      <c r="X437" s="179"/>
      <c r="Y437" s="179"/>
      <c r="Z437" s="180"/>
      <c r="AB437" s="544">
        <f ca="1">IF(AND($D437="Serviço",AB$12&lt;&gt;0,$H437&gt;0,OR(AUTOEVENTO&lt;&gt;"manual",$M437&lt;&gt;1)),
IF(Import.TipoArredondamento&lt;&gt;"TransfereGOV",
ROUND(OFFSET($P437,0,AB$13),15-13*ORÇAMENTO!$AF$7)/$H437*OFFSET(ORÇAMENTO!$X$15,ROW(AB437)-ROW(AB$15),0),
ROUND(ROUND(OFFSET($P437,0,AB$13),15-13*ORÇAMENTO!$AF$7)*OFFSET(ORÇAMENTO!$W$15,ROW(AB437)-ROW(AB$15),0),15-13*ORÇAMENTO!$AF$11)),0)</f>
        <v>0</v>
      </c>
      <c r="AC437" s="545">
        <f ca="1">IF(AND($D437="Serviço",AC$12&lt;&gt;0,$H437&gt;0,OR(AUTOEVENTO&lt;&gt;"manual",$M437&lt;&gt;1)),
IF(Import.TipoArredondamento&lt;&gt;"TransfereGOV",
ROUND(OFFSET($P437,0,AC$13),15-13*ORÇAMENTO!$AF$7)/$H437*OFFSET(ORÇAMENTO!$X$15,ROW(AC437)-ROW(AC$15),0),
ROUND(ROUND(OFFSET($P437,0,AC$13),15-13*ORÇAMENTO!$AF$7)*OFFSET(ORÇAMENTO!$W$15,ROW(AC437)-ROW(AC$15),0),15-13*ORÇAMENTO!$AF$11)),0)</f>
        <v>0</v>
      </c>
      <c r="AD437" s="545">
        <f ca="1">IF(AND($D437="Serviço",AD$12&lt;&gt;0,$H437&gt;0,OR(AUTOEVENTO&lt;&gt;"manual",$M437&lt;&gt;1)),
IF(Import.TipoArredondamento&lt;&gt;"TransfereGOV",
ROUND(OFFSET($P437,0,AD$13),15-13*ORÇAMENTO!$AF$7)/$H437*OFFSET(ORÇAMENTO!$X$15,ROW(AD437)-ROW(AD$15),0),
ROUND(ROUND(OFFSET($P437,0,AD$13),15-13*ORÇAMENTO!$AF$7)*OFFSET(ORÇAMENTO!$W$15,ROW(AD437)-ROW(AD$15),0),15-13*ORÇAMENTO!$AF$11)),0)</f>
        <v>0</v>
      </c>
      <c r="AE437" s="545">
        <f ca="1">IF(AND($D437="Serviço",AE$12&lt;&gt;0,$H437&gt;0,OR(AUTOEVENTO&lt;&gt;"manual",$M437&lt;&gt;1)),
IF(Import.TipoArredondamento&lt;&gt;"TransfereGOV",
ROUND(OFFSET($P437,0,AE$13),15-13*ORÇAMENTO!$AF$7)/$H437*OFFSET(ORÇAMENTO!$X$15,ROW(AE437)-ROW(AE$15),0),
ROUND(ROUND(OFFSET($P437,0,AE$13),15-13*ORÇAMENTO!$AF$7)*OFFSET(ORÇAMENTO!$W$15,ROW(AE437)-ROW(AE$15),0),15-13*ORÇAMENTO!$AF$11)),0)</f>
        <v>0</v>
      </c>
      <c r="AF437" s="545">
        <f ca="1">IF(AND($D437="Serviço",AF$12&lt;&gt;0,$H437&gt;0,OR(AUTOEVENTO&lt;&gt;"manual",$M437&lt;&gt;1)),
IF(Import.TipoArredondamento&lt;&gt;"TransfereGOV",
ROUND(OFFSET($P437,0,AF$13),15-13*ORÇAMENTO!$AF$7)/$H437*OFFSET(ORÇAMENTO!$X$15,ROW(AF437)-ROW(AF$15),0),
ROUND(ROUND(OFFSET($P437,0,AF$13),15-13*ORÇAMENTO!$AF$7)*OFFSET(ORÇAMENTO!$W$15,ROW(AF437)-ROW(AF$15),0),15-13*ORÇAMENTO!$AF$11)),0)</f>
        <v>0</v>
      </c>
      <c r="AG437" s="545">
        <f ca="1">IF(AND($D437="Serviço",AG$12&lt;&gt;0,$H437&gt;0,OR(AUTOEVENTO&lt;&gt;"manual",$M437&lt;&gt;1)),
IF(Import.TipoArredondamento&lt;&gt;"TransfereGOV",
ROUND(OFFSET($P437,0,AG$13),15-13*ORÇAMENTO!$AF$7)/$H437*OFFSET(ORÇAMENTO!$X$15,ROW(AG437)-ROW(AG$15),0),
ROUND(ROUND(OFFSET($P437,0,AG$13),15-13*ORÇAMENTO!$AF$7)*OFFSET(ORÇAMENTO!$W$15,ROW(AG437)-ROW(AG$15),0),15-13*ORÇAMENTO!$AF$11)),0)</f>
        <v>0</v>
      </c>
      <c r="AH437" s="545">
        <f ca="1">IF(AND($D437="Serviço",AH$12&lt;&gt;0,$H437&gt;0,OR(AUTOEVENTO&lt;&gt;"manual",$M437&lt;&gt;1)),
IF(Import.TipoArredondamento&lt;&gt;"TransfereGOV",
ROUND(OFFSET($P437,0,AH$13),15-13*ORÇAMENTO!$AF$7)/$H437*OFFSET(ORÇAMENTO!$X$15,ROW(AH437)-ROW(AH$15),0),
ROUND(ROUND(OFFSET($P437,0,AH$13),15-13*ORÇAMENTO!$AF$7)*OFFSET(ORÇAMENTO!$W$15,ROW(AH437)-ROW(AH$15),0),15-13*ORÇAMENTO!$AF$11)),0)</f>
        <v>0</v>
      </c>
      <c r="AI437" s="545">
        <f ca="1">IF(AND($D437="Serviço",AI$12&lt;&gt;0,$H437&gt;0,OR(AUTOEVENTO&lt;&gt;"manual",$M437&lt;&gt;1)),
IF(Import.TipoArredondamento&lt;&gt;"TransfereGOV",
ROUND(OFFSET($P437,0,AI$13),15-13*ORÇAMENTO!$AF$7)/$H437*OFFSET(ORÇAMENTO!$X$15,ROW(AI437)-ROW(AI$15),0),
ROUND(ROUND(OFFSET($P437,0,AI$13),15-13*ORÇAMENTO!$AF$7)*OFFSET(ORÇAMENTO!$W$15,ROW(AI437)-ROW(AI$15),0),15-13*ORÇAMENTO!$AF$11)),0)</f>
        <v>0</v>
      </c>
      <c r="AJ437" s="545">
        <f ca="1">IF(AND($D437="Serviço",AJ$12&lt;&gt;0,$H437&gt;0,OR(AUTOEVENTO&lt;&gt;"manual",$M437&lt;&gt;1)),
IF(Import.TipoArredondamento&lt;&gt;"TransfereGOV",
ROUND(OFFSET($P437,0,AJ$13),15-13*ORÇAMENTO!$AF$7)/$H437*OFFSET(ORÇAMENTO!$X$15,ROW(AJ437)-ROW(AJ$15),0),
ROUND(ROUND(OFFSET($P437,0,AJ$13),15-13*ORÇAMENTO!$AF$7)*OFFSET(ORÇAMENTO!$W$15,ROW(AJ437)-ROW(AJ$15),0),15-13*ORÇAMENTO!$AF$11)),0)</f>
        <v>0</v>
      </c>
      <c r="AK437" s="546">
        <f ca="1">IF(AND($D437="Serviço",AK$12&lt;&gt;0,$H437&gt;0,OR(AUTOEVENTO&lt;&gt;"manual",$M437&lt;&gt;1)),
IF(Import.TipoArredondamento&lt;&gt;"TransfereGOV",
ROUND(OFFSET($P437,0,AK$13),15-13*ORÇAMENTO!$AF$7)/$H437*OFFSET(ORÇAMENTO!$X$15,ROW(AK437)-ROW(AK$15),0),
ROUND(ROUND(OFFSET($P437,0,AK$13),15-13*ORÇAMENTO!$AF$7)*OFFSET(ORÇAMENTO!$W$15,ROW(AK437)-ROW(AK$15),0),15-13*ORÇAMENTO!$AF$11)),0)</f>
        <v>0</v>
      </c>
      <c r="AM437" s="181">
        <f ca="1">IF($D437&lt;&gt;"Serviço",0,IF(AND(AUTOEVENTO="Manual",$M437=1),0,IF(OFFSET(CRONOPLE!$F$14,$M437,AM$13)="",10^12,OFFSET(CRONOPLE!$F$14,$M437,AM$13))))</f>
        <v>1000000000000</v>
      </c>
      <c r="AN437" s="181">
        <f ca="1">IF($D437&lt;&gt;"Serviço",0,IF(AND(AUTOEVENTO="Manual",$M437=1),0,IF(OFFSET(CRONOPLE!$F$14,$M437,AN$13)="",10^12,OFFSET(CRONOPLE!$F$14,$M437,AN$13))))</f>
        <v>1000000000000</v>
      </c>
      <c r="AO437" s="181">
        <f ca="1">IF($D437&lt;&gt;"Serviço",0,IF(AND(AUTOEVENTO="Manual",$M437=1),0,IF(OFFSET(CRONOPLE!$F$14,$M437,AO$13)="",10^12,OFFSET(CRONOPLE!$F$14,$M437,AO$13))))</f>
        <v>1000000000000</v>
      </c>
      <c r="AP437" s="181">
        <f ca="1">IF($D437&lt;&gt;"Serviço",0,IF(AND(AUTOEVENTO="Manual",$M437=1),0,IF(OFFSET(CRONOPLE!$F$14,$M437,AP$13)="",10^12,OFFSET(CRONOPLE!$F$14,$M437,AP$13))))</f>
        <v>1000000000000</v>
      </c>
      <c r="AQ437" s="181">
        <f ca="1">IF($D437&lt;&gt;"Serviço",0,IF(AND(AUTOEVENTO="Manual",$M437=1),0,IF(OFFSET(CRONOPLE!$F$14,$M437,AQ$13)="",10^12,OFFSET(CRONOPLE!$F$14,$M437,AQ$13))))</f>
        <v>1000000000000</v>
      </c>
      <c r="AR437" s="181">
        <f ca="1">IF($D437&lt;&gt;"Serviço",0,IF(AND(AUTOEVENTO="Manual",$M437=1),0,IF(OFFSET(CRONOPLE!$F$14,$M437,AR$13)="",10^12,OFFSET(CRONOPLE!$F$14,$M437,AR$13))))</f>
        <v>1000000000000</v>
      </c>
      <c r="AS437" s="181">
        <f ca="1">IF($D437&lt;&gt;"Serviço",0,IF(AND(AUTOEVENTO="Manual",$M437=1),0,IF(OFFSET(CRONOPLE!$F$14,$M437,AS$13)="",10^12,OFFSET(CRONOPLE!$F$14,$M437,AS$13))))</f>
        <v>1000000000000</v>
      </c>
      <c r="AT437" s="181">
        <f ca="1">IF($D437&lt;&gt;"Serviço",0,IF(AND(AUTOEVENTO="Manual",$M437=1),0,IF(OFFSET(CRONOPLE!$F$14,$M437,AT$13)="",10^12,OFFSET(CRONOPLE!$F$14,$M437,AT$13))))</f>
        <v>1000000000000</v>
      </c>
      <c r="AU437" s="181">
        <f ca="1">IF($D437&lt;&gt;"Serviço",0,IF(AND(AUTOEVENTO="Manual",$M437=1),0,IF(OFFSET(CRONOPLE!$F$14,$M437,AU$13)="",10^12,OFFSET(CRONOPLE!$F$14,$M437,AU$13))))</f>
        <v>1000000000000</v>
      </c>
      <c r="AV437" s="181">
        <f ca="1">IF($D437&lt;&gt;"Serviço",0,IF(AND(AUTOEVENTO="Manual",$M437=1),0,IF(OFFSET(CRONOPLE!$F$14,$M437,AV$13)="",10^12,OFFSET(CRONOPLE!$F$14,$M437,AV$13))))</f>
        <v>1000000000000</v>
      </c>
      <c r="AX437" s="182">
        <f ca="1">IF($D437&lt;&gt;"Serviço",0,IF(OR(AND(AUTOEVENTO="Manual",$M437=1),$M437&gt;(ROW(PLE.lastrow)-ROW(PLE.firstrow))),0,IF(OFFSET(PLE!$G$14,$M437,AX$13)="",10^12,OFFSET(PLE!$G$14,$M437,AX$13))))</f>
        <v>1000000000000</v>
      </c>
      <c r="AY437" s="182">
        <f ca="1">IF($D437&lt;&gt;"Serviço",0,IF(OR(AND(AUTOEVENTO="Manual",$M437=1),$M437&gt;(ROW(PLE.lastrow)-ROW(PLE.firstrow))),0,IF(OFFSET(PLE!$G$14,$M437,AY$13)="",10^12,OFFSET(PLE!$G$14,$M437,AY$13))))</f>
        <v>1000000000000</v>
      </c>
      <c r="AZ437" s="182">
        <f ca="1">IF($D437&lt;&gt;"Serviço",0,IF(OR(AND(AUTOEVENTO="Manual",$M437=1),$M437&gt;(ROW(PLE.lastrow)-ROW(PLE.firstrow))),0,IF(OFFSET(PLE!$G$14,$M437,AZ$13)="",10^12,OFFSET(PLE!$G$14,$M437,AZ$13))))</f>
        <v>1000000000000</v>
      </c>
      <c r="BA437" s="182">
        <f ca="1">IF($D437&lt;&gt;"Serviço",0,IF(OR(AND(AUTOEVENTO="Manual",$M437=1),$M437&gt;(ROW(PLE.lastrow)-ROW(PLE.firstrow))),0,IF(OFFSET(PLE!$G$14,$M437,BA$13)="",10^12,OFFSET(PLE!$G$14,$M437,BA$13))))</f>
        <v>1000000000000</v>
      </c>
      <c r="BB437" s="182">
        <f ca="1">IF($D437&lt;&gt;"Serviço",0,IF(OR(AND(AUTOEVENTO="Manual",$M437=1),$M437&gt;(ROW(PLE.lastrow)-ROW(PLE.firstrow))),0,IF(OFFSET(PLE!$G$14,$M437,BB$13)="",10^12,OFFSET(PLE!$G$14,$M437,BB$13))))</f>
        <v>1000000000000</v>
      </c>
      <c r="BC437" s="182">
        <f ca="1">IF($D437&lt;&gt;"Serviço",0,IF(OR(AND(AUTOEVENTO="Manual",$M437=1),$M437&gt;(ROW(PLE.lastrow)-ROW(PLE.firstrow))),0,IF(OFFSET(PLE!$G$14,$M437,BC$13)="",10^12,OFFSET(PLE!$G$14,$M437,BC$13))))</f>
        <v>1000000000000</v>
      </c>
      <c r="BD437" s="182">
        <f ca="1">IF($D437&lt;&gt;"Serviço",0,IF(OR(AND(AUTOEVENTO="Manual",$M437=1),$M437&gt;(ROW(PLE.lastrow)-ROW(PLE.firstrow))),0,IF(OFFSET(PLE!$G$14,$M437,BD$13)="",10^12,OFFSET(PLE!$G$14,$M437,BD$13))))</f>
        <v>1000000000000</v>
      </c>
      <c r="BE437" s="182">
        <f ca="1">IF($D437&lt;&gt;"Serviço",0,IF(OR(AND(AUTOEVENTO="Manual",$M437=1),$M437&gt;(ROW(PLE.lastrow)-ROW(PLE.firstrow))),0,IF(OFFSET(PLE!$G$14,$M437,BE$13)="",10^12,OFFSET(PLE!$G$14,$M437,BE$13))))</f>
        <v>1000000000000</v>
      </c>
      <c r="BF437" s="182">
        <f ca="1">IF($D437&lt;&gt;"Serviço",0,IF(OR(AND(AUTOEVENTO="Manual",$M437=1),$M437&gt;(ROW(PLE.lastrow)-ROW(PLE.firstrow))),0,IF(OFFSET(PLE!$G$14,$M437,BF$13)="",10^12,OFFSET(PLE!$G$14,$M437,BF$13))))</f>
        <v>1000000000000</v>
      </c>
      <c r="BG437" s="182">
        <f ca="1">IF($D437&lt;&gt;"Serviço",0,IF(OR(AND(AUTOEVENTO="Manual",$M437=1),$M437&gt;(ROW(PLE.lastrow)-ROW(PLE.firstrow))),0,IF(OFFSET(PLE!$G$14,$M437,BG$13)="",10^12,OFFSET(PLE!$G$14,$M437,BG$13))))</f>
        <v>1000000000000</v>
      </c>
    </row>
    <row r="438" spans="1:59" ht="25.5" x14ac:dyDescent="0.2">
      <c r="A438" s="7" t="str">
        <f t="shared" ca="1" si="13"/>
        <v>411</v>
      </c>
      <c r="B438" s="7" t="str">
        <f ca="1">OFFSET(ORÇAMENTO!C$15,ROW(B438)-ROW(B$15),0)</f>
        <v>S</v>
      </c>
      <c r="C438" s="7" t="str">
        <f ca="1">OFFSET(ORÇAMENTO!L$15,ROW(C438)-ROW(C$15),0)</f>
        <v/>
      </c>
      <c r="D438" s="118" t="str">
        <f ca="1">OFFSET(ORÇAMENTO!N$15,ROW(D438)-ROW(D$15),0)</f>
        <v>Serviço</v>
      </c>
      <c r="E438" s="119" t="str">
        <f ca="1">OFFSET(ORÇAMENTO!O$15,ROW(E438)-ROW(E$15),0)</f>
        <v>-</v>
      </c>
      <c r="F438" s="172" t="str">
        <f ca="1">OFFSET(ORÇAMENTO!R$15,ROW(F438)-ROW(F$15),0)</f>
        <v>(abra o arquivo 'Referência 02-2025.xlsm)</v>
      </c>
      <c r="G438" s="173" t="str">
        <f ca="1">IF($D438&lt;&gt;"Serviço","",OFFSET(ORÇAMENTO!S$15,ROW(G438)-ROW(G$15),0))</f>
        <v>-</v>
      </c>
      <c r="H438" s="124">
        <f ca="1">IF($D438&lt;&gt;"Serviço",0,IF(ACOMPANHAMENTO="BM",ROUND(OFFSET(ORÇAMENTO!AJ$15,ROW(H438)-ROW(H$15),0),15-13*ORÇAMENTO!$AF$7),SUMPRODUCT(($Q$12:$AA$12&lt;&gt;"")*ROUND($Q438:$AA438,15-13*ORÇAMENTO!$AF$7))))</f>
        <v>2</v>
      </c>
      <c r="I438" s="561" t="s">
        <v>890</v>
      </c>
      <c r="K438" s="174"/>
      <c r="L438" s="175" t="s">
        <v>255</v>
      </c>
      <c r="M438" s="176">
        <f ca="1">IF($D438&lt;&gt;"Serviço","",IF(AUTOEVENTO="manual",$A438,IF(ISERROR(MATCH($A438,$A$15:OFFSET($A438,-1,0),0)),MAX($M$15:OFFSET(M438,-1,0))+1,INDEX($M$15:OFFSET(M438,-1,0),MATCH($A438,$A$15:OFFSET($A438,-1,0),0)))))</f>
        <v>17</v>
      </c>
      <c r="N438" s="177" t="str">
        <f ca="1">IF($D438&lt;&gt;"Serviço","",IF(AUTOEVENTO="Manual",IF($A438=0,"&lt;-- defina o número do agrupador",OFFSET(EVENTOS!$D$14,$A438,0)),OFFSET($F$15,$A438,0)))</f>
        <v>SISTEMA DE PROTEÇÃO CONTRA INCÊNDIO</v>
      </c>
      <c r="O438" s="178"/>
      <c r="Q438" s="178"/>
      <c r="R438" s="179"/>
      <c r="S438" s="179"/>
      <c r="T438" s="179"/>
      <c r="U438" s="179"/>
      <c r="V438" s="179"/>
      <c r="W438" s="179"/>
      <c r="X438" s="179"/>
      <c r="Y438" s="179"/>
      <c r="Z438" s="180"/>
      <c r="AB438" s="544">
        <f ca="1">IF(AND($D438="Serviço",AB$12&lt;&gt;0,$H438&gt;0,OR(AUTOEVENTO&lt;&gt;"manual",$M438&lt;&gt;1)),
IF(Import.TipoArredondamento&lt;&gt;"TransfereGOV",
ROUND(OFFSET($P438,0,AB$13),15-13*ORÇAMENTO!$AF$7)/$H438*OFFSET(ORÇAMENTO!$X$15,ROW(AB438)-ROW(AB$15),0),
ROUND(ROUND(OFFSET($P438,0,AB$13),15-13*ORÇAMENTO!$AF$7)*OFFSET(ORÇAMENTO!$W$15,ROW(AB438)-ROW(AB$15),0),15-13*ORÇAMENTO!$AF$11)),0)</f>
        <v>0</v>
      </c>
      <c r="AC438" s="545">
        <f ca="1">IF(AND($D438="Serviço",AC$12&lt;&gt;0,$H438&gt;0,OR(AUTOEVENTO&lt;&gt;"manual",$M438&lt;&gt;1)),
IF(Import.TipoArredondamento&lt;&gt;"TransfereGOV",
ROUND(OFFSET($P438,0,AC$13),15-13*ORÇAMENTO!$AF$7)/$H438*OFFSET(ORÇAMENTO!$X$15,ROW(AC438)-ROW(AC$15),0),
ROUND(ROUND(OFFSET($P438,0,AC$13),15-13*ORÇAMENTO!$AF$7)*OFFSET(ORÇAMENTO!$W$15,ROW(AC438)-ROW(AC$15),0),15-13*ORÇAMENTO!$AF$11)),0)</f>
        <v>0</v>
      </c>
      <c r="AD438" s="545">
        <f ca="1">IF(AND($D438="Serviço",AD$12&lt;&gt;0,$H438&gt;0,OR(AUTOEVENTO&lt;&gt;"manual",$M438&lt;&gt;1)),
IF(Import.TipoArredondamento&lt;&gt;"TransfereGOV",
ROUND(OFFSET($P438,0,AD$13),15-13*ORÇAMENTO!$AF$7)/$H438*OFFSET(ORÇAMENTO!$X$15,ROW(AD438)-ROW(AD$15),0),
ROUND(ROUND(OFFSET($P438,0,AD$13),15-13*ORÇAMENTO!$AF$7)*OFFSET(ORÇAMENTO!$W$15,ROW(AD438)-ROW(AD$15),0),15-13*ORÇAMENTO!$AF$11)),0)</f>
        <v>0</v>
      </c>
      <c r="AE438" s="545">
        <f ca="1">IF(AND($D438="Serviço",AE$12&lt;&gt;0,$H438&gt;0,OR(AUTOEVENTO&lt;&gt;"manual",$M438&lt;&gt;1)),
IF(Import.TipoArredondamento&lt;&gt;"TransfereGOV",
ROUND(OFFSET($P438,0,AE$13),15-13*ORÇAMENTO!$AF$7)/$H438*OFFSET(ORÇAMENTO!$X$15,ROW(AE438)-ROW(AE$15),0),
ROUND(ROUND(OFFSET($P438,0,AE$13),15-13*ORÇAMENTO!$AF$7)*OFFSET(ORÇAMENTO!$W$15,ROW(AE438)-ROW(AE$15),0),15-13*ORÇAMENTO!$AF$11)),0)</f>
        <v>0</v>
      </c>
      <c r="AF438" s="545">
        <f ca="1">IF(AND($D438="Serviço",AF$12&lt;&gt;0,$H438&gt;0,OR(AUTOEVENTO&lt;&gt;"manual",$M438&lt;&gt;1)),
IF(Import.TipoArredondamento&lt;&gt;"TransfereGOV",
ROUND(OFFSET($P438,0,AF$13),15-13*ORÇAMENTO!$AF$7)/$H438*OFFSET(ORÇAMENTO!$X$15,ROW(AF438)-ROW(AF$15),0),
ROUND(ROUND(OFFSET($P438,0,AF$13),15-13*ORÇAMENTO!$AF$7)*OFFSET(ORÇAMENTO!$W$15,ROW(AF438)-ROW(AF$15),0),15-13*ORÇAMENTO!$AF$11)),0)</f>
        <v>0</v>
      </c>
      <c r="AG438" s="545">
        <f ca="1">IF(AND($D438="Serviço",AG$12&lt;&gt;0,$H438&gt;0,OR(AUTOEVENTO&lt;&gt;"manual",$M438&lt;&gt;1)),
IF(Import.TipoArredondamento&lt;&gt;"TransfereGOV",
ROUND(OFFSET($P438,0,AG$13),15-13*ORÇAMENTO!$AF$7)/$H438*OFFSET(ORÇAMENTO!$X$15,ROW(AG438)-ROW(AG$15),0),
ROUND(ROUND(OFFSET($P438,0,AG$13),15-13*ORÇAMENTO!$AF$7)*OFFSET(ORÇAMENTO!$W$15,ROW(AG438)-ROW(AG$15),0),15-13*ORÇAMENTO!$AF$11)),0)</f>
        <v>0</v>
      </c>
      <c r="AH438" s="545">
        <f ca="1">IF(AND($D438="Serviço",AH$12&lt;&gt;0,$H438&gt;0,OR(AUTOEVENTO&lt;&gt;"manual",$M438&lt;&gt;1)),
IF(Import.TipoArredondamento&lt;&gt;"TransfereGOV",
ROUND(OFFSET($P438,0,AH$13),15-13*ORÇAMENTO!$AF$7)/$H438*OFFSET(ORÇAMENTO!$X$15,ROW(AH438)-ROW(AH$15),0),
ROUND(ROUND(OFFSET($P438,0,AH$13),15-13*ORÇAMENTO!$AF$7)*OFFSET(ORÇAMENTO!$W$15,ROW(AH438)-ROW(AH$15),0),15-13*ORÇAMENTO!$AF$11)),0)</f>
        <v>0</v>
      </c>
      <c r="AI438" s="545">
        <f ca="1">IF(AND($D438="Serviço",AI$12&lt;&gt;0,$H438&gt;0,OR(AUTOEVENTO&lt;&gt;"manual",$M438&lt;&gt;1)),
IF(Import.TipoArredondamento&lt;&gt;"TransfereGOV",
ROUND(OFFSET($P438,0,AI$13),15-13*ORÇAMENTO!$AF$7)/$H438*OFFSET(ORÇAMENTO!$X$15,ROW(AI438)-ROW(AI$15),0),
ROUND(ROUND(OFFSET($P438,0,AI$13),15-13*ORÇAMENTO!$AF$7)*OFFSET(ORÇAMENTO!$W$15,ROW(AI438)-ROW(AI$15),0),15-13*ORÇAMENTO!$AF$11)),0)</f>
        <v>0</v>
      </c>
      <c r="AJ438" s="545">
        <f ca="1">IF(AND($D438="Serviço",AJ$12&lt;&gt;0,$H438&gt;0,OR(AUTOEVENTO&lt;&gt;"manual",$M438&lt;&gt;1)),
IF(Import.TipoArredondamento&lt;&gt;"TransfereGOV",
ROUND(OFFSET($P438,0,AJ$13),15-13*ORÇAMENTO!$AF$7)/$H438*OFFSET(ORÇAMENTO!$X$15,ROW(AJ438)-ROW(AJ$15),0),
ROUND(ROUND(OFFSET($P438,0,AJ$13),15-13*ORÇAMENTO!$AF$7)*OFFSET(ORÇAMENTO!$W$15,ROW(AJ438)-ROW(AJ$15),0),15-13*ORÇAMENTO!$AF$11)),0)</f>
        <v>0</v>
      </c>
      <c r="AK438" s="546">
        <f ca="1">IF(AND($D438="Serviço",AK$12&lt;&gt;0,$H438&gt;0,OR(AUTOEVENTO&lt;&gt;"manual",$M438&lt;&gt;1)),
IF(Import.TipoArredondamento&lt;&gt;"TransfereGOV",
ROUND(OFFSET($P438,0,AK$13),15-13*ORÇAMENTO!$AF$7)/$H438*OFFSET(ORÇAMENTO!$X$15,ROW(AK438)-ROW(AK$15),0),
ROUND(ROUND(OFFSET($P438,0,AK$13),15-13*ORÇAMENTO!$AF$7)*OFFSET(ORÇAMENTO!$W$15,ROW(AK438)-ROW(AK$15),0),15-13*ORÇAMENTO!$AF$11)),0)</f>
        <v>0</v>
      </c>
      <c r="AM438" s="181">
        <f ca="1">IF($D438&lt;&gt;"Serviço",0,IF(AND(AUTOEVENTO="Manual",$M438=1),0,IF(OFFSET(CRONOPLE!$F$14,$M438,AM$13)="",10^12,OFFSET(CRONOPLE!$F$14,$M438,AM$13))))</f>
        <v>1000000000000</v>
      </c>
      <c r="AN438" s="181">
        <f ca="1">IF($D438&lt;&gt;"Serviço",0,IF(AND(AUTOEVENTO="Manual",$M438=1),0,IF(OFFSET(CRONOPLE!$F$14,$M438,AN$13)="",10^12,OFFSET(CRONOPLE!$F$14,$M438,AN$13))))</f>
        <v>1000000000000</v>
      </c>
      <c r="AO438" s="181">
        <f ca="1">IF($D438&lt;&gt;"Serviço",0,IF(AND(AUTOEVENTO="Manual",$M438=1),0,IF(OFFSET(CRONOPLE!$F$14,$M438,AO$13)="",10^12,OFFSET(CRONOPLE!$F$14,$M438,AO$13))))</f>
        <v>1000000000000</v>
      </c>
      <c r="AP438" s="181">
        <f ca="1">IF($D438&lt;&gt;"Serviço",0,IF(AND(AUTOEVENTO="Manual",$M438=1),0,IF(OFFSET(CRONOPLE!$F$14,$M438,AP$13)="",10^12,OFFSET(CRONOPLE!$F$14,$M438,AP$13))))</f>
        <v>1000000000000</v>
      </c>
      <c r="AQ438" s="181">
        <f ca="1">IF($D438&lt;&gt;"Serviço",0,IF(AND(AUTOEVENTO="Manual",$M438=1),0,IF(OFFSET(CRONOPLE!$F$14,$M438,AQ$13)="",10^12,OFFSET(CRONOPLE!$F$14,$M438,AQ$13))))</f>
        <v>1000000000000</v>
      </c>
      <c r="AR438" s="181">
        <f ca="1">IF($D438&lt;&gt;"Serviço",0,IF(AND(AUTOEVENTO="Manual",$M438=1),0,IF(OFFSET(CRONOPLE!$F$14,$M438,AR$13)="",10^12,OFFSET(CRONOPLE!$F$14,$M438,AR$13))))</f>
        <v>1000000000000</v>
      </c>
      <c r="AS438" s="181">
        <f ca="1">IF($D438&lt;&gt;"Serviço",0,IF(AND(AUTOEVENTO="Manual",$M438=1),0,IF(OFFSET(CRONOPLE!$F$14,$M438,AS$13)="",10^12,OFFSET(CRONOPLE!$F$14,$M438,AS$13))))</f>
        <v>1000000000000</v>
      </c>
      <c r="AT438" s="181">
        <f ca="1">IF($D438&lt;&gt;"Serviço",0,IF(AND(AUTOEVENTO="Manual",$M438=1),0,IF(OFFSET(CRONOPLE!$F$14,$M438,AT$13)="",10^12,OFFSET(CRONOPLE!$F$14,$M438,AT$13))))</f>
        <v>1000000000000</v>
      </c>
      <c r="AU438" s="181">
        <f ca="1">IF($D438&lt;&gt;"Serviço",0,IF(AND(AUTOEVENTO="Manual",$M438=1),0,IF(OFFSET(CRONOPLE!$F$14,$M438,AU$13)="",10^12,OFFSET(CRONOPLE!$F$14,$M438,AU$13))))</f>
        <v>1000000000000</v>
      </c>
      <c r="AV438" s="181">
        <f ca="1">IF($D438&lt;&gt;"Serviço",0,IF(AND(AUTOEVENTO="Manual",$M438=1),0,IF(OFFSET(CRONOPLE!$F$14,$M438,AV$13)="",10^12,OFFSET(CRONOPLE!$F$14,$M438,AV$13))))</f>
        <v>1000000000000</v>
      </c>
      <c r="AX438" s="182">
        <f ca="1">IF($D438&lt;&gt;"Serviço",0,IF(OR(AND(AUTOEVENTO="Manual",$M438=1),$M438&gt;(ROW(PLE.lastrow)-ROW(PLE.firstrow))),0,IF(OFFSET(PLE!$G$14,$M438,AX$13)="",10^12,OFFSET(PLE!$G$14,$M438,AX$13))))</f>
        <v>1000000000000</v>
      </c>
      <c r="AY438" s="182">
        <f ca="1">IF($D438&lt;&gt;"Serviço",0,IF(OR(AND(AUTOEVENTO="Manual",$M438=1),$M438&gt;(ROW(PLE.lastrow)-ROW(PLE.firstrow))),0,IF(OFFSET(PLE!$G$14,$M438,AY$13)="",10^12,OFFSET(PLE!$G$14,$M438,AY$13))))</f>
        <v>1000000000000</v>
      </c>
      <c r="AZ438" s="182">
        <f ca="1">IF($D438&lt;&gt;"Serviço",0,IF(OR(AND(AUTOEVENTO="Manual",$M438=1),$M438&gt;(ROW(PLE.lastrow)-ROW(PLE.firstrow))),0,IF(OFFSET(PLE!$G$14,$M438,AZ$13)="",10^12,OFFSET(PLE!$G$14,$M438,AZ$13))))</f>
        <v>1000000000000</v>
      </c>
      <c r="BA438" s="182">
        <f ca="1">IF($D438&lt;&gt;"Serviço",0,IF(OR(AND(AUTOEVENTO="Manual",$M438=1),$M438&gt;(ROW(PLE.lastrow)-ROW(PLE.firstrow))),0,IF(OFFSET(PLE!$G$14,$M438,BA$13)="",10^12,OFFSET(PLE!$G$14,$M438,BA$13))))</f>
        <v>1000000000000</v>
      </c>
      <c r="BB438" s="182">
        <f ca="1">IF($D438&lt;&gt;"Serviço",0,IF(OR(AND(AUTOEVENTO="Manual",$M438=1),$M438&gt;(ROW(PLE.lastrow)-ROW(PLE.firstrow))),0,IF(OFFSET(PLE!$G$14,$M438,BB$13)="",10^12,OFFSET(PLE!$G$14,$M438,BB$13))))</f>
        <v>1000000000000</v>
      </c>
      <c r="BC438" s="182">
        <f ca="1">IF($D438&lt;&gt;"Serviço",0,IF(OR(AND(AUTOEVENTO="Manual",$M438=1),$M438&gt;(ROW(PLE.lastrow)-ROW(PLE.firstrow))),0,IF(OFFSET(PLE!$G$14,$M438,BC$13)="",10^12,OFFSET(PLE!$G$14,$M438,BC$13))))</f>
        <v>1000000000000</v>
      </c>
      <c r="BD438" s="182">
        <f ca="1">IF($D438&lt;&gt;"Serviço",0,IF(OR(AND(AUTOEVENTO="Manual",$M438=1),$M438&gt;(ROW(PLE.lastrow)-ROW(PLE.firstrow))),0,IF(OFFSET(PLE!$G$14,$M438,BD$13)="",10^12,OFFSET(PLE!$G$14,$M438,BD$13))))</f>
        <v>1000000000000</v>
      </c>
      <c r="BE438" s="182">
        <f ca="1">IF($D438&lt;&gt;"Serviço",0,IF(OR(AND(AUTOEVENTO="Manual",$M438=1),$M438&gt;(ROW(PLE.lastrow)-ROW(PLE.firstrow))),0,IF(OFFSET(PLE!$G$14,$M438,BE$13)="",10^12,OFFSET(PLE!$G$14,$M438,BE$13))))</f>
        <v>1000000000000</v>
      </c>
      <c r="BF438" s="182">
        <f ca="1">IF($D438&lt;&gt;"Serviço",0,IF(OR(AND(AUTOEVENTO="Manual",$M438=1),$M438&gt;(ROW(PLE.lastrow)-ROW(PLE.firstrow))),0,IF(OFFSET(PLE!$G$14,$M438,BF$13)="",10^12,OFFSET(PLE!$G$14,$M438,BF$13))))</f>
        <v>1000000000000</v>
      </c>
      <c r="BG438" s="182">
        <f ca="1">IF($D438&lt;&gt;"Serviço",0,IF(OR(AND(AUTOEVENTO="Manual",$M438=1),$M438&gt;(ROW(PLE.lastrow)-ROW(PLE.firstrow))),0,IF(OFFSET(PLE!$G$14,$M438,BG$13)="",10^12,OFFSET(PLE!$G$14,$M438,BG$13))))</f>
        <v>1000000000000</v>
      </c>
    </row>
    <row r="439" spans="1:59" ht="25.5" x14ac:dyDescent="0.2">
      <c r="A439" s="7" t="str">
        <f t="shared" ca="1" si="13"/>
        <v>411</v>
      </c>
      <c r="B439" s="7" t="str">
        <f ca="1">OFFSET(ORÇAMENTO!C$15,ROW(B439)-ROW(B$15),0)</f>
        <v>S</v>
      </c>
      <c r="C439" s="7" t="str">
        <f ca="1">OFFSET(ORÇAMENTO!L$15,ROW(C439)-ROW(C$15),0)</f>
        <v/>
      </c>
      <c r="D439" s="118" t="str">
        <f ca="1">OFFSET(ORÇAMENTO!N$15,ROW(D439)-ROW(D$15),0)</f>
        <v>Serviço</v>
      </c>
      <c r="E439" s="119" t="str">
        <f ca="1">OFFSET(ORÇAMENTO!O$15,ROW(E439)-ROW(E$15),0)</f>
        <v>-</v>
      </c>
      <c r="F439" s="172" t="str">
        <f ca="1">OFFSET(ORÇAMENTO!R$15,ROW(F439)-ROW(F$15),0)</f>
        <v>(abra o arquivo 'Referência 02-2025.xlsm)</v>
      </c>
      <c r="G439" s="173" t="str">
        <f ca="1">IF($D439&lt;&gt;"Serviço","",OFFSET(ORÇAMENTO!S$15,ROW(G439)-ROW(G$15),0))</f>
        <v>-</v>
      </c>
      <c r="H439" s="124">
        <f ca="1">IF($D439&lt;&gt;"Serviço",0,IF(ACOMPANHAMENTO="BM",ROUND(OFFSET(ORÇAMENTO!AJ$15,ROW(H439)-ROW(H$15),0),15-13*ORÇAMENTO!$AF$7),SUMPRODUCT(($Q$12:$AA$12&lt;&gt;"")*ROUND($Q439:$AA439,15-13*ORÇAMENTO!$AF$7))))</f>
        <v>2</v>
      </c>
      <c r="I439" s="561" t="s">
        <v>890</v>
      </c>
      <c r="K439" s="174"/>
      <c r="L439" s="175" t="s">
        <v>255</v>
      </c>
      <c r="M439" s="176">
        <f ca="1">IF($D439&lt;&gt;"Serviço","",IF(AUTOEVENTO="manual",$A439,IF(ISERROR(MATCH($A439,$A$15:OFFSET($A439,-1,0),0)),MAX($M$15:OFFSET(M439,-1,0))+1,INDEX($M$15:OFFSET(M439,-1,0),MATCH($A439,$A$15:OFFSET($A439,-1,0),0)))))</f>
        <v>17</v>
      </c>
      <c r="N439" s="177" t="str">
        <f ca="1">IF($D439&lt;&gt;"Serviço","",IF(AUTOEVENTO="Manual",IF($A439=0,"&lt;-- defina o número do agrupador",OFFSET(EVENTOS!$D$14,$A439,0)),OFFSET($F$15,$A439,0)))</f>
        <v>SISTEMA DE PROTEÇÃO CONTRA INCÊNDIO</v>
      </c>
      <c r="O439" s="178"/>
      <c r="Q439" s="178"/>
      <c r="R439" s="179"/>
      <c r="S439" s="179"/>
      <c r="T439" s="179"/>
      <c r="U439" s="179"/>
      <c r="V439" s="179"/>
      <c r="W439" s="179"/>
      <c r="X439" s="179"/>
      <c r="Y439" s="179"/>
      <c r="Z439" s="180"/>
      <c r="AB439" s="544">
        <f ca="1">IF(AND($D439="Serviço",AB$12&lt;&gt;0,$H439&gt;0,OR(AUTOEVENTO&lt;&gt;"manual",$M439&lt;&gt;1)),
IF(Import.TipoArredondamento&lt;&gt;"TransfereGOV",
ROUND(OFFSET($P439,0,AB$13),15-13*ORÇAMENTO!$AF$7)/$H439*OFFSET(ORÇAMENTO!$X$15,ROW(AB439)-ROW(AB$15),0),
ROUND(ROUND(OFFSET($P439,0,AB$13),15-13*ORÇAMENTO!$AF$7)*OFFSET(ORÇAMENTO!$W$15,ROW(AB439)-ROW(AB$15),0),15-13*ORÇAMENTO!$AF$11)),0)</f>
        <v>0</v>
      </c>
      <c r="AC439" s="545">
        <f ca="1">IF(AND($D439="Serviço",AC$12&lt;&gt;0,$H439&gt;0,OR(AUTOEVENTO&lt;&gt;"manual",$M439&lt;&gt;1)),
IF(Import.TipoArredondamento&lt;&gt;"TransfereGOV",
ROUND(OFFSET($P439,0,AC$13),15-13*ORÇAMENTO!$AF$7)/$H439*OFFSET(ORÇAMENTO!$X$15,ROW(AC439)-ROW(AC$15),0),
ROUND(ROUND(OFFSET($P439,0,AC$13),15-13*ORÇAMENTO!$AF$7)*OFFSET(ORÇAMENTO!$W$15,ROW(AC439)-ROW(AC$15),0),15-13*ORÇAMENTO!$AF$11)),0)</f>
        <v>0</v>
      </c>
      <c r="AD439" s="545">
        <f ca="1">IF(AND($D439="Serviço",AD$12&lt;&gt;0,$H439&gt;0,OR(AUTOEVENTO&lt;&gt;"manual",$M439&lt;&gt;1)),
IF(Import.TipoArredondamento&lt;&gt;"TransfereGOV",
ROUND(OFFSET($P439,0,AD$13),15-13*ORÇAMENTO!$AF$7)/$H439*OFFSET(ORÇAMENTO!$X$15,ROW(AD439)-ROW(AD$15),0),
ROUND(ROUND(OFFSET($P439,0,AD$13),15-13*ORÇAMENTO!$AF$7)*OFFSET(ORÇAMENTO!$W$15,ROW(AD439)-ROW(AD$15),0),15-13*ORÇAMENTO!$AF$11)),0)</f>
        <v>0</v>
      </c>
      <c r="AE439" s="545">
        <f ca="1">IF(AND($D439="Serviço",AE$12&lt;&gt;0,$H439&gt;0,OR(AUTOEVENTO&lt;&gt;"manual",$M439&lt;&gt;1)),
IF(Import.TipoArredondamento&lt;&gt;"TransfereGOV",
ROUND(OFFSET($P439,0,AE$13),15-13*ORÇAMENTO!$AF$7)/$H439*OFFSET(ORÇAMENTO!$X$15,ROW(AE439)-ROW(AE$15),0),
ROUND(ROUND(OFFSET($P439,0,AE$13),15-13*ORÇAMENTO!$AF$7)*OFFSET(ORÇAMENTO!$W$15,ROW(AE439)-ROW(AE$15),0),15-13*ORÇAMENTO!$AF$11)),0)</f>
        <v>0</v>
      </c>
      <c r="AF439" s="545">
        <f ca="1">IF(AND($D439="Serviço",AF$12&lt;&gt;0,$H439&gt;0,OR(AUTOEVENTO&lt;&gt;"manual",$M439&lt;&gt;1)),
IF(Import.TipoArredondamento&lt;&gt;"TransfereGOV",
ROUND(OFFSET($P439,0,AF$13),15-13*ORÇAMENTO!$AF$7)/$H439*OFFSET(ORÇAMENTO!$X$15,ROW(AF439)-ROW(AF$15),0),
ROUND(ROUND(OFFSET($P439,0,AF$13),15-13*ORÇAMENTO!$AF$7)*OFFSET(ORÇAMENTO!$W$15,ROW(AF439)-ROW(AF$15),0),15-13*ORÇAMENTO!$AF$11)),0)</f>
        <v>0</v>
      </c>
      <c r="AG439" s="545">
        <f ca="1">IF(AND($D439="Serviço",AG$12&lt;&gt;0,$H439&gt;0,OR(AUTOEVENTO&lt;&gt;"manual",$M439&lt;&gt;1)),
IF(Import.TipoArredondamento&lt;&gt;"TransfereGOV",
ROUND(OFFSET($P439,0,AG$13),15-13*ORÇAMENTO!$AF$7)/$H439*OFFSET(ORÇAMENTO!$X$15,ROW(AG439)-ROW(AG$15),0),
ROUND(ROUND(OFFSET($P439,0,AG$13),15-13*ORÇAMENTO!$AF$7)*OFFSET(ORÇAMENTO!$W$15,ROW(AG439)-ROW(AG$15),0),15-13*ORÇAMENTO!$AF$11)),0)</f>
        <v>0</v>
      </c>
      <c r="AH439" s="545">
        <f ca="1">IF(AND($D439="Serviço",AH$12&lt;&gt;0,$H439&gt;0,OR(AUTOEVENTO&lt;&gt;"manual",$M439&lt;&gt;1)),
IF(Import.TipoArredondamento&lt;&gt;"TransfereGOV",
ROUND(OFFSET($P439,0,AH$13),15-13*ORÇAMENTO!$AF$7)/$H439*OFFSET(ORÇAMENTO!$X$15,ROW(AH439)-ROW(AH$15),0),
ROUND(ROUND(OFFSET($P439,0,AH$13),15-13*ORÇAMENTO!$AF$7)*OFFSET(ORÇAMENTO!$W$15,ROW(AH439)-ROW(AH$15),0),15-13*ORÇAMENTO!$AF$11)),0)</f>
        <v>0</v>
      </c>
      <c r="AI439" s="545">
        <f ca="1">IF(AND($D439="Serviço",AI$12&lt;&gt;0,$H439&gt;0,OR(AUTOEVENTO&lt;&gt;"manual",$M439&lt;&gt;1)),
IF(Import.TipoArredondamento&lt;&gt;"TransfereGOV",
ROUND(OFFSET($P439,0,AI$13),15-13*ORÇAMENTO!$AF$7)/$H439*OFFSET(ORÇAMENTO!$X$15,ROW(AI439)-ROW(AI$15),0),
ROUND(ROUND(OFFSET($P439,0,AI$13),15-13*ORÇAMENTO!$AF$7)*OFFSET(ORÇAMENTO!$W$15,ROW(AI439)-ROW(AI$15),0),15-13*ORÇAMENTO!$AF$11)),0)</f>
        <v>0</v>
      </c>
      <c r="AJ439" s="545">
        <f ca="1">IF(AND($D439="Serviço",AJ$12&lt;&gt;0,$H439&gt;0,OR(AUTOEVENTO&lt;&gt;"manual",$M439&lt;&gt;1)),
IF(Import.TipoArredondamento&lt;&gt;"TransfereGOV",
ROUND(OFFSET($P439,0,AJ$13),15-13*ORÇAMENTO!$AF$7)/$H439*OFFSET(ORÇAMENTO!$X$15,ROW(AJ439)-ROW(AJ$15),0),
ROUND(ROUND(OFFSET($P439,0,AJ$13),15-13*ORÇAMENTO!$AF$7)*OFFSET(ORÇAMENTO!$W$15,ROW(AJ439)-ROW(AJ$15),0),15-13*ORÇAMENTO!$AF$11)),0)</f>
        <v>0</v>
      </c>
      <c r="AK439" s="546">
        <f ca="1">IF(AND($D439="Serviço",AK$12&lt;&gt;0,$H439&gt;0,OR(AUTOEVENTO&lt;&gt;"manual",$M439&lt;&gt;1)),
IF(Import.TipoArredondamento&lt;&gt;"TransfereGOV",
ROUND(OFFSET($P439,0,AK$13),15-13*ORÇAMENTO!$AF$7)/$H439*OFFSET(ORÇAMENTO!$X$15,ROW(AK439)-ROW(AK$15),0),
ROUND(ROUND(OFFSET($P439,0,AK$13),15-13*ORÇAMENTO!$AF$7)*OFFSET(ORÇAMENTO!$W$15,ROW(AK439)-ROW(AK$15),0),15-13*ORÇAMENTO!$AF$11)),0)</f>
        <v>0</v>
      </c>
      <c r="AM439" s="181">
        <f ca="1">IF($D439&lt;&gt;"Serviço",0,IF(AND(AUTOEVENTO="Manual",$M439=1),0,IF(OFFSET(CRONOPLE!$F$14,$M439,AM$13)="",10^12,OFFSET(CRONOPLE!$F$14,$M439,AM$13))))</f>
        <v>1000000000000</v>
      </c>
      <c r="AN439" s="181">
        <f ca="1">IF($D439&lt;&gt;"Serviço",0,IF(AND(AUTOEVENTO="Manual",$M439=1),0,IF(OFFSET(CRONOPLE!$F$14,$M439,AN$13)="",10^12,OFFSET(CRONOPLE!$F$14,$M439,AN$13))))</f>
        <v>1000000000000</v>
      </c>
      <c r="AO439" s="181">
        <f ca="1">IF($D439&lt;&gt;"Serviço",0,IF(AND(AUTOEVENTO="Manual",$M439=1),0,IF(OFFSET(CRONOPLE!$F$14,$M439,AO$13)="",10^12,OFFSET(CRONOPLE!$F$14,$M439,AO$13))))</f>
        <v>1000000000000</v>
      </c>
      <c r="AP439" s="181">
        <f ca="1">IF($D439&lt;&gt;"Serviço",0,IF(AND(AUTOEVENTO="Manual",$M439=1),0,IF(OFFSET(CRONOPLE!$F$14,$M439,AP$13)="",10^12,OFFSET(CRONOPLE!$F$14,$M439,AP$13))))</f>
        <v>1000000000000</v>
      </c>
      <c r="AQ439" s="181">
        <f ca="1">IF($D439&lt;&gt;"Serviço",0,IF(AND(AUTOEVENTO="Manual",$M439=1),0,IF(OFFSET(CRONOPLE!$F$14,$M439,AQ$13)="",10^12,OFFSET(CRONOPLE!$F$14,$M439,AQ$13))))</f>
        <v>1000000000000</v>
      </c>
      <c r="AR439" s="181">
        <f ca="1">IF($D439&lt;&gt;"Serviço",0,IF(AND(AUTOEVENTO="Manual",$M439=1),0,IF(OFFSET(CRONOPLE!$F$14,$M439,AR$13)="",10^12,OFFSET(CRONOPLE!$F$14,$M439,AR$13))))</f>
        <v>1000000000000</v>
      </c>
      <c r="AS439" s="181">
        <f ca="1">IF($D439&lt;&gt;"Serviço",0,IF(AND(AUTOEVENTO="Manual",$M439=1),0,IF(OFFSET(CRONOPLE!$F$14,$M439,AS$13)="",10^12,OFFSET(CRONOPLE!$F$14,$M439,AS$13))))</f>
        <v>1000000000000</v>
      </c>
      <c r="AT439" s="181">
        <f ca="1">IF($D439&lt;&gt;"Serviço",0,IF(AND(AUTOEVENTO="Manual",$M439=1),0,IF(OFFSET(CRONOPLE!$F$14,$M439,AT$13)="",10^12,OFFSET(CRONOPLE!$F$14,$M439,AT$13))))</f>
        <v>1000000000000</v>
      </c>
      <c r="AU439" s="181">
        <f ca="1">IF($D439&lt;&gt;"Serviço",0,IF(AND(AUTOEVENTO="Manual",$M439=1),0,IF(OFFSET(CRONOPLE!$F$14,$M439,AU$13)="",10^12,OFFSET(CRONOPLE!$F$14,$M439,AU$13))))</f>
        <v>1000000000000</v>
      </c>
      <c r="AV439" s="181">
        <f ca="1">IF($D439&lt;&gt;"Serviço",0,IF(AND(AUTOEVENTO="Manual",$M439=1),0,IF(OFFSET(CRONOPLE!$F$14,$M439,AV$13)="",10^12,OFFSET(CRONOPLE!$F$14,$M439,AV$13))))</f>
        <v>1000000000000</v>
      </c>
      <c r="AX439" s="182">
        <f ca="1">IF($D439&lt;&gt;"Serviço",0,IF(OR(AND(AUTOEVENTO="Manual",$M439=1),$M439&gt;(ROW(PLE.lastrow)-ROW(PLE.firstrow))),0,IF(OFFSET(PLE!$G$14,$M439,AX$13)="",10^12,OFFSET(PLE!$G$14,$M439,AX$13))))</f>
        <v>1000000000000</v>
      </c>
      <c r="AY439" s="182">
        <f ca="1">IF($D439&lt;&gt;"Serviço",0,IF(OR(AND(AUTOEVENTO="Manual",$M439=1),$M439&gt;(ROW(PLE.lastrow)-ROW(PLE.firstrow))),0,IF(OFFSET(PLE!$G$14,$M439,AY$13)="",10^12,OFFSET(PLE!$G$14,$M439,AY$13))))</f>
        <v>1000000000000</v>
      </c>
      <c r="AZ439" s="182">
        <f ca="1">IF($D439&lt;&gt;"Serviço",0,IF(OR(AND(AUTOEVENTO="Manual",$M439=1),$M439&gt;(ROW(PLE.lastrow)-ROW(PLE.firstrow))),0,IF(OFFSET(PLE!$G$14,$M439,AZ$13)="",10^12,OFFSET(PLE!$G$14,$M439,AZ$13))))</f>
        <v>1000000000000</v>
      </c>
      <c r="BA439" s="182">
        <f ca="1">IF($D439&lt;&gt;"Serviço",0,IF(OR(AND(AUTOEVENTO="Manual",$M439=1),$M439&gt;(ROW(PLE.lastrow)-ROW(PLE.firstrow))),0,IF(OFFSET(PLE!$G$14,$M439,BA$13)="",10^12,OFFSET(PLE!$G$14,$M439,BA$13))))</f>
        <v>1000000000000</v>
      </c>
      <c r="BB439" s="182">
        <f ca="1">IF($D439&lt;&gt;"Serviço",0,IF(OR(AND(AUTOEVENTO="Manual",$M439=1),$M439&gt;(ROW(PLE.lastrow)-ROW(PLE.firstrow))),0,IF(OFFSET(PLE!$G$14,$M439,BB$13)="",10^12,OFFSET(PLE!$G$14,$M439,BB$13))))</f>
        <v>1000000000000</v>
      </c>
      <c r="BC439" s="182">
        <f ca="1">IF($D439&lt;&gt;"Serviço",0,IF(OR(AND(AUTOEVENTO="Manual",$M439=1),$M439&gt;(ROW(PLE.lastrow)-ROW(PLE.firstrow))),0,IF(OFFSET(PLE!$G$14,$M439,BC$13)="",10^12,OFFSET(PLE!$G$14,$M439,BC$13))))</f>
        <v>1000000000000</v>
      </c>
      <c r="BD439" s="182">
        <f ca="1">IF($D439&lt;&gt;"Serviço",0,IF(OR(AND(AUTOEVENTO="Manual",$M439=1),$M439&gt;(ROW(PLE.lastrow)-ROW(PLE.firstrow))),0,IF(OFFSET(PLE!$G$14,$M439,BD$13)="",10^12,OFFSET(PLE!$G$14,$M439,BD$13))))</f>
        <v>1000000000000</v>
      </c>
      <c r="BE439" s="182">
        <f ca="1">IF($D439&lt;&gt;"Serviço",0,IF(OR(AND(AUTOEVENTO="Manual",$M439=1),$M439&gt;(ROW(PLE.lastrow)-ROW(PLE.firstrow))),0,IF(OFFSET(PLE!$G$14,$M439,BE$13)="",10^12,OFFSET(PLE!$G$14,$M439,BE$13))))</f>
        <v>1000000000000</v>
      </c>
      <c r="BF439" s="182">
        <f ca="1">IF($D439&lt;&gt;"Serviço",0,IF(OR(AND(AUTOEVENTO="Manual",$M439=1),$M439&gt;(ROW(PLE.lastrow)-ROW(PLE.firstrow))),0,IF(OFFSET(PLE!$G$14,$M439,BF$13)="",10^12,OFFSET(PLE!$G$14,$M439,BF$13))))</f>
        <v>1000000000000</v>
      </c>
      <c r="BG439" s="182">
        <f ca="1">IF($D439&lt;&gt;"Serviço",0,IF(OR(AND(AUTOEVENTO="Manual",$M439=1),$M439&gt;(ROW(PLE.lastrow)-ROW(PLE.firstrow))),0,IF(OFFSET(PLE!$G$14,$M439,BG$13)="",10^12,OFFSET(PLE!$G$14,$M439,BG$13))))</f>
        <v>1000000000000</v>
      </c>
    </row>
    <row r="440" spans="1:59" ht="38.25" x14ac:dyDescent="0.2">
      <c r="A440" s="7" t="str">
        <f t="shared" ca="1" si="13"/>
        <v>411</v>
      </c>
      <c r="B440" s="7" t="str">
        <f ca="1">OFFSET(ORÇAMENTO!C$15,ROW(B440)-ROW(B$15),0)</f>
        <v>S</v>
      </c>
      <c r="C440" s="7" t="str">
        <f ca="1">OFFSET(ORÇAMENTO!L$15,ROW(C440)-ROW(C$15),0)</f>
        <v/>
      </c>
      <c r="D440" s="118" t="str">
        <f ca="1">OFFSET(ORÇAMENTO!N$15,ROW(D440)-ROW(D$15),0)</f>
        <v>Serviço</v>
      </c>
      <c r="E440" s="119" t="str">
        <f ca="1">OFFSET(ORÇAMENTO!O$15,ROW(E440)-ROW(E$15),0)</f>
        <v>-</v>
      </c>
      <c r="F440" s="172" t="str">
        <f ca="1">OFFSET(ORÇAMENTO!R$15,ROW(F440)-ROW(F$15),0)</f>
        <v>(abra o arquivo 'Referência 02-2025.xlsm)</v>
      </c>
      <c r="G440" s="173" t="str">
        <f ca="1">IF($D440&lt;&gt;"Serviço","",OFFSET(ORÇAMENTO!S$15,ROW(G440)-ROW(G$15),0))</f>
        <v>-</v>
      </c>
      <c r="H440" s="124">
        <f ca="1">IF($D440&lt;&gt;"Serviço",0,IF(ACOMPANHAMENTO="BM",ROUND(OFFSET(ORÇAMENTO!AJ$15,ROW(H440)-ROW(H$15),0),15-13*ORÇAMENTO!$AF$7),SUMPRODUCT(($Q$12:$AA$12&lt;&gt;"")*ROUND($Q440:$AA440,15-13*ORÇAMENTO!$AF$7))))</f>
        <v>2</v>
      </c>
      <c r="I440" s="561" t="s">
        <v>890</v>
      </c>
      <c r="K440" s="174"/>
      <c r="L440" s="175" t="s">
        <v>255</v>
      </c>
      <c r="M440" s="176">
        <f ca="1">IF($D440&lt;&gt;"Serviço","",IF(AUTOEVENTO="manual",$A440,IF(ISERROR(MATCH($A440,$A$15:OFFSET($A440,-1,0),0)),MAX($M$15:OFFSET(M440,-1,0))+1,INDEX($M$15:OFFSET(M440,-1,0),MATCH($A440,$A$15:OFFSET($A440,-1,0),0)))))</f>
        <v>17</v>
      </c>
      <c r="N440" s="177" t="str">
        <f ca="1">IF($D440&lt;&gt;"Serviço","",IF(AUTOEVENTO="Manual",IF($A440=0,"&lt;-- defina o número do agrupador",OFFSET(EVENTOS!$D$14,$A440,0)),OFFSET($F$15,$A440,0)))</f>
        <v>SISTEMA DE PROTEÇÃO CONTRA INCÊNDIO</v>
      </c>
      <c r="O440" s="178"/>
      <c r="Q440" s="178"/>
      <c r="R440" s="179"/>
      <c r="S440" s="179"/>
      <c r="T440" s="179"/>
      <c r="U440" s="179"/>
      <c r="V440" s="179"/>
      <c r="W440" s="179"/>
      <c r="X440" s="179"/>
      <c r="Y440" s="179"/>
      <c r="Z440" s="180"/>
      <c r="AB440" s="544">
        <f ca="1">IF(AND($D440="Serviço",AB$12&lt;&gt;0,$H440&gt;0,OR(AUTOEVENTO&lt;&gt;"manual",$M440&lt;&gt;1)),
IF(Import.TipoArredondamento&lt;&gt;"TransfereGOV",
ROUND(OFFSET($P440,0,AB$13),15-13*ORÇAMENTO!$AF$7)/$H440*OFFSET(ORÇAMENTO!$X$15,ROW(AB440)-ROW(AB$15),0),
ROUND(ROUND(OFFSET($P440,0,AB$13),15-13*ORÇAMENTO!$AF$7)*OFFSET(ORÇAMENTO!$W$15,ROW(AB440)-ROW(AB$15),0),15-13*ORÇAMENTO!$AF$11)),0)</f>
        <v>0</v>
      </c>
      <c r="AC440" s="545">
        <f ca="1">IF(AND($D440="Serviço",AC$12&lt;&gt;0,$H440&gt;0,OR(AUTOEVENTO&lt;&gt;"manual",$M440&lt;&gt;1)),
IF(Import.TipoArredondamento&lt;&gt;"TransfereGOV",
ROUND(OFFSET($P440,0,AC$13),15-13*ORÇAMENTO!$AF$7)/$H440*OFFSET(ORÇAMENTO!$X$15,ROW(AC440)-ROW(AC$15),0),
ROUND(ROUND(OFFSET($P440,0,AC$13),15-13*ORÇAMENTO!$AF$7)*OFFSET(ORÇAMENTO!$W$15,ROW(AC440)-ROW(AC$15),0),15-13*ORÇAMENTO!$AF$11)),0)</f>
        <v>0</v>
      </c>
      <c r="AD440" s="545">
        <f ca="1">IF(AND($D440="Serviço",AD$12&lt;&gt;0,$H440&gt;0,OR(AUTOEVENTO&lt;&gt;"manual",$M440&lt;&gt;1)),
IF(Import.TipoArredondamento&lt;&gt;"TransfereGOV",
ROUND(OFFSET($P440,0,AD$13),15-13*ORÇAMENTO!$AF$7)/$H440*OFFSET(ORÇAMENTO!$X$15,ROW(AD440)-ROW(AD$15),0),
ROUND(ROUND(OFFSET($P440,0,AD$13),15-13*ORÇAMENTO!$AF$7)*OFFSET(ORÇAMENTO!$W$15,ROW(AD440)-ROW(AD$15),0),15-13*ORÇAMENTO!$AF$11)),0)</f>
        <v>0</v>
      </c>
      <c r="AE440" s="545">
        <f ca="1">IF(AND($D440="Serviço",AE$12&lt;&gt;0,$H440&gt;0,OR(AUTOEVENTO&lt;&gt;"manual",$M440&lt;&gt;1)),
IF(Import.TipoArredondamento&lt;&gt;"TransfereGOV",
ROUND(OFFSET($P440,0,AE$13),15-13*ORÇAMENTO!$AF$7)/$H440*OFFSET(ORÇAMENTO!$X$15,ROW(AE440)-ROW(AE$15),0),
ROUND(ROUND(OFFSET($P440,0,AE$13),15-13*ORÇAMENTO!$AF$7)*OFFSET(ORÇAMENTO!$W$15,ROW(AE440)-ROW(AE$15),0),15-13*ORÇAMENTO!$AF$11)),0)</f>
        <v>0</v>
      </c>
      <c r="AF440" s="545">
        <f ca="1">IF(AND($D440="Serviço",AF$12&lt;&gt;0,$H440&gt;0,OR(AUTOEVENTO&lt;&gt;"manual",$M440&lt;&gt;1)),
IF(Import.TipoArredondamento&lt;&gt;"TransfereGOV",
ROUND(OFFSET($P440,0,AF$13),15-13*ORÇAMENTO!$AF$7)/$H440*OFFSET(ORÇAMENTO!$X$15,ROW(AF440)-ROW(AF$15),0),
ROUND(ROUND(OFFSET($P440,0,AF$13),15-13*ORÇAMENTO!$AF$7)*OFFSET(ORÇAMENTO!$W$15,ROW(AF440)-ROW(AF$15),0),15-13*ORÇAMENTO!$AF$11)),0)</f>
        <v>0</v>
      </c>
      <c r="AG440" s="545">
        <f ca="1">IF(AND($D440="Serviço",AG$12&lt;&gt;0,$H440&gt;0,OR(AUTOEVENTO&lt;&gt;"manual",$M440&lt;&gt;1)),
IF(Import.TipoArredondamento&lt;&gt;"TransfereGOV",
ROUND(OFFSET($P440,0,AG$13),15-13*ORÇAMENTO!$AF$7)/$H440*OFFSET(ORÇAMENTO!$X$15,ROW(AG440)-ROW(AG$15),0),
ROUND(ROUND(OFFSET($P440,0,AG$13),15-13*ORÇAMENTO!$AF$7)*OFFSET(ORÇAMENTO!$W$15,ROW(AG440)-ROW(AG$15),0),15-13*ORÇAMENTO!$AF$11)),0)</f>
        <v>0</v>
      </c>
      <c r="AH440" s="545">
        <f ca="1">IF(AND($D440="Serviço",AH$12&lt;&gt;0,$H440&gt;0,OR(AUTOEVENTO&lt;&gt;"manual",$M440&lt;&gt;1)),
IF(Import.TipoArredondamento&lt;&gt;"TransfereGOV",
ROUND(OFFSET($P440,0,AH$13),15-13*ORÇAMENTO!$AF$7)/$H440*OFFSET(ORÇAMENTO!$X$15,ROW(AH440)-ROW(AH$15),0),
ROUND(ROUND(OFFSET($P440,0,AH$13),15-13*ORÇAMENTO!$AF$7)*OFFSET(ORÇAMENTO!$W$15,ROW(AH440)-ROW(AH$15),0),15-13*ORÇAMENTO!$AF$11)),0)</f>
        <v>0</v>
      </c>
      <c r="AI440" s="545">
        <f ca="1">IF(AND($D440="Serviço",AI$12&lt;&gt;0,$H440&gt;0,OR(AUTOEVENTO&lt;&gt;"manual",$M440&lt;&gt;1)),
IF(Import.TipoArredondamento&lt;&gt;"TransfereGOV",
ROUND(OFFSET($P440,0,AI$13),15-13*ORÇAMENTO!$AF$7)/$H440*OFFSET(ORÇAMENTO!$X$15,ROW(AI440)-ROW(AI$15),0),
ROUND(ROUND(OFFSET($P440,0,AI$13),15-13*ORÇAMENTO!$AF$7)*OFFSET(ORÇAMENTO!$W$15,ROW(AI440)-ROW(AI$15),0),15-13*ORÇAMENTO!$AF$11)),0)</f>
        <v>0</v>
      </c>
      <c r="AJ440" s="545">
        <f ca="1">IF(AND($D440="Serviço",AJ$12&lt;&gt;0,$H440&gt;0,OR(AUTOEVENTO&lt;&gt;"manual",$M440&lt;&gt;1)),
IF(Import.TipoArredondamento&lt;&gt;"TransfereGOV",
ROUND(OFFSET($P440,0,AJ$13),15-13*ORÇAMENTO!$AF$7)/$H440*OFFSET(ORÇAMENTO!$X$15,ROW(AJ440)-ROW(AJ$15),0),
ROUND(ROUND(OFFSET($P440,0,AJ$13),15-13*ORÇAMENTO!$AF$7)*OFFSET(ORÇAMENTO!$W$15,ROW(AJ440)-ROW(AJ$15),0),15-13*ORÇAMENTO!$AF$11)),0)</f>
        <v>0</v>
      </c>
      <c r="AK440" s="546">
        <f ca="1">IF(AND($D440="Serviço",AK$12&lt;&gt;0,$H440&gt;0,OR(AUTOEVENTO&lt;&gt;"manual",$M440&lt;&gt;1)),
IF(Import.TipoArredondamento&lt;&gt;"TransfereGOV",
ROUND(OFFSET($P440,0,AK$13),15-13*ORÇAMENTO!$AF$7)/$H440*OFFSET(ORÇAMENTO!$X$15,ROW(AK440)-ROW(AK$15),0),
ROUND(ROUND(OFFSET($P440,0,AK$13),15-13*ORÇAMENTO!$AF$7)*OFFSET(ORÇAMENTO!$W$15,ROW(AK440)-ROW(AK$15),0),15-13*ORÇAMENTO!$AF$11)),0)</f>
        <v>0</v>
      </c>
      <c r="AM440" s="181">
        <f ca="1">IF($D440&lt;&gt;"Serviço",0,IF(AND(AUTOEVENTO="Manual",$M440=1),0,IF(OFFSET(CRONOPLE!$F$14,$M440,AM$13)="",10^12,OFFSET(CRONOPLE!$F$14,$M440,AM$13))))</f>
        <v>1000000000000</v>
      </c>
      <c r="AN440" s="181">
        <f ca="1">IF($D440&lt;&gt;"Serviço",0,IF(AND(AUTOEVENTO="Manual",$M440=1),0,IF(OFFSET(CRONOPLE!$F$14,$M440,AN$13)="",10^12,OFFSET(CRONOPLE!$F$14,$M440,AN$13))))</f>
        <v>1000000000000</v>
      </c>
      <c r="AO440" s="181">
        <f ca="1">IF($D440&lt;&gt;"Serviço",0,IF(AND(AUTOEVENTO="Manual",$M440=1),0,IF(OFFSET(CRONOPLE!$F$14,$M440,AO$13)="",10^12,OFFSET(CRONOPLE!$F$14,$M440,AO$13))))</f>
        <v>1000000000000</v>
      </c>
      <c r="AP440" s="181">
        <f ca="1">IF($D440&lt;&gt;"Serviço",0,IF(AND(AUTOEVENTO="Manual",$M440=1),0,IF(OFFSET(CRONOPLE!$F$14,$M440,AP$13)="",10^12,OFFSET(CRONOPLE!$F$14,$M440,AP$13))))</f>
        <v>1000000000000</v>
      </c>
      <c r="AQ440" s="181">
        <f ca="1">IF($D440&lt;&gt;"Serviço",0,IF(AND(AUTOEVENTO="Manual",$M440=1),0,IF(OFFSET(CRONOPLE!$F$14,$M440,AQ$13)="",10^12,OFFSET(CRONOPLE!$F$14,$M440,AQ$13))))</f>
        <v>1000000000000</v>
      </c>
      <c r="AR440" s="181">
        <f ca="1">IF($D440&lt;&gt;"Serviço",0,IF(AND(AUTOEVENTO="Manual",$M440=1),0,IF(OFFSET(CRONOPLE!$F$14,$M440,AR$13)="",10^12,OFFSET(CRONOPLE!$F$14,$M440,AR$13))))</f>
        <v>1000000000000</v>
      </c>
      <c r="AS440" s="181">
        <f ca="1">IF($D440&lt;&gt;"Serviço",0,IF(AND(AUTOEVENTO="Manual",$M440=1),0,IF(OFFSET(CRONOPLE!$F$14,$M440,AS$13)="",10^12,OFFSET(CRONOPLE!$F$14,$M440,AS$13))))</f>
        <v>1000000000000</v>
      </c>
      <c r="AT440" s="181">
        <f ca="1">IF($D440&lt;&gt;"Serviço",0,IF(AND(AUTOEVENTO="Manual",$M440=1),0,IF(OFFSET(CRONOPLE!$F$14,$M440,AT$13)="",10^12,OFFSET(CRONOPLE!$F$14,$M440,AT$13))))</f>
        <v>1000000000000</v>
      </c>
      <c r="AU440" s="181">
        <f ca="1">IF($D440&lt;&gt;"Serviço",0,IF(AND(AUTOEVENTO="Manual",$M440=1),0,IF(OFFSET(CRONOPLE!$F$14,$M440,AU$13)="",10^12,OFFSET(CRONOPLE!$F$14,$M440,AU$13))))</f>
        <v>1000000000000</v>
      </c>
      <c r="AV440" s="181">
        <f ca="1">IF($D440&lt;&gt;"Serviço",0,IF(AND(AUTOEVENTO="Manual",$M440=1),0,IF(OFFSET(CRONOPLE!$F$14,$M440,AV$13)="",10^12,OFFSET(CRONOPLE!$F$14,$M440,AV$13))))</f>
        <v>1000000000000</v>
      </c>
      <c r="AX440" s="182">
        <f ca="1">IF($D440&lt;&gt;"Serviço",0,IF(OR(AND(AUTOEVENTO="Manual",$M440=1),$M440&gt;(ROW(PLE.lastrow)-ROW(PLE.firstrow))),0,IF(OFFSET(PLE!$G$14,$M440,AX$13)="",10^12,OFFSET(PLE!$G$14,$M440,AX$13))))</f>
        <v>1000000000000</v>
      </c>
      <c r="AY440" s="182">
        <f ca="1">IF($D440&lt;&gt;"Serviço",0,IF(OR(AND(AUTOEVENTO="Manual",$M440=1),$M440&gt;(ROW(PLE.lastrow)-ROW(PLE.firstrow))),0,IF(OFFSET(PLE!$G$14,$M440,AY$13)="",10^12,OFFSET(PLE!$G$14,$M440,AY$13))))</f>
        <v>1000000000000</v>
      </c>
      <c r="AZ440" s="182">
        <f ca="1">IF($D440&lt;&gt;"Serviço",0,IF(OR(AND(AUTOEVENTO="Manual",$M440=1),$M440&gt;(ROW(PLE.lastrow)-ROW(PLE.firstrow))),0,IF(OFFSET(PLE!$G$14,$M440,AZ$13)="",10^12,OFFSET(PLE!$G$14,$M440,AZ$13))))</f>
        <v>1000000000000</v>
      </c>
      <c r="BA440" s="182">
        <f ca="1">IF($D440&lt;&gt;"Serviço",0,IF(OR(AND(AUTOEVENTO="Manual",$M440=1),$M440&gt;(ROW(PLE.lastrow)-ROW(PLE.firstrow))),0,IF(OFFSET(PLE!$G$14,$M440,BA$13)="",10^12,OFFSET(PLE!$G$14,$M440,BA$13))))</f>
        <v>1000000000000</v>
      </c>
      <c r="BB440" s="182">
        <f ca="1">IF($D440&lt;&gt;"Serviço",0,IF(OR(AND(AUTOEVENTO="Manual",$M440=1),$M440&gt;(ROW(PLE.lastrow)-ROW(PLE.firstrow))),0,IF(OFFSET(PLE!$G$14,$M440,BB$13)="",10^12,OFFSET(PLE!$G$14,$M440,BB$13))))</f>
        <v>1000000000000</v>
      </c>
      <c r="BC440" s="182">
        <f ca="1">IF($D440&lt;&gt;"Serviço",0,IF(OR(AND(AUTOEVENTO="Manual",$M440=1),$M440&gt;(ROW(PLE.lastrow)-ROW(PLE.firstrow))),0,IF(OFFSET(PLE!$G$14,$M440,BC$13)="",10^12,OFFSET(PLE!$G$14,$M440,BC$13))))</f>
        <v>1000000000000</v>
      </c>
      <c r="BD440" s="182">
        <f ca="1">IF($D440&lt;&gt;"Serviço",0,IF(OR(AND(AUTOEVENTO="Manual",$M440=1),$M440&gt;(ROW(PLE.lastrow)-ROW(PLE.firstrow))),0,IF(OFFSET(PLE!$G$14,$M440,BD$13)="",10^12,OFFSET(PLE!$G$14,$M440,BD$13))))</f>
        <v>1000000000000</v>
      </c>
      <c r="BE440" s="182">
        <f ca="1">IF($D440&lt;&gt;"Serviço",0,IF(OR(AND(AUTOEVENTO="Manual",$M440=1),$M440&gt;(ROW(PLE.lastrow)-ROW(PLE.firstrow))),0,IF(OFFSET(PLE!$G$14,$M440,BE$13)="",10^12,OFFSET(PLE!$G$14,$M440,BE$13))))</f>
        <v>1000000000000</v>
      </c>
      <c r="BF440" s="182">
        <f ca="1">IF($D440&lt;&gt;"Serviço",0,IF(OR(AND(AUTOEVENTO="Manual",$M440=1),$M440&gt;(ROW(PLE.lastrow)-ROW(PLE.firstrow))),0,IF(OFFSET(PLE!$G$14,$M440,BF$13)="",10^12,OFFSET(PLE!$G$14,$M440,BF$13))))</f>
        <v>1000000000000</v>
      </c>
      <c r="BG440" s="182">
        <f ca="1">IF($D440&lt;&gt;"Serviço",0,IF(OR(AND(AUTOEVENTO="Manual",$M440=1),$M440&gt;(ROW(PLE.lastrow)-ROW(PLE.firstrow))),0,IF(OFFSET(PLE!$G$14,$M440,BG$13)="",10^12,OFFSET(PLE!$G$14,$M440,BG$13))))</f>
        <v>1000000000000</v>
      </c>
    </row>
    <row r="441" spans="1:59" ht="25.5" x14ac:dyDescent="0.2">
      <c r="A441" s="7" t="str">
        <f t="shared" ca="1" si="13"/>
        <v>411</v>
      </c>
      <c r="B441" s="7" t="str">
        <f ca="1">OFFSET(ORÇAMENTO!C$15,ROW(B441)-ROW(B$15),0)</f>
        <v>S</v>
      </c>
      <c r="C441" s="7" t="str">
        <f ca="1">OFFSET(ORÇAMENTO!L$15,ROW(C441)-ROW(C$15),0)</f>
        <v/>
      </c>
      <c r="D441" s="118" t="str">
        <f ca="1">OFFSET(ORÇAMENTO!N$15,ROW(D441)-ROW(D$15),0)</f>
        <v>Serviço</v>
      </c>
      <c r="E441" s="119" t="str">
        <f ca="1">OFFSET(ORÇAMENTO!O$15,ROW(E441)-ROW(E$15),0)</f>
        <v>-</v>
      </c>
      <c r="F441" s="172" t="str">
        <f ca="1">OFFSET(ORÇAMENTO!R$15,ROW(F441)-ROW(F$15),0)</f>
        <v>(abra o arquivo 'Referência 02-2025.xlsm)</v>
      </c>
      <c r="G441" s="173" t="str">
        <f ca="1">IF($D441&lt;&gt;"Serviço","",OFFSET(ORÇAMENTO!S$15,ROW(G441)-ROW(G$15),0))</f>
        <v>-</v>
      </c>
      <c r="H441" s="124">
        <f ca="1">IF($D441&lt;&gt;"Serviço",0,IF(ACOMPANHAMENTO="BM",ROUND(OFFSET(ORÇAMENTO!AJ$15,ROW(H441)-ROW(H$15),0),15-13*ORÇAMENTO!$AF$7),SUMPRODUCT(($Q$12:$AA$12&lt;&gt;"")*ROUND($Q441:$AA441,15-13*ORÇAMENTO!$AF$7))))</f>
        <v>1</v>
      </c>
      <c r="I441" s="561" t="s">
        <v>890</v>
      </c>
      <c r="K441" s="174"/>
      <c r="L441" s="175" t="s">
        <v>255</v>
      </c>
      <c r="M441" s="176">
        <f ca="1">IF($D441&lt;&gt;"Serviço","",IF(AUTOEVENTO="manual",$A441,IF(ISERROR(MATCH($A441,$A$15:OFFSET($A441,-1,0),0)),MAX($M$15:OFFSET(M441,-1,0))+1,INDEX($M$15:OFFSET(M441,-1,0),MATCH($A441,$A$15:OFFSET($A441,-1,0),0)))))</f>
        <v>17</v>
      </c>
      <c r="N441" s="177" t="str">
        <f ca="1">IF($D441&lt;&gt;"Serviço","",IF(AUTOEVENTO="Manual",IF($A441=0,"&lt;-- defina o número do agrupador",OFFSET(EVENTOS!$D$14,$A441,0)),OFFSET($F$15,$A441,0)))</f>
        <v>SISTEMA DE PROTEÇÃO CONTRA INCÊNDIO</v>
      </c>
      <c r="O441" s="178"/>
      <c r="Q441" s="178"/>
      <c r="R441" s="179"/>
      <c r="S441" s="179"/>
      <c r="T441" s="179"/>
      <c r="U441" s="179"/>
      <c r="V441" s="179"/>
      <c r="W441" s="179"/>
      <c r="X441" s="179"/>
      <c r="Y441" s="179"/>
      <c r="Z441" s="180"/>
      <c r="AB441" s="544">
        <f ca="1">IF(AND($D441="Serviço",AB$12&lt;&gt;0,$H441&gt;0,OR(AUTOEVENTO&lt;&gt;"manual",$M441&lt;&gt;1)),
IF(Import.TipoArredondamento&lt;&gt;"TransfereGOV",
ROUND(OFFSET($P441,0,AB$13),15-13*ORÇAMENTO!$AF$7)/$H441*OFFSET(ORÇAMENTO!$X$15,ROW(AB441)-ROW(AB$15),0),
ROUND(ROUND(OFFSET($P441,0,AB$13),15-13*ORÇAMENTO!$AF$7)*OFFSET(ORÇAMENTO!$W$15,ROW(AB441)-ROW(AB$15),0),15-13*ORÇAMENTO!$AF$11)),0)</f>
        <v>0</v>
      </c>
      <c r="AC441" s="545">
        <f ca="1">IF(AND($D441="Serviço",AC$12&lt;&gt;0,$H441&gt;0,OR(AUTOEVENTO&lt;&gt;"manual",$M441&lt;&gt;1)),
IF(Import.TipoArredondamento&lt;&gt;"TransfereGOV",
ROUND(OFFSET($P441,0,AC$13),15-13*ORÇAMENTO!$AF$7)/$H441*OFFSET(ORÇAMENTO!$X$15,ROW(AC441)-ROW(AC$15),0),
ROUND(ROUND(OFFSET($P441,0,AC$13),15-13*ORÇAMENTO!$AF$7)*OFFSET(ORÇAMENTO!$W$15,ROW(AC441)-ROW(AC$15),0),15-13*ORÇAMENTO!$AF$11)),0)</f>
        <v>0</v>
      </c>
      <c r="AD441" s="545">
        <f ca="1">IF(AND($D441="Serviço",AD$12&lt;&gt;0,$H441&gt;0,OR(AUTOEVENTO&lt;&gt;"manual",$M441&lt;&gt;1)),
IF(Import.TipoArredondamento&lt;&gt;"TransfereGOV",
ROUND(OFFSET($P441,0,AD$13),15-13*ORÇAMENTO!$AF$7)/$H441*OFFSET(ORÇAMENTO!$X$15,ROW(AD441)-ROW(AD$15),0),
ROUND(ROUND(OFFSET($P441,0,AD$13),15-13*ORÇAMENTO!$AF$7)*OFFSET(ORÇAMENTO!$W$15,ROW(AD441)-ROW(AD$15),0),15-13*ORÇAMENTO!$AF$11)),0)</f>
        <v>0</v>
      </c>
      <c r="AE441" s="545">
        <f ca="1">IF(AND($D441="Serviço",AE$12&lt;&gt;0,$H441&gt;0,OR(AUTOEVENTO&lt;&gt;"manual",$M441&lt;&gt;1)),
IF(Import.TipoArredondamento&lt;&gt;"TransfereGOV",
ROUND(OFFSET($P441,0,AE$13),15-13*ORÇAMENTO!$AF$7)/$H441*OFFSET(ORÇAMENTO!$X$15,ROW(AE441)-ROW(AE$15),0),
ROUND(ROUND(OFFSET($P441,0,AE$13),15-13*ORÇAMENTO!$AF$7)*OFFSET(ORÇAMENTO!$W$15,ROW(AE441)-ROW(AE$15),0),15-13*ORÇAMENTO!$AF$11)),0)</f>
        <v>0</v>
      </c>
      <c r="AF441" s="545">
        <f ca="1">IF(AND($D441="Serviço",AF$12&lt;&gt;0,$H441&gt;0,OR(AUTOEVENTO&lt;&gt;"manual",$M441&lt;&gt;1)),
IF(Import.TipoArredondamento&lt;&gt;"TransfereGOV",
ROUND(OFFSET($P441,0,AF$13),15-13*ORÇAMENTO!$AF$7)/$H441*OFFSET(ORÇAMENTO!$X$15,ROW(AF441)-ROW(AF$15),0),
ROUND(ROUND(OFFSET($P441,0,AF$13),15-13*ORÇAMENTO!$AF$7)*OFFSET(ORÇAMENTO!$W$15,ROW(AF441)-ROW(AF$15),0),15-13*ORÇAMENTO!$AF$11)),0)</f>
        <v>0</v>
      </c>
      <c r="AG441" s="545">
        <f ca="1">IF(AND($D441="Serviço",AG$12&lt;&gt;0,$H441&gt;0,OR(AUTOEVENTO&lt;&gt;"manual",$M441&lt;&gt;1)),
IF(Import.TipoArredondamento&lt;&gt;"TransfereGOV",
ROUND(OFFSET($P441,0,AG$13),15-13*ORÇAMENTO!$AF$7)/$H441*OFFSET(ORÇAMENTO!$X$15,ROW(AG441)-ROW(AG$15),0),
ROUND(ROUND(OFFSET($P441,0,AG$13),15-13*ORÇAMENTO!$AF$7)*OFFSET(ORÇAMENTO!$W$15,ROW(AG441)-ROW(AG$15),0),15-13*ORÇAMENTO!$AF$11)),0)</f>
        <v>0</v>
      </c>
      <c r="AH441" s="545">
        <f ca="1">IF(AND($D441="Serviço",AH$12&lt;&gt;0,$H441&gt;0,OR(AUTOEVENTO&lt;&gt;"manual",$M441&lt;&gt;1)),
IF(Import.TipoArredondamento&lt;&gt;"TransfereGOV",
ROUND(OFFSET($P441,0,AH$13),15-13*ORÇAMENTO!$AF$7)/$H441*OFFSET(ORÇAMENTO!$X$15,ROW(AH441)-ROW(AH$15),0),
ROUND(ROUND(OFFSET($P441,0,AH$13),15-13*ORÇAMENTO!$AF$7)*OFFSET(ORÇAMENTO!$W$15,ROW(AH441)-ROW(AH$15),0),15-13*ORÇAMENTO!$AF$11)),0)</f>
        <v>0</v>
      </c>
      <c r="AI441" s="545">
        <f ca="1">IF(AND($D441="Serviço",AI$12&lt;&gt;0,$H441&gt;0,OR(AUTOEVENTO&lt;&gt;"manual",$M441&lt;&gt;1)),
IF(Import.TipoArredondamento&lt;&gt;"TransfereGOV",
ROUND(OFFSET($P441,0,AI$13),15-13*ORÇAMENTO!$AF$7)/$H441*OFFSET(ORÇAMENTO!$X$15,ROW(AI441)-ROW(AI$15),0),
ROUND(ROUND(OFFSET($P441,0,AI$13),15-13*ORÇAMENTO!$AF$7)*OFFSET(ORÇAMENTO!$W$15,ROW(AI441)-ROW(AI$15),0),15-13*ORÇAMENTO!$AF$11)),0)</f>
        <v>0</v>
      </c>
      <c r="AJ441" s="545">
        <f ca="1">IF(AND($D441="Serviço",AJ$12&lt;&gt;0,$H441&gt;0,OR(AUTOEVENTO&lt;&gt;"manual",$M441&lt;&gt;1)),
IF(Import.TipoArredondamento&lt;&gt;"TransfereGOV",
ROUND(OFFSET($P441,0,AJ$13),15-13*ORÇAMENTO!$AF$7)/$H441*OFFSET(ORÇAMENTO!$X$15,ROW(AJ441)-ROW(AJ$15),0),
ROUND(ROUND(OFFSET($P441,0,AJ$13),15-13*ORÇAMENTO!$AF$7)*OFFSET(ORÇAMENTO!$W$15,ROW(AJ441)-ROW(AJ$15),0),15-13*ORÇAMENTO!$AF$11)),0)</f>
        <v>0</v>
      </c>
      <c r="AK441" s="546">
        <f ca="1">IF(AND($D441="Serviço",AK$12&lt;&gt;0,$H441&gt;0,OR(AUTOEVENTO&lt;&gt;"manual",$M441&lt;&gt;1)),
IF(Import.TipoArredondamento&lt;&gt;"TransfereGOV",
ROUND(OFFSET($P441,0,AK$13),15-13*ORÇAMENTO!$AF$7)/$H441*OFFSET(ORÇAMENTO!$X$15,ROW(AK441)-ROW(AK$15),0),
ROUND(ROUND(OFFSET($P441,0,AK$13),15-13*ORÇAMENTO!$AF$7)*OFFSET(ORÇAMENTO!$W$15,ROW(AK441)-ROW(AK$15),0),15-13*ORÇAMENTO!$AF$11)),0)</f>
        <v>0</v>
      </c>
      <c r="AM441" s="181">
        <f ca="1">IF($D441&lt;&gt;"Serviço",0,IF(AND(AUTOEVENTO="Manual",$M441=1),0,IF(OFFSET(CRONOPLE!$F$14,$M441,AM$13)="",10^12,OFFSET(CRONOPLE!$F$14,$M441,AM$13))))</f>
        <v>1000000000000</v>
      </c>
      <c r="AN441" s="181">
        <f ca="1">IF($D441&lt;&gt;"Serviço",0,IF(AND(AUTOEVENTO="Manual",$M441=1),0,IF(OFFSET(CRONOPLE!$F$14,$M441,AN$13)="",10^12,OFFSET(CRONOPLE!$F$14,$M441,AN$13))))</f>
        <v>1000000000000</v>
      </c>
      <c r="AO441" s="181">
        <f ca="1">IF($D441&lt;&gt;"Serviço",0,IF(AND(AUTOEVENTO="Manual",$M441=1),0,IF(OFFSET(CRONOPLE!$F$14,$M441,AO$13)="",10^12,OFFSET(CRONOPLE!$F$14,$M441,AO$13))))</f>
        <v>1000000000000</v>
      </c>
      <c r="AP441" s="181">
        <f ca="1">IF($D441&lt;&gt;"Serviço",0,IF(AND(AUTOEVENTO="Manual",$M441=1),0,IF(OFFSET(CRONOPLE!$F$14,$M441,AP$13)="",10^12,OFFSET(CRONOPLE!$F$14,$M441,AP$13))))</f>
        <v>1000000000000</v>
      </c>
      <c r="AQ441" s="181">
        <f ca="1">IF($D441&lt;&gt;"Serviço",0,IF(AND(AUTOEVENTO="Manual",$M441=1),0,IF(OFFSET(CRONOPLE!$F$14,$M441,AQ$13)="",10^12,OFFSET(CRONOPLE!$F$14,$M441,AQ$13))))</f>
        <v>1000000000000</v>
      </c>
      <c r="AR441" s="181">
        <f ca="1">IF($D441&lt;&gt;"Serviço",0,IF(AND(AUTOEVENTO="Manual",$M441=1),0,IF(OFFSET(CRONOPLE!$F$14,$M441,AR$13)="",10^12,OFFSET(CRONOPLE!$F$14,$M441,AR$13))))</f>
        <v>1000000000000</v>
      </c>
      <c r="AS441" s="181">
        <f ca="1">IF($D441&lt;&gt;"Serviço",0,IF(AND(AUTOEVENTO="Manual",$M441=1),0,IF(OFFSET(CRONOPLE!$F$14,$M441,AS$13)="",10^12,OFFSET(CRONOPLE!$F$14,$M441,AS$13))))</f>
        <v>1000000000000</v>
      </c>
      <c r="AT441" s="181">
        <f ca="1">IF($D441&lt;&gt;"Serviço",0,IF(AND(AUTOEVENTO="Manual",$M441=1),0,IF(OFFSET(CRONOPLE!$F$14,$M441,AT$13)="",10^12,OFFSET(CRONOPLE!$F$14,$M441,AT$13))))</f>
        <v>1000000000000</v>
      </c>
      <c r="AU441" s="181">
        <f ca="1">IF($D441&lt;&gt;"Serviço",0,IF(AND(AUTOEVENTO="Manual",$M441=1),0,IF(OFFSET(CRONOPLE!$F$14,$M441,AU$13)="",10^12,OFFSET(CRONOPLE!$F$14,$M441,AU$13))))</f>
        <v>1000000000000</v>
      </c>
      <c r="AV441" s="181">
        <f ca="1">IF($D441&lt;&gt;"Serviço",0,IF(AND(AUTOEVENTO="Manual",$M441=1),0,IF(OFFSET(CRONOPLE!$F$14,$M441,AV$13)="",10^12,OFFSET(CRONOPLE!$F$14,$M441,AV$13))))</f>
        <v>1000000000000</v>
      </c>
      <c r="AX441" s="182">
        <f ca="1">IF($D441&lt;&gt;"Serviço",0,IF(OR(AND(AUTOEVENTO="Manual",$M441=1),$M441&gt;(ROW(PLE.lastrow)-ROW(PLE.firstrow))),0,IF(OFFSET(PLE!$G$14,$M441,AX$13)="",10^12,OFFSET(PLE!$G$14,$M441,AX$13))))</f>
        <v>1000000000000</v>
      </c>
      <c r="AY441" s="182">
        <f ca="1">IF($D441&lt;&gt;"Serviço",0,IF(OR(AND(AUTOEVENTO="Manual",$M441=1),$M441&gt;(ROW(PLE.lastrow)-ROW(PLE.firstrow))),0,IF(OFFSET(PLE!$G$14,$M441,AY$13)="",10^12,OFFSET(PLE!$G$14,$M441,AY$13))))</f>
        <v>1000000000000</v>
      </c>
      <c r="AZ441" s="182">
        <f ca="1">IF($D441&lt;&gt;"Serviço",0,IF(OR(AND(AUTOEVENTO="Manual",$M441=1),$M441&gt;(ROW(PLE.lastrow)-ROW(PLE.firstrow))),0,IF(OFFSET(PLE!$G$14,$M441,AZ$13)="",10^12,OFFSET(PLE!$G$14,$M441,AZ$13))))</f>
        <v>1000000000000</v>
      </c>
      <c r="BA441" s="182">
        <f ca="1">IF($D441&lt;&gt;"Serviço",0,IF(OR(AND(AUTOEVENTO="Manual",$M441=1),$M441&gt;(ROW(PLE.lastrow)-ROW(PLE.firstrow))),0,IF(OFFSET(PLE!$G$14,$M441,BA$13)="",10^12,OFFSET(PLE!$G$14,$M441,BA$13))))</f>
        <v>1000000000000</v>
      </c>
      <c r="BB441" s="182">
        <f ca="1">IF($D441&lt;&gt;"Serviço",0,IF(OR(AND(AUTOEVENTO="Manual",$M441=1),$M441&gt;(ROW(PLE.lastrow)-ROW(PLE.firstrow))),0,IF(OFFSET(PLE!$G$14,$M441,BB$13)="",10^12,OFFSET(PLE!$G$14,$M441,BB$13))))</f>
        <v>1000000000000</v>
      </c>
      <c r="BC441" s="182">
        <f ca="1">IF($D441&lt;&gt;"Serviço",0,IF(OR(AND(AUTOEVENTO="Manual",$M441=1),$M441&gt;(ROW(PLE.lastrow)-ROW(PLE.firstrow))),0,IF(OFFSET(PLE!$G$14,$M441,BC$13)="",10^12,OFFSET(PLE!$G$14,$M441,BC$13))))</f>
        <v>1000000000000</v>
      </c>
      <c r="BD441" s="182">
        <f ca="1">IF($D441&lt;&gt;"Serviço",0,IF(OR(AND(AUTOEVENTO="Manual",$M441=1),$M441&gt;(ROW(PLE.lastrow)-ROW(PLE.firstrow))),0,IF(OFFSET(PLE!$G$14,$M441,BD$13)="",10^12,OFFSET(PLE!$G$14,$M441,BD$13))))</f>
        <v>1000000000000</v>
      </c>
      <c r="BE441" s="182">
        <f ca="1">IF($D441&lt;&gt;"Serviço",0,IF(OR(AND(AUTOEVENTO="Manual",$M441=1),$M441&gt;(ROW(PLE.lastrow)-ROW(PLE.firstrow))),0,IF(OFFSET(PLE!$G$14,$M441,BE$13)="",10^12,OFFSET(PLE!$G$14,$M441,BE$13))))</f>
        <v>1000000000000</v>
      </c>
      <c r="BF441" s="182">
        <f ca="1">IF($D441&lt;&gt;"Serviço",0,IF(OR(AND(AUTOEVENTO="Manual",$M441=1),$M441&gt;(ROW(PLE.lastrow)-ROW(PLE.firstrow))),0,IF(OFFSET(PLE!$G$14,$M441,BF$13)="",10^12,OFFSET(PLE!$G$14,$M441,BF$13))))</f>
        <v>1000000000000</v>
      </c>
      <c r="BG441" s="182">
        <f ca="1">IF($D441&lt;&gt;"Serviço",0,IF(OR(AND(AUTOEVENTO="Manual",$M441=1),$M441&gt;(ROW(PLE.lastrow)-ROW(PLE.firstrow))),0,IF(OFFSET(PLE!$G$14,$M441,BG$13)="",10^12,OFFSET(PLE!$G$14,$M441,BG$13))))</f>
        <v>1000000000000</v>
      </c>
    </row>
    <row r="442" spans="1:59" ht="25.5" x14ac:dyDescent="0.2">
      <c r="A442" s="7" t="str">
        <f t="shared" ca="1" si="13"/>
        <v>411</v>
      </c>
      <c r="B442" s="7" t="str">
        <f ca="1">OFFSET(ORÇAMENTO!C$15,ROW(B442)-ROW(B$15),0)</f>
        <v>S</v>
      </c>
      <c r="C442" s="7" t="str">
        <f ca="1">OFFSET(ORÇAMENTO!L$15,ROW(C442)-ROW(C$15),0)</f>
        <v/>
      </c>
      <c r="D442" s="118" t="str">
        <f ca="1">OFFSET(ORÇAMENTO!N$15,ROW(D442)-ROW(D$15),0)</f>
        <v>Serviço</v>
      </c>
      <c r="E442" s="119" t="str">
        <f ca="1">OFFSET(ORÇAMENTO!O$15,ROW(E442)-ROW(E$15),0)</f>
        <v>-</v>
      </c>
      <c r="F442" s="172" t="str">
        <f ca="1">OFFSET(ORÇAMENTO!R$15,ROW(F442)-ROW(F$15),0)</f>
        <v>(abra o arquivo 'Referência 02-2025.xlsm)</v>
      </c>
      <c r="G442" s="173" t="str">
        <f ca="1">IF($D442&lt;&gt;"Serviço","",OFFSET(ORÇAMENTO!S$15,ROW(G442)-ROW(G$15),0))</f>
        <v>-</v>
      </c>
      <c r="H442" s="124">
        <f ca="1">IF($D442&lt;&gt;"Serviço",0,IF(ACOMPANHAMENTO="BM",ROUND(OFFSET(ORÇAMENTO!AJ$15,ROW(H442)-ROW(H$15),0),15-13*ORÇAMENTO!$AF$7),SUMPRODUCT(($Q$12:$AA$12&lt;&gt;"")*ROUND($Q442:$AA442,15-13*ORÇAMENTO!$AF$7))))</f>
        <v>2</v>
      </c>
      <c r="I442" s="561" t="s">
        <v>890</v>
      </c>
      <c r="K442" s="174"/>
      <c r="L442" s="175" t="s">
        <v>255</v>
      </c>
      <c r="M442" s="176">
        <f ca="1">IF($D442&lt;&gt;"Serviço","",IF(AUTOEVENTO="manual",$A442,IF(ISERROR(MATCH($A442,$A$15:OFFSET($A442,-1,0),0)),MAX($M$15:OFFSET(M442,-1,0))+1,INDEX($M$15:OFFSET(M442,-1,0),MATCH($A442,$A$15:OFFSET($A442,-1,0),0)))))</f>
        <v>17</v>
      </c>
      <c r="N442" s="177" t="str">
        <f ca="1">IF($D442&lt;&gt;"Serviço","",IF(AUTOEVENTO="Manual",IF($A442=0,"&lt;-- defina o número do agrupador",OFFSET(EVENTOS!$D$14,$A442,0)),OFFSET($F$15,$A442,0)))</f>
        <v>SISTEMA DE PROTEÇÃO CONTRA INCÊNDIO</v>
      </c>
      <c r="O442" s="178"/>
      <c r="Q442" s="178"/>
      <c r="R442" s="179"/>
      <c r="S442" s="179"/>
      <c r="T442" s="179"/>
      <c r="U442" s="179"/>
      <c r="V442" s="179"/>
      <c r="W442" s="179"/>
      <c r="X442" s="179"/>
      <c r="Y442" s="179"/>
      <c r="Z442" s="180"/>
      <c r="AB442" s="544">
        <f ca="1">IF(AND($D442="Serviço",AB$12&lt;&gt;0,$H442&gt;0,OR(AUTOEVENTO&lt;&gt;"manual",$M442&lt;&gt;1)),
IF(Import.TipoArredondamento&lt;&gt;"TransfereGOV",
ROUND(OFFSET($P442,0,AB$13),15-13*ORÇAMENTO!$AF$7)/$H442*OFFSET(ORÇAMENTO!$X$15,ROW(AB442)-ROW(AB$15),0),
ROUND(ROUND(OFFSET($P442,0,AB$13),15-13*ORÇAMENTO!$AF$7)*OFFSET(ORÇAMENTO!$W$15,ROW(AB442)-ROW(AB$15),0),15-13*ORÇAMENTO!$AF$11)),0)</f>
        <v>0</v>
      </c>
      <c r="AC442" s="545">
        <f ca="1">IF(AND($D442="Serviço",AC$12&lt;&gt;0,$H442&gt;0,OR(AUTOEVENTO&lt;&gt;"manual",$M442&lt;&gt;1)),
IF(Import.TipoArredondamento&lt;&gt;"TransfereGOV",
ROUND(OFFSET($P442,0,AC$13),15-13*ORÇAMENTO!$AF$7)/$H442*OFFSET(ORÇAMENTO!$X$15,ROW(AC442)-ROW(AC$15),0),
ROUND(ROUND(OFFSET($P442,0,AC$13),15-13*ORÇAMENTO!$AF$7)*OFFSET(ORÇAMENTO!$W$15,ROW(AC442)-ROW(AC$15),0),15-13*ORÇAMENTO!$AF$11)),0)</f>
        <v>0</v>
      </c>
      <c r="AD442" s="545">
        <f ca="1">IF(AND($D442="Serviço",AD$12&lt;&gt;0,$H442&gt;0,OR(AUTOEVENTO&lt;&gt;"manual",$M442&lt;&gt;1)),
IF(Import.TipoArredondamento&lt;&gt;"TransfereGOV",
ROUND(OFFSET($P442,0,AD$13),15-13*ORÇAMENTO!$AF$7)/$H442*OFFSET(ORÇAMENTO!$X$15,ROW(AD442)-ROW(AD$15),0),
ROUND(ROUND(OFFSET($P442,0,AD$13),15-13*ORÇAMENTO!$AF$7)*OFFSET(ORÇAMENTO!$W$15,ROW(AD442)-ROW(AD$15),0),15-13*ORÇAMENTO!$AF$11)),0)</f>
        <v>0</v>
      </c>
      <c r="AE442" s="545">
        <f ca="1">IF(AND($D442="Serviço",AE$12&lt;&gt;0,$H442&gt;0,OR(AUTOEVENTO&lt;&gt;"manual",$M442&lt;&gt;1)),
IF(Import.TipoArredondamento&lt;&gt;"TransfereGOV",
ROUND(OFFSET($P442,0,AE$13),15-13*ORÇAMENTO!$AF$7)/$H442*OFFSET(ORÇAMENTO!$X$15,ROW(AE442)-ROW(AE$15),0),
ROUND(ROUND(OFFSET($P442,0,AE$13),15-13*ORÇAMENTO!$AF$7)*OFFSET(ORÇAMENTO!$W$15,ROW(AE442)-ROW(AE$15),0),15-13*ORÇAMENTO!$AF$11)),0)</f>
        <v>0</v>
      </c>
      <c r="AF442" s="545">
        <f ca="1">IF(AND($D442="Serviço",AF$12&lt;&gt;0,$H442&gt;0,OR(AUTOEVENTO&lt;&gt;"manual",$M442&lt;&gt;1)),
IF(Import.TipoArredondamento&lt;&gt;"TransfereGOV",
ROUND(OFFSET($P442,0,AF$13),15-13*ORÇAMENTO!$AF$7)/$H442*OFFSET(ORÇAMENTO!$X$15,ROW(AF442)-ROW(AF$15),0),
ROUND(ROUND(OFFSET($P442,0,AF$13),15-13*ORÇAMENTO!$AF$7)*OFFSET(ORÇAMENTO!$W$15,ROW(AF442)-ROW(AF$15),0),15-13*ORÇAMENTO!$AF$11)),0)</f>
        <v>0</v>
      </c>
      <c r="AG442" s="545">
        <f ca="1">IF(AND($D442="Serviço",AG$12&lt;&gt;0,$H442&gt;0,OR(AUTOEVENTO&lt;&gt;"manual",$M442&lt;&gt;1)),
IF(Import.TipoArredondamento&lt;&gt;"TransfereGOV",
ROUND(OFFSET($P442,0,AG$13),15-13*ORÇAMENTO!$AF$7)/$H442*OFFSET(ORÇAMENTO!$X$15,ROW(AG442)-ROW(AG$15),0),
ROUND(ROUND(OFFSET($P442,0,AG$13),15-13*ORÇAMENTO!$AF$7)*OFFSET(ORÇAMENTO!$W$15,ROW(AG442)-ROW(AG$15),0),15-13*ORÇAMENTO!$AF$11)),0)</f>
        <v>0</v>
      </c>
      <c r="AH442" s="545">
        <f ca="1">IF(AND($D442="Serviço",AH$12&lt;&gt;0,$H442&gt;0,OR(AUTOEVENTO&lt;&gt;"manual",$M442&lt;&gt;1)),
IF(Import.TipoArredondamento&lt;&gt;"TransfereGOV",
ROUND(OFFSET($P442,0,AH$13),15-13*ORÇAMENTO!$AF$7)/$H442*OFFSET(ORÇAMENTO!$X$15,ROW(AH442)-ROW(AH$15),0),
ROUND(ROUND(OFFSET($P442,0,AH$13),15-13*ORÇAMENTO!$AF$7)*OFFSET(ORÇAMENTO!$W$15,ROW(AH442)-ROW(AH$15),0),15-13*ORÇAMENTO!$AF$11)),0)</f>
        <v>0</v>
      </c>
      <c r="AI442" s="545">
        <f ca="1">IF(AND($D442="Serviço",AI$12&lt;&gt;0,$H442&gt;0,OR(AUTOEVENTO&lt;&gt;"manual",$M442&lt;&gt;1)),
IF(Import.TipoArredondamento&lt;&gt;"TransfereGOV",
ROUND(OFFSET($P442,0,AI$13),15-13*ORÇAMENTO!$AF$7)/$H442*OFFSET(ORÇAMENTO!$X$15,ROW(AI442)-ROW(AI$15),0),
ROUND(ROUND(OFFSET($P442,0,AI$13),15-13*ORÇAMENTO!$AF$7)*OFFSET(ORÇAMENTO!$W$15,ROW(AI442)-ROW(AI$15),0),15-13*ORÇAMENTO!$AF$11)),0)</f>
        <v>0</v>
      </c>
      <c r="AJ442" s="545">
        <f ca="1">IF(AND($D442="Serviço",AJ$12&lt;&gt;0,$H442&gt;0,OR(AUTOEVENTO&lt;&gt;"manual",$M442&lt;&gt;1)),
IF(Import.TipoArredondamento&lt;&gt;"TransfereGOV",
ROUND(OFFSET($P442,0,AJ$13),15-13*ORÇAMENTO!$AF$7)/$H442*OFFSET(ORÇAMENTO!$X$15,ROW(AJ442)-ROW(AJ$15),0),
ROUND(ROUND(OFFSET($P442,0,AJ$13),15-13*ORÇAMENTO!$AF$7)*OFFSET(ORÇAMENTO!$W$15,ROW(AJ442)-ROW(AJ$15),0),15-13*ORÇAMENTO!$AF$11)),0)</f>
        <v>0</v>
      </c>
      <c r="AK442" s="546">
        <f ca="1">IF(AND($D442="Serviço",AK$12&lt;&gt;0,$H442&gt;0,OR(AUTOEVENTO&lt;&gt;"manual",$M442&lt;&gt;1)),
IF(Import.TipoArredondamento&lt;&gt;"TransfereGOV",
ROUND(OFFSET($P442,0,AK$13),15-13*ORÇAMENTO!$AF$7)/$H442*OFFSET(ORÇAMENTO!$X$15,ROW(AK442)-ROW(AK$15),0),
ROUND(ROUND(OFFSET($P442,0,AK$13),15-13*ORÇAMENTO!$AF$7)*OFFSET(ORÇAMENTO!$W$15,ROW(AK442)-ROW(AK$15),0),15-13*ORÇAMENTO!$AF$11)),0)</f>
        <v>0</v>
      </c>
      <c r="AM442" s="181">
        <f ca="1">IF($D442&lt;&gt;"Serviço",0,IF(AND(AUTOEVENTO="Manual",$M442=1),0,IF(OFFSET(CRONOPLE!$F$14,$M442,AM$13)="",10^12,OFFSET(CRONOPLE!$F$14,$M442,AM$13))))</f>
        <v>1000000000000</v>
      </c>
      <c r="AN442" s="181">
        <f ca="1">IF($D442&lt;&gt;"Serviço",0,IF(AND(AUTOEVENTO="Manual",$M442=1),0,IF(OFFSET(CRONOPLE!$F$14,$M442,AN$13)="",10^12,OFFSET(CRONOPLE!$F$14,$M442,AN$13))))</f>
        <v>1000000000000</v>
      </c>
      <c r="AO442" s="181">
        <f ca="1">IF($D442&lt;&gt;"Serviço",0,IF(AND(AUTOEVENTO="Manual",$M442=1),0,IF(OFFSET(CRONOPLE!$F$14,$M442,AO$13)="",10^12,OFFSET(CRONOPLE!$F$14,$M442,AO$13))))</f>
        <v>1000000000000</v>
      </c>
      <c r="AP442" s="181">
        <f ca="1">IF($D442&lt;&gt;"Serviço",0,IF(AND(AUTOEVENTO="Manual",$M442=1),0,IF(OFFSET(CRONOPLE!$F$14,$M442,AP$13)="",10^12,OFFSET(CRONOPLE!$F$14,$M442,AP$13))))</f>
        <v>1000000000000</v>
      </c>
      <c r="AQ442" s="181">
        <f ca="1">IF($D442&lt;&gt;"Serviço",0,IF(AND(AUTOEVENTO="Manual",$M442=1),0,IF(OFFSET(CRONOPLE!$F$14,$M442,AQ$13)="",10^12,OFFSET(CRONOPLE!$F$14,$M442,AQ$13))))</f>
        <v>1000000000000</v>
      </c>
      <c r="AR442" s="181">
        <f ca="1">IF($D442&lt;&gt;"Serviço",0,IF(AND(AUTOEVENTO="Manual",$M442=1),0,IF(OFFSET(CRONOPLE!$F$14,$M442,AR$13)="",10^12,OFFSET(CRONOPLE!$F$14,$M442,AR$13))))</f>
        <v>1000000000000</v>
      </c>
      <c r="AS442" s="181">
        <f ca="1">IF($D442&lt;&gt;"Serviço",0,IF(AND(AUTOEVENTO="Manual",$M442=1),0,IF(OFFSET(CRONOPLE!$F$14,$M442,AS$13)="",10^12,OFFSET(CRONOPLE!$F$14,$M442,AS$13))))</f>
        <v>1000000000000</v>
      </c>
      <c r="AT442" s="181">
        <f ca="1">IF($D442&lt;&gt;"Serviço",0,IF(AND(AUTOEVENTO="Manual",$M442=1),0,IF(OFFSET(CRONOPLE!$F$14,$M442,AT$13)="",10^12,OFFSET(CRONOPLE!$F$14,$M442,AT$13))))</f>
        <v>1000000000000</v>
      </c>
      <c r="AU442" s="181">
        <f ca="1">IF($D442&lt;&gt;"Serviço",0,IF(AND(AUTOEVENTO="Manual",$M442=1),0,IF(OFFSET(CRONOPLE!$F$14,$M442,AU$13)="",10^12,OFFSET(CRONOPLE!$F$14,$M442,AU$13))))</f>
        <v>1000000000000</v>
      </c>
      <c r="AV442" s="181">
        <f ca="1">IF($D442&lt;&gt;"Serviço",0,IF(AND(AUTOEVENTO="Manual",$M442=1),0,IF(OFFSET(CRONOPLE!$F$14,$M442,AV$13)="",10^12,OFFSET(CRONOPLE!$F$14,$M442,AV$13))))</f>
        <v>1000000000000</v>
      </c>
      <c r="AX442" s="182">
        <f ca="1">IF($D442&lt;&gt;"Serviço",0,IF(OR(AND(AUTOEVENTO="Manual",$M442=1),$M442&gt;(ROW(PLE.lastrow)-ROW(PLE.firstrow))),0,IF(OFFSET(PLE!$G$14,$M442,AX$13)="",10^12,OFFSET(PLE!$G$14,$M442,AX$13))))</f>
        <v>1000000000000</v>
      </c>
      <c r="AY442" s="182">
        <f ca="1">IF($D442&lt;&gt;"Serviço",0,IF(OR(AND(AUTOEVENTO="Manual",$M442=1),$M442&gt;(ROW(PLE.lastrow)-ROW(PLE.firstrow))),0,IF(OFFSET(PLE!$G$14,$M442,AY$13)="",10^12,OFFSET(PLE!$G$14,$M442,AY$13))))</f>
        <v>1000000000000</v>
      </c>
      <c r="AZ442" s="182">
        <f ca="1">IF($D442&lt;&gt;"Serviço",0,IF(OR(AND(AUTOEVENTO="Manual",$M442=1),$M442&gt;(ROW(PLE.lastrow)-ROW(PLE.firstrow))),0,IF(OFFSET(PLE!$G$14,$M442,AZ$13)="",10^12,OFFSET(PLE!$G$14,$M442,AZ$13))))</f>
        <v>1000000000000</v>
      </c>
      <c r="BA442" s="182">
        <f ca="1">IF($D442&lt;&gt;"Serviço",0,IF(OR(AND(AUTOEVENTO="Manual",$M442=1),$M442&gt;(ROW(PLE.lastrow)-ROW(PLE.firstrow))),0,IF(OFFSET(PLE!$G$14,$M442,BA$13)="",10^12,OFFSET(PLE!$G$14,$M442,BA$13))))</f>
        <v>1000000000000</v>
      </c>
      <c r="BB442" s="182">
        <f ca="1">IF($D442&lt;&gt;"Serviço",0,IF(OR(AND(AUTOEVENTO="Manual",$M442=1),$M442&gt;(ROW(PLE.lastrow)-ROW(PLE.firstrow))),0,IF(OFFSET(PLE!$G$14,$M442,BB$13)="",10^12,OFFSET(PLE!$G$14,$M442,BB$13))))</f>
        <v>1000000000000</v>
      </c>
      <c r="BC442" s="182">
        <f ca="1">IF($D442&lt;&gt;"Serviço",0,IF(OR(AND(AUTOEVENTO="Manual",$M442=1),$M442&gt;(ROW(PLE.lastrow)-ROW(PLE.firstrow))),0,IF(OFFSET(PLE!$G$14,$M442,BC$13)="",10^12,OFFSET(PLE!$G$14,$M442,BC$13))))</f>
        <v>1000000000000</v>
      </c>
      <c r="BD442" s="182">
        <f ca="1">IF($D442&lt;&gt;"Serviço",0,IF(OR(AND(AUTOEVENTO="Manual",$M442=1),$M442&gt;(ROW(PLE.lastrow)-ROW(PLE.firstrow))),0,IF(OFFSET(PLE!$G$14,$M442,BD$13)="",10^12,OFFSET(PLE!$G$14,$M442,BD$13))))</f>
        <v>1000000000000</v>
      </c>
      <c r="BE442" s="182">
        <f ca="1">IF($D442&lt;&gt;"Serviço",0,IF(OR(AND(AUTOEVENTO="Manual",$M442=1),$M442&gt;(ROW(PLE.lastrow)-ROW(PLE.firstrow))),0,IF(OFFSET(PLE!$G$14,$M442,BE$13)="",10^12,OFFSET(PLE!$G$14,$M442,BE$13))))</f>
        <v>1000000000000</v>
      </c>
      <c r="BF442" s="182">
        <f ca="1">IF($D442&lt;&gt;"Serviço",0,IF(OR(AND(AUTOEVENTO="Manual",$M442=1),$M442&gt;(ROW(PLE.lastrow)-ROW(PLE.firstrow))),0,IF(OFFSET(PLE!$G$14,$M442,BF$13)="",10^12,OFFSET(PLE!$G$14,$M442,BF$13))))</f>
        <v>1000000000000</v>
      </c>
      <c r="BG442" s="182">
        <f ca="1">IF($D442&lt;&gt;"Serviço",0,IF(OR(AND(AUTOEVENTO="Manual",$M442=1),$M442&gt;(ROW(PLE.lastrow)-ROW(PLE.firstrow))),0,IF(OFFSET(PLE!$G$14,$M442,BG$13)="",10^12,OFFSET(PLE!$G$14,$M442,BG$13))))</f>
        <v>1000000000000</v>
      </c>
    </row>
    <row r="443" spans="1:59" ht="25.5" x14ac:dyDescent="0.2">
      <c r="A443" s="7" t="str">
        <f t="shared" ca="1" si="13"/>
        <v>411</v>
      </c>
      <c r="B443" s="7" t="str">
        <f ca="1">OFFSET(ORÇAMENTO!C$15,ROW(B443)-ROW(B$15),0)</f>
        <v>S</v>
      </c>
      <c r="C443" s="7" t="str">
        <f ca="1">OFFSET(ORÇAMENTO!L$15,ROW(C443)-ROW(C$15),0)</f>
        <v/>
      </c>
      <c r="D443" s="118" t="str">
        <f ca="1">OFFSET(ORÇAMENTO!N$15,ROW(D443)-ROW(D$15),0)</f>
        <v>Serviço</v>
      </c>
      <c r="E443" s="119" t="str">
        <f ca="1">OFFSET(ORÇAMENTO!O$15,ROW(E443)-ROW(E$15),0)</f>
        <v>-</v>
      </c>
      <c r="F443" s="172" t="str">
        <f ca="1">OFFSET(ORÇAMENTO!R$15,ROW(F443)-ROW(F$15),0)</f>
        <v>(abra o arquivo 'Referência 02-2025.xlsm)</v>
      </c>
      <c r="G443" s="173" t="str">
        <f ca="1">IF($D443&lt;&gt;"Serviço","",OFFSET(ORÇAMENTO!S$15,ROW(G443)-ROW(G$15),0))</f>
        <v>-</v>
      </c>
      <c r="H443" s="124">
        <f ca="1">IF($D443&lt;&gt;"Serviço",0,IF(ACOMPANHAMENTO="BM",ROUND(OFFSET(ORÇAMENTO!AJ$15,ROW(H443)-ROW(H$15),0),15-13*ORÇAMENTO!$AF$7),SUMPRODUCT(($Q$12:$AA$12&lt;&gt;"")*ROUND($Q443:$AA443,15-13*ORÇAMENTO!$AF$7))))</f>
        <v>2</v>
      </c>
      <c r="I443" s="561" t="s">
        <v>890</v>
      </c>
      <c r="K443" s="174"/>
      <c r="L443" s="175" t="s">
        <v>255</v>
      </c>
      <c r="M443" s="176">
        <f ca="1">IF($D443&lt;&gt;"Serviço","",IF(AUTOEVENTO="manual",$A443,IF(ISERROR(MATCH($A443,$A$15:OFFSET($A443,-1,0),0)),MAX($M$15:OFFSET(M443,-1,0))+1,INDEX($M$15:OFFSET(M443,-1,0),MATCH($A443,$A$15:OFFSET($A443,-1,0),0)))))</f>
        <v>17</v>
      </c>
      <c r="N443" s="177" t="str">
        <f ca="1">IF($D443&lt;&gt;"Serviço","",IF(AUTOEVENTO="Manual",IF($A443=0,"&lt;-- defina o número do agrupador",OFFSET(EVENTOS!$D$14,$A443,0)),OFFSET($F$15,$A443,0)))</f>
        <v>SISTEMA DE PROTEÇÃO CONTRA INCÊNDIO</v>
      </c>
      <c r="O443" s="178"/>
      <c r="Q443" s="178"/>
      <c r="R443" s="179"/>
      <c r="S443" s="179"/>
      <c r="T443" s="179"/>
      <c r="U443" s="179"/>
      <c r="V443" s="179"/>
      <c r="W443" s="179"/>
      <c r="X443" s="179"/>
      <c r="Y443" s="179"/>
      <c r="Z443" s="180"/>
      <c r="AB443" s="544">
        <f ca="1">IF(AND($D443="Serviço",AB$12&lt;&gt;0,$H443&gt;0,OR(AUTOEVENTO&lt;&gt;"manual",$M443&lt;&gt;1)),
IF(Import.TipoArredondamento&lt;&gt;"TransfereGOV",
ROUND(OFFSET($P443,0,AB$13),15-13*ORÇAMENTO!$AF$7)/$H443*OFFSET(ORÇAMENTO!$X$15,ROW(AB443)-ROW(AB$15),0),
ROUND(ROUND(OFFSET($P443,0,AB$13),15-13*ORÇAMENTO!$AF$7)*OFFSET(ORÇAMENTO!$W$15,ROW(AB443)-ROW(AB$15),0),15-13*ORÇAMENTO!$AF$11)),0)</f>
        <v>0</v>
      </c>
      <c r="AC443" s="545">
        <f ca="1">IF(AND($D443="Serviço",AC$12&lt;&gt;0,$H443&gt;0,OR(AUTOEVENTO&lt;&gt;"manual",$M443&lt;&gt;1)),
IF(Import.TipoArredondamento&lt;&gt;"TransfereGOV",
ROUND(OFFSET($P443,0,AC$13),15-13*ORÇAMENTO!$AF$7)/$H443*OFFSET(ORÇAMENTO!$X$15,ROW(AC443)-ROW(AC$15),0),
ROUND(ROUND(OFFSET($P443,0,AC$13),15-13*ORÇAMENTO!$AF$7)*OFFSET(ORÇAMENTO!$W$15,ROW(AC443)-ROW(AC$15),0),15-13*ORÇAMENTO!$AF$11)),0)</f>
        <v>0</v>
      </c>
      <c r="AD443" s="545">
        <f ca="1">IF(AND($D443="Serviço",AD$12&lt;&gt;0,$H443&gt;0,OR(AUTOEVENTO&lt;&gt;"manual",$M443&lt;&gt;1)),
IF(Import.TipoArredondamento&lt;&gt;"TransfereGOV",
ROUND(OFFSET($P443,0,AD$13),15-13*ORÇAMENTO!$AF$7)/$H443*OFFSET(ORÇAMENTO!$X$15,ROW(AD443)-ROW(AD$15),0),
ROUND(ROUND(OFFSET($P443,0,AD$13),15-13*ORÇAMENTO!$AF$7)*OFFSET(ORÇAMENTO!$W$15,ROW(AD443)-ROW(AD$15),0),15-13*ORÇAMENTO!$AF$11)),0)</f>
        <v>0</v>
      </c>
      <c r="AE443" s="545">
        <f ca="1">IF(AND($D443="Serviço",AE$12&lt;&gt;0,$H443&gt;0,OR(AUTOEVENTO&lt;&gt;"manual",$M443&lt;&gt;1)),
IF(Import.TipoArredondamento&lt;&gt;"TransfereGOV",
ROUND(OFFSET($P443,0,AE$13),15-13*ORÇAMENTO!$AF$7)/$H443*OFFSET(ORÇAMENTO!$X$15,ROW(AE443)-ROW(AE$15),0),
ROUND(ROUND(OFFSET($P443,0,AE$13),15-13*ORÇAMENTO!$AF$7)*OFFSET(ORÇAMENTO!$W$15,ROW(AE443)-ROW(AE$15),0),15-13*ORÇAMENTO!$AF$11)),0)</f>
        <v>0</v>
      </c>
      <c r="AF443" s="545">
        <f ca="1">IF(AND($D443="Serviço",AF$12&lt;&gt;0,$H443&gt;0,OR(AUTOEVENTO&lt;&gt;"manual",$M443&lt;&gt;1)),
IF(Import.TipoArredondamento&lt;&gt;"TransfereGOV",
ROUND(OFFSET($P443,0,AF$13),15-13*ORÇAMENTO!$AF$7)/$H443*OFFSET(ORÇAMENTO!$X$15,ROW(AF443)-ROW(AF$15),0),
ROUND(ROUND(OFFSET($P443,0,AF$13),15-13*ORÇAMENTO!$AF$7)*OFFSET(ORÇAMENTO!$W$15,ROW(AF443)-ROW(AF$15),0),15-13*ORÇAMENTO!$AF$11)),0)</f>
        <v>0</v>
      </c>
      <c r="AG443" s="545">
        <f ca="1">IF(AND($D443="Serviço",AG$12&lt;&gt;0,$H443&gt;0,OR(AUTOEVENTO&lt;&gt;"manual",$M443&lt;&gt;1)),
IF(Import.TipoArredondamento&lt;&gt;"TransfereGOV",
ROUND(OFFSET($P443,0,AG$13),15-13*ORÇAMENTO!$AF$7)/$H443*OFFSET(ORÇAMENTO!$X$15,ROW(AG443)-ROW(AG$15),0),
ROUND(ROUND(OFFSET($P443,0,AG$13),15-13*ORÇAMENTO!$AF$7)*OFFSET(ORÇAMENTO!$W$15,ROW(AG443)-ROW(AG$15),0),15-13*ORÇAMENTO!$AF$11)),0)</f>
        <v>0</v>
      </c>
      <c r="AH443" s="545">
        <f ca="1">IF(AND($D443="Serviço",AH$12&lt;&gt;0,$H443&gt;0,OR(AUTOEVENTO&lt;&gt;"manual",$M443&lt;&gt;1)),
IF(Import.TipoArredondamento&lt;&gt;"TransfereGOV",
ROUND(OFFSET($P443,0,AH$13),15-13*ORÇAMENTO!$AF$7)/$H443*OFFSET(ORÇAMENTO!$X$15,ROW(AH443)-ROW(AH$15),0),
ROUND(ROUND(OFFSET($P443,0,AH$13),15-13*ORÇAMENTO!$AF$7)*OFFSET(ORÇAMENTO!$W$15,ROW(AH443)-ROW(AH$15),0),15-13*ORÇAMENTO!$AF$11)),0)</f>
        <v>0</v>
      </c>
      <c r="AI443" s="545">
        <f ca="1">IF(AND($D443="Serviço",AI$12&lt;&gt;0,$H443&gt;0,OR(AUTOEVENTO&lt;&gt;"manual",$M443&lt;&gt;1)),
IF(Import.TipoArredondamento&lt;&gt;"TransfereGOV",
ROUND(OFFSET($P443,0,AI$13),15-13*ORÇAMENTO!$AF$7)/$H443*OFFSET(ORÇAMENTO!$X$15,ROW(AI443)-ROW(AI$15),0),
ROUND(ROUND(OFFSET($P443,0,AI$13),15-13*ORÇAMENTO!$AF$7)*OFFSET(ORÇAMENTO!$W$15,ROW(AI443)-ROW(AI$15),0),15-13*ORÇAMENTO!$AF$11)),0)</f>
        <v>0</v>
      </c>
      <c r="AJ443" s="545">
        <f ca="1">IF(AND($D443="Serviço",AJ$12&lt;&gt;0,$H443&gt;0,OR(AUTOEVENTO&lt;&gt;"manual",$M443&lt;&gt;1)),
IF(Import.TipoArredondamento&lt;&gt;"TransfereGOV",
ROUND(OFFSET($P443,0,AJ$13),15-13*ORÇAMENTO!$AF$7)/$H443*OFFSET(ORÇAMENTO!$X$15,ROW(AJ443)-ROW(AJ$15),0),
ROUND(ROUND(OFFSET($P443,0,AJ$13),15-13*ORÇAMENTO!$AF$7)*OFFSET(ORÇAMENTO!$W$15,ROW(AJ443)-ROW(AJ$15),0),15-13*ORÇAMENTO!$AF$11)),0)</f>
        <v>0</v>
      </c>
      <c r="AK443" s="546">
        <f ca="1">IF(AND($D443="Serviço",AK$12&lt;&gt;0,$H443&gt;0,OR(AUTOEVENTO&lt;&gt;"manual",$M443&lt;&gt;1)),
IF(Import.TipoArredondamento&lt;&gt;"TransfereGOV",
ROUND(OFFSET($P443,0,AK$13),15-13*ORÇAMENTO!$AF$7)/$H443*OFFSET(ORÇAMENTO!$X$15,ROW(AK443)-ROW(AK$15),0),
ROUND(ROUND(OFFSET($P443,0,AK$13),15-13*ORÇAMENTO!$AF$7)*OFFSET(ORÇAMENTO!$W$15,ROW(AK443)-ROW(AK$15),0),15-13*ORÇAMENTO!$AF$11)),0)</f>
        <v>0</v>
      </c>
      <c r="AM443" s="181">
        <f ca="1">IF($D443&lt;&gt;"Serviço",0,IF(AND(AUTOEVENTO="Manual",$M443=1),0,IF(OFFSET(CRONOPLE!$F$14,$M443,AM$13)="",10^12,OFFSET(CRONOPLE!$F$14,$M443,AM$13))))</f>
        <v>1000000000000</v>
      </c>
      <c r="AN443" s="181">
        <f ca="1">IF($D443&lt;&gt;"Serviço",0,IF(AND(AUTOEVENTO="Manual",$M443=1),0,IF(OFFSET(CRONOPLE!$F$14,$M443,AN$13)="",10^12,OFFSET(CRONOPLE!$F$14,$M443,AN$13))))</f>
        <v>1000000000000</v>
      </c>
      <c r="AO443" s="181">
        <f ca="1">IF($D443&lt;&gt;"Serviço",0,IF(AND(AUTOEVENTO="Manual",$M443=1),0,IF(OFFSET(CRONOPLE!$F$14,$M443,AO$13)="",10^12,OFFSET(CRONOPLE!$F$14,$M443,AO$13))))</f>
        <v>1000000000000</v>
      </c>
      <c r="AP443" s="181">
        <f ca="1">IF($D443&lt;&gt;"Serviço",0,IF(AND(AUTOEVENTO="Manual",$M443=1),0,IF(OFFSET(CRONOPLE!$F$14,$M443,AP$13)="",10^12,OFFSET(CRONOPLE!$F$14,$M443,AP$13))))</f>
        <v>1000000000000</v>
      </c>
      <c r="AQ443" s="181">
        <f ca="1">IF($D443&lt;&gt;"Serviço",0,IF(AND(AUTOEVENTO="Manual",$M443=1),0,IF(OFFSET(CRONOPLE!$F$14,$M443,AQ$13)="",10^12,OFFSET(CRONOPLE!$F$14,$M443,AQ$13))))</f>
        <v>1000000000000</v>
      </c>
      <c r="AR443" s="181">
        <f ca="1">IF($D443&lt;&gt;"Serviço",0,IF(AND(AUTOEVENTO="Manual",$M443=1),0,IF(OFFSET(CRONOPLE!$F$14,$M443,AR$13)="",10^12,OFFSET(CRONOPLE!$F$14,$M443,AR$13))))</f>
        <v>1000000000000</v>
      </c>
      <c r="AS443" s="181">
        <f ca="1">IF($D443&lt;&gt;"Serviço",0,IF(AND(AUTOEVENTO="Manual",$M443=1),0,IF(OFFSET(CRONOPLE!$F$14,$M443,AS$13)="",10^12,OFFSET(CRONOPLE!$F$14,$M443,AS$13))))</f>
        <v>1000000000000</v>
      </c>
      <c r="AT443" s="181">
        <f ca="1">IF($D443&lt;&gt;"Serviço",0,IF(AND(AUTOEVENTO="Manual",$M443=1),0,IF(OFFSET(CRONOPLE!$F$14,$M443,AT$13)="",10^12,OFFSET(CRONOPLE!$F$14,$M443,AT$13))))</f>
        <v>1000000000000</v>
      </c>
      <c r="AU443" s="181">
        <f ca="1">IF($D443&lt;&gt;"Serviço",0,IF(AND(AUTOEVENTO="Manual",$M443=1),0,IF(OFFSET(CRONOPLE!$F$14,$M443,AU$13)="",10^12,OFFSET(CRONOPLE!$F$14,$M443,AU$13))))</f>
        <v>1000000000000</v>
      </c>
      <c r="AV443" s="181">
        <f ca="1">IF($D443&lt;&gt;"Serviço",0,IF(AND(AUTOEVENTO="Manual",$M443=1),0,IF(OFFSET(CRONOPLE!$F$14,$M443,AV$13)="",10^12,OFFSET(CRONOPLE!$F$14,$M443,AV$13))))</f>
        <v>1000000000000</v>
      </c>
      <c r="AX443" s="182">
        <f ca="1">IF($D443&lt;&gt;"Serviço",0,IF(OR(AND(AUTOEVENTO="Manual",$M443=1),$M443&gt;(ROW(PLE.lastrow)-ROW(PLE.firstrow))),0,IF(OFFSET(PLE!$G$14,$M443,AX$13)="",10^12,OFFSET(PLE!$G$14,$M443,AX$13))))</f>
        <v>1000000000000</v>
      </c>
      <c r="AY443" s="182">
        <f ca="1">IF($D443&lt;&gt;"Serviço",0,IF(OR(AND(AUTOEVENTO="Manual",$M443=1),$M443&gt;(ROW(PLE.lastrow)-ROW(PLE.firstrow))),0,IF(OFFSET(PLE!$G$14,$M443,AY$13)="",10^12,OFFSET(PLE!$G$14,$M443,AY$13))))</f>
        <v>1000000000000</v>
      </c>
      <c r="AZ443" s="182">
        <f ca="1">IF($D443&lt;&gt;"Serviço",0,IF(OR(AND(AUTOEVENTO="Manual",$M443=1),$M443&gt;(ROW(PLE.lastrow)-ROW(PLE.firstrow))),0,IF(OFFSET(PLE!$G$14,$M443,AZ$13)="",10^12,OFFSET(PLE!$G$14,$M443,AZ$13))))</f>
        <v>1000000000000</v>
      </c>
      <c r="BA443" s="182">
        <f ca="1">IF($D443&lt;&gt;"Serviço",0,IF(OR(AND(AUTOEVENTO="Manual",$M443=1),$M443&gt;(ROW(PLE.lastrow)-ROW(PLE.firstrow))),0,IF(OFFSET(PLE!$G$14,$M443,BA$13)="",10^12,OFFSET(PLE!$G$14,$M443,BA$13))))</f>
        <v>1000000000000</v>
      </c>
      <c r="BB443" s="182">
        <f ca="1">IF($D443&lt;&gt;"Serviço",0,IF(OR(AND(AUTOEVENTO="Manual",$M443=1),$M443&gt;(ROW(PLE.lastrow)-ROW(PLE.firstrow))),0,IF(OFFSET(PLE!$G$14,$M443,BB$13)="",10^12,OFFSET(PLE!$G$14,$M443,BB$13))))</f>
        <v>1000000000000</v>
      </c>
      <c r="BC443" s="182">
        <f ca="1">IF($D443&lt;&gt;"Serviço",0,IF(OR(AND(AUTOEVENTO="Manual",$M443=1),$M443&gt;(ROW(PLE.lastrow)-ROW(PLE.firstrow))),0,IF(OFFSET(PLE!$G$14,$M443,BC$13)="",10^12,OFFSET(PLE!$G$14,$M443,BC$13))))</f>
        <v>1000000000000</v>
      </c>
      <c r="BD443" s="182">
        <f ca="1">IF($D443&lt;&gt;"Serviço",0,IF(OR(AND(AUTOEVENTO="Manual",$M443=1),$M443&gt;(ROW(PLE.lastrow)-ROW(PLE.firstrow))),0,IF(OFFSET(PLE!$G$14,$M443,BD$13)="",10^12,OFFSET(PLE!$G$14,$M443,BD$13))))</f>
        <v>1000000000000</v>
      </c>
      <c r="BE443" s="182">
        <f ca="1">IF($D443&lt;&gt;"Serviço",0,IF(OR(AND(AUTOEVENTO="Manual",$M443=1),$M443&gt;(ROW(PLE.lastrow)-ROW(PLE.firstrow))),0,IF(OFFSET(PLE!$G$14,$M443,BE$13)="",10^12,OFFSET(PLE!$G$14,$M443,BE$13))))</f>
        <v>1000000000000</v>
      </c>
      <c r="BF443" s="182">
        <f ca="1">IF($D443&lt;&gt;"Serviço",0,IF(OR(AND(AUTOEVENTO="Manual",$M443=1),$M443&gt;(ROW(PLE.lastrow)-ROW(PLE.firstrow))),0,IF(OFFSET(PLE!$G$14,$M443,BF$13)="",10^12,OFFSET(PLE!$G$14,$M443,BF$13))))</f>
        <v>1000000000000</v>
      </c>
      <c r="BG443" s="182">
        <f ca="1">IF($D443&lt;&gt;"Serviço",0,IF(OR(AND(AUTOEVENTO="Manual",$M443=1),$M443&gt;(ROW(PLE.lastrow)-ROW(PLE.firstrow))),0,IF(OFFSET(PLE!$G$14,$M443,BG$13)="",10^12,OFFSET(PLE!$G$14,$M443,BG$13))))</f>
        <v>1000000000000</v>
      </c>
    </row>
    <row r="444" spans="1:59" ht="25.5" x14ac:dyDescent="0.2">
      <c r="A444" s="7" t="str">
        <f t="shared" ca="1" si="13"/>
        <v>411</v>
      </c>
      <c r="B444" s="7" t="str">
        <f ca="1">OFFSET(ORÇAMENTO!C$15,ROW(B444)-ROW(B$15),0)</f>
        <v>S</v>
      </c>
      <c r="C444" s="7" t="str">
        <f ca="1">OFFSET(ORÇAMENTO!L$15,ROW(C444)-ROW(C$15),0)</f>
        <v/>
      </c>
      <c r="D444" s="118" t="str">
        <f ca="1">OFFSET(ORÇAMENTO!N$15,ROW(D444)-ROW(D$15),0)</f>
        <v>Serviço</v>
      </c>
      <c r="E444" s="119" t="str">
        <f ca="1">OFFSET(ORÇAMENTO!O$15,ROW(E444)-ROW(E$15),0)</f>
        <v>-</v>
      </c>
      <c r="F444" s="172" t="str">
        <f ca="1">OFFSET(ORÇAMENTO!R$15,ROW(F444)-ROW(F$15),0)</f>
        <v>(abra o arquivo 'Referência 02-2025.xlsm)</v>
      </c>
      <c r="G444" s="173" t="str">
        <f ca="1">IF($D444&lt;&gt;"Serviço","",OFFSET(ORÇAMENTO!S$15,ROW(G444)-ROW(G$15),0))</f>
        <v>-</v>
      </c>
      <c r="H444" s="124">
        <f ca="1">IF($D444&lt;&gt;"Serviço",0,IF(ACOMPANHAMENTO="BM",ROUND(OFFSET(ORÇAMENTO!AJ$15,ROW(H444)-ROW(H$15),0),15-13*ORÇAMENTO!$AF$7),SUMPRODUCT(($Q$12:$AA$12&lt;&gt;"")*ROUND($Q444:$AA444,15-13*ORÇAMENTO!$AF$7))))</f>
        <v>3</v>
      </c>
      <c r="I444" s="561" t="s">
        <v>890</v>
      </c>
      <c r="K444" s="174"/>
      <c r="L444" s="175" t="s">
        <v>255</v>
      </c>
      <c r="M444" s="176">
        <f ca="1">IF($D444&lt;&gt;"Serviço","",IF(AUTOEVENTO="manual",$A444,IF(ISERROR(MATCH($A444,$A$15:OFFSET($A444,-1,0),0)),MAX($M$15:OFFSET(M444,-1,0))+1,INDEX($M$15:OFFSET(M444,-1,0),MATCH($A444,$A$15:OFFSET($A444,-1,0),0)))))</f>
        <v>17</v>
      </c>
      <c r="N444" s="177" t="str">
        <f ca="1">IF($D444&lt;&gt;"Serviço","",IF(AUTOEVENTO="Manual",IF($A444=0,"&lt;-- defina o número do agrupador",OFFSET(EVENTOS!$D$14,$A444,0)),OFFSET($F$15,$A444,0)))</f>
        <v>SISTEMA DE PROTEÇÃO CONTRA INCÊNDIO</v>
      </c>
      <c r="O444" s="178"/>
      <c r="Q444" s="178"/>
      <c r="R444" s="179"/>
      <c r="S444" s="179"/>
      <c r="T444" s="179"/>
      <c r="U444" s="179"/>
      <c r="V444" s="179"/>
      <c r="W444" s="179"/>
      <c r="X444" s="179"/>
      <c r="Y444" s="179"/>
      <c r="Z444" s="180"/>
      <c r="AB444" s="544">
        <f ca="1">IF(AND($D444="Serviço",AB$12&lt;&gt;0,$H444&gt;0,OR(AUTOEVENTO&lt;&gt;"manual",$M444&lt;&gt;1)),
IF(Import.TipoArredondamento&lt;&gt;"TransfereGOV",
ROUND(OFFSET($P444,0,AB$13),15-13*ORÇAMENTO!$AF$7)/$H444*OFFSET(ORÇAMENTO!$X$15,ROW(AB444)-ROW(AB$15),0),
ROUND(ROUND(OFFSET($P444,0,AB$13),15-13*ORÇAMENTO!$AF$7)*OFFSET(ORÇAMENTO!$W$15,ROW(AB444)-ROW(AB$15),0),15-13*ORÇAMENTO!$AF$11)),0)</f>
        <v>0</v>
      </c>
      <c r="AC444" s="545">
        <f ca="1">IF(AND($D444="Serviço",AC$12&lt;&gt;0,$H444&gt;0,OR(AUTOEVENTO&lt;&gt;"manual",$M444&lt;&gt;1)),
IF(Import.TipoArredondamento&lt;&gt;"TransfereGOV",
ROUND(OFFSET($P444,0,AC$13),15-13*ORÇAMENTO!$AF$7)/$H444*OFFSET(ORÇAMENTO!$X$15,ROW(AC444)-ROW(AC$15),0),
ROUND(ROUND(OFFSET($P444,0,AC$13),15-13*ORÇAMENTO!$AF$7)*OFFSET(ORÇAMENTO!$W$15,ROW(AC444)-ROW(AC$15),0),15-13*ORÇAMENTO!$AF$11)),0)</f>
        <v>0</v>
      </c>
      <c r="AD444" s="545">
        <f ca="1">IF(AND($D444="Serviço",AD$12&lt;&gt;0,$H444&gt;0,OR(AUTOEVENTO&lt;&gt;"manual",$M444&lt;&gt;1)),
IF(Import.TipoArredondamento&lt;&gt;"TransfereGOV",
ROUND(OFFSET($P444,0,AD$13),15-13*ORÇAMENTO!$AF$7)/$H444*OFFSET(ORÇAMENTO!$X$15,ROW(AD444)-ROW(AD$15),0),
ROUND(ROUND(OFFSET($P444,0,AD$13),15-13*ORÇAMENTO!$AF$7)*OFFSET(ORÇAMENTO!$W$15,ROW(AD444)-ROW(AD$15),0),15-13*ORÇAMENTO!$AF$11)),0)</f>
        <v>0</v>
      </c>
      <c r="AE444" s="545">
        <f ca="1">IF(AND($D444="Serviço",AE$12&lt;&gt;0,$H444&gt;0,OR(AUTOEVENTO&lt;&gt;"manual",$M444&lt;&gt;1)),
IF(Import.TipoArredondamento&lt;&gt;"TransfereGOV",
ROUND(OFFSET($P444,0,AE$13),15-13*ORÇAMENTO!$AF$7)/$H444*OFFSET(ORÇAMENTO!$X$15,ROW(AE444)-ROW(AE$15),0),
ROUND(ROUND(OFFSET($P444,0,AE$13),15-13*ORÇAMENTO!$AF$7)*OFFSET(ORÇAMENTO!$W$15,ROW(AE444)-ROW(AE$15),0),15-13*ORÇAMENTO!$AF$11)),0)</f>
        <v>0</v>
      </c>
      <c r="AF444" s="545">
        <f ca="1">IF(AND($D444="Serviço",AF$12&lt;&gt;0,$H444&gt;0,OR(AUTOEVENTO&lt;&gt;"manual",$M444&lt;&gt;1)),
IF(Import.TipoArredondamento&lt;&gt;"TransfereGOV",
ROUND(OFFSET($P444,0,AF$13),15-13*ORÇAMENTO!$AF$7)/$H444*OFFSET(ORÇAMENTO!$X$15,ROW(AF444)-ROW(AF$15),0),
ROUND(ROUND(OFFSET($P444,0,AF$13),15-13*ORÇAMENTO!$AF$7)*OFFSET(ORÇAMENTO!$W$15,ROW(AF444)-ROW(AF$15),0),15-13*ORÇAMENTO!$AF$11)),0)</f>
        <v>0</v>
      </c>
      <c r="AG444" s="545">
        <f ca="1">IF(AND($D444="Serviço",AG$12&lt;&gt;0,$H444&gt;0,OR(AUTOEVENTO&lt;&gt;"manual",$M444&lt;&gt;1)),
IF(Import.TipoArredondamento&lt;&gt;"TransfereGOV",
ROUND(OFFSET($P444,0,AG$13),15-13*ORÇAMENTO!$AF$7)/$H444*OFFSET(ORÇAMENTO!$X$15,ROW(AG444)-ROW(AG$15),0),
ROUND(ROUND(OFFSET($P444,0,AG$13),15-13*ORÇAMENTO!$AF$7)*OFFSET(ORÇAMENTO!$W$15,ROW(AG444)-ROW(AG$15),0),15-13*ORÇAMENTO!$AF$11)),0)</f>
        <v>0</v>
      </c>
      <c r="AH444" s="545">
        <f ca="1">IF(AND($D444="Serviço",AH$12&lt;&gt;0,$H444&gt;0,OR(AUTOEVENTO&lt;&gt;"manual",$M444&lt;&gt;1)),
IF(Import.TipoArredondamento&lt;&gt;"TransfereGOV",
ROUND(OFFSET($P444,0,AH$13),15-13*ORÇAMENTO!$AF$7)/$H444*OFFSET(ORÇAMENTO!$X$15,ROW(AH444)-ROW(AH$15),0),
ROUND(ROUND(OFFSET($P444,0,AH$13),15-13*ORÇAMENTO!$AF$7)*OFFSET(ORÇAMENTO!$W$15,ROW(AH444)-ROW(AH$15),0),15-13*ORÇAMENTO!$AF$11)),0)</f>
        <v>0</v>
      </c>
      <c r="AI444" s="545">
        <f ca="1">IF(AND($D444="Serviço",AI$12&lt;&gt;0,$H444&gt;0,OR(AUTOEVENTO&lt;&gt;"manual",$M444&lt;&gt;1)),
IF(Import.TipoArredondamento&lt;&gt;"TransfereGOV",
ROUND(OFFSET($P444,0,AI$13),15-13*ORÇAMENTO!$AF$7)/$H444*OFFSET(ORÇAMENTO!$X$15,ROW(AI444)-ROW(AI$15),0),
ROUND(ROUND(OFFSET($P444,0,AI$13),15-13*ORÇAMENTO!$AF$7)*OFFSET(ORÇAMENTO!$W$15,ROW(AI444)-ROW(AI$15),0),15-13*ORÇAMENTO!$AF$11)),0)</f>
        <v>0</v>
      </c>
      <c r="AJ444" s="545">
        <f ca="1">IF(AND($D444="Serviço",AJ$12&lt;&gt;0,$H444&gt;0,OR(AUTOEVENTO&lt;&gt;"manual",$M444&lt;&gt;1)),
IF(Import.TipoArredondamento&lt;&gt;"TransfereGOV",
ROUND(OFFSET($P444,0,AJ$13),15-13*ORÇAMENTO!$AF$7)/$H444*OFFSET(ORÇAMENTO!$X$15,ROW(AJ444)-ROW(AJ$15),0),
ROUND(ROUND(OFFSET($P444,0,AJ$13),15-13*ORÇAMENTO!$AF$7)*OFFSET(ORÇAMENTO!$W$15,ROW(AJ444)-ROW(AJ$15),0),15-13*ORÇAMENTO!$AF$11)),0)</f>
        <v>0</v>
      </c>
      <c r="AK444" s="546">
        <f ca="1">IF(AND($D444="Serviço",AK$12&lt;&gt;0,$H444&gt;0,OR(AUTOEVENTO&lt;&gt;"manual",$M444&lt;&gt;1)),
IF(Import.TipoArredondamento&lt;&gt;"TransfereGOV",
ROUND(OFFSET($P444,0,AK$13),15-13*ORÇAMENTO!$AF$7)/$H444*OFFSET(ORÇAMENTO!$X$15,ROW(AK444)-ROW(AK$15),0),
ROUND(ROUND(OFFSET($P444,0,AK$13),15-13*ORÇAMENTO!$AF$7)*OFFSET(ORÇAMENTO!$W$15,ROW(AK444)-ROW(AK$15),0),15-13*ORÇAMENTO!$AF$11)),0)</f>
        <v>0</v>
      </c>
      <c r="AM444" s="181">
        <f ca="1">IF($D444&lt;&gt;"Serviço",0,IF(AND(AUTOEVENTO="Manual",$M444=1),0,IF(OFFSET(CRONOPLE!$F$14,$M444,AM$13)="",10^12,OFFSET(CRONOPLE!$F$14,$M444,AM$13))))</f>
        <v>1000000000000</v>
      </c>
      <c r="AN444" s="181">
        <f ca="1">IF($D444&lt;&gt;"Serviço",0,IF(AND(AUTOEVENTO="Manual",$M444=1),0,IF(OFFSET(CRONOPLE!$F$14,$M444,AN$13)="",10^12,OFFSET(CRONOPLE!$F$14,$M444,AN$13))))</f>
        <v>1000000000000</v>
      </c>
      <c r="AO444" s="181">
        <f ca="1">IF($D444&lt;&gt;"Serviço",0,IF(AND(AUTOEVENTO="Manual",$M444=1),0,IF(OFFSET(CRONOPLE!$F$14,$M444,AO$13)="",10^12,OFFSET(CRONOPLE!$F$14,$M444,AO$13))))</f>
        <v>1000000000000</v>
      </c>
      <c r="AP444" s="181">
        <f ca="1">IF($D444&lt;&gt;"Serviço",0,IF(AND(AUTOEVENTO="Manual",$M444=1),0,IF(OFFSET(CRONOPLE!$F$14,$M444,AP$13)="",10^12,OFFSET(CRONOPLE!$F$14,$M444,AP$13))))</f>
        <v>1000000000000</v>
      </c>
      <c r="AQ444" s="181">
        <f ca="1">IF($D444&lt;&gt;"Serviço",0,IF(AND(AUTOEVENTO="Manual",$M444=1),0,IF(OFFSET(CRONOPLE!$F$14,$M444,AQ$13)="",10^12,OFFSET(CRONOPLE!$F$14,$M444,AQ$13))))</f>
        <v>1000000000000</v>
      </c>
      <c r="AR444" s="181">
        <f ca="1">IF($D444&lt;&gt;"Serviço",0,IF(AND(AUTOEVENTO="Manual",$M444=1),0,IF(OFFSET(CRONOPLE!$F$14,$M444,AR$13)="",10^12,OFFSET(CRONOPLE!$F$14,$M444,AR$13))))</f>
        <v>1000000000000</v>
      </c>
      <c r="AS444" s="181">
        <f ca="1">IF($D444&lt;&gt;"Serviço",0,IF(AND(AUTOEVENTO="Manual",$M444=1),0,IF(OFFSET(CRONOPLE!$F$14,$M444,AS$13)="",10^12,OFFSET(CRONOPLE!$F$14,$M444,AS$13))))</f>
        <v>1000000000000</v>
      </c>
      <c r="AT444" s="181">
        <f ca="1">IF($D444&lt;&gt;"Serviço",0,IF(AND(AUTOEVENTO="Manual",$M444=1),0,IF(OFFSET(CRONOPLE!$F$14,$M444,AT$13)="",10^12,OFFSET(CRONOPLE!$F$14,$M444,AT$13))))</f>
        <v>1000000000000</v>
      </c>
      <c r="AU444" s="181">
        <f ca="1">IF($D444&lt;&gt;"Serviço",0,IF(AND(AUTOEVENTO="Manual",$M444=1),0,IF(OFFSET(CRONOPLE!$F$14,$M444,AU$13)="",10^12,OFFSET(CRONOPLE!$F$14,$M444,AU$13))))</f>
        <v>1000000000000</v>
      </c>
      <c r="AV444" s="181">
        <f ca="1">IF($D444&lt;&gt;"Serviço",0,IF(AND(AUTOEVENTO="Manual",$M444=1),0,IF(OFFSET(CRONOPLE!$F$14,$M444,AV$13)="",10^12,OFFSET(CRONOPLE!$F$14,$M444,AV$13))))</f>
        <v>1000000000000</v>
      </c>
      <c r="AX444" s="182">
        <f ca="1">IF($D444&lt;&gt;"Serviço",0,IF(OR(AND(AUTOEVENTO="Manual",$M444=1),$M444&gt;(ROW(PLE.lastrow)-ROW(PLE.firstrow))),0,IF(OFFSET(PLE!$G$14,$M444,AX$13)="",10^12,OFFSET(PLE!$G$14,$M444,AX$13))))</f>
        <v>1000000000000</v>
      </c>
      <c r="AY444" s="182">
        <f ca="1">IF($D444&lt;&gt;"Serviço",0,IF(OR(AND(AUTOEVENTO="Manual",$M444=1),$M444&gt;(ROW(PLE.lastrow)-ROW(PLE.firstrow))),0,IF(OFFSET(PLE!$G$14,$M444,AY$13)="",10^12,OFFSET(PLE!$G$14,$M444,AY$13))))</f>
        <v>1000000000000</v>
      </c>
      <c r="AZ444" s="182">
        <f ca="1">IF($D444&lt;&gt;"Serviço",0,IF(OR(AND(AUTOEVENTO="Manual",$M444=1),$M444&gt;(ROW(PLE.lastrow)-ROW(PLE.firstrow))),0,IF(OFFSET(PLE!$G$14,$M444,AZ$13)="",10^12,OFFSET(PLE!$G$14,$M444,AZ$13))))</f>
        <v>1000000000000</v>
      </c>
      <c r="BA444" s="182">
        <f ca="1">IF($D444&lt;&gt;"Serviço",0,IF(OR(AND(AUTOEVENTO="Manual",$M444=1),$M444&gt;(ROW(PLE.lastrow)-ROW(PLE.firstrow))),0,IF(OFFSET(PLE!$G$14,$M444,BA$13)="",10^12,OFFSET(PLE!$G$14,$M444,BA$13))))</f>
        <v>1000000000000</v>
      </c>
      <c r="BB444" s="182">
        <f ca="1">IF($D444&lt;&gt;"Serviço",0,IF(OR(AND(AUTOEVENTO="Manual",$M444=1),$M444&gt;(ROW(PLE.lastrow)-ROW(PLE.firstrow))),0,IF(OFFSET(PLE!$G$14,$M444,BB$13)="",10^12,OFFSET(PLE!$G$14,$M444,BB$13))))</f>
        <v>1000000000000</v>
      </c>
      <c r="BC444" s="182">
        <f ca="1">IF($D444&lt;&gt;"Serviço",0,IF(OR(AND(AUTOEVENTO="Manual",$M444=1),$M444&gt;(ROW(PLE.lastrow)-ROW(PLE.firstrow))),0,IF(OFFSET(PLE!$G$14,$M444,BC$13)="",10^12,OFFSET(PLE!$G$14,$M444,BC$13))))</f>
        <v>1000000000000</v>
      </c>
      <c r="BD444" s="182">
        <f ca="1">IF($D444&lt;&gt;"Serviço",0,IF(OR(AND(AUTOEVENTO="Manual",$M444=1),$M444&gt;(ROW(PLE.lastrow)-ROW(PLE.firstrow))),0,IF(OFFSET(PLE!$G$14,$M444,BD$13)="",10^12,OFFSET(PLE!$G$14,$M444,BD$13))))</f>
        <v>1000000000000</v>
      </c>
      <c r="BE444" s="182">
        <f ca="1">IF($D444&lt;&gt;"Serviço",0,IF(OR(AND(AUTOEVENTO="Manual",$M444=1),$M444&gt;(ROW(PLE.lastrow)-ROW(PLE.firstrow))),0,IF(OFFSET(PLE!$G$14,$M444,BE$13)="",10^12,OFFSET(PLE!$G$14,$M444,BE$13))))</f>
        <v>1000000000000</v>
      </c>
      <c r="BF444" s="182">
        <f ca="1">IF($D444&lt;&gt;"Serviço",0,IF(OR(AND(AUTOEVENTO="Manual",$M444=1),$M444&gt;(ROW(PLE.lastrow)-ROW(PLE.firstrow))),0,IF(OFFSET(PLE!$G$14,$M444,BF$13)="",10^12,OFFSET(PLE!$G$14,$M444,BF$13))))</f>
        <v>1000000000000</v>
      </c>
      <c r="BG444" s="182">
        <f ca="1">IF($D444&lt;&gt;"Serviço",0,IF(OR(AND(AUTOEVENTO="Manual",$M444=1),$M444&gt;(ROW(PLE.lastrow)-ROW(PLE.firstrow))),0,IF(OFFSET(PLE!$G$14,$M444,BG$13)="",10^12,OFFSET(PLE!$G$14,$M444,BG$13))))</f>
        <v>1000000000000</v>
      </c>
    </row>
    <row r="445" spans="1:59" ht="25.5" x14ac:dyDescent="0.2">
      <c r="A445" s="7" t="str">
        <f t="shared" ca="1" si="13"/>
        <v>411</v>
      </c>
      <c r="B445" s="7" t="str">
        <f ca="1">OFFSET(ORÇAMENTO!C$15,ROW(B445)-ROW(B$15),0)</f>
        <v>S</v>
      </c>
      <c r="C445" s="7" t="str">
        <f ca="1">OFFSET(ORÇAMENTO!L$15,ROW(C445)-ROW(C$15),0)</f>
        <v/>
      </c>
      <c r="D445" s="118" t="str">
        <f ca="1">OFFSET(ORÇAMENTO!N$15,ROW(D445)-ROW(D$15),0)</f>
        <v>Serviço</v>
      </c>
      <c r="E445" s="119" t="str">
        <f ca="1">OFFSET(ORÇAMENTO!O$15,ROW(E445)-ROW(E$15),0)</f>
        <v>-</v>
      </c>
      <c r="F445" s="172" t="str">
        <f ca="1">OFFSET(ORÇAMENTO!R$15,ROW(F445)-ROW(F$15),0)</f>
        <v>(abra o arquivo 'Referência 02-2025.xlsm)</v>
      </c>
      <c r="G445" s="173" t="str">
        <f ca="1">IF($D445&lt;&gt;"Serviço","",OFFSET(ORÇAMENTO!S$15,ROW(G445)-ROW(G$15),0))</f>
        <v>-</v>
      </c>
      <c r="H445" s="124">
        <f ca="1">IF($D445&lt;&gt;"Serviço",0,IF(ACOMPANHAMENTO="BM",ROUND(OFFSET(ORÇAMENTO!AJ$15,ROW(H445)-ROW(H$15),0),15-13*ORÇAMENTO!$AF$7),SUMPRODUCT(($Q$12:$AA$12&lt;&gt;"")*ROUND($Q445:$AA445,15-13*ORÇAMENTO!$AF$7))))</f>
        <v>1</v>
      </c>
      <c r="I445" s="561" t="s">
        <v>890</v>
      </c>
      <c r="K445" s="174"/>
      <c r="L445" s="175" t="s">
        <v>255</v>
      </c>
      <c r="M445" s="176">
        <f ca="1">IF($D445&lt;&gt;"Serviço","",IF(AUTOEVENTO="manual",$A445,IF(ISERROR(MATCH($A445,$A$15:OFFSET($A445,-1,0),0)),MAX($M$15:OFFSET(M445,-1,0))+1,INDEX($M$15:OFFSET(M445,-1,0),MATCH($A445,$A$15:OFFSET($A445,-1,0),0)))))</f>
        <v>17</v>
      </c>
      <c r="N445" s="177" t="str">
        <f ca="1">IF($D445&lt;&gt;"Serviço","",IF(AUTOEVENTO="Manual",IF($A445=0,"&lt;-- defina o número do agrupador",OFFSET(EVENTOS!$D$14,$A445,0)),OFFSET($F$15,$A445,0)))</f>
        <v>SISTEMA DE PROTEÇÃO CONTRA INCÊNDIO</v>
      </c>
      <c r="O445" s="178"/>
      <c r="Q445" s="178"/>
      <c r="R445" s="179"/>
      <c r="S445" s="179"/>
      <c r="T445" s="179"/>
      <c r="U445" s="179"/>
      <c r="V445" s="179"/>
      <c r="W445" s="179"/>
      <c r="X445" s="179"/>
      <c r="Y445" s="179"/>
      <c r="Z445" s="180"/>
      <c r="AB445" s="544">
        <f ca="1">IF(AND($D445="Serviço",AB$12&lt;&gt;0,$H445&gt;0,OR(AUTOEVENTO&lt;&gt;"manual",$M445&lt;&gt;1)),
IF(Import.TipoArredondamento&lt;&gt;"TransfereGOV",
ROUND(OFFSET($P445,0,AB$13),15-13*ORÇAMENTO!$AF$7)/$H445*OFFSET(ORÇAMENTO!$X$15,ROW(AB445)-ROW(AB$15),0),
ROUND(ROUND(OFFSET($P445,0,AB$13),15-13*ORÇAMENTO!$AF$7)*OFFSET(ORÇAMENTO!$W$15,ROW(AB445)-ROW(AB$15),0),15-13*ORÇAMENTO!$AF$11)),0)</f>
        <v>0</v>
      </c>
      <c r="AC445" s="545">
        <f ca="1">IF(AND($D445="Serviço",AC$12&lt;&gt;0,$H445&gt;0,OR(AUTOEVENTO&lt;&gt;"manual",$M445&lt;&gt;1)),
IF(Import.TipoArredondamento&lt;&gt;"TransfereGOV",
ROUND(OFFSET($P445,0,AC$13),15-13*ORÇAMENTO!$AF$7)/$H445*OFFSET(ORÇAMENTO!$X$15,ROW(AC445)-ROW(AC$15),0),
ROUND(ROUND(OFFSET($P445,0,AC$13),15-13*ORÇAMENTO!$AF$7)*OFFSET(ORÇAMENTO!$W$15,ROW(AC445)-ROW(AC$15),0),15-13*ORÇAMENTO!$AF$11)),0)</f>
        <v>0</v>
      </c>
      <c r="AD445" s="545">
        <f ca="1">IF(AND($D445="Serviço",AD$12&lt;&gt;0,$H445&gt;0,OR(AUTOEVENTO&lt;&gt;"manual",$M445&lt;&gt;1)),
IF(Import.TipoArredondamento&lt;&gt;"TransfereGOV",
ROUND(OFFSET($P445,0,AD$13),15-13*ORÇAMENTO!$AF$7)/$H445*OFFSET(ORÇAMENTO!$X$15,ROW(AD445)-ROW(AD$15),0),
ROUND(ROUND(OFFSET($P445,0,AD$13),15-13*ORÇAMENTO!$AF$7)*OFFSET(ORÇAMENTO!$W$15,ROW(AD445)-ROW(AD$15),0),15-13*ORÇAMENTO!$AF$11)),0)</f>
        <v>0</v>
      </c>
      <c r="AE445" s="545">
        <f ca="1">IF(AND($D445="Serviço",AE$12&lt;&gt;0,$H445&gt;0,OR(AUTOEVENTO&lt;&gt;"manual",$M445&lt;&gt;1)),
IF(Import.TipoArredondamento&lt;&gt;"TransfereGOV",
ROUND(OFFSET($P445,0,AE$13),15-13*ORÇAMENTO!$AF$7)/$H445*OFFSET(ORÇAMENTO!$X$15,ROW(AE445)-ROW(AE$15),0),
ROUND(ROUND(OFFSET($P445,0,AE$13),15-13*ORÇAMENTO!$AF$7)*OFFSET(ORÇAMENTO!$W$15,ROW(AE445)-ROW(AE$15),0),15-13*ORÇAMENTO!$AF$11)),0)</f>
        <v>0</v>
      </c>
      <c r="AF445" s="545">
        <f ca="1">IF(AND($D445="Serviço",AF$12&lt;&gt;0,$H445&gt;0,OR(AUTOEVENTO&lt;&gt;"manual",$M445&lt;&gt;1)),
IF(Import.TipoArredondamento&lt;&gt;"TransfereGOV",
ROUND(OFFSET($P445,0,AF$13),15-13*ORÇAMENTO!$AF$7)/$H445*OFFSET(ORÇAMENTO!$X$15,ROW(AF445)-ROW(AF$15),0),
ROUND(ROUND(OFFSET($P445,0,AF$13),15-13*ORÇAMENTO!$AF$7)*OFFSET(ORÇAMENTO!$W$15,ROW(AF445)-ROW(AF$15),0),15-13*ORÇAMENTO!$AF$11)),0)</f>
        <v>0</v>
      </c>
      <c r="AG445" s="545">
        <f ca="1">IF(AND($D445="Serviço",AG$12&lt;&gt;0,$H445&gt;0,OR(AUTOEVENTO&lt;&gt;"manual",$M445&lt;&gt;1)),
IF(Import.TipoArredondamento&lt;&gt;"TransfereGOV",
ROUND(OFFSET($P445,0,AG$13),15-13*ORÇAMENTO!$AF$7)/$H445*OFFSET(ORÇAMENTO!$X$15,ROW(AG445)-ROW(AG$15),0),
ROUND(ROUND(OFFSET($P445,0,AG$13),15-13*ORÇAMENTO!$AF$7)*OFFSET(ORÇAMENTO!$W$15,ROW(AG445)-ROW(AG$15),0),15-13*ORÇAMENTO!$AF$11)),0)</f>
        <v>0</v>
      </c>
      <c r="AH445" s="545">
        <f ca="1">IF(AND($D445="Serviço",AH$12&lt;&gt;0,$H445&gt;0,OR(AUTOEVENTO&lt;&gt;"manual",$M445&lt;&gt;1)),
IF(Import.TipoArredondamento&lt;&gt;"TransfereGOV",
ROUND(OFFSET($P445,0,AH$13),15-13*ORÇAMENTO!$AF$7)/$H445*OFFSET(ORÇAMENTO!$X$15,ROW(AH445)-ROW(AH$15),0),
ROUND(ROUND(OFFSET($P445,0,AH$13),15-13*ORÇAMENTO!$AF$7)*OFFSET(ORÇAMENTO!$W$15,ROW(AH445)-ROW(AH$15),0),15-13*ORÇAMENTO!$AF$11)),0)</f>
        <v>0</v>
      </c>
      <c r="AI445" s="545">
        <f ca="1">IF(AND($D445="Serviço",AI$12&lt;&gt;0,$H445&gt;0,OR(AUTOEVENTO&lt;&gt;"manual",$M445&lt;&gt;1)),
IF(Import.TipoArredondamento&lt;&gt;"TransfereGOV",
ROUND(OFFSET($P445,0,AI$13),15-13*ORÇAMENTO!$AF$7)/$H445*OFFSET(ORÇAMENTO!$X$15,ROW(AI445)-ROW(AI$15),0),
ROUND(ROUND(OFFSET($P445,0,AI$13),15-13*ORÇAMENTO!$AF$7)*OFFSET(ORÇAMENTO!$W$15,ROW(AI445)-ROW(AI$15),0),15-13*ORÇAMENTO!$AF$11)),0)</f>
        <v>0</v>
      </c>
      <c r="AJ445" s="545">
        <f ca="1">IF(AND($D445="Serviço",AJ$12&lt;&gt;0,$H445&gt;0,OR(AUTOEVENTO&lt;&gt;"manual",$M445&lt;&gt;1)),
IF(Import.TipoArredondamento&lt;&gt;"TransfereGOV",
ROUND(OFFSET($P445,0,AJ$13),15-13*ORÇAMENTO!$AF$7)/$H445*OFFSET(ORÇAMENTO!$X$15,ROW(AJ445)-ROW(AJ$15),0),
ROUND(ROUND(OFFSET($P445,0,AJ$13),15-13*ORÇAMENTO!$AF$7)*OFFSET(ORÇAMENTO!$W$15,ROW(AJ445)-ROW(AJ$15),0),15-13*ORÇAMENTO!$AF$11)),0)</f>
        <v>0</v>
      </c>
      <c r="AK445" s="546">
        <f ca="1">IF(AND($D445="Serviço",AK$12&lt;&gt;0,$H445&gt;0,OR(AUTOEVENTO&lt;&gt;"manual",$M445&lt;&gt;1)),
IF(Import.TipoArredondamento&lt;&gt;"TransfereGOV",
ROUND(OFFSET($P445,0,AK$13),15-13*ORÇAMENTO!$AF$7)/$H445*OFFSET(ORÇAMENTO!$X$15,ROW(AK445)-ROW(AK$15),0),
ROUND(ROUND(OFFSET($P445,0,AK$13),15-13*ORÇAMENTO!$AF$7)*OFFSET(ORÇAMENTO!$W$15,ROW(AK445)-ROW(AK$15),0),15-13*ORÇAMENTO!$AF$11)),0)</f>
        <v>0</v>
      </c>
      <c r="AM445" s="181">
        <f ca="1">IF($D445&lt;&gt;"Serviço",0,IF(AND(AUTOEVENTO="Manual",$M445=1),0,IF(OFFSET(CRONOPLE!$F$14,$M445,AM$13)="",10^12,OFFSET(CRONOPLE!$F$14,$M445,AM$13))))</f>
        <v>1000000000000</v>
      </c>
      <c r="AN445" s="181">
        <f ca="1">IF($D445&lt;&gt;"Serviço",0,IF(AND(AUTOEVENTO="Manual",$M445=1),0,IF(OFFSET(CRONOPLE!$F$14,$M445,AN$13)="",10^12,OFFSET(CRONOPLE!$F$14,$M445,AN$13))))</f>
        <v>1000000000000</v>
      </c>
      <c r="AO445" s="181">
        <f ca="1">IF($D445&lt;&gt;"Serviço",0,IF(AND(AUTOEVENTO="Manual",$M445=1),0,IF(OFFSET(CRONOPLE!$F$14,$M445,AO$13)="",10^12,OFFSET(CRONOPLE!$F$14,$M445,AO$13))))</f>
        <v>1000000000000</v>
      </c>
      <c r="AP445" s="181">
        <f ca="1">IF($D445&lt;&gt;"Serviço",0,IF(AND(AUTOEVENTO="Manual",$M445=1),0,IF(OFFSET(CRONOPLE!$F$14,$M445,AP$13)="",10^12,OFFSET(CRONOPLE!$F$14,$M445,AP$13))))</f>
        <v>1000000000000</v>
      </c>
      <c r="AQ445" s="181">
        <f ca="1">IF($D445&lt;&gt;"Serviço",0,IF(AND(AUTOEVENTO="Manual",$M445=1),0,IF(OFFSET(CRONOPLE!$F$14,$M445,AQ$13)="",10^12,OFFSET(CRONOPLE!$F$14,$M445,AQ$13))))</f>
        <v>1000000000000</v>
      </c>
      <c r="AR445" s="181">
        <f ca="1">IF($D445&lt;&gt;"Serviço",0,IF(AND(AUTOEVENTO="Manual",$M445=1),0,IF(OFFSET(CRONOPLE!$F$14,$M445,AR$13)="",10^12,OFFSET(CRONOPLE!$F$14,$M445,AR$13))))</f>
        <v>1000000000000</v>
      </c>
      <c r="AS445" s="181">
        <f ca="1">IF($D445&lt;&gt;"Serviço",0,IF(AND(AUTOEVENTO="Manual",$M445=1),0,IF(OFFSET(CRONOPLE!$F$14,$M445,AS$13)="",10^12,OFFSET(CRONOPLE!$F$14,$M445,AS$13))))</f>
        <v>1000000000000</v>
      </c>
      <c r="AT445" s="181">
        <f ca="1">IF($D445&lt;&gt;"Serviço",0,IF(AND(AUTOEVENTO="Manual",$M445=1),0,IF(OFFSET(CRONOPLE!$F$14,$M445,AT$13)="",10^12,OFFSET(CRONOPLE!$F$14,$M445,AT$13))))</f>
        <v>1000000000000</v>
      </c>
      <c r="AU445" s="181">
        <f ca="1">IF($D445&lt;&gt;"Serviço",0,IF(AND(AUTOEVENTO="Manual",$M445=1),0,IF(OFFSET(CRONOPLE!$F$14,$M445,AU$13)="",10^12,OFFSET(CRONOPLE!$F$14,$M445,AU$13))))</f>
        <v>1000000000000</v>
      </c>
      <c r="AV445" s="181">
        <f ca="1">IF($D445&lt;&gt;"Serviço",0,IF(AND(AUTOEVENTO="Manual",$M445=1),0,IF(OFFSET(CRONOPLE!$F$14,$M445,AV$13)="",10^12,OFFSET(CRONOPLE!$F$14,$M445,AV$13))))</f>
        <v>1000000000000</v>
      </c>
      <c r="AX445" s="182">
        <f ca="1">IF($D445&lt;&gt;"Serviço",0,IF(OR(AND(AUTOEVENTO="Manual",$M445=1),$M445&gt;(ROW(PLE.lastrow)-ROW(PLE.firstrow))),0,IF(OFFSET(PLE!$G$14,$M445,AX$13)="",10^12,OFFSET(PLE!$G$14,$M445,AX$13))))</f>
        <v>1000000000000</v>
      </c>
      <c r="AY445" s="182">
        <f ca="1">IF($D445&lt;&gt;"Serviço",0,IF(OR(AND(AUTOEVENTO="Manual",$M445=1),$M445&gt;(ROW(PLE.lastrow)-ROW(PLE.firstrow))),0,IF(OFFSET(PLE!$G$14,$M445,AY$13)="",10^12,OFFSET(PLE!$G$14,$M445,AY$13))))</f>
        <v>1000000000000</v>
      </c>
      <c r="AZ445" s="182">
        <f ca="1">IF($D445&lt;&gt;"Serviço",0,IF(OR(AND(AUTOEVENTO="Manual",$M445=1),$M445&gt;(ROW(PLE.lastrow)-ROW(PLE.firstrow))),0,IF(OFFSET(PLE!$G$14,$M445,AZ$13)="",10^12,OFFSET(PLE!$G$14,$M445,AZ$13))))</f>
        <v>1000000000000</v>
      </c>
      <c r="BA445" s="182">
        <f ca="1">IF($D445&lt;&gt;"Serviço",0,IF(OR(AND(AUTOEVENTO="Manual",$M445=1),$M445&gt;(ROW(PLE.lastrow)-ROW(PLE.firstrow))),0,IF(OFFSET(PLE!$G$14,$M445,BA$13)="",10^12,OFFSET(PLE!$G$14,$M445,BA$13))))</f>
        <v>1000000000000</v>
      </c>
      <c r="BB445" s="182">
        <f ca="1">IF($D445&lt;&gt;"Serviço",0,IF(OR(AND(AUTOEVENTO="Manual",$M445=1),$M445&gt;(ROW(PLE.lastrow)-ROW(PLE.firstrow))),0,IF(OFFSET(PLE!$G$14,$M445,BB$13)="",10^12,OFFSET(PLE!$G$14,$M445,BB$13))))</f>
        <v>1000000000000</v>
      </c>
      <c r="BC445" s="182">
        <f ca="1">IF($D445&lt;&gt;"Serviço",0,IF(OR(AND(AUTOEVENTO="Manual",$M445=1),$M445&gt;(ROW(PLE.lastrow)-ROW(PLE.firstrow))),0,IF(OFFSET(PLE!$G$14,$M445,BC$13)="",10^12,OFFSET(PLE!$G$14,$M445,BC$13))))</f>
        <v>1000000000000</v>
      </c>
      <c r="BD445" s="182">
        <f ca="1">IF($D445&lt;&gt;"Serviço",0,IF(OR(AND(AUTOEVENTO="Manual",$M445=1),$M445&gt;(ROW(PLE.lastrow)-ROW(PLE.firstrow))),0,IF(OFFSET(PLE!$G$14,$M445,BD$13)="",10^12,OFFSET(PLE!$G$14,$M445,BD$13))))</f>
        <v>1000000000000</v>
      </c>
      <c r="BE445" s="182">
        <f ca="1">IF($D445&lt;&gt;"Serviço",0,IF(OR(AND(AUTOEVENTO="Manual",$M445=1),$M445&gt;(ROW(PLE.lastrow)-ROW(PLE.firstrow))),0,IF(OFFSET(PLE!$G$14,$M445,BE$13)="",10^12,OFFSET(PLE!$G$14,$M445,BE$13))))</f>
        <v>1000000000000</v>
      </c>
      <c r="BF445" s="182">
        <f ca="1">IF($D445&lt;&gt;"Serviço",0,IF(OR(AND(AUTOEVENTO="Manual",$M445=1),$M445&gt;(ROW(PLE.lastrow)-ROW(PLE.firstrow))),0,IF(OFFSET(PLE!$G$14,$M445,BF$13)="",10^12,OFFSET(PLE!$G$14,$M445,BF$13))))</f>
        <v>1000000000000</v>
      </c>
      <c r="BG445" s="182">
        <f ca="1">IF($D445&lt;&gt;"Serviço",0,IF(OR(AND(AUTOEVENTO="Manual",$M445=1),$M445&gt;(ROW(PLE.lastrow)-ROW(PLE.firstrow))),0,IF(OFFSET(PLE!$G$14,$M445,BG$13)="",10^12,OFFSET(PLE!$G$14,$M445,BG$13))))</f>
        <v>1000000000000</v>
      </c>
    </row>
    <row r="446" spans="1:59" ht="25.5" x14ac:dyDescent="0.2">
      <c r="A446" s="7" t="str">
        <f t="shared" ca="1" si="13"/>
        <v>411</v>
      </c>
      <c r="B446" s="7" t="str">
        <f ca="1">OFFSET(ORÇAMENTO!C$15,ROW(B446)-ROW(B$15),0)</f>
        <v>S</v>
      </c>
      <c r="C446" s="7" t="str">
        <f ca="1">OFFSET(ORÇAMENTO!L$15,ROW(C446)-ROW(C$15),0)</f>
        <v/>
      </c>
      <c r="D446" s="118" t="str">
        <f ca="1">OFFSET(ORÇAMENTO!N$15,ROW(D446)-ROW(D$15),0)</f>
        <v>Serviço</v>
      </c>
      <c r="E446" s="119" t="str">
        <f ca="1">OFFSET(ORÇAMENTO!O$15,ROW(E446)-ROW(E$15),0)</f>
        <v>-</v>
      </c>
      <c r="F446" s="172" t="str">
        <f ca="1">OFFSET(ORÇAMENTO!R$15,ROW(F446)-ROW(F$15),0)</f>
        <v>(abra o arquivo 'Referência 02-2025.xlsm)</v>
      </c>
      <c r="G446" s="173" t="str">
        <f ca="1">IF($D446&lt;&gt;"Serviço","",OFFSET(ORÇAMENTO!S$15,ROW(G446)-ROW(G$15),0))</f>
        <v>-</v>
      </c>
      <c r="H446" s="124">
        <f ca="1">IF($D446&lt;&gt;"Serviço",0,IF(ACOMPANHAMENTO="BM",ROUND(OFFSET(ORÇAMENTO!AJ$15,ROW(H446)-ROW(H$15),0),15-13*ORÇAMENTO!$AF$7),SUMPRODUCT(($Q$12:$AA$12&lt;&gt;"")*ROUND($Q446:$AA446,15-13*ORÇAMENTO!$AF$7))))</f>
        <v>1</v>
      </c>
      <c r="I446" s="561" t="s">
        <v>890</v>
      </c>
      <c r="K446" s="174"/>
      <c r="L446" s="175" t="s">
        <v>255</v>
      </c>
      <c r="M446" s="176">
        <f ca="1">IF($D446&lt;&gt;"Serviço","",IF(AUTOEVENTO="manual",$A446,IF(ISERROR(MATCH($A446,$A$15:OFFSET($A446,-1,0),0)),MAX($M$15:OFFSET(M446,-1,0))+1,INDEX($M$15:OFFSET(M446,-1,0),MATCH($A446,$A$15:OFFSET($A446,-1,0),0)))))</f>
        <v>17</v>
      </c>
      <c r="N446" s="177" t="str">
        <f ca="1">IF($D446&lt;&gt;"Serviço","",IF(AUTOEVENTO="Manual",IF($A446=0,"&lt;-- defina o número do agrupador",OFFSET(EVENTOS!$D$14,$A446,0)),OFFSET($F$15,$A446,0)))</f>
        <v>SISTEMA DE PROTEÇÃO CONTRA INCÊNDIO</v>
      </c>
      <c r="O446" s="178"/>
      <c r="Q446" s="178"/>
      <c r="R446" s="179"/>
      <c r="S446" s="179"/>
      <c r="T446" s="179"/>
      <c r="U446" s="179"/>
      <c r="V446" s="179"/>
      <c r="W446" s="179"/>
      <c r="X446" s="179"/>
      <c r="Y446" s="179"/>
      <c r="Z446" s="180"/>
      <c r="AB446" s="544">
        <f ca="1">IF(AND($D446="Serviço",AB$12&lt;&gt;0,$H446&gt;0,OR(AUTOEVENTO&lt;&gt;"manual",$M446&lt;&gt;1)),
IF(Import.TipoArredondamento&lt;&gt;"TransfereGOV",
ROUND(OFFSET($P446,0,AB$13),15-13*ORÇAMENTO!$AF$7)/$H446*OFFSET(ORÇAMENTO!$X$15,ROW(AB446)-ROW(AB$15),0),
ROUND(ROUND(OFFSET($P446,0,AB$13),15-13*ORÇAMENTO!$AF$7)*OFFSET(ORÇAMENTO!$W$15,ROW(AB446)-ROW(AB$15),0),15-13*ORÇAMENTO!$AF$11)),0)</f>
        <v>0</v>
      </c>
      <c r="AC446" s="545">
        <f ca="1">IF(AND($D446="Serviço",AC$12&lt;&gt;0,$H446&gt;0,OR(AUTOEVENTO&lt;&gt;"manual",$M446&lt;&gt;1)),
IF(Import.TipoArredondamento&lt;&gt;"TransfereGOV",
ROUND(OFFSET($P446,0,AC$13),15-13*ORÇAMENTO!$AF$7)/$H446*OFFSET(ORÇAMENTO!$X$15,ROW(AC446)-ROW(AC$15),0),
ROUND(ROUND(OFFSET($P446,0,AC$13),15-13*ORÇAMENTO!$AF$7)*OFFSET(ORÇAMENTO!$W$15,ROW(AC446)-ROW(AC$15),0),15-13*ORÇAMENTO!$AF$11)),0)</f>
        <v>0</v>
      </c>
      <c r="AD446" s="545">
        <f ca="1">IF(AND($D446="Serviço",AD$12&lt;&gt;0,$H446&gt;0,OR(AUTOEVENTO&lt;&gt;"manual",$M446&lt;&gt;1)),
IF(Import.TipoArredondamento&lt;&gt;"TransfereGOV",
ROUND(OFFSET($P446,0,AD$13),15-13*ORÇAMENTO!$AF$7)/$H446*OFFSET(ORÇAMENTO!$X$15,ROW(AD446)-ROW(AD$15),0),
ROUND(ROUND(OFFSET($P446,0,AD$13),15-13*ORÇAMENTO!$AF$7)*OFFSET(ORÇAMENTO!$W$15,ROW(AD446)-ROW(AD$15),0),15-13*ORÇAMENTO!$AF$11)),0)</f>
        <v>0</v>
      </c>
      <c r="AE446" s="545">
        <f ca="1">IF(AND($D446="Serviço",AE$12&lt;&gt;0,$H446&gt;0,OR(AUTOEVENTO&lt;&gt;"manual",$M446&lt;&gt;1)),
IF(Import.TipoArredondamento&lt;&gt;"TransfereGOV",
ROUND(OFFSET($P446,0,AE$13),15-13*ORÇAMENTO!$AF$7)/$H446*OFFSET(ORÇAMENTO!$X$15,ROW(AE446)-ROW(AE$15),0),
ROUND(ROUND(OFFSET($P446,0,AE$13),15-13*ORÇAMENTO!$AF$7)*OFFSET(ORÇAMENTO!$W$15,ROW(AE446)-ROW(AE$15),0),15-13*ORÇAMENTO!$AF$11)),0)</f>
        <v>0</v>
      </c>
      <c r="AF446" s="545">
        <f ca="1">IF(AND($D446="Serviço",AF$12&lt;&gt;0,$H446&gt;0,OR(AUTOEVENTO&lt;&gt;"manual",$M446&lt;&gt;1)),
IF(Import.TipoArredondamento&lt;&gt;"TransfereGOV",
ROUND(OFFSET($P446,0,AF$13),15-13*ORÇAMENTO!$AF$7)/$H446*OFFSET(ORÇAMENTO!$X$15,ROW(AF446)-ROW(AF$15),0),
ROUND(ROUND(OFFSET($P446,0,AF$13),15-13*ORÇAMENTO!$AF$7)*OFFSET(ORÇAMENTO!$W$15,ROW(AF446)-ROW(AF$15),0),15-13*ORÇAMENTO!$AF$11)),0)</f>
        <v>0</v>
      </c>
      <c r="AG446" s="545">
        <f ca="1">IF(AND($D446="Serviço",AG$12&lt;&gt;0,$H446&gt;0,OR(AUTOEVENTO&lt;&gt;"manual",$M446&lt;&gt;1)),
IF(Import.TipoArredondamento&lt;&gt;"TransfereGOV",
ROUND(OFFSET($P446,0,AG$13),15-13*ORÇAMENTO!$AF$7)/$H446*OFFSET(ORÇAMENTO!$X$15,ROW(AG446)-ROW(AG$15),0),
ROUND(ROUND(OFFSET($P446,0,AG$13),15-13*ORÇAMENTO!$AF$7)*OFFSET(ORÇAMENTO!$W$15,ROW(AG446)-ROW(AG$15),0),15-13*ORÇAMENTO!$AF$11)),0)</f>
        <v>0</v>
      </c>
      <c r="AH446" s="545">
        <f ca="1">IF(AND($D446="Serviço",AH$12&lt;&gt;0,$H446&gt;0,OR(AUTOEVENTO&lt;&gt;"manual",$M446&lt;&gt;1)),
IF(Import.TipoArredondamento&lt;&gt;"TransfereGOV",
ROUND(OFFSET($P446,0,AH$13),15-13*ORÇAMENTO!$AF$7)/$H446*OFFSET(ORÇAMENTO!$X$15,ROW(AH446)-ROW(AH$15),0),
ROUND(ROUND(OFFSET($P446,0,AH$13),15-13*ORÇAMENTO!$AF$7)*OFFSET(ORÇAMENTO!$W$15,ROW(AH446)-ROW(AH$15),0),15-13*ORÇAMENTO!$AF$11)),0)</f>
        <v>0</v>
      </c>
      <c r="AI446" s="545">
        <f ca="1">IF(AND($D446="Serviço",AI$12&lt;&gt;0,$H446&gt;0,OR(AUTOEVENTO&lt;&gt;"manual",$M446&lt;&gt;1)),
IF(Import.TipoArredondamento&lt;&gt;"TransfereGOV",
ROUND(OFFSET($P446,0,AI$13),15-13*ORÇAMENTO!$AF$7)/$H446*OFFSET(ORÇAMENTO!$X$15,ROW(AI446)-ROW(AI$15),0),
ROUND(ROUND(OFFSET($P446,0,AI$13),15-13*ORÇAMENTO!$AF$7)*OFFSET(ORÇAMENTO!$W$15,ROW(AI446)-ROW(AI$15),0),15-13*ORÇAMENTO!$AF$11)),0)</f>
        <v>0</v>
      </c>
      <c r="AJ446" s="545">
        <f ca="1">IF(AND($D446="Serviço",AJ$12&lt;&gt;0,$H446&gt;0,OR(AUTOEVENTO&lt;&gt;"manual",$M446&lt;&gt;1)),
IF(Import.TipoArredondamento&lt;&gt;"TransfereGOV",
ROUND(OFFSET($P446,0,AJ$13),15-13*ORÇAMENTO!$AF$7)/$H446*OFFSET(ORÇAMENTO!$X$15,ROW(AJ446)-ROW(AJ$15),0),
ROUND(ROUND(OFFSET($P446,0,AJ$13),15-13*ORÇAMENTO!$AF$7)*OFFSET(ORÇAMENTO!$W$15,ROW(AJ446)-ROW(AJ$15),0),15-13*ORÇAMENTO!$AF$11)),0)</f>
        <v>0</v>
      </c>
      <c r="AK446" s="546">
        <f ca="1">IF(AND($D446="Serviço",AK$12&lt;&gt;0,$H446&gt;0,OR(AUTOEVENTO&lt;&gt;"manual",$M446&lt;&gt;1)),
IF(Import.TipoArredondamento&lt;&gt;"TransfereGOV",
ROUND(OFFSET($P446,0,AK$13),15-13*ORÇAMENTO!$AF$7)/$H446*OFFSET(ORÇAMENTO!$X$15,ROW(AK446)-ROW(AK$15),0),
ROUND(ROUND(OFFSET($P446,0,AK$13),15-13*ORÇAMENTO!$AF$7)*OFFSET(ORÇAMENTO!$W$15,ROW(AK446)-ROW(AK$15),0),15-13*ORÇAMENTO!$AF$11)),0)</f>
        <v>0</v>
      </c>
      <c r="AM446" s="181">
        <f ca="1">IF($D446&lt;&gt;"Serviço",0,IF(AND(AUTOEVENTO="Manual",$M446=1),0,IF(OFFSET(CRONOPLE!$F$14,$M446,AM$13)="",10^12,OFFSET(CRONOPLE!$F$14,$M446,AM$13))))</f>
        <v>1000000000000</v>
      </c>
      <c r="AN446" s="181">
        <f ca="1">IF($D446&lt;&gt;"Serviço",0,IF(AND(AUTOEVENTO="Manual",$M446=1),0,IF(OFFSET(CRONOPLE!$F$14,$M446,AN$13)="",10^12,OFFSET(CRONOPLE!$F$14,$M446,AN$13))))</f>
        <v>1000000000000</v>
      </c>
      <c r="AO446" s="181">
        <f ca="1">IF($D446&lt;&gt;"Serviço",0,IF(AND(AUTOEVENTO="Manual",$M446=1),0,IF(OFFSET(CRONOPLE!$F$14,$M446,AO$13)="",10^12,OFFSET(CRONOPLE!$F$14,$M446,AO$13))))</f>
        <v>1000000000000</v>
      </c>
      <c r="AP446" s="181">
        <f ca="1">IF($D446&lt;&gt;"Serviço",0,IF(AND(AUTOEVENTO="Manual",$M446=1),0,IF(OFFSET(CRONOPLE!$F$14,$M446,AP$13)="",10^12,OFFSET(CRONOPLE!$F$14,$M446,AP$13))))</f>
        <v>1000000000000</v>
      </c>
      <c r="AQ446" s="181">
        <f ca="1">IF($D446&lt;&gt;"Serviço",0,IF(AND(AUTOEVENTO="Manual",$M446=1),0,IF(OFFSET(CRONOPLE!$F$14,$M446,AQ$13)="",10^12,OFFSET(CRONOPLE!$F$14,$M446,AQ$13))))</f>
        <v>1000000000000</v>
      </c>
      <c r="AR446" s="181">
        <f ca="1">IF($D446&lt;&gt;"Serviço",0,IF(AND(AUTOEVENTO="Manual",$M446=1),0,IF(OFFSET(CRONOPLE!$F$14,$M446,AR$13)="",10^12,OFFSET(CRONOPLE!$F$14,$M446,AR$13))))</f>
        <v>1000000000000</v>
      </c>
      <c r="AS446" s="181">
        <f ca="1">IF($D446&lt;&gt;"Serviço",0,IF(AND(AUTOEVENTO="Manual",$M446=1),0,IF(OFFSET(CRONOPLE!$F$14,$M446,AS$13)="",10^12,OFFSET(CRONOPLE!$F$14,$M446,AS$13))))</f>
        <v>1000000000000</v>
      </c>
      <c r="AT446" s="181">
        <f ca="1">IF($D446&lt;&gt;"Serviço",0,IF(AND(AUTOEVENTO="Manual",$M446=1),0,IF(OFFSET(CRONOPLE!$F$14,$M446,AT$13)="",10^12,OFFSET(CRONOPLE!$F$14,$M446,AT$13))))</f>
        <v>1000000000000</v>
      </c>
      <c r="AU446" s="181">
        <f ca="1">IF($D446&lt;&gt;"Serviço",0,IF(AND(AUTOEVENTO="Manual",$M446=1),0,IF(OFFSET(CRONOPLE!$F$14,$M446,AU$13)="",10^12,OFFSET(CRONOPLE!$F$14,$M446,AU$13))))</f>
        <v>1000000000000</v>
      </c>
      <c r="AV446" s="181">
        <f ca="1">IF($D446&lt;&gt;"Serviço",0,IF(AND(AUTOEVENTO="Manual",$M446=1),0,IF(OFFSET(CRONOPLE!$F$14,$M446,AV$13)="",10^12,OFFSET(CRONOPLE!$F$14,$M446,AV$13))))</f>
        <v>1000000000000</v>
      </c>
      <c r="AX446" s="182">
        <f ca="1">IF($D446&lt;&gt;"Serviço",0,IF(OR(AND(AUTOEVENTO="Manual",$M446=1),$M446&gt;(ROW(PLE.lastrow)-ROW(PLE.firstrow))),0,IF(OFFSET(PLE!$G$14,$M446,AX$13)="",10^12,OFFSET(PLE!$G$14,$M446,AX$13))))</f>
        <v>1000000000000</v>
      </c>
      <c r="AY446" s="182">
        <f ca="1">IF($D446&lt;&gt;"Serviço",0,IF(OR(AND(AUTOEVENTO="Manual",$M446=1),$M446&gt;(ROW(PLE.lastrow)-ROW(PLE.firstrow))),0,IF(OFFSET(PLE!$G$14,$M446,AY$13)="",10^12,OFFSET(PLE!$G$14,$M446,AY$13))))</f>
        <v>1000000000000</v>
      </c>
      <c r="AZ446" s="182">
        <f ca="1">IF($D446&lt;&gt;"Serviço",0,IF(OR(AND(AUTOEVENTO="Manual",$M446=1),$M446&gt;(ROW(PLE.lastrow)-ROW(PLE.firstrow))),0,IF(OFFSET(PLE!$G$14,$M446,AZ$13)="",10^12,OFFSET(PLE!$G$14,$M446,AZ$13))))</f>
        <v>1000000000000</v>
      </c>
      <c r="BA446" s="182">
        <f ca="1">IF($D446&lt;&gt;"Serviço",0,IF(OR(AND(AUTOEVENTO="Manual",$M446=1),$M446&gt;(ROW(PLE.lastrow)-ROW(PLE.firstrow))),0,IF(OFFSET(PLE!$G$14,$M446,BA$13)="",10^12,OFFSET(PLE!$G$14,$M446,BA$13))))</f>
        <v>1000000000000</v>
      </c>
      <c r="BB446" s="182">
        <f ca="1">IF($D446&lt;&gt;"Serviço",0,IF(OR(AND(AUTOEVENTO="Manual",$M446=1),$M446&gt;(ROW(PLE.lastrow)-ROW(PLE.firstrow))),0,IF(OFFSET(PLE!$G$14,$M446,BB$13)="",10^12,OFFSET(PLE!$G$14,$M446,BB$13))))</f>
        <v>1000000000000</v>
      </c>
      <c r="BC446" s="182">
        <f ca="1">IF($D446&lt;&gt;"Serviço",0,IF(OR(AND(AUTOEVENTO="Manual",$M446=1),$M446&gt;(ROW(PLE.lastrow)-ROW(PLE.firstrow))),0,IF(OFFSET(PLE!$G$14,$M446,BC$13)="",10^12,OFFSET(PLE!$G$14,$M446,BC$13))))</f>
        <v>1000000000000</v>
      </c>
      <c r="BD446" s="182">
        <f ca="1">IF($D446&lt;&gt;"Serviço",0,IF(OR(AND(AUTOEVENTO="Manual",$M446=1),$M446&gt;(ROW(PLE.lastrow)-ROW(PLE.firstrow))),0,IF(OFFSET(PLE!$G$14,$M446,BD$13)="",10^12,OFFSET(PLE!$G$14,$M446,BD$13))))</f>
        <v>1000000000000</v>
      </c>
      <c r="BE446" s="182">
        <f ca="1">IF($D446&lt;&gt;"Serviço",0,IF(OR(AND(AUTOEVENTO="Manual",$M446=1),$M446&gt;(ROW(PLE.lastrow)-ROW(PLE.firstrow))),0,IF(OFFSET(PLE!$G$14,$M446,BE$13)="",10^12,OFFSET(PLE!$G$14,$M446,BE$13))))</f>
        <v>1000000000000</v>
      </c>
      <c r="BF446" s="182">
        <f ca="1">IF($D446&lt;&gt;"Serviço",0,IF(OR(AND(AUTOEVENTO="Manual",$M446=1),$M446&gt;(ROW(PLE.lastrow)-ROW(PLE.firstrow))),0,IF(OFFSET(PLE!$G$14,$M446,BF$13)="",10^12,OFFSET(PLE!$G$14,$M446,BF$13))))</f>
        <v>1000000000000</v>
      </c>
      <c r="BG446" s="182">
        <f ca="1">IF($D446&lt;&gt;"Serviço",0,IF(OR(AND(AUTOEVENTO="Manual",$M446=1),$M446&gt;(ROW(PLE.lastrow)-ROW(PLE.firstrow))),0,IF(OFFSET(PLE!$G$14,$M446,BG$13)="",10^12,OFFSET(PLE!$G$14,$M446,BG$13))))</f>
        <v>1000000000000</v>
      </c>
    </row>
    <row r="447" spans="1:59" ht="25.5" x14ac:dyDescent="0.2">
      <c r="A447" s="7" t="str">
        <f t="shared" ca="1" si="13"/>
        <v>411</v>
      </c>
      <c r="B447" s="7" t="str">
        <f ca="1">OFFSET(ORÇAMENTO!C$15,ROW(B447)-ROW(B$15),0)</f>
        <v>S</v>
      </c>
      <c r="C447" s="7" t="str">
        <f ca="1">OFFSET(ORÇAMENTO!L$15,ROW(C447)-ROW(C$15),0)</f>
        <v/>
      </c>
      <c r="D447" s="118" t="str">
        <f ca="1">OFFSET(ORÇAMENTO!N$15,ROW(D447)-ROW(D$15),0)</f>
        <v>Serviço</v>
      </c>
      <c r="E447" s="119" t="str">
        <f ca="1">OFFSET(ORÇAMENTO!O$15,ROW(E447)-ROW(E$15),0)</f>
        <v>-</v>
      </c>
      <c r="F447" s="172" t="str">
        <f ca="1">OFFSET(ORÇAMENTO!R$15,ROW(F447)-ROW(F$15),0)</f>
        <v>(abra o arquivo 'Referência 02-2025.xlsm)</v>
      </c>
      <c r="G447" s="173" t="str">
        <f ca="1">IF($D447&lt;&gt;"Serviço","",OFFSET(ORÇAMENTO!S$15,ROW(G447)-ROW(G$15),0))</f>
        <v>-</v>
      </c>
      <c r="H447" s="124">
        <f ca="1">IF($D447&lt;&gt;"Serviço",0,IF(ACOMPANHAMENTO="BM",ROUND(OFFSET(ORÇAMENTO!AJ$15,ROW(H447)-ROW(H$15),0),15-13*ORÇAMENTO!$AF$7),SUMPRODUCT(($Q$12:$AA$12&lt;&gt;"")*ROUND($Q447:$AA447,15-13*ORÇAMENTO!$AF$7))))</f>
        <v>2</v>
      </c>
      <c r="I447" s="561" t="s">
        <v>890</v>
      </c>
      <c r="K447" s="174"/>
      <c r="L447" s="175" t="s">
        <v>255</v>
      </c>
      <c r="M447" s="176">
        <f ca="1">IF($D447&lt;&gt;"Serviço","",IF(AUTOEVENTO="manual",$A447,IF(ISERROR(MATCH($A447,$A$15:OFFSET($A447,-1,0),0)),MAX($M$15:OFFSET(M447,-1,0))+1,INDEX($M$15:OFFSET(M447,-1,0),MATCH($A447,$A$15:OFFSET($A447,-1,0),0)))))</f>
        <v>17</v>
      </c>
      <c r="N447" s="177" t="str">
        <f ca="1">IF($D447&lt;&gt;"Serviço","",IF(AUTOEVENTO="Manual",IF($A447=0,"&lt;-- defina o número do agrupador",OFFSET(EVENTOS!$D$14,$A447,0)),OFFSET($F$15,$A447,0)))</f>
        <v>SISTEMA DE PROTEÇÃO CONTRA INCÊNDIO</v>
      </c>
      <c r="O447" s="178"/>
      <c r="Q447" s="178"/>
      <c r="R447" s="179"/>
      <c r="S447" s="179"/>
      <c r="T447" s="179"/>
      <c r="U447" s="179"/>
      <c r="V447" s="179"/>
      <c r="W447" s="179"/>
      <c r="X447" s="179"/>
      <c r="Y447" s="179"/>
      <c r="Z447" s="180"/>
      <c r="AB447" s="544">
        <f ca="1">IF(AND($D447="Serviço",AB$12&lt;&gt;0,$H447&gt;0,OR(AUTOEVENTO&lt;&gt;"manual",$M447&lt;&gt;1)),
IF(Import.TipoArredondamento&lt;&gt;"TransfereGOV",
ROUND(OFFSET($P447,0,AB$13),15-13*ORÇAMENTO!$AF$7)/$H447*OFFSET(ORÇAMENTO!$X$15,ROW(AB447)-ROW(AB$15),0),
ROUND(ROUND(OFFSET($P447,0,AB$13),15-13*ORÇAMENTO!$AF$7)*OFFSET(ORÇAMENTO!$W$15,ROW(AB447)-ROW(AB$15),0),15-13*ORÇAMENTO!$AF$11)),0)</f>
        <v>0</v>
      </c>
      <c r="AC447" s="545">
        <f ca="1">IF(AND($D447="Serviço",AC$12&lt;&gt;0,$H447&gt;0,OR(AUTOEVENTO&lt;&gt;"manual",$M447&lt;&gt;1)),
IF(Import.TipoArredondamento&lt;&gt;"TransfereGOV",
ROUND(OFFSET($P447,0,AC$13),15-13*ORÇAMENTO!$AF$7)/$H447*OFFSET(ORÇAMENTO!$X$15,ROW(AC447)-ROW(AC$15),0),
ROUND(ROUND(OFFSET($P447,0,AC$13),15-13*ORÇAMENTO!$AF$7)*OFFSET(ORÇAMENTO!$W$15,ROW(AC447)-ROW(AC$15),0),15-13*ORÇAMENTO!$AF$11)),0)</f>
        <v>0</v>
      </c>
      <c r="AD447" s="545">
        <f ca="1">IF(AND($D447="Serviço",AD$12&lt;&gt;0,$H447&gt;0,OR(AUTOEVENTO&lt;&gt;"manual",$M447&lt;&gt;1)),
IF(Import.TipoArredondamento&lt;&gt;"TransfereGOV",
ROUND(OFFSET($P447,0,AD$13),15-13*ORÇAMENTO!$AF$7)/$H447*OFFSET(ORÇAMENTO!$X$15,ROW(AD447)-ROW(AD$15),0),
ROUND(ROUND(OFFSET($P447,0,AD$13),15-13*ORÇAMENTO!$AF$7)*OFFSET(ORÇAMENTO!$W$15,ROW(AD447)-ROW(AD$15),0),15-13*ORÇAMENTO!$AF$11)),0)</f>
        <v>0</v>
      </c>
      <c r="AE447" s="545">
        <f ca="1">IF(AND($D447="Serviço",AE$12&lt;&gt;0,$H447&gt;0,OR(AUTOEVENTO&lt;&gt;"manual",$M447&lt;&gt;1)),
IF(Import.TipoArredondamento&lt;&gt;"TransfereGOV",
ROUND(OFFSET($P447,0,AE$13),15-13*ORÇAMENTO!$AF$7)/$H447*OFFSET(ORÇAMENTO!$X$15,ROW(AE447)-ROW(AE$15),0),
ROUND(ROUND(OFFSET($P447,0,AE$13),15-13*ORÇAMENTO!$AF$7)*OFFSET(ORÇAMENTO!$W$15,ROW(AE447)-ROW(AE$15),0),15-13*ORÇAMENTO!$AF$11)),0)</f>
        <v>0</v>
      </c>
      <c r="AF447" s="545">
        <f ca="1">IF(AND($D447="Serviço",AF$12&lt;&gt;0,$H447&gt;0,OR(AUTOEVENTO&lt;&gt;"manual",$M447&lt;&gt;1)),
IF(Import.TipoArredondamento&lt;&gt;"TransfereGOV",
ROUND(OFFSET($P447,0,AF$13),15-13*ORÇAMENTO!$AF$7)/$H447*OFFSET(ORÇAMENTO!$X$15,ROW(AF447)-ROW(AF$15),0),
ROUND(ROUND(OFFSET($P447,0,AF$13),15-13*ORÇAMENTO!$AF$7)*OFFSET(ORÇAMENTO!$W$15,ROW(AF447)-ROW(AF$15),0),15-13*ORÇAMENTO!$AF$11)),0)</f>
        <v>0</v>
      </c>
      <c r="AG447" s="545">
        <f ca="1">IF(AND($D447="Serviço",AG$12&lt;&gt;0,$H447&gt;0,OR(AUTOEVENTO&lt;&gt;"manual",$M447&lt;&gt;1)),
IF(Import.TipoArredondamento&lt;&gt;"TransfereGOV",
ROUND(OFFSET($P447,0,AG$13),15-13*ORÇAMENTO!$AF$7)/$H447*OFFSET(ORÇAMENTO!$X$15,ROW(AG447)-ROW(AG$15),0),
ROUND(ROUND(OFFSET($P447,0,AG$13),15-13*ORÇAMENTO!$AF$7)*OFFSET(ORÇAMENTO!$W$15,ROW(AG447)-ROW(AG$15),0),15-13*ORÇAMENTO!$AF$11)),0)</f>
        <v>0</v>
      </c>
      <c r="AH447" s="545">
        <f ca="1">IF(AND($D447="Serviço",AH$12&lt;&gt;0,$H447&gt;0,OR(AUTOEVENTO&lt;&gt;"manual",$M447&lt;&gt;1)),
IF(Import.TipoArredondamento&lt;&gt;"TransfereGOV",
ROUND(OFFSET($P447,0,AH$13),15-13*ORÇAMENTO!$AF$7)/$H447*OFFSET(ORÇAMENTO!$X$15,ROW(AH447)-ROW(AH$15),0),
ROUND(ROUND(OFFSET($P447,0,AH$13),15-13*ORÇAMENTO!$AF$7)*OFFSET(ORÇAMENTO!$W$15,ROW(AH447)-ROW(AH$15),0),15-13*ORÇAMENTO!$AF$11)),0)</f>
        <v>0</v>
      </c>
      <c r="AI447" s="545">
        <f ca="1">IF(AND($D447="Serviço",AI$12&lt;&gt;0,$H447&gt;0,OR(AUTOEVENTO&lt;&gt;"manual",$M447&lt;&gt;1)),
IF(Import.TipoArredondamento&lt;&gt;"TransfereGOV",
ROUND(OFFSET($P447,0,AI$13),15-13*ORÇAMENTO!$AF$7)/$H447*OFFSET(ORÇAMENTO!$X$15,ROW(AI447)-ROW(AI$15),0),
ROUND(ROUND(OFFSET($P447,0,AI$13),15-13*ORÇAMENTO!$AF$7)*OFFSET(ORÇAMENTO!$W$15,ROW(AI447)-ROW(AI$15),0),15-13*ORÇAMENTO!$AF$11)),0)</f>
        <v>0</v>
      </c>
      <c r="AJ447" s="545">
        <f ca="1">IF(AND($D447="Serviço",AJ$12&lt;&gt;0,$H447&gt;0,OR(AUTOEVENTO&lt;&gt;"manual",$M447&lt;&gt;1)),
IF(Import.TipoArredondamento&lt;&gt;"TransfereGOV",
ROUND(OFFSET($P447,0,AJ$13),15-13*ORÇAMENTO!$AF$7)/$H447*OFFSET(ORÇAMENTO!$X$15,ROW(AJ447)-ROW(AJ$15),0),
ROUND(ROUND(OFFSET($P447,0,AJ$13),15-13*ORÇAMENTO!$AF$7)*OFFSET(ORÇAMENTO!$W$15,ROW(AJ447)-ROW(AJ$15),0),15-13*ORÇAMENTO!$AF$11)),0)</f>
        <v>0</v>
      </c>
      <c r="AK447" s="546">
        <f ca="1">IF(AND($D447="Serviço",AK$12&lt;&gt;0,$H447&gt;0,OR(AUTOEVENTO&lt;&gt;"manual",$M447&lt;&gt;1)),
IF(Import.TipoArredondamento&lt;&gt;"TransfereGOV",
ROUND(OFFSET($P447,0,AK$13),15-13*ORÇAMENTO!$AF$7)/$H447*OFFSET(ORÇAMENTO!$X$15,ROW(AK447)-ROW(AK$15),0),
ROUND(ROUND(OFFSET($P447,0,AK$13),15-13*ORÇAMENTO!$AF$7)*OFFSET(ORÇAMENTO!$W$15,ROW(AK447)-ROW(AK$15),0),15-13*ORÇAMENTO!$AF$11)),0)</f>
        <v>0</v>
      </c>
      <c r="AM447" s="181">
        <f ca="1">IF($D447&lt;&gt;"Serviço",0,IF(AND(AUTOEVENTO="Manual",$M447=1),0,IF(OFFSET(CRONOPLE!$F$14,$M447,AM$13)="",10^12,OFFSET(CRONOPLE!$F$14,$M447,AM$13))))</f>
        <v>1000000000000</v>
      </c>
      <c r="AN447" s="181">
        <f ca="1">IF($D447&lt;&gt;"Serviço",0,IF(AND(AUTOEVENTO="Manual",$M447=1),0,IF(OFFSET(CRONOPLE!$F$14,$M447,AN$13)="",10^12,OFFSET(CRONOPLE!$F$14,$M447,AN$13))))</f>
        <v>1000000000000</v>
      </c>
      <c r="AO447" s="181">
        <f ca="1">IF($D447&lt;&gt;"Serviço",0,IF(AND(AUTOEVENTO="Manual",$M447=1),0,IF(OFFSET(CRONOPLE!$F$14,$M447,AO$13)="",10^12,OFFSET(CRONOPLE!$F$14,$M447,AO$13))))</f>
        <v>1000000000000</v>
      </c>
      <c r="AP447" s="181">
        <f ca="1">IF($D447&lt;&gt;"Serviço",0,IF(AND(AUTOEVENTO="Manual",$M447=1),0,IF(OFFSET(CRONOPLE!$F$14,$M447,AP$13)="",10^12,OFFSET(CRONOPLE!$F$14,$M447,AP$13))))</f>
        <v>1000000000000</v>
      </c>
      <c r="AQ447" s="181">
        <f ca="1">IF($D447&lt;&gt;"Serviço",0,IF(AND(AUTOEVENTO="Manual",$M447=1),0,IF(OFFSET(CRONOPLE!$F$14,$M447,AQ$13)="",10^12,OFFSET(CRONOPLE!$F$14,$M447,AQ$13))))</f>
        <v>1000000000000</v>
      </c>
      <c r="AR447" s="181">
        <f ca="1">IF($D447&lt;&gt;"Serviço",0,IF(AND(AUTOEVENTO="Manual",$M447=1),0,IF(OFFSET(CRONOPLE!$F$14,$M447,AR$13)="",10^12,OFFSET(CRONOPLE!$F$14,$M447,AR$13))))</f>
        <v>1000000000000</v>
      </c>
      <c r="AS447" s="181">
        <f ca="1">IF($D447&lt;&gt;"Serviço",0,IF(AND(AUTOEVENTO="Manual",$M447=1),0,IF(OFFSET(CRONOPLE!$F$14,$M447,AS$13)="",10^12,OFFSET(CRONOPLE!$F$14,$M447,AS$13))))</f>
        <v>1000000000000</v>
      </c>
      <c r="AT447" s="181">
        <f ca="1">IF($D447&lt;&gt;"Serviço",0,IF(AND(AUTOEVENTO="Manual",$M447=1),0,IF(OFFSET(CRONOPLE!$F$14,$M447,AT$13)="",10^12,OFFSET(CRONOPLE!$F$14,$M447,AT$13))))</f>
        <v>1000000000000</v>
      </c>
      <c r="AU447" s="181">
        <f ca="1">IF($D447&lt;&gt;"Serviço",0,IF(AND(AUTOEVENTO="Manual",$M447=1),0,IF(OFFSET(CRONOPLE!$F$14,$M447,AU$13)="",10^12,OFFSET(CRONOPLE!$F$14,$M447,AU$13))))</f>
        <v>1000000000000</v>
      </c>
      <c r="AV447" s="181">
        <f ca="1">IF($D447&lt;&gt;"Serviço",0,IF(AND(AUTOEVENTO="Manual",$M447=1),0,IF(OFFSET(CRONOPLE!$F$14,$M447,AV$13)="",10^12,OFFSET(CRONOPLE!$F$14,$M447,AV$13))))</f>
        <v>1000000000000</v>
      </c>
      <c r="AX447" s="182">
        <f ca="1">IF($D447&lt;&gt;"Serviço",0,IF(OR(AND(AUTOEVENTO="Manual",$M447=1),$M447&gt;(ROW(PLE.lastrow)-ROW(PLE.firstrow))),0,IF(OFFSET(PLE!$G$14,$M447,AX$13)="",10^12,OFFSET(PLE!$G$14,$M447,AX$13))))</f>
        <v>1000000000000</v>
      </c>
      <c r="AY447" s="182">
        <f ca="1">IF($D447&lt;&gt;"Serviço",0,IF(OR(AND(AUTOEVENTO="Manual",$M447=1),$M447&gt;(ROW(PLE.lastrow)-ROW(PLE.firstrow))),0,IF(OFFSET(PLE!$G$14,$M447,AY$13)="",10^12,OFFSET(PLE!$G$14,$M447,AY$13))))</f>
        <v>1000000000000</v>
      </c>
      <c r="AZ447" s="182">
        <f ca="1">IF($D447&lt;&gt;"Serviço",0,IF(OR(AND(AUTOEVENTO="Manual",$M447=1),$M447&gt;(ROW(PLE.lastrow)-ROW(PLE.firstrow))),0,IF(OFFSET(PLE!$G$14,$M447,AZ$13)="",10^12,OFFSET(PLE!$G$14,$M447,AZ$13))))</f>
        <v>1000000000000</v>
      </c>
      <c r="BA447" s="182">
        <f ca="1">IF($D447&lt;&gt;"Serviço",0,IF(OR(AND(AUTOEVENTO="Manual",$M447=1),$M447&gt;(ROW(PLE.lastrow)-ROW(PLE.firstrow))),0,IF(OFFSET(PLE!$G$14,$M447,BA$13)="",10^12,OFFSET(PLE!$G$14,$M447,BA$13))))</f>
        <v>1000000000000</v>
      </c>
      <c r="BB447" s="182">
        <f ca="1">IF($D447&lt;&gt;"Serviço",0,IF(OR(AND(AUTOEVENTO="Manual",$M447=1),$M447&gt;(ROW(PLE.lastrow)-ROW(PLE.firstrow))),0,IF(OFFSET(PLE!$G$14,$M447,BB$13)="",10^12,OFFSET(PLE!$G$14,$M447,BB$13))))</f>
        <v>1000000000000</v>
      </c>
      <c r="BC447" s="182">
        <f ca="1">IF($D447&lt;&gt;"Serviço",0,IF(OR(AND(AUTOEVENTO="Manual",$M447=1),$M447&gt;(ROW(PLE.lastrow)-ROW(PLE.firstrow))),0,IF(OFFSET(PLE!$G$14,$M447,BC$13)="",10^12,OFFSET(PLE!$G$14,$M447,BC$13))))</f>
        <v>1000000000000</v>
      </c>
      <c r="BD447" s="182">
        <f ca="1">IF($D447&lt;&gt;"Serviço",0,IF(OR(AND(AUTOEVENTO="Manual",$M447=1),$M447&gt;(ROW(PLE.lastrow)-ROW(PLE.firstrow))),0,IF(OFFSET(PLE!$G$14,$M447,BD$13)="",10^12,OFFSET(PLE!$G$14,$M447,BD$13))))</f>
        <v>1000000000000</v>
      </c>
      <c r="BE447" s="182">
        <f ca="1">IF($D447&lt;&gt;"Serviço",0,IF(OR(AND(AUTOEVENTO="Manual",$M447=1),$M447&gt;(ROW(PLE.lastrow)-ROW(PLE.firstrow))),0,IF(OFFSET(PLE!$G$14,$M447,BE$13)="",10^12,OFFSET(PLE!$G$14,$M447,BE$13))))</f>
        <v>1000000000000</v>
      </c>
      <c r="BF447" s="182">
        <f ca="1">IF($D447&lt;&gt;"Serviço",0,IF(OR(AND(AUTOEVENTO="Manual",$M447=1),$M447&gt;(ROW(PLE.lastrow)-ROW(PLE.firstrow))),0,IF(OFFSET(PLE!$G$14,$M447,BF$13)="",10^12,OFFSET(PLE!$G$14,$M447,BF$13))))</f>
        <v>1000000000000</v>
      </c>
      <c r="BG447" s="182">
        <f ca="1">IF($D447&lt;&gt;"Serviço",0,IF(OR(AND(AUTOEVENTO="Manual",$M447=1),$M447&gt;(ROW(PLE.lastrow)-ROW(PLE.firstrow))),0,IF(OFFSET(PLE!$G$14,$M447,BG$13)="",10^12,OFFSET(PLE!$G$14,$M447,BG$13))))</f>
        <v>1000000000000</v>
      </c>
    </row>
    <row r="448" spans="1:59" ht="25.5" x14ac:dyDescent="0.2">
      <c r="A448" s="7" t="str">
        <f ca="1">IF(AUTOEVENTO="Manual",IF(K448&lt;&gt;"",MIN(VALUE(LEFT(K448,FIND(".",K448)-1)),COUNTA(EVENTOS.Lista)),0),IF(OR($B448&gt;AUTOEVENTO,$B448="S",$B448=0),SUBSTITUTE(OFFSET($A448,-1,0),IF($D448="Serviço",".",""),""),ROW(A448)-ROW($A$15)&amp;"."))</f>
        <v>411</v>
      </c>
      <c r="B448" s="7" t="str">
        <f ca="1">OFFSET(ORÇAMENTO!C$15,ROW(B448)-ROW(B$15),0)</f>
        <v>S</v>
      </c>
      <c r="C448" s="7" t="str">
        <f ca="1">OFFSET(ORÇAMENTO!L$15,ROW(C448)-ROW(C$15),0)</f>
        <v/>
      </c>
      <c r="D448" s="118" t="str">
        <f ca="1">OFFSET(ORÇAMENTO!N$15,ROW(D448)-ROW(D$15),0)</f>
        <v>Serviço</v>
      </c>
      <c r="E448" s="119" t="str">
        <f ca="1">OFFSET(ORÇAMENTO!O$15,ROW(E448)-ROW(E$15),0)</f>
        <v>-</v>
      </c>
      <c r="F448" s="172" t="str">
        <f ca="1">OFFSET(ORÇAMENTO!R$15,ROW(F448)-ROW(F$15),0)</f>
        <v>(abra o arquivo 'Referência 02-2025.xlsm)</v>
      </c>
      <c r="G448" s="173" t="str">
        <f ca="1">IF($D448&lt;&gt;"Serviço","",OFFSET(ORÇAMENTO!S$15,ROW(G448)-ROW(G$15),0))</f>
        <v>-</v>
      </c>
      <c r="H448" s="124">
        <f ca="1">IF($D448&lt;&gt;"Serviço",0,IF(ACOMPANHAMENTO="BM",ROUND(OFFSET(ORÇAMENTO!AJ$15,ROW(H448)-ROW(H$15),0),15-13*ORÇAMENTO!$AF$7),SUMPRODUCT(($Q$12:$AA$12&lt;&gt;"")*ROUND($Q448:$AA448,15-13*ORÇAMENTO!$AF$7))))</f>
        <v>1</v>
      </c>
      <c r="I448" s="561"/>
      <c r="K448" s="174"/>
      <c r="L448" s="175" t="s">
        <v>255</v>
      </c>
      <c r="M448" s="176">
        <f ca="1">IF($D448&lt;&gt;"Serviço","",IF(AUTOEVENTO="manual",$A448,IF(ISERROR(MATCH($A448,$A$15:OFFSET($A448,-1,0),0)),MAX($M$15:OFFSET(M448,-1,0))+1,INDEX($M$15:OFFSET(M448,-1,0),MATCH($A448,$A$15:OFFSET($A448,-1,0),0)))))</f>
        <v>17</v>
      </c>
      <c r="N448" s="177" t="str">
        <f ca="1">IF($D448&lt;&gt;"Serviço","",IF(AUTOEVENTO="Manual",IF($A448=0,"&lt;-- defina o número do agrupador",OFFSET(EVENTOS!$D$14,$A448,0)),OFFSET($F$15,$A448,0)))</f>
        <v>SISTEMA DE PROTEÇÃO CONTRA INCÊNDIO</v>
      </c>
      <c r="O448" s="178"/>
      <c r="Q448" s="178"/>
      <c r="R448" s="179"/>
      <c r="S448" s="179"/>
      <c r="T448" s="179"/>
      <c r="U448" s="179"/>
      <c r="V448" s="179"/>
      <c r="W448" s="179"/>
      <c r="X448" s="179"/>
      <c r="Y448" s="179"/>
      <c r="Z448" s="180"/>
      <c r="AB448" s="544">
        <f ca="1">IF(AND($D448="Serviço",AB$12&lt;&gt;0,$H448&gt;0,OR(AUTOEVENTO&lt;&gt;"manual",$M448&lt;&gt;1)),
IF(Import.TipoArredondamento&lt;&gt;"TransfereGOV",
ROUND(OFFSET($P448,0,AB$13),15-13*ORÇAMENTO!$AF$7)/$H448*OFFSET(ORÇAMENTO!$X$15,ROW(AB448)-ROW(AB$15),0),
ROUND(ROUND(OFFSET($P448,0,AB$13),15-13*ORÇAMENTO!$AF$7)*OFFSET(ORÇAMENTO!$W$15,ROW(AB448)-ROW(AB$15),0),15-13*ORÇAMENTO!$AF$11)),0)</f>
        <v>0</v>
      </c>
      <c r="AC448" s="545">
        <f ca="1">IF(AND($D448="Serviço",AC$12&lt;&gt;0,$H448&gt;0,OR(AUTOEVENTO&lt;&gt;"manual",$M448&lt;&gt;1)),
IF(Import.TipoArredondamento&lt;&gt;"TransfereGOV",
ROUND(OFFSET($P448,0,AC$13),15-13*ORÇAMENTO!$AF$7)/$H448*OFFSET(ORÇAMENTO!$X$15,ROW(AC448)-ROW(AC$15),0),
ROUND(ROUND(OFFSET($P448,0,AC$13),15-13*ORÇAMENTO!$AF$7)*OFFSET(ORÇAMENTO!$W$15,ROW(AC448)-ROW(AC$15),0),15-13*ORÇAMENTO!$AF$11)),0)</f>
        <v>0</v>
      </c>
      <c r="AD448" s="545">
        <f ca="1">IF(AND($D448="Serviço",AD$12&lt;&gt;0,$H448&gt;0,OR(AUTOEVENTO&lt;&gt;"manual",$M448&lt;&gt;1)),
IF(Import.TipoArredondamento&lt;&gt;"TransfereGOV",
ROUND(OFFSET($P448,0,AD$13),15-13*ORÇAMENTO!$AF$7)/$H448*OFFSET(ORÇAMENTO!$X$15,ROW(AD448)-ROW(AD$15),0),
ROUND(ROUND(OFFSET($P448,0,AD$13),15-13*ORÇAMENTO!$AF$7)*OFFSET(ORÇAMENTO!$W$15,ROW(AD448)-ROW(AD$15),0),15-13*ORÇAMENTO!$AF$11)),0)</f>
        <v>0</v>
      </c>
      <c r="AE448" s="545">
        <f ca="1">IF(AND($D448="Serviço",AE$12&lt;&gt;0,$H448&gt;0,OR(AUTOEVENTO&lt;&gt;"manual",$M448&lt;&gt;1)),
IF(Import.TipoArredondamento&lt;&gt;"TransfereGOV",
ROUND(OFFSET($P448,0,AE$13),15-13*ORÇAMENTO!$AF$7)/$H448*OFFSET(ORÇAMENTO!$X$15,ROW(AE448)-ROW(AE$15),0),
ROUND(ROUND(OFFSET($P448,0,AE$13),15-13*ORÇAMENTO!$AF$7)*OFFSET(ORÇAMENTO!$W$15,ROW(AE448)-ROW(AE$15),0),15-13*ORÇAMENTO!$AF$11)),0)</f>
        <v>0</v>
      </c>
      <c r="AF448" s="545">
        <f ca="1">IF(AND($D448="Serviço",AF$12&lt;&gt;0,$H448&gt;0,OR(AUTOEVENTO&lt;&gt;"manual",$M448&lt;&gt;1)),
IF(Import.TipoArredondamento&lt;&gt;"TransfereGOV",
ROUND(OFFSET($P448,0,AF$13),15-13*ORÇAMENTO!$AF$7)/$H448*OFFSET(ORÇAMENTO!$X$15,ROW(AF448)-ROW(AF$15),0),
ROUND(ROUND(OFFSET($P448,0,AF$13),15-13*ORÇAMENTO!$AF$7)*OFFSET(ORÇAMENTO!$W$15,ROW(AF448)-ROW(AF$15),0),15-13*ORÇAMENTO!$AF$11)),0)</f>
        <v>0</v>
      </c>
      <c r="AG448" s="545">
        <f ca="1">IF(AND($D448="Serviço",AG$12&lt;&gt;0,$H448&gt;0,OR(AUTOEVENTO&lt;&gt;"manual",$M448&lt;&gt;1)),
IF(Import.TipoArredondamento&lt;&gt;"TransfereGOV",
ROUND(OFFSET($P448,0,AG$13),15-13*ORÇAMENTO!$AF$7)/$H448*OFFSET(ORÇAMENTO!$X$15,ROW(AG448)-ROW(AG$15),0),
ROUND(ROUND(OFFSET($P448,0,AG$13),15-13*ORÇAMENTO!$AF$7)*OFFSET(ORÇAMENTO!$W$15,ROW(AG448)-ROW(AG$15),0),15-13*ORÇAMENTO!$AF$11)),0)</f>
        <v>0</v>
      </c>
      <c r="AH448" s="545">
        <f ca="1">IF(AND($D448="Serviço",AH$12&lt;&gt;0,$H448&gt;0,OR(AUTOEVENTO&lt;&gt;"manual",$M448&lt;&gt;1)),
IF(Import.TipoArredondamento&lt;&gt;"TransfereGOV",
ROUND(OFFSET($P448,0,AH$13),15-13*ORÇAMENTO!$AF$7)/$H448*OFFSET(ORÇAMENTO!$X$15,ROW(AH448)-ROW(AH$15),0),
ROUND(ROUND(OFFSET($P448,0,AH$13),15-13*ORÇAMENTO!$AF$7)*OFFSET(ORÇAMENTO!$W$15,ROW(AH448)-ROW(AH$15),0),15-13*ORÇAMENTO!$AF$11)),0)</f>
        <v>0</v>
      </c>
      <c r="AI448" s="545">
        <f ca="1">IF(AND($D448="Serviço",AI$12&lt;&gt;0,$H448&gt;0,OR(AUTOEVENTO&lt;&gt;"manual",$M448&lt;&gt;1)),
IF(Import.TipoArredondamento&lt;&gt;"TransfereGOV",
ROUND(OFFSET($P448,0,AI$13),15-13*ORÇAMENTO!$AF$7)/$H448*OFFSET(ORÇAMENTO!$X$15,ROW(AI448)-ROW(AI$15),0),
ROUND(ROUND(OFFSET($P448,0,AI$13),15-13*ORÇAMENTO!$AF$7)*OFFSET(ORÇAMENTO!$W$15,ROW(AI448)-ROW(AI$15),0),15-13*ORÇAMENTO!$AF$11)),0)</f>
        <v>0</v>
      </c>
      <c r="AJ448" s="545">
        <f ca="1">IF(AND($D448="Serviço",AJ$12&lt;&gt;0,$H448&gt;0,OR(AUTOEVENTO&lt;&gt;"manual",$M448&lt;&gt;1)),
IF(Import.TipoArredondamento&lt;&gt;"TransfereGOV",
ROUND(OFFSET($P448,0,AJ$13),15-13*ORÇAMENTO!$AF$7)/$H448*OFFSET(ORÇAMENTO!$X$15,ROW(AJ448)-ROW(AJ$15),0),
ROUND(ROUND(OFFSET($P448,0,AJ$13),15-13*ORÇAMENTO!$AF$7)*OFFSET(ORÇAMENTO!$W$15,ROW(AJ448)-ROW(AJ$15),0),15-13*ORÇAMENTO!$AF$11)),0)</f>
        <v>0</v>
      </c>
      <c r="AK448" s="546">
        <f ca="1">IF(AND($D448="Serviço",AK$12&lt;&gt;0,$H448&gt;0,OR(AUTOEVENTO&lt;&gt;"manual",$M448&lt;&gt;1)),
IF(Import.TipoArredondamento&lt;&gt;"TransfereGOV",
ROUND(OFFSET($P448,0,AK$13),15-13*ORÇAMENTO!$AF$7)/$H448*OFFSET(ORÇAMENTO!$X$15,ROW(AK448)-ROW(AK$15),0),
ROUND(ROUND(OFFSET($P448,0,AK$13),15-13*ORÇAMENTO!$AF$7)*OFFSET(ORÇAMENTO!$W$15,ROW(AK448)-ROW(AK$15),0),15-13*ORÇAMENTO!$AF$11)),0)</f>
        <v>0</v>
      </c>
      <c r="AM448" s="181">
        <f ca="1">IF($D448&lt;&gt;"Serviço",0,IF(AND(AUTOEVENTO="Manual",$M448=1),0,IF(OFFSET(CRONOPLE!$F$14,$M448,AM$13)="",10^12,OFFSET(CRONOPLE!$F$14,$M448,AM$13))))</f>
        <v>1000000000000</v>
      </c>
      <c r="AN448" s="181">
        <f ca="1">IF($D448&lt;&gt;"Serviço",0,IF(AND(AUTOEVENTO="Manual",$M448=1),0,IF(OFFSET(CRONOPLE!$F$14,$M448,AN$13)="",10^12,OFFSET(CRONOPLE!$F$14,$M448,AN$13))))</f>
        <v>1000000000000</v>
      </c>
      <c r="AO448" s="181">
        <f ca="1">IF($D448&lt;&gt;"Serviço",0,IF(AND(AUTOEVENTO="Manual",$M448=1),0,IF(OFFSET(CRONOPLE!$F$14,$M448,AO$13)="",10^12,OFFSET(CRONOPLE!$F$14,$M448,AO$13))))</f>
        <v>1000000000000</v>
      </c>
      <c r="AP448" s="181">
        <f ca="1">IF($D448&lt;&gt;"Serviço",0,IF(AND(AUTOEVENTO="Manual",$M448=1),0,IF(OFFSET(CRONOPLE!$F$14,$M448,AP$13)="",10^12,OFFSET(CRONOPLE!$F$14,$M448,AP$13))))</f>
        <v>1000000000000</v>
      </c>
      <c r="AQ448" s="181">
        <f ca="1">IF($D448&lt;&gt;"Serviço",0,IF(AND(AUTOEVENTO="Manual",$M448=1),0,IF(OFFSET(CRONOPLE!$F$14,$M448,AQ$13)="",10^12,OFFSET(CRONOPLE!$F$14,$M448,AQ$13))))</f>
        <v>1000000000000</v>
      </c>
      <c r="AR448" s="181">
        <f ca="1">IF($D448&lt;&gt;"Serviço",0,IF(AND(AUTOEVENTO="Manual",$M448=1),0,IF(OFFSET(CRONOPLE!$F$14,$M448,AR$13)="",10^12,OFFSET(CRONOPLE!$F$14,$M448,AR$13))))</f>
        <v>1000000000000</v>
      </c>
      <c r="AS448" s="181">
        <f ca="1">IF($D448&lt;&gt;"Serviço",0,IF(AND(AUTOEVENTO="Manual",$M448=1),0,IF(OFFSET(CRONOPLE!$F$14,$M448,AS$13)="",10^12,OFFSET(CRONOPLE!$F$14,$M448,AS$13))))</f>
        <v>1000000000000</v>
      </c>
      <c r="AT448" s="181">
        <f ca="1">IF($D448&lt;&gt;"Serviço",0,IF(AND(AUTOEVENTO="Manual",$M448=1),0,IF(OFFSET(CRONOPLE!$F$14,$M448,AT$13)="",10^12,OFFSET(CRONOPLE!$F$14,$M448,AT$13))))</f>
        <v>1000000000000</v>
      </c>
      <c r="AU448" s="181">
        <f ca="1">IF($D448&lt;&gt;"Serviço",0,IF(AND(AUTOEVENTO="Manual",$M448=1),0,IF(OFFSET(CRONOPLE!$F$14,$M448,AU$13)="",10^12,OFFSET(CRONOPLE!$F$14,$M448,AU$13))))</f>
        <v>1000000000000</v>
      </c>
      <c r="AV448" s="181">
        <f ca="1">IF($D448&lt;&gt;"Serviço",0,IF(AND(AUTOEVENTO="Manual",$M448=1),0,IF(OFFSET(CRONOPLE!$F$14,$M448,AV$13)="",10^12,OFFSET(CRONOPLE!$F$14,$M448,AV$13))))</f>
        <v>1000000000000</v>
      </c>
      <c r="AX448" s="182">
        <f ca="1">IF($D448&lt;&gt;"Serviço",0,IF(OR(AND(AUTOEVENTO="Manual",$M448=1),$M448&gt;(ROW(PLE.lastrow)-ROW(PLE.firstrow))),0,IF(OFFSET(PLE!$G$14,$M448,AX$13)="",10^12,OFFSET(PLE!$G$14,$M448,AX$13))))</f>
        <v>1000000000000</v>
      </c>
      <c r="AY448" s="182">
        <f ca="1">IF($D448&lt;&gt;"Serviço",0,IF(OR(AND(AUTOEVENTO="Manual",$M448=1),$M448&gt;(ROW(PLE.lastrow)-ROW(PLE.firstrow))),0,IF(OFFSET(PLE!$G$14,$M448,AY$13)="",10^12,OFFSET(PLE!$G$14,$M448,AY$13))))</f>
        <v>1000000000000</v>
      </c>
      <c r="AZ448" s="182">
        <f ca="1">IF($D448&lt;&gt;"Serviço",0,IF(OR(AND(AUTOEVENTO="Manual",$M448=1),$M448&gt;(ROW(PLE.lastrow)-ROW(PLE.firstrow))),0,IF(OFFSET(PLE!$G$14,$M448,AZ$13)="",10^12,OFFSET(PLE!$G$14,$M448,AZ$13))))</f>
        <v>1000000000000</v>
      </c>
      <c r="BA448" s="182">
        <f ca="1">IF($D448&lt;&gt;"Serviço",0,IF(OR(AND(AUTOEVENTO="Manual",$M448=1),$M448&gt;(ROW(PLE.lastrow)-ROW(PLE.firstrow))),0,IF(OFFSET(PLE!$G$14,$M448,BA$13)="",10^12,OFFSET(PLE!$G$14,$M448,BA$13))))</f>
        <v>1000000000000</v>
      </c>
      <c r="BB448" s="182">
        <f ca="1">IF($D448&lt;&gt;"Serviço",0,IF(OR(AND(AUTOEVENTO="Manual",$M448=1),$M448&gt;(ROW(PLE.lastrow)-ROW(PLE.firstrow))),0,IF(OFFSET(PLE!$G$14,$M448,BB$13)="",10^12,OFFSET(PLE!$G$14,$M448,BB$13))))</f>
        <v>1000000000000</v>
      </c>
      <c r="BC448" s="182">
        <f ca="1">IF($D448&lt;&gt;"Serviço",0,IF(OR(AND(AUTOEVENTO="Manual",$M448=1),$M448&gt;(ROW(PLE.lastrow)-ROW(PLE.firstrow))),0,IF(OFFSET(PLE!$G$14,$M448,BC$13)="",10^12,OFFSET(PLE!$G$14,$M448,BC$13))))</f>
        <v>1000000000000</v>
      </c>
      <c r="BD448" s="182">
        <f ca="1">IF($D448&lt;&gt;"Serviço",0,IF(OR(AND(AUTOEVENTO="Manual",$M448=1),$M448&gt;(ROW(PLE.lastrow)-ROW(PLE.firstrow))),0,IF(OFFSET(PLE!$G$14,$M448,BD$13)="",10^12,OFFSET(PLE!$G$14,$M448,BD$13))))</f>
        <v>1000000000000</v>
      </c>
      <c r="BE448" s="182">
        <f ca="1">IF($D448&lt;&gt;"Serviço",0,IF(OR(AND(AUTOEVENTO="Manual",$M448=1),$M448&gt;(ROW(PLE.lastrow)-ROW(PLE.firstrow))),0,IF(OFFSET(PLE!$G$14,$M448,BE$13)="",10^12,OFFSET(PLE!$G$14,$M448,BE$13))))</f>
        <v>1000000000000</v>
      </c>
      <c r="BF448" s="182">
        <f ca="1">IF($D448&lt;&gt;"Serviço",0,IF(OR(AND(AUTOEVENTO="Manual",$M448=1),$M448&gt;(ROW(PLE.lastrow)-ROW(PLE.firstrow))),0,IF(OFFSET(PLE!$G$14,$M448,BF$13)="",10^12,OFFSET(PLE!$G$14,$M448,BF$13))))</f>
        <v>1000000000000</v>
      </c>
      <c r="BG448" s="182">
        <f ca="1">IF($D448&lt;&gt;"Serviço",0,IF(OR(AND(AUTOEVENTO="Manual",$M448=1),$M448&gt;(ROW(PLE.lastrow)-ROW(PLE.firstrow))),0,IF(OFFSET(PLE!$G$14,$M448,BG$13)="",10^12,OFFSET(PLE!$G$14,$M448,BG$13))))</f>
        <v>1000000000000</v>
      </c>
    </row>
    <row r="449" spans="1:59" ht="12.75" x14ac:dyDescent="0.2">
      <c r="A449" s="7" t="str">
        <f t="shared" ca="1" si="13"/>
        <v>411</v>
      </c>
      <c r="B449" s="7">
        <f ca="1">OFFSET(ORÇAMENTO!C$15,ROW(B449)-ROW(B$15),0)</f>
        <v>3</v>
      </c>
      <c r="C449" s="7" t="str">
        <f ca="1">OFFSET(ORÇAMENTO!L$15,ROW(C449)-ROW(C$15),0)</f>
        <v>F</v>
      </c>
      <c r="D449" s="118" t="str">
        <f ca="1">OFFSET(ORÇAMENTO!N$15,ROW(D449)-ROW(D$15),0)</f>
        <v>Nível 3</v>
      </c>
      <c r="E449" s="119" t="str">
        <f ca="1">OFFSET(ORÇAMENTO!O$15,ROW(E449)-ROW(E$15),0)</f>
        <v>1.16.4.</v>
      </c>
      <c r="F449" s="172" t="str">
        <f ca="1">OFFSET(ORÇAMENTO!R$15,ROW(F449)-ROW(F$15),0)</f>
        <v>TUBULAÇÕES E CONEXÕES</v>
      </c>
      <c r="G449" s="173" t="str">
        <f ca="1">IF($D449&lt;&gt;"Serviço","",OFFSET(ORÇAMENTO!S$15,ROW(G449)-ROW(G$15),0))</f>
        <v/>
      </c>
      <c r="H449" s="124">
        <f ca="1">IF($D449&lt;&gt;"Serviço",0,IF(ACOMPANHAMENTO="BM",ROUND(OFFSET(ORÇAMENTO!AJ$15,ROW(H449)-ROW(H$15),0),15-13*ORÇAMENTO!$AF$7),SUMPRODUCT(($Q$12:$AA$12&lt;&gt;"")*ROUND($Q449:$AA449,15-13*ORÇAMENTO!$AF$7))))</f>
        <v>0</v>
      </c>
      <c r="I449" s="561"/>
      <c r="K449" s="174"/>
      <c r="L449" s="175" t="s">
        <v>255</v>
      </c>
      <c r="M449" s="176" t="str">
        <f ca="1">IF($D449&lt;&gt;"Serviço","",IF(AUTOEVENTO="manual",$A449,IF(ISERROR(MATCH($A449,$A$15:OFFSET($A449,-1,0),0)),MAX($M$15:OFFSET(M449,-1,0))+1,INDEX($M$15:OFFSET(M449,-1,0),MATCH($A449,$A$15:OFFSET($A449,-1,0),0)))))</f>
        <v/>
      </c>
      <c r="N449" s="177" t="str">
        <f ca="1">IF($D449&lt;&gt;"Serviço","",IF(AUTOEVENTO="Manual",IF($A449=0,"&lt;-- defina o número do agrupador",OFFSET(EVENTOS!$D$14,$A449,0)),OFFSET($F$15,$A449,0)))</f>
        <v/>
      </c>
      <c r="O449" s="178"/>
      <c r="Q449" s="178"/>
      <c r="R449" s="179"/>
      <c r="S449" s="179"/>
      <c r="T449" s="179"/>
      <c r="U449" s="179"/>
      <c r="V449" s="179"/>
      <c r="W449" s="179"/>
      <c r="X449" s="179"/>
      <c r="Y449" s="179"/>
      <c r="Z449" s="180"/>
      <c r="AB449" s="544">
        <f ca="1">IF(AND($D449="Serviço",AB$12&lt;&gt;0,$H449&gt;0,OR(AUTOEVENTO&lt;&gt;"manual",$M449&lt;&gt;1)),
IF(Import.TipoArredondamento&lt;&gt;"TransfereGOV",
ROUND(OFFSET($P449,0,AB$13),15-13*ORÇAMENTO!$AF$7)/$H449*OFFSET(ORÇAMENTO!$X$15,ROW(AB449)-ROW(AB$15),0),
ROUND(ROUND(OFFSET($P449,0,AB$13),15-13*ORÇAMENTO!$AF$7)*OFFSET(ORÇAMENTO!$W$15,ROW(AB449)-ROW(AB$15),0),15-13*ORÇAMENTO!$AF$11)),0)</f>
        <v>0</v>
      </c>
      <c r="AC449" s="545">
        <f ca="1">IF(AND($D449="Serviço",AC$12&lt;&gt;0,$H449&gt;0,OR(AUTOEVENTO&lt;&gt;"manual",$M449&lt;&gt;1)),
IF(Import.TipoArredondamento&lt;&gt;"TransfereGOV",
ROUND(OFFSET($P449,0,AC$13),15-13*ORÇAMENTO!$AF$7)/$H449*OFFSET(ORÇAMENTO!$X$15,ROW(AC449)-ROW(AC$15),0),
ROUND(ROUND(OFFSET($P449,0,AC$13),15-13*ORÇAMENTO!$AF$7)*OFFSET(ORÇAMENTO!$W$15,ROW(AC449)-ROW(AC$15),0),15-13*ORÇAMENTO!$AF$11)),0)</f>
        <v>0</v>
      </c>
      <c r="AD449" s="545">
        <f ca="1">IF(AND($D449="Serviço",AD$12&lt;&gt;0,$H449&gt;0,OR(AUTOEVENTO&lt;&gt;"manual",$M449&lt;&gt;1)),
IF(Import.TipoArredondamento&lt;&gt;"TransfereGOV",
ROUND(OFFSET($P449,0,AD$13),15-13*ORÇAMENTO!$AF$7)/$H449*OFFSET(ORÇAMENTO!$X$15,ROW(AD449)-ROW(AD$15),0),
ROUND(ROUND(OFFSET($P449,0,AD$13),15-13*ORÇAMENTO!$AF$7)*OFFSET(ORÇAMENTO!$W$15,ROW(AD449)-ROW(AD$15),0),15-13*ORÇAMENTO!$AF$11)),0)</f>
        <v>0</v>
      </c>
      <c r="AE449" s="545">
        <f ca="1">IF(AND($D449="Serviço",AE$12&lt;&gt;0,$H449&gt;0,OR(AUTOEVENTO&lt;&gt;"manual",$M449&lt;&gt;1)),
IF(Import.TipoArredondamento&lt;&gt;"TransfereGOV",
ROUND(OFFSET($P449,0,AE$13),15-13*ORÇAMENTO!$AF$7)/$H449*OFFSET(ORÇAMENTO!$X$15,ROW(AE449)-ROW(AE$15),0),
ROUND(ROUND(OFFSET($P449,0,AE$13),15-13*ORÇAMENTO!$AF$7)*OFFSET(ORÇAMENTO!$W$15,ROW(AE449)-ROW(AE$15),0),15-13*ORÇAMENTO!$AF$11)),0)</f>
        <v>0</v>
      </c>
      <c r="AF449" s="545">
        <f ca="1">IF(AND($D449="Serviço",AF$12&lt;&gt;0,$H449&gt;0,OR(AUTOEVENTO&lt;&gt;"manual",$M449&lt;&gt;1)),
IF(Import.TipoArredondamento&lt;&gt;"TransfereGOV",
ROUND(OFFSET($P449,0,AF$13),15-13*ORÇAMENTO!$AF$7)/$H449*OFFSET(ORÇAMENTO!$X$15,ROW(AF449)-ROW(AF$15),0),
ROUND(ROUND(OFFSET($P449,0,AF$13),15-13*ORÇAMENTO!$AF$7)*OFFSET(ORÇAMENTO!$W$15,ROW(AF449)-ROW(AF$15),0),15-13*ORÇAMENTO!$AF$11)),0)</f>
        <v>0</v>
      </c>
      <c r="AG449" s="545">
        <f ca="1">IF(AND($D449="Serviço",AG$12&lt;&gt;0,$H449&gt;0,OR(AUTOEVENTO&lt;&gt;"manual",$M449&lt;&gt;1)),
IF(Import.TipoArredondamento&lt;&gt;"TransfereGOV",
ROUND(OFFSET($P449,0,AG$13),15-13*ORÇAMENTO!$AF$7)/$H449*OFFSET(ORÇAMENTO!$X$15,ROW(AG449)-ROW(AG$15),0),
ROUND(ROUND(OFFSET($P449,0,AG$13),15-13*ORÇAMENTO!$AF$7)*OFFSET(ORÇAMENTO!$W$15,ROW(AG449)-ROW(AG$15),0),15-13*ORÇAMENTO!$AF$11)),0)</f>
        <v>0</v>
      </c>
      <c r="AH449" s="545">
        <f ca="1">IF(AND($D449="Serviço",AH$12&lt;&gt;0,$H449&gt;0,OR(AUTOEVENTO&lt;&gt;"manual",$M449&lt;&gt;1)),
IF(Import.TipoArredondamento&lt;&gt;"TransfereGOV",
ROUND(OFFSET($P449,0,AH$13),15-13*ORÇAMENTO!$AF$7)/$H449*OFFSET(ORÇAMENTO!$X$15,ROW(AH449)-ROW(AH$15),0),
ROUND(ROUND(OFFSET($P449,0,AH$13),15-13*ORÇAMENTO!$AF$7)*OFFSET(ORÇAMENTO!$W$15,ROW(AH449)-ROW(AH$15),0),15-13*ORÇAMENTO!$AF$11)),0)</f>
        <v>0</v>
      </c>
      <c r="AI449" s="545">
        <f ca="1">IF(AND($D449="Serviço",AI$12&lt;&gt;0,$H449&gt;0,OR(AUTOEVENTO&lt;&gt;"manual",$M449&lt;&gt;1)),
IF(Import.TipoArredondamento&lt;&gt;"TransfereGOV",
ROUND(OFFSET($P449,0,AI$13),15-13*ORÇAMENTO!$AF$7)/$H449*OFFSET(ORÇAMENTO!$X$15,ROW(AI449)-ROW(AI$15),0),
ROUND(ROUND(OFFSET($P449,0,AI$13),15-13*ORÇAMENTO!$AF$7)*OFFSET(ORÇAMENTO!$W$15,ROW(AI449)-ROW(AI$15),0),15-13*ORÇAMENTO!$AF$11)),0)</f>
        <v>0</v>
      </c>
      <c r="AJ449" s="545">
        <f ca="1">IF(AND($D449="Serviço",AJ$12&lt;&gt;0,$H449&gt;0,OR(AUTOEVENTO&lt;&gt;"manual",$M449&lt;&gt;1)),
IF(Import.TipoArredondamento&lt;&gt;"TransfereGOV",
ROUND(OFFSET($P449,0,AJ$13),15-13*ORÇAMENTO!$AF$7)/$H449*OFFSET(ORÇAMENTO!$X$15,ROW(AJ449)-ROW(AJ$15),0),
ROUND(ROUND(OFFSET($P449,0,AJ$13),15-13*ORÇAMENTO!$AF$7)*OFFSET(ORÇAMENTO!$W$15,ROW(AJ449)-ROW(AJ$15),0),15-13*ORÇAMENTO!$AF$11)),0)</f>
        <v>0</v>
      </c>
      <c r="AK449" s="546">
        <f ca="1">IF(AND($D449="Serviço",AK$12&lt;&gt;0,$H449&gt;0,OR(AUTOEVENTO&lt;&gt;"manual",$M449&lt;&gt;1)),
IF(Import.TipoArredondamento&lt;&gt;"TransfereGOV",
ROUND(OFFSET($P449,0,AK$13),15-13*ORÇAMENTO!$AF$7)/$H449*OFFSET(ORÇAMENTO!$X$15,ROW(AK449)-ROW(AK$15),0),
ROUND(ROUND(OFFSET($P449,0,AK$13),15-13*ORÇAMENTO!$AF$7)*OFFSET(ORÇAMENTO!$W$15,ROW(AK449)-ROW(AK$15),0),15-13*ORÇAMENTO!$AF$11)),0)</f>
        <v>0</v>
      </c>
      <c r="AM449" s="181">
        <f ca="1">IF($D449&lt;&gt;"Serviço",0,IF(AND(AUTOEVENTO="Manual",$M449=1),0,IF(OFFSET(CRONOPLE!$F$14,$M449,AM$13)="",10^12,OFFSET(CRONOPLE!$F$14,$M449,AM$13))))</f>
        <v>0</v>
      </c>
      <c r="AN449" s="181">
        <f ca="1">IF($D449&lt;&gt;"Serviço",0,IF(AND(AUTOEVENTO="Manual",$M449=1),0,IF(OFFSET(CRONOPLE!$F$14,$M449,AN$13)="",10^12,OFFSET(CRONOPLE!$F$14,$M449,AN$13))))</f>
        <v>0</v>
      </c>
      <c r="AO449" s="181">
        <f ca="1">IF($D449&lt;&gt;"Serviço",0,IF(AND(AUTOEVENTO="Manual",$M449=1),0,IF(OFFSET(CRONOPLE!$F$14,$M449,AO$13)="",10^12,OFFSET(CRONOPLE!$F$14,$M449,AO$13))))</f>
        <v>0</v>
      </c>
      <c r="AP449" s="181">
        <f ca="1">IF($D449&lt;&gt;"Serviço",0,IF(AND(AUTOEVENTO="Manual",$M449=1),0,IF(OFFSET(CRONOPLE!$F$14,$M449,AP$13)="",10^12,OFFSET(CRONOPLE!$F$14,$M449,AP$13))))</f>
        <v>0</v>
      </c>
      <c r="AQ449" s="181">
        <f ca="1">IF($D449&lt;&gt;"Serviço",0,IF(AND(AUTOEVENTO="Manual",$M449=1),0,IF(OFFSET(CRONOPLE!$F$14,$M449,AQ$13)="",10^12,OFFSET(CRONOPLE!$F$14,$M449,AQ$13))))</f>
        <v>0</v>
      </c>
      <c r="AR449" s="181">
        <f ca="1">IF($D449&lt;&gt;"Serviço",0,IF(AND(AUTOEVENTO="Manual",$M449=1),0,IF(OFFSET(CRONOPLE!$F$14,$M449,AR$13)="",10^12,OFFSET(CRONOPLE!$F$14,$M449,AR$13))))</f>
        <v>0</v>
      </c>
      <c r="AS449" s="181">
        <f ca="1">IF($D449&lt;&gt;"Serviço",0,IF(AND(AUTOEVENTO="Manual",$M449=1),0,IF(OFFSET(CRONOPLE!$F$14,$M449,AS$13)="",10^12,OFFSET(CRONOPLE!$F$14,$M449,AS$13))))</f>
        <v>0</v>
      </c>
      <c r="AT449" s="181">
        <f ca="1">IF($D449&lt;&gt;"Serviço",0,IF(AND(AUTOEVENTO="Manual",$M449=1),0,IF(OFFSET(CRONOPLE!$F$14,$M449,AT$13)="",10^12,OFFSET(CRONOPLE!$F$14,$M449,AT$13))))</f>
        <v>0</v>
      </c>
      <c r="AU449" s="181">
        <f ca="1">IF($D449&lt;&gt;"Serviço",0,IF(AND(AUTOEVENTO="Manual",$M449=1),0,IF(OFFSET(CRONOPLE!$F$14,$M449,AU$13)="",10^12,OFFSET(CRONOPLE!$F$14,$M449,AU$13))))</f>
        <v>0</v>
      </c>
      <c r="AV449" s="181">
        <f ca="1">IF($D449&lt;&gt;"Serviço",0,IF(AND(AUTOEVENTO="Manual",$M449=1),0,IF(OFFSET(CRONOPLE!$F$14,$M449,AV$13)="",10^12,OFFSET(CRONOPLE!$F$14,$M449,AV$13))))</f>
        <v>0</v>
      </c>
      <c r="AX449" s="182">
        <f ca="1">IF($D449&lt;&gt;"Serviço",0,IF(OR(AND(AUTOEVENTO="Manual",$M449=1),$M449&gt;(ROW(PLE.lastrow)-ROW(PLE.firstrow))),0,IF(OFFSET(PLE!$G$14,$M449,AX$13)="",10^12,OFFSET(PLE!$G$14,$M449,AX$13))))</f>
        <v>0</v>
      </c>
      <c r="AY449" s="182">
        <f ca="1">IF($D449&lt;&gt;"Serviço",0,IF(OR(AND(AUTOEVENTO="Manual",$M449=1),$M449&gt;(ROW(PLE.lastrow)-ROW(PLE.firstrow))),0,IF(OFFSET(PLE!$G$14,$M449,AY$13)="",10^12,OFFSET(PLE!$G$14,$M449,AY$13))))</f>
        <v>0</v>
      </c>
      <c r="AZ449" s="182">
        <f ca="1">IF($D449&lt;&gt;"Serviço",0,IF(OR(AND(AUTOEVENTO="Manual",$M449=1),$M449&gt;(ROW(PLE.lastrow)-ROW(PLE.firstrow))),0,IF(OFFSET(PLE!$G$14,$M449,AZ$13)="",10^12,OFFSET(PLE!$G$14,$M449,AZ$13))))</f>
        <v>0</v>
      </c>
      <c r="BA449" s="182">
        <f ca="1">IF($D449&lt;&gt;"Serviço",0,IF(OR(AND(AUTOEVENTO="Manual",$M449=1),$M449&gt;(ROW(PLE.lastrow)-ROW(PLE.firstrow))),0,IF(OFFSET(PLE!$G$14,$M449,BA$13)="",10^12,OFFSET(PLE!$G$14,$M449,BA$13))))</f>
        <v>0</v>
      </c>
      <c r="BB449" s="182">
        <f ca="1">IF($D449&lt;&gt;"Serviço",0,IF(OR(AND(AUTOEVENTO="Manual",$M449=1),$M449&gt;(ROW(PLE.lastrow)-ROW(PLE.firstrow))),0,IF(OFFSET(PLE!$G$14,$M449,BB$13)="",10^12,OFFSET(PLE!$G$14,$M449,BB$13))))</f>
        <v>0</v>
      </c>
      <c r="BC449" s="182">
        <f ca="1">IF($D449&lt;&gt;"Serviço",0,IF(OR(AND(AUTOEVENTO="Manual",$M449=1),$M449&gt;(ROW(PLE.lastrow)-ROW(PLE.firstrow))),0,IF(OFFSET(PLE!$G$14,$M449,BC$13)="",10^12,OFFSET(PLE!$G$14,$M449,BC$13))))</f>
        <v>0</v>
      </c>
      <c r="BD449" s="182">
        <f ca="1">IF($D449&lt;&gt;"Serviço",0,IF(OR(AND(AUTOEVENTO="Manual",$M449=1),$M449&gt;(ROW(PLE.lastrow)-ROW(PLE.firstrow))),0,IF(OFFSET(PLE!$G$14,$M449,BD$13)="",10^12,OFFSET(PLE!$G$14,$M449,BD$13))))</f>
        <v>0</v>
      </c>
      <c r="BE449" s="182">
        <f ca="1">IF($D449&lt;&gt;"Serviço",0,IF(OR(AND(AUTOEVENTO="Manual",$M449=1),$M449&gt;(ROW(PLE.lastrow)-ROW(PLE.firstrow))),0,IF(OFFSET(PLE!$G$14,$M449,BE$13)="",10^12,OFFSET(PLE!$G$14,$M449,BE$13))))</f>
        <v>0</v>
      </c>
      <c r="BF449" s="182">
        <f ca="1">IF($D449&lt;&gt;"Serviço",0,IF(OR(AND(AUTOEVENTO="Manual",$M449=1),$M449&gt;(ROW(PLE.lastrow)-ROW(PLE.firstrow))),0,IF(OFFSET(PLE!$G$14,$M449,BF$13)="",10^12,OFFSET(PLE!$G$14,$M449,BF$13))))</f>
        <v>0</v>
      </c>
      <c r="BG449" s="182">
        <f ca="1">IF($D449&lt;&gt;"Serviço",0,IF(OR(AND(AUTOEVENTO="Manual",$M449=1),$M449&gt;(ROW(PLE.lastrow)-ROW(PLE.firstrow))),0,IF(OFFSET(PLE!$G$14,$M449,BG$13)="",10^12,OFFSET(PLE!$G$14,$M449,BG$13))))</f>
        <v>0</v>
      </c>
    </row>
    <row r="450" spans="1:59" ht="38.25" x14ac:dyDescent="0.2">
      <c r="A450" s="7" t="str">
        <f t="shared" ref="A450:A477" ca="1" si="14">IF(AUTOEVENTO="Manual",IF(K450&lt;&gt;"",MIN(VALUE(LEFT(K450,FIND(".",K450)-1)),COUNTA(EVENTOS.Lista)),0),IF(OR($B450&gt;AUTOEVENTO,$B450="S",$B450=0),SUBSTITUTE(OFFSET($A450,-1,0),IF($D450="Serviço",".",""),""),ROW(A450)-ROW($A$15)&amp;"."))</f>
        <v>411</v>
      </c>
      <c r="B450" s="7" t="str">
        <f ca="1">OFFSET(ORÇAMENTO!C$15,ROW(B450)-ROW(B$15),0)</f>
        <v>S</v>
      </c>
      <c r="C450" s="7" t="str">
        <f ca="1">OFFSET(ORÇAMENTO!L$15,ROW(C450)-ROW(C$15),0)</f>
        <v/>
      </c>
      <c r="D450" s="118" t="str">
        <f ca="1">OFFSET(ORÇAMENTO!N$15,ROW(D450)-ROW(D$15),0)</f>
        <v>Serviço</v>
      </c>
      <c r="E450" s="119" t="str">
        <f ca="1">OFFSET(ORÇAMENTO!O$15,ROW(E450)-ROW(E$15),0)</f>
        <v>-</v>
      </c>
      <c r="F450" s="172" t="str">
        <f ca="1">OFFSET(ORÇAMENTO!R$15,ROW(F450)-ROW(F$15),0)</f>
        <v>(abra o arquivo 'Referência 02-2025.xlsm)</v>
      </c>
      <c r="G450" s="173" t="str">
        <f ca="1">IF($D450&lt;&gt;"Serviço","",OFFSET(ORÇAMENTO!S$15,ROW(G450)-ROW(G$15),0))</f>
        <v>-</v>
      </c>
      <c r="H450" s="124">
        <f ca="1">IF($D450&lt;&gt;"Serviço",0,IF(ACOMPANHAMENTO="BM",ROUND(OFFSET(ORÇAMENTO!AJ$15,ROW(H450)-ROW(H$15),0),15-13*ORÇAMENTO!$AF$7),SUMPRODUCT(($Q$12:$AA$12&lt;&gt;"")*ROUND($Q450:$AA450,15-13*ORÇAMENTO!$AF$7))))</f>
        <v>0.54</v>
      </c>
      <c r="I450" s="561" t="s">
        <v>890</v>
      </c>
      <c r="K450" s="174"/>
      <c r="L450" s="175" t="s">
        <v>255</v>
      </c>
      <c r="M450" s="176">
        <f ca="1">IF($D450&lt;&gt;"Serviço","",IF(AUTOEVENTO="manual",$A450,IF(ISERROR(MATCH($A450,$A$15:OFFSET($A450,-1,0),0)),MAX($M$15:OFFSET(M450,-1,0))+1,INDEX($M$15:OFFSET(M450,-1,0),MATCH($A450,$A$15:OFFSET($A450,-1,0),0)))))</f>
        <v>17</v>
      </c>
      <c r="N450" s="177" t="str">
        <f ca="1">IF($D450&lt;&gt;"Serviço","",IF(AUTOEVENTO="Manual",IF($A450=0,"&lt;-- defina o número do agrupador",OFFSET(EVENTOS!$D$14,$A450,0)),OFFSET($F$15,$A450,0)))</f>
        <v>SISTEMA DE PROTEÇÃO CONTRA INCÊNDIO</v>
      </c>
      <c r="O450" s="178"/>
      <c r="Q450" s="178"/>
      <c r="R450" s="179"/>
      <c r="S450" s="179"/>
      <c r="T450" s="179"/>
      <c r="U450" s="179"/>
      <c r="V450" s="179"/>
      <c r="W450" s="179"/>
      <c r="X450" s="179"/>
      <c r="Y450" s="179"/>
      <c r="Z450" s="180"/>
      <c r="AB450" s="544">
        <f ca="1">IF(AND($D450="Serviço",AB$12&lt;&gt;0,$H450&gt;0,OR(AUTOEVENTO&lt;&gt;"manual",$M450&lt;&gt;1)),
IF(Import.TipoArredondamento&lt;&gt;"TransfereGOV",
ROUND(OFFSET($P450,0,AB$13),15-13*ORÇAMENTO!$AF$7)/$H450*OFFSET(ORÇAMENTO!$X$15,ROW(AB450)-ROW(AB$15),0),
ROUND(ROUND(OFFSET($P450,0,AB$13),15-13*ORÇAMENTO!$AF$7)*OFFSET(ORÇAMENTO!$W$15,ROW(AB450)-ROW(AB$15),0),15-13*ORÇAMENTO!$AF$11)),0)</f>
        <v>0</v>
      </c>
      <c r="AC450" s="545">
        <f ca="1">IF(AND($D450="Serviço",AC$12&lt;&gt;0,$H450&gt;0,OR(AUTOEVENTO&lt;&gt;"manual",$M450&lt;&gt;1)),
IF(Import.TipoArredondamento&lt;&gt;"TransfereGOV",
ROUND(OFFSET($P450,0,AC$13),15-13*ORÇAMENTO!$AF$7)/$H450*OFFSET(ORÇAMENTO!$X$15,ROW(AC450)-ROW(AC$15),0),
ROUND(ROUND(OFFSET($P450,0,AC$13),15-13*ORÇAMENTO!$AF$7)*OFFSET(ORÇAMENTO!$W$15,ROW(AC450)-ROW(AC$15),0),15-13*ORÇAMENTO!$AF$11)),0)</f>
        <v>0</v>
      </c>
      <c r="AD450" s="545">
        <f ca="1">IF(AND($D450="Serviço",AD$12&lt;&gt;0,$H450&gt;0,OR(AUTOEVENTO&lt;&gt;"manual",$M450&lt;&gt;1)),
IF(Import.TipoArredondamento&lt;&gt;"TransfereGOV",
ROUND(OFFSET($P450,0,AD$13),15-13*ORÇAMENTO!$AF$7)/$H450*OFFSET(ORÇAMENTO!$X$15,ROW(AD450)-ROW(AD$15),0),
ROUND(ROUND(OFFSET($P450,0,AD$13),15-13*ORÇAMENTO!$AF$7)*OFFSET(ORÇAMENTO!$W$15,ROW(AD450)-ROW(AD$15),0),15-13*ORÇAMENTO!$AF$11)),0)</f>
        <v>0</v>
      </c>
      <c r="AE450" s="545">
        <f ca="1">IF(AND($D450="Serviço",AE$12&lt;&gt;0,$H450&gt;0,OR(AUTOEVENTO&lt;&gt;"manual",$M450&lt;&gt;1)),
IF(Import.TipoArredondamento&lt;&gt;"TransfereGOV",
ROUND(OFFSET($P450,0,AE$13),15-13*ORÇAMENTO!$AF$7)/$H450*OFFSET(ORÇAMENTO!$X$15,ROW(AE450)-ROW(AE$15),0),
ROUND(ROUND(OFFSET($P450,0,AE$13),15-13*ORÇAMENTO!$AF$7)*OFFSET(ORÇAMENTO!$W$15,ROW(AE450)-ROW(AE$15),0),15-13*ORÇAMENTO!$AF$11)),0)</f>
        <v>0</v>
      </c>
      <c r="AF450" s="545">
        <f ca="1">IF(AND($D450="Serviço",AF$12&lt;&gt;0,$H450&gt;0,OR(AUTOEVENTO&lt;&gt;"manual",$M450&lt;&gt;1)),
IF(Import.TipoArredondamento&lt;&gt;"TransfereGOV",
ROUND(OFFSET($P450,0,AF$13),15-13*ORÇAMENTO!$AF$7)/$H450*OFFSET(ORÇAMENTO!$X$15,ROW(AF450)-ROW(AF$15),0),
ROUND(ROUND(OFFSET($P450,0,AF$13),15-13*ORÇAMENTO!$AF$7)*OFFSET(ORÇAMENTO!$W$15,ROW(AF450)-ROW(AF$15),0),15-13*ORÇAMENTO!$AF$11)),0)</f>
        <v>0</v>
      </c>
      <c r="AG450" s="545">
        <f ca="1">IF(AND($D450="Serviço",AG$12&lt;&gt;0,$H450&gt;0,OR(AUTOEVENTO&lt;&gt;"manual",$M450&lt;&gt;1)),
IF(Import.TipoArredondamento&lt;&gt;"TransfereGOV",
ROUND(OFFSET($P450,0,AG$13),15-13*ORÇAMENTO!$AF$7)/$H450*OFFSET(ORÇAMENTO!$X$15,ROW(AG450)-ROW(AG$15),0),
ROUND(ROUND(OFFSET($P450,0,AG$13),15-13*ORÇAMENTO!$AF$7)*OFFSET(ORÇAMENTO!$W$15,ROW(AG450)-ROW(AG$15),0),15-13*ORÇAMENTO!$AF$11)),0)</f>
        <v>0</v>
      </c>
      <c r="AH450" s="545">
        <f ca="1">IF(AND($D450="Serviço",AH$12&lt;&gt;0,$H450&gt;0,OR(AUTOEVENTO&lt;&gt;"manual",$M450&lt;&gt;1)),
IF(Import.TipoArredondamento&lt;&gt;"TransfereGOV",
ROUND(OFFSET($P450,0,AH$13),15-13*ORÇAMENTO!$AF$7)/$H450*OFFSET(ORÇAMENTO!$X$15,ROW(AH450)-ROW(AH$15),0),
ROUND(ROUND(OFFSET($P450,0,AH$13),15-13*ORÇAMENTO!$AF$7)*OFFSET(ORÇAMENTO!$W$15,ROW(AH450)-ROW(AH$15),0),15-13*ORÇAMENTO!$AF$11)),0)</f>
        <v>0</v>
      </c>
      <c r="AI450" s="545">
        <f ca="1">IF(AND($D450="Serviço",AI$12&lt;&gt;0,$H450&gt;0,OR(AUTOEVENTO&lt;&gt;"manual",$M450&lt;&gt;1)),
IF(Import.TipoArredondamento&lt;&gt;"TransfereGOV",
ROUND(OFFSET($P450,0,AI$13),15-13*ORÇAMENTO!$AF$7)/$H450*OFFSET(ORÇAMENTO!$X$15,ROW(AI450)-ROW(AI$15),0),
ROUND(ROUND(OFFSET($P450,0,AI$13),15-13*ORÇAMENTO!$AF$7)*OFFSET(ORÇAMENTO!$W$15,ROW(AI450)-ROW(AI$15),0),15-13*ORÇAMENTO!$AF$11)),0)</f>
        <v>0</v>
      </c>
      <c r="AJ450" s="545">
        <f ca="1">IF(AND($D450="Serviço",AJ$12&lt;&gt;0,$H450&gt;0,OR(AUTOEVENTO&lt;&gt;"manual",$M450&lt;&gt;1)),
IF(Import.TipoArredondamento&lt;&gt;"TransfereGOV",
ROUND(OFFSET($P450,0,AJ$13),15-13*ORÇAMENTO!$AF$7)/$H450*OFFSET(ORÇAMENTO!$X$15,ROW(AJ450)-ROW(AJ$15),0),
ROUND(ROUND(OFFSET($P450,0,AJ$13),15-13*ORÇAMENTO!$AF$7)*OFFSET(ORÇAMENTO!$W$15,ROW(AJ450)-ROW(AJ$15),0),15-13*ORÇAMENTO!$AF$11)),0)</f>
        <v>0</v>
      </c>
      <c r="AK450" s="546">
        <f ca="1">IF(AND($D450="Serviço",AK$12&lt;&gt;0,$H450&gt;0,OR(AUTOEVENTO&lt;&gt;"manual",$M450&lt;&gt;1)),
IF(Import.TipoArredondamento&lt;&gt;"TransfereGOV",
ROUND(OFFSET($P450,0,AK$13),15-13*ORÇAMENTO!$AF$7)/$H450*OFFSET(ORÇAMENTO!$X$15,ROW(AK450)-ROW(AK$15),0),
ROUND(ROUND(OFFSET($P450,0,AK$13),15-13*ORÇAMENTO!$AF$7)*OFFSET(ORÇAMENTO!$W$15,ROW(AK450)-ROW(AK$15),0),15-13*ORÇAMENTO!$AF$11)),0)</f>
        <v>0</v>
      </c>
      <c r="AM450" s="181">
        <f ca="1">IF($D450&lt;&gt;"Serviço",0,IF(AND(AUTOEVENTO="Manual",$M450=1),0,IF(OFFSET(CRONOPLE!$F$14,$M450,AM$13)="",10^12,OFFSET(CRONOPLE!$F$14,$M450,AM$13))))</f>
        <v>1000000000000</v>
      </c>
      <c r="AN450" s="181">
        <f ca="1">IF($D450&lt;&gt;"Serviço",0,IF(AND(AUTOEVENTO="Manual",$M450=1),0,IF(OFFSET(CRONOPLE!$F$14,$M450,AN$13)="",10^12,OFFSET(CRONOPLE!$F$14,$M450,AN$13))))</f>
        <v>1000000000000</v>
      </c>
      <c r="AO450" s="181">
        <f ca="1">IF($D450&lt;&gt;"Serviço",0,IF(AND(AUTOEVENTO="Manual",$M450=1),0,IF(OFFSET(CRONOPLE!$F$14,$M450,AO$13)="",10^12,OFFSET(CRONOPLE!$F$14,$M450,AO$13))))</f>
        <v>1000000000000</v>
      </c>
      <c r="AP450" s="181">
        <f ca="1">IF($D450&lt;&gt;"Serviço",0,IF(AND(AUTOEVENTO="Manual",$M450=1),0,IF(OFFSET(CRONOPLE!$F$14,$M450,AP$13)="",10^12,OFFSET(CRONOPLE!$F$14,$M450,AP$13))))</f>
        <v>1000000000000</v>
      </c>
      <c r="AQ450" s="181">
        <f ca="1">IF($D450&lt;&gt;"Serviço",0,IF(AND(AUTOEVENTO="Manual",$M450=1),0,IF(OFFSET(CRONOPLE!$F$14,$M450,AQ$13)="",10^12,OFFSET(CRONOPLE!$F$14,$M450,AQ$13))))</f>
        <v>1000000000000</v>
      </c>
      <c r="AR450" s="181">
        <f ca="1">IF($D450&lt;&gt;"Serviço",0,IF(AND(AUTOEVENTO="Manual",$M450=1),0,IF(OFFSET(CRONOPLE!$F$14,$M450,AR$13)="",10^12,OFFSET(CRONOPLE!$F$14,$M450,AR$13))))</f>
        <v>1000000000000</v>
      </c>
      <c r="AS450" s="181">
        <f ca="1">IF($D450&lt;&gt;"Serviço",0,IF(AND(AUTOEVENTO="Manual",$M450=1),0,IF(OFFSET(CRONOPLE!$F$14,$M450,AS$13)="",10^12,OFFSET(CRONOPLE!$F$14,$M450,AS$13))))</f>
        <v>1000000000000</v>
      </c>
      <c r="AT450" s="181">
        <f ca="1">IF($D450&lt;&gt;"Serviço",0,IF(AND(AUTOEVENTO="Manual",$M450=1),0,IF(OFFSET(CRONOPLE!$F$14,$M450,AT$13)="",10^12,OFFSET(CRONOPLE!$F$14,$M450,AT$13))))</f>
        <v>1000000000000</v>
      </c>
      <c r="AU450" s="181">
        <f ca="1">IF($D450&lt;&gt;"Serviço",0,IF(AND(AUTOEVENTO="Manual",$M450=1),0,IF(OFFSET(CRONOPLE!$F$14,$M450,AU$13)="",10^12,OFFSET(CRONOPLE!$F$14,$M450,AU$13))))</f>
        <v>1000000000000</v>
      </c>
      <c r="AV450" s="181">
        <f ca="1">IF($D450&lt;&gt;"Serviço",0,IF(AND(AUTOEVENTO="Manual",$M450=1),0,IF(OFFSET(CRONOPLE!$F$14,$M450,AV$13)="",10^12,OFFSET(CRONOPLE!$F$14,$M450,AV$13))))</f>
        <v>1000000000000</v>
      </c>
      <c r="AX450" s="182">
        <f ca="1">IF($D450&lt;&gt;"Serviço",0,IF(OR(AND(AUTOEVENTO="Manual",$M450=1),$M450&gt;(ROW(PLE.lastrow)-ROW(PLE.firstrow))),0,IF(OFFSET(PLE!$G$14,$M450,AX$13)="",10^12,OFFSET(PLE!$G$14,$M450,AX$13))))</f>
        <v>1000000000000</v>
      </c>
      <c r="AY450" s="182">
        <f ca="1">IF($D450&lt;&gt;"Serviço",0,IF(OR(AND(AUTOEVENTO="Manual",$M450=1),$M450&gt;(ROW(PLE.lastrow)-ROW(PLE.firstrow))),0,IF(OFFSET(PLE!$G$14,$M450,AY$13)="",10^12,OFFSET(PLE!$G$14,$M450,AY$13))))</f>
        <v>1000000000000</v>
      </c>
      <c r="AZ450" s="182">
        <f ca="1">IF($D450&lt;&gt;"Serviço",0,IF(OR(AND(AUTOEVENTO="Manual",$M450=1),$M450&gt;(ROW(PLE.lastrow)-ROW(PLE.firstrow))),0,IF(OFFSET(PLE!$G$14,$M450,AZ$13)="",10^12,OFFSET(PLE!$G$14,$M450,AZ$13))))</f>
        <v>1000000000000</v>
      </c>
      <c r="BA450" s="182">
        <f ca="1">IF($D450&lt;&gt;"Serviço",0,IF(OR(AND(AUTOEVENTO="Manual",$M450=1),$M450&gt;(ROW(PLE.lastrow)-ROW(PLE.firstrow))),0,IF(OFFSET(PLE!$G$14,$M450,BA$13)="",10^12,OFFSET(PLE!$G$14,$M450,BA$13))))</f>
        <v>1000000000000</v>
      </c>
      <c r="BB450" s="182">
        <f ca="1">IF($D450&lt;&gt;"Serviço",0,IF(OR(AND(AUTOEVENTO="Manual",$M450=1),$M450&gt;(ROW(PLE.lastrow)-ROW(PLE.firstrow))),0,IF(OFFSET(PLE!$G$14,$M450,BB$13)="",10^12,OFFSET(PLE!$G$14,$M450,BB$13))))</f>
        <v>1000000000000</v>
      </c>
      <c r="BC450" s="182">
        <f ca="1">IF($D450&lt;&gt;"Serviço",0,IF(OR(AND(AUTOEVENTO="Manual",$M450=1),$M450&gt;(ROW(PLE.lastrow)-ROW(PLE.firstrow))),0,IF(OFFSET(PLE!$G$14,$M450,BC$13)="",10^12,OFFSET(PLE!$G$14,$M450,BC$13))))</f>
        <v>1000000000000</v>
      </c>
      <c r="BD450" s="182">
        <f ca="1">IF($D450&lt;&gt;"Serviço",0,IF(OR(AND(AUTOEVENTO="Manual",$M450=1),$M450&gt;(ROW(PLE.lastrow)-ROW(PLE.firstrow))),0,IF(OFFSET(PLE!$G$14,$M450,BD$13)="",10^12,OFFSET(PLE!$G$14,$M450,BD$13))))</f>
        <v>1000000000000</v>
      </c>
      <c r="BE450" s="182">
        <f ca="1">IF($D450&lt;&gt;"Serviço",0,IF(OR(AND(AUTOEVENTO="Manual",$M450=1),$M450&gt;(ROW(PLE.lastrow)-ROW(PLE.firstrow))),0,IF(OFFSET(PLE!$G$14,$M450,BE$13)="",10^12,OFFSET(PLE!$G$14,$M450,BE$13))))</f>
        <v>1000000000000</v>
      </c>
      <c r="BF450" s="182">
        <f ca="1">IF($D450&lt;&gt;"Serviço",0,IF(OR(AND(AUTOEVENTO="Manual",$M450=1),$M450&gt;(ROW(PLE.lastrow)-ROW(PLE.firstrow))),0,IF(OFFSET(PLE!$G$14,$M450,BF$13)="",10^12,OFFSET(PLE!$G$14,$M450,BF$13))))</f>
        <v>1000000000000</v>
      </c>
      <c r="BG450" s="182">
        <f ca="1">IF($D450&lt;&gt;"Serviço",0,IF(OR(AND(AUTOEVENTO="Manual",$M450=1),$M450&gt;(ROW(PLE.lastrow)-ROW(PLE.firstrow))),0,IF(OFFSET(PLE!$G$14,$M450,BG$13)="",10^12,OFFSET(PLE!$G$14,$M450,BG$13))))</f>
        <v>1000000000000</v>
      </c>
    </row>
    <row r="451" spans="1:59" ht="51" x14ac:dyDescent="0.2">
      <c r="A451" s="7" t="str">
        <f t="shared" ca="1" si="14"/>
        <v>411</v>
      </c>
      <c r="B451" s="7" t="str">
        <f ca="1">OFFSET(ORÇAMENTO!C$15,ROW(B451)-ROW(B$15),0)</f>
        <v>S</v>
      </c>
      <c r="C451" s="7" t="str">
        <f ca="1">OFFSET(ORÇAMENTO!L$15,ROW(C451)-ROW(C$15),0)</f>
        <v/>
      </c>
      <c r="D451" s="118" t="str">
        <f ca="1">OFFSET(ORÇAMENTO!N$15,ROW(D451)-ROW(D$15),0)</f>
        <v>Serviço</v>
      </c>
      <c r="E451" s="119" t="str">
        <f ca="1">OFFSET(ORÇAMENTO!O$15,ROW(E451)-ROW(E$15),0)</f>
        <v>-</v>
      </c>
      <c r="F451" s="172" t="str">
        <f ca="1">OFFSET(ORÇAMENTO!R$15,ROW(F451)-ROW(F$15),0)</f>
        <v>(abra o arquivo 'Referência 02-2025.xlsm)</v>
      </c>
      <c r="G451" s="173" t="str">
        <f ca="1">IF($D451&lt;&gt;"Serviço","",OFFSET(ORÇAMENTO!S$15,ROW(G451)-ROW(G$15),0))</f>
        <v>-</v>
      </c>
      <c r="H451" s="124">
        <f ca="1">IF($D451&lt;&gt;"Serviço",0,IF(ACOMPANHAMENTO="BM",ROUND(OFFSET(ORÇAMENTO!AJ$15,ROW(H451)-ROW(H$15),0),15-13*ORÇAMENTO!$AF$7),SUMPRODUCT(($Q$12:$AA$12&lt;&gt;"")*ROUND($Q451:$AA451,15-13*ORÇAMENTO!$AF$7))))</f>
        <v>0.22</v>
      </c>
      <c r="I451" s="561" t="s">
        <v>890</v>
      </c>
      <c r="K451" s="174"/>
      <c r="L451" s="175" t="s">
        <v>255</v>
      </c>
      <c r="M451" s="176">
        <f ca="1">IF($D451&lt;&gt;"Serviço","",IF(AUTOEVENTO="manual",$A451,IF(ISERROR(MATCH($A451,$A$15:OFFSET($A451,-1,0),0)),MAX($M$15:OFFSET(M451,-1,0))+1,INDEX($M$15:OFFSET(M451,-1,0),MATCH($A451,$A$15:OFFSET($A451,-1,0),0)))))</f>
        <v>17</v>
      </c>
      <c r="N451" s="177" t="str">
        <f ca="1">IF($D451&lt;&gt;"Serviço","",IF(AUTOEVENTO="Manual",IF($A451=0,"&lt;-- defina o número do agrupador",OFFSET(EVENTOS!$D$14,$A451,0)),OFFSET($F$15,$A451,0)))</f>
        <v>SISTEMA DE PROTEÇÃO CONTRA INCÊNDIO</v>
      </c>
      <c r="O451" s="178"/>
      <c r="Q451" s="178"/>
      <c r="R451" s="179"/>
      <c r="S451" s="179"/>
      <c r="T451" s="179"/>
      <c r="U451" s="179"/>
      <c r="V451" s="179"/>
      <c r="W451" s="179"/>
      <c r="X451" s="179"/>
      <c r="Y451" s="179"/>
      <c r="Z451" s="180"/>
      <c r="AB451" s="544">
        <f ca="1">IF(AND($D451="Serviço",AB$12&lt;&gt;0,$H451&gt;0,OR(AUTOEVENTO&lt;&gt;"manual",$M451&lt;&gt;1)),
IF(Import.TipoArredondamento&lt;&gt;"TransfereGOV",
ROUND(OFFSET($P451,0,AB$13),15-13*ORÇAMENTO!$AF$7)/$H451*OFFSET(ORÇAMENTO!$X$15,ROW(AB451)-ROW(AB$15),0),
ROUND(ROUND(OFFSET($P451,0,AB$13),15-13*ORÇAMENTO!$AF$7)*OFFSET(ORÇAMENTO!$W$15,ROW(AB451)-ROW(AB$15),0),15-13*ORÇAMENTO!$AF$11)),0)</f>
        <v>0</v>
      </c>
      <c r="AC451" s="545">
        <f ca="1">IF(AND($D451="Serviço",AC$12&lt;&gt;0,$H451&gt;0,OR(AUTOEVENTO&lt;&gt;"manual",$M451&lt;&gt;1)),
IF(Import.TipoArredondamento&lt;&gt;"TransfereGOV",
ROUND(OFFSET($P451,0,AC$13),15-13*ORÇAMENTO!$AF$7)/$H451*OFFSET(ORÇAMENTO!$X$15,ROW(AC451)-ROW(AC$15),0),
ROUND(ROUND(OFFSET($P451,0,AC$13),15-13*ORÇAMENTO!$AF$7)*OFFSET(ORÇAMENTO!$W$15,ROW(AC451)-ROW(AC$15),0),15-13*ORÇAMENTO!$AF$11)),0)</f>
        <v>0</v>
      </c>
      <c r="AD451" s="545">
        <f ca="1">IF(AND($D451="Serviço",AD$12&lt;&gt;0,$H451&gt;0,OR(AUTOEVENTO&lt;&gt;"manual",$M451&lt;&gt;1)),
IF(Import.TipoArredondamento&lt;&gt;"TransfereGOV",
ROUND(OFFSET($P451,0,AD$13),15-13*ORÇAMENTO!$AF$7)/$H451*OFFSET(ORÇAMENTO!$X$15,ROW(AD451)-ROW(AD$15),0),
ROUND(ROUND(OFFSET($P451,0,AD$13),15-13*ORÇAMENTO!$AF$7)*OFFSET(ORÇAMENTO!$W$15,ROW(AD451)-ROW(AD$15),0),15-13*ORÇAMENTO!$AF$11)),0)</f>
        <v>0</v>
      </c>
      <c r="AE451" s="545">
        <f ca="1">IF(AND($D451="Serviço",AE$12&lt;&gt;0,$H451&gt;0,OR(AUTOEVENTO&lt;&gt;"manual",$M451&lt;&gt;1)),
IF(Import.TipoArredondamento&lt;&gt;"TransfereGOV",
ROUND(OFFSET($P451,0,AE$13),15-13*ORÇAMENTO!$AF$7)/$H451*OFFSET(ORÇAMENTO!$X$15,ROW(AE451)-ROW(AE$15),0),
ROUND(ROUND(OFFSET($P451,0,AE$13),15-13*ORÇAMENTO!$AF$7)*OFFSET(ORÇAMENTO!$W$15,ROW(AE451)-ROW(AE$15),0),15-13*ORÇAMENTO!$AF$11)),0)</f>
        <v>0</v>
      </c>
      <c r="AF451" s="545">
        <f ca="1">IF(AND($D451="Serviço",AF$12&lt;&gt;0,$H451&gt;0,OR(AUTOEVENTO&lt;&gt;"manual",$M451&lt;&gt;1)),
IF(Import.TipoArredondamento&lt;&gt;"TransfereGOV",
ROUND(OFFSET($P451,0,AF$13),15-13*ORÇAMENTO!$AF$7)/$H451*OFFSET(ORÇAMENTO!$X$15,ROW(AF451)-ROW(AF$15),0),
ROUND(ROUND(OFFSET($P451,0,AF$13),15-13*ORÇAMENTO!$AF$7)*OFFSET(ORÇAMENTO!$W$15,ROW(AF451)-ROW(AF$15),0),15-13*ORÇAMENTO!$AF$11)),0)</f>
        <v>0</v>
      </c>
      <c r="AG451" s="545">
        <f ca="1">IF(AND($D451="Serviço",AG$12&lt;&gt;0,$H451&gt;0,OR(AUTOEVENTO&lt;&gt;"manual",$M451&lt;&gt;1)),
IF(Import.TipoArredondamento&lt;&gt;"TransfereGOV",
ROUND(OFFSET($P451,0,AG$13),15-13*ORÇAMENTO!$AF$7)/$H451*OFFSET(ORÇAMENTO!$X$15,ROW(AG451)-ROW(AG$15),0),
ROUND(ROUND(OFFSET($P451,0,AG$13),15-13*ORÇAMENTO!$AF$7)*OFFSET(ORÇAMENTO!$W$15,ROW(AG451)-ROW(AG$15),0),15-13*ORÇAMENTO!$AF$11)),0)</f>
        <v>0</v>
      </c>
      <c r="AH451" s="545">
        <f ca="1">IF(AND($D451="Serviço",AH$12&lt;&gt;0,$H451&gt;0,OR(AUTOEVENTO&lt;&gt;"manual",$M451&lt;&gt;1)),
IF(Import.TipoArredondamento&lt;&gt;"TransfereGOV",
ROUND(OFFSET($P451,0,AH$13),15-13*ORÇAMENTO!$AF$7)/$H451*OFFSET(ORÇAMENTO!$X$15,ROW(AH451)-ROW(AH$15),0),
ROUND(ROUND(OFFSET($P451,0,AH$13),15-13*ORÇAMENTO!$AF$7)*OFFSET(ORÇAMENTO!$W$15,ROW(AH451)-ROW(AH$15),0),15-13*ORÇAMENTO!$AF$11)),0)</f>
        <v>0</v>
      </c>
      <c r="AI451" s="545">
        <f ca="1">IF(AND($D451="Serviço",AI$12&lt;&gt;0,$H451&gt;0,OR(AUTOEVENTO&lt;&gt;"manual",$M451&lt;&gt;1)),
IF(Import.TipoArredondamento&lt;&gt;"TransfereGOV",
ROUND(OFFSET($P451,0,AI$13),15-13*ORÇAMENTO!$AF$7)/$H451*OFFSET(ORÇAMENTO!$X$15,ROW(AI451)-ROW(AI$15),0),
ROUND(ROUND(OFFSET($P451,0,AI$13),15-13*ORÇAMENTO!$AF$7)*OFFSET(ORÇAMENTO!$W$15,ROW(AI451)-ROW(AI$15),0),15-13*ORÇAMENTO!$AF$11)),0)</f>
        <v>0</v>
      </c>
      <c r="AJ451" s="545">
        <f ca="1">IF(AND($D451="Serviço",AJ$12&lt;&gt;0,$H451&gt;0,OR(AUTOEVENTO&lt;&gt;"manual",$M451&lt;&gt;1)),
IF(Import.TipoArredondamento&lt;&gt;"TransfereGOV",
ROUND(OFFSET($P451,0,AJ$13),15-13*ORÇAMENTO!$AF$7)/$H451*OFFSET(ORÇAMENTO!$X$15,ROW(AJ451)-ROW(AJ$15),0),
ROUND(ROUND(OFFSET($P451,0,AJ$13),15-13*ORÇAMENTO!$AF$7)*OFFSET(ORÇAMENTO!$W$15,ROW(AJ451)-ROW(AJ$15),0),15-13*ORÇAMENTO!$AF$11)),0)</f>
        <v>0</v>
      </c>
      <c r="AK451" s="546">
        <f ca="1">IF(AND($D451="Serviço",AK$12&lt;&gt;0,$H451&gt;0,OR(AUTOEVENTO&lt;&gt;"manual",$M451&lt;&gt;1)),
IF(Import.TipoArredondamento&lt;&gt;"TransfereGOV",
ROUND(OFFSET($P451,0,AK$13),15-13*ORÇAMENTO!$AF$7)/$H451*OFFSET(ORÇAMENTO!$X$15,ROW(AK451)-ROW(AK$15),0),
ROUND(ROUND(OFFSET($P451,0,AK$13),15-13*ORÇAMENTO!$AF$7)*OFFSET(ORÇAMENTO!$W$15,ROW(AK451)-ROW(AK$15),0),15-13*ORÇAMENTO!$AF$11)),0)</f>
        <v>0</v>
      </c>
      <c r="AM451" s="181">
        <f ca="1">IF($D451&lt;&gt;"Serviço",0,IF(AND(AUTOEVENTO="Manual",$M451=1),0,IF(OFFSET(CRONOPLE!$F$14,$M451,AM$13)="",10^12,OFFSET(CRONOPLE!$F$14,$M451,AM$13))))</f>
        <v>1000000000000</v>
      </c>
      <c r="AN451" s="181">
        <f ca="1">IF($D451&lt;&gt;"Serviço",0,IF(AND(AUTOEVENTO="Manual",$M451=1),0,IF(OFFSET(CRONOPLE!$F$14,$M451,AN$13)="",10^12,OFFSET(CRONOPLE!$F$14,$M451,AN$13))))</f>
        <v>1000000000000</v>
      </c>
      <c r="AO451" s="181">
        <f ca="1">IF($D451&lt;&gt;"Serviço",0,IF(AND(AUTOEVENTO="Manual",$M451=1),0,IF(OFFSET(CRONOPLE!$F$14,$M451,AO$13)="",10^12,OFFSET(CRONOPLE!$F$14,$M451,AO$13))))</f>
        <v>1000000000000</v>
      </c>
      <c r="AP451" s="181">
        <f ca="1">IF($D451&lt;&gt;"Serviço",0,IF(AND(AUTOEVENTO="Manual",$M451=1),0,IF(OFFSET(CRONOPLE!$F$14,$M451,AP$13)="",10^12,OFFSET(CRONOPLE!$F$14,$M451,AP$13))))</f>
        <v>1000000000000</v>
      </c>
      <c r="AQ451" s="181">
        <f ca="1">IF($D451&lt;&gt;"Serviço",0,IF(AND(AUTOEVENTO="Manual",$M451=1),0,IF(OFFSET(CRONOPLE!$F$14,$M451,AQ$13)="",10^12,OFFSET(CRONOPLE!$F$14,$M451,AQ$13))))</f>
        <v>1000000000000</v>
      </c>
      <c r="AR451" s="181">
        <f ca="1">IF($D451&lt;&gt;"Serviço",0,IF(AND(AUTOEVENTO="Manual",$M451=1),0,IF(OFFSET(CRONOPLE!$F$14,$M451,AR$13)="",10^12,OFFSET(CRONOPLE!$F$14,$M451,AR$13))))</f>
        <v>1000000000000</v>
      </c>
      <c r="AS451" s="181">
        <f ca="1">IF($D451&lt;&gt;"Serviço",0,IF(AND(AUTOEVENTO="Manual",$M451=1),0,IF(OFFSET(CRONOPLE!$F$14,$M451,AS$13)="",10^12,OFFSET(CRONOPLE!$F$14,$M451,AS$13))))</f>
        <v>1000000000000</v>
      </c>
      <c r="AT451" s="181">
        <f ca="1">IF($D451&lt;&gt;"Serviço",0,IF(AND(AUTOEVENTO="Manual",$M451=1),0,IF(OFFSET(CRONOPLE!$F$14,$M451,AT$13)="",10^12,OFFSET(CRONOPLE!$F$14,$M451,AT$13))))</f>
        <v>1000000000000</v>
      </c>
      <c r="AU451" s="181">
        <f ca="1">IF($D451&lt;&gt;"Serviço",0,IF(AND(AUTOEVENTO="Manual",$M451=1),0,IF(OFFSET(CRONOPLE!$F$14,$M451,AU$13)="",10^12,OFFSET(CRONOPLE!$F$14,$M451,AU$13))))</f>
        <v>1000000000000</v>
      </c>
      <c r="AV451" s="181">
        <f ca="1">IF($D451&lt;&gt;"Serviço",0,IF(AND(AUTOEVENTO="Manual",$M451=1),0,IF(OFFSET(CRONOPLE!$F$14,$M451,AV$13)="",10^12,OFFSET(CRONOPLE!$F$14,$M451,AV$13))))</f>
        <v>1000000000000</v>
      </c>
      <c r="AX451" s="182">
        <f ca="1">IF($D451&lt;&gt;"Serviço",0,IF(OR(AND(AUTOEVENTO="Manual",$M451=1),$M451&gt;(ROW(PLE.lastrow)-ROW(PLE.firstrow))),0,IF(OFFSET(PLE!$G$14,$M451,AX$13)="",10^12,OFFSET(PLE!$G$14,$M451,AX$13))))</f>
        <v>1000000000000</v>
      </c>
      <c r="AY451" s="182">
        <f ca="1">IF($D451&lt;&gt;"Serviço",0,IF(OR(AND(AUTOEVENTO="Manual",$M451=1),$M451&gt;(ROW(PLE.lastrow)-ROW(PLE.firstrow))),0,IF(OFFSET(PLE!$G$14,$M451,AY$13)="",10^12,OFFSET(PLE!$G$14,$M451,AY$13))))</f>
        <v>1000000000000</v>
      </c>
      <c r="AZ451" s="182">
        <f ca="1">IF($D451&lt;&gt;"Serviço",0,IF(OR(AND(AUTOEVENTO="Manual",$M451=1),$M451&gt;(ROW(PLE.lastrow)-ROW(PLE.firstrow))),0,IF(OFFSET(PLE!$G$14,$M451,AZ$13)="",10^12,OFFSET(PLE!$G$14,$M451,AZ$13))))</f>
        <v>1000000000000</v>
      </c>
      <c r="BA451" s="182">
        <f ca="1">IF($D451&lt;&gt;"Serviço",0,IF(OR(AND(AUTOEVENTO="Manual",$M451=1),$M451&gt;(ROW(PLE.lastrow)-ROW(PLE.firstrow))),0,IF(OFFSET(PLE!$G$14,$M451,BA$13)="",10^12,OFFSET(PLE!$G$14,$M451,BA$13))))</f>
        <v>1000000000000</v>
      </c>
      <c r="BB451" s="182">
        <f ca="1">IF($D451&lt;&gt;"Serviço",0,IF(OR(AND(AUTOEVENTO="Manual",$M451=1),$M451&gt;(ROW(PLE.lastrow)-ROW(PLE.firstrow))),0,IF(OFFSET(PLE!$G$14,$M451,BB$13)="",10^12,OFFSET(PLE!$G$14,$M451,BB$13))))</f>
        <v>1000000000000</v>
      </c>
      <c r="BC451" s="182">
        <f ca="1">IF($D451&lt;&gt;"Serviço",0,IF(OR(AND(AUTOEVENTO="Manual",$M451=1),$M451&gt;(ROW(PLE.lastrow)-ROW(PLE.firstrow))),0,IF(OFFSET(PLE!$G$14,$M451,BC$13)="",10^12,OFFSET(PLE!$G$14,$M451,BC$13))))</f>
        <v>1000000000000</v>
      </c>
      <c r="BD451" s="182">
        <f ca="1">IF($D451&lt;&gt;"Serviço",0,IF(OR(AND(AUTOEVENTO="Manual",$M451=1),$M451&gt;(ROW(PLE.lastrow)-ROW(PLE.firstrow))),0,IF(OFFSET(PLE!$G$14,$M451,BD$13)="",10^12,OFFSET(PLE!$G$14,$M451,BD$13))))</f>
        <v>1000000000000</v>
      </c>
      <c r="BE451" s="182">
        <f ca="1">IF($D451&lt;&gt;"Serviço",0,IF(OR(AND(AUTOEVENTO="Manual",$M451=1),$M451&gt;(ROW(PLE.lastrow)-ROW(PLE.firstrow))),0,IF(OFFSET(PLE!$G$14,$M451,BE$13)="",10^12,OFFSET(PLE!$G$14,$M451,BE$13))))</f>
        <v>1000000000000</v>
      </c>
      <c r="BF451" s="182">
        <f ca="1">IF($D451&lt;&gt;"Serviço",0,IF(OR(AND(AUTOEVENTO="Manual",$M451=1),$M451&gt;(ROW(PLE.lastrow)-ROW(PLE.firstrow))),0,IF(OFFSET(PLE!$G$14,$M451,BF$13)="",10^12,OFFSET(PLE!$G$14,$M451,BF$13))))</f>
        <v>1000000000000</v>
      </c>
      <c r="BG451" s="182">
        <f ca="1">IF($D451&lt;&gt;"Serviço",0,IF(OR(AND(AUTOEVENTO="Manual",$M451=1),$M451&gt;(ROW(PLE.lastrow)-ROW(PLE.firstrow))),0,IF(OFFSET(PLE!$G$14,$M451,BG$13)="",10^12,OFFSET(PLE!$G$14,$M451,BG$13))))</f>
        <v>1000000000000</v>
      </c>
    </row>
    <row r="452" spans="1:59" ht="51" x14ac:dyDescent="0.2">
      <c r="A452" s="7" t="str">
        <f t="shared" ca="1" si="14"/>
        <v>411</v>
      </c>
      <c r="B452" s="7" t="str">
        <f ca="1">OFFSET(ORÇAMENTO!C$15,ROW(B452)-ROW(B$15),0)</f>
        <v>S</v>
      </c>
      <c r="C452" s="7" t="str">
        <f ca="1">OFFSET(ORÇAMENTO!L$15,ROW(C452)-ROW(C$15),0)</f>
        <v/>
      </c>
      <c r="D452" s="118" t="str">
        <f ca="1">OFFSET(ORÇAMENTO!N$15,ROW(D452)-ROW(D$15),0)</f>
        <v>Serviço</v>
      </c>
      <c r="E452" s="119" t="str">
        <f ca="1">OFFSET(ORÇAMENTO!O$15,ROW(E452)-ROW(E$15),0)</f>
        <v>-</v>
      </c>
      <c r="F452" s="172" t="str">
        <f ca="1">OFFSET(ORÇAMENTO!R$15,ROW(F452)-ROW(F$15),0)</f>
        <v>(abra o arquivo 'Referência 02-2025.xlsm)</v>
      </c>
      <c r="G452" s="173" t="str">
        <f ca="1">IF($D452&lt;&gt;"Serviço","",OFFSET(ORÇAMENTO!S$15,ROW(G452)-ROW(G$15),0))</f>
        <v>-</v>
      </c>
      <c r="H452" s="124">
        <f ca="1">IF($D452&lt;&gt;"Serviço",0,IF(ACOMPANHAMENTO="BM",ROUND(OFFSET(ORÇAMENTO!AJ$15,ROW(H452)-ROW(H$15),0),15-13*ORÇAMENTO!$AF$7),SUMPRODUCT(($Q$12:$AA$12&lt;&gt;"")*ROUND($Q452:$AA452,15-13*ORÇAMENTO!$AF$7))))</f>
        <v>1.51</v>
      </c>
      <c r="I452" s="561" t="s">
        <v>890</v>
      </c>
      <c r="K452" s="174"/>
      <c r="L452" s="175" t="s">
        <v>255</v>
      </c>
      <c r="M452" s="176">
        <f ca="1">IF($D452&lt;&gt;"Serviço","",IF(AUTOEVENTO="manual",$A452,IF(ISERROR(MATCH($A452,$A$15:OFFSET($A452,-1,0),0)),MAX($M$15:OFFSET(M452,-1,0))+1,INDEX($M$15:OFFSET(M452,-1,0),MATCH($A452,$A$15:OFFSET($A452,-1,0),0)))))</f>
        <v>17</v>
      </c>
      <c r="N452" s="177" t="str">
        <f ca="1">IF($D452&lt;&gt;"Serviço","",IF(AUTOEVENTO="Manual",IF($A452=0,"&lt;-- defina o número do agrupador",OFFSET(EVENTOS!$D$14,$A452,0)),OFFSET($F$15,$A452,0)))</f>
        <v>SISTEMA DE PROTEÇÃO CONTRA INCÊNDIO</v>
      </c>
      <c r="O452" s="178"/>
      <c r="Q452" s="178"/>
      <c r="R452" s="179"/>
      <c r="S452" s="179"/>
      <c r="T452" s="179"/>
      <c r="U452" s="179"/>
      <c r="V452" s="179"/>
      <c r="W452" s="179"/>
      <c r="X452" s="179"/>
      <c r="Y452" s="179"/>
      <c r="Z452" s="180"/>
      <c r="AB452" s="544">
        <f ca="1">IF(AND($D452="Serviço",AB$12&lt;&gt;0,$H452&gt;0,OR(AUTOEVENTO&lt;&gt;"manual",$M452&lt;&gt;1)),
IF(Import.TipoArredondamento&lt;&gt;"TransfereGOV",
ROUND(OFFSET($P452,0,AB$13),15-13*ORÇAMENTO!$AF$7)/$H452*OFFSET(ORÇAMENTO!$X$15,ROW(AB452)-ROW(AB$15),0),
ROUND(ROUND(OFFSET($P452,0,AB$13),15-13*ORÇAMENTO!$AF$7)*OFFSET(ORÇAMENTO!$W$15,ROW(AB452)-ROW(AB$15),0),15-13*ORÇAMENTO!$AF$11)),0)</f>
        <v>0</v>
      </c>
      <c r="AC452" s="545">
        <f ca="1">IF(AND($D452="Serviço",AC$12&lt;&gt;0,$H452&gt;0,OR(AUTOEVENTO&lt;&gt;"manual",$M452&lt;&gt;1)),
IF(Import.TipoArredondamento&lt;&gt;"TransfereGOV",
ROUND(OFFSET($P452,0,AC$13),15-13*ORÇAMENTO!$AF$7)/$H452*OFFSET(ORÇAMENTO!$X$15,ROW(AC452)-ROW(AC$15),0),
ROUND(ROUND(OFFSET($P452,0,AC$13),15-13*ORÇAMENTO!$AF$7)*OFFSET(ORÇAMENTO!$W$15,ROW(AC452)-ROW(AC$15),0),15-13*ORÇAMENTO!$AF$11)),0)</f>
        <v>0</v>
      </c>
      <c r="AD452" s="545">
        <f ca="1">IF(AND($D452="Serviço",AD$12&lt;&gt;0,$H452&gt;0,OR(AUTOEVENTO&lt;&gt;"manual",$M452&lt;&gt;1)),
IF(Import.TipoArredondamento&lt;&gt;"TransfereGOV",
ROUND(OFFSET($P452,0,AD$13),15-13*ORÇAMENTO!$AF$7)/$H452*OFFSET(ORÇAMENTO!$X$15,ROW(AD452)-ROW(AD$15),0),
ROUND(ROUND(OFFSET($P452,0,AD$13),15-13*ORÇAMENTO!$AF$7)*OFFSET(ORÇAMENTO!$W$15,ROW(AD452)-ROW(AD$15),0),15-13*ORÇAMENTO!$AF$11)),0)</f>
        <v>0</v>
      </c>
      <c r="AE452" s="545">
        <f ca="1">IF(AND($D452="Serviço",AE$12&lt;&gt;0,$H452&gt;0,OR(AUTOEVENTO&lt;&gt;"manual",$M452&lt;&gt;1)),
IF(Import.TipoArredondamento&lt;&gt;"TransfereGOV",
ROUND(OFFSET($P452,0,AE$13),15-13*ORÇAMENTO!$AF$7)/$H452*OFFSET(ORÇAMENTO!$X$15,ROW(AE452)-ROW(AE$15),0),
ROUND(ROUND(OFFSET($P452,0,AE$13),15-13*ORÇAMENTO!$AF$7)*OFFSET(ORÇAMENTO!$W$15,ROW(AE452)-ROW(AE$15),0),15-13*ORÇAMENTO!$AF$11)),0)</f>
        <v>0</v>
      </c>
      <c r="AF452" s="545">
        <f ca="1">IF(AND($D452="Serviço",AF$12&lt;&gt;0,$H452&gt;0,OR(AUTOEVENTO&lt;&gt;"manual",$M452&lt;&gt;1)),
IF(Import.TipoArredondamento&lt;&gt;"TransfereGOV",
ROUND(OFFSET($P452,0,AF$13),15-13*ORÇAMENTO!$AF$7)/$H452*OFFSET(ORÇAMENTO!$X$15,ROW(AF452)-ROW(AF$15),0),
ROUND(ROUND(OFFSET($P452,0,AF$13),15-13*ORÇAMENTO!$AF$7)*OFFSET(ORÇAMENTO!$W$15,ROW(AF452)-ROW(AF$15),0),15-13*ORÇAMENTO!$AF$11)),0)</f>
        <v>0</v>
      </c>
      <c r="AG452" s="545">
        <f ca="1">IF(AND($D452="Serviço",AG$12&lt;&gt;0,$H452&gt;0,OR(AUTOEVENTO&lt;&gt;"manual",$M452&lt;&gt;1)),
IF(Import.TipoArredondamento&lt;&gt;"TransfereGOV",
ROUND(OFFSET($P452,0,AG$13),15-13*ORÇAMENTO!$AF$7)/$H452*OFFSET(ORÇAMENTO!$X$15,ROW(AG452)-ROW(AG$15),0),
ROUND(ROUND(OFFSET($P452,0,AG$13),15-13*ORÇAMENTO!$AF$7)*OFFSET(ORÇAMENTO!$W$15,ROW(AG452)-ROW(AG$15),0),15-13*ORÇAMENTO!$AF$11)),0)</f>
        <v>0</v>
      </c>
      <c r="AH452" s="545">
        <f ca="1">IF(AND($D452="Serviço",AH$12&lt;&gt;0,$H452&gt;0,OR(AUTOEVENTO&lt;&gt;"manual",$M452&lt;&gt;1)),
IF(Import.TipoArredondamento&lt;&gt;"TransfereGOV",
ROUND(OFFSET($P452,0,AH$13),15-13*ORÇAMENTO!$AF$7)/$H452*OFFSET(ORÇAMENTO!$X$15,ROW(AH452)-ROW(AH$15),0),
ROUND(ROUND(OFFSET($P452,0,AH$13),15-13*ORÇAMENTO!$AF$7)*OFFSET(ORÇAMENTO!$W$15,ROW(AH452)-ROW(AH$15),0),15-13*ORÇAMENTO!$AF$11)),0)</f>
        <v>0</v>
      </c>
      <c r="AI452" s="545">
        <f ca="1">IF(AND($D452="Serviço",AI$12&lt;&gt;0,$H452&gt;0,OR(AUTOEVENTO&lt;&gt;"manual",$M452&lt;&gt;1)),
IF(Import.TipoArredondamento&lt;&gt;"TransfereGOV",
ROUND(OFFSET($P452,0,AI$13),15-13*ORÇAMENTO!$AF$7)/$H452*OFFSET(ORÇAMENTO!$X$15,ROW(AI452)-ROW(AI$15),0),
ROUND(ROUND(OFFSET($P452,0,AI$13),15-13*ORÇAMENTO!$AF$7)*OFFSET(ORÇAMENTO!$W$15,ROW(AI452)-ROW(AI$15),0),15-13*ORÇAMENTO!$AF$11)),0)</f>
        <v>0</v>
      </c>
      <c r="AJ452" s="545">
        <f ca="1">IF(AND($D452="Serviço",AJ$12&lt;&gt;0,$H452&gt;0,OR(AUTOEVENTO&lt;&gt;"manual",$M452&lt;&gt;1)),
IF(Import.TipoArredondamento&lt;&gt;"TransfereGOV",
ROUND(OFFSET($P452,0,AJ$13),15-13*ORÇAMENTO!$AF$7)/$H452*OFFSET(ORÇAMENTO!$X$15,ROW(AJ452)-ROW(AJ$15),0),
ROUND(ROUND(OFFSET($P452,0,AJ$13),15-13*ORÇAMENTO!$AF$7)*OFFSET(ORÇAMENTO!$W$15,ROW(AJ452)-ROW(AJ$15),0),15-13*ORÇAMENTO!$AF$11)),0)</f>
        <v>0</v>
      </c>
      <c r="AK452" s="546">
        <f ca="1">IF(AND($D452="Serviço",AK$12&lt;&gt;0,$H452&gt;0,OR(AUTOEVENTO&lt;&gt;"manual",$M452&lt;&gt;1)),
IF(Import.TipoArredondamento&lt;&gt;"TransfereGOV",
ROUND(OFFSET($P452,0,AK$13),15-13*ORÇAMENTO!$AF$7)/$H452*OFFSET(ORÇAMENTO!$X$15,ROW(AK452)-ROW(AK$15),0),
ROUND(ROUND(OFFSET($P452,0,AK$13),15-13*ORÇAMENTO!$AF$7)*OFFSET(ORÇAMENTO!$W$15,ROW(AK452)-ROW(AK$15),0),15-13*ORÇAMENTO!$AF$11)),0)</f>
        <v>0</v>
      </c>
      <c r="AM452" s="181">
        <f ca="1">IF($D452&lt;&gt;"Serviço",0,IF(AND(AUTOEVENTO="Manual",$M452=1),0,IF(OFFSET(CRONOPLE!$F$14,$M452,AM$13)="",10^12,OFFSET(CRONOPLE!$F$14,$M452,AM$13))))</f>
        <v>1000000000000</v>
      </c>
      <c r="AN452" s="181">
        <f ca="1">IF($D452&lt;&gt;"Serviço",0,IF(AND(AUTOEVENTO="Manual",$M452=1),0,IF(OFFSET(CRONOPLE!$F$14,$M452,AN$13)="",10^12,OFFSET(CRONOPLE!$F$14,$M452,AN$13))))</f>
        <v>1000000000000</v>
      </c>
      <c r="AO452" s="181">
        <f ca="1">IF($D452&lt;&gt;"Serviço",0,IF(AND(AUTOEVENTO="Manual",$M452=1),0,IF(OFFSET(CRONOPLE!$F$14,$M452,AO$13)="",10^12,OFFSET(CRONOPLE!$F$14,$M452,AO$13))))</f>
        <v>1000000000000</v>
      </c>
      <c r="AP452" s="181">
        <f ca="1">IF($D452&lt;&gt;"Serviço",0,IF(AND(AUTOEVENTO="Manual",$M452=1),0,IF(OFFSET(CRONOPLE!$F$14,$M452,AP$13)="",10^12,OFFSET(CRONOPLE!$F$14,$M452,AP$13))))</f>
        <v>1000000000000</v>
      </c>
      <c r="AQ452" s="181">
        <f ca="1">IF($D452&lt;&gt;"Serviço",0,IF(AND(AUTOEVENTO="Manual",$M452=1),0,IF(OFFSET(CRONOPLE!$F$14,$M452,AQ$13)="",10^12,OFFSET(CRONOPLE!$F$14,$M452,AQ$13))))</f>
        <v>1000000000000</v>
      </c>
      <c r="AR452" s="181">
        <f ca="1">IF($D452&lt;&gt;"Serviço",0,IF(AND(AUTOEVENTO="Manual",$M452=1),0,IF(OFFSET(CRONOPLE!$F$14,$M452,AR$13)="",10^12,OFFSET(CRONOPLE!$F$14,$M452,AR$13))))</f>
        <v>1000000000000</v>
      </c>
      <c r="AS452" s="181">
        <f ca="1">IF($D452&lt;&gt;"Serviço",0,IF(AND(AUTOEVENTO="Manual",$M452=1),0,IF(OFFSET(CRONOPLE!$F$14,$M452,AS$13)="",10^12,OFFSET(CRONOPLE!$F$14,$M452,AS$13))))</f>
        <v>1000000000000</v>
      </c>
      <c r="AT452" s="181">
        <f ca="1">IF($D452&lt;&gt;"Serviço",0,IF(AND(AUTOEVENTO="Manual",$M452=1),0,IF(OFFSET(CRONOPLE!$F$14,$M452,AT$13)="",10^12,OFFSET(CRONOPLE!$F$14,$M452,AT$13))))</f>
        <v>1000000000000</v>
      </c>
      <c r="AU452" s="181">
        <f ca="1">IF($D452&lt;&gt;"Serviço",0,IF(AND(AUTOEVENTO="Manual",$M452=1),0,IF(OFFSET(CRONOPLE!$F$14,$M452,AU$13)="",10^12,OFFSET(CRONOPLE!$F$14,$M452,AU$13))))</f>
        <v>1000000000000</v>
      </c>
      <c r="AV452" s="181">
        <f ca="1">IF($D452&lt;&gt;"Serviço",0,IF(AND(AUTOEVENTO="Manual",$M452=1),0,IF(OFFSET(CRONOPLE!$F$14,$M452,AV$13)="",10^12,OFFSET(CRONOPLE!$F$14,$M452,AV$13))))</f>
        <v>1000000000000</v>
      </c>
      <c r="AX452" s="182">
        <f ca="1">IF($D452&lt;&gt;"Serviço",0,IF(OR(AND(AUTOEVENTO="Manual",$M452=1),$M452&gt;(ROW(PLE.lastrow)-ROW(PLE.firstrow))),0,IF(OFFSET(PLE!$G$14,$M452,AX$13)="",10^12,OFFSET(PLE!$G$14,$M452,AX$13))))</f>
        <v>1000000000000</v>
      </c>
      <c r="AY452" s="182">
        <f ca="1">IF($D452&lt;&gt;"Serviço",0,IF(OR(AND(AUTOEVENTO="Manual",$M452=1),$M452&gt;(ROW(PLE.lastrow)-ROW(PLE.firstrow))),0,IF(OFFSET(PLE!$G$14,$M452,AY$13)="",10^12,OFFSET(PLE!$G$14,$M452,AY$13))))</f>
        <v>1000000000000</v>
      </c>
      <c r="AZ452" s="182">
        <f ca="1">IF($D452&lt;&gt;"Serviço",0,IF(OR(AND(AUTOEVENTO="Manual",$M452=1),$M452&gt;(ROW(PLE.lastrow)-ROW(PLE.firstrow))),0,IF(OFFSET(PLE!$G$14,$M452,AZ$13)="",10^12,OFFSET(PLE!$G$14,$M452,AZ$13))))</f>
        <v>1000000000000</v>
      </c>
      <c r="BA452" s="182">
        <f ca="1">IF($D452&lt;&gt;"Serviço",0,IF(OR(AND(AUTOEVENTO="Manual",$M452=1),$M452&gt;(ROW(PLE.lastrow)-ROW(PLE.firstrow))),0,IF(OFFSET(PLE!$G$14,$M452,BA$13)="",10^12,OFFSET(PLE!$G$14,$M452,BA$13))))</f>
        <v>1000000000000</v>
      </c>
      <c r="BB452" s="182">
        <f ca="1">IF($D452&lt;&gt;"Serviço",0,IF(OR(AND(AUTOEVENTO="Manual",$M452=1),$M452&gt;(ROW(PLE.lastrow)-ROW(PLE.firstrow))),0,IF(OFFSET(PLE!$G$14,$M452,BB$13)="",10^12,OFFSET(PLE!$G$14,$M452,BB$13))))</f>
        <v>1000000000000</v>
      </c>
      <c r="BC452" s="182">
        <f ca="1">IF($D452&lt;&gt;"Serviço",0,IF(OR(AND(AUTOEVENTO="Manual",$M452=1),$M452&gt;(ROW(PLE.lastrow)-ROW(PLE.firstrow))),0,IF(OFFSET(PLE!$G$14,$M452,BC$13)="",10^12,OFFSET(PLE!$G$14,$M452,BC$13))))</f>
        <v>1000000000000</v>
      </c>
      <c r="BD452" s="182">
        <f ca="1">IF($D452&lt;&gt;"Serviço",0,IF(OR(AND(AUTOEVENTO="Manual",$M452=1),$M452&gt;(ROW(PLE.lastrow)-ROW(PLE.firstrow))),0,IF(OFFSET(PLE!$G$14,$M452,BD$13)="",10^12,OFFSET(PLE!$G$14,$M452,BD$13))))</f>
        <v>1000000000000</v>
      </c>
      <c r="BE452" s="182">
        <f ca="1">IF($D452&lt;&gt;"Serviço",0,IF(OR(AND(AUTOEVENTO="Manual",$M452=1),$M452&gt;(ROW(PLE.lastrow)-ROW(PLE.firstrow))),0,IF(OFFSET(PLE!$G$14,$M452,BE$13)="",10^12,OFFSET(PLE!$G$14,$M452,BE$13))))</f>
        <v>1000000000000</v>
      </c>
      <c r="BF452" s="182">
        <f ca="1">IF($D452&lt;&gt;"Serviço",0,IF(OR(AND(AUTOEVENTO="Manual",$M452=1),$M452&gt;(ROW(PLE.lastrow)-ROW(PLE.firstrow))),0,IF(OFFSET(PLE!$G$14,$M452,BF$13)="",10^12,OFFSET(PLE!$G$14,$M452,BF$13))))</f>
        <v>1000000000000</v>
      </c>
      <c r="BG452" s="182">
        <f ca="1">IF($D452&lt;&gt;"Serviço",0,IF(OR(AND(AUTOEVENTO="Manual",$M452=1),$M452&gt;(ROW(PLE.lastrow)-ROW(PLE.firstrow))),0,IF(OFFSET(PLE!$G$14,$M452,BG$13)="",10^12,OFFSET(PLE!$G$14,$M452,BG$13))))</f>
        <v>1000000000000</v>
      </c>
    </row>
    <row r="453" spans="1:59" ht="38.25" x14ac:dyDescent="0.2">
      <c r="A453" s="7" t="str">
        <f t="shared" ca="1" si="14"/>
        <v>411</v>
      </c>
      <c r="B453" s="7" t="str">
        <f ca="1">OFFSET(ORÇAMENTO!C$15,ROW(B453)-ROW(B$15),0)</f>
        <v>S</v>
      </c>
      <c r="C453" s="7" t="str">
        <f ca="1">OFFSET(ORÇAMENTO!L$15,ROW(C453)-ROW(C$15),0)</f>
        <v/>
      </c>
      <c r="D453" s="118" t="str">
        <f ca="1">OFFSET(ORÇAMENTO!N$15,ROW(D453)-ROW(D$15),0)</f>
        <v>Serviço</v>
      </c>
      <c r="E453" s="119" t="str">
        <f ca="1">OFFSET(ORÇAMENTO!O$15,ROW(E453)-ROW(E$15),0)</f>
        <v>-</v>
      </c>
      <c r="F453" s="172" t="str">
        <f ca="1">OFFSET(ORÇAMENTO!R$15,ROW(F453)-ROW(F$15),0)</f>
        <v>(abra o arquivo 'Referência 02-2025.xlsm)</v>
      </c>
      <c r="G453" s="173" t="str">
        <f ca="1">IF($D453&lt;&gt;"Serviço","",OFFSET(ORÇAMENTO!S$15,ROW(G453)-ROW(G$15),0))</f>
        <v>-</v>
      </c>
      <c r="H453" s="124">
        <f ca="1">IF($D453&lt;&gt;"Serviço",0,IF(ACOMPANHAMENTO="BM",ROUND(OFFSET(ORÇAMENTO!AJ$15,ROW(H453)-ROW(H$15),0),15-13*ORÇAMENTO!$AF$7),SUMPRODUCT(($Q$12:$AA$12&lt;&gt;"")*ROUND($Q453:$AA453,15-13*ORÇAMENTO!$AF$7))))</f>
        <v>0.33</v>
      </c>
      <c r="I453" s="561" t="s">
        <v>890</v>
      </c>
      <c r="K453" s="174"/>
      <c r="L453" s="175" t="s">
        <v>255</v>
      </c>
      <c r="M453" s="176">
        <f ca="1">IF($D453&lt;&gt;"Serviço","",IF(AUTOEVENTO="manual",$A453,IF(ISERROR(MATCH($A453,$A$15:OFFSET($A453,-1,0),0)),MAX($M$15:OFFSET(M453,-1,0))+1,INDEX($M$15:OFFSET(M453,-1,0),MATCH($A453,$A$15:OFFSET($A453,-1,0),0)))))</f>
        <v>17</v>
      </c>
      <c r="N453" s="177" t="str">
        <f ca="1">IF($D453&lt;&gt;"Serviço","",IF(AUTOEVENTO="Manual",IF($A453=0,"&lt;-- defina o número do agrupador",OFFSET(EVENTOS!$D$14,$A453,0)),OFFSET($F$15,$A453,0)))</f>
        <v>SISTEMA DE PROTEÇÃO CONTRA INCÊNDIO</v>
      </c>
      <c r="O453" s="178"/>
      <c r="Q453" s="178"/>
      <c r="R453" s="179"/>
      <c r="S453" s="179"/>
      <c r="T453" s="179"/>
      <c r="U453" s="179"/>
      <c r="V453" s="179"/>
      <c r="W453" s="179"/>
      <c r="X453" s="179"/>
      <c r="Y453" s="179"/>
      <c r="Z453" s="180"/>
      <c r="AB453" s="544">
        <f ca="1">IF(AND($D453="Serviço",AB$12&lt;&gt;0,$H453&gt;0,OR(AUTOEVENTO&lt;&gt;"manual",$M453&lt;&gt;1)),
IF(Import.TipoArredondamento&lt;&gt;"TransfereGOV",
ROUND(OFFSET($P453,0,AB$13),15-13*ORÇAMENTO!$AF$7)/$H453*OFFSET(ORÇAMENTO!$X$15,ROW(AB453)-ROW(AB$15),0),
ROUND(ROUND(OFFSET($P453,0,AB$13),15-13*ORÇAMENTO!$AF$7)*OFFSET(ORÇAMENTO!$W$15,ROW(AB453)-ROW(AB$15),0),15-13*ORÇAMENTO!$AF$11)),0)</f>
        <v>0</v>
      </c>
      <c r="AC453" s="545">
        <f ca="1">IF(AND($D453="Serviço",AC$12&lt;&gt;0,$H453&gt;0,OR(AUTOEVENTO&lt;&gt;"manual",$M453&lt;&gt;1)),
IF(Import.TipoArredondamento&lt;&gt;"TransfereGOV",
ROUND(OFFSET($P453,0,AC$13),15-13*ORÇAMENTO!$AF$7)/$H453*OFFSET(ORÇAMENTO!$X$15,ROW(AC453)-ROW(AC$15),0),
ROUND(ROUND(OFFSET($P453,0,AC$13),15-13*ORÇAMENTO!$AF$7)*OFFSET(ORÇAMENTO!$W$15,ROW(AC453)-ROW(AC$15),0),15-13*ORÇAMENTO!$AF$11)),0)</f>
        <v>0</v>
      </c>
      <c r="AD453" s="545">
        <f ca="1">IF(AND($D453="Serviço",AD$12&lt;&gt;0,$H453&gt;0,OR(AUTOEVENTO&lt;&gt;"manual",$M453&lt;&gt;1)),
IF(Import.TipoArredondamento&lt;&gt;"TransfereGOV",
ROUND(OFFSET($P453,0,AD$13),15-13*ORÇAMENTO!$AF$7)/$H453*OFFSET(ORÇAMENTO!$X$15,ROW(AD453)-ROW(AD$15),0),
ROUND(ROUND(OFFSET($P453,0,AD$13),15-13*ORÇAMENTO!$AF$7)*OFFSET(ORÇAMENTO!$W$15,ROW(AD453)-ROW(AD$15),0),15-13*ORÇAMENTO!$AF$11)),0)</f>
        <v>0</v>
      </c>
      <c r="AE453" s="545">
        <f ca="1">IF(AND($D453="Serviço",AE$12&lt;&gt;0,$H453&gt;0,OR(AUTOEVENTO&lt;&gt;"manual",$M453&lt;&gt;1)),
IF(Import.TipoArredondamento&lt;&gt;"TransfereGOV",
ROUND(OFFSET($P453,0,AE$13),15-13*ORÇAMENTO!$AF$7)/$H453*OFFSET(ORÇAMENTO!$X$15,ROW(AE453)-ROW(AE$15),0),
ROUND(ROUND(OFFSET($P453,0,AE$13),15-13*ORÇAMENTO!$AF$7)*OFFSET(ORÇAMENTO!$W$15,ROW(AE453)-ROW(AE$15),0),15-13*ORÇAMENTO!$AF$11)),0)</f>
        <v>0</v>
      </c>
      <c r="AF453" s="545">
        <f ca="1">IF(AND($D453="Serviço",AF$12&lt;&gt;0,$H453&gt;0,OR(AUTOEVENTO&lt;&gt;"manual",$M453&lt;&gt;1)),
IF(Import.TipoArredondamento&lt;&gt;"TransfereGOV",
ROUND(OFFSET($P453,0,AF$13),15-13*ORÇAMENTO!$AF$7)/$H453*OFFSET(ORÇAMENTO!$X$15,ROW(AF453)-ROW(AF$15),0),
ROUND(ROUND(OFFSET($P453,0,AF$13),15-13*ORÇAMENTO!$AF$7)*OFFSET(ORÇAMENTO!$W$15,ROW(AF453)-ROW(AF$15),0),15-13*ORÇAMENTO!$AF$11)),0)</f>
        <v>0</v>
      </c>
      <c r="AG453" s="545">
        <f ca="1">IF(AND($D453="Serviço",AG$12&lt;&gt;0,$H453&gt;0,OR(AUTOEVENTO&lt;&gt;"manual",$M453&lt;&gt;1)),
IF(Import.TipoArredondamento&lt;&gt;"TransfereGOV",
ROUND(OFFSET($P453,0,AG$13),15-13*ORÇAMENTO!$AF$7)/$H453*OFFSET(ORÇAMENTO!$X$15,ROW(AG453)-ROW(AG$15),0),
ROUND(ROUND(OFFSET($P453,0,AG$13),15-13*ORÇAMENTO!$AF$7)*OFFSET(ORÇAMENTO!$W$15,ROW(AG453)-ROW(AG$15),0),15-13*ORÇAMENTO!$AF$11)),0)</f>
        <v>0</v>
      </c>
      <c r="AH453" s="545">
        <f ca="1">IF(AND($D453="Serviço",AH$12&lt;&gt;0,$H453&gt;0,OR(AUTOEVENTO&lt;&gt;"manual",$M453&lt;&gt;1)),
IF(Import.TipoArredondamento&lt;&gt;"TransfereGOV",
ROUND(OFFSET($P453,0,AH$13),15-13*ORÇAMENTO!$AF$7)/$H453*OFFSET(ORÇAMENTO!$X$15,ROW(AH453)-ROW(AH$15),0),
ROUND(ROUND(OFFSET($P453,0,AH$13),15-13*ORÇAMENTO!$AF$7)*OFFSET(ORÇAMENTO!$W$15,ROW(AH453)-ROW(AH$15),0),15-13*ORÇAMENTO!$AF$11)),0)</f>
        <v>0</v>
      </c>
      <c r="AI453" s="545">
        <f ca="1">IF(AND($D453="Serviço",AI$12&lt;&gt;0,$H453&gt;0,OR(AUTOEVENTO&lt;&gt;"manual",$M453&lt;&gt;1)),
IF(Import.TipoArredondamento&lt;&gt;"TransfereGOV",
ROUND(OFFSET($P453,0,AI$13),15-13*ORÇAMENTO!$AF$7)/$H453*OFFSET(ORÇAMENTO!$X$15,ROW(AI453)-ROW(AI$15),0),
ROUND(ROUND(OFFSET($P453,0,AI$13),15-13*ORÇAMENTO!$AF$7)*OFFSET(ORÇAMENTO!$W$15,ROW(AI453)-ROW(AI$15),0),15-13*ORÇAMENTO!$AF$11)),0)</f>
        <v>0</v>
      </c>
      <c r="AJ453" s="545">
        <f ca="1">IF(AND($D453="Serviço",AJ$12&lt;&gt;0,$H453&gt;0,OR(AUTOEVENTO&lt;&gt;"manual",$M453&lt;&gt;1)),
IF(Import.TipoArredondamento&lt;&gt;"TransfereGOV",
ROUND(OFFSET($P453,0,AJ$13),15-13*ORÇAMENTO!$AF$7)/$H453*OFFSET(ORÇAMENTO!$X$15,ROW(AJ453)-ROW(AJ$15),0),
ROUND(ROUND(OFFSET($P453,0,AJ$13),15-13*ORÇAMENTO!$AF$7)*OFFSET(ORÇAMENTO!$W$15,ROW(AJ453)-ROW(AJ$15),0),15-13*ORÇAMENTO!$AF$11)),0)</f>
        <v>0</v>
      </c>
      <c r="AK453" s="546">
        <f ca="1">IF(AND($D453="Serviço",AK$12&lt;&gt;0,$H453&gt;0,OR(AUTOEVENTO&lt;&gt;"manual",$M453&lt;&gt;1)),
IF(Import.TipoArredondamento&lt;&gt;"TransfereGOV",
ROUND(OFFSET($P453,0,AK$13),15-13*ORÇAMENTO!$AF$7)/$H453*OFFSET(ORÇAMENTO!$X$15,ROW(AK453)-ROW(AK$15),0),
ROUND(ROUND(OFFSET($P453,0,AK$13),15-13*ORÇAMENTO!$AF$7)*OFFSET(ORÇAMENTO!$W$15,ROW(AK453)-ROW(AK$15),0),15-13*ORÇAMENTO!$AF$11)),0)</f>
        <v>0</v>
      </c>
      <c r="AM453" s="181">
        <f ca="1">IF($D453&lt;&gt;"Serviço",0,IF(AND(AUTOEVENTO="Manual",$M453=1),0,IF(OFFSET(CRONOPLE!$F$14,$M453,AM$13)="",10^12,OFFSET(CRONOPLE!$F$14,$M453,AM$13))))</f>
        <v>1000000000000</v>
      </c>
      <c r="AN453" s="181">
        <f ca="1">IF($D453&lt;&gt;"Serviço",0,IF(AND(AUTOEVENTO="Manual",$M453=1),0,IF(OFFSET(CRONOPLE!$F$14,$M453,AN$13)="",10^12,OFFSET(CRONOPLE!$F$14,$M453,AN$13))))</f>
        <v>1000000000000</v>
      </c>
      <c r="AO453" s="181">
        <f ca="1">IF($D453&lt;&gt;"Serviço",0,IF(AND(AUTOEVENTO="Manual",$M453=1),0,IF(OFFSET(CRONOPLE!$F$14,$M453,AO$13)="",10^12,OFFSET(CRONOPLE!$F$14,$M453,AO$13))))</f>
        <v>1000000000000</v>
      </c>
      <c r="AP453" s="181">
        <f ca="1">IF($D453&lt;&gt;"Serviço",0,IF(AND(AUTOEVENTO="Manual",$M453=1),0,IF(OFFSET(CRONOPLE!$F$14,$M453,AP$13)="",10^12,OFFSET(CRONOPLE!$F$14,$M453,AP$13))))</f>
        <v>1000000000000</v>
      </c>
      <c r="AQ453" s="181">
        <f ca="1">IF($D453&lt;&gt;"Serviço",0,IF(AND(AUTOEVENTO="Manual",$M453=1),0,IF(OFFSET(CRONOPLE!$F$14,$M453,AQ$13)="",10^12,OFFSET(CRONOPLE!$F$14,$M453,AQ$13))))</f>
        <v>1000000000000</v>
      </c>
      <c r="AR453" s="181">
        <f ca="1">IF($D453&lt;&gt;"Serviço",0,IF(AND(AUTOEVENTO="Manual",$M453=1),0,IF(OFFSET(CRONOPLE!$F$14,$M453,AR$13)="",10^12,OFFSET(CRONOPLE!$F$14,$M453,AR$13))))</f>
        <v>1000000000000</v>
      </c>
      <c r="AS453" s="181">
        <f ca="1">IF($D453&lt;&gt;"Serviço",0,IF(AND(AUTOEVENTO="Manual",$M453=1),0,IF(OFFSET(CRONOPLE!$F$14,$M453,AS$13)="",10^12,OFFSET(CRONOPLE!$F$14,$M453,AS$13))))</f>
        <v>1000000000000</v>
      </c>
      <c r="AT453" s="181">
        <f ca="1">IF($D453&lt;&gt;"Serviço",0,IF(AND(AUTOEVENTO="Manual",$M453=1),0,IF(OFFSET(CRONOPLE!$F$14,$M453,AT$13)="",10^12,OFFSET(CRONOPLE!$F$14,$M453,AT$13))))</f>
        <v>1000000000000</v>
      </c>
      <c r="AU453" s="181">
        <f ca="1">IF($D453&lt;&gt;"Serviço",0,IF(AND(AUTOEVENTO="Manual",$M453=1),0,IF(OFFSET(CRONOPLE!$F$14,$M453,AU$13)="",10^12,OFFSET(CRONOPLE!$F$14,$M453,AU$13))))</f>
        <v>1000000000000</v>
      </c>
      <c r="AV453" s="181">
        <f ca="1">IF($D453&lt;&gt;"Serviço",0,IF(AND(AUTOEVENTO="Manual",$M453=1),0,IF(OFFSET(CRONOPLE!$F$14,$M453,AV$13)="",10^12,OFFSET(CRONOPLE!$F$14,$M453,AV$13))))</f>
        <v>1000000000000</v>
      </c>
      <c r="AX453" s="182">
        <f ca="1">IF($D453&lt;&gt;"Serviço",0,IF(OR(AND(AUTOEVENTO="Manual",$M453=1),$M453&gt;(ROW(PLE.lastrow)-ROW(PLE.firstrow))),0,IF(OFFSET(PLE!$G$14,$M453,AX$13)="",10^12,OFFSET(PLE!$G$14,$M453,AX$13))))</f>
        <v>1000000000000</v>
      </c>
      <c r="AY453" s="182">
        <f ca="1">IF($D453&lt;&gt;"Serviço",0,IF(OR(AND(AUTOEVENTO="Manual",$M453=1),$M453&gt;(ROW(PLE.lastrow)-ROW(PLE.firstrow))),0,IF(OFFSET(PLE!$G$14,$M453,AY$13)="",10^12,OFFSET(PLE!$G$14,$M453,AY$13))))</f>
        <v>1000000000000</v>
      </c>
      <c r="AZ453" s="182">
        <f ca="1">IF($D453&lt;&gt;"Serviço",0,IF(OR(AND(AUTOEVENTO="Manual",$M453=1),$M453&gt;(ROW(PLE.lastrow)-ROW(PLE.firstrow))),0,IF(OFFSET(PLE!$G$14,$M453,AZ$13)="",10^12,OFFSET(PLE!$G$14,$M453,AZ$13))))</f>
        <v>1000000000000</v>
      </c>
      <c r="BA453" s="182">
        <f ca="1">IF($D453&lt;&gt;"Serviço",0,IF(OR(AND(AUTOEVENTO="Manual",$M453=1),$M453&gt;(ROW(PLE.lastrow)-ROW(PLE.firstrow))),0,IF(OFFSET(PLE!$G$14,$M453,BA$13)="",10^12,OFFSET(PLE!$G$14,$M453,BA$13))))</f>
        <v>1000000000000</v>
      </c>
      <c r="BB453" s="182">
        <f ca="1">IF($D453&lt;&gt;"Serviço",0,IF(OR(AND(AUTOEVENTO="Manual",$M453=1),$M453&gt;(ROW(PLE.lastrow)-ROW(PLE.firstrow))),0,IF(OFFSET(PLE!$G$14,$M453,BB$13)="",10^12,OFFSET(PLE!$G$14,$M453,BB$13))))</f>
        <v>1000000000000</v>
      </c>
      <c r="BC453" s="182">
        <f ca="1">IF($D453&lt;&gt;"Serviço",0,IF(OR(AND(AUTOEVENTO="Manual",$M453=1),$M453&gt;(ROW(PLE.lastrow)-ROW(PLE.firstrow))),0,IF(OFFSET(PLE!$G$14,$M453,BC$13)="",10^12,OFFSET(PLE!$G$14,$M453,BC$13))))</f>
        <v>1000000000000</v>
      </c>
      <c r="BD453" s="182">
        <f ca="1">IF($D453&lt;&gt;"Serviço",0,IF(OR(AND(AUTOEVENTO="Manual",$M453=1),$M453&gt;(ROW(PLE.lastrow)-ROW(PLE.firstrow))),0,IF(OFFSET(PLE!$G$14,$M453,BD$13)="",10^12,OFFSET(PLE!$G$14,$M453,BD$13))))</f>
        <v>1000000000000</v>
      </c>
      <c r="BE453" s="182">
        <f ca="1">IF($D453&lt;&gt;"Serviço",0,IF(OR(AND(AUTOEVENTO="Manual",$M453=1),$M453&gt;(ROW(PLE.lastrow)-ROW(PLE.firstrow))),0,IF(OFFSET(PLE!$G$14,$M453,BE$13)="",10^12,OFFSET(PLE!$G$14,$M453,BE$13))))</f>
        <v>1000000000000</v>
      </c>
      <c r="BF453" s="182">
        <f ca="1">IF($D453&lt;&gt;"Serviço",0,IF(OR(AND(AUTOEVENTO="Manual",$M453=1),$M453&gt;(ROW(PLE.lastrow)-ROW(PLE.firstrow))),0,IF(OFFSET(PLE!$G$14,$M453,BF$13)="",10^12,OFFSET(PLE!$G$14,$M453,BF$13))))</f>
        <v>1000000000000</v>
      </c>
      <c r="BG453" s="182">
        <f ca="1">IF($D453&lt;&gt;"Serviço",0,IF(OR(AND(AUTOEVENTO="Manual",$M453=1),$M453&gt;(ROW(PLE.lastrow)-ROW(PLE.firstrow))),0,IF(OFFSET(PLE!$G$14,$M453,BG$13)="",10^12,OFFSET(PLE!$G$14,$M453,BG$13))))</f>
        <v>1000000000000</v>
      </c>
    </row>
    <row r="454" spans="1:59" ht="51" x14ac:dyDescent="0.2">
      <c r="A454" s="7" t="str">
        <f t="shared" ca="1" si="14"/>
        <v>411</v>
      </c>
      <c r="B454" s="7" t="str">
        <f ca="1">OFFSET(ORÇAMENTO!C$15,ROW(B454)-ROW(B$15),0)</f>
        <v>S</v>
      </c>
      <c r="C454" s="7" t="str">
        <f ca="1">OFFSET(ORÇAMENTO!L$15,ROW(C454)-ROW(C$15),0)</f>
        <v/>
      </c>
      <c r="D454" s="118" t="str">
        <f ca="1">OFFSET(ORÇAMENTO!N$15,ROW(D454)-ROW(D$15),0)</f>
        <v>Serviço</v>
      </c>
      <c r="E454" s="119" t="str">
        <f ca="1">OFFSET(ORÇAMENTO!O$15,ROW(E454)-ROW(E$15),0)</f>
        <v>-</v>
      </c>
      <c r="F454" s="172" t="str">
        <f ca="1">OFFSET(ORÇAMENTO!R$15,ROW(F454)-ROW(F$15),0)</f>
        <v>(abra o arquivo 'Referência 02-2025.xlsm)</v>
      </c>
      <c r="G454" s="173" t="str">
        <f ca="1">IF($D454&lt;&gt;"Serviço","",OFFSET(ORÇAMENTO!S$15,ROW(G454)-ROW(G$15),0))</f>
        <v>-</v>
      </c>
      <c r="H454" s="124">
        <f ca="1">IF($D454&lt;&gt;"Serviço",0,IF(ACOMPANHAMENTO="BM",ROUND(OFFSET(ORÇAMENTO!AJ$15,ROW(H454)-ROW(H$15),0),15-13*ORÇAMENTO!$AF$7),SUMPRODUCT(($Q$12:$AA$12&lt;&gt;"")*ROUND($Q454:$AA454,15-13*ORÇAMENTO!$AF$7))))</f>
        <v>97.54</v>
      </c>
      <c r="I454" s="561" t="s">
        <v>890</v>
      </c>
      <c r="K454" s="174"/>
      <c r="L454" s="175" t="s">
        <v>255</v>
      </c>
      <c r="M454" s="176">
        <f ca="1">IF($D454&lt;&gt;"Serviço","",IF(AUTOEVENTO="manual",$A454,IF(ISERROR(MATCH($A454,$A$15:OFFSET($A454,-1,0),0)),MAX($M$15:OFFSET(M454,-1,0))+1,INDEX($M$15:OFFSET(M454,-1,0),MATCH($A454,$A$15:OFFSET($A454,-1,0),0)))))</f>
        <v>17</v>
      </c>
      <c r="N454" s="177" t="str">
        <f ca="1">IF($D454&lt;&gt;"Serviço","",IF(AUTOEVENTO="Manual",IF($A454=0,"&lt;-- defina o número do agrupador",OFFSET(EVENTOS!$D$14,$A454,0)),OFFSET($F$15,$A454,0)))</f>
        <v>SISTEMA DE PROTEÇÃO CONTRA INCÊNDIO</v>
      </c>
      <c r="O454" s="178"/>
      <c r="Q454" s="178"/>
      <c r="R454" s="179"/>
      <c r="S454" s="179"/>
      <c r="T454" s="179"/>
      <c r="U454" s="179"/>
      <c r="V454" s="179"/>
      <c r="W454" s="179"/>
      <c r="X454" s="179"/>
      <c r="Y454" s="179"/>
      <c r="Z454" s="180"/>
      <c r="AB454" s="544">
        <f ca="1">IF(AND($D454="Serviço",AB$12&lt;&gt;0,$H454&gt;0,OR(AUTOEVENTO&lt;&gt;"manual",$M454&lt;&gt;1)),
IF(Import.TipoArredondamento&lt;&gt;"TransfereGOV",
ROUND(OFFSET($P454,0,AB$13),15-13*ORÇAMENTO!$AF$7)/$H454*OFFSET(ORÇAMENTO!$X$15,ROW(AB454)-ROW(AB$15),0),
ROUND(ROUND(OFFSET($P454,0,AB$13),15-13*ORÇAMENTO!$AF$7)*OFFSET(ORÇAMENTO!$W$15,ROW(AB454)-ROW(AB$15),0),15-13*ORÇAMENTO!$AF$11)),0)</f>
        <v>0</v>
      </c>
      <c r="AC454" s="545">
        <f ca="1">IF(AND($D454="Serviço",AC$12&lt;&gt;0,$H454&gt;0,OR(AUTOEVENTO&lt;&gt;"manual",$M454&lt;&gt;1)),
IF(Import.TipoArredondamento&lt;&gt;"TransfereGOV",
ROUND(OFFSET($P454,0,AC$13),15-13*ORÇAMENTO!$AF$7)/$H454*OFFSET(ORÇAMENTO!$X$15,ROW(AC454)-ROW(AC$15),0),
ROUND(ROUND(OFFSET($P454,0,AC$13),15-13*ORÇAMENTO!$AF$7)*OFFSET(ORÇAMENTO!$W$15,ROW(AC454)-ROW(AC$15),0),15-13*ORÇAMENTO!$AF$11)),0)</f>
        <v>0</v>
      </c>
      <c r="AD454" s="545">
        <f ca="1">IF(AND($D454="Serviço",AD$12&lt;&gt;0,$H454&gt;0,OR(AUTOEVENTO&lt;&gt;"manual",$M454&lt;&gt;1)),
IF(Import.TipoArredondamento&lt;&gt;"TransfereGOV",
ROUND(OFFSET($P454,0,AD$13),15-13*ORÇAMENTO!$AF$7)/$H454*OFFSET(ORÇAMENTO!$X$15,ROW(AD454)-ROW(AD$15),0),
ROUND(ROUND(OFFSET($P454,0,AD$13),15-13*ORÇAMENTO!$AF$7)*OFFSET(ORÇAMENTO!$W$15,ROW(AD454)-ROW(AD$15),0),15-13*ORÇAMENTO!$AF$11)),0)</f>
        <v>0</v>
      </c>
      <c r="AE454" s="545">
        <f ca="1">IF(AND($D454="Serviço",AE$12&lt;&gt;0,$H454&gt;0,OR(AUTOEVENTO&lt;&gt;"manual",$M454&lt;&gt;1)),
IF(Import.TipoArredondamento&lt;&gt;"TransfereGOV",
ROUND(OFFSET($P454,0,AE$13),15-13*ORÇAMENTO!$AF$7)/$H454*OFFSET(ORÇAMENTO!$X$15,ROW(AE454)-ROW(AE$15),0),
ROUND(ROUND(OFFSET($P454,0,AE$13),15-13*ORÇAMENTO!$AF$7)*OFFSET(ORÇAMENTO!$W$15,ROW(AE454)-ROW(AE$15),0),15-13*ORÇAMENTO!$AF$11)),0)</f>
        <v>0</v>
      </c>
      <c r="AF454" s="545">
        <f ca="1">IF(AND($D454="Serviço",AF$12&lt;&gt;0,$H454&gt;0,OR(AUTOEVENTO&lt;&gt;"manual",$M454&lt;&gt;1)),
IF(Import.TipoArredondamento&lt;&gt;"TransfereGOV",
ROUND(OFFSET($P454,0,AF$13),15-13*ORÇAMENTO!$AF$7)/$H454*OFFSET(ORÇAMENTO!$X$15,ROW(AF454)-ROW(AF$15),0),
ROUND(ROUND(OFFSET($P454,0,AF$13),15-13*ORÇAMENTO!$AF$7)*OFFSET(ORÇAMENTO!$W$15,ROW(AF454)-ROW(AF$15),0),15-13*ORÇAMENTO!$AF$11)),0)</f>
        <v>0</v>
      </c>
      <c r="AG454" s="545">
        <f ca="1">IF(AND($D454="Serviço",AG$12&lt;&gt;0,$H454&gt;0,OR(AUTOEVENTO&lt;&gt;"manual",$M454&lt;&gt;1)),
IF(Import.TipoArredondamento&lt;&gt;"TransfereGOV",
ROUND(OFFSET($P454,0,AG$13),15-13*ORÇAMENTO!$AF$7)/$H454*OFFSET(ORÇAMENTO!$X$15,ROW(AG454)-ROW(AG$15),0),
ROUND(ROUND(OFFSET($P454,0,AG$13),15-13*ORÇAMENTO!$AF$7)*OFFSET(ORÇAMENTO!$W$15,ROW(AG454)-ROW(AG$15),0),15-13*ORÇAMENTO!$AF$11)),0)</f>
        <v>0</v>
      </c>
      <c r="AH454" s="545">
        <f ca="1">IF(AND($D454="Serviço",AH$12&lt;&gt;0,$H454&gt;0,OR(AUTOEVENTO&lt;&gt;"manual",$M454&lt;&gt;1)),
IF(Import.TipoArredondamento&lt;&gt;"TransfereGOV",
ROUND(OFFSET($P454,0,AH$13),15-13*ORÇAMENTO!$AF$7)/$H454*OFFSET(ORÇAMENTO!$X$15,ROW(AH454)-ROW(AH$15),0),
ROUND(ROUND(OFFSET($P454,0,AH$13),15-13*ORÇAMENTO!$AF$7)*OFFSET(ORÇAMENTO!$W$15,ROW(AH454)-ROW(AH$15),0),15-13*ORÇAMENTO!$AF$11)),0)</f>
        <v>0</v>
      </c>
      <c r="AI454" s="545">
        <f ca="1">IF(AND($D454="Serviço",AI$12&lt;&gt;0,$H454&gt;0,OR(AUTOEVENTO&lt;&gt;"manual",$M454&lt;&gt;1)),
IF(Import.TipoArredondamento&lt;&gt;"TransfereGOV",
ROUND(OFFSET($P454,0,AI$13),15-13*ORÇAMENTO!$AF$7)/$H454*OFFSET(ORÇAMENTO!$X$15,ROW(AI454)-ROW(AI$15),0),
ROUND(ROUND(OFFSET($P454,0,AI$13),15-13*ORÇAMENTO!$AF$7)*OFFSET(ORÇAMENTO!$W$15,ROW(AI454)-ROW(AI$15),0),15-13*ORÇAMENTO!$AF$11)),0)</f>
        <v>0</v>
      </c>
      <c r="AJ454" s="545">
        <f ca="1">IF(AND($D454="Serviço",AJ$12&lt;&gt;0,$H454&gt;0,OR(AUTOEVENTO&lt;&gt;"manual",$M454&lt;&gt;1)),
IF(Import.TipoArredondamento&lt;&gt;"TransfereGOV",
ROUND(OFFSET($P454,0,AJ$13),15-13*ORÇAMENTO!$AF$7)/$H454*OFFSET(ORÇAMENTO!$X$15,ROW(AJ454)-ROW(AJ$15),0),
ROUND(ROUND(OFFSET($P454,0,AJ$13),15-13*ORÇAMENTO!$AF$7)*OFFSET(ORÇAMENTO!$W$15,ROW(AJ454)-ROW(AJ$15),0),15-13*ORÇAMENTO!$AF$11)),0)</f>
        <v>0</v>
      </c>
      <c r="AK454" s="546">
        <f ca="1">IF(AND($D454="Serviço",AK$12&lt;&gt;0,$H454&gt;0,OR(AUTOEVENTO&lt;&gt;"manual",$M454&lt;&gt;1)),
IF(Import.TipoArredondamento&lt;&gt;"TransfereGOV",
ROUND(OFFSET($P454,0,AK$13),15-13*ORÇAMENTO!$AF$7)/$H454*OFFSET(ORÇAMENTO!$X$15,ROW(AK454)-ROW(AK$15),0),
ROUND(ROUND(OFFSET($P454,0,AK$13),15-13*ORÇAMENTO!$AF$7)*OFFSET(ORÇAMENTO!$W$15,ROW(AK454)-ROW(AK$15),0),15-13*ORÇAMENTO!$AF$11)),0)</f>
        <v>0</v>
      </c>
      <c r="AM454" s="181">
        <f ca="1">IF($D454&lt;&gt;"Serviço",0,IF(AND(AUTOEVENTO="Manual",$M454=1),0,IF(OFFSET(CRONOPLE!$F$14,$M454,AM$13)="",10^12,OFFSET(CRONOPLE!$F$14,$M454,AM$13))))</f>
        <v>1000000000000</v>
      </c>
      <c r="AN454" s="181">
        <f ca="1">IF($D454&lt;&gt;"Serviço",0,IF(AND(AUTOEVENTO="Manual",$M454=1),0,IF(OFFSET(CRONOPLE!$F$14,$M454,AN$13)="",10^12,OFFSET(CRONOPLE!$F$14,$M454,AN$13))))</f>
        <v>1000000000000</v>
      </c>
      <c r="AO454" s="181">
        <f ca="1">IF($D454&lt;&gt;"Serviço",0,IF(AND(AUTOEVENTO="Manual",$M454=1),0,IF(OFFSET(CRONOPLE!$F$14,$M454,AO$13)="",10^12,OFFSET(CRONOPLE!$F$14,$M454,AO$13))))</f>
        <v>1000000000000</v>
      </c>
      <c r="AP454" s="181">
        <f ca="1">IF($D454&lt;&gt;"Serviço",0,IF(AND(AUTOEVENTO="Manual",$M454=1),0,IF(OFFSET(CRONOPLE!$F$14,$M454,AP$13)="",10^12,OFFSET(CRONOPLE!$F$14,$M454,AP$13))))</f>
        <v>1000000000000</v>
      </c>
      <c r="AQ454" s="181">
        <f ca="1">IF($D454&lt;&gt;"Serviço",0,IF(AND(AUTOEVENTO="Manual",$M454=1),0,IF(OFFSET(CRONOPLE!$F$14,$M454,AQ$13)="",10^12,OFFSET(CRONOPLE!$F$14,$M454,AQ$13))))</f>
        <v>1000000000000</v>
      </c>
      <c r="AR454" s="181">
        <f ca="1">IF($D454&lt;&gt;"Serviço",0,IF(AND(AUTOEVENTO="Manual",$M454=1),0,IF(OFFSET(CRONOPLE!$F$14,$M454,AR$13)="",10^12,OFFSET(CRONOPLE!$F$14,$M454,AR$13))))</f>
        <v>1000000000000</v>
      </c>
      <c r="AS454" s="181">
        <f ca="1">IF($D454&lt;&gt;"Serviço",0,IF(AND(AUTOEVENTO="Manual",$M454=1),0,IF(OFFSET(CRONOPLE!$F$14,$M454,AS$13)="",10^12,OFFSET(CRONOPLE!$F$14,$M454,AS$13))))</f>
        <v>1000000000000</v>
      </c>
      <c r="AT454" s="181">
        <f ca="1">IF($D454&lt;&gt;"Serviço",0,IF(AND(AUTOEVENTO="Manual",$M454=1),0,IF(OFFSET(CRONOPLE!$F$14,$M454,AT$13)="",10^12,OFFSET(CRONOPLE!$F$14,$M454,AT$13))))</f>
        <v>1000000000000</v>
      </c>
      <c r="AU454" s="181">
        <f ca="1">IF($D454&lt;&gt;"Serviço",0,IF(AND(AUTOEVENTO="Manual",$M454=1),0,IF(OFFSET(CRONOPLE!$F$14,$M454,AU$13)="",10^12,OFFSET(CRONOPLE!$F$14,$M454,AU$13))))</f>
        <v>1000000000000</v>
      </c>
      <c r="AV454" s="181">
        <f ca="1">IF($D454&lt;&gt;"Serviço",0,IF(AND(AUTOEVENTO="Manual",$M454=1),0,IF(OFFSET(CRONOPLE!$F$14,$M454,AV$13)="",10^12,OFFSET(CRONOPLE!$F$14,$M454,AV$13))))</f>
        <v>1000000000000</v>
      </c>
      <c r="AX454" s="182">
        <f ca="1">IF($D454&lt;&gt;"Serviço",0,IF(OR(AND(AUTOEVENTO="Manual",$M454=1),$M454&gt;(ROW(PLE.lastrow)-ROW(PLE.firstrow))),0,IF(OFFSET(PLE!$G$14,$M454,AX$13)="",10^12,OFFSET(PLE!$G$14,$M454,AX$13))))</f>
        <v>1000000000000</v>
      </c>
      <c r="AY454" s="182">
        <f ca="1">IF($D454&lt;&gt;"Serviço",0,IF(OR(AND(AUTOEVENTO="Manual",$M454=1),$M454&gt;(ROW(PLE.lastrow)-ROW(PLE.firstrow))),0,IF(OFFSET(PLE!$G$14,$M454,AY$13)="",10^12,OFFSET(PLE!$G$14,$M454,AY$13))))</f>
        <v>1000000000000</v>
      </c>
      <c r="AZ454" s="182">
        <f ca="1">IF($D454&lt;&gt;"Serviço",0,IF(OR(AND(AUTOEVENTO="Manual",$M454=1),$M454&gt;(ROW(PLE.lastrow)-ROW(PLE.firstrow))),0,IF(OFFSET(PLE!$G$14,$M454,AZ$13)="",10^12,OFFSET(PLE!$G$14,$M454,AZ$13))))</f>
        <v>1000000000000</v>
      </c>
      <c r="BA454" s="182">
        <f ca="1">IF($D454&lt;&gt;"Serviço",0,IF(OR(AND(AUTOEVENTO="Manual",$M454=1),$M454&gt;(ROW(PLE.lastrow)-ROW(PLE.firstrow))),0,IF(OFFSET(PLE!$G$14,$M454,BA$13)="",10^12,OFFSET(PLE!$G$14,$M454,BA$13))))</f>
        <v>1000000000000</v>
      </c>
      <c r="BB454" s="182">
        <f ca="1">IF($D454&lt;&gt;"Serviço",0,IF(OR(AND(AUTOEVENTO="Manual",$M454=1),$M454&gt;(ROW(PLE.lastrow)-ROW(PLE.firstrow))),0,IF(OFFSET(PLE!$G$14,$M454,BB$13)="",10^12,OFFSET(PLE!$G$14,$M454,BB$13))))</f>
        <v>1000000000000</v>
      </c>
      <c r="BC454" s="182">
        <f ca="1">IF($D454&lt;&gt;"Serviço",0,IF(OR(AND(AUTOEVENTO="Manual",$M454=1),$M454&gt;(ROW(PLE.lastrow)-ROW(PLE.firstrow))),0,IF(OFFSET(PLE!$G$14,$M454,BC$13)="",10^12,OFFSET(PLE!$G$14,$M454,BC$13))))</f>
        <v>1000000000000</v>
      </c>
      <c r="BD454" s="182">
        <f ca="1">IF($D454&lt;&gt;"Serviço",0,IF(OR(AND(AUTOEVENTO="Manual",$M454=1),$M454&gt;(ROW(PLE.lastrow)-ROW(PLE.firstrow))),0,IF(OFFSET(PLE!$G$14,$M454,BD$13)="",10^12,OFFSET(PLE!$G$14,$M454,BD$13))))</f>
        <v>1000000000000</v>
      </c>
      <c r="BE454" s="182">
        <f ca="1">IF($D454&lt;&gt;"Serviço",0,IF(OR(AND(AUTOEVENTO="Manual",$M454=1),$M454&gt;(ROW(PLE.lastrow)-ROW(PLE.firstrow))),0,IF(OFFSET(PLE!$G$14,$M454,BE$13)="",10^12,OFFSET(PLE!$G$14,$M454,BE$13))))</f>
        <v>1000000000000</v>
      </c>
      <c r="BF454" s="182">
        <f ca="1">IF($D454&lt;&gt;"Serviço",0,IF(OR(AND(AUTOEVENTO="Manual",$M454=1),$M454&gt;(ROW(PLE.lastrow)-ROW(PLE.firstrow))),0,IF(OFFSET(PLE!$G$14,$M454,BF$13)="",10^12,OFFSET(PLE!$G$14,$M454,BF$13))))</f>
        <v>1000000000000</v>
      </c>
      <c r="BG454" s="182">
        <f ca="1">IF($D454&lt;&gt;"Serviço",0,IF(OR(AND(AUTOEVENTO="Manual",$M454=1),$M454&gt;(ROW(PLE.lastrow)-ROW(PLE.firstrow))),0,IF(OFFSET(PLE!$G$14,$M454,BG$13)="",10^12,OFFSET(PLE!$G$14,$M454,BG$13))))</f>
        <v>1000000000000</v>
      </c>
    </row>
    <row r="455" spans="1:59" ht="38.25" x14ac:dyDescent="0.2">
      <c r="A455" s="7" t="str">
        <f t="shared" ca="1" si="14"/>
        <v>411</v>
      </c>
      <c r="B455" s="7" t="str">
        <f ca="1">OFFSET(ORÇAMENTO!C$15,ROW(B455)-ROW(B$15),0)</f>
        <v>S</v>
      </c>
      <c r="C455" s="7" t="str">
        <f ca="1">OFFSET(ORÇAMENTO!L$15,ROW(C455)-ROW(C$15),0)</f>
        <v/>
      </c>
      <c r="D455" s="118" t="str">
        <f ca="1">OFFSET(ORÇAMENTO!N$15,ROW(D455)-ROW(D$15),0)</f>
        <v>Serviço</v>
      </c>
      <c r="E455" s="119" t="str">
        <f ca="1">OFFSET(ORÇAMENTO!O$15,ROW(E455)-ROW(E$15),0)</f>
        <v>-</v>
      </c>
      <c r="F455" s="172" t="str">
        <f ca="1">OFFSET(ORÇAMENTO!R$15,ROW(F455)-ROW(F$15),0)</f>
        <v>(abra o arquivo 'Referência 02-2025.xlsm)</v>
      </c>
      <c r="G455" s="173" t="str">
        <f ca="1">IF($D455&lt;&gt;"Serviço","",OFFSET(ORÇAMENTO!S$15,ROW(G455)-ROW(G$15),0))</f>
        <v>-</v>
      </c>
      <c r="H455" s="124">
        <f ca="1">IF($D455&lt;&gt;"Serviço",0,IF(ACOMPANHAMENTO="BM",ROUND(OFFSET(ORÇAMENTO!AJ$15,ROW(H455)-ROW(H$15),0),15-13*ORÇAMENTO!$AF$7),SUMPRODUCT(($Q$12:$AA$12&lt;&gt;"")*ROUND($Q455:$AA455,15-13*ORÇAMENTO!$AF$7))))</f>
        <v>8.06</v>
      </c>
      <c r="I455" s="561" t="s">
        <v>890</v>
      </c>
      <c r="K455" s="174"/>
      <c r="L455" s="175" t="s">
        <v>255</v>
      </c>
      <c r="M455" s="176">
        <f ca="1">IF($D455&lt;&gt;"Serviço","",IF(AUTOEVENTO="manual",$A455,IF(ISERROR(MATCH($A455,$A$15:OFFSET($A455,-1,0),0)),MAX($M$15:OFFSET(M455,-1,0))+1,INDEX($M$15:OFFSET(M455,-1,0),MATCH($A455,$A$15:OFFSET($A455,-1,0),0)))))</f>
        <v>17</v>
      </c>
      <c r="N455" s="177" t="str">
        <f ca="1">IF($D455&lt;&gt;"Serviço","",IF(AUTOEVENTO="Manual",IF($A455=0,"&lt;-- defina o número do agrupador",OFFSET(EVENTOS!$D$14,$A455,0)),OFFSET($F$15,$A455,0)))</f>
        <v>SISTEMA DE PROTEÇÃO CONTRA INCÊNDIO</v>
      </c>
      <c r="O455" s="178"/>
      <c r="Q455" s="178"/>
      <c r="R455" s="179"/>
      <c r="S455" s="179"/>
      <c r="T455" s="179"/>
      <c r="U455" s="179"/>
      <c r="V455" s="179"/>
      <c r="W455" s="179"/>
      <c r="X455" s="179"/>
      <c r="Y455" s="179"/>
      <c r="Z455" s="180"/>
      <c r="AB455" s="544">
        <f ca="1">IF(AND($D455="Serviço",AB$12&lt;&gt;0,$H455&gt;0,OR(AUTOEVENTO&lt;&gt;"manual",$M455&lt;&gt;1)),
IF(Import.TipoArredondamento&lt;&gt;"TransfereGOV",
ROUND(OFFSET($P455,0,AB$13),15-13*ORÇAMENTO!$AF$7)/$H455*OFFSET(ORÇAMENTO!$X$15,ROW(AB455)-ROW(AB$15),0),
ROUND(ROUND(OFFSET($P455,0,AB$13),15-13*ORÇAMENTO!$AF$7)*OFFSET(ORÇAMENTO!$W$15,ROW(AB455)-ROW(AB$15),0),15-13*ORÇAMENTO!$AF$11)),0)</f>
        <v>0</v>
      </c>
      <c r="AC455" s="545">
        <f ca="1">IF(AND($D455="Serviço",AC$12&lt;&gt;0,$H455&gt;0,OR(AUTOEVENTO&lt;&gt;"manual",$M455&lt;&gt;1)),
IF(Import.TipoArredondamento&lt;&gt;"TransfereGOV",
ROUND(OFFSET($P455,0,AC$13),15-13*ORÇAMENTO!$AF$7)/$H455*OFFSET(ORÇAMENTO!$X$15,ROW(AC455)-ROW(AC$15),0),
ROUND(ROUND(OFFSET($P455,0,AC$13),15-13*ORÇAMENTO!$AF$7)*OFFSET(ORÇAMENTO!$W$15,ROW(AC455)-ROW(AC$15),0),15-13*ORÇAMENTO!$AF$11)),0)</f>
        <v>0</v>
      </c>
      <c r="AD455" s="545">
        <f ca="1">IF(AND($D455="Serviço",AD$12&lt;&gt;0,$H455&gt;0,OR(AUTOEVENTO&lt;&gt;"manual",$M455&lt;&gt;1)),
IF(Import.TipoArredondamento&lt;&gt;"TransfereGOV",
ROUND(OFFSET($P455,0,AD$13),15-13*ORÇAMENTO!$AF$7)/$H455*OFFSET(ORÇAMENTO!$X$15,ROW(AD455)-ROW(AD$15),0),
ROUND(ROUND(OFFSET($P455,0,AD$13),15-13*ORÇAMENTO!$AF$7)*OFFSET(ORÇAMENTO!$W$15,ROW(AD455)-ROW(AD$15),0),15-13*ORÇAMENTO!$AF$11)),0)</f>
        <v>0</v>
      </c>
      <c r="AE455" s="545">
        <f ca="1">IF(AND($D455="Serviço",AE$12&lt;&gt;0,$H455&gt;0,OR(AUTOEVENTO&lt;&gt;"manual",$M455&lt;&gt;1)),
IF(Import.TipoArredondamento&lt;&gt;"TransfereGOV",
ROUND(OFFSET($P455,0,AE$13),15-13*ORÇAMENTO!$AF$7)/$H455*OFFSET(ORÇAMENTO!$X$15,ROW(AE455)-ROW(AE$15),0),
ROUND(ROUND(OFFSET($P455,0,AE$13),15-13*ORÇAMENTO!$AF$7)*OFFSET(ORÇAMENTO!$W$15,ROW(AE455)-ROW(AE$15),0),15-13*ORÇAMENTO!$AF$11)),0)</f>
        <v>0</v>
      </c>
      <c r="AF455" s="545">
        <f ca="1">IF(AND($D455="Serviço",AF$12&lt;&gt;0,$H455&gt;0,OR(AUTOEVENTO&lt;&gt;"manual",$M455&lt;&gt;1)),
IF(Import.TipoArredondamento&lt;&gt;"TransfereGOV",
ROUND(OFFSET($P455,0,AF$13),15-13*ORÇAMENTO!$AF$7)/$H455*OFFSET(ORÇAMENTO!$X$15,ROW(AF455)-ROW(AF$15),0),
ROUND(ROUND(OFFSET($P455,0,AF$13),15-13*ORÇAMENTO!$AF$7)*OFFSET(ORÇAMENTO!$W$15,ROW(AF455)-ROW(AF$15),0),15-13*ORÇAMENTO!$AF$11)),0)</f>
        <v>0</v>
      </c>
      <c r="AG455" s="545">
        <f ca="1">IF(AND($D455="Serviço",AG$12&lt;&gt;0,$H455&gt;0,OR(AUTOEVENTO&lt;&gt;"manual",$M455&lt;&gt;1)),
IF(Import.TipoArredondamento&lt;&gt;"TransfereGOV",
ROUND(OFFSET($P455,0,AG$13),15-13*ORÇAMENTO!$AF$7)/$H455*OFFSET(ORÇAMENTO!$X$15,ROW(AG455)-ROW(AG$15),0),
ROUND(ROUND(OFFSET($P455,0,AG$13),15-13*ORÇAMENTO!$AF$7)*OFFSET(ORÇAMENTO!$W$15,ROW(AG455)-ROW(AG$15),0),15-13*ORÇAMENTO!$AF$11)),0)</f>
        <v>0</v>
      </c>
      <c r="AH455" s="545">
        <f ca="1">IF(AND($D455="Serviço",AH$12&lt;&gt;0,$H455&gt;0,OR(AUTOEVENTO&lt;&gt;"manual",$M455&lt;&gt;1)),
IF(Import.TipoArredondamento&lt;&gt;"TransfereGOV",
ROUND(OFFSET($P455,0,AH$13),15-13*ORÇAMENTO!$AF$7)/$H455*OFFSET(ORÇAMENTO!$X$15,ROW(AH455)-ROW(AH$15),0),
ROUND(ROUND(OFFSET($P455,0,AH$13),15-13*ORÇAMENTO!$AF$7)*OFFSET(ORÇAMENTO!$W$15,ROW(AH455)-ROW(AH$15),0),15-13*ORÇAMENTO!$AF$11)),0)</f>
        <v>0</v>
      </c>
      <c r="AI455" s="545">
        <f ca="1">IF(AND($D455="Serviço",AI$12&lt;&gt;0,$H455&gt;0,OR(AUTOEVENTO&lt;&gt;"manual",$M455&lt;&gt;1)),
IF(Import.TipoArredondamento&lt;&gt;"TransfereGOV",
ROUND(OFFSET($P455,0,AI$13),15-13*ORÇAMENTO!$AF$7)/$H455*OFFSET(ORÇAMENTO!$X$15,ROW(AI455)-ROW(AI$15),0),
ROUND(ROUND(OFFSET($P455,0,AI$13),15-13*ORÇAMENTO!$AF$7)*OFFSET(ORÇAMENTO!$W$15,ROW(AI455)-ROW(AI$15),0),15-13*ORÇAMENTO!$AF$11)),0)</f>
        <v>0</v>
      </c>
      <c r="AJ455" s="545">
        <f ca="1">IF(AND($D455="Serviço",AJ$12&lt;&gt;0,$H455&gt;0,OR(AUTOEVENTO&lt;&gt;"manual",$M455&lt;&gt;1)),
IF(Import.TipoArredondamento&lt;&gt;"TransfereGOV",
ROUND(OFFSET($P455,0,AJ$13),15-13*ORÇAMENTO!$AF$7)/$H455*OFFSET(ORÇAMENTO!$X$15,ROW(AJ455)-ROW(AJ$15),0),
ROUND(ROUND(OFFSET($P455,0,AJ$13),15-13*ORÇAMENTO!$AF$7)*OFFSET(ORÇAMENTO!$W$15,ROW(AJ455)-ROW(AJ$15),0),15-13*ORÇAMENTO!$AF$11)),0)</f>
        <v>0</v>
      </c>
      <c r="AK455" s="546">
        <f ca="1">IF(AND($D455="Serviço",AK$12&lt;&gt;0,$H455&gt;0,OR(AUTOEVENTO&lt;&gt;"manual",$M455&lt;&gt;1)),
IF(Import.TipoArredondamento&lt;&gt;"TransfereGOV",
ROUND(OFFSET($P455,0,AK$13),15-13*ORÇAMENTO!$AF$7)/$H455*OFFSET(ORÇAMENTO!$X$15,ROW(AK455)-ROW(AK$15),0),
ROUND(ROUND(OFFSET($P455,0,AK$13),15-13*ORÇAMENTO!$AF$7)*OFFSET(ORÇAMENTO!$W$15,ROW(AK455)-ROW(AK$15),0),15-13*ORÇAMENTO!$AF$11)),0)</f>
        <v>0</v>
      </c>
      <c r="AM455" s="181">
        <f ca="1">IF($D455&lt;&gt;"Serviço",0,IF(AND(AUTOEVENTO="Manual",$M455=1),0,IF(OFFSET(CRONOPLE!$F$14,$M455,AM$13)="",10^12,OFFSET(CRONOPLE!$F$14,$M455,AM$13))))</f>
        <v>1000000000000</v>
      </c>
      <c r="AN455" s="181">
        <f ca="1">IF($D455&lt;&gt;"Serviço",0,IF(AND(AUTOEVENTO="Manual",$M455=1),0,IF(OFFSET(CRONOPLE!$F$14,$M455,AN$13)="",10^12,OFFSET(CRONOPLE!$F$14,$M455,AN$13))))</f>
        <v>1000000000000</v>
      </c>
      <c r="AO455" s="181">
        <f ca="1">IF($D455&lt;&gt;"Serviço",0,IF(AND(AUTOEVENTO="Manual",$M455=1),0,IF(OFFSET(CRONOPLE!$F$14,$M455,AO$13)="",10^12,OFFSET(CRONOPLE!$F$14,$M455,AO$13))))</f>
        <v>1000000000000</v>
      </c>
      <c r="AP455" s="181">
        <f ca="1">IF($D455&lt;&gt;"Serviço",0,IF(AND(AUTOEVENTO="Manual",$M455=1),0,IF(OFFSET(CRONOPLE!$F$14,$M455,AP$13)="",10^12,OFFSET(CRONOPLE!$F$14,$M455,AP$13))))</f>
        <v>1000000000000</v>
      </c>
      <c r="AQ455" s="181">
        <f ca="1">IF($D455&lt;&gt;"Serviço",0,IF(AND(AUTOEVENTO="Manual",$M455=1),0,IF(OFFSET(CRONOPLE!$F$14,$M455,AQ$13)="",10^12,OFFSET(CRONOPLE!$F$14,$M455,AQ$13))))</f>
        <v>1000000000000</v>
      </c>
      <c r="AR455" s="181">
        <f ca="1">IF($D455&lt;&gt;"Serviço",0,IF(AND(AUTOEVENTO="Manual",$M455=1),0,IF(OFFSET(CRONOPLE!$F$14,$M455,AR$13)="",10^12,OFFSET(CRONOPLE!$F$14,$M455,AR$13))))</f>
        <v>1000000000000</v>
      </c>
      <c r="AS455" s="181">
        <f ca="1">IF($D455&lt;&gt;"Serviço",0,IF(AND(AUTOEVENTO="Manual",$M455=1),0,IF(OFFSET(CRONOPLE!$F$14,$M455,AS$13)="",10^12,OFFSET(CRONOPLE!$F$14,$M455,AS$13))))</f>
        <v>1000000000000</v>
      </c>
      <c r="AT455" s="181">
        <f ca="1">IF($D455&lt;&gt;"Serviço",0,IF(AND(AUTOEVENTO="Manual",$M455=1),0,IF(OFFSET(CRONOPLE!$F$14,$M455,AT$13)="",10^12,OFFSET(CRONOPLE!$F$14,$M455,AT$13))))</f>
        <v>1000000000000</v>
      </c>
      <c r="AU455" s="181">
        <f ca="1">IF($D455&lt;&gt;"Serviço",0,IF(AND(AUTOEVENTO="Manual",$M455=1),0,IF(OFFSET(CRONOPLE!$F$14,$M455,AU$13)="",10^12,OFFSET(CRONOPLE!$F$14,$M455,AU$13))))</f>
        <v>1000000000000</v>
      </c>
      <c r="AV455" s="181">
        <f ca="1">IF($D455&lt;&gt;"Serviço",0,IF(AND(AUTOEVENTO="Manual",$M455=1),0,IF(OFFSET(CRONOPLE!$F$14,$M455,AV$13)="",10^12,OFFSET(CRONOPLE!$F$14,$M455,AV$13))))</f>
        <v>1000000000000</v>
      </c>
      <c r="AX455" s="182">
        <f ca="1">IF($D455&lt;&gt;"Serviço",0,IF(OR(AND(AUTOEVENTO="Manual",$M455=1),$M455&gt;(ROW(PLE.lastrow)-ROW(PLE.firstrow))),0,IF(OFFSET(PLE!$G$14,$M455,AX$13)="",10^12,OFFSET(PLE!$G$14,$M455,AX$13))))</f>
        <v>1000000000000</v>
      </c>
      <c r="AY455" s="182">
        <f ca="1">IF($D455&lt;&gt;"Serviço",0,IF(OR(AND(AUTOEVENTO="Manual",$M455=1),$M455&gt;(ROW(PLE.lastrow)-ROW(PLE.firstrow))),0,IF(OFFSET(PLE!$G$14,$M455,AY$13)="",10^12,OFFSET(PLE!$G$14,$M455,AY$13))))</f>
        <v>1000000000000</v>
      </c>
      <c r="AZ455" s="182">
        <f ca="1">IF($D455&lt;&gt;"Serviço",0,IF(OR(AND(AUTOEVENTO="Manual",$M455=1),$M455&gt;(ROW(PLE.lastrow)-ROW(PLE.firstrow))),0,IF(OFFSET(PLE!$G$14,$M455,AZ$13)="",10^12,OFFSET(PLE!$G$14,$M455,AZ$13))))</f>
        <v>1000000000000</v>
      </c>
      <c r="BA455" s="182">
        <f ca="1">IF($D455&lt;&gt;"Serviço",0,IF(OR(AND(AUTOEVENTO="Manual",$M455=1),$M455&gt;(ROW(PLE.lastrow)-ROW(PLE.firstrow))),0,IF(OFFSET(PLE!$G$14,$M455,BA$13)="",10^12,OFFSET(PLE!$G$14,$M455,BA$13))))</f>
        <v>1000000000000</v>
      </c>
      <c r="BB455" s="182">
        <f ca="1">IF($D455&lt;&gt;"Serviço",0,IF(OR(AND(AUTOEVENTO="Manual",$M455=1),$M455&gt;(ROW(PLE.lastrow)-ROW(PLE.firstrow))),0,IF(OFFSET(PLE!$G$14,$M455,BB$13)="",10^12,OFFSET(PLE!$G$14,$M455,BB$13))))</f>
        <v>1000000000000</v>
      </c>
      <c r="BC455" s="182">
        <f ca="1">IF($D455&lt;&gt;"Serviço",0,IF(OR(AND(AUTOEVENTO="Manual",$M455=1),$M455&gt;(ROW(PLE.lastrow)-ROW(PLE.firstrow))),0,IF(OFFSET(PLE!$G$14,$M455,BC$13)="",10^12,OFFSET(PLE!$G$14,$M455,BC$13))))</f>
        <v>1000000000000</v>
      </c>
      <c r="BD455" s="182">
        <f ca="1">IF($D455&lt;&gt;"Serviço",0,IF(OR(AND(AUTOEVENTO="Manual",$M455=1),$M455&gt;(ROW(PLE.lastrow)-ROW(PLE.firstrow))),0,IF(OFFSET(PLE!$G$14,$M455,BD$13)="",10^12,OFFSET(PLE!$G$14,$M455,BD$13))))</f>
        <v>1000000000000</v>
      </c>
      <c r="BE455" s="182">
        <f ca="1">IF($D455&lt;&gt;"Serviço",0,IF(OR(AND(AUTOEVENTO="Manual",$M455=1),$M455&gt;(ROW(PLE.lastrow)-ROW(PLE.firstrow))),0,IF(OFFSET(PLE!$G$14,$M455,BE$13)="",10^12,OFFSET(PLE!$G$14,$M455,BE$13))))</f>
        <v>1000000000000</v>
      </c>
      <c r="BF455" s="182">
        <f ca="1">IF($D455&lt;&gt;"Serviço",0,IF(OR(AND(AUTOEVENTO="Manual",$M455=1),$M455&gt;(ROW(PLE.lastrow)-ROW(PLE.firstrow))),0,IF(OFFSET(PLE!$G$14,$M455,BF$13)="",10^12,OFFSET(PLE!$G$14,$M455,BF$13))))</f>
        <v>1000000000000</v>
      </c>
      <c r="BG455" s="182">
        <f ca="1">IF($D455&lt;&gt;"Serviço",0,IF(OR(AND(AUTOEVENTO="Manual",$M455=1),$M455&gt;(ROW(PLE.lastrow)-ROW(PLE.firstrow))),0,IF(OFFSET(PLE!$G$14,$M455,BG$13)="",10^12,OFFSET(PLE!$G$14,$M455,BG$13))))</f>
        <v>1000000000000</v>
      </c>
    </row>
    <row r="456" spans="1:59" ht="51" x14ac:dyDescent="0.2">
      <c r="A456" s="7" t="str">
        <f t="shared" ca="1" si="14"/>
        <v>411</v>
      </c>
      <c r="B456" s="7" t="str">
        <f ca="1">OFFSET(ORÇAMENTO!C$15,ROW(B456)-ROW(B$15),0)</f>
        <v>S</v>
      </c>
      <c r="C456" s="7" t="str">
        <f ca="1">OFFSET(ORÇAMENTO!L$15,ROW(C456)-ROW(C$15),0)</f>
        <v/>
      </c>
      <c r="D456" s="118" t="str">
        <f ca="1">OFFSET(ORÇAMENTO!N$15,ROW(D456)-ROW(D$15),0)</f>
        <v>Serviço</v>
      </c>
      <c r="E456" s="119" t="str">
        <f ca="1">OFFSET(ORÇAMENTO!O$15,ROW(E456)-ROW(E$15),0)</f>
        <v>-</v>
      </c>
      <c r="F456" s="172" t="str">
        <f ca="1">OFFSET(ORÇAMENTO!R$15,ROW(F456)-ROW(F$15),0)</f>
        <v>(abra o arquivo 'Referência 02-2025.xlsm)</v>
      </c>
      <c r="G456" s="173" t="str">
        <f ca="1">IF($D456&lt;&gt;"Serviço","",OFFSET(ORÇAMENTO!S$15,ROW(G456)-ROW(G$15),0))</f>
        <v>-</v>
      </c>
      <c r="H456" s="124">
        <f ca="1">IF($D456&lt;&gt;"Serviço",0,IF(ACOMPANHAMENTO="BM",ROUND(OFFSET(ORÇAMENTO!AJ$15,ROW(H456)-ROW(H$15),0),15-13*ORÇAMENTO!$AF$7),SUMPRODUCT(($Q$12:$AA$12&lt;&gt;"")*ROUND($Q456:$AA456,15-13*ORÇAMENTO!$AF$7))))</f>
        <v>1</v>
      </c>
      <c r="I456" s="561" t="s">
        <v>890</v>
      </c>
      <c r="K456" s="174"/>
      <c r="L456" s="175" t="s">
        <v>255</v>
      </c>
      <c r="M456" s="176">
        <f ca="1">IF($D456&lt;&gt;"Serviço","",IF(AUTOEVENTO="manual",$A456,IF(ISERROR(MATCH($A456,$A$15:OFFSET($A456,-1,0),0)),MAX($M$15:OFFSET(M456,-1,0))+1,INDEX($M$15:OFFSET(M456,-1,0),MATCH($A456,$A$15:OFFSET($A456,-1,0),0)))))</f>
        <v>17</v>
      </c>
      <c r="N456" s="177" t="str">
        <f ca="1">IF($D456&lt;&gt;"Serviço","",IF(AUTOEVENTO="Manual",IF($A456=0,"&lt;-- defina o número do agrupador",OFFSET(EVENTOS!$D$14,$A456,0)),OFFSET($F$15,$A456,0)))</f>
        <v>SISTEMA DE PROTEÇÃO CONTRA INCÊNDIO</v>
      </c>
      <c r="O456" s="178"/>
      <c r="Q456" s="178"/>
      <c r="R456" s="179"/>
      <c r="S456" s="179"/>
      <c r="T456" s="179"/>
      <c r="U456" s="179"/>
      <c r="V456" s="179"/>
      <c r="W456" s="179"/>
      <c r="X456" s="179"/>
      <c r="Y456" s="179"/>
      <c r="Z456" s="180"/>
      <c r="AB456" s="544">
        <f ca="1">IF(AND($D456="Serviço",AB$12&lt;&gt;0,$H456&gt;0,OR(AUTOEVENTO&lt;&gt;"manual",$M456&lt;&gt;1)),
IF(Import.TipoArredondamento&lt;&gt;"TransfereGOV",
ROUND(OFFSET($P456,0,AB$13),15-13*ORÇAMENTO!$AF$7)/$H456*OFFSET(ORÇAMENTO!$X$15,ROW(AB456)-ROW(AB$15),0),
ROUND(ROUND(OFFSET($P456,0,AB$13),15-13*ORÇAMENTO!$AF$7)*OFFSET(ORÇAMENTO!$W$15,ROW(AB456)-ROW(AB$15),0),15-13*ORÇAMENTO!$AF$11)),0)</f>
        <v>0</v>
      </c>
      <c r="AC456" s="545">
        <f ca="1">IF(AND($D456="Serviço",AC$12&lt;&gt;0,$H456&gt;0,OR(AUTOEVENTO&lt;&gt;"manual",$M456&lt;&gt;1)),
IF(Import.TipoArredondamento&lt;&gt;"TransfereGOV",
ROUND(OFFSET($P456,0,AC$13),15-13*ORÇAMENTO!$AF$7)/$H456*OFFSET(ORÇAMENTO!$X$15,ROW(AC456)-ROW(AC$15),0),
ROUND(ROUND(OFFSET($P456,0,AC$13),15-13*ORÇAMENTO!$AF$7)*OFFSET(ORÇAMENTO!$W$15,ROW(AC456)-ROW(AC$15),0),15-13*ORÇAMENTO!$AF$11)),0)</f>
        <v>0</v>
      </c>
      <c r="AD456" s="545">
        <f ca="1">IF(AND($D456="Serviço",AD$12&lt;&gt;0,$H456&gt;0,OR(AUTOEVENTO&lt;&gt;"manual",$M456&lt;&gt;1)),
IF(Import.TipoArredondamento&lt;&gt;"TransfereGOV",
ROUND(OFFSET($P456,0,AD$13),15-13*ORÇAMENTO!$AF$7)/$H456*OFFSET(ORÇAMENTO!$X$15,ROW(AD456)-ROW(AD$15),0),
ROUND(ROUND(OFFSET($P456,0,AD$13),15-13*ORÇAMENTO!$AF$7)*OFFSET(ORÇAMENTO!$W$15,ROW(AD456)-ROW(AD$15),0),15-13*ORÇAMENTO!$AF$11)),0)</f>
        <v>0</v>
      </c>
      <c r="AE456" s="545">
        <f ca="1">IF(AND($D456="Serviço",AE$12&lt;&gt;0,$H456&gt;0,OR(AUTOEVENTO&lt;&gt;"manual",$M456&lt;&gt;1)),
IF(Import.TipoArredondamento&lt;&gt;"TransfereGOV",
ROUND(OFFSET($P456,0,AE$13),15-13*ORÇAMENTO!$AF$7)/$H456*OFFSET(ORÇAMENTO!$X$15,ROW(AE456)-ROW(AE$15),0),
ROUND(ROUND(OFFSET($P456,0,AE$13),15-13*ORÇAMENTO!$AF$7)*OFFSET(ORÇAMENTO!$W$15,ROW(AE456)-ROW(AE$15),0),15-13*ORÇAMENTO!$AF$11)),0)</f>
        <v>0</v>
      </c>
      <c r="AF456" s="545">
        <f ca="1">IF(AND($D456="Serviço",AF$12&lt;&gt;0,$H456&gt;0,OR(AUTOEVENTO&lt;&gt;"manual",$M456&lt;&gt;1)),
IF(Import.TipoArredondamento&lt;&gt;"TransfereGOV",
ROUND(OFFSET($P456,0,AF$13),15-13*ORÇAMENTO!$AF$7)/$H456*OFFSET(ORÇAMENTO!$X$15,ROW(AF456)-ROW(AF$15),0),
ROUND(ROUND(OFFSET($P456,0,AF$13),15-13*ORÇAMENTO!$AF$7)*OFFSET(ORÇAMENTO!$W$15,ROW(AF456)-ROW(AF$15),0),15-13*ORÇAMENTO!$AF$11)),0)</f>
        <v>0</v>
      </c>
      <c r="AG456" s="545">
        <f ca="1">IF(AND($D456="Serviço",AG$12&lt;&gt;0,$H456&gt;0,OR(AUTOEVENTO&lt;&gt;"manual",$M456&lt;&gt;1)),
IF(Import.TipoArredondamento&lt;&gt;"TransfereGOV",
ROUND(OFFSET($P456,0,AG$13),15-13*ORÇAMENTO!$AF$7)/$H456*OFFSET(ORÇAMENTO!$X$15,ROW(AG456)-ROW(AG$15),0),
ROUND(ROUND(OFFSET($P456,0,AG$13),15-13*ORÇAMENTO!$AF$7)*OFFSET(ORÇAMENTO!$W$15,ROW(AG456)-ROW(AG$15),0),15-13*ORÇAMENTO!$AF$11)),0)</f>
        <v>0</v>
      </c>
      <c r="AH456" s="545">
        <f ca="1">IF(AND($D456="Serviço",AH$12&lt;&gt;0,$H456&gt;0,OR(AUTOEVENTO&lt;&gt;"manual",$M456&lt;&gt;1)),
IF(Import.TipoArredondamento&lt;&gt;"TransfereGOV",
ROUND(OFFSET($P456,0,AH$13),15-13*ORÇAMENTO!$AF$7)/$H456*OFFSET(ORÇAMENTO!$X$15,ROW(AH456)-ROW(AH$15),0),
ROUND(ROUND(OFFSET($P456,0,AH$13),15-13*ORÇAMENTO!$AF$7)*OFFSET(ORÇAMENTO!$W$15,ROW(AH456)-ROW(AH$15),0),15-13*ORÇAMENTO!$AF$11)),0)</f>
        <v>0</v>
      </c>
      <c r="AI456" s="545">
        <f ca="1">IF(AND($D456="Serviço",AI$12&lt;&gt;0,$H456&gt;0,OR(AUTOEVENTO&lt;&gt;"manual",$M456&lt;&gt;1)),
IF(Import.TipoArredondamento&lt;&gt;"TransfereGOV",
ROUND(OFFSET($P456,0,AI$13),15-13*ORÇAMENTO!$AF$7)/$H456*OFFSET(ORÇAMENTO!$X$15,ROW(AI456)-ROW(AI$15),0),
ROUND(ROUND(OFFSET($P456,0,AI$13),15-13*ORÇAMENTO!$AF$7)*OFFSET(ORÇAMENTO!$W$15,ROW(AI456)-ROW(AI$15),0),15-13*ORÇAMENTO!$AF$11)),0)</f>
        <v>0</v>
      </c>
      <c r="AJ456" s="545">
        <f ca="1">IF(AND($D456="Serviço",AJ$12&lt;&gt;0,$H456&gt;0,OR(AUTOEVENTO&lt;&gt;"manual",$M456&lt;&gt;1)),
IF(Import.TipoArredondamento&lt;&gt;"TransfereGOV",
ROUND(OFFSET($P456,0,AJ$13),15-13*ORÇAMENTO!$AF$7)/$H456*OFFSET(ORÇAMENTO!$X$15,ROW(AJ456)-ROW(AJ$15),0),
ROUND(ROUND(OFFSET($P456,0,AJ$13),15-13*ORÇAMENTO!$AF$7)*OFFSET(ORÇAMENTO!$W$15,ROW(AJ456)-ROW(AJ$15),0),15-13*ORÇAMENTO!$AF$11)),0)</f>
        <v>0</v>
      </c>
      <c r="AK456" s="546">
        <f ca="1">IF(AND($D456="Serviço",AK$12&lt;&gt;0,$H456&gt;0,OR(AUTOEVENTO&lt;&gt;"manual",$M456&lt;&gt;1)),
IF(Import.TipoArredondamento&lt;&gt;"TransfereGOV",
ROUND(OFFSET($P456,0,AK$13),15-13*ORÇAMENTO!$AF$7)/$H456*OFFSET(ORÇAMENTO!$X$15,ROW(AK456)-ROW(AK$15),0),
ROUND(ROUND(OFFSET($P456,0,AK$13),15-13*ORÇAMENTO!$AF$7)*OFFSET(ORÇAMENTO!$W$15,ROW(AK456)-ROW(AK$15),0),15-13*ORÇAMENTO!$AF$11)),0)</f>
        <v>0</v>
      </c>
      <c r="AM456" s="181">
        <f ca="1">IF($D456&lt;&gt;"Serviço",0,IF(AND(AUTOEVENTO="Manual",$M456=1),0,IF(OFFSET(CRONOPLE!$F$14,$M456,AM$13)="",10^12,OFFSET(CRONOPLE!$F$14,$M456,AM$13))))</f>
        <v>1000000000000</v>
      </c>
      <c r="AN456" s="181">
        <f ca="1">IF($D456&lt;&gt;"Serviço",0,IF(AND(AUTOEVENTO="Manual",$M456=1),0,IF(OFFSET(CRONOPLE!$F$14,$M456,AN$13)="",10^12,OFFSET(CRONOPLE!$F$14,$M456,AN$13))))</f>
        <v>1000000000000</v>
      </c>
      <c r="AO456" s="181">
        <f ca="1">IF($D456&lt;&gt;"Serviço",0,IF(AND(AUTOEVENTO="Manual",$M456=1),0,IF(OFFSET(CRONOPLE!$F$14,$M456,AO$13)="",10^12,OFFSET(CRONOPLE!$F$14,$M456,AO$13))))</f>
        <v>1000000000000</v>
      </c>
      <c r="AP456" s="181">
        <f ca="1">IF($D456&lt;&gt;"Serviço",0,IF(AND(AUTOEVENTO="Manual",$M456=1),0,IF(OFFSET(CRONOPLE!$F$14,$M456,AP$13)="",10^12,OFFSET(CRONOPLE!$F$14,$M456,AP$13))))</f>
        <v>1000000000000</v>
      </c>
      <c r="AQ456" s="181">
        <f ca="1">IF($D456&lt;&gt;"Serviço",0,IF(AND(AUTOEVENTO="Manual",$M456=1),0,IF(OFFSET(CRONOPLE!$F$14,$M456,AQ$13)="",10^12,OFFSET(CRONOPLE!$F$14,$M456,AQ$13))))</f>
        <v>1000000000000</v>
      </c>
      <c r="AR456" s="181">
        <f ca="1">IF($D456&lt;&gt;"Serviço",0,IF(AND(AUTOEVENTO="Manual",$M456=1),0,IF(OFFSET(CRONOPLE!$F$14,$M456,AR$13)="",10^12,OFFSET(CRONOPLE!$F$14,$M456,AR$13))))</f>
        <v>1000000000000</v>
      </c>
      <c r="AS456" s="181">
        <f ca="1">IF($D456&lt;&gt;"Serviço",0,IF(AND(AUTOEVENTO="Manual",$M456=1),0,IF(OFFSET(CRONOPLE!$F$14,$M456,AS$13)="",10^12,OFFSET(CRONOPLE!$F$14,$M456,AS$13))))</f>
        <v>1000000000000</v>
      </c>
      <c r="AT456" s="181">
        <f ca="1">IF($D456&lt;&gt;"Serviço",0,IF(AND(AUTOEVENTO="Manual",$M456=1),0,IF(OFFSET(CRONOPLE!$F$14,$M456,AT$13)="",10^12,OFFSET(CRONOPLE!$F$14,$M456,AT$13))))</f>
        <v>1000000000000</v>
      </c>
      <c r="AU456" s="181">
        <f ca="1">IF($D456&lt;&gt;"Serviço",0,IF(AND(AUTOEVENTO="Manual",$M456=1),0,IF(OFFSET(CRONOPLE!$F$14,$M456,AU$13)="",10^12,OFFSET(CRONOPLE!$F$14,$M456,AU$13))))</f>
        <v>1000000000000</v>
      </c>
      <c r="AV456" s="181">
        <f ca="1">IF($D456&lt;&gt;"Serviço",0,IF(AND(AUTOEVENTO="Manual",$M456=1),0,IF(OFFSET(CRONOPLE!$F$14,$M456,AV$13)="",10^12,OFFSET(CRONOPLE!$F$14,$M456,AV$13))))</f>
        <v>1000000000000</v>
      </c>
      <c r="AX456" s="182">
        <f ca="1">IF($D456&lt;&gt;"Serviço",0,IF(OR(AND(AUTOEVENTO="Manual",$M456=1),$M456&gt;(ROW(PLE.lastrow)-ROW(PLE.firstrow))),0,IF(OFFSET(PLE!$G$14,$M456,AX$13)="",10^12,OFFSET(PLE!$G$14,$M456,AX$13))))</f>
        <v>1000000000000</v>
      </c>
      <c r="AY456" s="182">
        <f ca="1">IF($D456&lt;&gt;"Serviço",0,IF(OR(AND(AUTOEVENTO="Manual",$M456=1),$M456&gt;(ROW(PLE.lastrow)-ROW(PLE.firstrow))),0,IF(OFFSET(PLE!$G$14,$M456,AY$13)="",10^12,OFFSET(PLE!$G$14,$M456,AY$13))))</f>
        <v>1000000000000</v>
      </c>
      <c r="AZ456" s="182">
        <f ca="1">IF($D456&lt;&gt;"Serviço",0,IF(OR(AND(AUTOEVENTO="Manual",$M456=1),$M456&gt;(ROW(PLE.lastrow)-ROW(PLE.firstrow))),0,IF(OFFSET(PLE!$G$14,$M456,AZ$13)="",10^12,OFFSET(PLE!$G$14,$M456,AZ$13))))</f>
        <v>1000000000000</v>
      </c>
      <c r="BA456" s="182">
        <f ca="1">IF($D456&lt;&gt;"Serviço",0,IF(OR(AND(AUTOEVENTO="Manual",$M456=1),$M456&gt;(ROW(PLE.lastrow)-ROW(PLE.firstrow))),0,IF(OFFSET(PLE!$G$14,$M456,BA$13)="",10^12,OFFSET(PLE!$G$14,$M456,BA$13))))</f>
        <v>1000000000000</v>
      </c>
      <c r="BB456" s="182">
        <f ca="1">IF($D456&lt;&gt;"Serviço",0,IF(OR(AND(AUTOEVENTO="Manual",$M456=1),$M456&gt;(ROW(PLE.lastrow)-ROW(PLE.firstrow))),0,IF(OFFSET(PLE!$G$14,$M456,BB$13)="",10^12,OFFSET(PLE!$G$14,$M456,BB$13))))</f>
        <v>1000000000000</v>
      </c>
      <c r="BC456" s="182">
        <f ca="1">IF($D456&lt;&gt;"Serviço",0,IF(OR(AND(AUTOEVENTO="Manual",$M456=1),$M456&gt;(ROW(PLE.lastrow)-ROW(PLE.firstrow))),0,IF(OFFSET(PLE!$G$14,$M456,BC$13)="",10^12,OFFSET(PLE!$G$14,$M456,BC$13))))</f>
        <v>1000000000000</v>
      </c>
      <c r="BD456" s="182">
        <f ca="1">IF($D456&lt;&gt;"Serviço",0,IF(OR(AND(AUTOEVENTO="Manual",$M456=1),$M456&gt;(ROW(PLE.lastrow)-ROW(PLE.firstrow))),0,IF(OFFSET(PLE!$G$14,$M456,BD$13)="",10^12,OFFSET(PLE!$G$14,$M456,BD$13))))</f>
        <v>1000000000000</v>
      </c>
      <c r="BE456" s="182">
        <f ca="1">IF($D456&lt;&gt;"Serviço",0,IF(OR(AND(AUTOEVENTO="Manual",$M456=1),$M456&gt;(ROW(PLE.lastrow)-ROW(PLE.firstrow))),0,IF(OFFSET(PLE!$G$14,$M456,BE$13)="",10^12,OFFSET(PLE!$G$14,$M456,BE$13))))</f>
        <v>1000000000000</v>
      </c>
      <c r="BF456" s="182">
        <f ca="1">IF($D456&lt;&gt;"Serviço",0,IF(OR(AND(AUTOEVENTO="Manual",$M456=1),$M456&gt;(ROW(PLE.lastrow)-ROW(PLE.firstrow))),0,IF(OFFSET(PLE!$G$14,$M456,BF$13)="",10^12,OFFSET(PLE!$G$14,$M456,BF$13))))</f>
        <v>1000000000000</v>
      </c>
      <c r="BG456" s="182">
        <f ca="1">IF($D456&lt;&gt;"Serviço",0,IF(OR(AND(AUTOEVENTO="Manual",$M456=1),$M456&gt;(ROW(PLE.lastrow)-ROW(PLE.firstrow))),0,IF(OFFSET(PLE!$G$14,$M456,BG$13)="",10^12,OFFSET(PLE!$G$14,$M456,BG$13))))</f>
        <v>1000000000000</v>
      </c>
    </row>
    <row r="457" spans="1:59" ht="51" x14ac:dyDescent="0.2">
      <c r="A457" s="7" t="str">
        <f t="shared" ca="1" si="14"/>
        <v>411</v>
      </c>
      <c r="B457" s="7" t="str">
        <f ca="1">OFFSET(ORÇAMENTO!C$15,ROW(B457)-ROW(B$15),0)</f>
        <v>S</v>
      </c>
      <c r="C457" s="7" t="str">
        <f ca="1">OFFSET(ORÇAMENTO!L$15,ROW(C457)-ROW(C$15),0)</f>
        <v/>
      </c>
      <c r="D457" s="118" t="str">
        <f ca="1">OFFSET(ORÇAMENTO!N$15,ROW(D457)-ROW(D$15),0)</f>
        <v>Serviço</v>
      </c>
      <c r="E457" s="119" t="str">
        <f ca="1">OFFSET(ORÇAMENTO!O$15,ROW(E457)-ROW(E$15),0)</f>
        <v>-</v>
      </c>
      <c r="F457" s="172" t="str">
        <f ca="1">OFFSET(ORÇAMENTO!R$15,ROW(F457)-ROW(F$15),0)</f>
        <v>(abra o arquivo 'Referência 02-2025.xlsm)</v>
      </c>
      <c r="G457" s="173" t="str">
        <f ca="1">IF($D457&lt;&gt;"Serviço","",OFFSET(ORÇAMENTO!S$15,ROW(G457)-ROW(G$15),0))</f>
        <v>-</v>
      </c>
      <c r="H457" s="124">
        <f ca="1">IF($D457&lt;&gt;"Serviço",0,IF(ACOMPANHAMENTO="BM",ROUND(OFFSET(ORÇAMENTO!AJ$15,ROW(H457)-ROW(H$15),0),15-13*ORÇAMENTO!$AF$7),SUMPRODUCT(($Q$12:$AA$12&lt;&gt;"")*ROUND($Q457:$AA457,15-13*ORÇAMENTO!$AF$7))))</f>
        <v>5</v>
      </c>
      <c r="I457" s="561" t="s">
        <v>890</v>
      </c>
      <c r="K457" s="174"/>
      <c r="L457" s="175" t="s">
        <v>255</v>
      </c>
      <c r="M457" s="176">
        <f ca="1">IF($D457&lt;&gt;"Serviço","",IF(AUTOEVENTO="manual",$A457,IF(ISERROR(MATCH($A457,$A$15:OFFSET($A457,-1,0),0)),MAX($M$15:OFFSET(M457,-1,0))+1,INDEX($M$15:OFFSET(M457,-1,0),MATCH($A457,$A$15:OFFSET($A457,-1,0),0)))))</f>
        <v>17</v>
      </c>
      <c r="N457" s="177" t="str">
        <f ca="1">IF($D457&lt;&gt;"Serviço","",IF(AUTOEVENTO="Manual",IF($A457=0,"&lt;-- defina o número do agrupador",OFFSET(EVENTOS!$D$14,$A457,0)),OFFSET($F$15,$A457,0)))</f>
        <v>SISTEMA DE PROTEÇÃO CONTRA INCÊNDIO</v>
      </c>
      <c r="O457" s="178"/>
      <c r="Q457" s="178"/>
      <c r="R457" s="179"/>
      <c r="S457" s="179"/>
      <c r="T457" s="179"/>
      <c r="U457" s="179"/>
      <c r="V457" s="179"/>
      <c r="W457" s="179"/>
      <c r="X457" s="179"/>
      <c r="Y457" s="179"/>
      <c r="Z457" s="180"/>
      <c r="AB457" s="544">
        <f ca="1">IF(AND($D457="Serviço",AB$12&lt;&gt;0,$H457&gt;0,OR(AUTOEVENTO&lt;&gt;"manual",$M457&lt;&gt;1)),
IF(Import.TipoArredondamento&lt;&gt;"TransfereGOV",
ROUND(OFFSET($P457,0,AB$13),15-13*ORÇAMENTO!$AF$7)/$H457*OFFSET(ORÇAMENTO!$X$15,ROW(AB457)-ROW(AB$15),0),
ROUND(ROUND(OFFSET($P457,0,AB$13),15-13*ORÇAMENTO!$AF$7)*OFFSET(ORÇAMENTO!$W$15,ROW(AB457)-ROW(AB$15),0),15-13*ORÇAMENTO!$AF$11)),0)</f>
        <v>0</v>
      </c>
      <c r="AC457" s="545">
        <f ca="1">IF(AND($D457="Serviço",AC$12&lt;&gt;0,$H457&gt;0,OR(AUTOEVENTO&lt;&gt;"manual",$M457&lt;&gt;1)),
IF(Import.TipoArredondamento&lt;&gt;"TransfereGOV",
ROUND(OFFSET($P457,0,AC$13),15-13*ORÇAMENTO!$AF$7)/$H457*OFFSET(ORÇAMENTO!$X$15,ROW(AC457)-ROW(AC$15),0),
ROUND(ROUND(OFFSET($P457,0,AC$13),15-13*ORÇAMENTO!$AF$7)*OFFSET(ORÇAMENTO!$W$15,ROW(AC457)-ROW(AC$15),0),15-13*ORÇAMENTO!$AF$11)),0)</f>
        <v>0</v>
      </c>
      <c r="AD457" s="545">
        <f ca="1">IF(AND($D457="Serviço",AD$12&lt;&gt;0,$H457&gt;0,OR(AUTOEVENTO&lt;&gt;"manual",$M457&lt;&gt;1)),
IF(Import.TipoArredondamento&lt;&gt;"TransfereGOV",
ROUND(OFFSET($P457,0,AD$13),15-13*ORÇAMENTO!$AF$7)/$H457*OFFSET(ORÇAMENTO!$X$15,ROW(AD457)-ROW(AD$15),0),
ROUND(ROUND(OFFSET($P457,0,AD$13),15-13*ORÇAMENTO!$AF$7)*OFFSET(ORÇAMENTO!$W$15,ROW(AD457)-ROW(AD$15),0),15-13*ORÇAMENTO!$AF$11)),0)</f>
        <v>0</v>
      </c>
      <c r="AE457" s="545">
        <f ca="1">IF(AND($D457="Serviço",AE$12&lt;&gt;0,$H457&gt;0,OR(AUTOEVENTO&lt;&gt;"manual",$M457&lt;&gt;1)),
IF(Import.TipoArredondamento&lt;&gt;"TransfereGOV",
ROUND(OFFSET($P457,0,AE$13),15-13*ORÇAMENTO!$AF$7)/$H457*OFFSET(ORÇAMENTO!$X$15,ROW(AE457)-ROW(AE$15),0),
ROUND(ROUND(OFFSET($P457,0,AE$13),15-13*ORÇAMENTO!$AF$7)*OFFSET(ORÇAMENTO!$W$15,ROW(AE457)-ROW(AE$15),0),15-13*ORÇAMENTO!$AF$11)),0)</f>
        <v>0</v>
      </c>
      <c r="AF457" s="545">
        <f ca="1">IF(AND($D457="Serviço",AF$12&lt;&gt;0,$H457&gt;0,OR(AUTOEVENTO&lt;&gt;"manual",$M457&lt;&gt;1)),
IF(Import.TipoArredondamento&lt;&gt;"TransfereGOV",
ROUND(OFFSET($P457,0,AF$13),15-13*ORÇAMENTO!$AF$7)/$H457*OFFSET(ORÇAMENTO!$X$15,ROW(AF457)-ROW(AF$15),0),
ROUND(ROUND(OFFSET($P457,0,AF$13),15-13*ORÇAMENTO!$AF$7)*OFFSET(ORÇAMENTO!$W$15,ROW(AF457)-ROW(AF$15),0),15-13*ORÇAMENTO!$AF$11)),0)</f>
        <v>0</v>
      </c>
      <c r="AG457" s="545">
        <f ca="1">IF(AND($D457="Serviço",AG$12&lt;&gt;0,$H457&gt;0,OR(AUTOEVENTO&lt;&gt;"manual",$M457&lt;&gt;1)),
IF(Import.TipoArredondamento&lt;&gt;"TransfereGOV",
ROUND(OFFSET($P457,0,AG$13),15-13*ORÇAMENTO!$AF$7)/$H457*OFFSET(ORÇAMENTO!$X$15,ROW(AG457)-ROW(AG$15),0),
ROUND(ROUND(OFFSET($P457,0,AG$13),15-13*ORÇAMENTO!$AF$7)*OFFSET(ORÇAMENTO!$W$15,ROW(AG457)-ROW(AG$15),0),15-13*ORÇAMENTO!$AF$11)),0)</f>
        <v>0</v>
      </c>
      <c r="AH457" s="545">
        <f ca="1">IF(AND($D457="Serviço",AH$12&lt;&gt;0,$H457&gt;0,OR(AUTOEVENTO&lt;&gt;"manual",$M457&lt;&gt;1)),
IF(Import.TipoArredondamento&lt;&gt;"TransfereGOV",
ROUND(OFFSET($P457,0,AH$13),15-13*ORÇAMENTO!$AF$7)/$H457*OFFSET(ORÇAMENTO!$X$15,ROW(AH457)-ROW(AH$15),0),
ROUND(ROUND(OFFSET($P457,0,AH$13),15-13*ORÇAMENTO!$AF$7)*OFFSET(ORÇAMENTO!$W$15,ROW(AH457)-ROW(AH$15),0),15-13*ORÇAMENTO!$AF$11)),0)</f>
        <v>0</v>
      </c>
      <c r="AI457" s="545">
        <f ca="1">IF(AND($D457="Serviço",AI$12&lt;&gt;0,$H457&gt;0,OR(AUTOEVENTO&lt;&gt;"manual",$M457&lt;&gt;1)),
IF(Import.TipoArredondamento&lt;&gt;"TransfereGOV",
ROUND(OFFSET($P457,0,AI$13),15-13*ORÇAMENTO!$AF$7)/$H457*OFFSET(ORÇAMENTO!$X$15,ROW(AI457)-ROW(AI$15),0),
ROUND(ROUND(OFFSET($P457,0,AI$13),15-13*ORÇAMENTO!$AF$7)*OFFSET(ORÇAMENTO!$W$15,ROW(AI457)-ROW(AI$15),0),15-13*ORÇAMENTO!$AF$11)),0)</f>
        <v>0</v>
      </c>
      <c r="AJ457" s="545">
        <f ca="1">IF(AND($D457="Serviço",AJ$12&lt;&gt;0,$H457&gt;0,OR(AUTOEVENTO&lt;&gt;"manual",$M457&lt;&gt;1)),
IF(Import.TipoArredondamento&lt;&gt;"TransfereGOV",
ROUND(OFFSET($P457,0,AJ$13),15-13*ORÇAMENTO!$AF$7)/$H457*OFFSET(ORÇAMENTO!$X$15,ROW(AJ457)-ROW(AJ$15),0),
ROUND(ROUND(OFFSET($P457,0,AJ$13),15-13*ORÇAMENTO!$AF$7)*OFFSET(ORÇAMENTO!$W$15,ROW(AJ457)-ROW(AJ$15),0),15-13*ORÇAMENTO!$AF$11)),0)</f>
        <v>0</v>
      </c>
      <c r="AK457" s="546">
        <f ca="1">IF(AND($D457="Serviço",AK$12&lt;&gt;0,$H457&gt;0,OR(AUTOEVENTO&lt;&gt;"manual",$M457&lt;&gt;1)),
IF(Import.TipoArredondamento&lt;&gt;"TransfereGOV",
ROUND(OFFSET($P457,0,AK$13),15-13*ORÇAMENTO!$AF$7)/$H457*OFFSET(ORÇAMENTO!$X$15,ROW(AK457)-ROW(AK$15),0),
ROUND(ROUND(OFFSET($P457,0,AK$13),15-13*ORÇAMENTO!$AF$7)*OFFSET(ORÇAMENTO!$W$15,ROW(AK457)-ROW(AK$15),0),15-13*ORÇAMENTO!$AF$11)),0)</f>
        <v>0</v>
      </c>
      <c r="AM457" s="181">
        <f ca="1">IF($D457&lt;&gt;"Serviço",0,IF(AND(AUTOEVENTO="Manual",$M457=1),0,IF(OFFSET(CRONOPLE!$F$14,$M457,AM$13)="",10^12,OFFSET(CRONOPLE!$F$14,$M457,AM$13))))</f>
        <v>1000000000000</v>
      </c>
      <c r="AN457" s="181">
        <f ca="1">IF($D457&lt;&gt;"Serviço",0,IF(AND(AUTOEVENTO="Manual",$M457=1),0,IF(OFFSET(CRONOPLE!$F$14,$M457,AN$13)="",10^12,OFFSET(CRONOPLE!$F$14,$M457,AN$13))))</f>
        <v>1000000000000</v>
      </c>
      <c r="AO457" s="181">
        <f ca="1">IF($D457&lt;&gt;"Serviço",0,IF(AND(AUTOEVENTO="Manual",$M457=1),0,IF(OFFSET(CRONOPLE!$F$14,$M457,AO$13)="",10^12,OFFSET(CRONOPLE!$F$14,$M457,AO$13))))</f>
        <v>1000000000000</v>
      </c>
      <c r="AP457" s="181">
        <f ca="1">IF($D457&lt;&gt;"Serviço",0,IF(AND(AUTOEVENTO="Manual",$M457=1),0,IF(OFFSET(CRONOPLE!$F$14,$M457,AP$13)="",10^12,OFFSET(CRONOPLE!$F$14,$M457,AP$13))))</f>
        <v>1000000000000</v>
      </c>
      <c r="AQ457" s="181">
        <f ca="1">IF($D457&lt;&gt;"Serviço",0,IF(AND(AUTOEVENTO="Manual",$M457=1),0,IF(OFFSET(CRONOPLE!$F$14,$M457,AQ$13)="",10^12,OFFSET(CRONOPLE!$F$14,$M457,AQ$13))))</f>
        <v>1000000000000</v>
      </c>
      <c r="AR457" s="181">
        <f ca="1">IF($D457&lt;&gt;"Serviço",0,IF(AND(AUTOEVENTO="Manual",$M457=1),0,IF(OFFSET(CRONOPLE!$F$14,$M457,AR$13)="",10^12,OFFSET(CRONOPLE!$F$14,$M457,AR$13))))</f>
        <v>1000000000000</v>
      </c>
      <c r="AS457" s="181">
        <f ca="1">IF($D457&lt;&gt;"Serviço",0,IF(AND(AUTOEVENTO="Manual",$M457=1),0,IF(OFFSET(CRONOPLE!$F$14,$M457,AS$13)="",10^12,OFFSET(CRONOPLE!$F$14,$M457,AS$13))))</f>
        <v>1000000000000</v>
      </c>
      <c r="AT457" s="181">
        <f ca="1">IF($D457&lt;&gt;"Serviço",0,IF(AND(AUTOEVENTO="Manual",$M457=1),0,IF(OFFSET(CRONOPLE!$F$14,$M457,AT$13)="",10^12,OFFSET(CRONOPLE!$F$14,$M457,AT$13))))</f>
        <v>1000000000000</v>
      </c>
      <c r="AU457" s="181">
        <f ca="1">IF($D457&lt;&gt;"Serviço",0,IF(AND(AUTOEVENTO="Manual",$M457=1),0,IF(OFFSET(CRONOPLE!$F$14,$M457,AU$13)="",10^12,OFFSET(CRONOPLE!$F$14,$M457,AU$13))))</f>
        <v>1000000000000</v>
      </c>
      <c r="AV457" s="181">
        <f ca="1">IF($D457&lt;&gt;"Serviço",0,IF(AND(AUTOEVENTO="Manual",$M457=1),0,IF(OFFSET(CRONOPLE!$F$14,$M457,AV$13)="",10^12,OFFSET(CRONOPLE!$F$14,$M457,AV$13))))</f>
        <v>1000000000000</v>
      </c>
      <c r="AX457" s="182">
        <f ca="1">IF($D457&lt;&gt;"Serviço",0,IF(OR(AND(AUTOEVENTO="Manual",$M457=1),$M457&gt;(ROW(PLE.lastrow)-ROW(PLE.firstrow))),0,IF(OFFSET(PLE!$G$14,$M457,AX$13)="",10^12,OFFSET(PLE!$G$14,$M457,AX$13))))</f>
        <v>1000000000000</v>
      </c>
      <c r="AY457" s="182">
        <f ca="1">IF($D457&lt;&gt;"Serviço",0,IF(OR(AND(AUTOEVENTO="Manual",$M457=1),$M457&gt;(ROW(PLE.lastrow)-ROW(PLE.firstrow))),0,IF(OFFSET(PLE!$G$14,$M457,AY$13)="",10^12,OFFSET(PLE!$G$14,$M457,AY$13))))</f>
        <v>1000000000000</v>
      </c>
      <c r="AZ457" s="182">
        <f ca="1">IF($D457&lt;&gt;"Serviço",0,IF(OR(AND(AUTOEVENTO="Manual",$M457=1),$M457&gt;(ROW(PLE.lastrow)-ROW(PLE.firstrow))),0,IF(OFFSET(PLE!$G$14,$M457,AZ$13)="",10^12,OFFSET(PLE!$G$14,$M457,AZ$13))))</f>
        <v>1000000000000</v>
      </c>
      <c r="BA457" s="182">
        <f ca="1">IF($D457&lt;&gt;"Serviço",0,IF(OR(AND(AUTOEVENTO="Manual",$M457=1),$M457&gt;(ROW(PLE.lastrow)-ROW(PLE.firstrow))),0,IF(OFFSET(PLE!$G$14,$M457,BA$13)="",10^12,OFFSET(PLE!$G$14,$M457,BA$13))))</f>
        <v>1000000000000</v>
      </c>
      <c r="BB457" s="182">
        <f ca="1">IF($D457&lt;&gt;"Serviço",0,IF(OR(AND(AUTOEVENTO="Manual",$M457=1),$M457&gt;(ROW(PLE.lastrow)-ROW(PLE.firstrow))),0,IF(OFFSET(PLE!$G$14,$M457,BB$13)="",10^12,OFFSET(PLE!$G$14,$M457,BB$13))))</f>
        <v>1000000000000</v>
      </c>
      <c r="BC457" s="182">
        <f ca="1">IF($D457&lt;&gt;"Serviço",0,IF(OR(AND(AUTOEVENTO="Manual",$M457=1),$M457&gt;(ROW(PLE.lastrow)-ROW(PLE.firstrow))),0,IF(OFFSET(PLE!$G$14,$M457,BC$13)="",10^12,OFFSET(PLE!$G$14,$M457,BC$13))))</f>
        <v>1000000000000</v>
      </c>
      <c r="BD457" s="182">
        <f ca="1">IF($D457&lt;&gt;"Serviço",0,IF(OR(AND(AUTOEVENTO="Manual",$M457=1),$M457&gt;(ROW(PLE.lastrow)-ROW(PLE.firstrow))),0,IF(OFFSET(PLE!$G$14,$M457,BD$13)="",10^12,OFFSET(PLE!$G$14,$M457,BD$13))))</f>
        <v>1000000000000</v>
      </c>
      <c r="BE457" s="182">
        <f ca="1">IF($D457&lt;&gt;"Serviço",0,IF(OR(AND(AUTOEVENTO="Manual",$M457=1),$M457&gt;(ROW(PLE.lastrow)-ROW(PLE.firstrow))),0,IF(OFFSET(PLE!$G$14,$M457,BE$13)="",10^12,OFFSET(PLE!$G$14,$M457,BE$13))))</f>
        <v>1000000000000</v>
      </c>
      <c r="BF457" s="182">
        <f ca="1">IF($D457&lt;&gt;"Serviço",0,IF(OR(AND(AUTOEVENTO="Manual",$M457=1),$M457&gt;(ROW(PLE.lastrow)-ROW(PLE.firstrow))),0,IF(OFFSET(PLE!$G$14,$M457,BF$13)="",10^12,OFFSET(PLE!$G$14,$M457,BF$13))))</f>
        <v>1000000000000</v>
      </c>
      <c r="BG457" s="182">
        <f ca="1">IF($D457&lt;&gt;"Serviço",0,IF(OR(AND(AUTOEVENTO="Manual",$M457=1),$M457&gt;(ROW(PLE.lastrow)-ROW(PLE.firstrow))),0,IF(OFFSET(PLE!$G$14,$M457,BG$13)="",10^12,OFFSET(PLE!$G$14,$M457,BG$13))))</f>
        <v>1000000000000</v>
      </c>
    </row>
    <row r="458" spans="1:59" ht="38.25" x14ac:dyDescent="0.2">
      <c r="A458" s="7" t="str">
        <f t="shared" ca="1" si="14"/>
        <v>411</v>
      </c>
      <c r="B458" s="7" t="str">
        <f ca="1">OFFSET(ORÇAMENTO!C$15,ROW(B458)-ROW(B$15),0)</f>
        <v>S</v>
      </c>
      <c r="C458" s="7" t="str">
        <f ca="1">OFFSET(ORÇAMENTO!L$15,ROW(C458)-ROW(C$15),0)</f>
        <v/>
      </c>
      <c r="D458" s="118" t="str">
        <f ca="1">OFFSET(ORÇAMENTO!N$15,ROW(D458)-ROW(D$15),0)</f>
        <v>Serviço</v>
      </c>
      <c r="E458" s="119" t="str">
        <f ca="1">OFFSET(ORÇAMENTO!O$15,ROW(E458)-ROW(E$15),0)</f>
        <v>-</v>
      </c>
      <c r="F458" s="172" t="str">
        <f ca="1">OFFSET(ORÇAMENTO!R$15,ROW(F458)-ROW(F$15),0)</f>
        <v>(abra o arquivo 'Referência 02-2025.xlsm)</v>
      </c>
      <c r="G458" s="173" t="str">
        <f ca="1">IF($D458&lt;&gt;"Serviço","",OFFSET(ORÇAMENTO!S$15,ROW(G458)-ROW(G$15),0))</f>
        <v>-</v>
      </c>
      <c r="H458" s="124">
        <f ca="1">IF($D458&lt;&gt;"Serviço",0,IF(ACOMPANHAMENTO="BM",ROUND(OFFSET(ORÇAMENTO!AJ$15,ROW(H458)-ROW(H$15),0),15-13*ORÇAMENTO!$AF$7),SUMPRODUCT(($Q$12:$AA$12&lt;&gt;"")*ROUND($Q458:$AA458,15-13*ORÇAMENTO!$AF$7))))</f>
        <v>22</v>
      </c>
      <c r="I458" s="561" t="s">
        <v>890</v>
      </c>
      <c r="K458" s="174"/>
      <c r="L458" s="175" t="s">
        <v>255</v>
      </c>
      <c r="M458" s="176">
        <f ca="1">IF($D458&lt;&gt;"Serviço","",IF(AUTOEVENTO="manual",$A458,IF(ISERROR(MATCH($A458,$A$15:OFFSET($A458,-1,0),0)),MAX($M$15:OFFSET(M458,-1,0))+1,INDEX($M$15:OFFSET(M458,-1,0),MATCH($A458,$A$15:OFFSET($A458,-1,0),0)))))</f>
        <v>17</v>
      </c>
      <c r="N458" s="177" t="str">
        <f ca="1">IF($D458&lt;&gt;"Serviço","",IF(AUTOEVENTO="Manual",IF($A458=0,"&lt;-- defina o número do agrupador",OFFSET(EVENTOS!$D$14,$A458,0)),OFFSET($F$15,$A458,0)))</f>
        <v>SISTEMA DE PROTEÇÃO CONTRA INCÊNDIO</v>
      </c>
      <c r="O458" s="178"/>
      <c r="Q458" s="178"/>
      <c r="R458" s="179"/>
      <c r="S458" s="179"/>
      <c r="T458" s="179"/>
      <c r="U458" s="179"/>
      <c r="V458" s="179"/>
      <c r="W458" s="179"/>
      <c r="X458" s="179"/>
      <c r="Y458" s="179"/>
      <c r="Z458" s="180"/>
      <c r="AB458" s="544">
        <f ca="1">IF(AND($D458="Serviço",AB$12&lt;&gt;0,$H458&gt;0,OR(AUTOEVENTO&lt;&gt;"manual",$M458&lt;&gt;1)),
IF(Import.TipoArredondamento&lt;&gt;"TransfereGOV",
ROUND(OFFSET($P458,0,AB$13),15-13*ORÇAMENTO!$AF$7)/$H458*OFFSET(ORÇAMENTO!$X$15,ROW(AB458)-ROW(AB$15),0),
ROUND(ROUND(OFFSET($P458,0,AB$13),15-13*ORÇAMENTO!$AF$7)*OFFSET(ORÇAMENTO!$W$15,ROW(AB458)-ROW(AB$15),0),15-13*ORÇAMENTO!$AF$11)),0)</f>
        <v>0</v>
      </c>
      <c r="AC458" s="545">
        <f ca="1">IF(AND($D458="Serviço",AC$12&lt;&gt;0,$H458&gt;0,OR(AUTOEVENTO&lt;&gt;"manual",$M458&lt;&gt;1)),
IF(Import.TipoArredondamento&lt;&gt;"TransfereGOV",
ROUND(OFFSET($P458,0,AC$13),15-13*ORÇAMENTO!$AF$7)/$H458*OFFSET(ORÇAMENTO!$X$15,ROW(AC458)-ROW(AC$15),0),
ROUND(ROUND(OFFSET($P458,0,AC$13),15-13*ORÇAMENTO!$AF$7)*OFFSET(ORÇAMENTO!$W$15,ROW(AC458)-ROW(AC$15),0),15-13*ORÇAMENTO!$AF$11)),0)</f>
        <v>0</v>
      </c>
      <c r="AD458" s="545">
        <f ca="1">IF(AND($D458="Serviço",AD$12&lt;&gt;0,$H458&gt;0,OR(AUTOEVENTO&lt;&gt;"manual",$M458&lt;&gt;1)),
IF(Import.TipoArredondamento&lt;&gt;"TransfereGOV",
ROUND(OFFSET($P458,0,AD$13),15-13*ORÇAMENTO!$AF$7)/$H458*OFFSET(ORÇAMENTO!$X$15,ROW(AD458)-ROW(AD$15),0),
ROUND(ROUND(OFFSET($P458,0,AD$13),15-13*ORÇAMENTO!$AF$7)*OFFSET(ORÇAMENTO!$W$15,ROW(AD458)-ROW(AD$15),0),15-13*ORÇAMENTO!$AF$11)),0)</f>
        <v>0</v>
      </c>
      <c r="AE458" s="545">
        <f ca="1">IF(AND($D458="Serviço",AE$12&lt;&gt;0,$H458&gt;0,OR(AUTOEVENTO&lt;&gt;"manual",$M458&lt;&gt;1)),
IF(Import.TipoArredondamento&lt;&gt;"TransfereGOV",
ROUND(OFFSET($P458,0,AE$13),15-13*ORÇAMENTO!$AF$7)/$H458*OFFSET(ORÇAMENTO!$X$15,ROW(AE458)-ROW(AE$15),0),
ROUND(ROUND(OFFSET($P458,0,AE$13),15-13*ORÇAMENTO!$AF$7)*OFFSET(ORÇAMENTO!$W$15,ROW(AE458)-ROW(AE$15),0),15-13*ORÇAMENTO!$AF$11)),0)</f>
        <v>0</v>
      </c>
      <c r="AF458" s="545">
        <f ca="1">IF(AND($D458="Serviço",AF$12&lt;&gt;0,$H458&gt;0,OR(AUTOEVENTO&lt;&gt;"manual",$M458&lt;&gt;1)),
IF(Import.TipoArredondamento&lt;&gt;"TransfereGOV",
ROUND(OFFSET($P458,0,AF$13),15-13*ORÇAMENTO!$AF$7)/$H458*OFFSET(ORÇAMENTO!$X$15,ROW(AF458)-ROW(AF$15),0),
ROUND(ROUND(OFFSET($P458,0,AF$13),15-13*ORÇAMENTO!$AF$7)*OFFSET(ORÇAMENTO!$W$15,ROW(AF458)-ROW(AF$15),0),15-13*ORÇAMENTO!$AF$11)),0)</f>
        <v>0</v>
      </c>
      <c r="AG458" s="545">
        <f ca="1">IF(AND($D458="Serviço",AG$12&lt;&gt;0,$H458&gt;0,OR(AUTOEVENTO&lt;&gt;"manual",$M458&lt;&gt;1)),
IF(Import.TipoArredondamento&lt;&gt;"TransfereGOV",
ROUND(OFFSET($P458,0,AG$13),15-13*ORÇAMENTO!$AF$7)/$H458*OFFSET(ORÇAMENTO!$X$15,ROW(AG458)-ROW(AG$15),0),
ROUND(ROUND(OFFSET($P458,0,AG$13),15-13*ORÇAMENTO!$AF$7)*OFFSET(ORÇAMENTO!$W$15,ROW(AG458)-ROW(AG$15),0),15-13*ORÇAMENTO!$AF$11)),0)</f>
        <v>0</v>
      </c>
      <c r="AH458" s="545">
        <f ca="1">IF(AND($D458="Serviço",AH$12&lt;&gt;0,$H458&gt;0,OR(AUTOEVENTO&lt;&gt;"manual",$M458&lt;&gt;1)),
IF(Import.TipoArredondamento&lt;&gt;"TransfereGOV",
ROUND(OFFSET($P458,0,AH$13),15-13*ORÇAMENTO!$AF$7)/$H458*OFFSET(ORÇAMENTO!$X$15,ROW(AH458)-ROW(AH$15),0),
ROUND(ROUND(OFFSET($P458,0,AH$13),15-13*ORÇAMENTO!$AF$7)*OFFSET(ORÇAMENTO!$W$15,ROW(AH458)-ROW(AH$15),0),15-13*ORÇAMENTO!$AF$11)),0)</f>
        <v>0</v>
      </c>
      <c r="AI458" s="545">
        <f ca="1">IF(AND($D458="Serviço",AI$12&lt;&gt;0,$H458&gt;0,OR(AUTOEVENTO&lt;&gt;"manual",$M458&lt;&gt;1)),
IF(Import.TipoArredondamento&lt;&gt;"TransfereGOV",
ROUND(OFFSET($P458,0,AI$13),15-13*ORÇAMENTO!$AF$7)/$H458*OFFSET(ORÇAMENTO!$X$15,ROW(AI458)-ROW(AI$15),0),
ROUND(ROUND(OFFSET($P458,0,AI$13),15-13*ORÇAMENTO!$AF$7)*OFFSET(ORÇAMENTO!$W$15,ROW(AI458)-ROW(AI$15),0),15-13*ORÇAMENTO!$AF$11)),0)</f>
        <v>0</v>
      </c>
      <c r="AJ458" s="545">
        <f ca="1">IF(AND($D458="Serviço",AJ$12&lt;&gt;0,$H458&gt;0,OR(AUTOEVENTO&lt;&gt;"manual",$M458&lt;&gt;1)),
IF(Import.TipoArredondamento&lt;&gt;"TransfereGOV",
ROUND(OFFSET($P458,0,AJ$13),15-13*ORÇAMENTO!$AF$7)/$H458*OFFSET(ORÇAMENTO!$X$15,ROW(AJ458)-ROW(AJ$15),0),
ROUND(ROUND(OFFSET($P458,0,AJ$13),15-13*ORÇAMENTO!$AF$7)*OFFSET(ORÇAMENTO!$W$15,ROW(AJ458)-ROW(AJ$15),0),15-13*ORÇAMENTO!$AF$11)),0)</f>
        <v>0</v>
      </c>
      <c r="AK458" s="546">
        <f ca="1">IF(AND($D458="Serviço",AK$12&lt;&gt;0,$H458&gt;0,OR(AUTOEVENTO&lt;&gt;"manual",$M458&lt;&gt;1)),
IF(Import.TipoArredondamento&lt;&gt;"TransfereGOV",
ROUND(OFFSET($P458,0,AK$13),15-13*ORÇAMENTO!$AF$7)/$H458*OFFSET(ORÇAMENTO!$X$15,ROW(AK458)-ROW(AK$15),0),
ROUND(ROUND(OFFSET($P458,0,AK$13),15-13*ORÇAMENTO!$AF$7)*OFFSET(ORÇAMENTO!$W$15,ROW(AK458)-ROW(AK$15),0),15-13*ORÇAMENTO!$AF$11)),0)</f>
        <v>0</v>
      </c>
      <c r="AM458" s="181">
        <f ca="1">IF($D458&lt;&gt;"Serviço",0,IF(AND(AUTOEVENTO="Manual",$M458=1),0,IF(OFFSET(CRONOPLE!$F$14,$M458,AM$13)="",10^12,OFFSET(CRONOPLE!$F$14,$M458,AM$13))))</f>
        <v>1000000000000</v>
      </c>
      <c r="AN458" s="181">
        <f ca="1">IF($D458&lt;&gt;"Serviço",0,IF(AND(AUTOEVENTO="Manual",$M458=1),0,IF(OFFSET(CRONOPLE!$F$14,$M458,AN$13)="",10^12,OFFSET(CRONOPLE!$F$14,$M458,AN$13))))</f>
        <v>1000000000000</v>
      </c>
      <c r="AO458" s="181">
        <f ca="1">IF($D458&lt;&gt;"Serviço",0,IF(AND(AUTOEVENTO="Manual",$M458=1),0,IF(OFFSET(CRONOPLE!$F$14,$M458,AO$13)="",10^12,OFFSET(CRONOPLE!$F$14,$M458,AO$13))))</f>
        <v>1000000000000</v>
      </c>
      <c r="AP458" s="181">
        <f ca="1">IF($D458&lt;&gt;"Serviço",0,IF(AND(AUTOEVENTO="Manual",$M458=1),0,IF(OFFSET(CRONOPLE!$F$14,$M458,AP$13)="",10^12,OFFSET(CRONOPLE!$F$14,$M458,AP$13))))</f>
        <v>1000000000000</v>
      </c>
      <c r="AQ458" s="181">
        <f ca="1">IF($D458&lt;&gt;"Serviço",0,IF(AND(AUTOEVENTO="Manual",$M458=1),0,IF(OFFSET(CRONOPLE!$F$14,$M458,AQ$13)="",10^12,OFFSET(CRONOPLE!$F$14,$M458,AQ$13))))</f>
        <v>1000000000000</v>
      </c>
      <c r="AR458" s="181">
        <f ca="1">IF($D458&lt;&gt;"Serviço",0,IF(AND(AUTOEVENTO="Manual",$M458=1),0,IF(OFFSET(CRONOPLE!$F$14,$M458,AR$13)="",10^12,OFFSET(CRONOPLE!$F$14,$M458,AR$13))))</f>
        <v>1000000000000</v>
      </c>
      <c r="AS458" s="181">
        <f ca="1">IF($D458&lt;&gt;"Serviço",0,IF(AND(AUTOEVENTO="Manual",$M458=1),0,IF(OFFSET(CRONOPLE!$F$14,$M458,AS$13)="",10^12,OFFSET(CRONOPLE!$F$14,$M458,AS$13))))</f>
        <v>1000000000000</v>
      </c>
      <c r="AT458" s="181">
        <f ca="1">IF($D458&lt;&gt;"Serviço",0,IF(AND(AUTOEVENTO="Manual",$M458=1),0,IF(OFFSET(CRONOPLE!$F$14,$M458,AT$13)="",10^12,OFFSET(CRONOPLE!$F$14,$M458,AT$13))))</f>
        <v>1000000000000</v>
      </c>
      <c r="AU458" s="181">
        <f ca="1">IF($D458&lt;&gt;"Serviço",0,IF(AND(AUTOEVENTO="Manual",$M458=1),0,IF(OFFSET(CRONOPLE!$F$14,$M458,AU$13)="",10^12,OFFSET(CRONOPLE!$F$14,$M458,AU$13))))</f>
        <v>1000000000000</v>
      </c>
      <c r="AV458" s="181">
        <f ca="1">IF($D458&lt;&gt;"Serviço",0,IF(AND(AUTOEVENTO="Manual",$M458=1),0,IF(OFFSET(CRONOPLE!$F$14,$M458,AV$13)="",10^12,OFFSET(CRONOPLE!$F$14,$M458,AV$13))))</f>
        <v>1000000000000</v>
      </c>
      <c r="AX458" s="182">
        <f ca="1">IF($D458&lt;&gt;"Serviço",0,IF(OR(AND(AUTOEVENTO="Manual",$M458=1),$M458&gt;(ROW(PLE.lastrow)-ROW(PLE.firstrow))),0,IF(OFFSET(PLE!$G$14,$M458,AX$13)="",10^12,OFFSET(PLE!$G$14,$M458,AX$13))))</f>
        <v>1000000000000</v>
      </c>
      <c r="AY458" s="182">
        <f ca="1">IF($D458&lt;&gt;"Serviço",0,IF(OR(AND(AUTOEVENTO="Manual",$M458=1),$M458&gt;(ROW(PLE.lastrow)-ROW(PLE.firstrow))),0,IF(OFFSET(PLE!$G$14,$M458,AY$13)="",10^12,OFFSET(PLE!$G$14,$M458,AY$13))))</f>
        <v>1000000000000</v>
      </c>
      <c r="AZ458" s="182">
        <f ca="1">IF($D458&lt;&gt;"Serviço",0,IF(OR(AND(AUTOEVENTO="Manual",$M458=1),$M458&gt;(ROW(PLE.lastrow)-ROW(PLE.firstrow))),0,IF(OFFSET(PLE!$G$14,$M458,AZ$13)="",10^12,OFFSET(PLE!$G$14,$M458,AZ$13))))</f>
        <v>1000000000000</v>
      </c>
      <c r="BA458" s="182">
        <f ca="1">IF($D458&lt;&gt;"Serviço",0,IF(OR(AND(AUTOEVENTO="Manual",$M458=1),$M458&gt;(ROW(PLE.lastrow)-ROW(PLE.firstrow))),0,IF(OFFSET(PLE!$G$14,$M458,BA$13)="",10^12,OFFSET(PLE!$G$14,$M458,BA$13))))</f>
        <v>1000000000000</v>
      </c>
      <c r="BB458" s="182">
        <f ca="1">IF($D458&lt;&gt;"Serviço",0,IF(OR(AND(AUTOEVENTO="Manual",$M458=1),$M458&gt;(ROW(PLE.lastrow)-ROW(PLE.firstrow))),0,IF(OFFSET(PLE!$G$14,$M458,BB$13)="",10^12,OFFSET(PLE!$G$14,$M458,BB$13))))</f>
        <v>1000000000000</v>
      </c>
      <c r="BC458" s="182">
        <f ca="1">IF($D458&lt;&gt;"Serviço",0,IF(OR(AND(AUTOEVENTO="Manual",$M458=1),$M458&gt;(ROW(PLE.lastrow)-ROW(PLE.firstrow))),0,IF(OFFSET(PLE!$G$14,$M458,BC$13)="",10^12,OFFSET(PLE!$G$14,$M458,BC$13))))</f>
        <v>1000000000000</v>
      </c>
      <c r="BD458" s="182">
        <f ca="1">IF($D458&lt;&gt;"Serviço",0,IF(OR(AND(AUTOEVENTO="Manual",$M458=1),$M458&gt;(ROW(PLE.lastrow)-ROW(PLE.firstrow))),0,IF(OFFSET(PLE!$G$14,$M458,BD$13)="",10^12,OFFSET(PLE!$G$14,$M458,BD$13))))</f>
        <v>1000000000000</v>
      </c>
      <c r="BE458" s="182">
        <f ca="1">IF($D458&lt;&gt;"Serviço",0,IF(OR(AND(AUTOEVENTO="Manual",$M458=1),$M458&gt;(ROW(PLE.lastrow)-ROW(PLE.firstrow))),0,IF(OFFSET(PLE!$G$14,$M458,BE$13)="",10^12,OFFSET(PLE!$G$14,$M458,BE$13))))</f>
        <v>1000000000000</v>
      </c>
      <c r="BF458" s="182">
        <f ca="1">IF($D458&lt;&gt;"Serviço",0,IF(OR(AND(AUTOEVENTO="Manual",$M458=1),$M458&gt;(ROW(PLE.lastrow)-ROW(PLE.firstrow))),0,IF(OFFSET(PLE!$G$14,$M458,BF$13)="",10^12,OFFSET(PLE!$G$14,$M458,BF$13))))</f>
        <v>1000000000000</v>
      </c>
      <c r="BG458" s="182">
        <f ca="1">IF($D458&lt;&gt;"Serviço",0,IF(OR(AND(AUTOEVENTO="Manual",$M458=1),$M458&gt;(ROW(PLE.lastrow)-ROW(PLE.firstrow))),0,IF(OFFSET(PLE!$G$14,$M458,BG$13)="",10^12,OFFSET(PLE!$G$14,$M458,BG$13))))</f>
        <v>1000000000000</v>
      </c>
    </row>
    <row r="459" spans="1:59" ht="38.25" x14ac:dyDescent="0.2">
      <c r="A459" s="7" t="str">
        <f t="shared" ca="1" si="14"/>
        <v>411</v>
      </c>
      <c r="B459" s="7" t="str">
        <f ca="1">OFFSET(ORÇAMENTO!C$15,ROW(B459)-ROW(B$15),0)</f>
        <v>S</v>
      </c>
      <c r="C459" s="7" t="str">
        <f ca="1">OFFSET(ORÇAMENTO!L$15,ROW(C459)-ROW(C$15),0)</f>
        <v/>
      </c>
      <c r="D459" s="118" t="str">
        <f ca="1">OFFSET(ORÇAMENTO!N$15,ROW(D459)-ROW(D$15),0)</f>
        <v>Serviço</v>
      </c>
      <c r="E459" s="119" t="str">
        <f ca="1">OFFSET(ORÇAMENTO!O$15,ROW(E459)-ROW(E$15),0)</f>
        <v>-</v>
      </c>
      <c r="F459" s="172" t="str">
        <f ca="1">OFFSET(ORÇAMENTO!R$15,ROW(F459)-ROW(F$15),0)</f>
        <v>(abra o arquivo 'Referência 02-2025.xlsm)</v>
      </c>
      <c r="G459" s="173" t="str">
        <f ca="1">IF($D459&lt;&gt;"Serviço","",OFFSET(ORÇAMENTO!S$15,ROW(G459)-ROW(G$15),0))</f>
        <v>-</v>
      </c>
      <c r="H459" s="124">
        <f ca="1">IF($D459&lt;&gt;"Serviço",0,IF(ACOMPANHAMENTO="BM",ROUND(OFFSET(ORÇAMENTO!AJ$15,ROW(H459)-ROW(H$15),0),15-13*ORÇAMENTO!$AF$7),SUMPRODUCT(($Q$12:$AA$12&lt;&gt;"")*ROUND($Q459:$AA459,15-13*ORÇAMENTO!$AF$7))))</f>
        <v>11</v>
      </c>
      <c r="I459" s="561" t="s">
        <v>890</v>
      </c>
      <c r="K459" s="174"/>
      <c r="L459" s="175" t="s">
        <v>255</v>
      </c>
      <c r="M459" s="176">
        <f ca="1">IF($D459&lt;&gt;"Serviço","",IF(AUTOEVENTO="manual",$A459,IF(ISERROR(MATCH($A459,$A$15:OFFSET($A459,-1,0),0)),MAX($M$15:OFFSET(M459,-1,0))+1,INDEX($M$15:OFFSET(M459,-1,0),MATCH($A459,$A$15:OFFSET($A459,-1,0),0)))))</f>
        <v>17</v>
      </c>
      <c r="N459" s="177" t="str">
        <f ca="1">IF($D459&lt;&gt;"Serviço","",IF(AUTOEVENTO="Manual",IF($A459=0,"&lt;-- defina o número do agrupador",OFFSET(EVENTOS!$D$14,$A459,0)),OFFSET($F$15,$A459,0)))</f>
        <v>SISTEMA DE PROTEÇÃO CONTRA INCÊNDIO</v>
      </c>
      <c r="O459" s="178"/>
      <c r="Q459" s="178"/>
      <c r="R459" s="179"/>
      <c r="S459" s="179"/>
      <c r="T459" s="179"/>
      <c r="U459" s="179"/>
      <c r="V459" s="179"/>
      <c r="W459" s="179"/>
      <c r="X459" s="179"/>
      <c r="Y459" s="179"/>
      <c r="Z459" s="180"/>
      <c r="AB459" s="544">
        <f ca="1">IF(AND($D459="Serviço",AB$12&lt;&gt;0,$H459&gt;0,OR(AUTOEVENTO&lt;&gt;"manual",$M459&lt;&gt;1)),
IF(Import.TipoArredondamento&lt;&gt;"TransfereGOV",
ROUND(OFFSET($P459,0,AB$13),15-13*ORÇAMENTO!$AF$7)/$H459*OFFSET(ORÇAMENTO!$X$15,ROW(AB459)-ROW(AB$15),0),
ROUND(ROUND(OFFSET($P459,0,AB$13),15-13*ORÇAMENTO!$AF$7)*OFFSET(ORÇAMENTO!$W$15,ROW(AB459)-ROW(AB$15),0),15-13*ORÇAMENTO!$AF$11)),0)</f>
        <v>0</v>
      </c>
      <c r="AC459" s="545">
        <f ca="1">IF(AND($D459="Serviço",AC$12&lt;&gt;0,$H459&gt;0,OR(AUTOEVENTO&lt;&gt;"manual",$M459&lt;&gt;1)),
IF(Import.TipoArredondamento&lt;&gt;"TransfereGOV",
ROUND(OFFSET($P459,0,AC$13),15-13*ORÇAMENTO!$AF$7)/$H459*OFFSET(ORÇAMENTO!$X$15,ROW(AC459)-ROW(AC$15),0),
ROUND(ROUND(OFFSET($P459,0,AC$13),15-13*ORÇAMENTO!$AF$7)*OFFSET(ORÇAMENTO!$W$15,ROW(AC459)-ROW(AC$15),0),15-13*ORÇAMENTO!$AF$11)),0)</f>
        <v>0</v>
      </c>
      <c r="AD459" s="545">
        <f ca="1">IF(AND($D459="Serviço",AD$12&lt;&gt;0,$H459&gt;0,OR(AUTOEVENTO&lt;&gt;"manual",$M459&lt;&gt;1)),
IF(Import.TipoArredondamento&lt;&gt;"TransfereGOV",
ROUND(OFFSET($P459,0,AD$13),15-13*ORÇAMENTO!$AF$7)/$H459*OFFSET(ORÇAMENTO!$X$15,ROW(AD459)-ROW(AD$15),0),
ROUND(ROUND(OFFSET($P459,0,AD$13),15-13*ORÇAMENTO!$AF$7)*OFFSET(ORÇAMENTO!$W$15,ROW(AD459)-ROW(AD$15),0),15-13*ORÇAMENTO!$AF$11)),0)</f>
        <v>0</v>
      </c>
      <c r="AE459" s="545">
        <f ca="1">IF(AND($D459="Serviço",AE$12&lt;&gt;0,$H459&gt;0,OR(AUTOEVENTO&lt;&gt;"manual",$M459&lt;&gt;1)),
IF(Import.TipoArredondamento&lt;&gt;"TransfereGOV",
ROUND(OFFSET($P459,0,AE$13),15-13*ORÇAMENTO!$AF$7)/$H459*OFFSET(ORÇAMENTO!$X$15,ROW(AE459)-ROW(AE$15),0),
ROUND(ROUND(OFFSET($P459,0,AE$13),15-13*ORÇAMENTO!$AF$7)*OFFSET(ORÇAMENTO!$W$15,ROW(AE459)-ROW(AE$15),0),15-13*ORÇAMENTO!$AF$11)),0)</f>
        <v>0</v>
      </c>
      <c r="AF459" s="545">
        <f ca="1">IF(AND($D459="Serviço",AF$12&lt;&gt;0,$H459&gt;0,OR(AUTOEVENTO&lt;&gt;"manual",$M459&lt;&gt;1)),
IF(Import.TipoArredondamento&lt;&gt;"TransfereGOV",
ROUND(OFFSET($P459,0,AF$13),15-13*ORÇAMENTO!$AF$7)/$H459*OFFSET(ORÇAMENTO!$X$15,ROW(AF459)-ROW(AF$15),0),
ROUND(ROUND(OFFSET($P459,0,AF$13),15-13*ORÇAMENTO!$AF$7)*OFFSET(ORÇAMENTO!$W$15,ROW(AF459)-ROW(AF$15),0),15-13*ORÇAMENTO!$AF$11)),0)</f>
        <v>0</v>
      </c>
      <c r="AG459" s="545">
        <f ca="1">IF(AND($D459="Serviço",AG$12&lt;&gt;0,$H459&gt;0,OR(AUTOEVENTO&lt;&gt;"manual",$M459&lt;&gt;1)),
IF(Import.TipoArredondamento&lt;&gt;"TransfereGOV",
ROUND(OFFSET($P459,0,AG$13),15-13*ORÇAMENTO!$AF$7)/$H459*OFFSET(ORÇAMENTO!$X$15,ROW(AG459)-ROW(AG$15),0),
ROUND(ROUND(OFFSET($P459,0,AG$13),15-13*ORÇAMENTO!$AF$7)*OFFSET(ORÇAMENTO!$W$15,ROW(AG459)-ROW(AG$15),0),15-13*ORÇAMENTO!$AF$11)),0)</f>
        <v>0</v>
      </c>
      <c r="AH459" s="545">
        <f ca="1">IF(AND($D459="Serviço",AH$12&lt;&gt;0,$H459&gt;0,OR(AUTOEVENTO&lt;&gt;"manual",$M459&lt;&gt;1)),
IF(Import.TipoArredondamento&lt;&gt;"TransfereGOV",
ROUND(OFFSET($P459,0,AH$13),15-13*ORÇAMENTO!$AF$7)/$H459*OFFSET(ORÇAMENTO!$X$15,ROW(AH459)-ROW(AH$15),0),
ROUND(ROUND(OFFSET($P459,0,AH$13),15-13*ORÇAMENTO!$AF$7)*OFFSET(ORÇAMENTO!$W$15,ROW(AH459)-ROW(AH$15),0),15-13*ORÇAMENTO!$AF$11)),0)</f>
        <v>0</v>
      </c>
      <c r="AI459" s="545">
        <f ca="1">IF(AND($D459="Serviço",AI$12&lt;&gt;0,$H459&gt;0,OR(AUTOEVENTO&lt;&gt;"manual",$M459&lt;&gt;1)),
IF(Import.TipoArredondamento&lt;&gt;"TransfereGOV",
ROUND(OFFSET($P459,0,AI$13),15-13*ORÇAMENTO!$AF$7)/$H459*OFFSET(ORÇAMENTO!$X$15,ROW(AI459)-ROW(AI$15),0),
ROUND(ROUND(OFFSET($P459,0,AI$13),15-13*ORÇAMENTO!$AF$7)*OFFSET(ORÇAMENTO!$W$15,ROW(AI459)-ROW(AI$15),0),15-13*ORÇAMENTO!$AF$11)),0)</f>
        <v>0</v>
      </c>
      <c r="AJ459" s="545">
        <f ca="1">IF(AND($D459="Serviço",AJ$12&lt;&gt;0,$H459&gt;0,OR(AUTOEVENTO&lt;&gt;"manual",$M459&lt;&gt;1)),
IF(Import.TipoArredondamento&lt;&gt;"TransfereGOV",
ROUND(OFFSET($P459,0,AJ$13),15-13*ORÇAMENTO!$AF$7)/$H459*OFFSET(ORÇAMENTO!$X$15,ROW(AJ459)-ROW(AJ$15),0),
ROUND(ROUND(OFFSET($P459,0,AJ$13),15-13*ORÇAMENTO!$AF$7)*OFFSET(ORÇAMENTO!$W$15,ROW(AJ459)-ROW(AJ$15),0),15-13*ORÇAMENTO!$AF$11)),0)</f>
        <v>0</v>
      </c>
      <c r="AK459" s="546">
        <f ca="1">IF(AND($D459="Serviço",AK$12&lt;&gt;0,$H459&gt;0,OR(AUTOEVENTO&lt;&gt;"manual",$M459&lt;&gt;1)),
IF(Import.TipoArredondamento&lt;&gt;"TransfereGOV",
ROUND(OFFSET($P459,0,AK$13),15-13*ORÇAMENTO!$AF$7)/$H459*OFFSET(ORÇAMENTO!$X$15,ROW(AK459)-ROW(AK$15),0),
ROUND(ROUND(OFFSET($P459,0,AK$13),15-13*ORÇAMENTO!$AF$7)*OFFSET(ORÇAMENTO!$W$15,ROW(AK459)-ROW(AK$15),0),15-13*ORÇAMENTO!$AF$11)),0)</f>
        <v>0</v>
      </c>
      <c r="AM459" s="181">
        <f ca="1">IF($D459&lt;&gt;"Serviço",0,IF(AND(AUTOEVENTO="Manual",$M459=1),0,IF(OFFSET(CRONOPLE!$F$14,$M459,AM$13)="",10^12,OFFSET(CRONOPLE!$F$14,$M459,AM$13))))</f>
        <v>1000000000000</v>
      </c>
      <c r="AN459" s="181">
        <f ca="1">IF($D459&lt;&gt;"Serviço",0,IF(AND(AUTOEVENTO="Manual",$M459=1),0,IF(OFFSET(CRONOPLE!$F$14,$M459,AN$13)="",10^12,OFFSET(CRONOPLE!$F$14,$M459,AN$13))))</f>
        <v>1000000000000</v>
      </c>
      <c r="AO459" s="181">
        <f ca="1">IF($D459&lt;&gt;"Serviço",0,IF(AND(AUTOEVENTO="Manual",$M459=1),0,IF(OFFSET(CRONOPLE!$F$14,$M459,AO$13)="",10^12,OFFSET(CRONOPLE!$F$14,$M459,AO$13))))</f>
        <v>1000000000000</v>
      </c>
      <c r="AP459" s="181">
        <f ca="1">IF($D459&lt;&gt;"Serviço",0,IF(AND(AUTOEVENTO="Manual",$M459=1),0,IF(OFFSET(CRONOPLE!$F$14,$M459,AP$13)="",10^12,OFFSET(CRONOPLE!$F$14,$M459,AP$13))))</f>
        <v>1000000000000</v>
      </c>
      <c r="AQ459" s="181">
        <f ca="1">IF($D459&lt;&gt;"Serviço",0,IF(AND(AUTOEVENTO="Manual",$M459=1),0,IF(OFFSET(CRONOPLE!$F$14,$M459,AQ$13)="",10^12,OFFSET(CRONOPLE!$F$14,$M459,AQ$13))))</f>
        <v>1000000000000</v>
      </c>
      <c r="AR459" s="181">
        <f ca="1">IF($D459&lt;&gt;"Serviço",0,IF(AND(AUTOEVENTO="Manual",$M459=1),0,IF(OFFSET(CRONOPLE!$F$14,$M459,AR$13)="",10^12,OFFSET(CRONOPLE!$F$14,$M459,AR$13))))</f>
        <v>1000000000000</v>
      </c>
      <c r="AS459" s="181">
        <f ca="1">IF($D459&lt;&gt;"Serviço",0,IF(AND(AUTOEVENTO="Manual",$M459=1),0,IF(OFFSET(CRONOPLE!$F$14,$M459,AS$13)="",10^12,OFFSET(CRONOPLE!$F$14,$M459,AS$13))))</f>
        <v>1000000000000</v>
      </c>
      <c r="AT459" s="181">
        <f ca="1">IF($D459&lt;&gt;"Serviço",0,IF(AND(AUTOEVENTO="Manual",$M459=1),0,IF(OFFSET(CRONOPLE!$F$14,$M459,AT$13)="",10^12,OFFSET(CRONOPLE!$F$14,$M459,AT$13))))</f>
        <v>1000000000000</v>
      </c>
      <c r="AU459" s="181">
        <f ca="1">IF($D459&lt;&gt;"Serviço",0,IF(AND(AUTOEVENTO="Manual",$M459=1),0,IF(OFFSET(CRONOPLE!$F$14,$M459,AU$13)="",10^12,OFFSET(CRONOPLE!$F$14,$M459,AU$13))))</f>
        <v>1000000000000</v>
      </c>
      <c r="AV459" s="181">
        <f ca="1">IF($D459&lt;&gt;"Serviço",0,IF(AND(AUTOEVENTO="Manual",$M459=1),0,IF(OFFSET(CRONOPLE!$F$14,$M459,AV$13)="",10^12,OFFSET(CRONOPLE!$F$14,$M459,AV$13))))</f>
        <v>1000000000000</v>
      </c>
      <c r="AX459" s="182">
        <f ca="1">IF($D459&lt;&gt;"Serviço",0,IF(OR(AND(AUTOEVENTO="Manual",$M459=1),$M459&gt;(ROW(PLE.lastrow)-ROW(PLE.firstrow))),0,IF(OFFSET(PLE!$G$14,$M459,AX$13)="",10^12,OFFSET(PLE!$G$14,$M459,AX$13))))</f>
        <v>1000000000000</v>
      </c>
      <c r="AY459" s="182">
        <f ca="1">IF($D459&lt;&gt;"Serviço",0,IF(OR(AND(AUTOEVENTO="Manual",$M459=1),$M459&gt;(ROW(PLE.lastrow)-ROW(PLE.firstrow))),0,IF(OFFSET(PLE!$G$14,$M459,AY$13)="",10^12,OFFSET(PLE!$G$14,$M459,AY$13))))</f>
        <v>1000000000000</v>
      </c>
      <c r="AZ459" s="182">
        <f ca="1">IF($D459&lt;&gt;"Serviço",0,IF(OR(AND(AUTOEVENTO="Manual",$M459=1),$M459&gt;(ROW(PLE.lastrow)-ROW(PLE.firstrow))),0,IF(OFFSET(PLE!$G$14,$M459,AZ$13)="",10^12,OFFSET(PLE!$G$14,$M459,AZ$13))))</f>
        <v>1000000000000</v>
      </c>
      <c r="BA459" s="182">
        <f ca="1">IF($D459&lt;&gt;"Serviço",0,IF(OR(AND(AUTOEVENTO="Manual",$M459=1),$M459&gt;(ROW(PLE.lastrow)-ROW(PLE.firstrow))),0,IF(OFFSET(PLE!$G$14,$M459,BA$13)="",10^12,OFFSET(PLE!$G$14,$M459,BA$13))))</f>
        <v>1000000000000</v>
      </c>
      <c r="BB459" s="182">
        <f ca="1">IF($D459&lt;&gt;"Serviço",0,IF(OR(AND(AUTOEVENTO="Manual",$M459=1),$M459&gt;(ROW(PLE.lastrow)-ROW(PLE.firstrow))),0,IF(OFFSET(PLE!$G$14,$M459,BB$13)="",10^12,OFFSET(PLE!$G$14,$M459,BB$13))))</f>
        <v>1000000000000</v>
      </c>
      <c r="BC459" s="182">
        <f ca="1">IF($D459&lt;&gt;"Serviço",0,IF(OR(AND(AUTOEVENTO="Manual",$M459=1),$M459&gt;(ROW(PLE.lastrow)-ROW(PLE.firstrow))),0,IF(OFFSET(PLE!$G$14,$M459,BC$13)="",10^12,OFFSET(PLE!$G$14,$M459,BC$13))))</f>
        <v>1000000000000</v>
      </c>
      <c r="BD459" s="182">
        <f ca="1">IF($D459&lt;&gt;"Serviço",0,IF(OR(AND(AUTOEVENTO="Manual",$M459=1),$M459&gt;(ROW(PLE.lastrow)-ROW(PLE.firstrow))),0,IF(OFFSET(PLE!$G$14,$M459,BD$13)="",10^12,OFFSET(PLE!$G$14,$M459,BD$13))))</f>
        <v>1000000000000</v>
      </c>
      <c r="BE459" s="182">
        <f ca="1">IF($D459&lt;&gt;"Serviço",0,IF(OR(AND(AUTOEVENTO="Manual",$M459=1),$M459&gt;(ROW(PLE.lastrow)-ROW(PLE.firstrow))),0,IF(OFFSET(PLE!$G$14,$M459,BE$13)="",10^12,OFFSET(PLE!$G$14,$M459,BE$13))))</f>
        <v>1000000000000</v>
      </c>
      <c r="BF459" s="182">
        <f ca="1">IF($D459&lt;&gt;"Serviço",0,IF(OR(AND(AUTOEVENTO="Manual",$M459=1),$M459&gt;(ROW(PLE.lastrow)-ROW(PLE.firstrow))),0,IF(OFFSET(PLE!$G$14,$M459,BF$13)="",10^12,OFFSET(PLE!$G$14,$M459,BF$13))))</f>
        <v>1000000000000</v>
      </c>
      <c r="BG459" s="182">
        <f ca="1">IF($D459&lt;&gt;"Serviço",0,IF(OR(AND(AUTOEVENTO="Manual",$M459=1),$M459&gt;(ROW(PLE.lastrow)-ROW(PLE.firstrow))),0,IF(OFFSET(PLE!$G$14,$M459,BG$13)="",10^12,OFFSET(PLE!$G$14,$M459,BG$13))))</f>
        <v>1000000000000</v>
      </c>
    </row>
    <row r="460" spans="1:59" ht="25.5" x14ac:dyDescent="0.2">
      <c r="A460" s="7" t="str">
        <f t="shared" ca="1" si="14"/>
        <v>411</v>
      </c>
      <c r="B460" s="7" t="str">
        <f ca="1">OFFSET(ORÇAMENTO!C$15,ROW(B460)-ROW(B$15),0)</f>
        <v>S</v>
      </c>
      <c r="C460" s="7" t="str">
        <f ca="1">OFFSET(ORÇAMENTO!L$15,ROW(C460)-ROW(C$15),0)</f>
        <v/>
      </c>
      <c r="D460" s="118" t="str">
        <f ca="1">OFFSET(ORÇAMENTO!N$15,ROW(D460)-ROW(D$15),0)</f>
        <v>Serviço</v>
      </c>
      <c r="E460" s="119" t="str">
        <f ca="1">OFFSET(ORÇAMENTO!O$15,ROW(E460)-ROW(E$15),0)</f>
        <v>-</v>
      </c>
      <c r="F460" s="172" t="str">
        <f ca="1">OFFSET(ORÇAMENTO!R$15,ROW(F460)-ROW(F$15),0)</f>
        <v>(abra o arquivo 'Referência 02-2025.xlsm)</v>
      </c>
      <c r="G460" s="173" t="str">
        <f ca="1">IF($D460&lt;&gt;"Serviço","",OFFSET(ORÇAMENTO!S$15,ROW(G460)-ROW(G$15),0))</f>
        <v>-</v>
      </c>
      <c r="H460" s="124">
        <f ca="1">IF($D460&lt;&gt;"Serviço",0,IF(ACOMPANHAMENTO="BM",ROUND(OFFSET(ORÇAMENTO!AJ$15,ROW(H460)-ROW(H$15),0),15-13*ORÇAMENTO!$AF$7),SUMPRODUCT(($Q$12:$AA$12&lt;&gt;"")*ROUND($Q460:$AA460,15-13*ORÇAMENTO!$AF$7))))</f>
        <v>5</v>
      </c>
      <c r="I460" s="561" t="s">
        <v>890</v>
      </c>
      <c r="K460" s="174"/>
      <c r="L460" s="175" t="s">
        <v>255</v>
      </c>
      <c r="M460" s="176">
        <f ca="1">IF($D460&lt;&gt;"Serviço","",IF(AUTOEVENTO="manual",$A460,IF(ISERROR(MATCH($A460,$A$15:OFFSET($A460,-1,0),0)),MAX($M$15:OFFSET(M460,-1,0))+1,INDEX($M$15:OFFSET(M460,-1,0),MATCH($A460,$A$15:OFFSET($A460,-1,0),0)))))</f>
        <v>17</v>
      </c>
      <c r="N460" s="177" t="str">
        <f ca="1">IF($D460&lt;&gt;"Serviço","",IF(AUTOEVENTO="Manual",IF($A460=0,"&lt;-- defina o número do agrupador",OFFSET(EVENTOS!$D$14,$A460,0)),OFFSET($F$15,$A460,0)))</f>
        <v>SISTEMA DE PROTEÇÃO CONTRA INCÊNDIO</v>
      </c>
      <c r="O460" s="178"/>
      <c r="Q460" s="178"/>
      <c r="R460" s="179"/>
      <c r="S460" s="179"/>
      <c r="T460" s="179"/>
      <c r="U460" s="179"/>
      <c r="V460" s="179"/>
      <c r="W460" s="179"/>
      <c r="X460" s="179"/>
      <c r="Y460" s="179"/>
      <c r="Z460" s="180"/>
      <c r="AB460" s="544">
        <f ca="1">IF(AND($D460="Serviço",AB$12&lt;&gt;0,$H460&gt;0,OR(AUTOEVENTO&lt;&gt;"manual",$M460&lt;&gt;1)),
IF(Import.TipoArredondamento&lt;&gt;"TransfereGOV",
ROUND(OFFSET($P460,0,AB$13),15-13*ORÇAMENTO!$AF$7)/$H460*OFFSET(ORÇAMENTO!$X$15,ROW(AB460)-ROW(AB$15),0),
ROUND(ROUND(OFFSET($P460,0,AB$13),15-13*ORÇAMENTO!$AF$7)*OFFSET(ORÇAMENTO!$W$15,ROW(AB460)-ROW(AB$15),0),15-13*ORÇAMENTO!$AF$11)),0)</f>
        <v>0</v>
      </c>
      <c r="AC460" s="545">
        <f ca="1">IF(AND($D460="Serviço",AC$12&lt;&gt;0,$H460&gt;0,OR(AUTOEVENTO&lt;&gt;"manual",$M460&lt;&gt;1)),
IF(Import.TipoArredondamento&lt;&gt;"TransfereGOV",
ROUND(OFFSET($P460,0,AC$13),15-13*ORÇAMENTO!$AF$7)/$H460*OFFSET(ORÇAMENTO!$X$15,ROW(AC460)-ROW(AC$15),0),
ROUND(ROUND(OFFSET($P460,0,AC$13),15-13*ORÇAMENTO!$AF$7)*OFFSET(ORÇAMENTO!$W$15,ROW(AC460)-ROW(AC$15),0),15-13*ORÇAMENTO!$AF$11)),0)</f>
        <v>0</v>
      </c>
      <c r="AD460" s="545">
        <f ca="1">IF(AND($D460="Serviço",AD$12&lt;&gt;0,$H460&gt;0,OR(AUTOEVENTO&lt;&gt;"manual",$M460&lt;&gt;1)),
IF(Import.TipoArredondamento&lt;&gt;"TransfereGOV",
ROUND(OFFSET($P460,0,AD$13),15-13*ORÇAMENTO!$AF$7)/$H460*OFFSET(ORÇAMENTO!$X$15,ROW(AD460)-ROW(AD$15),0),
ROUND(ROUND(OFFSET($P460,0,AD$13),15-13*ORÇAMENTO!$AF$7)*OFFSET(ORÇAMENTO!$W$15,ROW(AD460)-ROW(AD$15),0),15-13*ORÇAMENTO!$AF$11)),0)</f>
        <v>0</v>
      </c>
      <c r="AE460" s="545">
        <f ca="1">IF(AND($D460="Serviço",AE$12&lt;&gt;0,$H460&gt;0,OR(AUTOEVENTO&lt;&gt;"manual",$M460&lt;&gt;1)),
IF(Import.TipoArredondamento&lt;&gt;"TransfereGOV",
ROUND(OFFSET($P460,0,AE$13),15-13*ORÇAMENTO!$AF$7)/$H460*OFFSET(ORÇAMENTO!$X$15,ROW(AE460)-ROW(AE$15),0),
ROUND(ROUND(OFFSET($P460,0,AE$13),15-13*ORÇAMENTO!$AF$7)*OFFSET(ORÇAMENTO!$W$15,ROW(AE460)-ROW(AE$15),0),15-13*ORÇAMENTO!$AF$11)),0)</f>
        <v>0</v>
      </c>
      <c r="AF460" s="545">
        <f ca="1">IF(AND($D460="Serviço",AF$12&lt;&gt;0,$H460&gt;0,OR(AUTOEVENTO&lt;&gt;"manual",$M460&lt;&gt;1)),
IF(Import.TipoArredondamento&lt;&gt;"TransfereGOV",
ROUND(OFFSET($P460,0,AF$13),15-13*ORÇAMENTO!$AF$7)/$H460*OFFSET(ORÇAMENTO!$X$15,ROW(AF460)-ROW(AF$15),0),
ROUND(ROUND(OFFSET($P460,0,AF$13),15-13*ORÇAMENTO!$AF$7)*OFFSET(ORÇAMENTO!$W$15,ROW(AF460)-ROW(AF$15),0),15-13*ORÇAMENTO!$AF$11)),0)</f>
        <v>0</v>
      </c>
      <c r="AG460" s="545">
        <f ca="1">IF(AND($D460="Serviço",AG$12&lt;&gt;0,$H460&gt;0,OR(AUTOEVENTO&lt;&gt;"manual",$M460&lt;&gt;1)),
IF(Import.TipoArredondamento&lt;&gt;"TransfereGOV",
ROUND(OFFSET($P460,0,AG$13),15-13*ORÇAMENTO!$AF$7)/$H460*OFFSET(ORÇAMENTO!$X$15,ROW(AG460)-ROW(AG$15),0),
ROUND(ROUND(OFFSET($P460,0,AG$13),15-13*ORÇAMENTO!$AF$7)*OFFSET(ORÇAMENTO!$W$15,ROW(AG460)-ROW(AG$15),0),15-13*ORÇAMENTO!$AF$11)),0)</f>
        <v>0</v>
      </c>
      <c r="AH460" s="545">
        <f ca="1">IF(AND($D460="Serviço",AH$12&lt;&gt;0,$H460&gt;0,OR(AUTOEVENTO&lt;&gt;"manual",$M460&lt;&gt;1)),
IF(Import.TipoArredondamento&lt;&gt;"TransfereGOV",
ROUND(OFFSET($P460,0,AH$13),15-13*ORÇAMENTO!$AF$7)/$H460*OFFSET(ORÇAMENTO!$X$15,ROW(AH460)-ROW(AH$15),0),
ROUND(ROUND(OFFSET($P460,0,AH$13),15-13*ORÇAMENTO!$AF$7)*OFFSET(ORÇAMENTO!$W$15,ROW(AH460)-ROW(AH$15),0),15-13*ORÇAMENTO!$AF$11)),0)</f>
        <v>0</v>
      </c>
      <c r="AI460" s="545">
        <f ca="1">IF(AND($D460="Serviço",AI$12&lt;&gt;0,$H460&gt;0,OR(AUTOEVENTO&lt;&gt;"manual",$M460&lt;&gt;1)),
IF(Import.TipoArredondamento&lt;&gt;"TransfereGOV",
ROUND(OFFSET($P460,0,AI$13),15-13*ORÇAMENTO!$AF$7)/$H460*OFFSET(ORÇAMENTO!$X$15,ROW(AI460)-ROW(AI$15),0),
ROUND(ROUND(OFFSET($P460,0,AI$13),15-13*ORÇAMENTO!$AF$7)*OFFSET(ORÇAMENTO!$W$15,ROW(AI460)-ROW(AI$15),0),15-13*ORÇAMENTO!$AF$11)),0)</f>
        <v>0</v>
      </c>
      <c r="AJ460" s="545">
        <f ca="1">IF(AND($D460="Serviço",AJ$12&lt;&gt;0,$H460&gt;0,OR(AUTOEVENTO&lt;&gt;"manual",$M460&lt;&gt;1)),
IF(Import.TipoArredondamento&lt;&gt;"TransfereGOV",
ROUND(OFFSET($P460,0,AJ$13),15-13*ORÇAMENTO!$AF$7)/$H460*OFFSET(ORÇAMENTO!$X$15,ROW(AJ460)-ROW(AJ$15),0),
ROUND(ROUND(OFFSET($P460,0,AJ$13),15-13*ORÇAMENTO!$AF$7)*OFFSET(ORÇAMENTO!$W$15,ROW(AJ460)-ROW(AJ$15),0),15-13*ORÇAMENTO!$AF$11)),0)</f>
        <v>0</v>
      </c>
      <c r="AK460" s="546">
        <f ca="1">IF(AND($D460="Serviço",AK$12&lt;&gt;0,$H460&gt;0,OR(AUTOEVENTO&lt;&gt;"manual",$M460&lt;&gt;1)),
IF(Import.TipoArredondamento&lt;&gt;"TransfereGOV",
ROUND(OFFSET($P460,0,AK$13),15-13*ORÇAMENTO!$AF$7)/$H460*OFFSET(ORÇAMENTO!$X$15,ROW(AK460)-ROW(AK$15),0),
ROUND(ROUND(OFFSET($P460,0,AK$13),15-13*ORÇAMENTO!$AF$7)*OFFSET(ORÇAMENTO!$W$15,ROW(AK460)-ROW(AK$15),0),15-13*ORÇAMENTO!$AF$11)),0)</f>
        <v>0</v>
      </c>
      <c r="AM460" s="181">
        <f ca="1">IF($D460&lt;&gt;"Serviço",0,IF(AND(AUTOEVENTO="Manual",$M460=1),0,IF(OFFSET(CRONOPLE!$F$14,$M460,AM$13)="",10^12,OFFSET(CRONOPLE!$F$14,$M460,AM$13))))</f>
        <v>1000000000000</v>
      </c>
      <c r="AN460" s="181">
        <f ca="1">IF($D460&lt;&gt;"Serviço",0,IF(AND(AUTOEVENTO="Manual",$M460=1),0,IF(OFFSET(CRONOPLE!$F$14,$M460,AN$13)="",10^12,OFFSET(CRONOPLE!$F$14,$M460,AN$13))))</f>
        <v>1000000000000</v>
      </c>
      <c r="AO460" s="181">
        <f ca="1">IF($D460&lt;&gt;"Serviço",0,IF(AND(AUTOEVENTO="Manual",$M460=1),0,IF(OFFSET(CRONOPLE!$F$14,$M460,AO$13)="",10^12,OFFSET(CRONOPLE!$F$14,$M460,AO$13))))</f>
        <v>1000000000000</v>
      </c>
      <c r="AP460" s="181">
        <f ca="1">IF($D460&lt;&gt;"Serviço",0,IF(AND(AUTOEVENTO="Manual",$M460=1),0,IF(OFFSET(CRONOPLE!$F$14,$M460,AP$13)="",10^12,OFFSET(CRONOPLE!$F$14,$M460,AP$13))))</f>
        <v>1000000000000</v>
      </c>
      <c r="AQ460" s="181">
        <f ca="1">IF($D460&lt;&gt;"Serviço",0,IF(AND(AUTOEVENTO="Manual",$M460=1),0,IF(OFFSET(CRONOPLE!$F$14,$M460,AQ$13)="",10^12,OFFSET(CRONOPLE!$F$14,$M460,AQ$13))))</f>
        <v>1000000000000</v>
      </c>
      <c r="AR460" s="181">
        <f ca="1">IF($D460&lt;&gt;"Serviço",0,IF(AND(AUTOEVENTO="Manual",$M460=1),0,IF(OFFSET(CRONOPLE!$F$14,$M460,AR$13)="",10^12,OFFSET(CRONOPLE!$F$14,$M460,AR$13))))</f>
        <v>1000000000000</v>
      </c>
      <c r="AS460" s="181">
        <f ca="1">IF($D460&lt;&gt;"Serviço",0,IF(AND(AUTOEVENTO="Manual",$M460=1),0,IF(OFFSET(CRONOPLE!$F$14,$M460,AS$13)="",10^12,OFFSET(CRONOPLE!$F$14,$M460,AS$13))))</f>
        <v>1000000000000</v>
      </c>
      <c r="AT460" s="181">
        <f ca="1">IF($D460&lt;&gt;"Serviço",0,IF(AND(AUTOEVENTO="Manual",$M460=1),0,IF(OFFSET(CRONOPLE!$F$14,$M460,AT$13)="",10^12,OFFSET(CRONOPLE!$F$14,$M460,AT$13))))</f>
        <v>1000000000000</v>
      </c>
      <c r="AU460" s="181">
        <f ca="1">IF($D460&lt;&gt;"Serviço",0,IF(AND(AUTOEVENTO="Manual",$M460=1),0,IF(OFFSET(CRONOPLE!$F$14,$M460,AU$13)="",10^12,OFFSET(CRONOPLE!$F$14,$M460,AU$13))))</f>
        <v>1000000000000</v>
      </c>
      <c r="AV460" s="181">
        <f ca="1">IF($D460&lt;&gt;"Serviço",0,IF(AND(AUTOEVENTO="Manual",$M460=1),0,IF(OFFSET(CRONOPLE!$F$14,$M460,AV$13)="",10^12,OFFSET(CRONOPLE!$F$14,$M460,AV$13))))</f>
        <v>1000000000000</v>
      </c>
      <c r="AX460" s="182">
        <f ca="1">IF($D460&lt;&gt;"Serviço",0,IF(OR(AND(AUTOEVENTO="Manual",$M460=1),$M460&gt;(ROW(PLE.lastrow)-ROW(PLE.firstrow))),0,IF(OFFSET(PLE!$G$14,$M460,AX$13)="",10^12,OFFSET(PLE!$G$14,$M460,AX$13))))</f>
        <v>1000000000000</v>
      </c>
      <c r="AY460" s="182">
        <f ca="1">IF($D460&lt;&gt;"Serviço",0,IF(OR(AND(AUTOEVENTO="Manual",$M460=1),$M460&gt;(ROW(PLE.lastrow)-ROW(PLE.firstrow))),0,IF(OFFSET(PLE!$G$14,$M460,AY$13)="",10^12,OFFSET(PLE!$G$14,$M460,AY$13))))</f>
        <v>1000000000000</v>
      </c>
      <c r="AZ460" s="182">
        <f ca="1">IF($D460&lt;&gt;"Serviço",0,IF(OR(AND(AUTOEVENTO="Manual",$M460=1),$M460&gt;(ROW(PLE.lastrow)-ROW(PLE.firstrow))),0,IF(OFFSET(PLE!$G$14,$M460,AZ$13)="",10^12,OFFSET(PLE!$G$14,$M460,AZ$13))))</f>
        <v>1000000000000</v>
      </c>
      <c r="BA460" s="182">
        <f ca="1">IF($D460&lt;&gt;"Serviço",0,IF(OR(AND(AUTOEVENTO="Manual",$M460=1),$M460&gt;(ROW(PLE.lastrow)-ROW(PLE.firstrow))),0,IF(OFFSET(PLE!$G$14,$M460,BA$13)="",10^12,OFFSET(PLE!$G$14,$M460,BA$13))))</f>
        <v>1000000000000</v>
      </c>
      <c r="BB460" s="182">
        <f ca="1">IF($D460&lt;&gt;"Serviço",0,IF(OR(AND(AUTOEVENTO="Manual",$M460=1),$M460&gt;(ROW(PLE.lastrow)-ROW(PLE.firstrow))),0,IF(OFFSET(PLE!$G$14,$M460,BB$13)="",10^12,OFFSET(PLE!$G$14,$M460,BB$13))))</f>
        <v>1000000000000</v>
      </c>
      <c r="BC460" s="182">
        <f ca="1">IF($D460&lt;&gt;"Serviço",0,IF(OR(AND(AUTOEVENTO="Manual",$M460=1),$M460&gt;(ROW(PLE.lastrow)-ROW(PLE.firstrow))),0,IF(OFFSET(PLE!$G$14,$M460,BC$13)="",10^12,OFFSET(PLE!$G$14,$M460,BC$13))))</f>
        <v>1000000000000</v>
      </c>
      <c r="BD460" s="182">
        <f ca="1">IF($D460&lt;&gt;"Serviço",0,IF(OR(AND(AUTOEVENTO="Manual",$M460=1),$M460&gt;(ROW(PLE.lastrow)-ROW(PLE.firstrow))),0,IF(OFFSET(PLE!$G$14,$M460,BD$13)="",10^12,OFFSET(PLE!$G$14,$M460,BD$13))))</f>
        <v>1000000000000</v>
      </c>
      <c r="BE460" s="182">
        <f ca="1">IF($D460&lt;&gt;"Serviço",0,IF(OR(AND(AUTOEVENTO="Manual",$M460=1),$M460&gt;(ROW(PLE.lastrow)-ROW(PLE.firstrow))),0,IF(OFFSET(PLE!$G$14,$M460,BE$13)="",10^12,OFFSET(PLE!$G$14,$M460,BE$13))))</f>
        <v>1000000000000</v>
      </c>
      <c r="BF460" s="182">
        <f ca="1">IF($D460&lt;&gt;"Serviço",0,IF(OR(AND(AUTOEVENTO="Manual",$M460=1),$M460&gt;(ROW(PLE.lastrow)-ROW(PLE.firstrow))),0,IF(OFFSET(PLE!$G$14,$M460,BF$13)="",10^12,OFFSET(PLE!$G$14,$M460,BF$13))))</f>
        <v>1000000000000</v>
      </c>
      <c r="BG460" s="182">
        <f ca="1">IF($D460&lt;&gt;"Serviço",0,IF(OR(AND(AUTOEVENTO="Manual",$M460=1),$M460&gt;(ROW(PLE.lastrow)-ROW(PLE.firstrow))),0,IF(OFFSET(PLE!$G$14,$M460,BG$13)="",10^12,OFFSET(PLE!$G$14,$M460,BG$13))))</f>
        <v>1000000000000</v>
      </c>
    </row>
    <row r="461" spans="1:59" ht="38.25" x14ac:dyDescent="0.2">
      <c r="A461" s="7" t="str">
        <f t="shared" ca="1" si="14"/>
        <v>411</v>
      </c>
      <c r="B461" s="7" t="str">
        <f ca="1">OFFSET(ORÇAMENTO!C$15,ROW(B461)-ROW(B$15),0)</f>
        <v>S</v>
      </c>
      <c r="C461" s="7" t="str">
        <f ca="1">OFFSET(ORÇAMENTO!L$15,ROW(C461)-ROW(C$15),0)</f>
        <v/>
      </c>
      <c r="D461" s="118" t="str">
        <f ca="1">OFFSET(ORÇAMENTO!N$15,ROW(D461)-ROW(D$15),0)</f>
        <v>Serviço</v>
      </c>
      <c r="E461" s="119" t="str">
        <f ca="1">OFFSET(ORÇAMENTO!O$15,ROW(E461)-ROW(E$15),0)</f>
        <v>-</v>
      </c>
      <c r="F461" s="172" t="str">
        <f ca="1">OFFSET(ORÇAMENTO!R$15,ROW(F461)-ROW(F$15),0)</f>
        <v>(abra o arquivo 'Referência 02-2025.xlsm)</v>
      </c>
      <c r="G461" s="173" t="str">
        <f ca="1">IF($D461&lt;&gt;"Serviço","",OFFSET(ORÇAMENTO!S$15,ROW(G461)-ROW(G$15),0))</f>
        <v>-</v>
      </c>
      <c r="H461" s="124">
        <f ca="1">IF($D461&lt;&gt;"Serviço",0,IF(ACOMPANHAMENTO="BM",ROUND(OFFSET(ORÇAMENTO!AJ$15,ROW(H461)-ROW(H$15),0),15-13*ORÇAMENTO!$AF$7),SUMPRODUCT(($Q$12:$AA$12&lt;&gt;"")*ROUND($Q461:$AA461,15-13*ORÇAMENTO!$AF$7))))</f>
        <v>5</v>
      </c>
      <c r="I461" s="561" t="s">
        <v>890</v>
      </c>
      <c r="K461" s="174"/>
      <c r="L461" s="175" t="s">
        <v>255</v>
      </c>
      <c r="M461" s="176">
        <f ca="1">IF($D461&lt;&gt;"Serviço","",IF(AUTOEVENTO="manual",$A461,IF(ISERROR(MATCH($A461,$A$15:OFFSET($A461,-1,0),0)),MAX($M$15:OFFSET(M461,-1,0))+1,INDEX($M$15:OFFSET(M461,-1,0),MATCH($A461,$A$15:OFFSET($A461,-1,0),0)))))</f>
        <v>17</v>
      </c>
      <c r="N461" s="177" t="str">
        <f ca="1">IF($D461&lt;&gt;"Serviço","",IF(AUTOEVENTO="Manual",IF($A461=0,"&lt;-- defina o número do agrupador",OFFSET(EVENTOS!$D$14,$A461,0)),OFFSET($F$15,$A461,0)))</f>
        <v>SISTEMA DE PROTEÇÃO CONTRA INCÊNDIO</v>
      </c>
      <c r="O461" s="178"/>
      <c r="Q461" s="178"/>
      <c r="R461" s="179"/>
      <c r="S461" s="179"/>
      <c r="T461" s="179"/>
      <c r="U461" s="179"/>
      <c r="V461" s="179"/>
      <c r="W461" s="179"/>
      <c r="X461" s="179"/>
      <c r="Y461" s="179"/>
      <c r="Z461" s="180"/>
      <c r="AB461" s="544">
        <f ca="1">IF(AND($D461="Serviço",AB$12&lt;&gt;0,$H461&gt;0,OR(AUTOEVENTO&lt;&gt;"manual",$M461&lt;&gt;1)),
IF(Import.TipoArredondamento&lt;&gt;"TransfereGOV",
ROUND(OFFSET($P461,0,AB$13),15-13*ORÇAMENTO!$AF$7)/$H461*OFFSET(ORÇAMENTO!$X$15,ROW(AB461)-ROW(AB$15),0),
ROUND(ROUND(OFFSET($P461,0,AB$13),15-13*ORÇAMENTO!$AF$7)*OFFSET(ORÇAMENTO!$W$15,ROW(AB461)-ROW(AB$15),0),15-13*ORÇAMENTO!$AF$11)),0)</f>
        <v>0</v>
      </c>
      <c r="AC461" s="545">
        <f ca="1">IF(AND($D461="Serviço",AC$12&lt;&gt;0,$H461&gt;0,OR(AUTOEVENTO&lt;&gt;"manual",$M461&lt;&gt;1)),
IF(Import.TipoArredondamento&lt;&gt;"TransfereGOV",
ROUND(OFFSET($P461,0,AC$13),15-13*ORÇAMENTO!$AF$7)/$H461*OFFSET(ORÇAMENTO!$X$15,ROW(AC461)-ROW(AC$15),0),
ROUND(ROUND(OFFSET($P461,0,AC$13),15-13*ORÇAMENTO!$AF$7)*OFFSET(ORÇAMENTO!$W$15,ROW(AC461)-ROW(AC$15),0),15-13*ORÇAMENTO!$AF$11)),0)</f>
        <v>0</v>
      </c>
      <c r="AD461" s="545">
        <f ca="1">IF(AND($D461="Serviço",AD$12&lt;&gt;0,$H461&gt;0,OR(AUTOEVENTO&lt;&gt;"manual",$M461&lt;&gt;1)),
IF(Import.TipoArredondamento&lt;&gt;"TransfereGOV",
ROUND(OFFSET($P461,0,AD$13),15-13*ORÇAMENTO!$AF$7)/$H461*OFFSET(ORÇAMENTO!$X$15,ROW(AD461)-ROW(AD$15),0),
ROUND(ROUND(OFFSET($P461,0,AD$13),15-13*ORÇAMENTO!$AF$7)*OFFSET(ORÇAMENTO!$W$15,ROW(AD461)-ROW(AD$15),0),15-13*ORÇAMENTO!$AF$11)),0)</f>
        <v>0</v>
      </c>
      <c r="AE461" s="545">
        <f ca="1">IF(AND($D461="Serviço",AE$12&lt;&gt;0,$H461&gt;0,OR(AUTOEVENTO&lt;&gt;"manual",$M461&lt;&gt;1)),
IF(Import.TipoArredondamento&lt;&gt;"TransfereGOV",
ROUND(OFFSET($P461,0,AE$13),15-13*ORÇAMENTO!$AF$7)/$H461*OFFSET(ORÇAMENTO!$X$15,ROW(AE461)-ROW(AE$15),0),
ROUND(ROUND(OFFSET($P461,0,AE$13),15-13*ORÇAMENTO!$AF$7)*OFFSET(ORÇAMENTO!$W$15,ROW(AE461)-ROW(AE$15),0),15-13*ORÇAMENTO!$AF$11)),0)</f>
        <v>0</v>
      </c>
      <c r="AF461" s="545">
        <f ca="1">IF(AND($D461="Serviço",AF$12&lt;&gt;0,$H461&gt;0,OR(AUTOEVENTO&lt;&gt;"manual",$M461&lt;&gt;1)),
IF(Import.TipoArredondamento&lt;&gt;"TransfereGOV",
ROUND(OFFSET($P461,0,AF$13),15-13*ORÇAMENTO!$AF$7)/$H461*OFFSET(ORÇAMENTO!$X$15,ROW(AF461)-ROW(AF$15),0),
ROUND(ROUND(OFFSET($P461,0,AF$13),15-13*ORÇAMENTO!$AF$7)*OFFSET(ORÇAMENTO!$W$15,ROW(AF461)-ROW(AF$15),0),15-13*ORÇAMENTO!$AF$11)),0)</f>
        <v>0</v>
      </c>
      <c r="AG461" s="545">
        <f ca="1">IF(AND($D461="Serviço",AG$12&lt;&gt;0,$H461&gt;0,OR(AUTOEVENTO&lt;&gt;"manual",$M461&lt;&gt;1)),
IF(Import.TipoArredondamento&lt;&gt;"TransfereGOV",
ROUND(OFFSET($P461,0,AG$13),15-13*ORÇAMENTO!$AF$7)/$H461*OFFSET(ORÇAMENTO!$X$15,ROW(AG461)-ROW(AG$15),0),
ROUND(ROUND(OFFSET($P461,0,AG$13),15-13*ORÇAMENTO!$AF$7)*OFFSET(ORÇAMENTO!$W$15,ROW(AG461)-ROW(AG$15),0),15-13*ORÇAMENTO!$AF$11)),0)</f>
        <v>0</v>
      </c>
      <c r="AH461" s="545">
        <f ca="1">IF(AND($D461="Serviço",AH$12&lt;&gt;0,$H461&gt;0,OR(AUTOEVENTO&lt;&gt;"manual",$M461&lt;&gt;1)),
IF(Import.TipoArredondamento&lt;&gt;"TransfereGOV",
ROUND(OFFSET($P461,0,AH$13),15-13*ORÇAMENTO!$AF$7)/$H461*OFFSET(ORÇAMENTO!$X$15,ROW(AH461)-ROW(AH$15),0),
ROUND(ROUND(OFFSET($P461,0,AH$13),15-13*ORÇAMENTO!$AF$7)*OFFSET(ORÇAMENTO!$W$15,ROW(AH461)-ROW(AH$15),0),15-13*ORÇAMENTO!$AF$11)),0)</f>
        <v>0</v>
      </c>
      <c r="AI461" s="545">
        <f ca="1">IF(AND($D461="Serviço",AI$12&lt;&gt;0,$H461&gt;0,OR(AUTOEVENTO&lt;&gt;"manual",$M461&lt;&gt;1)),
IF(Import.TipoArredondamento&lt;&gt;"TransfereGOV",
ROUND(OFFSET($P461,0,AI$13),15-13*ORÇAMENTO!$AF$7)/$H461*OFFSET(ORÇAMENTO!$X$15,ROW(AI461)-ROW(AI$15),0),
ROUND(ROUND(OFFSET($P461,0,AI$13),15-13*ORÇAMENTO!$AF$7)*OFFSET(ORÇAMENTO!$W$15,ROW(AI461)-ROW(AI$15),0),15-13*ORÇAMENTO!$AF$11)),0)</f>
        <v>0</v>
      </c>
      <c r="AJ461" s="545">
        <f ca="1">IF(AND($D461="Serviço",AJ$12&lt;&gt;0,$H461&gt;0,OR(AUTOEVENTO&lt;&gt;"manual",$M461&lt;&gt;1)),
IF(Import.TipoArredondamento&lt;&gt;"TransfereGOV",
ROUND(OFFSET($P461,0,AJ$13),15-13*ORÇAMENTO!$AF$7)/$H461*OFFSET(ORÇAMENTO!$X$15,ROW(AJ461)-ROW(AJ$15),0),
ROUND(ROUND(OFFSET($P461,0,AJ$13),15-13*ORÇAMENTO!$AF$7)*OFFSET(ORÇAMENTO!$W$15,ROW(AJ461)-ROW(AJ$15),0),15-13*ORÇAMENTO!$AF$11)),0)</f>
        <v>0</v>
      </c>
      <c r="AK461" s="546">
        <f ca="1">IF(AND($D461="Serviço",AK$12&lt;&gt;0,$H461&gt;0,OR(AUTOEVENTO&lt;&gt;"manual",$M461&lt;&gt;1)),
IF(Import.TipoArredondamento&lt;&gt;"TransfereGOV",
ROUND(OFFSET($P461,0,AK$13),15-13*ORÇAMENTO!$AF$7)/$H461*OFFSET(ORÇAMENTO!$X$15,ROW(AK461)-ROW(AK$15),0),
ROUND(ROUND(OFFSET($P461,0,AK$13),15-13*ORÇAMENTO!$AF$7)*OFFSET(ORÇAMENTO!$W$15,ROW(AK461)-ROW(AK$15),0),15-13*ORÇAMENTO!$AF$11)),0)</f>
        <v>0</v>
      </c>
      <c r="AM461" s="181">
        <f ca="1">IF($D461&lt;&gt;"Serviço",0,IF(AND(AUTOEVENTO="Manual",$M461=1),0,IF(OFFSET(CRONOPLE!$F$14,$M461,AM$13)="",10^12,OFFSET(CRONOPLE!$F$14,$M461,AM$13))))</f>
        <v>1000000000000</v>
      </c>
      <c r="AN461" s="181">
        <f ca="1">IF($D461&lt;&gt;"Serviço",0,IF(AND(AUTOEVENTO="Manual",$M461=1),0,IF(OFFSET(CRONOPLE!$F$14,$M461,AN$13)="",10^12,OFFSET(CRONOPLE!$F$14,$M461,AN$13))))</f>
        <v>1000000000000</v>
      </c>
      <c r="AO461" s="181">
        <f ca="1">IF($D461&lt;&gt;"Serviço",0,IF(AND(AUTOEVENTO="Manual",$M461=1),0,IF(OFFSET(CRONOPLE!$F$14,$M461,AO$13)="",10^12,OFFSET(CRONOPLE!$F$14,$M461,AO$13))))</f>
        <v>1000000000000</v>
      </c>
      <c r="AP461" s="181">
        <f ca="1">IF($D461&lt;&gt;"Serviço",0,IF(AND(AUTOEVENTO="Manual",$M461=1),0,IF(OFFSET(CRONOPLE!$F$14,$M461,AP$13)="",10^12,OFFSET(CRONOPLE!$F$14,$M461,AP$13))))</f>
        <v>1000000000000</v>
      </c>
      <c r="AQ461" s="181">
        <f ca="1">IF($D461&lt;&gt;"Serviço",0,IF(AND(AUTOEVENTO="Manual",$M461=1),0,IF(OFFSET(CRONOPLE!$F$14,$M461,AQ$13)="",10^12,OFFSET(CRONOPLE!$F$14,$M461,AQ$13))))</f>
        <v>1000000000000</v>
      </c>
      <c r="AR461" s="181">
        <f ca="1">IF($D461&lt;&gt;"Serviço",0,IF(AND(AUTOEVENTO="Manual",$M461=1),0,IF(OFFSET(CRONOPLE!$F$14,$M461,AR$13)="",10^12,OFFSET(CRONOPLE!$F$14,$M461,AR$13))))</f>
        <v>1000000000000</v>
      </c>
      <c r="AS461" s="181">
        <f ca="1">IF($D461&lt;&gt;"Serviço",0,IF(AND(AUTOEVENTO="Manual",$M461=1),0,IF(OFFSET(CRONOPLE!$F$14,$M461,AS$13)="",10^12,OFFSET(CRONOPLE!$F$14,$M461,AS$13))))</f>
        <v>1000000000000</v>
      </c>
      <c r="AT461" s="181">
        <f ca="1">IF($D461&lt;&gt;"Serviço",0,IF(AND(AUTOEVENTO="Manual",$M461=1),0,IF(OFFSET(CRONOPLE!$F$14,$M461,AT$13)="",10^12,OFFSET(CRONOPLE!$F$14,$M461,AT$13))))</f>
        <v>1000000000000</v>
      </c>
      <c r="AU461" s="181">
        <f ca="1">IF($D461&lt;&gt;"Serviço",0,IF(AND(AUTOEVENTO="Manual",$M461=1),0,IF(OFFSET(CRONOPLE!$F$14,$M461,AU$13)="",10^12,OFFSET(CRONOPLE!$F$14,$M461,AU$13))))</f>
        <v>1000000000000</v>
      </c>
      <c r="AV461" s="181">
        <f ca="1">IF($D461&lt;&gt;"Serviço",0,IF(AND(AUTOEVENTO="Manual",$M461=1),0,IF(OFFSET(CRONOPLE!$F$14,$M461,AV$13)="",10^12,OFFSET(CRONOPLE!$F$14,$M461,AV$13))))</f>
        <v>1000000000000</v>
      </c>
      <c r="AX461" s="182">
        <f ca="1">IF($D461&lt;&gt;"Serviço",0,IF(OR(AND(AUTOEVENTO="Manual",$M461=1),$M461&gt;(ROW(PLE.lastrow)-ROW(PLE.firstrow))),0,IF(OFFSET(PLE!$G$14,$M461,AX$13)="",10^12,OFFSET(PLE!$G$14,$M461,AX$13))))</f>
        <v>1000000000000</v>
      </c>
      <c r="AY461" s="182">
        <f ca="1">IF($D461&lt;&gt;"Serviço",0,IF(OR(AND(AUTOEVENTO="Manual",$M461=1),$M461&gt;(ROW(PLE.lastrow)-ROW(PLE.firstrow))),0,IF(OFFSET(PLE!$G$14,$M461,AY$13)="",10^12,OFFSET(PLE!$G$14,$M461,AY$13))))</f>
        <v>1000000000000</v>
      </c>
      <c r="AZ461" s="182">
        <f ca="1">IF($D461&lt;&gt;"Serviço",0,IF(OR(AND(AUTOEVENTO="Manual",$M461=1),$M461&gt;(ROW(PLE.lastrow)-ROW(PLE.firstrow))),0,IF(OFFSET(PLE!$G$14,$M461,AZ$13)="",10^12,OFFSET(PLE!$G$14,$M461,AZ$13))))</f>
        <v>1000000000000</v>
      </c>
      <c r="BA461" s="182">
        <f ca="1">IF($D461&lt;&gt;"Serviço",0,IF(OR(AND(AUTOEVENTO="Manual",$M461=1),$M461&gt;(ROW(PLE.lastrow)-ROW(PLE.firstrow))),0,IF(OFFSET(PLE!$G$14,$M461,BA$13)="",10^12,OFFSET(PLE!$G$14,$M461,BA$13))))</f>
        <v>1000000000000</v>
      </c>
      <c r="BB461" s="182">
        <f ca="1">IF($D461&lt;&gt;"Serviço",0,IF(OR(AND(AUTOEVENTO="Manual",$M461=1),$M461&gt;(ROW(PLE.lastrow)-ROW(PLE.firstrow))),0,IF(OFFSET(PLE!$G$14,$M461,BB$13)="",10^12,OFFSET(PLE!$G$14,$M461,BB$13))))</f>
        <v>1000000000000</v>
      </c>
      <c r="BC461" s="182">
        <f ca="1">IF($D461&lt;&gt;"Serviço",0,IF(OR(AND(AUTOEVENTO="Manual",$M461=1),$M461&gt;(ROW(PLE.lastrow)-ROW(PLE.firstrow))),0,IF(OFFSET(PLE!$G$14,$M461,BC$13)="",10^12,OFFSET(PLE!$G$14,$M461,BC$13))))</f>
        <v>1000000000000</v>
      </c>
      <c r="BD461" s="182">
        <f ca="1">IF($D461&lt;&gt;"Serviço",0,IF(OR(AND(AUTOEVENTO="Manual",$M461=1),$M461&gt;(ROW(PLE.lastrow)-ROW(PLE.firstrow))),0,IF(OFFSET(PLE!$G$14,$M461,BD$13)="",10^12,OFFSET(PLE!$G$14,$M461,BD$13))))</f>
        <v>1000000000000</v>
      </c>
      <c r="BE461" s="182">
        <f ca="1">IF($D461&lt;&gt;"Serviço",0,IF(OR(AND(AUTOEVENTO="Manual",$M461=1),$M461&gt;(ROW(PLE.lastrow)-ROW(PLE.firstrow))),0,IF(OFFSET(PLE!$G$14,$M461,BE$13)="",10^12,OFFSET(PLE!$G$14,$M461,BE$13))))</f>
        <v>1000000000000</v>
      </c>
      <c r="BF461" s="182">
        <f ca="1">IF($D461&lt;&gt;"Serviço",0,IF(OR(AND(AUTOEVENTO="Manual",$M461=1),$M461&gt;(ROW(PLE.lastrow)-ROW(PLE.firstrow))),0,IF(OFFSET(PLE!$G$14,$M461,BF$13)="",10^12,OFFSET(PLE!$G$14,$M461,BF$13))))</f>
        <v>1000000000000</v>
      </c>
      <c r="BG461" s="182">
        <f ca="1">IF($D461&lt;&gt;"Serviço",0,IF(OR(AND(AUTOEVENTO="Manual",$M461=1),$M461&gt;(ROW(PLE.lastrow)-ROW(PLE.firstrow))),0,IF(OFFSET(PLE!$G$14,$M461,BG$13)="",10^12,OFFSET(PLE!$G$14,$M461,BG$13))))</f>
        <v>1000000000000</v>
      </c>
    </row>
    <row r="462" spans="1:59" ht="38.25" x14ac:dyDescent="0.2">
      <c r="A462" s="7" t="str">
        <f t="shared" ca="1" si="14"/>
        <v>411</v>
      </c>
      <c r="B462" s="7" t="str">
        <f ca="1">OFFSET(ORÇAMENTO!C$15,ROW(B462)-ROW(B$15),0)</f>
        <v>S</v>
      </c>
      <c r="C462" s="7" t="str">
        <f ca="1">OFFSET(ORÇAMENTO!L$15,ROW(C462)-ROW(C$15),0)</f>
        <v/>
      </c>
      <c r="D462" s="118" t="str">
        <f ca="1">OFFSET(ORÇAMENTO!N$15,ROW(D462)-ROW(D$15),0)</f>
        <v>Serviço</v>
      </c>
      <c r="E462" s="119" t="str">
        <f ca="1">OFFSET(ORÇAMENTO!O$15,ROW(E462)-ROW(E$15),0)</f>
        <v>-</v>
      </c>
      <c r="F462" s="172" t="str">
        <f ca="1">OFFSET(ORÇAMENTO!R$15,ROW(F462)-ROW(F$15),0)</f>
        <v>(abra o arquivo 'Referência 02-2025.xlsm)</v>
      </c>
      <c r="G462" s="173" t="str">
        <f ca="1">IF($D462&lt;&gt;"Serviço","",OFFSET(ORÇAMENTO!S$15,ROW(G462)-ROW(G$15),0))</f>
        <v>-</v>
      </c>
      <c r="H462" s="124">
        <f ca="1">IF($D462&lt;&gt;"Serviço",0,IF(ACOMPANHAMENTO="BM",ROUND(OFFSET(ORÇAMENTO!AJ$15,ROW(H462)-ROW(H$15),0),15-13*ORÇAMENTO!$AF$7),SUMPRODUCT(($Q$12:$AA$12&lt;&gt;"")*ROUND($Q462:$AA462,15-13*ORÇAMENTO!$AF$7))))</f>
        <v>1</v>
      </c>
      <c r="I462" s="561" t="s">
        <v>890</v>
      </c>
      <c r="K462" s="174"/>
      <c r="L462" s="175" t="s">
        <v>255</v>
      </c>
      <c r="M462" s="176">
        <f ca="1">IF($D462&lt;&gt;"Serviço","",IF(AUTOEVENTO="manual",$A462,IF(ISERROR(MATCH($A462,$A$15:OFFSET($A462,-1,0),0)),MAX($M$15:OFFSET(M462,-1,0))+1,INDEX($M$15:OFFSET(M462,-1,0),MATCH($A462,$A$15:OFFSET($A462,-1,0),0)))))</f>
        <v>17</v>
      </c>
      <c r="N462" s="177" t="str">
        <f ca="1">IF($D462&lt;&gt;"Serviço","",IF(AUTOEVENTO="Manual",IF($A462=0,"&lt;-- defina o número do agrupador",OFFSET(EVENTOS!$D$14,$A462,0)),OFFSET($F$15,$A462,0)))</f>
        <v>SISTEMA DE PROTEÇÃO CONTRA INCÊNDIO</v>
      </c>
      <c r="O462" s="178"/>
      <c r="Q462" s="178"/>
      <c r="R462" s="179"/>
      <c r="S462" s="179"/>
      <c r="T462" s="179"/>
      <c r="U462" s="179"/>
      <c r="V462" s="179"/>
      <c r="W462" s="179"/>
      <c r="X462" s="179"/>
      <c r="Y462" s="179"/>
      <c r="Z462" s="180"/>
      <c r="AB462" s="544">
        <f ca="1">IF(AND($D462="Serviço",AB$12&lt;&gt;0,$H462&gt;0,OR(AUTOEVENTO&lt;&gt;"manual",$M462&lt;&gt;1)),
IF(Import.TipoArredondamento&lt;&gt;"TransfereGOV",
ROUND(OFFSET($P462,0,AB$13),15-13*ORÇAMENTO!$AF$7)/$H462*OFFSET(ORÇAMENTO!$X$15,ROW(AB462)-ROW(AB$15),0),
ROUND(ROUND(OFFSET($P462,0,AB$13),15-13*ORÇAMENTO!$AF$7)*OFFSET(ORÇAMENTO!$W$15,ROW(AB462)-ROW(AB$15),0),15-13*ORÇAMENTO!$AF$11)),0)</f>
        <v>0</v>
      </c>
      <c r="AC462" s="545">
        <f ca="1">IF(AND($D462="Serviço",AC$12&lt;&gt;0,$H462&gt;0,OR(AUTOEVENTO&lt;&gt;"manual",$M462&lt;&gt;1)),
IF(Import.TipoArredondamento&lt;&gt;"TransfereGOV",
ROUND(OFFSET($P462,0,AC$13),15-13*ORÇAMENTO!$AF$7)/$H462*OFFSET(ORÇAMENTO!$X$15,ROW(AC462)-ROW(AC$15),0),
ROUND(ROUND(OFFSET($P462,0,AC$13),15-13*ORÇAMENTO!$AF$7)*OFFSET(ORÇAMENTO!$W$15,ROW(AC462)-ROW(AC$15),0),15-13*ORÇAMENTO!$AF$11)),0)</f>
        <v>0</v>
      </c>
      <c r="AD462" s="545">
        <f ca="1">IF(AND($D462="Serviço",AD$12&lt;&gt;0,$H462&gt;0,OR(AUTOEVENTO&lt;&gt;"manual",$M462&lt;&gt;1)),
IF(Import.TipoArredondamento&lt;&gt;"TransfereGOV",
ROUND(OFFSET($P462,0,AD$13),15-13*ORÇAMENTO!$AF$7)/$H462*OFFSET(ORÇAMENTO!$X$15,ROW(AD462)-ROW(AD$15),0),
ROUND(ROUND(OFFSET($P462,0,AD$13),15-13*ORÇAMENTO!$AF$7)*OFFSET(ORÇAMENTO!$W$15,ROW(AD462)-ROW(AD$15),0),15-13*ORÇAMENTO!$AF$11)),0)</f>
        <v>0</v>
      </c>
      <c r="AE462" s="545">
        <f ca="1">IF(AND($D462="Serviço",AE$12&lt;&gt;0,$H462&gt;0,OR(AUTOEVENTO&lt;&gt;"manual",$M462&lt;&gt;1)),
IF(Import.TipoArredondamento&lt;&gt;"TransfereGOV",
ROUND(OFFSET($P462,0,AE$13),15-13*ORÇAMENTO!$AF$7)/$H462*OFFSET(ORÇAMENTO!$X$15,ROW(AE462)-ROW(AE$15),0),
ROUND(ROUND(OFFSET($P462,0,AE$13),15-13*ORÇAMENTO!$AF$7)*OFFSET(ORÇAMENTO!$W$15,ROW(AE462)-ROW(AE$15),0),15-13*ORÇAMENTO!$AF$11)),0)</f>
        <v>0</v>
      </c>
      <c r="AF462" s="545">
        <f ca="1">IF(AND($D462="Serviço",AF$12&lt;&gt;0,$H462&gt;0,OR(AUTOEVENTO&lt;&gt;"manual",$M462&lt;&gt;1)),
IF(Import.TipoArredondamento&lt;&gt;"TransfereGOV",
ROUND(OFFSET($P462,0,AF$13),15-13*ORÇAMENTO!$AF$7)/$H462*OFFSET(ORÇAMENTO!$X$15,ROW(AF462)-ROW(AF$15),0),
ROUND(ROUND(OFFSET($P462,0,AF$13),15-13*ORÇAMENTO!$AF$7)*OFFSET(ORÇAMENTO!$W$15,ROW(AF462)-ROW(AF$15),0),15-13*ORÇAMENTO!$AF$11)),0)</f>
        <v>0</v>
      </c>
      <c r="AG462" s="545">
        <f ca="1">IF(AND($D462="Serviço",AG$12&lt;&gt;0,$H462&gt;0,OR(AUTOEVENTO&lt;&gt;"manual",$M462&lt;&gt;1)),
IF(Import.TipoArredondamento&lt;&gt;"TransfereGOV",
ROUND(OFFSET($P462,0,AG$13),15-13*ORÇAMENTO!$AF$7)/$H462*OFFSET(ORÇAMENTO!$X$15,ROW(AG462)-ROW(AG$15),0),
ROUND(ROUND(OFFSET($P462,0,AG$13),15-13*ORÇAMENTO!$AF$7)*OFFSET(ORÇAMENTO!$W$15,ROW(AG462)-ROW(AG$15),0),15-13*ORÇAMENTO!$AF$11)),0)</f>
        <v>0</v>
      </c>
      <c r="AH462" s="545">
        <f ca="1">IF(AND($D462="Serviço",AH$12&lt;&gt;0,$H462&gt;0,OR(AUTOEVENTO&lt;&gt;"manual",$M462&lt;&gt;1)),
IF(Import.TipoArredondamento&lt;&gt;"TransfereGOV",
ROUND(OFFSET($P462,0,AH$13),15-13*ORÇAMENTO!$AF$7)/$H462*OFFSET(ORÇAMENTO!$X$15,ROW(AH462)-ROW(AH$15),0),
ROUND(ROUND(OFFSET($P462,0,AH$13),15-13*ORÇAMENTO!$AF$7)*OFFSET(ORÇAMENTO!$W$15,ROW(AH462)-ROW(AH$15),0),15-13*ORÇAMENTO!$AF$11)),0)</f>
        <v>0</v>
      </c>
      <c r="AI462" s="545">
        <f ca="1">IF(AND($D462="Serviço",AI$12&lt;&gt;0,$H462&gt;0,OR(AUTOEVENTO&lt;&gt;"manual",$M462&lt;&gt;1)),
IF(Import.TipoArredondamento&lt;&gt;"TransfereGOV",
ROUND(OFFSET($P462,0,AI$13),15-13*ORÇAMENTO!$AF$7)/$H462*OFFSET(ORÇAMENTO!$X$15,ROW(AI462)-ROW(AI$15),0),
ROUND(ROUND(OFFSET($P462,0,AI$13),15-13*ORÇAMENTO!$AF$7)*OFFSET(ORÇAMENTO!$W$15,ROW(AI462)-ROW(AI$15),0),15-13*ORÇAMENTO!$AF$11)),0)</f>
        <v>0</v>
      </c>
      <c r="AJ462" s="545">
        <f ca="1">IF(AND($D462="Serviço",AJ$12&lt;&gt;0,$H462&gt;0,OR(AUTOEVENTO&lt;&gt;"manual",$M462&lt;&gt;1)),
IF(Import.TipoArredondamento&lt;&gt;"TransfereGOV",
ROUND(OFFSET($P462,0,AJ$13),15-13*ORÇAMENTO!$AF$7)/$H462*OFFSET(ORÇAMENTO!$X$15,ROW(AJ462)-ROW(AJ$15),0),
ROUND(ROUND(OFFSET($P462,0,AJ$13),15-13*ORÇAMENTO!$AF$7)*OFFSET(ORÇAMENTO!$W$15,ROW(AJ462)-ROW(AJ$15),0),15-13*ORÇAMENTO!$AF$11)),0)</f>
        <v>0</v>
      </c>
      <c r="AK462" s="546">
        <f ca="1">IF(AND($D462="Serviço",AK$12&lt;&gt;0,$H462&gt;0,OR(AUTOEVENTO&lt;&gt;"manual",$M462&lt;&gt;1)),
IF(Import.TipoArredondamento&lt;&gt;"TransfereGOV",
ROUND(OFFSET($P462,0,AK$13),15-13*ORÇAMENTO!$AF$7)/$H462*OFFSET(ORÇAMENTO!$X$15,ROW(AK462)-ROW(AK$15),0),
ROUND(ROUND(OFFSET($P462,0,AK$13),15-13*ORÇAMENTO!$AF$7)*OFFSET(ORÇAMENTO!$W$15,ROW(AK462)-ROW(AK$15),0),15-13*ORÇAMENTO!$AF$11)),0)</f>
        <v>0</v>
      </c>
      <c r="AM462" s="181">
        <f ca="1">IF($D462&lt;&gt;"Serviço",0,IF(AND(AUTOEVENTO="Manual",$M462=1),0,IF(OFFSET(CRONOPLE!$F$14,$M462,AM$13)="",10^12,OFFSET(CRONOPLE!$F$14,$M462,AM$13))))</f>
        <v>1000000000000</v>
      </c>
      <c r="AN462" s="181">
        <f ca="1">IF($D462&lt;&gt;"Serviço",0,IF(AND(AUTOEVENTO="Manual",$M462=1),0,IF(OFFSET(CRONOPLE!$F$14,$M462,AN$13)="",10^12,OFFSET(CRONOPLE!$F$14,$M462,AN$13))))</f>
        <v>1000000000000</v>
      </c>
      <c r="AO462" s="181">
        <f ca="1">IF($D462&lt;&gt;"Serviço",0,IF(AND(AUTOEVENTO="Manual",$M462=1),0,IF(OFFSET(CRONOPLE!$F$14,$M462,AO$13)="",10^12,OFFSET(CRONOPLE!$F$14,$M462,AO$13))))</f>
        <v>1000000000000</v>
      </c>
      <c r="AP462" s="181">
        <f ca="1">IF($D462&lt;&gt;"Serviço",0,IF(AND(AUTOEVENTO="Manual",$M462=1),0,IF(OFFSET(CRONOPLE!$F$14,$M462,AP$13)="",10^12,OFFSET(CRONOPLE!$F$14,$M462,AP$13))))</f>
        <v>1000000000000</v>
      </c>
      <c r="AQ462" s="181">
        <f ca="1">IF($D462&lt;&gt;"Serviço",0,IF(AND(AUTOEVENTO="Manual",$M462=1),0,IF(OFFSET(CRONOPLE!$F$14,$M462,AQ$13)="",10^12,OFFSET(CRONOPLE!$F$14,$M462,AQ$13))))</f>
        <v>1000000000000</v>
      </c>
      <c r="AR462" s="181">
        <f ca="1">IF($D462&lt;&gt;"Serviço",0,IF(AND(AUTOEVENTO="Manual",$M462=1),0,IF(OFFSET(CRONOPLE!$F$14,$M462,AR$13)="",10^12,OFFSET(CRONOPLE!$F$14,$M462,AR$13))))</f>
        <v>1000000000000</v>
      </c>
      <c r="AS462" s="181">
        <f ca="1">IF($D462&lt;&gt;"Serviço",0,IF(AND(AUTOEVENTO="Manual",$M462=1),0,IF(OFFSET(CRONOPLE!$F$14,$M462,AS$13)="",10^12,OFFSET(CRONOPLE!$F$14,$M462,AS$13))))</f>
        <v>1000000000000</v>
      </c>
      <c r="AT462" s="181">
        <f ca="1">IF($D462&lt;&gt;"Serviço",0,IF(AND(AUTOEVENTO="Manual",$M462=1),0,IF(OFFSET(CRONOPLE!$F$14,$M462,AT$13)="",10^12,OFFSET(CRONOPLE!$F$14,$M462,AT$13))))</f>
        <v>1000000000000</v>
      </c>
      <c r="AU462" s="181">
        <f ca="1">IF($D462&lt;&gt;"Serviço",0,IF(AND(AUTOEVENTO="Manual",$M462=1),0,IF(OFFSET(CRONOPLE!$F$14,$M462,AU$13)="",10^12,OFFSET(CRONOPLE!$F$14,$M462,AU$13))))</f>
        <v>1000000000000</v>
      </c>
      <c r="AV462" s="181">
        <f ca="1">IF($D462&lt;&gt;"Serviço",0,IF(AND(AUTOEVENTO="Manual",$M462=1),0,IF(OFFSET(CRONOPLE!$F$14,$M462,AV$13)="",10^12,OFFSET(CRONOPLE!$F$14,$M462,AV$13))))</f>
        <v>1000000000000</v>
      </c>
      <c r="AX462" s="182">
        <f ca="1">IF($D462&lt;&gt;"Serviço",0,IF(OR(AND(AUTOEVENTO="Manual",$M462=1),$M462&gt;(ROW(PLE.lastrow)-ROW(PLE.firstrow))),0,IF(OFFSET(PLE!$G$14,$M462,AX$13)="",10^12,OFFSET(PLE!$G$14,$M462,AX$13))))</f>
        <v>1000000000000</v>
      </c>
      <c r="AY462" s="182">
        <f ca="1">IF($D462&lt;&gt;"Serviço",0,IF(OR(AND(AUTOEVENTO="Manual",$M462=1),$M462&gt;(ROW(PLE.lastrow)-ROW(PLE.firstrow))),0,IF(OFFSET(PLE!$G$14,$M462,AY$13)="",10^12,OFFSET(PLE!$G$14,$M462,AY$13))))</f>
        <v>1000000000000</v>
      </c>
      <c r="AZ462" s="182">
        <f ca="1">IF($D462&lt;&gt;"Serviço",0,IF(OR(AND(AUTOEVENTO="Manual",$M462=1),$M462&gt;(ROW(PLE.lastrow)-ROW(PLE.firstrow))),0,IF(OFFSET(PLE!$G$14,$M462,AZ$13)="",10^12,OFFSET(PLE!$G$14,$M462,AZ$13))))</f>
        <v>1000000000000</v>
      </c>
      <c r="BA462" s="182">
        <f ca="1">IF($D462&lt;&gt;"Serviço",0,IF(OR(AND(AUTOEVENTO="Manual",$M462=1),$M462&gt;(ROW(PLE.lastrow)-ROW(PLE.firstrow))),0,IF(OFFSET(PLE!$G$14,$M462,BA$13)="",10^12,OFFSET(PLE!$G$14,$M462,BA$13))))</f>
        <v>1000000000000</v>
      </c>
      <c r="BB462" s="182">
        <f ca="1">IF($D462&lt;&gt;"Serviço",0,IF(OR(AND(AUTOEVENTO="Manual",$M462=1),$M462&gt;(ROW(PLE.lastrow)-ROW(PLE.firstrow))),0,IF(OFFSET(PLE!$G$14,$M462,BB$13)="",10^12,OFFSET(PLE!$G$14,$M462,BB$13))))</f>
        <v>1000000000000</v>
      </c>
      <c r="BC462" s="182">
        <f ca="1">IF($D462&lt;&gt;"Serviço",0,IF(OR(AND(AUTOEVENTO="Manual",$M462=1),$M462&gt;(ROW(PLE.lastrow)-ROW(PLE.firstrow))),0,IF(OFFSET(PLE!$G$14,$M462,BC$13)="",10^12,OFFSET(PLE!$G$14,$M462,BC$13))))</f>
        <v>1000000000000</v>
      </c>
      <c r="BD462" s="182">
        <f ca="1">IF($D462&lt;&gt;"Serviço",0,IF(OR(AND(AUTOEVENTO="Manual",$M462=1),$M462&gt;(ROW(PLE.lastrow)-ROW(PLE.firstrow))),0,IF(OFFSET(PLE!$G$14,$M462,BD$13)="",10^12,OFFSET(PLE!$G$14,$M462,BD$13))))</f>
        <v>1000000000000</v>
      </c>
      <c r="BE462" s="182">
        <f ca="1">IF($D462&lt;&gt;"Serviço",0,IF(OR(AND(AUTOEVENTO="Manual",$M462=1),$M462&gt;(ROW(PLE.lastrow)-ROW(PLE.firstrow))),0,IF(OFFSET(PLE!$G$14,$M462,BE$13)="",10^12,OFFSET(PLE!$G$14,$M462,BE$13))))</f>
        <v>1000000000000</v>
      </c>
      <c r="BF462" s="182">
        <f ca="1">IF($D462&lt;&gt;"Serviço",0,IF(OR(AND(AUTOEVENTO="Manual",$M462=1),$M462&gt;(ROW(PLE.lastrow)-ROW(PLE.firstrow))),0,IF(OFFSET(PLE!$G$14,$M462,BF$13)="",10^12,OFFSET(PLE!$G$14,$M462,BF$13))))</f>
        <v>1000000000000</v>
      </c>
      <c r="BG462" s="182">
        <f ca="1">IF($D462&lt;&gt;"Serviço",0,IF(OR(AND(AUTOEVENTO="Manual",$M462=1),$M462&gt;(ROW(PLE.lastrow)-ROW(PLE.firstrow))),0,IF(OFFSET(PLE!$G$14,$M462,BG$13)="",10^12,OFFSET(PLE!$G$14,$M462,BG$13))))</f>
        <v>1000000000000</v>
      </c>
    </row>
    <row r="463" spans="1:59" ht="38.25" x14ac:dyDescent="0.2">
      <c r="A463" s="7" t="str">
        <f t="shared" ca="1" si="14"/>
        <v>411</v>
      </c>
      <c r="B463" s="7" t="str">
        <f ca="1">OFFSET(ORÇAMENTO!C$15,ROW(B463)-ROW(B$15),0)</f>
        <v>S</v>
      </c>
      <c r="C463" s="7" t="str">
        <f ca="1">OFFSET(ORÇAMENTO!L$15,ROW(C463)-ROW(C$15),0)</f>
        <v/>
      </c>
      <c r="D463" s="118" t="str">
        <f ca="1">OFFSET(ORÇAMENTO!N$15,ROW(D463)-ROW(D$15),0)</f>
        <v>Serviço</v>
      </c>
      <c r="E463" s="119" t="str">
        <f ca="1">OFFSET(ORÇAMENTO!O$15,ROW(E463)-ROW(E$15),0)</f>
        <v>-</v>
      </c>
      <c r="F463" s="172" t="str">
        <f ca="1">OFFSET(ORÇAMENTO!R$15,ROW(F463)-ROW(F$15),0)</f>
        <v>(abra o arquivo 'Referência 02-2025.xlsm)</v>
      </c>
      <c r="G463" s="173" t="str">
        <f ca="1">IF($D463&lt;&gt;"Serviço","",OFFSET(ORÇAMENTO!S$15,ROW(G463)-ROW(G$15),0))</f>
        <v>-</v>
      </c>
      <c r="H463" s="124">
        <f ca="1">IF($D463&lt;&gt;"Serviço",0,IF(ACOMPANHAMENTO="BM",ROUND(OFFSET(ORÇAMENTO!AJ$15,ROW(H463)-ROW(H$15),0),15-13*ORÇAMENTO!$AF$7),SUMPRODUCT(($Q$12:$AA$12&lt;&gt;"")*ROUND($Q463:$AA463,15-13*ORÇAMENTO!$AF$7))))</f>
        <v>2</v>
      </c>
      <c r="I463" s="561" t="s">
        <v>890</v>
      </c>
      <c r="K463" s="174"/>
      <c r="L463" s="175" t="s">
        <v>255</v>
      </c>
      <c r="M463" s="176">
        <f ca="1">IF($D463&lt;&gt;"Serviço","",IF(AUTOEVENTO="manual",$A463,IF(ISERROR(MATCH($A463,$A$15:OFFSET($A463,-1,0),0)),MAX($M$15:OFFSET(M463,-1,0))+1,INDEX($M$15:OFFSET(M463,-1,0),MATCH($A463,$A$15:OFFSET($A463,-1,0),0)))))</f>
        <v>17</v>
      </c>
      <c r="N463" s="177" t="str">
        <f ca="1">IF($D463&lt;&gt;"Serviço","",IF(AUTOEVENTO="Manual",IF($A463=0,"&lt;-- defina o número do agrupador",OFFSET(EVENTOS!$D$14,$A463,0)),OFFSET($F$15,$A463,0)))</f>
        <v>SISTEMA DE PROTEÇÃO CONTRA INCÊNDIO</v>
      </c>
      <c r="O463" s="178"/>
      <c r="Q463" s="178"/>
      <c r="R463" s="179"/>
      <c r="S463" s="179"/>
      <c r="T463" s="179"/>
      <c r="U463" s="179"/>
      <c r="V463" s="179"/>
      <c r="W463" s="179"/>
      <c r="X463" s="179"/>
      <c r="Y463" s="179"/>
      <c r="Z463" s="180"/>
      <c r="AB463" s="544">
        <f ca="1">IF(AND($D463="Serviço",AB$12&lt;&gt;0,$H463&gt;0,OR(AUTOEVENTO&lt;&gt;"manual",$M463&lt;&gt;1)),
IF(Import.TipoArredondamento&lt;&gt;"TransfereGOV",
ROUND(OFFSET($P463,0,AB$13),15-13*ORÇAMENTO!$AF$7)/$H463*OFFSET(ORÇAMENTO!$X$15,ROW(AB463)-ROW(AB$15),0),
ROUND(ROUND(OFFSET($P463,0,AB$13),15-13*ORÇAMENTO!$AF$7)*OFFSET(ORÇAMENTO!$W$15,ROW(AB463)-ROW(AB$15),0),15-13*ORÇAMENTO!$AF$11)),0)</f>
        <v>0</v>
      </c>
      <c r="AC463" s="545">
        <f ca="1">IF(AND($D463="Serviço",AC$12&lt;&gt;0,$H463&gt;0,OR(AUTOEVENTO&lt;&gt;"manual",$M463&lt;&gt;1)),
IF(Import.TipoArredondamento&lt;&gt;"TransfereGOV",
ROUND(OFFSET($P463,0,AC$13),15-13*ORÇAMENTO!$AF$7)/$H463*OFFSET(ORÇAMENTO!$X$15,ROW(AC463)-ROW(AC$15),0),
ROUND(ROUND(OFFSET($P463,0,AC$13),15-13*ORÇAMENTO!$AF$7)*OFFSET(ORÇAMENTO!$W$15,ROW(AC463)-ROW(AC$15),0),15-13*ORÇAMENTO!$AF$11)),0)</f>
        <v>0</v>
      </c>
      <c r="AD463" s="545">
        <f ca="1">IF(AND($D463="Serviço",AD$12&lt;&gt;0,$H463&gt;0,OR(AUTOEVENTO&lt;&gt;"manual",$M463&lt;&gt;1)),
IF(Import.TipoArredondamento&lt;&gt;"TransfereGOV",
ROUND(OFFSET($P463,0,AD$13),15-13*ORÇAMENTO!$AF$7)/$H463*OFFSET(ORÇAMENTO!$X$15,ROW(AD463)-ROW(AD$15),0),
ROUND(ROUND(OFFSET($P463,0,AD$13),15-13*ORÇAMENTO!$AF$7)*OFFSET(ORÇAMENTO!$W$15,ROW(AD463)-ROW(AD$15),0),15-13*ORÇAMENTO!$AF$11)),0)</f>
        <v>0</v>
      </c>
      <c r="AE463" s="545">
        <f ca="1">IF(AND($D463="Serviço",AE$12&lt;&gt;0,$H463&gt;0,OR(AUTOEVENTO&lt;&gt;"manual",$M463&lt;&gt;1)),
IF(Import.TipoArredondamento&lt;&gt;"TransfereGOV",
ROUND(OFFSET($P463,0,AE$13),15-13*ORÇAMENTO!$AF$7)/$H463*OFFSET(ORÇAMENTO!$X$15,ROW(AE463)-ROW(AE$15),0),
ROUND(ROUND(OFFSET($P463,0,AE$13),15-13*ORÇAMENTO!$AF$7)*OFFSET(ORÇAMENTO!$W$15,ROW(AE463)-ROW(AE$15),0),15-13*ORÇAMENTO!$AF$11)),0)</f>
        <v>0</v>
      </c>
      <c r="AF463" s="545">
        <f ca="1">IF(AND($D463="Serviço",AF$12&lt;&gt;0,$H463&gt;0,OR(AUTOEVENTO&lt;&gt;"manual",$M463&lt;&gt;1)),
IF(Import.TipoArredondamento&lt;&gt;"TransfereGOV",
ROUND(OFFSET($P463,0,AF$13),15-13*ORÇAMENTO!$AF$7)/$H463*OFFSET(ORÇAMENTO!$X$15,ROW(AF463)-ROW(AF$15),0),
ROUND(ROUND(OFFSET($P463,0,AF$13),15-13*ORÇAMENTO!$AF$7)*OFFSET(ORÇAMENTO!$W$15,ROW(AF463)-ROW(AF$15),0),15-13*ORÇAMENTO!$AF$11)),0)</f>
        <v>0</v>
      </c>
      <c r="AG463" s="545">
        <f ca="1">IF(AND($D463="Serviço",AG$12&lt;&gt;0,$H463&gt;0,OR(AUTOEVENTO&lt;&gt;"manual",$M463&lt;&gt;1)),
IF(Import.TipoArredondamento&lt;&gt;"TransfereGOV",
ROUND(OFFSET($P463,0,AG$13),15-13*ORÇAMENTO!$AF$7)/$H463*OFFSET(ORÇAMENTO!$X$15,ROW(AG463)-ROW(AG$15),0),
ROUND(ROUND(OFFSET($P463,0,AG$13),15-13*ORÇAMENTO!$AF$7)*OFFSET(ORÇAMENTO!$W$15,ROW(AG463)-ROW(AG$15),0),15-13*ORÇAMENTO!$AF$11)),0)</f>
        <v>0</v>
      </c>
      <c r="AH463" s="545">
        <f ca="1">IF(AND($D463="Serviço",AH$12&lt;&gt;0,$H463&gt;0,OR(AUTOEVENTO&lt;&gt;"manual",$M463&lt;&gt;1)),
IF(Import.TipoArredondamento&lt;&gt;"TransfereGOV",
ROUND(OFFSET($P463,0,AH$13),15-13*ORÇAMENTO!$AF$7)/$H463*OFFSET(ORÇAMENTO!$X$15,ROW(AH463)-ROW(AH$15),0),
ROUND(ROUND(OFFSET($P463,0,AH$13),15-13*ORÇAMENTO!$AF$7)*OFFSET(ORÇAMENTO!$W$15,ROW(AH463)-ROW(AH$15),0),15-13*ORÇAMENTO!$AF$11)),0)</f>
        <v>0</v>
      </c>
      <c r="AI463" s="545">
        <f ca="1">IF(AND($D463="Serviço",AI$12&lt;&gt;0,$H463&gt;0,OR(AUTOEVENTO&lt;&gt;"manual",$M463&lt;&gt;1)),
IF(Import.TipoArredondamento&lt;&gt;"TransfereGOV",
ROUND(OFFSET($P463,0,AI$13),15-13*ORÇAMENTO!$AF$7)/$H463*OFFSET(ORÇAMENTO!$X$15,ROW(AI463)-ROW(AI$15),0),
ROUND(ROUND(OFFSET($P463,0,AI$13),15-13*ORÇAMENTO!$AF$7)*OFFSET(ORÇAMENTO!$W$15,ROW(AI463)-ROW(AI$15),0),15-13*ORÇAMENTO!$AF$11)),0)</f>
        <v>0</v>
      </c>
      <c r="AJ463" s="545">
        <f ca="1">IF(AND($D463="Serviço",AJ$12&lt;&gt;0,$H463&gt;0,OR(AUTOEVENTO&lt;&gt;"manual",$M463&lt;&gt;1)),
IF(Import.TipoArredondamento&lt;&gt;"TransfereGOV",
ROUND(OFFSET($P463,0,AJ$13),15-13*ORÇAMENTO!$AF$7)/$H463*OFFSET(ORÇAMENTO!$X$15,ROW(AJ463)-ROW(AJ$15),0),
ROUND(ROUND(OFFSET($P463,0,AJ$13),15-13*ORÇAMENTO!$AF$7)*OFFSET(ORÇAMENTO!$W$15,ROW(AJ463)-ROW(AJ$15),0),15-13*ORÇAMENTO!$AF$11)),0)</f>
        <v>0</v>
      </c>
      <c r="AK463" s="546">
        <f ca="1">IF(AND($D463="Serviço",AK$12&lt;&gt;0,$H463&gt;0,OR(AUTOEVENTO&lt;&gt;"manual",$M463&lt;&gt;1)),
IF(Import.TipoArredondamento&lt;&gt;"TransfereGOV",
ROUND(OFFSET($P463,0,AK$13),15-13*ORÇAMENTO!$AF$7)/$H463*OFFSET(ORÇAMENTO!$X$15,ROW(AK463)-ROW(AK$15),0),
ROUND(ROUND(OFFSET($P463,0,AK$13),15-13*ORÇAMENTO!$AF$7)*OFFSET(ORÇAMENTO!$W$15,ROW(AK463)-ROW(AK$15),0),15-13*ORÇAMENTO!$AF$11)),0)</f>
        <v>0</v>
      </c>
      <c r="AM463" s="181">
        <f ca="1">IF($D463&lt;&gt;"Serviço",0,IF(AND(AUTOEVENTO="Manual",$M463=1),0,IF(OFFSET(CRONOPLE!$F$14,$M463,AM$13)="",10^12,OFFSET(CRONOPLE!$F$14,$M463,AM$13))))</f>
        <v>1000000000000</v>
      </c>
      <c r="AN463" s="181">
        <f ca="1">IF($D463&lt;&gt;"Serviço",0,IF(AND(AUTOEVENTO="Manual",$M463=1),0,IF(OFFSET(CRONOPLE!$F$14,$M463,AN$13)="",10^12,OFFSET(CRONOPLE!$F$14,$M463,AN$13))))</f>
        <v>1000000000000</v>
      </c>
      <c r="AO463" s="181">
        <f ca="1">IF($D463&lt;&gt;"Serviço",0,IF(AND(AUTOEVENTO="Manual",$M463=1),0,IF(OFFSET(CRONOPLE!$F$14,$M463,AO$13)="",10^12,OFFSET(CRONOPLE!$F$14,$M463,AO$13))))</f>
        <v>1000000000000</v>
      </c>
      <c r="AP463" s="181">
        <f ca="1">IF($D463&lt;&gt;"Serviço",0,IF(AND(AUTOEVENTO="Manual",$M463=1),0,IF(OFFSET(CRONOPLE!$F$14,$M463,AP$13)="",10^12,OFFSET(CRONOPLE!$F$14,$M463,AP$13))))</f>
        <v>1000000000000</v>
      </c>
      <c r="AQ463" s="181">
        <f ca="1">IF($D463&lt;&gt;"Serviço",0,IF(AND(AUTOEVENTO="Manual",$M463=1),0,IF(OFFSET(CRONOPLE!$F$14,$M463,AQ$13)="",10^12,OFFSET(CRONOPLE!$F$14,$M463,AQ$13))))</f>
        <v>1000000000000</v>
      </c>
      <c r="AR463" s="181">
        <f ca="1">IF($D463&lt;&gt;"Serviço",0,IF(AND(AUTOEVENTO="Manual",$M463=1),0,IF(OFFSET(CRONOPLE!$F$14,$M463,AR$13)="",10^12,OFFSET(CRONOPLE!$F$14,$M463,AR$13))))</f>
        <v>1000000000000</v>
      </c>
      <c r="AS463" s="181">
        <f ca="1">IF($D463&lt;&gt;"Serviço",0,IF(AND(AUTOEVENTO="Manual",$M463=1),0,IF(OFFSET(CRONOPLE!$F$14,$M463,AS$13)="",10^12,OFFSET(CRONOPLE!$F$14,$M463,AS$13))))</f>
        <v>1000000000000</v>
      </c>
      <c r="AT463" s="181">
        <f ca="1">IF($D463&lt;&gt;"Serviço",0,IF(AND(AUTOEVENTO="Manual",$M463=1),0,IF(OFFSET(CRONOPLE!$F$14,$M463,AT$13)="",10^12,OFFSET(CRONOPLE!$F$14,$M463,AT$13))))</f>
        <v>1000000000000</v>
      </c>
      <c r="AU463" s="181">
        <f ca="1">IF($D463&lt;&gt;"Serviço",0,IF(AND(AUTOEVENTO="Manual",$M463=1),0,IF(OFFSET(CRONOPLE!$F$14,$M463,AU$13)="",10^12,OFFSET(CRONOPLE!$F$14,$M463,AU$13))))</f>
        <v>1000000000000</v>
      </c>
      <c r="AV463" s="181">
        <f ca="1">IF($D463&lt;&gt;"Serviço",0,IF(AND(AUTOEVENTO="Manual",$M463=1),0,IF(OFFSET(CRONOPLE!$F$14,$M463,AV$13)="",10^12,OFFSET(CRONOPLE!$F$14,$M463,AV$13))))</f>
        <v>1000000000000</v>
      </c>
      <c r="AX463" s="182">
        <f ca="1">IF($D463&lt;&gt;"Serviço",0,IF(OR(AND(AUTOEVENTO="Manual",$M463=1),$M463&gt;(ROW(PLE.lastrow)-ROW(PLE.firstrow))),0,IF(OFFSET(PLE!$G$14,$M463,AX$13)="",10^12,OFFSET(PLE!$G$14,$M463,AX$13))))</f>
        <v>1000000000000</v>
      </c>
      <c r="AY463" s="182">
        <f ca="1">IF($D463&lt;&gt;"Serviço",0,IF(OR(AND(AUTOEVENTO="Manual",$M463=1),$M463&gt;(ROW(PLE.lastrow)-ROW(PLE.firstrow))),0,IF(OFFSET(PLE!$G$14,$M463,AY$13)="",10^12,OFFSET(PLE!$G$14,$M463,AY$13))))</f>
        <v>1000000000000</v>
      </c>
      <c r="AZ463" s="182">
        <f ca="1">IF($D463&lt;&gt;"Serviço",0,IF(OR(AND(AUTOEVENTO="Manual",$M463=1),$M463&gt;(ROW(PLE.lastrow)-ROW(PLE.firstrow))),0,IF(OFFSET(PLE!$G$14,$M463,AZ$13)="",10^12,OFFSET(PLE!$G$14,$M463,AZ$13))))</f>
        <v>1000000000000</v>
      </c>
      <c r="BA463" s="182">
        <f ca="1">IF($D463&lt;&gt;"Serviço",0,IF(OR(AND(AUTOEVENTO="Manual",$M463=1),$M463&gt;(ROW(PLE.lastrow)-ROW(PLE.firstrow))),0,IF(OFFSET(PLE!$G$14,$M463,BA$13)="",10^12,OFFSET(PLE!$G$14,$M463,BA$13))))</f>
        <v>1000000000000</v>
      </c>
      <c r="BB463" s="182">
        <f ca="1">IF($D463&lt;&gt;"Serviço",0,IF(OR(AND(AUTOEVENTO="Manual",$M463=1),$M463&gt;(ROW(PLE.lastrow)-ROW(PLE.firstrow))),0,IF(OFFSET(PLE!$G$14,$M463,BB$13)="",10^12,OFFSET(PLE!$G$14,$M463,BB$13))))</f>
        <v>1000000000000</v>
      </c>
      <c r="BC463" s="182">
        <f ca="1">IF($D463&lt;&gt;"Serviço",0,IF(OR(AND(AUTOEVENTO="Manual",$M463=1),$M463&gt;(ROW(PLE.lastrow)-ROW(PLE.firstrow))),0,IF(OFFSET(PLE!$G$14,$M463,BC$13)="",10^12,OFFSET(PLE!$G$14,$M463,BC$13))))</f>
        <v>1000000000000</v>
      </c>
      <c r="BD463" s="182">
        <f ca="1">IF($D463&lt;&gt;"Serviço",0,IF(OR(AND(AUTOEVENTO="Manual",$M463=1),$M463&gt;(ROW(PLE.lastrow)-ROW(PLE.firstrow))),0,IF(OFFSET(PLE!$G$14,$M463,BD$13)="",10^12,OFFSET(PLE!$G$14,$M463,BD$13))))</f>
        <v>1000000000000</v>
      </c>
      <c r="BE463" s="182">
        <f ca="1">IF($D463&lt;&gt;"Serviço",0,IF(OR(AND(AUTOEVENTO="Manual",$M463=1),$M463&gt;(ROW(PLE.lastrow)-ROW(PLE.firstrow))),0,IF(OFFSET(PLE!$G$14,$M463,BE$13)="",10^12,OFFSET(PLE!$G$14,$M463,BE$13))))</f>
        <v>1000000000000</v>
      </c>
      <c r="BF463" s="182">
        <f ca="1">IF($D463&lt;&gt;"Serviço",0,IF(OR(AND(AUTOEVENTO="Manual",$M463=1),$M463&gt;(ROW(PLE.lastrow)-ROW(PLE.firstrow))),0,IF(OFFSET(PLE!$G$14,$M463,BF$13)="",10^12,OFFSET(PLE!$G$14,$M463,BF$13))))</f>
        <v>1000000000000</v>
      </c>
      <c r="BG463" s="182">
        <f ca="1">IF($D463&lt;&gt;"Serviço",0,IF(OR(AND(AUTOEVENTO="Manual",$M463=1),$M463&gt;(ROW(PLE.lastrow)-ROW(PLE.firstrow))),0,IF(OFFSET(PLE!$G$14,$M463,BG$13)="",10^12,OFFSET(PLE!$G$14,$M463,BG$13))))</f>
        <v>1000000000000</v>
      </c>
    </row>
    <row r="464" spans="1:59" ht="38.25" x14ac:dyDescent="0.2">
      <c r="A464" s="7" t="str">
        <f t="shared" ca="1" si="14"/>
        <v>411</v>
      </c>
      <c r="B464" s="7" t="str">
        <f ca="1">OFFSET(ORÇAMENTO!C$15,ROW(B464)-ROW(B$15),0)</f>
        <v>S</v>
      </c>
      <c r="C464" s="7" t="str">
        <f ca="1">OFFSET(ORÇAMENTO!L$15,ROW(C464)-ROW(C$15),0)</f>
        <v/>
      </c>
      <c r="D464" s="118" t="str">
        <f ca="1">OFFSET(ORÇAMENTO!N$15,ROW(D464)-ROW(D$15),0)</f>
        <v>Serviço</v>
      </c>
      <c r="E464" s="119" t="str">
        <f ca="1">OFFSET(ORÇAMENTO!O$15,ROW(E464)-ROW(E$15),0)</f>
        <v>-</v>
      </c>
      <c r="F464" s="172" t="str">
        <f ca="1">OFFSET(ORÇAMENTO!R$15,ROW(F464)-ROW(F$15),0)</f>
        <v>(abra o arquivo 'Referência 02-2025.xlsm)</v>
      </c>
      <c r="G464" s="173" t="str">
        <f ca="1">IF($D464&lt;&gt;"Serviço","",OFFSET(ORÇAMENTO!S$15,ROW(G464)-ROW(G$15),0))</f>
        <v>-</v>
      </c>
      <c r="H464" s="124">
        <f ca="1">IF($D464&lt;&gt;"Serviço",0,IF(ACOMPANHAMENTO="BM",ROUND(OFFSET(ORÇAMENTO!AJ$15,ROW(H464)-ROW(H$15),0),15-13*ORÇAMENTO!$AF$7),SUMPRODUCT(($Q$12:$AA$12&lt;&gt;"")*ROUND($Q464:$AA464,15-13*ORÇAMENTO!$AF$7))))</f>
        <v>1</v>
      </c>
      <c r="I464" s="561" t="s">
        <v>890</v>
      </c>
      <c r="K464" s="174"/>
      <c r="L464" s="175" t="s">
        <v>255</v>
      </c>
      <c r="M464" s="176">
        <f ca="1">IF($D464&lt;&gt;"Serviço","",IF(AUTOEVENTO="manual",$A464,IF(ISERROR(MATCH($A464,$A$15:OFFSET($A464,-1,0),0)),MAX($M$15:OFFSET(M464,-1,0))+1,INDEX($M$15:OFFSET(M464,-1,0),MATCH($A464,$A$15:OFFSET($A464,-1,0),0)))))</f>
        <v>17</v>
      </c>
      <c r="N464" s="177" t="str">
        <f ca="1">IF($D464&lt;&gt;"Serviço","",IF(AUTOEVENTO="Manual",IF($A464=0,"&lt;-- defina o número do agrupador",OFFSET(EVENTOS!$D$14,$A464,0)),OFFSET($F$15,$A464,0)))</f>
        <v>SISTEMA DE PROTEÇÃO CONTRA INCÊNDIO</v>
      </c>
      <c r="O464" s="178"/>
      <c r="Q464" s="178"/>
      <c r="R464" s="179"/>
      <c r="S464" s="179"/>
      <c r="T464" s="179"/>
      <c r="U464" s="179"/>
      <c r="V464" s="179"/>
      <c r="W464" s="179"/>
      <c r="X464" s="179"/>
      <c r="Y464" s="179"/>
      <c r="Z464" s="180"/>
      <c r="AB464" s="544">
        <f ca="1">IF(AND($D464="Serviço",AB$12&lt;&gt;0,$H464&gt;0,OR(AUTOEVENTO&lt;&gt;"manual",$M464&lt;&gt;1)),
IF(Import.TipoArredondamento&lt;&gt;"TransfereGOV",
ROUND(OFFSET($P464,0,AB$13),15-13*ORÇAMENTO!$AF$7)/$H464*OFFSET(ORÇAMENTO!$X$15,ROW(AB464)-ROW(AB$15),0),
ROUND(ROUND(OFFSET($P464,0,AB$13),15-13*ORÇAMENTO!$AF$7)*OFFSET(ORÇAMENTO!$W$15,ROW(AB464)-ROW(AB$15),0),15-13*ORÇAMENTO!$AF$11)),0)</f>
        <v>0</v>
      </c>
      <c r="AC464" s="545">
        <f ca="1">IF(AND($D464="Serviço",AC$12&lt;&gt;0,$H464&gt;0,OR(AUTOEVENTO&lt;&gt;"manual",$M464&lt;&gt;1)),
IF(Import.TipoArredondamento&lt;&gt;"TransfereGOV",
ROUND(OFFSET($P464,0,AC$13),15-13*ORÇAMENTO!$AF$7)/$H464*OFFSET(ORÇAMENTO!$X$15,ROW(AC464)-ROW(AC$15),0),
ROUND(ROUND(OFFSET($P464,0,AC$13),15-13*ORÇAMENTO!$AF$7)*OFFSET(ORÇAMENTO!$W$15,ROW(AC464)-ROW(AC$15),0),15-13*ORÇAMENTO!$AF$11)),0)</f>
        <v>0</v>
      </c>
      <c r="AD464" s="545">
        <f ca="1">IF(AND($D464="Serviço",AD$12&lt;&gt;0,$H464&gt;0,OR(AUTOEVENTO&lt;&gt;"manual",$M464&lt;&gt;1)),
IF(Import.TipoArredondamento&lt;&gt;"TransfereGOV",
ROUND(OFFSET($P464,0,AD$13),15-13*ORÇAMENTO!$AF$7)/$H464*OFFSET(ORÇAMENTO!$X$15,ROW(AD464)-ROW(AD$15),0),
ROUND(ROUND(OFFSET($P464,0,AD$13),15-13*ORÇAMENTO!$AF$7)*OFFSET(ORÇAMENTO!$W$15,ROW(AD464)-ROW(AD$15),0),15-13*ORÇAMENTO!$AF$11)),0)</f>
        <v>0</v>
      </c>
      <c r="AE464" s="545">
        <f ca="1">IF(AND($D464="Serviço",AE$12&lt;&gt;0,$H464&gt;0,OR(AUTOEVENTO&lt;&gt;"manual",$M464&lt;&gt;1)),
IF(Import.TipoArredondamento&lt;&gt;"TransfereGOV",
ROUND(OFFSET($P464,0,AE$13),15-13*ORÇAMENTO!$AF$7)/$H464*OFFSET(ORÇAMENTO!$X$15,ROW(AE464)-ROW(AE$15),0),
ROUND(ROUND(OFFSET($P464,0,AE$13),15-13*ORÇAMENTO!$AF$7)*OFFSET(ORÇAMENTO!$W$15,ROW(AE464)-ROW(AE$15),0),15-13*ORÇAMENTO!$AF$11)),0)</f>
        <v>0</v>
      </c>
      <c r="AF464" s="545">
        <f ca="1">IF(AND($D464="Serviço",AF$12&lt;&gt;0,$H464&gt;0,OR(AUTOEVENTO&lt;&gt;"manual",$M464&lt;&gt;1)),
IF(Import.TipoArredondamento&lt;&gt;"TransfereGOV",
ROUND(OFFSET($P464,0,AF$13),15-13*ORÇAMENTO!$AF$7)/$H464*OFFSET(ORÇAMENTO!$X$15,ROW(AF464)-ROW(AF$15),0),
ROUND(ROUND(OFFSET($P464,0,AF$13),15-13*ORÇAMENTO!$AF$7)*OFFSET(ORÇAMENTO!$W$15,ROW(AF464)-ROW(AF$15),0),15-13*ORÇAMENTO!$AF$11)),0)</f>
        <v>0</v>
      </c>
      <c r="AG464" s="545">
        <f ca="1">IF(AND($D464="Serviço",AG$12&lt;&gt;0,$H464&gt;0,OR(AUTOEVENTO&lt;&gt;"manual",$M464&lt;&gt;1)),
IF(Import.TipoArredondamento&lt;&gt;"TransfereGOV",
ROUND(OFFSET($P464,0,AG$13),15-13*ORÇAMENTO!$AF$7)/$H464*OFFSET(ORÇAMENTO!$X$15,ROW(AG464)-ROW(AG$15),0),
ROUND(ROUND(OFFSET($P464,0,AG$13),15-13*ORÇAMENTO!$AF$7)*OFFSET(ORÇAMENTO!$W$15,ROW(AG464)-ROW(AG$15),0),15-13*ORÇAMENTO!$AF$11)),0)</f>
        <v>0</v>
      </c>
      <c r="AH464" s="545">
        <f ca="1">IF(AND($D464="Serviço",AH$12&lt;&gt;0,$H464&gt;0,OR(AUTOEVENTO&lt;&gt;"manual",$M464&lt;&gt;1)),
IF(Import.TipoArredondamento&lt;&gt;"TransfereGOV",
ROUND(OFFSET($P464,0,AH$13),15-13*ORÇAMENTO!$AF$7)/$H464*OFFSET(ORÇAMENTO!$X$15,ROW(AH464)-ROW(AH$15),0),
ROUND(ROUND(OFFSET($P464,0,AH$13),15-13*ORÇAMENTO!$AF$7)*OFFSET(ORÇAMENTO!$W$15,ROW(AH464)-ROW(AH$15),0),15-13*ORÇAMENTO!$AF$11)),0)</f>
        <v>0</v>
      </c>
      <c r="AI464" s="545">
        <f ca="1">IF(AND($D464="Serviço",AI$12&lt;&gt;0,$H464&gt;0,OR(AUTOEVENTO&lt;&gt;"manual",$M464&lt;&gt;1)),
IF(Import.TipoArredondamento&lt;&gt;"TransfereGOV",
ROUND(OFFSET($P464,0,AI$13),15-13*ORÇAMENTO!$AF$7)/$H464*OFFSET(ORÇAMENTO!$X$15,ROW(AI464)-ROW(AI$15),0),
ROUND(ROUND(OFFSET($P464,0,AI$13),15-13*ORÇAMENTO!$AF$7)*OFFSET(ORÇAMENTO!$W$15,ROW(AI464)-ROW(AI$15),0),15-13*ORÇAMENTO!$AF$11)),0)</f>
        <v>0</v>
      </c>
      <c r="AJ464" s="545">
        <f ca="1">IF(AND($D464="Serviço",AJ$12&lt;&gt;0,$H464&gt;0,OR(AUTOEVENTO&lt;&gt;"manual",$M464&lt;&gt;1)),
IF(Import.TipoArredondamento&lt;&gt;"TransfereGOV",
ROUND(OFFSET($P464,0,AJ$13),15-13*ORÇAMENTO!$AF$7)/$H464*OFFSET(ORÇAMENTO!$X$15,ROW(AJ464)-ROW(AJ$15),0),
ROUND(ROUND(OFFSET($P464,0,AJ$13),15-13*ORÇAMENTO!$AF$7)*OFFSET(ORÇAMENTO!$W$15,ROW(AJ464)-ROW(AJ$15),0),15-13*ORÇAMENTO!$AF$11)),0)</f>
        <v>0</v>
      </c>
      <c r="AK464" s="546">
        <f ca="1">IF(AND($D464="Serviço",AK$12&lt;&gt;0,$H464&gt;0,OR(AUTOEVENTO&lt;&gt;"manual",$M464&lt;&gt;1)),
IF(Import.TipoArredondamento&lt;&gt;"TransfereGOV",
ROUND(OFFSET($P464,0,AK$13),15-13*ORÇAMENTO!$AF$7)/$H464*OFFSET(ORÇAMENTO!$X$15,ROW(AK464)-ROW(AK$15),0),
ROUND(ROUND(OFFSET($P464,0,AK$13),15-13*ORÇAMENTO!$AF$7)*OFFSET(ORÇAMENTO!$W$15,ROW(AK464)-ROW(AK$15),0),15-13*ORÇAMENTO!$AF$11)),0)</f>
        <v>0</v>
      </c>
      <c r="AM464" s="181">
        <f ca="1">IF($D464&lt;&gt;"Serviço",0,IF(AND(AUTOEVENTO="Manual",$M464=1),0,IF(OFFSET(CRONOPLE!$F$14,$M464,AM$13)="",10^12,OFFSET(CRONOPLE!$F$14,$M464,AM$13))))</f>
        <v>1000000000000</v>
      </c>
      <c r="AN464" s="181">
        <f ca="1">IF($D464&lt;&gt;"Serviço",0,IF(AND(AUTOEVENTO="Manual",$M464=1),0,IF(OFFSET(CRONOPLE!$F$14,$M464,AN$13)="",10^12,OFFSET(CRONOPLE!$F$14,$M464,AN$13))))</f>
        <v>1000000000000</v>
      </c>
      <c r="AO464" s="181">
        <f ca="1">IF($D464&lt;&gt;"Serviço",0,IF(AND(AUTOEVENTO="Manual",$M464=1),0,IF(OFFSET(CRONOPLE!$F$14,$M464,AO$13)="",10^12,OFFSET(CRONOPLE!$F$14,$M464,AO$13))))</f>
        <v>1000000000000</v>
      </c>
      <c r="AP464" s="181">
        <f ca="1">IF($D464&lt;&gt;"Serviço",0,IF(AND(AUTOEVENTO="Manual",$M464=1),0,IF(OFFSET(CRONOPLE!$F$14,$M464,AP$13)="",10^12,OFFSET(CRONOPLE!$F$14,$M464,AP$13))))</f>
        <v>1000000000000</v>
      </c>
      <c r="AQ464" s="181">
        <f ca="1">IF($D464&lt;&gt;"Serviço",0,IF(AND(AUTOEVENTO="Manual",$M464=1),0,IF(OFFSET(CRONOPLE!$F$14,$M464,AQ$13)="",10^12,OFFSET(CRONOPLE!$F$14,$M464,AQ$13))))</f>
        <v>1000000000000</v>
      </c>
      <c r="AR464" s="181">
        <f ca="1">IF($D464&lt;&gt;"Serviço",0,IF(AND(AUTOEVENTO="Manual",$M464=1),0,IF(OFFSET(CRONOPLE!$F$14,$M464,AR$13)="",10^12,OFFSET(CRONOPLE!$F$14,$M464,AR$13))))</f>
        <v>1000000000000</v>
      </c>
      <c r="AS464" s="181">
        <f ca="1">IF($D464&lt;&gt;"Serviço",0,IF(AND(AUTOEVENTO="Manual",$M464=1),0,IF(OFFSET(CRONOPLE!$F$14,$M464,AS$13)="",10^12,OFFSET(CRONOPLE!$F$14,$M464,AS$13))))</f>
        <v>1000000000000</v>
      </c>
      <c r="AT464" s="181">
        <f ca="1">IF($D464&lt;&gt;"Serviço",0,IF(AND(AUTOEVENTO="Manual",$M464=1),0,IF(OFFSET(CRONOPLE!$F$14,$M464,AT$13)="",10^12,OFFSET(CRONOPLE!$F$14,$M464,AT$13))))</f>
        <v>1000000000000</v>
      </c>
      <c r="AU464" s="181">
        <f ca="1">IF($D464&lt;&gt;"Serviço",0,IF(AND(AUTOEVENTO="Manual",$M464=1),0,IF(OFFSET(CRONOPLE!$F$14,$M464,AU$13)="",10^12,OFFSET(CRONOPLE!$F$14,$M464,AU$13))))</f>
        <v>1000000000000</v>
      </c>
      <c r="AV464" s="181">
        <f ca="1">IF($D464&lt;&gt;"Serviço",0,IF(AND(AUTOEVENTO="Manual",$M464=1),0,IF(OFFSET(CRONOPLE!$F$14,$M464,AV$13)="",10^12,OFFSET(CRONOPLE!$F$14,$M464,AV$13))))</f>
        <v>1000000000000</v>
      </c>
      <c r="AX464" s="182">
        <f ca="1">IF($D464&lt;&gt;"Serviço",0,IF(OR(AND(AUTOEVENTO="Manual",$M464=1),$M464&gt;(ROW(PLE.lastrow)-ROW(PLE.firstrow))),0,IF(OFFSET(PLE!$G$14,$M464,AX$13)="",10^12,OFFSET(PLE!$G$14,$M464,AX$13))))</f>
        <v>1000000000000</v>
      </c>
      <c r="AY464" s="182">
        <f ca="1">IF($D464&lt;&gt;"Serviço",0,IF(OR(AND(AUTOEVENTO="Manual",$M464=1),$M464&gt;(ROW(PLE.lastrow)-ROW(PLE.firstrow))),0,IF(OFFSET(PLE!$G$14,$M464,AY$13)="",10^12,OFFSET(PLE!$G$14,$M464,AY$13))))</f>
        <v>1000000000000</v>
      </c>
      <c r="AZ464" s="182">
        <f ca="1">IF($D464&lt;&gt;"Serviço",0,IF(OR(AND(AUTOEVENTO="Manual",$M464=1),$M464&gt;(ROW(PLE.lastrow)-ROW(PLE.firstrow))),0,IF(OFFSET(PLE!$G$14,$M464,AZ$13)="",10^12,OFFSET(PLE!$G$14,$M464,AZ$13))))</f>
        <v>1000000000000</v>
      </c>
      <c r="BA464" s="182">
        <f ca="1">IF($D464&lt;&gt;"Serviço",0,IF(OR(AND(AUTOEVENTO="Manual",$M464=1),$M464&gt;(ROW(PLE.lastrow)-ROW(PLE.firstrow))),0,IF(OFFSET(PLE!$G$14,$M464,BA$13)="",10^12,OFFSET(PLE!$G$14,$M464,BA$13))))</f>
        <v>1000000000000</v>
      </c>
      <c r="BB464" s="182">
        <f ca="1">IF($D464&lt;&gt;"Serviço",0,IF(OR(AND(AUTOEVENTO="Manual",$M464=1),$M464&gt;(ROW(PLE.lastrow)-ROW(PLE.firstrow))),0,IF(OFFSET(PLE!$G$14,$M464,BB$13)="",10^12,OFFSET(PLE!$G$14,$M464,BB$13))))</f>
        <v>1000000000000</v>
      </c>
      <c r="BC464" s="182">
        <f ca="1">IF($D464&lt;&gt;"Serviço",0,IF(OR(AND(AUTOEVENTO="Manual",$M464=1),$M464&gt;(ROW(PLE.lastrow)-ROW(PLE.firstrow))),0,IF(OFFSET(PLE!$G$14,$M464,BC$13)="",10^12,OFFSET(PLE!$G$14,$M464,BC$13))))</f>
        <v>1000000000000</v>
      </c>
      <c r="BD464" s="182">
        <f ca="1">IF($D464&lt;&gt;"Serviço",0,IF(OR(AND(AUTOEVENTO="Manual",$M464=1),$M464&gt;(ROW(PLE.lastrow)-ROW(PLE.firstrow))),0,IF(OFFSET(PLE!$G$14,$M464,BD$13)="",10^12,OFFSET(PLE!$G$14,$M464,BD$13))))</f>
        <v>1000000000000</v>
      </c>
      <c r="BE464" s="182">
        <f ca="1">IF($D464&lt;&gt;"Serviço",0,IF(OR(AND(AUTOEVENTO="Manual",$M464=1),$M464&gt;(ROW(PLE.lastrow)-ROW(PLE.firstrow))),0,IF(OFFSET(PLE!$G$14,$M464,BE$13)="",10^12,OFFSET(PLE!$G$14,$M464,BE$13))))</f>
        <v>1000000000000</v>
      </c>
      <c r="BF464" s="182">
        <f ca="1">IF($D464&lt;&gt;"Serviço",0,IF(OR(AND(AUTOEVENTO="Manual",$M464=1),$M464&gt;(ROW(PLE.lastrow)-ROW(PLE.firstrow))),0,IF(OFFSET(PLE!$G$14,$M464,BF$13)="",10^12,OFFSET(PLE!$G$14,$M464,BF$13))))</f>
        <v>1000000000000</v>
      </c>
      <c r="BG464" s="182">
        <f ca="1">IF($D464&lt;&gt;"Serviço",0,IF(OR(AND(AUTOEVENTO="Manual",$M464=1),$M464&gt;(ROW(PLE.lastrow)-ROW(PLE.firstrow))),0,IF(OFFSET(PLE!$G$14,$M464,BG$13)="",10^12,OFFSET(PLE!$G$14,$M464,BG$13))))</f>
        <v>1000000000000</v>
      </c>
    </row>
    <row r="465" spans="1:59" ht="25.5" x14ac:dyDescent="0.2">
      <c r="A465" s="7" t="str">
        <f t="shared" ca="1" si="14"/>
        <v>411</v>
      </c>
      <c r="B465" s="7" t="str">
        <f ca="1">OFFSET(ORÇAMENTO!C$15,ROW(B465)-ROW(B$15),0)</f>
        <v>S</v>
      </c>
      <c r="C465" s="7" t="str">
        <f ca="1">OFFSET(ORÇAMENTO!L$15,ROW(C465)-ROW(C$15),0)</f>
        <v/>
      </c>
      <c r="D465" s="118" t="str">
        <f ca="1">OFFSET(ORÇAMENTO!N$15,ROW(D465)-ROW(D$15),0)</f>
        <v>Serviço</v>
      </c>
      <c r="E465" s="119" t="str">
        <f ca="1">OFFSET(ORÇAMENTO!O$15,ROW(E465)-ROW(E$15),0)</f>
        <v>-</v>
      </c>
      <c r="F465" s="172" t="str">
        <f ca="1">OFFSET(ORÇAMENTO!R$15,ROW(F465)-ROW(F$15),0)</f>
        <v>(abra o arquivo 'Referência 02-2025.xlsm)</v>
      </c>
      <c r="G465" s="173" t="str">
        <f ca="1">IF($D465&lt;&gt;"Serviço","",OFFSET(ORÇAMENTO!S$15,ROW(G465)-ROW(G$15),0))</f>
        <v>-</v>
      </c>
      <c r="H465" s="124">
        <f ca="1">IF($D465&lt;&gt;"Serviço",0,IF(ACOMPANHAMENTO="BM",ROUND(OFFSET(ORÇAMENTO!AJ$15,ROW(H465)-ROW(H$15),0),15-13*ORÇAMENTO!$AF$7),SUMPRODUCT(($Q$12:$AA$12&lt;&gt;"")*ROUND($Q465:$AA465,15-13*ORÇAMENTO!$AF$7))))</f>
        <v>1</v>
      </c>
      <c r="I465" s="561" t="s">
        <v>890</v>
      </c>
      <c r="K465" s="174"/>
      <c r="L465" s="175" t="s">
        <v>255</v>
      </c>
      <c r="M465" s="176">
        <f ca="1">IF($D465&lt;&gt;"Serviço","",IF(AUTOEVENTO="manual",$A465,IF(ISERROR(MATCH($A465,$A$15:OFFSET($A465,-1,0),0)),MAX($M$15:OFFSET(M465,-1,0))+1,INDEX($M$15:OFFSET(M465,-1,0),MATCH($A465,$A$15:OFFSET($A465,-1,0),0)))))</f>
        <v>17</v>
      </c>
      <c r="N465" s="177" t="str">
        <f ca="1">IF($D465&lt;&gt;"Serviço","",IF(AUTOEVENTO="Manual",IF($A465=0,"&lt;-- defina o número do agrupador",OFFSET(EVENTOS!$D$14,$A465,0)),OFFSET($F$15,$A465,0)))</f>
        <v>SISTEMA DE PROTEÇÃO CONTRA INCÊNDIO</v>
      </c>
      <c r="O465" s="178"/>
      <c r="Q465" s="178"/>
      <c r="R465" s="179"/>
      <c r="S465" s="179"/>
      <c r="T465" s="179"/>
      <c r="U465" s="179"/>
      <c r="V465" s="179"/>
      <c r="W465" s="179"/>
      <c r="X465" s="179"/>
      <c r="Y465" s="179"/>
      <c r="Z465" s="180"/>
      <c r="AB465" s="544">
        <f ca="1">IF(AND($D465="Serviço",AB$12&lt;&gt;0,$H465&gt;0,OR(AUTOEVENTO&lt;&gt;"manual",$M465&lt;&gt;1)),
IF(Import.TipoArredondamento&lt;&gt;"TransfereGOV",
ROUND(OFFSET($P465,0,AB$13),15-13*ORÇAMENTO!$AF$7)/$H465*OFFSET(ORÇAMENTO!$X$15,ROW(AB465)-ROW(AB$15),0),
ROUND(ROUND(OFFSET($P465,0,AB$13),15-13*ORÇAMENTO!$AF$7)*OFFSET(ORÇAMENTO!$W$15,ROW(AB465)-ROW(AB$15),0),15-13*ORÇAMENTO!$AF$11)),0)</f>
        <v>0</v>
      </c>
      <c r="AC465" s="545">
        <f ca="1">IF(AND($D465="Serviço",AC$12&lt;&gt;0,$H465&gt;0,OR(AUTOEVENTO&lt;&gt;"manual",$M465&lt;&gt;1)),
IF(Import.TipoArredondamento&lt;&gt;"TransfereGOV",
ROUND(OFFSET($P465,0,AC$13),15-13*ORÇAMENTO!$AF$7)/$H465*OFFSET(ORÇAMENTO!$X$15,ROW(AC465)-ROW(AC$15),0),
ROUND(ROUND(OFFSET($P465,0,AC$13),15-13*ORÇAMENTO!$AF$7)*OFFSET(ORÇAMENTO!$W$15,ROW(AC465)-ROW(AC$15),0),15-13*ORÇAMENTO!$AF$11)),0)</f>
        <v>0</v>
      </c>
      <c r="AD465" s="545">
        <f ca="1">IF(AND($D465="Serviço",AD$12&lt;&gt;0,$H465&gt;0,OR(AUTOEVENTO&lt;&gt;"manual",$M465&lt;&gt;1)),
IF(Import.TipoArredondamento&lt;&gt;"TransfereGOV",
ROUND(OFFSET($P465,0,AD$13),15-13*ORÇAMENTO!$AF$7)/$H465*OFFSET(ORÇAMENTO!$X$15,ROW(AD465)-ROW(AD$15),0),
ROUND(ROUND(OFFSET($P465,0,AD$13),15-13*ORÇAMENTO!$AF$7)*OFFSET(ORÇAMENTO!$W$15,ROW(AD465)-ROW(AD$15),0),15-13*ORÇAMENTO!$AF$11)),0)</f>
        <v>0</v>
      </c>
      <c r="AE465" s="545">
        <f ca="1">IF(AND($D465="Serviço",AE$12&lt;&gt;0,$H465&gt;0,OR(AUTOEVENTO&lt;&gt;"manual",$M465&lt;&gt;1)),
IF(Import.TipoArredondamento&lt;&gt;"TransfereGOV",
ROUND(OFFSET($P465,0,AE$13),15-13*ORÇAMENTO!$AF$7)/$H465*OFFSET(ORÇAMENTO!$X$15,ROW(AE465)-ROW(AE$15),0),
ROUND(ROUND(OFFSET($P465,0,AE$13),15-13*ORÇAMENTO!$AF$7)*OFFSET(ORÇAMENTO!$W$15,ROW(AE465)-ROW(AE$15),0),15-13*ORÇAMENTO!$AF$11)),0)</f>
        <v>0</v>
      </c>
      <c r="AF465" s="545">
        <f ca="1">IF(AND($D465="Serviço",AF$12&lt;&gt;0,$H465&gt;0,OR(AUTOEVENTO&lt;&gt;"manual",$M465&lt;&gt;1)),
IF(Import.TipoArredondamento&lt;&gt;"TransfereGOV",
ROUND(OFFSET($P465,0,AF$13),15-13*ORÇAMENTO!$AF$7)/$H465*OFFSET(ORÇAMENTO!$X$15,ROW(AF465)-ROW(AF$15),0),
ROUND(ROUND(OFFSET($P465,0,AF$13),15-13*ORÇAMENTO!$AF$7)*OFFSET(ORÇAMENTO!$W$15,ROW(AF465)-ROW(AF$15),0),15-13*ORÇAMENTO!$AF$11)),0)</f>
        <v>0</v>
      </c>
      <c r="AG465" s="545">
        <f ca="1">IF(AND($D465="Serviço",AG$12&lt;&gt;0,$H465&gt;0,OR(AUTOEVENTO&lt;&gt;"manual",$M465&lt;&gt;1)),
IF(Import.TipoArredondamento&lt;&gt;"TransfereGOV",
ROUND(OFFSET($P465,0,AG$13),15-13*ORÇAMENTO!$AF$7)/$H465*OFFSET(ORÇAMENTO!$X$15,ROW(AG465)-ROW(AG$15),0),
ROUND(ROUND(OFFSET($P465,0,AG$13),15-13*ORÇAMENTO!$AF$7)*OFFSET(ORÇAMENTO!$W$15,ROW(AG465)-ROW(AG$15),0),15-13*ORÇAMENTO!$AF$11)),0)</f>
        <v>0</v>
      </c>
      <c r="AH465" s="545">
        <f ca="1">IF(AND($D465="Serviço",AH$12&lt;&gt;0,$H465&gt;0,OR(AUTOEVENTO&lt;&gt;"manual",$M465&lt;&gt;1)),
IF(Import.TipoArredondamento&lt;&gt;"TransfereGOV",
ROUND(OFFSET($P465,0,AH$13),15-13*ORÇAMENTO!$AF$7)/$H465*OFFSET(ORÇAMENTO!$X$15,ROW(AH465)-ROW(AH$15),0),
ROUND(ROUND(OFFSET($P465,0,AH$13),15-13*ORÇAMENTO!$AF$7)*OFFSET(ORÇAMENTO!$W$15,ROW(AH465)-ROW(AH$15),0),15-13*ORÇAMENTO!$AF$11)),0)</f>
        <v>0</v>
      </c>
      <c r="AI465" s="545">
        <f ca="1">IF(AND($D465="Serviço",AI$12&lt;&gt;0,$H465&gt;0,OR(AUTOEVENTO&lt;&gt;"manual",$M465&lt;&gt;1)),
IF(Import.TipoArredondamento&lt;&gt;"TransfereGOV",
ROUND(OFFSET($P465,0,AI$13),15-13*ORÇAMENTO!$AF$7)/$H465*OFFSET(ORÇAMENTO!$X$15,ROW(AI465)-ROW(AI$15),0),
ROUND(ROUND(OFFSET($P465,0,AI$13),15-13*ORÇAMENTO!$AF$7)*OFFSET(ORÇAMENTO!$W$15,ROW(AI465)-ROW(AI$15),0),15-13*ORÇAMENTO!$AF$11)),0)</f>
        <v>0</v>
      </c>
      <c r="AJ465" s="545">
        <f ca="1">IF(AND($D465="Serviço",AJ$12&lt;&gt;0,$H465&gt;0,OR(AUTOEVENTO&lt;&gt;"manual",$M465&lt;&gt;1)),
IF(Import.TipoArredondamento&lt;&gt;"TransfereGOV",
ROUND(OFFSET($P465,0,AJ$13),15-13*ORÇAMENTO!$AF$7)/$H465*OFFSET(ORÇAMENTO!$X$15,ROW(AJ465)-ROW(AJ$15),0),
ROUND(ROUND(OFFSET($P465,0,AJ$13),15-13*ORÇAMENTO!$AF$7)*OFFSET(ORÇAMENTO!$W$15,ROW(AJ465)-ROW(AJ$15),0),15-13*ORÇAMENTO!$AF$11)),0)</f>
        <v>0</v>
      </c>
      <c r="AK465" s="546">
        <f ca="1">IF(AND($D465="Serviço",AK$12&lt;&gt;0,$H465&gt;0,OR(AUTOEVENTO&lt;&gt;"manual",$M465&lt;&gt;1)),
IF(Import.TipoArredondamento&lt;&gt;"TransfereGOV",
ROUND(OFFSET($P465,0,AK$13),15-13*ORÇAMENTO!$AF$7)/$H465*OFFSET(ORÇAMENTO!$X$15,ROW(AK465)-ROW(AK$15),0),
ROUND(ROUND(OFFSET($P465,0,AK$13),15-13*ORÇAMENTO!$AF$7)*OFFSET(ORÇAMENTO!$W$15,ROW(AK465)-ROW(AK$15),0),15-13*ORÇAMENTO!$AF$11)),0)</f>
        <v>0</v>
      </c>
      <c r="AM465" s="181">
        <f ca="1">IF($D465&lt;&gt;"Serviço",0,IF(AND(AUTOEVENTO="Manual",$M465=1),0,IF(OFFSET(CRONOPLE!$F$14,$M465,AM$13)="",10^12,OFFSET(CRONOPLE!$F$14,$M465,AM$13))))</f>
        <v>1000000000000</v>
      </c>
      <c r="AN465" s="181">
        <f ca="1">IF($D465&lt;&gt;"Serviço",0,IF(AND(AUTOEVENTO="Manual",$M465=1),0,IF(OFFSET(CRONOPLE!$F$14,$M465,AN$13)="",10^12,OFFSET(CRONOPLE!$F$14,$M465,AN$13))))</f>
        <v>1000000000000</v>
      </c>
      <c r="AO465" s="181">
        <f ca="1">IF($D465&lt;&gt;"Serviço",0,IF(AND(AUTOEVENTO="Manual",$M465=1),0,IF(OFFSET(CRONOPLE!$F$14,$M465,AO$13)="",10^12,OFFSET(CRONOPLE!$F$14,$M465,AO$13))))</f>
        <v>1000000000000</v>
      </c>
      <c r="AP465" s="181">
        <f ca="1">IF($D465&lt;&gt;"Serviço",0,IF(AND(AUTOEVENTO="Manual",$M465=1),0,IF(OFFSET(CRONOPLE!$F$14,$M465,AP$13)="",10^12,OFFSET(CRONOPLE!$F$14,$M465,AP$13))))</f>
        <v>1000000000000</v>
      </c>
      <c r="AQ465" s="181">
        <f ca="1">IF($D465&lt;&gt;"Serviço",0,IF(AND(AUTOEVENTO="Manual",$M465=1),0,IF(OFFSET(CRONOPLE!$F$14,$M465,AQ$13)="",10^12,OFFSET(CRONOPLE!$F$14,$M465,AQ$13))))</f>
        <v>1000000000000</v>
      </c>
      <c r="AR465" s="181">
        <f ca="1">IF($D465&lt;&gt;"Serviço",0,IF(AND(AUTOEVENTO="Manual",$M465=1),0,IF(OFFSET(CRONOPLE!$F$14,$M465,AR$13)="",10^12,OFFSET(CRONOPLE!$F$14,$M465,AR$13))))</f>
        <v>1000000000000</v>
      </c>
      <c r="AS465" s="181">
        <f ca="1">IF($D465&lt;&gt;"Serviço",0,IF(AND(AUTOEVENTO="Manual",$M465=1),0,IF(OFFSET(CRONOPLE!$F$14,$M465,AS$13)="",10^12,OFFSET(CRONOPLE!$F$14,$M465,AS$13))))</f>
        <v>1000000000000</v>
      </c>
      <c r="AT465" s="181">
        <f ca="1">IF($D465&lt;&gt;"Serviço",0,IF(AND(AUTOEVENTO="Manual",$M465=1),0,IF(OFFSET(CRONOPLE!$F$14,$M465,AT$13)="",10^12,OFFSET(CRONOPLE!$F$14,$M465,AT$13))))</f>
        <v>1000000000000</v>
      </c>
      <c r="AU465" s="181">
        <f ca="1">IF($D465&lt;&gt;"Serviço",0,IF(AND(AUTOEVENTO="Manual",$M465=1),0,IF(OFFSET(CRONOPLE!$F$14,$M465,AU$13)="",10^12,OFFSET(CRONOPLE!$F$14,$M465,AU$13))))</f>
        <v>1000000000000</v>
      </c>
      <c r="AV465" s="181">
        <f ca="1">IF($D465&lt;&gt;"Serviço",0,IF(AND(AUTOEVENTO="Manual",$M465=1),0,IF(OFFSET(CRONOPLE!$F$14,$M465,AV$13)="",10^12,OFFSET(CRONOPLE!$F$14,$M465,AV$13))))</f>
        <v>1000000000000</v>
      </c>
      <c r="AX465" s="182">
        <f ca="1">IF($D465&lt;&gt;"Serviço",0,IF(OR(AND(AUTOEVENTO="Manual",$M465=1),$M465&gt;(ROW(PLE.lastrow)-ROW(PLE.firstrow))),0,IF(OFFSET(PLE!$G$14,$M465,AX$13)="",10^12,OFFSET(PLE!$G$14,$M465,AX$13))))</f>
        <v>1000000000000</v>
      </c>
      <c r="AY465" s="182">
        <f ca="1">IF($D465&lt;&gt;"Serviço",0,IF(OR(AND(AUTOEVENTO="Manual",$M465=1),$M465&gt;(ROW(PLE.lastrow)-ROW(PLE.firstrow))),0,IF(OFFSET(PLE!$G$14,$M465,AY$13)="",10^12,OFFSET(PLE!$G$14,$M465,AY$13))))</f>
        <v>1000000000000</v>
      </c>
      <c r="AZ465" s="182">
        <f ca="1">IF($D465&lt;&gt;"Serviço",0,IF(OR(AND(AUTOEVENTO="Manual",$M465=1),$M465&gt;(ROW(PLE.lastrow)-ROW(PLE.firstrow))),0,IF(OFFSET(PLE!$G$14,$M465,AZ$13)="",10^12,OFFSET(PLE!$G$14,$M465,AZ$13))))</f>
        <v>1000000000000</v>
      </c>
      <c r="BA465" s="182">
        <f ca="1">IF($D465&lt;&gt;"Serviço",0,IF(OR(AND(AUTOEVENTO="Manual",$M465=1),$M465&gt;(ROW(PLE.lastrow)-ROW(PLE.firstrow))),0,IF(OFFSET(PLE!$G$14,$M465,BA$13)="",10^12,OFFSET(PLE!$G$14,$M465,BA$13))))</f>
        <v>1000000000000</v>
      </c>
      <c r="BB465" s="182">
        <f ca="1">IF($D465&lt;&gt;"Serviço",0,IF(OR(AND(AUTOEVENTO="Manual",$M465=1),$M465&gt;(ROW(PLE.lastrow)-ROW(PLE.firstrow))),0,IF(OFFSET(PLE!$G$14,$M465,BB$13)="",10^12,OFFSET(PLE!$G$14,$M465,BB$13))))</f>
        <v>1000000000000</v>
      </c>
      <c r="BC465" s="182">
        <f ca="1">IF($D465&lt;&gt;"Serviço",0,IF(OR(AND(AUTOEVENTO="Manual",$M465=1),$M465&gt;(ROW(PLE.lastrow)-ROW(PLE.firstrow))),0,IF(OFFSET(PLE!$G$14,$M465,BC$13)="",10^12,OFFSET(PLE!$G$14,$M465,BC$13))))</f>
        <v>1000000000000</v>
      </c>
      <c r="BD465" s="182">
        <f ca="1">IF($D465&lt;&gt;"Serviço",0,IF(OR(AND(AUTOEVENTO="Manual",$M465=1),$M465&gt;(ROW(PLE.lastrow)-ROW(PLE.firstrow))),0,IF(OFFSET(PLE!$G$14,$M465,BD$13)="",10^12,OFFSET(PLE!$G$14,$M465,BD$13))))</f>
        <v>1000000000000</v>
      </c>
      <c r="BE465" s="182">
        <f ca="1">IF($D465&lt;&gt;"Serviço",0,IF(OR(AND(AUTOEVENTO="Manual",$M465=1),$M465&gt;(ROW(PLE.lastrow)-ROW(PLE.firstrow))),0,IF(OFFSET(PLE!$G$14,$M465,BE$13)="",10^12,OFFSET(PLE!$G$14,$M465,BE$13))))</f>
        <v>1000000000000</v>
      </c>
      <c r="BF465" s="182">
        <f ca="1">IF($D465&lt;&gt;"Serviço",0,IF(OR(AND(AUTOEVENTO="Manual",$M465=1),$M465&gt;(ROW(PLE.lastrow)-ROW(PLE.firstrow))),0,IF(OFFSET(PLE!$G$14,$M465,BF$13)="",10^12,OFFSET(PLE!$G$14,$M465,BF$13))))</f>
        <v>1000000000000</v>
      </c>
      <c r="BG465" s="182">
        <f ca="1">IF($D465&lt;&gt;"Serviço",0,IF(OR(AND(AUTOEVENTO="Manual",$M465=1),$M465&gt;(ROW(PLE.lastrow)-ROW(PLE.firstrow))),0,IF(OFFSET(PLE!$G$14,$M465,BG$13)="",10^12,OFFSET(PLE!$G$14,$M465,BG$13))))</f>
        <v>1000000000000</v>
      </c>
    </row>
    <row r="466" spans="1:59" ht="25.5" x14ac:dyDescent="0.2">
      <c r="A466" s="7" t="str">
        <f t="shared" ca="1" si="14"/>
        <v>411</v>
      </c>
      <c r="B466" s="7" t="str">
        <f ca="1">OFFSET(ORÇAMENTO!C$15,ROW(B466)-ROW(B$15),0)</f>
        <v>S</v>
      </c>
      <c r="C466" s="7" t="str">
        <f ca="1">OFFSET(ORÇAMENTO!L$15,ROW(C466)-ROW(C$15),0)</f>
        <v/>
      </c>
      <c r="D466" s="118" t="str">
        <f ca="1">OFFSET(ORÇAMENTO!N$15,ROW(D466)-ROW(D$15),0)</f>
        <v>Serviço</v>
      </c>
      <c r="E466" s="119" t="str">
        <f ca="1">OFFSET(ORÇAMENTO!O$15,ROW(E466)-ROW(E$15),0)</f>
        <v>-</v>
      </c>
      <c r="F466" s="172" t="str">
        <f ca="1">OFFSET(ORÇAMENTO!R$15,ROW(F466)-ROW(F$15),0)</f>
        <v>(abra o arquivo 'Referência 02-2025.xlsm)</v>
      </c>
      <c r="G466" s="173" t="str">
        <f ca="1">IF($D466&lt;&gt;"Serviço","",OFFSET(ORÇAMENTO!S$15,ROW(G466)-ROW(G$15),0))</f>
        <v>-</v>
      </c>
      <c r="H466" s="124">
        <f ca="1">IF($D466&lt;&gt;"Serviço",0,IF(ACOMPANHAMENTO="BM",ROUND(OFFSET(ORÇAMENTO!AJ$15,ROW(H466)-ROW(H$15),0),15-13*ORÇAMENTO!$AF$7),SUMPRODUCT(($Q$12:$AA$12&lt;&gt;"")*ROUND($Q466:$AA466,15-13*ORÇAMENTO!$AF$7))))</f>
        <v>3</v>
      </c>
      <c r="I466" s="561" t="s">
        <v>890</v>
      </c>
      <c r="K466" s="174"/>
      <c r="L466" s="175" t="s">
        <v>255</v>
      </c>
      <c r="M466" s="176">
        <f ca="1">IF($D466&lt;&gt;"Serviço","",IF(AUTOEVENTO="manual",$A466,IF(ISERROR(MATCH($A466,$A$15:OFFSET($A466,-1,0),0)),MAX($M$15:OFFSET(M466,-1,0))+1,INDEX($M$15:OFFSET(M466,-1,0),MATCH($A466,$A$15:OFFSET($A466,-1,0),0)))))</f>
        <v>17</v>
      </c>
      <c r="N466" s="177" t="str">
        <f ca="1">IF($D466&lt;&gt;"Serviço","",IF(AUTOEVENTO="Manual",IF($A466=0,"&lt;-- defina o número do agrupador",OFFSET(EVENTOS!$D$14,$A466,0)),OFFSET($F$15,$A466,0)))</f>
        <v>SISTEMA DE PROTEÇÃO CONTRA INCÊNDIO</v>
      </c>
      <c r="O466" s="178"/>
      <c r="Q466" s="178"/>
      <c r="R466" s="179"/>
      <c r="S466" s="179"/>
      <c r="T466" s="179"/>
      <c r="U466" s="179"/>
      <c r="V466" s="179"/>
      <c r="W466" s="179"/>
      <c r="X466" s="179"/>
      <c r="Y466" s="179"/>
      <c r="Z466" s="180"/>
      <c r="AB466" s="544">
        <f ca="1">IF(AND($D466="Serviço",AB$12&lt;&gt;0,$H466&gt;0,OR(AUTOEVENTO&lt;&gt;"manual",$M466&lt;&gt;1)),
IF(Import.TipoArredondamento&lt;&gt;"TransfereGOV",
ROUND(OFFSET($P466,0,AB$13),15-13*ORÇAMENTO!$AF$7)/$H466*OFFSET(ORÇAMENTO!$X$15,ROW(AB466)-ROW(AB$15),0),
ROUND(ROUND(OFFSET($P466,0,AB$13),15-13*ORÇAMENTO!$AF$7)*OFFSET(ORÇAMENTO!$W$15,ROW(AB466)-ROW(AB$15),0),15-13*ORÇAMENTO!$AF$11)),0)</f>
        <v>0</v>
      </c>
      <c r="AC466" s="545">
        <f ca="1">IF(AND($D466="Serviço",AC$12&lt;&gt;0,$H466&gt;0,OR(AUTOEVENTO&lt;&gt;"manual",$M466&lt;&gt;1)),
IF(Import.TipoArredondamento&lt;&gt;"TransfereGOV",
ROUND(OFFSET($P466,0,AC$13),15-13*ORÇAMENTO!$AF$7)/$H466*OFFSET(ORÇAMENTO!$X$15,ROW(AC466)-ROW(AC$15),0),
ROUND(ROUND(OFFSET($P466,0,AC$13),15-13*ORÇAMENTO!$AF$7)*OFFSET(ORÇAMENTO!$W$15,ROW(AC466)-ROW(AC$15),0),15-13*ORÇAMENTO!$AF$11)),0)</f>
        <v>0</v>
      </c>
      <c r="AD466" s="545">
        <f ca="1">IF(AND($D466="Serviço",AD$12&lt;&gt;0,$H466&gt;0,OR(AUTOEVENTO&lt;&gt;"manual",$M466&lt;&gt;1)),
IF(Import.TipoArredondamento&lt;&gt;"TransfereGOV",
ROUND(OFFSET($P466,0,AD$13),15-13*ORÇAMENTO!$AF$7)/$H466*OFFSET(ORÇAMENTO!$X$15,ROW(AD466)-ROW(AD$15),0),
ROUND(ROUND(OFFSET($P466,0,AD$13),15-13*ORÇAMENTO!$AF$7)*OFFSET(ORÇAMENTO!$W$15,ROW(AD466)-ROW(AD$15),0),15-13*ORÇAMENTO!$AF$11)),0)</f>
        <v>0</v>
      </c>
      <c r="AE466" s="545">
        <f ca="1">IF(AND($D466="Serviço",AE$12&lt;&gt;0,$H466&gt;0,OR(AUTOEVENTO&lt;&gt;"manual",$M466&lt;&gt;1)),
IF(Import.TipoArredondamento&lt;&gt;"TransfereGOV",
ROUND(OFFSET($P466,0,AE$13),15-13*ORÇAMENTO!$AF$7)/$H466*OFFSET(ORÇAMENTO!$X$15,ROW(AE466)-ROW(AE$15),0),
ROUND(ROUND(OFFSET($P466,0,AE$13),15-13*ORÇAMENTO!$AF$7)*OFFSET(ORÇAMENTO!$W$15,ROW(AE466)-ROW(AE$15),0),15-13*ORÇAMENTO!$AF$11)),0)</f>
        <v>0</v>
      </c>
      <c r="AF466" s="545">
        <f ca="1">IF(AND($D466="Serviço",AF$12&lt;&gt;0,$H466&gt;0,OR(AUTOEVENTO&lt;&gt;"manual",$M466&lt;&gt;1)),
IF(Import.TipoArredondamento&lt;&gt;"TransfereGOV",
ROUND(OFFSET($P466,0,AF$13),15-13*ORÇAMENTO!$AF$7)/$H466*OFFSET(ORÇAMENTO!$X$15,ROW(AF466)-ROW(AF$15),0),
ROUND(ROUND(OFFSET($P466,0,AF$13),15-13*ORÇAMENTO!$AF$7)*OFFSET(ORÇAMENTO!$W$15,ROW(AF466)-ROW(AF$15),0),15-13*ORÇAMENTO!$AF$11)),0)</f>
        <v>0</v>
      </c>
      <c r="AG466" s="545">
        <f ca="1">IF(AND($D466="Serviço",AG$12&lt;&gt;0,$H466&gt;0,OR(AUTOEVENTO&lt;&gt;"manual",$M466&lt;&gt;1)),
IF(Import.TipoArredondamento&lt;&gt;"TransfereGOV",
ROUND(OFFSET($P466,0,AG$13),15-13*ORÇAMENTO!$AF$7)/$H466*OFFSET(ORÇAMENTO!$X$15,ROW(AG466)-ROW(AG$15),0),
ROUND(ROUND(OFFSET($P466,0,AG$13),15-13*ORÇAMENTO!$AF$7)*OFFSET(ORÇAMENTO!$W$15,ROW(AG466)-ROW(AG$15),0),15-13*ORÇAMENTO!$AF$11)),0)</f>
        <v>0</v>
      </c>
      <c r="AH466" s="545">
        <f ca="1">IF(AND($D466="Serviço",AH$12&lt;&gt;0,$H466&gt;0,OR(AUTOEVENTO&lt;&gt;"manual",$M466&lt;&gt;1)),
IF(Import.TipoArredondamento&lt;&gt;"TransfereGOV",
ROUND(OFFSET($P466,0,AH$13),15-13*ORÇAMENTO!$AF$7)/$H466*OFFSET(ORÇAMENTO!$X$15,ROW(AH466)-ROW(AH$15),0),
ROUND(ROUND(OFFSET($P466,0,AH$13),15-13*ORÇAMENTO!$AF$7)*OFFSET(ORÇAMENTO!$W$15,ROW(AH466)-ROW(AH$15),0),15-13*ORÇAMENTO!$AF$11)),0)</f>
        <v>0</v>
      </c>
      <c r="AI466" s="545">
        <f ca="1">IF(AND($D466="Serviço",AI$12&lt;&gt;0,$H466&gt;0,OR(AUTOEVENTO&lt;&gt;"manual",$M466&lt;&gt;1)),
IF(Import.TipoArredondamento&lt;&gt;"TransfereGOV",
ROUND(OFFSET($P466,0,AI$13),15-13*ORÇAMENTO!$AF$7)/$H466*OFFSET(ORÇAMENTO!$X$15,ROW(AI466)-ROW(AI$15),0),
ROUND(ROUND(OFFSET($P466,0,AI$13),15-13*ORÇAMENTO!$AF$7)*OFFSET(ORÇAMENTO!$W$15,ROW(AI466)-ROW(AI$15),0),15-13*ORÇAMENTO!$AF$11)),0)</f>
        <v>0</v>
      </c>
      <c r="AJ466" s="545">
        <f ca="1">IF(AND($D466="Serviço",AJ$12&lt;&gt;0,$H466&gt;0,OR(AUTOEVENTO&lt;&gt;"manual",$M466&lt;&gt;1)),
IF(Import.TipoArredondamento&lt;&gt;"TransfereGOV",
ROUND(OFFSET($P466,0,AJ$13),15-13*ORÇAMENTO!$AF$7)/$H466*OFFSET(ORÇAMENTO!$X$15,ROW(AJ466)-ROW(AJ$15),0),
ROUND(ROUND(OFFSET($P466,0,AJ$13),15-13*ORÇAMENTO!$AF$7)*OFFSET(ORÇAMENTO!$W$15,ROW(AJ466)-ROW(AJ$15),0),15-13*ORÇAMENTO!$AF$11)),0)</f>
        <v>0</v>
      </c>
      <c r="AK466" s="546">
        <f ca="1">IF(AND($D466="Serviço",AK$12&lt;&gt;0,$H466&gt;0,OR(AUTOEVENTO&lt;&gt;"manual",$M466&lt;&gt;1)),
IF(Import.TipoArredondamento&lt;&gt;"TransfereGOV",
ROUND(OFFSET($P466,0,AK$13),15-13*ORÇAMENTO!$AF$7)/$H466*OFFSET(ORÇAMENTO!$X$15,ROW(AK466)-ROW(AK$15),0),
ROUND(ROUND(OFFSET($P466,0,AK$13),15-13*ORÇAMENTO!$AF$7)*OFFSET(ORÇAMENTO!$W$15,ROW(AK466)-ROW(AK$15),0),15-13*ORÇAMENTO!$AF$11)),0)</f>
        <v>0</v>
      </c>
      <c r="AM466" s="181">
        <f ca="1">IF($D466&lt;&gt;"Serviço",0,IF(AND(AUTOEVENTO="Manual",$M466=1),0,IF(OFFSET(CRONOPLE!$F$14,$M466,AM$13)="",10^12,OFFSET(CRONOPLE!$F$14,$M466,AM$13))))</f>
        <v>1000000000000</v>
      </c>
      <c r="AN466" s="181">
        <f ca="1">IF($D466&lt;&gt;"Serviço",0,IF(AND(AUTOEVENTO="Manual",$M466=1),0,IF(OFFSET(CRONOPLE!$F$14,$M466,AN$13)="",10^12,OFFSET(CRONOPLE!$F$14,$M466,AN$13))))</f>
        <v>1000000000000</v>
      </c>
      <c r="AO466" s="181">
        <f ca="1">IF($D466&lt;&gt;"Serviço",0,IF(AND(AUTOEVENTO="Manual",$M466=1),0,IF(OFFSET(CRONOPLE!$F$14,$M466,AO$13)="",10^12,OFFSET(CRONOPLE!$F$14,$M466,AO$13))))</f>
        <v>1000000000000</v>
      </c>
      <c r="AP466" s="181">
        <f ca="1">IF($D466&lt;&gt;"Serviço",0,IF(AND(AUTOEVENTO="Manual",$M466=1),0,IF(OFFSET(CRONOPLE!$F$14,$M466,AP$13)="",10^12,OFFSET(CRONOPLE!$F$14,$M466,AP$13))))</f>
        <v>1000000000000</v>
      </c>
      <c r="AQ466" s="181">
        <f ca="1">IF($D466&lt;&gt;"Serviço",0,IF(AND(AUTOEVENTO="Manual",$M466=1),0,IF(OFFSET(CRONOPLE!$F$14,$M466,AQ$13)="",10^12,OFFSET(CRONOPLE!$F$14,$M466,AQ$13))))</f>
        <v>1000000000000</v>
      </c>
      <c r="AR466" s="181">
        <f ca="1">IF($D466&lt;&gt;"Serviço",0,IF(AND(AUTOEVENTO="Manual",$M466=1),0,IF(OFFSET(CRONOPLE!$F$14,$M466,AR$13)="",10^12,OFFSET(CRONOPLE!$F$14,$M466,AR$13))))</f>
        <v>1000000000000</v>
      </c>
      <c r="AS466" s="181">
        <f ca="1">IF($D466&lt;&gt;"Serviço",0,IF(AND(AUTOEVENTO="Manual",$M466=1),0,IF(OFFSET(CRONOPLE!$F$14,$M466,AS$13)="",10^12,OFFSET(CRONOPLE!$F$14,$M466,AS$13))))</f>
        <v>1000000000000</v>
      </c>
      <c r="AT466" s="181">
        <f ca="1">IF($D466&lt;&gt;"Serviço",0,IF(AND(AUTOEVENTO="Manual",$M466=1),0,IF(OFFSET(CRONOPLE!$F$14,$M466,AT$13)="",10^12,OFFSET(CRONOPLE!$F$14,$M466,AT$13))))</f>
        <v>1000000000000</v>
      </c>
      <c r="AU466" s="181">
        <f ca="1">IF($D466&lt;&gt;"Serviço",0,IF(AND(AUTOEVENTO="Manual",$M466=1),0,IF(OFFSET(CRONOPLE!$F$14,$M466,AU$13)="",10^12,OFFSET(CRONOPLE!$F$14,$M466,AU$13))))</f>
        <v>1000000000000</v>
      </c>
      <c r="AV466" s="181">
        <f ca="1">IF($D466&lt;&gt;"Serviço",0,IF(AND(AUTOEVENTO="Manual",$M466=1),0,IF(OFFSET(CRONOPLE!$F$14,$M466,AV$13)="",10^12,OFFSET(CRONOPLE!$F$14,$M466,AV$13))))</f>
        <v>1000000000000</v>
      </c>
      <c r="AX466" s="182">
        <f ca="1">IF($D466&lt;&gt;"Serviço",0,IF(OR(AND(AUTOEVENTO="Manual",$M466=1),$M466&gt;(ROW(PLE.lastrow)-ROW(PLE.firstrow))),0,IF(OFFSET(PLE!$G$14,$M466,AX$13)="",10^12,OFFSET(PLE!$G$14,$M466,AX$13))))</f>
        <v>1000000000000</v>
      </c>
      <c r="AY466" s="182">
        <f ca="1">IF($D466&lt;&gt;"Serviço",0,IF(OR(AND(AUTOEVENTO="Manual",$M466=1),$M466&gt;(ROW(PLE.lastrow)-ROW(PLE.firstrow))),0,IF(OFFSET(PLE!$G$14,$M466,AY$13)="",10^12,OFFSET(PLE!$G$14,$M466,AY$13))))</f>
        <v>1000000000000</v>
      </c>
      <c r="AZ466" s="182">
        <f ca="1">IF($D466&lt;&gt;"Serviço",0,IF(OR(AND(AUTOEVENTO="Manual",$M466=1),$M466&gt;(ROW(PLE.lastrow)-ROW(PLE.firstrow))),0,IF(OFFSET(PLE!$G$14,$M466,AZ$13)="",10^12,OFFSET(PLE!$G$14,$M466,AZ$13))))</f>
        <v>1000000000000</v>
      </c>
      <c r="BA466" s="182">
        <f ca="1">IF($D466&lt;&gt;"Serviço",0,IF(OR(AND(AUTOEVENTO="Manual",$M466=1),$M466&gt;(ROW(PLE.lastrow)-ROW(PLE.firstrow))),0,IF(OFFSET(PLE!$G$14,$M466,BA$13)="",10^12,OFFSET(PLE!$G$14,$M466,BA$13))))</f>
        <v>1000000000000</v>
      </c>
      <c r="BB466" s="182">
        <f ca="1">IF($D466&lt;&gt;"Serviço",0,IF(OR(AND(AUTOEVENTO="Manual",$M466=1),$M466&gt;(ROW(PLE.lastrow)-ROW(PLE.firstrow))),0,IF(OFFSET(PLE!$G$14,$M466,BB$13)="",10^12,OFFSET(PLE!$G$14,$M466,BB$13))))</f>
        <v>1000000000000</v>
      </c>
      <c r="BC466" s="182">
        <f ca="1">IF($D466&lt;&gt;"Serviço",0,IF(OR(AND(AUTOEVENTO="Manual",$M466=1),$M466&gt;(ROW(PLE.lastrow)-ROW(PLE.firstrow))),0,IF(OFFSET(PLE!$G$14,$M466,BC$13)="",10^12,OFFSET(PLE!$G$14,$M466,BC$13))))</f>
        <v>1000000000000</v>
      </c>
      <c r="BD466" s="182">
        <f ca="1">IF($D466&lt;&gt;"Serviço",0,IF(OR(AND(AUTOEVENTO="Manual",$M466=1),$M466&gt;(ROW(PLE.lastrow)-ROW(PLE.firstrow))),0,IF(OFFSET(PLE!$G$14,$M466,BD$13)="",10^12,OFFSET(PLE!$G$14,$M466,BD$13))))</f>
        <v>1000000000000</v>
      </c>
      <c r="BE466" s="182">
        <f ca="1">IF($D466&lt;&gt;"Serviço",0,IF(OR(AND(AUTOEVENTO="Manual",$M466=1),$M466&gt;(ROW(PLE.lastrow)-ROW(PLE.firstrow))),0,IF(OFFSET(PLE!$G$14,$M466,BE$13)="",10^12,OFFSET(PLE!$G$14,$M466,BE$13))))</f>
        <v>1000000000000</v>
      </c>
      <c r="BF466" s="182">
        <f ca="1">IF($D466&lt;&gt;"Serviço",0,IF(OR(AND(AUTOEVENTO="Manual",$M466=1),$M466&gt;(ROW(PLE.lastrow)-ROW(PLE.firstrow))),0,IF(OFFSET(PLE!$G$14,$M466,BF$13)="",10^12,OFFSET(PLE!$G$14,$M466,BF$13))))</f>
        <v>1000000000000</v>
      </c>
      <c r="BG466" s="182">
        <f ca="1">IF($D466&lt;&gt;"Serviço",0,IF(OR(AND(AUTOEVENTO="Manual",$M466=1),$M466&gt;(ROW(PLE.lastrow)-ROW(PLE.firstrow))),0,IF(OFFSET(PLE!$G$14,$M466,BG$13)="",10^12,OFFSET(PLE!$G$14,$M466,BG$13))))</f>
        <v>1000000000000</v>
      </c>
    </row>
    <row r="467" spans="1:59" ht="25.5" x14ac:dyDescent="0.2">
      <c r="A467" s="7" t="str">
        <f t="shared" ca="1" si="14"/>
        <v>411</v>
      </c>
      <c r="B467" s="7" t="str">
        <f ca="1">OFFSET(ORÇAMENTO!C$15,ROW(B467)-ROW(B$15),0)</f>
        <v>S</v>
      </c>
      <c r="C467" s="7" t="str">
        <f ca="1">OFFSET(ORÇAMENTO!L$15,ROW(C467)-ROW(C$15),0)</f>
        <v/>
      </c>
      <c r="D467" s="118" t="str">
        <f ca="1">OFFSET(ORÇAMENTO!N$15,ROW(D467)-ROW(D$15),0)</f>
        <v>Serviço</v>
      </c>
      <c r="E467" s="119" t="str">
        <f ca="1">OFFSET(ORÇAMENTO!O$15,ROW(E467)-ROW(E$15),0)</f>
        <v>-</v>
      </c>
      <c r="F467" s="172" t="str">
        <f ca="1">OFFSET(ORÇAMENTO!R$15,ROW(F467)-ROW(F$15),0)</f>
        <v>(abra o arquivo 'Referência 02-2025.xlsm)</v>
      </c>
      <c r="G467" s="173" t="str">
        <f ca="1">IF($D467&lt;&gt;"Serviço","",OFFSET(ORÇAMENTO!S$15,ROW(G467)-ROW(G$15),0))</f>
        <v>-</v>
      </c>
      <c r="H467" s="124">
        <f ca="1">IF($D467&lt;&gt;"Serviço",0,IF(ACOMPANHAMENTO="BM",ROUND(OFFSET(ORÇAMENTO!AJ$15,ROW(H467)-ROW(H$15),0),15-13*ORÇAMENTO!$AF$7),SUMPRODUCT(($Q$12:$AA$12&lt;&gt;"")*ROUND($Q467:$AA467,15-13*ORÇAMENTO!$AF$7))))</f>
        <v>2</v>
      </c>
      <c r="I467" s="561" t="s">
        <v>890</v>
      </c>
      <c r="K467" s="174"/>
      <c r="L467" s="175" t="s">
        <v>255</v>
      </c>
      <c r="M467" s="176">
        <f ca="1">IF($D467&lt;&gt;"Serviço","",IF(AUTOEVENTO="manual",$A467,IF(ISERROR(MATCH($A467,$A$15:OFFSET($A467,-1,0),0)),MAX($M$15:OFFSET(M467,-1,0))+1,INDEX($M$15:OFFSET(M467,-1,0),MATCH($A467,$A$15:OFFSET($A467,-1,0),0)))))</f>
        <v>17</v>
      </c>
      <c r="N467" s="177" t="str">
        <f ca="1">IF($D467&lt;&gt;"Serviço","",IF(AUTOEVENTO="Manual",IF($A467=0,"&lt;-- defina o número do agrupador",OFFSET(EVENTOS!$D$14,$A467,0)),OFFSET($F$15,$A467,0)))</f>
        <v>SISTEMA DE PROTEÇÃO CONTRA INCÊNDIO</v>
      </c>
      <c r="O467" s="178"/>
      <c r="Q467" s="178"/>
      <c r="R467" s="179"/>
      <c r="S467" s="179"/>
      <c r="T467" s="179"/>
      <c r="U467" s="179"/>
      <c r="V467" s="179"/>
      <c r="W467" s="179"/>
      <c r="X467" s="179"/>
      <c r="Y467" s="179"/>
      <c r="Z467" s="180"/>
      <c r="AB467" s="544">
        <f ca="1">IF(AND($D467="Serviço",AB$12&lt;&gt;0,$H467&gt;0,OR(AUTOEVENTO&lt;&gt;"manual",$M467&lt;&gt;1)),
IF(Import.TipoArredondamento&lt;&gt;"TransfereGOV",
ROUND(OFFSET($P467,0,AB$13),15-13*ORÇAMENTO!$AF$7)/$H467*OFFSET(ORÇAMENTO!$X$15,ROW(AB467)-ROW(AB$15),0),
ROUND(ROUND(OFFSET($P467,0,AB$13),15-13*ORÇAMENTO!$AF$7)*OFFSET(ORÇAMENTO!$W$15,ROW(AB467)-ROW(AB$15),0),15-13*ORÇAMENTO!$AF$11)),0)</f>
        <v>0</v>
      </c>
      <c r="AC467" s="545">
        <f ca="1">IF(AND($D467="Serviço",AC$12&lt;&gt;0,$H467&gt;0,OR(AUTOEVENTO&lt;&gt;"manual",$M467&lt;&gt;1)),
IF(Import.TipoArredondamento&lt;&gt;"TransfereGOV",
ROUND(OFFSET($P467,0,AC$13),15-13*ORÇAMENTO!$AF$7)/$H467*OFFSET(ORÇAMENTO!$X$15,ROW(AC467)-ROW(AC$15),0),
ROUND(ROUND(OFFSET($P467,0,AC$13),15-13*ORÇAMENTO!$AF$7)*OFFSET(ORÇAMENTO!$W$15,ROW(AC467)-ROW(AC$15),0),15-13*ORÇAMENTO!$AF$11)),0)</f>
        <v>0</v>
      </c>
      <c r="AD467" s="545">
        <f ca="1">IF(AND($D467="Serviço",AD$12&lt;&gt;0,$H467&gt;0,OR(AUTOEVENTO&lt;&gt;"manual",$M467&lt;&gt;1)),
IF(Import.TipoArredondamento&lt;&gt;"TransfereGOV",
ROUND(OFFSET($P467,0,AD$13),15-13*ORÇAMENTO!$AF$7)/$H467*OFFSET(ORÇAMENTO!$X$15,ROW(AD467)-ROW(AD$15),0),
ROUND(ROUND(OFFSET($P467,0,AD$13),15-13*ORÇAMENTO!$AF$7)*OFFSET(ORÇAMENTO!$W$15,ROW(AD467)-ROW(AD$15),0),15-13*ORÇAMENTO!$AF$11)),0)</f>
        <v>0</v>
      </c>
      <c r="AE467" s="545">
        <f ca="1">IF(AND($D467="Serviço",AE$12&lt;&gt;0,$H467&gt;0,OR(AUTOEVENTO&lt;&gt;"manual",$M467&lt;&gt;1)),
IF(Import.TipoArredondamento&lt;&gt;"TransfereGOV",
ROUND(OFFSET($P467,0,AE$13),15-13*ORÇAMENTO!$AF$7)/$H467*OFFSET(ORÇAMENTO!$X$15,ROW(AE467)-ROW(AE$15),0),
ROUND(ROUND(OFFSET($P467,0,AE$13),15-13*ORÇAMENTO!$AF$7)*OFFSET(ORÇAMENTO!$W$15,ROW(AE467)-ROW(AE$15),0),15-13*ORÇAMENTO!$AF$11)),0)</f>
        <v>0</v>
      </c>
      <c r="AF467" s="545">
        <f ca="1">IF(AND($D467="Serviço",AF$12&lt;&gt;0,$H467&gt;0,OR(AUTOEVENTO&lt;&gt;"manual",$M467&lt;&gt;1)),
IF(Import.TipoArredondamento&lt;&gt;"TransfereGOV",
ROUND(OFFSET($P467,0,AF$13),15-13*ORÇAMENTO!$AF$7)/$H467*OFFSET(ORÇAMENTO!$X$15,ROW(AF467)-ROW(AF$15),0),
ROUND(ROUND(OFFSET($P467,0,AF$13),15-13*ORÇAMENTO!$AF$7)*OFFSET(ORÇAMENTO!$W$15,ROW(AF467)-ROW(AF$15),0),15-13*ORÇAMENTO!$AF$11)),0)</f>
        <v>0</v>
      </c>
      <c r="AG467" s="545">
        <f ca="1">IF(AND($D467="Serviço",AG$12&lt;&gt;0,$H467&gt;0,OR(AUTOEVENTO&lt;&gt;"manual",$M467&lt;&gt;1)),
IF(Import.TipoArredondamento&lt;&gt;"TransfereGOV",
ROUND(OFFSET($P467,0,AG$13),15-13*ORÇAMENTO!$AF$7)/$H467*OFFSET(ORÇAMENTO!$X$15,ROW(AG467)-ROW(AG$15),0),
ROUND(ROUND(OFFSET($P467,0,AG$13),15-13*ORÇAMENTO!$AF$7)*OFFSET(ORÇAMENTO!$W$15,ROW(AG467)-ROW(AG$15),0),15-13*ORÇAMENTO!$AF$11)),0)</f>
        <v>0</v>
      </c>
      <c r="AH467" s="545">
        <f ca="1">IF(AND($D467="Serviço",AH$12&lt;&gt;0,$H467&gt;0,OR(AUTOEVENTO&lt;&gt;"manual",$M467&lt;&gt;1)),
IF(Import.TipoArredondamento&lt;&gt;"TransfereGOV",
ROUND(OFFSET($P467,0,AH$13),15-13*ORÇAMENTO!$AF$7)/$H467*OFFSET(ORÇAMENTO!$X$15,ROW(AH467)-ROW(AH$15),0),
ROUND(ROUND(OFFSET($P467,0,AH$13),15-13*ORÇAMENTO!$AF$7)*OFFSET(ORÇAMENTO!$W$15,ROW(AH467)-ROW(AH$15),0),15-13*ORÇAMENTO!$AF$11)),0)</f>
        <v>0</v>
      </c>
      <c r="AI467" s="545">
        <f ca="1">IF(AND($D467="Serviço",AI$12&lt;&gt;0,$H467&gt;0,OR(AUTOEVENTO&lt;&gt;"manual",$M467&lt;&gt;1)),
IF(Import.TipoArredondamento&lt;&gt;"TransfereGOV",
ROUND(OFFSET($P467,0,AI$13),15-13*ORÇAMENTO!$AF$7)/$H467*OFFSET(ORÇAMENTO!$X$15,ROW(AI467)-ROW(AI$15),0),
ROUND(ROUND(OFFSET($P467,0,AI$13),15-13*ORÇAMENTO!$AF$7)*OFFSET(ORÇAMENTO!$W$15,ROW(AI467)-ROW(AI$15),0),15-13*ORÇAMENTO!$AF$11)),0)</f>
        <v>0</v>
      </c>
      <c r="AJ467" s="545">
        <f ca="1">IF(AND($D467="Serviço",AJ$12&lt;&gt;0,$H467&gt;0,OR(AUTOEVENTO&lt;&gt;"manual",$M467&lt;&gt;1)),
IF(Import.TipoArredondamento&lt;&gt;"TransfereGOV",
ROUND(OFFSET($P467,0,AJ$13),15-13*ORÇAMENTO!$AF$7)/$H467*OFFSET(ORÇAMENTO!$X$15,ROW(AJ467)-ROW(AJ$15),0),
ROUND(ROUND(OFFSET($P467,0,AJ$13),15-13*ORÇAMENTO!$AF$7)*OFFSET(ORÇAMENTO!$W$15,ROW(AJ467)-ROW(AJ$15),0),15-13*ORÇAMENTO!$AF$11)),0)</f>
        <v>0</v>
      </c>
      <c r="AK467" s="546">
        <f ca="1">IF(AND($D467="Serviço",AK$12&lt;&gt;0,$H467&gt;0,OR(AUTOEVENTO&lt;&gt;"manual",$M467&lt;&gt;1)),
IF(Import.TipoArredondamento&lt;&gt;"TransfereGOV",
ROUND(OFFSET($P467,0,AK$13),15-13*ORÇAMENTO!$AF$7)/$H467*OFFSET(ORÇAMENTO!$X$15,ROW(AK467)-ROW(AK$15),0),
ROUND(ROUND(OFFSET($P467,0,AK$13),15-13*ORÇAMENTO!$AF$7)*OFFSET(ORÇAMENTO!$W$15,ROW(AK467)-ROW(AK$15),0),15-13*ORÇAMENTO!$AF$11)),0)</f>
        <v>0</v>
      </c>
      <c r="AM467" s="181">
        <f ca="1">IF($D467&lt;&gt;"Serviço",0,IF(AND(AUTOEVENTO="Manual",$M467=1),0,IF(OFFSET(CRONOPLE!$F$14,$M467,AM$13)="",10^12,OFFSET(CRONOPLE!$F$14,$M467,AM$13))))</f>
        <v>1000000000000</v>
      </c>
      <c r="AN467" s="181">
        <f ca="1">IF($D467&lt;&gt;"Serviço",0,IF(AND(AUTOEVENTO="Manual",$M467=1),0,IF(OFFSET(CRONOPLE!$F$14,$M467,AN$13)="",10^12,OFFSET(CRONOPLE!$F$14,$M467,AN$13))))</f>
        <v>1000000000000</v>
      </c>
      <c r="AO467" s="181">
        <f ca="1">IF($D467&lt;&gt;"Serviço",0,IF(AND(AUTOEVENTO="Manual",$M467=1),0,IF(OFFSET(CRONOPLE!$F$14,$M467,AO$13)="",10^12,OFFSET(CRONOPLE!$F$14,$M467,AO$13))))</f>
        <v>1000000000000</v>
      </c>
      <c r="AP467" s="181">
        <f ca="1">IF($D467&lt;&gt;"Serviço",0,IF(AND(AUTOEVENTO="Manual",$M467=1),0,IF(OFFSET(CRONOPLE!$F$14,$M467,AP$13)="",10^12,OFFSET(CRONOPLE!$F$14,$M467,AP$13))))</f>
        <v>1000000000000</v>
      </c>
      <c r="AQ467" s="181">
        <f ca="1">IF($D467&lt;&gt;"Serviço",0,IF(AND(AUTOEVENTO="Manual",$M467=1),0,IF(OFFSET(CRONOPLE!$F$14,$M467,AQ$13)="",10^12,OFFSET(CRONOPLE!$F$14,$M467,AQ$13))))</f>
        <v>1000000000000</v>
      </c>
      <c r="AR467" s="181">
        <f ca="1">IF($D467&lt;&gt;"Serviço",0,IF(AND(AUTOEVENTO="Manual",$M467=1),0,IF(OFFSET(CRONOPLE!$F$14,$M467,AR$13)="",10^12,OFFSET(CRONOPLE!$F$14,$M467,AR$13))))</f>
        <v>1000000000000</v>
      </c>
      <c r="AS467" s="181">
        <f ca="1">IF($D467&lt;&gt;"Serviço",0,IF(AND(AUTOEVENTO="Manual",$M467=1),0,IF(OFFSET(CRONOPLE!$F$14,$M467,AS$13)="",10^12,OFFSET(CRONOPLE!$F$14,$M467,AS$13))))</f>
        <v>1000000000000</v>
      </c>
      <c r="AT467" s="181">
        <f ca="1">IF($D467&lt;&gt;"Serviço",0,IF(AND(AUTOEVENTO="Manual",$M467=1),0,IF(OFFSET(CRONOPLE!$F$14,$M467,AT$13)="",10^12,OFFSET(CRONOPLE!$F$14,$M467,AT$13))))</f>
        <v>1000000000000</v>
      </c>
      <c r="AU467" s="181">
        <f ca="1">IF($D467&lt;&gt;"Serviço",0,IF(AND(AUTOEVENTO="Manual",$M467=1),0,IF(OFFSET(CRONOPLE!$F$14,$M467,AU$13)="",10^12,OFFSET(CRONOPLE!$F$14,$M467,AU$13))))</f>
        <v>1000000000000</v>
      </c>
      <c r="AV467" s="181">
        <f ca="1">IF($D467&lt;&gt;"Serviço",0,IF(AND(AUTOEVENTO="Manual",$M467=1),0,IF(OFFSET(CRONOPLE!$F$14,$M467,AV$13)="",10^12,OFFSET(CRONOPLE!$F$14,$M467,AV$13))))</f>
        <v>1000000000000</v>
      </c>
      <c r="AX467" s="182">
        <f ca="1">IF($D467&lt;&gt;"Serviço",0,IF(OR(AND(AUTOEVENTO="Manual",$M467=1),$M467&gt;(ROW(PLE.lastrow)-ROW(PLE.firstrow))),0,IF(OFFSET(PLE!$G$14,$M467,AX$13)="",10^12,OFFSET(PLE!$G$14,$M467,AX$13))))</f>
        <v>1000000000000</v>
      </c>
      <c r="AY467" s="182">
        <f ca="1">IF($D467&lt;&gt;"Serviço",0,IF(OR(AND(AUTOEVENTO="Manual",$M467=1),$M467&gt;(ROW(PLE.lastrow)-ROW(PLE.firstrow))),0,IF(OFFSET(PLE!$G$14,$M467,AY$13)="",10^12,OFFSET(PLE!$G$14,$M467,AY$13))))</f>
        <v>1000000000000</v>
      </c>
      <c r="AZ467" s="182">
        <f ca="1">IF($D467&lt;&gt;"Serviço",0,IF(OR(AND(AUTOEVENTO="Manual",$M467=1),$M467&gt;(ROW(PLE.lastrow)-ROW(PLE.firstrow))),0,IF(OFFSET(PLE!$G$14,$M467,AZ$13)="",10^12,OFFSET(PLE!$G$14,$M467,AZ$13))))</f>
        <v>1000000000000</v>
      </c>
      <c r="BA467" s="182">
        <f ca="1">IF($D467&lt;&gt;"Serviço",0,IF(OR(AND(AUTOEVENTO="Manual",$M467=1),$M467&gt;(ROW(PLE.lastrow)-ROW(PLE.firstrow))),0,IF(OFFSET(PLE!$G$14,$M467,BA$13)="",10^12,OFFSET(PLE!$G$14,$M467,BA$13))))</f>
        <v>1000000000000</v>
      </c>
      <c r="BB467" s="182">
        <f ca="1">IF($D467&lt;&gt;"Serviço",0,IF(OR(AND(AUTOEVENTO="Manual",$M467=1),$M467&gt;(ROW(PLE.lastrow)-ROW(PLE.firstrow))),0,IF(OFFSET(PLE!$G$14,$M467,BB$13)="",10^12,OFFSET(PLE!$G$14,$M467,BB$13))))</f>
        <v>1000000000000</v>
      </c>
      <c r="BC467" s="182">
        <f ca="1">IF($D467&lt;&gt;"Serviço",0,IF(OR(AND(AUTOEVENTO="Manual",$M467=1),$M467&gt;(ROW(PLE.lastrow)-ROW(PLE.firstrow))),0,IF(OFFSET(PLE!$G$14,$M467,BC$13)="",10^12,OFFSET(PLE!$G$14,$M467,BC$13))))</f>
        <v>1000000000000</v>
      </c>
      <c r="BD467" s="182">
        <f ca="1">IF($D467&lt;&gt;"Serviço",0,IF(OR(AND(AUTOEVENTO="Manual",$M467=1),$M467&gt;(ROW(PLE.lastrow)-ROW(PLE.firstrow))),0,IF(OFFSET(PLE!$G$14,$M467,BD$13)="",10^12,OFFSET(PLE!$G$14,$M467,BD$13))))</f>
        <v>1000000000000</v>
      </c>
      <c r="BE467" s="182">
        <f ca="1">IF($D467&lt;&gt;"Serviço",0,IF(OR(AND(AUTOEVENTO="Manual",$M467=1),$M467&gt;(ROW(PLE.lastrow)-ROW(PLE.firstrow))),0,IF(OFFSET(PLE!$G$14,$M467,BE$13)="",10^12,OFFSET(PLE!$G$14,$M467,BE$13))))</f>
        <v>1000000000000</v>
      </c>
      <c r="BF467" s="182">
        <f ca="1">IF($D467&lt;&gt;"Serviço",0,IF(OR(AND(AUTOEVENTO="Manual",$M467=1),$M467&gt;(ROW(PLE.lastrow)-ROW(PLE.firstrow))),0,IF(OFFSET(PLE!$G$14,$M467,BF$13)="",10^12,OFFSET(PLE!$G$14,$M467,BF$13))))</f>
        <v>1000000000000</v>
      </c>
      <c r="BG467" s="182">
        <f ca="1">IF($D467&lt;&gt;"Serviço",0,IF(OR(AND(AUTOEVENTO="Manual",$M467=1),$M467&gt;(ROW(PLE.lastrow)-ROW(PLE.firstrow))),0,IF(OFFSET(PLE!$G$14,$M467,BG$13)="",10^12,OFFSET(PLE!$G$14,$M467,BG$13))))</f>
        <v>1000000000000</v>
      </c>
    </row>
    <row r="468" spans="1:59" ht="38.25" x14ac:dyDescent="0.2">
      <c r="A468" s="7" t="str">
        <f t="shared" ca="1" si="14"/>
        <v>411</v>
      </c>
      <c r="B468" s="7" t="str">
        <f ca="1">OFFSET(ORÇAMENTO!C$15,ROW(B468)-ROW(B$15),0)</f>
        <v>S</v>
      </c>
      <c r="C468" s="7" t="str">
        <f ca="1">OFFSET(ORÇAMENTO!L$15,ROW(C468)-ROW(C$15),0)</f>
        <v/>
      </c>
      <c r="D468" s="118" t="str">
        <f ca="1">OFFSET(ORÇAMENTO!N$15,ROW(D468)-ROW(D$15),0)</f>
        <v>Serviço</v>
      </c>
      <c r="E468" s="119" t="str">
        <f ca="1">OFFSET(ORÇAMENTO!O$15,ROW(E468)-ROW(E$15),0)</f>
        <v>-</v>
      </c>
      <c r="F468" s="172" t="str">
        <f ca="1">OFFSET(ORÇAMENTO!R$15,ROW(F468)-ROW(F$15),0)</f>
        <v>(abra o arquivo 'Referência 02-2025.xlsm)</v>
      </c>
      <c r="G468" s="173" t="str">
        <f ca="1">IF($D468&lt;&gt;"Serviço","",OFFSET(ORÇAMENTO!S$15,ROW(G468)-ROW(G$15),0))</f>
        <v>-</v>
      </c>
      <c r="H468" s="124">
        <f ca="1">IF($D468&lt;&gt;"Serviço",0,IF(ACOMPANHAMENTO="BM",ROUND(OFFSET(ORÇAMENTO!AJ$15,ROW(H468)-ROW(H$15),0),15-13*ORÇAMENTO!$AF$7),SUMPRODUCT(($Q$12:$AA$12&lt;&gt;"")*ROUND($Q468:$AA468,15-13*ORÇAMENTO!$AF$7))))</f>
        <v>2</v>
      </c>
      <c r="I468" s="561" t="s">
        <v>890</v>
      </c>
      <c r="K468" s="174"/>
      <c r="L468" s="175" t="s">
        <v>255</v>
      </c>
      <c r="M468" s="176">
        <f ca="1">IF($D468&lt;&gt;"Serviço","",IF(AUTOEVENTO="manual",$A468,IF(ISERROR(MATCH($A468,$A$15:OFFSET($A468,-1,0),0)),MAX($M$15:OFFSET(M468,-1,0))+1,INDEX($M$15:OFFSET(M468,-1,0),MATCH($A468,$A$15:OFFSET($A468,-1,0),0)))))</f>
        <v>17</v>
      </c>
      <c r="N468" s="177" t="str">
        <f ca="1">IF($D468&lt;&gt;"Serviço","",IF(AUTOEVENTO="Manual",IF($A468=0,"&lt;-- defina o número do agrupador",OFFSET(EVENTOS!$D$14,$A468,0)),OFFSET($F$15,$A468,0)))</f>
        <v>SISTEMA DE PROTEÇÃO CONTRA INCÊNDIO</v>
      </c>
      <c r="O468" s="178"/>
      <c r="Q468" s="178"/>
      <c r="R468" s="179"/>
      <c r="S468" s="179"/>
      <c r="T468" s="179"/>
      <c r="U468" s="179"/>
      <c r="V468" s="179"/>
      <c r="W468" s="179"/>
      <c r="X468" s="179"/>
      <c r="Y468" s="179"/>
      <c r="Z468" s="180"/>
      <c r="AB468" s="544">
        <f ca="1">IF(AND($D468="Serviço",AB$12&lt;&gt;0,$H468&gt;0,OR(AUTOEVENTO&lt;&gt;"manual",$M468&lt;&gt;1)),
IF(Import.TipoArredondamento&lt;&gt;"TransfereGOV",
ROUND(OFFSET($P468,0,AB$13),15-13*ORÇAMENTO!$AF$7)/$H468*OFFSET(ORÇAMENTO!$X$15,ROW(AB468)-ROW(AB$15),0),
ROUND(ROUND(OFFSET($P468,0,AB$13),15-13*ORÇAMENTO!$AF$7)*OFFSET(ORÇAMENTO!$W$15,ROW(AB468)-ROW(AB$15),0),15-13*ORÇAMENTO!$AF$11)),0)</f>
        <v>0</v>
      </c>
      <c r="AC468" s="545">
        <f ca="1">IF(AND($D468="Serviço",AC$12&lt;&gt;0,$H468&gt;0,OR(AUTOEVENTO&lt;&gt;"manual",$M468&lt;&gt;1)),
IF(Import.TipoArredondamento&lt;&gt;"TransfereGOV",
ROUND(OFFSET($P468,0,AC$13),15-13*ORÇAMENTO!$AF$7)/$H468*OFFSET(ORÇAMENTO!$X$15,ROW(AC468)-ROW(AC$15),0),
ROUND(ROUND(OFFSET($P468,0,AC$13),15-13*ORÇAMENTO!$AF$7)*OFFSET(ORÇAMENTO!$W$15,ROW(AC468)-ROW(AC$15),0),15-13*ORÇAMENTO!$AF$11)),0)</f>
        <v>0</v>
      </c>
      <c r="AD468" s="545">
        <f ca="1">IF(AND($D468="Serviço",AD$12&lt;&gt;0,$H468&gt;0,OR(AUTOEVENTO&lt;&gt;"manual",$M468&lt;&gt;1)),
IF(Import.TipoArredondamento&lt;&gt;"TransfereGOV",
ROUND(OFFSET($P468,0,AD$13),15-13*ORÇAMENTO!$AF$7)/$H468*OFFSET(ORÇAMENTO!$X$15,ROW(AD468)-ROW(AD$15),0),
ROUND(ROUND(OFFSET($P468,0,AD$13),15-13*ORÇAMENTO!$AF$7)*OFFSET(ORÇAMENTO!$W$15,ROW(AD468)-ROW(AD$15),0),15-13*ORÇAMENTO!$AF$11)),0)</f>
        <v>0</v>
      </c>
      <c r="AE468" s="545">
        <f ca="1">IF(AND($D468="Serviço",AE$12&lt;&gt;0,$H468&gt;0,OR(AUTOEVENTO&lt;&gt;"manual",$M468&lt;&gt;1)),
IF(Import.TipoArredondamento&lt;&gt;"TransfereGOV",
ROUND(OFFSET($P468,0,AE$13),15-13*ORÇAMENTO!$AF$7)/$H468*OFFSET(ORÇAMENTO!$X$15,ROW(AE468)-ROW(AE$15),0),
ROUND(ROUND(OFFSET($P468,0,AE$13),15-13*ORÇAMENTO!$AF$7)*OFFSET(ORÇAMENTO!$W$15,ROW(AE468)-ROW(AE$15),0),15-13*ORÇAMENTO!$AF$11)),0)</f>
        <v>0</v>
      </c>
      <c r="AF468" s="545">
        <f ca="1">IF(AND($D468="Serviço",AF$12&lt;&gt;0,$H468&gt;0,OR(AUTOEVENTO&lt;&gt;"manual",$M468&lt;&gt;1)),
IF(Import.TipoArredondamento&lt;&gt;"TransfereGOV",
ROUND(OFFSET($P468,0,AF$13),15-13*ORÇAMENTO!$AF$7)/$H468*OFFSET(ORÇAMENTO!$X$15,ROW(AF468)-ROW(AF$15),0),
ROUND(ROUND(OFFSET($P468,0,AF$13),15-13*ORÇAMENTO!$AF$7)*OFFSET(ORÇAMENTO!$W$15,ROW(AF468)-ROW(AF$15),0),15-13*ORÇAMENTO!$AF$11)),0)</f>
        <v>0</v>
      </c>
      <c r="AG468" s="545">
        <f ca="1">IF(AND($D468="Serviço",AG$12&lt;&gt;0,$H468&gt;0,OR(AUTOEVENTO&lt;&gt;"manual",$M468&lt;&gt;1)),
IF(Import.TipoArredondamento&lt;&gt;"TransfereGOV",
ROUND(OFFSET($P468,0,AG$13),15-13*ORÇAMENTO!$AF$7)/$H468*OFFSET(ORÇAMENTO!$X$15,ROW(AG468)-ROW(AG$15),0),
ROUND(ROUND(OFFSET($P468,0,AG$13),15-13*ORÇAMENTO!$AF$7)*OFFSET(ORÇAMENTO!$W$15,ROW(AG468)-ROW(AG$15),0),15-13*ORÇAMENTO!$AF$11)),0)</f>
        <v>0</v>
      </c>
      <c r="AH468" s="545">
        <f ca="1">IF(AND($D468="Serviço",AH$12&lt;&gt;0,$H468&gt;0,OR(AUTOEVENTO&lt;&gt;"manual",$M468&lt;&gt;1)),
IF(Import.TipoArredondamento&lt;&gt;"TransfereGOV",
ROUND(OFFSET($P468,0,AH$13),15-13*ORÇAMENTO!$AF$7)/$H468*OFFSET(ORÇAMENTO!$X$15,ROW(AH468)-ROW(AH$15),0),
ROUND(ROUND(OFFSET($P468,0,AH$13),15-13*ORÇAMENTO!$AF$7)*OFFSET(ORÇAMENTO!$W$15,ROW(AH468)-ROW(AH$15),0),15-13*ORÇAMENTO!$AF$11)),0)</f>
        <v>0</v>
      </c>
      <c r="AI468" s="545">
        <f ca="1">IF(AND($D468="Serviço",AI$12&lt;&gt;0,$H468&gt;0,OR(AUTOEVENTO&lt;&gt;"manual",$M468&lt;&gt;1)),
IF(Import.TipoArredondamento&lt;&gt;"TransfereGOV",
ROUND(OFFSET($P468,0,AI$13),15-13*ORÇAMENTO!$AF$7)/$H468*OFFSET(ORÇAMENTO!$X$15,ROW(AI468)-ROW(AI$15),0),
ROUND(ROUND(OFFSET($P468,0,AI$13),15-13*ORÇAMENTO!$AF$7)*OFFSET(ORÇAMENTO!$W$15,ROW(AI468)-ROW(AI$15),0),15-13*ORÇAMENTO!$AF$11)),0)</f>
        <v>0</v>
      </c>
      <c r="AJ468" s="545">
        <f ca="1">IF(AND($D468="Serviço",AJ$12&lt;&gt;0,$H468&gt;0,OR(AUTOEVENTO&lt;&gt;"manual",$M468&lt;&gt;1)),
IF(Import.TipoArredondamento&lt;&gt;"TransfereGOV",
ROUND(OFFSET($P468,0,AJ$13),15-13*ORÇAMENTO!$AF$7)/$H468*OFFSET(ORÇAMENTO!$X$15,ROW(AJ468)-ROW(AJ$15),0),
ROUND(ROUND(OFFSET($P468,0,AJ$13),15-13*ORÇAMENTO!$AF$7)*OFFSET(ORÇAMENTO!$W$15,ROW(AJ468)-ROW(AJ$15),0),15-13*ORÇAMENTO!$AF$11)),0)</f>
        <v>0</v>
      </c>
      <c r="AK468" s="546">
        <f ca="1">IF(AND($D468="Serviço",AK$12&lt;&gt;0,$H468&gt;0,OR(AUTOEVENTO&lt;&gt;"manual",$M468&lt;&gt;1)),
IF(Import.TipoArredondamento&lt;&gt;"TransfereGOV",
ROUND(OFFSET($P468,0,AK$13),15-13*ORÇAMENTO!$AF$7)/$H468*OFFSET(ORÇAMENTO!$X$15,ROW(AK468)-ROW(AK$15),0),
ROUND(ROUND(OFFSET($P468,0,AK$13),15-13*ORÇAMENTO!$AF$7)*OFFSET(ORÇAMENTO!$W$15,ROW(AK468)-ROW(AK$15),0),15-13*ORÇAMENTO!$AF$11)),0)</f>
        <v>0</v>
      </c>
      <c r="AM468" s="181">
        <f ca="1">IF($D468&lt;&gt;"Serviço",0,IF(AND(AUTOEVENTO="Manual",$M468=1),0,IF(OFFSET(CRONOPLE!$F$14,$M468,AM$13)="",10^12,OFFSET(CRONOPLE!$F$14,$M468,AM$13))))</f>
        <v>1000000000000</v>
      </c>
      <c r="AN468" s="181">
        <f ca="1">IF($D468&lt;&gt;"Serviço",0,IF(AND(AUTOEVENTO="Manual",$M468=1),0,IF(OFFSET(CRONOPLE!$F$14,$M468,AN$13)="",10^12,OFFSET(CRONOPLE!$F$14,$M468,AN$13))))</f>
        <v>1000000000000</v>
      </c>
      <c r="AO468" s="181">
        <f ca="1">IF($D468&lt;&gt;"Serviço",0,IF(AND(AUTOEVENTO="Manual",$M468=1),0,IF(OFFSET(CRONOPLE!$F$14,$M468,AO$13)="",10^12,OFFSET(CRONOPLE!$F$14,$M468,AO$13))))</f>
        <v>1000000000000</v>
      </c>
      <c r="AP468" s="181">
        <f ca="1">IF($D468&lt;&gt;"Serviço",0,IF(AND(AUTOEVENTO="Manual",$M468=1),0,IF(OFFSET(CRONOPLE!$F$14,$M468,AP$13)="",10^12,OFFSET(CRONOPLE!$F$14,$M468,AP$13))))</f>
        <v>1000000000000</v>
      </c>
      <c r="AQ468" s="181">
        <f ca="1">IF($D468&lt;&gt;"Serviço",0,IF(AND(AUTOEVENTO="Manual",$M468=1),0,IF(OFFSET(CRONOPLE!$F$14,$M468,AQ$13)="",10^12,OFFSET(CRONOPLE!$F$14,$M468,AQ$13))))</f>
        <v>1000000000000</v>
      </c>
      <c r="AR468" s="181">
        <f ca="1">IF($D468&lt;&gt;"Serviço",0,IF(AND(AUTOEVENTO="Manual",$M468=1),0,IF(OFFSET(CRONOPLE!$F$14,$M468,AR$13)="",10^12,OFFSET(CRONOPLE!$F$14,$M468,AR$13))))</f>
        <v>1000000000000</v>
      </c>
      <c r="AS468" s="181">
        <f ca="1">IF($D468&lt;&gt;"Serviço",0,IF(AND(AUTOEVENTO="Manual",$M468=1),0,IF(OFFSET(CRONOPLE!$F$14,$M468,AS$13)="",10^12,OFFSET(CRONOPLE!$F$14,$M468,AS$13))))</f>
        <v>1000000000000</v>
      </c>
      <c r="AT468" s="181">
        <f ca="1">IF($D468&lt;&gt;"Serviço",0,IF(AND(AUTOEVENTO="Manual",$M468=1),0,IF(OFFSET(CRONOPLE!$F$14,$M468,AT$13)="",10^12,OFFSET(CRONOPLE!$F$14,$M468,AT$13))))</f>
        <v>1000000000000</v>
      </c>
      <c r="AU468" s="181">
        <f ca="1">IF($D468&lt;&gt;"Serviço",0,IF(AND(AUTOEVENTO="Manual",$M468=1),0,IF(OFFSET(CRONOPLE!$F$14,$M468,AU$13)="",10^12,OFFSET(CRONOPLE!$F$14,$M468,AU$13))))</f>
        <v>1000000000000</v>
      </c>
      <c r="AV468" s="181">
        <f ca="1">IF($D468&lt;&gt;"Serviço",0,IF(AND(AUTOEVENTO="Manual",$M468=1),0,IF(OFFSET(CRONOPLE!$F$14,$M468,AV$13)="",10^12,OFFSET(CRONOPLE!$F$14,$M468,AV$13))))</f>
        <v>1000000000000</v>
      </c>
      <c r="AX468" s="182">
        <f ca="1">IF($D468&lt;&gt;"Serviço",0,IF(OR(AND(AUTOEVENTO="Manual",$M468=1),$M468&gt;(ROW(PLE.lastrow)-ROW(PLE.firstrow))),0,IF(OFFSET(PLE!$G$14,$M468,AX$13)="",10^12,OFFSET(PLE!$G$14,$M468,AX$13))))</f>
        <v>1000000000000</v>
      </c>
      <c r="AY468" s="182">
        <f ca="1">IF($D468&lt;&gt;"Serviço",0,IF(OR(AND(AUTOEVENTO="Manual",$M468=1),$M468&gt;(ROW(PLE.lastrow)-ROW(PLE.firstrow))),0,IF(OFFSET(PLE!$G$14,$M468,AY$13)="",10^12,OFFSET(PLE!$G$14,$M468,AY$13))))</f>
        <v>1000000000000</v>
      </c>
      <c r="AZ468" s="182">
        <f ca="1">IF($D468&lt;&gt;"Serviço",0,IF(OR(AND(AUTOEVENTO="Manual",$M468=1),$M468&gt;(ROW(PLE.lastrow)-ROW(PLE.firstrow))),0,IF(OFFSET(PLE!$G$14,$M468,AZ$13)="",10^12,OFFSET(PLE!$G$14,$M468,AZ$13))))</f>
        <v>1000000000000</v>
      </c>
      <c r="BA468" s="182">
        <f ca="1">IF($D468&lt;&gt;"Serviço",0,IF(OR(AND(AUTOEVENTO="Manual",$M468=1),$M468&gt;(ROW(PLE.lastrow)-ROW(PLE.firstrow))),0,IF(OFFSET(PLE!$G$14,$M468,BA$13)="",10^12,OFFSET(PLE!$G$14,$M468,BA$13))))</f>
        <v>1000000000000</v>
      </c>
      <c r="BB468" s="182">
        <f ca="1">IF($D468&lt;&gt;"Serviço",0,IF(OR(AND(AUTOEVENTO="Manual",$M468=1),$M468&gt;(ROW(PLE.lastrow)-ROW(PLE.firstrow))),0,IF(OFFSET(PLE!$G$14,$M468,BB$13)="",10^12,OFFSET(PLE!$G$14,$M468,BB$13))))</f>
        <v>1000000000000</v>
      </c>
      <c r="BC468" s="182">
        <f ca="1">IF($D468&lt;&gt;"Serviço",0,IF(OR(AND(AUTOEVENTO="Manual",$M468=1),$M468&gt;(ROW(PLE.lastrow)-ROW(PLE.firstrow))),0,IF(OFFSET(PLE!$G$14,$M468,BC$13)="",10^12,OFFSET(PLE!$G$14,$M468,BC$13))))</f>
        <v>1000000000000</v>
      </c>
      <c r="BD468" s="182">
        <f ca="1">IF($D468&lt;&gt;"Serviço",0,IF(OR(AND(AUTOEVENTO="Manual",$M468=1),$M468&gt;(ROW(PLE.lastrow)-ROW(PLE.firstrow))),0,IF(OFFSET(PLE!$G$14,$M468,BD$13)="",10^12,OFFSET(PLE!$G$14,$M468,BD$13))))</f>
        <v>1000000000000</v>
      </c>
      <c r="BE468" s="182">
        <f ca="1">IF($D468&lt;&gt;"Serviço",0,IF(OR(AND(AUTOEVENTO="Manual",$M468=1),$M468&gt;(ROW(PLE.lastrow)-ROW(PLE.firstrow))),0,IF(OFFSET(PLE!$G$14,$M468,BE$13)="",10^12,OFFSET(PLE!$G$14,$M468,BE$13))))</f>
        <v>1000000000000</v>
      </c>
      <c r="BF468" s="182">
        <f ca="1">IF($D468&lt;&gt;"Serviço",0,IF(OR(AND(AUTOEVENTO="Manual",$M468=1),$M468&gt;(ROW(PLE.lastrow)-ROW(PLE.firstrow))),0,IF(OFFSET(PLE!$G$14,$M468,BF$13)="",10^12,OFFSET(PLE!$G$14,$M468,BF$13))))</f>
        <v>1000000000000</v>
      </c>
      <c r="BG468" s="182">
        <f ca="1">IF($D468&lt;&gt;"Serviço",0,IF(OR(AND(AUTOEVENTO="Manual",$M468=1),$M468&gt;(ROW(PLE.lastrow)-ROW(PLE.firstrow))),0,IF(OFFSET(PLE!$G$14,$M468,BG$13)="",10^12,OFFSET(PLE!$G$14,$M468,BG$13))))</f>
        <v>1000000000000</v>
      </c>
    </row>
    <row r="469" spans="1:59" ht="38.25" x14ac:dyDescent="0.2">
      <c r="A469" s="7" t="str">
        <f t="shared" ca="1" si="14"/>
        <v>411</v>
      </c>
      <c r="B469" s="7" t="str">
        <f ca="1">OFFSET(ORÇAMENTO!C$15,ROW(B469)-ROW(B$15),0)</f>
        <v>S</v>
      </c>
      <c r="C469" s="7" t="str">
        <f ca="1">OFFSET(ORÇAMENTO!L$15,ROW(C469)-ROW(C$15),0)</f>
        <v/>
      </c>
      <c r="D469" s="118" t="str">
        <f ca="1">OFFSET(ORÇAMENTO!N$15,ROW(D469)-ROW(D$15),0)</f>
        <v>Serviço</v>
      </c>
      <c r="E469" s="119" t="str">
        <f ca="1">OFFSET(ORÇAMENTO!O$15,ROW(E469)-ROW(E$15),0)</f>
        <v>-</v>
      </c>
      <c r="F469" s="172" t="str">
        <f ca="1">OFFSET(ORÇAMENTO!R$15,ROW(F469)-ROW(F$15),0)</f>
        <v>(abra o arquivo 'Referência 02-2025.xlsm)</v>
      </c>
      <c r="G469" s="173" t="str">
        <f ca="1">IF($D469&lt;&gt;"Serviço","",OFFSET(ORÇAMENTO!S$15,ROW(G469)-ROW(G$15),0))</f>
        <v>-</v>
      </c>
      <c r="H469" s="124">
        <f ca="1">IF($D469&lt;&gt;"Serviço",0,IF(ACOMPANHAMENTO="BM",ROUND(OFFSET(ORÇAMENTO!AJ$15,ROW(H469)-ROW(H$15),0),15-13*ORÇAMENTO!$AF$7),SUMPRODUCT(($Q$12:$AA$12&lt;&gt;"")*ROUND($Q469:$AA469,15-13*ORÇAMENTO!$AF$7))))</f>
        <v>3</v>
      </c>
      <c r="I469" s="561" t="s">
        <v>890</v>
      </c>
      <c r="K469" s="174"/>
      <c r="L469" s="175" t="s">
        <v>255</v>
      </c>
      <c r="M469" s="176">
        <f ca="1">IF($D469&lt;&gt;"Serviço","",IF(AUTOEVENTO="manual",$A469,IF(ISERROR(MATCH($A469,$A$15:OFFSET($A469,-1,0),0)),MAX($M$15:OFFSET(M469,-1,0))+1,INDEX($M$15:OFFSET(M469,-1,0),MATCH($A469,$A$15:OFFSET($A469,-1,0),0)))))</f>
        <v>17</v>
      </c>
      <c r="N469" s="177" t="str">
        <f ca="1">IF($D469&lt;&gt;"Serviço","",IF(AUTOEVENTO="Manual",IF($A469=0,"&lt;-- defina o número do agrupador",OFFSET(EVENTOS!$D$14,$A469,0)),OFFSET($F$15,$A469,0)))</f>
        <v>SISTEMA DE PROTEÇÃO CONTRA INCÊNDIO</v>
      </c>
      <c r="O469" s="178"/>
      <c r="Q469" s="178"/>
      <c r="R469" s="179"/>
      <c r="S469" s="179"/>
      <c r="T469" s="179"/>
      <c r="U469" s="179"/>
      <c r="V469" s="179"/>
      <c r="W469" s="179"/>
      <c r="X469" s="179"/>
      <c r="Y469" s="179"/>
      <c r="Z469" s="180"/>
      <c r="AB469" s="544">
        <f ca="1">IF(AND($D469="Serviço",AB$12&lt;&gt;0,$H469&gt;0,OR(AUTOEVENTO&lt;&gt;"manual",$M469&lt;&gt;1)),
IF(Import.TipoArredondamento&lt;&gt;"TransfereGOV",
ROUND(OFFSET($P469,0,AB$13),15-13*ORÇAMENTO!$AF$7)/$H469*OFFSET(ORÇAMENTO!$X$15,ROW(AB469)-ROW(AB$15),0),
ROUND(ROUND(OFFSET($P469,0,AB$13),15-13*ORÇAMENTO!$AF$7)*OFFSET(ORÇAMENTO!$W$15,ROW(AB469)-ROW(AB$15),0),15-13*ORÇAMENTO!$AF$11)),0)</f>
        <v>0</v>
      </c>
      <c r="AC469" s="545">
        <f ca="1">IF(AND($D469="Serviço",AC$12&lt;&gt;0,$H469&gt;0,OR(AUTOEVENTO&lt;&gt;"manual",$M469&lt;&gt;1)),
IF(Import.TipoArredondamento&lt;&gt;"TransfereGOV",
ROUND(OFFSET($P469,0,AC$13),15-13*ORÇAMENTO!$AF$7)/$H469*OFFSET(ORÇAMENTO!$X$15,ROW(AC469)-ROW(AC$15),0),
ROUND(ROUND(OFFSET($P469,0,AC$13),15-13*ORÇAMENTO!$AF$7)*OFFSET(ORÇAMENTO!$W$15,ROW(AC469)-ROW(AC$15),0),15-13*ORÇAMENTO!$AF$11)),0)</f>
        <v>0</v>
      </c>
      <c r="AD469" s="545">
        <f ca="1">IF(AND($D469="Serviço",AD$12&lt;&gt;0,$H469&gt;0,OR(AUTOEVENTO&lt;&gt;"manual",$M469&lt;&gt;1)),
IF(Import.TipoArredondamento&lt;&gt;"TransfereGOV",
ROUND(OFFSET($P469,0,AD$13),15-13*ORÇAMENTO!$AF$7)/$H469*OFFSET(ORÇAMENTO!$X$15,ROW(AD469)-ROW(AD$15),0),
ROUND(ROUND(OFFSET($P469,0,AD$13),15-13*ORÇAMENTO!$AF$7)*OFFSET(ORÇAMENTO!$W$15,ROW(AD469)-ROW(AD$15),0),15-13*ORÇAMENTO!$AF$11)),0)</f>
        <v>0</v>
      </c>
      <c r="AE469" s="545">
        <f ca="1">IF(AND($D469="Serviço",AE$12&lt;&gt;0,$H469&gt;0,OR(AUTOEVENTO&lt;&gt;"manual",$M469&lt;&gt;1)),
IF(Import.TipoArredondamento&lt;&gt;"TransfereGOV",
ROUND(OFFSET($P469,0,AE$13),15-13*ORÇAMENTO!$AF$7)/$H469*OFFSET(ORÇAMENTO!$X$15,ROW(AE469)-ROW(AE$15),0),
ROUND(ROUND(OFFSET($P469,0,AE$13),15-13*ORÇAMENTO!$AF$7)*OFFSET(ORÇAMENTO!$W$15,ROW(AE469)-ROW(AE$15),0),15-13*ORÇAMENTO!$AF$11)),0)</f>
        <v>0</v>
      </c>
      <c r="AF469" s="545">
        <f ca="1">IF(AND($D469="Serviço",AF$12&lt;&gt;0,$H469&gt;0,OR(AUTOEVENTO&lt;&gt;"manual",$M469&lt;&gt;1)),
IF(Import.TipoArredondamento&lt;&gt;"TransfereGOV",
ROUND(OFFSET($P469,0,AF$13),15-13*ORÇAMENTO!$AF$7)/$H469*OFFSET(ORÇAMENTO!$X$15,ROW(AF469)-ROW(AF$15),0),
ROUND(ROUND(OFFSET($P469,0,AF$13),15-13*ORÇAMENTO!$AF$7)*OFFSET(ORÇAMENTO!$W$15,ROW(AF469)-ROW(AF$15),0),15-13*ORÇAMENTO!$AF$11)),0)</f>
        <v>0</v>
      </c>
      <c r="AG469" s="545">
        <f ca="1">IF(AND($D469="Serviço",AG$12&lt;&gt;0,$H469&gt;0,OR(AUTOEVENTO&lt;&gt;"manual",$M469&lt;&gt;1)),
IF(Import.TipoArredondamento&lt;&gt;"TransfereGOV",
ROUND(OFFSET($P469,0,AG$13),15-13*ORÇAMENTO!$AF$7)/$H469*OFFSET(ORÇAMENTO!$X$15,ROW(AG469)-ROW(AG$15),0),
ROUND(ROUND(OFFSET($P469,0,AG$13),15-13*ORÇAMENTO!$AF$7)*OFFSET(ORÇAMENTO!$W$15,ROW(AG469)-ROW(AG$15),0),15-13*ORÇAMENTO!$AF$11)),0)</f>
        <v>0</v>
      </c>
      <c r="AH469" s="545">
        <f ca="1">IF(AND($D469="Serviço",AH$12&lt;&gt;0,$H469&gt;0,OR(AUTOEVENTO&lt;&gt;"manual",$M469&lt;&gt;1)),
IF(Import.TipoArredondamento&lt;&gt;"TransfereGOV",
ROUND(OFFSET($P469,0,AH$13),15-13*ORÇAMENTO!$AF$7)/$H469*OFFSET(ORÇAMENTO!$X$15,ROW(AH469)-ROW(AH$15),0),
ROUND(ROUND(OFFSET($P469,0,AH$13),15-13*ORÇAMENTO!$AF$7)*OFFSET(ORÇAMENTO!$W$15,ROW(AH469)-ROW(AH$15),0),15-13*ORÇAMENTO!$AF$11)),0)</f>
        <v>0</v>
      </c>
      <c r="AI469" s="545">
        <f ca="1">IF(AND($D469="Serviço",AI$12&lt;&gt;0,$H469&gt;0,OR(AUTOEVENTO&lt;&gt;"manual",$M469&lt;&gt;1)),
IF(Import.TipoArredondamento&lt;&gt;"TransfereGOV",
ROUND(OFFSET($P469,0,AI$13),15-13*ORÇAMENTO!$AF$7)/$H469*OFFSET(ORÇAMENTO!$X$15,ROW(AI469)-ROW(AI$15),0),
ROUND(ROUND(OFFSET($P469,0,AI$13),15-13*ORÇAMENTO!$AF$7)*OFFSET(ORÇAMENTO!$W$15,ROW(AI469)-ROW(AI$15),0),15-13*ORÇAMENTO!$AF$11)),0)</f>
        <v>0</v>
      </c>
      <c r="AJ469" s="545">
        <f ca="1">IF(AND($D469="Serviço",AJ$12&lt;&gt;0,$H469&gt;0,OR(AUTOEVENTO&lt;&gt;"manual",$M469&lt;&gt;1)),
IF(Import.TipoArredondamento&lt;&gt;"TransfereGOV",
ROUND(OFFSET($P469,0,AJ$13),15-13*ORÇAMENTO!$AF$7)/$H469*OFFSET(ORÇAMENTO!$X$15,ROW(AJ469)-ROW(AJ$15),0),
ROUND(ROUND(OFFSET($P469,0,AJ$13),15-13*ORÇAMENTO!$AF$7)*OFFSET(ORÇAMENTO!$W$15,ROW(AJ469)-ROW(AJ$15),0),15-13*ORÇAMENTO!$AF$11)),0)</f>
        <v>0</v>
      </c>
      <c r="AK469" s="546">
        <f ca="1">IF(AND($D469="Serviço",AK$12&lt;&gt;0,$H469&gt;0,OR(AUTOEVENTO&lt;&gt;"manual",$M469&lt;&gt;1)),
IF(Import.TipoArredondamento&lt;&gt;"TransfereGOV",
ROUND(OFFSET($P469,0,AK$13),15-13*ORÇAMENTO!$AF$7)/$H469*OFFSET(ORÇAMENTO!$X$15,ROW(AK469)-ROW(AK$15),0),
ROUND(ROUND(OFFSET($P469,0,AK$13),15-13*ORÇAMENTO!$AF$7)*OFFSET(ORÇAMENTO!$W$15,ROW(AK469)-ROW(AK$15),0),15-13*ORÇAMENTO!$AF$11)),0)</f>
        <v>0</v>
      </c>
      <c r="AM469" s="181">
        <f ca="1">IF($D469&lt;&gt;"Serviço",0,IF(AND(AUTOEVENTO="Manual",$M469=1),0,IF(OFFSET(CRONOPLE!$F$14,$M469,AM$13)="",10^12,OFFSET(CRONOPLE!$F$14,$M469,AM$13))))</f>
        <v>1000000000000</v>
      </c>
      <c r="AN469" s="181">
        <f ca="1">IF($D469&lt;&gt;"Serviço",0,IF(AND(AUTOEVENTO="Manual",$M469=1),0,IF(OFFSET(CRONOPLE!$F$14,$M469,AN$13)="",10^12,OFFSET(CRONOPLE!$F$14,$M469,AN$13))))</f>
        <v>1000000000000</v>
      </c>
      <c r="AO469" s="181">
        <f ca="1">IF($D469&lt;&gt;"Serviço",0,IF(AND(AUTOEVENTO="Manual",$M469=1),0,IF(OFFSET(CRONOPLE!$F$14,$M469,AO$13)="",10^12,OFFSET(CRONOPLE!$F$14,$M469,AO$13))))</f>
        <v>1000000000000</v>
      </c>
      <c r="AP469" s="181">
        <f ca="1">IF($D469&lt;&gt;"Serviço",0,IF(AND(AUTOEVENTO="Manual",$M469=1),0,IF(OFFSET(CRONOPLE!$F$14,$M469,AP$13)="",10^12,OFFSET(CRONOPLE!$F$14,$M469,AP$13))))</f>
        <v>1000000000000</v>
      </c>
      <c r="AQ469" s="181">
        <f ca="1">IF($D469&lt;&gt;"Serviço",0,IF(AND(AUTOEVENTO="Manual",$M469=1),0,IF(OFFSET(CRONOPLE!$F$14,$M469,AQ$13)="",10^12,OFFSET(CRONOPLE!$F$14,$M469,AQ$13))))</f>
        <v>1000000000000</v>
      </c>
      <c r="AR469" s="181">
        <f ca="1">IF($D469&lt;&gt;"Serviço",0,IF(AND(AUTOEVENTO="Manual",$M469=1),0,IF(OFFSET(CRONOPLE!$F$14,$M469,AR$13)="",10^12,OFFSET(CRONOPLE!$F$14,$M469,AR$13))))</f>
        <v>1000000000000</v>
      </c>
      <c r="AS469" s="181">
        <f ca="1">IF($D469&lt;&gt;"Serviço",0,IF(AND(AUTOEVENTO="Manual",$M469=1),0,IF(OFFSET(CRONOPLE!$F$14,$M469,AS$13)="",10^12,OFFSET(CRONOPLE!$F$14,$M469,AS$13))))</f>
        <v>1000000000000</v>
      </c>
      <c r="AT469" s="181">
        <f ca="1">IF($D469&lt;&gt;"Serviço",0,IF(AND(AUTOEVENTO="Manual",$M469=1),0,IF(OFFSET(CRONOPLE!$F$14,$M469,AT$13)="",10^12,OFFSET(CRONOPLE!$F$14,$M469,AT$13))))</f>
        <v>1000000000000</v>
      </c>
      <c r="AU469" s="181">
        <f ca="1">IF($D469&lt;&gt;"Serviço",0,IF(AND(AUTOEVENTO="Manual",$M469=1),0,IF(OFFSET(CRONOPLE!$F$14,$M469,AU$13)="",10^12,OFFSET(CRONOPLE!$F$14,$M469,AU$13))))</f>
        <v>1000000000000</v>
      </c>
      <c r="AV469" s="181">
        <f ca="1">IF($D469&lt;&gt;"Serviço",0,IF(AND(AUTOEVENTO="Manual",$M469=1),0,IF(OFFSET(CRONOPLE!$F$14,$M469,AV$13)="",10^12,OFFSET(CRONOPLE!$F$14,$M469,AV$13))))</f>
        <v>1000000000000</v>
      </c>
      <c r="AX469" s="182">
        <f ca="1">IF($D469&lt;&gt;"Serviço",0,IF(OR(AND(AUTOEVENTO="Manual",$M469=1),$M469&gt;(ROW(PLE.lastrow)-ROW(PLE.firstrow))),0,IF(OFFSET(PLE!$G$14,$M469,AX$13)="",10^12,OFFSET(PLE!$G$14,$M469,AX$13))))</f>
        <v>1000000000000</v>
      </c>
      <c r="AY469" s="182">
        <f ca="1">IF($D469&lt;&gt;"Serviço",0,IF(OR(AND(AUTOEVENTO="Manual",$M469=1),$M469&gt;(ROW(PLE.lastrow)-ROW(PLE.firstrow))),0,IF(OFFSET(PLE!$G$14,$M469,AY$13)="",10^12,OFFSET(PLE!$G$14,$M469,AY$13))))</f>
        <v>1000000000000</v>
      </c>
      <c r="AZ469" s="182">
        <f ca="1">IF($D469&lt;&gt;"Serviço",0,IF(OR(AND(AUTOEVENTO="Manual",$M469=1),$M469&gt;(ROW(PLE.lastrow)-ROW(PLE.firstrow))),0,IF(OFFSET(PLE!$G$14,$M469,AZ$13)="",10^12,OFFSET(PLE!$G$14,$M469,AZ$13))))</f>
        <v>1000000000000</v>
      </c>
      <c r="BA469" s="182">
        <f ca="1">IF($D469&lt;&gt;"Serviço",0,IF(OR(AND(AUTOEVENTO="Manual",$M469=1),$M469&gt;(ROW(PLE.lastrow)-ROW(PLE.firstrow))),0,IF(OFFSET(PLE!$G$14,$M469,BA$13)="",10^12,OFFSET(PLE!$G$14,$M469,BA$13))))</f>
        <v>1000000000000</v>
      </c>
      <c r="BB469" s="182">
        <f ca="1">IF($D469&lt;&gt;"Serviço",0,IF(OR(AND(AUTOEVENTO="Manual",$M469=1),$M469&gt;(ROW(PLE.lastrow)-ROW(PLE.firstrow))),0,IF(OFFSET(PLE!$G$14,$M469,BB$13)="",10^12,OFFSET(PLE!$G$14,$M469,BB$13))))</f>
        <v>1000000000000</v>
      </c>
      <c r="BC469" s="182">
        <f ca="1">IF($D469&lt;&gt;"Serviço",0,IF(OR(AND(AUTOEVENTO="Manual",$M469=1),$M469&gt;(ROW(PLE.lastrow)-ROW(PLE.firstrow))),0,IF(OFFSET(PLE!$G$14,$M469,BC$13)="",10^12,OFFSET(PLE!$G$14,$M469,BC$13))))</f>
        <v>1000000000000</v>
      </c>
      <c r="BD469" s="182">
        <f ca="1">IF($D469&lt;&gt;"Serviço",0,IF(OR(AND(AUTOEVENTO="Manual",$M469=1),$M469&gt;(ROW(PLE.lastrow)-ROW(PLE.firstrow))),0,IF(OFFSET(PLE!$G$14,$M469,BD$13)="",10^12,OFFSET(PLE!$G$14,$M469,BD$13))))</f>
        <v>1000000000000</v>
      </c>
      <c r="BE469" s="182">
        <f ca="1">IF($D469&lt;&gt;"Serviço",0,IF(OR(AND(AUTOEVENTO="Manual",$M469=1),$M469&gt;(ROW(PLE.lastrow)-ROW(PLE.firstrow))),0,IF(OFFSET(PLE!$G$14,$M469,BE$13)="",10^12,OFFSET(PLE!$G$14,$M469,BE$13))))</f>
        <v>1000000000000</v>
      </c>
      <c r="BF469" s="182">
        <f ca="1">IF($D469&lt;&gt;"Serviço",0,IF(OR(AND(AUTOEVENTO="Manual",$M469=1),$M469&gt;(ROW(PLE.lastrow)-ROW(PLE.firstrow))),0,IF(OFFSET(PLE!$G$14,$M469,BF$13)="",10^12,OFFSET(PLE!$G$14,$M469,BF$13))))</f>
        <v>1000000000000</v>
      </c>
      <c r="BG469" s="182">
        <f ca="1">IF($D469&lt;&gt;"Serviço",0,IF(OR(AND(AUTOEVENTO="Manual",$M469=1),$M469&gt;(ROW(PLE.lastrow)-ROW(PLE.firstrow))),0,IF(OFFSET(PLE!$G$14,$M469,BG$13)="",10^12,OFFSET(PLE!$G$14,$M469,BG$13))))</f>
        <v>1000000000000</v>
      </c>
    </row>
    <row r="470" spans="1:59" ht="25.5" x14ac:dyDescent="0.2">
      <c r="A470" s="7" t="str">
        <f t="shared" ca="1" si="14"/>
        <v>411</v>
      </c>
      <c r="B470" s="7" t="str">
        <f ca="1">OFFSET(ORÇAMENTO!C$15,ROW(B470)-ROW(B$15),0)</f>
        <v>S</v>
      </c>
      <c r="C470" s="7" t="str">
        <f ca="1">OFFSET(ORÇAMENTO!L$15,ROW(C470)-ROW(C$15),0)</f>
        <v/>
      </c>
      <c r="D470" s="118" t="str">
        <f ca="1">OFFSET(ORÇAMENTO!N$15,ROW(D470)-ROW(D$15),0)</f>
        <v>Serviço</v>
      </c>
      <c r="E470" s="119" t="str">
        <f ca="1">OFFSET(ORÇAMENTO!O$15,ROW(E470)-ROW(E$15),0)</f>
        <v>-</v>
      </c>
      <c r="F470" s="172" t="str">
        <f ca="1">OFFSET(ORÇAMENTO!R$15,ROW(F470)-ROW(F$15),0)</f>
        <v>(abra o arquivo 'Referência 02-2025.xlsm)</v>
      </c>
      <c r="G470" s="173" t="str">
        <f ca="1">IF($D470&lt;&gt;"Serviço","",OFFSET(ORÇAMENTO!S$15,ROW(G470)-ROW(G$15),0))</f>
        <v>-</v>
      </c>
      <c r="H470" s="124">
        <f ca="1">IF($D470&lt;&gt;"Serviço",0,IF(ACOMPANHAMENTO="BM",ROUND(OFFSET(ORÇAMENTO!AJ$15,ROW(H470)-ROW(H$15),0),15-13*ORÇAMENTO!$AF$7),SUMPRODUCT(($Q$12:$AA$12&lt;&gt;"")*ROUND($Q470:$AA470,15-13*ORÇAMENTO!$AF$7))))</f>
        <v>1</v>
      </c>
      <c r="I470" s="561" t="s">
        <v>890</v>
      </c>
      <c r="K470" s="174"/>
      <c r="L470" s="175" t="s">
        <v>255</v>
      </c>
      <c r="M470" s="176">
        <f ca="1">IF($D470&lt;&gt;"Serviço","",IF(AUTOEVENTO="manual",$A470,IF(ISERROR(MATCH($A470,$A$15:OFFSET($A470,-1,0),0)),MAX($M$15:OFFSET(M470,-1,0))+1,INDEX($M$15:OFFSET(M470,-1,0),MATCH($A470,$A$15:OFFSET($A470,-1,0),0)))))</f>
        <v>17</v>
      </c>
      <c r="N470" s="177" t="str">
        <f ca="1">IF($D470&lt;&gt;"Serviço","",IF(AUTOEVENTO="Manual",IF($A470=0,"&lt;-- defina o número do agrupador",OFFSET(EVENTOS!$D$14,$A470,0)),OFFSET($F$15,$A470,0)))</f>
        <v>SISTEMA DE PROTEÇÃO CONTRA INCÊNDIO</v>
      </c>
      <c r="O470" s="178"/>
      <c r="Q470" s="178"/>
      <c r="R470" s="179"/>
      <c r="S470" s="179"/>
      <c r="T470" s="179"/>
      <c r="U470" s="179"/>
      <c r="V470" s="179"/>
      <c r="W470" s="179"/>
      <c r="X470" s="179"/>
      <c r="Y470" s="179"/>
      <c r="Z470" s="180"/>
      <c r="AB470" s="544">
        <f ca="1">IF(AND($D470="Serviço",AB$12&lt;&gt;0,$H470&gt;0,OR(AUTOEVENTO&lt;&gt;"manual",$M470&lt;&gt;1)),
IF(Import.TipoArredondamento&lt;&gt;"TransfereGOV",
ROUND(OFFSET($P470,0,AB$13),15-13*ORÇAMENTO!$AF$7)/$H470*OFFSET(ORÇAMENTO!$X$15,ROW(AB470)-ROW(AB$15),0),
ROUND(ROUND(OFFSET($P470,0,AB$13),15-13*ORÇAMENTO!$AF$7)*OFFSET(ORÇAMENTO!$W$15,ROW(AB470)-ROW(AB$15),0),15-13*ORÇAMENTO!$AF$11)),0)</f>
        <v>0</v>
      </c>
      <c r="AC470" s="545">
        <f ca="1">IF(AND($D470="Serviço",AC$12&lt;&gt;0,$H470&gt;0,OR(AUTOEVENTO&lt;&gt;"manual",$M470&lt;&gt;1)),
IF(Import.TipoArredondamento&lt;&gt;"TransfereGOV",
ROUND(OFFSET($P470,0,AC$13),15-13*ORÇAMENTO!$AF$7)/$H470*OFFSET(ORÇAMENTO!$X$15,ROW(AC470)-ROW(AC$15),0),
ROUND(ROUND(OFFSET($P470,0,AC$13),15-13*ORÇAMENTO!$AF$7)*OFFSET(ORÇAMENTO!$W$15,ROW(AC470)-ROW(AC$15),0),15-13*ORÇAMENTO!$AF$11)),0)</f>
        <v>0</v>
      </c>
      <c r="AD470" s="545">
        <f ca="1">IF(AND($D470="Serviço",AD$12&lt;&gt;0,$H470&gt;0,OR(AUTOEVENTO&lt;&gt;"manual",$M470&lt;&gt;1)),
IF(Import.TipoArredondamento&lt;&gt;"TransfereGOV",
ROUND(OFFSET($P470,0,AD$13),15-13*ORÇAMENTO!$AF$7)/$H470*OFFSET(ORÇAMENTO!$X$15,ROW(AD470)-ROW(AD$15),0),
ROUND(ROUND(OFFSET($P470,0,AD$13),15-13*ORÇAMENTO!$AF$7)*OFFSET(ORÇAMENTO!$W$15,ROW(AD470)-ROW(AD$15),0),15-13*ORÇAMENTO!$AF$11)),0)</f>
        <v>0</v>
      </c>
      <c r="AE470" s="545">
        <f ca="1">IF(AND($D470="Serviço",AE$12&lt;&gt;0,$H470&gt;0,OR(AUTOEVENTO&lt;&gt;"manual",$M470&lt;&gt;1)),
IF(Import.TipoArredondamento&lt;&gt;"TransfereGOV",
ROUND(OFFSET($P470,0,AE$13),15-13*ORÇAMENTO!$AF$7)/$H470*OFFSET(ORÇAMENTO!$X$15,ROW(AE470)-ROW(AE$15),0),
ROUND(ROUND(OFFSET($P470,0,AE$13),15-13*ORÇAMENTO!$AF$7)*OFFSET(ORÇAMENTO!$W$15,ROW(AE470)-ROW(AE$15),0),15-13*ORÇAMENTO!$AF$11)),0)</f>
        <v>0</v>
      </c>
      <c r="AF470" s="545">
        <f ca="1">IF(AND($D470="Serviço",AF$12&lt;&gt;0,$H470&gt;0,OR(AUTOEVENTO&lt;&gt;"manual",$M470&lt;&gt;1)),
IF(Import.TipoArredondamento&lt;&gt;"TransfereGOV",
ROUND(OFFSET($P470,0,AF$13),15-13*ORÇAMENTO!$AF$7)/$H470*OFFSET(ORÇAMENTO!$X$15,ROW(AF470)-ROW(AF$15),0),
ROUND(ROUND(OFFSET($P470,0,AF$13),15-13*ORÇAMENTO!$AF$7)*OFFSET(ORÇAMENTO!$W$15,ROW(AF470)-ROW(AF$15),0),15-13*ORÇAMENTO!$AF$11)),0)</f>
        <v>0</v>
      </c>
      <c r="AG470" s="545">
        <f ca="1">IF(AND($D470="Serviço",AG$12&lt;&gt;0,$H470&gt;0,OR(AUTOEVENTO&lt;&gt;"manual",$M470&lt;&gt;1)),
IF(Import.TipoArredondamento&lt;&gt;"TransfereGOV",
ROUND(OFFSET($P470,0,AG$13),15-13*ORÇAMENTO!$AF$7)/$H470*OFFSET(ORÇAMENTO!$X$15,ROW(AG470)-ROW(AG$15),0),
ROUND(ROUND(OFFSET($P470,0,AG$13),15-13*ORÇAMENTO!$AF$7)*OFFSET(ORÇAMENTO!$W$15,ROW(AG470)-ROW(AG$15),0),15-13*ORÇAMENTO!$AF$11)),0)</f>
        <v>0</v>
      </c>
      <c r="AH470" s="545">
        <f ca="1">IF(AND($D470="Serviço",AH$12&lt;&gt;0,$H470&gt;0,OR(AUTOEVENTO&lt;&gt;"manual",$M470&lt;&gt;1)),
IF(Import.TipoArredondamento&lt;&gt;"TransfereGOV",
ROUND(OFFSET($P470,0,AH$13),15-13*ORÇAMENTO!$AF$7)/$H470*OFFSET(ORÇAMENTO!$X$15,ROW(AH470)-ROW(AH$15),0),
ROUND(ROUND(OFFSET($P470,0,AH$13),15-13*ORÇAMENTO!$AF$7)*OFFSET(ORÇAMENTO!$W$15,ROW(AH470)-ROW(AH$15),0),15-13*ORÇAMENTO!$AF$11)),0)</f>
        <v>0</v>
      </c>
      <c r="AI470" s="545">
        <f ca="1">IF(AND($D470="Serviço",AI$12&lt;&gt;0,$H470&gt;0,OR(AUTOEVENTO&lt;&gt;"manual",$M470&lt;&gt;1)),
IF(Import.TipoArredondamento&lt;&gt;"TransfereGOV",
ROUND(OFFSET($P470,0,AI$13),15-13*ORÇAMENTO!$AF$7)/$H470*OFFSET(ORÇAMENTO!$X$15,ROW(AI470)-ROW(AI$15),0),
ROUND(ROUND(OFFSET($P470,0,AI$13),15-13*ORÇAMENTO!$AF$7)*OFFSET(ORÇAMENTO!$W$15,ROW(AI470)-ROW(AI$15),0),15-13*ORÇAMENTO!$AF$11)),0)</f>
        <v>0</v>
      </c>
      <c r="AJ470" s="545">
        <f ca="1">IF(AND($D470="Serviço",AJ$12&lt;&gt;0,$H470&gt;0,OR(AUTOEVENTO&lt;&gt;"manual",$M470&lt;&gt;1)),
IF(Import.TipoArredondamento&lt;&gt;"TransfereGOV",
ROUND(OFFSET($P470,0,AJ$13),15-13*ORÇAMENTO!$AF$7)/$H470*OFFSET(ORÇAMENTO!$X$15,ROW(AJ470)-ROW(AJ$15),0),
ROUND(ROUND(OFFSET($P470,0,AJ$13),15-13*ORÇAMENTO!$AF$7)*OFFSET(ORÇAMENTO!$W$15,ROW(AJ470)-ROW(AJ$15),0),15-13*ORÇAMENTO!$AF$11)),0)</f>
        <v>0</v>
      </c>
      <c r="AK470" s="546">
        <f ca="1">IF(AND($D470="Serviço",AK$12&lt;&gt;0,$H470&gt;0,OR(AUTOEVENTO&lt;&gt;"manual",$M470&lt;&gt;1)),
IF(Import.TipoArredondamento&lt;&gt;"TransfereGOV",
ROUND(OFFSET($P470,0,AK$13),15-13*ORÇAMENTO!$AF$7)/$H470*OFFSET(ORÇAMENTO!$X$15,ROW(AK470)-ROW(AK$15),0),
ROUND(ROUND(OFFSET($P470,0,AK$13),15-13*ORÇAMENTO!$AF$7)*OFFSET(ORÇAMENTO!$W$15,ROW(AK470)-ROW(AK$15),0),15-13*ORÇAMENTO!$AF$11)),0)</f>
        <v>0</v>
      </c>
      <c r="AM470" s="181">
        <f ca="1">IF($D470&lt;&gt;"Serviço",0,IF(AND(AUTOEVENTO="Manual",$M470=1),0,IF(OFFSET(CRONOPLE!$F$14,$M470,AM$13)="",10^12,OFFSET(CRONOPLE!$F$14,$M470,AM$13))))</f>
        <v>1000000000000</v>
      </c>
      <c r="AN470" s="181">
        <f ca="1">IF($D470&lt;&gt;"Serviço",0,IF(AND(AUTOEVENTO="Manual",$M470=1),0,IF(OFFSET(CRONOPLE!$F$14,$M470,AN$13)="",10^12,OFFSET(CRONOPLE!$F$14,$M470,AN$13))))</f>
        <v>1000000000000</v>
      </c>
      <c r="AO470" s="181">
        <f ca="1">IF($D470&lt;&gt;"Serviço",0,IF(AND(AUTOEVENTO="Manual",$M470=1),0,IF(OFFSET(CRONOPLE!$F$14,$M470,AO$13)="",10^12,OFFSET(CRONOPLE!$F$14,$M470,AO$13))))</f>
        <v>1000000000000</v>
      </c>
      <c r="AP470" s="181">
        <f ca="1">IF($D470&lt;&gt;"Serviço",0,IF(AND(AUTOEVENTO="Manual",$M470=1),0,IF(OFFSET(CRONOPLE!$F$14,$M470,AP$13)="",10^12,OFFSET(CRONOPLE!$F$14,$M470,AP$13))))</f>
        <v>1000000000000</v>
      </c>
      <c r="AQ470" s="181">
        <f ca="1">IF($D470&lt;&gt;"Serviço",0,IF(AND(AUTOEVENTO="Manual",$M470=1),0,IF(OFFSET(CRONOPLE!$F$14,$M470,AQ$13)="",10^12,OFFSET(CRONOPLE!$F$14,$M470,AQ$13))))</f>
        <v>1000000000000</v>
      </c>
      <c r="AR470" s="181">
        <f ca="1">IF($D470&lt;&gt;"Serviço",0,IF(AND(AUTOEVENTO="Manual",$M470=1),0,IF(OFFSET(CRONOPLE!$F$14,$M470,AR$13)="",10^12,OFFSET(CRONOPLE!$F$14,$M470,AR$13))))</f>
        <v>1000000000000</v>
      </c>
      <c r="AS470" s="181">
        <f ca="1">IF($D470&lt;&gt;"Serviço",0,IF(AND(AUTOEVENTO="Manual",$M470=1),0,IF(OFFSET(CRONOPLE!$F$14,$M470,AS$13)="",10^12,OFFSET(CRONOPLE!$F$14,$M470,AS$13))))</f>
        <v>1000000000000</v>
      </c>
      <c r="AT470" s="181">
        <f ca="1">IF($D470&lt;&gt;"Serviço",0,IF(AND(AUTOEVENTO="Manual",$M470=1),0,IF(OFFSET(CRONOPLE!$F$14,$M470,AT$13)="",10^12,OFFSET(CRONOPLE!$F$14,$M470,AT$13))))</f>
        <v>1000000000000</v>
      </c>
      <c r="AU470" s="181">
        <f ca="1">IF($D470&lt;&gt;"Serviço",0,IF(AND(AUTOEVENTO="Manual",$M470=1),0,IF(OFFSET(CRONOPLE!$F$14,$M470,AU$13)="",10^12,OFFSET(CRONOPLE!$F$14,$M470,AU$13))))</f>
        <v>1000000000000</v>
      </c>
      <c r="AV470" s="181">
        <f ca="1">IF($D470&lt;&gt;"Serviço",0,IF(AND(AUTOEVENTO="Manual",$M470=1),0,IF(OFFSET(CRONOPLE!$F$14,$M470,AV$13)="",10^12,OFFSET(CRONOPLE!$F$14,$M470,AV$13))))</f>
        <v>1000000000000</v>
      </c>
      <c r="AX470" s="182">
        <f ca="1">IF($D470&lt;&gt;"Serviço",0,IF(OR(AND(AUTOEVENTO="Manual",$M470=1),$M470&gt;(ROW(PLE.lastrow)-ROW(PLE.firstrow))),0,IF(OFFSET(PLE!$G$14,$M470,AX$13)="",10^12,OFFSET(PLE!$G$14,$M470,AX$13))))</f>
        <v>1000000000000</v>
      </c>
      <c r="AY470" s="182">
        <f ca="1">IF($D470&lt;&gt;"Serviço",0,IF(OR(AND(AUTOEVENTO="Manual",$M470=1),$M470&gt;(ROW(PLE.lastrow)-ROW(PLE.firstrow))),0,IF(OFFSET(PLE!$G$14,$M470,AY$13)="",10^12,OFFSET(PLE!$G$14,$M470,AY$13))))</f>
        <v>1000000000000</v>
      </c>
      <c r="AZ470" s="182">
        <f ca="1">IF($D470&lt;&gt;"Serviço",0,IF(OR(AND(AUTOEVENTO="Manual",$M470=1),$M470&gt;(ROW(PLE.lastrow)-ROW(PLE.firstrow))),0,IF(OFFSET(PLE!$G$14,$M470,AZ$13)="",10^12,OFFSET(PLE!$G$14,$M470,AZ$13))))</f>
        <v>1000000000000</v>
      </c>
      <c r="BA470" s="182">
        <f ca="1">IF($D470&lt;&gt;"Serviço",0,IF(OR(AND(AUTOEVENTO="Manual",$M470=1),$M470&gt;(ROW(PLE.lastrow)-ROW(PLE.firstrow))),0,IF(OFFSET(PLE!$G$14,$M470,BA$13)="",10^12,OFFSET(PLE!$G$14,$M470,BA$13))))</f>
        <v>1000000000000</v>
      </c>
      <c r="BB470" s="182">
        <f ca="1">IF($D470&lt;&gt;"Serviço",0,IF(OR(AND(AUTOEVENTO="Manual",$M470=1),$M470&gt;(ROW(PLE.lastrow)-ROW(PLE.firstrow))),0,IF(OFFSET(PLE!$G$14,$M470,BB$13)="",10^12,OFFSET(PLE!$G$14,$M470,BB$13))))</f>
        <v>1000000000000</v>
      </c>
      <c r="BC470" s="182">
        <f ca="1">IF($D470&lt;&gt;"Serviço",0,IF(OR(AND(AUTOEVENTO="Manual",$M470=1),$M470&gt;(ROW(PLE.lastrow)-ROW(PLE.firstrow))),0,IF(OFFSET(PLE!$G$14,$M470,BC$13)="",10^12,OFFSET(PLE!$G$14,$M470,BC$13))))</f>
        <v>1000000000000</v>
      </c>
      <c r="BD470" s="182">
        <f ca="1">IF($D470&lt;&gt;"Serviço",0,IF(OR(AND(AUTOEVENTO="Manual",$M470=1),$M470&gt;(ROW(PLE.lastrow)-ROW(PLE.firstrow))),0,IF(OFFSET(PLE!$G$14,$M470,BD$13)="",10^12,OFFSET(PLE!$G$14,$M470,BD$13))))</f>
        <v>1000000000000</v>
      </c>
      <c r="BE470" s="182">
        <f ca="1">IF($D470&lt;&gt;"Serviço",0,IF(OR(AND(AUTOEVENTO="Manual",$M470=1),$M470&gt;(ROW(PLE.lastrow)-ROW(PLE.firstrow))),0,IF(OFFSET(PLE!$G$14,$M470,BE$13)="",10^12,OFFSET(PLE!$G$14,$M470,BE$13))))</f>
        <v>1000000000000</v>
      </c>
      <c r="BF470" s="182">
        <f ca="1">IF($D470&lt;&gt;"Serviço",0,IF(OR(AND(AUTOEVENTO="Manual",$M470=1),$M470&gt;(ROW(PLE.lastrow)-ROW(PLE.firstrow))),0,IF(OFFSET(PLE!$G$14,$M470,BF$13)="",10^12,OFFSET(PLE!$G$14,$M470,BF$13))))</f>
        <v>1000000000000</v>
      </c>
      <c r="BG470" s="182">
        <f ca="1">IF($D470&lt;&gt;"Serviço",0,IF(OR(AND(AUTOEVENTO="Manual",$M470=1),$M470&gt;(ROW(PLE.lastrow)-ROW(PLE.firstrow))),0,IF(OFFSET(PLE!$G$14,$M470,BG$13)="",10^12,OFFSET(PLE!$G$14,$M470,BG$13))))</f>
        <v>1000000000000</v>
      </c>
    </row>
    <row r="471" spans="1:59" ht="25.5" x14ac:dyDescent="0.2">
      <c r="A471" s="7" t="str">
        <f t="shared" ca="1" si="14"/>
        <v>411</v>
      </c>
      <c r="B471" s="7" t="str">
        <f ca="1">OFFSET(ORÇAMENTO!C$15,ROW(B471)-ROW(B$15),0)</f>
        <v>S</v>
      </c>
      <c r="C471" s="7" t="str">
        <f ca="1">OFFSET(ORÇAMENTO!L$15,ROW(C471)-ROW(C$15),0)</f>
        <v/>
      </c>
      <c r="D471" s="118" t="str">
        <f ca="1">OFFSET(ORÇAMENTO!N$15,ROW(D471)-ROW(D$15),0)</f>
        <v>Serviço</v>
      </c>
      <c r="E471" s="119" t="str">
        <f ca="1">OFFSET(ORÇAMENTO!O$15,ROW(E471)-ROW(E$15),0)</f>
        <v>-</v>
      </c>
      <c r="F471" s="172" t="str">
        <f ca="1">OFFSET(ORÇAMENTO!R$15,ROW(F471)-ROW(F$15),0)</f>
        <v>(abra o arquivo 'Referência 02-2025.xlsm)</v>
      </c>
      <c r="G471" s="173" t="str">
        <f ca="1">IF($D471&lt;&gt;"Serviço","",OFFSET(ORÇAMENTO!S$15,ROW(G471)-ROW(G$15),0))</f>
        <v>-</v>
      </c>
      <c r="H471" s="124">
        <f ca="1">IF($D471&lt;&gt;"Serviço",0,IF(ACOMPANHAMENTO="BM",ROUND(OFFSET(ORÇAMENTO!AJ$15,ROW(H471)-ROW(H$15),0),15-13*ORÇAMENTO!$AF$7),SUMPRODUCT(($Q$12:$AA$12&lt;&gt;"")*ROUND($Q471:$AA471,15-13*ORÇAMENTO!$AF$7))))</f>
        <v>2</v>
      </c>
      <c r="I471" s="561" t="s">
        <v>890</v>
      </c>
      <c r="K471" s="174"/>
      <c r="L471" s="175" t="s">
        <v>255</v>
      </c>
      <c r="M471" s="176">
        <f ca="1">IF($D471&lt;&gt;"Serviço","",IF(AUTOEVENTO="manual",$A471,IF(ISERROR(MATCH($A471,$A$15:OFFSET($A471,-1,0),0)),MAX($M$15:OFFSET(M471,-1,0))+1,INDEX($M$15:OFFSET(M471,-1,0),MATCH($A471,$A$15:OFFSET($A471,-1,0),0)))))</f>
        <v>17</v>
      </c>
      <c r="N471" s="177" t="str">
        <f ca="1">IF($D471&lt;&gt;"Serviço","",IF(AUTOEVENTO="Manual",IF($A471=0,"&lt;-- defina o número do agrupador",OFFSET(EVENTOS!$D$14,$A471,0)),OFFSET($F$15,$A471,0)))</f>
        <v>SISTEMA DE PROTEÇÃO CONTRA INCÊNDIO</v>
      </c>
      <c r="O471" s="178"/>
      <c r="Q471" s="178"/>
      <c r="R471" s="179"/>
      <c r="S471" s="179"/>
      <c r="T471" s="179"/>
      <c r="U471" s="179"/>
      <c r="V471" s="179"/>
      <c r="W471" s="179"/>
      <c r="X471" s="179"/>
      <c r="Y471" s="179"/>
      <c r="Z471" s="180"/>
      <c r="AB471" s="544">
        <f ca="1">IF(AND($D471="Serviço",AB$12&lt;&gt;0,$H471&gt;0,OR(AUTOEVENTO&lt;&gt;"manual",$M471&lt;&gt;1)),
IF(Import.TipoArredondamento&lt;&gt;"TransfereGOV",
ROUND(OFFSET($P471,0,AB$13),15-13*ORÇAMENTO!$AF$7)/$H471*OFFSET(ORÇAMENTO!$X$15,ROW(AB471)-ROW(AB$15),0),
ROUND(ROUND(OFFSET($P471,0,AB$13),15-13*ORÇAMENTO!$AF$7)*OFFSET(ORÇAMENTO!$W$15,ROW(AB471)-ROW(AB$15),0),15-13*ORÇAMENTO!$AF$11)),0)</f>
        <v>0</v>
      </c>
      <c r="AC471" s="545">
        <f ca="1">IF(AND($D471="Serviço",AC$12&lt;&gt;0,$H471&gt;0,OR(AUTOEVENTO&lt;&gt;"manual",$M471&lt;&gt;1)),
IF(Import.TipoArredondamento&lt;&gt;"TransfereGOV",
ROUND(OFFSET($P471,0,AC$13),15-13*ORÇAMENTO!$AF$7)/$H471*OFFSET(ORÇAMENTO!$X$15,ROW(AC471)-ROW(AC$15),0),
ROUND(ROUND(OFFSET($P471,0,AC$13),15-13*ORÇAMENTO!$AF$7)*OFFSET(ORÇAMENTO!$W$15,ROW(AC471)-ROW(AC$15),0),15-13*ORÇAMENTO!$AF$11)),0)</f>
        <v>0</v>
      </c>
      <c r="AD471" s="545">
        <f ca="1">IF(AND($D471="Serviço",AD$12&lt;&gt;0,$H471&gt;0,OR(AUTOEVENTO&lt;&gt;"manual",$M471&lt;&gt;1)),
IF(Import.TipoArredondamento&lt;&gt;"TransfereGOV",
ROUND(OFFSET($P471,0,AD$13),15-13*ORÇAMENTO!$AF$7)/$H471*OFFSET(ORÇAMENTO!$X$15,ROW(AD471)-ROW(AD$15),0),
ROUND(ROUND(OFFSET($P471,0,AD$13),15-13*ORÇAMENTO!$AF$7)*OFFSET(ORÇAMENTO!$W$15,ROW(AD471)-ROW(AD$15),0),15-13*ORÇAMENTO!$AF$11)),0)</f>
        <v>0</v>
      </c>
      <c r="AE471" s="545">
        <f ca="1">IF(AND($D471="Serviço",AE$12&lt;&gt;0,$H471&gt;0,OR(AUTOEVENTO&lt;&gt;"manual",$M471&lt;&gt;1)),
IF(Import.TipoArredondamento&lt;&gt;"TransfereGOV",
ROUND(OFFSET($P471,0,AE$13),15-13*ORÇAMENTO!$AF$7)/$H471*OFFSET(ORÇAMENTO!$X$15,ROW(AE471)-ROW(AE$15),0),
ROUND(ROUND(OFFSET($P471,0,AE$13),15-13*ORÇAMENTO!$AF$7)*OFFSET(ORÇAMENTO!$W$15,ROW(AE471)-ROW(AE$15),0),15-13*ORÇAMENTO!$AF$11)),0)</f>
        <v>0</v>
      </c>
      <c r="AF471" s="545">
        <f ca="1">IF(AND($D471="Serviço",AF$12&lt;&gt;0,$H471&gt;0,OR(AUTOEVENTO&lt;&gt;"manual",$M471&lt;&gt;1)),
IF(Import.TipoArredondamento&lt;&gt;"TransfereGOV",
ROUND(OFFSET($P471,0,AF$13),15-13*ORÇAMENTO!$AF$7)/$H471*OFFSET(ORÇAMENTO!$X$15,ROW(AF471)-ROW(AF$15),0),
ROUND(ROUND(OFFSET($P471,0,AF$13),15-13*ORÇAMENTO!$AF$7)*OFFSET(ORÇAMENTO!$W$15,ROW(AF471)-ROW(AF$15),0),15-13*ORÇAMENTO!$AF$11)),0)</f>
        <v>0</v>
      </c>
      <c r="AG471" s="545">
        <f ca="1">IF(AND($D471="Serviço",AG$12&lt;&gt;0,$H471&gt;0,OR(AUTOEVENTO&lt;&gt;"manual",$M471&lt;&gt;1)),
IF(Import.TipoArredondamento&lt;&gt;"TransfereGOV",
ROUND(OFFSET($P471,0,AG$13),15-13*ORÇAMENTO!$AF$7)/$H471*OFFSET(ORÇAMENTO!$X$15,ROW(AG471)-ROW(AG$15),0),
ROUND(ROUND(OFFSET($P471,0,AG$13),15-13*ORÇAMENTO!$AF$7)*OFFSET(ORÇAMENTO!$W$15,ROW(AG471)-ROW(AG$15),0),15-13*ORÇAMENTO!$AF$11)),0)</f>
        <v>0</v>
      </c>
      <c r="AH471" s="545">
        <f ca="1">IF(AND($D471="Serviço",AH$12&lt;&gt;0,$H471&gt;0,OR(AUTOEVENTO&lt;&gt;"manual",$M471&lt;&gt;1)),
IF(Import.TipoArredondamento&lt;&gt;"TransfereGOV",
ROUND(OFFSET($P471,0,AH$13),15-13*ORÇAMENTO!$AF$7)/$H471*OFFSET(ORÇAMENTO!$X$15,ROW(AH471)-ROW(AH$15),0),
ROUND(ROUND(OFFSET($P471,0,AH$13),15-13*ORÇAMENTO!$AF$7)*OFFSET(ORÇAMENTO!$W$15,ROW(AH471)-ROW(AH$15),0),15-13*ORÇAMENTO!$AF$11)),0)</f>
        <v>0</v>
      </c>
      <c r="AI471" s="545">
        <f ca="1">IF(AND($D471="Serviço",AI$12&lt;&gt;0,$H471&gt;0,OR(AUTOEVENTO&lt;&gt;"manual",$M471&lt;&gt;1)),
IF(Import.TipoArredondamento&lt;&gt;"TransfereGOV",
ROUND(OFFSET($P471,0,AI$13),15-13*ORÇAMENTO!$AF$7)/$H471*OFFSET(ORÇAMENTO!$X$15,ROW(AI471)-ROW(AI$15),0),
ROUND(ROUND(OFFSET($P471,0,AI$13),15-13*ORÇAMENTO!$AF$7)*OFFSET(ORÇAMENTO!$W$15,ROW(AI471)-ROW(AI$15),0),15-13*ORÇAMENTO!$AF$11)),0)</f>
        <v>0</v>
      </c>
      <c r="AJ471" s="545">
        <f ca="1">IF(AND($D471="Serviço",AJ$12&lt;&gt;0,$H471&gt;0,OR(AUTOEVENTO&lt;&gt;"manual",$M471&lt;&gt;1)),
IF(Import.TipoArredondamento&lt;&gt;"TransfereGOV",
ROUND(OFFSET($P471,0,AJ$13),15-13*ORÇAMENTO!$AF$7)/$H471*OFFSET(ORÇAMENTO!$X$15,ROW(AJ471)-ROW(AJ$15),0),
ROUND(ROUND(OFFSET($P471,0,AJ$13),15-13*ORÇAMENTO!$AF$7)*OFFSET(ORÇAMENTO!$W$15,ROW(AJ471)-ROW(AJ$15),0),15-13*ORÇAMENTO!$AF$11)),0)</f>
        <v>0</v>
      </c>
      <c r="AK471" s="546">
        <f ca="1">IF(AND($D471="Serviço",AK$12&lt;&gt;0,$H471&gt;0,OR(AUTOEVENTO&lt;&gt;"manual",$M471&lt;&gt;1)),
IF(Import.TipoArredondamento&lt;&gt;"TransfereGOV",
ROUND(OFFSET($P471,0,AK$13),15-13*ORÇAMENTO!$AF$7)/$H471*OFFSET(ORÇAMENTO!$X$15,ROW(AK471)-ROW(AK$15),0),
ROUND(ROUND(OFFSET($P471,0,AK$13),15-13*ORÇAMENTO!$AF$7)*OFFSET(ORÇAMENTO!$W$15,ROW(AK471)-ROW(AK$15),0),15-13*ORÇAMENTO!$AF$11)),0)</f>
        <v>0</v>
      </c>
      <c r="AM471" s="181">
        <f ca="1">IF($D471&lt;&gt;"Serviço",0,IF(AND(AUTOEVENTO="Manual",$M471=1),0,IF(OFFSET(CRONOPLE!$F$14,$M471,AM$13)="",10^12,OFFSET(CRONOPLE!$F$14,$M471,AM$13))))</f>
        <v>1000000000000</v>
      </c>
      <c r="AN471" s="181">
        <f ca="1">IF($D471&lt;&gt;"Serviço",0,IF(AND(AUTOEVENTO="Manual",$M471=1),0,IF(OFFSET(CRONOPLE!$F$14,$M471,AN$13)="",10^12,OFFSET(CRONOPLE!$F$14,$M471,AN$13))))</f>
        <v>1000000000000</v>
      </c>
      <c r="AO471" s="181">
        <f ca="1">IF($D471&lt;&gt;"Serviço",0,IF(AND(AUTOEVENTO="Manual",$M471=1),0,IF(OFFSET(CRONOPLE!$F$14,$M471,AO$13)="",10^12,OFFSET(CRONOPLE!$F$14,$M471,AO$13))))</f>
        <v>1000000000000</v>
      </c>
      <c r="AP471" s="181">
        <f ca="1">IF($D471&lt;&gt;"Serviço",0,IF(AND(AUTOEVENTO="Manual",$M471=1),0,IF(OFFSET(CRONOPLE!$F$14,$M471,AP$13)="",10^12,OFFSET(CRONOPLE!$F$14,$M471,AP$13))))</f>
        <v>1000000000000</v>
      </c>
      <c r="AQ471" s="181">
        <f ca="1">IF($D471&lt;&gt;"Serviço",0,IF(AND(AUTOEVENTO="Manual",$M471=1),0,IF(OFFSET(CRONOPLE!$F$14,$M471,AQ$13)="",10^12,OFFSET(CRONOPLE!$F$14,$M471,AQ$13))))</f>
        <v>1000000000000</v>
      </c>
      <c r="AR471" s="181">
        <f ca="1">IF($D471&lt;&gt;"Serviço",0,IF(AND(AUTOEVENTO="Manual",$M471=1),0,IF(OFFSET(CRONOPLE!$F$14,$M471,AR$13)="",10^12,OFFSET(CRONOPLE!$F$14,$M471,AR$13))))</f>
        <v>1000000000000</v>
      </c>
      <c r="AS471" s="181">
        <f ca="1">IF($D471&lt;&gt;"Serviço",0,IF(AND(AUTOEVENTO="Manual",$M471=1),0,IF(OFFSET(CRONOPLE!$F$14,$M471,AS$13)="",10^12,OFFSET(CRONOPLE!$F$14,$M471,AS$13))))</f>
        <v>1000000000000</v>
      </c>
      <c r="AT471" s="181">
        <f ca="1">IF($D471&lt;&gt;"Serviço",0,IF(AND(AUTOEVENTO="Manual",$M471=1),0,IF(OFFSET(CRONOPLE!$F$14,$M471,AT$13)="",10^12,OFFSET(CRONOPLE!$F$14,$M471,AT$13))))</f>
        <v>1000000000000</v>
      </c>
      <c r="AU471" s="181">
        <f ca="1">IF($D471&lt;&gt;"Serviço",0,IF(AND(AUTOEVENTO="Manual",$M471=1),0,IF(OFFSET(CRONOPLE!$F$14,$M471,AU$13)="",10^12,OFFSET(CRONOPLE!$F$14,$M471,AU$13))))</f>
        <v>1000000000000</v>
      </c>
      <c r="AV471" s="181">
        <f ca="1">IF($D471&lt;&gt;"Serviço",0,IF(AND(AUTOEVENTO="Manual",$M471=1),0,IF(OFFSET(CRONOPLE!$F$14,$M471,AV$13)="",10^12,OFFSET(CRONOPLE!$F$14,$M471,AV$13))))</f>
        <v>1000000000000</v>
      </c>
      <c r="AX471" s="182">
        <f ca="1">IF($D471&lt;&gt;"Serviço",0,IF(OR(AND(AUTOEVENTO="Manual",$M471=1),$M471&gt;(ROW(PLE.lastrow)-ROW(PLE.firstrow))),0,IF(OFFSET(PLE!$G$14,$M471,AX$13)="",10^12,OFFSET(PLE!$G$14,$M471,AX$13))))</f>
        <v>1000000000000</v>
      </c>
      <c r="AY471" s="182">
        <f ca="1">IF($D471&lt;&gt;"Serviço",0,IF(OR(AND(AUTOEVENTO="Manual",$M471=1),$M471&gt;(ROW(PLE.lastrow)-ROW(PLE.firstrow))),0,IF(OFFSET(PLE!$G$14,$M471,AY$13)="",10^12,OFFSET(PLE!$G$14,$M471,AY$13))))</f>
        <v>1000000000000</v>
      </c>
      <c r="AZ471" s="182">
        <f ca="1">IF($D471&lt;&gt;"Serviço",0,IF(OR(AND(AUTOEVENTO="Manual",$M471=1),$M471&gt;(ROW(PLE.lastrow)-ROW(PLE.firstrow))),0,IF(OFFSET(PLE!$G$14,$M471,AZ$13)="",10^12,OFFSET(PLE!$G$14,$M471,AZ$13))))</f>
        <v>1000000000000</v>
      </c>
      <c r="BA471" s="182">
        <f ca="1">IF($D471&lt;&gt;"Serviço",0,IF(OR(AND(AUTOEVENTO="Manual",$M471=1),$M471&gt;(ROW(PLE.lastrow)-ROW(PLE.firstrow))),0,IF(OFFSET(PLE!$G$14,$M471,BA$13)="",10^12,OFFSET(PLE!$G$14,$M471,BA$13))))</f>
        <v>1000000000000</v>
      </c>
      <c r="BB471" s="182">
        <f ca="1">IF($D471&lt;&gt;"Serviço",0,IF(OR(AND(AUTOEVENTO="Manual",$M471=1),$M471&gt;(ROW(PLE.lastrow)-ROW(PLE.firstrow))),0,IF(OFFSET(PLE!$G$14,$M471,BB$13)="",10^12,OFFSET(PLE!$G$14,$M471,BB$13))))</f>
        <v>1000000000000</v>
      </c>
      <c r="BC471" s="182">
        <f ca="1">IF($D471&lt;&gt;"Serviço",0,IF(OR(AND(AUTOEVENTO="Manual",$M471=1),$M471&gt;(ROW(PLE.lastrow)-ROW(PLE.firstrow))),0,IF(OFFSET(PLE!$G$14,$M471,BC$13)="",10^12,OFFSET(PLE!$G$14,$M471,BC$13))))</f>
        <v>1000000000000</v>
      </c>
      <c r="BD471" s="182">
        <f ca="1">IF($D471&lt;&gt;"Serviço",0,IF(OR(AND(AUTOEVENTO="Manual",$M471=1),$M471&gt;(ROW(PLE.lastrow)-ROW(PLE.firstrow))),0,IF(OFFSET(PLE!$G$14,$M471,BD$13)="",10^12,OFFSET(PLE!$G$14,$M471,BD$13))))</f>
        <v>1000000000000</v>
      </c>
      <c r="BE471" s="182">
        <f ca="1">IF($D471&lt;&gt;"Serviço",0,IF(OR(AND(AUTOEVENTO="Manual",$M471=1),$M471&gt;(ROW(PLE.lastrow)-ROW(PLE.firstrow))),0,IF(OFFSET(PLE!$G$14,$M471,BE$13)="",10^12,OFFSET(PLE!$G$14,$M471,BE$13))))</f>
        <v>1000000000000</v>
      </c>
      <c r="BF471" s="182">
        <f ca="1">IF($D471&lt;&gt;"Serviço",0,IF(OR(AND(AUTOEVENTO="Manual",$M471=1),$M471&gt;(ROW(PLE.lastrow)-ROW(PLE.firstrow))),0,IF(OFFSET(PLE!$G$14,$M471,BF$13)="",10^12,OFFSET(PLE!$G$14,$M471,BF$13))))</f>
        <v>1000000000000</v>
      </c>
      <c r="BG471" s="182">
        <f ca="1">IF($D471&lt;&gt;"Serviço",0,IF(OR(AND(AUTOEVENTO="Manual",$M471=1),$M471&gt;(ROW(PLE.lastrow)-ROW(PLE.firstrow))),0,IF(OFFSET(PLE!$G$14,$M471,BG$13)="",10^12,OFFSET(PLE!$G$14,$M471,BG$13))))</f>
        <v>1000000000000</v>
      </c>
    </row>
    <row r="472" spans="1:59" ht="25.5" x14ac:dyDescent="0.2">
      <c r="A472" s="7" t="str">
        <f t="shared" ca="1" si="14"/>
        <v>411</v>
      </c>
      <c r="B472" s="7" t="str">
        <f ca="1">OFFSET(ORÇAMENTO!C$15,ROW(B472)-ROW(B$15),0)</f>
        <v>S</v>
      </c>
      <c r="C472" s="7" t="str">
        <f ca="1">OFFSET(ORÇAMENTO!L$15,ROW(C472)-ROW(C$15),0)</f>
        <v/>
      </c>
      <c r="D472" s="118" t="str">
        <f ca="1">OFFSET(ORÇAMENTO!N$15,ROW(D472)-ROW(D$15),0)</f>
        <v>Serviço</v>
      </c>
      <c r="E472" s="119" t="str">
        <f ca="1">OFFSET(ORÇAMENTO!O$15,ROW(E472)-ROW(E$15),0)</f>
        <v>-</v>
      </c>
      <c r="F472" s="172" t="str">
        <f ca="1">OFFSET(ORÇAMENTO!R$15,ROW(F472)-ROW(F$15),0)</f>
        <v>(abra o arquivo 'Referência 02-2025.xlsm)</v>
      </c>
      <c r="G472" s="173" t="str">
        <f ca="1">IF($D472&lt;&gt;"Serviço","",OFFSET(ORÇAMENTO!S$15,ROW(G472)-ROW(G$15),0))</f>
        <v>-</v>
      </c>
      <c r="H472" s="124">
        <f ca="1">IF($D472&lt;&gt;"Serviço",0,IF(ACOMPANHAMENTO="BM",ROUND(OFFSET(ORÇAMENTO!AJ$15,ROW(H472)-ROW(H$15),0),15-13*ORÇAMENTO!$AF$7),SUMPRODUCT(($Q$12:$AA$12&lt;&gt;"")*ROUND($Q472:$AA472,15-13*ORÇAMENTO!$AF$7))))</f>
        <v>1</v>
      </c>
      <c r="I472" s="561" t="s">
        <v>890</v>
      </c>
      <c r="K472" s="174"/>
      <c r="L472" s="175" t="s">
        <v>255</v>
      </c>
      <c r="M472" s="176">
        <f ca="1">IF($D472&lt;&gt;"Serviço","",IF(AUTOEVENTO="manual",$A472,IF(ISERROR(MATCH($A472,$A$15:OFFSET($A472,-1,0),0)),MAX($M$15:OFFSET(M472,-1,0))+1,INDEX($M$15:OFFSET(M472,-1,0),MATCH($A472,$A$15:OFFSET($A472,-1,0),0)))))</f>
        <v>17</v>
      </c>
      <c r="N472" s="177" t="str">
        <f ca="1">IF($D472&lt;&gt;"Serviço","",IF(AUTOEVENTO="Manual",IF($A472=0,"&lt;-- defina o número do agrupador",OFFSET(EVENTOS!$D$14,$A472,0)),OFFSET($F$15,$A472,0)))</f>
        <v>SISTEMA DE PROTEÇÃO CONTRA INCÊNDIO</v>
      </c>
      <c r="O472" s="178"/>
      <c r="Q472" s="178"/>
      <c r="R472" s="179"/>
      <c r="S472" s="179"/>
      <c r="T472" s="179"/>
      <c r="U472" s="179"/>
      <c r="V472" s="179"/>
      <c r="W472" s="179"/>
      <c r="X472" s="179"/>
      <c r="Y472" s="179"/>
      <c r="Z472" s="180"/>
      <c r="AB472" s="544">
        <f ca="1">IF(AND($D472="Serviço",AB$12&lt;&gt;0,$H472&gt;0,OR(AUTOEVENTO&lt;&gt;"manual",$M472&lt;&gt;1)),
IF(Import.TipoArredondamento&lt;&gt;"TransfereGOV",
ROUND(OFFSET($P472,0,AB$13),15-13*ORÇAMENTO!$AF$7)/$H472*OFFSET(ORÇAMENTO!$X$15,ROW(AB472)-ROW(AB$15),0),
ROUND(ROUND(OFFSET($P472,0,AB$13),15-13*ORÇAMENTO!$AF$7)*OFFSET(ORÇAMENTO!$W$15,ROW(AB472)-ROW(AB$15),0),15-13*ORÇAMENTO!$AF$11)),0)</f>
        <v>0</v>
      </c>
      <c r="AC472" s="545">
        <f ca="1">IF(AND($D472="Serviço",AC$12&lt;&gt;0,$H472&gt;0,OR(AUTOEVENTO&lt;&gt;"manual",$M472&lt;&gt;1)),
IF(Import.TipoArredondamento&lt;&gt;"TransfereGOV",
ROUND(OFFSET($P472,0,AC$13),15-13*ORÇAMENTO!$AF$7)/$H472*OFFSET(ORÇAMENTO!$X$15,ROW(AC472)-ROW(AC$15),0),
ROUND(ROUND(OFFSET($P472,0,AC$13),15-13*ORÇAMENTO!$AF$7)*OFFSET(ORÇAMENTO!$W$15,ROW(AC472)-ROW(AC$15),0),15-13*ORÇAMENTO!$AF$11)),0)</f>
        <v>0</v>
      </c>
      <c r="AD472" s="545">
        <f ca="1">IF(AND($D472="Serviço",AD$12&lt;&gt;0,$H472&gt;0,OR(AUTOEVENTO&lt;&gt;"manual",$M472&lt;&gt;1)),
IF(Import.TipoArredondamento&lt;&gt;"TransfereGOV",
ROUND(OFFSET($P472,0,AD$13),15-13*ORÇAMENTO!$AF$7)/$H472*OFFSET(ORÇAMENTO!$X$15,ROW(AD472)-ROW(AD$15),0),
ROUND(ROUND(OFFSET($P472,0,AD$13),15-13*ORÇAMENTO!$AF$7)*OFFSET(ORÇAMENTO!$W$15,ROW(AD472)-ROW(AD$15),0),15-13*ORÇAMENTO!$AF$11)),0)</f>
        <v>0</v>
      </c>
      <c r="AE472" s="545">
        <f ca="1">IF(AND($D472="Serviço",AE$12&lt;&gt;0,$H472&gt;0,OR(AUTOEVENTO&lt;&gt;"manual",$M472&lt;&gt;1)),
IF(Import.TipoArredondamento&lt;&gt;"TransfereGOV",
ROUND(OFFSET($P472,0,AE$13),15-13*ORÇAMENTO!$AF$7)/$H472*OFFSET(ORÇAMENTO!$X$15,ROW(AE472)-ROW(AE$15),0),
ROUND(ROUND(OFFSET($P472,0,AE$13),15-13*ORÇAMENTO!$AF$7)*OFFSET(ORÇAMENTO!$W$15,ROW(AE472)-ROW(AE$15),0),15-13*ORÇAMENTO!$AF$11)),0)</f>
        <v>0</v>
      </c>
      <c r="AF472" s="545">
        <f ca="1">IF(AND($D472="Serviço",AF$12&lt;&gt;0,$H472&gt;0,OR(AUTOEVENTO&lt;&gt;"manual",$M472&lt;&gt;1)),
IF(Import.TipoArredondamento&lt;&gt;"TransfereGOV",
ROUND(OFFSET($P472,0,AF$13),15-13*ORÇAMENTO!$AF$7)/$H472*OFFSET(ORÇAMENTO!$X$15,ROW(AF472)-ROW(AF$15),0),
ROUND(ROUND(OFFSET($P472,0,AF$13),15-13*ORÇAMENTO!$AF$7)*OFFSET(ORÇAMENTO!$W$15,ROW(AF472)-ROW(AF$15),0),15-13*ORÇAMENTO!$AF$11)),0)</f>
        <v>0</v>
      </c>
      <c r="AG472" s="545">
        <f ca="1">IF(AND($D472="Serviço",AG$12&lt;&gt;0,$H472&gt;0,OR(AUTOEVENTO&lt;&gt;"manual",$M472&lt;&gt;1)),
IF(Import.TipoArredondamento&lt;&gt;"TransfereGOV",
ROUND(OFFSET($P472,0,AG$13),15-13*ORÇAMENTO!$AF$7)/$H472*OFFSET(ORÇAMENTO!$X$15,ROW(AG472)-ROW(AG$15),0),
ROUND(ROUND(OFFSET($P472,0,AG$13),15-13*ORÇAMENTO!$AF$7)*OFFSET(ORÇAMENTO!$W$15,ROW(AG472)-ROW(AG$15),0),15-13*ORÇAMENTO!$AF$11)),0)</f>
        <v>0</v>
      </c>
      <c r="AH472" s="545">
        <f ca="1">IF(AND($D472="Serviço",AH$12&lt;&gt;0,$H472&gt;0,OR(AUTOEVENTO&lt;&gt;"manual",$M472&lt;&gt;1)),
IF(Import.TipoArredondamento&lt;&gt;"TransfereGOV",
ROUND(OFFSET($P472,0,AH$13),15-13*ORÇAMENTO!$AF$7)/$H472*OFFSET(ORÇAMENTO!$X$15,ROW(AH472)-ROW(AH$15),0),
ROUND(ROUND(OFFSET($P472,0,AH$13),15-13*ORÇAMENTO!$AF$7)*OFFSET(ORÇAMENTO!$W$15,ROW(AH472)-ROW(AH$15),0),15-13*ORÇAMENTO!$AF$11)),0)</f>
        <v>0</v>
      </c>
      <c r="AI472" s="545">
        <f ca="1">IF(AND($D472="Serviço",AI$12&lt;&gt;0,$H472&gt;0,OR(AUTOEVENTO&lt;&gt;"manual",$M472&lt;&gt;1)),
IF(Import.TipoArredondamento&lt;&gt;"TransfereGOV",
ROUND(OFFSET($P472,0,AI$13),15-13*ORÇAMENTO!$AF$7)/$H472*OFFSET(ORÇAMENTO!$X$15,ROW(AI472)-ROW(AI$15),0),
ROUND(ROUND(OFFSET($P472,0,AI$13),15-13*ORÇAMENTO!$AF$7)*OFFSET(ORÇAMENTO!$W$15,ROW(AI472)-ROW(AI$15),0),15-13*ORÇAMENTO!$AF$11)),0)</f>
        <v>0</v>
      </c>
      <c r="AJ472" s="545">
        <f ca="1">IF(AND($D472="Serviço",AJ$12&lt;&gt;0,$H472&gt;0,OR(AUTOEVENTO&lt;&gt;"manual",$M472&lt;&gt;1)),
IF(Import.TipoArredondamento&lt;&gt;"TransfereGOV",
ROUND(OFFSET($P472,0,AJ$13),15-13*ORÇAMENTO!$AF$7)/$H472*OFFSET(ORÇAMENTO!$X$15,ROW(AJ472)-ROW(AJ$15),0),
ROUND(ROUND(OFFSET($P472,0,AJ$13),15-13*ORÇAMENTO!$AF$7)*OFFSET(ORÇAMENTO!$W$15,ROW(AJ472)-ROW(AJ$15),0),15-13*ORÇAMENTO!$AF$11)),0)</f>
        <v>0</v>
      </c>
      <c r="AK472" s="546">
        <f ca="1">IF(AND($D472="Serviço",AK$12&lt;&gt;0,$H472&gt;0,OR(AUTOEVENTO&lt;&gt;"manual",$M472&lt;&gt;1)),
IF(Import.TipoArredondamento&lt;&gt;"TransfereGOV",
ROUND(OFFSET($P472,0,AK$13),15-13*ORÇAMENTO!$AF$7)/$H472*OFFSET(ORÇAMENTO!$X$15,ROW(AK472)-ROW(AK$15),0),
ROUND(ROUND(OFFSET($P472,0,AK$13),15-13*ORÇAMENTO!$AF$7)*OFFSET(ORÇAMENTO!$W$15,ROW(AK472)-ROW(AK$15),0),15-13*ORÇAMENTO!$AF$11)),0)</f>
        <v>0</v>
      </c>
      <c r="AM472" s="181">
        <f ca="1">IF($D472&lt;&gt;"Serviço",0,IF(AND(AUTOEVENTO="Manual",$M472=1),0,IF(OFFSET(CRONOPLE!$F$14,$M472,AM$13)="",10^12,OFFSET(CRONOPLE!$F$14,$M472,AM$13))))</f>
        <v>1000000000000</v>
      </c>
      <c r="AN472" s="181">
        <f ca="1">IF($D472&lt;&gt;"Serviço",0,IF(AND(AUTOEVENTO="Manual",$M472=1),0,IF(OFFSET(CRONOPLE!$F$14,$M472,AN$13)="",10^12,OFFSET(CRONOPLE!$F$14,$M472,AN$13))))</f>
        <v>1000000000000</v>
      </c>
      <c r="AO472" s="181">
        <f ca="1">IF($D472&lt;&gt;"Serviço",0,IF(AND(AUTOEVENTO="Manual",$M472=1),0,IF(OFFSET(CRONOPLE!$F$14,$M472,AO$13)="",10^12,OFFSET(CRONOPLE!$F$14,$M472,AO$13))))</f>
        <v>1000000000000</v>
      </c>
      <c r="AP472" s="181">
        <f ca="1">IF($D472&lt;&gt;"Serviço",0,IF(AND(AUTOEVENTO="Manual",$M472=1),0,IF(OFFSET(CRONOPLE!$F$14,$M472,AP$13)="",10^12,OFFSET(CRONOPLE!$F$14,$M472,AP$13))))</f>
        <v>1000000000000</v>
      </c>
      <c r="AQ472" s="181">
        <f ca="1">IF($D472&lt;&gt;"Serviço",0,IF(AND(AUTOEVENTO="Manual",$M472=1),0,IF(OFFSET(CRONOPLE!$F$14,$M472,AQ$13)="",10^12,OFFSET(CRONOPLE!$F$14,$M472,AQ$13))))</f>
        <v>1000000000000</v>
      </c>
      <c r="AR472" s="181">
        <f ca="1">IF($D472&lt;&gt;"Serviço",0,IF(AND(AUTOEVENTO="Manual",$M472=1),0,IF(OFFSET(CRONOPLE!$F$14,$M472,AR$13)="",10^12,OFFSET(CRONOPLE!$F$14,$M472,AR$13))))</f>
        <v>1000000000000</v>
      </c>
      <c r="AS472" s="181">
        <f ca="1">IF($D472&lt;&gt;"Serviço",0,IF(AND(AUTOEVENTO="Manual",$M472=1),0,IF(OFFSET(CRONOPLE!$F$14,$M472,AS$13)="",10^12,OFFSET(CRONOPLE!$F$14,$M472,AS$13))))</f>
        <v>1000000000000</v>
      </c>
      <c r="AT472" s="181">
        <f ca="1">IF($D472&lt;&gt;"Serviço",0,IF(AND(AUTOEVENTO="Manual",$M472=1),0,IF(OFFSET(CRONOPLE!$F$14,$M472,AT$13)="",10^12,OFFSET(CRONOPLE!$F$14,$M472,AT$13))))</f>
        <v>1000000000000</v>
      </c>
      <c r="AU472" s="181">
        <f ca="1">IF($D472&lt;&gt;"Serviço",0,IF(AND(AUTOEVENTO="Manual",$M472=1),0,IF(OFFSET(CRONOPLE!$F$14,$M472,AU$13)="",10^12,OFFSET(CRONOPLE!$F$14,$M472,AU$13))))</f>
        <v>1000000000000</v>
      </c>
      <c r="AV472" s="181">
        <f ca="1">IF($D472&lt;&gt;"Serviço",0,IF(AND(AUTOEVENTO="Manual",$M472=1),0,IF(OFFSET(CRONOPLE!$F$14,$M472,AV$13)="",10^12,OFFSET(CRONOPLE!$F$14,$M472,AV$13))))</f>
        <v>1000000000000</v>
      </c>
      <c r="AX472" s="182">
        <f ca="1">IF($D472&lt;&gt;"Serviço",0,IF(OR(AND(AUTOEVENTO="Manual",$M472=1),$M472&gt;(ROW(PLE.lastrow)-ROW(PLE.firstrow))),0,IF(OFFSET(PLE!$G$14,$M472,AX$13)="",10^12,OFFSET(PLE!$G$14,$M472,AX$13))))</f>
        <v>1000000000000</v>
      </c>
      <c r="AY472" s="182">
        <f ca="1">IF($D472&lt;&gt;"Serviço",0,IF(OR(AND(AUTOEVENTO="Manual",$M472=1),$M472&gt;(ROW(PLE.lastrow)-ROW(PLE.firstrow))),0,IF(OFFSET(PLE!$G$14,$M472,AY$13)="",10^12,OFFSET(PLE!$G$14,$M472,AY$13))))</f>
        <v>1000000000000</v>
      </c>
      <c r="AZ472" s="182">
        <f ca="1">IF($D472&lt;&gt;"Serviço",0,IF(OR(AND(AUTOEVENTO="Manual",$M472=1),$M472&gt;(ROW(PLE.lastrow)-ROW(PLE.firstrow))),0,IF(OFFSET(PLE!$G$14,$M472,AZ$13)="",10^12,OFFSET(PLE!$G$14,$M472,AZ$13))))</f>
        <v>1000000000000</v>
      </c>
      <c r="BA472" s="182">
        <f ca="1">IF($D472&lt;&gt;"Serviço",0,IF(OR(AND(AUTOEVENTO="Manual",$M472=1),$M472&gt;(ROW(PLE.lastrow)-ROW(PLE.firstrow))),0,IF(OFFSET(PLE!$G$14,$M472,BA$13)="",10^12,OFFSET(PLE!$G$14,$M472,BA$13))))</f>
        <v>1000000000000</v>
      </c>
      <c r="BB472" s="182">
        <f ca="1">IF($D472&lt;&gt;"Serviço",0,IF(OR(AND(AUTOEVENTO="Manual",$M472=1),$M472&gt;(ROW(PLE.lastrow)-ROW(PLE.firstrow))),0,IF(OFFSET(PLE!$G$14,$M472,BB$13)="",10^12,OFFSET(PLE!$G$14,$M472,BB$13))))</f>
        <v>1000000000000</v>
      </c>
      <c r="BC472" s="182">
        <f ca="1">IF($D472&lt;&gt;"Serviço",0,IF(OR(AND(AUTOEVENTO="Manual",$M472=1),$M472&gt;(ROW(PLE.lastrow)-ROW(PLE.firstrow))),0,IF(OFFSET(PLE!$G$14,$M472,BC$13)="",10^12,OFFSET(PLE!$G$14,$M472,BC$13))))</f>
        <v>1000000000000</v>
      </c>
      <c r="BD472" s="182">
        <f ca="1">IF($D472&lt;&gt;"Serviço",0,IF(OR(AND(AUTOEVENTO="Manual",$M472=1),$M472&gt;(ROW(PLE.lastrow)-ROW(PLE.firstrow))),0,IF(OFFSET(PLE!$G$14,$M472,BD$13)="",10^12,OFFSET(PLE!$G$14,$M472,BD$13))))</f>
        <v>1000000000000</v>
      </c>
      <c r="BE472" s="182">
        <f ca="1">IF($D472&lt;&gt;"Serviço",0,IF(OR(AND(AUTOEVENTO="Manual",$M472=1),$M472&gt;(ROW(PLE.lastrow)-ROW(PLE.firstrow))),0,IF(OFFSET(PLE!$G$14,$M472,BE$13)="",10^12,OFFSET(PLE!$G$14,$M472,BE$13))))</f>
        <v>1000000000000</v>
      </c>
      <c r="BF472" s="182">
        <f ca="1">IF($D472&lt;&gt;"Serviço",0,IF(OR(AND(AUTOEVENTO="Manual",$M472=1),$M472&gt;(ROW(PLE.lastrow)-ROW(PLE.firstrow))),0,IF(OFFSET(PLE!$G$14,$M472,BF$13)="",10^12,OFFSET(PLE!$G$14,$M472,BF$13))))</f>
        <v>1000000000000</v>
      </c>
      <c r="BG472" s="182">
        <f ca="1">IF($D472&lt;&gt;"Serviço",0,IF(OR(AND(AUTOEVENTO="Manual",$M472=1),$M472&gt;(ROW(PLE.lastrow)-ROW(PLE.firstrow))),0,IF(OFFSET(PLE!$G$14,$M472,BG$13)="",10^12,OFFSET(PLE!$G$14,$M472,BG$13))))</f>
        <v>1000000000000</v>
      </c>
    </row>
    <row r="473" spans="1:59" ht="25.5" x14ac:dyDescent="0.2">
      <c r="A473" s="7" t="str">
        <f t="shared" ca="1" si="14"/>
        <v>411</v>
      </c>
      <c r="B473" s="7" t="str">
        <f ca="1">OFFSET(ORÇAMENTO!C$15,ROW(B473)-ROW(B$15),0)</f>
        <v>S</v>
      </c>
      <c r="C473" s="7" t="str">
        <f ca="1">OFFSET(ORÇAMENTO!L$15,ROW(C473)-ROW(C$15),0)</f>
        <v/>
      </c>
      <c r="D473" s="118" t="str">
        <f ca="1">OFFSET(ORÇAMENTO!N$15,ROW(D473)-ROW(D$15),0)</f>
        <v>Serviço</v>
      </c>
      <c r="E473" s="119" t="str">
        <f ca="1">OFFSET(ORÇAMENTO!O$15,ROW(E473)-ROW(E$15),0)</f>
        <v>-</v>
      </c>
      <c r="F473" s="172" t="str">
        <f ca="1">OFFSET(ORÇAMENTO!R$15,ROW(F473)-ROW(F$15),0)</f>
        <v>(abra o arquivo 'Referência 02-2025.xlsm)</v>
      </c>
      <c r="G473" s="173" t="str">
        <f ca="1">IF($D473&lt;&gt;"Serviço","",OFFSET(ORÇAMENTO!S$15,ROW(G473)-ROW(G$15),0))</f>
        <v>-</v>
      </c>
      <c r="H473" s="124">
        <f ca="1">IF($D473&lt;&gt;"Serviço",0,IF(ACOMPANHAMENTO="BM",ROUND(OFFSET(ORÇAMENTO!AJ$15,ROW(H473)-ROW(H$15),0),15-13*ORÇAMENTO!$AF$7),SUMPRODUCT(($Q$12:$AA$12&lt;&gt;"")*ROUND($Q473:$AA473,15-13*ORÇAMENTO!$AF$7))))</f>
        <v>2</v>
      </c>
      <c r="I473" s="561" t="s">
        <v>890</v>
      </c>
      <c r="K473" s="174"/>
      <c r="L473" s="175" t="s">
        <v>255</v>
      </c>
      <c r="M473" s="176">
        <f ca="1">IF($D473&lt;&gt;"Serviço","",IF(AUTOEVENTO="manual",$A473,IF(ISERROR(MATCH($A473,$A$15:OFFSET($A473,-1,0),0)),MAX($M$15:OFFSET(M473,-1,0))+1,INDEX($M$15:OFFSET(M473,-1,0),MATCH($A473,$A$15:OFFSET($A473,-1,0),0)))))</f>
        <v>17</v>
      </c>
      <c r="N473" s="177" t="str">
        <f ca="1">IF($D473&lt;&gt;"Serviço","",IF(AUTOEVENTO="Manual",IF($A473=0,"&lt;-- defina o número do agrupador",OFFSET(EVENTOS!$D$14,$A473,0)),OFFSET($F$15,$A473,0)))</f>
        <v>SISTEMA DE PROTEÇÃO CONTRA INCÊNDIO</v>
      </c>
      <c r="O473" s="178"/>
      <c r="Q473" s="178"/>
      <c r="R473" s="179"/>
      <c r="S473" s="179"/>
      <c r="T473" s="179"/>
      <c r="U473" s="179"/>
      <c r="V473" s="179"/>
      <c r="W473" s="179"/>
      <c r="X473" s="179"/>
      <c r="Y473" s="179"/>
      <c r="Z473" s="180"/>
      <c r="AB473" s="544">
        <f ca="1">IF(AND($D473="Serviço",AB$12&lt;&gt;0,$H473&gt;0,OR(AUTOEVENTO&lt;&gt;"manual",$M473&lt;&gt;1)),
IF(Import.TipoArredondamento&lt;&gt;"TransfereGOV",
ROUND(OFFSET($P473,0,AB$13),15-13*ORÇAMENTO!$AF$7)/$H473*OFFSET(ORÇAMENTO!$X$15,ROW(AB473)-ROW(AB$15),0),
ROUND(ROUND(OFFSET($P473,0,AB$13),15-13*ORÇAMENTO!$AF$7)*OFFSET(ORÇAMENTO!$W$15,ROW(AB473)-ROW(AB$15),0),15-13*ORÇAMENTO!$AF$11)),0)</f>
        <v>0</v>
      </c>
      <c r="AC473" s="545">
        <f ca="1">IF(AND($D473="Serviço",AC$12&lt;&gt;0,$H473&gt;0,OR(AUTOEVENTO&lt;&gt;"manual",$M473&lt;&gt;1)),
IF(Import.TipoArredondamento&lt;&gt;"TransfereGOV",
ROUND(OFFSET($P473,0,AC$13),15-13*ORÇAMENTO!$AF$7)/$H473*OFFSET(ORÇAMENTO!$X$15,ROW(AC473)-ROW(AC$15),0),
ROUND(ROUND(OFFSET($P473,0,AC$13),15-13*ORÇAMENTO!$AF$7)*OFFSET(ORÇAMENTO!$W$15,ROW(AC473)-ROW(AC$15),0),15-13*ORÇAMENTO!$AF$11)),0)</f>
        <v>0</v>
      </c>
      <c r="AD473" s="545">
        <f ca="1">IF(AND($D473="Serviço",AD$12&lt;&gt;0,$H473&gt;0,OR(AUTOEVENTO&lt;&gt;"manual",$M473&lt;&gt;1)),
IF(Import.TipoArredondamento&lt;&gt;"TransfereGOV",
ROUND(OFFSET($P473,0,AD$13),15-13*ORÇAMENTO!$AF$7)/$H473*OFFSET(ORÇAMENTO!$X$15,ROW(AD473)-ROW(AD$15),0),
ROUND(ROUND(OFFSET($P473,0,AD$13),15-13*ORÇAMENTO!$AF$7)*OFFSET(ORÇAMENTO!$W$15,ROW(AD473)-ROW(AD$15),0),15-13*ORÇAMENTO!$AF$11)),0)</f>
        <v>0</v>
      </c>
      <c r="AE473" s="545">
        <f ca="1">IF(AND($D473="Serviço",AE$12&lt;&gt;0,$H473&gt;0,OR(AUTOEVENTO&lt;&gt;"manual",$M473&lt;&gt;1)),
IF(Import.TipoArredondamento&lt;&gt;"TransfereGOV",
ROUND(OFFSET($P473,0,AE$13),15-13*ORÇAMENTO!$AF$7)/$H473*OFFSET(ORÇAMENTO!$X$15,ROW(AE473)-ROW(AE$15),0),
ROUND(ROUND(OFFSET($P473,0,AE$13),15-13*ORÇAMENTO!$AF$7)*OFFSET(ORÇAMENTO!$W$15,ROW(AE473)-ROW(AE$15),0),15-13*ORÇAMENTO!$AF$11)),0)</f>
        <v>0</v>
      </c>
      <c r="AF473" s="545">
        <f ca="1">IF(AND($D473="Serviço",AF$12&lt;&gt;0,$H473&gt;0,OR(AUTOEVENTO&lt;&gt;"manual",$M473&lt;&gt;1)),
IF(Import.TipoArredondamento&lt;&gt;"TransfereGOV",
ROUND(OFFSET($P473,0,AF$13),15-13*ORÇAMENTO!$AF$7)/$H473*OFFSET(ORÇAMENTO!$X$15,ROW(AF473)-ROW(AF$15),0),
ROUND(ROUND(OFFSET($P473,0,AF$13),15-13*ORÇAMENTO!$AF$7)*OFFSET(ORÇAMENTO!$W$15,ROW(AF473)-ROW(AF$15),0),15-13*ORÇAMENTO!$AF$11)),0)</f>
        <v>0</v>
      </c>
      <c r="AG473" s="545">
        <f ca="1">IF(AND($D473="Serviço",AG$12&lt;&gt;0,$H473&gt;0,OR(AUTOEVENTO&lt;&gt;"manual",$M473&lt;&gt;1)),
IF(Import.TipoArredondamento&lt;&gt;"TransfereGOV",
ROUND(OFFSET($P473,0,AG$13),15-13*ORÇAMENTO!$AF$7)/$H473*OFFSET(ORÇAMENTO!$X$15,ROW(AG473)-ROW(AG$15),0),
ROUND(ROUND(OFFSET($P473,0,AG$13),15-13*ORÇAMENTO!$AF$7)*OFFSET(ORÇAMENTO!$W$15,ROW(AG473)-ROW(AG$15),0),15-13*ORÇAMENTO!$AF$11)),0)</f>
        <v>0</v>
      </c>
      <c r="AH473" s="545">
        <f ca="1">IF(AND($D473="Serviço",AH$12&lt;&gt;0,$H473&gt;0,OR(AUTOEVENTO&lt;&gt;"manual",$M473&lt;&gt;1)),
IF(Import.TipoArredondamento&lt;&gt;"TransfereGOV",
ROUND(OFFSET($P473,0,AH$13),15-13*ORÇAMENTO!$AF$7)/$H473*OFFSET(ORÇAMENTO!$X$15,ROW(AH473)-ROW(AH$15),0),
ROUND(ROUND(OFFSET($P473,0,AH$13),15-13*ORÇAMENTO!$AF$7)*OFFSET(ORÇAMENTO!$W$15,ROW(AH473)-ROW(AH$15),0),15-13*ORÇAMENTO!$AF$11)),0)</f>
        <v>0</v>
      </c>
      <c r="AI473" s="545">
        <f ca="1">IF(AND($D473="Serviço",AI$12&lt;&gt;0,$H473&gt;0,OR(AUTOEVENTO&lt;&gt;"manual",$M473&lt;&gt;1)),
IF(Import.TipoArredondamento&lt;&gt;"TransfereGOV",
ROUND(OFFSET($P473,0,AI$13),15-13*ORÇAMENTO!$AF$7)/$H473*OFFSET(ORÇAMENTO!$X$15,ROW(AI473)-ROW(AI$15),0),
ROUND(ROUND(OFFSET($P473,0,AI$13),15-13*ORÇAMENTO!$AF$7)*OFFSET(ORÇAMENTO!$W$15,ROW(AI473)-ROW(AI$15),0),15-13*ORÇAMENTO!$AF$11)),0)</f>
        <v>0</v>
      </c>
      <c r="AJ473" s="545">
        <f ca="1">IF(AND($D473="Serviço",AJ$12&lt;&gt;0,$H473&gt;0,OR(AUTOEVENTO&lt;&gt;"manual",$M473&lt;&gt;1)),
IF(Import.TipoArredondamento&lt;&gt;"TransfereGOV",
ROUND(OFFSET($P473,0,AJ$13),15-13*ORÇAMENTO!$AF$7)/$H473*OFFSET(ORÇAMENTO!$X$15,ROW(AJ473)-ROW(AJ$15),0),
ROUND(ROUND(OFFSET($P473,0,AJ$13),15-13*ORÇAMENTO!$AF$7)*OFFSET(ORÇAMENTO!$W$15,ROW(AJ473)-ROW(AJ$15),0),15-13*ORÇAMENTO!$AF$11)),0)</f>
        <v>0</v>
      </c>
      <c r="AK473" s="546">
        <f ca="1">IF(AND($D473="Serviço",AK$12&lt;&gt;0,$H473&gt;0,OR(AUTOEVENTO&lt;&gt;"manual",$M473&lt;&gt;1)),
IF(Import.TipoArredondamento&lt;&gt;"TransfereGOV",
ROUND(OFFSET($P473,0,AK$13),15-13*ORÇAMENTO!$AF$7)/$H473*OFFSET(ORÇAMENTO!$X$15,ROW(AK473)-ROW(AK$15),0),
ROUND(ROUND(OFFSET($P473,0,AK$13),15-13*ORÇAMENTO!$AF$7)*OFFSET(ORÇAMENTO!$W$15,ROW(AK473)-ROW(AK$15),0),15-13*ORÇAMENTO!$AF$11)),0)</f>
        <v>0</v>
      </c>
      <c r="AM473" s="181">
        <f ca="1">IF($D473&lt;&gt;"Serviço",0,IF(AND(AUTOEVENTO="Manual",$M473=1),0,IF(OFFSET(CRONOPLE!$F$14,$M473,AM$13)="",10^12,OFFSET(CRONOPLE!$F$14,$M473,AM$13))))</f>
        <v>1000000000000</v>
      </c>
      <c r="AN473" s="181">
        <f ca="1">IF($D473&lt;&gt;"Serviço",0,IF(AND(AUTOEVENTO="Manual",$M473=1),0,IF(OFFSET(CRONOPLE!$F$14,$M473,AN$13)="",10^12,OFFSET(CRONOPLE!$F$14,$M473,AN$13))))</f>
        <v>1000000000000</v>
      </c>
      <c r="AO473" s="181">
        <f ca="1">IF($D473&lt;&gt;"Serviço",0,IF(AND(AUTOEVENTO="Manual",$M473=1),0,IF(OFFSET(CRONOPLE!$F$14,$M473,AO$13)="",10^12,OFFSET(CRONOPLE!$F$14,$M473,AO$13))))</f>
        <v>1000000000000</v>
      </c>
      <c r="AP473" s="181">
        <f ca="1">IF($D473&lt;&gt;"Serviço",0,IF(AND(AUTOEVENTO="Manual",$M473=1),0,IF(OFFSET(CRONOPLE!$F$14,$M473,AP$13)="",10^12,OFFSET(CRONOPLE!$F$14,$M473,AP$13))))</f>
        <v>1000000000000</v>
      </c>
      <c r="AQ473" s="181">
        <f ca="1">IF($D473&lt;&gt;"Serviço",0,IF(AND(AUTOEVENTO="Manual",$M473=1),0,IF(OFFSET(CRONOPLE!$F$14,$M473,AQ$13)="",10^12,OFFSET(CRONOPLE!$F$14,$M473,AQ$13))))</f>
        <v>1000000000000</v>
      </c>
      <c r="AR473" s="181">
        <f ca="1">IF($D473&lt;&gt;"Serviço",0,IF(AND(AUTOEVENTO="Manual",$M473=1),0,IF(OFFSET(CRONOPLE!$F$14,$M473,AR$13)="",10^12,OFFSET(CRONOPLE!$F$14,$M473,AR$13))))</f>
        <v>1000000000000</v>
      </c>
      <c r="AS473" s="181">
        <f ca="1">IF($D473&lt;&gt;"Serviço",0,IF(AND(AUTOEVENTO="Manual",$M473=1),0,IF(OFFSET(CRONOPLE!$F$14,$M473,AS$13)="",10^12,OFFSET(CRONOPLE!$F$14,$M473,AS$13))))</f>
        <v>1000000000000</v>
      </c>
      <c r="AT473" s="181">
        <f ca="1">IF($D473&lt;&gt;"Serviço",0,IF(AND(AUTOEVENTO="Manual",$M473=1),0,IF(OFFSET(CRONOPLE!$F$14,$M473,AT$13)="",10^12,OFFSET(CRONOPLE!$F$14,$M473,AT$13))))</f>
        <v>1000000000000</v>
      </c>
      <c r="AU473" s="181">
        <f ca="1">IF($D473&lt;&gt;"Serviço",0,IF(AND(AUTOEVENTO="Manual",$M473=1),0,IF(OFFSET(CRONOPLE!$F$14,$M473,AU$13)="",10^12,OFFSET(CRONOPLE!$F$14,$M473,AU$13))))</f>
        <v>1000000000000</v>
      </c>
      <c r="AV473" s="181">
        <f ca="1">IF($D473&lt;&gt;"Serviço",0,IF(AND(AUTOEVENTO="Manual",$M473=1),0,IF(OFFSET(CRONOPLE!$F$14,$M473,AV$13)="",10^12,OFFSET(CRONOPLE!$F$14,$M473,AV$13))))</f>
        <v>1000000000000</v>
      </c>
      <c r="AX473" s="182">
        <f ca="1">IF($D473&lt;&gt;"Serviço",0,IF(OR(AND(AUTOEVENTO="Manual",$M473=1),$M473&gt;(ROW(PLE.lastrow)-ROW(PLE.firstrow))),0,IF(OFFSET(PLE!$G$14,$M473,AX$13)="",10^12,OFFSET(PLE!$G$14,$M473,AX$13))))</f>
        <v>1000000000000</v>
      </c>
      <c r="AY473" s="182">
        <f ca="1">IF($D473&lt;&gt;"Serviço",0,IF(OR(AND(AUTOEVENTO="Manual",$M473=1),$M473&gt;(ROW(PLE.lastrow)-ROW(PLE.firstrow))),0,IF(OFFSET(PLE!$G$14,$M473,AY$13)="",10^12,OFFSET(PLE!$G$14,$M473,AY$13))))</f>
        <v>1000000000000</v>
      </c>
      <c r="AZ473" s="182">
        <f ca="1">IF($D473&lt;&gt;"Serviço",0,IF(OR(AND(AUTOEVENTO="Manual",$M473=1),$M473&gt;(ROW(PLE.lastrow)-ROW(PLE.firstrow))),0,IF(OFFSET(PLE!$G$14,$M473,AZ$13)="",10^12,OFFSET(PLE!$G$14,$M473,AZ$13))))</f>
        <v>1000000000000</v>
      </c>
      <c r="BA473" s="182">
        <f ca="1">IF($D473&lt;&gt;"Serviço",0,IF(OR(AND(AUTOEVENTO="Manual",$M473=1),$M473&gt;(ROW(PLE.lastrow)-ROW(PLE.firstrow))),0,IF(OFFSET(PLE!$G$14,$M473,BA$13)="",10^12,OFFSET(PLE!$G$14,$M473,BA$13))))</f>
        <v>1000000000000</v>
      </c>
      <c r="BB473" s="182">
        <f ca="1">IF($D473&lt;&gt;"Serviço",0,IF(OR(AND(AUTOEVENTO="Manual",$M473=1),$M473&gt;(ROW(PLE.lastrow)-ROW(PLE.firstrow))),0,IF(OFFSET(PLE!$G$14,$M473,BB$13)="",10^12,OFFSET(PLE!$G$14,$M473,BB$13))))</f>
        <v>1000000000000</v>
      </c>
      <c r="BC473" s="182">
        <f ca="1">IF($D473&lt;&gt;"Serviço",0,IF(OR(AND(AUTOEVENTO="Manual",$M473=1),$M473&gt;(ROW(PLE.lastrow)-ROW(PLE.firstrow))),0,IF(OFFSET(PLE!$G$14,$M473,BC$13)="",10^12,OFFSET(PLE!$G$14,$M473,BC$13))))</f>
        <v>1000000000000</v>
      </c>
      <c r="BD473" s="182">
        <f ca="1">IF($D473&lt;&gt;"Serviço",0,IF(OR(AND(AUTOEVENTO="Manual",$M473=1),$M473&gt;(ROW(PLE.lastrow)-ROW(PLE.firstrow))),0,IF(OFFSET(PLE!$G$14,$M473,BD$13)="",10^12,OFFSET(PLE!$G$14,$M473,BD$13))))</f>
        <v>1000000000000</v>
      </c>
      <c r="BE473" s="182">
        <f ca="1">IF($D473&lt;&gt;"Serviço",0,IF(OR(AND(AUTOEVENTO="Manual",$M473=1),$M473&gt;(ROW(PLE.lastrow)-ROW(PLE.firstrow))),0,IF(OFFSET(PLE!$G$14,$M473,BE$13)="",10^12,OFFSET(PLE!$G$14,$M473,BE$13))))</f>
        <v>1000000000000</v>
      </c>
      <c r="BF473" s="182">
        <f ca="1">IF($D473&lt;&gt;"Serviço",0,IF(OR(AND(AUTOEVENTO="Manual",$M473=1),$M473&gt;(ROW(PLE.lastrow)-ROW(PLE.firstrow))),0,IF(OFFSET(PLE!$G$14,$M473,BF$13)="",10^12,OFFSET(PLE!$G$14,$M473,BF$13))))</f>
        <v>1000000000000</v>
      </c>
      <c r="BG473" s="182">
        <f ca="1">IF($D473&lt;&gt;"Serviço",0,IF(OR(AND(AUTOEVENTO="Manual",$M473=1),$M473&gt;(ROW(PLE.lastrow)-ROW(PLE.firstrow))),0,IF(OFFSET(PLE!$G$14,$M473,BG$13)="",10^12,OFFSET(PLE!$G$14,$M473,BG$13))))</f>
        <v>1000000000000</v>
      </c>
    </row>
    <row r="474" spans="1:59" ht="38.25" x14ac:dyDescent="0.2">
      <c r="A474" s="7" t="str">
        <f t="shared" ca="1" si="14"/>
        <v>411</v>
      </c>
      <c r="B474" s="7" t="str">
        <f ca="1">OFFSET(ORÇAMENTO!C$15,ROW(B474)-ROW(B$15),0)</f>
        <v>S</v>
      </c>
      <c r="C474" s="7" t="str">
        <f ca="1">OFFSET(ORÇAMENTO!L$15,ROW(C474)-ROW(C$15),0)</f>
        <v/>
      </c>
      <c r="D474" s="118" t="str">
        <f ca="1">OFFSET(ORÇAMENTO!N$15,ROW(D474)-ROW(D$15),0)</f>
        <v>Serviço</v>
      </c>
      <c r="E474" s="119" t="str">
        <f ca="1">OFFSET(ORÇAMENTO!O$15,ROW(E474)-ROW(E$15),0)</f>
        <v>-</v>
      </c>
      <c r="F474" s="172" t="str">
        <f ca="1">OFFSET(ORÇAMENTO!R$15,ROW(F474)-ROW(F$15),0)</f>
        <v>(abra o arquivo 'Referência 02-2025.xlsm)</v>
      </c>
      <c r="G474" s="173" t="str">
        <f ca="1">IF($D474&lt;&gt;"Serviço","",OFFSET(ORÇAMENTO!S$15,ROW(G474)-ROW(G$15),0))</f>
        <v>-</v>
      </c>
      <c r="H474" s="124">
        <f ca="1">IF($D474&lt;&gt;"Serviço",0,IF(ACOMPANHAMENTO="BM",ROUND(OFFSET(ORÇAMENTO!AJ$15,ROW(H474)-ROW(H$15),0),15-13*ORÇAMENTO!$AF$7),SUMPRODUCT(($Q$12:$AA$12&lt;&gt;"")*ROUND($Q474:$AA474,15-13*ORÇAMENTO!$AF$7))))</f>
        <v>2</v>
      </c>
      <c r="I474" s="561" t="s">
        <v>890</v>
      </c>
      <c r="K474" s="174"/>
      <c r="L474" s="175" t="s">
        <v>255</v>
      </c>
      <c r="M474" s="176">
        <f ca="1">IF($D474&lt;&gt;"Serviço","",IF(AUTOEVENTO="manual",$A474,IF(ISERROR(MATCH($A474,$A$15:OFFSET($A474,-1,0),0)),MAX($M$15:OFFSET(M474,-1,0))+1,INDEX($M$15:OFFSET(M474,-1,0),MATCH($A474,$A$15:OFFSET($A474,-1,0),0)))))</f>
        <v>17</v>
      </c>
      <c r="N474" s="177" t="str">
        <f ca="1">IF($D474&lt;&gt;"Serviço","",IF(AUTOEVENTO="Manual",IF($A474=0,"&lt;-- defina o número do agrupador",OFFSET(EVENTOS!$D$14,$A474,0)),OFFSET($F$15,$A474,0)))</f>
        <v>SISTEMA DE PROTEÇÃO CONTRA INCÊNDIO</v>
      </c>
      <c r="O474" s="178"/>
      <c r="Q474" s="178"/>
      <c r="R474" s="179"/>
      <c r="S474" s="179"/>
      <c r="T474" s="179"/>
      <c r="U474" s="179"/>
      <c r="V474" s="179"/>
      <c r="W474" s="179"/>
      <c r="X474" s="179"/>
      <c r="Y474" s="179"/>
      <c r="Z474" s="180"/>
      <c r="AB474" s="544">
        <f ca="1">IF(AND($D474="Serviço",AB$12&lt;&gt;0,$H474&gt;0,OR(AUTOEVENTO&lt;&gt;"manual",$M474&lt;&gt;1)),
IF(Import.TipoArredondamento&lt;&gt;"TransfereGOV",
ROUND(OFFSET($P474,0,AB$13),15-13*ORÇAMENTO!$AF$7)/$H474*OFFSET(ORÇAMENTO!$X$15,ROW(AB474)-ROW(AB$15),0),
ROUND(ROUND(OFFSET($P474,0,AB$13),15-13*ORÇAMENTO!$AF$7)*OFFSET(ORÇAMENTO!$W$15,ROW(AB474)-ROW(AB$15),0),15-13*ORÇAMENTO!$AF$11)),0)</f>
        <v>0</v>
      </c>
      <c r="AC474" s="545">
        <f ca="1">IF(AND($D474="Serviço",AC$12&lt;&gt;0,$H474&gt;0,OR(AUTOEVENTO&lt;&gt;"manual",$M474&lt;&gt;1)),
IF(Import.TipoArredondamento&lt;&gt;"TransfereGOV",
ROUND(OFFSET($P474,0,AC$13),15-13*ORÇAMENTO!$AF$7)/$H474*OFFSET(ORÇAMENTO!$X$15,ROW(AC474)-ROW(AC$15),0),
ROUND(ROUND(OFFSET($P474,0,AC$13),15-13*ORÇAMENTO!$AF$7)*OFFSET(ORÇAMENTO!$W$15,ROW(AC474)-ROW(AC$15),0),15-13*ORÇAMENTO!$AF$11)),0)</f>
        <v>0</v>
      </c>
      <c r="AD474" s="545">
        <f ca="1">IF(AND($D474="Serviço",AD$12&lt;&gt;0,$H474&gt;0,OR(AUTOEVENTO&lt;&gt;"manual",$M474&lt;&gt;1)),
IF(Import.TipoArredondamento&lt;&gt;"TransfereGOV",
ROUND(OFFSET($P474,0,AD$13),15-13*ORÇAMENTO!$AF$7)/$H474*OFFSET(ORÇAMENTO!$X$15,ROW(AD474)-ROW(AD$15),0),
ROUND(ROUND(OFFSET($P474,0,AD$13),15-13*ORÇAMENTO!$AF$7)*OFFSET(ORÇAMENTO!$W$15,ROW(AD474)-ROW(AD$15),0),15-13*ORÇAMENTO!$AF$11)),0)</f>
        <v>0</v>
      </c>
      <c r="AE474" s="545">
        <f ca="1">IF(AND($D474="Serviço",AE$12&lt;&gt;0,$H474&gt;0,OR(AUTOEVENTO&lt;&gt;"manual",$M474&lt;&gt;1)),
IF(Import.TipoArredondamento&lt;&gt;"TransfereGOV",
ROUND(OFFSET($P474,0,AE$13),15-13*ORÇAMENTO!$AF$7)/$H474*OFFSET(ORÇAMENTO!$X$15,ROW(AE474)-ROW(AE$15),0),
ROUND(ROUND(OFFSET($P474,0,AE$13),15-13*ORÇAMENTO!$AF$7)*OFFSET(ORÇAMENTO!$W$15,ROW(AE474)-ROW(AE$15),0),15-13*ORÇAMENTO!$AF$11)),0)</f>
        <v>0</v>
      </c>
      <c r="AF474" s="545">
        <f ca="1">IF(AND($D474="Serviço",AF$12&lt;&gt;0,$H474&gt;0,OR(AUTOEVENTO&lt;&gt;"manual",$M474&lt;&gt;1)),
IF(Import.TipoArredondamento&lt;&gt;"TransfereGOV",
ROUND(OFFSET($P474,0,AF$13),15-13*ORÇAMENTO!$AF$7)/$H474*OFFSET(ORÇAMENTO!$X$15,ROW(AF474)-ROW(AF$15),0),
ROUND(ROUND(OFFSET($P474,0,AF$13),15-13*ORÇAMENTO!$AF$7)*OFFSET(ORÇAMENTO!$W$15,ROW(AF474)-ROW(AF$15),0),15-13*ORÇAMENTO!$AF$11)),0)</f>
        <v>0</v>
      </c>
      <c r="AG474" s="545">
        <f ca="1">IF(AND($D474="Serviço",AG$12&lt;&gt;0,$H474&gt;0,OR(AUTOEVENTO&lt;&gt;"manual",$M474&lt;&gt;1)),
IF(Import.TipoArredondamento&lt;&gt;"TransfereGOV",
ROUND(OFFSET($P474,0,AG$13),15-13*ORÇAMENTO!$AF$7)/$H474*OFFSET(ORÇAMENTO!$X$15,ROW(AG474)-ROW(AG$15),0),
ROUND(ROUND(OFFSET($P474,0,AG$13),15-13*ORÇAMENTO!$AF$7)*OFFSET(ORÇAMENTO!$W$15,ROW(AG474)-ROW(AG$15),0),15-13*ORÇAMENTO!$AF$11)),0)</f>
        <v>0</v>
      </c>
      <c r="AH474" s="545">
        <f ca="1">IF(AND($D474="Serviço",AH$12&lt;&gt;0,$H474&gt;0,OR(AUTOEVENTO&lt;&gt;"manual",$M474&lt;&gt;1)),
IF(Import.TipoArredondamento&lt;&gt;"TransfereGOV",
ROUND(OFFSET($P474,0,AH$13),15-13*ORÇAMENTO!$AF$7)/$H474*OFFSET(ORÇAMENTO!$X$15,ROW(AH474)-ROW(AH$15),0),
ROUND(ROUND(OFFSET($P474,0,AH$13),15-13*ORÇAMENTO!$AF$7)*OFFSET(ORÇAMENTO!$W$15,ROW(AH474)-ROW(AH$15),0),15-13*ORÇAMENTO!$AF$11)),0)</f>
        <v>0</v>
      </c>
      <c r="AI474" s="545">
        <f ca="1">IF(AND($D474="Serviço",AI$12&lt;&gt;0,$H474&gt;0,OR(AUTOEVENTO&lt;&gt;"manual",$M474&lt;&gt;1)),
IF(Import.TipoArredondamento&lt;&gt;"TransfereGOV",
ROUND(OFFSET($P474,0,AI$13),15-13*ORÇAMENTO!$AF$7)/$H474*OFFSET(ORÇAMENTO!$X$15,ROW(AI474)-ROW(AI$15),0),
ROUND(ROUND(OFFSET($P474,0,AI$13),15-13*ORÇAMENTO!$AF$7)*OFFSET(ORÇAMENTO!$W$15,ROW(AI474)-ROW(AI$15),0),15-13*ORÇAMENTO!$AF$11)),0)</f>
        <v>0</v>
      </c>
      <c r="AJ474" s="545">
        <f ca="1">IF(AND($D474="Serviço",AJ$12&lt;&gt;0,$H474&gt;0,OR(AUTOEVENTO&lt;&gt;"manual",$M474&lt;&gt;1)),
IF(Import.TipoArredondamento&lt;&gt;"TransfereGOV",
ROUND(OFFSET($P474,0,AJ$13),15-13*ORÇAMENTO!$AF$7)/$H474*OFFSET(ORÇAMENTO!$X$15,ROW(AJ474)-ROW(AJ$15),0),
ROUND(ROUND(OFFSET($P474,0,AJ$13),15-13*ORÇAMENTO!$AF$7)*OFFSET(ORÇAMENTO!$W$15,ROW(AJ474)-ROW(AJ$15),0),15-13*ORÇAMENTO!$AF$11)),0)</f>
        <v>0</v>
      </c>
      <c r="AK474" s="546">
        <f ca="1">IF(AND($D474="Serviço",AK$12&lt;&gt;0,$H474&gt;0,OR(AUTOEVENTO&lt;&gt;"manual",$M474&lt;&gt;1)),
IF(Import.TipoArredondamento&lt;&gt;"TransfereGOV",
ROUND(OFFSET($P474,0,AK$13),15-13*ORÇAMENTO!$AF$7)/$H474*OFFSET(ORÇAMENTO!$X$15,ROW(AK474)-ROW(AK$15),0),
ROUND(ROUND(OFFSET($P474,0,AK$13),15-13*ORÇAMENTO!$AF$7)*OFFSET(ORÇAMENTO!$W$15,ROW(AK474)-ROW(AK$15),0),15-13*ORÇAMENTO!$AF$11)),0)</f>
        <v>0</v>
      </c>
      <c r="AM474" s="181">
        <f ca="1">IF($D474&lt;&gt;"Serviço",0,IF(AND(AUTOEVENTO="Manual",$M474=1),0,IF(OFFSET(CRONOPLE!$F$14,$M474,AM$13)="",10^12,OFFSET(CRONOPLE!$F$14,$M474,AM$13))))</f>
        <v>1000000000000</v>
      </c>
      <c r="AN474" s="181">
        <f ca="1">IF($D474&lt;&gt;"Serviço",0,IF(AND(AUTOEVENTO="Manual",$M474=1),0,IF(OFFSET(CRONOPLE!$F$14,$M474,AN$13)="",10^12,OFFSET(CRONOPLE!$F$14,$M474,AN$13))))</f>
        <v>1000000000000</v>
      </c>
      <c r="AO474" s="181">
        <f ca="1">IF($D474&lt;&gt;"Serviço",0,IF(AND(AUTOEVENTO="Manual",$M474=1),0,IF(OFFSET(CRONOPLE!$F$14,$M474,AO$13)="",10^12,OFFSET(CRONOPLE!$F$14,$M474,AO$13))))</f>
        <v>1000000000000</v>
      </c>
      <c r="AP474" s="181">
        <f ca="1">IF($D474&lt;&gt;"Serviço",0,IF(AND(AUTOEVENTO="Manual",$M474=1),0,IF(OFFSET(CRONOPLE!$F$14,$M474,AP$13)="",10^12,OFFSET(CRONOPLE!$F$14,$M474,AP$13))))</f>
        <v>1000000000000</v>
      </c>
      <c r="AQ474" s="181">
        <f ca="1">IF($D474&lt;&gt;"Serviço",0,IF(AND(AUTOEVENTO="Manual",$M474=1),0,IF(OFFSET(CRONOPLE!$F$14,$M474,AQ$13)="",10^12,OFFSET(CRONOPLE!$F$14,$M474,AQ$13))))</f>
        <v>1000000000000</v>
      </c>
      <c r="AR474" s="181">
        <f ca="1">IF($D474&lt;&gt;"Serviço",0,IF(AND(AUTOEVENTO="Manual",$M474=1),0,IF(OFFSET(CRONOPLE!$F$14,$M474,AR$13)="",10^12,OFFSET(CRONOPLE!$F$14,$M474,AR$13))))</f>
        <v>1000000000000</v>
      </c>
      <c r="AS474" s="181">
        <f ca="1">IF($D474&lt;&gt;"Serviço",0,IF(AND(AUTOEVENTO="Manual",$M474=1),0,IF(OFFSET(CRONOPLE!$F$14,$M474,AS$13)="",10^12,OFFSET(CRONOPLE!$F$14,$M474,AS$13))))</f>
        <v>1000000000000</v>
      </c>
      <c r="AT474" s="181">
        <f ca="1">IF($D474&lt;&gt;"Serviço",0,IF(AND(AUTOEVENTO="Manual",$M474=1),0,IF(OFFSET(CRONOPLE!$F$14,$M474,AT$13)="",10^12,OFFSET(CRONOPLE!$F$14,$M474,AT$13))))</f>
        <v>1000000000000</v>
      </c>
      <c r="AU474" s="181">
        <f ca="1">IF($D474&lt;&gt;"Serviço",0,IF(AND(AUTOEVENTO="Manual",$M474=1),0,IF(OFFSET(CRONOPLE!$F$14,$M474,AU$13)="",10^12,OFFSET(CRONOPLE!$F$14,$M474,AU$13))))</f>
        <v>1000000000000</v>
      </c>
      <c r="AV474" s="181">
        <f ca="1">IF($D474&lt;&gt;"Serviço",0,IF(AND(AUTOEVENTO="Manual",$M474=1),0,IF(OFFSET(CRONOPLE!$F$14,$M474,AV$13)="",10^12,OFFSET(CRONOPLE!$F$14,$M474,AV$13))))</f>
        <v>1000000000000</v>
      </c>
      <c r="AX474" s="182">
        <f ca="1">IF($D474&lt;&gt;"Serviço",0,IF(OR(AND(AUTOEVENTO="Manual",$M474=1),$M474&gt;(ROW(PLE.lastrow)-ROW(PLE.firstrow))),0,IF(OFFSET(PLE!$G$14,$M474,AX$13)="",10^12,OFFSET(PLE!$G$14,$M474,AX$13))))</f>
        <v>1000000000000</v>
      </c>
      <c r="AY474" s="182">
        <f ca="1">IF($D474&lt;&gt;"Serviço",0,IF(OR(AND(AUTOEVENTO="Manual",$M474=1),$M474&gt;(ROW(PLE.lastrow)-ROW(PLE.firstrow))),0,IF(OFFSET(PLE!$G$14,$M474,AY$13)="",10^12,OFFSET(PLE!$G$14,$M474,AY$13))))</f>
        <v>1000000000000</v>
      </c>
      <c r="AZ474" s="182">
        <f ca="1">IF($D474&lt;&gt;"Serviço",0,IF(OR(AND(AUTOEVENTO="Manual",$M474=1),$M474&gt;(ROW(PLE.lastrow)-ROW(PLE.firstrow))),0,IF(OFFSET(PLE!$G$14,$M474,AZ$13)="",10^12,OFFSET(PLE!$G$14,$M474,AZ$13))))</f>
        <v>1000000000000</v>
      </c>
      <c r="BA474" s="182">
        <f ca="1">IF($D474&lt;&gt;"Serviço",0,IF(OR(AND(AUTOEVENTO="Manual",$M474=1),$M474&gt;(ROW(PLE.lastrow)-ROW(PLE.firstrow))),0,IF(OFFSET(PLE!$G$14,$M474,BA$13)="",10^12,OFFSET(PLE!$G$14,$M474,BA$13))))</f>
        <v>1000000000000</v>
      </c>
      <c r="BB474" s="182">
        <f ca="1">IF($D474&lt;&gt;"Serviço",0,IF(OR(AND(AUTOEVENTO="Manual",$M474=1),$M474&gt;(ROW(PLE.lastrow)-ROW(PLE.firstrow))),0,IF(OFFSET(PLE!$G$14,$M474,BB$13)="",10^12,OFFSET(PLE!$G$14,$M474,BB$13))))</f>
        <v>1000000000000</v>
      </c>
      <c r="BC474" s="182">
        <f ca="1">IF($D474&lt;&gt;"Serviço",0,IF(OR(AND(AUTOEVENTO="Manual",$M474=1),$M474&gt;(ROW(PLE.lastrow)-ROW(PLE.firstrow))),0,IF(OFFSET(PLE!$G$14,$M474,BC$13)="",10^12,OFFSET(PLE!$G$14,$M474,BC$13))))</f>
        <v>1000000000000</v>
      </c>
      <c r="BD474" s="182">
        <f ca="1">IF($D474&lt;&gt;"Serviço",0,IF(OR(AND(AUTOEVENTO="Manual",$M474=1),$M474&gt;(ROW(PLE.lastrow)-ROW(PLE.firstrow))),0,IF(OFFSET(PLE!$G$14,$M474,BD$13)="",10^12,OFFSET(PLE!$G$14,$M474,BD$13))))</f>
        <v>1000000000000</v>
      </c>
      <c r="BE474" s="182">
        <f ca="1">IF($D474&lt;&gt;"Serviço",0,IF(OR(AND(AUTOEVENTO="Manual",$M474=1),$M474&gt;(ROW(PLE.lastrow)-ROW(PLE.firstrow))),0,IF(OFFSET(PLE!$G$14,$M474,BE$13)="",10^12,OFFSET(PLE!$G$14,$M474,BE$13))))</f>
        <v>1000000000000</v>
      </c>
      <c r="BF474" s="182">
        <f ca="1">IF($D474&lt;&gt;"Serviço",0,IF(OR(AND(AUTOEVENTO="Manual",$M474=1),$M474&gt;(ROW(PLE.lastrow)-ROW(PLE.firstrow))),0,IF(OFFSET(PLE!$G$14,$M474,BF$13)="",10^12,OFFSET(PLE!$G$14,$M474,BF$13))))</f>
        <v>1000000000000</v>
      </c>
      <c r="BG474" s="182">
        <f ca="1">IF($D474&lt;&gt;"Serviço",0,IF(OR(AND(AUTOEVENTO="Manual",$M474=1),$M474&gt;(ROW(PLE.lastrow)-ROW(PLE.firstrow))),0,IF(OFFSET(PLE!$G$14,$M474,BG$13)="",10^12,OFFSET(PLE!$G$14,$M474,BG$13))))</f>
        <v>1000000000000</v>
      </c>
    </row>
    <row r="475" spans="1:59" ht="38.25" x14ac:dyDescent="0.2">
      <c r="A475" s="7" t="str">
        <f t="shared" ca="1" si="14"/>
        <v>411</v>
      </c>
      <c r="B475" s="7" t="str">
        <f ca="1">OFFSET(ORÇAMENTO!C$15,ROW(B475)-ROW(B$15),0)</f>
        <v>S</v>
      </c>
      <c r="C475" s="7" t="str">
        <f ca="1">OFFSET(ORÇAMENTO!L$15,ROW(C475)-ROW(C$15),0)</f>
        <v/>
      </c>
      <c r="D475" s="118" t="str">
        <f ca="1">OFFSET(ORÇAMENTO!N$15,ROW(D475)-ROW(D$15),0)</f>
        <v>Serviço</v>
      </c>
      <c r="E475" s="119" t="str">
        <f ca="1">OFFSET(ORÇAMENTO!O$15,ROW(E475)-ROW(E$15),0)</f>
        <v>-</v>
      </c>
      <c r="F475" s="172" t="str">
        <f ca="1">OFFSET(ORÇAMENTO!R$15,ROW(F475)-ROW(F$15),0)</f>
        <v>(abra o arquivo 'Referência 02-2025.xlsm)</v>
      </c>
      <c r="G475" s="173" t="str">
        <f ca="1">IF($D475&lt;&gt;"Serviço","",OFFSET(ORÇAMENTO!S$15,ROW(G475)-ROW(G$15),0))</f>
        <v>-</v>
      </c>
      <c r="H475" s="124">
        <f ca="1">IF($D475&lt;&gt;"Serviço",0,IF(ACOMPANHAMENTO="BM",ROUND(OFFSET(ORÇAMENTO!AJ$15,ROW(H475)-ROW(H$15),0),15-13*ORÇAMENTO!$AF$7),SUMPRODUCT(($Q$12:$AA$12&lt;&gt;"")*ROUND($Q475:$AA475,15-13*ORÇAMENTO!$AF$7))))</f>
        <v>4</v>
      </c>
      <c r="I475" s="561" t="s">
        <v>890</v>
      </c>
      <c r="K475" s="174"/>
      <c r="L475" s="175" t="s">
        <v>255</v>
      </c>
      <c r="M475" s="176">
        <f ca="1">IF($D475&lt;&gt;"Serviço","",IF(AUTOEVENTO="manual",$A475,IF(ISERROR(MATCH($A475,$A$15:OFFSET($A475,-1,0),0)),MAX($M$15:OFFSET(M475,-1,0))+1,INDEX($M$15:OFFSET(M475,-1,0),MATCH($A475,$A$15:OFFSET($A475,-1,0),0)))))</f>
        <v>17</v>
      </c>
      <c r="N475" s="177" t="str">
        <f ca="1">IF($D475&lt;&gt;"Serviço","",IF(AUTOEVENTO="Manual",IF($A475=0,"&lt;-- defina o número do agrupador",OFFSET(EVENTOS!$D$14,$A475,0)),OFFSET($F$15,$A475,0)))</f>
        <v>SISTEMA DE PROTEÇÃO CONTRA INCÊNDIO</v>
      </c>
      <c r="O475" s="178"/>
      <c r="Q475" s="178"/>
      <c r="R475" s="179"/>
      <c r="S475" s="179"/>
      <c r="T475" s="179"/>
      <c r="U475" s="179"/>
      <c r="V475" s="179"/>
      <c r="W475" s="179"/>
      <c r="X475" s="179"/>
      <c r="Y475" s="179"/>
      <c r="Z475" s="180"/>
      <c r="AB475" s="544">
        <f ca="1">IF(AND($D475="Serviço",AB$12&lt;&gt;0,$H475&gt;0,OR(AUTOEVENTO&lt;&gt;"manual",$M475&lt;&gt;1)),
IF(Import.TipoArredondamento&lt;&gt;"TransfereGOV",
ROUND(OFFSET($P475,0,AB$13),15-13*ORÇAMENTO!$AF$7)/$H475*OFFSET(ORÇAMENTO!$X$15,ROW(AB475)-ROW(AB$15),0),
ROUND(ROUND(OFFSET($P475,0,AB$13),15-13*ORÇAMENTO!$AF$7)*OFFSET(ORÇAMENTO!$W$15,ROW(AB475)-ROW(AB$15),0),15-13*ORÇAMENTO!$AF$11)),0)</f>
        <v>0</v>
      </c>
      <c r="AC475" s="545">
        <f ca="1">IF(AND($D475="Serviço",AC$12&lt;&gt;0,$H475&gt;0,OR(AUTOEVENTO&lt;&gt;"manual",$M475&lt;&gt;1)),
IF(Import.TipoArredondamento&lt;&gt;"TransfereGOV",
ROUND(OFFSET($P475,0,AC$13),15-13*ORÇAMENTO!$AF$7)/$H475*OFFSET(ORÇAMENTO!$X$15,ROW(AC475)-ROW(AC$15),0),
ROUND(ROUND(OFFSET($P475,0,AC$13),15-13*ORÇAMENTO!$AF$7)*OFFSET(ORÇAMENTO!$W$15,ROW(AC475)-ROW(AC$15),0),15-13*ORÇAMENTO!$AF$11)),0)</f>
        <v>0</v>
      </c>
      <c r="AD475" s="545">
        <f ca="1">IF(AND($D475="Serviço",AD$12&lt;&gt;0,$H475&gt;0,OR(AUTOEVENTO&lt;&gt;"manual",$M475&lt;&gt;1)),
IF(Import.TipoArredondamento&lt;&gt;"TransfereGOV",
ROUND(OFFSET($P475,0,AD$13),15-13*ORÇAMENTO!$AF$7)/$H475*OFFSET(ORÇAMENTO!$X$15,ROW(AD475)-ROW(AD$15),0),
ROUND(ROUND(OFFSET($P475,0,AD$13),15-13*ORÇAMENTO!$AF$7)*OFFSET(ORÇAMENTO!$W$15,ROW(AD475)-ROW(AD$15),0),15-13*ORÇAMENTO!$AF$11)),0)</f>
        <v>0</v>
      </c>
      <c r="AE475" s="545">
        <f ca="1">IF(AND($D475="Serviço",AE$12&lt;&gt;0,$H475&gt;0,OR(AUTOEVENTO&lt;&gt;"manual",$M475&lt;&gt;1)),
IF(Import.TipoArredondamento&lt;&gt;"TransfereGOV",
ROUND(OFFSET($P475,0,AE$13),15-13*ORÇAMENTO!$AF$7)/$H475*OFFSET(ORÇAMENTO!$X$15,ROW(AE475)-ROW(AE$15),0),
ROUND(ROUND(OFFSET($P475,0,AE$13),15-13*ORÇAMENTO!$AF$7)*OFFSET(ORÇAMENTO!$W$15,ROW(AE475)-ROW(AE$15),0),15-13*ORÇAMENTO!$AF$11)),0)</f>
        <v>0</v>
      </c>
      <c r="AF475" s="545">
        <f ca="1">IF(AND($D475="Serviço",AF$12&lt;&gt;0,$H475&gt;0,OR(AUTOEVENTO&lt;&gt;"manual",$M475&lt;&gt;1)),
IF(Import.TipoArredondamento&lt;&gt;"TransfereGOV",
ROUND(OFFSET($P475,0,AF$13),15-13*ORÇAMENTO!$AF$7)/$H475*OFFSET(ORÇAMENTO!$X$15,ROW(AF475)-ROW(AF$15),0),
ROUND(ROUND(OFFSET($P475,0,AF$13),15-13*ORÇAMENTO!$AF$7)*OFFSET(ORÇAMENTO!$W$15,ROW(AF475)-ROW(AF$15),0),15-13*ORÇAMENTO!$AF$11)),0)</f>
        <v>0</v>
      </c>
      <c r="AG475" s="545">
        <f ca="1">IF(AND($D475="Serviço",AG$12&lt;&gt;0,$H475&gt;0,OR(AUTOEVENTO&lt;&gt;"manual",$M475&lt;&gt;1)),
IF(Import.TipoArredondamento&lt;&gt;"TransfereGOV",
ROUND(OFFSET($P475,0,AG$13),15-13*ORÇAMENTO!$AF$7)/$H475*OFFSET(ORÇAMENTO!$X$15,ROW(AG475)-ROW(AG$15),0),
ROUND(ROUND(OFFSET($P475,0,AG$13),15-13*ORÇAMENTO!$AF$7)*OFFSET(ORÇAMENTO!$W$15,ROW(AG475)-ROW(AG$15),0),15-13*ORÇAMENTO!$AF$11)),0)</f>
        <v>0</v>
      </c>
      <c r="AH475" s="545">
        <f ca="1">IF(AND($D475="Serviço",AH$12&lt;&gt;0,$H475&gt;0,OR(AUTOEVENTO&lt;&gt;"manual",$M475&lt;&gt;1)),
IF(Import.TipoArredondamento&lt;&gt;"TransfereGOV",
ROUND(OFFSET($P475,0,AH$13),15-13*ORÇAMENTO!$AF$7)/$H475*OFFSET(ORÇAMENTO!$X$15,ROW(AH475)-ROW(AH$15),0),
ROUND(ROUND(OFFSET($P475,0,AH$13),15-13*ORÇAMENTO!$AF$7)*OFFSET(ORÇAMENTO!$W$15,ROW(AH475)-ROW(AH$15),0),15-13*ORÇAMENTO!$AF$11)),0)</f>
        <v>0</v>
      </c>
      <c r="AI475" s="545">
        <f ca="1">IF(AND($D475="Serviço",AI$12&lt;&gt;0,$H475&gt;0,OR(AUTOEVENTO&lt;&gt;"manual",$M475&lt;&gt;1)),
IF(Import.TipoArredondamento&lt;&gt;"TransfereGOV",
ROUND(OFFSET($P475,0,AI$13),15-13*ORÇAMENTO!$AF$7)/$H475*OFFSET(ORÇAMENTO!$X$15,ROW(AI475)-ROW(AI$15),0),
ROUND(ROUND(OFFSET($P475,0,AI$13),15-13*ORÇAMENTO!$AF$7)*OFFSET(ORÇAMENTO!$W$15,ROW(AI475)-ROW(AI$15),0),15-13*ORÇAMENTO!$AF$11)),0)</f>
        <v>0</v>
      </c>
      <c r="AJ475" s="545">
        <f ca="1">IF(AND($D475="Serviço",AJ$12&lt;&gt;0,$H475&gt;0,OR(AUTOEVENTO&lt;&gt;"manual",$M475&lt;&gt;1)),
IF(Import.TipoArredondamento&lt;&gt;"TransfereGOV",
ROUND(OFFSET($P475,0,AJ$13),15-13*ORÇAMENTO!$AF$7)/$H475*OFFSET(ORÇAMENTO!$X$15,ROW(AJ475)-ROW(AJ$15),0),
ROUND(ROUND(OFFSET($P475,0,AJ$13),15-13*ORÇAMENTO!$AF$7)*OFFSET(ORÇAMENTO!$W$15,ROW(AJ475)-ROW(AJ$15),0),15-13*ORÇAMENTO!$AF$11)),0)</f>
        <v>0</v>
      </c>
      <c r="AK475" s="546">
        <f ca="1">IF(AND($D475="Serviço",AK$12&lt;&gt;0,$H475&gt;0,OR(AUTOEVENTO&lt;&gt;"manual",$M475&lt;&gt;1)),
IF(Import.TipoArredondamento&lt;&gt;"TransfereGOV",
ROUND(OFFSET($P475,0,AK$13),15-13*ORÇAMENTO!$AF$7)/$H475*OFFSET(ORÇAMENTO!$X$15,ROW(AK475)-ROW(AK$15),0),
ROUND(ROUND(OFFSET($P475,0,AK$13),15-13*ORÇAMENTO!$AF$7)*OFFSET(ORÇAMENTO!$W$15,ROW(AK475)-ROW(AK$15),0),15-13*ORÇAMENTO!$AF$11)),0)</f>
        <v>0</v>
      </c>
      <c r="AM475" s="181">
        <f ca="1">IF($D475&lt;&gt;"Serviço",0,IF(AND(AUTOEVENTO="Manual",$M475=1),0,IF(OFFSET(CRONOPLE!$F$14,$M475,AM$13)="",10^12,OFFSET(CRONOPLE!$F$14,$M475,AM$13))))</f>
        <v>1000000000000</v>
      </c>
      <c r="AN475" s="181">
        <f ca="1">IF($D475&lt;&gt;"Serviço",0,IF(AND(AUTOEVENTO="Manual",$M475=1),0,IF(OFFSET(CRONOPLE!$F$14,$M475,AN$13)="",10^12,OFFSET(CRONOPLE!$F$14,$M475,AN$13))))</f>
        <v>1000000000000</v>
      </c>
      <c r="AO475" s="181">
        <f ca="1">IF($D475&lt;&gt;"Serviço",0,IF(AND(AUTOEVENTO="Manual",$M475=1),0,IF(OFFSET(CRONOPLE!$F$14,$M475,AO$13)="",10^12,OFFSET(CRONOPLE!$F$14,$M475,AO$13))))</f>
        <v>1000000000000</v>
      </c>
      <c r="AP475" s="181">
        <f ca="1">IF($D475&lt;&gt;"Serviço",0,IF(AND(AUTOEVENTO="Manual",$M475=1),0,IF(OFFSET(CRONOPLE!$F$14,$M475,AP$13)="",10^12,OFFSET(CRONOPLE!$F$14,$M475,AP$13))))</f>
        <v>1000000000000</v>
      </c>
      <c r="AQ475" s="181">
        <f ca="1">IF($D475&lt;&gt;"Serviço",0,IF(AND(AUTOEVENTO="Manual",$M475=1),0,IF(OFFSET(CRONOPLE!$F$14,$M475,AQ$13)="",10^12,OFFSET(CRONOPLE!$F$14,$M475,AQ$13))))</f>
        <v>1000000000000</v>
      </c>
      <c r="AR475" s="181">
        <f ca="1">IF($D475&lt;&gt;"Serviço",0,IF(AND(AUTOEVENTO="Manual",$M475=1),0,IF(OFFSET(CRONOPLE!$F$14,$M475,AR$13)="",10^12,OFFSET(CRONOPLE!$F$14,$M475,AR$13))))</f>
        <v>1000000000000</v>
      </c>
      <c r="AS475" s="181">
        <f ca="1">IF($D475&lt;&gt;"Serviço",0,IF(AND(AUTOEVENTO="Manual",$M475=1),0,IF(OFFSET(CRONOPLE!$F$14,$M475,AS$13)="",10^12,OFFSET(CRONOPLE!$F$14,$M475,AS$13))))</f>
        <v>1000000000000</v>
      </c>
      <c r="AT475" s="181">
        <f ca="1">IF($D475&lt;&gt;"Serviço",0,IF(AND(AUTOEVENTO="Manual",$M475=1),0,IF(OFFSET(CRONOPLE!$F$14,$M475,AT$13)="",10^12,OFFSET(CRONOPLE!$F$14,$M475,AT$13))))</f>
        <v>1000000000000</v>
      </c>
      <c r="AU475" s="181">
        <f ca="1">IF($D475&lt;&gt;"Serviço",0,IF(AND(AUTOEVENTO="Manual",$M475=1),0,IF(OFFSET(CRONOPLE!$F$14,$M475,AU$13)="",10^12,OFFSET(CRONOPLE!$F$14,$M475,AU$13))))</f>
        <v>1000000000000</v>
      </c>
      <c r="AV475" s="181">
        <f ca="1">IF($D475&lt;&gt;"Serviço",0,IF(AND(AUTOEVENTO="Manual",$M475=1),0,IF(OFFSET(CRONOPLE!$F$14,$M475,AV$13)="",10^12,OFFSET(CRONOPLE!$F$14,$M475,AV$13))))</f>
        <v>1000000000000</v>
      </c>
      <c r="AX475" s="182">
        <f ca="1">IF($D475&lt;&gt;"Serviço",0,IF(OR(AND(AUTOEVENTO="Manual",$M475=1),$M475&gt;(ROW(PLE.lastrow)-ROW(PLE.firstrow))),0,IF(OFFSET(PLE!$G$14,$M475,AX$13)="",10^12,OFFSET(PLE!$G$14,$M475,AX$13))))</f>
        <v>1000000000000</v>
      </c>
      <c r="AY475" s="182">
        <f ca="1">IF($D475&lt;&gt;"Serviço",0,IF(OR(AND(AUTOEVENTO="Manual",$M475=1),$M475&gt;(ROW(PLE.lastrow)-ROW(PLE.firstrow))),0,IF(OFFSET(PLE!$G$14,$M475,AY$13)="",10^12,OFFSET(PLE!$G$14,$M475,AY$13))))</f>
        <v>1000000000000</v>
      </c>
      <c r="AZ475" s="182">
        <f ca="1">IF($D475&lt;&gt;"Serviço",0,IF(OR(AND(AUTOEVENTO="Manual",$M475=1),$M475&gt;(ROW(PLE.lastrow)-ROW(PLE.firstrow))),0,IF(OFFSET(PLE!$G$14,$M475,AZ$13)="",10^12,OFFSET(PLE!$G$14,$M475,AZ$13))))</f>
        <v>1000000000000</v>
      </c>
      <c r="BA475" s="182">
        <f ca="1">IF($D475&lt;&gt;"Serviço",0,IF(OR(AND(AUTOEVENTO="Manual",$M475=1),$M475&gt;(ROW(PLE.lastrow)-ROW(PLE.firstrow))),0,IF(OFFSET(PLE!$G$14,$M475,BA$13)="",10^12,OFFSET(PLE!$G$14,$M475,BA$13))))</f>
        <v>1000000000000</v>
      </c>
      <c r="BB475" s="182">
        <f ca="1">IF($D475&lt;&gt;"Serviço",0,IF(OR(AND(AUTOEVENTO="Manual",$M475=1),$M475&gt;(ROW(PLE.lastrow)-ROW(PLE.firstrow))),0,IF(OFFSET(PLE!$G$14,$M475,BB$13)="",10^12,OFFSET(PLE!$G$14,$M475,BB$13))))</f>
        <v>1000000000000</v>
      </c>
      <c r="BC475" s="182">
        <f ca="1">IF($D475&lt;&gt;"Serviço",0,IF(OR(AND(AUTOEVENTO="Manual",$M475=1),$M475&gt;(ROW(PLE.lastrow)-ROW(PLE.firstrow))),0,IF(OFFSET(PLE!$G$14,$M475,BC$13)="",10^12,OFFSET(PLE!$G$14,$M475,BC$13))))</f>
        <v>1000000000000</v>
      </c>
      <c r="BD475" s="182">
        <f ca="1">IF($D475&lt;&gt;"Serviço",0,IF(OR(AND(AUTOEVENTO="Manual",$M475=1),$M475&gt;(ROW(PLE.lastrow)-ROW(PLE.firstrow))),0,IF(OFFSET(PLE!$G$14,$M475,BD$13)="",10^12,OFFSET(PLE!$G$14,$M475,BD$13))))</f>
        <v>1000000000000</v>
      </c>
      <c r="BE475" s="182">
        <f ca="1">IF($D475&lt;&gt;"Serviço",0,IF(OR(AND(AUTOEVENTO="Manual",$M475=1),$M475&gt;(ROW(PLE.lastrow)-ROW(PLE.firstrow))),0,IF(OFFSET(PLE!$G$14,$M475,BE$13)="",10^12,OFFSET(PLE!$G$14,$M475,BE$13))))</f>
        <v>1000000000000</v>
      </c>
      <c r="BF475" s="182">
        <f ca="1">IF($D475&lt;&gt;"Serviço",0,IF(OR(AND(AUTOEVENTO="Manual",$M475=1),$M475&gt;(ROW(PLE.lastrow)-ROW(PLE.firstrow))),0,IF(OFFSET(PLE!$G$14,$M475,BF$13)="",10^12,OFFSET(PLE!$G$14,$M475,BF$13))))</f>
        <v>1000000000000</v>
      </c>
      <c r="BG475" s="182">
        <f ca="1">IF($D475&lt;&gt;"Serviço",0,IF(OR(AND(AUTOEVENTO="Manual",$M475=1),$M475&gt;(ROW(PLE.lastrow)-ROW(PLE.firstrow))),0,IF(OFFSET(PLE!$G$14,$M475,BG$13)="",10^12,OFFSET(PLE!$G$14,$M475,BG$13))))</f>
        <v>1000000000000</v>
      </c>
    </row>
    <row r="476" spans="1:59" ht="25.5" x14ac:dyDescent="0.2">
      <c r="A476" s="7" t="str">
        <f t="shared" ca="1" si="14"/>
        <v>411</v>
      </c>
      <c r="B476" s="7" t="str">
        <f ca="1">OFFSET(ORÇAMENTO!C$15,ROW(B476)-ROW(B$15),0)</f>
        <v>S</v>
      </c>
      <c r="C476" s="7" t="str">
        <f ca="1">OFFSET(ORÇAMENTO!L$15,ROW(C476)-ROW(C$15),0)</f>
        <v/>
      </c>
      <c r="D476" s="118" t="str">
        <f ca="1">OFFSET(ORÇAMENTO!N$15,ROW(D476)-ROW(D$15),0)</f>
        <v>Serviço</v>
      </c>
      <c r="E476" s="119" t="str">
        <f ca="1">OFFSET(ORÇAMENTO!O$15,ROW(E476)-ROW(E$15),0)</f>
        <v>-</v>
      </c>
      <c r="F476" s="172" t="str">
        <f ca="1">OFFSET(ORÇAMENTO!R$15,ROW(F476)-ROW(F$15),0)</f>
        <v>(abra o arquivo 'Referência 02-2025.xlsm)</v>
      </c>
      <c r="G476" s="173" t="str">
        <f ca="1">IF($D476&lt;&gt;"Serviço","",OFFSET(ORÇAMENTO!S$15,ROW(G476)-ROW(G$15),0))</f>
        <v>-</v>
      </c>
      <c r="H476" s="124">
        <f ca="1">IF($D476&lt;&gt;"Serviço",0,IF(ACOMPANHAMENTO="BM",ROUND(OFFSET(ORÇAMENTO!AJ$15,ROW(H476)-ROW(H$15),0),15-13*ORÇAMENTO!$AF$7),SUMPRODUCT(($Q$12:$AA$12&lt;&gt;"")*ROUND($Q476:$AA476,15-13*ORÇAMENTO!$AF$7))))</f>
        <v>1</v>
      </c>
      <c r="I476" s="561" t="s">
        <v>890</v>
      </c>
      <c r="K476" s="174"/>
      <c r="L476" s="175" t="s">
        <v>255</v>
      </c>
      <c r="M476" s="176">
        <f ca="1">IF($D476&lt;&gt;"Serviço","",IF(AUTOEVENTO="manual",$A476,IF(ISERROR(MATCH($A476,$A$15:OFFSET($A476,-1,0),0)),MAX($M$15:OFFSET(M476,-1,0))+1,INDEX($M$15:OFFSET(M476,-1,0),MATCH($A476,$A$15:OFFSET($A476,-1,0),0)))))</f>
        <v>17</v>
      </c>
      <c r="N476" s="177" t="str">
        <f ca="1">IF($D476&lt;&gt;"Serviço","",IF(AUTOEVENTO="Manual",IF($A476=0,"&lt;-- defina o número do agrupador",OFFSET(EVENTOS!$D$14,$A476,0)),OFFSET($F$15,$A476,0)))</f>
        <v>SISTEMA DE PROTEÇÃO CONTRA INCÊNDIO</v>
      </c>
      <c r="O476" s="178"/>
      <c r="Q476" s="178"/>
      <c r="R476" s="179"/>
      <c r="S476" s="179"/>
      <c r="T476" s="179"/>
      <c r="U476" s="179"/>
      <c r="V476" s="179"/>
      <c r="W476" s="179"/>
      <c r="X476" s="179"/>
      <c r="Y476" s="179"/>
      <c r="Z476" s="180"/>
      <c r="AB476" s="544">
        <f ca="1">IF(AND($D476="Serviço",AB$12&lt;&gt;0,$H476&gt;0,OR(AUTOEVENTO&lt;&gt;"manual",$M476&lt;&gt;1)),
IF(Import.TipoArredondamento&lt;&gt;"TransfereGOV",
ROUND(OFFSET($P476,0,AB$13),15-13*ORÇAMENTO!$AF$7)/$H476*OFFSET(ORÇAMENTO!$X$15,ROW(AB476)-ROW(AB$15),0),
ROUND(ROUND(OFFSET($P476,0,AB$13),15-13*ORÇAMENTO!$AF$7)*OFFSET(ORÇAMENTO!$W$15,ROW(AB476)-ROW(AB$15),0),15-13*ORÇAMENTO!$AF$11)),0)</f>
        <v>0</v>
      </c>
      <c r="AC476" s="545">
        <f ca="1">IF(AND($D476="Serviço",AC$12&lt;&gt;0,$H476&gt;0,OR(AUTOEVENTO&lt;&gt;"manual",$M476&lt;&gt;1)),
IF(Import.TipoArredondamento&lt;&gt;"TransfereGOV",
ROUND(OFFSET($P476,0,AC$13),15-13*ORÇAMENTO!$AF$7)/$H476*OFFSET(ORÇAMENTO!$X$15,ROW(AC476)-ROW(AC$15),0),
ROUND(ROUND(OFFSET($P476,0,AC$13),15-13*ORÇAMENTO!$AF$7)*OFFSET(ORÇAMENTO!$W$15,ROW(AC476)-ROW(AC$15),0),15-13*ORÇAMENTO!$AF$11)),0)</f>
        <v>0</v>
      </c>
      <c r="AD476" s="545">
        <f ca="1">IF(AND($D476="Serviço",AD$12&lt;&gt;0,$H476&gt;0,OR(AUTOEVENTO&lt;&gt;"manual",$M476&lt;&gt;1)),
IF(Import.TipoArredondamento&lt;&gt;"TransfereGOV",
ROUND(OFFSET($P476,0,AD$13),15-13*ORÇAMENTO!$AF$7)/$H476*OFFSET(ORÇAMENTO!$X$15,ROW(AD476)-ROW(AD$15),0),
ROUND(ROUND(OFFSET($P476,0,AD$13),15-13*ORÇAMENTO!$AF$7)*OFFSET(ORÇAMENTO!$W$15,ROW(AD476)-ROW(AD$15),0),15-13*ORÇAMENTO!$AF$11)),0)</f>
        <v>0</v>
      </c>
      <c r="AE476" s="545">
        <f ca="1">IF(AND($D476="Serviço",AE$12&lt;&gt;0,$H476&gt;0,OR(AUTOEVENTO&lt;&gt;"manual",$M476&lt;&gt;1)),
IF(Import.TipoArredondamento&lt;&gt;"TransfereGOV",
ROUND(OFFSET($P476,0,AE$13),15-13*ORÇAMENTO!$AF$7)/$H476*OFFSET(ORÇAMENTO!$X$15,ROW(AE476)-ROW(AE$15),0),
ROUND(ROUND(OFFSET($P476,0,AE$13),15-13*ORÇAMENTO!$AF$7)*OFFSET(ORÇAMENTO!$W$15,ROW(AE476)-ROW(AE$15),0),15-13*ORÇAMENTO!$AF$11)),0)</f>
        <v>0</v>
      </c>
      <c r="AF476" s="545">
        <f ca="1">IF(AND($D476="Serviço",AF$12&lt;&gt;0,$H476&gt;0,OR(AUTOEVENTO&lt;&gt;"manual",$M476&lt;&gt;1)),
IF(Import.TipoArredondamento&lt;&gt;"TransfereGOV",
ROUND(OFFSET($P476,0,AF$13),15-13*ORÇAMENTO!$AF$7)/$H476*OFFSET(ORÇAMENTO!$X$15,ROW(AF476)-ROW(AF$15),0),
ROUND(ROUND(OFFSET($P476,0,AF$13),15-13*ORÇAMENTO!$AF$7)*OFFSET(ORÇAMENTO!$W$15,ROW(AF476)-ROW(AF$15),0),15-13*ORÇAMENTO!$AF$11)),0)</f>
        <v>0</v>
      </c>
      <c r="AG476" s="545">
        <f ca="1">IF(AND($D476="Serviço",AG$12&lt;&gt;0,$H476&gt;0,OR(AUTOEVENTO&lt;&gt;"manual",$M476&lt;&gt;1)),
IF(Import.TipoArredondamento&lt;&gt;"TransfereGOV",
ROUND(OFFSET($P476,0,AG$13),15-13*ORÇAMENTO!$AF$7)/$H476*OFFSET(ORÇAMENTO!$X$15,ROW(AG476)-ROW(AG$15),0),
ROUND(ROUND(OFFSET($P476,0,AG$13),15-13*ORÇAMENTO!$AF$7)*OFFSET(ORÇAMENTO!$W$15,ROW(AG476)-ROW(AG$15),0),15-13*ORÇAMENTO!$AF$11)),0)</f>
        <v>0</v>
      </c>
      <c r="AH476" s="545">
        <f ca="1">IF(AND($D476="Serviço",AH$12&lt;&gt;0,$H476&gt;0,OR(AUTOEVENTO&lt;&gt;"manual",$M476&lt;&gt;1)),
IF(Import.TipoArredondamento&lt;&gt;"TransfereGOV",
ROUND(OFFSET($P476,0,AH$13),15-13*ORÇAMENTO!$AF$7)/$H476*OFFSET(ORÇAMENTO!$X$15,ROW(AH476)-ROW(AH$15),0),
ROUND(ROUND(OFFSET($P476,0,AH$13),15-13*ORÇAMENTO!$AF$7)*OFFSET(ORÇAMENTO!$W$15,ROW(AH476)-ROW(AH$15),0),15-13*ORÇAMENTO!$AF$11)),0)</f>
        <v>0</v>
      </c>
      <c r="AI476" s="545">
        <f ca="1">IF(AND($D476="Serviço",AI$12&lt;&gt;0,$H476&gt;0,OR(AUTOEVENTO&lt;&gt;"manual",$M476&lt;&gt;1)),
IF(Import.TipoArredondamento&lt;&gt;"TransfereGOV",
ROUND(OFFSET($P476,0,AI$13),15-13*ORÇAMENTO!$AF$7)/$H476*OFFSET(ORÇAMENTO!$X$15,ROW(AI476)-ROW(AI$15),0),
ROUND(ROUND(OFFSET($P476,0,AI$13),15-13*ORÇAMENTO!$AF$7)*OFFSET(ORÇAMENTO!$W$15,ROW(AI476)-ROW(AI$15),0),15-13*ORÇAMENTO!$AF$11)),0)</f>
        <v>0</v>
      </c>
      <c r="AJ476" s="545">
        <f ca="1">IF(AND($D476="Serviço",AJ$12&lt;&gt;0,$H476&gt;0,OR(AUTOEVENTO&lt;&gt;"manual",$M476&lt;&gt;1)),
IF(Import.TipoArredondamento&lt;&gt;"TransfereGOV",
ROUND(OFFSET($P476,0,AJ$13),15-13*ORÇAMENTO!$AF$7)/$H476*OFFSET(ORÇAMENTO!$X$15,ROW(AJ476)-ROW(AJ$15),0),
ROUND(ROUND(OFFSET($P476,0,AJ$13),15-13*ORÇAMENTO!$AF$7)*OFFSET(ORÇAMENTO!$W$15,ROW(AJ476)-ROW(AJ$15),0),15-13*ORÇAMENTO!$AF$11)),0)</f>
        <v>0</v>
      </c>
      <c r="AK476" s="546">
        <f ca="1">IF(AND($D476="Serviço",AK$12&lt;&gt;0,$H476&gt;0,OR(AUTOEVENTO&lt;&gt;"manual",$M476&lt;&gt;1)),
IF(Import.TipoArredondamento&lt;&gt;"TransfereGOV",
ROUND(OFFSET($P476,0,AK$13),15-13*ORÇAMENTO!$AF$7)/$H476*OFFSET(ORÇAMENTO!$X$15,ROW(AK476)-ROW(AK$15),0),
ROUND(ROUND(OFFSET($P476,0,AK$13),15-13*ORÇAMENTO!$AF$7)*OFFSET(ORÇAMENTO!$W$15,ROW(AK476)-ROW(AK$15),0),15-13*ORÇAMENTO!$AF$11)),0)</f>
        <v>0</v>
      </c>
      <c r="AM476" s="181">
        <f ca="1">IF($D476&lt;&gt;"Serviço",0,IF(AND(AUTOEVENTO="Manual",$M476=1),0,IF(OFFSET(CRONOPLE!$F$14,$M476,AM$13)="",10^12,OFFSET(CRONOPLE!$F$14,$M476,AM$13))))</f>
        <v>1000000000000</v>
      </c>
      <c r="AN476" s="181">
        <f ca="1">IF($D476&lt;&gt;"Serviço",0,IF(AND(AUTOEVENTO="Manual",$M476=1),0,IF(OFFSET(CRONOPLE!$F$14,$M476,AN$13)="",10^12,OFFSET(CRONOPLE!$F$14,$M476,AN$13))))</f>
        <v>1000000000000</v>
      </c>
      <c r="AO476" s="181">
        <f ca="1">IF($D476&lt;&gt;"Serviço",0,IF(AND(AUTOEVENTO="Manual",$M476=1),0,IF(OFFSET(CRONOPLE!$F$14,$M476,AO$13)="",10^12,OFFSET(CRONOPLE!$F$14,$M476,AO$13))))</f>
        <v>1000000000000</v>
      </c>
      <c r="AP476" s="181">
        <f ca="1">IF($D476&lt;&gt;"Serviço",0,IF(AND(AUTOEVENTO="Manual",$M476=1),0,IF(OFFSET(CRONOPLE!$F$14,$M476,AP$13)="",10^12,OFFSET(CRONOPLE!$F$14,$M476,AP$13))))</f>
        <v>1000000000000</v>
      </c>
      <c r="AQ476" s="181">
        <f ca="1">IF($D476&lt;&gt;"Serviço",0,IF(AND(AUTOEVENTO="Manual",$M476=1),0,IF(OFFSET(CRONOPLE!$F$14,$M476,AQ$13)="",10^12,OFFSET(CRONOPLE!$F$14,$M476,AQ$13))))</f>
        <v>1000000000000</v>
      </c>
      <c r="AR476" s="181">
        <f ca="1">IF($D476&lt;&gt;"Serviço",0,IF(AND(AUTOEVENTO="Manual",$M476=1),0,IF(OFFSET(CRONOPLE!$F$14,$M476,AR$13)="",10^12,OFFSET(CRONOPLE!$F$14,$M476,AR$13))))</f>
        <v>1000000000000</v>
      </c>
      <c r="AS476" s="181">
        <f ca="1">IF($D476&lt;&gt;"Serviço",0,IF(AND(AUTOEVENTO="Manual",$M476=1),0,IF(OFFSET(CRONOPLE!$F$14,$M476,AS$13)="",10^12,OFFSET(CRONOPLE!$F$14,$M476,AS$13))))</f>
        <v>1000000000000</v>
      </c>
      <c r="AT476" s="181">
        <f ca="1">IF($D476&lt;&gt;"Serviço",0,IF(AND(AUTOEVENTO="Manual",$M476=1),0,IF(OFFSET(CRONOPLE!$F$14,$M476,AT$13)="",10^12,OFFSET(CRONOPLE!$F$14,$M476,AT$13))))</f>
        <v>1000000000000</v>
      </c>
      <c r="AU476" s="181">
        <f ca="1">IF($D476&lt;&gt;"Serviço",0,IF(AND(AUTOEVENTO="Manual",$M476=1),0,IF(OFFSET(CRONOPLE!$F$14,$M476,AU$13)="",10^12,OFFSET(CRONOPLE!$F$14,$M476,AU$13))))</f>
        <v>1000000000000</v>
      </c>
      <c r="AV476" s="181">
        <f ca="1">IF($D476&lt;&gt;"Serviço",0,IF(AND(AUTOEVENTO="Manual",$M476=1),0,IF(OFFSET(CRONOPLE!$F$14,$M476,AV$13)="",10^12,OFFSET(CRONOPLE!$F$14,$M476,AV$13))))</f>
        <v>1000000000000</v>
      </c>
      <c r="AX476" s="182">
        <f ca="1">IF($D476&lt;&gt;"Serviço",0,IF(OR(AND(AUTOEVENTO="Manual",$M476=1),$M476&gt;(ROW(PLE.lastrow)-ROW(PLE.firstrow))),0,IF(OFFSET(PLE!$G$14,$M476,AX$13)="",10^12,OFFSET(PLE!$G$14,$M476,AX$13))))</f>
        <v>1000000000000</v>
      </c>
      <c r="AY476" s="182">
        <f ca="1">IF($D476&lt;&gt;"Serviço",0,IF(OR(AND(AUTOEVENTO="Manual",$M476=1),$M476&gt;(ROW(PLE.lastrow)-ROW(PLE.firstrow))),0,IF(OFFSET(PLE!$G$14,$M476,AY$13)="",10^12,OFFSET(PLE!$G$14,$M476,AY$13))))</f>
        <v>1000000000000</v>
      </c>
      <c r="AZ476" s="182">
        <f ca="1">IF($D476&lt;&gt;"Serviço",0,IF(OR(AND(AUTOEVENTO="Manual",$M476=1),$M476&gt;(ROW(PLE.lastrow)-ROW(PLE.firstrow))),0,IF(OFFSET(PLE!$G$14,$M476,AZ$13)="",10^12,OFFSET(PLE!$G$14,$M476,AZ$13))))</f>
        <v>1000000000000</v>
      </c>
      <c r="BA476" s="182">
        <f ca="1">IF($D476&lt;&gt;"Serviço",0,IF(OR(AND(AUTOEVENTO="Manual",$M476=1),$M476&gt;(ROW(PLE.lastrow)-ROW(PLE.firstrow))),0,IF(OFFSET(PLE!$G$14,$M476,BA$13)="",10^12,OFFSET(PLE!$G$14,$M476,BA$13))))</f>
        <v>1000000000000</v>
      </c>
      <c r="BB476" s="182">
        <f ca="1">IF($D476&lt;&gt;"Serviço",0,IF(OR(AND(AUTOEVENTO="Manual",$M476=1),$M476&gt;(ROW(PLE.lastrow)-ROW(PLE.firstrow))),0,IF(OFFSET(PLE!$G$14,$M476,BB$13)="",10^12,OFFSET(PLE!$G$14,$M476,BB$13))))</f>
        <v>1000000000000</v>
      </c>
      <c r="BC476" s="182">
        <f ca="1">IF($D476&lt;&gt;"Serviço",0,IF(OR(AND(AUTOEVENTO="Manual",$M476=1),$M476&gt;(ROW(PLE.lastrow)-ROW(PLE.firstrow))),0,IF(OFFSET(PLE!$G$14,$M476,BC$13)="",10^12,OFFSET(PLE!$G$14,$M476,BC$13))))</f>
        <v>1000000000000</v>
      </c>
      <c r="BD476" s="182">
        <f ca="1">IF($D476&lt;&gt;"Serviço",0,IF(OR(AND(AUTOEVENTO="Manual",$M476=1),$M476&gt;(ROW(PLE.lastrow)-ROW(PLE.firstrow))),0,IF(OFFSET(PLE!$G$14,$M476,BD$13)="",10^12,OFFSET(PLE!$G$14,$M476,BD$13))))</f>
        <v>1000000000000</v>
      </c>
      <c r="BE476" s="182">
        <f ca="1">IF($D476&lt;&gt;"Serviço",0,IF(OR(AND(AUTOEVENTO="Manual",$M476=1),$M476&gt;(ROW(PLE.lastrow)-ROW(PLE.firstrow))),0,IF(OFFSET(PLE!$G$14,$M476,BE$13)="",10^12,OFFSET(PLE!$G$14,$M476,BE$13))))</f>
        <v>1000000000000</v>
      </c>
      <c r="BF476" s="182">
        <f ca="1">IF($D476&lt;&gt;"Serviço",0,IF(OR(AND(AUTOEVENTO="Manual",$M476=1),$M476&gt;(ROW(PLE.lastrow)-ROW(PLE.firstrow))),0,IF(OFFSET(PLE!$G$14,$M476,BF$13)="",10^12,OFFSET(PLE!$G$14,$M476,BF$13))))</f>
        <v>1000000000000</v>
      </c>
      <c r="BG476" s="182">
        <f ca="1">IF($D476&lt;&gt;"Serviço",0,IF(OR(AND(AUTOEVENTO="Manual",$M476=1),$M476&gt;(ROW(PLE.lastrow)-ROW(PLE.firstrow))),0,IF(OFFSET(PLE!$G$14,$M476,BG$13)="",10^12,OFFSET(PLE!$G$14,$M476,BG$13))))</f>
        <v>1000000000000</v>
      </c>
    </row>
    <row r="477" spans="1:59" ht="25.5" x14ac:dyDescent="0.2">
      <c r="A477" s="7" t="str">
        <f t="shared" ca="1" si="14"/>
        <v>411</v>
      </c>
      <c r="B477" s="7" t="str">
        <f ca="1">OFFSET(ORÇAMENTO!C$15,ROW(B477)-ROW(B$15),0)</f>
        <v>S</v>
      </c>
      <c r="C477" s="7" t="str">
        <f ca="1">OFFSET(ORÇAMENTO!L$15,ROW(C477)-ROW(C$15),0)</f>
        <v/>
      </c>
      <c r="D477" s="118" t="str">
        <f ca="1">OFFSET(ORÇAMENTO!N$15,ROW(D477)-ROW(D$15),0)</f>
        <v>Serviço</v>
      </c>
      <c r="E477" s="119" t="str">
        <f ca="1">OFFSET(ORÇAMENTO!O$15,ROW(E477)-ROW(E$15),0)</f>
        <v>-</v>
      </c>
      <c r="F477" s="172" t="str">
        <f ca="1">OFFSET(ORÇAMENTO!R$15,ROW(F477)-ROW(F$15),0)</f>
        <v>(abra o arquivo 'Referência 02-2025.xlsm)</v>
      </c>
      <c r="G477" s="173" t="str">
        <f ca="1">IF($D477&lt;&gt;"Serviço","",OFFSET(ORÇAMENTO!S$15,ROW(G477)-ROW(G$15),0))</f>
        <v>-</v>
      </c>
      <c r="H477" s="124">
        <f ca="1">IF($D477&lt;&gt;"Serviço",0,IF(ACOMPANHAMENTO="BM",ROUND(OFFSET(ORÇAMENTO!AJ$15,ROW(H477)-ROW(H$15),0),15-13*ORÇAMENTO!$AF$7),SUMPRODUCT(($Q$12:$AA$12&lt;&gt;"")*ROUND($Q477:$AA477,15-13*ORÇAMENTO!$AF$7))))</f>
        <v>43.65</v>
      </c>
      <c r="I477" s="561" t="s">
        <v>890</v>
      </c>
      <c r="K477" s="174"/>
      <c r="L477" s="175" t="s">
        <v>255</v>
      </c>
      <c r="M477" s="176">
        <f ca="1">IF($D477&lt;&gt;"Serviço","",IF(AUTOEVENTO="manual",$A477,IF(ISERROR(MATCH($A477,$A$15:OFFSET($A477,-1,0),0)),MAX($M$15:OFFSET(M477,-1,0))+1,INDEX($M$15:OFFSET(M477,-1,0),MATCH($A477,$A$15:OFFSET($A477,-1,0),0)))))</f>
        <v>17</v>
      </c>
      <c r="N477" s="177" t="str">
        <f ca="1">IF($D477&lt;&gt;"Serviço","",IF(AUTOEVENTO="Manual",IF($A477=0,"&lt;-- defina o número do agrupador",OFFSET(EVENTOS!$D$14,$A477,0)),OFFSET($F$15,$A477,0)))</f>
        <v>SISTEMA DE PROTEÇÃO CONTRA INCÊNDIO</v>
      </c>
      <c r="O477" s="178"/>
      <c r="Q477" s="178"/>
      <c r="R477" s="179"/>
      <c r="S477" s="179"/>
      <c r="T477" s="179"/>
      <c r="U477" s="179"/>
      <c r="V477" s="179"/>
      <c r="W477" s="179"/>
      <c r="X477" s="179"/>
      <c r="Y477" s="179"/>
      <c r="Z477" s="180"/>
      <c r="AB477" s="544">
        <f ca="1">IF(AND($D477="Serviço",AB$12&lt;&gt;0,$H477&gt;0,OR(AUTOEVENTO&lt;&gt;"manual",$M477&lt;&gt;1)),
IF(Import.TipoArredondamento&lt;&gt;"TransfereGOV",
ROUND(OFFSET($P477,0,AB$13),15-13*ORÇAMENTO!$AF$7)/$H477*OFFSET(ORÇAMENTO!$X$15,ROW(AB477)-ROW(AB$15),0),
ROUND(ROUND(OFFSET($P477,0,AB$13),15-13*ORÇAMENTO!$AF$7)*OFFSET(ORÇAMENTO!$W$15,ROW(AB477)-ROW(AB$15),0),15-13*ORÇAMENTO!$AF$11)),0)</f>
        <v>0</v>
      </c>
      <c r="AC477" s="545">
        <f ca="1">IF(AND($D477="Serviço",AC$12&lt;&gt;0,$H477&gt;0,OR(AUTOEVENTO&lt;&gt;"manual",$M477&lt;&gt;1)),
IF(Import.TipoArredondamento&lt;&gt;"TransfereGOV",
ROUND(OFFSET($P477,0,AC$13),15-13*ORÇAMENTO!$AF$7)/$H477*OFFSET(ORÇAMENTO!$X$15,ROW(AC477)-ROW(AC$15),0),
ROUND(ROUND(OFFSET($P477,0,AC$13),15-13*ORÇAMENTO!$AF$7)*OFFSET(ORÇAMENTO!$W$15,ROW(AC477)-ROW(AC$15),0),15-13*ORÇAMENTO!$AF$11)),0)</f>
        <v>0</v>
      </c>
      <c r="AD477" s="545">
        <f ca="1">IF(AND($D477="Serviço",AD$12&lt;&gt;0,$H477&gt;0,OR(AUTOEVENTO&lt;&gt;"manual",$M477&lt;&gt;1)),
IF(Import.TipoArredondamento&lt;&gt;"TransfereGOV",
ROUND(OFFSET($P477,0,AD$13),15-13*ORÇAMENTO!$AF$7)/$H477*OFFSET(ORÇAMENTO!$X$15,ROW(AD477)-ROW(AD$15),0),
ROUND(ROUND(OFFSET($P477,0,AD$13),15-13*ORÇAMENTO!$AF$7)*OFFSET(ORÇAMENTO!$W$15,ROW(AD477)-ROW(AD$15),0),15-13*ORÇAMENTO!$AF$11)),0)</f>
        <v>0</v>
      </c>
      <c r="AE477" s="545">
        <f ca="1">IF(AND($D477="Serviço",AE$12&lt;&gt;0,$H477&gt;0,OR(AUTOEVENTO&lt;&gt;"manual",$M477&lt;&gt;1)),
IF(Import.TipoArredondamento&lt;&gt;"TransfereGOV",
ROUND(OFFSET($P477,0,AE$13),15-13*ORÇAMENTO!$AF$7)/$H477*OFFSET(ORÇAMENTO!$X$15,ROW(AE477)-ROW(AE$15),0),
ROUND(ROUND(OFFSET($P477,0,AE$13),15-13*ORÇAMENTO!$AF$7)*OFFSET(ORÇAMENTO!$W$15,ROW(AE477)-ROW(AE$15),0),15-13*ORÇAMENTO!$AF$11)),0)</f>
        <v>0</v>
      </c>
      <c r="AF477" s="545">
        <f ca="1">IF(AND($D477="Serviço",AF$12&lt;&gt;0,$H477&gt;0,OR(AUTOEVENTO&lt;&gt;"manual",$M477&lt;&gt;1)),
IF(Import.TipoArredondamento&lt;&gt;"TransfereGOV",
ROUND(OFFSET($P477,0,AF$13),15-13*ORÇAMENTO!$AF$7)/$H477*OFFSET(ORÇAMENTO!$X$15,ROW(AF477)-ROW(AF$15),0),
ROUND(ROUND(OFFSET($P477,0,AF$13),15-13*ORÇAMENTO!$AF$7)*OFFSET(ORÇAMENTO!$W$15,ROW(AF477)-ROW(AF$15),0),15-13*ORÇAMENTO!$AF$11)),0)</f>
        <v>0</v>
      </c>
      <c r="AG477" s="545">
        <f ca="1">IF(AND($D477="Serviço",AG$12&lt;&gt;0,$H477&gt;0,OR(AUTOEVENTO&lt;&gt;"manual",$M477&lt;&gt;1)),
IF(Import.TipoArredondamento&lt;&gt;"TransfereGOV",
ROUND(OFFSET($P477,0,AG$13),15-13*ORÇAMENTO!$AF$7)/$H477*OFFSET(ORÇAMENTO!$X$15,ROW(AG477)-ROW(AG$15),0),
ROUND(ROUND(OFFSET($P477,0,AG$13),15-13*ORÇAMENTO!$AF$7)*OFFSET(ORÇAMENTO!$W$15,ROW(AG477)-ROW(AG$15),0),15-13*ORÇAMENTO!$AF$11)),0)</f>
        <v>0</v>
      </c>
      <c r="AH477" s="545">
        <f ca="1">IF(AND($D477="Serviço",AH$12&lt;&gt;0,$H477&gt;0,OR(AUTOEVENTO&lt;&gt;"manual",$M477&lt;&gt;1)),
IF(Import.TipoArredondamento&lt;&gt;"TransfereGOV",
ROUND(OFFSET($P477,0,AH$13),15-13*ORÇAMENTO!$AF$7)/$H477*OFFSET(ORÇAMENTO!$X$15,ROW(AH477)-ROW(AH$15),0),
ROUND(ROUND(OFFSET($P477,0,AH$13),15-13*ORÇAMENTO!$AF$7)*OFFSET(ORÇAMENTO!$W$15,ROW(AH477)-ROW(AH$15),0),15-13*ORÇAMENTO!$AF$11)),0)</f>
        <v>0</v>
      </c>
      <c r="AI477" s="545">
        <f ca="1">IF(AND($D477="Serviço",AI$12&lt;&gt;0,$H477&gt;0,OR(AUTOEVENTO&lt;&gt;"manual",$M477&lt;&gt;1)),
IF(Import.TipoArredondamento&lt;&gt;"TransfereGOV",
ROUND(OFFSET($P477,0,AI$13),15-13*ORÇAMENTO!$AF$7)/$H477*OFFSET(ORÇAMENTO!$X$15,ROW(AI477)-ROW(AI$15),0),
ROUND(ROUND(OFFSET($P477,0,AI$13),15-13*ORÇAMENTO!$AF$7)*OFFSET(ORÇAMENTO!$W$15,ROW(AI477)-ROW(AI$15),0),15-13*ORÇAMENTO!$AF$11)),0)</f>
        <v>0</v>
      </c>
      <c r="AJ477" s="545">
        <f ca="1">IF(AND($D477="Serviço",AJ$12&lt;&gt;0,$H477&gt;0,OR(AUTOEVENTO&lt;&gt;"manual",$M477&lt;&gt;1)),
IF(Import.TipoArredondamento&lt;&gt;"TransfereGOV",
ROUND(OFFSET($P477,0,AJ$13),15-13*ORÇAMENTO!$AF$7)/$H477*OFFSET(ORÇAMENTO!$X$15,ROW(AJ477)-ROW(AJ$15),0),
ROUND(ROUND(OFFSET($P477,0,AJ$13),15-13*ORÇAMENTO!$AF$7)*OFFSET(ORÇAMENTO!$W$15,ROW(AJ477)-ROW(AJ$15),0),15-13*ORÇAMENTO!$AF$11)),0)</f>
        <v>0</v>
      </c>
      <c r="AK477" s="546">
        <f ca="1">IF(AND($D477="Serviço",AK$12&lt;&gt;0,$H477&gt;0,OR(AUTOEVENTO&lt;&gt;"manual",$M477&lt;&gt;1)),
IF(Import.TipoArredondamento&lt;&gt;"TransfereGOV",
ROUND(OFFSET($P477,0,AK$13),15-13*ORÇAMENTO!$AF$7)/$H477*OFFSET(ORÇAMENTO!$X$15,ROW(AK477)-ROW(AK$15),0),
ROUND(ROUND(OFFSET($P477,0,AK$13),15-13*ORÇAMENTO!$AF$7)*OFFSET(ORÇAMENTO!$W$15,ROW(AK477)-ROW(AK$15),0),15-13*ORÇAMENTO!$AF$11)),0)</f>
        <v>0</v>
      </c>
      <c r="AM477" s="181">
        <f ca="1">IF($D477&lt;&gt;"Serviço",0,IF(AND(AUTOEVENTO="Manual",$M477=1),0,IF(OFFSET(CRONOPLE!$F$14,$M477,AM$13)="",10^12,OFFSET(CRONOPLE!$F$14,$M477,AM$13))))</f>
        <v>1000000000000</v>
      </c>
      <c r="AN477" s="181">
        <f ca="1">IF($D477&lt;&gt;"Serviço",0,IF(AND(AUTOEVENTO="Manual",$M477=1),0,IF(OFFSET(CRONOPLE!$F$14,$M477,AN$13)="",10^12,OFFSET(CRONOPLE!$F$14,$M477,AN$13))))</f>
        <v>1000000000000</v>
      </c>
      <c r="AO477" s="181">
        <f ca="1">IF($D477&lt;&gt;"Serviço",0,IF(AND(AUTOEVENTO="Manual",$M477=1),0,IF(OFFSET(CRONOPLE!$F$14,$M477,AO$13)="",10^12,OFFSET(CRONOPLE!$F$14,$M477,AO$13))))</f>
        <v>1000000000000</v>
      </c>
      <c r="AP477" s="181">
        <f ca="1">IF($D477&lt;&gt;"Serviço",0,IF(AND(AUTOEVENTO="Manual",$M477=1),0,IF(OFFSET(CRONOPLE!$F$14,$M477,AP$13)="",10^12,OFFSET(CRONOPLE!$F$14,$M477,AP$13))))</f>
        <v>1000000000000</v>
      </c>
      <c r="AQ477" s="181">
        <f ca="1">IF($D477&lt;&gt;"Serviço",0,IF(AND(AUTOEVENTO="Manual",$M477=1),0,IF(OFFSET(CRONOPLE!$F$14,$M477,AQ$13)="",10^12,OFFSET(CRONOPLE!$F$14,$M477,AQ$13))))</f>
        <v>1000000000000</v>
      </c>
      <c r="AR477" s="181">
        <f ca="1">IF($D477&lt;&gt;"Serviço",0,IF(AND(AUTOEVENTO="Manual",$M477=1),0,IF(OFFSET(CRONOPLE!$F$14,$M477,AR$13)="",10^12,OFFSET(CRONOPLE!$F$14,$M477,AR$13))))</f>
        <v>1000000000000</v>
      </c>
      <c r="AS477" s="181">
        <f ca="1">IF($D477&lt;&gt;"Serviço",0,IF(AND(AUTOEVENTO="Manual",$M477=1),0,IF(OFFSET(CRONOPLE!$F$14,$M477,AS$13)="",10^12,OFFSET(CRONOPLE!$F$14,$M477,AS$13))))</f>
        <v>1000000000000</v>
      </c>
      <c r="AT477" s="181">
        <f ca="1">IF($D477&lt;&gt;"Serviço",0,IF(AND(AUTOEVENTO="Manual",$M477=1),0,IF(OFFSET(CRONOPLE!$F$14,$M477,AT$13)="",10^12,OFFSET(CRONOPLE!$F$14,$M477,AT$13))))</f>
        <v>1000000000000</v>
      </c>
      <c r="AU477" s="181">
        <f ca="1">IF($D477&lt;&gt;"Serviço",0,IF(AND(AUTOEVENTO="Manual",$M477=1),0,IF(OFFSET(CRONOPLE!$F$14,$M477,AU$13)="",10^12,OFFSET(CRONOPLE!$F$14,$M477,AU$13))))</f>
        <v>1000000000000</v>
      </c>
      <c r="AV477" s="181">
        <f ca="1">IF($D477&lt;&gt;"Serviço",0,IF(AND(AUTOEVENTO="Manual",$M477=1),0,IF(OFFSET(CRONOPLE!$F$14,$M477,AV$13)="",10^12,OFFSET(CRONOPLE!$F$14,$M477,AV$13))))</f>
        <v>1000000000000</v>
      </c>
      <c r="AX477" s="182">
        <f ca="1">IF($D477&lt;&gt;"Serviço",0,IF(OR(AND(AUTOEVENTO="Manual",$M477=1),$M477&gt;(ROW(PLE.lastrow)-ROW(PLE.firstrow))),0,IF(OFFSET(PLE!$G$14,$M477,AX$13)="",10^12,OFFSET(PLE!$G$14,$M477,AX$13))))</f>
        <v>1000000000000</v>
      </c>
      <c r="AY477" s="182">
        <f ca="1">IF($D477&lt;&gt;"Serviço",0,IF(OR(AND(AUTOEVENTO="Manual",$M477=1),$M477&gt;(ROW(PLE.lastrow)-ROW(PLE.firstrow))),0,IF(OFFSET(PLE!$G$14,$M477,AY$13)="",10^12,OFFSET(PLE!$G$14,$M477,AY$13))))</f>
        <v>1000000000000</v>
      </c>
      <c r="AZ477" s="182">
        <f ca="1">IF($D477&lt;&gt;"Serviço",0,IF(OR(AND(AUTOEVENTO="Manual",$M477=1),$M477&gt;(ROW(PLE.lastrow)-ROW(PLE.firstrow))),0,IF(OFFSET(PLE!$G$14,$M477,AZ$13)="",10^12,OFFSET(PLE!$G$14,$M477,AZ$13))))</f>
        <v>1000000000000</v>
      </c>
      <c r="BA477" s="182">
        <f ca="1">IF($D477&lt;&gt;"Serviço",0,IF(OR(AND(AUTOEVENTO="Manual",$M477=1),$M477&gt;(ROW(PLE.lastrow)-ROW(PLE.firstrow))),0,IF(OFFSET(PLE!$G$14,$M477,BA$13)="",10^12,OFFSET(PLE!$G$14,$M477,BA$13))))</f>
        <v>1000000000000</v>
      </c>
      <c r="BB477" s="182">
        <f ca="1">IF($D477&lt;&gt;"Serviço",0,IF(OR(AND(AUTOEVENTO="Manual",$M477=1),$M477&gt;(ROW(PLE.lastrow)-ROW(PLE.firstrow))),0,IF(OFFSET(PLE!$G$14,$M477,BB$13)="",10^12,OFFSET(PLE!$G$14,$M477,BB$13))))</f>
        <v>1000000000000</v>
      </c>
      <c r="BC477" s="182">
        <f ca="1">IF($D477&lt;&gt;"Serviço",0,IF(OR(AND(AUTOEVENTO="Manual",$M477=1),$M477&gt;(ROW(PLE.lastrow)-ROW(PLE.firstrow))),0,IF(OFFSET(PLE!$G$14,$M477,BC$13)="",10^12,OFFSET(PLE!$G$14,$M477,BC$13))))</f>
        <v>1000000000000</v>
      </c>
      <c r="BD477" s="182">
        <f ca="1">IF($D477&lt;&gt;"Serviço",0,IF(OR(AND(AUTOEVENTO="Manual",$M477=1),$M477&gt;(ROW(PLE.lastrow)-ROW(PLE.firstrow))),0,IF(OFFSET(PLE!$G$14,$M477,BD$13)="",10^12,OFFSET(PLE!$G$14,$M477,BD$13))))</f>
        <v>1000000000000</v>
      </c>
      <c r="BE477" s="182">
        <f ca="1">IF($D477&lt;&gt;"Serviço",0,IF(OR(AND(AUTOEVENTO="Manual",$M477=1),$M477&gt;(ROW(PLE.lastrow)-ROW(PLE.firstrow))),0,IF(OFFSET(PLE!$G$14,$M477,BE$13)="",10^12,OFFSET(PLE!$G$14,$M477,BE$13))))</f>
        <v>1000000000000</v>
      </c>
      <c r="BF477" s="182">
        <f ca="1">IF($D477&lt;&gt;"Serviço",0,IF(OR(AND(AUTOEVENTO="Manual",$M477=1),$M477&gt;(ROW(PLE.lastrow)-ROW(PLE.firstrow))),0,IF(OFFSET(PLE!$G$14,$M477,BF$13)="",10^12,OFFSET(PLE!$G$14,$M477,BF$13))))</f>
        <v>1000000000000</v>
      </c>
      <c r="BG477" s="182">
        <f ca="1">IF($D477&lt;&gt;"Serviço",0,IF(OR(AND(AUTOEVENTO="Manual",$M477=1),$M477&gt;(ROW(PLE.lastrow)-ROW(PLE.firstrow))),0,IF(OFFSET(PLE!$G$14,$M477,BG$13)="",10^12,OFFSET(PLE!$G$14,$M477,BG$13))))</f>
        <v>1000000000000</v>
      </c>
    </row>
    <row r="478" spans="1:59" ht="38.25" x14ac:dyDescent="0.2">
      <c r="A478" s="7" t="str">
        <f t="shared" ca="1" si="11"/>
        <v>411</v>
      </c>
      <c r="B478" s="7" t="str">
        <f ca="1">OFFSET(ORÇAMENTO!C$15,ROW(B478)-ROW(B$15),0)</f>
        <v>S</v>
      </c>
      <c r="C478" s="7" t="str">
        <f ca="1">OFFSET(ORÇAMENTO!L$15,ROW(C478)-ROW(C$15),0)</f>
        <v/>
      </c>
      <c r="D478" s="118" t="str">
        <f ca="1">OFFSET(ORÇAMENTO!N$15,ROW(D478)-ROW(D$15),0)</f>
        <v>Serviço</v>
      </c>
      <c r="E478" s="119" t="str">
        <f ca="1">OFFSET(ORÇAMENTO!O$15,ROW(E478)-ROW(E$15),0)</f>
        <v>-</v>
      </c>
      <c r="F478" s="172" t="str">
        <f ca="1">OFFSET(ORÇAMENTO!R$15,ROW(F478)-ROW(F$15),0)</f>
        <v>(abra o arquivo 'Referência 02-2025.xlsm)</v>
      </c>
      <c r="G478" s="173" t="str">
        <f ca="1">IF($D478&lt;&gt;"Serviço","",OFFSET(ORÇAMENTO!S$15,ROW(G478)-ROW(G$15),0))</f>
        <v>-</v>
      </c>
      <c r="H478" s="124">
        <f ca="1">IF($D478&lt;&gt;"Serviço",0,IF(ACOMPANHAMENTO="BM",ROUND(OFFSET(ORÇAMENTO!AJ$15,ROW(H478)-ROW(H$15),0),15-13*ORÇAMENTO!$AF$7),SUMPRODUCT(($Q$12:$AA$12&lt;&gt;"")*ROUND($Q478:$AA478,15-13*ORÇAMENTO!$AF$7))))</f>
        <v>5</v>
      </c>
      <c r="I478" s="561" t="s">
        <v>890</v>
      </c>
      <c r="K478" s="174"/>
      <c r="L478" s="175" t="s">
        <v>255</v>
      </c>
      <c r="M478" s="176">
        <f ca="1">IF($D478&lt;&gt;"Serviço","",IF(AUTOEVENTO="manual",$A478,IF(ISERROR(MATCH($A478,$A$15:OFFSET($A478,-1,0),0)),MAX($M$15:OFFSET(M478,-1,0))+1,INDEX($M$15:OFFSET(M478,-1,0),MATCH($A478,$A$15:OFFSET($A478,-1,0),0)))))</f>
        <v>17</v>
      </c>
      <c r="N478" s="177" t="str">
        <f ca="1">IF($D478&lt;&gt;"Serviço","",IF(AUTOEVENTO="Manual",IF($A478=0,"&lt;-- defina o número do agrupador",OFFSET(EVENTOS!$D$14,$A478,0)),OFFSET($F$15,$A478,0)))</f>
        <v>SISTEMA DE PROTEÇÃO CONTRA INCÊNDIO</v>
      </c>
      <c r="O478" s="178"/>
      <c r="Q478" s="178"/>
      <c r="R478" s="179"/>
      <c r="S478" s="179"/>
      <c r="T478" s="179"/>
      <c r="U478" s="179"/>
      <c r="V478" s="179"/>
      <c r="W478" s="179"/>
      <c r="X478" s="179"/>
      <c r="Y478" s="179"/>
      <c r="Z478" s="180"/>
      <c r="AB478" s="544">
        <f ca="1">IF(AND($D478="Serviço",AB$12&lt;&gt;0,$H478&gt;0,OR(AUTOEVENTO&lt;&gt;"manual",$M478&lt;&gt;1)),
IF(Import.TipoArredondamento&lt;&gt;"TransfereGOV",
ROUND(OFFSET($P478,0,AB$13),15-13*ORÇAMENTO!$AF$7)/$H478*OFFSET(ORÇAMENTO!$X$15,ROW(AB478)-ROW(AB$15),0),
ROUND(ROUND(OFFSET($P478,0,AB$13),15-13*ORÇAMENTO!$AF$7)*OFFSET(ORÇAMENTO!$W$15,ROW(AB478)-ROW(AB$15),0),15-13*ORÇAMENTO!$AF$11)),0)</f>
        <v>0</v>
      </c>
      <c r="AC478" s="545">
        <f ca="1">IF(AND($D478="Serviço",AC$12&lt;&gt;0,$H478&gt;0,OR(AUTOEVENTO&lt;&gt;"manual",$M478&lt;&gt;1)),
IF(Import.TipoArredondamento&lt;&gt;"TransfereGOV",
ROUND(OFFSET($P478,0,AC$13),15-13*ORÇAMENTO!$AF$7)/$H478*OFFSET(ORÇAMENTO!$X$15,ROW(AC478)-ROW(AC$15),0),
ROUND(ROUND(OFFSET($P478,0,AC$13),15-13*ORÇAMENTO!$AF$7)*OFFSET(ORÇAMENTO!$W$15,ROW(AC478)-ROW(AC$15),0),15-13*ORÇAMENTO!$AF$11)),0)</f>
        <v>0</v>
      </c>
      <c r="AD478" s="545">
        <f ca="1">IF(AND($D478="Serviço",AD$12&lt;&gt;0,$H478&gt;0,OR(AUTOEVENTO&lt;&gt;"manual",$M478&lt;&gt;1)),
IF(Import.TipoArredondamento&lt;&gt;"TransfereGOV",
ROUND(OFFSET($P478,0,AD$13),15-13*ORÇAMENTO!$AF$7)/$H478*OFFSET(ORÇAMENTO!$X$15,ROW(AD478)-ROW(AD$15),0),
ROUND(ROUND(OFFSET($P478,0,AD$13),15-13*ORÇAMENTO!$AF$7)*OFFSET(ORÇAMENTO!$W$15,ROW(AD478)-ROW(AD$15),0),15-13*ORÇAMENTO!$AF$11)),0)</f>
        <v>0</v>
      </c>
      <c r="AE478" s="545">
        <f ca="1">IF(AND($D478="Serviço",AE$12&lt;&gt;0,$H478&gt;0,OR(AUTOEVENTO&lt;&gt;"manual",$M478&lt;&gt;1)),
IF(Import.TipoArredondamento&lt;&gt;"TransfereGOV",
ROUND(OFFSET($P478,0,AE$13),15-13*ORÇAMENTO!$AF$7)/$H478*OFFSET(ORÇAMENTO!$X$15,ROW(AE478)-ROW(AE$15),0),
ROUND(ROUND(OFFSET($P478,0,AE$13),15-13*ORÇAMENTO!$AF$7)*OFFSET(ORÇAMENTO!$W$15,ROW(AE478)-ROW(AE$15),0),15-13*ORÇAMENTO!$AF$11)),0)</f>
        <v>0</v>
      </c>
      <c r="AF478" s="545">
        <f ca="1">IF(AND($D478="Serviço",AF$12&lt;&gt;0,$H478&gt;0,OR(AUTOEVENTO&lt;&gt;"manual",$M478&lt;&gt;1)),
IF(Import.TipoArredondamento&lt;&gt;"TransfereGOV",
ROUND(OFFSET($P478,0,AF$13),15-13*ORÇAMENTO!$AF$7)/$H478*OFFSET(ORÇAMENTO!$X$15,ROW(AF478)-ROW(AF$15),0),
ROUND(ROUND(OFFSET($P478,0,AF$13),15-13*ORÇAMENTO!$AF$7)*OFFSET(ORÇAMENTO!$W$15,ROW(AF478)-ROW(AF$15),0),15-13*ORÇAMENTO!$AF$11)),0)</f>
        <v>0</v>
      </c>
      <c r="AG478" s="545">
        <f ca="1">IF(AND($D478="Serviço",AG$12&lt;&gt;0,$H478&gt;0,OR(AUTOEVENTO&lt;&gt;"manual",$M478&lt;&gt;1)),
IF(Import.TipoArredondamento&lt;&gt;"TransfereGOV",
ROUND(OFFSET($P478,0,AG$13),15-13*ORÇAMENTO!$AF$7)/$H478*OFFSET(ORÇAMENTO!$X$15,ROW(AG478)-ROW(AG$15),0),
ROUND(ROUND(OFFSET($P478,0,AG$13),15-13*ORÇAMENTO!$AF$7)*OFFSET(ORÇAMENTO!$W$15,ROW(AG478)-ROW(AG$15),0),15-13*ORÇAMENTO!$AF$11)),0)</f>
        <v>0</v>
      </c>
      <c r="AH478" s="545">
        <f ca="1">IF(AND($D478="Serviço",AH$12&lt;&gt;0,$H478&gt;0,OR(AUTOEVENTO&lt;&gt;"manual",$M478&lt;&gt;1)),
IF(Import.TipoArredondamento&lt;&gt;"TransfereGOV",
ROUND(OFFSET($P478,0,AH$13),15-13*ORÇAMENTO!$AF$7)/$H478*OFFSET(ORÇAMENTO!$X$15,ROW(AH478)-ROW(AH$15),0),
ROUND(ROUND(OFFSET($P478,0,AH$13),15-13*ORÇAMENTO!$AF$7)*OFFSET(ORÇAMENTO!$W$15,ROW(AH478)-ROW(AH$15),0),15-13*ORÇAMENTO!$AF$11)),0)</f>
        <v>0</v>
      </c>
      <c r="AI478" s="545">
        <f ca="1">IF(AND($D478="Serviço",AI$12&lt;&gt;0,$H478&gt;0,OR(AUTOEVENTO&lt;&gt;"manual",$M478&lt;&gt;1)),
IF(Import.TipoArredondamento&lt;&gt;"TransfereGOV",
ROUND(OFFSET($P478,0,AI$13),15-13*ORÇAMENTO!$AF$7)/$H478*OFFSET(ORÇAMENTO!$X$15,ROW(AI478)-ROW(AI$15),0),
ROUND(ROUND(OFFSET($P478,0,AI$13),15-13*ORÇAMENTO!$AF$7)*OFFSET(ORÇAMENTO!$W$15,ROW(AI478)-ROW(AI$15),0),15-13*ORÇAMENTO!$AF$11)),0)</f>
        <v>0</v>
      </c>
      <c r="AJ478" s="545">
        <f ca="1">IF(AND($D478="Serviço",AJ$12&lt;&gt;0,$H478&gt;0,OR(AUTOEVENTO&lt;&gt;"manual",$M478&lt;&gt;1)),
IF(Import.TipoArredondamento&lt;&gt;"TransfereGOV",
ROUND(OFFSET($P478,0,AJ$13),15-13*ORÇAMENTO!$AF$7)/$H478*OFFSET(ORÇAMENTO!$X$15,ROW(AJ478)-ROW(AJ$15),0),
ROUND(ROUND(OFFSET($P478,0,AJ$13),15-13*ORÇAMENTO!$AF$7)*OFFSET(ORÇAMENTO!$W$15,ROW(AJ478)-ROW(AJ$15),0),15-13*ORÇAMENTO!$AF$11)),0)</f>
        <v>0</v>
      </c>
      <c r="AK478" s="546">
        <f ca="1">IF(AND($D478="Serviço",AK$12&lt;&gt;0,$H478&gt;0,OR(AUTOEVENTO&lt;&gt;"manual",$M478&lt;&gt;1)),
IF(Import.TipoArredondamento&lt;&gt;"TransfereGOV",
ROUND(OFFSET($P478,0,AK$13),15-13*ORÇAMENTO!$AF$7)/$H478*OFFSET(ORÇAMENTO!$X$15,ROW(AK478)-ROW(AK$15),0),
ROUND(ROUND(OFFSET($P478,0,AK$13),15-13*ORÇAMENTO!$AF$7)*OFFSET(ORÇAMENTO!$W$15,ROW(AK478)-ROW(AK$15),0),15-13*ORÇAMENTO!$AF$11)),0)</f>
        <v>0</v>
      </c>
      <c r="AM478" s="181">
        <f ca="1">IF($D478&lt;&gt;"Serviço",0,IF(AND(AUTOEVENTO="Manual",$M478=1),0,IF(OFFSET(CRONOPLE!$F$14,$M478,AM$13)="",10^12,OFFSET(CRONOPLE!$F$14,$M478,AM$13))))</f>
        <v>1000000000000</v>
      </c>
      <c r="AN478" s="181">
        <f ca="1">IF($D478&lt;&gt;"Serviço",0,IF(AND(AUTOEVENTO="Manual",$M478=1),0,IF(OFFSET(CRONOPLE!$F$14,$M478,AN$13)="",10^12,OFFSET(CRONOPLE!$F$14,$M478,AN$13))))</f>
        <v>1000000000000</v>
      </c>
      <c r="AO478" s="181">
        <f ca="1">IF($D478&lt;&gt;"Serviço",0,IF(AND(AUTOEVENTO="Manual",$M478=1),0,IF(OFFSET(CRONOPLE!$F$14,$M478,AO$13)="",10^12,OFFSET(CRONOPLE!$F$14,$M478,AO$13))))</f>
        <v>1000000000000</v>
      </c>
      <c r="AP478" s="181">
        <f ca="1">IF($D478&lt;&gt;"Serviço",0,IF(AND(AUTOEVENTO="Manual",$M478=1),0,IF(OFFSET(CRONOPLE!$F$14,$M478,AP$13)="",10^12,OFFSET(CRONOPLE!$F$14,$M478,AP$13))))</f>
        <v>1000000000000</v>
      </c>
      <c r="AQ478" s="181">
        <f ca="1">IF($D478&lt;&gt;"Serviço",0,IF(AND(AUTOEVENTO="Manual",$M478=1),0,IF(OFFSET(CRONOPLE!$F$14,$M478,AQ$13)="",10^12,OFFSET(CRONOPLE!$F$14,$M478,AQ$13))))</f>
        <v>1000000000000</v>
      </c>
      <c r="AR478" s="181">
        <f ca="1">IF($D478&lt;&gt;"Serviço",0,IF(AND(AUTOEVENTO="Manual",$M478=1),0,IF(OFFSET(CRONOPLE!$F$14,$M478,AR$13)="",10^12,OFFSET(CRONOPLE!$F$14,$M478,AR$13))))</f>
        <v>1000000000000</v>
      </c>
      <c r="AS478" s="181">
        <f ca="1">IF($D478&lt;&gt;"Serviço",0,IF(AND(AUTOEVENTO="Manual",$M478=1),0,IF(OFFSET(CRONOPLE!$F$14,$M478,AS$13)="",10^12,OFFSET(CRONOPLE!$F$14,$M478,AS$13))))</f>
        <v>1000000000000</v>
      </c>
      <c r="AT478" s="181">
        <f ca="1">IF($D478&lt;&gt;"Serviço",0,IF(AND(AUTOEVENTO="Manual",$M478=1),0,IF(OFFSET(CRONOPLE!$F$14,$M478,AT$13)="",10^12,OFFSET(CRONOPLE!$F$14,$M478,AT$13))))</f>
        <v>1000000000000</v>
      </c>
      <c r="AU478" s="181">
        <f ca="1">IF($D478&lt;&gt;"Serviço",0,IF(AND(AUTOEVENTO="Manual",$M478=1),0,IF(OFFSET(CRONOPLE!$F$14,$M478,AU$13)="",10^12,OFFSET(CRONOPLE!$F$14,$M478,AU$13))))</f>
        <v>1000000000000</v>
      </c>
      <c r="AV478" s="181">
        <f ca="1">IF($D478&lt;&gt;"Serviço",0,IF(AND(AUTOEVENTO="Manual",$M478=1),0,IF(OFFSET(CRONOPLE!$F$14,$M478,AV$13)="",10^12,OFFSET(CRONOPLE!$F$14,$M478,AV$13))))</f>
        <v>1000000000000</v>
      </c>
      <c r="AX478" s="182">
        <f ca="1">IF($D478&lt;&gt;"Serviço",0,IF(OR(AND(AUTOEVENTO="Manual",$M478=1),$M478&gt;(ROW(PLE.lastrow)-ROW(PLE.firstrow))),0,IF(OFFSET(PLE!$G$14,$M478,AX$13)="",10^12,OFFSET(PLE!$G$14,$M478,AX$13))))</f>
        <v>1000000000000</v>
      </c>
      <c r="AY478" s="182">
        <f ca="1">IF($D478&lt;&gt;"Serviço",0,IF(OR(AND(AUTOEVENTO="Manual",$M478=1),$M478&gt;(ROW(PLE.lastrow)-ROW(PLE.firstrow))),0,IF(OFFSET(PLE!$G$14,$M478,AY$13)="",10^12,OFFSET(PLE!$G$14,$M478,AY$13))))</f>
        <v>1000000000000</v>
      </c>
      <c r="AZ478" s="182">
        <f ca="1">IF($D478&lt;&gt;"Serviço",0,IF(OR(AND(AUTOEVENTO="Manual",$M478=1),$M478&gt;(ROW(PLE.lastrow)-ROW(PLE.firstrow))),0,IF(OFFSET(PLE!$G$14,$M478,AZ$13)="",10^12,OFFSET(PLE!$G$14,$M478,AZ$13))))</f>
        <v>1000000000000</v>
      </c>
      <c r="BA478" s="182">
        <f ca="1">IF($D478&lt;&gt;"Serviço",0,IF(OR(AND(AUTOEVENTO="Manual",$M478=1),$M478&gt;(ROW(PLE.lastrow)-ROW(PLE.firstrow))),0,IF(OFFSET(PLE!$G$14,$M478,BA$13)="",10^12,OFFSET(PLE!$G$14,$M478,BA$13))))</f>
        <v>1000000000000</v>
      </c>
      <c r="BB478" s="182">
        <f ca="1">IF($D478&lt;&gt;"Serviço",0,IF(OR(AND(AUTOEVENTO="Manual",$M478=1),$M478&gt;(ROW(PLE.lastrow)-ROW(PLE.firstrow))),0,IF(OFFSET(PLE!$G$14,$M478,BB$13)="",10^12,OFFSET(PLE!$G$14,$M478,BB$13))))</f>
        <v>1000000000000</v>
      </c>
      <c r="BC478" s="182">
        <f ca="1">IF($D478&lt;&gt;"Serviço",0,IF(OR(AND(AUTOEVENTO="Manual",$M478=1),$M478&gt;(ROW(PLE.lastrow)-ROW(PLE.firstrow))),0,IF(OFFSET(PLE!$G$14,$M478,BC$13)="",10^12,OFFSET(PLE!$G$14,$M478,BC$13))))</f>
        <v>1000000000000</v>
      </c>
      <c r="BD478" s="182">
        <f ca="1">IF($D478&lt;&gt;"Serviço",0,IF(OR(AND(AUTOEVENTO="Manual",$M478=1),$M478&gt;(ROW(PLE.lastrow)-ROW(PLE.firstrow))),0,IF(OFFSET(PLE!$G$14,$M478,BD$13)="",10^12,OFFSET(PLE!$G$14,$M478,BD$13))))</f>
        <v>1000000000000</v>
      </c>
      <c r="BE478" s="182">
        <f ca="1">IF($D478&lt;&gt;"Serviço",0,IF(OR(AND(AUTOEVENTO="Manual",$M478=1),$M478&gt;(ROW(PLE.lastrow)-ROW(PLE.firstrow))),0,IF(OFFSET(PLE!$G$14,$M478,BE$13)="",10^12,OFFSET(PLE!$G$14,$M478,BE$13))))</f>
        <v>1000000000000</v>
      </c>
      <c r="BF478" s="182">
        <f ca="1">IF($D478&lt;&gt;"Serviço",0,IF(OR(AND(AUTOEVENTO="Manual",$M478=1),$M478&gt;(ROW(PLE.lastrow)-ROW(PLE.firstrow))),0,IF(OFFSET(PLE!$G$14,$M478,BF$13)="",10^12,OFFSET(PLE!$G$14,$M478,BF$13))))</f>
        <v>1000000000000</v>
      </c>
      <c r="BG478" s="182">
        <f ca="1">IF($D478&lt;&gt;"Serviço",0,IF(OR(AND(AUTOEVENTO="Manual",$M478=1),$M478&gt;(ROW(PLE.lastrow)-ROW(PLE.firstrow))),0,IF(OFFSET(PLE!$G$14,$M478,BG$13)="",10^12,OFFSET(PLE!$G$14,$M478,BG$13))))</f>
        <v>1000000000000</v>
      </c>
    </row>
    <row r="479" spans="1:59" ht="38.25" x14ac:dyDescent="0.2">
      <c r="A479" s="7" t="str">
        <f t="shared" ca="1" si="11"/>
        <v>411</v>
      </c>
      <c r="B479" s="7" t="str">
        <f ca="1">OFFSET(ORÇAMENTO!C$15,ROW(B479)-ROW(B$15),0)</f>
        <v>S</v>
      </c>
      <c r="C479" s="7" t="str">
        <f ca="1">OFFSET(ORÇAMENTO!L$15,ROW(C479)-ROW(C$15),0)</f>
        <v/>
      </c>
      <c r="D479" s="118" t="str">
        <f ca="1">OFFSET(ORÇAMENTO!N$15,ROW(D479)-ROW(D$15),0)</f>
        <v>Serviço</v>
      </c>
      <c r="E479" s="119" t="str">
        <f ca="1">OFFSET(ORÇAMENTO!O$15,ROW(E479)-ROW(E$15),0)</f>
        <v>-</v>
      </c>
      <c r="F479" s="172" t="str">
        <f ca="1">OFFSET(ORÇAMENTO!R$15,ROW(F479)-ROW(F$15),0)</f>
        <v>(abra o arquivo 'Referência 02-2025.xlsm)</v>
      </c>
      <c r="G479" s="173" t="str">
        <f ca="1">IF($D479&lt;&gt;"Serviço","",OFFSET(ORÇAMENTO!S$15,ROW(G479)-ROW(G$15),0))</f>
        <v>-</v>
      </c>
      <c r="H479" s="124">
        <f ca="1">IF($D479&lt;&gt;"Serviço",0,IF(ACOMPANHAMENTO="BM",ROUND(OFFSET(ORÇAMENTO!AJ$15,ROW(H479)-ROW(H$15),0),15-13*ORÇAMENTO!$AF$7),SUMPRODUCT(($Q$12:$AA$12&lt;&gt;"")*ROUND($Q479:$AA479,15-13*ORÇAMENTO!$AF$7))))</f>
        <v>5</v>
      </c>
      <c r="I479" s="561" t="s">
        <v>890</v>
      </c>
      <c r="K479" s="174"/>
      <c r="L479" s="175" t="s">
        <v>255</v>
      </c>
      <c r="M479" s="176">
        <f ca="1">IF($D479&lt;&gt;"Serviço","",IF(AUTOEVENTO="manual",$A479,IF(ISERROR(MATCH($A479,$A$15:OFFSET($A479,-1,0),0)),MAX($M$15:OFFSET(M479,-1,0))+1,INDEX($M$15:OFFSET(M479,-1,0),MATCH($A479,$A$15:OFFSET($A479,-1,0),0)))))</f>
        <v>17</v>
      </c>
      <c r="N479" s="177" t="str">
        <f ca="1">IF($D479&lt;&gt;"Serviço","",IF(AUTOEVENTO="Manual",IF($A479=0,"&lt;-- defina o número do agrupador",OFFSET(EVENTOS!$D$14,$A479,0)),OFFSET($F$15,$A479,0)))</f>
        <v>SISTEMA DE PROTEÇÃO CONTRA INCÊNDIO</v>
      </c>
      <c r="O479" s="178"/>
      <c r="Q479" s="178"/>
      <c r="R479" s="179"/>
      <c r="S479" s="179"/>
      <c r="T479" s="179"/>
      <c r="U479" s="179"/>
      <c r="V479" s="179"/>
      <c r="W479" s="179"/>
      <c r="X479" s="179"/>
      <c r="Y479" s="179"/>
      <c r="Z479" s="180"/>
      <c r="AB479" s="544">
        <f ca="1">IF(AND($D479="Serviço",AB$12&lt;&gt;0,$H479&gt;0,OR(AUTOEVENTO&lt;&gt;"manual",$M479&lt;&gt;1)),
IF(Import.TipoArredondamento&lt;&gt;"TransfereGOV",
ROUND(OFFSET($P479,0,AB$13),15-13*ORÇAMENTO!$AF$7)/$H479*OFFSET(ORÇAMENTO!$X$15,ROW(AB479)-ROW(AB$15),0),
ROUND(ROUND(OFFSET($P479,0,AB$13),15-13*ORÇAMENTO!$AF$7)*OFFSET(ORÇAMENTO!$W$15,ROW(AB479)-ROW(AB$15),0),15-13*ORÇAMENTO!$AF$11)),0)</f>
        <v>0</v>
      </c>
      <c r="AC479" s="545">
        <f ca="1">IF(AND($D479="Serviço",AC$12&lt;&gt;0,$H479&gt;0,OR(AUTOEVENTO&lt;&gt;"manual",$M479&lt;&gt;1)),
IF(Import.TipoArredondamento&lt;&gt;"TransfereGOV",
ROUND(OFFSET($P479,0,AC$13),15-13*ORÇAMENTO!$AF$7)/$H479*OFFSET(ORÇAMENTO!$X$15,ROW(AC479)-ROW(AC$15),0),
ROUND(ROUND(OFFSET($P479,0,AC$13),15-13*ORÇAMENTO!$AF$7)*OFFSET(ORÇAMENTO!$W$15,ROW(AC479)-ROW(AC$15),0),15-13*ORÇAMENTO!$AF$11)),0)</f>
        <v>0</v>
      </c>
      <c r="AD479" s="545">
        <f ca="1">IF(AND($D479="Serviço",AD$12&lt;&gt;0,$H479&gt;0,OR(AUTOEVENTO&lt;&gt;"manual",$M479&lt;&gt;1)),
IF(Import.TipoArredondamento&lt;&gt;"TransfereGOV",
ROUND(OFFSET($P479,0,AD$13),15-13*ORÇAMENTO!$AF$7)/$H479*OFFSET(ORÇAMENTO!$X$15,ROW(AD479)-ROW(AD$15),0),
ROUND(ROUND(OFFSET($P479,0,AD$13),15-13*ORÇAMENTO!$AF$7)*OFFSET(ORÇAMENTO!$W$15,ROW(AD479)-ROW(AD$15),0),15-13*ORÇAMENTO!$AF$11)),0)</f>
        <v>0</v>
      </c>
      <c r="AE479" s="545">
        <f ca="1">IF(AND($D479="Serviço",AE$12&lt;&gt;0,$H479&gt;0,OR(AUTOEVENTO&lt;&gt;"manual",$M479&lt;&gt;1)),
IF(Import.TipoArredondamento&lt;&gt;"TransfereGOV",
ROUND(OFFSET($P479,0,AE$13),15-13*ORÇAMENTO!$AF$7)/$H479*OFFSET(ORÇAMENTO!$X$15,ROW(AE479)-ROW(AE$15),0),
ROUND(ROUND(OFFSET($P479,0,AE$13),15-13*ORÇAMENTO!$AF$7)*OFFSET(ORÇAMENTO!$W$15,ROW(AE479)-ROW(AE$15),0),15-13*ORÇAMENTO!$AF$11)),0)</f>
        <v>0</v>
      </c>
      <c r="AF479" s="545">
        <f ca="1">IF(AND($D479="Serviço",AF$12&lt;&gt;0,$H479&gt;0,OR(AUTOEVENTO&lt;&gt;"manual",$M479&lt;&gt;1)),
IF(Import.TipoArredondamento&lt;&gt;"TransfereGOV",
ROUND(OFFSET($P479,0,AF$13),15-13*ORÇAMENTO!$AF$7)/$H479*OFFSET(ORÇAMENTO!$X$15,ROW(AF479)-ROW(AF$15),0),
ROUND(ROUND(OFFSET($P479,0,AF$13),15-13*ORÇAMENTO!$AF$7)*OFFSET(ORÇAMENTO!$W$15,ROW(AF479)-ROW(AF$15),0),15-13*ORÇAMENTO!$AF$11)),0)</f>
        <v>0</v>
      </c>
      <c r="AG479" s="545">
        <f ca="1">IF(AND($D479="Serviço",AG$12&lt;&gt;0,$H479&gt;0,OR(AUTOEVENTO&lt;&gt;"manual",$M479&lt;&gt;1)),
IF(Import.TipoArredondamento&lt;&gt;"TransfereGOV",
ROUND(OFFSET($P479,0,AG$13),15-13*ORÇAMENTO!$AF$7)/$H479*OFFSET(ORÇAMENTO!$X$15,ROW(AG479)-ROW(AG$15),0),
ROUND(ROUND(OFFSET($P479,0,AG$13),15-13*ORÇAMENTO!$AF$7)*OFFSET(ORÇAMENTO!$W$15,ROW(AG479)-ROW(AG$15),0),15-13*ORÇAMENTO!$AF$11)),0)</f>
        <v>0</v>
      </c>
      <c r="AH479" s="545">
        <f ca="1">IF(AND($D479="Serviço",AH$12&lt;&gt;0,$H479&gt;0,OR(AUTOEVENTO&lt;&gt;"manual",$M479&lt;&gt;1)),
IF(Import.TipoArredondamento&lt;&gt;"TransfereGOV",
ROUND(OFFSET($P479,0,AH$13),15-13*ORÇAMENTO!$AF$7)/$H479*OFFSET(ORÇAMENTO!$X$15,ROW(AH479)-ROW(AH$15),0),
ROUND(ROUND(OFFSET($P479,0,AH$13),15-13*ORÇAMENTO!$AF$7)*OFFSET(ORÇAMENTO!$W$15,ROW(AH479)-ROW(AH$15),0),15-13*ORÇAMENTO!$AF$11)),0)</f>
        <v>0</v>
      </c>
      <c r="AI479" s="545">
        <f ca="1">IF(AND($D479="Serviço",AI$12&lt;&gt;0,$H479&gt;0,OR(AUTOEVENTO&lt;&gt;"manual",$M479&lt;&gt;1)),
IF(Import.TipoArredondamento&lt;&gt;"TransfereGOV",
ROUND(OFFSET($P479,0,AI$13),15-13*ORÇAMENTO!$AF$7)/$H479*OFFSET(ORÇAMENTO!$X$15,ROW(AI479)-ROW(AI$15),0),
ROUND(ROUND(OFFSET($P479,0,AI$13),15-13*ORÇAMENTO!$AF$7)*OFFSET(ORÇAMENTO!$W$15,ROW(AI479)-ROW(AI$15),0),15-13*ORÇAMENTO!$AF$11)),0)</f>
        <v>0</v>
      </c>
      <c r="AJ479" s="545">
        <f ca="1">IF(AND($D479="Serviço",AJ$12&lt;&gt;0,$H479&gt;0,OR(AUTOEVENTO&lt;&gt;"manual",$M479&lt;&gt;1)),
IF(Import.TipoArredondamento&lt;&gt;"TransfereGOV",
ROUND(OFFSET($P479,0,AJ$13),15-13*ORÇAMENTO!$AF$7)/$H479*OFFSET(ORÇAMENTO!$X$15,ROW(AJ479)-ROW(AJ$15),0),
ROUND(ROUND(OFFSET($P479,0,AJ$13),15-13*ORÇAMENTO!$AF$7)*OFFSET(ORÇAMENTO!$W$15,ROW(AJ479)-ROW(AJ$15),0),15-13*ORÇAMENTO!$AF$11)),0)</f>
        <v>0</v>
      </c>
      <c r="AK479" s="546">
        <f ca="1">IF(AND($D479="Serviço",AK$12&lt;&gt;0,$H479&gt;0,OR(AUTOEVENTO&lt;&gt;"manual",$M479&lt;&gt;1)),
IF(Import.TipoArredondamento&lt;&gt;"TransfereGOV",
ROUND(OFFSET($P479,0,AK$13),15-13*ORÇAMENTO!$AF$7)/$H479*OFFSET(ORÇAMENTO!$X$15,ROW(AK479)-ROW(AK$15),0),
ROUND(ROUND(OFFSET($P479,0,AK$13),15-13*ORÇAMENTO!$AF$7)*OFFSET(ORÇAMENTO!$W$15,ROW(AK479)-ROW(AK$15),0),15-13*ORÇAMENTO!$AF$11)),0)</f>
        <v>0</v>
      </c>
      <c r="AM479" s="181">
        <f ca="1">IF($D479&lt;&gt;"Serviço",0,IF(AND(AUTOEVENTO="Manual",$M479=1),0,IF(OFFSET(CRONOPLE!$F$14,$M479,AM$13)="",10^12,OFFSET(CRONOPLE!$F$14,$M479,AM$13))))</f>
        <v>1000000000000</v>
      </c>
      <c r="AN479" s="181">
        <f ca="1">IF($D479&lt;&gt;"Serviço",0,IF(AND(AUTOEVENTO="Manual",$M479=1),0,IF(OFFSET(CRONOPLE!$F$14,$M479,AN$13)="",10^12,OFFSET(CRONOPLE!$F$14,$M479,AN$13))))</f>
        <v>1000000000000</v>
      </c>
      <c r="AO479" s="181">
        <f ca="1">IF($D479&lt;&gt;"Serviço",0,IF(AND(AUTOEVENTO="Manual",$M479=1),0,IF(OFFSET(CRONOPLE!$F$14,$M479,AO$13)="",10^12,OFFSET(CRONOPLE!$F$14,$M479,AO$13))))</f>
        <v>1000000000000</v>
      </c>
      <c r="AP479" s="181">
        <f ca="1">IF($D479&lt;&gt;"Serviço",0,IF(AND(AUTOEVENTO="Manual",$M479=1),0,IF(OFFSET(CRONOPLE!$F$14,$M479,AP$13)="",10^12,OFFSET(CRONOPLE!$F$14,$M479,AP$13))))</f>
        <v>1000000000000</v>
      </c>
      <c r="AQ479" s="181">
        <f ca="1">IF($D479&lt;&gt;"Serviço",0,IF(AND(AUTOEVENTO="Manual",$M479=1),0,IF(OFFSET(CRONOPLE!$F$14,$M479,AQ$13)="",10^12,OFFSET(CRONOPLE!$F$14,$M479,AQ$13))))</f>
        <v>1000000000000</v>
      </c>
      <c r="AR479" s="181">
        <f ca="1">IF($D479&lt;&gt;"Serviço",0,IF(AND(AUTOEVENTO="Manual",$M479=1),0,IF(OFFSET(CRONOPLE!$F$14,$M479,AR$13)="",10^12,OFFSET(CRONOPLE!$F$14,$M479,AR$13))))</f>
        <v>1000000000000</v>
      </c>
      <c r="AS479" s="181">
        <f ca="1">IF($D479&lt;&gt;"Serviço",0,IF(AND(AUTOEVENTO="Manual",$M479=1),0,IF(OFFSET(CRONOPLE!$F$14,$M479,AS$13)="",10^12,OFFSET(CRONOPLE!$F$14,$M479,AS$13))))</f>
        <v>1000000000000</v>
      </c>
      <c r="AT479" s="181">
        <f ca="1">IF($D479&lt;&gt;"Serviço",0,IF(AND(AUTOEVENTO="Manual",$M479=1),0,IF(OFFSET(CRONOPLE!$F$14,$M479,AT$13)="",10^12,OFFSET(CRONOPLE!$F$14,$M479,AT$13))))</f>
        <v>1000000000000</v>
      </c>
      <c r="AU479" s="181">
        <f ca="1">IF($D479&lt;&gt;"Serviço",0,IF(AND(AUTOEVENTO="Manual",$M479=1),0,IF(OFFSET(CRONOPLE!$F$14,$M479,AU$13)="",10^12,OFFSET(CRONOPLE!$F$14,$M479,AU$13))))</f>
        <v>1000000000000</v>
      </c>
      <c r="AV479" s="181">
        <f ca="1">IF($D479&lt;&gt;"Serviço",0,IF(AND(AUTOEVENTO="Manual",$M479=1),0,IF(OFFSET(CRONOPLE!$F$14,$M479,AV$13)="",10^12,OFFSET(CRONOPLE!$F$14,$M479,AV$13))))</f>
        <v>1000000000000</v>
      </c>
      <c r="AX479" s="182">
        <f ca="1">IF($D479&lt;&gt;"Serviço",0,IF(OR(AND(AUTOEVENTO="Manual",$M479=1),$M479&gt;(ROW(PLE.lastrow)-ROW(PLE.firstrow))),0,IF(OFFSET(PLE!$G$14,$M479,AX$13)="",10^12,OFFSET(PLE!$G$14,$M479,AX$13))))</f>
        <v>1000000000000</v>
      </c>
      <c r="AY479" s="182">
        <f ca="1">IF($D479&lt;&gt;"Serviço",0,IF(OR(AND(AUTOEVENTO="Manual",$M479=1),$M479&gt;(ROW(PLE.lastrow)-ROW(PLE.firstrow))),0,IF(OFFSET(PLE!$G$14,$M479,AY$13)="",10^12,OFFSET(PLE!$G$14,$M479,AY$13))))</f>
        <v>1000000000000</v>
      </c>
      <c r="AZ479" s="182">
        <f ca="1">IF($D479&lt;&gt;"Serviço",0,IF(OR(AND(AUTOEVENTO="Manual",$M479=1),$M479&gt;(ROW(PLE.lastrow)-ROW(PLE.firstrow))),0,IF(OFFSET(PLE!$G$14,$M479,AZ$13)="",10^12,OFFSET(PLE!$G$14,$M479,AZ$13))))</f>
        <v>1000000000000</v>
      </c>
      <c r="BA479" s="182">
        <f ca="1">IF($D479&lt;&gt;"Serviço",0,IF(OR(AND(AUTOEVENTO="Manual",$M479=1),$M479&gt;(ROW(PLE.lastrow)-ROW(PLE.firstrow))),0,IF(OFFSET(PLE!$G$14,$M479,BA$13)="",10^12,OFFSET(PLE!$G$14,$M479,BA$13))))</f>
        <v>1000000000000</v>
      </c>
      <c r="BB479" s="182">
        <f ca="1">IF($D479&lt;&gt;"Serviço",0,IF(OR(AND(AUTOEVENTO="Manual",$M479=1),$M479&gt;(ROW(PLE.lastrow)-ROW(PLE.firstrow))),0,IF(OFFSET(PLE!$G$14,$M479,BB$13)="",10^12,OFFSET(PLE!$G$14,$M479,BB$13))))</f>
        <v>1000000000000</v>
      </c>
      <c r="BC479" s="182">
        <f ca="1">IF($D479&lt;&gt;"Serviço",0,IF(OR(AND(AUTOEVENTO="Manual",$M479=1),$M479&gt;(ROW(PLE.lastrow)-ROW(PLE.firstrow))),0,IF(OFFSET(PLE!$G$14,$M479,BC$13)="",10^12,OFFSET(PLE!$G$14,$M479,BC$13))))</f>
        <v>1000000000000</v>
      </c>
      <c r="BD479" s="182">
        <f ca="1">IF($D479&lt;&gt;"Serviço",0,IF(OR(AND(AUTOEVENTO="Manual",$M479=1),$M479&gt;(ROW(PLE.lastrow)-ROW(PLE.firstrow))),0,IF(OFFSET(PLE!$G$14,$M479,BD$13)="",10^12,OFFSET(PLE!$G$14,$M479,BD$13))))</f>
        <v>1000000000000</v>
      </c>
      <c r="BE479" s="182">
        <f ca="1">IF($D479&lt;&gt;"Serviço",0,IF(OR(AND(AUTOEVENTO="Manual",$M479=1),$M479&gt;(ROW(PLE.lastrow)-ROW(PLE.firstrow))),0,IF(OFFSET(PLE!$G$14,$M479,BE$13)="",10^12,OFFSET(PLE!$G$14,$M479,BE$13))))</f>
        <v>1000000000000</v>
      </c>
      <c r="BF479" s="182">
        <f ca="1">IF($D479&lt;&gt;"Serviço",0,IF(OR(AND(AUTOEVENTO="Manual",$M479=1),$M479&gt;(ROW(PLE.lastrow)-ROW(PLE.firstrow))),0,IF(OFFSET(PLE!$G$14,$M479,BF$13)="",10^12,OFFSET(PLE!$G$14,$M479,BF$13))))</f>
        <v>1000000000000</v>
      </c>
      <c r="BG479" s="182">
        <f ca="1">IF($D479&lt;&gt;"Serviço",0,IF(OR(AND(AUTOEVENTO="Manual",$M479=1),$M479&gt;(ROW(PLE.lastrow)-ROW(PLE.firstrow))),0,IF(OFFSET(PLE!$G$14,$M479,BG$13)="",10^12,OFFSET(PLE!$G$14,$M479,BG$13))))</f>
        <v>1000000000000</v>
      </c>
    </row>
    <row r="480" spans="1:59" ht="25.5" x14ac:dyDescent="0.2">
      <c r="A480" s="7" t="str">
        <f t="shared" ca="1" si="11"/>
        <v>411</v>
      </c>
      <c r="B480" s="7" t="str">
        <f ca="1">OFFSET(ORÇAMENTO!C$15,ROW(B480)-ROW(B$15),0)</f>
        <v>S</v>
      </c>
      <c r="C480" s="7" t="str">
        <f ca="1">OFFSET(ORÇAMENTO!L$15,ROW(C480)-ROW(C$15),0)</f>
        <v/>
      </c>
      <c r="D480" s="118" t="str">
        <f ca="1">OFFSET(ORÇAMENTO!N$15,ROW(D480)-ROW(D$15),0)</f>
        <v>Serviço</v>
      </c>
      <c r="E480" s="119" t="str">
        <f ca="1">OFFSET(ORÇAMENTO!O$15,ROW(E480)-ROW(E$15),0)</f>
        <v>-</v>
      </c>
      <c r="F480" s="172" t="str">
        <f ca="1">OFFSET(ORÇAMENTO!R$15,ROW(F480)-ROW(F$15),0)</f>
        <v>(abra o arquivo 'Referência 02-2025.xlsm)</v>
      </c>
      <c r="G480" s="173" t="str">
        <f ca="1">IF($D480&lt;&gt;"Serviço","",OFFSET(ORÇAMENTO!S$15,ROW(G480)-ROW(G$15),0))</f>
        <v>-</v>
      </c>
      <c r="H480" s="124">
        <f ca="1">IF($D480&lt;&gt;"Serviço",0,IF(ACOMPANHAMENTO="BM",ROUND(OFFSET(ORÇAMENTO!AJ$15,ROW(H480)-ROW(H$15),0),15-13*ORÇAMENTO!$AF$7),SUMPRODUCT(($Q$12:$AA$12&lt;&gt;"")*ROUND($Q480:$AA480,15-13*ORÇAMENTO!$AF$7))))</f>
        <v>5</v>
      </c>
      <c r="I480" s="561" t="s">
        <v>890</v>
      </c>
      <c r="K480" s="174"/>
      <c r="L480" s="175" t="s">
        <v>255</v>
      </c>
      <c r="M480" s="176">
        <f ca="1">IF($D480&lt;&gt;"Serviço","",IF(AUTOEVENTO="manual",$A480,IF(ISERROR(MATCH($A480,$A$15:OFFSET($A480,-1,0),0)),MAX($M$15:OFFSET(M480,-1,0))+1,INDEX($M$15:OFFSET(M480,-1,0),MATCH($A480,$A$15:OFFSET($A480,-1,0),0)))))</f>
        <v>17</v>
      </c>
      <c r="N480" s="177" t="str">
        <f ca="1">IF($D480&lt;&gt;"Serviço","",IF(AUTOEVENTO="Manual",IF($A480=0,"&lt;-- defina o número do agrupador",OFFSET(EVENTOS!$D$14,$A480,0)),OFFSET($F$15,$A480,0)))</f>
        <v>SISTEMA DE PROTEÇÃO CONTRA INCÊNDIO</v>
      </c>
      <c r="O480" s="178"/>
      <c r="Q480" s="178"/>
      <c r="R480" s="179"/>
      <c r="S480" s="179"/>
      <c r="T480" s="179"/>
      <c r="U480" s="179"/>
      <c r="V480" s="179"/>
      <c r="W480" s="179"/>
      <c r="X480" s="179"/>
      <c r="Y480" s="179"/>
      <c r="Z480" s="180"/>
      <c r="AB480" s="544">
        <f ca="1">IF(AND($D480="Serviço",AB$12&lt;&gt;0,$H480&gt;0,OR(AUTOEVENTO&lt;&gt;"manual",$M480&lt;&gt;1)),
IF(Import.TipoArredondamento&lt;&gt;"TransfereGOV",
ROUND(OFFSET($P480,0,AB$13),15-13*ORÇAMENTO!$AF$7)/$H480*OFFSET(ORÇAMENTO!$X$15,ROW(AB480)-ROW(AB$15),0),
ROUND(ROUND(OFFSET($P480,0,AB$13),15-13*ORÇAMENTO!$AF$7)*OFFSET(ORÇAMENTO!$W$15,ROW(AB480)-ROW(AB$15),0),15-13*ORÇAMENTO!$AF$11)),0)</f>
        <v>0</v>
      </c>
      <c r="AC480" s="545">
        <f ca="1">IF(AND($D480="Serviço",AC$12&lt;&gt;0,$H480&gt;0,OR(AUTOEVENTO&lt;&gt;"manual",$M480&lt;&gt;1)),
IF(Import.TipoArredondamento&lt;&gt;"TransfereGOV",
ROUND(OFFSET($P480,0,AC$13),15-13*ORÇAMENTO!$AF$7)/$H480*OFFSET(ORÇAMENTO!$X$15,ROW(AC480)-ROW(AC$15),0),
ROUND(ROUND(OFFSET($P480,0,AC$13),15-13*ORÇAMENTO!$AF$7)*OFFSET(ORÇAMENTO!$W$15,ROW(AC480)-ROW(AC$15),0),15-13*ORÇAMENTO!$AF$11)),0)</f>
        <v>0</v>
      </c>
      <c r="AD480" s="545">
        <f ca="1">IF(AND($D480="Serviço",AD$12&lt;&gt;0,$H480&gt;0,OR(AUTOEVENTO&lt;&gt;"manual",$M480&lt;&gt;1)),
IF(Import.TipoArredondamento&lt;&gt;"TransfereGOV",
ROUND(OFFSET($P480,0,AD$13),15-13*ORÇAMENTO!$AF$7)/$H480*OFFSET(ORÇAMENTO!$X$15,ROW(AD480)-ROW(AD$15),0),
ROUND(ROUND(OFFSET($P480,0,AD$13),15-13*ORÇAMENTO!$AF$7)*OFFSET(ORÇAMENTO!$W$15,ROW(AD480)-ROW(AD$15),0),15-13*ORÇAMENTO!$AF$11)),0)</f>
        <v>0</v>
      </c>
      <c r="AE480" s="545">
        <f ca="1">IF(AND($D480="Serviço",AE$12&lt;&gt;0,$H480&gt;0,OR(AUTOEVENTO&lt;&gt;"manual",$M480&lt;&gt;1)),
IF(Import.TipoArredondamento&lt;&gt;"TransfereGOV",
ROUND(OFFSET($P480,0,AE$13),15-13*ORÇAMENTO!$AF$7)/$H480*OFFSET(ORÇAMENTO!$X$15,ROW(AE480)-ROW(AE$15),0),
ROUND(ROUND(OFFSET($P480,0,AE$13),15-13*ORÇAMENTO!$AF$7)*OFFSET(ORÇAMENTO!$W$15,ROW(AE480)-ROW(AE$15),0),15-13*ORÇAMENTO!$AF$11)),0)</f>
        <v>0</v>
      </c>
      <c r="AF480" s="545">
        <f ca="1">IF(AND($D480="Serviço",AF$12&lt;&gt;0,$H480&gt;0,OR(AUTOEVENTO&lt;&gt;"manual",$M480&lt;&gt;1)),
IF(Import.TipoArredondamento&lt;&gt;"TransfereGOV",
ROUND(OFFSET($P480,0,AF$13),15-13*ORÇAMENTO!$AF$7)/$H480*OFFSET(ORÇAMENTO!$X$15,ROW(AF480)-ROW(AF$15),0),
ROUND(ROUND(OFFSET($P480,0,AF$13),15-13*ORÇAMENTO!$AF$7)*OFFSET(ORÇAMENTO!$W$15,ROW(AF480)-ROW(AF$15),0),15-13*ORÇAMENTO!$AF$11)),0)</f>
        <v>0</v>
      </c>
      <c r="AG480" s="545">
        <f ca="1">IF(AND($D480="Serviço",AG$12&lt;&gt;0,$H480&gt;0,OR(AUTOEVENTO&lt;&gt;"manual",$M480&lt;&gt;1)),
IF(Import.TipoArredondamento&lt;&gt;"TransfereGOV",
ROUND(OFFSET($P480,0,AG$13),15-13*ORÇAMENTO!$AF$7)/$H480*OFFSET(ORÇAMENTO!$X$15,ROW(AG480)-ROW(AG$15),0),
ROUND(ROUND(OFFSET($P480,0,AG$13),15-13*ORÇAMENTO!$AF$7)*OFFSET(ORÇAMENTO!$W$15,ROW(AG480)-ROW(AG$15),0),15-13*ORÇAMENTO!$AF$11)),0)</f>
        <v>0</v>
      </c>
      <c r="AH480" s="545">
        <f ca="1">IF(AND($D480="Serviço",AH$12&lt;&gt;0,$H480&gt;0,OR(AUTOEVENTO&lt;&gt;"manual",$M480&lt;&gt;1)),
IF(Import.TipoArredondamento&lt;&gt;"TransfereGOV",
ROUND(OFFSET($P480,0,AH$13),15-13*ORÇAMENTO!$AF$7)/$H480*OFFSET(ORÇAMENTO!$X$15,ROW(AH480)-ROW(AH$15),0),
ROUND(ROUND(OFFSET($P480,0,AH$13),15-13*ORÇAMENTO!$AF$7)*OFFSET(ORÇAMENTO!$W$15,ROW(AH480)-ROW(AH$15),0),15-13*ORÇAMENTO!$AF$11)),0)</f>
        <v>0</v>
      </c>
      <c r="AI480" s="545">
        <f ca="1">IF(AND($D480="Serviço",AI$12&lt;&gt;0,$H480&gt;0,OR(AUTOEVENTO&lt;&gt;"manual",$M480&lt;&gt;1)),
IF(Import.TipoArredondamento&lt;&gt;"TransfereGOV",
ROUND(OFFSET($P480,0,AI$13),15-13*ORÇAMENTO!$AF$7)/$H480*OFFSET(ORÇAMENTO!$X$15,ROW(AI480)-ROW(AI$15),0),
ROUND(ROUND(OFFSET($P480,0,AI$13),15-13*ORÇAMENTO!$AF$7)*OFFSET(ORÇAMENTO!$W$15,ROW(AI480)-ROW(AI$15),0),15-13*ORÇAMENTO!$AF$11)),0)</f>
        <v>0</v>
      </c>
      <c r="AJ480" s="545">
        <f ca="1">IF(AND($D480="Serviço",AJ$12&lt;&gt;0,$H480&gt;0,OR(AUTOEVENTO&lt;&gt;"manual",$M480&lt;&gt;1)),
IF(Import.TipoArredondamento&lt;&gt;"TransfereGOV",
ROUND(OFFSET($P480,0,AJ$13),15-13*ORÇAMENTO!$AF$7)/$H480*OFFSET(ORÇAMENTO!$X$15,ROW(AJ480)-ROW(AJ$15),0),
ROUND(ROUND(OFFSET($P480,0,AJ$13),15-13*ORÇAMENTO!$AF$7)*OFFSET(ORÇAMENTO!$W$15,ROW(AJ480)-ROW(AJ$15),0),15-13*ORÇAMENTO!$AF$11)),0)</f>
        <v>0</v>
      </c>
      <c r="AK480" s="546">
        <f ca="1">IF(AND($D480="Serviço",AK$12&lt;&gt;0,$H480&gt;0,OR(AUTOEVENTO&lt;&gt;"manual",$M480&lt;&gt;1)),
IF(Import.TipoArredondamento&lt;&gt;"TransfereGOV",
ROUND(OFFSET($P480,0,AK$13),15-13*ORÇAMENTO!$AF$7)/$H480*OFFSET(ORÇAMENTO!$X$15,ROW(AK480)-ROW(AK$15),0),
ROUND(ROUND(OFFSET($P480,0,AK$13),15-13*ORÇAMENTO!$AF$7)*OFFSET(ORÇAMENTO!$W$15,ROW(AK480)-ROW(AK$15),0),15-13*ORÇAMENTO!$AF$11)),0)</f>
        <v>0</v>
      </c>
      <c r="AM480" s="181">
        <f ca="1">IF($D480&lt;&gt;"Serviço",0,IF(AND(AUTOEVENTO="Manual",$M480=1),0,IF(OFFSET(CRONOPLE!$F$14,$M480,AM$13)="",10^12,OFFSET(CRONOPLE!$F$14,$M480,AM$13))))</f>
        <v>1000000000000</v>
      </c>
      <c r="AN480" s="181">
        <f ca="1">IF($D480&lt;&gt;"Serviço",0,IF(AND(AUTOEVENTO="Manual",$M480=1),0,IF(OFFSET(CRONOPLE!$F$14,$M480,AN$13)="",10^12,OFFSET(CRONOPLE!$F$14,$M480,AN$13))))</f>
        <v>1000000000000</v>
      </c>
      <c r="AO480" s="181">
        <f ca="1">IF($D480&lt;&gt;"Serviço",0,IF(AND(AUTOEVENTO="Manual",$M480=1),0,IF(OFFSET(CRONOPLE!$F$14,$M480,AO$13)="",10^12,OFFSET(CRONOPLE!$F$14,$M480,AO$13))))</f>
        <v>1000000000000</v>
      </c>
      <c r="AP480" s="181">
        <f ca="1">IF($D480&lt;&gt;"Serviço",0,IF(AND(AUTOEVENTO="Manual",$M480=1),0,IF(OFFSET(CRONOPLE!$F$14,$M480,AP$13)="",10^12,OFFSET(CRONOPLE!$F$14,$M480,AP$13))))</f>
        <v>1000000000000</v>
      </c>
      <c r="AQ480" s="181">
        <f ca="1">IF($D480&lt;&gt;"Serviço",0,IF(AND(AUTOEVENTO="Manual",$M480=1),0,IF(OFFSET(CRONOPLE!$F$14,$M480,AQ$13)="",10^12,OFFSET(CRONOPLE!$F$14,$M480,AQ$13))))</f>
        <v>1000000000000</v>
      </c>
      <c r="AR480" s="181">
        <f ca="1">IF($D480&lt;&gt;"Serviço",0,IF(AND(AUTOEVENTO="Manual",$M480=1),0,IF(OFFSET(CRONOPLE!$F$14,$M480,AR$13)="",10^12,OFFSET(CRONOPLE!$F$14,$M480,AR$13))))</f>
        <v>1000000000000</v>
      </c>
      <c r="AS480" s="181">
        <f ca="1">IF($D480&lt;&gt;"Serviço",0,IF(AND(AUTOEVENTO="Manual",$M480=1),0,IF(OFFSET(CRONOPLE!$F$14,$M480,AS$13)="",10^12,OFFSET(CRONOPLE!$F$14,$M480,AS$13))))</f>
        <v>1000000000000</v>
      </c>
      <c r="AT480" s="181">
        <f ca="1">IF($D480&lt;&gt;"Serviço",0,IF(AND(AUTOEVENTO="Manual",$M480=1),0,IF(OFFSET(CRONOPLE!$F$14,$M480,AT$13)="",10^12,OFFSET(CRONOPLE!$F$14,$M480,AT$13))))</f>
        <v>1000000000000</v>
      </c>
      <c r="AU480" s="181">
        <f ca="1">IF($D480&lt;&gt;"Serviço",0,IF(AND(AUTOEVENTO="Manual",$M480=1),0,IF(OFFSET(CRONOPLE!$F$14,$M480,AU$13)="",10^12,OFFSET(CRONOPLE!$F$14,$M480,AU$13))))</f>
        <v>1000000000000</v>
      </c>
      <c r="AV480" s="181">
        <f ca="1">IF($D480&lt;&gt;"Serviço",0,IF(AND(AUTOEVENTO="Manual",$M480=1),0,IF(OFFSET(CRONOPLE!$F$14,$M480,AV$13)="",10^12,OFFSET(CRONOPLE!$F$14,$M480,AV$13))))</f>
        <v>1000000000000</v>
      </c>
      <c r="AX480" s="182">
        <f ca="1">IF($D480&lt;&gt;"Serviço",0,IF(OR(AND(AUTOEVENTO="Manual",$M480=1),$M480&gt;(ROW(PLE.lastrow)-ROW(PLE.firstrow))),0,IF(OFFSET(PLE!$G$14,$M480,AX$13)="",10^12,OFFSET(PLE!$G$14,$M480,AX$13))))</f>
        <v>1000000000000</v>
      </c>
      <c r="AY480" s="182">
        <f ca="1">IF($D480&lt;&gt;"Serviço",0,IF(OR(AND(AUTOEVENTO="Manual",$M480=1),$M480&gt;(ROW(PLE.lastrow)-ROW(PLE.firstrow))),0,IF(OFFSET(PLE!$G$14,$M480,AY$13)="",10^12,OFFSET(PLE!$G$14,$M480,AY$13))))</f>
        <v>1000000000000</v>
      </c>
      <c r="AZ480" s="182">
        <f ca="1">IF($D480&lt;&gt;"Serviço",0,IF(OR(AND(AUTOEVENTO="Manual",$M480=1),$M480&gt;(ROW(PLE.lastrow)-ROW(PLE.firstrow))),0,IF(OFFSET(PLE!$G$14,$M480,AZ$13)="",10^12,OFFSET(PLE!$G$14,$M480,AZ$13))))</f>
        <v>1000000000000</v>
      </c>
      <c r="BA480" s="182">
        <f ca="1">IF($D480&lt;&gt;"Serviço",0,IF(OR(AND(AUTOEVENTO="Manual",$M480=1),$M480&gt;(ROW(PLE.lastrow)-ROW(PLE.firstrow))),0,IF(OFFSET(PLE!$G$14,$M480,BA$13)="",10^12,OFFSET(PLE!$G$14,$M480,BA$13))))</f>
        <v>1000000000000</v>
      </c>
      <c r="BB480" s="182">
        <f ca="1">IF($D480&lt;&gt;"Serviço",0,IF(OR(AND(AUTOEVENTO="Manual",$M480=1),$M480&gt;(ROW(PLE.lastrow)-ROW(PLE.firstrow))),0,IF(OFFSET(PLE!$G$14,$M480,BB$13)="",10^12,OFFSET(PLE!$G$14,$M480,BB$13))))</f>
        <v>1000000000000</v>
      </c>
      <c r="BC480" s="182">
        <f ca="1">IF($D480&lt;&gt;"Serviço",0,IF(OR(AND(AUTOEVENTO="Manual",$M480=1),$M480&gt;(ROW(PLE.lastrow)-ROW(PLE.firstrow))),0,IF(OFFSET(PLE!$G$14,$M480,BC$13)="",10^12,OFFSET(PLE!$G$14,$M480,BC$13))))</f>
        <v>1000000000000</v>
      </c>
      <c r="BD480" s="182">
        <f ca="1">IF($D480&lt;&gt;"Serviço",0,IF(OR(AND(AUTOEVENTO="Manual",$M480=1),$M480&gt;(ROW(PLE.lastrow)-ROW(PLE.firstrow))),0,IF(OFFSET(PLE!$G$14,$M480,BD$13)="",10^12,OFFSET(PLE!$G$14,$M480,BD$13))))</f>
        <v>1000000000000</v>
      </c>
      <c r="BE480" s="182">
        <f ca="1">IF($D480&lt;&gt;"Serviço",0,IF(OR(AND(AUTOEVENTO="Manual",$M480=1),$M480&gt;(ROW(PLE.lastrow)-ROW(PLE.firstrow))),0,IF(OFFSET(PLE!$G$14,$M480,BE$13)="",10^12,OFFSET(PLE!$G$14,$M480,BE$13))))</f>
        <v>1000000000000</v>
      </c>
      <c r="BF480" s="182">
        <f ca="1">IF($D480&lt;&gt;"Serviço",0,IF(OR(AND(AUTOEVENTO="Manual",$M480=1),$M480&gt;(ROW(PLE.lastrow)-ROW(PLE.firstrow))),0,IF(OFFSET(PLE!$G$14,$M480,BF$13)="",10^12,OFFSET(PLE!$G$14,$M480,BF$13))))</f>
        <v>1000000000000</v>
      </c>
      <c r="BG480" s="182">
        <f ca="1">IF($D480&lt;&gt;"Serviço",0,IF(OR(AND(AUTOEVENTO="Manual",$M480=1),$M480&gt;(ROW(PLE.lastrow)-ROW(PLE.firstrow))),0,IF(OFFSET(PLE!$G$14,$M480,BG$13)="",10^12,OFFSET(PLE!$G$14,$M480,BG$13))))</f>
        <v>1000000000000</v>
      </c>
    </row>
    <row r="481" spans="1:59" ht="38.25" x14ac:dyDescent="0.2">
      <c r="A481" s="7" t="str">
        <f t="shared" ca="1" si="11"/>
        <v>411</v>
      </c>
      <c r="B481" s="7" t="str">
        <f ca="1">OFFSET(ORÇAMENTO!C$15,ROW(B481)-ROW(B$15),0)</f>
        <v>S</v>
      </c>
      <c r="C481" s="7" t="str">
        <f ca="1">OFFSET(ORÇAMENTO!L$15,ROW(C481)-ROW(C$15),0)</f>
        <v/>
      </c>
      <c r="D481" s="118" t="str">
        <f ca="1">OFFSET(ORÇAMENTO!N$15,ROW(D481)-ROW(D$15),0)</f>
        <v>Serviço</v>
      </c>
      <c r="E481" s="119" t="str">
        <f ca="1">OFFSET(ORÇAMENTO!O$15,ROW(E481)-ROW(E$15),0)</f>
        <v>-</v>
      </c>
      <c r="F481" s="172" t="str">
        <f ca="1">OFFSET(ORÇAMENTO!R$15,ROW(F481)-ROW(F$15),0)</f>
        <v>(abra o arquivo 'Referência 02-2025.xlsm)</v>
      </c>
      <c r="G481" s="173" t="str">
        <f ca="1">IF($D481&lt;&gt;"Serviço","",OFFSET(ORÇAMENTO!S$15,ROW(G481)-ROW(G$15),0))</f>
        <v>-</v>
      </c>
      <c r="H481" s="124">
        <f ca="1">IF($D481&lt;&gt;"Serviço",0,IF(ACOMPANHAMENTO="BM",ROUND(OFFSET(ORÇAMENTO!AJ$15,ROW(H481)-ROW(H$15),0),15-13*ORÇAMENTO!$AF$7),SUMPRODUCT(($Q$12:$AA$12&lt;&gt;"")*ROUND($Q481:$AA481,15-13*ORÇAMENTO!$AF$7))))</f>
        <v>5</v>
      </c>
      <c r="I481" s="561" t="s">
        <v>890</v>
      </c>
      <c r="K481" s="174"/>
      <c r="L481" s="175" t="s">
        <v>255</v>
      </c>
      <c r="M481" s="176">
        <f ca="1">IF($D481&lt;&gt;"Serviço","",IF(AUTOEVENTO="manual",$A481,IF(ISERROR(MATCH($A481,$A$15:OFFSET($A481,-1,0),0)),MAX($M$15:OFFSET(M481,-1,0))+1,INDEX($M$15:OFFSET(M481,-1,0),MATCH($A481,$A$15:OFFSET($A481,-1,0),0)))))</f>
        <v>17</v>
      </c>
      <c r="N481" s="177" t="str">
        <f ca="1">IF($D481&lt;&gt;"Serviço","",IF(AUTOEVENTO="Manual",IF($A481=0,"&lt;-- defina o número do agrupador",OFFSET(EVENTOS!$D$14,$A481,0)),OFFSET($F$15,$A481,0)))</f>
        <v>SISTEMA DE PROTEÇÃO CONTRA INCÊNDIO</v>
      </c>
      <c r="O481" s="178"/>
      <c r="Q481" s="178"/>
      <c r="R481" s="179"/>
      <c r="S481" s="179"/>
      <c r="T481" s="179"/>
      <c r="U481" s="179"/>
      <c r="V481" s="179"/>
      <c r="W481" s="179"/>
      <c r="X481" s="179"/>
      <c r="Y481" s="179"/>
      <c r="Z481" s="180"/>
      <c r="AB481" s="544">
        <f ca="1">IF(AND($D481="Serviço",AB$12&lt;&gt;0,$H481&gt;0,OR(AUTOEVENTO&lt;&gt;"manual",$M481&lt;&gt;1)),
IF(Import.TipoArredondamento&lt;&gt;"TransfereGOV",
ROUND(OFFSET($P481,0,AB$13),15-13*ORÇAMENTO!$AF$7)/$H481*OFFSET(ORÇAMENTO!$X$15,ROW(AB481)-ROW(AB$15),0),
ROUND(ROUND(OFFSET($P481,0,AB$13),15-13*ORÇAMENTO!$AF$7)*OFFSET(ORÇAMENTO!$W$15,ROW(AB481)-ROW(AB$15),0),15-13*ORÇAMENTO!$AF$11)),0)</f>
        <v>0</v>
      </c>
      <c r="AC481" s="545">
        <f ca="1">IF(AND($D481="Serviço",AC$12&lt;&gt;0,$H481&gt;0,OR(AUTOEVENTO&lt;&gt;"manual",$M481&lt;&gt;1)),
IF(Import.TipoArredondamento&lt;&gt;"TransfereGOV",
ROUND(OFFSET($P481,0,AC$13),15-13*ORÇAMENTO!$AF$7)/$H481*OFFSET(ORÇAMENTO!$X$15,ROW(AC481)-ROW(AC$15),0),
ROUND(ROUND(OFFSET($P481,0,AC$13),15-13*ORÇAMENTO!$AF$7)*OFFSET(ORÇAMENTO!$W$15,ROW(AC481)-ROW(AC$15),0),15-13*ORÇAMENTO!$AF$11)),0)</f>
        <v>0</v>
      </c>
      <c r="AD481" s="545">
        <f ca="1">IF(AND($D481="Serviço",AD$12&lt;&gt;0,$H481&gt;0,OR(AUTOEVENTO&lt;&gt;"manual",$M481&lt;&gt;1)),
IF(Import.TipoArredondamento&lt;&gt;"TransfereGOV",
ROUND(OFFSET($P481,0,AD$13),15-13*ORÇAMENTO!$AF$7)/$H481*OFFSET(ORÇAMENTO!$X$15,ROW(AD481)-ROW(AD$15),0),
ROUND(ROUND(OFFSET($P481,0,AD$13),15-13*ORÇAMENTO!$AF$7)*OFFSET(ORÇAMENTO!$W$15,ROW(AD481)-ROW(AD$15),0),15-13*ORÇAMENTO!$AF$11)),0)</f>
        <v>0</v>
      </c>
      <c r="AE481" s="545">
        <f ca="1">IF(AND($D481="Serviço",AE$12&lt;&gt;0,$H481&gt;0,OR(AUTOEVENTO&lt;&gt;"manual",$M481&lt;&gt;1)),
IF(Import.TipoArredondamento&lt;&gt;"TransfereGOV",
ROUND(OFFSET($P481,0,AE$13),15-13*ORÇAMENTO!$AF$7)/$H481*OFFSET(ORÇAMENTO!$X$15,ROW(AE481)-ROW(AE$15),0),
ROUND(ROUND(OFFSET($P481,0,AE$13),15-13*ORÇAMENTO!$AF$7)*OFFSET(ORÇAMENTO!$W$15,ROW(AE481)-ROW(AE$15),0),15-13*ORÇAMENTO!$AF$11)),0)</f>
        <v>0</v>
      </c>
      <c r="AF481" s="545">
        <f ca="1">IF(AND($D481="Serviço",AF$12&lt;&gt;0,$H481&gt;0,OR(AUTOEVENTO&lt;&gt;"manual",$M481&lt;&gt;1)),
IF(Import.TipoArredondamento&lt;&gt;"TransfereGOV",
ROUND(OFFSET($P481,0,AF$13),15-13*ORÇAMENTO!$AF$7)/$H481*OFFSET(ORÇAMENTO!$X$15,ROW(AF481)-ROW(AF$15),0),
ROUND(ROUND(OFFSET($P481,0,AF$13),15-13*ORÇAMENTO!$AF$7)*OFFSET(ORÇAMENTO!$W$15,ROW(AF481)-ROW(AF$15),0),15-13*ORÇAMENTO!$AF$11)),0)</f>
        <v>0</v>
      </c>
      <c r="AG481" s="545">
        <f ca="1">IF(AND($D481="Serviço",AG$12&lt;&gt;0,$H481&gt;0,OR(AUTOEVENTO&lt;&gt;"manual",$M481&lt;&gt;1)),
IF(Import.TipoArredondamento&lt;&gt;"TransfereGOV",
ROUND(OFFSET($P481,0,AG$13),15-13*ORÇAMENTO!$AF$7)/$H481*OFFSET(ORÇAMENTO!$X$15,ROW(AG481)-ROW(AG$15),0),
ROUND(ROUND(OFFSET($P481,0,AG$13),15-13*ORÇAMENTO!$AF$7)*OFFSET(ORÇAMENTO!$W$15,ROW(AG481)-ROW(AG$15),0),15-13*ORÇAMENTO!$AF$11)),0)</f>
        <v>0</v>
      </c>
      <c r="AH481" s="545">
        <f ca="1">IF(AND($D481="Serviço",AH$12&lt;&gt;0,$H481&gt;0,OR(AUTOEVENTO&lt;&gt;"manual",$M481&lt;&gt;1)),
IF(Import.TipoArredondamento&lt;&gt;"TransfereGOV",
ROUND(OFFSET($P481,0,AH$13),15-13*ORÇAMENTO!$AF$7)/$H481*OFFSET(ORÇAMENTO!$X$15,ROW(AH481)-ROW(AH$15),0),
ROUND(ROUND(OFFSET($P481,0,AH$13),15-13*ORÇAMENTO!$AF$7)*OFFSET(ORÇAMENTO!$W$15,ROW(AH481)-ROW(AH$15),0),15-13*ORÇAMENTO!$AF$11)),0)</f>
        <v>0</v>
      </c>
      <c r="AI481" s="545">
        <f ca="1">IF(AND($D481="Serviço",AI$12&lt;&gt;0,$H481&gt;0,OR(AUTOEVENTO&lt;&gt;"manual",$M481&lt;&gt;1)),
IF(Import.TipoArredondamento&lt;&gt;"TransfereGOV",
ROUND(OFFSET($P481,0,AI$13),15-13*ORÇAMENTO!$AF$7)/$H481*OFFSET(ORÇAMENTO!$X$15,ROW(AI481)-ROW(AI$15),0),
ROUND(ROUND(OFFSET($P481,0,AI$13),15-13*ORÇAMENTO!$AF$7)*OFFSET(ORÇAMENTO!$W$15,ROW(AI481)-ROW(AI$15),0),15-13*ORÇAMENTO!$AF$11)),0)</f>
        <v>0</v>
      </c>
      <c r="AJ481" s="545">
        <f ca="1">IF(AND($D481="Serviço",AJ$12&lt;&gt;0,$H481&gt;0,OR(AUTOEVENTO&lt;&gt;"manual",$M481&lt;&gt;1)),
IF(Import.TipoArredondamento&lt;&gt;"TransfereGOV",
ROUND(OFFSET($P481,0,AJ$13),15-13*ORÇAMENTO!$AF$7)/$H481*OFFSET(ORÇAMENTO!$X$15,ROW(AJ481)-ROW(AJ$15),0),
ROUND(ROUND(OFFSET($P481,0,AJ$13),15-13*ORÇAMENTO!$AF$7)*OFFSET(ORÇAMENTO!$W$15,ROW(AJ481)-ROW(AJ$15),0),15-13*ORÇAMENTO!$AF$11)),0)</f>
        <v>0</v>
      </c>
      <c r="AK481" s="546">
        <f ca="1">IF(AND($D481="Serviço",AK$12&lt;&gt;0,$H481&gt;0,OR(AUTOEVENTO&lt;&gt;"manual",$M481&lt;&gt;1)),
IF(Import.TipoArredondamento&lt;&gt;"TransfereGOV",
ROUND(OFFSET($P481,0,AK$13),15-13*ORÇAMENTO!$AF$7)/$H481*OFFSET(ORÇAMENTO!$X$15,ROW(AK481)-ROW(AK$15),0),
ROUND(ROUND(OFFSET($P481,0,AK$13),15-13*ORÇAMENTO!$AF$7)*OFFSET(ORÇAMENTO!$W$15,ROW(AK481)-ROW(AK$15),0),15-13*ORÇAMENTO!$AF$11)),0)</f>
        <v>0</v>
      </c>
      <c r="AM481" s="181">
        <f ca="1">IF($D481&lt;&gt;"Serviço",0,IF(AND(AUTOEVENTO="Manual",$M481=1),0,IF(OFFSET(CRONOPLE!$F$14,$M481,AM$13)="",10^12,OFFSET(CRONOPLE!$F$14,$M481,AM$13))))</f>
        <v>1000000000000</v>
      </c>
      <c r="AN481" s="181">
        <f ca="1">IF($D481&lt;&gt;"Serviço",0,IF(AND(AUTOEVENTO="Manual",$M481=1),0,IF(OFFSET(CRONOPLE!$F$14,$M481,AN$13)="",10^12,OFFSET(CRONOPLE!$F$14,$M481,AN$13))))</f>
        <v>1000000000000</v>
      </c>
      <c r="AO481" s="181">
        <f ca="1">IF($D481&lt;&gt;"Serviço",0,IF(AND(AUTOEVENTO="Manual",$M481=1),0,IF(OFFSET(CRONOPLE!$F$14,$M481,AO$13)="",10^12,OFFSET(CRONOPLE!$F$14,$M481,AO$13))))</f>
        <v>1000000000000</v>
      </c>
      <c r="AP481" s="181">
        <f ca="1">IF($D481&lt;&gt;"Serviço",0,IF(AND(AUTOEVENTO="Manual",$M481=1),0,IF(OFFSET(CRONOPLE!$F$14,$M481,AP$13)="",10^12,OFFSET(CRONOPLE!$F$14,$M481,AP$13))))</f>
        <v>1000000000000</v>
      </c>
      <c r="AQ481" s="181">
        <f ca="1">IF($D481&lt;&gt;"Serviço",0,IF(AND(AUTOEVENTO="Manual",$M481=1),0,IF(OFFSET(CRONOPLE!$F$14,$M481,AQ$13)="",10^12,OFFSET(CRONOPLE!$F$14,$M481,AQ$13))))</f>
        <v>1000000000000</v>
      </c>
      <c r="AR481" s="181">
        <f ca="1">IF($D481&lt;&gt;"Serviço",0,IF(AND(AUTOEVENTO="Manual",$M481=1),0,IF(OFFSET(CRONOPLE!$F$14,$M481,AR$13)="",10^12,OFFSET(CRONOPLE!$F$14,$M481,AR$13))))</f>
        <v>1000000000000</v>
      </c>
      <c r="AS481" s="181">
        <f ca="1">IF($D481&lt;&gt;"Serviço",0,IF(AND(AUTOEVENTO="Manual",$M481=1),0,IF(OFFSET(CRONOPLE!$F$14,$M481,AS$13)="",10^12,OFFSET(CRONOPLE!$F$14,$M481,AS$13))))</f>
        <v>1000000000000</v>
      </c>
      <c r="AT481" s="181">
        <f ca="1">IF($D481&lt;&gt;"Serviço",0,IF(AND(AUTOEVENTO="Manual",$M481=1),0,IF(OFFSET(CRONOPLE!$F$14,$M481,AT$13)="",10^12,OFFSET(CRONOPLE!$F$14,$M481,AT$13))))</f>
        <v>1000000000000</v>
      </c>
      <c r="AU481" s="181">
        <f ca="1">IF($D481&lt;&gt;"Serviço",0,IF(AND(AUTOEVENTO="Manual",$M481=1),0,IF(OFFSET(CRONOPLE!$F$14,$M481,AU$13)="",10^12,OFFSET(CRONOPLE!$F$14,$M481,AU$13))))</f>
        <v>1000000000000</v>
      </c>
      <c r="AV481" s="181">
        <f ca="1">IF($D481&lt;&gt;"Serviço",0,IF(AND(AUTOEVENTO="Manual",$M481=1),0,IF(OFFSET(CRONOPLE!$F$14,$M481,AV$13)="",10^12,OFFSET(CRONOPLE!$F$14,$M481,AV$13))))</f>
        <v>1000000000000</v>
      </c>
      <c r="AX481" s="182">
        <f ca="1">IF($D481&lt;&gt;"Serviço",0,IF(OR(AND(AUTOEVENTO="Manual",$M481=1),$M481&gt;(ROW(PLE.lastrow)-ROW(PLE.firstrow))),0,IF(OFFSET(PLE!$G$14,$M481,AX$13)="",10^12,OFFSET(PLE!$G$14,$M481,AX$13))))</f>
        <v>1000000000000</v>
      </c>
      <c r="AY481" s="182">
        <f ca="1">IF($D481&lt;&gt;"Serviço",0,IF(OR(AND(AUTOEVENTO="Manual",$M481=1),$M481&gt;(ROW(PLE.lastrow)-ROW(PLE.firstrow))),0,IF(OFFSET(PLE!$G$14,$M481,AY$13)="",10^12,OFFSET(PLE!$G$14,$M481,AY$13))))</f>
        <v>1000000000000</v>
      </c>
      <c r="AZ481" s="182">
        <f ca="1">IF($D481&lt;&gt;"Serviço",0,IF(OR(AND(AUTOEVENTO="Manual",$M481=1),$M481&gt;(ROW(PLE.lastrow)-ROW(PLE.firstrow))),0,IF(OFFSET(PLE!$G$14,$M481,AZ$13)="",10^12,OFFSET(PLE!$G$14,$M481,AZ$13))))</f>
        <v>1000000000000</v>
      </c>
      <c r="BA481" s="182">
        <f ca="1">IF($D481&lt;&gt;"Serviço",0,IF(OR(AND(AUTOEVENTO="Manual",$M481=1),$M481&gt;(ROW(PLE.lastrow)-ROW(PLE.firstrow))),0,IF(OFFSET(PLE!$G$14,$M481,BA$13)="",10^12,OFFSET(PLE!$G$14,$M481,BA$13))))</f>
        <v>1000000000000</v>
      </c>
      <c r="BB481" s="182">
        <f ca="1">IF($D481&lt;&gt;"Serviço",0,IF(OR(AND(AUTOEVENTO="Manual",$M481=1),$M481&gt;(ROW(PLE.lastrow)-ROW(PLE.firstrow))),0,IF(OFFSET(PLE!$G$14,$M481,BB$13)="",10^12,OFFSET(PLE!$G$14,$M481,BB$13))))</f>
        <v>1000000000000</v>
      </c>
      <c r="BC481" s="182">
        <f ca="1">IF($D481&lt;&gt;"Serviço",0,IF(OR(AND(AUTOEVENTO="Manual",$M481=1),$M481&gt;(ROW(PLE.lastrow)-ROW(PLE.firstrow))),0,IF(OFFSET(PLE!$G$14,$M481,BC$13)="",10^12,OFFSET(PLE!$G$14,$M481,BC$13))))</f>
        <v>1000000000000</v>
      </c>
      <c r="BD481" s="182">
        <f ca="1">IF($D481&lt;&gt;"Serviço",0,IF(OR(AND(AUTOEVENTO="Manual",$M481=1),$M481&gt;(ROW(PLE.lastrow)-ROW(PLE.firstrow))),0,IF(OFFSET(PLE!$G$14,$M481,BD$13)="",10^12,OFFSET(PLE!$G$14,$M481,BD$13))))</f>
        <v>1000000000000</v>
      </c>
      <c r="BE481" s="182">
        <f ca="1">IF($D481&lt;&gt;"Serviço",0,IF(OR(AND(AUTOEVENTO="Manual",$M481=1),$M481&gt;(ROW(PLE.lastrow)-ROW(PLE.firstrow))),0,IF(OFFSET(PLE!$G$14,$M481,BE$13)="",10^12,OFFSET(PLE!$G$14,$M481,BE$13))))</f>
        <v>1000000000000</v>
      </c>
      <c r="BF481" s="182">
        <f ca="1">IF($D481&lt;&gt;"Serviço",0,IF(OR(AND(AUTOEVENTO="Manual",$M481=1),$M481&gt;(ROW(PLE.lastrow)-ROW(PLE.firstrow))),0,IF(OFFSET(PLE!$G$14,$M481,BF$13)="",10^12,OFFSET(PLE!$G$14,$M481,BF$13))))</f>
        <v>1000000000000</v>
      </c>
      <c r="BG481" s="182">
        <f ca="1">IF($D481&lt;&gt;"Serviço",0,IF(OR(AND(AUTOEVENTO="Manual",$M481=1),$M481&gt;(ROW(PLE.lastrow)-ROW(PLE.firstrow))),0,IF(OFFSET(PLE!$G$14,$M481,BG$13)="",10^12,OFFSET(PLE!$G$14,$M481,BG$13))))</f>
        <v>1000000000000</v>
      </c>
    </row>
    <row r="482" spans="1:59" ht="25.5" x14ac:dyDescent="0.2">
      <c r="A482" s="7" t="str">
        <f t="shared" ca="1" si="11"/>
        <v>411</v>
      </c>
      <c r="B482" s="7" t="str">
        <f ca="1">OFFSET(ORÇAMENTO!C$15,ROW(B482)-ROW(B$15),0)</f>
        <v>S</v>
      </c>
      <c r="C482" s="7" t="str">
        <f ca="1">OFFSET(ORÇAMENTO!L$15,ROW(C482)-ROW(C$15),0)</f>
        <v/>
      </c>
      <c r="D482" s="118" t="str">
        <f ca="1">OFFSET(ORÇAMENTO!N$15,ROW(D482)-ROW(D$15),0)</f>
        <v>Serviço</v>
      </c>
      <c r="E482" s="119" t="str">
        <f ca="1">OFFSET(ORÇAMENTO!O$15,ROW(E482)-ROW(E$15),0)</f>
        <v>-</v>
      </c>
      <c r="F482" s="172" t="str">
        <f ca="1">OFFSET(ORÇAMENTO!R$15,ROW(F482)-ROW(F$15),0)</f>
        <v>(abra o arquivo 'Referência 02-2025.xlsm)</v>
      </c>
      <c r="G482" s="173" t="str">
        <f ca="1">IF($D482&lt;&gt;"Serviço","",OFFSET(ORÇAMENTO!S$15,ROW(G482)-ROW(G$15),0))</f>
        <v>-</v>
      </c>
      <c r="H482" s="124">
        <f ca="1">IF($D482&lt;&gt;"Serviço",0,IF(ACOMPANHAMENTO="BM",ROUND(OFFSET(ORÇAMENTO!AJ$15,ROW(H482)-ROW(H$15),0),15-13*ORÇAMENTO!$AF$7),SUMPRODUCT(($Q$12:$AA$12&lt;&gt;"")*ROUND($Q482:$AA482,15-13*ORÇAMENTO!$AF$7))))</f>
        <v>9</v>
      </c>
      <c r="I482" s="561" t="s">
        <v>890</v>
      </c>
      <c r="K482" s="174"/>
      <c r="L482" s="175" t="s">
        <v>255</v>
      </c>
      <c r="M482" s="176">
        <f ca="1">IF($D482&lt;&gt;"Serviço","",IF(AUTOEVENTO="manual",$A482,IF(ISERROR(MATCH($A482,$A$15:OFFSET($A482,-1,0),0)),MAX($M$15:OFFSET(M482,-1,0))+1,INDEX($M$15:OFFSET(M482,-1,0),MATCH($A482,$A$15:OFFSET($A482,-1,0),0)))))</f>
        <v>17</v>
      </c>
      <c r="N482" s="177" t="str">
        <f ca="1">IF($D482&lt;&gt;"Serviço","",IF(AUTOEVENTO="Manual",IF($A482=0,"&lt;-- defina o número do agrupador",OFFSET(EVENTOS!$D$14,$A482,0)),OFFSET($F$15,$A482,0)))</f>
        <v>SISTEMA DE PROTEÇÃO CONTRA INCÊNDIO</v>
      </c>
      <c r="O482" s="178"/>
      <c r="Q482" s="178"/>
      <c r="R482" s="179"/>
      <c r="S482" s="179"/>
      <c r="T482" s="179"/>
      <c r="U482" s="179"/>
      <c r="V482" s="179"/>
      <c r="W482" s="179"/>
      <c r="X482" s="179"/>
      <c r="Y482" s="179"/>
      <c r="Z482" s="180"/>
      <c r="AB482" s="544">
        <f ca="1">IF(AND($D482="Serviço",AB$12&lt;&gt;0,$H482&gt;0,OR(AUTOEVENTO&lt;&gt;"manual",$M482&lt;&gt;1)),
IF(Import.TipoArredondamento&lt;&gt;"TransfereGOV",
ROUND(OFFSET($P482,0,AB$13),15-13*ORÇAMENTO!$AF$7)/$H482*OFFSET(ORÇAMENTO!$X$15,ROW(AB482)-ROW(AB$15),0),
ROUND(ROUND(OFFSET($P482,0,AB$13),15-13*ORÇAMENTO!$AF$7)*OFFSET(ORÇAMENTO!$W$15,ROW(AB482)-ROW(AB$15),0),15-13*ORÇAMENTO!$AF$11)),0)</f>
        <v>0</v>
      </c>
      <c r="AC482" s="545">
        <f ca="1">IF(AND($D482="Serviço",AC$12&lt;&gt;0,$H482&gt;0,OR(AUTOEVENTO&lt;&gt;"manual",$M482&lt;&gt;1)),
IF(Import.TipoArredondamento&lt;&gt;"TransfereGOV",
ROUND(OFFSET($P482,0,AC$13),15-13*ORÇAMENTO!$AF$7)/$H482*OFFSET(ORÇAMENTO!$X$15,ROW(AC482)-ROW(AC$15),0),
ROUND(ROUND(OFFSET($P482,0,AC$13),15-13*ORÇAMENTO!$AF$7)*OFFSET(ORÇAMENTO!$W$15,ROW(AC482)-ROW(AC$15),0),15-13*ORÇAMENTO!$AF$11)),0)</f>
        <v>0</v>
      </c>
      <c r="AD482" s="545">
        <f ca="1">IF(AND($D482="Serviço",AD$12&lt;&gt;0,$H482&gt;0,OR(AUTOEVENTO&lt;&gt;"manual",$M482&lt;&gt;1)),
IF(Import.TipoArredondamento&lt;&gt;"TransfereGOV",
ROUND(OFFSET($P482,0,AD$13),15-13*ORÇAMENTO!$AF$7)/$H482*OFFSET(ORÇAMENTO!$X$15,ROW(AD482)-ROW(AD$15),0),
ROUND(ROUND(OFFSET($P482,0,AD$13),15-13*ORÇAMENTO!$AF$7)*OFFSET(ORÇAMENTO!$W$15,ROW(AD482)-ROW(AD$15),0),15-13*ORÇAMENTO!$AF$11)),0)</f>
        <v>0</v>
      </c>
      <c r="AE482" s="545">
        <f ca="1">IF(AND($D482="Serviço",AE$12&lt;&gt;0,$H482&gt;0,OR(AUTOEVENTO&lt;&gt;"manual",$M482&lt;&gt;1)),
IF(Import.TipoArredondamento&lt;&gt;"TransfereGOV",
ROUND(OFFSET($P482,0,AE$13),15-13*ORÇAMENTO!$AF$7)/$H482*OFFSET(ORÇAMENTO!$X$15,ROW(AE482)-ROW(AE$15),0),
ROUND(ROUND(OFFSET($P482,0,AE$13),15-13*ORÇAMENTO!$AF$7)*OFFSET(ORÇAMENTO!$W$15,ROW(AE482)-ROW(AE$15),0),15-13*ORÇAMENTO!$AF$11)),0)</f>
        <v>0</v>
      </c>
      <c r="AF482" s="545">
        <f ca="1">IF(AND($D482="Serviço",AF$12&lt;&gt;0,$H482&gt;0,OR(AUTOEVENTO&lt;&gt;"manual",$M482&lt;&gt;1)),
IF(Import.TipoArredondamento&lt;&gt;"TransfereGOV",
ROUND(OFFSET($P482,0,AF$13),15-13*ORÇAMENTO!$AF$7)/$H482*OFFSET(ORÇAMENTO!$X$15,ROW(AF482)-ROW(AF$15),0),
ROUND(ROUND(OFFSET($P482,0,AF$13),15-13*ORÇAMENTO!$AF$7)*OFFSET(ORÇAMENTO!$W$15,ROW(AF482)-ROW(AF$15),0),15-13*ORÇAMENTO!$AF$11)),0)</f>
        <v>0</v>
      </c>
      <c r="AG482" s="545">
        <f ca="1">IF(AND($D482="Serviço",AG$12&lt;&gt;0,$H482&gt;0,OR(AUTOEVENTO&lt;&gt;"manual",$M482&lt;&gt;1)),
IF(Import.TipoArredondamento&lt;&gt;"TransfereGOV",
ROUND(OFFSET($P482,0,AG$13),15-13*ORÇAMENTO!$AF$7)/$H482*OFFSET(ORÇAMENTO!$X$15,ROW(AG482)-ROW(AG$15),0),
ROUND(ROUND(OFFSET($P482,0,AG$13),15-13*ORÇAMENTO!$AF$7)*OFFSET(ORÇAMENTO!$W$15,ROW(AG482)-ROW(AG$15),0),15-13*ORÇAMENTO!$AF$11)),0)</f>
        <v>0</v>
      </c>
      <c r="AH482" s="545">
        <f ca="1">IF(AND($D482="Serviço",AH$12&lt;&gt;0,$H482&gt;0,OR(AUTOEVENTO&lt;&gt;"manual",$M482&lt;&gt;1)),
IF(Import.TipoArredondamento&lt;&gt;"TransfereGOV",
ROUND(OFFSET($P482,0,AH$13),15-13*ORÇAMENTO!$AF$7)/$H482*OFFSET(ORÇAMENTO!$X$15,ROW(AH482)-ROW(AH$15),0),
ROUND(ROUND(OFFSET($P482,0,AH$13),15-13*ORÇAMENTO!$AF$7)*OFFSET(ORÇAMENTO!$W$15,ROW(AH482)-ROW(AH$15),0),15-13*ORÇAMENTO!$AF$11)),0)</f>
        <v>0</v>
      </c>
      <c r="AI482" s="545">
        <f ca="1">IF(AND($D482="Serviço",AI$12&lt;&gt;0,$H482&gt;0,OR(AUTOEVENTO&lt;&gt;"manual",$M482&lt;&gt;1)),
IF(Import.TipoArredondamento&lt;&gt;"TransfereGOV",
ROUND(OFFSET($P482,0,AI$13),15-13*ORÇAMENTO!$AF$7)/$H482*OFFSET(ORÇAMENTO!$X$15,ROW(AI482)-ROW(AI$15),0),
ROUND(ROUND(OFFSET($P482,0,AI$13),15-13*ORÇAMENTO!$AF$7)*OFFSET(ORÇAMENTO!$W$15,ROW(AI482)-ROW(AI$15),0),15-13*ORÇAMENTO!$AF$11)),0)</f>
        <v>0</v>
      </c>
      <c r="AJ482" s="545">
        <f ca="1">IF(AND($D482="Serviço",AJ$12&lt;&gt;0,$H482&gt;0,OR(AUTOEVENTO&lt;&gt;"manual",$M482&lt;&gt;1)),
IF(Import.TipoArredondamento&lt;&gt;"TransfereGOV",
ROUND(OFFSET($P482,0,AJ$13),15-13*ORÇAMENTO!$AF$7)/$H482*OFFSET(ORÇAMENTO!$X$15,ROW(AJ482)-ROW(AJ$15),0),
ROUND(ROUND(OFFSET($P482,0,AJ$13),15-13*ORÇAMENTO!$AF$7)*OFFSET(ORÇAMENTO!$W$15,ROW(AJ482)-ROW(AJ$15),0),15-13*ORÇAMENTO!$AF$11)),0)</f>
        <v>0</v>
      </c>
      <c r="AK482" s="546">
        <f ca="1">IF(AND($D482="Serviço",AK$12&lt;&gt;0,$H482&gt;0,OR(AUTOEVENTO&lt;&gt;"manual",$M482&lt;&gt;1)),
IF(Import.TipoArredondamento&lt;&gt;"TransfereGOV",
ROUND(OFFSET($P482,0,AK$13),15-13*ORÇAMENTO!$AF$7)/$H482*OFFSET(ORÇAMENTO!$X$15,ROW(AK482)-ROW(AK$15),0),
ROUND(ROUND(OFFSET($P482,0,AK$13),15-13*ORÇAMENTO!$AF$7)*OFFSET(ORÇAMENTO!$W$15,ROW(AK482)-ROW(AK$15),0),15-13*ORÇAMENTO!$AF$11)),0)</f>
        <v>0</v>
      </c>
      <c r="AM482" s="181">
        <f ca="1">IF($D482&lt;&gt;"Serviço",0,IF(AND(AUTOEVENTO="Manual",$M482=1),0,IF(OFFSET(CRONOPLE!$F$14,$M482,AM$13)="",10^12,OFFSET(CRONOPLE!$F$14,$M482,AM$13))))</f>
        <v>1000000000000</v>
      </c>
      <c r="AN482" s="181">
        <f ca="1">IF($D482&lt;&gt;"Serviço",0,IF(AND(AUTOEVENTO="Manual",$M482=1),0,IF(OFFSET(CRONOPLE!$F$14,$M482,AN$13)="",10^12,OFFSET(CRONOPLE!$F$14,$M482,AN$13))))</f>
        <v>1000000000000</v>
      </c>
      <c r="AO482" s="181">
        <f ca="1">IF($D482&lt;&gt;"Serviço",0,IF(AND(AUTOEVENTO="Manual",$M482=1),0,IF(OFFSET(CRONOPLE!$F$14,$M482,AO$13)="",10^12,OFFSET(CRONOPLE!$F$14,$M482,AO$13))))</f>
        <v>1000000000000</v>
      </c>
      <c r="AP482" s="181">
        <f ca="1">IF($D482&lt;&gt;"Serviço",0,IF(AND(AUTOEVENTO="Manual",$M482=1),0,IF(OFFSET(CRONOPLE!$F$14,$M482,AP$13)="",10^12,OFFSET(CRONOPLE!$F$14,$M482,AP$13))))</f>
        <v>1000000000000</v>
      </c>
      <c r="AQ482" s="181">
        <f ca="1">IF($D482&lt;&gt;"Serviço",0,IF(AND(AUTOEVENTO="Manual",$M482=1),0,IF(OFFSET(CRONOPLE!$F$14,$M482,AQ$13)="",10^12,OFFSET(CRONOPLE!$F$14,$M482,AQ$13))))</f>
        <v>1000000000000</v>
      </c>
      <c r="AR482" s="181">
        <f ca="1">IF($D482&lt;&gt;"Serviço",0,IF(AND(AUTOEVENTO="Manual",$M482=1),0,IF(OFFSET(CRONOPLE!$F$14,$M482,AR$13)="",10^12,OFFSET(CRONOPLE!$F$14,$M482,AR$13))))</f>
        <v>1000000000000</v>
      </c>
      <c r="AS482" s="181">
        <f ca="1">IF($D482&lt;&gt;"Serviço",0,IF(AND(AUTOEVENTO="Manual",$M482=1),0,IF(OFFSET(CRONOPLE!$F$14,$M482,AS$13)="",10^12,OFFSET(CRONOPLE!$F$14,$M482,AS$13))))</f>
        <v>1000000000000</v>
      </c>
      <c r="AT482" s="181">
        <f ca="1">IF($D482&lt;&gt;"Serviço",0,IF(AND(AUTOEVENTO="Manual",$M482=1),0,IF(OFFSET(CRONOPLE!$F$14,$M482,AT$13)="",10^12,OFFSET(CRONOPLE!$F$14,$M482,AT$13))))</f>
        <v>1000000000000</v>
      </c>
      <c r="AU482" s="181">
        <f ca="1">IF($D482&lt;&gt;"Serviço",0,IF(AND(AUTOEVENTO="Manual",$M482=1),0,IF(OFFSET(CRONOPLE!$F$14,$M482,AU$13)="",10^12,OFFSET(CRONOPLE!$F$14,$M482,AU$13))))</f>
        <v>1000000000000</v>
      </c>
      <c r="AV482" s="181">
        <f ca="1">IF($D482&lt;&gt;"Serviço",0,IF(AND(AUTOEVENTO="Manual",$M482=1),0,IF(OFFSET(CRONOPLE!$F$14,$M482,AV$13)="",10^12,OFFSET(CRONOPLE!$F$14,$M482,AV$13))))</f>
        <v>1000000000000</v>
      </c>
      <c r="AX482" s="182">
        <f ca="1">IF($D482&lt;&gt;"Serviço",0,IF(OR(AND(AUTOEVENTO="Manual",$M482=1),$M482&gt;(ROW(PLE.lastrow)-ROW(PLE.firstrow))),0,IF(OFFSET(PLE!$G$14,$M482,AX$13)="",10^12,OFFSET(PLE!$G$14,$M482,AX$13))))</f>
        <v>1000000000000</v>
      </c>
      <c r="AY482" s="182">
        <f ca="1">IF($D482&lt;&gt;"Serviço",0,IF(OR(AND(AUTOEVENTO="Manual",$M482=1),$M482&gt;(ROW(PLE.lastrow)-ROW(PLE.firstrow))),0,IF(OFFSET(PLE!$G$14,$M482,AY$13)="",10^12,OFFSET(PLE!$G$14,$M482,AY$13))))</f>
        <v>1000000000000</v>
      </c>
      <c r="AZ482" s="182">
        <f ca="1">IF($D482&lt;&gt;"Serviço",0,IF(OR(AND(AUTOEVENTO="Manual",$M482=1),$M482&gt;(ROW(PLE.lastrow)-ROW(PLE.firstrow))),0,IF(OFFSET(PLE!$G$14,$M482,AZ$13)="",10^12,OFFSET(PLE!$G$14,$M482,AZ$13))))</f>
        <v>1000000000000</v>
      </c>
      <c r="BA482" s="182">
        <f ca="1">IF($D482&lt;&gt;"Serviço",0,IF(OR(AND(AUTOEVENTO="Manual",$M482=1),$M482&gt;(ROW(PLE.lastrow)-ROW(PLE.firstrow))),0,IF(OFFSET(PLE!$G$14,$M482,BA$13)="",10^12,OFFSET(PLE!$G$14,$M482,BA$13))))</f>
        <v>1000000000000</v>
      </c>
      <c r="BB482" s="182">
        <f ca="1">IF($D482&lt;&gt;"Serviço",0,IF(OR(AND(AUTOEVENTO="Manual",$M482=1),$M482&gt;(ROW(PLE.lastrow)-ROW(PLE.firstrow))),0,IF(OFFSET(PLE!$G$14,$M482,BB$13)="",10^12,OFFSET(PLE!$G$14,$M482,BB$13))))</f>
        <v>1000000000000</v>
      </c>
      <c r="BC482" s="182">
        <f ca="1">IF($D482&lt;&gt;"Serviço",0,IF(OR(AND(AUTOEVENTO="Manual",$M482=1),$M482&gt;(ROW(PLE.lastrow)-ROW(PLE.firstrow))),0,IF(OFFSET(PLE!$G$14,$M482,BC$13)="",10^12,OFFSET(PLE!$G$14,$M482,BC$13))))</f>
        <v>1000000000000</v>
      </c>
      <c r="BD482" s="182">
        <f ca="1">IF($D482&lt;&gt;"Serviço",0,IF(OR(AND(AUTOEVENTO="Manual",$M482=1),$M482&gt;(ROW(PLE.lastrow)-ROW(PLE.firstrow))),0,IF(OFFSET(PLE!$G$14,$M482,BD$13)="",10^12,OFFSET(PLE!$G$14,$M482,BD$13))))</f>
        <v>1000000000000</v>
      </c>
      <c r="BE482" s="182">
        <f ca="1">IF($D482&lt;&gt;"Serviço",0,IF(OR(AND(AUTOEVENTO="Manual",$M482=1),$M482&gt;(ROW(PLE.lastrow)-ROW(PLE.firstrow))),0,IF(OFFSET(PLE!$G$14,$M482,BE$13)="",10^12,OFFSET(PLE!$G$14,$M482,BE$13))))</f>
        <v>1000000000000</v>
      </c>
      <c r="BF482" s="182">
        <f ca="1">IF($D482&lt;&gt;"Serviço",0,IF(OR(AND(AUTOEVENTO="Manual",$M482=1),$M482&gt;(ROW(PLE.lastrow)-ROW(PLE.firstrow))),0,IF(OFFSET(PLE!$G$14,$M482,BF$13)="",10^12,OFFSET(PLE!$G$14,$M482,BF$13))))</f>
        <v>1000000000000</v>
      </c>
      <c r="BG482" s="182">
        <f ca="1">IF($D482&lt;&gt;"Serviço",0,IF(OR(AND(AUTOEVENTO="Manual",$M482=1),$M482&gt;(ROW(PLE.lastrow)-ROW(PLE.firstrow))),0,IF(OFFSET(PLE!$G$14,$M482,BG$13)="",10^12,OFFSET(PLE!$G$14,$M482,BG$13))))</f>
        <v>1000000000000</v>
      </c>
    </row>
    <row r="483" spans="1:59" ht="12.75" x14ac:dyDescent="0.2">
      <c r="A483" s="7" t="str">
        <f t="shared" ca="1" si="11"/>
        <v>411</v>
      </c>
      <c r="B483" s="7">
        <f ca="1">OFFSET(ORÇAMENTO!C$15,ROW(B483)-ROW(B$15),0)</f>
        <v>3</v>
      </c>
      <c r="C483" s="7" t="str">
        <f ca="1">OFFSET(ORÇAMENTO!L$15,ROW(C483)-ROW(C$15),0)</f>
        <v>F</v>
      </c>
      <c r="D483" s="118" t="str">
        <f ca="1">OFFSET(ORÇAMENTO!N$15,ROW(D483)-ROW(D$15),0)</f>
        <v>Nível 3</v>
      </c>
      <c r="E483" s="119" t="str">
        <f ca="1">OFFSET(ORÇAMENTO!O$15,ROW(E483)-ROW(E$15),0)</f>
        <v>1.16.5.</v>
      </c>
      <c r="F483" s="172" t="str">
        <f ca="1">OFFSET(ORÇAMENTO!R$15,ROW(F483)-ROW(F$15),0)</f>
        <v>SINALIZAÇÕES</v>
      </c>
      <c r="G483" s="173" t="str">
        <f ca="1">IF($D483&lt;&gt;"Serviço","",OFFSET(ORÇAMENTO!S$15,ROW(G483)-ROW(G$15),0))</f>
        <v/>
      </c>
      <c r="H483" s="124">
        <f ca="1">IF($D483&lt;&gt;"Serviço",0,IF(ACOMPANHAMENTO="BM",ROUND(OFFSET(ORÇAMENTO!AJ$15,ROW(H483)-ROW(H$15),0),15-13*ORÇAMENTO!$AF$7),SUMPRODUCT(($Q$12:$AA$12&lt;&gt;"")*ROUND($Q483:$AA483,15-13*ORÇAMENTO!$AF$7))))</f>
        <v>0</v>
      </c>
      <c r="I483" s="561"/>
      <c r="K483" s="174"/>
      <c r="L483" s="175" t="s">
        <v>255</v>
      </c>
      <c r="M483" s="176" t="str">
        <f ca="1">IF($D483&lt;&gt;"Serviço","",IF(AUTOEVENTO="manual",$A483,IF(ISERROR(MATCH($A483,$A$15:OFFSET($A483,-1,0),0)),MAX($M$15:OFFSET(M483,-1,0))+1,INDEX($M$15:OFFSET(M483,-1,0),MATCH($A483,$A$15:OFFSET($A483,-1,0),0)))))</f>
        <v/>
      </c>
      <c r="N483" s="177" t="str">
        <f ca="1">IF($D483&lt;&gt;"Serviço","",IF(AUTOEVENTO="Manual",IF($A483=0,"&lt;-- defina o número do agrupador",OFFSET(EVENTOS!$D$14,$A483,0)),OFFSET($F$15,$A483,0)))</f>
        <v/>
      </c>
      <c r="O483" s="178"/>
      <c r="Q483" s="178"/>
      <c r="R483" s="179"/>
      <c r="S483" s="179"/>
      <c r="T483" s="179"/>
      <c r="U483" s="179"/>
      <c r="V483" s="179"/>
      <c r="W483" s="179"/>
      <c r="X483" s="179"/>
      <c r="Y483" s="179"/>
      <c r="Z483" s="180"/>
      <c r="AB483" s="544">
        <f ca="1">IF(AND($D483="Serviço",AB$12&lt;&gt;0,$H483&gt;0,OR(AUTOEVENTO&lt;&gt;"manual",$M483&lt;&gt;1)),
IF(Import.TipoArredondamento&lt;&gt;"TransfereGOV",
ROUND(OFFSET($P483,0,AB$13),15-13*ORÇAMENTO!$AF$7)/$H483*OFFSET(ORÇAMENTO!$X$15,ROW(AB483)-ROW(AB$15),0),
ROUND(ROUND(OFFSET($P483,0,AB$13),15-13*ORÇAMENTO!$AF$7)*OFFSET(ORÇAMENTO!$W$15,ROW(AB483)-ROW(AB$15),0),15-13*ORÇAMENTO!$AF$11)),0)</f>
        <v>0</v>
      </c>
      <c r="AC483" s="545">
        <f ca="1">IF(AND($D483="Serviço",AC$12&lt;&gt;0,$H483&gt;0,OR(AUTOEVENTO&lt;&gt;"manual",$M483&lt;&gt;1)),
IF(Import.TipoArredondamento&lt;&gt;"TransfereGOV",
ROUND(OFFSET($P483,0,AC$13),15-13*ORÇAMENTO!$AF$7)/$H483*OFFSET(ORÇAMENTO!$X$15,ROW(AC483)-ROW(AC$15),0),
ROUND(ROUND(OFFSET($P483,0,AC$13),15-13*ORÇAMENTO!$AF$7)*OFFSET(ORÇAMENTO!$W$15,ROW(AC483)-ROW(AC$15),0),15-13*ORÇAMENTO!$AF$11)),0)</f>
        <v>0</v>
      </c>
      <c r="AD483" s="545">
        <f ca="1">IF(AND($D483="Serviço",AD$12&lt;&gt;0,$H483&gt;0,OR(AUTOEVENTO&lt;&gt;"manual",$M483&lt;&gt;1)),
IF(Import.TipoArredondamento&lt;&gt;"TransfereGOV",
ROUND(OFFSET($P483,0,AD$13),15-13*ORÇAMENTO!$AF$7)/$H483*OFFSET(ORÇAMENTO!$X$15,ROW(AD483)-ROW(AD$15),0),
ROUND(ROUND(OFFSET($P483,0,AD$13),15-13*ORÇAMENTO!$AF$7)*OFFSET(ORÇAMENTO!$W$15,ROW(AD483)-ROW(AD$15),0),15-13*ORÇAMENTO!$AF$11)),0)</f>
        <v>0</v>
      </c>
      <c r="AE483" s="545">
        <f ca="1">IF(AND($D483="Serviço",AE$12&lt;&gt;0,$H483&gt;0,OR(AUTOEVENTO&lt;&gt;"manual",$M483&lt;&gt;1)),
IF(Import.TipoArredondamento&lt;&gt;"TransfereGOV",
ROUND(OFFSET($P483,0,AE$13),15-13*ORÇAMENTO!$AF$7)/$H483*OFFSET(ORÇAMENTO!$X$15,ROW(AE483)-ROW(AE$15),0),
ROUND(ROUND(OFFSET($P483,0,AE$13),15-13*ORÇAMENTO!$AF$7)*OFFSET(ORÇAMENTO!$W$15,ROW(AE483)-ROW(AE$15),0),15-13*ORÇAMENTO!$AF$11)),0)</f>
        <v>0</v>
      </c>
      <c r="AF483" s="545">
        <f ca="1">IF(AND($D483="Serviço",AF$12&lt;&gt;0,$H483&gt;0,OR(AUTOEVENTO&lt;&gt;"manual",$M483&lt;&gt;1)),
IF(Import.TipoArredondamento&lt;&gt;"TransfereGOV",
ROUND(OFFSET($P483,0,AF$13),15-13*ORÇAMENTO!$AF$7)/$H483*OFFSET(ORÇAMENTO!$X$15,ROW(AF483)-ROW(AF$15),0),
ROUND(ROUND(OFFSET($P483,0,AF$13),15-13*ORÇAMENTO!$AF$7)*OFFSET(ORÇAMENTO!$W$15,ROW(AF483)-ROW(AF$15),0),15-13*ORÇAMENTO!$AF$11)),0)</f>
        <v>0</v>
      </c>
      <c r="AG483" s="545">
        <f ca="1">IF(AND($D483="Serviço",AG$12&lt;&gt;0,$H483&gt;0,OR(AUTOEVENTO&lt;&gt;"manual",$M483&lt;&gt;1)),
IF(Import.TipoArredondamento&lt;&gt;"TransfereGOV",
ROUND(OFFSET($P483,0,AG$13),15-13*ORÇAMENTO!$AF$7)/$H483*OFFSET(ORÇAMENTO!$X$15,ROW(AG483)-ROW(AG$15),0),
ROUND(ROUND(OFFSET($P483,0,AG$13),15-13*ORÇAMENTO!$AF$7)*OFFSET(ORÇAMENTO!$W$15,ROW(AG483)-ROW(AG$15),0),15-13*ORÇAMENTO!$AF$11)),0)</f>
        <v>0</v>
      </c>
      <c r="AH483" s="545">
        <f ca="1">IF(AND($D483="Serviço",AH$12&lt;&gt;0,$H483&gt;0,OR(AUTOEVENTO&lt;&gt;"manual",$M483&lt;&gt;1)),
IF(Import.TipoArredondamento&lt;&gt;"TransfereGOV",
ROUND(OFFSET($P483,0,AH$13),15-13*ORÇAMENTO!$AF$7)/$H483*OFFSET(ORÇAMENTO!$X$15,ROW(AH483)-ROW(AH$15),0),
ROUND(ROUND(OFFSET($P483,0,AH$13),15-13*ORÇAMENTO!$AF$7)*OFFSET(ORÇAMENTO!$W$15,ROW(AH483)-ROW(AH$15),0),15-13*ORÇAMENTO!$AF$11)),0)</f>
        <v>0</v>
      </c>
      <c r="AI483" s="545">
        <f ca="1">IF(AND($D483="Serviço",AI$12&lt;&gt;0,$H483&gt;0,OR(AUTOEVENTO&lt;&gt;"manual",$M483&lt;&gt;1)),
IF(Import.TipoArredondamento&lt;&gt;"TransfereGOV",
ROUND(OFFSET($P483,0,AI$13),15-13*ORÇAMENTO!$AF$7)/$H483*OFFSET(ORÇAMENTO!$X$15,ROW(AI483)-ROW(AI$15),0),
ROUND(ROUND(OFFSET($P483,0,AI$13),15-13*ORÇAMENTO!$AF$7)*OFFSET(ORÇAMENTO!$W$15,ROW(AI483)-ROW(AI$15),0),15-13*ORÇAMENTO!$AF$11)),0)</f>
        <v>0</v>
      </c>
      <c r="AJ483" s="545">
        <f ca="1">IF(AND($D483="Serviço",AJ$12&lt;&gt;0,$H483&gt;0,OR(AUTOEVENTO&lt;&gt;"manual",$M483&lt;&gt;1)),
IF(Import.TipoArredondamento&lt;&gt;"TransfereGOV",
ROUND(OFFSET($P483,0,AJ$13),15-13*ORÇAMENTO!$AF$7)/$H483*OFFSET(ORÇAMENTO!$X$15,ROW(AJ483)-ROW(AJ$15),0),
ROUND(ROUND(OFFSET($P483,0,AJ$13),15-13*ORÇAMENTO!$AF$7)*OFFSET(ORÇAMENTO!$W$15,ROW(AJ483)-ROW(AJ$15),0),15-13*ORÇAMENTO!$AF$11)),0)</f>
        <v>0</v>
      </c>
      <c r="AK483" s="546">
        <f ca="1">IF(AND($D483="Serviço",AK$12&lt;&gt;0,$H483&gt;0,OR(AUTOEVENTO&lt;&gt;"manual",$M483&lt;&gt;1)),
IF(Import.TipoArredondamento&lt;&gt;"TransfereGOV",
ROUND(OFFSET($P483,0,AK$13),15-13*ORÇAMENTO!$AF$7)/$H483*OFFSET(ORÇAMENTO!$X$15,ROW(AK483)-ROW(AK$15),0),
ROUND(ROUND(OFFSET($P483,0,AK$13),15-13*ORÇAMENTO!$AF$7)*OFFSET(ORÇAMENTO!$W$15,ROW(AK483)-ROW(AK$15),0),15-13*ORÇAMENTO!$AF$11)),0)</f>
        <v>0</v>
      </c>
      <c r="AM483" s="181">
        <f ca="1">IF($D483&lt;&gt;"Serviço",0,IF(AND(AUTOEVENTO="Manual",$M483=1),0,IF(OFFSET(CRONOPLE!$F$14,$M483,AM$13)="",10^12,OFFSET(CRONOPLE!$F$14,$M483,AM$13))))</f>
        <v>0</v>
      </c>
      <c r="AN483" s="181">
        <f ca="1">IF($D483&lt;&gt;"Serviço",0,IF(AND(AUTOEVENTO="Manual",$M483=1),0,IF(OFFSET(CRONOPLE!$F$14,$M483,AN$13)="",10^12,OFFSET(CRONOPLE!$F$14,$M483,AN$13))))</f>
        <v>0</v>
      </c>
      <c r="AO483" s="181">
        <f ca="1">IF($D483&lt;&gt;"Serviço",0,IF(AND(AUTOEVENTO="Manual",$M483=1),0,IF(OFFSET(CRONOPLE!$F$14,$M483,AO$13)="",10^12,OFFSET(CRONOPLE!$F$14,$M483,AO$13))))</f>
        <v>0</v>
      </c>
      <c r="AP483" s="181">
        <f ca="1">IF($D483&lt;&gt;"Serviço",0,IF(AND(AUTOEVENTO="Manual",$M483=1),0,IF(OFFSET(CRONOPLE!$F$14,$M483,AP$13)="",10^12,OFFSET(CRONOPLE!$F$14,$M483,AP$13))))</f>
        <v>0</v>
      </c>
      <c r="AQ483" s="181">
        <f ca="1">IF($D483&lt;&gt;"Serviço",0,IF(AND(AUTOEVENTO="Manual",$M483=1),0,IF(OFFSET(CRONOPLE!$F$14,$M483,AQ$13)="",10^12,OFFSET(CRONOPLE!$F$14,$M483,AQ$13))))</f>
        <v>0</v>
      </c>
      <c r="AR483" s="181">
        <f ca="1">IF($D483&lt;&gt;"Serviço",0,IF(AND(AUTOEVENTO="Manual",$M483=1),0,IF(OFFSET(CRONOPLE!$F$14,$M483,AR$13)="",10^12,OFFSET(CRONOPLE!$F$14,$M483,AR$13))))</f>
        <v>0</v>
      </c>
      <c r="AS483" s="181">
        <f ca="1">IF($D483&lt;&gt;"Serviço",0,IF(AND(AUTOEVENTO="Manual",$M483=1),0,IF(OFFSET(CRONOPLE!$F$14,$M483,AS$13)="",10^12,OFFSET(CRONOPLE!$F$14,$M483,AS$13))))</f>
        <v>0</v>
      </c>
      <c r="AT483" s="181">
        <f ca="1">IF($D483&lt;&gt;"Serviço",0,IF(AND(AUTOEVENTO="Manual",$M483=1),0,IF(OFFSET(CRONOPLE!$F$14,$M483,AT$13)="",10^12,OFFSET(CRONOPLE!$F$14,$M483,AT$13))))</f>
        <v>0</v>
      </c>
      <c r="AU483" s="181">
        <f ca="1">IF($D483&lt;&gt;"Serviço",0,IF(AND(AUTOEVENTO="Manual",$M483=1),0,IF(OFFSET(CRONOPLE!$F$14,$M483,AU$13)="",10^12,OFFSET(CRONOPLE!$F$14,$M483,AU$13))))</f>
        <v>0</v>
      </c>
      <c r="AV483" s="181">
        <f ca="1">IF($D483&lt;&gt;"Serviço",0,IF(AND(AUTOEVENTO="Manual",$M483=1),0,IF(OFFSET(CRONOPLE!$F$14,$M483,AV$13)="",10^12,OFFSET(CRONOPLE!$F$14,$M483,AV$13))))</f>
        <v>0</v>
      </c>
      <c r="AX483" s="182">
        <f ca="1">IF($D483&lt;&gt;"Serviço",0,IF(OR(AND(AUTOEVENTO="Manual",$M483=1),$M483&gt;(ROW(PLE.lastrow)-ROW(PLE.firstrow))),0,IF(OFFSET(PLE!$G$14,$M483,AX$13)="",10^12,OFFSET(PLE!$G$14,$M483,AX$13))))</f>
        <v>0</v>
      </c>
      <c r="AY483" s="182">
        <f ca="1">IF($D483&lt;&gt;"Serviço",0,IF(OR(AND(AUTOEVENTO="Manual",$M483=1),$M483&gt;(ROW(PLE.lastrow)-ROW(PLE.firstrow))),0,IF(OFFSET(PLE!$G$14,$M483,AY$13)="",10^12,OFFSET(PLE!$G$14,$M483,AY$13))))</f>
        <v>0</v>
      </c>
      <c r="AZ483" s="182">
        <f ca="1">IF($D483&lt;&gt;"Serviço",0,IF(OR(AND(AUTOEVENTO="Manual",$M483=1),$M483&gt;(ROW(PLE.lastrow)-ROW(PLE.firstrow))),0,IF(OFFSET(PLE!$G$14,$M483,AZ$13)="",10^12,OFFSET(PLE!$G$14,$M483,AZ$13))))</f>
        <v>0</v>
      </c>
      <c r="BA483" s="182">
        <f ca="1">IF($D483&lt;&gt;"Serviço",0,IF(OR(AND(AUTOEVENTO="Manual",$M483=1),$M483&gt;(ROW(PLE.lastrow)-ROW(PLE.firstrow))),0,IF(OFFSET(PLE!$G$14,$M483,BA$13)="",10^12,OFFSET(PLE!$G$14,$M483,BA$13))))</f>
        <v>0</v>
      </c>
      <c r="BB483" s="182">
        <f ca="1">IF($D483&lt;&gt;"Serviço",0,IF(OR(AND(AUTOEVENTO="Manual",$M483=1),$M483&gt;(ROW(PLE.lastrow)-ROW(PLE.firstrow))),0,IF(OFFSET(PLE!$G$14,$M483,BB$13)="",10^12,OFFSET(PLE!$G$14,$M483,BB$13))))</f>
        <v>0</v>
      </c>
      <c r="BC483" s="182">
        <f ca="1">IF($D483&lt;&gt;"Serviço",0,IF(OR(AND(AUTOEVENTO="Manual",$M483=1),$M483&gt;(ROW(PLE.lastrow)-ROW(PLE.firstrow))),0,IF(OFFSET(PLE!$G$14,$M483,BC$13)="",10^12,OFFSET(PLE!$G$14,$M483,BC$13))))</f>
        <v>0</v>
      </c>
      <c r="BD483" s="182">
        <f ca="1">IF($D483&lt;&gt;"Serviço",0,IF(OR(AND(AUTOEVENTO="Manual",$M483=1),$M483&gt;(ROW(PLE.lastrow)-ROW(PLE.firstrow))),0,IF(OFFSET(PLE!$G$14,$M483,BD$13)="",10^12,OFFSET(PLE!$G$14,$M483,BD$13))))</f>
        <v>0</v>
      </c>
      <c r="BE483" s="182">
        <f ca="1">IF($D483&lt;&gt;"Serviço",0,IF(OR(AND(AUTOEVENTO="Manual",$M483=1),$M483&gt;(ROW(PLE.lastrow)-ROW(PLE.firstrow))),0,IF(OFFSET(PLE!$G$14,$M483,BE$13)="",10^12,OFFSET(PLE!$G$14,$M483,BE$13))))</f>
        <v>0</v>
      </c>
      <c r="BF483" s="182">
        <f ca="1">IF($D483&lt;&gt;"Serviço",0,IF(OR(AND(AUTOEVENTO="Manual",$M483=1),$M483&gt;(ROW(PLE.lastrow)-ROW(PLE.firstrow))),0,IF(OFFSET(PLE!$G$14,$M483,BF$13)="",10^12,OFFSET(PLE!$G$14,$M483,BF$13))))</f>
        <v>0</v>
      </c>
      <c r="BG483" s="182">
        <f ca="1">IF($D483&lt;&gt;"Serviço",0,IF(OR(AND(AUTOEVENTO="Manual",$M483=1),$M483&gt;(ROW(PLE.lastrow)-ROW(PLE.firstrow))),0,IF(OFFSET(PLE!$G$14,$M483,BG$13)="",10^12,OFFSET(PLE!$G$14,$M483,BG$13))))</f>
        <v>0</v>
      </c>
    </row>
    <row r="484" spans="1:59" ht="25.5" x14ac:dyDescent="0.2">
      <c r="A484" s="7" t="str">
        <f t="shared" ca="1" si="11"/>
        <v>411</v>
      </c>
      <c r="B484" s="7" t="str">
        <f ca="1">OFFSET(ORÇAMENTO!C$15,ROW(B484)-ROW(B$15),0)</f>
        <v>S</v>
      </c>
      <c r="C484" s="7" t="str">
        <f ca="1">OFFSET(ORÇAMENTO!L$15,ROW(C484)-ROW(C$15),0)</f>
        <v/>
      </c>
      <c r="D484" s="118" t="str">
        <f ca="1">OFFSET(ORÇAMENTO!N$15,ROW(D484)-ROW(D$15),0)</f>
        <v>Serviço</v>
      </c>
      <c r="E484" s="119" t="str">
        <f ca="1">OFFSET(ORÇAMENTO!O$15,ROW(E484)-ROW(E$15),0)</f>
        <v>-</v>
      </c>
      <c r="F484" s="172" t="str">
        <f ca="1">OFFSET(ORÇAMENTO!R$15,ROW(F484)-ROW(F$15),0)</f>
        <v>(abra o arquivo 'Referência 02-2025.xlsm)</v>
      </c>
      <c r="G484" s="173" t="str">
        <f ca="1">IF($D484&lt;&gt;"Serviço","",OFFSET(ORÇAMENTO!S$15,ROW(G484)-ROW(G$15),0))</f>
        <v>-</v>
      </c>
      <c r="H484" s="124">
        <f ca="1">IF($D484&lt;&gt;"Serviço",0,IF(ACOMPANHAMENTO="BM",ROUND(OFFSET(ORÇAMENTO!AJ$15,ROW(H484)-ROW(H$15),0),15-13*ORÇAMENTO!$AF$7),SUMPRODUCT(($Q$12:$AA$12&lt;&gt;"")*ROUND($Q484:$AA484,15-13*ORÇAMENTO!$AF$7))))</f>
        <v>30</v>
      </c>
      <c r="I484" s="561" t="s">
        <v>890</v>
      </c>
      <c r="K484" s="174"/>
      <c r="L484" s="175" t="s">
        <v>255</v>
      </c>
      <c r="M484" s="176">
        <f ca="1">IF($D484&lt;&gt;"Serviço","",IF(AUTOEVENTO="manual",$A484,IF(ISERROR(MATCH($A484,$A$15:OFFSET($A484,-1,0),0)),MAX($M$15:OFFSET(M484,-1,0))+1,INDEX($M$15:OFFSET(M484,-1,0),MATCH($A484,$A$15:OFFSET($A484,-1,0),0)))))</f>
        <v>17</v>
      </c>
      <c r="N484" s="177" t="str">
        <f ca="1">IF($D484&lt;&gt;"Serviço","",IF(AUTOEVENTO="Manual",IF($A484=0,"&lt;-- defina o número do agrupador",OFFSET(EVENTOS!$D$14,$A484,0)),OFFSET($F$15,$A484,0)))</f>
        <v>SISTEMA DE PROTEÇÃO CONTRA INCÊNDIO</v>
      </c>
      <c r="O484" s="178"/>
      <c r="Q484" s="178"/>
      <c r="R484" s="179"/>
      <c r="S484" s="179"/>
      <c r="T484" s="179"/>
      <c r="U484" s="179"/>
      <c r="V484" s="179"/>
      <c r="W484" s="179"/>
      <c r="X484" s="179"/>
      <c r="Y484" s="179"/>
      <c r="Z484" s="180"/>
      <c r="AB484" s="544">
        <f ca="1">IF(AND($D484="Serviço",AB$12&lt;&gt;0,$H484&gt;0,OR(AUTOEVENTO&lt;&gt;"manual",$M484&lt;&gt;1)),
IF(Import.TipoArredondamento&lt;&gt;"TransfereGOV",
ROUND(OFFSET($P484,0,AB$13),15-13*ORÇAMENTO!$AF$7)/$H484*OFFSET(ORÇAMENTO!$X$15,ROW(AB484)-ROW(AB$15),0),
ROUND(ROUND(OFFSET($P484,0,AB$13),15-13*ORÇAMENTO!$AF$7)*OFFSET(ORÇAMENTO!$W$15,ROW(AB484)-ROW(AB$15),0),15-13*ORÇAMENTO!$AF$11)),0)</f>
        <v>0</v>
      </c>
      <c r="AC484" s="545">
        <f ca="1">IF(AND($D484="Serviço",AC$12&lt;&gt;0,$H484&gt;0,OR(AUTOEVENTO&lt;&gt;"manual",$M484&lt;&gt;1)),
IF(Import.TipoArredondamento&lt;&gt;"TransfereGOV",
ROUND(OFFSET($P484,0,AC$13),15-13*ORÇAMENTO!$AF$7)/$H484*OFFSET(ORÇAMENTO!$X$15,ROW(AC484)-ROW(AC$15),0),
ROUND(ROUND(OFFSET($P484,0,AC$13),15-13*ORÇAMENTO!$AF$7)*OFFSET(ORÇAMENTO!$W$15,ROW(AC484)-ROW(AC$15),0),15-13*ORÇAMENTO!$AF$11)),0)</f>
        <v>0</v>
      </c>
      <c r="AD484" s="545">
        <f ca="1">IF(AND($D484="Serviço",AD$12&lt;&gt;0,$H484&gt;0,OR(AUTOEVENTO&lt;&gt;"manual",$M484&lt;&gt;1)),
IF(Import.TipoArredondamento&lt;&gt;"TransfereGOV",
ROUND(OFFSET($P484,0,AD$13),15-13*ORÇAMENTO!$AF$7)/$H484*OFFSET(ORÇAMENTO!$X$15,ROW(AD484)-ROW(AD$15),0),
ROUND(ROUND(OFFSET($P484,0,AD$13),15-13*ORÇAMENTO!$AF$7)*OFFSET(ORÇAMENTO!$W$15,ROW(AD484)-ROW(AD$15),0),15-13*ORÇAMENTO!$AF$11)),0)</f>
        <v>0</v>
      </c>
      <c r="AE484" s="545">
        <f ca="1">IF(AND($D484="Serviço",AE$12&lt;&gt;0,$H484&gt;0,OR(AUTOEVENTO&lt;&gt;"manual",$M484&lt;&gt;1)),
IF(Import.TipoArredondamento&lt;&gt;"TransfereGOV",
ROUND(OFFSET($P484,0,AE$13),15-13*ORÇAMENTO!$AF$7)/$H484*OFFSET(ORÇAMENTO!$X$15,ROW(AE484)-ROW(AE$15),0),
ROUND(ROUND(OFFSET($P484,0,AE$13),15-13*ORÇAMENTO!$AF$7)*OFFSET(ORÇAMENTO!$W$15,ROW(AE484)-ROW(AE$15),0),15-13*ORÇAMENTO!$AF$11)),0)</f>
        <v>0</v>
      </c>
      <c r="AF484" s="545">
        <f ca="1">IF(AND($D484="Serviço",AF$12&lt;&gt;0,$H484&gt;0,OR(AUTOEVENTO&lt;&gt;"manual",$M484&lt;&gt;1)),
IF(Import.TipoArredondamento&lt;&gt;"TransfereGOV",
ROUND(OFFSET($P484,0,AF$13),15-13*ORÇAMENTO!$AF$7)/$H484*OFFSET(ORÇAMENTO!$X$15,ROW(AF484)-ROW(AF$15),0),
ROUND(ROUND(OFFSET($P484,0,AF$13),15-13*ORÇAMENTO!$AF$7)*OFFSET(ORÇAMENTO!$W$15,ROW(AF484)-ROW(AF$15),0),15-13*ORÇAMENTO!$AF$11)),0)</f>
        <v>0</v>
      </c>
      <c r="AG484" s="545">
        <f ca="1">IF(AND($D484="Serviço",AG$12&lt;&gt;0,$H484&gt;0,OR(AUTOEVENTO&lt;&gt;"manual",$M484&lt;&gt;1)),
IF(Import.TipoArredondamento&lt;&gt;"TransfereGOV",
ROUND(OFFSET($P484,0,AG$13),15-13*ORÇAMENTO!$AF$7)/$H484*OFFSET(ORÇAMENTO!$X$15,ROW(AG484)-ROW(AG$15),0),
ROUND(ROUND(OFFSET($P484,0,AG$13),15-13*ORÇAMENTO!$AF$7)*OFFSET(ORÇAMENTO!$W$15,ROW(AG484)-ROW(AG$15),0),15-13*ORÇAMENTO!$AF$11)),0)</f>
        <v>0</v>
      </c>
      <c r="AH484" s="545">
        <f ca="1">IF(AND($D484="Serviço",AH$12&lt;&gt;0,$H484&gt;0,OR(AUTOEVENTO&lt;&gt;"manual",$M484&lt;&gt;1)),
IF(Import.TipoArredondamento&lt;&gt;"TransfereGOV",
ROUND(OFFSET($P484,0,AH$13),15-13*ORÇAMENTO!$AF$7)/$H484*OFFSET(ORÇAMENTO!$X$15,ROW(AH484)-ROW(AH$15),0),
ROUND(ROUND(OFFSET($P484,0,AH$13),15-13*ORÇAMENTO!$AF$7)*OFFSET(ORÇAMENTO!$W$15,ROW(AH484)-ROW(AH$15),0),15-13*ORÇAMENTO!$AF$11)),0)</f>
        <v>0</v>
      </c>
      <c r="AI484" s="545">
        <f ca="1">IF(AND($D484="Serviço",AI$12&lt;&gt;0,$H484&gt;0,OR(AUTOEVENTO&lt;&gt;"manual",$M484&lt;&gt;1)),
IF(Import.TipoArredondamento&lt;&gt;"TransfereGOV",
ROUND(OFFSET($P484,0,AI$13),15-13*ORÇAMENTO!$AF$7)/$H484*OFFSET(ORÇAMENTO!$X$15,ROW(AI484)-ROW(AI$15),0),
ROUND(ROUND(OFFSET($P484,0,AI$13),15-13*ORÇAMENTO!$AF$7)*OFFSET(ORÇAMENTO!$W$15,ROW(AI484)-ROW(AI$15),0),15-13*ORÇAMENTO!$AF$11)),0)</f>
        <v>0</v>
      </c>
      <c r="AJ484" s="545">
        <f ca="1">IF(AND($D484="Serviço",AJ$12&lt;&gt;0,$H484&gt;0,OR(AUTOEVENTO&lt;&gt;"manual",$M484&lt;&gt;1)),
IF(Import.TipoArredondamento&lt;&gt;"TransfereGOV",
ROUND(OFFSET($P484,0,AJ$13),15-13*ORÇAMENTO!$AF$7)/$H484*OFFSET(ORÇAMENTO!$X$15,ROW(AJ484)-ROW(AJ$15),0),
ROUND(ROUND(OFFSET($P484,0,AJ$13),15-13*ORÇAMENTO!$AF$7)*OFFSET(ORÇAMENTO!$W$15,ROW(AJ484)-ROW(AJ$15),0),15-13*ORÇAMENTO!$AF$11)),0)</f>
        <v>0</v>
      </c>
      <c r="AK484" s="546">
        <f ca="1">IF(AND($D484="Serviço",AK$12&lt;&gt;0,$H484&gt;0,OR(AUTOEVENTO&lt;&gt;"manual",$M484&lt;&gt;1)),
IF(Import.TipoArredondamento&lt;&gt;"TransfereGOV",
ROUND(OFFSET($P484,0,AK$13),15-13*ORÇAMENTO!$AF$7)/$H484*OFFSET(ORÇAMENTO!$X$15,ROW(AK484)-ROW(AK$15),0),
ROUND(ROUND(OFFSET($P484,0,AK$13),15-13*ORÇAMENTO!$AF$7)*OFFSET(ORÇAMENTO!$W$15,ROW(AK484)-ROW(AK$15),0),15-13*ORÇAMENTO!$AF$11)),0)</f>
        <v>0</v>
      </c>
      <c r="AM484" s="181">
        <f ca="1">IF($D484&lt;&gt;"Serviço",0,IF(AND(AUTOEVENTO="Manual",$M484=1),0,IF(OFFSET(CRONOPLE!$F$14,$M484,AM$13)="",10^12,OFFSET(CRONOPLE!$F$14,$M484,AM$13))))</f>
        <v>1000000000000</v>
      </c>
      <c r="AN484" s="181">
        <f ca="1">IF($D484&lt;&gt;"Serviço",0,IF(AND(AUTOEVENTO="Manual",$M484=1),0,IF(OFFSET(CRONOPLE!$F$14,$M484,AN$13)="",10^12,OFFSET(CRONOPLE!$F$14,$M484,AN$13))))</f>
        <v>1000000000000</v>
      </c>
      <c r="AO484" s="181">
        <f ca="1">IF($D484&lt;&gt;"Serviço",0,IF(AND(AUTOEVENTO="Manual",$M484=1),0,IF(OFFSET(CRONOPLE!$F$14,$M484,AO$13)="",10^12,OFFSET(CRONOPLE!$F$14,$M484,AO$13))))</f>
        <v>1000000000000</v>
      </c>
      <c r="AP484" s="181">
        <f ca="1">IF($D484&lt;&gt;"Serviço",0,IF(AND(AUTOEVENTO="Manual",$M484=1),0,IF(OFFSET(CRONOPLE!$F$14,$M484,AP$13)="",10^12,OFFSET(CRONOPLE!$F$14,$M484,AP$13))))</f>
        <v>1000000000000</v>
      </c>
      <c r="AQ484" s="181">
        <f ca="1">IF($D484&lt;&gt;"Serviço",0,IF(AND(AUTOEVENTO="Manual",$M484=1),0,IF(OFFSET(CRONOPLE!$F$14,$M484,AQ$13)="",10^12,OFFSET(CRONOPLE!$F$14,$M484,AQ$13))))</f>
        <v>1000000000000</v>
      </c>
      <c r="AR484" s="181">
        <f ca="1">IF($D484&lt;&gt;"Serviço",0,IF(AND(AUTOEVENTO="Manual",$M484=1),0,IF(OFFSET(CRONOPLE!$F$14,$M484,AR$13)="",10^12,OFFSET(CRONOPLE!$F$14,$M484,AR$13))))</f>
        <v>1000000000000</v>
      </c>
      <c r="AS484" s="181">
        <f ca="1">IF($D484&lt;&gt;"Serviço",0,IF(AND(AUTOEVENTO="Manual",$M484=1),0,IF(OFFSET(CRONOPLE!$F$14,$M484,AS$13)="",10^12,OFFSET(CRONOPLE!$F$14,$M484,AS$13))))</f>
        <v>1000000000000</v>
      </c>
      <c r="AT484" s="181">
        <f ca="1">IF($D484&lt;&gt;"Serviço",0,IF(AND(AUTOEVENTO="Manual",$M484=1),0,IF(OFFSET(CRONOPLE!$F$14,$M484,AT$13)="",10^12,OFFSET(CRONOPLE!$F$14,$M484,AT$13))))</f>
        <v>1000000000000</v>
      </c>
      <c r="AU484" s="181">
        <f ca="1">IF($D484&lt;&gt;"Serviço",0,IF(AND(AUTOEVENTO="Manual",$M484=1),0,IF(OFFSET(CRONOPLE!$F$14,$M484,AU$13)="",10^12,OFFSET(CRONOPLE!$F$14,$M484,AU$13))))</f>
        <v>1000000000000</v>
      </c>
      <c r="AV484" s="181">
        <f ca="1">IF($D484&lt;&gt;"Serviço",0,IF(AND(AUTOEVENTO="Manual",$M484=1),0,IF(OFFSET(CRONOPLE!$F$14,$M484,AV$13)="",10^12,OFFSET(CRONOPLE!$F$14,$M484,AV$13))))</f>
        <v>1000000000000</v>
      </c>
      <c r="AX484" s="182">
        <f ca="1">IF($D484&lt;&gt;"Serviço",0,IF(OR(AND(AUTOEVENTO="Manual",$M484=1),$M484&gt;(ROW(PLE.lastrow)-ROW(PLE.firstrow))),0,IF(OFFSET(PLE!$G$14,$M484,AX$13)="",10^12,OFFSET(PLE!$G$14,$M484,AX$13))))</f>
        <v>1000000000000</v>
      </c>
      <c r="AY484" s="182">
        <f ca="1">IF($D484&lt;&gt;"Serviço",0,IF(OR(AND(AUTOEVENTO="Manual",$M484=1),$M484&gt;(ROW(PLE.lastrow)-ROW(PLE.firstrow))),0,IF(OFFSET(PLE!$G$14,$M484,AY$13)="",10^12,OFFSET(PLE!$G$14,$M484,AY$13))))</f>
        <v>1000000000000</v>
      </c>
      <c r="AZ484" s="182">
        <f ca="1">IF($D484&lt;&gt;"Serviço",0,IF(OR(AND(AUTOEVENTO="Manual",$M484=1),$M484&gt;(ROW(PLE.lastrow)-ROW(PLE.firstrow))),0,IF(OFFSET(PLE!$G$14,$M484,AZ$13)="",10^12,OFFSET(PLE!$G$14,$M484,AZ$13))))</f>
        <v>1000000000000</v>
      </c>
      <c r="BA484" s="182">
        <f ca="1">IF($D484&lt;&gt;"Serviço",0,IF(OR(AND(AUTOEVENTO="Manual",$M484=1),$M484&gt;(ROW(PLE.lastrow)-ROW(PLE.firstrow))),0,IF(OFFSET(PLE!$G$14,$M484,BA$13)="",10^12,OFFSET(PLE!$G$14,$M484,BA$13))))</f>
        <v>1000000000000</v>
      </c>
      <c r="BB484" s="182">
        <f ca="1">IF($D484&lt;&gt;"Serviço",0,IF(OR(AND(AUTOEVENTO="Manual",$M484=1),$M484&gt;(ROW(PLE.lastrow)-ROW(PLE.firstrow))),0,IF(OFFSET(PLE!$G$14,$M484,BB$13)="",10^12,OFFSET(PLE!$G$14,$M484,BB$13))))</f>
        <v>1000000000000</v>
      </c>
      <c r="BC484" s="182">
        <f ca="1">IF($D484&lt;&gt;"Serviço",0,IF(OR(AND(AUTOEVENTO="Manual",$M484=1),$M484&gt;(ROW(PLE.lastrow)-ROW(PLE.firstrow))),0,IF(OFFSET(PLE!$G$14,$M484,BC$13)="",10^12,OFFSET(PLE!$G$14,$M484,BC$13))))</f>
        <v>1000000000000</v>
      </c>
      <c r="BD484" s="182">
        <f ca="1">IF($D484&lt;&gt;"Serviço",0,IF(OR(AND(AUTOEVENTO="Manual",$M484=1),$M484&gt;(ROW(PLE.lastrow)-ROW(PLE.firstrow))),0,IF(OFFSET(PLE!$G$14,$M484,BD$13)="",10^12,OFFSET(PLE!$G$14,$M484,BD$13))))</f>
        <v>1000000000000</v>
      </c>
      <c r="BE484" s="182">
        <f ca="1">IF($D484&lt;&gt;"Serviço",0,IF(OR(AND(AUTOEVENTO="Manual",$M484=1),$M484&gt;(ROW(PLE.lastrow)-ROW(PLE.firstrow))),0,IF(OFFSET(PLE!$G$14,$M484,BE$13)="",10^12,OFFSET(PLE!$G$14,$M484,BE$13))))</f>
        <v>1000000000000</v>
      </c>
      <c r="BF484" s="182">
        <f ca="1">IF($D484&lt;&gt;"Serviço",0,IF(OR(AND(AUTOEVENTO="Manual",$M484=1),$M484&gt;(ROW(PLE.lastrow)-ROW(PLE.firstrow))),0,IF(OFFSET(PLE!$G$14,$M484,BF$13)="",10^12,OFFSET(PLE!$G$14,$M484,BF$13))))</f>
        <v>1000000000000</v>
      </c>
      <c r="BG484" s="182">
        <f ca="1">IF($D484&lt;&gt;"Serviço",0,IF(OR(AND(AUTOEVENTO="Manual",$M484=1),$M484&gt;(ROW(PLE.lastrow)-ROW(PLE.firstrow))),0,IF(OFFSET(PLE!$G$14,$M484,BG$13)="",10^12,OFFSET(PLE!$G$14,$M484,BG$13))))</f>
        <v>1000000000000</v>
      </c>
    </row>
    <row r="485" spans="1:59" ht="25.5" x14ac:dyDescent="0.2">
      <c r="A485" s="7" t="str">
        <f t="shared" ca="1" si="11"/>
        <v>411</v>
      </c>
      <c r="B485" s="7" t="str">
        <f ca="1">OFFSET(ORÇAMENTO!C$15,ROW(B485)-ROW(B$15),0)</f>
        <v>S</v>
      </c>
      <c r="C485" s="7" t="str">
        <f ca="1">OFFSET(ORÇAMENTO!L$15,ROW(C485)-ROW(C$15),0)</f>
        <v/>
      </c>
      <c r="D485" s="118" t="str">
        <f ca="1">OFFSET(ORÇAMENTO!N$15,ROW(D485)-ROW(D$15),0)</f>
        <v>Serviço</v>
      </c>
      <c r="E485" s="119" t="str">
        <f ca="1">OFFSET(ORÇAMENTO!O$15,ROW(E485)-ROW(E$15),0)</f>
        <v>-</v>
      </c>
      <c r="F485" s="172" t="str">
        <f ca="1">OFFSET(ORÇAMENTO!R$15,ROW(F485)-ROW(F$15),0)</f>
        <v>(abra o arquivo 'Referência 02-2025.xlsm)</v>
      </c>
      <c r="G485" s="173" t="str">
        <f ca="1">IF($D485&lt;&gt;"Serviço","",OFFSET(ORÇAMENTO!S$15,ROW(G485)-ROW(G$15),0))</f>
        <v>-</v>
      </c>
      <c r="H485" s="124">
        <f ca="1">IF($D485&lt;&gt;"Serviço",0,IF(ACOMPANHAMENTO="BM",ROUND(OFFSET(ORÇAMENTO!AJ$15,ROW(H485)-ROW(H$15),0),15-13*ORÇAMENTO!$AF$7),SUMPRODUCT(($Q$12:$AA$12&lt;&gt;"")*ROUND($Q485:$AA485,15-13*ORÇAMENTO!$AF$7))))</f>
        <v>101</v>
      </c>
      <c r="I485" s="561" t="s">
        <v>890</v>
      </c>
      <c r="K485" s="174"/>
      <c r="L485" s="175" t="s">
        <v>255</v>
      </c>
      <c r="M485" s="176">
        <f ca="1">IF($D485&lt;&gt;"Serviço","",IF(AUTOEVENTO="manual",$A485,IF(ISERROR(MATCH($A485,$A$15:OFFSET($A485,-1,0),0)),MAX($M$15:OFFSET(M485,-1,0))+1,INDEX($M$15:OFFSET(M485,-1,0),MATCH($A485,$A$15:OFFSET($A485,-1,0),0)))))</f>
        <v>17</v>
      </c>
      <c r="N485" s="177" t="str">
        <f ca="1">IF($D485&lt;&gt;"Serviço","",IF(AUTOEVENTO="Manual",IF($A485=0,"&lt;-- defina o número do agrupador",OFFSET(EVENTOS!$D$14,$A485,0)),OFFSET($F$15,$A485,0)))</f>
        <v>SISTEMA DE PROTEÇÃO CONTRA INCÊNDIO</v>
      </c>
      <c r="O485" s="178"/>
      <c r="Q485" s="178"/>
      <c r="R485" s="179"/>
      <c r="S485" s="179"/>
      <c r="T485" s="179"/>
      <c r="U485" s="179"/>
      <c r="V485" s="179"/>
      <c r="W485" s="179"/>
      <c r="X485" s="179"/>
      <c r="Y485" s="179"/>
      <c r="Z485" s="180"/>
      <c r="AB485" s="544">
        <f ca="1">IF(AND($D485="Serviço",AB$12&lt;&gt;0,$H485&gt;0,OR(AUTOEVENTO&lt;&gt;"manual",$M485&lt;&gt;1)),
IF(Import.TipoArredondamento&lt;&gt;"TransfereGOV",
ROUND(OFFSET($P485,0,AB$13),15-13*ORÇAMENTO!$AF$7)/$H485*OFFSET(ORÇAMENTO!$X$15,ROW(AB485)-ROW(AB$15),0),
ROUND(ROUND(OFFSET($P485,0,AB$13),15-13*ORÇAMENTO!$AF$7)*OFFSET(ORÇAMENTO!$W$15,ROW(AB485)-ROW(AB$15),0),15-13*ORÇAMENTO!$AF$11)),0)</f>
        <v>0</v>
      </c>
      <c r="AC485" s="545">
        <f ca="1">IF(AND($D485="Serviço",AC$12&lt;&gt;0,$H485&gt;0,OR(AUTOEVENTO&lt;&gt;"manual",$M485&lt;&gt;1)),
IF(Import.TipoArredondamento&lt;&gt;"TransfereGOV",
ROUND(OFFSET($P485,0,AC$13),15-13*ORÇAMENTO!$AF$7)/$H485*OFFSET(ORÇAMENTO!$X$15,ROW(AC485)-ROW(AC$15),0),
ROUND(ROUND(OFFSET($P485,0,AC$13),15-13*ORÇAMENTO!$AF$7)*OFFSET(ORÇAMENTO!$W$15,ROW(AC485)-ROW(AC$15),0),15-13*ORÇAMENTO!$AF$11)),0)</f>
        <v>0</v>
      </c>
      <c r="AD485" s="545">
        <f ca="1">IF(AND($D485="Serviço",AD$12&lt;&gt;0,$H485&gt;0,OR(AUTOEVENTO&lt;&gt;"manual",$M485&lt;&gt;1)),
IF(Import.TipoArredondamento&lt;&gt;"TransfereGOV",
ROUND(OFFSET($P485,0,AD$13),15-13*ORÇAMENTO!$AF$7)/$H485*OFFSET(ORÇAMENTO!$X$15,ROW(AD485)-ROW(AD$15),0),
ROUND(ROUND(OFFSET($P485,0,AD$13),15-13*ORÇAMENTO!$AF$7)*OFFSET(ORÇAMENTO!$W$15,ROW(AD485)-ROW(AD$15),0),15-13*ORÇAMENTO!$AF$11)),0)</f>
        <v>0</v>
      </c>
      <c r="AE485" s="545">
        <f ca="1">IF(AND($D485="Serviço",AE$12&lt;&gt;0,$H485&gt;0,OR(AUTOEVENTO&lt;&gt;"manual",$M485&lt;&gt;1)),
IF(Import.TipoArredondamento&lt;&gt;"TransfereGOV",
ROUND(OFFSET($P485,0,AE$13),15-13*ORÇAMENTO!$AF$7)/$H485*OFFSET(ORÇAMENTO!$X$15,ROW(AE485)-ROW(AE$15),0),
ROUND(ROUND(OFFSET($P485,0,AE$13),15-13*ORÇAMENTO!$AF$7)*OFFSET(ORÇAMENTO!$W$15,ROW(AE485)-ROW(AE$15),0),15-13*ORÇAMENTO!$AF$11)),0)</f>
        <v>0</v>
      </c>
      <c r="AF485" s="545">
        <f ca="1">IF(AND($D485="Serviço",AF$12&lt;&gt;0,$H485&gt;0,OR(AUTOEVENTO&lt;&gt;"manual",$M485&lt;&gt;1)),
IF(Import.TipoArredondamento&lt;&gt;"TransfereGOV",
ROUND(OFFSET($P485,0,AF$13),15-13*ORÇAMENTO!$AF$7)/$H485*OFFSET(ORÇAMENTO!$X$15,ROW(AF485)-ROW(AF$15),0),
ROUND(ROUND(OFFSET($P485,0,AF$13),15-13*ORÇAMENTO!$AF$7)*OFFSET(ORÇAMENTO!$W$15,ROW(AF485)-ROW(AF$15),0),15-13*ORÇAMENTO!$AF$11)),0)</f>
        <v>0</v>
      </c>
      <c r="AG485" s="545">
        <f ca="1">IF(AND($D485="Serviço",AG$12&lt;&gt;0,$H485&gt;0,OR(AUTOEVENTO&lt;&gt;"manual",$M485&lt;&gt;1)),
IF(Import.TipoArredondamento&lt;&gt;"TransfereGOV",
ROUND(OFFSET($P485,0,AG$13),15-13*ORÇAMENTO!$AF$7)/$H485*OFFSET(ORÇAMENTO!$X$15,ROW(AG485)-ROW(AG$15),0),
ROUND(ROUND(OFFSET($P485,0,AG$13),15-13*ORÇAMENTO!$AF$7)*OFFSET(ORÇAMENTO!$W$15,ROW(AG485)-ROW(AG$15),0),15-13*ORÇAMENTO!$AF$11)),0)</f>
        <v>0</v>
      </c>
      <c r="AH485" s="545">
        <f ca="1">IF(AND($D485="Serviço",AH$12&lt;&gt;0,$H485&gt;0,OR(AUTOEVENTO&lt;&gt;"manual",$M485&lt;&gt;1)),
IF(Import.TipoArredondamento&lt;&gt;"TransfereGOV",
ROUND(OFFSET($P485,0,AH$13),15-13*ORÇAMENTO!$AF$7)/$H485*OFFSET(ORÇAMENTO!$X$15,ROW(AH485)-ROW(AH$15),0),
ROUND(ROUND(OFFSET($P485,0,AH$13),15-13*ORÇAMENTO!$AF$7)*OFFSET(ORÇAMENTO!$W$15,ROW(AH485)-ROW(AH$15),0),15-13*ORÇAMENTO!$AF$11)),0)</f>
        <v>0</v>
      </c>
      <c r="AI485" s="545">
        <f ca="1">IF(AND($D485="Serviço",AI$12&lt;&gt;0,$H485&gt;0,OR(AUTOEVENTO&lt;&gt;"manual",$M485&lt;&gt;1)),
IF(Import.TipoArredondamento&lt;&gt;"TransfereGOV",
ROUND(OFFSET($P485,0,AI$13),15-13*ORÇAMENTO!$AF$7)/$H485*OFFSET(ORÇAMENTO!$X$15,ROW(AI485)-ROW(AI$15),0),
ROUND(ROUND(OFFSET($P485,0,AI$13),15-13*ORÇAMENTO!$AF$7)*OFFSET(ORÇAMENTO!$W$15,ROW(AI485)-ROW(AI$15),0),15-13*ORÇAMENTO!$AF$11)),0)</f>
        <v>0</v>
      </c>
      <c r="AJ485" s="545">
        <f ca="1">IF(AND($D485="Serviço",AJ$12&lt;&gt;0,$H485&gt;0,OR(AUTOEVENTO&lt;&gt;"manual",$M485&lt;&gt;1)),
IF(Import.TipoArredondamento&lt;&gt;"TransfereGOV",
ROUND(OFFSET($P485,0,AJ$13),15-13*ORÇAMENTO!$AF$7)/$H485*OFFSET(ORÇAMENTO!$X$15,ROW(AJ485)-ROW(AJ$15),0),
ROUND(ROUND(OFFSET($P485,0,AJ$13),15-13*ORÇAMENTO!$AF$7)*OFFSET(ORÇAMENTO!$W$15,ROW(AJ485)-ROW(AJ$15),0),15-13*ORÇAMENTO!$AF$11)),0)</f>
        <v>0</v>
      </c>
      <c r="AK485" s="546">
        <f ca="1">IF(AND($D485="Serviço",AK$12&lt;&gt;0,$H485&gt;0,OR(AUTOEVENTO&lt;&gt;"manual",$M485&lt;&gt;1)),
IF(Import.TipoArredondamento&lt;&gt;"TransfereGOV",
ROUND(OFFSET($P485,0,AK$13),15-13*ORÇAMENTO!$AF$7)/$H485*OFFSET(ORÇAMENTO!$X$15,ROW(AK485)-ROW(AK$15),0),
ROUND(ROUND(OFFSET($P485,0,AK$13),15-13*ORÇAMENTO!$AF$7)*OFFSET(ORÇAMENTO!$W$15,ROW(AK485)-ROW(AK$15),0),15-13*ORÇAMENTO!$AF$11)),0)</f>
        <v>0</v>
      </c>
      <c r="AM485" s="181">
        <f ca="1">IF($D485&lt;&gt;"Serviço",0,IF(AND(AUTOEVENTO="Manual",$M485=1),0,IF(OFFSET(CRONOPLE!$F$14,$M485,AM$13)="",10^12,OFFSET(CRONOPLE!$F$14,$M485,AM$13))))</f>
        <v>1000000000000</v>
      </c>
      <c r="AN485" s="181">
        <f ca="1">IF($D485&lt;&gt;"Serviço",0,IF(AND(AUTOEVENTO="Manual",$M485=1),0,IF(OFFSET(CRONOPLE!$F$14,$M485,AN$13)="",10^12,OFFSET(CRONOPLE!$F$14,$M485,AN$13))))</f>
        <v>1000000000000</v>
      </c>
      <c r="AO485" s="181">
        <f ca="1">IF($D485&lt;&gt;"Serviço",0,IF(AND(AUTOEVENTO="Manual",$M485=1),0,IF(OFFSET(CRONOPLE!$F$14,$M485,AO$13)="",10^12,OFFSET(CRONOPLE!$F$14,$M485,AO$13))))</f>
        <v>1000000000000</v>
      </c>
      <c r="AP485" s="181">
        <f ca="1">IF($D485&lt;&gt;"Serviço",0,IF(AND(AUTOEVENTO="Manual",$M485=1),0,IF(OFFSET(CRONOPLE!$F$14,$M485,AP$13)="",10^12,OFFSET(CRONOPLE!$F$14,$M485,AP$13))))</f>
        <v>1000000000000</v>
      </c>
      <c r="AQ485" s="181">
        <f ca="1">IF($D485&lt;&gt;"Serviço",0,IF(AND(AUTOEVENTO="Manual",$M485=1),0,IF(OFFSET(CRONOPLE!$F$14,$M485,AQ$13)="",10^12,OFFSET(CRONOPLE!$F$14,$M485,AQ$13))))</f>
        <v>1000000000000</v>
      </c>
      <c r="AR485" s="181">
        <f ca="1">IF($D485&lt;&gt;"Serviço",0,IF(AND(AUTOEVENTO="Manual",$M485=1),0,IF(OFFSET(CRONOPLE!$F$14,$M485,AR$13)="",10^12,OFFSET(CRONOPLE!$F$14,$M485,AR$13))))</f>
        <v>1000000000000</v>
      </c>
      <c r="AS485" s="181">
        <f ca="1">IF($D485&lt;&gt;"Serviço",0,IF(AND(AUTOEVENTO="Manual",$M485=1),0,IF(OFFSET(CRONOPLE!$F$14,$M485,AS$13)="",10^12,OFFSET(CRONOPLE!$F$14,$M485,AS$13))))</f>
        <v>1000000000000</v>
      </c>
      <c r="AT485" s="181">
        <f ca="1">IF($D485&lt;&gt;"Serviço",0,IF(AND(AUTOEVENTO="Manual",$M485=1),0,IF(OFFSET(CRONOPLE!$F$14,$M485,AT$13)="",10^12,OFFSET(CRONOPLE!$F$14,$M485,AT$13))))</f>
        <v>1000000000000</v>
      </c>
      <c r="AU485" s="181">
        <f ca="1">IF($D485&lt;&gt;"Serviço",0,IF(AND(AUTOEVENTO="Manual",$M485=1),0,IF(OFFSET(CRONOPLE!$F$14,$M485,AU$13)="",10^12,OFFSET(CRONOPLE!$F$14,$M485,AU$13))))</f>
        <v>1000000000000</v>
      </c>
      <c r="AV485" s="181">
        <f ca="1">IF($D485&lt;&gt;"Serviço",0,IF(AND(AUTOEVENTO="Manual",$M485=1),0,IF(OFFSET(CRONOPLE!$F$14,$M485,AV$13)="",10^12,OFFSET(CRONOPLE!$F$14,$M485,AV$13))))</f>
        <v>1000000000000</v>
      </c>
      <c r="AX485" s="182">
        <f ca="1">IF($D485&lt;&gt;"Serviço",0,IF(OR(AND(AUTOEVENTO="Manual",$M485=1),$M485&gt;(ROW(PLE.lastrow)-ROW(PLE.firstrow))),0,IF(OFFSET(PLE!$G$14,$M485,AX$13)="",10^12,OFFSET(PLE!$G$14,$M485,AX$13))))</f>
        <v>1000000000000</v>
      </c>
      <c r="AY485" s="182">
        <f ca="1">IF($D485&lt;&gt;"Serviço",0,IF(OR(AND(AUTOEVENTO="Manual",$M485=1),$M485&gt;(ROW(PLE.lastrow)-ROW(PLE.firstrow))),0,IF(OFFSET(PLE!$G$14,$M485,AY$13)="",10^12,OFFSET(PLE!$G$14,$M485,AY$13))))</f>
        <v>1000000000000</v>
      </c>
      <c r="AZ485" s="182">
        <f ca="1">IF($D485&lt;&gt;"Serviço",0,IF(OR(AND(AUTOEVENTO="Manual",$M485=1),$M485&gt;(ROW(PLE.lastrow)-ROW(PLE.firstrow))),0,IF(OFFSET(PLE!$G$14,$M485,AZ$13)="",10^12,OFFSET(PLE!$G$14,$M485,AZ$13))))</f>
        <v>1000000000000</v>
      </c>
      <c r="BA485" s="182">
        <f ca="1">IF($D485&lt;&gt;"Serviço",0,IF(OR(AND(AUTOEVENTO="Manual",$M485=1),$M485&gt;(ROW(PLE.lastrow)-ROW(PLE.firstrow))),0,IF(OFFSET(PLE!$G$14,$M485,BA$13)="",10^12,OFFSET(PLE!$G$14,$M485,BA$13))))</f>
        <v>1000000000000</v>
      </c>
      <c r="BB485" s="182">
        <f ca="1">IF($D485&lt;&gt;"Serviço",0,IF(OR(AND(AUTOEVENTO="Manual",$M485=1),$M485&gt;(ROW(PLE.lastrow)-ROW(PLE.firstrow))),0,IF(OFFSET(PLE!$G$14,$M485,BB$13)="",10^12,OFFSET(PLE!$G$14,$M485,BB$13))))</f>
        <v>1000000000000</v>
      </c>
      <c r="BC485" s="182">
        <f ca="1">IF($D485&lt;&gt;"Serviço",0,IF(OR(AND(AUTOEVENTO="Manual",$M485=1),$M485&gt;(ROW(PLE.lastrow)-ROW(PLE.firstrow))),0,IF(OFFSET(PLE!$G$14,$M485,BC$13)="",10^12,OFFSET(PLE!$G$14,$M485,BC$13))))</f>
        <v>1000000000000</v>
      </c>
      <c r="BD485" s="182">
        <f ca="1">IF($D485&lt;&gt;"Serviço",0,IF(OR(AND(AUTOEVENTO="Manual",$M485=1),$M485&gt;(ROW(PLE.lastrow)-ROW(PLE.firstrow))),0,IF(OFFSET(PLE!$G$14,$M485,BD$13)="",10^12,OFFSET(PLE!$G$14,$M485,BD$13))))</f>
        <v>1000000000000</v>
      </c>
      <c r="BE485" s="182">
        <f ca="1">IF($D485&lt;&gt;"Serviço",0,IF(OR(AND(AUTOEVENTO="Manual",$M485=1),$M485&gt;(ROW(PLE.lastrow)-ROW(PLE.firstrow))),0,IF(OFFSET(PLE!$G$14,$M485,BE$13)="",10^12,OFFSET(PLE!$G$14,$M485,BE$13))))</f>
        <v>1000000000000</v>
      </c>
      <c r="BF485" s="182">
        <f ca="1">IF($D485&lt;&gt;"Serviço",0,IF(OR(AND(AUTOEVENTO="Manual",$M485=1),$M485&gt;(ROW(PLE.lastrow)-ROW(PLE.firstrow))),0,IF(OFFSET(PLE!$G$14,$M485,BF$13)="",10^12,OFFSET(PLE!$G$14,$M485,BF$13))))</f>
        <v>1000000000000</v>
      </c>
      <c r="BG485" s="182">
        <f ca="1">IF($D485&lt;&gt;"Serviço",0,IF(OR(AND(AUTOEVENTO="Manual",$M485=1),$M485&gt;(ROW(PLE.lastrow)-ROW(PLE.firstrow))),0,IF(OFFSET(PLE!$G$14,$M485,BG$13)="",10^12,OFFSET(PLE!$G$14,$M485,BG$13))))</f>
        <v>1000000000000</v>
      </c>
    </row>
    <row r="486" spans="1:59" ht="25.5" x14ac:dyDescent="0.2">
      <c r="A486" s="7" t="str">
        <f t="shared" ca="1" si="11"/>
        <v>411</v>
      </c>
      <c r="B486" s="7" t="str">
        <f ca="1">OFFSET(ORÇAMENTO!C$15,ROW(B486)-ROW(B$15),0)</f>
        <v>S</v>
      </c>
      <c r="C486" s="7" t="str">
        <f ca="1">OFFSET(ORÇAMENTO!L$15,ROW(C486)-ROW(C$15),0)</f>
        <v/>
      </c>
      <c r="D486" s="118" t="str">
        <f ca="1">OFFSET(ORÇAMENTO!N$15,ROW(D486)-ROW(D$15),0)</f>
        <v>Serviço</v>
      </c>
      <c r="E486" s="119" t="str">
        <f ca="1">OFFSET(ORÇAMENTO!O$15,ROW(E486)-ROW(E$15),0)</f>
        <v>-</v>
      </c>
      <c r="F486" s="172" t="str">
        <f ca="1">OFFSET(ORÇAMENTO!R$15,ROW(F486)-ROW(F$15),0)</f>
        <v>(abra o arquivo 'Referência 02-2025.xlsm)</v>
      </c>
      <c r="G486" s="173" t="str">
        <f ca="1">IF($D486&lt;&gt;"Serviço","",OFFSET(ORÇAMENTO!S$15,ROW(G486)-ROW(G$15),0))</f>
        <v>-</v>
      </c>
      <c r="H486" s="124">
        <f ca="1">IF($D486&lt;&gt;"Serviço",0,IF(ACOMPANHAMENTO="BM",ROUND(OFFSET(ORÇAMENTO!AJ$15,ROW(H486)-ROW(H$15),0),15-13*ORÇAMENTO!$AF$7),SUMPRODUCT(($Q$12:$AA$12&lt;&gt;"")*ROUND($Q486:$AA486,15-13*ORÇAMENTO!$AF$7))))</f>
        <v>12</v>
      </c>
      <c r="I486" s="561" t="s">
        <v>890</v>
      </c>
      <c r="K486" s="174"/>
      <c r="L486" s="175" t="s">
        <v>255</v>
      </c>
      <c r="M486" s="176">
        <f ca="1">IF($D486&lt;&gt;"Serviço","",IF(AUTOEVENTO="manual",$A486,IF(ISERROR(MATCH($A486,$A$15:OFFSET($A486,-1,0),0)),MAX($M$15:OFFSET(M486,-1,0))+1,INDEX($M$15:OFFSET(M486,-1,0),MATCH($A486,$A$15:OFFSET($A486,-1,0),0)))))</f>
        <v>17</v>
      </c>
      <c r="N486" s="177" t="str">
        <f ca="1">IF($D486&lt;&gt;"Serviço","",IF(AUTOEVENTO="Manual",IF($A486=0,"&lt;-- defina o número do agrupador",OFFSET(EVENTOS!$D$14,$A486,0)),OFFSET($F$15,$A486,0)))</f>
        <v>SISTEMA DE PROTEÇÃO CONTRA INCÊNDIO</v>
      </c>
      <c r="O486" s="178"/>
      <c r="Q486" s="178"/>
      <c r="R486" s="179"/>
      <c r="S486" s="179"/>
      <c r="T486" s="179"/>
      <c r="U486" s="179"/>
      <c r="V486" s="179"/>
      <c r="W486" s="179"/>
      <c r="X486" s="179"/>
      <c r="Y486" s="179"/>
      <c r="Z486" s="180"/>
      <c r="AB486" s="544">
        <f ca="1">IF(AND($D486="Serviço",AB$12&lt;&gt;0,$H486&gt;0,OR(AUTOEVENTO&lt;&gt;"manual",$M486&lt;&gt;1)),
IF(Import.TipoArredondamento&lt;&gt;"TransfereGOV",
ROUND(OFFSET($P486,0,AB$13),15-13*ORÇAMENTO!$AF$7)/$H486*OFFSET(ORÇAMENTO!$X$15,ROW(AB486)-ROW(AB$15),0),
ROUND(ROUND(OFFSET($P486,0,AB$13),15-13*ORÇAMENTO!$AF$7)*OFFSET(ORÇAMENTO!$W$15,ROW(AB486)-ROW(AB$15),0),15-13*ORÇAMENTO!$AF$11)),0)</f>
        <v>0</v>
      </c>
      <c r="AC486" s="545">
        <f ca="1">IF(AND($D486="Serviço",AC$12&lt;&gt;0,$H486&gt;0,OR(AUTOEVENTO&lt;&gt;"manual",$M486&lt;&gt;1)),
IF(Import.TipoArredondamento&lt;&gt;"TransfereGOV",
ROUND(OFFSET($P486,0,AC$13),15-13*ORÇAMENTO!$AF$7)/$H486*OFFSET(ORÇAMENTO!$X$15,ROW(AC486)-ROW(AC$15),0),
ROUND(ROUND(OFFSET($P486,0,AC$13),15-13*ORÇAMENTO!$AF$7)*OFFSET(ORÇAMENTO!$W$15,ROW(AC486)-ROW(AC$15),0),15-13*ORÇAMENTO!$AF$11)),0)</f>
        <v>0</v>
      </c>
      <c r="AD486" s="545">
        <f ca="1">IF(AND($D486="Serviço",AD$12&lt;&gt;0,$H486&gt;0,OR(AUTOEVENTO&lt;&gt;"manual",$M486&lt;&gt;1)),
IF(Import.TipoArredondamento&lt;&gt;"TransfereGOV",
ROUND(OFFSET($P486,0,AD$13),15-13*ORÇAMENTO!$AF$7)/$H486*OFFSET(ORÇAMENTO!$X$15,ROW(AD486)-ROW(AD$15),0),
ROUND(ROUND(OFFSET($P486,0,AD$13),15-13*ORÇAMENTO!$AF$7)*OFFSET(ORÇAMENTO!$W$15,ROW(AD486)-ROW(AD$15),0),15-13*ORÇAMENTO!$AF$11)),0)</f>
        <v>0</v>
      </c>
      <c r="AE486" s="545">
        <f ca="1">IF(AND($D486="Serviço",AE$12&lt;&gt;0,$H486&gt;0,OR(AUTOEVENTO&lt;&gt;"manual",$M486&lt;&gt;1)),
IF(Import.TipoArredondamento&lt;&gt;"TransfereGOV",
ROUND(OFFSET($P486,0,AE$13),15-13*ORÇAMENTO!$AF$7)/$H486*OFFSET(ORÇAMENTO!$X$15,ROW(AE486)-ROW(AE$15),0),
ROUND(ROUND(OFFSET($P486,0,AE$13),15-13*ORÇAMENTO!$AF$7)*OFFSET(ORÇAMENTO!$W$15,ROW(AE486)-ROW(AE$15),0),15-13*ORÇAMENTO!$AF$11)),0)</f>
        <v>0</v>
      </c>
      <c r="AF486" s="545">
        <f ca="1">IF(AND($D486="Serviço",AF$12&lt;&gt;0,$H486&gt;0,OR(AUTOEVENTO&lt;&gt;"manual",$M486&lt;&gt;1)),
IF(Import.TipoArredondamento&lt;&gt;"TransfereGOV",
ROUND(OFFSET($P486,0,AF$13),15-13*ORÇAMENTO!$AF$7)/$H486*OFFSET(ORÇAMENTO!$X$15,ROW(AF486)-ROW(AF$15),0),
ROUND(ROUND(OFFSET($P486,0,AF$13),15-13*ORÇAMENTO!$AF$7)*OFFSET(ORÇAMENTO!$W$15,ROW(AF486)-ROW(AF$15),0),15-13*ORÇAMENTO!$AF$11)),0)</f>
        <v>0</v>
      </c>
      <c r="AG486" s="545">
        <f ca="1">IF(AND($D486="Serviço",AG$12&lt;&gt;0,$H486&gt;0,OR(AUTOEVENTO&lt;&gt;"manual",$M486&lt;&gt;1)),
IF(Import.TipoArredondamento&lt;&gt;"TransfereGOV",
ROUND(OFFSET($P486,0,AG$13),15-13*ORÇAMENTO!$AF$7)/$H486*OFFSET(ORÇAMENTO!$X$15,ROW(AG486)-ROW(AG$15),0),
ROUND(ROUND(OFFSET($P486,0,AG$13),15-13*ORÇAMENTO!$AF$7)*OFFSET(ORÇAMENTO!$W$15,ROW(AG486)-ROW(AG$15),0),15-13*ORÇAMENTO!$AF$11)),0)</f>
        <v>0</v>
      </c>
      <c r="AH486" s="545">
        <f ca="1">IF(AND($D486="Serviço",AH$12&lt;&gt;0,$H486&gt;0,OR(AUTOEVENTO&lt;&gt;"manual",$M486&lt;&gt;1)),
IF(Import.TipoArredondamento&lt;&gt;"TransfereGOV",
ROUND(OFFSET($P486,0,AH$13),15-13*ORÇAMENTO!$AF$7)/$H486*OFFSET(ORÇAMENTO!$X$15,ROW(AH486)-ROW(AH$15),0),
ROUND(ROUND(OFFSET($P486,0,AH$13),15-13*ORÇAMENTO!$AF$7)*OFFSET(ORÇAMENTO!$W$15,ROW(AH486)-ROW(AH$15),0),15-13*ORÇAMENTO!$AF$11)),0)</f>
        <v>0</v>
      </c>
      <c r="AI486" s="545">
        <f ca="1">IF(AND($D486="Serviço",AI$12&lt;&gt;0,$H486&gt;0,OR(AUTOEVENTO&lt;&gt;"manual",$M486&lt;&gt;1)),
IF(Import.TipoArredondamento&lt;&gt;"TransfereGOV",
ROUND(OFFSET($P486,0,AI$13),15-13*ORÇAMENTO!$AF$7)/$H486*OFFSET(ORÇAMENTO!$X$15,ROW(AI486)-ROW(AI$15),0),
ROUND(ROUND(OFFSET($P486,0,AI$13),15-13*ORÇAMENTO!$AF$7)*OFFSET(ORÇAMENTO!$W$15,ROW(AI486)-ROW(AI$15),0),15-13*ORÇAMENTO!$AF$11)),0)</f>
        <v>0</v>
      </c>
      <c r="AJ486" s="545">
        <f ca="1">IF(AND($D486="Serviço",AJ$12&lt;&gt;0,$H486&gt;0,OR(AUTOEVENTO&lt;&gt;"manual",$M486&lt;&gt;1)),
IF(Import.TipoArredondamento&lt;&gt;"TransfereGOV",
ROUND(OFFSET($P486,0,AJ$13),15-13*ORÇAMENTO!$AF$7)/$H486*OFFSET(ORÇAMENTO!$X$15,ROW(AJ486)-ROW(AJ$15),0),
ROUND(ROUND(OFFSET($P486,0,AJ$13),15-13*ORÇAMENTO!$AF$7)*OFFSET(ORÇAMENTO!$W$15,ROW(AJ486)-ROW(AJ$15),0),15-13*ORÇAMENTO!$AF$11)),0)</f>
        <v>0</v>
      </c>
      <c r="AK486" s="546">
        <f ca="1">IF(AND($D486="Serviço",AK$12&lt;&gt;0,$H486&gt;0,OR(AUTOEVENTO&lt;&gt;"manual",$M486&lt;&gt;1)),
IF(Import.TipoArredondamento&lt;&gt;"TransfereGOV",
ROUND(OFFSET($P486,0,AK$13),15-13*ORÇAMENTO!$AF$7)/$H486*OFFSET(ORÇAMENTO!$X$15,ROW(AK486)-ROW(AK$15),0),
ROUND(ROUND(OFFSET($P486,0,AK$13),15-13*ORÇAMENTO!$AF$7)*OFFSET(ORÇAMENTO!$W$15,ROW(AK486)-ROW(AK$15),0),15-13*ORÇAMENTO!$AF$11)),0)</f>
        <v>0</v>
      </c>
      <c r="AM486" s="181">
        <f ca="1">IF($D486&lt;&gt;"Serviço",0,IF(AND(AUTOEVENTO="Manual",$M486=1),0,IF(OFFSET(CRONOPLE!$F$14,$M486,AM$13)="",10^12,OFFSET(CRONOPLE!$F$14,$M486,AM$13))))</f>
        <v>1000000000000</v>
      </c>
      <c r="AN486" s="181">
        <f ca="1">IF($D486&lt;&gt;"Serviço",0,IF(AND(AUTOEVENTO="Manual",$M486=1),0,IF(OFFSET(CRONOPLE!$F$14,$M486,AN$13)="",10^12,OFFSET(CRONOPLE!$F$14,$M486,AN$13))))</f>
        <v>1000000000000</v>
      </c>
      <c r="AO486" s="181">
        <f ca="1">IF($D486&lt;&gt;"Serviço",0,IF(AND(AUTOEVENTO="Manual",$M486=1),0,IF(OFFSET(CRONOPLE!$F$14,$M486,AO$13)="",10^12,OFFSET(CRONOPLE!$F$14,$M486,AO$13))))</f>
        <v>1000000000000</v>
      </c>
      <c r="AP486" s="181">
        <f ca="1">IF($D486&lt;&gt;"Serviço",0,IF(AND(AUTOEVENTO="Manual",$M486=1),0,IF(OFFSET(CRONOPLE!$F$14,$M486,AP$13)="",10^12,OFFSET(CRONOPLE!$F$14,$M486,AP$13))))</f>
        <v>1000000000000</v>
      </c>
      <c r="AQ486" s="181">
        <f ca="1">IF($D486&lt;&gt;"Serviço",0,IF(AND(AUTOEVENTO="Manual",$M486=1),0,IF(OFFSET(CRONOPLE!$F$14,$M486,AQ$13)="",10^12,OFFSET(CRONOPLE!$F$14,$M486,AQ$13))))</f>
        <v>1000000000000</v>
      </c>
      <c r="AR486" s="181">
        <f ca="1">IF($D486&lt;&gt;"Serviço",0,IF(AND(AUTOEVENTO="Manual",$M486=1),0,IF(OFFSET(CRONOPLE!$F$14,$M486,AR$13)="",10^12,OFFSET(CRONOPLE!$F$14,$M486,AR$13))))</f>
        <v>1000000000000</v>
      </c>
      <c r="AS486" s="181">
        <f ca="1">IF($D486&lt;&gt;"Serviço",0,IF(AND(AUTOEVENTO="Manual",$M486=1),0,IF(OFFSET(CRONOPLE!$F$14,$M486,AS$13)="",10^12,OFFSET(CRONOPLE!$F$14,$M486,AS$13))))</f>
        <v>1000000000000</v>
      </c>
      <c r="AT486" s="181">
        <f ca="1">IF($D486&lt;&gt;"Serviço",0,IF(AND(AUTOEVENTO="Manual",$M486=1),0,IF(OFFSET(CRONOPLE!$F$14,$M486,AT$13)="",10^12,OFFSET(CRONOPLE!$F$14,$M486,AT$13))))</f>
        <v>1000000000000</v>
      </c>
      <c r="AU486" s="181">
        <f ca="1">IF($D486&lt;&gt;"Serviço",0,IF(AND(AUTOEVENTO="Manual",$M486=1),0,IF(OFFSET(CRONOPLE!$F$14,$M486,AU$13)="",10^12,OFFSET(CRONOPLE!$F$14,$M486,AU$13))))</f>
        <v>1000000000000</v>
      </c>
      <c r="AV486" s="181">
        <f ca="1">IF($D486&lt;&gt;"Serviço",0,IF(AND(AUTOEVENTO="Manual",$M486=1),0,IF(OFFSET(CRONOPLE!$F$14,$M486,AV$13)="",10^12,OFFSET(CRONOPLE!$F$14,$M486,AV$13))))</f>
        <v>1000000000000</v>
      </c>
      <c r="AX486" s="182">
        <f ca="1">IF($D486&lt;&gt;"Serviço",0,IF(OR(AND(AUTOEVENTO="Manual",$M486=1),$M486&gt;(ROW(PLE.lastrow)-ROW(PLE.firstrow))),0,IF(OFFSET(PLE!$G$14,$M486,AX$13)="",10^12,OFFSET(PLE!$G$14,$M486,AX$13))))</f>
        <v>1000000000000</v>
      </c>
      <c r="AY486" s="182">
        <f ca="1">IF($D486&lt;&gt;"Serviço",0,IF(OR(AND(AUTOEVENTO="Manual",$M486=1),$M486&gt;(ROW(PLE.lastrow)-ROW(PLE.firstrow))),0,IF(OFFSET(PLE!$G$14,$M486,AY$13)="",10^12,OFFSET(PLE!$G$14,$M486,AY$13))))</f>
        <v>1000000000000</v>
      </c>
      <c r="AZ486" s="182">
        <f ca="1">IF($D486&lt;&gt;"Serviço",0,IF(OR(AND(AUTOEVENTO="Manual",$M486=1),$M486&gt;(ROW(PLE.lastrow)-ROW(PLE.firstrow))),0,IF(OFFSET(PLE!$G$14,$M486,AZ$13)="",10^12,OFFSET(PLE!$G$14,$M486,AZ$13))))</f>
        <v>1000000000000</v>
      </c>
      <c r="BA486" s="182">
        <f ca="1">IF($D486&lt;&gt;"Serviço",0,IF(OR(AND(AUTOEVENTO="Manual",$M486=1),$M486&gt;(ROW(PLE.lastrow)-ROW(PLE.firstrow))),0,IF(OFFSET(PLE!$G$14,$M486,BA$13)="",10^12,OFFSET(PLE!$G$14,$M486,BA$13))))</f>
        <v>1000000000000</v>
      </c>
      <c r="BB486" s="182">
        <f ca="1">IF($D486&lt;&gt;"Serviço",0,IF(OR(AND(AUTOEVENTO="Manual",$M486=1),$M486&gt;(ROW(PLE.lastrow)-ROW(PLE.firstrow))),0,IF(OFFSET(PLE!$G$14,$M486,BB$13)="",10^12,OFFSET(PLE!$G$14,$M486,BB$13))))</f>
        <v>1000000000000</v>
      </c>
      <c r="BC486" s="182">
        <f ca="1">IF($D486&lt;&gt;"Serviço",0,IF(OR(AND(AUTOEVENTO="Manual",$M486=1),$M486&gt;(ROW(PLE.lastrow)-ROW(PLE.firstrow))),0,IF(OFFSET(PLE!$G$14,$M486,BC$13)="",10^12,OFFSET(PLE!$G$14,$M486,BC$13))))</f>
        <v>1000000000000</v>
      </c>
      <c r="BD486" s="182">
        <f ca="1">IF($D486&lt;&gt;"Serviço",0,IF(OR(AND(AUTOEVENTO="Manual",$M486=1),$M486&gt;(ROW(PLE.lastrow)-ROW(PLE.firstrow))),0,IF(OFFSET(PLE!$G$14,$M486,BD$13)="",10^12,OFFSET(PLE!$G$14,$M486,BD$13))))</f>
        <v>1000000000000</v>
      </c>
      <c r="BE486" s="182">
        <f ca="1">IF($D486&lt;&gt;"Serviço",0,IF(OR(AND(AUTOEVENTO="Manual",$M486=1),$M486&gt;(ROW(PLE.lastrow)-ROW(PLE.firstrow))),0,IF(OFFSET(PLE!$G$14,$M486,BE$13)="",10^12,OFFSET(PLE!$G$14,$M486,BE$13))))</f>
        <v>1000000000000</v>
      </c>
      <c r="BF486" s="182">
        <f ca="1">IF($D486&lt;&gt;"Serviço",0,IF(OR(AND(AUTOEVENTO="Manual",$M486=1),$M486&gt;(ROW(PLE.lastrow)-ROW(PLE.firstrow))),0,IF(OFFSET(PLE!$G$14,$M486,BF$13)="",10^12,OFFSET(PLE!$G$14,$M486,BF$13))))</f>
        <v>1000000000000</v>
      </c>
      <c r="BG486" s="182">
        <f ca="1">IF($D486&lt;&gt;"Serviço",0,IF(OR(AND(AUTOEVENTO="Manual",$M486=1),$M486&gt;(ROW(PLE.lastrow)-ROW(PLE.firstrow))),0,IF(OFFSET(PLE!$G$14,$M486,BG$13)="",10^12,OFFSET(PLE!$G$14,$M486,BG$13))))</f>
        <v>1000000000000</v>
      </c>
    </row>
    <row r="487" spans="1:59" ht="12.75" x14ac:dyDescent="0.2">
      <c r="A487" s="7" t="str">
        <f t="shared" ca="1" si="11"/>
        <v>472.</v>
      </c>
      <c r="B487" s="7">
        <f ca="1">OFFSET(ORÇAMENTO!C$15,ROW(B487)-ROW(B$15),0)</f>
        <v>2</v>
      </c>
      <c r="C487" s="7" t="str">
        <f ca="1">OFFSET(ORÇAMENTO!L$15,ROW(C487)-ROW(C$15),0)</f>
        <v>F</v>
      </c>
      <c r="D487" s="118" t="str">
        <f ca="1">OFFSET(ORÇAMENTO!N$15,ROW(D487)-ROW(D$15),0)</f>
        <v>Nível 2</v>
      </c>
      <c r="E487" s="119" t="str">
        <f ca="1">OFFSET(ORÇAMENTO!O$15,ROW(E487)-ROW(E$15),0)</f>
        <v>1.17.</v>
      </c>
      <c r="F487" s="172" t="str">
        <f ca="1">OFFSET(ORÇAMENTO!R$15,ROW(F487)-ROW(F$15),0)</f>
        <v>INSTALAÇÕES ELÉTRICAS - 220V</v>
      </c>
      <c r="G487" s="173" t="str">
        <f ca="1">IF($D487&lt;&gt;"Serviço","",OFFSET(ORÇAMENTO!S$15,ROW(G487)-ROW(G$15),0))</f>
        <v/>
      </c>
      <c r="H487" s="124">
        <f ca="1">IF($D487&lt;&gt;"Serviço",0,IF(ACOMPANHAMENTO="BM",ROUND(OFFSET(ORÇAMENTO!AJ$15,ROW(H487)-ROW(H$15),0),15-13*ORÇAMENTO!$AF$7),SUMPRODUCT(($Q$12:$AA$12&lt;&gt;"")*ROUND($Q487:$AA487,15-13*ORÇAMENTO!$AF$7))))</f>
        <v>0</v>
      </c>
      <c r="I487" s="561"/>
      <c r="K487" s="174"/>
      <c r="L487" s="175" t="s">
        <v>255</v>
      </c>
      <c r="M487" s="176" t="str">
        <f ca="1">IF($D487&lt;&gt;"Serviço","",IF(AUTOEVENTO="manual",$A487,IF(ISERROR(MATCH($A487,$A$15:OFFSET($A487,-1,0),0)),MAX($M$15:OFFSET(M487,-1,0))+1,INDEX($M$15:OFFSET(M487,-1,0),MATCH($A487,$A$15:OFFSET($A487,-1,0),0)))))</f>
        <v/>
      </c>
      <c r="N487" s="177" t="str">
        <f ca="1">IF($D487&lt;&gt;"Serviço","",IF(AUTOEVENTO="Manual",IF($A487=0,"&lt;-- defina o número do agrupador",OFFSET(EVENTOS!$D$14,$A487,0)),OFFSET($F$15,$A487,0)))</f>
        <v/>
      </c>
      <c r="O487" s="178"/>
      <c r="Q487" s="178"/>
      <c r="R487" s="179"/>
      <c r="S487" s="179"/>
      <c r="T487" s="179"/>
      <c r="U487" s="179"/>
      <c r="V487" s="179"/>
      <c r="W487" s="179"/>
      <c r="X487" s="179"/>
      <c r="Y487" s="179"/>
      <c r="Z487" s="180"/>
      <c r="AB487" s="544">
        <f ca="1">IF(AND($D487="Serviço",AB$12&lt;&gt;0,$H487&gt;0,OR(AUTOEVENTO&lt;&gt;"manual",$M487&lt;&gt;1)),
IF(Import.TipoArredondamento&lt;&gt;"TransfereGOV",
ROUND(OFFSET($P487,0,AB$13),15-13*ORÇAMENTO!$AF$7)/$H487*OFFSET(ORÇAMENTO!$X$15,ROW(AB487)-ROW(AB$15),0),
ROUND(ROUND(OFFSET($P487,0,AB$13),15-13*ORÇAMENTO!$AF$7)*OFFSET(ORÇAMENTO!$W$15,ROW(AB487)-ROW(AB$15),0),15-13*ORÇAMENTO!$AF$11)),0)</f>
        <v>0</v>
      </c>
      <c r="AC487" s="545">
        <f ca="1">IF(AND($D487="Serviço",AC$12&lt;&gt;0,$H487&gt;0,OR(AUTOEVENTO&lt;&gt;"manual",$M487&lt;&gt;1)),
IF(Import.TipoArredondamento&lt;&gt;"TransfereGOV",
ROUND(OFFSET($P487,0,AC$13),15-13*ORÇAMENTO!$AF$7)/$H487*OFFSET(ORÇAMENTO!$X$15,ROW(AC487)-ROW(AC$15),0),
ROUND(ROUND(OFFSET($P487,0,AC$13),15-13*ORÇAMENTO!$AF$7)*OFFSET(ORÇAMENTO!$W$15,ROW(AC487)-ROW(AC$15),0),15-13*ORÇAMENTO!$AF$11)),0)</f>
        <v>0</v>
      </c>
      <c r="AD487" s="545">
        <f ca="1">IF(AND($D487="Serviço",AD$12&lt;&gt;0,$H487&gt;0,OR(AUTOEVENTO&lt;&gt;"manual",$M487&lt;&gt;1)),
IF(Import.TipoArredondamento&lt;&gt;"TransfereGOV",
ROUND(OFFSET($P487,0,AD$13),15-13*ORÇAMENTO!$AF$7)/$H487*OFFSET(ORÇAMENTO!$X$15,ROW(AD487)-ROW(AD$15),0),
ROUND(ROUND(OFFSET($P487,0,AD$13),15-13*ORÇAMENTO!$AF$7)*OFFSET(ORÇAMENTO!$W$15,ROW(AD487)-ROW(AD$15),0),15-13*ORÇAMENTO!$AF$11)),0)</f>
        <v>0</v>
      </c>
      <c r="AE487" s="545">
        <f ca="1">IF(AND($D487="Serviço",AE$12&lt;&gt;0,$H487&gt;0,OR(AUTOEVENTO&lt;&gt;"manual",$M487&lt;&gt;1)),
IF(Import.TipoArredondamento&lt;&gt;"TransfereGOV",
ROUND(OFFSET($P487,0,AE$13),15-13*ORÇAMENTO!$AF$7)/$H487*OFFSET(ORÇAMENTO!$X$15,ROW(AE487)-ROW(AE$15),0),
ROUND(ROUND(OFFSET($P487,0,AE$13),15-13*ORÇAMENTO!$AF$7)*OFFSET(ORÇAMENTO!$W$15,ROW(AE487)-ROW(AE$15),0),15-13*ORÇAMENTO!$AF$11)),0)</f>
        <v>0</v>
      </c>
      <c r="AF487" s="545">
        <f ca="1">IF(AND($D487="Serviço",AF$12&lt;&gt;0,$H487&gt;0,OR(AUTOEVENTO&lt;&gt;"manual",$M487&lt;&gt;1)),
IF(Import.TipoArredondamento&lt;&gt;"TransfereGOV",
ROUND(OFFSET($P487,0,AF$13),15-13*ORÇAMENTO!$AF$7)/$H487*OFFSET(ORÇAMENTO!$X$15,ROW(AF487)-ROW(AF$15),0),
ROUND(ROUND(OFFSET($P487,0,AF$13),15-13*ORÇAMENTO!$AF$7)*OFFSET(ORÇAMENTO!$W$15,ROW(AF487)-ROW(AF$15),0),15-13*ORÇAMENTO!$AF$11)),0)</f>
        <v>0</v>
      </c>
      <c r="AG487" s="545">
        <f ca="1">IF(AND($D487="Serviço",AG$12&lt;&gt;0,$H487&gt;0,OR(AUTOEVENTO&lt;&gt;"manual",$M487&lt;&gt;1)),
IF(Import.TipoArredondamento&lt;&gt;"TransfereGOV",
ROUND(OFFSET($P487,0,AG$13),15-13*ORÇAMENTO!$AF$7)/$H487*OFFSET(ORÇAMENTO!$X$15,ROW(AG487)-ROW(AG$15),0),
ROUND(ROUND(OFFSET($P487,0,AG$13),15-13*ORÇAMENTO!$AF$7)*OFFSET(ORÇAMENTO!$W$15,ROW(AG487)-ROW(AG$15),0),15-13*ORÇAMENTO!$AF$11)),0)</f>
        <v>0</v>
      </c>
      <c r="AH487" s="545">
        <f ca="1">IF(AND($D487="Serviço",AH$12&lt;&gt;0,$H487&gt;0,OR(AUTOEVENTO&lt;&gt;"manual",$M487&lt;&gt;1)),
IF(Import.TipoArredondamento&lt;&gt;"TransfereGOV",
ROUND(OFFSET($P487,0,AH$13),15-13*ORÇAMENTO!$AF$7)/$H487*OFFSET(ORÇAMENTO!$X$15,ROW(AH487)-ROW(AH$15),0),
ROUND(ROUND(OFFSET($P487,0,AH$13),15-13*ORÇAMENTO!$AF$7)*OFFSET(ORÇAMENTO!$W$15,ROW(AH487)-ROW(AH$15),0),15-13*ORÇAMENTO!$AF$11)),0)</f>
        <v>0</v>
      </c>
      <c r="AI487" s="545">
        <f ca="1">IF(AND($D487="Serviço",AI$12&lt;&gt;0,$H487&gt;0,OR(AUTOEVENTO&lt;&gt;"manual",$M487&lt;&gt;1)),
IF(Import.TipoArredondamento&lt;&gt;"TransfereGOV",
ROUND(OFFSET($P487,0,AI$13),15-13*ORÇAMENTO!$AF$7)/$H487*OFFSET(ORÇAMENTO!$X$15,ROW(AI487)-ROW(AI$15),0),
ROUND(ROUND(OFFSET($P487,0,AI$13),15-13*ORÇAMENTO!$AF$7)*OFFSET(ORÇAMENTO!$W$15,ROW(AI487)-ROW(AI$15),0),15-13*ORÇAMENTO!$AF$11)),0)</f>
        <v>0</v>
      </c>
      <c r="AJ487" s="545">
        <f ca="1">IF(AND($D487="Serviço",AJ$12&lt;&gt;0,$H487&gt;0,OR(AUTOEVENTO&lt;&gt;"manual",$M487&lt;&gt;1)),
IF(Import.TipoArredondamento&lt;&gt;"TransfereGOV",
ROUND(OFFSET($P487,0,AJ$13),15-13*ORÇAMENTO!$AF$7)/$H487*OFFSET(ORÇAMENTO!$X$15,ROW(AJ487)-ROW(AJ$15),0),
ROUND(ROUND(OFFSET($P487,0,AJ$13),15-13*ORÇAMENTO!$AF$7)*OFFSET(ORÇAMENTO!$W$15,ROW(AJ487)-ROW(AJ$15),0),15-13*ORÇAMENTO!$AF$11)),0)</f>
        <v>0</v>
      </c>
      <c r="AK487" s="546">
        <f ca="1">IF(AND($D487="Serviço",AK$12&lt;&gt;0,$H487&gt;0,OR(AUTOEVENTO&lt;&gt;"manual",$M487&lt;&gt;1)),
IF(Import.TipoArredondamento&lt;&gt;"TransfereGOV",
ROUND(OFFSET($P487,0,AK$13),15-13*ORÇAMENTO!$AF$7)/$H487*OFFSET(ORÇAMENTO!$X$15,ROW(AK487)-ROW(AK$15),0),
ROUND(ROUND(OFFSET($P487,0,AK$13),15-13*ORÇAMENTO!$AF$7)*OFFSET(ORÇAMENTO!$W$15,ROW(AK487)-ROW(AK$15),0),15-13*ORÇAMENTO!$AF$11)),0)</f>
        <v>0</v>
      </c>
      <c r="AM487" s="181">
        <f ca="1">IF($D487&lt;&gt;"Serviço",0,IF(AND(AUTOEVENTO="Manual",$M487=1),0,IF(OFFSET(CRONOPLE!$F$14,$M487,AM$13)="",10^12,OFFSET(CRONOPLE!$F$14,$M487,AM$13))))</f>
        <v>0</v>
      </c>
      <c r="AN487" s="181">
        <f ca="1">IF($D487&lt;&gt;"Serviço",0,IF(AND(AUTOEVENTO="Manual",$M487=1),0,IF(OFFSET(CRONOPLE!$F$14,$M487,AN$13)="",10^12,OFFSET(CRONOPLE!$F$14,$M487,AN$13))))</f>
        <v>0</v>
      </c>
      <c r="AO487" s="181">
        <f ca="1">IF($D487&lt;&gt;"Serviço",0,IF(AND(AUTOEVENTO="Manual",$M487=1),0,IF(OFFSET(CRONOPLE!$F$14,$M487,AO$13)="",10^12,OFFSET(CRONOPLE!$F$14,$M487,AO$13))))</f>
        <v>0</v>
      </c>
      <c r="AP487" s="181">
        <f ca="1">IF($D487&lt;&gt;"Serviço",0,IF(AND(AUTOEVENTO="Manual",$M487=1),0,IF(OFFSET(CRONOPLE!$F$14,$M487,AP$13)="",10^12,OFFSET(CRONOPLE!$F$14,$M487,AP$13))))</f>
        <v>0</v>
      </c>
      <c r="AQ487" s="181">
        <f ca="1">IF($D487&lt;&gt;"Serviço",0,IF(AND(AUTOEVENTO="Manual",$M487=1),0,IF(OFFSET(CRONOPLE!$F$14,$M487,AQ$13)="",10^12,OFFSET(CRONOPLE!$F$14,$M487,AQ$13))))</f>
        <v>0</v>
      </c>
      <c r="AR487" s="181">
        <f ca="1">IF($D487&lt;&gt;"Serviço",0,IF(AND(AUTOEVENTO="Manual",$M487=1),0,IF(OFFSET(CRONOPLE!$F$14,$M487,AR$13)="",10^12,OFFSET(CRONOPLE!$F$14,$M487,AR$13))))</f>
        <v>0</v>
      </c>
      <c r="AS487" s="181">
        <f ca="1">IF($D487&lt;&gt;"Serviço",0,IF(AND(AUTOEVENTO="Manual",$M487=1),0,IF(OFFSET(CRONOPLE!$F$14,$M487,AS$13)="",10^12,OFFSET(CRONOPLE!$F$14,$M487,AS$13))))</f>
        <v>0</v>
      </c>
      <c r="AT487" s="181">
        <f ca="1">IF($D487&lt;&gt;"Serviço",0,IF(AND(AUTOEVENTO="Manual",$M487=1),0,IF(OFFSET(CRONOPLE!$F$14,$M487,AT$13)="",10^12,OFFSET(CRONOPLE!$F$14,$M487,AT$13))))</f>
        <v>0</v>
      </c>
      <c r="AU487" s="181">
        <f ca="1">IF($D487&lt;&gt;"Serviço",0,IF(AND(AUTOEVENTO="Manual",$M487=1),0,IF(OFFSET(CRONOPLE!$F$14,$M487,AU$13)="",10^12,OFFSET(CRONOPLE!$F$14,$M487,AU$13))))</f>
        <v>0</v>
      </c>
      <c r="AV487" s="181">
        <f ca="1">IF($D487&lt;&gt;"Serviço",0,IF(AND(AUTOEVENTO="Manual",$M487=1),0,IF(OFFSET(CRONOPLE!$F$14,$M487,AV$13)="",10^12,OFFSET(CRONOPLE!$F$14,$M487,AV$13))))</f>
        <v>0</v>
      </c>
      <c r="AX487" s="182">
        <f ca="1">IF($D487&lt;&gt;"Serviço",0,IF(OR(AND(AUTOEVENTO="Manual",$M487=1),$M487&gt;(ROW(PLE.lastrow)-ROW(PLE.firstrow))),0,IF(OFFSET(PLE!$G$14,$M487,AX$13)="",10^12,OFFSET(PLE!$G$14,$M487,AX$13))))</f>
        <v>0</v>
      </c>
      <c r="AY487" s="182">
        <f ca="1">IF($D487&lt;&gt;"Serviço",0,IF(OR(AND(AUTOEVENTO="Manual",$M487=1),$M487&gt;(ROW(PLE.lastrow)-ROW(PLE.firstrow))),0,IF(OFFSET(PLE!$G$14,$M487,AY$13)="",10^12,OFFSET(PLE!$G$14,$M487,AY$13))))</f>
        <v>0</v>
      </c>
      <c r="AZ487" s="182">
        <f ca="1">IF($D487&lt;&gt;"Serviço",0,IF(OR(AND(AUTOEVENTO="Manual",$M487=1),$M487&gt;(ROW(PLE.lastrow)-ROW(PLE.firstrow))),0,IF(OFFSET(PLE!$G$14,$M487,AZ$13)="",10^12,OFFSET(PLE!$G$14,$M487,AZ$13))))</f>
        <v>0</v>
      </c>
      <c r="BA487" s="182">
        <f ca="1">IF($D487&lt;&gt;"Serviço",0,IF(OR(AND(AUTOEVENTO="Manual",$M487=1),$M487&gt;(ROW(PLE.lastrow)-ROW(PLE.firstrow))),0,IF(OFFSET(PLE!$G$14,$M487,BA$13)="",10^12,OFFSET(PLE!$G$14,$M487,BA$13))))</f>
        <v>0</v>
      </c>
      <c r="BB487" s="182">
        <f ca="1">IF($D487&lt;&gt;"Serviço",0,IF(OR(AND(AUTOEVENTO="Manual",$M487=1),$M487&gt;(ROW(PLE.lastrow)-ROW(PLE.firstrow))),0,IF(OFFSET(PLE!$G$14,$M487,BB$13)="",10^12,OFFSET(PLE!$G$14,$M487,BB$13))))</f>
        <v>0</v>
      </c>
      <c r="BC487" s="182">
        <f ca="1">IF($D487&lt;&gt;"Serviço",0,IF(OR(AND(AUTOEVENTO="Manual",$M487=1),$M487&gt;(ROW(PLE.lastrow)-ROW(PLE.firstrow))),0,IF(OFFSET(PLE!$G$14,$M487,BC$13)="",10^12,OFFSET(PLE!$G$14,$M487,BC$13))))</f>
        <v>0</v>
      </c>
      <c r="BD487" s="182">
        <f ca="1">IF($D487&lt;&gt;"Serviço",0,IF(OR(AND(AUTOEVENTO="Manual",$M487=1),$M487&gt;(ROW(PLE.lastrow)-ROW(PLE.firstrow))),0,IF(OFFSET(PLE!$G$14,$M487,BD$13)="",10^12,OFFSET(PLE!$G$14,$M487,BD$13))))</f>
        <v>0</v>
      </c>
      <c r="BE487" s="182">
        <f ca="1">IF($D487&lt;&gt;"Serviço",0,IF(OR(AND(AUTOEVENTO="Manual",$M487=1),$M487&gt;(ROW(PLE.lastrow)-ROW(PLE.firstrow))),0,IF(OFFSET(PLE!$G$14,$M487,BE$13)="",10^12,OFFSET(PLE!$G$14,$M487,BE$13))))</f>
        <v>0</v>
      </c>
      <c r="BF487" s="182">
        <f ca="1">IF($D487&lt;&gt;"Serviço",0,IF(OR(AND(AUTOEVENTO="Manual",$M487=1),$M487&gt;(ROW(PLE.lastrow)-ROW(PLE.firstrow))),0,IF(OFFSET(PLE!$G$14,$M487,BF$13)="",10^12,OFFSET(PLE!$G$14,$M487,BF$13))))</f>
        <v>0</v>
      </c>
      <c r="BG487" s="182">
        <f ca="1">IF($D487&lt;&gt;"Serviço",0,IF(OR(AND(AUTOEVENTO="Manual",$M487=1),$M487&gt;(ROW(PLE.lastrow)-ROW(PLE.firstrow))),0,IF(OFFSET(PLE!$G$14,$M487,BG$13)="",10^12,OFFSET(PLE!$G$14,$M487,BG$13))))</f>
        <v>0</v>
      </c>
    </row>
    <row r="488" spans="1:59" ht="12.75" x14ac:dyDescent="0.2">
      <c r="A488" s="7" t="str">
        <f t="shared" ca="1" si="11"/>
        <v>472.</v>
      </c>
      <c r="B488" s="7">
        <f ca="1">OFFSET(ORÇAMENTO!C$15,ROW(B488)-ROW(B$15),0)</f>
        <v>3</v>
      </c>
      <c r="C488" s="7" t="str">
        <f ca="1">OFFSET(ORÇAMENTO!L$15,ROW(C488)-ROW(C$15),0)</f>
        <v>F</v>
      </c>
      <c r="D488" s="118" t="str">
        <f ca="1">OFFSET(ORÇAMENTO!N$15,ROW(D488)-ROW(D$15),0)</f>
        <v>Nível 3</v>
      </c>
      <c r="E488" s="119" t="str">
        <f ca="1">OFFSET(ORÇAMENTO!O$15,ROW(E488)-ROW(E$15),0)</f>
        <v>1.17.1.</v>
      </c>
      <c r="F488" s="172" t="str">
        <f ca="1">OFFSET(ORÇAMENTO!R$15,ROW(F488)-ROW(F$15),0)</f>
        <v>ACESSÓRIOS PERFILADOS PERFURADOS</v>
      </c>
      <c r="G488" s="173" t="str">
        <f ca="1">IF($D488&lt;&gt;"Serviço","",OFFSET(ORÇAMENTO!S$15,ROW(G488)-ROW(G$15),0))</f>
        <v/>
      </c>
      <c r="H488" s="124">
        <f ca="1">IF($D488&lt;&gt;"Serviço",0,IF(ACOMPANHAMENTO="BM",ROUND(OFFSET(ORÇAMENTO!AJ$15,ROW(H488)-ROW(H$15),0),15-13*ORÇAMENTO!$AF$7),SUMPRODUCT(($Q$12:$AA$12&lt;&gt;"")*ROUND($Q488:$AA488,15-13*ORÇAMENTO!$AF$7))))</f>
        <v>0</v>
      </c>
      <c r="I488" s="561"/>
      <c r="K488" s="174"/>
      <c r="L488" s="175" t="s">
        <v>255</v>
      </c>
      <c r="M488" s="176" t="str">
        <f ca="1">IF($D488&lt;&gt;"Serviço","",IF(AUTOEVENTO="manual",$A488,IF(ISERROR(MATCH($A488,$A$15:OFFSET($A488,-1,0),0)),MAX($M$15:OFFSET(M488,-1,0))+1,INDEX($M$15:OFFSET(M488,-1,0),MATCH($A488,$A$15:OFFSET($A488,-1,0),0)))))</f>
        <v/>
      </c>
      <c r="N488" s="177" t="str">
        <f ca="1">IF($D488&lt;&gt;"Serviço","",IF(AUTOEVENTO="Manual",IF($A488=0,"&lt;-- defina o número do agrupador",OFFSET(EVENTOS!$D$14,$A488,0)),OFFSET($F$15,$A488,0)))</f>
        <v/>
      </c>
      <c r="O488" s="178"/>
      <c r="Q488" s="178"/>
      <c r="R488" s="179"/>
      <c r="S488" s="179"/>
      <c r="T488" s="179"/>
      <c r="U488" s="179"/>
      <c r="V488" s="179"/>
      <c r="W488" s="179"/>
      <c r="X488" s="179"/>
      <c r="Y488" s="179"/>
      <c r="Z488" s="180"/>
      <c r="AB488" s="544">
        <f ca="1">IF(AND($D488="Serviço",AB$12&lt;&gt;0,$H488&gt;0,OR(AUTOEVENTO&lt;&gt;"manual",$M488&lt;&gt;1)),
IF(Import.TipoArredondamento&lt;&gt;"TransfereGOV",
ROUND(OFFSET($P488,0,AB$13),15-13*ORÇAMENTO!$AF$7)/$H488*OFFSET(ORÇAMENTO!$X$15,ROW(AB488)-ROW(AB$15),0),
ROUND(ROUND(OFFSET($P488,0,AB$13),15-13*ORÇAMENTO!$AF$7)*OFFSET(ORÇAMENTO!$W$15,ROW(AB488)-ROW(AB$15),0),15-13*ORÇAMENTO!$AF$11)),0)</f>
        <v>0</v>
      </c>
      <c r="AC488" s="545">
        <f ca="1">IF(AND($D488="Serviço",AC$12&lt;&gt;0,$H488&gt;0,OR(AUTOEVENTO&lt;&gt;"manual",$M488&lt;&gt;1)),
IF(Import.TipoArredondamento&lt;&gt;"TransfereGOV",
ROUND(OFFSET($P488,0,AC$13),15-13*ORÇAMENTO!$AF$7)/$H488*OFFSET(ORÇAMENTO!$X$15,ROW(AC488)-ROW(AC$15),0),
ROUND(ROUND(OFFSET($P488,0,AC$13),15-13*ORÇAMENTO!$AF$7)*OFFSET(ORÇAMENTO!$W$15,ROW(AC488)-ROW(AC$15),0),15-13*ORÇAMENTO!$AF$11)),0)</f>
        <v>0</v>
      </c>
      <c r="AD488" s="545">
        <f ca="1">IF(AND($D488="Serviço",AD$12&lt;&gt;0,$H488&gt;0,OR(AUTOEVENTO&lt;&gt;"manual",$M488&lt;&gt;1)),
IF(Import.TipoArredondamento&lt;&gt;"TransfereGOV",
ROUND(OFFSET($P488,0,AD$13),15-13*ORÇAMENTO!$AF$7)/$H488*OFFSET(ORÇAMENTO!$X$15,ROW(AD488)-ROW(AD$15),0),
ROUND(ROUND(OFFSET($P488,0,AD$13),15-13*ORÇAMENTO!$AF$7)*OFFSET(ORÇAMENTO!$W$15,ROW(AD488)-ROW(AD$15),0),15-13*ORÇAMENTO!$AF$11)),0)</f>
        <v>0</v>
      </c>
      <c r="AE488" s="545">
        <f ca="1">IF(AND($D488="Serviço",AE$12&lt;&gt;0,$H488&gt;0,OR(AUTOEVENTO&lt;&gt;"manual",$M488&lt;&gt;1)),
IF(Import.TipoArredondamento&lt;&gt;"TransfereGOV",
ROUND(OFFSET($P488,0,AE$13),15-13*ORÇAMENTO!$AF$7)/$H488*OFFSET(ORÇAMENTO!$X$15,ROW(AE488)-ROW(AE$15),0),
ROUND(ROUND(OFFSET($P488,0,AE$13),15-13*ORÇAMENTO!$AF$7)*OFFSET(ORÇAMENTO!$W$15,ROW(AE488)-ROW(AE$15),0),15-13*ORÇAMENTO!$AF$11)),0)</f>
        <v>0</v>
      </c>
      <c r="AF488" s="545">
        <f ca="1">IF(AND($D488="Serviço",AF$12&lt;&gt;0,$H488&gt;0,OR(AUTOEVENTO&lt;&gt;"manual",$M488&lt;&gt;1)),
IF(Import.TipoArredondamento&lt;&gt;"TransfereGOV",
ROUND(OFFSET($P488,0,AF$13),15-13*ORÇAMENTO!$AF$7)/$H488*OFFSET(ORÇAMENTO!$X$15,ROW(AF488)-ROW(AF$15),0),
ROUND(ROUND(OFFSET($P488,0,AF$13),15-13*ORÇAMENTO!$AF$7)*OFFSET(ORÇAMENTO!$W$15,ROW(AF488)-ROW(AF$15),0),15-13*ORÇAMENTO!$AF$11)),0)</f>
        <v>0</v>
      </c>
      <c r="AG488" s="545">
        <f ca="1">IF(AND($D488="Serviço",AG$12&lt;&gt;0,$H488&gt;0,OR(AUTOEVENTO&lt;&gt;"manual",$M488&lt;&gt;1)),
IF(Import.TipoArredondamento&lt;&gt;"TransfereGOV",
ROUND(OFFSET($P488,0,AG$13),15-13*ORÇAMENTO!$AF$7)/$H488*OFFSET(ORÇAMENTO!$X$15,ROW(AG488)-ROW(AG$15),0),
ROUND(ROUND(OFFSET($P488,0,AG$13),15-13*ORÇAMENTO!$AF$7)*OFFSET(ORÇAMENTO!$W$15,ROW(AG488)-ROW(AG$15),0),15-13*ORÇAMENTO!$AF$11)),0)</f>
        <v>0</v>
      </c>
      <c r="AH488" s="545">
        <f ca="1">IF(AND($D488="Serviço",AH$12&lt;&gt;0,$H488&gt;0,OR(AUTOEVENTO&lt;&gt;"manual",$M488&lt;&gt;1)),
IF(Import.TipoArredondamento&lt;&gt;"TransfereGOV",
ROUND(OFFSET($P488,0,AH$13),15-13*ORÇAMENTO!$AF$7)/$H488*OFFSET(ORÇAMENTO!$X$15,ROW(AH488)-ROW(AH$15),0),
ROUND(ROUND(OFFSET($P488,0,AH$13),15-13*ORÇAMENTO!$AF$7)*OFFSET(ORÇAMENTO!$W$15,ROW(AH488)-ROW(AH$15),0),15-13*ORÇAMENTO!$AF$11)),0)</f>
        <v>0</v>
      </c>
      <c r="AI488" s="545">
        <f ca="1">IF(AND($D488="Serviço",AI$12&lt;&gt;0,$H488&gt;0,OR(AUTOEVENTO&lt;&gt;"manual",$M488&lt;&gt;1)),
IF(Import.TipoArredondamento&lt;&gt;"TransfereGOV",
ROUND(OFFSET($P488,0,AI$13),15-13*ORÇAMENTO!$AF$7)/$H488*OFFSET(ORÇAMENTO!$X$15,ROW(AI488)-ROW(AI$15),0),
ROUND(ROUND(OFFSET($P488,0,AI$13),15-13*ORÇAMENTO!$AF$7)*OFFSET(ORÇAMENTO!$W$15,ROW(AI488)-ROW(AI$15),0),15-13*ORÇAMENTO!$AF$11)),0)</f>
        <v>0</v>
      </c>
      <c r="AJ488" s="545">
        <f ca="1">IF(AND($D488="Serviço",AJ$12&lt;&gt;0,$H488&gt;0,OR(AUTOEVENTO&lt;&gt;"manual",$M488&lt;&gt;1)),
IF(Import.TipoArredondamento&lt;&gt;"TransfereGOV",
ROUND(OFFSET($P488,0,AJ$13),15-13*ORÇAMENTO!$AF$7)/$H488*OFFSET(ORÇAMENTO!$X$15,ROW(AJ488)-ROW(AJ$15),0),
ROUND(ROUND(OFFSET($P488,0,AJ$13),15-13*ORÇAMENTO!$AF$7)*OFFSET(ORÇAMENTO!$W$15,ROW(AJ488)-ROW(AJ$15),0),15-13*ORÇAMENTO!$AF$11)),0)</f>
        <v>0</v>
      </c>
      <c r="AK488" s="546">
        <f ca="1">IF(AND($D488="Serviço",AK$12&lt;&gt;0,$H488&gt;0,OR(AUTOEVENTO&lt;&gt;"manual",$M488&lt;&gt;1)),
IF(Import.TipoArredondamento&lt;&gt;"TransfereGOV",
ROUND(OFFSET($P488,0,AK$13),15-13*ORÇAMENTO!$AF$7)/$H488*OFFSET(ORÇAMENTO!$X$15,ROW(AK488)-ROW(AK$15),0),
ROUND(ROUND(OFFSET($P488,0,AK$13),15-13*ORÇAMENTO!$AF$7)*OFFSET(ORÇAMENTO!$W$15,ROW(AK488)-ROW(AK$15),0),15-13*ORÇAMENTO!$AF$11)),0)</f>
        <v>0</v>
      </c>
      <c r="AM488" s="181">
        <f ca="1">IF($D488&lt;&gt;"Serviço",0,IF(AND(AUTOEVENTO="Manual",$M488=1),0,IF(OFFSET(CRONOPLE!$F$14,$M488,AM$13)="",10^12,OFFSET(CRONOPLE!$F$14,$M488,AM$13))))</f>
        <v>0</v>
      </c>
      <c r="AN488" s="181">
        <f ca="1">IF($D488&lt;&gt;"Serviço",0,IF(AND(AUTOEVENTO="Manual",$M488=1),0,IF(OFFSET(CRONOPLE!$F$14,$M488,AN$13)="",10^12,OFFSET(CRONOPLE!$F$14,$M488,AN$13))))</f>
        <v>0</v>
      </c>
      <c r="AO488" s="181">
        <f ca="1">IF($D488&lt;&gt;"Serviço",0,IF(AND(AUTOEVENTO="Manual",$M488=1),0,IF(OFFSET(CRONOPLE!$F$14,$M488,AO$13)="",10^12,OFFSET(CRONOPLE!$F$14,$M488,AO$13))))</f>
        <v>0</v>
      </c>
      <c r="AP488" s="181">
        <f ca="1">IF($D488&lt;&gt;"Serviço",0,IF(AND(AUTOEVENTO="Manual",$M488=1),0,IF(OFFSET(CRONOPLE!$F$14,$M488,AP$13)="",10^12,OFFSET(CRONOPLE!$F$14,$M488,AP$13))))</f>
        <v>0</v>
      </c>
      <c r="AQ488" s="181">
        <f ca="1">IF($D488&lt;&gt;"Serviço",0,IF(AND(AUTOEVENTO="Manual",$M488=1),0,IF(OFFSET(CRONOPLE!$F$14,$M488,AQ$13)="",10^12,OFFSET(CRONOPLE!$F$14,$M488,AQ$13))))</f>
        <v>0</v>
      </c>
      <c r="AR488" s="181">
        <f ca="1">IF($D488&lt;&gt;"Serviço",0,IF(AND(AUTOEVENTO="Manual",$M488=1),0,IF(OFFSET(CRONOPLE!$F$14,$M488,AR$13)="",10^12,OFFSET(CRONOPLE!$F$14,$M488,AR$13))))</f>
        <v>0</v>
      </c>
      <c r="AS488" s="181">
        <f ca="1">IF($D488&lt;&gt;"Serviço",0,IF(AND(AUTOEVENTO="Manual",$M488=1),0,IF(OFFSET(CRONOPLE!$F$14,$M488,AS$13)="",10^12,OFFSET(CRONOPLE!$F$14,$M488,AS$13))))</f>
        <v>0</v>
      </c>
      <c r="AT488" s="181">
        <f ca="1">IF($D488&lt;&gt;"Serviço",0,IF(AND(AUTOEVENTO="Manual",$M488=1),0,IF(OFFSET(CRONOPLE!$F$14,$M488,AT$13)="",10^12,OFFSET(CRONOPLE!$F$14,$M488,AT$13))))</f>
        <v>0</v>
      </c>
      <c r="AU488" s="181">
        <f ca="1">IF($D488&lt;&gt;"Serviço",0,IF(AND(AUTOEVENTO="Manual",$M488=1),0,IF(OFFSET(CRONOPLE!$F$14,$M488,AU$13)="",10^12,OFFSET(CRONOPLE!$F$14,$M488,AU$13))))</f>
        <v>0</v>
      </c>
      <c r="AV488" s="181">
        <f ca="1">IF($D488&lt;&gt;"Serviço",0,IF(AND(AUTOEVENTO="Manual",$M488=1),0,IF(OFFSET(CRONOPLE!$F$14,$M488,AV$13)="",10^12,OFFSET(CRONOPLE!$F$14,$M488,AV$13))))</f>
        <v>0</v>
      </c>
      <c r="AX488" s="182">
        <f ca="1">IF($D488&lt;&gt;"Serviço",0,IF(OR(AND(AUTOEVENTO="Manual",$M488=1),$M488&gt;(ROW(PLE.lastrow)-ROW(PLE.firstrow))),0,IF(OFFSET(PLE!$G$14,$M488,AX$13)="",10^12,OFFSET(PLE!$G$14,$M488,AX$13))))</f>
        <v>0</v>
      </c>
      <c r="AY488" s="182">
        <f ca="1">IF($D488&lt;&gt;"Serviço",0,IF(OR(AND(AUTOEVENTO="Manual",$M488=1),$M488&gt;(ROW(PLE.lastrow)-ROW(PLE.firstrow))),0,IF(OFFSET(PLE!$G$14,$M488,AY$13)="",10^12,OFFSET(PLE!$G$14,$M488,AY$13))))</f>
        <v>0</v>
      </c>
      <c r="AZ488" s="182">
        <f ca="1">IF($D488&lt;&gt;"Serviço",0,IF(OR(AND(AUTOEVENTO="Manual",$M488=1),$M488&gt;(ROW(PLE.lastrow)-ROW(PLE.firstrow))),0,IF(OFFSET(PLE!$G$14,$M488,AZ$13)="",10^12,OFFSET(PLE!$G$14,$M488,AZ$13))))</f>
        <v>0</v>
      </c>
      <c r="BA488" s="182">
        <f ca="1">IF($D488&lt;&gt;"Serviço",0,IF(OR(AND(AUTOEVENTO="Manual",$M488=1),$M488&gt;(ROW(PLE.lastrow)-ROW(PLE.firstrow))),0,IF(OFFSET(PLE!$G$14,$M488,BA$13)="",10^12,OFFSET(PLE!$G$14,$M488,BA$13))))</f>
        <v>0</v>
      </c>
      <c r="BB488" s="182">
        <f ca="1">IF($D488&lt;&gt;"Serviço",0,IF(OR(AND(AUTOEVENTO="Manual",$M488=1),$M488&gt;(ROW(PLE.lastrow)-ROW(PLE.firstrow))),0,IF(OFFSET(PLE!$G$14,$M488,BB$13)="",10^12,OFFSET(PLE!$G$14,$M488,BB$13))))</f>
        <v>0</v>
      </c>
      <c r="BC488" s="182">
        <f ca="1">IF($D488&lt;&gt;"Serviço",0,IF(OR(AND(AUTOEVENTO="Manual",$M488=1),$M488&gt;(ROW(PLE.lastrow)-ROW(PLE.firstrow))),0,IF(OFFSET(PLE!$G$14,$M488,BC$13)="",10^12,OFFSET(PLE!$G$14,$M488,BC$13))))</f>
        <v>0</v>
      </c>
      <c r="BD488" s="182">
        <f ca="1">IF($D488&lt;&gt;"Serviço",0,IF(OR(AND(AUTOEVENTO="Manual",$M488=1),$M488&gt;(ROW(PLE.lastrow)-ROW(PLE.firstrow))),0,IF(OFFSET(PLE!$G$14,$M488,BD$13)="",10^12,OFFSET(PLE!$G$14,$M488,BD$13))))</f>
        <v>0</v>
      </c>
      <c r="BE488" s="182">
        <f ca="1">IF($D488&lt;&gt;"Serviço",0,IF(OR(AND(AUTOEVENTO="Manual",$M488=1),$M488&gt;(ROW(PLE.lastrow)-ROW(PLE.firstrow))),0,IF(OFFSET(PLE!$G$14,$M488,BE$13)="",10^12,OFFSET(PLE!$G$14,$M488,BE$13))))</f>
        <v>0</v>
      </c>
      <c r="BF488" s="182">
        <f ca="1">IF($D488&lt;&gt;"Serviço",0,IF(OR(AND(AUTOEVENTO="Manual",$M488=1),$M488&gt;(ROW(PLE.lastrow)-ROW(PLE.firstrow))),0,IF(OFFSET(PLE!$G$14,$M488,BF$13)="",10^12,OFFSET(PLE!$G$14,$M488,BF$13))))</f>
        <v>0</v>
      </c>
      <c r="BG488" s="182">
        <f ca="1">IF($D488&lt;&gt;"Serviço",0,IF(OR(AND(AUTOEVENTO="Manual",$M488=1),$M488&gt;(ROW(PLE.lastrow)-ROW(PLE.firstrow))),0,IF(OFFSET(PLE!$G$14,$M488,BG$13)="",10^12,OFFSET(PLE!$G$14,$M488,BG$13))))</f>
        <v>0</v>
      </c>
    </row>
    <row r="489" spans="1:59" ht="25.5" x14ac:dyDescent="0.2">
      <c r="A489" s="7" t="str">
        <f t="shared" ca="1" si="11"/>
        <v>472</v>
      </c>
      <c r="B489" s="7" t="str">
        <f ca="1">OFFSET(ORÇAMENTO!C$15,ROW(B489)-ROW(B$15),0)</f>
        <v>S</v>
      </c>
      <c r="C489" s="7" t="str">
        <f ca="1">OFFSET(ORÇAMENTO!L$15,ROW(C489)-ROW(C$15),0)</f>
        <v/>
      </c>
      <c r="D489" s="118" t="str">
        <f ca="1">OFFSET(ORÇAMENTO!N$15,ROW(D489)-ROW(D$15),0)</f>
        <v>Serviço</v>
      </c>
      <c r="E489" s="119" t="str">
        <f ca="1">OFFSET(ORÇAMENTO!O$15,ROW(E489)-ROW(E$15),0)</f>
        <v>-</v>
      </c>
      <c r="F489" s="172" t="str">
        <f ca="1">OFFSET(ORÇAMENTO!R$15,ROW(F489)-ROW(F$15),0)</f>
        <v>(abra o arquivo 'Referência 02-2025.xlsm)</v>
      </c>
      <c r="G489" s="173" t="str">
        <f ca="1">IF($D489&lt;&gt;"Serviço","",OFFSET(ORÇAMENTO!S$15,ROW(G489)-ROW(G$15),0))</f>
        <v>-</v>
      </c>
      <c r="H489" s="124">
        <f ca="1">IF($D489&lt;&gt;"Serviço",0,IF(ACOMPANHAMENTO="BM",ROUND(OFFSET(ORÇAMENTO!AJ$15,ROW(H489)-ROW(H$15),0),15-13*ORÇAMENTO!$AF$7),SUMPRODUCT(($Q$12:$AA$12&lt;&gt;"")*ROUND($Q489:$AA489,15-13*ORÇAMENTO!$AF$7))))</f>
        <v>1</v>
      </c>
      <c r="I489" s="561" t="s">
        <v>890</v>
      </c>
      <c r="K489" s="174"/>
      <c r="L489" s="175" t="s">
        <v>255</v>
      </c>
      <c r="M489" s="176">
        <f ca="1">IF($D489&lt;&gt;"Serviço","",IF(AUTOEVENTO="manual",$A489,IF(ISERROR(MATCH($A489,$A$15:OFFSET($A489,-1,0),0)),MAX($M$15:OFFSET(M489,-1,0))+1,INDEX($M$15:OFFSET(M489,-1,0),MATCH($A489,$A$15:OFFSET($A489,-1,0),0)))))</f>
        <v>18</v>
      </c>
      <c r="N489" s="177" t="str">
        <f ca="1">IF($D489&lt;&gt;"Serviço","",IF(AUTOEVENTO="Manual",IF($A489=0,"&lt;-- defina o número do agrupador",OFFSET(EVENTOS!$D$14,$A489,0)),OFFSET($F$15,$A489,0)))</f>
        <v>INSTALAÇÕES ELÉTRICAS - 220V</v>
      </c>
      <c r="O489" s="178"/>
      <c r="Q489" s="178"/>
      <c r="R489" s="179"/>
      <c r="S489" s="179"/>
      <c r="T489" s="179"/>
      <c r="U489" s="179"/>
      <c r="V489" s="179"/>
      <c r="W489" s="179"/>
      <c r="X489" s="179"/>
      <c r="Y489" s="179"/>
      <c r="Z489" s="180"/>
      <c r="AB489" s="544">
        <f ca="1">IF(AND($D489="Serviço",AB$12&lt;&gt;0,$H489&gt;0,OR(AUTOEVENTO&lt;&gt;"manual",$M489&lt;&gt;1)),
IF(Import.TipoArredondamento&lt;&gt;"TransfereGOV",
ROUND(OFFSET($P489,0,AB$13),15-13*ORÇAMENTO!$AF$7)/$H489*OFFSET(ORÇAMENTO!$X$15,ROW(AB489)-ROW(AB$15),0),
ROUND(ROUND(OFFSET($P489,0,AB$13),15-13*ORÇAMENTO!$AF$7)*OFFSET(ORÇAMENTO!$W$15,ROW(AB489)-ROW(AB$15),0),15-13*ORÇAMENTO!$AF$11)),0)</f>
        <v>0</v>
      </c>
      <c r="AC489" s="545">
        <f ca="1">IF(AND($D489="Serviço",AC$12&lt;&gt;0,$H489&gt;0,OR(AUTOEVENTO&lt;&gt;"manual",$M489&lt;&gt;1)),
IF(Import.TipoArredondamento&lt;&gt;"TransfereGOV",
ROUND(OFFSET($P489,0,AC$13),15-13*ORÇAMENTO!$AF$7)/$H489*OFFSET(ORÇAMENTO!$X$15,ROW(AC489)-ROW(AC$15),0),
ROUND(ROUND(OFFSET($P489,0,AC$13),15-13*ORÇAMENTO!$AF$7)*OFFSET(ORÇAMENTO!$W$15,ROW(AC489)-ROW(AC$15),0),15-13*ORÇAMENTO!$AF$11)),0)</f>
        <v>0</v>
      </c>
      <c r="AD489" s="545">
        <f ca="1">IF(AND($D489="Serviço",AD$12&lt;&gt;0,$H489&gt;0,OR(AUTOEVENTO&lt;&gt;"manual",$M489&lt;&gt;1)),
IF(Import.TipoArredondamento&lt;&gt;"TransfereGOV",
ROUND(OFFSET($P489,0,AD$13),15-13*ORÇAMENTO!$AF$7)/$H489*OFFSET(ORÇAMENTO!$X$15,ROW(AD489)-ROW(AD$15),0),
ROUND(ROUND(OFFSET($P489,0,AD$13),15-13*ORÇAMENTO!$AF$7)*OFFSET(ORÇAMENTO!$W$15,ROW(AD489)-ROW(AD$15),0),15-13*ORÇAMENTO!$AF$11)),0)</f>
        <v>0</v>
      </c>
      <c r="AE489" s="545">
        <f ca="1">IF(AND($D489="Serviço",AE$12&lt;&gt;0,$H489&gt;0,OR(AUTOEVENTO&lt;&gt;"manual",$M489&lt;&gt;1)),
IF(Import.TipoArredondamento&lt;&gt;"TransfereGOV",
ROUND(OFFSET($P489,0,AE$13),15-13*ORÇAMENTO!$AF$7)/$H489*OFFSET(ORÇAMENTO!$X$15,ROW(AE489)-ROW(AE$15),0),
ROUND(ROUND(OFFSET($P489,0,AE$13),15-13*ORÇAMENTO!$AF$7)*OFFSET(ORÇAMENTO!$W$15,ROW(AE489)-ROW(AE$15),0),15-13*ORÇAMENTO!$AF$11)),0)</f>
        <v>0</v>
      </c>
      <c r="AF489" s="545">
        <f ca="1">IF(AND($D489="Serviço",AF$12&lt;&gt;0,$H489&gt;0,OR(AUTOEVENTO&lt;&gt;"manual",$M489&lt;&gt;1)),
IF(Import.TipoArredondamento&lt;&gt;"TransfereGOV",
ROUND(OFFSET($P489,0,AF$13),15-13*ORÇAMENTO!$AF$7)/$H489*OFFSET(ORÇAMENTO!$X$15,ROW(AF489)-ROW(AF$15),0),
ROUND(ROUND(OFFSET($P489,0,AF$13),15-13*ORÇAMENTO!$AF$7)*OFFSET(ORÇAMENTO!$W$15,ROW(AF489)-ROW(AF$15),0),15-13*ORÇAMENTO!$AF$11)),0)</f>
        <v>0</v>
      </c>
      <c r="AG489" s="545">
        <f ca="1">IF(AND($D489="Serviço",AG$12&lt;&gt;0,$H489&gt;0,OR(AUTOEVENTO&lt;&gt;"manual",$M489&lt;&gt;1)),
IF(Import.TipoArredondamento&lt;&gt;"TransfereGOV",
ROUND(OFFSET($P489,0,AG$13),15-13*ORÇAMENTO!$AF$7)/$H489*OFFSET(ORÇAMENTO!$X$15,ROW(AG489)-ROW(AG$15),0),
ROUND(ROUND(OFFSET($P489,0,AG$13),15-13*ORÇAMENTO!$AF$7)*OFFSET(ORÇAMENTO!$W$15,ROW(AG489)-ROW(AG$15),0),15-13*ORÇAMENTO!$AF$11)),0)</f>
        <v>0</v>
      </c>
      <c r="AH489" s="545">
        <f ca="1">IF(AND($D489="Serviço",AH$12&lt;&gt;0,$H489&gt;0,OR(AUTOEVENTO&lt;&gt;"manual",$M489&lt;&gt;1)),
IF(Import.TipoArredondamento&lt;&gt;"TransfereGOV",
ROUND(OFFSET($P489,0,AH$13),15-13*ORÇAMENTO!$AF$7)/$H489*OFFSET(ORÇAMENTO!$X$15,ROW(AH489)-ROW(AH$15),0),
ROUND(ROUND(OFFSET($P489,0,AH$13),15-13*ORÇAMENTO!$AF$7)*OFFSET(ORÇAMENTO!$W$15,ROW(AH489)-ROW(AH$15),0),15-13*ORÇAMENTO!$AF$11)),0)</f>
        <v>0</v>
      </c>
      <c r="AI489" s="545">
        <f ca="1">IF(AND($D489="Serviço",AI$12&lt;&gt;0,$H489&gt;0,OR(AUTOEVENTO&lt;&gt;"manual",$M489&lt;&gt;1)),
IF(Import.TipoArredondamento&lt;&gt;"TransfereGOV",
ROUND(OFFSET($P489,0,AI$13),15-13*ORÇAMENTO!$AF$7)/$H489*OFFSET(ORÇAMENTO!$X$15,ROW(AI489)-ROW(AI$15),0),
ROUND(ROUND(OFFSET($P489,0,AI$13),15-13*ORÇAMENTO!$AF$7)*OFFSET(ORÇAMENTO!$W$15,ROW(AI489)-ROW(AI$15),0),15-13*ORÇAMENTO!$AF$11)),0)</f>
        <v>0</v>
      </c>
      <c r="AJ489" s="545">
        <f ca="1">IF(AND($D489="Serviço",AJ$12&lt;&gt;0,$H489&gt;0,OR(AUTOEVENTO&lt;&gt;"manual",$M489&lt;&gt;1)),
IF(Import.TipoArredondamento&lt;&gt;"TransfereGOV",
ROUND(OFFSET($P489,0,AJ$13),15-13*ORÇAMENTO!$AF$7)/$H489*OFFSET(ORÇAMENTO!$X$15,ROW(AJ489)-ROW(AJ$15),0),
ROUND(ROUND(OFFSET($P489,0,AJ$13),15-13*ORÇAMENTO!$AF$7)*OFFSET(ORÇAMENTO!$W$15,ROW(AJ489)-ROW(AJ$15),0),15-13*ORÇAMENTO!$AF$11)),0)</f>
        <v>0</v>
      </c>
      <c r="AK489" s="546">
        <f ca="1">IF(AND($D489="Serviço",AK$12&lt;&gt;0,$H489&gt;0,OR(AUTOEVENTO&lt;&gt;"manual",$M489&lt;&gt;1)),
IF(Import.TipoArredondamento&lt;&gt;"TransfereGOV",
ROUND(OFFSET($P489,0,AK$13),15-13*ORÇAMENTO!$AF$7)/$H489*OFFSET(ORÇAMENTO!$X$15,ROW(AK489)-ROW(AK$15),0),
ROUND(ROUND(OFFSET($P489,0,AK$13),15-13*ORÇAMENTO!$AF$7)*OFFSET(ORÇAMENTO!$W$15,ROW(AK489)-ROW(AK$15),0),15-13*ORÇAMENTO!$AF$11)),0)</f>
        <v>0</v>
      </c>
      <c r="AM489" s="181">
        <f ca="1">IF($D489&lt;&gt;"Serviço",0,IF(AND(AUTOEVENTO="Manual",$M489=1),0,IF(OFFSET(CRONOPLE!$F$14,$M489,AM$13)="",10^12,OFFSET(CRONOPLE!$F$14,$M489,AM$13))))</f>
        <v>1000000000000</v>
      </c>
      <c r="AN489" s="181">
        <f ca="1">IF($D489&lt;&gt;"Serviço",0,IF(AND(AUTOEVENTO="Manual",$M489=1),0,IF(OFFSET(CRONOPLE!$F$14,$M489,AN$13)="",10^12,OFFSET(CRONOPLE!$F$14,$M489,AN$13))))</f>
        <v>1000000000000</v>
      </c>
      <c r="AO489" s="181">
        <f ca="1">IF($D489&lt;&gt;"Serviço",0,IF(AND(AUTOEVENTO="Manual",$M489=1),0,IF(OFFSET(CRONOPLE!$F$14,$M489,AO$13)="",10^12,OFFSET(CRONOPLE!$F$14,$M489,AO$13))))</f>
        <v>1000000000000</v>
      </c>
      <c r="AP489" s="181">
        <f ca="1">IF($D489&lt;&gt;"Serviço",0,IF(AND(AUTOEVENTO="Manual",$M489=1),0,IF(OFFSET(CRONOPLE!$F$14,$M489,AP$13)="",10^12,OFFSET(CRONOPLE!$F$14,$M489,AP$13))))</f>
        <v>1000000000000</v>
      </c>
      <c r="AQ489" s="181">
        <f ca="1">IF($D489&lt;&gt;"Serviço",0,IF(AND(AUTOEVENTO="Manual",$M489=1),0,IF(OFFSET(CRONOPLE!$F$14,$M489,AQ$13)="",10^12,OFFSET(CRONOPLE!$F$14,$M489,AQ$13))))</f>
        <v>1000000000000</v>
      </c>
      <c r="AR489" s="181">
        <f ca="1">IF($D489&lt;&gt;"Serviço",0,IF(AND(AUTOEVENTO="Manual",$M489=1),0,IF(OFFSET(CRONOPLE!$F$14,$M489,AR$13)="",10^12,OFFSET(CRONOPLE!$F$14,$M489,AR$13))))</f>
        <v>1000000000000</v>
      </c>
      <c r="AS489" s="181">
        <f ca="1">IF($D489&lt;&gt;"Serviço",0,IF(AND(AUTOEVENTO="Manual",$M489=1),0,IF(OFFSET(CRONOPLE!$F$14,$M489,AS$13)="",10^12,OFFSET(CRONOPLE!$F$14,$M489,AS$13))))</f>
        <v>1000000000000</v>
      </c>
      <c r="AT489" s="181">
        <f ca="1">IF($D489&lt;&gt;"Serviço",0,IF(AND(AUTOEVENTO="Manual",$M489=1),0,IF(OFFSET(CRONOPLE!$F$14,$M489,AT$13)="",10^12,OFFSET(CRONOPLE!$F$14,$M489,AT$13))))</f>
        <v>1000000000000</v>
      </c>
      <c r="AU489" s="181">
        <f ca="1">IF($D489&lt;&gt;"Serviço",0,IF(AND(AUTOEVENTO="Manual",$M489=1),0,IF(OFFSET(CRONOPLE!$F$14,$M489,AU$13)="",10^12,OFFSET(CRONOPLE!$F$14,$M489,AU$13))))</f>
        <v>1000000000000</v>
      </c>
      <c r="AV489" s="181">
        <f ca="1">IF($D489&lt;&gt;"Serviço",0,IF(AND(AUTOEVENTO="Manual",$M489=1),0,IF(OFFSET(CRONOPLE!$F$14,$M489,AV$13)="",10^12,OFFSET(CRONOPLE!$F$14,$M489,AV$13))))</f>
        <v>1000000000000</v>
      </c>
      <c r="AX489" s="182">
        <f ca="1">IF($D489&lt;&gt;"Serviço",0,IF(OR(AND(AUTOEVENTO="Manual",$M489=1),$M489&gt;(ROW(PLE.lastrow)-ROW(PLE.firstrow))),0,IF(OFFSET(PLE!$G$14,$M489,AX$13)="",10^12,OFFSET(PLE!$G$14,$M489,AX$13))))</f>
        <v>1000000000000</v>
      </c>
      <c r="AY489" s="182">
        <f ca="1">IF($D489&lt;&gt;"Serviço",0,IF(OR(AND(AUTOEVENTO="Manual",$M489=1),$M489&gt;(ROW(PLE.lastrow)-ROW(PLE.firstrow))),0,IF(OFFSET(PLE!$G$14,$M489,AY$13)="",10^12,OFFSET(PLE!$G$14,$M489,AY$13))))</f>
        <v>1000000000000</v>
      </c>
      <c r="AZ489" s="182">
        <f ca="1">IF($D489&lt;&gt;"Serviço",0,IF(OR(AND(AUTOEVENTO="Manual",$M489=1),$M489&gt;(ROW(PLE.lastrow)-ROW(PLE.firstrow))),0,IF(OFFSET(PLE!$G$14,$M489,AZ$13)="",10^12,OFFSET(PLE!$G$14,$M489,AZ$13))))</f>
        <v>1000000000000</v>
      </c>
      <c r="BA489" s="182">
        <f ca="1">IF($D489&lt;&gt;"Serviço",0,IF(OR(AND(AUTOEVENTO="Manual",$M489=1),$M489&gt;(ROW(PLE.lastrow)-ROW(PLE.firstrow))),0,IF(OFFSET(PLE!$G$14,$M489,BA$13)="",10^12,OFFSET(PLE!$G$14,$M489,BA$13))))</f>
        <v>1000000000000</v>
      </c>
      <c r="BB489" s="182">
        <f ca="1">IF($D489&lt;&gt;"Serviço",0,IF(OR(AND(AUTOEVENTO="Manual",$M489=1),$M489&gt;(ROW(PLE.lastrow)-ROW(PLE.firstrow))),0,IF(OFFSET(PLE!$G$14,$M489,BB$13)="",10^12,OFFSET(PLE!$G$14,$M489,BB$13))))</f>
        <v>1000000000000</v>
      </c>
      <c r="BC489" s="182">
        <f ca="1">IF($D489&lt;&gt;"Serviço",0,IF(OR(AND(AUTOEVENTO="Manual",$M489=1),$M489&gt;(ROW(PLE.lastrow)-ROW(PLE.firstrow))),0,IF(OFFSET(PLE!$G$14,$M489,BC$13)="",10^12,OFFSET(PLE!$G$14,$M489,BC$13))))</f>
        <v>1000000000000</v>
      </c>
      <c r="BD489" s="182">
        <f ca="1">IF($D489&lt;&gt;"Serviço",0,IF(OR(AND(AUTOEVENTO="Manual",$M489=1),$M489&gt;(ROW(PLE.lastrow)-ROW(PLE.firstrow))),0,IF(OFFSET(PLE!$G$14,$M489,BD$13)="",10^12,OFFSET(PLE!$G$14,$M489,BD$13))))</f>
        <v>1000000000000</v>
      </c>
      <c r="BE489" s="182">
        <f ca="1">IF($D489&lt;&gt;"Serviço",0,IF(OR(AND(AUTOEVENTO="Manual",$M489=1),$M489&gt;(ROW(PLE.lastrow)-ROW(PLE.firstrow))),0,IF(OFFSET(PLE!$G$14,$M489,BE$13)="",10^12,OFFSET(PLE!$G$14,$M489,BE$13))))</f>
        <v>1000000000000</v>
      </c>
      <c r="BF489" s="182">
        <f ca="1">IF($D489&lt;&gt;"Serviço",0,IF(OR(AND(AUTOEVENTO="Manual",$M489=1),$M489&gt;(ROW(PLE.lastrow)-ROW(PLE.firstrow))),0,IF(OFFSET(PLE!$G$14,$M489,BF$13)="",10^12,OFFSET(PLE!$G$14,$M489,BF$13))))</f>
        <v>1000000000000</v>
      </c>
      <c r="BG489" s="182">
        <f ca="1">IF($D489&lt;&gt;"Serviço",0,IF(OR(AND(AUTOEVENTO="Manual",$M489=1),$M489&gt;(ROW(PLE.lastrow)-ROW(PLE.firstrow))),0,IF(OFFSET(PLE!$G$14,$M489,BG$13)="",10^12,OFFSET(PLE!$G$14,$M489,BG$13))))</f>
        <v>1000000000000</v>
      </c>
    </row>
    <row r="490" spans="1:59" ht="25.5" x14ac:dyDescent="0.2">
      <c r="A490" s="7" t="str">
        <f t="shared" ca="1" si="11"/>
        <v>472</v>
      </c>
      <c r="B490" s="7" t="str">
        <f ca="1">OFFSET(ORÇAMENTO!C$15,ROW(B490)-ROW(B$15),0)</f>
        <v>S</v>
      </c>
      <c r="C490" s="7" t="str">
        <f ca="1">OFFSET(ORÇAMENTO!L$15,ROW(C490)-ROW(C$15),0)</f>
        <v/>
      </c>
      <c r="D490" s="118" t="str">
        <f ca="1">OFFSET(ORÇAMENTO!N$15,ROW(D490)-ROW(D$15),0)</f>
        <v>Serviço</v>
      </c>
      <c r="E490" s="119" t="str">
        <f ca="1">OFFSET(ORÇAMENTO!O$15,ROW(E490)-ROW(E$15),0)</f>
        <v>-</v>
      </c>
      <c r="F490" s="172" t="str">
        <f ca="1">OFFSET(ORÇAMENTO!R$15,ROW(F490)-ROW(F$15),0)</f>
        <v>(abra o arquivo 'Referência 02-2025.xlsm)</v>
      </c>
      <c r="G490" s="173" t="str">
        <f ca="1">IF($D490&lt;&gt;"Serviço","",OFFSET(ORÇAMENTO!S$15,ROW(G490)-ROW(G$15),0))</f>
        <v>-</v>
      </c>
      <c r="H490" s="124">
        <f ca="1">IF($D490&lt;&gt;"Serviço",0,IF(ACOMPANHAMENTO="BM",ROUND(OFFSET(ORÇAMENTO!AJ$15,ROW(H490)-ROW(H$15),0),15-13*ORÇAMENTO!$AF$7),SUMPRODUCT(($Q$12:$AA$12&lt;&gt;"")*ROUND($Q490:$AA490,15-13*ORÇAMENTO!$AF$7))))</f>
        <v>1</v>
      </c>
      <c r="I490" s="561" t="s">
        <v>890</v>
      </c>
      <c r="K490" s="174"/>
      <c r="L490" s="175" t="s">
        <v>255</v>
      </c>
      <c r="M490" s="176">
        <f ca="1">IF($D490&lt;&gt;"Serviço","",IF(AUTOEVENTO="manual",$A490,IF(ISERROR(MATCH($A490,$A$15:OFFSET($A490,-1,0),0)),MAX($M$15:OFFSET(M490,-1,0))+1,INDEX($M$15:OFFSET(M490,-1,0),MATCH($A490,$A$15:OFFSET($A490,-1,0),0)))))</f>
        <v>18</v>
      </c>
      <c r="N490" s="177" t="str">
        <f ca="1">IF($D490&lt;&gt;"Serviço","",IF(AUTOEVENTO="Manual",IF($A490=0,"&lt;-- defina o número do agrupador",OFFSET(EVENTOS!$D$14,$A490,0)),OFFSET($F$15,$A490,0)))</f>
        <v>INSTALAÇÕES ELÉTRICAS - 220V</v>
      </c>
      <c r="O490" s="178"/>
      <c r="Q490" s="178"/>
      <c r="R490" s="179"/>
      <c r="S490" s="179"/>
      <c r="T490" s="179"/>
      <c r="U490" s="179"/>
      <c r="V490" s="179"/>
      <c r="W490" s="179"/>
      <c r="X490" s="179"/>
      <c r="Y490" s="179"/>
      <c r="Z490" s="180"/>
      <c r="AB490" s="544">
        <f ca="1">IF(AND($D490="Serviço",AB$12&lt;&gt;0,$H490&gt;0,OR(AUTOEVENTO&lt;&gt;"manual",$M490&lt;&gt;1)),
IF(Import.TipoArredondamento&lt;&gt;"TransfereGOV",
ROUND(OFFSET($P490,0,AB$13),15-13*ORÇAMENTO!$AF$7)/$H490*OFFSET(ORÇAMENTO!$X$15,ROW(AB490)-ROW(AB$15),0),
ROUND(ROUND(OFFSET($P490,0,AB$13),15-13*ORÇAMENTO!$AF$7)*OFFSET(ORÇAMENTO!$W$15,ROW(AB490)-ROW(AB$15),0),15-13*ORÇAMENTO!$AF$11)),0)</f>
        <v>0</v>
      </c>
      <c r="AC490" s="545">
        <f ca="1">IF(AND($D490="Serviço",AC$12&lt;&gt;0,$H490&gt;0,OR(AUTOEVENTO&lt;&gt;"manual",$M490&lt;&gt;1)),
IF(Import.TipoArredondamento&lt;&gt;"TransfereGOV",
ROUND(OFFSET($P490,0,AC$13),15-13*ORÇAMENTO!$AF$7)/$H490*OFFSET(ORÇAMENTO!$X$15,ROW(AC490)-ROW(AC$15),0),
ROUND(ROUND(OFFSET($P490,0,AC$13),15-13*ORÇAMENTO!$AF$7)*OFFSET(ORÇAMENTO!$W$15,ROW(AC490)-ROW(AC$15),0),15-13*ORÇAMENTO!$AF$11)),0)</f>
        <v>0</v>
      </c>
      <c r="AD490" s="545">
        <f ca="1">IF(AND($D490="Serviço",AD$12&lt;&gt;0,$H490&gt;0,OR(AUTOEVENTO&lt;&gt;"manual",$M490&lt;&gt;1)),
IF(Import.TipoArredondamento&lt;&gt;"TransfereGOV",
ROUND(OFFSET($P490,0,AD$13),15-13*ORÇAMENTO!$AF$7)/$H490*OFFSET(ORÇAMENTO!$X$15,ROW(AD490)-ROW(AD$15),0),
ROUND(ROUND(OFFSET($P490,0,AD$13),15-13*ORÇAMENTO!$AF$7)*OFFSET(ORÇAMENTO!$W$15,ROW(AD490)-ROW(AD$15),0),15-13*ORÇAMENTO!$AF$11)),0)</f>
        <v>0</v>
      </c>
      <c r="AE490" s="545">
        <f ca="1">IF(AND($D490="Serviço",AE$12&lt;&gt;0,$H490&gt;0,OR(AUTOEVENTO&lt;&gt;"manual",$M490&lt;&gt;1)),
IF(Import.TipoArredondamento&lt;&gt;"TransfereGOV",
ROUND(OFFSET($P490,0,AE$13),15-13*ORÇAMENTO!$AF$7)/$H490*OFFSET(ORÇAMENTO!$X$15,ROW(AE490)-ROW(AE$15),0),
ROUND(ROUND(OFFSET($P490,0,AE$13),15-13*ORÇAMENTO!$AF$7)*OFFSET(ORÇAMENTO!$W$15,ROW(AE490)-ROW(AE$15),0),15-13*ORÇAMENTO!$AF$11)),0)</f>
        <v>0</v>
      </c>
      <c r="AF490" s="545">
        <f ca="1">IF(AND($D490="Serviço",AF$12&lt;&gt;0,$H490&gt;0,OR(AUTOEVENTO&lt;&gt;"manual",$M490&lt;&gt;1)),
IF(Import.TipoArredondamento&lt;&gt;"TransfereGOV",
ROUND(OFFSET($P490,0,AF$13),15-13*ORÇAMENTO!$AF$7)/$H490*OFFSET(ORÇAMENTO!$X$15,ROW(AF490)-ROW(AF$15),0),
ROUND(ROUND(OFFSET($P490,0,AF$13),15-13*ORÇAMENTO!$AF$7)*OFFSET(ORÇAMENTO!$W$15,ROW(AF490)-ROW(AF$15),0),15-13*ORÇAMENTO!$AF$11)),0)</f>
        <v>0</v>
      </c>
      <c r="AG490" s="545">
        <f ca="1">IF(AND($D490="Serviço",AG$12&lt;&gt;0,$H490&gt;0,OR(AUTOEVENTO&lt;&gt;"manual",$M490&lt;&gt;1)),
IF(Import.TipoArredondamento&lt;&gt;"TransfereGOV",
ROUND(OFFSET($P490,0,AG$13),15-13*ORÇAMENTO!$AF$7)/$H490*OFFSET(ORÇAMENTO!$X$15,ROW(AG490)-ROW(AG$15),0),
ROUND(ROUND(OFFSET($P490,0,AG$13),15-13*ORÇAMENTO!$AF$7)*OFFSET(ORÇAMENTO!$W$15,ROW(AG490)-ROW(AG$15),0),15-13*ORÇAMENTO!$AF$11)),0)</f>
        <v>0</v>
      </c>
      <c r="AH490" s="545">
        <f ca="1">IF(AND($D490="Serviço",AH$12&lt;&gt;0,$H490&gt;0,OR(AUTOEVENTO&lt;&gt;"manual",$M490&lt;&gt;1)),
IF(Import.TipoArredondamento&lt;&gt;"TransfereGOV",
ROUND(OFFSET($P490,0,AH$13),15-13*ORÇAMENTO!$AF$7)/$H490*OFFSET(ORÇAMENTO!$X$15,ROW(AH490)-ROW(AH$15),0),
ROUND(ROUND(OFFSET($P490,0,AH$13),15-13*ORÇAMENTO!$AF$7)*OFFSET(ORÇAMENTO!$W$15,ROW(AH490)-ROW(AH$15),0),15-13*ORÇAMENTO!$AF$11)),0)</f>
        <v>0</v>
      </c>
      <c r="AI490" s="545">
        <f ca="1">IF(AND($D490="Serviço",AI$12&lt;&gt;0,$H490&gt;0,OR(AUTOEVENTO&lt;&gt;"manual",$M490&lt;&gt;1)),
IF(Import.TipoArredondamento&lt;&gt;"TransfereGOV",
ROUND(OFFSET($P490,0,AI$13),15-13*ORÇAMENTO!$AF$7)/$H490*OFFSET(ORÇAMENTO!$X$15,ROW(AI490)-ROW(AI$15),0),
ROUND(ROUND(OFFSET($P490,0,AI$13),15-13*ORÇAMENTO!$AF$7)*OFFSET(ORÇAMENTO!$W$15,ROW(AI490)-ROW(AI$15),0),15-13*ORÇAMENTO!$AF$11)),0)</f>
        <v>0</v>
      </c>
      <c r="AJ490" s="545">
        <f ca="1">IF(AND($D490="Serviço",AJ$12&lt;&gt;0,$H490&gt;0,OR(AUTOEVENTO&lt;&gt;"manual",$M490&lt;&gt;1)),
IF(Import.TipoArredondamento&lt;&gt;"TransfereGOV",
ROUND(OFFSET($P490,0,AJ$13),15-13*ORÇAMENTO!$AF$7)/$H490*OFFSET(ORÇAMENTO!$X$15,ROW(AJ490)-ROW(AJ$15),0),
ROUND(ROUND(OFFSET($P490,0,AJ$13),15-13*ORÇAMENTO!$AF$7)*OFFSET(ORÇAMENTO!$W$15,ROW(AJ490)-ROW(AJ$15),0),15-13*ORÇAMENTO!$AF$11)),0)</f>
        <v>0</v>
      </c>
      <c r="AK490" s="546">
        <f ca="1">IF(AND($D490="Serviço",AK$12&lt;&gt;0,$H490&gt;0,OR(AUTOEVENTO&lt;&gt;"manual",$M490&lt;&gt;1)),
IF(Import.TipoArredondamento&lt;&gt;"TransfereGOV",
ROUND(OFFSET($P490,0,AK$13),15-13*ORÇAMENTO!$AF$7)/$H490*OFFSET(ORÇAMENTO!$X$15,ROW(AK490)-ROW(AK$15),0),
ROUND(ROUND(OFFSET($P490,0,AK$13),15-13*ORÇAMENTO!$AF$7)*OFFSET(ORÇAMENTO!$W$15,ROW(AK490)-ROW(AK$15),0),15-13*ORÇAMENTO!$AF$11)),0)</f>
        <v>0</v>
      </c>
      <c r="AM490" s="181">
        <f ca="1">IF($D490&lt;&gt;"Serviço",0,IF(AND(AUTOEVENTO="Manual",$M490=1),0,IF(OFFSET(CRONOPLE!$F$14,$M490,AM$13)="",10^12,OFFSET(CRONOPLE!$F$14,$M490,AM$13))))</f>
        <v>1000000000000</v>
      </c>
      <c r="AN490" s="181">
        <f ca="1">IF($D490&lt;&gt;"Serviço",0,IF(AND(AUTOEVENTO="Manual",$M490=1),0,IF(OFFSET(CRONOPLE!$F$14,$M490,AN$13)="",10^12,OFFSET(CRONOPLE!$F$14,$M490,AN$13))))</f>
        <v>1000000000000</v>
      </c>
      <c r="AO490" s="181">
        <f ca="1">IF($D490&lt;&gt;"Serviço",0,IF(AND(AUTOEVENTO="Manual",$M490=1),0,IF(OFFSET(CRONOPLE!$F$14,$M490,AO$13)="",10^12,OFFSET(CRONOPLE!$F$14,$M490,AO$13))))</f>
        <v>1000000000000</v>
      </c>
      <c r="AP490" s="181">
        <f ca="1">IF($D490&lt;&gt;"Serviço",0,IF(AND(AUTOEVENTO="Manual",$M490=1),0,IF(OFFSET(CRONOPLE!$F$14,$M490,AP$13)="",10^12,OFFSET(CRONOPLE!$F$14,$M490,AP$13))))</f>
        <v>1000000000000</v>
      </c>
      <c r="AQ490" s="181">
        <f ca="1">IF($D490&lt;&gt;"Serviço",0,IF(AND(AUTOEVENTO="Manual",$M490=1),0,IF(OFFSET(CRONOPLE!$F$14,$M490,AQ$13)="",10^12,OFFSET(CRONOPLE!$F$14,$M490,AQ$13))))</f>
        <v>1000000000000</v>
      </c>
      <c r="AR490" s="181">
        <f ca="1">IF($D490&lt;&gt;"Serviço",0,IF(AND(AUTOEVENTO="Manual",$M490=1),0,IF(OFFSET(CRONOPLE!$F$14,$M490,AR$13)="",10^12,OFFSET(CRONOPLE!$F$14,$M490,AR$13))))</f>
        <v>1000000000000</v>
      </c>
      <c r="AS490" s="181">
        <f ca="1">IF($D490&lt;&gt;"Serviço",0,IF(AND(AUTOEVENTO="Manual",$M490=1),0,IF(OFFSET(CRONOPLE!$F$14,$M490,AS$13)="",10^12,OFFSET(CRONOPLE!$F$14,$M490,AS$13))))</f>
        <v>1000000000000</v>
      </c>
      <c r="AT490" s="181">
        <f ca="1">IF($D490&lt;&gt;"Serviço",0,IF(AND(AUTOEVENTO="Manual",$M490=1),0,IF(OFFSET(CRONOPLE!$F$14,$M490,AT$13)="",10^12,OFFSET(CRONOPLE!$F$14,$M490,AT$13))))</f>
        <v>1000000000000</v>
      </c>
      <c r="AU490" s="181">
        <f ca="1">IF($D490&lt;&gt;"Serviço",0,IF(AND(AUTOEVENTO="Manual",$M490=1),0,IF(OFFSET(CRONOPLE!$F$14,$M490,AU$13)="",10^12,OFFSET(CRONOPLE!$F$14,$M490,AU$13))))</f>
        <v>1000000000000</v>
      </c>
      <c r="AV490" s="181">
        <f ca="1">IF($D490&lt;&gt;"Serviço",0,IF(AND(AUTOEVENTO="Manual",$M490=1),0,IF(OFFSET(CRONOPLE!$F$14,$M490,AV$13)="",10^12,OFFSET(CRONOPLE!$F$14,$M490,AV$13))))</f>
        <v>1000000000000</v>
      </c>
      <c r="AX490" s="182">
        <f ca="1">IF($D490&lt;&gt;"Serviço",0,IF(OR(AND(AUTOEVENTO="Manual",$M490=1),$M490&gt;(ROW(PLE.lastrow)-ROW(PLE.firstrow))),0,IF(OFFSET(PLE!$G$14,$M490,AX$13)="",10^12,OFFSET(PLE!$G$14,$M490,AX$13))))</f>
        <v>1000000000000</v>
      </c>
      <c r="AY490" s="182">
        <f ca="1">IF($D490&lt;&gt;"Serviço",0,IF(OR(AND(AUTOEVENTO="Manual",$M490=1),$M490&gt;(ROW(PLE.lastrow)-ROW(PLE.firstrow))),0,IF(OFFSET(PLE!$G$14,$M490,AY$13)="",10^12,OFFSET(PLE!$G$14,$M490,AY$13))))</f>
        <v>1000000000000</v>
      </c>
      <c r="AZ490" s="182">
        <f ca="1">IF($D490&lt;&gt;"Serviço",0,IF(OR(AND(AUTOEVENTO="Manual",$M490=1),$M490&gt;(ROW(PLE.lastrow)-ROW(PLE.firstrow))),0,IF(OFFSET(PLE!$G$14,$M490,AZ$13)="",10^12,OFFSET(PLE!$G$14,$M490,AZ$13))))</f>
        <v>1000000000000</v>
      </c>
      <c r="BA490" s="182">
        <f ca="1">IF($D490&lt;&gt;"Serviço",0,IF(OR(AND(AUTOEVENTO="Manual",$M490=1),$M490&gt;(ROW(PLE.lastrow)-ROW(PLE.firstrow))),0,IF(OFFSET(PLE!$G$14,$M490,BA$13)="",10^12,OFFSET(PLE!$G$14,$M490,BA$13))))</f>
        <v>1000000000000</v>
      </c>
      <c r="BB490" s="182">
        <f ca="1">IF($D490&lt;&gt;"Serviço",0,IF(OR(AND(AUTOEVENTO="Manual",$M490=1),$M490&gt;(ROW(PLE.lastrow)-ROW(PLE.firstrow))),0,IF(OFFSET(PLE!$G$14,$M490,BB$13)="",10^12,OFFSET(PLE!$G$14,$M490,BB$13))))</f>
        <v>1000000000000</v>
      </c>
      <c r="BC490" s="182">
        <f ca="1">IF($D490&lt;&gt;"Serviço",0,IF(OR(AND(AUTOEVENTO="Manual",$M490=1),$M490&gt;(ROW(PLE.lastrow)-ROW(PLE.firstrow))),0,IF(OFFSET(PLE!$G$14,$M490,BC$13)="",10^12,OFFSET(PLE!$G$14,$M490,BC$13))))</f>
        <v>1000000000000</v>
      </c>
      <c r="BD490" s="182">
        <f ca="1">IF($D490&lt;&gt;"Serviço",0,IF(OR(AND(AUTOEVENTO="Manual",$M490=1),$M490&gt;(ROW(PLE.lastrow)-ROW(PLE.firstrow))),0,IF(OFFSET(PLE!$G$14,$M490,BD$13)="",10^12,OFFSET(PLE!$G$14,$M490,BD$13))))</f>
        <v>1000000000000</v>
      </c>
      <c r="BE490" s="182">
        <f ca="1">IF($D490&lt;&gt;"Serviço",0,IF(OR(AND(AUTOEVENTO="Manual",$M490=1),$M490&gt;(ROW(PLE.lastrow)-ROW(PLE.firstrow))),0,IF(OFFSET(PLE!$G$14,$M490,BE$13)="",10^12,OFFSET(PLE!$G$14,$M490,BE$13))))</f>
        <v>1000000000000</v>
      </c>
      <c r="BF490" s="182">
        <f ca="1">IF($D490&lt;&gt;"Serviço",0,IF(OR(AND(AUTOEVENTO="Manual",$M490=1),$M490&gt;(ROW(PLE.lastrow)-ROW(PLE.firstrow))),0,IF(OFFSET(PLE!$G$14,$M490,BF$13)="",10^12,OFFSET(PLE!$G$14,$M490,BF$13))))</f>
        <v>1000000000000</v>
      </c>
      <c r="BG490" s="182">
        <f ca="1">IF($D490&lt;&gt;"Serviço",0,IF(OR(AND(AUTOEVENTO="Manual",$M490=1),$M490&gt;(ROW(PLE.lastrow)-ROW(PLE.firstrow))),0,IF(OFFSET(PLE!$G$14,$M490,BG$13)="",10^12,OFFSET(PLE!$G$14,$M490,BG$13))))</f>
        <v>1000000000000</v>
      </c>
    </row>
    <row r="491" spans="1:59" ht="12.75" x14ac:dyDescent="0.2">
      <c r="A491" s="7" t="str">
        <f t="shared" ca="1" si="11"/>
        <v>472</v>
      </c>
      <c r="B491" s="7">
        <f ca="1">OFFSET(ORÇAMENTO!C$15,ROW(B491)-ROW(B$15),0)</f>
        <v>3</v>
      </c>
      <c r="C491" s="7" t="str">
        <f ca="1">OFFSET(ORÇAMENTO!L$15,ROW(C491)-ROW(C$15),0)</f>
        <v>F</v>
      </c>
      <c r="D491" s="118" t="str">
        <f ca="1">OFFSET(ORÇAMENTO!N$15,ROW(D491)-ROW(D$15),0)</f>
        <v>Nível 3</v>
      </c>
      <c r="E491" s="119" t="str">
        <f ca="1">OFFSET(ORÇAMENTO!O$15,ROW(E491)-ROW(E$15),0)</f>
        <v>1.17.2.</v>
      </c>
      <c r="F491" s="172" t="str">
        <f ca="1">OFFSET(ORÇAMENTO!R$15,ROW(F491)-ROW(F$15),0)</f>
        <v>ACESSÓRIOS PARA ELETRODUTOS</v>
      </c>
      <c r="G491" s="173" t="str">
        <f ca="1">IF($D491&lt;&gt;"Serviço","",OFFSET(ORÇAMENTO!S$15,ROW(G491)-ROW(G$15),0))</f>
        <v/>
      </c>
      <c r="H491" s="124">
        <f ca="1">IF($D491&lt;&gt;"Serviço",0,IF(ACOMPANHAMENTO="BM",ROUND(OFFSET(ORÇAMENTO!AJ$15,ROW(H491)-ROW(H$15),0),15-13*ORÇAMENTO!$AF$7),SUMPRODUCT(($Q$12:$AA$12&lt;&gt;"")*ROUND($Q491:$AA491,15-13*ORÇAMENTO!$AF$7))))</f>
        <v>0</v>
      </c>
      <c r="I491" s="561"/>
      <c r="K491" s="174"/>
      <c r="L491" s="175" t="s">
        <v>255</v>
      </c>
      <c r="M491" s="176" t="str">
        <f ca="1">IF($D491&lt;&gt;"Serviço","",IF(AUTOEVENTO="manual",$A491,IF(ISERROR(MATCH($A491,$A$15:OFFSET($A491,-1,0),0)),MAX($M$15:OFFSET(M491,-1,0))+1,INDEX($M$15:OFFSET(M491,-1,0),MATCH($A491,$A$15:OFFSET($A491,-1,0),0)))))</f>
        <v/>
      </c>
      <c r="N491" s="177" t="str">
        <f ca="1">IF($D491&lt;&gt;"Serviço","",IF(AUTOEVENTO="Manual",IF($A491=0,"&lt;-- defina o número do agrupador",OFFSET(EVENTOS!$D$14,$A491,0)),OFFSET($F$15,$A491,0)))</f>
        <v/>
      </c>
      <c r="O491" s="178"/>
      <c r="Q491" s="178"/>
      <c r="R491" s="179"/>
      <c r="S491" s="179"/>
      <c r="T491" s="179"/>
      <c r="U491" s="179"/>
      <c r="V491" s="179"/>
      <c r="W491" s="179"/>
      <c r="X491" s="179"/>
      <c r="Y491" s="179"/>
      <c r="Z491" s="180"/>
      <c r="AB491" s="544">
        <f ca="1">IF(AND($D491="Serviço",AB$12&lt;&gt;0,$H491&gt;0,OR(AUTOEVENTO&lt;&gt;"manual",$M491&lt;&gt;1)),
IF(Import.TipoArredondamento&lt;&gt;"TransfereGOV",
ROUND(OFFSET($P491,0,AB$13),15-13*ORÇAMENTO!$AF$7)/$H491*OFFSET(ORÇAMENTO!$X$15,ROW(AB491)-ROW(AB$15),0),
ROUND(ROUND(OFFSET($P491,0,AB$13),15-13*ORÇAMENTO!$AF$7)*OFFSET(ORÇAMENTO!$W$15,ROW(AB491)-ROW(AB$15),0),15-13*ORÇAMENTO!$AF$11)),0)</f>
        <v>0</v>
      </c>
      <c r="AC491" s="545">
        <f ca="1">IF(AND($D491="Serviço",AC$12&lt;&gt;0,$H491&gt;0,OR(AUTOEVENTO&lt;&gt;"manual",$M491&lt;&gt;1)),
IF(Import.TipoArredondamento&lt;&gt;"TransfereGOV",
ROUND(OFFSET($P491,0,AC$13),15-13*ORÇAMENTO!$AF$7)/$H491*OFFSET(ORÇAMENTO!$X$15,ROW(AC491)-ROW(AC$15),0),
ROUND(ROUND(OFFSET($P491,0,AC$13),15-13*ORÇAMENTO!$AF$7)*OFFSET(ORÇAMENTO!$W$15,ROW(AC491)-ROW(AC$15),0),15-13*ORÇAMENTO!$AF$11)),0)</f>
        <v>0</v>
      </c>
      <c r="AD491" s="545">
        <f ca="1">IF(AND($D491="Serviço",AD$12&lt;&gt;0,$H491&gt;0,OR(AUTOEVENTO&lt;&gt;"manual",$M491&lt;&gt;1)),
IF(Import.TipoArredondamento&lt;&gt;"TransfereGOV",
ROUND(OFFSET($P491,0,AD$13),15-13*ORÇAMENTO!$AF$7)/$H491*OFFSET(ORÇAMENTO!$X$15,ROW(AD491)-ROW(AD$15),0),
ROUND(ROUND(OFFSET($P491,0,AD$13),15-13*ORÇAMENTO!$AF$7)*OFFSET(ORÇAMENTO!$W$15,ROW(AD491)-ROW(AD$15),0),15-13*ORÇAMENTO!$AF$11)),0)</f>
        <v>0</v>
      </c>
      <c r="AE491" s="545">
        <f ca="1">IF(AND($D491="Serviço",AE$12&lt;&gt;0,$H491&gt;0,OR(AUTOEVENTO&lt;&gt;"manual",$M491&lt;&gt;1)),
IF(Import.TipoArredondamento&lt;&gt;"TransfereGOV",
ROUND(OFFSET($P491,0,AE$13),15-13*ORÇAMENTO!$AF$7)/$H491*OFFSET(ORÇAMENTO!$X$15,ROW(AE491)-ROW(AE$15),0),
ROUND(ROUND(OFFSET($P491,0,AE$13),15-13*ORÇAMENTO!$AF$7)*OFFSET(ORÇAMENTO!$W$15,ROW(AE491)-ROW(AE$15),0),15-13*ORÇAMENTO!$AF$11)),0)</f>
        <v>0</v>
      </c>
      <c r="AF491" s="545">
        <f ca="1">IF(AND($D491="Serviço",AF$12&lt;&gt;0,$H491&gt;0,OR(AUTOEVENTO&lt;&gt;"manual",$M491&lt;&gt;1)),
IF(Import.TipoArredondamento&lt;&gt;"TransfereGOV",
ROUND(OFFSET($P491,0,AF$13),15-13*ORÇAMENTO!$AF$7)/$H491*OFFSET(ORÇAMENTO!$X$15,ROW(AF491)-ROW(AF$15),0),
ROUND(ROUND(OFFSET($P491,0,AF$13),15-13*ORÇAMENTO!$AF$7)*OFFSET(ORÇAMENTO!$W$15,ROW(AF491)-ROW(AF$15),0),15-13*ORÇAMENTO!$AF$11)),0)</f>
        <v>0</v>
      </c>
      <c r="AG491" s="545">
        <f ca="1">IF(AND($D491="Serviço",AG$12&lt;&gt;0,$H491&gt;0,OR(AUTOEVENTO&lt;&gt;"manual",$M491&lt;&gt;1)),
IF(Import.TipoArredondamento&lt;&gt;"TransfereGOV",
ROUND(OFFSET($P491,0,AG$13),15-13*ORÇAMENTO!$AF$7)/$H491*OFFSET(ORÇAMENTO!$X$15,ROW(AG491)-ROW(AG$15),0),
ROUND(ROUND(OFFSET($P491,0,AG$13),15-13*ORÇAMENTO!$AF$7)*OFFSET(ORÇAMENTO!$W$15,ROW(AG491)-ROW(AG$15),0),15-13*ORÇAMENTO!$AF$11)),0)</f>
        <v>0</v>
      </c>
      <c r="AH491" s="545">
        <f ca="1">IF(AND($D491="Serviço",AH$12&lt;&gt;0,$H491&gt;0,OR(AUTOEVENTO&lt;&gt;"manual",$M491&lt;&gt;1)),
IF(Import.TipoArredondamento&lt;&gt;"TransfereGOV",
ROUND(OFFSET($P491,0,AH$13),15-13*ORÇAMENTO!$AF$7)/$H491*OFFSET(ORÇAMENTO!$X$15,ROW(AH491)-ROW(AH$15),0),
ROUND(ROUND(OFFSET($P491,0,AH$13),15-13*ORÇAMENTO!$AF$7)*OFFSET(ORÇAMENTO!$W$15,ROW(AH491)-ROW(AH$15),0),15-13*ORÇAMENTO!$AF$11)),0)</f>
        <v>0</v>
      </c>
      <c r="AI491" s="545">
        <f ca="1">IF(AND($D491="Serviço",AI$12&lt;&gt;0,$H491&gt;0,OR(AUTOEVENTO&lt;&gt;"manual",$M491&lt;&gt;1)),
IF(Import.TipoArredondamento&lt;&gt;"TransfereGOV",
ROUND(OFFSET($P491,0,AI$13),15-13*ORÇAMENTO!$AF$7)/$H491*OFFSET(ORÇAMENTO!$X$15,ROW(AI491)-ROW(AI$15),0),
ROUND(ROUND(OFFSET($P491,0,AI$13),15-13*ORÇAMENTO!$AF$7)*OFFSET(ORÇAMENTO!$W$15,ROW(AI491)-ROW(AI$15),0),15-13*ORÇAMENTO!$AF$11)),0)</f>
        <v>0</v>
      </c>
      <c r="AJ491" s="545">
        <f ca="1">IF(AND($D491="Serviço",AJ$12&lt;&gt;0,$H491&gt;0,OR(AUTOEVENTO&lt;&gt;"manual",$M491&lt;&gt;1)),
IF(Import.TipoArredondamento&lt;&gt;"TransfereGOV",
ROUND(OFFSET($P491,0,AJ$13),15-13*ORÇAMENTO!$AF$7)/$H491*OFFSET(ORÇAMENTO!$X$15,ROW(AJ491)-ROW(AJ$15),0),
ROUND(ROUND(OFFSET($P491,0,AJ$13),15-13*ORÇAMENTO!$AF$7)*OFFSET(ORÇAMENTO!$W$15,ROW(AJ491)-ROW(AJ$15),0),15-13*ORÇAMENTO!$AF$11)),0)</f>
        <v>0</v>
      </c>
      <c r="AK491" s="546">
        <f ca="1">IF(AND($D491="Serviço",AK$12&lt;&gt;0,$H491&gt;0,OR(AUTOEVENTO&lt;&gt;"manual",$M491&lt;&gt;1)),
IF(Import.TipoArredondamento&lt;&gt;"TransfereGOV",
ROUND(OFFSET($P491,0,AK$13),15-13*ORÇAMENTO!$AF$7)/$H491*OFFSET(ORÇAMENTO!$X$15,ROW(AK491)-ROW(AK$15),0),
ROUND(ROUND(OFFSET($P491,0,AK$13),15-13*ORÇAMENTO!$AF$7)*OFFSET(ORÇAMENTO!$W$15,ROW(AK491)-ROW(AK$15),0),15-13*ORÇAMENTO!$AF$11)),0)</f>
        <v>0</v>
      </c>
      <c r="AM491" s="181">
        <f ca="1">IF($D491&lt;&gt;"Serviço",0,IF(AND(AUTOEVENTO="Manual",$M491=1),0,IF(OFFSET(CRONOPLE!$F$14,$M491,AM$13)="",10^12,OFFSET(CRONOPLE!$F$14,$M491,AM$13))))</f>
        <v>0</v>
      </c>
      <c r="AN491" s="181">
        <f ca="1">IF($D491&lt;&gt;"Serviço",0,IF(AND(AUTOEVENTO="Manual",$M491=1),0,IF(OFFSET(CRONOPLE!$F$14,$M491,AN$13)="",10^12,OFFSET(CRONOPLE!$F$14,$M491,AN$13))))</f>
        <v>0</v>
      </c>
      <c r="AO491" s="181">
        <f ca="1">IF($D491&lt;&gt;"Serviço",0,IF(AND(AUTOEVENTO="Manual",$M491=1),0,IF(OFFSET(CRONOPLE!$F$14,$M491,AO$13)="",10^12,OFFSET(CRONOPLE!$F$14,$M491,AO$13))))</f>
        <v>0</v>
      </c>
      <c r="AP491" s="181">
        <f ca="1">IF($D491&lt;&gt;"Serviço",0,IF(AND(AUTOEVENTO="Manual",$M491=1),0,IF(OFFSET(CRONOPLE!$F$14,$M491,AP$13)="",10^12,OFFSET(CRONOPLE!$F$14,$M491,AP$13))))</f>
        <v>0</v>
      </c>
      <c r="AQ491" s="181">
        <f ca="1">IF($D491&lt;&gt;"Serviço",0,IF(AND(AUTOEVENTO="Manual",$M491=1),0,IF(OFFSET(CRONOPLE!$F$14,$M491,AQ$13)="",10^12,OFFSET(CRONOPLE!$F$14,$M491,AQ$13))))</f>
        <v>0</v>
      </c>
      <c r="AR491" s="181">
        <f ca="1">IF($D491&lt;&gt;"Serviço",0,IF(AND(AUTOEVENTO="Manual",$M491=1),0,IF(OFFSET(CRONOPLE!$F$14,$M491,AR$13)="",10^12,OFFSET(CRONOPLE!$F$14,$M491,AR$13))))</f>
        <v>0</v>
      </c>
      <c r="AS491" s="181">
        <f ca="1">IF($D491&lt;&gt;"Serviço",0,IF(AND(AUTOEVENTO="Manual",$M491=1),0,IF(OFFSET(CRONOPLE!$F$14,$M491,AS$13)="",10^12,OFFSET(CRONOPLE!$F$14,$M491,AS$13))))</f>
        <v>0</v>
      </c>
      <c r="AT491" s="181">
        <f ca="1">IF($D491&lt;&gt;"Serviço",0,IF(AND(AUTOEVENTO="Manual",$M491=1),0,IF(OFFSET(CRONOPLE!$F$14,$M491,AT$13)="",10^12,OFFSET(CRONOPLE!$F$14,$M491,AT$13))))</f>
        <v>0</v>
      </c>
      <c r="AU491" s="181">
        <f ca="1">IF($D491&lt;&gt;"Serviço",0,IF(AND(AUTOEVENTO="Manual",$M491=1),0,IF(OFFSET(CRONOPLE!$F$14,$M491,AU$13)="",10^12,OFFSET(CRONOPLE!$F$14,$M491,AU$13))))</f>
        <v>0</v>
      </c>
      <c r="AV491" s="181">
        <f ca="1">IF($D491&lt;&gt;"Serviço",0,IF(AND(AUTOEVENTO="Manual",$M491=1),0,IF(OFFSET(CRONOPLE!$F$14,$M491,AV$13)="",10^12,OFFSET(CRONOPLE!$F$14,$M491,AV$13))))</f>
        <v>0</v>
      </c>
      <c r="AX491" s="182">
        <f ca="1">IF($D491&lt;&gt;"Serviço",0,IF(OR(AND(AUTOEVENTO="Manual",$M491=1),$M491&gt;(ROW(PLE.lastrow)-ROW(PLE.firstrow))),0,IF(OFFSET(PLE!$G$14,$M491,AX$13)="",10^12,OFFSET(PLE!$G$14,$M491,AX$13))))</f>
        <v>0</v>
      </c>
      <c r="AY491" s="182">
        <f ca="1">IF($D491&lt;&gt;"Serviço",0,IF(OR(AND(AUTOEVENTO="Manual",$M491=1),$M491&gt;(ROW(PLE.lastrow)-ROW(PLE.firstrow))),0,IF(OFFSET(PLE!$G$14,$M491,AY$13)="",10^12,OFFSET(PLE!$G$14,$M491,AY$13))))</f>
        <v>0</v>
      </c>
      <c r="AZ491" s="182">
        <f ca="1">IF($D491&lt;&gt;"Serviço",0,IF(OR(AND(AUTOEVENTO="Manual",$M491=1),$M491&gt;(ROW(PLE.lastrow)-ROW(PLE.firstrow))),0,IF(OFFSET(PLE!$G$14,$M491,AZ$13)="",10^12,OFFSET(PLE!$G$14,$M491,AZ$13))))</f>
        <v>0</v>
      </c>
      <c r="BA491" s="182">
        <f ca="1">IF($D491&lt;&gt;"Serviço",0,IF(OR(AND(AUTOEVENTO="Manual",$M491=1),$M491&gt;(ROW(PLE.lastrow)-ROW(PLE.firstrow))),0,IF(OFFSET(PLE!$G$14,$M491,BA$13)="",10^12,OFFSET(PLE!$G$14,$M491,BA$13))))</f>
        <v>0</v>
      </c>
      <c r="BB491" s="182">
        <f ca="1">IF($D491&lt;&gt;"Serviço",0,IF(OR(AND(AUTOEVENTO="Manual",$M491=1),$M491&gt;(ROW(PLE.lastrow)-ROW(PLE.firstrow))),0,IF(OFFSET(PLE!$G$14,$M491,BB$13)="",10^12,OFFSET(PLE!$G$14,$M491,BB$13))))</f>
        <v>0</v>
      </c>
      <c r="BC491" s="182">
        <f ca="1">IF($D491&lt;&gt;"Serviço",0,IF(OR(AND(AUTOEVENTO="Manual",$M491=1),$M491&gt;(ROW(PLE.lastrow)-ROW(PLE.firstrow))),0,IF(OFFSET(PLE!$G$14,$M491,BC$13)="",10^12,OFFSET(PLE!$G$14,$M491,BC$13))))</f>
        <v>0</v>
      </c>
      <c r="BD491" s="182">
        <f ca="1">IF($D491&lt;&gt;"Serviço",0,IF(OR(AND(AUTOEVENTO="Manual",$M491=1),$M491&gt;(ROW(PLE.lastrow)-ROW(PLE.firstrow))),0,IF(OFFSET(PLE!$G$14,$M491,BD$13)="",10^12,OFFSET(PLE!$G$14,$M491,BD$13))))</f>
        <v>0</v>
      </c>
      <c r="BE491" s="182">
        <f ca="1">IF($D491&lt;&gt;"Serviço",0,IF(OR(AND(AUTOEVENTO="Manual",$M491=1),$M491&gt;(ROW(PLE.lastrow)-ROW(PLE.firstrow))),0,IF(OFFSET(PLE!$G$14,$M491,BE$13)="",10^12,OFFSET(PLE!$G$14,$M491,BE$13))))</f>
        <v>0</v>
      </c>
      <c r="BF491" s="182">
        <f ca="1">IF($D491&lt;&gt;"Serviço",0,IF(OR(AND(AUTOEVENTO="Manual",$M491=1),$M491&gt;(ROW(PLE.lastrow)-ROW(PLE.firstrow))),0,IF(OFFSET(PLE!$G$14,$M491,BF$13)="",10^12,OFFSET(PLE!$G$14,$M491,BF$13))))</f>
        <v>0</v>
      </c>
      <c r="BG491" s="182">
        <f ca="1">IF($D491&lt;&gt;"Serviço",0,IF(OR(AND(AUTOEVENTO="Manual",$M491=1),$M491&gt;(ROW(PLE.lastrow)-ROW(PLE.firstrow))),0,IF(OFFSET(PLE!$G$14,$M491,BG$13)="",10^12,OFFSET(PLE!$G$14,$M491,BG$13))))</f>
        <v>0</v>
      </c>
    </row>
    <row r="492" spans="1:59" ht="25.5" x14ac:dyDescent="0.2">
      <c r="A492" s="7" t="str">
        <f ca="1">IF(AUTOEVENTO="Manual",IF(K492&lt;&gt;"",MIN(VALUE(LEFT(K492,FIND(".",K492)-1)),COUNTA(EVENTOS.Lista)),0),IF(OR($B492&gt;AUTOEVENTO,$B492="S",$B492=0),SUBSTITUTE(OFFSET($A492,-1,0),IF($D492="Serviço",".",""),""),ROW(A492)-ROW($A$15)&amp;"."))</f>
        <v>472</v>
      </c>
      <c r="B492" s="7" t="str">
        <f ca="1">OFFSET(ORÇAMENTO!C$15,ROW(B492)-ROW(B$15),0)</f>
        <v>S</v>
      </c>
      <c r="C492" s="7" t="str">
        <f ca="1">OFFSET(ORÇAMENTO!L$15,ROW(C492)-ROW(C$15),0)</f>
        <v/>
      </c>
      <c r="D492" s="118" t="str">
        <f ca="1">OFFSET(ORÇAMENTO!N$15,ROW(D492)-ROW(D$15),0)</f>
        <v>Serviço</v>
      </c>
      <c r="E492" s="119" t="str">
        <f ca="1">OFFSET(ORÇAMENTO!O$15,ROW(E492)-ROW(E$15),0)</f>
        <v>-</v>
      </c>
      <c r="F492" s="172" t="str">
        <f ca="1">OFFSET(ORÇAMENTO!R$15,ROW(F492)-ROW(F$15),0)</f>
        <v>(abra o arquivo 'Referência 02-2025.xlsm)</v>
      </c>
      <c r="G492" s="173" t="str">
        <f ca="1">IF($D492&lt;&gt;"Serviço","",OFFSET(ORÇAMENTO!S$15,ROW(G492)-ROW(G$15),0))</f>
        <v>-</v>
      </c>
      <c r="H492" s="124">
        <f ca="1">IF($D492&lt;&gt;"Serviço",0,IF(ACOMPANHAMENTO="BM",ROUND(OFFSET(ORÇAMENTO!AJ$15,ROW(H492)-ROW(H$15),0),15-13*ORÇAMENTO!$AF$7),SUMPRODUCT(($Q$12:$AA$12&lt;&gt;"")*ROUND($Q492:$AA492,15-13*ORÇAMENTO!$AF$7))))</f>
        <v>4</v>
      </c>
      <c r="I492" s="561" t="s">
        <v>890</v>
      </c>
      <c r="K492" s="174"/>
      <c r="L492" s="175" t="s">
        <v>255</v>
      </c>
      <c r="M492" s="176">
        <f ca="1">IF($D492&lt;&gt;"Serviço","",IF(AUTOEVENTO="manual",$A492,IF(ISERROR(MATCH($A492,$A$15:OFFSET($A492,-1,0),0)),MAX($M$15:OFFSET(M492,-1,0))+1,INDEX($M$15:OFFSET(M492,-1,0),MATCH($A492,$A$15:OFFSET($A492,-1,0),0)))))</f>
        <v>18</v>
      </c>
      <c r="N492" s="177" t="str">
        <f ca="1">IF($D492&lt;&gt;"Serviço","",IF(AUTOEVENTO="Manual",IF($A492=0,"&lt;-- defina o número do agrupador",OFFSET(EVENTOS!$D$14,$A492,0)),OFFSET($F$15,$A492,0)))</f>
        <v>INSTALAÇÕES ELÉTRICAS - 220V</v>
      </c>
      <c r="O492" s="178"/>
      <c r="Q492" s="178"/>
      <c r="R492" s="179"/>
      <c r="S492" s="179"/>
      <c r="T492" s="179"/>
      <c r="U492" s="179"/>
      <c r="V492" s="179"/>
      <c r="W492" s="179"/>
      <c r="X492" s="179"/>
      <c r="Y492" s="179"/>
      <c r="Z492" s="180"/>
      <c r="AB492" s="544">
        <f ca="1">IF(AND($D492="Serviço",AB$12&lt;&gt;0,$H492&gt;0,OR(AUTOEVENTO&lt;&gt;"manual",$M492&lt;&gt;1)),
IF(Import.TipoArredondamento&lt;&gt;"TransfereGOV",
ROUND(OFFSET($P492,0,AB$13),15-13*ORÇAMENTO!$AF$7)/$H492*OFFSET(ORÇAMENTO!$X$15,ROW(AB492)-ROW(AB$15),0),
ROUND(ROUND(OFFSET($P492,0,AB$13),15-13*ORÇAMENTO!$AF$7)*OFFSET(ORÇAMENTO!$W$15,ROW(AB492)-ROW(AB$15),0),15-13*ORÇAMENTO!$AF$11)),0)</f>
        <v>0</v>
      </c>
      <c r="AC492" s="545">
        <f ca="1">IF(AND($D492="Serviço",AC$12&lt;&gt;0,$H492&gt;0,OR(AUTOEVENTO&lt;&gt;"manual",$M492&lt;&gt;1)),
IF(Import.TipoArredondamento&lt;&gt;"TransfereGOV",
ROUND(OFFSET($P492,0,AC$13),15-13*ORÇAMENTO!$AF$7)/$H492*OFFSET(ORÇAMENTO!$X$15,ROW(AC492)-ROW(AC$15),0),
ROUND(ROUND(OFFSET($P492,0,AC$13),15-13*ORÇAMENTO!$AF$7)*OFFSET(ORÇAMENTO!$W$15,ROW(AC492)-ROW(AC$15),0),15-13*ORÇAMENTO!$AF$11)),0)</f>
        <v>0</v>
      </c>
      <c r="AD492" s="545">
        <f ca="1">IF(AND($D492="Serviço",AD$12&lt;&gt;0,$H492&gt;0,OR(AUTOEVENTO&lt;&gt;"manual",$M492&lt;&gt;1)),
IF(Import.TipoArredondamento&lt;&gt;"TransfereGOV",
ROUND(OFFSET($P492,0,AD$13),15-13*ORÇAMENTO!$AF$7)/$H492*OFFSET(ORÇAMENTO!$X$15,ROW(AD492)-ROW(AD$15),0),
ROUND(ROUND(OFFSET($P492,0,AD$13),15-13*ORÇAMENTO!$AF$7)*OFFSET(ORÇAMENTO!$W$15,ROW(AD492)-ROW(AD$15),0),15-13*ORÇAMENTO!$AF$11)),0)</f>
        <v>0</v>
      </c>
      <c r="AE492" s="545">
        <f ca="1">IF(AND($D492="Serviço",AE$12&lt;&gt;0,$H492&gt;0,OR(AUTOEVENTO&lt;&gt;"manual",$M492&lt;&gt;1)),
IF(Import.TipoArredondamento&lt;&gt;"TransfereGOV",
ROUND(OFFSET($P492,0,AE$13),15-13*ORÇAMENTO!$AF$7)/$H492*OFFSET(ORÇAMENTO!$X$15,ROW(AE492)-ROW(AE$15),0),
ROUND(ROUND(OFFSET($P492,0,AE$13),15-13*ORÇAMENTO!$AF$7)*OFFSET(ORÇAMENTO!$W$15,ROW(AE492)-ROW(AE$15),0),15-13*ORÇAMENTO!$AF$11)),0)</f>
        <v>0</v>
      </c>
      <c r="AF492" s="545">
        <f ca="1">IF(AND($D492="Serviço",AF$12&lt;&gt;0,$H492&gt;0,OR(AUTOEVENTO&lt;&gt;"manual",$M492&lt;&gt;1)),
IF(Import.TipoArredondamento&lt;&gt;"TransfereGOV",
ROUND(OFFSET($P492,0,AF$13),15-13*ORÇAMENTO!$AF$7)/$H492*OFFSET(ORÇAMENTO!$X$15,ROW(AF492)-ROW(AF$15),0),
ROUND(ROUND(OFFSET($P492,0,AF$13),15-13*ORÇAMENTO!$AF$7)*OFFSET(ORÇAMENTO!$W$15,ROW(AF492)-ROW(AF$15),0),15-13*ORÇAMENTO!$AF$11)),0)</f>
        <v>0</v>
      </c>
      <c r="AG492" s="545">
        <f ca="1">IF(AND($D492="Serviço",AG$12&lt;&gt;0,$H492&gt;0,OR(AUTOEVENTO&lt;&gt;"manual",$M492&lt;&gt;1)),
IF(Import.TipoArredondamento&lt;&gt;"TransfereGOV",
ROUND(OFFSET($P492,0,AG$13),15-13*ORÇAMENTO!$AF$7)/$H492*OFFSET(ORÇAMENTO!$X$15,ROW(AG492)-ROW(AG$15),0),
ROUND(ROUND(OFFSET($P492,0,AG$13),15-13*ORÇAMENTO!$AF$7)*OFFSET(ORÇAMENTO!$W$15,ROW(AG492)-ROW(AG$15),0),15-13*ORÇAMENTO!$AF$11)),0)</f>
        <v>0</v>
      </c>
      <c r="AH492" s="545">
        <f ca="1">IF(AND($D492="Serviço",AH$12&lt;&gt;0,$H492&gt;0,OR(AUTOEVENTO&lt;&gt;"manual",$M492&lt;&gt;1)),
IF(Import.TipoArredondamento&lt;&gt;"TransfereGOV",
ROUND(OFFSET($P492,0,AH$13),15-13*ORÇAMENTO!$AF$7)/$H492*OFFSET(ORÇAMENTO!$X$15,ROW(AH492)-ROW(AH$15),0),
ROUND(ROUND(OFFSET($P492,0,AH$13),15-13*ORÇAMENTO!$AF$7)*OFFSET(ORÇAMENTO!$W$15,ROW(AH492)-ROW(AH$15),0),15-13*ORÇAMENTO!$AF$11)),0)</f>
        <v>0</v>
      </c>
      <c r="AI492" s="545">
        <f ca="1">IF(AND($D492="Serviço",AI$12&lt;&gt;0,$H492&gt;0,OR(AUTOEVENTO&lt;&gt;"manual",$M492&lt;&gt;1)),
IF(Import.TipoArredondamento&lt;&gt;"TransfereGOV",
ROUND(OFFSET($P492,0,AI$13),15-13*ORÇAMENTO!$AF$7)/$H492*OFFSET(ORÇAMENTO!$X$15,ROW(AI492)-ROW(AI$15),0),
ROUND(ROUND(OFFSET($P492,0,AI$13),15-13*ORÇAMENTO!$AF$7)*OFFSET(ORÇAMENTO!$W$15,ROW(AI492)-ROW(AI$15),0),15-13*ORÇAMENTO!$AF$11)),0)</f>
        <v>0</v>
      </c>
      <c r="AJ492" s="545">
        <f ca="1">IF(AND($D492="Serviço",AJ$12&lt;&gt;0,$H492&gt;0,OR(AUTOEVENTO&lt;&gt;"manual",$M492&lt;&gt;1)),
IF(Import.TipoArredondamento&lt;&gt;"TransfereGOV",
ROUND(OFFSET($P492,0,AJ$13),15-13*ORÇAMENTO!$AF$7)/$H492*OFFSET(ORÇAMENTO!$X$15,ROW(AJ492)-ROW(AJ$15),0),
ROUND(ROUND(OFFSET($P492,0,AJ$13),15-13*ORÇAMENTO!$AF$7)*OFFSET(ORÇAMENTO!$W$15,ROW(AJ492)-ROW(AJ$15),0),15-13*ORÇAMENTO!$AF$11)),0)</f>
        <v>0</v>
      </c>
      <c r="AK492" s="546">
        <f ca="1">IF(AND($D492="Serviço",AK$12&lt;&gt;0,$H492&gt;0,OR(AUTOEVENTO&lt;&gt;"manual",$M492&lt;&gt;1)),
IF(Import.TipoArredondamento&lt;&gt;"TransfereGOV",
ROUND(OFFSET($P492,0,AK$13),15-13*ORÇAMENTO!$AF$7)/$H492*OFFSET(ORÇAMENTO!$X$15,ROW(AK492)-ROW(AK$15),0),
ROUND(ROUND(OFFSET($P492,0,AK$13),15-13*ORÇAMENTO!$AF$7)*OFFSET(ORÇAMENTO!$W$15,ROW(AK492)-ROW(AK$15),0),15-13*ORÇAMENTO!$AF$11)),0)</f>
        <v>0</v>
      </c>
      <c r="AM492" s="181">
        <f ca="1">IF($D492&lt;&gt;"Serviço",0,IF(AND(AUTOEVENTO="Manual",$M492=1),0,IF(OFFSET(CRONOPLE!$F$14,$M492,AM$13)="",10^12,OFFSET(CRONOPLE!$F$14,$M492,AM$13))))</f>
        <v>1000000000000</v>
      </c>
      <c r="AN492" s="181">
        <f ca="1">IF($D492&lt;&gt;"Serviço",0,IF(AND(AUTOEVENTO="Manual",$M492=1),0,IF(OFFSET(CRONOPLE!$F$14,$M492,AN$13)="",10^12,OFFSET(CRONOPLE!$F$14,$M492,AN$13))))</f>
        <v>1000000000000</v>
      </c>
      <c r="AO492" s="181">
        <f ca="1">IF($D492&lt;&gt;"Serviço",0,IF(AND(AUTOEVENTO="Manual",$M492=1),0,IF(OFFSET(CRONOPLE!$F$14,$M492,AO$13)="",10^12,OFFSET(CRONOPLE!$F$14,$M492,AO$13))))</f>
        <v>1000000000000</v>
      </c>
      <c r="AP492" s="181">
        <f ca="1">IF($D492&lt;&gt;"Serviço",0,IF(AND(AUTOEVENTO="Manual",$M492=1),0,IF(OFFSET(CRONOPLE!$F$14,$M492,AP$13)="",10^12,OFFSET(CRONOPLE!$F$14,$M492,AP$13))))</f>
        <v>1000000000000</v>
      </c>
      <c r="AQ492" s="181">
        <f ca="1">IF($D492&lt;&gt;"Serviço",0,IF(AND(AUTOEVENTO="Manual",$M492=1),0,IF(OFFSET(CRONOPLE!$F$14,$M492,AQ$13)="",10^12,OFFSET(CRONOPLE!$F$14,$M492,AQ$13))))</f>
        <v>1000000000000</v>
      </c>
      <c r="AR492" s="181">
        <f ca="1">IF($D492&lt;&gt;"Serviço",0,IF(AND(AUTOEVENTO="Manual",$M492=1),0,IF(OFFSET(CRONOPLE!$F$14,$M492,AR$13)="",10^12,OFFSET(CRONOPLE!$F$14,$M492,AR$13))))</f>
        <v>1000000000000</v>
      </c>
      <c r="AS492" s="181">
        <f ca="1">IF($D492&lt;&gt;"Serviço",0,IF(AND(AUTOEVENTO="Manual",$M492=1),0,IF(OFFSET(CRONOPLE!$F$14,$M492,AS$13)="",10^12,OFFSET(CRONOPLE!$F$14,$M492,AS$13))))</f>
        <v>1000000000000</v>
      </c>
      <c r="AT492" s="181">
        <f ca="1">IF($D492&lt;&gt;"Serviço",0,IF(AND(AUTOEVENTO="Manual",$M492=1),0,IF(OFFSET(CRONOPLE!$F$14,$M492,AT$13)="",10^12,OFFSET(CRONOPLE!$F$14,$M492,AT$13))))</f>
        <v>1000000000000</v>
      </c>
      <c r="AU492" s="181">
        <f ca="1">IF($D492&lt;&gt;"Serviço",0,IF(AND(AUTOEVENTO="Manual",$M492=1),0,IF(OFFSET(CRONOPLE!$F$14,$M492,AU$13)="",10^12,OFFSET(CRONOPLE!$F$14,$M492,AU$13))))</f>
        <v>1000000000000</v>
      </c>
      <c r="AV492" s="181">
        <f ca="1">IF($D492&lt;&gt;"Serviço",0,IF(AND(AUTOEVENTO="Manual",$M492=1),0,IF(OFFSET(CRONOPLE!$F$14,$M492,AV$13)="",10^12,OFFSET(CRONOPLE!$F$14,$M492,AV$13))))</f>
        <v>1000000000000</v>
      </c>
      <c r="AX492" s="182">
        <f ca="1">IF($D492&lt;&gt;"Serviço",0,IF(OR(AND(AUTOEVENTO="Manual",$M492=1),$M492&gt;(ROW(PLE.lastrow)-ROW(PLE.firstrow))),0,IF(OFFSET(PLE!$G$14,$M492,AX$13)="",10^12,OFFSET(PLE!$G$14,$M492,AX$13))))</f>
        <v>1000000000000</v>
      </c>
      <c r="AY492" s="182">
        <f ca="1">IF($D492&lt;&gt;"Serviço",0,IF(OR(AND(AUTOEVENTO="Manual",$M492=1),$M492&gt;(ROW(PLE.lastrow)-ROW(PLE.firstrow))),0,IF(OFFSET(PLE!$G$14,$M492,AY$13)="",10^12,OFFSET(PLE!$G$14,$M492,AY$13))))</f>
        <v>1000000000000</v>
      </c>
      <c r="AZ492" s="182">
        <f ca="1">IF($D492&lt;&gt;"Serviço",0,IF(OR(AND(AUTOEVENTO="Manual",$M492=1),$M492&gt;(ROW(PLE.lastrow)-ROW(PLE.firstrow))),0,IF(OFFSET(PLE!$G$14,$M492,AZ$13)="",10^12,OFFSET(PLE!$G$14,$M492,AZ$13))))</f>
        <v>1000000000000</v>
      </c>
      <c r="BA492" s="182">
        <f ca="1">IF($D492&lt;&gt;"Serviço",0,IF(OR(AND(AUTOEVENTO="Manual",$M492=1),$M492&gt;(ROW(PLE.lastrow)-ROW(PLE.firstrow))),0,IF(OFFSET(PLE!$G$14,$M492,BA$13)="",10^12,OFFSET(PLE!$G$14,$M492,BA$13))))</f>
        <v>1000000000000</v>
      </c>
      <c r="BB492" s="182">
        <f ca="1">IF($D492&lt;&gt;"Serviço",0,IF(OR(AND(AUTOEVENTO="Manual",$M492=1),$M492&gt;(ROW(PLE.lastrow)-ROW(PLE.firstrow))),0,IF(OFFSET(PLE!$G$14,$M492,BB$13)="",10^12,OFFSET(PLE!$G$14,$M492,BB$13))))</f>
        <v>1000000000000</v>
      </c>
      <c r="BC492" s="182">
        <f ca="1">IF($D492&lt;&gt;"Serviço",0,IF(OR(AND(AUTOEVENTO="Manual",$M492=1),$M492&gt;(ROW(PLE.lastrow)-ROW(PLE.firstrow))),0,IF(OFFSET(PLE!$G$14,$M492,BC$13)="",10^12,OFFSET(PLE!$G$14,$M492,BC$13))))</f>
        <v>1000000000000</v>
      </c>
      <c r="BD492" s="182">
        <f ca="1">IF($D492&lt;&gt;"Serviço",0,IF(OR(AND(AUTOEVENTO="Manual",$M492=1),$M492&gt;(ROW(PLE.lastrow)-ROW(PLE.firstrow))),0,IF(OFFSET(PLE!$G$14,$M492,BD$13)="",10^12,OFFSET(PLE!$G$14,$M492,BD$13))))</f>
        <v>1000000000000</v>
      </c>
      <c r="BE492" s="182">
        <f ca="1">IF($D492&lt;&gt;"Serviço",0,IF(OR(AND(AUTOEVENTO="Manual",$M492=1),$M492&gt;(ROW(PLE.lastrow)-ROW(PLE.firstrow))),0,IF(OFFSET(PLE!$G$14,$M492,BE$13)="",10^12,OFFSET(PLE!$G$14,$M492,BE$13))))</f>
        <v>1000000000000</v>
      </c>
      <c r="BF492" s="182">
        <f ca="1">IF($D492&lt;&gt;"Serviço",0,IF(OR(AND(AUTOEVENTO="Manual",$M492=1),$M492&gt;(ROW(PLE.lastrow)-ROW(PLE.firstrow))),0,IF(OFFSET(PLE!$G$14,$M492,BF$13)="",10^12,OFFSET(PLE!$G$14,$M492,BF$13))))</f>
        <v>1000000000000</v>
      </c>
      <c r="BG492" s="182">
        <f ca="1">IF($D492&lt;&gt;"Serviço",0,IF(OR(AND(AUTOEVENTO="Manual",$M492=1),$M492&gt;(ROW(PLE.lastrow)-ROW(PLE.firstrow))),0,IF(OFFSET(PLE!$G$14,$M492,BG$13)="",10^12,OFFSET(PLE!$G$14,$M492,BG$13))))</f>
        <v>1000000000000</v>
      </c>
    </row>
    <row r="493" spans="1:59" ht="25.5" x14ac:dyDescent="0.2">
      <c r="A493" s="7" t="str">
        <f ca="1">IF(AUTOEVENTO="Manual",IF(K493&lt;&gt;"",MIN(VALUE(LEFT(K493,FIND(".",K493)-1)),COUNTA(EVENTOS.Lista)),0),IF(OR($B493&gt;AUTOEVENTO,$B493="S",$B493=0),SUBSTITUTE(OFFSET($A493,-1,0),IF($D493="Serviço",".",""),""),ROW(A493)-ROW($A$15)&amp;"."))</f>
        <v>472</v>
      </c>
      <c r="B493" s="7" t="str">
        <f ca="1">OFFSET(ORÇAMENTO!C$15,ROW(B493)-ROW(B$15),0)</f>
        <v>S</v>
      </c>
      <c r="C493" s="7" t="str">
        <f ca="1">OFFSET(ORÇAMENTO!L$15,ROW(C493)-ROW(C$15),0)</f>
        <v/>
      </c>
      <c r="D493" s="118" t="str">
        <f ca="1">OFFSET(ORÇAMENTO!N$15,ROW(D493)-ROW(D$15),0)</f>
        <v>Serviço</v>
      </c>
      <c r="E493" s="119" t="str">
        <f ca="1">OFFSET(ORÇAMENTO!O$15,ROW(E493)-ROW(E$15),0)</f>
        <v>-</v>
      </c>
      <c r="F493" s="172" t="str">
        <f ca="1">OFFSET(ORÇAMENTO!R$15,ROW(F493)-ROW(F$15),0)</f>
        <v>(abra o arquivo 'Referência 02-2025.xlsm)</v>
      </c>
      <c r="G493" s="173" t="str">
        <f ca="1">IF($D493&lt;&gt;"Serviço","",OFFSET(ORÇAMENTO!S$15,ROW(G493)-ROW(G$15),0))</f>
        <v>-</v>
      </c>
      <c r="H493" s="124">
        <f ca="1">IF($D493&lt;&gt;"Serviço",0,IF(ACOMPANHAMENTO="BM",ROUND(OFFSET(ORÇAMENTO!AJ$15,ROW(H493)-ROW(H$15),0),15-13*ORÇAMENTO!$AF$7),SUMPRODUCT(($Q$12:$AA$12&lt;&gt;"")*ROUND($Q493:$AA493,15-13*ORÇAMENTO!$AF$7))))</f>
        <v>4</v>
      </c>
      <c r="I493" s="561" t="s">
        <v>890</v>
      </c>
      <c r="K493" s="174"/>
      <c r="L493" s="175" t="s">
        <v>255</v>
      </c>
      <c r="M493" s="176">
        <f ca="1">IF($D493&lt;&gt;"Serviço","",IF(AUTOEVENTO="manual",$A493,IF(ISERROR(MATCH($A493,$A$15:OFFSET($A493,-1,0),0)),MAX($M$15:OFFSET(M493,-1,0))+1,INDEX($M$15:OFFSET(M493,-1,0),MATCH($A493,$A$15:OFFSET($A493,-1,0),0)))))</f>
        <v>18</v>
      </c>
      <c r="N493" s="177" t="str">
        <f ca="1">IF($D493&lt;&gt;"Serviço","",IF(AUTOEVENTO="Manual",IF($A493=0,"&lt;-- defina o número do agrupador",OFFSET(EVENTOS!$D$14,$A493,0)),OFFSET($F$15,$A493,0)))</f>
        <v>INSTALAÇÕES ELÉTRICAS - 220V</v>
      </c>
      <c r="O493" s="178"/>
      <c r="Q493" s="178"/>
      <c r="R493" s="179"/>
      <c r="S493" s="179"/>
      <c r="T493" s="179"/>
      <c r="U493" s="179"/>
      <c r="V493" s="179"/>
      <c r="W493" s="179"/>
      <c r="X493" s="179"/>
      <c r="Y493" s="179"/>
      <c r="Z493" s="180"/>
      <c r="AB493" s="544">
        <f ca="1">IF(AND($D493="Serviço",AB$12&lt;&gt;0,$H493&gt;0,OR(AUTOEVENTO&lt;&gt;"manual",$M493&lt;&gt;1)),
IF(Import.TipoArredondamento&lt;&gt;"TransfereGOV",
ROUND(OFFSET($P493,0,AB$13),15-13*ORÇAMENTO!$AF$7)/$H493*OFFSET(ORÇAMENTO!$X$15,ROW(AB493)-ROW(AB$15),0),
ROUND(ROUND(OFFSET($P493,0,AB$13),15-13*ORÇAMENTO!$AF$7)*OFFSET(ORÇAMENTO!$W$15,ROW(AB493)-ROW(AB$15),0),15-13*ORÇAMENTO!$AF$11)),0)</f>
        <v>0</v>
      </c>
      <c r="AC493" s="545">
        <f ca="1">IF(AND($D493="Serviço",AC$12&lt;&gt;0,$H493&gt;0,OR(AUTOEVENTO&lt;&gt;"manual",$M493&lt;&gt;1)),
IF(Import.TipoArredondamento&lt;&gt;"TransfereGOV",
ROUND(OFFSET($P493,0,AC$13),15-13*ORÇAMENTO!$AF$7)/$H493*OFFSET(ORÇAMENTO!$X$15,ROW(AC493)-ROW(AC$15),0),
ROUND(ROUND(OFFSET($P493,0,AC$13),15-13*ORÇAMENTO!$AF$7)*OFFSET(ORÇAMENTO!$W$15,ROW(AC493)-ROW(AC$15),0),15-13*ORÇAMENTO!$AF$11)),0)</f>
        <v>0</v>
      </c>
      <c r="AD493" s="545">
        <f ca="1">IF(AND($D493="Serviço",AD$12&lt;&gt;0,$H493&gt;0,OR(AUTOEVENTO&lt;&gt;"manual",$M493&lt;&gt;1)),
IF(Import.TipoArredondamento&lt;&gt;"TransfereGOV",
ROUND(OFFSET($P493,0,AD$13),15-13*ORÇAMENTO!$AF$7)/$H493*OFFSET(ORÇAMENTO!$X$15,ROW(AD493)-ROW(AD$15),0),
ROUND(ROUND(OFFSET($P493,0,AD$13),15-13*ORÇAMENTO!$AF$7)*OFFSET(ORÇAMENTO!$W$15,ROW(AD493)-ROW(AD$15),0),15-13*ORÇAMENTO!$AF$11)),0)</f>
        <v>0</v>
      </c>
      <c r="AE493" s="545">
        <f ca="1">IF(AND($D493="Serviço",AE$12&lt;&gt;0,$H493&gt;0,OR(AUTOEVENTO&lt;&gt;"manual",$M493&lt;&gt;1)),
IF(Import.TipoArredondamento&lt;&gt;"TransfereGOV",
ROUND(OFFSET($P493,0,AE$13),15-13*ORÇAMENTO!$AF$7)/$H493*OFFSET(ORÇAMENTO!$X$15,ROW(AE493)-ROW(AE$15),0),
ROUND(ROUND(OFFSET($P493,0,AE$13),15-13*ORÇAMENTO!$AF$7)*OFFSET(ORÇAMENTO!$W$15,ROW(AE493)-ROW(AE$15),0),15-13*ORÇAMENTO!$AF$11)),0)</f>
        <v>0</v>
      </c>
      <c r="AF493" s="545">
        <f ca="1">IF(AND($D493="Serviço",AF$12&lt;&gt;0,$H493&gt;0,OR(AUTOEVENTO&lt;&gt;"manual",$M493&lt;&gt;1)),
IF(Import.TipoArredondamento&lt;&gt;"TransfereGOV",
ROUND(OFFSET($P493,0,AF$13),15-13*ORÇAMENTO!$AF$7)/$H493*OFFSET(ORÇAMENTO!$X$15,ROW(AF493)-ROW(AF$15),0),
ROUND(ROUND(OFFSET($P493,0,AF$13),15-13*ORÇAMENTO!$AF$7)*OFFSET(ORÇAMENTO!$W$15,ROW(AF493)-ROW(AF$15),0),15-13*ORÇAMENTO!$AF$11)),0)</f>
        <v>0</v>
      </c>
      <c r="AG493" s="545">
        <f ca="1">IF(AND($D493="Serviço",AG$12&lt;&gt;0,$H493&gt;0,OR(AUTOEVENTO&lt;&gt;"manual",$M493&lt;&gt;1)),
IF(Import.TipoArredondamento&lt;&gt;"TransfereGOV",
ROUND(OFFSET($P493,0,AG$13),15-13*ORÇAMENTO!$AF$7)/$H493*OFFSET(ORÇAMENTO!$X$15,ROW(AG493)-ROW(AG$15),0),
ROUND(ROUND(OFFSET($P493,0,AG$13),15-13*ORÇAMENTO!$AF$7)*OFFSET(ORÇAMENTO!$W$15,ROW(AG493)-ROW(AG$15),0),15-13*ORÇAMENTO!$AF$11)),0)</f>
        <v>0</v>
      </c>
      <c r="AH493" s="545">
        <f ca="1">IF(AND($D493="Serviço",AH$12&lt;&gt;0,$H493&gt;0,OR(AUTOEVENTO&lt;&gt;"manual",$M493&lt;&gt;1)),
IF(Import.TipoArredondamento&lt;&gt;"TransfereGOV",
ROUND(OFFSET($P493,0,AH$13),15-13*ORÇAMENTO!$AF$7)/$H493*OFFSET(ORÇAMENTO!$X$15,ROW(AH493)-ROW(AH$15),0),
ROUND(ROUND(OFFSET($P493,0,AH$13),15-13*ORÇAMENTO!$AF$7)*OFFSET(ORÇAMENTO!$W$15,ROW(AH493)-ROW(AH$15),0),15-13*ORÇAMENTO!$AF$11)),0)</f>
        <v>0</v>
      </c>
      <c r="AI493" s="545">
        <f ca="1">IF(AND($D493="Serviço",AI$12&lt;&gt;0,$H493&gt;0,OR(AUTOEVENTO&lt;&gt;"manual",$M493&lt;&gt;1)),
IF(Import.TipoArredondamento&lt;&gt;"TransfereGOV",
ROUND(OFFSET($P493,0,AI$13),15-13*ORÇAMENTO!$AF$7)/$H493*OFFSET(ORÇAMENTO!$X$15,ROW(AI493)-ROW(AI$15),0),
ROUND(ROUND(OFFSET($P493,0,AI$13),15-13*ORÇAMENTO!$AF$7)*OFFSET(ORÇAMENTO!$W$15,ROW(AI493)-ROW(AI$15),0),15-13*ORÇAMENTO!$AF$11)),0)</f>
        <v>0</v>
      </c>
      <c r="AJ493" s="545">
        <f ca="1">IF(AND($D493="Serviço",AJ$12&lt;&gt;0,$H493&gt;0,OR(AUTOEVENTO&lt;&gt;"manual",$M493&lt;&gt;1)),
IF(Import.TipoArredondamento&lt;&gt;"TransfereGOV",
ROUND(OFFSET($P493,0,AJ$13),15-13*ORÇAMENTO!$AF$7)/$H493*OFFSET(ORÇAMENTO!$X$15,ROW(AJ493)-ROW(AJ$15),0),
ROUND(ROUND(OFFSET($P493,0,AJ$13),15-13*ORÇAMENTO!$AF$7)*OFFSET(ORÇAMENTO!$W$15,ROW(AJ493)-ROW(AJ$15),0),15-13*ORÇAMENTO!$AF$11)),0)</f>
        <v>0</v>
      </c>
      <c r="AK493" s="546">
        <f ca="1">IF(AND($D493="Serviço",AK$12&lt;&gt;0,$H493&gt;0,OR(AUTOEVENTO&lt;&gt;"manual",$M493&lt;&gt;1)),
IF(Import.TipoArredondamento&lt;&gt;"TransfereGOV",
ROUND(OFFSET($P493,0,AK$13),15-13*ORÇAMENTO!$AF$7)/$H493*OFFSET(ORÇAMENTO!$X$15,ROW(AK493)-ROW(AK$15),0),
ROUND(ROUND(OFFSET($P493,0,AK$13),15-13*ORÇAMENTO!$AF$7)*OFFSET(ORÇAMENTO!$W$15,ROW(AK493)-ROW(AK$15),0),15-13*ORÇAMENTO!$AF$11)),0)</f>
        <v>0</v>
      </c>
      <c r="AM493" s="181">
        <f ca="1">IF($D493&lt;&gt;"Serviço",0,IF(AND(AUTOEVENTO="Manual",$M493=1),0,IF(OFFSET(CRONOPLE!$F$14,$M493,AM$13)="",10^12,OFFSET(CRONOPLE!$F$14,$M493,AM$13))))</f>
        <v>1000000000000</v>
      </c>
      <c r="AN493" s="181">
        <f ca="1">IF($D493&lt;&gt;"Serviço",0,IF(AND(AUTOEVENTO="Manual",$M493=1),0,IF(OFFSET(CRONOPLE!$F$14,$M493,AN$13)="",10^12,OFFSET(CRONOPLE!$F$14,$M493,AN$13))))</f>
        <v>1000000000000</v>
      </c>
      <c r="AO493" s="181">
        <f ca="1">IF($D493&lt;&gt;"Serviço",0,IF(AND(AUTOEVENTO="Manual",$M493=1),0,IF(OFFSET(CRONOPLE!$F$14,$M493,AO$13)="",10^12,OFFSET(CRONOPLE!$F$14,$M493,AO$13))))</f>
        <v>1000000000000</v>
      </c>
      <c r="AP493" s="181">
        <f ca="1">IF($D493&lt;&gt;"Serviço",0,IF(AND(AUTOEVENTO="Manual",$M493=1),0,IF(OFFSET(CRONOPLE!$F$14,$M493,AP$13)="",10^12,OFFSET(CRONOPLE!$F$14,$M493,AP$13))))</f>
        <v>1000000000000</v>
      </c>
      <c r="AQ493" s="181">
        <f ca="1">IF($D493&lt;&gt;"Serviço",0,IF(AND(AUTOEVENTO="Manual",$M493=1),0,IF(OFFSET(CRONOPLE!$F$14,$M493,AQ$13)="",10^12,OFFSET(CRONOPLE!$F$14,$M493,AQ$13))))</f>
        <v>1000000000000</v>
      </c>
      <c r="AR493" s="181">
        <f ca="1">IF($D493&lt;&gt;"Serviço",0,IF(AND(AUTOEVENTO="Manual",$M493=1),0,IF(OFFSET(CRONOPLE!$F$14,$M493,AR$13)="",10^12,OFFSET(CRONOPLE!$F$14,$M493,AR$13))))</f>
        <v>1000000000000</v>
      </c>
      <c r="AS493" s="181">
        <f ca="1">IF($D493&lt;&gt;"Serviço",0,IF(AND(AUTOEVENTO="Manual",$M493=1),0,IF(OFFSET(CRONOPLE!$F$14,$M493,AS$13)="",10^12,OFFSET(CRONOPLE!$F$14,$M493,AS$13))))</f>
        <v>1000000000000</v>
      </c>
      <c r="AT493" s="181">
        <f ca="1">IF($D493&lt;&gt;"Serviço",0,IF(AND(AUTOEVENTO="Manual",$M493=1),0,IF(OFFSET(CRONOPLE!$F$14,$M493,AT$13)="",10^12,OFFSET(CRONOPLE!$F$14,$M493,AT$13))))</f>
        <v>1000000000000</v>
      </c>
      <c r="AU493" s="181">
        <f ca="1">IF($D493&lt;&gt;"Serviço",0,IF(AND(AUTOEVENTO="Manual",$M493=1),0,IF(OFFSET(CRONOPLE!$F$14,$M493,AU$13)="",10^12,OFFSET(CRONOPLE!$F$14,$M493,AU$13))))</f>
        <v>1000000000000</v>
      </c>
      <c r="AV493" s="181">
        <f ca="1">IF($D493&lt;&gt;"Serviço",0,IF(AND(AUTOEVENTO="Manual",$M493=1),0,IF(OFFSET(CRONOPLE!$F$14,$M493,AV$13)="",10^12,OFFSET(CRONOPLE!$F$14,$M493,AV$13))))</f>
        <v>1000000000000</v>
      </c>
      <c r="AX493" s="182">
        <f ca="1">IF($D493&lt;&gt;"Serviço",0,IF(OR(AND(AUTOEVENTO="Manual",$M493=1),$M493&gt;(ROW(PLE.lastrow)-ROW(PLE.firstrow))),0,IF(OFFSET(PLE!$G$14,$M493,AX$13)="",10^12,OFFSET(PLE!$G$14,$M493,AX$13))))</f>
        <v>1000000000000</v>
      </c>
      <c r="AY493" s="182">
        <f ca="1">IF($D493&lt;&gt;"Serviço",0,IF(OR(AND(AUTOEVENTO="Manual",$M493=1),$M493&gt;(ROW(PLE.lastrow)-ROW(PLE.firstrow))),0,IF(OFFSET(PLE!$G$14,$M493,AY$13)="",10^12,OFFSET(PLE!$G$14,$M493,AY$13))))</f>
        <v>1000000000000</v>
      </c>
      <c r="AZ493" s="182">
        <f ca="1">IF($D493&lt;&gt;"Serviço",0,IF(OR(AND(AUTOEVENTO="Manual",$M493=1),$M493&gt;(ROW(PLE.lastrow)-ROW(PLE.firstrow))),0,IF(OFFSET(PLE!$G$14,$M493,AZ$13)="",10^12,OFFSET(PLE!$G$14,$M493,AZ$13))))</f>
        <v>1000000000000</v>
      </c>
      <c r="BA493" s="182">
        <f ca="1">IF($D493&lt;&gt;"Serviço",0,IF(OR(AND(AUTOEVENTO="Manual",$M493=1),$M493&gt;(ROW(PLE.lastrow)-ROW(PLE.firstrow))),0,IF(OFFSET(PLE!$G$14,$M493,BA$13)="",10^12,OFFSET(PLE!$G$14,$M493,BA$13))))</f>
        <v>1000000000000</v>
      </c>
      <c r="BB493" s="182">
        <f ca="1">IF($D493&lt;&gt;"Serviço",0,IF(OR(AND(AUTOEVENTO="Manual",$M493=1),$M493&gt;(ROW(PLE.lastrow)-ROW(PLE.firstrow))),0,IF(OFFSET(PLE!$G$14,$M493,BB$13)="",10^12,OFFSET(PLE!$G$14,$M493,BB$13))))</f>
        <v>1000000000000</v>
      </c>
      <c r="BC493" s="182">
        <f ca="1">IF($D493&lt;&gt;"Serviço",0,IF(OR(AND(AUTOEVENTO="Manual",$M493=1),$M493&gt;(ROW(PLE.lastrow)-ROW(PLE.firstrow))),0,IF(OFFSET(PLE!$G$14,$M493,BC$13)="",10^12,OFFSET(PLE!$G$14,$M493,BC$13))))</f>
        <v>1000000000000</v>
      </c>
      <c r="BD493" s="182">
        <f ca="1">IF($D493&lt;&gt;"Serviço",0,IF(OR(AND(AUTOEVENTO="Manual",$M493=1),$M493&gt;(ROW(PLE.lastrow)-ROW(PLE.firstrow))),0,IF(OFFSET(PLE!$G$14,$M493,BD$13)="",10^12,OFFSET(PLE!$G$14,$M493,BD$13))))</f>
        <v>1000000000000</v>
      </c>
      <c r="BE493" s="182">
        <f ca="1">IF($D493&lt;&gt;"Serviço",0,IF(OR(AND(AUTOEVENTO="Manual",$M493=1),$M493&gt;(ROW(PLE.lastrow)-ROW(PLE.firstrow))),0,IF(OFFSET(PLE!$G$14,$M493,BE$13)="",10^12,OFFSET(PLE!$G$14,$M493,BE$13))))</f>
        <v>1000000000000</v>
      </c>
      <c r="BF493" s="182">
        <f ca="1">IF($D493&lt;&gt;"Serviço",0,IF(OR(AND(AUTOEVENTO="Manual",$M493=1),$M493&gt;(ROW(PLE.lastrow)-ROW(PLE.firstrow))),0,IF(OFFSET(PLE!$G$14,$M493,BF$13)="",10^12,OFFSET(PLE!$G$14,$M493,BF$13))))</f>
        <v>1000000000000</v>
      </c>
      <c r="BG493" s="182">
        <f ca="1">IF($D493&lt;&gt;"Serviço",0,IF(OR(AND(AUTOEVENTO="Manual",$M493=1),$M493&gt;(ROW(PLE.lastrow)-ROW(PLE.firstrow))),0,IF(OFFSET(PLE!$G$14,$M493,BG$13)="",10^12,OFFSET(PLE!$G$14,$M493,BG$13))))</f>
        <v>1000000000000</v>
      </c>
    </row>
    <row r="494" spans="1:59" ht="25.5" x14ac:dyDescent="0.2">
      <c r="A494" s="7" t="str">
        <f ca="1">IF(AUTOEVENTO="Manual",IF(K494&lt;&gt;"",MIN(VALUE(LEFT(K494,FIND(".",K494)-1)),COUNTA(EVENTOS.Lista)),0),IF(OR($B494&gt;AUTOEVENTO,$B494="S",$B494=0),SUBSTITUTE(OFFSET($A494,-1,0),IF($D494="Serviço",".",""),""),ROW(A494)-ROW($A$15)&amp;"."))</f>
        <v>472</v>
      </c>
      <c r="B494" s="7" t="str">
        <f ca="1">OFFSET(ORÇAMENTO!C$15,ROW(B494)-ROW(B$15),0)</f>
        <v>S</v>
      </c>
      <c r="C494" s="7" t="str">
        <f ca="1">OFFSET(ORÇAMENTO!L$15,ROW(C494)-ROW(C$15),0)</f>
        <v/>
      </c>
      <c r="D494" s="118" t="str">
        <f ca="1">OFFSET(ORÇAMENTO!N$15,ROW(D494)-ROW(D$15),0)</f>
        <v>Serviço</v>
      </c>
      <c r="E494" s="119" t="str">
        <f ca="1">OFFSET(ORÇAMENTO!O$15,ROW(E494)-ROW(E$15),0)</f>
        <v>-</v>
      </c>
      <c r="F494" s="172" t="str">
        <f ca="1">OFFSET(ORÇAMENTO!R$15,ROW(F494)-ROW(F$15),0)</f>
        <v>(abra o arquivo 'Referência 02-2025.xlsm)</v>
      </c>
      <c r="G494" s="173" t="str">
        <f ca="1">IF($D494&lt;&gt;"Serviço","",OFFSET(ORÇAMENTO!S$15,ROW(G494)-ROW(G$15),0))</f>
        <v>-</v>
      </c>
      <c r="H494" s="124">
        <f ca="1">IF($D494&lt;&gt;"Serviço",0,IF(ACOMPANHAMENTO="BM",ROUND(OFFSET(ORÇAMENTO!AJ$15,ROW(H494)-ROW(H$15),0),15-13*ORÇAMENTO!$AF$7),SUMPRODUCT(($Q$12:$AA$12&lt;&gt;"")*ROUND($Q494:$AA494,15-13*ORÇAMENTO!$AF$7))))</f>
        <v>242</v>
      </c>
      <c r="I494" s="561" t="s">
        <v>890</v>
      </c>
      <c r="K494" s="174"/>
      <c r="L494" s="175" t="s">
        <v>255</v>
      </c>
      <c r="M494" s="176">
        <f ca="1">IF($D494&lt;&gt;"Serviço","",IF(AUTOEVENTO="manual",$A494,IF(ISERROR(MATCH($A494,$A$15:OFFSET($A494,-1,0),0)),MAX($M$15:OFFSET(M494,-1,0))+1,INDEX($M$15:OFFSET(M494,-1,0),MATCH($A494,$A$15:OFFSET($A494,-1,0),0)))))</f>
        <v>18</v>
      </c>
      <c r="N494" s="177" t="str">
        <f ca="1">IF($D494&lt;&gt;"Serviço","",IF(AUTOEVENTO="Manual",IF($A494=0,"&lt;-- defina o número do agrupador",OFFSET(EVENTOS!$D$14,$A494,0)),OFFSET($F$15,$A494,0)))</f>
        <v>INSTALAÇÕES ELÉTRICAS - 220V</v>
      </c>
      <c r="O494" s="178"/>
      <c r="Q494" s="178"/>
      <c r="R494" s="179"/>
      <c r="S494" s="179"/>
      <c r="T494" s="179"/>
      <c r="U494" s="179"/>
      <c r="V494" s="179"/>
      <c r="W494" s="179"/>
      <c r="X494" s="179"/>
      <c r="Y494" s="179"/>
      <c r="Z494" s="180"/>
      <c r="AB494" s="544">
        <f ca="1">IF(AND($D494="Serviço",AB$12&lt;&gt;0,$H494&gt;0,OR(AUTOEVENTO&lt;&gt;"manual",$M494&lt;&gt;1)),
IF(Import.TipoArredondamento&lt;&gt;"TransfereGOV",
ROUND(OFFSET($P494,0,AB$13),15-13*ORÇAMENTO!$AF$7)/$H494*OFFSET(ORÇAMENTO!$X$15,ROW(AB494)-ROW(AB$15),0),
ROUND(ROUND(OFFSET($P494,0,AB$13),15-13*ORÇAMENTO!$AF$7)*OFFSET(ORÇAMENTO!$W$15,ROW(AB494)-ROW(AB$15),0),15-13*ORÇAMENTO!$AF$11)),0)</f>
        <v>0</v>
      </c>
      <c r="AC494" s="545">
        <f ca="1">IF(AND($D494="Serviço",AC$12&lt;&gt;0,$H494&gt;0,OR(AUTOEVENTO&lt;&gt;"manual",$M494&lt;&gt;1)),
IF(Import.TipoArredondamento&lt;&gt;"TransfereGOV",
ROUND(OFFSET($P494,0,AC$13),15-13*ORÇAMENTO!$AF$7)/$H494*OFFSET(ORÇAMENTO!$X$15,ROW(AC494)-ROW(AC$15),0),
ROUND(ROUND(OFFSET($P494,0,AC$13),15-13*ORÇAMENTO!$AF$7)*OFFSET(ORÇAMENTO!$W$15,ROW(AC494)-ROW(AC$15),0),15-13*ORÇAMENTO!$AF$11)),0)</f>
        <v>0</v>
      </c>
      <c r="AD494" s="545">
        <f ca="1">IF(AND($D494="Serviço",AD$12&lt;&gt;0,$H494&gt;0,OR(AUTOEVENTO&lt;&gt;"manual",$M494&lt;&gt;1)),
IF(Import.TipoArredondamento&lt;&gt;"TransfereGOV",
ROUND(OFFSET($P494,0,AD$13),15-13*ORÇAMENTO!$AF$7)/$H494*OFFSET(ORÇAMENTO!$X$15,ROW(AD494)-ROW(AD$15),0),
ROUND(ROUND(OFFSET($P494,0,AD$13),15-13*ORÇAMENTO!$AF$7)*OFFSET(ORÇAMENTO!$W$15,ROW(AD494)-ROW(AD$15),0),15-13*ORÇAMENTO!$AF$11)),0)</f>
        <v>0</v>
      </c>
      <c r="AE494" s="545">
        <f ca="1">IF(AND($D494="Serviço",AE$12&lt;&gt;0,$H494&gt;0,OR(AUTOEVENTO&lt;&gt;"manual",$M494&lt;&gt;1)),
IF(Import.TipoArredondamento&lt;&gt;"TransfereGOV",
ROUND(OFFSET($P494,0,AE$13),15-13*ORÇAMENTO!$AF$7)/$H494*OFFSET(ORÇAMENTO!$X$15,ROW(AE494)-ROW(AE$15),0),
ROUND(ROUND(OFFSET($P494,0,AE$13),15-13*ORÇAMENTO!$AF$7)*OFFSET(ORÇAMENTO!$W$15,ROW(AE494)-ROW(AE$15),0),15-13*ORÇAMENTO!$AF$11)),0)</f>
        <v>0</v>
      </c>
      <c r="AF494" s="545">
        <f ca="1">IF(AND($D494="Serviço",AF$12&lt;&gt;0,$H494&gt;0,OR(AUTOEVENTO&lt;&gt;"manual",$M494&lt;&gt;1)),
IF(Import.TipoArredondamento&lt;&gt;"TransfereGOV",
ROUND(OFFSET($P494,0,AF$13),15-13*ORÇAMENTO!$AF$7)/$H494*OFFSET(ORÇAMENTO!$X$15,ROW(AF494)-ROW(AF$15),0),
ROUND(ROUND(OFFSET($P494,0,AF$13),15-13*ORÇAMENTO!$AF$7)*OFFSET(ORÇAMENTO!$W$15,ROW(AF494)-ROW(AF$15),0),15-13*ORÇAMENTO!$AF$11)),0)</f>
        <v>0</v>
      </c>
      <c r="AG494" s="545">
        <f ca="1">IF(AND($D494="Serviço",AG$12&lt;&gt;0,$H494&gt;0,OR(AUTOEVENTO&lt;&gt;"manual",$M494&lt;&gt;1)),
IF(Import.TipoArredondamento&lt;&gt;"TransfereGOV",
ROUND(OFFSET($P494,0,AG$13),15-13*ORÇAMENTO!$AF$7)/$H494*OFFSET(ORÇAMENTO!$X$15,ROW(AG494)-ROW(AG$15),0),
ROUND(ROUND(OFFSET($P494,0,AG$13),15-13*ORÇAMENTO!$AF$7)*OFFSET(ORÇAMENTO!$W$15,ROW(AG494)-ROW(AG$15),0),15-13*ORÇAMENTO!$AF$11)),0)</f>
        <v>0</v>
      </c>
      <c r="AH494" s="545">
        <f ca="1">IF(AND($D494="Serviço",AH$12&lt;&gt;0,$H494&gt;0,OR(AUTOEVENTO&lt;&gt;"manual",$M494&lt;&gt;1)),
IF(Import.TipoArredondamento&lt;&gt;"TransfereGOV",
ROUND(OFFSET($P494,0,AH$13),15-13*ORÇAMENTO!$AF$7)/$H494*OFFSET(ORÇAMENTO!$X$15,ROW(AH494)-ROW(AH$15),0),
ROUND(ROUND(OFFSET($P494,0,AH$13),15-13*ORÇAMENTO!$AF$7)*OFFSET(ORÇAMENTO!$W$15,ROW(AH494)-ROW(AH$15),0),15-13*ORÇAMENTO!$AF$11)),0)</f>
        <v>0</v>
      </c>
      <c r="AI494" s="545">
        <f ca="1">IF(AND($D494="Serviço",AI$12&lt;&gt;0,$H494&gt;0,OR(AUTOEVENTO&lt;&gt;"manual",$M494&lt;&gt;1)),
IF(Import.TipoArredondamento&lt;&gt;"TransfereGOV",
ROUND(OFFSET($P494,0,AI$13),15-13*ORÇAMENTO!$AF$7)/$H494*OFFSET(ORÇAMENTO!$X$15,ROW(AI494)-ROW(AI$15),0),
ROUND(ROUND(OFFSET($P494,0,AI$13),15-13*ORÇAMENTO!$AF$7)*OFFSET(ORÇAMENTO!$W$15,ROW(AI494)-ROW(AI$15),0),15-13*ORÇAMENTO!$AF$11)),0)</f>
        <v>0</v>
      </c>
      <c r="AJ494" s="545">
        <f ca="1">IF(AND($D494="Serviço",AJ$12&lt;&gt;0,$H494&gt;0,OR(AUTOEVENTO&lt;&gt;"manual",$M494&lt;&gt;1)),
IF(Import.TipoArredondamento&lt;&gt;"TransfereGOV",
ROUND(OFFSET($P494,0,AJ$13),15-13*ORÇAMENTO!$AF$7)/$H494*OFFSET(ORÇAMENTO!$X$15,ROW(AJ494)-ROW(AJ$15),0),
ROUND(ROUND(OFFSET($P494,0,AJ$13),15-13*ORÇAMENTO!$AF$7)*OFFSET(ORÇAMENTO!$W$15,ROW(AJ494)-ROW(AJ$15),0),15-13*ORÇAMENTO!$AF$11)),0)</f>
        <v>0</v>
      </c>
      <c r="AK494" s="546">
        <f ca="1">IF(AND($D494="Serviço",AK$12&lt;&gt;0,$H494&gt;0,OR(AUTOEVENTO&lt;&gt;"manual",$M494&lt;&gt;1)),
IF(Import.TipoArredondamento&lt;&gt;"TransfereGOV",
ROUND(OFFSET($P494,0,AK$13),15-13*ORÇAMENTO!$AF$7)/$H494*OFFSET(ORÇAMENTO!$X$15,ROW(AK494)-ROW(AK$15),0),
ROUND(ROUND(OFFSET($P494,0,AK$13),15-13*ORÇAMENTO!$AF$7)*OFFSET(ORÇAMENTO!$W$15,ROW(AK494)-ROW(AK$15),0),15-13*ORÇAMENTO!$AF$11)),0)</f>
        <v>0</v>
      </c>
      <c r="AM494" s="181">
        <f ca="1">IF($D494&lt;&gt;"Serviço",0,IF(AND(AUTOEVENTO="Manual",$M494=1),0,IF(OFFSET(CRONOPLE!$F$14,$M494,AM$13)="",10^12,OFFSET(CRONOPLE!$F$14,$M494,AM$13))))</f>
        <v>1000000000000</v>
      </c>
      <c r="AN494" s="181">
        <f ca="1">IF($D494&lt;&gt;"Serviço",0,IF(AND(AUTOEVENTO="Manual",$M494=1),0,IF(OFFSET(CRONOPLE!$F$14,$M494,AN$13)="",10^12,OFFSET(CRONOPLE!$F$14,$M494,AN$13))))</f>
        <v>1000000000000</v>
      </c>
      <c r="AO494" s="181">
        <f ca="1">IF($D494&lt;&gt;"Serviço",0,IF(AND(AUTOEVENTO="Manual",$M494=1),0,IF(OFFSET(CRONOPLE!$F$14,$M494,AO$13)="",10^12,OFFSET(CRONOPLE!$F$14,$M494,AO$13))))</f>
        <v>1000000000000</v>
      </c>
      <c r="AP494" s="181">
        <f ca="1">IF($D494&lt;&gt;"Serviço",0,IF(AND(AUTOEVENTO="Manual",$M494=1),0,IF(OFFSET(CRONOPLE!$F$14,$M494,AP$13)="",10^12,OFFSET(CRONOPLE!$F$14,$M494,AP$13))))</f>
        <v>1000000000000</v>
      </c>
      <c r="AQ494" s="181">
        <f ca="1">IF($D494&lt;&gt;"Serviço",0,IF(AND(AUTOEVENTO="Manual",$M494=1),0,IF(OFFSET(CRONOPLE!$F$14,$M494,AQ$13)="",10^12,OFFSET(CRONOPLE!$F$14,$M494,AQ$13))))</f>
        <v>1000000000000</v>
      </c>
      <c r="AR494" s="181">
        <f ca="1">IF($D494&lt;&gt;"Serviço",0,IF(AND(AUTOEVENTO="Manual",$M494=1),0,IF(OFFSET(CRONOPLE!$F$14,$M494,AR$13)="",10^12,OFFSET(CRONOPLE!$F$14,$M494,AR$13))))</f>
        <v>1000000000000</v>
      </c>
      <c r="AS494" s="181">
        <f ca="1">IF($D494&lt;&gt;"Serviço",0,IF(AND(AUTOEVENTO="Manual",$M494=1),0,IF(OFFSET(CRONOPLE!$F$14,$M494,AS$13)="",10^12,OFFSET(CRONOPLE!$F$14,$M494,AS$13))))</f>
        <v>1000000000000</v>
      </c>
      <c r="AT494" s="181">
        <f ca="1">IF($D494&lt;&gt;"Serviço",0,IF(AND(AUTOEVENTO="Manual",$M494=1),0,IF(OFFSET(CRONOPLE!$F$14,$M494,AT$13)="",10^12,OFFSET(CRONOPLE!$F$14,$M494,AT$13))))</f>
        <v>1000000000000</v>
      </c>
      <c r="AU494" s="181">
        <f ca="1">IF($D494&lt;&gt;"Serviço",0,IF(AND(AUTOEVENTO="Manual",$M494=1),0,IF(OFFSET(CRONOPLE!$F$14,$M494,AU$13)="",10^12,OFFSET(CRONOPLE!$F$14,$M494,AU$13))))</f>
        <v>1000000000000</v>
      </c>
      <c r="AV494" s="181">
        <f ca="1">IF($D494&lt;&gt;"Serviço",0,IF(AND(AUTOEVENTO="Manual",$M494=1),0,IF(OFFSET(CRONOPLE!$F$14,$M494,AV$13)="",10^12,OFFSET(CRONOPLE!$F$14,$M494,AV$13))))</f>
        <v>1000000000000</v>
      </c>
      <c r="AX494" s="182">
        <f ca="1">IF($D494&lt;&gt;"Serviço",0,IF(OR(AND(AUTOEVENTO="Manual",$M494=1),$M494&gt;(ROW(PLE.lastrow)-ROW(PLE.firstrow))),0,IF(OFFSET(PLE!$G$14,$M494,AX$13)="",10^12,OFFSET(PLE!$G$14,$M494,AX$13))))</f>
        <v>1000000000000</v>
      </c>
      <c r="AY494" s="182">
        <f ca="1">IF($D494&lt;&gt;"Serviço",0,IF(OR(AND(AUTOEVENTO="Manual",$M494=1),$M494&gt;(ROW(PLE.lastrow)-ROW(PLE.firstrow))),0,IF(OFFSET(PLE!$G$14,$M494,AY$13)="",10^12,OFFSET(PLE!$G$14,$M494,AY$13))))</f>
        <v>1000000000000</v>
      </c>
      <c r="AZ494" s="182">
        <f ca="1">IF($D494&lt;&gt;"Serviço",0,IF(OR(AND(AUTOEVENTO="Manual",$M494=1),$M494&gt;(ROW(PLE.lastrow)-ROW(PLE.firstrow))),0,IF(OFFSET(PLE!$G$14,$M494,AZ$13)="",10^12,OFFSET(PLE!$G$14,$M494,AZ$13))))</f>
        <v>1000000000000</v>
      </c>
      <c r="BA494" s="182">
        <f ca="1">IF($D494&lt;&gt;"Serviço",0,IF(OR(AND(AUTOEVENTO="Manual",$M494=1),$M494&gt;(ROW(PLE.lastrow)-ROW(PLE.firstrow))),0,IF(OFFSET(PLE!$G$14,$M494,BA$13)="",10^12,OFFSET(PLE!$G$14,$M494,BA$13))))</f>
        <v>1000000000000</v>
      </c>
      <c r="BB494" s="182">
        <f ca="1">IF($D494&lt;&gt;"Serviço",0,IF(OR(AND(AUTOEVENTO="Manual",$M494=1),$M494&gt;(ROW(PLE.lastrow)-ROW(PLE.firstrow))),0,IF(OFFSET(PLE!$G$14,$M494,BB$13)="",10^12,OFFSET(PLE!$G$14,$M494,BB$13))))</f>
        <v>1000000000000</v>
      </c>
      <c r="BC494" s="182">
        <f ca="1">IF($D494&lt;&gt;"Serviço",0,IF(OR(AND(AUTOEVENTO="Manual",$M494=1),$M494&gt;(ROW(PLE.lastrow)-ROW(PLE.firstrow))),0,IF(OFFSET(PLE!$G$14,$M494,BC$13)="",10^12,OFFSET(PLE!$G$14,$M494,BC$13))))</f>
        <v>1000000000000</v>
      </c>
      <c r="BD494" s="182">
        <f ca="1">IF($D494&lt;&gt;"Serviço",0,IF(OR(AND(AUTOEVENTO="Manual",$M494=1),$M494&gt;(ROW(PLE.lastrow)-ROW(PLE.firstrow))),0,IF(OFFSET(PLE!$G$14,$M494,BD$13)="",10^12,OFFSET(PLE!$G$14,$M494,BD$13))))</f>
        <v>1000000000000</v>
      </c>
      <c r="BE494" s="182">
        <f ca="1">IF($D494&lt;&gt;"Serviço",0,IF(OR(AND(AUTOEVENTO="Manual",$M494=1),$M494&gt;(ROW(PLE.lastrow)-ROW(PLE.firstrow))),0,IF(OFFSET(PLE!$G$14,$M494,BE$13)="",10^12,OFFSET(PLE!$G$14,$M494,BE$13))))</f>
        <v>1000000000000</v>
      </c>
      <c r="BF494" s="182">
        <f ca="1">IF($D494&lt;&gt;"Serviço",0,IF(OR(AND(AUTOEVENTO="Manual",$M494=1),$M494&gt;(ROW(PLE.lastrow)-ROW(PLE.firstrow))),0,IF(OFFSET(PLE!$G$14,$M494,BF$13)="",10^12,OFFSET(PLE!$G$14,$M494,BF$13))))</f>
        <v>1000000000000</v>
      </c>
      <c r="BG494" s="182">
        <f ca="1">IF($D494&lt;&gt;"Serviço",0,IF(OR(AND(AUTOEVENTO="Manual",$M494=1),$M494&gt;(ROW(PLE.lastrow)-ROW(PLE.firstrow))),0,IF(OFFSET(PLE!$G$14,$M494,BG$13)="",10^12,OFFSET(PLE!$G$14,$M494,BG$13))))</f>
        <v>1000000000000</v>
      </c>
    </row>
    <row r="495" spans="1:59" ht="25.5" x14ac:dyDescent="0.2">
      <c r="A495" s="7" t="str">
        <f t="shared" ca="1" si="11"/>
        <v>472</v>
      </c>
      <c r="B495" s="7" t="str">
        <f ca="1">OFFSET(ORÇAMENTO!C$15,ROW(B495)-ROW(B$15),0)</f>
        <v>S</v>
      </c>
      <c r="C495" s="7" t="str">
        <f ca="1">OFFSET(ORÇAMENTO!L$15,ROW(C495)-ROW(C$15),0)</f>
        <v/>
      </c>
      <c r="D495" s="118" t="str">
        <f ca="1">OFFSET(ORÇAMENTO!N$15,ROW(D495)-ROW(D$15),0)</f>
        <v>Serviço</v>
      </c>
      <c r="E495" s="119" t="str">
        <f ca="1">OFFSET(ORÇAMENTO!O$15,ROW(E495)-ROW(E$15),0)</f>
        <v>-</v>
      </c>
      <c r="F495" s="172" t="str">
        <f ca="1">OFFSET(ORÇAMENTO!R$15,ROW(F495)-ROW(F$15),0)</f>
        <v>(abra o arquivo 'Referência 02-2025.xlsm)</v>
      </c>
      <c r="G495" s="173" t="str">
        <f ca="1">IF($D495&lt;&gt;"Serviço","",OFFSET(ORÇAMENTO!S$15,ROW(G495)-ROW(G$15),0))</f>
        <v>-</v>
      </c>
      <c r="H495" s="124">
        <f ca="1">IF($D495&lt;&gt;"Serviço",0,IF(ACOMPANHAMENTO="BM",ROUND(OFFSET(ORÇAMENTO!AJ$15,ROW(H495)-ROW(H$15),0),15-13*ORÇAMENTO!$AF$7),SUMPRODUCT(($Q$12:$AA$12&lt;&gt;"")*ROUND($Q495:$AA495,15-13*ORÇAMENTO!$AF$7))))</f>
        <v>2</v>
      </c>
      <c r="I495" s="561" t="s">
        <v>890</v>
      </c>
      <c r="K495" s="174"/>
      <c r="L495" s="175" t="s">
        <v>255</v>
      </c>
      <c r="M495" s="176">
        <f ca="1">IF($D495&lt;&gt;"Serviço","",IF(AUTOEVENTO="manual",$A495,IF(ISERROR(MATCH($A495,$A$15:OFFSET($A495,-1,0),0)),MAX($M$15:OFFSET(M495,-1,0))+1,INDEX($M$15:OFFSET(M495,-1,0),MATCH($A495,$A$15:OFFSET($A495,-1,0),0)))))</f>
        <v>18</v>
      </c>
      <c r="N495" s="177" t="str">
        <f ca="1">IF($D495&lt;&gt;"Serviço","",IF(AUTOEVENTO="Manual",IF($A495=0,"&lt;-- defina o número do agrupador",OFFSET(EVENTOS!$D$14,$A495,0)),OFFSET($F$15,$A495,0)))</f>
        <v>INSTALAÇÕES ELÉTRICAS - 220V</v>
      </c>
      <c r="O495" s="178"/>
      <c r="Q495" s="178"/>
      <c r="R495" s="179"/>
      <c r="S495" s="179"/>
      <c r="T495" s="179"/>
      <c r="U495" s="179"/>
      <c r="V495" s="179"/>
      <c r="W495" s="179"/>
      <c r="X495" s="179"/>
      <c r="Y495" s="179"/>
      <c r="Z495" s="180"/>
      <c r="AB495" s="544">
        <f ca="1">IF(AND($D495="Serviço",AB$12&lt;&gt;0,$H495&gt;0,OR(AUTOEVENTO&lt;&gt;"manual",$M495&lt;&gt;1)),
IF(Import.TipoArredondamento&lt;&gt;"TransfereGOV",
ROUND(OFFSET($P495,0,AB$13),15-13*ORÇAMENTO!$AF$7)/$H495*OFFSET(ORÇAMENTO!$X$15,ROW(AB495)-ROW(AB$15),0),
ROUND(ROUND(OFFSET($P495,0,AB$13),15-13*ORÇAMENTO!$AF$7)*OFFSET(ORÇAMENTO!$W$15,ROW(AB495)-ROW(AB$15),0),15-13*ORÇAMENTO!$AF$11)),0)</f>
        <v>0</v>
      </c>
      <c r="AC495" s="545">
        <f ca="1">IF(AND($D495="Serviço",AC$12&lt;&gt;0,$H495&gt;0,OR(AUTOEVENTO&lt;&gt;"manual",$M495&lt;&gt;1)),
IF(Import.TipoArredondamento&lt;&gt;"TransfereGOV",
ROUND(OFFSET($P495,0,AC$13),15-13*ORÇAMENTO!$AF$7)/$H495*OFFSET(ORÇAMENTO!$X$15,ROW(AC495)-ROW(AC$15),0),
ROUND(ROUND(OFFSET($P495,0,AC$13),15-13*ORÇAMENTO!$AF$7)*OFFSET(ORÇAMENTO!$W$15,ROW(AC495)-ROW(AC$15),0),15-13*ORÇAMENTO!$AF$11)),0)</f>
        <v>0</v>
      </c>
      <c r="AD495" s="545">
        <f ca="1">IF(AND($D495="Serviço",AD$12&lt;&gt;0,$H495&gt;0,OR(AUTOEVENTO&lt;&gt;"manual",$M495&lt;&gt;1)),
IF(Import.TipoArredondamento&lt;&gt;"TransfereGOV",
ROUND(OFFSET($P495,0,AD$13),15-13*ORÇAMENTO!$AF$7)/$H495*OFFSET(ORÇAMENTO!$X$15,ROW(AD495)-ROW(AD$15),0),
ROUND(ROUND(OFFSET($P495,0,AD$13),15-13*ORÇAMENTO!$AF$7)*OFFSET(ORÇAMENTO!$W$15,ROW(AD495)-ROW(AD$15),0),15-13*ORÇAMENTO!$AF$11)),0)</f>
        <v>0</v>
      </c>
      <c r="AE495" s="545">
        <f ca="1">IF(AND($D495="Serviço",AE$12&lt;&gt;0,$H495&gt;0,OR(AUTOEVENTO&lt;&gt;"manual",$M495&lt;&gt;1)),
IF(Import.TipoArredondamento&lt;&gt;"TransfereGOV",
ROUND(OFFSET($P495,0,AE$13),15-13*ORÇAMENTO!$AF$7)/$H495*OFFSET(ORÇAMENTO!$X$15,ROW(AE495)-ROW(AE$15),0),
ROUND(ROUND(OFFSET($P495,0,AE$13),15-13*ORÇAMENTO!$AF$7)*OFFSET(ORÇAMENTO!$W$15,ROW(AE495)-ROW(AE$15),0),15-13*ORÇAMENTO!$AF$11)),0)</f>
        <v>0</v>
      </c>
      <c r="AF495" s="545">
        <f ca="1">IF(AND($D495="Serviço",AF$12&lt;&gt;0,$H495&gt;0,OR(AUTOEVENTO&lt;&gt;"manual",$M495&lt;&gt;1)),
IF(Import.TipoArredondamento&lt;&gt;"TransfereGOV",
ROUND(OFFSET($P495,0,AF$13),15-13*ORÇAMENTO!$AF$7)/$H495*OFFSET(ORÇAMENTO!$X$15,ROW(AF495)-ROW(AF$15),0),
ROUND(ROUND(OFFSET($P495,0,AF$13),15-13*ORÇAMENTO!$AF$7)*OFFSET(ORÇAMENTO!$W$15,ROW(AF495)-ROW(AF$15),0),15-13*ORÇAMENTO!$AF$11)),0)</f>
        <v>0</v>
      </c>
      <c r="AG495" s="545">
        <f ca="1">IF(AND($D495="Serviço",AG$12&lt;&gt;0,$H495&gt;0,OR(AUTOEVENTO&lt;&gt;"manual",$M495&lt;&gt;1)),
IF(Import.TipoArredondamento&lt;&gt;"TransfereGOV",
ROUND(OFFSET($P495,0,AG$13),15-13*ORÇAMENTO!$AF$7)/$H495*OFFSET(ORÇAMENTO!$X$15,ROW(AG495)-ROW(AG$15),0),
ROUND(ROUND(OFFSET($P495,0,AG$13),15-13*ORÇAMENTO!$AF$7)*OFFSET(ORÇAMENTO!$W$15,ROW(AG495)-ROW(AG$15),0),15-13*ORÇAMENTO!$AF$11)),0)</f>
        <v>0</v>
      </c>
      <c r="AH495" s="545">
        <f ca="1">IF(AND($D495="Serviço",AH$12&lt;&gt;0,$H495&gt;0,OR(AUTOEVENTO&lt;&gt;"manual",$M495&lt;&gt;1)),
IF(Import.TipoArredondamento&lt;&gt;"TransfereGOV",
ROUND(OFFSET($P495,0,AH$13),15-13*ORÇAMENTO!$AF$7)/$H495*OFFSET(ORÇAMENTO!$X$15,ROW(AH495)-ROW(AH$15),0),
ROUND(ROUND(OFFSET($P495,0,AH$13),15-13*ORÇAMENTO!$AF$7)*OFFSET(ORÇAMENTO!$W$15,ROW(AH495)-ROW(AH$15),0),15-13*ORÇAMENTO!$AF$11)),0)</f>
        <v>0</v>
      </c>
      <c r="AI495" s="545">
        <f ca="1">IF(AND($D495="Serviço",AI$12&lt;&gt;0,$H495&gt;0,OR(AUTOEVENTO&lt;&gt;"manual",$M495&lt;&gt;1)),
IF(Import.TipoArredondamento&lt;&gt;"TransfereGOV",
ROUND(OFFSET($P495,0,AI$13),15-13*ORÇAMENTO!$AF$7)/$H495*OFFSET(ORÇAMENTO!$X$15,ROW(AI495)-ROW(AI$15),0),
ROUND(ROUND(OFFSET($P495,0,AI$13),15-13*ORÇAMENTO!$AF$7)*OFFSET(ORÇAMENTO!$W$15,ROW(AI495)-ROW(AI$15),0),15-13*ORÇAMENTO!$AF$11)),0)</f>
        <v>0</v>
      </c>
      <c r="AJ495" s="545">
        <f ca="1">IF(AND($D495="Serviço",AJ$12&lt;&gt;0,$H495&gt;0,OR(AUTOEVENTO&lt;&gt;"manual",$M495&lt;&gt;1)),
IF(Import.TipoArredondamento&lt;&gt;"TransfereGOV",
ROUND(OFFSET($P495,0,AJ$13),15-13*ORÇAMENTO!$AF$7)/$H495*OFFSET(ORÇAMENTO!$X$15,ROW(AJ495)-ROW(AJ$15),0),
ROUND(ROUND(OFFSET($P495,0,AJ$13),15-13*ORÇAMENTO!$AF$7)*OFFSET(ORÇAMENTO!$W$15,ROW(AJ495)-ROW(AJ$15),0),15-13*ORÇAMENTO!$AF$11)),0)</f>
        <v>0</v>
      </c>
      <c r="AK495" s="546">
        <f ca="1">IF(AND($D495="Serviço",AK$12&lt;&gt;0,$H495&gt;0,OR(AUTOEVENTO&lt;&gt;"manual",$M495&lt;&gt;1)),
IF(Import.TipoArredondamento&lt;&gt;"TransfereGOV",
ROUND(OFFSET($P495,0,AK$13),15-13*ORÇAMENTO!$AF$7)/$H495*OFFSET(ORÇAMENTO!$X$15,ROW(AK495)-ROW(AK$15),0),
ROUND(ROUND(OFFSET($P495,0,AK$13),15-13*ORÇAMENTO!$AF$7)*OFFSET(ORÇAMENTO!$W$15,ROW(AK495)-ROW(AK$15),0),15-13*ORÇAMENTO!$AF$11)),0)</f>
        <v>0</v>
      </c>
      <c r="AM495" s="181">
        <f ca="1">IF($D495&lt;&gt;"Serviço",0,IF(AND(AUTOEVENTO="Manual",$M495=1),0,IF(OFFSET(CRONOPLE!$F$14,$M495,AM$13)="",10^12,OFFSET(CRONOPLE!$F$14,$M495,AM$13))))</f>
        <v>1000000000000</v>
      </c>
      <c r="AN495" s="181">
        <f ca="1">IF($D495&lt;&gt;"Serviço",0,IF(AND(AUTOEVENTO="Manual",$M495=1),0,IF(OFFSET(CRONOPLE!$F$14,$M495,AN$13)="",10^12,OFFSET(CRONOPLE!$F$14,$M495,AN$13))))</f>
        <v>1000000000000</v>
      </c>
      <c r="AO495" s="181">
        <f ca="1">IF($D495&lt;&gt;"Serviço",0,IF(AND(AUTOEVENTO="Manual",$M495=1),0,IF(OFFSET(CRONOPLE!$F$14,$M495,AO$13)="",10^12,OFFSET(CRONOPLE!$F$14,$M495,AO$13))))</f>
        <v>1000000000000</v>
      </c>
      <c r="AP495" s="181">
        <f ca="1">IF($D495&lt;&gt;"Serviço",0,IF(AND(AUTOEVENTO="Manual",$M495=1),0,IF(OFFSET(CRONOPLE!$F$14,$M495,AP$13)="",10^12,OFFSET(CRONOPLE!$F$14,$M495,AP$13))))</f>
        <v>1000000000000</v>
      </c>
      <c r="AQ495" s="181">
        <f ca="1">IF($D495&lt;&gt;"Serviço",0,IF(AND(AUTOEVENTO="Manual",$M495=1),0,IF(OFFSET(CRONOPLE!$F$14,$M495,AQ$13)="",10^12,OFFSET(CRONOPLE!$F$14,$M495,AQ$13))))</f>
        <v>1000000000000</v>
      </c>
      <c r="AR495" s="181">
        <f ca="1">IF($D495&lt;&gt;"Serviço",0,IF(AND(AUTOEVENTO="Manual",$M495=1),0,IF(OFFSET(CRONOPLE!$F$14,$M495,AR$13)="",10^12,OFFSET(CRONOPLE!$F$14,$M495,AR$13))))</f>
        <v>1000000000000</v>
      </c>
      <c r="AS495" s="181">
        <f ca="1">IF($D495&lt;&gt;"Serviço",0,IF(AND(AUTOEVENTO="Manual",$M495=1),0,IF(OFFSET(CRONOPLE!$F$14,$M495,AS$13)="",10^12,OFFSET(CRONOPLE!$F$14,$M495,AS$13))))</f>
        <v>1000000000000</v>
      </c>
      <c r="AT495" s="181">
        <f ca="1">IF($D495&lt;&gt;"Serviço",0,IF(AND(AUTOEVENTO="Manual",$M495=1),0,IF(OFFSET(CRONOPLE!$F$14,$M495,AT$13)="",10^12,OFFSET(CRONOPLE!$F$14,$M495,AT$13))))</f>
        <v>1000000000000</v>
      </c>
      <c r="AU495" s="181">
        <f ca="1">IF($D495&lt;&gt;"Serviço",0,IF(AND(AUTOEVENTO="Manual",$M495=1),0,IF(OFFSET(CRONOPLE!$F$14,$M495,AU$13)="",10^12,OFFSET(CRONOPLE!$F$14,$M495,AU$13))))</f>
        <v>1000000000000</v>
      </c>
      <c r="AV495" s="181">
        <f ca="1">IF($D495&lt;&gt;"Serviço",0,IF(AND(AUTOEVENTO="Manual",$M495=1),0,IF(OFFSET(CRONOPLE!$F$14,$M495,AV$13)="",10^12,OFFSET(CRONOPLE!$F$14,$M495,AV$13))))</f>
        <v>1000000000000</v>
      </c>
      <c r="AX495" s="182">
        <f ca="1">IF($D495&lt;&gt;"Serviço",0,IF(OR(AND(AUTOEVENTO="Manual",$M495=1),$M495&gt;(ROW(PLE.lastrow)-ROW(PLE.firstrow))),0,IF(OFFSET(PLE!$G$14,$M495,AX$13)="",10^12,OFFSET(PLE!$G$14,$M495,AX$13))))</f>
        <v>1000000000000</v>
      </c>
      <c r="AY495" s="182">
        <f ca="1">IF($D495&lt;&gt;"Serviço",0,IF(OR(AND(AUTOEVENTO="Manual",$M495=1),$M495&gt;(ROW(PLE.lastrow)-ROW(PLE.firstrow))),0,IF(OFFSET(PLE!$G$14,$M495,AY$13)="",10^12,OFFSET(PLE!$G$14,$M495,AY$13))))</f>
        <v>1000000000000</v>
      </c>
      <c r="AZ495" s="182">
        <f ca="1">IF($D495&lt;&gt;"Serviço",0,IF(OR(AND(AUTOEVENTO="Manual",$M495=1),$M495&gt;(ROW(PLE.lastrow)-ROW(PLE.firstrow))),0,IF(OFFSET(PLE!$G$14,$M495,AZ$13)="",10^12,OFFSET(PLE!$G$14,$M495,AZ$13))))</f>
        <v>1000000000000</v>
      </c>
      <c r="BA495" s="182">
        <f ca="1">IF($D495&lt;&gt;"Serviço",0,IF(OR(AND(AUTOEVENTO="Manual",$M495=1),$M495&gt;(ROW(PLE.lastrow)-ROW(PLE.firstrow))),0,IF(OFFSET(PLE!$G$14,$M495,BA$13)="",10^12,OFFSET(PLE!$G$14,$M495,BA$13))))</f>
        <v>1000000000000</v>
      </c>
      <c r="BB495" s="182">
        <f ca="1">IF($D495&lt;&gt;"Serviço",0,IF(OR(AND(AUTOEVENTO="Manual",$M495=1),$M495&gt;(ROW(PLE.lastrow)-ROW(PLE.firstrow))),0,IF(OFFSET(PLE!$G$14,$M495,BB$13)="",10^12,OFFSET(PLE!$G$14,$M495,BB$13))))</f>
        <v>1000000000000</v>
      </c>
      <c r="BC495" s="182">
        <f ca="1">IF($D495&lt;&gt;"Serviço",0,IF(OR(AND(AUTOEVENTO="Manual",$M495=1),$M495&gt;(ROW(PLE.lastrow)-ROW(PLE.firstrow))),0,IF(OFFSET(PLE!$G$14,$M495,BC$13)="",10^12,OFFSET(PLE!$G$14,$M495,BC$13))))</f>
        <v>1000000000000</v>
      </c>
      <c r="BD495" s="182">
        <f ca="1">IF($D495&lt;&gt;"Serviço",0,IF(OR(AND(AUTOEVENTO="Manual",$M495=1),$M495&gt;(ROW(PLE.lastrow)-ROW(PLE.firstrow))),0,IF(OFFSET(PLE!$G$14,$M495,BD$13)="",10^12,OFFSET(PLE!$G$14,$M495,BD$13))))</f>
        <v>1000000000000</v>
      </c>
      <c r="BE495" s="182">
        <f ca="1">IF($D495&lt;&gt;"Serviço",0,IF(OR(AND(AUTOEVENTO="Manual",$M495=1),$M495&gt;(ROW(PLE.lastrow)-ROW(PLE.firstrow))),0,IF(OFFSET(PLE!$G$14,$M495,BE$13)="",10^12,OFFSET(PLE!$G$14,$M495,BE$13))))</f>
        <v>1000000000000</v>
      </c>
      <c r="BF495" s="182">
        <f ca="1">IF($D495&lt;&gt;"Serviço",0,IF(OR(AND(AUTOEVENTO="Manual",$M495=1),$M495&gt;(ROW(PLE.lastrow)-ROW(PLE.firstrow))),0,IF(OFFSET(PLE!$G$14,$M495,BF$13)="",10^12,OFFSET(PLE!$G$14,$M495,BF$13))))</f>
        <v>1000000000000</v>
      </c>
      <c r="BG495" s="182">
        <f ca="1">IF($D495&lt;&gt;"Serviço",0,IF(OR(AND(AUTOEVENTO="Manual",$M495=1),$M495&gt;(ROW(PLE.lastrow)-ROW(PLE.firstrow))),0,IF(OFFSET(PLE!$G$14,$M495,BG$13)="",10^12,OFFSET(PLE!$G$14,$M495,BG$13))))</f>
        <v>1000000000000</v>
      </c>
    </row>
    <row r="496" spans="1:59" ht="38.25" x14ac:dyDescent="0.2">
      <c r="A496" s="7" t="str">
        <f t="shared" ca="1" si="11"/>
        <v>472</v>
      </c>
      <c r="B496" s="7" t="str">
        <f ca="1">OFFSET(ORÇAMENTO!C$15,ROW(B496)-ROW(B$15),0)</f>
        <v>S</v>
      </c>
      <c r="C496" s="7" t="str">
        <f ca="1">OFFSET(ORÇAMENTO!L$15,ROW(C496)-ROW(C$15),0)</f>
        <v/>
      </c>
      <c r="D496" s="118" t="str">
        <f ca="1">OFFSET(ORÇAMENTO!N$15,ROW(D496)-ROW(D$15),0)</f>
        <v>Serviço</v>
      </c>
      <c r="E496" s="119" t="str">
        <f ca="1">OFFSET(ORÇAMENTO!O$15,ROW(E496)-ROW(E$15),0)</f>
        <v>-</v>
      </c>
      <c r="F496" s="172" t="str">
        <f ca="1">OFFSET(ORÇAMENTO!R$15,ROW(F496)-ROW(F$15),0)</f>
        <v>(abra o arquivo 'Referência 02-2025.xlsm)</v>
      </c>
      <c r="G496" s="173" t="str">
        <f ca="1">IF($D496&lt;&gt;"Serviço","",OFFSET(ORÇAMENTO!S$15,ROW(G496)-ROW(G$15),0))</f>
        <v>-</v>
      </c>
      <c r="H496" s="124">
        <f ca="1">IF($D496&lt;&gt;"Serviço",0,IF(ACOMPANHAMENTO="BM",ROUND(OFFSET(ORÇAMENTO!AJ$15,ROW(H496)-ROW(H$15),0),15-13*ORÇAMENTO!$AF$7),SUMPRODUCT(($Q$12:$AA$12&lt;&gt;"")*ROUND($Q496:$AA496,15-13*ORÇAMENTO!$AF$7))))</f>
        <v>1</v>
      </c>
      <c r="I496" s="561" t="s">
        <v>890</v>
      </c>
      <c r="K496" s="174"/>
      <c r="L496" s="175" t="s">
        <v>255</v>
      </c>
      <c r="M496" s="176">
        <f ca="1">IF($D496&lt;&gt;"Serviço","",IF(AUTOEVENTO="manual",$A496,IF(ISERROR(MATCH($A496,$A$15:OFFSET($A496,-1,0),0)),MAX($M$15:OFFSET(M496,-1,0))+1,INDEX($M$15:OFFSET(M496,-1,0),MATCH($A496,$A$15:OFFSET($A496,-1,0),0)))))</f>
        <v>18</v>
      </c>
      <c r="N496" s="177" t="str">
        <f ca="1">IF($D496&lt;&gt;"Serviço","",IF(AUTOEVENTO="Manual",IF($A496=0,"&lt;-- defina o número do agrupador",OFFSET(EVENTOS!$D$14,$A496,0)),OFFSET($F$15,$A496,0)))</f>
        <v>INSTALAÇÕES ELÉTRICAS - 220V</v>
      </c>
      <c r="O496" s="178"/>
      <c r="Q496" s="178"/>
      <c r="R496" s="179"/>
      <c r="S496" s="179"/>
      <c r="T496" s="179"/>
      <c r="U496" s="179"/>
      <c r="V496" s="179"/>
      <c r="W496" s="179"/>
      <c r="X496" s="179"/>
      <c r="Y496" s="179"/>
      <c r="Z496" s="180"/>
      <c r="AB496" s="544">
        <f ca="1">IF(AND($D496="Serviço",AB$12&lt;&gt;0,$H496&gt;0,OR(AUTOEVENTO&lt;&gt;"manual",$M496&lt;&gt;1)),
IF(Import.TipoArredondamento&lt;&gt;"TransfereGOV",
ROUND(OFFSET($P496,0,AB$13),15-13*ORÇAMENTO!$AF$7)/$H496*OFFSET(ORÇAMENTO!$X$15,ROW(AB496)-ROW(AB$15),0),
ROUND(ROUND(OFFSET($P496,0,AB$13),15-13*ORÇAMENTO!$AF$7)*OFFSET(ORÇAMENTO!$W$15,ROW(AB496)-ROW(AB$15),0),15-13*ORÇAMENTO!$AF$11)),0)</f>
        <v>0</v>
      </c>
      <c r="AC496" s="545">
        <f ca="1">IF(AND($D496="Serviço",AC$12&lt;&gt;0,$H496&gt;0,OR(AUTOEVENTO&lt;&gt;"manual",$M496&lt;&gt;1)),
IF(Import.TipoArredondamento&lt;&gt;"TransfereGOV",
ROUND(OFFSET($P496,0,AC$13),15-13*ORÇAMENTO!$AF$7)/$H496*OFFSET(ORÇAMENTO!$X$15,ROW(AC496)-ROW(AC$15),0),
ROUND(ROUND(OFFSET($P496,0,AC$13),15-13*ORÇAMENTO!$AF$7)*OFFSET(ORÇAMENTO!$W$15,ROW(AC496)-ROW(AC$15),0),15-13*ORÇAMENTO!$AF$11)),0)</f>
        <v>0</v>
      </c>
      <c r="AD496" s="545">
        <f ca="1">IF(AND($D496="Serviço",AD$12&lt;&gt;0,$H496&gt;0,OR(AUTOEVENTO&lt;&gt;"manual",$M496&lt;&gt;1)),
IF(Import.TipoArredondamento&lt;&gt;"TransfereGOV",
ROUND(OFFSET($P496,0,AD$13),15-13*ORÇAMENTO!$AF$7)/$H496*OFFSET(ORÇAMENTO!$X$15,ROW(AD496)-ROW(AD$15),0),
ROUND(ROUND(OFFSET($P496,0,AD$13),15-13*ORÇAMENTO!$AF$7)*OFFSET(ORÇAMENTO!$W$15,ROW(AD496)-ROW(AD$15),0),15-13*ORÇAMENTO!$AF$11)),0)</f>
        <v>0</v>
      </c>
      <c r="AE496" s="545">
        <f ca="1">IF(AND($D496="Serviço",AE$12&lt;&gt;0,$H496&gt;0,OR(AUTOEVENTO&lt;&gt;"manual",$M496&lt;&gt;1)),
IF(Import.TipoArredondamento&lt;&gt;"TransfereGOV",
ROUND(OFFSET($P496,0,AE$13),15-13*ORÇAMENTO!$AF$7)/$H496*OFFSET(ORÇAMENTO!$X$15,ROW(AE496)-ROW(AE$15),0),
ROUND(ROUND(OFFSET($P496,0,AE$13),15-13*ORÇAMENTO!$AF$7)*OFFSET(ORÇAMENTO!$W$15,ROW(AE496)-ROW(AE$15),0),15-13*ORÇAMENTO!$AF$11)),0)</f>
        <v>0</v>
      </c>
      <c r="AF496" s="545">
        <f ca="1">IF(AND($D496="Serviço",AF$12&lt;&gt;0,$H496&gt;0,OR(AUTOEVENTO&lt;&gt;"manual",$M496&lt;&gt;1)),
IF(Import.TipoArredondamento&lt;&gt;"TransfereGOV",
ROUND(OFFSET($P496,0,AF$13),15-13*ORÇAMENTO!$AF$7)/$H496*OFFSET(ORÇAMENTO!$X$15,ROW(AF496)-ROW(AF$15),0),
ROUND(ROUND(OFFSET($P496,0,AF$13),15-13*ORÇAMENTO!$AF$7)*OFFSET(ORÇAMENTO!$W$15,ROW(AF496)-ROW(AF$15),0),15-13*ORÇAMENTO!$AF$11)),0)</f>
        <v>0</v>
      </c>
      <c r="AG496" s="545">
        <f ca="1">IF(AND($D496="Serviço",AG$12&lt;&gt;0,$H496&gt;0,OR(AUTOEVENTO&lt;&gt;"manual",$M496&lt;&gt;1)),
IF(Import.TipoArredondamento&lt;&gt;"TransfereGOV",
ROUND(OFFSET($P496,0,AG$13),15-13*ORÇAMENTO!$AF$7)/$H496*OFFSET(ORÇAMENTO!$X$15,ROW(AG496)-ROW(AG$15),0),
ROUND(ROUND(OFFSET($P496,0,AG$13),15-13*ORÇAMENTO!$AF$7)*OFFSET(ORÇAMENTO!$W$15,ROW(AG496)-ROW(AG$15),0),15-13*ORÇAMENTO!$AF$11)),0)</f>
        <v>0</v>
      </c>
      <c r="AH496" s="545">
        <f ca="1">IF(AND($D496="Serviço",AH$12&lt;&gt;0,$H496&gt;0,OR(AUTOEVENTO&lt;&gt;"manual",$M496&lt;&gt;1)),
IF(Import.TipoArredondamento&lt;&gt;"TransfereGOV",
ROUND(OFFSET($P496,0,AH$13),15-13*ORÇAMENTO!$AF$7)/$H496*OFFSET(ORÇAMENTO!$X$15,ROW(AH496)-ROW(AH$15),0),
ROUND(ROUND(OFFSET($P496,0,AH$13),15-13*ORÇAMENTO!$AF$7)*OFFSET(ORÇAMENTO!$W$15,ROW(AH496)-ROW(AH$15),0),15-13*ORÇAMENTO!$AF$11)),0)</f>
        <v>0</v>
      </c>
      <c r="AI496" s="545">
        <f ca="1">IF(AND($D496="Serviço",AI$12&lt;&gt;0,$H496&gt;0,OR(AUTOEVENTO&lt;&gt;"manual",$M496&lt;&gt;1)),
IF(Import.TipoArredondamento&lt;&gt;"TransfereGOV",
ROUND(OFFSET($P496,0,AI$13),15-13*ORÇAMENTO!$AF$7)/$H496*OFFSET(ORÇAMENTO!$X$15,ROW(AI496)-ROW(AI$15),0),
ROUND(ROUND(OFFSET($P496,0,AI$13),15-13*ORÇAMENTO!$AF$7)*OFFSET(ORÇAMENTO!$W$15,ROW(AI496)-ROW(AI$15),0),15-13*ORÇAMENTO!$AF$11)),0)</f>
        <v>0</v>
      </c>
      <c r="AJ496" s="545">
        <f ca="1">IF(AND($D496="Serviço",AJ$12&lt;&gt;0,$H496&gt;0,OR(AUTOEVENTO&lt;&gt;"manual",$M496&lt;&gt;1)),
IF(Import.TipoArredondamento&lt;&gt;"TransfereGOV",
ROUND(OFFSET($P496,0,AJ$13),15-13*ORÇAMENTO!$AF$7)/$H496*OFFSET(ORÇAMENTO!$X$15,ROW(AJ496)-ROW(AJ$15),0),
ROUND(ROUND(OFFSET($P496,0,AJ$13),15-13*ORÇAMENTO!$AF$7)*OFFSET(ORÇAMENTO!$W$15,ROW(AJ496)-ROW(AJ$15),0),15-13*ORÇAMENTO!$AF$11)),0)</f>
        <v>0</v>
      </c>
      <c r="AK496" s="546">
        <f ca="1">IF(AND($D496="Serviço",AK$12&lt;&gt;0,$H496&gt;0,OR(AUTOEVENTO&lt;&gt;"manual",$M496&lt;&gt;1)),
IF(Import.TipoArredondamento&lt;&gt;"TransfereGOV",
ROUND(OFFSET($P496,0,AK$13),15-13*ORÇAMENTO!$AF$7)/$H496*OFFSET(ORÇAMENTO!$X$15,ROW(AK496)-ROW(AK$15),0),
ROUND(ROUND(OFFSET($P496,0,AK$13),15-13*ORÇAMENTO!$AF$7)*OFFSET(ORÇAMENTO!$W$15,ROW(AK496)-ROW(AK$15),0),15-13*ORÇAMENTO!$AF$11)),0)</f>
        <v>0</v>
      </c>
      <c r="AM496" s="181">
        <f ca="1">IF($D496&lt;&gt;"Serviço",0,IF(AND(AUTOEVENTO="Manual",$M496=1),0,IF(OFFSET(CRONOPLE!$F$14,$M496,AM$13)="",10^12,OFFSET(CRONOPLE!$F$14,$M496,AM$13))))</f>
        <v>1000000000000</v>
      </c>
      <c r="AN496" s="181">
        <f ca="1">IF($D496&lt;&gt;"Serviço",0,IF(AND(AUTOEVENTO="Manual",$M496=1),0,IF(OFFSET(CRONOPLE!$F$14,$M496,AN$13)="",10^12,OFFSET(CRONOPLE!$F$14,$M496,AN$13))))</f>
        <v>1000000000000</v>
      </c>
      <c r="AO496" s="181">
        <f ca="1">IF($D496&lt;&gt;"Serviço",0,IF(AND(AUTOEVENTO="Manual",$M496=1),0,IF(OFFSET(CRONOPLE!$F$14,$M496,AO$13)="",10^12,OFFSET(CRONOPLE!$F$14,$M496,AO$13))))</f>
        <v>1000000000000</v>
      </c>
      <c r="AP496" s="181">
        <f ca="1">IF($D496&lt;&gt;"Serviço",0,IF(AND(AUTOEVENTO="Manual",$M496=1),0,IF(OFFSET(CRONOPLE!$F$14,$M496,AP$13)="",10^12,OFFSET(CRONOPLE!$F$14,$M496,AP$13))))</f>
        <v>1000000000000</v>
      </c>
      <c r="AQ496" s="181">
        <f ca="1">IF($D496&lt;&gt;"Serviço",0,IF(AND(AUTOEVENTO="Manual",$M496=1),0,IF(OFFSET(CRONOPLE!$F$14,$M496,AQ$13)="",10^12,OFFSET(CRONOPLE!$F$14,$M496,AQ$13))))</f>
        <v>1000000000000</v>
      </c>
      <c r="AR496" s="181">
        <f ca="1">IF($D496&lt;&gt;"Serviço",0,IF(AND(AUTOEVENTO="Manual",$M496=1),0,IF(OFFSET(CRONOPLE!$F$14,$M496,AR$13)="",10^12,OFFSET(CRONOPLE!$F$14,$M496,AR$13))))</f>
        <v>1000000000000</v>
      </c>
      <c r="AS496" s="181">
        <f ca="1">IF($D496&lt;&gt;"Serviço",0,IF(AND(AUTOEVENTO="Manual",$M496=1),0,IF(OFFSET(CRONOPLE!$F$14,$M496,AS$13)="",10^12,OFFSET(CRONOPLE!$F$14,$M496,AS$13))))</f>
        <v>1000000000000</v>
      </c>
      <c r="AT496" s="181">
        <f ca="1">IF($D496&lt;&gt;"Serviço",0,IF(AND(AUTOEVENTO="Manual",$M496=1),0,IF(OFFSET(CRONOPLE!$F$14,$M496,AT$13)="",10^12,OFFSET(CRONOPLE!$F$14,$M496,AT$13))))</f>
        <v>1000000000000</v>
      </c>
      <c r="AU496" s="181">
        <f ca="1">IF($D496&lt;&gt;"Serviço",0,IF(AND(AUTOEVENTO="Manual",$M496=1),0,IF(OFFSET(CRONOPLE!$F$14,$M496,AU$13)="",10^12,OFFSET(CRONOPLE!$F$14,$M496,AU$13))))</f>
        <v>1000000000000</v>
      </c>
      <c r="AV496" s="181">
        <f ca="1">IF($D496&lt;&gt;"Serviço",0,IF(AND(AUTOEVENTO="Manual",$M496=1),0,IF(OFFSET(CRONOPLE!$F$14,$M496,AV$13)="",10^12,OFFSET(CRONOPLE!$F$14,$M496,AV$13))))</f>
        <v>1000000000000</v>
      </c>
      <c r="AX496" s="182">
        <f ca="1">IF($D496&lt;&gt;"Serviço",0,IF(OR(AND(AUTOEVENTO="Manual",$M496=1),$M496&gt;(ROW(PLE.lastrow)-ROW(PLE.firstrow))),0,IF(OFFSET(PLE!$G$14,$M496,AX$13)="",10^12,OFFSET(PLE!$G$14,$M496,AX$13))))</f>
        <v>1000000000000</v>
      </c>
      <c r="AY496" s="182">
        <f ca="1">IF($D496&lt;&gt;"Serviço",0,IF(OR(AND(AUTOEVENTO="Manual",$M496=1),$M496&gt;(ROW(PLE.lastrow)-ROW(PLE.firstrow))),0,IF(OFFSET(PLE!$G$14,$M496,AY$13)="",10^12,OFFSET(PLE!$G$14,$M496,AY$13))))</f>
        <v>1000000000000</v>
      </c>
      <c r="AZ496" s="182">
        <f ca="1">IF($D496&lt;&gt;"Serviço",0,IF(OR(AND(AUTOEVENTO="Manual",$M496=1),$M496&gt;(ROW(PLE.lastrow)-ROW(PLE.firstrow))),0,IF(OFFSET(PLE!$G$14,$M496,AZ$13)="",10^12,OFFSET(PLE!$G$14,$M496,AZ$13))))</f>
        <v>1000000000000</v>
      </c>
      <c r="BA496" s="182">
        <f ca="1">IF($D496&lt;&gt;"Serviço",0,IF(OR(AND(AUTOEVENTO="Manual",$M496=1),$M496&gt;(ROW(PLE.lastrow)-ROW(PLE.firstrow))),0,IF(OFFSET(PLE!$G$14,$M496,BA$13)="",10^12,OFFSET(PLE!$G$14,$M496,BA$13))))</f>
        <v>1000000000000</v>
      </c>
      <c r="BB496" s="182">
        <f ca="1">IF($D496&lt;&gt;"Serviço",0,IF(OR(AND(AUTOEVENTO="Manual",$M496=1),$M496&gt;(ROW(PLE.lastrow)-ROW(PLE.firstrow))),0,IF(OFFSET(PLE!$G$14,$M496,BB$13)="",10^12,OFFSET(PLE!$G$14,$M496,BB$13))))</f>
        <v>1000000000000</v>
      </c>
      <c r="BC496" s="182">
        <f ca="1">IF($D496&lt;&gt;"Serviço",0,IF(OR(AND(AUTOEVENTO="Manual",$M496=1),$M496&gt;(ROW(PLE.lastrow)-ROW(PLE.firstrow))),0,IF(OFFSET(PLE!$G$14,$M496,BC$13)="",10^12,OFFSET(PLE!$G$14,$M496,BC$13))))</f>
        <v>1000000000000</v>
      </c>
      <c r="BD496" s="182">
        <f ca="1">IF($D496&lt;&gt;"Serviço",0,IF(OR(AND(AUTOEVENTO="Manual",$M496=1),$M496&gt;(ROW(PLE.lastrow)-ROW(PLE.firstrow))),0,IF(OFFSET(PLE!$G$14,$M496,BD$13)="",10^12,OFFSET(PLE!$G$14,$M496,BD$13))))</f>
        <v>1000000000000</v>
      </c>
      <c r="BE496" s="182">
        <f ca="1">IF($D496&lt;&gt;"Serviço",0,IF(OR(AND(AUTOEVENTO="Manual",$M496=1),$M496&gt;(ROW(PLE.lastrow)-ROW(PLE.firstrow))),0,IF(OFFSET(PLE!$G$14,$M496,BE$13)="",10^12,OFFSET(PLE!$G$14,$M496,BE$13))))</f>
        <v>1000000000000</v>
      </c>
      <c r="BF496" s="182">
        <f ca="1">IF($D496&lt;&gt;"Serviço",0,IF(OR(AND(AUTOEVENTO="Manual",$M496=1),$M496&gt;(ROW(PLE.lastrow)-ROW(PLE.firstrow))),0,IF(OFFSET(PLE!$G$14,$M496,BF$13)="",10^12,OFFSET(PLE!$G$14,$M496,BF$13))))</f>
        <v>1000000000000</v>
      </c>
      <c r="BG496" s="182">
        <f ca="1">IF($D496&lt;&gt;"Serviço",0,IF(OR(AND(AUTOEVENTO="Manual",$M496=1),$M496&gt;(ROW(PLE.lastrow)-ROW(PLE.firstrow))),0,IF(OFFSET(PLE!$G$14,$M496,BG$13)="",10^12,OFFSET(PLE!$G$14,$M496,BG$13))))</f>
        <v>1000000000000</v>
      </c>
    </row>
    <row r="497" spans="1:59" ht="25.5" x14ac:dyDescent="0.2">
      <c r="A497" s="7" t="str">
        <f t="shared" ca="1" si="11"/>
        <v>472</v>
      </c>
      <c r="B497" s="7" t="str">
        <f ca="1">OFFSET(ORÇAMENTO!C$15,ROW(B497)-ROW(B$15),0)</f>
        <v>S</v>
      </c>
      <c r="C497" s="7" t="str">
        <f ca="1">OFFSET(ORÇAMENTO!L$15,ROW(C497)-ROW(C$15),0)</f>
        <v/>
      </c>
      <c r="D497" s="118" t="str">
        <f ca="1">OFFSET(ORÇAMENTO!N$15,ROW(D497)-ROW(D$15),0)</f>
        <v>Serviço</v>
      </c>
      <c r="E497" s="119" t="str">
        <f ca="1">OFFSET(ORÇAMENTO!O$15,ROW(E497)-ROW(E$15),0)</f>
        <v>-</v>
      </c>
      <c r="F497" s="172" t="str">
        <f ca="1">OFFSET(ORÇAMENTO!R$15,ROW(F497)-ROW(F$15),0)</f>
        <v>(abra o arquivo 'Referência 02-2025.xlsm)</v>
      </c>
      <c r="G497" s="173" t="str">
        <f ca="1">IF($D497&lt;&gt;"Serviço","",OFFSET(ORÇAMENTO!S$15,ROW(G497)-ROW(G$15),0))</f>
        <v>-</v>
      </c>
      <c r="H497" s="124">
        <f ca="1">IF($D497&lt;&gt;"Serviço",0,IF(ACOMPANHAMENTO="BM",ROUND(OFFSET(ORÇAMENTO!AJ$15,ROW(H497)-ROW(H$15),0),15-13*ORÇAMENTO!$AF$7),SUMPRODUCT(($Q$12:$AA$12&lt;&gt;"")*ROUND($Q497:$AA497,15-13*ORÇAMENTO!$AF$7))))</f>
        <v>41</v>
      </c>
      <c r="I497" s="561" t="s">
        <v>890</v>
      </c>
      <c r="K497" s="174"/>
      <c r="L497" s="175" t="s">
        <v>255</v>
      </c>
      <c r="M497" s="176">
        <f ca="1">IF($D497&lt;&gt;"Serviço","",IF(AUTOEVENTO="manual",$A497,IF(ISERROR(MATCH($A497,$A$15:OFFSET($A497,-1,0),0)),MAX($M$15:OFFSET(M497,-1,0))+1,INDEX($M$15:OFFSET(M497,-1,0),MATCH($A497,$A$15:OFFSET($A497,-1,0),0)))))</f>
        <v>18</v>
      </c>
      <c r="N497" s="177" t="str">
        <f ca="1">IF($D497&lt;&gt;"Serviço","",IF(AUTOEVENTO="Manual",IF($A497=0,"&lt;-- defina o número do agrupador",OFFSET(EVENTOS!$D$14,$A497,0)),OFFSET($F$15,$A497,0)))</f>
        <v>INSTALAÇÕES ELÉTRICAS - 220V</v>
      </c>
      <c r="O497" s="178"/>
      <c r="Q497" s="178"/>
      <c r="R497" s="179"/>
      <c r="S497" s="179"/>
      <c r="T497" s="179"/>
      <c r="U497" s="179"/>
      <c r="V497" s="179"/>
      <c r="W497" s="179"/>
      <c r="X497" s="179"/>
      <c r="Y497" s="179"/>
      <c r="Z497" s="180"/>
      <c r="AB497" s="544">
        <f ca="1">IF(AND($D497="Serviço",AB$12&lt;&gt;0,$H497&gt;0,OR(AUTOEVENTO&lt;&gt;"manual",$M497&lt;&gt;1)),
IF(Import.TipoArredondamento&lt;&gt;"TransfereGOV",
ROUND(OFFSET($P497,0,AB$13),15-13*ORÇAMENTO!$AF$7)/$H497*OFFSET(ORÇAMENTO!$X$15,ROW(AB497)-ROW(AB$15),0),
ROUND(ROUND(OFFSET($P497,0,AB$13),15-13*ORÇAMENTO!$AF$7)*OFFSET(ORÇAMENTO!$W$15,ROW(AB497)-ROW(AB$15),0),15-13*ORÇAMENTO!$AF$11)),0)</f>
        <v>0</v>
      </c>
      <c r="AC497" s="545">
        <f ca="1">IF(AND($D497="Serviço",AC$12&lt;&gt;0,$H497&gt;0,OR(AUTOEVENTO&lt;&gt;"manual",$M497&lt;&gt;1)),
IF(Import.TipoArredondamento&lt;&gt;"TransfereGOV",
ROUND(OFFSET($P497,0,AC$13),15-13*ORÇAMENTO!$AF$7)/$H497*OFFSET(ORÇAMENTO!$X$15,ROW(AC497)-ROW(AC$15),0),
ROUND(ROUND(OFFSET($P497,0,AC$13),15-13*ORÇAMENTO!$AF$7)*OFFSET(ORÇAMENTO!$W$15,ROW(AC497)-ROW(AC$15),0),15-13*ORÇAMENTO!$AF$11)),0)</f>
        <v>0</v>
      </c>
      <c r="AD497" s="545">
        <f ca="1">IF(AND($D497="Serviço",AD$12&lt;&gt;0,$H497&gt;0,OR(AUTOEVENTO&lt;&gt;"manual",$M497&lt;&gt;1)),
IF(Import.TipoArredondamento&lt;&gt;"TransfereGOV",
ROUND(OFFSET($P497,0,AD$13),15-13*ORÇAMENTO!$AF$7)/$H497*OFFSET(ORÇAMENTO!$X$15,ROW(AD497)-ROW(AD$15),0),
ROUND(ROUND(OFFSET($P497,0,AD$13),15-13*ORÇAMENTO!$AF$7)*OFFSET(ORÇAMENTO!$W$15,ROW(AD497)-ROW(AD$15),0),15-13*ORÇAMENTO!$AF$11)),0)</f>
        <v>0</v>
      </c>
      <c r="AE497" s="545">
        <f ca="1">IF(AND($D497="Serviço",AE$12&lt;&gt;0,$H497&gt;0,OR(AUTOEVENTO&lt;&gt;"manual",$M497&lt;&gt;1)),
IF(Import.TipoArredondamento&lt;&gt;"TransfereGOV",
ROUND(OFFSET($P497,0,AE$13),15-13*ORÇAMENTO!$AF$7)/$H497*OFFSET(ORÇAMENTO!$X$15,ROW(AE497)-ROW(AE$15),0),
ROUND(ROUND(OFFSET($P497,0,AE$13),15-13*ORÇAMENTO!$AF$7)*OFFSET(ORÇAMENTO!$W$15,ROW(AE497)-ROW(AE$15),0),15-13*ORÇAMENTO!$AF$11)),0)</f>
        <v>0</v>
      </c>
      <c r="AF497" s="545">
        <f ca="1">IF(AND($D497="Serviço",AF$12&lt;&gt;0,$H497&gt;0,OR(AUTOEVENTO&lt;&gt;"manual",$M497&lt;&gt;1)),
IF(Import.TipoArredondamento&lt;&gt;"TransfereGOV",
ROUND(OFFSET($P497,0,AF$13),15-13*ORÇAMENTO!$AF$7)/$H497*OFFSET(ORÇAMENTO!$X$15,ROW(AF497)-ROW(AF$15),0),
ROUND(ROUND(OFFSET($P497,0,AF$13),15-13*ORÇAMENTO!$AF$7)*OFFSET(ORÇAMENTO!$W$15,ROW(AF497)-ROW(AF$15),0),15-13*ORÇAMENTO!$AF$11)),0)</f>
        <v>0</v>
      </c>
      <c r="AG497" s="545">
        <f ca="1">IF(AND($D497="Serviço",AG$12&lt;&gt;0,$H497&gt;0,OR(AUTOEVENTO&lt;&gt;"manual",$M497&lt;&gt;1)),
IF(Import.TipoArredondamento&lt;&gt;"TransfereGOV",
ROUND(OFFSET($P497,0,AG$13),15-13*ORÇAMENTO!$AF$7)/$H497*OFFSET(ORÇAMENTO!$X$15,ROW(AG497)-ROW(AG$15),0),
ROUND(ROUND(OFFSET($P497,0,AG$13),15-13*ORÇAMENTO!$AF$7)*OFFSET(ORÇAMENTO!$W$15,ROW(AG497)-ROW(AG$15),0),15-13*ORÇAMENTO!$AF$11)),0)</f>
        <v>0</v>
      </c>
      <c r="AH497" s="545">
        <f ca="1">IF(AND($D497="Serviço",AH$12&lt;&gt;0,$H497&gt;0,OR(AUTOEVENTO&lt;&gt;"manual",$M497&lt;&gt;1)),
IF(Import.TipoArredondamento&lt;&gt;"TransfereGOV",
ROUND(OFFSET($P497,0,AH$13),15-13*ORÇAMENTO!$AF$7)/$H497*OFFSET(ORÇAMENTO!$X$15,ROW(AH497)-ROW(AH$15),0),
ROUND(ROUND(OFFSET($P497,0,AH$13),15-13*ORÇAMENTO!$AF$7)*OFFSET(ORÇAMENTO!$W$15,ROW(AH497)-ROW(AH$15),0),15-13*ORÇAMENTO!$AF$11)),0)</f>
        <v>0</v>
      </c>
      <c r="AI497" s="545">
        <f ca="1">IF(AND($D497="Serviço",AI$12&lt;&gt;0,$H497&gt;0,OR(AUTOEVENTO&lt;&gt;"manual",$M497&lt;&gt;1)),
IF(Import.TipoArredondamento&lt;&gt;"TransfereGOV",
ROUND(OFFSET($P497,0,AI$13),15-13*ORÇAMENTO!$AF$7)/$H497*OFFSET(ORÇAMENTO!$X$15,ROW(AI497)-ROW(AI$15),0),
ROUND(ROUND(OFFSET($P497,0,AI$13),15-13*ORÇAMENTO!$AF$7)*OFFSET(ORÇAMENTO!$W$15,ROW(AI497)-ROW(AI$15),0),15-13*ORÇAMENTO!$AF$11)),0)</f>
        <v>0</v>
      </c>
      <c r="AJ497" s="545">
        <f ca="1">IF(AND($D497="Serviço",AJ$12&lt;&gt;0,$H497&gt;0,OR(AUTOEVENTO&lt;&gt;"manual",$M497&lt;&gt;1)),
IF(Import.TipoArredondamento&lt;&gt;"TransfereGOV",
ROUND(OFFSET($P497,0,AJ$13),15-13*ORÇAMENTO!$AF$7)/$H497*OFFSET(ORÇAMENTO!$X$15,ROW(AJ497)-ROW(AJ$15),0),
ROUND(ROUND(OFFSET($P497,0,AJ$13),15-13*ORÇAMENTO!$AF$7)*OFFSET(ORÇAMENTO!$W$15,ROW(AJ497)-ROW(AJ$15),0),15-13*ORÇAMENTO!$AF$11)),0)</f>
        <v>0</v>
      </c>
      <c r="AK497" s="546">
        <f ca="1">IF(AND($D497="Serviço",AK$12&lt;&gt;0,$H497&gt;0,OR(AUTOEVENTO&lt;&gt;"manual",$M497&lt;&gt;1)),
IF(Import.TipoArredondamento&lt;&gt;"TransfereGOV",
ROUND(OFFSET($P497,0,AK$13),15-13*ORÇAMENTO!$AF$7)/$H497*OFFSET(ORÇAMENTO!$X$15,ROW(AK497)-ROW(AK$15),0),
ROUND(ROUND(OFFSET($P497,0,AK$13),15-13*ORÇAMENTO!$AF$7)*OFFSET(ORÇAMENTO!$W$15,ROW(AK497)-ROW(AK$15),0),15-13*ORÇAMENTO!$AF$11)),0)</f>
        <v>0</v>
      </c>
      <c r="AM497" s="181">
        <f ca="1">IF($D497&lt;&gt;"Serviço",0,IF(AND(AUTOEVENTO="Manual",$M497=1),0,IF(OFFSET(CRONOPLE!$F$14,$M497,AM$13)="",10^12,OFFSET(CRONOPLE!$F$14,$M497,AM$13))))</f>
        <v>1000000000000</v>
      </c>
      <c r="AN497" s="181">
        <f ca="1">IF($D497&lt;&gt;"Serviço",0,IF(AND(AUTOEVENTO="Manual",$M497=1),0,IF(OFFSET(CRONOPLE!$F$14,$M497,AN$13)="",10^12,OFFSET(CRONOPLE!$F$14,$M497,AN$13))))</f>
        <v>1000000000000</v>
      </c>
      <c r="AO497" s="181">
        <f ca="1">IF($D497&lt;&gt;"Serviço",0,IF(AND(AUTOEVENTO="Manual",$M497=1),0,IF(OFFSET(CRONOPLE!$F$14,$M497,AO$13)="",10^12,OFFSET(CRONOPLE!$F$14,$M497,AO$13))))</f>
        <v>1000000000000</v>
      </c>
      <c r="AP497" s="181">
        <f ca="1">IF($D497&lt;&gt;"Serviço",0,IF(AND(AUTOEVENTO="Manual",$M497=1),0,IF(OFFSET(CRONOPLE!$F$14,$M497,AP$13)="",10^12,OFFSET(CRONOPLE!$F$14,$M497,AP$13))))</f>
        <v>1000000000000</v>
      </c>
      <c r="AQ497" s="181">
        <f ca="1">IF($D497&lt;&gt;"Serviço",0,IF(AND(AUTOEVENTO="Manual",$M497=1),0,IF(OFFSET(CRONOPLE!$F$14,$M497,AQ$13)="",10^12,OFFSET(CRONOPLE!$F$14,$M497,AQ$13))))</f>
        <v>1000000000000</v>
      </c>
      <c r="AR497" s="181">
        <f ca="1">IF($D497&lt;&gt;"Serviço",0,IF(AND(AUTOEVENTO="Manual",$M497=1),0,IF(OFFSET(CRONOPLE!$F$14,$M497,AR$13)="",10^12,OFFSET(CRONOPLE!$F$14,$M497,AR$13))))</f>
        <v>1000000000000</v>
      </c>
      <c r="AS497" s="181">
        <f ca="1">IF($D497&lt;&gt;"Serviço",0,IF(AND(AUTOEVENTO="Manual",$M497=1),0,IF(OFFSET(CRONOPLE!$F$14,$M497,AS$13)="",10^12,OFFSET(CRONOPLE!$F$14,$M497,AS$13))))</f>
        <v>1000000000000</v>
      </c>
      <c r="AT497" s="181">
        <f ca="1">IF($D497&lt;&gt;"Serviço",0,IF(AND(AUTOEVENTO="Manual",$M497=1),0,IF(OFFSET(CRONOPLE!$F$14,$M497,AT$13)="",10^12,OFFSET(CRONOPLE!$F$14,$M497,AT$13))))</f>
        <v>1000000000000</v>
      </c>
      <c r="AU497" s="181">
        <f ca="1">IF($D497&lt;&gt;"Serviço",0,IF(AND(AUTOEVENTO="Manual",$M497=1),0,IF(OFFSET(CRONOPLE!$F$14,$M497,AU$13)="",10^12,OFFSET(CRONOPLE!$F$14,$M497,AU$13))))</f>
        <v>1000000000000</v>
      </c>
      <c r="AV497" s="181">
        <f ca="1">IF($D497&lt;&gt;"Serviço",0,IF(AND(AUTOEVENTO="Manual",$M497=1),0,IF(OFFSET(CRONOPLE!$F$14,$M497,AV$13)="",10^12,OFFSET(CRONOPLE!$F$14,$M497,AV$13))))</f>
        <v>1000000000000</v>
      </c>
      <c r="AX497" s="182">
        <f ca="1">IF($D497&lt;&gt;"Serviço",0,IF(OR(AND(AUTOEVENTO="Manual",$M497=1),$M497&gt;(ROW(PLE.lastrow)-ROW(PLE.firstrow))),0,IF(OFFSET(PLE!$G$14,$M497,AX$13)="",10^12,OFFSET(PLE!$G$14,$M497,AX$13))))</f>
        <v>1000000000000</v>
      </c>
      <c r="AY497" s="182">
        <f ca="1">IF($D497&lt;&gt;"Serviço",0,IF(OR(AND(AUTOEVENTO="Manual",$M497=1),$M497&gt;(ROW(PLE.lastrow)-ROW(PLE.firstrow))),0,IF(OFFSET(PLE!$G$14,$M497,AY$13)="",10^12,OFFSET(PLE!$G$14,$M497,AY$13))))</f>
        <v>1000000000000</v>
      </c>
      <c r="AZ497" s="182">
        <f ca="1">IF($D497&lt;&gt;"Serviço",0,IF(OR(AND(AUTOEVENTO="Manual",$M497=1),$M497&gt;(ROW(PLE.lastrow)-ROW(PLE.firstrow))),0,IF(OFFSET(PLE!$G$14,$M497,AZ$13)="",10^12,OFFSET(PLE!$G$14,$M497,AZ$13))))</f>
        <v>1000000000000</v>
      </c>
      <c r="BA497" s="182">
        <f ca="1">IF($D497&lt;&gt;"Serviço",0,IF(OR(AND(AUTOEVENTO="Manual",$M497=1),$M497&gt;(ROW(PLE.lastrow)-ROW(PLE.firstrow))),0,IF(OFFSET(PLE!$G$14,$M497,BA$13)="",10^12,OFFSET(PLE!$G$14,$M497,BA$13))))</f>
        <v>1000000000000</v>
      </c>
      <c r="BB497" s="182">
        <f ca="1">IF($D497&lt;&gt;"Serviço",0,IF(OR(AND(AUTOEVENTO="Manual",$M497=1),$M497&gt;(ROW(PLE.lastrow)-ROW(PLE.firstrow))),0,IF(OFFSET(PLE!$G$14,$M497,BB$13)="",10^12,OFFSET(PLE!$G$14,$M497,BB$13))))</f>
        <v>1000000000000</v>
      </c>
      <c r="BC497" s="182">
        <f ca="1">IF($D497&lt;&gt;"Serviço",0,IF(OR(AND(AUTOEVENTO="Manual",$M497=1),$M497&gt;(ROW(PLE.lastrow)-ROW(PLE.firstrow))),0,IF(OFFSET(PLE!$G$14,$M497,BC$13)="",10^12,OFFSET(PLE!$G$14,$M497,BC$13))))</f>
        <v>1000000000000</v>
      </c>
      <c r="BD497" s="182">
        <f ca="1">IF($D497&lt;&gt;"Serviço",0,IF(OR(AND(AUTOEVENTO="Manual",$M497=1),$M497&gt;(ROW(PLE.lastrow)-ROW(PLE.firstrow))),0,IF(OFFSET(PLE!$G$14,$M497,BD$13)="",10^12,OFFSET(PLE!$G$14,$M497,BD$13))))</f>
        <v>1000000000000</v>
      </c>
      <c r="BE497" s="182">
        <f ca="1">IF($D497&lt;&gt;"Serviço",0,IF(OR(AND(AUTOEVENTO="Manual",$M497=1),$M497&gt;(ROW(PLE.lastrow)-ROW(PLE.firstrow))),0,IF(OFFSET(PLE!$G$14,$M497,BE$13)="",10^12,OFFSET(PLE!$G$14,$M497,BE$13))))</f>
        <v>1000000000000</v>
      </c>
      <c r="BF497" s="182">
        <f ca="1">IF($D497&lt;&gt;"Serviço",0,IF(OR(AND(AUTOEVENTO="Manual",$M497=1),$M497&gt;(ROW(PLE.lastrow)-ROW(PLE.firstrow))),0,IF(OFFSET(PLE!$G$14,$M497,BF$13)="",10^12,OFFSET(PLE!$G$14,$M497,BF$13))))</f>
        <v>1000000000000</v>
      </c>
      <c r="BG497" s="182">
        <f ca="1">IF($D497&lt;&gt;"Serviço",0,IF(OR(AND(AUTOEVENTO="Manual",$M497=1),$M497&gt;(ROW(PLE.lastrow)-ROW(PLE.firstrow))),0,IF(OFFSET(PLE!$G$14,$M497,BG$13)="",10^12,OFFSET(PLE!$G$14,$M497,BG$13))))</f>
        <v>1000000000000</v>
      </c>
    </row>
    <row r="498" spans="1:59" ht="38.25" x14ac:dyDescent="0.2">
      <c r="A498" s="7" t="str">
        <f t="shared" ca="1" si="11"/>
        <v>472</v>
      </c>
      <c r="B498" s="7" t="str">
        <f ca="1">OFFSET(ORÇAMENTO!C$15,ROW(B498)-ROW(B$15),0)</f>
        <v>S</v>
      </c>
      <c r="C498" s="7" t="str">
        <f ca="1">OFFSET(ORÇAMENTO!L$15,ROW(C498)-ROW(C$15),0)</f>
        <v/>
      </c>
      <c r="D498" s="118" t="str">
        <f ca="1">OFFSET(ORÇAMENTO!N$15,ROW(D498)-ROW(D$15),0)</f>
        <v>Serviço</v>
      </c>
      <c r="E498" s="119" t="str">
        <f ca="1">OFFSET(ORÇAMENTO!O$15,ROW(E498)-ROW(E$15),0)</f>
        <v>-</v>
      </c>
      <c r="F498" s="172" t="str">
        <f ca="1">OFFSET(ORÇAMENTO!R$15,ROW(F498)-ROW(F$15),0)</f>
        <v>(abra o arquivo 'Referência 02-2025.xlsm)</v>
      </c>
      <c r="G498" s="173" t="str">
        <f ca="1">IF($D498&lt;&gt;"Serviço","",OFFSET(ORÇAMENTO!S$15,ROW(G498)-ROW(G$15),0))</f>
        <v>-</v>
      </c>
      <c r="H498" s="124">
        <f ca="1">IF($D498&lt;&gt;"Serviço",0,IF(ACOMPANHAMENTO="BM",ROUND(OFFSET(ORÇAMENTO!AJ$15,ROW(H498)-ROW(H$15),0),15-13*ORÇAMENTO!$AF$7),SUMPRODUCT(($Q$12:$AA$12&lt;&gt;"")*ROUND($Q498:$AA498,15-13*ORÇAMENTO!$AF$7))))</f>
        <v>1</v>
      </c>
      <c r="I498" s="561" t="s">
        <v>890</v>
      </c>
      <c r="K498" s="174"/>
      <c r="L498" s="175" t="s">
        <v>255</v>
      </c>
      <c r="M498" s="176">
        <f ca="1">IF($D498&lt;&gt;"Serviço","",IF(AUTOEVENTO="manual",$A498,IF(ISERROR(MATCH($A498,$A$15:OFFSET($A498,-1,0),0)),MAX($M$15:OFFSET(M498,-1,0))+1,INDEX($M$15:OFFSET(M498,-1,0),MATCH($A498,$A$15:OFFSET($A498,-1,0),0)))))</f>
        <v>18</v>
      </c>
      <c r="N498" s="177" t="str">
        <f ca="1">IF($D498&lt;&gt;"Serviço","",IF(AUTOEVENTO="Manual",IF($A498=0,"&lt;-- defina o número do agrupador",OFFSET(EVENTOS!$D$14,$A498,0)),OFFSET($F$15,$A498,0)))</f>
        <v>INSTALAÇÕES ELÉTRICAS - 220V</v>
      </c>
      <c r="O498" s="178"/>
      <c r="Q498" s="178"/>
      <c r="R498" s="179"/>
      <c r="S498" s="179"/>
      <c r="T498" s="179"/>
      <c r="U498" s="179"/>
      <c r="V498" s="179"/>
      <c r="W498" s="179"/>
      <c r="X498" s="179"/>
      <c r="Y498" s="179"/>
      <c r="Z498" s="180"/>
      <c r="AB498" s="544">
        <f ca="1">IF(AND($D498="Serviço",AB$12&lt;&gt;0,$H498&gt;0,OR(AUTOEVENTO&lt;&gt;"manual",$M498&lt;&gt;1)),
IF(Import.TipoArredondamento&lt;&gt;"TransfereGOV",
ROUND(OFFSET($P498,0,AB$13),15-13*ORÇAMENTO!$AF$7)/$H498*OFFSET(ORÇAMENTO!$X$15,ROW(AB498)-ROW(AB$15),0),
ROUND(ROUND(OFFSET($P498,0,AB$13),15-13*ORÇAMENTO!$AF$7)*OFFSET(ORÇAMENTO!$W$15,ROW(AB498)-ROW(AB$15),0),15-13*ORÇAMENTO!$AF$11)),0)</f>
        <v>0</v>
      </c>
      <c r="AC498" s="545">
        <f ca="1">IF(AND($D498="Serviço",AC$12&lt;&gt;0,$H498&gt;0,OR(AUTOEVENTO&lt;&gt;"manual",$M498&lt;&gt;1)),
IF(Import.TipoArredondamento&lt;&gt;"TransfereGOV",
ROUND(OFFSET($P498,0,AC$13),15-13*ORÇAMENTO!$AF$7)/$H498*OFFSET(ORÇAMENTO!$X$15,ROW(AC498)-ROW(AC$15),0),
ROUND(ROUND(OFFSET($P498,0,AC$13),15-13*ORÇAMENTO!$AF$7)*OFFSET(ORÇAMENTO!$W$15,ROW(AC498)-ROW(AC$15),0),15-13*ORÇAMENTO!$AF$11)),0)</f>
        <v>0</v>
      </c>
      <c r="AD498" s="545">
        <f ca="1">IF(AND($D498="Serviço",AD$12&lt;&gt;0,$H498&gt;0,OR(AUTOEVENTO&lt;&gt;"manual",$M498&lt;&gt;1)),
IF(Import.TipoArredondamento&lt;&gt;"TransfereGOV",
ROUND(OFFSET($P498,0,AD$13),15-13*ORÇAMENTO!$AF$7)/$H498*OFFSET(ORÇAMENTO!$X$15,ROW(AD498)-ROW(AD$15),0),
ROUND(ROUND(OFFSET($P498,0,AD$13),15-13*ORÇAMENTO!$AF$7)*OFFSET(ORÇAMENTO!$W$15,ROW(AD498)-ROW(AD$15),0),15-13*ORÇAMENTO!$AF$11)),0)</f>
        <v>0</v>
      </c>
      <c r="AE498" s="545">
        <f ca="1">IF(AND($D498="Serviço",AE$12&lt;&gt;0,$H498&gt;0,OR(AUTOEVENTO&lt;&gt;"manual",$M498&lt;&gt;1)),
IF(Import.TipoArredondamento&lt;&gt;"TransfereGOV",
ROUND(OFFSET($P498,0,AE$13),15-13*ORÇAMENTO!$AF$7)/$H498*OFFSET(ORÇAMENTO!$X$15,ROW(AE498)-ROW(AE$15),0),
ROUND(ROUND(OFFSET($P498,0,AE$13),15-13*ORÇAMENTO!$AF$7)*OFFSET(ORÇAMENTO!$W$15,ROW(AE498)-ROW(AE$15),0),15-13*ORÇAMENTO!$AF$11)),0)</f>
        <v>0</v>
      </c>
      <c r="AF498" s="545">
        <f ca="1">IF(AND($D498="Serviço",AF$12&lt;&gt;0,$H498&gt;0,OR(AUTOEVENTO&lt;&gt;"manual",$M498&lt;&gt;1)),
IF(Import.TipoArredondamento&lt;&gt;"TransfereGOV",
ROUND(OFFSET($P498,0,AF$13),15-13*ORÇAMENTO!$AF$7)/$H498*OFFSET(ORÇAMENTO!$X$15,ROW(AF498)-ROW(AF$15),0),
ROUND(ROUND(OFFSET($P498,0,AF$13),15-13*ORÇAMENTO!$AF$7)*OFFSET(ORÇAMENTO!$W$15,ROW(AF498)-ROW(AF$15),0),15-13*ORÇAMENTO!$AF$11)),0)</f>
        <v>0</v>
      </c>
      <c r="AG498" s="545">
        <f ca="1">IF(AND($D498="Serviço",AG$12&lt;&gt;0,$H498&gt;0,OR(AUTOEVENTO&lt;&gt;"manual",$M498&lt;&gt;1)),
IF(Import.TipoArredondamento&lt;&gt;"TransfereGOV",
ROUND(OFFSET($P498,0,AG$13),15-13*ORÇAMENTO!$AF$7)/$H498*OFFSET(ORÇAMENTO!$X$15,ROW(AG498)-ROW(AG$15),0),
ROUND(ROUND(OFFSET($P498,0,AG$13),15-13*ORÇAMENTO!$AF$7)*OFFSET(ORÇAMENTO!$W$15,ROW(AG498)-ROW(AG$15),0),15-13*ORÇAMENTO!$AF$11)),0)</f>
        <v>0</v>
      </c>
      <c r="AH498" s="545">
        <f ca="1">IF(AND($D498="Serviço",AH$12&lt;&gt;0,$H498&gt;0,OR(AUTOEVENTO&lt;&gt;"manual",$M498&lt;&gt;1)),
IF(Import.TipoArredondamento&lt;&gt;"TransfereGOV",
ROUND(OFFSET($P498,0,AH$13),15-13*ORÇAMENTO!$AF$7)/$H498*OFFSET(ORÇAMENTO!$X$15,ROW(AH498)-ROW(AH$15),0),
ROUND(ROUND(OFFSET($P498,0,AH$13),15-13*ORÇAMENTO!$AF$7)*OFFSET(ORÇAMENTO!$W$15,ROW(AH498)-ROW(AH$15),0),15-13*ORÇAMENTO!$AF$11)),0)</f>
        <v>0</v>
      </c>
      <c r="AI498" s="545">
        <f ca="1">IF(AND($D498="Serviço",AI$12&lt;&gt;0,$H498&gt;0,OR(AUTOEVENTO&lt;&gt;"manual",$M498&lt;&gt;1)),
IF(Import.TipoArredondamento&lt;&gt;"TransfereGOV",
ROUND(OFFSET($P498,0,AI$13),15-13*ORÇAMENTO!$AF$7)/$H498*OFFSET(ORÇAMENTO!$X$15,ROW(AI498)-ROW(AI$15),0),
ROUND(ROUND(OFFSET($P498,0,AI$13),15-13*ORÇAMENTO!$AF$7)*OFFSET(ORÇAMENTO!$W$15,ROW(AI498)-ROW(AI$15),0),15-13*ORÇAMENTO!$AF$11)),0)</f>
        <v>0</v>
      </c>
      <c r="AJ498" s="545">
        <f ca="1">IF(AND($D498="Serviço",AJ$12&lt;&gt;0,$H498&gt;0,OR(AUTOEVENTO&lt;&gt;"manual",$M498&lt;&gt;1)),
IF(Import.TipoArredondamento&lt;&gt;"TransfereGOV",
ROUND(OFFSET($P498,0,AJ$13),15-13*ORÇAMENTO!$AF$7)/$H498*OFFSET(ORÇAMENTO!$X$15,ROW(AJ498)-ROW(AJ$15),0),
ROUND(ROUND(OFFSET($P498,0,AJ$13),15-13*ORÇAMENTO!$AF$7)*OFFSET(ORÇAMENTO!$W$15,ROW(AJ498)-ROW(AJ$15),0),15-13*ORÇAMENTO!$AF$11)),0)</f>
        <v>0</v>
      </c>
      <c r="AK498" s="546">
        <f ca="1">IF(AND($D498="Serviço",AK$12&lt;&gt;0,$H498&gt;0,OR(AUTOEVENTO&lt;&gt;"manual",$M498&lt;&gt;1)),
IF(Import.TipoArredondamento&lt;&gt;"TransfereGOV",
ROUND(OFFSET($P498,0,AK$13),15-13*ORÇAMENTO!$AF$7)/$H498*OFFSET(ORÇAMENTO!$X$15,ROW(AK498)-ROW(AK$15),0),
ROUND(ROUND(OFFSET($P498,0,AK$13),15-13*ORÇAMENTO!$AF$7)*OFFSET(ORÇAMENTO!$W$15,ROW(AK498)-ROW(AK$15),0),15-13*ORÇAMENTO!$AF$11)),0)</f>
        <v>0</v>
      </c>
      <c r="AM498" s="181">
        <f ca="1">IF($D498&lt;&gt;"Serviço",0,IF(AND(AUTOEVENTO="Manual",$M498=1),0,IF(OFFSET(CRONOPLE!$F$14,$M498,AM$13)="",10^12,OFFSET(CRONOPLE!$F$14,$M498,AM$13))))</f>
        <v>1000000000000</v>
      </c>
      <c r="AN498" s="181">
        <f ca="1">IF($D498&lt;&gt;"Serviço",0,IF(AND(AUTOEVENTO="Manual",$M498=1),0,IF(OFFSET(CRONOPLE!$F$14,$M498,AN$13)="",10^12,OFFSET(CRONOPLE!$F$14,$M498,AN$13))))</f>
        <v>1000000000000</v>
      </c>
      <c r="AO498" s="181">
        <f ca="1">IF($D498&lt;&gt;"Serviço",0,IF(AND(AUTOEVENTO="Manual",$M498=1),0,IF(OFFSET(CRONOPLE!$F$14,$M498,AO$13)="",10^12,OFFSET(CRONOPLE!$F$14,$M498,AO$13))))</f>
        <v>1000000000000</v>
      </c>
      <c r="AP498" s="181">
        <f ca="1">IF($D498&lt;&gt;"Serviço",0,IF(AND(AUTOEVENTO="Manual",$M498=1),0,IF(OFFSET(CRONOPLE!$F$14,$M498,AP$13)="",10^12,OFFSET(CRONOPLE!$F$14,$M498,AP$13))))</f>
        <v>1000000000000</v>
      </c>
      <c r="AQ498" s="181">
        <f ca="1">IF($D498&lt;&gt;"Serviço",0,IF(AND(AUTOEVENTO="Manual",$M498=1),0,IF(OFFSET(CRONOPLE!$F$14,$M498,AQ$13)="",10^12,OFFSET(CRONOPLE!$F$14,$M498,AQ$13))))</f>
        <v>1000000000000</v>
      </c>
      <c r="AR498" s="181">
        <f ca="1">IF($D498&lt;&gt;"Serviço",0,IF(AND(AUTOEVENTO="Manual",$M498=1),0,IF(OFFSET(CRONOPLE!$F$14,$M498,AR$13)="",10^12,OFFSET(CRONOPLE!$F$14,$M498,AR$13))))</f>
        <v>1000000000000</v>
      </c>
      <c r="AS498" s="181">
        <f ca="1">IF($D498&lt;&gt;"Serviço",0,IF(AND(AUTOEVENTO="Manual",$M498=1),0,IF(OFFSET(CRONOPLE!$F$14,$M498,AS$13)="",10^12,OFFSET(CRONOPLE!$F$14,$M498,AS$13))))</f>
        <v>1000000000000</v>
      </c>
      <c r="AT498" s="181">
        <f ca="1">IF($D498&lt;&gt;"Serviço",0,IF(AND(AUTOEVENTO="Manual",$M498=1),0,IF(OFFSET(CRONOPLE!$F$14,$M498,AT$13)="",10^12,OFFSET(CRONOPLE!$F$14,$M498,AT$13))))</f>
        <v>1000000000000</v>
      </c>
      <c r="AU498" s="181">
        <f ca="1">IF($D498&lt;&gt;"Serviço",0,IF(AND(AUTOEVENTO="Manual",$M498=1),0,IF(OFFSET(CRONOPLE!$F$14,$M498,AU$13)="",10^12,OFFSET(CRONOPLE!$F$14,$M498,AU$13))))</f>
        <v>1000000000000</v>
      </c>
      <c r="AV498" s="181">
        <f ca="1">IF($D498&lt;&gt;"Serviço",0,IF(AND(AUTOEVENTO="Manual",$M498=1),0,IF(OFFSET(CRONOPLE!$F$14,$M498,AV$13)="",10^12,OFFSET(CRONOPLE!$F$14,$M498,AV$13))))</f>
        <v>1000000000000</v>
      </c>
      <c r="AX498" s="182">
        <f ca="1">IF($D498&lt;&gt;"Serviço",0,IF(OR(AND(AUTOEVENTO="Manual",$M498=1),$M498&gt;(ROW(PLE.lastrow)-ROW(PLE.firstrow))),0,IF(OFFSET(PLE!$G$14,$M498,AX$13)="",10^12,OFFSET(PLE!$G$14,$M498,AX$13))))</f>
        <v>1000000000000</v>
      </c>
      <c r="AY498" s="182">
        <f ca="1">IF($D498&lt;&gt;"Serviço",0,IF(OR(AND(AUTOEVENTO="Manual",$M498=1),$M498&gt;(ROW(PLE.lastrow)-ROW(PLE.firstrow))),0,IF(OFFSET(PLE!$G$14,$M498,AY$13)="",10^12,OFFSET(PLE!$G$14,$M498,AY$13))))</f>
        <v>1000000000000</v>
      </c>
      <c r="AZ498" s="182">
        <f ca="1">IF($D498&lt;&gt;"Serviço",0,IF(OR(AND(AUTOEVENTO="Manual",$M498=1),$M498&gt;(ROW(PLE.lastrow)-ROW(PLE.firstrow))),0,IF(OFFSET(PLE!$G$14,$M498,AZ$13)="",10^12,OFFSET(PLE!$G$14,$M498,AZ$13))))</f>
        <v>1000000000000</v>
      </c>
      <c r="BA498" s="182">
        <f ca="1">IF($D498&lt;&gt;"Serviço",0,IF(OR(AND(AUTOEVENTO="Manual",$M498=1),$M498&gt;(ROW(PLE.lastrow)-ROW(PLE.firstrow))),0,IF(OFFSET(PLE!$G$14,$M498,BA$13)="",10^12,OFFSET(PLE!$G$14,$M498,BA$13))))</f>
        <v>1000000000000</v>
      </c>
      <c r="BB498" s="182">
        <f ca="1">IF($D498&lt;&gt;"Serviço",0,IF(OR(AND(AUTOEVENTO="Manual",$M498=1),$M498&gt;(ROW(PLE.lastrow)-ROW(PLE.firstrow))),0,IF(OFFSET(PLE!$G$14,$M498,BB$13)="",10^12,OFFSET(PLE!$G$14,$M498,BB$13))))</f>
        <v>1000000000000</v>
      </c>
      <c r="BC498" s="182">
        <f ca="1">IF($D498&lt;&gt;"Serviço",0,IF(OR(AND(AUTOEVENTO="Manual",$M498=1),$M498&gt;(ROW(PLE.lastrow)-ROW(PLE.firstrow))),0,IF(OFFSET(PLE!$G$14,$M498,BC$13)="",10^12,OFFSET(PLE!$G$14,$M498,BC$13))))</f>
        <v>1000000000000</v>
      </c>
      <c r="BD498" s="182">
        <f ca="1">IF($D498&lt;&gt;"Serviço",0,IF(OR(AND(AUTOEVENTO="Manual",$M498=1),$M498&gt;(ROW(PLE.lastrow)-ROW(PLE.firstrow))),0,IF(OFFSET(PLE!$G$14,$M498,BD$13)="",10^12,OFFSET(PLE!$G$14,$M498,BD$13))))</f>
        <v>1000000000000</v>
      </c>
      <c r="BE498" s="182">
        <f ca="1">IF($D498&lt;&gt;"Serviço",0,IF(OR(AND(AUTOEVENTO="Manual",$M498=1),$M498&gt;(ROW(PLE.lastrow)-ROW(PLE.firstrow))),0,IF(OFFSET(PLE!$G$14,$M498,BE$13)="",10^12,OFFSET(PLE!$G$14,$M498,BE$13))))</f>
        <v>1000000000000</v>
      </c>
      <c r="BF498" s="182">
        <f ca="1">IF($D498&lt;&gt;"Serviço",0,IF(OR(AND(AUTOEVENTO="Manual",$M498=1),$M498&gt;(ROW(PLE.lastrow)-ROW(PLE.firstrow))),0,IF(OFFSET(PLE!$G$14,$M498,BF$13)="",10^12,OFFSET(PLE!$G$14,$M498,BF$13))))</f>
        <v>1000000000000</v>
      </c>
      <c r="BG498" s="182">
        <f ca="1">IF($D498&lt;&gt;"Serviço",0,IF(OR(AND(AUTOEVENTO="Manual",$M498=1),$M498&gt;(ROW(PLE.lastrow)-ROW(PLE.firstrow))),0,IF(OFFSET(PLE!$G$14,$M498,BG$13)="",10^12,OFFSET(PLE!$G$14,$M498,BG$13))))</f>
        <v>1000000000000</v>
      </c>
    </row>
    <row r="499" spans="1:59" ht="38.25" x14ac:dyDescent="0.2">
      <c r="A499" s="7" t="str">
        <f t="shared" ca="1" si="11"/>
        <v>472</v>
      </c>
      <c r="B499" s="7" t="str">
        <f ca="1">OFFSET(ORÇAMENTO!C$15,ROW(B499)-ROW(B$15),0)</f>
        <v>S</v>
      </c>
      <c r="C499" s="7" t="str">
        <f ca="1">OFFSET(ORÇAMENTO!L$15,ROW(C499)-ROW(C$15),0)</f>
        <v/>
      </c>
      <c r="D499" s="118" t="str">
        <f ca="1">OFFSET(ORÇAMENTO!N$15,ROW(D499)-ROW(D$15),0)</f>
        <v>Serviço</v>
      </c>
      <c r="E499" s="119" t="str">
        <f ca="1">OFFSET(ORÇAMENTO!O$15,ROW(E499)-ROW(E$15),0)</f>
        <v>-</v>
      </c>
      <c r="F499" s="172" t="str">
        <f ca="1">OFFSET(ORÇAMENTO!R$15,ROW(F499)-ROW(F$15),0)</f>
        <v>(abra o arquivo 'Referência 02-2025.xlsm)</v>
      </c>
      <c r="G499" s="173" t="str">
        <f ca="1">IF($D499&lt;&gt;"Serviço","",OFFSET(ORÇAMENTO!S$15,ROW(G499)-ROW(G$15),0))</f>
        <v>-</v>
      </c>
      <c r="H499" s="124">
        <f ca="1">IF($D499&lt;&gt;"Serviço",0,IF(ACOMPANHAMENTO="BM",ROUND(OFFSET(ORÇAMENTO!AJ$15,ROW(H499)-ROW(H$15),0),15-13*ORÇAMENTO!$AF$7),SUMPRODUCT(($Q$12:$AA$12&lt;&gt;"")*ROUND($Q499:$AA499,15-13*ORÇAMENTO!$AF$7))))</f>
        <v>2</v>
      </c>
      <c r="I499" s="561" t="s">
        <v>890</v>
      </c>
      <c r="K499" s="174"/>
      <c r="L499" s="175" t="s">
        <v>255</v>
      </c>
      <c r="M499" s="176">
        <f ca="1">IF($D499&lt;&gt;"Serviço","",IF(AUTOEVENTO="manual",$A499,IF(ISERROR(MATCH($A499,$A$15:OFFSET($A499,-1,0),0)),MAX($M$15:OFFSET(M499,-1,0))+1,INDEX($M$15:OFFSET(M499,-1,0),MATCH($A499,$A$15:OFFSET($A499,-1,0),0)))))</f>
        <v>18</v>
      </c>
      <c r="N499" s="177" t="str">
        <f ca="1">IF($D499&lt;&gt;"Serviço","",IF(AUTOEVENTO="Manual",IF($A499=0,"&lt;-- defina o número do agrupador",OFFSET(EVENTOS!$D$14,$A499,0)),OFFSET($F$15,$A499,0)))</f>
        <v>INSTALAÇÕES ELÉTRICAS - 220V</v>
      </c>
      <c r="O499" s="178"/>
      <c r="Q499" s="178"/>
      <c r="R499" s="179"/>
      <c r="S499" s="179"/>
      <c r="T499" s="179"/>
      <c r="U499" s="179"/>
      <c r="V499" s="179"/>
      <c r="W499" s="179"/>
      <c r="X499" s="179"/>
      <c r="Y499" s="179"/>
      <c r="Z499" s="180"/>
      <c r="AB499" s="544">
        <f ca="1">IF(AND($D499="Serviço",AB$12&lt;&gt;0,$H499&gt;0,OR(AUTOEVENTO&lt;&gt;"manual",$M499&lt;&gt;1)),
IF(Import.TipoArredondamento&lt;&gt;"TransfereGOV",
ROUND(OFFSET($P499,0,AB$13),15-13*ORÇAMENTO!$AF$7)/$H499*OFFSET(ORÇAMENTO!$X$15,ROW(AB499)-ROW(AB$15),0),
ROUND(ROUND(OFFSET($P499,0,AB$13),15-13*ORÇAMENTO!$AF$7)*OFFSET(ORÇAMENTO!$W$15,ROW(AB499)-ROW(AB$15),0),15-13*ORÇAMENTO!$AF$11)),0)</f>
        <v>0</v>
      </c>
      <c r="AC499" s="545">
        <f ca="1">IF(AND($D499="Serviço",AC$12&lt;&gt;0,$H499&gt;0,OR(AUTOEVENTO&lt;&gt;"manual",$M499&lt;&gt;1)),
IF(Import.TipoArredondamento&lt;&gt;"TransfereGOV",
ROUND(OFFSET($P499,0,AC$13),15-13*ORÇAMENTO!$AF$7)/$H499*OFFSET(ORÇAMENTO!$X$15,ROW(AC499)-ROW(AC$15),0),
ROUND(ROUND(OFFSET($P499,0,AC$13),15-13*ORÇAMENTO!$AF$7)*OFFSET(ORÇAMENTO!$W$15,ROW(AC499)-ROW(AC$15),0),15-13*ORÇAMENTO!$AF$11)),0)</f>
        <v>0</v>
      </c>
      <c r="AD499" s="545">
        <f ca="1">IF(AND($D499="Serviço",AD$12&lt;&gt;0,$H499&gt;0,OR(AUTOEVENTO&lt;&gt;"manual",$M499&lt;&gt;1)),
IF(Import.TipoArredondamento&lt;&gt;"TransfereGOV",
ROUND(OFFSET($P499,0,AD$13),15-13*ORÇAMENTO!$AF$7)/$H499*OFFSET(ORÇAMENTO!$X$15,ROW(AD499)-ROW(AD$15),0),
ROUND(ROUND(OFFSET($P499,0,AD$13),15-13*ORÇAMENTO!$AF$7)*OFFSET(ORÇAMENTO!$W$15,ROW(AD499)-ROW(AD$15),0),15-13*ORÇAMENTO!$AF$11)),0)</f>
        <v>0</v>
      </c>
      <c r="AE499" s="545">
        <f ca="1">IF(AND($D499="Serviço",AE$12&lt;&gt;0,$H499&gt;0,OR(AUTOEVENTO&lt;&gt;"manual",$M499&lt;&gt;1)),
IF(Import.TipoArredondamento&lt;&gt;"TransfereGOV",
ROUND(OFFSET($P499,0,AE$13),15-13*ORÇAMENTO!$AF$7)/$H499*OFFSET(ORÇAMENTO!$X$15,ROW(AE499)-ROW(AE$15),0),
ROUND(ROUND(OFFSET($P499,0,AE$13),15-13*ORÇAMENTO!$AF$7)*OFFSET(ORÇAMENTO!$W$15,ROW(AE499)-ROW(AE$15),0),15-13*ORÇAMENTO!$AF$11)),0)</f>
        <v>0</v>
      </c>
      <c r="AF499" s="545">
        <f ca="1">IF(AND($D499="Serviço",AF$12&lt;&gt;0,$H499&gt;0,OR(AUTOEVENTO&lt;&gt;"manual",$M499&lt;&gt;1)),
IF(Import.TipoArredondamento&lt;&gt;"TransfereGOV",
ROUND(OFFSET($P499,0,AF$13),15-13*ORÇAMENTO!$AF$7)/$H499*OFFSET(ORÇAMENTO!$X$15,ROW(AF499)-ROW(AF$15),0),
ROUND(ROUND(OFFSET($P499,0,AF$13),15-13*ORÇAMENTO!$AF$7)*OFFSET(ORÇAMENTO!$W$15,ROW(AF499)-ROW(AF$15),0),15-13*ORÇAMENTO!$AF$11)),0)</f>
        <v>0</v>
      </c>
      <c r="AG499" s="545">
        <f ca="1">IF(AND($D499="Serviço",AG$12&lt;&gt;0,$H499&gt;0,OR(AUTOEVENTO&lt;&gt;"manual",$M499&lt;&gt;1)),
IF(Import.TipoArredondamento&lt;&gt;"TransfereGOV",
ROUND(OFFSET($P499,0,AG$13),15-13*ORÇAMENTO!$AF$7)/$H499*OFFSET(ORÇAMENTO!$X$15,ROW(AG499)-ROW(AG$15),0),
ROUND(ROUND(OFFSET($P499,0,AG$13),15-13*ORÇAMENTO!$AF$7)*OFFSET(ORÇAMENTO!$W$15,ROW(AG499)-ROW(AG$15),0),15-13*ORÇAMENTO!$AF$11)),0)</f>
        <v>0</v>
      </c>
      <c r="AH499" s="545">
        <f ca="1">IF(AND($D499="Serviço",AH$12&lt;&gt;0,$H499&gt;0,OR(AUTOEVENTO&lt;&gt;"manual",$M499&lt;&gt;1)),
IF(Import.TipoArredondamento&lt;&gt;"TransfereGOV",
ROUND(OFFSET($P499,0,AH$13),15-13*ORÇAMENTO!$AF$7)/$H499*OFFSET(ORÇAMENTO!$X$15,ROW(AH499)-ROW(AH$15),0),
ROUND(ROUND(OFFSET($P499,0,AH$13),15-13*ORÇAMENTO!$AF$7)*OFFSET(ORÇAMENTO!$W$15,ROW(AH499)-ROW(AH$15),0),15-13*ORÇAMENTO!$AF$11)),0)</f>
        <v>0</v>
      </c>
      <c r="AI499" s="545">
        <f ca="1">IF(AND($D499="Serviço",AI$12&lt;&gt;0,$H499&gt;0,OR(AUTOEVENTO&lt;&gt;"manual",$M499&lt;&gt;1)),
IF(Import.TipoArredondamento&lt;&gt;"TransfereGOV",
ROUND(OFFSET($P499,0,AI$13),15-13*ORÇAMENTO!$AF$7)/$H499*OFFSET(ORÇAMENTO!$X$15,ROW(AI499)-ROW(AI$15),0),
ROUND(ROUND(OFFSET($P499,0,AI$13),15-13*ORÇAMENTO!$AF$7)*OFFSET(ORÇAMENTO!$W$15,ROW(AI499)-ROW(AI$15),0),15-13*ORÇAMENTO!$AF$11)),0)</f>
        <v>0</v>
      </c>
      <c r="AJ499" s="545">
        <f ca="1">IF(AND($D499="Serviço",AJ$12&lt;&gt;0,$H499&gt;0,OR(AUTOEVENTO&lt;&gt;"manual",$M499&lt;&gt;1)),
IF(Import.TipoArredondamento&lt;&gt;"TransfereGOV",
ROUND(OFFSET($P499,0,AJ$13),15-13*ORÇAMENTO!$AF$7)/$H499*OFFSET(ORÇAMENTO!$X$15,ROW(AJ499)-ROW(AJ$15),0),
ROUND(ROUND(OFFSET($P499,0,AJ$13),15-13*ORÇAMENTO!$AF$7)*OFFSET(ORÇAMENTO!$W$15,ROW(AJ499)-ROW(AJ$15),0),15-13*ORÇAMENTO!$AF$11)),0)</f>
        <v>0</v>
      </c>
      <c r="AK499" s="546">
        <f ca="1">IF(AND($D499="Serviço",AK$12&lt;&gt;0,$H499&gt;0,OR(AUTOEVENTO&lt;&gt;"manual",$M499&lt;&gt;1)),
IF(Import.TipoArredondamento&lt;&gt;"TransfereGOV",
ROUND(OFFSET($P499,0,AK$13),15-13*ORÇAMENTO!$AF$7)/$H499*OFFSET(ORÇAMENTO!$X$15,ROW(AK499)-ROW(AK$15),0),
ROUND(ROUND(OFFSET($P499,0,AK$13),15-13*ORÇAMENTO!$AF$7)*OFFSET(ORÇAMENTO!$W$15,ROW(AK499)-ROW(AK$15),0),15-13*ORÇAMENTO!$AF$11)),0)</f>
        <v>0</v>
      </c>
      <c r="AM499" s="181">
        <f ca="1">IF($D499&lt;&gt;"Serviço",0,IF(AND(AUTOEVENTO="Manual",$M499=1),0,IF(OFFSET(CRONOPLE!$F$14,$M499,AM$13)="",10^12,OFFSET(CRONOPLE!$F$14,$M499,AM$13))))</f>
        <v>1000000000000</v>
      </c>
      <c r="AN499" s="181">
        <f ca="1">IF($D499&lt;&gt;"Serviço",0,IF(AND(AUTOEVENTO="Manual",$M499=1),0,IF(OFFSET(CRONOPLE!$F$14,$M499,AN$13)="",10^12,OFFSET(CRONOPLE!$F$14,$M499,AN$13))))</f>
        <v>1000000000000</v>
      </c>
      <c r="AO499" s="181">
        <f ca="1">IF($D499&lt;&gt;"Serviço",0,IF(AND(AUTOEVENTO="Manual",$M499=1),0,IF(OFFSET(CRONOPLE!$F$14,$M499,AO$13)="",10^12,OFFSET(CRONOPLE!$F$14,$M499,AO$13))))</f>
        <v>1000000000000</v>
      </c>
      <c r="AP499" s="181">
        <f ca="1">IF($D499&lt;&gt;"Serviço",0,IF(AND(AUTOEVENTO="Manual",$M499=1),0,IF(OFFSET(CRONOPLE!$F$14,$M499,AP$13)="",10^12,OFFSET(CRONOPLE!$F$14,$M499,AP$13))))</f>
        <v>1000000000000</v>
      </c>
      <c r="AQ499" s="181">
        <f ca="1">IF($D499&lt;&gt;"Serviço",0,IF(AND(AUTOEVENTO="Manual",$M499=1),0,IF(OFFSET(CRONOPLE!$F$14,$M499,AQ$13)="",10^12,OFFSET(CRONOPLE!$F$14,$M499,AQ$13))))</f>
        <v>1000000000000</v>
      </c>
      <c r="AR499" s="181">
        <f ca="1">IF($D499&lt;&gt;"Serviço",0,IF(AND(AUTOEVENTO="Manual",$M499=1),0,IF(OFFSET(CRONOPLE!$F$14,$M499,AR$13)="",10^12,OFFSET(CRONOPLE!$F$14,$M499,AR$13))))</f>
        <v>1000000000000</v>
      </c>
      <c r="AS499" s="181">
        <f ca="1">IF($D499&lt;&gt;"Serviço",0,IF(AND(AUTOEVENTO="Manual",$M499=1),0,IF(OFFSET(CRONOPLE!$F$14,$M499,AS$13)="",10^12,OFFSET(CRONOPLE!$F$14,$M499,AS$13))))</f>
        <v>1000000000000</v>
      </c>
      <c r="AT499" s="181">
        <f ca="1">IF($D499&lt;&gt;"Serviço",0,IF(AND(AUTOEVENTO="Manual",$M499=1),0,IF(OFFSET(CRONOPLE!$F$14,$M499,AT$13)="",10^12,OFFSET(CRONOPLE!$F$14,$M499,AT$13))))</f>
        <v>1000000000000</v>
      </c>
      <c r="AU499" s="181">
        <f ca="1">IF($D499&lt;&gt;"Serviço",0,IF(AND(AUTOEVENTO="Manual",$M499=1),0,IF(OFFSET(CRONOPLE!$F$14,$M499,AU$13)="",10^12,OFFSET(CRONOPLE!$F$14,$M499,AU$13))))</f>
        <v>1000000000000</v>
      </c>
      <c r="AV499" s="181">
        <f ca="1">IF($D499&lt;&gt;"Serviço",0,IF(AND(AUTOEVENTO="Manual",$M499=1),0,IF(OFFSET(CRONOPLE!$F$14,$M499,AV$13)="",10^12,OFFSET(CRONOPLE!$F$14,$M499,AV$13))))</f>
        <v>1000000000000</v>
      </c>
      <c r="AX499" s="182">
        <f ca="1">IF($D499&lt;&gt;"Serviço",0,IF(OR(AND(AUTOEVENTO="Manual",$M499=1),$M499&gt;(ROW(PLE.lastrow)-ROW(PLE.firstrow))),0,IF(OFFSET(PLE!$G$14,$M499,AX$13)="",10^12,OFFSET(PLE!$G$14,$M499,AX$13))))</f>
        <v>1000000000000</v>
      </c>
      <c r="AY499" s="182">
        <f ca="1">IF($D499&lt;&gt;"Serviço",0,IF(OR(AND(AUTOEVENTO="Manual",$M499=1),$M499&gt;(ROW(PLE.lastrow)-ROW(PLE.firstrow))),0,IF(OFFSET(PLE!$G$14,$M499,AY$13)="",10^12,OFFSET(PLE!$G$14,$M499,AY$13))))</f>
        <v>1000000000000</v>
      </c>
      <c r="AZ499" s="182">
        <f ca="1">IF($D499&lt;&gt;"Serviço",0,IF(OR(AND(AUTOEVENTO="Manual",$M499=1),$M499&gt;(ROW(PLE.lastrow)-ROW(PLE.firstrow))),0,IF(OFFSET(PLE!$G$14,$M499,AZ$13)="",10^12,OFFSET(PLE!$G$14,$M499,AZ$13))))</f>
        <v>1000000000000</v>
      </c>
      <c r="BA499" s="182">
        <f ca="1">IF($D499&lt;&gt;"Serviço",0,IF(OR(AND(AUTOEVENTO="Manual",$M499=1),$M499&gt;(ROW(PLE.lastrow)-ROW(PLE.firstrow))),0,IF(OFFSET(PLE!$G$14,$M499,BA$13)="",10^12,OFFSET(PLE!$G$14,$M499,BA$13))))</f>
        <v>1000000000000</v>
      </c>
      <c r="BB499" s="182">
        <f ca="1">IF($D499&lt;&gt;"Serviço",0,IF(OR(AND(AUTOEVENTO="Manual",$M499=1),$M499&gt;(ROW(PLE.lastrow)-ROW(PLE.firstrow))),0,IF(OFFSET(PLE!$G$14,$M499,BB$13)="",10^12,OFFSET(PLE!$G$14,$M499,BB$13))))</f>
        <v>1000000000000</v>
      </c>
      <c r="BC499" s="182">
        <f ca="1">IF($D499&lt;&gt;"Serviço",0,IF(OR(AND(AUTOEVENTO="Manual",$M499=1),$M499&gt;(ROW(PLE.lastrow)-ROW(PLE.firstrow))),0,IF(OFFSET(PLE!$G$14,$M499,BC$13)="",10^12,OFFSET(PLE!$G$14,$M499,BC$13))))</f>
        <v>1000000000000</v>
      </c>
      <c r="BD499" s="182">
        <f ca="1">IF($D499&lt;&gt;"Serviço",0,IF(OR(AND(AUTOEVENTO="Manual",$M499=1),$M499&gt;(ROW(PLE.lastrow)-ROW(PLE.firstrow))),0,IF(OFFSET(PLE!$G$14,$M499,BD$13)="",10^12,OFFSET(PLE!$G$14,$M499,BD$13))))</f>
        <v>1000000000000</v>
      </c>
      <c r="BE499" s="182">
        <f ca="1">IF($D499&lt;&gt;"Serviço",0,IF(OR(AND(AUTOEVENTO="Manual",$M499=1),$M499&gt;(ROW(PLE.lastrow)-ROW(PLE.firstrow))),0,IF(OFFSET(PLE!$G$14,$M499,BE$13)="",10^12,OFFSET(PLE!$G$14,$M499,BE$13))))</f>
        <v>1000000000000</v>
      </c>
      <c r="BF499" s="182">
        <f ca="1">IF($D499&lt;&gt;"Serviço",0,IF(OR(AND(AUTOEVENTO="Manual",$M499=1),$M499&gt;(ROW(PLE.lastrow)-ROW(PLE.firstrow))),0,IF(OFFSET(PLE!$G$14,$M499,BF$13)="",10^12,OFFSET(PLE!$G$14,$M499,BF$13))))</f>
        <v>1000000000000</v>
      </c>
      <c r="BG499" s="182">
        <f ca="1">IF($D499&lt;&gt;"Serviço",0,IF(OR(AND(AUTOEVENTO="Manual",$M499=1),$M499&gt;(ROW(PLE.lastrow)-ROW(PLE.firstrow))),0,IF(OFFSET(PLE!$G$14,$M499,BG$13)="",10^12,OFFSET(PLE!$G$14,$M499,BG$13))))</f>
        <v>1000000000000</v>
      </c>
    </row>
    <row r="500" spans="1:59" ht="12.75" x14ac:dyDescent="0.2">
      <c r="A500" s="7" t="str">
        <f t="shared" ca="1" si="11"/>
        <v>472</v>
      </c>
      <c r="B500" s="7">
        <f ca="1">OFFSET(ORÇAMENTO!C$15,ROW(B500)-ROW(B$15),0)</f>
        <v>3</v>
      </c>
      <c r="C500" s="7" t="str">
        <f ca="1">OFFSET(ORÇAMENTO!L$15,ROW(C500)-ROW(C$15),0)</f>
        <v>F</v>
      </c>
      <c r="D500" s="118" t="str">
        <f ca="1">OFFSET(ORÇAMENTO!N$15,ROW(D500)-ROW(D$15),0)</f>
        <v>Nível 3</v>
      </c>
      <c r="E500" s="119" t="str">
        <f ca="1">OFFSET(ORÇAMENTO!O$15,ROW(E500)-ROW(E$15),0)</f>
        <v>1.17.3.</v>
      </c>
      <c r="F500" s="172" t="str">
        <f ca="1">OFFSET(ORÇAMENTO!R$15,ROW(F500)-ROW(F$15),0)</f>
        <v>ACESSÓRIOS GERAL</v>
      </c>
      <c r="G500" s="173" t="str">
        <f ca="1">IF($D500&lt;&gt;"Serviço","",OFFSET(ORÇAMENTO!S$15,ROW(G500)-ROW(G$15),0))</f>
        <v/>
      </c>
      <c r="H500" s="124">
        <f ca="1">IF($D500&lt;&gt;"Serviço",0,IF(ACOMPANHAMENTO="BM",ROUND(OFFSET(ORÇAMENTO!AJ$15,ROW(H500)-ROW(H$15),0),15-13*ORÇAMENTO!$AF$7),SUMPRODUCT(($Q$12:$AA$12&lt;&gt;"")*ROUND($Q500:$AA500,15-13*ORÇAMENTO!$AF$7))))</f>
        <v>0</v>
      </c>
      <c r="I500" s="561"/>
      <c r="K500" s="174"/>
      <c r="L500" s="175" t="s">
        <v>255</v>
      </c>
      <c r="M500" s="176" t="str">
        <f ca="1">IF($D500&lt;&gt;"Serviço","",IF(AUTOEVENTO="manual",$A500,IF(ISERROR(MATCH($A500,$A$15:OFFSET($A500,-1,0),0)),MAX($M$15:OFFSET(M500,-1,0))+1,INDEX($M$15:OFFSET(M500,-1,0),MATCH($A500,$A$15:OFFSET($A500,-1,0),0)))))</f>
        <v/>
      </c>
      <c r="N500" s="177" t="str">
        <f ca="1">IF($D500&lt;&gt;"Serviço","",IF(AUTOEVENTO="Manual",IF($A500=0,"&lt;-- defina o número do agrupador",OFFSET(EVENTOS!$D$14,$A500,0)),OFFSET($F$15,$A500,0)))</f>
        <v/>
      </c>
      <c r="O500" s="178"/>
      <c r="Q500" s="178"/>
      <c r="R500" s="179"/>
      <c r="S500" s="179"/>
      <c r="T500" s="179"/>
      <c r="U500" s="179"/>
      <c r="V500" s="179"/>
      <c r="W500" s="179"/>
      <c r="X500" s="179"/>
      <c r="Y500" s="179"/>
      <c r="Z500" s="180"/>
      <c r="AB500" s="544">
        <f ca="1">IF(AND($D500="Serviço",AB$12&lt;&gt;0,$H500&gt;0,OR(AUTOEVENTO&lt;&gt;"manual",$M500&lt;&gt;1)),
IF(Import.TipoArredondamento&lt;&gt;"TransfereGOV",
ROUND(OFFSET($P500,0,AB$13),15-13*ORÇAMENTO!$AF$7)/$H500*OFFSET(ORÇAMENTO!$X$15,ROW(AB500)-ROW(AB$15),0),
ROUND(ROUND(OFFSET($P500,0,AB$13),15-13*ORÇAMENTO!$AF$7)*OFFSET(ORÇAMENTO!$W$15,ROW(AB500)-ROW(AB$15),0),15-13*ORÇAMENTO!$AF$11)),0)</f>
        <v>0</v>
      </c>
      <c r="AC500" s="545">
        <f ca="1">IF(AND($D500="Serviço",AC$12&lt;&gt;0,$H500&gt;0,OR(AUTOEVENTO&lt;&gt;"manual",$M500&lt;&gt;1)),
IF(Import.TipoArredondamento&lt;&gt;"TransfereGOV",
ROUND(OFFSET($P500,0,AC$13),15-13*ORÇAMENTO!$AF$7)/$H500*OFFSET(ORÇAMENTO!$X$15,ROW(AC500)-ROW(AC$15),0),
ROUND(ROUND(OFFSET($P500,0,AC$13),15-13*ORÇAMENTO!$AF$7)*OFFSET(ORÇAMENTO!$W$15,ROW(AC500)-ROW(AC$15),0),15-13*ORÇAMENTO!$AF$11)),0)</f>
        <v>0</v>
      </c>
      <c r="AD500" s="545">
        <f ca="1">IF(AND($D500="Serviço",AD$12&lt;&gt;0,$H500&gt;0,OR(AUTOEVENTO&lt;&gt;"manual",$M500&lt;&gt;1)),
IF(Import.TipoArredondamento&lt;&gt;"TransfereGOV",
ROUND(OFFSET($P500,0,AD$13),15-13*ORÇAMENTO!$AF$7)/$H500*OFFSET(ORÇAMENTO!$X$15,ROW(AD500)-ROW(AD$15),0),
ROUND(ROUND(OFFSET($P500,0,AD$13),15-13*ORÇAMENTO!$AF$7)*OFFSET(ORÇAMENTO!$W$15,ROW(AD500)-ROW(AD$15),0),15-13*ORÇAMENTO!$AF$11)),0)</f>
        <v>0</v>
      </c>
      <c r="AE500" s="545">
        <f ca="1">IF(AND($D500="Serviço",AE$12&lt;&gt;0,$H500&gt;0,OR(AUTOEVENTO&lt;&gt;"manual",$M500&lt;&gt;1)),
IF(Import.TipoArredondamento&lt;&gt;"TransfereGOV",
ROUND(OFFSET($P500,0,AE$13),15-13*ORÇAMENTO!$AF$7)/$H500*OFFSET(ORÇAMENTO!$X$15,ROW(AE500)-ROW(AE$15),0),
ROUND(ROUND(OFFSET($P500,0,AE$13),15-13*ORÇAMENTO!$AF$7)*OFFSET(ORÇAMENTO!$W$15,ROW(AE500)-ROW(AE$15),0),15-13*ORÇAMENTO!$AF$11)),0)</f>
        <v>0</v>
      </c>
      <c r="AF500" s="545">
        <f ca="1">IF(AND($D500="Serviço",AF$12&lt;&gt;0,$H500&gt;0,OR(AUTOEVENTO&lt;&gt;"manual",$M500&lt;&gt;1)),
IF(Import.TipoArredondamento&lt;&gt;"TransfereGOV",
ROUND(OFFSET($P500,0,AF$13),15-13*ORÇAMENTO!$AF$7)/$H500*OFFSET(ORÇAMENTO!$X$15,ROW(AF500)-ROW(AF$15),0),
ROUND(ROUND(OFFSET($P500,0,AF$13),15-13*ORÇAMENTO!$AF$7)*OFFSET(ORÇAMENTO!$W$15,ROW(AF500)-ROW(AF$15),0),15-13*ORÇAMENTO!$AF$11)),0)</f>
        <v>0</v>
      </c>
      <c r="AG500" s="545">
        <f ca="1">IF(AND($D500="Serviço",AG$12&lt;&gt;0,$H500&gt;0,OR(AUTOEVENTO&lt;&gt;"manual",$M500&lt;&gt;1)),
IF(Import.TipoArredondamento&lt;&gt;"TransfereGOV",
ROUND(OFFSET($P500,0,AG$13),15-13*ORÇAMENTO!$AF$7)/$H500*OFFSET(ORÇAMENTO!$X$15,ROW(AG500)-ROW(AG$15),0),
ROUND(ROUND(OFFSET($P500,0,AG$13),15-13*ORÇAMENTO!$AF$7)*OFFSET(ORÇAMENTO!$W$15,ROW(AG500)-ROW(AG$15),0),15-13*ORÇAMENTO!$AF$11)),0)</f>
        <v>0</v>
      </c>
      <c r="AH500" s="545">
        <f ca="1">IF(AND($D500="Serviço",AH$12&lt;&gt;0,$H500&gt;0,OR(AUTOEVENTO&lt;&gt;"manual",$M500&lt;&gt;1)),
IF(Import.TipoArredondamento&lt;&gt;"TransfereGOV",
ROUND(OFFSET($P500,0,AH$13),15-13*ORÇAMENTO!$AF$7)/$H500*OFFSET(ORÇAMENTO!$X$15,ROW(AH500)-ROW(AH$15),0),
ROUND(ROUND(OFFSET($P500,0,AH$13),15-13*ORÇAMENTO!$AF$7)*OFFSET(ORÇAMENTO!$W$15,ROW(AH500)-ROW(AH$15),0),15-13*ORÇAMENTO!$AF$11)),0)</f>
        <v>0</v>
      </c>
      <c r="AI500" s="545">
        <f ca="1">IF(AND($D500="Serviço",AI$12&lt;&gt;0,$H500&gt;0,OR(AUTOEVENTO&lt;&gt;"manual",$M500&lt;&gt;1)),
IF(Import.TipoArredondamento&lt;&gt;"TransfereGOV",
ROUND(OFFSET($P500,0,AI$13),15-13*ORÇAMENTO!$AF$7)/$H500*OFFSET(ORÇAMENTO!$X$15,ROW(AI500)-ROW(AI$15),0),
ROUND(ROUND(OFFSET($P500,0,AI$13),15-13*ORÇAMENTO!$AF$7)*OFFSET(ORÇAMENTO!$W$15,ROW(AI500)-ROW(AI$15),0),15-13*ORÇAMENTO!$AF$11)),0)</f>
        <v>0</v>
      </c>
      <c r="AJ500" s="545">
        <f ca="1">IF(AND($D500="Serviço",AJ$12&lt;&gt;0,$H500&gt;0,OR(AUTOEVENTO&lt;&gt;"manual",$M500&lt;&gt;1)),
IF(Import.TipoArredondamento&lt;&gt;"TransfereGOV",
ROUND(OFFSET($P500,0,AJ$13),15-13*ORÇAMENTO!$AF$7)/$H500*OFFSET(ORÇAMENTO!$X$15,ROW(AJ500)-ROW(AJ$15),0),
ROUND(ROUND(OFFSET($P500,0,AJ$13),15-13*ORÇAMENTO!$AF$7)*OFFSET(ORÇAMENTO!$W$15,ROW(AJ500)-ROW(AJ$15),0),15-13*ORÇAMENTO!$AF$11)),0)</f>
        <v>0</v>
      </c>
      <c r="AK500" s="546">
        <f ca="1">IF(AND($D500="Serviço",AK$12&lt;&gt;0,$H500&gt;0,OR(AUTOEVENTO&lt;&gt;"manual",$M500&lt;&gt;1)),
IF(Import.TipoArredondamento&lt;&gt;"TransfereGOV",
ROUND(OFFSET($P500,0,AK$13),15-13*ORÇAMENTO!$AF$7)/$H500*OFFSET(ORÇAMENTO!$X$15,ROW(AK500)-ROW(AK$15),0),
ROUND(ROUND(OFFSET($P500,0,AK$13),15-13*ORÇAMENTO!$AF$7)*OFFSET(ORÇAMENTO!$W$15,ROW(AK500)-ROW(AK$15),0),15-13*ORÇAMENTO!$AF$11)),0)</f>
        <v>0</v>
      </c>
      <c r="AM500" s="181">
        <f ca="1">IF($D500&lt;&gt;"Serviço",0,IF(AND(AUTOEVENTO="Manual",$M500=1),0,IF(OFFSET(CRONOPLE!$F$14,$M500,AM$13)="",10^12,OFFSET(CRONOPLE!$F$14,$M500,AM$13))))</f>
        <v>0</v>
      </c>
      <c r="AN500" s="181">
        <f ca="1">IF($D500&lt;&gt;"Serviço",0,IF(AND(AUTOEVENTO="Manual",$M500=1),0,IF(OFFSET(CRONOPLE!$F$14,$M500,AN$13)="",10^12,OFFSET(CRONOPLE!$F$14,$M500,AN$13))))</f>
        <v>0</v>
      </c>
      <c r="AO500" s="181">
        <f ca="1">IF($D500&lt;&gt;"Serviço",0,IF(AND(AUTOEVENTO="Manual",$M500=1),0,IF(OFFSET(CRONOPLE!$F$14,$M500,AO$13)="",10^12,OFFSET(CRONOPLE!$F$14,$M500,AO$13))))</f>
        <v>0</v>
      </c>
      <c r="AP500" s="181">
        <f ca="1">IF($D500&lt;&gt;"Serviço",0,IF(AND(AUTOEVENTO="Manual",$M500=1),0,IF(OFFSET(CRONOPLE!$F$14,$M500,AP$13)="",10^12,OFFSET(CRONOPLE!$F$14,$M500,AP$13))))</f>
        <v>0</v>
      </c>
      <c r="AQ500" s="181">
        <f ca="1">IF($D500&lt;&gt;"Serviço",0,IF(AND(AUTOEVENTO="Manual",$M500=1),0,IF(OFFSET(CRONOPLE!$F$14,$M500,AQ$13)="",10^12,OFFSET(CRONOPLE!$F$14,$M500,AQ$13))))</f>
        <v>0</v>
      </c>
      <c r="AR500" s="181">
        <f ca="1">IF($D500&lt;&gt;"Serviço",0,IF(AND(AUTOEVENTO="Manual",$M500=1),0,IF(OFFSET(CRONOPLE!$F$14,$M500,AR$13)="",10^12,OFFSET(CRONOPLE!$F$14,$M500,AR$13))))</f>
        <v>0</v>
      </c>
      <c r="AS500" s="181">
        <f ca="1">IF($D500&lt;&gt;"Serviço",0,IF(AND(AUTOEVENTO="Manual",$M500=1),0,IF(OFFSET(CRONOPLE!$F$14,$M500,AS$13)="",10^12,OFFSET(CRONOPLE!$F$14,$M500,AS$13))))</f>
        <v>0</v>
      </c>
      <c r="AT500" s="181">
        <f ca="1">IF($D500&lt;&gt;"Serviço",0,IF(AND(AUTOEVENTO="Manual",$M500=1),0,IF(OFFSET(CRONOPLE!$F$14,$M500,AT$13)="",10^12,OFFSET(CRONOPLE!$F$14,$M500,AT$13))))</f>
        <v>0</v>
      </c>
      <c r="AU500" s="181">
        <f ca="1">IF($D500&lt;&gt;"Serviço",0,IF(AND(AUTOEVENTO="Manual",$M500=1),0,IF(OFFSET(CRONOPLE!$F$14,$M500,AU$13)="",10^12,OFFSET(CRONOPLE!$F$14,$M500,AU$13))))</f>
        <v>0</v>
      </c>
      <c r="AV500" s="181">
        <f ca="1">IF($D500&lt;&gt;"Serviço",0,IF(AND(AUTOEVENTO="Manual",$M500=1),0,IF(OFFSET(CRONOPLE!$F$14,$M500,AV$13)="",10^12,OFFSET(CRONOPLE!$F$14,$M500,AV$13))))</f>
        <v>0</v>
      </c>
      <c r="AX500" s="182">
        <f ca="1">IF($D500&lt;&gt;"Serviço",0,IF(OR(AND(AUTOEVENTO="Manual",$M500=1),$M500&gt;(ROW(PLE.lastrow)-ROW(PLE.firstrow))),0,IF(OFFSET(PLE!$G$14,$M500,AX$13)="",10^12,OFFSET(PLE!$G$14,$M500,AX$13))))</f>
        <v>0</v>
      </c>
      <c r="AY500" s="182">
        <f ca="1">IF($D500&lt;&gt;"Serviço",0,IF(OR(AND(AUTOEVENTO="Manual",$M500=1),$M500&gt;(ROW(PLE.lastrow)-ROW(PLE.firstrow))),0,IF(OFFSET(PLE!$G$14,$M500,AY$13)="",10^12,OFFSET(PLE!$G$14,$M500,AY$13))))</f>
        <v>0</v>
      </c>
      <c r="AZ500" s="182">
        <f ca="1">IF($D500&lt;&gt;"Serviço",0,IF(OR(AND(AUTOEVENTO="Manual",$M500=1),$M500&gt;(ROW(PLE.lastrow)-ROW(PLE.firstrow))),0,IF(OFFSET(PLE!$G$14,$M500,AZ$13)="",10^12,OFFSET(PLE!$G$14,$M500,AZ$13))))</f>
        <v>0</v>
      </c>
      <c r="BA500" s="182">
        <f ca="1">IF($D500&lt;&gt;"Serviço",0,IF(OR(AND(AUTOEVENTO="Manual",$M500=1),$M500&gt;(ROW(PLE.lastrow)-ROW(PLE.firstrow))),0,IF(OFFSET(PLE!$G$14,$M500,BA$13)="",10^12,OFFSET(PLE!$G$14,$M500,BA$13))))</f>
        <v>0</v>
      </c>
      <c r="BB500" s="182">
        <f ca="1">IF($D500&lt;&gt;"Serviço",0,IF(OR(AND(AUTOEVENTO="Manual",$M500=1),$M500&gt;(ROW(PLE.lastrow)-ROW(PLE.firstrow))),0,IF(OFFSET(PLE!$G$14,$M500,BB$13)="",10^12,OFFSET(PLE!$G$14,$M500,BB$13))))</f>
        <v>0</v>
      </c>
      <c r="BC500" s="182">
        <f ca="1">IF($D500&lt;&gt;"Serviço",0,IF(OR(AND(AUTOEVENTO="Manual",$M500=1),$M500&gt;(ROW(PLE.lastrow)-ROW(PLE.firstrow))),0,IF(OFFSET(PLE!$G$14,$M500,BC$13)="",10^12,OFFSET(PLE!$G$14,$M500,BC$13))))</f>
        <v>0</v>
      </c>
      <c r="BD500" s="182">
        <f ca="1">IF($D500&lt;&gt;"Serviço",0,IF(OR(AND(AUTOEVENTO="Manual",$M500=1),$M500&gt;(ROW(PLE.lastrow)-ROW(PLE.firstrow))),0,IF(OFFSET(PLE!$G$14,$M500,BD$13)="",10^12,OFFSET(PLE!$G$14,$M500,BD$13))))</f>
        <v>0</v>
      </c>
      <c r="BE500" s="182">
        <f ca="1">IF($D500&lt;&gt;"Serviço",0,IF(OR(AND(AUTOEVENTO="Manual",$M500=1),$M500&gt;(ROW(PLE.lastrow)-ROW(PLE.firstrow))),0,IF(OFFSET(PLE!$G$14,$M500,BE$13)="",10^12,OFFSET(PLE!$G$14,$M500,BE$13))))</f>
        <v>0</v>
      </c>
      <c r="BF500" s="182">
        <f ca="1">IF($D500&lt;&gt;"Serviço",0,IF(OR(AND(AUTOEVENTO="Manual",$M500=1),$M500&gt;(ROW(PLE.lastrow)-ROW(PLE.firstrow))),0,IF(OFFSET(PLE!$G$14,$M500,BF$13)="",10^12,OFFSET(PLE!$G$14,$M500,BF$13))))</f>
        <v>0</v>
      </c>
      <c r="BG500" s="182">
        <f ca="1">IF($D500&lt;&gt;"Serviço",0,IF(OR(AND(AUTOEVENTO="Manual",$M500=1),$M500&gt;(ROW(PLE.lastrow)-ROW(PLE.firstrow))),0,IF(OFFSET(PLE!$G$14,$M500,BG$13)="",10^12,OFFSET(PLE!$G$14,$M500,BG$13))))</f>
        <v>0</v>
      </c>
    </row>
    <row r="501" spans="1:59" ht="25.5" x14ac:dyDescent="0.2">
      <c r="A501" s="7" t="str">
        <f t="shared" ca="1" si="11"/>
        <v>472</v>
      </c>
      <c r="B501" s="7" t="str">
        <f ca="1">OFFSET(ORÇAMENTO!C$15,ROW(B501)-ROW(B$15),0)</f>
        <v>S</v>
      </c>
      <c r="C501" s="7" t="str">
        <f ca="1">OFFSET(ORÇAMENTO!L$15,ROW(C501)-ROW(C$15),0)</f>
        <v/>
      </c>
      <c r="D501" s="118" t="str">
        <f ca="1">OFFSET(ORÇAMENTO!N$15,ROW(D501)-ROW(D$15),0)</f>
        <v>Serviço</v>
      </c>
      <c r="E501" s="119" t="str">
        <f ca="1">OFFSET(ORÇAMENTO!O$15,ROW(E501)-ROW(E$15),0)</f>
        <v>-</v>
      </c>
      <c r="F501" s="172" t="str">
        <f ca="1">OFFSET(ORÇAMENTO!R$15,ROW(F501)-ROW(F$15),0)</f>
        <v>(abra o arquivo 'Referência 02-2025.xlsm)</v>
      </c>
      <c r="G501" s="173" t="str">
        <f ca="1">IF($D501&lt;&gt;"Serviço","",OFFSET(ORÇAMENTO!S$15,ROW(G501)-ROW(G$15),0))</f>
        <v>-</v>
      </c>
      <c r="H501" s="124">
        <f ca="1">IF($D501&lt;&gt;"Serviço",0,IF(ACOMPANHAMENTO="BM",ROUND(OFFSET(ORÇAMENTO!AJ$15,ROW(H501)-ROW(H$15),0),15-13*ORÇAMENTO!$AF$7),SUMPRODUCT(($Q$12:$AA$12&lt;&gt;"")*ROUND($Q501:$AA501,15-13*ORÇAMENTO!$AF$7))))</f>
        <v>1811</v>
      </c>
      <c r="I501" s="561" t="s">
        <v>890</v>
      </c>
      <c r="K501" s="174"/>
      <c r="L501" s="175" t="s">
        <v>255</v>
      </c>
      <c r="M501" s="176">
        <f ca="1">IF($D501&lt;&gt;"Serviço","",IF(AUTOEVENTO="manual",$A501,IF(ISERROR(MATCH($A501,$A$15:OFFSET($A501,-1,0),0)),MAX($M$15:OFFSET(M501,-1,0))+1,INDEX($M$15:OFFSET(M501,-1,0),MATCH($A501,$A$15:OFFSET($A501,-1,0),0)))))</f>
        <v>18</v>
      </c>
      <c r="N501" s="177" t="str">
        <f ca="1">IF($D501&lt;&gt;"Serviço","",IF(AUTOEVENTO="Manual",IF($A501=0,"&lt;-- defina o número do agrupador",OFFSET(EVENTOS!$D$14,$A501,0)),OFFSET($F$15,$A501,0)))</f>
        <v>INSTALAÇÕES ELÉTRICAS - 220V</v>
      </c>
      <c r="O501" s="178"/>
      <c r="Q501" s="178"/>
      <c r="R501" s="179"/>
      <c r="S501" s="179"/>
      <c r="T501" s="179"/>
      <c r="U501" s="179"/>
      <c r="V501" s="179"/>
      <c r="W501" s="179"/>
      <c r="X501" s="179"/>
      <c r="Y501" s="179"/>
      <c r="Z501" s="180"/>
      <c r="AB501" s="544">
        <f ca="1">IF(AND($D501="Serviço",AB$12&lt;&gt;0,$H501&gt;0,OR(AUTOEVENTO&lt;&gt;"manual",$M501&lt;&gt;1)),
IF(Import.TipoArredondamento&lt;&gt;"TransfereGOV",
ROUND(OFFSET($P501,0,AB$13),15-13*ORÇAMENTO!$AF$7)/$H501*OFFSET(ORÇAMENTO!$X$15,ROW(AB501)-ROW(AB$15),0),
ROUND(ROUND(OFFSET($P501,0,AB$13),15-13*ORÇAMENTO!$AF$7)*OFFSET(ORÇAMENTO!$W$15,ROW(AB501)-ROW(AB$15),0),15-13*ORÇAMENTO!$AF$11)),0)</f>
        <v>0</v>
      </c>
      <c r="AC501" s="545">
        <f ca="1">IF(AND($D501="Serviço",AC$12&lt;&gt;0,$H501&gt;0,OR(AUTOEVENTO&lt;&gt;"manual",$M501&lt;&gt;1)),
IF(Import.TipoArredondamento&lt;&gt;"TransfereGOV",
ROUND(OFFSET($P501,0,AC$13),15-13*ORÇAMENTO!$AF$7)/$H501*OFFSET(ORÇAMENTO!$X$15,ROW(AC501)-ROW(AC$15),0),
ROUND(ROUND(OFFSET($P501,0,AC$13),15-13*ORÇAMENTO!$AF$7)*OFFSET(ORÇAMENTO!$W$15,ROW(AC501)-ROW(AC$15),0),15-13*ORÇAMENTO!$AF$11)),0)</f>
        <v>0</v>
      </c>
      <c r="AD501" s="545">
        <f ca="1">IF(AND($D501="Serviço",AD$12&lt;&gt;0,$H501&gt;0,OR(AUTOEVENTO&lt;&gt;"manual",$M501&lt;&gt;1)),
IF(Import.TipoArredondamento&lt;&gt;"TransfereGOV",
ROUND(OFFSET($P501,0,AD$13),15-13*ORÇAMENTO!$AF$7)/$H501*OFFSET(ORÇAMENTO!$X$15,ROW(AD501)-ROW(AD$15),0),
ROUND(ROUND(OFFSET($P501,0,AD$13),15-13*ORÇAMENTO!$AF$7)*OFFSET(ORÇAMENTO!$W$15,ROW(AD501)-ROW(AD$15),0),15-13*ORÇAMENTO!$AF$11)),0)</f>
        <v>0</v>
      </c>
      <c r="AE501" s="545">
        <f ca="1">IF(AND($D501="Serviço",AE$12&lt;&gt;0,$H501&gt;0,OR(AUTOEVENTO&lt;&gt;"manual",$M501&lt;&gt;1)),
IF(Import.TipoArredondamento&lt;&gt;"TransfereGOV",
ROUND(OFFSET($P501,0,AE$13),15-13*ORÇAMENTO!$AF$7)/$H501*OFFSET(ORÇAMENTO!$X$15,ROW(AE501)-ROW(AE$15),0),
ROUND(ROUND(OFFSET($P501,0,AE$13),15-13*ORÇAMENTO!$AF$7)*OFFSET(ORÇAMENTO!$W$15,ROW(AE501)-ROW(AE$15),0),15-13*ORÇAMENTO!$AF$11)),0)</f>
        <v>0</v>
      </c>
      <c r="AF501" s="545">
        <f ca="1">IF(AND($D501="Serviço",AF$12&lt;&gt;0,$H501&gt;0,OR(AUTOEVENTO&lt;&gt;"manual",$M501&lt;&gt;1)),
IF(Import.TipoArredondamento&lt;&gt;"TransfereGOV",
ROUND(OFFSET($P501,0,AF$13),15-13*ORÇAMENTO!$AF$7)/$H501*OFFSET(ORÇAMENTO!$X$15,ROW(AF501)-ROW(AF$15),0),
ROUND(ROUND(OFFSET($P501,0,AF$13),15-13*ORÇAMENTO!$AF$7)*OFFSET(ORÇAMENTO!$W$15,ROW(AF501)-ROW(AF$15),0),15-13*ORÇAMENTO!$AF$11)),0)</f>
        <v>0</v>
      </c>
      <c r="AG501" s="545">
        <f ca="1">IF(AND($D501="Serviço",AG$12&lt;&gt;0,$H501&gt;0,OR(AUTOEVENTO&lt;&gt;"manual",$M501&lt;&gt;1)),
IF(Import.TipoArredondamento&lt;&gt;"TransfereGOV",
ROUND(OFFSET($P501,0,AG$13),15-13*ORÇAMENTO!$AF$7)/$H501*OFFSET(ORÇAMENTO!$X$15,ROW(AG501)-ROW(AG$15),0),
ROUND(ROUND(OFFSET($P501,0,AG$13),15-13*ORÇAMENTO!$AF$7)*OFFSET(ORÇAMENTO!$W$15,ROW(AG501)-ROW(AG$15),0),15-13*ORÇAMENTO!$AF$11)),0)</f>
        <v>0</v>
      </c>
      <c r="AH501" s="545">
        <f ca="1">IF(AND($D501="Serviço",AH$12&lt;&gt;0,$H501&gt;0,OR(AUTOEVENTO&lt;&gt;"manual",$M501&lt;&gt;1)),
IF(Import.TipoArredondamento&lt;&gt;"TransfereGOV",
ROUND(OFFSET($P501,0,AH$13),15-13*ORÇAMENTO!$AF$7)/$H501*OFFSET(ORÇAMENTO!$X$15,ROW(AH501)-ROW(AH$15),0),
ROUND(ROUND(OFFSET($P501,0,AH$13),15-13*ORÇAMENTO!$AF$7)*OFFSET(ORÇAMENTO!$W$15,ROW(AH501)-ROW(AH$15),0),15-13*ORÇAMENTO!$AF$11)),0)</f>
        <v>0</v>
      </c>
      <c r="AI501" s="545">
        <f ca="1">IF(AND($D501="Serviço",AI$12&lt;&gt;0,$H501&gt;0,OR(AUTOEVENTO&lt;&gt;"manual",$M501&lt;&gt;1)),
IF(Import.TipoArredondamento&lt;&gt;"TransfereGOV",
ROUND(OFFSET($P501,0,AI$13),15-13*ORÇAMENTO!$AF$7)/$H501*OFFSET(ORÇAMENTO!$X$15,ROW(AI501)-ROW(AI$15),0),
ROUND(ROUND(OFFSET($P501,0,AI$13),15-13*ORÇAMENTO!$AF$7)*OFFSET(ORÇAMENTO!$W$15,ROW(AI501)-ROW(AI$15),0),15-13*ORÇAMENTO!$AF$11)),0)</f>
        <v>0</v>
      </c>
      <c r="AJ501" s="545">
        <f ca="1">IF(AND($D501="Serviço",AJ$12&lt;&gt;0,$H501&gt;0,OR(AUTOEVENTO&lt;&gt;"manual",$M501&lt;&gt;1)),
IF(Import.TipoArredondamento&lt;&gt;"TransfereGOV",
ROUND(OFFSET($P501,0,AJ$13),15-13*ORÇAMENTO!$AF$7)/$H501*OFFSET(ORÇAMENTO!$X$15,ROW(AJ501)-ROW(AJ$15),0),
ROUND(ROUND(OFFSET($P501,0,AJ$13),15-13*ORÇAMENTO!$AF$7)*OFFSET(ORÇAMENTO!$W$15,ROW(AJ501)-ROW(AJ$15),0),15-13*ORÇAMENTO!$AF$11)),0)</f>
        <v>0</v>
      </c>
      <c r="AK501" s="546">
        <f ca="1">IF(AND($D501="Serviço",AK$12&lt;&gt;0,$H501&gt;0,OR(AUTOEVENTO&lt;&gt;"manual",$M501&lt;&gt;1)),
IF(Import.TipoArredondamento&lt;&gt;"TransfereGOV",
ROUND(OFFSET($P501,0,AK$13),15-13*ORÇAMENTO!$AF$7)/$H501*OFFSET(ORÇAMENTO!$X$15,ROW(AK501)-ROW(AK$15),0),
ROUND(ROUND(OFFSET($P501,0,AK$13),15-13*ORÇAMENTO!$AF$7)*OFFSET(ORÇAMENTO!$W$15,ROW(AK501)-ROW(AK$15),0),15-13*ORÇAMENTO!$AF$11)),0)</f>
        <v>0</v>
      </c>
      <c r="AM501" s="181">
        <f ca="1">IF($D501&lt;&gt;"Serviço",0,IF(AND(AUTOEVENTO="Manual",$M501=1),0,IF(OFFSET(CRONOPLE!$F$14,$M501,AM$13)="",10^12,OFFSET(CRONOPLE!$F$14,$M501,AM$13))))</f>
        <v>1000000000000</v>
      </c>
      <c r="AN501" s="181">
        <f ca="1">IF($D501&lt;&gt;"Serviço",0,IF(AND(AUTOEVENTO="Manual",$M501=1),0,IF(OFFSET(CRONOPLE!$F$14,$M501,AN$13)="",10^12,OFFSET(CRONOPLE!$F$14,$M501,AN$13))))</f>
        <v>1000000000000</v>
      </c>
      <c r="AO501" s="181">
        <f ca="1">IF($D501&lt;&gt;"Serviço",0,IF(AND(AUTOEVENTO="Manual",$M501=1),0,IF(OFFSET(CRONOPLE!$F$14,$M501,AO$13)="",10^12,OFFSET(CRONOPLE!$F$14,$M501,AO$13))))</f>
        <v>1000000000000</v>
      </c>
      <c r="AP501" s="181">
        <f ca="1">IF($D501&lt;&gt;"Serviço",0,IF(AND(AUTOEVENTO="Manual",$M501=1),0,IF(OFFSET(CRONOPLE!$F$14,$M501,AP$13)="",10^12,OFFSET(CRONOPLE!$F$14,$M501,AP$13))))</f>
        <v>1000000000000</v>
      </c>
      <c r="AQ501" s="181">
        <f ca="1">IF($D501&lt;&gt;"Serviço",0,IF(AND(AUTOEVENTO="Manual",$M501=1),0,IF(OFFSET(CRONOPLE!$F$14,$M501,AQ$13)="",10^12,OFFSET(CRONOPLE!$F$14,$M501,AQ$13))))</f>
        <v>1000000000000</v>
      </c>
      <c r="AR501" s="181">
        <f ca="1">IF($D501&lt;&gt;"Serviço",0,IF(AND(AUTOEVENTO="Manual",$M501=1),0,IF(OFFSET(CRONOPLE!$F$14,$M501,AR$13)="",10^12,OFFSET(CRONOPLE!$F$14,$M501,AR$13))))</f>
        <v>1000000000000</v>
      </c>
      <c r="AS501" s="181">
        <f ca="1">IF($D501&lt;&gt;"Serviço",0,IF(AND(AUTOEVENTO="Manual",$M501=1),0,IF(OFFSET(CRONOPLE!$F$14,$M501,AS$13)="",10^12,OFFSET(CRONOPLE!$F$14,$M501,AS$13))))</f>
        <v>1000000000000</v>
      </c>
      <c r="AT501" s="181">
        <f ca="1">IF($D501&lt;&gt;"Serviço",0,IF(AND(AUTOEVENTO="Manual",$M501=1),0,IF(OFFSET(CRONOPLE!$F$14,$M501,AT$13)="",10^12,OFFSET(CRONOPLE!$F$14,$M501,AT$13))))</f>
        <v>1000000000000</v>
      </c>
      <c r="AU501" s="181">
        <f ca="1">IF($D501&lt;&gt;"Serviço",0,IF(AND(AUTOEVENTO="Manual",$M501=1),0,IF(OFFSET(CRONOPLE!$F$14,$M501,AU$13)="",10^12,OFFSET(CRONOPLE!$F$14,$M501,AU$13))))</f>
        <v>1000000000000</v>
      </c>
      <c r="AV501" s="181">
        <f ca="1">IF($D501&lt;&gt;"Serviço",0,IF(AND(AUTOEVENTO="Manual",$M501=1),0,IF(OFFSET(CRONOPLE!$F$14,$M501,AV$13)="",10^12,OFFSET(CRONOPLE!$F$14,$M501,AV$13))))</f>
        <v>1000000000000</v>
      </c>
      <c r="AX501" s="182">
        <f ca="1">IF($D501&lt;&gt;"Serviço",0,IF(OR(AND(AUTOEVENTO="Manual",$M501=1),$M501&gt;(ROW(PLE.lastrow)-ROW(PLE.firstrow))),0,IF(OFFSET(PLE!$G$14,$M501,AX$13)="",10^12,OFFSET(PLE!$G$14,$M501,AX$13))))</f>
        <v>1000000000000</v>
      </c>
      <c r="AY501" s="182">
        <f ca="1">IF($D501&lt;&gt;"Serviço",0,IF(OR(AND(AUTOEVENTO="Manual",$M501=1),$M501&gt;(ROW(PLE.lastrow)-ROW(PLE.firstrow))),0,IF(OFFSET(PLE!$G$14,$M501,AY$13)="",10^12,OFFSET(PLE!$G$14,$M501,AY$13))))</f>
        <v>1000000000000</v>
      </c>
      <c r="AZ501" s="182">
        <f ca="1">IF($D501&lt;&gt;"Serviço",0,IF(OR(AND(AUTOEVENTO="Manual",$M501=1),$M501&gt;(ROW(PLE.lastrow)-ROW(PLE.firstrow))),0,IF(OFFSET(PLE!$G$14,$M501,AZ$13)="",10^12,OFFSET(PLE!$G$14,$M501,AZ$13))))</f>
        <v>1000000000000</v>
      </c>
      <c r="BA501" s="182">
        <f ca="1">IF($D501&lt;&gt;"Serviço",0,IF(OR(AND(AUTOEVENTO="Manual",$M501=1),$M501&gt;(ROW(PLE.lastrow)-ROW(PLE.firstrow))),0,IF(OFFSET(PLE!$G$14,$M501,BA$13)="",10^12,OFFSET(PLE!$G$14,$M501,BA$13))))</f>
        <v>1000000000000</v>
      </c>
      <c r="BB501" s="182">
        <f ca="1">IF($D501&lt;&gt;"Serviço",0,IF(OR(AND(AUTOEVENTO="Manual",$M501=1),$M501&gt;(ROW(PLE.lastrow)-ROW(PLE.firstrow))),0,IF(OFFSET(PLE!$G$14,$M501,BB$13)="",10^12,OFFSET(PLE!$G$14,$M501,BB$13))))</f>
        <v>1000000000000</v>
      </c>
      <c r="BC501" s="182">
        <f ca="1">IF($D501&lt;&gt;"Serviço",0,IF(OR(AND(AUTOEVENTO="Manual",$M501=1),$M501&gt;(ROW(PLE.lastrow)-ROW(PLE.firstrow))),0,IF(OFFSET(PLE!$G$14,$M501,BC$13)="",10^12,OFFSET(PLE!$G$14,$M501,BC$13))))</f>
        <v>1000000000000</v>
      </c>
      <c r="BD501" s="182">
        <f ca="1">IF($D501&lt;&gt;"Serviço",0,IF(OR(AND(AUTOEVENTO="Manual",$M501=1),$M501&gt;(ROW(PLE.lastrow)-ROW(PLE.firstrow))),0,IF(OFFSET(PLE!$G$14,$M501,BD$13)="",10^12,OFFSET(PLE!$G$14,$M501,BD$13))))</f>
        <v>1000000000000</v>
      </c>
      <c r="BE501" s="182">
        <f ca="1">IF($D501&lt;&gt;"Serviço",0,IF(OR(AND(AUTOEVENTO="Manual",$M501=1),$M501&gt;(ROW(PLE.lastrow)-ROW(PLE.firstrow))),0,IF(OFFSET(PLE!$G$14,$M501,BE$13)="",10^12,OFFSET(PLE!$G$14,$M501,BE$13))))</f>
        <v>1000000000000</v>
      </c>
      <c r="BF501" s="182">
        <f ca="1">IF($D501&lt;&gt;"Serviço",0,IF(OR(AND(AUTOEVENTO="Manual",$M501=1),$M501&gt;(ROW(PLE.lastrow)-ROW(PLE.firstrow))),0,IF(OFFSET(PLE!$G$14,$M501,BF$13)="",10^12,OFFSET(PLE!$G$14,$M501,BF$13))))</f>
        <v>1000000000000</v>
      </c>
      <c r="BG501" s="182">
        <f ca="1">IF($D501&lt;&gt;"Serviço",0,IF(OR(AND(AUTOEVENTO="Manual",$M501=1),$M501&gt;(ROW(PLE.lastrow)-ROW(PLE.firstrow))),0,IF(OFFSET(PLE!$G$14,$M501,BG$13)="",10^12,OFFSET(PLE!$G$14,$M501,BG$13))))</f>
        <v>1000000000000</v>
      </c>
    </row>
    <row r="502" spans="1:59" ht="25.5" x14ac:dyDescent="0.2">
      <c r="A502" s="7" t="str">
        <f t="shared" ca="1" si="11"/>
        <v>472</v>
      </c>
      <c r="B502" s="7" t="str">
        <f ca="1">OFFSET(ORÇAMENTO!C$15,ROW(B502)-ROW(B$15),0)</f>
        <v>S</v>
      </c>
      <c r="C502" s="7" t="str">
        <f ca="1">OFFSET(ORÇAMENTO!L$15,ROW(C502)-ROW(C$15),0)</f>
        <v/>
      </c>
      <c r="D502" s="118" t="str">
        <f ca="1">OFFSET(ORÇAMENTO!N$15,ROW(D502)-ROW(D$15),0)</f>
        <v>Serviço</v>
      </c>
      <c r="E502" s="119" t="str">
        <f ca="1">OFFSET(ORÇAMENTO!O$15,ROW(E502)-ROW(E$15),0)</f>
        <v>-</v>
      </c>
      <c r="F502" s="172" t="str">
        <f ca="1">OFFSET(ORÇAMENTO!R$15,ROW(F502)-ROW(F$15),0)</f>
        <v>(abra o arquivo 'Referência 02-2025.xlsm)</v>
      </c>
      <c r="G502" s="173" t="str">
        <f ca="1">IF($D502&lt;&gt;"Serviço","",OFFSET(ORÇAMENTO!S$15,ROW(G502)-ROW(G$15),0))</f>
        <v>-</v>
      </c>
      <c r="H502" s="124">
        <f ca="1">IF($D502&lt;&gt;"Serviço",0,IF(ACOMPANHAMENTO="BM",ROUND(OFFSET(ORÇAMENTO!AJ$15,ROW(H502)-ROW(H$15),0),15-13*ORÇAMENTO!$AF$7),SUMPRODUCT(($Q$12:$AA$12&lt;&gt;"")*ROUND($Q502:$AA502,15-13*ORÇAMENTO!$AF$7))))</f>
        <v>12</v>
      </c>
      <c r="I502" s="561" t="s">
        <v>890</v>
      </c>
      <c r="K502" s="174"/>
      <c r="L502" s="175" t="s">
        <v>255</v>
      </c>
      <c r="M502" s="176">
        <f ca="1">IF($D502&lt;&gt;"Serviço","",IF(AUTOEVENTO="manual",$A502,IF(ISERROR(MATCH($A502,$A$15:OFFSET($A502,-1,0),0)),MAX($M$15:OFFSET(M502,-1,0))+1,INDEX($M$15:OFFSET(M502,-1,0),MATCH($A502,$A$15:OFFSET($A502,-1,0),0)))))</f>
        <v>18</v>
      </c>
      <c r="N502" s="177" t="str">
        <f ca="1">IF($D502&lt;&gt;"Serviço","",IF(AUTOEVENTO="Manual",IF($A502=0,"&lt;-- defina o número do agrupador",OFFSET(EVENTOS!$D$14,$A502,0)),OFFSET($F$15,$A502,0)))</f>
        <v>INSTALAÇÕES ELÉTRICAS - 220V</v>
      </c>
      <c r="O502" s="178"/>
      <c r="Q502" s="178"/>
      <c r="R502" s="179"/>
      <c r="S502" s="179"/>
      <c r="T502" s="179"/>
      <c r="U502" s="179"/>
      <c r="V502" s="179"/>
      <c r="W502" s="179"/>
      <c r="X502" s="179"/>
      <c r="Y502" s="179"/>
      <c r="Z502" s="180"/>
      <c r="AB502" s="544">
        <f ca="1">IF(AND($D502="Serviço",AB$12&lt;&gt;0,$H502&gt;0,OR(AUTOEVENTO&lt;&gt;"manual",$M502&lt;&gt;1)),
IF(Import.TipoArredondamento&lt;&gt;"TransfereGOV",
ROUND(OFFSET($P502,0,AB$13),15-13*ORÇAMENTO!$AF$7)/$H502*OFFSET(ORÇAMENTO!$X$15,ROW(AB502)-ROW(AB$15),0),
ROUND(ROUND(OFFSET($P502,0,AB$13),15-13*ORÇAMENTO!$AF$7)*OFFSET(ORÇAMENTO!$W$15,ROW(AB502)-ROW(AB$15),0),15-13*ORÇAMENTO!$AF$11)),0)</f>
        <v>0</v>
      </c>
      <c r="AC502" s="545">
        <f ca="1">IF(AND($D502="Serviço",AC$12&lt;&gt;0,$H502&gt;0,OR(AUTOEVENTO&lt;&gt;"manual",$M502&lt;&gt;1)),
IF(Import.TipoArredondamento&lt;&gt;"TransfereGOV",
ROUND(OFFSET($P502,0,AC$13),15-13*ORÇAMENTO!$AF$7)/$H502*OFFSET(ORÇAMENTO!$X$15,ROW(AC502)-ROW(AC$15),0),
ROUND(ROUND(OFFSET($P502,0,AC$13),15-13*ORÇAMENTO!$AF$7)*OFFSET(ORÇAMENTO!$W$15,ROW(AC502)-ROW(AC$15),0),15-13*ORÇAMENTO!$AF$11)),0)</f>
        <v>0</v>
      </c>
      <c r="AD502" s="545">
        <f ca="1">IF(AND($D502="Serviço",AD$12&lt;&gt;0,$H502&gt;0,OR(AUTOEVENTO&lt;&gt;"manual",$M502&lt;&gt;1)),
IF(Import.TipoArredondamento&lt;&gt;"TransfereGOV",
ROUND(OFFSET($P502,0,AD$13),15-13*ORÇAMENTO!$AF$7)/$H502*OFFSET(ORÇAMENTO!$X$15,ROW(AD502)-ROW(AD$15),0),
ROUND(ROUND(OFFSET($P502,0,AD$13),15-13*ORÇAMENTO!$AF$7)*OFFSET(ORÇAMENTO!$W$15,ROW(AD502)-ROW(AD$15),0),15-13*ORÇAMENTO!$AF$11)),0)</f>
        <v>0</v>
      </c>
      <c r="AE502" s="545">
        <f ca="1">IF(AND($D502="Serviço",AE$12&lt;&gt;0,$H502&gt;0,OR(AUTOEVENTO&lt;&gt;"manual",$M502&lt;&gt;1)),
IF(Import.TipoArredondamento&lt;&gt;"TransfereGOV",
ROUND(OFFSET($P502,0,AE$13),15-13*ORÇAMENTO!$AF$7)/$H502*OFFSET(ORÇAMENTO!$X$15,ROW(AE502)-ROW(AE$15),0),
ROUND(ROUND(OFFSET($P502,0,AE$13),15-13*ORÇAMENTO!$AF$7)*OFFSET(ORÇAMENTO!$W$15,ROW(AE502)-ROW(AE$15),0),15-13*ORÇAMENTO!$AF$11)),0)</f>
        <v>0</v>
      </c>
      <c r="AF502" s="545">
        <f ca="1">IF(AND($D502="Serviço",AF$12&lt;&gt;0,$H502&gt;0,OR(AUTOEVENTO&lt;&gt;"manual",$M502&lt;&gt;1)),
IF(Import.TipoArredondamento&lt;&gt;"TransfereGOV",
ROUND(OFFSET($P502,0,AF$13),15-13*ORÇAMENTO!$AF$7)/$H502*OFFSET(ORÇAMENTO!$X$15,ROW(AF502)-ROW(AF$15),0),
ROUND(ROUND(OFFSET($P502,0,AF$13),15-13*ORÇAMENTO!$AF$7)*OFFSET(ORÇAMENTO!$W$15,ROW(AF502)-ROW(AF$15),0),15-13*ORÇAMENTO!$AF$11)),0)</f>
        <v>0</v>
      </c>
      <c r="AG502" s="545">
        <f ca="1">IF(AND($D502="Serviço",AG$12&lt;&gt;0,$H502&gt;0,OR(AUTOEVENTO&lt;&gt;"manual",$M502&lt;&gt;1)),
IF(Import.TipoArredondamento&lt;&gt;"TransfereGOV",
ROUND(OFFSET($P502,0,AG$13),15-13*ORÇAMENTO!$AF$7)/$H502*OFFSET(ORÇAMENTO!$X$15,ROW(AG502)-ROW(AG$15),0),
ROUND(ROUND(OFFSET($P502,0,AG$13),15-13*ORÇAMENTO!$AF$7)*OFFSET(ORÇAMENTO!$W$15,ROW(AG502)-ROW(AG$15),0),15-13*ORÇAMENTO!$AF$11)),0)</f>
        <v>0</v>
      </c>
      <c r="AH502" s="545">
        <f ca="1">IF(AND($D502="Serviço",AH$12&lt;&gt;0,$H502&gt;0,OR(AUTOEVENTO&lt;&gt;"manual",$M502&lt;&gt;1)),
IF(Import.TipoArredondamento&lt;&gt;"TransfereGOV",
ROUND(OFFSET($P502,0,AH$13),15-13*ORÇAMENTO!$AF$7)/$H502*OFFSET(ORÇAMENTO!$X$15,ROW(AH502)-ROW(AH$15),0),
ROUND(ROUND(OFFSET($P502,0,AH$13),15-13*ORÇAMENTO!$AF$7)*OFFSET(ORÇAMENTO!$W$15,ROW(AH502)-ROW(AH$15),0),15-13*ORÇAMENTO!$AF$11)),0)</f>
        <v>0</v>
      </c>
      <c r="AI502" s="545">
        <f ca="1">IF(AND($D502="Serviço",AI$12&lt;&gt;0,$H502&gt;0,OR(AUTOEVENTO&lt;&gt;"manual",$M502&lt;&gt;1)),
IF(Import.TipoArredondamento&lt;&gt;"TransfereGOV",
ROUND(OFFSET($P502,0,AI$13),15-13*ORÇAMENTO!$AF$7)/$H502*OFFSET(ORÇAMENTO!$X$15,ROW(AI502)-ROW(AI$15),0),
ROUND(ROUND(OFFSET($P502,0,AI$13),15-13*ORÇAMENTO!$AF$7)*OFFSET(ORÇAMENTO!$W$15,ROW(AI502)-ROW(AI$15),0),15-13*ORÇAMENTO!$AF$11)),0)</f>
        <v>0</v>
      </c>
      <c r="AJ502" s="545">
        <f ca="1">IF(AND($D502="Serviço",AJ$12&lt;&gt;0,$H502&gt;0,OR(AUTOEVENTO&lt;&gt;"manual",$M502&lt;&gt;1)),
IF(Import.TipoArredondamento&lt;&gt;"TransfereGOV",
ROUND(OFFSET($P502,0,AJ$13),15-13*ORÇAMENTO!$AF$7)/$H502*OFFSET(ORÇAMENTO!$X$15,ROW(AJ502)-ROW(AJ$15),0),
ROUND(ROUND(OFFSET($P502,0,AJ$13),15-13*ORÇAMENTO!$AF$7)*OFFSET(ORÇAMENTO!$W$15,ROW(AJ502)-ROW(AJ$15),0),15-13*ORÇAMENTO!$AF$11)),0)</f>
        <v>0</v>
      </c>
      <c r="AK502" s="546">
        <f ca="1">IF(AND($D502="Serviço",AK$12&lt;&gt;0,$H502&gt;0,OR(AUTOEVENTO&lt;&gt;"manual",$M502&lt;&gt;1)),
IF(Import.TipoArredondamento&lt;&gt;"TransfereGOV",
ROUND(OFFSET($P502,0,AK$13),15-13*ORÇAMENTO!$AF$7)/$H502*OFFSET(ORÇAMENTO!$X$15,ROW(AK502)-ROW(AK$15),0),
ROUND(ROUND(OFFSET($P502,0,AK$13),15-13*ORÇAMENTO!$AF$7)*OFFSET(ORÇAMENTO!$W$15,ROW(AK502)-ROW(AK$15),0),15-13*ORÇAMENTO!$AF$11)),0)</f>
        <v>0</v>
      </c>
      <c r="AM502" s="181">
        <f ca="1">IF($D502&lt;&gt;"Serviço",0,IF(AND(AUTOEVENTO="Manual",$M502=1),0,IF(OFFSET(CRONOPLE!$F$14,$M502,AM$13)="",10^12,OFFSET(CRONOPLE!$F$14,$M502,AM$13))))</f>
        <v>1000000000000</v>
      </c>
      <c r="AN502" s="181">
        <f ca="1">IF($D502&lt;&gt;"Serviço",0,IF(AND(AUTOEVENTO="Manual",$M502=1),0,IF(OFFSET(CRONOPLE!$F$14,$M502,AN$13)="",10^12,OFFSET(CRONOPLE!$F$14,$M502,AN$13))))</f>
        <v>1000000000000</v>
      </c>
      <c r="AO502" s="181">
        <f ca="1">IF($D502&lt;&gt;"Serviço",0,IF(AND(AUTOEVENTO="Manual",$M502=1),0,IF(OFFSET(CRONOPLE!$F$14,$M502,AO$13)="",10^12,OFFSET(CRONOPLE!$F$14,$M502,AO$13))))</f>
        <v>1000000000000</v>
      </c>
      <c r="AP502" s="181">
        <f ca="1">IF($D502&lt;&gt;"Serviço",0,IF(AND(AUTOEVENTO="Manual",$M502=1),0,IF(OFFSET(CRONOPLE!$F$14,$M502,AP$13)="",10^12,OFFSET(CRONOPLE!$F$14,$M502,AP$13))))</f>
        <v>1000000000000</v>
      </c>
      <c r="AQ502" s="181">
        <f ca="1">IF($D502&lt;&gt;"Serviço",0,IF(AND(AUTOEVENTO="Manual",$M502=1),0,IF(OFFSET(CRONOPLE!$F$14,$M502,AQ$13)="",10^12,OFFSET(CRONOPLE!$F$14,$M502,AQ$13))))</f>
        <v>1000000000000</v>
      </c>
      <c r="AR502" s="181">
        <f ca="1">IF($D502&lt;&gt;"Serviço",0,IF(AND(AUTOEVENTO="Manual",$M502=1),0,IF(OFFSET(CRONOPLE!$F$14,$M502,AR$13)="",10^12,OFFSET(CRONOPLE!$F$14,$M502,AR$13))))</f>
        <v>1000000000000</v>
      </c>
      <c r="AS502" s="181">
        <f ca="1">IF($D502&lt;&gt;"Serviço",0,IF(AND(AUTOEVENTO="Manual",$M502=1),0,IF(OFFSET(CRONOPLE!$F$14,$M502,AS$13)="",10^12,OFFSET(CRONOPLE!$F$14,$M502,AS$13))))</f>
        <v>1000000000000</v>
      </c>
      <c r="AT502" s="181">
        <f ca="1">IF($D502&lt;&gt;"Serviço",0,IF(AND(AUTOEVENTO="Manual",$M502=1),0,IF(OFFSET(CRONOPLE!$F$14,$M502,AT$13)="",10^12,OFFSET(CRONOPLE!$F$14,$M502,AT$13))))</f>
        <v>1000000000000</v>
      </c>
      <c r="AU502" s="181">
        <f ca="1">IF($D502&lt;&gt;"Serviço",0,IF(AND(AUTOEVENTO="Manual",$M502=1),0,IF(OFFSET(CRONOPLE!$F$14,$M502,AU$13)="",10^12,OFFSET(CRONOPLE!$F$14,$M502,AU$13))))</f>
        <v>1000000000000</v>
      </c>
      <c r="AV502" s="181">
        <f ca="1">IF($D502&lt;&gt;"Serviço",0,IF(AND(AUTOEVENTO="Manual",$M502=1),0,IF(OFFSET(CRONOPLE!$F$14,$M502,AV$13)="",10^12,OFFSET(CRONOPLE!$F$14,$M502,AV$13))))</f>
        <v>1000000000000</v>
      </c>
      <c r="AX502" s="182">
        <f ca="1">IF($D502&lt;&gt;"Serviço",0,IF(OR(AND(AUTOEVENTO="Manual",$M502=1),$M502&gt;(ROW(PLE.lastrow)-ROW(PLE.firstrow))),0,IF(OFFSET(PLE!$G$14,$M502,AX$13)="",10^12,OFFSET(PLE!$G$14,$M502,AX$13))))</f>
        <v>1000000000000</v>
      </c>
      <c r="AY502" s="182">
        <f ca="1">IF($D502&lt;&gt;"Serviço",0,IF(OR(AND(AUTOEVENTO="Manual",$M502=1),$M502&gt;(ROW(PLE.lastrow)-ROW(PLE.firstrow))),0,IF(OFFSET(PLE!$G$14,$M502,AY$13)="",10^12,OFFSET(PLE!$G$14,$M502,AY$13))))</f>
        <v>1000000000000</v>
      </c>
      <c r="AZ502" s="182">
        <f ca="1">IF($D502&lt;&gt;"Serviço",0,IF(OR(AND(AUTOEVENTO="Manual",$M502=1),$M502&gt;(ROW(PLE.lastrow)-ROW(PLE.firstrow))),0,IF(OFFSET(PLE!$G$14,$M502,AZ$13)="",10^12,OFFSET(PLE!$G$14,$M502,AZ$13))))</f>
        <v>1000000000000</v>
      </c>
      <c r="BA502" s="182">
        <f ca="1">IF($D502&lt;&gt;"Serviço",0,IF(OR(AND(AUTOEVENTO="Manual",$M502=1),$M502&gt;(ROW(PLE.lastrow)-ROW(PLE.firstrow))),0,IF(OFFSET(PLE!$G$14,$M502,BA$13)="",10^12,OFFSET(PLE!$G$14,$M502,BA$13))))</f>
        <v>1000000000000</v>
      </c>
      <c r="BB502" s="182">
        <f ca="1">IF($D502&lt;&gt;"Serviço",0,IF(OR(AND(AUTOEVENTO="Manual",$M502=1),$M502&gt;(ROW(PLE.lastrow)-ROW(PLE.firstrow))),0,IF(OFFSET(PLE!$G$14,$M502,BB$13)="",10^12,OFFSET(PLE!$G$14,$M502,BB$13))))</f>
        <v>1000000000000</v>
      </c>
      <c r="BC502" s="182">
        <f ca="1">IF($D502&lt;&gt;"Serviço",0,IF(OR(AND(AUTOEVENTO="Manual",$M502=1),$M502&gt;(ROW(PLE.lastrow)-ROW(PLE.firstrow))),0,IF(OFFSET(PLE!$G$14,$M502,BC$13)="",10^12,OFFSET(PLE!$G$14,$M502,BC$13))))</f>
        <v>1000000000000</v>
      </c>
      <c r="BD502" s="182">
        <f ca="1">IF($D502&lt;&gt;"Serviço",0,IF(OR(AND(AUTOEVENTO="Manual",$M502=1),$M502&gt;(ROW(PLE.lastrow)-ROW(PLE.firstrow))),0,IF(OFFSET(PLE!$G$14,$M502,BD$13)="",10^12,OFFSET(PLE!$G$14,$M502,BD$13))))</f>
        <v>1000000000000</v>
      </c>
      <c r="BE502" s="182">
        <f ca="1">IF($D502&lt;&gt;"Serviço",0,IF(OR(AND(AUTOEVENTO="Manual",$M502=1),$M502&gt;(ROW(PLE.lastrow)-ROW(PLE.firstrow))),0,IF(OFFSET(PLE!$G$14,$M502,BE$13)="",10^12,OFFSET(PLE!$G$14,$M502,BE$13))))</f>
        <v>1000000000000</v>
      </c>
      <c r="BF502" s="182">
        <f ca="1">IF($D502&lt;&gt;"Serviço",0,IF(OR(AND(AUTOEVENTO="Manual",$M502=1),$M502&gt;(ROW(PLE.lastrow)-ROW(PLE.firstrow))),0,IF(OFFSET(PLE!$G$14,$M502,BF$13)="",10^12,OFFSET(PLE!$G$14,$M502,BF$13))))</f>
        <v>1000000000000</v>
      </c>
      <c r="BG502" s="182">
        <f ca="1">IF($D502&lt;&gt;"Serviço",0,IF(OR(AND(AUTOEVENTO="Manual",$M502=1),$M502&gt;(ROW(PLE.lastrow)-ROW(PLE.firstrow))),0,IF(OFFSET(PLE!$G$14,$M502,BG$13)="",10^12,OFFSET(PLE!$G$14,$M502,BG$13))))</f>
        <v>1000000000000</v>
      </c>
    </row>
    <row r="503" spans="1:59" ht="38.25" x14ac:dyDescent="0.2">
      <c r="A503" s="7" t="str">
        <f t="shared" ca="1" si="11"/>
        <v>472</v>
      </c>
      <c r="B503" s="7" t="str">
        <f ca="1">OFFSET(ORÇAMENTO!C$15,ROW(B503)-ROW(B$15),0)</f>
        <v>S</v>
      </c>
      <c r="C503" s="7" t="str">
        <f ca="1">OFFSET(ORÇAMENTO!L$15,ROW(C503)-ROW(C$15),0)</f>
        <v/>
      </c>
      <c r="D503" s="118" t="str">
        <f ca="1">OFFSET(ORÇAMENTO!N$15,ROW(D503)-ROW(D$15),0)</f>
        <v>Serviço</v>
      </c>
      <c r="E503" s="119" t="str">
        <f ca="1">OFFSET(ORÇAMENTO!O$15,ROW(E503)-ROW(E$15),0)</f>
        <v>-</v>
      </c>
      <c r="F503" s="172" t="str">
        <f ca="1">OFFSET(ORÇAMENTO!R$15,ROW(F503)-ROW(F$15),0)</f>
        <v>(abra o arquivo 'Referência 02-2025.xlsm)</v>
      </c>
      <c r="G503" s="173" t="str">
        <f ca="1">IF($D503&lt;&gt;"Serviço","",OFFSET(ORÇAMENTO!S$15,ROW(G503)-ROW(G$15),0))</f>
        <v>-</v>
      </c>
      <c r="H503" s="124">
        <f ca="1">IF($D503&lt;&gt;"Serviço",0,IF(ACOMPANHAMENTO="BM",ROUND(OFFSET(ORÇAMENTO!AJ$15,ROW(H503)-ROW(H$15),0),15-13*ORÇAMENTO!$AF$7),SUMPRODUCT(($Q$12:$AA$12&lt;&gt;"")*ROUND($Q503:$AA503,15-13*ORÇAMENTO!$AF$7))))</f>
        <v>1132</v>
      </c>
      <c r="I503" s="561" t="s">
        <v>890</v>
      </c>
      <c r="K503" s="174"/>
      <c r="L503" s="175" t="s">
        <v>255</v>
      </c>
      <c r="M503" s="176">
        <f ca="1">IF($D503&lt;&gt;"Serviço","",IF(AUTOEVENTO="manual",$A503,IF(ISERROR(MATCH($A503,$A$15:OFFSET($A503,-1,0),0)),MAX($M$15:OFFSET(M503,-1,0))+1,INDEX($M$15:OFFSET(M503,-1,0),MATCH($A503,$A$15:OFFSET($A503,-1,0),0)))))</f>
        <v>18</v>
      </c>
      <c r="N503" s="177" t="str">
        <f ca="1">IF($D503&lt;&gt;"Serviço","",IF(AUTOEVENTO="Manual",IF($A503=0,"&lt;-- defina o número do agrupador",OFFSET(EVENTOS!$D$14,$A503,0)),OFFSET($F$15,$A503,0)))</f>
        <v>INSTALAÇÕES ELÉTRICAS - 220V</v>
      </c>
      <c r="O503" s="178"/>
      <c r="Q503" s="178"/>
      <c r="R503" s="179"/>
      <c r="S503" s="179"/>
      <c r="T503" s="179"/>
      <c r="U503" s="179"/>
      <c r="V503" s="179"/>
      <c r="W503" s="179"/>
      <c r="X503" s="179"/>
      <c r="Y503" s="179"/>
      <c r="Z503" s="180"/>
      <c r="AB503" s="544">
        <f ca="1">IF(AND($D503="Serviço",AB$12&lt;&gt;0,$H503&gt;0,OR(AUTOEVENTO&lt;&gt;"manual",$M503&lt;&gt;1)),
IF(Import.TipoArredondamento&lt;&gt;"TransfereGOV",
ROUND(OFFSET($P503,0,AB$13),15-13*ORÇAMENTO!$AF$7)/$H503*OFFSET(ORÇAMENTO!$X$15,ROW(AB503)-ROW(AB$15),0),
ROUND(ROUND(OFFSET($P503,0,AB$13),15-13*ORÇAMENTO!$AF$7)*OFFSET(ORÇAMENTO!$W$15,ROW(AB503)-ROW(AB$15),0),15-13*ORÇAMENTO!$AF$11)),0)</f>
        <v>0</v>
      </c>
      <c r="AC503" s="545">
        <f ca="1">IF(AND($D503="Serviço",AC$12&lt;&gt;0,$H503&gt;0,OR(AUTOEVENTO&lt;&gt;"manual",$M503&lt;&gt;1)),
IF(Import.TipoArredondamento&lt;&gt;"TransfereGOV",
ROUND(OFFSET($P503,0,AC$13),15-13*ORÇAMENTO!$AF$7)/$H503*OFFSET(ORÇAMENTO!$X$15,ROW(AC503)-ROW(AC$15),0),
ROUND(ROUND(OFFSET($P503,0,AC$13),15-13*ORÇAMENTO!$AF$7)*OFFSET(ORÇAMENTO!$W$15,ROW(AC503)-ROW(AC$15),0),15-13*ORÇAMENTO!$AF$11)),0)</f>
        <v>0</v>
      </c>
      <c r="AD503" s="545">
        <f ca="1">IF(AND($D503="Serviço",AD$12&lt;&gt;0,$H503&gt;0,OR(AUTOEVENTO&lt;&gt;"manual",$M503&lt;&gt;1)),
IF(Import.TipoArredondamento&lt;&gt;"TransfereGOV",
ROUND(OFFSET($P503,0,AD$13),15-13*ORÇAMENTO!$AF$7)/$H503*OFFSET(ORÇAMENTO!$X$15,ROW(AD503)-ROW(AD$15),0),
ROUND(ROUND(OFFSET($P503,0,AD$13),15-13*ORÇAMENTO!$AF$7)*OFFSET(ORÇAMENTO!$W$15,ROW(AD503)-ROW(AD$15),0),15-13*ORÇAMENTO!$AF$11)),0)</f>
        <v>0</v>
      </c>
      <c r="AE503" s="545">
        <f ca="1">IF(AND($D503="Serviço",AE$12&lt;&gt;0,$H503&gt;0,OR(AUTOEVENTO&lt;&gt;"manual",$M503&lt;&gt;1)),
IF(Import.TipoArredondamento&lt;&gt;"TransfereGOV",
ROUND(OFFSET($P503,0,AE$13),15-13*ORÇAMENTO!$AF$7)/$H503*OFFSET(ORÇAMENTO!$X$15,ROW(AE503)-ROW(AE$15),0),
ROUND(ROUND(OFFSET($P503,0,AE$13),15-13*ORÇAMENTO!$AF$7)*OFFSET(ORÇAMENTO!$W$15,ROW(AE503)-ROW(AE$15),0),15-13*ORÇAMENTO!$AF$11)),0)</f>
        <v>0</v>
      </c>
      <c r="AF503" s="545">
        <f ca="1">IF(AND($D503="Serviço",AF$12&lt;&gt;0,$H503&gt;0,OR(AUTOEVENTO&lt;&gt;"manual",$M503&lt;&gt;1)),
IF(Import.TipoArredondamento&lt;&gt;"TransfereGOV",
ROUND(OFFSET($P503,0,AF$13),15-13*ORÇAMENTO!$AF$7)/$H503*OFFSET(ORÇAMENTO!$X$15,ROW(AF503)-ROW(AF$15),0),
ROUND(ROUND(OFFSET($P503,0,AF$13),15-13*ORÇAMENTO!$AF$7)*OFFSET(ORÇAMENTO!$W$15,ROW(AF503)-ROW(AF$15),0),15-13*ORÇAMENTO!$AF$11)),0)</f>
        <v>0</v>
      </c>
      <c r="AG503" s="545">
        <f ca="1">IF(AND($D503="Serviço",AG$12&lt;&gt;0,$H503&gt;0,OR(AUTOEVENTO&lt;&gt;"manual",$M503&lt;&gt;1)),
IF(Import.TipoArredondamento&lt;&gt;"TransfereGOV",
ROUND(OFFSET($P503,0,AG$13),15-13*ORÇAMENTO!$AF$7)/$H503*OFFSET(ORÇAMENTO!$X$15,ROW(AG503)-ROW(AG$15),0),
ROUND(ROUND(OFFSET($P503,0,AG$13),15-13*ORÇAMENTO!$AF$7)*OFFSET(ORÇAMENTO!$W$15,ROW(AG503)-ROW(AG$15),0),15-13*ORÇAMENTO!$AF$11)),0)</f>
        <v>0</v>
      </c>
      <c r="AH503" s="545">
        <f ca="1">IF(AND($D503="Serviço",AH$12&lt;&gt;0,$H503&gt;0,OR(AUTOEVENTO&lt;&gt;"manual",$M503&lt;&gt;1)),
IF(Import.TipoArredondamento&lt;&gt;"TransfereGOV",
ROUND(OFFSET($P503,0,AH$13),15-13*ORÇAMENTO!$AF$7)/$H503*OFFSET(ORÇAMENTO!$X$15,ROW(AH503)-ROW(AH$15),0),
ROUND(ROUND(OFFSET($P503,0,AH$13),15-13*ORÇAMENTO!$AF$7)*OFFSET(ORÇAMENTO!$W$15,ROW(AH503)-ROW(AH$15),0),15-13*ORÇAMENTO!$AF$11)),0)</f>
        <v>0</v>
      </c>
      <c r="AI503" s="545">
        <f ca="1">IF(AND($D503="Serviço",AI$12&lt;&gt;0,$H503&gt;0,OR(AUTOEVENTO&lt;&gt;"manual",$M503&lt;&gt;1)),
IF(Import.TipoArredondamento&lt;&gt;"TransfereGOV",
ROUND(OFFSET($P503,0,AI$13),15-13*ORÇAMENTO!$AF$7)/$H503*OFFSET(ORÇAMENTO!$X$15,ROW(AI503)-ROW(AI$15),0),
ROUND(ROUND(OFFSET($P503,0,AI$13),15-13*ORÇAMENTO!$AF$7)*OFFSET(ORÇAMENTO!$W$15,ROW(AI503)-ROW(AI$15),0),15-13*ORÇAMENTO!$AF$11)),0)</f>
        <v>0</v>
      </c>
      <c r="AJ503" s="545">
        <f ca="1">IF(AND($D503="Serviço",AJ$12&lt;&gt;0,$H503&gt;0,OR(AUTOEVENTO&lt;&gt;"manual",$M503&lt;&gt;1)),
IF(Import.TipoArredondamento&lt;&gt;"TransfereGOV",
ROUND(OFFSET($P503,0,AJ$13),15-13*ORÇAMENTO!$AF$7)/$H503*OFFSET(ORÇAMENTO!$X$15,ROW(AJ503)-ROW(AJ$15),0),
ROUND(ROUND(OFFSET($P503,0,AJ$13),15-13*ORÇAMENTO!$AF$7)*OFFSET(ORÇAMENTO!$W$15,ROW(AJ503)-ROW(AJ$15),0),15-13*ORÇAMENTO!$AF$11)),0)</f>
        <v>0</v>
      </c>
      <c r="AK503" s="546">
        <f ca="1">IF(AND($D503="Serviço",AK$12&lt;&gt;0,$H503&gt;0,OR(AUTOEVENTO&lt;&gt;"manual",$M503&lt;&gt;1)),
IF(Import.TipoArredondamento&lt;&gt;"TransfereGOV",
ROUND(OFFSET($P503,0,AK$13),15-13*ORÇAMENTO!$AF$7)/$H503*OFFSET(ORÇAMENTO!$X$15,ROW(AK503)-ROW(AK$15),0),
ROUND(ROUND(OFFSET($P503,0,AK$13),15-13*ORÇAMENTO!$AF$7)*OFFSET(ORÇAMENTO!$W$15,ROW(AK503)-ROW(AK$15),0),15-13*ORÇAMENTO!$AF$11)),0)</f>
        <v>0</v>
      </c>
      <c r="AM503" s="181">
        <f ca="1">IF($D503&lt;&gt;"Serviço",0,IF(AND(AUTOEVENTO="Manual",$M503=1),0,IF(OFFSET(CRONOPLE!$F$14,$M503,AM$13)="",10^12,OFFSET(CRONOPLE!$F$14,$M503,AM$13))))</f>
        <v>1000000000000</v>
      </c>
      <c r="AN503" s="181">
        <f ca="1">IF($D503&lt;&gt;"Serviço",0,IF(AND(AUTOEVENTO="Manual",$M503=1),0,IF(OFFSET(CRONOPLE!$F$14,$M503,AN$13)="",10^12,OFFSET(CRONOPLE!$F$14,$M503,AN$13))))</f>
        <v>1000000000000</v>
      </c>
      <c r="AO503" s="181">
        <f ca="1">IF($D503&lt;&gt;"Serviço",0,IF(AND(AUTOEVENTO="Manual",$M503=1),0,IF(OFFSET(CRONOPLE!$F$14,$M503,AO$13)="",10^12,OFFSET(CRONOPLE!$F$14,$M503,AO$13))))</f>
        <v>1000000000000</v>
      </c>
      <c r="AP503" s="181">
        <f ca="1">IF($D503&lt;&gt;"Serviço",0,IF(AND(AUTOEVENTO="Manual",$M503=1),0,IF(OFFSET(CRONOPLE!$F$14,$M503,AP$13)="",10^12,OFFSET(CRONOPLE!$F$14,$M503,AP$13))))</f>
        <v>1000000000000</v>
      </c>
      <c r="AQ503" s="181">
        <f ca="1">IF($D503&lt;&gt;"Serviço",0,IF(AND(AUTOEVENTO="Manual",$M503=1),0,IF(OFFSET(CRONOPLE!$F$14,$M503,AQ$13)="",10^12,OFFSET(CRONOPLE!$F$14,$M503,AQ$13))))</f>
        <v>1000000000000</v>
      </c>
      <c r="AR503" s="181">
        <f ca="1">IF($D503&lt;&gt;"Serviço",0,IF(AND(AUTOEVENTO="Manual",$M503=1),0,IF(OFFSET(CRONOPLE!$F$14,$M503,AR$13)="",10^12,OFFSET(CRONOPLE!$F$14,$M503,AR$13))))</f>
        <v>1000000000000</v>
      </c>
      <c r="AS503" s="181">
        <f ca="1">IF($D503&lt;&gt;"Serviço",0,IF(AND(AUTOEVENTO="Manual",$M503=1),0,IF(OFFSET(CRONOPLE!$F$14,$M503,AS$13)="",10^12,OFFSET(CRONOPLE!$F$14,$M503,AS$13))))</f>
        <v>1000000000000</v>
      </c>
      <c r="AT503" s="181">
        <f ca="1">IF($D503&lt;&gt;"Serviço",0,IF(AND(AUTOEVENTO="Manual",$M503=1),0,IF(OFFSET(CRONOPLE!$F$14,$M503,AT$13)="",10^12,OFFSET(CRONOPLE!$F$14,$M503,AT$13))))</f>
        <v>1000000000000</v>
      </c>
      <c r="AU503" s="181">
        <f ca="1">IF($D503&lt;&gt;"Serviço",0,IF(AND(AUTOEVENTO="Manual",$M503=1),0,IF(OFFSET(CRONOPLE!$F$14,$M503,AU$13)="",10^12,OFFSET(CRONOPLE!$F$14,$M503,AU$13))))</f>
        <v>1000000000000</v>
      </c>
      <c r="AV503" s="181">
        <f ca="1">IF($D503&lt;&gt;"Serviço",0,IF(AND(AUTOEVENTO="Manual",$M503=1),0,IF(OFFSET(CRONOPLE!$F$14,$M503,AV$13)="",10^12,OFFSET(CRONOPLE!$F$14,$M503,AV$13))))</f>
        <v>1000000000000</v>
      </c>
      <c r="AX503" s="182">
        <f ca="1">IF($D503&lt;&gt;"Serviço",0,IF(OR(AND(AUTOEVENTO="Manual",$M503=1),$M503&gt;(ROW(PLE.lastrow)-ROW(PLE.firstrow))),0,IF(OFFSET(PLE!$G$14,$M503,AX$13)="",10^12,OFFSET(PLE!$G$14,$M503,AX$13))))</f>
        <v>1000000000000</v>
      </c>
      <c r="AY503" s="182">
        <f ca="1">IF($D503&lt;&gt;"Serviço",0,IF(OR(AND(AUTOEVENTO="Manual",$M503=1),$M503&gt;(ROW(PLE.lastrow)-ROW(PLE.firstrow))),0,IF(OFFSET(PLE!$G$14,$M503,AY$13)="",10^12,OFFSET(PLE!$G$14,$M503,AY$13))))</f>
        <v>1000000000000</v>
      </c>
      <c r="AZ503" s="182">
        <f ca="1">IF($D503&lt;&gt;"Serviço",0,IF(OR(AND(AUTOEVENTO="Manual",$M503=1),$M503&gt;(ROW(PLE.lastrow)-ROW(PLE.firstrow))),0,IF(OFFSET(PLE!$G$14,$M503,AZ$13)="",10^12,OFFSET(PLE!$G$14,$M503,AZ$13))))</f>
        <v>1000000000000</v>
      </c>
      <c r="BA503" s="182">
        <f ca="1">IF($D503&lt;&gt;"Serviço",0,IF(OR(AND(AUTOEVENTO="Manual",$M503=1),$M503&gt;(ROW(PLE.lastrow)-ROW(PLE.firstrow))),0,IF(OFFSET(PLE!$G$14,$M503,BA$13)="",10^12,OFFSET(PLE!$G$14,$M503,BA$13))))</f>
        <v>1000000000000</v>
      </c>
      <c r="BB503" s="182">
        <f ca="1">IF($D503&lt;&gt;"Serviço",0,IF(OR(AND(AUTOEVENTO="Manual",$M503=1),$M503&gt;(ROW(PLE.lastrow)-ROW(PLE.firstrow))),0,IF(OFFSET(PLE!$G$14,$M503,BB$13)="",10^12,OFFSET(PLE!$G$14,$M503,BB$13))))</f>
        <v>1000000000000</v>
      </c>
      <c r="BC503" s="182">
        <f ca="1">IF($D503&lt;&gt;"Serviço",0,IF(OR(AND(AUTOEVENTO="Manual",$M503=1),$M503&gt;(ROW(PLE.lastrow)-ROW(PLE.firstrow))),0,IF(OFFSET(PLE!$G$14,$M503,BC$13)="",10^12,OFFSET(PLE!$G$14,$M503,BC$13))))</f>
        <v>1000000000000</v>
      </c>
      <c r="BD503" s="182">
        <f ca="1">IF($D503&lt;&gt;"Serviço",0,IF(OR(AND(AUTOEVENTO="Manual",$M503=1),$M503&gt;(ROW(PLE.lastrow)-ROW(PLE.firstrow))),0,IF(OFFSET(PLE!$G$14,$M503,BD$13)="",10^12,OFFSET(PLE!$G$14,$M503,BD$13))))</f>
        <v>1000000000000</v>
      </c>
      <c r="BE503" s="182">
        <f ca="1">IF($D503&lt;&gt;"Serviço",0,IF(OR(AND(AUTOEVENTO="Manual",$M503=1),$M503&gt;(ROW(PLE.lastrow)-ROW(PLE.firstrow))),0,IF(OFFSET(PLE!$G$14,$M503,BE$13)="",10^12,OFFSET(PLE!$G$14,$M503,BE$13))))</f>
        <v>1000000000000</v>
      </c>
      <c r="BF503" s="182">
        <f ca="1">IF($D503&lt;&gt;"Serviço",0,IF(OR(AND(AUTOEVENTO="Manual",$M503=1),$M503&gt;(ROW(PLE.lastrow)-ROW(PLE.firstrow))),0,IF(OFFSET(PLE!$G$14,$M503,BF$13)="",10^12,OFFSET(PLE!$G$14,$M503,BF$13))))</f>
        <v>1000000000000</v>
      </c>
      <c r="BG503" s="182">
        <f ca="1">IF($D503&lt;&gt;"Serviço",0,IF(OR(AND(AUTOEVENTO="Manual",$M503=1),$M503&gt;(ROW(PLE.lastrow)-ROW(PLE.firstrow))),0,IF(OFFSET(PLE!$G$14,$M503,BG$13)="",10^12,OFFSET(PLE!$G$14,$M503,BG$13))))</f>
        <v>1000000000000</v>
      </c>
    </row>
    <row r="504" spans="1:59" ht="25.5" x14ac:dyDescent="0.2">
      <c r="A504" s="7" t="str">
        <f t="shared" ca="1" si="11"/>
        <v>472</v>
      </c>
      <c r="B504" s="7" t="str">
        <f ca="1">OFFSET(ORÇAMENTO!C$15,ROW(B504)-ROW(B$15),0)</f>
        <v>S</v>
      </c>
      <c r="C504" s="7" t="str">
        <f ca="1">OFFSET(ORÇAMENTO!L$15,ROW(C504)-ROW(C$15),0)</f>
        <v/>
      </c>
      <c r="D504" s="118" t="str">
        <f ca="1">OFFSET(ORÇAMENTO!N$15,ROW(D504)-ROW(D$15),0)</f>
        <v>Serviço</v>
      </c>
      <c r="E504" s="119" t="str">
        <f ca="1">OFFSET(ORÇAMENTO!O$15,ROW(E504)-ROW(E$15),0)</f>
        <v>-</v>
      </c>
      <c r="F504" s="172" t="str">
        <f ca="1">OFFSET(ORÇAMENTO!R$15,ROW(F504)-ROW(F$15),0)</f>
        <v>(abra o arquivo 'Referência 02-2025.xlsm)</v>
      </c>
      <c r="G504" s="173" t="str">
        <f ca="1">IF($D504&lt;&gt;"Serviço","",OFFSET(ORÇAMENTO!S$15,ROW(G504)-ROW(G$15),0))</f>
        <v>-</v>
      </c>
      <c r="H504" s="124">
        <f ca="1">IF($D504&lt;&gt;"Serviço",0,IF(ACOMPANHAMENTO="BM",ROUND(OFFSET(ORÇAMENTO!AJ$15,ROW(H504)-ROW(H$15),0),15-13*ORÇAMENTO!$AF$7),SUMPRODUCT(($Q$12:$AA$12&lt;&gt;"")*ROUND($Q504:$AA504,15-13*ORÇAMENTO!$AF$7))))</f>
        <v>1518</v>
      </c>
      <c r="I504" s="561" t="s">
        <v>890</v>
      </c>
      <c r="K504" s="174"/>
      <c r="L504" s="175" t="s">
        <v>255</v>
      </c>
      <c r="M504" s="176">
        <f ca="1">IF($D504&lt;&gt;"Serviço","",IF(AUTOEVENTO="manual",$A504,IF(ISERROR(MATCH($A504,$A$15:OFFSET($A504,-1,0),0)),MAX($M$15:OFFSET(M504,-1,0))+1,INDEX($M$15:OFFSET(M504,-1,0),MATCH($A504,$A$15:OFFSET($A504,-1,0),0)))))</f>
        <v>18</v>
      </c>
      <c r="N504" s="177" t="str">
        <f ca="1">IF($D504&lt;&gt;"Serviço","",IF(AUTOEVENTO="Manual",IF($A504=0,"&lt;-- defina o número do agrupador",OFFSET(EVENTOS!$D$14,$A504,0)),OFFSET($F$15,$A504,0)))</f>
        <v>INSTALAÇÕES ELÉTRICAS - 220V</v>
      </c>
      <c r="O504" s="178"/>
      <c r="Q504" s="178"/>
      <c r="R504" s="179"/>
      <c r="S504" s="179"/>
      <c r="T504" s="179"/>
      <c r="U504" s="179"/>
      <c r="V504" s="179"/>
      <c r="W504" s="179"/>
      <c r="X504" s="179"/>
      <c r="Y504" s="179"/>
      <c r="Z504" s="180"/>
      <c r="AB504" s="544">
        <f ca="1">IF(AND($D504="Serviço",AB$12&lt;&gt;0,$H504&gt;0,OR(AUTOEVENTO&lt;&gt;"manual",$M504&lt;&gt;1)),
IF(Import.TipoArredondamento&lt;&gt;"TransfereGOV",
ROUND(OFFSET($P504,0,AB$13),15-13*ORÇAMENTO!$AF$7)/$H504*OFFSET(ORÇAMENTO!$X$15,ROW(AB504)-ROW(AB$15),0),
ROUND(ROUND(OFFSET($P504,0,AB$13),15-13*ORÇAMENTO!$AF$7)*OFFSET(ORÇAMENTO!$W$15,ROW(AB504)-ROW(AB$15),0),15-13*ORÇAMENTO!$AF$11)),0)</f>
        <v>0</v>
      </c>
      <c r="AC504" s="545">
        <f ca="1">IF(AND($D504="Serviço",AC$12&lt;&gt;0,$H504&gt;0,OR(AUTOEVENTO&lt;&gt;"manual",$M504&lt;&gt;1)),
IF(Import.TipoArredondamento&lt;&gt;"TransfereGOV",
ROUND(OFFSET($P504,0,AC$13),15-13*ORÇAMENTO!$AF$7)/$H504*OFFSET(ORÇAMENTO!$X$15,ROW(AC504)-ROW(AC$15),0),
ROUND(ROUND(OFFSET($P504,0,AC$13),15-13*ORÇAMENTO!$AF$7)*OFFSET(ORÇAMENTO!$W$15,ROW(AC504)-ROW(AC$15),0),15-13*ORÇAMENTO!$AF$11)),0)</f>
        <v>0</v>
      </c>
      <c r="AD504" s="545">
        <f ca="1">IF(AND($D504="Serviço",AD$12&lt;&gt;0,$H504&gt;0,OR(AUTOEVENTO&lt;&gt;"manual",$M504&lt;&gt;1)),
IF(Import.TipoArredondamento&lt;&gt;"TransfereGOV",
ROUND(OFFSET($P504,0,AD$13),15-13*ORÇAMENTO!$AF$7)/$H504*OFFSET(ORÇAMENTO!$X$15,ROW(AD504)-ROW(AD$15),0),
ROUND(ROUND(OFFSET($P504,0,AD$13),15-13*ORÇAMENTO!$AF$7)*OFFSET(ORÇAMENTO!$W$15,ROW(AD504)-ROW(AD$15),0),15-13*ORÇAMENTO!$AF$11)),0)</f>
        <v>0</v>
      </c>
      <c r="AE504" s="545">
        <f ca="1">IF(AND($D504="Serviço",AE$12&lt;&gt;0,$H504&gt;0,OR(AUTOEVENTO&lt;&gt;"manual",$M504&lt;&gt;1)),
IF(Import.TipoArredondamento&lt;&gt;"TransfereGOV",
ROUND(OFFSET($P504,0,AE$13),15-13*ORÇAMENTO!$AF$7)/$H504*OFFSET(ORÇAMENTO!$X$15,ROW(AE504)-ROW(AE$15),0),
ROUND(ROUND(OFFSET($P504,0,AE$13),15-13*ORÇAMENTO!$AF$7)*OFFSET(ORÇAMENTO!$W$15,ROW(AE504)-ROW(AE$15),0),15-13*ORÇAMENTO!$AF$11)),0)</f>
        <v>0</v>
      </c>
      <c r="AF504" s="545">
        <f ca="1">IF(AND($D504="Serviço",AF$12&lt;&gt;0,$H504&gt;0,OR(AUTOEVENTO&lt;&gt;"manual",$M504&lt;&gt;1)),
IF(Import.TipoArredondamento&lt;&gt;"TransfereGOV",
ROUND(OFFSET($P504,0,AF$13),15-13*ORÇAMENTO!$AF$7)/$H504*OFFSET(ORÇAMENTO!$X$15,ROW(AF504)-ROW(AF$15),0),
ROUND(ROUND(OFFSET($P504,0,AF$13),15-13*ORÇAMENTO!$AF$7)*OFFSET(ORÇAMENTO!$W$15,ROW(AF504)-ROW(AF$15),0),15-13*ORÇAMENTO!$AF$11)),0)</f>
        <v>0</v>
      </c>
      <c r="AG504" s="545">
        <f ca="1">IF(AND($D504="Serviço",AG$12&lt;&gt;0,$H504&gt;0,OR(AUTOEVENTO&lt;&gt;"manual",$M504&lt;&gt;1)),
IF(Import.TipoArredondamento&lt;&gt;"TransfereGOV",
ROUND(OFFSET($P504,0,AG$13),15-13*ORÇAMENTO!$AF$7)/$H504*OFFSET(ORÇAMENTO!$X$15,ROW(AG504)-ROW(AG$15),0),
ROUND(ROUND(OFFSET($P504,0,AG$13),15-13*ORÇAMENTO!$AF$7)*OFFSET(ORÇAMENTO!$W$15,ROW(AG504)-ROW(AG$15),0),15-13*ORÇAMENTO!$AF$11)),0)</f>
        <v>0</v>
      </c>
      <c r="AH504" s="545">
        <f ca="1">IF(AND($D504="Serviço",AH$12&lt;&gt;0,$H504&gt;0,OR(AUTOEVENTO&lt;&gt;"manual",$M504&lt;&gt;1)),
IF(Import.TipoArredondamento&lt;&gt;"TransfereGOV",
ROUND(OFFSET($P504,0,AH$13),15-13*ORÇAMENTO!$AF$7)/$H504*OFFSET(ORÇAMENTO!$X$15,ROW(AH504)-ROW(AH$15),0),
ROUND(ROUND(OFFSET($P504,0,AH$13),15-13*ORÇAMENTO!$AF$7)*OFFSET(ORÇAMENTO!$W$15,ROW(AH504)-ROW(AH$15),0),15-13*ORÇAMENTO!$AF$11)),0)</f>
        <v>0</v>
      </c>
      <c r="AI504" s="545">
        <f ca="1">IF(AND($D504="Serviço",AI$12&lt;&gt;0,$H504&gt;0,OR(AUTOEVENTO&lt;&gt;"manual",$M504&lt;&gt;1)),
IF(Import.TipoArredondamento&lt;&gt;"TransfereGOV",
ROUND(OFFSET($P504,0,AI$13),15-13*ORÇAMENTO!$AF$7)/$H504*OFFSET(ORÇAMENTO!$X$15,ROW(AI504)-ROW(AI$15),0),
ROUND(ROUND(OFFSET($P504,0,AI$13),15-13*ORÇAMENTO!$AF$7)*OFFSET(ORÇAMENTO!$W$15,ROW(AI504)-ROW(AI$15),0),15-13*ORÇAMENTO!$AF$11)),0)</f>
        <v>0</v>
      </c>
      <c r="AJ504" s="545">
        <f ca="1">IF(AND($D504="Serviço",AJ$12&lt;&gt;0,$H504&gt;0,OR(AUTOEVENTO&lt;&gt;"manual",$M504&lt;&gt;1)),
IF(Import.TipoArredondamento&lt;&gt;"TransfereGOV",
ROUND(OFFSET($P504,0,AJ$13),15-13*ORÇAMENTO!$AF$7)/$H504*OFFSET(ORÇAMENTO!$X$15,ROW(AJ504)-ROW(AJ$15),0),
ROUND(ROUND(OFFSET($P504,0,AJ$13),15-13*ORÇAMENTO!$AF$7)*OFFSET(ORÇAMENTO!$W$15,ROW(AJ504)-ROW(AJ$15),0),15-13*ORÇAMENTO!$AF$11)),0)</f>
        <v>0</v>
      </c>
      <c r="AK504" s="546">
        <f ca="1">IF(AND($D504="Serviço",AK$12&lt;&gt;0,$H504&gt;0,OR(AUTOEVENTO&lt;&gt;"manual",$M504&lt;&gt;1)),
IF(Import.TipoArredondamento&lt;&gt;"TransfereGOV",
ROUND(OFFSET($P504,0,AK$13),15-13*ORÇAMENTO!$AF$7)/$H504*OFFSET(ORÇAMENTO!$X$15,ROW(AK504)-ROW(AK$15),0),
ROUND(ROUND(OFFSET($P504,0,AK$13),15-13*ORÇAMENTO!$AF$7)*OFFSET(ORÇAMENTO!$W$15,ROW(AK504)-ROW(AK$15),0),15-13*ORÇAMENTO!$AF$11)),0)</f>
        <v>0</v>
      </c>
      <c r="AM504" s="181">
        <f ca="1">IF($D504&lt;&gt;"Serviço",0,IF(AND(AUTOEVENTO="Manual",$M504=1),0,IF(OFFSET(CRONOPLE!$F$14,$M504,AM$13)="",10^12,OFFSET(CRONOPLE!$F$14,$M504,AM$13))))</f>
        <v>1000000000000</v>
      </c>
      <c r="AN504" s="181">
        <f ca="1">IF($D504&lt;&gt;"Serviço",0,IF(AND(AUTOEVENTO="Manual",$M504=1),0,IF(OFFSET(CRONOPLE!$F$14,$M504,AN$13)="",10^12,OFFSET(CRONOPLE!$F$14,$M504,AN$13))))</f>
        <v>1000000000000</v>
      </c>
      <c r="AO504" s="181">
        <f ca="1">IF($D504&lt;&gt;"Serviço",0,IF(AND(AUTOEVENTO="Manual",$M504=1),0,IF(OFFSET(CRONOPLE!$F$14,$M504,AO$13)="",10^12,OFFSET(CRONOPLE!$F$14,$M504,AO$13))))</f>
        <v>1000000000000</v>
      </c>
      <c r="AP504" s="181">
        <f ca="1">IF($D504&lt;&gt;"Serviço",0,IF(AND(AUTOEVENTO="Manual",$M504=1),0,IF(OFFSET(CRONOPLE!$F$14,$M504,AP$13)="",10^12,OFFSET(CRONOPLE!$F$14,$M504,AP$13))))</f>
        <v>1000000000000</v>
      </c>
      <c r="AQ504" s="181">
        <f ca="1">IF($D504&lt;&gt;"Serviço",0,IF(AND(AUTOEVENTO="Manual",$M504=1),0,IF(OFFSET(CRONOPLE!$F$14,$M504,AQ$13)="",10^12,OFFSET(CRONOPLE!$F$14,$M504,AQ$13))))</f>
        <v>1000000000000</v>
      </c>
      <c r="AR504" s="181">
        <f ca="1">IF($D504&lt;&gt;"Serviço",0,IF(AND(AUTOEVENTO="Manual",$M504=1),0,IF(OFFSET(CRONOPLE!$F$14,$M504,AR$13)="",10^12,OFFSET(CRONOPLE!$F$14,$M504,AR$13))))</f>
        <v>1000000000000</v>
      </c>
      <c r="AS504" s="181">
        <f ca="1">IF($D504&lt;&gt;"Serviço",0,IF(AND(AUTOEVENTO="Manual",$M504=1),0,IF(OFFSET(CRONOPLE!$F$14,$M504,AS$13)="",10^12,OFFSET(CRONOPLE!$F$14,$M504,AS$13))))</f>
        <v>1000000000000</v>
      </c>
      <c r="AT504" s="181">
        <f ca="1">IF($D504&lt;&gt;"Serviço",0,IF(AND(AUTOEVENTO="Manual",$M504=1),0,IF(OFFSET(CRONOPLE!$F$14,$M504,AT$13)="",10^12,OFFSET(CRONOPLE!$F$14,$M504,AT$13))))</f>
        <v>1000000000000</v>
      </c>
      <c r="AU504" s="181">
        <f ca="1">IF($D504&lt;&gt;"Serviço",0,IF(AND(AUTOEVENTO="Manual",$M504=1),0,IF(OFFSET(CRONOPLE!$F$14,$M504,AU$13)="",10^12,OFFSET(CRONOPLE!$F$14,$M504,AU$13))))</f>
        <v>1000000000000</v>
      </c>
      <c r="AV504" s="181">
        <f ca="1">IF($D504&lt;&gt;"Serviço",0,IF(AND(AUTOEVENTO="Manual",$M504=1),0,IF(OFFSET(CRONOPLE!$F$14,$M504,AV$13)="",10^12,OFFSET(CRONOPLE!$F$14,$M504,AV$13))))</f>
        <v>1000000000000</v>
      </c>
      <c r="AX504" s="182">
        <f ca="1">IF($D504&lt;&gt;"Serviço",0,IF(OR(AND(AUTOEVENTO="Manual",$M504=1),$M504&gt;(ROW(PLE.lastrow)-ROW(PLE.firstrow))),0,IF(OFFSET(PLE!$G$14,$M504,AX$13)="",10^12,OFFSET(PLE!$G$14,$M504,AX$13))))</f>
        <v>1000000000000</v>
      </c>
      <c r="AY504" s="182">
        <f ca="1">IF($D504&lt;&gt;"Serviço",0,IF(OR(AND(AUTOEVENTO="Manual",$M504=1),$M504&gt;(ROW(PLE.lastrow)-ROW(PLE.firstrow))),0,IF(OFFSET(PLE!$G$14,$M504,AY$13)="",10^12,OFFSET(PLE!$G$14,$M504,AY$13))))</f>
        <v>1000000000000</v>
      </c>
      <c r="AZ504" s="182">
        <f ca="1">IF($D504&lt;&gt;"Serviço",0,IF(OR(AND(AUTOEVENTO="Manual",$M504=1),$M504&gt;(ROW(PLE.lastrow)-ROW(PLE.firstrow))),0,IF(OFFSET(PLE!$G$14,$M504,AZ$13)="",10^12,OFFSET(PLE!$G$14,$M504,AZ$13))))</f>
        <v>1000000000000</v>
      </c>
      <c r="BA504" s="182">
        <f ca="1">IF($D504&lt;&gt;"Serviço",0,IF(OR(AND(AUTOEVENTO="Manual",$M504=1),$M504&gt;(ROW(PLE.lastrow)-ROW(PLE.firstrow))),0,IF(OFFSET(PLE!$G$14,$M504,BA$13)="",10^12,OFFSET(PLE!$G$14,$M504,BA$13))))</f>
        <v>1000000000000</v>
      </c>
      <c r="BB504" s="182">
        <f ca="1">IF($D504&lt;&gt;"Serviço",0,IF(OR(AND(AUTOEVENTO="Manual",$M504=1),$M504&gt;(ROW(PLE.lastrow)-ROW(PLE.firstrow))),0,IF(OFFSET(PLE!$G$14,$M504,BB$13)="",10^12,OFFSET(PLE!$G$14,$M504,BB$13))))</f>
        <v>1000000000000</v>
      </c>
      <c r="BC504" s="182">
        <f ca="1">IF($D504&lt;&gt;"Serviço",0,IF(OR(AND(AUTOEVENTO="Manual",$M504=1),$M504&gt;(ROW(PLE.lastrow)-ROW(PLE.firstrow))),0,IF(OFFSET(PLE!$G$14,$M504,BC$13)="",10^12,OFFSET(PLE!$G$14,$M504,BC$13))))</f>
        <v>1000000000000</v>
      </c>
      <c r="BD504" s="182">
        <f ca="1">IF($D504&lt;&gt;"Serviço",0,IF(OR(AND(AUTOEVENTO="Manual",$M504=1),$M504&gt;(ROW(PLE.lastrow)-ROW(PLE.firstrow))),0,IF(OFFSET(PLE!$G$14,$M504,BD$13)="",10^12,OFFSET(PLE!$G$14,$M504,BD$13))))</f>
        <v>1000000000000</v>
      </c>
      <c r="BE504" s="182">
        <f ca="1">IF($D504&lt;&gt;"Serviço",0,IF(OR(AND(AUTOEVENTO="Manual",$M504=1),$M504&gt;(ROW(PLE.lastrow)-ROW(PLE.firstrow))),0,IF(OFFSET(PLE!$G$14,$M504,BE$13)="",10^12,OFFSET(PLE!$G$14,$M504,BE$13))))</f>
        <v>1000000000000</v>
      </c>
      <c r="BF504" s="182">
        <f ca="1">IF($D504&lt;&gt;"Serviço",0,IF(OR(AND(AUTOEVENTO="Manual",$M504=1),$M504&gt;(ROW(PLE.lastrow)-ROW(PLE.firstrow))),0,IF(OFFSET(PLE!$G$14,$M504,BF$13)="",10^12,OFFSET(PLE!$G$14,$M504,BF$13))))</f>
        <v>1000000000000</v>
      </c>
      <c r="BG504" s="182">
        <f ca="1">IF($D504&lt;&gt;"Serviço",0,IF(OR(AND(AUTOEVENTO="Manual",$M504=1),$M504&gt;(ROW(PLE.lastrow)-ROW(PLE.firstrow))),0,IF(OFFSET(PLE!$G$14,$M504,BG$13)="",10^12,OFFSET(PLE!$G$14,$M504,BG$13))))</f>
        <v>1000000000000</v>
      </c>
    </row>
    <row r="505" spans="1:59" ht="38.25" x14ac:dyDescent="0.2">
      <c r="A505" s="7" t="str">
        <f t="shared" ca="1" si="11"/>
        <v>472</v>
      </c>
      <c r="B505" s="7" t="str">
        <f ca="1">OFFSET(ORÇAMENTO!C$15,ROW(B505)-ROW(B$15),0)</f>
        <v>S</v>
      </c>
      <c r="C505" s="7" t="str">
        <f ca="1">OFFSET(ORÇAMENTO!L$15,ROW(C505)-ROW(C$15),0)</f>
        <v/>
      </c>
      <c r="D505" s="118" t="str">
        <f ca="1">OFFSET(ORÇAMENTO!N$15,ROW(D505)-ROW(D$15),0)</f>
        <v>Serviço</v>
      </c>
      <c r="E505" s="119" t="str">
        <f ca="1">OFFSET(ORÇAMENTO!O$15,ROW(E505)-ROW(E$15),0)</f>
        <v>-</v>
      </c>
      <c r="F505" s="172" t="str">
        <f ca="1">OFFSET(ORÇAMENTO!R$15,ROW(F505)-ROW(F$15),0)</f>
        <v>(abra o arquivo 'Referência 02-2025.xlsm)</v>
      </c>
      <c r="G505" s="173" t="str">
        <f ca="1">IF($D505&lt;&gt;"Serviço","",OFFSET(ORÇAMENTO!S$15,ROW(G505)-ROW(G$15),0))</f>
        <v>-</v>
      </c>
      <c r="H505" s="124">
        <f ca="1">IF($D505&lt;&gt;"Serviço",0,IF(ACOMPANHAMENTO="BM",ROUND(OFFSET(ORÇAMENTO!AJ$15,ROW(H505)-ROW(H$15),0),15-13*ORÇAMENTO!$AF$7),SUMPRODUCT(($Q$12:$AA$12&lt;&gt;"")*ROUND($Q505:$AA505,15-13*ORÇAMENTO!$AF$7))))</f>
        <v>199</v>
      </c>
      <c r="I505" s="561" t="s">
        <v>890</v>
      </c>
      <c r="K505" s="174"/>
      <c r="L505" s="175" t="s">
        <v>255</v>
      </c>
      <c r="M505" s="176">
        <f ca="1">IF($D505&lt;&gt;"Serviço","",IF(AUTOEVENTO="manual",$A505,IF(ISERROR(MATCH($A505,$A$15:OFFSET($A505,-1,0),0)),MAX($M$15:OFFSET(M505,-1,0))+1,INDEX($M$15:OFFSET(M505,-1,0),MATCH($A505,$A$15:OFFSET($A505,-1,0),0)))))</f>
        <v>18</v>
      </c>
      <c r="N505" s="177" t="str">
        <f ca="1">IF($D505&lt;&gt;"Serviço","",IF(AUTOEVENTO="Manual",IF($A505=0,"&lt;-- defina o número do agrupador",OFFSET(EVENTOS!$D$14,$A505,0)),OFFSET($F$15,$A505,0)))</f>
        <v>INSTALAÇÕES ELÉTRICAS - 220V</v>
      </c>
      <c r="O505" s="178"/>
      <c r="Q505" s="178"/>
      <c r="R505" s="179"/>
      <c r="S505" s="179"/>
      <c r="T505" s="179"/>
      <c r="U505" s="179"/>
      <c r="V505" s="179"/>
      <c r="W505" s="179"/>
      <c r="X505" s="179"/>
      <c r="Y505" s="179"/>
      <c r="Z505" s="180"/>
      <c r="AB505" s="544">
        <f ca="1">IF(AND($D505="Serviço",AB$12&lt;&gt;0,$H505&gt;0,OR(AUTOEVENTO&lt;&gt;"manual",$M505&lt;&gt;1)),
IF(Import.TipoArredondamento&lt;&gt;"TransfereGOV",
ROUND(OFFSET($P505,0,AB$13),15-13*ORÇAMENTO!$AF$7)/$H505*OFFSET(ORÇAMENTO!$X$15,ROW(AB505)-ROW(AB$15),0),
ROUND(ROUND(OFFSET($P505,0,AB$13),15-13*ORÇAMENTO!$AF$7)*OFFSET(ORÇAMENTO!$W$15,ROW(AB505)-ROW(AB$15),0),15-13*ORÇAMENTO!$AF$11)),0)</f>
        <v>0</v>
      </c>
      <c r="AC505" s="545">
        <f ca="1">IF(AND($D505="Serviço",AC$12&lt;&gt;0,$H505&gt;0,OR(AUTOEVENTO&lt;&gt;"manual",$M505&lt;&gt;1)),
IF(Import.TipoArredondamento&lt;&gt;"TransfereGOV",
ROUND(OFFSET($P505,0,AC$13),15-13*ORÇAMENTO!$AF$7)/$H505*OFFSET(ORÇAMENTO!$X$15,ROW(AC505)-ROW(AC$15),0),
ROUND(ROUND(OFFSET($P505,0,AC$13),15-13*ORÇAMENTO!$AF$7)*OFFSET(ORÇAMENTO!$W$15,ROW(AC505)-ROW(AC$15),0),15-13*ORÇAMENTO!$AF$11)),0)</f>
        <v>0</v>
      </c>
      <c r="AD505" s="545">
        <f ca="1">IF(AND($D505="Serviço",AD$12&lt;&gt;0,$H505&gt;0,OR(AUTOEVENTO&lt;&gt;"manual",$M505&lt;&gt;1)),
IF(Import.TipoArredondamento&lt;&gt;"TransfereGOV",
ROUND(OFFSET($P505,0,AD$13),15-13*ORÇAMENTO!$AF$7)/$H505*OFFSET(ORÇAMENTO!$X$15,ROW(AD505)-ROW(AD$15),0),
ROUND(ROUND(OFFSET($P505,0,AD$13),15-13*ORÇAMENTO!$AF$7)*OFFSET(ORÇAMENTO!$W$15,ROW(AD505)-ROW(AD$15),0),15-13*ORÇAMENTO!$AF$11)),0)</f>
        <v>0</v>
      </c>
      <c r="AE505" s="545">
        <f ca="1">IF(AND($D505="Serviço",AE$12&lt;&gt;0,$H505&gt;0,OR(AUTOEVENTO&lt;&gt;"manual",$M505&lt;&gt;1)),
IF(Import.TipoArredondamento&lt;&gt;"TransfereGOV",
ROUND(OFFSET($P505,0,AE$13),15-13*ORÇAMENTO!$AF$7)/$H505*OFFSET(ORÇAMENTO!$X$15,ROW(AE505)-ROW(AE$15),0),
ROUND(ROUND(OFFSET($P505,0,AE$13),15-13*ORÇAMENTO!$AF$7)*OFFSET(ORÇAMENTO!$W$15,ROW(AE505)-ROW(AE$15),0),15-13*ORÇAMENTO!$AF$11)),0)</f>
        <v>0</v>
      </c>
      <c r="AF505" s="545">
        <f ca="1">IF(AND($D505="Serviço",AF$12&lt;&gt;0,$H505&gt;0,OR(AUTOEVENTO&lt;&gt;"manual",$M505&lt;&gt;1)),
IF(Import.TipoArredondamento&lt;&gt;"TransfereGOV",
ROUND(OFFSET($P505,0,AF$13),15-13*ORÇAMENTO!$AF$7)/$H505*OFFSET(ORÇAMENTO!$X$15,ROW(AF505)-ROW(AF$15),0),
ROUND(ROUND(OFFSET($P505,0,AF$13),15-13*ORÇAMENTO!$AF$7)*OFFSET(ORÇAMENTO!$W$15,ROW(AF505)-ROW(AF$15),0),15-13*ORÇAMENTO!$AF$11)),0)</f>
        <v>0</v>
      </c>
      <c r="AG505" s="545">
        <f ca="1">IF(AND($D505="Serviço",AG$12&lt;&gt;0,$H505&gt;0,OR(AUTOEVENTO&lt;&gt;"manual",$M505&lt;&gt;1)),
IF(Import.TipoArredondamento&lt;&gt;"TransfereGOV",
ROUND(OFFSET($P505,0,AG$13),15-13*ORÇAMENTO!$AF$7)/$H505*OFFSET(ORÇAMENTO!$X$15,ROW(AG505)-ROW(AG$15),0),
ROUND(ROUND(OFFSET($P505,0,AG$13),15-13*ORÇAMENTO!$AF$7)*OFFSET(ORÇAMENTO!$W$15,ROW(AG505)-ROW(AG$15),0),15-13*ORÇAMENTO!$AF$11)),0)</f>
        <v>0</v>
      </c>
      <c r="AH505" s="545">
        <f ca="1">IF(AND($D505="Serviço",AH$12&lt;&gt;0,$H505&gt;0,OR(AUTOEVENTO&lt;&gt;"manual",$M505&lt;&gt;1)),
IF(Import.TipoArredondamento&lt;&gt;"TransfereGOV",
ROUND(OFFSET($P505,0,AH$13),15-13*ORÇAMENTO!$AF$7)/$H505*OFFSET(ORÇAMENTO!$X$15,ROW(AH505)-ROW(AH$15),0),
ROUND(ROUND(OFFSET($P505,0,AH$13),15-13*ORÇAMENTO!$AF$7)*OFFSET(ORÇAMENTO!$W$15,ROW(AH505)-ROW(AH$15),0),15-13*ORÇAMENTO!$AF$11)),0)</f>
        <v>0</v>
      </c>
      <c r="AI505" s="545">
        <f ca="1">IF(AND($D505="Serviço",AI$12&lt;&gt;0,$H505&gt;0,OR(AUTOEVENTO&lt;&gt;"manual",$M505&lt;&gt;1)),
IF(Import.TipoArredondamento&lt;&gt;"TransfereGOV",
ROUND(OFFSET($P505,0,AI$13),15-13*ORÇAMENTO!$AF$7)/$H505*OFFSET(ORÇAMENTO!$X$15,ROW(AI505)-ROW(AI$15),0),
ROUND(ROUND(OFFSET($P505,0,AI$13),15-13*ORÇAMENTO!$AF$7)*OFFSET(ORÇAMENTO!$W$15,ROW(AI505)-ROW(AI$15),0),15-13*ORÇAMENTO!$AF$11)),0)</f>
        <v>0</v>
      </c>
      <c r="AJ505" s="545">
        <f ca="1">IF(AND($D505="Serviço",AJ$12&lt;&gt;0,$H505&gt;0,OR(AUTOEVENTO&lt;&gt;"manual",$M505&lt;&gt;1)),
IF(Import.TipoArredondamento&lt;&gt;"TransfereGOV",
ROUND(OFFSET($P505,0,AJ$13),15-13*ORÇAMENTO!$AF$7)/$H505*OFFSET(ORÇAMENTO!$X$15,ROW(AJ505)-ROW(AJ$15),0),
ROUND(ROUND(OFFSET($P505,0,AJ$13),15-13*ORÇAMENTO!$AF$7)*OFFSET(ORÇAMENTO!$W$15,ROW(AJ505)-ROW(AJ$15),0),15-13*ORÇAMENTO!$AF$11)),0)</f>
        <v>0</v>
      </c>
      <c r="AK505" s="546">
        <f ca="1">IF(AND($D505="Serviço",AK$12&lt;&gt;0,$H505&gt;0,OR(AUTOEVENTO&lt;&gt;"manual",$M505&lt;&gt;1)),
IF(Import.TipoArredondamento&lt;&gt;"TransfereGOV",
ROUND(OFFSET($P505,0,AK$13),15-13*ORÇAMENTO!$AF$7)/$H505*OFFSET(ORÇAMENTO!$X$15,ROW(AK505)-ROW(AK$15),0),
ROUND(ROUND(OFFSET($P505,0,AK$13),15-13*ORÇAMENTO!$AF$7)*OFFSET(ORÇAMENTO!$W$15,ROW(AK505)-ROW(AK$15),0),15-13*ORÇAMENTO!$AF$11)),0)</f>
        <v>0</v>
      </c>
      <c r="AM505" s="181">
        <f ca="1">IF($D505&lt;&gt;"Serviço",0,IF(AND(AUTOEVENTO="Manual",$M505=1),0,IF(OFFSET(CRONOPLE!$F$14,$M505,AM$13)="",10^12,OFFSET(CRONOPLE!$F$14,$M505,AM$13))))</f>
        <v>1000000000000</v>
      </c>
      <c r="AN505" s="181">
        <f ca="1">IF($D505&lt;&gt;"Serviço",0,IF(AND(AUTOEVENTO="Manual",$M505=1),0,IF(OFFSET(CRONOPLE!$F$14,$M505,AN$13)="",10^12,OFFSET(CRONOPLE!$F$14,$M505,AN$13))))</f>
        <v>1000000000000</v>
      </c>
      <c r="AO505" s="181">
        <f ca="1">IF($D505&lt;&gt;"Serviço",0,IF(AND(AUTOEVENTO="Manual",$M505=1),0,IF(OFFSET(CRONOPLE!$F$14,$M505,AO$13)="",10^12,OFFSET(CRONOPLE!$F$14,$M505,AO$13))))</f>
        <v>1000000000000</v>
      </c>
      <c r="AP505" s="181">
        <f ca="1">IF($D505&lt;&gt;"Serviço",0,IF(AND(AUTOEVENTO="Manual",$M505=1),0,IF(OFFSET(CRONOPLE!$F$14,$M505,AP$13)="",10^12,OFFSET(CRONOPLE!$F$14,$M505,AP$13))))</f>
        <v>1000000000000</v>
      </c>
      <c r="AQ505" s="181">
        <f ca="1">IF($D505&lt;&gt;"Serviço",0,IF(AND(AUTOEVENTO="Manual",$M505=1),0,IF(OFFSET(CRONOPLE!$F$14,$M505,AQ$13)="",10^12,OFFSET(CRONOPLE!$F$14,$M505,AQ$13))))</f>
        <v>1000000000000</v>
      </c>
      <c r="AR505" s="181">
        <f ca="1">IF($D505&lt;&gt;"Serviço",0,IF(AND(AUTOEVENTO="Manual",$M505=1),0,IF(OFFSET(CRONOPLE!$F$14,$M505,AR$13)="",10^12,OFFSET(CRONOPLE!$F$14,$M505,AR$13))))</f>
        <v>1000000000000</v>
      </c>
      <c r="AS505" s="181">
        <f ca="1">IF($D505&lt;&gt;"Serviço",0,IF(AND(AUTOEVENTO="Manual",$M505=1),0,IF(OFFSET(CRONOPLE!$F$14,$M505,AS$13)="",10^12,OFFSET(CRONOPLE!$F$14,$M505,AS$13))))</f>
        <v>1000000000000</v>
      </c>
      <c r="AT505" s="181">
        <f ca="1">IF($D505&lt;&gt;"Serviço",0,IF(AND(AUTOEVENTO="Manual",$M505=1),0,IF(OFFSET(CRONOPLE!$F$14,$M505,AT$13)="",10^12,OFFSET(CRONOPLE!$F$14,$M505,AT$13))))</f>
        <v>1000000000000</v>
      </c>
      <c r="AU505" s="181">
        <f ca="1">IF($D505&lt;&gt;"Serviço",0,IF(AND(AUTOEVENTO="Manual",$M505=1),0,IF(OFFSET(CRONOPLE!$F$14,$M505,AU$13)="",10^12,OFFSET(CRONOPLE!$F$14,$M505,AU$13))))</f>
        <v>1000000000000</v>
      </c>
      <c r="AV505" s="181">
        <f ca="1">IF($D505&lt;&gt;"Serviço",0,IF(AND(AUTOEVENTO="Manual",$M505=1),0,IF(OFFSET(CRONOPLE!$F$14,$M505,AV$13)="",10^12,OFFSET(CRONOPLE!$F$14,$M505,AV$13))))</f>
        <v>1000000000000</v>
      </c>
      <c r="AX505" s="182">
        <f ca="1">IF($D505&lt;&gt;"Serviço",0,IF(OR(AND(AUTOEVENTO="Manual",$M505=1),$M505&gt;(ROW(PLE.lastrow)-ROW(PLE.firstrow))),0,IF(OFFSET(PLE!$G$14,$M505,AX$13)="",10^12,OFFSET(PLE!$G$14,$M505,AX$13))))</f>
        <v>1000000000000</v>
      </c>
      <c r="AY505" s="182">
        <f ca="1">IF($D505&lt;&gt;"Serviço",0,IF(OR(AND(AUTOEVENTO="Manual",$M505=1),$M505&gt;(ROW(PLE.lastrow)-ROW(PLE.firstrow))),0,IF(OFFSET(PLE!$G$14,$M505,AY$13)="",10^12,OFFSET(PLE!$G$14,$M505,AY$13))))</f>
        <v>1000000000000</v>
      </c>
      <c r="AZ505" s="182">
        <f ca="1">IF($D505&lt;&gt;"Serviço",0,IF(OR(AND(AUTOEVENTO="Manual",$M505=1),$M505&gt;(ROW(PLE.lastrow)-ROW(PLE.firstrow))),0,IF(OFFSET(PLE!$G$14,$M505,AZ$13)="",10^12,OFFSET(PLE!$G$14,$M505,AZ$13))))</f>
        <v>1000000000000</v>
      </c>
      <c r="BA505" s="182">
        <f ca="1">IF($D505&lt;&gt;"Serviço",0,IF(OR(AND(AUTOEVENTO="Manual",$M505=1),$M505&gt;(ROW(PLE.lastrow)-ROW(PLE.firstrow))),0,IF(OFFSET(PLE!$G$14,$M505,BA$13)="",10^12,OFFSET(PLE!$G$14,$M505,BA$13))))</f>
        <v>1000000000000</v>
      </c>
      <c r="BB505" s="182">
        <f ca="1">IF($D505&lt;&gt;"Serviço",0,IF(OR(AND(AUTOEVENTO="Manual",$M505=1),$M505&gt;(ROW(PLE.lastrow)-ROW(PLE.firstrow))),0,IF(OFFSET(PLE!$G$14,$M505,BB$13)="",10^12,OFFSET(PLE!$G$14,$M505,BB$13))))</f>
        <v>1000000000000</v>
      </c>
      <c r="BC505" s="182">
        <f ca="1">IF($D505&lt;&gt;"Serviço",0,IF(OR(AND(AUTOEVENTO="Manual",$M505=1),$M505&gt;(ROW(PLE.lastrow)-ROW(PLE.firstrow))),0,IF(OFFSET(PLE!$G$14,$M505,BC$13)="",10^12,OFFSET(PLE!$G$14,$M505,BC$13))))</f>
        <v>1000000000000</v>
      </c>
      <c r="BD505" s="182">
        <f ca="1">IF($D505&lt;&gt;"Serviço",0,IF(OR(AND(AUTOEVENTO="Manual",$M505=1),$M505&gt;(ROW(PLE.lastrow)-ROW(PLE.firstrow))),0,IF(OFFSET(PLE!$G$14,$M505,BD$13)="",10^12,OFFSET(PLE!$G$14,$M505,BD$13))))</f>
        <v>1000000000000</v>
      </c>
      <c r="BE505" s="182">
        <f ca="1">IF($D505&lt;&gt;"Serviço",0,IF(OR(AND(AUTOEVENTO="Manual",$M505=1),$M505&gt;(ROW(PLE.lastrow)-ROW(PLE.firstrow))),0,IF(OFFSET(PLE!$G$14,$M505,BE$13)="",10^12,OFFSET(PLE!$G$14,$M505,BE$13))))</f>
        <v>1000000000000</v>
      </c>
      <c r="BF505" s="182">
        <f ca="1">IF($D505&lt;&gt;"Serviço",0,IF(OR(AND(AUTOEVENTO="Manual",$M505=1),$M505&gt;(ROW(PLE.lastrow)-ROW(PLE.firstrow))),0,IF(OFFSET(PLE!$G$14,$M505,BF$13)="",10^12,OFFSET(PLE!$G$14,$M505,BF$13))))</f>
        <v>1000000000000</v>
      </c>
      <c r="BG505" s="182">
        <f ca="1">IF($D505&lt;&gt;"Serviço",0,IF(OR(AND(AUTOEVENTO="Manual",$M505=1),$M505&gt;(ROW(PLE.lastrow)-ROW(PLE.firstrow))),0,IF(OFFSET(PLE!$G$14,$M505,BG$13)="",10^12,OFFSET(PLE!$G$14,$M505,BG$13))))</f>
        <v>1000000000000</v>
      </c>
    </row>
    <row r="506" spans="1:59" ht="25.5" x14ac:dyDescent="0.2">
      <c r="A506" s="7" t="str">
        <f t="shared" ca="1" si="11"/>
        <v>472</v>
      </c>
      <c r="B506" s="7" t="str">
        <f ca="1">OFFSET(ORÇAMENTO!C$15,ROW(B506)-ROW(B$15),0)</f>
        <v>S</v>
      </c>
      <c r="C506" s="7" t="str">
        <f ca="1">OFFSET(ORÇAMENTO!L$15,ROW(C506)-ROW(C$15),0)</f>
        <v/>
      </c>
      <c r="D506" s="118" t="str">
        <f ca="1">OFFSET(ORÇAMENTO!N$15,ROW(D506)-ROW(D$15),0)</f>
        <v>Serviço</v>
      </c>
      <c r="E506" s="119" t="str">
        <f ca="1">OFFSET(ORÇAMENTO!O$15,ROW(E506)-ROW(E$15),0)</f>
        <v>-</v>
      </c>
      <c r="F506" s="172" t="str">
        <f ca="1">OFFSET(ORÇAMENTO!R$15,ROW(F506)-ROW(F$15),0)</f>
        <v>(abra o arquivo 'Referência 02-2025.xlsm)</v>
      </c>
      <c r="G506" s="173" t="str">
        <f ca="1">IF($D506&lt;&gt;"Serviço","",OFFSET(ORÇAMENTO!S$15,ROW(G506)-ROW(G$15),0))</f>
        <v>-</v>
      </c>
      <c r="H506" s="124">
        <f ca="1">IF($D506&lt;&gt;"Serviço",0,IF(ACOMPANHAMENTO="BM",ROUND(OFFSET(ORÇAMENTO!AJ$15,ROW(H506)-ROW(H$15),0),15-13*ORÇAMENTO!$AF$7),SUMPRODUCT(($Q$12:$AA$12&lt;&gt;"")*ROUND($Q506:$AA506,15-13*ORÇAMENTO!$AF$7))))</f>
        <v>252</v>
      </c>
      <c r="I506" s="561" t="s">
        <v>890</v>
      </c>
      <c r="K506" s="174"/>
      <c r="L506" s="175" t="s">
        <v>255</v>
      </c>
      <c r="M506" s="176">
        <f ca="1">IF($D506&lt;&gt;"Serviço","",IF(AUTOEVENTO="manual",$A506,IF(ISERROR(MATCH($A506,$A$15:OFFSET($A506,-1,0),0)),MAX($M$15:OFFSET(M506,-1,0))+1,INDEX($M$15:OFFSET(M506,-1,0),MATCH($A506,$A$15:OFFSET($A506,-1,0),0)))))</f>
        <v>18</v>
      </c>
      <c r="N506" s="177" t="str">
        <f ca="1">IF($D506&lt;&gt;"Serviço","",IF(AUTOEVENTO="Manual",IF($A506=0,"&lt;-- defina o número do agrupador",OFFSET(EVENTOS!$D$14,$A506,0)),OFFSET($F$15,$A506,0)))</f>
        <v>INSTALAÇÕES ELÉTRICAS - 220V</v>
      </c>
      <c r="O506" s="178"/>
      <c r="Q506" s="178"/>
      <c r="R506" s="179"/>
      <c r="S506" s="179"/>
      <c r="T506" s="179"/>
      <c r="U506" s="179"/>
      <c r="V506" s="179"/>
      <c r="W506" s="179"/>
      <c r="X506" s="179"/>
      <c r="Y506" s="179"/>
      <c r="Z506" s="180"/>
      <c r="AB506" s="544">
        <f ca="1">IF(AND($D506="Serviço",AB$12&lt;&gt;0,$H506&gt;0,OR(AUTOEVENTO&lt;&gt;"manual",$M506&lt;&gt;1)),
IF(Import.TipoArredondamento&lt;&gt;"TransfereGOV",
ROUND(OFFSET($P506,0,AB$13),15-13*ORÇAMENTO!$AF$7)/$H506*OFFSET(ORÇAMENTO!$X$15,ROW(AB506)-ROW(AB$15),0),
ROUND(ROUND(OFFSET($P506,0,AB$13),15-13*ORÇAMENTO!$AF$7)*OFFSET(ORÇAMENTO!$W$15,ROW(AB506)-ROW(AB$15),0),15-13*ORÇAMENTO!$AF$11)),0)</f>
        <v>0</v>
      </c>
      <c r="AC506" s="545">
        <f ca="1">IF(AND($D506="Serviço",AC$12&lt;&gt;0,$H506&gt;0,OR(AUTOEVENTO&lt;&gt;"manual",$M506&lt;&gt;1)),
IF(Import.TipoArredondamento&lt;&gt;"TransfereGOV",
ROUND(OFFSET($P506,0,AC$13),15-13*ORÇAMENTO!$AF$7)/$H506*OFFSET(ORÇAMENTO!$X$15,ROW(AC506)-ROW(AC$15),0),
ROUND(ROUND(OFFSET($P506,0,AC$13),15-13*ORÇAMENTO!$AF$7)*OFFSET(ORÇAMENTO!$W$15,ROW(AC506)-ROW(AC$15),0),15-13*ORÇAMENTO!$AF$11)),0)</f>
        <v>0</v>
      </c>
      <c r="AD506" s="545">
        <f ca="1">IF(AND($D506="Serviço",AD$12&lt;&gt;0,$H506&gt;0,OR(AUTOEVENTO&lt;&gt;"manual",$M506&lt;&gt;1)),
IF(Import.TipoArredondamento&lt;&gt;"TransfereGOV",
ROUND(OFFSET($P506,0,AD$13),15-13*ORÇAMENTO!$AF$7)/$H506*OFFSET(ORÇAMENTO!$X$15,ROW(AD506)-ROW(AD$15),0),
ROUND(ROUND(OFFSET($P506,0,AD$13),15-13*ORÇAMENTO!$AF$7)*OFFSET(ORÇAMENTO!$W$15,ROW(AD506)-ROW(AD$15),0),15-13*ORÇAMENTO!$AF$11)),0)</f>
        <v>0</v>
      </c>
      <c r="AE506" s="545">
        <f ca="1">IF(AND($D506="Serviço",AE$12&lt;&gt;0,$H506&gt;0,OR(AUTOEVENTO&lt;&gt;"manual",$M506&lt;&gt;1)),
IF(Import.TipoArredondamento&lt;&gt;"TransfereGOV",
ROUND(OFFSET($P506,0,AE$13),15-13*ORÇAMENTO!$AF$7)/$H506*OFFSET(ORÇAMENTO!$X$15,ROW(AE506)-ROW(AE$15),0),
ROUND(ROUND(OFFSET($P506,0,AE$13),15-13*ORÇAMENTO!$AF$7)*OFFSET(ORÇAMENTO!$W$15,ROW(AE506)-ROW(AE$15),0),15-13*ORÇAMENTO!$AF$11)),0)</f>
        <v>0</v>
      </c>
      <c r="AF506" s="545">
        <f ca="1">IF(AND($D506="Serviço",AF$12&lt;&gt;0,$H506&gt;0,OR(AUTOEVENTO&lt;&gt;"manual",$M506&lt;&gt;1)),
IF(Import.TipoArredondamento&lt;&gt;"TransfereGOV",
ROUND(OFFSET($P506,0,AF$13),15-13*ORÇAMENTO!$AF$7)/$H506*OFFSET(ORÇAMENTO!$X$15,ROW(AF506)-ROW(AF$15),0),
ROUND(ROUND(OFFSET($P506,0,AF$13),15-13*ORÇAMENTO!$AF$7)*OFFSET(ORÇAMENTO!$W$15,ROW(AF506)-ROW(AF$15),0),15-13*ORÇAMENTO!$AF$11)),0)</f>
        <v>0</v>
      </c>
      <c r="AG506" s="545">
        <f ca="1">IF(AND($D506="Serviço",AG$12&lt;&gt;0,$H506&gt;0,OR(AUTOEVENTO&lt;&gt;"manual",$M506&lt;&gt;1)),
IF(Import.TipoArredondamento&lt;&gt;"TransfereGOV",
ROUND(OFFSET($P506,0,AG$13),15-13*ORÇAMENTO!$AF$7)/$H506*OFFSET(ORÇAMENTO!$X$15,ROW(AG506)-ROW(AG$15),0),
ROUND(ROUND(OFFSET($P506,0,AG$13),15-13*ORÇAMENTO!$AF$7)*OFFSET(ORÇAMENTO!$W$15,ROW(AG506)-ROW(AG$15),0),15-13*ORÇAMENTO!$AF$11)),0)</f>
        <v>0</v>
      </c>
      <c r="AH506" s="545">
        <f ca="1">IF(AND($D506="Serviço",AH$12&lt;&gt;0,$H506&gt;0,OR(AUTOEVENTO&lt;&gt;"manual",$M506&lt;&gt;1)),
IF(Import.TipoArredondamento&lt;&gt;"TransfereGOV",
ROUND(OFFSET($P506,0,AH$13),15-13*ORÇAMENTO!$AF$7)/$H506*OFFSET(ORÇAMENTO!$X$15,ROW(AH506)-ROW(AH$15),0),
ROUND(ROUND(OFFSET($P506,0,AH$13),15-13*ORÇAMENTO!$AF$7)*OFFSET(ORÇAMENTO!$W$15,ROW(AH506)-ROW(AH$15),0),15-13*ORÇAMENTO!$AF$11)),0)</f>
        <v>0</v>
      </c>
      <c r="AI506" s="545">
        <f ca="1">IF(AND($D506="Serviço",AI$12&lt;&gt;0,$H506&gt;0,OR(AUTOEVENTO&lt;&gt;"manual",$M506&lt;&gt;1)),
IF(Import.TipoArredondamento&lt;&gt;"TransfereGOV",
ROUND(OFFSET($P506,0,AI$13),15-13*ORÇAMENTO!$AF$7)/$H506*OFFSET(ORÇAMENTO!$X$15,ROW(AI506)-ROW(AI$15),0),
ROUND(ROUND(OFFSET($P506,0,AI$13),15-13*ORÇAMENTO!$AF$7)*OFFSET(ORÇAMENTO!$W$15,ROW(AI506)-ROW(AI$15),0),15-13*ORÇAMENTO!$AF$11)),0)</f>
        <v>0</v>
      </c>
      <c r="AJ506" s="545">
        <f ca="1">IF(AND($D506="Serviço",AJ$12&lt;&gt;0,$H506&gt;0,OR(AUTOEVENTO&lt;&gt;"manual",$M506&lt;&gt;1)),
IF(Import.TipoArredondamento&lt;&gt;"TransfereGOV",
ROUND(OFFSET($P506,0,AJ$13),15-13*ORÇAMENTO!$AF$7)/$H506*OFFSET(ORÇAMENTO!$X$15,ROW(AJ506)-ROW(AJ$15),0),
ROUND(ROUND(OFFSET($P506,0,AJ$13),15-13*ORÇAMENTO!$AF$7)*OFFSET(ORÇAMENTO!$W$15,ROW(AJ506)-ROW(AJ$15),0),15-13*ORÇAMENTO!$AF$11)),0)</f>
        <v>0</v>
      </c>
      <c r="AK506" s="546">
        <f ca="1">IF(AND($D506="Serviço",AK$12&lt;&gt;0,$H506&gt;0,OR(AUTOEVENTO&lt;&gt;"manual",$M506&lt;&gt;1)),
IF(Import.TipoArredondamento&lt;&gt;"TransfereGOV",
ROUND(OFFSET($P506,0,AK$13),15-13*ORÇAMENTO!$AF$7)/$H506*OFFSET(ORÇAMENTO!$X$15,ROW(AK506)-ROW(AK$15),0),
ROUND(ROUND(OFFSET($P506,0,AK$13),15-13*ORÇAMENTO!$AF$7)*OFFSET(ORÇAMENTO!$W$15,ROW(AK506)-ROW(AK$15),0),15-13*ORÇAMENTO!$AF$11)),0)</f>
        <v>0</v>
      </c>
      <c r="AM506" s="181">
        <f ca="1">IF($D506&lt;&gt;"Serviço",0,IF(AND(AUTOEVENTO="Manual",$M506=1),0,IF(OFFSET(CRONOPLE!$F$14,$M506,AM$13)="",10^12,OFFSET(CRONOPLE!$F$14,$M506,AM$13))))</f>
        <v>1000000000000</v>
      </c>
      <c r="AN506" s="181">
        <f ca="1">IF($D506&lt;&gt;"Serviço",0,IF(AND(AUTOEVENTO="Manual",$M506=1),0,IF(OFFSET(CRONOPLE!$F$14,$M506,AN$13)="",10^12,OFFSET(CRONOPLE!$F$14,$M506,AN$13))))</f>
        <v>1000000000000</v>
      </c>
      <c r="AO506" s="181">
        <f ca="1">IF($D506&lt;&gt;"Serviço",0,IF(AND(AUTOEVENTO="Manual",$M506=1),0,IF(OFFSET(CRONOPLE!$F$14,$M506,AO$13)="",10^12,OFFSET(CRONOPLE!$F$14,$M506,AO$13))))</f>
        <v>1000000000000</v>
      </c>
      <c r="AP506" s="181">
        <f ca="1">IF($D506&lt;&gt;"Serviço",0,IF(AND(AUTOEVENTO="Manual",$M506=1),0,IF(OFFSET(CRONOPLE!$F$14,$M506,AP$13)="",10^12,OFFSET(CRONOPLE!$F$14,$M506,AP$13))))</f>
        <v>1000000000000</v>
      </c>
      <c r="AQ506" s="181">
        <f ca="1">IF($D506&lt;&gt;"Serviço",0,IF(AND(AUTOEVENTO="Manual",$M506=1),0,IF(OFFSET(CRONOPLE!$F$14,$M506,AQ$13)="",10^12,OFFSET(CRONOPLE!$F$14,$M506,AQ$13))))</f>
        <v>1000000000000</v>
      </c>
      <c r="AR506" s="181">
        <f ca="1">IF($D506&lt;&gt;"Serviço",0,IF(AND(AUTOEVENTO="Manual",$M506=1),0,IF(OFFSET(CRONOPLE!$F$14,$M506,AR$13)="",10^12,OFFSET(CRONOPLE!$F$14,$M506,AR$13))))</f>
        <v>1000000000000</v>
      </c>
      <c r="AS506" s="181">
        <f ca="1">IF($D506&lt;&gt;"Serviço",0,IF(AND(AUTOEVENTO="Manual",$M506=1),0,IF(OFFSET(CRONOPLE!$F$14,$M506,AS$13)="",10^12,OFFSET(CRONOPLE!$F$14,$M506,AS$13))))</f>
        <v>1000000000000</v>
      </c>
      <c r="AT506" s="181">
        <f ca="1">IF($D506&lt;&gt;"Serviço",0,IF(AND(AUTOEVENTO="Manual",$M506=1),0,IF(OFFSET(CRONOPLE!$F$14,$M506,AT$13)="",10^12,OFFSET(CRONOPLE!$F$14,$M506,AT$13))))</f>
        <v>1000000000000</v>
      </c>
      <c r="AU506" s="181">
        <f ca="1">IF($D506&lt;&gt;"Serviço",0,IF(AND(AUTOEVENTO="Manual",$M506=1),0,IF(OFFSET(CRONOPLE!$F$14,$M506,AU$13)="",10^12,OFFSET(CRONOPLE!$F$14,$M506,AU$13))))</f>
        <v>1000000000000</v>
      </c>
      <c r="AV506" s="181">
        <f ca="1">IF($D506&lt;&gt;"Serviço",0,IF(AND(AUTOEVENTO="Manual",$M506=1),0,IF(OFFSET(CRONOPLE!$F$14,$M506,AV$13)="",10^12,OFFSET(CRONOPLE!$F$14,$M506,AV$13))))</f>
        <v>1000000000000</v>
      </c>
      <c r="AX506" s="182">
        <f ca="1">IF($D506&lt;&gt;"Serviço",0,IF(OR(AND(AUTOEVENTO="Manual",$M506=1),$M506&gt;(ROW(PLE.lastrow)-ROW(PLE.firstrow))),0,IF(OFFSET(PLE!$G$14,$M506,AX$13)="",10^12,OFFSET(PLE!$G$14,$M506,AX$13))))</f>
        <v>1000000000000</v>
      </c>
      <c r="AY506" s="182">
        <f ca="1">IF($D506&lt;&gt;"Serviço",0,IF(OR(AND(AUTOEVENTO="Manual",$M506=1),$M506&gt;(ROW(PLE.lastrow)-ROW(PLE.firstrow))),0,IF(OFFSET(PLE!$G$14,$M506,AY$13)="",10^12,OFFSET(PLE!$G$14,$M506,AY$13))))</f>
        <v>1000000000000</v>
      </c>
      <c r="AZ506" s="182">
        <f ca="1">IF($D506&lt;&gt;"Serviço",0,IF(OR(AND(AUTOEVENTO="Manual",$M506=1),$M506&gt;(ROW(PLE.lastrow)-ROW(PLE.firstrow))),0,IF(OFFSET(PLE!$G$14,$M506,AZ$13)="",10^12,OFFSET(PLE!$G$14,$M506,AZ$13))))</f>
        <v>1000000000000</v>
      </c>
      <c r="BA506" s="182">
        <f ca="1">IF($D506&lt;&gt;"Serviço",0,IF(OR(AND(AUTOEVENTO="Manual",$M506=1),$M506&gt;(ROW(PLE.lastrow)-ROW(PLE.firstrow))),0,IF(OFFSET(PLE!$G$14,$M506,BA$13)="",10^12,OFFSET(PLE!$G$14,$M506,BA$13))))</f>
        <v>1000000000000</v>
      </c>
      <c r="BB506" s="182">
        <f ca="1">IF($D506&lt;&gt;"Serviço",0,IF(OR(AND(AUTOEVENTO="Manual",$M506=1),$M506&gt;(ROW(PLE.lastrow)-ROW(PLE.firstrow))),0,IF(OFFSET(PLE!$G$14,$M506,BB$13)="",10^12,OFFSET(PLE!$G$14,$M506,BB$13))))</f>
        <v>1000000000000</v>
      </c>
      <c r="BC506" s="182">
        <f ca="1">IF($D506&lt;&gt;"Serviço",0,IF(OR(AND(AUTOEVENTO="Manual",$M506=1),$M506&gt;(ROW(PLE.lastrow)-ROW(PLE.firstrow))),0,IF(OFFSET(PLE!$G$14,$M506,BC$13)="",10^12,OFFSET(PLE!$G$14,$M506,BC$13))))</f>
        <v>1000000000000</v>
      </c>
      <c r="BD506" s="182">
        <f ca="1">IF($D506&lt;&gt;"Serviço",0,IF(OR(AND(AUTOEVENTO="Manual",$M506=1),$M506&gt;(ROW(PLE.lastrow)-ROW(PLE.firstrow))),0,IF(OFFSET(PLE!$G$14,$M506,BD$13)="",10^12,OFFSET(PLE!$G$14,$M506,BD$13))))</f>
        <v>1000000000000</v>
      </c>
      <c r="BE506" s="182">
        <f ca="1">IF($D506&lt;&gt;"Serviço",0,IF(OR(AND(AUTOEVENTO="Manual",$M506=1),$M506&gt;(ROW(PLE.lastrow)-ROW(PLE.firstrow))),0,IF(OFFSET(PLE!$G$14,$M506,BE$13)="",10^12,OFFSET(PLE!$G$14,$M506,BE$13))))</f>
        <v>1000000000000</v>
      </c>
      <c r="BF506" s="182">
        <f ca="1">IF($D506&lt;&gt;"Serviço",0,IF(OR(AND(AUTOEVENTO="Manual",$M506=1),$M506&gt;(ROW(PLE.lastrow)-ROW(PLE.firstrow))),0,IF(OFFSET(PLE!$G$14,$M506,BF$13)="",10^12,OFFSET(PLE!$G$14,$M506,BF$13))))</f>
        <v>1000000000000</v>
      </c>
      <c r="BG506" s="182">
        <f ca="1">IF($D506&lt;&gt;"Serviço",0,IF(OR(AND(AUTOEVENTO="Manual",$M506=1),$M506&gt;(ROW(PLE.lastrow)-ROW(PLE.firstrow))),0,IF(OFFSET(PLE!$G$14,$M506,BG$13)="",10^12,OFFSET(PLE!$G$14,$M506,BG$13))))</f>
        <v>1000000000000</v>
      </c>
    </row>
    <row r="507" spans="1:59" ht="25.5" x14ac:dyDescent="0.2">
      <c r="A507" s="7" t="str">
        <f t="shared" ca="1" si="11"/>
        <v>472</v>
      </c>
      <c r="B507" s="7" t="str">
        <f ca="1">OFFSET(ORÇAMENTO!C$15,ROW(B507)-ROW(B$15),0)</f>
        <v>S</v>
      </c>
      <c r="C507" s="7" t="str">
        <f ca="1">OFFSET(ORÇAMENTO!L$15,ROW(C507)-ROW(C$15),0)</f>
        <v/>
      </c>
      <c r="D507" s="118" t="str">
        <f ca="1">OFFSET(ORÇAMENTO!N$15,ROW(D507)-ROW(D$15),0)</f>
        <v>Serviço</v>
      </c>
      <c r="E507" s="119" t="str">
        <f ca="1">OFFSET(ORÇAMENTO!O$15,ROW(E507)-ROW(E$15),0)</f>
        <v>-</v>
      </c>
      <c r="F507" s="172" t="str">
        <f ca="1">OFFSET(ORÇAMENTO!R$15,ROW(F507)-ROW(F$15),0)</f>
        <v>(abra o arquivo 'Referência 02-2025.xlsm)</v>
      </c>
      <c r="G507" s="173" t="str">
        <f ca="1">IF($D507&lt;&gt;"Serviço","",OFFSET(ORÇAMENTO!S$15,ROW(G507)-ROW(G$15),0))</f>
        <v>-</v>
      </c>
      <c r="H507" s="124">
        <f ca="1">IF($D507&lt;&gt;"Serviço",0,IF(ACOMPANHAMENTO="BM",ROUND(OFFSET(ORÇAMENTO!AJ$15,ROW(H507)-ROW(H$15),0),15-13*ORÇAMENTO!$AF$7),SUMPRODUCT(($Q$12:$AA$12&lt;&gt;"")*ROUND($Q507:$AA507,15-13*ORÇAMENTO!$AF$7))))</f>
        <v>1</v>
      </c>
      <c r="I507" s="561" t="s">
        <v>890</v>
      </c>
      <c r="K507" s="174"/>
      <c r="L507" s="175" t="s">
        <v>255</v>
      </c>
      <c r="M507" s="176">
        <f ca="1">IF($D507&lt;&gt;"Serviço","",IF(AUTOEVENTO="manual",$A507,IF(ISERROR(MATCH($A507,$A$15:OFFSET($A507,-1,0),0)),MAX($M$15:OFFSET(M507,-1,0))+1,INDEX($M$15:OFFSET(M507,-1,0),MATCH($A507,$A$15:OFFSET($A507,-1,0),0)))))</f>
        <v>18</v>
      </c>
      <c r="N507" s="177" t="str">
        <f ca="1">IF($D507&lt;&gt;"Serviço","",IF(AUTOEVENTO="Manual",IF($A507=0,"&lt;-- defina o número do agrupador",OFFSET(EVENTOS!$D$14,$A507,0)),OFFSET($F$15,$A507,0)))</f>
        <v>INSTALAÇÕES ELÉTRICAS - 220V</v>
      </c>
      <c r="O507" s="178"/>
      <c r="Q507" s="178"/>
      <c r="R507" s="179"/>
      <c r="S507" s="179"/>
      <c r="T507" s="179"/>
      <c r="U507" s="179"/>
      <c r="V507" s="179"/>
      <c r="W507" s="179"/>
      <c r="X507" s="179"/>
      <c r="Y507" s="179"/>
      <c r="Z507" s="180"/>
      <c r="AB507" s="544">
        <f ca="1">IF(AND($D507="Serviço",AB$12&lt;&gt;0,$H507&gt;0,OR(AUTOEVENTO&lt;&gt;"manual",$M507&lt;&gt;1)),
IF(Import.TipoArredondamento&lt;&gt;"TransfereGOV",
ROUND(OFFSET($P507,0,AB$13),15-13*ORÇAMENTO!$AF$7)/$H507*OFFSET(ORÇAMENTO!$X$15,ROW(AB507)-ROW(AB$15),0),
ROUND(ROUND(OFFSET($P507,0,AB$13),15-13*ORÇAMENTO!$AF$7)*OFFSET(ORÇAMENTO!$W$15,ROW(AB507)-ROW(AB$15),0),15-13*ORÇAMENTO!$AF$11)),0)</f>
        <v>0</v>
      </c>
      <c r="AC507" s="545">
        <f ca="1">IF(AND($D507="Serviço",AC$12&lt;&gt;0,$H507&gt;0,OR(AUTOEVENTO&lt;&gt;"manual",$M507&lt;&gt;1)),
IF(Import.TipoArredondamento&lt;&gt;"TransfereGOV",
ROUND(OFFSET($P507,0,AC$13),15-13*ORÇAMENTO!$AF$7)/$H507*OFFSET(ORÇAMENTO!$X$15,ROW(AC507)-ROW(AC$15),0),
ROUND(ROUND(OFFSET($P507,0,AC$13),15-13*ORÇAMENTO!$AF$7)*OFFSET(ORÇAMENTO!$W$15,ROW(AC507)-ROW(AC$15),0),15-13*ORÇAMENTO!$AF$11)),0)</f>
        <v>0</v>
      </c>
      <c r="AD507" s="545">
        <f ca="1">IF(AND($D507="Serviço",AD$12&lt;&gt;0,$H507&gt;0,OR(AUTOEVENTO&lt;&gt;"manual",$M507&lt;&gt;1)),
IF(Import.TipoArredondamento&lt;&gt;"TransfereGOV",
ROUND(OFFSET($P507,0,AD$13),15-13*ORÇAMENTO!$AF$7)/$H507*OFFSET(ORÇAMENTO!$X$15,ROW(AD507)-ROW(AD$15),0),
ROUND(ROUND(OFFSET($P507,0,AD$13),15-13*ORÇAMENTO!$AF$7)*OFFSET(ORÇAMENTO!$W$15,ROW(AD507)-ROW(AD$15),0),15-13*ORÇAMENTO!$AF$11)),0)</f>
        <v>0</v>
      </c>
      <c r="AE507" s="545">
        <f ca="1">IF(AND($D507="Serviço",AE$12&lt;&gt;0,$H507&gt;0,OR(AUTOEVENTO&lt;&gt;"manual",$M507&lt;&gt;1)),
IF(Import.TipoArredondamento&lt;&gt;"TransfereGOV",
ROUND(OFFSET($P507,0,AE$13),15-13*ORÇAMENTO!$AF$7)/$H507*OFFSET(ORÇAMENTO!$X$15,ROW(AE507)-ROW(AE$15),0),
ROUND(ROUND(OFFSET($P507,0,AE$13),15-13*ORÇAMENTO!$AF$7)*OFFSET(ORÇAMENTO!$W$15,ROW(AE507)-ROW(AE$15),0),15-13*ORÇAMENTO!$AF$11)),0)</f>
        <v>0</v>
      </c>
      <c r="AF507" s="545">
        <f ca="1">IF(AND($D507="Serviço",AF$12&lt;&gt;0,$H507&gt;0,OR(AUTOEVENTO&lt;&gt;"manual",$M507&lt;&gt;1)),
IF(Import.TipoArredondamento&lt;&gt;"TransfereGOV",
ROUND(OFFSET($P507,0,AF$13),15-13*ORÇAMENTO!$AF$7)/$H507*OFFSET(ORÇAMENTO!$X$15,ROW(AF507)-ROW(AF$15),0),
ROUND(ROUND(OFFSET($P507,0,AF$13),15-13*ORÇAMENTO!$AF$7)*OFFSET(ORÇAMENTO!$W$15,ROW(AF507)-ROW(AF$15),0),15-13*ORÇAMENTO!$AF$11)),0)</f>
        <v>0</v>
      </c>
      <c r="AG507" s="545">
        <f ca="1">IF(AND($D507="Serviço",AG$12&lt;&gt;0,$H507&gt;0,OR(AUTOEVENTO&lt;&gt;"manual",$M507&lt;&gt;1)),
IF(Import.TipoArredondamento&lt;&gt;"TransfereGOV",
ROUND(OFFSET($P507,0,AG$13),15-13*ORÇAMENTO!$AF$7)/$H507*OFFSET(ORÇAMENTO!$X$15,ROW(AG507)-ROW(AG$15),0),
ROUND(ROUND(OFFSET($P507,0,AG$13),15-13*ORÇAMENTO!$AF$7)*OFFSET(ORÇAMENTO!$W$15,ROW(AG507)-ROW(AG$15),0),15-13*ORÇAMENTO!$AF$11)),0)</f>
        <v>0</v>
      </c>
      <c r="AH507" s="545">
        <f ca="1">IF(AND($D507="Serviço",AH$12&lt;&gt;0,$H507&gt;0,OR(AUTOEVENTO&lt;&gt;"manual",$M507&lt;&gt;1)),
IF(Import.TipoArredondamento&lt;&gt;"TransfereGOV",
ROUND(OFFSET($P507,0,AH$13),15-13*ORÇAMENTO!$AF$7)/$H507*OFFSET(ORÇAMENTO!$X$15,ROW(AH507)-ROW(AH$15),0),
ROUND(ROUND(OFFSET($P507,0,AH$13),15-13*ORÇAMENTO!$AF$7)*OFFSET(ORÇAMENTO!$W$15,ROW(AH507)-ROW(AH$15),0),15-13*ORÇAMENTO!$AF$11)),0)</f>
        <v>0</v>
      </c>
      <c r="AI507" s="545">
        <f ca="1">IF(AND($D507="Serviço",AI$12&lt;&gt;0,$H507&gt;0,OR(AUTOEVENTO&lt;&gt;"manual",$M507&lt;&gt;1)),
IF(Import.TipoArredondamento&lt;&gt;"TransfereGOV",
ROUND(OFFSET($P507,0,AI$13),15-13*ORÇAMENTO!$AF$7)/$H507*OFFSET(ORÇAMENTO!$X$15,ROW(AI507)-ROW(AI$15),0),
ROUND(ROUND(OFFSET($P507,0,AI$13),15-13*ORÇAMENTO!$AF$7)*OFFSET(ORÇAMENTO!$W$15,ROW(AI507)-ROW(AI$15),0),15-13*ORÇAMENTO!$AF$11)),0)</f>
        <v>0</v>
      </c>
      <c r="AJ507" s="545">
        <f ca="1">IF(AND($D507="Serviço",AJ$12&lt;&gt;0,$H507&gt;0,OR(AUTOEVENTO&lt;&gt;"manual",$M507&lt;&gt;1)),
IF(Import.TipoArredondamento&lt;&gt;"TransfereGOV",
ROUND(OFFSET($P507,0,AJ$13),15-13*ORÇAMENTO!$AF$7)/$H507*OFFSET(ORÇAMENTO!$X$15,ROW(AJ507)-ROW(AJ$15),0),
ROUND(ROUND(OFFSET($P507,0,AJ$13),15-13*ORÇAMENTO!$AF$7)*OFFSET(ORÇAMENTO!$W$15,ROW(AJ507)-ROW(AJ$15),0),15-13*ORÇAMENTO!$AF$11)),0)</f>
        <v>0</v>
      </c>
      <c r="AK507" s="546">
        <f ca="1">IF(AND($D507="Serviço",AK$12&lt;&gt;0,$H507&gt;0,OR(AUTOEVENTO&lt;&gt;"manual",$M507&lt;&gt;1)),
IF(Import.TipoArredondamento&lt;&gt;"TransfereGOV",
ROUND(OFFSET($P507,0,AK$13),15-13*ORÇAMENTO!$AF$7)/$H507*OFFSET(ORÇAMENTO!$X$15,ROW(AK507)-ROW(AK$15),0),
ROUND(ROUND(OFFSET($P507,0,AK$13),15-13*ORÇAMENTO!$AF$7)*OFFSET(ORÇAMENTO!$W$15,ROW(AK507)-ROW(AK$15),0),15-13*ORÇAMENTO!$AF$11)),0)</f>
        <v>0</v>
      </c>
      <c r="AM507" s="181">
        <f ca="1">IF($D507&lt;&gt;"Serviço",0,IF(AND(AUTOEVENTO="Manual",$M507=1),0,IF(OFFSET(CRONOPLE!$F$14,$M507,AM$13)="",10^12,OFFSET(CRONOPLE!$F$14,$M507,AM$13))))</f>
        <v>1000000000000</v>
      </c>
      <c r="AN507" s="181">
        <f ca="1">IF($D507&lt;&gt;"Serviço",0,IF(AND(AUTOEVENTO="Manual",$M507=1),0,IF(OFFSET(CRONOPLE!$F$14,$M507,AN$13)="",10^12,OFFSET(CRONOPLE!$F$14,$M507,AN$13))))</f>
        <v>1000000000000</v>
      </c>
      <c r="AO507" s="181">
        <f ca="1">IF($D507&lt;&gt;"Serviço",0,IF(AND(AUTOEVENTO="Manual",$M507=1),0,IF(OFFSET(CRONOPLE!$F$14,$M507,AO$13)="",10^12,OFFSET(CRONOPLE!$F$14,$M507,AO$13))))</f>
        <v>1000000000000</v>
      </c>
      <c r="AP507" s="181">
        <f ca="1">IF($D507&lt;&gt;"Serviço",0,IF(AND(AUTOEVENTO="Manual",$M507=1),0,IF(OFFSET(CRONOPLE!$F$14,$M507,AP$13)="",10^12,OFFSET(CRONOPLE!$F$14,$M507,AP$13))))</f>
        <v>1000000000000</v>
      </c>
      <c r="AQ507" s="181">
        <f ca="1">IF($D507&lt;&gt;"Serviço",0,IF(AND(AUTOEVENTO="Manual",$M507=1),0,IF(OFFSET(CRONOPLE!$F$14,$M507,AQ$13)="",10^12,OFFSET(CRONOPLE!$F$14,$M507,AQ$13))))</f>
        <v>1000000000000</v>
      </c>
      <c r="AR507" s="181">
        <f ca="1">IF($D507&lt;&gt;"Serviço",0,IF(AND(AUTOEVENTO="Manual",$M507=1),0,IF(OFFSET(CRONOPLE!$F$14,$M507,AR$13)="",10^12,OFFSET(CRONOPLE!$F$14,$M507,AR$13))))</f>
        <v>1000000000000</v>
      </c>
      <c r="AS507" s="181">
        <f ca="1">IF($D507&lt;&gt;"Serviço",0,IF(AND(AUTOEVENTO="Manual",$M507=1),0,IF(OFFSET(CRONOPLE!$F$14,$M507,AS$13)="",10^12,OFFSET(CRONOPLE!$F$14,$M507,AS$13))))</f>
        <v>1000000000000</v>
      </c>
      <c r="AT507" s="181">
        <f ca="1">IF($D507&lt;&gt;"Serviço",0,IF(AND(AUTOEVENTO="Manual",$M507=1),0,IF(OFFSET(CRONOPLE!$F$14,$M507,AT$13)="",10^12,OFFSET(CRONOPLE!$F$14,$M507,AT$13))))</f>
        <v>1000000000000</v>
      </c>
      <c r="AU507" s="181">
        <f ca="1">IF($D507&lt;&gt;"Serviço",0,IF(AND(AUTOEVENTO="Manual",$M507=1),0,IF(OFFSET(CRONOPLE!$F$14,$M507,AU$13)="",10^12,OFFSET(CRONOPLE!$F$14,$M507,AU$13))))</f>
        <v>1000000000000</v>
      </c>
      <c r="AV507" s="181">
        <f ca="1">IF($D507&lt;&gt;"Serviço",0,IF(AND(AUTOEVENTO="Manual",$M507=1),0,IF(OFFSET(CRONOPLE!$F$14,$M507,AV$13)="",10^12,OFFSET(CRONOPLE!$F$14,$M507,AV$13))))</f>
        <v>1000000000000</v>
      </c>
      <c r="AX507" s="182">
        <f ca="1">IF($D507&lt;&gt;"Serviço",0,IF(OR(AND(AUTOEVENTO="Manual",$M507=1),$M507&gt;(ROW(PLE.lastrow)-ROW(PLE.firstrow))),0,IF(OFFSET(PLE!$G$14,$M507,AX$13)="",10^12,OFFSET(PLE!$G$14,$M507,AX$13))))</f>
        <v>1000000000000</v>
      </c>
      <c r="AY507" s="182">
        <f ca="1">IF($D507&lt;&gt;"Serviço",0,IF(OR(AND(AUTOEVENTO="Manual",$M507=1),$M507&gt;(ROW(PLE.lastrow)-ROW(PLE.firstrow))),0,IF(OFFSET(PLE!$G$14,$M507,AY$13)="",10^12,OFFSET(PLE!$G$14,$M507,AY$13))))</f>
        <v>1000000000000</v>
      </c>
      <c r="AZ507" s="182">
        <f ca="1">IF($D507&lt;&gt;"Serviço",0,IF(OR(AND(AUTOEVENTO="Manual",$M507=1),$M507&gt;(ROW(PLE.lastrow)-ROW(PLE.firstrow))),0,IF(OFFSET(PLE!$G$14,$M507,AZ$13)="",10^12,OFFSET(PLE!$G$14,$M507,AZ$13))))</f>
        <v>1000000000000</v>
      </c>
      <c r="BA507" s="182">
        <f ca="1">IF($D507&lt;&gt;"Serviço",0,IF(OR(AND(AUTOEVENTO="Manual",$M507=1),$M507&gt;(ROW(PLE.lastrow)-ROW(PLE.firstrow))),0,IF(OFFSET(PLE!$G$14,$M507,BA$13)="",10^12,OFFSET(PLE!$G$14,$M507,BA$13))))</f>
        <v>1000000000000</v>
      </c>
      <c r="BB507" s="182">
        <f ca="1">IF($D507&lt;&gt;"Serviço",0,IF(OR(AND(AUTOEVENTO="Manual",$M507=1),$M507&gt;(ROW(PLE.lastrow)-ROW(PLE.firstrow))),0,IF(OFFSET(PLE!$G$14,$M507,BB$13)="",10^12,OFFSET(PLE!$G$14,$M507,BB$13))))</f>
        <v>1000000000000</v>
      </c>
      <c r="BC507" s="182">
        <f ca="1">IF($D507&lt;&gt;"Serviço",0,IF(OR(AND(AUTOEVENTO="Manual",$M507=1),$M507&gt;(ROW(PLE.lastrow)-ROW(PLE.firstrow))),0,IF(OFFSET(PLE!$G$14,$M507,BC$13)="",10^12,OFFSET(PLE!$G$14,$M507,BC$13))))</f>
        <v>1000000000000</v>
      </c>
      <c r="BD507" s="182">
        <f ca="1">IF($D507&lt;&gt;"Serviço",0,IF(OR(AND(AUTOEVENTO="Manual",$M507=1),$M507&gt;(ROW(PLE.lastrow)-ROW(PLE.firstrow))),0,IF(OFFSET(PLE!$G$14,$M507,BD$13)="",10^12,OFFSET(PLE!$G$14,$M507,BD$13))))</f>
        <v>1000000000000</v>
      </c>
      <c r="BE507" s="182">
        <f ca="1">IF($D507&lt;&gt;"Serviço",0,IF(OR(AND(AUTOEVENTO="Manual",$M507=1),$M507&gt;(ROW(PLE.lastrow)-ROW(PLE.firstrow))),0,IF(OFFSET(PLE!$G$14,$M507,BE$13)="",10^12,OFFSET(PLE!$G$14,$M507,BE$13))))</f>
        <v>1000000000000</v>
      </c>
      <c r="BF507" s="182">
        <f ca="1">IF($D507&lt;&gt;"Serviço",0,IF(OR(AND(AUTOEVENTO="Manual",$M507=1),$M507&gt;(ROW(PLE.lastrow)-ROW(PLE.firstrow))),0,IF(OFFSET(PLE!$G$14,$M507,BF$13)="",10^12,OFFSET(PLE!$G$14,$M507,BF$13))))</f>
        <v>1000000000000</v>
      </c>
      <c r="BG507" s="182">
        <f ca="1">IF($D507&lt;&gt;"Serviço",0,IF(OR(AND(AUTOEVENTO="Manual",$M507=1),$M507&gt;(ROW(PLE.lastrow)-ROW(PLE.firstrow))),0,IF(OFFSET(PLE!$G$14,$M507,BG$13)="",10^12,OFFSET(PLE!$G$14,$M507,BG$13))))</f>
        <v>1000000000000</v>
      </c>
    </row>
    <row r="508" spans="1:59" ht="25.5" x14ac:dyDescent="0.2">
      <c r="A508" s="7" t="str">
        <f t="shared" ca="1" si="11"/>
        <v>472</v>
      </c>
      <c r="B508" s="7" t="str">
        <f ca="1">OFFSET(ORÇAMENTO!C$15,ROW(B508)-ROW(B$15),0)</f>
        <v>S</v>
      </c>
      <c r="C508" s="7" t="str">
        <f ca="1">OFFSET(ORÇAMENTO!L$15,ROW(C508)-ROW(C$15),0)</f>
        <v/>
      </c>
      <c r="D508" s="118" t="str">
        <f ca="1">OFFSET(ORÇAMENTO!N$15,ROW(D508)-ROW(D$15),0)</f>
        <v>Serviço</v>
      </c>
      <c r="E508" s="119" t="str">
        <f ca="1">OFFSET(ORÇAMENTO!O$15,ROW(E508)-ROW(E$15),0)</f>
        <v>-</v>
      </c>
      <c r="F508" s="172" t="str">
        <f ca="1">OFFSET(ORÇAMENTO!R$15,ROW(F508)-ROW(F$15),0)</f>
        <v>(abra o arquivo 'Referência 02-2025.xlsm)</v>
      </c>
      <c r="G508" s="173" t="str">
        <f ca="1">IF($D508&lt;&gt;"Serviço","",OFFSET(ORÇAMENTO!S$15,ROW(G508)-ROW(G$15),0))</f>
        <v>-</v>
      </c>
      <c r="H508" s="124">
        <f ca="1">IF($D508&lt;&gt;"Serviço",0,IF(ACOMPANHAMENTO="BM",ROUND(OFFSET(ORÇAMENTO!AJ$15,ROW(H508)-ROW(H$15),0),15-13*ORÇAMENTO!$AF$7),SUMPRODUCT(($Q$12:$AA$12&lt;&gt;"")*ROUND($Q508:$AA508,15-13*ORÇAMENTO!$AF$7))))</f>
        <v>1</v>
      </c>
      <c r="I508" s="561" t="s">
        <v>890</v>
      </c>
      <c r="K508" s="174"/>
      <c r="L508" s="175" t="s">
        <v>255</v>
      </c>
      <c r="M508" s="176">
        <f ca="1">IF($D508&lt;&gt;"Serviço","",IF(AUTOEVENTO="manual",$A508,IF(ISERROR(MATCH($A508,$A$15:OFFSET($A508,-1,0),0)),MAX($M$15:OFFSET(M508,-1,0))+1,INDEX($M$15:OFFSET(M508,-1,0),MATCH($A508,$A$15:OFFSET($A508,-1,0),0)))))</f>
        <v>18</v>
      </c>
      <c r="N508" s="177" t="str">
        <f ca="1">IF($D508&lt;&gt;"Serviço","",IF(AUTOEVENTO="Manual",IF($A508=0,"&lt;-- defina o número do agrupador",OFFSET(EVENTOS!$D$14,$A508,0)),OFFSET($F$15,$A508,0)))</f>
        <v>INSTALAÇÕES ELÉTRICAS - 220V</v>
      </c>
      <c r="O508" s="178"/>
      <c r="Q508" s="178"/>
      <c r="R508" s="179"/>
      <c r="S508" s="179"/>
      <c r="T508" s="179"/>
      <c r="U508" s="179"/>
      <c r="V508" s="179"/>
      <c r="W508" s="179"/>
      <c r="X508" s="179"/>
      <c r="Y508" s="179"/>
      <c r="Z508" s="180"/>
      <c r="AB508" s="544">
        <f ca="1">IF(AND($D508="Serviço",AB$12&lt;&gt;0,$H508&gt;0,OR(AUTOEVENTO&lt;&gt;"manual",$M508&lt;&gt;1)),
IF(Import.TipoArredondamento&lt;&gt;"TransfereGOV",
ROUND(OFFSET($P508,0,AB$13),15-13*ORÇAMENTO!$AF$7)/$H508*OFFSET(ORÇAMENTO!$X$15,ROW(AB508)-ROW(AB$15),0),
ROUND(ROUND(OFFSET($P508,0,AB$13),15-13*ORÇAMENTO!$AF$7)*OFFSET(ORÇAMENTO!$W$15,ROW(AB508)-ROW(AB$15),0),15-13*ORÇAMENTO!$AF$11)),0)</f>
        <v>0</v>
      </c>
      <c r="AC508" s="545">
        <f ca="1">IF(AND($D508="Serviço",AC$12&lt;&gt;0,$H508&gt;0,OR(AUTOEVENTO&lt;&gt;"manual",$M508&lt;&gt;1)),
IF(Import.TipoArredondamento&lt;&gt;"TransfereGOV",
ROUND(OFFSET($P508,0,AC$13),15-13*ORÇAMENTO!$AF$7)/$H508*OFFSET(ORÇAMENTO!$X$15,ROW(AC508)-ROW(AC$15),0),
ROUND(ROUND(OFFSET($P508,0,AC$13),15-13*ORÇAMENTO!$AF$7)*OFFSET(ORÇAMENTO!$W$15,ROW(AC508)-ROW(AC$15),0),15-13*ORÇAMENTO!$AF$11)),0)</f>
        <v>0</v>
      </c>
      <c r="AD508" s="545">
        <f ca="1">IF(AND($D508="Serviço",AD$12&lt;&gt;0,$H508&gt;0,OR(AUTOEVENTO&lt;&gt;"manual",$M508&lt;&gt;1)),
IF(Import.TipoArredondamento&lt;&gt;"TransfereGOV",
ROUND(OFFSET($P508,0,AD$13),15-13*ORÇAMENTO!$AF$7)/$H508*OFFSET(ORÇAMENTO!$X$15,ROW(AD508)-ROW(AD$15),0),
ROUND(ROUND(OFFSET($P508,0,AD$13),15-13*ORÇAMENTO!$AF$7)*OFFSET(ORÇAMENTO!$W$15,ROW(AD508)-ROW(AD$15),0),15-13*ORÇAMENTO!$AF$11)),0)</f>
        <v>0</v>
      </c>
      <c r="AE508" s="545">
        <f ca="1">IF(AND($D508="Serviço",AE$12&lt;&gt;0,$H508&gt;0,OR(AUTOEVENTO&lt;&gt;"manual",$M508&lt;&gt;1)),
IF(Import.TipoArredondamento&lt;&gt;"TransfereGOV",
ROUND(OFFSET($P508,0,AE$13),15-13*ORÇAMENTO!$AF$7)/$H508*OFFSET(ORÇAMENTO!$X$15,ROW(AE508)-ROW(AE$15),0),
ROUND(ROUND(OFFSET($P508,0,AE$13),15-13*ORÇAMENTO!$AF$7)*OFFSET(ORÇAMENTO!$W$15,ROW(AE508)-ROW(AE$15),0),15-13*ORÇAMENTO!$AF$11)),0)</f>
        <v>0</v>
      </c>
      <c r="AF508" s="545">
        <f ca="1">IF(AND($D508="Serviço",AF$12&lt;&gt;0,$H508&gt;0,OR(AUTOEVENTO&lt;&gt;"manual",$M508&lt;&gt;1)),
IF(Import.TipoArredondamento&lt;&gt;"TransfereGOV",
ROUND(OFFSET($P508,0,AF$13),15-13*ORÇAMENTO!$AF$7)/$H508*OFFSET(ORÇAMENTO!$X$15,ROW(AF508)-ROW(AF$15),0),
ROUND(ROUND(OFFSET($P508,0,AF$13),15-13*ORÇAMENTO!$AF$7)*OFFSET(ORÇAMENTO!$W$15,ROW(AF508)-ROW(AF$15),0),15-13*ORÇAMENTO!$AF$11)),0)</f>
        <v>0</v>
      </c>
      <c r="AG508" s="545">
        <f ca="1">IF(AND($D508="Serviço",AG$12&lt;&gt;0,$H508&gt;0,OR(AUTOEVENTO&lt;&gt;"manual",$M508&lt;&gt;1)),
IF(Import.TipoArredondamento&lt;&gt;"TransfereGOV",
ROUND(OFFSET($P508,0,AG$13),15-13*ORÇAMENTO!$AF$7)/$H508*OFFSET(ORÇAMENTO!$X$15,ROW(AG508)-ROW(AG$15),0),
ROUND(ROUND(OFFSET($P508,0,AG$13),15-13*ORÇAMENTO!$AF$7)*OFFSET(ORÇAMENTO!$W$15,ROW(AG508)-ROW(AG$15),0),15-13*ORÇAMENTO!$AF$11)),0)</f>
        <v>0</v>
      </c>
      <c r="AH508" s="545">
        <f ca="1">IF(AND($D508="Serviço",AH$12&lt;&gt;0,$H508&gt;0,OR(AUTOEVENTO&lt;&gt;"manual",$M508&lt;&gt;1)),
IF(Import.TipoArredondamento&lt;&gt;"TransfereGOV",
ROUND(OFFSET($P508,0,AH$13),15-13*ORÇAMENTO!$AF$7)/$H508*OFFSET(ORÇAMENTO!$X$15,ROW(AH508)-ROW(AH$15),0),
ROUND(ROUND(OFFSET($P508,0,AH$13),15-13*ORÇAMENTO!$AF$7)*OFFSET(ORÇAMENTO!$W$15,ROW(AH508)-ROW(AH$15),0),15-13*ORÇAMENTO!$AF$11)),0)</f>
        <v>0</v>
      </c>
      <c r="AI508" s="545">
        <f ca="1">IF(AND($D508="Serviço",AI$12&lt;&gt;0,$H508&gt;0,OR(AUTOEVENTO&lt;&gt;"manual",$M508&lt;&gt;1)),
IF(Import.TipoArredondamento&lt;&gt;"TransfereGOV",
ROUND(OFFSET($P508,0,AI$13),15-13*ORÇAMENTO!$AF$7)/$H508*OFFSET(ORÇAMENTO!$X$15,ROW(AI508)-ROW(AI$15),0),
ROUND(ROUND(OFFSET($P508,0,AI$13),15-13*ORÇAMENTO!$AF$7)*OFFSET(ORÇAMENTO!$W$15,ROW(AI508)-ROW(AI$15),0),15-13*ORÇAMENTO!$AF$11)),0)</f>
        <v>0</v>
      </c>
      <c r="AJ508" s="545">
        <f ca="1">IF(AND($D508="Serviço",AJ$12&lt;&gt;0,$H508&gt;0,OR(AUTOEVENTO&lt;&gt;"manual",$M508&lt;&gt;1)),
IF(Import.TipoArredondamento&lt;&gt;"TransfereGOV",
ROUND(OFFSET($P508,0,AJ$13),15-13*ORÇAMENTO!$AF$7)/$H508*OFFSET(ORÇAMENTO!$X$15,ROW(AJ508)-ROW(AJ$15),0),
ROUND(ROUND(OFFSET($P508,0,AJ$13),15-13*ORÇAMENTO!$AF$7)*OFFSET(ORÇAMENTO!$W$15,ROW(AJ508)-ROW(AJ$15),0),15-13*ORÇAMENTO!$AF$11)),0)</f>
        <v>0</v>
      </c>
      <c r="AK508" s="546">
        <f ca="1">IF(AND($D508="Serviço",AK$12&lt;&gt;0,$H508&gt;0,OR(AUTOEVENTO&lt;&gt;"manual",$M508&lt;&gt;1)),
IF(Import.TipoArredondamento&lt;&gt;"TransfereGOV",
ROUND(OFFSET($P508,0,AK$13),15-13*ORÇAMENTO!$AF$7)/$H508*OFFSET(ORÇAMENTO!$X$15,ROW(AK508)-ROW(AK$15),0),
ROUND(ROUND(OFFSET($P508,0,AK$13),15-13*ORÇAMENTO!$AF$7)*OFFSET(ORÇAMENTO!$W$15,ROW(AK508)-ROW(AK$15),0),15-13*ORÇAMENTO!$AF$11)),0)</f>
        <v>0</v>
      </c>
      <c r="AM508" s="181">
        <f ca="1">IF($D508&lt;&gt;"Serviço",0,IF(AND(AUTOEVENTO="Manual",$M508=1),0,IF(OFFSET(CRONOPLE!$F$14,$M508,AM$13)="",10^12,OFFSET(CRONOPLE!$F$14,$M508,AM$13))))</f>
        <v>1000000000000</v>
      </c>
      <c r="AN508" s="181">
        <f ca="1">IF($D508&lt;&gt;"Serviço",0,IF(AND(AUTOEVENTO="Manual",$M508=1),0,IF(OFFSET(CRONOPLE!$F$14,$M508,AN$13)="",10^12,OFFSET(CRONOPLE!$F$14,$M508,AN$13))))</f>
        <v>1000000000000</v>
      </c>
      <c r="AO508" s="181">
        <f ca="1">IF($D508&lt;&gt;"Serviço",0,IF(AND(AUTOEVENTO="Manual",$M508=1),0,IF(OFFSET(CRONOPLE!$F$14,$M508,AO$13)="",10^12,OFFSET(CRONOPLE!$F$14,$M508,AO$13))))</f>
        <v>1000000000000</v>
      </c>
      <c r="AP508" s="181">
        <f ca="1">IF($D508&lt;&gt;"Serviço",0,IF(AND(AUTOEVENTO="Manual",$M508=1),0,IF(OFFSET(CRONOPLE!$F$14,$M508,AP$13)="",10^12,OFFSET(CRONOPLE!$F$14,$M508,AP$13))))</f>
        <v>1000000000000</v>
      </c>
      <c r="AQ508" s="181">
        <f ca="1">IF($D508&lt;&gt;"Serviço",0,IF(AND(AUTOEVENTO="Manual",$M508=1),0,IF(OFFSET(CRONOPLE!$F$14,$M508,AQ$13)="",10^12,OFFSET(CRONOPLE!$F$14,$M508,AQ$13))))</f>
        <v>1000000000000</v>
      </c>
      <c r="AR508" s="181">
        <f ca="1">IF($D508&lt;&gt;"Serviço",0,IF(AND(AUTOEVENTO="Manual",$M508=1),0,IF(OFFSET(CRONOPLE!$F$14,$M508,AR$13)="",10^12,OFFSET(CRONOPLE!$F$14,$M508,AR$13))))</f>
        <v>1000000000000</v>
      </c>
      <c r="AS508" s="181">
        <f ca="1">IF($D508&lt;&gt;"Serviço",0,IF(AND(AUTOEVENTO="Manual",$M508=1),0,IF(OFFSET(CRONOPLE!$F$14,$M508,AS$13)="",10^12,OFFSET(CRONOPLE!$F$14,$M508,AS$13))))</f>
        <v>1000000000000</v>
      </c>
      <c r="AT508" s="181">
        <f ca="1">IF($D508&lt;&gt;"Serviço",0,IF(AND(AUTOEVENTO="Manual",$M508=1),0,IF(OFFSET(CRONOPLE!$F$14,$M508,AT$13)="",10^12,OFFSET(CRONOPLE!$F$14,$M508,AT$13))))</f>
        <v>1000000000000</v>
      </c>
      <c r="AU508" s="181">
        <f ca="1">IF($D508&lt;&gt;"Serviço",0,IF(AND(AUTOEVENTO="Manual",$M508=1),0,IF(OFFSET(CRONOPLE!$F$14,$M508,AU$13)="",10^12,OFFSET(CRONOPLE!$F$14,$M508,AU$13))))</f>
        <v>1000000000000</v>
      </c>
      <c r="AV508" s="181">
        <f ca="1">IF($D508&lt;&gt;"Serviço",0,IF(AND(AUTOEVENTO="Manual",$M508=1),0,IF(OFFSET(CRONOPLE!$F$14,$M508,AV$13)="",10^12,OFFSET(CRONOPLE!$F$14,$M508,AV$13))))</f>
        <v>1000000000000</v>
      </c>
      <c r="AX508" s="182">
        <f ca="1">IF($D508&lt;&gt;"Serviço",0,IF(OR(AND(AUTOEVENTO="Manual",$M508=1),$M508&gt;(ROW(PLE.lastrow)-ROW(PLE.firstrow))),0,IF(OFFSET(PLE!$G$14,$M508,AX$13)="",10^12,OFFSET(PLE!$G$14,$M508,AX$13))))</f>
        <v>1000000000000</v>
      </c>
      <c r="AY508" s="182">
        <f ca="1">IF($D508&lt;&gt;"Serviço",0,IF(OR(AND(AUTOEVENTO="Manual",$M508=1),$M508&gt;(ROW(PLE.lastrow)-ROW(PLE.firstrow))),0,IF(OFFSET(PLE!$G$14,$M508,AY$13)="",10^12,OFFSET(PLE!$G$14,$M508,AY$13))))</f>
        <v>1000000000000</v>
      </c>
      <c r="AZ508" s="182">
        <f ca="1">IF($D508&lt;&gt;"Serviço",0,IF(OR(AND(AUTOEVENTO="Manual",$M508=1),$M508&gt;(ROW(PLE.lastrow)-ROW(PLE.firstrow))),0,IF(OFFSET(PLE!$G$14,$M508,AZ$13)="",10^12,OFFSET(PLE!$G$14,$M508,AZ$13))))</f>
        <v>1000000000000</v>
      </c>
      <c r="BA508" s="182">
        <f ca="1">IF($D508&lt;&gt;"Serviço",0,IF(OR(AND(AUTOEVENTO="Manual",$M508=1),$M508&gt;(ROW(PLE.lastrow)-ROW(PLE.firstrow))),0,IF(OFFSET(PLE!$G$14,$M508,BA$13)="",10^12,OFFSET(PLE!$G$14,$M508,BA$13))))</f>
        <v>1000000000000</v>
      </c>
      <c r="BB508" s="182">
        <f ca="1">IF($D508&lt;&gt;"Serviço",0,IF(OR(AND(AUTOEVENTO="Manual",$M508=1),$M508&gt;(ROW(PLE.lastrow)-ROW(PLE.firstrow))),0,IF(OFFSET(PLE!$G$14,$M508,BB$13)="",10^12,OFFSET(PLE!$G$14,$M508,BB$13))))</f>
        <v>1000000000000</v>
      </c>
      <c r="BC508" s="182">
        <f ca="1">IF($D508&lt;&gt;"Serviço",0,IF(OR(AND(AUTOEVENTO="Manual",$M508=1),$M508&gt;(ROW(PLE.lastrow)-ROW(PLE.firstrow))),0,IF(OFFSET(PLE!$G$14,$M508,BC$13)="",10^12,OFFSET(PLE!$G$14,$M508,BC$13))))</f>
        <v>1000000000000</v>
      </c>
      <c r="BD508" s="182">
        <f ca="1">IF($D508&lt;&gt;"Serviço",0,IF(OR(AND(AUTOEVENTO="Manual",$M508=1),$M508&gt;(ROW(PLE.lastrow)-ROW(PLE.firstrow))),0,IF(OFFSET(PLE!$G$14,$M508,BD$13)="",10^12,OFFSET(PLE!$G$14,$M508,BD$13))))</f>
        <v>1000000000000</v>
      </c>
      <c r="BE508" s="182">
        <f ca="1">IF($D508&lt;&gt;"Serviço",0,IF(OR(AND(AUTOEVENTO="Manual",$M508=1),$M508&gt;(ROW(PLE.lastrow)-ROW(PLE.firstrow))),0,IF(OFFSET(PLE!$G$14,$M508,BE$13)="",10^12,OFFSET(PLE!$G$14,$M508,BE$13))))</f>
        <v>1000000000000</v>
      </c>
      <c r="BF508" s="182">
        <f ca="1">IF($D508&lt;&gt;"Serviço",0,IF(OR(AND(AUTOEVENTO="Manual",$M508=1),$M508&gt;(ROW(PLE.lastrow)-ROW(PLE.firstrow))),0,IF(OFFSET(PLE!$G$14,$M508,BF$13)="",10^12,OFFSET(PLE!$G$14,$M508,BF$13))))</f>
        <v>1000000000000</v>
      </c>
      <c r="BG508" s="182">
        <f ca="1">IF($D508&lt;&gt;"Serviço",0,IF(OR(AND(AUTOEVENTO="Manual",$M508=1),$M508&gt;(ROW(PLE.lastrow)-ROW(PLE.firstrow))),0,IF(OFFSET(PLE!$G$14,$M508,BG$13)="",10^12,OFFSET(PLE!$G$14,$M508,BG$13))))</f>
        <v>1000000000000</v>
      </c>
    </row>
    <row r="509" spans="1:59" ht="25.5" x14ac:dyDescent="0.2">
      <c r="A509" s="7" t="str">
        <f t="shared" ca="1" si="11"/>
        <v>472</v>
      </c>
      <c r="B509" s="7" t="str">
        <f ca="1">OFFSET(ORÇAMENTO!C$15,ROW(B509)-ROW(B$15),0)</f>
        <v>S</v>
      </c>
      <c r="C509" s="7" t="str">
        <f ca="1">OFFSET(ORÇAMENTO!L$15,ROW(C509)-ROW(C$15),0)</f>
        <v/>
      </c>
      <c r="D509" s="118" t="str">
        <f ca="1">OFFSET(ORÇAMENTO!N$15,ROW(D509)-ROW(D$15),0)</f>
        <v>Serviço</v>
      </c>
      <c r="E509" s="119" t="str">
        <f ca="1">OFFSET(ORÇAMENTO!O$15,ROW(E509)-ROW(E$15),0)</f>
        <v>-</v>
      </c>
      <c r="F509" s="172" t="str">
        <f ca="1">OFFSET(ORÇAMENTO!R$15,ROW(F509)-ROW(F$15),0)</f>
        <v>(abra o arquivo 'Referência 02-2025.xlsm)</v>
      </c>
      <c r="G509" s="173" t="str">
        <f ca="1">IF($D509&lt;&gt;"Serviço","",OFFSET(ORÇAMENTO!S$15,ROW(G509)-ROW(G$15),0))</f>
        <v>-</v>
      </c>
      <c r="H509" s="124">
        <f ca="1">IF($D509&lt;&gt;"Serviço",0,IF(ACOMPANHAMENTO="BM",ROUND(OFFSET(ORÇAMENTO!AJ$15,ROW(H509)-ROW(H$15),0),15-13*ORÇAMENTO!$AF$7),SUMPRODUCT(($Q$12:$AA$12&lt;&gt;"")*ROUND($Q509:$AA509,15-13*ORÇAMENTO!$AF$7))))</f>
        <v>2</v>
      </c>
      <c r="I509" s="561" t="s">
        <v>890</v>
      </c>
      <c r="K509" s="174"/>
      <c r="L509" s="175" t="s">
        <v>255</v>
      </c>
      <c r="M509" s="176">
        <f ca="1">IF($D509&lt;&gt;"Serviço","",IF(AUTOEVENTO="manual",$A509,IF(ISERROR(MATCH($A509,$A$15:OFFSET($A509,-1,0),0)),MAX($M$15:OFFSET(M509,-1,0))+1,INDEX($M$15:OFFSET(M509,-1,0),MATCH($A509,$A$15:OFFSET($A509,-1,0),0)))))</f>
        <v>18</v>
      </c>
      <c r="N509" s="177" t="str">
        <f ca="1">IF($D509&lt;&gt;"Serviço","",IF(AUTOEVENTO="Manual",IF($A509=0,"&lt;-- defina o número do agrupador",OFFSET(EVENTOS!$D$14,$A509,0)),OFFSET($F$15,$A509,0)))</f>
        <v>INSTALAÇÕES ELÉTRICAS - 220V</v>
      </c>
      <c r="O509" s="178"/>
      <c r="Q509" s="178"/>
      <c r="R509" s="179"/>
      <c r="S509" s="179"/>
      <c r="T509" s="179"/>
      <c r="U509" s="179"/>
      <c r="V509" s="179"/>
      <c r="W509" s="179"/>
      <c r="X509" s="179"/>
      <c r="Y509" s="179"/>
      <c r="Z509" s="180"/>
      <c r="AB509" s="544">
        <f ca="1">IF(AND($D509="Serviço",AB$12&lt;&gt;0,$H509&gt;0,OR(AUTOEVENTO&lt;&gt;"manual",$M509&lt;&gt;1)),
IF(Import.TipoArredondamento&lt;&gt;"TransfereGOV",
ROUND(OFFSET($P509,0,AB$13),15-13*ORÇAMENTO!$AF$7)/$H509*OFFSET(ORÇAMENTO!$X$15,ROW(AB509)-ROW(AB$15),0),
ROUND(ROUND(OFFSET($P509,0,AB$13),15-13*ORÇAMENTO!$AF$7)*OFFSET(ORÇAMENTO!$W$15,ROW(AB509)-ROW(AB$15),0),15-13*ORÇAMENTO!$AF$11)),0)</f>
        <v>0</v>
      </c>
      <c r="AC509" s="545">
        <f ca="1">IF(AND($D509="Serviço",AC$12&lt;&gt;0,$H509&gt;0,OR(AUTOEVENTO&lt;&gt;"manual",$M509&lt;&gt;1)),
IF(Import.TipoArredondamento&lt;&gt;"TransfereGOV",
ROUND(OFFSET($P509,0,AC$13),15-13*ORÇAMENTO!$AF$7)/$H509*OFFSET(ORÇAMENTO!$X$15,ROW(AC509)-ROW(AC$15),0),
ROUND(ROUND(OFFSET($P509,0,AC$13),15-13*ORÇAMENTO!$AF$7)*OFFSET(ORÇAMENTO!$W$15,ROW(AC509)-ROW(AC$15),0),15-13*ORÇAMENTO!$AF$11)),0)</f>
        <v>0</v>
      </c>
      <c r="AD509" s="545">
        <f ca="1">IF(AND($D509="Serviço",AD$12&lt;&gt;0,$H509&gt;0,OR(AUTOEVENTO&lt;&gt;"manual",$M509&lt;&gt;1)),
IF(Import.TipoArredondamento&lt;&gt;"TransfereGOV",
ROUND(OFFSET($P509,0,AD$13),15-13*ORÇAMENTO!$AF$7)/$H509*OFFSET(ORÇAMENTO!$X$15,ROW(AD509)-ROW(AD$15),0),
ROUND(ROUND(OFFSET($P509,0,AD$13),15-13*ORÇAMENTO!$AF$7)*OFFSET(ORÇAMENTO!$W$15,ROW(AD509)-ROW(AD$15),0),15-13*ORÇAMENTO!$AF$11)),0)</f>
        <v>0</v>
      </c>
      <c r="AE509" s="545">
        <f ca="1">IF(AND($D509="Serviço",AE$12&lt;&gt;0,$H509&gt;0,OR(AUTOEVENTO&lt;&gt;"manual",$M509&lt;&gt;1)),
IF(Import.TipoArredondamento&lt;&gt;"TransfereGOV",
ROUND(OFFSET($P509,0,AE$13),15-13*ORÇAMENTO!$AF$7)/$H509*OFFSET(ORÇAMENTO!$X$15,ROW(AE509)-ROW(AE$15),0),
ROUND(ROUND(OFFSET($P509,0,AE$13),15-13*ORÇAMENTO!$AF$7)*OFFSET(ORÇAMENTO!$W$15,ROW(AE509)-ROW(AE$15),0),15-13*ORÇAMENTO!$AF$11)),0)</f>
        <v>0</v>
      </c>
      <c r="AF509" s="545">
        <f ca="1">IF(AND($D509="Serviço",AF$12&lt;&gt;0,$H509&gt;0,OR(AUTOEVENTO&lt;&gt;"manual",$M509&lt;&gt;1)),
IF(Import.TipoArredondamento&lt;&gt;"TransfereGOV",
ROUND(OFFSET($P509,0,AF$13),15-13*ORÇAMENTO!$AF$7)/$H509*OFFSET(ORÇAMENTO!$X$15,ROW(AF509)-ROW(AF$15),0),
ROUND(ROUND(OFFSET($P509,0,AF$13),15-13*ORÇAMENTO!$AF$7)*OFFSET(ORÇAMENTO!$W$15,ROW(AF509)-ROW(AF$15),0),15-13*ORÇAMENTO!$AF$11)),0)</f>
        <v>0</v>
      </c>
      <c r="AG509" s="545">
        <f ca="1">IF(AND($D509="Serviço",AG$12&lt;&gt;0,$H509&gt;0,OR(AUTOEVENTO&lt;&gt;"manual",$M509&lt;&gt;1)),
IF(Import.TipoArredondamento&lt;&gt;"TransfereGOV",
ROUND(OFFSET($P509,0,AG$13),15-13*ORÇAMENTO!$AF$7)/$H509*OFFSET(ORÇAMENTO!$X$15,ROW(AG509)-ROW(AG$15),0),
ROUND(ROUND(OFFSET($P509,0,AG$13),15-13*ORÇAMENTO!$AF$7)*OFFSET(ORÇAMENTO!$W$15,ROW(AG509)-ROW(AG$15),0),15-13*ORÇAMENTO!$AF$11)),0)</f>
        <v>0</v>
      </c>
      <c r="AH509" s="545">
        <f ca="1">IF(AND($D509="Serviço",AH$12&lt;&gt;0,$H509&gt;0,OR(AUTOEVENTO&lt;&gt;"manual",$M509&lt;&gt;1)),
IF(Import.TipoArredondamento&lt;&gt;"TransfereGOV",
ROUND(OFFSET($P509,0,AH$13),15-13*ORÇAMENTO!$AF$7)/$H509*OFFSET(ORÇAMENTO!$X$15,ROW(AH509)-ROW(AH$15),0),
ROUND(ROUND(OFFSET($P509,0,AH$13),15-13*ORÇAMENTO!$AF$7)*OFFSET(ORÇAMENTO!$W$15,ROW(AH509)-ROW(AH$15),0),15-13*ORÇAMENTO!$AF$11)),0)</f>
        <v>0</v>
      </c>
      <c r="AI509" s="545">
        <f ca="1">IF(AND($D509="Serviço",AI$12&lt;&gt;0,$H509&gt;0,OR(AUTOEVENTO&lt;&gt;"manual",$M509&lt;&gt;1)),
IF(Import.TipoArredondamento&lt;&gt;"TransfereGOV",
ROUND(OFFSET($P509,0,AI$13),15-13*ORÇAMENTO!$AF$7)/$H509*OFFSET(ORÇAMENTO!$X$15,ROW(AI509)-ROW(AI$15),0),
ROUND(ROUND(OFFSET($P509,0,AI$13),15-13*ORÇAMENTO!$AF$7)*OFFSET(ORÇAMENTO!$W$15,ROW(AI509)-ROW(AI$15),0),15-13*ORÇAMENTO!$AF$11)),0)</f>
        <v>0</v>
      </c>
      <c r="AJ509" s="545">
        <f ca="1">IF(AND($D509="Serviço",AJ$12&lt;&gt;0,$H509&gt;0,OR(AUTOEVENTO&lt;&gt;"manual",$M509&lt;&gt;1)),
IF(Import.TipoArredondamento&lt;&gt;"TransfereGOV",
ROUND(OFFSET($P509,0,AJ$13),15-13*ORÇAMENTO!$AF$7)/$H509*OFFSET(ORÇAMENTO!$X$15,ROW(AJ509)-ROW(AJ$15),0),
ROUND(ROUND(OFFSET($P509,0,AJ$13),15-13*ORÇAMENTO!$AF$7)*OFFSET(ORÇAMENTO!$W$15,ROW(AJ509)-ROW(AJ$15),0),15-13*ORÇAMENTO!$AF$11)),0)</f>
        <v>0</v>
      </c>
      <c r="AK509" s="546">
        <f ca="1">IF(AND($D509="Serviço",AK$12&lt;&gt;0,$H509&gt;0,OR(AUTOEVENTO&lt;&gt;"manual",$M509&lt;&gt;1)),
IF(Import.TipoArredondamento&lt;&gt;"TransfereGOV",
ROUND(OFFSET($P509,0,AK$13),15-13*ORÇAMENTO!$AF$7)/$H509*OFFSET(ORÇAMENTO!$X$15,ROW(AK509)-ROW(AK$15),0),
ROUND(ROUND(OFFSET($P509,0,AK$13),15-13*ORÇAMENTO!$AF$7)*OFFSET(ORÇAMENTO!$W$15,ROW(AK509)-ROW(AK$15),0),15-13*ORÇAMENTO!$AF$11)),0)</f>
        <v>0</v>
      </c>
      <c r="AM509" s="181">
        <f ca="1">IF($D509&lt;&gt;"Serviço",0,IF(AND(AUTOEVENTO="Manual",$M509=1),0,IF(OFFSET(CRONOPLE!$F$14,$M509,AM$13)="",10^12,OFFSET(CRONOPLE!$F$14,$M509,AM$13))))</f>
        <v>1000000000000</v>
      </c>
      <c r="AN509" s="181">
        <f ca="1">IF($D509&lt;&gt;"Serviço",0,IF(AND(AUTOEVENTO="Manual",$M509=1),0,IF(OFFSET(CRONOPLE!$F$14,$M509,AN$13)="",10^12,OFFSET(CRONOPLE!$F$14,$M509,AN$13))))</f>
        <v>1000000000000</v>
      </c>
      <c r="AO509" s="181">
        <f ca="1">IF($D509&lt;&gt;"Serviço",0,IF(AND(AUTOEVENTO="Manual",$M509=1),0,IF(OFFSET(CRONOPLE!$F$14,$M509,AO$13)="",10^12,OFFSET(CRONOPLE!$F$14,$M509,AO$13))))</f>
        <v>1000000000000</v>
      </c>
      <c r="AP509" s="181">
        <f ca="1">IF($D509&lt;&gt;"Serviço",0,IF(AND(AUTOEVENTO="Manual",$M509=1),0,IF(OFFSET(CRONOPLE!$F$14,$M509,AP$13)="",10^12,OFFSET(CRONOPLE!$F$14,$M509,AP$13))))</f>
        <v>1000000000000</v>
      </c>
      <c r="AQ509" s="181">
        <f ca="1">IF($D509&lt;&gt;"Serviço",0,IF(AND(AUTOEVENTO="Manual",$M509=1),0,IF(OFFSET(CRONOPLE!$F$14,$M509,AQ$13)="",10^12,OFFSET(CRONOPLE!$F$14,$M509,AQ$13))))</f>
        <v>1000000000000</v>
      </c>
      <c r="AR509" s="181">
        <f ca="1">IF($D509&lt;&gt;"Serviço",0,IF(AND(AUTOEVENTO="Manual",$M509=1),0,IF(OFFSET(CRONOPLE!$F$14,$M509,AR$13)="",10^12,OFFSET(CRONOPLE!$F$14,$M509,AR$13))))</f>
        <v>1000000000000</v>
      </c>
      <c r="AS509" s="181">
        <f ca="1">IF($D509&lt;&gt;"Serviço",0,IF(AND(AUTOEVENTO="Manual",$M509=1),0,IF(OFFSET(CRONOPLE!$F$14,$M509,AS$13)="",10^12,OFFSET(CRONOPLE!$F$14,$M509,AS$13))))</f>
        <v>1000000000000</v>
      </c>
      <c r="AT509" s="181">
        <f ca="1">IF($D509&lt;&gt;"Serviço",0,IF(AND(AUTOEVENTO="Manual",$M509=1),0,IF(OFFSET(CRONOPLE!$F$14,$M509,AT$13)="",10^12,OFFSET(CRONOPLE!$F$14,$M509,AT$13))))</f>
        <v>1000000000000</v>
      </c>
      <c r="AU509" s="181">
        <f ca="1">IF($D509&lt;&gt;"Serviço",0,IF(AND(AUTOEVENTO="Manual",$M509=1),0,IF(OFFSET(CRONOPLE!$F$14,$M509,AU$13)="",10^12,OFFSET(CRONOPLE!$F$14,$M509,AU$13))))</f>
        <v>1000000000000</v>
      </c>
      <c r="AV509" s="181">
        <f ca="1">IF($D509&lt;&gt;"Serviço",0,IF(AND(AUTOEVENTO="Manual",$M509=1),0,IF(OFFSET(CRONOPLE!$F$14,$M509,AV$13)="",10^12,OFFSET(CRONOPLE!$F$14,$M509,AV$13))))</f>
        <v>1000000000000</v>
      </c>
      <c r="AX509" s="182">
        <f ca="1">IF($D509&lt;&gt;"Serviço",0,IF(OR(AND(AUTOEVENTO="Manual",$M509=1),$M509&gt;(ROW(PLE.lastrow)-ROW(PLE.firstrow))),0,IF(OFFSET(PLE!$G$14,$M509,AX$13)="",10^12,OFFSET(PLE!$G$14,$M509,AX$13))))</f>
        <v>1000000000000</v>
      </c>
      <c r="AY509" s="182">
        <f ca="1">IF($D509&lt;&gt;"Serviço",0,IF(OR(AND(AUTOEVENTO="Manual",$M509=1),$M509&gt;(ROW(PLE.lastrow)-ROW(PLE.firstrow))),0,IF(OFFSET(PLE!$G$14,$M509,AY$13)="",10^12,OFFSET(PLE!$G$14,$M509,AY$13))))</f>
        <v>1000000000000</v>
      </c>
      <c r="AZ509" s="182">
        <f ca="1">IF($D509&lt;&gt;"Serviço",0,IF(OR(AND(AUTOEVENTO="Manual",$M509=1),$M509&gt;(ROW(PLE.lastrow)-ROW(PLE.firstrow))),0,IF(OFFSET(PLE!$G$14,$M509,AZ$13)="",10^12,OFFSET(PLE!$G$14,$M509,AZ$13))))</f>
        <v>1000000000000</v>
      </c>
      <c r="BA509" s="182">
        <f ca="1">IF($D509&lt;&gt;"Serviço",0,IF(OR(AND(AUTOEVENTO="Manual",$M509=1),$M509&gt;(ROW(PLE.lastrow)-ROW(PLE.firstrow))),0,IF(OFFSET(PLE!$G$14,$M509,BA$13)="",10^12,OFFSET(PLE!$G$14,$M509,BA$13))))</f>
        <v>1000000000000</v>
      </c>
      <c r="BB509" s="182">
        <f ca="1">IF($D509&lt;&gt;"Serviço",0,IF(OR(AND(AUTOEVENTO="Manual",$M509=1),$M509&gt;(ROW(PLE.lastrow)-ROW(PLE.firstrow))),0,IF(OFFSET(PLE!$G$14,$M509,BB$13)="",10^12,OFFSET(PLE!$G$14,$M509,BB$13))))</f>
        <v>1000000000000</v>
      </c>
      <c r="BC509" s="182">
        <f ca="1">IF($D509&lt;&gt;"Serviço",0,IF(OR(AND(AUTOEVENTO="Manual",$M509=1),$M509&gt;(ROW(PLE.lastrow)-ROW(PLE.firstrow))),0,IF(OFFSET(PLE!$G$14,$M509,BC$13)="",10^12,OFFSET(PLE!$G$14,$M509,BC$13))))</f>
        <v>1000000000000</v>
      </c>
      <c r="BD509" s="182">
        <f ca="1">IF($D509&lt;&gt;"Serviço",0,IF(OR(AND(AUTOEVENTO="Manual",$M509=1),$M509&gt;(ROW(PLE.lastrow)-ROW(PLE.firstrow))),0,IF(OFFSET(PLE!$G$14,$M509,BD$13)="",10^12,OFFSET(PLE!$G$14,$M509,BD$13))))</f>
        <v>1000000000000</v>
      </c>
      <c r="BE509" s="182">
        <f ca="1">IF($D509&lt;&gt;"Serviço",0,IF(OR(AND(AUTOEVENTO="Manual",$M509=1),$M509&gt;(ROW(PLE.lastrow)-ROW(PLE.firstrow))),0,IF(OFFSET(PLE!$G$14,$M509,BE$13)="",10^12,OFFSET(PLE!$G$14,$M509,BE$13))))</f>
        <v>1000000000000</v>
      </c>
      <c r="BF509" s="182">
        <f ca="1">IF($D509&lt;&gt;"Serviço",0,IF(OR(AND(AUTOEVENTO="Manual",$M509=1),$M509&gt;(ROW(PLE.lastrow)-ROW(PLE.firstrow))),0,IF(OFFSET(PLE!$G$14,$M509,BF$13)="",10^12,OFFSET(PLE!$G$14,$M509,BF$13))))</f>
        <v>1000000000000</v>
      </c>
      <c r="BG509" s="182">
        <f ca="1">IF($D509&lt;&gt;"Serviço",0,IF(OR(AND(AUTOEVENTO="Manual",$M509=1),$M509&gt;(ROW(PLE.lastrow)-ROW(PLE.firstrow))),0,IF(OFFSET(PLE!$G$14,$M509,BG$13)="",10^12,OFFSET(PLE!$G$14,$M509,BG$13))))</f>
        <v>1000000000000</v>
      </c>
    </row>
    <row r="510" spans="1:59" ht="25.5" x14ac:dyDescent="0.2">
      <c r="A510" s="7" t="str">
        <f t="shared" ca="1" si="11"/>
        <v>472</v>
      </c>
      <c r="B510" s="7" t="str">
        <f ca="1">OFFSET(ORÇAMENTO!C$15,ROW(B510)-ROW(B$15),0)</f>
        <v>S</v>
      </c>
      <c r="C510" s="7" t="str">
        <f ca="1">OFFSET(ORÇAMENTO!L$15,ROW(C510)-ROW(C$15),0)</f>
        <v/>
      </c>
      <c r="D510" s="118" t="str">
        <f ca="1">OFFSET(ORÇAMENTO!N$15,ROW(D510)-ROW(D$15),0)</f>
        <v>Serviço</v>
      </c>
      <c r="E510" s="119" t="str">
        <f ca="1">OFFSET(ORÇAMENTO!O$15,ROW(E510)-ROW(E$15),0)</f>
        <v>-</v>
      </c>
      <c r="F510" s="172" t="str">
        <f ca="1">OFFSET(ORÇAMENTO!R$15,ROW(F510)-ROW(F$15),0)</f>
        <v>(abra o arquivo 'Referência 02-2025.xlsm)</v>
      </c>
      <c r="G510" s="173" t="str">
        <f ca="1">IF($D510&lt;&gt;"Serviço","",OFFSET(ORÇAMENTO!S$15,ROW(G510)-ROW(G$15),0))</f>
        <v>-</v>
      </c>
      <c r="H510" s="124">
        <f ca="1">IF($D510&lt;&gt;"Serviço",0,IF(ACOMPANHAMENTO="BM",ROUND(OFFSET(ORÇAMENTO!AJ$15,ROW(H510)-ROW(H$15),0),15-13*ORÇAMENTO!$AF$7),SUMPRODUCT(($Q$12:$AA$12&lt;&gt;"")*ROUND($Q510:$AA510,15-13*ORÇAMENTO!$AF$7))))</f>
        <v>2.2000000000000002</v>
      </c>
      <c r="I510" s="561" t="s">
        <v>890</v>
      </c>
      <c r="K510" s="174"/>
      <c r="L510" s="175" t="s">
        <v>255</v>
      </c>
      <c r="M510" s="176">
        <f ca="1">IF($D510&lt;&gt;"Serviço","",IF(AUTOEVENTO="manual",$A510,IF(ISERROR(MATCH($A510,$A$15:OFFSET($A510,-1,0),0)),MAX($M$15:OFFSET(M510,-1,0))+1,INDEX($M$15:OFFSET(M510,-1,0),MATCH($A510,$A$15:OFFSET($A510,-1,0),0)))))</f>
        <v>18</v>
      </c>
      <c r="N510" s="177" t="str">
        <f ca="1">IF($D510&lt;&gt;"Serviço","",IF(AUTOEVENTO="Manual",IF($A510=0,"&lt;-- defina o número do agrupador",OFFSET(EVENTOS!$D$14,$A510,0)),OFFSET($F$15,$A510,0)))</f>
        <v>INSTALAÇÕES ELÉTRICAS - 220V</v>
      </c>
      <c r="O510" s="178"/>
      <c r="Q510" s="178"/>
      <c r="R510" s="179"/>
      <c r="S510" s="179"/>
      <c r="T510" s="179"/>
      <c r="U510" s="179"/>
      <c r="V510" s="179"/>
      <c r="W510" s="179"/>
      <c r="X510" s="179"/>
      <c r="Y510" s="179"/>
      <c r="Z510" s="180"/>
      <c r="AB510" s="544">
        <f ca="1">IF(AND($D510="Serviço",AB$12&lt;&gt;0,$H510&gt;0,OR(AUTOEVENTO&lt;&gt;"manual",$M510&lt;&gt;1)),
IF(Import.TipoArredondamento&lt;&gt;"TransfereGOV",
ROUND(OFFSET($P510,0,AB$13),15-13*ORÇAMENTO!$AF$7)/$H510*OFFSET(ORÇAMENTO!$X$15,ROW(AB510)-ROW(AB$15),0),
ROUND(ROUND(OFFSET($P510,0,AB$13),15-13*ORÇAMENTO!$AF$7)*OFFSET(ORÇAMENTO!$W$15,ROW(AB510)-ROW(AB$15),0),15-13*ORÇAMENTO!$AF$11)),0)</f>
        <v>0</v>
      </c>
      <c r="AC510" s="545">
        <f ca="1">IF(AND($D510="Serviço",AC$12&lt;&gt;0,$H510&gt;0,OR(AUTOEVENTO&lt;&gt;"manual",$M510&lt;&gt;1)),
IF(Import.TipoArredondamento&lt;&gt;"TransfereGOV",
ROUND(OFFSET($P510,0,AC$13),15-13*ORÇAMENTO!$AF$7)/$H510*OFFSET(ORÇAMENTO!$X$15,ROW(AC510)-ROW(AC$15),0),
ROUND(ROUND(OFFSET($P510,0,AC$13),15-13*ORÇAMENTO!$AF$7)*OFFSET(ORÇAMENTO!$W$15,ROW(AC510)-ROW(AC$15),0),15-13*ORÇAMENTO!$AF$11)),0)</f>
        <v>0</v>
      </c>
      <c r="AD510" s="545">
        <f ca="1">IF(AND($D510="Serviço",AD$12&lt;&gt;0,$H510&gt;0,OR(AUTOEVENTO&lt;&gt;"manual",$M510&lt;&gt;1)),
IF(Import.TipoArredondamento&lt;&gt;"TransfereGOV",
ROUND(OFFSET($P510,0,AD$13),15-13*ORÇAMENTO!$AF$7)/$H510*OFFSET(ORÇAMENTO!$X$15,ROW(AD510)-ROW(AD$15),0),
ROUND(ROUND(OFFSET($P510,0,AD$13),15-13*ORÇAMENTO!$AF$7)*OFFSET(ORÇAMENTO!$W$15,ROW(AD510)-ROW(AD$15),0),15-13*ORÇAMENTO!$AF$11)),0)</f>
        <v>0</v>
      </c>
      <c r="AE510" s="545">
        <f ca="1">IF(AND($D510="Serviço",AE$12&lt;&gt;0,$H510&gt;0,OR(AUTOEVENTO&lt;&gt;"manual",$M510&lt;&gt;1)),
IF(Import.TipoArredondamento&lt;&gt;"TransfereGOV",
ROUND(OFFSET($P510,0,AE$13),15-13*ORÇAMENTO!$AF$7)/$H510*OFFSET(ORÇAMENTO!$X$15,ROW(AE510)-ROW(AE$15),0),
ROUND(ROUND(OFFSET($P510,0,AE$13),15-13*ORÇAMENTO!$AF$7)*OFFSET(ORÇAMENTO!$W$15,ROW(AE510)-ROW(AE$15),0),15-13*ORÇAMENTO!$AF$11)),0)</f>
        <v>0</v>
      </c>
      <c r="AF510" s="545">
        <f ca="1">IF(AND($D510="Serviço",AF$12&lt;&gt;0,$H510&gt;0,OR(AUTOEVENTO&lt;&gt;"manual",$M510&lt;&gt;1)),
IF(Import.TipoArredondamento&lt;&gt;"TransfereGOV",
ROUND(OFFSET($P510,0,AF$13),15-13*ORÇAMENTO!$AF$7)/$H510*OFFSET(ORÇAMENTO!$X$15,ROW(AF510)-ROW(AF$15),0),
ROUND(ROUND(OFFSET($P510,0,AF$13),15-13*ORÇAMENTO!$AF$7)*OFFSET(ORÇAMENTO!$W$15,ROW(AF510)-ROW(AF$15),0),15-13*ORÇAMENTO!$AF$11)),0)</f>
        <v>0</v>
      </c>
      <c r="AG510" s="545">
        <f ca="1">IF(AND($D510="Serviço",AG$12&lt;&gt;0,$H510&gt;0,OR(AUTOEVENTO&lt;&gt;"manual",$M510&lt;&gt;1)),
IF(Import.TipoArredondamento&lt;&gt;"TransfereGOV",
ROUND(OFFSET($P510,0,AG$13),15-13*ORÇAMENTO!$AF$7)/$H510*OFFSET(ORÇAMENTO!$X$15,ROW(AG510)-ROW(AG$15),0),
ROUND(ROUND(OFFSET($P510,0,AG$13),15-13*ORÇAMENTO!$AF$7)*OFFSET(ORÇAMENTO!$W$15,ROW(AG510)-ROW(AG$15),0),15-13*ORÇAMENTO!$AF$11)),0)</f>
        <v>0</v>
      </c>
      <c r="AH510" s="545">
        <f ca="1">IF(AND($D510="Serviço",AH$12&lt;&gt;0,$H510&gt;0,OR(AUTOEVENTO&lt;&gt;"manual",$M510&lt;&gt;1)),
IF(Import.TipoArredondamento&lt;&gt;"TransfereGOV",
ROUND(OFFSET($P510,0,AH$13),15-13*ORÇAMENTO!$AF$7)/$H510*OFFSET(ORÇAMENTO!$X$15,ROW(AH510)-ROW(AH$15),0),
ROUND(ROUND(OFFSET($P510,0,AH$13),15-13*ORÇAMENTO!$AF$7)*OFFSET(ORÇAMENTO!$W$15,ROW(AH510)-ROW(AH$15),0),15-13*ORÇAMENTO!$AF$11)),0)</f>
        <v>0</v>
      </c>
      <c r="AI510" s="545">
        <f ca="1">IF(AND($D510="Serviço",AI$12&lt;&gt;0,$H510&gt;0,OR(AUTOEVENTO&lt;&gt;"manual",$M510&lt;&gt;1)),
IF(Import.TipoArredondamento&lt;&gt;"TransfereGOV",
ROUND(OFFSET($P510,0,AI$13),15-13*ORÇAMENTO!$AF$7)/$H510*OFFSET(ORÇAMENTO!$X$15,ROW(AI510)-ROW(AI$15),0),
ROUND(ROUND(OFFSET($P510,0,AI$13),15-13*ORÇAMENTO!$AF$7)*OFFSET(ORÇAMENTO!$W$15,ROW(AI510)-ROW(AI$15),0),15-13*ORÇAMENTO!$AF$11)),0)</f>
        <v>0</v>
      </c>
      <c r="AJ510" s="545">
        <f ca="1">IF(AND($D510="Serviço",AJ$12&lt;&gt;0,$H510&gt;0,OR(AUTOEVENTO&lt;&gt;"manual",$M510&lt;&gt;1)),
IF(Import.TipoArredondamento&lt;&gt;"TransfereGOV",
ROUND(OFFSET($P510,0,AJ$13),15-13*ORÇAMENTO!$AF$7)/$H510*OFFSET(ORÇAMENTO!$X$15,ROW(AJ510)-ROW(AJ$15),0),
ROUND(ROUND(OFFSET($P510,0,AJ$13),15-13*ORÇAMENTO!$AF$7)*OFFSET(ORÇAMENTO!$W$15,ROW(AJ510)-ROW(AJ$15),0),15-13*ORÇAMENTO!$AF$11)),0)</f>
        <v>0</v>
      </c>
      <c r="AK510" s="546">
        <f ca="1">IF(AND($D510="Serviço",AK$12&lt;&gt;0,$H510&gt;0,OR(AUTOEVENTO&lt;&gt;"manual",$M510&lt;&gt;1)),
IF(Import.TipoArredondamento&lt;&gt;"TransfereGOV",
ROUND(OFFSET($P510,0,AK$13),15-13*ORÇAMENTO!$AF$7)/$H510*OFFSET(ORÇAMENTO!$X$15,ROW(AK510)-ROW(AK$15),0),
ROUND(ROUND(OFFSET($P510,0,AK$13),15-13*ORÇAMENTO!$AF$7)*OFFSET(ORÇAMENTO!$W$15,ROW(AK510)-ROW(AK$15),0),15-13*ORÇAMENTO!$AF$11)),0)</f>
        <v>0</v>
      </c>
      <c r="AM510" s="181">
        <f ca="1">IF($D510&lt;&gt;"Serviço",0,IF(AND(AUTOEVENTO="Manual",$M510=1),0,IF(OFFSET(CRONOPLE!$F$14,$M510,AM$13)="",10^12,OFFSET(CRONOPLE!$F$14,$M510,AM$13))))</f>
        <v>1000000000000</v>
      </c>
      <c r="AN510" s="181">
        <f ca="1">IF($D510&lt;&gt;"Serviço",0,IF(AND(AUTOEVENTO="Manual",$M510=1),0,IF(OFFSET(CRONOPLE!$F$14,$M510,AN$13)="",10^12,OFFSET(CRONOPLE!$F$14,$M510,AN$13))))</f>
        <v>1000000000000</v>
      </c>
      <c r="AO510" s="181">
        <f ca="1">IF($D510&lt;&gt;"Serviço",0,IF(AND(AUTOEVENTO="Manual",$M510=1),0,IF(OFFSET(CRONOPLE!$F$14,$M510,AO$13)="",10^12,OFFSET(CRONOPLE!$F$14,$M510,AO$13))))</f>
        <v>1000000000000</v>
      </c>
      <c r="AP510" s="181">
        <f ca="1">IF($D510&lt;&gt;"Serviço",0,IF(AND(AUTOEVENTO="Manual",$M510=1),0,IF(OFFSET(CRONOPLE!$F$14,$M510,AP$13)="",10^12,OFFSET(CRONOPLE!$F$14,$M510,AP$13))))</f>
        <v>1000000000000</v>
      </c>
      <c r="AQ510" s="181">
        <f ca="1">IF($D510&lt;&gt;"Serviço",0,IF(AND(AUTOEVENTO="Manual",$M510=1),0,IF(OFFSET(CRONOPLE!$F$14,$M510,AQ$13)="",10^12,OFFSET(CRONOPLE!$F$14,$M510,AQ$13))))</f>
        <v>1000000000000</v>
      </c>
      <c r="AR510" s="181">
        <f ca="1">IF($D510&lt;&gt;"Serviço",0,IF(AND(AUTOEVENTO="Manual",$M510=1),0,IF(OFFSET(CRONOPLE!$F$14,$M510,AR$13)="",10^12,OFFSET(CRONOPLE!$F$14,$M510,AR$13))))</f>
        <v>1000000000000</v>
      </c>
      <c r="AS510" s="181">
        <f ca="1">IF($D510&lt;&gt;"Serviço",0,IF(AND(AUTOEVENTO="Manual",$M510=1),0,IF(OFFSET(CRONOPLE!$F$14,$M510,AS$13)="",10^12,OFFSET(CRONOPLE!$F$14,$M510,AS$13))))</f>
        <v>1000000000000</v>
      </c>
      <c r="AT510" s="181">
        <f ca="1">IF($D510&lt;&gt;"Serviço",0,IF(AND(AUTOEVENTO="Manual",$M510=1),0,IF(OFFSET(CRONOPLE!$F$14,$M510,AT$13)="",10^12,OFFSET(CRONOPLE!$F$14,$M510,AT$13))))</f>
        <v>1000000000000</v>
      </c>
      <c r="AU510" s="181">
        <f ca="1">IF($D510&lt;&gt;"Serviço",0,IF(AND(AUTOEVENTO="Manual",$M510=1),0,IF(OFFSET(CRONOPLE!$F$14,$M510,AU$13)="",10^12,OFFSET(CRONOPLE!$F$14,$M510,AU$13))))</f>
        <v>1000000000000</v>
      </c>
      <c r="AV510" s="181">
        <f ca="1">IF($D510&lt;&gt;"Serviço",0,IF(AND(AUTOEVENTO="Manual",$M510=1),0,IF(OFFSET(CRONOPLE!$F$14,$M510,AV$13)="",10^12,OFFSET(CRONOPLE!$F$14,$M510,AV$13))))</f>
        <v>1000000000000</v>
      </c>
      <c r="AX510" s="182">
        <f ca="1">IF($D510&lt;&gt;"Serviço",0,IF(OR(AND(AUTOEVENTO="Manual",$M510=1),$M510&gt;(ROW(PLE.lastrow)-ROW(PLE.firstrow))),0,IF(OFFSET(PLE!$G$14,$M510,AX$13)="",10^12,OFFSET(PLE!$G$14,$M510,AX$13))))</f>
        <v>1000000000000</v>
      </c>
      <c r="AY510" s="182">
        <f ca="1">IF($D510&lt;&gt;"Serviço",0,IF(OR(AND(AUTOEVENTO="Manual",$M510=1),$M510&gt;(ROW(PLE.lastrow)-ROW(PLE.firstrow))),0,IF(OFFSET(PLE!$G$14,$M510,AY$13)="",10^12,OFFSET(PLE!$G$14,$M510,AY$13))))</f>
        <v>1000000000000</v>
      </c>
      <c r="AZ510" s="182">
        <f ca="1">IF($D510&lt;&gt;"Serviço",0,IF(OR(AND(AUTOEVENTO="Manual",$M510=1),$M510&gt;(ROW(PLE.lastrow)-ROW(PLE.firstrow))),0,IF(OFFSET(PLE!$G$14,$M510,AZ$13)="",10^12,OFFSET(PLE!$G$14,$M510,AZ$13))))</f>
        <v>1000000000000</v>
      </c>
      <c r="BA510" s="182">
        <f ca="1">IF($D510&lt;&gt;"Serviço",0,IF(OR(AND(AUTOEVENTO="Manual",$M510=1),$M510&gt;(ROW(PLE.lastrow)-ROW(PLE.firstrow))),0,IF(OFFSET(PLE!$G$14,$M510,BA$13)="",10^12,OFFSET(PLE!$G$14,$M510,BA$13))))</f>
        <v>1000000000000</v>
      </c>
      <c r="BB510" s="182">
        <f ca="1">IF($D510&lt;&gt;"Serviço",0,IF(OR(AND(AUTOEVENTO="Manual",$M510=1),$M510&gt;(ROW(PLE.lastrow)-ROW(PLE.firstrow))),0,IF(OFFSET(PLE!$G$14,$M510,BB$13)="",10^12,OFFSET(PLE!$G$14,$M510,BB$13))))</f>
        <v>1000000000000</v>
      </c>
      <c r="BC510" s="182">
        <f ca="1">IF($D510&lt;&gt;"Serviço",0,IF(OR(AND(AUTOEVENTO="Manual",$M510=1),$M510&gt;(ROW(PLE.lastrow)-ROW(PLE.firstrow))),0,IF(OFFSET(PLE!$G$14,$M510,BC$13)="",10^12,OFFSET(PLE!$G$14,$M510,BC$13))))</f>
        <v>1000000000000</v>
      </c>
      <c r="BD510" s="182">
        <f ca="1">IF($D510&lt;&gt;"Serviço",0,IF(OR(AND(AUTOEVENTO="Manual",$M510=1),$M510&gt;(ROW(PLE.lastrow)-ROW(PLE.firstrow))),0,IF(OFFSET(PLE!$G$14,$M510,BD$13)="",10^12,OFFSET(PLE!$G$14,$M510,BD$13))))</f>
        <v>1000000000000</v>
      </c>
      <c r="BE510" s="182">
        <f ca="1">IF($D510&lt;&gt;"Serviço",0,IF(OR(AND(AUTOEVENTO="Manual",$M510=1),$M510&gt;(ROW(PLE.lastrow)-ROW(PLE.firstrow))),0,IF(OFFSET(PLE!$G$14,$M510,BE$13)="",10^12,OFFSET(PLE!$G$14,$M510,BE$13))))</f>
        <v>1000000000000</v>
      </c>
      <c r="BF510" s="182">
        <f ca="1">IF($D510&lt;&gt;"Serviço",0,IF(OR(AND(AUTOEVENTO="Manual",$M510=1),$M510&gt;(ROW(PLE.lastrow)-ROW(PLE.firstrow))),0,IF(OFFSET(PLE!$G$14,$M510,BF$13)="",10^12,OFFSET(PLE!$G$14,$M510,BF$13))))</f>
        <v>1000000000000</v>
      </c>
      <c r="BG510" s="182">
        <f ca="1">IF($D510&lt;&gt;"Serviço",0,IF(OR(AND(AUTOEVENTO="Manual",$M510=1),$M510&gt;(ROW(PLE.lastrow)-ROW(PLE.firstrow))),0,IF(OFFSET(PLE!$G$14,$M510,BG$13)="",10^12,OFFSET(PLE!$G$14,$M510,BG$13))))</f>
        <v>1000000000000</v>
      </c>
    </row>
    <row r="511" spans="1:59" ht="25.5" x14ac:dyDescent="0.2">
      <c r="A511" s="7" t="str">
        <f t="shared" ca="1" si="11"/>
        <v>472</v>
      </c>
      <c r="B511" s="7" t="str">
        <f ca="1">OFFSET(ORÇAMENTO!C$15,ROW(B511)-ROW(B$15),0)</f>
        <v>S</v>
      </c>
      <c r="C511" s="7" t="str">
        <f ca="1">OFFSET(ORÇAMENTO!L$15,ROW(C511)-ROW(C$15),0)</f>
        <v/>
      </c>
      <c r="D511" s="118" t="str">
        <f ca="1">OFFSET(ORÇAMENTO!N$15,ROW(D511)-ROW(D$15),0)</f>
        <v>Serviço</v>
      </c>
      <c r="E511" s="119" t="str">
        <f ca="1">OFFSET(ORÇAMENTO!O$15,ROW(E511)-ROW(E$15),0)</f>
        <v>-</v>
      </c>
      <c r="F511" s="172" t="str">
        <f ca="1">OFFSET(ORÇAMENTO!R$15,ROW(F511)-ROW(F$15),0)</f>
        <v>(abra o arquivo 'Referência 02-2025.xlsm)</v>
      </c>
      <c r="G511" s="173" t="str">
        <f ca="1">IF($D511&lt;&gt;"Serviço","",OFFSET(ORÇAMENTO!S$15,ROW(G511)-ROW(G$15),0))</f>
        <v>-</v>
      </c>
      <c r="H511" s="124">
        <f ca="1">IF($D511&lt;&gt;"Serviço",0,IF(ACOMPANHAMENTO="BM",ROUND(OFFSET(ORÇAMENTO!AJ$15,ROW(H511)-ROW(H$15),0),15-13*ORÇAMENTO!$AF$7),SUMPRODUCT(($Q$12:$AA$12&lt;&gt;"")*ROUND($Q511:$AA511,15-13*ORÇAMENTO!$AF$7))))</f>
        <v>1</v>
      </c>
      <c r="I511" s="561" t="s">
        <v>890</v>
      </c>
      <c r="K511" s="174"/>
      <c r="L511" s="175" t="s">
        <v>255</v>
      </c>
      <c r="M511" s="176">
        <f ca="1">IF($D511&lt;&gt;"Serviço","",IF(AUTOEVENTO="manual",$A511,IF(ISERROR(MATCH($A511,$A$15:OFFSET($A511,-1,0),0)),MAX($M$15:OFFSET(M511,-1,0))+1,INDEX($M$15:OFFSET(M511,-1,0),MATCH($A511,$A$15:OFFSET($A511,-1,0),0)))))</f>
        <v>18</v>
      </c>
      <c r="N511" s="177" t="str">
        <f ca="1">IF($D511&lt;&gt;"Serviço","",IF(AUTOEVENTO="Manual",IF($A511=0,"&lt;-- defina o número do agrupador",OFFSET(EVENTOS!$D$14,$A511,0)),OFFSET($F$15,$A511,0)))</f>
        <v>INSTALAÇÕES ELÉTRICAS - 220V</v>
      </c>
      <c r="O511" s="178"/>
      <c r="Q511" s="178"/>
      <c r="R511" s="179"/>
      <c r="S511" s="179"/>
      <c r="T511" s="179"/>
      <c r="U511" s="179"/>
      <c r="V511" s="179"/>
      <c r="W511" s="179"/>
      <c r="X511" s="179"/>
      <c r="Y511" s="179"/>
      <c r="Z511" s="180"/>
      <c r="AB511" s="544">
        <f ca="1">IF(AND($D511="Serviço",AB$12&lt;&gt;0,$H511&gt;0,OR(AUTOEVENTO&lt;&gt;"manual",$M511&lt;&gt;1)),
IF(Import.TipoArredondamento&lt;&gt;"TransfereGOV",
ROUND(OFFSET($P511,0,AB$13),15-13*ORÇAMENTO!$AF$7)/$H511*OFFSET(ORÇAMENTO!$X$15,ROW(AB511)-ROW(AB$15),0),
ROUND(ROUND(OFFSET($P511,0,AB$13),15-13*ORÇAMENTO!$AF$7)*OFFSET(ORÇAMENTO!$W$15,ROW(AB511)-ROW(AB$15),0),15-13*ORÇAMENTO!$AF$11)),0)</f>
        <v>0</v>
      </c>
      <c r="AC511" s="545">
        <f ca="1">IF(AND($D511="Serviço",AC$12&lt;&gt;0,$H511&gt;0,OR(AUTOEVENTO&lt;&gt;"manual",$M511&lt;&gt;1)),
IF(Import.TipoArredondamento&lt;&gt;"TransfereGOV",
ROUND(OFFSET($P511,0,AC$13),15-13*ORÇAMENTO!$AF$7)/$H511*OFFSET(ORÇAMENTO!$X$15,ROW(AC511)-ROW(AC$15),0),
ROUND(ROUND(OFFSET($P511,0,AC$13),15-13*ORÇAMENTO!$AF$7)*OFFSET(ORÇAMENTO!$W$15,ROW(AC511)-ROW(AC$15),0),15-13*ORÇAMENTO!$AF$11)),0)</f>
        <v>0</v>
      </c>
      <c r="AD511" s="545">
        <f ca="1">IF(AND($D511="Serviço",AD$12&lt;&gt;0,$H511&gt;0,OR(AUTOEVENTO&lt;&gt;"manual",$M511&lt;&gt;1)),
IF(Import.TipoArredondamento&lt;&gt;"TransfereGOV",
ROUND(OFFSET($P511,0,AD$13),15-13*ORÇAMENTO!$AF$7)/$H511*OFFSET(ORÇAMENTO!$X$15,ROW(AD511)-ROW(AD$15),0),
ROUND(ROUND(OFFSET($P511,0,AD$13),15-13*ORÇAMENTO!$AF$7)*OFFSET(ORÇAMENTO!$W$15,ROW(AD511)-ROW(AD$15),0),15-13*ORÇAMENTO!$AF$11)),0)</f>
        <v>0</v>
      </c>
      <c r="AE511" s="545">
        <f ca="1">IF(AND($D511="Serviço",AE$12&lt;&gt;0,$H511&gt;0,OR(AUTOEVENTO&lt;&gt;"manual",$M511&lt;&gt;1)),
IF(Import.TipoArredondamento&lt;&gt;"TransfereGOV",
ROUND(OFFSET($P511,0,AE$13),15-13*ORÇAMENTO!$AF$7)/$H511*OFFSET(ORÇAMENTO!$X$15,ROW(AE511)-ROW(AE$15),0),
ROUND(ROUND(OFFSET($P511,0,AE$13),15-13*ORÇAMENTO!$AF$7)*OFFSET(ORÇAMENTO!$W$15,ROW(AE511)-ROW(AE$15),0),15-13*ORÇAMENTO!$AF$11)),0)</f>
        <v>0</v>
      </c>
      <c r="AF511" s="545">
        <f ca="1">IF(AND($D511="Serviço",AF$12&lt;&gt;0,$H511&gt;0,OR(AUTOEVENTO&lt;&gt;"manual",$M511&lt;&gt;1)),
IF(Import.TipoArredondamento&lt;&gt;"TransfereGOV",
ROUND(OFFSET($P511,0,AF$13),15-13*ORÇAMENTO!$AF$7)/$H511*OFFSET(ORÇAMENTO!$X$15,ROW(AF511)-ROW(AF$15),0),
ROUND(ROUND(OFFSET($P511,0,AF$13),15-13*ORÇAMENTO!$AF$7)*OFFSET(ORÇAMENTO!$W$15,ROW(AF511)-ROW(AF$15),0),15-13*ORÇAMENTO!$AF$11)),0)</f>
        <v>0</v>
      </c>
      <c r="AG511" s="545">
        <f ca="1">IF(AND($D511="Serviço",AG$12&lt;&gt;0,$H511&gt;0,OR(AUTOEVENTO&lt;&gt;"manual",$M511&lt;&gt;1)),
IF(Import.TipoArredondamento&lt;&gt;"TransfereGOV",
ROUND(OFFSET($P511,0,AG$13),15-13*ORÇAMENTO!$AF$7)/$H511*OFFSET(ORÇAMENTO!$X$15,ROW(AG511)-ROW(AG$15),0),
ROUND(ROUND(OFFSET($P511,0,AG$13),15-13*ORÇAMENTO!$AF$7)*OFFSET(ORÇAMENTO!$W$15,ROW(AG511)-ROW(AG$15),0),15-13*ORÇAMENTO!$AF$11)),0)</f>
        <v>0</v>
      </c>
      <c r="AH511" s="545">
        <f ca="1">IF(AND($D511="Serviço",AH$12&lt;&gt;0,$H511&gt;0,OR(AUTOEVENTO&lt;&gt;"manual",$M511&lt;&gt;1)),
IF(Import.TipoArredondamento&lt;&gt;"TransfereGOV",
ROUND(OFFSET($P511,0,AH$13),15-13*ORÇAMENTO!$AF$7)/$H511*OFFSET(ORÇAMENTO!$X$15,ROW(AH511)-ROW(AH$15),0),
ROUND(ROUND(OFFSET($P511,0,AH$13),15-13*ORÇAMENTO!$AF$7)*OFFSET(ORÇAMENTO!$W$15,ROW(AH511)-ROW(AH$15),0),15-13*ORÇAMENTO!$AF$11)),0)</f>
        <v>0</v>
      </c>
      <c r="AI511" s="545">
        <f ca="1">IF(AND($D511="Serviço",AI$12&lt;&gt;0,$H511&gt;0,OR(AUTOEVENTO&lt;&gt;"manual",$M511&lt;&gt;1)),
IF(Import.TipoArredondamento&lt;&gt;"TransfereGOV",
ROUND(OFFSET($P511,0,AI$13),15-13*ORÇAMENTO!$AF$7)/$H511*OFFSET(ORÇAMENTO!$X$15,ROW(AI511)-ROW(AI$15),0),
ROUND(ROUND(OFFSET($P511,0,AI$13),15-13*ORÇAMENTO!$AF$7)*OFFSET(ORÇAMENTO!$W$15,ROW(AI511)-ROW(AI$15),0),15-13*ORÇAMENTO!$AF$11)),0)</f>
        <v>0</v>
      </c>
      <c r="AJ511" s="545">
        <f ca="1">IF(AND($D511="Serviço",AJ$12&lt;&gt;0,$H511&gt;0,OR(AUTOEVENTO&lt;&gt;"manual",$M511&lt;&gt;1)),
IF(Import.TipoArredondamento&lt;&gt;"TransfereGOV",
ROUND(OFFSET($P511,0,AJ$13),15-13*ORÇAMENTO!$AF$7)/$H511*OFFSET(ORÇAMENTO!$X$15,ROW(AJ511)-ROW(AJ$15),0),
ROUND(ROUND(OFFSET($P511,0,AJ$13),15-13*ORÇAMENTO!$AF$7)*OFFSET(ORÇAMENTO!$W$15,ROW(AJ511)-ROW(AJ$15),0),15-13*ORÇAMENTO!$AF$11)),0)</f>
        <v>0</v>
      </c>
      <c r="AK511" s="546">
        <f ca="1">IF(AND($D511="Serviço",AK$12&lt;&gt;0,$H511&gt;0,OR(AUTOEVENTO&lt;&gt;"manual",$M511&lt;&gt;1)),
IF(Import.TipoArredondamento&lt;&gt;"TransfereGOV",
ROUND(OFFSET($P511,0,AK$13),15-13*ORÇAMENTO!$AF$7)/$H511*OFFSET(ORÇAMENTO!$X$15,ROW(AK511)-ROW(AK$15),0),
ROUND(ROUND(OFFSET($P511,0,AK$13),15-13*ORÇAMENTO!$AF$7)*OFFSET(ORÇAMENTO!$W$15,ROW(AK511)-ROW(AK$15),0),15-13*ORÇAMENTO!$AF$11)),0)</f>
        <v>0</v>
      </c>
      <c r="AM511" s="181">
        <f ca="1">IF($D511&lt;&gt;"Serviço",0,IF(AND(AUTOEVENTO="Manual",$M511=1),0,IF(OFFSET(CRONOPLE!$F$14,$M511,AM$13)="",10^12,OFFSET(CRONOPLE!$F$14,$M511,AM$13))))</f>
        <v>1000000000000</v>
      </c>
      <c r="AN511" s="181">
        <f ca="1">IF($D511&lt;&gt;"Serviço",0,IF(AND(AUTOEVENTO="Manual",$M511=1),0,IF(OFFSET(CRONOPLE!$F$14,$M511,AN$13)="",10^12,OFFSET(CRONOPLE!$F$14,$M511,AN$13))))</f>
        <v>1000000000000</v>
      </c>
      <c r="AO511" s="181">
        <f ca="1">IF($D511&lt;&gt;"Serviço",0,IF(AND(AUTOEVENTO="Manual",$M511=1),0,IF(OFFSET(CRONOPLE!$F$14,$M511,AO$13)="",10^12,OFFSET(CRONOPLE!$F$14,$M511,AO$13))))</f>
        <v>1000000000000</v>
      </c>
      <c r="AP511" s="181">
        <f ca="1">IF($D511&lt;&gt;"Serviço",0,IF(AND(AUTOEVENTO="Manual",$M511=1),0,IF(OFFSET(CRONOPLE!$F$14,$M511,AP$13)="",10^12,OFFSET(CRONOPLE!$F$14,$M511,AP$13))))</f>
        <v>1000000000000</v>
      </c>
      <c r="AQ511" s="181">
        <f ca="1">IF($D511&lt;&gt;"Serviço",0,IF(AND(AUTOEVENTO="Manual",$M511=1),0,IF(OFFSET(CRONOPLE!$F$14,$M511,AQ$13)="",10^12,OFFSET(CRONOPLE!$F$14,$M511,AQ$13))))</f>
        <v>1000000000000</v>
      </c>
      <c r="AR511" s="181">
        <f ca="1">IF($D511&lt;&gt;"Serviço",0,IF(AND(AUTOEVENTO="Manual",$M511=1),0,IF(OFFSET(CRONOPLE!$F$14,$M511,AR$13)="",10^12,OFFSET(CRONOPLE!$F$14,$M511,AR$13))))</f>
        <v>1000000000000</v>
      </c>
      <c r="AS511" s="181">
        <f ca="1">IF($D511&lt;&gt;"Serviço",0,IF(AND(AUTOEVENTO="Manual",$M511=1),0,IF(OFFSET(CRONOPLE!$F$14,$M511,AS$13)="",10^12,OFFSET(CRONOPLE!$F$14,$M511,AS$13))))</f>
        <v>1000000000000</v>
      </c>
      <c r="AT511" s="181">
        <f ca="1">IF($D511&lt;&gt;"Serviço",0,IF(AND(AUTOEVENTO="Manual",$M511=1),0,IF(OFFSET(CRONOPLE!$F$14,$M511,AT$13)="",10^12,OFFSET(CRONOPLE!$F$14,$M511,AT$13))))</f>
        <v>1000000000000</v>
      </c>
      <c r="AU511" s="181">
        <f ca="1">IF($D511&lt;&gt;"Serviço",0,IF(AND(AUTOEVENTO="Manual",$M511=1),0,IF(OFFSET(CRONOPLE!$F$14,$M511,AU$13)="",10^12,OFFSET(CRONOPLE!$F$14,$M511,AU$13))))</f>
        <v>1000000000000</v>
      </c>
      <c r="AV511" s="181">
        <f ca="1">IF($D511&lt;&gt;"Serviço",0,IF(AND(AUTOEVENTO="Manual",$M511=1),0,IF(OFFSET(CRONOPLE!$F$14,$M511,AV$13)="",10^12,OFFSET(CRONOPLE!$F$14,$M511,AV$13))))</f>
        <v>1000000000000</v>
      </c>
      <c r="AX511" s="182">
        <f ca="1">IF($D511&lt;&gt;"Serviço",0,IF(OR(AND(AUTOEVENTO="Manual",$M511=1),$M511&gt;(ROW(PLE.lastrow)-ROW(PLE.firstrow))),0,IF(OFFSET(PLE!$G$14,$M511,AX$13)="",10^12,OFFSET(PLE!$G$14,$M511,AX$13))))</f>
        <v>1000000000000</v>
      </c>
      <c r="AY511" s="182">
        <f ca="1">IF($D511&lt;&gt;"Serviço",0,IF(OR(AND(AUTOEVENTO="Manual",$M511=1),$M511&gt;(ROW(PLE.lastrow)-ROW(PLE.firstrow))),0,IF(OFFSET(PLE!$G$14,$M511,AY$13)="",10^12,OFFSET(PLE!$G$14,$M511,AY$13))))</f>
        <v>1000000000000</v>
      </c>
      <c r="AZ511" s="182">
        <f ca="1">IF($D511&lt;&gt;"Serviço",0,IF(OR(AND(AUTOEVENTO="Manual",$M511=1),$M511&gt;(ROW(PLE.lastrow)-ROW(PLE.firstrow))),0,IF(OFFSET(PLE!$G$14,$M511,AZ$13)="",10^12,OFFSET(PLE!$G$14,$M511,AZ$13))))</f>
        <v>1000000000000</v>
      </c>
      <c r="BA511" s="182">
        <f ca="1">IF($D511&lt;&gt;"Serviço",0,IF(OR(AND(AUTOEVENTO="Manual",$M511=1),$M511&gt;(ROW(PLE.lastrow)-ROW(PLE.firstrow))),0,IF(OFFSET(PLE!$G$14,$M511,BA$13)="",10^12,OFFSET(PLE!$G$14,$M511,BA$13))))</f>
        <v>1000000000000</v>
      </c>
      <c r="BB511" s="182">
        <f ca="1">IF($D511&lt;&gt;"Serviço",0,IF(OR(AND(AUTOEVENTO="Manual",$M511=1),$M511&gt;(ROW(PLE.lastrow)-ROW(PLE.firstrow))),0,IF(OFFSET(PLE!$G$14,$M511,BB$13)="",10^12,OFFSET(PLE!$G$14,$M511,BB$13))))</f>
        <v>1000000000000</v>
      </c>
      <c r="BC511" s="182">
        <f ca="1">IF($D511&lt;&gt;"Serviço",0,IF(OR(AND(AUTOEVENTO="Manual",$M511=1),$M511&gt;(ROW(PLE.lastrow)-ROW(PLE.firstrow))),0,IF(OFFSET(PLE!$G$14,$M511,BC$13)="",10^12,OFFSET(PLE!$G$14,$M511,BC$13))))</f>
        <v>1000000000000</v>
      </c>
      <c r="BD511" s="182">
        <f ca="1">IF($D511&lt;&gt;"Serviço",0,IF(OR(AND(AUTOEVENTO="Manual",$M511=1),$M511&gt;(ROW(PLE.lastrow)-ROW(PLE.firstrow))),0,IF(OFFSET(PLE!$G$14,$M511,BD$13)="",10^12,OFFSET(PLE!$G$14,$M511,BD$13))))</f>
        <v>1000000000000</v>
      </c>
      <c r="BE511" s="182">
        <f ca="1">IF($D511&lt;&gt;"Serviço",0,IF(OR(AND(AUTOEVENTO="Manual",$M511=1),$M511&gt;(ROW(PLE.lastrow)-ROW(PLE.firstrow))),0,IF(OFFSET(PLE!$G$14,$M511,BE$13)="",10^12,OFFSET(PLE!$G$14,$M511,BE$13))))</f>
        <v>1000000000000</v>
      </c>
      <c r="BF511" s="182">
        <f ca="1">IF($D511&lt;&gt;"Serviço",0,IF(OR(AND(AUTOEVENTO="Manual",$M511=1),$M511&gt;(ROW(PLE.lastrow)-ROW(PLE.firstrow))),0,IF(OFFSET(PLE!$G$14,$M511,BF$13)="",10^12,OFFSET(PLE!$G$14,$M511,BF$13))))</f>
        <v>1000000000000</v>
      </c>
      <c r="BG511" s="182">
        <f ca="1">IF($D511&lt;&gt;"Serviço",0,IF(OR(AND(AUTOEVENTO="Manual",$M511=1),$M511&gt;(ROW(PLE.lastrow)-ROW(PLE.firstrow))),0,IF(OFFSET(PLE!$G$14,$M511,BG$13)="",10^12,OFFSET(PLE!$G$14,$M511,BG$13))))</f>
        <v>1000000000000</v>
      </c>
    </row>
    <row r="512" spans="1:59" ht="25.5" x14ac:dyDescent="0.2">
      <c r="A512" s="7" t="str">
        <f t="shared" ca="1" si="11"/>
        <v>472</v>
      </c>
      <c r="B512" s="7" t="str">
        <f ca="1">OFFSET(ORÇAMENTO!C$15,ROW(B512)-ROW(B$15),0)</f>
        <v>S</v>
      </c>
      <c r="C512" s="7" t="str">
        <f ca="1">OFFSET(ORÇAMENTO!L$15,ROW(C512)-ROW(C$15),0)</f>
        <v/>
      </c>
      <c r="D512" s="118" t="str">
        <f ca="1">OFFSET(ORÇAMENTO!N$15,ROW(D512)-ROW(D$15),0)</f>
        <v>Serviço</v>
      </c>
      <c r="E512" s="119" t="str">
        <f ca="1">OFFSET(ORÇAMENTO!O$15,ROW(E512)-ROW(E$15),0)</f>
        <v>-</v>
      </c>
      <c r="F512" s="172" t="str">
        <f ca="1">OFFSET(ORÇAMENTO!R$15,ROW(F512)-ROW(F$15),0)</f>
        <v>(abra o arquivo 'Referência 02-2025.xlsm)</v>
      </c>
      <c r="G512" s="173" t="str">
        <f ca="1">IF($D512&lt;&gt;"Serviço","",OFFSET(ORÇAMENTO!S$15,ROW(G512)-ROW(G$15),0))</f>
        <v>-</v>
      </c>
      <c r="H512" s="124">
        <f ca="1">IF($D512&lt;&gt;"Serviço",0,IF(ACOMPANHAMENTO="BM",ROUND(OFFSET(ORÇAMENTO!AJ$15,ROW(H512)-ROW(H$15),0),15-13*ORÇAMENTO!$AF$7),SUMPRODUCT(($Q$12:$AA$12&lt;&gt;"")*ROUND($Q512:$AA512,15-13*ORÇAMENTO!$AF$7))))</f>
        <v>1</v>
      </c>
      <c r="I512" s="561" t="s">
        <v>890</v>
      </c>
      <c r="K512" s="174"/>
      <c r="L512" s="175" t="s">
        <v>255</v>
      </c>
      <c r="M512" s="176">
        <f ca="1">IF($D512&lt;&gt;"Serviço","",IF(AUTOEVENTO="manual",$A512,IF(ISERROR(MATCH($A512,$A$15:OFFSET($A512,-1,0),0)),MAX($M$15:OFFSET(M512,-1,0))+1,INDEX($M$15:OFFSET(M512,-1,0),MATCH($A512,$A$15:OFFSET($A512,-1,0),0)))))</f>
        <v>18</v>
      </c>
      <c r="N512" s="177" t="str">
        <f ca="1">IF($D512&lt;&gt;"Serviço","",IF(AUTOEVENTO="Manual",IF($A512=0,"&lt;-- defina o número do agrupador",OFFSET(EVENTOS!$D$14,$A512,0)),OFFSET($F$15,$A512,0)))</f>
        <v>INSTALAÇÕES ELÉTRICAS - 220V</v>
      </c>
      <c r="O512" s="178"/>
      <c r="Q512" s="178"/>
      <c r="R512" s="179"/>
      <c r="S512" s="179"/>
      <c r="T512" s="179"/>
      <c r="U512" s="179"/>
      <c r="V512" s="179"/>
      <c r="W512" s="179"/>
      <c r="X512" s="179"/>
      <c r="Y512" s="179"/>
      <c r="Z512" s="180"/>
      <c r="AB512" s="544">
        <f ca="1">IF(AND($D512="Serviço",AB$12&lt;&gt;0,$H512&gt;0,OR(AUTOEVENTO&lt;&gt;"manual",$M512&lt;&gt;1)),
IF(Import.TipoArredondamento&lt;&gt;"TransfereGOV",
ROUND(OFFSET($P512,0,AB$13),15-13*ORÇAMENTO!$AF$7)/$H512*OFFSET(ORÇAMENTO!$X$15,ROW(AB512)-ROW(AB$15),0),
ROUND(ROUND(OFFSET($P512,0,AB$13),15-13*ORÇAMENTO!$AF$7)*OFFSET(ORÇAMENTO!$W$15,ROW(AB512)-ROW(AB$15),0),15-13*ORÇAMENTO!$AF$11)),0)</f>
        <v>0</v>
      </c>
      <c r="AC512" s="545">
        <f ca="1">IF(AND($D512="Serviço",AC$12&lt;&gt;0,$H512&gt;0,OR(AUTOEVENTO&lt;&gt;"manual",$M512&lt;&gt;1)),
IF(Import.TipoArredondamento&lt;&gt;"TransfereGOV",
ROUND(OFFSET($P512,0,AC$13),15-13*ORÇAMENTO!$AF$7)/$H512*OFFSET(ORÇAMENTO!$X$15,ROW(AC512)-ROW(AC$15),0),
ROUND(ROUND(OFFSET($P512,0,AC$13),15-13*ORÇAMENTO!$AF$7)*OFFSET(ORÇAMENTO!$W$15,ROW(AC512)-ROW(AC$15),0),15-13*ORÇAMENTO!$AF$11)),0)</f>
        <v>0</v>
      </c>
      <c r="AD512" s="545">
        <f ca="1">IF(AND($D512="Serviço",AD$12&lt;&gt;0,$H512&gt;0,OR(AUTOEVENTO&lt;&gt;"manual",$M512&lt;&gt;1)),
IF(Import.TipoArredondamento&lt;&gt;"TransfereGOV",
ROUND(OFFSET($P512,0,AD$13),15-13*ORÇAMENTO!$AF$7)/$H512*OFFSET(ORÇAMENTO!$X$15,ROW(AD512)-ROW(AD$15),0),
ROUND(ROUND(OFFSET($P512,0,AD$13),15-13*ORÇAMENTO!$AF$7)*OFFSET(ORÇAMENTO!$W$15,ROW(AD512)-ROW(AD$15),0),15-13*ORÇAMENTO!$AF$11)),0)</f>
        <v>0</v>
      </c>
      <c r="AE512" s="545">
        <f ca="1">IF(AND($D512="Serviço",AE$12&lt;&gt;0,$H512&gt;0,OR(AUTOEVENTO&lt;&gt;"manual",$M512&lt;&gt;1)),
IF(Import.TipoArredondamento&lt;&gt;"TransfereGOV",
ROUND(OFFSET($P512,0,AE$13),15-13*ORÇAMENTO!$AF$7)/$H512*OFFSET(ORÇAMENTO!$X$15,ROW(AE512)-ROW(AE$15),0),
ROUND(ROUND(OFFSET($P512,0,AE$13),15-13*ORÇAMENTO!$AF$7)*OFFSET(ORÇAMENTO!$W$15,ROW(AE512)-ROW(AE$15),0),15-13*ORÇAMENTO!$AF$11)),0)</f>
        <v>0</v>
      </c>
      <c r="AF512" s="545">
        <f ca="1">IF(AND($D512="Serviço",AF$12&lt;&gt;0,$H512&gt;0,OR(AUTOEVENTO&lt;&gt;"manual",$M512&lt;&gt;1)),
IF(Import.TipoArredondamento&lt;&gt;"TransfereGOV",
ROUND(OFFSET($P512,0,AF$13),15-13*ORÇAMENTO!$AF$7)/$H512*OFFSET(ORÇAMENTO!$X$15,ROW(AF512)-ROW(AF$15),0),
ROUND(ROUND(OFFSET($P512,0,AF$13),15-13*ORÇAMENTO!$AF$7)*OFFSET(ORÇAMENTO!$W$15,ROW(AF512)-ROW(AF$15),0),15-13*ORÇAMENTO!$AF$11)),0)</f>
        <v>0</v>
      </c>
      <c r="AG512" s="545">
        <f ca="1">IF(AND($D512="Serviço",AG$12&lt;&gt;0,$H512&gt;0,OR(AUTOEVENTO&lt;&gt;"manual",$M512&lt;&gt;1)),
IF(Import.TipoArredondamento&lt;&gt;"TransfereGOV",
ROUND(OFFSET($P512,0,AG$13),15-13*ORÇAMENTO!$AF$7)/$H512*OFFSET(ORÇAMENTO!$X$15,ROW(AG512)-ROW(AG$15),0),
ROUND(ROUND(OFFSET($P512,0,AG$13),15-13*ORÇAMENTO!$AF$7)*OFFSET(ORÇAMENTO!$W$15,ROW(AG512)-ROW(AG$15),0),15-13*ORÇAMENTO!$AF$11)),0)</f>
        <v>0</v>
      </c>
      <c r="AH512" s="545">
        <f ca="1">IF(AND($D512="Serviço",AH$12&lt;&gt;0,$H512&gt;0,OR(AUTOEVENTO&lt;&gt;"manual",$M512&lt;&gt;1)),
IF(Import.TipoArredondamento&lt;&gt;"TransfereGOV",
ROUND(OFFSET($P512,0,AH$13),15-13*ORÇAMENTO!$AF$7)/$H512*OFFSET(ORÇAMENTO!$X$15,ROW(AH512)-ROW(AH$15),0),
ROUND(ROUND(OFFSET($P512,0,AH$13),15-13*ORÇAMENTO!$AF$7)*OFFSET(ORÇAMENTO!$W$15,ROW(AH512)-ROW(AH$15),0),15-13*ORÇAMENTO!$AF$11)),0)</f>
        <v>0</v>
      </c>
      <c r="AI512" s="545">
        <f ca="1">IF(AND($D512="Serviço",AI$12&lt;&gt;0,$H512&gt;0,OR(AUTOEVENTO&lt;&gt;"manual",$M512&lt;&gt;1)),
IF(Import.TipoArredondamento&lt;&gt;"TransfereGOV",
ROUND(OFFSET($P512,0,AI$13),15-13*ORÇAMENTO!$AF$7)/$H512*OFFSET(ORÇAMENTO!$X$15,ROW(AI512)-ROW(AI$15),0),
ROUND(ROUND(OFFSET($P512,0,AI$13),15-13*ORÇAMENTO!$AF$7)*OFFSET(ORÇAMENTO!$W$15,ROW(AI512)-ROW(AI$15),0),15-13*ORÇAMENTO!$AF$11)),0)</f>
        <v>0</v>
      </c>
      <c r="AJ512" s="545">
        <f ca="1">IF(AND($D512="Serviço",AJ$12&lt;&gt;0,$H512&gt;0,OR(AUTOEVENTO&lt;&gt;"manual",$M512&lt;&gt;1)),
IF(Import.TipoArredondamento&lt;&gt;"TransfereGOV",
ROUND(OFFSET($P512,0,AJ$13),15-13*ORÇAMENTO!$AF$7)/$H512*OFFSET(ORÇAMENTO!$X$15,ROW(AJ512)-ROW(AJ$15),0),
ROUND(ROUND(OFFSET($P512,0,AJ$13),15-13*ORÇAMENTO!$AF$7)*OFFSET(ORÇAMENTO!$W$15,ROW(AJ512)-ROW(AJ$15),0),15-13*ORÇAMENTO!$AF$11)),0)</f>
        <v>0</v>
      </c>
      <c r="AK512" s="546">
        <f ca="1">IF(AND($D512="Serviço",AK$12&lt;&gt;0,$H512&gt;0,OR(AUTOEVENTO&lt;&gt;"manual",$M512&lt;&gt;1)),
IF(Import.TipoArredondamento&lt;&gt;"TransfereGOV",
ROUND(OFFSET($P512,0,AK$13),15-13*ORÇAMENTO!$AF$7)/$H512*OFFSET(ORÇAMENTO!$X$15,ROW(AK512)-ROW(AK$15),0),
ROUND(ROUND(OFFSET($P512,0,AK$13),15-13*ORÇAMENTO!$AF$7)*OFFSET(ORÇAMENTO!$W$15,ROW(AK512)-ROW(AK$15),0),15-13*ORÇAMENTO!$AF$11)),0)</f>
        <v>0</v>
      </c>
      <c r="AM512" s="181">
        <f ca="1">IF($D512&lt;&gt;"Serviço",0,IF(AND(AUTOEVENTO="Manual",$M512=1),0,IF(OFFSET(CRONOPLE!$F$14,$M512,AM$13)="",10^12,OFFSET(CRONOPLE!$F$14,$M512,AM$13))))</f>
        <v>1000000000000</v>
      </c>
      <c r="AN512" s="181">
        <f ca="1">IF($D512&lt;&gt;"Serviço",0,IF(AND(AUTOEVENTO="Manual",$M512=1),0,IF(OFFSET(CRONOPLE!$F$14,$M512,AN$13)="",10^12,OFFSET(CRONOPLE!$F$14,$M512,AN$13))))</f>
        <v>1000000000000</v>
      </c>
      <c r="AO512" s="181">
        <f ca="1">IF($D512&lt;&gt;"Serviço",0,IF(AND(AUTOEVENTO="Manual",$M512=1),0,IF(OFFSET(CRONOPLE!$F$14,$M512,AO$13)="",10^12,OFFSET(CRONOPLE!$F$14,$M512,AO$13))))</f>
        <v>1000000000000</v>
      </c>
      <c r="AP512" s="181">
        <f ca="1">IF($D512&lt;&gt;"Serviço",0,IF(AND(AUTOEVENTO="Manual",$M512=1),0,IF(OFFSET(CRONOPLE!$F$14,$M512,AP$13)="",10^12,OFFSET(CRONOPLE!$F$14,$M512,AP$13))))</f>
        <v>1000000000000</v>
      </c>
      <c r="AQ512" s="181">
        <f ca="1">IF($D512&lt;&gt;"Serviço",0,IF(AND(AUTOEVENTO="Manual",$M512=1),0,IF(OFFSET(CRONOPLE!$F$14,$M512,AQ$13)="",10^12,OFFSET(CRONOPLE!$F$14,$M512,AQ$13))))</f>
        <v>1000000000000</v>
      </c>
      <c r="AR512" s="181">
        <f ca="1">IF($D512&lt;&gt;"Serviço",0,IF(AND(AUTOEVENTO="Manual",$M512=1),0,IF(OFFSET(CRONOPLE!$F$14,$M512,AR$13)="",10^12,OFFSET(CRONOPLE!$F$14,$M512,AR$13))))</f>
        <v>1000000000000</v>
      </c>
      <c r="AS512" s="181">
        <f ca="1">IF($D512&lt;&gt;"Serviço",0,IF(AND(AUTOEVENTO="Manual",$M512=1),0,IF(OFFSET(CRONOPLE!$F$14,$M512,AS$13)="",10^12,OFFSET(CRONOPLE!$F$14,$M512,AS$13))))</f>
        <v>1000000000000</v>
      </c>
      <c r="AT512" s="181">
        <f ca="1">IF($D512&lt;&gt;"Serviço",0,IF(AND(AUTOEVENTO="Manual",$M512=1),0,IF(OFFSET(CRONOPLE!$F$14,$M512,AT$13)="",10^12,OFFSET(CRONOPLE!$F$14,$M512,AT$13))))</f>
        <v>1000000000000</v>
      </c>
      <c r="AU512" s="181">
        <f ca="1">IF($D512&lt;&gt;"Serviço",0,IF(AND(AUTOEVENTO="Manual",$M512=1),0,IF(OFFSET(CRONOPLE!$F$14,$M512,AU$13)="",10^12,OFFSET(CRONOPLE!$F$14,$M512,AU$13))))</f>
        <v>1000000000000</v>
      </c>
      <c r="AV512" s="181">
        <f ca="1">IF($D512&lt;&gt;"Serviço",0,IF(AND(AUTOEVENTO="Manual",$M512=1),0,IF(OFFSET(CRONOPLE!$F$14,$M512,AV$13)="",10^12,OFFSET(CRONOPLE!$F$14,$M512,AV$13))))</f>
        <v>1000000000000</v>
      </c>
      <c r="AX512" s="182">
        <f ca="1">IF($D512&lt;&gt;"Serviço",0,IF(OR(AND(AUTOEVENTO="Manual",$M512=1),$M512&gt;(ROW(PLE.lastrow)-ROW(PLE.firstrow))),0,IF(OFFSET(PLE!$G$14,$M512,AX$13)="",10^12,OFFSET(PLE!$G$14,$M512,AX$13))))</f>
        <v>1000000000000</v>
      </c>
      <c r="AY512" s="182">
        <f ca="1">IF($D512&lt;&gt;"Serviço",0,IF(OR(AND(AUTOEVENTO="Manual",$M512=1),$M512&gt;(ROW(PLE.lastrow)-ROW(PLE.firstrow))),0,IF(OFFSET(PLE!$G$14,$M512,AY$13)="",10^12,OFFSET(PLE!$G$14,$M512,AY$13))))</f>
        <v>1000000000000</v>
      </c>
      <c r="AZ512" s="182">
        <f ca="1">IF($D512&lt;&gt;"Serviço",0,IF(OR(AND(AUTOEVENTO="Manual",$M512=1),$M512&gt;(ROW(PLE.lastrow)-ROW(PLE.firstrow))),0,IF(OFFSET(PLE!$G$14,$M512,AZ$13)="",10^12,OFFSET(PLE!$G$14,$M512,AZ$13))))</f>
        <v>1000000000000</v>
      </c>
      <c r="BA512" s="182">
        <f ca="1">IF($D512&lt;&gt;"Serviço",0,IF(OR(AND(AUTOEVENTO="Manual",$M512=1),$M512&gt;(ROW(PLE.lastrow)-ROW(PLE.firstrow))),0,IF(OFFSET(PLE!$G$14,$M512,BA$13)="",10^12,OFFSET(PLE!$G$14,$M512,BA$13))))</f>
        <v>1000000000000</v>
      </c>
      <c r="BB512" s="182">
        <f ca="1">IF($D512&lt;&gt;"Serviço",0,IF(OR(AND(AUTOEVENTO="Manual",$M512=1),$M512&gt;(ROW(PLE.lastrow)-ROW(PLE.firstrow))),0,IF(OFFSET(PLE!$G$14,$M512,BB$13)="",10^12,OFFSET(PLE!$G$14,$M512,BB$13))))</f>
        <v>1000000000000</v>
      </c>
      <c r="BC512" s="182">
        <f ca="1">IF($D512&lt;&gt;"Serviço",0,IF(OR(AND(AUTOEVENTO="Manual",$M512=1),$M512&gt;(ROW(PLE.lastrow)-ROW(PLE.firstrow))),0,IF(OFFSET(PLE!$G$14,$M512,BC$13)="",10^12,OFFSET(PLE!$G$14,$M512,BC$13))))</f>
        <v>1000000000000</v>
      </c>
      <c r="BD512" s="182">
        <f ca="1">IF($D512&lt;&gt;"Serviço",0,IF(OR(AND(AUTOEVENTO="Manual",$M512=1),$M512&gt;(ROW(PLE.lastrow)-ROW(PLE.firstrow))),0,IF(OFFSET(PLE!$G$14,$M512,BD$13)="",10^12,OFFSET(PLE!$G$14,$M512,BD$13))))</f>
        <v>1000000000000</v>
      </c>
      <c r="BE512" s="182">
        <f ca="1">IF($D512&lt;&gt;"Serviço",0,IF(OR(AND(AUTOEVENTO="Manual",$M512=1),$M512&gt;(ROW(PLE.lastrow)-ROW(PLE.firstrow))),0,IF(OFFSET(PLE!$G$14,$M512,BE$13)="",10^12,OFFSET(PLE!$G$14,$M512,BE$13))))</f>
        <v>1000000000000</v>
      </c>
      <c r="BF512" s="182">
        <f ca="1">IF($D512&lt;&gt;"Serviço",0,IF(OR(AND(AUTOEVENTO="Manual",$M512=1),$M512&gt;(ROW(PLE.lastrow)-ROW(PLE.firstrow))),0,IF(OFFSET(PLE!$G$14,$M512,BF$13)="",10^12,OFFSET(PLE!$G$14,$M512,BF$13))))</f>
        <v>1000000000000</v>
      </c>
      <c r="BG512" s="182">
        <f ca="1">IF($D512&lt;&gt;"Serviço",0,IF(OR(AND(AUTOEVENTO="Manual",$M512=1),$M512&gt;(ROW(PLE.lastrow)-ROW(PLE.firstrow))),0,IF(OFFSET(PLE!$G$14,$M512,BG$13)="",10^12,OFFSET(PLE!$G$14,$M512,BG$13))))</f>
        <v>1000000000000</v>
      </c>
    </row>
    <row r="513" spans="1:59" ht="25.5" x14ac:dyDescent="0.2">
      <c r="A513" s="7" t="str">
        <f t="shared" ca="1" si="11"/>
        <v>472</v>
      </c>
      <c r="B513" s="7" t="str">
        <f ca="1">OFFSET(ORÇAMENTO!C$15,ROW(B513)-ROW(B$15),0)</f>
        <v>S</v>
      </c>
      <c r="C513" s="7" t="str">
        <f ca="1">OFFSET(ORÇAMENTO!L$15,ROW(C513)-ROW(C$15),0)</f>
        <v/>
      </c>
      <c r="D513" s="118" t="str">
        <f ca="1">OFFSET(ORÇAMENTO!N$15,ROW(D513)-ROW(D$15),0)</f>
        <v>Serviço</v>
      </c>
      <c r="E513" s="119" t="str">
        <f ca="1">OFFSET(ORÇAMENTO!O$15,ROW(E513)-ROW(E$15),0)</f>
        <v>-</v>
      </c>
      <c r="F513" s="172" t="str">
        <f ca="1">OFFSET(ORÇAMENTO!R$15,ROW(F513)-ROW(F$15),0)</f>
        <v>(abra o arquivo 'Referência 02-2025.xlsm)</v>
      </c>
      <c r="G513" s="173" t="str">
        <f ca="1">IF($D513&lt;&gt;"Serviço","",OFFSET(ORÇAMENTO!S$15,ROW(G513)-ROW(G$15),0))</f>
        <v>-</v>
      </c>
      <c r="H513" s="124">
        <f ca="1">IF($D513&lt;&gt;"Serviço",0,IF(ACOMPANHAMENTO="BM",ROUND(OFFSET(ORÇAMENTO!AJ$15,ROW(H513)-ROW(H$15),0),15-13*ORÇAMENTO!$AF$7),SUMPRODUCT(($Q$12:$AA$12&lt;&gt;"")*ROUND($Q513:$AA513,15-13*ORÇAMENTO!$AF$7))))</f>
        <v>5</v>
      </c>
      <c r="I513" s="561" t="s">
        <v>890</v>
      </c>
      <c r="K513" s="174"/>
      <c r="L513" s="175" t="s">
        <v>255</v>
      </c>
      <c r="M513" s="176">
        <f ca="1">IF($D513&lt;&gt;"Serviço","",IF(AUTOEVENTO="manual",$A513,IF(ISERROR(MATCH($A513,$A$15:OFFSET($A513,-1,0),0)),MAX($M$15:OFFSET(M513,-1,0))+1,INDEX($M$15:OFFSET(M513,-1,0),MATCH($A513,$A$15:OFFSET($A513,-1,0),0)))))</f>
        <v>18</v>
      </c>
      <c r="N513" s="177" t="str">
        <f ca="1">IF($D513&lt;&gt;"Serviço","",IF(AUTOEVENTO="Manual",IF($A513=0,"&lt;-- defina o número do agrupador",OFFSET(EVENTOS!$D$14,$A513,0)),OFFSET($F$15,$A513,0)))</f>
        <v>INSTALAÇÕES ELÉTRICAS - 220V</v>
      </c>
      <c r="O513" s="178"/>
      <c r="Q513" s="178"/>
      <c r="R513" s="179"/>
      <c r="S513" s="179"/>
      <c r="T513" s="179"/>
      <c r="U513" s="179"/>
      <c r="V513" s="179"/>
      <c r="W513" s="179"/>
      <c r="X513" s="179"/>
      <c r="Y513" s="179"/>
      <c r="Z513" s="180"/>
      <c r="AB513" s="544">
        <f ca="1">IF(AND($D513="Serviço",AB$12&lt;&gt;0,$H513&gt;0,OR(AUTOEVENTO&lt;&gt;"manual",$M513&lt;&gt;1)),
IF(Import.TipoArredondamento&lt;&gt;"TransfereGOV",
ROUND(OFFSET($P513,0,AB$13),15-13*ORÇAMENTO!$AF$7)/$H513*OFFSET(ORÇAMENTO!$X$15,ROW(AB513)-ROW(AB$15),0),
ROUND(ROUND(OFFSET($P513,0,AB$13),15-13*ORÇAMENTO!$AF$7)*OFFSET(ORÇAMENTO!$W$15,ROW(AB513)-ROW(AB$15),0),15-13*ORÇAMENTO!$AF$11)),0)</f>
        <v>0</v>
      </c>
      <c r="AC513" s="545">
        <f ca="1">IF(AND($D513="Serviço",AC$12&lt;&gt;0,$H513&gt;0,OR(AUTOEVENTO&lt;&gt;"manual",$M513&lt;&gt;1)),
IF(Import.TipoArredondamento&lt;&gt;"TransfereGOV",
ROUND(OFFSET($P513,0,AC$13),15-13*ORÇAMENTO!$AF$7)/$H513*OFFSET(ORÇAMENTO!$X$15,ROW(AC513)-ROW(AC$15),0),
ROUND(ROUND(OFFSET($P513,0,AC$13),15-13*ORÇAMENTO!$AF$7)*OFFSET(ORÇAMENTO!$W$15,ROW(AC513)-ROW(AC$15),0),15-13*ORÇAMENTO!$AF$11)),0)</f>
        <v>0</v>
      </c>
      <c r="AD513" s="545">
        <f ca="1">IF(AND($D513="Serviço",AD$12&lt;&gt;0,$H513&gt;0,OR(AUTOEVENTO&lt;&gt;"manual",$M513&lt;&gt;1)),
IF(Import.TipoArredondamento&lt;&gt;"TransfereGOV",
ROUND(OFFSET($P513,0,AD$13),15-13*ORÇAMENTO!$AF$7)/$H513*OFFSET(ORÇAMENTO!$X$15,ROW(AD513)-ROW(AD$15),0),
ROUND(ROUND(OFFSET($P513,0,AD$13),15-13*ORÇAMENTO!$AF$7)*OFFSET(ORÇAMENTO!$W$15,ROW(AD513)-ROW(AD$15),0),15-13*ORÇAMENTO!$AF$11)),0)</f>
        <v>0</v>
      </c>
      <c r="AE513" s="545">
        <f ca="1">IF(AND($D513="Serviço",AE$12&lt;&gt;0,$H513&gt;0,OR(AUTOEVENTO&lt;&gt;"manual",$M513&lt;&gt;1)),
IF(Import.TipoArredondamento&lt;&gt;"TransfereGOV",
ROUND(OFFSET($P513,0,AE$13),15-13*ORÇAMENTO!$AF$7)/$H513*OFFSET(ORÇAMENTO!$X$15,ROW(AE513)-ROW(AE$15),0),
ROUND(ROUND(OFFSET($P513,0,AE$13),15-13*ORÇAMENTO!$AF$7)*OFFSET(ORÇAMENTO!$W$15,ROW(AE513)-ROW(AE$15),0),15-13*ORÇAMENTO!$AF$11)),0)</f>
        <v>0</v>
      </c>
      <c r="AF513" s="545">
        <f ca="1">IF(AND($D513="Serviço",AF$12&lt;&gt;0,$H513&gt;0,OR(AUTOEVENTO&lt;&gt;"manual",$M513&lt;&gt;1)),
IF(Import.TipoArredondamento&lt;&gt;"TransfereGOV",
ROUND(OFFSET($P513,0,AF$13),15-13*ORÇAMENTO!$AF$7)/$H513*OFFSET(ORÇAMENTO!$X$15,ROW(AF513)-ROW(AF$15),0),
ROUND(ROUND(OFFSET($P513,0,AF$13),15-13*ORÇAMENTO!$AF$7)*OFFSET(ORÇAMENTO!$W$15,ROW(AF513)-ROW(AF$15),0),15-13*ORÇAMENTO!$AF$11)),0)</f>
        <v>0</v>
      </c>
      <c r="AG513" s="545">
        <f ca="1">IF(AND($D513="Serviço",AG$12&lt;&gt;0,$H513&gt;0,OR(AUTOEVENTO&lt;&gt;"manual",$M513&lt;&gt;1)),
IF(Import.TipoArredondamento&lt;&gt;"TransfereGOV",
ROUND(OFFSET($P513,0,AG$13),15-13*ORÇAMENTO!$AF$7)/$H513*OFFSET(ORÇAMENTO!$X$15,ROW(AG513)-ROW(AG$15),0),
ROUND(ROUND(OFFSET($P513,0,AG$13),15-13*ORÇAMENTO!$AF$7)*OFFSET(ORÇAMENTO!$W$15,ROW(AG513)-ROW(AG$15),0),15-13*ORÇAMENTO!$AF$11)),0)</f>
        <v>0</v>
      </c>
      <c r="AH513" s="545">
        <f ca="1">IF(AND($D513="Serviço",AH$12&lt;&gt;0,$H513&gt;0,OR(AUTOEVENTO&lt;&gt;"manual",$M513&lt;&gt;1)),
IF(Import.TipoArredondamento&lt;&gt;"TransfereGOV",
ROUND(OFFSET($P513,0,AH$13),15-13*ORÇAMENTO!$AF$7)/$H513*OFFSET(ORÇAMENTO!$X$15,ROW(AH513)-ROW(AH$15),0),
ROUND(ROUND(OFFSET($P513,0,AH$13),15-13*ORÇAMENTO!$AF$7)*OFFSET(ORÇAMENTO!$W$15,ROW(AH513)-ROW(AH$15),0),15-13*ORÇAMENTO!$AF$11)),0)</f>
        <v>0</v>
      </c>
      <c r="AI513" s="545">
        <f ca="1">IF(AND($D513="Serviço",AI$12&lt;&gt;0,$H513&gt;0,OR(AUTOEVENTO&lt;&gt;"manual",$M513&lt;&gt;1)),
IF(Import.TipoArredondamento&lt;&gt;"TransfereGOV",
ROUND(OFFSET($P513,0,AI$13),15-13*ORÇAMENTO!$AF$7)/$H513*OFFSET(ORÇAMENTO!$X$15,ROW(AI513)-ROW(AI$15),0),
ROUND(ROUND(OFFSET($P513,0,AI$13),15-13*ORÇAMENTO!$AF$7)*OFFSET(ORÇAMENTO!$W$15,ROW(AI513)-ROW(AI$15),0),15-13*ORÇAMENTO!$AF$11)),0)</f>
        <v>0</v>
      </c>
      <c r="AJ513" s="545">
        <f ca="1">IF(AND($D513="Serviço",AJ$12&lt;&gt;0,$H513&gt;0,OR(AUTOEVENTO&lt;&gt;"manual",$M513&lt;&gt;1)),
IF(Import.TipoArredondamento&lt;&gt;"TransfereGOV",
ROUND(OFFSET($P513,0,AJ$13),15-13*ORÇAMENTO!$AF$7)/$H513*OFFSET(ORÇAMENTO!$X$15,ROW(AJ513)-ROW(AJ$15),0),
ROUND(ROUND(OFFSET($P513,0,AJ$13),15-13*ORÇAMENTO!$AF$7)*OFFSET(ORÇAMENTO!$W$15,ROW(AJ513)-ROW(AJ$15),0),15-13*ORÇAMENTO!$AF$11)),0)</f>
        <v>0</v>
      </c>
      <c r="AK513" s="546">
        <f ca="1">IF(AND($D513="Serviço",AK$12&lt;&gt;0,$H513&gt;0,OR(AUTOEVENTO&lt;&gt;"manual",$M513&lt;&gt;1)),
IF(Import.TipoArredondamento&lt;&gt;"TransfereGOV",
ROUND(OFFSET($P513,0,AK$13),15-13*ORÇAMENTO!$AF$7)/$H513*OFFSET(ORÇAMENTO!$X$15,ROW(AK513)-ROW(AK$15),0),
ROUND(ROUND(OFFSET($P513,0,AK$13),15-13*ORÇAMENTO!$AF$7)*OFFSET(ORÇAMENTO!$W$15,ROW(AK513)-ROW(AK$15),0),15-13*ORÇAMENTO!$AF$11)),0)</f>
        <v>0</v>
      </c>
      <c r="AM513" s="181">
        <f ca="1">IF($D513&lt;&gt;"Serviço",0,IF(AND(AUTOEVENTO="Manual",$M513=1),0,IF(OFFSET(CRONOPLE!$F$14,$M513,AM$13)="",10^12,OFFSET(CRONOPLE!$F$14,$M513,AM$13))))</f>
        <v>1000000000000</v>
      </c>
      <c r="AN513" s="181">
        <f ca="1">IF($D513&lt;&gt;"Serviço",0,IF(AND(AUTOEVENTO="Manual",$M513=1),0,IF(OFFSET(CRONOPLE!$F$14,$M513,AN$13)="",10^12,OFFSET(CRONOPLE!$F$14,$M513,AN$13))))</f>
        <v>1000000000000</v>
      </c>
      <c r="AO513" s="181">
        <f ca="1">IF($D513&lt;&gt;"Serviço",0,IF(AND(AUTOEVENTO="Manual",$M513=1),0,IF(OFFSET(CRONOPLE!$F$14,$M513,AO$13)="",10^12,OFFSET(CRONOPLE!$F$14,$M513,AO$13))))</f>
        <v>1000000000000</v>
      </c>
      <c r="AP513" s="181">
        <f ca="1">IF($D513&lt;&gt;"Serviço",0,IF(AND(AUTOEVENTO="Manual",$M513=1),0,IF(OFFSET(CRONOPLE!$F$14,$M513,AP$13)="",10^12,OFFSET(CRONOPLE!$F$14,$M513,AP$13))))</f>
        <v>1000000000000</v>
      </c>
      <c r="AQ513" s="181">
        <f ca="1">IF($D513&lt;&gt;"Serviço",0,IF(AND(AUTOEVENTO="Manual",$M513=1),0,IF(OFFSET(CRONOPLE!$F$14,$M513,AQ$13)="",10^12,OFFSET(CRONOPLE!$F$14,$M513,AQ$13))))</f>
        <v>1000000000000</v>
      </c>
      <c r="AR513" s="181">
        <f ca="1">IF($D513&lt;&gt;"Serviço",0,IF(AND(AUTOEVENTO="Manual",$M513=1),0,IF(OFFSET(CRONOPLE!$F$14,$M513,AR$13)="",10^12,OFFSET(CRONOPLE!$F$14,$M513,AR$13))))</f>
        <v>1000000000000</v>
      </c>
      <c r="AS513" s="181">
        <f ca="1">IF($D513&lt;&gt;"Serviço",0,IF(AND(AUTOEVENTO="Manual",$M513=1),0,IF(OFFSET(CRONOPLE!$F$14,$M513,AS$13)="",10^12,OFFSET(CRONOPLE!$F$14,$M513,AS$13))))</f>
        <v>1000000000000</v>
      </c>
      <c r="AT513" s="181">
        <f ca="1">IF($D513&lt;&gt;"Serviço",0,IF(AND(AUTOEVENTO="Manual",$M513=1),0,IF(OFFSET(CRONOPLE!$F$14,$M513,AT$13)="",10^12,OFFSET(CRONOPLE!$F$14,$M513,AT$13))))</f>
        <v>1000000000000</v>
      </c>
      <c r="AU513" s="181">
        <f ca="1">IF($D513&lt;&gt;"Serviço",0,IF(AND(AUTOEVENTO="Manual",$M513=1),0,IF(OFFSET(CRONOPLE!$F$14,$M513,AU$13)="",10^12,OFFSET(CRONOPLE!$F$14,$M513,AU$13))))</f>
        <v>1000000000000</v>
      </c>
      <c r="AV513" s="181">
        <f ca="1">IF($D513&lt;&gt;"Serviço",0,IF(AND(AUTOEVENTO="Manual",$M513=1),0,IF(OFFSET(CRONOPLE!$F$14,$M513,AV$13)="",10^12,OFFSET(CRONOPLE!$F$14,$M513,AV$13))))</f>
        <v>1000000000000</v>
      </c>
      <c r="AX513" s="182">
        <f ca="1">IF($D513&lt;&gt;"Serviço",0,IF(OR(AND(AUTOEVENTO="Manual",$M513=1),$M513&gt;(ROW(PLE.lastrow)-ROW(PLE.firstrow))),0,IF(OFFSET(PLE!$G$14,$M513,AX$13)="",10^12,OFFSET(PLE!$G$14,$M513,AX$13))))</f>
        <v>1000000000000</v>
      </c>
      <c r="AY513" s="182">
        <f ca="1">IF($D513&lt;&gt;"Serviço",0,IF(OR(AND(AUTOEVENTO="Manual",$M513=1),$M513&gt;(ROW(PLE.lastrow)-ROW(PLE.firstrow))),0,IF(OFFSET(PLE!$G$14,$M513,AY$13)="",10^12,OFFSET(PLE!$G$14,$M513,AY$13))))</f>
        <v>1000000000000</v>
      </c>
      <c r="AZ513" s="182">
        <f ca="1">IF($D513&lt;&gt;"Serviço",0,IF(OR(AND(AUTOEVENTO="Manual",$M513=1),$M513&gt;(ROW(PLE.lastrow)-ROW(PLE.firstrow))),0,IF(OFFSET(PLE!$G$14,$M513,AZ$13)="",10^12,OFFSET(PLE!$G$14,$M513,AZ$13))))</f>
        <v>1000000000000</v>
      </c>
      <c r="BA513" s="182">
        <f ca="1">IF($D513&lt;&gt;"Serviço",0,IF(OR(AND(AUTOEVENTO="Manual",$M513=1),$M513&gt;(ROW(PLE.lastrow)-ROW(PLE.firstrow))),0,IF(OFFSET(PLE!$G$14,$M513,BA$13)="",10^12,OFFSET(PLE!$G$14,$M513,BA$13))))</f>
        <v>1000000000000</v>
      </c>
      <c r="BB513" s="182">
        <f ca="1">IF($D513&lt;&gt;"Serviço",0,IF(OR(AND(AUTOEVENTO="Manual",$M513=1),$M513&gt;(ROW(PLE.lastrow)-ROW(PLE.firstrow))),0,IF(OFFSET(PLE!$G$14,$M513,BB$13)="",10^12,OFFSET(PLE!$G$14,$M513,BB$13))))</f>
        <v>1000000000000</v>
      </c>
      <c r="BC513" s="182">
        <f ca="1">IF($D513&lt;&gt;"Serviço",0,IF(OR(AND(AUTOEVENTO="Manual",$M513=1),$M513&gt;(ROW(PLE.lastrow)-ROW(PLE.firstrow))),0,IF(OFFSET(PLE!$G$14,$M513,BC$13)="",10^12,OFFSET(PLE!$G$14,$M513,BC$13))))</f>
        <v>1000000000000</v>
      </c>
      <c r="BD513" s="182">
        <f ca="1">IF($D513&lt;&gt;"Serviço",0,IF(OR(AND(AUTOEVENTO="Manual",$M513=1),$M513&gt;(ROW(PLE.lastrow)-ROW(PLE.firstrow))),0,IF(OFFSET(PLE!$G$14,$M513,BD$13)="",10^12,OFFSET(PLE!$G$14,$M513,BD$13))))</f>
        <v>1000000000000</v>
      </c>
      <c r="BE513" s="182">
        <f ca="1">IF($D513&lt;&gt;"Serviço",0,IF(OR(AND(AUTOEVENTO="Manual",$M513=1),$M513&gt;(ROW(PLE.lastrow)-ROW(PLE.firstrow))),0,IF(OFFSET(PLE!$G$14,$M513,BE$13)="",10^12,OFFSET(PLE!$G$14,$M513,BE$13))))</f>
        <v>1000000000000</v>
      </c>
      <c r="BF513" s="182">
        <f ca="1">IF($D513&lt;&gt;"Serviço",0,IF(OR(AND(AUTOEVENTO="Manual",$M513=1),$M513&gt;(ROW(PLE.lastrow)-ROW(PLE.firstrow))),0,IF(OFFSET(PLE!$G$14,$M513,BF$13)="",10^12,OFFSET(PLE!$G$14,$M513,BF$13))))</f>
        <v>1000000000000</v>
      </c>
      <c r="BG513" s="182">
        <f ca="1">IF($D513&lt;&gt;"Serviço",0,IF(OR(AND(AUTOEVENTO="Manual",$M513=1),$M513&gt;(ROW(PLE.lastrow)-ROW(PLE.firstrow))),0,IF(OFFSET(PLE!$G$14,$M513,BG$13)="",10^12,OFFSET(PLE!$G$14,$M513,BG$13))))</f>
        <v>1000000000000</v>
      </c>
    </row>
    <row r="514" spans="1:59" ht="25.5" x14ac:dyDescent="0.2">
      <c r="A514" s="7" t="str">
        <f t="shared" ca="1" si="11"/>
        <v>472</v>
      </c>
      <c r="B514" s="7" t="str">
        <f ca="1">OFFSET(ORÇAMENTO!C$15,ROW(B514)-ROW(B$15),0)</f>
        <v>S</v>
      </c>
      <c r="C514" s="7" t="str">
        <f ca="1">OFFSET(ORÇAMENTO!L$15,ROW(C514)-ROW(C$15),0)</f>
        <v/>
      </c>
      <c r="D514" s="118" t="str">
        <f ca="1">OFFSET(ORÇAMENTO!N$15,ROW(D514)-ROW(D$15),0)</f>
        <v>Serviço</v>
      </c>
      <c r="E514" s="119" t="str">
        <f ca="1">OFFSET(ORÇAMENTO!O$15,ROW(E514)-ROW(E$15),0)</f>
        <v>-</v>
      </c>
      <c r="F514" s="172" t="str">
        <f ca="1">OFFSET(ORÇAMENTO!R$15,ROW(F514)-ROW(F$15),0)</f>
        <v>(abra o arquivo 'Referência 02-2025.xlsm)</v>
      </c>
      <c r="G514" s="173" t="str">
        <f ca="1">IF($D514&lt;&gt;"Serviço","",OFFSET(ORÇAMENTO!S$15,ROW(G514)-ROW(G$15),0))</f>
        <v>-</v>
      </c>
      <c r="H514" s="124">
        <f ca="1">IF($D514&lt;&gt;"Serviço",0,IF(ACOMPANHAMENTO="BM",ROUND(OFFSET(ORÇAMENTO!AJ$15,ROW(H514)-ROW(H$15),0),15-13*ORÇAMENTO!$AF$7),SUMPRODUCT(($Q$12:$AA$12&lt;&gt;"")*ROUND($Q514:$AA514,15-13*ORÇAMENTO!$AF$7))))</f>
        <v>1</v>
      </c>
      <c r="I514" s="561" t="s">
        <v>890</v>
      </c>
      <c r="K514" s="174"/>
      <c r="L514" s="175" t="s">
        <v>255</v>
      </c>
      <c r="M514" s="176">
        <f ca="1">IF($D514&lt;&gt;"Serviço","",IF(AUTOEVENTO="manual",$A514,IF(ISERROR(MATCH($A514,$A$15:OFFSET($A514,-1,0),0)),MAX($M$15:OFFSET(M514,-1,0))+1,INDEX($M$15:OFFSET(M514,-1,0),MATCH($A514,$A$15:OFFSET($A514,-1,0),0)))))</f>
        <v>18</v>
      </c>
      <c r="N514" s="177" t="str">
        <f ca="1">IF($D514&lt;&gt;"Serviço","",IF(AUTOEVENTO="Manual",IF($A514=0,"&lt;-- defina o número do agrupador",OFFSET(EVENTOS!$D$14,$A514,0)),OFFSET($F$15,$A514,0)))</f>
        <v>INSTALAÇÕES ELÉTRICAS - 220V</v>
      </c>
      <c r="O514" s="178"/>
      <c r="Q514" s="178"/>
      <c r="R514" s="179"/>
      <c r="S514" s="179"/>
      <c r="T514" s="179"/>
      <c r="U514" s="179"/>
      <c r="V514" s="179"/>
      <c r="W514" s="179"/>
      <c r="X514" s="179"/>
      <c r="Y514" s="179"/>
      <c r="Z514" s="180"/>
      <c r="AB514" s="544">
        <f ca="1">IF(AND($D514="Serviço",AB$12&lt;&gt;0,$H514&gt;0,OR(AUTOEVENTO&lt;&gt;"manual",$M514&lt;&gt;1)),
IF(Import.TipoArredondamento&lt;&gt;"TransfereGOV",
ROUND(OFFSET($P514,0,AB$13),15-13*ORÇAMENTO!$AF$7)/$H514*OFFSET(ORÇAMENTO!$X$15,ROW(AB514)-ROW(AB$15),0),
ROUND(ROUND(OFFSET($P514,0,AB$13),15-13*ORÇAMENTO!$AF$7)*OFFSET(ORÇAMENTO!$W$15,ROW(AB514)-ROW(AB$15),0),15-13*ORÇAMENTO!$AF$11)),0)</f>
        <v>0</v>
      </c>
      <c r="AC514" s="545">
        <f ca="1">IF(AND($D514="Serviço",AC$12&lt;&gt;0,$H514&gt;0,OR(AUTOEVENTO&lt;&gt;"manual",$M514&lt;&gt;1)),
IF(Import.TipoArredondamento&lt;&gt;"TransfereGOV",
ROUND(OFFSET($P514,0,AC$13),15-13*ORÇAMENTO!$AF$7)/$H514*OFFSET(ORÇAMENTO!$X$15,ROW(AC514)-ROW(AC$15),0),
ROUND(ROUND(OFFSET($P514,0,AC$13),15-13*ORÇAMENTO!$AF$7)*OFFSET(ORÇAMENTO!$W$15,ROW(AC514)-ROW(AC$15),0),15-13*ORÇAMENTO!$AF$11)),0)</f>
        <v>0</v>
      </c>
      <c r="AD514" s="545">
        <f ca="1">IF(AND($D514="Serviço",AD$12&lt;&gt;0,$H514&gt;0,OR(AUTOEVENTO&lt;&gt;"manual",$M514&lt;&gt;1)),
IF(Import.TipoArredondamento&lt;&gt;"TransfereGOV",
ROUND(OFFSET($P514,0,AD$13),15-13*ORÇAMENTO!$AF$7)/$H514*OFFSET(ORÇAMENTO!$X$15,ROW(AD514)-ROW(AD$15),0),
ROUND(ROUND(OFFSET($P514,0,AD$13),15-13*ORÇAMENTO!$AF$7)*OFFSET(ORÇAMENTO!$W$15,ROW(AD514)-ROW(AD$15),0),15-13*ORÇAMENTO!$AF$11)),0)</f>
        <v>0</v>
      </c>
      <c r="AE514" s="545">
        <f ca="1">IF(AND($D514="Serviço",AE$12&lt;&gt;0,$H514&gt;0,OR(AUTOEVENTO&lt;&gt;"manual",$M514&lt;&gt;1)),
IF(Import.TipoArredondamento&lt;&gt;"TransfereGOV",
ROUND(OFFSET($P514,0,AE$13),15-13*ORÇAMENTO!$AF$7)/$H514*OFFSET(ORÇAMENTO!$X$15,ROW(AE514)-ROW(AE$15),0),
ROUND(ROUND(OFFSET($P514,0,AE$13),15-13*ORÇAMENTO!$AF$7)*OFFSET(ORÇAMENTO!$W$15,ROW(AE514)-ROW(AE$15),0),15-13*ORÇAMENTO!$AF$11)),0)</f>
        <v>0</v>
      </c>
      <c r="AF514" s="545">
        <f ca="1">IF(AND($D514="Serviço",AF$12&lt;&gt;0,$H514&gt;0,OR(AUTOEVENTO&lt;&gt;"manual",$M514&lt;&gt;1)),
IF(Import.TipoArredondamento&lt;&gt;"TransfereGOV",
ROUND(OFFSET($P514,0,AF$13),15-13*ORÇAMENTO!$AF$7)/$H514*OFFSET(ORÇAMENTO!$X$15,ROW(AF514)-ROW(AF$15),0),
ROUND(ROUND(OFFSET($P514,0,AF$13),15-13*ORÇAMENTO!$AF$7)*OFFSET(ORÇAMENTO!$W$15,ROW(AF514)-ROW(AF$15),0),15-13*ORÇAMENTO!$AF$11)),0)</f>
        <v>0</v>
      </c>
      <c r="AG514" s="545">
        <f ca="1">IF(AND($D514="Serviço",AG$12&lt;&gt;0,$H514&gt;0,OR(AUTOEVENTO&lt;&gt;"manual",$M514&lt;&gt;1)),
IF(Import.TipoArredondamento&lt;&gt;"TransfereGOV",
ROUND(OFFSET($P514,0,AG$13),15-13*ORÇAMENTO!$AF$7)/$H514*OFFSET(ORÇAMENTO!$X$15,ROW(AG514)-ROW(AG$15),0),
ROUND(ROUND(OFFSET($P514,0,AG$13),15-13*ORÇAMENTO!$AF$7)*OFFSET(ORÇAMENTO!$W$15,ROW(AG514)-ROW(AG$15),0),15-13*ORÇAMENTO!$AF$11)),0)</f>
        <v>0</v>
      </c>
      <c r="AH514" s="545">
        <f ca="1">IF(AND($D514="Serviço",AH$12&lt;&gt;0,$H514&gt;0,OR(AUTOEVENTO&lt;&gt;"manual",$M514&lt;&gt;1)),
IF(Import.TipoArredondamento&lt;&gt;"TransfereGOV",
ROUND(OFFSET($P514,0,AH$13),15-13*ORÇAMENTO!$AF$7)/$H514*OFFSET(ORÇAMENTO!$X$15,ROW(AH514)-ROW(AH$15),0),
ROUND(ROUND(OFFSET($P514,0,AH$13),15-13*ORÇAMENTO!$AF$7)*OFFSET(ORÇAMENTO!$W$15,ROW(AH514)-ROW(AH$15),0),15-13*ORÇAMENTO!$AF$11)),0)</f>
        <v>0</v>
      </c>
      <c r="AI514" s="545">
        <f ca="1">IF(AND($D514="Serviço",AI$12&lt;&gt;0,$H514&gt;0,OR(AUTOEVENTO&lt;&gt;"manual",$M514&lt;&gt;1)),
IF(Import.TipoArredondamento&lt;&gt;"TransfereGOV",
ROUND(OFFSET($P514,0,AI$13),15-13*ORÇAMENTO!$AF$7)/$H514*OFFSET(ORÇAMENTO!$X$15,ROW(AI514)-ROW(AI$15),0),
ROUND(ROUND(OFFSET($P514,0,AI$13),15-13*ORÇAMENTO!$AF$7)*OFFSET(ORÇAMENTO!$W$15,ROW(AI514)-ROW(AI$15),0),15-13*ORÇAMENTO!$AF$11)),0)</f>
        <v>0</v>
      </c>
      <c r="AJ514" s="545">
        <f ca="1">IF(AND($D514="Serviço",AJ$12&lt;&gt;0,$H514&gt;0,OR(AUTOEVENTO&lt;&gt;"manual",$M514&lt;&gt;1)),
IF(Import.TipoArredondamento&lt;&gt;"TransfereGOV",
ROUND(OFFSET($P514,0,AJ$13),15-13*ORÇAMENTO!$AF$7)/$H514*OFFSET(ORÇAMENTO!$X$15,ROW(AJ514)-ROW(AJ$15),0),
ROUND(ROUND(OFFSET($P514,0,AJ$13),15-13*ORÇAMENTO!$AF$7)*OFFSET(ORÇAMENTO!$W$15,ROW(AJ514)-ROW(AJ$15),0),15-13*ORÇAMENTO!$AF$11)),0)</f>
        <v>0</v>
      </c>
      <c r="AK514" s="546">
        <f ca="1">IF(AND($D514="Serviço",AK$12&lt;&gt;0,$H514&gt;0,OR(AUTOEVENTO&lt;&gt;"manual",$M514&lt;&gt;1)),
IF(Import.TipoArredondamento&lt;&gt;"TransfereGOV",
ROUND(OFFSET($P514,0,AK$13),15-13*ORÇAMENTO!$AF$7)/$H514*OFFSET(ORÇAMENTO!$X$15,ROW(AK514)-ROW(AK$15),0),
ROUND(ROUND(OFFSET($P514,0,AK$13),15-13*ORÇAMENTO!$AF$7)*OFFSET(ORÇAMENTO!$W$15,ROW(AK514)-ROW(AK$15),0),15-13*ORÇAMENTO!$AF$11)),0)</f>
        <v>0</v>
      </c>
      <c r="AM514" s="181">
        <f ca="1">IF($D514&lt;&gt;"Serviço",0,IF(AND(AUTOEVENTO="Manual",$M514=1),0,IF(OFFSET(CRONOPLE!$F$14,$M514,AM$13)="",10^12,OFFSET(CRONOPLE!$F$14,$M514,AM$13))))</f>
        <v>1000000000000</v>
      </c>
      <c r="AN514" s="181">
        <f ca="1">IF($D514&lt;&gt;"Serviço",0,IF(AND(AUTOEVENTO="Manual",$M514=1),0,IF(OFFSET(CRONOPLE!$F$14,$M514,AN$13)="",10^12,OFFSET(CRONOPLE!$F$14,$M514,AN$13))))</f>
        <v>1000000000000</v>
      </c>
      <c r="AO514" s="181">
        <f ca="1">IF($D514&lt;&gt;"Serviço",0,IF(AND(AUTOEVENTO="Manual",$M514=1),0,IF(OFFSET(CRONOPLE!$F$14,$M514,AO$13)="",10^12,OFFSET(CRONOPLE!$F$14,$M514,AO$13))))</f>
        <v>1000000000000</v>
      </c>
      <c r="AP514" s="181">
        <f ca="1">IF($D514&lt;&gt;"Serviço",0,IF(AND(AUTOEVENTO="Manual",$M514=1),0,IF(OFFSET(CRONOPLE!$F$14,$M514,AP$13)="",10^12,OFFSET(CRONOPLE!$F$14,$M514,AP$13))))</f>
        <v>1000000000000</v>
      </c>
      <c r="AQ514" s="181">
        <f ca="1">IF($D514&lt;&gt;"Serviço",0,IF(AND(AUTOEVENTO="Manual",$M514=1),0,IF(OFFSET(CRONOPLE!$F$14,$M514,AQ$13)="",10^12,OFFSET(CRONOPLE!$F$14,$M514,AQ$13))))</f>
        <v>1000000000000</v>
      </c>
      <c r="AR514" s="181">
        <f ca="1">IF($D514&lt;&gt;"Serviço",0,IF(AND(AUTOEVENTO="Manual",$M514=1),0,IF(OFFSET(CRONOPLE!$F$14,$M514,AR$13)="",10^12,OFFSET(CRONOPLE!$F$14,$M514,AR$13))))</f>
        <v>1000000000000</v>
      </c>
      <c r="AS514" s="181">
        <f ca="1">IF($D514&lt;&gt;"Serviço",0,IF(AND(AUTOEVENTO="Manual",$M514=1),0,IF(OFFSET(CRONOPLE!$F$14,$M514,AS$13)="",10^12,OFFSET(CRONOPLE!$F$14,$M514,AS$13))))</f>
        <v>1000000000000</v>
      </c>
      <c r="AT514" s="181">
        <f ca="1">IF($D514&lt;&gt;"Serviço",0,IF(AND(AUTOEVENTO="Manual",$M514=1),0,IF(OFFSET(CRONOPLE!$F$14,$M514,AT$13)="",10^12,OFFSET(CRONOPLE!$F$14,$M514,AT$13))))</f>
        <v>1000000000000</v>
      </c>
      <c r="AU514" s="181">
        <f ca="1">IF($D514&lt;&gt;"Serviço",0,IF(AND(AUTOEVENTO="Manual",$M514=1),0,IF(OFFSET(CRONOPLE!$F$14,$M514,AU$13)="",10^12,OFFSET(CRONOPLE!$F$14,$M514,AU$13))))</f>
        <v>1000000000000</v>
      </c>
      <c r="AV514" s="181">
        <f ca="1">IF($D514&lt;&gt;"Serviço",0,IF(AND(AUTOEVENTO="Manual",$M514=1),0,IF(OFFSET(CRONOPLE!$F$14,$M514,AV$13)="",10^12,OFFSET(CRONOPLE!$F$14,$M514,AV$13))))</f>
        <v>1000000000000</v>
      </c>
      <c r="AX514" s="182">
        <f ca="1">IF($D514&lt;&gt;"Serviço",0,IF(OR(AND(AUTOEVENTO="Manual",$M514=1),$M514&gt;(ROW(PLE.lastrow)-ROW(PLE.firstrow))),0,IF(OFFSET(PLE!$G$14,$M514,AX$13)="",10^12,OFFSET(PLE!$G$14,$M514,AX$13))))</f>
        <v>1000000000000</v>
      </c>
      <c r="AY514" s="182">
        <f ca="1">IF($D514&lt;&gt;"Serviço",0,IF(OR(AND(AUTOEVENTO="Manual",$M514=1),$M514&gt;(ROW(PLE.lastrow)-ROW(PLE.firstrow))),0,IF(OFFSET(PLE!$G$14,$M514,AY$13)="",10^12,OFFSET(PLE!$G$14,$M514,AY$13))))</f>
        <v>1000000000000</v>
      </c>
      <c r="AZ514" s="182">
        <f ca="1">IF($D514&lt;&gt;"Serviço",0,IF(OR(AND(AUTOEVENTO="Manual",$M514=1),$M514&gt;(ROW(PLE.lastrow)-ROW(PLE.firstrow))),0,IF(OFFSET(PLE!$G$14,$M514,AZ$13)="",10^12,OFFSET(PLE!$G$14,$M514,AZ$13))))</f>
        <v>1000000000000</v>
      </c>
      <c r="BA514" s="182">
        <f ca="1">IF($D514&lt;&gt;"Serviço",0,IF(OR(AND(AUTOEVENTO="Manual",$M514=1),$M514&gt;(ROW(PLE.lastrow)-ROW(PLE.firstrow))),0,IF(OFFSET(PLE!$G$14,$M514,BA$13)="",10^12,OFFSET(PLE!$G$14,$M514,BA$13))))</f>
        <v>1000000000000</v>
      </c>
      <c r="BB514" s="182">
        <f ca="1">IF($D514&lt;&gt;"Serviço",0,IF(OR(AND(AUTOEVENTO="Manual",$M514=1),$M514&gt;(ROW(PLE.lastrow)-ROW(PLE.firstrow))),0,IF(OFFSET(PLE!$G$14,$M514,BB$13)="",10^12,OFFSET(PLE!$G$14,$M514,BB$13))))</f>
        <v>1000000000000</v>
      </c>
      <c r="BC514" s="182">
        <f ca="1">IF($D514&lt;&gt;"Serviço",0,IF(OR(AND(AUTOEVENTO="Manual",$M514=1),$M514&gt;(ROW(PLE.lastrow)-ROW(PLE.firstrow))),0,IF(OFFSET(PLE!$G$14,$M514,BC$13)="",10^12,OFFSET(PLE!$G$14,$M514,BC$13))))</f>
        <v>1000000000000</v>
      </c>
      <c r="BD514" s="182">
        <f ca="1">IF($D514&lt;&gt;"Serviço",0,IF(OR(AND(AUTOEVENTO="Manual",$M514=1),$M514&gt;(ROW(PLE.lastrow)-ROW(PLE.firstrow))),0,IF(OFFSET(PLE!$G$14,$M514,BD$13)="",10^12,OFFSET(PLE!$G$14,$M514,BD$13))))</f>
        <v>1000000000000</v>
      </c>
      <c r="BE514" s="182">
        <f ca="1">IF($D514&lt;&gt;"Serviço",0,IF(OR(AND(AUTOEVENTO="Manual",$M514=1),$M514&gt;(ROW(PLE.lastrow)-ROW(PLE.firstrow))),0,IF(OFFSET(PLE!$G$14,$M514,BE$13)="",10^12,OFFSET(PLE!$G$14,$M514,BE$13))))</f>
        <v>1000000000000</v>
      </c>
      <c r="BF514" s="182">
        <f ca="1">IF($D514&lt;&gt;"Serviço",0,IF(OR(AND(AUTOEVENTO="Manual",$M514=1),$M514&gt;(ROW(PLE.lastrow)-ROW(PLE.firstrow))),0,IF(OFFSET(PLE!$G$14,$M514,BF$13)="",10^12,OFFSET(PLE!$G$14,$M514,BF$13))))</f>
        <v>1000000000000</v>
      </c>
      <c r="BG514" s="182">
        <f ca="1">IF($D514&lt;&gt;"Serviço",0,IF(OR(AND(AUTOEVENTO="Manual",$M514=1),$M514&gt;(ROW(PLE.lastrow)-ROW(PLE.firstrow))),0,IF(OFFSET(PLE!$G$14,$M514,BG$13)="",10^12,OFFSET(PLE!$G$14,$M514,BG$13))))</f>
        <v>1000000000000</v>
      </c>
    </row>
    <row r="515" spans="1:59" ht="25.5" x14ac:dyDescent="0.2">
      <c r="A515" s="7" t="str">
        <f t="shared" ca="1" si="11"/>
        <v>472</v>
      </c>
      <c r="B515" s="7" t="str">
        <f ca="1">OFFSET(ORÇAMENTO!C$15,ROW(B515)-ROW(B$15),0)</f>
        <v>S</v>
      </c>
      <c r="C515" s="7" t="str">
        <f ca="1">OFFSET(ORÇAMENTO!L$15,ROW(C515)-ROW(C$15),0)</f>
        <v/>
      </c>
      <c r="D515" s="118" t="str">
        <f ca="1">OFFSET(ORÇAMENTO!N$15,ROW(D515)-ROW(D$15),0)</f>
        <v>Serviço</v>
      </c>
      <c r="E515" s="119" t="str">
        <f ca="1">OFFSET(ORÇAMENTO!O$15,ROW(E515)-ROW(E$15),0)</f>
        <v>-</v>
      </c>
      <c r="F515" s="172" t="str">
        <f ca="1">OFFSET(ORÇAMENTO!R$15,ROW(F515)-ROW(F$15),0)</f>
        <v>(abra o arquivo 'Referência 02-2025.xlsm)</v>
      </c>
      <c r="G515" s="173" t="str">
        <f ca="1">IF($D515&lt;&gt;"Serviço","",OFFSET(ORÇAMENTO!S$15,ROW(G515)-ROW(G$15),0))</f>
        <v>-</v>
      </c>
      <c r="H515" s="124">
        <f ca="1">IF($D515&lt;&gt;"Serviço",0,IF(ACOMPANHAMENTO="BM",ROUND(OFFSET(ORÇAMENTO!AJ$15,ROW(H515)-ROW(H$15),0),15-13*ORÇAMENTO!$AF$7),SUMPRODUCT(($Q$12:$AA$12&lt;&gt;"")*ROUND($Q515:$AA515,15-13*ORÇAMENTO!$AF$7))))</f>
        <v>1</v>
      </c>
      <c r="I515" s="561" t="s">
        <v>890</v>
      </c>
      <c r="K515" s="174"/>
      <c r="L515" s="175" t="s">
        <v>255</v>
      </c>
      <c r="M515" s="176">
        <f ca="1">IF($D515&lt;&gt;"Serviço","",IF(AUTOEVENTO="manual",$A515,IF(ISERROR(MATCH($A515,$A$15:OFFSET($A515,-1,0),0)),MAX($M$15:OFFSET(M515,-1,0))+1,INDEX($M$15:OFFSET(M515,-1,0),MATCH($A515,$A$15:OFFSET($A515,-1,0),0)))))</f>
        <v>18</v>
      </c>
      <c r="N515" s="177" t="str">
        <f ca="1">IF($D515&lt;&gt;"Serviço","",IF(AUTOEVENTO="Manual",IF($A515=0,"&lt;-- defina o número do agrupador",OFFSET(EVENTOS!$D$14,$A515,0)),OFFSET($F$15,$A515,0)))</f>
        <v>INSTALAÇÕES ELÉTRICAS - 220V</v>
      </c>
      <c r="O515" s="178"/>
      <c r="Q515" s="178"/>
      <c r="R515" s="179"/>
      <c r="S515" s="179"/>
      <c r="T515" s="179"/>
      <c r="U515" s="179"/>
      <c r="V515" s="179"/>
      <c r="W515" s="179"/>
      <c r="X515" s="179"/>
      <c r="Y515" s="179"/>
      <c r="Z515" s="180"/>
      <c r="AB515" s="544">
        <f ca="1">IF(AND($D515="Serviço",AB$12&lt;&gt;0,$H515&gt;0,OR(AUTOEVENTO&lt;&gt;"manual",$M515&lt;&gt;1)),
IF(Import.TipoArredondamento&lt;&gt;"TransfereGOV",
ROUND(OFFSET($P515,0,AB$13),15-13*ORÇAMENTO!$AF$7)/$H515*OFFSET(ORÇAMENTO!$X$15,ROW(AB515)-ROW(AB$15),0),
ROUND(ROUND(OFFSET($P515,0,AB$13),15-13*ORÇAMENTO!$AF$7)*OFFSET(ORÇAMENTO!$W$15,ROW(AB515)-ROW(AB$15),0),15-13*ORÇAMENTO!$AF$11)),0)</f>
        <v>0</v>
      </c>
      <c r="AC515" s="545">
        <f ca="1">IF(AND($D515="Serviço",AC$12&lt;&gt;0,$H515&gt;0,OR(AUTOEVENTO&lt;&gt;"manual",$M515&lt;&gt;1)),
IF(Import.TipoArredondamento&lt;&gt;"TransfereGOV",
ROUND(OFFSET($P515,0,AC$13),15-13*ORÇAMENTO!$AF$7)/$H515*OFFSET(ORÇAMENTO!$X$15,ROW(AC515)-ROW(AC$15),0),
ROUND(ROUND(OFFSET($P515,0,AC$13),15-13*ORÇAMENTO!$AF$7)*OFFSET(ORÇAMENTO!$W$15,ROW(AC515)-ROW(AC$15),0),15-13*ORÇAMENTO!$AF$11)),0)</f>
        <v>0</v>
      </c>
      <c r="AD515" s="545">
        <f ca="1">IF(AND($D515="Serviço",AD$12&lt;&gt;0,$H515&gt;0,OR(AUTOEVENTO&lt;&gt;"manual",$M515&lt;&gt;1)),
IF(Import.TipoArredondamento&lt;&gt;"TransfereGOV",
ROUND(OFFSET($P515,0,AD$13),15-13*ORÇAMENTO!$AF$7)/$H515*OFFSET(ORÇAMENTO!$X$15,ROW(AD515)-ROW(AD$15),0),
ROUND(ROUND(OFFSET($P515,0,AD$13),15-13*ORÇAMENTO!$AF$7)*OFFSET(ORÇAMENTO!$W$15,ROW(AD515)-ROW(AD$15),0),15-13*ORÇAMENTO!$AF$11)),0)</f>
        <v>0</v>
      </c>
      <c r="AE515" s="545">
        <f ca="1">IF(AND($D515="Serviço",AE$12&lt;&gt;0,$H515&gt;0,OR(AUTOEVENTO&lt;&gt;"manual",$M515&lt;&gt;1)),
IF(Import.TipoArredondamento&lt;&gt;"TransfereGOV",
ROUND(OFFSET($P515,0,AE$13),15-13*ORÇAMENTO!$AF$7)/$H515*OFFSET(ORÇAMENTO!$X$15,ROW(AE515)-ROW(AE$15),0),
ROUND(ROUND(OFFSET($P515,0,AE$13),15-13*ORÇAMENTO!$AF$7)*OFFSET(ORÇAMENTO!$W$15,ROW(AE515)-ROW(AE$15),0),15-13*ORÇAMENTO!$AF$11)),0)</f>
        <v>0</v>
      </c>
      <c r="AF515" s="545">
        <f ca="1">IF(AND($D515="Serviço",AF$12&lt;&gt;0,$H515&gt;0,OR(AUTOEVENTO&lt;&gt;"manual",$M515&lt;&gt;1)),
IF(Import.TipoArredondamento&lt;&gt;"TransfereGOV",
ROUND(OFFSET($P515,0,AF$13),15-13*ORÇAMENTO!$AF$7)/$H515*OFFSET(ORÇAMENTO!$X$15,ROW(AF515)-ROW(AF$15),0),
ROUND(ROUND(OFFSET($P515,0,AF$13),15-13*ORÇAMENTO!$AF$7)*OFFSET(ORÇAMENTO!$W$15,ROW(AF515)-ROW(AF$15),0),15-13*ORÇAMENTO!$AF$11)),0)</f>
        <v>0</v>
      </c>
      <c r="AG515" s="545">
        <f ca="1">IF(AND($D515="Serviço",AG$12&lt;&gt;0,$H515&gt;0,OR(AUTOEVENTO&lt;&gt;"manual",$M515&lt;&gt;1)),
IF(Import.TipoArredondamento&lt;&gt;"TransfereGOV",
ROUND(OFFSET($P515,0,AG$13),15-13*ORÇAMENTO!$AF$7)/$H515*OFFSET(ORÇAMENTO!$X$15,ROW(AG515)-ROW(AG$15),0),
ROUND(ROUND(OFFSET($P515,0,AG$13),15-13*ORÇAMENTO!$AF$7)*OFFSET(ORÇAMENTO!$W$15,ROW(AG515)-ROW(AG$15),0),15-13*ORÇAMENTO!$AF$11)),0)</f>
        <v>0</v>
      </c>
      <c r="AH515" s="545">
        <f ca="1">IF(AND($D515="Serviço",AH$12&lt;&gt;0,$H515&gt;0,OR(AUTOEVENTO&lt;&gt;"manual",$M515&lt;&gt;1)),
IF(Import.TipoArredondamento&lt;&gt;"TransfereGOV",
ROUND(OFFSET($P515,0,AH$13),15-13*ORÇAMENTO!$AF$7)/$H515*OFFSET(ORÇAMENTO!$X$15,ROW(AH515)-ROW(AH$15),0),
ROUND(ROUND(OFFSET($P515,0,AH$13),15-13*ORÇAMENTO!$AF$7)*OFFSET(ORÇAMENTO!$W$15,ROW(AH515)-ROW(AH$15),0),15-13*ORÇAMENTO!$AF$11)),0)</f>
        <v>0</v>
      </c>
      <c r="AI515" s="545">
        <f ca="1">IF(AND($D515="Serviço",AI$12&lt;&gt;0,$H515&gt;0,OR(AUTOEVENTO&lt;&gt;"manual",$M515&lt;&gt;1)),
IF(Import.TipoArredondamento&lt;&gt;"TransfereGOV",
ROUND(OFFSET($P515,0,AI$13),15-13*ORÇAMENTO!$AF$7)/$H515*OFFSET(ORÇAMENTO!$X$15,ROW(AI515)-ROW(AI$15),0),
ROUND(ROUND(OFFSET($P515,0,AI$13),15-13*ORÇAMENTO!$AF$7)*OFFSET(ORÇAMENTO!$W$15,ROW(AI515)-ROW(AI$15),0),15-13*ORÇAMENTO!$AF$11)),0)</f>
        <v>0</v>
      </c>
      <c r="AJ515" s="545">
        <f ca="1">IF(AND($D515="Serviço",AJ$12&lt;&gt;0,$H515&gt;0,OR(AUTOEVENTO&lt;&gt;"manual",$M515&lt;&gt;1)),
IF(Import.TipoArredondamento&lt;&gt;"TransfereGOV",
ROUND(OFFSET($P515,0,AJ$13),15-13*ORÇAMENTO!$AF$7)/$H515*OFFSET(ORÇAMENTO!$X$15,ROW(AJ515)-ROW(AJ$15),0),
ROUND(ROUND(OFFSET($P515,0,AJ$13),15-13*ORÇAMENTO!$AF$7)*OFFSET(ORÇAMENTO!$W$15,ROW(AJ515)-ROW(AJ$15),0),15-13*ORÇAMENTO!$AF$11)),0)</f>
        <v>0</v>
      </c>
      <c r="AK515" s="546">
        <f ca="1">IF(AND($D515="Serviço",AK$12&lt;&gt;0,$H515&gt;0,OR(AUTOEVENTO&lt;&gt;"manual",$M515&lt;&gt;1)),
IF(Import.TipoArredondamento&lt;&gt;"TransfereGOV",
ROUND(OFFSET($P515,0,AK$13),15-13*ORÇAMENTO!$AF$7)/$H515*OFFSET(ORÇAMENTO!$X$15,ROW(AK515)-ROW(AK$15),0),
ROUND(ROUND(OFFSET($P515,0,AK$13),15-13*ORÇAMENTO!$AF$7)*OFFSET(ORÇAMENTO!$W$15,ROW(AK515)-ROW(AK$15),0),15-13*ORÇAMENTO!$AF$11)),0)</f>
        <v>0</v>
      </c>
      <c r="AM515" s="181">
        <f ca="1">IF($D515&lt;&gt;"Serviço",0,IF(AND(AUTOEVENTO="Manual",$M515=1),0,IF(OFFSET(CRONOPLE!$F$14,$M515,AM$13)="",10^12,OFFSET(CRONOPLE!$F$14,$M515,AM$13))))</f>
        <v>1000000000000</v>
      </c>
      <c r="AN515" s="181">
        <f ca="1">IF($D515&lt;&gt;"Serviço",0,IF(AND(AUTOEVENTO="Manual",$M515=1),0,IF(OFFSET(CRONOPLE!$F$14,$M515,AN$13)="",10^12,OFFSET(CRONOPLE!$F$14,$M515,AN$13))))</f>
        <v>1000000000000</v>
      </c>
      <c r="AO515" s="181">
        <f ca="1">IF($D515&lt;&gt;"Serviço",0,IF(AND(AUTOEVENTO="Manual",$M515=1),0,IF(OFFSET(CRONOPLE!$F$14,$M515,AO$13)="",10^12,OFFSET(CRONOPLE!$F$14,$M515,AO$13))))</f>
        <v>1000000000000</v>
      </c>
      <c r="AP515" s="181">
        <f ca="1">IF($D515&lt;&gt;"Serviço",0,IF(AND(AUTOEVENTO="Manual",$M515=1),0,IF(OFFSET(CRONOPLE!$F$14,$M515,AP$13)="",10^12,OFFSET(CRONOPLE!$F$14,$M515,AP$13))))</f>
        <v>1000000000000</v>
      </c>
      <c r="AQ515" s="181">
        <f ca="1">IF($D515&lt;&gt;"Serviço",0,IF(AND(AUTOEVENTO="Manual",$M515=1),0,IF(OFFSET(CRONOPLE!$F$14,$M515,AQ$13)="",10^12,OFFSET(CRONOPLE!$F$14,$M515,AQ$13))))</f>
        <v>1000000000000</v>
      </c>
      <c r="AR515" s="181">
        <f ca="1">IF($D515&lt;&gt;"Serviço",0,IF(AND(AUTOEVENTO="Manual",$M515=1),0,IF(OFFSET(CRONOPLE!$F$14,$M515,AR$13)="",10^12,OFFSET(CRONOPLE!$F$14,$M515,AR$13))))</f>
        <v>1000000000000</v>
      </c>
      <c r="AS515" s="181">
        <f ca="1">IF($D515&lt;&gt;"Serviço",0,IF(AND(AUTOEVENTO="Manual",$M515=1),0,IF(OFFSET(CRONOPLE!$F$14,$M515,AS$13)="",10^12,OFFSET(CRONOPLE!$F$14,$M515,AS$13))))</f>
        <v>1000000000000</v>
      </c>
      <c r="AT515" s="181">
        <f ca="1">IF($D515&lt;&gt;"Serviço",0,IF(AND(AUTOEVENTO="Manual",$M515=1),0,IF(OFFSET(CRONOPLE!$F$14,$M515,AT$13)="",10^12,OFFSET(CRONOPLE!$F$14,$M515,AT$13))))</f>
        <v>1000000000000</v>
      </c>
      <c r="AU515" s="181">
        <f ca="1">IF($D515&lt;&gt;"Serviço",0,IF(AND(AUTOEVENTO="Manual",$M515=1),0,IF(OFFSET(CRONOPLE!$F$14,$M515,AU$13)="",10^12,OFFSET(CRONOPLE!$F$14,$M515,AU$13))))</f>
        <v>1000000000000</v>
      </c>
      <c r="AV515" s="181">
        <f ca="1">IF($D515&lt;&gt;"Serviço",0,IF(AND(AUTOEVENTO="Manual",$M515=1),0,IF(OFFSET(CRONOPLE!$F$14,$M515,AV$13)="",10^12,OFFSET(CRONOPLE!$F$14,$M515,AV$13))))</f>
        <v>1000000000000</v>
      </c>
      <c r="AX515" s="182">
        <f ca="1">IF($D515&lt;&gt;"Serviço",0,IF(OR(AND(AUTOEVENTO="Manual",$M515=1),$M515&gt;(ROW(PLE.lastrow)-ROW(PLE.firstrow))),0,IF(OFFSET(PLE!$G$14,$M515,AX$13)="",10^12,OFFSET(PLE!$G$14,$M515,AX$13))))</f>
        <v>1000000000000</v>
      </c>
      <c r="AY515" s="182">
        <f ca="1">IF($D515&lt;&gt;"Serviço",0,IF(OR(AND(AUTOEVENTO="Manual",$M515=1),$M515&gt;(ROW(PLE.lastrow)-ROW(PLE.firstrow))),0,IF(OFFSET(PLE!$G$14,$M515,AY$13)="",10^12,OFFSET(PLE!$G$14,$M515,AY$13))))</f>
        <v>1000000000000</v>
      </c>
      <c r="AZ515" s="182">
        <f ca="1">IF($D515&lt;&gt;"Serviço",0,IF(OR(AND(AUTOEVENTO="Manual",$M515=1),$M515&gt;(ROW(PLE.lastrow)-ROW(PLE.firstrow))),0,IF(OFFSET(PLE!$G$14,$M515,AZ$13)="",10^12,OFFSET(PLE!$G$14,$M515,AZ$13))))</f>
        <v>1000000000000</v>
      </c>
      <c r="BA515" s="182">
        <f ca="1">IF($D515&lt;&gt;"Serviço",0,IF(OR(AND(AUTOEVENTO="Manual",$M515=1),$M515&gt;(ROW(PLE.lastrow)-ROW(PLE.firstrow))),0,IF(OFFSET(PLE!$G$14,$M515,BA$13)="",10^12,OFFSET(PLE!$G$14,$M515,BA$13))))</f>
        <v>1000000000000</v>
      </c>
      <c r="BB515" s="182">
        <f ca="1">IF($D515&lt;&gt;"Serviço",0,IF(OR(AND(AUTOEVENTO="Manual",$M515=1),$M515&gt;(ROW(PLE.lastrow)-ROW(PLE.firstrow))),0,IF(OFFSET(PLE!$G$14,$M515,BB$13)="",10^12,OFFSET(PLE!$G$14,$M515,BB$13))))</f>
        <v>1000000000000</v>
      </c>
      <c r="BC515" s="182">
        <f ca="1">IF($D515&lt;&gt;"Serviço",0,IF(OR(AND(AUTOEVENTO="Manual",$M515=1),$M515&gt;(ROW(PLE.lastrow)-ROW(PLE.firstrow))),0,IF(OFFSET(PLE!$G$14,$M515,BC$13)="",10^12,OFFSET(PLE!$G$14,$M515,BC$13))))</f>
        <v>1000000000000</v>
      </c>
      <c r="BD515" s="182">
        <f ca="1">IF($D515&lt;&gt;"Serviço",0,IF(OR(AND(AUTOEVENTO="Manual",$M515=1),$M515&gt;(ROW(PLE.lastrow)-ROW(PLE.firstrow))),0,IF(OFFSET(PLE!$G$14,$M515,BD$13)="",10^12,OFFSET(PLE!$G$14,$M515,BD$13))))</f>
        <v>1000000000000</v>
      </c>
      <c r="BE515" s="182">
        <f ca="1">IF($D515&lt;&gt;"Serviço",0,IF(OR(AND(AUTOEVENTO="Manual",$M515=1),$M515&gt;(ROW(PLE.lastrow)-ROW(PLE.firstrow))),0,IF(OFFSET(PLE!$G$14,$M515,BE$13)="",10^12,OFFSET(PLE!$G$14,$M515,BE$13))))</f>
        <v>1000000000000</v>
      </c>
      <c r="BF515" s="182">
        <f ca="1">IF($D515&lt;&gt;"Serviço",0,IF(OR(AND(AUTOEVENTO="Manual",$M515=1),$M515&gt;(ROW(PLE.lastrow)-ROW(PLE.firstrow))),0,IF(OFFSET(PLE!$G$14,$M515,BF$13)="",10^12,OFFSET(PLE!$G$14,$M515,BF$13))))</f>
        <v>1000000000000</v>
      </c>
      <c r="BG515" s="182">
        <f ca="1">IF($D515&lt;&gt;"Serviço",0,IF(OR(AND(AUTOEVENTO="Manual",$M515=1),$M515&gt;(ROW(PLE.lastrow)-ROW(PLE.firstrow))),0,IF(OFFSET(PLE!$G$14,$M515,BG$13)="",10^12,OFFSET(PLE!$G$14,$M515,BG$13))))</f>
        <v>1000000000000</v>
      </c>
    </row>
    <row r="516" spans="1:59" ht="25.5" x14ac:dyDescent="0.2">
      <c r="A516" s="7" t="str">
        <f t="shared" ca="1" si="11"/>
        <v>472</v>
      </c>
      <c r="B516" s="7" t="str">
        <f ca="1">OFFSET(ORÇAMENTO!C$15,ROW(B516)-ROW(B$15),0)</f>
        <v>S</v>
      </c>
      <c r="C516" s="7" t="str">
        <f ca="1">OFFSET(ORÇAMENTO!L$15,ROW(C516)-ROW(C$15),0)</f>
        <v/>
      </c>
      <c r="D516" s="118" t="str">
        <f ca="1">OFFSET(ORÇAMENTO!N$15,ROW(D516)-ROW(D$15),0)</f>
        <v>Serviço</v>
      </c>
      <c r="E516" s="119" t="str">
        <f ca="1">OFFSET(ORÇAMENTO!O$15,ROW(E516)-ROW(E$15),0)</f>
        <v>-</v>
      </c>
      <c r="F516" s="172" t="str">
        <f ca="1">OFFSET(ORÇAMENTO!R$15,ROW(F516)-ROW(F$15),0)</f>
        <v>(abra o arquivo 'Referência 02-2025.xlsm)</v>
      </c>
      <c r="G516" s="173" t="str">
        <f ca="1">IF($D516&lt;&gt;"Serviço","",OFFSET(ORÇAMENTO!S$15,ROW(G516)-ROW(G$15),0))</f>
        <v>-</v>
      </c>
      <c r="H516" s="124">
        <f ca="1">IF($D516&lt;&gt;"Serviço",0,IF(ACOMPANHAMENTO="BM",ROUND(OFFSET(ORÇAMENTO!AJ$15,ROW(H516)-ROW(H$15),0),15-13*ORÇAMENTO!$AF$7),SUMPRODUCT(($Q$12:$AA$12&lt;&gt;"")*ROUND($Q516:$AA516,15-13*ORÇAMENTO!$AF$7))))</f>
        <v>16</v>
      </c>
      <c r="I516" s="561" t="s">
        <v>890</v>
      </c>
      <c r="K516" s="174"/>
      <c r="L516" s="175" t="s">
        <v>255</v>
      </c>
      <c r="M516" s="176">
        <f ca="1">IF($D516&lt;&gt;"Serviço","",IF(AUTOEVENTO="manual",$A516,IF(ISERROR(MATCH($A516,$A$15:OFFSET($A516,-1,0),0)),MAX($M$15:OFFSET(M516,-1,0))+1,INDEX($M$15:OFFSET(M516,-1,0),MATCH($A516,$A$15:OFFSET($A516,-1,0),0)))))</f>
        <v>18</v>
      </c>
      <c r="N516" s="177" t="str">
        <f ca="1">IF($D516&lt;&gt;"Serviço","",IF(AUTOEVENTO="Manual",IF($A516=0,"&lt;-- defina o número do agrupador",OFFSET(EVENTOS!$D$14,$A516,0)),OFFSET($F$15,$A516,0)))</f>
        <v>INSTALAÇÕES ELÉTRICAS - 220V</v>
      </c>
      <c r="O516" s="178"/>
      <c r="Q516" s="178"/>
      <c r="R516" s="179"/>
      <c r="S516" s="179"/>
      <c r="T516" s="179"/>
      <c r="U516" s="179"/>
      <c r="V516" s="179"/>
      <c r="W516" s="179"/>
      <c r="X516" s="179"/>
      <c r="Y516" s="179"/>
      <c r="Z516" s="180"/>
      <c r="AB516" s="544">
        <f ca="1">IF(AND($D516="Serviço",AB$12&lt;&gt;0,$H516&gt;0,OR(AUTOEVENTO&lt;&gt;"manual",$M516&lt;&gt;1)),
IF(Import.TipoArredondamento&lt;&gt;"TransfereGOV",
ROUND(OFFSET($P516,0,AB$13),15-13*ORÇAMENTO!$AF$7)/$H516*OFFSET(ORÇAMENTO!$X$15,ROW(AB516)-ROW(AB$15),0),
ROUND(ROUND(OFFSET($P516,0,AB$13),15-13*ORÇAMENTO!$AF$7)*OFFSET(ORÇAMENTO!$W$15,ROW(AB516)-ROW(AB$15),0),15-13*ORÇAMENTO!$AF$11)),0)</f>
        <v>0</v>
      </c>
      <c r="AC516" s="545">
        <f ca="1">IF(AND($D516="Serviço",AC$12&lt;&gt;0,$H516&gt;0,OR(AUTOEVENTO&lt;&gt;"manual",$M516&lt;&gt;1)),
IF(Import.TipoArredondamento&lt;&gt;"TransfereGOV",
ROUND(OFFSET($P516,0,AC$13),15-13*ORÇAMENTO!$AF$7)/$H516*OFFSET(ORÇAMENTO!$X$15,ROW(AC516)-ROW(AC$15),0),
ROUND(ROUND(OFFSET($P516,0,AC$13),15-13*ORÇAMENTO!$AF$7)*OFFSET(ORÇAMENTO!$W$15,ROW(AC516)-ROW(AC$15),0),15-13*ORÇAMENTO!$AF$11)),0)</f>
        <v>0</v>
      </c>
      <c r="AD516" s="545">
        <f ca="1">IF(AND($D516="Serviço",AD$12&lt;&gt;0,$H516&gt;0,OR(AUTOEVENTO&lt;&gt;"manual",$M516&lt;&gt;1)),
IF(Import.TipoArredondamento&lt;&gt;"TransfereGOV",
ROUND(OFFSET($P516,0,AD$13),15-13*ORÇAMENTO!$AF$7)/$H516*OFFSET(ORÇAMENTO!$X$15,ROW(AD516)-ROW(AD$15),0),
ROUND(ROUND(OFFSET($P516,0,AD$13),15-13*ORÇAMENTO!$AF$7)*OFFSET(ORÇAMENTO!$W$15,ROW(AD516)-ROW(AD$15),0),15-13*ORÇAMENTO!$AF$11)),0)</f>
        <v>0</v>
      </c>
      <c r="AE516" s="545">
        <f ca="1">IF(AND($D516="Serviço",AE$12&lt;&gt;0,$H516&gt;0,OR(AUTOEVENTO&lt;&gt;"manual",$M516&lt;&gt;1)),
IF(Import.TipoArredondamento&lt;&gt;"TransfereGOV",
ROUND(OFFSET($P516,0,AE$13),15-13*ORÇAMENTO!$AF$7)/$H516*OFFSET(ORÇAMENTO!$X$15,ROW(AE516)-ROW(AE$15),0),
ROUND(ROUND(OFFSET($P516,0,AE$13),15-13*ORÇAMENTO!$AF$7)*OFFSET(ORÇAMENTO!$W$15,ROW(AE516)-ROW(AE$15),0),15-13*ORÇAMENTO!$AF$11)),0)</f>
        <v>0</v>
      </c>
      <c r="AF516" s="545">
        <f ca="1">IF(AND($D516="Serviço",AF$12&lt;&gt;0,$H516&gt;0,OR(AUTOEVENTO&lt;&gt;"manual",$M516&lt;&gt;1)),
IF(Import.TipoArredondamento&lt;&gt;"TransfereGOV",
ROUND(OFFSET($P516,0,AF$13),15-13*ORÇAMENTO!$AF$7)/$H516*OFFSET(ORÇAMENTO!$X$15,ROW(AF516)-ROW(AF$15),0),
ROUND(ROUND(OFFSET($P516,0,AF$13),15-13*ORÇAMENTO!$AF$7)*OFFSET(ORÇAMENTO!$W$15,ROW(AF516)-ROW(AF$15),0),15-13*ORÇAMENTO!$AF$11)),0)</f>
        <v>0</v>
      </c>
      <c r="AG516" s="545">
        <f ca="1">IF(AND($D516="Serviço",AG$12&lt;&gt;0,$H516&gt;0,OR(AUTOEVENTO&lt;&gt;"manual",$M516&lt;&gt;1)),
IF(Import.TipoArredondamento&lt;&gt;"TransfereGOV",
ROUND(OFFSET($P516,0,AG$13),15-13*ORÇAMENTO!$AF$7)/$H516*OFFSET(ORÇAMENTO!$X$15,ROW(AG516)-ROW(AG$15),0),
ROUND(ROUND(OFFSET($P516,0,AG$13),15-13*ORÇAMENTO!$AF$7)*OFFSET(ORÇAMENTO!$W$15,ROW(AG516)-ROW(AG$15),0),15-13*ORÇAMENTO!$AF$11)),0)</f>
        <v>0</v>
      </c>
      <c r="AH516" s="545">
        <f ca="1">IF(AND($D516="Serviço",AH$12&lt;&gt;0,$H516&gt;0,OR(AUTOEVENTO&lt;&gt;"manual",$M516&lt;&gt;1)),
IF(Import.TipoArredondamento&lt;&gt;"TransfereGOV",
ROUND(OFFSET($P516,0,AH$13),15-13*ORÇAMENTO!$AF$7)/$H516*OFFSET(ORÇAMENTO!$X$15,ROW(AH516)-ROW(AH$15),0),
ROUND(ROUND(OFFSET($P516,0,AH$13),15-13*ORÇAMENTO!$AF$7)*OFFSET(ORÇAMENTO!$W$15,ROW(AH516)-ROW(AH$15),0),15-13*ORÇAMENTO!$AF$11)),0)</f>
        <v>0</v>
      </c>
      <c r="AI516" s="545">
        <f ca="1">IF(AND($D516="Serviço",AI$12&lt;&gt;0,$H516&gt;0,OR(AUTOEVENTO&lt;&gt;"manual",$M516&lt;&gt;1)),
IF(Import.TipoArredondamento&lt;&gt;"TransfereGOV",
ROUND(OFFSET($P516,0,AI$13),15-13*ORÇAMENTO!$AF$7)/$H516*OFFSET(ORÇAMENTO!$X$15,ROW(AI516)-ROW(AI$15),0),
ROUND(ROUND(OFFSET($P516,0,AI$13),15-13*ORÇAMENTO!$AF$7)*OFFSET(ORÇAMENTO!$W$15,ROW(AI516)-ROW(AI$15),0),15-13*ORÇAMENTO!$AF$11)),0)</f>
        <v>0</v>
      </c>
      <c r="AJ516" s="545">
        <f ca="1">IF(AND($D516="Serviço",AJ$12&lt;&gt;0,$H516&gt;0,OR(AUTOEVENTO&lt;&gt;"manual",$M516&lt;&gt;1)),
IF(Import.TipoArredondamento&lt;&gt;"TransfereGOV",
ROUND(OFFSET($P516,0,AJ$13),15-13*ORÇAMENTO!$AF$7)/$H516*OFFSET(ORÇAMENTO!$X$15,ROW(AJ516)-ROW(AJ$15),0),
ROUND(ROUND(OFFSET($P516,0,AJ$13),15-13*ORÇAMENTO!$AF$7)*OFFSET(ORÇAMENTO!$W$15,ROW(AJ516)-ROW(AJ$15),0),15-13*ORÇAMENTO!$AF$11)),0)</f>
        <v>0</v>
      </c>
      <c r="AK516" s="546">
        <f ca="1">IF(AND($D516="Serviço",AK$12&lt;&gt;0,$H516&gt;0,OR(AUTOEVENTO&lt;&gt;"manual",$M516&lt;&gt;1)),
IF(Import.TipoArredondamento&lt;&gt;"TransfereGOV",
ROUND(OFFSET($P516,0,AK$13),15-13*ORÇAMENTO!$AF$7)/$H516*OFFSET(ORÇAMENTO!$X$15,ROW(AK516)-ROW(AK$15),0),
ROUND(ROUND(OFFSET($P516,0,AK$13),15-13*ORÇAMENTO!$AF$7)*OFFSET(ORÇAMENTO!$W$15,ROW(AK516)-ROW(AK$15),0),15-13*ORÇAMENTO!$AF$11)),0)</f>
        <v>0</v>
      </c>
      <c r="AM516" s="181">
        <f ca="1">IF($D516&lt;&gt;"Serviço",0,IF(AND(AUTOEVENTO="Manual",$M516=1),0,IF(OFFSET(CRONOPLE!$F$14,$M516,AM$13)="",10^12,OFFSET(CRONOPLE!$F$14,$M516,AM$13))))</f>
        <v>1000000000000</v>
      </c>
      <c r="AN516" s="181">
        <f ca="1">IF($D516&lt;&gt;"Serviço",0,IF(AND(AUTOEVENTO="Manual",$M516=1),0,IF(OFFSET(CRONOPLE!$F$14,$M516,AN$13)="",10^12,OFFSET(CRONOPLE!$F$14,$M516,AN$13))))</f>
        <v>1000000000000</v>
      </c>
      <c r="AO516" s="181">
        <f ca="1">IF($D516&lt;&gt;"Serviço",0,IF(AND(AUTOEVENTO="Manual",$M516=1),0,IF(OFFSET(CRONOPLE!$F$14,$M516,AO$13)="",10^12,OFFSET(CRONOPLE!$F$14,$M516,AO$13))))</f>
        <v>1000000000000</v>
      </c>
      <c r="AP516" s="181">
        <f ca="1">IF($D516&lt;&gt;"Serviço",0,IF(AND(AUTOEVENTO="Manual",$M516=1),0,IF(OFFSET(CRONOPLE!$F$14,$M516,AP$13)="",10^12,OFFSET(CRONOPLE!$F$14,$M516,AP$13))))</f>
        <v>1000000000000</v>
      </c>
      <c r="AQ516" s="181">
        <f ca="1">IF($D516&lt;&gt;"Serviço",0,IF(AND(AUTOEVENTO="Manual",$M516=1),0,IF(OFFSET(CRONOPLE!$F$14,$M516,AQ$13)="",10^12,OFFSET(CRONOPLE!$F$14,$M516,AQ$13))))</f>
        <v>1000000000000</v>
      </c>
      <c r="AR516" s="181">
        <f ca="1">IF($D516&lt;&gt;"Serviço",0,IF(AND(AUTOEVENTO="Manual",$M516=1),0,IF(OFFSET(CRONOPLE!$F$14,$M516,AR$13)="",10^12,OFFSET(CRONOPLE!$F$14,$M516,AR$13))))</f>
        <v>1000000000000</v>
      </c>
      <c r="AS516" s="181">
        <f ca="1">IF($D516&lt;&gt;"Serviço",0,IF(AND(AUTOEVENTO="Manual",$M516=1),0,IF(OFFSET(CRONOPLE!$F$14,$M516,AS$13)="",10^12,OFFSET(CRONOPLE!$F$14,$M516,AS$13))))</f>
        <v>1000000000000</v>
      </c>
      <c r="AT516" s="181">
        <f ca="1">IF($D516&lt;&gt;"Serviço",0,IF(AND(AUTOEVENTO="Manual",$M516=1),0,IF(OFFSET(CRONOPLE!$F$14,$M516,AT$13)="",10^12,OFFSET(CRONOPLE!$F$14,$M516,AT$13))))</f>
        <v>1000000000000</v>
      </c>
      <c r="AU516" s="181">
        <f ca="1">IF($D516&lt;&gt;"Serviço",0,IF(AND(AUTOEVENTO="Manual",$M516=1),0,IF(OFFSET(CRONOPLE!$F$14,$M516,AU$13)="",10^12,OFFSET(CRONOPLE!$F$14,$M516,AU$13))))</f>
        <v>1000000000000</v>
      </c>
      <c r="AV516" s="181">
        <f ca="1">IF($D516&lt;&gt;"Serviço",0,IF(AND(AUTOEVENTO="Manual",$M516=1),0,IF(OFFSET(CRONOPLE!$F$14,$M516,AV$13)="",10^12,OFFSET(CRONOPLE!$F$14,$M516,AV$13))))</f>
        <v>1000000000000</v>
      </c>
      <c r="AX516" s="182">
        <f ca="1">IF($D516&lt;&gt;"Serviço",0,IF(OR(AND(AUTOEVENTO="Manual",$M516=1),$M516&gt;(ROW(PLE.lastrow)-ROW(PLE.firstrow))),0,IF(OFFSET(PLE!$G$14,$M516,AX$13)="",10^12,OFFSET(PLE!$G$14,$M516,AX$13))))</f>
        <v>1000000000000</v>
      </c>
      <c r="AY516" s="182">
        <f ca="1">IF($D516&lt;&gt;"Serviço",0,IF(OR(AND(AUTOEVENTO="Manual",$M516=1),$M516&gt;(ROW(PLE.lastrow)-ROW(PLE.firstrow))),0,IF(OFFSET(PLE!$G$14,$M516,AY$13)="",10^12,OFFSET(PLE!$G$14,$M516,AY$13))))</f>
        <v>1000000000000</v>
      </c>
      <c r="AZ516" s="182">
        <f ca="1">IF($D516&lt;&gt;"Serviço",0,IF(OR(AND(AUTOEVENTO="Manual",$M516=1),$M516&gt;(ROW(PLE.lastrow)-ROW(PLE.firstrow))),0,IF(OFFSET(PLE!$G$14,$M516,AZ$13)="",10^12,OFFSET(PLE!$G$14,$M516,AZ$13))))</f>
        <v>1000000000000</v>
      </c>
      <c r="BA516" s="182">
        <f ca="1">IF($D516&lt;&gt;"Serviço",0,IF(OR(AND(AUTOEVENTO="Manual",$M516=1),$M516&gt;(ROW(PLE.lastrow)-ROW(PLE.firstrow))),0,IF(OFFSET(PLE!$G$14,$M516,BA$13)="",10^12,OFFSET(PLE!$G$14,$M516,BA$13))))</f>
        <v>1000000000000</v>
      </c>
      <c r="BB516" s="182">
        <f ca="1">IF($D516&lt;&gt;"Serviço",0,IF(OR(AND(AUTOEVENTO="Manual",$M516=1),$M516&gt;(ROW(PLE.lastrow)-ROW(PLE.firstrow))),0,IF(OFFSET(PLE!$G$14,$M516,BB$13)="",10^12,OFFSET(PLE!$G$14,$M516,BB$13))))</f>
        <v>1000000000000</v>
      </c>
      <c r="BC516" s="182">
        <f ca="1">IF($D516&lt;&gt;"Serviço",0,IF(OR(AND(AUTOEVENTO="Manual",$M516=1),$M516&gt;(ROW(PLE.lastrow)-ROW(PLE.firstrow))),0,IF(OFFSET(PLE!$G$14,$M516,BC$13)="",10^12,OFFSET(PLE!$G$14,$M516,BC$13))))</f>
        <v>1000000000000</v>
      </c>
      <c r="BD516" s="182">
        <f ca="1">IF($D516&lt;&gt;"Serviço",0,IF(OR(AND(AUTOEVENTO="Manual",$M516=1),$M516&gt;(ROW(PLE.lastrow)-ROW(PLE.firstrow))),0,IF(OFFSET(PLE!$G$14,$M516,BD$13)="",10^12,OFFSET(PLE!$G$14,$M516,BD$13))))</f>
        <v>1000000000000</v>
      </c>
      <c r="BE516" s="182">
        <f ca="1">IF($D516&lt;&gt;"Serviço",0,IF(OR(AND(AUTOEVENTO="Manual",$M516=1),$M516&gt;(ROW(PLE.lastrow)-ROW(PLE.firstrow))),0,IF(OFFSET(PLE!$G$14,$M516,BE$13)="",10^12,OFFSET(PLE!$G$14,$M516,BE$13))))</f>
        <v>1000000000000</v>
      </c>
      <c r="BF516" s="182">
        <f ca="1">IF($D516&lt;&gt;"Serviço",0,IF(OR(AND(AUTOEVENTO="Manual",$M516=1),$M516&gt;(ROW(PLE.lastrow)-ROW(PLE.firstrow))),0,IF(OFFSET(PLE!$G$14,$M516,BF$13)="",10^12,OFFSET(PLE!$G$14,$M516,BF$13))))</f>
        <v>1000000000000</v>
      </c>
      <c r="BG516" s="182">
        <f ca="1">IF($D516&lt;&gt;"Serviço",0,IF(OR(AND(AUTOEVENTO="Manual",$M516=1),$M516&gt;(ROW(PLE.lastrow)-ROW(PLE.firstrow))),0,IF(OFFSET(PLE!$G$14,$M516,BG$13)="",10^12,OFFSET(PLE!$G$14,$M516,BG$13))))</f>
        <v>1000000000000</v>
      </c>
    </row>
    <row r="517" spans="1:59" ht="25.5" x14ac:dyDescent="0.2">
      <c r="A517" s="7" t="str">
        <f t="shared" ca="1" si="11"/>
        <v>472</v>
      </c>
      <c r="B517" s="7" t="str">
        <f ca="1">OFFSET(ORÇAMENTO!C$15,ROW(B517)-ROW(B$15),0)</f>
        <v>S</v>
      </c>
      <c r="C517" s="7" t="str">
        <f ca="1">OFFSET(ORÇAMENTO!L$15,ROW(C517)-ROW(C$15),0)</f>
        <v/>
      </c>
      <c r="D517" s="118" t="str">
        <f ca="1">OFFSET(ORÇAMENTO!N$15,ROW(D517)-ROW(D$15),0)</f>
        <v>Serviço</v>
      </c>
      <c r="E517" s="119" t="str">
        <f ca="1">OFFSET(ORÇAMENTO!O$15,ROW(E517)-ROW(E$15),0)</f>
        <v>-</v>
      </c>
      <c r="F517" s="172" t="str">
        <f ca="1">OFFSET(ORÇAMENTO!R$15,ROW(F517)-ROW(F$15),0)</f>
        <v>(abra o arquivo 'Referência 02-2025.xlsm)</v>
      </c>
      <c r="G517" s="173" t="str">
        <f ca="1">IF($D517&lt;&gt;"Serviço","",OFFSET(ORÇAMENTO!S$15,ROW(G517)-ROW(G$15),0))</f>
        <v>-</v>
      </c>
      <c r="H517" s="124">
        <f ca="1">IF($D517&lt;&gt;"Serviço",0,IF(ACOMPANHAMENTO="BM",ROUND(OFFSET(ORÇAMENTO!AJ$15,ROW(H517)-ROW(H$15),0),15-13*ORÇAMENTO!$AF$7),SUMPRODUCT(($Q$12:$AA$12&lt;&gt;"")*ROUND($Q517:$AA517,15-13*ORÇAMENTO!$AF$7))))</f>
        <v>1</v>
      </c>
      <c r="I517" s="561" t="s">
        <v>890</v>
      </c>
      <c r="K517" s="174"/>
      <c r="L517" s="175" t="s">
        <v>255</v>
      </c>
      <c r="M517" s="176">
        <f ca="1">IF($D517&lt;&gt;"Serviço","",IF(AUTOEVENTO="manual",$A517,IF(ISERROR(MATCH($A517,$A$15:OFFSET($A517,-1,0),0)),MAX($M$15:OFFSET(M517,-1,0))+1,INDEX($M$15:OFFSET(M517,-1,0),MATCH($A517,$A$15:OFFSET($A517,-1,0),0)))))</f>
        <v>18</v>
      </c>
      <c r="N517" s="177" t="str">
        <f ca="1">IF($D517&lt;&gt;"Serviço","",IF(AUTOEVENTO="Manual",IF($A517=0,"&lt;-- defina o número do agrupador",OFFSET(EVENTOS!$D$14,$A517,0)),OFFSET($F$15,$A517,0)))</f>
        <v>INSTALAÇÕES ELÉTRICAS - 220V</v>
      </c>
      <c r="O517" s="178"/>
      <c r="Q517" s="178"/>
      <c r="R517" s="179"/>
      <c r="S517" s="179"/>
      <c r="T517" s="179"/>
      <c r="U517" s="179"/>
      <c r="V517" s="179"/>
      <c r="W517" s="179"/>
      <c r="X517" s="179"/>
      <c r="Y517" s="179"/>
      <c r="Z517" s="180"/>
      <c r="AB517" s="544">
        <f ca="1">IF(AND($D517="Serviço",AB$12&lt;&gt;0,$H517&gt;0,OR(AUTOEVENTO&lt;&gt;"manual",$M517&lt;&gt;1)),
IF(Import.TipoArredondamento&lt;&gt;"TransfereGOV",
ROUND(OFFSET($P517,0,AB$13),15-13*ORÇAMENTO!$AF$7)/$H517*OFFSET(ORÇAMENTO!$X$15,ROW(AB517)-ROW(AB$15),0),
ROUND(ROUND(OFFSET($P517,0,AB$13),15-13*ORÇAMENTO!$AF$7)*OFFSET(ORÇAMENTO!$W$15,ROW(AB517)-ROW(AB$15),0),15-13*ORÇAMENTO!$AF$11)),0)</f>
        <v>0</v>
      </c>
      <c r="AC517" s="545">
        <f ca="1">IF(AND($D517="Serviço",AC$12&lt;&gt;0,$H517&gt;0,OR(AUTOEVENTO&lt;&gt;"manual",$M517&lt;&gt;1)),
IF(Import.TipoArredondamento&lt;&gt;"TransfereGOV",
ROUND(OFFSET($P517,0,AC$13),15-13*ORÇAMENTO!$AF$7)/$H517*OFFSET(ORÇAMENTO!$X$15,ROW(AC517)-ROW(AC$15),0),
ROUND(ROUND(OFFSET($P517,0,AC$13),15-13*ORÇAMENTO!$AF$7)*OFFSET(ORÇAMENTO!$W$15,ROW(AC517)-ROW(AC$15),0),15-13*ORÇAMENTO!$AF$11)),0)</f>
        <v>0</v>
      </c>
      <c r="AD517" s="545">
        <f ca="1">IF(AND($D517="Serviço",AD$12&lt;&gt;0,$H517&gt;0,OR(AUTOEVENTO&lt;&gt;"manual",$M517&lt;&gt;1)),
IF(Import.TipoArredondamento&lt;&gt;"TransfereGOV",
ROUND(OFFSET($P517,0,AD$13),15-13*ORÇAMENTO!$AF$7)/$H517*OFFSET(ORÇAMENTO!$X$15,ROW(AD517)-ROW(AD$15),0),
ROUND(ROUND(OFFSET($P517,0,AD$13),15-13*ORÇAMENTO!$AF$7)*OFFSET(ORÇAMENTO!$W$15,ROW(AD517)-ROW(AD$15),0),15-13*ORÇAMENTO!$AF$11)),0)</f>
        <v>0</v>
      </c>
      <c r="AE517" s="545">
        <f ca="1">IF(AND($D517="Serviço",AE$12&lt;&gt;0,$H517&gt;0,OR(AUTOEVENTO&lt;&gt;"manual",$M517&lt;&gt;1)),
IF(Import.TipoArredondamento&lt;&gt;"TransfereGOV",
ROUND(OFFSET($P517,0,AE$13),15-13*ORÇAMENTO!$AF$7)/$H517*OFFSET(ORÇAMENTO!$X$15,ROW(AE517)-ROW(AE$15),0),
ROUND(ROUND(OFFSET($P517,0,AE$13),15-13*ORÇAMENTO!$AF$7)*OFFSET(ORÇAMENTO!$W$15,ROW(AE517)-ROW(AE$15),0),15-13*ORÇAMENTO!$AF$11)),0)</f>
        <v>0</v>
      </c>
      <c r="AF517" s="545">
        <f ca="1">IF(AND($D517="Serviço",AF$12&lt;&gt;0,$H517&gt;0,OR(AUTOEVENTO&lt;&gt;"manual",$M517&lt;&gt;1)),
IF(Import.TipoArredondamento&lt;&gt;"TransfereGOV",
ROUND(OFFSET($P517,0,AF$13),15-13*ORÇAMENTO!$AF$7)/$H517*OFFSET(ORÇAMENTO!$X$15,ROW(AF517)-ROW(AF$15),0),
ROUND(ROUND(OFFSET($P517,0,AF$13),15-13*ORÇAMENTO!$AF$7)*OFFSET(ORÇAMENTO!$W$15,ROW(AF517)-ROW(AF$15),0),15-13*ORÇAMENTO!$AF$11)),0)</f>
        <v>0</v>
      </c>
      <c r="AG517" s="545">
        <f ca="1">IF(AND($D517="Serviço",AG$12&lt;&gt;0,$H517&gt;0,OR(AUTOEVENTO&lt;&gt;"manual",$M517&lt;&gt;1)),
IF(Import.TipoArredondamento&lt;&gt;"TransfereGOV",
ROUND(OFFSET($P517,0,AG$13),15-13*ORÇAMENTO!$AF$7)/$H517*OFFSET(ORÇAMENTO!$X$15,ROW(AG517)-ROW(AG$15),0),
ROUND(ROUND(OFFSET($P517,0,AG$13),15-13*ORÇAMENTO!$AF$7)*OFFSET(ORÇAMENTO!$W$15,ROW(AG517)-ROW(AG$15),0),15-13*ORÇAMENTO!$AF$11)),0)</f>
        <v>0</v>
      </c>
      <c r="AH517" s="545">
        <f ca="1">IF(AND($D517="Serviço",AH$12&lt;&gt;0,$H517&gt;0,OR(AUTOEVENTO&lt;&gt;"manual",$M517&lt;&gt;1)),
IF(Import.TipoArredondamento&lt;&gt;"TransfereGOV",
ROUND(OFFSET($P517,0,AH$13),15-13*ORÇAMENTO!$AF$7)/$H517*OFFSET(ORÇAMENTO!$X$15,ROW(AH517)-ROW(AH$15),0),
ROUND(ROUND(OFFSET($P517,0,AH$13),15-13*ORÇAMENTO!$AF$7)*OFFSET(ORÇAMENTO!$W$15,ROW(AH517)-ROW(AH$15),0),15-13*ORÇAMENTO!$AF$11)),0)</f>
        <v>0</v>
      </c>
      <c r="AI517" s="545">
        <f ca="1">IF(AND($D517="Serviço",AI$12&lt;&gt;0,$H517&gt;0,OR(AUTOEVENTO&lt;&gt;"manual",$M517&lt;&gt;1)),
IF(Import.TipoArredondamento&lt;&gt;"TransfereGOV",
ROUND(OFFSET($P517,0,AI$13),15-13*ORÇAMENTO!$AF$7)/$H517*OFFSET(ORÇAMENTO!$X$15,ROW(AI517)-ROW(AI$15),0),
ROUND(ROUND(OFFSET($P517,0,AI$13),15-13*ORÇAMENTO!$AF$7)*OFFSET(ORÇAMENTO!$W$15,ROW(AI517)-ROW(AI$15),0),15-13*ORÇAMENTO!$AF$11)),0)</f>
        <v>0</v>
      </c>
      <c r="AJ517" s="545">
        <f ca="1">IF(AND($D517="Serviço",AJ$12&lt;&gt;0,$H517&gt;0,OR(AUTOEVENTO&lt;&gt;"manual",$M517&lt;&gt;1)),
IF(Import.TipoArredondamento&lt;&gt;"TransfereGOV",
ROUND(OFFSET($P517,0,AJ$13),15-13*ORÇAMENTO!$AF$7)/$H517*OFFSET(ORÇAMENTO!$X$15,ROW(AJ517)-ROW(AJ$15),0),
ROUND(ROUND(OFFSET($P517,0,AJ$13),15-13*ORÇAMENTO!$AF$7)*OFFSET(ORÇAMENTO!$W$15,ROW(AJ517)-ROW(AJ$15),0),15-13*ORÇAMENTO!$AF$11)),0)</f>
        <v>0</v>
      </c>
      <c r="AK517" s="546">
        <f ca="1">IF(AND($D517="Serviço",AK$12&lt;&gt;0,$H517&gt;0,OR(AUTOEVENTO&lt;&gt;"manual",$M517&lt;&gt;1)),
IF(Import.TipoArredondamento&lt;&gt;"TransfereGOV",
ROUND(OFFSET($P517,0,AK$13),15-13*ORÇAMENTO!$AF$7)/$H517*OFFSET(ORÇAMENTO!$X$15,ROW(AK517)-ROW(AK$15),0),
ROUND(ROUND(OFFSET($P517,0,AK$13),15-13*ORÇAMENTO!$AF$7)*OFFSET(ORÇAMENTO!$W$15,ROW(AK517)-ROW(AK$15),0),15-13*ORÇAMENTO!$AF$11)),0)</f>
        <v>0</v>
      </c>
      <c r="AM517" s="181">
        <f ca="1">IF($D517&lt;&gt;"Serviço",0,IF(AND(AUTOEVENTO="Manual",$M517=1),0,IF(OFFSET(CRONOPLE!$F$14,$M517,AM$13)="",10^12,OFFSET(CRONOPLE!$F$14,$M517,AM$13))))</f>
        <v>1000000000000</v>
      </c>
      <c r="AN517" s="181">
        <f ca="1">IF($D517&lt;&gt;"Serviço",0,IF(AND(AUTOEVENTO="Manual",$M517=1),0,IF(OFFSET(CRONOPLE!$F$14,$M517,AN$13)="",10^12,OFFSET(CRONOPLE!$F$14,$M517,AN$13))))</f>
        <v>1000000000000</v>
      </c>
      <c r="AO517" s="181">
        <f ca="1">IF($D517&lt;&gt;"Serviço",0,IF(AND(AUTOEVENTO="Manual",$M517=1),0,IF(OFFSET(CRONOPLE!$F$14,$M517,AO$13)="",10^12,OFFSET(CRONOPLE!$F$14,$M517,AO$13))))</f>
        <v>1000000000000</v>
      </c>
      <c r="AP517" s="181">
        <f ca="1">IF($D517&lt;&gt;"Serviço",0,IF(AND(AUTOEVENTO="Manual",$M517=1),0,IF(OFFSET(CRONOPLE!$F$14,$M517,AP$13)="",10^12,OFFSET(CRONOPLE!$F$14,$M517,AP$13))))</f>
        <v>1000000000000</v>
      </c>
      <c r="AQ517" s="181">
        <f ca="1">IF($D517&lt;&gt;"Serviço",0,IF(AND(AUTOEVENTO="Manual",$M517=1),0,IF(OFFSET(CRONOPLE!$F$14,$M517,AQ$13)="",10^12,OFFSET(CRONOPLE!$F$14,$M517,AQ$13))))</f>
        <v>1000000000000</v>
      </c>
      <c r="AR517" s="181">
        <f ca="1">IF($D517&lt;&gt;"Serviço",0,IF(AND(AUTOEVENTO="Manual",$M517=1),0,IF(OFFSET(CRONOPLE!$F$14,$M517,AR$13)="",10^12,OFFSET(CRONOPLE!$F$14,$M517,AR$13))))</f>
        <v>1000000000000</v>
      </c>
      <c r="AS517" s="181">
        <f ca="1">IF($D517&lt;&gt;"Serviço",0,IF(AND(AUTOEVENTO="Manual",$M517=1),0,IF(OFFSET(CRONOPLE!$F$14,$M517,AS$13)="",10^12,OFFSET(CRONOPLE!$F$14,$M517,AS$13))))</f>
        <v>1000000000000</v>
      </c>
      <c r="AT517" s="181">
        <f ca="1">IF($D517&lt;&gt;"Serviço",0,IF(AND(AUTOEVENTO="Manual",$M517=1),0,IF(OFFSET(CRONOPLE!$F$14,$M517,AT$13)="",10^12,OFFSET(CRONOPLE!$F$14,$M517,AT$13))))</f>
        <v>1000000000000</v>
      </c>
      <c r="AU517" s="181">
        <f ca="1">IF($D517&lt;&gt;"Serviço",0,IF(AND(AUTOEVENTO="Manual",$M517=1),0,IF(OFFSET(CRONOPLE!$F$14,$M517,AU$13)="",10^12,OFFSET(CRONOPLE!$F$14,$M517,AU$13))))</f>
        <v>1000000000000</v>
      </c>
      <c r="AV517" s="181">
        <f ca="1">IF($D517&lt;&gt;"Serviço",0,IF(AND(AUTOEVENTO="Manual",$M517=1),0,IF(OFFSET(CRONOPLE!$F$14,$M517,AV$13)="",10^12,OFFSET(CRONOPLE!$F$14,$M517,AV$13))))</f>
        <v>1000000000000</v>
      </c>
      <c r="AX517" s="182">
        <f ca="1">IF($D517&lt;&gt;"Serviço",0,IF(OR(AND(AUTOEVENTO="Manual",$M517=1),$M517&gt;(ROW(PLE.lastrow)-ROW(PLE.firstrow))),0,IF(OFFSET(PLE!$G$14,$M517,AX$13)="",10^12,OFFSET(PLE!$G$14,$M517,AX$13))))</f>
        <v>1000000000000</v>
      </c>
      <c r="AY517" s="182">
        <f ca="1">IF($D517&lt;&gt;"Serviço",0,IF(OR(AND(AUTOEVENTO="Manual",$M517=1),$M517&gt;(ROW(PLE.lastrow)-ROW(PLE.firstrow))),0,IF(OFFSET(PLE!$G$14,$M517,AY$13)="",10^12,OFFSET(PLE!$G$14,$M517,AY$13))))</f>
        <v>1000000000000</v>
      </c>
      <c r="AZ517" s="182">
        <f ca="1">IF($D517&lt;&gt;"Serviço",0,IF(OR(AND(AUTOEVENTO="Manual",$M517=1),$M517&gt;(ROW(PLE.lastrow)-ROW(PLE.firstrow))),0,IF(OFFSET(PLE!$G$14,$M517,AZ$13)="",10^12,OFFSET(PLE!$G$14,$M517,AZ$13))))</f>
        <v>1000000000000</v>
      </c>
      <c r="BA517" s="182">
        <f ca="1">IF($D517&lt;&gt;"Serviço",0,IF(OR(AND(AUTOEVENTO="Manual",$M517=1),$M517&gt;(ROW(PLE.lastrow)-ROW(PLE.firstrow))),0,IF(OFFSET(PLE!$G$14,$M517,BA$13)="",10^12,OFFSET(PLE!$G$14,$M517,BA$13))))</f>
        <v>1000000000000</v>
      </c>
      <c r="BB517" s="182">
        <f ca="1">IF($D517&lt;&gt;"Serviço",0,IF(OR(AND(AUTOEVENTO="Manual",$M517=1),$M517&gt;(ROW(PLE.lastrow)-ROW(PLE.firstrow))),0,IF(OFFSET(PLE!$G$14,$M517,BB$13)="",10^12,OFFSET(PLE!$G$14,$M517,BB$13))))</f>
        <v>1000000000000</v>
      </c>
      <c r="BC517" s="182">
        <f ca="1">IF($D517&lt;&gt;"Serviço",0,IF(OR(AND(AUTOEVENTO="Manual",$M517=1),$M517&gt;(ROW(PLE.lastrow)-ROW(PLE.firstrow))),0,IF(OFFSET(PLE!$G$14,$M517,BC$13)="",10^12,OFFSET(PLE!$G$14,$M517,BC$13))))</f>
        <v>1000000000000</v>
      </c>
      <c r="BD517" s="182">
        <f ca="1">IF($D517&lt;&gt;"Serviço",0,IF(OR(AND(AUTOEVENTO="Manual",$M517=1),$M517&gt;(ROW(PLE.lastrow)-ROW(PLE.firstrow))),0,IF(OFFSET(PLE!$G$14,$M517,BD$13)="",10^12,OFFSET(PLE!$G$14,$M517,BD$13))))</f>
        <v>1000000000000</v>
      </c>
      <c r="BE517" s="182">
        <f ca="1">IF($D517&lt;&gt;"Serviço",0,IF(OR(AND(AUTOEVENTO="Manual",$M517=1),$M517&gt;(ROW(PLE.lastrow)-ROW(PLE.firstrow))),0,IF(OFFSET(PLE!$G$14,$M517,BE$13)="",10^12,OFFSET(PLE!$G$14,$M517,BE$13))))</f>
        <v>1000000000000</v>
      </c>
      <c r="BF517" s="182">
        <f ca="1">IF($D517&lt;&gt;"Serviço",0,IF(OR(AND(AUTOEVENTO="Manual",$M517=1),$M517&gt;(ROW(PLE.lastrow)-ROW(PLE.firstrow))),0,IF(OFFSET(PLE!$G$14,$M517,BF$13)="",10^12,OFFSET(PLE!$G$14,$M517,BF$13))))</f>
        <v>1000000000000</v>
      </c>
      <c r="BG517" s="182">
        <f ca="1">IF($D517&lt;&gt;"Serviço",0,IF(OR(AND(AUTOEVENTO="Manual",$M517=1),$M517&gt;(ROW(PLE.lastrow)-ROW(PLE.firstrow))),0,IF(OFFSET(PLE!$G$14,$M517,BG$13)="",10^12,OFFSET(PLE!$G$14,$M517,BG$13))))</f>
        <v>1000000000000</v>
      </c>
    </row>
    <row r="518" spans="1:59" ht="12.75" x14ac:dyDescent="0.2">
      <c r="A518" s="7" t="str">
        <f t="shared" ca="1" si="11"/>
        <v>472</v>
      </c>
      <c r="B518" s="7">
        <f ca="1">OFFSET(ORÇAMENTO!C$15,ROW(B518)-ROW(B$15),0)</f>
        <v>3</v>
      </c>
      <c r="C518" s="7" t="str">
        <f ca="1">OFFSET(ORÇAMENTO!L$15,ROW(C518)-ROW(C$15),0)</f>
        <v>F</v>
      </c>
      <c r="D518" s="118" t="str">
        <f ca="1">OFFSET(ORÇAMENTO!N$15,ROW(D518)-ROW(D$15),0)</f>
        <v>Nível 3</v>
      </c>
      <c r="E518" s="119" t="str">
        <f ca="1">OFFSET(ORÇAMENTO!O$15,ROW(E518)-ROW(E$15),0)</f>
        <v>1.17.4.</v>
      </c>
      <c r="F518" s="172" t="str">
        <f ca="1">OFFSET(ORÇAMENTO!R$15,ROW(F518)-ROW(F$15),0)</f>
        <v>CABOS</v>
      </c>
      <c r="G518" s="173" t="str">
        <f ca="1">IF($D518&lt;&gt;"Serviço","",OFFSET(ORÇAMENTO!S$15,ROW(G518)-ROW(G$15),0))</f>
        <v/>
      </c>
      <c r="H518" s="124">
        <f ca="1">IF($D518&lt;&gt;"Serviço",0,IF(ACOMPANHAMENTO="BM",ROUND(OFFSET(ORÇAMENTO!AJ$15,ROW(H518)-ROW(H$15),0),15-13*ORÇAMENTO!$AF$7),SUMPRODUCT(($Q$12:$AA$12&lt;&gt;"")*ROUND($Q518:$AA518,15-13*ORÇAMENTO!$AF$7))))</f>
        <v>0</v>
      </c>
      <c r="I518" s="561"/>
      <c r="K518" s="174"/>
      <c r="L518" s="175" t="s">
        <v>255</v>
      </c>
      <c r="M518" s="176" t="str">
        <f ca="1">IF($D518&lt;&gt;"Serviço","",IF(AUTOEVENTO="manual",$A518,IF(ISERROR(MATCH($A518,$A$15:OFFSET($A518,-1,0),0)),MAX($M$15:OFFSET(M518,-1,0))+1,INDEX($M$15:OFFSET(M518,-1,0),MATCH($A518,$A$15:OFFSET($A518,-1,0),0)))))</f>
        <v/>
      </c>
      <c r="N518" s="177" t="str">
        <f ca="1">IF($D518&lt;&gt;"Serviço","",IF(AUTOEVENTO="Manual",IF($A518=0,"&lt;-- defina o número do agrupador",OFFSET(EVENTOS!$D$14,$A518,0)),OFFSET($F$15,$A518,0)))</f>
        <v/>
      </c>
      <c r="O518" s="178"/>
      <c r="Q518" s="178"/>
      <c r="R518" s="179"/>
      <c r="S518" s="179"/>
      <c r="T518" s="179"/>
      <c r="U518" s="179"/>
      <c r="V518" s="179"/>
      <c r="W518" s="179"/>
      <c r="X518" s="179"/>
      <c r="Y518" s="179"/>
      <c r="Z518" s="180"/>
      <c r="AB518" s="544">
        <f ca="1">IF(AND($D518="Serviço",AB$12&lt;&gt;0,$H518&gt;0,OR(AUTOEVENTO&lt;&gt;"manual",$M518&lt;&gt;1)),
IF(Import.TipoArredondamento&lt;&gt;"TransfereGOV",
ROUND(OFFSET($P518,0,AB$13),15-13*ORÇAMENTO!$AF$7)/$H518*OFFSET(ORÇAMENTO!$X$15,ROW(AB518)-ROW(AB$15),0),
ROUND(ROUND(OFFSET($P518,0,AB$13),15-13*ORÇAMENTO!$AF$7)*OFFSET(ORÇAMENTO!$W$15,ROW(AB518)-ROW(AB$15),0),15-13*ORÇAMENTO!$AF$11)),0)</f>
        <v>0</v>
      </c>
      <c r="AC518" s="545">
        <f ca="1">IF(AND($D518="Serviço",AC$12&lt;&gt;0,$H518&gt;0,OR(AUTOEVENTO&lt;&gt;"manual",$M518&lt;&gt;1)),
IF(Import.TipoArredondamento&lt;&gt;"TransfereGOV",
ROUND(OFFSET($P518,0,AC$13),15-13*ORÇAMENTO!$AF$7)/$H518*OFFSET(ORÇAMENTO!$X$15,ROW(AC518)-ROW(AC$15),0),
ROUND(ROUND(OFFSET($P518,0,AC$13),15-13*ORÇAMENTO!$AF$7)*OFFSET(ORÇAMENTO!$W$15,ROW(AC518)-ROW(AC$15),0),15-13*ORÇAMENTO!$AF$11)),0)</f>
        <v>0</v>
      </c>
      <c r="AD518" s="545">
        <f ca="1">IF(AND($D518="Serviço",AD$12&lt;&gt;0,$H518&gt;0,OR(AUTOEVENTO&lt;&gt;"manual",$M518&lt;&gt;1)),
IF(Import.TipoArredondamento&lt;&gt;"TransfereGOV",
ROUND(OFFSET($P518,0,AD$13),15-13*ORÇAMENTO!$AF$7)/$H518*OFFSET(ORÇAMENTO!$X$15,ROW(AD518)-ROW(AD$15),0),
ROUND(ROUND(OFFSET($P518,0,AD$13),15-13*ORÇAMENTO!$AF$7)*OFFSET(ORÇAMENTO!$W$15,ROW(AD518)-ROW(AD$15),0),15-13*ORÇAMENTO!$AF$11)),0)</f>
        <v>0</v>
      </c>
      <c r="AE518" s="545">
        <f ca="1">IF(AND($D518="Serviço",AE$12&lt;&gt;0,$H518&gt;0,OR(AUTOEVENTO&lt;&gt;"manual",$M518&lt;&gt;1)),
IF(Import.TipoArredondamento&lt;&gt;"TransfereGOV",
ROUND(OFFSET($P518,0,AE$13),15-13*ORÇAMENTO!$AF$7)/$H518*OFFSET(ORÇAMENTO!$X$15,ROW(AE518)-ROW(AE$15),0),
ROUND(ROUND(OFFSET($P518,0,AE$13),15-13*ORÇAMENTO!$AF$7)*OFFSET(ORÇAMENTO!$W$15,ROW(AE518)-ROW(AE$15),0),15-13*ORÇAMENTO!$AF$11)),0)</f>
        <v>0</v>
      </c>
      <c r="AF518" s="545">
        <f ca="1">IF(AND($D518="Serviço",AF$12&lt;&gt;0,$H518&gt;0,OR(AUTOEVENTO&lt;&gt;"manual",$M518&lt;&gt;1)),
IF(Import.TipoArredondamento&lt;&gt;"TransfereGOV",
ROUND(OFFSET($P518,0,AF$13),15-13*ORÇAMENTO!$AF$7)/$H518*OFFSET(ORÇAMENTO!$X$15,ROW(AF518)-ROW(AF$15),0),
ROUND(ROUND(OFFSET($P518,0,AF$13),15-13*ORÇAMENTO!$AF$7)*OFFSET(ORÇAMENTO!$W$15,ROW(AF518)-ROW(AF$15),0),15-13*ORÇAMENTO!$AF$11)),0)</f>
        <v>0</v>
      </c>
      <c r="AG518" s="545">
        <f ca="1">IF(AND($D518="Serviço",AG$12&lt;&gt;0,$H518&gt;0,OR(AUTOEVENTO&lt;&gt;"manual",$M518&lt;&gt;1)),
IF(Import.TipoArredondamento&lt;&gt;"TransfereGOV",
ROUND(OFFSET($P518,0,AG$13),15-13*ORÇAMENTO!$AF$7)/$H518*OFFSET(ORÇAMENTO!$X$15,ROW(AG518)-ROW(AG$15),0),
ROUND(ROUND(OFFSET($P518,0,AG$13),15-13*ORÇAMENTO!$AF$7)*OFFSET(ORÇAMENTO!$W$15,ROW(AG518)-ROW(AG$15),0),15-13*ORÇAMENTO!$AF$11)),0)</f>
        <v>0</v>
      </c>
      <c r="AH518" s="545">
        <f ca="1">IF(AND($D518="Serviço",AH$12&lt;&gt;0,$H518&gt;0,OR(AUTOEVENTO&lt;&gt;"manual",$M518&lt;&gt;1)),
IF(Import.TipoArredondamento&lt;&gt;"TransfereGOV",
ROUND(OFFSET($P518,0,AH$13),15-13*ORÇAMENTO!$AF$7)/$H518*OFFSET(ORÇAMENTO!$X$15,ROW(AH518)-ROW(AH$15),0),
ROUND(ROUND(OFFSET($P518,0,AH$13),15-13*ORÇAMENTO!$AF$7)*OFFSET(ORÇAMENTO!$W$15,ROW(AH518)-ROW(AH$15),0),15-13*ORÇAMENTO!$AF$11)),0)</f>
        <v>0</v>
      </c>
      <c r="AI518" s="545">
        <f ca="1">IF(AND($D518="Serviço",AI$12&lt;&gt;0,$H518&gt;0,OR(AUTOEVENTO&lt;&gt;"manual",$M518&lt;&gt;1)),
IF(Import.TipoArredondamento&lt;&gt;"TransfereGOV",
ROUND(OFFSET($P518,0,AI$13),15-13*ORÇAMENTO!$AF$7)/$H518*OFFSET(ORÇAMENTO!$X$15,ROW(AI518)-ROW(AI$15),0),
ROUND(ROUND(OFFSET($P518,0,AI$13),15-13*ORÇAMENTO!$AF$7)*OFFSET(ORÇAMENTO!$W$15,ROW(AI518)-ROW(AI$15),0),15-13*ORÇAMENTO!$AF$11)),0)</f>
        <v>0</v>
      </c>
      <c r="AJ518" s="545">
        <f ca="1">IF(AND($D518="Serviço",AJ$12&lt;&gt;0,$H518&gt;0,OR(AUTOEVENTO&lt;&gt;"manual",$M518&lt;&gt;1)),
IF(Import.TipoArredondamento&lt;&gt;"TransfereGOV",
ROUND(OFFSET($P518,0,AJ$13),15-13*ORÇAMENTO!$AF$7)/$H518*OFFSET(ORÇAMENTO!$X$15,ROW(AJ518)-ROW(AJ$15),0),
ROUND(ROUND(OFFSET($P518,0,AJ$13),15-13*ORÇAMENTO!$AF$7)*OFFSET(ORÇAMENTO!$W$15,ROW(AJ518)-ROW(AJ$15),0),15-13*ORÇAMENTO!$AF$11)),0)</f>
        <v>0</v>
      </c>
      <c r="AK518" s="546">
        <f ca="1">IF(AND($D518="Serviço",AK$12&lt;&gt;0,$H518&gt;0,OR(AUTOEVENTO&lt;&gt;"manual",$M518&lt;&gt;1)),
IF(Import.TipoArredondamento&lt;&gt;"TransfereGOV",
ROUND(OFFSET($P518,0,AK$13),15-13*ORÇAMENTO!$AF$7)/$H518*OFFSET(ORÇAMENTO!$X$15,ROW(AK518)-ROW(AK$15),0),
ROUND(ROUND(OFFSET($P518,0,AK$13),15-13*ORÇAMENTO!$AF$7)*OFFSET(ORÇAMENTO!$W$15,ROW(AK518)-ROW(AK$15),0),15-13*ORÇAMENTO!$AF$11)),0)</f>
        <v>0</v>
      </c>
      <c r="AM518" s="181">
        <f ca="1">IF($D518&lt;&gt;"Serviço",0,IF(AND(AUTOEVENTO="Manual",$M518=1),0,IF(OFFSET(CRONOPLE!$F$14,$M518,AM$13)="",10^12,OFFSET(CRONOPLE!$F$14,$M518,AM$13))))</f>
        <v>0</v>
      </c>
      <c r="AN518" s="181">
        <f ca="1">IF($D518&lt;&gt;"Serviço",0,IF(AND(AUTOEVENTO="Manual",$M518=1),0,IF(OFFSET(CRONOPLE!$F$14,$M518,AN$13)="",10^12,OFFSET(CRONOPLE!$F$14,$M518,AN$13))))</f>
        <v>0</v>
      </c>
      <c r="AO518" s="181">
        <f ca="1">IF($D518&lt;&gt;"Serviço",0,IF(AND(AUTOEVENTO="Manual",$M518=1),0,IF(OFFSET(CRONOPLE!$F$14,$M518,AO$13)="",10^12,OFFSET(CRONOPLE!$F$14,$M518,AO$13))))</f>
        <v>0</v>
      </c>
      <c r="AP518" s="181">
        <f ca="1">IF($D518&lt;&gt;"Serviço",0,IF(AND(AUTOEVENTO="Manual",$M518=1),0,IF(OFFSET(CRONOPLE!$F$14,$M518,AP$13)="",10^12,OFFSET(CRONOPLE!$F$14,$M518,AP$13))))</f>
        <v>0</v>
      </c>
      <c r="AQ518" s="181">
        <f ca="1">IF($D518&lt;&gt;"Serviço",0,IF(AND(AUTOEVENTO="Manual",$M518=1),0,IF(OFFSET(CRONOPLE!$F$14,$M518,AQ$13)="",10^12,OFFSET(CRONOPLE!$F$14,$M518,AQ$13))))</f>
        <v>0</v>
      </c>
      <c r="AR518" s="181">
        <f ca="1">IF($D518&lt;&gt;"Serviço",0,IF(AND(AUTOEVENTO="Manual",$M518=1),0,IF(OFFSET(CRONOPLE!$F$14,$M518,AR$13)="",10^12,OFFSET(CRONOPLE!$F$14,$M518,AR$13))))</f>
        <v>0</v>
      </c>
      <c r="AS518" s="181">
        <f ca="1">IF($D518&lt;&gt;"Serviço",0,IF(AND(AUTOEVENTO="Manual",$M518=1),0,IF(OFFSET(CRONOPLE!$F$14,$M518,AS$13)="",10^12,OFFSET(CRONOPLE!$F$14,$M518,AS$13))))</f>
        <v>0</v>
      </c>
      <c r="AT518" s="181">
        <f ca="1">IF($D518&lt;&gt;"Serviço",0,IF(AND(AUTOEVENTO="Manual",$M518=1),0,IF(OFFSET(CRONOPLE!$F$14,$M518,AT$13)="",10^12,OFFSET(CRONOPLE!$F$14,$M518,AT$13))))</f>
        <v>0</v>
      </c>
      <c r="AU518" s="181">
        <f ca="1">IF($D518&lt;&gt;"Serviço",0,IF(AND(AUTOEVENTO="Manual",$M518=1),0,IF(OFFSET(CRONOPLE!$F$14,$M518,AU$13)="",10^12,OFFSET(CRONOPLE!$F$14,$M518,AU$13))))</f>
        <v>0</v>
      </c>
      <c r="AV518" s="181">
        <f ca="1">IF($D518&lt;&gt;"Serviço",0,IF(AND(AUTOEVENTO="Manual",$M518=1),0,IF(OFFSET(CRONOPLE!$F$14,$M518,AV$13)="",10^12,OFFSET(CRONOPLE!$F$14,$M518,AV$13))))</f>
        <v>0</v>
      </c>
      <c r="AX518" s="182">
        <f ca="1">IF($D518&lt;&gt;"Serviço",0,IF(OR(AND(AUTOEVENTO="Manual",$M518=1),$M518&gt;(ROW(PLE.lastrow)-ROW(PLE.firstrow))),0,IF(OFFSET(PLE!$G$14,$M518,AX$13)="",10^12,OFFSET(PLE!$G$14,$M518,AX$13))))</f>
        <v>0</v>
      </c>
      <c r="AY518" s="182">
        <f ca="1">IF($D518&lt;&gt;"Serviço",0,IF(OR(AND(AUTOEVENTO="Manual",$M518=1),$M518&gt;(ROW(PLE.lastrow)-ROW(PLE.firstrow))),0,IF(OFFSET(PLE!$G$14,$M518,AY$13)="",10^12,OFFSET(PLE!$G$14,$M518,AY$13))))</f>
        <v>0</v>
      </c>
      <c r="AZ518" s="182">
        <f ca="1">IF($D518&lt;&gt;"Serviço",0,IF(OR(AND(AUTOEVENTO="Manual",$M518=1),$M518&gt;(ROW(PLE.lastrow)-ROW(PLE.firstrow))),0,IF(OFFSET(PLE!$G$14,$M518,AZ$13)="",10^12,OFFSET(PLE!$G$14,$M518,AZ$13))))</f>
        <v>0</v>
      </c>
      <c r="BA518" s="182">
        <f ca="1">IF($D518&lt;&gt;"Serviço",0,IF(OR(AND(AUTOEVENTO="Manual",$M518=1),$M518&gt;(ROW(PLE.lastrow)-ROW(PLE.firstrow))),0,IF(OFFSET(PLE!$G$14,$M518,BA$13)="",10^12,OFFSET(PLE!$G$14,$M518,BA$13))))</f>
        <v>0</v>
      </c>
      <c r="BB518" s="182">
        <f ca="1">IF($D518&lt;&gt;"Serviço",0,IF(OR(AND(AUTOEVENTO="Manual",$M518=1),$M518&gt;(ROW(PLE.lastrow)-ROW(PLE.firstrow))),0,IF(OFFSET(PLE!$G$14,$M518,BB$13)="",10^12,OFFSET(PLE!$G$14,$M518,BB$13))))</f>
        <v>0</v>
      </c>
      <c r="BC518" s="182">
        <f ca="1">IF($D518&lt;&gt;"Serviço",0,IF(OR(AND(AUTOEVENTO="Manual",$M518=1),$M518&gt;(ROW(PLE.lastrow)-ROW(PLE.firstrow))),0,IF(OFFSET(PLE!$G$14,$M518,BC$13)="",10^12,OFFSET(PLE!$G$14,$M518,BC$13))))</f>
        <v>0</v>
      </c>
      <c r="BD518" s="182">
        <f ca="1">IF($D518&lt;&gt;"Serviço",0,IF(OR(AND(AUTOEVENTO="Manual",$M518=1),$M518&gt;(ROW(PLE.lastrow)-ROW(PLE.firstrow))),0,IF(OFFSET(PLE!$G$14,$M518,BD$13)="",10^12,OFFSET(PLE!$G$14,$M518,BD$13))))</f>
        <v>0</v>
      </c>
      <c r="BE518" s="182">
        <f ca="1">IF($D518&lt;&gt;"Serviço",0,IF(OR(AND(AUTOEVENTO="Manual",$M518=1),$M518&gt;(ROW(PLE.lastrow)-ROW(PLE.firstrow))),0,IF(OFFSET(PLE!$G$14,$M518,BE$13)="",10^12,OFFSET(PLE!$G$14,$M518,BE$13))))</f>
        <v>0</v>
      </c>
      <c r="BF518" s="182">
        <f ca="1">IF($D518&lt;&gt;"Serviço",0,IF(OR(AND(AUTOEVENTO="Manual",$M518=1),$M518&gt;(ROW(PLE.lastrow)-ROW(PLE.firstrow))),0,IF(OFFSET(PLE!$G$14,$M518,BF$13)="",10^12,OFFSET(PLE!$G$14,$M518,BF$13))))</f>
        <v>0</v>
      </c>
      <c r="BG518" s="182">
        <f ca="1">IF($D518&lt;&gt;"Serviço",0,IF(OR(AND(AUTOEVENTO="Manual",$M518=1),$M518&gt;(ROW(PLE.lastrow)-ROW(PLE.firstrow))),0,IF(OFFSET(PLE!$G$14,$M518,BG$13)="",10^12,OFFSET(PLE!$G$14,$M518,BG$13))))</f>
        <v>0</v>
      </c>
    </row>
    <row r="519" spans="1:59" ht="38.25" x14ac:dyDescent="0.2">
      <c r="A519" s="7" t="str">
        <f t="shared" ca="1" si="11"/>
        <v>472</v>
      </c>
      <c r="B519" s="7" t="str">
        <f ca="1">OFFSET(ORÇAMENTO!C$15,ROW(B519)-ROW(B$15),0)</f>
        <v>S</v>
      </c>
      <c r="C519" s="7" t="str">
        <f ca="1">OFFSET(ORÇAMENTO!L$15,ROW(C519)-ROW(C$15),0)</f>
        <v/>
      </c>
      <c r="D519" s="118" t="str">
        <f ca="1">OFFSET(ORÇAMENTO!N$15,ROW(D519)-ROW(D$15),0)</f>
        <v>Serviço</v>
      </c>
      <c r="E519" s="119" t="str">
        <f ca="1">OFFSET(ORÇAMENTO!O$15,ROW(E519)-ROW(E$15),0)</f>
        <v>-</v>
      </c>
      <c r="F519" s="172" t="str">
        <f ca="1">OFFSET(ORÇAMENTO!R$15,ROW(F519)-ROW(F$15),0)</f>
        <v>(abra o arquivo 'Referência 02-2025.xlsm)</v>
      </c>
      <c r="G519" s="173" t="str">
        <f ca="1">IF($D519&lt;&gt;"Serviço","",OFFSET(ORÇAMENTO!S$15,ROW(G519)-ROW(G$15),0))</f>
        <v>-</v>
      </c>
      <c r="H519" s="124">
        <f ca="1">IF($D519&lt;&gt;"Serviço",0,IF(ACOMPANHAMENTO="BM",ROUND(OFFSET(ORÇAMENTO!AJ$15,ROW(H519)-ROW(H$15),0),15-13*ORÇAMENTO!$AF$7),SUMPRODUCT(($Q$12:$AA$12&lt;&gt;"")*ROUND($Q519:$AA519,15-13*ORÇAMENTO!$AF$7))))</f>
        <v>188.5</v>
      </c>
      <c r="I519" s="561" t="s">
        <v>890</v>
      </c>
      <c r="K519" s="174"/>
      <c r="L519" s="175" t="s">
        <v>255</v>
      </c>
      <c r="M519" s="176">
        <f ca="1">IF($D519&lt;&gt;"Serviço","",IF(AUTOEVENTO="manual",$A519,IF(ISERROR(MATCH($A519,$A$15:OFFSET($A519,-1,0),0)),MAX($M$15:OFFSET(M519,-1,0))+1,INDEX($M$15:OFFSET(M519,-1,0),MATCH($A519,$A$15:OFFSET($A519,-1,0),0)))))</f>
        <v>18</v>
      </c>
      <c r="N519" s="177" t="str">
        <f ca="1">IF($D519&lt;&gt;"Serviço","",IF(AUTOEVENTO="Manual",IF($A519=0,"&lt;-- defina o número do agrupador",OFFSET(EVENTOS!$D$14,$A519,0)),OFFSET($F$15,$A519,0)))</f>
        <v>INSTALAÇÕES ELÉTRICAS - 220V</v>
      </c>
      <c r="O519" s="178"/>
      <c r="Q519" s="178"/>
      <c r="R519" s="179"/>
      <c r="S519" s="179"/>
      <c r="T519" s="179"/>
      <c r="U519" s="179"/>
      <c r="V519" s="179"/>
      <c r="W519" s="179"/>
      <c r="X519" s="179"/>
      <c r="Y519" s="179"/>
      <c r="Z519" s="180"/>
      <c r="AB519" s="544">
        <f ca="1">IF(AND($D519="Serviço",AB$12&lt;&gt;0,$H519&gt;0,OR(AUTOEVENTO&lt;&gt;"manual",$M519&lt;&gt;1)),
IF(Import.TipoArredondamento&lt;&gt;"TransfereGOV",
ROUND(OFFSET($P519,0,AB$13),15-13*ORÇAMENTO!$AF$7)/$H519*OFFSET(ORÇAMENTO!$X$15,ROW(AB519)-ROW(AB$15),0),
ROUND(ROUND(OFFSET($P519,0,AB$13),15-13*ORÇAMENTO!$AF$7)*OFFSET(ORÇAMENTO!$W$15,ROW(AB519)-ROW(AB$15),0),15-13*ORÇAMENTO!$AF$11)),0)</f>
        <v>0</v>
      </c>
      <c r="AC519" s="545">
        <f ca="1">IF(AND($D519="Serviço",AC$12&lt;&gt;0,$H519&gt;0,OR(AUTOEVENTO&lt;&gt;"manual",$M519&lt;&gt;1)),
IF(Import.TipoArredondamento&lt;&gt;"TransfereGOV",
ROUND(OFFSET($P519,0,AC$13),15-13*ORÇAMENTO!$AF$7)/$H519*OFFSET(ORÇAMENTO!$X$15,ROW(AC519)-ROW(AC$15),0),
ROUND(ROUND(OFFSET($P519,0,AC$13),15-13*ORÇAMENTO!$AF$7)*OFFSET(ORÇAMENTO!$W$15,ROW(AC519)-ROW(AC$15),0),15-13*ORÇAMENTO!$AF$11)),0)</f>
        <v>0</v>
      </c>
      <c r="AD519" s="545">
        <f ca="1">IF(AND($D519="Serviço",AD$12&lt;&gt;0,$H519&gt;0,OR(AUTOEVENTO&lt;&gt;"manual",$M519&lt;&gt;1)),
IF(Import.TipoArredondamento&lt;&gt;"TransfereGOV",
ROUND(OFFSET($P519,0,AD$13),15-13*ORÇAMENTO!$AF$7)/$H519*OFFSET(ORÇAMENTO!$X$15,ROW(AD519)-ROW(AD$15),0),
ROUND(ROUND(OFFSET($P519,0,AD$13),15-13*ORÇAMENTO!$AF$7)*OFFSET(ORÇAMENTO!$W$15,ROW(AD519)-ROW(AD$15),0),15-13*ORÇAMENTO!$AF$11)),0)</f>
        <v>0</v>
      </c>
      <c r="AE519" s="545">
        <f ca="1">IF(AND($D519="Serviço",AE$12&lt;&gt;0,$H519&gt;0,OR(AUTOEVENTO&lt;&gt;"manual",$M519&lt;&gt;1)),
IF(Import.TipoArredondamento&lt;&gt;"TransfereGOV",
ROUND(OFFSET($P519,0,AE$13),15-13*ORÇAMENTO!$AF$7)/$H519*OFFSET(ORÇAMENTO!$X$15,ROW(AE519)-ROW(AE$15),0),
ROUND(ROUND(OFFSET($P519,0,AE$13),15-13*ORÇAMENTO!$AF$7)*OFFSET(ORÇAMENTO!$W$15,ROW(AE519)-ROW(AE$15),0),15-13*ORÇAMENTO!$AF$11)),0)</f>
        <v>0</v>
      </c>
      <c r="AF519" s="545">
        <f ca="1">IF(AND($D519="Serviço",AF$12&lt;&gt;0,$H519&gt;0,OR(AUTOEVENTO&lt;&gt;"manual",$M519&lt;&gt;1)),
IF(Import.TipoArredondamento&lt;&gt;"TransfereGOV",
ROUND(OFFSET($P519,0,AF$13),15-13*ORÇAMENTO!$AF$7)/$H519*OFFSET(ORÇAMENTO!$X$15,ROW(AF519)-ROW(AF$15),0),
ROUND(ROUND(OFFSET($P519,0,AF$13),15-13*ORÇAMENTO!$AF$7)*OFFSET(ORÇAMENTO!$W$15,ROW(AF519)-ROW(AF$15),0),15-13*ORÇAMENTO!$AF$11)),0)</f>
        <v>0</v>
      </c>
      <c r="AG519" s="545">
        <f ca="1">IF(AND($D519="Serviço",AG$12&lt;&gt;0,$H519&gt;0,OR(AUTOEVENTO&lt;&gt;"manual",$M519&lt;&gt;1)),
IF(Import.TipoArredondamento&lt;&gt;"TransfereGOV",
ROUND(OFFSET($P519,0,AG$13),15-13*ORÇAMENTO!$AF$7)/$H519*OFFSET(ORÇAMENTO!$X$15,ROW(AG519)-ROW(AG$15),0),
ROUND(ROUND(OFFSET($P519,0,AG$13),15-13*ORÇAMENTO!$AF$7)*OFFSET(ORÇAMENTO!$W$15,ROW(AG519)-ROW(AG$15),0),15-13*ORÇAMENTO!$AF$11)),0)</f>
        <v>0</v>
      </c>
      <c r="AH519" s="545">
        <f ca="1">IF(AND($D519="Serviço",AH$12&lt;&gt;0,$H519&gt;0,OR(AUTOEVENTO&lt;&gt;"manual",$M519&lt;&gt;1)),
IF(Import.TipoArredondamento&lt;&gt;"TransfereGOV",
ROUND(OFFSET($P519,0,AH$13),15-13*ORÇAMENTO!$AF$7)/$H519*OFFSET(ORÇAMENTO!$X$15,ROW(AH519)-ROW(AH$15),0),
ROUND(ROUND(OFFSET($P519,0,AH$13),15-13*ORÇAMENTO!$AF$7)*OFFSET(ORÇAMENTO!$W$15,ROW(AH519)-ROW(AH$15),0),15-13*ORÇAMENTO!$AF$11)),0)</f>
        <v>0</v>
      </c>
      <c r="AI519" s="545">
        <f ca="1">IF(AND($D519="Serviço",AI$12&lt;&gt;0,$H519&gt;0,OR(AUTOEVENTO&lt;&gt;"manual",$M519&lt;&gt;1)),
IF(Import.TipoArredondamento&lt;&gt;"TransfereGOV",
ROUND(OFFSET($P519,0,AI$13),15-13*ORÇAMENTO!$AF$7)/$H519*OFFSET(ORÇAMENTO!$X$15,ROW(AI519)-ROW(AI$15),0),
ROUND(ROUND(OFFSET($P519,0,AI$13),15-13*ORÇAMENTO!$AF$7)*OFFSET(ORÇAMENTO!$W$15,ROW(AI519)-ROW(AI$15),0),15-13*ORÇAMENTO!$AF$11)),0)</f>
        <v>0</v>
      </c>
      <c r="AJ519" s="545">
        <f ca="1">IF(AND($D519="Serviço",AJ$12&lt;&gt;0,$H519&gt;0,OR(AUTOEVENTO&lt;&gt;"manual",$M519&lt;&gt;1)),
IF(Import.TipoArredondamento&lt;&gt;"TransfereGOV",
ROUND(OFFSET($P519,0,AJ$13),15-13*ORÇAMENTO!$AF$7)/$H519*OFFSET(ORÇAMENTO!$X$15,ROW(AJ519)-ROW(AJ$15),0),
ROUND(ROUND(OFFSET($P519,0,AJ$13),15-13*ORÇAMENTO!$AF$7)*OFFSET(ORÇAMENTO!$W$15,ROW(AJ519)-ROW(AJ$15),0),15-13*ORÇAMENTO!$AF$11)),0)</f>
        <v>0</v>
      </c>
      <c r="AK519" s="546">
        <f ca="1">IF(AND($D519="Serviço",AK$12&lt;&gt;0,$H519&gt;0,OR(AUTOEVENTO&lt;&gt;"manual",$M519&lt;&gt;1)),
IF(Import.TipoArredondamento&lt;&gt;"TransfereGOV",
ROUND(OFFSET($P519,0,AK$13),15-13*ORÇAMENTO!$AF$7)/$H519*OFFSET(ORÇAMENTO!$X$15,ROW(AK519)-ROW(AK$15),0),
ROUND(ROUND(OFFSET($P519,0,AK$13),15-13*ORÇAMENTO!$AF$7)*OFFSET(ORÇAMENTO!$W$15,ROW(AK519)-ROW(AK$15),0),15-13*ORÇAMENTO!$AF$11)),0)</f>
        <v>0</v>
      </c>
      <c r="AM519" s="181">
        <f ca="1">IF($D519&lt;&gt;"Serviço",0,IF(AND(AUTOEVENTO="Manual",$M519=1),0,IF(OFFSET(CRONOPLE!$F$14,$M519,AM$13)="",10^12,OFFSET(CRONOPLE!$F$14,$M519,AM$13))))</f>
        <v>1000000000000</v>
      </c>
      <c r="AN519" s="181">
        <f ca="1">IF($D519&lt;&gt;"Serviço",0,IF(AND(AUTOEVENTO="Manual",$M519=1),0,IF(OFFSET(CRONOPLE!$F$14,$M519,AN$13)="",10^12,OFFSET(CRONOPLE!$F$14,$M519,AN$13))))</f>
        <v>1000000000000</v>
      </c>
      <c r="AO519" s="181">
        <f ca="1">IF($D519&lt;&gt;"Serviço",0,IF(AND(AUTOEVENTO="Manual",$M519=1),0,IF(OFFSET(CRONOPLE!$F$14,$M519,AO$13)="",10^12,OFFSET(CRONOPLE!$F$14,$M519,AO$13))))</f>
        <v>1000000000000</v>
      </c>
      <c r="AP519" s="181">
        <f ca="1">IF($D519&lt;&gt;"Serviço",0,IF(AND(AUTOEVENTO="Manual",$M519=1),0,IF(OFFSET(CRONOPLE!$F$14,$M519,AP$13)="",10^12,OFFSET(CRONOPLE!$F$14,$M519,AP$13))))</f>
        <v>1000000000000</v>
      </c>
      <c r="AQ519" s="181">
        <f ca="1">IF($D519&lt;&gt;"Serviço",0,IF(AND(AUTOEVENTO="Manual",$M519=1),0,IF(OFFSET(CRONOPLE!$F$14,$M519,AQ$13)="",10^12,OFFSET(CRONOPLE!$F$14,$M519,AQ$13))))</f>
        <v>1000000000000</v>
      </c>
      <c r="AR519" s="181">
        <f ca="1">IF($D519&lt;&gt;"Serviço",0,IF(AND(AUTOEVENTO="Manual",$M519=1),0,IF(OFFSET(CRONOPLE!$F$14,$M519,AR$13)="",10^12,OFFSET(CRONOPLE!$F$14,$M519,AR$13))))</f>
        <v>1000000000000</v>
      </c>
      <c r="AS519" s="181">
        <f ca="1">IF($D519&lt;&gt;"Serviço",0,IF(AND(AUTOEVENTO="Manual",$M519=1),0,IF(OFFSET(CRONOPLE!$F$14,$M519,AS$13)="",10^12,OFFSET(CRONOPLE!$F$14,$M519,AS$13))))</f>
        <v>1000000000000</v>
      </c>
      <c r="AT519" s="181">
        <f ca="1">IF($D519&lt;&gt;"Serviço",0,IF(AND(AUTOEVENTO="Manual",$M519=1),0,IF(OFFSET(CRONOPLE!$F$14,$M519,AT$13)="",10^12,OFFSET(CRONOPLE!$F$14,$M519,AT$13))))</f>
        <v>1000000000000</v>
      </c>
      <c r="AU519" s="181">
        <f ca="1">IF($D519&lt;&gt;"Serviço",0,IF(AND(AUTOEVENTO="Manual",$M519=1),0,IF(OFFSET(CRONOPLE!$F$14,$M519,AU$13)="",10^12,OFFSET(CRONOPLE!$F$14,$M519,AU$13))))</f>
        <v>1000000000000</v>
      </c>
      <c r="AV519" s="181">
        <f ca="1">IF($D519&lt;&gt;"Serviço",0,IF(AND(AUTOEVENTO="Manual",$M519=1),0,IF(OFFSET(CRONOPLE!$F$14,$M519,AV$13)="",10^12,OFFSET(CRONOPLE!$F$14,$M519,AV$13))))</f>
        <v>1000000000000</v>
      </c>
      <c r="AX519" s="182">
        <f ca="1">IF($D519&lt;&gt;"Serviço",0,IF(OR(AND(AUTOEVENTO="Manual",$M519=1),$M519&gt;(ROW(PLE.lastrow)-ROW(PLE.firstrow))),0,IF(OFFSET(PLE!$G$14,$M519,AX$13)="",10^12,OFFSET(PLE!$G$14,$M519,AX$13))))</f>
        <v>1000000000000</v>
      </c>
      <c r="AY519" s="182">
        <f ca="1">IF($D519&lt;&gt;"Serviço",0,IF(OR(AND(AUTOEVENTO="Manual",$M519=1),$M519&gt;(ROW(PLE.lastrow)-ROW(PLE.firstrow))),0,IF(OFFSET(PLE!$G$14,$M519,AY$13)="",10^12,OFFSET(PLE!$G$14,$M519,AY$13))))</f>
        <v>1000000000000</v>
      </c>
      <c r="AZ519" s="182">
        <f ca="1">IF($D519&lt;&gt;"Serviço",0,IF(OR(AND(AUTOEVENTO="Manual",$M519=1),$M519&gt;(ROW(PLE.lastrow)-ROW(PLE.firstrow))),0,IF(OFFSET(PLE!$G$14,$M519,AZ$13)="",10^12,OFFSET(PLE!$G$14,$M519,AZ$13))))</f>
        <v>1000000000000</v>
      </c>
      <c r="BA519" s="182">
        <f ca="1">IF($D519&lt;&gt;"Serviço",0,IF(OR(AND(AUTOEVENTO="Manual",$M519=1),$M519&gt;(ROW(PLE.lastrow)-ROW(PLE.firstrow))),0,IF(OFFSET(PLE!$G$14,$M519,BA$13)="",10^12,OFFSET(PLE!$G$14,$M519,BA$13))))</f>
        <v>1000000000000</v>
      </c>
      <c r="BB519" s="182">
        <f ca="1">IF($D519&lt;&gt;"Serviço",0,IF(OR(AND(AUTOEVENTO="Manual",$M519=1),$M519&gt;(ROW(PLE.lastrow)-ROW(PLE.firstrow))),0,IF(OFFSET(PLE!$G$14,$M519,BB$13)="",10^12,OFFSET(PLE!$G$14,$M519,BB$13))))</f>
        <v>1000000000000</v>
      </c>
      <c r="BC519" s="182">
        <f ca="1">IF($D519&lt;&gt;"Serviço",0,IF(OR(AND(AUTOEVENTO="Manual",$M519=1),$M519&gt;(ROW(PLE.lastrow)-ROW(PLE.firstrow))),0,IF(OFFSET(PLE!$G$14,$M519,BC$13)="",10^12,OFFSET(PLE!$G$14,$M519,BC$13))))</f>
        <v>1000000000000</v>
      </c>
      <c r="BD519" s="182">
        <f ca="1">IF($D519&lt;&gt;"Serviço",0,IF(OR(AND(AUTOEVENTO="Manual",$M519=1),$M519&gt;(ROW(PLE.lastrow)-ROW(PLE.firstrow))),0,IF(OFFSET(PLE!$G$14,$M519,BD$13)="",10^12,OFFSET(PLE!$G$14,$M519,BD$13))))</f>
        <v>1000000000000</v>
      </c>
      <c r="BE519" s="182">
        <f ca="1">IF($D519&lt;&gt;"Serviço",0,IF(OR(AND(AUTOEVENTO="Manual",$M519=1),$M519&gt;(ROW(PLE.lastrow)-ROW(PLE.firstrow))),0,IF(OFFSET(PLE!$G$14,$M519,BE$13)="",10^12,OFFSET(PLE!$G$14,$M519,BE$13))))</f>
        <v>1000000000000</v>
      </c>
      <c r="BF519" s="182">
        <f ca="1">IF($D519&lt;&gt;"Serviço",0,IF(OR(AND(AUTOEVENTO="Manual",$M519=1),$M519&gt;(ROW(PLE.lastrow)-ROW(PLE.firstrow))),0,IF(OFFSET(PLE!$G$14,$M519,BF$13)="",10^12,OFFSET(PLE!$G$14,$M519,BF$13))))</f>
        <v>1000000000000</v>
      </c>
      <c r="BG519" s="182">
        <f ca="1">IF($D519&lt;&gt;"Serviço",0,IF(OR(AND(AUTOEVENTO="Manual",$M519=1),$M519&gt;(ROW(PLE.lastrow)-ROW(PLE.firstrow))),0,IF(OFFSET(PLE!$G$14,$M519,BG$13)="",10^12,OFFSET(PLE!$G$14,$M519,BG$13))))</f>
        <v>1000000000000</v>
      </c>
    </row>
    <row r="520" spans="1:59" ht="38.25" x14ac:dyDescent="0.2">
      <c r="A520" s="7" t="str">
        <f t="shared" ca="1" si="11"/>
        <v>472</v>
      </c>
      <c r="B520" s="7" t="str">
        <f ca="1">OFFSET(ORÇAMENTO!C$15,ROW(B520)-ROW(B$15),0)</f>
        <v>S</v>
      </c>
      <c r="C520" s="7" t="str">
        <f ca="1">OFFSET(ORÇAMENTO!L$15,ROW(C520)-ROW(C$15),0)</f>
        <v/>
      </c>
      <c r="D520" s="118" t="str">
        <f ca="1">OFFSET(ORÇAMENTO!N$15,ROW(D520)-ROW(D$15),0)</f>
        <v>Serviço</v>
      </c>
      <c r="E520" s="119" t="str">
        <f ca="1">OFFSET(ORÇAMENTO!O$15,ROW(E520)-ROW(E$15),0)</f>
        <v>-</v>
      </c>
      <c r="F520" s="172" t="str">
        <f ca="1">OFFSET(ORÇAMENTO!R$15,ROW(F520)-ROW(F$15),0)</f>
        <v>(abra o arquivo 'Referência 02-2025.xlsm)</v>
      </c>
      <c r="G520" s="173" t="str">
        <f ca="1">IF($D520&lt;&gt;"Serviço","",OFFSET(ORÇAMENTO!S$15,ROW(G520)-ROW(G$15),0))</f>
        <v>-</v>
      </c>
      <c r="H520" s="124">
        <f ca="1">IF($D520&lt;&gt;"Serviço",0,IF(ACOMPANHAMENTO="BM",ROUND(OFFSET(ORÇAMENTO!AJ$15,ROW(H520)-ROW(H$15),0),15-13*ORÇAMENTO!$AF$7),SUMPRODUCT(($Q$12:$AA$12&lt;&gt;"")*ROUND($Q520:$AA520,15-13*ORÇAMENTO!$AF$7))))</f>
        <v>14.4</v>
      </c>
      <c r="I520" s="561" t="s">
        <v>890</v>
      </c>
      <c r="K520" s="174"/>
      <c r="L520" s="175" t="s">
        <v>255</v>
      </c>
      <c r="M520" s="176">
        <f ca="1">IF($D520&lt;&gt;"Serviço","",IF(AUTOEVENTO="manual",$A520,IF(ISERROR(MATCH($A520,$A$15:OFFSET($A520,-1,0),0)),MAX($M$15:OFFSET(M520,-1,0))+1,INDEX($M$15:OFFSET(M520,-1,0),MATCH($A520,$A$15:OFFSET($A520,-1,0),0)))))</f>
        <v>18</v>
      </c>
      <c r="N520" s="177" t="str">
        <f ca="1">IF($D520&lt;&gt;"Serviço","",IF(AUTOEVENTO="Manual",IF($A520=0,"&lt;-- defina o número do agrupador",OFFSET(EVENTOS!$D$14,$A520,0)),OFFSET($F$15,$A520,0)))</f>
        <v>INSTALAÇÕES ELÉTRICAS - 220V</v>
      </c>
      <c r="O520" s="178"/>
      <c r="Q520" s="178"/>
      <c r="R520" s="179"/>
      <c r="S520" s="179"/>
      <c r="T520" s="179"/>
      <c r="U520" s="179"/>
      <c r="V520" s="179"/>
      <c r="W520" s="179"/>
      <c r="X520" s="179"/>
      <c r="Y520" s="179"/>
      <c r="Z520" s="180"/>
      <c r="AB520" s="544">
        <f ca="1">IF(AND($D520="Serviço",AB$12&lt;&gt;0,$H520&gt;0,OR(AUTOEVENTO&lt;&gt;"manual",$M520&lt;&gt;1)),
IF(Import.TipoArredondamento&lt;&gt;"TransfereGOV",
ROUND(OFFSET($P520,0,AB$13),15-13*ORÇAMENTO!$AF$7)/$H520*OFFSET(ORÇAMENTO!$X$15,ROW(AB520)-ROW(AB$15),0),
ROUND(ROUND(OFFSET($P520,0,AB$13),15-13*ORÇAMENTO!$AF$7)*OFFSET(ORÇAMENTO!$W$15,ROW(AB520)-ROW(AB$15),0),15-13*ORÇAMENTO!$AF$11)),0)</f>
        <v>0</v>
      </c>
      <c r="AC520" s="545">
        <f ca="1">IF(AND($D520="Serviço",AC$12&lt;&gt;0,$H520&gt;0,OR(AUTOEVENTO&lt;&gt;"manual",$M520&lt;&gt;1)),
IF(Import.TipoArredondamento&lt;&gt;"TransfereGOV",
ROUND(OFFSET($P520,0,AC$13),15-13*ORÇAMENTO!$AF$7)/$H520*OFFSET(ORÇAMENTO!$X$15,ROW(AC520)-ROW(AC$15),0),
ROUND(ROUND(OFFSET($P520,0,AC$13),15-13*ORÇAMENTO!$AF$7)*OFFSET(ORÇAMENTO!$W$15,ROW(AC520)-ROW(AC$15),0),15-13*ORÇAMENTO!$AF$11)),0)</f>
        <v>0</v>
      </c>
      <c r="AD520" s="545">
        <f ca="1">IF(AND($D520="Serviço",AD$12&lt;&gt;0,$H520&gt;0,OR(AUTOEVENTO&lt;&gt;"manual",$M520&lt;&gt;1)),
IF(Import.TipoArredondamento&lt;&gt;"TransfereGOV",
ROUND(OFFSET($P520,0,AD$13),15-13*ORÇAMENTO!$AF$7)/$H520*OFFSET(ORÇAMENTO!$X$15,ROW(AD520)-ROW(AD$15),0),
ROUND(ROUND(OFFSET($P520,0,AD$13),15-13*ORÇAMENTO!$AF$7)*OFFSET(ORÇAMENTO!$W$15,ROW(AD520)-ROW(AD$15),0),15-13*ORÇAMENTO!$AF$11)),0)</f>
        <v>0</v>
      </c>
      <c r="AE520" s="545">
        <f ca="1">IF(AND($D520="Serviço",AE$12&lt;&gt;0,$H520&gt;0,OR(AUTOEVENTO&lt;&gt;"manual",$M520&lt;&gt;1)),
IF(Import.TipoArredondamento&lt;&gt;"TransfereGOV",
ROUND(OFFSET($P520,0,AE$13),15-13*ORÇAMENTO!$AF$7)/$H520*OFFSET(ORÇAMENTO!$X$15,ROW(AE520)-ROW(AE$15),0),
ROUND(ROUND(OFFSET($P520,0,AE$13),15-13*ORÇAMENTO!$AF$7)*OFFSET(ORÇAMENTO!$W$15,ROW(AE520)-ROW(AE$15),0),15-13*ORÇAMENTO!$AF$11)),0)</f>
        <v>0</v>
      </c>
      <c r="AF520" s="545">
        <f ca="1">IF(AND($D520="Serviço",AF$12&lt;&gt;0,$H520&gt;0,OR(AUTOEVENTO&lt;&gt;"manual",$M520&lt;&gt;1)),
IF(Import.TipoArredondamento&lt;&gt;"TransfereGOV",
ROUND(OFFSET($P520,0,AF$13),15-13*ORÇAMENTO!$AF$7)/$H520*OFFSET(ORÇAMENTO!$X$15,ROW(AF520)-ROW(AF$15),0),
ROUND(ROUND(OFFSET($P520,0,AF$13),15-13*ORÇAMENTO!$AF$7)*OFFSET(ORÇAMENTO!$W$15,ROW(AF520)-ROW(AF$15),0),15-13*ORÇAMENTO!$AF$11)),0)</f>
        <v>0</v>
      </c>
      <c r="AG520" s="545">
        <f ca="1">IF(AND($D520="Serviço",AG$12&lt;&gt;0,$H520&gt;0,OR(AUTOEVENTO&lt;&gt;"manual",$M520&lt;&gt;1)),
IF(Import.TipoArredondamento&lt;&gt;"TransfereGOV",
ROUND(OFFSET($P520,0,AG$13),15-13*ORÇAMENTO!$AF$7)/$H520*OFFSET(ORÇAMENTO!$X$15,ROW(AG520)-ROW(AG$15),0),
ROUND(ROUND(OFFSET($P520,0,AG$13),15-13*ORÇAMENTO!$AF$7)*OFFSET(ORÇAMENTO!$W$15,ROW(AG520)-ROW(AG$15),0),15-13*ORÇAMENTO!$AF$11)),0)</f>
        <v>0</v>
      </c>
      <c r="AH520" s="545">
        <f ca="1">IF(AND($D520="Serviço",AH$12&lt;&gt;0,$H520&gt;0,OR(AUTOEVENTO&lt;&gt;"manual",$M520&lt;&gt;1)),
IF(Import.TipoArredondamento&lt;&gt;"TransfereGOV",
ROUND(OFFSET($P520,0,AH$13),15-13*ORÇAMENTO!$AF$7)/$H520*OFFSET(ORÇAMENTO!$X$15,ROW(AH520)-ROW(AH$15),0),
ROUND(ROUND(OFFSET($P520,0,AH$13),15-13*ORÇAMENTO!$AF$7)*OFFSET(ORÇAMENTO!$W$15,ROW(AH520)-ROW(AH$15),0),15-13*ORÇAMENTO!$AF$11)),0)</f>
        <v>0</v>
      </c>
      <c r="AI520" s="545">
        <f ca="1">IF(AND($D520="Serviço",AI$12&lt;&gt;0,$H520&gt;0,OR(AUTOEVENTO&lt;&gt;"manual",$M520&lt;&gt;1)),
IF(Import.TipoArredondamento&lt;&gt;"TransfereGOV",
ROUND(OFFSET($P520,0,AI$13),15-13*ORÇAMENTO!$AF$7)/$H520*OFFSET(ORÇAMENTO!$X$15,ROW(AI520)-ROW(AI$15),0),
ROUND(ROUND(OFFSET($P520,0,AI$13),15-13*ORÇAMENTO!$AF$7)*OFFSET(ORÇAMENTO!$W$15,ROW(AI520)-ROW(AI$15),0),15-13*ORÇAMENTO!$AF$11)),0)</f>
        <v>0</v>
      </c>
      <c r="AJ520" s="545">
        <f ca="1">IF(AND($D520="Serviço",AJ$12&lt;&gt;0,$H520&gt;0,OR(AUTOEVENTO&lt;&gt;"manual",$M520&lt;&gt;1)),
IF(Import.TipoArredondamento&lt;&gt;"TransfereGOV",
ROUND(OFFSET($P520,0,AJ$13),15-13*ORÇAMENTO!$AF$7)/$H520*OFFSET(ORÇAMENTO!$X$15,ROW(AJ520)-ROW(AJ$15),0),
ROUND(ROUND(OFFSET($P520,0,AJ$13),15-13*ORÇAMENTO!$AF$7)*OFFSET(ORÇAMENTO!$W$15,ROW(AJ520)-ROW(AJ$15),0),15-13*ORÇAMENTO!$AF$11)),0)</f>
        <v>0</v>
      </c>
      <c r="AK520" s="546">
        <f ca="1">IF(AND($D520="Serviço",AK$12&lt;&gt;0,$H520&gt;0,OR(AUTOEVENTO&lt;&gt;"manual",$M520&lt;&gt;1)),
IF(Import.TipoArredondamento&lt;&gt;"TransfereGOV",
ROUND(OFFSET($P520,0,AK$13),15-13*ORÇAMENTO!$AF$7)/$H520*OFFSET(ORÇAMENTO!$X$15,ROW(AK520)-ROW(AK$15),0),
ROUND(ROUND(OFFSET($P520,0,AK$13),15-13*ORÇAMENTO!$AF$7)*OFFSET(ORÇAMENTO!$W$15,ROW(AK520)-ROW(AK$15),0),15-13*ORÇAMENTO!$AF$11)),0)</f>
        <v>0</v>
      </c>
      <c r="AM520" s="181">
        <f ca="1">IF($D520&lt;&gt;"Serviço",0,IF(AND(AUTOEVENTO="Manual",$M520=1),0,IF(OFFSET(CRONOPLE!$F$14,$M520,AM$13)="",10^12,OFFSET(CRONOPLE!$F$14,$M520,AM$13))))</f>
        <v>1000000000000</v>
      </c>
      <c r="AN520" s="181">
        <f ca="1">IF($D520&lt;&gt;"Serviço",0,IF(AND(AUTOEVENTO="Manual",$M520=1),0,IF(OFFSET(CRONOPLE!$F$14,$M520,AN$13)="",10^12,OFFSET(CRONOPLE!$F$14,$M520,AN$13))))</f>
        <v>1000000000000</v>
      </c>
      <c r="AO520" s="181">
        <f ca="1">IF($D520&lt;&gt;"Serviço",0,IF(AND(AUTOEVENTO="Manual",$M520=1),0,IF(OFFSET(CRONOPLE!$F$14,$M520,AO$13)="",10^12,OFFSET(CRONOPLE!$F$14,$M520,AO$13))))</f>
        <v>1000000000000</v>
      </c>
      <c r="AP520" s="181">
        <f ca="1">IF($D520&lt;&gt;"Serviço",0,IF(AND(AUTOEVENTO="Manual",$M520=1),0,IF(OFFSET(CRONOPLE!$F$14,$M520,AP$13)="",10^12,OFFSET(CRONOPLE!$F$14,$M520,AP$13))))</f>
        <v>1000000000000</v>
      </c>
      <c r="AQ520" s="181">
        <f ca="1">IF($D520&lt;&gt;"Serviço",0,IF(AND(AUTOEVENTO="Manual",$M520=1),0,IF(OFFSET(CRONOPLE!$F$14,$M520,AQ$13)="",10^12,OFFSET(CRONOPLE!$F$14,$M520,AQ$13))))</f>
        <v>1000000000000</v>
      </c>
      <c r="AR520" s="181">
        <f ca="1">IF($D520&lt;&gt;"Serviço",0,IF(AND(AUTOEVENTO="Manual",$M520=1),0,IF(OFFSET(CRONOPLE!$F$14,$M520,AR$13)="",10^12,OFFSET(CRONOPLE!$F$14,$M520,AR$13))))</f>
        <v>1000000000000</v>
      </c>
      <c r="AS520" s="181">
        <f ca="1">IF($D520&lt;&gt;"Serviço",0,IF(AND(AUTOEVENTO="Manual",$M520=1),0,IF(OFFSET(CRONOPLE!$F$14,$M520,AS$13)="",10^12,OFFSET(CRONOPLE!$F$14,$M520,AS$13))))</f>
        <v>1000000000000</v>
      </c>
      <c r="AT520" s="181">
        <f ca="1">IF($D520&lt;&gt;"Serviço",0,IF(AND(AUTOEVENTO="Manual",$M520=1),0,IF(OFFSET(CRONOPLE!$F$14,$M520,AT$13)="",10^12,OFFSET(CRONOPLE!$F$14,$M520,AT$13))))</f>
        <v>1000000000000</v>
      </c>
      <c r="AU520" s="181">
        <f ca="1">IF($D520&lt;&gt;"Serviço",0,IF(AND(AUTOEVENTO="Manual",$M520=1),0,IF(OFFSET(CRONOPLE!$F$14,$M520,AU$13)="",10^12,OFFSET(CRONOPLE!$F$14,$M520,AU$13))))</f>
        <v>1000000000000</v>
      </c>
      <c r="AV520" s="181">
        <f ca="1">IF($D520&lt;&gt;"Serviço",0,IF(AND(AUTOEVENTO="Manual",$M520=1),0,IF(OFFSET(CRONOPLE!$F$14,$M520,AV$13)="",10^12,OFFSET(CRONOPLE!$F$14,$M520,AV$13))))</f>
        <v>1000000000000</v>
      </c>
      <c r="AX520" s="182">
        <f ca="1">IF($D520&lt;&gt;"Serviço",0,IF(OR(AND(AUTOEVENTO="Manual",$M520=1),$M520&gt;(ROW(PLE.lastrow)-ROW(PLE.firstrow))),0,IF(OFFSET(PLE!$G$14,$M520,AX$13)="",10^12,OFFSET(PLE!$G$14,$M520,AX$13))))</f>
        <v>1000000000000</v>
      </c>
      <c r="AY520" s="182">
        <f ca="1">IF($D520&lt;&gt;"Serviço",0,IF(OR(AND(AUTOEVENTO="Manual",$M520=1),$M520&gt;(ROW(PLE.lastrow)-ROW(PLE.firstrow))),0,IF(OFFSET(PLE!$G$14,$M520,AY$13)="",10^12,OFFSET(PLE!$G$14,$M520,AY$13))))</f>
        <v>1000000000000</v>
      </c>
      <c r="AZ520" s="182">
        <f ca="1">IF($D520&lt;&gt;"Serviço",0,IF(OR(AND(AUTOEVENTO="Manual",$M520=1),$M520&gt;(ROW(PLE.lastrow)-ROW(PLE.firstrow))),0,IF(OFFSET(PLE!$G$14,$M520,AZ$13)="",10^12,OFFSET(PLE!$G$14,$M520,AZ$13))))</f>
        <v>1000000000000</v>
      </c>
      <c r="BA520" s="182">
        <f ca="1">IF($D520&lt;&gt;"Serviço",0,IF(OR(AND(AUTOEVENTO="Manual",$M520=1),$M520&gt;(ROW(PLE.lastrow)-ROW(PLE.firstrow))),0,IF(OFFSET(PLE!$G$14,$M520,BA$13)="",10^12,OFFSET(PLE!$G$14,$M520,BA$13))))</f>
        <v>1000000000000</v>
      </c>
      <c r="BB520" s="182">
        <f ca="1">IF($D520&lt;&gt;"Serviço",0,IF(OR(AND(AUTOEVENTO="Manual",$M520=1),$M520&gt;(ROW(PLE.lastrow)-ROW(PLE.firstrow))),0,IF(OFFSET(PLE!$G$14,$M520,BB$13)="",10^12,OFFSET(PLE!$G$14,$M520,BB$13))))</f>
        <v>1000000000000</v>
      </c>
      <c r="BC520" s="182">
        <f ca="1">IF($D520&lt;&gt;"Serviço",0,IF(OR(AND(AUTOEVENTO="Manual",$M520=1),$M520&gt;(ROW(PLE.lastrow)-ROW(PLE.firstrow))),0,IF(OFFSET(PLE!$G$14,$M520,BC$13)="",10^12,OFFSET(PLE!$G$14,$M520,BC$13))))</f>
        <v>1000000000000</v>
      </c>
      <c r="BD520" s="182">
        <f ca="1">IF($D520&lt;&gt;"Serviço",0,IF(OR(AND(AUTOEVENTO="Manual",$M520=1),$M520&gt;(ROW(PLE.lastrow)-ROW(PLE.firstrow))),0,IF(OFFSET(PLE!$G$14,$M520,BD$13)="",10^12,OFFSET(PLE!$G$14,$M520,BD$13))))</f>
        <v>1000000000000</v>
      </c>
      <c r="BE520" s="182">
        <f ca="1">IF($D520&lt;&gt;"Serviço",0,IF(OR(AND(AUTOEVENTO="Manual",$M520=1),$M520&gt;(ROW(PLE.lastrow)-ROW(PLE.firstrow))),0,IF(OFFSET(PLE!$G$14,$M520,BE$13)="",10^12,OFFSET(PLE!$G$14,$M520,BE$13))))</f>
        <v>1000000000000</v>
      </c>
      <c r="BF520" s="182">
        <f ca="1">IF($D520&lt;&gt;"Serviço",0,IF(OR(AND(AUTOEVENTO="Manual",$M520=1),$M520&gt;(ROW(PLE.lastrow)-ROW(PLE.firstrow))),0,IF(OFFSET(PLE!$G$14,$M520,BF$13)="",10^12,OFFSET(PLE!$G$14,$M520,BF$13))))</f>
        <v>1000000000000</v>
      </c>
      <c r="BG520" s="182">
        <f ca="1">IF($D520&lt;&gt;"Serviço",0,IF(OR(AND(AUTOEVENTO="Manual",$M520=1),$M520&gt;(ROW(PLE.lastrow)-ROW(PLE.firstrow))),0,IF(OFFSET(PLE!$G$14,$M520,BG$13)="",10^12,OFFSET(PLE!$G$14,$M520,BG$13))))</f>
        <v>1000000000000</v>
      </c>
    </row>
    <row r="521" spans="1:59" ht="38.25" x14ac:dyDescent="0.2">
      <c r="A521" s="7" t="str">
        <f t="shared" ca="1" si="11"/>
        <v>472</v>
      </c>
      <c r="B521" s="7" t="str">
        <f ca="1">OFFSET(ORÇAMENTO!C$15,ROW(B521)-ROW(B$15),0)</f>
        <v>S</v>
      </c>
      <c r="C521" s="7" t="str">
        <f ca="1">OFFSET(ORÇAMENTO!L$15,ROW(C521)-ROW(C$15),0)</f>
        <v/>
      </c>
      <c r="D521" s="118" t="str">
        <f ca="1">OFFSET(ORÇAMENTO!N$15,ROW(D521)-ROW(D$15),0)</f>
        <v>Serviço</v>
      </c>
      <c r="E521" s="119" t="str">
        <f ca="1">OFFSET(ORÇAMENTO!O$15,ROW(E521)-ROW(E$15),0)</f>
        <v>-</v>
      </c>
      <c r="F521" s="172" t="str">
        <f ca="1">OFFSET(ORÇAMENTO!R$15,ROW(F521)-ROW(F$15),0)</f>
        <v>(abra o arquivo 'Referência 02-2025.xlsm)</v>
      </c>
      <c r="G521" s="173" t="str">
        <f ca="1">IF($D521&lt;&gt;"Serviço","",OFFSET(ORÇAMENTO!S$15,ROW(G521)-ROW(G$15),0))</f>
        <v>-</v>
      </c>
      <c r="H521" s="124">
        <f ca="1">IF($D521&lt;&gt;"Serviço",0,IF(ACOMPANHAMENTO="BM",ROUND(OFFSET(ORÇAMENTO!AJ$15,ROW(H521)-ROW(H$15),0),15-13*ORÇAMENTO!$AF$7),SUMPRODUCT(($Q$12:$AA$12&lt;&gt;"")*ROUND($Q521:$AA521,15-13*ORÇAMENTO!$AF$7))))</f>
        <v>83.5</v>
      </c>
      <c r="I521" s="561" t="s">
        <v>890</v>
      </c>
      <c r="K521" s="174"/>
      <c r="L521" s="175" t="s">
        <v>255</v>
      </c>
      <c r="M521" s="176">
        <f ca="1">IF($D521&lt;&gt;"Serviço","",IF(AUTOEVENTO="manual",$A521,IF(ISERROR(MATCH($A521,$A$15:OFFSET($A521,-1,0),0)),MAX($M$15:OFFSET(M521,-1,0))+1,INDEX($M$15:OFFSET(M521,-1,0),MATCH($A521,$A$15:OFFSET($A521,-1,0),0)))))</f>
        <v>18</v>
      </c>
      <c r="N521" s="177" t="str">
        <f ca="1">IF($D521&lt;&gt;"Serviço","",IF(AUTOEVENTO="Manual",IF($A521=0,"&lt;-- defina o número do agrupador",OFFSET(EVENTOS!$D$14,$A521,0)),OFFSET($F$15,$A521,0)))</f>
        <v>INSTALAÇÕES ELÉTRICAS - 220V</v>
      </c>
      <c r="O521" s="178"/>
      <c r="Q521" s="178"/>
      <c r="R521" s="179"/>
      <c r="S521" s="179"/>
      <c r="T521" s="179"/>
      <c r="U521" s="179"/>
      <c r="V521" s="179"/>
      <c r="W521" s="179"/>
      <c r="X521" s="179"/>
      <c r="Y521" s="179"/>
      <c r="Z521" s="180"/>
      <c r="AB521" s="544">
        <f ca="1">IF(AND($D521="Serviço",AB$12&lt;&gt;0,$H521&gt;0,OR(AUTOEVENTO&lt;&gt;"manual",$M521&lt;&gt;1)),
IF(Import.TipoArredondamento&lt;&gt;"TransfereGOV",
ROUND(OFFSET($P521,0,AB$13),15-13*ORÇAMENTO!$AF$7)/$H521*OFFSET(ORÇAMENTO!$X$15,ROW(AB521)-ROW(AB$15),0),
ROUND(ROUND(OFFSET($P521,0,AB$13),15-13*ORÇAMENTO!$AF$7)*OFFSET(ORÇAMENTO!$W$15,ROW(AB521)-ROW(AB$15),0),15-13*ORÇAMENTO!$AF$11)),0)</f>
        <v>0</v>
      </c>
      <c r="AC521" s="545">
        <f ca="1">IF(AND($D521="Serviço",AC$12&lt;&gt;0,$H521&gt;0,OR(AUTOEVENTO&lt;&gt;"manual",$M521&lt;&gt;1)),
IF(Import.TipoArredondamento&lt;&gt;"TransfereGOV",
ROUND(OFFSET($P521,0,AC$13),15-13*ORÇAMENTO!$AF$7)/$H521*OFFSET(ORÇAMENTO!$X$15,ROW(AC521)-ROW(AC$15),0),
ROUND(ROUND(OFFSET($P521,0,AC$13),15-13*ORÇAMENTO!$AF$7)*OFFSET(ORÇAMENTO!$W$15,ROW(AC521)-ROW(AC$15),0),15-13*ORÇAMENTO!$AF$11)),0)</f>
        <v>0</v>
      </c>
      <c r="AD521" s="545">
        <f ca="1">IF(AND($D521="Serviço",AD$12&lt;&gt;0,$H521&gt;0,OR(AUTOEVENTO&lt;&gt;"manual",$M521&lt;&gt;1)),
IF(Import.TipoArredondamento&lt;&gt;"TransfereGOV",
ROUND(OFFSET($P521,0,AD$13),15-13*ORÇAMENTO!$AF$7)/$H521*OFFSET(ORÇAMENTO!$X$15,ROW(AD521)-ROW(AD$15),0),
ROUND(ROUND(OFFSET($P521,0,AD$13),15-13*ORÇAMENTO!$AF$7)*OFFSET(ORÇAMENTO!$W$15,ROW(AD521)-ROW(AD$15),0),15-13*ORÇAMENTO!$AF$11)),0)</f>
        <v>0</v>
      </c>
      <c r="AE521" s="545">
        <f ca="1">IF(AND($D521="Serviço",AE$12&lt;&gt;0,$H521&gt;0,OR(AUTOEVENTO&lt;&gt;"manual",$M521&lt;&gt;1)),
IF(Import.TipoArredondamento&lt;&gt;"TransfereGOV",
ROUND(OFFSET($P521,0,AE$13),15-13*ORÇAMENTO!$AF$7)/$H521*OFFSET(ORÇAMENTO!$X$15,ROW(AE521)-ROW(AE$15),0),
ROUND(ROUND(OFFSET($P521,0,AE$13),15-13*ORÇAMENTO!$AF$7)*OFFSET(ORÇAMENTO!$W$15,ROW(AE521)-ROW(AE$15),0),15-13*ORÇAMENTO!$AF$11)),0)</f>
        <v>0</v>
      </c>
      <c r="AF521" s="545">
        <f ca="1">IF(AND($D521="Serviço",AF$12&lt;&gt;0,$H521&gt;0,OR(AUTOEVENTO&lt;&gt;"manual",$M521&lt;&gt;1)),
IF(Import.TipoArredondamento&lt;&gt;"TransfereGOV",
ROUND(OFFSET($P521,0,AF$13),15-13*ORÇAMENTO!$AF$7)/$H521*OFFSET(ORÇAMENTO!$X$15,ROW(AF521)-ROW(AF$15),0),
ROUND(ROUND(OFFSET($P521,0,AF$13),15-13*ORÇAMENTO!$AF$7)*OFFSET(ORÇAMENTO!$W$15,ROW(AF521)-ROW(AF$15),0),15-13*ORÇAMENTO!$AF$11)),0)</f>
        <v>0</v>
      </c>
      <c r="AG521" s="545">
        <f ca="1">IF(AND($D521="Serviço",AG$12&lt;&gt;0,$H521&gt;0,OR(AUTOEVENTO&lt;&gt;"manual",$M521&lt;&gt;1)),
IF(Import.TipoArredondamento&lt;&gt;"TransfereGOV",
ROUND(OFFSET($P521,0,AG$13),15-13*ORÇAMENTO!$AF$7)/$H521*OFFSET(ORÇAMENTO!$X$15,ROW(AG521)-ROW(AG$15),0),
ROUND(ROUND(OFFSET($P521,0,AG$13),15-13*ORÇAMENTO!$AF$7)*OFFSET(ORÇAMENTO!$W$15,ROW(AG521)-ROW(AG$15),0),15-13*ORÇAMENTO!$AF$11)),0)</f>
        <v>0</v>
      </c>
      <c r="AH521" s="545">
        <f ca="1">IF(AND($D521="Serviço",AH$12&lt;&gt;0,$H521&gt;0,OR(AUTOEVENTO&lt;&gt;"manual",$M521&lt;&gt;1)),
IF(Import.TipoArredondamento&lt;&gt;"TransfereGOV",
ROUND(OFFSET($P521,0,AH$13),15-13*ORÇAMENTO!$AF$7)/$H521*OFFSET(ORÇAMENTO!$X$15,ROW(AH521)-ROW(AH$15),0),
ROUND(ROUND(OFFSET($P521,0,AH$13),15-13*ORÇAMENTO!$AF$7)*OFFSET(ORÇAMENTO!$W$15,ROW(AH521)-ROW(AH$15),0),15-13*ORÇAMENTO!$AF$11)),0)</f>
        <v>0</v>
      </c>
      <c r="AI521" s="545">
        <f ca="1">IF(AND($D521="Serviço",AI$12&lt;&gt;0,$H521&gt;0,OR(AUTOEVENTO&lt;&gt;"manual",$M521&lt;&gt;1)),
IF(Import.TipoArredondamento&lt;&gt;"TransfereGOV",
ROUND(OFFSET($P521,0,AI$13),15-13*ORÇAMENTO!$AF$7)/$H521*OFFSET(ORÇAMENTO!$X$15,ROW(AI521)-ROW(AI$15),0),
ROUND(ROUND(OFFSET($P521,0,AI$13),15-13*ORÇAMENTO!$AF$7)*OFFSET(ORÇAMENTO!$W$15,ROW(AI521)-ROW(AI$15),0),15-13*ORÇAMENTO!$AF$11)),0)</f>
        <v>0</v>
      </c>
      <c r="AJ521" s="545">
        <f ca="1">IF(AND($D521="Serviço",AJ$12&lt;&gt;0,$H521&gt;0,OR(AUTOEVENTO&lt;&gt;"manual",$M521&lt;&gt;1)),
IF(Import.TipoArredondamento&lt;&gt;"TransfereGOV",
ROUND(OFFSET($P521,0,AJ$13),15-13*ORÇAMENTO!$AF$7)/$H521*OFFSET(ORÇAMENTO!$X$15,ROW(AJ521)-ROW(AJ$15),0),
ROUND(ROUND(OFFSET($P521,0,AJ$13),15-13*ORÇAMENTO!$AF$7)*OFFSET(ORÇAMENTO!$W$15,ROW(AJ521)-ROW(AJ$15),0),15-13*ORÇAMENTO!$AF$11)),0)</f>
        <v>0</v>
      </c>
      <c r="AK521" s="546">
        <f ca="1">IF(AND($D521="Serviço",AK$12&lt;&gt;0,$H521&gt;0,OR(AUTOEVENTO&lt;&gt;"manual",$M521&lt;&gt;1)),
IF(Import.TipoArredondamento&lt;&gt;"TransfereGOV",
ROUND(OFFSET($P521,0,AK$13),15-13*ORÇAMENTO!$AF$7)/$H521*OFFSET(ORÇAMENTO!$X$15,ROW(AK521)-ROW(AK$15),0),
ROUND(ROUND(OFFSET($P521,0,AK$13),15-13*ORÇAMENTO!$AF$7)*OFFSET(ORÇAMENTO!$W$15,ROW(AK521)-ROW(AK$15),0),15-13*ORÇAMENTO!$AF$11)),0)</f>
        <v>0</v>
      </c>
      <c r="AM521" s="181">
        <f ca="1">IF($D521&lt;&gt;"Serviço",0,IF(AND(AUTOEVENTO="Manual",$M521=1),0,IF(OFFSET(CRONOPLE!$F$14,$M521,AM$13)="",10^12,OFFSET(CRONOPLE!$F$14,$M521,AM$13))))</f>
        <v>1000000000000</v>
      </c>
      <c r="AN521" s="181">
        <f ca="1">IF($D521&lt;&gt;"Serviço",0,IF(AND(AUTOEVENTO="Manual",$M521=1),0,IF(OFFSET(CRONOPLE!$F$14,$M521,AN$13)="",10^12,OFFSET(CRONOPLE!$F$14,$M521,AN$13))))</f>
        <v>1000000000000</v>
      </c>
      <c r="AO521" s="181">
        <f ca="1">IF($D521&lt;&gt;"Serviço",0,IF(AND(AUTOEVENTO="Manual",$M521=1),0,IF(OFFSET(CRONOPLE!$F$14,$M521,AO$13)="",10^12,OFFSET(CRONOPLE!$F$14,$M521,AO$13))))</f>
        <v>1000000000000</v>
      </c>
      <c r="AP521" s="181">
        <f ca="1">IF($D521&lt;&gt;"Serviço",0,IF(AND(AUTOEVENTO="Manual",$M521=1),0,IF(OFFSET(CRONOPLE!$F$14,$M521,AP$13)="",10^12,OFFSET(CRONOPLE!$F$14,$M521,AP$13))))</f>
        <v>1000000000000</v>
      </c>
      <c r="AQ521" s="181">
        <f ca="1">IF($D521&lt;&gt;"Serviço",0,IF(AND(AUTOEVENTO="Manual",$M521=1),0,IF(OFFSET(CRONOPLE!$F$14,$M521,AQ$13)="",10^12,OFFSET(CRONOPLE!$F$14,$M521,AQ$13))))</f>
        <v>1000000000000</v>
      </c>
      <c r="AR521" s="181">
        <f ca="1">IF($D521&lt;&gt;"Serviço",0,IF(AND(AUTOEVENTO="Manual",$M521=1),0,IF(OFFSET(CRONOPLE!$F$14,$M521,AR$13)="",10^12,OFFSET(CRONOPLE!$F$14,$M521,AR$13))))</f>
        <v>1000000000000</v>
      </c>
      <c r="AS521" s="181">
        <f ca="1">IF($D521&lt;&gt;"Serviço",0,IF(AND(AUTOEVENTO="Manual",$M521=1),0,IF(OFFSET(CRONOPLE!$F$14,$M521,AS$13)="",10^12,OFFSET(CRONOPLE!$F$14,$M521,AS$13))))</f>
        <v>1000000000000</v>
      </c>
      <c r="AT521" s="181">
        <f ca="1">IF($D521&lt;&gt;"Serviço",0,IF(AND(AUTOEVENTO="Manual",$M521=1),0,IF(OFFSET(CRONOPLE!$F$14,$M521,AT$13)="",10^12,OFFSET(CRONOPLE!$F$14,$M521,AT$13))))</f>
        <v>1000000000000</v>
      </c>
      <c r="AU521" s="181">
        <f ca="1">IF($D521&lt;&gt;"Serviço",0,IF(AND(AUTOEVENTO="Manual",$M521=1),0,IF(OFFSET(CRONOPLE!$F$14,$M521,AU$13)="",10^12,OFFSET(CRONOPLE!$F$14,$M521,AU$13))))</f>
        <v>1000000000000</v>
      </c>
      <c r="AV521" s="181">
        <f ca="1">IF($D521&lt;&gt;"Serviço",0,IF(AND(AUTOEVENTO="Manual",$M521=1),0,IF(OFFSET(CRONOPLE!$F$14,$M521,AV$13)="",10^12,OFFSET(CRONOPLE!$F$14,$M521,AV$13))))</f>
        <v>1000000000000</v>
      </c>
      <c r="AX521" s="182">
        <f ca="1">IF($D521&lt;&gt;"Serviço",0,IF(OR(AND(AUTOEVENTO="Manual",$M521=1),$M521&gt;(ROW(PLE.lastrow)-ROW(PLE.firstrow))),0,IF(OFFSET(PLE!$G$14,$M521,AX$13)="",10^12,OFFSET(PLE!$G$14,$M521,AX$13))))</f>
        <v>1000000000000</v>
      </c>
      <c r="AY521" s="182">
        <f ca="1">IF($D521&lt;&gt;"Serviço",0,IF(OR(AND(AUTOEVENTO="Manual",$M521=1),$M521&gt;(ROW(PLE.lastrow)-ROW(PLE.firstrow))),0,IF(OFFSET(PLE!$G$14,$M521,AY$13)="",10^12,OFFSET(PLE!$G$14,$M521,AY$13))))</f>
        <v>1000000000000</v>
      </c>
      <c r="AZ521" s="182">
        <f ca="1">IF($D521&lt;&gt;"Serviço",0,IF(OR(AND(AUTOEVENTO="Manual",$M521=1),$M521&gt;(ROW(PLE.lastrow)-ROW(PLE.firstrow))),0,IF(OFFSET(PLE!$G$14,$M521,AZ$13)="",10^12,OFFSET(PLE!$G$14,$M521,AZ$13))))</f>
        <v>1000000000000</v>
      </c>
      <c r="BA521" s="182">
        <f ca="1">IF($D521&lt;&gt;"Serviço",0,IF(OR(AND(AUTOEVENTO="Manual",$M521=1),$M521&gt;(ROW(PLE.lastrow)-ROW(PLE.firstrow))),0,IF(OFFSET(PLE!$G$14,$M521,BA$13)="",10^12,OFFSET(PLE!$G$14,$M521,BA$13))))</f>
        <v>1000000000000</v>
      </c>
      <c r="BB521" s="182">
        <f ca="1">IF($D521&lt;&gt;"Serviço",0,IF(OR(AND(AUTOEVENTO="Manual",$M521=1),$M521&gt;(ROW(PLE.lastrow)-ROW(PLE.firstrow))),0,IF(OFFSET(PLE!$G$14,$M521,BB$13)="",10^12,OFFSET(PLE!$G$14,$M521,BB$13))))</f>
        <v>1000000000000</v>
      </c>
      <c r="BC521" s="182">
        <f ca="1">IF($D521&lt;&gt;"Serviço",0,IF(OR(AND(AUTOEVENTO="Manual",$M521=1),$M521&gt;(ROW(PLE.lastrow)-ROW(PLE.firstrow))),0,IF(OFFSET(PLE!$G$14,$M521,BC$13)="",10^12,OFFSET(PLE!$G$14,$M521,BC$13))))</f>
        <v>1000000000000</v>
      </c>
      <c r="BD521" s="182">
        <f ca="1">IF($D521&lt;&gt;"Serviço",0,IF(OR(AND(AUTOEVENTO="Manual",$M521=1),$M521&gt;(ROW(PLE.lastrow)-ROW(PLE.firstrow))),0,IF(OFFSET(PLE!$G$14,$M521,BD$13)="",10^12,OFFSET(PLE!$G$14,$M521,BD$13))))</f>
        <v>1000000000000</v>
      </c>
      <c r="BE521" s="182">
        <f ca="1">IF($D521&lt;&gt;"Serviço",0,IF(OR(AND(AUTOEVENTO="Manual",$M521=1),$M521&gt;(ROW(PLE.lastrow)-ROW(PLE.firstrow))),0,IF(OFFSET(PLE!$G$14,$M521,BE$13)="",10^12,OFFSET(PLE!$G$14,$M521,BE$13))))</f>
        <v>1000000000000</v>
      </c>
      <c r="BF521" s="182">
        <f ca="1">IF($D521&lt;&gt;"Serviço",0,IF(OR(AND(AUTOEVENTO="Manual",$M521=1),$M521&gt;(ROW(PLE.lastrow)-ROW(PLE.firstrow))),0,IF(OFFSET(PLE!$G$14,$M521,BF$13)="",10^12,OFFSET(PLE!$G$14,$M521,BF$13))))</f>
        <v>1000000000000</v>
      </c>
      <c r="BG521" s="182">
        <f ca="1">IF($D521&lt;&gt;"Serviço",0,IF(OR(AND(AUTOEVENTO="Manual",$M521=1),$M521&gt;(ROW(PLE.lastrow)-ROW(PLE.firstrow))),0,IF(OFFSET(PLE!$G$14,$M521,BG$13)="",10^12,OFFSET(PLE!$G$14,$M521,BG$13))))</f>
        <v>1000000000000</v>
      </c>
    </row>
    <row r="522" spans="1:59" ht="38.25" x14ac:dyDescent="0.2">
      <c r="A522" s="7" t="str">
        <f t="shared" ca="1" si="11"/>
        <v>472</v>
      </c>
      <c r="B522" s="7" t="str">
        <f ca="1">OFFSET(ORÇAMENTO!C$15,ROW(B522)-ROW(B$15),0)</f>
        <v>S</v>
      </c>
      <c r="C522" s="7" t="str">
        <f ca="1">OFFSET(ORÇAMENTO!L$15,ROW(C522)-ROW(C$15),0)</f>
        <v/>
      </c>
      <c r="D522" s="118" t="str">
        <f ca="1">OFFSET(ORÇAMENTO!N$15,ROW(D522)-ROW(D$15),0)</f>
        <v>Serviço</v>
      </c>
      <c r="E522" s="119" t="str">
        <f ca="1">OFFSET(ORÇAMENTO!O$15,ROW(E522)-ROW(E$15),0)</f>
        <v>-</v>
      </c>
      <c r="F522" s="172" t="str">
        <f ca="1">OFFSET(ORÇAMENTO!R$15,ROW(F522)-ROW(F$15),0)</f>
        <v>(abra o arquivo 'Referência 02-2025.xlsm)</v>
      </c>
      <c r="G522" s="173" t="str">
        <f ca="1">IF($D522&lt;&gt;"Serviço","",OFFSET(ORÇAMENTO!S$15,ROW(G522)-ROW(G$15),0))</f>
        <v>-</v>
      </c>
      <c r="H522" s="124">
        <f ca="1">IF($D522&lt;&gt;"Serviço",0,IF(ACOMPANHAMENTO="BM",ROUND(OFFSET(ORÇAMENTO!AJ$15,ROW(H522)-ROW(H$15),0),15-13*ORÇAMENTO!$AF$7),SUMPRODUCT(($Q$12:$AA$12&lt;&gt;"")*ROUND($Q522:$AA522,15-13*ORÇAMENTO!$AF$7))))</f>
        <v>524.9</v>
      </c>
      <c r="I522" s="561" t="s">
        <v>890</v>
      </c>
      <c r="K522" s="174"/>
      <c r="L522" s="175" t="s">
        <v>255</v>
      </c>
      <c r="M522" s="176">
        <f ca="1">IF($D522&lt;&gt;"Serviço","",IF(AUTOEVENTO="manual",$A522,IF(ISERROR(MATCH($A522,$A$15:OFFSET($A522,-1,0),0)),MAX($M$15:OFFSET(M522,-1,0))+1,INDEX($M$15:OFFSET(M522,-1,0),MATCH($A522,$A$15:OFFSET($A522,-1,0),0)))))</f>
        <v>18</v>
      </c>
      <c r="N522" s="177" t="str">
        <f ca="1">IF($D522&lt;&gt;"Serviço","",IF(AUTOEVENTO="Manual",IF($A522=0,"&lt;-- defina o número do agrupador",OFFSET(EVENTOS!$D$14,$A522,0)),OFFSET($F$15,$A522,0)))</f>
        <v>INSTALAÇÕES ELÉTRICAS - 220V</v>
      </c>
      <c r="O522" s="178"/>
      <c r="Q522" s="178"/>
      <c r="R522" s="179"/>
      <c r="S522" s="179"/>
      <c r="T522" s="179"/>
      <c r="U522" s="179"/>
      <c r="V522" s="179"/>
      <c r="W522" s="179"/>
      <c r="X522" s="179"/>
      <c r="Y522" s="179"/>
      <c r="Z522" s="180"/>
      <c r="AB522" s="544">
        <f ca="1">IF(AND($D522="Serviço",AB$12&lt;&gt;0,$H522&gt;0,OR(AUTOEVENTO&lt;&gt;"manual",$M522&lt;&gt;1)),
IF(Import.TipoArredondamento&lt;&gt;"TransfereGOV",
ROUND(OFFSET($P522,0,AB$13),15-13*ORÇAMENTO!$AF$7)/$H522*OFFSET(ORÇAMENTO!$X$15,ROW(AB522)-ROW(AB$15),0),
ROUND(ROUND(OFFSET($P522,0,AB$13),15-13*ORÇAMENTO!$AF$7)*OFFSET(ORÇAMENTO!$W$15,ROW(AB522)-ROW(AB$15),0),15-13*ORÇAMENTO!$AF$11)),0)</f>
        <v>0</v>
      </c>
      <c r="AC522" s="545">
        <f ca="1">IF(AND($D522="Serviço",AC$12&lt;&gt;0,$H522&gt;0,OR(AUTOEVENTO&lt;&gt;"manual",$M522&lt;&gt;1)),
IF(Import.TipoArredondamento&lt;&gt;"TransfereGOV",
ROUND(OFFSET($P522,0,AC$13),15-13*ORÇAMENTO!$AF$7)/$H522*OFFSET(ORÇAMENTO!$X$15,ROW(AC522)-ROW(AC$15),0),
ROUND(ROUND(OFFSET($P522,0,AC$13),15-13*ORÇAMENTO!$AF$7)*OFFSET(ORÇAMENTO!$W$15,ROW(AC522)-ROW(AC$15),0),15-13*ORÇAMENTO!$AF$11)),0)</f>
        <v>0</v>
      </c>
      <c r="AD522" s="545">
        <f ca="1">IF(AND($D522="Serviço",AD$12&lt;&gt;0,$H522&gt;0,OR(AUTOEVENTO&lt;&gt;"manual",$M522&lt;&gt;1)),
IF(Import.TipoArredondamento&lt;&gt;"TransfereGOV",
ROUND(OFFSET($P522,0,AD$13),15-13*ORÇAMENTO!$AF$7)/$H522*OFFSET(ORÇAMENTO!$X$15,ROW(AD522)-ROW(AD$15),0),
ROUND(ROUND(OFFSET($P522,0,AD$13),15-13*ORÇAMENTO!$AF$7)*OFFSET(ORÇAMENTO!$W$15,ROW(AD522)-ROW(AD$15),0),15-13*ORÇAMENTO!$AF$11)),0)</f>
        <v>0</v>
      </c>
      <c r="AE522" s="545">
        <f ca="1">IF(AND($D522="Serviço",AE$12&lt;&gt;0,$H522&gt;0,OR(AUTOEVENTO&lt;&gt;"manual",$M522&lt;&gt;1)),
IF(Import.TipoArredondamento&lt;&gt;"TransfereGOV",
ROUND(OFFSET($P522,0,AE$13),15-13*ORÇAMENTO!$AF$7)/$H522*OFFSET(ORÇAMENTO!$X$15,ROW(AE522)-ROW(AE$15),0),
ROUND(ROUND(OFFSET($P522,0,AE$13),15-13*ORÇAMENTO!$AF$7)*OFFSET(ORÇAMENTO!$W$15,ROW(AE522)-ROW(AE$15),0),15-13*ORÇAMENTO!$AF$11)),0)</f>
        <v>0</v>
      </c>
      <c r="AF522" s="545">
        <f ca="1">IF(AND($D522="Serviço",AF$12&lt;&gt;0,$H522&gt;0,OR(AUTOEVENTO&lt;&gt;"manual",$M522&lt;&gt;1)),
IF(Import.TipoArredondamento&lt;&gt;"TransfereGOV",
ROUND(OFFSET($P522,0,AF$13),15-13*ORÇAMENTO!$AF$7)/$H522*OFFSET(ORÇAMENTO!$X$15,ROW(AF522)-ROW(AF$15),0),
ROUND(ROUND(OFFSET($P522,0,AF$13),15-13*ORÇAMENTO!$AF$7)*OFFSET(ORÇAMENTO!$W$15,ROW(AF522)-ROW(AF$15),0),15-13*ORÇAMENTO!$AF$11)),0)</f>
        <v>0</v>
      </c>
      <c r="AG522" s="545">
        <f ca="1">IF(AND($D522="Serviço",AG$12&lt;&gt;0,$H522&gt;0,OR(AUTOEVENTO&lt;&gt;"manual",$M522&lt;&gt;1)),
IF(Import.TipoArredondamento&lt;&gt;"TransfereGOV",
ROUND(OFFSET($P522,0,AG$13),15-13*ORÇAMENTO!$AF$7)/$H522*OFFSET(ORÇAMENTO!$X$15,ROW(AG522)-ROW(AG$15),0),
ROUND(ROUND(OFFSET($P522,0,AG$13),15-13*ORÇAMENTO!$AF$7)*OFFSET(ORÇAMENTO!$W$15,ROW(AG522)-ROW(AG$15),0),15-13*ORÇAMENTO!$AF$11)),0)</f>
        <v>0</v>
      </c>
      <c r="AH522" s="545">
        <f ca="1">IF(AND($D522="Serviço",AH$12&lt;&gt;0,$H522&gt;0,OR(AUTOEVENTO&lt;&gt;"manual",$M522&lt;&gt;1)),
IF(Import.TipoArredondamento&lt;&gt;"TransfereGOV",
ROUND(OFFSET($P522,0,AH$13),15-13*ORÇAMENTO!$AF$7)/$H522*OFFSET(ORÇAMENTO!$X$15,ROW(AH522)-ROW(AH$15),0),
ROUND(ROUND(OFFSET($P522,0,AH$13),15-13*ORÇAMENTO!$AF$7)*OFFSET(ORÇAMENTO!$W$15,ROW(AH522)-ROW(AH$15),0),15-13*ORÇAMENTO!$AF$11)),0)</f>
        <v>0</v>
      </c>
      <c r="AI522" s="545">
        <f ca="1">IF(AND($D522="Serviço",AI$12&lt;&gt;0,$H522&gt;0,OR(AUTOEVENTO&lt;&gt;"manual",$M522&lt;&gt;1)),
IF(Import.TipoArredondamento&lt;&gt;"TransfereGOV",
ROUND(OFFSET($P522,0,AI$13),15-13*ORÇAMENTO!$AF$7)/$H522*OFFSET(ORÇAMENTO!$X$15,ROW(AI522)-ROW(AI$15),0),
ROUND(ROUND(OFFSET($P522,0,AI$13),15-13*ORÇAMENTO!$AF$7)*OFFSET(ORÇAMENTO!$W$15,ROW(AI522)-ROW(AI$15),0),15-13*ORÇAMENTO!$AF$11)),0)</f>
        <v>0</v>
      </c>
      <c r="AJ522" s="545">
        <f ca="1">IF(AND($D522="Serviço",AJ$12&lt;&gt;0,$H522&gt;0,OR(AUTOEVENTO&lt;&gt;"manual",$M522&lt;&gt;1)),
IF(Import.TipoArredondamento&lt;&gt;"TransfereGOV",
ROUND(OFFSET($P522,0,AJ$13),15-13*ORÇAMENTO!$AF$7)/$H522*OFFSET(ORÇAMENTO!$X$15,ROW(AJ522)-ROW(AJ$15),0),
ROUND(ROUND(OFFSET($P522,0,AJ$13),15-13*ORÇAMENTO!$AF$7)*OFFSET(ORÇAMENTO!$W$15,ROW(AJ522)-ROW(AJ$15),0),15-13*ORÇAMENTO!$AF$11)),0)</f>
        <v>0</v>
      </c>
      <c r="AK522" s="546">
        <f ca="1">IF(AND($D522="Serviço",AK$12&lt;&gt;0,$H522&gt;0,OR(AUTOEVENTO&lt;&gt;"manual",$M522&lt;&gt;1)),
IF(Import.TipoArredondamento&lt;&gt;"TransfereGOV",
ROUND(OFFSET($P522,0,AK$13),15-13*ORÇAMENTO!$AF$7)/$H522*OFFSET(ORÇAMENTO!$X$15,ROW(AK522)-ROW(AK$15),0),
ROUND(ROUND(OFFSET($P522,0,AK$13),15-13*ORÇAMENTO!$AF$7)*OFFSET(ORÇAMENTO!$W$15,ROW(AK522)-ROW(AK$15),0),15-13*ORÇAMENTO!$AF$11)),0)</f>
        <v>0</v>
      </c>
      <c r="AM522" s="181">
        <f ca="1">IF($D522&lt;&gt;"Serviço",0,IF(AND(AUTOEVENTO="Manual",$M522=1),0,IF(OFFSET(CRONOPLE!$F$14,$M522,AM$13)="",10^12,OFFSET(CRONOPLE!$F$14,$M522,AM$13))))</f>
        <v>1000000000000</v>
      </c>
      <c r="AN522" s="181">
        <f ca="1">IF($D522&lt;&gt;"Serviço",0,IF(AND(AUTOEVENTO="Manual",$M522=1),0,IF(OFFSET(CRONOPLE!$F$14,$M522,AN$13)="",10^12,OFFSET(CRONOPLE!$F$14,$M522,AN$13))))</f>
        <v>1000000000000</v>
      </c>
      <c r="AO522" s="181">
        <f ca="1">IF($D522&lt;&gt;"Serviço",0,IF(AND(AUTOEVENTO="Manual",$M522=1),0,IF(OFFSET(CRONOPLE!$F$14,$M522,AO$13)="",10^12,OFFSET(CRONOPLE!$F$14,$M522,AO$13))))</f>
        <v>1000000000000</v>
      </c>
      <c r="AP522" s="181">
        <f ca="1">IF($D522&lt;&gt;"Serviço",0,IF(AND(AUTOEVENTO="Manual",$M522=1),0,IF(OFFSET(CRONOPLE!$F$14,$M522,AP$13)="",10^12,OFFSET(CRONOPLE!$F$14,$M522,AP$13))))</f>
        <v>1000000000000</v>
      </c>
      <c r="AQ522" s="181">
        <f ca="1">IF($D522&lt;&gt;"Serviço",0,IF(AND(AUTOEVENTO="Manual",$M522=1),0,IF(OFFSET(CRONOPLE!$F$14,$M522,AQ$13)="",10^12,OFFSET(CRONOPLE!$F$14,$M522,AQ$13))))</f>
        <v>1000000000000</v>
      </c>
      <c r="AR522" s="181">
        <f ca="1">IF($D522&lt;&gt;"Serviço",0,IF(AND(AUTOEVENTO="Manual",$M522=1),0,IF(OFFSET(CRONOPLE!$F$14,$M522,AR$13)="",10^12,OFFSET(CRONOPLE!$F$14,$M522,AR$13))))</f>
        <v>1000000000000</v>
      </c>
      <c r="AS522" s="181">
        <f ca="1">IF($D522&lt;&gt;"Serviço",0,IF(AND(AUTOEVENTO="Manual",$M522=1),0,IF(OFFSET(CRONOPLE!$F$14,$M522,AS$13)="",10^12,OFFSET(CRONOPLE!$F$14,$M522,AS$13))))</f>
        <v>1000000000000</v>
      </c>
      <c r="AT522" s="181">
        <f ca="1">IF($D522&lt;&gt;"Serviço",0,IF(AND(AUTOEVENTO="Manual",$M522=1),0,IF(OFFSET(CRONOPLE!$F$14,$M522,AT$13)="",10^12,OFFSET(CRONOPLE!$F$14,$M522,AT$13))))</f>
        <v>1000000000000</v>
      </c>
      <c r="AU522" s="181">
        <f ca="1">IF($D522&lt;&gt;"Serviço",0,IF(AND(AUTOEVENTO="Manual",$M522=1),0,IF(OFFSET(CRONOPLE!$F$14,$M522,AU$13)="",10^12,OFFSET(CRONOPLE!$F$14,$M522,AU$13))))</f>
        <v>1000000000000</v>
      </c>
      <c r="AV522" s="181">
        <f ca="1">IF($D522&lt;&gt;"Serviço",0,IF(AND(AUTOEVENTO="Manual",$M522=1),0,IF(OFFSET(CRONOPLE!$F$14,$M522,AV$13)="",10^12,OFFSET(CRONOPLE!$F$14,$M522,AV$13))))</f>
        <v>1000000000000</v>
      </c>
      <c r="AX522" s="182">
        <f ca="1">IF($D522&lt;&gt;"Serviço",0,IF(OR(AND(AUTOEVENTO="Manual",$M522=1),$M522&gt;(ROW(PLE.lastrow)-ROW(PLE.firstrow))),0,IF(OFFSET(PLE!$G$14,$M522,AX$13)="",10^12,OFFSET(PLE!$G$14,$M522,AX$13))))</f>
        <v>1000000000000</v>
      </c>
      <c r="AY522" s="182">
        <f ca="1">IF($D522&lt;&gt;"Serviço",0,IF(OR(AND(AUTOEVENTO="Manual",$M522=1),$M522&gt;(ROW(PLE.lastrow)-ROW(PLE.firstrow))),0,IF(OFFSET(PLE!$G$14,$M522,AY$13)="",10^12,OFFSET(PLE!$G$14,$M522,AY$13))))</f>
        <v>1000000000000</v>
      </c>
      <c r="AZ522" s="182">
        <f ca="1">IF($D522&lt;&gt;"Serviço",0,IF(OR(AND(AUTOEVENTO="Manual",$M522=1),$M522&gt;(ROW(PLE.lastrow)-ROW(PLE.firstrow))),0,IF(OFFSET(PLE!$G$14,$M522,AZ$13)="",10^12,OFFSET(PLE!$G$14,$M522,AZ$13))))</f>
        <v>1000000000000</v>
      </c>
      <c r="BA522" s="182">
        <f ca="1">IF($D522&lt;&gt;"Serviço",0,IF(OR(AND(AUTOEVENTO="Manual",$M522=1),$M522&gt;(ROW(PLE.lastrow)-ROW(PLE.firstrow))),0,IF(OFFSET(PLE!$G$14,$M522,BA$13)="",10^12,OFFSET(PLE!$G$14,$M522,BA$13))))</f>
        <v>1000000000000</v>
      </c>
      <c r="BB522" s="182">
        <f ca="1">IF($D522&lt;&gt;"Serviço",0,IF(OR(AND(AUTOEVENTO="Manual",$M522=1),$M522&gt;(ROW(PLE.lastrow)-ROW(PLE.firstrow))),0,IF(OFFSET(PLE!$G$14,$M522,BB$13)="",10^12,OFFSET(PLE!$G$14,$M522,BB$13))))</f>
        <v>1000000000000</v>
      </c>
      <c r="BC522" s="182">
        <f ca="1">IF($D522&lt;&gt;"Serviço",0,IF(OR(AND(AUTOEVENTO="Manual",$M522=1),$M522&gt;(ROW(PLE.lastrow)-ROW(PLE.firstrow))),0,IF(OFFSET(PLE!$G$14,$M522,BC$13)="",10^12,OFFSET(PLE!$G$14,$M522,BC$13))))</f>
        <v>1000000000000</v>
      </c>
      <c r="BD522" s="182">
        <f ca="1">IF($D522&lt;&gt;"Serviço",0,IF(OR(AND(AUTOEVENTO="Manual",$M522=1),$M522&gt;(ROW(PLE.lastrow)-ROW(PLE.firstrow))),0,IF(OFFSET(PLE!$G$14,$M522,BD$13)="",10^12,OFFSET(PLE!$G$14,$M522,BD$13))))</f>
        <v>1000000000000</v>
      </c>
      <c r="BE522" s="182">
        <f ca="1">IF($D522&lt;&gt;"Serviço",0,IF(OR(AND(AUTOEVENTO="Manual",$M522=1),$M522&gt;(ROW(PLE.lastrow)-ROW(PLE.firstrow))),0,IF(OFFSET(PLE!$G$14,$M522,BE$13)="",10^12,OFFSET(PLE!$G$14,$M522,BE$13))))</f>
        <v>1000000000000</v>
      </c>
      <c r="BF522" s="182">
        <f ca="1">IF($D522&lt;&gt;"Serviço",0,IF(OR(AND(AUTOEVENTO="Manual",$M522=1),$M522&gt;(ROW(PLE.lastrow)-ROW(PLE.firstrow))),0,IF(OFFSET(PLE!$G$14,$M522,BF$13)="",10^12,OFFSET(PLE!$G$14,$M522,BF$13))))</f>
        <v>1000000000000</v>
      </c>
      <c r="BG522" s="182">
        <f ca="1">IF($D522&lt;&gt;"Serviço",0,IF(OR(AND(AUTOEVENTO="Manual",$M522=1),$M522&gt;(ROW(PLE.lastrow)-ROW(PLE.firstrow))),0,IF(OFFSET(PLE!$G$14,$M522,BG$13)="",10^12,OFFSET(PLE!$G$14,$M522,BG$13))))</f>
        <v>1000000000000</v>
      </c>
    </row>
    <row r="523" spans="1:59" ht="38.25" x14ac:dyDescent="0.2">
      <c r="A523" s="7" t="str">
        <f t="shared" ref="A523:A583" ca="1" si="15">IF(AUTOEVENTO="Manual",IF(K523&lt;&gt;"",MIN(VALUE(LEFT(K523,FIND(".",K523)-1)),COUNTA(EVENTOS.Lista)),0),IF(OR($B523&gt;AUTOEVENTO,$B523="S",$B523=0),SUBSTITUTE(OFFSET($A523,-1,0),IF($D523="Serviço",".",""),""),ROW(A523)-ROW($A$15)&amp;"."))</f>
        <v>472</v>
      </c>
      <c r="B523" s="7" t="str">
        <f ca="1">OFFSET(ORÇAMENTO!C$15,ROW(B523)-ROW(B$15),0)</f>
        <v>S</v>
      </c>
      <c r="C523" s="7" t="str">
        <f ca="1">OFFSET(ORÇAMENTO!L$15,ROW(C523)-ROW(C$15),0)</f>
        <v/>
      </c>
      <c r="D523" s="118" t="str">
        <f ca="1">OFFSET(ORÇAMENTO!N$15,ROW(D523)-ROW(D$15),0)</f>
        <v>Serviço</v>
      </c>
      <c r="E523" s="119" t="str">
        <f ca="1">OFFSET(ORÇAMENTO!O$15,ROW(E523)-ROW(E$15),0)</f>
        <v>-</v>
      </c>
      <c r="F523" s="172" t="str">
        <f ca="1">OFFSET(ORÇAMENTO!R$15,ROW(F523)-ROW(F$15),0)</f>
        <v>(abra o arquivo 'Referência 02-2025.xlsm)</v>
      </c>
      <c r="G523" s="173" t="str">
        <f ca="1">IF($D523&lt;&gt;"Serviço","",OFFSET(ORÇAMENTO!S$15,ROW(G523)-ROW(G$15),0))</f>
        <v>-</v>
      </c>
      <c r="H523" s="124">
        <f ca="1">IF($D523&lt;&gt;"Serviço",0,IF(ACOMPANHAMENTO="BM",ROUND(OFFSET(ORÇAMENTO!AJ$15,ROW(H523)-ROW(H$15),0),15-13*ORÇAMENTO!$AF$7),SUMPRODUCT(($Q$12:$AA$12&lt;&gt;"")*ROUND($Q523:$AA523,15-13*ORÇAMENTO!$AF$7))))</f>
        <v>129</v>
      </c>
      <c r="I523" s="561" t="s">
        <v>890</v>
      </c>
      <c r="K523" s="174"/>
      <c r="L523" s="175" t="s">
        <v>255</v>
      </c>
      <c r="M523" s="176">
        <f ca="1">IF($D523&lt;&gt;"Serviço","",IF(AUTOEVENTO="manual",$A523,IF(ISERROR(MATCH($A523,$A$15:OFFSET($A523,-1,0),0)),MAX($M$15:OFFSET(M523,-1,0))+1,INDEX($M$15:OFFSET(M523,-1,0),MATCH($A523,$A$15:OFFSET($A523,-1,0),0)))))</f>
        <v>18</v>
      </c>
      <c r="N523" s="177" t="str">
        <f ca="1">IF($D523&lt;&gt;"Serviço","",IF(AUTOEVENTO="Manual",IF($A523=0,"&lt;-- defina o número do agrupador",OFFSET(EVENTOS!$D$14,$A523,0)),OFFSET($F$15,$A523,0)))</f>
        <v>INSTALAÇÕES ELÉTRICAS - 220V</v>
      </c>
      <c r="O523" s="178"/>
      <c r="Q523" s="178"/>
      <c r="R523" s="179"/>
      <c r="S523" s="179"/>
      <c r="T523" s="179"/>
      <c r="U523" s="179"/>
      <c r="V523" s="179"/>
      <c r="W523" s="179"/>
      <c r="X523" s="179"/>
      <c r="Y523" s="179"/>
      <c r="Z523" s="180"/>
      <c r="AB523" s="544">
        <f ca="1">IF(AND($D523="Serviço",AB$12&lt;&gt;0,$H523&gt;0,OR(AUTOEVENTO&lt;&gt;"manual",$M523&lt;&gt;1)),
IF(Import.TipoArredondamento&lt;&gt;"TransfereGOV",
ROUND(OFFSET($P523,0,AB$13),15-13*ORÇAMENTO!$AF$7)/$H523*OFFSET(ORÇAMENTO!$X$15,ROW(AB523)-ROW(AB$15),0),
ROUND(ROUND(OFFSET($P523,0,AB$13),15-13*ORÇAMENTO!$AF$7)*OFFSET(ORÇAMENTO!$W$15,ROW(AB523)-ROW(AB$15),0),15-13*ORÇAMENTO!$AF$11)),0)</f>
        <v>0</v>
      </c>
      <c r="AC523" s="545">
        <f ca="1">IF(AND($D523="Serviço",AC$12&lt;&gt;0,$H523&gt;0,OR(AUTOEVENTO&lt;&gt;"manual",$M523&lt;&gt;1)),
IF(Import.TipoArredondamento&lt;&gt;"TransfereGOV",
ROUND(OFFSET($P523,0,AC$13),15-13*ORÇAMENTO!$AF$7)/$H523*OFFSET(ORÇAMENTO!$X$15,ROW(AC523)-ROW(AC$15),0),
ROUND(ROUND(OFFSET($P523,0,AC$13),15-13*ORÇAMENTO!$AF$7)*OFFSET(ORÇAMENTO!$W$15,ROW(AC523)-ROW(AC$15),0),15-13*ORÇAMENTO!$AF$11)),0)</f>
        <v>0</v>
      </c>
      <c r="AD523" s="545">
        <f ca="1">IF(AND($D523="Serviço",AD$12&lt;&gt;0,$H523&gt;0,OR(AUTOEVENTO&lt;&gt;"manual",$M523&lt;&gt;1)),
IF(Import.TipoArredondamento&lt;&gt;"TransfereGOV",
ROUND(OFFSET($P523,0,AD$13),15-13*ORÇAMENTO!$AF$7)/$H523*OFFSET(ORÇAMENTO!$X$15,ROW(AD523)-ROW(AD$15),0),
ROUND(ROUND(OFFSET($P523,0,AD$13),15-13*ORÇAMENTO!$AF$7)*OFFSET(ORÇAMENTO!$W$15,ROW(AD523)-ROW(AD$15),0),15-13*ORÇAMENTO!$AF$11)),0)</f>
        <v>0</v>
      </c>
      <c r="AE523" s="545">
        <f ca="1">IF(AND($D523="Serviço",AE$12&lt;&gt;0,$H523&gt;0,OR(AUTOEVENTO&lt;&gt;"manual",$M523&lt;&gt;1)),
IF(Import.TipoArredondamento&lt;&gt;"TransfereGOV",
ROUND(OFFSET($P523,0,AE$13),15-13*ORÇAMENTO!$AF$7)/$H523*OFFSET(ORÇAMENTO!$X$15,ROW(AE523)-ROW(AE$15),0),
ROUND(ROUND(OFFSET($P523,0,AE$13),15-13*ORÇAMENTO!$AF$7)*OFFSET(ORÇAMENTO!$W$15,ROW(AE523)-ROW(AE$15),0),15-13*ORÇAMENTO!$AF$11)),0)</f>
        <v>0</v>
      </c>
      <c r="AF523" s="545">
        <f ca="1">IF(AND($D523="Serviço",AF$12&lt;&gt;0,$H523&gt;0,OR(AUTOEVENTO&lt;&gt;"manual",$M523&lt;&gt;1)),
IF(Import.TipoArredondamento&lt;&gt;"TransfereGOV",
ROUND(OFFSET($P523,0,AF$13),15-13*ORÇAMENTO!$AF$7)/$H523*OFFSET(ORÇAMENTO!$X$15,ROW(AF523)-ROW(AF$15),0),
ROUND(ROUND(OFFSET($P523,0,AF$13),15-13*ORÇAMENTO!$AF$7)*OFFSET(ORÇAMENTO!$W$15,ROW(AF523)-ROW(AF$15),0),15-13*ORÇAMENTO!$AF$11)),0)</f>
        <v>0</v>
      </c>
      <c r="AG523" s="545">
        <f ca="1">IF(AND($D523="Serviço",AG$12&lt;&gt;0,$H523&gt;0,OR(AUTOEVENTO&lt;&gt;"manual",$M523&lt;&gt;1)),
IF(Import.TipoArredondamento&lt;&gt;"TransfereGOV",
ROUND(OFFSET($P523,0,AG$13),15-13*ORÇAMENTO!$AF$7)/$H523*OFFSET(ORÇAMENTO!$X$15,ROW(AG523)-ROW(AG$15),0),
ROUND(ROUND(OFFSET($P523,0,AG$13),15-13*ORÇAMENTO!$AF$7)*OFFSET(ORÇAMENTO!$W$15,ROW(AG523)-ROW(AG$15),0),15-13*ORÇAMENTO!$AF$11)),0)</f>
        <v>0</v>
      </c>
      <c r="AH523" s="545">
        <f ca="1">IF(AND($D523="Serviço",AH$12&lt;&gt;0,$H523&gt;0,OR(AUTOEVENTO&lt;&gt;"manual",$M523&lt;&gt;1)),
IF(Import.TipoArredondamento&lt;&gt;"TransfereGOV",
ROUND(OFFSET($P523,0,AH$13),15-13*ORÇAMENTO!$AF$7)/$H523*OFFSET(ORÇAMENTO!$X$15,ROW(AH523)-ROW(AH$15),0),
ROUND(ROUND(OFFSET($P523,0,AH$13),15-13*ORÇAMENTO!$AF$7)*OFFSET(ORÇAMENTO!$W$15,ROW(AH523)-ROW(AH$15),0),15-13*ORÇAMENTO!$AF$11)),0)</f>
        <v>0</v>
      </c>
      <c r="AI523" s="545">
        <f ca="1">IF(AND($D523="Serviço",AI$12&lt;&gt;0,$H523&gt;0,OR(AUTOEVENTO&lt;&gt;"manual",$M523&lt;&gt;1)),
IF(Import.TipoArredondamento&lt;&gt;"TransfereGOV",
ROUND(OFFSET($P523,0,AI$13),15-13*ORÇAMENTO!$AF$7)/$H523*OFFSET(ORÇAMENTO!$X$15,ROW(AI523)-ROW(AI$15),0),
ROUND(ROUND(OFFSET($P523,0,AI$13),15-13*ORÇAMENTO!$AF$7)*OFFSET(ORÇAMENTO!$W$15,ROW(AI523)-ROW(AI$15),0),15-13*ORÇAMENTO!$AF$11)),0)</f>
        <v>0</v>
      </c>
      <c r="AJ523" s="545">
        <f ca="1">IF(AND($D523="Serviço",AJ$12&lt;&gt;0,$H523&gt;0,OR(AUTOEVENTO&lt;&gt;"manual",$M523&lt;&gt;1)),
IF(Import.TipoArredondamento&lt;&gt;"TransfereGOV",
ROUND(OFFSET($P523,0,AJ$13),15-13*ORÇAMENTO!$AF$7)/$H523*OFFSET(ORÇAMENTO!$X$15,ROW(AJ523)-ROW(AJ$15),0),
ROUND(ROUND(OFFSET($P523,0,AJ$13),15-13*ORÇAMENTO!$AF$7)*OFFSET(ORÇAMENTO!$W$15,ROW(AJ523)-ROW(AJ$15),0),15-13*ORÇAMENTO!$AF$11)),0)</f>
        <v>0</v>
      </c>
      <c r="AK523" s="546">
        <f ca="1">IF(AND($D523="Serviço",AK$12&lt;&gt;0,$H523&gt;0,OR(AUTOEVENTO&lt;&gt;"manual",$M523&lt;&gt;1)),
IF(Import.TipoArredondamento&lt;&gt;"TransfereGOV",
ROUND(OFFSET($P523,0,AK$13),15-13*ORÇAMENTO!$AF$7)/$H523*OFFSET(ORÇAMENTO!$X$15,ROW(AK523)-ROW(AK$15),0),
ROUND(ROUND(OFFSET($P523,0,AK$13),15-13*ORÇAMENTO!$AF$7)*OFFSET(ORÇAMENTO!$W$15,ROW(AK523)-ROW(AK$15),0),15-13*ORÇAMENTO!$AF$11)),0)</f>
        <v>0</v>
      </c>
      <c r="AM523" s="181">
        <f ca="1">IF($D523&lt;&gt;"Serviço",0,IF(AND(AUTOEVENTO="Manual",$M523=1),0,IF(OFFSET(CRONOPLE!$F$14,$M523,AM$13)="",10^12,OFFSET(CRONOPLE!$F$14,$M523,AM$13))))</f>
        <v>1000000000000</v>
      </c>
      <c r="AN523" s="181">
        <f ca="1">IF($D523&lt;&gt;"Serviço",0,IF(AND(AUTOEVENTO="Manual",$M523=1),0,IF(OFFSET(CRONOPLE!$F$14,$M523,AN$13)="",10^12,OFFSET(CRONOPLE!$F$14,$M523,AN$13))))</f>
        <v>1000000000000</v>
      </c>
      <c r="AO523" s="181">
        <f ca="1">IF($D523&lt;&gt;"Serviço",0,IF(AND(AUTOEVENTO="Manual",$M523=1),0,IF(OFFSET(CRONOPLE!$F$14,$M523,AO$13)="",10^12,OFFSET(CRONOPLE!$F$14,$M523,AO$13))))</f>
        <v>1000000000000</v>
      </c>
      <c r="AP523" s="181">
        <f ca="1">IF($D523&lt;&gt;"Serviço",0,IF(AND(AUTOEVENTO="Manual",$M523=1),0,IF(OFFSET(CRONOPLE!$F$14,$M523,AP$13)="",10^12,OFFSET(CRONOPLE!$F$14,$M523,AP$13))))</f>
        <v>1000000000000</v>
      </c>
      <c r="AQ523" s="181">
        <f ca="1">IF($D523&lt;&gt;"Serviço",0,IF(AND(AUTOEVENTO="Manual",$M523=1),0,IF(OFFSET(CRONOPLE!$F$14,$M523,AQ$13)="",10^12,OFFSET(CRONOPLE!$F$14,$M523,AQ$13))))</f>
        <v>1000000000000</v>
      </c>
      <c r="AR523" s="181">
        <f ca="1">IF($D523&lt;&gt;"Serviço",0,IF(AND(AUTOEVENTO="Manual",$M523=1),0,IF(OFFSET(CRONOPLE!$F$14,$M523,AR$13)="",10^12,OFFSET(CRONOPLE!$F$14,$M523,AR$13))))</f>
        <v>1000000000000</v>
      </c>
      <c r="AS523" s="181">
        <f ca="1">IF($D523&lt;&gt;"Serviço",0,IF(AND(AUTOEVENTO="Manual",$M523=1),0,IF(OFFSET(CRONOPLE!$F$14,$M523,AS$13)="",10^12,OFFSET(CRONOPLE!$F$14,$M523,AS$13))))</f>
        <v>1000000000000</v>
      </c>
      <c r="AT523" s="181">
        <f ca="1">IF($D523&lt;&gt;"Serviço",0,IF(AND(AUTOEVENTO="Manual",$M523=1),0,IF(OFFSET(CRONOPLE!$F$14,$M523,AT$13)="",10^12,OFFSET(CRONOPLE!$F$14,$M523,AT$13))))</f>
        <v>1000000000000</v>
      </c>
      <c r="AU523" s="181">
        <f ca="1">IF($D523&lt;&gt;"Serviço",0,IF(AND(AUTOEVENTO="Manual",$M523=1),0,IF(OFFSET(CRONOPLE!$F$14,$M523,AU$13)="",10^12,OFFSET(CRONOPLE!$F$14,$M523,AU$13))))</f>
        <v>1000000000000</v>
      </c>
      <c r="AV523" s="181">
        <f ca="1">IF($D523&lt;&gt;"Serviço",0,IF(AND(AUTOEVENTO="Manual",$M523=1),0,IF(OFFSET(CRONOPLE!$F$14,$M523,AV$13)="",10^12,OFFSET(CRONOPLE!$F$14,$M523,AV$13))))</f>
        <v>1000000000000</v>
      </c>
      <c r="AX523" s="182">
        <f ca="1">IF($D523&lt;&gt;"Serviço",0,IF(OR(AND(AUTOEVENTO="Manual",$M523=1),$M523&gt;(ROW(PLE.lastrow)-ROW(PLE.firstrow))),0,IF(OFFSET(PLE!$G$14,$M523,AX$13)="",10^12,OFFSET(PLE!$G$14,$M523,AX$13))))</f>
        <v>1000000000000</v>
      </c>
      <c r="AY523" s="182">
        <f ca="1">IF($D523&lt;&gt;"Serviço",0,IF(OR(AND(AUTOEVENTO="Manual",$M523=1),$M523&gt;(ROW(PLE.lastrow)-ROW(PLE.firstrow))),0,IF(OFFSET(PLE!$G$14,$M523,AY$13)="",10^12,OFFSET(PLE!$G$14,$M523,AY$13))))</f>
        <v>1000000000000</v>
      </c>
      <c r="AZ523" s="182">
        <f ca="1">IF($D523&lt;&gt;"Serviço",0,IF(OR(AND(AUTOEVENTO="Manual",$M523=1),$M523&gt;(ROW(PLE.lastrow)-ROW(PLE.firstrow))),0,IF(OFFSET(PLE!$G$14,$M523,AZ$13)="",10^12,OFFSET(PLE!$G$14,$M523,AZ$13))))</f>
        <v>1000000000000</v>
      </c>
      <c r="BA523" s="182">
        <f ca="1">IF($D523&lt;&gt;"Serviço",0,IF(OR(AND(AUTOEVENTO="Manual",$M523=1),$M523&gt;(ROW(PLE.lastrow)-ROW(PLE.firstrow))),0,IF(OFFSET(PLE!$G$14,$M523,BA$13)="",10^12,OFFSET(PLE!$G$14,$M523,BA$13))))</f>
        <v>1000000000000</v>
      </c>
      <c r="BB523" s="182">
        <f ca="1">IF($D523&lt;&gt;"Serviço",0,IF(OR(AND(AUTOEVENTO="Manual",$M523=1),$M523&gt;(ROW(PLE.lastrow)-ROW(PLE.firstrow))),0,IF(OFFSET(PLE!$G$14,$M523,BB$13)="",10^12,OFFSET(PLE!$G$14,$M523,BB$13))))</f>
        <v>1000000000000</v>
      </c>
      <c r="BC523" s="182">
        <f ca="1">IF($D523&lt;&gt;"Serviço",0,IF(OR(AND(AUTOEVENTO="Manual",$M523=1),$M523&gt;(ROW(PLE.lastrow)-ROW(PLE.firstrow))),0,IF(OFFSET(PLE!$G$14,$M523,BC$13)="",10^12,OFFSET(PLE!$G$14,$M523,BC$13))))</f>
        <v>1000000000000</v>
      </c>
      <c r="BD523" s="182">
        <f ca="1">IF($D523&lt;&gt;"Serviço",0,IF(OR(AND(AUTOEVENTO="Manual",$M523=1),$M523&gt;(ROW(PLE.lastrow)-ROW(PLE.firstrow))),0,IF(OFFSET(PLE!$G$14,$M523,BD$13)="",10^12,OFFSET(PLE!$G$14,$M523,BD$13))))</f>
        <v>1000000000000</v>
      </c>
      <c r="BE523" s="182">
        <f ca="1">IF($D523&lt;&gt;"Serviço",0,IF(OR(AND(AUTOEVENTO="Manual",$M523=1),$M523&gt;(ROW(PLE.lastrow)-ROW(PLE.firstrow))),0,IF(OFFSET(PLE!$G$14,$M523,BE$13)="",10^12,OFFSET(PLE!$G$14,$M523,BE$13))))</f>
        <v>1000000000000</v>
      </c>
      <c r="BF523" s="182">
        <f ca="1">IF($D523&lt;&gt;"Serviço",0,IF(OR(AND(AUTOEVENTO="Manual",$M523=1),$M523&gt;(ROW(PLE.lastrow)-ROW(PLE.firstrow))),0,IF(OFFSET(PLE!$G$14,$M523,BF$13)="",10^12,OFFSET(PLE!$G$14,$M523,BF$13))))</f>
        <v>1000000000000</v>
      </c>
      <c r="BG523" s="182">
        <f ca="1">IF($D523&lt;&gt;"Serviço",0,IF(OR(AND(AUTOEVENTO="Manual",$M523=1),$M523&gt;(ROW(PLE.lastrow)-ROW(PLE.firstrow))),0,IF(OFFSET(PLE!$G$14,$M523,BG$13)="",10^12,OFFSET(PLE!$G$14,$M523,BG$13))))</f>
        <v>1000000000000</v>
      </c>
    </row>
    <row r="524" spans="1:59" ht="38.25" x14ac:dyDescent="0.2">
      <c r="A524" s="7" t="str">
        <f t="shared" ca="1" si="15"/>
        <v>472</v>
      </c>
      <c r="B524" s="7" t="str">
        <f ca="1">OFFSET(ORÇAMENTO!C$15,ROW(B524)-ROW(B$15),0)</f>
        <v>S</v>
      </c>
      <c r="C524" s="7" t="str">
        <f ca="1">OFFSET(ORÇAMENTO!L$15,ROW(C524)-ROW(C$15),0)</f>
        <v/>
      </c>
      <c r="D524" s="118" t="str">
        <f ca="1">OFFSET(ORÇAMENTO!N$15,ROW(D524)-ROW(D$15),0)</f>
        <v>Serviço</v>
      </c>
      <c r="E524" s="119" t="str">
        <f ca="1">OFFSET(ORÇAMENTO!O$15,ROW(E524)-ROW(E$15),0)</f>
        <v>-</v>
      </c>
      <c r="F524" s="172" t="str">
        <f ca="1">OFFSET(ORÇAMENTO!R$15,ROW(F524)-ROW(F$15),0)</f>
        <v>(abra o arquivo 'Referência 02-2025.xlsm)</v>
      </c>
      <c r="G524" s="173" t="str">
        <f ca="1">IF($D524&lt;&gt;"Serviço","",OFFSET(ORÇAMENTO!S$15,ROW(G524)-ROW(G$15),0))</f>
        <v>-</v>
      </c>
      <c r="H524" s="124">
        <f ca="1">IF($D524&lt;&gt;"Serviço",0,IF(ACOMPANHAMENTO="BM",ROUND(OFFSET(ORÇAMENTO!AJ$15,ROW(H524)-ROW(H$15),0),15-13*ORÇAMENTO!$AF$7),SUMPRODUCT(($Q$12:$AA$12&lt;&gt;"")*ROUND($Q524:$AA524,15-13*ORÇAMENTO!$AF$7))))</f>
        <v>76.400000000000006</v>
      </c>
      <c r="I524" s="561" t="s">
        <v>890</v>
      </c>
      <c r="K524" s="174"/>
      <c r="L524" s="175" t="s">
        <v>255</v>
      </c>
      <c r="M524" s="176">
        <f ca="1">IF($D524&lt;&gt;"Serviço","",IF(AUTOEVENTO="manual",$A524,IF(ISERROR(MATCH($A524,$A$15:OFFSET($A524,-1,0),0)),MAX($M$15:OFFSET(M524,-1,0))+1,INDEX($M$15:OFFSET(M524,-1,0),MATCH($A524,$A$15:OFFSET($A524,-1,0),0)))))</f>
        <v>18</v>
      </c>
      <c r="N524" s="177" t="str">
        <f ca="1">IF($D524&lt;&gt;"Serviço","",IF(AUTOEVENTO="Manual",IF($A524=0,"&lt;-- defina o número do agrupador",OFFSET(EVENTOS!$D$14,$A524,0)),OFFSET($F$15,$A524,0)))</f>
        <v>INSTALAÇÕES ELÉTRICAS - 220V</v>
      </c>
      <c r="O524" s="178"/>
      <c r="Q524" s="178"/>
      <c r="R524" s="179"/>
      <c r="S524" s="179"/>
      <c r="T524" s="179"/>
      <c r="U524" s="179"/>
      <c r="V524" s="179"/>
      <c r="W524" s="179"/>
      <c r="X524" s="179"/>
      <c r="Y524" s="179"/>
      <c r="Z524" s="180"/>
      <c r="AB524" s="544">
        <f ca="1">IF(AND($D524="Serviço",AB$12&lt;&gt;0,$H524&gt;0,OR(AUTOEVENTO&lt;&gt;"manual",$M524&lt;&gt;1)),
IF(Import.TipoArredondamento&lt;&gt;"TransfereGOV",
ROUND(OFFSET($P524,0,AB$13),15-13*ORÇAMENTO!$AF$7)/$H524*OFFSET(ORÇAMENTO!$X$15,ROW(AB524)-ROW(AB$15),0),
ROUND(ROUND(OFFSET($P524,0,AB$13),15-13*ORÇAMENTO!$AF$7)*OFFSET(ORÇAMENTO!$W$15,ROW(AB524)-ROW(AB$15),0),15-13*ORÇAMENTO!$AF$11)),0)</f>
        <v>0</v>
      </c>
      <c r="AC524" s="545">
        <f ca="1">IF(AND($D524="Serviço",AC$12&lt;&gt;0,$H524&gt;0,OR(AUTOEVENTO&lt;&gt;"manual",$M524&lt;&gt;1)),
IF(Import.TipoArredondamento&lt;&gt;"TransfereGOV",
ROUND(OFFSET($P524,0,AC$13),15-13*ORÇAMENTO!$AF$7)/$H524*OFFSET(ORÇAMENTO!$X$15,ROW(AC524)-ROW(AC$15),0),
ROUND(ROUND(OFFSET($P524,0,AC$13),15-13*ORÇAMENTO!$AF$7)*OFFSET(ORÇAMENTO!$W$15,ROW(AC524)-ROW(AC$15),0),15-13*ORÇAMENTO!$AF$11)),0)</f>
        <v>0</v>
      </c>
      <c r="AD524" s="545">
        <f ca="1">IF(AND($D524="Serviço",AD$12&lt;&gt;0,$H524&gt;0,OR(AUTOEVENTO&lt;&gt;"manual",$M524&lt;&gt;1)),
IF(Import.TipoArredondamento&lt;&gt;"TransfereGOV",
ROUND(OFFSET($P524,0,AD$13),15-13*ORÇAMENTO!$AF$7)/$H524*OFFSET(ORÇAMENTO!$X$15,ROW(AD524)-ROW(AD$15),0),
ROUND(ROUND(OFFSET($P524,0,AD$13),15-13*ORÇAMENTO!$AF$7)*OFFSET(ORÇAMENTO!$W$15,ROW(AD524)-ROW(AD$15),0),15-13*ORÇAMENTO!$AF$11)),0)</f>
        <v>0</v>
      </c>
      <c r="AE524" s="545">
        <f ca="1">IF(AND($D524="Serviço",AE$12&lt;&gt;0,$H524&gt;0,OR(AUTOEVENTO&lt;&gt;"manual",$M524&lt;&gt;1)),
IF(Import.TipoArredondamento&lt;&gt;"TransfereGOV",
ROUND(OFFSET($P524,0,AE$13),15-13*ORÇAMENTO!$AF$7)/$H524*OFFSET(ORÇAMENTO!$X$15,ROW(AE524)-ROW(AE$15),0),
ROUND(ROUND(OFFSET($P524,0,AE$13),15-13*ORÇAMENTO!$AF$7)*OFFSET(ORÇAMENTO!$W$15,ROW(AE524)-ROW(AE$15),0),15-13*ORÇAMENTO!$AF$11)),0)</f>
        <v>0</v>
      </c>
      <c r="AF524" s="545">
        <f ca="1">IF(AND($D524="Serviço",AF$12&lt;&gt;0,$H524&gt;0,OR(AUTOEVENTO&lt;&gt;"manual",$M524&lt;&gt;1)),
IF(Import.TipoArredondamento&lt;&gt;"TransfereGOV",
ROUND(OFFSET($P524,0,AF$13),15-13*ORÇAMENTO!$AF$7)/$H524*OFFSET(ORÇAMENTO!$X$15,ROW(AF524)-ROW(AF$15),0),
ROUND(ROUND(OFFSET($P524,0,AF$13),15-13*ORÇAMENTO!$AF$7)*OFFSET(ORÇAMENTO!$W$15,ROW(AF524)-ROW(AF$15),0),15-13*ORÇAMENTO!$AF$11)),0)</f>
        <v>0</v>
      </c>
      <c r="AG524" s="545">
        <f ca="1">IF(AND($D524="Serviço",AG$12&lt;&gt;0,$H524&gt;0,OR(AUTOEVENTO&lt;&gt;"manual",$M524&lt;&gt;1)),
IF(Import.TipoArredondamento&lt;&gt;"TransfereGOV",
ROUND(OFFSET($P524,0,AG$13),15-13*ORÇAMENTO!$AF$7)/$H524*OFFSET(ORÇAMENTO!$X$15,ROW(AG524)-ROW(AG$15),0),
ROUND(ROUND(OFFSET($P524,0,AG$13),15-13*ORÇAMENTO!$AF$7)*OFFSET(ORÇAMENTO!$W$15,ROW(AG524)-ROW(AG$15),0),15-13*ORÇAMENTO!$AF$11)),0)</f>
        <v>0</v>
      </c>
      <c r="AH524" s="545">
        <f ca="1">IF(AND($D524="Serviço",AH$12&lt;&gt;0,$H524&gt;0,OR(AUTOEVENTO&lt;&gt;"manual",$M524&lt;&gt;1)),
IF(Import.TipoArredondamento&lt;&gt;"TransfereGOV",
ROUND(OFFSET($P524,0,AH$13),15-13*ORÇAMENTO!$AF$7)/$H524*OFFSET(ORÇAMENTO!$X$15,ROW(AH524)-ROW(AH$15),0),
ROUND(ROUND(OFFSET($P524,0,AH$13),15-13*ORÇAMENTO!$AF$7)*OFFSET(ORÇAMENTO!$W$15,ROW(AH524)-ROW(AH$15),0),15-13*ORÇAMENTO!$AF$11)),0)</f>
        <v>0</v>
      </c>
      <c r="AI524" s="545">
        <f ca="1">IF(AND($D524="Serviço",AI$12&lt;&gt;0,$H524&gt;0,OR(AUTOEVENTO&lt;&gt;"manual",$M524&lt;&gt;1)),
IF(Import.TipoArredondamento&lt;&gt;"TransfereGOV",
ROUND(OFFSET($P524,0,AI$13),15-13*ORÇAMENTO!$AF$7)/$H524*OFFSET(ORÇAMENTO!$X$15,ROW(AI524)-ROW(AI$15),0),
ROUND(ROUND(OFFSET($P524,0,AI$13),15-13*ORÇAMENTO!$AF$7)*OFFSET(ORÇAMENTO!$W$15,ROW(AI524)-ROW(AI$15),0),15-13*ORÇAMENTO!$AF$11)),0)</f>
        <v>0</v>
      </c>
      <c r="AJ524" s="545">
        <f ca="1">IF(AND($D524="Serviço",AJ$12&lt;&gt;0,$H524&gt;0,OR(AUTOEVENTO&lt;&gt;"manual",$M524&lt;&gt;1)),
IF(Import.TipoArredondamento&lt;&gt;"TransfereGOV",
ROUND(OFFSET($P524,0,AJ$13),15-13*ORÇAMENTO!$AF$7)/$H524*OFFSET(ORÇAMENTO!$X$15,ROW(AJ524)-ROW(AJ$15),0),
ROUND(ROUND(OFFSET($P524,0,AJ$13),15-13*ORÇAMENTO!$AF$7)*OFFSET(ORÇAMENTO!$W$15,ROW(AJ524)-ROW(AJ$15),0),15-13*ORÇAMENTO!$AF$11)),0)</f>
        <v>0</v>
      </c>
      <c r="AK524" s="546">
        <f ca="1">IF(AND($D524="Serviço",AK$12&lt;&gt;0,$H524&gt;0,OR(AUTOEVENTO&lt;&gt;"manual",$M524&lt;&gt;1)),
IF(Import.TipoArredondamento&lt;&gt;"TransfereGOV",
ROUND(OFFSET($P524,0,AK$13),15-13*ORÇAMENTO!$AF$7)/$H524*OFFSET(ORÇAMENTO!$X$15,ROW(AK524)-ROW(AK$15),0),
ROUND(ROUND(OFFSET($P524,0,AK$13),15-13*ORÇAMENTO!$AF$7)*OFFSET(ORÇAMENTO!$W$15,ROW(AK524)-ROW(AK$15),0),15-13*ORÇAMENTO!$AF$11)),0)</f>
        <v>0</v>
      </c>
      <c r="AM524" s="181">
        <f ca="1">IF($D524&lt;&gt;"Serviço",0,IF(AND(AUTOEVENTO="Manual",$M524=1),0,IF(OFFSET(CRONOPLE!$F$14,$M524,AM$13)="",10^12,OFFSET(CRONOPLE!$F$14,$M524,AM$13))))</f>
        <v>1000000000000</v>
      </c>
      <c r="AN524" s="181">
        <f ca="1">IF($D524&lt;&gt;"Serviço",0,IF(AND(AUTOEVENTO="Manual",$M524=1),0,IF(OFFSET(CRONOPLE!$F$14,$M524,AN$13)="",10^12,OFFSET(CRONOPLE!$F$14,$M524,AN$13))))</f>
        <v>1000000000000</v>
      </c>
      <c r="AO524" s="181">
        <f ca="1">IF($D524&lt;&gt;"Serviço",0,IF(AND(AUTOEVENTO="Manual",$M524=1),0,IF(OFFSET(CRONOPLE!$F$14,$M524,AO$13)="",10^12,OFFSET(CRONOPLE!$F$14,$M524,AO$13))))</f>
        <v>1000000000000</v>
      </c>
      <c r="AP524" s="181">
        <f ca="1">IF($D524&lt;&gt;"Serviço",0,IF(AND(AUTOEVENTO="Manual",$M524=1),0,IF(OFFSET(CRONOPLE!$F$14,$M524,AP$13)="",10^12,OFFSET(CRONOPLE!$F$14,$M524,AP$13))))</f>
        <v>1000000000000</v>
      </c>
      <c r="AQ524" s="181">
        <f ca="1">IF($D524&lt;&gt;"Serviço",0,IF(AND(AUTOEVENTO="Manual",$M524=1),0,IF(OFFSET(CRONOPLE!$F$14,$M524,AQ$13)="",10^12,OFFSET(CRONOPLE!$F$14,$M524,AQ$13))))</f>
        <v>1000000000000</v>
      </c>
      <c r="AR524" s="181">
        <f ca="1">IF($D524&lt;&gt;"Serviço",0,IF(AND(AUTOEVENTO="Manual",$M524=1),0,IF(OFFSET(CRONOPLE!$F$14,$M524,AR$13)="",10^12,OFFSET(CRONOPLE!$F$14,$M524,AR$13))))</f>
        <v>1000000000000</v>
      </c>
      <c r="AS524" s="181">
        <f ca="1">IF($D524&lt;&gt;"Serviço",0,IF(AND(AUTOEVENTO="Manual",$M524=1),0,IF(OFFSET(CRONOPLE!$F$14,$M524,AS$13)="",10^12,OFFSET(CRONOPLE!$F$14,$M524,AS$13))))</f>
        <v>1000000000000</v>
      </c>
      <c r="AT524" s="181">
        <f ca="1">IF($D524&lt;&gt;"Serviço",0,IF(AND(AUTOEVENTO="Manual",$M524=1),0,IF(OFFSET(CRONOPLE!$F$14,$M524,AT$13)="",10^12,OFFSET(CRONOPLE!$F$14,$M524,AT$13))))</f>
        <v>1000000000000</v>
      </c>
      <c r="AU524" s="181">
        <f ca="1">IF($D524&lt;&gt;"Serviço",0,IF(AND(AUTOEVENTO="Manual",$M524=1),0,IF(OFFSET(CRONOPLE!$F$14,$M524,AU$13)="",10^12,OFFSET(CRONOPLE!$F$14,$M524,AU$13))))</f>
        <v>1000000000000</v>
      </c>
      <c r="AV524" s="181">
        <f ca="1">IF($D524&lt;&gt;"Serviço",0,IF(AND(AUTOEVENTO="Manual",$M524=1),0,IF(OFFSET(CRONOPLE!$F$14,$M524,AV$13)="",10^12,OFFSET(CRONOPLE!$F$14,$M524,AV$13))))</f>
        <v>1000000000000</v>
      </c>
      <c r="AX524" s="182">
        <f ca="1">IF($D524&lt;&gt;"Serviço",0,IF(OR(AND(AUTOEVENTO="Manual",$M524=1),$M524&gt;(ROW(PLE.lastrow)-ROW(PLE.firstrow))),0,IF(OFFSET(PLE!$G$14,$M524,AX$13)="",10^12,OFFSET(PLE!$G$14,$M524,AX$13))))</f>
        <v>1000000000000</v>
      </c>
      <c r="AY524" s="182">
        <f ca="1">IF($D524&lt;&gt;"Serviço",0,IF(OR(AND(AUTOEVENTO="Manual",$M524=1),$M524&gt;(ROW(PLE.lastrow)-ROW(PLE.firstrow))),0,IF(OFFSET(PLE!$G$14,$M524,AY$13)="",10^12,OFFSET(PLE!$G$14,$M524,AY$13))))</f>
        <v>1000000000000</v>
      </c>
      <c r="AZ524" s="182">
        <f ca="1">IF($D524&lt;&gt;"Serviço",0,IF(OR(AND(AUTOEVENTO="Manual",$M524=1),$M524&gt;(ROW(PLE.lastrow)-ROW(PLE.firstrow))),0,IF(OFFSET(PLE!$G$14,$M524,AZ$13)="",10^12,OFFSET(PLE!$G$14,$M524,AZ$13))))</f>
        <v>1000000000000</v>
      </c>
      <c r="BA524" s="182">
        <f ca="1">IF($D524&lt;&gt;"Serviço",0,IF(OR(AND(AUTOEVENTO="Manual",$M524=1),$M524&gt;(ROW(PLE.lastrow)-ROW(PLE.firstrow))),0,IF(OFFSET(PLE!$G$14,$M524,BA$13)="",10^12,OFFSET(PLE!$G$14,$M524,BA$13))))</f>
        <v>1000000000000</v>
      </c>
      <c r="BB524" s="182">
        <f ca="1">IF($D524&lt;&gt;"Serviço",0,IF(OR(AND(AUTOEVENTO="Manual",$M524=1),$M524&gt;(ROW(PLE.lastrow)-ROW(PLE.firstrow))),0,IF(OFFSET(PLE!$G$14,$M524,BB$13)="",10^12,OFFSET(PLE!$G$14,$M524,BB$13))))</f>
        <v>1000000000000</v>
      </c>
      <c r="BC524" s="182">
        <f ca="1">IF($D524&lt;&gt;"Serviço",0,IF(OR(AND(AUTOEVENTO="Manual",$M524=1),$M524&gt;(ROW(PLE.lastrow)-ROW(PLE.firstrow))),0,IF(OFFSET(PLE!$G$14,$M524,BC$13)="",10^12,OFFSET(PLE!$G$14,$M524,BC$13))))</f>
        <v>1000000000000</v>
      </c>
      <c r="BD524" s="182">
        <f ca="1">IF($D524&lt;&gt;"Serviço",0,IF(OR(AND(AUTOEVENTO="Manual",$M524=1),$M524&gt;(ROW(PLE.lastrow)-ROW(PLE.firstrow))),0,IF(OFFSET(PLE!$G$14,$M524,BD$13)="",10^12,OFFSET(PLE!$G$14,$M524,BD$13))))</f>
        <v>1000000000000</v>
      </c>
      <c r="BE524" s="182">
        <f ca="1">IF($D524&lt;&gt;"Serviço",0,IF(OR(AND(AUTOEVENTO="Manual",$M524=1),$M524&gt;(ROW(PLE.lastrow)-ROW(PLE.firstrow))),0,IF(OFFSET(PLE!$G$14,$M524,BE$13)="",10^12,OFFSET(PLE!$G$14,$M524,BE$13))))</f>
        <v>1000000000000</v>
      </c>
      <c r="BF524" s="182">
        <f ca="1">IF($D524&lt;&gt;"Serviço",0,IF(OR(AND(AUTOEVENTO="Manual",$M524=1),$M524&gt;(ROW(PLE.lastrow)-ROW(PLE.firstrow))),0,IF(OFFSET(PLE!$G$14,$M524,BF$13)="",10^12,OFFSET(PLE!$G$14,$M524,BF$13))))</f>
        <v>1000000000000</v>
      </c>
      <c r="BG524" s="182">
        <f ca="1">IF($D524&lt;&gt;"Serviço",0,IF(OR(AND(AUTOEVENTO="Manual",$M524=1),$M524&gt;(ROW(PLE.lastrow)-ROW(PLE.firstrow))),0,IF(OFFSET(PLE!$G$14,$M524,BG$13)="",10^12,OFFSET(PLE!$G$14,$M524,BG$13))))</f>
        <v>1000000000000</v>
      </c>
    </row>
    <row r="525" spans="1:59" ht="38.25" x14ac:dyDescent="0.2">
      <c r="A525" s="7" t="str">
        <f t="shared" ca="1" si="15"/>
        <v>472</v>
      </c>
      <c r="B525" s="7" t="str">
        <f ca="1">OFFSET(ORÇAMENTO!C$15,ROW(B525)-ROW(B$15),0)</f>
        <v>S</v>
      </c>
      <c r="C525" s="7" t="str">
        <f ca="1">OFFSET(ORÇAMENTO!L$15,ROW(C525)-ROW(C$15),0)</f>
        <v/>
      </c>
      <c r="D525" s="118" t="str">
        <f ca="1">OFFSET(ORÇAMENTO!N$15,ROW(D525)-ROW(D$15),0)</f>
        <v>Serviço</v>
      </c>
      <c r="E525" s="119" t="str">
        <f ca="1">OFFSET(ORÇAMENTO!O$15,ROW(E525)-ROW(E$15),0)</f>
        <v>-</v>
      </c>
      <c r="F525" s="172" t="str">
        <f ca="1">OFFSET(ORÇAMENTO!R$15,ROW(F525)-ROW(F$15),0)</f>
        <v>(abra o arquivo 'Referência 02-2025.xlsm)</v>
      </c>
      <c r="G525" s="173" t="str">
        <f ca="1">IF($D525&lt;&gt;"Serviço","",OFFSET(ORÇAMENTO!S$15,ROW(G525)-ROW(G$15),0))</f>
        <v>-</v>
      </c>
      <c r="H525" s="124">
        <f ca="1">IF($D525&lt;&gt;"Serviço",0,IF(ACOMPANHAMENTO="BM",ROUND(OFFSET(ORÇAMENTO!AJ$15,ROW(H525)-ROW(H$15),0),15-13*ORÇAMENTO!$AF$7),SUMPRODUCT(($Q$12:$AA$12&lt;&gt;"")*ROUND($Q525:$AA525,15-13*ORÇAMENTO!$AF$7))))</f>
        <v>288.3</v>
      </c>
      <c r="I525" s="561" t="s">
        <v>890</v>
      </c>
      <c r="K525" s="174"/>
      <c r="L525" s="175" t="s">
        <v>255</v>
      </c>
      <c r="M525" s="176">
        <f ca="1">IF($D525&lt;&gt;"Serviço","",IF(AUTOEVENTO="manual",$A525,IF(ISERROR(MATCH($A525,$A$15:OFFSET($A525,-1,0),0)),MAX($M$15:OFFSET(M525,-1,0))+1,INDEX($M$15:OFFSET(M525,-1,0),MATCH($A525,$A$15:OFFSET($A525,-1,0),0)))))</f>
        <v>18</v>
      </c>
      <c r="N525" s="177" t="str">
        <f ca="1">IF($D525&lt;&gt;"Serviço","",IF(AUTOEVENTO="Manual",IF($A525=0,"&lt;-- defina o número do agrupador",OFFSET(EVENTOS!$D$14,$A525,0)),OFFSET($F$15,$A525,0)))</f>
        <v>INSTALAÇÕES ELÉTRICAS - 220V</v>
      </c>
      <c r="O525" s="178"/>
      <c r="Q525" s="178"/>
      <c r="R525" s="179"/>
      <c r="S525" s="179"/>
      <c r="T525" s="179"/>
      <c r="U525" s="179"/>
      <c r="V525" s="179"/>
      <c r="W525" s="179"/>
      <c r="X525" s="179"/>
      <c r="Y525" s="179"/>
      <c r="Z525" s="180"/>
      <c r="AB525" s="544">
        <f ca="1">IF(AND($D525="Serviço",AB$12&lt;&gt;0,$H525&gt;0,OR(AUTOEVENTO&lt;&gt;"manual",$M525&lt;&gt;1)),
IF(Import.TipoArredondamento&lt;&gt;"TransfereGOV",
ROUND(OFFSET($P525,0,AB$13),15-13*ORÇAMENTO!$AF$7)/$H525*OFFSET(ORÇAMENTO!$X$15,ROW(AB525)-ROW(AB$15),0),
ROUND(ROUND(OFFSET($P525,0,AB$13),15-13*ORÇAMENTO!$AF$7)*OFFSET(ORÇAMENTO!$W$15,ROW(AB525)-ROW(AB$15),0),15-13*ORÇAMENTO!$AF$11)),0)</f>
        <v>0</v>
      </c>
      <c r="AC525" s="545">
        <f ca="1">IF(AND($D525="Serviço",AC$12&lt;&gt;0,$H525&gt;0,OR(AUTOEVENTO&lt;&gt;"manual",$M525&lt;&gt;1)),
IF(Import.TipoArredondamento&lt;&gt;"TransfereGOV",
ROUND(OFFSET($P525,0,AC$13),15-13*ORÇAMENTO!$AF$7)/$H525*OFFSET(ORÇAMENTO!$X$15,ROW(AC525)-ROW(AC$15),0),
ROUND(ROUND(OFFSET($P525,0,AC$13),15-13*ORÇAMENTO!$AF$7)*OFFSET(ORÇAMENTO!$W$15,ROW(AC525)-ROW(AC$15),0),15-13*ORÇAMENTO!$AF$11)),0)</f>
        <v>0</v>
      </c>
      <c r="AD525" s="545">
        <f ca="1">IF(AND($D525="Serviço",AD$12&lt;&gt;0,$H525&gt;0,OR(AUTOEVENTO&lt;&gt;"manual",$M525&lt;&gt;1)),
IF(Import.TipoArredondamento&lt;&gt;"TransfereGOV",
ROUND(OFFSET($P525,0,AD$13),15-13*ORÇAMENTO!$AF$7)/$H525*OFFSET(ORÇAMENTO!$X$15,ROW(AD525)-ROW(AD$15),0),
ROUND(ROUND(OFFSET($P525,0,AD$13),15-13*ORÇAMENTO!$AF$7)*OFFSET(ORÇAMENTO!$W$15,ROW(AD525)-ROW(AD$15),0),15-13*ORÇAMENTO!$AF$11)),0)</f>
        <v>0</v>
      </c>
      <c r="AE525" s="545">
        <f ca="1">IF(AND($D525="Serviço",AE$12&lt;&gt;0,$H525&gt;0,OR(AUTOEVENTO&lt;&gt;"manual",$M525&lt;&gt;1)),
IF(Import.TipoArredondamento&lt;&gt;"TransfereGOV",
ROUND(OFFSET($P525,0,AE$13),15-13*ORÇAMENTO!$AF$7)/$H525*OFFSET(ORÇAMENTO!$X$15,ROW(AE525)-ROW(AE$15),0),
ROUND(ROUND(OFFSET($P525,0,AE$13),15-13*ORÇAMENTO!$AF$7)*OFFSET(ORÇAMENTO!$W$15,ROW(AE525)-ROW(AE$15),0),15-13*ORÇAMENTO!$AF$11)),0)</f>
        <v>0</v>
      </c>
      <c r="AF525" s="545">
        <f ca="1">IF(AND($D525="Serviço",AF$12&lt;&gt;0,$H525&gt;0,OR(AUTOEVENTO&lt;&gt;"manual",$M525&lt;&gt;1)),
IF(Import.TipoArredondamento&lt;&gt;"TransfereGOV",
ROUND(OFFSET($P525,0,AF$13),15-13*ORÇAMENTO!$AF$7)/$H525*OFFSET(ORÇAMENTO!$X$15,ROW(AF525)-ROW(AF$15),0),
ROUND(ROUND(OFFSET($P525,0,AF$13),15-13*ORÇAMENTO!$AF$7)*OFFSET(ORÇAMENTO!$W$15,ROW(AF525)-ROW(AF$15),0),15-13*ORÇAMENTO!$AF$11)),0)</f>
        <v>0</v>
      </c>
      <c r="AG525" s="545">
        <f ca="1">IF(AND($D525="Serviço",AG$12&lt;&gt;0,$H525&gt;0,OR(AUTOEVENTO&lt;&gt;"manual",$M525&lt;&gt;1)),
IF(Import.TipoArredondamento&lt;&gt;"TransfereGOV",
ROUND(OFFSET($P525,0,AG$13),15-13*ORÇAMENTO!$AF$7)/$H525*OFFSET(ORÇAMENTO!$X$15,ROW(AG525)-ROW(AG$15),0),
ROUND(ROUND(OFFSET($P525,0,AG$13),15-13*ORÇAMENTO!$AF$7)*OFFSET(ORÇAMENTO!$W$15,ROW(AG525)-ROW(AG$15),0),15-13*ORÇAMENTO!$AF$11)),0)</f>
        <v>0</v>
      </c>
      <c r="AH525" s="545">
        <f ca="1">IF(AND($D525="Serviço",AH$12&lt;&gt;0,$H525&gt;0,OR(AUTOEVENTO&lt;&gt;"manual",$M525&lt;&gt;1)),
IF(Import.TipoArredondamento&lt;&gt;"TransfereGOV",
ROUND(OFFSET($P525,0,AH$13),15-13*ORÇAMENTO!$AF$7)/$H525*OFFSET(ORÇAMENTO!$X$15,ROW(AH525)-ROW(AH$15),0),
ROUND(ROUND(OFFSET($P525,0,AH$13),15-13*ORÇAMENTO!$AF$7)*OFFSET(ORÇAMENTO!$W$15,ROW(AH525)-ROW(AH$15),0),15-13*ORÇAMENTO!$AF$11)),0)</f>
        <v>0</v>
      </c>
      <c r="AI525" s="545">
        <f ca="1">IF(AND($D525="Serviço",AI$12&lt;&gt;0,$H525&gt;0,OR(AUTOEVENTO&lt;&gt;"manual",$M525&lt;&gt;1)),
IF(Import.TipoArredondamento&lt;&gt;"TransfereGOV",
ROUND(OFFSET($P525,0,AI$13),15-13*ORÇAMENTO!$AF$7)/$H525*OFFSET(ORÇAMENTO!$X$15,ROW(AI525)-ROW(AI$15),0),
ROUND(ROUND(OFFSET($P525,0,AI$13),15-13*ORÇAMENTO!$AF$7)*OFFSET(ORÇAMENTO!$W$15,ROW(AI525)-ROW(AI$15),0),15-13*ORÇAMENTO!$AF$11)),0)</f>
        <v>0</v>
      </c>
      <c r="AJ525" s="545">
        <f ca="1">IF(AND($D525="Serviço",AJ$12&lt;&gt;0,$H525&gt;0,OR(AUTOEVENTO&lt;&gt;"manual",$M525&lt;&gt;1)),
IF(Import.TipoArredondamento&lt;&gt;"TransfereGOV",
ROUND(OFFSET($P525,0,AJ$13),15-13*ORÇAMENTO!$AF$7)/$H525*OFFSET(ORÇAMENTO!$X$15,ROW(AJ525)-ROW(AJ$15),0),
ROUND(ROUND(OFFSET($P525,0,AJ$13),15-13*ORÇAMENTO!$AF$7)*OFFSET(ORÇAMENTO!$W$15,ROW(AJ525)-ROW(AJ$15),0),15-13*ORÇAMENTO!$AF$11)),0)</f>
        <v>0</v>
      </c>
      <c r="AK525" s="546">
        <f ca="1">IF(AND($D525="Serviço",AK$12&lt;&gt;0,$H525&gt;0,OR(AUTOEVENTO&lt;&gt;"manual",$M525&lt;&gt;1)),
IF(Import.TipoArredondamento&lt;&gt;"TransfereGOV",
ROUND(OFFSET($P525,0,AK$13),15-13*ORÇAMENTO!$AF$7)/$H525*OFFSET(ORÇAMENTO!$X$15,ROW(AK525)-ROW(AK$15),0),
ROUND(ROUND(OFFSET($P525,0,AK$13),15-13*ORÇAMENTO!$AF$7)*OFFSET(ORÇAMENTO!$W$15,ROW(AK525)-ROW(AK$15),0),15-13*ORÇAMENTO!$AF$11)),0)</f>
        <v>0</v>
      </c>
      <c r="AM525" s="181">
        <f ca="1">IF($D525&lt;&gt;"Serviço",0,IF(AND(AUTOEVENTO="Manual",$M525=1),0,IF(OFFSET(CRONOPLE!$F$14,$M525,AM$13)="",10^12,OFFSET(CRONOPLE!$F$14,$M525,AM$13))))</f>
        <v>1000000000000</v>
      </c>
      <c r="AN525" s="181">
        <f ca="1">IF($D525&lt;&gt;"Serviço",0,IF(AND(AUTOEVENTO="Manual",$M525=1),0,IF(OFFSET(CRONOPLE!$F$14,$M525,AN$13)="",10^12,OFFSET(CRONOPLE!$F$14,$M525,AN$13))))</f>
        <v>1000000000000</v>
      </c>
      <c r="AO525" s="181">
        <f ca="1">IF($D525&lt;&gt;"Serviço",0,IF(AND(AUTOEVENTO="Manual",$M525=1),0,IF(OFFSET(CRONOPLE!$F$14,$M525,AO$13)="",10^12,OFFSET(CRONOPLE!$F$14,$M525,AO$13))))</f>
        <v>1000000000000</v>
      </c>
      <c r="AP525" s="181">
        <f ca="1">IF($D525&lt;&gt;"Serviço",0,IF(AND(AUTOEVENTO="Manual",$M525=1),0,IF(OFFSET(CRONOPLE!$F$14,$M525,AP$13)="",10^12,OFFSET(CRONOPLE!$F$14,$M525,AP$13))))</f>
        <v>1000000000000</v>
      </c>
      <c r="AQ525" s="181">
        <f ca="1">IF($D525&lt;&gt;"Serviço",0,IF(AND(AUTOEVENTO="Manual",$M525=1),0,IF(OFFSET(CRONOPLE!$F$14,$M525,AQ$13)="",10^12,OFFSET(CRONOPLE!$F$14,$M525,AQ$13))))</f>
        <v>1000000000000</v>
      </c>
      <c r="AR525" s="181">
        <f ca="1">IF($D525&lt;&gt;"Serviço",0,IF(AND(AUTOEVENTO="Manual",$M525=1),0,IF(OFFSET(CRONOPLE!$F$14,$M525,AR$13)="",10^12,OFFSET(CRONOPLE!$F$14,$M525,AR$13))))</f>
        <v>1000000000000</v>
      </c>
      <c r="AS525" s="181">
        <f ca="1">IF($D525&lt;&gt;"Serviço",0,IF(AND(AUTOEVENTO="Manual",$M525=1),0,IF(OFFSET(CRONOPLE!$F$14,$M525,AS$13)="",10^12,OFFSET(CRONOPLE!$F$14,$M525,AS$13))))</f>
        <v>1000000000000</v>
      </c>
      <c r="AT525" s="181">
        <f ca="1">IF($D525&lt;&gt;"Serviço",0,IF(AND(AUTOEVENTO="Manual",$M525=1),0,IF(OFFSET(CRONOPLE!$F$14,$M525,AT$13)="",10^12,OFFSET(CRONOPLE!$F$14,$M525,AT$13))))</f>
        <v>1000000000000</v>
      </c>
      <c r="AU525" s="181">
        <f ca="1">IF($D525&lt;&gt;"Serviço",0,IF(AND(AUTOEVENTO="Manual",$M525=1),0,IF(OFFSET(CRONOPLE!$F$14,$M525,AU$13)="",10^12,OFFSET(CRONOPLE!$F$14,$M525,AU$13))))</f>
        <v>1000000000000</v>
      </c>
      <c r="AV525" s="181">
        <f ca="1">IF($D525&lt;&gt;"Serviço",0,IF(AND(AUTOEVENTO="Manual",$M525=1),0,IF(OFFSET(CRONOPLE!$F$14,$M525,AV$13)="",10^12,OFFSET(CRONOPLE!$F$14,$M525,AV$13))))</f>
        <v>1000000000000</v>
      </c>
      <c r="AX525" s="182">
        <f ca="1">IF($D525&lt;&gt;"Serviço",0,IF(OR(AND(AUTOEVENTO="Manual",$M525=1),$M525&gt;(ROW(PLE.lastrow)-ROW(PLE.firstrow))),0,IF(OFFSET(PLE!$G$14,$M525,AX$13)="",10^12,OFFSET(PLE!$G$14,$M525,AX$13))))</f>
        <v>1000000000000</v>
      </c>
      <c r="AY525" s="182">
        <f ca="1">IF($D525&lt;&gt;"Serviço",0,IF(OR(AND(AUTOEVENTO="Manual",$M525=1),$M525&gt;(ROW(PLE.lastrow)-ROW(PLE.firstrow))),0,IF(OFFSET(PLE!$G$14,$M525,AY$13)="",10^12,OFFSET(PLE!$G$14,$M525,AY$13))))</f>
        <v>1000000000000</v>
      </c>
      <c r="AZ525" s="182">
        <f ca="1">IF($D525&lt;&gt;"Serviço",0,IF(OR(AND(AUTOEVENTO="Manual",$M525=1),$M525&gt;(ROW(PLE.lastrow)-ROW(PLE.firstrow))),0,IF(OFFSET(PLE!$G$14,$M525,AZ$13)="",10^12,OFFSET(PLE!$G$14,$M525,AZ$13))))</f>
        <v>1000000000000</v>
      </c>
      <c r="BA525" s="182">
        <f ca="1">IF($D525&lt;&gt;"Serviço",0,IF(OR(AND(AUTOEVENTO="Manual",$M525=1),$M525&gt;(ROW(PLE.lastrow)-ROW(PLE.firstrow))),0,IF(OFFSET(PLE!$G$14,$M525,BA$13)="",10^12,OFFSET(PLE!$G$14,$M525,BA$13))))</f>
        <v>1000000000000</v>
      </c>
      <c r="BB525" s="182">
        <f ca="1">IF($D525&lt;&gt;"Serviço",0,IF(OR(AND(AUTOEVENTO="Manual",$M525=1),$M525&gt;(ROW(PLE.lastrow)-ROW(PLE.firstrow))),0,IF(OFFSET(PLE!$G$14,$M525,BB$13)="",10^12,OFFSET(PLE!$G$14,$M525,BB$13))))</f>
        <v>1000000000000</v>
      </c>
      <c r="BC525" s="182">
        <f ca="1">IF($D525&lt;&gt;"Serviço",0,IF(OR(AND(AUTOEVENTO="Manual",$M525=1),$M525&gt;(ROW(PLE.lastrow)-ROW(PLE.firstrow))),0,IF(OFFSET(PLE!$G$14,$M525,BC$13)="",10^12,OFFSET(PLE!$G$14,$M525,BC$13))))</f>
        <v>1000000000000</v>
      </c>
      <c r="BD525" s="182">
        <f ca="1">IF($D525&lt;&gt;"Serviço",0,IF(OR(AND(AUTOEVENTO="Manual",$M525=1),$M525&gt;(ROW(PLE.lastrow)-ROW(PLE.firstrow))),0,IF(OFFSET(PLE!$G$14,$M525,BD$13)="",10^12,OFFSET(PLE!$G$14,$M525,BD$13))))</f>
        <v>1000000000000</v>
      </c>
      <c r="BE525" s="182">
        <f ca="1">IF($D525&lt;&gt;"Serviço",0,IF(OR(AND(AUTOEVENTO="Manual",$M525=1),$M525&gt;(ROW(PLE.lastrow)-ROW(PLE.firstrow))),0,IF(OFFSET(PLE!$G$14,$M525,BE$13)="",10^12,OFFSET(PLE!$G$14,$M525,BE$13))))</f>
        <v>1000000000000</v>
      </c>
      <c r="BF525" s="182">
        <f ca="1">IF($D525&lt;&gt;"Serviço",0,IF(OR(AND(AUTOEVENTO="Manual",$M525=1),$M525&gt;(ROW(PLE.lastrow)-ROW(PLE.firstrow))),0,IF(OFFSET(PLE!$G$14,$M525,BF$13)="",10^12,OFFSET(PLE!$G$14,$M525,BF$13))))</f>
        <v>1000000000000</v>
      </c>
      <c r="BG525" s="182">
        <f ca="1">IF($D525&lt;&gt;"Serviço",0,IF(OR(AND(AUTOEVENTO="Manual",$M525=1),$M525&gt;(ROW(PLE.lastrow)-ROW(PLE.firstrow))),0,IF(OFFSET(PLE!$G$14,$M525,BG$13)="",10^12,OFFSET(PLE!$G$14,$M525,BG$13))))</f>
        <v>1000000000000</v>
      </c>
    </row>
    <row r="526" spans="1:59" ht="38.25" x14ac:dyDescent="0.2">
      <c r="A526" s="7" t="str">
        <f t="shared" ca="1" si="15"/>
        <v>472</v>
      </c>
      <c r="B526" s="7" t="str">
        <f ca="1">OFFSET(ORÇAMENTO!C$15,ROW(B526)-ROW(B$15),0)</f>
        <v>S</v>
      </c>
      <c r="C526" s="7" t="str">
        <f ca="1">OFFSET(ORÇAMENTO!L$15,ROW(C526)-ROW(C$15),0)</f>
        <v/>
      </c>
      <c r="D526" s="118" t="str">
        <f ca="1">OFFSET(ORÇAMENTO!N$15,ROW(D526)-ROW(D$15),0)</f>
        <v>Serviço</v>
      </c>
      <c r="E526" s="119" t="str">
        <f ca="1">OFFSET(ORÇAMENTO!O$15,ROW(E526)-ROW(E$15),0)</f>
        <v>-</v>
      </c>
      <c r="F526" s="172" t="str">
        <f ca="1">OFFSET(ORÇAMENTO!R$15,ROW(F526)-ROW(F$15),0)</f>
        <v>(abra o arquivo 'Referência 02-2025.xlsm)</v>
      </c>
      <c r="G526" s="173" t="str">
        <f ca="1">IF($D526&lt;&gt;"Serviço","",OFFSET(ORÇAMENTO!S$15,ROW(G526)-ROW(G$15),0))</f>
        <v>-</v>
      </c>
      <c r="H526" s="124">
        <f ca="1">IF($D526&lt;&gt;"Serviço",0,IF(ACOMPANHAMENTO="BM",ROUND(OFFSET(ORÇAMENTO!AJ$15,ROW(H526)-ROW(H$15),0),15-13*ORÇAMENTO!$AF$7),SUMPRODUCT(($Q$12:$AA$12&lt;&gt;"")*ROUND($Q526:$AA526,15-13*ORÇAMENTO!$AF$7))))</f>
        <v>738.9</v>
      </c>
      <c r="I526" s="561" t="s">
        <v>890</v>
      </c>
      <c r="K526" s="174"/>
      <c r="L526" s="175" t="s">
        <v>255</v>
      </c>
      <c r="M526" s="176">
        <f ca="1">IF($D526&lt;&gt;"Serviço","",IF(AUTOEVENTO="manual",$A526,IF(ISERROR(MATCH($A526,$A$15:OFFSET($A526,-1,0),0)),MAX($M$15:OFFSET(M526,-1,0))+1,INDEX($M$15:OFFSET(M526,-1,0),MATCH($A526,$A$15:OFFSET($A526,-1,0),0)))))</f>
        <v>18</v>
      </c>
      <c r="N526" s="177" t="str">
        <f ca="1">IF($D526&lt;&gt;"Serviço","",IF(AUTOEVENTO="Manual",IF($A526=0,"&lt;-- defina o número do agrupador",OFFSET(EVENTOS!$D$14,$A526,0)),OFFSET($F$15,$A526,0)))</f>
        <v>INSTALAÇÕES ELÉTRICAS - 220V</v>
      </c>
      <c r="O526" s="178"/>
      <c r="Q526" s="178"/>
      <c r="R526" s="179"/>
      <c r="S526" s="179"/>
      <c r="T526" s="179"/>
      <c r="U526" s="179"/>
      <c r="V526" s="179"/>
      <c r="W526" s="179"/>
      <c r="X526" s="179"/>
      <c r="Y526" s="179"/>
      <c r="Z526" s="180"/>
      <c r="AB526" s="544">
        <f ca="1">IF(AND($D526="Serviço",AB$12&lt;&gt;0,$H526&gt;0,OR(AUTOEVENTO&lt;&gt;"manual",$M526&lt;&gt;1)),
IF(Import.TipoArredondamento&lt;&gt;"TransfereGOV",
ROUND(OFFSET($P526,0,AB$13),15-13*ORÇAMENTO!$AF$7)/$H526*OFFSET(ORÇAMENTO!$X$15,ROW(AB526)-ROW(AB$15),0),
ROUND(ROUND(OFFSET($P526,0,AB$13),15-13*ORÇAMENTO!$AF$7)*OFFSET(ORÇAMENTO!$W$15,ROW(AB526)-ROW(AB$15),0),15-13*ORÇAMENTO!$AF$11)),0)</f>
        <v>0</v>
      </c>
      <c r="AC526" s="545">
        <f ca="1">IF(AND($D526="Serviço",AC$12&lt;&gt;0,$H526&gt;0,OR(AUTOEVENTO&lt;&gt;"manual",$M526&lt;&gt;1)),
IF(Import.TipoArredondamento&lt;&gt;"TransfereGOV",
ROUND(OFFSET($P526,0,AC$13),15-13*ORÇAMENTO!$AF$7)/$H526*OFFSET(ORÇAMENTO!$X$15,ROW(AC526)-ROW(AC$15),0),
ROUND(ROUND(OFFSET($P526,0,AC$13),15-13*ORÇAMENTO!$AF$7)*OFFSET(ORÇAMENTO!$W$15,ROW(AC526)-ROW(AC$15),0),15-13*ORÇAMENTO!$AF$11)),0)</f>
        <v>0</v>
      </c>
      <c r="AD526" s="545">
        <f ca="1">IF(AND($D526="Serviço",AD$12&lt;&gt;0,$H526&gt;0,OR(AUTOEVENTO&lt;&gt;"manual",$M526&lt;&gt;1)),
IF(Import.TipoArredondamento&lt;&gt;"TransfereGOV",
ROUND(OFFSET($P526,0,AD$13),15-13*ORÇAMENTO!$AF$7)/$H526*OFFSET(ORÇAMENTO!$X$15,ROW(AD526)-ROW(AD$15),0),
ROUND(ROUND(OFFSET($P526,0,AD$13),15-13*ORÇAMENTO!$AF$7)*OFFSET(ORÇAMENTO!$W$15,ROW(AD526)-ROW(AD$15),0),15-13*ORÇAMENTO!$AF$11)),0)</f>
        <v>0</v>
      </c>
      <c r="AE526" s="545">
        <f ca="1">IF(AND($D526="Serviço",AE$12&lt;&gt;0,$H526&gt;0,OR(AUTOEVENTO&lt;&gt;"manual",$M526&lt;&gt;1)),
IF(Import.TipoArredondamento&lt;&gt;"TransfereGOV",
ROUND(OFFSET($P526,0,AE$13),15-13*ORÇAMENTO!$AF$7)/$H526*OFFSET(ORÇAMENTO!$X$15,ROW(AE526)-ROW(AE$15),0),
ROUND(ROUND(OFFSET($P526,0,AE$13),15-13*ORÇAMENTO!$AF$7)*OFFSET(ORÇAMENTO!$W$15,ROW(AE526)-ROW(AE$15),0),15-13*ORÇAMENTO!$AF$11)),0)</f>
        <v>0</v>
      </c>
      <c r="AF526" s="545">
        <f ca="1">IF(AND($D526="Serviço",AF$12&lt;&gt;0,$H526&gt;0,OR(AUTOEVENTO&lt;&gt;"manual",$M526&lt;&gt;1)),
IF(Import.TipoArredondamento&lt;&gt;"TransfereGOV",
ROUND(OFFSET($P526,0,AF$13),15-13*ORÇAMENTO!$AF$7)/$H526*OFFSET(ORÇAMENTO!$X$15,ROW(AF526)-ROW(AF$15),0),
ROUND(ROUND(OFFSET($P526,0,AF$13),15-13*ORÇAMENTO!$AF$7)*OFFSET(ORÇAMENTO!$W$15,ROW(AF526)-ROW(AF$15),0),15-13*ORÇAMENTO!$AF$11)),0)</f>
        <v>0</v>
      </c>
      <c r="AG526" s="545">
        <f ca="1">IF(AND($D526="Serviço",AG$12&lt;&gt;0,$H526&gt;0,OR(AUTOEVENTO&lt;&gt;"manual",$M526&lt;&gt;1)),
IF(Import.TipoArredondamento&lt;&gt;"TransfereGOV",
ROUND(OFFSET($P526,0,AG$13),15-13*ORÇAMENTO!$AF$7)/$H526*OFFSET(ORÇAMENTO!$X$15,ROW(AG526)-ROW(AG$15),0),
ROUND(ROUND(OFFSET($P526,0,AG$13),15-13*ORÇAMENTO!$AF$7)*OFFSET(ORÇAMENTO!$W$15,ROW(AG526)-ROW(AG$15),0),15-13*ORÇAMENTO!$AF$11)),0)</f>
        <v>0</v>
      </c>
      <c r="AH526" s="545">
        <f ca="1">IF(AND($D526="Serviço",AH$12&lt;&gt;0,$H526&gt;0,OR(AUTOEVENTO&lt;&gt;"manual",$M526&lt;&gt;1)),
IF(Import.TipoArredondamento&lt;&gt;"TransfereGOV",
ROUND(OFFSET($P526,0,AH$13),15-13*ORÇAMENTO!$AF$7)/$H526*OFFSET(ORÇAMENTO!$X$15,ROW(AH526)-ROW(AH$15),0),
ROUND(ROUND(OFFSET($P526,0,AH$13),15-13*ORÇAMENTO!$AF$7)*OFFSET(ORÇAMENTO!$W$15,ROW(AH526)-ROW(AH$15),0),15-13*ORÇAMENTO!$AF$11)),0)</f>
        <v>0</v>
      </c>
      <c r="AI526" s="545">
        <f ca="1">IF(AND($D526="Serviço",AI$12&lt;&gt;0,$H526&gt;0,OR(AUTOEVENTO&lt;&gt;"manual",$M526&lt;&gt;1)),
IF(Import.TipoArredondamento&lt;&gt;"TransfereGOV",
ROUND(OFFSET($P526,0,AI$13),15-13*ORÇAMENTO!$AF$7)/$H526*OFFSET(ORÇAMENTO!$X$15,ROW(AI526)-ROW(AI$15),0),
ROUND(ROUND(OFFSET($P526,0,AI$13),15-13*ORÇAMENTO!$AF$7)*OFFSET(ORÇAMENTO!$W$15,ROW(AI526)-ROW(AI$15),0),15-13*ORÇAMENTO!$AF$11)),0)</f>
        <v>0</v>
      </c>
      <c r="AJ526" s="545">
        <f ca="1">IF(AND($D526="Serviço",AJ$12&lt;&gt;0,$H526&gt;0,OR(AUTOEVENTO&lt;&gt;"manual",$M526&lt;&gt;1)),
IF(Import.TipoArredondamento&lt;&gt;"TransfereGOV",
ROUND(OFFSET($P526,0,AJ$13),15-13*ORÇAMENTO!$AF$7)/$H526*OFFSET(ORÇAMENTO!$X$15,ROW(AJ526)-ROW(AJ$15),0),
ROUND(ROUND(OFFSET($P526,0,AJ$13),15-13*ORÇAMENTO!$AF$7)*OFFSET(ORÇAMENTO!$W$15,ROW(AJ526)-ROW(AJ$15),0),15-13*ORÇAMENTO!$AF$11)),0)</f>
        <v>0</v>
      </c>
      <c r="AK526" s="546">
        <f ca="1">IF(AND($D526="Serviço",AK$12&lt;&gt;0,$H526&gt;0,OR(AUTOEVENTO&lt;&gt;"manual",$M526&lt;&gt;1)),
IF(Import.TipoArredondamento&lt;&gt;"TransfereGOV",
ROUND(OFFSET($P526,0,AK$13),15-13*ORÇAMENTO!$AF$7)/$H526*OFFSET(ORÇAMENTO!$X$15,ROW(AK526)-ROW(AK$15),0),
ROUND(ROUND(OFFSET($P526,0,AK$13),15-13*ORÇAMENTO!$AF$7)*OFFSET(ORÇAMENTO!$W$15,ROW(AK526)-ROW(AK$15),0),15-13*ORÇAMENTO!$AF$11)),0)</f>
        <v>0</v>
      </c>
      <c r="AM526" s="181">
        <f ca="1">IF($D526&lt;&gt;"Serviço",0,IF(AND(AUTOEVENTO="Manual",$M526=1),0,IF(OFFSET(CRONOPLE!$F$14,$M526,AM$13)="",10^12,OFFSET(CRONOPLE!$F$14,$M526,AM$13))))</f>
        <v>1000000000000</v>
      </c>
      <c r="AN526" s="181">
        <f ca="1">IF($D526&lt;&gt;"Serviço",0,IF(AND(AUTOEVENTO="Manual",$M526=1),0,IF(OFFSET(CRONOPLE!$F$14,$M526,AN$13)="",10^12,OFFSET(CRONOPLE!$F$14,$M526,AN$13))))</f>
        <v>1000000000000</v>
      </c>
      <c r="AO526" s="181">
        <f ca="1">IF($D526&lt;&gt;"Serviço",0,IF(AND(AUTOEVENTO="Manual",$M526=1),0,IF(OFFSET(CRONOPLE!$F$14,$M526,AO$13)="",10^12,OFFSET(CRONOPLE!$F$14,$M526,AO$13))))</f>
        <v>1000000000000</v>
      </c>
      <c r="AP526" s="181">
        <f ca="1">IF($D526&lt;&gt;"Serviço",0,IF(AND(AUTOEVENTO="Manual",$M526=1),0,IF(OFFSET(CRONOPLE!$F$14,$M526,AP$13)="",10^12,OFFSET(CRONOPLE!$F$14,$M526,AP$13))))</f>
        <v>1000000000000</v>
      </c>
      <c r="AQ526" s="181">
        <f ca="1">IF($D526&lt;&gt;"Serviço",0,IF(AND(AUTOEVENTO="Manual",$M526=1),0,IF(OFFSET(CRONOPLE!$F$14,$M526,AQ$13)="",10^12,OFFSET(CRONOPLE!$F$14,$M526,AQ$13))))</f>
        <v>1000000000000</v>
      </c>
      <c r="AR526" s="181">
        <f ca="1">IF($D526&lt;&gt;"Serviço",0,IF(AND(AUTOEVENTO="Manual",$M526=1),0,IF(OFFSET(CRONOPLE!$F$14,$M526,AR$13)="",10^12,OFFSET(CRONOPLE!$F$14,$M526,AR$13))))</f>
        <v>1000000000000</v>
      </c>
      <c r="AS526" s="181">
        <f ca="1">IF($D526&lt;&gt;"Serviço",0,IF(AND(AUTOEVENTO="Manual",$M526=1),0,IF(OFFSET(CRONOPLE!$F$14,$M526,AS$13)="",10^12,OFFSET(CRONOPLE!$F$14,$M526,AS$13))))</f>
        <v>1000000000000</v>
      </c>
      <c r="AT526" s="181">
        <f ca="1">IF($D526&lt;&gt;"Serviço",0,IF(AND(AUTOEVENTO="Manual",$M526=1),0,IF(OFFSET(CRONOPLE!$F$14,$M526,AT$13)="",10^12,OFFSET(CRONOPLE!$F$14,$M526,AT$13))))</f>
        <v>1000000000000</v>
      </c>
      <c r="AU526" s="181">
        <f ca="1">IF($D526&lt;&gt;"Serviço",0,IF(AND(AUTOEVENTO="Manual",$M526=1),0,IF(OFFSET(CRONOPLE!$F$14,$M526,AU$13)="",10^12,OFFSET(CRONOPLE!$F$14,$M526,AU$13))))</f>
        <v>1000000000000</v>
      </c>
      <c r="AV526" s="181">
        <f ca="1">IF($D526&lt;&gt;"Serviço",0,IF(AND(AUTOEVENTO="Manual",$M526=1),0,IF(OFFSET(CRONOPLE!$F$14,$M526,AV$13)="",10^12,OFFSET(CRONOPLE!$F$14,$M526,AV$13))))</f>
        <v>1000000000000</v>
      </c>
      <c r="AX526" s="182">
        <f ca="1">IF($D526&lt;&gt;"Serviço",0,IF(OR(AND(AUTOEVENTO="Manual",$M526=1),$M526&gt;(ROW(PLE.lastrow)-ROW(PLE.firstrow))),0,IF(OFFSET(PLE!$G$14,$M526,AX$13)="",10^12,OFFSET(PLE!$G$14,$M526,AX$13))))</f>
        <v>1000000000000</v>
      </c>
      <c r="AY526" s="182">
        <f ca="1">IF($D526&lt;&gt;"Serviço",0,IF(OR(AND(AUTOEVENTO="Manual",$M526=1),$M526&gt;(ROW(PLE.lastrow)-ROW(PLE.firstrow))),0,IF(OFFSET(PLE!$G$14,$M526,AY$13)="",10^12,OFFSET(PLE!$G$14,$M526,AY$13))))</f>
        <v>1000000000000</v>
      </c>
      <c r="AZ526" s="182">
        <f ca="1">IF($D526&lt;&gt;"Serviço",0,IF(OR(AND(AUTOEVENTO="Manual",$M526=1),$M526&gt;(ROW(PLE.lastrow)-ROW(PLE.firstrow))),0,IF(OFFSET(PLE!$G$14,$M526,AZ$13)="",10^12,OFFSET(PLE!$G$14,$M526,AZ$13))))</f>
        <v>1000000000000</v>
      </c>
      <c r="BA526" s="182">
        <f ca="1">IF($D526&lt;&gt;"Serviço",0,IF(OR(AND(AUTOEVENTO="Manual",$M526=1),$M526&gt;(ROW(PLE.lastrow)-ROW(PLE.firstrow))),0,IF(OFFSET(PLE!$G$14,$M526,BA$13)="",10^12,OFFSET(PLE!$G$14,$M526,BA$13))))</f>
        <v>1000000000000</v>
      </c>
      <c r="BB526" s="182">
        <f ca="1">IF($D526&lt;&gt;"Serviço",0,IF(OR(AND(AUTOEVENTO="Manual",$M526=1),$M526&gt;(ROW(PLE.lastrow)-ROW(PLE.firstrow))),0,IF(OFFSET(PLE!$G$14,$M526,BB$13)="",10^12,OFFSET(PLE!$G$14,$M526,BB$13))))</f>
        <v>1000000000000</v>
      </c>
      <c r="BC526" s="182">
        <f ca="1">IF($D526&lt;&gt;"Serviço",0,IF(OR(AND(AUTOEVENTO="Manual",$M526=1),$M526&gt;(ROW(PLE.lastrow)-ROW(PLE.firstrow))),0,IF(OFFSET(PLE!$G$14,$M526,BC$13)="",10^12,OFFSET(PLE!$G$14,$M526,BC$13))))</f>
        <v>1000000000000</v>
      </c>
      <c r="BD526" s="182">
        <f ca="1">IF($D526&lt;&gt;"Serviço",0,IF(OR(AND(AUTOEVENTO="Manual",$M526=1),$M526&gt;(ROW(PLE.lastrow)-ROW(PLE.firstrow))),0,IF(OFFSET(PLE!$G$14,$M526,BD$13)="",10^12,OFFSET(PLE!$G$14,$M526,BD$13))))</f>
        <v>1000000000000</v>
      </c>
      <c r="BE526" s="182">
        <f ca="1">IF($D526&lt;&gt;"Serviço",0,IF(OR(AND(AUTOEVENTO="Manual",$M526=1),$M526&gt;(ROW(PLE.lastrow)-ROW(PLE.firstrow))),0,IF(OFFSET(PLE!$G$14,$M526,BE$13)="",10^12,OFFSET(PLE!$G$14,$M526,BE$13))))</f>
        <v>1000000000000</v>
      </c>
      <c r="BF526" s="182">
        <f ca="1">IF($D526&lt;&gt;"Serviço",0,IF(OR(AND(AUTOEVENTO="Manual",$M526=1),$M526&gt;(ROW(PLE.lastrow)-ROW(PLE.firstrow))),0,IF(OFFSET(PLE!$G$14,$M526,BF$13)="",10^12,OFFSET(PLE!$G$14,$M526,BF$13))))</f>
        <v>1000000000000</v>
      </c>
      <c r="BG526" s="182">
        <f ca="1">IF($D526&lt;&gt;"Serviço",0,IF(OR(AND(AUTOEVENTO="Manual",$M526=1),$M526&gt;(ROW(PLE.lastrow)-ROW(PLE.firstrow))),0,IF(OFFSET(PLE!$G$14,$M526,BG$13)="",10^12,OFFSET(PLE!$G$14,$M526,BG$13))))</f>
        <v>1000000000000</v>
      </c>
    </row>
    <row r="527" spans="1:59" ht="38.25" x14ac:dyDescent="0.2">
      <c r="A527" s="7" t="str">
        <f t="shared" ca="1" si="15"/>
        <v>472</v>
      </c>
      <c r="B527" s="7" t="str">
        <f ca="1">OFFSET(ORÇAMENTO!C$15,ROW(B527)-ROW(B$15),0)</f>
        <v>S</v>
      </c>
      <c r="C527" s="7" t="str">
        <f ca="1">OFFSET(ORÇAMENTO!L$15,ROW(C527)-ROW(C$15),0)</f>
        <v/>
      </c>
      <c r="D527" s="118" t="str">
        <f ca="1">OFFSET(ORÇAMENTO!N$15,ROW(D527)-ROW(D$15),0)</f>
        <v>Serviço</v>
      </c>
      <c r="E527" s="119" t="str">
        <f ca="1">OFFSET(ORÇAMENTO!O$15,ROW(E527)-ROW(E$15),0)</f>
        <v>-</v>
      </c>
      <c r="F527" s="172" t="str">
        <f ca="1">OFFSET(ORÇAMENTO!R$15,ROW(F527)-ROW(F$15),0)</f>
        <v>(abra o arquivo 'Referência 02-2025.xlsm)</v>
      </c>
      <c r="G527" s="173" t="str">
        <f ca="1">IF($D527&lt;&gt;"Serviço","",OFFSET(ORÇAMENTO!S$15,ROW(G527)-ROW(G$15),0))</f>
        <v>-</v>
      </c>
      <c r="H527" s="124">
        <f ca="1">IF($D527&lt;&gt;"Serviço",0,IF(ACOMPANHAMENTO="BM",ROUND(OFFSET(ORÇAMENTO!AJ$15,ROW(H527)-ROW(H$15),0),15-13*ORÇAMENTO!$AF$7),SUMPRODUCT(($Q$12:$AA$12&lt;&gt;"")*ROUND($Q527:$AA527,15-13*ORÇAMENTO!$AF$7))))</f>
        <v>59.2</v>
      </c>
      <c r="I527" s="561" t="s">
        <v>890</v>
      </c>
      <c r="K527" s="174"/>
      <c r="L527" s="175" t="s">
        <v>255</v>
      </c>
      <c r="M527" s="176">
        <f ca="1">IF($D527&lt;&gt;"Serviço","",IF(AUTOEVENTO="manual",$A527,IF(ISERROR(MATCH($A527,$A$15:OFFSET($A527,-1,0),0)),MAX($M$15:OFFSET(M527,-1,0))+1,INDEX($M$15:OFFSET(M527,-1,0),MATCH($A527,$A$15:OFFSET($A527,-1,0),0)))))</f>
        <v>18</v>
      </c>
      <c r="N527" s="177" t="str">
        <f ca="1">IF($D527&lt;&gt;"Serviço","",IF(AUTOEVENTO="Manual",IF($A527=0,"&lt;-- defina o número do agrupador",OFFSET(EVENTOS!$D$14,$A527,0)),OFFSET($F$15,$A527,0)))</f>
        <v>INSTALAÇÕES ELÉTRICAS - 220V</v>
      </c>
      <c r="O527" s="178"/>
      <c r="Q527" s="178"/>
      <c r="R527" s="179"/>
      <c r="S527" s="179"/>
      <c r="T527" s="179"/>
      <c r="U527" s="179"/>
      <c r="V527" s="179"/>
      <c r="W527" s="179"/>
      <c r="X527" s="179"/>
      <c r="Y527" s="179"/>
      <c r="Z527" s="180"/>
      <c r="AB527" s="544">
        <f ca="1">IF(AND($D527="Serviço",AB$12&lt;&gt;0,$H527&gt;0,OR(AUTOEVENTO&lt;&gt;"manual",$M527&lt;&gt;1)),
IF(Import.TipoArredondamento&lt;&gt;"TransfereGOV",
ROUND(OFFSET($P527,0,AB$13),15-13*ORÇAMENTO!$AF$7)/$H527*OFFSET(ORÇAMENTO!$X$15,ROW(AB527)-ROW(AB$15),0),
ROUND(ROUND(OFFSET($P527,0,AB$13),15-13*ORÇAMENTO!$AF$7)*OFFSET(ORÇAMENTO!$W$15,ROW(AB527)-ROW(AB$15),0),15-13*ORÇAMENTO!$AF$11)),0)</f>
        <v>0</v>
      </c>
      <c r="AC527" s="545">
        <f ca="1">IF(AND($D527="Serviço",AC$12&lt;&gt;0,$H527&gt;0,OR(AUTOEVENTO&lt;&gt;"manual",$M527&lt;&gt;1)),
IF(Import.TipoArredondamento&lt;&gt;"TransfereGOV",
ROUND(OFFSET($P527,0,AC$13),15-13*ORÇAMENTO!$AF$7)/$H527*OFFSET(ORÇAMENTO!$X$15,ROW(AC527)-ROW(AC$15),0),
ROUND(ROUND(OFFSET($P527,0,AC$13),15-13*ORÇAMENTO!$AF$7)*OFFSET(ORÇAMENTO!$W$15,ROW(AC527)-ROW(AC$15),0),15-13*ORÇAMENTO!$AF$11)),0)</f>
        <v>0</v>
      </c>
      <c r="AD527" s="545">
        <f ca="1">IF(AND($D527="Serviço",AD$12&lt;&gt;0,$H527&gt;0,OR(AUTOEVENTO&lt;&gt;"manual",$M527&lt;&gt;1)),
IF(Import.TipoArredondamento&lt;&gt;"TransfereGOV",
ROUND(OFFSET($P527,0,AD$13),15-13*ORÇAMENTO!$AF$7)/$H527*OFFSET(ORÇAMENTO!$X$15,ROW(AD527)-ROW(AD$15),0),
ROUND(ROUND(OFFSET($P527,0,AD$13),15-13*ORÇAMENTO!$AF$7)*OFFSET(ORÇAMENTO!$W$15,ROW(AD527)-ROW(AD$15),0),15-13*ORÇAMENTO!$AF$11)),0)</f>
        <v>0</v>
      </c>
      <c r="AE527" s="545">
        <f ca="1">IF(AND($D527="Serviço",AE$12&lt;&gt;0,$H527&gt;0,OR(AUTOEVENTO&lt;&gt;"manual",$M527&lt;&gt;1)),
IF(Import.TipoArredondamento&lt;&gt;"TransfereGOV",
ROUND(OFFSET($P527,0,AE$13),15-13*ORÇAMENTO!$AF$7)/$H527*OFFSET(ORÇAMENTO!$X$15,ROW(AE527)-ROW(AE$15),0),
ROUND(ROUND(OFFSET($P527,0,AE$13),15-13*ORÇAMENTO!$AF$7)*OFFSET(ORÇAMENTO!$W$15,ROW(AE527)-ROW(AE$15),0),15-13*ORÇAMENTO!$AF$11)),0)</f>
        <v>0</v>
      </c>
      <c r="AF527" s="545">
        <f ca="1">IF(AND($D527="Serviço",AF$12&lt;&gt;0,$H527&gt;0,OR(AUTOEVENTO&lt;&gt;"manual",$M527&lt;&gt;1)),
IF(Import.TipoArredondamento&lt;&gt;"TransfereGOV",
ROUND(OFFSET($P527,0,AF$13),15-13*ORÇAMENTO!$AF$7)/$H527*OFFSET(ORÇAMENTO!$X$15,ROW(AF527)-ROW(AF$15),0),
ROUND(ROUND(OFFSET($P527,0,AF$13),15-13*ORÇAMENTO!$AF$7)*OFFSET(ORÇAMENTO!$W$15,ROW(AF527)-ROW(AF$15),0),15-13*ORÇAMENTO!$AF$11)),0)</f>
        <v>0</v>
      </c>
      <c r="AG527" s="545">
        <f ca="1">IF(AND($D527="Serviço",AG$12&lt;&gt;0,$H527&gt;0,OR(AUTOEVENTO&lt;&gt;"manual",$M527&lt;&gt;1)),
IF(Import.TipoArredondamento&lt;&gt;"TransfereGOV",
ROUND(OFFSET($P527,0,AG$13),15-13*ORÇAMENTO!$AF$7)/$H527*OFFSET(ORÇAMENTO!$X$15,ROW(AG527)-ROW(AG$15),0),
ROUND(ROUND(OFFSET($P527,0,AG$13),15-13*ORÇAMENTO!$AF$7)*OFFSET(ORÇAMENTO!$W$15,ROW(AG527)-ROW(AG$15),0),15-13*ORÇAMENTO!$AF$11)),0)</f>
        <v>0</v>
      </c>
      <c r="AH527" s="545">
        <f ca="1">IF(AND($D527="Serviço",AH$12&lt;&gt;0,$H527&gt;0,OR(AUTOEVENTO&lt;&gt;"manual",$M527&lt;&gt;1)),
IF(Import.TipoArredondamento&lt;&gt;"TransfereGOV",
ROUND(OFFSET($P527,0,AH$13),15-13*ORÇAMENTO!$AF$7)/$H527*OFFSET(ORÇAMENTO!$X$15,ROW(AH527)-ROW(AH$15),0),
ROUND(ROUND(OFFSET($P527,0,AH$13),15-13*ORÇAMENTO!$AF$7)*OFFSET(ORÇAMENTO!$W$15,ROW(AH527)-ROW(AH$15),0),15-13*ORÇAMENTO!$AF$11)),0)</f>
        <v>0</v>
      </c>
      <c r="AI527" s="545">
        <f ca="1">IF(AND($D527="Serviço",AI$12&lt;&gt;0,$H527&gt;0,OR(AUTOEVENTO&lt;&gt;"manual",$M527&lt;&gt;1)),
IF(Import.TipoArredondamento&lt;&gt;"TransfereGOV",
ROUND(OFFSET($P527,0,AI$13),15-13*ORÇAMENTO!$AF$7)/$H527*OFFSET(ORÇAMENTO!$X$15,ROW(AI527)-ROW(AI$15),0),
ROUND(ROUND(OFFSET($P527,0,AI$13),15-13*ORÇAMENTO!$AF$7)*OFFSET(ORÇAMENTO!$W$15,ROW(AI527)-ROW(AI$15),0),15-13*ORÇAMENTO!$AF$11)),0)</f>
        <v>0</v>
      </c>
      <c r="AJ527" s="545">
        <f ca="1">IF(AND($D527="Serviço",AJ$12&lt;&gt;0,$H527&gt;0,OR(AUTOEVENTO&lt;&gt;"manual",$M527&lt;&gt;1)),
IF(Import.TipoArredondamento&lt;&gt;"TransfereGOV",
ROUND(OFFSET($P527,0,AJ$13),15-13*ORÇAMENTO!$AF$7)/$H527*OFFSET(ORÇAMENTO!$X$15,ROW(AJ527)-ROW(AJ$15),0),
ROUND(ROUND(OFFSET($P527,0,AJ$13),15-13*ORÇAMENTO!$AF$7)*OFFSET(ORÇAMENTO!$W$15,ROW(AJ527)-ROW(AJ$15),0),15-13*ORÇAMENTO!$AF$11)),0)</f>
        <v>0</v>
      </c>
      <c r="AK527" s="546">
        <f ca="1">IF(AND($D527="Serviço",AK$12&lt;&gt;0,$H527&gt;0,OR(AUTOEVENTO&lt;&gt;"manual",$M527&lt;&gt;1)),
IF(Import.TipoArredondamento&lt;&gt;"TransfereGOV",
ROUND(OFFSET($P527,0,AK$13),15-13*ORÇAMENTO!$AF$7)/$H527*OFFSET(ORÇAMENTO!$X$15,ROW(AK527)-ROW(AK$15),0),
ROUND(ROUND(OFFSET($P527,0,AK$13),15-13*ORÇAMENTO!$AF$7)*OFFSET(ORÇAMENTO!$W$15,ROW(AK527)-ROW(AK$15),0),15-13*ORÇAMENTO!$AF$11)),0)</f>
        <v>0</v>
      </c>
      <c r="AM527" s="181">
        <f ca="1">IF($D527&lt;&gt;"Serviço",0,IF(AND(AUTOEVENTO="Manual",$M527=1),0,IF(OFFSET(CRONOPLE!$F$14,$M527,AM$13)="",10^12,OFFSET(CRONOPLE!$F$14,$M527,AM$13))))</f>
        <v>1000000000000</v>
      </c>
      <c r="AN527" s="181">
        <f ca="1">IF($D527&lt;&gt;"Serviço",0,IF(AND(AUTOEVENTO="Manual",$M527=1),0,IF(OFFSET(CRONOPLE!$F$14,$M527,AN$13)="",10^12,OFFSET(CRONOPLE!$F$14,$M527,AN$13))))</f>
        <v>1000000000000</v>
      </c>
      <c r="AO527" s="181">
        <f ca="1">IF($D527&lt;&gt;"Serviço",0,IF(AND(AUTOEVENTO="Manual",$M527=1),0,IF(OFFSET(CRONOPLE!$F$14,$M527,AO$13)="",10^12,OFFSET(CRONOPLE!$F$14,$M527,AO$13))))</f>
        <v>1000000000000</v>
      </c>
      <c r="AP527" s="181">
        <f ca="1">IF($D527&lt;&gt;"Serviço",0,IF(AND(AUTOEVENTO="Manual",$M527=1),0,IF(OFFSET(CRONOPLE!$F$14,$M527,AP$13)="",10^12,OFFSET(CRONOPLE!$F$14,$M527,AP$13))))</f>
        <v>1000000000000</v>
      </c>
      <c r="AQ527" s="181">
        <f ca="1">IF($D527&lt;&gt;"Serviço",0,IF(AND(AUTOEVENTO="Manual",$M527=1),0,IF(OFFSET(CRONOPLE!$F$14,$M527,AQ$13)="",10^12,OFFSET(CRONOPLE!$F$14,$M527,AQ$13))))</f>
        <v>1000000000000</v>
      </c>
      <c r="AR527" s="181">
        <f ca="1">IF($D527&lt;&gt;"Serviço",0,IF(AND(AUTOEVENTO="Manual",$M527=1),0,IF(OFFSET(CRONOPLE!$F$14,$M527,AR$13)="",10^12,OFFSET(CRONOPLE!$F$14,$M527,AR$13))))</f>
        <v>1000000000000</v>
      </c>
      <c r="AS527" s="181">
        <f ca="1">IF($D527&lt;&gt;"Serviço",0,IF(AND(AUTOEVENTO="Manual",$M527=1),0,IF(OFFSET(CRONOPLE!$F$14,$M527,AS$13)="",10^12,OFFSET(CRONOPLE!$F$14,$M527,AS$13))))</f>
        <v>1000000000000</v>
      </c>
      <c r="AT527" s="181">
        <f ca="1">IF($D527&lt;&gt;"Serviço",0,IF(AND(AUTOEVENTO="Manual",$M527=1),0,IF(OFFSET(CRONOPLE!$F$14,$M527,AT$13)="",10^12,OFFSET(CRONOPLE!$F$14,$M527,AT$13))))</f>
        <v>1000000000000</v>
      </c>
      <c r="AU527" s="181">
        <f ca="1">IF($D527&lt;&gt;"Serviço",0,IF(AND(AUTOEVENTO="Manual",$M527=1),0,IF(OFFSET(CRONOPLE!$F$14,$M527,AU$13)="",10^12,OFFSET(CRONOPLE!$F$14,$M527,AU$13))))</f>
        <v>1000000000000</v>
      </c>
      <c r="AV527" s="181">
        <f ca="1">IF($D527&lt;&gt;"Serviço",0,IF(AND(AUTOEVENTO="Manual",$M527=1),0,IF(OFFSET(CRONOPLE!$F$14,$M527,AV$13)="",10^12,OFFSET(CRONOPLE!$F$14,$M527,AV$13))))</f>
        <v>1000000000000</v>
      </c>
      <c r="AX527" s="182">
        <f ca="1">IF($D527&lt;&gt;"Serviço",0,IF(OR(AND(AUTOEVENTO="Manual",$M527=1),$M527&gt;(ROW(PLE.lastrow)-ROW(PLE.firstrow))),0,IF(OFFSET(PLE!$G$14,$M527,AX$13)="",10^12,OFFSET(PLE!$G$14,$M527,AX$13))))</f>
        <v>1000000000000</v>
      </c>
      <c r="AY527" s="182">
        <f ca="1">IF($D527&lt;&gt;"Serviço",0,IF(OR(AND(AUTOEVENTO="Manual",$M527=1),$M527&gt;(ROW(PLE.lastrow)-ROW(PLE.firstrow))),0,IF(OFFSET(PLE!$G$14,$M527,AY$13)="",10^12,OFFSET(PLE!$G$14,$M527,AY$13))))</f>
        <v>1000000000000</v>
      </c>
      <c r="AZ527" s="182">
        <f ca="1">IF($D527&lt;&gt;"Serviço",0,IF(OR(AND(AUTOEVENTO="Manual",$M527=1),$M527&gt;(ROW(PLE.lastrow)-ROW(PLE.firstrow))),0,IF(OFFSET(PLE!$G$14,$M527,AZ$13)="",10^12,OFFSET(PLE!$G$14,$M527,AZ$13))))</f>
        <v>1000000000000</v>
      </c>
      <c r="BA527" s="182">
        <f ca="1">IF($D527&lt;&gt;"Serviço",0,IF(OR(AND(AUTOEVENTO="Manual",$M527=1),$M527&gt;(ROW(PLE.lastrow)-ROW(PLE.firstrow))),0,IF(OFFSET(PLE!$G$14,$M527,BA$13)="",10^12,OFFSET(PLE!$G$14,$M527,BA$13))))</f>
        <v>1000000000000</v>
      </c>
      <c r="BB527" s="182">
        <f ca="1">IF($D527&lt;&gt;"Serviço",0,IF(OR(AND(AUTOEVENTO="Manual",$M527=1),$M527&gt;(ROW(PLE.lastrow)-ROW(PLE.firstrow))),0,IF(OFFSET(PLE!$G$14,$M527,BB$13)="",10^12,OFFSET(PLE!$G$14,$M527,BB$13))))</f>
        <v>1000000000000</v>
      </c>
      <c r="BC527" s="182">
        <f ca="1">IF($D527&lt;&gt;"Serviço",0,IF(OR(AND(AUTOEVENTO="Manual",$M527=1),$M527&gt;(ROW(PLE.lastrow)-ROW(PLE.firstrow))),0,IF(OFFSET(PLE!$G$14,$M527,BC$13)="",10^12,OFFSET(PLE!$G$14,$M527,BC$13))))</f>
        <v>1000000000000</v>
      </c>
      <c r="BD527" s="182">
        <f ca="1">IF($D527&lt;&gt;"Serviço",0,IF(OR(AND(AUTOEVENTO="Manual",$M527=1),$M527&gt;(ROW(PLE.lastrow)-ROW(PLE.firstrow))),0,IF(OFFSET(PLE!$G$14,$M527,BD$13)="",10^12,OFFSET(PLE!$G$14,$M527,BD$13))))</f>
        <v>1000000000000</v>
      </c>
      <c r="BE527" s="182">
        <f ca="1">IF($D527&lt;&gt;"Serviço",0,IF(OR(AND(AUTOEVENTO="Manual",$M527=1),$M527&gt;(ROW(PLE.lastrow)-ROW(PLE.firstrow))),0,IF(OFFSET(PLE!$G$14,$M527,BE$13)="",10^12,OFFSET(PLE!$G$14,$M527,BE$13))))</f>
        <v>1000000000000</v>
      </c>
      <c r="BF527" s="182">
        <f ca="1">IF($D527&lt;&gt;"Serviço",0,IF(OR(AND(AUTOEVENTO="Manual",$M527=1),$M527&gt;(ROW(PLE.lastrow)-ROW(PLE.firstrow))),0,IF(OFFSET(PLE!$G$14,$M527,BF$13)="",10^12,OFFSET(PLE!$G$14,$M527,BF$13))))</f>
        <v>1000000000000</v>
      </c>
      <c r="BG527" s="182">
        <f ca="1">IF($D527&lt;&gt;"Serviço",0,IF(OR(AND(AUTOEVENTO="Manual",$M527=1),$M527&gt;(ROW(PLE.lastrow)-ROW(PLE.firstrow))),0,IF(OFFSET(PLE!$G$14,$M527,BG$13)="",10^12,OFFSET(PLE!$G$14,$M527,BG$13))))</f>
        <v>1000000000000</v>
      </c>
    </row>
    <row r="528" spans="1:59" ht="38.25" x14ac:dyDescent="0.2">
      <c r="A528" s="7" t="str">
        <f t="shared" ca="1" si="15"/>
        <v>472</v>
      </c>
      <c r="B528" s="7" t="str">
        <f ca="1">OFFSET(ORÇAMENTO!C$15,ROW(B528)-ROW(B$15),0)</f>
        <v>S</v>
      </c>
      <c r="C528" s="7" t="str">
        <f ca="1">OFFSET(ORÇAMENTO!L$15,ROW(C528)-ROW(C$15),0)</f>
        <v/>
      </c>
      <c r="D528" s="118" t="str">
        <f ca="1">OFFSET(ORÇAMENTO!N$15,ROW(D528)-ROW(D$15),0)</f>
        <v>Serviço</v>
      </c>
      <c r="E528" s="119" t="str">
        <f ca="1">OFFSET(ORÇAMENTO!O$15,ROW(E528)-ROW(E$15),0)</f>
        <v>-</v>
      </c>
      <c r="F528" s="172" t="str">
        <f ca="1">OFFSET(ORÇAMENTO!R$15,ROW(F528)-ROW(F$15),0)</f>
        <v>(abra o arquivo 'Referência 02-2025.xlsm)</v>
      </c>
      <c r="G528" s="173" t="str">
        <f ca="1">IF($D528&lt;&gt;"Serviço","",OFFSET(ORÇAMENTO!S$15,ROW(G528)-ROW(G$15),0))</f>
        <v>-</v>
      </c>
      <c r="H528" s="124">
        <f ca="1">IF($D528&lt;&gt;"Serviço",0,IF(ACOMPANHAMENTO="BM",ROUND(OFFSET(ORÇAMENTO!AJ$15,ROW(H528)-ROW(H$15),0),15-13*ORÇAMENTO!$AF$7),SUMPRODUCT(($Q$12:$AA$12&lt;&gt;"")*ROUND($Q528:$AA528,15-13*ORÇAMENTO!$AF$7))))</f>
        <v>75.7</v>
      </c>
      <c r="I528" s="561" t="s">
        <v>890</v>
      </c>
      <c r="K528" s="174"/>
      <c r="L528" s="175" t="s">
        <v>255</v>
      </c>
      <c r="M528" s="176">
        <f ca="1">IF($D528&lt;&gt;"Serviço","",IF(AUTOEVENTO="manual",$A528,IF(ISERROR(MATCH($A528,$A$15:OFFSET($A528,-1,0),0)),MAX($M$15:OFFSET(M528,-1,0))+1,INDEX($M$15:OFFSET(M528,-1,0),MATCH($A528,$A$15:OFFSET($A528,-1,0),0)))))</f>
        <v>18</v>
      </c>
      <c r="N528" s="177" t="str">
        <f ca="1">IF($D528&lt;&gt;"Serviço","",IF(AUTOEVENTO="Manual",IF($A528=0,"&lt;-- defina o número do agrupador",OFFSET(EVENTOS!$D$14,$A528,0)),OFFSET($F$15,$A528,0)))</f>
        <v>INSTALAÇÕES ELÉTRICAS - 220V</v>
      </c>
      <c r="O528" s="178"/>
      <c r="Q528" s="178"/>
      <c r="R528" s="179"/>
      <c r="S528" s="179"/>
      <c r="T528" s="179"/>
      <c r="U528" s="179"/>
      <c r="V528" s="179"/>
      <c r="W528" s="179"/>
      <c r="X528" s="179"/>
      <c r="Y528" s="179"/>
      <c r="Z528" s="180"/>
      <c r="AB528" s="544">
        <f ca="1">IF(AND($D528="Serviço",AB$12&lt;&gt;0,$H528&gt;0,OR(AUTOEVENTO&lt;&gt;"manual",$M528&lt;&gt;1)),
IF(Import.TipoArredondamento&lt;&gt;"TransfereGOV",
ROUND(OFFSET($P528,0,AB$13),15-13*ORÇAMENTO!$AF$7)/$H528*OFFSET(ORÇAMENTO!$X$15,ROW(AB528)-ROW(AB$15),0),
ROUND(ROUND(OFFSET($P528,0,AB$13),15-13*ORÇAMENTO!$AF$7)*OFFSET(ORÇAMENTO!$W$15,ROW(AB528)-ROW(AB$15),0),15-13*ORÇAMENTO!$AF$11)),0)</f>
        <v>0</v>
      </c>
      <c r="AC528" s="545">
        <f ca="1">IF(AND($D528="Serviço",AC$12&lt;&gt;0,$H528&gt;0,OR(AUTOEVENTO&lt;&gt;"manual",$M528&lt;&gt;1)),
IF(Import.TipoArredondamento&lt;&gt;"TransfereGOV",
ROUND(OFFSET($P528,0,AC$13),15-13*ORÇAMENTO!$AF$7)/$H528*OFFSET(ORÇAMENTO!$X$15,ROW(AC528)-ROW(AC$15),0),
ROUND(ROUND(OFFSET($P528,0,AC$13),15-13*ORÇAMENTO!$AF$7)*OFFSET(ORÇAMENTO!$W$15,ROW(AC528)-ROW(AC$15),0),15-13*ORÇAMENTO!$AF$11)),0)</f>
        <v>0</v>
      </c>
      <c r="AD528" s="545">
        <f ca="1">IF(AND($D528="Serviço",AD$12&lt;&gt;0,$H528&gt;0,OR(AUTOEVENTO&lt;&gt;"manual",$M528&lt;&gt;1)),
IF(Import.TipoArredondamento&lt;&gt;"TransfereGOV",
ROUND(OFFSET($P528,0,AD$13),15-13*ORÇAMENTO!$AF$7)/$H528*OFFSET(ORÇAMENTO!$X$15,ROW(AD528)-ROW(AD$15),0),
ROUND(ROUND(OFFSET($P528,0,AD$13),15-13*ORÇAMENTO!$AF$7)*OFFSET(ORÇAMENTO!$W$15,ROW(AD528)-ROW(AD$15),0),15-13*ORÇAMENTO!$AF$11)),0)</f>
        <v>0</v>
      </c>
      <c r="AE528" s="545">
        <f ca="1">IF(AND($D528="Serviço",AE$12&lt;&gt;0,$H528&gt;0,OR(AUTOEVENTO&lt;&gt;"manual",$M528&lt;&gt;1)),
IF(Import.TipoArredondamento&lt;&gt;"TransfereGOV",
ROUND(OFFSET($P528,0,AE$13),15-13*ORÇAMENTO!$AF$7)/$H528*OFFSET(ORÇAMENTO!$X$15,ROW(AE528)-ROW(AE$15),0),
ROUND(ROUND(OFFSET($P528,0,AE$13),15-13*ORÇAMENTO!$AF$7)*OFFSET(ORÇAMENTO!$W$15,ROW(AE528)-ROW(AE$15),0),15-13*ORÇAMENTO!$AF$11)),0)</f>
        <v>0</v>
      </c>
      <c r="AF528" s="545">
        <f ca="1">IF(AND($D528="Serviço",AF$12&lt;&gt;0,$H528&gt;0,OR(AUTOEVENTO&lt;&gt;"manual",$M528&lt;&gt;1)),
IF(Import.TipoArredondamento&lt;&gt;"TransfereGOV",
ROUND(OFFSET($P528,0,AF$13),15-13*ORÇAMENTO!$AF$7)/$H528*OFFSET(ORÇAMENTO!$X$15,ROW(AF528)-ROW(AF$15),0),
ROUND(ROUND(OFFSET($P528,0,AF$13),15-13*ORÇAMENTO!$AF$7)*OFFSET(ORÇAMENTO!$W$15,ROW(AF528)-ROW(AF$15),0),15-13*ORÇAMENTO!$AF$11)),0)</f>
        <v>0</v>
      </c>
      <c r="AG528" s="545">
        <f ca="1">IF(AND($D528="Serviço",AG$12&lt;&gt;0,$H528&gt;0,OR(AUTOEVENTO&lt;&gt;"manual",$M528&lt;&gt;1)),
IF(Import.TipoArredondamento&lt;&gt;"TransfereGOV",
ROUND(OFFSET($P528,0,AG$13),15-13*ORÇAMENTO!$AF$7)/$H528*OFFSET(ORÇAMENTO!$X$15,ROW(AG528)-ROW(AG$15),0),
ROUND(ROUND(OFFSET($P528,0,AG$13),15-13*ORÇAMENTO!$AF$7)*OFFSET(ORÇAMENTO!$W$15,ROW(AG528)-ROW(AG$15),0),15-13*ORÇAMENTO!$AF$11)),0)</f>
        <v>0</v>
      </c>
      <c r="AH528" s="545">
        <f ca="1">IF(AND($D528="Serviço",AH$12&lt;&gt;0,$H528&gt;0,OR(AUTOEVENTO&lt;&gt;"manual",$M528&lt;&gt;1)),
IF(Import.TipoArredondamento&lt;&gt;"TransfereGOV",
ROUND(OFFSET($P528,0,AH$13),15-13*ORÇAMENTO!$AF$7)/$H528*OFFSET(ORÇAMENTO!$X$15,ROW(AH528)-ROW(AH$15),0),
ROUND(ROUND(OFFSET($P528,0,AH$13),15-13*ORÇAMENTO!$AF$7)*OFFSET(ORÇAMENTO!$W$15,ROW(AH528)-ROW(AH$15),0),15-13*ORÇAMENTO!$AF$11)),0)</f>
        <v>0</v>
      </c>
      <c r="AI528" s="545">
        <f ca="1">IF(AND($D528="Serviço",AI$12&lt;&gt;0,$H528&gt;0,OR(AUTOEVENTO&lt;&gt;"manual",$M528&lt;&gt;1)),
IF(Import.TipoArredondamento&lt;&gt;"TransfereGOV",
ROUND(OFFSET($P528,0,AI$13),15-13*ORÇAMENTO!$AF$7)/$H528*OFFSET(ORÇAMENTO!$X$15,ROW(AI528)-ROW(AI$15),0),
ROUND(ROUND(OFFSET($P528,0,AI$13),15-13*ORÇAMENTO!$AF$7)*OFFSET(ORÇAMENTO!$W$15,ROW(AI528)-ROW(AI$15),0),15-13*ORÇAMENTO!$AF$11)),0)</f>
        <v>0</v>
      </c>
      <c r="AJ528" s="545">
        <f ca="1">IF(AND($D528="Serviço",AJ$12&lt;&gt;0,$H528&gt;0,OR(AUTOEVENTO&lt;&gt;"manual",$M528&lt;&gt;1)),
IF(Import.TipoArredondamento&lt;&gt;"TransfereGOV",
ROUND(OFFSET($P528,0,AJ$13),15-13*ORÇAMENTO!$AF$7)/$H528*OFFSET(ORÇAMENTO!$X$15,ROW(AJ528)-ROW(AJ$15),0),
ROUND(ROUND(OFFSET($P528,0,AJ$13),15-13*ORÇAMENTO!$AF$7)*OFFSET(ORÇAMENTO!$W$15,ROW(AJ528)-ROW(AJ$15),0),15-13*ORÇAMENTO!$AF$11)),0)</f>
        <v>0</v>
      </c>
      <c r="AK528" s="546">
        <f ca="1">IF(AND($D528="Serviço",AK$12&lt;&gt;0,$H528&gt;0,OR(AUTOEVENTO&lt;&gt;"manual",$M528&lt;&gt;1)),
IF(Import.TipoArredondamento&lt;&gt;"TransfereGOV",
ROUND(OFFSET($P528,0,AK$13),15-13*ORÇAMENTO!$AF$7)/$H528*OFFSET(ORÇAMENTO!$X$15,ROW(AK528)-ROW(AK$15),0),
ROUND(ROUND(OFFSET($P528,0,AK$13),15-13*ORÇAMENTO!$AF$7)*OFFSET(ORÇAMENTO!$W$15,ROW(AK528)-ROW(AK$15),0),15-13*ORÇAMENTO!$AF$11)),0)</f>
        <v>0</v>
      </c>
      <c r="AM528" s="181">
        <f ca="1">IF($D528&lt;&gt;"Serviço",0,IF(AND(AUTOEVENTO="Manual",$M528=1),0,IF(OFFSET(CRONOPLE!$F$14,$M528,AM$13)="",10^12,OFFSET(CRONOPLE!$F$14,$M528,AM$13))))</f>
        <v>1000000000000</v>
      </c>
      <c r="AN528" s="181">
        <f ca="1">IF($D528&lt;&gt;"Serviço",0,IF(AND(AUTOEVENTO="Manual",$M528=1),0,IF(OFFSET(CRONOPLE!$F$14,$M528,AN$13)="",10^12,OFFSET(CRONOPLE!$F$14,$M528,AN$13))))</f>
        <v>1000000000000</v>
      </c>
      <c r="AO528" s="181">
        <f ca="1">IF($D528&lt;&gt;"Serviço",0,IF(AND(AUTOEVENTO="Manual",$M528=1),0,IF(OFFSET(CRONOPLE!$F$14,$M528,AO$13)="",10^12,OFFSET(CRONOPLE!$F$14,$M528,AO$13))))</f>
        <v>1000000000000</v>
      </c>
      <c r="AP528" s="181">
        <f ca="1">IF($D528&lt;&gt;"Serviço",0,IF(AND(AUTOEVENTO="Manual",$M528=1),0,IF(OFFSET(CRONOPLE!$F$14,$M528,AP$13)="",10^12,OFFSET(CRONOPLE!$F$14,$M528,AP$13))))</f>
        <v>1000000000000</v>
      </c>
      <c r="AQ528" s="181">
        <f ca="1">IF($D528&lt;&gt;"Serviço",0,IF(AND(AUTOEVENTO="Manual",$M528=1),0,IF(OFFSET(CRONOPLE!$F$14,$M528,AQ$13)="",10^12,OFFSET(CRONOPLE!$F$14,$M528,AQ$13))))</f>
        <v>1000000000000</v>
      </c>
      <c r="AR528" s="181">
        <f ca="1">IF($D528&lt;&gt;"Serviço",0,IF(AND(AUTOEVENTO="Manual",$M528=1),0,IF(OFFSET(CRONOPLE!$F$14,$M528,AR$13)="",10^12,OFFSET(CRONOPLE!$F$14,$M528,AR$13))))</f>
        <v>1000000000000</v>
      </c>
      <c r="AS528" s="181">
        <f ca="1">IF($D528&lt;&gt;"Serviço",0,IF(AND(AUTOEVENTO="Manual",$M528=1),0,IF(OFFSET(CRONOPLE!$F$14,$M528,AS$13)="",10^12,OFFSET(CRONOPLE!$F$14,$M528,AS$13))))</f>
        <v>1000000000000</v>
      </c>
      <c r="AT528" s="181">
        <f ca="1">IF($D528&lt;&gt;"Serviço",0,IF(AND(AUTOEVENTO="Manual",$M528=1),0,IF(OFFSET(CRONOPLE!$F$14,$M528,AT$13)="",10^12,OFFSET(CRONOPLE!$F$14,$M528,AT$13))))</f>
        <v>1000000000000</v>
      </c>
      <c r="AU528" s="181">
        <f ca="1">IF($D528&lt;&gt;"Serviço",0,IF(AND(AUTOEVENTO="Manual",$M528=1),0,IF(OFFSET(CRONOPLE!$F$14,$M528,AU$13)="",10^12,OFFSET(CRONOPLE!$F$14,$M528,AU$13))))</f>
        <v>1000000000000</v>
      </c>
      <c r="AV528" s="181">
        <f ca="1">IF($D528&lt;&gt;"Serviço",0,IF(AND(AUTOEVENTO="Manual",$M528=1),0,IF(OFFSET(CRONOPLE!$F$14,$M528,AV$13)="",10^12,OFFSET(CRONOPLE!$F$14,$M528,AV$13))))</f>
        <v>1000000000000</v>
      </c>
      <c r="AX528" s="182">
        <f ca="1">IF($D528&lt;&gt;"Serviço",0,IF(OR(AND(AUTOEVENTO="Manual",$M528=1),$M528&gt;(ROW(PLE.lastrow)-ROW(PLE.firstrow))),0,IF(OFFSET(PLE!$G$14,$M528,AX$13)="",10^12,OFFSET(PLE!$G$14,$M528,AX$13))))</f>
        <v>1000000000000</v>
      </c>
      <c r="AY528" s="182">
        <f ca="1">IF($D528&lt;&gt;"Serviço",0,IF(OR(AND(AUTOEVENTO="Manual",$M528=1),$M528&gt;(ROW(PLE.lastrow)-ROW(PLE.firstrow))),0,IF(OFFSET(PLE!$G$14,$M528,AY$13)="",10^12,OFFSET(PLE!$G$14,$M528,AY$13))))</f>
        <v>1000000000000</v>
      </c>
      <c r="AZ528" s="182">
        <f ca="1">IF($D528&lt;&gt;"Serviço",0,IF(OR(AND(AUTOEVENTO="Manual",$M528=1),$M528&gt;(ROW(PLE.lastrow)-ROW(PLE.firstrow))),0,IF(OFFSET(PLE!$G$14,$M528,AZ$13)="",10^12,OFFSET(PLE!$G$14,$M528,AZ$13))))</f>
        <v>1000000000000</v>
      </c>
      <c r="BA528" s="182">
        <f ca="1">IF($D528&lt;&gt;"Serviço",0,IF(OR(AND(AUTOEVENTO="Manual",$M528=1),$M528&gt;(ROW(PLE.lastrow)-ROW(PLE.firstrow))),0,IF(OFFSET(PLE!$G$14,$M528,BA$13)="",10^12,OFFSET(PLE!$G$14,$M528,BA$13))))</f>
        <v>1000000000000</v>
      </c>
      <c r="BB528" s="182">
        <f ca="1">IF($D528&lt;&gt;"Serviço",0,IF(OR(AND(AUTOEVENTO="Manual",$M528=1),$M528&gt;(ROW(PLE.lastrow)-ROW(PLE.firstrow))),0,IF(OFFSET(PLE!$G$14,$M528,BB$13)="",10^12,OFFSET(PLE!$G$14,$M528,BB$13))))</f>
        <v>1000000000000</v>
      </c>
      <c r="BC528" s="182">
        <f ca="1">IF($D528&lt;&gt;"Serviço",0,IF(OR(AND(AUTOEVENTO="Manual",$M528=1),$M528&gt;(ROW(PLE.lastrow)-ROW(PLE.firstrow))),0,IF(OFFSET(PLE!$G$14,$M528,BC$13)="",10^12,OFFSET(PLE!$G$14,$M528,BC$13))))</f>
        <v>1000000000000</v>
      </c>
      <c r="BD528" s="182">
        <f ca="1">IF($D528&lt;&gt;"Serviço",0,IF(OR(AND(AUTOEVENTO="Manual",$M528=1),$M528&gt;(ROW(PLE.lastrow)-ROW(PLE.firstrow))),0,IF(OFFSET(PLE!$G$14,$M528,BD$13)="",10^12,OFFSET(PLE!$G$14,$M528,BD$13))))</f>
        <v>1000000000000</v>
      </c>
      <c r="BE528" s="182">
        <f ca="1">IF($D528&lt;&gt;"Serviço",0,IF(OR(AND(AUTOEVENTO="Manual",$M528=1),$M528&gt;(ROW(PLE.lastrow)-ROW(PLE.firstrow))),0,IF(OFFSET(PLE!$G$14,$M528,BE$13)="",10^12,OFFSET(PLE!$G$14,$M528,BE$13))))</f>
        <v>1000000000000</v>
      </c>
      <c r="BF528" s="182">
        <f ca="1">IF($D528&lt;&gt;"Serviço",0,IF(OR(AND(AUTOEVENTO="Manual",$M528=1),$M528&gt;(ROW(PLE.lastrow)-ROW(PLE.firstrow))),0,IF(OFFSET(PLE!$G$14,$M528,BF$13)="",10^12,OFFSET(PLE!$G$14,$M528,BF$13))))</f>
        <v>1000000000000</v>
      </c>
      <c r="BG528" s="182">
        <f ca="1">IF($D528&lt;&gt;"Serviço",0,IF(OR(AND(AUTOEVENTO="Manual",$M528=1),$M528&gt;(ROW(PLE.lastrow)-ROW(PLE.firstrow))),0,IF(OFFSET(PLE!$G$14,$M528,BG$13)="",10^12,OFFSET(PLE!$G$14,$M528,BG$13))))</f>
        <v>1000000000000</v>
      </c>
    </row>
    <row r="529" spans="1:59" ht="38.25" x14ac:dyDescent="0.2">
      <c r="A529" s="7" t="str">
        <f t="shared" ca="1" si="15"/>
        <v>472</v>
      </c>
      <c r="B529" s="7" t="str">
        <f ca="1">OFFSET(ORÇAMENTO!C$15,ROW(B529)-ROW(B$15),0)</f>
        <v>S</v>
      </c>
      <c r="C529" s="7" t="str">
        <f ca="1">OFFSET(ORÇAMENTO!L$15,ROW(C529)-ROW(C$15),0)</f>
        <v/>
      </c>
      <c r="D529" s="118" t="str">
        <f ca="1">OFFSET(ORÇAMENTO!N$15,ROW(D529)-ROW(D$15),0)</f>
        <v>Serviço</v>
      </c>
      <c r="E529" s="119" t="str">
        <f ca="1">OFFSET(ORÇAMENTO!O$15,ROW(E529)-ROW(E$15),0)</f>
        <v>-</v>
      </c>
      <c r="F529" s="172" t="str">
        <f ca="1">OFFSET(ORÇAMENTO!R$15,ROW(F529)-ROW(F$15),0)</f>
        <v>(abra o arquivo 'Referência 02-2025.xlsm)</v>
      </c>
      <c r="G529" s="173" t="str">
        <f ca="1">IF($D529&lt;&gt;"Serviço","",OFFSET(ORÇAMENTO!S$15,ROW(G529)-ROW(G$15),0))</f>
        <v>-</v>
      </c>
      <c r="H529" s="124">
        <f ca="1">IF($D529&lt;&gt;"Serviço",0,IF(ACOMPANHAMENTO="BM",ROUND(OFFSET(ORÇAMENTO!AJ$15,ROW(H529)-ROW(H$15),0),15-13*ORÇAMENTO!$AF$7),SUMPRODUCT(($Q$12:$AA$12&lt;&gt;"")*ROUND($Q529:$AA529,15-13*ORÇAMENTO!$AF$7))))</f>
        <v>58.1</v>
      </c>
      <c r="I529" s="561" t="s">
        <v>890</v>
      </c>
      <c r="K529" s="174"/>
      <c r="L529" s="175" t="s">
        <v>255</v>
      </c>
      <c r="M529" s="176">
        <f ca="1">IF($D529&lt;&gt;"Serviço","",IF(AUTOEVENTO="manual",$A529,IF(ISERROR(MATCH($A529,$A$15:OFFSET($A529,-1,0),0)),MAX($M$15:OFFSET(M529,-1,0))+1,INDEX($M$15:OFFSET(M529,-1,0),MATCH($A529,$A$15:OFFSET($A529,-1,0),0)))))</f>
        <v>18</v>
      </c>
      <c r="N529" s="177" t="str">
        <f ca="1">IF($D529&lt;&gt;"Serviço","",IF(AUTOEVENTO="Manual",IF($A529=0,"&lt;-- defina o número do agrupador",OFFSET(EVENTOS!$D$14,$A529,0)),OFFSET($F$15,$A529,0)))</f>
        <v>INSTALAÇÕES ELÉTRICAS - 220V</v>
      </c>
      <c r="O529" s="178"/>
      <c r="Q529" s="178"/>
      <c r="R529" s="179"/>
      <c r="S529" s="179"/>
      <c r="T529" s="179"/>
      <c r="U529" s="179"/>
      <c r="V529" s="179"/>
      <c r="W529" s="179"/>
      <c r="X529" s="179"/>
      <c r="Y529" s="179"/>
      <c r="Z529" s="180"/>
      <c r="AB529" s="544">
        <f ca="1">IF(AND($D529="Serviço",AB$12&lt;&gt;0,$H529&gt;0,OR(AUTOEVENTO&lt;&gt;"manual",$M529&lt;&gt;1)),
IF(Import.TipoArredondamento&lt;&gt;"TransfereGOV",
ROUND(OFFSET($P529,0,AB$13),15-13*ORÇAMENTO!$AF$7)/$H529*OFFSET(ORÇAMENTO!$X$15,ROW(AB529)-ROW(AB$15),0),
ROUND(ROUND(OFFSET($P529,0,AB$13),15-13*ORÇAMENTO!$AF$7)*OFFSET(ORÇAMENTO!$W$15,ROW(AB529)-ROW(AB$15),0),15-13*ORÇAMENTO!$AF$11)),0)</f>
        <v>0</v>
      </c>
      <c r="AC529" s="545">
        <f ca="1">IF(AND($D529="Serviço",AC$12&lt;&gt;0,$H529&gt;0,OR(AUTOEVENTO&lt;&gt;"manual",$M529&lt;&gt;1)),
IF(Import.TipoArredondamento&lt;&gt;"TransfereGOV",
ROUND(OFFSET($P529,0,AC$13),15-13*ORÇAMENTO!$AF$7)/$H529*OFFSET(ORÇAMENTO!$X$15,ROW(AC529)-ROW(AC$15),0),
ROUND(ROUND(OFFSET($P529,0,AC$13),15-13*ORÇAMENTO!$AF$7)*OFFSET(ORÇAMENTO!$W$15,ROW(AC529)-ROW(AC$15),0),15-13*ORÇAMENTO!$AF$11)),0)</f>
        <v>0</v>
      </c>
      <c r="AD529" s="545">
        <f ca="1">IF(AND($D529="Serviço",AD$12&lt;&gt;0,$H529&gt;0,OR(AUTOEVENTO&lt;&gt;"manual",$M529&lt;&gt;1)),
IF(Import.TipoArredondamento&lt;&gt;"TransfereGOV",
ROUND(OFFSET($P529,0,AD$13),15-13*ORÇAMENTO!$AF$7)/$H529*OFFSET(ORÇAMENTO!$X$15,ROW(AD529)-ROW(AD$15),0),
ROUND(ROUND(OFFSET($P529,0,AD$13),15-13*ORÇAMENTO!$AF$7)*OFFSET(ORÇAMENTO!$W$15,ROW(AD529)-ROW(AD$15),0),15-13*ORÇAMENTO!$AF$11)),0)</f>
        <v>0</v>
      </c>
      <c r="AE529" s="545">
        <f ca="1">IF(AND($D529="Serviço",AE$12&lt;&gt;0,$H529&gt;0,OR(AUTOEVENTO&lt;&gt;"manual",$M529&lt;&gt;1)),
IF(Import.TipoArredondamento&lt;&gt;"TransfereGOV",
ROUND(OFFSET($P529,0,AE$13),15-13*ORÇAMENTO!$AF$7)/$H529*OFFSET(ORÇAMENTO!$X$15,ROW(AE529)-ROW(AE$15),0),
ROUND(ROUND(OFFSET($P529,0,AE$13),15-13*ORÇAMENTO!$AF$7)*OFFSET(ORÇAMENTO!$W$15,ROW(AE529)-ROW(AE$15),0),15-13*ORÇAMENTO!$AF$11)),0)</f>
        <v>0</v>
      </c>
      <c r="AF529" s="545">
        <f ca="1">IF(AND($D529="Serviço",AF$12&lt;&gt;0,$H529&gt;0,OR(AUTOEVENTO&lt;&gt;"manual",$M529&lt;&gt;1)),
IF(Import.TipoArredondamento&lt;&gt;"TransfereGOV",
ROUND(OFFSET($P529,0,AF$13),15-13*ORÇAMENTO!$AF$7)/$H529*OFFSET(ORÇAMENTO!$X$15,ROW(AF529)-ROW(AF$15),0),
ROUND(ROUND(OFFSET($P529,0,AF$13),15-13*ORÇAMENTO!$AF$7)*OFFSET(ORÇAMENTO!$W$15,ROW(AF529)-ROW(AF$15),0),15-13*ORÇAMENTO!$AF$11)),0)</f>
        <v>0</v>
      </c>
      <c r="AG529" s="545">
        <f ca="1">IF(AND($D529="Serviço",AG$12&lt;&gt;0,$H529&gt;0,OR(AUTOEVENTO&lt;&gt;"manual",$M529&lt;&gt;1)),
IF(Import.TipoArredondamento&lt;&gt;"TransfereGOV",
ROUND(OFFSET($P529,0,AG$13),15-13*ORÇAMENTO!$AF$7)/$H529*OFFSET(ORÇAMENTO!$X$15,ROW(AG529)-ROW(AG$15),0),
ROUND(ROUND(OFFSET($P529,0,AG$13),15-13*ORÇAMENTO!$AF$7)*OFFSET(ORÇAMENTO!$W$15,ROW(AG529)-ROW(AG$15),0),15-13*ORÇAMENTO!$AF$11)),0)</f>
        <v>0</v>
      </c>
      <c r="AH529" s="545">
        <f ca="1">IF(AND($D529="Serviço",AH$12&lt;&gt;0,$H529&gt;0,OR(AUTOEVENTO&lt;&gt;"manual",$M529&lt;&gt;1)),
IF(Import.TipoArredondamento&lt;&gt;"TransfereGOV",
ROUND(OFFSET($P529,0,AH$13),15-13*ORÇAMENTO!$AF$7)/$H529*OFFSET(ORÇAMENTO!$X$15,ROW(AH529)-ROW(AH$15),0),
ROUND(ROUND(OFFSET($P529,0,AH$13),15-13*ORÇAMENTO!$AF$7)*OFFSET(ORÇAMENTO!$W$15,ROW(AH529)-ROW(AH$15),0),15-13*ORÇAMENTO!$AF$11)),0)</f>
        <v>0</v>
      </c>
      <c r="AI529" s="545">
        <f ca="1">IF(AND($D529="Serviço",AI$12&lt;&gt;0,$H529&gt;0,OR(AUTOEVENTO&lt;&gt;"manual",$M529&lt;&gt;1)),
IF(Import.TipoArredondamento&lt;&gt;"TransfereGOV",
ROUND(OFFSET($P529,0,AI$13),15-13*ORÇAMENTO!$AF$7)/$H529*OFFSET(ORÇAMENTO!$X$15,ROW(AI529)-ROW(AI$15),0),
ROUND(ROUND(OFFSET($P529,0,AI$13),15-13*ORÇAMENTO!$AF$7)*OFFSET(ORÇAMENTO!$W$15,ROW(AI529)-ROW(AI$15),0),15-13*ORÇAMENTO!$AF$11)),0)</f>
        <v>0</v>
      </c>
      <c r="AJ529" s="545">
        <f ca="1">IF(AND($D529="Serviço",AJ$12&lt;&gt;0,$H529&gt;0,OR(AUTOEVENTO&lt;&gt;"manual",$M529&lt;&gt;1)),
IF(Import.TipoArredondamento&lt;&gt;"TransfereGOV",
ROUND(OFFSET($P529,0,AJ$13),15-13*ORÇAMENTO!$AF$7)/$H529*OFFSET(ORÇAMENTO!$X$15,ROW(AJ529)-ROW(AJ$15),0),
ROUND(ROUND(OFFSET($P529,0,AJ$13),15-13*ORÇAMENTO!$AF$7)*OFFSET(ORÇAMENTO!$W$15,ROW(AJ529)-ROW(AJ$15),0),15-13*ORÇAMENTO!$AF$11)),0)</f>
        <v>0</v>
      </c>
      <c r="AK529" s="546">
        <f ca="1">IF(AND($D529="Serviço",AK$12&lt;&gt;0,$H529&gt;0,OR(AUTOEVENTO&lt;&gt;"manual",$M529&lt;&gt;1)),
IF(Import.TipoArredondamento&lt;&gt;"TransfereGOV",
ROUND(OFFSET($P529,0,AK$13),15-13*ORÇAMENTO!$AF$7)/$H529*OFFSET(ORÇAMENTO!$X$15,ROW(AK529)-ROW(AK$15),0),
ROUND(ROUND(OFFSET($P529,0,AK$13),15-13*ORÇAMENTO!$AF$7)*OFFSET(ORÇAMENTO!$W$15,ROW(AK529)-ROW(AK$15),0),15-13*ORÇAMENTO!$AF$11)),0)</f>
        <v>0</v>
      </c>
      <c r="AM529" s="181">
        <f ca="1">IF($D529&lt;&gt;"Serviço",0,IF(AND(AUTOEVENTO="Manual",$M529=1),0,IF(OFFSET(CRONOPLE!$F$14,$M529,AM$13)="",10^12,OFFSET(CRONOPLE!$F$14,$M529,AM$13))))</f>
        <v>1000000000000</v>
      </c>
      <c r="AN529" s="181">
        <f ca="1">IF($D529&lt;&gt;"Serviço",0,IF(AND(AUTOEVENTO="Manual",$M529=1),0,IF(OFFSET(CRONOPLE!$F$14,$M529,AN$13)="",10^12,OFFSET(CRONOPLE!$F$14,$M529,AN$13))))</f>
        <v>1000000000000</v>
      </c>
      <c r="AO529" s="181">
        <f ca="1">IF($D529&lt;&gt;"Serviço",0,IF(AND(AUTOEVENTO="Manual",$M529=1),0,IF(OFFSET(CRONOPLE!$F$14,$M529,AO$13)="",10^12,OFFSET(CRONOPLE!$F$14,$M529,AO$13))))</f>
        <v>1000000000000</v>
      </c>
      <c r="AP529" s="181">
        <f ca="1">IF($D529&lt;&gt;"Serviço",0,IF(AND(AUTOEVENTO="Manual",$M529=1),0,IF(OFFSET(CRONOPLE!$F$14,$M529,AP$13)="",10^12,OFFSET(CRONOPLE!$F$14,$M529,AP$13))))</f>
        <v>1000000000000</v>
      </c>
      <c r="AQ529" s="181">
        <f ca="1">IF($D529&lt;&gt;"Serviço",0,IF(AND(AUTOEVENTO="Manual",$M529=1),0,IF(OFFSET(CRONOPLE!$F$14,$M529,AQ$13)="",10^12,OFFSET(CRONOPLE!$F$14,$M529,AQ$13))))</f>
        <v>1000000000000</v>
      </c>
      <c r="AR529" s="181">
        <f ca="1">IF($D529&lt;&gt;"Serviço",0,IF(AND(AUTOEVENTO="Manual",$M529=1),0,IF(OFFSET(CRONOPLE!$F$14,$M529,AR$13)="",10^12,OFFSET(CRONOPLE!$F$14,$M529,AR$13))))</f>
        <v>1000000000000</v>
      </c>
      <c r="AS529" s="181">
        <f ca="1">IF($D529&lt;&gt;"Serviço",0,IF(AND(AUTOEVENTO="Manual",$M529=1),0,IF(OFFSET(CRONOPLE!$F$14,$M529,AS$13)="",10^12,OFFSET(CRONOPLE!$F$14,$M529,AS$13))))</f>
        <v>1000000000000</v>
      </c>
      <c r="AT529" s="181">
        <f ca="1">IF($D529&lt;&gt;"Serviço",0,IF(AND(AUTOEVENTO="Manual",$M529=1),0,IF(OFFSET(CRONOPLE!$F$14,$M529,AT$13)="",10^12,OFFSET(CRONOPLE!$F$14,$M529,AT$13))))</f>
        <v>1000000000000</v>
      </c>
      <c r="AU529" s="181">
        <f ca="1">IF($D529&lt;&gt;"Serviço",0,IF(AND(AUTOEVENTO="Manual",$M529=1),0,IF(OFFSET(CRONOPLE!$F$14,$M529,AU$13)="",10^12,OFFSET(CRONOPLE!$F$14,$M529,AU$13))))</f>
        <v>1000000000000</v>
      </c>
      <c r="AV529" s="181">
        <f ca="1">IF($D529&lt;&gt;"Serviço",0,IF(AND(AUTOEVENTO="Manual",$M529=1),0,IF(OFFSET(CRONOPLE!$F$14,$M529,AV$13)="",10^12,OFFSET(CRONOPLE!$F$14,$M529,AV$13))))</f>
        <v>1000000000000</v>
      </c>
      <c r="AX529" s="182">
        <f ca="1">IF($D529&lt;&gt;"Serviço",0,IF(OR(AND(AUTOEVENTO="Manual",$M529=1),$M529&gt;(ROW(PLE.lastrow)-ROW(PLE.firstrow))),0,IF(OFFSET(PLE!$G$14,$M529,AX$13)="",10^12,OFFSET(PLE!$G$14,$M529,AX$13))))</f>
        <v>1000000000000</v>
      </c>
      <c r="AY529" s="182">
        <f ca="1">IF($D529&lt;&gt;"Serviço",0,IF(OR(AND(AUTOEVENTO="Manual",$M529=1),$M529&gt;(ROW(PLE.lastrow)-ROW(PLE.firstrow))),0,IF(OFFSET(PLE!$G$14,$M529,AY$13)="",10^12,OFFSET(PLE!$G$14,$M529,AY$13))))</f>
        <v>1000000000000</v>
      </c>
      <c r="AZ529" s="182">
        <f ca="1">IF($D529&lt;&gt;"Serviço",0,IF(OR(AND(AUTOEVENTO="Manual",$M529=1),$M529&gt;(ROW(PLE.lastrow)-ROW(PLE.firstrow))),0,IF(OFFSET(PLE!$G$14,$M529,AZ$13)="",10^12,OFFSET(PLE!$G$14,$M529,AZ$13))))</f>
        <v>1000000000000</v>
      </c>
      <c r="BA529" s="182">
        <f ca="1">IF($D529&lt;&gt;"Serviço",0,IF(OR(AND(AUTOEVENTO="Manual",$M529=1),$M529&gt;(ROW(PLE.lastrow)-ROW(PLE.firstrow))),0,IF(OFFSET(PLE!$G$14,$M529,BA$13)="",10^12,OFFSET(PLE!$G$14,$M529,BA$13))))</f>
        <v>1000000000000</v>
      </c>
      <c r="BB529" s="182">
        <f ca="1">IF($D529&lt;&gt;"Serviço",0,IF(OR(AND(AUTOEVENTO="Manual",$M529=1),$M529&gt;(ROW(PLE.lastrow)-ROW(PLE.firstrow))),0,IF(OFFSET(PLE!$G$14,$M529,BB$13)="",10^12,OFFSET(PLE!$G$14,$M529,BB$13))))</f>
        <v>1000000000000</v>
      </c>
      <c r="BC529" s="182">
        <f ca="1">IF($D529&lt;&gt;"Serviço",0,IF(OR(AND(AUTOEVENTO="Manual",$M529=1),$M529&gt;(ROW(PLE.lastrow)-ROW(PLE.firstrow))),0,IF(OFFSET(PLE!$G$14,$M529,BC$13)="",10^12,OFFSET(PLE!$G$14,$M529,BC$13))))</f>
        <v>1000000000000</v>
      </c>
      <c r="BD529" s="182">
        <f ca="1">IF($D529&lt;&gt;"Serviço",0,IF(OR(AND(AUTOEVENTO="Manual",$M529=1),$M529&gt;(ROW(PLE.lastrow)-ROW(PLE.firstrow))),0,IF(OFFSET(PLE!$G$14,$M529,BD$13)="",10^12,OFFSET(PLE!$G$14,$M529,BD$13))))</f>
        <v>1000000000000</v>
      </c>
      <c r="BE529" s="182">
        <f ca="1">IF($D529&lt;&gt;"Serviço",0,IF(OR(AND(AUTOEVENTO="Manual",$M529=1),$M529&gt;(ROW(PLE.lastrow)-ROW(PLE.firstrow))),0,IF(OFFSET(PLE!$G$14,$M529,BE$13)="",10^12,OFFSET(PLE!$G$14,$M529,BE$13))))</f>
        <v>1000000000000</v>
      </c>
      <c r="BF529" s="182">
        <f ca="1">IF($D529&lt;&gt;"Serviço",0,IF(OR(AND(AUTOEVENTO="Manual",$M529=1),$M529&gt;(ROW(PLE.lastrow)-ROW(PLE.firstrow))),0,IF(OFFSET(PLE!$G$14,$M529,BF$13)="",10^12,OFFSET(PLE!$G$14,$M529,BF$13))))</f>
        <v>1000000000000</v>
      </c>
      <c r="BG529" s="182">
        <f ca="1">IF($D529&lt;&gt;"Serviço",0,IF(OR(AND(AUTOEVENTO="Manual",$M529=1),$M529&gt;(ROW(PLE.lastrow)-ROW(PLE.firstrow))),0,IF(OFFSET(PLE!$G$14,$M529,BG$13)="",10^12,OFFSET(PLE!$G$14,$M529,BG$13))))</f>
        <v>1000000000000</v>
      </c>
    </row>
    <row r="530" spans="1:59" ht="38.25" x14ac:dyDescent="0.2">
      <c r="A530" s="7" t="str">
        <f t="shared" ca="1" si="15"/>
        <v>472</v>
      </c>
      <c r="B530" s="7" t="str">
        <f ca="1">OFFSET(ORÇAMENTO!C$15,ROW(B530)-ROW(B$15),0)</f>
        <v>S</v>
      </c>
      <c r="C530" s="7" t="str">
        <f ca="1">OFFSET(ORÇAMENTO!L$15,ROW(C530)-ROW(C$15),0)</f>
        <v/>
      </c>
      <c r="D530" s="118" t="str">
        <f ca="1">OFFSET(ORÇAMENTO!N$15,ROW(D530)-ROW(D$15),0)</f>
        <v>Serviço</v>
      </c>
      <c r="E530" s="119" t="str">
        <f ca="1">OFFSET(ORÇAMENTO!O$15,ROW(E530)-ROW(E$15),0)</f>
        <v>-</v>
      </c>
      <c r="F530" s="172" t="str">
        <f ca="1">OFFSET(ORÇAMENTO!R$15,ROW(F530)-ROW(F$15),0)</f>
        <v>(abra o arquivo 'Referência 02-2025.xlsm)</v>
      </c>
      <c r="G530" s="173" t="str">
        <f ca="1">IF($D530&lt;&gt;"Serviço","",OFFSET(ORÇAMENTO!S$15,ROW(G530)-ROW(G$15),0))</f>
        <v>-</v>
      </c>
      <c r="H530" s="124">
        <f ca="1">IF($D530&lt;&gt;"Serviço",0,IF(ACOMPANHAMENTO="BM",ROUND(OFFSET(ORÇAMENTO!AJ$15,ROW(H530)-ROW(H$15),0),15-13*ORÇAMENTO!$AF$7),SUMPRODUCT(($Q$12:$AA$12&lt;&gt;"")*ROUND($Q530:$AA530,15-13*ORÇAMENTO!$AF$7))))</f>
        <v>9.8000000000000007</v>
      </c>
      <c r="I530" s="561" t="s">
        <v>890</v>
      </c>
      <c r="K530" s="174"/>
      <c r="L530" s="175" t="s">
        <v>255</v>
      </c>
      <c r="M530" s="176">
        <f ca="1">IF($D530&lt;&gt;"Serviço","",IF(AUTOEVENTO="manual",$A530,IF(ISERROR(MATCH($A530,$A$15:OFFSET($A530,-1,0),0)),MAX($M$15:OFFSET(M530,-1,0))+1,INDEX($M$15:OFFSET(M530,-1,0),MATCH($A530,$A$15:OFFSET($A530,-1,0),0)))))</f>
        <v>18</v>
      </c>
      <c r="N530" s="177" t="str">
        <f ca="1">IF($D530&lt;&gt;"Serviço","",IF(AUTOEVENTO="Manual",IF($A530=0,"&lt;-- defina o número do agrupador",OFFSET(EVENTOS!$D$14,$A530,0)),OFFSET($F$15,$A530,0)))</f>
        <v>INSTALAÇÕES ELÉTRICAS - 220V</v>
      </c>
      <c r="O530" s="178"/>
      <c r="Q530" s="178"/>
      <c r="R530" s="179"/>
      <c r="S530" s="179"/>
      <c r="T530" s="179"/>
      <c r="U530" s="179"/>
      <c r="V530" s="179"/>
      <c r="W530" s="179"/>
      <c r="X530" s="179"/>
      <c r="Y530" s="179"/>
      <c r="Z530" s="180"/>
      <c r="AB530" s="544">
        <f ca="1">IF(AND($D530="Serviço",AB$12&lt;&gt;0,$H530&gt;0,OR(AUTOEVENTO&lt;&gt;"manual",$M530&lt;&gt;1)),
IF(Import.TipoArredondamento&lt;&gt;"TransfereGOV",
ROUND(OFFSET($P530,0,AB$13),15-13*ORÇAMENTO!$AF$7)/$H530*OFFSET(ORÇAMENTO!$X$15,ROW(AB530)-ROW(AB$15),0),
ROUND(ROUND(OFFSET($P530,0,AB$13),15-13*ORÇAMENTO!$AF$7)*OFFSET(ORÇAMENTO!$W$15,ROW(AB530)-ROW(AB$15),0),15-13*ORÇAMENTO!$AF$11)),0)</f>
        <v>0</v>
      </c>
      <c r="AC530" s="545">
        <f ca="1">IF(AND($D530="Serviço",AC$12&lt;&gt;0,$H530&gt;0,OR(AUTOEVENTO&lt;&gt;"manual",$M530&lt;&gt;1)),
IF(Import.TipoArredondamento&lt;&gt;"TransfereGOV",
ROUND(OFFSET($P530,0,AC$13),15-13*ORÇAMENTO!$AF$7)/$H530*OFFSET(ORÇAMENTO!$X$15,ROW(AC530)-ROW(AC$15),0),
ROUND(ROUND(OFFSET($P530,0,AC$13),15-13*ORÇAMENTO!$AF$7)*OFFSET(ORÇAMENTO!$W$15,ROW(AC530)-ROW(AC$15),0),15-13*ORÇAMENTO!$AF$11)),0)</f>
        <v>0</v>
      </c>
      <c r="AD530" s="545">
        <f ca="1">IF(AND($D530="Serviço",AD$12&lt;&gt;0,$H530&gt;0,OR(AUTOEVENTO&lt;&gt;"manual",$M530&lt;&gt;1)),
IF(Import.TipoArredondamento&lt;&gt;"TransfereGOV",
ROUND(OFFSET($P530,0,AD$13),15-13*ORÇAMENTO!$AF$7)/$H530*OFFSET(ORÇAMENTO!$X$15,ROW(AD530)-ROW(AD$15),0),
ROUND(ROUND(OFFSET($P530,0,AD$13),15-13*ORÇAMENTO!$AF$7)*OFFSET(ORÇAMENTO!$W$15,ROW(AD530)-ROW(AD$15),0),15-13*ORÇAMENTO!$AF$11)),0)</f>
        <v>0</v>
      </c>
      <c r="AE530" s="545">
        <f ca="1">IF(AND($D530="Serviço",AE$12&lt;&gt;0,$H530&gt;0,OR(AUTOEVENTO&lt;&gt;"manual",$M530&lt;&gt;1)),
IF(Import.TipoArredondamento&lt;&gt;"TransfereGOV",
ROUND(OFFSET($P530,0,AE$13),15-13*ORÇAMENTO!$AF$7)/$H530*OFFSET(ORÇAMENTO!$X$15,ROW(AE530)-ROW(AE$15),0),
ROUND(ROUND(OFFSET($P530,0,AE$13),15-13*ORÇAMENTO!$AF$7)*OFFSET(ORÇAMENTO!$W$15,ROW(AE530)-ROW(AE$15),0),15-13*ORÇAMENTO!$AF$11)),0)</f>
        <v>0</v>
      </c>
      <c r="AF530" s="545">
        <f ca="1">IF(AND($D530="Serviço",AF$12&lt;&gt;0,$H530&gt;0,OR(AUTOEVENTO&lt;&gt;"manual",$M530&lt;&gt;1)),
IF(Import.TipoArredondamento&lt;&gt;"TransfereGOV",
ROUND(OFFSET($P530,0,AF$13),15-13*ORÇAMENTO!$AF$7)/$H530*OFFSET(ORÇAMENTO!$X$15,ROW(AF530)-ROW(AF$15),0),
ROUND(ROUND(OFFSET($P530,0,AF$13),15-13*ORÇAMENTO!$AF$7)*OFFSET(ORÇAMENTO!$W$15,ROW(AF530)-ROW(AF$15),0),15-13*ORÇAMENTO!$AF$11)),0)</f>
        <v>0</v>
      </c>
      <c r="AG530" s="545">
        <f ca="1">IF(AND($D530="Serviço",AG$12&lt;&gt;0,$H530&gt;0,OR(AUTOEVENTO&lt;&gt;"manual",$M530&lt;&gt;1)),
IF(Import.TipoArredondamento&lt;&gt;"TransfereGOV",
ROUND(OFFSET($P530,0,AG$13),15-13*ORÇAMENTO!$AF$7)/$H530*OFFSET(ORÇAMENTO!$X$15,ROW(AG530)-ROW(AG$15),0),
ROUND(ROUND(OFFSET($P530,0,AG$13),15-13*ORÇAMENTO!$AF$7)*OFFSET(ORÇAMENTO!$W$15,ROW(AG530)-ROW(AG$15),0),15-13*ORÇAMENTO!$AF$11)),0)</f>
        <v>0</v>
      </c>
      <c r="AH530" s="545">
        <f ca="1">IF(AND($D530="Serviço",AH$12&lt;&gt;0,$H530&gt;0,OR(AUTOEVENTO&lt;&gt;"manual",$M530&lt;&gt;1)),
IF(Import.TipoArredondamento&lt;&gt;"TransfereGOV",
ROUND(OFFSET($P530,0,AH$13),15-13*ORÇAMENTO!$AF$7)/$H530*OFFSET(ORÇAMENTO!$X$15,ROW(AH530)-ROW(AH$15),0),
ROUND(ROUND(OFFSET($P530,0,AH$13),15-13*ORÇAMENTO!$AF$7)*OFFSET(ORÇAMENTO!$W$15,ROW(AH530)-ROW(AH$15),0),15-13*ORÇAMENTO!$AF$11)),0)</f>
        <v>0</v>
      </c>
      <c r="AI530" s="545">
        <f ca="1">IF(AND($D530="Serviço",AI$12&lt;&gt;0,$H530&gt;0,OR(AUTOEVENTO&lt;&gt;"manual",$M530&lt;&gt;1)),
IF(Import.TipoArredondamento&lt;&gt;"TransfereGOV",
ROUND(OFFSET($P530,0,AI$13),15-13*ORÇAMENTO!$AF$7)/$H530*OFFSET(ORÇAMENTO!$X$15,ROW(AI530)-ROW(AI$15),0),
ROUND(ROUND(OFFSET($P530,0,AI$13),15-13*ORÇAMENTO!$AF$7)*OFFSET(ORÇAMENTO!$W$15,ROW(AI530)-ROW(AI$15),0),15-13*ORÇAMENTO!$AF$11)),0)</f>
        <v>0</v>
      </c>
      <c r="AJ530" s="545">
        <f ca="1">IF(AND($D530="Serviço",AJ$12&lt;&gt;0,$H530&gt;0,OR(AUTOEVENTO&lt;&gt;"manual",$M530&lt;&gt;1)),
IF(Import.TipoArredondamento&lt;&gt;"TransfereGOV",
ROUND(OFFSET($P530,0,AJ$13),15-13*ORÇAMENTO!$AF$7)/$H530*OFFSET(ORÇAMENTO!$X$15,ROW(AJ530)-ROW(AJ$15),0),
ROUND(ROUND(OFFSET($P530,0,AJ$13),15-13*ORÇAMENTO!$AF$7)*OFFSET(ORÇAMENTO!$W$15,ROW(AJ530)-ROW(AJ$15),0),15-13*ORÇAMENTO!$AF$11)),0)</f>
        <v>0</v>
      </c>
      <c r="AK530" s="546">
        <f ca="1">IF(AND($D530="Serviço",AK$12&lt;&gt;0,$H530&gt;0,OR(AUTOEVENTO&lt;&gt;"manual",$M530&lt;&gt;1)),
IF(Import.TipoArredondamento&lt;&gt;"TransfereGOV",
ROUND(OFFSET($P530,0,AK$13),15-13*ORÇAMENTO!$AF$7)/$H530*OFFSET(ORÇAMENTO!$X$15,ROW(AK530)-ROW(AK$15),0),
ROUND(ROUND(OFFSET($P530,0,AK$13),15-13*ORÇAMENTO!$AF$7)*OFFSET(ORÇAMENTO!$W$15,ROW(AK530)-ROW(AK$15),0),15-13*ORÇAMENTO!$AF$11)),0)</f>
        <v>0</v>
      </c>
      <c r="AM530" s="181">
        <f ca="1">IF($D530&lt;&gt;"Serviço",0,IF(AND(AUTOEVENTO="Manual",$M530=1),0,IF(OFFSET(CRONOPLE!$F$14,$M530,AM$13)="",10^12,OFFSET(CRONOPLE!$F$14,$M530,AM$13))))</f>
        <v>1000000000000</v>
      </c>
      <c r="AN530" s="181">
        <f ca="1">IF($D530&lt;&gt;"Serviço",0,IF(AND(AUTOEVENTO="Manual",$M530=1),0,IF(OFFSET(CRONOPLE!$F$14,$M530,AN$13)="",10^12,OFFSET(CRONOPLE!$F$14,$M530,AN$13))))</f>
        <v>1000000000000</v>
      </c>
      <c r="AO530" s="181">
        <f ca="1">IF($D530&lt;&gt;"Serviço",0,IF(AND(AUTOEVENTO="Manual",$M530=1),0,IF(OFFSET(CRONOPLE!$F$14,$M530,AO$13)="",10^12,OFFSET(CRONOPLE!$F$14,$M530,AO$13))))</f>
        <v>1000000000000</v>
      </c>
      <c r="AP530" s="181">
        <f ca="1">IF($D530&lt;&gt;"Serviço",0,IF(AND(AUTOEVENTO="Manual",$M530=1),0,IF(OFFSET(CRONOPLE!$F$14,$M530,AP$13)="",10^12,OFFSET(CRONOPLE!$F$14,$M530,AP$13))))</f>
        <v>1000000000000</v>
      </c>
      <c r="AQ530" s="181">
        <f ca="1">IF($D530&lt;&gt;"Serviço",0,IF(AND(AUTOEVENTO="Manual",$M530=1),0,IF(OFFSET(CRONOPLE!$F$14,$M530,AQ$13)="",10^12,OFFSET(CRONOPLE!$F$14,$M530,AQ$13))))</f>
        <v>1000000000000</v>
      </c>
      <c r="AR530" s="181">
        <f ca="1">IF($D530&lt;&gt;"Serviço",0,IF(AND(AUTOEVENTO="Manual",$M530=1),0,IF(OFFSET(CRONOPLE!$F$14,$M530,AR$13)="",10^12,OFFSET(CRONOPLE!$F$14,$M530,AR$13))))</f>
        <v>1000000000000</v>
      </c>
      <c r="AS530" s="181">
        <f ca="1">IF($D530&lt;&gt;"Serviço",0,IF(AND(AUTOEVENTO="Manual",$M530=1),0,IF(OFFSET(CRONOPLE!$F$14,$M530,AS$13)="",10^12,OFFSET(CRONOPLE!$F$14,$M530,AS$13))))</f>
        <v>1000000000000</v>
      </c>
      <c r="AT530" s="181">
        <f ca="1">IF($D530&lt;&gt;"Serviço",0,IF(AND(AUTOEVENTO="Manual",$M530=1),0,IF(OFFSET(CRONOPLE!$F$14,$M530,AT$13)="",10^12,OFFSET(CRONOPLE!$F$14,$M530,AT$13))))</f>
        <v>1000000000000</v>
      </c>
      <c r="AU530" s="181">
        <f ca="1">IF($D530&lt;&gt;"Serviço",0,IF(AND(AUTOEVENTO="Manual",$M530=1),0,IF(OFFSET(CRONOPLE!$F$14,$M530,AU$13)="",10^12,OFFSET(CRONOPLE!$F$14,$M530,AU$13))))</f>
        <v>1000000000000</v>
      </c>
      <c r="AV530" s="181">
        <f ca="1">IF($D530&lt;&gt;"Serviço",0,IF(AND(AUTOEVENTO="Manual",$M530=1),0,IF(OFFSET(CRONOPLE!$F$14,$M530,AV$13)="",10^12,OFFSET(CRONOPLE!$F$14,$M530,AV$13))))</f>
        <v>1000000000000</v>
      </c>
      <c r="AX530" s="182">
        <f ca="1">IF($D530&lt;&gt;"Serviço",0,IF(OR(AND(AUTOEVENTO="Manual",$M530=1),$M530&gt;(ROW(PLE.lastrow)-ROW(PLE.firstrow))),0,IF(OFFSET(PLE!$G$14,$M530,AX$13)="",10^12,OFFSET(PLE!$G$14,$M530,AX$13))))</f>
        <v>1000000000000</v>
      </c>
      <c r="AY530" s="182">
        <f ca="1">IF($D530&lt;&gt;"Serviço",0,IF(OR(AND(AUTOEVENTO="Manual",$M530=1),$M530&gt;(ROW(PLE.lastrow)-ROW(PLE.firstrow))),0,IF(OFFSET(PLE!$G$14,$M530,AY$13)="",10^12,OFFSET(PLE!$G$14,$M530,AY$13))))</f>
        <v>1000000000000</v>
      </c>
      <c r="AZ530" s="182">
        <f ca="1">IF($D530&lt;&gt;"Serviço",0,IF(OR(AND(AUTOEVENTO="Manual",$M530=1),$M530&gt;(ROW(PLE.lastrow)-ROW(PLE.firstrow))),0,IF(OFFSET(PLE!$G$14,$M530,AZ$13)="",10^12,OFFSET(PLE!$G$14,$M530,AZ$13))))</f>
        <v>1000000000000</v>
      </c>
      <c r="BA530" s="182">
        <f ca="1">IF($D530&lt;&gt;"Serviço",0,IF(OR(AND(AUTOEVENTO="Manual",$M530=1),$M530&gt;(ROW(PLE.lastrow)-ROW(PLE.firstrow))),0,IF(OFFSET(PLE!$G$14,$M530,BA$13)="",10^12,OFFSET(PLE!$G$14,$M530,BA$13))))</f>
        <v>1000000000000</v>
      </c>
      <c r="BB530" s="182">
        <f ca="1">IF($D530&lt;&gt;"Serviço",0,IF(OR(AND(AUTOEVENTO="Manual",$M530=1),$M530&gt;(ROW(PLE.lastrow)-ROW(PLE.firstrow))),0,IF(OFFSET(PLE!$G$14,$M530,BB$13)="",10^12,OFFSET(PLE!$G$14,$M530,BB$13))))</f>
        <v>1000000000000</v>
      </c>
      <c r="BC530" s="182">
        <f ca="1">IF($D530&lt;&gt;"Serviço",0,IF(OR(AND(AUTOEVENTO="Manual",$M530=1),$M530&gt;(ROW(PLE.lastrow)-ROW(PLE.firstrow))),0,IF(OFFSET(PLE!$G$14,$M530,BC$13)="",10^12,OFFSET(PLE!$G$14,$M530,BC$13))))</f>
        <v>1000000000000</v>
      </c>
      <c r="BD530" s="182">
        <f ca="1">IF($D530&lt;&gt;"Serviço",0,IF(OR(AND(AUTOEVENTO="Manual",$M530=1),$M530&gt;(ROW(PLE.lastrow)-ROW(PLE.firstrow))),0,IF(OFFSET(PLE!$G$14,$M530,BD$13)="",10^12,OFFSET(PLE!$G$14,$M530,BD$13))))</f>
        <v>1000000000000</v>
      </c>
      <c r="BE530" s="182">
        <f ca="1">IF($D530&lt;&gt;"Serviço",0,IF(OR(AND(AUTOEVENTO="Manual",$M530=1),$M530&gt;(ROW(PLE.lastrow)-ROW(PLE.firstrow))),0,IF(OFFSET(PLE!$G$14,$M530,BE$13)="",10^12,OFFSET(PLE!$G$14,$M530,BE$13))))</f>
        <v>1000000000000</v>
      </c>
      <c r="BF530" s="182">
        <f ca="1">IF($D530&lt;&gt;"Serviço",0,IF(OR(AND(AUTOEVENTO="Manual",$M530=1),$M530&gt;(ROW(PLE.lastrow)-ROW(PLE.firstrow))),0,IF(OFFSET(PLE!$G$14,$M530,BF$13)="",10^12,OFFSET(PLE!$G$14,$M530,BF$13))))</f>
        <v>1000000000000</v>
      </c>
      <c r="BG530" s="182">
        <f ca="1">IF($D530&lt;&gt;"Serviço",0,IF(OR(AND(AUTOEVENTO="Manual",$M530=1),$M530&gt;(ROW(PLE.lastrow)-ROW(PLE.firstrow))),0,IF(OFFSET(PLE!$G$14,$M530,BG$13)="",10^12,OFFSET(PLE!$G$14,$M530,BG$13))))</f>
        <v>1000000000000</v>
      </c>
    </row>
    <row r="531" spans="1:59" ht="38.25" x14ac:dyDescent="0.2">
      <c r="A531" s="7" t="str">
        <f t="shared" ca="1" si="15"/>
        <v>472</v>
      </c>
      <c r="B531" s="7" t="str">
        <f ca="1">OFFSET(ORÇAMENTO!C$15,ROW(B531)-ROW(B$15),0)</f>
        <v>S</v>
      </c>
      <c r="C531" s="7" t="str">
        <f ca="1">OFFSET(ORÇAMENTO!L$15,ROW(C531)-ROW(C$15),0)</f>
        <v/>
      </c>
      <c r="D531" s="118" t="str">
        <f ca="1">OFFSET(ORÇAMENTO!N$15,ROW(D531)-ROW(D$15),0)</f>
        <v>Serviço</v>
      </c>
      <c r="E531" s="119" t="str">
        <f ca="1">OFFSET(ORÇAMENTO!O$15,ROW(E531)-ROW(E$15),0)</f>
        <v>-</v>
      </c>
      <c r="F531" s="172" t="str">
        <f ca="1">OFFSET(ORÇAMENTO!R$15,ROW(F531)-ROW(F$15),0)</f>
        <v>(abra o arquivo 'Referência 02-2025.xlsm)</v>
      </c>
      <c r="G531" s="173" t="str">
        <f ca="1">IF($D531&lt;&gt;"Serviço","",OFFSET(ORÇAMENTO!S$15,ROW(G531)-ROW(G$15),0))</f>
        <v>-</v>
      </c>
      <c r="H531" s="124">
        <f ca="1">IF($D531&lt;&gt;"Serviço",0,IF(ACOMPANHAMENTO="BM",ROUND(OFFSET(ORÇAMENTO!AJ$15,ROW(H531)-ROW(H$15),0),15-13*ORÇAMENTO!$AF$7),SUMPRODUCT(($Q$12:$AA$12&lt;&gt;"")*ROUND($Q531:$AA531,15-13*ORÇAMENTO!$AF$7))))</f>
        <v>83.3</v>
      </c>
      <c r="I531" s="561" t="s">
        <v>890</v>
      </c>
      <c r="K531" s="174"/>
      <c r="L531" s="175" t="s">
        <v>255</v>
      </c>
      <c r="M531" s="176">
        <f ca="1">IF($D531&lt;&gt;"Serviço","",IF(AUTOEVENTO="manual",$A531,IF(ISERROR(MATCH($A531,$A$15:OFFSET($A531,-1,0),0)),MAX($M$15:OFFSET(M531,-1,0))+1,INDEX($M$15:OFFSET(M531,-1,0),MATCH($A531,$A$15:OFFSET($A531,-1,0),0)))))</f>
        <v>18</v>
      </c>
      <c r="N531" s="177" t="str">
        <f ca="1">IF($D531&lt;&gt;"Serviço","",IF(AUTOEVENTO="Manual",IF($A531=0,"&lt;-- defina o número do agrupador",OFFSET(EVENTOS!$D$14,$A531,0)),OFFSET($F$15,$A531,0)))</f>
        <v>INSTALAÇÕES ELÉTRICAS - 220V</v>
      </c>
      <c r="O531" s="178"/>
      <c r="Q531" s="178"/>
      <c r="R531" s="179"/>
      <c r="S531" s="179"/>
      <c r="T531" s="179"/>
      <c r="U531" s="179"/>
      <c r="V531" s="179"/>
      <c r="W531" s="179"/>
      <c r="X531" s="179"/>
      <c r="Y531" s="179"/>
      <c r="Z531" s="180"/>
      <c r="AB531" s="544">
        <f ca="1">IF(AND($D531="Serviço",AB$12&lt;&gt;0,$H531&gt;0,OR(AUTOEVENTO&lt;&gt;"manual",$M531&lt;&gt;1)),
IF(Import.TipoArredondamento&lt;&gt;"TransfereGOV",
ROUND(OFFSET($P531,0,AB$13),15-13*ORÇAMENTO!$AF$7)/$H531*OFFSET(ORÇAMENTO!$X$15,ROW(AB531)-ROW(AB$15),0),
ROUND(ROUND(OFFSET($P531,0,AB$13),15-13*ORÇAMENTO!$AF$7)*OFFSET(ORÇAMENTO!$W$15,ROW(AB531)-ROW(AB$15),0),15-13*ORÇAMENTO!$AF$11)),0)</f>
        <v>0</v>
      </c>
      <c r="AC531" s="545">
        <f ca="1">IF(AND($D531="Serviço",AC$12&lt;&gt;0,$H531&gt;0,OR(AUTOEVENTO&lt;&gt;"manual",$M531&lt;&gt;1)),
IF(Import.TipoArredondamento&lt;&gt;"TransfereGOV",
ROUND(OFFSET($P531,0,AC$13),15-13*ORÇAMENTO!$AF$7)/$H531*OFFSET(ORÇAMENTO!$X$15,ROW(AC531)-ROW(AC$15),0),
ROUND(ROUND(OFFSET($P531,0,AC$13),15-13*ORÇAMENTO!$AF$7)*OFFSET(ORÇAMENTO!$W$15,ROW(AC531)-ROW(AC$15),0),15-13*ORÇAMENTO!$AF$11)),0)</f>
        <v>0</v>
      </c>
      <c r="AD531" s="545">
        <f ca="1">IF(AND($D531="Serviço",AD$12&lt;&gt;0,$H531&gt;0,OR(AUTOEVENTO&lt;&gt;"manual",$M531&lt;&gt;1)),
IF(Import.TipoArredondamento&lt;&gt;"TransfereGOV",
ROUND(OFFSET($P531,0,AD$13),15-13*ORÇAMENTO!$AF$7)/$H531*OFFSET(ORÇAMENTO!$X$15,ROW(AD531)-ROW(AD$15),0),
ROUND(ROUND(OFFSET($P531,0,AD$13),15-13*ORÇAMENTO!$AF$7)*OFFSET(ORÇAMENTO!$W$15,ROW(AD531)-ROW(AD$15),0),15-13*ORÇAMENTO!$AF$11)),0)</f>
        <v>0</v>
      </c>
      <c r="AE531" s="545">
        <f ca="1">IF(AND($D531="Serviço",AE$12&lt;&gt;0,$H531&gt;0,OR(AUTOEVENTO&lt;&gt;"manual",$M531&lt;&gt;1)),
IF(Import.TipoArredondamento&lt;&gt;"TransfereGOV",
ROUND(OFFSET($P531,0,AE$13),15-13*ORÇAMENTO!$AF$7)/$H531*OFFSET(ORÇAMENTO!$X$15,ROW(AE531)-ROW(AE$15),0),
ROUND(ROUND(OFFSET($P531,0,AE$13),15-13*ORÇAMENTO!$AF$7)*OFFSET(ORÇAMENTO!$W$15,ROW(AE531)-ROW(AE$15),0),15-13*ORÇAMENTO!$AF$11)),0)</f>
        <v>0</v>
      </c>
      <c r="AF531" s="545">
        <f ca="1">IF(AND($D531="Serviço",AF$12&lt;&gt;0,$H531&gt;0,OR(AUTOEVENTO&lt;&gt;"manual",$M531&lt;&gt;1)),
IF(Import.TipoArredondamento&lt;&gt;"TransfereGOV",
ROUND(OFFSET($P531,0,AF$13),15-13*ORÇAMENTO!$AF$7)/$H531*OFFSET(ORÇAMENTO!$X$15,ROW(AF531)-ROW(AF$15),0),
ROUND(ROUND(OFFSET($P531,0,AF$13),15-13*ORÇAMENTO!$AF$7)*OFFSET(ORÇAMENTO!$W$15,ROW(AF531)-ROW(AF$15),0),15-13*ORÇAMENTO!$AF$11)),0)</f>
        <v>0</v>
      </c>
      <c r="AG531" s="545">
        <f ca="1">IF(AND($D531="Serviço",AG$12&lt;&gt;0,$H531&gt;0,OR(AUTOEVENTO&lt;&gt;"manual",$M531&lt;&gt;1)),
IF(Import.TipoArredondamento&lt;&gt;"TransfereGOV",
ROUND(OFFSET($P531,0,AG$13),15-13*ORÇAMENTO!$AF$7)/$H531*OFFSET(ORÇAMENTO!$X$15,ROW(AG531)-ROW(AG$15),0),
ROUND(ROUND(OFFSET($P531,0,AG$13),15-13*ORÇAMENTO!$AF$7)*OFFSET(ORÇAMENTO!$W$15,ROW(AG531)-ROW(AG$15),0),15-13*ORÇAMENTO!$AF$11)),0)</f>
        <v>0</v>
      </c>
      <c r="AH531" s="545">
        <f ca="1">IF(AND($D531="Serviço",AH$12&lt;&gt;0,$H531&gt;0,OR(AUTOEVENTO&lt;&gt;"manual",$M531&lt;&gt;1)),
IF(Import.TipoArredondamento&lt;&gt;"TransfereGOV",
ROUND(OFFSET($P531,0,AH$13),15-13*ORÇAMENTO!$AF$7)/$H531*OFFSET(ORÇAMENTO!$X$15,ROW(AH531)-ROW(AH$15),0),
ROUND(ROUND(OFFSET($P531,0,AH$13),15-13*ORÇAMENTO!$AF$7)*OFFSET(ORÇAMENTO!$W$15,ROW(AH531)-ROW(AH$15),0),15-13*ORÇAMENTO!$AF$11)),0)</f>
        <v>0</v>
      </c>
      <c r="AI531" s="545">
        <f ca="1">IF(AND($D531="Serviço",AI$12&lt;&gt;0,$H531&gt;0,OR(AUTOEVENTO&lt;&gt;"manual",$M531&lt;&gt;1)),
IF(Import.TipoArredondamento&lt;&gt;"TransfereGOV",
ROUND(OFFSET($P531,0,AI$13),15-13*ORÇAMENTO!$AF$7)/$H531*OFFSET(ORÇAMENTO!$X$15,ROW(AI531)-ROW(AI$15),0),
ROUND(ROUND(OFFSET($P531,0,AI$13),15-13*ORÇAMENTO!$AF$7)*OFFSET(ORÇAMENTO!$W$15,ROW(AI531)-ROW(AI$15),0),15-13*ORÇAMENTO!$AF$11)),0)</f>
        <v>0</v>
      </c>
      <c r="AJ531" s="545">
        <f ca="1">IF(AND($D531="Serviço",AJ$12&lt;&gt;0,$H531&gt;0,OR(AUTOEVENTO&lt;&gt;"manual",$M531&lt;&gt;1)),
IF(Import.TipoArredondamento&lt;&gt;"TransfereGOV",
ROUND(OFFSET($P531,0,AJ$13),15-13*ORÇAMENTO!$AF$7)/$H531*OFFSET(ORÇAMENTO!$X$15,ROW(AJ531)-ROW(AJ$15),0),
ROUND(ROUND(OFFSET($P531,0,AJ$13),15-13*ORÇAMENTO!$AF$7)*OFFSET(ORÇAMENTO!$W$15,ROW(AJ531)-ROW(AJ$15),0),15-13*ORÇAMENTO!$AF$11)),0)</f>
        <v>0</v>
      </c>
      <c r="AK531" s="546">
        <f ca="1">IF(AND($D531="Serviço",AK$12&lt;&gt;0,$H531&gt;0,OR(AUTOEVENTO&lt;&gt;"manual",$M531&lt;&gt;1)),
IF(Import.TipoArredondamento&lt;&gt;"TransfereGOV",
ROUND(OFFSET($P531,0,AK$13),15-13*ORÇAMENTO!$AF$7)/$H531*OFFSET(ORÇAMENTO!$X$15,ROW(AK531)-ROW(AK$15),0),
ROUND(ROUND(OFFSET($P531,0,AK$13),15-13*ORÇAMENTO!$AF$7)*OFFSET(ORÇAMENTO!$W$15,ROW(AK531)-ROW(AK$15),0),15-13*ORÇAMENTO!$AF$11)),0)</f>
        <v>0</v>
      </c>
      <c r="AM531" s="181">
        <f ca="1">IF($D531&lt;&gt;"Serviço",0,IF(AND(AUTOEVENTO="Manual",$M531=1),0,IF(OFFSET(CRONOPLE!$F$14,$M531,AM$13)="",10^12,OFFSET(CRONOPLE!$F$14,$M531,AM$13))))</f>
        <v>1000000000000</v>
      </c>
      <c r="AN531" s="181">
        <f ca="1">IF($D531&lt;&gt;"Serviço",0,IF(AND(AUTOEVENTO="Manual",$M531=1),0,IF(OFFSET(CRONOPLE!$F$14,$M531,AN$13)="",10^12,OFFSET(CRONOPLE!$F$14,$M531,AN$13))))</f>
        <v>1000000000000</v>
      </c>
      <c r="AO531" s="181">
        <f ca="1">IF($D531&lt;&gt;"Serviço",0,IF(AND(AUTOEVENTO="Manual",$M531=1),0,IF(OFFSET(CRONOPLE!$F$14,$M531,AO$13)="",10^12,OFFSET(CRONOPLE!$F$14,$M531,AO$13))))</f>
        <v>1000000000000</v>
      </c>
      <c r="AP531" s="181">
        <f ca="1">IF($D531&lt;&gt;"Serviço",0,IF(AND(AUTOEVENTO="Manual",$M531=1),0,IF(OFFSET(CRONOPLE!$F$14,$M531,AP$13)="",10^12,OFFSET(CRONOPLE!$F$14,$M531,AP$13))))</f>
        <v>1000000000000</v>
      </c>
      <c r="AQ531" s="181">
        <f ca="1">IF($D531&lt;&gt;"Serviço",0,IF(AND(AUTOEVENTO="Manual",$M531=1),0,IF(OFFSET(CRONOPLE!$F$14,$M531,AQ$13)="",10^12,OFFSET(CRONOPLE!$F$14,$M531,AQ$13))))</f>
        <v>1000000000000</v>
      </c>
      <c r="AR531" s="181">
        <f ca="1">IF($D531&lt;&gt;"Serviço",0,IF(AND(AUTOEVENTO="Manual",$M531=1),0,IF(OFFSET(CRONOPLE!$F$14,$M531,AR$13)="",10^12,OFFSET(CRONOPLE!$F$14,$M531,AR$13))))</f>
        <v>1000000000000</v>
      </c>
      <c r="AS531" s="181">
        <f ca="1">IF($D531&lt;&gt;"Serviço",0,IF(AND(AUTOEVENTO="Manual",$M531=1),0,IF(OFFSET(CRONOPLE!$F$14,$M531,AS$13)="",10^12,OFFSET(CRONOPLE!$F$14,$M531,AS$13))))</f>
        <v>1000000000000</v>
      </c>
      <c r="AT531" s="181">
        <f ca="1">IF($D531&lt;&gt;"Serviço",0,IF(AND(AUTOEVENTO="Manual",$M531=1),0,IF(OFFSET(CRONOPLE!$F$14,$M531,AT$13)="",10^12,OFFSET(CRONOPLE!$F$14,$M531,AT$13))))</f>
        <v>1000000000000</v>
      </c>
      <c r="AU531" s="181">
        <f ca="1">IF($D531&lt;&gt;"Serviço",0,IF(AND(AUTOEVENTO="Manual",$M531=1),0,IF(OFFSET(CRONOPLE!$F$14,$M531,AU$13)="",10^12,OFFSET(CRONOPLE!$F$14,$M531,AU$13))))</f>
        <v>1000000000000</v>
      </c>
      <c r="AV531" s="181">
        <f ca="1">IF($D531&lt;&gt;"Serviço",0,IF(AND(AUTOEVENTO="Manual",$M531=1),0,IF(OFFSET(CRONOPLE!$F$14,$M531,AV$13)="",10^12,OFFSET(CRONOPLE!$F$14,$M531,AV$13))))</f>
        <v>1000000000000</v>
      </c>
      <c r="AX531" s="182">
        <f ca="1">IF($D531&lt;&gt;"Serviço",0,IF(OR(AND(AUTOEVENTO="Manual",$M531=1),$M531&gt;(ROW(PLE.lastrow)-ROW(PLE.firstrow))),0,IF(OFFSET(PLE!$G$14,$M531,AX$13)="",10^12,OFFSET(PLE!$G$14,$M531,AX$13))))</f>
        <v>1000000000000</v>
      </c>
      <c r="AY531" s="182">
        <f ca="1">IF($D531&lt;&gt;"Serviço",0,IF(OR(AND(AUTOEVENTO="Manual",$M531=1),$M531&gt;(ROW(PLE.lastrow)-ROW(PLE.firstrow))),0,IF(OFFSET(PLE!$G$14,$M531,AY$13)="",10^12,OFFSET(PLE!$G$14,$M531,AY$13))))</f>
        <v>1000000000000</v>
      </c>
      <c r="AZ531" s="182">
        <f ca="1">IF($D531&lt;&gt;"Serviço",0,IF(OR(AND(AUTOEVENTO="Manual",$M531=1),$M531&gt;(ROW(PLE.lastrow)-ROW(PLE.firstrow))),0,IF(OFFSET(PLE!$G$14,$M531,AZ$13)="",10^12,OFFSET(PLE!$G$14,$M531,AZ$13))))</f>
        <v>1000000000000</v>
      </c>
      <c r="BA531" s="182">
        <f ca="1">IF($D531&lt;&gt;"Serviço",0,IF(OR(AND(AUTOEVENTO="Manual",$M531=1),$M531&gt;(ROW(PLE.lastrow)-ROW(PLE.firstrow))),0,IF(OFFSET(PLE!$G$14,$M531,BA$13)="",10^12,OFFSET(PLE!$G$14,$M531,BA$13))))</f>
        <v>1000000000000</v>
      </c>
      <c r="BB531" s="182">
        <f ca="1">IF($D531&lt;&gt;"Serviço",0,IF(OR(AND(AUTOEVENTO="Manual",$M531=1),$M531&gt;(ROW(PLE.lastrow)-ROW(PLE.firstrow))),0,IF(OFFSET(PLE!$G$14,$M531,BB$13)="",10^12,OFFSET(PLE!$G$14,$M531,BB$13))))</f>
        <v>1000000000000</v>
      </c>
      <c r="BC531" s="182">
        <f ca="1">IF($D531&lt;&gt;"Serviço",0,IF(OR(AND(AUTOEVENTO="Manual",$M531=1),$M531&gt;(ROW(PLE.lastrow)-ROW(PLE.firstrow))),0,IF(OFFSET(PLE!$G$14,$M531,BC$13)="",10^12,OFFSET(PLE!$G$14,$M531,BC$13))))</f>
        <v>1000000000000</v>
      </c>
      <c r="BD531" s="182">
        <f ca="1">IF($D531&lt;&gt;"Serviço",0,IF(OR(AND(AUTOEVENTO="Manual",$M531=1),$M531&gt;(ROW(PLE.lastrow)-ROW(PLE.firstrow))),0,IF(OFFSET(PLE!$G$14,$M531,BD$13)="",10^12,OFFSET(PLE!$G$14,$M531,BD$13))))</f>
        <v>1000000000000</v>
      </c>
      <c r="BE531" s="182">
        <f ca="1">IF($D531&lt;&gt;"Serviço",0,IF(OR(AND(AUTOEVENTO="Manual",$M531=1),$M531&gt;(ROW(PLE.lastrow)-ROW(PLE.firstrow))),0,IF(OFFSET(PLE!$G$14,$M531,BE$13)="",10^12,OFFSET(PLE!$G$14,$M531,BE$13))))</f>
        <v>1000000000000</v>
      </c>
      <c r="BF531" s="182">
        <f ca="1">IF($D531&lt;&gt;"Serviço",0,IF(OR(AND(AUTOEVENTO="Manual",$M531=1),$M531&gt;(ROW(PLE.lastrow)-ROW(PLE.firstrow))),0,IF(OFFSET(PLE!$G$14,$M531,BF$13)="",10^12,OFFSET(PLE!$G$14,$M531,BF$13))))</f>
        <v>1000000000000</v>
      </c>
      <c r="BG531" s="182">
        <f ca="1">IF($D531&lt;&gt;"Serviço",0,IF(OR(AND(AUTOEVENTO="Manual",$M531=1),$M531&gt;(ROW(PLE.lastrow)-ROW(PLE.firstrow))),0,IF(OFFSET(PLE!$G$14,$M531,BG$13)="",10^12,OFFSET(PLE!$G$14,$M531,BG$13))))</f>
        <v>1000000000000</v>
      </c>
    </row>
    <row r="532" spans="1:59" ht="38.25" x14ac:dyDescent="0.2">
      <c r="A532" s="7" t="str">
        <f t="shared" ca="1" si="15"/>
        <v>472</v>
      </c>
      <c r="B532" s="7" t="str">
        <f ca="1">OFFSET(ORÇAMENTO!C$15,ROW(B532)-ROW(B$15),0)</f>
        <v>S</v>
      </c>
      <c r="C532" s="7" t="str">
        <f ca="1">OFFSET(ORÇAMENTO!L$15,ROW(C532)-ROW(C$15),0)</f>
        <v/>
      </c>
      <c r="D532" s="118" t="str">
        <f ca="1">OFFSET(ORÇAMENTO!N$15,ROW(D532)-ROW(D$15),0)</f>
        <v>Serviço</v>
      </c>
      <c r="E532" s="119" t="str">
        <f ca="1">OFFSET(ORÇAMENTO!O$15,ROW(E532)-ROW(E$15),0)</f>
        <v>-</v>
      </c>
      <c r="F532" s="172" t="str">
        <f ca="1">OFFSET(ORÇAMENTO!R$15,ROW(F532)-ROW(F$15),0)</f>
        <v>(abra o arquivo 'Referência 02-2025.xlsm)</v>
      </c>
      <c r="G532" s="173" t="str">
        <f ca="1">IF($D532&lt;&gt;"Serviço","",OFFSET(ORÇAMENTO!S$15,ROW(G532)-ROW(G$15),0))</f>
        <v>-</v>
      </c>
      <c r="H532" s="124">
        <f ca="1">IF($D532&lt;&gt;"Serviço",0,IF(ACOMPANHAMENTO="BM",ROUND(OFFSET(ORÇAMENTO!AJ$15,ROW(H532)-ROW(H$15),0),15-13*ORÇAMENTO!$AF$7),SUMPRODUCT(($Q$12:$AA$12&lt;&gt;"")*ROUND($Q532:$AA532,15-13*ORÇAMENTO!$AF$7))))</f>
        <v>671.6</v>
      </c>
      <c r="I532" s="561" t="s">
        <v>890</v>
      </c>
      <c r="K532" s="174"/>
      <c r="L532" s="175" t="s">
        <v>255</v>
      </c>
      <c r="M532" s="176">
        <f ca="1">IF($D532&lt;&gt;"Serviço","",IF(AUTOEVENTO="manual",$A532,IF(ISERROR(MATCH($A532,$A$15:OFFSET($A532,-1,0),0)),MAX($M$15:OFFSET(M532,-1,0))+1,INDEX($M$15:OFFSET(M532,-1,0),MATCH($A532,$A$15:OFFSET($A532,-1,0),0)))))</f>
        <v>18</v>
      </c>
      <c r="N532" s="177" t="str">
        <f ca="1">IF($D532&lt;&gt;"Serviço","",IF(AUTOEVENTO="Manual",IF($A532=0,"&lt;-- defina o número do agrupador",OFFSET(EVENTOS!$D$14,$A532,0)),OFFSET($F$15,$A532,0)))</f>
        <v>INSTALAÇÕES ELÉTRICAS - 220V</v>
      </c>
      <c r="O532" s="178"/>
      <c r="Q532" s="178"/>
      <c r="R532" s="179"/>
      <c r="S532" s="179"/>
      <c r="T532" s="179"/>
      <c r="U532" s="179"/>
      <c r="V532" s="179"/>
      <c r="W532" s="179"/>
      <c r="X532" s="179"/>
      <c r="Y532" s="179"/>
      <c r="Z532" s="180"/>
      <c r="AB532" s="544">
        <f ca="1">IF(AND($D532="Serviço",AB$12&lt;&gt;0,$H532&gt;0,OR(AUTOEVENTO&lt;&gt;"manual",$M532&lt;&gt;1)),
IF(Import.TipoArredondamento&lt;&gt;"TransfereGOV",
ROUND(OFFSET($P532,0,AB$13),15-13*ORÇAMENTO!$AF$7)/$H532*OFFSET(ORÇAMENTO!$X$15,ROW(AB532)-ROW(AB$15),0),
ROUND(ROUND(OFFSET($P532,0,AB$13),15-13*ORÇAMENTO!$AF$7)*OFFSET(ORÇAMENTO!$W$15,ROW(AB532)-ROW(AB$15),0),15-13*ORÇAMENTO!$AF$11)),0)</f>
        <v>0</v>
      </c>
      <c r="AC532" s="545">
        <f ca="1">IF(AND($D532="Serviço",AC$12&lt;&gt;0,$H532&gt;0,OR(AUTOEVENTO&lt;&gt;"manual",$M532&lt;&gt;1)),
IF(Import.TipoArredondamento&lt;&gt;"TransfereGOV",
ROUND(OFFSET($P532,0,AC$13),15-13*ORÇAMENTO!$AF$7)/$H532*OFFSET(ORÇAMENTO!$X$15,ROW(AC532)-ROW(AC$15),0),
ROUND(ROUND(OFFSET($P532,0,AC$13),15-13*ORÇAMENTO!$AF$7)*OFFSET(ORÇAMENTO!$W$15,ROW(AC532)-ROW(AC$15),0),15-13*ORÇAMENTO!$AF$11)),0)</f>
        <v>0</v>
      </c>
      <c r="AD532" s="545">
        <f ca="1">IF(AND($D532="Serviço",AD$12&lt;&gt;0,$H532&gt;0,OR(AUTOEVENTO&lt;&gt;"manual",$M532&lt;&gt;1)),
IF(Import.TipoArredondamento&lt;&gt;"TransfereGOV",
ROUND(OFFSET($P532,0,AD$13),15-13*ORÇAMENTO!$AF$7)/$H532*OFFSET(ORÇAMENTO!$X$15,ROW(AD532)-ROW(AD$15),0),
ROUND(ROUND(OFFSET($P532,0,AD$13),15-13*ORÇAMENTO!$AF$7)*OFFSET(ORÇAMENTO!$W$15,ROW(AD532)-ROW(AD$15),0),15-13*ORÇAMENTO!$AF$11)),0)</f>
        <v>0</v>
      </c>
      <c r="AE532" s="545">
        <f ca="1">IF(AND($D532="Serviço",AE$12&lt;&gt;0,$H532&gt;0,OR(AUTOEVENTO&lt;&gt;"manual",$M532&lt;&gt;1)),
IF(Import.TipoArredondamento&lt;&gt;"TransfereGOV",
ROUND(OFFSET($P532,0,AE$13),15-13*ORÇAMENTO!$AF$7)/$H532*OFFSET(ORÇAMENTO!$X$15,ROW(AE532)-ROW(AE$15),0),
ROUND(ROUND(OFFSET($P532,0,AE$13),15-13*ORÇAMENTO!$AF$7)*OFFSET(ORÇAMENTO!$W$15,ROW(AE532)-ROW(AE$15),0),15-13*ORÇAMENTO!$AF$11)),0)</f>
        <v>0</v>
      </c>
      <c r="AF532" s="545">
        <f ca="1">IF(AND($D532="Serviço",AF$12&lt;&gt;0,$H532&gt;0,OR(AUTOEVENTO&lt;&gt;"manual",$M532&lt;&gt;1)),
IF(Import.TipoArredondamento&lt;&gt;"TransfereGOV",
ROUND(OFFSET($P532,0,AF$13),15-13*ORÇAMENTO!$AF$7)/$H532*OFFSET(ORÇAMENTO!$X$15,ROW(AF532)-ROW(AF$15),0),
ROUND(ROUND(OFFSET($P532,0,AF$13),15-13*ORÇAMENTO!$AF$7)*OFFSET(ORÇAMENTO!$W$15,ROW(AF532)-ROW(AF$15),0),15-13*ORÇAMENTO!$AF$11)),0)</f>
        <v>0</v>
      </c>
      <c r="AG532" s="545">
        <f ca="1">IF(AND($D532="Serviço",AG$12&lt;&gt;0,$H532&gt;0,OR(AUTOEVENTO&lt;&gt;"manual",$M532&lt;&gt;1)),
IF(Import.TipoArredondamento&lt;&gt;"TransfereGOV",
ROUND(OFFSET($P532,0,AG$13),15-13*ORÇAMENTO!$AF$7)/$H532*OFFSET(ORÇAMENTO!$X$15,ROW(AG532)-ROW(AG$15),0),
ROUND(ROUND(OFFSET($P532,0,AG$13),15-13*ORÇAMENTO!$AF$7)*OFFSET(ORÇAMENTO!$W$15,ROW(AG532)-ROW(AG$15),0),15-13*ORÇAMENTO!$AF$11)),0)</f>
        <v>0</v>
      </c>
      <c r="AH532" s="545">
        <f ca="1">IF(AND($D532="Serviço",AH$12&lt;&gt;0,$H532&gt;0,OR(AUTOEVENTO&lt;&gt;"manual",$M532&lt;&gt;1)),
IF(Import.TipoArredondamento&lt;&gt;"TransfereGOV",
ROUND(OFFSET($P532,0,AH$13),15-13*ORÇAMENTO!$AF$7)/$H532*OFFSET(ORÇAMENTO!$X$15,ROW(AH532)-ROW(AH$15),0),
ROUND(ROUND(OFFSET($P532,0,AH$13),15-13*ORÇAMENTO!$AF$7)*OFFSET(ORÇAMENTO!$W$15,ROW(AH532)-ROW(AH$15),0),15-13*ORÇAMENTO!$AF$11)),0)</f>
        <v>0</v>
      </c>
      <c r="AI532" s="545">
        <f ca="1">IF(AND($D532="Serviço",AI$12&lt;&gt;0,$H532&gt;0,OR(AUTOEVENTO&lt;&gt;"manual",$M532&lt;&gt;1)),
IF(Import.TipoArredondamento&lt;&gt;"TransfereGOV",
ROUND(OFFSET($P532,0,AI$13),15-13*ORÇAMENTO!$AF$7)/$H532*OFFSET(ORÇAMENTO!$X$15,ROW(AI532)-ROW(AI$15),0),
ROUND(ROUND(OFFSET($P532,0,AI$13),15-13*ORÇAMENTO!$AF$7)*OFFSET(ORÇAMENTO!$W$15,ROW(AI532)-ROW(AI$15),0),15-13*ORÇAMENTO!$AF$11)),0)</f>
        <v>0</v>
      </c>
      <c r="AJ532" s="545">
        <f ca="1">IF(AND($D532="Serviço",AJ$12&lt;&gt;0,$H532&gt;0,OR(AUTOEVENTO&lt;&gt;"manual",$M532&lt;&gt;1)),
IF(Import.TipoArredondamento&lt;&gt;"TransfereGOV",
ROUND(OFFSET($P532,0,AJ$13),15-13*ORÇAMENTO!$AF$7)/$H532*OFFSET(ORÇAMENTO!$X$15,ROW(AJ532)-ROW(AJ$15),0),
ROUND(ROUND(OFFSET($P532,0,AJ$13),15-13*ORÇAMENTO!$AF$7)*OFFSET(ORÇAMENTO!$W$15,ROW(AJ532)-ROW(AJ$15),0),15-13*ORÇAMENTO!$AF$11)),0)</f>
        <v>0</v>
      </c>
      <c r="AK532" s="546">
        <f ca="1">IF(AND($D532="Serviço",AK$12&lt;&gt;0,$H532&gt;0,OR(AUTOEVENTO&lt;&gt;"manual",$M532&lt;&gt;1)),
IF(Import.TipoArredondamento&lt;&gt;"TransfereGOV",
ROUND(OFFSET($P532,0,AK$13),15-13*ORÇAMENTO!$AF$7)/$H532*OFFSET(ORÇAMENTO!$X$15,ROW(AK532)-ROW(AK$15),0),
ROUND(ROUND(OFFSET($P532,0,AK$13),15-13*ORÇAMENTO!$AF$7)*OFFSET(ORÇAMENTO!$W$15,ROW(AK532)-ROW(AK$15),0),15-13*ORÇAMENTO!$AF$11)),0)</f>
        <v>0</v>
      </c>
      <c r="AM532" s="181">
        <f ca="1">IF($D532&lt;&gt;"Serviço",0,IF(AND(AUTOEVENTO="Manual",$M532=1),0,IF(OFFSET(CRONOPLE!$F$14,$M532,AM$13)="",10^12,OFFSET(CRONOPLE!$F$14,$M532,AM$13))))</f>
        <v>1000000000000</v>
      </c>
      <c r="AN532" s="181">
        <f ca="1">IF($D532&lt;&gt;"Serviço",0,IF(AND(AUTOEVENTO="Manual",$M532=1),0,IF(OFFSET(CRONOPLE!$F$14,$M532,AN$13)="",10^12,OFFSET(CRONOPLE!$F$14,$M532,AN$13))))</f>
        <v>1000000000000</v>
      </c>
      <c r="AO532" s="181">
        <f ca="1">IF($D532&lt;&gt;"Serviço",0,IF(AND(AUTOEVENTO="Manual",$M532=1),0,IF(OFFSET(CRONOPLE!$F$14,$M532,AO$13)="",10^12,OFFSET(CRONOPLE!$F$14,$M532,AO$13))))</f>
        <v>1000000000000</v>
      </c>
      <c r="AP532" s="181">
        <f ca="1">IF($D532&lt;&gt;"Serviço",0,IF(AND(AUTOEVENTO="Manual",$M532=1),0,IF(OFFSET(CRONOPLE!$F$14,$M532,AP$13)="",10^12,OFFSET(CRONOPLE!$F$14,$M532,AP$13))))</f>
        <v>1000000000000</v>
      </c>
      <c r="AQ532" s="181">
        <f ca="1">IF($D532&lt;&gt;"Serviço",0,IF(AND(AUTOEVENTO="Manual",$M532=1),0,IF(OFFSET(CRONOPLE!$F$14,$M532,AQ$13)="",10^12,OFFSET(CRONOPLE!$F$14,$M532,AQ$13))))</f>
        <v>1000000000000</v>
      </c>
      <c r="AR532" s="181">
        <f ca="1">IF($D532&lt;&gt;"Serviço",0,IF(AND(AUTOEVENTO="Manual",$M532=1),0,IF(OFFSET(CRONOPLE!$F$14,$M532,AR$13)="",10^12,OFFSET(CRONOPLE!$F$14,$M532,AR$13))))</f>
        <v>1000000000000</v>
      </c>
      <c r="AS532" s="181">
        <f ca="1">IF($D532&lt;&gt;"Serviço",0,IF(AND(AUTOEVENTO="Manual",$M532=1),0,IF(OFFSET(CRONOPLE!$F$14,$M532,AS$13)="",10^12,OFFSET(CRONOPLE!$F$14,$M532,AS$13))))</f>
        <v>1000000000000</v>
      </c>
      <c r="AT532" s="181">
        <f ca="1">IF($D532&lt;&gt;"Serviço",0,IF(AND(AUTOEVENTO="Manual",$M532=1),0,IF(OFFSET(CRONOPLE!$F$14,$M532,AT$13)="",10^12,OFFSET(CRONOPLE!$F$14,$M532,AT$13))))</f>
        <v>1000000000000</v>
      </c>
      <c r="AU532" s="181">
        <f ca="1">IF($D532&lt;&gt;"Serviço",0,IF(AND(AUTOEVENTO="Manual",$M532=1),0,IF(OFFSET(CRONOPLE!$F$14,$M532,AU$13)="",10^12,OFFSET(CRONOPLE!$F$14,$M532,AU$13))))</f>
        <v>1000000000000</v>
      </c>
      <c r="AV532" s="181">
        <f ca="1">IF($D532&lt;&gt;"Serviço",0,IF(AND(AUTOEVENTO="Manual",$M532=1),0,IF(OFFSET(CRONOPLE!$F$14,$M532,AV$13)="",10^12,OFFSET(CRONOPLE!$F$14,$M532,AV$13))))</f>
        <v>1000000000000</v>
      </c>
      <c r="AX532" s="182">
        <f ca="1">IF($D532&lt;&gt;"Serviço",0,IF(OR(AND(AUTOEVENTO="Manual",$M532=1),$M532&gt;(ROW(PLE.lastrow)-ROW(PLE.firstrow))),0,IF(OFFSET(PLE!$G$14,$M532,AX$13)="",10^12,OFFSET(PLE!$G$14,$M532,AX$13))))</f>
        <v>1000000000000</v>
      </c>
      <c r="AY532" s="182">
        <f ca="1">IF($D532&lt;&gt;"Serviço",0,IF(OR(AND(AUTOEVENTO="Manual",$M532=1),$M532&gt;(ROW(PLE.lastrow)-ROW(PLE.firstrow))),0,IF(OFFSET(PLE!$G$14,$M532,AY$13)="",10^12,OFFSET(PLE!$G$14,$M532,AY$13))))</f>
        <v>1000000000000</v>
      </c>
      <c r="AZ532" s="182">
        <f ca="1">IF($D532&lt;&gt;"Serviço",0,IF(OR(AND(AUTOEVENTO="Manual",$M532=1),$M532&gt;(ROW(PLE.lastrow)-ROW(PLE.firstrow))),0,IF(OFFSET(PLE!$G$14,$M532,AZ$13)="",10^12,OFFSET(PLE!$G$14,$M532,AZ$13))))</f>
        <v>1000000000000</v>
      </c>
      <c r="BA532" s="182">
        <f ca="1">IF($D532&lt;&gt;"Serviço",0,IF(OR(AND(AUTOEVENTO="Manual",$M532=1),$M532&gt;(ROW(PLE.lastrow)-ROW(PLE.firstrow))),0,IF(OFFSET(PLE!$G$14,$M532,BA$13)="",10^12,OFFSET(PLE!$G$14,$M532,BA$13))))</f>
        <v>1000000000000</v>
      </c>
      <c r="BB532" s="182">
        <f ca="1">IF($D532&lt;&gt;"Serviço",0,IF(OR(AND(AUTOEVENTO="Manual",$M532=1),$M532&gt;(ROW(PLE.lastrow)-ROW(PLE.firstrow))),0,IF(OFFSET(PLE!$G$14,$M532,BB$13)="",10^12,OFFSET(PLE!$G$14,$M532,BB$13))))</f>
        <v>1000000000000</v>
      </c>
      <c r="BC532" s="182">
        <f ca="1">IF($D532&lt;&gt;"Serviço",0,IF(OR(AND(AUTOEVENTO="Manual",$M532=1),$M532&gt;(ROW(PLE.lastrow)-ROW(PLE.firstrow))),0,IF(OFFSET(PLE!$G$14,$M532,BC$13)="",10^12,OFFSET(PLE!$G$14,$M532,BC$13))))</f>
        <v>1000000000000</v>
      </c>
      <c r="BD532" s="182">
        <f ca="1">IF($D532&lt;&gt;"Serviço",0,IF(OR(AND(AUTOEVENTO="Manual",$M532=1),$M532&gt;(ROW(PLE.lastrow)-ROW(PLE.firstrow))),0,IF(OFFSET(PLE!$G$14,$M532,BD$13)="",10^12,OFFSET(PLE!$G$14,$M532,BD$13))))</f>
        <v>1000000000000</v>
      </c>
      <c r="BE532" s="182">
        <f ca="1">IF($D532&lt;&gt;"Serviço",0,IF(OR(AND(AUTOEVENTO="Manual",$M532=1),$M532&gt;(ROW(PLE.lastrow)-ROW(PLE.firstrow))),0,IF(OFFSET(PLE!$G$14,$M532,BE$13)="",10^12,OFFSET(PLE!$G$14,$M532,BE$13))))</f>
        <v>1000000000000</v>
      </c>
      <c r="BF532" s="182">
        <f ca="1">IF($D532&lt;&gt;"Serviço",0,IF(OR(AND(AUTOEVENTO="Manual",$M532=1),$M532&gt;(ROW(PLE.lastrow)-ROW(PLE.firstrow))),0,IF(OFFSET(PLE!$G$14,$M532,BF$13)="",10^12,OFFSET(PLE!$G$14,$M532,BF$13))))</f>
        <v>1000000000000</v>
      </c>
      <c r="BG532" s="182">
        <f ca="1">IF($D532&lt;&gt;"Serviço",0,IF(OR(AND(AUTOEVENTO="Manual",$M532=1),$M532&gt;(ROW(PLE.lastrow)-ROW(PLE.firstrow))),0,IF(OFFSET(PLE!$G$14,$M532,BG$13)="",10^12,OFFSET(PLE!$G$14,$M532,BG$13))))</f>
        <v>1000000000000</v>
      </c>
    </row>
    <row r="533" spans="1:59" ht="38.25" x14ac:dyDescent="0.2">
      <c r="A533" s="7" t="str">
        <f t="shared" ca="1" si="15"/>
        <v>472</v>
      </c>
      <c r="B533" s="7" t="str">
        <f ca="1">OFFSET(ORÇAMENTO!C$15,ROW(B533)-ROW(B$15),0)</f>
        <v>S</v>
      </c>
      <c r="C533" s="7" t="str">
        <f ca="1">OFFSET(ORÇAMENTO!L$15,ROW(C533)-ROW(C$15),0)</f>
        <v/>
      </c>
      <c r="D533" s="118" t="str">
        <f ca="1">OFFSET(ORÇAMENTO!N$15,ROW(D533)-ROW(D$15),0)</f>
        <v>Serviço</v>
      </c>
      <c r="E533" s="119" t="str">
        <f ca="1">OFFSET(ORÇAMENTO!O$15,ROW(E533)-ROW(E$15),0)</f>
        <v>-</v>
      </c>
      <c r="F533" s="172" t="str">
        <f ca="1">OFFSET(ORÇAMENTO!R$15,ROW(F533)-ROW(F$15),0)</f>
        <v>(abra o arquivo 'Referência 02-2025.xlsm)</v>
      </c>
      <c r="G533" s="173" t="str">
        <f ca="1">IF($D533&lt;&gt;"Serviço","",OFFSET(ORÇAMENTO!S$15,ROW(G533)-ROW(G$15),0))</f>
        <v>-</v>
      </c>
      <c r="H533" s="124">
        <f ca="1">IF($D533&lt;&gt;"Serviço",0,IF(ACOMPANHAMENTO="BM",ROUND(OFFSET(ORÇAMENTO!AJ$15,ROW(H533)-ROW(H$15),0),15-13*ORÇAMENTO!$AF$7),SUMPRODUCT(($Q$12:$AA$12&lt;&gt;"")*ROUND($Q533:$AA533,15-13*ORÇAMENTO!$AF$7))))</f>
        <v>4510.5</v>
      </c>
      <c r="I533" s="561" t="s">
        <v>890</v>
      </c>
      <c r="K533" s="174"/>
      <c r="L533" s="175" t="s">
        <v>255</v>
      </c>
      <c r="M533" s="176">
        <f ca="1">IF($D533&lt;&gt;"Serviço","",IF(AUTOEVENTO="manual",$A533,IF(ISERROR(MATCH($A533,$A$15:OFFSET($A533,-1,0),0)),MAX($M$15:OFFSET(M533,-1,0))+1,INDEX($M$15:OFFSET(M533,-1,0),MATCH($A533,$A$15:OFFSET($A533,-1,0),0)))))</f>
        <v>18</v>
      </c>
      <c r="N533" s="177" t="str">
        <f ca="1">IF($D533&lt;&gt;"Serviço","",IF(AUTOEVENTO="Manual",IF($A533=0,"&lt;-- defina o número do agrupador",OFFSET(EVENTOS!$D$14,$A533,0)),OFFSET($F$15,$A533,0)))</f>
        <v>INSTALAÇÕES ELÉTRICAS - 220V</v>
      </c>
      <c r="O533" s="178"/>
      <c r="Q533" s="178"/>
      <c r="R533" s="179"/>
      <c r="S533" s="179"/>
      <c r="T533" s="179"/>
      <c r="U533" s="179"/>
      <c r="V533" s="179"/>
      <c r="W533" s="179"/>
      <c r="X533" s="179"/>
      <c r="Y533" s="179"/>
      <c r="Z533" s="180"/>
      <c r="AB533" s="544">
        <f ca="1">IF(AND($D533="Serviço",AB$12&lt;&gt;0,$H533&gt;0,OR(AUTOEVENTO&lt;&gt;"manual",$M533&lt;&gt;1)),
IF(Import.TipoArredondamento&lt;&gt;"TransfereGOV",
ROUND(OFFSET($P533,0,AB$13),15-13*ORÇAMENTO!$AF$7)/$H533*OFFSET(ORÇAMENTO!$X$15,ROW(AB533)-ROW(AB$15),0),
ROUND(ROUND(OFFSET($P533,0,AB$13),15-13*ORÇAMENTO!$AF$7)*OFFSET(ORÇAMENTO!$W$15,ROW(AB533)-ROW(AB$15),0),15-13*ORÇAMENTO!$AF$11)),0)</f>
        <v>0</v>
      </c>
      <c r="AC533" s="545">
        <f ca="1">IF(AND($D533="Serviço",AC$12&lt;&gt;0,$H533&gt;0,OR(AUTOEVENTO&lt;&gt;"manual",$M533&lt;&gt;1)),
IF(Import.TipoArredondamento&lt;&gt;"TransfereGOV",
ROUND(OFFSET($P533,0,AC$13),15-13*ORÇAMENTO!$AF$7)/$H533*OFFSET(ORÇAMENTO!$X$15,ROW(AC533)-ROW(AC$15),0),
ROUND(ROUND(OFFSET($P533,0,AC$13),15-13*ORÇAMENTO!$AF$7)*OFFSET(ORÇAMENTO!$W$15,ROW(AC533)-ROW(AC$15),0),15-13*ORÇAMENTO!$AF$11)),0)</f>
        <v>0</v>
      </c>
      <c r="AD533" s="545">
        <f ca="1">IF(AND($D533="Serviço",AD$12&lt;&gt;0,$H533&gt;0,OR(AUTOEVENTO&lt;&gt;"manual",$M533&lt;&gt;1)),
IF(Import.TipoArredondamento&lt;&gt;"TransfereGOV",
ROUND(OFFSET($P533,0,AD$13),15-13*ORÇAMENTO!$AF$7)/$H533*OFFSET(ORÇAMENTO!$X$15,ROW(AD533)-ROW(AD$15),0),
ROUND(ROUND(OFFSET($P533,0,AD$13),15-13*ORÇAMENTO!$AF$7)*OFFSET(ORÇAMENTO!$W$15,ROW(AD533)-ROW(AD$15),0),15-13*ORÇAMENTO!$AF$11)),0)</f>
        <v>0</v>
      </c>
      <c r="AE533" s="545">
        <f ca="1">IF(AND($D533="Serviço",AE$12&lt;&gt;0,$H533&gt;0,OR(AUTOEVENTO&lt;&gt;"manual",$M533&lt;&gt;1)),
IF(Import.TipoArredondamento&lt;&gt;"TransfereGOV",
ROUND(OFFSET($P533,0,AE$13),15-13*ORÇAMENTO!$AF$7)/$H533*OFFSET(ORÇAMENTO!$X$15,ROW(AE533)-ROW(AE$15),0),
ROUND(ROUND(OFFSET($P533,0,AE$13),15-13*ORÇAMENTO!$AF$7)*OFFSET(ORÇAMENTO!$W$15,ROW(AE533)-ROW(AE$15),0),15-13*ORÇAMENTO!$AF$11)),0)</f>
        <v>0</v>
      </c>
      <c r="AF533" s="545">
        <f ca="1">IF(AND($D533="Serviço",AF$12&lt;&gt;0,$H533&gt;0,OR(AUTOEVENTO&lt;&gt;"manual",$M533&lt;&gt;1)),
IF(Import.TipoArredondamento&lt;&gt;"TransfereGOV",
ROUND(OFFSET($P533,0,AF$13),15-13*ORÇAMENTO!$AF$7)/$H533*OFFSET(ORÇAMENTO!$X$15,ROW(AF533)-ROW(AF$15),0),
ROUND(ROUND(OFFSET($P533,0,AF$13),15-13*ORÇAMENTO!$AF$7)*OFFSET(ORÇAMENTO!$W$15,ROW(AF533)-ROW(AF$15),0),15-13*ORÇAMENTO!$AF$11)),0)</f>
        <v>0</v>
      </c>
      <c r="AG533" s="545">
        <f ca="1">IF(AND($D533="Serviço",AG$12&lt;&gt;0,$H533&gt;0,OR(AUTOEVENTO&lt;&gt;"manual",$M533&lt;&gt;1)),
IF(Import.TipoArredondamento&lt;&gt;"TransfereGOV",
ROUND(OFFSET($P533,0,AG$13),15-13*ORÇAMENTO!$AF$7)/$H533*OFFSET(ORÇAMENTO!$X$15,ROW(AG533)-ROW(AG$15),0),
ROUND(ROUND(OFFSET($P533,0,AG$13),15-13*ORÇAMENTO!$AF$7)*OFFSET(ORÇAMENTO!$W$15,ROW(AG533)-ROW(AG$15),0),15-13*ORÇAMENTO!$AF$11)),0)</f>
        <v>0</v>
      </c>
      <c r="AH533" s="545">
        <f ca="1">IF(AND($D533="Serviço",AH$12&lt;&gt;0,$H533&gt;0,OR(AUTOEVENTO&lt;&gt;"manual",$M533&lt;&gt;1)),
IF(Import.TipoArredondamento&lt;&gt;"TransfereGOV",
ROUND(OFFSET($P533,0,AH$13),15-13*ORÇAMENTO!$AF$7)/$H533*OFFSET(ORÇAMENTO!$X$15,ROW(AH533)-ROW(AH$15),0),
ROUND(ROUND(OFFSET($P533,0,AH$13),15-13*ORÇAMENTO!$AF$7)*OFFSET(ORÇAMENTO!$W$15,ROW(AH533)-ROW(AH$15),0),15-13*ORÇAMENTO!$AF$11)),0)</f>
        <v>0</v>
      </c>
      <c r="AI533" s="545">
        <f ca="1">IF(AND($D533="Serviço",AI$12&lt;&gt;0,$H533&gt;0,OR(AUTOEVENTO&lt;&gt;"manual",$M533&lt;&gt;1)),
IF(Import.TipoArredondamento&lt;&gt;"TransfereGOV",
ROUND(OFFSET($P533,0,AI$13),15-13*ORÇAMENTO!$AF$7)/$H533*OFFSET(ORÇAMENTO!$X$15,ROW(AI533)-ROW(AI$15),0),
ROUND(ROUND(OFFSET($P533,0,AI$13),15-13*ORÇAMENTO!$AF$7)*OFFSET(ORÇAMENTO!$W$15,ROW(AI533)-ROW(AI$15),0),15-13*ORÇAMENTO!$AF$11)),0)</f>
        <v>0</v>
      </c>
      <c r="AJ533" s="545">
        <f ca="1">IF(AND($D533="Serviço",AJ$12&lt;&gt;0,$H533&gt;0,OR(AUTOEVENTO&lt;&gt;"manual",$M533&lt;&gt;1)),
IF(Import.TipoArredondamento&lt;&gt;"TransfereGOV",
ROUND(OFFSET($P533,0,AJ$13),15-13*ORÇAMENTO!$AF$7)/$H533*OFFSET(ORÇAMENTO!$X$15,ROW(AJ533)-ROW(AJ$15),0),
ROUND(ROUND(OFFSET($P533,0,AJ$13),15-13*ORÇAMENTO!$AF$7)*OFFSET(ORÇAMENTO!$W$15,ROW(AJ533)-ROW(AJ$15),0),15-13*ORÇAMENTO!$AF$11)),0)</f>
        <v>0</v>
      </c>
      <c r="AK533" s="546">
        <f ca="1">IF(AND($D533="Serviço",AK$12&lt;&gt;0,$H533&gt;0,OR(AUTOEVENTO&lt;&gt;"manual",$M533&lt;&gt;1)),
IF(Import.TipoArredondamento&lt;&gt;"TransfereGOV",
ROUND(OFFSET($P533,0,AK$13),15-13*ORÇAMENTO!$AF$7)/$H533*OFFSET(ORÇAMENTO!$X$15,ROW(AK533)-ROW(AK$15),0),
ROUND(ROUND(OFFSET($P533,0,AK$13),15-13*ORÇAMENTO!$AF$7)*OFFSET(ORÇAMENTO!$W$15,ROW(AK533)-ROW(AK$15),0),15-13*ORÇAMENTO!$AF$11)),0)</f>
        <v>0</v>
      </c>
      <c r="AM533" s="181">
        <f ca="1">IF($D533&lt;&gt;"Serviço",0,IF(AND(AUTOEVENTO="Manual",$M533=1),0,IF(OFFSET(CRONOPLE!$F$14,$M533,AM$13)="",10^12,OFFSET(CRONOPLE!$F$14,$M533,AM$13))))</f>
        <v>1000000000000</v>
      </c>
      <c r="AN533" s="181">
        <f ca="1">IF($D533&lt;&gt;"Serviço",0,IF(AND(AUTOEVENTO="Manual",$M533=1),0,IF(OFFSET(CRONOPLE!$F$14,$M533,AN$13)="",10^12,OFFSET(CRONOPLE!$F$14,$M533,AN$13))))</f>
        <v>1000000000000</v>
      </c>
      <c r="AO533" s="181">
        <f ca="1">IF($D533&lt;&gt;"Serviço",0,IF(AND(AUTOEVENTO="Manual",$M533=1),0,IF(OFFSET(CRONOPLE!$F$14,$M533,AO$13)="",10^12,OFFSET(CRONOPLE!$F$14,$M533,AO$13))))</f>
        <v>1000000000000</v>
      </c>
      <c r="AP533" s="181">
        <f ca="1">IF($D533&lt;&gt;"Serviço",0,IF(AND(AUTOEVENTO="Manual",$M533=1),0,IF(OFFSET(CRONOPLE!$F$14,$M533,AP$13)="",10^12,OFFSET(CRONOPLE!$F$14,$M533,AP$13))))</f>
        <v>1000000000000</v>
      </c>
      <c r="AQ533" s="181">
        <f ca="1">IF($D533&lt;&gt;"Serviço",0,IF(AND(AUTOEVENTO="Manual",$M533=1),0,IF(OFFSET(CRONOPLE!$F$14,$M533,AQ$13)="",10^12,OFFSET(CRONOPLE!$F$14,$M533,AQ$13))))</f>
        <v>1000000000000</v>
      </c>
      <c r="AR533" s="181">
        <f ca="1">IF($D533&lt;&gt;"Serviço",0,IF(AND(AUTOEVENTO="Manual",$M533=1),0,IF(OFFSET(CRONOPLE!$F$14,$M533,AR$13)="",10^12,OFFSET(CRONOPLE!$F$14,$M533,AR$13))))</f>
        <v>1000000000000</v>
      </c>
      <c r="AS533" s="181">
        <f ca="1">IF($D533&lt;&gt;"Serviço",0,IF(AND(AUTOEVENTO="Manual",$M533=1),0,IF(OFFSET(CRONOPLE!$F$14,$M533,AS$13)="",10^12,OFFSET(CRONOPLE!$F$14,$M533,AS$13))))</f>
        <v>1000000000000</v>
      </c>
      <c r="AT533" s="181">
        <f ca="1">IF($D533&lt;&gt;"Serviço",0,IF(AND(AUTOEVENTO="Manual",$M533=1),0,IF(OFFSET(CRONOPLE!$F$14,$M533,AT$13)="",10^12,OFFSET(CRONOPLE!$F$14,$M533,AT$13))))</f>
        <v>1000000000000</v>
      </c>
      <c r="AU533" s="181">
        <f ca="1">IF($D533&lt;&gt;"Serviço",0,IF(AND(AUTOEVENTO="Manual",$M533=1),0,IF(OFFSET(CRONOPLE!$F$14,$M533,AU$13)="",10^12,OFFSET(CRONOPLE!$F$14,$M533,AU$13))))</f>
        <v>1000000000000</v>
      </c>
      <c r="AV533" s="181">
        <f ca="1">IF($D533&lt;&gt;"Serviço",0,IF(AND(AUTOEVENTO="Manual",$M533=1),0,IF(OFFSET(CRONOPLE!$F$14,$M533,AV$13)="",10^12,OFFSET(CRONOPLE!$F$14,$M533,AV$13))))</f>
        <v>1000000000000</v>
      </c>
      <c r="AX533" s="182">
        <f ca="1">IF($D533&lt;&gt;"Serviço",0,IF(OR(AND(AUTOEVENTO="Manual",$M533=1),$M533&gt;(ROW(PLE.lastrow)-ROW(PLE.firstrow))),0,IF(OFFSET(PLE!$G$14,$M533,AX$13)="",10^12,OFFSET(PLE!$G$14,$M533,AX$13))))</f>
        <v>1000000000000</v>
      </c>
      <c r="AY533" s="182">
        <f ca="1">IF($D533&lt;&gt;"Serviço",0,IF(OR(AND(AUTOEVENTO="Manual",$M533=1),$M533&gt;(ROW(PLE.lastrow)-ROW(PLE.firstrow))),0,IF(OFFSET(PLE!$G$14,$M533,AY$13)="",10^12,OFFSET(PLE!$G$14,$M533,AY$13))))</f>
        <v>1000000000000</v>
      </c>
      <c r="AZ533" s="182">
        <f ca="1">IF($D533&lt;&gt;"Serviço",0,IF(OR(AND(AUTOEVENTO="Manual",$M533=1),$M533&gt;(ROW(PLE.lastrow)-ROW(PLE.firstrow))),0,IF(OFFSET(PLE!$G$14,$M533,AZ$13)="",10^12,OFFSET(PLE!$G$14,$M533,AZ$13))))</f>
        <v>1000000000000</v>
      </c>
      <c r="BA533" s="182">
        <f ca="1">IF($D533&lt;&gt;"Serviço",0,IF(OR(AND(AUTOEVENTO="Manual",$M533=1),$M533&gt;(ROW(PLE.lastrow)-ROW(PLE.firstrow))),0,IF(OFFSET(PLE!$G$14,$M533,BA$13)="",10^12,OFFSET(PLE!$G$14,$M533,BA$13))))</f>
        <v>1000000000000</v>
      </c>
      <c r="BB533" s="182">
        <f ca="1">IF($D533&lt;&gt;"Serviço",0,IF(OR(AND(AUTOEVENTO="Manual",$M533=1),$M533&gt;(ROW(PLE.lastrow)-ROW(PLE.firstrow))),0,IF(OFFSET(PLE!$G$14,$M533,BB$13)="",10^12,OFFSET(PLE!$G$14,$M533,BB$13))))</f>
        <v>1000000000000</v>
      </c>
      <c r="BC533" s="182">
        <f ca="1">IF($D533&lt;&gt;"Serviço",0,IF(OR(AND(AUTOEVENTO="Manual",$M533=1),$M533&gt;(ROW(PLE.lastrow)-ROW(PLE.firstrow))),0,IF(OFFSET(PLE!$G$14,$M533,BC$13)="",10^12,OFFSET(PLE!$G$14,$M533,BC$13))))</f>
        <v>1000000000000</v>
      </c>
      <c r="BD533" s="182">
        <f ca="1">IF($D533&lt;&gt;"Serviço",0,IF(OR(AND(AUTOEVENTO="Manual",$M533=1),$M533&gt;(ROW(PLE.lastrow)-ROW(PLE.firstrow))),0,IF(OFFSET(PLE!$G$14,$M533,BD$13)="",10^12,OFFSET(PLE!$G$14,$M533,BD$13))))</f>
        <v>1000000000000</v>
      </c>
      <c r="BE533" s="182">
        <f ca="1">IF($D533&lt;&gt;"Serviço",0,IF(OR(AND(AUTOEVENTO="Manual",$M533=1),$M533&gt;(ROW(PLE.lastrow)-ROW(PLE.firstrow))),0,IF(OFFSET(PLE!$G$14,$M533,BE$13)="",10^12,OFFSET(PLE!$G$14,$M533,BE$13))))</f>
        <v>1000000000000</v>
      </c>
      <c r="BF533" s="182">
        <f ca="1">IF($D533&lt;&gt;"Serviço",0,IF(OR(AND(AUTOEVENTO="Manual",$M533=1),$M533&gt;(ROW(PLE.lastrow)-ROW(PLE.firstrow))),0,IF(OFFSET(PLE!$G$14,$M533,BF$13)="",10^12,OFFSET(PLE!$G$14,$M533,BF$13))))</f>
        <v>1000000000000</v>
      </c>
      <c r="BG533" s="182">
        <f ca="1">IF($D533&lt;&gt;"Serviço",0,IF(OR(AND(AUTOEVENTO="Manual",$M533=1),$M533&gt;(ROW(PLE.lastrow)-ROW(PLE.firstrow))),0,IF(OFFSET(PLE!$G$14,$M533,BG$13)="",10^12,OFFSET(PLE!$G$14,$M533,BG$13))))</f>
        <v>1000000000000</v>
      </c>
    </row>
    <row r="534" spans="1:59" ht="38.25" x14ac:dyDescent="0.2">
      <c r="A534" s="7" t="str">
        <f t="shared" ca="1" si="15"/>
        <v>472</v>
      </c>
      <c r="B534" s="7" t="str">
        <f ca="1">OFFSET(ORÇAMENTO!C$15,ROW(B534)-ROW(B$15),0)</f>
        <v>S</v>
      </c>
      <c r="C534" s="7" t="str">
        <f ca="1">OFFSET(ORÇAMENTO!L$15,ROW(C534)-ROW(C$15),0)</f>
        <v/>
      </c>
      <c r="D534" s="118" t="str">
        <f ca="1">OFFSET(ORÇAMENTO!N$15,ROW(D534)-ROW(D$15),0)</f>
        <v>Serviço</v>
      </c>
      <c r="E534" s="119" t="str">
        <f ca="1">OFFSET(ORÇAMENTO!O$15,ROW(E534)-ROW(E$15),0)</f>
        <v>-</v>
      </c>
      <c r="F534" s="172" t="str">
        <f ca="1">OFFSET(ORÇAMENTO!R$15,ROW(F534)-ROW(F$15),0)</f>
        <v>(abra o arquivo 'Referência 02-2025.xlsm)</v>
      </c>
      <c r="G534" s="173" t="str">
        <f ca="1">IF($D534&lt;&gt;"Serviço","",OFFSET(ORÇAMENTO!S$15,ROW(G534)-ROW(G$15),0))</f>
        <v>-</v>
      </c>
      <c r="H534" s="124">
        <f ca="1">IF($D534&lt;&gt;"Serviço",0,IF(ACOMPANHAMENTO="BM",ROUND(OFFSET(ORÇAMENTO!AJ$15,ROW(H534)-ROW(H$15),0),15-13*ORÇAMENTO!$AF$7),SUMPRODUCT(($Q$12:$AA$12&lt;&gt;"")*ROUND($Q534:$AA534,15-13*ORÇAMENTO!$AF$7))))</f>
        <v>4012.5</v>
      </c>
      <c r="I534" s="561" t="s">
        <v>890</v>
      </c>
      <c r="K534" s="174"/>
      <c r="L534" s="175" t="s">
        <v>255</v>
      </c>
      <c r="M534" s="176">
        <f ca="1">IF($D534&lt;&gt;"Serviço","",IF(AUTOEVENTO="manual",$A534,IF(ISERROR(MATCH($A534,$A$15:OFFSET($A534,-1,0),0)),MAX($M$15:OFFSET(M534,-1,0))+1,INDEX($M$15:OFFSET(M534,-1,0),MATCH($A534,$A$15:OFFSET($A534,-1,0),0)))))</f>
        <v>18</v>
      </c>
      <c r="N534" s="177" t="str">
        <f ca="1">IF($D534&lt;&gt;"Serviço","",IF(AUTOEVENTO="Manual",IF($A534=0,"&lt;-- defina o número do agrupador",OFFSET(EVENTOS!$D$14,$A534,0)),OFFSET($F$15,$A534,0)))</f>
        <v>INSTALAÇÕES ELÉTRICAS - 220V</v>
      </c>
      <c r="O534" s="178"/>
      <c r="Q534" s="178"/>
      <c r="R534" s="179"/>
      <c r="S534" s="179"/>
      <c r="T534" s="179"/>
      <c r="U534" s="179"/>
      <c r="V534" s="179"/>
      <c r="W534" s="179"/>
      <c r="X534" s="179"/>
      <c r="Y534" s="179"/>
      <c r="Z534" s="180"/>
      <c r="AB534" s="544">
        <f ca="1">IF(AND($D534="Serviço",AB$12&lt;&gt;0,$H534&gt;0,OR(AUTOEVENTO&lt;&gt;"manual",$M534&lt;&gt;1)),
IF(Import.TipoArredondamento&lt;&gt;"TransfereGOV",
ROUND(OFFSET($P534,0,AB$13),15-13*ORÇAMENTO!$AF$7)/$H534*OFFSET(ORÇAMENTO!$X$15,ROW(AB534)-ROW(AB$15),0),
ROUND(ROUND(OFFSET($P534,0,AB$13),15-13*ORÇAMENTO!$AF$7)*OFFSET(ORÇAMENTO!$W$15,ROW(AB534)-ROW(AB$15),0),15-13*ORÇAMENTO!$AF$11)),0)</f>
        <v>0</v>
      </c>
      <c r="AC534" s="545">
        <f ca="1">IF(AND($D534="Serviço",AC$12&lt;&gt;0,$H534&gt;0,OR(AUTOEVENTO&lt;&gt;"manual",$M534&lt;&gt;1)),
IF(Import.TipoArredondamento&lt;&gt;"TransfereGOV",
ROUND(OFFSET($P534,0,AC$13),15-13*ORÇAMENTO!$AF$7)/$H534*OFFSET(ORÇAMENTO!$X$15,ROW(AC534)-ROW(AC$15),0),
ROUND(ROUND(OFFSET($P534,0,AC$13),15-13*ORÇAMENTO!$AF$7)*OFFSET(ORÇAMENTO!$W$15,ROW(AC534)-ROW(AC$15),0),15-13*ORÇAMENTO!$AF$11)),0)</f>
        <v>0</v>
      </c>
      <c r="AD534" s="545">
        <f ca="1">IF(AND($D534="Serviço",AD$12&lt;&gt;0,$H534&gt;0,OR(AUTOEVENTO&lt;&gt;"manual",$M534&lt;&gt;1)),
IF(Import.TipoArredondamento&lt;&gt;"TransfereGOV",
ROUND(OFFSET($P534,0,AD$13),15-13*ORÇAMENTO!$AF$7)/$H534*OFFSET(ORÇAMENTO!$X$15,ROW(AD534)-ROW(AD$15),0),
ROUND(ROUND(OFFSET($P534,0,AD$13),15-13*ORÇAMENTO!$AF$7)*OFFSET(ORÇAMENTO!$W$15,ROW(AD534)-ROW(AD$15),0),15-13*ORÇAMENTO!$AF$11)),0)</f>
        <v>0</v>
      </c>
      <c r="AE534" s="545">
        <f ca="1">IF(AND($D534="Serviço",AE$12&lt;&gt;0,$H534&gt;0,OR(AUTOEVENTO&lt;&gt;"manual",$M534&lt;&gt;1)),
IF(Import.TipoArredondamento&lt;&gt;"TransfereGOV",
ROUND(OFFSET($P534,0,AE$13),15-13*ORÇAMENTO!$AF$7)/$H534*OFFSET(ORÇAMENTO!$X$15,ROW(AE534)-ROW(AE$15),0),
ROUND(ROUND(OFFSET($P534,0,AE$13),15-13*ORÇAMENTO!$AF$7)*OFFSET(ORÇAMENTO!$W$15,ROW(AE534)-ROW(AE$15),0),15-13*ORÇAMENTO!$AF$11)),0)</f>
        <v>0</v>
      </c>
      <c r="AF534" s="545">
        <f ca="1">IF(AND($D534="Serviço",AF$12&lt;&gt;0,$H534&gt;0,OR(AUTOEVENTO&lt;&gt;"manual",$M534&lt;&gt;1)),
IF(Import.TipoArredondamento&lt;&gt;"TransfereGOV",
ROUND(OFFSET($P534,0,AF$13),15-13*ORÇAMENTO!$AF$7)/$H534*OFFSET(ORÇAMENTO!$X$15,ROW(AF534)-ROW(AF$15),0),
ROUND(ROUND(OFFSET($P534,0,AF$13),15-13*ORÇAMENTO!$AF$7)*OFFSET(ORÇAMENTO!$W$15,ROW(AF534)-ROW(AF$15),0),15-13*ORÇAMENTO!$AF$11)),0)</f>
        <v>0</v>
      </c>
      <c r="AG534" s="545">
        <f ca="1">IF(AND($D534="Serviço",AG$12&lt;&gt;0,$H534&gt;0,OR(AUTOEVENTO&lt;&gt;"manual",$M534&lt;&gt;1)),
IF(Import.TipoArredondamento&lt;&gt;"TransfereGOV",
ROUND(OFFSET($P534,0,AG$13),15-13*ORÇAMENTO!$AF$7)/$H534*OFFSET(ORÇAMENTO!$X$15,ROW(AG534)-ROW(AG$15),0),
ROUND(ROUND(OFFSET($P534,0,AG$13),15-13*ORÇAMENTO!$AF$7)*OFFSET(ORÇAMENTO!$W$15,ROW(AG534)-ROW(AG$15),0),15-13*ORÇAMENTO!$AF$11)),0)</f>
        <v>0</v>
      </c>
      <c r="AH534" s="545">
        <f ca="1">IF(AND($D534="Serviço",AH$12&lt;&gt;0,$H534&gt;0,OR(AUTOEVENTO&lt;&gt;"manual",$M534&lt;&gt;1)),
IF(Import.TipoArredondamento&lt;&gt;"TransfereGOV",
ROUND(OFFSET($P534,0,AH$13),15-13*ORÇAMENTO!$AF$7)/$H534*OFFSET(ORÇAMENTO!$X$15,ROW(AH534)-ROW(AH$15),0),
ROUND(ROUND(OFFSET($P534,0,AH$13),15-13*ORÇAMENTO!$AF$7)*OFFSET(ORÇAMENTO!$W$15,ROW(AH534)-ROW(AH$15),0),15-13*ORÇAMENTO!$AF$11)),0)</f>
        <v>0</v>
      </c>
      <c r="AI534" s="545">
        <f ca="1">IF(AND($D534="Serviço",AI$12&lt;&gt;0,$H534&gt;0,OR(AUTOEVENTO&lt;&gt;"manual",$M534&lt;&gt;1)),
IF(Import.TipoArredondamento&lt;&gt;"TransfereGOV",
ROUND(OFFSET($P534,0,AI$13),15-13*ORÇAMENTO!$AF$7)/$H534*OFFSET(ORÇAMENTO!$X$15,ROW(AI534)-ROW(AI$15),0),
ROUND(ROUND(OFFSET($P534,0,AI$13),15-13*ORÇAMENTO!$AF$7)*OFFSET(ORÇAMENTO!$W$15,ROW(AI534)-ROW(AI$15),0),15-13*ORÇAMENTO!$AF$11)),0)</f>
        <v>0</v>
      </c>
      <c r="AJ534" s="545">
        <f ca="1">IF(AND($D534="Serviço",AJ$12&lt;&gt;0,$H534&gt;0,OR(AUTOEVENTO&lt;&gt;"manual",$M534&lt;&gt;1)),
IF(Import.TipoArredondamento&lt;&gt;"TransfereGOV",
ROUND(OFFSET($P534,0,AJ$13),15-13*ORÇAMENTO!$AF$7)/$H534*OFFSET(ORÇAMENTO!$X$15,ROW(AJ534)-ROW(AJ$15),0),
ROUND(ROUND(OFFSET($P534,0,AJ$13),15-13*ORÇAMENTO!$AF$7)*OFFSET(ORÇAMENTO!$W$15,ROW(AJ534)-ROW(AJ$15),0),15-13*ORÇAMENTO!$AF$11)),0)</f>
        <v>0</v>
      </c>
      <c r="AK534" s="546">
        <f ca="1">IF(AND($D534="Serviço",AK$12&lt;&gt;0,$H534&gt;0,OR(AUTOEVENTO&lt;&gt;"manual",$M534&lt;&gt;1)),
IF(Import.TipoArredondamento&lt;&gt;"TransfereGOV",
ROUND(OFFSET($P534,0,AK$13),15-13*ORÇAMENTO!$AF$7)/$H534*OFFSET(ORÇAMENTO!$X$15,ROW(AK534)-ROW(AK$15),0),
ROUND(ROUND(OFFSET($P534,0,AK$13),15-13*ORÇAMENTO!$AF$7)*OFFSET(ORÇAMENTO!$W$15,ROW(AK534)-ROW(AK$15),0),15-13*ORÇAMENTO!$AF$11)),0)</f>
        <v>0</v>
      </c>
      <c r="AM534" s="181">
        <f ca="1">IF($D534&lt;&gt;"Serviço",0,IF(AND(AUTOEVENTO="Manual",$M534=1),0,IF(OFFSET(CRONOPLE!$F$14,$M534,AM$13)="",10^12,OFFSET(CRONOPLE!$F$14,$M534,AM$13))))</f>
        <v>1000000000000</v>
      </c>
      <c r="AN534" s="181">
        <f ca="1">IF($D534&lt;&gt;"Serviço",0,IF(AND(AUTOEVENTO="Manual",$M534=1),0,IF(OFFSET(CRONOPLE!$F$14,$M534,AN$13)="",10^12,OFFSET(CRONOPLE!$F$14,$M534,AN$13))))</f>
        <v>1000000000000</v>
      </c>
      <c r="AO534" s="181">
        <f ca="1">IF($D534&lt;&gt;"Serviço",0,IF(AND(AUTOEVENTO="Manual",$M534=1),0,IF(OFFSET(CRONOPLE!$F$14,$M534,AO$13)="",10^12,OFFSET(CRONOPLE!$F$14,$M534,AO$13))))</f>
        <v>1000000000000</v>
      </c>
      <c r="AP534" s="181">
        <f ca="1">IF($D534&lt;&gt;"Serviço",0,IF(AND(AUTOEVENTO="Manual",$M534=1),0,IF(OFFSET(CRONOPLE!$F$14,$M534,AP$13)="",10^12,OFFSET(CRONOPLE!$F$14,$M534,AP$13))))</f>
        <v>1000000000000</v>
      </c>
      <c r="AQ534" s="181">
        <f ca="1">IF($D534&lt;&gt;"Serviço",0,IF(AND(AUTOEVENTO="Manual",$M534=1),0,IF(OFFSET(CRONOPLE!$F$14,$M534,AQ$13)="",10^12,OFFSET(CRONOPLE!$F$14,$M534,AQ$13))))</f>
        <v>1000000000000</v>
      </c>
      <c r="AR534" s="181">
        <f ca="1">IF($D534&lt;&gt;"Serviço",0,IF(AND(AUTOEVENTO="Manual",$M534=1),0,IF(OFFSET(CRONOPLE!$F$14,$M534,AR$13)="",10^12,OFFSET(CRONOPLE!$F$14,$M534,AR$13))))</f>
        <v>1000000000000</v>
      </c>
      <c r="AS534" s="181">
        <f ca="1">IF($D534&lt;&gt;"Serviço",0,IF(AND(AUTOEVENTO="Manual",$M534=1),0,IF(OFFSET(CRONOPLE!$F$14,$M534,AS$13)="",10^12,OFFSET(CRONOPLE!$F$14,$M534,AS$13))))</f>
        <v>1000000000000</v>
      </c>
      <c r="AT534" s="181">
        <f ca="1">IF($D534&lt;&gt;"Serviço",0,IF(AND(AUTOEVENTO="Manual",$M534=1),0,IF(OFFSET(CRONOPLE!$F$14,$M534,AT$13)="",10^12,OFFSET(CRONOPLE!$F$14,$M534,AT$13))))</f>
        <v>1000000000000</v>
      </c>
      <c r="AU534" s="181">
        <f ca="1">IF($D534&lt;&gt;"Serviço",0,IF(AND(AUTOEVENTO="Manual",$M534=1),0,IF(OFFSET(CRONOPLE!$F$14,$M534,AU$13)="",10^12,OFFSET(CRONOPLE!$F$14,$M534,AU$13))))</f>
        <v>1000000000000</v>
      </c>
      <c r="AV534" s="181">
        <f ca="1">IF($D534&lt;&gt;"Serviço",0,IF(AND(AUTOEVENTO="Manual",$M534=1),0,IF(OFFSET(CRONOPLE!$F$14,$M534,AV$13)="",10^12,OFFSET(CRONOPLE!$F$14,$M534,AV$13))))</f>
        <v>1000000000000</v>
      </c>
      <c r="AX534" s="182">
        <f ca="1">IF($D534&lt;&gt;"Serviço",0,IF(OR(AND(AUTOEVENTO="Manual",$M534=1),$M534&gt;(ROW(PLE.lastrow)-ROW(PLE.firstrow))),0,IF(OFFSET(PLE!$G$14,$M534,AX$13)="",10^12,OFFSET(PLE!$G$14,$M534,AX$13))))</f>
        <v>1000000000000</v>
      </c>
      <c r="AY534" s="182">
        <f ca="1">IF($D534&lt;&gt;"Serviço",0,IF(OR(AND(AUTOEVENTO="Manual",$M534=1),$M534&gt;(ROW(PLE.lastrow)-ROW(PLE.firstrow))),0,IF(OFFSET(PLE!$G$14,$M534,AY$13)="",10^12,OFFSET(PLE!$G$14,$M534,AY$13))))</f>
        <v>1000000000000</v>
      </c>
      <c r="AZ534" s="182">
        <f ca="1">IF($D534&lt;&gt;"Serviço",0,IF(OR(AND(AUTOEVENTO="Manual",$M534=1),$M534&gt;(ROW(PLE.lastrow)-ROW(PLE.firstrow))),0,IF(OFFSET(PLE!$G$14,$M534,AZ$13)="",10^12,OFFSET(PLE!$G$14,$M534,AZ$13))))</f>
        <v>1000000000000</v>
      </c>
      <c r="BA534" s="182">
        <f ca="1">IF($D534&lt;&gt;"Serviço",0,IF(OR(AND(AUTOEVENTO="Manual",$M534=1),$M534&gt;(ROW(PLE.lastrow)-ROW(PLE.firstrow))),0,IF(OFFSET(PLE!$G$14,$M534,BA$13)="",10^12,OFFSET(PLE!$G$14,$M534,BA$13))))</f>
        <v>1000000000000</v>
      </c>
      <c r="BB534" s="182">
        <f ca="1">IF($D534&lt;&gt;"Serviço",0,IF(OR(AND(AUTOEVENTO="Manual",$M534=1),$M534&gt;(ROW(PLE.lastrow)-ROW(PLE.firstrow))),0,IF(OFFSET(PLE!$G$14,$M534,BB$13)="",10^12,OFFSET(PLE!$G$14,$M534,BB$13))))</f>
        <v>1000000000000</v>
      </c>
      <c r="BC534" s="182">
        <f ca="1">IF($D534&lt;&gt;"Serviço",0,IF(OR(AND(AUTOEVENTO="Manual",$M534=1),$M534&gt;(ROW(PLE.lastrow)-ROW(PLE.firstrow))),0,IF(OFFSET(PLE!$G$14,$M534,BC$13)="",10^12,OFFSET(PLE!$G$14,$M534,BC$13))))</f>
        <v>1000000000000</v>
      </c>
      <c r="BD534" s="182">
        <f ca="1">IF($D534&lt;&gt;"Serviço",0,IF(OR(AND(AUTOEVENTO="Manual",$M534=1),$M534&gt;(ROW(PLE.lastrow)-ROW(PLE.firstrow))),0,IF(OFFSET(PLE!$G$14,$M534,BD$13)="",10^12,OFFSET(PLE!$G$14,$M534,BD$13))))</f>
        <v>1000000000000</v>
      </c>
      <c r="BE534" s="182">
        <f ca="1">IF($D534&lt;&gt;"Serviço",0,IF(OR(AND(AUTOEVENTO="Manual",$M534=1),$M534&gt;(ROW(PLE.lastrow)-ROW(PLE.firstrow))),0,IF(OFFSET(PLE!$G$14,$M534,BE$13)="",10^12,OFFSET(PLE!$G$14,$M534,BE$13))))</f>
        <v>1000000000000</v>
      </c>
      <c r="BF534" s="182">
        <f ca="1">IF($D534&lt;&gt;"Serviço",0,IF(OR(AND(AUTOEVENTO="Manual",$M534=1),$M534&gt;(ROW(PLE.lastrow)-ROW(PLE.firstrow))),0,IF(OFFSET(PLE!$G$14,$M534,BF$13)="",10^12,OFFSET(PLE!$G$14,$M534,BF$13))))</f>
        <v>1000000000000</v>
      </c>
      <c r="BG534" s="182">
        <f ca="1">IF($D534&lt;&gt;"Serviço",0,IF(OR(AND(AUTOEVENTO="Manual",$M534=1),$M534&gt;(ROW(PLE.lastrow)-ROW(PLE.firstrow))),0,IF(OFFSET(PLE!$G$14,$M534,BG$13)="",10^12,OFFSET(PLE!$G$14,$M534,BG$13))))</f>
        <v>1000000000000</v>
      </c>
    </row>
    <row r="535" spans="1:59" ht="12.75" x14ac:dyDescent="0.2">
      <c r="A535" s="7" t="str">
        <f t="shared" ca="1" si="15"/>
        <v>472</v>
      </c>
      <c r="B535" s="7">
        <f ca="1">OFFSET(ORÇAMENTO!C$15,ROW(B535)-ROW(B$15),0)</f>
        <v>3</v>
      </c>
      <c r="C535" s="7" t="str">
        <f ca="1">OFFSET(ORÇAMENTO!L$15,ROW(C535)-ROW(C$15),0)</f>
        <v>F</v>
      </c>
      <c r="D535" s="118" t="str">
        <f ca="1">OFFSET(ORÇAMENTO!N$15,ROW(D535)-ROW(D$15),0)</f>
        <v>Nível 3</v>
      </c>
      <c r="E535" s="119" t="str">
        <f ca="1">OFFSET(ORÇAMENTO!O$15,ROW(E535)-ROW(E$15),0)</f>
        <v>1.17.5.</v>
      </c>
      <c r="F535" s="172" t="str">
        <f ca="1">OFFSET(ORÇAMENTO!R$15,ROW(F535)-ROW(F$15),0)</f>
        <v>CAIXAS DE PASSAGEM</v>
      </c>
      <c r="G535" s="173" t="str">
        <f ca="1">IF($D535&lt;&gt;"Serviço","",OFFSET(ORÇAMENTO!S$15,ROW(G535)-ROW(G$15),0))</f>
        <v/>
      </c>
      <c r="H535" s="124">
        <f ca="1">IF($D535&lt;&gt;"Serviço",0,IF(ACOMPANHAMENTO="BM",ROUND(OFFSET(ORÇAMENTO!AJ$15,ROW(H535)-ROW(H$15),0),15-13*ORÇAMENTO!$AF$7),SUMPRODUCT(($Q$12:$AA$12&lt;&gt;"")*ROUND($Q535:$AA535,15-13*ORÇAMENTO!$AF$7))))</f>
        <v>0</v>
      </c>
      <c r="I535" s="561"/>
      <c r="K535" s="174"/>
      <c r="L535" s="175" t="s">
        <v>255</v>
      </c>
      <c r="M535" s="176" t="str">
        <f ca="1">IF($D535&lt;&gt;"Serviço","",IF(AUTOEVENTO="manual",$A535,IF(ISERROR(MATCH($A535,$A$15:OFFSET($A535,-1,0),0)),MAX($M$15:OFFSET(M535,-1,0))+1,INDEX($M$15:OFFSET(M535,-1,0),MATCH($A535,$A$15:OFFSET($A535,-1,0),0)))))</f>
        <v/>
      </c>
      <c r="N535" s="177" t="str">
        <f ca="1">IF($D535&lt;&gt;"Serviço","",IF(AUTOEVENTO="Manual",IF($A535=0,"&lt;-- defina o número do agrupador",OFFSET(EVENTOS!$D$14,$A535,0)),OFFSET($F$15,$A535,0)))</f>
        <v/>
      </c>
      <c r="O535" s="178"/>
      <c r="Q535" s="178"/>
      <c r="R535" s="179"/>
      <c r="S535" s="179"/>
      <c r="T535" s="179"/>
      <c r="U535" s="179"/>
      <c r="V535" s="179"/>
      <c r="W535" s="179"/>
      <c r="X535" s="179"/>
      <c r="Y535" s="179"/>
      <c r="Z535" s="180"/>
      <c r="AB535" s="544">
        <f ca="1">IF(AND($D535="Serviço",AB$12&lt;&gt;0,$H535&gt;0,OR(AUTOEVENTO&lt;&gt;"manual",$M535&lt;&gt;1)),
IF(Import.TipoArredondamento&lt;&gt;"TransfereGOV",
ROUND(OFFSET($P535,0,AB$13),15-13*ORÇAMENTO!$AF$7)/$H535*OFFSET(ORÇAMENTO!$X$15,ROW(AB535)-ROW(AB$15),0),
ROUND(ROUND(OFFSET($P535,0,AB$13),15-13*ORÇAMENTO!$AF$7)*OFFSET(ORÇAMENTO!$W$15,ROW(AB535)-ROW(AB$15),0),15-13*ORÇAMENTO!$AF$11)),0)</f>
        <v>0</v>
      </c>
      <c r="AC535" s="545">
        <f ca="1">IF(AND($D535="Serviço",AC$12&lt;&gt;0,$H535&gt;0,OR(AUTOEVENTO&lt;&gt;"manual",$M535&lt;&gt;1)),
IF(Import.TipoArredondamento&lt;&gt;"TransfereGOV",
ROUND(OFFSET($P535,0,AC$13),15-13*ORÇAMENTO!$AF$7)/$H535*OFFSET(ORÇAMENTO!$X$15,ROW(AC535)-ROW(AC$15),0),
ROUND(ROUND(OFFSET($P535,0,AC$13),15-13*ORÇAMENTO!$AF$7)*OFFSET(ORÇAMENTO!$W$15,ROW(AC535)-ROW(AC$15),0),15-13*ORÇAMENTO!$AF$11)),0)</f>
        <v>0</v>
      </c>
      <c r="AD535" s="545">
        <f ca="1">IF(AND($D535="Serviço",AD$12&lt;&gt;0,$H535&gt;0,OR(AUTOEVENTO&lt;&gt;"manual",$M535&lt;&gt;1)),
IF(Import.TipoArredondamento&lt;&gt;"TransfereGOV",
ROUND(OFFSET($P535,0,AD$13),15-13*ORÇAMENTO!$AF$7)/$H535*OFFSET(ORÇAMENTO!$X$15,ROW(AD535)-ROW(AD$15),0),
ROUND(ROUND(OFFSET($P535,0,AD$13),15-13*ORÇAMENTO!$AF$7)*OFFSET(ORÇAMENTO!$W$15,ROW(AD535)-ROW(AD$15),0),15-13*ORÇAMENTO!$AF$11)),0)</f>
        <v>0</v>
      </c>
      <c r="AE535" s="545">
        <f ca="1">IF(AND($D535="Serviço",AE$12&lt;&gt;0,$H535&gt;0,OR(AUTOEVENTO&lt;&gt;"manual",$M535&lt;&gt;1)),
IF(Import.TipoArredondamento&lt;&gt;"TransfereGOV",
ROUND(OFFSET($P535,0,AE$13),15-13*ORÇAMENTO!$AF$7)/$H535*OFFSET(ORÇAMENTO!$X$15,ROW(AE535)-ROW(AE$15),0),
ROUND(ROUND(OFFSET($P535,0,AE$13),15-13*ORÇAMENTO!$AF$7)*OFFSET(ORÇAMENTO!$W$15,ROW(AE535)-ROW(AE$15),0),15-13*ORÇAMENTO!$AF$11)),0)</f>
        <v>0</v>
      </c>
      <c r="AF535" s="545">
        <f ca="1">IF(AND($D535="Serviço",AF$12&lt;&gt;0,$H535&gt;0,OR(AUTOEVENTO&lt;&gt;"manual",$M535&lt;&gt;1)),
IF(Import.TipoArredondamento&lt;&gt;"TransfereGOV",
ROUND(OFFSET($P535,0,AF$13),15-13*ORÇAMENTO!$AF$7)/$H535*OFFSET(ORÇAMENTO!$X$15,ROW(AF535)-ROW(AF$15),0),
ROUND(ROUND(OFFSET($P535,0,AF$13),15-13*ORÇAMENTO!$AF$7)*OFFSET(ORÇAMENTO!$W$15,ROW(AF535)-ROW(AF$15),0),15-13*ORÇAMENTO!$AF$11)),0)</f>
        <v>0</v>
      </c>
      <c r="AG535" s="545">
        <f ca="1">IF(AND($D535="Serviço",AG$12&lt;&gt;0,$H535&gt;0,OR(AUTOEVENTO&lt;&gt;"manual",$M535&lt;&gt;1)),
IF(Import.TipoArredondamento&lt;&gt;"TransfereGOV",
ROUND(OFFSET($P535,0,AG$13),15-13*ORÇAMENTO!$AF$7)/$H535*OFFSET(ORÇAMENTO!$X$15,ROW(AG535)-ROW(AG$15),0),
ROUND(ROUND(OFFSET($P535,0,AG$13),15-13*ORÇAMENTO!$AF$7)*OFFSET(ORÇAMENTO!$W$15,ROW(AG535)-ROW(AG$15),0),15-13*ORÇAMENTO!$AF$11)),0)</f>
        <v>0</v>
      </c>
      <c r="AH535" s="545">
        <f ca="1">IF(AND($D535="Serviço",AH$12&lt;&gt;0,$H535&gt;0,OR(AUTOEVENTO&lt;&gt;"manual",$M535&lt;&gt;1)),
IF(Import.TipoArredondamento&lt;&gt;"TransfereGOV",
ROUND(OFFSET($P535,0,AH$13),15-13*ORÇAMENTO!$AF$7)/$H535*OFFSET(ORÇAMENTO!$X$15,ROW(AH535)-ROW(AH$15),0),
ROUND(ROUND(OFFSET($P535,0,AH$13),15-13*ORÇAMENTO!$AF$7)*OFFSET(ORÇAMENTO!$W$15,ROW(AH535)-ROW(AH$15),0),15-13*ORÇAMENTO!$AF$11)),0)</f>
        <v>0</v>
      </c>
      <c r="AI535" s="545">
        <f ca="1">IF(AND($D535="Serviço",AI$12&lt;&gt;0,$H535&gt;0,OR(AUTOEVENTO&lt;&gt;"manual",$M535&lt;&gt;1)),
IF(Import.TipoArredondamento&lt;&gt;"TransfereGOV",
ROUND(OFFSET($P535,0,AI$13),15-13*ORÇAMENTO!$AF$7)/$H535*OFFSET(ORÇAMENTO!$X$15,ROW(AI535)-ROW(AI$15),0),
ROUND(ROUND(OFFSET($P535,0,AI$13),15-13*ORÇAMENTO!$AF$7)*OFFSET(ORÇAMENTO!$W$15,ROW(AI535)-ROW(AI$15),0),15-13*ORÇAMENTO!$AF$11)),0)</f>
        <v>0</v>
      </c>
      <c r="AJ535" s="545">
        <f ca="1">IF(AND($D535="Serviço",AJ$12&lt;&gt;0,$H535&gt;0,OR(AUTOEVENTO&lt;&gt;"manual",$M535&lt;&gt;1)),
IF(Import.TipoArredondamento&lt;&gt;"TransfereGOV",
ROUND(OFFSET($P535,0,AJ$13),15-13*ORÇAMENTO!$AF$7)/$H535*OFFSET(ORÇAMENTO!$X$15,ROW(AJ535)-ROW(AJ$15),0),
ROUND(ROUND(OFFSET($P535,0,AJ$13),15-13*ORÇAMENTO!$AF$7)*OFFSET(ORÇAMENTO!$W$15,ROW(AJ535)-ROW(AJ$15),0),15-13*ORÇAMENTO!$AF$11)),0)</f>
        <v>0</v>
      </c>
      <c r="AK535" s="546">
        <f ca="1">IF(AND($D535="Serviço",AK$12&lt;&gt;0,$H535&gt;0,OR(AUTOEVENTO&lt;&gt;"manual",$M535&lt;&gt;1)),
IF(Import.TipoArredondamento&lt;&gt;"TransfereGOV",
ROUND(OFFSET($P535,0,AK$13),15-13*ORÇAMENTO!$AF$7)/$H535*OFFSET(ORÇAMENTO!$X$15,ROW(AK535)-ROW(AK$15),0),
ROUND(ROUND(OFFSET($P535,0,AK$13),15-13*ORÇAMENTO!$AF$7)*OFFSET(ORÇAMENTO!$W$15,ROW(AK535)-ROW(AK$15),0),15-13*ORÇAMENTO!$AF$11)),0)</f>
        <v>0</v>
      </c>
      <c r="AM535" s="181">
        <f ca="1">IF($D535&lt;&gt;"Serviço",0,IF(AND(AUTOEVENTO="Manual",$M535=1),0,IF(OFFSET(CRONOPLE!$F$14,$M535,AM$13)="",10^12,OFFSET(CRONOPLE!$F$14,$M535,AM$13))))</f>
        <v>0</v>
      </c>
      <c r="AN535" s="181">
        <f ca="1">IF($D535&lt;&gt;"Serviço",0,IF(AND(AUTOEVENTO="Manual",$M535=1),0,IF(OFFSET(CRONOPLE!$F$14,$M535,AN$13)="",10^12,OFFSET(CRONOPLE!$F$14,$M535,AN$13))))</f>
        <v>0</v>
      </c>
      <c r="AO535" s="181">
        <f ca="1">IF($D535&lt;&gt;"Serviço",0,IF(AND(AUTOEVENTO="Manual",$M535=1),0,IF(OFFSET(CRONOPLE!$F$14,$M535,AO$13)="",10^12,OFFSET(CRONOPLE!$F$14,$M535,AO$13))))</f>
        <v>0</v>
      </c>
      <c r="AP535" s="181">
        <f ca="1">IF($D535&lt;&gt;"Serviço",0,IF(AND(AUTOEVENTO="Manual",$M535=1),0,IF(OFFSET(CRONOPLE!$F$14,$M535,AP$13)="",10^12,OFFSET(CRONOPLE!$F$14,$M535,AP$13))))</f>
        <v>0</v>
      </c>
      <c r="AQ535" s="181">
        <f ca="1">IF($D535&lt;&gt;"Serviço",0,IF(AND(AUTOEVENTO="Manual",$M535=1),0,IF(OFFSET(CRONOPLE!$F$14,$M535,AQ$13)="",10^12,OFFSET(CRONOPLE!$F$14,$M535,AQ$13))))</f>
        <v>0</v>
      </c>
      <c r="AR535" s="181">
        <f ca="1">IF($D535&lt;&gt;"Serviço",0,IF(AND(AUTOEVENTO="Manual",$M535=1),0,IF(OFFSET(CRONOPLE!$F$14,$M535,AR$13)="",10^12,OFFSET(CRONOPLE!$F$14,$M535,AR$13))))</f>
        <v>0</v>
      </c>
      <c r="AS535" s="181">
        <f ca="1">IF($D535&lt;&gt;"Serviço",0,IF(AND(AUTOEVENTO="Manual",$M535=1),0,IF(OFFSET(CRONOPLE!$F$14,$M535,AS$13)="",10^12,OFFSET(CRONOPLE!$F$14,$M535,AS$13))))</f>
        <v>0</v>
      </c>
      <c r="AT535" s="181">
        <f ca="1">IF($D535&lt;&gt;"Serviço",0,IF(AND(AUTOEVENTO="Manual",$M535=1),0,IF(OFFSET(CRONOPLE!$F$14,$M535,AT$13)="",10^12,OFFSET(CRONOPLE!$F$14,$M535,AT$13))))</f>
        <v>0</v>
      </c>
      <c r="AU535" s="181">
        <f ca="1">IF($D535&lt;&gt;"Serviço",0,IF(AND(AUTOEVENTO="Manual",$M535=1),0,IF(OFFSET(CRONOPLE!$F$14,$M535,AU$13)="",10^12,OFFSET(CRONOPLE!$F$14,$M535,AU$13))))</f>
        <v>0</v>
      </c>
      <c r="AV535" s="181">
        <f ca="1">IF($D535&lt;&gt;"Serviço",0,IF(AND(AUTOEVENTO="Manual",$M535=1),0,IF(OFFSET(CRONOPLE!$F$14,$M535,AV$13)="",10^12,OFFSET(CRONOPLE!$F$14,$M535,AV$13))))</f>
        <v>0</v>
      </c>
      <c r="AX535" s="182">
        <f ca="1">IF($D535&lt;&gt;"Serviço",0,IF(OR(AND(AUTOEVENTO="Manual",$M535=1),$M535&gt;(ROW(PLE.lastrow)-ROW(PLE.firstrow))),0,IF(OFFSET(PLE!$G$14,$M535,AX$13)="",10^12,OFFSET(PLE!$G$14,$M535,AX$13))))</f>
        <v>0</v>
      </c>
      <c r="AY535" s="182">
        <f ca="1">IF($D535&lt;&gt;"Serviço",0,IF(OR(AND(AUTOEVENTO="Manual",$M535=1),$M535&gt;(ROW(PLE.lastrow)-ROW(PLE.firstrow))),0,IF(OFFSET(PLE!$G$14,$M535,AY$13)="",10^12,OFFSET(PLE!$G$14,$M535,AY$13))))</f>
        <v>0</v>
      </c>
      <c r="AZ535" s="182">
        <f ca="1">IF($D535&lt;&gt;"Serviço",0,IF(OR(AND(AUTOEVENTO="Manual",$M535=1),$M535&gt;(ROW(PLE.lastrow)-ROW(PLE.firstrow))),0,IF(OFFSET(PLE!$G$14,$M535,AZ$13)="",10^12,OFFSET(PLE!$G$14,$M535,AZ$13))))</f>
        <v>0</v>
      </c>
      <c r="BA535" s="182">
        <f ca="1">IF($D535&lt;&gt;"Serviço",0,IF(OR(AND(AUTOEVENTO="Manual",$M535=1),$M535&gt;(ROW(PLE.lastrow)-ROW(PLE.firstrow))),0,IF(OFFSET(PLE!$G$14,$M535,BA$13)="",10^12,OFFSET(PLE!$G$14,$M535,BA$13))))</f>
        <v>0</v>
      </c>
      <c r="BB535" s="182">
        <f ca="1">IF($D535&lt;&gt;"Serviço",0,IF(OR(AND(AUTOEVENTO="Manual",$M535=1),$M535&gt;(ROW(PLE.lastrow)-ROW(PLE.firstrow))),0,IF(OFFSET(PLE!$G$14,$M535,BB$13)="",10^12,OFFSET(PLE!$G$14,$M535,BB$13))))</f>
        <v>0</v>
      </c>
      <c r="BC535" s="182">
        <f ca="1">IF($D535&lt;&gt;"Serviço",0,IF(OR(AND(AUTOEVENTO="Manual",$M535=1),$M535&gt;(ROW(PLE.lastrow)-ROW(PLE.firstrow))),0,IF(OFFSET(PLE!$G$14,$M535,BC$13)="",10^12,OFFSET(PLE!$G$14,$M535,BC$13))))</f>
        <v>0</v>
      </c>
      <c r="BD535" s="182">
        <f ca="1">IF($D535&lt;&gt;"Serviço",0,IF(OR(AND(AUTOEVENTO="Manual",$M535=1),$M535&gt;(ROW(PLE.lastrow)-ROW(PLE.firstrow))),0,IF(OFFSET(PLE!$G$14,$M535,BD$13)="",10^12,OFFSET(PLE!$G$14,$M535,BD$13))))</f>
        <v>0</v>
      </c>
      <c r="BE535" s="182">
        <f ca="1">IF($D535&lt;&gt;"Serviço",0,IF(OR(AND(AUTOEVENTO="Manual",$M535=1),$M535&gt;(ROW(PLE.lastrow)-ROW(PLE.firstrow))),0,IF(OFFSET(PLE!$G$14,$M535,BE$13)="",10^12,OFFSET(PLE!$G$14,$M535,BE$13))))</f>
        <v>0</v>
      </c>
      <c r="BF535" s="182">
        <f ca="1">IF($D535&lt;&gt;"Serviço",0,IF(OR(AND(AUTOEVENTO="Manual",$M535=1),$M535&gt;(ROW(PLE.lastrow)-ROW(PLE.firstrow))),0,IF(OFFSET(PLE!$G$14,$M535,BF$13)="",10^12,OFFSET(PLE!$G$14,$M535,BF$13))))</f>
        <v>0</v>
      </c>
      <c r="BG535" s="182">
        <f ca="1">IF($D535&lt;&gt;"Serviço",0,IF(OR(AND(AUTOEVENTO="Manual",$M535=1),$M535&gt;(ROW(PLE.lastrow)-ROW(PLE.firstrow))),0,IF(OFFSET(PLE!$G$14,$M535,BG$13)="",10^12,OFFSET(PLE!$G$14,$M535,BG$13))))</f>
        <v>0</v>
      </c>
    </row>
    <row r="536" spans="1:59" ht="25.5" x14ac:dyDescent="0.2">
      <c r="A536" s="7" t="str">
        <f t="shared" ca="1" si="15"/>
        <v>472</v>
      </c>
      <c r="B536" s="7" t="str">
        <f ca="1">OFFSET(ORÇAMENTO!C$15,ROW(B536)-ROW(B$15),0)</f>
        <v>S</v>
      </c>
      <c r="C536" s="7" t="str">
        <f ca="1">OFFSET(ORÇAMENTO!L$15,ROW(C536)-ROW(C$15),0)</f>
        <v/>
      </c>
      <c r="D536" s="118" t="str">
        <f ca="1">OFFSET(ORÇAMENTO!N$15,ROW(D536)-ROW(D$15),0)</f>
        <v>Serviço</v>
      </c>
      <c r="E536" s="119" t="str">
        <f ca="1">OFFSET(ORÇAMENTO!O$15,ROW(E536)-ROW(E$15),0)</f>
        <v>-</v>
      </c>
      <c r="F536" s="172" t="str">
        <f ca="1">OFFSET(ORÇAMENTO!R$15,ROW(F536)-ROW(F$15),0)</f>
        <v>(abra o arquivo 'Referência 02-2025.xlsm)</v>
      </c>
      <c r="G536" s="173" t="str">
        <f ca="1">IF($D536&lt;&gt;"Serviço","",OFFSET(ORÇAMENTO!S$15,ROW(G536)-ROW(G$15),0))</f>
        <v>-</v>
      </c>
      <c r="H536" s="124">
        <f ca="1">IF($D536&lt;&gt;"Serviço",0,IF(ACOMPANHAMENTO="BM",ROUND(OFFSET(ORÇAMENTO!AJ$15,ROW(H536)-ROW(H$15),0),15-13*ORÇAMENTO!$AF$7),SUMPRODUCT(($Q$12:$AA$12&lt;&gt;"")*ROUND($Q536:$AA536,15-13*ORÇAMENTO!$AF$7))))</f>
        <v>3</v>
      </c>
      <c r="I536" s="561" t="s">
        <v>890</v>
      </c>
      <c r="K536" s="174"/>
      <c r="L536" s="175" t="s">
        <v>255</v>
      </c>
      <c r="M536" s="176">
        <f ca="1">IF($D536&lt;&gt;"Serviço","",IF(AUTOEVENTO="manual",$A536,IF(ISERROR(MATCH($A536,$A$15:OFFSET($A536,-1,0),0)),MAX($M$15:OFFSET(M536,-1,0))+1,INDEX($M$15:OFFSET(M536,-1,0),MATCH($A536,$A$15:OFFSET($A536,-1,0),0)))))</f>
        <v>18</v>
      </c>
      <c r="N536" s="177" t="str">
        <f ca="1">IF($D536&lt;&gt;"Serviço","",IF(AUTOEVENTO="Manual",IF($A536=0,"&lt;-- defina o número do agrupador",OFFSET(EVENTOS!$D$14,$A536,0)),OFFSET($F$15,$A536,0)))</f>
        <v>INSTALAÇÕES ELÉTRICAS - 220V</v>
      </c>
      <c r="O536" s="178"/>
      <c r="Q536" s="178"/>
      <c r="R536" s="179"/>
      <c r="S536" s="179"/>
      <c r="T536" s="179"/>
      <c r="U536" s="179"/>
      <c r="V536" s="179"/>
      <c r="W536" s="179"/>
      <c r="X536" s="179"/>
      <c r="Y536" s="179"/>
      <c r="Z536" s="180"/>
      <c r="AB536" s="544">
        <f ca="1">IF(AND($D536="Serviço",AB$12&lt;&gt;0,$H536&gt;0,OR(AUTOEVENTO&lt;&gt;"manual",$M536&lt;&gt;1)),
IF(Import.TipoArredondamento&lt;&gt;"TransfereGOV",
ROUND(OFFSET($P536,0,AB$13),15-13*ORÇAMENTO!$AF$7)/$H536*OFFSET(ORÇAMENTO!$X$15,ROW(AB536)-ROW(AB$15),0),
ROUND(ROUND(OFFSET($P536,0,AB$13),15-13*ORÇAMENTO!$AF$7)*OFFSET(ORÇAMENTO!$W$15,ROW(AB536)-ROW(AB$15),0),15-13*ORÇAMENTO!$AF$11)),0)</f>
        <v>0</v>
      </c>
      <c r="AC536" s="545">
        <f ca="1">IF(AND($D536="Serviço",AC$12&lt;&gt;0,$H536&gt;0,OR(AUTOEVENTO&lt;&gt;"manual",$M536&lt;&gt;1)),
IF(Import.TipoArredondamento&lt;&gt;"TransfereGOV",
ROUND(OFFSET($P536,0,AC$13),15-13*ORÇAMENTO!$AF$7)/$H536*OFFSET(ORÇAMENTO!$X$15,ROW(AC536)-ROW(AC$15),0),
ROUND(ROUND(OFFSET($P536,0,AC$13),15-13*ORÇAMENTO!$AF$7)*OFFSET(ORÇAMENTO!$W$15,ROW(AC536)-ROW(AC$15),0),15-13*ORÇAMENTO!$AF$11)),0)</f>
        <v>0</v>
      </c>
      <c r="AD536" s="545">
        <f ca="1">IF(AND($D536="Serviço",AD$12&lt;&gt;0,$H536&gt;0,OR(AUTOEVENTO&lt;&gt;"manual",$M536&lt;&gt;1)),
IF(Import.TipoArredondamento&lt;&gt;"TransfereGOV",
ROUND(OFFSET($P536,0,AD$13),15-13*ORÇAMENTO!$AF$7)/$H536*OFFSET(ORÇAMENTO!$X$15,ROW(AD536)-ROW(AD$15),0),
ROUND(ROUND(OFFSET($P536,0,AD$13),15-13*ORÇAMENTO!$AF$7)*OFFSET(ORÇAMENTO!$W$15,ROW(AD536)-ROW(AD$15),0),15-13*ORÇAMENTO!$AF$11)),0)</f>
        <v>0</v>
      </c>
      <c r="AE536" s="545">
        <f ca="1">IF(AND($D536="Serviço",AE$12&lt;&gt;0,$H536&gt;0,OR(AUTOEVENTO&lt;&gt;"manual",$M536&lt;&gt;1)),
IF(Import.TipoArredondamento&lt;&gt;"TransfereGOV",
ROUND(OFFSET($P536,0,AE$13),15-13*ORÇAMENTO!$AF$7)/$H536*OFFSET(ORÇAMENTO!$X$15,ROW(AE536)-ROW(AE$15),0),
ROUND(ROUND(OFFSET($P536,0,AE$13),15-13*ORÇAMENTO!$AF$7)*OFFSET(ORÇAMENTO!$W$15,ROW(AE536)-ROW(AE$15),0),15-13*ORÇAMENTO!$AF$11)),0)</f>
        <v>0</v>
      </c>
      <c r="AF536" s="545">
        <f ca="1">IF(AND($D536="Serviço",AF$12&lt;&gt;0,$H536&gt;0,OR(AUTOEVENTO&lt;&gt;"manual",$M536&lt;&gt;1)),
IF(Import.TipoArredondamento&lt;&gt;"TransfereGOV",
ROUND(OFFSET($P536,0,AF$13),15-13*ORÇAMENTO!$AF$7)/$H536*OFFSET(ORÇAMENTO!$X$15,ROW(AF536)-ROW(AF$15),0),
ROUND(ROUND(OFFSET($P536,0,AF$13),15-13*ORÇAMENTO!$AF$7)*OFFSET(ORÇAMENTO!$W$15,ROW(AF536)-ROW(AF$15),0),15-13*ORÇAMENTO!$AF$11)),0)</f>
        <v>0</v>
      </c>
      <c r="AG536" s="545">
        <f ca="1">IF(AND($D536="Serviço",AG$12&lt;&gt;0,$H536&gt;0,OR(AUTOEVENTO&lt;&gt;"manual",$M536&lt;&gt;1)),
IF(Import.TipoArredondamento&lt;&gt;"TransfereGOV",
ROUND(OFFSET($P536,0,AG$13),15-13*ORÇAMENTO!$AF$7)/$H536*OFFSET(ORÇAMENTO!$X$15,ROW(AG536)-ROW(AG$15),0),
ROUND(ROUND(OFFSET($P536,0,AG$13),15-13*ORÇAMENTO!$AF$7)*OFFSET(ORÇAMENTO!$W$15,ROW(AG536)-ROW(AG$15),0),15-13*ORÇAMENTO!$AF$11)),0)</f>
        <v>0</v>
      </c>
      <c r="AH536" s="545">
        <f ca="1">IF(AND($D536="Serviço",AH$12&lt;&gt;0,$H536&gt;0,OR(AUTOEVENTO&lt;&gt;"manual",$M536&lt;&gt;1)),
IF(Import.TipoArredondamento&lt;&gt;"TransfereGOV",
ROUND(OFFSET($P536,0,AH$13),15-13*ORÇAMENTO!$AF$7)/$H536*OFFSET(ORÇAMENTO!$X$15,ROW(AH536)-ROW(AH$15),0),
ROUND(ROUND(OFFSET($P536,0,AH$13),15-13*ORÇAMENTO!$AF$7)*OFFSET(ORÇAMENTO!$W$15,ROW(AH536)-ROW(AH$15),0),15-13*ORÇAMENTO!$AF$11)),0)</f>
        <v>0</v>
      </c>
      <c r="AI536" s="545">
        <f ca="1">IF(AND($D536="Serviço",AI$12&lt;&gt;0,$H536&gt;0,OR(AUTOEVENTO&lt;&gt;"manual",$M536&lt;&gt;1)),
IF(Import.TipoArredondamento&lt;&gt;"TransfereGOV",
ROUND(OFFSET($P536,0,AI$13),15-13*ORÇAMENTO!$AF$7)/$H536*OFFSET(ORÇAMENTO!$X$15,ROW(AI536)-ROW(AI$15),0),
ROUND(ROUND(OFFSET($P536,0,AI$13),15-13*ORÇAMENTO!$AF$7)*OFFSET(ORÇAMENTO!$W$15,ROW(AI536)-ROW(AI$15),0),15-13*ORÇAMENTO!$AF$11)),0)</f>
        <v>0</v>
      </c>
      <c r="AJ536" s="545">
        <f ca="1">IF(AND($D536="Serviço",AJ$12&lt;&gt;0,$H536&gt;0,OR(AUTOEVENTO&lt;&gt;"manual",$M536&lt;&gt;1)),
IF(Import.TipoArredondamento&lt;&gt;"TransfereGOV",
ROUND(OFFSET($P536,0,AJ$13),15-13*ORÇAMENTO!$AF$7)/$H536*OFFSET(ORÇAMENTO!$X$15,ROW(AJ536)-ROW(AJ$15),0),
ROUND(ROUND(OFFSET($P536,0,AJ$13),15-13*ORÇAMENTO!$AF$7)*OFFSET(ORÇAMENTO!$W$15,ROW(AJ536)-ROW(AJ$15),0),15-13*ORÇAMENTO!$AF$11)),0)</f>
        <v>0</v>
      </c>
      <c r="AK536" s="546">
        <f ca="1">IF(AND($D536="Serviço",AK$12&lt;&gt;0,$H536&gt;0,OR(AUTOEVENTO&lt;&gt;"manual",$M536&lt;&gt;1)),
IF(Import.TipoArredondamento&lt;&gt;"TransfereGOV",
ROUND(OFFSET($P536,0,AK$13),15-13*ORÇAMENTO!$AF$7)/$H536*OFFSET(ORÇAMENTO!$X$15,ROW(AK536)-ROW(AK$15),0),
ROUND(ROUND(OFFSET($P536,0,AK$13),15-13*ORÇAMENTO!$AF$7)*OFFSET(ORÇAMENTO!$W$15,ROW(AK536)-ROW(AK$15),0),15-13*ORÇAMENTO!$AF$11)),0)</f>
        <v>0</v>
      </c>
      <c r="AM536" s="181">
        <f ca="1">IF($D536&lt;&gt;"Serviço",0,IF(AND(AUTOEVENTO="Manual",$M536=1),0,IF(OFFSET(CRONOPLE!$F$14,$M536,AM$13)="",10^12,OFFSET(CRONOPLE!$F$14,$M536,AM$13))))</f>
        <v>1000000000000</v>
      </c>
      <c r="AN536" s="181">
        <f ca="1">IF($D536&lt;&gt;"Serviço",0,IF(AND(AUTOEVENTO="Manual",$M536=1),0,IF(OFFSET(CRONOPLE!$F$14,$M536,AN$13)="",10^12,OFFSET(CRONOPLE!$F$14,$M536,AN$13))))</f>
        <v>1000000000000</v>
      </c>
      <c r="AO536" s="181">
        <f ca="1">IF($D536&lt;&gt;"Serviço",0,IF(AND(AUTOEVENTO="Manual",$M536=1),0,IF(OFFSET(CRONOPLE!$F$14,$M536,AO$13)="",10^12,OFFSET(CRONOPLE!$F$14,$M536,AO$13))))</f>
        <v>1000000000000</v>
      </c>
      <c r="AP536" s="181">
        <f ca="1">IF($D536&lt;&gt;"Serviço",0,IF(AND(AUTOEVENTO="Manual",$M536=1),0,IF(OFFSET(CRONOPLE!$F$14,$M536,AP$13)="",10^12,OFFSET(CRONOPLE!$F$14,$M536,AP$13))))</f>
        <v>1000000000000</v>
      </c>
      <c r="AQ536" s="181">
        <f ca="1">IF($D536&lt;&gt;"Serviço",0,IF(AND(AUTOEVENTO="Manual",$M536=1),0,IF(OFFSET(CRONOPLE!$F$14,$M536,AQ$13)="",10^12,OFFSET(CRONOPLE!$F$14,$M536,AQ$13))))</f>
        <v>1000000000000</v>
      </c>
      <c r="AR536" s="181">
        <f ca="1">IF($D536&lt;&gt;"Serviço",0,IF(AND(AUTOEVENTO="Manual",$M536=1),0,IF(OFFSET(CRONOPLE!$F$14,$M536,AR$13)="",10^12,OFFSET(CRONOPLE!$F$14,$M536,AR$13))))</f>
        <v>1000000000000</v>
      </c>
      <c r="AS536" s="181">
        <f ca="1">IF($D536&lt;&gt;"Serviço",0,IF(AND(AUTOEVENTO="Manual",$M536=1),0,IF(OFFSET(CRONOPLE!$F$14,$M536,AS$13)="",10^12,OFFSET(CRONOPLE!$F$14,$M536,AS$13))))</f>
        <v>1000000000000</v>
      </c>
      <c r="AT536" s="181">
        <f ca="1">IF($D536&lt;&gt;"Serviço",0,IF(AND(AUTOEVENTO="Manual",$M536=1),0,IF(OFFSET(CRONOPLE!$F$14,$M536,AT$13)="",10^12,OFFSET(CRONOPLE!$F$14,$M536,AT$13))))</f>
        <v>1000000000000</v>
      </c>
      <c r="AU536" s="181">
        <f ca="1">IF($D536&lt;&gt;"Serviço",0,IF(AND(AUTOEVENTO="Manual",$M536=1),0,IF(OFFSET(CRONOPLE!$F$14,$M536,AU$13)="",10^12,OFFSET(CRONOPLE!$F$14,$M536,AU$13))))</f>
        <v>1000000000000</v>
      </c>
      <c r="AV536" s="181">
        <f ca="1">IF($D536&lt;&gt;"Serviço",0,IF(AND(AUTOEVENTO="Manual",$M536=1),0,IF(OFFSET(CRONOPLE!$F$14,$M536,AV$13)="",10^12,OFFSET(CRONOPLE!$F$14,$M536,AV$13))))</f>
        <v>1000000000000</v>
      </c>
      <c r="AX536" s="182">
        <f ca="1">IF($D536&lt;&gt;"Serviço",0,IF(OR(AND(AUTOEVENTO="Manual",$M536=1),$M536&gt;(ROW(PLE.lastrow)-ROW(PLE.firstrow))),0,IF(OFFSET(PLE!$G$14,$M536,AX$13)="",10^12,OFFSET(PLE!$G$14,$M536,AX$13))))</f>
        <v>1000000000000</v>
      </c>
      <c r="AY536" s="182">
        <f ca="1">IF($D536&lt;&gt;"Serviço",0,IF(OR(AND(AUTOEVENTO="Manual",$M536=1),$M536&gt;(ROW(PLE.lastrow)-ROW(PLE.firstrow))),0,IF(OFFSET(PLE!$G$14,$M536,AY$13)="",10^12,OFFSET(PLE!$G$14,$M536,AY$13))))</f>
        <v>1000000000000</v>
      </c>
      <c r="AZ536" s="182">
        <f ca="1">IF($D536&lt;&gt;"Serviço",0,IF(OR(AND(AUTOEVENTO="Manual",$M536=1),$M536&gt;(ROW(PLE.lastrow)-ROW(PLE.firstrow))),0,IF(OFFSET(PLE!$G$14,$M536,AZ$13)="",10^12,OFFSET(PLE!$G$14,$M536,AZ$13))))</f>
        <v>1000000000000</v>
      </c>
      <c r="BA536" s="182">
        <f ca="1">IF($D536&lt;&gt;"Serviço",0,IF(OR(AND(AUTOEVENTO="Manual",$M536=1),$M536&gt;(ROW(PLE.lastrow)-ROW(PLE.firstrow))),0,IF(OFFSET(PLE!$G$14,$M536,BA$13)="",10^12,OFFSET(PLE!$G$14,$M536,BA$13))))</f>
        <v>1000000000000</v>
      </c>
      <c r="BB536" s="182">
        <f ca="1">IF($D536&lt;&gt;"Serviço",0,IF(OR(AND(AUTOEVENTO="Manual",$M536=1),$M536&gt;(ROW(PLE.lastrow)-ROW(PLE.firstrow))),0,IF(OFFSET(PLE!$G$14,$M536,BB$13)="",10^12,OFFSET(PLE!$G$14,$M536,BB$13))))</f>
        <v>1000000000000</v>
      </c>
      <c r="BC536" s="182">
        <f ca="1">IF($D536&lt;&gt;"Serviço",0,IF(OR(AND(AUTOEVENTO="Manual",$M536=1),$M536&gt;(ROW(PLE.lastrow)-ROW(PLE.firstrow))),0,IF(OFFSET(PLE!$G$14,$M536,BC$13)="",10^12,OFFSET(PLE!$G$14,$M536,BC$13))))</f>
        <v>1000000000000</v>
      </c>
      <c r="BD536" s="182">
        <f ca="1">IF($D536&lt;&gt;"Serviço",0,IF(OR(AND(AUTOEVENTO="Manual",$M536=1),$M536&gt;(ROW(PLE.lastrow)-ROW(PLE.firstrow))),0,IF(OFFSET(PLE!$G$14,$M536,BD$13)="",10^12,OFFSET(PLE!$G$14,$M536,BD$13))))</f>
        <v>1000000000000</v>
      </c>
      <c r="BE536" s="182">
        <f ca="1">IF($D536&lt;&gt;"Serviço",0,IF(OR(AND(AUTOEVENTO="Manual",$M536=1),$M536&gt;(ROW(PLE.lastrow)-ROW(PLE.firstrow))),0,IF(OFFSET(PLE!$G$14,$M536,BE$13)="",10^12,OFFSET(PLE!$G$14,$M536,BE$13))))</f>
        <v>1000000000000</v>
      </c>
      <c r="BF536" s="182">
        <f ca="1">IF($D536&lt;&gt;"Serviço",0,IF(OR(AND(AUTOEVENTO="Manual",$M536=1),$M536&gt;(ROW(PLE.lastrow)-ROW(PLE.firstrow))),0,IF(OFFSET(PLE!$G$14,$M536,BF$13)="",10^12,OFFSET(PLE!$G$14,$M536,BF$13))))</f>
        <v>1000000000000</v>
      </c>
      <c r="BG536" s="182">
        <f ca="1">IF($D536&lt;&gt;"Serviço",0,IF(OR(AND(AUTOEVENTO="Manual",$M536=1),$M536&gt;(ROW(PLE.lastrow)-ROW(PLE.firstrow))),0,IF(OFFSET(PLE!$G$14,$M536,BG$13)="",10^12,OFFSET(PLE!$G$14,$M536,BG$13))))</f>
        <v>1000000000000</v>
      </c>
    </row>
    <row r="537" spans="1:59" ht="38.25" x14ac:dyDescent="0.2">
      <c r="A537" s="7" t="str">
        <f t="shared" ca="1" si="15"/>
        <v>472</v>
      </c>
      <c r="B537" s="7" t="str">
        <f ca="1">OFFSET(ORÇAMENTO!C$15,ROW(B537)-ROW(B$15),0)</f>
        <v>S</v>
      </c>
      <c r="C537" s="7" t="str">
        <f ca="1">OFFSET(ORÇAMENTO!L$15,ROW(C537)-ROW(C$15),0)</f>
        <v/>
      </c>
      <c r="D537" s="118" t="str">
        <f ca="1">OFFSET(ORÇAMENTO!N$15,ROW(D537)-ROW(D$15),0)</f>
        <v>Serviço</v>
      </c>
      <c r="E537" s="119" t="str">
        <f ca="1">OFFSET(ORÇAMENTO!O$15,ROW(E537)-ROW(E$15),0)</f>
        <v>-</v>
      </c>
      <c r="F537" s="172" t="str">
        <f ca="1">OFFSET(ORÇAMENTO!R$15,ROW(F537)-ROW(F$15),0)</f>
        <v>(abra o arquivo 'Referência 02-2025.xlsm)</v>
      </c>
      <c r="G537" s="173" t="str">
        <f ca="1">IF($D537&lt;&gt;"Serviço","",OFFSET(ORÇAMENTO!S$15,ROW(G537)-ROW(G$15),0))</f>
        <v>-</v>
      </c>
      <c r="H537" s="124">
        <f ca="1">IF($D537&lt;&gt;"Serviço",0,IF(ACOMPANHAMENTO="BM",ROUND(OFFSET(ORÇAMENTO!AJ$15,ROW(H537)-ROW(H$15),0),15-13*ORÇAMENTO!$AF$7),SUMPRODUCT(($Q$12:$AA$12&lt;&gt;"")*ROUND($Q537:$AA537,15-13*ORÇAMENTO!$AF$7))))</f>
        <v>2</v>
      </c>
      <c r="I537" s="561" t="s">
        <v>890</v>
      </c>
      <c r="K537" s="174"/>
      <c r="L537" s="175" t="s">
        <v>255</v>
      </c>
      <c r="M537" s="176">
        <f ca="1">IF($D537&lt;&gt;"Serviço","",IF(AUTOEVENTO="manual",$A537,IF(ISERROR(MATCH($A537,$A$15:OFFSET($A537,-1,0),0)),MAX($M$15:OFFSET(M537,-1,0))+1,INDEX($M$15:OFFSET(M537,-1,0),MATCH($A537,$A$15:OFFSET($A537,-1,0),0)))))</f>
        <v>18</v>
      </c>
      <c r="N537" s="177" t="str">
        <f ca="1">IF($D537&lt;&gt;"Serviço","",IF(AUTOEVENTO="Manual",IF($A537=0,"&lt;-- defina o número do agrupador",OFFSET(EVENTOS!$D$14,$A537,0)),OFFSET($F$15,$A537,0)))</f>
        <v>INSTALAÇÕES ELÉTRICAS - 220V</v>
      </c>
      <c r="O537" s="178"/>
      <c r="Q537" s="178"/>
      <c r="R537" s="179"/>
      <c r="S537" s="179"/>
      <c r="T537" s="179"/>
      <c r="U537" s="179"/>
      <c r="V537" s="179"/>
      <c r="W537" s="179"/>
      <c r="X537" s="179"/>
      <c r="Y537" s="179"/>
      <c r="Z537" s="180"/>
      <c r="AB537" s="544">
        <f ca="1">IF(AND($D537="Serviço",AB$12&lt;&gt;0,$H537&gt;0,OR(AUTOEVENTO&lt;&gt;"manual",$M537&lt;&gt;1)),
IF(Import.TipoArredondamento&lt;&gt;"TransfereGOV",
ROUND(OFFSET($P537,0,AB$13),15-13*ORÇAMENTO!$AF$7)/$H537*OFFSET(ORÇAMENTO!$X$15,ROW(AB537)-ROW(AB$15),0),
ROUND(ROUND(OFFSET($P537,0,AB$13),15-13*ORÇAMENTO!$AF$7)*OFFSET(ORÇAMENTO!$W$15,ROW(AB537)-ROW(AB$15),0),15-13*ORÇAMENTO!$AF$11)),0)</f>
        <v>0</v>
      </c>
      <c r="AC537" s="545">
        <f ca="1">IF(AND($D537="Serviço",AC$12&lt;&gt;0,$H537&gt;0,OR(AUTOEVENTO&lt;&gt;"manual",$M537&lt;&gt;1)),
IF(Import.TipoArredondamento&lt;&gt;"TransfereGOV",
ROUND(OFFSET($P537,0,AC$13),15-13*ORÇAMENTO!$AF$7)/$H537*OFFSET(ORÇAMENTO!$X$15,ROW(AC537)-ROW(AC$15),0),
ROUND(ROUND(OFFSET($P537,0,AC$13),15-13*ORÇAMENTO!$AF$7)*OFFSET(ORÇAMENTO!$W$15,ROW(AC537)-ROW(AC$15),0),15-13*ORÇAMENTO!$AF$11)),0)</f>
        <v>0</v>
      </c>
      <c r="AD537" s="545">
        <f ca="1">IF(AND($D537="Serviço",AD$12&lt;&gt;0,$H537&gt;0,OR(AUTOEVENTO&lt;&gt;"manual",$M537&lt;&gt;1)),
IF(Import.TipoArredondamento&lt;&gt;"TransfereGOV",
ROUND(OFFSET($P537,0,AD$13),15-13*ORÇAMENTO!$AF$7)/$H537*OFFSET(ORÇAMENTO!$X$15,ROW(AD537)-ROW(AD$15),0),
ROUND(ROUND(OFFSET($P537,0,AD$13),15-13*ORÇAMENTO!$AF$7)*OFFSET(ORÇAMENTO!$W$15,ROW(AD537)-ROW(AD$15),0),15-13*ORÇAMENTO!$AF$11)),0)</f>
        <v>0</v>
      </c>
      <c r="AE537" s="545">
        <f ca="1">IF(AND($D537="Serviço",AE$12&lt;&gt;0,$H537&gt;0,OR(AUTOEVENTO&lt;&gt;"manual",$M537&lt;&gt;1)),
IF(Import.TipoArredondamento&lt;&gt;"TransfereGOV",
ROUND(OFFSET($P537,0,AE$13),15-13*ORÇAMENTO!$AF$7)/$H537*OFFSET(ORÇAMENTO!$X$15,ROW(AE537)-ROW(AE$15),0),
ROUND(ROUND(OFFSET($P537,0,AE$13),15-13*ORÇAMENTO!$AF$7)*OFFSET(ORÇAMENTO!$W$15,ROW(AE537)-ROW(AE$15),0),15-13*ORÇAMENTO!$AF$11)),0)</f>
        <v>0</v>
      </c>
      <c r="AF537" s="545">
        <f ca="1">IF(AND($D537="Serviço",AF$12&lt;&gt;0,$H537&gt;0,OR(AUTOEVENTO&lt;&gt;"manual",$M537&lt;&gt;1)),
IF(Import.TipoArredondamento&lt;&gt;"TransfereGOV",
ROUND(OFFSET($P537,0,AF$13),15-13*ORÇAMENTO!$AF$7)/$H537*OFFSET(ORÇAMENTO!$X$15,ROW(AF537)-ROW(AF$15),0),
ROUND(ROUND(OFFSET($P537,0,AF$13),15-13*ORÇAMENTO!$AF$7)*OFFSET(ORÇAMENTO!$W$15,ROW(AF537)-ROW(AF$15),0),15-13*ORÇAMENTO!$AF$11)),0)</f>
        <v>0</v>
      </c>
      <c r="AG537" s="545">
        <f ca="1">IF(AND($D537="Serviço",AG$12&lt;&gt;0,$H537&gt;0,OR(AUTOEVENTO&lt;&gt;"manual",$M537&lt;&gt;1)),
IF(Import.TipoArredondamento&lt;&gt;"TransfereGOV",
ROUND(OFFSET($P537,0,AG$13),15-13*ORÇAMENTO!$AF$7)/$H537*OFFSET(ORÇAMENTO!$X$15,ROW(AG537)-ROW(AG$15),0),
ROUND(ROUND(OFFSET($P537,0,AG$13),15-13*ORÇAMENTO!$AF$7)*OFFSET(ORÇAMENTO!$W$15,ROW(AG537)-ROW(AG$15),0),15-13*ORÇAMENTO!$AF$11)),0)</f>
        <v>0</v>
      </c>
      <c r="AH537" s="545">
        <f ca="1">IF(AND($D537="Serviço",AH$12&lt;&gt;0,$H537&gt;0,OR(AUTOEVENTO&lt;&gt;"manual",$M537&lt;&gt;1)),
IF(Import.TipoArredondamento&lt;&gt;"TransfereGOV",
ROUND(OFFSET($P537,0,AH$13),15-13*ORÇAMENTO!$AF$7)/$H537*OFFSET(ORÇAMENTO!$X$15,ROW(AH537)-ROW(AH$15),0),
ROUND(ROUND(OFFSET($P537,0,AH$13),15-13*ORÇAMENTO!$AF$7)*OFFSET(ORÇAMENTO!$W$15,ROW(AH537)-ROW(AH$15),0),15-13*ORÇAMENTO!$AF$11)),0)</f>
        <v>0</v>
      </c>
      <c r="AI537" s="545">
        <f ca="1">IF(AND($D537="Serviço",AI$12&lt;&gt;0,$H537&gt;0,OR(AUTOEVENTO&lt;&gt;"manual",$M537&lt;&gt;1)),
IF(Import.TipoArredondamento&lt;&gt;"TransfereGOV",
ROUND(OFFSET($P537,0,AI$13),15-13*ORÇAMENTO!$AF$7)/$H537*OFFSET(ORÇAMENTO!$X$15,ROW(AI537)-ROW(AI$15),0),
ROUND(ROUND(OFFSET($P537,0,AI$13),15-13*ORÇAMENTO!$AF$7)*OFFSET(ORÇAMENTO!$W$15,ROW(AI537)-ROW(AI$15),0),15-13*ORÇAMENTO!$AF$11)),0)</f>
        <v>0</v>
      </c>
      <c r="AJ537" s="545">
        <f ca="1">IF(AND($D537="Serviço",AJ$12&lt;&gt;0,$H537&gt;0,OR(AUTOEVENTO&lt;&gt;"manual",$M537&lt;&gt;1)),
IF(Import.TipoArredondamento&lt;&gt;"TransfereGOV",
ROUND(OFFSET($P537,0,AJ$13),15-13*ORÇAMENTO!$AF$7)/$H537*OFFSET(ORÇAMENTO!$X$15,ROW(AJ537)-ROW(AJ$15),0),
ROUND(ROUND(OFFSET($P537,0,AJ$13),15-13*ORÇAMENTO!$AF$7)*OFFSET(ORÇAMENTO!$W$15,ROW(AJ537)-ROW(AJ$15),0),15-13*ORÇAMENTO!$AF$11)),0)</f>
        <v>0</v>
      </c>
      <c r="AK537" s="546">
        <f ca="1">IF(AND($D537="Serviço",AK$12&lt;&gt;0,$H537&gt;0,OR(AUTOEVENTO&lt;&gt;"manual",$M537&lt;&gt;1)),
IF(Import.TipoArredondamento&lt;&gt;"TransfereGOV",
ROUND(OFFSET($P537,0,AK$13),15-13*ORÇAMENTO!$AF$7)/$H537*OFFSET(ORÇAMENTO!$X$15,ROW(AK537)-ROW(AK$15),0),
ROUND(ROUND(OFFSET($P537,0,AK$13),15-13*ORÇAMENTO!$AF$7)*OFFSET(ORÇAMENTO!$W$15,ROW(AK537)-ROW(AK$15),0),15-13*ORÇAMENTO!$AF$11)),0)</f>
        <v>0</v>
      </c>
      <c r="AM537" s="181">
        <f ca="1">IF($D537&lt;&gt;"Serviço",0,IF(AND(AUTOEVENTO="Manual",$M537=1),0,IF(OFFSET(CRONOPLE!$F$14,$M537,AM$13)="",10^12,OFFSET(CRONOPLE!$F$14,$M537,AM$13))))</f>
        <v>1000000000000</v>
      </c>
      <c r="AN537" s="181">
        <f ca="1">IF($D537&lt;&gt;"Serviço",0,IF(AND(AUTOEVENTO="Manual",$M537=1),0,IF(OFFSET(CRONOPLE!$F$14,$M537,AN$13)="",10^12,OFFSET(CRONOPLE!$F$14,$M537,AN$13))))</f>
        <v>1000000000000</v>
      </c>
      <c r="AO537" s="181">
        <f ca="1">IF($D537&lt;&gt;"Serviço",0,IF(AND(AUTOEVENTO="Manual",$M537=1),0,IF(OFFSET(CRONOPLE!$F$14,$M537,AO$13)="",10^12,OFFSET(CRONOPLE!$F$14,$M537,AO$13))))</f>
        <v>1000000000000</v>
      </c>
      <c r="AP537" s="181">
        <f ca="1">IF($D537&lt;&gt;"Serviço",0,IF(AND(AUTOEVENTO="Manual",$M537=1),0,IF(OFFSET(CRONOPLE!$F$14,$M537,AP$13)="",10^12,OFFSET(CRONOPLE!$F$14,$M537,AP$13))))</f>
        <v>1000000000000</v>
      </c>
      <c r="AQ537" s="181">
        <f ca="1">IF($D537&lt;&gt;"Serviço",0,IF(AND(AUTOEVENTO="Manual",$M537=1),0,IF(OFFSET(CRONOPLE!$F$14,$M537,AQ$13)="",10^12,OFFSET(CRONOPLE!$F$14,$M537,AQ$13))))</f>
        <v>1000000000000</v>
      </c>
      <c r="AR537" s="181">
        <f ca="1">IF($D537&lt;&gt;"Serviço",0,IF(AND(AUTOEVENTO="Manual",$M537=1),0,IF(OFFSET(CRONOPLE!$F$14,$M537,AR$13)="",10^12,OFFSET(CRONOPLE!$F$14,$M537,AR$13))))</f>
        <v>1000000000000</v>
      </c>
      <c r="AS537" s="181">
        <f ca="1">IF($D537&lt;&gt;"Serviço",0,IF(AND(AUTOEVENTO="Manual",$M537=1),0,IF(OFFSET(CRONOPLE!$F$14,$M537,AS$13)="",10^12,OFFSET(CRONOPLE!$F$14,$M537,AS$13))))</f>
        <v>1000000000000</v>
      </c>
      <c r="AT537" s="181">
        <f ca="1">IF($D537&lt;&gt;"Serviço",0,IF(AND(AUTOEVENTO="Manual",$M537=1),0,IF(OFFSET(CRONOPLE!$F$14,$M537,AT$13)="",10^12,OFFSET(CRONOPLE!$F$14,$M537,AT$13))))</f>
        <v>1000000000000</v>
      </c>
      <c r="AU537" s="181">
        <f ca="1">IF($D537&lt;&gt;"Serviço",0,IF(AND(AUTOEVENTO="Manual",$M537=1),0,IF(OFFSET(CRONOPLE!$F$14,$M537,AU$13)="",10^12,OFFSET(CRONOPLE!$F$14,$M537,AU$13))))</f>
        <v>1000000000000</v>
      </c>
      <c r="AV537" s="181">
        <f ca="1">IF($D537&lt;&gt;"Serviço",0,IF(AND(AUTOEVENTO="Manual",$M537=1),0,IF(OFFSET(CRONOPLE!$F$14,$M537,AV$13)="",10^12,OFFSET(CRONOPLE!$F$14,$M537,AV$13))))</f>
        <v>1000000000000</v>
      </c>
      <c r="AX537" s="182">
        <f ca="1">IF($D537&lt;&gt;"Serviço",0,IF(OR(AND(AUTOEVENTO="Manual",$M537=1),$M537&gt;(ROW(PLE.lastrow)-ROW(PLE.firstrow))),0,IF(OFFSET(PLE!$G$14,$M537,AX$13)="",10^12,OFFSET(PLE!$G$14,$M537,AX$13))))</f>
        <v>1000000000000</v>
      </c>
      <c r="AY537" s="182">
        <f ca="1">IF($D537&lt;&gt;"Serviço",0,IF(OR(AND(AUTOEVENTO="Manual",$M537=1),$M537&gt;(ROW(PLE.lastrow)-ROW(PLE.firstrow))),0,IF(OFFSET(PLE!$G$14,$M537,AY$13)="",10^12,OFFSET(PLE!$G$14,$M537,AY$13))))</f>
        <v>1000000000000</v>
      </c>
      <c r="AZ537" s="182">
        <f ca="1">IF($D537&lt;&gt;"Serviço",0,IF(OR(AND(AUTOEVENTO="Manual",$M537=1),$M537&gt;(ROW(PLE.lastrow)-ROW(PLE.firstrow))),0,IF(OFFSET(PLE!$G$14,$M537,AZ$13)="",10^12,OFFSET(PLE!$G$14,$M537,AZ$13))))</f>
        <v>1000000000000</v>
      </c>
      <c r="BA537" s="182">
        <f ca="1">IF($D537&lt;&gt;"Serviço",0,IF(OR(AND(AUTOEVENTO="Manual",$M537=1),$M537&gt;(ROW(PLE.lastrow)-ROW(PLE.firstrow))),0,IF(OFFSET(PLE!$G$14,$M537,BA$13)="",10^12,OFFSET(PLE!$G$14,$M537,BA$13))))</f>
        <v>1000000000000</v>
      </c>
      <c r="BB537" s="182">
        <f ca="1">IF($D537&lt;&gt;"Serviço",0,IF(OR(AND(AUTOEVENTO="Manual",$M537=1),$M537&gt;(ROW(PLE.lastrow)-ROW(PLE.firstrow))),0,IF(OFFSET(PLE!$G$14,$M537,BB$13)="",10^12,OFFSET(PLE!$G$14,$M537,BB$13))))</f>
        <v>1000000000000</v>
      </c>
      <c r="BC537" s="182">
        <f ca="1">IF($D537&lt;&gt;"Serviço",0,IF(OR(AND(AUTOEVENTO="Manual",$M537=1),$M537&gt;(ROW(PLE.lastrow)-ROW(PLE.firstrow))),0,IF(OFFSET(PLE!$G$14,$M537,BC$13)="",10^12,OFFSET(PLE!$G$14,$M537,BC$13))))</f>
        <v>1000000000000</v>
      </c>
      <c r="BD537" s="182">
        <f ca="1">IF($D537&lt;&gt;"Serviço",0,IF(OR(AND(AUTOEVENTO="Manual",$M537=1),$M537&gt;(ROW(PLE.lastrow)-ROW(PLE.firstrow))),0,IF(OFFSET(PLE!$G$14,$M537,BD$13)="",10^12,OFFSET(PLE!$G$14,$M537,BD$13))))</f>
        <v>1000000000000</v>
      </c>
      <c r="BE537" s="182">
        <f ca="1">IF($D537&lt;&gt;"Serviço",0,IF(OR(AND(AUTOEVENTO="Manual",$M537=1),$M537&gt;(ROW(PLE.lastrow)-ROW(PLE.firstrow))),0,IF(OFFSET(PLE!$G$14,$M537,BE$13)="",10^12,OFFSET(PLE!$G$14,$M537,BE$13))))</f>
        <v>1000000000000</v>
      </c>
      <c r="BF537" s="182">
        <f ca="1">IF($D537&lt;&gt;"Serviço",0,IF(OR(AND(AUTOEVENTO="Manual",$M537=1),$M537&gt;(ROW(PLE.lastrow)-ROW(PLE.firstrow))),0,IF(OFFSET(PLE!$G$14,$M537,BF$13)="",10^12,OFFSET(PLE!$G$14,$M537,BF$13))))</f>
        <v>1000000000000</v>
      </c>
      <c r="BG537" s="182">
        <f ca="1">IF($D537&lt;&gt;"Serviço",0,IF(OR(AND(AUTOEVENTO="Manual",$M537=1),$M537&gt;(ROW(PLE.lastrow)-ROW(PLE.firstrow))),0,IF(OFFSET(PLE!$G$14,$M537,BG$13)="",10^12,OFFSET(PLE!$G$14,$M537,BG$13))))</f>
        <v>1000000000000</v>
      </c>
    </row>
    <row r="538" spans="1:59" ht="38.25" x14ac:dyDescent="0.2">
      <c r="A538" s="7" t="str">
        <f t="shared" ca="1" si="15"/>
        <v>472</v>
      </c>
      <c r="B538" s="7" t="str">
        <f ca="1">OFFSET(ORÇAMENTO!C$15,ROW(B538)-ROW(B$15),0)</f>
        <v>S</v>
      </c>
      <c r="C538" s="7" t="str">
        <f ca="1">OFFSET(ORÇAMENTO!L$15,ROW(C538)-ROW(C$15),0)</f>
        <v/>
      </c>
      <c r="D538" s="118" t="str">
        <f ca="1">OFFSET(ORÇAMENTO!N$15,ROW(D538)-ROW(D$15),0)</f>
        <v>Serviço</v>
      </c>
      <c r="E538" s="119" t="str">
        <f ca="1">OFFSET(ORÇAMENTO!O$15,ROW(E538)-ROW(E$15),0)</f>
        <v>-</v>
      </c>
      <c r="F538" s="172" t="str">
        <f ca="1">OFFSET(ORÇAMENTO!R$15,ROW(F538)-ROW(F$15),0)</f>
        <v>(abra o arquivo 'Referência 02-2025.xlsm)</v>
      </c>
      <c r="G538" s="173" t="str">
        <f ca="1">IF($D538&lt;&gt;"Serviço","",OFFSET(ORÇAMENTO!S$15,ROW(G538)-ROW(G$15),0))</f>
        <v>-</v>
      </c>
      <c r="H538" s="124">
        <f ca="1">IF($D538&lt;&gt;"Serviço",0,IF(ACOMPANHAMENTO="BM",ROUND(OFFSET(ORÇAMENTO!AJ$15,ROW(H538)-ROW(H$15),0),15-13*ORÇAMENTO!$AF$7),SUMPRODUCT(($Q$12:$AA$12&lt;&gt;"")*ROUND($Q538:$AA538,15-13*ORÇAMENTO!$AF$7))))</f>
        <v>14</v>
      </c>
      <c r="I538" s="561" t="s">
        <v>890</v>
      </c>
      <c r="K538" s="174"/>
      <c r="L538" s="175" t="s">
        <v>255</v>
      </c>
      <c r="M538" s="176">
        <f ca="1">IF($D538&lt;&gt;"Serviço","",IF(AUTOEVENTO="manual",$A538,IF(ISERROR(MATCH($A538,$A$15:OFFSET($A538,-1,0),0)),MAX($M$15:OFFSET(M538,-1,0))+1,INDEX($M$15:OFFSET(M538,-1,0),MATCH($A538,$A$15:OFFSET($A538,-1,0),0)))))</f>
        <v>18</v>
      </c>
      <c r="N538" s="177" t="str">
        <f ca="1">IF($D538&lt;&gt;"Serviço","",IF(AUTOEVENTO="Manual",IF($A538=0,"&lt;-- defina o número do agrupador",OFFSET(EVENTOS!$D$14,$A538,0)),OFFSET($F$15,$A538,0)))</f>
        <v>INSTALAÇÕES ELÉTRICAS - 220V</v>
      </c>
      <c r="O538" s="178"/>
      <c r="Q538" s="178"/>
      <c r="R538" s="179"/>
      <c r="S538" s="179"/>
      <c r="T538" s="179"/>
      <c r="U538" s="179"/>
      <c r="V538" s="179"/>
      <c r="W538" s="179"/>
      <c r="X538" s="179"/>
      <c r="Y538" s="179"/>
      <c r="Z538" s="180"/>
      <c r="AB538" s="544">
        <f ca="1">IF(AND($D538="Serviço",AB$12&lt;&gt;0,$H538&gt;0,OR(AUTOEVENTO&lt;&gt;"manual",$M538&lt;&gt;1)),
IF(Import.TipoArredondamento&lt;&gt;"TransfereGOV",
ROUND(OFFSET($P538,0,AB$13),15-13*ORÇAMENTO!$AF$7)/$H538*OFFSET(ORÇAMENTO!$X$15,ROW(AB538)-ROW(AB$15),0),
ROUND(ROUND(OFFSET($P538,0,AB$13),15-13*ORÇAMENTO!$AF$7)*OFFSET(ORÇAMENTO!$W$15,ROW(AB538)-ROW(AB$15),0),15-13*ORÇAMENTO!$AF$11)),0)</f>
        <v>0</v>
      </c>
      <c r="AC538" s="545">
        <f ca="1">IF(AND($D538="Serviço",AC$12&lt;&gt;0,$H538&gt;0,OR(AUTOEVENTO&lt;&gt;"manual",$M538&lt;&gt;1)),
IF(Import.TipoArredondamento&lt;&gt;"TransfereGOV",
ROUND(OFFSET($P538,0,AC$13),15-13*ORÇAMENTO!$AF$7)/$H538*OFFSET(ORÇAMENTO!$X$15,ROW(AC538)-ROW(AC$15),0),
ROUND(ROUND(OFFSET($P538,0,AC$13),15-13*ORÇAMENTO!$AF$7)*OFFSET(ORÇAMENTO!$W$15,ROW(AC538)-ROW(AC$15),0),15-13*ORÇAMENTO!$AF$11)),0)</f>
        <v>0</v>
      </c>
      <c r="AD538" s="545">
        <f ca="1">IF(AND($D538="Serviço",AD$12&lt;&gt;0,$H538&gt;0,OR(AUTOEVENTO&lt;&gt;"manual",$M538&lt;&gt;1)),
IF(Import.TipoArredondamento&lt;&gt;"TransfereGOV",
ROUND(OFFSET($P538,0,AD$13),15-13*ORÇAMENTO!$AF$7)/$H538*OFFSET(ORÇAMENTO!$X$15,ROW(AD538)-ROW(AD$15),0),
ROUND(ROUND(OFFSET($P538,0,AD$13),15-13*ORÇAMENTO!$AF$7)*OFFSET(ORÇAMENTO!$W$15,ROW(AD538)-ROW(AD$15),0),15-13*ORÇAMENTO!$AF$11)),0)</f>
        <v>0</v>
      </c>
      <c r="AE538" s="545">
        <f ca="1">IF(AND($D538="Serviço",AE$12&lt;&gt;0,$H538&gt;0,OR(AUTOEVENTO&lt;&gt;"manual",$M538&lt;&gt;1)),
IF(Import.TipoArredondamento&lt;&gt;"TransfereGOV",
ROUND(OFFSET($P538,0,AE$13),15-13*ORÇAMENTO!$AF$7)/$H538*OFFSET(ORÇAMENTO!$X$15,ROW(AE538)-ROW(AE$15),0),
ROUND(ROUND(OFFSET($P538,0,AE$13),15-13*ORÇAMENTO!$AF$7)*OFFSET(ORÇAMENTO!$W$15,ROW(AE538)-ROW(AE$15),0),15-13*ORÇAMENTO!$AF$11)),0)</f>
        <v>0</v>
      </c>
      <c r="AF538" s="545">
        <f ca="1">IF(AND($D538="Serviço",AF$12&lt;&gt;0,$H538&gt;0,OR(AUTOEVENTO&lt;&gt;"manual",$M538&lt;&gt;1)),
IF(Import.TipoArredondamento&lt;&gt;"TransfereGOV",
ROUND(OFFSET($P538,0,AF$13),15-13*ORÇAMENTO!$AF$7)/$H538*OFFSET(ORÇAMENTO!$X$15,ROW(AF538)-ROW(AF$15),0),
ROUND(ROUND(OFFSET($P538,0,AF$13),15-13*ORÇAMENTO!$AF$7)*OFFSET(ORÇAMENTO!$W$15,ROW(AF538)-ROW(AF$15),0),15-13*ORÇAMENTO!$AF$11)),0)</f>
        <v>0</v>
      </c>
      <c r="AG538" s="545">
        <f ca="1">IF(AND($D538="Serviço",AG$12&lt;&gt;0,$H538&gt;0,OR(AUTOEVENTO&lt;&gt;"manual",$M538&lt;&gt;1)),
IF(Import.TipoArredondamento&lt;&gt;"TransfereGOV",
ROUND(OFFSET($P538,0,AG$13),15-13*ORÇAMENTO!$AF$7)/$H538*OFFSET(ORÇAMENTO!$X$15,ROW(AG538)-ROW(AG$15),0),
ROUND(ROUND(OFFSET($P538,0,AG$13),15-13*ORÇAMENTO!$AF$7)*OFFSET(ORÇAMENTO!$W$15,ROW(AG538)-ROW(AG$15),0),15-13*ORÇAMENTO!$AF$11)),0)</f>
        <v>0</v>
      </c>
      <c r="AH538" s="545">
        <f ca="1">IF(AND($D538="Serviço",AH$12&lt;&gt;0,$H538&gt;0,OR(AUTOEVENTO&lt;&gt;"manual",$M538&lt;&gt;1)),
IF(Import.TipoArredondamento&lt;&gt;"TransfereGOV",
ROUND(OFFSET($P538,0,AH$13),15-13*ORÇAMENTO!$AF$7)/$H538*OFFSET(ORÇAMENTO!$X$15,ROW(AH538)-ROW(AH$15),0),
ROUND(ROUND(OFFSET($P538,0,AH$13),15-13*ORÇAMENTO!$AF$7)*OFFSET(ORÇAMENTO!$W$15,ROW(AH538)-ROW(AH$15),0),15-13*ORÇAMENTO!$AF$11)),0)</f>
        <v>0</v>
      </c>
      <c r="AI538" s="545">
        <f ca="1">IF(AND($D538="Serviço",AI$12&lt;&gt;0,$H538&gt;0,OR(AUTOEVENTO&lt;&gt;"manual",$M538&lt;&gt;1)),
IF(Import.TipoArredondamento&lt;&gt;"TransfereGOV",
ROUND(OFFSET($P538,0,AI$13),15-13*ORÇAMENTO!$AF$7)/$H538*OFFSET(ORÇAMENTO!$X$15,ROW(AI538)-ROW(AI$15),0),
ROUND(ROUND(OFFSET($P538,0,AI$13),15-13*ORÇAMENTO!$AF$7)*OFFSET(ORÇAMENTO!$W$15,ROW(AI538)-ROW(AI$15),0),15-13*ORÇAMENTO!$AF$11)),0)</f>
        <v>0</v>
      </c>
      <c r="AJ538" s="545">
        <f ca="1">IF(AND($D538="Serviço",AJ$12&lt;&gt;0,$H538&gt;0,OR(AUTOEVENTO&lt;&gt;"manual",$M538&lt;&gt;1)),
IF(Import.TipoArredondamento&lt;&gt;"TransfereGOV",
ROUND(OFFSET($P538,0,AJ$13),15-13*ORÇAMENTO!$AF$7)/$H538*OFFSET(ORÇAMENTO!$X$15,ROW(AJ538)-ROW(AJ$15),0),
ROUND(ROUND(OFFSET($P538,0,AJ$13),15-13*ORÇAMENTO!$AF$7)*OFFSET(ORÇAMENTO!$W$15,ROW(AJ538)-ROW(AJ$15),0),15-13*ORÇAMENTO!$AF$11)),0)</f>
        <v>0</v>
      </c>
      <c r="AK538" s="546">
        <f ca="1">IF(AND($D538="Serviço",AK$12&lt;&gt;0,$H538&gt;0,OR(AUTOEVENTO&lt;&gt;"manual",$M538&lt;&gt;1)),
IF(Import.TipoArredondamento&lt;&gt;"TransfereGOV",
ROUND(OFFSET($P538,0,AK$13),15-13*ORÇAMENTO!$AF$7)/$H538*OFFSET(ORÇAMENTO!$X$15,ROW(AK538)-ROW(AK$15),0),
ROUND(ROUND(OFFSET($P538,0,AK$13),15-13*ORÇAMENTO!$AF$7)*OFFSET(ORÇAMENTO!$W$15,ROW(AK538)-ROW(AK$15),0),15-13*ORÇAMENTO!$AF$11)),0)</f>
        <v>0</v>
      </c>
      <c r="AM538" s="181">
        <f ca="1">IF($D538&lt;&gt;"Serviço",0,IF(AND(AUTOEVENTO="Manual",$M538=1),0,IF(OFFSET(CRONOPLE!$F$14,$M538,AM$13)="",10^12,OFFSET(CRONOPLE!$F$14,$M538,AM$13))))</f>
        <v>1000000000000</v>
      </c>
      <c r="AN538" s="181">
        <f ca="1">IF($D538&lt;&gt;"Serviço",0,IF(AND(AUTOEVENTO="Manual",$M538=1),0,IF(OFFSET(CRONOPLE!$F$14,$M538,AN$13)="",10^12,OFFSET(CRONOPLE!$F$14,$M538,AN$13))))</f>
        <v>1000000000000</v>
      </c>
      <c r="AO538" s="181">
        <f ca="1">IF($D538&lt;&gt;"Serviço",0,IF(AND(AUTOEVENTO="Manual",$M538=1),0,IF(OFFSET(CRONOPLE!$F$14,$M538,AO$13)="",10^12,OFFSET(CRONOPLE!$F$14,$M538,AO$13))))</f>
        <v>1000000000000</v>
      </c>
      <c r="AP538" s="181">
        <f ca="1">IF($D538&lt;&gt;"Serviço",0,IF(AND(AUTOEVENTO="Manual",$M538=1),0,IF(OFFSET(CRONOPLE!$F$14,$M538,AP$13)="",10^12,OFFSET(CRONOPLE!$F$14,$M538,AP$13))))</f>
        <v>1000000000000</v>
      </c>
      <c r="AQ538" s="181">
        <f ca="1">IF($D538&lt;&gt;"Serviço",0,IF(AND(AUTOEVENTO="Manual",$M538=1),0,IF(OFFSET(CRONOPLE!$F$14,$M538,AQ$13)="",10^12,OFFSET(CRONOPLE!$F$14,$M538,AQ$13))))</f>
        <v>1000000000000</v>
      </c>
      <c r="AR538" s="181">
        <f ca="1">IF($D538&lt;&gt;"Serviço",0,IF(AND(AUTOEVENTO="Manual",$M538=1),0,IF(OFFSET(CRONOPLE!$F$14,$M538,AR$13)="",10^12,OFFSET(CRONOPLE!$F$14,$M538,AR$13))))</f>
        <v>1000000000000</v>
      </c>
      <c r="AS538" s="181">
        <f ca="1">IF($D538&lt;&gt;"Serviço",0,IF(AND(AUTOEVENTO="Manual",$M538=1),0,IF(OFFSET(CRONOPLE!$F$14,$M538,AS$13)="",10^12,OFFSET(CRONOPLE!$F$14,$M538,AS$13))))</f>
        <v>1000000000000</v>
      </c>
      <c r="AT538" s="181">
        <f ca="1">IF($D538&lt;&gt;"Serviço",0,IF(AND(AUTOEVENTO="Manual",$M538=1),0,IF(OFFSET(CRONOPLE!$F$14,$M538,AT$13)="",10^12,OFFSET(CRONOPLE!$F$14,$M538,AT$13))))</f>
        <v>1000000000000</v>
      </c>
      <c r="AU538" s="181">
        <f ca="1">IF($D538&lt;&gt;"Serviço",0,IF(AND(AUTOEVENTO="Manual",$M538=1),0,IF(OFFSET(CRONOPLE!$F$14,$M538,AU$13)="",10^12,OFFSET(CRONOPLE!$F$14,$M538,AU$13))))</f>
        <v>1000000000000</v>
      </c>
      <c r="AV538" s="181">
        <f ca="1">IF($D538&lt;&gt;"Serviço",0,IF(AND(AUTOEVENTO="Manual",$M538=1),0,IF(OFFSET(CRONOPLE!$F$14,$M538,AV$13)="",10^12,OFFSET(CRONOPLE!$F$14,$M538,AV$13))))</f>
        <v>1000000000000</v>
      </c>
      <c r="AX538" s="182">
        <f ca="1">IF($D538&lt;&gt;"Serviço",0,IF(OR(AND(AUTOEVENTO="Manual",$M538=1),$M538&gt;(ROW(PLE.lastrow)-ROW(PLE.firstrow))),0,IF(OFFSET(PLE!$G$14,$M538,AX$13)="",10^12,OFFSET(PLE!$G$14,$M538,AX$13))))</f>
        <v>1000000000000</v>
      </c>
      <c r="AY538" s="182">
        <f ca="1">IF($D538&lt;&gt;"Serviço",0,IF(OR(AND(AUTOEVENTO="Manual",$M538=1),$M538&gt;(ROW(PLE.lastrow)-ROW(PLE.firstrow))),0,IF(OFFSET(PLE!$G$14,$M538,AY$13)="",10^12,OFFSET(PLE!$G$14,$M538,AY$13))))</f>
        <v>1000000000000</v>
      </c>
      <c r="AZ538" s="182">
        <f ca="1">IF($D538&lt;&gt;"Serviço",0,IF(OR(AND(AUTOEVENTO="Manual",$M538=1),$M538&gt;(ROW(PLE.lastrow)-ROW(PLE.firstrow))),0,IF(OFFSET(PLE!$G$14,$M538,AZ$13)="",10^12,OFFSET(PLE!$G$14,$M538,AZ$13))))</f>
        <v>1000000000000</v>
      </c>
      <c r="BA538" s="182">
        <f ca="1">IF($D538&lt;&gt;"Serviço",0,IF(OR(AND(AUTOEVENTO="Manual",$M538=1),$M538&gt;(ROW(PLE.lastrow)-ROW(PLE.firstrow))),0,IF(OFFSET(PLE!$G$14,$M538,BA$13)="",10^12,OFFSET(PLE!$G$14,$M538,BA$13))))</f>
        <v>1000000000000</v>
      </c>
      <c r="BB538" s="182">
        <f ca="1">IF($D538&lt;&gt;"Serviço",0,IF(OR(AND(AUTOEVENTO="Manual",$M538=1),$M538&gt;(ROW(PLE.lastrow)-ROW(PLE.firstrow))),0,IF(OFFSET(PLE!$G$14,$M538,BB$13)="",10^12,OFFSET(PLE!$G$14,$M538,BB$13))))</f>
        <v>1000000000000</v>
      </c>
      <c r="BC538" s="182">
        <f ca="1">IF($D538&lt;&gt;"Serviço",0,IF(OR(AND(AUTOEVENTO="Manual",$M538=1),$M538&gt;(ROW(PLE.lastrow)-ROW(PLE.firstrow))),0,IF(OFFSET(PLE!$G$14,$M538,BC$13)="",10^12,OFFSET(PLE!$G$14,$M538,BC$13))))</f>
        <v>1000000000000</v>
      </c>
      <c r="BD538" s="182">
        <f ca="1">IF($D538&lt;&gt;"Serviço",0,IF(OR(AND(AUTOEVENTO="Manual",$M538=1),$M538&gt;(ROW(PLE.lastrow)-ROW(PLE.firstrow))),0,IF(OFFSET(PLE!$G$14,$M538,BD$13)="",10^12,OFFSET(PLE!$G$14,$M538,BD$13))))</f>
        <v>1000000000000</v>
      </c>
      <c r="BE538" s="182">
        <f ca="1">IF($D538&lt;&gt;"Serviço",0,IF(OR(AND(AUTOEVENTO="Manual",$M538=1),$M538&gt;(ROW(PLE.lastrow)-ROW(PLE.firstrow))),0,IF(OFFSET(PLE!$G$14,$M538,BE$13)="",10^12,OFFSET(PLE!$G$14,$M538,BE$13))))</f>
        <v>1000000000000</v>
      </c>
      <c r="BF538" s="182">
        <f ca="1">IF($D538&lt;&gt;"Serviço",0,IF(OR(AND(AUTOEVENTO="Manual",$M538=1),$M538&gt;(ROW(PLE.lastrow)-ROW(PLE.firstrow))),0,IF(OFFSET(PLE!$G$14,$M538,BF$13)="",10^12,OFFSET(PLE!$G$14,$M538,BF$13))))</f>
        <v>1000000000000</v>
      </c>
      <c r="BG538" s="182">
        <f ca="1">IF($D538&lt;&gt;"Serviço",0,IF(OR(AND(AUTOEVENTO="Manual",$M538=1),$M538&gt;(ROW(PLE.lastrow)-ROW(PLE.firstrow))),0,IF(OFFSET(PLE!$G$14,$M538,BG$13)="",10^12,OFFSET(PLE!$G$14,$M538,BG$13))))</f>
        <v>1000000000000</v>
      </c>
    </row>
    <row r="539" spans="1:59" ht="12.75" x14ac:dyDescent="0.2">
      <c r="A539" s="7" t="str">
        <f t="shared" ca="1" si="15"/>
        <v>472</v>
      </c>
      <c r="B539" s="7">
        <f ca="1">OFFSET(ORÇAMENTO!C$15,ROW(B539)-ROW(B$15),0)</f>
        <v>3</v>
      </c>
      <c r="C539" s="7" t="str">
        <f ca="1">OFFSET(ORÇAMENTO!L$15,ROW(C539)-ROW(C$15),0)</f>
        <v>F</v>
      </c>
      <c r="D539" s="118" t="str">
        <f ca="1">OFFSET(ORÇAMENTO!N$15,ROW(D539)-ROW(D$15),0)</f>
        <v>Nível 3</v>
      </c>
      <c r="E539" s="119" t="str">
        <f ca="1">OFFSET(ORÇAMENTO!O$15,ROW(E539)-ROW(E$15),0)</f>
        <v>1.17.6.</v>
      </c>
      <c r="F539" s="172" t="str">
        <f ca="1">OFFSET(ORÇAMENTO!R$15,ROW(F539)-ROW(F$15),0)</f>
        <v>DISPOSITIVOS ELÉTRICOS</v>
      </c>
      <c r="G539" s="173" t="str">
        <f ca="1">IF($D539&lt;&gt;"Serviço","",OFFSET(ORÇAMENTO!S$15,ROW(G539)-ROW(G$15),0))</f>
        <v/>
      </c>
      <c r="H539" s="124">
        <f ca="1">IF($D539&lt;&gt;"Serviço",0,IF(ACOMPANHAMENTO="BM",ROUND(OFFSET(ORÇAMENTO!AJ$15,ROW(H539)-ROW(H$15),0),15-13*ORÇAMENTO!$AF$7),SUMPRODUCT(($Q$12:$AA$12&lt;&gt;"")*ROUND($Q539:$AA539,15-13*ORÇAMENTO!$AF$7))))</f>
        <v>0</v>
      </c>
      <c r="I539" s="561"/>
      <c r="K539" s="174"/>
      <c r="L539" s="175" t="s">
        <v>255</v>
      </c>
      <c r="M539" s="176" t="str">
        <f ca="1">IF($D539&lt;&gt;"Serviço","",IF(AUTOEVENTO="manual",$A539,IF(ISERROR(MATCH($A539,$A$15:OFFSET($A539,-1,0),0)),MAX($M$15:OFFSET(M539,-1,0))+1,INDEX($M$15:OFFSET(M539,-1,0),MATCH($A539,$A$15:OFFSET($A539,-1,0),0)))))</f>
        <v/>
      </c>
      <c r="N539" s="177" t="str">
        <f ca="1">IF($D539&lt;&gt;"Serviço","",IF(AUTOEVENTO="Manual",IF($A539=0,"&lt;-- defina o número do agrupador",OFFSET(EVENTOS!$D$14,$A539,0)),OFFSET($F$15,$A539,0)))</f>
        <v/>
      </c>
      <c r="O539" s="178"/>
      <c r="Q539" s="178"/>
      <c r="R539" s="179"/>
      <c r="S539" s="179"/>
      <c r="T539" s="179"/>
      <c r="U539" s="179"/>
      <c r="V539" s="179"/>
      <c r="W539" s="179"/>
      <c r="X539" s="179"/>
      <c r="Y539" s="179"/>
      <c r="Z539" s="180"/>
      <c r="AB539" s="544">
        <f ca="1">IF(AND($D539="Serviço",AB$12&lt;&gt;0,$H539&gt;0,OR(AUTOEVENTO&lt;&gt;"manual",$M539&lt;&gt;1)),
IF(Import.TipoArredondamento&lt;&gt;"TransfereGOV",
ROUND(OFFSET($P539,0,AB$13),15-13*ORÇAMENTO!$AF$7)/$H539*OFFSET(ORÇAMENTO!$X$15,ROW(AB539)-ROW(AB$15),0),
ROUND(ROUND(OFFSET($P539,0,AB$13),15-13*ORÇAMENTO!$AF$7)*OFFSET(ORÇAMENTO!$W$15,ROW(AB539)-ROW(AB$15),0),15-13*ORÇAMENTO!$AF$11)),0)</f>
        <v>0</v>
      </c>
      <c r="AC539" s="545">
        <f ca="1">IF(AND($D539="Serviço",AC$12&lt;&gt;0,$H539&gt;0,OR(AUTOEVENTO&lt;&gt;"manual",$M539&lt;&gt;1)),
IF(Import.TipoArredondamento&lt;&gt;"TransfereGOV",
ROUND(OFFSET($P539,0,AC$13),15-13*ORÇAMENTO!$AF$7)/$H539*OFFSET(ORÇAMENTO!$X$15,ROW(AC539)-ROW(AC$15),0),
ROUND(ROUND(OFFSET($P539,0,AC$13),15-13*ORÇAMENTO!$AF$7)*OFFSET(ORÇAMENTO!$W$15,ROW(AC539)-ROW(AC$15),0),15-13*ORÇAMENTO!$AF$11)),0)</f>
        <v>0</v>
      </c>
      <c r="AD539" s="545">
        <f ca="1">IF(AND($D539="Serviço",AD$12&lt;&gt;0,$H539&gt;0,OR(AUTOEVENTO&lt;&gt;"manual",$M539&lt;&gt;1)),
IF(Import.TipoArredondamento&lt;&gt;"TransfereGOV",
ROUND(OFFSET($P539,0,AD$13),15-13*ORÇAMENTO!$AF$7)/$H539*OFFSET(ORÇAMENTO!$X$15,ROW(AD539)-ROW(AD$15),0),
ROUND(ROUND(OFFSET($P539,0,AD$13),15-13*ORÇAMENTO!$AF$7)*OFFSET(ORÇAMENTO!$W$15,ROW(AD539)-ROW(AD$15),0),15-13*ORÇAMENTO!$AF$11)),0)</f>
        <v>0</v>
      </c>
      <c r="AE539" s="545">
        <f ca="1">IF(AND($D539="Serviço",AE$12&lt;&gt;0,$H539&gt;0,OR(AUTOEVENTO&lt;&gt;"manual",$M539&lt;&gt;1)),
IF(Import.TipoArredondamento&lt;&gt;"TransfereGOV",
ROUND(OFFSET($P539,0,AE$13),15-13*ORÇAMENTO!$AF$7)/$H539*OFFSET(ORÇAMENTO!$X$15,ROW(AE539)-ROW(AE$15),0),
ROUND(ROUND(OFFSET($P539,0,AE$13),15-13*ORÇAMENTO!$AF$7)*OFFSET(ORÇAMENTO!$W$15,ROW(AE539)-ROW(AE$15),0),15-13*ORÇAMENTO!$AF$11)),0)</f>
        <v>0</v>
      </c>
      <c r="AF539" s="545">
        <f ca="1">IF(AND($D539="Serviço",AF$12&lt;&gt;0,$H539&gt;0,OR(AUTOEVENTO&lt;&gt;"manual",$M539&lt;&gt;1)),
IF(Import.TipoArredondamento&lt;&gt;"TransfereGOV",
ROUND(OFFSET($P539,0,AF$13),15-13*ORÇAMENTO!$AF$7)/$H539*OFFSET(ORÇAMENTO!$X$15,ROW(AF539)-ROW(AF$15),0),
ROUND(ROUND(OFFSET($P539,0,AF$13),15-13*ORÇAMENTO!$AF$7)*OFFSET(ORÇAMENTO!$W$15,ROW(AF539)-ROW(AF$15),0),15-13*ORÇAMENTO!$AF$11)),0)</f>
        <v>0</v>
      </c>
      <c r="AG539" s="545">
        <f ca="1">IF(AND($D539="Serviço",AG$12&lt;&gt;0,$H539&gt;0,OR(AUTOEVENTO&lt;&gt;"manual",$M539&lt;&gt;1)),
IF(Import.TipoArredondamento&lt;&gt;"TransfereGOV",
ROUND(OFFSET($P539,0,AG$13),15-13*ORÇAMENTO!$AF$7)/$H539*OFFSET(ORÇAMENTO!$X$15,ROW(AG539)-ROW(AG$15),0),
ROUND(ROUND(OFFSET($P539,0,AG$13),15-13*ORÇAMENTO!$AF$7)*OFFSET(ORÇAMENTO!$W$15,ROW(AG539)-ROW(AG$15),0),15-13*ORÇAMENTO!$AF$11)),0)</f>
        <v>0</v>
      </c>
      <c r="AH539" s="545">
        <f ca="1">IF(AND($D539="Serviço",AH$12&lt;&gt;0,$H539&gt;0,OR(AUTOEVENTO&lt;&gt;"manual",$M539&lt;&gt;1)),
IF(Import.TipoArredondamento&lt;&gt;"TransfereGOV",
ROUND(OFFSET($P539,0,AH$13),15-13*ORÇAMENTO!$AF$7)/$H539*OFFSET(ORÇAMENTO!$X$15,ROW(AH539)-ROW(AH$15),0),
ROUND(ROUND(OFFSET($P539,0,AH$13),15-13*ORÇAMENTO!$AF$7)*OFFSET(ORÇAMENTO!$W$15,ROW(AH539)-ROW(AH$15),0),15-13*ORÇAMENTO!$AF$11)),0)</f>
        <v>0</v>
      </c>
      <c r="AI539" s="545">
        <f ca="1">IF(AND($D539="Serviço",AI$12&lt;&gt;0,$H539&gt;0,OR(AUTOEVENTO&lt;&gt;"manual",$M539&lt;&gt;1)),
IF(Import.TipoArredondamento&lt;&gt;"TransfereGOV",
ROUND(OFFSET($P539,0,AI$13),15-13*ORÇAMENTO!$AF$7)/$H539*OFFSET(ORÇAMENTO!$X$15,ROW(AI539)-ROW(AI$15),0),
ROUND(ROUND(OFFSET($P539,0,AI$13),15-13*ORÇAMENTO!$AF$7)*OFFSET(ORÇAMENTO!$W$15,ROW(AI539)-ROW(AI$15),0),15-13*ORÇAMENTO!$AF$11)),0)</f>
        <v>0</v>
      </c>
      <c r="AJ539" s="545">
        <f ca="1">IF(AND($D539="Serviço",AJ$12&lt;&gt;0,$H539&gt;0,OR(AUTOEVENTO&lt;&gt;"manual",$M539&lt;&gt;1)),
IF(Import.TipoArredondamento&lt;&gt;"TransfereGOV",
ROUND(OFFSET($P539,0,AJ$13),15-13*ORÇAMENTO!$AF$7)/$H539*OFFSET(ORÇAMENTO!$X$15,ROW(AJ539)-ROW(AJ$15),0),
ROUND(ROUND(OFFSET($P539,0,AJ$13),15-13*ORÇAMENTO!$AF$7)*OFFSET(ORÇAMENTO!$W$15,ROW(AJ539)-ROW(AJ$15),0),15-13*ORÇAMENTO!$AF$11)),0)</f>
        <v>0</v>
      </c>
      <c r="AK539" s="546">
        <f ca="1">IF(AND($D539="Serviço",AK$12&lt;&gt;0,$H539&gt;0,OR(AUTOEVENTO&lt;&gt;"manual",$M539&lt;&gt;1)),
IF(Import.TipoArredondamento&lt;&gt;"TransfereGOV",
ROUND(OFFSET($P539,0,AK$13),15-13*ORÇAMENTO!$AF$7)/$H539*OFFSET(ORÇAMENTO!$X$15,ROW(AK539)-ROW(AK$15),0),
ROUND(ROUND(OFFSET($P539,0,AK$13),15-13*ORÇAMENTO!$AF$7)*OFFSET(ORÇAMENTO!$W$15,ROW(AK539)-ROW(AK$15),0),15-13*ORÇAMENTO!$AF$11)),0)</f>
        <v>0</v>
      </c>
      <c r="AM539" s="181">
        <f ca="1">IF($D539&lt;&gt;"Serviço",0,IF(AND(AUTOEVENTO="Manual",$M539=1),0,IF(OFFSET(CRONOPLE!$F$14,$M539,AM$13)="",10^12,OFFSET(CRONOPLE!$F$14,$M539,AM$13))))</f>
        <v>0</v>
      </c>
      <c r="AN539" s="181">
        <f ca="1">IF($D539&lt;&gt;"Serviço",0,IF(AND(AUTOEVENTO="Manual",$M539=1),0,IF(OFFSET(CRONOPLE!$F$14,$M539,AN$13)="",10^12,OFFSET(CRONOPLE!$F$14,$M539,AN$13))))</f>
        <v>0</v>
      </c>
      <c r="AO539" s="181">
        <f ca="1">IF($D539&lt;&gt;"Serviço",0,IF(AND(AUTOEVENTO="Manual",$M539=1),0,IF(OFFSET(CRONOPLE!$F$14,$M539,AO$13)="",10^12,OFFSET(CRONOPLE!$F$14,$M539,AO$13))))</f>
        <v>0</v>
      </c>
      <c r="AP539" s="181">
        <f ca="1">IF($D539&lt;&gt;"Serviço",0,IF(AND(AUTOEVENTO="Manual",$M539=1),0,IF(OFFSET(CRONOPLE!$F$14,$M539,AP$13)="",10^12,OFFSET(CRONOPLE!$F$14,$M539,AP$13))))</f>
        <v>0</v>
      </c>
      <c r="AQ539" s="181">
        <f ca="1">IF($D539&lt;&gt;"Serviço",0,IF(AND(AUTOEVENTO="Manual",$M539=1),0,IF(OFFSET(CRONOPLE!$F$14,$M539,AQ$13)="",10^12,OFFSET(CRONOPLE!$F$14,$M539,AQ$13))))</f>
        <v>0</v>
      </c>
      <c r="AR539" s="181">
        <f ca="1">IF($D539&lt;&gt;"Serviço",0,IF(AND(AUTOEVENTO="Manual",$M539=1),0,IF(OFFSET(CRONOPLE!$F$14,$M539,AR$13)="",10^12,OFFSET(CRONOPLE!$F$14,$M539,AR$13))))</f>
        <v>0</v>
      </c>
      <c r="AS539" s="181">
        <f ca="1">IF($D539&lt;&gt;"Serviço",0,IF(AND(AUTOEVENTO="Manual",$M539=1),0,IF(OFFSET(CRONOPLE!$F$14,$M539,AS$13)="",10^12,OFFSET(CRONOPLE!$F$14,$M539,AS$13))))</f>
        <v>0</v>
      </c>
      <c r="AT539" s="181">
        <f ca="1">IF($D539&lt;&gt;"Serviço",0,IF(AND(AUTOEVENTO="Manual",$M539=1),0,IF(OFFSET(CRONOPLE!$F$14,$M539,AT$13)="",10^12,OFFSET(CRONOPLE!$F$14,$M539,AT$13))))</f>
        <v>0</v>
      </c>
      <c r="AU539" s="181">
        <f ca="1">IF($D539&lt;&gt;"Serviço",0,IF(AND(AUTOEVENTO="Manual",$M539=1),0,IF(OFFSET(CRONOPLE!$F$14,$M539,AU$13)="",10^12,OFFSET(CRONOPLE!$F$14,$M539,AU$13))))</f>
        <v>0</v>
      </c>
      <c r="AV539" s="181">
        <f ca="1">IF($D539&lt;&gt;"Serviço",0,IF(AND(AUTOEVENTO="Manual",$M539=1),0,IF(OFFSET(CRONOPLE!$F$14,$M539,AV$13)="",10^12,OFFSET(CRONOPLE!$F$14,$M539,AV$13))))</f>
        <v>0</v>
      </c>
      <c r="AX539" s="182">
        <f ca="1">IF($D539&lt;&gt;"Serviço",0,IF(OR(AND(AUTOEVENTO="Manual",$M539=1),$M539&gt;(ROW(PLE.lastrow)-ROW(PLE.firstrow))),0,IF(OFFSET(PLE!$G$14,$M539,AX$13)="",10^12,OFFSET(PLE!$G$14,$M539,AX$13))))</f>
        <v>0</v>
      </c>
      <c r="AY539" s="182">
        <f ca="1">IF($D539&lt;&gt;"Serviço",0,IF(OR(AND(AUTOEVENTO="Manual",$M539=1),$M539&gt;(ROW(PLE.lastrow)-ROW(PLE.firstrow))),0,IF(OFFSET(PLE!$G$14,$M539,AY$13)="",10^12,OFFSET(PLE!$G$14,$M539,AY$13))))</f>
        <v>0</v>
      </c>
      <c r="AZ539" s="182">
        <f ca="1">IF($D539&lt;&gt;"Serviço",0,IF(OR(AND(AUTOEVENTO="Manual",$M539=1),$M539&gt;(ROW(PLE.lastrow)-ROW(PLE.firstrow))),0,IF(OFFSET(PLE!$G$14,$M539,AZ$13)="",10^12,OFFSET(PLE!$G$14,$M539,AZ$13))))</f>
        <v>0</v>
      </c>
      <c r="BA539" s="182">
        <f ca="1">IF($D539&lt;&gt;"Serviço",0,IF(OR(AND(AUTOEVENTO="Manual",$M539=1),$M539&gt;(ROW(PLE.lastrow)-ROW(PLE.firstrow))),0,IF(OFFSET(PLE!$G$14,$M539,BA$13)="",10^12,OFFSET(PLE!$G$14,$M539,BA$13))))</f>
        <v>0</v>
      </c>
      <c r="BB539" s="182">
        <f ca="1">IF($D539&lt;&gt;"Serviço",0,IF(OR(AND(AUTOEVENTO="Manual",$M539=1),$M539&gt;(ROW(PLE.lastrow)-ROW(PLE.firstrow))),0,IF(OFFSET(PLE!$G$14,$M539,BB$13)="",10^12,OFFSET(PLE!$G$14,$M539,BB$13))))</f>
        <v>0</v>
      </c>
      <c r="BC539" s="182">
        <f ca="1">IF($D539&lt;&gt;"Serviço",0,IF(OR(AND(AUTOEVENTO="Manual",$M539=1),$M539&gt;(ROW(PLE.lastrow)-ROW(PLE.firstrow))),0,IF(OFFSET(PLE!$G$14,$M539,BC$13)="",10^12,OFFSET(PLE!$G$14,$M539,BC$13))))</f>
        <v>0</v>
      </c>
      <c r="BD539" s="182">
        <f ca="1">IF($D539&lt;&gt;"Serviço",0,IF(OR(AND(AUTOEVENTO="Manual",$M539=1),$M539&gt;(ROW(PLE.lastrow)-ROW(PLE.firstrow))),0,IF(OFFSET(PLE!$G$14,$M539,BD$13)="",10^12,OFFSET(PLE!$G$14,$M539,BD$13))))</f>
        <v>0</v>
      </c>
      <c r="BE539" s="182">
        <f ca="1">IF($D539&lt;&gt;"Serviço",0,IF(OR(AND(AUTOEVENTO="Manual",$M539=1),$M539&gt;(ROW(PLE.lastrow)-ROW(PLE.firstrow))),0,IF(OFFSET(PLE!$G$14,$M539,BE$13)="",10^12,OFFSET(PLE!$G$14,$M539,BE$13))))</f>
        <v>0</v>
      </c>
      <c r="BF539" s="182">
        <f ca="1">IF($D539&lt;&gt;"Serviço",0,IF(OR(AND(AUTOEVENTO="Manual",$M539=1),$M539&gt;(ROW(PLE.lastrow)-ROW(PLE.firstrow))),0,IF(OFFSET(PLE!$G$14,$M539,BF$13)="",10^12,OFFSET(PLE!$G$14,$M539,BF$13))))</f>
        <v>0</v>
      </c>
      <c r="BG539" s="182">
        <f ca="1">IF($D539&lt;&gt;"Serviço",0,IF(OR(AND(AUTOEVENTO="Manual",$M539=1),$M539&gt;(ROW(PLE.lastrow)-ROW(PLE.firstrow))),0,IF(OFFSET(PLE!$G$14,$M539,BG$13)="",10^12,OFFSET(PLE!$G$14,$M539,BG$13))))</f>
        <v>0</v>
      </c>
    </row>
    <row r="540" spans="1:59" ht="25.5" x14ac:dyDescent="0.2">
      <c r="A540" s="7" t="str">
        <f t="shared" ca="1" si="15"/>
        <v>472</v>
      </c>
      <c r="B540" s="7" t="str">
        <f ca="1">OFFSET(ORÇAMENTO!C$15,ROW(B540)-ROW(B$15),0)</f>
        <v>S</v>
      </c>
      <c r="C540" s="7" t="str">
        <f ca="1">OFFSET(ORÇAMENTO!L$15,ROW(C540)-ROW(C$15),0)</f>
        <v/>
      </c>
      <c r="D540" s="118" t="str">
        <f ca="1">OFFSET(ORÇAMENTO!N$15,ROW(D540)-ROW(D$15),0)</f>
        <v>Serviço</v>
      </c>
      <c r="E540" s="119" t="str">
        <f ca="1">OFFSET(ORÇAMENTO!O$15,ROW(E540)-ROW(E$15),0)</f>
        <v>-</v>
      </c>
      <c r="F540" s="172" t="str">
        <f ca="1">OFFSET(ORÇAMENTO!R$15,ROW(F540)-ROW(F$15),0)</f>
        <v>(abra o arquivo 'Referência 02-2025.xlsm)</v>
      </c>
      <c r="G540" s="173" t="str">
        <f ca="1">IF($D540&lt;&gt;"Serviço","",OFFSET(ORÇAMENTO!S$15,ROW(G540)-ROW(G$15),0))</f>
        <v>-</v>
      </c>
      <c r="H540" s="124">
        <f ca="1">IF($D540&lt;&gt;"Serviço",0,IF(ACOMPANHAMENTO="BM",ROUND(OFFSET(ORÇAMENTO!AJ$15,ROW(H540)-ROW(H$15),0),15-13*ORÇAMENTO!$AF$7),SUMPRODUCT(($Q$12:$AA$12&lt;&gt;"")*ROUND($Q540:$AA540,15-13*ORÇAMENTO!$AF$7))))</f>
        <v>5</v>
      </c>
      <c r="I540" s="561" t="s">
        <v>890</v>
      </c>
      <c r="K540" s="174"/>
      <c r="L540" s="175" t="s">
        <v>255</v>
      </c>
      <c r="M540" s="176">
        <f ca="1">IF($D540&lt;&gt;"Serviço","",IF(AUTOEVENTO="manual",$A540,IF(ISERROR(MATCH($A540,$A$15:OFFSET($A540,-1,0),0)),MAX($M$15:OFFSET(M540,-1,0))+1,INDEX($M$15:OFFSET(M540,-1,0),MATCH($A540,$A$15:OFFSET($A540,-1,0),0)))))</f>
        <v>18</v>
      </c>
      <c r="N540" s="177" t="str">
        <f ca="1">IF($D540&lt;&gt;"Serviço","",IF(AUTOEVENTO="Manual",IF($A540=0,"&lt;-- defina o número do agrupador",OFFSET(EVENTOS!$D$14,$A540,0)),OFFSET($F$15,$A540,0)))</f>
        <v>INSTALAÇÕES ELÉTRICAS - 220V</v>
      </c>
      <c r="O540" s="178"/>
      <c r="Q540" s="178"/>
      <c r="R540" s="179"/>
      <c r="S540" s="179"/>
      <c r="T540" s="179"/>
      <c r="U540" s="179"/>
      <c r="V540" s="179"/>
      <c r="W540" s="179"/>
      <c r="X540" s="179"/>
      <c r="Y540" s="179"/>
      <c r="Z540" s="180"/>
      <c r="AB540" s="544">
        <f ca="1">IF(AND($D540="Serviço",AB$12&lt;&gt;0,$H540&gt;0,OR(AUTOEVENTO&lt;&gt;"manual",$M540&lt;&gt;1)),
IF(Import.TipoArredondamento&lt;&gt;"TransfereGOV",
ROUND(OFFSET($P540,0,AB$13),15-13*ORÇAMENTO!$AF$7)/$H540*OFFSET(ORÇAMENTO!$X$15,ROW(AB540)-ROW(AB$15),0),
ROUND(ROUND(OFFSET($P540,0,AB$13),15-13*ORÇAMENTO!$AF$7)*OFFSET(ORÇAMENTO!$W$15,ROW(AB540)-ROW(AB$15),0),15-13*ORÇAMENTO!$AF$11)),0)</f>
        <v>0</v>
      </c>
      <c r="AC540" s="545">
        <f ca="1">IF(AND($D540="Serviço",AC$12&lt;&gt;0,$H540&gt;0,OR(AUTOEVENTO&lt;&gt;"manual",$M540&lt;&gt;1)),
IF(Import.TipoArredondamento&lt;&gt;"TransfereGOV",
ROUND(OFFSET($P540,0,AC$13),15-13*ORÇAMENTO!$AF$7)/$H540*OFFSET(ORÇAMENTO!$X$15,ROW(AC540)-ROW(AC$15),0),
ROUND(ROUND(OFFSET($P540,0,AC$13),15-13*ORÇAMENTO!$AF$7)*OFFSET(ORÇAMENTO!$W$15,ROW(AC540)-ROW(AC$15),0),15-13*ORÇAMENTO!$AF$11)),0)</f>
        <v>0</v>
      </c>
      <c r="AD540" s="545">
        <f ca="1">IF(AND($D540="Serviço",AD$12&lt;&gt;0,$H540&gt;0,OR(AUTOEVENTO&lt;&gt;"manual",$M540&lt;&gt;1)),
IF(Import.TipoArredondamento&lt;&gt;"TransfereGOV",
ROUND(OFFSET($P540,0,AD$13),15-13*ORÇAMENTO!$AF$7)/$H540*OFFSET(ORÇAMENTO!$X$15,ROW(AD540)-ROW(AD$15),0),
ROUND(ROUND(OFFSET($P540,0,AD$13),15-13*ORÇAMENTO!$AF$7)*OFFSET(ORÇAMENTO!$W$15,ROW(AD540)-ROW(AD$15),0),15-13*ORÇAMENTO!$AF$11)),0)</f>
        <v>0</v>
      </c>
      <c r="AE540" s="545">
        <f ca="1">IF(AND($D540="Serviço",AE$12&lt;&gt;0,$H540&gt;0,OR(AUTOEVENTO&lt;&gt;"manual",$M540&lt;&gt;1)),
IF(Import.TipoArredondamento&lt;&gt;"TransfereGOV",
ROUND(OFFSET($P540,0,AE$13),15-13*ORÇAMENTO!$AF$7)/$H540*OFFSET(ORÇAMENTO!$X$15,ROW(AE540)-ROW(AE$15),0),
ROUND(ROUND(OFFSET($P540,0,AE$13),15-13*ORÇAMENTO!$AF$7)*OFFSET(ORÇAMENTO!$W$15,ROW(AE540)-ROW(AE$15),0),15-13*ORÇAMENTO!$AF$11)),0)</f>
        <v>0</v>
      </c>
      <c r="AF540" s="545">
        <f ca="1">IF(AND($D540="Serviço",AF$12&lt;&gt;0,$H540&gt;0,OR(AUTOEVENTO&lt;&gt;"manual",$M540&lt;&gt;1)),
IF(Import.TipoArredondamento&lt;&gt;"TransfereGOV",
ROUND(OFFSET($P540,0,AF$13),15-13*ORÇAMENTO!$AF$7)/$H540*OFFSET(ORÇAMENTO!$X$15,ROW(AF540)-ROW(AF$15),0),
ROUND(ROUND(OFFSET($P540,0,AF$13),15-13*ORÇAMENTO!$AF$7)*OFFSET(ORÇAMENTO!$W$15,ROW(AF540)-ROW(AF$15),0),15-13*ORÇAMENTO!$AF$11)),0)</f>
        <v>0</v>
      </c>
      <c r="AG540" s="545">
        <f ca="1">IF(AND($D540="Serviço",AG$12&lt;&gt;0,$H540&gt;0,OR(AUTOEVENTO&lt;&gt;"manual",$M540&lt;&gt;1)),
IF(Import.TipoArredondamento&lt;&gt;"TransfereGOV",
ROUND(OFFSET($P540,0,AG$13),15-13*ORÇAMENTO!$AF$7)/$H540*OFFSET(ORÇAMENTO!$X$15,ROW(AG540)-ROW(AG$15),0),
ROUND(ROUND(OFFSET($P540,0,AG$13),15-13*ORÇAMENTO!$AF$7)*OFFSET(ORÇAMENTO!$W$15,ROW(AG540)-ROW(AG$15),0),15-13*ORÇAMENTO!$AF$11)),0)</f>
        <v>0</v>
      </c>
      <c r="AH540" s="545">
        <f ca="1">IF(AND($D540="Serviço",AH$12&lt;&gt;0,$H540&gt;0,OR(AUTOEVENTO&lt;&gt;"manual",$M540&lt;&gt;1)),
IF(Import.TipoArredondamento&lt;&gt;"TransfereGOV",
ROUND(OFFSET($P540,0,AH$13),15-13*ORÇAMENTO!$AF$7)/$H540*OFFSET(ORÇAMENTO!$X$15,ROW(AH540)-ROW(AH$15),0),
ROUND(ROUND(OFFSET($P540,0,AH$13),15-13*ORÇAMENTO!$AF$7)*OFFSET(ORÇAMENTO!$W$15,ROW(AH540)-ROW(AH$15),0),15-13*ORÇAMENTO!$AF$11)),0)</f>
        <v>0</v>
      </c>
      <c r="AI540" s="545">
        <f ca="1">IF(AND($D540="Serviço",AI$12&lt;&gt;0,$H540&gt;0,OR(AUTOEVENTO&lt;&gt;"manual",$M540&lt;&gt;1)),
IF(Import.TipoArredondamento&lt;&gt;"TransfereGOV",
ROUND(OFFSET($P540,0,AI$13),15-13*ORÇAMENTO!$AF$7)/$H540*OFFSET(ORÇAMENTO!$X$15,ROW(AI540)-ROW(AI$15),0),
ROUND(ROUND(OFFSET($P540,0,AI$13),15-13*ORÇAMENTO!$AF$7)*OFFSET(ORÇAMENTO!$W$15,ROW(AI540)-ROW(AI$15),0),15-13*ORÇAMENTO!$AF$11)),0)</f>
        <v>0</v>
      </c>
      <c r="AJ540" s="545">
        <f ca="1">IF(AND($D540="Serviço",AJ$12&lt;&gt;0,$H540&gt;0,OR(AUTOEVENTO&lt;&gt;"manual",$M540&lt;&gt;1)),
IF(Import.TipoArredondamento&lt;&gt;"TransfereGOV",
ROUND(OFFSET($P540,0,AJ$13),15-13*ORÇAMENTO!$AF$7)/$H540*OFFSET(ORÇAMENTO!$X$15,ROW(AJ540)-ROW(AJ$15),0),
ROUND(ROUND(OFFSET($P540,0,AJ$13),15-13*ORÇAMENTO!$AF$7)*OFFSET(ORÇAMENTO!$W$15,ROW(AJ540)-ROW(AJ$15),0),15-13*ORÇAMENTO!$AF$11)),0)</f>
        <v>0</v>
      </c>
      <c r="AK540" s="546">
        <f ca="1">IF(AND($D540="Serviço",AK$12&lt;&gt;0,$H540&gt;0,OR(AUTOEVENTO&lt;&gt;"manual",$M540&lt;&gt;1)),
IF(Import.TipoArredondamento&lt;&gt;"TransfereGOV",
ROUND(OFFSET($P540,0,AK$13),15-13*ORÇAMENTO!$AF$7)/$H540*OFFSET(ORÇAMENTO!$X$15,ROW(AK540)-ROW(AK$15),0),
ROUND(ROUND(OFFSET($P540,0,AK$13),15-13*ORÇAMENTO!$AF$7)*OFFSET(ORÇAMENTO!$W$15,ROW(AK540)-ROW(AK$15),0),15-13*ORÇAMENTO!$AF$11)),0)</f>
        <v>0</v>
      </c>
      <c r="AM540" s="181">
        <f ca="1">IF($D540&lt;&gt;"Serviço",0,IF(AND(AUTOEVENTO="Manual",$M540=1),0,IF(OFFSET(CRONOPLE!$F$14,$M540,AM$13)="",10^12,OFFSET(CRONOPLE!$F$14,$M540,AM$13))))</f>
        <v>1000000000000</v>
      </c>
      <c r="AN540" s="181">
        <f ca="1">IF($D540&lt;&gt;"Serviço",0,IF(AND(AUTOEVENTO="Manual",$M540=1),0,IF(OFFSET(CRONOPLE!$F$14,$M540,AN$13)="",10^12,OFFSET(CRONOPLE!$F$14,$M540,AN$13))))</f>
        <v>1000000000000</v>
      </c>
      <c r="AO540" s="181">
        <f ca="1">IF($D540&lt;&gt;"Serviço",0,IF(AND(AUTOEVENTO="Manual",$M540=1),0,IF(OFFSET(CRONOPLE!$F$14,$M540,AO$13)="",10^12,OFFSET(CRONOPLE!$F$14,$M540,AO$13))))</f>
        <v>1000000000000</v>
      </c>
      <c r="AP540" s="181">
        <f ca="1">IF($D540&lt;&gt;"Serviço",0,IF(AND(AUTOEVENTO="Manual",$M540=1),0,IF(OFFSET(CRONOPLE!$F$14,$M540,AP$13)="",10^12,OFFSET(CRONOPLE!$F$14,$M540,AP$13))))</f>
        <v>1000000000000</v>
      </c>
      <c r="AQ540" s="181">
        <f ca="1">IF($D540&lt;&gt;"Serviço",0,IF(AND(AUTOEVENTO="Manual",$M540=1),0,IF(OFFSET(CRONOPLE!$F$14,$M540,AQ$13)="",10^12,OFFSET(CRONOPLE!$F$14,$M540,AQ$13))))</f>
        <v>1000000000000</v>
      </c>
      <c r="AR540" s="181">
        <f ca="1">IF($D540&lt;&gt;"Serviço",0,IF(AND(AUTOEVENTO="Manual",$M540=1),0,IF(OFFSET(CRONOPLE!$F$14,$M540,AR$13)="",10^12,OFFSET(CRONOPLE!$F$14,$M540,AR$13))))</f>
        <v>1000000000000</v>
      </c>
      <c r="AS540" s="181">
        <f ca="1">IF($D540&lt;&gt;"Serviço",0,IF(AND(AUTOEVENTO="Manual",$M540=1),0,IF(OFFSET(CRONOPLE!$F$14,$M540,AS$13)="",10^12,OFFSET(CRONOPLE!$F$14,$M540,AS$13))))</f>
        <v>1000000000000</v>
      </c>
      <c r="AT540" s="181">
        <f ca="1">IF($D540&lt;&gt;"Serviço",0,IF(AND(AUTOEVENTO="Manual",$M540=1),0,IF(OFFSET(CRONOPLE!$F$14,$M540,AT$13)="",10^12,OFFSET(CRONOPLE!$F$14,$M540,AT$13))))</f>
        <v>1000000000000</v>
      </c>
      <c r="AU540" s="181">
        <f ca="1">IF($D540&lt;&gt;"Serviço",0,IF(AND(AUTOEVENTO="Manual",$M540=1),0,IF(OFFSET(CRONOPLE!$F$14,$M540,AU$13)="",10^12,OFFSET(CRONOPLE!$F$14,$M540,AU$13))))</f>
        <v>1000000000000</v>
      </c>
      <c r="AV540" s="181">
        <f ca="1">IF($D540&lt;&gt;"Serviço",0,IF(AND(AUTOEVENTO="Manual",$M540=1),0,IF(OFFSET(CRONOPLE!$F$14,$M540,AV$13)="",10^12,OFFSET(CRONOPLE!$F$14,$M540,AV$13))))</f>
        <v>1000000000000</v>
      </c>
      <c r="AX540" s="182">
        <f ca="1">IF($D540&lt;&gt;"Serviço",0,IF(OR(AND(AUTOEVENTO="Manual",$M540=1),$M540&gt;(ROW(PLE.lastrow)-ROW(PLE.firstrow))),0,IF(OFFSET(PLE!$G$14,$M540,AX$13)="",10^12,OFFSET(PLE!$G$14,$M540,AX$13))))</f>
        <v>1000000000000</v>
      </c>
      <c r="AY540" s="182">
        <f ca="1">IF($D540&lt;&gt;"Serviço",0,IF(OR(AND(AUTOEVENTO="Manual",$M540=1),$M540&gt;(ROW(PLE.lastrow)-ROW(PLE.firstrow))),0,IF(OFFSET(PLE!$G$14,$M540,AY$13)="",10^12,OFFSET(PLE!$G$14,$M540,AY$13))))</f>
        <v>1000000000000</v>
      </c>
      <c r="AZ540" s="182">
        <f ca="1">IF($D540&lt;&gt;"Serviço",0,IF(OR(AND(AUTOEVENTO="Manual",$M540=1),$M540&gt;(ROW(PLE.lastrow)-ROW(PLE.firstrow))),0,IF(OFFSET(PLE!$G$14,$M540,AZ$13)="",10^12,OFFSET(PLE!$G$14,$M540,AZ$13))))</f>
        <v>1000000000000</v>
      </c>
      <c r="BA540" s="182">
        <f ca="1">IF($D540&lt;&gt;"Serviço",0,IF(OR(AND(AUTOEVENTO="Manual",$M540=1),$M540&gt;(ROW(PLE.lastrow)-ROW(PLE.firstrow))),0,IF(OFFSET(PLE!$G$14,$M540,BA$13)="",10^12,OFFSET(PLE!$G$14,$M540,BA$13))))</f>
        <v>1000000000000</v>
      </c>
      <c r="BB540" s="182">
        <f ca="1">IF($D540&lt;&gt;"Serviço",0,IF(OR(AND(AUTOEVENTO="Manual",$M540=1),$M540&gt;(ROW(PLE.lastrow)-ROW(PLE.firstrow))),0,IF(OFFSET(PLE!$G$14,$M540,BB$13)="",10^12,OFFSET(PLE!$G$14,$M540,BB$13))))</f>
        <v>1000000000000</v>
      </c>
      <c r="BC540" s="182">
        <f ca="1">IF($D540&lt;&gt;"Serviço",0,IF(OR(AND(AUTOEVENTO="Manual",$M540=1),$M540&gt;(ROW(PLE.lastrow)-ROW(PLE.firstrow))),0,IF(OFFSET(PLE!$G$14,$M540,BC$13)="",10^12,OFFSET(PLE!$G$14,$M540,BC$13))))</f>
        <v>1000000000000</v>
      </c>
      <c r="BD540" s="182">
        <f ca="1">IF($D540&lt;&gt;"Serviço",0,IF(OR(AND(AUTOEVENTO="Manual",$M540=1),$M540&gt;(ROW(PLE.lastrow)-ROW(PLE.firstrow))),0,IF(OFFSET(PLE!$G$14,$M540,BD$13)="",10^12,OFFSET(PLE!$G$14,$M540,BD$13))))</f>
        <v>1000000000000</v>
      </c>
      <c r="BE540" s="182">
        <f ca="1">IF($D540&lt;&gt;"Serviço",0,IF(OR(AND(AUTOEVENTO="Manual",$M540=1),$M540&gt;(ROW(PLE.lastrow)-ROW(PLE.firstrow))),0,IF(OFFSET(PLE!$G$14,$M540,BE$13)="",10^12,OFFSET(PLE!$G$14,$M540,BE$13))))</f>
        <v>1000000000000</v>
      </c>
      <c r="BF540" s="182">
        <f ca="1">IF($D540&lt;&gt;"Serviço",0,IF(OR(AND(AUTOEVENTO="Manual",$M540=1),$M540&gt;(ROW(PLE.lastrow)-ROW(PLE.firstrow))),0,IF(OFFSET(PLE!$G$14,$M540,BF$13)="",10^12,OFFSET(PLE!$G$14,$M540,BF$13))))</f>
        <v>1000000000000</v>
      </c>
      <c r="BG540" s="182">
        <f ca="1">IF($D540&lt;&gt;"Serviço",0,IF(OR(AND(AUTOEVENTO="Manual",$M540=1),$M540&gt;(ROW(PLE.lastrow)-ROW(PLE.firstrow))),0,IF(OFFSET(PLE!$G$14,$M540,BG$13)="",10^12,OFFSET(PLE!$G$14,$M540,BG$13))))</f>
        <v>1000000000000</v>
      </c>
    </row>
    <row r="541" spans="1:59" ht="25.5" x14ac:dyDescent="0.2">
      <c r="A541" s="7" t="str">
        <f t="shared" ca="1" si="15"/>
        <v>472</v>
      </c>
      <c r="B541" s="7" t="str">
        <f ca="1">OFFSET(ORÇAMENTO!C$15,ROW(B541)-ROW(B$15),0)</f>
        <v>S</v>
      </c>
      <c r="C541" s="7" t="str">
        <f ca="1">OFFSET(ORÇAMENTO!L$15,ROW(C541)-ROW(C$15),0)</f>
        <v/>
      </c>
      <c r="D541" s="118" t="str">
        <f ca="1">OFFSET(ORÇAMENTO!N$15,ROW(D541)-ROW(D$15),0)</f>
        <v>Serviço</v>
      </c>
      <c r="E541" s="119" t="str">
        <f ca="1">OFFSET(ORÇAMENTO!O$15,ROW(E541)-ROW(E$15),0)</f>
        <v>-</v>
      </c>
      <c r="F541" s="172" t="str">
        <f ca="1">OFFSET(ORÇAMENTO!R$15,ROW(F541)-ROW(F$15),0)</f>
        <v>(abra o arquivo 'Referência 02-2025.xlsm)</v>
      </c>
      <c r="G541" s="173" t="str">
        <f ca="1">IF($D541&lt;&gt;"Serviço","",OFFSET(ORÇAMENTO!S$15,ROW(G541)-ROW(G$15),0))</f>
        <v>-</v>
      </c>
      <c r="H541" s="124">
        <f ca="1">IF($D541&lt;&gt;"Serviço",0,IF(ACOMPANHAMENTO="BM",ROUND(OFFSET(ORÇAMENTO!AJ$15,ROW(H541)-ROW(H$15),0),15-13*ORÇAMENTO!$AF$7),SUMPRODUCT(($Q$12:$AA$12&lt;&gt;"")*ROUND($Q541:$AA541,15-13*ORÇAMENTO!$AF$7))))</f>
        <v>9</v>
      </c>
      <c r="I541" s="561" t="s">
        <v>890</v>
      </c>
      <c r="K541" s="174"/>
      <c r="L541" s="175" t="s">
        <v>255</v>
      </c>
      <c r="M541" s="176">
        <f ca="1">IF($D541&lt;&gt;"Serviço","",IF(AUTOEVENTO="manual",$A541,IF(ISERROR(MATCH($A541,$A$15:OFFSET($A541,-1,0),0)),MAX($M$15:OFFSET(M541,-1,0))+1,INDEX($M$15:OFFSET(M541,-1,0),MATCH($A541,$A$15:OFFSET($A541,-1,0),0)))))</f>
        <v>18</v>
      </c>
      <c r="N541" s="177" t="str">
        <f ca="1">IF($D541&lt;&gt;"Serviço","",IF(AUTOEVENTO="Manual",IF($A541=0,"&lt;-- defina o número do agrupador",OFFSET(EVENTOS!$D$14,$A541,0)),OFFSET($F$15,$A541,0)))</f>
        <v>INSTALAÇÕES ELÉTRICAS - 220V</v>
      </c>
      <c r="O541" s="178"/>
      <c r="Q541" s="178"/>
      <c r="R541" s="179"/>
      <c r="S541" s="179"/>
      <c r="T541" s="179"/>
      <c r="U541" s="179"/>
      <c r="V541" s="179"/>
      <c r="W541" s="179"/>
      <c r="X541" s="179"/>
      <c r="Y541" s="179"/>
      <c r="Z541" s="180"/>
      <c r="AB541" s="544">
        <f ca="1">IF(AND($D541="Serviço",AB$12&lt;&gt;0,$H541&gt;0,OR(AUTOEVENTO&lt;&gt;"manual",$M541&lt;&gt;1)),
IF(Import.TipoArredondamento&lt;&gt;"TransfereGOV",
ROUND(OFFSET($P541,0,AB$13),15-13*ORÇAMENTO!$AF$7)/$H541*OFFSET(ORÇAMENTO!$X$15,ROW(AB541)-ROW(AB$15),0),
ROUND(ROUND(OFFSET($P541,0,AB$13),15-13*ORÇAMENTO!$AF$7)*OFFSET(ORÇAMENTO!$W$15,ROW(AB541)-ROW(AB$15),0),15-13*ORÇAMENTO!$AF$11)),0)</f>
        <v>0</v>
      </c>
      <c r="AC541" s="545">
        <f ca="1">IF(AND($D541="Serviço",AC$12&lt;&gt;0,$H541&gt;0,OR(AUTOEVENTO&lt;&gt;"manual",$M541&lt;&gt;1)),
IF(Import.TipoArredondamento&lt;&gt;"TransfereGOV",
ROUND(OFFSET($P541,0,AC$13),15-13*ORÇAMENTO!$AF$7)/$H541*OFFSET(ORÇAMENTO!$X$15,ROW(AC541)-ROW(AC$15),0),
ROUND(ROUND(OFFSET($P541,0,AC$13),15-13*ORÇAMENTO!$AF$7)*OFFSET(ORÇAMENTO!$W$15,ROW(AC541)-ROW(AC$15),0),15-13*ORÇAMENTO!$AF$11)),0)</f>
        <v>0</v>
      </c>
      <c r="AD541" s="545">
        <f ca="1">IF(AND($D541="Serviço",AD$12&lt;&gt;0,$H541&gt;0,OR(AUTOEVENTO&lt;&gt;"manual",$M541&lt;&gt;1)),
IF(Import.TipoArredondamento&lt;&gt;"TransfereGOV",
ROUND(OFFSET($P541,0,AD$13),15-13*ORÇAMENTO!$AF$7)/$H541*OFFSET(ORÇAMENTO!$X$15,ROW(AD541)-ROW(AD$15),0),
ROUND(ROUND(OFFSET($P541,0,AD$13),15-13*ORÇAMENTO!$AF$7)*OFFSET(ORÇAMENTO!$W$15,ROW(AD541)-ROW(AD$15),0),15-13*ORÇAMENTO!$AF$11)),0)</f>
        <v>0</v>
      </c>
      <c r="AE541" s="545">
        <f ca="1">IF(AND($D541="Serviço",AE$12&lt;&gt;0,$H541&gt;0,OR(AUTOEVENTO&lt;&gt;"manual",$M541&lt;&gt;1)),
IF(Import.TipoArredondamento&lt;&gt;"TransfereGOV",
ROUND(OFFSET($P541,0,AE$13),15-13*ORÇAMENTO!$AF$7)/$H541*OFFSET(ORÇAMENTO!$X$15,ROW(AE541)-ROW(AE$15),0),
ROUND(ROUND(OFFSET($P541,0,AE$13),15-13*ORÇAMENTO!$AF$7)*OFFSET(ORÇAMENTO!$W$15,ROW(AE541)-ROW(AE$15),0),15-13*ORÇAMENTO!$AF$11)),0)</f>
        <v>0</v>
      </c>
      <c r="AF541" s="545">
        <f ca="1">IF(AND($D541="Serviço",AF$12&lt;&gt;0,$H541&gt;0,OR(AUTOEVENTO&lt;&gt;"manual",$M541&lt;&gt;1)),
IF(Import.TipoArredondamento&lt;&gt;"TransfereGOV",
ROUND(OFFSET($P541,0,AF$13),15-13*ORÇAMENTO!$AF$7)/$H541*OFFSET(ORÇAMENTO!$X$15,ROW(AF541)-ROW(AF$15),0),
ROUND(ROUND(OFFSET($P541,0,AF$13),15-13*ORÇAMENTO!$AF$7)*OFFSET(ORÇAMENTO!$W$15,ROW(AF541)-ROW(AF$15),0),15-13*ORÇAMENTO!$AF$11)),0)</f>
        <v>0</v>
      </c>
      <c r="AG541" s="545">
        <f ca="1">IF(AND($D541="Serviço",AG$12&lt;&gt;0,$H541&gt;0,OR(AUTOEVENTO&lt;&gt;"manual",$M541&lt;&gt;1)),
IF(Import.TipoArredondamento&lt;&gt;"TransfereGOV",
ROUND(OFFSET($P541,0,AG$13),15-13*ORÇAMENTO!$AF$7)/$H541*OFFSET(ORÇAMENTO!$X$15,ROW(AG541)-ROW(AG$15),0),
ROUND(ROUND(OFFSET($P541,0,AG$13),15-13*ORÇAMENTO!$AF$7)*OFFSET(ORÇAMENTO!$W$15,ROW(AG541)-ROW(AG$15),0),15-13*ORÇAMENTO!$AF$11)),0)</f>
        <v>0</v>
      </c>
      <c r="AH541" s="545">
        <f ca="1">IF(AND($D541="Serviço",AH$12&lt;&gt;0,$H541&gt;0,OR(AUTOEVENTO&lt;&gt;"manual",$M541&lt;&gt;1)),
IF(Import.TipoArredondamento&lt;&gt;"TransfereGOV",
ROUND(OFFSET($P541,0,AH$13),15-13*ORÇAMENTO!$AF$7)/$H541*OFFSET(ORÇAMENTO!$X$15,ROW(AH541)-ROW(AH$15),0),
ROUND(ROUND(OFFSET($P541,0,AH$13),15-13*ORÇAMENTO!$AF$7)*OFFSET(ORÇAMENTO!$W$15,ROW(AH541)-ROW(AH$15),0),15-13*ORÇAMENTO!$AF$11)),0)</f>
        <v>0</v>
      </c>
      <c r="AI541" s="545">
        <f ca="1">IF(AND($D541="Serviço",AI$12&lt;&gt;0,$H541&gt;0,OR(AUTOEVENTO&lt;&gt;"manual",$M541&lt;&gt;1)),
IF(Import.TipoArredondamento&lt;&gt;"TransfereGOV",
ROUND(OFFSET($P541,0,AI$13),15-13*ORÇAMENTO!$AF$7)/$H541*OFFSET(ORÇAMENTO!$X$15,ROW(AI541)-ROW(AI$15),0),
ROUND(ROUND(OFFSET($P541,0,AI$13),15-13*ORÇAMENTO!$AF$7)*OFFSET(ORÇAMENTO!$W$15,ROW(AI541)-ROW(AI$15),0),15-13*ORÇAMENTO!$AF$11)),0)</f>
        <v>0</v>
      </c>
      <c r="AJ541" s="545">
        <f ca="1">IF(AND($D541="Serviço",AJ$12&lt;&gt;0,$H541&gt;0,OR(AUTOEVENTO&lt;&gt;"manual",$M541&lt;&gt;1)),
IF(Import.TipoArredondamento&lt;&gt;"TransfereGOV",
ROUND(OFFSET($P541,0,AJ$13),15-13*ORÇAMENTO!$AF$7)/$H541*OFFSET(ORÇAMENTO!$X$15,ROW(AJ541)-ROW(AJ$15),0),
ROUND(ROUND(OFFSET($P541,0,AJ$13),15-13*ORÇAMENTO!$AF$7)*OFFSET(ORÇAMENTO!$W$15,ROW(AJ541)-ROW(AJ$15),0),15-13*ORÇAMENTO!$AF$11)),0)</f>
        <v>0</v>
      </c>
      <c r="AK541" s="546">
        <f ca="1">IF(AND($D541="Serviço",AK$12&lt;&gt;0,$H541&gt;0,OR(AUTOEVENTO&lt;&gt;"manual",$M541&lt;&gt;1)),
IF(Import.TipoArredondamento&lt;&gt;"TransfereGOV",
ROUND(OFFSET($P541,0,AK$13),15-13*ORÇAMENTO!$AF$7)/$H541*OFFSET(ORÇAMENTO!$X$15,ROW(AK541)-ROW(AK$15),0),
ROUND(ROUND(OFFSET($P541,0,AK$13),15-13*ORÇAMENTO!$AF$7)*OFFSET(ORÇAMENTO!$W$15,ROW(AK541)-ROW(AK$15),0),15-13*ORÇAMENTO!$AF$11)),0)</f>
        <v>0</v>
      </c>
      <c r="AM541" s="181">
        <f ca="1">IF($D541&lt;&gt;"Serviço",0,IF(AND(AUTOEVENTO="Manual",$M541=1),0,IF(OFFSET(CRONOPLE!$F$14,$M541,AM$13)="",10^12,OFFSET(CRONOPLE!$F$14,$M541,AM$13))))</f>
        <v>1000000000000</v>
      </c>
      <c r="AN541" s="181">
        <f ca="1">IF($D541&lt;&gt;"Serviço",0,IF(AND(AUTOEVENTO="Manual",$M541=1),0,IF(OFFSET(CRONOPLE!$F$14,$M541,AN$13)="",10^12,OFFSET(CRONOPLE!$F$14,$M541,AN$13))))</f>
        <v>1000000000000</v>
      </c>
      <c r="AO541" s="181">
        <f ca="1">IF($D541&lt;&gt;"Serviço",0,IF(AND(AUTOEVENTO="Manual",$M541=1),0,IF(OFFSET(CRONOPLE!$F$14,$M541,AO$13)="",10^12,OFFSET(CRONOPLE!$F$14,$M541,AO$13))))</f>
        <v>1000000000000</v>
      </c>
      <c r="AP541" s="181">
        <f ca="1">IF($D541&lt;&gt;"Serviço",0,IF(AND(AUTOEVENTO="Manual",$M541=1),0,IF(OFFSET(CRONOPLE!$F$14,$M541,AP$13)="",10^12,OFFSET(CRONOPLE!$F$14,$M541,AP$13))))</f>
        <v>1000000000000</v>
      </c>
      <c r="AQ541" s="181">
        <f ca="1">IF($D541&lt;&gt;"Serviço",0,IF(AND(AUTOEVENTO="Manual",$M541=1),0,IF(OFFSET(CRONOPLE!$F$14,$M541,AQ$13)="",10^12,OFFSET(CRONOPLE!$F$14,$M541,AQ$13))))</f>
        <v>1000000000000</v>
      </c>
      <c r="AR541" s="181">
        <f ca="1">IF($D541&lt;&gt;"Serviço",0,IF(AND(AUTOEVENTO="Manual",$M541=1),0,IF(OFFSET(CRONOPLE!$F$14,$M541,AR$13)="",10^12,OFFSET(CRONOPLE!$F$14,$M541,AR$13))))</f>
        <v>1000000000000</v>
      </c>
      <c r="AS541" s="181">
        <f ca="1">IF($D541&lt;&gt;"Serviço",0,IF(AND(AUTOEVENTO="Manual",$M541=1),0,IF(OFFSET(CRONOPLE!$F$14,$M541,AS$13)="",10^12,OFFSET(CRONOPLE!$F$14,$M541,AS$13))))</f>
        <v>1000000000000</v>
      </c>
      <c r="AT541" s="181">
        <f ca="1">IF($D541&lt;&gt;"Serviço",0,IF(AND(AUTOEVENTO="Manual",$M541=1),0,IF(OFFSET(CRONOPLE!$F$14,$M541,AT$13)="",10^12,OFFSET(CRONOPLE!$F$14,$M541,AT$13))))</f>
        <v>1000000000000</v>
      </c>
      <c r="AU541" s="181">
        <f ca="1">IF($D541&lt;&gt;"Serviço",0,IF(AND(AUTOEVENTO="Manual",$M541=1),0,IF(OFFSET(CRONOPLE!$F$14,$M541,AU$13)="",10^12,OFFSET(CRONOPLE!$F$14,$M541,AU$13))))</f>
        <v>1000000000000</v>
      </c>
      <c r="AV541" s="181">
        <f ca="1">IF($D541&lt;&gt;"Serviço",0,IF(AND(AUTOEVENTO="Manual",$M541=1),0,IF(OFFSET(CRONOPLE!$F$14,$M541,AV$13)="",10^12,OFFSET(CRONOPLE!$F$14,$M541,AV$13))))</f>
        <v>1000000000000</v>
      </c>
      <c r="AX541" s="182">
        <f ca="1">IF($D541&lt;&gt;"Serviço",0,IF(OR(AND(AUTOEVENTO="Manual",$M541=1),$M541&gt;(ROW(PLE.lastrow)-ROW(PLE.firstrow))),0,IF(OFFSET(PLE!$G$14,$M541,AX$13)="",10^12,OFFSET(PLE!$G$14,$M541,AX$13))))</f>
        <v>1000000000000</v>
      </c>
      <c r="AY541" s="182">
        <f ca="1">IF($D541&lt;&gt;"Serviço",0,IF(OR(AND(AUTOEVENTO="Manual",$M541=1),$M541&gt;(ROW(PLE.lastrow)-ROW(PLE.firstrow))),0,IF(OFFSET(PLE!$G$14,$M541,AY$13)="",10^12,OFFSET(PLE!$G$14,$M541,AY$13))))</f>
        <v>1000000000000</v>
      </c>
      <c r="AZ541" s="182">
        <f ca="1">IF($D541&lt;&gt;"Serviço",0,IF(OR(AND(AUTOEVENTO="Manual",$M541=1),$M541&gt;(ROW(PLE.lastrow)-ROW(PLE.firstrow))),0,IF(OFFSET(PLE!$G$14,$M541,AZ$13)="",10^12,OFFSET(PLE!$G$14,$M541,AZ$13))))</f>
        <v>1000000000000</v>
      </c>
      <c r="BA541" s="182">
        <f ca="1">IF($D541&lt;&gt;"Serviço",0,IF(OR(AND(AUTOEVENTO="Manual",$M541=1),$M541&gt;(ROW(PLE.lastrow)-ROW(PLE.firstrow))),0,IF(OFFSET(PLE!$G$14,$M541,BA$13)="",10^12,OFFSET(PLE!$G$14,$M541,BA$13))))</f>
        <v>1000000000000</v>
      </c>
      <c r="BB541" s="182">
        <f ca="1">IF($D541&lt;&gt;"Serviço",0,IF(OR(AND(AUTOEVENTO="Manual",$M541=1),$M541&gt;(ROW(PLE.lastrow)-ROW(PLE.firstrow))),0,IF(OFFSET(PLE!$G$14,$M541,BB$13)="",10^12,OFFSET(PLE!$G$14,$M541,BB$13))))</f>
        <v>1000000000000</v>
      </c>
      <c r="BC541" s="182">
        <f ca="1">IF($D541&lt;&gt;"Serviço",0,IF(OR(AND(AUTOEVENTO="Manual",$M541=1),$M541&gt;(ROW(PLE.lastrow)-ROW(PLE.firstrow))),0,IF(OFFSET(PLE!$G$14,$M541,BC$13)="",10^12,OFFSET(PLE!$G$14,$M541,BC$13))))</f>
        <v>1000000000000</v>
      </c>
      <c r="BD541" s="182">
        <f ca="1">IF($D541&lt;&gt;"Serviço",0,IF(OR(AND(AUTOEVENTO="Manual",$M541=1),$M541&gt;(ROW(PLE.lastrow)-ROW(PLE.firstrow))),0,IF(OFFSET(PLE!$G$14,$M541,BD$13)="",10^12,OFFSET(PLE!$G$14,$M541,BD$13))))</f>
        <v>1000000000000</v>
      </c>
      <c r="BE541" s="182">
        <f ca="1">IF($D541&lt;&gt;"Serviço",0,IF(OR(AND(AUTOEVENTO="Manual",$M541=1),$M541&gt;(ROW(PLE.lastrow)-ROW(PLE.firstrow))),0,IF(OFFSET(PLE!$G$14,$M541,BE$13)="",10^12,OFFSET(PLE!$G$14,$M541,BE$13))))</f>
        <v>1000000000000</v>
      </c>
      <c r="BF541" s="182">
        <f ca="1">IF($D541&lt;&gt;"Serviço",0,IF(OR(AND(AUTOEVENTO="Manual",$M541=1),$M541&gt;(ROW(PLE.lastrow)-ROW(PLE.firstrow))),0,IF(OFFSET(PLE!$G$14,$M541,BF$13)="",10^12,OFFSET(PLE!$G$14,$M541,BF$13))))</f>
        <v>1000000000000</v>
      </c>
      <c r="BG541" s="182">
        <f ca="1">IF($D541&lt;&gt;"Serviço",0,IF(OR(AND(AUTOEVENTO="Manual",$M541=1),$M541&gt;(ROW(PLE.lastrow)-ROW(PLE.firstrow))),0,IF(OFFSET(PLE!$G$14,$M541,BG$13)="",10^12,OFFSET(PLE!$G$14,$M541,BG$13))))</f>
        <v>1000000000000</v>
      </c>
    </row>
    <row r="542" spans="1:59" ht="25.5" x14ac:dyDescent="0.2">
      <c r="A542" s="7" t="str">
        <f t="shared" ca="1" si="15"/>
        <v>472</v>
      </c>
      <c r="B542" s="7" t="str">
        <f ca="1">OFFSET(ORÇAMENTO!C$15,ROW(B542)-ROW(B$15),0)</f>
        <v>S</v>
      </c>
      <c r="C542" s="7" t="str">
        <f ca="1">OFFSET(ORÇAMENTO!L$15,ROW(C542)-ROW(C$15),0)</f>
        <v/>
      </c>
      <c r="D542" s="118" t="str">
        <f ca="1">OFFSET(ORÇAMENTO!N$15,ROW(D542)-ROW(D$15),0)</f>
        <v>Serviço</v>
      </c>
      <c r="E542" s="119" t="str">
        <f ca="1">OFFSET(ORÇAMENTO!O$15,ROW(E542)-ROW(E$15),0)</f>
        <v>-</v>
      </c>
      <c r="F542" s="172" t="str">
        <f ca="1">OFFSET(ORÇAMENTO!R$15,ROW(F542)-ROW(F$15),0)</f>
        <v>(abra o arquivo 'Referência 02-2025.xlsm)</v>
      </c>
      <c r="G542" s="173" t="str">
        <f ca="1">IF($D542&lt;&gt;"Serviço","",OFFSET(ORÇAMENTO!S$15,ROW(G542)-ROW(G$15),0))</f>
        <v>-</v>
      </c>
      <c r="H542" s="124">
        <f ca="1">IF($D542&lt;&gt;"Serviço",0,IF(ACOMPANHAMENTO="BM",ROUND(OFFSET(ORÇAMENTO!AJ$15,ROW(H542)-ROW(H$15),0),15-13*ORÇAMENTO!$AF$7),SUMPRODUCT(($Q$12:$AA$12&lt;&gt;"")*ROUND($Q542:$AA542,15-13*ORÇAMENTO!$AF$7))))</f>
        <v>4</v>
      </c>
      <c r="I542" s="561" t="s">
        <v>890</v>
      </c>
      <c r="K542" s="174"/>
      <c r="L542" s="175" t="s">
        <v>255</v>
      </c>
      <c r="M542" s="176">
        <f ca="1">IF($D542&lt;&gt;"Serviço","",IF(AUTOEVENTO="manual",$A542,IF(ISERROR(MATCH($A542,$A$15:OFFSET($A542,-1,0),0)),MAX($M$15:OFFSET(M542,-1,0))+1,INDEX($M$15:OFFSET(M542,-1,0),MATCH($A542,$A$15:OFFSET($A542,-1,0),0)))))</f>
        <v>18</v>
      </c>
      <c r="N542" s="177" t="str">
        <f ca="1">IF($D542&lt;&gt;"Serviço","",IF(AUTOEVENTO="Manual",IF($A542=0,"&lt;-- defina o número do agrupador",OFFSET(EVENTOS!$D$14,$A542,0)),OFFSET($F$15,$A542,0)))</f>
        <v>INSTALAÇÕES ELÉTRICAS - 220V</v>
      </c>
      <c r="O542" s="178"/>
      <c r="Q542" s="178"/>
      <c r="R542" s="179"/>
      <c r="S542" s="179"/>
      <c r="T542" s="179"/>
      <c r="U542" s="179"/>
      <c r="V542" s="179"/>
      <c r="W542" s="179"/>
      <c r="X542" s="179"/>
      <c r="Y542" s="179"/>
      <c r="Z542" s="180"/>
      <c r="AB542" s="544">
        <f ca="1">IF(AND($D542="Serviço",AB$12&lt;&gt;0,$H542&gt;0,OR(AUTOEVENTO&lt;&gt;"manual",$M542&lt;&gt;1)),
IF(Import.TipoArredondamento&lt;&gt;"TransfereGOV",
ROUND(OFFSET($P542,0,AB$13),15-13*ORÇAMENTO!$AF$7)/$H542*OFFSET(ORÇAMENTO!$X$15,ROW(AB542)-ROW(AB$15),0),
ROUND(ROUND(OFFSET($P542,0,AB$13),15-13*ORÇAMENTO!$AF$7)*OFFSET(ORÇAMENTO!$W$15,ROW(AB542)-ROW(AB$15),0),15-13*ORÇAMENTO!$AF$11)),0)</f>
        <v>0</v>
      </c>
      <c r="AC542" s="545">
        <f ca="1">IF(AND($D542="Serviço",AC$12&lt;&gt;0,$H542&gt;0,OR(AUTOEVENTO&lt;&gt;"manual",$M542&lt;&gt;1)),
IF(Import.TipoArredondamento&lt;&gt;"TransfereGOV",
ROUND(OFFSET($P542,0,AC$13),15-13*ORÇAMENTO!$AF$7)/$H542*OFFSET(ORÇAMENTO!$X$15,ROW(AC542)-ROW(AC$15),0),
ROUND(ROUND(OFFSET($P542,0,AC$13),15-13*ORÇAMENTO!$AF$7)*OFFSET(ORÇAMENTO!$W$15,ROW(AC542)-ROW(AC$15),0),15-13*ORÇAMENTO!$AF$11)),0)</f>
        <v>0</v>
      </c>
      <c r="AD542" s="545">
        <f ca="1">IF(AND($D542="Serviço",AD$12&lt;&gt;0,$H542&gt;0,OR(AUTOEVENTO&lt;&gt;"manual",$M542&lt;&gt;1)),
IF(Import.TipoArredondamento&lt;&gt;"TransfereGOV",
ROUND(OFFSET($P542,0,AD$13),15-13*ORÇAMENTO!$AF$7)/$H542*OFFSET(ORÇAMENTO!$X$15,ROW(AD542)-ROW(AD$15),0),
ROUND(ROUND(OFFSET($P542,0,AD$13),15-13*ORÇAMENTO!$AF$7)*OFFSET(ORÇAMENTO!$W$15,ROW(AD542)-ROW(AD$15),0),15-13*ORÇAMENTO!$AF$11)),0)</f>
        <v>0</v>
      </c>
      <c r="AE542" s="545">
        <f ca="1">IF(AND($D542="Serviço",AE$12&lt;&gt;0,$H542&gt;0,OR(AUTOEVENTO&lt;&gt;"manual",$M542&lt;&gt;1)),
IF(Import.TipoArredondamento&lt;&gt;"TransfereGOV",
ROUND(OFFSET($P542,0,AE$13),15-13*ORÇAMENTO!$AF$7)/$H542*OFFSET(ORÇAMENTO!$X$15,ROW(AE542)-ROW(AE$15),0),
ROUND(ROUND(OFFSET($P542,0,AE$13),15-13*ORÇAMENTO!$AF$7)*OFFSET(ORÇAMENTO!$W$15,ROW(AE542)-ROW(AE$15),0),15-13*ORÇAMENTO!$AF$11)),0)</f>
        <v>0</v>
      </c>
      <c r="AF542" s="545">
        <f ca="1">IF(AND($D542="Serviço",AF$12&lt;&gt;0,$H542&gt;0,OR(AUTOEVENTO&lt;&gt;"manual",$M542&lt;&gt;1)),
IF(Import.TipoArredondamento&lt;&gt;"TransfereGOV",
ROUND(OFFSET($P542,0,AF$13),15-13*ORÇAMENTO!$AF$7)/$H542*OFFSET(ORÇAMENTO!$X$15,ROW(AF542)-ROW(AF$15),0),
ROUND(ROUND(OFFSET($P542,0,AF$13),15-13*ORÇAMENTO!$AF$7)*OFFSET(ORÇAMENTO!$W$15,ROW(AF542)-ROW(AF$15),0),15-13*ORÇAMENTO!$AF$11)),0)</f>
        <v>0</v>
      </c>
      <c r="AG542" s="545">
        <f ca="1">IF(AND($D542="Serviço",AG$12&lt;&gt;0,$H542&gt;0,OR(AUTOEVENTO&lt;&gt;"manual",$M542&lt;&gt;1)),
IF(Import.TipoArredondamento&lt;&gt;"TransfereGOV",
ROUND(OFFSET($P542,0,AG$13),15-13*ORÇAMENTO!$AF$7)/$H542*OFFSET(ORÇAMENTO!$X$15,ROW(AG542)-ROW(AG$15),0),
ROUND(ROUND(OFFSET($P542,0,AG$13),15-13*ORÇAMENTO!$AF$7)*OFFSET(ORÇAMENTO!$W$15,ROW(AG542)-ROW(AG$15),0),15-13*ORÇAMENTO!$AF$11)),0)</f>
        <v>0</v>
      </c>
      <c r="AH542" s="545">
        <f ca="1">IF(AND($D542="Serviço",AH$12&lt;&gt;0,$H542&gt;0,OR(AUTOEVENTO&lt;&gt;"manual",$M542&lt;&gt;1)),
IF(Import.TipoArredondamento&lt;&gt;"TransfereGOV",
ROUND(OFFSET($P542,0,AH$13),15-13*ORÇAMENTO!$AF$7)/$H542*OFFSET(ORÇAMENTO!$X$15,ROW(AH542)-ROW(AH$15),0),
ROUND(ROUND(OFFSET($P542,0,AH$13),15-13*ORÇAMENTO!$AF$7)*OFFSET(ORÇAMENTO!$W$15,ROW(AH542)-ROW(AH$15),0),15-13*ORÇAMENTO!$AF$11)),0)</f>
        <v>0</v>
      </c>
      <c r="AI542" s="545">
        <f ca="1">IF(AND($D542="Serviço",AI$12&lt;&gt;0,$H542&gt;0,OR(AUTOEVENTO&lt;&gt;"manual",$M542&lt;&gt;1)),
IF(Import.TipoArredondamento&lt;&gt;"TransfereGOV",
ROUND(OFFSET($P542,0,AI$13),15-13*ORÇAMENTO!$AF$7)/$H542*OFFSET(ORÇAMENTO!$X$15,ROW(AI542)-ROW(AI$15),0),
ROUND(ROUND(OFFSET($P542,0,AI$13),15-13*ORÇAMENTO!$AF$7)*OFFSET(ORÇAMENTO!$W$15,ROW(AI542)-ROW(AI$15),0),15-13*ORÇAMENTO!$AF$11)),0)</f>
        <v>0</v>
      </c>
      <c r="AJ542" s="545">
        <f ca="1">IF(AND($D542="Serviço",AJ$12&lt;&gt;0,$H542&gt;0,OR(AUTOEVENTO&lt;&gt;"manual",$M542&lt;&gt;1)),
IF(Import.TipoArredondamento&lt;&gt;"TransfereGOV",
ROUND(OFFSET($P542,0,AJ$13),15-13*ORÇAMENTO!$AF$7)/$H542*OFFSET(ORÇAMENTO!$X$15,ROW(AJ542)-ROW(AJ$15),0),
ROUND(ROUND(OFFSET($P542,0,AJ$13),15-13*ORÇAMENTO!$AF$7)*OFFSET(ORÇAMENTO!$W$15,ROW(AJ542)-ROW(AJ$15),0),15-13*ORÇAMENTO!$AF$11)),0)</f>
        <v>0</v>
      </c>
      <c r="AK542" s="546">
        <f ca="1">IF(AND($D542="Serviço",AK$12&lt;&gt;0,$H542&gt;0,OR(AUTOEVENTO&lt;&gt;"manual",$M542&lt;&gt;1)),
IF(Import.TipoArredondamento&lt;&gt;"TransfereGOV",
ROUND(OFFSET($P542,0,AK$13),15-13*ORÇAMENTO!$AF$7)/$H542*OFFSET(ORÇAMENTO!$X$15,ROW(AK542)-ROW(AK$15),0),
ROUND(ROUND(OFFSET($P542,0,AK$13),15-13*ORÇAMENTO!$AF$7)*OFFSET(ORÇAMENTO!$W$15,ROW(AK542)-ROW(AK$15),0),15-13*ORÇAMENTO!$AF$11)),0)</f>
        <v>0</v>
      </c>
      <c r="AM542" s="181">
        <f ca="1">IF($D542&lt;&gt;"Serviço",0,IF(AND(AUTOEVENTO="Manual",$M542=1),0,IF(OFFSET(CRONOPLE!$F$14,$M542,AM$13)="",10^12,OFFSET(CRONOPLE!$F$14,$M542,AM$13))))</f>
        <v>1000000000000</v>
      </c>
      <c r="AN542" s="181">
        <f ca="1">IF($D542&lt;&gt;"Serviço",0,IF(AND(AUTOEVENTO="Manual",$M542=1),0,IF(OFFSET(CRONOPLE!$F$14,$M542,AN$13)="",10^12,OFFSET(CRONOPLE!$F$14,$M542,AN$13))))</f>
        <v>1000000000000</v>
      </c>
      <c r="AO542" s="181">
        <f ca="1">IF($D542&lt;&gt;"Serviço",0,IF(AND(AUTOEVENTO="Manual",$M542=1),0,IF(OFFSET(CRONOPLE!$F$14,$M542,AO$13)="",10^12,OFFSET(CRONOPLE!$F$14,$M542,AO$13))))</f>
        <v>1000000000000</v>
      </c>
      <c r="AP542" s="181">
        <f ca="1">IF($D542&lt;&gt;"Serviço",0,IF(AND(AUTOEVENTO="Manual",$M542=1),0,IF(OFFSET(CRONOPLE!$F$14,$M542,AP$13)="",10^12,OFFSET(CRONOPLE!$F$14,$M542,AP$13))))</f>
        <v>1000000000000</v>
      </c>
      <c r="AQ542" s="181">
        <f ca="1">IF($D542&lt;&gt;"Serviço",0,IF(AND(AUTOEVENTO="Manual",$M542=1),0,IF(OFFSET(CRONOPLE!$F$14,$M542,AQ$13)="",10^12,OFFSET(CRONOPLE!$F$14,$M542,AQ$13))))</f>
        <v>1000000000000</v>
      </c>
      <c r="AR542" s="181">
        <f ca="1">IF($D542&lt;&gt;"Serviço",0,IF(AND(AUTOEVENTO="Manual",$M542=1),0,IF(OFFSET(CRONOPLE!$F$14,$M542,AR$13)="",10^12,OFFSET(CRONOPLE!$F$14,$M542,AR$13))))</f>
        <v>1000000000000</v>
      </c>
      <c r="AS542" s="181">
        <f ca="1">IF($D542&lt;&gt;"Serviço",0,IF(AND(AUTOEVENTO="Manual",$M542=1),0,IF(OFFSET(CRONOPLE!$F$14,$M542,AS$13)="",10^12,OFFSET(CRONOPLE!$F$14,$M542,AS$13))))</f>
        <v>1000000000000</v>
      </c>
      <c r="AT542" s="181">
        <f ca="1">IF($D542&lt;&gt;"Serviço",0,IF(AND(AUTOEVENTO="Manual",$M542=1),0,IF(OFFSET(CRONOPLE!$F$14,$M542,AT$13)="",10^12,OFFSET(CRONOPLE!$F$14,$M542,AT$13))))</f>
        <v>1000000000000</v>
      </c>
      <c r="AU542" s="181">
        <f ca="1">IF($D542&lt;&gt;"Serviço",0,IF(AND(AUTOEVENTO="Manual",$M542=1),0,IF(OFFSET(CRONOPLE!$F$14,$M542,AU$13)="",10^12,OFFSET(CRONOPLE!$F$14,$M542,AU$13))))</f>
        <v>1000000000000</v>
      </c>
      <c r="AV542" s="181">
        <f ca="1">IF($D542&lt;&gt;"Serviço",0,IF(AND(AUTOEVENTO="Manual",$M542=1),0,IF(OFFSET(CRONOPLE!$F$14,$M542,AV$13)="",10^12,OFFSET(CRONOPLE!$F$14,$M542,AV$13))))</f>
        <v>1000000000000</v>
      </c>
      <c r="AX542" s="182">
        <f ca="1">IF($D542&lt;&gt;"Serviço",0,IF(OR(AND(AUTOEVENTO="Manual",$M542=1),$M542&gt;(ROW(PLE.lastrow)-ROW(PLE.firstrow))),0,IF(OFFSET(PLE!$G$14,$M542,AX$13)="",10^12,OFFSET(PLE!$G$14,$M542,AX$13))))</f>
        <v>1000000000000</v>
      </c>
      <c r="AY542" s="182">
        <f ca="1">IF($D542&lt;&gt;"Serviço",0,IF(OR(AND(AUTOEVENTO="Manual",$M542=1),$M542&gt;(ROW(PLE.lastrow)-ROW(PLE.firstrow))),0,IF(OFFSET(PLE!$G$14,$M542,AY$13)="",10^12,OFFSET(PLE!$G$14,$M542,AY$13))))</f>
        <v>1000000000000</v>
      </c>
      <c r="AZ542" s="182">
        <f ca="1">IF($D542&lt;&gt;"Serviço",0,IF(OR(AND(AUTOEVENTO="Manual",$M542=1),$M542&gt;(ROW(PLE.lastrow)-ROW(PLE.firstrow))),0,IF(OFFSET(PLE!$G$14,$M542,AZ$13)="",10^12,OFFSET(PLE!$G$14,$M542,AZ$13))))</f>
        <v>1000000000000</v>
      </c>
      <c r="BA542" s="182">
        <f ca="1">IF($D542&lt;&gt;"Serviço",0,IF(OR(AND(AUTOEVENTO="Manual",$M542=1),$M542&gt;(ROW(PLE.lastrow)-ROW(PLE.firstrow))),0,IF(OFFSET(PLE!$G$14,$M542,BA$13)="",10^12,OFFSET(PLE!$G$14,$M542,BA$13))))</f>
        <v>1000000000000</v>
      </c>
      <c r="BB542" s="182">
        <f ca="1">IF($D542&lt;&gt;"Serviço",0,IF(OR(AND(AUTOEVENTO="Manual",$M542=1),$M542&gt;(ROW(PLE.lastrow)-ROW(PLE.firstrow))),0,IF(OFFSET(PLE!$G$14,$M542,BB$13)="",10^12,OFFSET(PLE!$G$14,$M542,BB$13))))</f>
        <v>1000000000000</v>
      </c>
      <c r="BC542" s="182">
        <f ca="1">IF($D542&lt;&gt;"Serviço",0,IF(OR(AND(AUTOEVENTO="Manual",$M542=1),$M542&gt;(ROW(PLE.lastrow)-ROW(PLE.firstrow))),0,IF(OFFSET(PLE!$G$14,$M542,BC$13)="",10^12,OFFSET(PLE!$G$14,$M542,BC$13))))</f>
        <v>1000000000000</v>
      </c>
      <c r="BD542" s="182">
        <f ca="1">IF($D542&lt;&gt;"Serviço",0,IF(OR(AND(AUTOEVENTO="Manual",$M542=1),$M542&gt;(ROW(PLE.lastrow)-ROW(PLE.firstrow))),0,IF(OFFSET(PLE!$G$14,$M542,BD$13)="",10^12,OFFSET(PLE!$G$14,$M542,BD$13))))</f>
        <v>1000000000000</v>
      </c>
      <c r="BE542" s="182">
        <f ca="1">IF($D542&lt;&gt;"Serviço",0,IF(OR(AND(AUTOEVENTO="Manual",$M542=1),$M542&gt;(ROW(PLE.lastrow)-ROW(PLE.firstrow))),0,IF(OFFSET(PLE!$G$14,$M542,BE$13)="",10^12,OFFSET(PLE!$G$14,$M542,BE$13))))</f>
        <v>1000000000000</v>
      </c>
      <c r="BF542" s="182">
        <f ca="1">IF($D542&lt;&gt;"Serviço",0,IF(OR(AND(AUTOEVENTO="Manual",$M542=1),$M542&gt;(ROW(PLE.lastrow)-ROW(PLE.firstrow))),0,IF(OFFSET(PLE!$G$14,$M542,BF$13)="",10^12,OFFSET(PLE!$G$14,$M542,BF$13))))</f>
        <v>1000000000000</v>
      </c>
      <c r="BG542" s="182">
        <f ca="1">IF($D542&lt;&gt;"Serviço",0,IF(OR(AND(AUTOEVENTO="Manual",$M542=1),$M542&gt;(ROW(PLE.lastrow)-ROW(PLE.firstrow))),0,IF(OFFSET(PLE!$G$14,$M542,BG$13)="",10^12,OFFSET(PLE!$G$14,$M542,BG$13))))</f>
        <v>1000000000000</v>
      </c>
    </row>
    <row r="543" spans="1:59" ht="25.5" x14ac:dyDescent="0.2">
      <c r="A543" s="7" t="str">
        <f t="shared" ca="1" si="15"/>
        <v>472</v>
      </c>
      <c r="B543" s="7" t="str">
        <f ca="1">OFFSET(ORÇAMENTO!C$15,ROW(B543)-ROW(B$15),0)</f>
        <v>S</v>
      </c>
      <c r="C543" s="7" t="str">
        <f ca="1">OFFSET(ORÇAMENTO!L$15,ROW(C543)-ROW(C$15),0)</f>
        <v/>
      </c>
      <c r="D543" s="118" t="str">
        <f ca="1">OFFSET(ORÇAMENTO!N$15,ROW(D543)-ROW(D$15),0)</f>
        <v>Serviço</v>
      </c>
      <c r="E543" s="119" t="str">
        <f ca="1">OFFSET(ORÇAMENTO!O$15,ROW(E543)-ROW(E$15),0)</f>
        <v>-</v>
      </c>
      <c r="F543" s="172" t="str">
        <f ca="1">OFFSET(ORÇAMENTO!R$15,ROW(F543)-ROW(F$15),0)</f>
        <v>(abra o arquivo 'Referência 02-2025.xlsm)</v>
      </c>
      <c r="G543" s="173" t="str">
        <f ca="1">IF($D543&lt;&gt;"Serviço","",OFFSET(ORÇAMENTO!S$15,ROW(G543)-ROW(G$15),0))</f>
        <v>-</v>
      </c>
      <c r="H543" s="124">
        <f ca="1">IF($D543&lt;&gt;"Serviço",0,IF(ACOMPANHAMENTO="BM",ROUND(OFFSET(ORÇAMENTO!AJ$15,ROW(H543)-ROW(H$15),0),15-13*ORÇAMENTO!$AF$7),SUMPRODUCT(($Q$12:$AA$12&lt;&gt;"")*ROUND($Q543:$AA543,15-13*ORÇAMENTO!$AF$7))))</f>
        <v>1</v>
      </c>
      <c r="I543" s="561" t="s">
        <v>890</v>
      </c>
      <c r="K543" s="174"/>
      <c r="L543" s="175" t="s">
        <v>255</v>
      </c>
      <c r="M543" s="176">
        <f ca="1">IF($D543&lt;&gt;"Serviço","",IF(AUTOEVENTO="manual",$A543,IF(ISERROR(MATCH($A543,$A$15:OFFSET($A543,-1,0),0)),MAX($M$15:OFFSET(M543,-1,0))+1,INDEX($M$15:OFFSET(M543,-1,0),MATCH($A543,$A$15:OFFSET($A543,-1,0),0)))))</f>
        <v>18</v>
      </c>
      <c r="N543" s="177" t="str">
        <f ca="1">IF($D543&lt;&gt;"Serviço","",IF(AUTOEVENTO="Manual",IF($A543=0,"&lt;-- defina o número do agrupador",OFFSET(EVENTOS!$D$14,$A543,0)),OFFSET($F$15,$A543,0)))</f>
        <v>INSTALAÇÕES ELÉTRICAS - 220V</v>
      </c>
      <c r="O543" s="178"/>
      <c r="Q543" s="178"/>
      <c r="R543" s="179"/>
      <c r="S543" s="179"/>
      <c r="T543" s="179"/>
      <c r="U543" s="179"/>
      <c r="V543" s="179"/>
      <c r="W543" s="179"/>
      <c r="X543" s="179"/>
      <c r="Y543" s="179"/>
      <c r="Z543" s="180"/>
      <c r="AB543" s="544">
        <f ca="1">IF(AND($D543="Serviço",AB$12&lt;&gt;0,$H543&gt;0,OR(AUTOEVENTO&lt;&gt;"manual",$M543&lt;&gt;1)),
IF(Import.TipoArredondamento&lt;&gt;"TransfereGOV",
ROUND(OFFSET($P543,0,AB$13),15-13*ORÇAMENTO!$AF$7)/$H543*OFFSET(ORÇAMENTO!$X$15,ROW(AB543)-ROW(AB$15),0),
ROUND(ROUND(OFFSET($P543,0,AB$13),15-13*ORÇAMENTO!$AF$7)*OFFSET(ORÇAMENTO!$W$15,ROW(AB543)-ROW(AB$15),0),15-13*ORÇAMENTO!$AF$11)),0)</f>
        <v>0</v>
      </c>
      <c r="AC543" s="545">
        <f ca="1">IF(AND($D543="Serviço",AC$12&lt;&gt;0,$H543&gt;0,OR(AUTOEVENTO&lt;&gt;"manual",$M543&lt;&gt;1)),
IF(Import.TipoArredondamento&lt;&gt;"TransfereGOV",
ROUND(OFFSET($P543,0,AC$13),15-13*ORÇAMENTO!$AF$7)/$H543*OFFSET(ORÇAMENTO!$X$15,ROW(AC543)-ROW(AC$15),0),
ROUND(ROUND(OFFSET($P543,0,AC$13),15-13*ORÇAMENTO!$AF$7)*OFFSET(ORÇAMENTO!$W$15,ROW(AC543)-ROW(AC$15),0),15-13*ORÇAMENTO!$AF$11)),0)</f>
        <v>0</v>
      </c>
      <c r="AD543" s="545">
        <f ca="1">IF(AND($D543="Serviço",AD$12&lt;&gt;0,$H543&gt;0,OR(AUTOEVENTO&lt;&gt;"manual",$M543&lt;&gt;1)),
IF(Import.TipoArredondamento&lt;&gt;"TransfereGOV",
ROUND(OFFSET($P543,0,AD$13),15-13*ORÇAMENTO!$AF$7)/$H543*OFFSET(ORÇAMENTO!$X$15,ROW(AD543)-ROW(AD$15),0),
ROUND(ROUND(OFFSET($P543,0,AD$13),15-13*ORÇAMENTO!$AF$7)*OFFSET(ORÇAMENTO!$W$15,ROW(AD543)-ROW(AD$15),0),15-13*ORÇAMENTO!$AF$11)),0)</f>
        <v>0</v>
      </c>
      <c r="AE543" s="545">
        <f ca="1">IF(AND($D543="Serviço",AE$12&lt;&gt;0,$H543&gt;0,OR(AUTOEVENTO&lt;&gt;"manual",$M543&lt;&gt;1)),
IF(Import.TipoArredondamento&lt;&gt;"TransfereGOV",
ROUND(OFFSET($P543,0,AE$13),15-13*ORÇAMENTO!$AF$7)/$H543*OFFSET(ORÇAMENTO!$X$15,ROW(AE543)-ROW(AE$15),0),
ROUND(ROUND(OFFSET($P543,0,AE$13),15-13*ORÇAMENTO!$AF$7)*OFFSET(ORÇAMENTO!$W$15,ROW(AE543)-ROW(AE$15),0),15-13*ORÇAMENTO!$AF$11)),0)</f>
        <v>0</v>
      </c>
      <c r="AF543" s="545">
        <f ca="1">IF(AND($D543="Serviço",AF$12&lt;&gt;0,$H543&gt;0,OR(AUTOEVENTO&lt;&gt;"manual",$M543&lt;&gt;1)),
IF(Import.TipoArredondamento&lt;&gt;"TransfereGOV",
ROUND(OFFSET($P543,0,AF$13),15-13*ORÇAMENTO!$AF$7)/$H543*OFFSET(ORÇAMENTO!$X$15,ROW(AF543)-ROW(AF$15),0),
ROUND(ROUND(OFFSET($P543,0,AF$13),15-13*ORÇAMENTO!$AF$7)*OFFSET(ORÇAMENTO!$W$15,ROW(AF543)-ROW(AF$15),0),15-13*ORÇAMENTO!$AF$11)),0)</f>
        <v>0</v>
      </c>
      <c r="AG543" s="545">
        <f ca="1">IF(AND($D543="Serviço",AG$12&lt;&gt;0,$H543&gt;0,OR(AUTOEVENTO&lt;&gt;"manual",$M543&lt;&gt;1)),
IF(Import.TipoArredondamento&lt;&gt;"TransfereGOV",
ROUND(OFFSET($P543,0,AG$13),15-13*ORÇAMENTO!$AF$7)/$H543*OFFSET(ORÇAMENTO!$X$15,ROW(AG543)-ROW(AG$15),0),
ROUND(ROUND(OFFSET($P543,0,AG$13),15-13*ORÇAMENTO!$AF$7)*OFFSET(ORÇAMENTO!$W$15,ROW(AG543)-ROW(AG$15),0),15-13*ORÇAMENTO!$AF$11)),0)</f>
        <v>0</v>
      </c>
      <c r="AH543" s="545">
        <f ca="1">IF(AND($D543="Serviço",AH$12&lt;&gt;0,$H543&gt;0,OR(AUTOEVENTO&lt;&gt;"manual",$M543&lt;&gt;1)),
IF(Import.TipoArredondamento&lt;&gt;"TransfereGOV",
ROUND(OFFSET($P543,0,AH$13),15-13*ORÇAMENTO!$AF$7)/$H543*OFFSET(ORÇAMENTO!$X$15,ROW(AH543)-ROW(AH$15),0),
ROUND(ROUND(OFFSET($P543,0,AH$13),15-13*ORÇAMENTO!$AF$7)*OFFSET(ORÇAMENTO!$W$15,ROW(AH543)-ROW(AH$15),0),15-13*ORÇAMENTO!$AF$11)),0)</f>
        <v>0</v>
      </c>
      <c r="AI543" s="545">
        <f ca="1">IF(AND($D543="Serviço",AI$12&lt;&gt;0,$H543&gt;0,OR(AUTOEVENTO&lt;&gt;"manual",$M543&lt;&gt;1)),
IF(Import.TipoArredondamento&lt;&gt;"TransfereGOV",
ROUND(OFFSET($P543,0,AI$13),15-13*ORÇAMENTO!$AF$7)/$H543*OFFSET(ORÇAMENTO!$X$15,ROW(AI543)-ROW(AI$15),0),
ROUND(ROUND(OFFSET($P543,0,AI$13),15-13*ORÇAMENTO!$AF$7)*OFFSET(ORÇAMENTO!$W$15,ROW(AI543)-ROW(AI$15),0),15-13*ORÇAMENTO!$AF$11)),0)</f>
        <v>0</v>
      </c>
      <c r="AJ543" s="545">
        <f ca="1">IF(AND($D543="Serviço",AJ$12&lt;&gt;0,$H543&gt;0,OR(AUTOEVENTO&lt;&gt;"manual",$M543&lt;&gt;1)),
IF(Import.TipoArredondamento&lt;&gt;"TransfereGOV",
ROUND(OFFSET($P543,0,AJ$13),15-13*ORÇAMENTO!$AF$7)/$H543*OFFSET(ORÇAMENTO!$X$15,ROW(AJ543)-ROW(AJ$15),0),
ROUND(ROUND(OFFSET($P543,0,AJ$13),15-13*ORÇAMENTO!$AF$7)*OFFSET(ORÇAMENTO!$W$15,ROW(AJ543)-ROW(AJ$15),0),15-13*ORÇAMENTO!$AF$11)),0)</f>
        <v>0</v>
      </c>
      <c r="AK543" s="546">
        <f ca="1">IF(AND($D543="Serviço",AK$12&lt;&gt;0,$H543&gt;0,OR(AUTOEVENTO&lt;&gt;"manual",$M543&lt;&gt;1)),
IF(Import.TipoArredondamento&lt;&gt;"TransfereGOV",
ROUND(OFFSET($P543,0,AK$13),15-13*ORÇAMENTO!$AF$7)/$H543*OFFSET(ORÇAMENTO!$X$15,ROW(AK543)-ROW(AK$15),0),
ROUND(ROUND(OFFSET($P543,0,AK$13),15-13*ORÇAMENTO!$AF$7)*OFFSET(ORÇAMENTO!$W$15,ROW(AK543)-ROW(AK$15),0),15-13*ORÇAMENTO!$AF$11)),0)</f>
        <v>0</v>
      </c>
      <c r="AM543" s="181">
        <f ca="1">IF($D543&lt;&gt;"Serviço",0,IF(AND(AUTOEVENTO="Manual",$M543=1),0,IF(OFFSET(CRONOPLE!$F$14,$M543,AM$13)="",10^12,OFFSET(CRONOPLE!$F$14,$M543,AM$13))))</f>
        <v>1000000000000</v>
      </c>
      <c r="AN543" s="181">
        <f ca="1">IF($D543&lt;&gt;"Serviço",0,IF(AND(AUTOEVENTO="Manual",$M543=1),0,IF(OFFSET(CRONOPLE!$F$14,$M543,AN$13)="",10^12,OFFSET(CRONOPLE!$F$14,$M543,AN$13))))</f>
        <v>1000000000000</v>
      </c>
      <c r="AO543" s="181">
        <f ca="1">IF($D543&lt;&gt;"Serviço",0,IF(AND(AUTOEVENTO="Manual",$M543=1),0,IF(OFFSET(CRONOPLE!$F$14,$M543,AO$13)="",10^12,OFFSET(CRONOPLE!$F$14,$M543,AO$13))))</f>
        <v>1000000000000</v>
      </c>
      <c r="AP543" s="181">
        <f ca="1">IF($D543&lt;&gt;"Serviço",0,IF(AND(AUTOEVENTO="Manual",$M543=1),0,IF(OFFSET(CRONOPLE!$F$14,$M543,AP$13)="",10^12,OFFSET(CRONOPLE!$F$14,$M543,AP$13))))</f>
        <v>1000000000000</v>
      </c>
      <c r="AQ543" s="181">
        <f ca="1">IF($D543&lt;&gt;"Serviço",0,IF(AND(AUTOEVENTO="Manual",$M543=1),0,IF(OFFSET(CRONOPLE!$F$14,$M543,AQ$13)="",10^12,OFFSET(CRONOPLE!$F$14,$M543,AQ$13))))</f>
        <v>1000000000000</v>
      </c>
      <c r="AR543" s="181">
        <f ca="1">IF($D543&lt;&gt;"Serviço",0,IF(AND(AUTOEVENTO="Manual",$M543=1),0,IF(OFFSET(CRONOPLE!$F$14,$M543,AR$13)="",10^12,OFFSET(CRONOPLE!$F$14,$M543,AR$13))))</f>
        <v>1000000000000</v>
      </c>
      <c r="AS543" s="181">
        <f ca="1">IF($D543&lt;&gt;"Serviço",0,IF(AND(AUTOEVENTO="Manual",$M543=1),0,IF(OFFSET(CRONOPLE!$F$14,$M543,AS$13)="",10^12,OFFSET(CRONOPLE!$F$14,$M543,AS$13))))</f>
        <v>1000000000000</v>
      </c>
      <c r="AT543" s="181">
        <f ca="1">IF($D543&lt;&gt;"Serviço",0,IF(AND(AUTOEVENTO="Manual",$M543=1),0,IF(OFFSET(CRONOPLE!$F$14,$M543,AT$13)="",10^12,OFFSET(CRONOPLE!$F$14,$M543,AT$13))))</f>
        <v>1000000000000</v>
      </c>
      <c r="AU543" s="181">
        <f ca="1">IF($D543&lt;&gt;"Serviço",0,IF(AND(AUTOEVENTO="Manual",$M543=1),0,IF(OFFSET(CRONOPLE!$F$14,$M543,AU$13)="",10^12,OFFSET(CRONOPLE!$F$14,$M543,AU$13))))</f>
        <v>1000000000000</v>
      </c>
      <c r="AV543" s="181">
        <f ca="1">IF($D543&lt;&gt;"Serviço",0,IF(AND(AUTOEVENTO="Manual",$M543=1),0,IF(OFFSET(CRONOPLE!$F$14,$M543,AV$13)="",10^12,OFFSET(CRONOPLE!$F$14,$M543,AV$13))))</f>
        <v>1000000000000</v>
      </c>
      <c r="AX543" s="182">
        <f ca="1">IF($D543&lt;&gt;"Serviço",0,IF(OR(AND(AUTOEVENTO="Manual",$M543=1),$M543&gt;(ROW(PLE.lastrow)-ROW(PLE.firstrow))),0,IF(OFFSET(PLE!$G$14,$M543,AX$13)="",10^12,OFFSET(PLE!$G$14,$M543,AX$13))))</f>
        <v>1000000000000</v>
      </c>
      <c r="AY543" s="182">
        <f ca="1">IF($D543&lt;&gt;"Serviço",0,IF(OR(AND(AUTOEVENTO="Manual",$M543=1),$M543&gt;(ROW(PLE.lastrow)-ROW(PLE.firstrow))),0,IF(OFFSET(PLE!$G$14,$M543,AY$13)="",10^12,OFFSET(PLE!$G$14,$M543,AY$13))))</f>
        <v>1000000000000</v>
      </c>
      <c r="AZ543" s="182">
        <f ca="1">IF($D543&lt;&gt;"Serviço",0,IF(OR(AND(AUTOEVENTO="Manual",$M543=1),$M543&gt;(ROW(PLE.lastrow)-ROW(PLE.firstrow))),0,IF(OFFSET(PLE!$G$14,$M543,AZ$13)="",10^12,OFFSET(PLE!$G$14,$M543,AZ$13))))</f>
        <v>1000000000000</v>
      </c>
      <c r="BA543" s="182">
        <f ca="1">IF($D543&lt;&gt;"Serviço",0,IF(OR(AND(AUTOEVENTO="Manual",$M543=1),$M543&gt;(ROW(PLE.lastrow)-ROW(PLE.firstrow))),0,IF(OFFSET(PLE!$G$14,$M543,BA$13)="",10^12,OFFSET(PLE!$G$14,$M543,BA$13))))</f>
        <v>1000000000000</v>
      </c>
      <c r="BB543" s="182">
        <f ca="1">IF($D543&lt;&gt;"Serviço",0,IF(OR(AND(AUTOEVENTO="Manual",$M543=1),$M543&gt;(ROW(PLE.lastrow)-ROW(PLE.firstrow))),0,IF(OFFSET(PLE!$G$14,$M543,BB$13)="",10^12,OFFSET(PLE!$G$14,$M543,BB$13))))</f>
        <v>1000000000000</v>
      </c>
      <c r="BC543" s="182">
        <f ca="1">IF($D543&lt;&gt;"Serviço",0,IF(OR(AND(AUTOEVENTO="Manual",$M543=1),$M543&gt;(ROW(PLE.lastrow)-ROW(PLE.firstrow))),0,IF(OFFSET(PLE!$G$14,$M543,BC$13)="",10^12,OFFSET(PLE!$G$14,$M543,BC$13))))</f>
        <v>1000000000000</v>
      </c>
      <c r="BD543" s="182">
        <f ca="1">IF($D543&lt;&gt;"Serviço",0,IF(OR(AND(AUTOEVENTO="Manual",$M543=1),$M543&gt;(ROW(PLE.lastrow)-ROW(PLE.firstrow))),0,IF(OFFSET(PLE!$G$14,$M543,BD$13)="",10^12,OFFSET(PLE!$G$14,$M543,BD$13))))</f>
        <v>1000000000000</v>
      </c>
      <c r="BE543" s="182">
        <f ca="1">IF($D543&lt;&gt;"Serviço",0,IF(OR(AND(AUTOEVENTO="Manual",$M543=1),$M543&gt;(ROW(PLE.lastrow)-ROW(PLE.firstrow))),0,IF(OFFSET(PLE!$G$14,$M543,BE$13)="",10^12,OFFSET(PLE!$G$14,$M543,BE$13))))</f>
        <v>1000000000000</v>
      </c>
      <c r="BF543" s="182">
        <f ca="1">IF($D543&lt;&gt;"Serviço",0,IF(OR(AND(AUTOEVENTO="Manual",$M543=1),$M543&gt;(ROW(PLE.lastrow)-ROW(PLE.firstrow))),0,IF(OFFSET(PLE!$G$14,$M543,BF$13)="",10^12,OFFSET(PLE!$G$14,$M543,BF$13))))</f>
        <v>1000000000000</v>
      </c>
      <c r="BG543" s="182">
        <f ca="1">IF($D543&lt;&gt;"Serviço",0,IF(OR(AND(AUTOEVENTO="Manual",$M543=1),$M543&gt;(ROW(PLE.lastrow)-ROW(PLE.firstrow))),0,IF(OFFSET(PLE!$G$14,$M543,BG$13)="",10^12,OFFSET(PLE!$G$14,$M543,BG$13))))</f>
        <v>1000000000000</v>
      </c>
    </row>
    <row r="544" spans="1:59" ht="25.5" x14ac:dyDescent="0.2">
      <c r="A544" s="7" t="str">
        <f t="shared" ca="1" si="15"/>
        <v>472</v>
      </c>
      <c r="B544" s="7" t="str">
        <f ca="1">OFFSET(ORÇAMENTO!C$15,ROW(B544)-ROW(B$15),0)</f>
        <v>S</v>
      </c>
      <c r="C544" s="7" t="str">
        <f ca="1">OFFSET(ORÇAMENTO!L$15,ROW(C544)-ROW(C$15),0)</f>
        <v/>
      </c>
      <c r="D544" s="118" t="str">
        <f ca="1">OFFSET(ORÇAMENTO!N$15,ROW(D544)-ROW(D$15),0)</f>
        <v>Serviço</v>
      </c>
      <c r="E544" s="119" t="str">
        <f ca="1">OFFSET(ORÇAMENTO!O$15,ROW(E544)-ROW(E$15),0)</f>
        <v>-</v>
      </c>
      <c r="F544" s="172" t="str">
        <f ca="1">OFFSET(ORÇAMENTO!R$15,ROW(F544)-ROW(F$15),0)</f>
        <v>(abra o arquivo 'Referência 02-2025.xlsm)</v>
      </c>
      <c r="G544" s="173" t="str">
        <f ca="1">IF($D544&lt;&gt;"Serviço","",OFFSET(ORÇAMENTO!S$15,ROW(G544)-ROW(G$15),0))</f>
        <v>-</v>
      </c>
      <c r="H544" s="124">
        <f ca="1">IF($D544&lt;&gt;"Serviço",0,IF(ACOMPANHAMENTO="BM",ROUND(OFFSET(ORÇAMENTO!AJ$15,ROW(H544)-ROW(H$15),0),15-13*ORÇAMENTO!$AF$7),SUMPRODUCT(($Q$12:$AA$12&lt;&gt;"")*ROUND($Q544:$AA544,15-13*ORÇAMENTO!$AF$7))))</f>
        <v>30</v>
      </c>
      <c r="I544" s="561" t="s">
        <v>890</v>
      </c>
      <c r="K544" s="174"/>
      <c r="L544" s="175" t="s">
        <v>255</v>
      </c>
      <c r="M544" s="176">
        <f ca="1">IF($D544&lt;&gt;"Serviço","",IF(AUTOEVENTO="manual",$A544,IF(ISERROR(MATCH($A544,$A$15:OFFSET($A544,-1,0),0)),MAX($M$15:OFFSET(M544,-1,0))+1,INDEX($M$15:OFFSET(M544,-1,0),MATCH($A544,$A$15:OFFSET($A544,-1,0),0)))))</f>
        <v>18</v>
      </c>
      <c r="N544" s="177" t="str">
        <f ca="1">IF($D544&lt;&gt;"Serviço","",IF(AUTOEVENTO="Manual",IF($A544=0,"&lt;-- defina o número do agrupador",OFFSET(EVENTOS!$D$14,$A544,0)),OFFSET($F$15,$A544,0)))</f>
        <v>INSTALAÇÕES ELÉTRICAS - 220V</v>
      </c>
      <c r="O544" s="178"/>
      <c r="Q544" s="178"/>
      <c r="R544" s="179"/>
      <c r="S544" s="179"/>
      <c r="T544" s="179"/>
      <c r="U544" s="179"/>
      <c r="V544" s="179"/>
      <c r="W544" s="179"/>
      <c r="X544" s="179"/>
      <c r="Y544" s="179"/>
      <c r="Z544" s="180"/>
      <c r="AB544" s="544">
        <f ca="1">IF(AND($D544="Serviço",AB$12&lt;&gt;0,$H544&gt;0,OR(AUTOEVENTO&lt;&gt;"manual",$M544&lt;&gt;1)),
IF(Import.TipoArredondamento&lt;&gt;"TransfereGOV",
ROUND(OFFSET($P544,0,AB$13),15-13*ORÇAMENTO!$AF$7)/$H544*OFFSET(ORÇAMENTO!$X$15,ROW(AB544)-ROW(AB$15),0),
ROUND(ROUND(OFFSET($P544,0,AB$13),15-13*ORÇAMENTO!$AF$7)*OFFSET(ORÇAMENTO!$W$15,ROW(AB544)-ROW(AB$15),0),15-13*ORÇAMENTO!$AF$11)),0)</f>
        <v>0</v>
      </c>
      <c r="AC544" s="545">
        <f ca="1">IF(AND($D544="Serviço",AC$12&lt;&gt;0,$H544&gt;0,OR(AUTOEVENTO&lt;&gt;"manual",$M544&lt;&gt;1)),
IF(Import.TipoArredondamento&lt;&gt;"TransfereGOV",
ROUND(OFFSET($P544,0,AC$13),15-13*ORÇAMENTO!$AF$7)/$H544*OFFSET(ORÇAMENTO!$X$15,ROW(AC544)-ROW(AC$15),0),
ROUND(ROUND(OFFSET($P544,0,AC$13),15-13*ORÇAMENTO!$AF$7)*OFFSET(ORÇAMENTO!$W$15,ROW(AC544)-ROW(AC$15),0),15-13*ORÇAMENTO!$AF$11)),0)</f>
        <v>0</v>
      </c>
      <c r="AD544" s="545">
        <f ca="1">IF(AND($D544="Serviço",AD$12&lt;&gt;0,$H544&gt;0,OR(AUTOEVENTO&lt;&gt;"manual",$M544&lt;&gt;1)),
IF(Import.TipoArredondamento&lt;&gt;"TransfereGOV",
ROUND(OFFSET($P544,0,AD$13),15-13*ORÇAMENTO!$AF$7)/$H544*OFFSET(ORÇAMENTO!$X$15,ROW(AD544)-ROW(AD$15),0),
ROUND(ROUND(OFFSET($P544,0,AD$13),15-13*ORÇAMENTO!$AF$7)*OFFSET(ORÇAMENTO!$W$15,ROW(AD544)-ROW(AD$15),0),15-13*ORÇAMENTO!$AF$11)),0)</f>
        <v>0</v>
      </c>
      <c r="AE544" s="545">
        <f ca="1">IF(AND($D544="Serviço",AE$12&lt;&gt;0,$H544&gt;0,OR(AUTOEVENTO&lt;&gt;"manual",$M544&lt;&gt;1)),
IF(Import.TipoArredondamento&lt;&gt;"TransfereGOV",
ROUND(OFFSET($P544,0,AE$13),15-13*ORÇAMENTO!$AF$7)/$H544*OFFSET(ORÇAMENTO!$X$15,ROW(AE544)-ROW(AE$15),0),
ROUND(ROUND(OFFSET($P544,0,AE$13),15-13*ORÇAMENTO!$AF$7)*OFFSET(ORÇAMENTO!$W$15,ROW(AE544)-ROW(AE$15),0),15-13*ORÇAMENTO!$AF$11)),0)</f>
        <v>0</v>
      </c>
      <c r="AF544" s="545">
        <f ca="1">IF(AND($D544="Serviço",AF$12&lt;&gt;0,$H544&gt;0,OR(AUTOEVENTO&lt;&gt;"manual",$M544&lt;&gt;1)),
IF(Import.TipoArredondamento&lt;&gt;"TransfereGOV",
ROUND(OFFSET($P544,0,AF$13),15-13*ORÇAMENTO!$AF$7)/$H544*OFFSET(ORÇAMENTO!$X$15,ROW(AF544)-ROW(AF$15),0),
ROUND(ROUND(OFFSET($P544,0,AF$13),15-13*ORÇAMENTO!$AF$7)*OFFSET(ORÇAMENTO!$W$15,ROW(AF544)-ROW(AF$15),0),15-13*ORÇAMENTO!$AF$11)),0)</f>
        <v>0</v>
      </c>
      <c r="AG544" s="545">
        <f ca="1">IF(AND($D544="Serviço",AG$12&lt;&gt;0,$H544&gt;0,OR(AUTOEVENTO&lt;&gt;"manual",$M544&lt;&gt;1)),
IF(Import.TipoArredondamento&lt;&gt;"TransfereGOV",
ROUND(OFFSET($P544,0,AG$13),15-13*ORÇAMENTO!$AF$7)/$H544*OFFSET(ORÇAMENTO!$X$15,ROW(AG544)-ROW(AG$15),0),
ROUND(ROUND(OFFSET($P544,0,AG$13),15-13*ORÇAMENTO!$AF$7)*OFFSET(ORÇAMENTO!$W$15,ROW(AG544)-ROW(AG$15),0),15-13*ORÇAMENTO!$AF$11)),0)</f>
        <v>0</v>
      </c>
      <c r="AH544" s="545">
        <f ca="1">IF(AND($D544="Serviço",AH$12&lt;&gt;0,$H544&gt;0,OR(AUTOEVENTO&lt;&gt;"manual",$M544&lt;&gt;1)),
IF(Import.TipoArredondamento&lt;&gt;"TransfereGOV",
ROUND(OFFSET($P544,0,AH$13),15-13*ORÇAMENTO!$AF$7)/$H544*OFFSET(ORÇAMENTO!$X$15,ROW(AH544)-ROW(AH$15),0),
ROUND(ROUND(OFFSET($P544,0,AH$13),15-13*ORÇAMENTO!$AF$7)*OFFSET(ORÇAMENTO!$W$15,ROW(AH544)-ROW(AH$15),0),15-13*ORÇAMENTO!$AF$11)),0)</f>
        <v>0</v>
      </c>
      <c r="AI544" s="545">
        <f ca="1">IF(AND($D544="Serviço",AI$12&lt;&gt;0,$H544&gt;0,OR(AUTOEVENTO&lt;&gt;"manual",$M544&lt;&gt;1)),
IF(Import.TipoArredondamento&lt;&gt;"TransfereGOV",
ROUND(OFFSET($P544,0,AI$13),15-13*ORÇAMENTO!$AF$7)/$H544*OFFSET(ORÇAMENTO!$X$15,ROW(AI544)-ROW(AI$15),0),
ROUND(ROUND(OFFSET($P544,0,AI$13),15-13*ORÇAMENTO!$AF$7)*OFFSET(ORÇAMENTO!$W$15,ROW(AI544)-ROW(AI$15),0),15-13*ORÇAMENTO!$AF$11)),0)</f>
        <v>0</v>
      </c>
      <c r="AJ544" s="545">
        <f ca="1">IF(AND($D544="Serviço",AJ$12&lt;&gt;0,$H544&gt;0,OR(AUTOEVENTO&lt;&gt;"manual",$M544&lt;&gt;1)),
IF(Import.TipoArredondamento&lt;&gt;"TransfereGOV",
ROUND(OFFSET($P544,0,AJ$13),15-13*ORÇAMENTO!$AF$7)/$H544*OFFSET(ORÇAMENTO!$X$15,ROW(AJ544)-ROW(AJ$15),0),
ROUND(ROUND(OFFSET($P544,0,AJ$13),15-13*ORÇAMENTO!$AF$7)*OFFSET(ORÇAMENTO!$W$15,ROW(AJ544)-ROW(AJ$15),0),15-13*ORÇAMENTO!$AF$11)),0)</f>
        <v>0</v>
      </c>
      <c r="AK544" s="546">
        <f ca="1">IF(AND($D544="Serviço",AK$12&lt;&gt;0,$H544&gt;0,OR(AUTOEVENTO&lt;&gt;"manual",$M544&lt;&gt;1)),
IF(Import.TipoArredondamento&lt;&gt;"TransfereGOV",
ROUND(OFFSET($P544,0,AK$13),15-13*ORÇAMENTO!$AF$7)/$H544*OFFSET(ORÇAMENTO!$X$15,ROW(AK544)-ROW(AK$15),0),
ROUND(ROUND(OFFSET($P544,0,AK$13),15-13*ORÇAMENTO!$AF$7)*OFFSET(ORÇAMENTO!$W$15,ROW(AK544)-ROW(AK$15),0),15-13*ORÇAMENTO!$AF$11)),0)</f>
        <v>0</v>
      </c>
      <c r="AM544" s="181">
        <f ca="1">IF($D544&lt;&gt;"Serviço",0,IF(AND(AUTOEVENTO="Manual",$M544=1),0,IF(OFFSET(CRONOPLE!$F$14,$M544,AM$13)="",10^12,OFFSET(CRONOPLE!$F$14,$M544,AM$13))))</f>
        <v>1000000000000</v>
      </c>
      <c r="AN544" s="181">
        <f ca="1">IF($D544&lt;&gt;"Serviço",0,IF(AND(AUTOEVENTO="Manual",$M544=1),0,IF(OFFSET(CRONOPLE!$F$14,$M544,AN$13)="",10^12,OFFSET(CRONOPLE!$F$14,$M544,AN$13))))</f>
        <v>1000000000000</v>
      </c>
      <c r="AO544" s="181">
        <f ca="1">IF($D544&lt;&gt;"Serviço",0,IF(AND(AUTOEVENTO="Manual",$M544=1),0,IF(OFFSET(CRONOPLE!$F$14,$M544,AO$13)="",10^12,OFFSET(CRONOPLE!$F$14,$M544,AO$13))))</f>
        <v>1000000000000</v>
      </c>
      <c r="AP544" s="181">
        <f ca="1">IF($D544&lt;&gt;"Serviço",0,IF(AND(AUTOEVENTO="Manual",$M544=1),0,IF(OFFSET(CRONOPLE!$F$14,$M544,AP$13)="",10^12,OFFSET(CRONOPLE!$F$14,$M544,AP$13))))</f>
        <v>1000000000000</v>
      </c>
      <c r="AQ544" s="181">
        <f ca="1">IF($D544&lt;&gt;"Serviço",0,IF(AND(AUTOEVENTO="Manual",$M544=1),0,IF(OFFSET(CRONOPLE!$F$14,$M544,AQ$13)="",10^12,OFFSET(CRONOPLE!$F$14,$M544,AQ$13))))</f>
        <v>1000000000000</v>
      </c>
      <c r="AR544" s="181">
        <f ca="1">IF($D544&lt;&gt;"Serviço",0,IF(AND(AUTOEVENTO="Manual",$M544=1),0,IF(OFFSET(CRONOPLE!$F$14,$M544,AR$13)="",10^12,OFFSET(CRONOPLE!$F$14,$M544,AR$13))))</f>
        <v>1000000000000</v>
      </c>
      <c r="AS544" s="181">
        <f ca="1">IF($D544&lt;&gt;"Serviço",0,IF(AND(AUTOEVENTO="Manual",$M544=1),0,IF(OFFSET(CRONOPLE!$F$14,$M544,AS$13)="",10^12,OFFSET(CRONOPLE!$F$14,$M544,AS$13))))</f>
        <v>1000000000000</v>
      </c>
      <c r="AT544" s="181">
        <f ca="1">IF($D544&lt;&gt;"Serviço",0,IF(AND(AUTOEVENTO="Manual",$M544=1),0,IF(OFFSET(CRONOPLE!$F$14,$M544,AT$13)="",10^12,OFFSET(CRONOPLE!$F$14,$M544,AT$13))))</f>
        <v>1000000000000</v>
      </c>
      <c r="AU544" s="181">
        <f ca="1">IF($D544&lt;&gt;"Serviço",0,IF(AND(AUTOEVENTO="Manual",$M544=1),0,IF(OFFSET(CRONOPLE!$F$14,$M544,AU$13)="",10^12,OFFSET(CRONOPLE!$F$14,$M544,AU$13))))</f>
        <v>1000000000000</v>
      </c>
      <c r="AV544" s="181">
        <f ca="1">IF($D544&lt;&gt;"Serviço",0,IF(AND(AUTOEVENTO="Manual",$M544=1),0,IF(OFFSET(CRONOPLE!$F$14,$M544,AV$13)="",10^12,OFFSET(CRONOPLE!$F$14,$M544,AV$13))))</f>
        <v>1000000000000</v>
      </c>
      <c r="AX544" s="182">
        <f ca="1">IF($D544&lt;&gt;"Serviço",0,IF(OR(AND(AUTOEVENTO="Manual",$M544=1),$M544&gt;(ROW(PLE.lastrow)-ROW(PLE.firstrow))),0,IF(OFFSET(PLE!$G$14,$M544,AX$13)="",10^12,OFFSET(PLE!$G$14,$M544,AX$13))))</f>
        <v>1000000000000</v>
      </c>
      <c r="AY544" s="182">
        <f ca="1">IF($D544&lt;&gt;"Serviço",0,IF(OR(AND(AUTOEVENTO="Manual",$M544=1),$M544&gt;(ROW(PLE.lastrow)-ROW(PLE.firstrow))),0,IF(OFFSET(PLE!$G$14,$M544,AY$13)="",10^12,OFFSET(PLE!$G$14,$M544,AY$13))))</f>
        <v>1000000000000</v>
      </c>
      <c r="AZ544" s="182">
        <f ca="1">IF($D544&lt;&gt;"Serviço",0,IF(OR(AND(AUTOEVENTO="Manual",$M544=1),$M544&gt;(ROW(PLE.lastrow)-ROW(PLE.firstrow))),0,IF(OFFSET(PLE!$G$14,$M544,AZ$13)="",10^12,OFFSET(PLE!$G$14,$M544,AZ$13))))</f>
        <v>1000000000000</v>
      </c>
      <c r="BA544" s="182">
        <f ca="1">IF($D544&lt;&gt;"Serviço",0,IF(OR(AND(AUTOEVENTO="Manual",$M544=1),$M544&gt;(ROW(PLE.lastrow)-ROW(PLE.firstrow))),0,IF(OFFSET(PLE!$G$14,$M544,BA$13)="",10^12,OFFSET(PLE!$G$14,$M544,BA$13))))</f>
        <v>1000000000000</v>
      </c>
      <c r="BB544" s="182">
        <f ca="1">IF($D544&lt;&gt;"Serviço",0,IF(OR(AND(AUTOEVENTO="Manual",$M544=1),$M544&gt;(ROW(PLE.lastrow)-ROW(PLE.firstrow))),0,IF(OFFSET(PLE!$G$14,$M544,BB$13)="",10^12,OFFSET(PLE!$G$14,$M544,BB$13))))</f>
        <v>1000000000000</v>
      </c>
      <c r="BC544" s="182">
        <f ca="1">IF($D544&lt;&gt;"Serviço",0,IF(OR(AND(AUTOEVENTO="Manual",$M544=1),$M544&gt;(ROW(PLE.lastrow)-ROW(PLE.firstrow))),0,IF(OFFSET(PLE!$G$14,$M544,BC$13)="",10^12,OFFSET(PLE!$G$14,$M544,BC$13))))</f>
        <v>1000000000000</v>
      </c>
      <c r="BD544" s="182">
        <f ca="1">IF($D544&lt;&gt;"Serviço",0,IF(OR(AND(AUTOEVENTO="Manual",$M544=1),$M544&gt;(ROW(PLE.lastrow)-ROW(PLE.firstrow))),0,IF(OFFSET(PLE!$G$14,$M544,BD$13)="",10^12,OFFSET(PLE!$G$14,$M544,BD$13))))</f>
        <v>1000000000000</v>
      </c>
      <c r="BE544" s="182">
        <f ca="1">IF($D544&lt;&gt;"Serviço",0,IF(OR(AND(AUTOEVENTO="Manual",$M544=1),$M544&gt;(ROW(PLE.lastrow)-ROW(PLE.firstrow))),0,IF(OFFSET(PLE!$G$14,$M544,BE$13)="",10^12,OFFSET(PLE!$G$14,$M544,BE$13))))</f>
        <v>1000000000000</v>
      </c>
      <c r="BF544" s="182">
        <f ca="1">IF($D544&lt;&gt;"Serviço",0,IF(OR(AND(AUTOEVENTO="Manual",$M544=1),$M544&gt;(ROW(PLE.lastrow)-ROW(PLE.firstrow))),0,IF(OFFSET(PLE!$G$14,$M544,BF$13)="",10^12,OFFSET(PLE!$G$14,$M544,BF$13))))</f>
        <v>1000000000000</v>
      </c>
      <c r="BG544" s="182">
        <f ca="1">IF($D544&lt;&gt;"Serviço",0,IF(OR(AND(AUTOEVENTO="Manual",$M544=1),$M544&gt;(ROW(PLE.lastrow)-ROW(PLE.firstrow))),0,IF(OFFSET(PLE!$G$14,$M544,BG$13)="",10^12,OFFSET(PLE!$G$14,$M544,BG$13))))</f>
        <v>1000000000000</v>
      </c>
    </row>
    <row r="545" spans="1:59" ht="38.25" x14ac:dyDescent="0.2">
      <c r="A545" s="7" t="str">
        <f t="shared" ca="1" si="15"/>
        <v>472</v>
      </c>
      <c r="B545" s="7" t="str">
        <f ca="1">OFFSET(ORÇAMENTO!C$15,ROW(B545)-ROW(B$15),0)</f>
        <v>S</v>
      </c>
      <c r="C545" s="7" t="str">
        <f ca="1">OFFSET(ORÇAMENTO!L$15,ROW(C545)-ROW(C$15),0)</f>
        <v/>
      </c>
      <c r="D545" s="118" t="str">
        <f ca="1">OFFSET(ORÇAMENTO!N$15,ROW(D545)-ROW(D$15),0)</f>
        <v>Serviço</v>
      </c>
      <c r="E545" s="119" t="str">
        <f ca="1">OFFSET(ORÇAMENTO!O$15,ROW(E545)-ROW(E$15),0)</f>
        <v>-</v>
      </c>
      <c r="F545" s="172" t="str">
        <f ca="1">OFFSET(ORÇAMENTO!R$15,ROW(F545)-ROW(F$15),0)</f>
        <v>(abra o arquivo 'Referência 02-2025.xlsm)</v>
      </c>
      <c r="G545" s="173" t="str">
        <f ca="1">IF($D545&lt;&gt;"Serviço","",OFFSET(ORÇAMENTO!S$15,ROW(G545)-ROW(G$15),0))</f>
        <v>-</v>
      </c>
      <c r="H545" s="124">
        <f ca="1">IF($D545&lt;&gt;"Serviço",0,IF(ACOMPANHAMENTO="BM",ROUND(OFFSET(ORÇAMENTO!AJ$15,ROW(H545)-ROW(H$15),0),15-13*ORÇAMENTO!$AF$7),SUMPRODUCT(($Q$12:$AA$12&lt;&gt;"")*ROUND($Q545:$AA545,15-13*ORÇAMENTO!$AF$7))))</f>
        <v>30</v>
      </c>
      <c r="I545" s="561" t="s">
        <v>890</v>
      </c>
      <c r="K545" s="174"/>
      <c r="L545" s="175" t="s">
        <v>255</v>
      </c>
      <c r="M545" s="176">
        <f ca="1">IF($D545&lt;&gt;"Serviço","",IF(AUTOEVENTO="manual",$A545,IF(ISERROR(MATCH($A545,$A$15:OFFSET($A545,-1,0),0)),MAX($M$15:OFFSET(M545,-1,0))+1,INDEX($M$15:OFFSET(M545,-1,0),MATCH($A545,$A$15:OFFSET($A545,-1,0),0)))))</f>
        <v>18</v>
      </c>
      <c r="N545" s="177" t="str">
        <f ca="1">IF($D545&lt;&gt;"Serviço","",IF(AUTOEVENTO="Manual",IF($A545=0,"&lt;-- defina o número do agrupador",OFFSET(EVENTOS!$D$14,$A545,0)),OFFSET($F$15,$A545,0)))</f>
        <v>INSTALAÇÕES ELÉTRICAS - 220V</v>
      </c>
      <c r="O545" s="178"/>
      <c r="Q545" s="178"/>
      <c r="R545" s="179"/>
      <c r="S545" s="179"/>
      <c r="T545" s="179"/>
      <c r="U545" s="179"/>
      <c r="V545" s="179"/>
      <c r="W545" s="179"/>
      <c r="X545" s="179"/>
      <c r="Y545" s="179"/>
      <c r="Z545" s="180"/>
      <c r="AB545" s="544">
        <f ca="1">IF(AND($D545="Serviço",AB$12&lt;&gt;0,$H545&gt;0,OR(AUTOEVENTO&lt;&gt;"manual",$M545&lt;&gt;1)),
IF(Import.TipoArredondamento&lt;&gt;"TransfereGOV",
ROUND(OFFSET($P545,0,AB$13),15-13*ORÇAMENTO!$AF$7)/$H545*OFFSET(ORÇAMENTO!$X$15,ROW(AB545)-ROW(AB$15),0),
ROUND(ROUND(OFFSET($P545,0,AB$13),15-13*ORÇAMENTO!$AF$7)*OFFSET(ORÇAMENTO!$W$15,ROW(AB545)-ROW(AB$15),0),15-13*ORÇAMENTO!$AF$11)),0)</f>
        <v>0</v>
      </c>
      <c r="AC545" s="545">
        <f ca="1">IF(AND($D545="Serviço",AC$12&lt;&gt;0,$H545&gt;0,OR(AUTOEVENTO&lt;&gt;"manual",$M545&lt;&gt;1)),
IF(Import.TipoArredondamento&lt;&gt;"TransfereGOV",
ROUND(OFFSET($P545,0,AC$13),15-13*ORÇAMENTO!$AF$7)/$H545*OFFSET(ORÇAMENTO!$X$15,ROW(AC545)-ROW(AC$15),0),
ROUND(ROUND(OFFSET($P545,0,AC$13),15-13*ORÇAMENTO!$AF$7)*OFFSET(ORÇAMENTO!$W$15,ROW(AC545)-ROW(AC$15),0),15-13*ORÇAMENTO!$AF$11)),0)</f>
        <v>0</v>
      </c>
      <c r="AD545" s="545">
        <f ca="1">IF(AND($D545="Serviço",AD$12&lt;&gt;0,$H545&gt;0,OR(AUTOEVENTO&lt;&gt;"manual",$M545&lt;&gt;1)),
IF(Import.TipoArredondamento&lt;&gt;"TransfereGOV",
ROUND(OFFSET($P545,0,AD$13),15-13*ORÇAMENTO!$AF$7)/$H545*OFFSET(ORÇAMENTO!$X$15,ROW(AD545)-ROW(AD$15),0),
ROUND(ROUND(OFFSET($P545,0,AD$13),15-13*ORÇAMENTO!$AF$7)*OFFSET(ORÇAMENTO!$W$15,ROW(AD545)-ROW(AD$15),0),15-13*ORÇAMENTO!$AF$11)),0)</f>
        <v>0</v>
      </c>
      <c r="AE545" s="545">
        <f ca="1">IF(AND($D545="Serviço",AE$12&lt;&gt;0,$H545&gt;0,OR(AUTOEVENTO&lt;&gt;"manual",$M545&lt;&gt;1)),
IF(Import.TipoArredondamento&lt;&gt;"TransfereGOV",
ROUND(OFFSET($P545,0,AE$13),15-13*ORÇAMENTO!$AF$7)/$H545*OFFSET(ORÇAMENTO!$X$15,ROW(AE545)-ROW(AE$15),0),
ROUND(ROUND(OFFSET($P545,0,AE$13),15-13*ORÇAMENTO!$AF$7)*OFFSET(ORÇAMENTO!$W$15,ROW(AE545)-ROW(AE$15),0),15-13*ORÇAMENTO!$AF$11)),0)</f>
        <v>0</v>
      </c>
      <c r="AF545" s="545">
        <f ca="1">IF(AND($D545="Serviço",AF$12&lt;&gt;0,$H545&gt;0,OR(AUTOEVENTO&lt;&gt;"manual",$M545&lt;&gt;1)),
IF(Import.TipoArredondamento&lt;&gt;"TransfereGOV",
ROUND(OFFSET($P545,0,AF$13),15-13*ORÇAMENTO!$AF$7)/$H545*OFFSET(ORÇAMENTO!$X$15,ROW(AF545)-ROW(AF$15),0),
ROUND(ROUND(OFFSET($P545,0,AF$13),15-13*ORÇAMENTO!$AF$7)*OFFSET(ORÇAMENTO!$W$15,ROW(AF545)-ROW(AF$15),0),15-13*ORÇAMENTO!$AF$11)),0)</f>
        <v>0</v>
      </c>
      <c r="AG545" s="545">
        <f ca="1">IF(AND($D545="Serviço",AG$12&lt;&gt;0,$H545&gt;0,OR(AUTOEVENTO&lt;&gt;"manual",$M545&lt;&gt;1)),
IF(Import.TipoArredondamento&lt;&gt;"TransfereGOV",
ROUND(OFFSET($P545,0,AG$13),15-13*ORÇAMENTO!$AF$7)/$H545*OFFSET(ORÇAMENTO!$X$15,ROW(AG545)-ROW(AG$15),0),
ROUND(ROUND(OFFSET($P545,0,AG$13),15-13*ORÇAMENTO!$AF$7)*OFFSET(ORÇAMENTO!$W$15,ROW(AG545)-ROW(AG$15),0),15-13*ORÇAMENTO!$AF$11)),0)</f>
        <v>0</v>
      </c>
      <c r="AH545" s="545">
        <f ca="1">IF(AND($D545="Serviço",AH$12&lt;&gt;0,$H545&gt;0,OR(AUTOEVENTO&lt;&gt;"manual",$M545&lt;&gt;1)),
IF(Import.TipoArredondamento&lt;&gt;"TransfereGOV",
ROUND(OFFSET($P545,0,AH$13),15-13*ORÇAMENTO!$AF$7)/$H545*OFFSET(ORÇAMENTO!$X$15,ROW(AH545)-ROW(AH$15),0),
ROUND(ROUND(OFFSET($P545,0,AH$13),15-13*ORÇAMENTO!$AF$7)*OFFSET(ORÇAMENTO!$W$15,ROW(AH545)-ROW(AH$15),0),15-13*ORÇAMENTO!$AF$11)),0)</f>
        <v>0</v>
      </c>
      <c r="AI545" s="545">
        <f ca="1">IF(AND($D545="Serviço",AI$12&lt;&gt;0,$H545&gt;0,OR(AUTOEVENTO&lt;&gt;"manual",$M545&lt;&gt;1)),
IF(Import.TipoArredondamento&lt;&gt;"TransfereGOV",
ROUND(OFFSET($P545,0,AI$13),15-13*ORÇAMENTO!$AF$7)/$H545*OFFSET(ORÇAMENTO!$X$15,ROW(AI545)-ROW(AI$15),0),
ROUND(ROUND(OFFSET($P545,0,AI$13),15-13*ORÇAMENTO!$AF$7)*OFFSET(ORÇAMENTO!$W$15,ROW(AI545)-ROW(AI$15),0),15-13*ORÇAMENTO!$AF$11)),0)</f>
        <v>0</v>
      </c>
      <c r="AJ545" s="545">
        <f ca="1">IF(AND($D545="Serviço",AJ$12&lt;&gt;0,$H545&gt;0,OR(AUTOEVENTO&lt;&gt;"manual",$M545&lt;&gt;1)),
IF(Import.TipoArredondamento&lt;&gt;"TransfereGOV",
ROUND(OFFSET($P545,0,AJ$13),15-13*ORÇAMENTO!$AF$7)/$H545*OFFSET(ORÇAMENTO!$X$15,ROW(AJ545)-ROW(AJ$15),0),
ROUND(ROUND(OFFSET($P545,0,AJ$13),15-13*ORÇAMENTO!$AF$7)*OFFSET(ORÇAMENTO!$W$15,ROW(AJ545)-ROW(AJ$15),0),15-13*ORÇAMENTO!$AF$11)),0)</f>
        <v>0</v>
      </c>
      <c r="AK545" s="546">
        <f ca="1">IF(AND($D545="Serviço",AK$12&lt;&gt;0,$H545&gt;0,OR(AUTOEVENTO&lt;&gt;"manual",$M545&lt;&gt;1)),
IF(Import.TipoArredondamento&lt;&gt;"TransfereGOV",
ROUND(OFFSET($P545,0,AK$13),15-13*ORÇAMENTO!$AF$7)/$H545*OFFSET(ORÇAMENTO!$X$15,ROW(AK545)-ROW(AK$15),0),
ROUND(ROUND(OFFSET($P545,0,AK$13),15-13*ORÇAMENTO!$AF$7)*OFFSET(ORÇAMENTO!$W$15,ROW(AK545)-ROW(AK$15),0),15-13*ORÇAMENTO!$AF$11)),0)</f>
        <v>0</v>
      </c>
      <c r="AM545" s="181">
        <f ca="1">IF($D545&lt;&gt;"Serviço",0,IF(AND(AUTOEVENTO="Manual",$M545=1),0,IF(OFFSET(CRONOPLE!$F$14,$M545,AM$13)="",10^12,OFFSET(CRONOPLE!$F$14,$M545,AM$13))))</f>
        <v>1000000000000</v>
      </c>
      <c r="AN545" s="181">
        <f ca="1">IF($D545&lt;&gt;"Serviço",0,IF(AND(AUTOEVENTO="Manual",$M545=1),0,IF(OFFSET(CRONOPLE!$F$14,$M545,AN$13)="",10^12,OFFSET(CRONOPLE!$F$14,$M545,AN$13))))</f>
        <v>1000000000000</v>
      </c>
      <c r="AO545" s="181">
        <f ca="1">IF($D545&lt;&gt;"Serviço",0,IF(AND(AUTOEVENTO="Manual",$M545=1),0,IF(OFFSET(CRONOPLE!$F$14,$M545,AO$13)="",10^12,OFFSET(CRONOPLE!$F$14,$M545,AO$13))))</f>
        <v>1000000000000</v>
      </c>
      <c r="AP545" s="181">
        <f ca="1">IF($D545&lt;&gt;"Serviço",0,IF(AND(AUTOEVENTO="Manual",$M545=1),0,IF(OFFSET(CRONOPLE!$F$14,$M545,AP$13)="",10^12,OFFSET(CRONOPLE!$F$14,$M545,AP$13))))</f>
        <v>1000000000000</v>
      </c>
      <c r="AQ545" s="181">
        <f ca="1">IF($D545&lt;&gt;"Serviço",0,IF(AND(AUTOEVENTO="Manual",$M545=1),0,IF(OFFSET(CRONOPLE!$F$14,$M545,AQ$13)="",10^12,OFFSET(CRONOPLE!$F$14,$M545,AQ$13))))</f>
        <v>1000000000000</v>
      </c>
      <c r="AR545" s="181">
        <f ca="1">IF($D545&lt;&gt;"Serviço",0,IF(AND(AUTOEVENTO="Manual",$M545=1),0,IF(OFFSET(CRONOPLE!$F$14,$M545,AR$13)="",10^12,OFFSET(CRONOPLE!$F$14,$M545,AR$13))))</f>
        <v>1000000000000</v>
      </c>
      <c r="AS545" s="181">
        <f ca="1">IF($D545&lt;&gt;"Serviço",0,IF(AND(AUTOEVENTO="Manual",$M545=1),0,IF(OFFSET(CRONOPLE!$F$14,$M545,AS$13)="",10^12,OFFSET(CRONOPLE!$F$14,$M545,AS$13))))</f>
        <v>1000000000000</v>
      </c>
      <c r="AT545" s="181">
        <f ca="1">IF($D545&lt;&gt;"Serviço",0,IF(AND(AUTOEVENTO="Manual",$M545=1),0,IF(OFFSET(CRONOPLE!$F$14,$M545,AT$13)="",10^12,OFFSET(CRONOPLE!$F$14,$M545,AT$13))))</f>
        <v>1000000000000</v>
      </c>
      <c r="AU545" s="181">
        <f ca="1">IF($D545&lt;&gt;"Serviço",0,IF(AND(AUTOEVENTO="Manual",$M545=1),0,IF(OFFSET(CRONOPLE!$F$14,$M545,AU$13)="",10^12,OFFSET(CRONOPLE!$F$14,$M545,AU$13))))</f>
        <v>1000000000000</v>
      </c>
      <c r="AV545" s="181">
        <f ca="1">IF($D545&lt;&gt;"Serviço",0,IF(AND(AUTOEVENTO="Manual",$M545=1),0,IF(OFFSET(CRONOPLE!$F$14,$M545,AV$13)="",10^12,OFFSET(CRONOPLE!$F$14,$M545,AV$13))))</f>
        <v>1000000000000</v>
      </c>
      <c r="AX545" s="182">
        <f ca="1">IF($D545&lt;&gt;"Serviço",0,IF(OR(AND(AUTOEVENTO="Manual",$M545=1),$M545&gt;(ROW(PLE.lastrow)-ROW(PLE.firstrow))),0,IF(OFFSET(PLE!$G$14,$M545,AX$13)="",10^12,OFFSET(PLE!$G$14,$M545,AX$13))))</f>
        <v>1000000000000</v>
      </c>
      <c r="AY545" s="182">
        <f ca="1">IF($D545&lt;&gt;"Serviço",0,IF(OR(AND(AUTOEVENTO="Manual",$M545=1),$M545&gt;(ROW(PLE.lastrow)-ROW(PLE.firstrow))),0,IF(OFFSET(PLE!$G$14,$M545,AY$13)="",10^12,OFFSET(PLE!$G$14,$M545,AY$13))))</f>
        <v>1000000000000</v>
      </c>
      <c r="AZ545" s="182">
        <f ca="1">IF($D545&lt;&gt;"Serviço",0,IF(OR(AND(AUTOEVENTO="Manual",$M545=1),$M545&gt;(ROW(PLE.lastrow)-ROW(PLE.firstrow))),0,IF(OFFSET(PLE!$G$14,$M545,AZ$13)="",10^12,OFFSET(PLE!$G$14,$M545,AZ$13))))</f>
        <v>1000000000000</v>
      </c>
      <c r="BA545" s="182">
        <f ca="1">IF($D545&lt;&gt;"Serviço",0,IF(OR(AND(AUTOEVENTO="Manual",$M545=1),$M545&gt;(ROW(PLE.lastrow)-ROW(PLE.firstrow))),0,IF(OFFSET(PLE!$G$14,$M545,BA$13)="",10^12,OFFSET(PLE!$G$14,$M545,BA$13))))</f>
        <v>1000000000000</v>
      </c>
      <c r="BB545" s="182">
        <f ca="1">IF($D545&lt;&gt;"Serviço",0,IF(OR(AND(AUTOEVENTO="Manual",$M545=1),$M545&gt;(ROW(PLE.lastrow)-ROW(PLE.firstrow))),0,IF(OFFSET(PLE!$G$14,$M545,BB$13)="",10^12,OFFSET(PLE!$G$14,$M545,BB$13))))</f>
        <v>1000000000000</v>
      </c>
      <c r="BC545" s="182">
        <f ca="1">IF($D545&lt;&gt;"Serviço",0,IF(OR(AND(AUTOEVENTO="Manual",$M545=1),$M545&gt;(ROW(PLE.lastrow)-ROW(PLE.firstrow))),0,IF(OFFSET(PLE!$G$14,$M545,BC$13)="",10^12,OFFSET(PLE!$G$14,$M545,BC$13))))</f>
        <v>1000000000000</v>
      </c>
      <c r="BD545" s="182">
        <f ca="1">IF($D545&lt;&gt;"Serviço",0,IF(OR(AND(AUTOEVENTO="Manual",$M545=1),$M545&gt;(ROW(PLE.lastrow)-ROW(PLE.firstrow))),0,IF(OFFSET(PLE!$G$14,$M545,BD$13)="",10^12,OFFSET(PLE!$G$14,$M545,BD$13))))</f>
        <v>1000000000000</v>
      </c>
      <c r="BE545" s="182">
        <f ca="1">IF($D545&lt;&gt;"Serviço",0,IF(OR(AND(AUTOEVENTO="Manual",$M545=1),$M545&gt;(ROW(PLE.lastrow)-ROW(PLE.firstrow))),0,IF(OFFSET(PLE!$G$14,$M545,BE$13)="",10^12,OFFSET(PLE!$G$14,$M545,BE$13))))</f>
        <v>1000000000000</v>
      </c>
      <c r="BF545" s="182">
        <f ca="1">IF($D545&lt;&gt;"Serviço",0,IF(OR(AND(AUTOEVENTO="Manual",$M545=1),$M545&gt;(ROW(PLE.lastrow)-ROW(PLE.firstrow))),0,IF(OFFSET(PLE!$G$14,$M545,BF$13)="",10^12,OFFSET(PLE!$G$14,$M545,BF$13))))</f>
        <v>1000000000000</v>
      </c>
      <c r="BG545" s="182">
        <f ca="1">IF($D545&lt;&gt;"Serviço",0,IF(OR(AND(AUTOEVENTO="Manual",$M545=1),$M545&gt;(ROW(PLE.lastrow)-ROW(PLE.firstrow))),0,IF(OFFSET(PLE!$G$14,$M545,BG$13)="",10^12,OFFSET(PLE!$G$14,$M545,BG$13))))</f>
        <v>1000000000000</v>
      </c>
    </row>
    <row r="546" spans="1:59" ht="38.25" x14ac:dyDescent="0.2">
      <c r="A546" s="7" t="str">
        <f t="shared" ca="1" si="15"/>
        <v>472</v>
      </c>
      <c r="B546" s="7" t="str">
        <f ca="1">OFFSET(ORÇAMENTO!C$15,ROW(B546)-ROW(B$15),0)</f>
        <v>S</v>
      </c>
      <c r="C546" s="7" t="str">
        <f ca="1">OFFSET(ORÇAMENTO!L$15,ROW(C546)-ROW(C$15),0)</f>
        <v/>
      </c>
      <c r="D546" s="118" t="str">
        <f ca="1">OFFSET(ORÇAMENTO!N$15,ROW(D546)-ROW(D$15),0)</f>
        <v>Serviço</v>
      </c>
      <c r="E546" s="119" t="str">
        <f ca="1">OFFSET(ORÇAMENTO!O$15,ROW(E546)-ROW(E$15),0)</f>
        <v>-</v>
      </c>
      <c r="F546" s="172" t="str">
        <f ca="1">OFFSET(ORÇAMENTO!R$15,ROW(F546)-ROW(F$15),0)</f>
        <v>(abra o arquivo 'Referência 02-2025.xlsm)</v>
      </c>
      <c r="G546" s="173" t="str">
        <f ca="1">IF($D546&lt;&gt;"Serviço","",OFFSET(ORÇAMENTO!S$15,ROW(G546)-ROW(G$15),0))</f>
        <v>-</v>
      </c>
      <c r="H546" s="124">
        <f ca="1">IF($D546&lt;&gt;"Serviço",0,IF(ACOMPANHAMENTO="BM",ROUND(OFFSET(ORÇAMENTO!AJ$15,ROW(H546)-ROW(H$15),0),15-13*ORÇAMENTO!$AF$7),SUMPRODUCT(($Q$12:$AA$12&lt;&gt;"")*ROUND($Q546:$AA546,15-13*ORÇAMENTO!$AF$7))))</f>
        <v>27</v>
      </c>
      <c r="I546" s="561" t="s">
        <v>890</v>
      </c>
      <c r="K546" s="174"/>
      <c r="L546" s="175" t="s">
        <v>255</v>
      </c>
      <c r="M546" s="176">
        <f ca="1">IF($D546&lt;&gt;"Serviço","",IF(AUTOEVENTO="manual",$A546,IF(ISERROR(MATCH($A546,$A$15:OFFSET($A546,-1,0),0)),MAX($M$15:OFFSET(M546,-1,0))+1,INDEX($M$15:OFFSET(M546,-1,0),MATCH($A546,$A$15:OFFSET($A546,-1,0),0)))))</f>
        <v>18</v>
      </c>
      <c r="N546" s="177" t="str">
        <f ca="1">IF($D546&lt;&gt;"Serviço","",IF(AUTOEVENTO="Manual",IF($A546=0,"&lt;-- defina o número do agrupador",OFFSET(EVENTOS!$D$14,$A546,0)),OFFSET($F$15,$A546,0)))</f>
        <v>INSTALAÇÕES ELÉTRICAS - 220V</v>
      </c>
      <c r="O546" s="178"/>
      <c r="Q546" s="178"/>
      <c r="R546" s="179"/>
      <c r="S546" s="179"/>
      <c r="T546" s="179"/>
      <c r="U546" s="179"/>
      <c r="V546" s="179"/>
      <c r="W546" s="179"/>
      <c r="X546" s="179"/>
      <c r="Y546" s="179"/>
      <c r="Z546" s="180"/>
      <c r="AB546" s="544">
        <f ca="1">IF(AND($D546="Serviço",AB$12&lt;&gt;0,$H546&gt;0,OR(AUTOEVENTO&lt;&gt;"manual",$M546&lt;&gt;1)),
IF(Import.TipoArredondamento&lt;&gt;"TransfereGOV",
ROUND(OFFSET($P546,0,AB$13),15-13*ORÇAMENTO!$AF$7)/$H546*OFFSET(ORÇAMENTO!$X$15,ROW(AB546)-ROW(AB$15),0),
ROUND(ROUND(OFFSET($P546,0,AB$13),15-13*ORÇAMENTO!$AF$7)*OFFSET(ORÇAMENTO!$W$15,ROW(AB546)-ROW(AB$15),0),15-13*ORÇAMENTO!$AF$11)),0)</f>
        <v>0</v>
      </c>
      <c r="AC546" s="545">
        <f ca="1">IF(AND($D546="Serviço",AC$12&lt;&gt;0,$H546&gt;0,OR(AUTOEVENTO&lt;&gt;"manual",$M546&lt;&gt;1)),
IF(Import.TipoArredondamento&lt;&gt;"TransfereGOV",
ROUND(OFFSET($P546,0,AC$13),15-13*ORÇAMENTO!$AF$7)/$H546*OFFSET(ORÇAMENTO!$X$15,ROW(AC546)-ROW(AC$15),0),
ROUND(ROUND(OFFSET($P546,0,AC$13),15-13*ORÇAMENTO!$AF$7)*OFFSET(ORÇAMENTO!$W$15,ROW(AC546)-ROW(AC$15),0),15-13*ORÇAMENTO!$AF$11)),0)</f>
        <v>0</v>
      </c>
      <c r="AD546" s="545">
        <f ca="1">IF(AND($D546="Serviço",AD$12&lt;&gt;0,$H546&gt;0,OR(AUTOEVENTO&lt;&gt;"manual",$M546&lt;&gt;1)),
IF(Import.TipoArredondamento&lt;&gt;"TransfereGOV",
ROUND(OFFSET($P546,0,AD$13),15-13*ORÇAMENTO!$AF$7)/$H546*OFFSET(ORÇAMENTO!$X$15,ROW(AD546)-ROW(AD$15),0),
ROUND(ROUND(OFFSET($P546,0,AD$13),15-13*ORÇAMENTO!$AF$7)*OFFSET(ORÇAMENTO!$W$15,ROW(AD546)-ROW(AD$15),0),15-13*ORÇAMENTO!$AF$11)),0)</f>
        <v>0</v>
      </c>
      <c r="AE546" s="545">
        <f ca="1">IF(AND($D546="Serviço",AE$12&lt;&gt;0,$H546&gt;0,OR(AUTOEVENTO&lt;&gt;"manual",$M546&lt;&gt;1)),
IF(Import.TipoArredondamento&lt;&gt;"TransfereGOV",
ROUND(OFFSET($P546,0,AE$13),15-13*ORÇAMENTO!$AF$7)/$H546*OFFSET(ORÇAMENTO!$X$15,ROW(AE546)-ROW(AE$15),0),
ROUND(ROUND(OFFSET($P546,0,AE$13),15-13*ORÇAMENTO!$AF$7)*OFFSET(ORÇAMENTO!$W$15,ROW(AE546)-ROW(AE$15),0),15-13*ORÇAMENTO!$AF$11)),0)</f>
        <v>0</v>
      </c>
      <c r="AF546" s="545">
        <f ca="1">IF(AND($D546="Serviço",AF$12&lt;&gt;0,$H546&gt;0,OR(AUTOEVENTO&lt;&gt;"manual",$M546&lt;&gt;1)),
IF(Import.TipoArredondamento&lt;&gt;"TransfereGOV",
ROUND(OFFSET($P546,0,AF$13),15-13*ORÇAMENTO!$AF$7)/$H546*OFFSET(ORÇAMENTO!$X$15,ROW(AF546)-ROW(AF$15),0),
ROUND(ROUND(OFFSET($P546,0,AF$13),15-13*ORÇAMENTO!$AF$7)*OFFSET(ORÇAMENTO!$W$15,ROW(AF546)-ROW(AF$15),0),15-13*ORÇAMENTO!$AF$11)),0)</f>
        <v>0</v>
      </c>
      <c r="AG546" s="545">
        <f ca="1">IF(AND($D546="Serviço",AG$12&lt;&gt;0,$H546&gt;0,OR(AUTOEVENTO&lt;&gt;"manual",$M546&lt;&gt;1)),
IF(Import.TipoArredondamento&lt;&gt;"TransfereGOV",
ROUND(OFFSET($P546,0,AG$13),15-13*ORÇAMENTO!$AF$7)/$H546*OFFSET(ORÇAMENTO!$X$15,ROW(AG546)-ROW(AG$15),0),
ROUND(ROUND(OFFSET($P546,0,AG$13),15-13*ORÇAMENTO!$AF$7)*OFFSET(ORÇAMENTO!$W$15,ROW(AG546)-ROW(AG$15),0),15-13*ORÇAMENTO!$AF$11)),0)</f>
        <v>0</v>
      </c>
      <c r="AH546" s="545">
        <f ca="1">IF(AND($D546="Serviço",AH$12&lt;&gt;0,$H546&gt;0,OR(AUTOEVENTO&lt;&gt;"manual",$M546&lt;&gt;1)),
IF(Import.TipoArredondamento&lt;&gt;"TransfereGOV",
ROUND(OFFSET($P546,0,AH$13),15-13*ORÇAMENTO!$AF$7)/$H546*OFFSET(ORÇAMENTO!$X$15,ROW(AH546)-ROW(AH$15),0),
ROUND(ROUND(OFFSET($P546,0,AH$13),15-13*ORÇAMENTO!$AF$7)*OFFSET(ORÇAMENTO!$W$15,ROW(AH546)-ROW(AH$15),0),15-13*ORÇAMENTO!$AF$11)),0)</f>
        <v>0</v>
      </c>
      <c r="AI546" s="545">
        <f ca="1">IF(AND($D546="Serviço",AI$12&lt;&gt;0,$H546&gt;0,OR(AUTOEVENTO&lt;&gt;"manual",$M546&lt;&gt;1)),
IF(Import.TipoArredondamento&lt;&gt;"TransfereGOV",
ROUND(OFFSET($P546,0,AI$13),15-13*ORÇAMENTO!$AF$7)/$H546*OFFSET(ORÇAMENTO!$X$15,ROW(AI546)-ROW(AI$15),0),
ROUND(ROUND(OFFSET($P546,0,AI$13),15-13*ORÇAMENTO!$AF$7)*OFFSET(ORÇAMENTO!$W$15,ROW(AI546)-ROW(AI$15),0),15-13*ORÇAMENTO!$AF$11)),0)</f>
        <v>0</v>
      </c>
      <c r="AJ546" s="545">
        <f ca="1">IF(AND($D546="Serviço",AJ$12&lt;&gt;0,$H546&gt;0,OR(AUTOEVENTO&lt;&gt;"manual",$M546&lt;&gt;1)),
IF(Import.TipoArredondamento&lt;&gt;"TransfereGOV",
ROUND(OFFSET($P546,0,AJ$13),15-13*ORÇAMENTO!$AF$7)/$H546*OFFSET(ORÇAMENTO!$X$15,ROW(AJ546)-ROW(AJ$15),0),
ROUND(ROUND(OFFSET($P546,0,AJ$13),15-13*ORÇAMENTO!$AF$7)*OFFSET(ORÇAMENTO!$W$15,ROW(AJ546)-ROW(AJ$15),0),15-13*ORÇAMENTO!$AF$11)),0)</f>
        <v>0</v>
      </c>
      <c r="AK546" s="546">
        <f ca="1">IF(AND($D546="Serviço",AK$12&lt;&gt;0,$H546&gt;0,OR(AUTOEVENTO&lt;&gt;"manual",$M546&lt;&gt;1)),
IF(Import.TipoArredondamento&lt;&gt;"TransfereGOV",
ROUND(OFFSET($P546,0,AK$13),15-13*ORÇAMENTO!$AF$7)/$H546*OFFSET(ORÇAMENTO!$X$15,ROW(AK546)-ROW(AK$15),0),
ROUND(ROUND(OFFSET($P546,0,AK$13),15-13*ORÇAMENTO!$AF$7)*OFFSET(ORÇAMENTO!$W$15,ROW(AK546)-ROW(AK$15),0),15-13*ORÇAMENTO!$AF$11)),0)</f>
        <v>0</v>
      </c>
      <c r="AM546" s="181">
        <f ca="1">IF($D546&lt;&gt;"Serviço",0,IF(AND(AUTOEVENTO="Manual",$M546=1),0,IF(OFFSET(CRONOPLE!$F$14,$M546,AM$13)="",10^12,OFFSET(CRONOPLE!$F$14,$M546,AM$13))))</f>
        <v>1000000000000</v>
      </c>
      <c r="AN546" s="181">
        <f ca="1">IF($D546&lt;&gt;"Serviço",0,IF(AND(AUTOEVENTO="Manual",$M546=1),0,IF(OFFSET(CRONOPLE!$F$14,$M546,AN$13)="",10^12,OFFSET(CRONOPLE!$F$14,$M546,AN$13))))</f>
        <v>1000000000000</v>
      </c>
      <c r="AO546" s="181">
        <f ca="1">IF($D546&lt;&gt;"Serviço",0,IF(AND(AUTOEVENTO="Manual",$M546=1),0,IF(OFFSET(CRONOPLE!$F$14,$M546,AO$13)="",10^12,OFFSET(CRONOPLE!$F$14,$M546,AO$13))))</f>
        <v>1000000000000</v>
      </c>
      <c r="AP546" s="181">
        <f ca="1">IF($D546&lt;&gt;"Serviço",0,IF(AND(AUTOEVENTO="Manual",$M546=1),0,IF(OFFSET(CRONOPLE!$F$14,$M546,AP$13)="",10^12,OFFSET(CRONOPLE!$F$14,$M546,AP$13))))</f>
        <v>1000000000000</v>
      </c>
      <c r="AQ546" s="181">
        <f ca="1">IF($D546&lt;&gt;"Serviço",0,IF(AND(AUTOEVENTO="Manual",$M546=1),0,IF(OFFSET(CRONOPLE!$F$14,$M546,AQ$13)="",10^12,OFFSET(CRONOPLE!$F$14,$M546,AQ$13))))</f>
        <v>1000000000000</v>
      </c>
      <c r="AR546" s="181">
        <f ca="1">IF($D546&lt;&gt;"Serviço",0,IF(AND(AUTOEVENTO="Manual",$M546=1),0,IF(OFFSET(CRONOPLE!$F$14,$M546,AR$13)="",10^12,OFFSET(CRONOPLE!$F$14,$M546,AR$13))))</f>
        <v>1000000000000</v>
      </c>
      <c r="AS546" s="181">
        <f ca="1">IF($D546&lt;&gt;"Serviço",0,IF(AND(AUTOEVENTO="Manual",$M546=1),0,IF(OFFSET(CRONOPLE!$F$14,$M546,AS$13)="",10^12,OFFSET(CRONOPLE!$F$14,$M546,AS$13))))</f>
        <v>1000000000000</v>
      </c>
      <c r="AT546" s="181">
        <f ca="1">IF($D546&lt;&gt;"Serviço",0,IF(AND(AUTOEVENTO="Manual",$M546=1),0,IF(OFFSET(CRONOPLE!$F$14,$M546,AT$13)="",10^12,OFFSET(CRONOPLE!$F$14,$M546,AT$13))))</f>
        <v>1000000000000</v>
      </c>
      <c r="AU546" s="181">
        <f ca="1">IF($D546&lt;&gt;"Serviço",0,IF(AND(AUTOEVENTO="Manual",$M546=1),0,IF(OFFSET(CRONOPLE!$F$14,$M546,AU$13)="",10^12,OFFSET(CRONOPLE!$F$14,$M546,AU$13))))</f>
        <v>1000000000000</v>
      </c>
      <c r="AV546" s="181">
        <f ca="1">IF($D546&lt;&gt;"Serviço",0,IF(AND(AUTOEVENTO="Manual",$M546=1),0,IF(OFFSET(CRONOPLE!$F$14,$M546,AV$13)="",10^12,OFFSET(CRONOPLE!$F$14,$M546,AV$13))))</f>
        <v>1000000000000</v>
      </c>
      <c r="AX546" s="182">
        <f ca="1">IF($D546&lt;&gt;"Serviço",0,IF(OR(AND(AUTOEVENTO="Manual",$M546=1),$M546&gt;(ROW(PLE.lastrow)-ROW(PLE.firstrow))),0,IF(OFFSET(PLE!$G$14,$M546,AX$13)="",10^12,OFFSET(PLE!$G$14,$M546,AX$13))))</f>
        <v>1000000000000</v>
      </c>
      <c r="AY546" s="182">
        <f ca="1">IF($D546&lt;&gt;"Serviço",0,IF(OR(AND(AUTOEVENTO="Manual",$M546=1),$M546&gt;(ROW(PLE.lastrow)-ROW(PLE.firstrow))),0,IF(OFFSET(PLE!$G$14,$M546,AY$13)="",10^12,OFFSET(PLE!$G$14,$M546,AY$13))))</f>
        <v>1000000000000</v>
      </c>
      <c r="AZ546" s="182">
        <f ca="1">IF($D546&lt;&gt;"Serviço",0,IF(OR(AND(AUTOEVENTO="Manual",$M546=1),$M546&gt;(ROW(PLE.lastrow)-ROW(PLE.firstrow))),0,IF(OFFSET(PLE!$G$14,$M546,AZ$13)="",10^12,OFFSET(PLE!$G$14,$M546,AZ$13))))</f>
        <v>1000000000000</v>
      </c>
      <c r="BA546" s="182">
        <f ca="1">IF($D546&lt;&gt;"Serviço",0,IF(OR(AND(AUTOEVENTO="Manual",$M546=1),$M546&gt;(ROW(PLE.lastrow)-ROW(PLE.firstrow))),0,IF(OFFSET(PLE!$G$14,$M546,BA$13)="",10^12,OFFSET(PLE!$G$14,$M546,BA$13))))</f>
        <v>1000000000000</v>
      </c>
      <c r="BB546" s="182">
        <f ca="1">IF($D546&lt;&gt;"Serviço",0,IF(OR(AND(AUTOEVENTO="Manual",$M546=1),$M546&gt;(ROW(PLE.lastrow)-ROW(PLE.firstrow))),0,IF(OFFSET(PLE!$G$14,$M546,BB$13)="",10^12,OFFSET(PLE!$G$14,$M546,BB$13))))</f>
        <v>1000000000000</v>
      </c>
      <c r="BC546" s="182">
        <f ca="1">IF($D546&lt;&gt;"Serviço",0,IF(OR(AND(AUTOEVENTO="Manual",$M546=1),$M546&gt;(ROW(PLE.lastrow)-ROW(PLE.firstrow))),0,IF(OFFSET(PLE!$G$14,$M546,BC$13)="",10^12,OFFSET(PLE!$G$14,$M546,BC$13))))</f>
        <v>1000000000000</v>
      </c>
      <c r="BD546" s="182">
        <f ca="1">IF($D546&lt;&gt;"Serviço",0,IF(OR(AND(AUTOEVENTO="Manual",$M546=1),$M546&gt;(ROW(PLE.lastrow)-ROW(PLE.firstrow))),0,IF(OFFSET(PLE!$G$14,$M546,BD$13)="",10^12,OFFSET(PLE!$G$14,$M546,BD$13))))</f>
        <v>1000000000000</v>
      </c>
      <c r="BE546" s="182">
        <f ca="1">IF($D546&lt;&gt;"Serviço",0,IF(OR(AND(AUTOEVENTO="Manual",$M546=1),$M546&gt;(ROW(PLE.lastrow)-ROW(PLE.firstrow))),0,IF(OFFSET(PLE!$G$14,$M546,BE$13)="",10^12,OFFSET(PLE!$G$14,$M546,BE$13))))</f>
        <v>1000000000000</v>
      </c>
      <c r="BF546" s="182">
        <f ca="1">IF($D546&lt;&gt;"Serviço",0,IF(OR(AND(AUTOEVENTO="Manual",$M546=1),$M546&gt;(ROW(PLE.lastrow)-ROW(PLE.firstrow))),0,IF(OFFSET(PLE!$G$14,$M546,BF$13)="",10^12,OFFSET(PLE!$G$14,$M546,BF$13))))</f>
        <v>1000000000000</v>
      </c>
      <c r="BG546" s="182">
        <f ca="1">IF($D546&lt;&gt;"Serviço",0,IF(OR(AND(AUTOEVENTO="Manual",$M546=1),$M546&gt;(ROW(PLE.lastrow)-ROW(PLE.firstrow))),0,IF(OFFSET(PLE!$G$14,$M546,BG$13)="",10^12,OFFSET(PLE!$G$14,$M546,BG$13))))</f>
        <v>1000000000000</v>
      </c>
    </row>
    <row r="547" spans="1:59" ht="38.25" x14ac:dyDescent="0.2">
      <c r="A547" s="7" t="str">
        <f t="shared" ca="1" si="15"/>
        <v>472</v>
      </c>
      <c r="B547" s="7" t="str">
        <f ca="1">OFFSET(ORÇAMENTO!C$15,ROW(B547)-ROW(B$15),0)</f>
        <v>S</v>
      </c>
      <c r="C547" s="7" t="str">
        <f ca="1">OFFSET(ORÇAMENTO!L$15,ROW(C547)-ROW(C$15),0)</f>
        <v/>
      </c>
      <c r="D547" s="118" t="str">
        <f ca="1">OFFSET(ORÇAMENTO!N$15,ROW(D547)-ROW(D$15),0)</f>
        <v>Serviço</v>
      </c>
      <c r="E547" s="119" t="str">
        <f ca="1">OFFSET(ORÇAMENTO!O$15,ROW(E547)-ROW(E$15),0)</f>
        <v>-</v>
      </c>
      <c r="F547" s="172" t="str">
        <f ca="1">OFFSET(ORÇAMENTO!R$15,ROW(F547)-ROW(F$15),0)</f>
        <v>(abra o arquivo 'Referência 02-2025.xlsm)</v>
      </c>
      <c r="G547" s="173" t="str">
        <f ca="1">IF($D547&lt;&gt;"Serviço","",OFFSET(ORÇAMENTO!S$15,ROW(G547)-ROW(G$15),0))</f>
        <v>-</v>
      </c>
      <c r="H547" s="124">
        <f ca="1">IF($D547&lt;&gt;"Serviço",0,IF(ACOMPANHAMENTO="BM",ROUND(OFFSET(ORÇAMENTO!AJ$15,ROW(H547)-ROW(H$15),0),15-13*ORÇAMENTO!$AF$7),SUMPRODUCT(($Q$12:$AA$12&lt;&gt;"")*ROUND($Q547:$AA547,15-13*ORÇAMENTO!$AF$7))))</f>
        <v>14</v>
      </c>
      <c r="I547" s="561" t="s">
        <v>890</v>
      </c>
      <c r="K547" s="174"/>
      <c r="L547" s="175" t="s">
        <v>255</v>
      </c>
      <c r="M547" s="176">
        <f ca="1">IF($D547&lt;&gt;"Serviço","",IF(AUTOEVENTO="manual",$A547,IF(ISERROR(MATCH($A547,$A$15:OFFSET($A547,-1,0),0)),MAX($M$15:OFFSET(M547,-1,0))+1,INDEX($M$15:OFFSET(M547,-1,0),MATCH($A547,$A$15:OFFSET($A547,-1,0),0)))))</f>
        <v>18</v>
      </c>
      <c r="N547" s="177" t="str">
        <f ca="1">IF($D547&lt;&gt;"Serviço","",IF(AUTOEVENTO="Manual",IF($A547=0,"&lt;-- defina o número do agrupador",OFFSET(EVENTOS!$D$14,$A547,0)),OFFSET($F$15,$A547,0)))</f>
        <v>INSTALAÇÕES ELÉTRICAS - 220V</v>
      </c>
      <c r="O547" s="178"/>
      <c r="Q547" s="178"/>
      <c r="R547" s="179"/>
      <c r="S547" s="179"/>
      <c r="T547" s="179"/>
      <c r="U547" s="179"/>
      <c r="V547" s="179"/>
      <c r="W547" s="179"/>
      <c r="X547" s="179"/>
      <c r="Y547" s="179"/>
      <c r="Z547" s="180"/>
      <c r="AB547" s="544">
        <f ca="1">IF(AND($D547="Serviço",AB$12&lt;&gt;0,$H547&gt;0,OR(AUTOEVENTO&lt;&gt;"manual",$M547&lt;&gt;1)),
IF(Import.TipoArredondamento&lt;&gt;"TransfereGOV",
ROUND(OFFSET($P547,0,AB$13),15-13*ORÇAMENTO!$AF$7)/$H547*OFFSET(ORÇAMENTO!$X$15,ROW(AB547)-ROW(AB$15),0),
ROUND(ROUND(OFFSET($P547,0,AB$13),15-13*ORÇAMENTO!$AF$7)*OFFSET(ORÇAMENTO!$W$15,ROW(AB547)-ROW(AB$15),0),15-13*ORÇAMENTO!$AF$11)),0)</f>
        <v>0</v>
      </c>
      <c r="AC547" s="545">
        <f ca="1">IF(AND($D547="Serviço",AC$12&lt;&gt;0,$H547&gt;0,OR(AUTOEVENTO&lt;&gt;"manual",$M547&lt;&gt;1)),
IF(Import.TipoArredondamento&lt;&gt;"TransfereGOV",
ROUND(OFFSET($P547,0,AC$13),15-13*ORÇAMENTO!$AF$7)/$H547*OFFSET(ORÇAMENTO!$X$15,ROW(AC547)-ROW(AC$15),0),
ROUND(ROUND(OFFSET($P547,0,AC$13),15-13*ORÇAMENTO!$AF$7)*OFFSET(ORÇAMENTO!$W$15,ROW(AC547)-ROW(AC$15),0),15-13*ORÇAMENTO!$AF$11)),0)</f>
        <v>0</v>
      </c>
      <c r="AD547" s="545">
        <f ca="1">IF(AND($D547="Serviço",AD$12&lt;&gt;0,$H547&gt;0,OR(AUTOEVENTO&lt;&gt;"manual",$M547&lt;&gt;1)),
IF(Import.TipoArredondamento&lt;&gt;"TransfereGOV",
ROUND(OFFSET($P547,0,AD$13),15-13*ORÇAMENTO!$AF$7)/$H547*OFFSET(ORÇAMENTO!$X$15,ROW(AD547)-ROW(AD$15),0),
ROUND(ROUND(OFFSET($P547,0,AD$13),15-13*ORÇAMENTO!$AF$7)*OFFSET(ORÇAMENTO!$W$15,ROW(AD547)-ROW(AD$15),0),15-13*ORÇAMENTO!$AF$11)),0)</f>
        <v>0</v>
      </c>
      <c r="AE547" s="545">
        <f ca="1">IF(AND($D547="Serviço",AE$12&lt;&gt;0,$H547&gt;0,OR(AUTOEVENTO&lt;&gt;"manual",$M547&lt;&gt;1)),
IF(Import.TipoArredondamento&lt;&gt;"TransfereGOV",
ROUND(OFFSET($P547,0,AE$13),15-13*ORÇAMENTO!$AF$7)/$H547*OFFSET(ORÇAMENTO!$X$15,ROW(AE547)-ROW(AE$15),0),
ROUND(ROUND(OFFSET($P547,0,AE$13),15-13*ORÇAMENTO!$AF$7)*OFFSET(ORÇAMENTO!$W$15,ROW(AE547)-ROW(AE$15),0),15-13*ORÇAMENTO!$AF$11)),0)</f>
        <v>0</v>
      </c>
      <c r="AF547" s="545">
        <f ca="1">IF(AND($D547="Serviço",AF$12&lt;&gt;0,$H547&gt;0,OR(AUTOEVENTO&lt;&gt;"manual",$M547&lt;&gt;1)),
IF(Import.TipoArredondamento&lt;&gt;"TransfereGOV",
ROUND(OFFSET($P547,0,AF$13),15-13*ORÇAMENTO!$AF$7)/$H547*OFFSET(ORÇAMENTO!$X$15,ROW(AF547)-ROW(AF$15),0),
ROUND(ROUND(OFFSET($P547,0,AF$13),15-13*ORÇAMENTO!$AF$7)*OFFSET(ORÇAMENTO!$W$15,ROW(AF547)-ROW(AF$15),0),15-13*ORÇAMENTO!$AF$11)),0)</f>
        <v>0</v>
      </c>
      <c r="AG547" s="545">
        <f ca="1">IF(AND($D547="Serviço",AG$12&lt;&gt;0,$H547&gt;0,OR(AUTOEVENTO&lt;&gt;"manual",$M547&lt;&gt;1)),
IF(Import.TipoArredondamento&lt;&gt;"TransfereGOV",
ROUND(OFFSET($P547,0,AG$13),15-13*ORÇAMENTO!$AF$7)/$H547*OFFSET(ORÇAMENTO!$X$15,ROW(AG547)-ROW(AG$15),0),
ROUND(ROUND(OFFSET($P547,0,AG$13),15-13*ORÇAMENTO!$AF$7)*OFFSET(ORÇAMENTO!$W$15,ROW(AG547)-ROW(AG$15),0),15-13*ORÇAMENTO!$AF$11)),0)</f>
        <v>0</v>
      </c>
      <c r="AH547" s="545">
        <f ca="1">IF(AND($D547="Serviço",AH$12&lt;&gt;0,$H547&gt;0,OR(AUTOEVENTO&lt;&gt;"manual",$M547&lt;&gt;1)),
IF(Import.TipoArredondamento&lt;&gt;"TransfereGOV",
ROUND(OFFSET($P547,0,AH$13),15-13*ORÇAMENTO!$AF$7)/$H547*OFFSET(ORÇAMENTO!$X$15,ROW(AH547)-ROW(AH$15),0),
ROUND(ROUND(OFFSET($P547,0,AH$13),15-13*ORÇAMENTO!$AF$7)*OFFSET(ORÇAMENTO!$W$15,ROW(AH547)-ROW(AH$15),0),15-13*ORÇAMENTO!$AF$11)),0)</f>
        <v>0</v>
      </c>
      <c r="AI547" s="545">
        <f ca="1">IF(AND($D547="Serviço",AI$12&lt;&gt;0,$H547&gt;0,OR(AUTOEVENTO&lt;&gt;"manual",$M547&lt;&gt;1)),
IF(Import.TipoArredondamento&lt;&gt;"TransfereGOV",
ROUND(OFFSET($P547,0,AI$13),15-13*ORÇAMENTO!$AF$7)/$H547*OFFSET(ORÇAMENTO!$X$15,ROW(AI547)-ROW(AI$15),0),
ROUND(ROUND(OFFSET($P547,0,AI$13),15-13*ORÇAMENTO!$AF$7)*OFFSET(ORÇAMENTO!$W$15,ROW(AI547)-ROW(AI$15),0),15-13*ORÇAMENTO!$AF$11)),0)</f>
        <v>0</v>
      </c>
      <c r="AJ547" s="545">
        <f ca="1">IF(AND($D547="Serviço",AJ$12&lt;&gt;0,$H547&gt;0,OR(AUTOEVENTO&lt;&gt;"manual",$M547&lt;&gt;1)),
IF(Import.TipoArredondamento&lt;&gt;"TransfereGOV",
ROUND(OFFSET($P547,0,AJ$13),15-13*ORÇAMENTO!$AF$7)/$H547*OFFSET(ORÇAMENTO!$X$15,ROW(AJ547)-ROW(AJ$15),0),
ROUND(ROUND(OFFSET($P547,0,AJ$13),15-13*ORÇAMENTO!$AF$7)*OFFSET(ORÇAMENTO!$W$15,ROW(AJ547)-ROW(AJ$15),0),15-13*ORÇAMENTO!$AF$11)),0)</f>
        <v>0</v>
      </c>
      <c r="AK547" s="546">
        <f ca="1">IF(AND($D547="Serviço",AK$12&lt;&gt;0,$H547&gt;0,OR(AUTOEVENTO&lt;&gt;"manual",$M547&lt;&gt;1)),
IF(Import.TipoArredondamento&lt;&gt;"TransfereGOV",
ROUND(OFFSET($P547,0,AK$13),15-13*ORÇAMENTO!$AF$7)/$H547*OFFSET(ORÇAMENTO!$X$15,ROW(AK547)-ROW(AK$15),0),
ROUND(ROUND(OFFSET($P547,0,AK$13),15-13*ORÇAMENTO!$AF$7)*OFFSET(ORÇAMENTO!$W$15,ROW(AK547)-ROW(AK$15),0),15-13*ORÇAMENTO!$AF$11)),0)</f>
        <v>0</v>
      </c>
      <c r="AM547" s="181">
        <f ca="1">IF($D547&lt;&gt;"Serviço",0,IF(AND(AUTOEVENTO="Manual",$M547=1),0,IF(OFFSET(CRONOPLE!$F$14,$M547,AM$13)="",10^12,OFFSET(CRONOPLE!$F$14,$M547,AM$13))))</f>
        <v>1000000000000</v>
      </c>
      <c r="AN547" s="181">
        <f ca="1">IF($D547&lt;&gt;"Serviço",0,IF(AND(AUTOEVENTO="Manual",$M547=1),0,IF(OFFSET(CRONOPLE!$F$14,$M547,AN$13)="",10^12,OFFSET(CRONOPLE!$F$14,$M547,AN$13))))</f>
        <v>1000000000000</v>
      </c>
      <c r="AO547" s="181">
        <f ca="1">IF($D547&lt;&gt;"Serviço",0,IF(AND(AUTOEVENTO="Manual",$M547=1),0,IF(OFFSET(CRONOPLE!$F$14,$M547,AO$13)="",10^12,OFFSET(CRONOPLE!$F$14,$M547,AO$13))))</f>
        <v>1000000000000</v>
      </c>
      <c r="AP547" s="181">
        <f ca="1">IF($D547&lt;&gt;"Serviço",0,IF(AND(AUTOEVENTO="Manual",$M547=1),0,IF(OFFSET(CRONOPLE!$F$14,$M547,AP$13)="",10^12,OFFSET(CRONOPLE!$F$14,$M547,AP$13))))</f>
        <v>1000000000000</v>
      </c>
      <c r="AQ547" s="181">
        <f ca="1">IF($D547&lt;&gt;"Serviço",0,IF(AND(AUTOEVENTO="Manual",$M547=1),0,IF(OFFSET(CRONOPLE!$F$14,$M547,AQ$13)="",10^12,OFFSET(CRONOPLE!$F$14,$M547,AQ$13))))</f>
        <v>1000000000000</v>
      </c>
      <c r="AR547" s="181">
        <f ca="1">IF($D547&lt;&gt;"Serviço",0,IF(AND(AUTOEVENTO="Manual",$M547=1),0,IF(OFFSET(CRONOPLE!$F$14,$M547,AR$13)="",10^12,OFFSET(CRONOPLE!$F$14,$M547,AR$13))))</f>
        <v>1000000000000</v>
      </c>
      <c r="AS547" s="181">
        <f ca="1">IF($D547&lt;&gt;"Serviço",0,IF(AND(AUTOEVENTO="Manual",$M547=1),0,IF(OFFSET(CRONOPLE!$F$14,$M547,AS$13)="",10^12,OFFSET(CRONOPLE!$F$14,$M547,AS$13))))</f>
        <v>1000000000000</v>
      </c>
      <c r="AT547" s="181">
        <f ca="1">IF($D547&lt;&gt;"Serviço",0,IF(AND(AUTOEVENTO="Manual",$M547=1),0,IF(OFFSET(CRONOPLE!$F$14,$M547,AT$13)="",10^12,OFFSET(CRONOPLE!$F$14,$M547,AT$13))))</f>
        <v>1000000000000</v>
      </c>
      <c r="AU547" s="181">
        <f ca="1">IF($D547&lt;&gt;"Serviço",0,IF(AND(AUTOEVENTO="Manual",$M547=1),0,IF(OFFSET(CRONOPLE!$F$14,$M547,AU$13)="",10^12,OFFSET(CRONOPLE!$F$14,$M547,AU$13))))</f>
        <v>1000000000000</v>
      </c>
      <c r="AV547" s="181">
        <f ca="1">IF($D547&lt;&gt;"Serviço",0,IF(AND(AUTOEVENTO="Manual",$M547=1),0,IF(OFFSET(CRONOPLE!$F$14,$M547,AV$13)="",10^12,OFFSET(CRONOPLE!$F$14,$M547,AV$13))))</f>
        <v>1000000000000</v>
      </c>
      <c r="AX547" s="182">
        <f ca="1">IF($D547&lt;&gt;"Serviço",0,IF(OR(AND(AUTOEVENTO="Manual",$M547=1),$M547&gt;(ROW(PLE.lastrow)-ROW(PLE.firstrow))),0,IF(OFFSET(PLE!$G$14,$M547,AX$13)="",10^12,OFFSET(PLE!$G$14,$M547,AX$13))))</f>
        <v>1000000000000</v>
      </c>
      <c r="AY547" s="182">
        <f ca="1">IF($D547&lt;&gt;"Serviço",0,IF(OR(AND(AUTOEVENTO="Manual",$M547=1),$M547&gt;(ROW(PLE.lastrow)-ROW(PLE.firstrow))),0,IF(OFFSET(PLE!$G$14,$M547,AY$13)="",10^12,OFFSET(PLE!$G$14,$M547,AY$13))))</f>
        <v>1000000000000</v>
      </c>
      <c r="AZ547" s="182">
        <f ca="1">IF($D547&lt;&gt;"Serviço",0,IF(OR(AND(AUTOEVENTO="Manual",$M547=1),$M547&gt;(ROW(PLE.lastrow)-ROW(PLE.firstrow))),0,IF(OFFSET(PLE!$G$14,$M547,AZ$13)="",10^12,OFFSET(PLE!$G$14,$M547,AZ$13))))</f>
        <v>1000000000000</v>
      </c>
      <c r="BA547" s="182">
        <f ca="1">IF($D547&lt;&gt;"Serviço",0,IF(OR(AND(AUTOEVENTO="Manual",$M547=1),$M547&gt;(ROW(PLE.lastrow)-ROW(PLE.firstrow))),0,IF(OFFSET(PLE!$G$14,$M547,BA$13)="",10^12,OFFSET(PLE!$G$14,$M547,BA$13))))</f>
        <v>1000000000000</v>
      </c>
      <c r="BB547" s="182">
        <f ca="1">IF($D547&lt;&gt;"Serviço",0,IF(OR(AND(AUTOEVENTO="Manual",$M547=1),$M547&gt;(ROW(PLE.lastrow)-ROW(PLE.firstrow))),0,IF(OFFSET(PLE!$G$14,$M547,BB$13)="",10^12,OFFSET(PLE!$G$14,$M547,BB$13))))</f>
        <v>1000000000000</v>
      </c>
      <c r="BC547" s="182">
        <f ca="1">IF($D547&lt;&gt;"Serviço",0,IF(OR(AND(AUTOEVENTO="Manual",$M547=1),$M547&gt;(ROW(PLE.lastrow)-ROW(PLE.firstrow))),0,IF(OFFSET(PLE!$G$14,$M547,BC$13)="",10^12,OFFSET(PLE!$G$14,$M547,BC$13))))</f>
        <v>1000000000000</v>
      </c>
      <c r="BD547" s="182">
        <f ca="1">IF($D547&lt;&gt;"Serviço",0,IF(OR(AND(AUTOEVENTO="Manual",$M547=1),$M547&gt;(ROW(PLE.lastrow)-ROW(PLE.firstrow))),0,IF(OFFSET(PLE!$G$14,$M547,BD$13)="",10^12,OFFSET(PLE!$G$14,$M547,BD$13))))</f>
        <v>1000000000000</v>
      </c>
      <c r="BE547" s="182">
        <f ca="1">IF($D547&lt;&gt;"Serviço",0,IF(OR(AND(AUTOEVENTO="Manual",$M547=1),$M547&gt;(ROW(PLE.lastrow)-ROW(PLE.firstrow))),0,IF(OFFSET(PLE!$G$14,$M547,BE$13)="",10^12,OFFSET(PLE!$G$14,$M547,BE$13))))</f>
        <v>1000000000000</v>
      </c>
      <c r="BF547" s="182">
        <f ca="1">IF($D547&lt;&gt;"Serviço",0,IF(OR(AND(AUTOEVENTO="Manual",$M547=1),$M547&gt;(ROW(PLE.lastrow)-ROW(PLE.firstrow))),0,IF(OFFSET(PLE!$G$14,$M547,BF$13)="",10^12,OFFSET(PLE!$G$14,$M547,BF$13))))</f>
        <v>1000000000000</v>
      </c>
      <c r="BG547" s="182">
        <f ca="1">IF($D547&lt;&gt;"Serviço",0,IF(OR(AND(AUTOEVENTO="Manual",$M547=1),$M547&gt;(ROW(PLE.lastrow)-ROW(PLE.firstrow))),0,IF(OFFSET(PLE!$G$14,$M547,BG$13)="",10^12,OFFSET(PLE!$G$14,$M547,BG$13))))</f>
        <v>1000000000000</v>
      </c>
    </row>
    <row r="548" spans="1:59" ht="38.25" x14ac:dyDescent="0.2">
      <c r="A548" s="7" t="str">
        <f t="shared" ca="1" si="15"/>
        <v>472</v>
      </c>
      <c r="B548" s="7" t="str">
        <f ca="1">OFFSET(ORÇAMENTO!C$15,ROW(B548)-ROW(B$15),0)</f>
        <v>S</v>
      </c>
      <c r="C548" s="7" t="str">
        <f ca="1">OFFSET(ORÇAMENTO!L$15,ROW(C548)-ROW(C$15),0)</f>
        <v/>
      </c>
      <c r="D548" s="118" t="str">
        <f ca="1">OFFSET(ORÇAMENTO!N$15,ROW(D548)-ROW(D$15),0)</f>
        <v>Serviço</v>
      </c>
      <c r="E548" s="119" t="str">
        <f ca="1">OFFSET(ORÇAMENTO!O$15,ROW(E548)-ROW(E$15),0)</f>
        <v>-</v>
      </c>
      <c r="F548" s="172" t="str">
        <f ca="1">OFFSET(ORÇAMENTO!R$15,ROW(F548)-ROW(F$15),0)</f>
        <v>(abra o arquivo 'Referência 02-2025.xlsm)</v>
      </c>
      <c r="G548" s="173" t="str">
        <f ca="1">IF($D548&lt;&gt;"Serviço","",OFFSET(ORÇAMENTO!S$15,ROW(G548)-ROW(G$15),0))</f>
        <v>-</v>
      </c>
      <c r="H548" s="124">
        <f ca="1">IF($D548&lt;&gt;"Serviço",0,IF(ACOMPANHAMENTO="BM",ROUND(OFFSET(ORÇAMENTO!AJ$15,ROW(H548)-ROW(H$15),0),15-13*ORÇAMENTO!$AF$7),SUMPRODUCT(($Q$12:$AA$12&lt;&gt;"")*ROUND($Q548:$AA548,15-13*ORÇAMENTO!$AF$7))))</f>
        <v>1</v>
      </c>
      <c r="I548" s="561" t="s">
        <v>890</v>
      </c>
      <c r="K548" s="174"/>
      <c r="L548" s="175" t="s">
        <v>255</v>
      </c>
      <c r="M548" s="176">
        <f ca="1">IF($D548&lt;&gt;"Serviço","",IF(AUTOEVENTO="manual",$A548,IF(ISERROR(MATCH($A548,$A$15:OFFSET($A548,-1,0),0)),MAX($M$15:OFFSET(M548,-1,0))+1,INDEX($M$15:OFFSET(M548,-1,0),MATCH($A548,$A$15:OFFSET($A548,-1,0),0)))))</f>
        <v>18</v>
      </c>
      <c r="N548" s="177" t="str">
        <f ca="1">IF($D548&lt;&gt;"Serviço","",IF(AUTOEVENTO="Manual",IF($A548=0,"&lt;-- defina o número do agrupador",OFFSET(EVENTOS!$D$14,$A548,0)),OFFSET($F$15,$A548,0)))</f>
        <v>INSTALAÇÕES ELÉTRICAS - 220V</v>
      </c>
      <c r="O548" s="178"/>
      <c r="Q548" s="178"/>
      <c r="R548" s="179"/>
      <c r="S548" s="179"/>
      <c r="T548" s="179"/>
      <c r="U548" s="179"/>
      <c r="V548" s="179"/>
      <c r="W548" s="179"/>
      <c r="X548" s="179"/>
      <c r="Y548" s="179"/>
      <c r="Z548" s="180"/>
      <c r="AB548" s="544">
        <f ca="1">IF(AND($D548="Serviço",AB$12&lt;&gt;0,$H548&gt;0,OR(AUTOEVENTO&lt;&gt;"manual",$M548&lt;&gt;1)),
IF(Import.TipoArredondamento&lt;&gt;"TransfereGOV",
ROUND(OFFSET($P548,0,AB$13),15-13*ORÇAMENTO!$AF$7)/$H548*OFFSET(ORÇAMENTO!$X$15,ROW(AB548)-ROW(AB$15),0),
ROUND(ROUND(OFFSET($P548,0,AB$13),15-13*ORÇAMENTO!$AF$7)*OFFSET(ORÇAMENTO!$W$15,ROW(AB548)-ROW(AB$15),0),15-13*ORÇAMENTO!$AF$11)),0)</f>
        <v>0</v>
      </c>
      <c r="AC548" s="545">
        <f ca="1">IF(AND($D548="Serviço",AC$12&lt;&gt;0,$H548&gt;0,OR(AUTOEVENTO&lt;&gt;"manual",$M548&lt;&gt;1)),
IF(Import.TipoArredondamento&lt;&gt;"TransfereGOV",
ROUND(OFFSET($P548,0,AC$13),15-13*ORÇAMENTO!$AF$7)/$H548*OFFSET(ORÇAMENTO!$X$15,ROW(AC548)-ROW(AC$15),0),
ROUND(ROUND(OFFSET($P548,0,AC$13),15-13*ORÇAMENTO!$AF$7)*OFFSET(ORÇAMENTO!$W$15,ROW(AC548)-ROW(AC$15),0),15-13*ORÇAMENTO!$AF$11)),0)</f>
        <v>0</v>
      </c>
      <c r="AD548" s="545">
        <f ca="1">IF(AND($D548="Serviço",AD$12&lt;&gt;0,$H548&gt;0,OR(AUTOEVENTO&lt;&gt;"manual",$M548&lt;&gt;1)),
IF(Import.TipoArredondamento&lt;&gt;"TransfereGOV",
ROUND(OFFSET($P548,0,AD$13),15-13*ORÇAMENTO!$AF$7)/$H548*OFFSET(ORÇAMENTO!$X$15,ROW(AD548)-ROW(AD$15),0),
ROUND(ROUND(OFFSET($P548,0,AD$13),15-13*ORÇAMENTO!$AF$7)*OFFSET(ORÇAMENTO!$W$15,ROW(AD548)-ROW(AD$15),0),15-13*ORÇAMENTO!$AF$11)),0)</f>
        <v>0</v>
      </c>
      <c r="AE548" s="545">
        <f ca="1">IF(AND($D548="Serviço",AE$12&lt;&gt;0,$H548&gt;0,OR(AUTOEVENTO&lt;&gt;"manual",$M548&lt;&gt;1)),
IF(Import.TipoArredondamento&lt;&gt;"TransfereGOV",
ROUND(OFFSET($P548,0,AE$13),15-13*ORÇAMENTO!$AF$7)/$H548*OFFSET(ORÇAMENTO!$X$15,ROW(AE548)-ROW(AE$15),0),
ROUND(ROUND(OFFSET($P548,0,AE$13),15-13*ORÇAMENTO!$AF$7)*OFFSET(ORÇAMENTO!$W$15,ROW(AE548)-ROW(AE$15),0),15-13*ORÇAMENTO!$AF$11)),0)</f>
        <v>0</v>
      </c>
      <c r="AF548" s="545">
        <f ca="1">IF(AND($D548="Serviço",AF$12&lt;&gt;0,$H548&gt;0,OR(AUTOEVENTO&lt;&gt;"manual",$M548&lt;&gt;1)),
IF(Import.TipoArredondamento&lt;&gt;"TransfereGOV",
ROUND(OFFSET($P548,0,AF$13),15-13*ORÇAMENTO!$AF$7)/$H548*OFFSET(ORÇAMENTO!$X$15,ROW(AF548)-ROW(AF$15),0),
ROUND(ROUND(OFFSET($P548,0,AF$13),15-13*ORÇAMENTO!$AF$7)*OFFSET(ORÇAMENTO!$W$15,ROW(AF548)-ROW(AF$15),0),15-13*ORÇAMENTO!$AF$11)),0)</f>
        <v>0</v>
      </c>
      <c r="AG548" s="545">
        <f ca="1">IF(AND($D548="Serviço",AG$12&lt;&gt;0,$H548&gt;0,OR(AUTOEVENTO&lt;&gt;"manual",$M548&lt;&gt;1)),
IF(Import.TipoArredondamento&lt;&gt;"TransfereGOV",
ROUND(OFFSET($P548,0,AG$13),15-13*ORÇAMENTO!$AF$7)/$H548*OFFSET(ORÇAMENTO!$X$15,ROW(AG548)-ROW(AG$15),0),
ROUND(ROUND(OFFSET($P548,0,AG$13),15-13*ORÇAMENTO!$AF$7)*OFFSET(ORÇAMENTO!$W$15,ROW(AG548)-ROW(AG$15),0),15-13*ORÇAMENTO!$AF$11)),0)</f>
        <v>0</v>
      </c>
      <c r="AH548" s="545">
        <f ca="1">IF(AND($D548="Serviço",AH$12&lt;&gt;0,$H548&gt;0,OR(AUTOEVENTO&lt;&gt;"manual",$M548&lt;&gt;1)),
IF(Import.TipoArredondamento&lt;&gt;"TransfereGOV",
ROUND(OFFSET($P548,0,AH$13),15-13*ORÇAMENTO!$AF$7)/$H548*OFFSET(ORÇAMENTO!$X$15,ROW(AH548)-ROW(AH$15),0),
ROUND(ROUND(OFFSET($P548,0,AH$13),15-13*ORÇAMENTO!$AF$7)*OFFSET(ORÇAMENTO!$W$15,ROW(AH548)-ROW(AH$15),0),15-13*ORÇAMENTO!$AF$11)),0)</f>
        <v>0</v>
      </c>
      <c r="AI548" s="545">
        <f ca="1">IF(AND($D548="Serviço",AI$12&lt;&gt;0,$H548&gt;0,OR(AUTOEVENTO&lt;&gt;"manual",$M548&lt;&gt;1)),
IF(Import.TipoArredondamento&lt;&gt;"TransfereGOV",
ROUND(OFFSET($P548,0,AI$13),15-13*ORÇAMENTO!$AF$7)/$H548*OFFSET(ORÇAMENTO!$X$15,ROW(AI548)-ROW(AI$15),0),
ROUND(ROUND(OFFSET($P548,0,AI$13),15-13*ORÇAMENTO!$AF$7)*OFFSET(ORÇAMENTO!$W$15,ROW(AI548)-ROW(AI$15),0),15-13*ORÇAMENTO!$AF$11)),0)</f>
        <v>0</v>
      </c>
      <c r="AJ548" s="545">
        <f ca="1">IF(AND($D548="Serviço",AJ$12&lt;&gt;0,$H548&gt;0,OR(AUTOEVENTO&lt;&gt;"manual",$M548&lt;&gt;1)),
IF(Import.TipoArredondamento&lt;&gt;"TransfereGOV",
ROUND(OFFSET($P548,0,AJ$13),15-13*ORÇAMENTO!$AF$7)/$H548*OFFSET(ORÇAMENTO!$X$15,ROW(AJ548)-ROW(AJ$15),0),
ROUND(ROUND(OFFSET($P548,0,AJ$13),15-13*ORÇAMENTO!$AF$7)*OFFSET(ORÇAMENTO!$W$15,ROW(AJ548)-ROW(AJ$15),0),15-13*ORÇAMENTO!$AF$11)),0)</f>
        <v>0</v>
      </c>
      <c r="AK548" s="546">
        <f ca="1">IF(AND($D548="Serviço",AK$12&lt;&gt;0,$H548&gt;0,OR(AUTOEVENTO&lt;&gt;"manual",$M548&lt;&gt;1)),
IF(Import.TipoArredondamento&lt;&gt;"TransfereGOV",
ROUND(OFFSET($P548,0,AK$13),15-13*ORÇAMENTO!$AF$7)/$H548*OFFSET(ORÇAMENTO!$X$15,ROW(AK548)-ROW(AK$15),0),
ROUND(ROUND(OFFSET($P548,0,AK$13),15-13*ORÇAMENTO!$AF$7)*OFFSET(ORÇAMENTO!$W$15,ROW(AK548)-ROW(AK$15),0),15-13*ORÇAMENTO!$AF$11)),0)</f>
        <v>0</v>
      </c>
      <c r="AM548" s="181">
        <f ca="1">IF($D548&lt;&gt;"Serviço",0,IF(AND(AUTOEVENTO="Manual",$M548=1),0,IF(OFFSET(CRONOPLE!$F$14,$M548,AM$13)="",10^12,OFFSET(CRONOPLE!$F$14,$M548,AM$13))))</f>
        <v>1000000000000</v>
      </c>
      <c r="AN548" s="181">
        <f ca="1">IF($D548&lt;&gt;"Serviço",0,IF(AND(AUTOEVENTO="Manual",$M548=1),0,IF(OFFSET(CRONOPLE!$F$14,$M548,AN$13)="",10^12,OFFSET(CRONOPLE!$F$14,$M548,AN$13))))</f>
        <v>1000000000000</v>
      </c>
      <c r="AO548" s="181">
        <f ca="1">IF($D548&lt;&gt;"Serviço",0,IF(AND(AUTOEVENTO="Manual",$M548=1),0,IF(OFFSET(CRONOPLE!$F$14,$M548,AO$13)="",10^12,OFFSET(CRONOPLE!$F$14,$M548,AO$13))))</f>
        <v>1000000000000</v>
      </c>
      <c r="AP548" s="181">
        <f ca="1">IF($D548&lt;&gt;"Serviço",0,IF(AND(AUTOEVENTO="Manual",$M548=1),0,IF(OFFSET(CRONOPLE!$F$14,$M548,AP$13)="",10^12,OFFSET(CRONOPLE!$F$14,$M548,AP$13))))</f>
        <v>1000000000000</v>
      </c>
      <c r="AQ548" s="181">
        <f ca="1">IF($D548&lt;&gt;"Serviço",0,IF(AND(AUTOEVENTO="Manual",$M548=1),0,IF(OFFSET(CRONOPLE!$F$14,$M548,AQ$13)="",10^12,OFFSET(CRONOPLE!$F$14,$M548,AQ$13))))</f>
        <v>1000000000000</v>
      </c>
      <c r="AR548" s="181">
        <f ca="1">IF($D548&lt;&gt;"Serviço",0,IF(AND(AUTOEVENTO="Manual",$M548=1),0,IF(OFFSET(CRONOPLE!$F$14,$M548,AR$13)="",10^12,OFFSET(CRONOPLE!$F$14,$M548,AR$13))))</f>
        <v>1000000000000</v>
      </c>
      <c r="AS548" s="181">
        <f ca="1">IF($D548&lt;&gt;"Serviço",0,IF(AND(AUTOEVENTO="Manual",$M548=1),0,IF(OFFSET(CRONOPLE!$F$14,$M548,AS$13)="",10^12,OFFSET(CRONOPLE!$F$14,$M548,AS$13))))</f>
        <v>1000000000000</v>
      </c>
      <c r="AT548" s="181">
        <f ca="1">IF($D548&lt;&gt;"Serviço",0,IF(AND(AUTOEVENTO="Manual",$M548=1),0,IF(OFFSET(CRONOPLE!$F$14,$M548,AT$13)="",10^12,OFFSET(CRONOPLE!$F$14,$M548,AT$13))))</f>
        <v>1000000000000</v>
      </c>
      <c r="AU548" s="181">
        <f ca="1">IF($D548&lt;&gt;"Serviço",0,IF(AND(AUTOEVENTO="Manual",$M548=1),0,IF(OFFSET(CRONOPLE!$F$14,$M548,AU$13)="",10^12,OFFSET(CRONOPLE!$F$14,$M548,AU$13))))</f>
        <v>1000000000000</v>
      </c>
      <c r="AV548" s="181">
        <f ca="1">IF($D548&lt;&gt;"Serviço",0,IF(AND(AUTOEVENTO="Manual",$M548=1),0,IF(OFFSET(CRONOPLE!$F$14,$M548,AV$13)="",10^12,OFFSET(CRONOPLE!$F$14,$M548,AV$13))))</f>
        <v>1000000000000</v>
      </c>
      <c r="AX548" s="182">
        <f ca="1">IF($D548&lt;&gt;"Serviço",0,IF(OR(AND(AUTOEVENTO="Manual",$M548=1),$M548&gt;(ROW(PLE.lastrow)-ROW(PLE.firstrow))),0,IF(OFFSET(PLE!$G$14,$M548,AX$13)="",10^12,OFFSET(PLE!$G$14,$M548,AX$13))))</f>
        <v>1000000000000</v>
      </c>
      <c r="AY548" s="182">
        <f ca="1">IF($D548&lt;&gt;"Serviço",0,IF(OR(AND(AUTOEVENTO="Manual",$M548=1),$M548&gt;(ROW(PLE.lastrow)-ROW(PLE.firstrow))),0,IF(OFFSET(PLE!$G$14,$M548,AY$13)="",10^12,OFFSET(PLE!$G$14,$M548,AY$13))))</f>
        <v>1000000000000</v>
      </c>
      <c r="AZ548" s="182">
        <f ca="1">IF($D548&lt;&gt;"Serviço",0,IF(OR(AND(AUTOEVENTO="Manual",$M548=1),$M548&gt;(ROW(PLE.lastrow)-ROW(PLE.firstrow))),0,IF(OFFSET(PLE!$G$14,$M548,AZ$13)="",10^12,OFFSET(PLE!$G$14,$M548,AZ$13))))</f>
        <v>1000000000000</v>
      </c>
      <c r="BA548" s="182">
        <f ca="1">IF($D548&lt;&gt;"Serviço",0,IF(OR(AND(AUTOEVENTO="Manual",$M548=1),$M548&gt;(ROW(PLE.lastrow)-ROW(PLE.firstrow))),0,IF(OFFSET(PLE!$G$14,$M548,BA$13)="",10^12,OFFSET(PLE!$G$14,$M548,BA$13))))</f>
        <v>1000000000000</v>
      </c>
      <c r="BB548" s="182">
        <f ca="1">IF($D548&lt;&gt;"Serviço",0,IF(OR(AND(AUTOEVENTO="Manual",$M548=1),$M548&gt;(ROW(PLE.lastrow)-ROW(PLE.firstrow))),0,IF(OFFSET(PLE!$G$14,$M548,BB$13)="",10^12,OFFSET(PLE!$G$14,$M548,BB$13))))</f>
        <v>1000000000000</v>
      </c>
      <c r="BC548" s="182">
        <f ca="1">IF($D548&lt;&gt;"Serviço",0,IF(OR(AND(AUTOEVENTO="Manual",$M548=1),$M548&gt;(ROW(PLE.lastrow)-ROW(PLE.firstrow))),0,IF(OFFSET(PLE!$G$14,$M548,BC$13)="",10^12,OFFSET(PLE!$G$14,$M548,BC$13))))</f>
        <v>1000000000000</v>
      </c>
      <c r="BD548" s="182">
        <f ca="1">IF($D548&lt;&gt;"Serviço",0,IF(OR(AND(AUTOEVENTO="Manual",$M548=1),$M548&gt;(ROW(PLE.lastrow)-ROW(PLE.firstrow))),0,IF(OFFSET(PLE!$G$14,$M548,BD$13)="",10^12,OFFSET(PLE!$G$14,$M548,BD$13))))</f>
        <v>1000000000000</v>
      </c>
      <c r="BE548" s="182">
        <f ca="1">IF($D548&lt;&gt;"Serviço",0,IF(OR(AND(AUTOEVENTO="Manual",$M548=1),$M548&gt;(ROW(PLE.lastrow)-ROW(PLE.firstrow))),0,IF(OFFSET(PLE!$G$14,$M548,BE$13)="",10^12,OFFSET(PLE!$G$14,$M548,BE$13))))</f>
        <v>1000000000000</v>
      </c>
      <c r="BF548" s="182">
        <f ca="1">IF($D548&lt;&gt;"Serviço",0,IF(OR(AND(AUTOEVENTO="Manual",$M548=1),$M548&gt;(ROW(PLE.lastrow)-ROW(PLE.firstrow))),0,IF(OFFSET(PLE!$G$14,$M548,BF$13)="",10^12,OFFSET(PLE!$G$14,$M548,BF$13))))</f>
        <v>1000000000000</v>
      </c>
      <c r="BG548" s="182">
        <f ca="1">IF($D548&lt;&gt;"Serviço",0,IF(OR(AND(AUTOEVENTO="Manual",$M548=1),$M548&gt;(ROW(PLE.lastrow)-ROW(PLE.firstrow))),0,IF(OFFSET(PLE!$G$14,$M548,BG$13)="",10^12,OFFSET(PLE!$G$14,$M548,BG$13))))</f>
        <v>1000000000000</v>
      </c>
    </row>
    <row r="549" spans="1:59" ht="38.25" x14ac:dyDescent="0.2">
      <c r="A549" s="7" t="str">
        <f t="shared" ca="1" si="15"/>
        <v>472</v>
      </c>
      <c r="B549" s="7" t="str">
        <f ca="1">OFFSET(ORÇAMENTO!C$15,ROW(B549)-ROW(B$15),0)</f>
        <v>S</v>
      </c>
      <c r="C549" s="7" t="str">
        <f ca="1">OFFSET(ORÇAMENTO!L$15,ROW(C549)-ROW(C$15),0)</f>
        <v/>
      </c>
      <c r="D549" s="118" t="str">
        <f ca="1">OFFSET(ORÇAMENTO!N$15,ROW(D549)-ROW(D$15),0)</f>
        <v>Serviço</v>
      </c>
      <c r="E549" s="119" t="str">
        <f ca="1">OFFSET(ORÇAMENTO!O$15,ROW(E549)-ROW(E$15),0)</f>
        <v>-</v>
      </c>
      <c r="F549" s="172" t="str">
        <f ca="1">OFFSET(ORÇAMENTO!R$15,ROW(F549)-ROW(F$15),0)</f>
        <v>(abra o arquivo 'Referência 02-2025.xlsm)</v>
      </c>
      <c r="G549" s="173" t="str">
        <f ca="1">IF($D549&lt;&gt;"Serviço","",OFFSET(ORÇAMENTO!S$15,ROW(G549)-ROW(G$15),0))</f>
        <v>-</v>
      </c>
      <c r="H549" s="124">
        <f ca="1">IF($D549&lt;&gt;"Serviço",0,IF(ACOMPANHAMENTO="BM",ROUND(OFFSET(ORÇAMENTO!AJ$15,ROW(H549)-ROW(H$15),0),15-13*ORÇAMENTO!$AF$7),SUMPRODUCT(($Q$12:$AA$12&lt;&gt;"")*ROUND($Q549:$AA549,15-13*ORÇAMENTO!$AF$7))))</f>
        <v>7</v>
      </c>
      <c r="I549" s="561" t="s">
        <v>890</v>
      </c>
      <c r="K549" s="174"/>
      <c r="L549" s="175" t="s">
        <v>255</v>
      </c>
      <c r="M549" s="176">
        <f ca="1">IF($D549&lt;&gt;"Serviço","",IF(AUTOEVENTO="manual",$A549,IF(ISERROR(MATCH($A549,$A$15:OFFSET($A549,-1,0),0)),MAX($M$15:OFFSET(M549,-1,0))+1,INDEX($M$15:OFFSET(M549,-1,0),MATCH($A549,$A$15:OFFSET($A549,-1,0),0)))))</f>
        <v>18</v>
      </c>
      <c r="N549" s="177" t="str">
        <f ca="1">IF($D549&lt;&gt;"Serviço","",IF(AUTOEVENTO="Manual",IF($A549=0,"&lt;-- defina o número do agrupador",OFFSET(EVENTOS!$D$14,$A549,0)),OFFSET($F$15,$A549,0)))</f>
        <v>INSTALAÇÕES ELÉTRICAS - 220V</v>
      </c>
      <c r="O549" s="178"/>
      <c r="Q549" s="178"/>
      <c r="R549" s="179"/>
      <c r="S549" s="179"/>
      <c r="T549" s="179"/>
      <c r="U549" s="179"/>
      <c r="V549" s="179"/>
      <c r="W549" s="179"/>
      <c r="X549" s="179"/>
      <c r="Y549" s="179"/>
      <c r="Z549" s="180"/>
      <c r="AB549" s="544">
        <f ca="1">IF(AND($D549="Serviço",AB$12&lt;&gt;0,$H549&gt;0,OR(AUTOEVENTO&lt;&gt;"manual",$M549&lt;&gt;1)),
IF(Import.TipoArredondamento&lt;&gt;"TransfereGOV",
ROUND(OFFSET($P549,0,AB$13),15-13*ORÇAMENTO!$AF$7)/$H549*OFFSET(ORÇAMENTO!$X$15,ROW(AB549)-ROW(AB$15),0),
ROUND(ROUND(OFFSET($P549,0,AB$13),15-13*ORÇAMENTO!$AF$7)*OFFSET(ORÇAMENTO!$W$15,ROW(AB549)-ROW(AB$15),0),15-13*ORÇAMENTO!$AF$11)),0)</f>
        <v>0</v>
      </c>
      <c r="AC549" s="545">
        <f ca="1">IF(AND($D549="Serviço",AC$12&lt;&gt;0,$H549&gt;0,OR(AUTOEVENTO&lt;&gt;"manual",$M549&lt;&gt;1)),
IF(Import.TipoArredondamento&lt;&gt;"TransfereGOV",
ROUND(OFFSET($P549,0,AC$13),15-13*ORÇAMENTO!$AF$7)/$H549*OFFSET(ORÇAMENTO!$X$15,ROW(AC549)-ROW(AC$15),0),
ROUND(ROUND(OFFSET($P549,0,AC$13),15-13*ORÇAMENTO!$AF$7)*OFFSET(ORÇAMENTO!$W$15,ROW(AC549)-ROW(AC$15),0),15-13*ORÇAMENTO!$AF$11)),0)</f>
        <v>0</v>
      </c>
      <c r="AD549" s="545">
        <f ca="1">IF(AND($D549="Serviço",AD$12&lt;&gt;0,$H549&gt;0,OR(AUTOEVENTO&lt;&gt;"manual",$M549&lt;&gt;1)),
IF(Import.TipoArredondamento&lt;&gt;"TransfereGOV",
ROUND(OFFSET($P549,0,AD$13),15-13*ORÇAMENTO!$AF$7)/$H549*OFFSET(ORÇAMENTO!$X$15,ROW(AD549)-ROW(AD$15),0),
ROUND(ROUND(OFFSET($P549,0,AD$13),15-13*ORÇAMENTO!$AF$7)*OFFSET(ORÇAMENTO!$W$15,ROW(AD549)-ROW(AD$15),0),15-13*ORÇAMENTO!$AF$11)),0)</f>
        <v>0</v>
      </c>
      <c r="AE549" s="545">
        <f ca="1">IF(AND($D549="Serviço",AE$12&lt;&gt;0,$H549&gt;0,OR(AUTOEVENTO&lt;&gt;"manual",$M549&lt;&gt;1)),
IF(Import.TipoArredondamento&lt;&gt;"TransfereGOV",
ROUND(OFFSET($P549,0,AE$13),15-13*ORÇAMENTO!$AF$7)/$H549*OFFSET(ORÇAMENTO!$X$15,ROW(AE549)-ROW(AE$15),0),
ROUND(ROUND(OFFSET($P549,0,AE$13),15-13*ORÇAMENTO!$AF$7)*OFFSET(ORÇAMENTO!$W$15,ROW(AE549)-ROW(AE$15),0),15-13*ORÇAMENTO!$AF$11)),0)</f>
        <v>0</v>
      </c>
      <c r="AF549" s="545">
        <f ca="1">IF(AND($D549="Serviço",AF$12&lt;&gt;0,$H549&gt;0,OR(AUTOEVENTO&lt;&gt;"manual",$M549&lt;&gt;1)),
IF(Import.TipoArredondamento&lt;&gt;"TransfereGOV",
ROUND(OFFSET($P549,0,AF$13),15-13*ORÇAMENTO!$AF$7)/$H549*OFFSET(ORÇAMENTO!$X$15,ROW(AF549)-ROW(AF$15),0),
ROUND(ROUND(OFFSET($P549,0,AF$13),15-13*ORÇAMENTO!$AF$7)*OFFSET(ORÇAMENTO!$W$15,ROW(AF549)-ROW(AF$15),0),15-13*ORÇAMENTO!$AF$11)),0)</f>
        <v>0</v>
      </c>
      <c r="AG549" s="545">
        <f ca="1">IF(AND($D549="Serviço",AG$12&lt;&gt;0,$H549&gt;0,OR(AUTOEVENTO&lt;&gt;"manual",$M549&lt;&gt;1)),
IF(Import.TipoArredondamento&lt;&gt;"TransfereGOV",
ROUND(OFFSET($P549,0,AG$13),15-13*ORÇAMENTO!$AF$7)/$H549*OFFSET(ORÇAMENTO!$X$15,ROW(AG549)-ROW(AG$15),0),
ROUND(ROUND(OFFSET($P549,0,AG$13),15-13*ORÇAMENTO!$AF$7)*OFFSET(ORÇAMENTO!$W$15,ROW(AG549)-ROW(AG$15),0),15-13*ORÇAMENTO!$AF$11)),0)</f>
        <v>0</v>
      </c>
      <c r="AH549" s="545">
        <f ca="1">IF(AND($D549="Serviço",AH$12&lt;&gt;0,$H549&gt;0,OR(AUTOEVENTO&lt;&gt;"manual",$M549&lt;&gt;1)),
IF(Import.TipoArredondamento&lt;&gt;"TransfereGOV",
ROUND(OFFSET($P549,0,AH$13),15-13*ORÇAMENTO!$AF$7)/$H549*OFFSET(ORÇAMENTO!$X$15,ROW(AH549)-ROW(AH$15),0),
ROUND(ROUND(OFFSET($P549,0,AH$13),15-13*ORÇAMENTO!$AF$7)*OFFSET(ORÇAMENTO!$W$15,ROW(AH549)-ROW(AH$15),0),15-13*ORÇAMENTO!$AF$11)),0)</f>
        <v>0</v>
      </c>
      <c r="AI549" s="545">
        <f ca="1">IF(AND($D549="Serviço",AI$12&lt;&gt;0,$H549&gt;0,OR(AUTOEVENTO&lt;&gt;"manual",$M549&lt;&gt;1)),
IF(Import.TipoArredondamento&lt;&gt;"TransfereGOV",
ROUND(OFFSET($P549,0,AI$13),15-13*ORÇAMENTO!$AF$7)/$H549*OFFSET(ORÇAMENTO!$X$15,ROW(AI549)-ROW(AI$15),0),
ROUND(ROUND(OFFSET($P549,0,AI$13),15-13*ORÇAMENTO!$AF$7)*OFFSET(ORÇAMENTO!$W$15,ROW(AI549)-ROW(AI$15),0),15-13*ORÇAMENTO!$AF$11)),0)</f>
        <v>0</v>
      </c>
      <c r="AJ549" s="545">
        <f ca="1">IF(AND($D549="Serviço",AJ$12&lt;&gt;0,$H549&gt;0,OR(AUTOEVENTO&lt;&gt;"manual",$M549&lt;&gt;1)),
IF(Import.TipoArredondamento&lt;&gt;"TransfereGOV",
ROUND(OFFSET($P549,0,AJ$13),15-13*ORÇAMENTO!$AF$7)/$H549*OFFSET(ORÇAMENTO!$X$15,ROW(AJ549)-ROW(AJ$15),0),
ROUND(ROUND(OFFSET($P549,0,AJ$13),15-13*ORÇAMENTO!$AF$7)*OFFSET(ORÇAMENTO!$W$15,ROW(AJ549)-ROW(AJ$15),0),15-13*ORÇAMENTO!$AF$11)),0)</f>
        <v>0</v>
      </c>
      <c r="AK549" s="546">
        <f ca="1">IF(AND($D549="Serviço",AK$12&lt;&gt;0,$H549&gt;0,OR(AUTOEVENTO&lt;&gt;"manual",$M549&lt;&gt;1)),
IF(Import.TipoArredondamento&lt;&gt;"TransfereGOV",
ROUND(OFFSET($P549,0,AK$13),15-13*ORÇAMENTO!$AF$7)/$H549*OFFSET(ORÇAMENTO!$X$15,ROW(AK549)-ROW(AK$15),0),
ROUND(ROUND(OFFSET($P549,0,AK$13),15-13*ORÇAMENTO!$AF$7)*OFFSET(ORÇAMENTO!$W$15,ROW(AK549)-ROW(AK$15),0),15-13*ORÇAMENTO!$AF$11)),0)</f>
        <v>0</v>
      </c>
      <c r="AM549" s="181">
        <f ca="1">IF($D549&lt;&gt;"Serviço",0,IF(AND(AUTOEVENTO="Manual",$M549=1),0,IF(OFFSET(CRONOPLE!$F$14,$M549,AM$13)="",10^12,OFFSET(CRONOPLE!$F$14,$M549,AM$13))))</f>
        <v>1000000000000</v>
      </c>
      <c r="AN549" s="181">
        <f ca="1">IF($D549&lt;&gt;"Serviço",0,IF(AND(AUTOEVENTO="Manual",$M549=1),0,IF(OFFSET(CRONOPLE!$F$14,$M549,AN$13)="",10^12,OFFSET(CRONOPLE!$F$14,$M549,AN$13))))</f>
        <v>1000000000000</v>
      </c>
      <c r="AO549" s="181">
        <f ca="1">IF($D549&lt;&gt;"Serviço",0,IF(AND(AUTOEVENTO="Manual",$M549=1),0,IF(OFFSET(CRONOPLE!$F$14,$M549,AO$13)="",10^12,OFFSET(CRONOPLE!$F$14,$M549,AO$13))))</f>
        <v>1000000000000</v>
      </c>
      <c r="AP549" s="181">
        <f ca="1">IF($D549&lt;&gt;"Serviço",0,IF(AND(AUTOEVENTO="Manual",$M549=1),0,IF(OFFSET(CRONOPLE!$F$14,$M549,AP$13)="",10^12,OFFSET(CRONOPLE!$F$14,$M549,AP$13))))</f>
        <v>1000000000000</v>
      </c>
      <c r="AQ549" s="181">
        <f ca="1">IF($D549&lt;&gt;"Serviço",0,IF(AND(AUTOEVENTO="Manual",$M549=1),0,IF(OFFSET(CRONOPLE!$F$14,$M549,AQ$13)="",10^12,OFFSET(CRONOPLE!$F$14,$M549,AQ$13))))</f>
        <v>1000000000000</v>
      </c>
      <c r="AR549" s="181">
        <f ca="1">IF($D549&lt;&gt;"Serviço",0,IF(AND(AUTOEVENTO="Manual",$M549=1),0,IF(OFFSET(CRONOPLE!$F$14,$M549,AR$13)="",10^12,OFFSET(CRONOPLE!$F$14,$M549,AR$13))))</f>
        <v>1000000000000</v>
      </c>
      <c r="AS549" s="181">
        <f ca="1">IF($D549&lt;&gt;"Serviço",0,IF(AND(AUTOEVENTO="Manual",$M549=1),0,IF(OFFSET(CRONOPLE!$F$14,$M549,AS$13)="",10^12,OFFSET(CRONOPLE!$F$14,$M549,AS$13))))</f>
        <v>1000000000000</v>
      </c>
      <c r="AT549" s="181">
        <f ca="1">IF($D549&lt;&gt;"Serviço",0,IF(AND(AUTOEVENTO="Manual",$M549=1),0,IF(OFFSET(CRONOPLE!$F$14,$M549,AT$13)="",10^12,OFFSET(CRONOPLE!$F$14,$M549,AT$13))))</f>
        <v>1000000000000</v>
      </c>
      <c r="AU549" s="181">
        <f ca="1">IF($D549&lt;&gt;"Serviço",0,IF(AND(AUTOEVENTO="Manual",$M549=1),0,IF(OFFSET(CRONOPLE!$F$14,$M549,AU$13)="",10^12,OFFSET(CRONOPLE!$F$14,$M549,AU$13))))</f>
        <v>1000000000000</v>
      </c>
      <c r="AV549" s="181">
        <f ca="1">IF($D549&lt;&gt;"Serviço",0,IF(AND(AUTOEVENTO="Manual",$M549=1),0,IF(OFFSET(CRONOPLE!$F$14,$M549,AV$13)="",10^12,OFFSET(CRONOPLE!$F$14,$M549,AV$13))))</f>
        <v>1000000000000</v>
      </c>
      <c r="AX549" s="182">
        <f ca="1">IF($D549&lt;&gt;"Serviço",0,IF(OR(AND(AUTOEVENTO="Manual",$M549=1),$M549&gt;(ROW(PLE.lastrow)-ROW(PLE.firstrow))),0,IF(OFFSET(PLE!$G$14,$M549,AX$13)="",10^12,OFFSET(PLE!$G$14,$M549,AX$13))))</f>
        <v>1000000000000</v>
      </c>
      <c r="AY549" s="182">
        <f ca="1">IF($D549&lt;&gt;"Serviço",0,IF(OR(AND(AUTOEVENTO="Manual",$M549=1),$M549&gt;(ROW(PLE.lastrow)-ROW(PLE.firstrow))),0,IF(OFFSET(PLE!$G$14,$M549,AY$13)="",10^12,OFFSET(PLE!$G$14,$M549,AY$13))))</f>
        <v>1000000000000</v>
      </c>
      <c r="AZ549" s="182">
        <f ca="1">IF($D549&lt;&gt;"Serviço",0,IF(OR(AND(AUTOEVENTO="Manual",$M549=1),$M549&gt;(ROW(PLE.lastrow)-ROW(PLE.firstrow))),0,IF(OFFSET(PLE!$G$14,$M549,AZ$13)="",10^12,OFFSET(PLE!$G$14,$M549,AZ$13))))</f>
        <v>1000000000000</v>
      </c>
      <c r="BA549" s="182">
        <f ca="1">IF($D549&lt;&gt;"Serviço",0,IF(OR(AND(AUTOEVENTO="Manual",$M549=1),$M549&gt;(ROW(PLE.lastrow)-ROW(PLE.firstrow))),0,IF(OFFSET(PLE!$G$14,$M549,BA$13)="",10^12,OFFSET(PLE!$G$14,$M549,BA$13))))</f>
        <v>1000000000000</v>
      </c>
      <c r="BB549" s="182">
        <f ca="1">IF($D549&lt;&gt;"Serviço",0,IF(OR(AND(AUTOEVENTO="Manual",$M549=1),$M549&gt;(ROW(PLE.lastrow)-ROW(PLE.firstrow))),0,IF(OFFSET(PLE!$G$14,$M549,BB$13)="",10^12,OFFSET(PLE!$G$14,$M549,BB$13))))</f>
        <v>1000000000000</v>
      </c>
      <c r="BC549" s="182">
        <f ca="1">IF($D549&lt;&gt;"Serviço",0,IF(OR(AND(AUTOEVENTO="Manual",$M549=1),$M549&gt;(ROW(PLE.lastrow)-ROW(PLE.firstrow))),0,IF(OFFSET(PLE!$G$14,$M549,BC$13)="",10^12,OFFSET(PLE!$G$14,$M549,BC$13))))</f>
        <v>1000000000000</v>
      </c>
      <c r="BD549" s="182">
        <f ca="1">IF($D549&lt;&gt;"Serviço",0,IF(OR(AND(AUTOEVENTO="Manual",$M549=1),$M549&gt;(ROW(PLE.lastrow)-ROW(PLE.firstrow))),0,IF(OFFSET(PLE!$G$14,$M549,BD$13)="",10^12,OFFSET(PLE!$G$14,$M549,BD$13))))</f>
        <v>1000000000000</v>
      </c>
      <c r="BE549" s="182">
        <f ca="1">IF($D549&lt;&gt;"Serviço",0,IF(OR(AND(AUTOEVENTO="Manual",$M549=1),$M549&gt;(ROW(PLE.lastrow)-ROW(PLE.firstrow))),0,IF(OFFSET(PLE!$G$14,$M549,BE$13)="",10^12,OFFSET(PLE!$G$14,$M549,BE$13))))</f>
        <v>1000000000000</v>
      </c>
      <c r="BF549" s="182">
        <f ca="1">IF($D549&lt;&gt;"Serviço",0,IF(OR(AND(AUTOEVENTO="Manual",$M549=1),$M549&gt;(ROW(PLE.lastrow)-ROW(PLE.firstrow))),0,IF(OFFSET(PLE!$G$14,$M549,BF$13)="",10^12,OFFSET(PLE!$G$14,$M549,BF$13))))</f>
        <v>1000000000000</v>
      </c>
      <c r="BG549" s="182">
        <f ca="1">IF($D549&lt;&gt;"Serviço",0,IF(OR(AND(AUTOEVENTO="Manual",$M549=1),$M549&gt;(ROW(PLE.lastrow)-ROW(PLE.firstrow))),0,IF(OFFSET(PLE!$G$14,$M549,BG$13)="",10^12,OFFSET(PLE!$G$14,$M549,BG$13))))</f>
        <v>1000000000000</v>
      </c>
    </row>
    <row r="550" spans="1:59" ht="25.5" x14ac:dyDescent="0.2">
      <c r="A550" s="7" t="str">
        <f t="shared" ca="1" si="15"/>
        <v>472</v>
      </c>
      <c r="B550" s="7" t="str">
        <f ca="1">OFFSET(ORÇAMENTO!C$15,ROW(B550)-ROW(B$15),0)</f>
        <v>S</v>
      </c>
      <c r="C550" s="7" t="str">
        <f ca="1">OFFSET(ORÇAMENTO!L$15,ROW(C550)-ROW(C$15),0)</f>
        <v/>
      </c>
      <c r="D550" s="118" t="str">
        <f ca="1">OFFSET(ORÇAMENTO!N$15,ROW(D550)-ROW(D$15),0)</f>
        <v>Serviço</v>
      </c>
      <c r="E550" s="119" t="str">
        <f ca="1">OFFSET(ORÇAMENTO!O$15,ROW(E550)-ROW(E$15),0)</f>
        <v>-</v>
      </c>
      <c r="F550" s="172" t="str">
        <f ca="1">OFFSET(ORÇAMENTO!R$15,ROW(F550)-ROW(F$15),0)</f>
        <v>(abra o arquivo 'Referência 02-2025.xlsm)</v>
      </c>
      <c r="G550" s="173" t="str">
        <f ca="1">IF($D550&lt;&gt;"Serviço","",OFFSET(ORÇAMENTO!S$15,ROW(G550)-ROW(G$15),0))</f>
        <v>-</v>
      </c>
      <c r="H550" s="124">
        <f ca="1">IF($D550&lt;&gt;"Serviço",0,IF(ACOMPANHAMENTO="BM",ROUND(OFFSET(ORÇAMENTO!AJ$15,ROW(H550)-ROW(H$15),0),15-13*ORÇAMENTO!$AF$7),SUMPRODUCT(($Q$12:$AA$12&lt;&gt;"")*ROUND($Q550:$AA550,15-13*ORÇAMENTO!$AF$7))))</f>
        <v>135</v>
      </c>
      <c r="I550" s="561" t="s">
        <v>890</v>
      </c>
      <c r="K550" s="174"/>
      <c r="L550" s="175" t="s">
        <v>255</v>
      </c>
      <c r="M550" s="176">
        <f ca="1">IF($D550&lt;&gt;"Serviço","",IF(AUTOEVENTO="manual",$A550,IF(ISERROR(MATCH($A550,$A$15:OFFSET($A550,-1,0),0)),MAX($M$15:OFFSET(M550,-1,0))+1,INDEX($M$15:OFFSET(M550,-1,0),MATCH($A550,$A$15:OFFSET($A550,-1,0),0)))))</f>
        <v>18</v>
      </c>
      <c r="N550" s="177" t="str">
        <f ca="1">IF($D550&lt;&gt;"Serviço","",IF(AUTOEVENTO="Manual",IF($A550=0,"&lt;-- defina o número do agrupador",OFFSET(EVENTOS!$D$14,$A550,0)),OFFSET($F$15,$A550,0)))</f>
        <v>INSTALAÇÕES ELÉTRICAS - 220V</v>
      </c>
      <c r="O550" s="178"/>
      <c r="Q550" s="178"/>
      <c r="R550" s="179"/>
      <c r="S550" s="179"/>
      <c r="T550" s="179"/>
      <c r="U550" s="179"/>
      <c r="V550" s="179"/>
      <c r="W550" s="179"/>
      <c r="X550" s="179"/>
      <c r="Y550" s="179"/>
      <c r="Z550" s="180"/>
      <c r="AB550" s="544">
        <f ca="1">IF(AND($D550="Serviço",AB$12&lt;&gt;0,$H550&gt;0,OR(AUTOEVENTO&lt;&gt;"manual",$M550&lt;&gt;1)),
IF(Import.TipoArredondamento&lt;&gt;"TransfereGOV",
ROUND(OFFSET($P550,0,AB$13),15-13*ORÇAMENTO!$AF$7)/$H550*OFFSET(ORÇAMENTO!$X$15,ROW(AB550)-ROW(AB$15),0),
ROUND(ROUND(OFFSET($P550,0,AB$13),15-13*ORÇAMENTO!$AF$7)*OFFSET(ORÇAMENTO!$W$15,ROW(AB550)-ROW(AB$15),0),15-13*ORÇAMENTO!$AF$11)),0)</f>
        <v>0</v>
      </c>
      <c r="AC550" s="545">
        <f ca="1">IF(AND($D550="Serviço",AC$12&lt;&gt;0,$H550&gt;0,OR(AUTOEVENTO&lt;&gt;"manual",$M550&lt;&gt;1)),
IF(Import.TipoArredondamento&lt;&gt;"TransfereGOV",
ROUND(OFFSET($P550,0,AC$13),15-13*ORÇAMENTO!$AF$7)/$H550*OFFSET(ORÇAMENTO!$X$15,ROW(AC550)-ROW(AC$15),0),
ROUND(ROUND(OFFSET($P550,0,AC$13),15-13*ORÇAMENTO!$AF$7)*OFFSET(ORÇAMENTO!$W$15,ROW(AC550)-ROW(AC$15),0),15-13*ORÇAMENTO!$AF$11)),0)</f>
        <v>0</v>
      </c>
      <c r="AD550" s="545">
        <f ca="1">IF(AND($D550="Serviço",AD$12&lt;&gt;0,$H550&gt;0,OR(AUTOEVENTO&lt;&gt;"manual",$M550&lt;&gt;1)),
IF(Import.TipoArredondamento&lt;&gt;"TransfereGOV",
ROUND(OFFSET($P550,0,AD$13),15-13*ORÇAMENTO!$AF$7)/$H550*OFFSET(ORÇAMENTO!$X$15,ROW(AD550)-ROW(AD$15),0),
ROUND(ROUND(OFFSET($P550,0,AD$13),15-13*ORÇAMENTO!$AF$7)*OFFSET(ORÇAMENTO!$W$15,ROW(AD550)-ROW(AD$15),0),15-13*ORÇAMENTO!$AF$11)),0)</f>
        <v>0</v>
      </c>
      <c r="AE550" s="545">
        <f ca="1">IF(AND($D550="Serviço",AE$12&lt;&gt;0,$H550&gt;0,OR(AUTOEVENTO&lt;&gt;"manual",$M550&lt;&gt;1)),
IF(Import.TipoArredondamento&lt;&gt;"TransfereGOV",
ROUND(OFFSET($P550,0,AE$13),15-13*ORÇAMENTO!$AF$7)/$H550*OFFSET(ORÇAMENTO!$X$15,ROW(AE550)-ROW(AE$15),0),
ROUND(ROUND(OFFSET($P550,0,AE$13),15-13*ORÇAMENTO!$AF$7)*OFFSET(ORÇAMENTO!$W$15,ROW(AE550)-ROW(AE$15),0),15-13*ORÇAMENTO!$AF$11)),0)</f>
        <v>0</v>
      </c>
      <c r="AF550" s="545">
        <f ca="1">IF(AND($D550="Serviço",AF$12&lt;&gt;0,$H550&gt;0,OR(AUTOEVENTO&lt;&gt;"manual",$M550&lt;&gt;1)),
IF(Import.TipoArredondamento&lt;&gt;"TransfereGOV",
ROUND(OFFSET($P550,0,AF$13),15-13*ORÇAMENTO!$AF$7)/$H550*OFFSET(ORÇAMENTO!$X$15,ROW(AF550)-ROW(AF$15),0),
ROUND(ROUND(OFFSET($P550,0,AF$13),15-13*ORÇAMENTO!$AF$7)*OFFSET(ORÇAMENTO!$W$15,ROW(AF550)-ROW(AF$15),0),15-13*ORÇAMENTO!$AF$11)),0)</f>
        <v>0</v>
      </c>
      <c r="AG550" s="545">
        <f ca="1">IF(AND($D550="Serviço",AG$12&lt;&gt;0,$H550&gt;0,OR(AUTOEVENTO&lt;&gt;"manual",$M550&lt;&gt;1)),
IF(Import.TipoArredondamento&lt;&gt;"TransfereGOV",
ROUND(OFFSET($P550,0,AG$13),15-13*ORÇAMENTO!$AF$7)/$H550*OFFSET(ORÇAMENTO!$X$15,ROW(AG550)-ROW(AG$15),0),
ROUND(ROUND(OFFSET($P550,0,AG$13),15-13*ORÇAMENTO!$AF$7)*OFFSET(ORÇAMENTO!$W$15,ROW(AG550)-ROW(AG$15),0),15-13*ORÇAMENTO!$AF$11)),0)</f>
        <v>0</v>
      </c>
      <c r="AH550" s="545">
        <f ca="1">IF(AND($D550="Serviço",AH$12&lt;&gt;0,$H550&gt;0,OR(AUTOEVENTO&lt;&gt;"manual",$M550&lt;&gt;1)),
IF(Import.TipoArredondamento&lt;&gt;"TransfereGOV",
ROUND(OFFSET($P550,0,AH$13),15-13*ORÇAMENTO!$AF$7)/$H550*OFFSET(ORÇAMENTO!$X$15,ROW(AH550)-ROW(AH$15),0),
ROUND(ROUND(OFFSET($P550,0,AH$13),15-13*ORÇAMENTO!$AF$7)*OFFSET(ORÇAMENTO!$W$15,ROW(AH550)-ROW(AH$15),0),15-13*ORÇAMENTO!$AF$11)),0)</f>
        <v>0</v>
      </c>
      <c r="AI550" s="545">
        <f ca="1">IF(AND($D550="Serviço",AI$12&lt;&gt;0,$H550&gt;0,OR(AUTOEVENTO&lt;&gt;"manual",$M550&lt;&gt;1)),
IF(Import.TipoArredondamento&lt;&gt;"TransfereGOV",
ROUND(OFFSET($P550,0,AI$13),15-13*ORÇAMENTO!$AF$7)/$H550*OFFSET(ORÇAMENTO!$X$15,ROW(AI550)-ROW(AI$15),0),
ROUND(ROUND(OFFSET($P550,0,AI$13),15-13*ORÇAMENTO!$AF$7)*OFFSET(ORÇAMENTO!$W$15,ROW(AI550)-ROW(AI$15),0),15-13*ORÇAMENTO!$AF$11)),0)</f>
        <v>0</v>
      </c>
      <c r="AJ550" s="545">
        <f ca="1">IF(AND($D550="Serviço",AJ$12&lt;&gt;0,$H550&gt;0,OR(AUTOEVENTO&lt;&gt;"manual",$M550&lt;&gt;1)),
IF(Import.TipoArredondamento&lt;&gt;"TransfereGOV",
ROUND(OFFSET($P550,0,AJ$13),15-13*ORÇAMENTO!$AF$7)/$H550*OFFSET(ORÇAMENTO!$X$15,ROW(AJ550)-ROW(AJ$15),0),
ROUND(ROUND(OFFSET($P550,0,AJ$13),15-13*ORÇAMENTO!$AF$7)*OFFSET(ORÇAMENTO!$W$15,ROW(AJ550)-ROW(AJ$15),0),15-13*ORÇAMENTO!$AF$11)),0)</f>
        <v>0</v>
      </c>
      <c r="AK550" s="546">
        <f ca="1">IF(AND($D550="Serviço",AK$12&lt;&gt;0,$H550&gt;0,OR(AUTOEVENTO&lt;&gt;"manual",$M550&lt;&gt;1)),
IF(Import.TipoArredondamento&lt;&gt;"TransfereGOV",
ROUND(OFFSET($P550,0,AK$13),15-13*ORÇAMENTO!$AF$7)/$H550*OFFSET(ORÇAMENTO!$X$15,ROW(AK550)-ROW(AK$15),0),
ROUND(ROUND(OFFSET($P550,0,AK$13),15-13*ORÇAMENTO!$AF$7)*OFFSET(ORÇAMENTO!$W$15,ROW(AK550)-ROW(AK$15),0),15-13*ORÇAMENTO!$AF$11)),0)</f>
        <v>0</v>
      </c>
      <c r="AM550" s="181">
        <f ca="1">IF($D550&lt;&gt;"Serviço",0,IF(AND(AUTOEVENTO="Manual",$M550=1),0,IF(OFFSET(CRONOPLE!$F$14,$M550,AM$13)="",10^12,OFFSET(CRONOPLE!$F$14,$M550,AM$13))))</f>
        <v>1000000000000</v>
      </c>
      <c r="AN550" s="181">
        <f ca="1">IF($D550&lt;&gt;"Serviço",0,IF(AND(AUTOEVENTO="Manual",$M550=1),0,IF(OFFSET(CRONOPLE!$F$14,$M550,AN$13)="",10^12,OFFSET(CRONOPLE!$F$14,$M550,AN$13))))</f>
        <v>1000000000000</v>
      </c>
      <c r="AO550" s="181">
        <f ca="1">IF($D550&lt;&gt;"Serviço",0,IF(AND(AUTOEVENTO="Manual",$M550=1),0,IF(OFFSET(CRONOPLE!$F$14,$M550,AO$13)="",10^12,OFFSET(CRONOPLE!$F$14,$M550,AO$13))))</f>
        <v>1000000000000</v>
      </c>
      <c r="AP550" s="181">
        <f ca="1">IF($D550&lt;&gt;"Serviço",0,IF(AND(AUTOEVENTO="Manual",$M550=1),0,IF(OFFSET(CRONOPLE!$F$14,$M550,AP$13)="",10^12,OFFSET(CRONOPLE!$F$14,$M550,AP$13))))</f>
        <v>1000000000000</v>
      </c>
      <c r="AQ550" s="181">
        <f ca="1">IF($D550&lt;&gt;"Serviço",0,IF(AND(AUTOEVENTO="Manual",$M550=1),0,IF(OFFSET(CRONOPLE!$F$14,$M550,AQ$13)="",10^12,OFFSET(CRONOPLE!$F$14,$M550,AQ$13))))</f>
        <v>1000000000000</v>
      </c>
      <c r="AR550" s="181">
        <f ca="1">IF($D550&lt;&gt;"Serviço",0,IF(AND(AUTOEVENTO="Manual",$M550=1),0,IF(OFFSET(CRONOPLE!$F$14,$M550,AR$13)="",10^12,OFFSET(CRONOPLE!$F$14,$M550,AR$13))))</f>
        <v>1000000000000</v>
      </c>
      <c r="AS550" s="181">
        <f ca="1">IF($D550&lt;&gt;"Serviço",0,IF(AND(AUTOEVENTO="Manual",$M550=1),0,IF(OFFSET(CRONOPLE!$F$14,$M550,AS$13)="",10^12,OFFSET(CRONOPLE!$F$14,$M550,AS$13))))</f>
        <v>1000000000000</v>
      </c>
      <c r="AT550" s="181">
        <f ca="1">IF($D550&lt;&gt;"Serviço",0,IF(AND(AUTOEVENTO="Manual",$M550=1),0,IF(OFFSET(CRONOPLE!$F$14,$M550,AT$13)="",10^12,OFFSET(CRONOPLE!$F$14,$M550,AT$13))))</f>
        <v>1000000000000</v>
      </c>
      <c r="AU550" s="181">
        <f ca="1">IF($D550&lt;&gt;"Serviço",0,IF(AND(AUTOEVENTO="Manual",$M550=1),0,IF(OFFSET(CRONOPLE!$F$14,$M550,AU$13)="",10^12,OFFSET(CRONOPLE!$F$14,$M550,AU$13))))</f>
        <v>1000000000000</v>
      </c>
      <c r="AV550" s="181">
        <f ca="1">IF($D550&lt;&gt;"Serviço",0,IF(AND(AUTOEVENTO="Manual",$M550=1),0,IF(OFFSET(CRONOPLE!$F$14,$M550,AV$13)="",10^12,OFFSET(CRONOPLE!$F$14,$M550,AV$13))))</f>
        <v>1000000000000</v>
      </c>
      <c r="AX550" s="182">
        <f ca="1">IF($D550&lt;&gt;"Serviço",0,IF(OR(AND(AUTOEVENTO="Manual",$M550=1),$M550&gt;(ROW(PLE.lastrow)-ROW(PLE.firstrow))),0,IF(OFFSET(PLE!$G$14,$M550,AX$13)="",10^12,OFFSET(PLE!$G$14,$M550,AX$13))))</f>
        <v>1000000000000</v>
      </c>
      <c r="AY550" s="182">
        <f ca="1">IF($D550&lt;&gt;"Serviço",0,IF(OR(AND(AUTOEVENTO="Manual",$M550=1),$M550&gt;(ROW(PLE.lastrow)-ROW(PLE.firstrow))),0,IF(OFFSET(PLE!$G$14,$M550,AY$13)="",10^12,OFFSET(PLE!$G$14,$M550,AY$13))))</f>
        <v>1000000000000</v>
      </c>
      <c r="AZ550" s="182">
        <f ca="1">IF($D550&lt;&gt;"Serviço",0,IF(OR(AND(AUTOEVENTO="Manual",$M550=1),$M550&gt;(ROW(PLE.lastrow)-ROW(PLE.firstrow))),0,IF(OFFSET(PLE!$G$14,$M550,AZ$13)="",10^12,OFFSET(PLE!$G$14,$M550,AZ$13))))</f>
        <v>1000000000000</v>
      </c>
      <c r="BA550" s="182">
        <f ca="1">IF($D550&lt;&gt;"Serviço",0,IF(OR(AND(AUTOEVENTO="Manual",$M550=1),$M550&gt;(ROW(PLE.lastrow)-ROW(PLE.firstrow))),0,IF(OFFSET(PLE!$G$14,$M550,BA$13)="",10^12,OFFSET(PLE!$G$14,$M550,BA$13))))</f>
        <v>1000000000000</v>
      </c>
      <c r="BB550" s="182">
        <f ca="1">IF($D550&lt;&gt;"Serviço",0,IF(OR(AND(AUTOEVENTO="Manual",$M550=1),$M550&gt;(ROW(PLE.lastrow)-ROW(PLE.firstrow))),0,IF(OFFSET(PLE!$G$14,$M550,BB$13)="",10^12,OFFSET(PLE!$G$14,$M550,BB$13))))</f>
        <v>1000000000000</v>
      </c>
      <c r="BC550" s="182">
        <f ca="1">IF($D550&lt;&gt;"Serviço",0,IF(OR(AND(AUTOEVENTO="Manual",$M550=1),$M550&gt;(ROW(PLE.lastrow)-ROW(PLE.firstrow))),0,IF(OFFSET(PLE!$G$14,$M550,BC$13)="",10^12,OFFSET(PLE!$G$14,$M550,BC$13))))</f>
        <v>1000000000000</v>
      </c>
      <c r="BD550" s="182">
        <f ca="1">IF($D550&lt;&gt;"Serviço",0,IF(OR(AND(AUTOEVENTO="Manual",$M550=1),$M550&gt;(ROW(PLE.lastrow)-ROW(PLE.firstrow))),0,IF(OFFSET(PLE!$G$14,$M550,BD$13)="",10^12,OFFSET(PLE!$G$14,$M550,BD$13))))</f>
        <v>1000000000000</v>
      </c>
      <c r="BE550" s="182">
        <f ca="1">IF($D550&lt;&gt;"Serviço",0,IF(OR(AND(AUTOEVENTO="Manual",$M550=1),$M550&gt;(ROW(PLE.lastrow)-ROW(PLE.firstrow))),0,IF(OFFSET(PLE!$G$14,$M550,BE$13)="",10^12,OFFSET(PLE!$G$14,$M550,BE$13))))</f>
        <v>1000000000000</v>
      </c>
      <c r="BF550" s="182">
        <f ca="1">IF($D550&lt;&gt;"Serviço",0,IF(OR(AND(AUTOEVENTO="Manual",$M550=1),$M550&gt;(ROW(PLE.lastrow)-ROW(PLE.firstrow))),0,IF(OFFSET(PLE!$G$14,$M550,BF$13)="",10^12,OFFSET(PLE!$G$14,$M550,BF$13))))</f>
        <v>1000000000000</v>
      </c>
      <c r="BG550" s="182">
        <f ca="1">IF($D550&lt;&gt;"Serviço",0,IF(OR(AND(AUTOEVENTO="Manual",$M550=1),$M550&gt;(ROW(PLE.lastrow)-ROW(PLE.firstrow))),0,IF(OFFSET(PLE!$G$14,$M550,BG$13)="",10^12,OFFSET(PLE!$G$14,$M550,BG$13))))</f>
        <v>1000000000000</v>
      </c>
    </row>
    <row r="551" spans="1:59" ht="25.5" x14ac:dyDescent="0.2">
      <c r="A551" s="7" t="str">
        <f t="shared" ca="1" si="15"/>
        <v>472</v>
      </c>
      <c r="B551" s="7" t="str">
        <f ca="1">OFFSET(ORÇAMENTO!C$15,ROW(B551)-ROW(B$15),0)</f>
        <v>S</v>
      </c>
      <c r="C551" s="7" t="str">
        <f ca="1">OFFSET(ORÇAMENTO!L$15,ROW(C551)-ROW(C$15),0)</f>
        <v/>
      </c>
      <c r="D551" s="118" t="str">
        <f ca="1">OFFSET(ORÇAMENTO!N$15,ROW(D551)-ROW(D$15),0)</f>
        <v>Serviço</v>
      </c>
      <c r="E551" s="119" t="str">
        <f ca="1">OFFSET(ORÇAMENTO!O$15,ROW(E551)-ROW(E$15),0)</f>
        <v>-</v>
      </c>
      <c r="F551" s="172" t="str">
        <f ca="1">OFFSET(ORÇAMENTO!R$15,ROW(F551)-ROW(F$15),0)</f>
        <v>(abra o arquivo 'Referência 02-2025.xlsm)</v>
      </c>
      <c r="G551" s="173" t="str">
        <f ca="1">IF($D551&lt;&gt;"Serviço","",OFFSET(ORÇAMENTO!S$15,ROW(G551)-ROW(G$15),0))</f>
        <v>-</v>
      </c>
      <c r="H551" s="124">
        <f ca="1">IF($D551&lt;&gt;"Serviço",0,IF(ACOMPANHAMENTO="BM",ROUND(OFFSET(ORÇAMENTO!AJ$15,ROW(H551)-ROW(H$15),0),15-13*ORÇAMENTO!$AF$7),SUMPRODUCT(($Q$12:$AA$12&lt;&gt;"")*ROUND($Q551:$AA551,15-13*ORÇAMENTO!$AF$7))))</f>
        <v>10</v>
      </c>
      <c r="I551" s="561" t="s">
        <v>890</v>
      </c>
      <c r="K551" s="174"/>
      <c r="L551" s="175" t="s">
        <v>255</v>
      </c>
      <c r="M551" s="176">
        <f ca="1">IF($D551&lt;&gt;"Serviço","",IF(AUTOEVENTO="manual",$A551,IF(ISERROR(MATCH($A551,$A$15:OFFSET($A551,-1,0),0)),MAX($M$15:OFFSET(M551,-1,0))+1,INDEX($M$15:OFFSET(M551,-1,0),MATCH($A551,$A$15:OFFSET($A551,-1,0),0)))))</f>
        <v>18</v>
      </c>
      <c r="N551" s="177" t="str">
        <f ca="1">IF($D551&lt;&gt;"Serviço","",IF(AUTOEVENTO="Manual",IF($A551=0,"&lt;-- defina o número do agrupador",OFFSET(EVENTOS!$D$14,$A551,0)),OFFSET($F$15,$A551,0)))</f>
        <v>INSTALAÇÕES ELÉTRICAS - 220V</v>
      </c>
      <c r="O551" s="178"/>
      <c r="Q551" s="178"/>
      <c r="R551" s="179"/>
      <c r="S551" s="179"/>
      <c r="T551" s="179"/>
      <c r="U551" s="179"/>
      <c r="V551" s="179"/>
      <c r="W551" s="179"/>
      <c r="X551" s="179"/>
      <c r="Y551" s="179"/>
      <c r="Z551" s="180"/>
      <c r="AB551" s="544">
        <f ca="1">IF(AND($D551="Serviço",AB$12&lt;&gt;0,$H551&gt;0,OR(AUTOEVENTO&lt;&gt;"manual",$M551&lt;&gt;1)),
IF(Import.TipoArredondamento&lt;&gt;"TransfereGOV",
ROUND(OFFSET($P551,0,AB$13),15-13*ORÇAMENTO!$AF$7)/$H551*OFFSET(ORÇAMENTO!$X$15,ROW(AB551)-ROW(AB$15),0),
ROUND(ROUND(OFFSET($P551,0,AB$13),15-13*ORÇAMENTO!$AF$7)*OFFSET(ORÇAMENTO!$W$15,ROW(AB551)-ROW(AB$15),0),15-13*ORÇAMENTO!$AF$11)),0)</f>
        <v>0</v>
      </c>
      <c r="AC551" s="545">
        <f ca="1">IF(AND($D551="Serviço",AC$12&lt;&gt;0,$H551&gt;0,OR(AUTOEVENTO&lt;&gt;"manual",$M551&lt;&gt;1)),
IF(Import.TipoArredondamento&lt;&gt;"TransfereGOV",
ROUND(OFFSET($P551,0,AC$13),15-13*ORÇAMENTO!$AF$7)/$H551*OFFSET(ORÇAMENTO!$X$15,ROW(AC551)-ROW(AC$15),0),
ROUND(ROUND(OFFSET($P551,0,AC$13),15-13*ORÇAMENTO!$AF$7)*OFFSET(ORÇAMENTO!$W$15,ROW(AC551)-ROW(AC$15),0),15-13*ORÇAMENTO!$AF$11)),0)</f>
        <v>0</v>
      </c>
      <c r="AD551" s="545">
        <f ca="1">IF(AND($D551="Serviço",AD$12&lt;&gt;0,$H551&gt;0,OR(AUTOEVENTO&lt;&gt;"manual",$M551&lt;&gt;1)),
IF(Import.TipoArredondamento&lt;&gt;"TransfereGOV",
ROUND(OFFSET($P551,0,AD$13),15-13*ORÇAMENTO!$AF$7)/$H551*OFFSET(ORÇAMENTO!$X$15,ROW(AD551)-ROW(AD$15),0),
ROUND(ROUND(OFFSET($P551,0,AD$13),15-13*ORÇAMENTO!$AF$7)*OFFSET(ORÇAMENTO!$W$15,ROW(AD551)-ROW(AD$15),0),15-13*ORÇAMENTO!$AF$11)),0)</f>
        <v>0</v>
      </c>
      <c r="AE551" s="545">
        <f ca="1">IF(AND($D551="Serviço",AE$12&lt;&gt;0,$H551&gt;0,OR(AUTOEVENTO&lt;&gt;"manual",$M551&lt;&gt;1)),
IF(Import.TipoArredondamento&lt;&gt;"TransfereGOV",
ROUND(OFFSET($P551,0,AE$13),15-13*ORÇAMENTO!$AF$7)/$H551*OFFSET(ORÇAMENTO!$X$15,ROW(AE551)-ROW(AE$15),0),
ROUND(ROUND(OFFSET($P551,0,AE$13),15-13*ORÇAMENTO!$AF$7)*OFFSET(ORÇAMENTO!$W$15,ROW(AE551)-ROW(AE$15),0),15-13*ORÇAMENTO!$AF$11)),0)</f>
        <v>0</v>
      </c>
      <c r="AF551" s="545">
        <f ca="1">IF(AND($D551="Serviço",AF$12&lt;&gt;0,$H551&gt;0,OR(AUTOEVENTO&lt;&gt;"manual",$M551&lt;&gt;1)),
IF(Import.TipoArredondamento&lt;&gt;"TransfereGOV",
ROUND(OFFSET($P551,0,AF$13),15-13*ORÇAMENTO!$AF$7)/$H551*OFFSET(ORÇAMENTO!$X$15,ROW(AF551)-ROW(AF$15),0),
ROUND(ROUND(OFFSET($P551,0,AF$13),15-13*ORÇAMENTO!$AF$7)*OFFSET(ORÇAMENTO!$W$15,ROW(AF551)-ROW(AF$15),0),15-13*ORÇAMENTO!$AF$11)),0)</f>
        <v>0</v>
      </c>
      <c r="AG551" s="545">
        <f ca="1">IF(AND($D551="Serviço",AG$12&lt;&gt;0,$H551&gt;0,OR(AUTOEVENTO&lt;&gt;"manual",$M551&lt;&gt;1)),
IF(Import.TipoArredondamento&lt;&gt;"TransfereGOV",
ROUND(OFFSET($P551,0,AG$13),15-13*ORÇAMENTO!$AF$7)/$H551*OFFSET(ORÇAMENTO!$X$15,ROW(AG551)-ROW(AG$15),0),
ROUND(ROUND(OFFSET($P551,0,AG$13),15-13*ORÇAMENTO!$AF$7)*OFFSET(ORÇAMENTO!$W$15,ROW(AG551)-ROW(AG$15),0),15-13*ORÇAMENTO!$AF$11)),0)</f>
        <v>0</v>
      </c>
      <c r="AH551" s="545">
        <f ca="1">IF(AND($D551="Serviço",AH$12&lt;&gt;0,$H551&gt;0,OR(AUTOEVENTO&lt;&gt;"manual",$M551&lt;&gt;1)),
IF(Import.TipoArredondamento&lt;&gt;"TransfereGOV",
ROUND(OFFSET($P551,0,AH$13),15-13*ORÇAMENTO!$AF$7)/$H551*OFFSET(ORÇAMENTO!$X$15,ROW(AH551)-ROW(AH$15),0),
ROUND(ROUND(OFFSET($P551,0,AH$13),15-13*ORÇAMENTO!$AF$7)*OFFSET(ORÇAMENTO!$W$15,ROW(AH551)-ROW(AH$15),0),15-13*ORÇAMENTO!$AF$11)),0)</f>
        <v>0</v>
      </c>
      <c r="AI551" s="545">
        <f ca="1">IF(AND($D551="Serviço",AI$12&lt;&gt;0,$H551&gt;0,OR(AUTOEVENTO&lt;&gt;"manual",$M551&lt;&gt;1)),
IF(Import.TipoArredondamento&lt;&gt;"TransfereGOV",
ROUND(OFFSET($P551,0,AI$13),15-13*ORÇAMENTO!$AF$7)/$H551*OFFSET(ORÇAMENTO!$X$15,ROW(AI551)-ROW(AI$15),0),
ROUND(ROUND(OFFSET($P551,0,AI$13),15-13*ORÇAMENTO!$AF$7)*OFFSET(ORÇAMENTO!$W$15,ROW(AI551)-ROW(AI$15),0),15-13*ORÇAMENTO!$AF$11)),0)</f>
        <v>0</v>
      </c>
      <c r="AJ551" s="545">
        <f ca="1">IF(AND($D551="Serviço",AJ$12&lt;&gt;0,$H551&gt;0,OR(AUTOEVENTO&lt;&gt;"manual",$M551&lt;&gt;1)),
IF(Import.TipoArredondamento&lt;&gt;"TransfereGOV",
ROUND(OFFSET($P551,0,AJ$13),15-13*ORÇAMENTO!$AF$7)/$H551*OFFSET(ORÇAMENTO!$X$15,ROW(AJ551)-ROW(AJ$15),0),
ROUND(ROUND(OFFSET($P551,0,AJ$13),15-13*ORÇAMENTO!$AF$7)*OFFSET(ORÇAMENTO!$W$15,ROW(AJ551)-ROW(AJ$15),0),15-13*ORÇAMENTO!$AF$11)),0)</f>
        <v>0</v>
      </c>
      <c r="AK551" s="546">
        <f ca="1">IF(AND($D551="Serviço",AK$12&lt;&gt;0,$H551&gt;0,OR(AUTOEVENTO&lt;&gt;"manual",$M551&lt;&gt;1)),
IF(Import.TipoArredondamento&lt;&gt;"TransfereGOV",
ROUND(OFFSET($P551,0,AK$13),15-13*ORÇAMENTO!$AF$7)/$H551*OFFSET(ORÇAMENTO!$X$15,ROW(AK551)-ROW(AK$15),0),
ROUND(ROUND(OFFSET($P551,0,AK$13),15-13*ORÇAMENTO!$AF$7)*OFFSET(ORÇAMENTO!$W$15,ROW(AK551)-ROW(AK$15),0),15-13*ORÇAMENTO!$AF$11)),0)</f>
        <v>0</v>
      </c>
      <c r="AM551" s="181">
        <f ca="1">IF($D551&lt;&gt;"Serviço",0,IF(AND(AUTOEVENTO="Manual",$M551=1),0,IF(OFFSET(CRONOPLE!$F$14,$M551,AM$13)="",10^12,OFFSET(CRONOPLE!$F$14,$M551,AM$13))))</f>
        <v>1000000000000</v>
      </c>
      <c r="AN551" s="181">
        <f ca="1">IF($D551&lt;&gt;"Serviço",0,IF(AND(AUTOEVENTO="Manual",$M551=1),0,IF(OFFSET(CRONOPLE!$F$14,$M551,AN$13)="",10^12,OFFSET(CRONOPLE!$F$14,$M551,AN$13))))</f>
        <v>1000000000000</v>
      </c>
      <c r="AO551" s="181">
        <f ca="1">IF($D551&lt;&gt;"Serviço",0,IF(AND(AUTOEVENTO="Manual",$M551=1),0,IF(OFFSET(CRONOPLE!$F$14,$M551,AO$13)="",10^12,OFFSET(CRONOPLE!$F$14,$M551,AO$13))))</f>
        <v>1000000000000</v>
      </c>
      <c r="AP551" s="181">
        <f ca="1">IF($D551&lt;&gt;"Serviço",0,IF(AND(AUTOEVENTO="Manual",$M551=1),0,IF(OFFSET(CRONOPLE!$F$14,$M551,AP$13)="",10^12,OFFSET(CRONOPLE!$F$14,$M551,AP$13))))</f>
        <v>1000000000000</v>
      </c>
      <c r="AQ551" s="181">
        <f ca="1">IF($D551&lt;&gt;"Serviço",0,IF(AND(AUTOEVENTO="Manual",$M551=1),0,IF(OFFSET(CRONOPLE!$F$14,$M551,AQ$13)="",10^12,OFFSET(CRONOPLE!$F$14,$M551,AQ$13))))</f>
        <v>1000000000000</v>
      </c>
      <c r="AR551" s="181">
        <f ca="1">IF($D551&lt;&gt;"Serviço",0,IF(AND(AUTOEVENTO="Manual",$M551=1),0,IF(OFFSET(CRONOPLE!$F$14,$M551,AR$13)="",10^12,OFFSET(CRONOPLE!$F$14,$M551,AR$13))))</f>
        <v>1000000000000</v>
      </c>
      <c r="AS551" s="181">
        <f ca="1">IF($D551&lt;&gt;"Serviço",0,IF(AND(AUTOEVENTO="Manual",$M551=1),0,IF(OFFSET(CRONOPLE!$F$14,$M551,AS$13)="",10^12,OFFSET(CRONOPLE!$F$14,$M551,AS$13))))</f>
        <v>1000000000000</v>
      </c>
      <c r="AT551" s="181">
        <f ca="1">IF($D551&lt;&gt;"Serviço",0,IF(AND(AUTOEVENTO="Manual",$M551=1),0,IF(OFFSET(CRONOPLE!$F$14,$M551,AT$13)="",10^12,OFFSET(CRONOPLE!$F$14,$M551,AT$13))))</f>
        <v>1000000000000</v>
      </c>
      <c r="AU551" s="181">
        <f ca="1">IF($D551&lt;&gt;"Serviço",0,IF(AND(AUTOEVENTO="Manual",$M551=1),0,IF(OFFSET(CRONOPLE!$F$14,$M551,AU$13)="",10^12,OFFSET(CRONOPLE!$F$14,$M551,AU$13))))</f>
        <v>1000000000000</v>
      </c>
      <c r="AV551" s="181">
        <f ca="1">IF($D551&lt;&gt;"Serviço",0,IF(AND(AUTOEVENTO="Manual",$M551=1),0,IF(OFFSET(CRONOPLE!$F$14,$M551,AV$13)="",10^12,OFFSET(CRONOPLE!$F$14,$M551,AV$13))))</f>
        <v>1000000000000</v>
      </c>
      <c r="AX551" s="182">
        <f ca="1">IF($D551&lt;&gt;"Serviço",0,IF(OR(AND(AUTOEVENTO="Manual",$M551=1),$M551&gt;(ROW(PLE.lastrow)-ROW(PLE.firstrow))),0,IF(OFFSET(PLE!$G$14,$M551,AX$13)="",10^12,OFFSET(PLE!$G$14,$M551,AX$13))))</f>
        <v>1000000000000</v>
      </c>
      <c r="AY551" s="182">
        <f ca="1">IF($D551&lt;&gt;"Serviço",0,IF(OR(AND(AUTOEVENTO="Manual",$M551=1),$M551&gt;(ROW(PLE.lastrow)-ROW(PLE.firstrow))),0,IF(OFFSET(PLE!$G$14,$M551,AY$13)="",10^12,OFFSET(PLE!$G$14,$M551,AY$13))))</f>
        <v>1000000000000</v>
      </c>
      <c r="AZ551" s="182">
        <f ca="1">IF($D551&lt;&gt;"Serviço",0,IF(OR(AND(AUTOEVENTO="Manual",$M551=1),$M551&gt;(ROW(PLE.lastrow)-ROW(PLE.firstrow))),0,IF(OFFSET(PLE!$G$14,$M551,AZ$13)="",10^12,OFFSET(PLE!$G$14,$M551,AZ$13))))</f>
        <v>1000000000000</v>
      </c>
      <c r="BA551" s="182">
        <f ca="1">IF($D551&lt;&gt;"Serviço",0,IF(OR(AND(AUTOEVENTO="Manual",$M551=1),$M551&gt;(ROW(PLE.lastrow)-ROW(PLE.firstrow))),0,IF(OFFSET(PLE!$G$14,$M551,BA$13)="",10^12,OFFSET(PLE!$G$14,$M551,BA$13))))</f>
        <v>1000000000000</v>
      </c>
      <c r="BB551" s="182">
        <f ca="1">IF($D551&lt;&gt;"Serviço",0,IF(OR(AND(AUTOEVENTO="Manual",$M551=1),$M551&gt;(ROW(PLE.lastrow)-ROW(PLE.firstrow))),0,IF(OFFSET(PLE!$G$14,$M551,BB$13)="",10^12,OFFSET(PLE!$G$14,$M551,BB$13))))</f>
        <v>1000000000000</v>
      </c>
      <c r="BC551" s="182">
        <f ca="1">IF($D551&lt;&gt;"Serviço",0,IF(OR(AND(AUTOEVENTO="Manual",$M551=1),$M551&gt;(ROW(PLE.lastrow)-ROW(PLE.firstrow))),0,IF(OFFSET(PLE!$G$14,$M551,BC$13)="",10^12,OFFSET(PLE!$G$14,$M551,BC$13))))</f>
        <v>1000000000000</v>
      </c>
      <c r="BD551" s="182">
        <f ca="1">IF($D551&lt;&gt;"Serviço",0,IF(OR(AND(AUTOEVENTO="Manual",$M551=1),$M551&gt;(ROW(PLE.lastrow)-ROW(PLE.firstrow))),0,IF(OFFSET(PLE!$G$14,$M551,BD$13)="",10^12,OFFSET(PLE!$G$14,$M551,BD$13))))</f>
        <v>1000000000000</v>
      </c>
      <c r="BE551" s="182">
        <f ca="1">IF($D551&lt;&gt;"Serviço",0,IF(OR(AND(AUTOEVENTO="Manual",$M551=1),$M551&gt;(ROW(PLE.lastrow)-ROW(PLE.firstrow))),0,IF(OFFSET(PLE!$G$14,$M551,BE$13)="",10^12,OFFSET(PLE!$G$14,$M551,BE$13))))</f>
        <v>1000000000000</v>
      </c>
      <c r="BF551" s="182">
        <f ca="1">IF($D551&lt;&gt;"Serviço",0,IF(OR(AND(AUTOEVENTO="Manual",$M551=1),$M551&gt;(ROW(PLE.lastrow)-ROW(PLE.firstrow))),0,IF(OFFSET(PLE!$G$14,$M551,BF$13)="",10^12,OFFSET(PLE!$G$14,$M551,BF$13))))</f>
        <v>1000000000000</v>
      </c>
      <c r="BG551" s="182">
        <f ca="1">IF($D551&lt;&gt;"Serviço",0,IF(OR(AND(AUTOEVENTO="Manual",$M551=1),$M551&gt;(ROW(PLE.lastrow)-ROW(PLE.firstrow))),0,IF(OFFSET(PLE!$G$14,$M551,BG$13)="",10^12,OFFSET(PLE!$G$14,$M551,BG$13))))</f>
        <v>1000000000000</v>
      </c>
    </row>
    <row r="552" spans="1:59" ht="12.75" x14ac:dyDescent="0.2">
      <c r="A552" s="7" t="str">
        <f t="shared" ca="1" si="15"/>
        <v>472</v>
      </c>
      <c r="B552" s="7">
        <f ca="1">OFFSET(ORÇAMENTO!C$15,ROW(B552)-ROW(B$15),0)</f>
        <v>3</v>
      </c>
      <c r="C552" s="7" t="str">
        <f ca="1">OFFSET(ORÇAMENTO!L$15,ROW(C552)-ROW(C$15),0)</f>
        <v>F</v>
      </c>
      <c r="D552" s="118" t="str">
        <f ca="1">OFFSET(ORÇAMENTO!N$15,ROW(D552)-ROW(D$15),0)</f>
        <v>Nível 3</v>
      </c>
      <c r="E552" s="119" t="str">
        <f ca="1">OFFSET(ORÇAMENTO!O$15,ROW(E552)-ROW(E$15),0)</f>
        <v>1.17.7.</v>
      </c>
      <c r="F552" s="172" t="str">
        <f ca="1">OFFSET(ORÇAMENTO!R$15,ROW(F552)-ROW(F$15),0)</f>
        <v>DISPOSITIVOS DE PROTEÇÃO</v>
      </c>
      <c r="G552" s="173" t="str">
        <f ca="1">IF($D552&lt;&gt;"Serviço","",OFFSET(ORÇAMENTO!S$15,ROW(G552)-ROW(G$15),0))</f>
        <v/>
      </c>
      <c r="H552" s="124">
        <f ca="1">IF($D552&lt;&gt;"Serviço",0,IF(ACOMPANHAMENTO="BM",ROUND(OFFSET(ORÇAMENTO!AJ$15,ROW(H552)-ROW(H$15),0),15-13*ORÇAMENTO!$AF$7),SUMPRODUCT(($Q$12:$AA$12&lt;&gt;"")*ROUND($Q552:$AA552,15-13*ORÇAMENTO!$AF$7))))</f>
        <v>0</v>
      </c>
      <c r="I552" s="561"/>
      <c r="K552" s="174"/>
      <c r="L552" s="175" t="s">
        <v>255</v>
      </c>
      <c r="M552" s="176" t="str">
        <f ca="1">IF($D552&lt;&gt;"Serviço","",IF(AUTOEVENTO="manual",$A552,IF(ISERROR(MATCH($A552,$A$15:OFFSET($A552,-1,0),0)),MAX($M$15:OFFSET(M552,-1,0))+1,INDEX($M$15:OFFSET(M552,-1,0),MATCH($A552,$A$15:OFFSET($A552,-1,0),0)))))</f>
        <v/>
      </c>
      <c r="N552" s="177" t="str">
        <f ca="1">IF($D552&lt;&gt;"Serviço","",IF(AUTOEVENTO="Manual",IF($A552=0,"&lt;-- defina o número do agrupador",OFFSET(EVENTOS!$D$14,$A552,0)),OFFSET($F$15,$A552,0)))</f>
        <v/>
      </c>
      <c r="O552" s="178"/>
      <c r="Q552" s="178"/>
      <c r="R552" s="179"/>
      <c r="S552" s="179"/>
      <c r="T552" s="179"/>
      <c r="U552" s="179"/>
      <c r="V552" s="179"/>
      <c r="W552" s="179"/>
      <c r="X552" s="179"/>
      <c r="Y552" s="179"/>
      <c r="Z552" s="180"/>
      <c r="AB552" s="544">
        <f ca="1">IF(AND($D552="Serviço",AB$12&lt;&gt;0,$H552&gt;0,OR(AUTOEVENTO&lt;&gt;"manual",$M552&lt;&gt;1)),
IF(Import.TipoArredondamento&lt;&gt;"TransfereGOV",
ROUND(OFFSET($P552,0,AB$13),15-13*ORÇAMENTO!$AF$7)/$H552*OFFSET(ORÇAMENTO!$X$15,ROW(AB552)-ROW(AB$15),0),
ROUND(ROUND(OFFSET($P552,0,AB$13),15-13*ORÇAMENTO!$AF$7)*OFFSET(ORÇAMENTO!$W$15,ROW(AB552)-ROW(AB$15),0),15-13*ORÇAMENTO!$AF$11)),0)</f>
        <v>0</v>
      </c>
      <c r="AC552" s="545">
        <f ca="1">IF(AND($D552="Serviço",AC$12&lt;&gt;0,$H552&gt;0,OR(AUTOEVENTO&lt;&gt;"manual",$M552&lt;&gt;1)),
IF(Import.TipoArredondamento&lt;&gt;"TransfereGOV",
ROUND(OFFSET($P552,0,AC$13),15-13*ORÇAMENTO!$AF$7)/$H552*OFFSET(ORÇAMENTO!$X$15,ROW(AC552)-ROW(AC$15),0),
ROUND(ROUND(OFFSET($P552,0,AC$13),15-13*ORÇAMENTO!$AF$7)*OFFSET(ORÇAMENTO!$W$15,ROW(AC552)-ROW(AC$15),0),15-13*ORÇAMENTO!$AF$11)),0)</f>
        <v>0</v>
      </c>
      <c r="AD552" s="545">
        <f ca="1">IF(AND($D552="Serviço",AD$12&lt;&gt;0,$H552&gt;0,OR(AUTOEVENTO&lt;&gt;"manual",$M552&lt;&gt;1)),
IF(Import.TipoArredondamento&lt;&gt;"TransfereGOV",
ROUND(OFFSET($P552,0,AD$13),15-13*ORÇAMENTO!$AF$7)/$H552*OFFSET(ORÇAMENTO!$X$15,ROW(AD552)-ROW(AD$15),0),
ROUND(ROUND(OFFSET($P552,0,AD$13),15-13*ORÇAMENTO!$AF$7)*OFFSET(ORÇAMENTO!$W$15,ROW(AD552)-ROW(AD$15),0),15-13*ORÇAMENTO!$AF$11)),0)</f>
        <v>0</v>
      </c>
      <c r="AE552" s="545">
        <f ca="1">IF(AND($D552="Serviço",AE$12&lt;&gt;0,$H552&gt;0,OR(AUTOEVENTO&lt;&gt;"manual",$M552&lt;&gt;1)),
IF(Import.TipoArredondamento&lt;&gt;"TransfereGOV",
ROUND(OFFSET($P552,0,AE$13),15-13*ORÇAMENTO!$AF$7)/$H552*OFFSET(ORÇAMENTO!$X$15,ROW(AE552)-ROW(AE$15),0),
ROUND(ROUND(OFFSET($P552,0,AE$13),15-13*ORÇAMENTO!$AF$7)*OFFSET(ORÇAMENTO!$W$15,ROW(AE552)-ROW(AE$15),0),15-13*ORÇAMENTO!$AF$11)),0)</f>
        <v>0</v>
      </c>
      <c r="AF552" s="545">
        <f ca="1">IF(AND($D552="Serviço",AF$12&lt;&gt;0,$H552&gt;0,OR(AUTOEVENTO&lt;&gt;"manual",$M552&lt;&gt;1)),
IF(Import.TipoArredondamento&lt;&gt;"TransfereGOV",
ROUND(OFFSET($P552,0,AF$13),15-13*ORÇAMENTO!$AF$7)/$H552*OFFSET(ORÇAMENTO!$X$15,ROW(AF552)-ROW(AF$15),0),
ROUND(ROUND(OFFSET($P552,0,AF$13),15-13*ORÇAMENTO!$AF$7)*OFFSET(ORÇAMENTO!$W$15,ROW(AF552)-ROW(AF$15),0),15-13*ORÇAMENTO!$AF$11)),0)</f>
        <v>0</v>
      </c>
      <c r="AG552" s="545">
        <f ca="1">IF(AND($D552="Serviço",AG$12&lt;&gt;0,$H552&gt;0,OR(AUTOEVENTO&lt;&gt;"manual",$M552&lt;&gt;1)),
IF(Import.TipoArredondamento&lt;&gt;"TransfereGOV",
ROUND(OFFSET($P552,0,AG$13),15-13*ORÇAMENTO!$AF$7)/$H552*OFFSET(ORÇAMENTO!$X$15,ROW(AG552)-ROW(AG$15),0),
ROUND(ROUND(OFFSET($P552,0,AG$13),15-13*ORÇAMENTO!$AF$7)*OFFSET(ORÇAMENTO!$W$15,ROW(AG552)-ROW(AG$15),0),15-13*ORÇAMENTO!$AF$11)),0)</f>
        <v>0</v>
      </c>
      <c r="AH552" s="545">
        <f ca="1">IF(AND($D552="Serviço",AH$12&lt;&gt;0,$H552&gt;0,OR(AUTOEVENTO&lt;&gt;"manual",$M552&lt;&gt;1)),
IF(Import.TipoArredondamento&lt;&gt;"TransfereGOV",
ROUND(OFFSET($P552,0,AH$13),15-13*ORÇAMENTO!$AF$7)/$H552*OFFSET(ORÇAMENTO!$X$15,ROW(AH552)-ROW(AH$15),0),
ROUND(ROUND(OFFSET($P552,0,AH$13),15-13*ORÇAMENTO!$AF$7)*OFFSET(ORÇAMENTO!$W$15,ROW(AH552)-ROW(AH$15),0),15-13*ORÇAMENTO!$AF$11)),0)</f>
        <v>0</v>
      </c>
      <c r="AI552" s="545">
        <f ca="1">IF(AND($D552="Serviço",AI$12&lt;&gt;0,$H552&gt;0,OR(AUTOEVENTO&lt;&gt;"manual",$M552&lt;&gt;1)),
IF(Import.TipoArredondamento&lt;&gt;"TransfereGOV",
ROUND(OFFSET($P552,0,AI$13),15-13*ORÇAMENTO!$AF$7)/$H552*OFFSET(ORÇAMENTO!$X$15,ROW(AI552)-ROW(AI$15),0),
ROUND(ROUND(OFFSET($P552,0,AI$13),15-13*ORÇAMENTO!$AF$7)*OFFSET(ORÇAMENTO!$W$15,ROW(AI552)-ROW(AI$15),0),15-13*ORÇAMENTO!$AF$11)),0)</f>
        <v>0</v>
      </c>
      <c r="AJ552" s="545">
        <f ca="1">IF(AND($D552="Serviço",AJ$12&lt;&gt;0,$H552&gt;0,OR(AUTOEVENTO&lt;&gt;"manual",$M552&lt;&gt;1)),
IF(Import.TipoArredondamento&lt;&gt;"TransfereGOV",
ROUND(OFFSET($P552,0,AJ$13),15-13*ORÇAMENTO!$AF$7)/$H552*OFFSET(ORÇAMENTO!$X$15,ROW(AJ552)-ROW(AJ$15),0),
ROUND(ROUND(OFFSET($P552,0,AJ$13),15-13*ORÇAMENTO!$AF$7)*OFFSET(ORÇAMENTO!$W$15,ROW(AJ552)-ROW(AJ$15),0),15-13*ORÇAMENTO!$AF$11)),0)</f>
        <v>0</v>
      </c>
      <c r="AK552" s="546">
        <f ca="1">IF(AND($D552="Serviço",AK$12&lt;&gt;0,$H552&gt;0,OR(AUTOEVENTO&lt;&gt;"manual",$M552&lt;&gt;1)),
IF(Import.TipoArredondamento&lt;&gt;"TransfereGOV",
ROUND(OFFSET($P552,0,AK$13),15-13*ORÇAMENTO!$AF$7)/$H552*OFFSET(ORÇAMENTO!$X$15,ROW(AK552)-ROW(AK$15),0),
ROUND(ROUND(OFFSET($P552,0,AK$13),15-13*ORÇAMENTO!$AF$7)*OFFSET(ORÇAMENTO!$W$15,ROW(AK552)-ROW(AK$15),0),15-13*ORÇAMENTO!$AF$11)),0)</f>
        <v>0</v>
      </c>
      <c r="AM552" s="181">
        <f ca="1">IF($D552&lt;&gt;"Serviço",0,IF(AND(AUTOEVENTO="Manual",$M552=1),0,IF(OFFSET(CRONOPLE!$F$14,$M552,AM$13)="",10^12,OFFSET(CRONOPLE!$F$14,$M552,AM$13))))</f>
        <v>0</v>
      </c>
      <c r="AN552" s="181">
        <f ca="1">IF($D552&lt;&gt;"Serviço",0,IF(AND(AUTOEVENTO="Manual",$M552=1),0,IF(OFFSET(CRONOPLE!$F$14,$M552,AN$13)="",10^12,OFFSET(CRONOPLE!$F$14,$M552,AN$13))))</f>
        <v>0</v>
      </c>
      <c r="AO552" s="181">
        <f ca="1">IF($D552&lt;&gt;"Serviço",0,IF(AND(AUTOEVENTO="Manual",$M552=1),0,IF(OFFSET(CRONOPLE!$F$14,$M552,AO$13)="",10^12,OFFSET(CRONOPLE!$F$14,$M552,AO$13))))</f>
        <v>0</v>
      </c>
      <c r="AP552" s="181">
        <f ca="1">IF($D552&lt;&gt;"Serviço",0,IF(AND(AUTOEVENTO="Manual",$M552=1),0,IF(OFFSET(CRONOPLE!$F$14,$M552,AP$13)="",10^12,OFFSET(CRONOPLE!$F$14,$M552,AP$13))))</f>
        <v>0</v>
      </c>
      <c r="AQ552" s="181">
        <f ca="1">IF($D552&lt;&gt;"Serviço",0,IF(AND(AUTOEVENTO="Manual",$M552=1),0,IF(OFFSET(CRONOPLE!$F$14,$M552,AQ$13)="",10^12,OFFSET(CRONOPLE!$F$14,$M552,AQ$13))))</f>
        <v>0</v>
      </c>
      <c r="AR552" s="181">
        <f ca="1">IF($D552&lt;&gt;"Serviço",0,IF(AND(AUTOEVENTO="Manual",$M552=1),0,IF(OFFSET(CRONOPLE!$F$14,$M552,AR$13)="",10^12,OFFSET(CRONOPLE!$F$14,$M552,AR$13))))</f>
        <v>0</v>
      </c>
      <c r="AS552" s="181">
        <f ca="1">IF($D552&lt;&gt;"Serviço",0,IF(AND(AUTOEVENTO="Manual",$M552=1),0,IF(OFFSET(CRONOPLE!$F$14,$M552,AS$13)="",10^12,OFFSET(CRONOPLE!$F$14,$M552,AS$13))))</f>
        <v>0</v>
      </c>
      <c r="AT552" s="181">
        <f ca="1">IF($D552&lt;&gt;"Serviço",0,IF(AND(AUTOEVENTO="Manual",$M552=1),0,IF(OFFSET(CRONOPLE!$F$14,$M552,AT$13)="",10^12,OFFSET(CRONOPLE!$F$14,$M552,AT$13))))</f>
        <v>0</v>
      </c>
      <c r="AU552" s="181">
        <f ca="1">IF($D552&lt;&gt;"Serviço",0,IF(AND(AUTOEVENTO="Manual",$M552=1),0,IF(OFFSET(CRONOPLE!$F$14,$M552,AU$13)="",10^12,OFFSET(CRONOPLE!$F$14,$M552,AU$13))))</f>
        <v>0</v>
      </c>
      <c r="AV552" s="181">
        <f ca="1">IF($D552&lt;&gt;"Serviço",0,IF(AND(AUTOEVENTO="Manual",$M552=1),0,IF(OFFSET(CRONOPLE!$F$14,$M552,AV$13)="",10^12,OFFSET(CRONOPLE!$F$14,$M552,AV$13))))</f>
        <v>0</v>
      </c>
      <c r="AX552" s="182">
        <f ca="1">IF($D552&lt;&gt;"Serviço",0,IF(OR(AND(AUTOEVENTO="Manual",$M552=1),$M552&gt;(ROW(PLE.lastrow)-ROW(PLE.firstrow))),0,IF(OFFSET(PLE!$G$14,$M552,AX$13)="",10^12,OFFSET(PLE!$G$14,$M552,AX$13))))</f>
        <v>0</v>
      </c>
      <c r="AY552" s="182">
        <f ca="1">IF($D552&lt;&gt;"Serviço",0,IF(OR(AND(AUTOEVENTO="Manual",$M552=1),$M552&gt;(ROW(PLE.lastrow)-ROW(PLE.firstrow))),0,IF(OFFSET(PLE!$G$14,$M552,AY$13)="",10^12,OFFSET(PLE!$G$14,$M552,AY$13))))</f>
        <v>0</v>
      </c>
      <c r="AZ552" s="182">
        <f ca="1">IF($D552&lt;&gt;"Serviço",0,IF(OR(AND(AUTOEVENTO="Manual",$M552=1),$M552&gt;(ROW(PLE.lastrow)-ROW(PLE.firstrow))),0,IF(OFFSET(PLE!$G$14,$M552,AZ$13)="",10^12,OFFSET(PLE!$G$14,$M552,AZ$13))))</f>
        <v>0</v>
      </c>
      <c r="BA552" s="182">
        <f ca="1">IF($D552&lt;&gt;"Serviço",0,IF(OR(AND(AUTOEVENTO="Manual",$M552=1),$M552&gt;(ROW(PLE.lastrow)-ROW(PLE.firstrow))),0,IF(OFFSET(PLE!$G$14,$M552,BA$13)="",10^12,OFFSET(PLE!$G$14,$M552,BA$13))))</f>
        <v>0</v>
      </c>
      <c r="BB552" s="182">
        <f ca="1">IF($D552&lt;&gt;"Serviço",0,IF(OR(AND(AUTOEVENTO="Manual",$M552=1),$M552&gt;(ROW(PLE.lastrow)-ROW(PLE.firstrow))),0,IF(OFFSET(PLE!$G$14,$M552,BB$13)="",10^12,OFFSET(PLE!$G$14,$M552,BB$13))))</f>
        <v>0</v>
      </c>
      <c r="BC552" s="182">
        <f ca="1">IF($D552&lt;&gt;"Serviço",0,IF(OR(AND(AUTOEVENTO="Manual",$M552=1),$M552&gt;(ROW(PLE.lastrow)-ROW(PLE.firstrow))),0,IF(OFFSET(PLE!$G$14,$M552,BC$13)="",10^12,OFFSET(PLE!$G$14,$M552,BC$13))))</f>
        <v>0</v>
      </c>
      <c r="BD552" s="182">
        <f ca="1">IF($D552&lt;&gt;"Serviço",0,IF(OR(AND(AUTOEVENTO="Manual",$M552=1),$M552&gt;(ROW(PLE.lastrow)-ROW(PLE.firstrow))),0,IF(OFFSET(PLE!$G$14,$M552,BD$13)="",10^12,OFFSET(PLE!$G$14,$M552,BD$13))))</f>
        <v>0</v>
      </c>
      <c r="BE552" s="182">
        <f ca="1">IF($D552&lt;&gt;"Serviço",0,IF(OR(AND(AUTOEVENTO="Manual",$M552=1),$M552&gt;(ROW(PLE.lastrow)-ROW(PLE.firstrow))),0,IF(OFFSET(PLE!$G$14,$M552,BE$13)="",10^12,OFFSET(PLE!$G$14,$M552,BE$13))))</f>
        <v>0</v>
      </c>
      <c r="BF552" s="182">
        <f ca="1">IF($D552&lt;&gt;"Serviço",0,IF(OR(AND(AUTOEVENTO="Manual",$M552=1),$M552&gt;(ROW(PLE.lastrow)-ROW(PLE.firstrow))),0,IF(OFFSET(PLE!$G$14,$M552,BF$13)="",10^12,OFFSET(PLE!$G$14,$M552,BF$13))))</f>
        <v>0</v>
      </c>
      <c r="BG552" s="182">
        <f ca="1">IF($D552&lt;&gt;"Serviço",0,IF(OR(AND(AUTOEVENTO="Manual",$M552=1),$M552&gt;(ROW(PLE.lastrow)-ROW(PLE.firstrow))),0,IF(OFFSET(PLE!$G$14,$M552,BG$13)="",10^12,OFFSET(PLE!$G$14,$M552,BG$13))))</f>
        <v>0</v>
      </c>
    </row>
    <row r="553" spans="1:59" ht="25.5" x14ac:dyDescent="0.2">
      <c r="A553" s="7" t="str">
        <f t="shared" ca="1" si="15"/>
        <v>472</v>
      </c>
      <c r="B553" s="7" t="str">
        <f ca="1">OFFSET(ORÇAMENTO!C$15,ROW(B553)-ROW(B$15),0)</f>
        <v>S</v>
      </c>
      <c r="C553" s="7" t="str">
        <f ca="1">OFFSET(ORÇAMENTO!L$15,ROW(C553)-ROW(C$15),0)</f>
        <v/>
      </c>
      <c r="D553" s="118" t="str">
        <f ca="1">OFFSET(ORÇAMENTO!N$15,ROW(D553)-ROW(D$15),0)</f>
        <v>Serviço</v>
      </c>
      <c r="E553" s="119" t="str">
        <f ca="1">OFFSET(ORÇAMENTO!O$15,ROW(E553)-ROW(E$15),0)</f>
        <v>-</v>
      </c>
      <c r="F553" s="172" t="str">
        <f ca="1">OFFSET(ORÇAMENTO!R$15,ROW(F553)-ROW(F$15),0)</f>
        <v>(abra o arquivo 'Referência 02-2025.xlsm)</v>
      </c>
      <c r="G553" s="173" t="str">
        <f ca="1">IF($D553&lt;&gt;"Serviço","",OFFSET(ORÇAMENTO!S$15,ROW(G553)-ROW(G$15),0))</f>
        <v>-</v>
      </c>
      <c r="H553" s="124">
        <f ca="1">IF($D553&lt;&gt;"Serviço",0,IF(ACOMPANHAMENTO="BM",ROUND(OFFSET(ORÇAMENTO!AJ$15,ROW(H553)-ROW(H$15),0),15-13*ORÇAMENTO!$AF$7),SUMPRODUCT(($Q$12:$AA$12&lt;&gt;"")*ROUND($Q553:$AA553,15-13*ORÇAMENTO!$AF$7))))</f>
        <v>2</v>
      </c>
      <c r="I553" s="561" t="s">
        <v>890</v>
      </c>
      <c r="K553" s="174"/>
      <c r="L553" s="175" t="s">
        <v>255</v>
      </c>
      <c r="M553" s="176">
        <f ca="1">IF($D553&lt;&gt;"Serviço","",IF(AUTOEVENTO="manual",$A553,IF(ISERROR(MATCH($A553,$A$15:OFFSET($A553,-1,0),0)),MAX($M$15:OFFSET(M553,-1,0))+1,INDEX($M$15:OFFSET(M553,-1,0),MATCH($A553,$A$15:OFFSET($A553,-1,0),0)))))</f>
        <v>18</v>
      </c>
      <c r="N553" s="177" t="str">
        <f ca="1">IF($D553&lt;&gt;"Serviço","",IF(AUTOEVENTO="Manual",IF($A553=0,"&lt;-- defina o número do agrupador",OFFSET(EVENTOS!$D$14,$A553,0)),OFFSET($F$15,$A553,0)))</f>
        <v>INSTALAÇÕES ELÉTRICAS - 220V</v>
      </c>
      <c r="O553" s="178"/>
      <c r="Q553" s="178"/>
      <c r="R553" s="179"/>
      <c r="S553" s="179"/>
      <c r="T553" s="179"/>
      <c r="U553" s="179"/>
      <c r="V553" s="179"/>
      <c r="W553" s="179"/>
      <c r="X553" s="179"/>
      <c r="Y553" s="179"/>
      <c r="Z553" s="180"/>
      <c r="AB553" s="544">
        <f ca="1">IF(AND($D553="Serviço",AB$12&lt;&gt;0,$H553&gt;0,OR(AUTOEVENTO&lt;&gt;"manual",$M553&lt;&gt;1)),
IF(Import.TipoArredondamento&lt;&gt;"TransfereGOV",
ROUND(OFFSET($P553,0,AB$13),15-13*ORÇAMENTO!$AF$7)/$H553*OFFSET(ORÇAMENTO!$X$15,ROW(AB553)-ROW(AB$15),0),
ROUND(ROUND(OFFSET($P553,0,AB$13),15-13*ORÇAMENTO!$AF$7)*OFFSET(ORÇAMENTO!$W$15,ROW(AB553)-ROW(AB$15),0),15-13*ORÇAMENTO!$AF$11)),0)</f>
        <v>0</v>
      </c>
      <c r="AC553" s="545">
        <f ca="1">IF(AND($D553="Serviço",AC$12&lt;&gt;0,$H553&gt;0,OR(AUTOEVENTO&lt;&gt;"manual",$M553&lt;&gt;1)),
IF(Import.TipoArredondamento&lt;&gt;"TransfereGOV",
ROUND(OFFSET($P553,0,AC$13),15-13*ORÇAMENTO!$AF$7)/$H553*OFFSET(ORÇAMENTO!$X$15,ROW(AC553)-ROW(AC$15),0),
ROUND(ROUND(OFFSET($P553,0,AC$13),15-13*ORÇAMENTO!$AF$7)*OFFSET(ORÇAMENTO!$W$15,ROW(AC553)-ROW(AC$15),0),15-13*ORÇAMENTO!$AF$11)),0)</f>
        <v>0</v>
      </c>
      <c r="AD553" s="545">
        <f ca="1">IF(AND($D553="Serviço",AD$12&lt;&gt;0,$H553&gt;0,OR(AUTOEVENTO&lt;&gt;"manual",$M553&lt;&gt;1)),
IF(Import.TipoArredondamento&lt;&gt;"TransfereGOV",
ROUND(OFFSET($P553,0,AD$13),15-13*ORÇAMENTO!$AF$7)/$H553*OFFSET(ORÇAMENTO!$X$15,ROW(AD553)-ROW(AD$15),0),
ROUND(ROUND(OFFSET($P553,0,AD$13),15-13*ORÇAMENTO!$AF$7)*OFFSET(ORÇAMENTO!$W$15,ROW(AD553)-ROW(AD$15),0),15-13*ORÇAMENTO!$AF$11)),0)</f>
        <v>0</v>
      </c>
      <c r="AE553" s="545">
        <f ca="1">IF(AND($D553="Serviço",AE$12&lt;&gt;0,$H553&gt;0,OR(AUTOEVENTO&lt;&gt;"manual",$M553&lt;&gt;1)),
IF(Import.TipoArredondamento&lt;&gt;"TransfereGOV",
ROUND(OFFSET($P553,0,AE$13),15-13*ORÇAMENTO!$AF$7)/$H553*OFFSET(ORÇAMENTO!$X$15,ROW(AE553)-ROW(AE$15),0),
ROUND(ROUND(OFFSET($P553,0,AE$13),15-13*ORÇAMENTO!$AF$7)*OFFSET(ORÇAMENTO!$W$15,ROW(AE553)-ROW(AE$15),0),15-13*ORÇAMENTO!$AF$11)),0)</f>
        <v>0</v>
      </c>
      <c r="AF553" s="545">
        <f ca="1">IF(AND($D553="Serviço",AF$12&lt;&gt;0,$H553&gt;0,OR(AUTOEVENTO&lt;&gt;"manual",$M553&lt;&gt;1)),
IF(Import.TipoArredondamento&lt;&gt;"TransfereGOV",
ROUND(OFFSET($P553,0,AF$13),15-13*ORÇAMENTO!$AF$7)/$H553*OFFSET(ORÇAMENTO!$X$15,ROW(AF553)-ROW(AF$15),0),
ROUND(ROUND(OFFSET($P553,0,AF$13),15-13*ORÇAMENTO!$AF$7)*OFFSET(ORÇAMENTO!$W$15,ROW(AF553)-ROW(AF$15),0),15-13*ORÇAMENTO!$AF$11)),0)</f>
        <v>0</v>
      </c>
      <c r="AG553" s="545">
        <f ca="1">IF(AND($D553="Serviço",AG$12&lt;&gt;0,$H553&gt;0,OR(AUTOEVENTO&lt;&gt;"manual",$M553&lt;&gt;1)),
IF(Import.TipoArredondamento&lt;&gt;"TransfereGOV",
ROUND(OFFSET($P553,0,AG$13),15-13*ORÇAMENTO!$AF$7)/$H553*OFFSET(ORÇAMENTO!$X$15,ROW(AG553)-ROW(AG$15),0),
ROUND(ROUND(OFFSET($P553,0,AG$13),15-13*ORÇAMENTO!$AF$7)*OFFSET(ORÇAMENTO!$W$15,ROW(AG553)-ROW(AG$15),0),15-13*ORÇAMENTO!$AF$11)),0)</f>
        <v>0</v>
      </c>
      <c r="AH553" s="545">
        <f ca="1">IF(AND($D553="Serviço",AH$12&lt;&gt;0,$H553&gt;0,OR(AUTOEVENTO&lt;&gt;"manual",$M553&lt;&gt;1)),
IF(Import.TipoArredondamento&lt;&gt;"TransfereGOV",
ROUND(OFFSET($P553,0,AH$13),15-13*ORÇAMENTO!$AF$7)/$H553*OFFSET(ORÇAMENTO!$X$15,ROW(AH553)-ROW(AH$15),0),
ROUND(ROUND(OFFSET($P553,0,AH$13),15-13*ORÇAMENTO!$AF$7)*OFFSET(ORÇAMENTO!$W$15,ROW(AH553)-ROW(AH$15),0),15-13*ORÇAMENTO!$AF$11)),0)</f>
        <v>0</v>
      </c>
      <c r="AI553" s="545">
        <f ca="1">IF(AND($D553="Serviço",AI$12&lt;&gt;0,$H553&gt;0,OR(AUTOEVENTO&lt;&gt;"manual",$M553&lt;&gt;1)),
IF(Import.TipoArredondamento&lt;&gt;"TransfereGOV",
ROUND(OFFSET($P553,0,AI$13),15-13*ORÇAMENTO!$AF$7)/$H553*OFFSET(ORÇAMENTO!$X$15,ROW(AI553)-ROW(AI$15),0),
ROUND(ROUND(OFFSET($P553,0,AI$13),15-13*ORÇAMENTO!$AF$7)*OFFSET(ORÇAMENTO!$W$15,ROW(AI553)-ROW(AI$15),0),15-13*ORÇAMENTO!$AF$11)),0)</f>
        <v>0</v>
      </c>
      <c r="AJ553" s="545">
        <f ca="1">IF(AND($D553="Serviço",AJ$12&lt;&gt;0,$H553&gt;0,OR(AUTOEVENTO&lt;&gt;"manual",$M553&lt;&gt;1)),
IF(Import.TipoArredondamento&lt;&gt;"TransfereGOV",
ROUND(OFFSET($P553,0,AJ$13),15-13*ORÇAMENTO!$AF$7)/$H553*OFFSET(ORÇAMENTO!$X$15,ROW(AJ553)-ROW(AJ$15),0),
ROUND(ROUND(OFFSET($P553,0,AJ$13),15-13*ORÇAMENTO!$AF$7)*OFFSET(ORÇAMENTO!$W$15,ROW(AJ553)-ROW(AJ$15),0),15-13*ORÇAMENTO!$AF$11)),0)</f>
        <v>0</v>
      </c>
      <c r="AK553" s="546">
        <f ca="1">IF(AND($D553="Serviço",AK$12&lt;&gt;0,$H553&gt;0,OR(AUTOEVENTO&lt;&gt;"manual",$M553&lt;&gt;1)),
IF(Import.TipoArredondamento&lt;&gt;"TransfereGOV",
ROUND(OFFSET($P553,0,AK$13),15-13*ORÇAMENTO!$AF$7)/$H553*OFFSET(ORÇAMENTO!$X$15,ROW(AK553)-ROW(AK$15),0),
ROUND(ROUND(OFFSET($P553,0,AK$13),15-13*ORÇAMENTO!$AF$7)*OFFSET(ORÇAMENTO!$W$15,ROW(AK553)-ROW(AK$15),0),15-13*ORÇAMENTO!$AF$11)),0)</f>
        <v>0</v>
      </c>
      <c r="AM553" s="181">
        <f ca="1">IF($D553&lt;&gt;"Serviço",0,IF(AND(AUTOEVENTO="Manual",$M553=1),0,IF(OFFSET(CRONOPLE!$F$14,$M553,AM$13)="",10^12,OFFSET(CRONOPLE!$F$14,$M553,AM$13))))</f>
        <v>1000000000000</v>
      </c>
      <c r="AN553" s="181">
        <f ca="1">IF($D553&lt;&gt;"Serviço",0,IF(AND(AUTOEVENTO="Manual",$M553=1),0,IF(OFFSET(CRONOPLE!$F$14,$M553,AN$13)="",10^12,OFFSET(CRONOPLE!$F$14,$M553,AN$13))))</f>
        <v>1000000000000</v>
      </c>
      <c r="AO553" s="181">
        <f ca="1">IF($D553&lt;&gt;"Serviço",0,IF(AND(AUTOEVENTO="Manual",$M553=1),0,IF(OFFSET(CRONOPLE!$F$14,$M553,AO$13)="",10^12,OFFSET(CRONOPLE!$F$14,$M553,AO$13))))</f>
        <v>1000000000000</v>
      </c>
      <c r="AP553" s="181">
        <f ca="1">IF($D553&lt;&gt;"Serviço",0,IF(AND(AUTOEVENTO="Manual",$M553=1),0,IF(OFFSET(CRONOPLE!$F$14,$M553,AP$13)="",10^12,OFFSET(CRONOPLE!$F$14,$M553,AP$13))))</f>
        <v>1000000000000</v>
      </c>
      <c r="AQ553" s="181">
        <f ca="1">IF($D553&lt;&gt;"Serviço",0,IF(AND(AUTOEVENTO="Manual",$M553=1),0,IF(OFFSET(CRONOPLE!$F$14,$M553,AQ$13)="",10^12,OFFSET(CRONOPLE!$F$14,$M553,AQ$13))))</f>
        <v>1000000000000</v>
      </c>
      <c r="AR553" s="181">
        <f ca="1">IF($D553&lt;&gt;"Serviço",0,IF(AND(AUTOEVENTO="Manual",$M553=1),0,IF(OFFSET(CRONOPLE!$F$14,$M553,AR$13)="",10^12,OFFSET(CRONOPLE!$F$14,$M553,AR$13))))</f>
        <v>1000000000000</v>
      </c>
      <c r="AS553" s="181">
        <f ca="1">IF($D553&lt;&gt;"Serviço",0,IF(AND(AUTOEVENTO="Manual",$M553=1),0,IF(OFFSET(CRONOPLE!$F$14,$M553,AS$13)="",10^12,OFFSET(CRONOPLE!$F$14,$M553,AS$13))))</f>
        <v>1000000000000</v>
      </c>
      <c r="AT553" s="181">
        <f ca="1">IF($D553&lt;&gt;"Serviço",0,IF(AND(AUTOEVENTO="Manual",$M553=1),0,IF(OFFSET(CRONOPLE!$F$14,$M553,AT$13)="",10^12,OFFSET(CRONOPLE!$F$14,$M553,AT$13))))</f>
        <v>1000000000000</v>
      </c>
      <c r="AU553" s="181">
        <f ca="1">IF($D553&lt;&gt;"Serviço",0,IF(AND(AUTOEVENTO="Manual",$M553=1),0,IF(OFFSET(CRONOPLE!$F$14,$M553,AU$13)="",10^12,OFFSET(CRONOPLE!$F$14,$M553,AU$13))))</f>
        <v>1000000000000</v>
      </c>
      <c r="AV553" s="181">
        <f ca="1">IF($D553&lt;&gt;"Serviço",0,IF(AND(AUTOEVENTO="Manual",$M553=1),0,IF(OFFSET(CRONOPLE!$F$14,$M553,AV$13)="",10^12,OFFSET(CRONOPLE!$F$14,$M553,AV$13))))</f>
        <v>1000000000000</v>
      </c>
      <c r="AX553" s="182">
        <f ca="1">IF($D553&lt;&gt;"Serviço",0,IF(OR(AND(AUTOEVENTO="Manual",$M553=1),$M553&gt;(ROW(PLE.lastrow)-ROW(PLE.firstrow))),0,IF(OFFSET(PLE!$G$14,$M553,AX$13)="",10^12,OFFSET(PLE!$G$14,$M553,AX$13))))</f>
        <v>1000000000000</v>
      </c>
      <c r="AY553" s="182">
        <f ca="1">IF($D553&lt;&gt;"Serviço",0,IF(OR(AND(AUTOEVENTO="Manual",$M553=1),$M553&gt;(ROW(PLE.lastrow)-ROW(PLE.firstrow))),0,IF(OFFSET(PLE!$G$14,$M553,AY$13)="",10^12,OFFSET(PLE!$G$14,$M553,AY$13))))</f>
        <v>1000000000000</v>
      </c>
      <c r="AZ553" s="182">
        <f ca="1">IF($D553&lt;&gt;"Serviço",0,IF(OR(AND(AUTOEVENTO="Manual",$M553=1),$M553&gt;(ROW(PLE.lastrow)-ROW(PLE.firstrow))),0,IF(OFFSET(PLE!$G$14,$M553,AZ$13)="",10^12,OFFSET(PLE!$G$14,$M553,AZ$13))))</f>
        <v>1000000000000</v>
      </c>
      <c r="BA553" s="182">
        <f ca="1">IF($D553&lt;&gt;"Serviço",0,IF(OR(AND(AUTOEVENTO="Manual",$M553=1),$M553&gt;(ROW(PLE.lastrow)-ROW(PLE.firstrow))),0,IF(OFFSET(PLE!$G$14,$M553,BA$13)="",10^12,OFFSET(PLE!$G$14,$M553,BA$13))))</f>
        <v>1000000000000</v>
      </c>
      <c r="BB553" s="182">
        <f ca="1">IF($D553&lt;&gt;"Serviço",0,IF(OR(AND(AUTOEVENTO="Manual",$M553=1),$M553&gt;(ROW(PLE.lastrow)-ROW(PLE.firstrow))),0,IF(OFFSET(PLE!$G$14,$M553,BB$13)="",10^12,OFFSET(PLE!$G$14,$M553,BB$13))))</f>
        <v>1000000000000</v>
      </c>
      <c r="BC553" s="182">
        <f ca="1">IF($D553&lt;&gt;"Serviço",0,IF(OR(AND(AUTOEVENTO="Manual",$M553=1),$M553&gt;(ROW(PLE.lastrow)-ROW(PLE.firstrow))),0,IF(OFFSET(PLE!$G$14,$M553,BC$13)="",10^12,OFFSET(PLE!$G$14,$M553,BC$13))))</f>
        <v>1000000000000</v>
      </c>
      <c r="BD553" s="182">
        <f ca="1">IF($D553&lt;&gt;"Serviço",0,IF(OR(AND(AUTOEVENTO="Manual",$M553=1),$M553&gt;(ROW(PLE.lastrow)-ROW(PLE.firstrow))),0,IF(OFFSET(PLE!$G$14,$M553,BD$13)="",10^12,OFFSET(PLE!$G$14,$M553,BD$13))))</f>
        <v>1000000000000</v>
      </c>
      <c r="BE553" s="182">
        <f ca="1">IF($D553&lt;&gt;"Serviço",0,IF(OR(AND(AUTOEVENTO="Manual",$M553=1),$M553&gt;(ROW(PLE.lastrow)-ROW(PLE.firstrow))),0,IF(OFFSET(PLE!$G$14,$M553,BE$13)="",10^12,OFFSET(PLE!$G$14,$M553,BE$13))))</f>
        <v>1000000000000</v>
      </c>
      <c r="BF553" s="182">
        <f ca="1">IF($D553&lt;&gt;"Serviço",0,IF(OR(AND(AUTOEVENTO="Manual",$M553=1),$M553&gt;(ROW(PLE.lastrow)-ROW(PLE.firstrow))),0,IF(OFFSET(PLE!$G$14,$M553,BF$13)="",10^12,OFFSET(PLE!$G$14,$M553,BF$13))))</f>
        <v>1000000000000</v>
      </c>
      <c r="BG553" s="182">
        <f ca="1">IF($D553&lt;&gt;"Serviço",0,IF(OR(AND(AUTOEVENTO="Manual",$M553=1),$M553&gt;(ROW(PLE.lastrow)-ROW(PLE.firstrow))),0,IF(OFFSET(PLE!$G$14,$M553,BG$13)="",10^12,OFFSET(PLE!$G$14,$M553,BG$13))))</f>
        <v>1000000000000</v>
      </c>
    </row>
    <row r="554" spans="1:59" ht="25.5" x14ac:dyDescent="0.2">
      <c r="A554" s="7" t="str">
        <f t="shared" ca="1" si="15"/>
        <v>472</v>
      </c>
      <c r="B554" s="7" t="str">
        <f ca="1">OFFSET(ORÇAMENTO!C$15,ROW(B554)-ROW(B$15),0)</f>
        <v>S</v>
      </c>
      <c r="C554" s="7" t="str">
        <f ca="1">OFFSET(ORÇAMENTO!L$15,ROW(C554)-ROW(C$15),0)</f>
        <v/>
      </c>
      <c r="D554" s="118" t="str">
        <f ca="1">OFFSET(ORÇAMENTO!N$15,ROW(D554)-ROW(D$15),0)</f>
        <v>Serviço</v>
      </c>
      <c r="E554" s="119" t="str">
        <f ca="1">OFFSET(ORÇAMENTO!O$15,ROW(E554)-ROW(E$15),0)</f>
        <v>-</v>
      </c>
      <c r="F554" s="172" t="str">
        <f ca="1">OFFSET(ORÇAMENTO!R$15,ROW(F554)-ROW(F$15),0)</f>
        <v>(abra o arquivo 'Referência 02-2025.xlsm)</v>
      </c>
      <c r="G554" s="173" t="str">
        <f ca="1">IF($D554&lt;&gt;"Serviço","",OFFSET(ORÇAMENTO!S$15,ROW(G554)-ROW(G$15),0))</f>
        <v>-</v>
      </c>
      <c r="H554" s="124">
        <f ca="1">IF($D554&lt;&gt;"Serviço",0,IF(ACOMPANHAMENTO="BM",ROUND(OFFSET(ORÇAMENTO!AJ$15,ROW(H554)-ROW(H$15),0),15-13*ORÇAMENTO!$AF$7),SUMPRODUCT(($Q$12:$AA$12&lt;&gt;"")*ROUND($Q554:$AA554,15-13*ORÇAMENTO!$AF$7))))</f>
        <v>46</v>
      </c>
      <c r="I554" s="561" t="s">
        <v>890</v>
      </c>
      <c r="K554" s="174"/>
      <c r="L554" s="175" t="s">
        <v>255</v>
      </c>
      <c r="M554" s="176">
        <f ca="1">IF($D554&lt;&gt;"Serviço","",IF(AUTOEVENTO="manual",$A554,IF(ISERROR(MATCH($A554,$A$15:OFFSET($A554,-1,0),0)),MAX($M$15:OFFSET(M554,-1,0))+1,INDEX($M$15:OFFSET(M554,-1,0),MATCH($A554,$A$15:OFFSET($A554,-1,0),0)))))</f>
        <v>18</v>
      </c>
      <c r="N554" s="177" t="str">
        <f ca="1">IF($D554&lt;&gt;"Serviço","",IF(AUTOEVENTO="Manual",IF($A554=0,"&lt;-- defina o número do agrupador",OFFSET(EVENTOS!$D$14,$A554,0)),OFFSET($F$15,$A554,0)))</f>
        <v>INSTALAÇÕES ELÉTRICAS - 220V</v>
      </c>
      <c r="O554" s="178"/>
      <c r="Q554" s="178"/>
      <c r="R554" s="179"/>
      <c r="S554" s="179"/>
      <c r="T554" s="179"/>
      <c r="U554" s="179"/>
      <c r="V554" s="179"/>
      <c r="W554" s="179"/>
      <c r="X554" s="179"/>
      <c r="Y554" s="179"/>
      <c r="Z554" s="180"/>
      <c r="AB554" s="544">
        <f ca="1">IF(AND($D554="Serviço",AB$12&lt;&gt;0,$H554&gt;0,OR(AUTOEVENTO&lt;&gt;"manual",$M554&lt;&gt;1)),
IF(Import.TipoArredondamento&lt;&gt;"TransfereGOV",
ROUND(OFFSET($P554,0,AB$13),15-13*ORÇAMENTO!$AF$7)/$H554*OFFSET(ORÇAMENTO!$X$15,ROW(AB554)-ROW(AB$15),0),
ROUND(ROUND(OFFSET($P554,0,AB$13),15-13*ORÇAMENTO!$AF$7)*OFFSET(ORÇAMENTO!$W$15,ROW(AB554)-ROW(AB$15),0),15-13*ORÇAMENTO!$AF$11)),0)</f>
        <v>0</v>
      </c>
      <c r="AC554" s="545">
        <f ca="1">IF(AND($D554="Serviço",AC$12&lt;&gt;0,$H554&gt;0,OR(AUTOEVENTO&lt;&gt;"manual",$M554&lt;&gt;1)),
IF(Import.TipoArredondamento&lt;&gt;"TransfereGOV",
ROUND(OFFSET($P554,0,AC$13),15-13*ORÇAMENTO!$AF$7)/$H554*OFFSET(ORÇAMENTO!$X$15,ROW(AC554)-ROW(AC$15),0),
ROUND(ROUND(OFFSET($P554,0,AC$13),15-13*ORÇAMENTO!$AF$7)*OFFSET(ORÇAMENTO!$W$15,ROW(AC554)-ROW(AC$15),0),15-13*ORÇAMENTO!$AF$11)),0)</f>
        <v>0</v>
      </c>
      <c r="AD554" s="545">
        <f ca="1">IF(AND($D554="Serviço",AD$12&lt;&gt;0,$H554&gt;0,OR(AUTOEVENTO&lt;&gt;"manual",$M554&lt;&gt;1)),
IF(Import.TipoArredondamento&lt;&gt;"TransfereGOV",
ROUND(OFFSET($P554,0,AD$13),15-13*ORÇAMENTO!$AF$7)/$H554*OFFSET(ORÇAMENTO!$X$15,ROW(AD554)-ROW(AD$15),0),
ROUND(ROUND(OFFSET($P554,0,AD$13),15-13*ORÇAMENTO!$AF$7)*OFFSET(ORÇAMENTO!$W$15,ROW(AD554)-ROW(AD$15),0),15-13*ORÇAMENTO!$AF$11)),0)</f>
        <v>0</v>
      </c>
      <c r="AE554" s="545">
        <f ca="1">IF(AND($D554="Serviço",AE$12&lt;&gt;0,$H554&gt;0,OR(AUTOEVENTO&lt;&gt;"manual",$M554&lt;&gt;1)),
IF(Import.TipoArredondamento&lt;&gt;"TransfereGOV",
ROUND(OFFSET($P554,0,AE$13),15-13*ORÇAMENTO!$AF$7)/$H554*OFFSET(ORÇAMENTO!$X$15,ROW(AE554)-ROW(AE$15),0),
ROUND(ROUND(OFFSET($P554,0,AE$13),15-13*ORÇAMENTO!$AF$7)*OFFSET(ORÇAMENTO!$W$15,ROW(AE554)-ROW(AE$15),0),15-13*ORÇAMENTO!$AF$11)),0)</f>
        <v>0</v>
      </c>
      <c r="AF554" s="545">
        <f ca="1">IF(AND($D554="Serviço",AF$12&lt;&gt;0,$H554&gt;0,OR(AUTOEVENTO&lt;&gt;"manual",$M554&lt;&gt;1)),
IF(Import.TipoArredondamento&lt;&gt;"TransfereGOV",
ROUND(OFFSET($P554,0,AF$13),15-13*ORÇAMENTO!$AF$7)/$H554*OFFSET(ORÇAMENTO!$X$15,ROW(AF554)-ROW(AF$15),0),
ROUND(ROUND(OFFSET($P554,0,AF$13),15-13*ORÇAMENTO!$AF$7)*OFFSET(ORÇAMENTO!$W$15,ROW(AF554)-ROW(AF$15),0),15-13*ORÇAMENTO!$AF$11)),0)</f>
        <v>0</v>
      </c>
      <c r="AG554" s="545">
        <f ca="1">IF(AND($D554="Serviço",AG$12&lt;&gt;0,$H554&gt;0,OR(AUTOEVENTO&lt;&gt;"manual",$M554&lt;&gt;1)),
IF(Import.TipoArredondamento&lt;&gt;"TransfereGOV",
ROUND(OFFSET($P554,0,AG$13),15-13*ORÇAMENTO!$AF$7)/$H554*OFFSET(ORÇAMENTO!$X$15,ROW(AG554)-ROW(AG$15),0),
ROUND(ROUND(OFFSET($P554,0,AG$13),15-13*ORÇAMENTO!$AF$7)*OFFSET(ORÇAMENTO!$W$15,ROW(AG554)-ROW(AG$15),0),15-13*ORÇAMENTO!$AF$11)),0)</f>
        <v>0</v>
      </c>
      <c r="AH554" s="545">
        <f ca="1">IF(AND($D554="Serviço",AH$12&lt;&gt;0,$H554&gt;0,OR(AUTOEVENTO&lt;&gt;"manual",$M554&lt;&gt;1)),
IF(Import.TipoArredondamento&lt;&gt;"TransfereGOV",
ROUND(OFFSET($P554,0,AH$13),15-13*ORÇAMENTO!$AF$7)/$H554*OFFSET(ORÇAMENTO!$X$15,ROW(AH554)-ROW(AH$15),0),
ROUND(ROUND(OFFSET($P554,0,AH$13),15-13*ORÇAMENTO!$AF$7)*OFFSET(ORÇAMENTO!$W$15,ROW(AH554)-ROW(AH$15),0),15-13*ORÇAMENTO!$AF$11)),0)</f>
        <v>0</v>
      </c>
      <c r="AI554" s="545">
        <f ca="1">IF(AND($D554="Serviço",AI$12&lt;&gt;0,$H554&gt;0,OR(AUTOEVENTO&lt;&gt;"manual",$M554&lt;&gt;1)),
IF(Import.TipoArredondamento&lt;&gt;"TransfereGOV",
ROUND(OFFSET($P554,0,AI$13),15-13*ORÇAMENTO!$AF$7)/$H554*OFFSET(ORÇAMENTO!$X$15,ROW(AI554)-ROW(AI$15),0),
ROUND(ROUND(OFFSET($P554,0,AI$13),15-13*ORÇAMENTO!$AF$7)*OFFSET(ORÇAMENTO!$W$15,ROW(AI554)-ROW(AI$15),0),15-13*ORÇAMENTO!$AF$11)),0)</f>
        <v>0</v>
      </c>
      <c r="AJ554" s="545">
        <f ca="1">IF(AND($D554="Serviço",AJ$12&lt;&gt;0,$H554&gt;0,OR(AUTOEVENTO&lt;&gt;"manual",$M554&lt;&gt;1)),
IF(Import.TipoArredondamento&lt;&gt;"TransfereGOV",
ROUND(OFFSET($P554,0,AJ$13),15-13*ORÇAMENTO!$AF$7)/$H554*OFFSET(ORÇAMENTO!$X$15,ROW(AJ554)-ROW(AJ$15),0),
ROUND(ROUND(OFFSET($P554,0,AJ$13),15-13*ORÇAMENTO!$AF$7)*OFFSET(ORÇAMENTO!$W$15,ROW(AJ554)-ROW(AJ$15),0),15-13*ORÇAMENTO!$AF$11)),0)</f>
        <v>0</v>
      </c>
      <c r="AK554" s="546">
        <f ca="1">IF(AND($D554="Serviço",AK$12&lt;&gt;0,$H554&gt;0,OR(AUTOEVENTO&lt;&gt;"manual",$M554&lt;&gt;1)),
IF(Import.TipoArredondamento&lt;&gt;"TransfereGOV",
ROUND(OFFSET($P554,0,AK$13),15-13*ORÇAMENTO!$AF$7)/$H554*OFFSET(ORÇAMENTO!$X$15,ROW(AK554)-ROW(AK$15),0),
ROUND(ROUND(OFFSET($P554,0,AK$13),15-13*ORÇAMENTO!$AF$7)*OFFSET(ORÇAMENTO!$W$15,ROW(AK554)-ROW(AK$15),0),15-13*ORÇAMENTO!$AF$11)),0)</f>
        <v>0</v>
      </c>
      <c r="AM554" s="181">
        <f ca="1">IF($D554&lt;&gt;"Serviço",0,IF(AND(AUTOEVENTO="Manual",$M554=1),0,IF(OFFSET(CRONOPLE!$F$14,$M554,AM$13)="",10^12,OFFSET(CRONOPLE!$F$14,$M554,AM$13))))</f>
        <v>1000000000000</v>
      </c>
      <c r="AN554" s="181">
        <f ca="1">IF($D554&lt;&gt;"Serviço",0,IF(AND(AUTOEVENTO="Manual",$M554=1),0,IF(OFFSET(CRONOPLE!$F$14,$M554,AN$13)="",10^12,OFFSET(CRONOPLE!$F$14,$M554,AN$13))))</f>
        <v>1000000000000</v>
      </c>
      <c r="AO554" s="181">
        <f ca="1">IF($D554&lt;&gt;"Serviço",0,IF(AND(AUTOEVENTO="Manual",$M554=1),0,IF(OFFSET(CRONOPLE!$F$14,$M554,AO$13)="",10^12,OFFSET(CRONOPLE!$F$14,$M554,AO$13))))</f>
        <v>1000000000000</v>
      </c>
      <c r="AP554" s="181">
        <f ca="1">IF($D554&lt;&gt;"Serviço",0,IF(AND(AUTOEVENTO="Manual",$M554=1),0,IF(OFFSET(CRONOPLE!$F$14,$M554,AP$13)="",10^12,OFFSET(CRONOPLE!$F$14,$M554,AP$13))))</f>
        <v>1000000000000</v>
      </c>
      <c r="AQ554" s="181">
        <f ca="1">IF($D554&lt;&gt;"Serviço",0,IF(AND(AUTOEVENTO="Manual",$M554=1),0,IF(OFFSET(CRONOPLE!$F$14,$M554,AQ$13)="",10^12,OFFSET(CRONOPLE!$F$14,$M554,AQ$13))))</f>
        <v>1000000000000</v>
      </c>
      <c r="AR554" s="181">
        <f ca="1">IF($D554&lt;&gt;"Serviço",0,IF(AND(AUTOEVENTO="Manual",$M554=1),0,IF(OFFSET(CRONOPLE!$F$14,$M554,AR$13)="",10^12,OFFSET(CRONOPLE!$F$14,$M554,AR$13))))</f>
        <v>1000000000000</v>
      </c>
      <c r="AS554" s="181">
        <f ca="1">IF($D554&lt;&gt;"Serviço",0,IF(AND(AUTOEVENTO="Manual",$M554=1),0,IF(OFFSET(CRONOPLE!$F$14,$M554,AS$13)="",10^12,OFFSET(CRONOPLE!$F$14,$M554,AS$13))))</f>
        <v>1000000000000</v>
      </c>
      <c r="AT554" s="181">
        <f ca="1">IF($D554&lt;&gt;"Serviço",0,IF(AND(AUTOEVENTO="Manual",$M554=1),0,IF(OFFSET(CRONOPLE!$F$14,$M554,AT$13)="",10^12,OFFSET(CRONOPLE!$F$14,$M554,AT$13))))</f>
        <v>1000000000000</v>
      </c>
      <c r="AU554" s="181">
        <f ca="1">IF($D554&lt;&gt;"Serviço",0,IF(AND(AUTOEVENTO="Manual",$M554=1),0,IF(OFFSET(CRONOPLE!$F$14,$M554,AU$13)="",10^12,OFFSET(CRONOPLE!$F$14,$M554,AU$13))))</f>
        <v>1000000000000</v>
      </c>
      <c r="AV554" s="181">
        <f ca="1">IF($D554&lt;&gt;"Serviço",0,IF(AND(AUTOEVENTO="Manual",$M554=1),0,IF(OFFSET(CRONOPLE!$F$14,$M554,AV$13)="",10^12,OFFSET(CRONOPLE!$F$14,$M554,AV$13))))</f>
        <v>1000000000000</v>
      </c>
      <c r="AX554" s="182">
        <f ca="1">IF($D554&lt;&gt;"Serviço",0,IF(OR(AND(AUTOEVENTO="Manual",$M554=1),$M554&gt;(ROW(PLE.lastrow)-ROW(PLE.firstrow))),0,IF(OFFSET(PLE!$G$14,$M554,AX$13)="",10^12,OFFSET(PLE!$G$14,$M554,AX$13))))</f>
        <v>1000000000000</v>
      </c>
      <c r="AY554" s="182">
        <f ca="1">IF($D554&lt;&gt;"Serviço",0,IF(OR(AND(AUTOEVENTO="Manual",$M554=1),$M554&gt;(ROW(PLE.lastrow)-ROW(PLE.firstrow))),0,IF(OFFSET(PLE!$G$14,$M554,AY$13)="",10^12,OFFSET(PLE!$G$14,$M554,AY$13))))</f>
        <v>1000000000000</v>
      </c>
      <c r="AZ554" s="182">
        <f ca="1">IF($D554&lt;&gt;"Serviço",0,IF(OR(AND(AUTOEVENTO="Manual",$M554=1),$M554&gt;(ROW(PLE.lastrow)-ROW(PLE.firstrow))),0,IF(OFFSET(PLE!$G$14,$M554,AZ$13)="",10^12,OFFSET(PLE!$G$14,$M554,AZ$13))))</f>
        <v>1000000000000</v>
      </c>
      <c r="BA554" s="182">
        <f ca="1">IF($D554&lt;&gt;"Serviço",0,IF(OR(AND(AUTOEVENTO="Manual",$M554=1),$M554&gt;(ROW(PLE.lastrow)-ROW(PLE.firstrow))),0,IF(OFFSET(PLE!$G$14,$M554,BA$13)="",10^12,OFFSET(PLE!$G$14,$M554,BA$13))))</f>
        <v>1000000000000</v>
      </c>
      <c r="BB554" s="182">
        <f ca="1">IF($D554&lt;&gt;"Serviço",0,IF(OR(AND(AUTOEVENTO="Manual",$M554=1),$M554&gt;(ROW(PLE.lastrow)-ROW(PLE.firstrow))),0,IF(OFFSET(PLE!$G$14,$M554,BB$13)="",10^12,OFFSET(PLE!$G$14,$M554,BB$13))))</f>
        <v>1000000000000</v>
      </c>
      <c r="BC554" s="182">
        <f ca="1">IF($D554&lt;&gt;"Serviço",0,IF(OR(AND(AUTOEVENTO="Manual",$M554=1),$M554&gt;(ROW(PLE.lastrow)-ROW(PLE.firstrow))),0,IF(OFFSET(PLE!$G$14,$M554,BC$13)="",10^12,OFFSET(PLE!$G$14,$M554,BC$13))))</f>
        <v>1000000000000</v>
      </c>
      <c r="BD554" s="182">
        <f ca="1">IF($D554&lt;&gt;"Serviço",0,IF(OR(AND(AUTOEVENTO="Manual",$M554=1),$M554&gt;(ROW(PLE.lastrow)-ROW(PLE.firstrow))),0,IF(OFFSET(PLE!$G$14,$M554,BD$13)="",10^12,OFFSET(PLE!$G$14,$M554,BD$13))))</f>
        <v>1000000000000</v>
      </c>
      <c r="BE554" s="182">
        <f ca="1">IF($D554&lt;&gt;"Serviço",0,IF(OR(AND(AUTOEVENTO="Manual",$M554=1),$M554&gt;(ROW(PLE.lastrow)-ROW(PLE.firstrow))),0,IF(OFFSET(PLE!$G$14,$M554,BE$13)="",10^12,OFFSET(PLE!$G$14,$M554,BE$13))))</f>
        <v>1000000000000</v>
      </c>
      <c r="BF554" s="182">
        <f ca="1">IF($D554&lt;&gt;"Serviço",0,IF(OR(AND(AUTOEVENTO="Manual",$M554=1),$M554&gt;(ROW(PLE.lastrow)-ROW(PLE.firstrow))),0,IF(OFFSET(PLE!$G$14,$M554,BF$13)="",10^12,OFFSET(PLE!$G$14,$M554,BF$13))))</f>
        <v>1000000000000</v>
      </c>
      <c r="BG554" s="182">
        <f ca="1">IF($D554&lt;&gt;"Serviço",0,IF(OR(AND(AUTOEVENTO="Manual",$M554=1),$M554&gt;(ROW(PLE.lastrow)-ROW(PLE.firstrow))),0,IF(OFFSET(PLE!$G$14,$M554,BG$13)="",10^12,OFFSET(PLE!$G$14,$M554,BG$13))))</f>
        <v>1000000000000</v>
      </c>
    </row>
    <row r="555" spans="1:59" ht="25.5" x14ac:dyDescent="0.2">
      <c r="A555" s="7" t="str">
        <f t="shared" ca="1" si="15"/>
        <v>472</v>
      </c>
      <c r="B555" s="7" t="str">
        <f ca="1">OFFSET(ORÇAMENTO!C$15,ROW(B555)-ROW(B$15),0)</f>
        <v>S</v>
      </c>
      <c r="C555" s="7" t="str">
        <f ca="1">OFFSET(ORÇAMENTO!L$15,ROW(C555)-ROW(C$15),0)</f>
        <v/>
      </c>
      <c r="D555" s="118" t="str">
        <f ca="1">OFFSET(ORÇAMENTO!N$15,ROW(D555)-ROW(D$15),0)</f>
        <v>Serviço</v>
      </c>
      <c r="E555" s="119" t="str">
        <f ca="1">OFFSET(ORÇAMENTO!O$15,ROW(E555)-ROW(E$15),0)</f>
        <v>-</v>
      </c>
      <c r="F555" s="172" t="str">
        <f ca="1">OFFSET(ORÇAMENTO!R$15,ROW(F555)-ROW(F$15),0)</f>
        <v>(abra o arquivo 'Referência 02-2025.xlsm)</v>
      </c>
      <c r="G555" s="173" t="str">
        <f ca="1">IF($D555&lt;&gt;"Serviço","",OFFSET(ORÇAMENTO!S$15,ROW(G555)-ROW(G$15),0))</f>
        <v>-</v>
      </c>
      <c r="H555" s="124">
        <f ca="1">IF($D555&lt;&gt;"Serviço",0,IF(ACOMPANHAMENTO="BM",ROUND(OFFSET(ORÇAMENTO!AJ$15,ROW(H555)-ROW(H$15),0),15-13*ORÇAMENTO!$AF$7),SUMPRODUCT(($Q$12:$AA$12&lt;&gt;"")*ROUND($Q555:$AA555,15-13*ORÇAMENTO!$AF$7))))</f>
        <v>9</v>
      </c>
      <c r="I555" s="561" t="s">
        <v>890</v>
      </c>
      <c r="K555" s="174"/>
      <c r="L555" s="175" t="s">
        <v>255</v>
      </c>
      <c r="M555" s="176">
        <f ca="1">IF($D555&lt;&gt;"Serviço","",IF(AUTOEVENTO="manual",$A555,IF(ISERROR(MATCH($A555,$A$15:OFFSET($A555,-1,0),0)),MAX($M$15:OFFSET(M555,-1,0))+1,INDEX($M$15:OFFSET(M555,-1,0),MATCH($A555,$A$15:OFFSET($A555,-1,0),0)))))</f>
        <v>18</v>
      </c>
      <c r="N555" s="177" t="str">
        <f ca="1">IF($D555&lt;&gt;"Serviço","",IF(AUTOEVENTO="Manual",IF($A555=0,"&lt;-- defina o número do agrupador",OFFSET(EVENTOS!$D$14,$A555,0)),OFFSET($F$15,$A555,0)))</f>
        <v>INSTALAÇÕES ELÉTRICAS - 220V</v>
      </c>
      <c r="O555" s="178"/>
      <c r="Q555" s="178"/>
      <c r="R555" s="179"/>
      <c r="S555" s="179"/>
      <c r="T555" s="179"/>
      <c r="U555" s="179"/>
      <c r="V555" s="179"/>
      <c r="W555" s="179"/>
      <c r="X555" s="179"/>
      <c r="Y555" s="179"/>
      <c r="Z555" s="180"/>
      <c r="AB555" s="544">
        <f ca="1">IF(AND($D555="Serviço",AB$12&lt;&gt;0,$H555&gt;0,OR(AUTOEVENTO&lt;&gt;"manual",$M555&lt;&gt;1)),
IF(Import.TipoArredondamento&lt;&gt;"TransfereGOV",
ROUND(OFFSET($P555,0,AB$13),15-13*ORÇAMENTO!$AF$7)/$H555*OFFSET(ORÇAMENTO!$X$15,ROW(AB555)-ROW(AB$15),0),
ROUND(ROUND(OFFSET($P555,0,AB$13),15-13*ORÇAMENTO!$AF$7)*OFFSET(ORÇAMENTO!$W$15,ROW(AB555)-ROW(AB$15),0),15-13*ORÇAMENTO!$AF$11)),0)</f>
        <v>0</v>
      </c>
      <c r="AC555" s="545">
        <f ca="1">IF(AND($D555="Serviço",AC$12&lt;&gt;0,$H555&gt;0,OR(AUTOEVENTO&lt;&gt;"manual",$M555&lt;&gt;1)),
IF(Import.TipoArredondamento&lt;&gt;"TransfereGOV",
ROUND(OFFSET($P555,0,AC$13),15-13*ORÇAMENTO!$AF$7)/$H555*OFFSET(ORÇAMENTO!$X$15,ROW(AC555)-ROW(AC$15),0),
ROUND(ROUND(OFFSET($P555,0,AC$13),15-13*ORÇAMENTO!$AF$7)*OFFSET(ORÇAMENTO!$W$15,ROW(AC555)-ROW(AC$15),0),15-13*ORÇAMENTO!$AF$11)),0)</f>
        <v>0</v>
      </c>
      <c r="AD555" s="545">
        <f ca="1">IF(AND($D555="Serviço",AD$12&lt;&gt;0,$H555&gt;0,OR(AUTOEVENTO&lt;&gt;"manual",$M555&lt;&gt;1)),
IF(Import.TipoArredondamento&lt;&gt;"TransfereGOV",
ROUND(OFFSET($P555,0,AD$13),15-13*ORÇAMENTO!$AF$7)/$H555*OFFSET(ORÇAMENTO!$X$15,ROW(AD555)-ROW(AD$15),0),
ROUND(ROUND(OFFSET($P555,0,AD$13),15-13*ORÇAMENTO!$AF$7)*OFFSET(ORÇAMENTO!$W$15,ROW(AD555)-ROW(AD$15),0),15-13*ORÇAMENTO!$AF$11)),0)</f>
        <v>0</v>
      </c>
      <c r="AE555" s="545">
        <f ca="1">IF(AND($D555="Serviço",AE$12&lt;&gt;0,$H555&gt;0,OR(AUTOEVENTO&lt;&gt;"manual",$M555&lt;&gt;1)),
IF(Import.TipoArredondamento&lt;&gt;"TransfereGOV",
ROUND(OFFSET($P555,0,AE$13),15-13*ORÇAMENTO!$AF$7)/$H555*OFFSET(ORÇAMENTO!$X$15,ROW(AE555)-ROW(AE$15),0),
ROUND(ROUND(OFFSET($P555,0,AE$13),15-13*ORÇAMENTO!$AF$7)*OFFSET(ORÇAMENTO!$W$15,ROW(AE555)-ROW(AE$15),0),15-13*ORÇAMENTO!$AF$11)),0)</f>
        <v>0</v>
      </c>
      <c r="AF555" s="545">
        <f ca="1">IF(AND($D555="Serviço",AF$12&lt;&gt;0,$H555&gt;0,OR(AUTOEVENTO&lt;&gt;"manual",$M555&lt;&gt;1)),
IF(Import.TipoArredondamento&lt;&gt;"TransfereGOV",
ROUND(OFFSET($P555,0,AF$13),15-13*ORÇAMENTO!$AF$7)/$H555*OFFSET(ORÇAMENTO!$X$15,ROW(AF555)-ROW(AF$15),0),
ROUND(ROUND(OFFSET($P555,0,AF$13),15-13*ORÇAMENTO!$AF$7)*OFFSET(ORÇAMENTO!$W$15,ROW(AF555)-ROW(AF$15),0),15-13*ORÇAMENTO!$AF$11)),0)</f>
        <v>0</v>
      </c>
      <c r="AG555" s="545">
        <f ca="1">IF(AND($D555="Serviço",AG$12&lt;&gt;0,$H555&gt;0,OR(AUTOEVENTO&lt;&gt;"manual",$M555&lt;&gt;1)),
IF(Import.TipoArredondamento&lt;&gt;"TransfereGOV",
ROUND(OFFSET($P555,0,AG$13),15-13*ORÇAMENTO!$AF$7)/$H555*OFFSET(ORÇAMENTO!$X$15,ROW(AG555)-ROW(AG$15),0),
ROUND(ROUND(OFFSET($P555,0,AG$13),15-13*ORÇAMENTO!$AF$7)*OFFSET(ORÇAMENTO!$W$15,ROW(AG555)-ROW(AG$15),0),15-13*ORÇAMENTO!$AF$11)),0)</f>
        <v>0</v>
      </c>
      <c r="AH555" s="545">
        <f ca="1">IF(AND($D555="Serviço",AH$12&lt;&gt;0,$H555&gt;0,OR(AUTOEVENTO&lt;&gt;"manual",$M555&lt;&gt;1)),
IF(Import.TipoArredondamento&lt;&gt;"TransfereGOV",
ROUND(OFFSET($P555,0,AH$13),15-13*ORÇAMENTO!$AF$7)/$H555*OFFSET(ORÇAMENTO!$X$15,ROW(AH555)-ROW(AH$15),0),
ROUND(ROUND(OFFSET($P555,0,AH$13),15-13*ORÇAMENTO!$AF$7)*OFFSET(ORÇAMENTO!$W$15,ROW(AH555)-ROW(AH$15),0),15-13*ORÇAMENTO!$AF$11)),0)</f>
        <v>0</v>
      </c>
      <c r="AI555" s="545">
        <f ca="1">IF(AND($D555="Serviço",AI$12&lt;&gt;0,$H555&gt;0,OR(AUTOEVENTO&lt;&gt;"manual",$M555&lt;&gt;1)),
IF(Import.TipoArredondamento&lt;&gt;"TransfereGOV",
ROUND(OFFSET($P555,0,AI$13),15-13*ORÇAMENTO!$AF$7)/$H555*OFFSET(ORÇAMENTO!$X$15,ROW(AI555)-ROW(AI$15),0),
ROUND(ROUND(OFFSET($P555,0,AI$13),15-13*ORÇAMENTO!$AF$7)*OFFSET(ORÇAMENTO!$W$15,ROW(AI555)-ROW(AI$15),0),15-13*ORÇAMENTO!$AF$11)),0)</f>
        <v>0</v>
      </c>
      <c r="AJ555" s="545">
        <f ca="1">IF(AND($D555="Serviço",AJ$12&lt;&gt;0,$H555&gt;0,OR(AUTOEVENTO&lt;&gt;"manual",$M555&lt;&gt;1)),
IF(Import.TipoArredondamento&lt;&gt;"TransfereGOV",
ROUND(OFFSET($P555,0,AJ$13),15-13*ORÇAMENTO!$AF$7)/$H555*OFFSET(ORÇAMENTO!$X$15,ROW(AJ555)-ROW(AJ$15),0),
ROUND(ROUND(OFFSET($P555,0,AJ$13),15-13*ORÇAMENTO!$AF$7)*OFFSET(ORÇAMENTO!$W$15,ROW(AJ555)-ROW(AJ$15),0),15-13*ORÇAMENTO!$AF$11)),0)</f>
        <v>0</v>
      </c>
      <c r="AK555" s="546">
        <f ca="1">IF(AND($D555="Serviço",AK$12&lt;&gt;0,$H555&gt;0,OR(AUTOEVENTO&lt;&gt;"manual",$M555&lt;&gt;1)),
IF(Import.TipoArredondamento&lt;&gt;"TransfereGOV",
ROUND(OFFSET($P555,0,AK$13),15-13*ORÇAMENTO!$AF$7)/$H555*OFFSET(ORÇAMENTO!$X$15,ROW(AK555)-ROW(AK$15),0),
ROUND(ROUND(OFFSET($P555,0,AK$13),15-13*ORÇAMENTO!$AF$7)*OFFSET(ORÇAMENTO!$W$15,ROW(AK555)-ROW(AK$15),0),15-13*ORÇAMENTO!$AF$11)),0)</f>
        <v>0</v>
      </c>
      <c r="AM555" s="181">
        <f ca="1">IF($D555&lt;&gt;"Serviço",0,IF(AND(AUTOEVENTO="Manual",$M555=1),0,IF(OFFSET(CRONOPLE!$F$14,$M555,AM$13)="",10^12,OFFSET(CRONOPLE!$F$14,$M555,AM$13))))</f>
        <v>1000000000000</v>
      </c>
      <c r="AN555" s="181">
        <f ca="1">IF($D555&lt;&gt;"Serviço",0,IF(AND(AUTOEVENTO="Manual",$M555=1),0,IF(OFFSET(CRONOPLE!$F$14,$M555,AN$13)="",10^12,OFFSET(CRONOPLE!$F$14,$M555,AN$13))))</f>
        <v>1000000000000</v>
      </c>
      <c r="AO555" s="181">
        <f ca="1">IF($D555&lt;&gt;"Serviço",0,IF(AND(AUTOEVENTO="Manual",$M555=1),0,IF(OFFSET(CRONOPLE!$F$14,$M555,AO$13)="",10^12,OFFSET(CRONOPLE!$F$14,$M555,AO$13))))</f>
        <v>1000000000000</v>
      </c>
      <c r="AP555" s="181">
        <f ca="1">IF($D555&lt;&gt;"Serviço",0,IF(AND(AUTOEVENTO="Manual",$M555=1),0,IF(OFFSET(CRONOPLE!$F$14,$M555,AP$13)="",10^12,OFFSET(CRONOPLE!$F$14,$M555,AP$13))))</f>
        <v>1000000000000</v>
      </c>
      <c r="AQ555" s="181">
        <f ca="1">IF($D555&lt;&gt;"Serviço",0,IF(AND(AUTOEVENTO="Manual",$M555=1),0,IF(OFFSET(CRONOPLE!$F$14,$M555,AQ$13)="",10^12,OFFSET(CRONOPLE!$F$14,$M555,AQ$13))))</f>
        <v>1000000000000</v>
      </c>
      <c r="AR555" s="181">
        <f ca="1">IF($D555&lt;&gt;"Serviço",0,IF(AND(AUTOEVENTO="Manual",$M555=1),0,IF(OFFSET(CRONOPLE!$F$14,$M555,AR$13)="",10^12,OFFSET(CRONOPLE!$F$14,$M555,AR$13))))</f>
        <v>1000000000000</v>
      </c>
      <c r="AS555" s="181">
        <f ca="1">IF($D555&lt;&gt;"Serviço",0,IF(AND(AUTOEVENTO="Manual",$M555=1),0,IF(OFFSET(CRONOPLE!$F$14,$M555,AS$13)="",10^12,OFFSET(CRONOPLE!$F$14,$M555,AS$13))))</f>
        <v>1000000000000</v>
      </c>
      <c r="AT555" s="181">
        <f ca="1">IF($D555&lt;&gt;"Serviço",0,IF(AND(AUTOEVENTO="Manual",$M555=1),0,IF(OFFSET(CRONOPLE!$F$14,$M555,AT$13)="",10^12,OFFSET(CRONOPLE!$F$14,$M555,AT$13))))</f>
        <v>1000000000000</v>
      </c>
      <c r="AU555" s="181">
        <f ca="1">IF($D555&lt;&gt;"Serviço",0,IF(AND(AUTOEVENTO="Manual",$M555=1),0,IF(OFFSET(CRONOPLE!$F$14,$M555,AU$13)="",10^12,OFFSET(CRONOPLE!$F$14,$M555,AU$13))))</f>
        <v>1000000000000</v>
      </c>
      <c r="AV555" s="181">
        <f ca="1">IF($D555&lt;&gt;"Serviço",0,IF(AND(AUTOEVENTO="Manual",$M555=1),0,IF(OFFSET(CRONOPLE!$F$14,$M555,AV$13)="",10^12,OFFSET(CRONOPLE!$F$14,$M555,AV$13))))</f>
        <v>1000000000000</v>
      </c>
      <c r="AX555" s="182">
        <f ca="1">IF($D555&lt;&gt;"Serviço",0,IF(OR(AND(AUTOEVENTO="Manual",$M555=1),$M555&gt;(ROW(PLE.lastrow)-ROW(PLE.firstrow))),0,IF(OFFSET(PLE!$G$14,$M555,AX$13)="",10^12,OFFSET(PLE!$G$14,$M555,AX$13))))</f>
        <v>1000000000000</v>
      </c>
      <c r="AY555" s="182">
        <f ca="1">IF($D555&lt;&gt;"Serviço",0,IF(OR(AND(AUTOEVENTO="Manual",$M555=1),$M555&gt;(ROW(PLE.lastrow)-ROW(PLE.firstrow))),0,IF(OFFSET(PLE!$G$14,$M555,AY$13)="",10^12,OFFSET(PLE!$G$14,$M555,AY$13))))</f>
        <v>1000000000000</v>
      </c>
      <c r="AZ555" s="182">
        <f ca="1">IF($D555&lt;&gt;"Serviço",0,IF(OR(AND(AUTOEVENTO="Manual",$M555=1),$M555&gt;(ROW(PLE.lastrow)-ROW(PLE.firstrow))),0,IF(OFFSET(PLE!$G$14,$M555,AZ$13)="",10^12,OFFSET(PLE!$G$14,$M555,AZ$13))))</f>
        <v>1000000000000</v>
      </c>
      <c r="BA555" s="182">
        <f ca="1">IF($D555&lt;&gt;"Serviço",0,IF(OR(AND(AUTOEVENTO="Manual",$M555=1),$M555&gt;(ROW(PLE.lastrow)-ROW(PLE.firstrow))),0,IF(OFFSET(PLE!$G$14,$M555,BA$13)="",10^12,OFFSET(PLE!$G$14,$M555,BA$13))))</f>
        <v>1000000000000</v>
      </c>
      <c r="BB555" s="182">
        <f ca="1">IF($D555&lt;&gt;"Serviço",0,IF(OR(AND(AUTOEVENTO="Manual",$M555=1),$M555&gt;(ROW(PLE.lastrow)-ROW(PLE.firstrow))),0,IF(OFFSET(PLE!$G$14,$M555,BB$13)="",10^12,OFFSET(PLE!$G$14,$M555,BB$13))))</f>
        <v>1000000000000</v>
      </c>
      <c r="BC555" s="182">
        <f ca="1">IF($D555&lt;&gt;"Serviço",0,IF(OR(AND(AUTOEVENTO="Manual",$M555=1),$M555&gt;(ROW(PLE.lastrow)-ROW(PLE.firstrow))),0,IF(OFFSET(PLE!$G$14,$M555,BC$13)="",10^12,OFFSET(PLE!$G$14,$M555,BC$13))))</f>
        <v>1000000000000</v>
      </c>
      <c r="BD555" s="182">
        <f ca="1">IF($D555&lt;&gt;"Serviço",0,IF(OR(AND(AUTOEVENTO="Manual",$M555=1),$M555&gt;(ROW(PLE.lastrow)-ROW(PLE.firstrow))),0,IF(OFFSET(PLE!$G$14,$M555,BD$13)="",10^12,OFFSET(PLE!$G$14,$M555,BD$13))))</f>
        <v>1000000000000</v>
      </c>
      <c r="BE555" s="182">
        <f ca="1">IF($D555&lt;&gt;"Serviço",0,IF(OR(AND(AUTOEVENTO="Manual",$M555=1),$M555&gt;(ROW(PLE.lastrow)-ROW(PLE.firstrow))),0,IF(OFFSET(PLE!$G$14,$M555,BE$13)="",10^12,OFFSET(PLE!$G$14,$M555,BE$13))))</f>
        <v>1000000000000</v>
      </c>
      <c r="BF555" s="182">
        <f ca="1">IF($D555&lt;&gt;"Serviço",0,IF(OR(AND(AUTOEVENTO="Manual",$M555=1),$M555&gt;(ROW(PLE.lastrow)-ROW(PLE.firstrow))),0,IF(OFFSET(PLE!$G$14,$M555,BF$13)="",10^12,OFFSET(PLE!$G$14,$M555,BF$13))))</f>
        <v>1000000000000</v>
      </c>
      <c r="BG555" s="182">
        <f ca="1">IF($D555&lt;&gt;"Serviço",0,IF(OR(AND(AUTOEVENTO="Manual",$M555=1),$M555&gt;(ROW(PLE.lastrow)-ROW(PLE.firstrow))),0,IF(OFFSET(PLE!$G$14,$M555,BG$13)="",10^12,OFFSET(PLE!$G$14,$M555,BG$13))))</f>
        <v>1000000000000</v>
      </c>
    </row>
    <row r="556" spans="1:59" ht="25.5" x14ac:dyDescent="0.2">
      <c r="A556" s="7" t="str">
        <f t="shared" ca="1" si="15"/>
        <v>472</v>
      </c>
      <c r="B556" s="7" t="str">
        <f ca="1">OFFSET(ORÇAMENTO!C$15,ROW(B556)-ROW(B$15),0)</f>
        <v>S</v>
      </c>
      <c r="C556" s="7" t="str">
        <f ca="1">OFFSET(ORÇAMENTO!L$15,ROW(C556)-ROW(C$15),0)</f>
        <v/>
      </c>
      <c r="D556" s="118" t="str">
        <f ca="1">OFFSET(ORÇAMENTO!N$15,ROW(D556)-ROW(D$15),0)</f>
        <v>Serviço</v>
      </c>
      <c r="E556" s="119" t="str">
        <f ca="1">OFFSET(ORÇAMENTO!O$15,ROW(E556)-ROW(E$15),0)</f>
        <v>-</v>
      </c>
      <c r="F556" s="172" t="str">
        <f ca="1">OFFSET(ORÇAMENTO!R$15,ROW(F556)-ROW(F$15),0)</f>
        <v>(abra o arquivo 'Referência 02-2025.xlsm)</v>
      </c>
      <c r="G556" s="173" t="str">
        <f ca="1">IF($D556&lt;&gt;"Serviço","",OFFSET(ORÇAMENTO!S$15,ROW(G556)-ROW(G$15),0))</f>
        <v>-</v>
      </c>
      <c r="H556" s="124">
        <f ca="1">IF($D556&lt;&gt;"Serviço",0,IF(ACOMPANHAMENTO="BM",ROUND(OFFSET(ORÇAMENTO!AJ$15,ROW(H556)-ROW(H$15),0),15-13*ORÇAMENTO!$AF$7),SUMPRODUCT(($Q$12:$AA$12&lt;&gt;"")*ROUND($Q556:$AA556,15-13*ORÇAMENTO!$AF$7))))</f>
        <v>1</v>
      </c>
      <c r="I556" s="561" t="s">
        <v>890</v>
      </c>
      <c r="K556" s="174"/>
      <c r="L556" s="175" t="s">
        <v>255</v>
      </c>
      <c r="M556" s="176">
        <f ca="1">IF($D556&lt;&gt;"Serviço","",IF(AUTOEVENTO="manual",$A556,IF(ISERROR(MATCH($A556,$A$15:OFFSET($A556,-1,0),0)),MAX($M$15:OFFSET(M556,-1,0))+1,INDEX($M$15:OFFSET(M556,-1,0),MATCH($A556,$A$15:OFFSET($A556,-1,0),0)))))</f>
        <v>18</v>
      </c>
      <c r="N556" s="177" t="str">
        <f ca="1">IF($D556&lt;&gt;"Serviço","",IF(AUTOEVENTO="Manual",IF($A556=0,"&lt;-- defina o número do agrupador",OFFSET(EVENTOS!$D$14,$A556,0)),OFFSET($F$15,$A556,0)))</f>
        <v>INSTALAÇÕES ELÉTRICAS - 220V</v>
      </c>
      <c r="O556" s="178"/>
      <c r="Q556" s="178"/>
      <c r="R556" s="179"/>
      <c r="S556" s="179"/>
      <c r="T556" s="179"/>
      <c r="U556" s="179"/>
      <c r="V556" s="179"/>
      <c r="W556" s="179"/>
      <c r="X556" s="179"/>
      <c r="Y556" s="179"/>
      <c r="Z556" s="180"/>
      <c r="AB556" s="544">
        <f ca="1">IF(AND($D556="Serviço",AB$12&lt;&gt;0,$H556&gt;0,OR(AUTOEVENTO&lt;&gt;"manual",$M556&lt;&gt;1)),
IF(Import.TipoArredondamento&lt;&gt;"TransfereGOV",
ROUND(OFFSET($P556,0,AB$13),15-13*ORÇAMENTO!$AF$7)/$H556*OFFSET(ORÇAMENTO!$X$15,ROW(AB556)-ROW(AB$15),0),
ROUND(ROUND(OFFSET($P556,0,AB$13),15-13*ORÇAMENTO!$AF$7)*OFFSET(ORÇAMENTO!$W$15,ROW(AB556)-ROW(AB$15),0),15-13*ORÇAMENTO!$AF$11)),0)</f>
        <v>0</v>
      </c>
      <c r="AC556" s="545">
        <f ca="1">IF(AND($D556="Serviço",AC$12&lt;&gt;0,$H556&gt;0,OR(AUTOEVENTO&lt;&gt;"manual",$M556&lt;&gt;1)),
IF(Import.TipoArredondamento&lt;&gt;"TransfereGOV",
ROUND(OFFSET($P556,0,AC$13),15-13*ORÇAMENTO!$AF$7)/$H556*OFFSET(ORÇAMENTO!$X$15,ROW(AC556)-ROW(AC$15),0),
ROUND(ROUND(OFFSET($P556,0,AC$13),15-13*ORÇAMENTO!$AF$7)*OFFSET(ORÇAMENTO!$W$15,ROW(AC556)-ROW(AC$15),0),15-13*ORÇAMENTO!$AF$11)),0)</f>
        <v>0</v>
      </c>
      <c r="AD556" s="545">
        <f ca="1">IF(AND($D556="Serviço",AD$12&lt;&gt;0,$H556&gt;0,OR(AUTOEVENTO&lt;&gt;"manual",$M556&lt;&gt;1)),
IF(Import.TipoArredondamento&lt;&gt;"TransfereGOV",
ROUND(OFFSET($P556,0,AD$13),15-13*ORÇAMENTO!$AF$7)/$H556*OFFSET(ORÇAMENTO!$X$15,ROW(AD556)-ROW(AD$15),0),
ROUND(ROUND(OFFSET($P556,0,AD$13),15-13*ORÇAMENTO!$AF$7)*OFFSET(ORÇAMENTO!$W$15,ROW(AD556)-ROW(AD$15),0),15-13*ORÇAMENTO!$AF$11)),0)</f>
        <v>0</v>
      </c>
      <c r="AE556" s="545">
        <f ca="1">IF(AND($D556="Serviço",AE$12&lt;&gt;0,$H556&gt;0,OR(AUTOEVENTO&lt;&gt;"manual",$M556&lt;&gt;1)),
IF(Import.TipoArredondamento&lt;&gt;"TransfereGOV",
ROUND(OFFSET($P556,0,AE$13),15-13*ORÇAMENTO!$AF$7)/$H556*OFFSET(ORÇAMENTO!$X$15,ROW(AE556)-ROW(AE$15),0),
ROUND(ROUND(OFFSET($P556,0,AE$13),15-13*ORÇAMENTO!$AF$7)*OFFSET(ORÇAMENTO!$W$15,ROW(AE556)-ROW(AE$15),0),15-13*ORÇAMENTO!$AF$11)),0)</f>
        <v>0</v>
      </c>
      <c r="AF556" s="545">
        <f ca="1">IF(AND($D556="Serviço",AF$12&lt;&gt;0,$H556&gt;0,OR(AUTOEVENTO&lt;&gt;"manual",$M556&lt;&gt;1)),
IF(Import.TipoArredondamento&lt;&gt;"TransfereGOV",
ROUND(OFFSET($P556,0,AF$13),15-13*ORÇAMENTO!$AF$7)/$H556*OFFSET(ORÇAMENTO!$X$15,ROW(AF556)-ROW(AF$15),0),
ROUND(ROUND(OFFSET($P556,0,AF$13),15-13*ORÇAMENTO!$AF$7)*OFFSET(ORÇAMENTO!$W$15,ROW(AF556)-ROW(AF$15),0),15-13*ORÇAMENTO!$AF$11)),0)</f>
        <v>0</v>
      </c>
      <c r="AG556" s="545">
        <f ca="1">IF(AND($D556="Serviço",AG$12&lt;&gt;0,$H556&gt;0,OR(AUTOEVENTO&lt;&gt;"manual",$M556&lt;&gt;1)),
IF(Import.TipoArredondamento&lt;&gt;"TransfereGOV",
ROUND(OFFSET($P556,0,AG$13),15-13*ORÇAMENTO!$AF$7)/$H556*OFFSET(ORÇAMENTO!$X$15,ROW(AG556)-ROW(AG$15),0),
ROUND(ROUND(OFFSET($P556,0,AG$13),15-13*ORÇAMENTO!$AF$7)*OFFSET(ORÇAMENTO!$W$15,ROW(AG556)-ROW(AG$15),0),15-13*ORÇAMENTO!$AF$11)),0)</f>
        <v>0</v>
      </c>
      <c r="AH556" s="545">
        <f ca="1">IF(AND($D556="Serviço",AH$12&lt;&gt;0,$H556&gt;0,OR(AUTOEVENTO&lt;&gt;"manual",$M556&lt;&gt;1)),
IF(Import.TipoArredondamento&lt;&gt;"TransfereGOV",
ROUND(OFFSET($P556,0,AH$13),15-13*ORÇAMENTO!$AF$7)/$H556*OFFSET(ORÇAMENTO!$X$15,ROW(AH556)-ROW(AH$15),0),
ROUND(ROUND(OFFSET($P556,0,AH$13),15-13*ORÇAMENTO!$AF$7)*OFFSET(ORÇAMENTO!$W$15,ROW(AH556)-ROW(AH$15),0),15-13*ORÇAMENTO!$AF$11)),0)</f>
        <v>0</v>
      </c>
      <c r="AI556" s="545">
        <f ca="1">IF(AND($D556="Serviço",AI$12&lt;&gt;0,$H556&gt;0,OR(AUTOEVENTO&lt;&gt;"manual",$M556&lt;&gt;1)),
IF(Import.TipoArredondamento&lt;&gt;"TransfereGOV",
ROUND(OFFSET($P556,0,AI$13),15-13*ORÇAMENTO!$AF$7)/$H556*OFFSET(ORÇAMENTO!$X$15,ROW(AI556)-ROW(AI$15),0),
ROUND(ROUND(OFFSET($P556,0,AI$13),15-13*ORÇAMENTO!$AF$7)*OFFSET(ORÇAMENTO!$W$15,ROW(AI556)-ROW(AI$15),0),15-13*ORÇAMENTO!$AF$11)),0)</f>
        <v>0</v>
      </c>
      <c r="AJ556" s="545">
        <f ca="1">IF(AND($D556="Serviço",AJ$12&lt;&gt;0,$H556&gt;0,OR(AUTOEVENTO&lt;&gt;"manual",$M556&lt;&gt;1)),
IF(Import.TipoArredondamento&lt;&gt;"TransfereGOV",
ROUND(OFFSET($P556,0,AJ$13),15-13*ORÇAMENTO!$AF$7)/$H556*OFFSET(ORÇAMENTO!$X$15,ROW(AJ556)-ROW(AJ$15),0),
ROUND(ROUND(OFFSET($P556,0,AJ$13),15-13*ORÇAMENTO!$AF$7)*OFFSET(ORÇAMENTO!$W$15,ROW(AJ556)-ROW(AJ$15),0),15-13*ORÇAMENTO!$AF$11)),0)</f>
        <v>0</v>
      </c>
      <c r="AK556" s="546">
        <f ca="1">IF(AND($D556="Serviço",AK$12&lt;&gt;0,$H556&gt;0,OR(AUTOEVENTO&lt;&gt;"manual",$M556&lt;&gt;1)),
IF(Import.TipoArredondamento&lt;&gt;"TransfereGOV",
ROUND(OFFSET($P556,0,AK$13),15-13*ORÇAMENTO!$AF$7)/$H556*OFFSET(ORÇAMENTO!$X$15,ROW(AK556)-ROW(AK$15),0),
ROUND(ROUND(OFFSET($P556,0,AK$13),15-13*ORÇAMENTO!$AF$7)*OFFSET(ORÇAMENTO!$W$15,ROW(AK556)-ROW(AK$15),0),15-13*ORÇAMENTO!$AF$11)),0)</f>
        <v>0</v>
      </c>
      <c r="AM556" s="181">
        <f ca="1">IF($D556&lt;&gt;"Serviço",0,IF(AND(AUTOEVENTO="Manual",$M556=1),0,IF(OFFSET(CRONOPLE!$F$14,$M556,AM$13)="",10^12,OFFSET(CRONOPLE!$F$14,$M556,AM$13))))</f>
        <v>1000000000000</v>
      </c>
      <c r="AN556" s="181">
        <f ca="1">IF($D556&lt;&gt;"Serviço",0,IF(AND(AUTOEVENTO="Manual",$M556=1),0,IF(OFFSET(CRONOPLE!$F$14,$M556,AN$13)="",10^12,OFFSET(CRONOPLE!$F$14,$M556,AN$13))))</f>
        <v>1000000000000</v>
      </c>
      <c r="AO556" s="181">
        <f ca="1">IF($D556&lt;&gt;"Serviço",0,IF(AND(AUTOEVENTO="Manual",$M556=1),0,IF(OFFSET(CRONOPLE!$F$14,$M556,AO$13)="",10^12,OFFSET(CRONOPLE!$F$14,$M556,AO$13))))</f>
        <v>1000000000000</v>
      </c>
      <c r="AP556" s="181">
        <f ca="1">IF($D556&lt;&gt;"Serviço",0,IF(AND(AUTOEVENTO="Manual",$M556=1),0,IF(OFFSET(CRONOPLE!$F$14,$M556,AP$13)="",10^12,OFFSET(CRONOPLE!$F$14,$M556,AP$13))))</f>
        <v>1000000000000</v>
      </c>
      <c r="AQ556" s="181">
        <f ca="1">IF($D556&lt;&gt;"Serviço",0,IF(AND(AUTOEVENTO="Manual",$M556=1),0,IF(OFFSET(CRONOPLE!$F$14,$M556,AQ$13)="",10^12,OFFSET(CRONOPLE!$F$14,$M556,AQ$13))))</f>
        <v>1000000000000</v>
      </c>
      <c r="AR556" s="181">
        <f ca="1">IF($D556&lt;&gt;"Serviço",0,IF(AND(AUTOEVENTO="Manual",$M556=1),0,IF(OFFSET(CRONOPLE!$F$14,$M556,AR$13)="",10^12,OFFSET(CRONOPLE!$F$14,$M556,AR$13))))</f>
        <v>1000000000000</v>
      </c>
      <c r="AS556" s="181">
        <f ca="1">IF($D556&lt;&gt;"Serviço",0,IF(AND(AUTOEVENTO="Manual",$M556=1),0,IF(OFFSET(CRONOPLE!$F$14,$M556,AS$13)="",10^12,OFFSET(CRONOPLE!$F$14,$M556,AS$13))))</f>
        <v>1000000000000</v>
      </c>
      <c r="AT556" s="181">
        <f ca="1">IF($D556&lt;&gt;"Serviço",0,IF(AND(AUTOEVENTO="Manual",$M556=1),0,IF(OFFSET(CRONOPLE!$F$14,$M556,AT$13)="",10^12,OFFSET(CRONOPLE!$F$14,$M556,AT$13))))</f>
        <v>1000000000000</v>
      </c>
      <c r="AU556" s="181">
        <f ca="1">IF($D556&lt;&gt;"Serviço",0,IF(AND(AUTOEVENTO="Manual",$M556=1),0,IF(OFFSET(CRONOPLE!$F$14,$M556,AU$13)="",10^12,OFFSET(CRONOPLE!$F$14,$M556,AU$13))))</f>
        <v>1000000000000</v>
      </c>
      <c r="AV556" s="181">
        <f ca="1">IF($D556&lt;&gt;"Serviço",0,IF(AND(AUTOEVENTO="Manual",$M556=1),0,IF(OFFSET(CRONOPLE!$F$14,$M556,AV$13)="",10^12,OFFSET(CRONOPLE!$F$14,$M556,AV$13))))</f>
        <v>1000000000000</v>
      </c>
      <c r="AX556" s="182">
        <f ca="1">IF($D556&lt;&gt;"Serviço",0,IF(OR(AND(AUTOEVENTO="Manual",$M556=1),$M556&gt;(ROW(PLE.lastrow)-ROW(PLE.firstrow))),0,IF(OFFSET(PLE!$G$14,$M556,AX$13)="",10^12,OFFSET(PLE!$G$14,$M556,AX$13))))</f>
        <v>1000000000000</v>
      </c>
      <c r="AY556" s="182">
        <f ca="1">IF($D556&lt;&gt;"Serviço",0,IF(OR(AND(AUTOEVENTO="Manual",$M556=1),$M556&gt;(ROW(PLE.lastrow)-ROW(PLE.firstrow))),0,IF(OFFSET(PLE!$G$14,$M556,AY$13)="",10^12,OFFSET(PLE!$G$14,$M556,AY$13))))</f>
        <v>1000000000000</v>
      </c>
      <c r="AZ556" s="182">
        <f ca="1">IF($D556&lt;&gt;"Serviço",0,IF(OR(AND(AUTOEVENTO="Manual",$M556=1),$M556&gt;(ROW(PLE.lastrow)-ROW(PLE.firstrow))),0,IF(OFFSET(PLE!$G$14,$M556,AZ$13)="",10^12,OFFSET(PLE!$G$14,$M556,AZ$13))))</f>
        <v>1000000000000</v>
      </c>
      <c r="BA556" s="182">
        <f ca="1">IF($D556&lt;&gt;"Serviço",0,IF(OR(AND(AUTOEVENTO="Manual",$M556=1),$M556&gt;(ROW(PLE.lastrow)-ROW(PLE.firstrow))),0,IF(OFFSET(PLE!$G$14,$M556,BA$13)="",10^12,OFFSET(PLE!$G$14,$M556,BA$13))))</f>
        <v>1000000000000</v>
      </c>
      <c r="BB556" s="182">
        <f ca="1">IF($D556&lt;&gt;"Serviço",0,IF(OR(AND(AUTOEVENTO="Manual",$M556=1),$M556&gt;(ROW(PLE.lastrow)-ROW(PLE.firstrow))),0,IF(OFFSET(PLE!$G$14,$M556,BB$13)="",10^12,OFFSET(PLE!$G$14,$M556,BB$13))))</f>
        <v>1000000000000</v>
      </c>
      <c r="BC556" s="182">
        <f ca="1">IF($D556&lt;&gt;"Serviço",0,IF(OR(AND(AUTOEVENTO="Manual",$M556=1),$M556&gt;(ROW(PLE.lastrow)-ROW(PLE.firstrow))),0,IF(OFFSET(PLE!$G$14,$M556,BC$13)="",10^12,OFFSET(PLE!$G$14,$M556,BC$13))))</f>
        <v>1000000000000</v>
      </c>
      <c r="BD556" s="182">
        <f ca="1">IF($D556&lt;&gt;"Serviço",0,IF(OR(AND(AUTOEVENTO="Manual",$M556=1),$M556&gt;(ROW(PLE.lastrow)-ROW(PLE.firstrow))),0,IF(OFFSET(PLE!$G$14,$M556,BD$13)="",10^12,OFFSET(PLE!$G$14,$M556,BD$13))))</f>
        <v>1000000000000</v>
      </c>
      <c r="BE556" s="182">
        <f ca="1">IF($D556&lt;&gt;"Serviço",0,IF(OR(AND(AUTOEVENTO="Manual",$M556=1),$M556&gt;(ROW(PLE.lastrow)-ROW(PLE.firstrow))),0,IF(OFFSET(PLE!$G$14,$M556,BE$13)="",10^12,OFFSET(PLE!$G$14,$M556,BE$13))))</f>
        <v>1000000000000</v>
      </c>
      <c r="BF556" s="182">
        <f ca="1">IF($D556&lt;&gt;"Serviço",0,IF(OR(AND(AUTOEVENTO="Manual",$M556=1),$M556&gt;(ROW(PLE.lastrow)-ROW(PLE.firstrow))),0,IF(OFFSET(PLE!$G$14,$M556,BF$13)="",10^12,OFFSET(PLE!$G$14,$M556,BF$13))))</f>
        <v>1000000000000</v>
      </c>
      <c r="BG556" s="182">
        <f ca="1">IF($D556&lt;&gt;"Serviço",0,IF(OR(AND(AUTOEVENTO="Manual",$M556=1),$M556&gt;(ROW(PLE.lastrow)-ROW(PLE.firstrow))),0,IF(OFFSET(PLE!$G$14,$M556,BG$13)="",10^12,OFFSET(PLE!$G$14,$M556,BG$13))))</f>
        <v>1000000000000</v>
      </c>
    </row>
    <row r="557" spans="1:59" ht="25.5" x14ac:dyDescent="0.2">
      <c r="A557" s="7" t="str">
        <f t="shared" ca="1" si="15"/>
        <v>472</v>
      </c>
      <c r="B557" s="7" t="str">
        <f ca="1">OFFSET(ORÇAMENTO!C$15,ROW(B557)-ROW(B$15),0)</f>
        <v>S</v>
      </c>
      <c r="C557" s="7" t="str">
        <f ca="1">OFFSET(ORÇAMENTO!L$15,ROW(C557)-ROW(C$15),0)</f>
        <v/>
      </c>
      <c r="D557" s="118" t="str">
        <f ca="1">OFFSET(ORÇAMENTO!N$15,ROW(D557)-ROW(D$15),0)</f>
        <v>Serviço</v>
      </c>
      <c r="E557" s="119" t="str">
        <f ca="1">OFFSET(ORÇAMENTO!O$15,ROW(E557)-ROW(E$15),0)</f>
        <v>-</v>
      </c>
      <c r="F557" s="172" t="str">
        <f ca="1">OFFSET(ORÇAMENTO!R$15,ROW(F557)-ROW(F$15),0)</f>
        <v>(abra o arquivo 'Referência 02-2025.xlsm)</v>
      </c>
      <c r="G557" s="173" t="str">
        <f ca="1">IF($D557&lt;&gt;"Serviço","",OFFSET(ORÇAMENTO!S$15,ROW(G557)-ROW(G$15),0))</f>
        <v>-</v>
      </c>
      <c r="H557" s="124">
        <f ca="1">IF($D557&lt;&gt;"Serviço",0,IF(ACOMPANHAMENTO="BM",ROUND(OFFSET(ORÇAMENTO!AJ$15,ROW(H557)-ROW(H$15),0),15-13*ORÇAMENTO!$AF$7),SUMPRODUCT(($Q$12:$AA$12&lt;&gt;"")*ROUND($Q557:$AA557,15-13*ORÇAMENTO!$AF$7))))</f>
        <v>4</v>
      </c>
      <c r="I557" s="561" t="s">
        <v>890</v>
      </c>
      <c r="K557" s="174"/>
      <c r="L557" s="175" t="s">
        <v>255</v>
      </c>
      <c r="M557" s="176">
        <f ca="1">IF($D557&lt;&gt;"Serviço","",IF(AUTOEVENTO="manual",$A557,IF(ISERROR(MATCH($A557,$A$15:OFFSET($A557,-1,0),0)),MAX($M$15:OFFSET(M557,-1,0))+1,INDEX($M$15:OFFSET(M557,-1,0),MATCH($A557,$A$15:OFFSET($A557,-1,0),0)))))</f>
        <v>18</v>
      </c>
      <c r="N557" s="177" t="str">
        <f ca="1">IF($D557&lt;&gt;"Serviço","",IF(AUTOEVENTO="Manual",IF($A557=0,"&lt;-- defina o número do agrupador",OFFSET(EVENTOS!$D$14,$A557,0)),OFFSET($F$15,$A557,0)))</f>
        <v>INSTALAÇÕES ELÉTRICAS - 220V</v>
      </c>
      <c r="O557" s="178"/>
      <c r="Q557" s="178"/>
      <c r="R557" s="179"/>
      <c r="S557" s="179"/>
      <c r="T557" s="179"/>
      <c r="U557" s="179"/>
      <c r="V557" s="179"/>
      <c r="W557" s="179"/>
      <c r="X557" s="179"/>
      <c r="Y557" s="179"/>
      <c r="Z557" s="180"/>
      <c r="AB557" s="544">
        <f ca="1">IF(AND($D557="Serviço",AB$12&lt;&gt;0,$H557&gt;0,OR(AUTOEVENTO&lt;&gt;"manual",$M557&lt;&gt;1)),
IF(Import.TipoArredondamento&lt;&gt;"TransfereGOV",
ROUND(OFFSET($P557,0,AB$13),15-13*ORÇAMENTO!$AF$7)/$H557*OFFSET(ORÇAMENTO!$X$15,ROW(AB557)-ROW(AB$15),0),
ROUND(ROUND(OFFSET($P557,0,AB$13),15-13*ORÇAMENTO!$AF$7)*OFFSET(ORÇAMENTO!$W$15,ROW(AB557)-ROW(AB$15),0),15-13*ORÇAMENTO!$AF$11)),0)</f>
        <v>0</v>
      </c>
      <c r="AC557" s="545">
        <f ca="1">IF(AND($D557="Serviço",AC$12&lt;&gt;0,$H557&gt;0,OR(AUTOEVENTO&lt;&gt;"manual",$M557&lt;&gt;1)),
IF(Import.TipoArredondamento&lt;&gt;"TransfereGOV",
ROUND(OFFSET($P557,0,AC$13),15-13*ORÇAMENTO!$AF$7)/$H557*OFFSET(ORÇAMENTO!$X$15,ROW(AC557)-ROW(AC$15),0),
ROUND(ROUND(OFFSET($P557,0,AC$13),15-13*ORÇAMENTO!$AF$7)*OFFSET(ORÇAMENTO!$W$15,ROW(AC557)-ROW(AC$15),0),15-13*ORÇAMENTO!$AF$11)),0)</f>
        <v>0</v>
      </c>
      <c r="AD557" s="545">
        <f ca="1">IF(AND($D557="Serviço",AD$12&lt;&gt;0,$H557&gt;0,OR(AUTOEVENTO&lt;&gt;"manual",$M557&lt;&gt;1)),
IF(Import.TipoArredondamento&lt;&gt;"TransfereGOV",
ROUND(OFFSET($P557,0,AD$13),15-13*ORÇAMENTO!$AF$7)/$H557*OFFSET(ORÇAMENTO!$X$15,ROW(AD557)-ROW(AD$15),0),
ROUND(ROUND(OFFSET($P557,0,AD$13),15-13*ORÇAMENTO!$AF$7)*OFFSET(ORÇAMENTO!$W$15,ROW(AD557)-ROW(AD$15),0),15-13*ORÇAMENTO!$AF$11)),0)</f>
        <v>0</v>
      </c>
      <c r="AE557" s="545">
        <f ca="1">IF(AND($D557="Serviço",AE$12&lt;&gt;0,$H557&gt;0,OR(AUTOEVENTO&lt;&gt;"manual",$M557&lt;&gt;1)),
IF(Import.TipoArredondamento&lt;&gt;"TransfereGOV",
ROUND(OFFSET($P557,0,AE$13),15-13*ORÇAMENTO!$AF$7)/$H557*OFFSET(ORÇAMENTO!$X$15,ROW(AE557)-ROW(AE$15),0),
ROUND(ROUND(OFFSET($P557,0,AE$13),15-13*ORÇAMENTO!$AF$7)*OFFSET(ORÇAMENTO!$W$15,ROW(AE557)-ROW(AE$15),0),15-13*ORÇAMENTO!$AF$11)),0)</f>
        <v>0</v>
      </c>
      <c r="AF557" s="545">
        <f ca="1">IF(AND($D557="Serviço",AF$12&lt;&gt;0,$H557&gt;0,OR(AUTOEVENTO&lt;&gt;"manual",$M557&lt;&gt;1)),
IF(Import.TipoArredondamento&lt;&gt;"TransfereGOV",
ROUND(OFFSET($P557,0,AF$13),15-13*ORÇAMENTO!$AF$7)/$H557*OFFSET(ORÇAMENTO!$X$15,ROW(AF557)-ROW(AF$15),0),
ROUND(ROUND(OFFSET($P557,0,AF$13),15-13*ORÇAMENTO!$AF$7)*OFFSET(ORÇAMENTO!$W$15,ROW(AF557)-ROW(AF$15),0),15-13*ORÇAMENTO!$AF$11)),0)</f>
        <v>0</v>
      </c>
      <c r="AG557" s="545">
        <f ca="1">IF(AND($D557="Serviço",AG$12&lt;&gt;0,$H557&gt;0,OR(AUTOEVENTO&lt;&gt;"manual",$M557&lt;&gt;1)),
IF(Import.TipoArredondamento&lt;&gt;"TransfereGOV",
ROUND(OFFSET($P557,0,AG$13),15-13*ORÇAMENTO!$AF$7)/$H557*OFFSET(ORÇAMENTO!$X$15,ROW(AG557)-ROW(AG$15),0),
ROUND(ROUND(OFFSET($P557,0,AG$13),15-13*ORÇAMENTO!$AF$7)*OFFSET(ORÇAMENTO!$W$15,ROW(AG557)-ROW(AG$15),0),15-13*ORÇAMENTO!$AF$11)),0)</f>
        <v>0</v>
      </c>
      <c r="AH557" s="545">
        <f ca="1">IF(AND($D557="Serviço",AH$12&lt;&gt;0,$H557&gt;0,OR(AUTOEVENTO&lt;&gt;"manual",$M557&lt;&gt;1)),
IF(Import.TipoArredondamento&lt;&gt;"TransfereGOV",
ROUND(OFFSET($P557,0,AH$13),15-13*ORÇAMENTO!$AF$7)/$H557*OFFSET(ORÇAMENTO!$X$15,ROW(AH557)-ROW(AH$15),0),
ROUND(ROUND(OFFSET($P557,0,AH$13),15-13*ORÇAMENTO!$AF$7)*OFFSET(ORÇAMENTO!$W$15,ROW(AH557)-ROW(AH$15),0),15-13*ORÇAMENTO!$AF$11)),0)</f>
        <v>0</v>
      </c>
      <c r="AI557" s="545">
        <f ca="1">IF(AND($D557="Serviço",AI$12&lt;&gt;0,$H557&gt;0,OR(AUTOEVENTO&lt;&gt;"manual",$M557&lt;&gt;1)),
IF(Import.TipoArredondamento&lt;&gt;"TransfereGOV",
ROUND(OFFSET($P557,0,AI$13),15-13*ORÇAMENTO!$AF$7)/$H557*OFFSET(ORÇAMENTO!$X$15,ROW(AI557)-ROW(AI$15),0),
ROUND(ROUND(OFFSET($P557,0,AI$13),15-13*ORÇAMENTO!$AF$7)*OFFSET(ORÇAMENTO!$W$15,ROW(AI557)-ROW(AI$15),0),15-13*ORÇAMENTO!$AF$11)),0)</f>
        <v>0</v>
      </c>
      <c r="AJ557" s="545">
        <f ca="1">IF(AND($D557="Serviço",AJ$12&lt;&gt;0,$H557&gt;0,OR(AUTOEVENTO&lt;&gt;"manual",$M557&lt;&gt;1)),
IF(Import.TipoArredondamento&lt;&gt;"TransfereGOV",
ROUND(OFFSET($P557,0,AJ$13),15-13*ORÇAMENTO!$AF$7)/$H557*OFFSET(ORÇAMENTO!$X$15,ROW(AJ557)-ROW(AJ$15),0),
ROUND(ROUND(OFFSET($P557,0,AJ$13),15-13*ORÇAMENTO!$AF$7)*OFFSET(ORÇAMENTO!$W$15,ROW(AJ557)-ROW(AJ$15),0),15-13*ORÇAMENTO!$AF$11)),0)</f>
        <v>0</v>
      </c>
      <c r="AK557" s="546">
        <f ca="1">IF(AND($D557="Serviço",AK$12&lt;&gt;0,$H557&gt;0,OR(AUTOEVENTO&lt;&gt;"manual",$M557&lt;&gt;1)),
IF(Import.TipoArredondamento&lt;&gt;"TransfereGOV",
ROUND(OFFSET($P557,0,AK$13),15-13*ORÇAMENTO!$AF$7)/$H557*OFFSET(ORÇAMENTO!$X$15,ROW(AK557)-ROW(AK$15),0),
ROUND(ROUND(OFFSET($P557,0,AK$13),15-13*ORÇAMENTO!$AF$7)*OFFSET(ORÇAMENTO!$W$15,ROW(AK557)-ROW(AK$15),0),15-13*ORÇAMENTO!$AF$11)),0)</f>
        <v>0</v>
      </c>
      <c r="AM557" s="181">
        <f ca="1">IF($D557&lt;&gt;"Serviço",0,IF(AND(AUTOEVENTO="Manual",$M557=1),0,IF(OFFSET(CRONOPLE!$F$14,$M557,AM$13)="",10^12,OFFSET(CRONOPLE!$F$14,$M557,AM$13))))</f>
        <v>1000000000000</v>
      </c>
      <c r="AN557" s="181">
        <f ca="1">IF($D557&lt;&gt;"Serviço",0,IF(AND(AUTOEVENTO="Manual",$M557=1),0,IF(OFFSET(CRONOPLE!$F$14,$M557,AN$13)="",10^12,OFFSET(CRONOPLE!$F$14,$M557,AN$13))))</f>
        <v>1000000000000</v>
      </c>
      <c r="AO557" s="181">
        <f ca="1">IF($D557&lt;&gt;"Serviço",0,IF(AND(AUTOEVENTO="Manual",$M557=1),0,IF(OFFSET(CRONOPLE!$F$14,$M557,AO$13)="",10^12,OFFSET(CRONOPLE!$F$14,$M557,AO$13))))</f>
        <v>1000000000000</v>
      </c>
      <c r="AP557" s="181">
        <f ca="1">IF($D557&lt;&gt;"Serviço",0,IF(AND(AUTOEVENTO="Manual",$M557=1),0,IF(OFFSET(CRONOPLE!$F$14,$M557,AP$13)="",10^12,OFFSET(CRONOPLE!$F$14,$M557,AP$13))))</f>
        <v>1000000000000</v>
      </c>
      <c r="AQ557" s="181">
        <f ca="1">IF($D557&lt;&gt;"Serviço",0,IF(AND(AUTOEVENTO="Manual",$M557=1),0,IF(OFFSET(CRONOPLE!$F$14,$M557,AQ$13)="",10^12,OFFSET(CRONOPLE!$F$14,$M557,AQ$13))))</f>
        <v>1000000000000</v>
      </c>
      <c r="AR557" s="181">
        <f ca="1">IF($D557&lt;&gt;"Serviço",0,IF(AND(AUTOEVENTO="Manual",$M557=1),0,IF(OFFSET(CRONOPLE!$F$14,$M557,AR$13)="",10^12,OFFSET(CRONOPLE!$F$14,$M557,AR$13))))</f>
        <v>1000000000000</v>
      </c>
      <c r="AS557" s="181">
        <f ca="1">IF($D557&lt;&gt;"Serviço",0,IF(AND(AUTOEVENTO="Manual",$M557=1),0,IF(OFFSET(CRONOPLE!$F$14,$M557,AS$13)="",10^12,OFFSET(CRONOPLE!$F$14,$M557,AS$13))))</f>
        <v>1000000000000</v>
      </c>
      <c r="AT557" s="181">
        <f ca="1">IF($D557&lt;&gt;"Serviço",0,IF(AND(AUTOEVENTO="Manual",$M557=1),0,IF(OFFSET(CRONOPLE!$F$14,$M557,AT$13)="",10^12,OFFSET(CRONOPLE!$F$14,$M557,AT$13))))</f>
        <v>1000000000000</v>
      </c>
      <c r="AU557" s="181">
        <f ca="1">IF($D557&lt;&gt;"Serviço",0,IF(AND(AUTOEVENTO="Manual",$M557=1),0,IF(OFFSET(CRONOPLE!$F$14,$M557,AU$13)="",10^12,OFFSET(CRONOPLE!$F$14,$M557,AU$13))))</f>
        <v>1000000000000</v>
      </c>
      <c r="AV557" s="181">
        <f ca="1">IF($D557&lt;&gt;"Serviço",0,IF(AND(AUTOEVENTO="Manual",$M557=1),0,IF(OFFSET(CRONOPLE!$F$14,$M557,AV$13)="",10^12,OFFSET(CRONOPLE!$F$14,$M557,AV$13))))</f>
        <v>1000000000000</v>
      </c>
      <c r="AX557" s="182">
        <f ca="1">IF($D557&lt;&gt;"Serviço",0,IF(OR(AND(AUTOEVENTO="Manual",$M557=1),$M557&gt;(ROW(PLE.lastrow)-ROW(PLE.firstrow))),0,IF(OFFSET(PLE!$G$14,$M557,AX$13)="",10^12,OFFSET(PLE!$G$14,$M557,AX$13))))</f>
        <v>1000000000000</v>
      </c>
      <c r="AY557" s="182">
        <f ca="1">IF($D557&lt;&gt;"Serviço",0,IF(OR(AND(AUTOEVENTO="Manual",$M557=1),$M557&gt;(ROW(PLE.lastrow)-ROW(PLE.firstrow))),0,IF(OFFSET(PLE!$G$14,$M557,AY$13)="",10^12,OFFSET(PLE!$G$14,$M557,AY$13))))</f>
        <v>1000000000000</v>
      </c>
      <c r="AZ557" s="182">
        <f ca="1">IF($D557&lt;&gt;"Serviço",0,IF(OR(AND(AUTOEVENTO="Manual",$M557=1),$M557&gt;(ROW(PLE.lastrow)-ROW(PLE.firstrow))),0,IF(OFFSET(PLE!$G$14,$M557,AZ$13)="",10^12,OFFSET(PLE!$G$14,$M557,AZ$13))))</f>
        <v>1000000000000</v>
      </c>
      <c r="BA557" s="182">
        <f ca="1">IF($D557&lt;&gt;"Serviço",0,IF(OR(AND(AUTOEVENTO="Manual",$M557=1),$M557&gt;(ROW(PLE.lastrow)-ROW(PLE.firstrow))),0,IF(OFFSET(PLE!$G$14,$M557,BA$13)="",10^12,OFFSET(PLE!$G$14,$M557,BA$13))))</f>
        <v>1000000000000</v>
      </c>
      <c r="BB557" s="182">
        <f ca="1">IF($D557&lt;&gt;"Serviço",0,IF(OR(AND(AUTOEVENTO="Manual",$M557=1),$M557&gt;(ROW(PLE.lastrow)-ROW(PLE.firstrow))),0,IF(OFFSET(PLE!$G$14,$M557,BB$13)="",10^12,OFFSET(PLE!$G$14,$M557,BB$13))))</f>
        <v>1000000000000</v>
      </c>
      <c r="BC557" s="182">
        <f ca="1">IF($D557&lt;&gt;"Serviço",0,IF(OR(AND(AUTOEVENTO="Manual",$M557=1),$M557&gt;(ROW(PLE.lastrow)-ROW(PLE.firstrow))),0,IF(OFFSET(PLE!$G$14,$M557,BC$13)="",10^12,OFFSET(PLE!$G$14,$M557,BC$13))))</f>
        <v>1000000000000</v>
      </c>
      <c r="BD557" s="182">
        <f ca="1">IF($D557&lt;&gt;"Serviço",0,IF(OR(AND(AUTOEVENTO="Manual",$M557=1),$M557&gt;(ROW(PLE.lastrow)-ROW(PLE.firstrow))),0,IF(OFFSET(PLE!$G$14,$M557,BD$13)="",10^12,OFFSET(PLE!$G$14,$M557,BD$13))))</f>
        <v>1000000000000</v>
      </c>
      <c r="BE557" s="182">
        <f ca="1">IF($D557&lt;&gt;"Serviço",0,IF(OR(AND(AUTOEVENTO="Manual",$M557=1),$M557&gt;(ROW(PLE.lastrow)-ROW(PLE.firstrow))),0,IF(OFFSET(PLE!$G$14,$M557,BE$13)="",10^12,OFFSET(PLE!$G$14,$M557,BE$13))))</f>
        <v>1000000000000</v>
      </c>
      <c r="BF557" s="182">
        <f ca="1">IF($D557&lt;&gt;"Serviço",0,IF(OR(AND(AUTOEVENTO="Manual",$M557=1),$M557&gt;(ROW(PLE.lastrow)-ROW(PLE.firstrow))),0,IF(OFFSET(PLE!$G$14,$M557,BF$13)="",10^12,OFFSET(PLE!$G$14,$M557,BF$13))))</f>
        <v>1000000000000</v>
      </c>
      <c r="BG557" s="182">
        <f ca="1">IF($D557&lt;&gt;"Serviço",0,IF(OR(AND(AUTOEVENTO="Manual",$M557=1),$M557&gt;(ROW(PLE.lastrow)-ROW(PLE.firstrow))),0,IF(OFFSET(PLE!$G$14,$M557,BG$13)="",10^12,OFFSET(PLE!$G$14,$M557,BG$13))))</f>
        <v>1000000000000</v>
      </c>
    </row>
    <row r="558" spans="1:59" ht="25.5" x14ac:dyDescent="0.2">
      <c r="A558" s="7" t="str">
        <f t="shared" ca="1" si="15"/>
        <v>472</v>
      </c>
      <c r="B558" s="7" t="str">
        <f ca="1">OFFSET(ORÇAMENTO!C$15,ROW(B558)-ROW(B$15),0)</f>
        <v>S</v>
      </c>
      <c r="C558" s="7" t="str">
        <f ca="1">OFFSET(ORÇAMENTO!L$15,ROW(C558)-ROW(C$15),0)</f>
        <v/>
      </c>
      <c r="D558" s="118" t="str">
        <f ca="1">OFFSET(ORÇAMENTO!N$15,ROW(D558)-ROW(D$15),0)</f>
        <v>Serviço</v>
      </c>
      <c r="E558" s="119" t="str">
        <f ca="1">OFFSET(ORÇAMENTO!O$15,ROW(E558)-ROW(E$15),0)</f>
        <v>-</v>
      </c>
      <c r="F558" s="172" t="str">
        <f ca="1">OFFSET(ORÇAMENTO!R$15,ROW(F558)-ROW(F$15),0)</f>
        <v>(abra o arquivo 'Referência 02-2025.xlsm)</v>
      </c>
      <c r="G558" s="173" t="str">
        <f ca="1">IF($D558&lt;&gt;"Serviço","",OFFSET(ORÇAMENTO!S$15,ROW(G558)-ROW(G$15),0))</f>
        <v>-</v>
      </c>
      <c r="H558" s="124">
        <f ca="1">IF($D558&lt;&gt;"Serviço",0,IF(ACOMPANHAMENTO="BM",ROUND(OFFSET(ORÇAMENTO!AJ$15,ROW(H558)-ROW(H$15),0),15-13*ORÇAMENTO!$AF$7),SUMPRODUCT(($Q$12:$AA$12&lt;&gt;"")*ROUND($Q558:$AA558,15-13*ORÇAMENTO!$AF$7))))</f>
        <v>2</v>
      </c>
      <c r="I558" s="561" t="s">
        <v>890</v>
      </c>
      <c r="K558" s="174"/>
      <c r="L558" s="175" t="s">
        <v>255</v>
      </c>
      <c r="M558" s="176">
        <f ca="1">IF($D558&lt;&gt;"Serviço","",IF(AUTOEVENTO="manual",$A558,IF(ISERROR(MATCH($A558,$A$15:OFFSET($A558,-1,0),0)),MAX($M$15:OFFSET(M558,-1,0))+1,INDEX($M$15:OFFSET(M558,-1,0),MATCH($A558,$A$15:OFFSET($A558,-1,0),0)))))</f>
        <v>18</v>
      </c>
      <c r="N558" s="177" t="str">
        <f ca="1">IF($D558&lt;&gt;"Serviço","",IF(AUTOEVENTO="Manual",IF($A558=0,"&lt;-- defina o número do agrupador",OFFSET(EVENTOS!$D$14,$A558,0)),OFFSET($F$15,$A558,0)))</f>
        <v>INSTALAÇÕES ELÉTRICAS - 220V</v>
      </c>
      <c r="O558" s="178"/>
      <c r="Q558" s="178"/>
      <c r="R558" s="179"/>
      <c r="S558" s="179"/>
      <c r="T558" s="179"/>
      <c r="U558" s="179"/>
      <c r="V558" s="179"/>
      <c r="W558" s="179"/>
      <c r="X558" s="179"/>
      <c r="Y558" s="179"/>
      <c r="Z558" s="180"/>
      <c r="AB558" s="544">
        <f ca="1">IF(AND($D558="Serviço",AB$12&lt;&gt;0,$H558&gt;0,OR(AUTOEVENTO&lt;&gt;"manual",$M558&lt;&gt;1)),
IF(Import.TipoArredondamento&lt;&gt;"TransfereGOV",
ROUND(OFFSET($P558,0,AB$13),15-13*ORÇAMENTO!$AF$7)/$H558*OFFSET(ORÇAMENTO!$X$15,ROW(AB558)-ROW(AB$15),0),
ROUND(ROUND(OFFSET($P558,0,AB$13),15-13*ORÇAMENTO!$AF$7)*OFFSET(ORÇAMENTO!$W$15,ROW(AB558)-ROW(AB$15),0),15-13*ORÇAMENTO!$AF$11)),0)</f>
        <v>0</v>
      </c>
      <c r="AC558" s="545">
        <f ca="1">IF(AND($D558="Serviço",AC$12&lt;&gt;0,$H558&gt;0,OR(AUTOEVENTO&lt;&gt;"manual",$M558&lt;&gt;1)),
IF(Import.TipoArredondamento&lt;&gt;"TransfereGOV",
ROUND(OFFSET($P558,0,AC$13),15-13*ORÇAMENTO!$AF$7)/$H558*OFFSET(ORÇAMENTO!$X$15,ROW(AC558)-ROW(AC$15),0),
ROUND(ROUND(OFFSET($P558,0,AC$13),15-13*ORÇAMENTO!$AF$7)*OFFSET(ORÇAMENTO!$W$15,ROW(AC558)-ROW(AC$15),0),15-13*ORÇAMENTO!$AF$11)),0)</f>
        <v>0</v>
      </c>
      <c r="AD558" s="545">
        <f ca="1">IF(AND($D558="Serviço",AD$12&lt;&gt;0,$H558&gt;0,OR(AUTOEVENTO&lt;&gt;"manual",$M558&lt;&gt;1)),
IF(Import.TipoArredondamento&lt;&gt;"TransfereGOV",
ROUND(OFFSET($P558,0,AD$13),15-13*ORÇAMENTO!$AF$7)/$H558*OFFSET(ORÇAMENTO!$X$15,ROW(AD558)-ROW(AD$15),0),
ROUND(ROUND(OFFSET($P558,0,AD$13),15-13*ORÇAMENTO!$AF$7)*OFFSET(ORÇAMENTO!$W$15,ROW(AD558)-ROW(AD$15),0),15-13*ORÇAMENTO!$AF$11)),0)</f>
        <v>0</v>
      </c>
      <c r="AE558" s="545">
        <f ca="1">IF(AND($D558="Serviço",AE$12&lt;&gt;0,$H558&gt;0,OR(AUTOEVENTO&lt;&gt;"manual",$M558&lt;&gt;1)),
IF(Import.TipoArredondamento&lt;&gt;"TransfereGOV",
ROUND(OFFSET($P558,0,AE$13),15-13*ORÇAMENTO!$AF$7)/$H558*OFFSET(ORÇAMENTO!$X$15,ROW(AE558)-ROW(AE$15),0),
ROUND(ROUND(OFFSET($P558,0,AE$13),15-13*ORÇAMENTO!$AF$7)*OFFSET(ORÇAMENTO!$W$15,ROW(AE558)-ROW(AE$15),0),15-13*ORÇAMENTO!$AF$11)),0)</f>
        <v>0</v>
      </c>
      <c r="AF558" s="545">
        <f ca="1">IF(AND($D558="Serviço",AF$12&lt;&gt;0,$H558&gt;0,OR(AUTOEVENTO&lt;&gt;"manual",$M558&lt;&gt;1)),
IF(Import.TipoArredondamento&lt;&gt;"TransfereGOV",
ROUND(OFFSET($P558,0,AF$13),15-13*ORÇAMENTO!$AF$7)/$H558*OFFSET(ORÇAMENTO!$X$15,ROW(AF558)-ROW(AF$15),0),
ROUND(ROUND(OFFSET($P558,0,AF$13),15-13*ORÇAMENTO!$AF$7)*OFFSET(ORÇAMENTO!$W$15,ROW(AF558)-ROW(AF$15),0),15-13*ORÇAMENTO!$AF$11)),0)</f>
        <v>0</v>
      </c>
      <c r="AG558" s="545">
        <f ca="1">IF(AND($D558="Serviço",AG$12&lt;&gt;0,$H558&gt;0,OR(AUTOEVENTO&lt;&gt;"manual",$M558&lt;&gt;1)),
IF(Import.TipoArredondamento&lt;&gt;"TransfereGOV",
ROUND(OFFSET($P558,0,AG$13),15-13*ORÇAMENTO!$AF$7)/$H558*OFFSET(ORÇAMENTO!$X$15,ROW(AG558)-ROW(AG$15),0),
ROUND(ROUND(OFFSET($P558,0,AG$13),15-13*ORÇAMENTO!$AF$7)*OFFSET(ORÇAMENTO!$W$15,ROW(AG558)-ROW(AG$15),0),15-13*ORÇAMENTO!$AF$11)),0)</f>
        <v>0</v>
      </c>
      <c r="AH558" s="545">
        <f ca="1">IF(AND($D558="Serviço",AH$12&lt;&gt;0,$H558&gt;0,OR(AUTOEVENTO&lt;&gt;"manual",$M558&lt;&gt;1)),
IF(Import.TipoArredondamento&lt;&gt;"TransfereGOV",
ROUND(OFFSET($P558,0,AH$13),15-13*ORÇAMENTO!$AF$7)/$H558*OFFSET(ORÇAMENTO!$X$15,ROW(AH558)-ROW(AH$15),0),
ROUND(ROUND(OFFSET($P558,0,AH$13),15-13*ORÇAMENTO!$AF$7)*OFFSET(ORÇAMENTO!$W$15,ROW(AH558)-ROW(AH$15),0),15-13*ORÇAMENTO!$AF$11)),0)</f>
        <v>0</v>
      </c>
      <c r="AI558" s="545">
        <f ca="1">IF(AND($D558="Serviço",AI$12&lt;&gt;0,$H558&gt;0,OR(AUTOEVENTO&lt;&gt;"manual",$M558&lt;&gt;1)),
IF(Import.TipoArredondamento&lt;&gt;"TransfereGOV",
ROUND(OFFSET($P558,0,AI$13),15-13*ORÇAMENTO!$AF$7)/$H558*OFFSET(ORÇAMENTO!$X$15,ROW(AI558)-ROW(AI$15),0),
ROUND(ROUND(OFFSET($P558,0,AI$13),15-13*ORÇAMENTO!$AF$7)*OFFSET(ORÇAMENTO!$W$15,ROW(AI558)-ROW(AI$15),0),15-13*ORÇAMENTO!$AF$11)),0)</f>
        <v>0</v>
      </c>
      <c r="AJ558" s="545">
        <f ca="1">IF(AND($D558="Serviço",AJ$12&lt;&gt;0,$H558&gt;0,OR(AUTOEVENTO&lt;&gt;"manual",$M558&lt;&gt;1)),
IF(Import.TipoArredondamento&lt;&gt;"TransfereGOV",
ROUND(OFFSET($P558,0,AJ$13),15-13*ORÇAMENTO!$AF$7)/$H558*OFFSET(ORÇAMENTO!$X$15,ROW(AJ558)-ROW(AJ$15),0),
ROUND(ROUND(OFFSET($P558,0,AJ$13),15-13*ORÇAMENTO!$AF$7)*OFFSET(ORÇAMENTO!$W$15,ROW(AJ558)-ROW(AJ$15),0),15-13*ORÇAMENTO!$AF$11)),0)</f>
        <v>0</v>
      </c>
      <c r="AK558" s="546">
        <f ca="1">IF(AND($D558="Serviço",AK$12&lt;&gt;0,$H558&gt;0,OR(AUTOEVENTO&lt;&gt;"manual",$M558&lt;&gt;1)),
IF(Import.TipoArredondamento&lt;&gt;"TransfereGOV",
ROUND(OFFSET($P558,0,AK$13),15-13*ORÇAMENTO!$AF$7)/$H558*OFFSET(ORÇAMENTO!$X$15,ROW(AK558)-ROW(AK$15),0),
ROUND(ROUND(OFFSET($P558,0,AK$13),15-13*ORÇAMENTO!$AF$7)*OFFSET(ORÇAMENTO!$W$15,ROW(AK558)-ROW(AK$15),0),15-13*ORÇAMENTO!$AF$11)),0)</f>
        <v>0</v>
      </c>
      <c r="AM558" s="181">
        <f ca="1">IF($D558&lt;&gt;"Serviço",0,IF(AND(AUTOEVENTO="Manual",$M558=1),0,IF(OFFSET(CRONOPLE!$F$14,$M558,AM$13)="",10^12,OFFSET(CRONOPLE!$F$14,$M558,AM$13))))</f>
        <v>1000000000000</v>
      </c>
      <c r="AN558" s="181">
        <f ca="1">IF($D558&lt;&gt;"Serviço",0,IF(AND(AUTOEVENTO="Manual",$M558=1),0,IF(OFFSET(CRONOPLE!$F$14,$M558,AN$13)="",10^12,OFFSET(CRONOPLE!$F$14,$M558,AN$13))))</f>
        <v>1000000000000</v>
      </c>
      <c r="AO558" s="181">
        <f ca="1">IF($D558&lt;&gt;"Serviço",0,IF(AND(AUTOEVENTO="Manual",$M558=1),0,IF(OFFSET(CRONOPLE!$F$14,$M558,AO$13)="",10^12,OFFSET(CRONOPLE!$F$14,$M558,AO$13))))</f>
        <v>1000000000000</v>
      </c>
      <c r="AP558" s="181">
        <f ca="1">IF($D558&lt;&gt;"Serviço",0,IF(AND(AUTOEVENTO="Manual",$M558=1),0,IF(OFFSET(CRONOPLE!$F$14,$M558,AP$13)="",10^12,OFFSET(CRONOPLE!$F$14,$M558,AP$13))))</f>
        <v>1000000000000</v>
      </c>
      <c r="AQ558" s="181">
        <f ca="1">IF($D558&lt;&gt;"Serviço",0,IF(AND(AUTOEVENTO="Manual",$M558=1),0,IF(OFFSET(CRONOPLE!$F$14,$M558,AQ$13)="",10^12,OFFSET(CRONOPLE!$F$14,$M558,AQ$13))))</f>
        <v>1000000000000</v>
      </c>
      <c r="AR558" s="181">
        <f ca="1">IF($D558&lt;&gt;"Serviço",0,IF(AND(AUTOEVENTO="Manual",$M558=1),0,IF(OFFSET(CRONOPLE!$F$14,$M558,AR$13)="",10^12,OFFSET(CRONOPLE!$F$14,$M558,AR$13))))</f>
        <v>1000000000000</v>
      </c>
      <c r="AS558" s="181">
        <f ca="1">IF($D558&lt;&gt;"Serviço",0,IF(AND(AUTOEVENTO="Manual",$M558=1),0,IF(OFFSET(CRONOPLE!$F$14,$M558,AS$13)="",10^12,OFFSET(CRONOPLE!$F$14,$M558,AS$13))))</f>
        <v>1000000000000</v>
      </c>
      <c r="AT558" s="181">
        <f ca="1">IF($D558&lt;&gt;"Serviço",0,IF(AND(AUTOEVENTO="Manual",$M558=1),0,IF(OFFSET(CRONOPLE!$F$14,$M558,AT$13)="",10^12,OFFSET(CRONOPLE!$F$14,$M558,AT$13))))</f>
        <v>1000000000000</v>
      </c>
      <c r="AU558" s="181">
        <f ca="1">IF($D558&lt;&gt;"Serviço",0,IF(AND(AUTOEVENTO="Manual",$M558=1),0,IF(OFFSET(CRONOPLE!$F$14,$M558,AU$13)="",10^12,OFFSET(CRONOPLE!$F$14,$M558,AU$13))))</f>
        <v>1000000000000</v>
      </c>
      <c r="AV558" s="181">
        <f ca="1">IF($D558&lt;&gt;"Serviço",0,IF(AND(AUTOEVENTO="Manual",$M558=1),0,IF(OFFSET(CRONOPLE!$F$14,$M558,AV$13)="",10^12,OFFSET(CRONOPLE!$F$14,$M558,AV$13))))</f>
        <v>1000000000000</v>
      </c>
      <c r="AX558" s="182">
        <f ca="1">IF($D558&lt;&gt;"Serviço",0,IF(OR(AND(AUTOEVENTO="Manual",$M558=1),$M558&gt;(ROW(PLE.lastrow)-ROW(PLE.firstrow))),0,IF(OFFSET(PLE!$G$14,$M558,AX$13)="",10^12,OFFSET(PLE!$G$14,$M558,AX$13))))</f>
        <v>1000000000000</v>
      </c>
      <c r="AY558" s="182">
        <f ca="1">IF($D558&lt;&gt;"Serviço",0,IF(OR(AND(AUTOEVENTO="Manual",$M558=1),$M558&gt;(ROW(PLE.lastrow)-ROW(PLE.firstrow))),0,IF(OFFSET(PLE!$G$14,$M558,AY$13)="",10^12,OFFSET(PLE!$G$14,$M558,AY$13))))</f>
        <v>1000000000000</v>
      </c>
      <c r="AZ558" s="182">
        <f ca="1">IF($D558&lt;&gt;"Serviço",0,IF(OR(AND(AUTOEVENTO="Manual",$M558=1),$M558&gt;(ROW(PLE.lastrow)-ROW(PLE.firstrow))),0,IF(OFFSET(PLE!$G$14,$M558,AZ$13)="",10^12,OFFSET(PLE!$G$14,$M558,AZ$13))))</f>
        <v>1000000000000</v>
      </c>
      <c r="BA558" s="182">
        <f ca="1">IF($D558&lt;&gt;"Serviço",0,IF(OR(AND(AUTOEVENTO="Manual",$M558=1),$M558&gt;(ROW(PLE.lastrow)-ROW(PLE.firstrow))),0,IF(OFFSET(PLE!$G$14,$M558,BA$13)="",10^12,OFFSET(PLE!$G$14,$M558,BA$13))))</f>
        <v>1000000000000</v>
      </c>
      <c r="BB558" s="182">
        <f ca="1">IF($D558&lt;&gt;"Serviço",0,IF(OR(AND(AUTOEVENTO="Manual",$M558=1),$M558&gt;(ROW(PLE.lastrow)-ROW(PLE.firstrow))),0,IF(OFFSET(PLE!$G$14,$M558,BB$13)="",10^12,OFFSET(PLE!$G$14,$M558,BB$13))))</f>
        <v>1000000000000</v>
      </c>
      <c r="BC558" s="182">
        <f ca="1">IF($D558&lt;&gt;"Serviço",0,IF(OR(AND(AUTOEVENTO="Manual",$M558=1),$M558&gt;(ROW(PLE.lastrow)-ROW(PLE.firstrow))),0,IF(OFFSET(PLE!$G$14,$M558,BC$13)="",10^12,OFFSET(PLE!$G$14,$M558,BC$13))))</f>
        <v>1000000000000</v>
      </c>
      <c r="BD558" s="182">
        <f ca="1">IF($D558&lt;&gt;"Serviço",0,IF(OR(AND(AUTOEVENTO="Manual",$M558=1),$M558&gt;(ROW(PLE.lastrow)-ROW(PLE.firstrow))),0,IF(OFFSET(PLE!$G$14,$M558,BD$13)="",10^12,OFFSET(PLE!$G$14,$M558,BD$13))))</f>
        <v>1000000000000</v>
      </c>
      <c r="BE558" s="182">
        <f ca="1">IF($D558&lt;&gt;"Serviço",0,IF(OR(AND(AUTOEVENTO="Manual",$M558=1),$M558&gt;(ROW(PLE.lastrow)-ROW(PLE.firstrow))),0,IF(OFFSET(PLE!$G$14,$M558,BE$13)="",10^12,OFFSET(PLE!$G$14,$M558,BE$13))))</f>
        <v>1000000000000</v>
      </c>
      <c r="BF558" s="182">
        <f ca="1">IF($D558&lt;&gt;"Serviço",0,IF(OR(AND(AUTOEVENTO="Manual",$M558=1),$M558&gt;(ROW(PLE.lastrow)-ROW(PLE.firstrow))),0,IF(OFFSET(PLE!$G$14,$M558,BF$13)="",10^12,OFFSET(PLE!$G$14,$M558,BF$13))))</f>
        <v>1000000000000</v>
      </c>
      <c r="BG558" s="182">
        <f ca="1">IF($D558&lt;&gt;"Serviço",0,IF(OR(AND(AUTOEVENTO="Manual",$M558=1),$M558&gt;(ROW(PLE.lastrow)-ROW(PLE.firstrow))),0,IF(OFFSET(PLE!$G$14,$M558,BG$13)="",10^12,OFFSET(PLE!$G$14,$M558,BG$13))))</f>
        <v>1000000000000</v>
      </c>
    </row>
    <row r="559" spans="1:59" ht="25.5" x14ac:dyDescent="0.2">
      <c r="A559" s="7" t="str">
        <f t="shared" ca="1" si="15"/>
        <v>472</v>
      </c>
      <c r="B559" s="7" t="str">
        <f ca="1">OFFSET(ORÇAMENTO!C$15,ROW(B559)-ROW(B$15),0)</f>
        <v>S</v>
      </c>
      <c r="C559" s="7" t="str">
        <f ca="1">OFFSET(ORÇAMENTO!L$15,ROW(C559)-ROW(C$15),0)</f>
        <v/>
      </c>
      <c r="D559" s="118" t="str">
        <f ca="1">OFFSET(ORÇAMENTO!N$15,ROW(D559)-ROW(D$15),0)</f>
        <v>Serviço</v>
      </c>
      <c r="E559" s="119" t="str">
        <f ca="1">OFFSET(ORÇAMENTO!O$15,ROW(E559)-ROW(E$15),0)</f>
        <v>-</v>
      </c>
      <c r="F559" s="172" t="str">
        <f ca="1">OFFSET(ORÇAMENTO!R$15,ROW(F559)-ROW(F$15),0)</f>
        <v>(abra o arquivo 'Referência 02-2025.xlsm)</v>
      </c>
      <c r="G559" s="173" t="str">
        <f ca="1">IF($D559&lt;&gt;"Serviço","",OFFSET(ORÇAMENTO!S$15,ROW(G559)-ROW(G$15),0))</f>
        <v>-</v>
      </c>
      <c r="H559" s="124">
        <f ca="1">IF($D559&lt;&gt;"Serviço",0,IF(ACOMPANHAMENTO="BM",ROUND(OFFSET(ORÇAMENTO!AJ$15,ROW(H559)-ROW(H$15),0),15-13*ORÇAMENTO!$AF$7),SUMPRODUCT(($Q$12:$AA$12&lt;&gt;"")*ROUND($Q559:$AA559,15-13*ORÇAMENTO!$AF$7))))</f>
        <v>2</v>
      </c>
      <c r="I559" s="561" t="s">
        <v>890</v>
      </c>
      <c r="K559" s="174"/>
      <c r="L559" s="175" t="s">
        <v>255</v>
      </c>
      <c r="M559" s="176">
        <f ca="1">IF($D559&lt;&gt;"Serviço","",IF(AUTOEVENTO="manual",$A559,IF(ISERROR(MATCH($A559,$A$15:OFFSET($A559,-1,0),0)),MAX($M$15:OFFSET(M559,-1,0))+1,INDEX($M$15:OFFSET(M559,-1,0),MATCH($A559,$A$15:OFFSET($A559,-1,0),0)))))</f>
        <v>18</v>
      </c>
      <c r="N559" s="177" t="str">
        <f ca="1">IF($D559&lt;&gt;"Serviço","",IF(AUTOEVENTO="Manual",IF($A559=0,"&lt;-- defina o número do agrupador",OFFSET(EVENTOS!$D$14,$A559,0)),OFFSET($F$15,$A559,0)))</f>
        <v>INSTALAÇÕES ELÉTRICAS - 220V</v>
      </c>
      <c r="O559" s="178"/>
      <c r="Q559" s="178"/>
      <c r="R559" s="179"/>
      <c r="S559" s="179"/>
      <c r="T559" s="179"/>
      <c r="U559" s="179"/>
      <c r="V559" s="179"/>
      <c r="W559" s="179"/>
      <c r="X559" s="179"/>
      <c r="Y559" s="179"/>
      <c r="Z559" s="180"/>
      <c r="AB559" s="544">
        <f ca="1">IF(AND($D559="Serviço",AB$12&lt;&gt;0,$H559&gt;0,OR(AUTOEVENTO&lt;&gt;"manual",$M559&lt;&gt;1)),
IF(Import.TipoArredondamento&lt;&gt;"TransfereGOV",
ROUND(OFFSET($P559,0,AB$13),15-13*ORÇAMENTO!$AF$7)/$H559*OFFSET(ORÇAMENTO!$X$15,ROW(AB559)-ROW(AB$15),0),
ROUND(ROUND(OFFSET($P559,0,AB$13),15-13*ORÇAMENTO!$AF$7)*OFFSET(ORÇAMENTO!$W$15,ROW(AB559)-ROW(AB$15),0),15-13*ORÇAMENTO!$AF$11)),0)</f>
        <v>0</v>
      </c>
      <c r="AC559" s="545">
        <f ca="1">IF(AND($D559="Serviço",AC$12&lt;&gt;0,$H559&gt;0,OR(AUTOEVENTO&lt;&gt;"manual",$M559&lt;&gt;1)),
IF(Import.TipoArredondamento&lt;&gt;"TransfereGOV",
ROUND(OFFSET($P559,0,AC$13),15-13*ORÇAMENTO!$AF$7)/$H559*OFFSET(ORÇAMENTO!$X$15,ROW(AC559)-ROW(AC$15),0),
ROUND(ROUND(OFFSET($P559,0,AC$13),15-13*ORÇAMENTO!$AF$7)*OFFSET(ORÇAMENTO!$W$15,ROW(AC559)-ROW(AC$15),0),15-13*ORÇAMENTO!$AF$11)),0)</f>
        <v>0</v>
      </c>
      <c r="AD559" s="545">
        <f ca="1">IF(AND($D559="Serviço",AD$12&lt;&gt;0,$H559&gt;0,OR(AUTOEVENTO&lt;&gt;"manual",$M559&lt;&gt;1)),
IF(Import.TipoArredondamento&lt;&gt;"TransfereGOV",
ROUND(OFFSET($P559,0,AD$13),15-13*ORÇAMENTO!$AF$7)/$H559*OFFSET(ORÇAMENTO!$X$15,ROW(AD559)-ROW(AD$15),0),
ROUND(ROUND(OFFSET($P559,0,AD$13),15-13*ORÇAMENTO!$AF$7)*OFFSET(ORÇAMENTO!$W$15,ROW(AD559)-ROW(AD$15),0),15-13*ORÇAMENTO!$AF$11)),0)</f>
        <v>0</v>
      </c>
      <c r="AE559" s="545">
        <f ca="1">IF(AND($D559="Serviço",AE$12&lt;&gt;0,$H559&gt;0,OR(AUTOEVENTO&lt;&gt;"manual",$M559&lt;&gt;1)),
IF(Import.TipoArredondamento&lt;&gt;"TransfereGOV",
ROUND(OFFSET($P559,0,AE$13),15-13*ORÇAMENTO!$AF$7)/$H559*OFFSET(ORÇAMENTO!$X$15,ROW(AE559)-ROW(AE$15),0),
ROUND(ROUND(OFFSET($P559,0,AE$13),15-13*ORÇAMENTO!$AF$7)*OFFSET(ORÇAMENTO!$W$15,ROW(AE559)-ROW(AE$15),0),15-13*ORÇAMENTO!$AF$11)),0)</f>
        <v>0</v>
      </c>
      <c r="AF559" s="545">
        <f ca="1">IF(AND($D559="Serviço",AF$12&lt;&gt;0,$H559&gt;0,OR(AUTOEVENTO&lt;&gt;"manual",$M559&lt;&gt;1)),
IF(Import.TipoArredondamento&lt;&gt;"TransfereGOV",
ROUND(OFFSET($P559,0,AF$13),15-13*ORÇAMENTO!$AF$7)/$H559*OFFSET(ORÇAMENTO!$X$15,ROW(AF559)-ROW(AF$15),0),
ROUND(ROUND(OFFSET($P559,0,AF$13),15-13*ORÇAMENTO!$AF$7)*OFFSET(ORÇAMENTO!$W$15,ROW(AF559)-ROW(AF$15),0),15-13*ORÇAMENTO!$AF$11)),0)</f>
        <v>0</v>
      </c>
      <c r="AG559" s="545">
        <f ca="1">IF(AND($D559="Serviço",AG$12&lt;&gt;0,$H559&gt;0,OR(AUTOEVENTO&lt;&gt;"manual",$M559&lt;&gt;1)),
IF(Import.TipoArredondamento&lt;&gt;"TransfereGOV",
ROUND(OFFSET($P559,0,AG$13),15-13*ORÇAMENTO!$AF$7)/$H559*OFFSET(ORÇAMENTO!$X$15,ROW(AG559)-ROW(AG$15),0),
ROUND(ROUND(OFFSET($P559,0,AG$13),15-13*ORÇAMENTO!$AF$7)*OFFSET(ORÇAMENTO!$W$15,ROW(AG559)-ROW(AG$15),0),15-13*ORÇAMENTO!$AF$11)),0)</f>
        <v>0</v>
      </c>
      <c r="AH559" s="545">
        <f ca="1">IF(AND($D559="Serviço",AH$12&lt;&gt;0,$H559&gt;0,OR(AUTOEVENTO&lt;&gt;"manual",$M559&lt;&gt;1)),
IF(Import.TipoArredondamento&lt;&gt;"TransfereGOV",
ROUND(OFFSET($P559,0,AH$13),15-13*ORÇAMENTO!$AF$7)/$H559*OFFSET(ORÇAMENTO!$X$15,ROW(AH559)-ROW(AH$15),0),
ROUND(ROUND(OFFSET($P559,0,AH$13),15-13*ORÇAMENTO!$AF$7)*OFFSET(ORÇAMENTO!$W$15,ROW(AH559)-ROW(AH$15),0),15-13*ORÇAMENTO!$AF$11)),0)</f>
        <v>0</v>
      </c>
      <c r="AI559" s="545">
        <f ca="1">IF(AND($D559="Serviço",AI$12&lt;&gt;0,$H559&gt;0,OR(AUTOEVENTO&lt;&gt;"manual",$M559&lt;&gt;1)),
IF(Import.TipoArredondamento&lt;&gt;"TransfereGOV",
ROUND(OFFSET($P559,0,AI$13),15-13*ORÇAMENTO!$AF$7)/$H559*OFFSET(ORÇAMENTO!$X$15,ROW(AI559)-ROW(AI$15),0),
ROUND(ROUND(OFFSET($P559,0,AI$13),15-13*ORÇAMENTO!$AF$7)*OFFSET(ORÇAMENTO!$W$15,ROW(AI559)-ROW(AI$15),0),15-13*ORÇAMENTO!$AF$11)),0)</f>
        <v>0</v>
      </c>
      <c r="AJ559" s="545">
        <f ca="1">IF(AND($D559="Serviço",AJ$12&lt;&gt;0,$H559&gt;0,OR(AUTOEVENTO&lt;&gt;"manual",$M559&lt;&gt;1)),
IF(Import.TipoArredondamento&lt;&gt;"TransfereGOV",
ROUND(OFFSET($P559,0,AJ$13),15-13*ORÇAMENTO!$AF$7)/$H559*OFFSET(ORÇAMENTO!$X$15,ROW(AJ559)-ROW(AJ$15),0),
ROUND(ROUND(OFFSET($P559,0,AJ$13),15-13*ORÇAMENTO!$AF$7)*OFFSET(ORÇAMENTO!$W$15,ROW(AJ559)-ROW(AJ$15),0),15-13*ORÇAMENTO!$AF$11)),0)</f>
        <v>0</v>
      </c>
      <c r="AK559" s="546">
        <f ca="1">IF(AND($D559="Serviço",AK$12&lt;&gt;0,$H559&gt;0,OR(AUTOEVENTO&lt;&gt;"manual",$M559&lt;&gt;1)),
IF(Import.TipoArredondamento&lt;&gt;"TransfereGOV",
ROUND(OFFSET($P559,0,AK$13),15-13*ORÇAMENTO!$AF$7)/$H559*OFFSET(ORÇAMENTO!$X$15,ROW(AK559)-ROW(AK$15),0),
ROUND(ROUND(OFFSET($P559,0,AK$13),15-13*ORÇAMENTO!$AF$7)*OFFSET(ORÇAMENTO!$W$15,ROW(AK559)-ROW(AK$15),0),15-13*ORÇAMENTO!$AF$11)),0)</f>
        <v>0</v>
      </c>
      <c r="AM559" s="181">
        <f ca="1">IF($D559&lt;&gt;"Serviço",0,IF(AND(AUTOEVENTO="Manual",$M559=1),0,IF(OFFSET(CRONOPLE!$F$14,$M559,AM$13)="",10^12,OFFSET(CRONOPLE!$F$14,$M559,AM$13))))</f>
        <v>1000000000000</v>
      </c>
      <c r="AN559" s="181">
        <f ca="1">IF($D559&lt;&gt;"Serviço",0,IF(AND(AUTOEVENTO="Manual",$M559=1),0,IF(OFFSET(CRONOPLE!$F$14,$M559,AN$13)="",10^12,OFFSET(CRONOPLE!$F$14,$M559,AN$13))))</f>
        <v>1000000000000</v>
      </c>
      <c r="AO559" s="181">
        <f ca="1">IF($D559&lt;&gt;"Serviço",0,IF(AND(AUTOEVENTO="Manual",$M559=1),0,IF(OFFSET(CRONOPLE!$F$14,$M559,AO$13)="",10^12,OFFSET(CRONOPLE!$F$14,$M559,AO$13))))</f>
        <v>1000000000000</v>
      </c>
      <c r="AP559" s="181">
        <f ca="1">IF($D559&lt;&gt;"Serviço",0,IF(AND(AUTOEVENTO="Manual",$M559=1),0,IF(OFFSET(CRONOPLE!$F$14,$M559,AP$13)="",10^12,OFFSET(CRONOPLE!$F$14,$M559,AP$13))))</f>
        <v>1000000000000</v>
      </c>
      <c r="AQ559" s="181">
        <f ca="1">IF($D559&lt;&gt;"Serviço",0,IF(AND(AUTOEVENTO="Manual",$M559=1),0,IF(OFFSET(CRONOPLE!$F$14,$M559,AQ$13)="",10^12,OFFSET(CRONOPLE!$F$14,$M559,AQ$13))))</f>
        <v>1000000000000</v>
      </c>
      <c r="AR559" s="181">
        <f ca="1">IF($D559&lt;&gt;"Serviço",0,IF(AND(AUTOEVENTO="Manual",$M559=1),0,IF(OFFSET(CRONOPLE!$F$14,$M559,AR$13)="",10^12,OFFSET(CRONOPLE!$F$14,$M559,AR$13))))</f>
        <v>1000000000000</v>
      </c>
      <c r="AS559" s="181">
        <f ca="1">IF($D559&lt;&gt;"Serviço",0,IF(AND(AUTOEVENTO="Manual",$M559=1),0,IF(OFFSET(CRONOPLE!$F$14,$M559,AS$13)="",10^12,OFFSET(CRONOPLE!$F$14,$M559,AS$13))))</f>
        <v>1000000000000</v>
      </c>
      <c r="AT559" s="181">
        <f ca="1">IF($D559&lt;&gt;"Serviço",0,IF(AND(AUTOEVENTO="Manual",$M559=1),0,IF(OFFSET(CRONOPLE!$F$14,$M559,AT$13)="",10^12,OFFSET(CRONOPLE!$F$14,$M559,AT$13))))</f>
        <v>1000000000000</v>
      </c>
      <c r="AU559" s="181">
        <f ca="1">IF($D559&lt;&gt;"Serviço",0,IF(AND(AUTOEVENTO="Manual",$M559=1),0,IF(OFFSET(CRONOPLE!$F$14,$M559,AU$13)="",10^12,OFFSET(CRONOPLE!$F$14,$M559,AU$13))))</f>
        <v>1000000000000</v>
      </c>
      <c r="AV559" s="181">
        <f ca="1">IF($D559&lt;&gt;"Serviço",0,IF(AND(AUTOEVENTO="Manual",$M559=1),0,IF(OFFSET(CRONOPLE!$F$14,$M559,AV$13)="",10^12,OFFSET(CRONOPLE!$F$14,$M559,AV$13))))</f>
        <v>1000000000000</v>
      </c>
      <c r="AX559" s="182">
        <f ca="1">IF($D559&lt;&gt;"Serviço",0,IF(OR(AND(AUTOEVENTO="Manual",$M559=1),$M559&gt;(ROW(PLE.lastrow)-ROW(PLE.firstrow))),0,IF(OFFSET(PLE!$G$14,$M559,AX$13)="",10^12,OFFSET(PLE!$G$14,$M559,AX$13))))</f>
        <v>1000000000000</v>
      </c>
      <c r="AY559" s="182">
        <f ca="1">IF($D559&lt;&gt;"Serviço",0,IF(OR(AND(AUTOEVENTO="Manual",$M559=1),$M559&gt;(ROW(PLE.lastrow)-ROW(PLE.firstrow))),0,IF(OFFSET(PLE!$G$14,$M559,AY$13)="",10^12,OFFSET(PLE!$G$14,$M559,AY$13))))</f>
        <v>1000000000000</v>
      </c>
      <c r="AZ559" s="182">
        <f ca="1">IF($D559&lt;&gt;"Serviço",0,IF(OR(AND(AUTOEVENTO="Manual",$M559=1),$M559&gt;(ROW(PLE.lastrow)-ROW(PLE.firstrow))),0,IF(OFFSET(PLE!$G$14,$M559,AZ$13)="",10^12,OFFSET(PLE!$G$14,$M559,AZ$13))))</f>
        <v>1000000000000</v>
      </c>
      <c r="BA559" s="182">
        <f ca="1">IF($D559&lt;&gt;"Serviço",0,IF(OR(AND(AUTOEVENTO="Manual",$M559=1),$M559&gt;(ROW(PLE.lastrow)-ROW(PLE.firstrow))),0,IF(OFFSET(PLE!$G$14,$M559,BA$13)="",10^12,OFFSET(PLE!$G$14,$M559,BA$13))))</f>
        <v>1000000000000</v>
      </c>
      <c r="BB559" s="182">
        <f ca="1">IF($D559&lt;&gt;"Serviço",0,IF(OR(AND(AUTOEVENTO="Manual",$M559=1),$M559&gt;(ROW(PLE.lastrow)-ROW(PLE.firstrow))),0,IF(OFFSET(PLE!$G$14,$M559,BB$13)="",10^12,OFFSET(PLE!$G$14,$M559,BB$13))))</f>
        <v>1000000000000</v>
      </c>
      <c r="BC559" s="182">
        <f ca="1">IF($D559&lt;&gt;"Serviço",0,IF(OR(AND(AUTOEVENTO="Manual",$M559=1),$M559&gt;(ROW(PLE.lastrow)-ROW(PLE.firstrow))),0,IF(OFFSET(PLE!$G$14,$M559,BC$13)="",10^12,OFFSET(PLE!$G$14,$M559,BC$13))))</f>
        <v>1000000000000</v>
      </c>
      <c r="BD559" s="182">
        <f ca="1">IF($D559&lt;&gt;"Serviço",0,IF(OR(AND(AUTOEVENTO="Manual",$M559=1),$M559&gt;(ROW(PLE.lastrow)-ROW(PLE.firstrow))),0,IF(OFFSET(PLE!$G$14,$M559,BD$13)="",10^12,OFFSET(PLE!$G$14,$M559,BD$13))))</f>
        <v>1000000000000</v>
      </c>
      <c r="BE559" s="182">
        <f ca="1">IF($D559&lt;&gt;"Serviço",0,IF(OR(AND(AUTOEVENTO="Manual",$M559=1),$M559&gt;(ROW(PLE.lastrow)-ROW(PLE.firstrow))),0,IF(OFFSET(PLE!$G$14,$M559,BE$13)="",10^12,OFFSET(PLE!$G$14,$M559,BE$13))))</f>
        <v>1000000000000</v>
      </c>
      <c r="BF559" s="182">
        <f ca="1">IF($D559&lt;&gt;"Serviço",0,IF(OR(AND(AUTOEVENTO="Manual",$M559=1),$M559&gt;(ROW(PLE.lastrow)-ROW(PLE.firstrow))),0,IF(OFFSET(PLE!$G$14,$M559,BF$13)="",10^12,OFFSET(PLE!$G$14,$M559,BF$13))))</f>
        <v>1000000000000</v>
      </c>
      <c r="BG559" s="182">
        <f ca="1">IF($D559&lt;&gt;"Serviço",0,IF(OR(AND(AUTOEVENTO="Manual",$M559=1),$M559&gt;(ROW(PLE.lastrow)-ROW(PLE.firstrow))),0,IF(OFFSET(PLE!$G$14,$M559,BG$13)="",10^12,OFFSET(PLE!$G$14,$M559,BG$13))))</f>
        <v>1000000000000</v>
      </c>
    </row>
    <row r="560" spans="1:59" ht="25.5" x14ac:dyDescent="0.2">
      <c r="A560" s="7" t="str">
        <f t="shared" ca="1" si="15"/>
        <v>472</v>
      </c>
      <c r="B560" s="7" t="str">
        <f ca="1">OFFSET(ORÇAMENTO!C$15,ROW(B560)-ROW(B$15),0)</f>
        <v>S</v>
      </c>
      <c r="C560" s="7" t="str">
        <f ca="1">OFFSET(ORÇAMENTO!L$15,ROW(C560)-ROW(C$15),0)</f>
        <v/>
      </c>
      <c r="D560" s="118" t="str">
        <f ca="1">OFFSET(ORÇAMENTO!N$15,ROW(D560)-ROW(D$15),0)</f>
        <v>Serviço</v>
      </c>
      <c r="E560" s="119" t="str">
        <f ca="1">OFFSET(ORÇAMENTO!O$15,ROW(E560)-ROW(E$15),0)</f>
        <v>-</v>
      </c>
      <c r="F560" s="172" t="str">
        <f ca="1">OFFSET(ORÇAMENTO!R$15,ROW(F560)-ROW(F$15),0)</f>
        <v>(abra o arquivo 'Referência 02-2025.xlsm)</v>
      </c>
      <c r="G560" s="173" t="str">
        <f ca="1">IF($D560&lt;&gt;"Serviço","",OFFSET(ORÇAMENTO!S$15,ROW(G560)-ROW(G$15),0))</f>
        <v>-</v>
      </c>
      <c r="H560" s="124">
        <f ca="1">IF($D560&lt;&gt;"Serviço",0,IF(ACOMPANHAMENTO="BM",ROUND(OFFSET(ORÇAMENTO!AJ$15,ROW(H560)-ROW(H$15),0),15-13*ORÇAMENTO!$AF$7),SUMPRODUCT(($Q$12:$AA$12&lt;&gt;"")*ROUND($Q560:$AA560,15-13*ORÇAMENTO!$AF$7))))</f>
        <v>36</v>
      </c>
      <c r="I560" s="561" t="s">
        <v>890</v>
      </c>
      <c r="K560" s="174"/>
      <c r="L560" s="175" t="s">
        <v>255</v>
      </c>
      <c r="M560" s="176">
        <f ca="1">IF($D560&lt;&gt;"Serviço","",IF(AUTOEVENTO="manual",$A560,IF(ISERROR(MATCH($A560,$A$15:OFFSET($A560,-1,0),0)),MAX($M$15:OFFSET(M560,-1,0))+1,INDEX($M$15:OFFSET(M560,-1,0),MATCH($A560,$A$15:OFFSET($A560,-1,0),0)))))</f>
        <v>18</v>
      </c>
      <c r="N560" s="177" t="str">
        <f ca="1">IF($D560&lt;&gt;"Serviço","",IF(AUTOEVENTO="Manual",IF($A560=0,"&lt;-- defina o número do agrupador",OFFSET(EVENTOS!$D$14,$A560,0)),OFFSET($F$15,$A560,0)))</f>
        <v>INSTALAÇÕES ELÉTRICAS - 220V</v>
      </c>
      <c r="O560" s="178"/>
      <c r="Q560" s="178"/>
      <c r="R560" s="179"/>
      <c r="S560" s="179"/>
      <c r="T560" s="179"/>
      <c r="U560" s="179"/>
      <c r="V560" s="179"/>
      <c r="W560" s="179"/>
      <c r="X560" s="179"/>
      <c r="Y560" s="179"/>
      <c r="Z560" s="180"/>
      <c r="AB560" s="544">
        <f ca="1">IF(AND($D560="Serviço",AB$12&lt;&gt;0,$H560&gt;0,OR(AUTOEVENTO&lt;&gt;"manual",$M560&lt;&gt;1)),
IF(Import.TipoArredondamento&lt;&gt;"TransfereGOV",
ROUND(OFFSET($P560,0,AB$13),15-13*ORÇAMENTO!$AF$7)/$H560*OFFSET(ORÇAMENTO!$X$15,ROW(AB560)-ROW(AB$15),0),
ROUND(ROUND(OFFSET($P560,0,AB$13),15-13*ORÇAMENTO!$AF$7)*OFFSET(ORÇAMENTO!$W$15,ROW(AB560)-ROW(AB$15),0),15-13*ORÇAMENTO!$AF$11)),0)</f>
        <v>0</v>
      </c>
      <c r="AC560" s="545">
        <f ca="1">IF(AND($D560="Serviço",AC$12&lt;&gt;0,$H560&gt;0,OR(AUTOEVENTO&lt;&gt;"manual",$M560&lt;&gt;1)),
IF(Import.TipoArredondamento&lt;&gt;"TransfereGOV",
ROUND(OFFSET($P560,0,AC$13),15-13*ORÇAMENTO!$AF$7)/$H560*OFFSET(ORÇAMENTO!$X$15,ROW(AC560)-ROW(AC$15),0),
ROUND(ROUND(OFFSET($P560,0,AC$13),15-13*ORÇAMENTO!$AF$7)*OFFSET(ORÇAMENTO!$W$15,ROW(AC560)-ROW(AC$15),0),15-13*ORÇAMENTO!$AF$11)),0)</f>
        <v>0</v>
      </c>
      <c r="AD560" s="545">
        <f ca="1">IF(AND($D560="Serviço",AD$12&lt;&gt;0,$H560&gt;0,OR(AUTOEVENTO&lt;&gt;"manual",$M560&lt;&gt;1)),
IF(Import.TipoArredondamento&lt;&gt;"TransfereGOV",
ROUND(OFFSET($P560,0,AD$13),15-13*ORÇAMENTO!$AF$7)/$H560*OFFSET(ORÇAMENTO!$X$15,ROW(AD560)-ROW(AD$15),0),
ROUND(ROUND(OFFSET($P560,0,AD$13),15-13*ORÇAMENTO!$AF$7)*OFFSET(ORÇAMENTO!$W$15,ROW(AD560)-ROW(AD$15),0),15-13*ORÇAMENTO!$AF$11)),0)</f>
        <v>0</v>
      </c>
      <c r="AE560" s="545">
        <f ca="1">IF(AND($D560="Serviço",AE$12&lt;&gt;0,$H560&gt;0,OR(AUTOEVENTO&lt;&gt;"manual",$M560&lt;&gt;1)),
IF(Import.TipoArredondamento&lt;&gt;"TransfereGOV",
ROUND(OFFSET($P560,0,AE$13),15-13*ORÇAMENTO!$AF$7)/$H560*OFFSET(ORÇAMENTO!$X$15,ROW(AE560)-ROW(AE$15),0),
ROUND(ROUND(OFFSET($P560,0,AE$13),15-13*ORÇAMENTO!$AF$7)*OFFSET(ORÇAMENTO!$W$15,ROW(AE560)-ROW(AE$15),0),15-13*ORÇAMENTO!$AF$11)),0)</f>
        <v>0</v>
      </c>
      <c r="AF560" s="545">
        <f ca="1">IF(AND($D560="Serviço",AF$12&lt;&gt;0,$H560&gt;0,OR(AUTOEVENTO&lt;&gt;"manual",$M560&lt;&gt;1)),
IF(Import.TipoArredondamento&lt;&gt;"TransfereGOV",
ROUND(OFFSET($P560,0,AF$13),15-13*ORÇAMENTO!$AF$7)/$H560*OFFSET(ORÇAMENTO!$X$15,ROW(AF560)-ROW(AF$15),0),
ROUND(ROUND(OFFSET($P560,0,AF$13),15-13*ORÇAMENTO!$AF$7)*OFFSET(ORÇAMENTO!$W$15,ROW(AF560)-ROW(AF$15),0),15-13*ORÇAMENTO!$AF$11)),0)</f>
        <v>0</v>
      </c>
      <c r="AG560" s="545">
        <f ca="1">IF(AND($D560="Serviço",AG$12&lt;&gt;0,$H560&gt;0,OR(AUTOEVENTO&lt;&gt;"manual",$M560&lt;&gt;1)),
IF(Import.TipoArredondamento&lt;&gt;"TransfereGOV",
ROUND(OFFSET($P560,0,AG$13),15-13*ORÇAMENTO!$AF$7)/$H560*OFFSET(ORÇAMENTO!$X$15,ROW(AG560)-ROW(AG$15),0),
ROUND(ROUND(OFFSET($P560,0,AG$13),15-13*ORÇAMENTO!$AF$7)*OFFSET(ORÇAMENTO!$W$15,ROW(AG560)-ROW(AG$15),0),15-13*ORÇAMENTO!$AF$11)),0)</f>
        <v>0</v>
      </c>
      <c r="AH560" s="545">
        <f ca="1">IF(AND($D560="Serviço",AH$12&lt;&gt;0,$H560&gt;0,OR(AUTOEVENTO&lt;&gt;"manual",$M560&lt;&gt;1)),
IF(Import.TipoArredondamento&lt;&gt;"TransfereGOV",
ROUND(OFFSET($P560,0,AH$13),15-13*ORÇAMENTO!$AF$7)/$H560*OFFSET(ORÇAMENTO!$X$15,ROW(AH560)-ROW(AH$15),0),
ROUND(ROUND(OFFSET($P560,0,AH$13),15-13*ORÇAMENTO!$AF$7)*OFFSET(ORÇAMENTO!$W$15,ROW(AH560)-ROW(AH$15),0),15-13*ORÇAMENTO!$AF$11)),0)</f>
        <v>0</v>
      </c>
      <c r="AI560" s="545">
        <f ca="1">IF(AND($D560="Serviço",AI$12&lt;&gt;0,$H560&gt;0,OR(AUTOEVENTO&lt;&gt;"manual",$M560&lt;&gt;1)),
IF(Import.TipoArredondamento&lt;&gt;"TransfereGOV",
ROUND(OFFSET($P560,0,AI$13),15-13*ORÇAMENTO!$AF$7)/$H560*OFFSET(ORÇAMENTO!$X$15,ROW(AI560)-ROW(AI$15),0),
ROUND(ROUND(OFFSET($P560,0,AI$13),15-13*ORÇAMENTO!$AF$7)*OFFSET(ORÇAMENTO!$W$15,ROW(AI560)-ROW(AI$15),0),15-13*ORÇAMENTO!$AF$11)),0)</f>
        <v>0</v>
      </c>
      <c r="AJ560" s="545">
        <f ca="1">IF(AND($D560="Serviço",AJ$12&lt;&gt;0,$H560&gt;0,OR(AUTOEVENTO&lt;&gt;"manual",$M560&lt;&gt;1)),
IF(Import.TipoArredondamento&lt;&gt;"TransfereGOV",
ROUND(OFFSET($P560,0,AJ$13),15-13*ORÇAMENTO!$AF$7)/$H560*OFFSET(ORÇAMENTO!$X$15,ROW(AJ560)-ROW(AJ$15),0),
ROUND(ROUND(OFFSET($P560,0,AJ$13),15-13*ORÇAMENTO!$AF$7)*OFFSET(ORÇAMENTO!$W$15,ROW(AJ560)-ROW(AJ$15),0),15-13*ORÇAMENTO!$AF$11)),0)</f>
        <v>0</v>
      </c>
      <c r="AK560" s="546">
        <f ca="1">IF(AND($D560="Serviço",AK$12&lt;&gt;0,$H560&gt;0,OR(AUTOEVENTO&lt;&gt;"manual",$M560&lt;&gt;1)),
IF(Import.TipoArredondamento&lt;&gt;"TransfereGOV",
ROUND(OFFSET($P560,0,AK$13),15-13*ORÇAMENTO!$AF$7)/$H560*OFFSET(ORÇAMENTO!$X$15,ROW(AK560)-ROW(AK$15),0),
ROUND(ROUND(OFFSET($P560,0,AK$13),15-13*ORÇAMENTO!$AF$7)*OFFSET(ORÇAMENTO!$W$15,ROW(AK560)-ROW(AK$15),0),15-13*ORÇAMENTO!$AF$11)),0)</f>
        <v>0</v>
      </c>
      <c r="AM560" s="181">
        <f ca="1">IF($D560&lt;&gt;"Serviço",0,IF(AND(AUTOEVENTO="Manual",$M560=1),0,IF(OFFSET(CRONOPLE!$F$14,$M560,AM$13)="",10^12,OFFSET(CRONOPLE!$F$14,$M560,AM$13))))</f>
        <v>1000000000000</v>
      </c>
      <c r="AN560" s="181">
        <f ca="1">IF($D560&lt;&gt;"Serviço",0,IF(AND(AUTOEVENTO="Manual",$M560=1),0,IF(OFFSET(CRONOPLE!$F$14,$M560,AN$13)="",10^12,OFFSET(CRONOPLE!$F$14,$M560,AN$13))))</f>
        <v>1000000000000</v>
      </c>
      <c r="AO560" s="181">
        <f ca="1">IF($D560&lt;&gt;"Serviço",0,IF(AND(AUTOEVENTO="Manual",$M560=1),0,IF(OFFSET(CRONOPLE!$F$14,$M560,AO$13)="",10^12,OFFSET(CRONOPLE!$F$14,$M560,AO$13))))</f>
        <v>1000000000000</v>
      </c>
      <c r="AP560" s="181">
        <f ca="1">IF($D560&lt;&gt;"Serviço",0,IF(AND(AUTOEVENTO="Manual",$M560=1),0,IF(OFFSET(CRONOPLE!$F$14,$M560,AP$13)="",10^12,OFFSET(CRONOPLE!$F$14,$M560,AP$13))))</f>
        <v>1000000000000</v>
      </c>
      <c r="AQ560" s="181">
        <f ca="1">IF($D560&lt;&gt;"Serviço",0,IF(AND(AUTOEVENTO="Manual",$M560=1),0,IF(OFFSET(CRONOPLE!$F$14,$M560,AQ$13)="",10^12,OFFSET(CRONOPLE!$F$14,$M560,AQ$13))))</f>
        <v>1000000000000</v>
      </c>
      <c r="AR560" s="181">
        <f ca="1">IF($D560&lt;&gt;"Serviço",0,IF(AND(AUTOEVENTO="Manual",$M560=1),0,IF(OFFSET(CRONOPLE!$F$14,$M560,AR$13)="",10^12,OFFSET(CRONOPLE!$F$14,$M560,AR$13))))</f>
        <v>1000000000000</v>
      </c>
      <c r="AS560" s="181">
        <f ca="1">IF($D560&lt;&gt;"Serviço",0,IF(AND(AUTOEVENTO="Manual",$M560=1),0,IF(OFFSET(CRONOPLE!$F$14,$M560,AS$13)="",10^12,OFFSET(CRONOPLE!$F$14,$M560,AS$13))))</f>
        <v>1000000000000</v>
      </c>
      <c r="AT560" s="181">
        <f ca="1">IF($D560&lt;&gt;"Serviço",0,IF(AND(AUTOEVENTO="Manual",$M560=1),0,IF(OFFSET(CRONOPLE!$F$14,$M560,AT$13)="",10^12,OFFSET(CRONOPLE!$F$14,$M560,AT$13))))</f>
        <v>1000000000000</v>
      </c>
      <c r="AU560" s="181">
        <f ca="1">IF($D560&lt;&gt;"Serviço",0,IF(AND(AUTOEVENTO="Manual",$M560=1),0,IF(OFFSET(CRONOPLE!$F$14,$M560,AU$13)="",10^12,OFFSET(CRONOPLE!$F$14,$M560,AU$13))))</f>
        <v>1000000000000</v>
      </c>
      <c r="AV560" s="181">
        <f ca="1">IF($D560&lt;&gt;"Serviço",0,IF(AND(AUTOEVENTO="Manual",$M560=1),0,IF(OFFSET(CRONOPLE!$F$14,$M560,AV$13)="",10^12,OFFSET(CRONOPLE!$F$14,$M560,AV$13))))</f>
        <v>1000000000000</v>
      </c>
      <c r="AX560" s="182">
        <f ca="1">IF($D560&lt;&gt;"Serviço",0,IF(OR(AND(AUTOEVENTO="Manual",$M560=1),$M560&gt;(ROW(PLE.lastrow)-ROW(PLE.firstrow))),0,IF(OFFSET(PLE!$G$14,$M560,AX$13)="",10^12,OFFSET(PLE!$G$14,$M560,AX$13))))</f>
        <v>1000000000000</v>
      </c>
      <c r="AY560" s="182">
        <f ca="1">IF($D560&lt;&gt;"Serviço",0,IF(OR(AND(AUTOEVENTO="Manual",$M560=1),$M560&gt;(ROW(PLE.lastrow)-ROW(PLE.firstrow))),0,IF(OFFSET(PLE!$G$14,$M560,AY$13)="",10^12,OFFSET(PLE!$G$14,$M560,AY$13))))</f>
        <v>1000000000000</v>
      </c>
      <c r="AZ560" s="182">
        <f ca="1">IF($D560&lt;&gt;"Serviço",0,IF(OR(AND(AUTOEVENTO="Manual",$M560=1),$M560&gt;(ROW(PLE.lastrow)-ROW(PLE.firstrow))),0,IF(OFFSET(PLE!$G$14,$M560,AZ$13)="",10^12,OFFSET(PLE!$G$14,$M560,AZ$13))))</f>
        <v>1000000000000</v>
      </c>
      <c r="BA560" s="182">
        <f ca="1">IF($D560&lt;&gt;"Serviço",0,IF(OR(AND(AUTOEVENTO="Manual",$M560=1),$M560&gt;(ROW(PLE.lastrow)-ROW(PLE.firstrow))),0,IF(OFFSET(PLE!$G$14,$M560,BA$13)="",10^12,OFFSET(PLE!$G$14,$M560,BA$13))))</f>
        <v>1000000000000</v>
      </c>
      <c r="BB560" s="182">
        <f ca="1">IF($D560&lt;&gt;"Serviço",0,IF(OR(AND(AUTOEVENTO="Manual",$M560=1),$M560&gt;(ROW(PLE.lastrow)-ROW(PLE.firstrow))),0,IF(OFFSET(PLE!$G$14,$M560,BB$13)="",10^12,OFFSET(PLE!$G$14,$M560,BB$13))))</f>
        <v>1000000000000</v>
      </c>
      <c r="BC560" s="182">
        <f ca="1">IF($D560&lt;&gt;"Serviço",0,IF(OR(AND(AUTOEVENTO="Manual",$M560=1),$M560&gt;(ROW(PLE.lastrow)-ROW(PLE.firstrow))),0,IF(OFFSET(PLE!$G$14,$M560,BC$13)="",10^12,OFFSET(PLE!$G$14,$M560,BC$13))))</f>
        <v>1000000000000</v>
      </c>
      <c r="BD560" s="182">
        <f ca="1">IF($D560&lt;&gt;"Serviço",0,IF(OR(AND(AUTOEVENTO="Manual",$M560=1),$M560&gt;(ROW(PLE.lastrow)-ROW(PLE.firstrow))),0,IF(OFFSET(PLE!$G$14,$M560,BD$13)="",10^12,OFFSET(PLE!$G$14,$M560,BD$13))))</f>
        <v>1000000000000</v>
      </c>
      <c r="BE560" s="182">
        <f ca="1">IF($D560&lt;&gt;"Serviço",0,IF(OR(AND(AUTOEVENTO="Manual",$M560=1),$M560&gt;(ROW(PLE.lastrow)-ROW(PLE.firstrow))),0,IF(OFFSET(PLE!$G$14,$M560,BE$13)="",10^12,OFFSET(PLE!$G$14,$M560,BE$13))))</f>
        <v>1000000000000</v>
      </c>
      <c r="BF560" s="182">
        <f ca="1">IF($D560&lt;&gt;"Serviço",0,IF(OR(AND(AUTOEVENTO="Manual",$M560=1),$M560&gt;(ROW(PLE.lastrow)-ROW(PLE.firstrow))),0,IF(OFFSET(PLE!$G$14,$M560,BF$13)="",10^12,OFFSET(PLE!$G$14,$M560,BF$13))))</f>
        <v>1000000000000</v>
      </c>
      <c r="BG560" s="182">
        <f ca="1">IF($D560&lt;&gt;"Serviço",0,IF(OR(AND(AUTOEVENTO="Manual",$M560=1),$M560&gt;(ROW(PLE.lastrow)-ROW(PLE.firstrow))),0,IF(OFFSET(PLE!$G$14,$M560,BG$13)="",10^12,OFFSET(PLE!$G$14,$M560,BG$13))))</f>
        <v>1000000000000</v>
      </c>
    </row>
    <row r="561" spans="1:59" ht="25.5" x14ac:dyDescent="0.2">
      <c r="A561" s="7" t="str">
        <f t="shared" ca="1" si="15"/>
        <v>472</v>
      </c>
      <c r="B561" s="7" t="str">
        <f ca="1">OFFSET(ORÇAMENTO!C$15,ROW(B561)-ROW(B$15),0)</f>
        <v>S</v>
      </c>
      <c r="C561" s="7" t="str">
        <f ca="1">OFFSET(ORÇAMENTO!L$15,ROW(C561)-ROW(C$15),0)</f>
        <v/>
      </c>
      <c r="D561" s="118" t="str">
        <f ca="1">OFFSET(ORÇAMENTO!N$15,ROW(D561)-ROW(D$15),0)</f>
        <v>Serviço</v>
      </c>
      <c r="E561" s="119" t="str">
        <f ca="1">OFFSET(ORÇAMENTO!O$15,ROW(E561)-ROW(E$15),0)</f>
        <v>-</v>
      </c>
      <c r="F561" s="172" t="str">
        <f ca="1">OFFSET(ORÇAMENTO!R$15,ROW(F561)-ROW(F$15),0)</f>
        <v>(abra o arquivo 'Referência 02-2025.xlsm)</v>
      </c>
      <c r="G561" s="173" t="str">
        <f ca="1">IF($D561&lt;&gt;"Serviço","",OFFSET(ORÇAMENTO!S$15,ROW(G561)-ROW(G$15),0))</f>
        <v>-</v>
      </c>
      <c r="H561" s="124">
        <f ca="1">IF($D561&lt;&gt;"Serviço",0,IF(ACOMPANHAMENTO="BM",ROUND(OFFSET(ORÇAMENTO!AJ$15,ROW(H561)-ROW(H$15),0),15-13*ORÇAMENTO!$AF$7),SUMPRODUCT(($Q$12:$AA$12&lt;&gt;"")*ROUND($Q561:$AA561,15-13*ORÇAMENTO!$AF$7))))</f>
        <v>2</v>
      </c>
      <c r="I561" s="561" t="s">
        <v>890</v>
      </c>
      <c r="K561" s="174"/>
      <c r="L561" s="175" t="s">
        <v>255</v>
      </c>
      <c r="M561" s="176">
        <f ca="1">IF($D561&lt;&gt;"Serviço","",IF(AUTOEVENTO="manual",$A561,IF(ISERROR(MATCH($A561,$A$15:OFFSET($A561,-1,0),0)),MAX($M$15:OFFSET(M561,-1,0))+1,INDEX($M$15:OFFSET(M561,-1,0),MATCH($A561,$A$15:OFFSET($A561,-1,0),0)))))</f>
        <v>18</v>
      </c>
      <c r="N561" s="177" t="str">
        <f ca="1">IF($D561&lt;&gt;"Serviço","",IF(AUTOEVENTO="Manual",IF($A561=0,"&lt;-- defina o número do agrupador",OFFSET(EVENTOS!$D$14,$A561,0)),OFFSET($F$15,$A561,0)))</f>
        <v>INSTALAÇÕES ELÉTRICAS - 220V</v>
      </c>
      <c r="O561" s="178"/>
      <c r="Q561" s="178"/>
      <c r="R561" s="179"/>
      <c r="S561" s="179"/>
      <c r="T561" s="179"/>
      <c r="U561" s="179"/>
      <c r="V561" s="179"/>
      <c r="W561" s="179"/>
      <c r="X561" s="179"/>
      <c r="Y561" s="179"/>
      <c r="Z561" s="180"/>
      <c r="AB561" s="544">
        <f ca="1">IF(AND($D561="Serviço",AB$12&lt;&gt;0,$H561&gt;0,OR(AUTOEVENTO&lt;&gt;"manual",$M561&lt;&gt;1)),
IF(Import.TipoArredondamento&lt;&gt;"TransfereGOV",
ROUND(OFFSET($P561,0,AB$13),15-13*ORÇAMENTO!$AF$7)/$H561*OFFSET(ORÇAMENTO!$X$15,ROW(AB561)-ROW(AB$15),0),
ROUND(ROUND(OFFSET($P561,0,AB$13),15-13*ORÇAMENTO!$AF$7)*OFFSET(ORÇAMENTO!$W$15,ROW(AB561)-ROW(AB$15),0),15-13*ORÇAMENTO!$AF$11)),0)</f>
        <v>0</v>
      </c>
      <c r="AC561" s="545">
        <f ca="1">IF(AND($D561="Serviço",AC$12&lt;&gt;0,$H561&gt;0,OR(AUTOEVENTO&lt;&gt;"manual",$M561&lt;&gt;1)),
IF(Import.TipoArredondamento&lt;&gt;"TransfereGOV",
ROUND(OFFSET($P561,0,AC$13),15-13*ORÇAMENTO!$AF$7)/$H561*OFFSET(ORÇAMENTO!$X$15,ROW(AC561)-ROW(AC$15),0),
ROUND(ROUND(OFFSET($P561,0,AC$13),15-13*ORÇAMENTO!$AF$7)*OFFSET(ORÇAMENTO!$W$15,ROW(AC561)-ROW(AC$15),0),15-13*ORÇAMENTO!$AF$11)),0)</f>
        <v>0</v>
      </c>
      <c r="AD561" s="545">
        <f ca="1">IF(AND($D561="Serviço",AD$12&lt;&gt;0,$H561&gt;0,OR(AUTOEVENTO&lt;&gt;"manual",$M561&lt;&gt;1)),
IF(Import.TipoArredondamento&lt;&gt;"TransfereGOV",
ROUND(OFFSET($P561,0,AD$13),15-13*ORÇAMENTO!$AF$7)/$H561*OFFSET(ORÇAMENTO!$X$15,ROW(AD561)-ROW(AD$15),0),
ROUND(ROUND(OFFSET($P561,0,AD$13),15-13*ORÇAMENTO!$AF$7)*OFFSET(ORÇAMENTO!$W$15,ROW(AD561)-ROW(AD$15),0),15-13*ORÇAMENTO!$AF$11)),0)</f>
        <v>0</v>
      </c>
      <c r="AE561" s="545">
        <f ca="1">IF(AND($D561="Serviço",AE$12&lt;&gt;0,$H561&gt;0,OR(AUTOEVENTO&lt;&gt;"manual",$M561&lt;&gt;1)),
IF(Import.TipoArredondamento&lt;&gt;"TransfereGOV",
ROUND(OFFSET($P561,0,AE$13),15-13*ORÇAMENTO!$AF$7)/$H561*OFFSET(ORÇAMENTO!$X$15,ROW(AE561)-ROW(AE$15),0),
ROUND(ROUND(OFFSET($P561,0,AE$13),15-13*ORÇAMENTO!$AF$7)*OFFSET(ORÇAMENTO!$W$15,ROW(AE561)-ROW(AE$15),0),15-13*ORÇAMENTO!$AF$11)),0)</f>
        <v>0</v>
      </c>
      <c r="AF561" s="545">
        <f ca="1">IF(AND($D561="Serviço",AF$12&lt;&gt;0,$H561&gt;0,OR(AUTOEVENTO&lt;&gt;"manual",$M561&lt;&gt;1)),
IF(Import.TipoArredondamento&lt;&gt;"TransfereGOV",
ROUND(OFFSET($P561,0,AF$13),15-13*ORÇAMENTO!$AF$7)/$H561*OFFSET(ORÇAMENTO!$X$15,ROW(AF561)-ROW(AF$15),0),
ROUND(ROUND(OFFSET($P561,0,AF$13),15-13*ORÇAMENTO!$AF$7)*OFFSET(ORÇAMENTO!$W$15,ROW(AF561)-ROW(AF$15),0),15-13*ORÇAMENTO!$AF$11)),0)</f>
        <v>0</v>
      </c>
      <c r="AG561" s="545">
        <f ca="1">IF(AND($D561="Serviço",AG$12&lt;&gt;0,$H561&gt;0,OR(AUTOEVENTO&lt;&gt;"manual",$M561&lt;&gt;1)),
IF(Import.TipoArredondamento&lt;&gt;"TransfereGOV",
ROUND(OFFSET($P561,0,AG$13),15-13*ORÇAMENTO!$AF$7)/$H561*OFFSET(ORÇAMENTO!$X$15,ROW(AG561)-ROW(AG$15),0),
ROUND(ROUND(OFFSET($P561,0,AG$13),15-13*ORÇAMENTO!$AF$7)*OFFSET(ORÇAMENTO!$W$15,ROW(AG561)-ROW(AG$15),0),15-13*ORÇAMENTO!$AF$11)),0)</f>
        <v>0</v>
      </c>
      <c r="AH561" s="545">
        <f ca="1">IF(AND($D561="Serviço",AH$12&lt;&gt;0,$H561&gt;0,OR(AUTOEVENTO&lt;&gt;"manual",$M561&lt;&gt;1)),
IF(Import.TipoArredondamento&lt;&gt;"TransfereGOV",
ROUND(OFFSET($P561,0,AH$13),15-13*ORÇAMENTO!$AF$7)/$H561*OFFSET(ORÇAMENTO!$X$15,ROW(AH561)-ROW(AH$15),0),
ROUND(ROUND(OFFSET($P561,0,AH$13),15-13*ORÇAMENTO!$AF$7)*OFFSET(ORÇAMENTO!$W$15,ROW(AH561)-ROW(AH$15),0),15-13*ORÇAMENTO!$AF$11)),0)</f>
        <v>0</v>
      </c>
      <c r="AI561" s="545">
        <f ca="1">IF(AND($D561="Serviço",AI$12&lt;&gt;0,$H561&gt;0,OR(AUTOEVENTO&lt;&gt;"manual",$M561&lt;&gt;1)),
IF(Import.TipoArredondamento&lt;&gt;"TransfereGOV",
ROUND(OFFSET($P561,0,AI$13),15-13*ORÇAMENTO!$AF$7)/$H561*OFFSET(ORÇAMENTO!$X$15,ROW(AI561)-ROW(AI$15),0),
ROUND(ROUND(OFFSET($P561,0,AI$13),15-13*ORÇAMENTO!$AF$7)*OFFSET(ORÇAMENTO!$W$15,ROW(AI561)-ROW(AI$15),0),15-13*ORÇAMENTO!$AF$11)),0)</f>
        <v>0</v>
      </c>
      <c r="AJ561" s="545">
        <f ca="1">IF(AND($D561="Serviço",AJ$12&lt;&gt;0,$H561&gt;0,OR(AUTOEVENTO&lt;&gt;"manual",$M561&lt;&gt;1)),
IF(Import.TipoArredondamento&lt;&gt;"TransfereGOV",
ROUND(OFFSET($P561,0,AJ$13),15-13*ORÇAMENTO!$AF$7)/$H561*OFFSET(ORÇAMENTO!$X$15,ROW(AJ561)-ROW(AJ$15),0),
ROUND(ROUND(OFFSET($P561,0,AJ$13),15-13*ORÇAMENTO!$AF$7)*OFFSET(ORÇAMENTO!$W$15,ROW(AJ561)-ROW(AJ$15),0),15-13*ORÇAMENTO!$AF$11)),0)</f>
        <v>0</v>
      </c>
      <c r="AK561" s="546">
        <f ca="1">IF(AND($D561="Serviço",AK$12&lt;&gt;0,$H561&gt;0,OR(AUTOEVENTO&lt;&gt;"manual",$M561&lt;&gt;1)),
IF(Import.TipoArredondamento&lt;&gt;"TransfereGOV",
ROUND(OFFSET($P561,0,AK$13),15-13*ORÇAMENTO!$AF$7)/$H561*OFFSET(ORÇAMENTO!$X$15,ROW(AK561)-ROW(AK$15),0),
ROUND(ROUND(OFFSET($P561,0,AK$13),15-13*ORÇAMENTO!$AF$7)*OFFSET(ORÇAMENTO!$W$15,ROW(AK561)-ROW(AK$15),0),15-13*ORÇAMENTO!$AF$11)),0)</f>
        <v>0</v>
      </c>
      <c r="AM561" s="181">
        <f ca="1">IF($D561&lt;&gt;"Serviço",0,IF(AND(AUTOEVENTO="Manual",$M561=1),0,IF(OFFSET(CRONOPLE!$F$14,$M561,AM$13)="",10^12,OFFSET(CRONOPLE!$F$14,$M561,AM$13))))</f>
        <v>1000000000000</v>
      </c>
      <c r="AN561" s="181">
        <f ca="1">IF($D561&lt;&gt;"Serviço",0,IF(AND(AUTOEVENTO="Manual",$M561=1),0,IF(OFFSET(CRONOPLE!$F$14,$M561,AN$13)="",10^12,OFFSET(CRONOPLE!$F$14,$M561,AN$13))))</f>
        <v>1000000000000</v>
      </c>
      <c r="AO561" s="181">
        <f ca="1">IF($D561&lt;&gt;"Serviço",0,IF(AND(AUTOEVENTO="Manual",$M561=1),0,IF(OFFSET(CRONOPLE!$F$14,$M561,AO$13)="",10^12,OFFSET(CRONOPLE!$F$14,$M561,AO$13))))</f>
        <v>1000000000000</v>
      </c>
      <c r="AP561" s="181">
        <f ca="1">IF($D561&lt;&gt;"Serviço",0,IF(AND(AUTOEVENTO="Manual",$M561=1),0,IF(OFFSET(CRONOPLE!$F$14,$M561,AP$13)="",10^12,OFFSET(CRONOPLE!$F$14,$M561,AP$13))))</f>
        <v>1000000000000</v>
      </c>
      <c r="AQ561" s="181">
        <f ca="1">IF($D561&lt;&gt;"Serviço",0,IF(AND(AUTOEVENTO="Manual",$M561=1),0,IF(OFFSET(CRONOPLE!$F$14,$M561,AQ$13)="",10^12,OFFSET(CRONOPLE!$F$14,$M561,AQ$13))))</f>
        <v>1000000000000</v>
      </c>
      <c r="AR561" s="181">
        <f ca="1">IF($D561&lt;&gt;"Serviço",0,IF(AND(AUTOEVENTO="Manual",$M561=1),0,IF(OFFSET(CRONOPLE!$F$14,$M561,AR$13)="",10^12,OFFSET(CRONOPLE!$F$14,$M561,AR$13))))</f>
        <v>1000000000000</v>
      </c>
      <c r="AS561" s="181">
        <f ca="1">IF($D561&lt;&gt;"Serviço",0,IF(AND(AUTOEVENTO="Manual",$M561=1),0,IF(OFFSET(CRONOPLE!$F$14,$M561,AS$13)="",10^12,OFFSET(CRONOPLE!$F$14,$M561,AS$13))))</f>
        <v>1000000000000</v>
      </c>
      <c r="AT561" s="181">
        <f ca="1">IF($D561&lt;&gt;"Serviço",0,IF(AND(AUTOEVENTO="Manual",$M561=1),0,IF(OFFSET(CRONOPLE!$F$14,$M561,AT$13)="",10^12,OFFSET(CRONOPLE!$F$14,$M561,AT$13))))</f>
        <v>1000000000000</v>
      </c>
      <c r="AU561" s="181">
        <f ca="1">IF($D561&lt;&gt;"Serviço",0,IF(AND(AUTOEVENTO="Manual",$M561=1),0,IF(OFFSET(CRONOPLE!$F$14,$M561,AU$13)="",10^12,OFFSET(CRONOPLE!$F$14,$M561,AU$13))))</f>
        <v>1000000000000</v>
      </c>
      <c r="AV561" s="181">
        <f ca="1">IF($D561&lt;&gt;"Serviço",0,IF(AND(AUTOEVENTO="Manual",$M561=1),0,IF(OFFSET(CRONOPLE!$F$14,$M561,AV$13)="",10^12,OFFSET(CRONOPLE!$F$14,$M561,AV$13))))</f>
        <v>1000000000000</v>
      </c>
      <c r="AX561" s="182">
        <f ca="1">IF($D561&lt;&gt;"Serviço",0,IF(OR(AND(AUTOEVENTO="Manual",$M561=1),$M561&gt;(ROW(PLE.lastrow)-ROW(PLE.firstrow))),0,IF(OFFSET(PLE!$G$14,$M561,AX$13)="",10^12,OFFSET(PLE!$G$14,$M561,AX$13))))</f>
        <v>1000000000000</v>
      </c>
      <c r="AY561" s="182">
        <f ca="1">IF($D561&lt;&gt;"Serviço",0,IF(OR(AND(AUTOEVENTO="Manual",$M561=1),$M561&gt;(ROW(PLE.lastrow)-ROW(PLE.firstrow))),0,IF(OFFSET(PLE!$G$14,$M561,AY$13)="",10^12,OFFSET(PLE!$G$14,$M561,AY$13))))</f>
        <v>1000000000000</v>
      </c>
      <c r="AZ561" s="182">
        <f ca="1">IF($D561&lt;&gt;"Serviço",0,IF(OR(AND(AUTOEVENTO="Manual",$M561=1),$M561&gt;(ROW(PLE.lastrow)-ROW(PLE.firstrow))),0,IF(OFFSET(PLE!$G$14,$M561,AZ$13)="",10^12,OFFSET(PLE!$G$14,$M561,AZ$13))))</f>
        <v>1000000000000</v>
      </c>
      <c r="BA561" s="182">
        <f ca="1">IF($D561&lt;&gt;"Serviço",0,IF(OR(AND(AUTOEVENTO="Manual",$M561=1),$M561&gt;(ROW(PLE.lastrow)-ROW(PLE.firstrow))),0,IF(OFFSET(PLE!$G$14,$M561,BA$13)="",10^12,OFFSET(PLE!$G$14,$M561,BA$13))))</f>
        <v>1000000000000</v>
      </c>
      <c r="BB561" s="182">
        <f ca="1">IF($D561&lt;&gt;"Serviço",0,IF(OR(AND(AUTOEVENTO="Manual",$M561=1),$M561&gt;(ROW(PLE.lastrow)-ROW(PLE.firstrow))),0,IF(OFFSET(PLE!$G$14,$M561,BB$13)="",10^12,OFFSET(PLE!$G$14,$M561,BB$13))))</f>
        <v>1000000000000</v>
      </c>
      <c r="BC561" s="182">
        <f ca="1">IF($D561&lt;&gt;"Serviço",0,IF(OR(AND(AUTOEVENTO="Manual",$M561=1),$M561&gt;(ROW(PLE.lastrow)-ROW(PLE.firstrow))),0,IF(OFFSET(PLE!$G$14,$M561,BC$13)="",10^12,OFFSET(PLE!$G$14,$M561,BC$13))))</f>
        <v>1000000000000</v>
      </c>
      <c r="BD561" s="182">
        <f ca="1">IF($D561&lt;&gt;"Serviço",0,IF(OR(AND(AUTOEVENTO="Manual",$M561=1),$M561&gt;(ROW(PLE.lastrow)-ROW(PLE.firstrow))),0,IF(OFFSET(PLE!$G$14,$M561,BD$13)="",10^12,OFFSET(PLE!$G$14,$M561,BD$13))))</f>
        <v>1000000000000</v>
      </c>
      <c r="BE561" s="182">
        <f ca="1">IF($D561&lt;&gt;"Serviço",0,IF(OR(AND(AUTOEVENTO="Manual",$M561=1),$M561&gt;(ROW(PLE.lastrow)-ROW(PLE.firstrow))),0,IF(OFFSET(PLE!$G$14,$M561,BE$13)="",10^12,OFFSET(PLE!$G$14,$M561,BE$13))))</f>
        <v>1000000000000</v>
      </c>
      <c r="BF561" s="182">
        <f ca="1">IF($D561&lt;&gt;"Serviço",0,IF(OR(AND(AUTOEVENTO="Manual",$M561=1),$M561&gt;(ROW(PLE.lastrow)-ROW(PLE.firstrow))),0,IF(OFFSET(PLE!$G$14,$M561,BF$13)="",10^12,OFFSET(PLE!$G$14,$M561,BF$13))))</f>
        <v>1000000000000</v>
      </c>
      <c r="BG561" s="182">
        <f ca="1">IF($D561&lt;&gt;"Serviço",0,IF(OR(AND(AUTOEVENTO="Manual",$M561=1),$M561&gt;(ROW(PLE.lastrow)-ROW(PLE.firstrow))),0,IF(OFFSET(PLE!$G$14,$M561,BG$13)="",10^12,OFFSET(PLE!$G$14,$M561,BG$13))))</f>
        <v>1000000000000</v>
      </c>
    </row>
    <row r="562" spans="1:59" ht="25.5" x14ac:dyDescent="0.2">
      <c r="A562" s="7" t="str">
        <f t="shared" ca="1" si="15"/>
        <v>472</v>
      </c>
      <c r="B562" s="7" t="str">
        <f ca="1">OFFSET(ORÇAMENTO!C$15,ROW(B562)-ROW(B$15),0)</f>
        <v>S</v>
      </c>
      <c r="C562" s="7" t="str">
        <f ca="1">OFFSET(ORÇAMENTO!L$15,ROW(C562)-ROW(C$15),0)</f>
        <v/>
      </c>
      <c r="D562" s="118" t="str">
        <f ca="1">OFFSET(ORÇAMENTO!N$15,ROW(D562)-ROW(D$15),0)</f>
        <v>Serviço</v>
      </c>
      <c r="E562" s="119" t="str">
        <f ca="1">OFFSET(ORÇAMENTO!O$15,ROW(E562)-ROW(E$15),0)</f>
        <v>-</v>
      </c>
      <c r="F562" s="172" t="str">
        <f ca="1">OFFSET(ORÇAMENTO!R$15,ROW(F562)-ROW(F$15),0)</f>
        <v>(abra o arquivo 'Referência 02-2025.xlsm)</v>
      </c>
      <c r="G562" s="173" t="str">
        <f ca="1">IF($D562&lt;&gt;"Serviço","",OFFSET(ORÇAMENTO!S$15,ROW(G562)-ROW(G$15),0))</f>
        <v>-</v>
      </c>
      <c r="H562" s="124">
        <f ca="1">IF($D562&lt;&gt;"Serviço",0,IF(ACOMPANHAMENTO="BM",ROUND(OFFSET(ORÇAMENTO!AJ$15,ROW(H562)-ROW(H$15),0),15-13*ORÇAMENTO!$AF$7),SUMPRODUCT(($Q$12:$AA$12&lt;&gt;"")*ROUND($Q562:$AA562,15-13*ORÇAMENTO!$AF$7))))</f>
        <v>3</v>
      </c>
      <c r="I562" s="561" t="s">
        <v>890</v>
      </c>
      <c r="K562" s="174"/>
      <c r="L562" s="175" t="s">
        <v>255</v>
      </c>
      <c r="M562" s="176">
        <f ca="1">IF($D562&lt;&gt;"Serviço","",IF(AUTOEVENTO="manual",$A562,IF(ISERROR(MATCH($A562,$A$15:OFFSET($A562,-1,0),0)),MAX($M$15:OFFSET(M562,-1,0))+1,INDEX($M$15:OFFSET(M562,-1,0),MATCH($A562,$A$15:OFFSET($A562,-1,0),0)))))</f>
        <v>18</v>
      </c>
      <c r="N562" s="177" t="str">
        <f ca="1">IF($D562&lt;&gt;"Serviço","",IF(AUTOEVENTO="Manual",IF($A562=0,"&lt;-- defina o número do agrupador",OFFSET(EVENTOS!$D$14,$A562,0)),OFFSET($F$15,$A562,0)))</f>
        <v>INSTALAÇÕES ELÉTRICAS - 220V</v>
      </c>
      <c r="O562" s="178"/>
      <c r="Q562" s="178"/>
      <c r="R562" s="179"/>
      <c r="S562" s="179"/>
      <c r="T562" s="179"/>
      <c r="U562" s="179"/>
      <c r="V562" s="179"/>
      <c r="W562" s="179"/>
      <c r="X562" s="179"/>
      <c r="Y562" s="179"/>
      <c r="Z562" s="180"/>
      <c r="AB562" s="544">
        <f ca="1">IF(AND($D562="Serviço",AB$12&lt;&gt;0,$H562&gt;0,OR(AUTOEVENTO&lt;&gt;"manual",$M562&lt;&gt;1)),
IF(Import.TipoArredondamento&lt;&gt;"TransfereGOV",
ROUND(OFFSET($P562,0,AB$13),15-13*ORÇAMENTO!$AF$7)/$H562*OFFSET(ORÇAMENTO!$X$15,ROW(AB562)-ROW(AB$15),0),
ROUND(ROUND(OFFSET($P562,0,AB$13),15-13*ORÇAMENTO!$AF$7)*OFFSET(ORÇAMENTO!$W$15,ROW(AB562)-ROW(AB$15),0),15-13*ORÇAMENTO!$AF$11)),0)</f>
        <v>0</v>
      </c>
      <c r="AC562" s="545">
        <f ca="1">IF(AND($D562="Serviço",AC$12&lt;&gt;0,$H562&gt;0,OR(AUTOEVENTO&lt;&gt;"manual",$M562&lt;&gt;1)),
IF(Import.TipoArredondamento&lt;&gt;"TransfereGOV",
ROUND(OFFSET($P562,0,AC$13),15-13*ORÇAMENTO!$AF$7)/$H562*OFFSET(ORÇAMENTO!$X$15,ROW(AC562)-ROW(AC$15),0),
ROUND(ROUND(OFFSET($P562,0,AC$13),15-13*ORÇAMENTO!$AF$7)*OFFSET(ORÇAMENTO!$W$15,ROW(AC562)-ROW(AC$15),0),15-13*ORÇAMENTO!$AF$11)),0)</f>
        <v>0</v>
      </c>
      <c r="AD562" s="545">
        <f ca="1">IF(AND($D562="Serviço",AD$12&lt;&gt;0,$H562&gt;0,OR(AUTOEVENTO&lt;&gt;"manual",$M562&lt;&gt;1)),
IF(Import.TipoArredondamento&lt;&gt;"TransfereGOV",
ROUND(OFFSET($P562,0,AD$13),15-13*ORÇAMENTO!$AF$7)/$H562*OFFSET(ORÇAMENTO!$X$15,ROW(AD562)-ROW(AD$15),0),
ROUND(ROUND(OFFSET($P562,0,AD$13),15-13*ORÇAMENTO!$AF$7)*OFFSET(ORÇAMENTO!$W$15,ROW(AD562)-ROW(AD$15),0),15-13*ORÇAMENTO!$AF$11)),0)</f>
        <v>0</v>
      </c>
      <c r="AE562" s="545">
        <f ca="1">IF(AND($D562="Serviço",AE$12&lt;&gt;0,$H562&gt;0,OR(AUTOEVENTO&lt;&gt;"manual",$M562&lt;&gt;1)),
IF(Import.TipoArredondamento&lt;&gt;"TransfereGOV",
ROUND(OFFSET($P562,0,AE$13),15-13*ORÇAMENTO!$AF$7)/$H562*OFFSET(ORÇAMENTO!$X$15,ROW(AE562)-ROW(AE$15),0),
ROUND(ROUND(OFFSET($P562,0,AE$13),15-13*ORÇAMENTO!$AF$7)*OFFSET(ORÇAMENTO!$W$15,ROW(AE562)-ROW(AE$15),0),15-13*ORÇAMENTO!$AF$11)),0)</f>
        <v>0</v>
      </c>
      <c r="AF562" s="545">
        <f ca="1">IF(AND($D562="Serviço",AF$12&lt;&gt;0,$H562&gt;0,OR(AUTOEVENTO&lt;&gt;"manual",$M562&lt;&gt;1)),
IF(Import.TipoArredondamento&lt;&gt;"TransfereGOV",
ROUND(OFFSET($P562,0,AF$13),15-13*ORÇAMENTO!$AF$7)/$H562*OFFSET(ORÇAMENTO!$X$15,ROW(AF562)-ROW(AF$15),0),
ROUND(ROUND(OFFSET($P562,0,AF$13),15-13*ORÇAMENTO!$AF$7)*OFFSET(ORÇAMENTO!$W$15,ROW(AF562)-ROW(AF$15),0),15-13*ORÇAMENTO!$AF$11)),0)</f>
        <v>0</v>
      </c>
      <c r="AG562" s="545">
        <f ca="1">IF(AND($D562="Serviço",AG$12&lt;&gt;0,$H562&gt;0,OR(AUTOEVENTO&lt;&gt;"manual",$M562&lt;&gt;1)),
IF(Import.TipoArredondamento&lt;&gt;"TransfereGOV",
ROUND(OFFSET($P562,0,AG$13),15-13*ORÇAMENTO!$AF$7)/$H562*OFFSET(ORÇAMENTO!$X$15,ROW(AG562)-ROW(AG$15),0),
ROUND(ROUND(OFFSET($P562,0,AG$13),15-13*ORÇAMENTO!$AF$7)*OFFSET(ORÇAMENTO!$W$15,ROW(AG562)-ROW(AG$15),0),15-13*ORÇAMENTO!$AF$11)),0)</f>
        <v>0</v>
      </c>
      <c r="AH562" s="545">
        <f ca="1">IF(AND($D562="Serviço",AH$12&lt;&gt;0,$H562&gt;0,OR(AUTOEVENTO&lt;&gt;"manual",$M562&lt;&gt;1)),
IF(Import.TipoArredondamento&lt;&gt;"TransfereGOV",
ROUND(OFFSET($P562,0,AH$13),15-13*ORÇAMENTO!$AF$7)/$H562*OFFSET(ORÇAMENTO!$X$15,ROW(AH562)-ROW(AH$15),0),
ROUND(ROUND(OFFSET($P562,0,AH$13),15-13*ORÇAMENTO!$AF$7)*OFFSET(ORÇAMENTO!$W$15,ROW(AH562)-ROW(AH$15),0),15-13*ORÇAMENTO!$AF$11)),0)</f>
        <v>0</v>
      </c>
      <c r="AI562" s="545">
        <f ca="1">IF(AND($D562="Serviço",AI$12&lt;&gt;0,$H562&gt;0,OR(AUTOEVENTO&lt;&gt;"manual",$M562&lt;&gt;1)),
IF(Import.TipoArredondamento&lt;&gt;"TransfereGOV",
ROUND(OFFSET($P562,0,AI$13),15-13*ORÇAMENTO!$AF$7)/$H562*OFFSET(ORÇAMENTO!$X$15,ROW(AI562)-ROW(AI$15),0),
ROUND(ROUND(OFFSET($P562,0,AI$13),15-13*ORÇAMENTO!$AF$7)*OFFSET(ORÇAMENTO!$W$15,ROW(AI562)-ROW(AI$15),0),15-13*ORÇAMENTO!$AF$11)),0)</f>
        <v>0</v>
      </c>
      <c r="AJ562" s="545">
        <f ca="1">IF(AND($D562="Serviço",AJ$12&lt;&gt;0,$H562&gt;0,OR(AUTOEVENTO&lt;&gt;"manual",$M562&lt;&gt;1)),
IF(Import.TipoArredondamento&lt;&gt;"TransfereGOV",
ROUND(OFFSET($P562,0,AJ$13),15-13*ORÇAMENTO!$AF$7)/$H562*OFFSET(ORÇAMENTO!$X$15,ROW(AJ562)-ROW(AJ$15),0),
ROUND(ROUND(OFFSET($P562,0,AJ$13),15-13*ORÇAMENTO!$AF$7)*OFFSET(ORÇAMENTO!$W$15,ROW(AJ562)-ROW(AJ$15),0),15-13*ORÇAMENTO!$AF$11)),0)</f>
        <v>0</v>
      </c>
      <c r="AK562" s="546">
        <f ca="1">IF(AND($D562="Serviço",AK$12&lt;&gt;0,$H562&gt;0,OR(AUTOEVENTO&lt;&gt;"manual",$M562&lt;&gt;1)),
IF(Import.TipoArredondamento&lt;&gt;"TransfereGOV",
ROUND(OFFSET($P562,0,AK$13),15-13*ORÇAMENTO!$AF$7)/$H562*OFFSET(ORÇAMENTO!$X$15,ROW(AK562)-ROW(AK$15),0),
ROUND(ROUND(OFFSET($P562,0,AK$13),15-13*ORÇAMENTO!$AF$7)*OFFSET(ORÇAMENTO!$W$15,ROW(AK562)-ROW(AK$15),0),15-13*ORÇAMENTO!$AF$11)),0)</f>
        <v>0</v>
      </c>
      <c r="AM562" s="181">
        <f ca="1">IF($D562&lt;&gt;"Serviço",0,IF(AND(AUTOEVENTO="Manual",$M562=1),0,IF(OFFSET(CRONOPLE!$F$14,$M562,AM$13)="",10^12,OFFSET(CRONOPLE!$F$14,$M562,AM$13))))</f>
        <v>1000000000000</v>
      </c>
      <c r="AN562" s="181">
        <f ca="1">IF($D562&lt;&gt;"Serviço",0,IF(AND(AUTOEVENTO="Manual",$M562=1),0,IF(OFFSET(CRONOPLE!$F$14,$M562,AN$13)="",10^12,OFFSET(CRONOPLE!$F$14,$M562,AN$13))))</f>
        <v>1000000000000</v>
      </c>
      <c r="AO562" s="181">
        <f ca="1">IF($D562&lt;&gt;"Serviço",0,IF(AND(AUTOEVENTO="Manual",$M562=1),0,IF(OFFSET(CRONOPLE!$F$14,$M562,AO$13)="",10^12,OFFSET(CRONOPLE!$F$14,$M562,AO$13))))</f>
        <v>1000000000000</v>
      </c>
      <c r="AP562" s="181">
        <f ca="1">IF($D562&lt;&gt;"Serviço",0,IF(AND(AUTOEVENTO="Manual",$M562=1),0,IF(OFFSET(CRONOPLE!$F$14,$M562,AP$13)="",10^12,OFFSET(CRONOPLE!$F$14,$M562,AP$13))))</f>
        <v>1000000000000</v>
      </c>
      <c r="AQ562" s="181">
        <f ca="1">IF($D562&lt;&gt;"Serviço",0,IF(AND(AUTOEVENTO="Manual",$M562=1),0,IF(OFFSET(CRONOPLE!$F$14,$M562,AQ$13)="",10^12,OFFSET(CRONOPLE!$F$14,$M562,AQ$13))))</f>
        <v>1000000000000</v>
      </c>
      <c r="AR562" s="181">
        <f ca="1">IF($D562&lt;&gt;"Serviço",0,IF(AND(AUTOEVENTO="Manual",$M562=1),0,IF(OFFSET(CRONOPLE!$F$14,$M562,AR$13)="",10^12,OFFSET(CRONOPLE!$F$14,$M562,AR$13))))</f>
        <v>1000000000000</v>
      </c>
      <c r="AS562" s="181">
        <f ca="1">IF($D562&lt;&gt;"Serviço",0,IF(AND(AUTOEVENTO="Manual",$M562=1),0,IF(OFFSET(CRONOPLE!$F$14,$M562,AS$13)="",10^12,OFFSET(CRONOPLE!$F$14,$M562,AS$13))))</f>
        <v>1000000000000</v>
      </c>
      <c r="AT562" s="181">
        <f ca="1">IF($D562&lt;&gt;"Serviço",0,IF(AND(AUTOEVENTO="Manual",$M562=1),0,IF(OFFSET(CRONOPLE!$F$14,$M562,AT$13)="",10^12,OFFSET(CRONOPLE!$F$14,$M562,AT$13))))</f>
        <v>1000000000000</v>
      </c>
      <c r="AU562" s="181">
        <f ca="1">IF($D562&lt;&gt;"Serviço",0,IF(AND(AUTOEVENTO="Manual",$M562=1),0,IF(OFFSET(CRONOPLE!$F$14,$M562,AU$13)="",10^12,OFFSET(CRONOPLE!$F$14,$M562,AU$13))))</f>
        <v>1000000000000</v>
      </c>
      <c r="AV562" s="181">
        <f ca="1">IF($D562&lt;&gt;"Serviço",0,IF(AND(AUTOEVENTO="Manual",$M562=1),0,IF(OFFSET(CRONOPLE!$F$14,$M562,AV$13)="",10^12,OFFSET(CRONOPLE!$F$14,$M562,AV$13))))</f>
        <v>1000000000000</v>
      </c>
      <c r="AX562" s="182">
        <f ca="1">IF($D562&lt;&gt;"Serviço",0,IF(OR(AND(AUTOEVENTO="Manual",$M562=1),$M562&gt;(ROW(PLE.lastrow)-ROW(PLE.firstrow))),0,IF(OFFSET(PLE!$G$14,$M562,AX$13)="",10^12,OFFSET(PLE!$G$14,$M562,AX$13))))</f>
        <v>1000000000000</v>
      </c>
      <c r="AY562" s="182">
        <f ca="1">IF($D562&lt;&gt;"Serviço",0,IF(OR(AND(AUTOEVENTO="Manual",$M562=1),$M562&gt;(ROW(PLE.lastrow)-ROW(PLE.firstrow))),0,IF(OFFSET(PLE!$G$14,$M562,AY$13)="",10^12,OFFSET(PLE!$G$14,$M562,AY$13))))</f>
        <v>1000000000000</v>
      </c>
      <c r="AZ562" s="182">
        <f ca="1">IF($D562&lt;&gt;"Serviço",0,IF(OR(AND(AUTOEVENTO="Manual",$M562=1),$M562&gt;(ROW(PLE.lastrow)-ROW(PLE.firstrow))),0,IF(OFFSET(PLE!$G$14,$M562,AZ$13)="",10^12,OFFSET(PLE!$G$14,$M562,AZ$13))))</f>
        <v>1000000000000</v>
      </c>
      <c r="BA562" s="182">
        <f ca="1">IF($D562&lt;&gt;"Serviço",0,IF(OR(AND(AUTOEVENTO="Manual",$M562=1),$M562&gt;(ROW(PLE.lastrow)-ROW(PLE.firstrow))),0,IF(OFFSET(PLE!$G$14,$M562,BA$13)="",10^12,OFFSET(PLE!$G$14,$M562,BA$13))))</f>
        <v>1000000000000</v>
      </c>
      <c r="BB562" s="182">
        <f ca="1">IF($D562&lt;&gt;"Serviço",0,IF(OR(AND(AUTOEVENTO="Manual",$M562=1),$M562&gt;(ROW(PLE.lastrow)-ROW(PLE.firstrow))),0,IF(OFFSET(PLE!$G$14,$M562,BB$13)="",10^12,OFFSET(PLE!$G$14,$M562,BB$13))))</f>
        <v>1000000000000</v>
      </c>
      <c r="BC562" s="182">
        <f ca="1">IF($D562&lt;&gt;"Serviço",0,IF(OR(AND(AUTOEVENTO="Manual",$M562=1),$M562&gt;(ROW(PLE.lastrow)-ROW(PLE.firstrow))),0,IF(OFFSET(PLE!$G$14,$M562,BC$13)="",10^12,OFFSET(PLE!$G$14,$M562,BC$13))))</f>
        <v>1000000000000</v>
      </c>
      <c r="BD562" s="182">
        <f ca="1">IF($D562&lt;&gt;"Serviço",0,IF(OR(AND(AUTOEVENTO="Manual",$M562=1),$M562&gt;(ROW(PLE.lastrow)-ROW(PLE.firstrow))),0,IF(OFFSET(PLE!$G$14,$M562,BD$13)="",10^12,OFFSET(PLE!$G$14,$M562,BD$13))))</f>
        <v>1000000000000</v>
      </c>
      <c r="BE562" s="182">
        <f ca="1">IF($D562&lt;&gt;"Serviço",0,IF(OR(AND(AUTOEVENTO="Manual",$M562=1),$M562&gt;(ROW(PLE.lastrow)-ROW(PLE.firstrow))),0,IF(OFFSET(PLE!$G$14,$M562,BE$13)="",10^12,OFFSET(PLE!$G$14,$M562,BE$13))))</f>
        <v>1000000000000</v>
      </c>
      <c r="BF562" s="182">
        <f ca="1">IF($D562&lt;&gt;"Serviço",0,IF(OR(AND(AUTOEVENTO="Manual",$M562=1),$M562&gt;(ROW(PLE.lastrow)-ROW(PLE.firstrow))),0,IF(OFFSET(PLE!$G$14,$M562,BF$13)="",10^12,OFFSET(PLE!$G$14,$M562,BF$13))))</f>
        <v>1000000000000</v>
      </c>
      <c r="BG562" s="182">
        <f ca="1">IF($D562&lt;&gt;"Serviço",0,IF(OR(AND(AUTOEVENTO="Manual",$M562=1),$M562&gt;(ROW(PLE.lastrow)-ROW(PLE.firstrow))),0,IF(OFFSET(PLE!$G$14,$M562,BG$13)="",10^12,OFFSET(PLE!$G$14,$M562,BG$13))))</f>
        <v>1000000000000</v>
      </c>
    </row>
    <row r="563" spans="1:59" ht="25.5" x14ac:dyDescent="0.2">
      <c r="A563" s="7" t="str">
        <f t="shared" ca="1" si="15"/>
        <v>472</v>
      </c>
      <c r="B563" s="7" t="str">
        <f ca="1">OFFSET(ORÇAMENTO!C$15,ROW(B563)-ROW(B$15),0)</f>
        <v>S</v>
      </c>
      <c r="C563" s="7" t="str">
        <f ca="1">OFFSET(ORÇAMENTO!L$15,ROW(C563)-ROW(C$15),0)</f>
        <v/>
      </c>
      <c r="D563" s="118" t="str">
        <f ca="1">OFFSET(ORÇAMENTO!N$15,ROW(D563)-ROW(D$15),0)</f>
        <v>Serviço</v>
      </c>
      <c r="E563" s="119" t="str">
        <f ca="1">OFFSET(ORÇAMENTO!O$15,ROW(E563)-ROW(E$15),0)</f>
        <v>-</v>
      </c>
      <c r="F563" s="172" t="str">
        <f ca="1">OFFSET(ORÇAMENTO!R$15,ROW(F563)-ROW(F$15),0)</f>
        <v>(abra o arquivo 'Referência 02-2025.xlsm)</v>
      </c>
      <c r="G563" s="173" t="str">
        <f ca="1">IF($D563&lt;&gt;"Serviço","",OFFSET(ORÇAMENTO!S$15,ROW(G563)-ROW(G$15),0))</f>
        <v>-</v>
      </c>
      <c r="H563" s="124">
        <f ca="1">IF($D563&lt;&gt;"Serviço",0,IF(ACOMPANHAMENTO="BM",ROUND(OFFSET(ORÇAMENTO!AJ$15,ROW(H563)-ROW(H$15),0),15-13*ORÇAMENTO!$AF$7),SUMPRODUCT(($Q$12:$AA$12&lt;&gt;"")*ROUND($Q563:$AA563,15-13*ORÇAMENTO!$AF$7))))</f>
        <v>1</v>
      </c>
      <c r="I563" s="561" t="s">
        <v>890</v>
      </c>
      <c r="K563" s="174"/>
      <c r="L563" s="175" t="s">
        <v>255</v>
      </c>
      <c r="M563" s="176">
        <f ca="1">IF($D563&lt;&gt;"Serviço","",IF(AUTOEVENTO="manual",$A563,IF(ISERROR(MATCH($A563,$A$15:OFFSET($A563,-1,0),0)),MAX($M$15:OFFSET(M563,-1,0))+1,INDEX($M$15:OFFSET(M563,-1,0),MATCH($A563,$A$15:OFFSET($A563,-1,0),0)))))</f>
        <v>18</v>
      </c>
      <c r="N563" s="177" t="str">
        <f ca="1">IF($D563&lt;&gt;"Serviço","",IF(AUTOEVENTO="Manual",IF($A563=0,"&lt;-- defina o número do agrupador",OFFSET(EVENTOS!$D$14,$A563,0)),OFFSET($F$15,$A563,0)))</f>
        <v>INSTALAÇÕES ELÉTRICAS - 220V</v>
      </c>
      <c r="O563" s="178"/>
      <c r="Q563" s="178"/>
      <c r="R563" s="179"/>
      <c r="S563" s="179"/>
      <c r="T563" s="179"/>
      <c r="U563" s="179"/>
      <c r="V563" s="179"/>
      <c r="W563" s="179"/>
      <c r="X563" s="179"/>
      <c r="Y563" s="179"/>
      <c r="Z563" s="180"/>
      <c r="AB563" s="544">
        <f ca="1">IF(AND($D563="Serviço",AB$12&lt;&gt;0,$H563&gt;0,OR(AUTOEVENTO&lt;&gt;"manual",$M563&lt;&gt;1)),
IF(Import.TipoArredondamento&lt;&gt;"TransfereGOV",
ROUND(OFFSET($P563,0,AB$13),15-13*ORÇAMENTO!$AF$7)/$H563*OFFSET(ORÇAMENTO!$X$15,ROW(AB563)-ROW(AB$15),0),
ROUND(ROUND(OFFSET($P563,0,AB$13),15-13*ORÇAMENTO!$AF$7)*OFFSET(ORÇAMENTO!$W$15,ROW(AB563)-ROW(AB$15),0),15-13*ORÇAMENTO!$AF$11)),0)</f>
        <v>0</v>
      </c>
      <c r="AC563" s="545">
        <f ca="1">IF(AND($D563="Serviço",AC$12&lt;&gt;0,$H563&gt;0,OR(AUTOEVENTO&lt;&gt;"manual",$M563&lt;&gt;1)),
IF(Import.TipoArredondamento&lt;&gt;"TransfereGOV",
ROUND(OFFSET($P563,0,AC$13),15-13*ORÇAMENTO!$AF$7)/$H563*OFFSET(ORÇAMENTO!$X$15,ROW(AC563)-ROW(AC$15),0),
ROUND(ROUND(OFFSET($P563,0,AC$13),15-13*ORÇAMENTO!$AF$7)*OFFSET(ORÇAMENTO!$W$15,ROW(AC563)-ROW(AC$15),0),15-13*ORÇAMENTO!$AF$11)),0)</f>
        <v>0</v>
      </c>
      <c r="AD563" s="545">
        <f ca="1">IF(AND($D563="Serviço",AD$12&lt;&gt;0,$H563&gt;0,OR(AUTOEVENTO&lt;&gt;"manual",$M563&lt;&gt;1)),
IF(Import.TipoArredondamento&lt;&gt;"TransfereGOV",
ROUND(OFFSET($P563,0,AD$13),15-13*ORÇAMENTO!$AF$7)/$H563*OFFSET(ORÇAMENTO!$X$15,ROW(AD563)-ROW(AD$15),0),
ROUND(ROUND(OFFSET($P563,0,AD$13),15-13*ORÇAMENTO!$AF$7)*OFFSET(ORÇAMENTO!$W$15,ROW(AD563)-ROW(AD$15),0),15-13*ORÇAMENTO!$AF$11)),0)</f>
        <v>0</v>
      </c>
      <c r="AE563" s="545">
        <f ca="1">IF(AND($D563="Serviço",AE$12&lt;&gt;0,$H563&gt;0,OR(AUTOEVENTO&lt;&gt;"manual",$M563&lt;&gt;1)),
IF(Import.TipoArredondamento&lt;&gt;"TransfereGOV",
ROUND(OFFSET($P563,0,AE$13),15-13*ORÇAMENTO!$AF$7)/$H563*OFFSET(ORÇAMENTO!$X$15,ROW(AE563)-ROW(AE$15),0),
ROUND(ROUND(OFFSET($P563,0,AE$13),15-13*ORÇAMENTO!$AF$7)*OFFSET(ORÇAMENTO!$W$15,ROW(AE563)-ROW(AE$15),0),15-13*ORÇAMENTO!$AF$11)),0)</f>
        <v>0</v>
      </c>
      <c r="AF563" s="545">
        <f ca="1">IF(AND($D563="Serviço",AF$12&lt;&gt;0,$H563&gt;0,OR(AUTOEVENTO&lt;&gt;"manual",$M563&lt;&gt;1)),
IF(Import.TipoArredondamento&lt;&gt;"TransfereGOV",
ROUND(OFFSET($P563,0,AF$13),15-13*ORÇAMENTO!$AF$7)/$H563*OFFSET(ORÇAMENTO!$X$15,ROW(AF563)-ROW(AF$15),0),
ROUND(ROUND(OFFSET($P563,0,AF$13),15-13*ORÇAMENTO!$AF$7)*OFFSET(ORÇAMENTO!$W$15,ROW(AF563)-ROW(AF$15),0),15-13*ORÇAMENTO!$AF$11)),0)</f>
        <v>0</v>
      </c>
      <c r="AG563" s="545">
        <f ca="1">IF(AND($D563="Serviço",AG$12&lt;&gt;0,$H563&gt;0,OR(AUTOEVENTO&lt;&gt;"manual",$M563&lt;&gt;1)),
IF(Import.TipoArredondamento&lt;&gt;"TransfereGOV",
ROUND(OFFSET($P563,0,AG$13),15-13*ORÇAMENTO!$AF$7)/$H563*OFFSET(ORÇAMENTO!$X$15,ROW(AG563)-ROW(AG$15),0),
ROUND(ROUND(OFFSET($P563,0,AG$13),15-13*ORÇAMENTO!$AF$7)*OFFSET(ORÇAMENTO!$W$15,ROW(AG563)-ROW(AG$15),0),15-13*ORÇAMENTO!$AF$11)),0)</f>
        <v>0</v>
      </c>
      <c r="AH563" s="545">
        <f ca="1">IF(AND($D563="Serviço",AH$12&lt;&gt;0,$H563&gt;0,OR(AUTOEVENTO&lt;&gt;"manual",$M563&lt;&gt;1)),
IF(Import.TipoArredondamento&lt;&gt;"TransfereGOV",
ROUND(OFFSET($P563,0,AH$13),15-13*ORÇAMENTO!$AF$7)/$H563*OFFSET(ORÇAMENTO!$X$15,ROW(AH563)-ROW(AH$15),0),
ROUND(ROUND(OFFSET($P563,0,AH$13),15-13*ORÇAMENTO!$AF$7)*OFFSET(ORÇAMENTO!$W$15,ROW(AH563)-ROW(AH$15),0),15-13*ORÇAMENTO!$AF$11)),0)</f>
        <v>0</v>
      </c>
      <c r="AI563" s="545">
        <f ca="1">IF(AND($D563="Serviço",AI$12&lt;&gt;0,$H563&gt;0,OR(AUTOEVENTO&lt;&gt;"manual",$M563&lt;&gt;1)),
IF(Import.TipoArredondamento&lt;&gt;"TransfereGOV",
ROUND(OFFSET($P563,0,AI$13),15-13*ORÇAMENTO!$AF$7)/$H563*OFFSET(ORÇAMENTO!$X$15,ROW(AI563)-ROW(AI$15),0),
ROUND(ROUND(OFFSET($P563,0,AI$13),15-13*ORÇAMENTO!$AF$7)*OFFSET(ORÇAMENTO!$W$15,ROW(AI563)-ROW(AI$15),0),15-13*ORÇAMENTO!$AF$11)),0)</f>
        <v>0</v>
      </c>
      <c r="AJ563" s="545">
        <f ca="1">IF(AND($D563="Serviço",AJ$12&lt;&gt;0,$H563&gt;0,OR(AUTOEVENTO&lt;&gt;"manual",$M563&lt;&gt;1)),
IF(Import.TipoArredondamento&lt;&gt;"TransfereGOV",
ROUND(OFFSET($P563,0,AJ$13),15-13*ORÇAMENTO!$AF$7)/$H563*OFFSET(ORÇAMENTO!$X$15,ROW(AJ563)-ROW(AJ$15),0),
ROUND(ROUND(OFFSET($P563,0,AJ$13),15-13*ORÇAMENTO!$AF$7)*OFFSET(ORÇAMENTO!$W$15,ROW(AJ563)-ROW(AJ$15),0),15-13*ORÇAMENTO!$AF$11)),0)</f>
        <v>0</v>
      </c>
      <c r="AK563" s="546">
        <f ca="1">IF(AND($D563="Serviço",AK$12&lt;&gt;0,$H563&gt;0,OR(AUTOEVENTO&lt;&gt;"manual",$M563&lt;&gt;1)),
IF(Import.TipoArredondamento&lt;&gt;"TransfereGOV",
ROUND(OFFSET($P563,0,AK$13),15-13*ORÇAMENTO!$AF$7)/$H563*OFFSET(ORÇAMENTO!$X$15,ROW(AK563)-ROW(AK$15),0),
ROUND(ROUND(OFFSET($P563,0,AK$13),15-13*ORÇAMENTO!$AF$7)*OFFSET(ORÇAMENTO!$W$15,ROW(AK563)-ROW(AK$15),0),15-13*ORÇAMENTO!$AF$11)),0)</f>
        <v>0</v>
      </c>
      <c r="AM563" s="181">
        <f ca="1">IF($D563&lt;&gt;"Serviço",0,IF(AND(AUTOEVENTO="Manual",$M563=1),0,IF(OFFSET(CRONOPLE!$F$14,$M563,AM$13)="",10^12,OFFSET(CRONOPLE!$F$14,$M563,AM$13))))</f>
        <v>1000000000000</v>
      </c>
      <c r="AN563" s="181">
        <f ca="1">IF($D563&lt;&gt;"Serviço",0,IF(AND(AUTOEVENTO="Manual",$M563=1),0,IF(OFFSET(CRONOPLE!$F$14,$M563,AN$13)="",10^12,OFFSET(CRONOPLE!$F$14,$M563,AN$13))))</f>
        <v>1000000000000</v>
      </c>
      <c r="AO563" s="181">
        <f ca="1">IF($D563&lt;&gt;"Serviço",0,IF(AND(AUTOEVENTO="Manual",$M563=1),0,IF(OFFSET(CRONOPLE!$F$14,$M563,AO$13)="",10^12,OFFSET(CRONOPLE!$F$14,$M563,AO$13))))</f>
        <v>1000000000000</v>
      </c>
      <c r="AP563" s="181">
        <f ca="1">IF($D563&lt;&gt;"Serviço",0,IF(AND(AUTOEVENTO="Manual",$M563=1),0,IF(OFFSET(CRONOPLE!$F$14,$M563,AP$13)="",10^12,OFFSET(CRONOPLE!$F$14,$M563,AP$13))))</f>
        <v>1000000000000</v>
      </c>
      <c r="AQ563" s="181">
        <f ca="1">IF($D563&lt;&gt;"Serviço",0,IF(AND(AUTOEVENTO="Manual",$M563=1),0,IF(OFFSET(CRONOPLE!$F$14,$M563,AQ$13)="",10^12,OFFSET(CRONOPLE!$F$14,$M563,AQ$13))))</f>
        <v>1000000000000</v>
      </c>
      <c r="AR563" s="181">
        <f ca="1">IF($D563&lt;&gt;"Serviço",0,IF(AND(AUTOEVENTO="Manual",$M563=1),0,IF(OFFSET(CRONOPLE!$F$14,$M563,AR$13)="",10^12,OFFSET(CRONOPLE!$F$14,$M563,AR$13))))</f>
        <v>1000000000000</v>
      </c>
      <c r="AS563" s="181">
        <f ca="1">IF($D563&lt;&gt;"Serviço",0,IF(AND(AUTOEVENTO="Manual",$M563=1),0,IF(OFFSET(CRONOPLE!$F$14,$M563,AS$13)="",10^12,OFFSET(CRONOPLE!$F$14,$M563,AS$13))))</f>
        <v>1000000000000</v>
      </c>
      <c r="AT563" s="181">
        <f ca="1">IF($D563&lt;&gt;"Serviço",0,IF(AND(AUTOEVENTO="Manual",$M563=1),0,IF(OFFSET(CRONOPLE!$F$14,$M563,AT$13)="",10^12,OFFSET(CRONOPLE!$F$14,$M563,AT$13))))</f>
        <v>1000000000000</v>
      </c>
      <c r="AU563" s="181">
        <f ca="1">IF($D563&lt;&gt;"Serviço",0,IF(AND(AUTOEVENTO="Manual",$M563=1),0,IF(OFFSET(CRONOPLE!$F$14,$M563,AU$13)="",10^12,OFFSET(CRONOPLE!$F$14,$M563,AU$13))))</f>
        <v>1000000000000</v>
      </c>
      <c r="AV563" s="181">
        <f ca="1">IF($D563&lt;&gt;"Serviço",0,IF(AND(AUTOEVENTO="Manual",$M563=1),0,IF(OFFSET(CRONOPLE!$F$14,$M563,AV$13)="",10^12,OFFSET(CRONOPLE!$F$14,$M563,AV$13))))</f>
        <v>1000000000000</v>
      </c>
      <c r="AX563" s="182">
        <f ca="1">IF($D563&lt;&gt;"Serviço",0,IF(OR(AND(AUTOEVENTO="Manual",$M563=1),$M563&gt;(ROW(PLE.lastrow)-ROW(PLE.firstrow))),0,IF(OFFSET(PLE!$G$14,$M563,AX$13)="",10^12,OFFSET(PLE!$G$14,$M563,AX$13))))</f>
        <v>1000000000000</v>
      </c>
      <c r="AY563" s="182">
        <f ca="1">IF($D563&lt;&gt;"Serviço",0,IF(OR(AND(AUTOEVENTO="Manual",$M563=1),$M563&gt;(ROW(PLE.lastrow)-ROW(PLE.firstrow))),0,IF(OFFSET(PLE!$G$14,$M563,AY$13)="",10^12,OFFSET(PLE!$G$14,$M563,AY$13))))</f>
        <v>1000000000000</v>
      </c>
      <c r="AZ563" s="182">
        <f ca="1">IF($D563&lt;&gt;"Serviço",0,IF(OR(AND(AUTOEVENTO="Manual",$M563=1),$M563&gt;(ROW(PLE.lastrow)-ROW(PLE.firstrow))),0,IF(OFFSET(PLE!$G$14,$M563,AZ$13)="",10^12,OFFSET(PLE!$G$14,$M563,AZ$13))))</f>
        <v>1000000000000</v>
      </c>
      <c r="BA563" s="182">
        <f ca="1">IF($D563&lt;&gt;"Serviço",0,IF(OR(AND(AUTOEVENTO="Manual",$M563=1),$M563&gt;(ROW(PLE.lastrow)-ROW(PLE.firstrow))),0,IF(OFFSET(PLE!$G$14,$M563,BA$13)="",10^12,OFFSET(PLE!$G$14,$M563,BA$13))))</f>
        <v>1000000000000</v>
      </c>
      <c r="BB563" s="182">
        <f ca="1">IF($D563&lt;&gt;"Serviço",0,IF(OR(AND(AUTOEVENTO="Manual",$M563=1),$M563&gt;(ROW(PLE.lastrow)-ROW(PLE.firstrow))),0,IF(OFFSET(PLE!$G$14,$M563,BB$13)="",10^12,OFFSET(PLE!$G$14,$M563,BB$13))))</f>
        <v>1000000000000</v>
      </c>
      <c r="BC563" s="182">
        <f ca="1">IF($D563&lt;&gt;"Serviço",0,IF(OR(AND(AUTOEVENTO="Manual",$M563=1),$M563&gt;(ROW(PLE.lastrow)-ROW(PLE.firstrow))),0,IF(OFFSET(PLE!$G$14,$M563,BC$13)="",10^12,OFFSET(PLE!$G$14,$M563,BC$13))))</f>
        <v>1000000000000</v>
      </c>
      <c r="BD563" s="182">
        <f ca="1">IF($D563&lt;&gt;"Serviço",0,IF(OR(AND(AUTOEVENTO="Manual",$M563=1),$M563&gt;(ROW(PLE.lastrow)-ROW(PLE.firstrow))),0,IF(OFFSET(PLE!$G$14,$M563,BD$13)="",10^12,OFFSET(PLE!$G$14,$M563,BD$13))))</f>
        <v>1000000000000</v>
      </c>
      <c r="BE563" s="182">
        <f ca="1">IF($D563&lt;&gt;"Serviço",0,IF(OR(AND(AUTOEVENTO="Manual",$M563=1),$M563&gt;(ROW(PLE.lastrow)-ROW(PLE.firstrow))),0,IF(OFFSET(PLE!$G$14,$M563,BE$13)="",10^12,OFFSET(PLE!$G$14,$M563,BE$13))))</f>
        <v>1000000000000</v>
      </c>
      <c r="BF563" s="182">
        <f ca="1">IF($D563&lt;&gt;"Serviço",0,IF(OR(AND(AUTOEVENTO="Manual",$M563=1),$M563&gt;(ROW(PLE.lastrow)-ROW(PLE.firstrow))),0,IF(OFFSET(PLE!$G$14,$M563,BF$13)="",10^12,OFFSET(PLE!$G$14,$M563,BF$13))))</f>
        <v>1000000000000</v>
      </c>
      <c r="BG563" s="182">
        <f ca="1">IF($D563&lt;&gt;"Serviço",0,IF(OR(AND(AUTOEVENTO="Manual",$M563=1),$M563&gt;(ROW(PLE.lastrow)-ROW(PLE.firstrow))),0,IF(OFFSET(PLE!$G$14,$M563,BG$13)="",10^12,OFFSET(PLE!$G$14,$M563,BG$13))))</f>
        <v>1000000000000</v>
      </c>
    </row>
    <row r="564" spans="1:59" ht="25.5" x14ac:dyDescent="0.2">
      <c r="A564" s="7" t="str">
        <f t="shared" ca="1" si="15"/>
        <v>472</v>
      </c>
      <c r="B564" s="7" t="str">
        <f ca="1">OFFSET(ORÇAMENTO!C$15,ROW(B564)-ROW(B$15),0)</f>
        <v>S</v>
      </c>
      <c r="C564" s="7" t="str">
        <f ca="1">OFFSET(ORÇAMENTO!L$15,ROW(C564)-ROW(C$15),0)</f>
        <v/>
      </c>
      <c r="D564" s="118" t="str">
        <f ca="1">OFFSET(ORÇAMENTO!N$15,ROW(D564)-ROW(D$15),0)</f>
        <v>Serviço</v>
      </c>
      <c r="E564" s="119" t="str">
        <f ca="1">OFFSET(ORÇAMENTO!O$15,ROW(E564)-ROW(E$15),0)</f>
        <v>-</v>
      </c>
      <c r="F564" s="172" t="str">
        <f ca="1">OFFSET(ORÇAMENTO!R$15,ROW(F564)-ROW(F$15),0)</f>
        <v>(abra o arquivo 'Referência 02-2025.xlsm)</v>
      </c>
      <c r="G564" s="173" t="str">
        <f ca="1">IF($D564&lt;&gt;"Serviço","",OFFSET(ORÇAMENTO!S$15,ROW(G564)-ROW(G$15),0))</f>
        <v>-</v>
      </c>
      <c r="H564" s="124">
        <f ca="1">IF($D564&lt;&gt;"Serviço",0,IF(ACOMPANHAMENTO="BM",ROUND(OFFSET(ORÇAMENTO!AJ$15,ROW(H564)-ROW(H$15),0),15-13*ORÇAMENTO!$AF$7),SUMPRODUCT(($Q$12:$AA$12&lt;&gt;"")*ROUND($Q564:$AA564,15-13*ORÇAMENTO!$AF$7))))</f>
        <v>2</v>
      </c>
      <c r="I564" s="561" t="s">
        <v>890</v>
      </c>
      <c r="K564" s="174"/>
      <c r="L564" s="175" t="s">
        <v>255</v>
      </c>
      <c r="M564" s="176">
        <f ca="1">IF($D564&lt;&gt;"Serviço","",IF(AUTOEVENTO="manual",$A564,IF(ISERROR(MATCH($A564,$A$15:OFFSET($A564,-1,0),0)),MAX($M$15:OFFSET(M564,-1,0))+1,INDEX($M$15:OFFSET(M564,-1,0),MATCH($A564,$A$15:OFFSET($A564,-1,0),0)))))</f>
        <v>18</v>
      </c>
      <c r="N564" s="177" t="str">
        <f ca="1">IF($D564&lt;&gt;"Serviço","",IF(AUTOEVENTO="Manual",IF($A564=0,"&lt;-- defina o número do agrupador",OFFSET(EVENTOS!$D$14,$A564,0)),OFFSET($F$15,$A564,0)))</f>
        <v>INSTALAÇÕES ELÉTRICAS - 220V</v>
      </c>
      <c r="O564" s="178"/>
      <c r="Q564" s="178"/>
      <c r="R564" s="179"/>
      <c r="S564" s="179"/>
      <c r="T564" s="179"/>
      <c r="U564" s="179"/>
      <c r="V564" s="179"/>
      <c r="W564" s="179"/>
      <c r="X564" s="179"/>
      <c r="Y564" s="179"/>
      <c r="Z564" s="180"/>
      <c r="AB564" s="544">
        <f ca="1">IF(AND($D564="Serviço",AB$12&lt;&gt;0,$H564&gt;0,OR(AUTOEVENTO&lt;&gt;"manual",$M564&lt;&gt;1)),
IF(Import.TipoArredondamento&lt;&gt;"TransfereGOV",
ROUND(OFFSET($P564,0,AB$13),15-13*ORÇAMENTO!$AF$7)/$H564*OFFSET(ORÇAMENTO!$X$15,ROW(AB564)-ROW(AB$15),0),
ROUND(ROUND(OFFSET($P564,0,AB$13),15-13*ORÇAMENTO!$AF$7)*OFFSET(ORÇAMENTO!$W$15,ROW(AB564)-ROW(AB$15),0),15-13*ORÇAMENTO!$AF$11)),0)</f>
        <v>0</v>
      </c>
      <c r="AC564" s="545">
        <f ca="1">IF(AND($D564="Serviço",AC$12&lt;&gt;0,$H564&gt;0,OR(AUTOEVENTO&lt;&gt;"manual",$M564&lt;&gt;1)),
IF(Import.TipoArredondamento&lt;&gt;"TransfereGOV",
ROUND(OFFSET($P564,0,AC$13),15-13*ORÇAMENTO!$AF$7)/$H564*OFFSET(ORÇAMENTO!$X$15,ROW(AC564)-ROW(AC$15),0),
ROUND(ROUND(OFFSET($P564,0,AC$13),15-13*ORÇAMENTO!$AF$7)*OFFSET(ORÇAMENTO!$W$15,ROW(AC564)-ROW(AC$15),0),15-13*ORÇAMENTO!$AF$11)),0)</f>
        <v>0</v>
      </c>
      <c r="AD564" s="545">
        <f ca="1">IF(AND($D564="Serviço",AD$12&lt;&gt;0,$H564&gt;0,OR(AUTOEVENTO&lt;&gt;"manual",$M564&lt;&gt;1)),
IF(Import.TipoArredondamento&lt;&gt;"TransfereGOV",
ROUND(OFFSET($P564,0,AD$13),15-13*ORÇAMENTO!$AF$7)/$H564*OFFSET(ORÇAMENTO!$X$15,ROW(AD564)-ROW(AD$15),0),
ROUND(ROUND(OFFSET($P564,0,AD$13),15-13*ORÇAMENTO!$AF$7)*OFFSET(ORÇAMENTO!$W$15,ROW(AD564)-ROW(AD$15),0),15-13*ORÇAMENTO!$AF$11)),0)</f>
        <v>0</v>
      </c>
      <c r="AE564" s="545">
        <f ca="1">IF(AND($D564="Serviço",AE$12&lt;&gt;0,$H564&gt;0,OR(AUTOEVENTO&lt;&gt;"manual",$M564&lt;&gt;1)),
IF(Import.TipoArredondamento&lt;&gt;"TransfereGOV",
ROUND(OFFSET($P564,0,AE$13),15-13*ORÇAMENTO!$AF$7)/$H564*OFFSET(ORÇAMENTO!$X$15,ROW(AE564)-ROW(AE$15),0),
ROUND(ROUND(OFFSET($P564,0,AE$13),15-13*ORÇAMENTO!$AF$7)*OFFSET(ORÇAMENTO!$W$15,ROW(AE564)-ROW(AE$15),0),15-13*ORÇAMENTO!$AF$11)),0)</f>
        <v>0</v>
      </c>
      <c r="AF564" s="545">
        <f ca="1">IF(AND($D564="Serviço",AF$12&lt;&gt;0,$H564&gt;0,OR(AUTOEVENTO&lt;&gt;"manual",$M564&lt;&gt;1)),
IF(Import.TipoArredondamento&lt;&gt;"TransfereGOV",
ROUND(OFFSET($P564,0,AF$13),15-13*ORÇAMENTO!$AF$7)/$H564*OFFSET(ORÇAMENTO!$X$15,ROW(AF564)-ROW(AF$15),0),
ROUND(ROUND(OFFSET($P564,0,AF$13),15-13*ORÇAMENTO!$AF$7)*OFFSET(ORÇAMENTO!$W$15,ROW(AF564)-ROW(AF$15),0),15-13*ORÇAMENTO!$AF$11)),0)</f>
        <v>0</v>
      </c>
      <c r="AG564" s="545">
        <f ca="1">IF(AND($D564="Serviço",AG$12&lt;&gt;0,$H564&gt;0,OR(AUTOEVENTO&lt;&gt;"manual",$M564&lt;&gt;1)),
IF(Import.TipoArredondamento&lt;&gt;"TransfereGOV",
ROUND(OFFSET($P564,0,AG$13),15-13*ORÇAMENTO!$AF$7)/$H564*OFFSET(ORÇAMENTO!$X$15,ROW(AG564)-ROW(AG$15),0),
ROUND(ROUND(OFFSET($P564,0,AG$13),15-13*ORÇAMENTO!$AF$7)*OFFSET(ORÇAMENTO!$W$15,ROW(AG564)-ROW(AG$15),0),15-13*ORÇAMENTO!$AF$11)),0)</f>
        <v>0</v>
      </c>
      <c r="AH564" s="545">
        <f ca="1">IF(AND($D564="Serviço",AH$12&lt;&gt;0,$H564&gt;0,OR(AUTOEVENTO&lt;&gt;"manual",$M564&lt;&gt;1)),
IF(Import.TipoArredondamento&lt;&gt;"TransfereGOV",
ROUND(OFFSET($P564,0,AH$13),15-13*ORÇAMENTO!$AF$7)/$H564*OFFSET(ORÇAMENTO!$X$15,ROW(AH564)-ROW(AH$15),0),
ROUND(ROUND(OFFSET($P564,0,AH$13),15-13*ORÇAMENTO!$AF$7)*OFFSET(ORÇAMENTO!$W$15,ROW(AH564)-ROW(AH$15),0),15-13*ORÇAMENTO!$AF$11)),0)</f>
        <v>0</v>
      </c>
      <c r="AI564" s="545">
        <f ca="1">IF(AND($D564="Serviço",AI$12&lt;&gt;0,$H564&gt;0,OR(AUTOEVENTO&lt;&gt;"manual",$M564&lt;&gt;1)),
IF(Import.TipoArredondamento&lt;&gt;"TransfereGOV",
ROUND(OFFSET($P564,0,AI$13),15-13*ORÇAMENTO!$AF$7)/$H564*OFFSET(ORÇAMENTO!$X$15,ROW(AI564)-ROW(AI$15),0),
ROUND(ROUND(OFFSET($P564,0,AI$13),15-13*ORÇAMENTO!$AF$7)*OFFSET(ORÇAMENTO!$W$15,ROW(AI564)-ROW(AI$15),0),15-13*ORÇAMENTO!$AF$11)),0)</f>
        <v>0</v>
      </c>
      <c r="AJ564" s="545">
        <f ca="1">IF(AND($D564="Serviço",AJ$12&lt;&gt;0,$H564&gt;0,OR(AUTOEVENTO&lt;&gt;"manual",$M564&lt;&gt;1)),
IF(Import.TipoArredondamento&lt;&gt;"TransfereGOV",
ROUND(OFFSET($P564,0,AJ$13),15-13*ORÇAMENTO!$AF$7)/$H564*OFFSET(ORÇAMENTO!$X$15,ROW(AJ564)-ROW(AJ$15),0),
ROUND(ROUND(OFFSET($P564,0,AJ$13),15-13*ORÇAMENTO!$AF$7)*OFFSET(ORÇAMENTO!$W$15,ROW(AJ564)-ROW(AJ$15),0),15-13*ORÇAMENTO!$AF$11)),0)</f>
        <v>0</v>
      </c>
      <c r="AK564" s="546">
        <f ca="1">IF(AND($D564="Serviço",AK$12&lt;&gt;0,$H564&gt;0,OR(AUTOEVENTO&lt;&gt;"manual",$M564&lt;&gt;1)),
IF(Import.TipoArredondamento&lt;&gt;"TransfereGOV",
ROUND(OFFSET($P564,0,AK$13),15-13*ORÇAMENTO!$AF$7)/$H564*OFFSET(ORÇAMENTO!$X$15,ROW(AK564)-ROW(AK$15),0),
ROUND(ROUND(OFFSET($P564,0,AK$13),15-13*ORÇAMENTO!$AF$7)*OFFSET(ORÇAMENTO!$W$15,ROW(AK564)-ROW(AK$15),0),15-13*ORÇAMENTO!$AF$11)),0)</f>
        <v>0</v>
      </c>
      <c r="AM564" s="181">
        <f ca="1">IF($D564&lt;&gt;"Serviço",0,IF(AND(AUTOEVENTO="Manual",$M564=1),0,IF(OFFSET(CRONOPLE!$F$14,$M564,AM$13)="",10^12,OFFSET(CRONOPLE!$F$14,$M564,AM$13))))</f>
        <v>1000000000000</v>
      </c>
      <c r="AN564" s="181">
        <f ca="1">IF($D564&lt;&gt;"Serviço",0,IF(AND(AUTOEVENTO="Manual",$M564=1),0,IF(OFFSET(CRONOPLE!$F$14,$M564,AN$13)="",10^12,OFFSET(CRONOPLE!$F$14,$M564,AN$13))))</f>
        <v>1000000000000</v>
      </c>
      <c r="AO564" s="181">
        <f ca="1">IF($D564&lt;&gt;"Serviço",0,IF(AND(AUTOEVENTO="Manual",$M564=1),0,IF(OFFSET(CRONOPLE!$F$14,$M564,AO$13)="",10^12,OFFSET(CRONOPLE!$F$14,$M564,AO$13))))</f>
        <v>1000000000000</v>
      </c>
      <c r="AP564" s="181">
        <f ca="1">IF($D564&lt;&gt;"Serviço",0,IF(AND(AUTOEVENTO="Manual",$M564=1),0,IF(OFFSET(CRONOPLE!$F$14,$M564,AP$13)="",10^12,OFFSET(CRONOPLE!$F$14,$M564,AP$13))))</f>
        <v>1000000000000</v>
      </c>
      <c r="AQ564" s="181">
        <f ca="1">IF($D564&lt;&gt;"Serviço",0,IF(AND(AUTOEVENTO="Manual",$M564=1),0,IF(OFFSET(CRONOPLE!$F$14,$M564,AQ$13)="",10^12,OFFSET(CRONOPLE!$F$14,$M564,AQ$13))))</f>
        <v>1000000000000</v>
      </c>
      <c r="AR564" s="181">
        <f ca="1">IF($D564&lt;&gt;"Serviço",0,IF(AND(AUTOEVENTO="Manual",$M564=1),0,IF(OFFSET(CRONOPLE!$F$14,$M564,AR$13)="",10^12,OFFSET(CRONOPLE!$F$14,$M564,AR$13))))</f>
        <v>1000000000000</v>
      </c>
      <c r="AS564" s="181">
        <f ca="1">IF($D564&lt;&gt;"Serviço",0,IF(AND(AUTOEVENTO="Manual",$M564=1),0,IF(OFFSET(CRONOPLE!$F$14,$M564,AS$13)="",10^12,OFFSET(CRONOPLE!$F$14,$M564,AS$13))))</f>
        <v>1000000000000</v>
      </c>
      <c r="AT564" s="181">
        <f ca="1">IF($D564&lt;&gt;"Serviço",0,IF(AND(AUTOEVENTO="Manual",$M564=1),0,IF(OFFSET(CRONOPLE!$F$14,$M564,AT$13)="",10^12,OFFSET(CRONOPLE!$F$14,$M564,AT$13))))</f>
        <v>1000000000000</v>
      </c>
      <c r="AU564" s="181">
        <f ca="1">IF($D564&lt;&gt;"Serviço",0,IF(AND(AUTOEVENTO="Manual",$M564=1),0,IF(OFFSET(CRONOPLE!$F$14,$M564,AU$13)="",10^12,OFFSET(CRONOPLE!$F$14,$M564,AU$13))))</f>
        <v>1000000000000</v>
      </c>
      <c r="AV564" s="181">
        <f ca="1">IF($D564&lt;&gt;"Serviço",0,IF(AND(AUTOEVENTO="Manual",$M564=1),0,IF(OFFSET(CRONOPLE!$F$14,$M564,AV$13)="",10^12,OFFSET(CRONOPLE!$F$14,$M564,AV$13))))</f>
        <v>1000000000000</v>
      </c>
      <c r="AX564" s="182">
        <f ca="1">IF($D564&lt;&gt;"Serviço",0,IF(OR(AND(AUTOEVENTO="Manual",$M564=1),$M564&gt;(ROW(PLE.lastrow)-ROW(PLE.firstrow))),0,IF(OFFSET(PLE!$G$14,$M564,AX$13)="",10^12,OFFSET(PLE!$G$14,$M564,AX$13))))</f>
        <v>1000000000000</v>
      </c>
      <c r="AY564" s="182">
        <f ca="1">IF($D564&lt;&gt;"Serviço",0,IF(OR(AND(AUTOEVENTO="Manual",$M564=1),$M564&gt;(ROW(PLE.lastrow)-ROW(PLE.firstrow))),0,IF(OFFSET(PLE!$G$14,$M564,AY$13)="",10^12,OFFSET(PLE!$G$14,$M564,AY$13))))</f>
        <v>1000000000000</v>
      </c>
      <c r="AZ564" s="182">
        <f ca="1">IF($D564&lt;&gt;"Serviço",0,IF(OR(AND(AUTOEVENTO="Manual",$M564=1),$M564&gt;(ROW(PLE.lastrow)-ROW(PLE.firstrow))),0,IF(OFFSET(PLE!$G$14,$M564,AZ$13)="",10^12,OFFSET(PLE!$G$14,$M564,AZ$13))))</f>
        <v>1000000000000</v>
      </c>
      <c r="BA564" s="182">
        <f ca="1">IF($D564&lt;&gt;"Serviço",0,IF(OR(AND(AUTOEVENTO="Manual",$M564=1),$M564&gt;(ROW(PLE.lastrow)-ROW(PLE.firstrow))),0,IF(OFFSET(PLE!$G$14,$M564,BA$13)="",10^12,OFFSET(PLE!$G$14,$M564,BA$13))))</f>
        <v>1000000000000</v>
      </c>
      <c r="BB564" s="182">
        <f ca="1">IF($D564&lt;&gt;"Serviço",0,IF(OR(AND(AUTOEVENTO="Manual",$M564=1),$M564&gt;(ROW(PLE.lastrow)-ROW(PLE.firstrow))),0,IF(OFFSET(PLE!$G$14,$M564,BB$13)="",10^12,OFFSET(PLE!$G$14,$M564,BB$13))))</f>
        <v>1000000000000</v>
      </c>
      <c r="BC564" s="182">
        <f ca="1">IF($D564&lt;&gt;"Serviço",0,IF(OR(AND(AUTOEVENTO="Manual",$M564=1),$M564&gt;(ROW(PLE.lastrow)-ROW(PLE.firstrow))),0,IF(OFFSET(PLE!$G$14,$M564,BC$13)="",10^12,OFFSET(PLE!$G$14,$M564,BC$13))))</f>
        <v>1000000000000</v>
      </c>
      <c r="BD564" s="182">
        <f ca="1">IF($D564&lt;&gt;"Serviço",0,IF(OR(AND(AUTOEVENTO="Manual",$M564=1),$M564&gt;(ROW(PLE.lastrow)-ROW(PLE.firstrow))),0,IF(OFFSET(PLE!$G$14,$M564,BD$13)="",10^12,OFFSET(PLE!$G$14,$M564,BD$13))))</f>
        <v>1000000000000</v>
      </c>
      <c r="BE564" s="182">
        <f ca="1">IF($D564&lt;&gt;"Serviço",0,IF(OR(AND(AUTOEVENTO="Manual",$M564=1),$M564&gt;(ROW(PLE.lastrow)-ROW(PLE.firstrow))),0,IF(OFFSET(PLE!$G$14,$M564,BE$13)="",10^12,OFFSET(PLE!$G$14,$M564,BE$13))))</f>
        <v>1000000000000</v>
      </c>
      <c r="BF564" s="182">
        <f ca="1">IF($D564&lt;&gt;"Serviço",0,IF(OR(AND(AUTOEVENTO="Manual",$M564=1),$M564&gt;(ROW(PLE.lastrow)-ROW(PLE.firstrow))),0,IF(OFFSET(PLE!$G$14,$M564,BF$13)="",10^12,OFFSET(PLE!$G$14,$M564,BF$13))))</f>
        <v>1000000000000</v>
      </c>
      <c r="BG564" s="182">
        <f ca="1">IF($D564&lt;&gt;"Serviço",0,IF(OR(AND(AUTOEVENTO="Manual",$M564=1),$M564&gt;(ROW(PLE.lastrow)-ROW(PLE.firstrow))),0,IF(OFFSET(PLE!$G$14,$M564,BG$13)="",10^12,OFFSET(PLE!$G$14,$M564,BG$13))))</f>
        <v>1000000000000</v>
      </c>
    </row>
    <row r="565" spans="1:59" ht="25.5" x14ac:dyDescent="0.2">
      <c r="A565" s="7" t="str">
        <f t="shared" ca="1" si="15"/>
        <v>472</v>
      </c>
      <c r="B565" s="7" t="str">
        <f ca="1">OFFSET(ORÇAMENTO!C$15,ROW(B565)-ROW(B$15),0)</f>
        <v>S</v>
      </c>
      <c r="C565" s="7" t="str">
        <f ca="1">OFFSET(ORÇAMENTO!L$15,ROW(C565)-ROW(C$15),0)</f>
        <v/>
      </c>
      <c r="D565" s="118" t="str">
        <f ca="1">OFFSET(ORÇAMENTO!N$15,ROW(D565)-ROW(D$15),0)</f>
        <v>Serviço</v>
      </c>
      <c r="E565" s="119" t="str">
        <f ca="1">OFFSET(ORÇAMENTO!O$15,ROW(E565)-ROW(E$15),0)</f>
        <v>-</v>
      </c>
      <c r="F565" s="172" t="str">
        <f ca="1">OFFSET(ORÇAMENTO!R$15,ROW(F565)-ROW(F$15),0)</f>
        <v>(abra o arquivo 'Referência 02-2025.xlsm)</v>
      </c>
      <c r="G565" s="173" t="str">
        <f ca="1">IF($D565&lt;&gt;"Serviço","",OFFSET(ORÇAMENTO!S$15,ROW(G565)-ROW(G$15),0))</f>
        <v>-</v>
      </c>
      <c r="H565" s="124">
        <f ca="1">IF($D565&lt;&gt;"Serviço",0,IF(ACOMPANHAMENTO="BM",ROUND(OFFSET(ORÇAMENTO!AJ$15,ROW(H565)-ROW(H$15),0),15-13*ORÇAMENTO!$AF$7),SUMPRODUCT(($Q$12:$AA$12&lt;&gt;"")*ROUND($Q565:$AA565,15-13*ORÇAMENTO!$AF$7))))</f>
        <v>12</v>
      </c>
      <c r="I565" s="561" t="s">
        <v>890</v>
      </c>
      <c r="K565" s="174"/>
      <c r="L565" s="175" t="s">
        <v>255</v>
      </c>
      <c r="M565" s="176">
        <f ca="1">IF($D565&lt;&gt;"Serviço","",IF(AUTOEVENTO="manual",$A565,IF(ISERROR(MATCH($A565,$A$15:OFFSET($A565,-1,0),0)),MAX($M$15:OFFSET(M565,-1,0))+1,INDEX($M$15:OFFSET(M565,-1,0),MATCH($A565,$A$15:OFFSET($A565,-1,0),0)))))</f>
        <v>18</v>
      </c>
      <c r="N565" s="177" t="str">
        <f ca="1">IF($D565&lt;&gt;"Serviço","",IF(AUTOEVENTO="Manual",IF($A565=0,"&lt;-- defina o número do agrupador",OFFSET(EVENTOS!$D$14,$A565,0)),OFFSET($F$15,$A565,0)))</f>
        <v>INSTALAÇÕES ELÉTRICAS - 220V</v>
      </c>
      <c r="O565" s="178"/>
      <c r="Q565" s="178"/>
      <c r="R565" s="179"/>
      <c r="S565" s="179"/>
      <c r="T565" s="179"/>
      <c r="U565" s="179"/>
      <c r="V565" s="179"/>
      <c r="W565" s="179"/>
      <c r="X565" s="179"/>
      <c r="Y565" s="179"/>
      <c r="Z565" s="180"/>
      <c r="AB565" s="544">
        <f ca="1">IF(AND($D565="Serviço",AB$12&lt;&gt;0,$H565&gt;0,OR(AUTOEVENTO&lt;&gt;"manual",$M565&lt;&gt;1)),
IF(Import.TipoArredondamento&lt;&gt;"TransfereGOV",
ROUND(OFFSET($P565,0,AB$13),15-13*ORÇAMENTO!$AF$7)/$H565*OFFSET(ORÇAMENTO!$X$15,ROW(AB565)-ROW(AB$15),0),
ROUND(ROUND(OFFSET($P565,0,AB$13),15-13*ORÇAMENTO!$AF$7)*OFFSET(ORÇAMENTO!$W$15,ROW(AB565)-ROW(AB$15),0),15-13*ORÇAMENTO!$AF$11)),0)</f>
        <v>0</v>
      </c>
      <c r="AC565" s="545">
        <f ca="1">IF(AND($D565="Serviço",AC$12&lt;&gt;0,$H565&gt;0,OR(AUTOEVENTO&lt;&gt;"manual",$M565&lt;&gt;1)),
IF(Import.TipoArredondamento&lt;&gt;"TransfereGOV",
ROUND(OFFSET($P565,0,AC$13),15-13*ORÇAMENTO!$AF$7)/$H565*OFFSET(ORÇAMENTO!$X$15,ROW(AC565)-ROW(AC$15),0),
ROUND(ROUND(OFFSET($P565,0,AC$13),15-13*ORÇAMENTO!$AF$7)*OFFSET(ORÇAMENTO!$W$15,ROW(AC565)-ROW(AC$15),0),15-13*ORÇAMENTO!$AF$11)),0)</f>
        <v>0</v>
      </c>
      <c r="AD565" s="545">
        <f ca="1">IF(AND($D565="Serviço",AD$12&lt;&gt;0,$H565&gt;0,OR(AUTOEVENTO&lt;&gt;"manual",$M565&lt;&gt;1)),
IF(Import.TipoArredondamento&lt;&gt;"TransfereGOV",
ROUND(OFFSET($P565,0,AD$13),15-13*ORÇAMENTO!$AF$7)/$H565*OFFSET(ORÇAMENTO!$X$15,ROW(AD565)-ROW(AD$15),0),
ROUND(ROUND(OFFSET($P565,0,AD$13),15-13*ORÇAMENTO!$AF$7)*OFFSET(ORÇAMENTO!$W$15,ROW(AD565)-ROW(AD$15),0),15-13*ORÇAMENTO!$AF$11)),0)</f>
        <v>0</v>
      </c>
      <c r="AE565" s="545">
        <f ca="1">IF(AND($D565="Serviço",AE$12&lt;&gt;0,$H565&gt;0,OR(AUTOEVENTO&lt;&gt;"manual",$M565&lt;&gt;1)),
IF(Import.TipoArredondamento&lt;&gt;"TransfereGOV",
ROUND(OFFSET($P565,0,AE$13),15-13*ORÇAMENTO!$AF$7)/$H565*OFFSET(ORÇAMENTO!$X$15,ROW(AE565)-ROW(AE$15),0),
ROUND(ROUND(OFFSET($P565,0,AE$13),15-13*ORÇAMENTO!$AF$7)*OFFSET(ORÇAMENTO!$W$15,ROW(AE565)-ROW(AE$15),0),15-13*ORÇAMENTO!$AF$11)),0)</f>
        <v>0</v>
      </c>
      <c r="AF565" s="545">
        <f ca="1">IF(AND($D565="Serviço",AF$12&lt;&gt;0,$H565&gt;0,OR(AUTOEVENTO&lt;&gt;"manual",$M565&lt;&gt;1)),
IF(Import.TipoArredondamento&lt;&gt;"TransfereGOV",
ROUND(OFFSET($P565,0,AF$13),15-13*ORÇAMENTO!$AF$7)/$H565*OFFSET(ORÇAMENTO!$X$15,ROW(AF565)-ROW(AF$15),0),
ROUND(ROUND(OFFSET($P565,0,AF$13),15-13*ORÇAMENTO!$AF$7)*OFFSET(ORÇAMENTO!$W$15,ROW(AF565)-ROW(AF$15),0),15-13*ORÇAMENTO!$AF$11)),0)</f>
        <v>0</v>
      </c>
      <c r="AG565" s="545">
        <f ca="1">IF(AND($D565="Serviço",AG$12&lt;&gt;0,$H565&gt;0,OR(AUTOEVENTO&lt;&gt;"manual",$M565&lt;&gt;1)),
IF(Import.TipoArredondamento&lt;&gt;"TransfereGOV",
ROUND(OFFSET($P565,0,AG$13),15-13*ORÇAMENTO!$AF$7)/$H565*OFFSET(ORÇAMENTO!$X$15,ROW(AG565)-ROW(AG$15),0),
ROUND(ROUND(OFFSET($P565,0,AG$13),15-13*ORÇAMENTO!$AF$7)*OFFSET(ORÇAMENTO!$W$15,ROW(AG565)-ROW(AG$15),0),15-13*ORÇAMENTO!$AF$11)),0)</f>
        <v>0</v>
      </c>
      <c r="AH565" s="545">
        <f ca="1">IF(AND($D565="Serviço",AH$12&lt;&gt;0,$H565&gt;0,OR(AUTOEVENTO&lt;&gt;"manual",$M565&lt;&gt;1)),
IF(Import.TipoArredondamento&lt;&gt;"TransfereGOV",
ROUND(OFFSET($P565,0,AH$13),15-13*ORÇAMENTO!$AF$7)/$H565*OFFSET(ORÇAMENTO!$X$15,ROW(AH565)-ROW(AH$15),0),
ROUND(ROUND(OFFSET($P565,0,AH$13),15-13*ORÇAMENTO!$AF$7)*OFFSET(ORÇAMENTO!$W$15,ROW(AH565)-ROW(AH$15),0),15-13*ORÇAMENTO!$AF$11)),0)</f>
        <v>0</v>
      </c>
      <c r="AI565" s="545">
        <f ca="1">IF(AND($D565="Serviço",AI$12&lt;&gt;0,$H565&gt;0,OR(AUTOEVENTO&lt;&gt;"manual",$M565&lt;&gt;1)),
IF(Import.TipoArredondamento&lt;&gt;"TransfereGOV",
ROUND(OFFSET($P565,0,AI$13),15-13*ORÇAMENTO!$AF$7)/$H565*OFFSET(ORÇAMENTO!$X$15,ROW(AI565)-ROW(AI$15),0),
ROUND(ROUND(OFFSET($P565,0,AI$13),15-13*ORÇAMENTO!$AF$7)*OFFSET(ORÇAMENTO!$W$15,ROW(AI565)-ROW(AI$15),0),15-13*ORÇAMENTO!$AF$11)),0)</f>
        <v>0</v>
      </c>
      <c r="AJ565" s="545">
        <f ca="1">IF(AND($D565="Serviço",AJ$12&lt;&gt;0,$H565&gt;0,OR(AUTOEVENTO&lt;&gt;"manual",$M565&lt;&gt;1)),
IF(Import.TipoArredondamento&lt;&gt;"TransfereGOV",
ROUND(OFFSET($P565,0,AJ$13),15-13*ORÇAMENTO!$AF$7)/$H565*OFFSET(ORÇAMENTO!$X$15,ROW(AJ565)-ROW(AJ$15),0),
ROUND(ROUND(OFFSET($P565,0,AJ$13),15-13*ORÇAMENTO!$AF$7)*OFFSET(ORÇAMENTO!$W$15,ROW(AJ565)-ROW(AJ$15),0),15-13*ORÇAMENTO!$AF$11)),0)</f>
        <v>0</v>
      </c>
      <c r="AK565" s="546">
        <f ca="1">IF(AND($D565="Serviço",AK$12&lt;&gt;0,$H565&gt;0,OR(AUTOEVENTO&lt;&gt;"manual",$M565&lt;&gt;1)),
IF(Import.TipoArredondamento&lt;&gt;"TransfereGOV",
ROUND(OFFSET($P565,0,AK$13),15-13*ORÇAMENTO!$AF$7)/$H565*OFFSET(ORÇAMENTO!$X$15,ROW(AK565)-ROW(AK$15),0),
ROUND(ROUND(OFFSET($P565,0,AK$13),15-13*ORÇAMENTO!$AF$7)*OFFSET(ORÇAMENTO!$W$15,ROW(AK565)-ROW(AK$15),0),15-13*ORÇAMENTO!$AF$11)),0)</f>
        <v>0</v>
      </c>
      <c r="AM565" s="181">
        <f ca="1">IF($D565&lt;&gt;"Serviço",0,IF(AND(AUTOEVENTO="Manual",$M565=1),0,IF(OFFSET(CRONOPLE!$F$14,$M565,AM$13)="",10^12,OFFSET(CRONOPLE!$F$14,$M565,AM$13))))</f>
        <v>1000000000000</v>
      </c>
      <c r="AN565" s="181">
        <f ca="1">IF($D565&lt;&gt;"Serviço",0,IF(AND(AUTOEVENTO="Manual",$M565=1),0,IF(OFFSET(CRONOPLE!$F$14,$M565,AN$13)="",10^12,OFFSET(CRONOPLE!$F$14,$M565,AN$13))))</f>
        <v>1000000000000</v>
      </c>
      <c r="AO565" s="181">
        <f ca="1">IF($D565&lt;&gt;"Serviço",0,IF(AND(AUTOEVENTO="Manual",$M565=1),0,IF(OFFSET(CRONOPLE!$F$14,$M565,AO$13)="",10^12,OFFSET(CRONOPLE!$F$14,$M565,AO$13))))</f>
        <v>1000000000000</v>
      </c>
      <c r="AP565" s="181">
        <f ca="1">IF($D565&lt;&gt;"Serviço",0,IF(AND(AUTOEVENTO="Manual",$M565=1),0,IF(OFFSET(CRONOPLE!$F$14,$M565,AP$13)="",10^12,OFFSET(CRONOPLE!$F$14,$M565,AP$13))))</f>
        <v>1000000000000</v>
      </c>
      <c r="AQ565" s="181">
        <f ca="1">IF($D565&lt;&gt;"Serviço",0,IF(AND(AUTOEVENTO="Manual",$M565=1),0,IF(OFFSET(CRONOPLE!$F$14,$M565,AQ$13)="",10^12,OFFSET(CRONOPLE!$F$14,$M565,AQ$13))))</f>
        <v>1000000000000</v>
      </c>
      <c r="AR565" s="181">
        <f ca="1">IF($D565&lt;&gt;"Serviço",0,IF(AND(AUTOEVENTO="Manual",$M565=1),0,IF(OFFSET(CRONOPLE!$F$14,$M565,AR$13)="",10^12,OFFSET(CRONOPLE!$F$14,$M565,AR$13))))</f>
        <v>1000000000000</v>
      </c>
      <c r="AS565" s="181">
        <f ca="1">IF($D565&lt;&gt;"Serviço",0,IF(AND(AUTOEVENTO="Manual",$M565=1),0,IF(OFFSET(CRONOPLE!$F$14,$M565,AS$13)="",10^12,OFFSET(CRONOPLE!$F$14,$M565,AS$13))))</f>
        <v>1000000000000</v>
      </c>
      <c r="AT565" s="181">
        <f ca="1">IF($D565&lt;&gt;"Serviço",0,IF(AND(AUTOEVENTO="Manual",$M565=1),0,IF(OFFSET(CRONOPLE!$F$14,$M565,AT$13)="",10^12,OFFSET(CRONOPLE!$F$14,$M565,AT$13))))</f>
        <v>1000000000000</v>
      </c>
      <c r="AU565" s="181">
        <f ca="1">IF($D565&lt;&gt;"Serviço",0,IF(AND(AUTOEVENTO="Manual",$M565=1),0,IF(OFFSET(CRONOPLE!$F$14,$M565,AU$13)="",10^12,OFFSET(CRONOPLE!$F$14,$M565,AU$13))))</f>
        <v>1000000000000</v>
      </c>
      <c r="AV565" s="181">
        <f ca="1">IF($D565&lt;&gt;"Serviço",0,IF(AND(AUTOEVENTO="Manual",$M565=1),0,IF(OFFSET(CRONOPLE!$F$14,$M565,AV$13)="",10^12,OFFSET(CRONOPLE!$F$14,$M565,AV$13))))</f>
        <v>1000000000000</v>
      </c>
      <c r="AX565" s="182">
        <f ca="1">IF($D565&lt;&gt;"Serviço",0,IF(OR(AND(AUTOEVENTO="Manual",$M565=1),$M565&gt;(ROW(PLE.lastrow)-ROW(PLE.firstrow))),0,IF(OFFSET(PLE!$G$14,$M565,AX$13)="",10^12,OFFSET(PLE!$G$14,$M565,AX$13))))</f>
        <v>1000000000000</v>
      </c>
      <c r="AY565" s="182">
        <f ca="1">IF($D565&lt;&gt;"Serviço",0,IF(OR(AND(AUTOEVENTO="Manual",$M565=1),$M565&gt;(ROW(PLE.lastrow)-ROW(PLE.firstrow))),0,IF(OFFSET(PLE!$G$14,$M565,AY$13)="",10^12,OFFSET(PLE!$G$14,$M565,AY$13))))</f>
        <v>1000000000000</v>
      </c>
      <c r="AZ565" s="182">
        <f ca="1">IF($D565&lt;&gt;"Serviço",0,IF(OR(AND(AUTOEVENTO="Manual",$M565=1),$M565&gt;(ROW(PLE.lastrow)-ROW(PLE.firstrow))),0,IF(OFFSET(PLE!$G$14,$M565,AZ$13)="",10^12,OFFSET(PLE!$G$14,$M565,AZ$13))))</f>
        <v>1000000000000</v>
      </c>
      <c r="BA565" s="182">
        <f ca="1">IF($D565&lt;&gt;"Serviço",0,IF(OR(AND(AUTOEVENTO="Manual",$M565=1),$M565&gt;(ROW(PLE.lastrow)-ROW(PLE.firstrow))),0,IF(OFFSET(PLE!$G$14,$M565,BA$13)="",10^12,OFFSET(PLE!$G$14,$M565,BA$13))))</f>
        <v>1000000000000</v>
      </c>
      <c r="BB565" s="182">
        <f ca="1">IF($D565&lt;&gt;"Serviço",0,IF(OR(AND(AUTOEVENTO="Manual",$M565=1),$M565&gt;(ROW(PLE.lastrow)-ROW(PLE.firstrow))),0,IF(OFFSET(PLE!$G$14,$M565,BB$13)="",10^12,OFFSET(PLE!$G$14,$M565,BB$13))))</f>
        <v>1000000000000</v>
      </c>
      <c r="BC565" s="182">
        <f ca="1">IF($D565&lt;&gt;"Serviço",0,IF(OR(AND(AUTOEVENTO="Manual",$M565=1),$M565&gt;(ROW(PLE.lastrow)-ROW(PLE.firstrow))),0,IF(OFFSET(PLE!$G$14,$M565,BC$13)="",10^12,OFFSET(PLE!$G$14,$M565,BC$13))))</f>
        <v>1000000000000</v>
      </c>
      <c r="BD565" s="182">
        <f ca="1">IF($D565&lt;&gt;"Serviço",0,IF(OR(AND(AUTOEVENTO="Manual",$M565=1),$M565&gt;(ROW(PLE.lastrow)-ROW(PLE.firstrow))),0,IF(OFFSET(PLE!$G$14,$M565,BD$13)="",10^12,OFFSET(PLE!$G$14,$M565,BD$13))))</f>
        <v>1000000000000</v>
      </c>
      <c r="BE565" s="182">
        <f ca="1">IF($D565&lt;&gt;"Serviço",0,IF(OR(AND(AUTOEVENTO="Manual",$M565=1),$M565&gt;(ROW(PLE.lastrow)-ROW(PLE.firstrow))),0,IF(OFFSET(PLE!$G$14,$M565,BE$13)="",10^12,OFFSET(PLE!$G$14,$M565,BE$13))))</f>
        <v>1000000000000</v>
      </c>
      <c r="BF565" s="182">
        <f ca="1">IF($D565&lt;&gt;"Serviço",0,IF(OR(AND(AUTOEVENTO="Manual",$M565=1),$M565&gt;(ROW(PLE.lastrow)-ROW(PLE.firstrow))),0,IF(OFFSET(PLE!$G$14,$M565,BF$13)="",10^12,OFFSET(PLE!$G$14,$M565,BF$13))))</f>
        <v>1000000000000</v>
      </c>
      <c r="BG565" s="182">
        <f ca="1">IF($D565&lt;&gt;"Serviço",0,IF(OR(AND(AUTOEVENTO="Manual",$M565=1),$M565&gt;(ROW(PLE.lastrow)-ROW(PLE.firstrow))),0,IF(OFFSET(PLE!$G$14,$M565,BG$13)="",10^12,OFFSET(PLE!$G$14,$M565,BG$13))))</f>
        <v>1000000000000</v>
      </c>
    </row>
    <row r="566" spans="1:59" ht="25.5" x14ac:dyDescent="0.2">
      <c r="A566" s="7" t="str">
        <f t="shared" ca="1" si="15"/>
        <v>472</v>
      </c>
      <c r="B566" s="7" t="str">
        <f ca="1">OFFSET(ORÇAMENTO!C$15,ROW(B566)-ROW(B$15),0)</f>
        <v>S</v>
      </c>
      <c r="C566" s="7" t="str">
        <f ca="1">OFFSET(ORÇAMENTO!L$15,ROW(C566)-ROW(C$15),0)</f>
        <v/>
      </c>
      <c r="D566" s="118" t="str">
        <f ca="1">OFFSET(ORÇAMENTO!N$15,ROW(D566)-ROW(D$15),0)</f>
        <v>Serviço</v>
      </c>
      <c r="E566" s="119" t="str">
        <f ca="1">OFFSET(ORÇAMENTO!O$15,ROW(E566)-ROW(E$15),0)</f>
        <v>-</v>
      </c>
      <c r="F566" s="172" t="str">
        <f ca="1">OFFSET(ORÇAMENTO!R$15,ROW(F566)-ROW(F$15),0)</f>
        <v>(abra o arquivo 'Referência 02-2025.xlsm)</v>
      </c>
      <c r="G566" s="173" t="str">
        <f ca="1">IF($D566&lt;&gt;"Serviço","",OFFSET(ORÇAMENTO!S$15,ROW(G566)-ROW(G$15),0))</f>
        <v>-</v>
      </c>
      <c r="H566" s="124">
        <f ca="1">IF($D566&lt;&gt;"Serviço",0,IF(ACOMPANHAMENTO="BM",ROUND(OFFSET(ORÇAMENTO!AJ$15,ROW(H566)-ROW(H$15),0),15-13*ORÇAMENTO!$AF$7),SUMPRODUCT(($Q$12:$AA$12&lt;&gt;"")*ROUND($Q566:$AA566,15-13*ORÇAMENTO!$AF$7))))</f>
        <v>13</v>
      </c>
      <c r="I566" s="561" t="s">
        <v>890</v>
      </c>
      <c r="K566" s="174"/>
      <c r="L566" s="175" t="s">
        <v>255</v>
      </c>
      <c r="M566" s="176">
        <f ca="1">IF($D566&lt;&gt;"Serviço","",IF(AUTOEVENTO="manual",$A566,IF(ISERROR(MATCH($A566,$A$15:OFFSET($A566,-1,0),0)),MAX($M$15:OFFSET(M566,-1,0))+1,INDEX($M$15:OFFSET(M566,-1,0),MATCH($A566,$A$15:OFFSET($A566,-1,0),0)))))</f>
        <v>18</v>
      </c>
      <c r="N566" s="177" t="str">
        <f ca="1">IF($D566&lt;&gt;"Serviço","",IF(AUTOEVENTO="Manual",IF($A566=0,"&lt;-- defina o número do agrupador",OFFSET(EVENTOS!$D$14,$A566,0)),OFFSET($F$15,$A566,0)))</f>
        <v>INSTALAÇÕES ELÉTRICAS - 220V</v>
      </c>
      <c r="O566" s="178"/>
      <c r="Q566" s="178"/>
      <c r="R566" s="179"/>
      <c r="S566" s="179"/>
      <c r="T566" s="179"/>
      <c r="U566" s="179"/>
      <c r="V566" s="179"/>
      <c r="W566" s="179"/>
      <c r="X566" s="179"/>
      <c r="Y566" s="179"/>
      <c r="Z566" s="180"/>
      <c r="AB566" s="544">
        <f ca="1">IF(AND($D566="Serviço",AB$12&lt;&gt;0,$H566&gt;0,OR(AUTOEVENTO&lt;&gt;"manual",$M566&lt;&gt;1)),
IF(Import.TipoArredondamento&lt;&gt;"TransfereGOV",
ROUND(OFFSET($P566,0,AB$13),15-13*ORÇAMENTO!$AF$7)/$H566*OFFSET(ORÇAMENTO!$X$15,ROW(AB566)-ROW(AB$15),0),
ROUND(ROUND(OFFSET($P566,0,AB$13),15-13*ORÇAMENTO!$AF$7)*OFFSET(ORÇAMENTO!$W$15,ROW(AB566)-ROW(AB$15),0),15-13*ORÇAMENTO!$AF$11)),0)</f>
        <v>0</v>
      </c>
      <c r="AC566" s="545">
        <f ca="1">IF(AND($D566="Serviço",AC$12&lt;&gt;0,$H566&gt;0,OR(AUTOEVENTO&lt;&gt;"manual",$M566&lt;&gt;1)),
IF(Import.TipoArredondamento&lt;&gt;"TransfereGOV",
ROUND(OFFSET($P566,0,AC$13),15-13*ORÇAMENTO!$AF$7)/$H566*OFFSET(ORÇAMENTO!$X$15,ROW(AC566)-ROW(AC$15),0),
ROUND(ROUND(OFFSET($P566,0,AC$13),15-13*ORÇAMENTO!$AF$7)*OFFSET(ORÇAMENTO!$W$15,ROW(AC566)-ROW(AC$15),0),15-13*ORÇAMENTO!$AF$11)),0)</f>
        <v>0</v>
      </c>
      <c r="AD566" s="545">
        <f ca="1">IF(AND($D566="Serviço",AD$12&lt;&gt;0,$H566&gt;0,OR(AUTOEVENTO&lt;&gt;"manual",$M566&lt;&gt;1)),
IF(Import.TipoArredondamento&lt;&gt;"TransfereGOV",
ROUND(OFFSET($P566,0,AD$13),15-13*ORÇAMENTO!$AF$7)/$H566*OFFSET(ORÇAMENTO!$X$15,ROW(AD566)-ROW(AD$15),0),
ROUND(ROUND(OFFSET($P566,0,AD$13),15-13*ORÇAMENTO!$AF$7)*OFFSET(ORÇAMENTO!$W$15,ROW(AD566)-ROW(AD$15),0),15-13*ORÇAMENTO!$AF$11)),0)</f>
        <v>0</v>
      </c>
      <c r="AE566" s="545">
        <f ca="1">IF(AND($D566="Serviço",AE$12&lt;&gt;0,$H566&gt;0,OR(AUTOEVENTO&lt;&gt;"manual",$M566&lt;&gt;1)),
IF(Import.TipoArredondamento&lt;&gt;"TransfereGOV",
ROUND(OFFSET($P566,0,AE$13),15-13*ORÇAMENTO!$AF$7)/$H566*OFFSET(ORÇAMENTO!$X$15,ROW(AE566)-ROW(AE$15),0),
ROUND(ROUND(OFFSET($P566,0,AE$13),15-13*ORÇAMENTO!$AF$7)*OFFSET(ORÇAMENTO!$W$15,ROW(AE566)-ROW(AE$15),0),15-13*ORÇAMENTO!$AF$11)),0)</f>
        <v>0</v>
      </c>
      <c r="AF566" s="545">
        <f ca="1">IF(AND($D566="Serviço",AF$12&lt;&gt;0,$H566&gt;0,OR(AUTOEVENTO&lt;&gt;"manual",$M566&lt;&gt;1)),
IF(Import.TipoArredondamento&lt;&gt;"TransfereGOV",
ROUND(OFFSET($P566,0,AF$13),15-13*ORÇAMENTO!$AF$7)/$H566*OFFSET(ORÇAMENTO!$X$15,ROW(AF566)-ROW(AF$15),0),
ROUND(ROUND(OFFSET($P566,0,AF$13),15-13*ORÇAMENTO!$AF$7)*OFFSET(ORÇAMENTO!$W$15,ROW(AF566)-ROW(AF$15),0),15-13*ORÇAMENTO!$AF$11)),0)</f>
        <v>0</v>
      </c>
      <c r="AG566" s="545">
        <f ca="1">IF(AND($D566="Serviço",AG$12&lt;&gt;0,$H566&gt;0,OR(AUTOEVENTO&lt;&gt;"manual",$M566&lt;&gt;1)),
IF(Import.TipoArredondamento&lt;&gt;"TransfereGOV",
ROUND(OFFSET($P566,0,AG$13),15-13*ORÇAMENTO!$AF$7)/$H566*OFFSET(ORÇAMENTO!$X$15,ROW(AG566)-ROW(AG$15),0),
ROUND(ROUND(OFFSET($P566,0,AG$13),15-13*ORÇAMENTO!$AF$7)*OFFSET(ORÇAMENTO!$W$15,ROW(AG566)-ROW(AG$15),0),15-13*ORÇAMENTO!$AF$11)),0)</f>
        <v>0</v>
      </c>
      <c r="AH566" s="545">
        <f ca="1">IF(AND($D566="Serviço",AH$12&lt;&gt;0,$H566&gt;0,OR(AUTOEVENTO&lt;&gt;"manual",$M566&lt;&gt;1)),
IF(Import.TipoArredondamento&lt;&gt;"TransfereGOV",
ROUND(OFFSET($P566,0,AH$13),15-13*ORÇAMENTO!$AF$7)/$H566*OFFSET(ORÇAMENTO!$X$15,ROW(AH566)-ROW(AH$15),0),
ROUND(ROUND(OFFSET($P566,0,AH$13),15-13*ORÇAMENTO!$AF$7)*OFFSET(ORÇAMENTO!$W$15,ROW(AH566)-ROW(AH$15),0),15-13*ORÇAMENTO!$AF$11)),0)</f>
        <v>0</v>
      </c>
      <c r="AI566" s="545">
        <f ca="1">IF(AND($D566="Serviço",AI$12&lt;&gt;0,$H566&gt;0,OR(AUTOEVENTO&lt;&gt;"manual",$M566&lt;&gt;1)),
IF(Import.TipoArredondamento&lt;&gt;"TransfereGOV",
ROUND(OFFSET($P566,0,AI$13),15-13*ORÇAMENTO!$AF$7)/$H566*OFFSET(ORÇAMENTO!$X$15,ROW(AI566)-ROW(AI$15),0),
ROUND(ROUND(OFFSET($P566,0,AI$13),15-13*ORÇAMENTO!$AF$7)*OFFSET(ORÇAMENTO!$W$15,ROW(AI566)-ROW(AI$15),0),15-13*ORÇAMENTO!$AF$11)),0)</f>
        <v>0</v>
      </c>
      <c r="AJ566" s="545">
        <f ca="1">IF(AND($D566="Serviço",AJ$12&lt;&gt;0,$H566&gt;0,OR(AUTOEVENTO&lt;&gt;"manual",$M566&lt;&gt;1)),
IF(Import.TipoArredondamento&lt;&gt;"TransfereGOV",
ROUND(OFFSET($P566,0,AJ$13),15-13*ORÇAMENTO!$AF$7)/$H566*OFFSET(ORÇAMENTO!$X$15,ROW(AJ566)-ROW(AJ$15),0),
ROUND(ROUND(OFFSET($P566,0,AJ$13),15-13*ORÇAMENTO!$AF$7)*OFFSET(ORÇAMENTO!$W$15,ROW(AJ566)-ROW(AJ$15),0),15-13*ORÇAMENTO!$AF$11)),0)</f>
        <v>0</v>
      </c>
      <c r="AK566" s="546">
        <f ca="1">IF(AND($D566="Serviço",AK$12&lt;&gt;0,$H566&gt;0,OR(AUTOEVENTO&lt;&gt;"manual",$M566&lt;&gt;1)),
IF(Import.TipoArredondamento&lt;&gt;"TransfereGOV",
ROUND(OFFSET($P566,0,AK$13),15-13*ORÇAMENTO!$AF$7)/$H566*OFFSET(ORÇAMENTO!$X$15,ROW(AK566)-ROW(AK$15),0),
ROUND(ROUND(OFFSET($P566,0,AK$13),15-13*ORÇAMENTO!$AF$7)*OFFSET(ORÇAMENTO!$W$15,ROW(AK566)-ROW(AK$15),0),15-13*ORÇAMENTO!$AF$11)),0)</f>
        <v>0</v>
      </c>
      <c r="AM566" s="181">
        <f ca="1">IF($D566&lt;&gt;"Serviço",0,IF(AND(AUTOEVENTO="Manual",$M566=1),0,IF(OFFSET(CRONOPLE!$F$14,$M566,AM$13)="",10^12,OFFSET(CRONOPLE!$F$14,$M566,AM$13))))</f>
        <v>1000000000000</v>
      </c>
      <c r="AN566" s="181">
        <f ca="1">IF($D566&lt;&gt;"Serviço",0,IF(AND(AUTOEVENTO="Manual",$M566=1),0,IF(OFFSET(CRONOPLE!$F$14,$M566,AN$13)="",10^12,OFFSET(CRONOPLE!$F$14,$M566,AN$13))))</f>
        <v>1000000000000</v>
      </c>
      <c r="AO566" s="181">
        <f ca="1">IF($D566&lt;&gt;"Serviço",0,IF(AND(AUTOEVENTO="Manual",$M566=1),0,IF(OFFSET(CRONOPLE!$F$14,$M566,AO$13)="",10^12,OFFSET(CRONOPLE!$F$14,$M566,AO$13))))</f>
        <v>1000000000000</v>
      </c>
      <c r="AP566" s="181">
        <f ca="1">IF($D566&lt;&gt;"Serviço",0,IF(AND(AUTOEVENTO="Manual",$M566=1),0,IF(OFFSET(CRONOPLE!$F$14,$M566,AP$13)="",10^12,OFFSET(CRONOPLE!$F$14,$M566,AP$13))))</f>
        <v>1000000000000</v>
      </c>
      <c r="AQ566" s="181">
        <f ca="1">IF($D566&lt;&gt;"Serviço",0,IF(AND(AUTOEVENTO="Manual",$M566=1),0,IF(OFFSET(CRONOPLE!$F$14,$M566,AQ$13)="",10^12,OFFSET(CRONOPLE!$F$14,$M566,AQ$13))))</f>
        <v>1000000000000</v>
      </c>
      <c r="AR566" s="181">
        <f ca="1">IF($D566&lt;&gt;"Serviço",0,IF(AND(AUTOEVENTO="Manual",$M566=1),0,IF(OFFSET(CRONOPLE!$F$14,$M566,AR$13)="",10^12,OFFSET(CRONOPLE!$F$14,$M566,AR$13))))</f>
        <v>1000000000000</v>
      </c>
      <c r="AS566" s="181">
        <f ca="1">IF($D566&lt;&gt;"Serviço",0,IF(AND(AUTOEVENTO="Manual",$M566=1),0,IF(OFFSET(CRONOPLE!$F$14,$M566,AS$13)="",10^12,OFFSET(CRONOPLE!$F$14,$M566,AS$13))))</f>
        <v>1000000000000</v>
      </c>
      <c r="AT566" s="181">
        <f ca="1">IF($D566&lt;&gt;"Serviço",0,IF(AND(AUTOEVENTO="Manual",$M566=1),0,IF(OFFSET(CRONOPLE!$F$14,$M566,AT$13)="",10^12,OFFSET(CRONOPLE!$F$14,$M566,AT$13))))</f>
        <v>1000000000000</v>
      </c>
      <c r="AU566" s="181">
        <f ca="1">IF($D566&lt;&gt;"Serviço",0,IF(AND(AUTOEVENTO="Manual",$M566=1),0,IF(OFFSET(CRONOPLE!$F$14,$M566,AU$13)="",10^12,OFFSET(CRONOPLE!$F$14,$M566,AU$13))))</f>
        <v>1000000000000</v>
      </c>
      <c r="AV566" s="181">
        <f ca="1">IF($D566&lt;&gt;"Serviço",0,IF(AND(AUTOEVENTO="Manual",$M566=1),0,IF(OFFSET(CRONOPLE!$F$14,$M566,AV$13)="",10^12,OFFSET(CRONOPLE!$F$14,$M566,AV$13))))</f>
        <v>1000000000000</v>
      </c>
      <c r="AX566" s="182">
        <f ca="1">IF($D566&lt;&gt;"Serviço",0,IF(OR(AND(AUTOEVENTO="Manual",$M566=1),$M566&gt;(ROW(PLE.lastrow)-ROW(PLE.firstrow))),0,IF(OFFSET(PLE!$G$14,$M566,AX$13)="",10^12,OFFSET(PLE!$G$14,$M566,AX$13))))</f>
        <v>1000000000000</v>
      </c>
      <c r="AY566" s="182">
        <f ca="1">IF($D566&lt;&gt;"Serviço",0,IF(OR(AND(AUTOEVENTO="Manual",$M566=1),$M566&gt;(ROW(PLE.lastrow)-ROW(PLE.firstrow))),0,IF(OFFSET(PLE!$G$14,$M566,AY$13)="",10^12,OFFSET(PLE!$G$14,$M566,AY$13))))</f>
        <v>1000000000000</v>
      </c>
      <c r="AZ566" s="182">
        <f ca="1">IF($D566&lt;&gt;"Serviço",0,IF(OR(AND(AUTOEVENTO="Manual",$M566=1),$M566&gt;(ROW(PLE.lastrow)-ROW(PLE.firstrow))),0,IF(OFFSET(PLE!$G$14,$M566,AZ$13)="",10^12,OFFSET(PLE!$G$14,$M566,AZ$13))))</f>
        <v>1000000000000</v>
      </c>
      <c r="BA566" s="182">
        <f ca="1">IF($D566&lt;&gt;"Serviço",0,IF(OR(AND(AUTOEVENTO="Manual",$M566=1),$M566&gt;(ROW(PLE.lastrow)-ROW(PLE.firstrow))),0,IF(OFFSET(PLE!$G$14,$M566,BA$13)="",10^12,OFFSET(PLE!$G$14,$M566,BA$13))))</f>
        <v>1000000000000</v>
      </c>
      <c r="BB566" s="182">
        <f ca="1">IF($D566&lt;&gt;"Serviço",0,IF(OR(AND(AUTOEVENTO="Manual",$M566=1),$M566&gt;(ROW(PLE.lastrow)-ROW(PLE.firstrow))),0,IF(OFFSET(PLE!$G$14,$M566,BB$13)="",10^12,OFFSET(PLE!$G$14,$M566,BB$13))))</f>
        <v>1000000000000</v>
      </c>
      <c r="BC566" s="182">
        <f ca="1">IF($D566&lt;&gt;"Serviço",0,IF(OR(AND(AUTOEVENTO="Manual",$M566=1),$M566&gt;(ROW(PLE.lastrow)-ROW(PLE.firstrow))),0,IF(OFFSET(PLE!$G$14,$M566,BC$13)="",10^12,OFFSET(PLE!$G$14,$M566,BC$13))))</f>
        <v>1000000000000</v>
      </c>
      <c r="BD566" s="182">
        <f ca="1">IF($D566&lt;&gt;"Serviço",0,IF(OR(AND(AUTOEVENTO="Manual",$M566=1),$M566&gt;(ROW(PLE.lastrow)-ROW(PLE.firstrow))),0,IF(OFFSET(PLE!$G$14,$M566,BD$13)="",10^12,OFFSET(PLE!$G$14,$M566,BD$13))))</f>
        <v>1000000000000</v>
      </c>
      <c r="BE566" s="182">
        <f ca="1">IF($D566&lt;&gt;"Serviço",0,IF(OR(AND(AUTOEVENTO="Manual",$M566=1),$M566&gt;(ROW(PLE.lastrow)-ROW(PLE.firstrow))),0,IF(OFFSET(PLE!$G$14,$M566,BE$13)="",10^12,OFFSET(PLE!$G$14,$M566,BE$13))))</f>
        <v>1000000000000</v>
      </c>
      <c r="BF566" s="182">
        <f ca="1">IF($D566&lt;&gt;"Serviço",0,IF(OR(AND(AUTOEVENTO="Manual",$M566=1),$M566&gt;(ROW(PLE.lastrow)-ROW(PLE.firstrow))),0,IF(OFFSET(PLE!$G$14,$M566,BF$13)="",10^12,OFFSET(PLE!$G$14,$M566,BF$13))))</f>
        <v>1000000000000</v>
      </c>
      <c r="BG566" s="182">
        <f ca="1">IF($D566&lt;&gt;"Serviço",0,IF(OR(AND(AUTOEVENTO="Manual",$M566=1),$M566&gt;(ROW(PLE.lastrow)-ROW(PLE.firstrow))),0,IF(OFFSET(PLE!$G$14,$M566,BG$13)="",10^12,OFFSET(PLE!$G$14,$M566,BG$13))))</f>
        <v>1000000000000</v>
      </c>
    </row>
    <row r="567" spans="1:59" ht="25.5" x14ac:dyDescent="0.2">
      <c r="A567" s="7" t="str">
        <f t="shared" ca="1" si="15"/>
        <v>472</v>
      </c>
      <c r="B567" s="7" t="str">
        <f ca="1">OFFSET(ORÇAMENTO!C$15,ROW(B567)-ROW(B$15),0)</f>
        <v>S</v>
      </c>
      <c r="C567" s="7" t="str">
        <f ca="1">OFFSET(ORÇAMENTO!L$15,ROW(C567)-ROW(C$15),0)</f>
        <v/>
      </c>
      <c r="D567" s="118" t="str">
        <f ca="1">OFFSET(ORÇAMENTO!N$15,ROW(D567)-ROW(D$15),0)</f>
        <v>Serviço</v>
      </c>
      <c r="E567" s="119" t="str">
        <f ca="1">OFFSET(ORÇAMENTO!O$15,ROW(E567)-ROW(E$15),0)</f>
        <v>-</v>
      </c>
      <c r="F567" s="172" t="str">
        <f ca="1">OFFSET(ORÇAMENTO!R$15,ROW(F567)-ROW(F$15),0)</f>
        <v>(abra o arquivo 'Referência 02-2025.xlsm)</v>
      </c>
      <c r="G567" s="173" t="str">
        <f ca="1">IF($D567&lt;&gt;"Serviço","",OFFSET(ORÇAMENTO!S$15,ROW(G567)-ROW(G$15),0))</f>
        <v>-</v>
      </c>
      <c r="H567" s="124">
        <f ca="1">IF($D567&lt;&gt;"Serviço",0,IF(ACOMPANHAMENTO="BM",ROUND(OFFSET(ORÇAMENTO!AJ$15,ROW(H567)-ROW(H$15),0),15-13*ORÇAMENTO!$AF$7),SUMPRODUCT(($Q$12:$AA$12&lt;&gt;"")*ROUND($Q567:$AA567,15-13*ORÇAMENTO!$AF$7))))</f>
        <v>6</v>
      </c>
      <c r="I567" s="561" t="s">
        <v>890</v>
      </c>
      <c r="K567" s="174"/>
      <c r="L567" s="175" t="s">
        <v>255</v>
      </c>
      <c r="M567" s="176">
        <f ca="1">IF($D567&lt;&gt;"Serviço","",IF(AUTOEVENTO="manual",$A567,IF(ISERROR(MATCH($A567,$A$15:OFFSET($A567,-1,0),0)),MAX($M$15:OFFSET(M567,-1,0))+1,INDEX($M$15:OFFSET(M567,-1,0),MATCH($A567,$A$15:OFFSET($A567,-1,0),0)))))</f>
        <v>18</v>
      </c>
      <c r="N567" s="177" t="str">
        <f ca="1">IF($D567&lt;&gt;"Serviço","",IF(AUTOEVENTO="Manual",IF($A567=0,"&lt;-- defina o número do agrupador",OFFSET(EVENTOS!$D$14,$A567,0)),OFFSET($F$15,$A567,0)))</f>
        <v>INSTALAÇÕES ELÉTRICAS - 220V</v>
      </c>
      <c r="O567" s="178"/>
      <c r="Q567" s="178"/>
      <c r="R567" s="179"/>
      <c r="S567" s="179"/>
      <c r="T567" s="179"/>
      <c r="U567" s="179"/>
      <c r="V567" s="179"/>
      <c r="W567" s="179"/>
      <c r="X567" s="179"/>
      <c r="Y567" s="179"/>
      <c r="Z567" s="180"/>
      <c r="AB567" s="544">
        <f ca="1">IF(AND($D567="Serviço",AB$12&lt;&gt;0,$H567&gt;0,OR(AUTOEVENTO&lt;&gt;"manual",$M567&lt;&gt;1)),
IF(Import.TipoArredondamento&lt;&gt;"TransfereGOV",
ROUND(OFFSET($P567,0,AB$13),15-13*ORÇAMENTO!$AF$7)/$H567*OFFSET(ORÇAMENTO!$X$15,ROW(AB567)-ROW(AB$15),0),
ROUND(ROUND(OFFSET($P567,0,AB$13),15-13*ORÇAMENTO!$AF$7)*OFFSET(ORÇAMENTO!$W$15,ROW(AB567)-ROW(AB$15),0),15-13*ORÇAMENTO!$AF$11)),0)</f>
        <v>0</v>
      </c>
      <c r="AC567" s="545">
        <f ca="1">IF(AND($D567="Serviço",AC$12&lt;&gt;0,$H567&gt;0,OR(AUTOEVENTO&lt;&gt;"manual",$M567&lt;&gt;1)),
IF(Import.TipoArredondamento&lt;&gt;"TransfereGOV",
ROUND(OFFSET($P567,0,AC$13),15-13*ORÇAMENTO!$AF$7)/$H567*OFFSET(ORÇAMENTO!$X$15,ROW(AC567)-ROW(AC$15),0),
ROUND(ROUND(OFFSET($P567,0,AC$13),15-13*ORÇAMENTO!$AF$7)*OFFSET(ORÇAMENTO!$W$15,ROW(AC567)-ROW(AC$15),0),15-13*ORÇAMENTO!$AF$11)),0)</f>
        <v>0</v>
      </c>
      <c r="AD567" s="545">
        <f ca="1">IF(AND($D567="Serviço",AD$12&lt;&gt;0,$H567&gt;0,OR(AUTOEVENTO&lt;&gt;"manual",$M567&lt;&gt;1)),
IF(Import.TipoArredondamento&lt;&gt;"TransfereGOV",
ROUND(OFFSET($P567,0,AD$13),15-13*ORÇAMENTO!$AF$7)/$H567*OFFSET(ORÇAMENTO!$X$15,ROW(AD567)-ROW(AD$15),0),
ROUND(ROUND(OFFSET($P567,0,AD$13),15-13*ORÇAMENTO!$AF$7)*OFFSET(ORÇAMENTO!$W$15,ROW(AD567)-ROW(AD$15),0),15-13*ORÇAMENTO!$AF$11)),0)</f>
        <v>0</v>
      </c>
      <c r="AE567" s="545">
        <f ca="1">IF(AND($D567="Serviço",AE$12&lt;&gt;0,$H567&gt;0,OR(AUTOEVENTO&lt;&gt;"manual",$M567&lt;&gt;1)),
IF(Import.TipoArredondamento&lt;&gt;"TransfereGOV",
ROUND(OFFSET($P567,0,AE$13),15-13*ORÇAMENTO!$AF$7)/$H567*OFFSET(ORÇAMENTO!$X$15,ROW(AE567)-ROW(AE$15),0),
ROUND(ROUND(OFFSET($P567,0,AE$13),15-13*ORÇAMENTO!$AF$7)*OFFSET(ORÇAMENTO!$W$15,ROW(AE567)-ROW(AE$15),0),15-13*ORÇAMENTO!$AF$11)),0)</f>
        <v>0</v>
      </c>
      <c r="AF567" s="545">
        <f ca="1">IF(AND($D567="Serviço",AF$12&lt;&gt;0,$H567&gt;0,OR(AUTOEVENTO&lt;&gt;"manual",$M567&lt;&gt;1)),
IF(Import.TipoArredondamento&lt;&gt;"TransfereGOV",
ROUND(OFFSET($P567,0,AF$13),15-13*ORÇAMENTO!$AF$7)/$H567*OFFSET(ORÇAMENTO!$X$15,ROW(AF567)-ROW(AF$15),0),
ROUND(ROUND(OFFSET($P567,0,AF$13),15-13*ORÇAMENTO!$AF$7)*OFFSET(ORÇAMENTO!$W$15,ROW(AF567)-ROW(AF$15),0),15-13*ORÇAMENTO!$AF$11)),0)</f>
        <v>0</v>
      </c>
      <c r="AG567" s="545">
        <f ca="1">IF(AND($D567="Serviço",AG$12&lt;&gt;0,$H567&gt;0,OR(AUTOEVENTO&lt;&gt;"manual",$M567&lt;&gt;1)),
IF(Import.TipoArredondamento&lt;&gt;"TransfereGOV",
ROUND(OFFSET($P567,0,AG$13),15-13*ORÇAMENTO!$AF$7)/$H567*OFFSET(ORÇAMENTO!$X$15,ROW(AG567)-ROW(AG$15),0),
ROUND(ROUND(OFFSET($P567,0,AG$13),15-13*ORÇAMENTO!$AF$7)*OFFSET(ORÇAMENTO!$W$15,ROW(AG567)-ROW(AG$15),0),15-13*ORÇAMENTO!$AF$11)),0)</f>
        <v>0</v>
      </c>
      <c r="AH567" s="545">
        <f ca="1">IF(AND($D567="Serviço",AH$12&lt;&gt;0,$H567&gt;0,OR(AUTOEVENTO&lt;&gt;"manual",$M567&lt;&gt;1)),
IF(Import.TipoArredondamento&lt;&gt;"TransfereGOV",
ROUND(OFFSET($P567,0,AH$13),15-13*ORÇAMENTO!$AF$7)/$H567*OFFSET(ORÇAMENTO!$X$15,ROW(AH567)-ROW(AH$15),0),
ROUND(ROUND(OFFSET($P567,0,AH$13),15-13*ORÇAMENTO!$AF$7)*OFFSET(ORÇAMENTO!$W$15,ROW(AH567)-ROW(AH$15),0),15-13*ORÇAMENTO!$AF$11)),0)</f>
        <v>0</v>
      </c>
      <c r="AI567" s="545">
        <f ca="1">IF(AND($D567="Serviço",AI$12&lt;&gt;0,$H567&gt;0,OR(AUTOEVENTO&lt;&gt;"manual",$M567&lt;&gt;1)),
IF(Import.TipoArredondamento&lt;&gt;"TransfereGOV",
ROUND(OFFSET($P567,0,AI$13),15-13*ORÇAMENTO!$AF$7)/$H567*OFFSET(ORÇAMENTO!$X$15,ROW(AI567)-ROW(AI$15),0),
ROUND(ROUND(OFFSET($P567,0,AI$13),15-13*ORÇAMENTO!$AF$7)*OFFSET(ORÇAMENTO!$W$15,ROW(AI567)-ROW(AI$15),0),15-13*ORÇAMENTO!$AF$11)),0)</f>
        <v>0</v>
      </c>
      <c r="AJ567" s="545">
        <f ca="1">IF(AND($D567="Serviço",AJ$12&lt;&gt;0,$H567&gt;0,OR(AUTOEVENTO&lt;&gt;"manual",$M567&lt;&gt;1)),
IF(Import.TipoArredondamento&lt;&gt;"TransfereGOV",
ROUND(OFFSET($P567,0,AJ$13),15-13*ORÇAMENTO!$AF$7)/$H567*OFFSET(ORÇAMENTO!$X$15,ROW(AJ567)-ROW(AJ$15),0),
ROUND(ROUND(OFFSET($P567,0,AJ$13),15-13*ORÇAMENTO!$AF$7)*OFFSET(ORÇAMENTO!$W$15,ROW(AJ567)-ROW(AJ$15),0),15-13*ORÇAMENTO!$AF$11)),0)</f>
        <v>0</v>
      </c>
      <c r="AK567" s="546">
        <f ca="1">IF(AND($D567="Serviço",AK$12&lt;&gt;0,$H567&gt;0,OR(AUTOEVENTO&lt;&gt;"manual",$M567&lt;&gt;1)),
IF(Import.TipoArredondamento&lt;&gt;"TransfereGOV",
ROUND(OFFSET($P567,0,AK$13),15-13*ORÇAMENTO!$AF$7)/$H567*OFFSET(ORÇAMENTO!$X$15,ROW(AK567)-ROW(AK$15),0),
ROUND(ROUND(OFFSET($P567,0,AK$13),15-13*ORÇAMENTO!$AF$7)*OFFSET(ORÇAMENTO!$W$15,ROW(AK567)-ROW(AK$15),0),15-13*ORÇAMENTO!$AF$11)),0)</f>
        <v>0</v>
      </c>
      <c r="AM567" s="181">
        <f ca="1">IF($D567&lt;&gt;"Serviço",0,IF(AND(AUTOEVENTO="Manual",$M567=1),0,IF(OFFSET(CRONOPLE!$F$14,$M567,AM$13)="",10^12,OFFSET(CRONOPLE!$F$14,$M567,AM$13))))</f>
        <v>1000000000000</v>
      </c>
      <c r="AN567" s="181">
        <f ca="1">IF($D567&lt;&gt;"Serviço",0,IF(AND(AUTOEVENTO="Manual",$M567=1),0,IF(OFFSET(CRONOPLE!$F$14,$M567,AN$13)="",10^12,OFFSET(CRONOPLE!$F$14,$M567,AN$13))))</f>
        <v>1000000000000</v>
      </c>
      <c r="AO567" s="181">
        <f ca="1">IF($D567&lt;&gt;"Serviço",0,IF(AND(AUTOEVENTO="Manual",$M567=1),0,IF(OFFSET(CRONOPLE!$F$14,$M567,AO$13)="",10^12,OFFSET(CRONOPLE!$F$14,$M567,AO$13))))</f>
        <v>1000000000000</v>
      </c>
      <c r="AP567" s="181">
        <f ca="1">IF($D567&lt;&gt;"Serviço",0,IF(AND(AUTOEVENTO="Manual",$M567=1),0,IF(OFFSET(CRONOPLE!$F$14,$M567,AP$13)="",10^12,OFFSET(CRONOPLE!$F$14,$M567,AP$13))))</f>
        <v>1000000000000</v>
      </c>
      <c r="AQ567" s="181">
        <f ca="1">IF($D567&lt;&gt;"Serviço",0,IF(AND(AUTOEVENTO="Manual",$M567=1),0,IF(OFFSET(CRONOPLE!$F$14,$M567,AQ$13)="",10^12,OFFSET(CRONOPLE!$F$14,$M567,AQ$13))))</f>
        <v>1000000000000</v>
      </c>
      <c r="AR567" s="181">
        <f ca="1">IF($D567&lt;&gt;"Serviço",0,IF(AND(AUTOEVENTO="Manual",$M567=1),0,IF(OFFSET(CRONOPLE!$F$14,$M567,AR$13)="",10^12,OFFSET(CRONOPLE!$F$14,$M567,AR$13))))</f>
        <v>1000000000000</v>
      </c>
      <c r="AS567" s="181">
        <f ca="1">IF($D567&lt;&gt;"Serviço",0,IF(AND(AUTOEVENTO="Manual",$M567=1),0,IF(OFFSET(CRONOPLE!$F$14,$M567,AS$13)="",10^12,OFFSET(CRONOPLE!$F$14,$M567,AS$13))))</f>
        <v>1000000000000</v>
      </c>
      <c r="AT567" s="181">
        <f ca="1">IF($D567&lt;&gt;"Serviço",0,IF(AND(AUTOEVENTO="Manual",$M567=1),0,IF(OFFSET(CRONOPLE!$F$14,$M567,AT$13)="",10^12,OFFSET(CRONOPLE!$F$14,$M567,AT$13))))</f>
        <v>1000000000000</v>
      </c>
      <c r="AU567" s="181">
        <f ca="1">IF($D567&lt;&gt;"Serviço",0,IF(AND(AUTOEVENTO="Manual",$M567=1),0,IF(OFFSET(CRONOPLE!$F$14,$M567,AU$13)="",10^12,OFFSET(CRONOPLE!$F$14,$M567,AU$13))))</f>
        <v>1000000000000</v>
      </c>
      <c r="AV567" s="181">
        <f ca="1">IF($D567&lt;&gt;"Serviço",0,IF(AND(AUTOEVENTO="Manual",$M567=1),0,IF(OFFSET(CRONOPLE!$F$14,$M567,AV$13)="",10^12,OFFSET(CRONOPLE!$F$14,$M567,AV$13))))</f>
        <v>1000000000000</v>
      </c>
      <c r="AX567" s="182">
        <f ca="1">IF($D567&lt;&gt;"Serviço",0,IF(OR(AND(AUTOEVENTO="Manual",$M567=1),$M567&gt;(ROW(PLE.lastrow)-ROW(PLE.firstrow))),0,IF(OFFSET(PLE!$G$14,$M567,AX$13)="",10^12,OFFSET(PLE!$G$14,$M567,AX$13))))</f>
        <v>1000000000000</v>
      </c>
      <c r="AY567" s="182">
        <f ca="1">IF($D567&lt;&gt;"Serviço",0,IF(OR(AND(AUTOEVENTO="Manual",$M567=1),$M567&gt;(ROW(PLE.lastrow)-ROW(PLE.firstrow))),0,IF(OFFSET(PLE!$G$14,$M567,AY$13)="",10^12,OFFSET(PLE!$G$14,$M567,AY$13))))</f>
        <v>1000000000000</v>
      </c>
      <c r="AZ567" s="182">
        <f ca="1">IF($D567&lt;&gt;"Serviço",0,IF(OR(AND(AUTOEVENTO="Manual",$M567=1),$M567&gt;(ROW(PLE.lastrow)-ROW(PLE.firstrow))),0,IF(OFFSET(PLE!$G$14,$M567,AZ$13)="",10^12,OFFSET(PLE!$G$14,$M567,AZ$13))))</f>
        <v>1000000000000</v>
      </c>
      <c r="BA567" s="182">
        <f ca="1">IF($D567&lt;&gt;"Serviço",0,IF(OR(AND(AUTOEVENTO="Manual",$M567=1),$M567&gt;(ROW(PLE.lastrow)-ROW(PLE.firstrow))),0,IF(OFFSET(PLE!$G$14,$M567,BA$13)="",10^12,OFFSET(PLE!$G$14,$M567,BA$13))))</f>
        <v>1000000000000</v>
      </c>
      <c r="BB567" s="182">
        <f ca="1">IF($D567&lt;&gt;"Serviço",0,IF(OR(AND(AUTOEVENTO="Manual",$M567=1),$M567&gt;(ROW(PLE.lastrow)-ROW(PLE.firstrow))),0,IF(OFFSET(PLE!$G$14,$M567,BB$13)="",10^12,OFFSET(PLE!$G$14,$M567,BB$13))))</f>
        <v>1000000000000</v>
      </c>
      <c r="BC567" s="182">
        <f ca="1">IF($D567&lt;&gt;"Serviço",0,IF(OR(AND(AUTOEVENTO="Manual",$M567=1),$M567&gt;(ROW(PLE.lastrow)-ROW(PLE.firstrow))),0,IF(OFFSET(PLE!$G$14,$M567,BC$13)="",10^12,OFFSET(PLE!$G$14,$M567,BC$13))))</f>
        <v>1000000000000</v>
      </c>
      <c r="BD567" s="182">
        <f ca="1">IF($D567&lt;&gt;"Serviço",0,IF(OR(AND(AUTOEVENTO="Manual",$M567=1),$M567&gt;(ROW(PLE.lastrow)-ROW(PLE.firstrow))),0,IF(OFFSET(PLE!$G$14,$M567,BD$13)="",10^12,OFFSET(PLE!$G$14,$M567,BD$13))))</f>
        <v>1000000000000</v>
      </c>
      <c r="BE567" s="182">
        <f ca="1">IF($D567&lt;&gt;"Serviço",0,IF(OR(AND(AUTOEVENTO="Manual",$M567=1),$M567&gt;(ROW(PLE.lastrow)-ROW(PLE.firstrow))),0,IF(OFFSET(PLE!$G$14,$M567,BE$13)="",10^12,OFFSET(PLE!$G$14,$M567,BE$13))))</f>
        <v>1000000000000</v>
      </c>
      <c r="BF567" s="182">
        <f ca="1">IF($D567&lt;&gt;"Serviço",0,IF(OR(AND(AUTOEVENTO="Manual",$M567=1),$M567&gt;(ROW(PLE.lastrow)-ROW(PLE.firstrow))),0,IF(OFFSET(PLE!$G$14,$M567,BF$13)="",10^12,OFFSET(PLE!$G$14,$M567,BF$13))))</f>
        <v>1000000000000</v>
      </c>
      <c r="BG567" s="182">
        <f ca="1">IF($D567&lt;&gt;"Serviço",0,IF(OR(AND(AUTOEVENTO="Manual",$M567=1),$M567&gt;(ROW(PLE.lastrow)-ROW(PLE.firstrow))),0,IF(OFFSET(PLE!$G$14,$M567,BG$13)="",10^12,OFFSET(PLE!$G$14,$M567,BG$13))))</f>
        <v>1000000000000</v>
      </c>
    </row>
    <row r="568" spans="1:59" ht="25.5" x14ac:dyDescent="0.2">
      <c r="A568" s="7" t="str">
        <f t="shared" ca="1" si="15"/>
        <v>472</v>
      </c>
      <c r="B568" s="7" t="str">
        <f ca="1">OFFSET(ORÇAMENTO!C$15,ROW(B568)-ROW(B$15),0)</f>
        <v>S</v>
      </c>
      <c r="C568" s="7" t="str">
        <f ca="1">OFFSET(ORÇAMENTO!L$15,ROW(C568)-ROW(C$15),0)</f>
        <v/>
      </c>
      <c r="D568" s="118" t="str">
        <f ca="1">OFFSET(ORÇAMENTO!N$15,ROW(D568)-ROW(D$15),0)</f>
        <v>Serviço</v>
      </c>
      <c r="E568" s="119" t="str">
        <f ca="1">OFFSET(ORÇAMENTO!O$15,ROW(E568)-ROW(E$15),0)</f>
        <v>-</v>
      </c>
      <c r="F568" s="172" t="str">
        <f ca="1">OFFSET(ORÇAMENTO!R$15,ROW(F568)-ROW(F$15),0)</f>
        <v>(abra o arquivo 'Referência 02-2025.xlsm)</v>
      </c>
      <c r="G568" s="173" t="str">
        <f ca="1">IF($D568&lt;&gt;"Serviço","",OFFSET(ORÇAMENTO!S$15,ROW(G568)-ROW(G$15),0))</f>
        <v>-</v>
      </c>
      <c r="H568" s="124">
        <f ca="1">IF($D568&lt;&gt;"Serviço",0,IF(ACOMPANHAMENTO="BM",ROUND(OFFSET(ORÇAMENTO!AJ$15,ROW(H568)-ROW(H$15),0),15-13*ORÇAMENTO!$AF$7),SUMPRODUCT(($Q$12:$AA$12&lt;&gt;"")*ROUND($Q568:$AA568,15-13*ORÇAMENTO!$AF$7))))</f>
        <v>2</v>
      </c>
      <c r="I568" s="561" t="s">
        <v>890</v>
      </c>
      <c r="K568" s="174"/>
      <c r="L568" s="175" t="s">
        <v>255</v>
      </c>
      <c r="M568" s="176">
        <f ca="1">IF($D568&lt;&gt;"Serviço","",IF(AUTOEVENTO="manual",$A568,IF(ISERROR(MATCH($A568,$A$15:OFFSET($A568,-1,0),0)),MAX($M$15:OFFSET(M568,-1,0))+1,INDEX($M$15:OFFSET(M568,-1,0),MATCH($A568,$A$15:OFFSET($A568,-1,0),0)))))</f>
        <v>18</v>
      </c>
      <c r="N568" s="177" t="str">
        <f ca="1">IF($D568&lt;&gt;"Serviço","",IF(AUTOEVENTO="Manual",IF($A568=0,"&lt;-- defina o número do agrupador",OFFSET(EVENTOS!$D$14,$A568,0)),OFFSET($F$15,$A568,0)))</f>
        <v>INSTALAÇÕES ELÉTRICAS - 220V</v>
      </c>
      <c r="O568" s="178"/>
      <c r="Q568" s="178"/>
      <c r="R568" s="179"/>
      <c r="S568" s="179"/>
      <c r="T568" s="179"/>
      <c r="U568" s="179"/>
      <c r="V568" s="179"/>
      <c r="W568" s="179"/>
      <c r="X568" s="179"/>
      <c r="Y568" s="179"/>
      <c r="Z568" s="180"/>
      <c r="AB568" s="544">
        <f ca="1">IF(AND($D568="Serviço",AB$12&lt;&gt;0,$H568&gt;0,OR(AUTOEVENTO&lt;&gt;"manual",$M568&lt;&gt;1)),
IF(Import.TipoArredondamento&lt;&gt;"TransfereGOV",
ROUND(OFFSET($P568,0,AB$13),15-13*ORÇAMENTO!$AF$7)/$H568*OFFSET(ORÇAMENTO!$X$15,ROW(AB568)-ROW(AB$15),0),
ROUND(ROUND(OFFSET($P568,0,AB$13),15-13*ORÇAMENTO!$AF$7)*OFFSET(ORÇAMENTO!$W$15,ROW(AB568)-ROW(AB$15),0),15-13*ORÇAMENTO!$AF$11)),0)</f>
        <v>0</v>
      </c>
      <c r="AC568" s="545">
        <f ca="1">IF(AND($D568="Serviço",AC$12&lt;&gt;0,$H568&gt;0,OR(AUTOEVENTO&lt;&gt;"manual",$M568&lt;&gt;1)),
IF(Import.TipoArredondamento&lt;&gt;"TransfereGOV",
ROUND(OFFSET($P568,0,AC$13),15-13*ORÇAMENTO!$AF$7)/$H568*OFFSET(ORÇAMENTO!$X$15,ROW(AC568)-ROW(AC$15),0),
ROUND(ROUND(OFFSET($P568,0,AC$13),15-13*ORÇAMENTO!$AF$7)*OFFSET(ORÇAMENTO!$W$15,ROW(AC568)-ROW(AC$15),0),15-13*ORÇAMENTO!$AF$11)),0)</f>
        <v>0</v>
      </c>
      <c r="AD568" s="545">
        <f ca="1">IF(AND($D568="Serviço",AD$12&lt;&gt;0,$H568&gt;0,OR(AUTOEVENTO&lt;&gt;"manual",$M568&lt;&gt;1)),
IF(Import.TipoArredondamento&lt;&gt;"TransfereGOV",
ROUND(OFFSET($P568,0,AD$13),15-13*ORÇAMENTO!$AF$7)/$H568*OFFSET(ORÇAMENTO!$X$15,ROW(AD568)-ROW(AD$15),0),
ROUND(ROUND(OFFSET($P568,0,AD$13),15-13*ORÇAMENTO!$AF$7)*OFFSET(ORÇAMENTO!$W$15,ROW(AD568)-ROW(AD$15),0),15-13*ORÇAMENTO!$AF$11)),0)</f>
        <v>0</v>
      </c>
      <c r="AE568" s="545">
        <f ca="1">IF(AND($D568="Serviço",AE$12&lt;&gt;0,$H568&gt;0,OR(AUTOEVENTO&lt;&gt;"manual",$M568&lt;&gt;1)),
IF(Import.TipoArredondamento&lt;&gt;"TransfereGOV",
ROUND(OFFSET($P568,0,AE$13),15-13*ORÇAMENTO!$AF$7)/$H568*OFFSET(ORÇAMENTO!$X$15,ROW(AE568)-ROW(AE$15),0),
ROUND(ROUND(OFFSET($P568,0,AE$13),15-13*ORÇAMENTO!$AF$7)*OFFSET(ORÇAMENTO!$W$15,ROW(AE568)-ROW(AE$15),0),15-13*ORÇAMENTO!$AF$11)),0)</f>
        <v>0</v>
      </c>
      <c r="AF568" s="545">
        <f ca="1">IF(AND($D568="Serviço",AF$12&lt;&gt;0,$H568&gt;0,OR(AUTOEVENTO&lt;&gt;"manual",$M568&lt;&gt;1)),
IF(Import.TipoArredondamento&lt;&gt;"TransfereGOV",
ROUND(OFFSET($P568,0,AF$13),15-13*ORÇAMENTO!$AF$7)/$H568*OFFSET(ORÇAMENTO!$X$15,ROW(AF568)-ROW(AF$15),0),
ROUND(ROUND(OFFSET($P568,0,AF$13),15-13*ORÇAMENTO!$AF$7)*OFFSET(ORÇAMENTO!$W$15,ROW(AF568)-ROW(AF$15),0),15-13*ORÇAMENTO!$AF$11)),0)</f>
        <v>0</v>
      </c>
      <c r="AG568" s="545">
        <f ca="1">IF(AND($D568="Serviço",AG$12&lt;&gt;0,$H568&gt;0,OR(AUTOEVENTO&lt;&gt;"manual",$M568&lt;&gt;1)),
IF(Import.TipoArredondamento&lt;&gt;"TransfereGOV",
ROUND(OFFSET($P568,0,AG$13),15-13*ORÇAMENTO!$AF$7)/$H568*OFFSET(ORÇAMENTO!$X$15,ROW(AG568)-ROW(AG$15),0),
ROUND(ROUND(OFFSET($P568,0,AG$13),15-13*ORÇAMENTO!$AF$7)*OFFSET(ORÇAMENTO!$W$15,ROW(AG568)-ROW(AG$15),0),15-13*ORÇAMENTO!$AF$11)),0)</f>
        <v>0</v>
      </c>
      <c r="AH568" s="545">
        <f ca="1">IF(AND($D568="Serviço",AH$12&lt;&gt;0,$H568&gt;0,OR(AUTOEVENTO&lt;&gt;"manual",$M568&lt;&gt;1)),
IF(Import.TipoArredondamento&lt;&gt;"TransfereGOV",
ROUND(OFFSET($P568,0,AH$13),15-13*ORÇAMENTO!$AF$7)/$H568*OFFSET(ORÇAMENTO!$X$15,ROW(AH568)-ROW(AH$15),0),
ROUND(ROUND(OFFSET($P568,0,AH$13),15-13*ORÇAMENTO!$AF$7)*OFFSET(ORÇAMENTO!$W$15,ROW(AH568)-ROW(AH$15),0),15-13*ORÇAMENTO!$AF$11)),0)</f>
        <v>0</v>
      </c>
      <c r="AI568" s="545">
        <f ca="1">IF(AND($D568="Serviço",AI$12&lt;&gt;0,$H568&gt;0,OR(AUTOEVENTO&lt;&gt;"manual",$M568&lt;&gt;1)),
IF(Import.TipoArredondamento&lt;&gt;"TransfereGOV",
ROUND(OFFSET($P568,0,AI$13),15-13*ORÇAMENTO!$AF$7)/$H568*OFFSET(ORÇAMENTO!$X$15,ROW(AI568)-ROW(AI$15),0),
ROUND(ROUND(OFFSET($P568,0,AI$13),15-13*ORÇAMENTO!$AF$7)*OFFSET(ORÇAMENTO!$W$15,ROW(AI568)-ROW(AI$15),0),15-13*ORÇAMENTO!$AF$11)),0)</f>
        <v>0</v>
      </c>
      <c r="AJ568" s="545">
        <f ca="1">IF(AND($D568="Serviço",AJ$12&lt;&gt;0,$H568&gt;0,OR(AUTOEVENTO&lt;&gt;"manual",$M568&lt;&gt;1)),
IF(Import.TipoArredondamento&lt;&gt;"TransfereGOV",
ROUND(OFFSET($P568,0,AJ$13),15-13*ORÇAMENTO!$AF$7)/$H568*OFFSET(ORÇAMENTO!$X$15,ROW(AJ568)-ROW(AJ$15),0),
ROUND(ROUND(OFFSET($P568,0,AJ$13),15-13*ORÇAMENTO!$AF$7)*OFFSET(ORÇAMENTO!$W$15,ROW(AJ568)-ROW(AJ$15),0),15-13*ORÇAMENTO!$AF$11)),0)</f>
        <v>0</v>
      </c>
      <c r="AK568" s="546">
        <f ca="1">IF(AND($D568="Serviço",AK$12&lt;&gt;0,$H568&gt;0,OR(AUTOEVENTO&lt;&gt;"manual",$M568&lt;&gt;1)),
IF(Import.TipoArredondamento&lt;&gt;"TransfereGOV",
ROUND(OFFSET($P568,0,AK$13),15-13*ORÇAMENTO!$AF$7)/$H568*OFFSET(ORÇAMENTO!$X$15,ROW(AK568)-ROW(AK$15),0),
ROUND(ROUND(OFFSET($P568,0,AK$13),15-13*ORÇAMENTO!$AF$7)*OFFSET(ORÇAMENTO!$W$15,ROW(AK568)-ROW(AK$15),0),15-13*ORÇAMENTO!$AF$11)),0)</f>
        <v>0</v>
      </c>
      <c r="AM568" s="181">
        <f ca="1">IF($D568&lt;&gt;"Serviço",0,IF(AND(AUTOEVENTO="Manual",$M568=1),0,IF(OFFSET(CRONOPLE!$F$14,$M568,AM$13)="",10^12,OFFSET(CRONOPLE!$F$14,$M568,AM$13))))</f>
        <v>1000000000000</v>
      </c>
      <c r="AN568" s="181">
        <f ca="1">IF($D568&lt;&gt;"Serviço",0,IF(AND(AUTOEVENTO="Manual",$M568=1),0,IF(OFFSET(CRONOPLE!$F$14,$M568,AN$13)="",10^12,OFFSET(CRONOPLE!$F$14,$M568,AN$13))))</f>
        <v>1000000000000</v>
      </c>
      <c r="AO568" s="181">
        <f ca="1">IF($D568&lt;&gt;"Serviço",0,IF(AND(AUTOEVENTO="Manual",$M568=1),0,IF(OFFSET(CRONOPLE!$F$14,$M568,AO$13)="",10^12,OFFSET(CRONOPLE!$F$14,$M568,AO$13))))</f>
        <v>1000000000000</v>
      </c>
      <c r="AP568" s="181">
        <f ca="1">IF($D568&lt;&gt;"Serviço",0,IF(AND(AUTOEVENTO="Manual",$M568=1),0,IF(OFFSET(CRONOPLE!$F$14,$M568,AP$13)="",10^12,OFFSET(CRONOPLE!$F$14,$M568,AP$13))))</f>
        <v>1000000000000</v>
      </c>
      <c r="AQ568" s="181">
        <f ca="1">IF($D568&lt;&gt;"Serviço",0,IF(AND(AUTOEVENTO="Manual",$M568=1),0,IF(OFFSET(CRONOPLE!$F$14,$M568,AQ$13)="",10^12,OFFSET(CRONOPLE!$F$14,$M568,AQ$13))))</f>
        <v>1000000000000</v>
      </c>
      <c r="AR568" s="181">
        <f ca="1">IF($D568&lt;&gt;"Serviço",0,IF(AND(AUTOEVENTO="Manual",$M568=1),0,IF(OFFSET(CRONOPLE!$F$14,$M568,AR$13)="",10^12,OFFSET(CRONOPLE!$F$14,$M568,AR$13))))</f>
        <v>1000000000000</v>
      </c>
      <c r="AS568" s="181">
        <f ca="1">IF($D568&lt;&gt;"Serviço",0,IF(AND(AUTOEVENTO="Manual",$M568=1),0,IF(OFFSET(CRONOPLE!$F$14,$M568,AS$13)="",10^12,OFFSET(CRONOPLE!$F$14,$M568,AS$13))))</f>
        <v>1000000000000</v>
      </c>
      <c r="AT568" s="181">
        <f ca="1">IF($D568&lt;&gt;"Serviço",0,IF(AND(AUTOEVENTO="Manual",$M568=1),0,IF(OFFSET(CRONOPLE!$F$14,$M568,AT$13)="",10^12,OFFSET(CRONOPLE!$F$14,$M568,AT$13))))</f>
        <v>1000000000000</v>
      </c>
      <c r="AU568" s="181">
        <f ca="1">IF($D568&lt;&gt;"Serviço",0,IF(AND(AUTOEVENTO="Manual",$M568=1),0,IF(OFFSET(CRONOPLE!$F$14,$M568,AU$13)="",10^12,OFFSET(CRONOPLE!$F$14,$M568,AU$13))))</f>
        <v>1000000000000</v>
      </c>
      <c r="AV568" s="181">
        <f ca="1">IF($D568&lt;&gt;"Serviço",0,IF(AND(AUTOEVENTO="Manual",$M568=1),0,IF(OFFSET(CRONOPLE!$F$14,$M568,AV$13)="",10^12,OFFSET(CRONOPLE!$F$14,$M568,AV$13))))</f>
        <v>1000000000000</v>
      </c>
      <c r="AX568" s="182">
        <f ca="1">IF($D568&lt;&gt;"Serviço",0,IF(OR(AND(AUTOEVENTO="Manual",$M568=1),$M568&gt;(ROW(PLE.lastrow)-ROW(PLE.firstrow))),0,IF(OFFSET(PLE!$G$14,$M568,AX$13)="",10^12,OFFSET(PLE!$G$14,$M568,AX$13))))</f>
        <v>1000000000000</v>
      </c>
      <c r="AY568" s="182">
        <f ca="1">IF($D568&lt;&gt;"Serviço",0,IF(OR(AND(AUTOEVENTO="Manual",$M568=1),$M568&gt;(ROW(PLE.lastrow)-ROW(PLE.firstrow))),0,IF(OFFSET(PLE!$G$14,$M568,AY$13)="",10^12,OFFSET(PLE!$G$14,$M568,AY$13))))</f>
        <v>1000000000000</v>
      </c>
      <c r="AZ568" s="182">
        <f ca="1">IF($D568&lt;&gt;"Serviço",0,IF(OR(AND(AUTOEVENTO="Manual",$M568=1),$M568&gt;(ROW(PLE.lastrow)-ROW(PLE.firstrow))),0,IF(OFFSET(PLE!$G$14,$M568,AZ$13)="",10^12,OFFSET(PLE!$G$14,$M568,AZ$13))))</f>
        <v>1000000000000</v>
      </c>
      <c r="BA568" s="182">
        <f ca="1">IF($D568&lt;&gt;"Serviço",0,IF(OR(AND(AUTOEVENTO="Manual",$M568=1),$M568&gt;(ROW(PLE.lastrow)-ROW(PLE.firstrow))),0,IF(OFFSET(PLE!$G$14,$M568,BA$13)="",10^12,OFFSET(PLE!$G$14,$M568,BA$13))))</f>
        <v>1000000000000</v>
      </c>
      <c r="BB568" s="182">
        <f ca="1">IF($D568&lt;&gt;"Serviço",0,IF(OR(AND(AUTOEVENTO="Manual",$M568=1),$M568&gt;(ROW(PLE.lastrow)-ROW(PLE.firstrow))),0,IF(OFFSET(PLE!$G$14,$M568,BB$13)="",10^12,OFFSET(PLE!$G$14,$M568,BB$13))))</f>
        <v>1000000000000</v>
      </c>
      <c r="BC568" s="182">
        <f ca="1">IF($D568&lt;&gt;"Serviço",0,IF(OR(AND(AUTOEVENTO="Manual",$M568=1),$M568&gt;(ROW(PLE.lastrow)-ROW(PLE.firstrow))),0,IF(OFFSET(PLE!$G$14,$M568,BC$13)="",10^12,OFFSET(PLE!$G$14,$M568,BC$13))))</f>
        <v>1000000000000</v>
      </c>
      <c r="BD568" s="182">
        <f ca="1">IF($D568&lt;&gt;"Serviço",0,IF(OR(AND(AUTOEVENTO="Manual",$M568=1),$M568&gt;(ROW(PLE.lastrow)-ROW(PLE.firstrow))),0,IF(OFFSET(PLE!$G$14,$M568,BD$13)="",10^12,OFFSET(PLE!$G$14,$M568,BD$13))))</f>
        <v>1000000000000</v>
      </c>
      <c r="BE568" s="182">
        <f ca="1">IF($D568&lt;&gt;"Serviço",0,IF(OR(AND(AUTOEVENTO="Manual",$M568=1),$M568&gt;(ROW(PLE.lastrow)-ROW(PLE.firstrow))),0,IF(OFFSET(PLE!$G$14,$M568,BE$13)="",10^12,OFFSET(PLE!$G$14,$M568,BE$13))))</f>
        <v>1000000000000</v>
      </c>
      <c r="BF568" s="182">
        <f ca="1">IF($D568&lt;&gt;"Serviço",0,IF(OR(AND(AUTOEVENTO="Manual",$M568=1),$M568&gt;(ROW(PLE.lastrow)-ROW(PLE.firstrow))),0,IF(OFFSET(PLE!$G$14,$M568,BF$13)="",10^12,OFFSET(PLE!$G$14,$M568,BF$13))))</f>
        <v>1000000000000</v>
      </c>
      <c r="BG568" s="182">
        <f ca="1">IF($D568&lt;&gt;"Serviço",0,IF(OR(AND(AUTOEVENTO="Manual",$M568=1),$M568&gt;(ROW(PLE.lastrow)-ROW(PLE.firstrow))),0,IF(OFFSET(PLE!$G$14,$M568,BG$13)="",10^12,OFFSET(PLE!$G$14,$M568,BG$13))))</f>
        <v>1000000000000</v>
      </c>
    </row>
    <row r="569" spans="1:59" ht="25.5" x14ac:dyDescent="0.2">
      <c r="A569" s="7" t="str">
        <f t="shared" ca="1" si="15"/>
        <v>472</v>
      </c>
      <c r="B569" s="7" t="str">
        <f ca="1">OFFSET(ORÇAMENTO!C$15,ROW(B569)-ROW(B$15),0)</f>
        <v>S</v>
      </c>
      <c r="C569" s="7" t="str">
        <f ca="1">OFFSET(ORÇAMENTO!L$15,ROW(C569)-ROW(C$15),0)</f>
        <v/>
      </c>
      <c r="D569" s="118" t="str">
        <f ca="1">OFFSET(ORÇAMENTO!N$15,ROW(D569)-ROW(D$15),0)</f>
        <v>Serviço</v>
      </c>
      <c r="E569" s="119" t="str">
        <f ca="1">OFFSET(ORÇAMENTO!O$15,ROW(E569)-ROW(E$15),0)</f>
        <v>-</v>
      </c>
      <c r="F569" s="172" t="str">
        <f ca="1">OFFSET(ORÇAMENTO!R$15,ROW(F569)-ROW(F$15),0)</f>
        <v>(abra o arquivo 'Referência 02-2025.xlsm)</v>
      </c>
      <c r="G569" s="173" t="str">
        <f ca="1">IF($D569&lt;&gt;"Serviço","",OFFSET(ORÇAMENTO!S$15,ROW(G569)-ROW(G$15),0))</f>
        <v>-</v>
      </c>
      <c r="H569" s="124">
        <f ca="1">IF($D569&lt;&gt;"Serviço",0,IF(ACOMPANHAMENTO="BM",ROUND(OFFSET(ORÇAMENTO!AJ$15,ROW(H569)-ROW(H$15),0),15-13*ORÇAMENTO!$AF$7),SUMPRODUCT(($Q$12:$AA$12&lt;&gt;"")*ROUND($Q569:$AA569,15-13*ORÇAMENTO!$AF$7))))</f>
        <v>2</v>
      </c>
      <c r="I569" s="561" t="s">
        <v>890</v>
      </c>
      <c r="K569" s="174"/>
      <c r="L569" s="175" t="s">
        <v>255</v>
      </c>
      <c r="M569" s="176">
        <f ca="1">IF($D569&lt;&gt;"Serviço","",IF(AUTOEVENTO="manual",$A569,IF(ISERROR(MATCH($A569,$A$15:OFFSET($A569,-1,0),0)),MAX($M$15:OFFSET(M569,-1,0))+1,INDEX($M$15:OFFSET(M569,-1,0),MATCH($A569,$A$15:OFFSET($A569,-1,0),0)))))</f>
        <v>18</v>
      </c>
      <c r="N569" s="177" t="str">
        <f ca="1">IF($D569&lt;&gt;"Serviço","",IF(AUTOEVENTO="Manual",IF($A569=0,"&lt;-- defina o número do agrupador",OFFSET(EVENTOS!$D$14,$A569,0)),OFFSET($F$15,$A569,0)))</f>
        <v>INSTALAÇÕES ELÉTRICAS - 220V</v>
      </c>
      <c r="O569" s="178"/>
      <c r="Q569" s="178"/>
      <c r="R569" s="179"/>
      <c r="S569" s="179"/>
      <c r="T569" s="179"/>
      <c r="U569" s="179"/>
      <c r="V569" s="179"/>
      <c r="W569" s="179"/>
      <c r="X569" s="179"/>
      <c r="Y569" s="179"/>
      <c r="Z569" s="180"/>
      <c r="AB569" s="544">
        <f ca="1">IF(AND($D569="Serviço",AB$12&lt;&gt;0,$H569&gt;0,OR(AUTOEVENTO&lt;&gt;"manual",$M569&lt;&gt;1)),
IF(Import.TipoArredondamento&lt;&gt;"TransfereGOV",
ROUND(OFFSET($P569,0,AB$13),15-13*ORÇAMENTO!$AF$7)/$H569*OFFSET(ORÇAMENTO!$X$15,ROW(AB569)-ROW(AB$15),0),
ROUND(ROUND(OFFSET($P569,0,AB$13),15-13*ORÇAMENTO!$AF$7)*OFFSET(ORÇAMENTO!$W$15,ROW(AB569)-ROW(AB$15),0),15-13*ORÇAMENTO!$AF$11)),0)</f>
        <v>0</v>
      </c>
      <c r="AC569" s="545">
        <f ca="1">IF(AND($D569="Serviço",AC$12&lt;&gt;0,$H569&gt;0,OR(AUTOEVENTO&lt;&gt;"manual",$M569&lt;&gt;1)),
IF(Import.TipoArredondamento&lt;&gt;"TransfereGOV",
ROUND(OFFSET($P569,0,AC$13),15-13*ORÇAMENTO!$AF$7)/$H569*OFFSET(ORÇAMENTO!$X$15,ROW(AC569)-ROW(AC$15),0),
ROUND(ROUND(OFFSET($P569,0,AC$13),15-13*ORÇAMENTO!$AF$7)*OFFSET(ORÇAMENTO!$W$15,ROW(AC569)-ROW(AC$15),0),15-13*ORÇAMENTO!$AF$11)),0)</f>
        <v>0</v>
      </c>
      <c r="AD569" s="545">
        <f ca="1">IF(AND($D569="Serviço",AD$12&lt;&gt;0,$H569&gt;0,OR(AUTOEVENTO&lt;&gt;"manual",$M569&lt;&gt;1)),
IF(Import.TipoArredondamento&lt;&gt;"TransfereGOV",
ROUND(OFFSET($P569,0,AD$13),15-13*ORÇAMENTO!$AF$7)/$H569*OFFSET(ORÇAMENTO!$X$15,ROW(AD569)-ROW(AD$15),0),
ROUND(ROUND(OFFSET($P569,0,AD$13),15-13*ORÇAMENTO!$AF$7)*OFFSET(ORÇAMENTO!$W$15,ROW(AD569)-ROW(AD$15),0),15-13*ORÇAMENTO!$AF$11)),0)</f>
        <v>0</v>
      </c>
      <c r="AE569" s="545">
        <f ca="1">IF(AND($D569="Serviço",AE$12&lt;&gt;0,$H569&gt;0,OR(AUTOEVENTO&lt;&gt;"manual",$M569&lt;&gt;1)),
IF(Import.TipoArredondamento&lt;&gt;"TransfereGOV",
ROUND(OFFSET($P569,0,AE$13),15-13*ORÇAMENTO!$AF$7)/$H569*OFFSET(ORÇAMENTO!$X$15,ROW(AE569)-ROW(AE$15),0),
ROUND(ROUND(OFFSET($P569,0,AE$13),15-13*ORÇAMENTO!$AF$7)*OFFSET(ORÇAMENTO!$W$15,ROW(AE569)-ROW(AE$15),0),15-13*ORÇAMENTO!$AF$11)),0)</f>
        <v>0</v>
      </c>
      <c r="AF569" s="545">
        <f ca="1">IF(AND($D569="Serviço",AF$12&lt;&gt;0,$H569&gt;0,OR(AUTOEVENTO&lt;&gt;"manual",$M569&lt;&gt;1)),
IF(Import.TipoArredondamento&lt;&gt;"TransfereGOV",
ROUND(OFFSET($P569,0,AF$13),15-13*ORÇAMENTO!$AF$7)/$H569*OFFSET(ORÇAMENTO!$X$15,ROW(AF569)-ROW(AF$15),0),
ROUND(ROUND(OFFSET($P569,0,AF$13),15-13*ORÇAMENTO!$AF$7)*OFFSET(ORÇAMENTO!$W$15,ROW(AF569)-ROW(AF$15),0),15-13*ORÇAMENTO!$AF$11)),0)</f>
        <v>0</v>
      </c>
      <c r="AG569" s="545">
        <f ca="1">IF(AND($D569="Serviço",AG$12&lt;&gt;0,$H569&gt;0,OR(AUTOEVENTO&lt;&gt;"manual",$M569&lt;&gt;1)),
IF(Import.TipoArredondamento&lt;&gt;"TransfereGOV",
ROUND(OFFSET($P569,0,AG$13),15-13*ORÇAMENTO!$AF$7)/$H569*OFFSET(ORÇAMENTO!$X$15,ROW(AG569)-ROW(AG$15),0),
ROUND(ROUND(OFFSET($P569,0,AG$13),15-13*ORÇAMENTO!$AF$7)*OFFSET(ORÇAMENTO!$W$15,ROW(AG569)-ROW(AG$15),0),15-13*ORÇAMENTO!$AF$11)),0)</f>
        <v>0</v>
      </c>
      <c r="AH569" s="545">
        <f ca="1">IF(AND($D569="Serviço",AH$12&lt;&gt;0,$H569&gt;0,OR(AUTOEVENTO&lt;&gt;"manual",$M569&lt;&gt;1)),
IF(Import.TipoArredondamento&lt;&gt;"TransfereGOV",
ROUND(OFFSET($P569,0,AH$13),15-13*ORÇAMENTO!$AF$7)/$H569*OFFSET(ORÇAMENTO!$X$15,ROW(AH569)-ROW(AH$15),0),
ROUND(ROUND(OFFSET($P569,0,AH$13),15-13*ORÇAMENTO!$AF$7)*OFFSET(ORÇAMENTO!$W$15,ROW(AH569)-ROW(AH$15),0),15-13*ORÇAMENTO!$AF$11)),0)</f>
        <v>0</v>
      </c>
      <c r="AI569" s="545">
        <f ca="1">IF(AND($D569="Serviço",AI$12&lt;&gt;0,$H569&gt;0,OR(AUTOEVENTO&lt;&gt;"manual",$M569&lt;&gt;1)),
IF(Import.TipoArredondamento&lt;&gt;"TransfereGOV",
ROUND(OFFSET($P569,0,AI$13),15-13*ORÇAMENTO!$AF$7)/$H569*OFFSET(ORÇAMENTO!$X$15,ROW(AI569)-ROW(AI$15),0),
ROUND(ROUND(OFFSET($P569,0,AI$13),15-13*ORÇAMENTO!$AF$7)*OFFSET(ORÇAMENTO!$W$15,ROW(AI569)-ROW(AI$15),0),15-13*ORÇAMENTO!$AF$11)),0)</f>
        <v>0</v>
      </c>
      <c r="AJ569" s="545">
        <f ca="1">IF(AND($D569="Serviço",AJ$12&lt;&gt;0,$H569&gt;0,OR(AUTOEVENTO&lt;&gt;"manual",$M569&lt;&gt;1)),
IF(Import.TipoArredondamento&lt;&gt;"TransfereGOV",
ROUND(OFFSET($P569,0,AJ$13),15-13*ORÇAMENTO!$AF$7)/$H569*OFFSET(ORÇAMENTO!$X$15,ROW(AJ569)-ROW(AJ$15),0),
ROUND(ROUND(OFFSET($P569,0,AJ$13),15-13*ORÇAMENTO!$AF$7)*OFFSET(ORÇAMENTO!$W$15,ROW(AJ569)-ROW(AJ$15),0),15-13*ORÇAMENTO!$AF$11)),0)</f>
        <v>0</v>
      </c>
      <c r="AK569" s="546">
        <f ca="1">IF(AND($D569="Serviço",AK$12&lt;&gt;0,$H569&gt;0,OR(AUTOEVENTO&lt;&gt;"manual",$M569&lt;&gt;1)),
IF(Import.TipoArredondamento&lt;&gt;"TransfereGOV",
ROUND(OFFSET($P569,0,AK$13),15-13*ORÇAMENTO!$AF$7)/$H569*OFFSET(ORÇAMENTO!$X$15,ROW(AK569)-ROW(AK$15),0),
ROUND(ROUND(OFFSET($P569,0,AK$13),15-13*ORÇAMENTO!$AF$7)*OFFSET(ORÇAMENTO!$W$15,ROW(AK569)-ROW(AK$15),0),15-13*ORÇAMENTO!$AF$11)),0)</f>
        <v>0</v>
      </c>
      <c r="AM569" s="181">
        <f ca="1">IF($D569&lt;&gt;"Serviço",0,IF(AND(AUTOEVENTO="Manual",$M569=1),0,IF(OFFSET(CRONOPLE!$F$14,$M569,AM$13)="",10^12,OFFSET(CRONOPLE!$F$14,$M569,AM$13))))</f>
        <v>1000000000000</v>
      </c>
      <c r="AN569" s="181">
        <f ca="1">IF($D569&lt;&gt;"Serviço",0,IF(AND(AUTOEVENTO="Manual",$M569=1),0,IF(OFFSET(CRONOPLE!$F$14,$M569,AN$13)="",10^12,OFFSET(CRONOPLE!$F$14,$M569,AN$13))))</f>
        <v>1000000000000</v>
      </c>
      <c r="AO569" s="181">
        <f ca="1">IF($D569&lt;&gt;"Serviço",0,IF(AND(AUTOEVENTO="Manual",$M569=1),0,IF(OFFSET(CRONOPLE!$F$14,$M569,AO$13)="",10^12,OFFSET(CRONOPLE!$F$14,$M569,AO$13))))</f>
        <v>1000000000000</v>
      </c>
      <c r="AP569" s="181">
        <f ca="1">IF($D569&lt;&gt;"Serviço",0,IF(AND(AUTOEVENTO="Manual",$M569=1),0,IF(OFFSET(CRONOPLE!$F$14,$M569,AP$13)="",10^12,OFFSET(CRONOPLE!$F$14,$M569,AP$13))))</f>
        <v>1000000000000</v>
      </c>
      <c r="AQ569" s="181">
        <f ca="1">IF($D569&lt;&gt;"Serviço",0,IF(AND(AUTOEVENTO="Manual",$M569=1),0,IF(OFFSET(CRONOPLE!$F$14,$M569,AQ$13)="",10^12,OFFSET(CRONOPLE!$F$14,$M569,AQ$13))))</f>
        <v>1000000000000</v>
      </c>
      <c r="AR569" s="181">
        <f ca="1">IF($D569&lt;&gt;"Serviço",0,IF(AND(AUTOEVENTO="Manual",$M569=1),0,IF(OFFSET(CRONOPLE!$F$14,$M569,AR$13)="",10^12,OFFSET(CRONOPLE!$F$14,$M569,AR$13))))</f>
        <v>1000000000000</v>
      </c>
      <c r="AS569" s="181">
        <f ca="1">IF($D569&lt;&gt;"Serviço",0,IF(AND(AUTOEVENTO="Manual",$M569=1),0,IF(OFFSET(CRONOPLE!$F$14,$M569,AS$13)="",10^12,OFFSET(CRONOPLE!$F$14,$M569,AS$13))))</f>
        <v>1000000000000</v>
      </c>
      <c r="AT569" s="181">
        <f ca="1">IF($D569&lt;&gt;"Serviço",0,IF(AND(AUTOEVENTO="Manual",$M569=1),0,IF(OFFSET(CRONOPLE!$F$14,$M569,AT$13)="",10^12,OFFSET(CRONOPLE!$F$14,$M569,AT$13))))</f>
        <v>1000000000000</v>
      </c>
      <c r="AU569" s="181">
        <f ca="1">IF($D569&lt;&gt;"Serviço",0,IF(AND(AUTOEVENTO="Manual",$M569=1),0,IF(OFFSET(CRONOPLE!$F$14,$M569,AU$13)="",10^12,OFFSET(CRONOPLE!$F$14,$M569,AU$13))))</f>
        <v>1000000000000</v>
      </c>
      <c r="AV569" s="181">
        <f ca="1">IF($D569&lt;&gt;"Serviço",0,IF(AND(AUTOEVENTO="Manual",$M569=1),0,IF(OFFSET(CRONOPLE!$F$14,$M569,AV$13)="",10^12,OFFSET(CRONOPLE!$F$14,$M569,AV$13))))</f>
        <v>1000000000000</v>
      </c>
      <c r="AX569" s="182">
        <f ca="1">IF($D569&lt;&gt;"Serviço",0,IF(OR(AND(AUTOEVENTO="Manual",$M569=1),$M569&gt;(ROW(PLE.lastrow)-ROW(PLE.firstrow))),0,IF(OFFSET(PLE!$G$14,$M569,AX$13)="",10^12,OFFSET(PLE!$G$14,$M569,AX$13))))</f>
        <v>1000000000000</v>
      </c>
      <c r="AY569" s="182">
        <f ca="1">IF($D569&lt;&gt;"Serviço",0,IF(OR(AND(AUTOEVENTO="Manual",$M569=1),$M569&gt;(ROW(PLE.lastrow)-ROW(PLE.firstrow))),0,IF(OFFSET(PLE!$G$14,$M569,AY$13)="",10^12,OFFSET(PLE!$G$14,$M569,AY$13))))</f>
        <v>1000000000000</v>
      </c>
      <c r="AZ569" s="182">
        <f ca="1">IF($D569&lt;&gt;"Serviço",0,IF(OR(AND(AUTOEVENTO="Manual",$M569=1),$M569&gt;(ROW(PLE.lastrow)-ROW(PLE.firstrow))),0,IF(OFFSET(PLE!$G$14,$M569,AZ$13)="",10^12,OFFSET(PLE!$G$14,$M569,AZ$13))))</f>
        <v>1000000000000</v>
      </c>
      <c r="BA569" s="182">
        <f ca="1">IF($D569&lt;&gt;"Serviço",0,IF(OR(AND(AUTOEVENTO="Manual",$M569=1),$M569&gt;(ROW(PLE.lastrow)-ROW(PLE.firstrow))),0,IF(OFFSET(PLE!$G$14,$M569,BA$13)="",10^12,OFFSET(PLE!$G$14,$M569,BA$13))))</f>
        <v>1000000000000</v>
      </c>
      <c r="BB569" s="182">
        <f ca="1">IF($D569&lt;&gt;"Serviço",0,IF(OR(AND(AUTOEVENTO="Manual",$M569=1),$M569&gt;(ROW(PLE.lastrow)-ROW(PLE.firstrow))),0,IF(OFFSET(PLE!$G$14,$M569,BB$13)="",10^12,OFFSET(PLE!$G$14,$M569,BB$13))))</f>
        <v>1000000000000</v>
      </c>
      <c r="BC569" s="182">
        <f ca="1">IF($D569&lt;&gt;"Serviço",0,IF(OR(AND(AUTOEVENTO="Manual",$M569=1),$M569&gt;(ROW(PLE.lastrow)-ROW(PLE.firstrow))),0,IF(OFFSET(PLE!$G$14,$M569,BC$13)="",10^12,OFFSET(PLE!$G$14,$M569,BC$13))))</f>
        <v>1000000000000</v>
      </c>
      <c r="BD569" s="182">
        <f ca="1">IF($D569&lt;&gt;"Serviço",0,IF(OR(AND(AUTOEVENTO="Manual",$M569=1),$M569&gt;(ROW(PLE.lastrow)-ROW(PLE.firstrow))),0,IF(OFFSET(PLE!$G$14,$M569,BD$13)="",10^12,OFFSET(PLE!$G$14,$M569,BD$13))))</f>
        <v>1000000000000</v>
      </c>
      <c r="BE569" s="182">
        <f ca="1">IF($D569&lt;&gt;"Serviço",0,IF(OR(AND(AUTOEVENTO="Manual",$M569=1),$M569&gt;(ROW(PLE.lastrow)-ROW(PLE.firstrow))),0,IF(OFFSET(PLE!$G$14,$M569,BE$13)="",10^12,OFFSET(PLE!$G$14,$M569,BE$13))))</f>
        <v>1000000000000</v>
      </c>
      <c r="BF569" s="182">
        <f ca="1">IF($D569&lt;&gt;"Serviço",0,IF(OR(AND(AUTOEVENTO="Manual",$M569=1),$M569&gt;(ROW(PLE.lastrow)-ROW(PLE.firstrow))),0,IF(OFFSET(PLE!$G$14,$M569,BF$13)="",10^12,OFFSET(PLE!$G$14,$M569,BF$13))))</f>
        <v>1000000000000</v>
      </c>
      <c r="BG569" s="182">
        <f ca="1">IF($D569&lt;&gt;"Serviço",0,IF(OR(AND(AUTOEVENTO="Manual",$M569=1),$M569&gt;(ROW(PLE.lastrow)-ROW(PLE.firstrow))),0,IF(OFFSET(PLE!$G$14,$M569,BG$13)="",10^12,OFFSET(PLE!$G$14,$M569,BG$13))))</f>
        <v>1000000000000</v>
      </c>
    </row>
    <row r="570" spans="1:59" ht="25.5" x14ac:dyDescent="0.2">
      <c r="A570" s="7" t="str">
        <f t="shared" ca="1" si="15"/>
        <v>472</v>
      </c>
      <c r="B570" s="7" t="str">
        <f ca="1">OFFSET(ORÇAMENTO!C$15,ROW(B570)-ROW(B$15),0)</f>
        <v>S</v>
      </c>
      <c r="C570" s="7" t="str">
        <f ca="1">OFFSET(ORÇAMENTO!L$15,ROW(C570)-ROW(C$15),0)</f>
        <v/>
      </c>
      <c r="D570" s="118" t="str">
        <f ca="1">OFFSET(ORÇAMENTO!N$15,ROW(D570)-ROW(D$15),0)</f>
        <v>Serviço</v>
      </c>
      <c r="E570" s="119" t="str">
        <f ca="1">OFFSET(ORÇAMENTO!O$15,ROW(E570)-ROW(E$15),0)</f>
        <v>-</v>
      </c>
      <c r="F570" s="172" t="str">
        <f ca="1">OFFSET(ORÇAMENTO!R$15,ROW(F570)-ROW(F$15),0)</f>
        <v>(abra o arquivo 'Referência 02-2025.xlsm)</v>
      </c>
      <c r="G570" s="173" t="str">
        <f ca="1">IF($D570&lt;&gt;"Serviço","",OFFSET(ORÇAMENTO!S$15,ROW(G570)-ROW(G$15),0))</f>
        <v>-</v>
      </c>
      <c r="H570" s="124">
        <f ca="1">IF($D570&lt;&gt;"Serviço",0,IF(ACOMPANHAMENTO="BM",ROUND(OFFSET(ORÇAMENTO!AJ$15,ROW(H570)-ROW(H$15),0),15-13*ORÇAMENTO!$AF$7),SUMPRODUCT(($Q$12:$AA$12&lt;&gt;"")*ROUND($Q570:$AA570,15-13*ORÇAMENTO!$AF$7))))</f>
        <v>2</v>
      </c>
      <c r="I570" s="561" t="s">
        <v>890</v>
      </c>
      <c r="K570" s="174"/>
      <c r="L570" s="175" t="s">
        <v>255</v>
      </c>
      <c r="M570" s="176">
        <f ca="1">IF($D570&lt;&gt;"Serviço","",IF(AUTOEVENTO="manual",$A570,IF(ISERROR(MATCH($A570,$A$15:OFFSET($A570,-1,0),0)),MAX($M$15:OFFSET(M570,-1,0))+1,INDEX($M$15:OFFSET(M570,-1,0),MATCH($A570,$A$15:OFFSET($A570,-1,0),0)))))</f>
        <v>18</v>
      </c>
      <c r="N570" s="177" t="str">
        <f ca="1">IF($D570&lt;&gt;"Serviço","",IF(AUTOEVENTO="Manual",IF($A570=0,"&lt;-- defina o número do agrupador",OFFSET(EVENTOS!$D$14,$A570,0)),OFFSET($F$15,$A570,0)))</f>
        <v>INSTALAÇÕES ELÉTRICAS - 220V</v>
      </c>
      <c r="O570" s="178"/>
      <c r="Q570" s="178"/>
      <c r="R570" s="179"/>
      <c r="S570" s="179"/>
      <c r="T570" s="179"/>
      <c r="U570" s="179"/>
      <c r="V570" s="179"/>
      <c r="W570" s="179"/>
      <c r="X570" s="179"/>
      <c r="Y570" s="179"/>
      <c r="Z570" s="180"/>
      <c r="AB570" s="544">
        <f ca="1">IF(AND($D570="Serviço",AB$12&lt;&gt;0,$H570&gt;0,OR(AUTOEVENTO&lt;&gt;"manual",$M570&lt;&gt;1)),
IF(Import.TipoArredondamento&lt;&gt;"TransfereGOV",
ROUND(OFFSET($P570,0,AB$13),15-13*ORÇAMENTO!$AF$7)/$H570*OFFSET(ORÇAMENTO!$X$15,ROW(AB570)-ROW(AB$15),0),
ROUND(ROUND(OFFSET($P570,0,AB$13),15-13*ORÇAMENTO!$AF$7)*OFFSET(ORÇAMENTO!$W$15,ROW(AB570)-ROW(AB$15),0),15-13*ORÇAMENTO!$AF$11)),0)</f>
        <v>0</v>
      </c>
      <c r="AC570" s="545">
        <f ca="1">IF(AND($D570="Serviço",AC$12&lt;&gt;0,$H570&gt;0,OR(AUTOEVENTO&lt;&gt;"manual",$M570&lt;&gt;1)),
IF(Import.TipoArredondamento&lt;&gt;"TransfereGOV",
ROUND(OFFSET($P570,0,AC$13),15-13*ORÇAMENTO!$AF$7)/$H570*OFFSET(ORÇAMENTO!$X$15,ROW(AC570)-ROW(AC$15),0),
ROUND(ROUND(OFFSET($P570,0,AC$13),15-13*ORÇAMENTO!$AF$7)*OFFSET(ORÇAMENTO!$W$15,ROW(AC570)-ROW(AC$15),0),15-13*ORÇAMENTO!$AF$11)),0)</f>
        <v>0</v>
      </c>
      <c r="AD570" s="545">
        <f ca="1">IF(AND($D570="Serviço",AD$12&lt;&gt;0,$H570&gt;0,OR(AUTOEVENTO&lt;&gt;"manual",$M570&lt;&gt;1)),
IF(Import.TipoArredondamento&lt;&gt;"TransfereGOV",
ROUND(OFFSET($P570,0,AD$13),15-13*ORÇAMENTO!$AF$7)/$H570*OFFSET(ORÇAMENTO!$X$15,ROW(AD570)-ROW(AD$15),0),
ROUND(ROUND(OFFSET($P570,0,AD$13),15-13*ORÇAMENTO!$AF$7)*OFFSET(ORÇAMENTO!$W$15,ROW(AD570)-ROW(AD$15),0),15-13*ORÇAMENTO!$AF$11)),0)</f>
        <v>0</v>
      </c>
      <c r="AE570" s="545">
        <f ca="1">IF(AND($D570="Serviço",AE$12&lt;&gt;0,$H570&gt;0,OR(AUTOEVENTO&lt;&gt;"manual",$M570&lt;&gt;1)),
IF(Import.TipoArredondamento&lt;&gt;"TransfereGOV",
ROUND(OFFSET($P570,0,AE$13),15-13*ORÇAMENTO!$AF$7)/$H570*OFFSET(ORÇAMENTO!$X$15,ROW(AE570)-ROW(AE$15),0),
ROUND(ROUND(OFFSET($P570,0,AE$13),15-13*ORÇAMENTO!$AF$7)*OFFSET(ORÇAMENTO!$W$15,ROW(AE570)-ROW(AE$15),0),15-13*ORÇAMENTO!$AF$11)),0)</f>
        <v>0</v>
      </c>
      <c r="AF570" s="545">
        <f ca="1">IF(AND($D570="Serviço",AF$12&lt;&gt;0,$H570&gt;0,OR(AUTOEVENTO&lt;&gt;"manual",$M570&lt;&gt;1)),
IF(Import.TipoArredondamento&lt;&gt;"TransfereGOV",
ROUND(OFFSET($P570,0,AF$13),15-13*ORÇAMENTO!$AF$7)/$H570*OFFSET(ORÇAMENTO!$X$15,ROW(AF570)-ROW(AF$15),0),
ROUND(ROUND(OFFSET($P570,0,AF$13),15-13*ORÇAMENTO!$AF$7)*OFFSET(ORÇAMENTO!$W$15,ROW(AF570)-ROW(AF$15),0),15-13*ORÇAMENTO!$AF$11)),0)</f>
        <v>0</v>
      </c>
      <c r="AG570" s="545">
        <f ca="1">IF(AND($D570="Serviço",AG$12&lt;&gt;0,$H570&gt;0,OR(AUTOEVENTO&lt;&gt;"manual",$M570&lt;&gt;1)),
IF(Import.TipoArredondamento&lt;&gt;"TransfereGOV",
ROUND(OFFSET($P570,0,AG$13),15-13*ORÇAMENTO!$AF$7)/$H570*OFFSET(ORÇAMENTO!$X$15,ROW(AG570)-ROW(AG$15),0),
ROUND(ROUND(OFFSET($P570,0,AG$13),15-13*ORÇAMENTO!$AF$7)*OFFSET(ORÇAMENTO!$W$15,ROW(AG570)-ROW(AG$15),0),15-13*ORÇAMENTO!$AF$11)),0)</f>
        <v>0</v>
      </c>
      <c r="AH570" s="545">
        <f ca="1">IF(AND($D570="Serviço",AH$12&lt;&gt;0,$H570&gt;0,OR(AUTOEVENTO&lt;&gt;"manual",$M570&lt;&gt;1)),
IF(Import.TipoArredondamento&lt;&gt;"TransfereGOV",
ROUND(OFFSET($P570,0,AH$13),15-13*ORÇAMENTO!$AF$7)/$H570*OFFSET(ORÇAMENTO!$X$15,ROW(AH570)-ROW(AH$15),0),
ROUND(ROUND(OFFSET($P570,0,AH$13),15-13*ORÇAMENTO!$AF$7)*OFFSET(ORÇAMENTO!$W$15,ROW(AH570)-ROW(AH$15),0),15-13*ORÇAMENTO!$AF$11)),0)</f>
        <v>0</v>
      </c>
      <c r="AI570" s="545">
        <f ca="1">IF(AND($D570="Serviço",AI$12&lt;&gt;0,$H570&gt;0,OR(AUTOEVENTO&lt;&gt;"manual",$M570&lt;&gt;1)),
IF(Import.TipoArredondamento&lt;&gt;"TransfereGOV",
ROUND(OFFSET($P570,0,AI$13),15-13*ORÇAMENTO!$AF$7)/$H570*OFFSET(ORÇAMENTO!$X$15,ROW(AI570)-ROW(AI$15),0),
ROUND(ROUND(OFFSET($P570,0,AI$13),15-13*ORÇAMENTO!$AF$7)*OFFSET(ORÇAMENTO!$W$15,ROW(AI570)-ROW(AI$15),0),15-13*ORÇAMENTO!$AF$11)),0)</f>
        <v>0</v>
      </c>
      <c r="AJ570" s="545">
        <f ca="1">IF(AND($D570="Serviço",AJ$12&lt;&gt;0,$H570&gt;0,OR(AUTOEVENTO&lt;&gt;"manual",$M570&lt;&gt;1)),
IF(Import.TipoArredondamento&lt;&gt;"TransfereGOV",
ROUND(OFFSET($P570,0,AJ$13),15-13*ORÇAMENTO!$AF$7)/$H570*OFFSET(ORÇAMENTO!$X$15,ROW(AJ570)-ROW(AJ$15),0),
ROUND(ROUND(OFFSET($P570,0,AJ$13),15-13*ORÇAMENTO!$AF$7)*OFFSET(ORÇAMENTO!$W$15,ROW(AJ570)-ROW(AJ$15),0),15-13*ORÇAMENTO!$AF$11)),0)</f>
        <v>0</v>
      </c>
      <c r="AK570" s="546">
        <f ca="1">IF(AND($D570="Serviço",AK$12&lt;&gt;0,$H570&gt;0,OR(AUTOEVENTO&lt;&gt;"manual",$M570&lt;&gt;1)),
IF(Import.TipoArredondamento&lt;&gt;"TransfereGOV",
ROUND(OFFSET($P570,0,AK$13),15-13*ORÇAMENTO!$AF$7)/$H570*OFFSET(ORÇAMENTO!$X$15,ROW(AK570)-ROW(AK$15),0),
ROUND(ROUND(OFFSET($P570,0,AK$13),15-13*ORÇAMENTO!$AF$7)*OFFSET(ORÇAMENTO!$W$15,ROW(AK570)-ROW(AK$15),0),15-13*ORÇAMENTO!$AF$11)),0)</f>
        <v>0</v>
      </c>
      <c r="AM570" s="181">
        <f ca="1">IF($D570&lt;&gt;"Serviço",0,IF(AND(AUTOEVENTO="Manual",$M570=1),0,IF(OFFSET(CRONOPLE!$F$14,$M570,AM$13)="",10^12,OFFSET(CRONOPLE!$F$14,$M570,AM$13))))</f>
        <v>1000000000000</v>
      </c>
      <c r="AN570" s="181">
        <f ca="1">IF($D570&lt;&gt;"Serviço",0,IF(AND(AUTOEVENTO="Manual",$M570=1),0,IF(OFFSET(CRONOPLE!$F$14,$M570,AN$13)="",10^12,OFFSET(CRONOPLE!$F$14,$M570,AN$13))))</f>
        <v>1000000000000</v>
      </c>
      <c r="AO570" s="181">
        <f ca="1">IF($D570&lt;&gt;"Serviço",0,IF(AND(AUTOEVENTO="Manual",$M570=1),0,IF(OFFSET(CRONOPLE!$F$14,$M570,AO$13)="",10^12,OFFSET(CRONOPLE!$F$14,$M570,AO$13))))</f>
        <v>1000000000000</v>
      </c>
      <c r="AP570" s="181">
        <f ca="1">IF($D570&lt;&gt;"Serviço",0,IF(AND(AUTOEVENTO="Manual",$M570=1),0,IF(OFFSET(CRONOPLE!$F$14,$M570,AP$13)="",10^12,OFFSET(CRONOPLE!$F$14,$M570,AP$13))))</f>
        <v>1000000000000</v>
      </c>
      <c r="AQ570" s="181">
        <f ca="1">IF($D570&lt;&gt;"Serviço",0,IF(AND(AUTOEVENTO="Manual",$M570=1),0,IF(OFFSET(CRONOPLE!$F$14,$M570,AQ$13)="",10^12,OFFSET(CRONOPLE!$F$14,$M570,AQ$13))))</f>
        <v>1000000000000</v>
      </c>
      <c r="AR570" s="181">
        <f ca="1">IF($D570&lt;&gt;"Serviço",0,IF(AND(AUTOEVENTO="Manual",$M570=1),0,IF(OFFSET(CRONOPLE!$F$14,$M570,AR$13)="",10^12,OFFSET(CRONOPLE!$F$14,$M570,AR$13))))</f>
        <v>1000000000000</v>
      </c>
      <c r="AS570" s="181">
        <f ca="1">IF($D570&lt;&gt;"Serviço",0,IF(AND(AUTOEVENTO="Manual",$M570=1),0,IF(OFFSET(CRONOPLE!$F$14,$M570,AS$13)="",10^12,OFFSET(CRONOPLE!$F$14,$M570,AS$13))))</f>
        <v>1000000000000</v>
      </c>
      <c r="AT570" s="181">
        <f ca="1">IF($D570&lt;&gt;"Serviço",0,IF(AND(AUTOEVENTO="Manual",$M570=1),0,IF(OFFSET(CRONOPLE!$F$14,$M570,AT$13)="",10^12,OFFSET(CRONOPLE!$F$14,$M570,AT$13))))</f>
        <v>1000000000000</v>
      </c>
      <c r="AU570" s="181">
        <f ca="1">IF($D570&lt;&gt;"Serviço",0,IF(AND(AUTOEVENTO="Manual",$M570=1),0,IF(OFFSET(CRONOPLE!$F$14,$M570,AU$13)="",10^12,OFFSET(CRONOPLE!$F$14,$M570,AU$13))))</f>
        <v>1000000000000</v>
      </c>
      <c r="AV570" s="181">
        <f ca="1">IF($D570&lt;&gt;"Serviço",0,IF(AND(AUTOEVENTO="Manual",$M570=1),0,IF(OFFSET(CRONOPLE!$F$14,$M570,AV$13)="",10^12,OFFSET(CRONOPLE!$F$14,$M570,AV$13))))</f>
        <v>1000000000000</v>
      </c>
      <c r="AX570" s="182">
        <f ca="1">IF($D570&lt;&gt;"Serviço",0,IF(OR(AND(AUTOEVENTO="Manual",$M570=1),$M570&gt;(ROW(PLE.lastrow)-ROW(PLE.firstrow))),0,IF(OFFSET(PLE!$G$14,$M570,AX$13)="",10^12,OFFSET(PLE!$G$14,$M570,AX$13))))</f>
        <v>1000000000000</v>
      </c>
      <c r="AY570" s="182">
        <f ca="1">IF($D570&lt;&gt;"Serviço",0,IF(OR(AND(AUTOEVENTO="Manual",$M570=1),$M570&gt;(ROW(PLE.lastrow)-ROW(PLE.firstrow))),0,IF(OFFSET(PLE!$G$14,$M570,AY$13)="",10^12,OFFSET(PLE!$G$14,$M570,AY$13))))</f>
        <v>1000000000000</v>
      </c>
      <c r="AZ570" s="182">
        <f ca="1">IF($D570&lt;&gt;"Serviço",0,IF(OR(AND(AUTOEVENTO="Manual",$M570=1),$M570&gt;(ROW(PLE.lastrow)-ROW(PLE.firstrow))),0,IF(OFFSET(PLE!$G$14,$M570,AZ$13)="",10^12,OFFSET(PLE!$G$14,$M570,AZ$13))))</f>
        <v>1000000000000</v>
      </c>
      <c r="BA570" s="182">
        <f ca="1">IF($D570&lt;&gt;"Serviço",0,IF(OR(AND(AUTOEVENTO="Manual",$M570=1),$M570&gt;(ROW(PLE.lastrow)-ROW(PLE.firstrow))),0,IF(OFFSET(PLE!$G$14,$M570,BA$13)="",10^12,OFFSET(PLE!$G$14,$M570,BA$13))))</f>
        <v>1000000000000</v>
      </c>
      <c r="BB570" s="182">
        <f ca="1">IF($D570&lt;&gt;"Serviço",0,IF(OR(AND(AUTOEVENTO="Manual",$M570=1),$M570&gt;(ROW(PLE.lastrow)-ROW(PLE.firstrow))),0,IF(OFFSET(PLE!$G$14,$M570,BB$13)="",10^12,OFFSET(PLE!$G$14,$M570,BB$13))))</f>
        <v>1000000000000</v>
      </c>
      <c r="BC570" s="182">
        <f ca="1">IF($D570&lt;&gt;"Serviço",0,IF(OR(AND(AUTOEVENTO="Manual",$M570=1),$M570&gt;(ROW(PLE.lastrow)-ROW(PLE.firstrow))),0,IF(OFFSET(PLE!$G$14,$M570,BC$13)="",10^12,OFFSET(PLE!$G$14,$M570,BC$13))))</f>
        <v>1000000000000</v>
      </c>
      <c r="BD570" s="182">
        <f ca="1">IF($D570&lt;&gt;"Serviço",0,IF(OR(AND(AUTOEVENTO="Manual",$M570=1),$M570&gt;(ROW(PLE.lastrow)-ROW(PLE.firstrow))),0,IF(OFFSET(PLE!$G$14,$M570,BD$13)="",10^12,OFFSET(PLE!$G$14,$M570,BD$13))))</f>
        <v>1000000000000</v>
      </c>
      <c r="BE570" s="182">
        <f ca="1">IF($D570&lt;&gt;"Serviço",0,IF(OR(AND(AUTOEVENTO="Manual",$M570=1),$M570&gt;(ROW(PLE.lastrow)-ROW(PLE.firstrow))),0,IF(OFFSET(PLE!$G$14,$M570,BE$13)="",10^12,OFFSET(PLE!$G$14,$M570,BE$13))))</f>
        <v>1000000000000</v>
      </c>
      <c r="BF570" s="182">
        <f ca="1">IF($D570&lt;&gt;"Serviço",0,IF(OR(AND(AUTOEVENTO="Manual",$M570=1),$M570&gt;(ROW(PLE.lastrow)-ROW(PLE.firstrow))),0,IF(OFFSET(PLE!$G$14,$M570,BF$13)="",10^12,OFFSET(PLE!$G$14,$M570,BF$13))))</f>
        <v>1000000000000</v>
      </c>
      <c r="BG570" s="182">
        <f ca="1">IF($D570&lt;&gt;"Serviço",0,IF(OR(AND(AUTOEVENTO="Manual",$M570=1),$M570&gt;(ROW(PLE.lastrow)-ROW(PLE.firstrow))),0,IF(OFFSET(PLE!$G$14,$M570,BG$13)="",10^12,OFFSET(PLE!$G$14,$M570,BG$13))))</f>
        <v>1000000000000</v>
      </c>
    </row>
    <row r="571" spans="1:59" ht="25.5" x14ac:dyDescent="0.2">
      <c r="A571" s="7" t="str">
        <f t="shared" ca="1" si="15"/>
        <v>472</v>
      </c>
      <c r="B571" s="7" t="str">
        <f ca="1">OFFSET(ORÇAMENTO!C$15,ROW(B571)-ROW(B$15),0)</f>
        <v>S</v>
      </c>
      <c r="C571" s="7" t="str">
        <f ca="1">OFFSET(ORÇAMENTO!L$15,ROW(C571)-ROW(C$15),0)</f>
        <v/>
      </c>
      <c r="D571" s="118" t="str">
        <f ca="1">OFFSET(ORÇAMENTO!N$15,ROW(D571)-ROW(D$15),0)</f>
        <v>Serviço</v>
      </c>
      <c r="E571" s="119" t="str">
        <f ca="1">OFFSET(ORÇAMENTO!O$15,ROW(E571)-ROW(E$15),0)</f>
        <v>-</v>
      </c>
      <c r="F571" s="172" t="str">
        <f ca="1">OFFSET(ORÇAMENTO!R$15,ROW(F571)-ROW(F$15),0)</f>
        <v>(abra o arquivo 'Referência 02-2025.xlsm)</v>
      </c>
      <c r="G571" s="173" t="str">
        <f ca="1">IF($D571&lt;&gt;"Serviço","",OFFSET(ORÇAMENTO!S$15,ROW(G571)-ROW(G$15),0))</f>
        <v>-</v>
      </c>
      <c r="H571" s="124">
        <f ca="1">IF($D571&lt;&gt;"Serviço",0,IF(ACOMPANHAMENTO="BM",ROUND(OFFSET(ORÇAMENTO!AJ$15,ROW(H571)-ROW(H$15),0),15-13*ORÇAMENTO!$AF$7),SUMPRODUCT(($Q$12:$AA$12&lt;&gt;"")*ROUND($Q571:$AA571,15-13*ORÇAMENTO!$AF$7))))</f>
        <v>2</v>
      </c>
      <c r="I571" s="561" t="s">
        <v>890</v>
      </c>
      <c r="K571" s="174"/>
      <c r="L571" s="175" t="s">
        <v>255</v>
      </c>
      <c r="M571" s="176">
        <f ca="1">IF($D571&lt;&gt;"Serviço","",IF(AUTOEVENTO="manual",$A571,IF(ISERROR(MATCH($A571,$A$15:OFFSET($A571,-1,0),0)),MAX($M$15:OFFSET(M571,-1,0))+1,INDEX($M$15:OFFSET(M571,-1,0),MATCH($A571,$A$15:OFFSET($A571,-1,0),0)))))</f>
        <v>18</v>
      </c>
      <c r="N571" s="177" t="str">
        <f ca="1">IF($D571&lt;&gt;"Serviço","",IF(AUTOEVENTO="Manual",IF($A571=0,"&lt;-- defina o número do agrupador",OFFSET(EVENTOS!$D$14,$A571,0)),OFFSET($F$15,$A571,0)))</f>
        <v>INSTALAÇÕES ELÉTRICAS - 220V</v>
      </c>
      <c r="O571" s="178"/>
      <c r="Q571" s="178"/>
      <c r="R571" s="179"/>
      <c r="S571" s="179"/>
      <c r="T571" s="179"/>
      <c r="U571" s="179"/>
      <c r="V571" s="179"/>
      <c r="W571" s="179"/>
      <c r="X571" s="179"/>
      <c r="Y571" s="179"/>
      <c r="Z571" s="180"/>
      <c r="AB571" s="544">
        <f ca="1">IF(AND($D571="Serviço",AB$12&lt;&gt;0,$H571&gt;0,OR(AUTOEVENTO&lt;&gt;"manual",$M571&lt;&gt;1)),
IF(Import.TipoArredondamento&lt;&gt;"TransfereGOV",
ROUND(OFFSET($P571,0,AB$13),15-13*ORÇAMENTO!$AF$7)/$H571*OFFSET(ORÇAMENTO!$X$15,ROW(AB571)-ROW(AB$15),0),
ROUND(ROUND(OFFSET($P571,0,AB$13),15-13*ORÇAMENTO!$AF$7)*OFFSET(ORÇAMENTO!$W$15,ROW(AB571)-ROW(AB$15),0),15-13*ORÇAMENTO!$AF$11)),0)</f>
        <v>0</v>
      </c>
      <c r="AC571" s="545">
        <f ca="1">IF(AND($D571="Serviço",AC$12&lt;&gt;0,$H571&gt;0,OR(AUTOEVENTO&lt;&gt;"manual",$M571&lt;&gt;1)),
IF(Import.TipoArredondamento&lt;&gt;"TransfereGOV",
ROUND(OFFSET($P571,0,AC$13),15-13*ORÇAMENTO!$AF$7)/$H571*OFFSET(ORÇAMENTO!$X$15,ROW(AC571)-ROW(AC$15),0),
ROUND(ROUND(OFFSET($P571,0,AC$13),15-13*ORÇAMENTO!$AF$7)*OFFSET(ORÇAMENTO!$W$15,ROW(AC571)-ROW(AC$15),0),15-13*ORÇAMENTO!$AF$11)),0)</f>
        <v>0</v>
      </c>
      <c r="AD571" s="545">
        <f ca="1">IF(AND($D571="Serviço",AD$12&lt;&gt;0,$H571&gt;0,OR(AUTOEVENTO&lt;&gt;"manual",$M571&lt;&gt;1)),
IF(Import.TipoArredondamento&lt;&gt;"TransfereGOV",
ROUND(OFFSET($P571,0,AD$13),15-13*ORÇAMENTO!$AF$7)/$H571*OFFSET(ORÇAMENTO!$X$15,ROW(AD571)-ROW(AD$15),0),
ROUND(ROUND(OFFSET($P571,0,AD$13),15-13*ORÇAMENTO!$AF$7)*OFFSET(ORÇAMENTO!$W$15,ROW(AD571)-ROW(AD$15),0),15-13*ORÇAMENTO!$AF$11)),0)</f>
        <v>0</v>
      </c>
      <c r="AE571" s="545">
        <f ca="1">IF(AND($D571="Serviço",AE$12&lt;&gt;0,$H571&gt;0,OR(AUTOEVENTO&lt;&gt;"manual",$M571&lt;&gt;1)),
IF(Import.TipoArredondamento&lt;&gt;"TransfereGOV",
ROUND(OFFSET($P571,0,AE$13),15-13*ORÇAMENTO!$AF$7)/$H571*OFFSET(ORÇAMENTO!$X$15,ROW(AE571)-ROW(AE$15),0),
ROUND(ROUND(OFFSET($P571,0,AE$13),15-13*ORÇAMENTO!$AF$7)*OFFSET(ORÇAMENTO!$W$15,ROW(AE571)-ROW(AE$15),0),15-13*ORÇAMENTO!$AF$11)),0)</f>
        <v>0</v>
      </c>
      <c r="AF571" s="545">
        <f ca="1">IF(AND($D571="Serviço",AF$12&lt;&gt;0,$H571&gt;0,OR(AUTOEVENTO&lt;&gt;"manual",$M571&lt;&gt;1)),
IF(Import.TipoArredondamento&lt;&gt;"TransfereGOV",
ROUND(OFFSET($P571,0,AF$13),15-13*ORÇAMENTO!$AF$7)/$H571*OFFSET(ORÇAMENTO!$X$15,ROW(AF571)-ROW(AF$15),0),
ROUND(ROUND(OFFSET($P571,0,AF$13),15-13*ORÇAMENTO!$AF$7)*OFFSET(ORÇAMENTO!$W$15,ROW(AF571)-ROW(AF$15),0),15-13*ORÇAMENTO!$AF$11)),0)</f>
        <v>0</v>
      </c>
      <c r="AG571" s="545">
        <f ca="1">IF(AND($D571="Serviço",AG$12&lt;&gt;0,$H571&gt;0,OR(AUTOEVENTO&lt;&gt;"manual",$M571&lt;&gt;1)),
IF(Import.TipoArredondamento&lt;&gt;"TransfereGOV",
ROUND(OFFSET($P571,0,AG$13),15-13*ORÇAMENTO!$AF$7)/$H571*OFFSET(ORÇAMENTO!$X$15,ROW(AG571)-ROW(AG$15),0),
ROUND(ROUND(OFFSET($P571,0,AG$13),15-13*ORÇAMENTO!$AF$7)*OFFSET(ORÇAMENTO!$W$15,ROW(AG571)-ROW(AG$15),0),15-13*ORÇAMENTO!$AF$11)),0)</f>
        <v>0</v>
      </c>
      <c r="AH571" s="545">
        <f ca="1">IF(AND($D571="Serviço",AH$12&lt;&gt;0,$H571&gt;0,OR(AUTOEVENTO&lt;&gt;"manual",$M571&lt;&gt;1)),
IF(Import.TipoArredondamento&lt;&gt;"TransfereGOV",
ROUND(OFFSET($P571,0,AH$13),15-13*ORÇAMENTO!$AF$7)/$H571*OFFSET(ORÇAMENTO!$X$15,ROW(AH571)-ROW(AH$15),0),
ROUND(ROUND(OFFSET($P571,0,AH$13),15-13*ORÇAMENTO!$AF$7)*OFFSET(ORÇAMENTO!$W$15,ROW(AH571)-ROW(AH$15),0),15-13*ORÇAMENTO!$AF$11)),0)</f>
        <v>0</v>
      </c>
      <c r="AI571" s="545">
        <f ca="1">IF(AND($D571="Serviço",AI$12&lt;&gt;0,$H571&gt;0,OR(AUTOEVENTO&lt;&gt;"manual",$M571&lt;&gt;1)),
IF(Import.TipoArredondamento&lt;&gt;"TransfereGOV",
ROUND(OFFSET($P571,0,AI$13),15-13*ORÇAMENTO!$AF$7)/$H571*OFFSET(ORÇAMENTO!$X$15,ROW(AI571)-ROW(AI$15),0),
ROUND(ROUND(OFFSET($P571,0,AI$13),15-13*ORÇAMENTO!$AF$7)*OFFSET(ORÇAMENTO!$W$15,ROW(AI571)-ROW(AI$15),0),15-13*ORÇAMENTO!$AF$11)),0)</f>
        <v>0</v>
      </c>
      <c r="AJ571" s="545">
        <f ca="1">IF(AND($D571="Serviço",AJ$12&lt;&gt;0,$H571&gt;0,OR(AUTOEVENTO&lt;&gt;"manual",$M571&lt;&gt;1)),
IF(Import.TipoArredondamento&lt;&gt;"TransfereGOV",
ROUND(OFFSET($P571,0,AJ$13),15-13*ORÇAMENTO!$AF$7)/$H571*OFFSET(ORÇAMENTO!$X$15,ROW(AJ571)-ROW(AJ$15),0),
ROUND(ROUND(OFFSET($P571,0,AJ$13),15-13*ORÇAMENTO!$AF$7)*OFFSET(ORÇAMENTO!$W$15,ROW(AJ571)-ROW(AJ$15),0),15-13*ORÇAMENTO!$AF$11)),0)</f>
        <v>0</v>
      </c>
      <c r="AK571" s="546">
        <f ca="1">IF(AND($D571="Serviço",AK$12&lt;&gt;0,$H571&gt;0,OR(AUTOEVENTO&lt;&gt;"manual",$M571&lt;&gt;1)),
IF(Import.TipoArredondamento&lt;&gt;"TransfereGOV",
ROUND(OFFSET($P571,0,AK$13),15-13*ORÇAMENTO!$AF$7)/$H571*OFFSET(ORÇAMENTO!$X$15,ROW(AK571)-ROW(AK$15),0),
ROUND(ROUND(OFFSET($P571,0,AK$13),15-13*ORÇAMENTO!$AF$7)*OFFSET(ORÇAMENTO!$W$15,ROW(AK571)-ROW(AK$15),0),15-13*ORÇAMENTO!$AF$11)),0)</f>
        <v>0</v>
      </c>
      <c r="AM571" s="181">
        <f ca="1">IF($D571&lt;&gt;"Serviço",0,IF(AND(AUTOEVENTO="Manual",$M571=1),0,IF(OFFSET(CRONOPLE!$F$14,$M571,AM$13)="",10^12,OFFSET(CRONOPLE!$F$14,$M571,AM$13))))</f>
        <v>1000000000000</v>
      </c>
      <c r="AN571" s="181">
        <f ca="1">IF($D571&lt;&gt;"Serviço",0,IF(AND(AUTOEVENTO="Manual",$M571=1),0,IF(OFFSET(CRONOPLE!$F$14,$M571,AN$13)="",10^12,OFFSET(CRONOPLE!$F$14,$M571,AN$13))))</f>
        <v>1000000000000</v>
      </c>
      <c r="AO571" s="181">
        <f ca="1">IF($D571&lt;&gt;"Serviço",0,IF(AND(AUTOEVENTO="Manual",$M571=1),0,IF(OFFSET(CRONOPLE!$F$14,$M571,AO$13)="",10^12,OFFSET(CRONOPLE!$F$14,$M571,AO$13))))</f>
        <v>1000000000000</v>
      </c>
      <c r="AP571" s="181">
        <f ca="1">IF($D571&lt;&gt;"Serviço",0,IF(AND(AUTOEVENTO="Manual",$M571=1),0,IF(OFFSET(CRONOPLE!$F$14,$M571,AP$13)="",10^12,OFFSET(CRONOPLE!$F$14,$M571,AP$13))))</f>
        <v>1000000000000</v>
      </c>
      <c r="AQ571" s="181">
        <f ca="1">IF($D571&lt;&gt;"Serviço",0,IF(AND(AUTOEVENTO="Manual",$M571=1),0,IF(OFFSET(CRONOPLE!$F$14,$M571,AQ$13)="",10^12,OFFSET(CRONOPLE!$F$14,$M571,AQ$13))))</f>
        <v>1000000000000</v>
      </c>
      <c r="AR571" s="181">
        <f ca="1">IF($D571&lt;&gt;"Serviço",0,IF(AND(AUTOEVENTO="Manual",$M571=1),0,IF(OFFSET(CRONOPLE!$F$14,$M571,AR$13)="",10^12,OFFSET(CRONOPLE!$F$14,$M571,AR$13))))</f>
        <v>1000000000000</v>
      </c>
      <c r="AS571" s="181">
        <f ca="1">IF($D571&lt;&gt;"Serviço",0,IF(AND(AUTOEVENTO="Manual",$M571=1),0,IF(OFFSET(CRONOPLE!$F$14,$M571,AS$13)="",10^12,OFFSET(CRONOPLE!$F$14,$M571,AS$13))))</f>
        <v>1000000000000</v>
      </c>
      <c r="AT571" s="181">
        <f ca="1">IF($D571&lt;&gt;"Serviço",0,IF(AND(AUTOEVENTO="Manual",$M571=1),0,IF(OFFSET(CRONOPLE!$F$14,$M571,AT$13)="",10^12,OFFSET(CRONOPLE!$F$14,$M571,AT$13))))</f>
        <v>1000000000000</v>
      </c>
      <c r="AU571" s="181">
        <f ca="1">IF($D571&lt;&gt;"Serviço",0,IF(AND(AUTOEVENTO="Manual",$M571=1),0,IF(OFFSET(CRONOPLE!$F$14,$M571,AU$13)="",10^12,OFFSET(CRONOPLE!$F$14,$M571,AU$13))))</f>
        <v>1000000000000</v>
      </c>
      <c r="AV571" s="181">
        <f ca="1">IF($D571&lt;&gt;"Serviço",0,IF(AND(AUTOEVENTO="Manual",$M571=1),0,IF(OFFSET(CRONOPLE!$F$14,$M571,AV$13)="",10^12,OFFSET(CRONOPLE!$F$14,$M571,AV$13))))</f>
        <v>1000000000000</v>
      </c>
      <c r="AX571" s="182">
        <f ca="1">IF($D571&lt;&gt;"Serviço",0,IF(OR(AND(AUTOEVENTO="Manual",$M571=1),$M571&gt;(ROW(PLE.lastrow)-ROW(PLE.firstrow))),0,IF(OFFSET(PLE!$G$14,$M571,AX$13)="",10^12,OFFSET(PLE!$G$14,$M571,AX$13))))</f>
        <v>1000000000000</v>
      </c>
      <c r="AY571" s="182">
        <f ca="1">IF($D571&lt;&gt;"Serviço",0,IF(OR(AND(AUTOEVENTO="Manual",$M571=1),$M571&gt;(ROW(PLE.lastrow)-ROW(PLE.firstrow))),0,IF(OFFSET(PLE!$G$14,$M571,AY$13)="",10^12,OFFSET(PLE!$G$14,$M571,AY$13))))</f>
        <v>1000000000000</v>
      </c>
      <c r="AZ571" s="182">
        <f ca="1">IF($D571&lt;&gt;"Serviço",0,IF(OR(AND(AUTOEVENTO="Manual",$M571=1),$M571&gt;(ROW(PLE.lastrow)-ROW(PLE.firstrow))),0,IF(OFFSET(PLE!$G$14,$M571,AZ$13)="",10^12,OFFSET(PLE!$G$14,$M571,AZ$13))))</f>
        <v>1000000000000</v>
      </c>
      <c r="BA571" s="182">
        <f ca="1">IF($D571&lt;&gt;"Serviço",0,IF(OR(AND(AUTOEVENTO="Manual",$M571=1),$M571&gt;(ROW(PLE.lastrow)-ROW(PLE.firstrow))),0,IF(OFFSET(PLE!$G$14,$M571,BA$13)="",10^12,OFFSET(PLE!$G$14,$M571,BA$13))))</f>
        <v>1000000000000</v>
      </c>
      <c r="BB571" s="182">
        <f ca="1">IF($D571&lt;&gt;"Serviço",0,IF(OR(AND(AUTOEVENTO="Manual",$M571=1),$M571&gt;(ROW(PLE.lastrow)-ROW(PLE.firstrow))),0,IF(OFFSET(PLE!$G$14,$M571,BB$13)="",10^12,OFFSET(PLE!$G$14,$M571,BB$13))))</f>
        <v>1000000000000</v>
      </c>
      <c r="BC571" s="182">
        <f ca="1">IF($D571&lt;&gt;"Serviço",0,IF(OR(AND(AUTOEVENTO="Manual",$M571=1),$M571&gt;(ROW(PLE.lastrow)-ROW(PLE.firstrow))),0,IF(OFFSET(PLE!$G$14,$M571,BC$13)="",10^12,OFFSET(PLE!$G$14,$M571,BC$13))))</f>
        <v>1000000000000</v>
      </c>
      <c r="BD571" s="182">
        <f ca="1">IF($D571&lt;&gt;"Serviço",0,IF(OR(AND(AUTOEVENTO="Manual",$M571=1),$M571&gt;(ROW(PLE.lastrow)-ROW(PLE.firstrow))),0,IF(OFFSET(PLE!$G$14,$M571,BD$13)="",10^12,OFFSET(PLE!$G$14,$M571,BD$13))))</f>
        <v>1000000000000</v>
      </c>
      <c r="BE571" s="182">
        <f ca="1">IF($D571&lt;&gt;"Serviço",0,IF(OR(AND(AUTOEVENTO="Manual",$M571=1),$M571&gt;(ROW(PLE.lastrow)-ROW(PLE.firstrow))),0,IF(OFFSET(PLE!$G$14,$M571,BE$13)="",10^12,OFFSET(PLE!$G$14,$M571,BE$13))))</f>
        <v>1000000000000</v>
      </c>
      <c r="BF571" s="182">
        <f ca="1">IF($D571&lt;&gt;"Serviço",0,IF(OR(AND(AUTOEVENTO="Manual",$M571=1),$M571&gt;(ROW(PLE.lastrow)-ROW(PLE.firstrow))),0,IF(OFFSET(PLE!$G$14,$M571,BF$13)="",10^12,OFFSET(PLE!$G$14,$M571,BF$13))))</f>
        <v>1000000000000</v>
      </c>
      <c r="BG571" s="182">
        <f ca="1">IF($D571&lt;&gt;"Serviço",0,IF(OR(AND(AUTOEVENTO="Manual",$M571=1),$M571&gt;(ROW(PLE.lastrow)-ROW(PLE.firstrow))),0,IF(OFFSET(PLE!$G$14,$M571,BG$13)="",10^12,OFFSET(PLE!$G$14,$M571,BG$13))))</f>
        <v>1000000000000</v>
      </c>
    </row>
    <row r="572" spans="1:59" ht="25.5" x14ac:dyDescent="0.2">
      <c r="A572" s="7" t="str">
        <f t="shared" ca="1" si="15"/>
        <v>472</v>
      </c>
      <c r="B572" s="7" t="str">
        <f ca="1">OFFSET(ORÇAMENTO!C$15,ROW(B572)-ROW(B$15),0)</f>
        <v>S</v>
      </c>
      <c r="C572" s="7" t="str">
        <f ca="1">OFFSET(ORÇAMENTO!L$15,ROW(C572)-ROW(C$15),0)</f>
        <v/>
      </c>
      <c r="D572" s="118" t="str">
        <f ca="1">OFFSET(ORÇAMENTO!N$15,ROW(D572)-ROW(D$15),0)</f>
        <v>Serviço</v>
      </c>
      <c r="E572" s="119" t="str">
        <f ca="1">OFFSET(ORÇAMENTO!O$15,ROW(E572)-ROW(E$15),0)</f>
        <v>-</v>
      </c>
      <c r="F572" s="172" t="str">
        <f ca="1">OFFSET(ORÇAMENTO!R$15,ROW(F572)-ROW(F$15),0)</f>
        <v>(abra o arquivo 'Referência 02-2025.xlsm)</v>
      </c>
      <c r="G572" s="173" t="str">
        <f ca="1">IF($D572&lt;&gt;"Serviço","",OFFSET(ORÇAMENTO!S$15,ROW(G572)-ROW(G$15),0))</f>
        <v>-</v>
      </c>
      <c r="H572" s="124">
        <f ca="1">IF($D572&lt;&gt;"Serviço",0,IF(ACOMPANHAMENTO="BM",ROUND(OFFSET(ORÇAMENTO!AJ$15,ROW(H572)-ROW(H$15),0),15-13*ORÇAMENTO!$AF$7),SUMPRODUCT(($Q$12:$AA$12&lt;&gt;"")*ROUND($Q572:$AA572,15-13*ORÇAMENTO!$AF$7))))</f>
        <v>1</v>
      </c>
      <c r="I572" s="561" t="s">
        <v>890</v>
      </c>
      <c r="K572" s="174"/>
      <c r="L572" s="175" t="s">
        <v>255</v>
      </c>
      <c r="M572" s="176">
        <f ca="1">IF($D572&lt;&gt;"Serviço","",IF(AUTOEVENTO="manual",$A572,IF(ISERROR(MATCH($A572,$A$15:OFFSET($A572,-1,0),0)),MAX($M$15:OFFSET(M572,-1,0))+1,INDEX($M$15:OFFSET(M572,-1,0),MATCH($A572,$A$15:OFFSET($A572,-1,0),0)))))</f>
        <v>18</v>
      </c>
      <c r="N572" s="177" t="str">
        <f ca="1">IF($D572&lt;&gt;"Serviço","",IF(AUTOEVENTO="Manual",IF($A572=0,"&lt;-- defina o número do agrupador",OFFSET(EVENTOS!$D$14,$A572,0)),OFFSET($F$15,$A572,0)))</f>
        <v>INSTALAÇÕES ELÉTRICAS - 220V</v>
      </c>
      <c r="O572" s="178"/>
      <c r="Q572" s="178"/>
      <c r="R572" s="179"/>
      <c r="S572" s="179"/>
      <c r="T572" s="179"/>
      <c r="U572" s="179"/>
      <c r="V572" s="179"/>
      <c r="W572" s="179"/>
      <c r="X572" s="179"/>
      <c r="Y572" s="179"/>
      <c r="Z572" s="180"/>
      <c r="AB572" s="544">
        <f ca="1">IF(AND($D572="Serviço",AB$12&lt;&gt;0,$H572&gt;0,OR(AUTOEVENTO&lt;&gt;"manual",$M572&lt;&gt;1)),
IF(Import.TipoArredondamento&lt;&gt;"TransfereGOV",
ROUND(OFFSET($P572,0,AB$13),15-13*ORÇAMENTO!$AF$7)/$H572*OFFSET(ORÇAMENTO!$X$15,ROW(AB572)-ROW(AB$15),0),
ROUND(ROUND(OFFSET($P572,0,AB$13),15-13*ORÇAMENTO!$AF$7)*OFFSET(ORÇAMENTO!$W$15,ROW(AB572)-ROW(AB$15),0),15-13*ORÇAMENTO!$AF$11)),0)</f>
        <v>0</v>
      </c>
      <c r="AC572" s="545">
        <f ca="1">IF(AND($D572="Serviço",AC$12&lt;&gt;0,$H572&gt;0,OR(AUTOEVENTO&lt;&gt;"manual",$M572&lt;&gt;1)),
IF(Import.TipoArredondamento&lt;&gt;"TransfereGOV",
ROUND(OFFSET($P572,0,AC$13),15-13*ORÇAMENTO!$AF$7)/$H572*OFFSET(ORÇAMENTO!$X$15,ROW(AC572)-ROW(AC$15),0),
ROUND(ROUND(OFFSET($P572,0,AC$13),15-13*ORÇAMENTO!$AF$7)*OFFSET(ORÇAMENTO!$W$15,ROW(AC572)-ROW(AC$15),0),15-13*ORÇAMENTO!$AF$11)),0)</f>
        <v>0</v>
      </c>
      <c r="AD572" s="545">
        <f ca="1">IF(AND($D572="Serviço",AD$12&lt;&gt;0,$H572&gt;0,OR(AUTOEVENTO&lt;&gt;"manual",$M572&lt;&gt;1)),
IF(Import.TipoArredondamento&lt;&gt;"TransfereGOV",
ROUND(OFFSET($P572,0,AD$13),15-13*ORÇAMENTO!$AF$7)/$H572*OFFSET(ORÇAMENTO!$X$15,ROW(AD572)-ROW(AD$15),0),
ROUND(ROUND(OFFSET($P572,0,AD$13),15-13*ORÇAMENTO!$AF$7)*OFFSET(ORÇAMENTO!$W$15,ROW(AD572)-ROW(AD$15),0),15-13*ORÇAMENTO!$AF$11)),0)</f>
        <v>0</v>
      </c>
      <c r="AE572" s="545">
        <f ca="1">IF(AND($D572="Serviço",AE$12&lt;&gt;0,$H572&gt;0,OR(AUTOEVENTO&lt;&gt;"manual",$M572&lt;&gt;1)),
IF(Import.TipoArredondamento&lt;&gt;"TransfereGOV",
ROUND(OFFSET($P572,0,AE$13),15-13*ORÇAMENTO!$AF$7)/$H572*OFFSET(ORÇAMENTO!$X$15,ROW(AE572)-ROW(AE$15),0),
ROUND(ROUND(OFFSET($P572,0,AE$13),15-13*ORÇAMENTO!$AF$7)*OFFSET(ORÇAMENTO!$W$15,ROW(AE572)-ROW(AE$15),0),15-13*ORÇAMENTO!$AF$11)),0)</f>
        <v>0</v>
      </c>
      <c r="AF572" s="545">
        <f ca="1">IF(AND($D572="Serviço",AF$12&lt;&gt;0,$H572&gt;0,OR(AUTOEVENTO&lt;&gt;"manual",$M572&lt;&gt;1)),
IF(Import.TipoArredondamento&lt;&gt;"TransfereGOV",
ROUND(OFFSET($P572,0,AF$13),15-13*ORÇAMENTO!$AF$7)/$H572*OFFSET(ORÇAMENTO!$X$15,ROW(AF572)-ROW(AF$15),0),
ROUND(ROUND(OFFSET($P572,0,AF$13),15-13*ORÇAMENTO!$AF$7)*OFFSET(ORÇAMENTO!$W$15,ROW(AF572)-ROW(AF$15),0),15-13*ORÇAMENTO!$AF$11)),0)</f>
        <v>0</v>
      </c>
      <c r="AG572" s="545">
        <f ca="1">IF(AND($D572="Serviço",AG$12&lt;&gt;0,$H572&gt;0,OR(AUTOEVENTO&lt;&gt;"manual",$M572&lt;&gt;1)),
IF(Import.TipoArredondamento&lt;&gt;"TransfereGOV",
ROUND(OFFSET($P572,0,AG$13),15-13*ORÇAMENTO!$AF$7)/$H572*OFFSET(ORÇAMENTO!$X$15,ROW(AG572)-ROW(AG$15),0),
ROUND(ROUND(OFFSET($P572,0,AG$13),15-13*ORÇAMENTO!$AF$7)*OFFSET(ORÇAMENTO!$W$15,ROW(AG572)-ROW(AG$15),0),15-13*ORÇAMENTO!$AF$11)),0)</f>
        <v>0</v>
      </c>
      <c r="AH572" s="545">
        <f ca="1">IF(AND($D572="Serviço",AH$12&lt;&gt;0,$H572&gt;0,OR(AUTOEVENTO&lt;&gt;"manual",$M572&lt;&gt;1)),
IF(Import.TipoArredondamento&lt;&gt;"TransfereGOV",
ROUND(OFFSET($P572,0,AH$13),15-13*ORÇAMENTO!$AF$7)/$H572*OFFSET(ORÇAMENTO!$X$15,ROW(AH572)-ROW(AH$15),0),
ROUND(ROUND(OFFSET($P572,0,AH$13),15-13*ORÇAMENTO!$AF$7)*OFFSET(ORÇAMENTO!$W$15,ROW(AH572)-ROW(AH$15),0),15-13*ORÇAMENTO!$AF$11)),0)</f>
        <v>0</v>
      </c>
      <c r="AI572" s="545">
        <f ca="1">IF(AND($D572="Serviço",AI$12&lt;&gt;0,$H572&gt;0,OR(AUTOEVENTO&lt;&gt;"manual",$M572&lt;&gt;1)),
IF(Import.TipoArredondamento&lt;&gt;"TransfereGOV",
ROUND(OFFSET($P572,0,AI$13),15-13*ORÇAMENTO!$AF$7)/$H572*OFFSET(ORÇAMENTO!$X$15,ROW(AI572)-ROW(AI$15),0),
ROUND(ROUND(OFFSET($P572,0,AI$13),15-13*ORÇAMENTO!$AF$7)*OFFSET(ORÇAMENTO!$W$15,ROW(AI572)-ROW(AI$15),0),15-13*ORÇAMENTO!$AF$11)),0)</f>
        <v>0</v>
      </c>
      <c r="AJ572" s="545">
        <f ca="1">IF(AND($D572="Serviço",AJ$12&lt;&gt;0,$H572&gt;0,OR(AUTOEVENTO&lt;&gt;"manual",$M572&lt;&gt;1)),
IF(Import.TipoArredondamento&lt;&gt;"TransfereGOV",
ROUND(OFFSET($P572,0,AJ$13),15-13*ORÇAMENTO!$AF$7)/$H572*OFFSET(ORÇAMENTO!$X$15,ROW(AJ572)-ROW(AJ$15),0),
ROUND(ROUND(OFFSET($P572,0,AJ$13),15-13*ORÇAMENTO!$AF$7)*OFFSET(ORÇAMENTO!$W$15,ROW(AJ572)-ROW(AJ$15),0),15-13*ORÇAMENTO!$AF$11)),0)</f>
        <v>0</v>
      </c>
      <c r="AK572" s="546">
        <f ca="1">IF(AND($D572="Serviço",AK$12&lt;&gt;0,$H572&gt;0,OR(AUTOEVENTO&lt;&gt;"manual",$M572&lt;&gt;1)),
IF(Import.TipoArredondamento&lt;&gt;"TransfereGOV",
ROUND(OFFSET($P572,0,AK$13),15-13*ORÇAMENTO!$AF$7)/$H572*OFFSET(ORÇAMENTO!$X$15,ROW(AK572)-ROW(AK$15),0),
ROUND(ROUND(OFFSET($P572,0,AK$13),15-13*ORÇAMENTO!$AF$7)*OFFSET(ORÇAMENTO!$W$15,ROW(AK572)-ROW(AK$15),0),15-13*ORÇAMENTO!$AF$11)),0)</f>
        <v>0</v>
      </c>
      <c r="AM572" s="181">
        <f ca="1">IF($D572&lt;&gt;"Serviço",0,IF(AND(AUTOEVENTO="Manual",$M572=1),0,IF(OFFSET(CRONOPLE!$F$14,$M572,AM$13)="",10^12,OFFSET(CRONOPLE!$F$14,$M572,AM$13))))</f>
        <v>1000000000000</v>
      </c>
      <c r="AN572" s="181">
        <f ca="1">IF($D572&lt;&gt;"Serviço",0,IF(AND(AUTOEVENTO="Manual",$M572=1),0,IF(OFFSET(CRONOPLE!$F$14,$M572,AN$13)="",10^12,OFFSET(CRONOPLE!$F$14,$M572,AN$13))))</f>
        <v>1000000000000</v>
      </c>
      <c r="AO572" s="181">
        <f ca="1">IF($D572&lt;&gt;"Serviço",0,IF(AND(AUTOEVENTO="Manual",$M572=1),0,IF(OFFSET(CRONOPLE!$F$14,$M572,AO$13)="",10^12,OFFSET(CRONOPLE!$F$14,$M572,AO$13))))</f>
        <v>1000000000000</v>
      </c>
      <c r="AP572" s="181">
        <f ca="1">IF($D572&lt;&gt;"Serviço",0,IF(AND(AUTOEVENTO="Manual",$M572=1),0,IF(OFFSET(CRONOPLE!$F$14,$M572,AP$13)="",10^12,OFFSET(CRONOPLE!$F$14,$M572,AP$13))))</f>
        <v>1000000000000</v>
      </c>
      <c r="AQ572" s="181">
        <f ca="1">IF($D572&lt;&gt;"Serviço",0,IF(AND(AUTOEVENTO="Manual",$M572=1),0,IF(OFFSET(CRONOPLE!$F$14,$M572,AQ$13)="",10^12,OFFSET(CRONOPLE!$F$14,$M572,AQ$13))))</f>
        <v>1000000000000</v>
      </c>
      <c r="AR572" s="181">
        <f ca="1">IF($D572&lt;&gt;"Serviço",0,IF(AND(AUTOEVENTO="Manual",$M572=1),0,IF(OFFSET(CRONOPLE!$F$14,$M572,AR$13)="",10^12,OFFSET(CRONOPLE!$F$14,$M572,AR$13))))</f>
        <v>1000000000000</v>
      </c>
      <c r="AS572" s="181">
        <f ca="1">IF($D572&lt;&gt;"Serviço",0,IF(AND(AUTOEVENTO="Manual",$M572=1),0,IF(OFFSET(CRONOPLE!$F$14,$M572,AS$13)="",10^12,OFFSET(CRONOPLE!$F$14,$M572,AS$13))))</f>
        <v>1000000000000</v>
      </c>
      <c r="AT572" s="181">
        <f ca="1">IF($D572&lt;&gt;"Serviço",0,IF(AND(AUTOEVENTO="Manual",$M572=1),0,IF(OFFSET(CRONOPLE!$F$14,$M572,AT$13)="",10^12,OFFSET(CRONOPLE!$F$14,$M572,AT$13))))</f>
        <v>1000000000000</v>
      </c>
      <c r="AU572" s="181">
        <f ca="1">IF($D572&lt;&gt;"Serviço",0,IF(AND(AUTOEVENTO="Manual",$M572=1),0,IF(OFFSET(CRONOPLE!$F$14,$M572,AU$13)="",10^12,OFFSET(CRONOPLE!$F$14,$M572,AU$13))))</f>
        <v>1000000000000</v>
      </c>
      <c r="AV572" s="181">
        <f ca="1">IF($D572&lt;&gt;"Serviço",0,IF(AND(AUTOEVENTO="Manual",$M572=1),0,IF(OFFSET(CRONOPLE!$F$14,$M572,AV$13)="",10^12,OFFSET(CRONOPLE!$F$14,$M572,AV$13))))</f>
        <v>1000000000000</v>
      </c>
      <c r="AX572" s="182">
        <f ca="1">IF($D572&lt;&gt;"Serviço",0,IF(OR(AND(AUTOEVENTO="Manual",$M572=1),$M572&gt;(ROW(PLE.lastrow)-ROW(PLE.firstrow))),0,IF(OFFSET(PLE!$G$14,$M572,AX$13)="",10^12,OFFSET(PLE!$G$14,$M572,AX$13))))</f>
        <v>1000000000000</v>
      </c>
      <c r="AY572" s="182">
        <f ca="1">IF($D572&lt;&gt;"Serviço",0,IF(OR(AND(AUTOEVENTO="Manual",$M572=1),$M572&gt;(ROW(PLE.lastrow)-ROW(PLE.firstrow))),0,IF(OFFSET(PLE!$G$14,$M572,AY$13)="",10^12,OFFSET(PLE!$G$14,$M572,AY$13))))</f>
        <v>1000000000000</v>
      </c>
      <c r="AZ572" s="182">
        <f ca="1">IF($D572&lt;&gt;"Serviço",0,IF(OR(AND(AUTOEVENTO="Manual",$M572=1),$M572&gt;(ROW(PLE.lastrow)-ROW(PLE.firstrow))),0,IF(OFFSET(PLE!$G$14,$M572,AZ$13)="",10^12,OFFSET(PLE!$G$14,$M572,AZ$13))))</f>
        <v>1000000000000</v>
      </c>
      <c r="BA572" s="182">
        <f ca="1">IF($D572&lt;&gt;"Serviço",0,IF(OR(AND(AUTOEVENTO="Manual",$M572=1),$M572&gt;(ROW(PLE.lastrow)-ROW(PLE.firstrow))),0,IF(OFFSET(PLE!$G$14,$M572,BA$13)="",10^12,OFFSET(PLE!$G$14,$M572,BA$13))))</f>
        <v>1000000000000</v>
      </c>
      <c r="BB572" s="182">
        <f ca="1">IF($D572&lt;&gt;"Serviço",0,IF(OR(AND(AUTOEVENTO="Manual",$M572=1),$M572&gt;(ROW(PLE.lastrow)-ROW(PLE.firstrow))),0,IF(OFFSET(PLE!$G$14,$M572,BB$13)="",10^12,OFFSET(PLE!$G$14,$M572,BB$13))))</f>
        <v>1000000000000</v>
      </c>
      <c r="BC572" s="182">
        <f ca="1">IF($D572&lt;&gt;"Serviço",0,IF(OR(AND(AUTOEVENTO="Manual",$M572=1),$M572&gt;(ROW(PLE.lastrow)-ROW(PLE.firstrow))),0,IF(OFFSET(PLE!$G$14,$M572,BC$13)="",10^12,OFFSET(PLE!$G$14,$M572,BC$13))))</f>
        <v>1000000000000</v>
      </c>
      <c r="BD572" s="182">
        <f ca="1">IF($D572&lt;&gt;"Serviço",0,IF(OR(AND(AUTOEVENTO="Manual",$M572=1),$M572&gt;(ROW(PLE.lastrow)-ROW(PLE.firstrow))),0,IF(OFFSET(PLE!$G$14,$M572,BD$13)="",10^12,OFFSET(PLE!$G$14,$M572,BD$13))))</f>
        <v>1000000000000</v>
      </c>
      <c r="BE572" s="182">
        <f ca="1">IF($D572&lt;&gt;"Serviço",0,IF(OR(AND(AUTOEVENTO="Manual",$M572=1),$M572&gt;(ROW(PLE.lastrow)-ROW(PLE.firstrow))),0,IF(OFFSET(PLE!$G$14,$M572,BE$13)="",10^12,OFFSET(PLE!$G$14,$M572,BE$13))))</f>
        <v>1000000000000</v>
      </c>
      <c r="BF572" s="182">
        <f ca="1">IF($D572&lt;&gt;"Serviço",0,IF(OR(AND(AUTOEVENTO="Manual",$M572=1),$M572&gt;(ROW(PLE.lastrow)-ROW(PLE.firstrow))),0,IF(OFFSET(PLE!$G$14,$M572,BF$13)="",10^12,OFFSET(PLE!$G$14,$M572,BF$13))))</f>
        <v>1000000000000</v>
      </c>
      <c r="BG572" s="182">
        <f ca="1">IF($D572&lt;&gt;"Serviço",0,IF(OR(AND(AUTOEVENTO="Manual",$M572=1),$M572&gt;(ROW(PLE.lastrow)-ROW(PLE.firstrow))),0,IF(OFFSET(PLE!$G$14,$M572,BG$13)="",10^12,OFFSET(PLE!$G$14,$M572,BG$13))))</f>
        <v>1000000000000</v>
      </c>
    </row>
    <row r="573" spans="1:59" ht="25.5" x14ac:dyDescent="0.2">
      <c r="A573" s="7" t="str">
        <f t="shared" ca="1" si="15"/>
        <v>472</v>
      </c>
      <c r="B573" s="7" t="str">
        <f ca="1">OFFSET(ORÇAMENTO!C$15,ROW(B573)-ROW(B$15),0)</f>
        <v>S</v>
      </c>
      <c r="C573" s="7" t="str">
        <f ca="1">OFFSET(ORÇAMENTO!L$15,ROW(C573)-ROW(C$15),0)</f>
        <v/>
      </c>
      <c r="D573" s="118" t="str">
        <f ca="1">OFFSET(ORÇAMENTO!N$15,ROW(D573)-ROW(D$15),0)</f>
        <v>Serviço</v>
      </c>
      <c r="E573" s="119" t="str">
        <f ca="1">OFFSET(ORÇAMENTO!O$15,ROW(E573)-ROW(E$15),0)</f>
        <v>-</v>
      </c>
      <c r="F573" s="172" t="str">
        <f ca="1">OFFSET(ORÇAMENTO!R$15,ROW(F573)-ROW(F$15),0)</f>
        <v>(abra o arquivo 'Referência 02-2025.xlsm)</v>
      </c>
      <c r="G573" s="173" t="str">
        <f ca="1">IF($D573&lt;&gt;"Serviço","",OFFSET(ORÇAMENTO!S$15,ROW(G573)-ROW(G$15),0))</f>
        <v>-</v>
      </c>
      <c r="H573" s="124">
        <f ca="1">IF($D573&lt;&gt;"Serviço",0,IF(ACOMPANHAMENTO="BM",ROUND(OFFSET(ORÇAMENTO!AJ$15,ROW(H573)-ROW(H$15),0),15-13*ORÇAMENTO!$AF$7),SUMPRODUCT(($Q$12:$AA$12&lt;&gt;"")*ROUND($Q573:$AA573,15-13*ORÇAMENTO!$AF$7))))</f>
        <v>2</v>
      </c>
      <c r="I573" s="561" t="s">
        <v>890</v>
      </c>
      <c r="K573" s="174"/>
      <c r="L573" s="175" t="s">
        <v>255</v>
      </c>
      <c r="M573" s="176">
        <f ca="1">IF($D573&lt;&gt;"Serviço","",IF(AUTOEVENTO="manual",$A573,IF(ISERROR(MATCH($A573,$A$15:OFFSET($A573,-1,0),0)),MAX($M$15:OFFSET(M573,-1,0))+1,INDEX($M$15:OFFSET(M573,-1,0),MATCH($A573,$A$15:OFFSET($A573,-1,0),0)))))</f>
        <v>18</v>
      </c>
      <c r="N573" s="177" t="str">
        <f ca="1">IF($D573&lt;&gt;"Serviço","",IF(AUTOEVENTO="Manual",IF($A573=0,"&lt;-- defina o número do agrupador",OFFSET(EVENTOS!$D$14,$A573,0)),OFFSET($F$15,$A573,0)))</f>
        <v>INSTALAÇÕES ELÉTRICAS - 220V</v>
      </c>
      <c r="O573" s="178"/>
      <c r="Q573" s="178"/>
      <c r="R573" s="179"/>
      <c r="S573" s="179"/>
      <c r="T573" s="179"/>
      <c r="U573" s="179"/>
      <c r="V573" s="179"/>
      <c r="W573" s="179"/>
      <c r="X573" s="179"/>
      <c r="Y573" s="179"/>
      <c r="Z573" s="180"/>
      <c r="AB573" s="544">
        <f ca="1">IF(AND($D573="Serviço",AB$12&lt;&gt;0,$H573&gt;0,OR(AUTOEVENTO&lt;&gt;"manual",$M573&lt;&gt;1)),
IF(Import.TipoArredondamento&lt;&gt;"TransfereGOV",
ROUND(OFFSET($P573,0,AB$13),15-13*ORÇAMENTO!$AF$7)/$H573*OFFSET(ORÇAMENTO!$X$15,ROW(AB573)-ROW(AB$15),0),
ROUND(ROUND(OFFSET($P573,0,AB$13),15-13*ORÇAMENTO!$AF$7)*OFFSET(ORÇAMENTO!$W$15,ROW(AB573)-ROW(AB$15),0),15-13*ORÇAMENTO!$AF$11)),0)</f>
        <v>0</v>
      </c>
      <c r="AC573" s="545">
        <f ca="1">IF(AND($D573="Serviço",AC$12&lt;&gt;0,$H573&gt;0,OR(AUTOEVENTO&lt;&gt;"manual",$M573&lt;&gt;1)),
IF(Import.TipoArredondamento&lt;&gt;"TransfereGOV",
ROUND(OFFSET($P573,0,AC$13),15-13*ORÇAMENTO!$AF$7)/$H573*OFFSET(ORÇAMENTO!$X$15,ROW(AC573)-ROW(AC$15),0),
ROUND(ROUND(OFFSET($P573,0,AC$13),15-13*ORÇAMENTO!$AF$7)*OFFSET(ORÇAMENTO!$W$15,ROW(AC573)-ROW(AC$15),0),15-13*ORÇAMENTO!$AF$11)),0)</f>
        <v>0</v>
      </c>
      <c r="AD573" s="545">
        <f ca="1">IF(AND($D573="Serviço",AD$12&lt;&gt;0,$H573&gt;0,OR(AUTOEVENTO&lt;&gt;"manual",$M573&lt;&gt;1)),
IF(Import.TipoArredondamento&lt;&gt;"TransfereGOV",
ROUND(OFFSET($P573,0,AD$13),15-13*ORÇAMENTO!$AF$7)/$H573*OFFSET(ORÇAMENTO!$X$15,ROW(AD573)-ROW(AD$15),0),
ROUND(ROUND(OFFSET($P573,0,AD$13),15-13*ORÇAMENTO!$AF$7)*OFFSET(ORÇAMENTO!$W$15,ROW(AD573)-ROW(AD$15),0),15-13*ORÇAMENTO!$AF$11)),0)</f>
        <v>0</v>
      </c>
      <c r="AE573" s="545">
        <f ca="1">IF(AND($D573="Serviço",AE$12&lt;&gt;0,$H573&gt;0,OR(AUTOEVENTO&lt;&gt;"manual",$M573&lt;&gt;1)),
IF(Import.TipoArredondamento&lt;&gt;"TransfereGOV",
ROUND(OFFSET($P573,0,AE$13),15-13*ORÇAMENTO!$AF$7)/$H573*OFFSET(ORÇAMENTO!$X$15,ROW(AE573)-ROW(AE$15),0),
ROUND(ROUND(OFFSET($P573,0,AE$13),15-13*ORÇAMENTO!$AF$7)*OFFSET(ORÇAMENTO!$W$15,ROW(AE573)-ROW(AE$15),0),15-13*ORÇAMENTO!$AF$11)),0)</f>
        <v>0</v>
      </c>
      <c r="AF573" s="545">
        <f ca="1">IF(AND($D573="Serviço",AF$12&lt;&gt;0,$H573&gt;0,OR(AUTOEVENTO&lt;&gt;"manual",$M573&lt;&gt;1)),
IF(Import.TipoArredondamento&lt;&gt;"TransfereGOV",
ROUND(OFFSET($P573,0,AF$13),15-13*ORÇAMENTO!$AF$7)/$H573*OFFSET(ORÇAMENTO!$X$15,ROW(AF573)-ROW(AF$15),0),
ROUND(ROUND(OFFSET($P573,0,AF$13),15-13*ORÇAMENTO!$AF$7)*OFFSET(ORÇAMENTO!$W$15,ROW(AF573)-ROW(AF$15),0),15-13*ORÇAMENTO!$AF$11)),0)</f>
        <v>0</v>
      </c>
      <c r="AG573" s="545">
        <f ca="1">IF(AND($D573="Serviço",AG$12&lt;&gt;0,$H573&gt;0,OR(AUTOEVENTO&lt;&gt;"manual",$M573&lt;&gt;1)),
IF(Import.TipoArredondamento&lt;&gt;"TransfereGOV",
ROUND(OFFSET($P573,0,AG$13),15-13*ORÇAMENTO!$AF$7)/$H573*OFFSET(ORÇAMENTO!$X$15,ROW(AG573)-ROW(AG$15),0),
ROUND(ROUND(OFFSET($P573,0,AG$13),15-13*ORÇAMENTO!$AF$7)*OFFSET(ORÇAMENTO!$W$15,ROW(AG573)-ROW(AG$15),0),15-13*ORÇAMENTO!$AF$11)),0)</f>
        <v>0</v>
      </c>
      <c r="AH573" s="545">
        <f ca="1">IF(AND($D573="Serviço",AH$12&lt;&gt;0,$H573&gt;0,OR(AUTOEVENTO&lt;&gt;"manual",$M573&lt;&gt;1)),
IF(Import.TipoArredondamento&lt;&gt;"TransfereGOV",
ROUND(OFFSET($P573,0,AH$13),15-13*ORÇAMENTO!$AF$7)/$H573*OFFSET(ORÇAMENTO!$X$15,ROW(AH573)-ROW(AH$15),0),
ROUND(ROUND(OFFSET($P573,0,AH$13),15-13*ORÇAMENTO!$AF$7)*OFFSET(ORÇAMENTO!$W$15,ROW(AH573)-ROW(AH$15),0),15-13*ORÇAMENTO!$AF$11)),0)</f>
        <v>0</v>
      </c>
      <c r="AI573" s="545">
        <f ca="1">IF(AND($D573="Serviço",AI$12&lt;&gt;0,$H573&gt;0,OR(AUTOEVENTO&lt;&gt;"manual",$M573&lt;&gt;1)),
IF(Import.TipoArredondamento&lt;&gt;"TransfereGOV",
ROUND(OFFSET($P573,0,AI$13),15-13*ORÇAMENTO!$AF$7)/$H573*OFFSET(ORÇAMENTO!$X$15,ROW(AI573)-ROW(AI$15),0),
ROUND(ROUND(OFFSET($P573,0,AI$13),15-13*ORÇAMENTO!$AF$7)*OFFSET(ORÇAMENTO!$W$15,ROW(AI573)-ROW(AI$15),0),15-13*ORÇAMENTO!$AF$11)),0)</f>
        <v>0</v>
      </c>
      <c r="AJ573" s="545">
        <f ca="1">IF(AND($D573="Serviço",AJ$12&lt;&gt;0,$H573&gt;0,OR(AUTOEVENTO&lt;&gt;"manual",$M573&lt;&gt;1)),
IF(Import.TipoArredondamento&lt;&gt;"TransfereGOV",
ROUND(OFFSET($P573,0,AJ$13),15-13*ORÇAMENTO!$AF$7)/$H573*OFFSET(ORÇAMENTO!$X$15,ROW(AJ573)-ROW(AJ$15),0),
ROUND(ROUND(OFFSET($P573,0,AJ$13),15-13*ORÇAMENTO!$AF$7)*OFFSET(ORÇAMENTO!$W$15,ROW(AJ573)-ROW(AJ$15),0),15-13*ORÇAMENTO!$AF$11)),0)</f>
        <v>0</v>
      </c>
      <c r="AK573" s="546">
        <f ca="1">IF(AND($D573="Serviço",AK$12&lt;&gt;0,$H573&gt;0,OR(AUTOEVENTO&lt;&gt;"manual",$M573&lt;&gt;1)),
IF(Import.TipoArredondamento&lt;&gt;"TransfereGOV",
ROUND(OFFSET($P573,0,AK$13),15-13*ORÇAMENTO!$AF$7)/$H573*OFFSET(ORÇAMENTO!$X$15,ROW(AK573)-ROW(AK$15),0),
ROUND(ROUND(OFFSET($P573,0,AK$13),15-13*ORÇAMENTO!$AF$7)*OFFSET(ORÇAMENTO!$W$15,ROW(AK573)-ROW(AK$15),0),15-13*ORÇAMENTO!$AF$11)),0)</f>
        <v>0</v>
      </c>
      <c r="AM573" s="181">
        <f ca="1">IF($D573&lt;&gt;"Serviço",0,IF(AND(AUTOEVENTO="Manual",$M573=1),0,IF(OFFSET(CRONOPLE!$F$14,$M573,AM$13)="",10^12,OFFSET(CRONOPLE!$F$14,$M573,AM$13))))</f>
        <v>1000000000000</v>
      </c>
      <c r="AN573" s="181">
        <f ca="1">IF($D573&lt;&gt;"Serviço",0,IF(AND(AUTOEVENTO="Manual",$M573=1),0,IF(OFFSET(CRONOPLE!$F$14,$M573,AN$13)="",10^12,OFFSET(CRONOPLE!$F$14,$M573,AN$13))))</f>
        <v>1000000000000</v>
      </c>
      <c r="AO573" s="181">
        <f ca="1">IF($D573&lt;&gt;"Serviço",0,IF(AND(AUTOEVENTO="Manual",$M573=1),0,IF(OFFSET(CRONOPLE!$F$14,$M573,AO$13)="",10^12,OFFSET(CRONOPLE!$F$14,$M573,AO$13))))</f>
        <v>1000000000000</v>
      </c>
      <c r="AP573" s="181">
        <f ca="1">IF($D573&lt;&gt;"Serviço",0,IF(AND(AUTOEVENTO="Manual",$M573=1),0,IF(OFFSET(CRONOPLE!$F$14,$M573,AP$13)="",10^12,OFFSET(CRONOPLE!$F$14,$M573,AP$13))))</f>
        <v>1000000000000</v>
      </c>
      <c r="AQ573" s="181">
        <f ca="1">IF($D573&lt;&gt;"Serviço",0,IF(AND(AUTOEVENTO="Manual",$M573=1),0,IF(OFFSET(CRONOPLE!$F$14,$M573,AQ$13)="",10^12,OFFSET(CRONOPLE!$F$14,$M573,AQ$13))))</f>
        <v>1000000000000</v>
      </c>
      <c r="AR573" s="181">
        <f ca="1">IF($D573&lt;&gt;"Serviço",0,IF(AND(AUTOEVENTO="Manual",$M573=1),0,IF(OFFSET(CRONOPLE!$F$14,$M573,AR$13)="",10^12,OFFSET(CRONOPLE!$F$14,$M573,AR$13))))</f>
        <v>1000000000000</v>
      </c>
      <c r="AS573" s="181">
        <f ca="1">IF($D573&lt;&gt;"Serviço",0,IF(AND(AUTOEVENTO="Manual",$M573=1),0,IF(OFFSET(CRONOPLE!$F$14,$M573,AS$13)="",10^12,OFFSET(CRONOPLE!$F$14,$M573,AS$13))))</f>
        <v>1000000000000</v>
      </c>
      <c r="AT573" s="181">
        <f ca="1">IF($D573&lt;&gt;"Serviço",0,IF(AND(AUTOEVENTO="Manual",$M573=1),0,IF(OFFSET(CRONOPLE!$F$14,$M573,AT$13)="",10^12,OFFSET(CRONOPLE!$F$14,$M573,AT$13))))</f>
        <v>1000000000000</v>
      </c>
      <c r="AU573" s="181">
        <f ca="1">IF($D573&lt;&gt;"Serviço",0,IF(AND(AUTOEVENTO="Manual",$M573=1),0,IF(OFFSET(CRONOPLE!$F$14,$M573,AU$13)="",10^12,OFFSET(CRONOPLE!$F$14,$M573,AU$13))))</f>
        <v>1000000000000</v>
      </c>
      <c r="AV573" s="181">
        <f ca="1">IF($D573&lt;&gt;"Serviço",0,IF(AND(AUTOEVENTO="Manual",$M573=1),0,IF(OFFSET(CRONOPLE!$F$14,$M573,AV$13)="",10^12,OFFSET(CRONOPLE!$F$14,$M573,AV$13))))</f>
        <v>1000000000000</v>
      </c>
      <c r="AX573" s="182">
        <f ca="1">IF($D573&lt;&gt;"Serviço",0,IF(OR(AND(AUTOEVENTO="Manual",$M573=1),$M573&gt;(ROW(PLE.lastrow)-ROW(PLE.firstrow))),0,IF(OFFSET(PLE!$G$14,$M573,AX$13)="",10^12,OFFSET(PLE!$G$14,$M573,AX$13))))</f>
        <v>1000000000000</v>
      </c>
      <c r="AY573" s="182">
        <f ca="1">IF($D573&lt;&gt;"Serviço",0,IF(OR(AND(AUTOEVENTO="Manual",$M573=1),$M573&gt;(ROW(PLE.lastrow)-ROW(PLE.firstrow))),0,IF(OFFSET(PLE!$G$14,$M573,AY$13)="",10^12,OFFSET(PLE!$G$14,$M573,AY$13))))</f>
        <v>1000000000000</v>
      </c>
      <c r="AZ573" s="182">
        <f ca="1">IF($D573&lt;&gt;"Serviço",0,IF(OR(AND(AUTOEVENTO="Manual",$M573=1),$M573&gt;(ROW(PLE.lastrow)-ROW(PLE.firstrow))),0,IF(OFFSET(PLE!$G$14,$M573,AZ$13)="",10^12,OFFSET(PLE!$G$14,$M573,AZ$13))))</f>
        <v>1000000000000</v>
      </c>
      <c r="BA573" s="182">
        <f ca="1">IF($D573&lt;&gt;"Serviço",0,IF(OR(AND(AUTOEVENTO="Manual",$M573=1),$M573&gt;(ROW(PLE.lastrow)-ROW(PLE.firstrow))),0,IF(OFFSET(PLE!$G$14,$M573,BA$13)="",10^12,OFFSET(PLE!$G$14,$M573,BA$13))))</f>
        <v>1000000000000</v>
      </c>
      <c r="BB573" s="182">
        <f ca="1">IF($D573&lt;&gt;"Serviço",0,IF(OR(AND(AUTOEVENTO="Manual",$M573=1),$M573&gt;(ROW(PLE.lastrow)-ROW(PLE.firstrow))),0,IF(OFFSET(PLE!$G$14,$M573,BB$13)="",10^12,OFFSET(PLE!$G$14,$M573,BB$13))))</f>
        <v>1000000000000</v>
      </c>
      <c r="BC573" s="182">
        <f ca="1">IF($D573&lt;&gt;"Serviço",0,IF(OR(AND(AUTOEVENTO="Manual",$M573=1),$M573&gt;(ROW(PLE.lastrow)-ROW(PLE.firstrow))),0,IF(OFFSET(PLE!$G$14,$M573,BC$13)="",10^12,OFFSET(PLE!$G$14,$M573,BC$13))))</f>
        <v>1000000000000</v>
      </c>
      <c r="BD573" s="182">
        <f ca="1">IF($D573&lt;&gt;"Serviço",0,IF(OR(AND(AUTOEVENTO="Manual",$M573=1),$M573&gt;(ROW(PLE.lastrow)-ROW(PLE.firstrow))),0,IF(OFFSET(PLE!$G$14,$M573,BD$13)="",10^12,OFFSET(PLE!$G$14,$M573,BD$13))))</f>
        <v>1000000000000</v>
      </c>
      <c r="BE573" s="182">
        <f ca="1">IF($D573&lt;&gt;"Serviço",0,IF(OR(AND(AUTOEVENTO="Manual",$M573=1),$M573&gt;(ROW(PLE.lastrow)-ROW(PLE.firstrow))),0,IF(OFFSET(PLE!$G$14,$M573,BE$13)="",10^12,OFFSET(PLE!$G$14,$M573,BE$13))))</f>
        <v>1000000000000</v>
      </c>
      <c r="BF573" s="182">
        <f ca="1">IF($D573&lt;&gt;"Serviço",0,IF(OR(AND(AUTOEVENTO="Manual",$M573=1),$M573&gt;(ROW(PLE.lastrow)-ROW(PLE.firstrow))),0,IF(OFFSET(PLE!$G$14,$M573,BF$13)="",10^12,OFFSET(PLE!$G$14,$M573,BF$13))))</f>
        <v>1000000000000</v>
      </c>
      <c r="BG573" s="182">
        <f ca="1">IF($D573&lt;&gt;"Serviço",0,IF(OR(AND(AUTOEVENTO="Manual",$M573=1),$M573&gt;(ROW(PLE.lastrow)-ROW(PLE.firstrow))),0,IF(OFFSET(PLE!$G$14,$M573,BG$13)="",10^12,OFFSET(PLE!$G$14,$M573,BG$13))))</f>
        <v>1000000000000</v>
      </c>
    </row>
    <row r="574" spans="1:59" ht="12.75" x14ac:dyDescent="0.2">
      <c r="A574" s="7" t="str">
        <f t="shared" ca="1" si="15"/>
        <v>472</v>
      </c>
      <c r="B574" s="7">
        <f ca="1">OFFSET(ORÇAMENTO!C$15,ROW(B574)-ROW(B$15),0)</f>
        <v>3</v>
      </c>
      <c r="C574" s="7" t="str">
        <f ca="1">OFFSET(ORÇAMENTO!L$15,ROW(C574)-ROW(C$15),0)</f>
        <v>F</v>
      </c>
      <c r="D574" s="118" t="str">
        <f ca="1">OFFSET(ORÇAMENTO!N$15,ROW(D574)-ROW(D$15),0)</f>
        <v>Nível 3</v>
      </c>
      <c r="E574" s="119" t="str">
        <f ca="1">OFFSET(ORÇAMENTO!O$15,ROW(E574)-ROW(E$15),0)</f>
        <v>1.17.8.</v>
      </c>
      <c r="F574" s="172" t="str">
        <f ca="1">OFFSET(ORÇAMENTO!R$15,ROW(F574)-ROW(F$15),0)</f>
        <v>ELETROCALHAS</v>
      </c>
      <c r="G574" s="173" t="str">
        <f ca="1">IF($D574&lt;&gt;"Serviço","",OFFSET(ORÇAMENTO!S$15,ROW(G574)-ROW(G$15),0))</f>
        <v/>
      </c>
      <c r="H574" s="124">
        <f ca="1">IF($D574&lt;&gt;"Serviço",0,IF(ACOMPANHAMENTO="BM",ROUND(OFFSET(ORÇAMENTO!AJ$15,ROW(H574)-ROW(H$15),0),15-13*ORÇAMENTO!$AF$7),SUMPRODUCT(($Q$12:$AA$12&lt;&gt;"")*ROUND($Q574:$AA574,15-13*ORÇAMENTO!$AF$7))))</f>
        <v>0</v>
      </c>
      <c r="I574" s="561"/>
      <c r="K574" s="174"/>
      <c r="L574" s="175" t="s">
        <v>255</v>
      </c>
      <c r="M574" s="176" t="str">
        <f ca="1">IF($D574&lt;&gt;"Serviço","",IF(AUTOEVENTO="manual",$A574,IF(ISERROR(MATCH($A574,$A$15:OFFSET($A574,-1,0),0)),MAX($M$15:OFFSET(M574,-1,0))+1,INDEX($M$15:OFFSET(M574,-1,0),MATCH($A574,$A$15:OFFSET($A574,-1,0),0)))))</f>
        <v/>
      </c>
      <c r="N574" s="177" t="str">
        <f ca="1">IF($D574&lt;&gt;"Serviço","",IF(AUTOEVENTO="Manual",IF($A574=0,"&lt;-- defina o número do agrupador",OFFSET(EVENTOS!$D$14,$A574,0)),OFFSET($F$15,$A574,0)))</f>
        <v/>
      </c>
      <c r="O574" s="178"/>
      <c r="Q574" s="178"/>
      <c r="R574" s="179"/>
      <c r="S574" s="179"/>
      <c r="T574" s="179"/>
      <c r="U574" s="179"/>
      <c r="V574" s="179"/>
      <c r="W574" s="179"/>
      <c r="X574" s="179"/>
      <c r="Y574" s="179"/>
      <c r="Z574" s="180"/>
      <c r="AB574" s="544">
        <f ca="1">IF(AND($D574="Serviço",AB$12&lt;&gt;0,$H574&gt;0,OR(AUTOEVENTO&lt;&gt;"manual",$M574&lt;&gt;1)),
IF(Import.TipoArredondamento&lt;&gt;"TransfereGOV",
ROUND(OFFSET($P574,0,AB$13),15-13*ORÇAMENTO!$AF$7)/$H574*OFFSET(ORÇAMENTO!$X$15,ROW(AB574)-ROW(AB$15),0),
ROUND(ROUND(OFFSET($P574,0,AB$13),15-13*ORÇAMENTO!$AF$7)*OFFSET(ORÇAMENTO!$W$15,ROW(AB574)-ROW(AB$15),0),15-13*ORÇAMENTO!$AF$11)),0)</f>
        <v>0</v>
      </c>
      <c r="AC574" s="545">
        <f ca="1">IF(AND($D574="Serviço",AC$12&lt;&gt;0,$H574&gt;0,OR(AUTOEVENTO&lt;&gt;"manual",$M574&lt;&gt;1)),
IF(Import.TipoArredondamento&lt;&gt;"TransfereGOV",
ROUND(OFFSET($P574,0,AC$13),15-13*ORÇAMENTO!$AF$7)/$H574*OFFSET(ORÇAMENTO!$X$15,ROW(AC574)-ROW(AC$15),0),
ROUND(ROUND(OFFSET($P574,0,AC$13),15-13*ORÇAMENTO!$AF$7)*OFFSET(ORÇAMENTO!$W$15,ROW(AC574)-ROW(AC$15),0),15-13*ORÇAMENTO!$AF$11)),0)</f>
        <v>0</v>
      </c>
      <c r="AD574" s="545">
        <f ca="1">IF(AND($D574="Serviço",AD$12&lt;&gt;0,$H574&gt;0,OR(AUTOEVENTO&lt;&gt;"manual",$M574&lt;&gt;1)),
IF(Import.TipoArredondamento&lt;&gt;"TransfereGOV",
ROUND(OFFSET($P574,0,AD$13),15-13*ORÇAMENTO!$AF$7)/$H574*OFFSET(ORÇAMENTO!$X$15,ROW(AD574)-ROW(AD$15),0),
ROUND(ROUND(OFFSET($P574,0,AD$13),15-13*ORÇAMENTO!$AF$7)*OFFSET(ORÇAMENTO!$W$15,ROW(AD574)-ROW(AD$15),0),15-13*ORÇAMENTO!$AF$11)),0)</f>
        <v>0</v>
      </c>
      <c r="AE574" s="545">
        <f ca="1">IF(AND($D574="Serviço",AE$12&lt;&gt;0,$H574&gt;0,OR(AUTOEVENTO&lt;&gt;"manual",$M574&lt;&gt;1)),
IF(Import.TipoArredondamento&lt;&gt;"TransfereGOV",
ROUND(OFFSET($P574,0,AE$13),15-13*ORÇAMENTO!$AF$7)/$H574*OFFSET(ORÇAMENTO!$X$15,ROW(AE574)-ROW(AE$15),0),
ROUND(ROUND(OFFSET($P574,0,AE$13),15-13*ORÇAMENTO!$AF$7)*OFFSET(ORÇAMENTO!$W$15,ROW(AE574)-ROW(AE$15),0),15-13*ORÇAMENTO!$AF$11)),0)</f>
        <v>0</v>
      </c>
      <c r="AF574" s="545">
        <f ca="1">IF(AND($D574="Serviço",AF$12&lt;&gt;0,$H574&gt;0,OR(AUTOEVENTO&lt;&gt;"manual",$M574&lt;&gt;1)),
IF(Import.TipoArredondamento&lt;&gt;"TransfereGOV",
ROUND(OFFSET($P574,0,AF$13),15-13*ORÇAMENTO!$AF$7)/$H574*OFFSET(ORÇAMENTO!$X$15,ROW(AF574)-ROW(AF$15),0),
ROUND(ROUND(OFFSET($P574,0,AF$13),15-13*ORÇAMENTO!$AF$7)*OFFSET(ORÇAMENTO!$W$15,ROW(AF574)-ROW(AF$15),0),15-13*ORÇAMENTO!$AF$11)),0)</f>
        <v>0</v>
      </c>
      <c r="AG574" s="545">
        <f ca="1">IF(AND($D574="Serviço",AG$12&lt;&gt;0,$H574&gt;0,OR(AUTOEVENTO&lt;&gt;"manual",$M574&lt;&gt;1)),
IF(Import.TipoArredondamento&lt;&gt;"TransfereGOV",
ROUND(OFFSET($P574,0,AG$13),15-13*ORÇAMENTO!$AF$7)/$H574*OFFSET(ORÇAMENTO!$X$15,ROW(AG574)-ROW(AG$15),0),
ROUND(ROUND(OFFSET($P574,0,AG$13),15-13*ORÇAMENTO!$AF$7)*OFFSET(ORÇAMENTO!$W$15,ROW(AG574)-ROW(AG$15),0),15-13*ORÇAMENTO!$AF$11)),0)</f>
        <v>0</v>
      </c>
      <c r="AH574" s="545">
        <f ca="1">IF(AND($D574="Serviço",AH$12&lt;&gt;0,$H574&gt;0,OR(AUTOEVENTO&lt;&gt;"manual",$M574&lt;&gt;1)),
IF(Import.TipoArredondamento&lt;&gt;"TransfereGOV",
ROUND(OFFSET($P574,0,AH$13),15-13*ORÇAMENTO!$AF$7)/$H574*OFFSET(ORÇAMENTO!$X$15,ROW(AH574)-ROW(AH$15),0),
ROUND(ROUND(OFFSET($P574,0,AH$13),15-13*ORÇAMENTO!$AF$7)*OFFSET(ORÇAMENTO!$W$15,ROW(AH574)-ROW(AH$15),0),15-13*ORÇAMENTO!$AF$11)),0)</f>
        <v>0</v>
      </c>
      <c r="AI574" s="545">
        <f ca="1">IF(AND($D574="Serviço",AI$12&lt;&gt;0,$H574&gt;0,OR(AUTOEVENTO&lt;&gt;"manual",$M574&lt;&gt;1)),
IF(Import.TipoArredondamento&lt;&gt;"TransfereGOV",
ROUND(OFFSET($P574,0,AI$13),15-13*ORÇAMENTO!$AF$7)/$H574*OFFSET(ORÇAMENTO!$X$15,ROW(AI574)-ROW(AI$15),0),
ROUND(ROUND(OFFSET($P574,0,AI$13),15-13*ORÇAMENTO!$AF$7)*OFFSET(ORÇAMENTO!$W$15,ROW(AI574)-ROW(AI$15),0),15-13*ORÇAMENTO!$AF$11)),0)</f>
        <v>0</v>
      </c>
      <c r="AJ574" s="545">
        <f ca="1">IF(AND($D574="Serviço",AJ$12&lt;&gt;0,$H574&gt;0,OR(AUTOEVENTO&lt;&gt;"manual",$M574&lt;&gt;1)),
IF(Import.TipoArredondamento&lt;&gt;"TransfereGOV",
ROUND(OFFSET($P574,0,AJ$13),15-13*ORÇAMENTO!$AF$7)/$H574*OFFSET(ORÇAMENTO!$X$15,ROW(AJ574)-ROW(AJ$15),0),
ROUND(ROUND(OFFSET($P574,0,AJ$13),15-13*ORÇAMENTO!$AF$7)*OFFSET(ORÇAMENTO!$W$15,ROW(AJ574)-ROW(AJ$15),0),15-13*ORÇAMENTO!$AF$11)),0)</f>
        <v>0</v>
      </c>
      <c r="AK574" s="546">
        <f ca="1">IF(AND($D574="Serviço",AK$12&lt;&gt;0,$H574&gt;0,OR(AUTOEVENTO&lt;&gt;"manual",$M574&lt;&gt;1)),
IF(Import.TipoArredondamento&lt;&gt;"TransfereGOV",
ROUND(OFFSET($P574,0,AK$13),15-13*ORÇAMENTO!$AF$7)/$H574*OFFSET(ORÇAMENTO!$X$15,ROW(AK574)-ROW(AK$15),0),
ROUND(ROUND(OFFSET($P574,0,AK$13),15-13*ORÇAMENTO!$AF$7)*OFFSET(ORÇAMENTO!$W$15,ROW(AK574)-ROW(AK$15),0),15-13*ORÇAMENTO!$AF$11)),0)</f>
        <v>0</v>
      </c>
      <c r="AM574" s="181">
        <f ca="1">IF($D574&lt;&gt;"Serviço",0,IF(AND(AUTOEVENTO="Manual",$M574=1),0,IF(OFFSET(CRONOPLE!$F$14,$M574,AM$13)="",10^12,OFFSET(CRONOPLE!$F$14,$M574,AM$13))))</f>
        <v>0</v>
      </c>
      <c r="AN574" s="181">
        <f ca="1">IF($D574&lt;&gt;"Serviço",0,IF(AND(AUTOEVENTO="Manual",$M574=1),0,IF(OFFSET(CRONOPLE!$F$14,$M574,AN$13)="",10^12,OFFSET(CRONOPLE!$F$14,$M574,AN$13))))</f>
        <v>0</v>
      </c>
      <c r="AO574" s="181">
        <f ca="1">IF($D574&lt;&gt;"Serviço",0,IF(AND(AUTOEVENTO="Manual",$M574=1),0,IF(OFFSET(CRONOPLE!$F$14,$M574,AO$13)="",10^12,OFFSET(CRONOPLE!$F$14,$M574,AO$13))))</f>
        <v>0</v>
      </c>
      <c r="AP574" s="181">
        <f ca="1">IF($D574&lt;&gt;"Serviço",0,IF(AND(AUTOEVENTO="Manual",$M574=1),0,IF(OFFSET(CRONOPLE!$F$14,$M574,AP$13)="",10^12,OFFSET(CRONOPLE!$F$14,$M574,AP$13))))</f>
        <v>0</v>
      </c>
      <c r="AQ574" s="181">
        <f ca="1">IF($D574&lt;&gt;"Serviço",0,IF(AND(AUTOEVENTO="Manual",$M574=1),0,IF(OFFSET(CRONOPLE!$F$14,$M574,AQ$13)="",10^12,OFFSET(CRONOPLE!$F$14,$M574,AQ$13))))</f>
        <v>0</v>
      </c>
      <c r="AR574" s="181">
        <f ca="1">IF($D574&lt;&gt;"Serviço",0,IF(AND(AUTOEVENTO="Manual",$M574=1),0,IF(OFFSET(CRONOPLE!$F$14,$M574,AR$13)="",10^12,OFFSET(CRONOPLE!$F$14,$M574,AR$13))))</f>
        <v>0</v>
      </c>
      <c r="AS574" s="181">
        <f ca="1">IF($D574&lt;&gt;"Serviço",0,IF(AND(AUTOEVENTO="Manual",$M574=1),0,IF(OFFSET(CRONOPLE!$F$14,$M574,AS$13)="",10^12,OFFSET(CRONOPLE!$F$14,$M574,AS$13))))</f>
        <v>0</v>
      </c>
      <c r="AT574" s="181">
        <f ca="1">IF($D574&lt;&gt;"Serviço",0,IF(AND(AUTOEVENTO="Manual",$M574=1),0,IF(OFFSET(CRONOPLE!$F$14,$M574,AT$13)="",10^12,OFFSET(CRONOPLE!$F$14,$M574,AT$13))))</f>
        <v>0</v>
      </c>
      <c r="AU574" s="181">
        <f ca="1">IF($D574&lt;&gt;"Serviço",0,IF(AND(AUTOEVENTO="Manual",$M574=1),0,IF(OFFSET(CRONOPLE!$F$14,$M574,AU$13)="",10^12,OFFSET(CRONOPLE!$F$14,$M574,AU$13))))</f>
        <v>0</v>
      </c>
      <c r="AV574" s="181">
        <f ca="1">IF($D574&lt;&gt;"Serviço",0,IF(AND(AUTOEVENTO="Manual",$M574=1),0,IF(OFFSET(CRONOPLE!$F$14,$M574,AV$13)="",10^12,OFFSET(CRONOPLE!$F$14,$M574,AV$13))))</f>
        <v>0</v>
      </c>
      <c r="AX574" s="182">
        <f ca="1">IF($D574&lt;&gt;"Serviço",0,IF(OR(AND(AUTOEVENTO="Manual",$M574=1),$M574&gt;(ROW(PLE.lastrow)-ROW(PLE.firstrow))),0,IF(OFFSET(PLE!$G$14,$M574,AX$13)="",10^12,OFFSET(PLE!$G$14,$M574,AX$13))))</f>
        <v>0</v>
      </c>
      <c r="AY574" s="182">
        <f ca="1">IF($D574&lt;&gt;"Serviço",0,IF(OR(AND(AUTOEVENTO="Manual",$M574=1),$M574&gt;(ROW(PLE.lastrow)-ROW(PLE.firstrow))),0,IF(OFFSET(PLE!$G$14,$M574,AY$13)="",10^12,OFFSET(PLE!$G$14,$M574,AY$13))))</f>
        <v>0</v>
      </c>
      <c r="AZ574" s="182">
        <f ca="1">IF($D574&lt;&gt;"Serviço",0,IF(OR(AND(AUTOEVENTO="Manual",$M574=1),$M574&gt;(ROW(PLE.lastrow)-ROW(PLE.firstrow))),0,IF(OFFSET(PLE!$G$14,$M574,AZ$13)="",10^12,OFFSET(PLE!$G$14,$M574,AZ$13))))</f>
        <v>0</v>
      </c>
      <c r="BA574" s="182">
        <f ca="1">IF($D574&lt;&gt;"Serviço",0,IF(OR(AND(AUTOEVENTO="Manual",$M574=1),$M574&gt;(ROW(PLE.lastrow)-ROW(PLE.firstrow))),0,IF(OFFSET(PLE!$G$14,$M574,BA$13)="",10^12,OFFSET(PLE!$G$14,$M574,BA$13))))</f>
        <v>0</v>
      </c>
      <c r="BB574" s="182">
        <f ca="1">IF($D574&lt;&gt;"Serviço",0,IF(OR(AND(AUTOEVENTO="Manual",$M574=1),$M574&gt;(ROW(PLE.lastrow)-ROW(PLE.firstrow))),0,IF(OFFSET(PLE!$G$14,$M574,BB$13)="",10^12,OFFSET(PLE!$G$14,$M574,BB$13))))</f>
        <v>0</v>
      </c>
      <c r="BC574" s="182">
        <f ca="1">IF($D574&lt;&gt;"Serviço",0,IF(OR(AND(AUTOEVENTO="Manual",$M574=1),$M574&gt;(ROW(PLE.lastrow)-ROW(PLE.firstrow))),0,IF(OFFSET(PLE!$G$14,$M574,BC$13)="",10^12,OFFSET(PLE!$G$14,$M574,BC$13))))</f>
        <v>0</v>
      </c>
      <c r="BD574" s="182">
        <f ca="1">IF($D574&lt;&gt;"Serviço",0,IF(OR(AND(AUTOEVENTO="Manual",$M574=1),$M574&gt;(ROW(PLE.lastrow)-ROW(PLE.firstrow))),0,IF(OFFSET(PLE!$G$14,$M574,BD$13)="",10^12,OFFSET(PLE!$G$14,$M574,BD$13))))</f>
        <v>0</v>
      </c>
      <c r="BE574" s="182">
        <f ca="1">IF($D574&lt;&gt;"Serviço",0,IF(OR(AND(AUTOEVENTO="Manual",$M574=1),$M574&gt;(ROW(PLE.lastrow)-ROW(PLE.firstrow))),0,IF(OFFSET(PLE!$G$14,$M574,BE$13)="",10^12,OFFSET(PLE!$G$14,$M574,BE$13))))</f>
        <v>0</v>
      </c>
      <c r="BF574" s="182">
        <f ca="1">IF($D574&lt;&gt;"Serviço",0,IF(OR(AND(AUTOEVENTO="Manual",$M574=1),$M574&gt;(ROW(PLE.lastrow)-ROW(PLE.firstrow))),0,IF(OFFSET(PLE!$G$14,$M574,BF$13)="",10^12,OFFSET(PLE!$G$14,$M574,BF$13))))</f>
        <v>0</v>
      </c>
      <c r="BG574" s="182">
        <f ca="1">IF($D574&lt;&gt;"Serviço",0,IF(OR(AND(AUTOEVENTO="Manual",$M574=1),$M574&gt;(ROW(PLE.lastrow)-ROW(PLE.firstrow))),0,IF(OFFSET(PLE!$G$14,$M574,BG$13)="",10^12,OFFSET(PLE!$G$14,$M574,BG$13))))</f>
        <v>0</v>
      </c>
    </row>
    <row r="575" spans="1:59" ht="38.25" x14ac:dyDescent="0.2">
      <c r="A575" s="7" t="str">
        <f t="shared" ca="1" si="15"/>
        <v>472</v>
      </c>
      <c r="B575" s="7" t="str">
        <f ca="1">OFFSET(ORÇAMENTO!C$15,ROW(B575)-ROW(B$15),0)</f>
        <v>S</v>
      </c>
      <c r="C575" s="7" t="str">
        <f ca="1">OFFSET(ORÇAMENTO!L$15,ROW(C575)-ROW(C$15),0)</f>
        <v/>
      </c>
      <c r="D575" s="118" t="str">
        <f ca="1">OFFSET(ORÇAMENTO!N$15,ROW(D575)-ROW(D$15),0)</f>
        <v>Serviço</v>
      </c>
      <c r="E575" s="119" t="str">
        <f ca="1">OFFSET(ORÇAMENTO!O$15,ROW(E575)-ROW(E$15),0)</f>
        <v>-</v>
      </c>
      <c r="F575" s="172" t="str">
        <f ca="1">OFFSET(ORÇAMENTO!R$15,ROW(F575)-ROW(F$15),0)</f>
        <v>(abra o arquivo 'Referência 02-2025.xlsm)</v>
      </c>
      <c r="G575" s="173" t="str">
        <f ca="1">IF($D575&lt;&gt;"Serviço","",OFFSET(ORÇAMENTO!S$15,ROW(G575)-ROW(G$15),0))</f>
        <v>-</v>
      </c>
      <c r="H575" s="124">
        <f ca="1">IF($D575&lt;&gt;"Serviço",0,IF(ACOMPANHAMENTO="BM",ROUND(OFFSET(ORÇAMENTO!AJ$15,ROW(H575)-ROW(H$15),0),15-13*ORÇAMENTO!$AF$7),SUMPRODUCT(($Q$12:$AA$12&lt;&gt;"")*ROUND($Q575:$AA575,15-13*ORÇAMENTO!$AF$7))))</f>
        <v>121</v>
      </c>
      <c r="I575" s="561" t="s">
        <v>890</v>
      </c>
      <c r="K575" s="174"/>
      <c r="L575" s="175" t="s">
        <v>255</v>
      </c>
      <c r="M575" s="176">
        <f ca="1">IF($D575&lt;&gt;"Serviço","",IF(AUTOEVENTO="manual",$A575,IF(ISERROR(MATCH($A575,$A$15:OFFSET($A575,-1,0),0)),MAX($M$15:OFFSET(M575,-1,0))+1,INDEX($M$15:OFFSET(M575,-1,0),MATCH($A575,$A$15:OFFSET($A575,-1,0),0)))))</f>
        <v>18</v>
      </c>
      <c r="N575" s="177" t="str">
        <f ca="1">IF($D575&lt;&gt;"Serviço","",IF(AUTOEVENTO="Manual",IF($A575=0,"&lt;-- defina o número do agrupador",OFFSET(EVENTOS!$D$14,$A575,0)),OFFSET($F$15,$A575,0)))</f>
        <v>INSTALAÇÕES ELÉTRICAS - 220V</v>
      </c>
      <c r="O575" s="178"/>
      <c r="Q575" s="178"/>
      <c r="R575" s="179"/>
      <c r="S575" s="179"/>
      <c r="T575" s="179"/>
      <c r="U575" s="179"/>
      <c r="V575" s="179"/>
      <c r="W575" s="179"/>
      <c r="X575" s="179"/>
      <c r="Y575" s="179"/>
      <c r="Z575" s="180"/>
      <c r="AB575" s="544">
        <f ca="1">IF(AND($D575="Serviço",AB$12&lt;&gt;0,$H575&gt;0,OR(AUTOEVENTO&lt;&gt;"manual",$M575&lt;&gt;1)),
IF(Import.TipoArredondamento&lt;&gt;"TransfereGOV",
ROUND(OFFSET($P575,0,AB$13),15-13*ORÇAMENTO!$AF$7)/$H575*OFFSET(ORÇAMENTO!$X$15,ROW(AB575)-ROW(AB$15),0),
ROUND(ROUND(OFFSET($P575,0,AB$13),15-13*ORÇAMENTO!$AF$7)*OFFSET(ORÇAMENTO!$W$15,ROW(AB575)-ROW(AB$15),0),15-13*ORÇAMENTO!$AF$11)),0)</f>
        <v>0</v>
      </c>
      <c r="AC575" s="545">
        <f ca="1">IF(AND($D575="Serviço",AC$12&lt;&gt;0,$H575&gt;0,OR(AUTOEVENTO&lt;&gt;"manual",$M575&lt;&gt;1)),
IF(Import.TipoArredondamento&lt;&gt;"TransfereGOV",
ROUND(OFFSET($P575,0,AC$13),15-13*ORÇAMENTO!$AF$7)/$H575*OFFSET(ORÇAMENTO!$X$15,ROW(AC575)-ROW(AC$15),0),
ROUND(ROUND(OFFSET($P575,0,AC$13),15-13*ORÇAMENTO!$AF$7)*OFFSET(ORÇAMENTO!$W$15,ROW(AC575)-ROW(AC$15),0),15-13*ORÇAMENTO!$AF$11)),0)</f>
        <v>0</v>
      </c>
      <c r="AD575" s="545">
        <f ca="1">IF(AND($D575="Serviço",AD$12&lt;&gt;0,$H575&gt;0,OR(AUTOEVENTO&lt;&gt;"manual",$M575&lt;&gt;1)),
IF(Import.TipoArredondamento&lt;&gt;"TransfereGOV",
ROUND(OFFSET($P575,0,AD$13),15-13*ORÇAMENTO!$AF$7)/$H575*OFFSET(ORÇAMENTO!$X$15,ROW(AD575)-ROW(AD$15),0),
ROUND(ROUND(OFFSET($P575,0,AD$13),15-13*ORÇAMENTO!$AF$7)*OFFSET(ORÇAMENTO!$W$15,ROW(AD575)-ROW(AD$15),0),15-13*ORÇAMENTO!$AF$11)),0)</f>
        <v>0</v>
      </c>
      <c r="AE575" s="545">
        <f ca="1">IF(AND($D575="Serviço",AE$12&lt;&gt;0,$H575&gt;0,OR(AUTOEVENTO&lt;&gt;"manual",$M575&lt;&gt;1)),
IF(Import.TipoArredondamento&lt;&gt;"TransfereGOV",
ROUND(OFFSET($P575,0,AE$13),15-13*ORÇAMENTO!$AF$7)/$H575*OFFSET(ORÇAMENTO!$X$15,ROW(AE575)-ROW(AE$15),0),
ROUND(ROUND(OFFSET($P575,0,AE$13),15-13*ORÇAMENTO!$AF$7)*OFFSET(ORÇAMENTO!$W$15,ROW(AE575)-ROW(AE$15),0),15-13*ORÇAMENTO!$AF$11)),0)</f>
        <v>0</v>
      </c>
      <c r="AF575" s="545">
        <f ca="1">IF(AND($D575="Serviço",AF$12&lt;&gt;0,$H575&gt;0,OR(AUTOEVENTO&lt;&gt;"manual",$M575&lt;&gt;1)),
IF(Import.TipoArredondamento&lt;&gt;"TransfereGOV",
ROUND(OFFSET($P575,0,AF$13),15-13*ORÇAMENTO!$AF$7)/$H575*OFFSET(ORÇAMENTO!$X$15,ROW(AF575)-ROW(AF$15),0),
ROUND(ROUND(OFFSET($P575,0,AF$13),15-13*ORÇAMENTO!$AF$7)*OFFSET(ORÇAMENTO!$W$15,ROW(AF575)-ROW(AF$15),0),15-13*ORÇAMENTO!$AF$11)),0)</f>
        <v>0</v>
      </c>
      <c r="AG575" s="545">
        <f ca="1">IF(AND($D575="Serviço",AG$12&lt;&gt;0,$H575&gt;0,OR(AUTOEVENTO&lt;&gt;"manual",$M575&lt;&gt;1)),
IF(Import.TipoArredondamento&lt;&gt;"TransfereGOV",
ROUND(OFFSET($P575,0,AG$13),15-13*ORÇAMENTO!$AF$7)/$H575*OFFSET(ORÇAMENTO!$X$15,ROW(AG575)-ROW(AG$15),0),
ROUND(ROUND(OFFSET($P575,0,AG$13),15-13*ORÇAMENTO!$AF$7)*OFFSET(ORÇAMENTO!$W$15,ROW(AG575)-ROW(AG$15),0),15-13*ORÇAMENTO!$AF$11)),0)</f>
        <v>0</v>
      </c>
      <c r="AH575" s="545">
        <f ca="1">IF(AND($D575="Serviço",AH$12&lt;&gt;0,$H575&gt;0,OR(AUTOEVENTO&lt;&gt;"manual",$M575&lt;&gt;1)),
IF(Import.TipoArredondamento&lt;&gt;"TransfereGOV",
ROUND(OFFSET($P575,0,AH$13),15-13*ORÇAMENTO!$AF$7)/$H575*OFFSET(ORÇAMENTO!$X$15,ROW(AH575)-ROW(AH$15),0),
ROUND(ROUND(OFFSET($P575,0,AH$13),15-13*ORÇAMENTO!$AF$7)*OFFSET(ORÇAMENTO!$W$15,ROW(AH575)-ROW(AH$15),0),15-13*ORÇAMENTO!$AF$11)),0)</f>
        <v>0</v>
      </c>
      <c r="AI575" s="545">
        <f ca="1">IF(AND($D575="Serviço",AI$12&lt;&gt;0,$H575&gt;0,OR(AUTOEVENTO&lt;&gt;"manual",$M575&lt;&gt;1)),
IF(Import.TipoArredondamento&lt;&gt;"TransfereGOV",
ROUND(OFFSET($P575,0,AI$13),15-13*ORÇAMENTO!$AF$7)/$H575*OFFSET(ORÇAMENTO!$X$15,ROW(AI575)-ROW(AI$15),0),
ROUND(ROUND(OFFSET($P575,0,AI$13),15-13*ORÇAMENTO!$AF$7)*OFFSET(ORÇAMENTO!$W$15,ROW(AI575)-ROW(AI$15),0),15-13*ORÇAMENTO!$AF$11)),0)</f>
        <v>0</v>
      </c>
      <c r="AJ575" s="545">
        <f ca="1">IF(AND($D575="Serviço",AJ$12&lt;&gt;0,$H575&gt;0,OR(AUTOEVENTO&lt;&gt;"manual",$M575&lt;&gt;1)),
IF(Import.TipoArredondamento&lt;&gt;"TransfereGOV",
ROUND(OFFSET($P575,0,AJ$13),15-13*ORÇAMENTO!$AF$7)/$H575*OFFSET(ORÇAMENTO!$X$15,ROW(AJ575)-ROW(AJ$15),0),
ROUND(ROUND(OFFSET($P575,0,AJ$13),15-13*ORÇAMENTO!$AF$7)*OFFSET(ORÇAMENTO!$W$15,ROW(AJ575)-ROW(AJ$15),0),15-13*ORÇAMENTO!$AF$11)),0)</f>
        <v>0</v>
      </c>
      <c r="AK575" s="546">
        <f ca="1">IF(AND($D575="Serviço",AK$12&lt;&gt;0,$H575&gt;0,OR(AUTOEVENTO&lt;&gt;"manual",$M575&lt;&gt;1)),
IF(Import.TipoArredondamento&lt;&gt;"TransfereGOV",
ROUND(OFFSET($P575,0,AK$13),15-13*ORÇAMENTO!$AF$7)/$H575*OFFSET(ORÇAMENTO!$X$15,ROW(AK575)-ROW(AK$15),0),
ROUND(ROUND(OFFSET($P575,0,AK$13),15-13*ORÇAMENTO!$AF$7)*OFFSET(ORÇAMENTO!$W$15,ROW(AK575)-ROW(AK$15),0),15-13*ORÇAMENTO!$AF$11)),0)</f>
        <v>0</v>
      </c>
      <c r="AM575" s="181">
        <f ca="1">IF($D575&lt;&gt;"Serviço",0,IF(AND(AUTOEVENTO="Manual",$M575=1),0,IF(OFFSET(CRONOPLE!$F$14,$M575,AM$13)="",10^12,OFFSET(CRONOPLE!$F$14,$M575,AM$13))))</f>
        <v>1000000000000</v>
      </c>
      <c r="AN575" s="181">
        <f ca="1">IF($D575&lt;&gt;"Serviço",0,IF(AND(AUTOEVENTO="Manual",$M575=1),0,IF(OFFSET(CRONOPLE!$F$14,$M575,AN$13)="",10^12,OFFSET(CRONOPLE!$F$14,$M575,AN$13))))</f>
        <v>1000000000000</v>
      </c>
      <c r="AO575" s="181">
        <f ca="1">IF($D575&lt;&gt;"Serviço",0,IF(AND(AUTOEVENTO="Manual",$M575=1),0,IF(OFFSET(CRONOPLE!$F$14,$M575,AO$13)="",10^12,OFFSET(CRONOPLE!$F$14,$M575,AO$13))))</f>
        <v>1000000000000</v>
      </c>
      <c r="AP575" s="181">
        <f ca="1">IF($D575&lt;&gt;"Serviço",0,IF(AND(AUTOEVENTO="Manual",$M575=1),0,IF(OFFSET(CRONOPLE!$F$14,$M575,AP$13)="",10^12,OFFSET(CRONOPLE!$F$14,$M575,AP$13))))</f>
        <v>1000000000000</v>
      </c>
      <c r="AQ575" s="181">
        <f ca="1">IF($D575&lt;&gt;"Serviço",0,IF(AND(AUTOEVENTO="Manual",$M575=1),0,IF(OFFSET(CRONOPLE!$F$14,$M575,AQ$13)="",10^12,OFFSET(CRONOPLE!$F$14,$M575,AQ$13))))</f>
        <v>1000000000000</v>
      </c>
      <c r="AR575" s="181">
        <f ca="1">IF($D575&lt;&gt;"Serviço",0,IF(AND(AUTOEVENTO="Manual",$M575=1),0,IF(OFFSET(CRONOPLE!$F$14,$M575,AR$13)="",10^12,OFFSET(CRONOPLE!$F$14,$M575,AR$13))))</f>
        <v>1000000000000</v>
      </c>
      <c r="AS575" s="181">
        <f ca="1">IF($D575&lt;&gt;"Serviço",0,IF(AND(AUTOEVENTO="Manual",$M575=1),0,IF(OFFSET(CRONOPLE!$F$14,$M575,AS$13)="",10^12,OFFSET(CRONOPLE!$F$14,$M575,AS$13))))</f>
        <v>1000000000000</v>
      </c>
      <c r="AT575" s="181">
        <f ca="1">IF($D575&lt;&gt;"Serviço",0,IF(AND(AUTOEVENTO="Manual",$M575=1),0,IF(OFFSET(CRONOPLE!$F$14,$M575,AT$13)="",10^12,OFFSET(CRONOPLE!$F$14,$M575,AT$13))))</f>
        <v>1000000000000</v>
      </c>
      <c r="AU575" s="181">
        <f ca="1">IF($D575&lt;&gt;"Serviço",0,IF(AND(AUTOEVENTO="Manual",$M575=1),0,IF(OFFSET(CRONOPLE!$F$14,$M575,AU$13)="",10^12,OFFSET(CRONOPLE!$F$14,$M575,AU$13))))</f>
        <v>1000000000000</v>
      </c>
      <c r="AV575" s="181">
        <f ca="1">IF($D575&lt;&gt;"Serviço",0,IF(AND(AUTOEVENTO="Manual",$M575=1),0,IF(OFFSET(CRONOPLE!$F$14,$M575,AV$13)="",10^12,OFFSET(CRONOPLE!$F$14,$M575,AV$13))))</f>
        <v>1000000000000</v>
      </c>
      <c r="AX575" s="182">
        <f ca="1">IF($D575&lt;&gt;"Serviço",0,IF(OR(AND(AUTOEVENTO="Manual",$M575=1),$M575&gt;(ROW(PLE.lastrow)-ROW(PLE.firstrow))),0,IF(OFFSET(PLE!$G$14,$M575,AX$13)="",10^12,OFFSET(PLE!$G$14,$M575,AX$13))))</f>
        <v>1000000000000</v>
      </c>
      <c r="AY575" s="182">
        <f ca="1">IF($D575&lt;&gt;"Serviço",0,IF(OR(AND(AUTOEVENTO="Manual",$M575=1),$M575&gt;(ROW(PLE.lastrow)-ROW(PLE.firstrow))),0,IF(OFFSET(PLE!$G$14,$M575,AY$13)="",10^12,OFFSET(PLE!$G$14,$M575,AY$13))))</f>
        <v>1000000000000</v>
      </c>
      <c r="AZ575" s="182">
        <f ca="1">IF($D575&lt;&gt;"Serviço",0,IF(OR(AND(AUTOEVENTO="Manual",$M575=1),$M575&gt;(ROW(PLE.lastrow)-ROW(PLE.firstrow))),0,IF(OFFSET(PLE!$G$14,$M575,AZ$13)="",10^12,OFFSET(PLE!$G$14,$M575,AZ$13))))</f>
        <v>1000000000000</v>
      </c>
      <c r="BA575" s="182">
        <f ca="1">IF($D575&lt;&gt;"Serviço",0,IF(OR(AND(AUTOEVENTO="Manual",$M575=1),$M575&gt;(ROW(PLE.lastrow)-ROW(PLE.firstrow))),0,IF(OFFSET(PLE!$G$14,$M575,BA$13)="",10^12,OFFSET(PLE!$G$14,$M575,BA$13))))</f>
        <v>1000000000000</v>
      </c>
      <c r="BB575" s="182">
        <f ca="1">IF($D575&lt;&gt;"Serviço",0,IF(OR(AND(AUTOEVENTO="Manual",$M575=1),$M575&gt;(ROW(PLE.lastrow)-ROW(PLE.firstrow))),0,IF(OFFSET(PLE!$G$14,$M575,BB$13)="",10^12,OFFSET(PLE!$G$14,$M575,BB$13))))</f>
        <v>1000000000000</v>
      </c>
      <c r="BC575" s="182">
        <f ca="1">IF($D575&lt;&gt;"Serviço",0,IF(OR(AND(AUTOEVENTO="Manual",$M575=1),$M575&gt;(ROW(PLE.lastrow)-ROW(PLE.firstrow))),0,IF(OFFSET(PLE!$G$14,$M575,BC$13)="",10^12,OFFSET(PLE!$G$14,$M575,BC$13))))</f>
        <v>1000000000000</v>
      </c>
      <c r="BD575" s="182">
        <f ca="1">IF($D575&lt;&gt;"Serviço",0,IF(OR(AND(AUTOEVENTO="Manual",$M575=1),$M575&gt;(ROW(PLE.lastrow)-ROW(PLE.firstrow))),0,IF(OFFSET(PLE!$G$14,$M575,BD$13)="",10^12,OFFSET(PLE!$G$14,$M575,BD$13))))</f>
        <v>1000000000000</v>
      </c>
      <c r="BE575" s="182">
        <f ca="1">IF($D575&lt;&gt;"Serviço",0,IF(OR(AND(AUTOEVENTO="Manual",$M575=1),$M575&gt;(ROW(PLE.lastrow)-ROW(PLE.firstrow))),0,IF(OFFSET(PLE!$G$14,$M575,BE$13)="",10^12,OFFSET(PLE!$G$14,$M575,BE$13))))</f>
        <v>1000000000000</v>
      </c>
      <c r="BF575" s="182">
        <f ca="1">IF($D575&lt;&gt;"Serviço",0,IF(OR(AND(AUTOEVENTO="Manual",$M575=1),$M575&gt;(ROW(PLE.lastrow)-ROW(PLE.firstrow))),0,IF(OFFSET(PLE!$G$14,$M575,BF$13)="",10^12,OFFSET(PLE!$G$14,$M575,BF$13))))</f>
        <v>1000000000000</v>
      </c>
      <c r="BG575" s="182">
        <f ca="1">IF($D575&lt;&gt;"Serviço",0,IF(OR(AND(AUTOEVENTO="Manual",$M575=1),$M575&gt;(ROW(PLE.lastrow)-ROW(PLE.firstrow))),0,IF(OFFSET(PLE!$G$14,$M575,BG$13)="",10^12,OFFSET(PLE!$G$14,$M575,BG$13))))</f>
        <v>1000000000000</v>
      </c>
    </row>
    <row r="576" spans="1:59" ht="38.25" x14ac:dyDescent="0.2">
      <c r="A576" s="7" t="str">
        <f t="shared" ca="1" si="15"/>
        <v>472</v>
      </c>
      <c r="B576" s="7" t="str">
        <f ca="1">OFFSET(ORÇAMENTO!C$15,ROW(B576)-ROW(B$15),0)</f>
        <v>S</v>
      </c>
      <c r="C576" s="7" t="str">
        <f ca="1">OFFSET(ORÇAMENTO!L$15,ROW(C576)-ROW(C$15),0)</f>
        <v/>
      </c>
      <c r="D576" s="118" t="str">
        <f ca="1">OFFSET(ORÇAMENTO!N$15,ROW(D576)-ROW(D$15),0)</f>
        <v>Serviço</v>
      </c>
      <c r="E576" s="119" t="str">
        <f ca="1">OFFSET(ORÇAMENTO!O$15,ROW(E576)-ROW(E$15),0)</f>
        <v>-</v>
      </c>
      <c r="F576" s="172" t="str">
        <f ca="1">OFFSET(ORÇAMENTO!R$15,ROW(F576)-ROW(F$15),0)</f>
        <v>(abra o arquivo 'Referência 02-2025.xlsm)</v>
      </c>
      <c r="G576" s="173" t="str">
        <f ca="1">IF($D576&lt;&gt;"Serviço","",OFFSET(ORÇAMENTO!S$15,ROW(G576)-ROW(G$15),0))</f>
        <v>-</v>
      </c>
      <c r="H576" s="124">
        <f ca="1">IF($D576&lt;&gt;"Serviço",0,IF(ACOMPANHAMENTO="BM",ROUND(OFFSET(ORÇAMENTO!AJ$15,ROW(H576)-ROW(H$15),0),15-13*ORÇAMENTO!$AF$7),SUMPRODUCT(($Q$12:$AA$12&lt;&gt;"")*ROUND($Q576:$AA576,15-13*ORÇAMENTO!$AF$7))))</f>
        <v>105.3</v>
      </c>
      <c r="I576" s="561" t="s">
        <v>890</v>
      </c>
      <c r="K576" s="174"/>
      <c r="L576" s="175" t="s">
        <v>255</v>
      </c>
      <c r="M576" s="176">
        <f ca="1">IF($D576&lt;&gt;"Serviço","",IF(AUTOEVENTO="manual",$A576,IF(ISERROR(MATCH($A576,$A$15:OFFSET($A576,-1,0),0)),MAX($M$15:OFFSET(M576,-1,0))+1,INDEX($M$15:OFFSET(M576,-1,0),MATCH($A576,$A$15:OFFSET($A576,-1,0),0)))))</f>
        <v>18</v>
      </c>
      <c r="N576" s="177" t="str">
        <f ca="1">IF($D576&lt;&gt;"Serviço","",IF(AUTOEVENTO="Manual",IF($A576=0,"&lt;-- defina o número do agrupador",OFFSET(EVENTOS!$D$14,$A576,0)),OFFSET($F$15,$A576,0)))</f>
        <v>INSTALAÇÕES ELÉTRICAS - 220V</v>
      </c>
      <c r="O576" s="178"/>
      <c r="Q576" s="178"/>
      <c r="R576" s="179"/>
      <c r="S576" s="179"/>
      <c r="T576" s="179"/>
      <c r="U576" s="179"/>
      <c r="V576" s="179"/>
      <c r="W576" s="179"/>
      <c r="X576" s="179"/>
      <c r="Y576" s="179"/>
      <c r="Z576" s="180"/>
      <c r="AB576" s="544">
        <f ca="1">IF(AND($D576="Serviço",AB$12&lt;&gt;0,$H576&gt;0,OR(AUTOEVENTO&lt;&gt;"manual",$M576&lt;&gt;1)),
IF(Import.TipoArredondamento&lt;&gt;"TransfereGOV",
ROUND(OFFSET($P576,0,AB$13),15-13*ORÇAMENTO!$AF$7)/$H576*OFFSET(ORÇAMENTO!$X$15,ROW(AB576)-ROW(AB$15),0),
ROUND(ROUND(OFFSET($P576,0,AB$13),15-13*ORÇAMENTO!$AF$7)*OFFSET(ORÇAMENTO!$W$15,ROW(AB576)-ROW(AB$15),0),15-13*ORÇAMENTO!$AF$11)),0)</f>
        <v>0</v>
      </c>
      <c r="AC576" s="545">
        <f ca="1">IF(AND($D576="Serviço",AC$12&lt;&gt;0,$H576&gt;0,OR(AUTOEVENTO&lt;&gt;"manual",$M576&lt;&gt;1)),
IF(Import.TipoArredondamento&lt;&gt;"TransfereGOV",
ROUND(OFFSET($P576,0,AC$13),15-13*ORÇAMENTO!$AF$7)/$H576*OFFSET(ORÇAMENTO!$X$15,ROW(AC576)-ROW(AC$15),0),
ROUND(ROUND(OFFSET($P576,0,AC$13),15-13*ORÇAMENTO!$AF$7)*OFFSET(ORÇAMENTO!$W$15,ROW(AC576)-ROW(AC$15),0),15-13*ORÇAMENTO!$AF$11)),0)</f>
        <v>0</v>
      </c>
      <c r="AD576" s="545">
        <f ca="1">IF(AND($D576="Serviço",AD$12&lt;&gt;0,$H576&gt;0,OR(AUTOEVENTO&lt;&gt;"manual",$M576&lt;&gt;1)),
IF(Import.TipoArredondamento&lt;&gt;"TransfereGOV",
ROUND(OFFSET($P576,0,AD$13),15-13*ORÇAMENTO!$AF$7)/$H576*OFFSET(ORÇAMENTO!$X$15,ROW(AD576)-ROW(AD$15),0),
ROUND(ROUND(OFFSET($P576,0,AD$13),15-13*ORÇAMENTO!$AF$7)*OFFSET(ORÇAMENTO!$W$15,ROW(AD576)-ROW(AD$15),0),15-13*ORÇAMENTO!$AF$11)),0)</f>
        <v>0</v>
      </c>
      <c r="AE576" s="545">
        <f ca="1">IF(AND($D576="Serviço",AE$12&lt;&gt;0,$H576&gt;0,OR(AUTOEVENTO&lt;&gt;"manual",$M576&lt;&gt;1)),
IF(Import.TipoArredondamento&lt;&gt;"TransfereGOV",
ROUND(OFFSET($P576,0,AE$13),15-13*ORÇAMENTO!$AF$7)/$H576*OFFSET(ORÇAMENTO!$X$15,ROW(AE576)-ROW(AE$15),0),
ROUND(ROUND(OFFSET($P576,0,AE$13),15-13*ORÇAMENTO!$AF$7)*OFFSET(ORÇAMENTO!$W$15,ROW(AE576)-ROW(AE$15),0),15-13*ORÇAMENTO!$AF$11)),0)</f>
        <v>0</v>
      </c>
      <c r="AF576" s="545">
        <f ca="1">IF(AND($D576="Serviço",AF$12&lt;&gt;0,$H576&gt;0,OR(AUTOEVENTO&lt;&gt;"manual",$M576&lt;&gt;1)),
IF(Import.TipoArredondamento&lt;&gt;"TransfereGOV",
ROUND(OFFSET($P576,0,AF$13),15-13*ORÇAMENTO!$AF$7)/$H576*OFFSET(ORÇAMENTO!$X$15,ROW(AF576)-ROW(AF$15),0),
ROUND(ROUND(OFFSET($P576,0,AF$13),15-13*ORÇAMENTO!$AF$7)*OFFSET(ORÇAMENTO!$W$15,ROW(AF576)-ROW(AF$15),0),15-13*ORÇAMENTO!$AF$11)),0)</f>
        <v>0</v>
      </c>
      <c r="AG576" s="545">
        <f ca="1">IF(AND($D576="Serviço",AG$12&lt;&gt;0,$H576&gt;0,OR(AUTOEVENTO&lt;&gt;"manual",$M576&lt;&gt;1)),
IF(Import.TipoArredondamento&lt;&gt;"TransfereGOV",
ROUND(OFFSET($P576,0,AG$13),15-13*ORÇAMENTO!$AF$7)/$H576*OFFSET(ORÇAMENTO!$X$15,ROW(AG576)-ROW(AG$15),0),
ROUND(ROUND(OFFSET($P576,0,AG$13),15-13*ORÇAMENTO!$AF$7)*OFFSET(ORÇAMENTO!$W$15,ROW(AG576)-ROW(AG$15),0),15-13*ORÇAMENTO!$AF$11)),0)</f>
        <v>0</v>
      </c>
      <c r="AH576" s="545">
        <f ca="1">IF(AND($D576="Serviço",AH$12&lt;&gt;0,$H576&gt;0,OR(AUTOEVENTO&lt;&gt;"manual",$M576&lt;&gt;1)),
IF(Import.TipoArredondamento&lt;&gt;"TransfereGOV",
ROUND(OFFSET($P576,0,AH$13),15-13*ORÇAMENTO!$AF$7)/$H576*OFFSET(ORÇAMENTO!$X$15,ROW(AH576)-ROW(AH$15),0),
ROUND(ROUND(OFFSET($P576,0,AH$13),15-13*ORÇAMENTO!$AF$7)*OFFSET(ORÇAMENTO!$W$15,ROW(AH576)-ROW(AH$15),0),15-13*ORÇAMENTO!$AF$11)),0)</f>
        <v>0</v>
      </c>
      <c r="AI576" s="545">
        <f ca="1">IF(AND($D576="Serviço",AI$12&lt;&gt;0,$H576&gt;0,OR(AUTOEVENTO&lt;&gt;"manual",$M576&lt;&gt;1)),
IF(Import.TipoArredondamento&lt;&gt;"TransfereGOV",
ROUND(OFFSET($P576,0,AI$13),15-13*ORÇAMENTO!$AF$7)/$H576*OFFSET(ORÇAMENTO!$X$15,ROW(AI576)-ROW(AI$15),0),
ROUND(ROUND(OFFSET($P576,0,AI$13),15-13*ORÇAMENTO!$AF$7)*OFFSET(ORÇAMENTO!$W$15,ROW(AI576)-ROW(AI$15),0),15-13*ORÇAMENTO!$AF$11)),0)</f>
        <v>0</v>
      </c>
      <c r="AJ576" s="545">
        <f ca="1">IF(AND($D576="Serviço",AJ$12&lt;&gt;0,$H576&gt;0,OR(AUTOEVENTO&lt;&gt;"manual",$M576&lt;&gt;1)),
IF(Import.TipoArredondamento&lt;&gt;"TransfereGOV",
ROUND(OFFSET($P576,0,AJ$13),15-13*ORÇAMENTO!$AF$7)/$H576*OFFSET(ORÇAMENTO!$X$15,ROW(AJ576)-ROW(AJ$15),0),
ROUND(ROUND(OFFSET($P576,0,AJ$13),15-13*ORÇAMENTO!$AF$7)*OFFSET(ORÇAMENTO!$W$15,ROW(AJ576)-ROW(AJ$15),0),15-13*ORÇAMENTO!$AF$11)),0)</f>
        <v>0</v>
      </c>
      <c r="AK576" s="546">
        <f ca="1">IF(AND($D576="Serviço",AK$12&lt;&gt;0,$H576&gt;0,OR(AUTOEVENTO&lt;&gt;"manual",$M576&lt;&gt;1)),
IF(Import.TipoArredondamento&lt;&gt;"TransfereGOV",
ROUND(OFFSET($P576,0,AK$13),15-13*ORÇAMENTO!$AF$7)/$H576*OFFSET(ORÇAMENTO!$X$15,ROW(AK576)-ROW(AK$15),0),
ROUND(ROUND(OFFSET($P576,0,AK$13),15-13*ORÇAMENTO!$AF$7)*OFFSET(ORÇAMENTO!$W$15,ROW(AK576)-ROW(AK$15),0),15-13*ORÇAMENTO!$AF$11)),0)</f>
        <v>0</v>
      </c>
      <c r="AM576" s="181">
        <f ca="1">IF($D576&lt;&gt;"Serviço",0,IF(AND(AUTOEVENTO="Manual",$M576=1),0,IF(OFFSET(CRONOPLE!$F$14,$M576,AM$13)="",10^12,OFFSET(CRONOPLE!$F$14,$M576,AM$13))))</f>
        <v>1000000000000</v>
      </c>
      <c r="AN576" s="181">
        <f ca="1">IF($D576&lt;&gt;"Serviço",0,IF(AND(AUTOEVENTO="Manual",$M576=1),0,IF(OFFSET(CRONOPLE!$F$14,$M576,AN$13)="",10^12,OFFSET(CRONOPLE!$F$14,$M576,AN$13))))</f>
        <v>1000000000000</v>
      </c>
      <c r="AO576" s="181">
        <f ca="1">IF($D576&lt;&gt;"Serviço",0,IF(AND(AUTOEVENTO="Manual",$M576=1),0,IF(OFFSET(CRONOPLE!$F$14,$M576,AO$13)="",10^12,OFFSET(CRONOPLE!$F$14,$M576,AO$13))))</f>
        <v>1000000000000</v>
      </c>
      <c r="AP576" s="181">
        <f ca="1">IF($D576&lt;&gt;"Serviço",0,IF(AND(AUTOEVENTO="Manual",$M576=1),0,IF(OFFSET(CRONOPLE!$F$14,$M576,AP$13)="",10^12,OFFSET(CRONOPLE!$F$14,$M576,AP$13))))</f>
        <v>1000000000000</v>
      </c>
      <c r="AQ576" s="181">
        <f ca="1">IF($D576&lt;&gt;"Serviço",0,IF(AND(AUTOEVENTO="Manual",$M576=1),0,IF(OFFSET(CRONOPLE!$F$14,$M576,AQ$13)="",10^12,OFFSET(CRONOPLE!$F$14,$M576,AQ$13))))</f>
        <v>1000000000000</v>
      </c>
      <c r="AR576" s="181">
        <f ca="1">IF($D576&lt;&gt;"Serviço",0,IF(AND(AUTOEVENTO="Manual",$M576=1),0,IF(OFFSET(CRONOPLE!$F$14,$M576,AR$13)="",10^12,OFFSET(CRONOPLE!$F$14,$M576,AR$13))))</f>
        <v>1000000000000</v>
      </c>
      <c r="AS576" s="181">
        <f ca="1">IF($D576&lt;&gt;"Serviço",0,IF(AND(AUTOEVENTO="Manual",$M576=1),0,IF(OFFSET(CRONOPLE!$F$14,$M576,AS$13)="",10^12,OFFSET(CRONOPLE!$F$14,$M576,AS$13))))</f>
        <v>1000000000000</v>
      </c>
      <c r="AT576" s="181">
        <f ca="1">IF($D576&lt;&gt;"Serviço",0,IF(AND(AUTOEVENTO="Manual",$M576=1),0,IF(OFFSET(CRONOPLE!$F$14,$M576,AT$13)="",10^12,OFFSET(CRONOPLE!$F$14,$M576,AT$13))))</f>
        <v>1000000000000</v>
      </c>
      <c r="AU576" s="181">
        <f ca="1">IF($D576&lt;&gt;"Serviço",0,IF(AND(AUTOEVENTO="Manual",$M576=1),0,IF(OFFSET(CRONOPLE!$F$14,$M576,AU$13)="",10^12,OFFSET(CRONOPLE!$F$14,$M576,AU$13))))</f>
        <v>1000000000000</v>
      </c>
      <c r="AV576" s="181">
        <f ca="1">IF($D576&lt;&gt;"Serviço",0,IF(AND(AUTOEVENTO="Manual",$M576=1),0,IF(OFFSET(CRONOPLE!$F$14,$M576,AV$13)="",10^12,OFFSET(CRONOPLE!$F$14,$M576,AV$13))))</f>
        <v>1000000000000</v>
      </c>
      <c r="AX576" s="182">
        <f ca="1">IF($D576&lt;&gt;"Serviço",0,IF(OR(AND(AUTOEVENTO="Manual",$M576=1),$M576&gt;(ROW(PLE.lastrow)-ROW(PLE.firstrow))),0,IF(OFFSET(PLE!$G$14,$M576,AX$13)="",10^12,OFFSET(PLE!$G$14,$M576,AX$13))))</f>
        <v>1000000000000</v>
      </c>
      <c r="AY576" s="182">
        <f ca="1">IF($D576&lt;&gt;"Serviço",0,IF(OR(AND(AUTOEVENTO="Manual",$M576=1),$M576&gt;(ROW(PLE.lastrow)-ROW(PLE.firstrow))),0,IF(OFFSET(PLE!$G$14,$M576,AY$13)="",10^12,OFFSET(PLE!$G$14,$M576,AY$13))))</f>
        <v>1000000000000</v>
      </c>
      <c r="AZ576" s="182">
        <f ca="1">IF($D576&lt;&gt;"Serviço",0,IF(OR(AND(AUTOEVENTO="Manual",$M576=1),$M576&gt;(ROW(PLE.lastrow)-ROW(PLE.firstrow))),0,IF(OFFSET(PLE!$G$14,$M576,AZ$13)="",10^12,OFFSET(PLE!$G$14,$M576,AZ$13))))</f>
        <v>1000000000000</v>
      </c>
      <c r="BA576" s="182">
        <f ca="1">IF($D576&lt;&gt;"Serviço",0,IF(OR(AND(AUTOEVENTO="Manual",$M576=1),$M576&gt;(ROW(PLE.lastrow)-ROW(PLE.firstrow))),0,IF(OFFSET(PLE!$G$14,$M576,BA$13)="",10^12,OFFSET(PLE!$G$14,$M576,BA$13))))</f>
        <v>1000000000000</v>
      </c>
      <c r="BB576" s="182">
        <f ca="1">IF($D576&lt;&gt;"Serviço",0,IF(OR(AND(AUTOEVENTO="Manual",$M576=1),$M576&gt;(ROW(PLE.lastrow)-ROW(PLE.firstrow))),0,IF(OFFSET(PLE!$G$14,$M576,BB$13)="",10^12,OFFSET(PLE!$G$14,$M576,BB$13))))</f>
        <v>1000000000000</v>
      </c>
      <c r="BC576" s="182">
        <f ca="1">IF($D576&lt;&gt;"Serviço",0,IF(OR(AND(AUTOEVENTO="Manual",$M576=1),$M576&gt;(ROW(PLE.lastrow)-ROW(PLE.firstrow))),0,IF(OFFSET(PLE!$G$14,$M576,BC$13)="",10^12,OFFSET(PLE!$G$14,$M576,BC$13))))</f>
        <v>1000000000000</v>
      </c>
      <c r="BD576" s="182">
        <f ca="1">IF($D576&lt;&gt;"Serviço",0,IF(OR(AND(AUTOEVENTO="Manual",$M576=1),$M576&gt;(ROW(PLE.lastrow)-ROW(PLE.firstrow))),0,IF(OFFSET(PLE!$G$14,$M576,BD$13)="",10^12,OFFSET(PLE!$G$14,$M576,BD$13))))</f>
        <v>1000000000000</v>
      </c>
      <c r="BE576" s="182">
        <f ca="1">IF($D576&lt;&gt;"Serviço",0,IF(OR(AND(AUTOEVENTO="Manual",$M576=1),$M576&gt;(ROW(PLE.lastrow)-ROW(PLE.firstrow))),0,IF(OFFSET(PLE!$G$14,$M576,BE$13)="",10^12,OFFSET(PLE!$G$14,$M576,BE$13))))</f>
        <v>1000000000000</v>
      </c>
      <c r="BF576" s="182">
        <f ca="1">IF($D576&lt;&gt;"Serviço",0,IF(OR(AND(AUTOEVENTO="Manual",$M576=1),$M576&gt;(ROW(PLE.lastrow)-ROW(PLE.firstrow))),0,IF(OFFSET(PLE!$G$14,$M576,BF$13)="",10^12,OFFSET(PLE!$G$14,$M576,BF$13))))</f>
        <v>1000000000000</v>
      </c>
      <c r="BG576" s="182">
        <f ca="1">IF($D576&lt;&gt;"Serviço",0,IF(OR(AND(AUTOEVENTO="Manual",$M576=1),$M576&gt;(ROW(PLE.lastrow)-ROW(PLE.firstrow))),0,IF(OFFSET(PLE!$G$14,$M576,BG$13)="",10^12,OFFSET(PLE!$G$14,$M576,BG$13))))</f>
        <v>1000000000000</v>
      </c>
    </row>
    <row r="577" spans="1:59" ht="25.5" x14ac:dyDescent="0.2">
      <c r="A577" s="7" t="str">
        <f t="shared" ca="1" si="15"/>
        <v>472</v>
      </c>
      <c r="B577" s="7" t="str">
        <f ca="1">OFFSET(ORÇAMENTO!C$15,ROW(B577)-ROW(B$15),0)</f>
        <v>S</v>
      </c>
      <c r="C577" s="7" t="str">
        <f ca="1">OFFSET(ORÇAMENTO!L$15,ROW(C577)-ROW(C$15),0)</f>
        <v/>
      </c>
      <c r="D577" s="118" t="str">
        <f ca="1">OFFSET(ORÇAMENTO!N$15,ROW(D577)-ROW(D$15),0)</f>
        <v>Serviço</v>
      </c>
      <c r="E577" s="119" t="str">
        <f ca="1">OFFSET(ORÇAMENTO!O$15,ROW(E577)-ROW(E$15),0)</f>
        <v>-</v>
      </c>
      <c r="F577" s="172" t="str">
        <f ca="1">OFFSET(ORÇAMENTO!R$15,ROW(F577)-ROW(F$15),0)</f>
        <v>(abra o arquivo 'Referência 02-2025.xlsm)</v>
      </c>
      <c r="G577" s="173" t="str">
        <f ca="1">IF($D577&lt;&gt;"Serviço","",OFFSET(ORÇAMENTO!S$15,ROW(G577)-ROW(G$15),0))</f>
        <v>-</v>
      </c>
      <c r="H577" s="124">
        <f ca="1">IF($D577&lt;&gt;"Serviço",0,IF(ACOMPANHAMENTO="BM",ROUND(OFFSET(ORÇAMENTO!AJ$15,ROW(H577)-ROW(H$15),0),15-13*ORÇAMENTO!$AF$7),SUMPRODUCT(($Q$12:$AA$12&lt;&gt;"")*ROUND($Q577:$AA577,15-13*ORÇAMENTO!$AF$7))))</f>
        <v>92</v>
      </c>
      <c r="I577" s="561" t="s">
        <v>890</v>
      </c>
      <c r="K577" s="174"/>
      <c r="L577" s="175" t="s">
        <v>255</v>
      </c>
      <c r="M577" s="176">
        <f ca="1">IF($D577&lt;&gt;"Serviço","",IF(AUTOEVENTO="manual",$A577,IF(ISERROR(MATCH($A577,$A$15:OFFSET($A577,-1,0),0)),MAX($M$15:OFFSET(M577,-1,0))+1,INDEX($M$15:OFFSET(M577,-1,0),MATCH($A577,$A$15:OFFSET($A577,-1,0),0)))))</f>
        <v>18</v>
      </c>
      <c r="N577" s="177" t="str">
        <f ca="1">IF($D577&lt;&gt;"Serviço","",IF(AUTOEVENTO="Manual",IF($A577=0,"&lt;-- defina o número do agrupador",OFFSET(EVENTOS!$D$14,$A577,0)),OFFSET($F$15,$A577,0)))</f>
        <v>INSTALAÇÕES ELÉTRICAS - 220V</v>
      </c>
      <c r="O577" s="178"/>
      <c r="Q577" s="178"/>
      <c r="R577" s="179"/>
      <c r="S577" s="179"/>
      <c r="T577" s="179"/>
      <c r="U577" s="179"/>
      <c r="V577" s="179"/>
      <c r="W577" s="179"/>
      <c r="X577" s="179"/>
      <c r="Y577" s="179"/>
      <c r="Z577" s="180"/>
      <c r="AB577" s="544">
        <f ca="1">IF(AND($D577="Serviço",AB$12&lt;&gt;0,$H577&gt;0,OR(AUTOEVENTO&lt;&gt;"manual",$M577&lt;&gt;1)),
IF(Import.TipoArredondamento&lt;&gt;"TransfereGOV",
ROUND(OFFSET($P577,0,AB$13),15-13*ORÇAMENTO!$AF$7)/$H577*OFFSET(ORÇAMENTO!$X$15,ROW(AB577)-ROW(AB$15),0),
ROUND(ROUND(OFFSET($P577,0,AB$13),15-13*ORÇAMENTO!$AF$7)*OFFSET(ORÇAMENTO!$W$15,ROW(AB577)-ROW(AB$15),0),15-13*ORÇAMENTO!$AF$11)),0)</f>
        <v>0</v>
      </c>
      <c r="AC577" s="545">
        <f ca="1">IF(AND($D577="Serviço",AC$12&lt;&gt;0,$H577&gt;0,OR(AUTOEVENTO&lt;&gt;"manual",$M577&lt;&gt;1)),
IF(Import.TipoArredondamento&lt;&gt;"TransfereGOV",
ROUND(OFFSET($P577,0,AC$13),15-13*ORÇAMENTO!$AF$7)/$H577*OFFSET(ORÇAMENTO!$X$15,ROW(AC577)-ROW(AC$15),0),
ROUND(ROUND(OFFSET($P577,0,AC$13),15-13*ORÇAMENTO!$AF$7)*OFFSET(ORÇAMENTO!$W$15,ROW(AC577)-ROW(AC$15),0),15-13*ORÇAMENTO!$AF$11)),0)</f>
        <v>0</v>
      </c>
      <c r="AD577" s="545">
        <f ca="1">IF(AND($D577="Serviço",AD$12&lt;&gt;0,$H577&gt;0,OR(AUTOEVENTO&lt;&gt;"manual",$M577&lt;&gt;1)),
IF(Import.TipoArredondamento&lt;&gt;"TransfereGOV",
ROUND(OFFSET($P577,0,AD$13),15-13*ORÇAMENTO!$AF$7)/$H577*OFFSET(ORÇAMENTO!$X$15,ROW(AD577)-ROW(AD$15),0),
ROUND(ROUND(OFFSET($P577,0,AD$13),15-13*ORÇAMENTO!$AF$7)*OFFSET(ORÇAMENTO!$W$15,ROW(AD577)-ROW(AD$15),0),15-13*ORÇAMENTO!$AF$11)),0)</f>
        <v>0</v>
      </c>
      <c r="AE577" s="545">
        <f ca="1">IF(AND($D577="Serviço",AE$12&lt;&gt;0,$H577&gt;0,OR(AUTOEVENTO&lt;&gt;"manual",$M577&lt;&gt;1)),
IF(Import.TipoArredondamento&lt;&gt;"TransfereGOV",
ROUND(OFFSET($P577,0,AE$13),15-13*ORÇAMENTO!$AF$7)/$H577*OFFSET(ORÇAMENTO!$X$15,ROW(AE577)-ROW(AE$15),0),
ROUND(ROUND(OFFSET($P577,0,AE$13),15-13*ORÇAMENTO!$AF$7)*OFFSET(ORÇAMENTO!$W$15,ROW(AE577)-ROW(AE$15),0),15-13*ORÇAMENTO!$AF$11)),0)</f>
        <v>0</v>
      </c>
      <c r="AF577" s="545">
        <f ca="1">IF(AND($D577="Serviço",AF$12&lt;&gt;0,$H577&gt;0,OR(AUTOEVENTO&lt;&gt;"manual",$M577&lt;&gt;1)),
IF(Import.TipoArredondamento&lt;&gt;"TransfereGOV",
ROUND(OFFSET($P577,0,AF$13),15-13*ORÇAMENTO!$AF$7)/$H577*OFFSET(ORÇAMENTO!$X$15,ROW(AF577)-ROW(AF$15),0),
ROUND(ROUND(OFFSET($P577,0,AF$13),15-13*ORÇAMENTO!$AF$7)*OFFSET(ORÇAMENTO!$W$15,ROW(AF577)-ROW(AF$15),0),15-13*ORÇAMENTO!$AF$11)),0)</f>
        <v>0</v>
      </c>
      <c r="AG577" s="545">
        <f ca="1">IF(AND($D577="Serviço",AG$12&lt;&gt;0,$H577&gt;0,OR(AUTOEVENTO&lt;&gt;"manual",$M577&lt;&gt;1)),
IF(Import.TipoArredondamento&lt;&gt;"TransfereGOV",
ROUND(OFFSET($P577,0,AG$13),15-13*ORÇAMENTO!$AF$7)/$H577*OFFSET(ORÇAMENTO!$X$15,ROW(AG577)-ROW(AG$15),0),
ROUND(ROUND(OFFSET($P577,0,AG$13),15-13*ORÇAMENTO!$AF$7)*OFFSET(ORÇAMENTO!$W$15,ROW(AG577)-ROW(AG$15),0),15-13*ORÇAMENTO!$AF$11)),0)</f>
        <v>0</v>
      </c>
      <c r="AH577" s="545">
        <f ca="1">IF(AND($D577="Serviço",AH$12&lt;&gt;0,$H577&gt;0,OR(AUTOEVENTO&lt;&gt;"manual",$M577&lt;&gt;1)),
IF(Import.TipoArredondamento&lt;&gt;"TransfereGOV",
ROUND(OFFSET($P577,0,AH$13),15-13*ORÇAMENTO!$AF$7)/$H577*OFFSET(ORÇAMENTO!$X$15,ROW(AH577)-ROW(AH$15),0),
ROUND(ROUND(OFFSET($P577,0,AH$13),15-13*ORÇAMENTO!$AF$7)*OFFSET(ORÇAMENTO!$W$15,ROW(AH577)-ROW(AH$15),0),15-13*ORÇAMENTO!$AF$11)),0)</f>
        <v>0</v>
      </c>
      <c r="AI577" s="545">
        <f ca="1">IF(AND($D577="Serviço",AI$12&lt;&gt;0,$H577&gt;0,OR(AUTOEVENTO&lt;&gt;"manual",$M577&lt;&gt;1)),
IF(Import.TipoArredondamento&lt;&gt;"TransfereGOV",
ROUND(OFFSET($P577,0,AI$13),15-13*ORÇAMENTO!$AF$7)/$H577*OFFSET(ORÇAMENTO!$X$15,ROW(AI577)-ROW(AI$15),0),
ROUND(ROUND(OFFSET($P577,0,AI$13),15-13*ORÇAMENTO!$AF$7)*OFFSET(ORÇAMENTO!$W$15,ROW(AI577)-ROW(AI$15),0),15-13*ORÇAMENTO!$AF$11)),0)</f>
        <v>0</v>
      </c>
      <c r="AJ577" s="545">
        <f ca="1">IF(AND($D577="Serviço",AJ$12&lt;&gt;0,$H577&gt;0,OR(AUTOEVENTO&lt;&gt;"manual",$M577&lt;&gt;1)),
IF(Import.TipoArredondamento&lt;&gt;"TransfereGOV",
ROUND(OFFSET($P577,0,AJ$13),15-13*ORÇAMENTO!$AF$7)/$H577*OFFSET(ORÇAMENTO!$X$15,ROW(AJ577)-ROW(AJ$15),0),
ROUND(ROUND(OFFSET($P577,0,AJ$13),15-13*ORÇAMENTO!$AF$7)*OFFSET(ORÇAMENTO!$W$15,ROW(AJ577)-ROW(AJ$15),0),15-13*ORÇAMENTO!$AF$11)),0)</f>
        <v>0</v>
      </c>
      <c r="AK577" s="546">
        <f ca="1">IF(AND($D577="Serviço",AK$12&lt;&gt;0,$H577&gt;0,OR(AUTOEVENTO&lt;&gt;"manual",$M577&lt;&gt;1)),
IF(Import.TipoArredondamento&lt;&gt;"TransfereGOV",
ROUND(OFFSET($P577,0,AK$13),15-13*ORÇAMENTO!$AF$7)/$H577*OFFSET(ORÇAMENTO!$X$15,ROW(AK577)-ROW(AK$15),0),
ROUND(ROUND(OFFSET($P577,0,AK$13),15-13*ORÇAMENTO!$AF$7)*OFFSET(ORÇAMENTO!$W$15,ROW(AK577)-ROW(AK$15),0),15-13*ORÇAMENTO!$AF$11)),0)</f>
        <v>0</v>
      </c>
      <c r="AM577" s="181">
        <f ca="1">IF($D577&lt;&gt;"Serviço",0,IF(AND(AUTOEVENTO="Manual",$M577=1),0,IF(OFFSET(CRONOPLE!$F$14,$M577,AM$13)="",10^12,OFFSET(CRONOPLE!$F$14,$M577,AM$13))))</f>
        <v>1000000000000</v>
      </c>
      <c r="AN577" s="181">
        <f ca="1">IF($D577&lt;&gt;"Serviço",0,IF(AND(AUTOEVENTO="Manual",$M577=1),0,IF(OFFSET(CRONOPLE!$F$14,$M577,AN$13)="",10^12,OFFSET(CRONOPLE!$F$14,$M577,AN$13))))</f>
        <v>1000000000000</v>
      </c>
      <c r="AO577" s="181">
        <f ca="1">IF($D577&lt;&gt;"Serviço",0,IF(AND(AUTOEVENTO="Manual",$M577=1),0,IF(OFFSET(CRONOPLE!$F$14,$M577,AO$13)="",10^12,OFFSET(CRONOPLE!$F$14,$M577,AO$13))))</f>
        <v>1000000000000</v>
      </c>
      <c r="AP577" s="181">
        <f ca="1">IF($D577&lt;&gt;"Serviço",0,IF(AND(AUTOEVENTO="Manual",$M577=1),0,IF(OFFSET(CRONOPLE!$F$14,$M577,AP$13)="",10^12,OFFSET(CRONOPLE!$F$14,$M577,AP$13))))</f>
        <v>1000000000000</v>
      </c>
      <c r="AQ577" s="181">
        <f ca="1">IF($D577&lt;&gt;"Serviço",0,IF(AND(AUTOEVENTO="Manual",$M577=1),0,IF(OFFSET(CRONOPLE!$F$14,$M577,AQ$13)="",10^12,OFFSET(CRONOPLE!$F$14,$M577,AQ$13))))</f>
        <v>1000000000000</v>
      </c>
      <c r="AR577" s="181">
        <f ca="1">IF($D577&lt;&gt;"Serviço",0,IF(AND(AUTOEVENTO="Manual",$M577=1),0,IF(OFFSET(CRONOPLE!$F$14,$M577,AR$13)="",10^12,OFFSET(CRONOPLE!$F$14,$M577,AR$13))))</f>
        <v>1000000000000</v>
      </c>
      <c r="AS577" s="181">
        <f ca="1">IF($D577&lt;&gt;"Serviço",0,IF(AND(AUTOEVENTO="Manual",$M577=1),0,IF(OFFSET(CRONOPLE!$F$14,$M577,AS$13)="",10^12,OFFSET(CRONOPLE!$F$14,$M577,AS$13))))</f>
        <v>1000000000000</v>
      </c>
      <c r="AT577" s="181">
        <f ca="1">IF($D577&lt;&gt;"Serviço",0,IF(AND(AUTOEVENTO="Manual",$M577=1),0,IF(OFFSET(CRONOPLE!$F$14,$M577,AT$13)="",10^12,OFFSET(CRONOPLE!$F$14,$M577,AT$13))))</f>
        <v>1000000000000</v>
      </c>
      <c r="AU577" s="181">
        <f ca="1">IF($D577&lt;&gt;"Serviço",0,IF(AND(AUTOEVENTO="Manual",$M577=1),0,IF(OFFSET(CRONOPLE!$F$14,$M577,AU$13)="",10^12,OFFSET(CRONOPLE!$F$14,$M577,AU$13))))</f>
        <v>1000000000000</v>
      </c>
      <c r="AV577" s="181">
        <f ca="1">IF($D577&lt;&gt;"Serviço",0,IF(AND(AUTOEVENTO="Manual",$M577=1),0,IF(OFFSET(CRONOPLE!$F$14,$M577,AV$13)="",10^12,OFFSET(CRONOPLE!$F$14,$M577,AV$13))))</f>
        <v>1000000000000</v>
      </c>
      <c r="AX577" s="182">
        <f ca="1">IF($D577&lt;&gt;"Serviço",0,IF(OR(AND(AUTOEVENTO="Manual",$M577=1),$M577&gt;(ROW(PLE.lastrow)-ROW(PLE.firstrow))),0,IF(OFFSET(PLE!$G$14,$M577,AX$13)="",10^12,OFFSET(PLE!$G$14,$M577,AX$13))))</f>
        <v>1000000000000</v>
      </c>
      <c r="AY577" s="182">
        <f ca="1">IF($D577&lt;&gt;"Serviço",0,IF(OR(AND(AUTOEVENTO="Manual",$M577=1),$M577&gt;(ROW(PLE.lastrow)-ROW(PLE.firstrow))),0,IF(OFFSET(PLE!$G$14,$M577,AY$13)="",10^12,OFFSET(PLE!$G$14,$M577,AY$13))))</f>
        <v>1000000000000</v>
      </c>
      <c r="AZ577" s="182">
        <f ca="1">IF($D577&lt;&gt;"Serviço",0,IF(OR(AND(AUTOEVENTO="Manual",$M577=1),$M577&gt;(ROW(PLE.lastrow)-ROW(PLE.firstrow))),0,IF(OFFSET(PLE!$G$14,$M577,AZ$13)="",10^12,OFFSET(PLE!$G$14,$M577,AZ$13))))</f>
        <v>1000000000000</v>
      </c>
      <c r="BA577" s="182">
        <f ca="1">IF($D577&lt;&gt;"Serviço",0,IF(OR(AND(AUTOEVENTO="Manual",$M577=1),$M577&gt;(ROW(PLE.lastrow)-ROW(PLE.firstrow))),0,IF(OFFSET(PLE!$G$14,$M577,BA$13)="",10^12,OFFSET(PLE!$G$14,$M577,BA$13))))</f>
        <v>1000000000000</v>
      </c>
      <c r="BB577" s="182">
        <f ca="1">IF($D577&lt;&gt;"Serviço",0,IF(OR(AND(AUTOEVENTO="Manual",$M577=1),$M577&gt;(ROW(PLE.lastrow)-ROW(PLE.firstrow))),0,IF(OFFSET(PLE!$G$14,$M577,BB$13)="",10^12,OFFSET(PLE!$G$14,$M577,BB$13))))</f>
        <v>1000000000000</v>
      </c>
      <c r="BC577" s="182">
        <f ca="1">IF($D577&lt;&gt;"Serviço",0,IF(OR(AND(AUTOEVENTO="Manual",$M577=1),$M577&gt;(ROW(PLE.lastrow)-ROW(PLE.firstrow))),0,IF(OFFSET(PLE!$G$14,$M577,BC$13)="",10^12,OFFSET(PLE!$G$14,$M577,BC$13))))</f>
        <v>1000000000000</v>
      </c>
      <c r="BD577" s="182">
        <f ca="1">IF($D577&lt;&gt;"Serviço",0,IF(OR(AND(AUTOEVENTO="Manual",$M577=1),$M577&gt;(ROW(PLE.lastrow)-ROW(PLE.firstrow))),0,IF(OFFSET(PLE!$G$14,$M577,BD$13)="",10^12,OFFSET(PLE!$G$14,$M577,BD$13))))</f>
        <v>1000000000000</v>
      </c>
      <c r="BE577" s="182">
        <f ca="1">IF($D577&lt;&gt;"Serviço",0,IF(OR(AND(AUTOEVENTO="Manual",$M577=1),$M577&gt;(ROW(PLE.lastrow)-ROW(PLE.firstrow))),0,IF(OFFSET(PLE!$G$14,$M577,BE$13)="",10^12,OFFSET(PLE!$G$14,$M577,BE$13))))</f>
        <v>1000000000000</v>
      </c>
      <c r="BF577" s="182">
        <f ca="1">IF($D577&lt;&gt;"Serviço",0,IF(OR(AND(AUTOEVENTO="Manual",$M577=1),$M577&gt;(ROW(PLE.lastrow)-ROW(PLE.firstrow))),0,IF(OFFSET(PLE!$G$14,$M577,BF$13)="",10^12,OFFSET(PLE!$G$14,$M577,BF$13))))</f>
        <v>1000000000000</v>
      </c>
      <c r="BG577" s="182">
        <f ca="1">IF($D577&lt;&gt;"Serviço",0,IF(OR(AND(AUTOEVENTO="Manual",$M577=1),$M577&gt;(ROW(PLE.lastrow)-ROW(PLE.firstrow))),0,IF(OFFSET(PLE!$G$14,$M577,BG$13)="",10^12,OFFSET(PLE!$G$14,$M577,BG$13))))</f>
        <v>1000000000000</v>
      </c>
    </row>
    <row r="578" spans="1:59" ht="38.25" x14ac:dyDescent="0.2">
      <c r="A578" s="7" t="str">
        <f t="shared" ca="1" si="15"/>
        <v>472</v>
      </c>
      <c r="B578" s="7" t="str">
        <f ca="1">OFFSET(ORÇAMENTO!C$15,ROW(B578)-ROW(B$15),0)</f>
        <v>S</v>
      </c>
      <c r="C578" s="7" t="str">
        <f ca="1">OFFSET(ORÇAMENTO!L$15,ROW(C578)-ROW(C$15),0)</f>
        <v/>
      </c>
      <c r="D578" s="118" t="str">
        <f ca="1">OFFSET(ORÇAMENTO!N$15,ROW(D578)-ROW(D$15),0)</f>
        <v>Serviço</v>
      </c>
      <c r="E578" s="119" t="str">
        <f ca="1">OFFSET(ORÇAMENTO!O$15,ROW(E578)-ROW(E$15),0)</f>
        <v>-</v>
      </c>
      <c r="F578" s="172" t="str">
        <f ca="1">OFFSET(ORÇAMENTO!R$15,ROW(F578)-ROW(F$15),0)</f>
        <v>(abra o arquivo 'Referência 02-2025.xlsm)</v>
      </c>
      <c r="G578" s="173" t="str">
        <f ca="1">IF($D578&lt;&gt;"Serviço","",OFFSET(ORÇAMENTO!S$15,ROW(G578)-ROW(G$15),0))</f>
        <v>-</v>
      </c>
      <c r="H578" s="124">
        <f ca="1">IF($D578&lt;&gt;"Serviço",0,IF(ACOMPANHAMENTO="BM",ROUND(OFFSET(ORÇAMENTO!AJ$15,ROW(H578)-ROW(H$15),0),15-13*ORÇAMENTO!$AF$7),SUMPRODUCT(($Q$12:$AA$12&lt;&gt;"")*ROUND($Q578:$AA578,15-13*ORÇAMENTO!$AF$7))))</f>
        <v>3</v>
      </c>
      <c r="I578" s="561" t="s">
        <v>890</v>
      </c>
      <c r="K578" s="174"/>
      <c r="L578" s="175" t="s">
        <v>255</v>
      </c>
      <c r="M578" s="176">
        <f ca="1">IF($D578&lt;&gt;"Serviço","",IF(AUTOEVENTO="manual",$A578,IF(ISERROR(MATCH($A578,$A$15:OFFSET($A578,-1,0),0)),MAX($M$15:OFFSET(M578,-1,0))+1,INDEX($M$15:OFFSET(M578,-1,0),MATCH($A578,$A$15:OFFSET($A578,-1,0),0)))))</f>
        <v>18</v>
      </c>
      <c r="N578" s="177" t="str">
        <f ca="1">IF($D578&lt;&gt;"Serviço","",IF(AUTOEVENTO="Manual",IF($A578=0,"&lt;-- defina o número do agrupador",OFFSET(EVENTOS!$D$14,$A578,0)),OFFSET($F$15,$A578,0)))</f>
        <v>INSTALAÇÕES ELÉTRICAS - 220V</v>
      </c>
      <c r="O578" s="178"/>
      <c r="Q578" s="178"/>
      <c r="R578" s="179"/>
      <c r="S578" s="179"/>
      <c r="T578" s="179"/>
      <c r="U578" s="179"/>
      <c r="V578" s="179"/>
      <c r="W578" s="179"/>
      <c r="X578" s="179"/>
      <c r="Y578" s="179"/>
      <c r="Z578" s="180"/>
      <c r="AB578" s="544">
        <f ca="1">IF(AND($D578="Serviço",AB$12&lt;&gt;0,$H578&gt;0,OR(AUTOEVENTO&lt;&gt;"manual",$M578&lt;&gt;1)),
IF(Import.TipoArredondamento&lt;&gt;"TransfereGOV",
ROUND(OFFSET($P578,0,AB$13),15-13*ORÇAMENTO!$AF$7)/$H578*OFFSET(ORÇAMENTO!$X$15,ROW(AB578)-ROW(AB$15),0),
ROUND(ROUND(OFFSET($P578,0,AB$13),15-13*ORÇAMENTO!$AF$7)*OFFSET(ORÇAMENTO!$W$15,ROW(AB578)-ROW(AB$15),0),15-13*ORÇAMENTO!$AF$11)),0)</f>
        <v>0</v>
      </c>
      <c r="AC578" s="545">
        <f ca="1">IF(AND($D578="Serviço",AC$12&lt;&gt;0,$H578&gt;0,OR(AUTOEVENTO&lt;&gt;"manual",$M578&lt;&gt;1)),
IF(Import.TipoArredondamento&lt;&gt;"TransfereGOV",
ROUND(OFFSET($P578,0,AC$13),15-13*ORÇAMENTO!$AF$7)/$H578*OFFSET(ORÇAMENTO!$X$15,ROW(AC578)-ROW(AC$15),0),
ROUND(ROUND(OFFSET($P578,0,AC$13),15-13*ORÇAMENTO!$AF$7)*OFFSET(ORÇAMENTO!$W$15,ROW(AC578)-ROW(AC$15),0),15-13*ORÇAMENTO!$AF$11)),0)</f>
        <v>0</v>
      </c>
      <c r="AD578" s="545">
        <f ca="1">IF(AND($D578="Serviço",AD$12&lt;&gt;0,$H578&gt;0,OR(AUTOEVENTO&lt;&gt;"manual",$M578&lt;&gt;1)),
IF(Import.TipoArredondamento&lt;&gt;"TransfereGOV",
ROUND(OFFSET($P578,0,AD$13),15-13*ORÇAMENTO!$AF$7)/$H578*OFFSET(ORÇAMENTO!$X$15,ROW(AD578)-ROW(AD$15),0),
ROUND(ROUND(OFFSET($P578,0,AD$13),15-13*ORÇAMENTO!$AF$7)*OFFSET(ORÇAMENTO!$W$15,ROW(AD578)-ROW(AD$15),0),15-13*ORÇAMENTO!$AF$11)),0)</f>
        <v>0</v>
      </c>
      <c r="AE578" s="545">
        <f ca="1">IF(AND($D578="Serviço",AE$12&lt;&gt;0,$H578&gt;0,OR(AUTOEVENTO&lt;&gt;"manual",$M578&lt;&gt;1)),
IF(Import.TipoArredondamento&lt;&gt;"TransfereGOV",
ROUND(OFFSET($P578,0,AE$13),15-13*ORÇAMENTO!$AF$7)/$H578*OFFSET(ORÇAMENTO!$X$15,ROW(AE578)-ROW(AE$15),0),
ROUND(ROUND(OFFSET($P578,0,AE$13),15-13*ORÇAMENTO!$AF$7)*OFFSET(ORÇAMENTO!$W$15,ROW(AE578)-ROW(AE$15),0),15-13*ORÇAMENTO!$AF$11)),0)</f>
        <v>0</v>
      </c>
      <c r="AF578" s="545">
        <f ca="1">IF(AND($D578="Serviço",AF$12&lt;&gt;0,$H578&gt;0,OR(AUTOEVENTO&lt;&gt;"manual",$M578&lt;&gt;1)),
IF(Import.TipoArredondamento&lt;&gt;"TransfereGOV",
ROUND(OFFSET($P578,0,AF$13),15-13*ORÇAMENTO!$AF$7)/$H578*OFFSET(ORÇAMENTO!$X$15,ROW(AF578)-ROW(AF$15),0),
ROUND(ROUND(OFFSET($P578,0,AF$13),15-13*ORÇAMENTO!$AF$7)*OFFSET(ORÇAMENTO!$W$15,ROW(AF578)-ROW(AF$15),0),15-13*ORÇAMENTO!$AF$11)),0)</f>
        <v>0</v>
      </c>
      <c r="AG578" s="545">
        <f ca="1">IF(AND($D578="Serviço",AG$12&lt;&gt;0,$H578&gt;0,OR(AUTOEVENTO&lt;&gt;"manual",$M578&lt;&gt;1)),
IF(Import.TipoArredondamento&lt;&gt;"TransfereGOV",
ROUND(OFFSET($P578,0,AG$13),15-13*ORÇAMENTO!$AF$7)/$H578*OFFSET(ORÇAMENTO!$X$15,ROW(AG578)-ROW(AG$15),0),
ROUND(ROUND(OFFSET($P578,0,AG$13),15-13*ORÇAMENTO!$AF$7)*OFFSET(ORÇAMENTO!$W$15,ROW(AG578)-ROW(AG$15),0),15-13*ORÇAMENTO!$AF$11)),0)</f>
        <v>0</v>
      </c>
      <c r="AH578" s="545">
        <f ca="1">IF(AND($D578="Serviço",AH$12&lt;&gt;0,$H578&gt;0,OR(AUTOEVENTO&lt;&gt;"manual",$M578&lt;&gt;1)),
IF(Import.TipoArredondamento&lt;&gt;"TransfereGOV",
ROUND(OFFSET($P578,0,AH$13),15-13*ORÇAMENTO!$AF$7)/$H578*OFFSET(ORÇAMENTO!$X$15,ROW(AH578)-ROW(AH$15),0),
ROUND(ROUND(OFFSET($P578,0,AH$13),15-13*ORÇAMENTO!$AF$7)*OFFSET(ORÇAMENTO!$W$15,ROW(AH578)-ROW(AH$15),0),15-13*ORÇAMENTO!$AF$11)),0)</f>
        <v>0</v>
      </c>
      <c r="AI578" s="545">
        <f ca="1">IF(AND($D578="Serviço",AI$12&lt;&gt;0,$H578&gt;0,OR(AUTOEVENTO&lt;&gt;"manual",$M578&lt;&gt;1)),
IF(Import.TipoArredondamento&lt;&gt;"TransfereGOV",
ROUND(OFFSET($P578,0,AI$13),15-13*ORÇAMENTO!$AF$7)/$H578*OFFSET(ORÇAMENTO!$X$15,ROW(AI578)-ROW(AI$15),0),
ROUND(ROUND(OFFSET($P578,0,AI$13),15-13*ORÇAMENTO!$AF$7)*OFFSET(ORÇAMENTO!$W$15,ROW(AI578)-ROW(AI$15),0),15-13*ORÇAMENTO!$AF$11)),0)</f>
        <v>0</v>
      </c>
      <c r="AJ578" s="545">
        <f ca="1">IF(AND($D578="Serviço",AJ$12&lt;&gt;0,$H578&gt;0,OR(AUTOEVENTO&lt;&gt;"manual",$M578&lt;&gt;1)),
IF(Import.TipoArredondamento&lt;&gt;"TransfereGOV",
ROUND(OFFSET($P578,0,AJ$13),15-13*ORÇAMENTO!$AF$7)/$H578*OFFSET(ORÇAMENTO!$X$15,ROW(AJ578)-ROW(AJ$15),0),
ROUND(ROUND(OFFSET($P578,0,AJ$13),15-13*ORÇAMENTO!$AF$7)*OFFSET(ORÇAMENTO!$W$15,ROW(AJ578)-ROW(AJ$15),0),15-13*ORÇAMENTO!$AF$11)),0)</f>
        <v>0</v>
      </c>
      <c r="AK578" s="546">
        <f ca="1">IF(AND($D578="Serviço",AK$12&lt;&gt;0,$H578&gt;0,OR(AUTOEVENTO&lt;&gt;"manual",$M578&lt;&gt;1)),
IF(Import.TipoArredondamento&lt;&gt;"TransfereGOV",
ROUND(OFFSET($P578,0,AK$13),15-13*ORÇAMENTO!$AF$7)/$H578*OFFSET(ORÇAMENTO!$X$15,ROW(AK578)-ROW(AK$15),0),
ROUND(ROUND(OFFSET($P578,0,AK$13),15-13*ORÇAMENTO!$AF$7)*OFFSET(ORÇAMENTO!$W$15,ROW(AK578)-ROW(AK$15),0),15-13*ORÇAMENTO!$AF$11)),0)</f>
        <v>0</v>
      </c>
      <c r="AM578" s="181">
        <f ca="1">IF($D578&lt;&gt;"Serviço",0,IF(AND(AUTOEVENTO="Manual",$M578=1),0,IF(OFFSET(CRONOPLE!$F$14,$M578,AM$13)="",10^12,OFFSET(CRONOPLE!$F$14,$M578,AM$13))))</f>
        <v>1000000000000</v>
      </c>
      <c r="AN578" s="181">
        <f ca="1">IF($D578&lt;&gt;"Serviço",0,IF(AND(AUTOEVENTO="Manual",$M578=1),0,IF(OFFSET(CRONOPLE!$F$14,$M578,AN$13)="",10^12,OFFSET(CRONOPLE!$F$14,$M578,AN$13))))</f>
        <v>1000000000000</v>
      </c>
      <c r="AO578" s="181">
        <f ca="1">IF($D578&lt;&gt;"Serviço",0,IF(AND(AUTOEVENTO="Manual",$M578=1),0,IF(OFFSET(CRONOPLE!$F$14,$M578,AO$13)="",10^12,OFFSET(CRONOPLE!$F$14,$M578,AO$13))))</f>
        <v>1000000000000</v>
      </c>
      <c r="AP578" s="181">
        <f ca="1">IF($D578&lt;&gt;"Serviço",0,IF(AND(AUTOEVENTO="Manual",$M578=1),0,IF(OFFSET(CRONOPLE!$F$14,$M578,AP$13)="",10^12,OFFSET(CRONOPLE!$F$14,$M578,AP$13))))</f>
        <v>1000000000000</v>
      </c>
      <c r="AQ578" s="181">
        <f ca="1">IF($D578&lt;&gt;"Serviço",0,IF(AND(AUTOEVENTO="Manual",$M578=1),0,IF(OFFSET(CRONOPLE!$F$14,$M578,AQ$13)="",10^12,OFFSET(CRONOPLE!$F$14,$M578,AQ$13))))</f>
        <v>1000000000000</v>
      </c>
      <c r="AR578" s="181">
        <f ca="1">IF($D578&lt;&gt;"Serviço",0,IF(AND(AUTOEVENTO="Manual",$M578=1),0,IF(OFFSET(CRONOPLE!$F$14,$M578,AR$13)="",10^12,OFFSET(CRONOPLE!$F$14,$M578,AR$13))))</f>
        <v>1000000000000</v>
      </c>
      <c r="AS578" s="181">
        <f ca="1">IF($D578&lt;&gt;"Serviço",0,IF(AND(AUTOEVENTO="Manual",$M578=1),0,IF(OFFSET(CRONOPLE!$F$14,$M578,AS$13)="",10^12,OFFSET(CRONOPLE!$F$14,$M578,AS$13))))</f>
        <v>1000000000000</v>
      </c>
      <c r="AT578" s="181">
        <f ca="1">IF($D578&lt;&gt;"Serviço",0,IF(AND(AUTOEVENTO="Manual",$M578=1),0,IF(OFFSET(CRONOPLE!$F$14,$M578,AT$13)="",10^12,OFFSET(CRONOPLE!$F$14,$M578,AT$13))))</f>
        <v>1000000000000</v>
      </c>
      <c r="AU578" s="181">
        <f ca="1">IF($D578&lt;&gt;"Serviço",0,IF(AND(AUTOEVENTO="Manual",$M578=1),0,IF(OFFSET(CRONOPLE!$F$14,$M578,AU$13)="",10^12,OFFSET(CRONOPLE!$F$14,$M578,AU$13))))</f>
        <v>1000000000000</v>
      </c>
      <c r="AV578" s="181">
        <f ca="1">IF($D578&lt;&gt;"Serviço",0,IF(AND(AUTOEVENTO="Manual",$M578=1),0,IF(OFFSET(CRONOPLE!$F$14,$M578,AV$13)="",10^12,OFFSET(CRONOPLE!$F$14,$M578,AV$13))))</f>
        <v>1000000000000</v>
      </c>
      <c r="AX578" s="182">
        <f ca="1">IF($D578&lt;&gt;"Serviço",0,IF(OR(AND(AUTOEVENTO="Manual",$M578=1),$M578&gt;(ROW(PLE.lastrow)-ROW(PLE.firstrow))),0,IF(OFFSET(PLE!$G$14,$M578,AX$13)="",10^12,OFFSET(PLE!$G$14,$M578,AX$13))))</f>
        <v>1000000000000</v>
      </c>
      <c r="AY578" s="182">
        <f ca="1">IF($D578&lt;&gt;"Serviço",0,IF(OR(AND(AUTOEVENTO="Manual",$M578=1),$M578&gt;(ROW(PLE.lastrow)-ROW(PLE.firstrow))),0,IF(OFFSET(PLE!$G$14,$M578,AY$13)="",10^12,OFFSET(PLE!$G$14,$M578,AY$13))))</f>
        <v>1000000000000</v>
      </c>
      <c r="AZ578" s="182">
        <f ca="1">IF($D578&lt;&gt;"Serviço",0,IF(OR(AND(AUTOEVENTO="Manual",$M578=1),$M578&gt;(ROW(PLE.lastrow)-ROW(PLE.firstrow))),0,IF(OFFSET(PLE!$G$14,$M578,AZ$13)="",10^12,OFFSET(PLE!$G$14,$M578,AZ$13))))</f>
        <v>1000000000000</v>
      </c>
      <c r="BA578" s="182">
        <f ca="1">IF($D578&lt;&gt;"Serviço",0,IF(OR(AND(AUTOEVENTO="Manual",$M578=1),$M578&gt;(ROW(PLE.lastrow)-ROW(PLE.firstrow))),0,IF(OFFSET(PLE!$G$14,$M578,BA$13)="",10^12,OFFSET(PLE!$G$14,$M578,BA$13))))</f>
        <v>1000000000000</v>
      </c>
      <c r="BB578" s="182">
        <f ca="1">IF($D578&lt;&gt;"Serviço",0,IF(OR(AND(AUTOEVENTO="Manual",$M578=1),$M578&gt;(ROW(PLE.lastrow)-ROW(PLE.firstrow))),0,IF(OFFSET(PLE!$G$14,$M578,BB$13)="",10^12,OFFSET(PLE!$G$14,$M578,BB$13))))</f>
        <v>1000000000000</v>
      </c>
      <c r="BC578" s="182">
        <f ca="1">IF($D578&lt;&gt;"Serviço",0,IF(OR(AND(AUTOEVENTO="Manual",$M578=1),$M578&gt;(ROW(PLE.lastrow)-ROW(PLE.firstrow))),0,IF(OFFSET(PLE!$G$14,$M578,BC$13)="",10^12,OFFSET(PLE!$G$14,$M578,BC$13))))</f>
        <v>1000000000000</v>
      </c>
      <c r="BD578" s="182">
        <f ca="1">IF($D578&lt;&gt;"Serviço",0,IF(OR(AND(AUTOEVENTO="Manual",$M578=1),$M578&gt;(ROW(PLE.lastrow)-ROW(PLE.firstrow))),0,IF(OFFSET(PLE!$G$14,$M578,BD$13)="",10^12,OFFSET(PLE!$G$14,$M578,BD$13))))</f>
        <v>1000000000000</v>
      </c>
      <c r="BE578" s="182">
        <f ca="1">IF($D578&lt;&gt;"Serviço",0,IF(OR(AND(AUTOEVENTO="Manual",$M578=1),$M578&gt;(ROW(PLE.lastrow)-ROW(PLE.firstrow))),0,IF(OFFSET(PLE!$G$14,$M578,BE$13)="",10^12,OFFSET(PLE!$G$14,$M578,BE$13))))</f>
        <v>1000000000000</v>
      </c>
      <c r="BF578" s="182">
        <f ca="1">IF($D578&lt;&gt;"Serviço",0,IF(OR(AND(AUTOEVENTO="Manual",$M578=1),$M578&gt;(ROW(PLE.lastrow)-ROW(PLE.firstrow))),0,IF(OFFSET(PLE!$G$14,$M578,BF$13)="",10^12,OFFSET(PLE!$G$14,$M578,BF$13))))</f>
        <v>1000000000000</v>
      </c>
      <c r="BG578" s="182">
        <f ca="1">IF($D578&lt;&gt;"Serviço",0,IF(OR(AND(AUTOEVENTO="Manual",$M578=1),$M578&gt;(ROW(PLE.lastrow)-ROW(PLE.firstrow))),0,IF(OFFSET(PLE!$G$14,$M578,BG$13)="",10^12,OFFSET(PLE!$G$14,$M578,BG$13))))</f>
        <v>1000000000000</v>
      </c>
    </row>
    <row r="579" spans="1:59" ht="38.25" x14ac:dyDescent="0.2">
      <c r="A579" s="7" t="str">
        <f t="shared" ca="1" si="15"/>
        <v>472</v>
      </c>
      <c r="B579" s="7" t="str">
        <f ca="1">OFFSET(ORÇAMENTO!C$15,ROW(B579)-ROW(B$15),0)</f>
        <v>S</v>
      </c>
      <c r="C579" s="7" t="str">
        <f ca="1">OFFSET(ORÇAMENTO!L$15,ROW(C579)-ROW(C$15),0)</f>
        <v/>
      </c>
      <c r="D579" s="118" t="str">
        <f ca="1">OFFSET(ORÇAMENTO!N$15,ROW(D579)-ROW(D$15),0)</f>
        <v>Serviço</v>
      </c>
      <c r="E579" s="119" t="str">
        <f ca="1">OFFSET(ORÇAMENTO!O$15,ROW(E579)-ROW(E$15),0)</f>
        <v>-</v>
      </c>
      <c r="F579" s="172" t="str">
        <f ca="1">OFFSET(ORÇAMENTO!R$15,ROW(F579)-ROW(F$15),0)</f>
        <v>(abra o arquivo 'Referência 02-2025.xlsm)</v>
      </c>
      <c r="G579" s="173" t="str">
        <f ca="1">IF($D579&lt;&gt;"Serviço","",OFFSET(ORÇAMENTO!S$15,ROW(G579)-ROW(G$15),0))</f>
        <v>-</v>
      </c>
      <c r="H579" s="124">
        <f ca="1">IF($D579&lt;&gt;"Serviço",0,IF(ACOMPANHAMENTO="BM",ROUND(OFFSET(ORÇAMENTO!AJ$15,ROW(H579)-ROW(H$15),0),15-13*ORÇAMENTO!$AF$7),SUMPRODUCT(($Q$12:$AA$12&lt;&gt;"")*ROUND($Q579:$AA579,15-13*ORÇAMENTO!$AF$7))))</f>
        <v>3</v>
      </c>
      <c r="I579" s="561" t="s">
        <v>890</v>
      </c>
      <c r="K579" s="174"/>
      <c r="L579" s="175" t="s">
        <v>255</v>
      </c>
      <c r="M579" s="176">
        <f ca="1">IF($D579&lt;&gt;"Serviço","",IF(AUTOEVENTO="manual",$A579,IF(ISERROR(MATCH($A579,$A$15:OFFSET($A579,-1,0),0)),MAX($M$15:OFFSET(M579,-1,0))+1,INDEX($M$15:OFFSET(M579,-1,0),MATCH($A579,$A$15:OFFSET($A579,-1,0),0)))))</f>
        <v>18</v>
      </c>
      <c r="N579" s="177" t="str">
        <f ca="1">IF($D579&lt;&gt;"Serviço","",IF(AUTOEVENTO="Manual",IF($A579=0,"&lt;-- defina o número do agrupador",OFFSET(EVENTOS!$D$14,$A579,0)),OFFSET($F$15,$A579,0)))</f>
        <v>INSTALAÇÕES ELÉTRICAS - 220V</v>
      </c>
      <c r="O579" s="178"/>
      <c r="Q579" s="178"/>
      <c r="R579" s="179"/>
      <c r="S579" s="179"/>
      <c r="T579" s="179"/>
      <c r="U579" s="179"/>
      <c r="V579" s="179"/>
      <c r="W579" s="179"/>
      <c r="X579" s="179"/>
      <c r="Y579" s="179"/>
      <c r="Z579" s="180"/>
      <c r="AB579" s="544">
        <f ca="1">IF(AND($D579="Serviço",AB$12&lt;&gt;0,$H579&gt;0,OR(AUTOEVENTO&lt;&gt;"manual",$M579&lt;&gt;1)),
IF(Import.TipoArredondamento&lt;&gt;"TransfereGOV",
ROUND(OFFSET($P579,0,AB$13),15-13*ORÇAMENTO!$AF$7)/$H579*OFFSET(ORÇAMENTO!$X$15,ROW(AB579)-ROW(AB$15),0),
ROUND(ROUND(OFFSET($P579,0,AB$13),15-13*ORÇAMENTO!$AF$7)*OFFSET(ORÇAMENTO!$W$15,ROW(AB579)-ROW(AB$15),0),15-13*ORÇAMENTO!$AF$11)),0)</f>
        <v>0</v>
      </c>
      <c r="AC579" s="545">
        <f ca="1">IF(AND($D579="Serviço",AC$12&lt;&gt;0,$H579&gt;0,OR(AUTOEVENTO&lt;&gt;"manual",$M579&lt;&gt;1)),
IF(Import.TipoArredondamento&lt;&gt;"TransfereGOV",
ROUND(OFFSET($P579,0,AC$13),15-13*ORÇAMENTO!$AF$7)/$H579*OFFSET(ORÇAMENTO!$X$15,ROW(AC579)-ROW(AC$15),0),
ROUND(ROUND(OFFSET($P579,0,AC$13),15-13*ORÇAMENTO!$AF$7)*OFFSET(ORÇAMENTO!$W$15,ROW(AC579)-ROW(AC$15),0),15-13*ORÇAMENTO!$AF$11)),0)</f>
        <v>0</v>
      </c>
      <c r="AD579" s="545">
        <f ca="1">IF(AND($D579="Serviço",AD$12&lt;&gt;0,$H579&gt;0,OR(AUTOEVENTO&lt;&gt;"manual",$M579&lt;&gt;1)),
IF(Import.TipoArredondamento&lt;&gt;"TransfereGOV",
ROUND(OFFSET($P579,0,AD$13),15-13*ORÇAMENTO!$AF$7)/$H579*OFFSET(ORÇAMENTO!$X$15,ROW(AD579)-ROW(AD$15),0),
ROUND(ROUND(OFFSET($P579,0,AD$13),15-13*ORÇAMENTO!$AF$7)*OFFSET(ORÇAMENTO!$W$15,ROW(AD579)-ROW(AD$15),0),15-13*ORÇAMENTO!$AF$11)),0)</f>
        <v>0</v>
      </c>
      <c r="AE579" s="545">
        <f ca="1">IF(AND($D579="Serviço",AE$12&lt;&gt;0,$H579&gt;0,OR(AUTOEVENTO&lt;&gt;"manual",$M579&lt;&gt;1)),
IF(Import.TipoArredondamento&lt;&gt;"TransfereGOV",
ROUND(OFFSET($P579,0,AE$13),15-13*ORÇAMENTO!$AF$7)/$H579*OFFSET(ORÇAMENTO!$X$15,ROW(AE579)-ROW(AE$15),0),
ROUND(ROUND(OFFSET($P579,0,AE$13),15-13*ORÇAMENTO!$AF$7)*OFFSET(ORÇAMENTO!$W$15,ROW(AE579)-ROW(AE$15),0),15-13*ORÇAMENTO!$AF$11)),0)</f>
        <v>0</v>
      </c>
      <c r="AF579" s="545">
        <f ca="1">IF(AND($D579="Serviço",AF$12&lt;&gt;0,$H579&gt;0,OR(AUTOEVENTO&lt;&gt;"manual",$M579&lt;&gt;1)),
IF(Import.TipoArredondamento&lt;&gt;"TransfereGOV",
ROUND(OFFSET($P579,0,AF$13),15-13*ORÇAMENTO!$AF$7)/$H579*OFFSET(ORÇAMENTO!$X$15,ROW(AF579)-ROW(AF$15),0),
ROUND(ROUND(OFFSET($P579,0,AF$13),15-13*ORÇAMENTO!$AF$7)*OFFSET(ORÇAMENTO!$W$15,ROW(AF579)-ROW(AF$15),0),15-13*ORÇAMENTO!$AF$11)),0)</f>
        <v>0</v>
      </c>
      <c r="AG579" s="545">
        <f ca="1">IF(AND($D579="Serviço",AG$12&lt;&gt;0,$H579&gt;0,OR(AUTOEVENTO&lt;&gt;"manual",$M579&lt;&gt;1)),
IF(Import.TipoArredondamento&lt;&gt;"TransfereGOV",
ROUND(OFFSET($P579,0,AG$13),15-13*ORÇAMENTO!$AF$7)/$H579*OFFSET(ORÇAMENTO!$X$15,ROW(AG579)-ROW(AG$15),0),
ROUND(ROUND(OFFSET($P579,0,AG$13),15-13*ORÇAMENTO!$AF$7)*OFFSET(ORÇAMENTO!$W$15,ROW(AG579)-ROW(AG$15),0),15-13*ORÇAMENTO!$AF$11)),0)</f>
        <v>0</v>
      </c>
      <c r="AH579" s="545">
        <f ca="1">IF(AND($D579="Serviço",AH$12&lt;&gt;0,$H579&gt;0,OR(AUTOEVENTO&lt;&gt;"manual",$M579&lt;&gt;1)),
IF(Import.TipoArredondamento&lt;&gt;"TransfereGOV",
ROUND(OFFSET($P579,0,AH$13),15-13*ORÇAMENTO!$AF$7)/$H579*OFFSET(ORÇAMENTO!$X$15,ROW(AH579)-ROW(AH$15),0),
ROUND(ROUND(OFFSET($P579,0,AH$13),15-13*ORÇAMENTO!$AF$7)*OFFSET(ORÇAMENTO!$W$15,ROW(AH579)-ROW(AH$15),0),15-13*ORÇAMENTO!$AF$11)),0)</f>
        <v>0</v>
      </c>
      <c r="AI579" s="545">
        <f ca="1">IF(AND($D579="Serviço",AI$12&lt;&gt;0,$H579&gt;0,OR(AUTOEVENTO&lt;&gt;"manual",$M579&lt;&gt;1)),
IF(Import.TipoArredondamento&lt;&gt;"TransfereGOV",
ROUND(OFFSET($P579,0,AI$13),15-13*ORÇAMENTO!$AF$7)/$H579*OFFSET(ORÇAMENTO!$X$15,ROW(AI579)-ROW(AI$15),0),
ROUND(ROUND(OFFSET($P579,0,AI$13),15-13*ORÇAMENTO!$AF$7)*OFFSET(ORÇAMENTO!$W$15,ROW(AI579)-ROW(AI$15),0),15-13*ORÇAMENTO!$AF$11)),0)</f>
        <v>0</v>
      </c>
      <c r="AJ579" s="545">
        <f ca="1">IF(AND($D579="Serviço",AJ$12&lt;&gt;0,$H579&gt;0,OR(AUTOEVENTO&lt;&gt;"manual",$M579&lt;&gt;1)),
IF(Import.TipoArredondamento&lt;&gt;"TransfereGOV",
ROUND(OFFSET($P579,0,AJ$13),15-13*ORÇAMENTO!$AF$7)/$H579*OFFSET(ORÇAMENTO!$X$15,ROW(AJ579)-ROW(AJ$15),0),
ROUND(ROUND(OFFSET($P579,0,AJ$13),15-13*ORÇAMENTO!$AF$7)*OFFSET(ORÇAMENTO!$W$15,ROW(AJ579)-ROW(AJ$15),0),15-13*ORÇAMENTO!$AF$11)),0)</f>
        <v>0</v>
      </c>
      <c r="AK579" s="546">
        <f ca="1">IF(AND($D579="Serviço",AK$12&lt;&gt;0,$H579&gt;0,OR(AUTOEVENTO&lt;&gt;"manual",$M579&lt;&gt;1)),
IF(Import.TipoArredondamento&lt;&gt;"TransfereGOV",
ROUND(OFFSET($P579,0,AK$13),15-13*ORÇAMENTO!$AF$7)/$H579*OFFSET(ORÇAMENTO!$X$15,ROW(AK579)-ROW(AK$15),0),
ROUND(ROUND(OFFSET($P579,0,AK$13),15-13*ORÇAMENTO!$AF$7)*OFFSET(ORÇAMENTO!$W$15,ROW(AK579)-ROW(AK$15),0),15-13*ORÇAMENTO!$AF$11)),0)</f>
        <v>0</v>
      </c>
      <c r="AM579" s="181">
        <f ca="1">IF($D579&lt;&gt;"Serviço",0,IF(AND(AUTOEVENTO="Manual",$M579=1),0,IF(OFFSET(CRONOPLE!$F$14,$M579,AM$13)="",10^12,OFFSET(CRONOPLE!$F$14,$M579,AM$13))))</f>
        <v>1000000000000</v>
      </c>
      <c r="AN579" s="181">
        <f ca="1">IF($D579&lt;&gt;"Serviço",0,IF(AND(AUTOEVENTO="Manual",$M579=1),0,IF(OFFSET(CRONOPLE!$F$14,$M579,AN$13)="",10^12,OFFSET(CRONOPLE!$F$14,$M579,AN$13))))</f>
        <v>1000000000000</v>
      </c>
      <c r="AO579" s="181">
        <f ca="1">IF($D579&lt;&gt;"Serviço",0,IF(AND(AUTOEVENTO="Manual",$M579=1),0,IF(OFFSET(CRONOPLE!$F$14,$M579,AO$13)="",10^12,OFFSET(CRONOPLE!$F$14,$M579,AO$13))))</f>
        <v>1000000000000</v>
      </c>
      <c r="AP579" s="181">
        <f ca="1">IF($D579&lt;&gt;"Serviço",0,IF(AND(AUTOEVENTO="Manual",$M579=1),0,IF(OFFSET(CRONOPLE!$F$14,$M579,AP$13)="",10^12,OFFSET(CRONOPLE!$F$14,$M579,AP$13))))</f>
        <v>1000000000000</v>
      </c>
      <c r="AQ579" s="181">
        <f ca="1">IF($D579&lt;&gt;"Serviço",0,IF(AND(AUTOEVENTO="Manual",$M579=1),0,IF(OFFSET(CRONOPLE!$F$14,$M579,AQ$13)="",10^12,OFFSET(CRONOPLE!$F$14,$M579,AQ$13))))</f>
        <v>1000000000000</v>
      </c>
      <c r="AR579" s="181">
        <f ca="1">IF($D579&lt;&gt;"Serviço",0,IF(AND(AUTOEVENTO="Manual",$M579=1),0,IF(OFFSET(CRONOPLE!$F$14,$M579,AR$13)="",10^12,OFFSET(CRONOPLE!$F$14,$M579,AR$13))))</f>
        <v>1000000000000</v>
      </c>
      <c r="AS579" s="181">
        <f ca="1">IF($D579&lt;&gt;"Serviço",0,IF(AND(AUTOEVENTO="Manual",$M579=1),0,IF(OFFSET(CRONOPLE!$F$14,$M579,AS$13)="",10^12,OFFSET(CRONOPLE!$F$14,$M579,AS$13))))</f>
        <v>1000000000000</v>
      </c>
      <c r="AT579" s="181">
        <f ca="1">IF($D579&lt;&gt;"Serviço",0,IF(AND(AUTOEVENTO="Manual",$M579=1),0,IF(OFFSET(CRONOPLE!$F$14,$M579,AT$13)="",10^12,OFFSET(CRONOPLE!$F$14,$M579,AT$13))))</f>
        <v>1000000000000</v>
      </c>
      <c r="AU579" s="181">
        <f ca="1">IF($D579&lt;&gt;"Serviço",0,IF(AND(AUTOEVENTO="Manual",$M579=1),0,IF(OFFSET(CRONOPLE!$F$14,$M579,AU$13)="",10^12,OFFSET(CRONOPLE!$F$14,$M579,AU$13))))</f>
        <v>1000000000000</v>
      </c>
      <c r="AV579" s="181">
        <f ca="1">IF($D579&lt;&gt;"Serviço",0,IF(AND(AUTOEVENTO="Manual",$M579=1),0,IF(OFFSET(CRONOPLE!$F$14,$M579,AV$13)="",10^12,OFFSET(CRONOPLE!$F$14,$M579,AV$13))))</f>
        <v>1000000000000</v>
      </c>
      <c r="AX579" s="182">
        <f ca="1">IF($D579&lt;&gt;"Serviço",0,IF(OR(AND(AUTOEVENTO="Manual",$M579=1),$M579&gt;(ROW(PLE.lastrow)-ROW(PLE.firstrow))),0,IF(OFFSET(PLE!$G$14,$M579,AX$13)="",10^12,OFFSET(PLE!$G$14,$M579,AX$13))))</f>
        <v>1000000000000</v>
      </c>
      <c r="AY579" s="182">
        <f ca="1">IF($D579&lt;&gt;"Serviço",0,IF(OR(AND(AUTOEVENTO="Manual",$M579=1),$M579&gt;(ROW(PLE.lastrow)-ROW(PLE.firstrow))),0,IF(OFFSET(PLE!$G$14,$M579,AY$13)="",10^12,OFFSET(PLE!$G$14,$M579,AY$13))))</f>
        <v>1000000000000</v>
      </c>
      <c r="AZ579" s="182">
        <f ca="1">IF($D579&lt;&gt;"Serviço",0,IF(OR(AND(AUTOEVENTO="Manual",$M579=1),$M579&gt;(ROW(PLE.lastrow)-ROW(PLE.firstrow))),0,IF(OFFSET(PLE!$G$14,$M579,AZ$13)="",10^12,OFFSET(PLE!$G$14,$M579,AZ$13))))</f>
        <v>1000000000000</v>
      </c>
      <c r="BA579" s="182">
        <f ca="1">IF($D579&lt;&gt;"Serviço",0,IF(OR(AND(AUTOEVENTO="Manual",$M579=1),$M579&gt;(ROW(PLE.lastrow)-ROW(PLE.firstrow))),0,IF(OFFSET(PLE!$G$14,$M579,BA$13)="",10^12,OFFSET(PLE!$G$14,$M579,BA$13))))</f>
        <v>1000000000000</v>
      </c>
      <c r="BB579" s="182">
        <f ca="1">IF($D579&lt;&gt;"Serviço",0,IF(OR(AND(AUTOEVENTO="Manual",$M579=1),$M579&gt;(ROW(PLE.lastrow)-ROW(PLE.firstrow))),0,IF(OFFSET(PLE!$G$14,$M579,BB$13)="",10^12,OFFSET(PLE!$G$14,$M579,BB$13))))</f>
        <v>1000000000000</v>
      </c>
      <c r="BC579" s="182">
        <f ca="1">IF($D579&lt;&gt;"Serviço",0,IF(OR(AND(AUTOEVENTO="Manual",$M579=1),$M579&gt;(ROW(PLE.lastrow)-ROW(PLE.firstrow))),0,IF(OFFSET(PLE!$G$14,$M579,BC$13)="",10^12,OFFSET(PLE!$G$14,$M579,BC$13))))</f>
        <v>1000000000000</v>
      </c>
      <c r="BD579" s="182">
        <f ca="1">IF($D579&lt;&gt;"Serviço",0,IF(OR(AND(AUTOEVENTO="Manual",$M579=1),$M579&gt;(ROW(PLE.lastrow)-ROW(PLE.firstrow))),0,IF(OFFSET(PLE!$G$14,$M579,BD$13)="",10^12,OFFSET(PLE!$G$14,$M579,BD$13))))</f>
        <v>1000000000000</v>
      </c>
      <c r="BE579" s="182">
        <f ca="1">IF($D579&lt;&gt;"Serviço",0,IF(OR(AND(AUTOEVENTO="Manual",$M579=1),$M579&gt;(ROW(PLE.lastrow)-ROW(PLE.firstrow))),0,IF(OFFSET(PLE!$G$14,$M579,BE$13)="",10^12,OFFSET(PLE!$G$14,$M579,BE$13))))</f>
        <v>1000000000000</v>
      </c>
      <c r="BF579" s="182">
        <f ca="1">IF($D579&lt;&gt;"Serviço",0,IF(OR(AND(AUTOEVENTO="Manual",$M579=1),$M579&gt;(ROW(PLE.lastrow)-ROW(PLE.firstrow))),0,IF(OFFSET(PLE!$G$14,$M579,BF$13)="",10^12,OFFSET(PLE!$G$14,$M579,BF$13))))</f>
        <v>1000000000000</v>
      </c>
      <c r="BG579" s="182">
        <f ca="1">IF($D579&lt;&gt;"Serviço",0,IF(OR(AND(AUTOEVENTO="Manual",$M579=1),$M579&gt;(ROW(PLE.lastrow)-ROW(PLE.firstrow))),0,IF(OFFSET(PLE!$G$14,$M579,BG$13)="",10^12,OFFSET(PLE!$G$14,$M579,BG$13))))</f>
        <v>1000000000000</v>
      </c>
    </row>
    <row r="580" spans="1:59" ht="38.25" x14ac:dyDescent="0.2">
      <c r="A580" s="7" t="str">
        <f t="shared" ca="1" si="15"/>
        <v>472</v>
      </c>
      <c r="B580" s="7" t="str">
        <f ca="1">OFFSET(ORÇAMENTO!C$15,ROW(B580)-ROW(B$15),0)</f>
        <v>S</v>
      </c>
      <c r="C580" s="7" t="str">
        <f ca="1">OFFSET(ORÇAMENTO!L$15,ROW(C580)-ROW(C$15),0)</f>
        <v/>
      </c>
      <c r="D580" s="118" t="str">
        <f ca="1">OFFSET(ORÇAMENTO!N$15,ROW(D580)-ROW(D$15),0)</f>
        <v>Serviço</v>
      </c>
      <c r="E580" s="119" t="str">
        <f ca="1">OFFSET(ORÇAMENTO!O$15,ROW(E580)-ROW(E$15),0)</f>
        <v>-</v>
      </c>
      <c r="F580" s="172" t="str">
        <f ca="1">OFFSET(ORÇAMENTO!R$15,ROW(F580)-ROW(F$15),0)</f>
        <v>(abra o arquivo 'Referência 02-2025.xlsm)</v>
      </c>
      <c r="G580" s="173" t="str">
        <f ca="1">IF($D580&lt;&gt;"Serviço","",OFFSET(ORÇAMENTO!S$15,ROW(G580)-ROW(G$15),0))</f>
        <v>-</v>
      </c>
      <c r="H580" s="124">
        <f ca="1">IF($D580&lt;&gt;"Serviço",0,IF(ACOMPANHAMENTO="BM",ROUND(OFFSET(ORÇAMENTO!AJ$15,ROW(H580)-ROW(H$15),0),15-13*ORÇAMENTO!$AF$7),SUMPRODUCT(($Q$12:$AA$12&lt;&gt;"")*ROUND($Q580:$AA580,15-13*ORÇAMENTO!$AF$7))))</f>
        <v>6</v>
      </c>
      <c r="I580" s="561" t="s">
        <v>890</v>
      </c>
      <c r="K580" s="174"/>
      <c r="L580" s="175" t="s">
        <v>255</v>
      </c>
      <c r="M580" s="176">
        <f ca="1">IF($D580&lt;&gt;"Serviço","",IF(AUTOEVENTO="manual",$A580,IF(ISERROR(MATCH($A580,$A$15:OFFSET($A580,-1,0),0)),MAX($M$15:OFFSET(M580,-1,0))+1,INDEX($M$15:OFFSET(M580,-1,0),MATCH($A580,$A$15:OFFSET($A580,-1,0),0)))))</f>
        <v>18</v>
      </c>
      <c r="N580" s="177" t="str">
        <f ca="1">IF($D580&lt;&gt;"Serviço","",IF(AUTOEVENTO="Manual",IF($A580=0,"&lt;-- defina o número do agrupador",OFFSET(EVENTOS!$D$14,$A580,0)),OFFSET($F$15,$A580,0)))</f>
        <v>INSTALAÇÕES ELÉTRICAS - 220V</v>
      </c>
      <c r="O580" s="178"/>
      <c r="Q580" s="178"/>
      <c r="R580" s="179"/>
      <c r="S580" s="179"/>
      <c r="T580" s="179"/>
      <c r="U580" s="179"/>
      <c r="V580" s="179"/>
      <c r="W580" s="179"/>
      <c r="X580" s="179"/>
      <c r="Y580" s="179"/>
      <c r="Z580" s="180"/>
      <c r="AB580" s="544">
        <f ca="1">IF(AND($D580="Serviço",AB$12&lt;&gt;0,$H580&gt;0,OR(AUTOEVENTO&lt;&gt;"manual",$M580&lt;&gt;1)),
IF(Import.TipoArredondamento&lt;&gt;"TransfereGOV",
ROUND(OFFSET($P580,0,AB$13),15-13*ORÇAMENTO!$AF$7)/$H580*OFFSET(ORÇAMENTO!$X$15,ROW(AB580)-ROW(AB$15),0),
ROUND(ROUND(OFFSET($P580,0,AB$13),15-13*ORÇAMENTO!$AF$7)*OFFSET(ORÇAMENTO!$W$15,ROW(AB580)-ROW(AB$15),0),15-13*ORÇAMENTO!$AF$11)),0)</f>
        <v>0</v>
      </c>
      <c r="AC580" s="545">
        <f ca="1">IF(AND($D580="Serviço",AC$12&lt;&gt;0,$H580&gt;0,OR(AUTOEVENTO&lt;&gt;"manual",$M580&lt;&gt;1)),
IF(Import.TipoArredondamento&lt;&gt;"TransfereGOV",
ROUND(OFFSET($P580,0,AC$13),15-13*ORÇAMENTO!$AF$7)/$H580*OFFSET(ORÇAMENTO!$X$15,ROW(AC580)-ROW(AC$15),0),
ROUND(ROUND(OFFSET($P580,0,AC$13),15-13*ORÇAMENTO!$AF$7)*OFFSET(ORÇAMENTO!$W$15,ROW(AC580)-ROW(AC$15),0),15-13*ORÇAMENTO!$AF$11)),0)</f>
        <v>0</v>
      </c>
      <c r="AD580" s="545">
        <f ca="1">IF(AND($D580="Serviço",AD$12&lt;&gt;0,$H580&gt;0,OR(AUTOEVENTO&lt;&gt;"manual",$M580&lt;&gt;1)),
IF(Import.TipoArredondamento&lt;&gt;"TransfereGOV",
ROUND(OFFSET($P580,0,AD$13),15-13*ORÇAMENTO!$AF$7)/$H580*OFFSET(ORÇAMENTO!$X$15,ROW(AD580)-ROW(AD$15),0),
ROUND(ROUND(OFFSET($P580,0,AD$13),15-13*ORÇAMENTO!$AF$7)*OFFSET(ORÇAMENTO!$W$15,ROW(AD580)-ROW(AD$15),0),15-13*ORÇAMENTO!$AF$11)),0)</f>
        <v>0</v>
      </c>
      <c r="AE580" s="545">
        <f ca="1">IF(AND($D580="Serviço",AE$12&lt;&gt;0,$H580&gt;0,OR(AUTOEVENTO&lt;&gt;"manual",$M580&lt;&gt;1)),
IF(Import.TipoArredondamento&lt;&gt;"TransfereGOV",
ROUND(OFFSET($P580,0,AE$13),15-13*ORÇAMENTO!$AF$7)/$H580*OFFSET(ORÇAMENTO!$X$15,ROW(AE580)-ROW(AE$15),0),
ROUND(ROUND(OFFSET($P580,0,AE$13),15-13*ORÇAMENTO!$AF$7)*OFFSET(ORÇAMENTO!$W$15,ROW(AE580)-ROW(AE$15),0),15-13*ORÇAMENTO!$AF$11)),0)</f>
        <v>0</v>
      </c>
      <c r="AF580" s="545">
        <f ca="1">IF(AND($D580="Serviço",AF$12&lt;&gt;0,$H580&gt;0,OR(AUTOEVENTO&lt;&gt;"manual",$M580&lt;&gt;1)),
IF(Import.TipoArredondamento&lt;&gt;"TransfereGOV",
ROUND(OFFSET($P580,0,AF$13),15-13*ORÇAMENTO!$AF$7)/$H580*OFFSET(ORÇAMENTO!$X$15,ROW(AF580)-ROW(AF$15),0),
ROUND(ROUND(OFFSET($P580,0,AF$13),15-13*ORÇAMENTO!$AF$7)*OFFSET(ORÇAMENTO!$W$15,ROW(AF580)-ROW(AF$15),0),15-13*ORÇAMENTO!$AF$11)),0)</f>
        <v>0</v>
      </c>
      <c r="AG580" s="545">
        <f ca="1">IF(AND($D580="Serviço",AG$12&lt;&gt;0,$H580&gt;0,OR(AUTOEVENTO&lt;&gt;"manual",$M580&lt;&gt;1)),
IF(Import.TipoArredondamento&lt;&gt;"TransfereGOV",
ROUND(OFFSET($P580,0,AG$13),15-13*ORÇAMENTO!$AF$7)/$H580*OFFSET(ORÇAMENTO!$X$15,ROW(AG580)-ROW(AG$15),0),
ROUND(ROUND(OFFSET($P580,0,AG$13),15-13*ORÇAMENTO!$AF$7)*OFFSET(ORÇAMENTO!$W$15,ROW(AG580)-ROW(AG$15),0),15-13*ORÇAMENTO!$AF$11)),0)</f>
        <v>0</v>
      </c>
      <c r="AH580" s="545">
        <f ca="1">IF(AND($D580="Serviço",AH$12&lt;&gt;0,$H580&gt;0,OR(AUTOEVENTO&lt;&gt;"manual",$M580&lt;&gt;1)),
IF(Import.TipoArredondamento&lt;&gt;"TransfereGOV",
ROUND(OFFSET($P580,0,AH$13),15-13*ORÇAMENTO!$AF$7)/$H580*OFFSET(ORÇAMENTO!$X$15,ROW(AH580)-ROW(AH$15),0),
ROUND(ROUND(OFFSET($P580,0,AH$13),15-13*ORÇAMENTO!$AF$7)*OFFSET(ORÇAMENTO!$W$15,ROW(AH580)-ROW(AH$15),0),15-13*ORÇAMENTO!$AF$11)),0)</f>
        <v>0</v>
      </c>
      <c r="AI580" s="545">
        <f ca="1">IF(AND($D580="Serviço",AI$12&lt;&gt;0,$H580&gt;0,OR(AUTOEVENTO&lt;&gt;"manual",$M580&lt;&gt;1)),
IF(Import.TipoArredondamento&lt;&gt;"TransfereGOV",
ROUND(OFFSET($P580,0,AI$13),15-13*ORÇAMENTO!$AF$7)/$H580*OFFSET(ORÇAMENTO!$X$15,ROW(AI580)-ROW(AI$15),0),
ROUND(ROUND(OFFSET($P580,0,AI$13),15-13*ORÇAMENTO!$AF$7)*OFFSET(ORÇAMENTO!$W$15,ROW(AI580)-ROW(AI$15),0),15-13*ORÇAMENTO!$AF$11)),0)</f>
        <v>0</v>
      </c>
      <c r="AJ580" s="545">
        <f ca="1">IF(AND($D580="Serviço",AJ$12&lt;&gt;0,$H580&gt;0,OR(AUTOEVENTO&lt;&gt;"manual",$M580&lt;&gt;1)),
IF(Import.TipoArredondamento&lt;&gt;"TransfereGOV",
ROUND(OFFSET($P580,0,AJ$13),15-13*ORÇAMENTO!$AF$7)/$H580*OFFSET(ORÇAMENTO!$X$15,ROW(AJ580)-ROW(AJ$15),0),
ROUND(ROUND(OFFSET($P580,0,AJ$13),15-13*ORÇAMENTO!$AF$7)*OFFSET(ORÇAMENTO!$W$15,ROW(AJ580)-ROW(AJ$15),0),15-13*ORÇAMENTO!$AF$11)),0)</f>
        <v>0</v>
      </c>
      <c r="AK580" s="546">
        <f ca="1">IF(AND($D580="Serviço",AK$12&lt;&gt;0,$H580&gt;0,OR(AUTOEVENTO&lt;&gt;"manual",$M580&lt;&gt;1)),
IF(Import.TipoArredondamento&lt;&gt;"TransfereGOV",
ROUND(OFFSET($P580,0,AK$13),15-13*ORÇAMENTO!$AF$7)/$H580*OFFSET(ORÇAMENTO!$X$15,ROW(AK580)-ROW(AK$15),0),
ROUND(ROUND(OFFSET($P580,0,AK$13),15-13*ORÇAMENTO!$AF$7)*OFFSET(ORÇAMENTO!$W$15,ROW(AK580)-ROW(AK$15),0),15-13*ORÇAMENTO!$AF$11)),0)</f>
        <v>0</v>
      </c>
      <c r="AM580" s="181">
        <f ca="1">IF($D580&lt;&gt;"Serviço",0,IF(AND(AUTOEVENTO="Manual",$M580=1),0,IF(OFFSET(CRONOPLE!$F$14,$M580,AM$13)="",10^12,OFFSET(CRONOPLE!$F$14,$M580,AM$13))))</f>
        <v>1000000000000</v>
      </c>
      <c r="AN580" s="181">
        <f ca="1">IF($D580&lt;&gt;"Serviço",0,IF(AND(AUTOEVENTO="Manual",$M580=1),0,IF(OFFSET(CRONOPLE!$F$14,$M580,AN$13)="",10^12,OFFSET(CRONOPLE!$F$14,$M580,AN$13))))</f>
        <v>1000000000000</v>
      </c>
      <c r="AO580" s="181">
        <f ca="1">IF($D580&lt;&gt;"Serviço",0,IF(AND(AUTOEVENTO="Manual",$M580=1),0,IF(OFFSET(CRONOPLE!$F$14,$M580,AO$13)="",10^12,OFFSET(CRONOPLE!$F$14,$M580,AO$13))))</f>
        <v>1000000000000</v>
      </c>
      <c r="AP580" s="181">
        <f ca="1">IF($D580&lt;&gt;"Serviço",0,IF(AND(AUTOEVENTO="Manual",$M580=1),0,IF(OFFSET(CRONOPLE!$F$14,$M580,AP$13)="",10^12,OFFSET(CRONOPLE!$F$14,$M580,AP$13))))</f>
        <v>1000000000000</v>
      </c>
      <c r="AQ580" s="181">
        <f ca="1">IF($D580&lt;&gt;"Serviço",0,IF(AND(AUTOEVENTO="Manual",$M580=1),0,IF(OFFSET(CRONOPLE!$F$14,$M580,AQ$13)="",10^12,OFFSET(CRONOPLE!$F$14,$M580,AQ$13))))</f>
        <v>1000000000000</v>
      </c>
      <c r="AR580" s="181">
        <f ca="1">IF($D580&lt;&gt;"Serviço",0,IF(AND(AUTOEVENTO="Manual",$M580=1),0,IF(OFFSET(CRONOPLE!$F$14,$M580,AR$13)="",10^12,OFFSET(CRONOPLE!$F$14,$M580,AR$13))))</f>
        <v>1000000000000</v>
      </c>
      <c r="AS580" s="181">
        <f ca="1">IF($D580&lt;&gt;"Serviço",0,IF(AND(AUTOEVENTO="Manual",$M580=1),0,IF(OFFSET(CRONOPLE!$F$14,$M580,AS$13)="",10^12,OFFSET(CRONOPLE!$F$14,$M580,AS$13))))</f>
        <v>1000000000000</v>
      </c>
      <c r="AT580" s="181">
        <f ca="1">IF($D580&lt;&gt;"Serviço",0,IF(AND(AUTOEVENTO="Manual",$M580=1),0,IF(OFFSET(CRONOPLE!$F$14,$M580,AT$13)="",10^12,OFFSET(CRONOPLE!$F$14,$M580,AT$13))))</f>
        <v>1000000000000</v>
      </c>
      <c r="AU580" s="181">
        <f ca="1">IF($D580&lt;&gt;"Serviço",0,IF(AND(AUTOEVENTO="Manual",$M580=1),0,IF(OFFSET(CRONOPLE!$F$14,$M580,AU$13)="",10^12,OFFSET(CRONOPLE!$F$14,$M580,AU$13))))</f>
        <v>1000000000000</v>
      </c>
      <c r="AV580" s="181">
        <f ca="1">IF($D580&lt;&gt;"Serviço",0,IF(AND(AUTOEVENTO="Manual",$M580=1),0,IF(OFFSET(CRONOPLE!$F$14,$M580,AV$13)="",10^12,OFFSET(CRONOPLE!$F$14,$M580,AV$13))))</f>
        <v>1000000000000</v>
      </c>
      <c r="AX580" s="182">
        <f ca="1">IF($D580&lt;&gt;"Serviço",0,IF(OR(AND(AUTOEVENTO="Manual",$M580=1),$M580&gt;(ROW(PLE.lastrow)-ROW(PLE.firstrow))),0,IF(OFFSET(PLE!$G$14,$M580,AX$13)="",10^12,OFFSET(PLE!$G$14,$M580,AX$13))))</f>
        <v>1000000000000</v>
      </c>
      <c r="AY580" s="182">
        <f ca="1">IF($D580&lt;&gt;"Serviço",0,IF(OR(AND(AUTOEVENTO="Manual",$M580=1),$M580&gt;(ROW(PLE.lastrow)-ROW(PLE.firstrow))),0,IF(OFFSET(PLE!$G$14,$M580,AY$13)="",10^12,OFFSET(PLE!$G$14,$M580,AY$13))))</f>
        <v>1000000000000</v>
      </c>
      <c r="AZ580" s="182">
        <f ca="1">IF($D580&lt;&gt;"Serviço",0,IF(OR(AND(AUTOEVENTO="Manual",$M580=1),$M580&gt;(ROW(PLE.lastrow)-ROW(PLE.firstrow))),0,IF(OFFSET(PLE!$G$14,$M580,AZ$13)="",10^12,OFFSET(PLE!$G$14,$M580,AZ$13))))</f>
        <v>1000000000000</v>
      </c>
      <c r="BA580" s="182">
        <f ca="1">IF($D580&lt;&gt;"Serviço",0,IF(OR(AND(AUTOEVENTO="Manual",$M580=1),$M580&gt;(ROW(PLE.lastrow)-ROW(PLE.firstrow))),0,IF(OFFSET(PLE!$G$14,$M580,BA$13)="",10^12,OFFSET(PLE!$G$14,$M580,BA$13))))</f>
        <v>1000000000000</v>
      </c>
      <c r="BB580" s="182">
        <f ca="1">IF($D580&lt;&gt;"Serviço",0,IF(OR(AND(AUTOEVENTO="Manual",$M580=1),$M580&gt;(ROW(PLE.lastrow)-ROW(PLE.firstrow))),0,IF(OFFSET(PLE!$G$14,$M580,BB$13)="",10^12,OFFSET(PLE!$G$14,$M580,BB$13))))</f>
        <v>1000000000000</v>
      </c>
      <c r="BC580" s="182">
        <f ca="1">IF($D580&lt;&gt;"Serviço",0,IF(OR(AND(AUTOEVENTO="Manual",$M580=1),$M580&gt;(ROW(PLE.lastrow)-ROW(PLE.firstrow))),0,IF(OFFSET(PLE!$G$14,$M580,BC$13)="",10^12,OFFSET(PLE!$G$14,$M580,BC$13))))</f>
        <v>1000000000000</v>
      </c>
      <c r="BD580" s="182">
        <f ca="1">IF($D580&lt;&gt;"Serviço",0,IF(OR(AND(AUTOEVENTO="Manual",$M580=1),$M580&gt;(ROW(PLE.lastrow)-ROW(PLE.firstrow))),0,IF(OFFSET(PLE!$G$14,$M580,BD$13)="",10^12,OFFSET(PLE!$G$14,$M580,BD$13))))</f>
        <v>1000000000000</v>
      </c>
      <c r="BE580" s="182">
        <f ca="1">IF($D580&lt;&gt;"Serviço",0,IF(OR(AND(AUTOEVENTO="Manual",$M580=1),$M580&gt;(ROW(PLE.lastrow)-ROW(PLE.firstrow))),0,IF(OFFSET(PLE!$G$14,$M580,BE$13)="",10^12,OFFSET(PLE!$G$14,$M580,BE$13))))</f>
        <v>1000000000000</v>
      </c>
      <c r="BF580" s="182">
        <f ca="1">IF($D580&lt;&gt;"Serviço",0,IF(OR(AND(AUTOEVENTO="Manual",$M580=1),$M580&gt;(ROW(PLE.lastrow)-ROW(PLE.firstrow))),0,IF(OFFSET(PLE!$G$14,$M580,BF$13)="",10^12,OFFSET(PLE!$G$14,$M580,BF$13))))</f>
        <v>1000000000000</v>
      </c>
      <c r="BG580" s="182">
        <f ca="1">IF($D580&lt;&gt;"Serviço",0,IF(OR(AND(AUTOEVENTO="Manual",$M580=1),$M580&gt;(ROW(PLE.lastrow)-ROW(PLE.firstrow))),0,IF(OFFSET(PLE!$G$14,$M580,BG$13)="",10^12,OFFSET(PLE!$G$14,$M580,BG$13))))</f>
        <v>1000000000000</v>
      </c>
    </row>
    <row r="581" spans="1:59" ht="25.5" x14ac:dyDescent="0.2">
      <c r="A581" s="7" t="str">
        <f t="shared" ca="1" si="15"/>
        <v>472</v>
      </c>
      <c r="B581" s="7" t="str">
        <f ca="1">OFFSET(ORÇAMENTO!C$15,ROW(B581)-ROW(B$15),0)</f>
        <v>S</v>
      </c>
      <c r="C581" s="7" t="str">
        <f ca="1">OFFSET(ORÇAMENTO!L$15,ROW(C581)-ROW(C$15),0)</f>
        <v/>
      </c>
      <c r="D581" s="118" t="str">
        <f ca="1">OFFSET(ORÇAMENTO!N$15,ROW(D581)-ROW(D$15),0)</f>
        <v>Serviço</v>
      </c>
      <c r="E581" s="119" t="str">
        <f ca="1">OFFSET(ORÇAMENTO!O$15,ROW(E581)-ROW(E$15),0)</f>
        <v>-</v>
      </c>
      <c r="F581" s="172" t="str">
        <f ca="1">OFFSET(ORÇAMENTO!R$15,ROW(F581)-ROW(F$15),0)</f>
        <v>(abra o arquivo 'Referência 02-2025.xlsm)</v>
      </c>
      <c r="G581" s="173" t="str">
        <f ca="1">IF($D581&lt;&gt;"Serviço","",OFFSET(ORÇAMENTO!S$15,ROW(G581)-ROW(G$15),0))</f>
        <v>-</v>
      </c>
      <c r="H581" s="124">
        <f ca="1">IF($D581&lt;&gt;"Serviço",0,IF(ACOMPANHAMENTO="BM",ROUND(OFFSET(ORÇAMENTO!AJ$15,ROW(H581)-ROW(H$15),0),15-13*ORÇAMENTO!$AF$7),SUMPRODUCT(($Q$12:$AA$12&lt;&gt;"")*ROUND($Q581:$AA581,15-13*ORÇAMENTO!$AF$7))))</f>
        <v>1</v>
      </c>
      <c r="I581" s="561" t="s">
        <v>890</v>
      </c>
      <c r="K581" s="174"/>
      <c r="L581" s="175" t="s">
        <v>255</v>
      </c>
      <c r="M581" s="176">
        <f ca="1">IF($D581&lt;&gt;"Serviço","",IF(AUTOEVENTO="manual",$A581,IF(ISERROR(MATCH($A581,$A$15:OFFSET($A581,-1,0),0)),MAX($M$15:OFFSET(M581,-1,0))+1,INDEX($M$15:OFFSET(M581,-1,0),MATCH($A581,$A$15:OFFSET($A581,-1,0),0)))))</f>
        <v>18</v>
      </c>
      <c r="N581" s="177" t="str">
        <f ca="1">IF($D581&lt;&gt;"Serviço","",IF(AUTOEVENTO="Manual",IF($A581=0,"&lt;-- defina o número do agrupador",OFFSET(EVENTOS!$D$14,$A581,0)),OFFSET($F$15,$A581,0)))</f>
        <v>INSTALAÇÕES ELÉTRICAS - 220V</v>
      </c>
      <c r="O581" s="178"/>
      <c r="Q581" s="178"/>
      <c r="R581" s="179"/>
      <c r="S581" s="179"/>
      <c r="T581" s="179"/>
      <c r="U581" s="179"/>
      <c r="V581" s="179"/>
      <c r="W581" s="179"/>
      <c r="X581" s="179"/>
      <c r="Y581" s="179"/>
      <c r="Z581" s="180"/>
      <c r="AB581" s="544">
        <f ca="1">IF(AND($D581="Serviço",AB$12&lt;&gt;0,$H581&gt;0,OR(AUTOEVENTO&lt;&gt;"manual",$M581&lt;&gt;1)),
IF(Import.TipoArredondamento&lt;&gt;"TransfereGOV",
ROUND(OFFSET($P581,0,AB$13),15-13*ORÇAMENTO!$AF$7)/$H581*OFFSET(ORÇAMENTO!$X$15,ROW(AB581)-ROW(AB$15),0),
ROUND(ROUND(OFFSET($P581,0,AB$13),15-13*ORÇAMENTO!$AF$7)*OFFSET(ORÇAMENTO!$W$15,ROW(AB581)-ROW(AB$15),0),15-13*ORÇAMENTO!$AF$11)),0)</f>
        <v>0</v>
      </c>
      <c r="AC581" s="545">
        <f ca="1">IF(AND($D581="Serviço",AC$12&lt;&gt;0,$H581&gt;0,OR(AUTOEVENTO&lt;&gt;"manual",$M581&lt;&gt;1)),
IF(Import.TipoArredondamento&lt;&gt;"TransfereGOV",
ROUND(OFFSET($P581,0,AC$13),15-13*ORÇAMENTO!$AF$7)/$H581*OFFSET(ORÇAMENTO!$X$15,ROW(AC581)-ROW(AC$15),0),
ROUND(ROUND(OFFSET($P581,0,AC$13),15-13*ORÇAMENTO!$AF$7)*OFFSET(ORÇAMENTO!$W$15,ROW(AC581)-ROW(AC$15),0),15-13*ORÇAMENTO!$AF$11)),0)</f>
        <v>0</v>
      </c>
      <c r="AD581" s="545">
        <f ca="1">IF(AND($D581="Serviço",AD$12&lt;&gt;0,$H581&gt;0,OR(AUTOEVENTO&lt;&gt;"manual",$M581&lt;&gt;1)),
IF(Import.TipoArredondamento&lt;&gt;"TransfereGOV",
ROUND(OFFSET($P581,0,AD$13),15-13*ORÇAMENTO!$AF$7)/$H581*OFFSET(ORÇAMENTO!$X$15,ROW(AD581)-ROW(AD$15),0),
ROUND(ROUND(OFFSET($P581,0,AD$13),15-13*ORÇAMENTO!$AF$7)*OFFSET(ORÇAMENTO!$W$15,ROW(AD581)-ROW(AD$15),0),15-13*ORÇAMENTO!$AF$11)),0)</f>
        <v>0</v>
      </c>
      <c r="AE581" s="545">
        <f ca="1">IF(AND($D581="Serviço",AE$12&lt;&gt;0,$H581&gt;0,OR(AUTOEVENTO&lt;&gt;"manual",$M581&lt;&gt;1)),
IF(Import.TipoArredondamento&lt;&gt;"TransfereGOV",
ROUND(OFFSET($P581,0,AE$13),15-13*ORÇAMENTO!$AF$7)/$H581*OFFSET(ORÇAMENTO!$X$15,ROW(AE581)-ROW(AE$15),0),
ROUND(ROUND(OFFSET($P581,0,AE$13),15-13*ORÇAMENTO!$AF$7)*OFFSET(ORÇAMENTO!$W$15,ROW(AE581)-ROW(AE$15),0),15-13*ORÇAMENTO!$AF$11)),0)</f>
        <v>0</v>
      </c>
      <c r="AF581" s="545">
        <f ca="1">IF(AND($D581="Serviço",AF$12&lt;&gt;0,$H581&gt;0,OR(AUTOEVENTO&lt;&gt;"manual",$M581&lt;&gt;1)),
IF(Import.TipoArredondamento&lt;&gt;"TransfereGOV",
ROUND(OFFSET($P581,0,AF$13),15-13*ORÇAMENTO!$AF$7)/$H581*OFFSET(ORÇAMENTO!$X$15,ROW(AF581)-ROW(AF$15),0),
ROUND(ROUND(OFFSET($P581,0,AF$13),15-13*ORÇAMENTO!$AF$7)*OFFSET(ORÇAMENTO!$W$15,ROW(AF581)-ROW(AF$15),0),15-13*ORÇAMENTO!$AF$11)),0)</f>
        <v>0</v>
      </c>
      <c r="AG581" s="545">
        <f ca="1">IF(AND($D581="Serviço",AG$12&lt;&gt;0,$H581&gt;0,OR(AUTOEVENTO&lt;&gt;"manual",$M581&lt;&gt;1)),
IF(Import.TipoArredondamento&lt;&gt;"TransfereGOV",
ROUND(OFFSET($P581,0,AG$13),15-13*ORÇAMENTO!$AF$7)/$H581*OFFSET(ORÇAMENTO!$X$15,ROW(AG581)-ROW(AG$15),0),
ROUND(ROUND(OFFSET($P581,0,AG$13),15-13*ORÇAMENTO!$AF$7)*OFFSET(ORÇAMENTO!$W$15,ROW(AG581)-ROW(AG$15),0),15-13*ORÇAMENTO!$AF$11)),0)</f>
        <v>0</v>
      </c>
      <c r="AH581" s="545">
        <f ca="1">IF(AND($D581="Serviço",AH$12&lt;&gt;0,$H581&gt;0,OR(AUTOEVENTO&lt;&gt;"manual",$M581&lt;&gt;1)),
IF(Import.TipoArredondamento&lt;&gt;"TransfereGOV",
ROUND(OFFSET($P581,0,AH$13),15-13*ORÇAMENTO!$AF$7)/$H581*OFFSET(ORÇAMENTO!$X$15,ROW(AH581)-ROW(AH$15),0),
ROUND(ROUND(OFFSET($P581,0,AH$13),15-13*ORÇAMENTO!$AF$7)*OFFSET(ORÇAMENTO!$W$15,ROW(AH581)-ROW(AH$15),0),15-13*ORÇAMENTO!$AF$11)),0)</f>
        <v>0</v>
      </c>
      <c r="AI581" s="545">
        <f ca="1">IF(AND($D581="Serviço",AI$12&lt;&gt;0,$H581&gt;0,OR(AUTOEVENTO&lt;&gt;"manual",$M581&lt;&gt;1)),
IF(Import.TipoArredondamento&lt;&gt;"TransfereGOV",
ROUND(OFFSET($P581,0,AI$13),15-13*ORÇAMENTO!$AF$7)/$H581*OFFSET(ORÇAMENTO!$X$15,ROW(AI581)-ROW(AI$15),0),
ROUND(ROUND(OFFSET($P581,0,AI$13),15-13*ORÇAMENTO!$AF$7)*OFFSET(ORÇAMENTO!$W$15,ROW(AI581)-ROW(AI$15),0),15-13*ORÇAMENTO!$AF$11)),0)</f>
        <v>0</v>
      </c>
      <c r="AJ581" s="545">
        <f ca="1">IF(AND($D581="Serviço",AJ$12&lt;&gt;0,$H581&gt;0,OR(AUTOEVENTO&lt;&gt;"manual",$M581&lt;&gt;1)),
IF(Import.TipoArredondamento&lt;&gt;"TransfereGOV",
ROUND(OFFSET($P581,0,AJ$13),15-13*ORÇAMENTO!$AF$7)/$H581*OFFSET(ORÇAMENTO!$X$15,ROW(AJ581)-ROW(AJ$15),0),
ROUND(ROUND(OFFSET($P581,0,AJ$13),15-13*ORÇAMENTO!$AF$7)*OFFSET(ORÇAMENTO!$W$15,ROW(AJ581)-ROW(AJ$15),0),15-13*ORÇAMENTO!$AF$11)),0)</f>
        <v>0</v>
      </c>
      <c r="AK581" s="546">
        <f ca="1">IF(AND($D581="Serviço",AK$12&lt;&gt;0,$H581&gt;0,OR(AUTOEVENTO&lt;&gt;"manual",$M581&lt;&gt;1)),
IF(Import.TipoArredondamento&lt;&gt;"TransfereGOV",
ROUND(OFFSET($P581,0,AK$13),15-13*ORÇAMENTO!$AF$7)/$H581*OFFSET(ORÇAMENTO!$X$15,ROW(AK581)-ROW(AK$15),0),
ROUND(ROUND(OFFSET($P581,0,AK$13),15-13*ORÇAMENTO!$AF$7)*OFFSET(ORÇAMENTO!$W$15,ROW(AK581)-ROW(AK$15),0),15-13*ORÇAMENTO!$AF$11)),0)</f>
        <v>0</v>
      </c>
      <c r="AM581" s="181">
        <f ca="1">IF($D581&lt;&gt;"Serviço",0,IF(AND(AUTOEVENTO="Manual",$M581=1),0,IF(OFFSET(CRONOPLE!$F$14,$M581,AM$13)="",10^12,OFFSET(CRONOPLE!$F$14,$M581,AM$13))))</f>
        <v>1000000000000</v>
      </c>
      <c r="AN581" s="181">
        <f ca="1">IF($D581&lt;&gt;"Serviço",0,IF(AND(AUTOEVENTO="Manual",$M581=1),0,IF(OFFSET(CRONOPLE!$F$14,$M581,AN$13)="",10^12,OFFSET(CRONOPLE!$F$14,$M581,AN$13))))</f>
        <v>1000000000000</v>
      </c>
      <c r="AO581" s="181">
        <f ca="1">IF($D581&lt;&gt;"Serviço",0,IF(AND(AUTOEVENTO="Manual",$M581=1),0,IF(OFFSET(CRONOPLE!$F$14,$M581,AO$13)="",10^12,OFFSET(CRONOPLE!$F$14,$M581,AO$13))))</f>
        <v>1000000000000</v>
      </c>
      <c r="AP581" s="181">
        <f ca="1">IF($D581&lt;&gt;"Serviço",0,IF(AND(AUTOEVENTO="Manual",$M581=1),0,IF(OFFSET(CRONOPLE!$F$14,$M581,AP$13)="",10^12,OFFSET(CRONOPLE!$F$14,$M581,AP$13))))</f>
        <v>1000000000000</v>
      </c>
      <c r="AQ581" s="181">
        <f ca="1">IF($D581&lt;&gt;"Serviço",0,IF(AND(AUTOEVENTO="Manual",$M581=1),0,IF(OFFSET(CRONOPLE!$F$14,$M581,AQ$13)="",10^12,OFFSET(CRONOPLE!$F$14,$M581,AQ$13))))</f>
        <v>1000000000000</v>
      </c>
      <c r="AR581" s="181">
        <f ca="1">IF($D581&lt;&gt;"Serviço",0,IF(AND(AUTOEVENTO="Manual",$M581=1),0,IF(OFFSET(CRONOPLE!$F$14,$M581,AR$13)="",10^12,OFFSET(CRONOPLE!$F$14,$M581,AR$13))))</f>
        <v>1000000000000</v>
      </c>
      <c r="AS581" s="181">
        <f ca="1">IF($D581&lt;&gt;"Serviço",0,IF(AND(AUTOEVENTO="Manual",$M581=1),0,IF(OFFSET(CRONOPLE!$F$14,$M581,AS$13)="",10^12,OFFSET(CRONOPLE!$F$14,$M581,AS$13))))</f>
        <v>1000000000000</v>
      </c>
      <c r="AT581" s="181">
        <f ca="1">IF($D581&lt;&gt;"Serviço",0,IF(AND(AUTOEVENTO="Manual",$M581=1),0,IF(OFFSET(CRONOPLE!$F$14,$M581,AT$13)="",10^12,OFFSET(CRONOPLE!$F$14,$M581,AT$13))))</f>
        <v>1000000000000</v>
      </c>
      <c r="AU581" s="181">
        <f ca="1">IF($D581&lt;&gt;"Serviço",0,IF(AND(AUTOEVENTO="Manual",$M581=1),0,IF(OFFSET(CRONOPLE!$F$14,$M581,AU$13)="",10^12,OFFSET(CRONOPLE!$F$14,$M581,AU$13))))</f>
        <v>1000000000000</v>
      </c>
      <c r="AV581" s="181">
        <f ca="1">IF($D581&lt;&gt;"Serviço",0,IF(AND(AUTOEVENTO="Manual",$M581=1),0,IF(OFFSET(CRONOPLE!$F$14,$M581,AV$13)="",10^12,OFFSET(CRONOPLE!$F$14,$M581,AV$13))))</f>
        <v>1000000000000</v>
      </c>
      <c r="AX581" s="182">
        <f ca="1">IF($D581&lt;&gt;"Serviço",0,IF(OR(AND(AUTOEVENTO="Manual",$M581=1),$M581&gt;(ROW(PLE.lastrow)-ROW(PLE.firstrow))),0,IF(OFFSET(PLE!$G$14,$M581,AX$13)="",10^12,OFFSET(PLE!$G$14,$M581,AX$13))))</f>
        <v>1000000000000</v>
      </c>
      <c r="AY581" s="182">
        <f ca="1">IF($D581&lt;&gt;"Serviço",0,IF(OR(AND(AUTOEVENTO="Manual",$M581=1),$M581&gt;(ROW(PLE.lastrow)-ROW(PLE.firstrow))),0,IF(OFFSET(PLE!$G$14,$M581,AY$13)="",10^12,OFFSET(PLE!$G$14,$M581,AY$13))))</f>
        <v>1000000000000</v>
      </c>
      <c r="AZ581" s="182">
        <f ca="1">IF($D581&lt;&gt;"Serviço",0,IF(OR(AND(AUTOEVENTO="Manual",$M581=1),$M581&gt;(ROW(PLE.lastrow)-ROW(PLE.firstrow))),0,IF(OFFSET(PLE!$G$14,$M581,AZ$13)="",10^12,OFFSET(PLE!$G$14,$M581,AZ$13))))</f>
        <v>1000000000000</v>
      </c>
      <c r="BA581" s="182">
        <f ca="1">IF($D581&lt;&gt;"Serviço",0,IF(OR(AND(AUTOEVENTO="Manual",$M581=1),$M581&gt;(ROW(PLE.lastrow)-ROW(PLE.firstrow))),0,IF(OFFSET(PLE!$G$14,$M581,BA$13)="",10^12,OFFSET(PLE!$G$14,$M581,BA$13))))</f>
        <v>1000000000000</v>
      </c>
      <c r="BB581" s="182">
        <f ca="1">IF($D581&lt;&gt;"Serviço",0,IF(OR(AND(AUTOEVENTO="Manual",$M581=1),$M581&gt;(ROW(PLE.lastrow)-ROW(PLE.firstrow))),0,IF(OFFSET(PLE!$G$14,$M581,BB$13)="",10^12,OFFSET(PLE!$G$14,$M581,BB$13))))</f>
        <v>1000000000000</v>
      </c>
      <c r="BC581" s="182">
        <f ca="1">IF($D581&lt;&gt;"Serviço",0,IF(OR(AND(AUTOEVENTO="Manual",$M581=1),$M581&gt;(ROW(PLE.lastrow)-ROW(PLE.firstrow))),0,IF(OFFSET(PLE!$G$14,$M581,BC$13)="",10^12,OFFSET(PLE!$G$14,$M581,BC$13))))</f>
        <v>1000000000000</v>
      </c>
      <c r="BD581" s="182">
        <f ca="1">IF($D581&lt;&gt;"Serviço",0,IF(OR(AND(AUTOEVENTO="Manual",$M581=1),$M581&gt;(ROW(PLE.lastrow)-ROW(PLE.firstrow))),0,IF(OFFSET(PLE!$G$14,$M581,BD$13)="",10^12,OFFSET(PLE!$G$14,$M581,BD$13))))</f>
        <v>1000000000000</v>
      </c>
      <c r="BE581" s="182">
        <f ca="1">IF($D581&lt;&gt;"Serviço",0,IF(OR(AND(AUTOEVENTO="Manual",$M581=1),$M581&gt;(ROW(PLE.lastrow)-ROW(PLE.firstrow))),0,IF(OFFSET(PLE!$G$14,$M581,BE$13)="",10^12,OFFSET(PLE!$G$14,$M581,BE$13))))</f>
        <v>1000000000000</v>
      </c>
      <c r="BF581" s="182">
        <f ca="1">IF($D581&lt;&gt;"Serviço",0,IF(OR(AND(AUTOEVENTO="Manual",$M581=1),$M581&gt;(ROW(PLE.lastrow)-ROW(PLE.firstrow))),0,IF(OFFSET(PLE!$G$14,$M581,BF$13)="",10^12,OFFSET(PLE!$G$14,$M581,BF$13))))</f>
        <v>1000000000000</v>
      </c>
      <c r="BG581" s="182">
        <f ca="1">IF($D581&lt;&gt;"Serviço",0,IF(OR(AND(AUTOEVENTO="Manual",$M581=1),$M581&gt;(ROW(PLE.lastrow)-ROW(PLE.firstrow))),0,IF(OFFSET(PLE!$G$14,$M581,BG$13)="",10^12,OFFSET(PLE!$G$14,$M581,BG$13))))</f>
        <v>1000000000000</v>
      </c>
    </row>
    <row r="582" spans="1:59" ht="25.5" x14ac:dyDescent="0.2">
      <c r="A582" s="7" t="str">
        <f t="shared" ca="1" si="15"/>
        <v>472</v>
      </c>
      <c r="B582" s="7" t="str">
        <f ca="1">OFFSET(ORÇAMENTO!C$15,ROW(B582)-ROW(B$15),0)</f>
        <v>S</v>
      </c>
      <c r="C582" s="7" t="str">
        <f ca="1">OFFSET(ORÇAMENTO!L$15,ROW(C582)-ROW(C$15),0)</f>
        <v/>
      </c>
      <c r="D582" s="118" t="str">
        <f ca="1">OFFSET(ORÇAMENTO!N$15,ROW(D582)-ROW(D$15),0)</f>
        <v>Serviço</v>
      </c>
      <c r="E582" s="119" t="str">
        <f ca="1">OFFSET(ORÇAMENTO!O$15,ROW(E582)-ROW(E$15),0)</f>
        <v>-</v>
      </c>
      <c r="F582" s="172" t="str">
        <f ca="1">OFFSET(ORÇAMENTO!R$15,ROW(F582)-ROW(F$15),0)</f>
        <v>(abra o arquivo 'Referência 02-2025.xlsm)</v>
      </c>
      <c r="G582" s="173" t="str">
        <f ca="1">IF($D582&lt;&gt;"Serviço","",OFFSET(ORÇAMENTO!S$15,ROW(G582)-ROW(G$15),0))</f>
        <v>-</v>
      </c>
      <c r="H582" s="124">
        <f ca="1">IF($D582&lt;&gt;"Serviço",0,IF(ACOMPANHAMENTO="BM",ROUND(OFFSET(ORÇAMENTO!AJ$15,ROW(H582)-ROW(H$15),0),15-13*ORÇAMENTO!$AF$7),SUMPRODUCT(($Q$12:$AA$12&lt;&gt;"")*ROUND($Q582:$AA582,15-13*ORÇAMENTO!$AF$7))))</f>
        <v>4</v>
      </c>
      <c r="I582" s="561" t="s">
        <v>890</v>
      </c>
      <c r="K582" s="174"/>
      <c r="L582" s="175" t="s">
        <v>255</v>
      </c>
      <c r="M582" s="176">
        <f ca="1">IF($D582&lt;&gt;"Serviço","",IF(AUTOEVENTO="manual",$A582,IF(ISERROR(MATCH($A582,$A$15:OFFSET($A582,-1,0),0)),MAX($M$15:OFFSET(M582,-1,0))+1,INDEX($M$15:OFFSET(M582,-1,0),MATCH($A582,$A$15:OFFSET($A582,-1,0),0)))))</f>
        <v>18</v>
      </c>
      <c r="N582" s="177" t="str">
        <f ca="1">IF($D582&lt;&gt;"Serviço","",IF(AUTOEVENTO="Manual",IF($A582=0,"&lt;-- defina o número do agrupador",OFFSET(EVENTOS!$D$14,$A582,0)),OFFSET($F$15,$A582,0)))</f>
        <v>INSTALAÇÕES ELÉTRICAS - 220V</v>
      </c>
      <c r="O582" s="178"/>
      <c r="Q582" s="178"/>
      <c r="R582" s="179"/>
      <c r="S582" s="179"/>
      <c r="T582" s="179"/>
      <c r="U582" s="179"/>
      <c r="V582" s="179"/>
      <c r="W582" s="179"/>
      <c r="X582" s="179"/>
      <c r="Y582" s="179"/>
      <c r="Z582" s="180"/>
      <c r="AB582" s="544">
        <f ca="1">IF(AND($D582="Serviço",AB$12&lt;&gt;0,$H582&gt;0,OR(AUTOEVENTO&lt;&gt;"manual",$M582&lt;&gt;1)),
IF(Import.TipoArredondamento&lt;&gt;"TransfereGOV",
ROUND(OFFSET($P582,0,AB$13),15-13*ORÇAMENTO!$AF$7)/$H582*OFFSET(ORÇAMENTO!$X$15,ROW(AB582)-ROW(AB$15),0),
ROUND(ROUND(OFFSET($P582,0,AB$13),15-13*ORÇAMENTO!$AF$7)*OFFSET(ORÇAMENTO!$W$15,ROW(AB582)-ROW(AB$15),0),15-13*ORÇAMENTO!$AF$11)),0)</f>
        <v>0</v>
      </c>
      <c r="AC582" s="545">
        <f ca="1">IF(AND($D582="Serviço",AC$12&lt;&gt;0,$H582&gt;0,OR(AUTOEVENTO&lt;&gt;"manual",$M582&lt;&gt;1)),
IF(Import.TipoArredondamento&lt;&gt;"TransfereGOV",
ROUND(OFFSET($P582,0,AC$13),15-13*ORÇAMENTO!$AF$7)/$H582*OFFSET(ORÇAMENTO!$X$15,ROW(AC582)-ROW(AC$15),0),
ROUND(ROUND(OFFSET($P582,0,AC$13),15-13*ORÇAMENTO!$AF$7)*OFFSET(ORÇAMENTO!$W$15,ROW(AC582)-ROW(AC$15),0),15-13*ORÇAMENTO!$AF$11)),0)</f>
        <v>0</v>
      </c>
      <c r="AD582" s="545">
        <f ca="1">IF(AND($D582="Serviço",AD$12&lt;&gt;0,$H582&gt;0,OR(AUTOEVENTO&lt;&gt;"manual",$M582&lt;&gt;1)),
IF(Import.TipoArredondamento&lt;&gt;"TransfereGOV",
ROUND(OFFSET($P582,0,AD$13),15-13*ORÇAMENTO!$AF$7)/$H582*OFFSET(ORÇAMENTO!$X$15,ROW(AD582)-ROW(AD$15),0),
ROUND(ROUND(OFFSET($P582,0,AD$13),15-13*ORÇAMENTO!$AF$7)*OFFSET(ORÇAMENTO!$W$15,ROW(AD582)-ROW(AD$15),0),15-13*ORÇAMENTO!$AF$11)),0)</f>
        <v>0</v>
      </c>
      <c r="AE582" s="545">
        <f ca="1">IF(AND($D582="Serviço",AE$12&lt;&gt;0,$H582&gt;0,OR(AUTOEVENTO&lt;&gt;"manual",$M582&lt;&gt;1)),
IF(Import.TipoArredondamento&lt;&gt;"TransfereGOV",
ROUND(OFFSET($P582,0,AE$13),15-13*ORÇAMENTO!$AF$7)/$H582*OFFSET(ORÇAMENTO!$X$15,ROW(AE582)-ROW(AE$15),0),
ROUND(ROUND(OFFSET($P582,0,AE$13),15-13*ORÇAMENTO!$AF$7)*OFFSET(ORÇAMENTO!$W$15,ROW(AE582)-ROW(AE$15),0),15-13*ORÇAMENTO!$AF$11)),0)</f>
        <v>0</v>
      </c>
      <c r="AF582" s="545">
        <f ca="1">IF(AND($D582="Serviço",AF$12&lt;&gt;0,$H582&gt;0,OR(AUTOEVENTO&lt;&gt;"manual",$M582&lt;&gt;1)),
IF(Import.TipoArredondamento&lt;&gt;"TransfereGOV",
ROUND(OFFSET($P582,0,AF$13),15-13*ORÇAMENTO!$AF$7)/$H582*OFFSET(ORÇAMENTO!$X$15,ROW(AF582)-ROW(AF$15),0),
ROUND(ROUND(OFFSET($P582,0,AF$13),15-13*ORÇAMENTO!$AF$7)*OFFSET(ORÇAMENTO!$W$15,ROW(AF582)-ROW(AF$15),0),15-13*ORÇAMENTO!$AF$11)),0)</f>
        <v>0</v>
      </c>
      <c r="AG582" s="545">
        <f ca="1">IF(AND($D582="Serviço",AG$12&lt;&gt;0,$H582&gt;0,OR(AUTOEVENTO&lt;&gt;"manual",$M582&lt;&gt;1)),
IF(Import.TipoArredondamento&lt;&gt;"TransfereGOV",
ROUND(OFFSET($P582,0,AG$13),15-13*ORÇAMENTO!$AF$7)/$H582*OFFSET(ORÇAMENTO!$X$15,ROW(AG582)-ROW(AG$15),0),
ROUND(ROUND(OFFSET($P582,0,AG$13),15-13*ORÇAMENTO!$AF$7)*OFFSET(ORÇAMENTO!$W$15,ROW(AG582)-ROW(AG$15),0),15-13*ORÇAMENTO!$AF$11)),0)</f>
        <v>0</v>
      </c>
      <c r="AH582" s="545">
        <f ca="1">IF(AND($D582="Serviço",AH$12&lt;&gt;0,$H582&gt;0,OR(AUTOEVENTO&lt;&gt;"manual",$M582&lt;&gt;1)),
IF(Import.TipoArredondamento&lt;&gt;"TransfereGOV",
ROUND(OFFSET($P582,0,AH$13),15-13*ORÇAMENTO!$AF$7)/$H582*OFFSET(ORÇAMENTO!$X$15,ROW(AH582)-ROW(AH$15),0),
ROUND(ROUND(OFFSET($P582,0,AH$13),15-13*ORÇAMENTO!$AF$7)*OFFSET(ORÇAMENTO!$W$15,ROW(AH582)-ROW(AH$15),0),15-13*ORÇAMENTO!$AF$11)),0)</f>
        <v>0</v>
      </c>
      <c r="AI582" s="545">
        <f ca="1">IF(AND($D582="Serviço",AI$12&lt;&gt;0,$H582&gt;0,OR(AUTOEVENTO&lt;&gt;"manual",$M582&lt;&gt;1)),
IF(Import.TipoArredondamento&lt;&gt;"TransfereGOV",
ROUND(OFFSET($P582,0,AI$13),15-13*ORÇAMENTO!$AF$7)/$H582*OFFSET(ORÇAMENTO!$X$15,ROW(AI582)-ROW(AI$15),0),
ROUND(ROUND(OFFSET($P582,0,AI$13),15-13*ORÇAMENTO!$AF$7)*OFFSET(ORÇAMENTO!$W$15,ROW(AI582)-ROW(AI$15),0),15-13*ORÇAMENTO!$AF$11)),0)</f>
        <v>0</v>
      </c>
      <c r="AJ582" s="545">
        <f ca="1">IF(AND($D582="Serviço",AJ$12&lt;&gt;0,$H582&gt;0,OR(AUTOEVENTO&lt;&gt;"manual",$M582&lt;&gt;1)),
IF(Import.TipoArredondamento&lt;&gt;"TransfereGOV",
ROUND(OFFSET($P582,0,AJ$13),15-13*ORÇAMENTO!$AF$7)/$H582*OFFSET(ORÇAMENTO!$X$15,ROW(AJ582)-ROW(AJ$15),0),
ROUND(ROUND(OFFSET($P582,0,AJ$13),15-13*ORÇAMENTO!$AF$7)*OFFSET(ORÇAMENTO!$W$15,ROW(AJ582)-ROW(AJ$15),0),15-13*ORÇAMENTO!$AF$11)),0)</f>
        <v>0</v>
      </c>
      <c r="AK582" s="546">
        <f ca="1">IF(AND($D582="Serviço",AK$12&lt;&gt;0,$H582&gt;0,OR(AUTOEVENTO&lt;&gt;"manual",$M582&lt;&gt;1)),
IF(Import.TipoArredondamento&lt;&gt;"TransfereGOV",
ROUND(OFFSET($P582,0,AK$13),15-13*ORÇAMENTO!$AF$7)/$H582*OFFSET(ORÇAMENTO!$X$15,ROW(AK582)-ROW(AK$15),0),
ROUND(ROUND(OFFSET($P582,0,AK$13),15-13*ORÇAMENTO!$AF$7)*OFFSET(ORÇAMENTO!$W$15,ROW(AK582)-ROW(AK$15),0),15-13*ORÇAMENTO!$AF$11)),0)</f>
        <v>0</v>
      </c>
      <c r="AM582" s="181">
        <f ca="1">IF($D582&lt;&gt;"Serviço",0,IF(AND(AUTOEVENTO="Manual",$M582=1),0,IF(OFFSET(CRONOPLE!$F$14,$M582,AM$13)="",10^12,OFFSET(CRONOPLE!$F$14,$M582,AM$13))))</f>
        <v>1000000000000</v>
      </c>
      <c r="AN582" s="181">
        <f ca="1">IF($D582&lt;&gt;"Serviço",0,IF(AND(AUTOEVENTO="Manual",$M582=1),0,IF(OFFSET(CRONOPLE!$F$14,$M582,AN$13)="",10^12,OFFSET(CRONOPLE!$F$14,$M582,AN$13))))</f>
        <v>1000000000000</v>
      </c>
      <c r="AO582" s="181">
        <f ca="1">IF($D582&lt;&gt;"Serviço",0,IF(AND(AUTOEVENTO="Manual",$M582=1),0,IF(OFFSET(CRONOPLE!$F$14,$M582,AO$13)="",10^12,OFFSET(CRONOPLE!$F$14,$M582,AO$13))))</f>
        <v>1000000000000</v>
      </c>
      <c r="AP582" s="181">
        <f ca="1">IF($D582&lt;&gt;"Serviço",0,IF(AND(AUTOEVENTO="Manual",$M582=1),0,IF(OFFSET(CRONOPLE!$F$14,$M582,AP$13)="",10^12,OFFSET(CRONOPLE!$F$14,$M582,AP$13))))</f>
        <v>1000000000000</v>
      </c>
      <c r="AQ582" s="181">
        <f ca="1">IF($D582&lt;&gt;"Serviço",0,IF(AND(AUTOEVENTO="Manual",$M582=1),0,IF(OFFSET(CRONOPLE!$F$14,$M582,AQ$13)="",10^12,OFFSET(CRONOPLE!$F$14,$M582,AQ$13))))</f>
        <v>1000000000000</v>
      </c>
      <c r="AR582" s="181">
        <f ca="1">IF($D582&lt;&gt;"Serviço",0,IF(AND(AUTOEVENTO="Manual",$M582=1),0,IF(OFFSET(CRONOPLE!$F$14,$M582,AR$13)="",10^12,OFFSET(CRONOPLE!$F$14,$M582,AR$13))))</f>
        <v>1000000000000</v>
      </c>
      <c r="AS582" s="181">
        <f ca="1">IF($D582&lt;&gt;"Serviço",0,IF(AND(AUTOEVENTO="Manual",$M582=1),0,IF(OFFSET(CRONOPLE!$F$14,$M582,AS$13)="",10^12,OFFSET(CRONOPLE!$F$14,$M582,AS$13))))</f>
        <v>1000000000000</v>
      </c>
      <c r="AT582" s="181">
        <f ca="1">IF($D582&lt;&gt;"Serviço",0,IF(AND(AUTOEVENTO="Manual",$M582=1),0,IF(OFFSET(CRONOPLE!$F$14,$M582,AT$13)="",10^12,OFFSET(CRONOPLE!$F$14,$M582,AT$13))))</f>
        <v>1000000000000</v>
      </c>
      <c r="AU582" s="181">
        <f ca="1">IF($D582&lt;&gt;"Serviço",0,IF(AND(AUTOEVENTO="Manual",$M582=1),0,IF(OFFSET(CRONOPLE!$F$14,$M582,AU$13)="",10^12,OFFSET(CRONOPLE!$F$14,$M582,AU$13))))</f>
        <v>1000000000000</v>
      </c>
      <c r="AV582" s="181">
        <f ca="1">IF($D582&lt;&gt;"Serviço",0,IF(AND(AUTOEVENTO="Manual",$M582=1),0,IF(OFFSET(CRONOPLE!$F$14,$M582,AV$13)="",10^12,OFFSET(CRONOPLE!$F$14,$M582,AV$13))))</f>
        <v>1000000000000</v>
      </c>
      <c r="AX582" s="182">
        <f ca="1">IF($D582&lt;&gt;"Serviço",0,IF(OR(AND(AUTOEVENTO="Manual",$M582=1),$M582&gt;(ROW(PLE.lastrow)-ROW(PLE.firstrow))),0,IF(OFFSET(PLE!$G$14,$M582,AX$13)="",10^12,OFFSET(PLE!$G$14,$M582,AX$13))))</f>
        <v>1000000000000</v>
      </c>
      <c r="AY582" s="182">
        <f ca="1">IF($D582&lt;&gt;"Serviço",0,IF(OR(AND(AUTOEVENTO="Manual",$M582=1),$M582&gt;(ROW(PLE.lastrow)-ROW(PLE.firstrow))),0,IF(OFFSET(PLE!$G$14,$M582,AY$13)="",10^12,OFFSET(PLE!$G$14,$M582,AY$13))))</f>
        <v>1000000000000</v>
      </c>
      <c r="AZ582" s="182">
        <f ca="1">IF($D582&lt;&gt;"Serviço",0,IF(OR(AND(AUTOEVENTO="Manual",$M582=1),$M582&gt;(ROW(PLE.lastrow)-ROW(PLE.firstrow))),0,IF(OFFSET(PLE!$G$14,$M582,AZ$13)="",10^12,OFFSET(PLE!$G$14,$M582,AZ$13))))</f>
        <v>1000000000000</v>
      </c>
      <c r="BA582" s="182">
        <f ca="1">IF($D582&lt;&gt;"Serviço",0,IF(OR(AND(AUTOEVENTO="Manual",$M582=1),$M582&gt;(ROW(PLE.lastrow)-ROW(PLE.firstrow))),0,IF(OFFSET(PLE!$G$14,$M582,BA$13)="",10^12,OFFSET(PLE!$G$14,$M582,BA$13))))</f>
        <v>1000000000000</v>
      </c>
      <c r="BB582" s="182">
        <f ca="1">IF($D582&lt;&gt;"Serviço",0,IF(OR(AND(AUTOEVENTO="Manual",$M582=1),$M582&gt;(ROW(PLE.lastrow)-ROW(PLE.firstrow))),0,IF(OFFSET(PLE!$G$14,$M582,BB$13)="",10^12,OFFSET(PLE!$G$14,$M582,BB$13))))</f>
        <v>1000000000000</v>
      </c>
      <c r="BC582" s="182">
        <f ca="1">IF($D582&lt;&gt;"Serviço",0,IF(OR(AND(AUTOEVENTO="Manual",$M582=1),$M582&gt;(ROW(PLE.lastrow)-ROW(PLE.firstrow))),0,IF(OFFSET(PLE!$G$14,$M582,BC$13)="",10^12,OFFSET(PLE!$G$14,$M582,BC$13))))</f>
        <v>1000000000000</v>
      </c>
      <c r="BD582" s="182">
        <f ca="1">IF($D582&lt;&gt;"Serviço",0,IF(OR(AND(AUTOEVENTO="Manual",$M582=1),$M582&gt;(ROW(PLE.lastrow)-ROW(PLE.firstrow))),0,IF(OFFSET(PLE!$G$14,$M582,BD$13)="",10^12,OFFSET(PLE!$G$14,$M582,BD$13))))</f>
        <v>1000000000000</v>
      </c>
      <c r="BE582" s="182">
        <f ca="1">IF($D582&lt;&gt;"Serviço",0,IF(OR(AND(AUTOEVENTO="Manual",$M582=1),$M582&gt;(ROW(PLE.lastrow)-ROW(PLE.firstrow))),0,IF(OFFSET(PLE!$G$14,$M582,BE$13)="",10^12,OFFSET(PLE!$G$14,$M582,BE$13))))</f>
        <v>1000000000000</v>
      </c>
      <c r="BF582" s="182">
        <f ca="1">IF($D582&lt;&gt;"Serviço",0,IF(OR(AND(AUTOEVENTO="Manual",$M582=1),$M582&gt;(ROW(PLE.lastrow)-ROW(PLE.firstrow))),0,IF(OFFSET(PLE!$G$14,$M582,BF$13)="",10^12,OFFSET(PLE!$G$14,$M582,BF$13))))</f>
        <v>1000000000000</v>
      </c>
      <c r="BG582" s="182">
        <f ca="1">IF($D582&lt;&gt;"Serviço",0,IF(OR(AND(AUTOEVENTO="Manual",$M582=1),$M582&gt;(ROW(PLE.lastrow)-ROW(PLE.firstrow))),0,IF(OFFSET(PLE!$G$14,$M582,BG$13)="",10^12,OFFSET(PLE!$G$14,$M582,BG$13))))</f>
        <v>1000000000000</v>
      </c>
    </row>
    <row r="583" spans="1:59" ht="25.5" x14ac:dyDescent="0.2">
      <c r="A583" s="7" t="str">
        <f t="shared" ca="1" si="15"/>
        <v>472</v>
      </c>
      <c r="B583" s="7" t="str">
        <f ca="1">OFFSET(ORÇAMENTO!C$15,ROW(B583)-ROW(B$15),0)</f>
        <v>S</v>
      </c>
      <c r="C583" s="7" t="str">
        <f ca="1">OFFSET(ORÇAMENTO!L$15,ROW(C583)-ROW(C$15),0)</f>
        <v/>
      </c>
      <c r="D583" s="118" t="str">
        <f ca="1">OFFSET(ORÇAMENTO!N$15,ROW(D583)-ROW(D$15),0)</f>
        <v>Serviço</v>
      </c>
      <c r="E583" s="119" t="str">
        <f ca="1">OFFSET(ORÇAMENTO!O$15,ROW(E583)-ROW(E$15),0)</f>
        <v>-</v>
      </c>
      <c r="F583" s="172" t="str">
        <f ca="1">OFFSET(ORÇAMENTO!R$15,ROW(F583)-ROW(F$15),0)</f>
        <v>(abra o arquivo 'Referência 02-2025.xlsm)</v>
      </c>
      <c r="G583" s="173" t="str">
        <f ca="1">IF($D583&lt;&gt;"Serviço","",OFFSET(ORÇAMENTO!S$15,ROW(G583)-ROW(G$15),0))</f>
        <v>-</v>
      </c>
      <c r="H583" s="124">
        <f ca="1">IF($D583&lt;&gt;"Serviço",0,IF(ACOMPANHAMENTO="BM",ROUND(OFFSET(ORÇAMENTO!AJ$15,ROW(H583)-ROW(H$15),0),15-13*ORÇAMENTO!$AF$7),SUMPRODUCT(($Q$12:$AA$12&lt;&gt;"")*ROUND($Q583:$AA583,15-13*ORÇAMENTO!$AF$7))))</f>
        <v>8</v>
      </c>
      <c r="I583" s="561" t="s">
        <v>890</v>
      </c>
      <c r="K583" s="174"/>
      <c r="L583" s="175" t="s">
        <v>255</v>
      </c>
      <c r="M583" s="176">
        <f ca="1">IF($D583&lt;&gt;"Serviço","",IF(AUTOEVENTO="manual",$A583,IF(ISERROR(MATCH($A583,$A$15:OFFSET($A583,-1,0),0)),MAX($M$15:OFFSET(M583,-1,0))+1,INDEX($M$15:OFFSET(M583,-1,0),MATCH($A583,$A$15:OFFSET($A583,-1,0),0)))))</f>
        <v>18</v>
      </c>
      <c r="N583" s="177" t="str">
        <f ca="1">IF($D583&lt;&gt;"Serviço","",IF(AUTOEVENTO="Manual",IF($A583=0,"&lt;-- defina o número do agrupador",OFFSET(EVENTOS!$D$14,$A583,0)),OFFSET($F$15,$A583,0)))</f>
        <v>INSTALAÇÕES ELÉTRICAS - 220V</v>
      </c>
      <c r="O583" s="178"/>
      <c r="Q583" s="178"/>
      <c r="R583" s="179"/>
      <c r="S583" s="179"/>
      <c r="T583" s="179"/>
      <c r="U583" s="179"/>
      <c r="V583" s="179"/>
      <c r="W583" s="179"/>
      <c r="X583" s="179"/>
      <c r="Y583" s="179"/>
      <c r="Z583" s="180"/>
      <c r="AB583" s="544">
        <f ca="1">IF(AND($D583="Serviço",AB$12&lt;&gt;0,$H583&gt;0,OR(AUTOEVENTO&lt;&gt;"manual",$M583&lt;&gt;1)),
IF(Import.TipoArredondamento&lt;&gt;"TransfereGOV",
ROUND(OFFSET($P583,0,AB$13),15-13*ORÇAMENTO!$AF$7)/$H583*OFFSET(ORÇAMENTO!$X$15,ROW(AB583)-ROW(AB$15),0),
ROUND(ROUND(OFFSET($P583,0,AB$13),15-13*ORÇAMENTO!$AF$7)*OFFSET(ORÇAMENTO!$W$15,ROW(AB583)-ROW(AB$15),0),15-13*ORÇAMENTO!$AF$11)),0)</f>
        <v>0</v>
      </c>
      <c r="AC583" s="545">
        <f ca="1">IF(AND($D583="Serviço",AC$12&lt;&gt;0,$H583&gt;0,OR(AUTOEVENTO&lt;&gt;"manual",$M583&lt;&gt;1)),
IF(Import.TipoArredondamento&lt;&gt;"TransfereGOV",
ROUND(OFFSET($P583,0,AC$13),15-13*ORÇAMENTO!$AF$7)/$H583*OFFSET(ORÇAMENTO!$X$15,ROW(AC583)-ROW(AC$15),0),
ROUND(ROUND(OFFSET($P583,0,AC$13),15-13*ORÇAMENTO!$AF$7)*OFFSET(ORÇAMENTO!$W$15,ROW(AC583)-ROW(AC$15),0),15-13*ORÇAMENTO!$AF$11)),0)</f>
        <v>0</v>
      </c>
      <c r="AD583" s="545">
        <f ca="1">IF(AND($D583="Serviço",AD$12&lt;&gt;0,$H583&gt;0,OR(AUTOEVENTO&lt;&gt;"manual",$M583&lt;&gt;1)),
IF(Import.TipoArredondamento&lt;&gt;"TransfereGOV",
ROUND(OFFSET($P583,0,AD$13),15-13*ORÇAMENTO!$AF$7)/$H583*OFFSET(ORÇAMENTO!$X$15,ROW(AD583)-ROW(AD$15),0),
ROUND(ROUND(OFFSET($P583,0,AD$13),15-13*ORÇAMENTO!$AF$7)*OFFSET(ORÇAMENTO!$W$15,ROW(AD583)-ROW(AD$15),0),15-13*ORÇAMENTO!$AF$11)),0)</f>
        <v>0</v>
      </c>
      <c r="AE583" s="545">
        <f ca="1">IF(AND($D583="Serviço",AE$12&lt;&gt;0,$H583&gt;0,OR(AUTOEVENTO&lt;&gt;"manual",$M583&lt;&gt;1)),
IF(Import.TipoArredondamento&lt;&gt;"TransfereGOV",
ROUND(OFFSET($P583,0,AE$13),15-13*ORÇAMENTO!$AF$7)/$H583*OFFSET(ORÇAMENTO!$X$15,ROW(AE583)-ROW(AE$15),0),
ROUND(ROUND(OFFSET($P583,0,AE$13),15-13*ORÇAMENTO!$AF$7)*OFFSET(ORÇAMENTO!$W$15,ROW(AE583)-ROW(AE$15),0),15-13*ORÇAMENTO!$AF$11)),0)</f>
        <v>0</v>
      </c>
      <c r="AF583" s="545">
        <f ca="1">IF(AND($D583="Serviço",AF$12&lt;&gt;0,$H583&gt;0,OR(AUTOEVENTO&lt;&gt;"manual",$M583&lt;&gt;1)),
IF(Import.TipoArredondamento&lt;&gt;"TransfereGOV",
ROUND(OFFSET($P583,0,AF$13),15-13*ORÇAMENTO!$AF$7)/$H583*OFFSET(ORÇAMENTO!$X$15,ROW(AF583)-ROW(AF$15),0),
ROUND(ROUND(OFFSET($P583,0,AF$13),15-13*ORÇAMENTO!$AF$7)*OFFSET(ORÇAMENTO!$W$15,ROW(AF583)-ROW(AF$15),0),15-13*ORÇAMENTO!$AF$11)),0)</f>
        <v>0</v>
      </c>
      <c r="AG583" s="545">
        <f ca="1">IF(AND($D583="Serviço",AG$12&lt;&gt;0,$H583&gt;0,OR(AUTOEVENTO&lt;&gt;"manual",$M583&lt;&gt;1)),
IF(Import.TipoArredondamento&lt;&gt;"TransfereGOV",
ROUND(OFFSET($P583,0,AG$13),15-13*ORÇAMENTO!$AF$7)/$H583*OFFSET(ORÇAMENTO!$X$15,ROW(AG583)-ROW(AG$15),0),
ROUND(ROUND(OFFSET($P583,0,AG$13),15-13*ORÇAMENTO!$AF$7)*OFFSET(ORÇAMENTO!$W$15,ROW(AG583)-ROW(AG$15),0),15-13*ORÇAMENTO!$AF$11)),0)</f>
        <v>0</v>
      </c>
      <c r="AH583" s="545">
        <f ca="1">IF(AND($D583="Serviço",AH$12&lt;&gt;0,$H583&gt;0,OR(AUTOEVENTO&lt;&gt;"manual",$M583&lt;&gt;1)),
IF(Import.TipoArredondamento&lt;&gt;"TransfereGOV",
ROUND(OFFSET($P583,0,AH$13),15-13*ORÇAMENTO!$AF$7)/$H583*OFFSET(ORÇAMENTO!$X$15,ROW(AH583)-ROW(AH$15),0),
ROUND(ROUND(OFFSET($P583,0,AH$13),15-13*ORÇAMENTO!$AF$7)*OFFSET(ORÇAMENTO!$W$15,ROW(AH583)-ROW(AH$15),0),15-13*ORÇAMENTO!$AF$11)),0)</f>
        <v>0</v>
      </c>
      <c r="AI583" s="545">
        <f ca="1">IF(AND($D583="Serviço",AI$12&lt;&gt;0,$H583&gt;0,OR(AUTOEVENTO&lt;&gt;"manual",$M583&lt;&gt;1)),
IF(Import.TipoArredondamento&lt;&gt;"TransfereGOV",
ROUND(OFFSET($P583,0,AI$13),15-13*ORÇAMENTO!$AF$7)/$H583*OFFSET(ORÇAMENTO!$X$15,ROW(AI583)-ROW(AI$15),0),
ROUND(ROUND(OFFSET($P583,0,AI$13),15-13*ORÇAMENTO!$AF$7)*OFFSET(ORÇAMENTO!$W$15,ROW(AI583)-ROW(AI$15),0),15-13*ORÇAMENTO!$AF$11)),0)</f>
        <v>0</v>
      </c>
      <c r="AJ583" s="545">
        <f ca="1">IF(AND($D583="Serviço",AJ$12&lt;&gt;0,$H583&gt;0,OR(AUTOEVENTO&lt;&gt;"manual",$M583&lt;&gt;1)),
IF(Import.TipoArredondamento&lt;&gt;"TransfereGOV",
ROUND(OFFSET($P583,0,AJ$13),15-13*ORÇAMENTO!$AF$7)/$H583*OFFSET(ORÇAMENTO!$X$15,ROW(AJ583)-ROW(AJ$15),0),
ROUND(ROUND(OFFSET($P583,0,AJ$13),15-13*ORÇAMENTO!$AF$7)*OFFSET(ORÇAMENTO!$W$15,ROW(AJ583)-ROW(AJ$15),0),15-13*ORÇAMENTO!$AF$11)),0)</f>
        <v>0</v>
      </c>
      <c r="AK583" s="546">
        <f ca="1">IF(AND($D583="Serviço",AK$12&lt;&gt;0,$H583&gt;0,OR(AUTOEVENTO&lt;&gt;"manual",$M583&lt;&gt;1)),
IF(Import.TipoArredondamento&lt;&gt;"TransfereGOV",
ROUND(OFFSET($P583,0,AK$13),15-13*ORÇAMENTO!$AF$7)/$H583*OFFSET(ORÇAMENTO!$X$15,ROW(AK583)-ROW(AK$15),0),
ROUND(ROUND(OFFSET($P583,0,AK$13),15-13*ORÇAMENTO!$AF$7)*OFFSET(ORÇAMENTO!$W$15,ROW(AK583)-ROW(AK$15),0),15-13*ORÇAMENTO!$AF$11)),0)</f>
        <v>0</v>
      </c>
      <c r="AM583" s="181">
        <f ca="1">IF($D583&lt;&gt;"Serviço",0,IF(AND(AUTOEVENTO="Manual",$M583=1),0,IF(OFFSET(CRONOPLE!$F$14,$M583,AM$13)="",10^12,OFFSET(CRONOPLE!$F$14,$M583,AM$13))))</f>
        <v>1000000000000</v>
      </c>
      <c r="AN583" s="181">
        <f ca="1">IF($D583&lt;&gt;"Serviço",0,IF(AND(AUTOEVENTO="Manual",$M583=1),0,IF(OFFSET(CRONOPLE!$F$14,$M583,AN$13)="",10^12,OFFSET(CRONOPLE!$F$14,$M583,AN$13))))</f>
        <v>1000000000000</v>
      </c>
      <c r="AO583" s="181">
        <f ca="1">IF($D583&lt;&gt;"Serviço",0,IF(AND(AUTOEVENTO="Manual",$M583=1),0,IF(OFFSET(CRONOPLE!$F$14,$M583,AO$13)="",10^12,OFFSET(CRONOPLE!$F$14,$M583,AO$13))))</f>
        <v>1000000000000</v>
      </c>
      <c r="AP583" s="181">
        <f ca="1">IF($D583&lt;&gt;"Serviço",0,IF(AND(AUTOEVENTO="Manual",$M583=1),0,IF(OFFSET(CRONOPLE!$F$14,$M583,AP$13)="",10^12,OFFSET(CRONOPLE!$F$14,$M583,AP$13))))</f>
        <v>1000000000000</v>
      </c>
      <c r="AQ583" s="181">
        <f ca="1">IF($D583&lt;&gt;"Serviço",0,IF(AND(AUTOEVENTO="Manual",$M583=1),0,IF(OFFSET(CRONOPLE!$F$14,$M583,AQ$13)="",10^12,OFFSET(CRONOPLE!$F$14,$M583,AQ$13))))</f>
        <v>1000000000000</v>
      </c>
      <c r="AR583" s="181">
        <f ca="1">IF($D583&lt;&gt;"Serviço",0,IF(AND(AUTOEVENTO="Manual",$M583=1),0,IF(OFFSET(CRONOPLE!$F$14,$M583,AR$13)="",10^12,OFFSET(CRONOPLE!$F$14,$M583,AR$13))))</f>
        <v>1000000000000</v>
      </c>
      <c r="AS583" s="181">
        <f ca="1">IF($D583&lt;&gt;"Serviço",0,IF(AND(AUTOEVENTO="Manual",$M583=1),0,IF(OFFSET(CRONOPLE!$F$14,$M583,AS$13)="",10^12,OFFSET(CRONOPLE!$F$14,$M583,AS$13))))</f>
        <v>1000000000000</v>
      </c>
      <c r="AT583" s="181">
        <f ca="1">IF($D583&lt;&gt;"Serviço",0,IF(AND(AUTOEVENTO="Manual",$M583=1),0,IF(OFFSET(CRONOPLE!$F$14,$M583,AT$13)="",10^12,OFFSET(CRONOPLE!$F$14,$M583,AT$13))))</f>
        <v>1000000000000</v>
      </c>
      <c r="AU583" s="181">
        <f ca="1">IF($D583&lt;&gt;"Serviço",0,IF(AND(AUTOEVENTO="Manual",$M583=1),0,IF(OFFSET(CRONOPLE!$F$14,$M583,AU$13)="",10^12,OFFSET(CRONOPLE!$F$14,$M583,AU$13))))</f>
        <v>1000000000000</v>
      </c>
      <c r="AV583" s="181">
        <f ca="1">IF($D583&lt;&gt;"Serviço",0,IF(AND(AUTOEVENTO="Manual",$M583=1),0,IF(OFFSET(CRONOPLE!$F$14,$M583,AV$13)="",10^12,OFFSET(CRONOPLE!$F$14,$M583,AV$13))))</f>
        <v>1000000000000</v>
      </c>
      <c r="AX583" s="182">
        <f ca="1">IF($D583&lt;&gt;"Serviço",0,IF(OR(AND(AUTOEVENTO="Manual",$M583=1),$M583&gt;(ROW(PLE.lastrow)-ROW(PLE.firstrow))),0,IF(OFFSET(PLE!$G$14,$M583,AX$13)="",10^12,OFFSET(PLE!$G$14,$M583,AX$13))))</f>
        <v>1000000000000</v>
      </c>
      <c r="AY583" s="182">
        <f ca="1">IF($D583&lt;&gt;"Serviço",0,IF(OR(AND(AUTOEVENTO="Manual",$M583=1),$M583&gt;(ROW(PLE.lastrow)-ROW(PLE.firstrow))),0,IF(OFFSET(PLE!$G$14,$M583,AY$13)="",10^12,OFFSET(PLE!$G$14,$M583,AY$13))))</f>
        <v>1000000000000</v>
      </c>
      <c r="AZ583" s="182">
        <f ca="1">IF($D583&lt;&gt;"Serviço",0,IF(OR(AND(AUTOEVENTO="Manual",$M583=1),$M583&gt;(ROW(PLE.lastrow)-ROW(PLE.firstrow))),0,IF(OFFSET(PLE!$G$14,$M583,AZ$13)="",10^12,OFFSET(PLE!$G$14,$M583,AZ$13))))</f>
        <v>1000000000000</v>
      </c>
      <c r="BA583" s="182">
        <f ca="1">IF($D583&lt;&gt;"Serviço",0,IF(OR(AND(AUTOEVENTO="Manual",$M583=1),$M583&gt;(ROW(PLE.lastrow)-ROW(PLE.firstrow))),0,IF(OFFSET(PLE!$G$14,$M583,BA$13)="",10^12,OFFSET(PLE!$G$14,$M583,BA$13))))</f>
        <v>1000000000000</v>
      </c>
      <c r="BB583" s="182">
        <f ca="1">IF($D583&lt;&gt;"Serviço",0,IF(OR(AND(AUTOEVENTO="Manual",$M583=1),$M583&gt;(ROW(PLE.lastrow)-ROW(PLE.firstrow))),0,IF(OFFSET(PLE!$G$14,$M583,BB$13)="",10^12,OFFSET(PLE!$G$14,$M583,BB$13))))</f>
        <v>1000000000000</v>
      </c>
      <c r="BC583" s="182">
        <f ca="1">IF($D583&lt;&gt;"Serviço",0,IF(OR(AND(AUTOEVENTO="Manual",$M583=1),$M583&gt;(ROW(PLE.lastrow)-ROW(PLE.firstrow))),0,IF(OFFSET(PLE!$G$14,$M583,BC$13)="",10^12,OFFSET(PLE!$G$14,$M583,BC$13))))</f>
        <v>1000000000000</v>
      </c>
      <c r="BD583" s="182">
        <f ca="1">IF($D583&lt;&gt;"Serviço",0,IF(OR(AND(AUTOEVENTO="Manual",$M583=1),$M583&gt;(ROW(PLE.lastrow)-ROW(PLE.firstrow))),0,IF(OFFSET(PLE!$G$14,$M583,BD$13)="",10^12,OFFSET(PLE!$G$14,$M583,BD$13))))</f>
        <v>1000000000000</v>
      </c>
      <c r="BE583" s="182">
        <f ca="1">IF($D583&lt;&gt;"Serviço",0,IF(OR(AND(AUTOEVENTO="Manual",$M583=1),$M583&gt;(ROW(PLE.lastrow)-ROW(PLE.firstrow))),0,IF(OFFSET(PLE!$G$14,$M583,BE$13)="",10^12,OFFSET(PLE!$G$14,$M583,BE$13))))</f>
        <v>1000000000000</v>
      </c>
      <c r="BF583" s="182">
        <f ca="1">IF($D583&lt;&gt;"Serviço",0,IF(OR(AND(AUTOEVENTO="Manual",$M583=1),$M583&gt;(ROW(PLE.lastrow)-ROW(PLE.firstrow))),0,IF(OFFSET(PLE!$G$14,$M583,BF$13)="",10^12,OFFSET(PLE!$G$14,$M583,BF$13))))</f>
        <v>1000000000000</v>
      </c>
      <c r="BG583" s="182">
        <f ca="1">IF($D583&lt;&gt;"Serviço",0,IF(OR(AND(AUTOEVENTO="Manual",$M583=1),$M583&gt;(ROW(PLE.lastrow)-ROW(PLE.firstrow))),0,IF(OFFSET(PLE!$G$14,$M583,BG$13)="",10^12,OFFSET(PLE!$G$14,$M583,BG$13))))</f>
        <v>1000000000000</v>
      </c>
    </row>
    <row r="584" spans="1:59" ht="12.75" x14ac:dyDescent="0.2">
      <c r="A584" s="7" t="str">
        <f t="shared" ref="A584:A628" ca="1" si="16">IF(AUTOEVENTO="Manual",IF(K584&lt;&gt;"",MIN(VALUE(LEFT(K584,FIND(".",K584)-1)),COUNTA(EVENTOS.Lista)),0),IF(OR($B584&gt;AUTOEVENTO,$B584="S",$B584=0),SUBSTITUTE(OFFSET($A584,-1,0),IF($D584="Serviço",".",""),""),ROW(A584)-ROW($A$15)&amp;"."))</f>
        <v>472</v>
      </c>
      <c r="B584" s="7">
        <f ca="1">OFFSET(ORÇAMENTO!C$15,ROW(B584)-ROW(B$15),0)</f>
        <v>3</v>
      </c>
      <c r="C584" s="7" t="str">
        <f ca="1">OFFSET(ORÇAMENTO!L$15,ROW(C584)-ROW(C$15),0)</f>
        <v>F</v>
      </c>
      <c r="D584" s="118" t="str">
        <f ca="1">OFFSET(ORÇAMENTO!N$15,ROW(D584)-ROW(D$15),0)</f>
        <v>Nível 3</v>
      </c>
      <c r="E584" s="119" t="str">
        <f ca="1">OFFSET(ORÇAMENTO!O$15,ROW(E584)-ROW(E$15),0)</f>
        <v>1.17.9.</v>
      </c>
      <c r="F584" s="172" t="str">
        <f ca="1">OFFSET(ORÇAMENTO!R$15,ROW(F584)-ROW(F$15),0)</f>
        <v>ELETRODUTOS</v>
      </c>
      <c r="G584" s="173" t="str">
        <f ca="1">IF($D584&lt;&gt;"Serviço","",OFFSET(ORÇAMENTO!S$15,ROW(G584)-ROW(G$15),0))</f>
        <v/>
      </c>
      <c r="H584" s="124">
        <f ca="1">IF($D584&lt;&gt;"Serviço",0,IF(ACOMPANHAMENTO="BM",ROUND(OFFSET(ORÇAMENTO!AJ$15,ROW(H584)-ROW(H$15),0),15-13*ORÇAMENTO!$AF$7),SUMPRODUCT(($Q$12:$AA$12&lt;&gt;"")*ROUND($Q584:$AA584,15-13*ORÇAMENTO!$AF$7))))</f>
        <v>0</v>
      </c>
      <c r="I584" s="561"/>
      <c r="K584" s="174"/>
      <c r="L584" s="175" t="s">
        <v>255</v>
      </c>
      <c r="M584" s="176" t="str">
        <f ca="1">IF($D584&lt;&gt;"Serviço","",IF(AUTOEVENTO="manual",$A584,IF(ISERROR(MATCH($A584,$A$15:OFFSET($A584,-1,0),0)),MAX($M$15:OFFSET(M584,-1,0))+1,INDEX($M$15:OFFSET(M584,-1,0),MATCH($A584,$A$15:OFFSET($A584,-1,0),0)))))</f>
        <v/>
      </c>
      <c r="N584" s="177" t="str">
        <f ca="1">IF($D584&lt;&gt;"Serviço","",IF(AUTOEVENTO="Manual",IF($A584=0,"&lt;-- defina o número do agrupador",OFFSET(EVENTOS!$D$14,$A584,0)),OFFSET($F$15,$A584,0)))</f>
        <v/>
      </c>
      <c r="O584" s="178"/>
      <c r="Q584" s="178"/>
      <c r="R584" s="179"/>
      <c r="S584" s="179"/>
      <c r="T584" s="179"/>
      <c r="U584" s="179"/>
      <c r="V584" s="179"/>
      <c r="W584" s="179"/>
      <c r="X584" s="179"/>
      <c r="Y584" s="179"/>
      <c r="Z584" s="180"/>
      <c r="AB584" s="544">
        <f ca="1">IF(AND($D584="Serviço",AB$12&lt;&gt;0,$H584&gt;0,OR(AUTOEVENTO&lt;&gt;"manual",$M584&lt;&gt;1)),
IF(Import.TipoArredondamento&lt;&gt;"TransfereGOV",
ROUND(OFFSET($P584,0,AB$13),15-13*ORÇAMENTO!$AF$7)/$H584*OFFSET(ORÇAMENTO!$X$15,ROW(AB584)-ROW(AB$15),0),
ROUND(ROUND(OFFSET($P584,0,AB$13),15-13*ORÇAMENTO!$AF$7)*OFFSET(ORÇAMENTO!$W$15,ROW(AB584)-ROW(AB$15),0),15-13*ORÇAMENTO!$AF$11)),0)</f>
        <v>0</v>
      </c>
      <c r="AC584" s="545">
        <f ca="1">IF(AND($D584="Serviço",AC$12&lt;&gt;0,$H584&gt;0,OR(AUTOEVENTO&lt;&gt;"manual",$M584&lt;&gt;1)),
IF(Import.TipoArredondamento&lt;&gt;"TransfereGOV",
ROUND(OFFSET($P584,0,AC$13),15-13*ORÇAMENTO!$AF$7)/$H584*OFFSET(ORÇAMENTO!$X$15,ROW(AC584)-ROW(AC$15),0),
ROUND(ROUND(OFFSET($P584,0,AC$13),15-13*ORÇAMENTO!$AF$7)*OFFSET(ORÇAMENTO!$W$15,ROW(AC584)-ROW(AC$15),0),15-13*ORÇAMENTO!$AF$11)),0)</f>
        <v>0</v>
      </c>
      <c r="AD584" s="545">
        <f ca="1">IF(AND($D584="Serviço",AD$12&lt;&gt;0,$H584&gt;0,OR(AUTOEVENTO&lt;&gt;"manual",$M584&lt;&gt;1)),
IF(Import.TipoArredondamento&lt;&gt;"TransfereGOV",
ROUND(OFFSET($P584,0,AD$13),15-13*ORÇAMENTO!$AF$7)/$H584*OFFSET(ORÇAMENTO!$X$15,ROW(AD584)-ROW(AD$15),0),
ROUND(ROUND(OFFSET($P584,0,AD$13),15-13*ORÇAMENTO!$AF$7)*OFFSET(ORÇAMENTO!$W$15,ROW(AD584)-ROW(AD$15),0),15-13*ORÇAMENTO!$AF$11)),0)</f>
        <v>0</v>
      </c>
      <c r="AE584" s="545">
        <f ca="1">IF(AND($D584="Serviço",AE$12&lt;&gt;0,$H584&gt;0,OR(AUTOEVENTO&lt;&gt;"manual",$M584&lt;&gt;1)),
IF(Import.TipoArredondamento&lt;&gt;"TransfereGOV",
ROUND(OFFSET($P584,0,AE$13),15-13*ORÇAMENTO!$AF$7)/$H584*OFFSET(ORÇAMENTO!$X$15,ROW(AE584)-ROW(AE$15),0),
ROUND(ROUND(OFFSET($P584,0,AE$13),15-13*ORÇAMENTO!$AF$7)*OFFSET(ORÇAMENTO!$W$15,ROW(AE584)-ROW(AE$15),0),15-13*ORÇAMENTO!$AF$11)),0)</f>
        <v>0</v>
      </c>
      <c r="AF584" s="545">
        <f ca="1">IF(AND($D584="Serviço",AF$12&lt;&gt;0,$H584&gt;0,OR(AUTOEVENTO&lt;&gt;"manual",$M584&lt;&gt;1)),
IF(Import.TipoArredondamento&lt;&gt;"TransfereGOV",
ROUND(OFFSET($P584,0,AF$13),15-13*ORÇAMENTO!$AF$7)/$H584*OFFSET(ORÇAMENTO!$X$15,ROW(AF584)-ROW(AF$15),0),
ROUND(ROUND(OFFSET($P584,0,AF$13),15-13*ORÇAMENTO!$AF$7)*OFFSET(ORÇAMENTO!$W$15,ROW(AF584)-ROW(AF$15),0),15-13*ORÇAMENTO!$AF$11)),0)</f>
        <v>0</v>
      </c>
      <c r="AG584" s="545">
        <f ca="1">IF(AND($D584="Serviço",AG$12&lt;&gt;0,$H584&gt;0,OR(AUTOEVENTO&lt;&gt;"manual",$M584&lt;&gt;1)),
IF(Import.TipoArredondamento&lt;&gt;"TransfereGOV",
ROUND(OFFSET($P584,0,AG$13),15-13*ORÇAMENTO!$AF$7)/$H584*OFFSET(ORÇAMENTO!$X$15,ROW(AG584)-ROW(AG$15),0),
ROUND(ROUND(OFFSET($P584,0,AG$13),15-13*ORÇAMENTO!$AF$7)*OFFSET(ORÇAMENTO!$W$15,ROW(AG584)-ROW(AG$15),0),15-13*ORÇAMENTO!$AF$11)),0)</f>
        <v>0</v>
      </c>
      <c r="AH584" s="545">
        <f ca="1">IF(AND($D584="Serviço",AH$12&lt;&gt;0,$H584&gt;0,OR(AUTOEVENTO&lt;&gt;"manual",$M584&lt;&gt;1)),
IF(Import.TipoArredondamento&lt;&gt;"TransfereGOV",
ROUND(OFFSET($P584,0,AH$13),15-13*ORÇAMENTO!$AF$7)/$H584*OFFSET(ORÇAMENTO!$X$15,ROW(AH584)-ROW(AH$15),0),
ROUND(ROUND(OFFSET($P584,0,AH$13),15-13*ORÇAMENTO!$AF$7)*OFFSET(ORÇAMENTO!$W$15,ROW(AH584)-ROW(AH$15),0),15-13*ORÇAMENTO!$AF$11)),0)</f>
        <v>0</v>
      </c>
      <c r="AI584" s="545">
        <f ca="1">IF(AND($D584="Serviço",AI$12&lt;&gt;0,$H584&gt;0,OR(AUTOEVENTO&lt;&gt;"manual",$M584&lt;&gt;1)),
IF(Import.TipoArredondamento&lt;&gt;"TransfereGOV",
ROUND(OFFSET($P584,0,AI$13),15-13*ORÇAMENTO!$AF$7)/$H584*OFFSET(ORÇAMENTO!$X$15,ROW(AI584)-ROW(AI$15),0),
ROUND(ROUND(OFFSET($P584,0,AI$13),15-13*ORÇAMENTO!$AF$7)*OFFSET(ORÇAMENTO!$W$15,ROW(AI584)-ROW(AI$15),0),15-13*ORÇAMENTO!$AF$11)),0)</f>
        <v>0</v>
      </c>
      <c r="AJ584" s="545">
        <f ca="1">IF(AND($D584="Serviço",AJ$12&lt;&gt;0,$H584&gt;0,OR(AUTOEVENTO&lt;&gt;"manual",$M584&lt;&gt;1)),
IF(Import.TipoArredondamento&lt;&gt;"TransfereGOV",
ROUND(OFFSET($P584,0,AJ$13),15-13*ORÇAMENTO!$AF$7)/$H584*OFFSET(ORÇAMENTO!$X$15,ROW(AJ584)-ROW(AJ$15),0),
ROUND(ROUND(OFFSET($P584,0,AJ$13),15-13*ORÇAMENTO!$AF$7)*OFFSET(ORÇAMENTO!$W$15,ROW(AJ584)-ROW(AJ$15),0),15-13*ORÇAMENTO!$AF$11)),0)</f>
        <v>0</v>
      </c>
      <c r="AK584" s="546">
        <f ca="1">IF(AND($D584="Serviço",AK$12&lt;&gt;0,$H584&gt;0,OR(AUTOEVENTO&lt;&gt;"manual",$M584&lt;&gt;1)),
IF(Import.TipoArredondamento&lt;&gt;"TransfereGOV",
ROUND(OFFSET($P584,0,AK$13),15-13*ORÇAMENTO!$AF$7)/$H584*OFFSET(ORÇAMENTO!$X$15,ROW(AK584)-ROW(AK$15),0),
ROUND(ROUND(OFFSET($P584,0,AK$13),15-13*ORÇAMENTO!$AF$7)*OFFSET(ORÇAMENTO!$W$15,ROW(AK584)-ROW(AK$15),0),15-13*ORÇAMENTO!$AF$11)),0)</f>
        <v>0</v>
      </c>
      <c r="AM584" s="181">
        <f ca="1">IF($D584&lt;&gt;"Serviço",0,IF(AND(AUTOEVENTO="Manual",$M584=1),0,IF(OFFSET(CRONOPLE!$F$14,$M584,AM$13)="",10^12,OFFSET(CRONOPLE!$F$14,$M584,AM$13))))</f>
        <v>0</v>
      </c>
      <c r="AN584" s="181">
        <f ca="1">IF($D584&lt;&gt;"Serviço",0,IF(AND(AUTOEVENTO="Manual",$M584=1),0,IF(OFFSET(CRONOPLE!$F$14,$M584,AN$13)="",10^12,OFFSET(CRONOPLE!$F$14,$M584,AN$13))))</f>
        <v>0</v>
      </c>
      <c r="AO584" s="181">
        <f ca="1">IF($D584&lt;&gt;"Serviço",0,IF(AND(AUTOEVENTO="Manual",$M584=1),0,IF(OFFSET(CRONOPLE!$F$14,$M584,AO$13)="",10^12,OFFSET(CRONOPLE!$F$14,$M584,AO$13))))</f>
        <v>0</v>
      </c>
      <c r="AP584" s="181">
        <f ca="1">IF($D584&lt;&gt;"Serviço",0,IF(AND(AUTOEVENTO="Manual",$M584=1),0,IF(OFFSET(CRONOPLE!$F$14,$M584,AP$13)="",10^12,OFFSET(CRONOPLE!$F$14,$M584,AP$13))))</f>
        <v>0</v>
      </c>
      <c r="AQ584" s="181">
        <f ca="1">IF($D584&lt;&gt;"Serviço",0,IF(AND(AUTOEVENTO="Manual",$M584=1),0,IF(OFFSET(CRONOPLE!$F$14,$M584,AQ$13)="",10^12,OFFSET(CRONOPLE!$F$14,$M584,AQ$13))))</f>
        <v>0</v>
      </c>
      <c r="AR584" s="181">
        <f ca="1">IF($D584&lt;&gt;"Serviço",0,IF(AND(AUTOEVENTO="Manual",$M584=1),0,IF(OFFSET(CRONOPLE!$F$14,$M584,AR$13)="",10^12,OFFSET(CRONOPLE!$F$14,$M584,AR$13))))</f>
        <v>0</v>
      </c>
      <c r="AS584" s="181">
        <f ca="1">IF($D584&lt;&gt;"Serviço",0,IF(AND(AUTOEVENTO="Manual",$M584=1),0,IF(OFFSET(CRONOPLE!$F$14,$M584,AS$13)="",10^12,OFFSET(CRONOPLE!$F$14,$M584,AS$13))))</f>
        <v>0</v>
      </c>
      <c r="AT584" s="181">
        <f ca="1">IF($D584&lt;&gt;"Serviço",0,IF(AND(AUTOEVENTO="Manual",$M584=1),0,IF(OFFSET(CRONOPLE!$F$14,$M584,AT$13)="",10^12,OFFSET(CRONOPLE!$F$14,$M584,AT$13))))</f>
        <v>0</v>
      </c>
      <c r="AU584" s="181">
        <f ca="1">IF($D584&lt;&gt;"Serviço",0,IF(AND(AUTOEVENTO="Manual",$M584=1),0,IF(OFFSET(CRONOPLE!$F$14,$M584,AU$13)="",10^12,OFFSET(CRONOPLE!$F$14,$M584,AU$13))))</f>
        <v>0</v>
      </c>
      <c r="AV584" s="181">
        <f ca="1">IF($D584&lt;&gt;"Serviço",0,IF(AND(AUTOEVENTO="Manual",$M584=1),0,IF(OFFSET(CRONOPLE!$F$14,$M584,AV$13)="",10^12,OFFSET(CRONOPLE!$F$14,$M584,AV$13))))</f>
        <v>0</v>
      </c>
      <c r="AX584" s="182">
        <f ca="1">IF($D584&lt;&gt;"Serviço",0,IF(OR(AND(AUTOEVENTO="Manual",$M584=1),$M584&gt;(ROW(PLE.lastrow)-ROW(PLE.firstrow))),0,IF(OFFSET(PLE!$G$14,$M584,AX$13)="",10^12,OFFSET(PLE!$G$14,$M584,AX$13))))</f>
        <v>0</v>
      </c>
      <c r="AY584" s="182">
        <f ca="1">IF($D584&lt;&gt;"Serviço",0,IF(OR(AND(AUTOEVENTO="Manual",$M584=1),$M584&gt;(ROW(PLE.lastrow)-ROW(PLE.firstrow))),0,IF(OFFSET(PLE!$G$14,$M584,AY$13)="",10^12,OFFSET(PLE!$G$14,$M584,AY$13))))</f>
        <v>0</v>
      </c>
      <c r="AZ584" s="182">
        <f ca="1">IF($D584&lt;&gt;"Serviço",0,IF(OR(AND(AUTOEVENTO="Manual",$M584=1),$M584&gt;(ROW(PLE.lastrow)-ROW(PLE.firstrow))),0,IF(OFFSET(PLE!$G$14,$M584,AZ$13)="",10^12,OFFSET(PLE!$G$14,$M584,AZ$13))))</f>
        <v>0</v>
      </c>
      <c r="BA584" s="182">
        <f ca="1">IF($D584&lt;&gt;"Serviço",0,IF(OR(AND(AUTOEVENTO="Manual",$M584=1),$M584&gt;(ROW(PLE.lastrow)-ROW(PLE.firstrow))),0,IF(OFFSET(PLE!$G$14,$M584,BA$13)="",10^12,OFFSET(PLE!$G$14,$M584,BA$13))))</f>
        <v>0</v>
      </c>
      <c r="BB584" s="182">
        <f ca="1">IF($D584&lt;&gt;"Serviço",0,IF(OR(AND(AUTOEVENTO="Manual",$M584=1),$M584&gt;(ROW(PLE.lastrow)-ROW(PLE.firstrow))),0,IF(OFFSET(PLE!$G$14,$M584,BB$13)="",10^12,OFFSET(PLE!$G$14,$M584,BB$13))))</f>
        <v>0</v>
      </c>
      <c r="BC584" s="182">
        <f ca="1">IF($D584&lt;&gt;"Serviço",0,IF(OR(AND(AUTOEVENTO="Manual",$M584=1),$M584&gt;(ROW(PLE.lastrow)-ROW(PLE.firstrow))),0,IF(OFFSET(PLE!$G$14,$M584,BC$13)="",10^12,OFFSET(PLE!$G$14,$M584,BC$13))))</f>
        <v>0</v>
      </c>
      <c r="BD584" s="182">
        <f ca="1">IF($D584&lt;&gt;"Serviço",0,IF(OR(AND(AUTOEVENTO="Manual",$M584=1),$M584&gt;(ROW(PLE.lastrow)-ROW(PLE.firstrow))),0,IF(OFFSET(PLE!$G$14,$M584,BD$13)="",10^12,OFFSET(PLE!$G$14,$M584,BD$13))))</f>
        <v>0</v>
      </c>
      <c r="BE584" s="182">
        <f ca="1">IF($D584&lt;&gt;"Serviço",0,IF(OR(AND(AUTOEVENTO="Manual",$M584=1),$M584&gt;(ROW(PLE.lastrow)-ROW(PLE.firstrow))),0,IF(OFFSET(PLE!$G$14,$M584,BE$13)="",10^12,OFFSET(PLE!$G$14,$M584,BE$13))))</f>
        <v>0</v>
      </c>
      <c r="BF584" s="182">
        <f ca="1">IF($D584&lt;&gt;"Serviço",0,IF(OR(AND(AUTOEVENTO="Manual",$M584=1),$M584&gt;(ROW(PLE.lastrow)-ROW(PLE.firstrow))),0,IF(OFFSET(PLE!$G$14,$M584,BF$13)="",10^12,OFFSET(PLE!$G$14,$M584,BF$13))))</f>
        <v>0</v>
      </c>
      <c r="BG584" s="182">
        <f ca="1">IF($D584&lt;&gt;"Serviço",0,IF(OR(AND(AUTOEVENTO="Manual",$M584=1),$M584&gt;(ROW(PLE.lastrow)-ROW(PLE.firstrow))),0,IF(OFFSET(PLE!$G$14,$M584,BG$13)="",10^12,OFFSET(PLE!$G$14,$M584,BG$13))))</f>
        <v>0</v>
      </c>
    </row>
    <row r="585" spans="1:59" ht="38.25" x14ac:dyDescent="0.2">
      <c r="A585" s="7" t="str">
        <f t="shared" ca="1" si="16"/>
        <v>472</v>
      </c>
      <c r="B585" s="7" t="str">
        <f ca="1">OFFSET(ORÇAMENTO!C$15,ROW(B585)-ROW(B$15),0)</f>
        <v>S</v>
      </c>
      <c r="C585" s="7" t="str">
        <f ca="1">OFFSET(ORÇAMENTO!L$15,ROW(C585)-ROW(C$15),0)</f>
        <v/>
      </c>
      <c r="D585" s="118" t="str">
        <f ca="1">OFFSET(ORÇAMENTO!N$15,ROW(D585)-ROW(D$15),0)</f>
        <v>Serviço</v>
      </c>
      <c r="E585" s="119" t="str">
        <f ca="1">OFFSET(ORÇAMENTO!O$15,ROW(E585)-ROW(E$15),0)</f>
        <v>-</v>
      </c>
      <c r="F585" s="172" t="str">
        <f ca="1">OFFSET(ORÇAMENTO!R$15,ROW(F585)-ROW(F$15),0)</f>
        <v>(abra o arquivo 'Referência 02-2025.xlsm)</v>
      </c>
      <c r="G585" s="173" t="str">
        <f ca="1">IF($D585&lt;&gt;"Serviço","",OFFSET(ORÇAMENTO!S$15,ROW(G585)-ROW(G$15),0))</f>
        <v>-</v>
      </c>
      <c r="H585" s="124">
        <f ca="1">IF($D585&lt;&gt;"Serviço",0,IF(ACOMPANHAMENTO="BM",ROUND(OFFSET(ORÇAMENTO!AJ$15,ROW(H585)-ROW(H$15),0),15-13*ORÇAMENTO!$AF$7),SUMPRODUCT(($Q$12:$AA$12&lt;&gt;"")*ROUND($Q585:$AA585,15-13*ORÇAMENTO!$AF$7))))</f>
        <v>108</v>
      </c>
      <c r="I585" s="561" t="s">
        <v>890</v>
      </c>
      <c r="K585" s="174"/>
      <c r="L585" s="175" t="s">
        <v>255</v>
      </c>
      <c r="M585" s="176">
        <f ca="1">IF($D585&lt;&gt;"Serviço","",IF(AUTOEVENTO="manual",$A585,IF(ISERROR(MATCH($A585,$A$15:OFFSET($A585,-1,0),0)),MAX($M$15:OFFSET(M585,-1,0))+1,INDEX($M$15:OFFSET(M585,-1,0),MATCH($A585,$A$15:OFFSET($A585,-1,0),0)))))</f>
        <v>18</v>
      </c>
      <c r="N585" s="177" t="str">
        <f ca="1">IF($D585&lt;&gt;"Serviço","",IF(AUTOEVENTO="Manual",IF($A585=0,"&lt;-- defina o número do agrupador",OFFSET(EVENTOS!$D$14,$A585,0)),OFFSET($F$15,$A585,0)))</f>
        <v>INSTALAÇÕES ELÉTRICAS - 220V</v>
      </c>
      <c r="O585" s="178"/>
      <c r="Q585" s="178"/>
      <c r="R585" s="179"/>
      <c r="S585" s="179"/>
      <c r="T585" s="179"/>
      <c r="U585" s="179"/>
      <c r="V585" s="179"/>
      <c r="W585" s="179"/>
      <c r="X585" s="179"/>
      <c r="Y585" s="179"/>
      <c r="Z585" s="180"/>
      <c r="AB585" s="544">
        <f ca="1">IF(AND($D585="Serviço",AB$12&lt;&gt;0,$H585&gt;0,OR(AUTOEVENTO&lt;&gt;"manual",$M585&lt;&gt;1)),
IF(Import.TipoArredondamento&lt;&gt;"TransfereGOV",
ROUND(OFFSET($P585,0,AB$13),15-13*ORÇAMENTO!$AF$7)/$H585*OFFSET(ORÇAMENTO!$X$15,ROW(AB585)-ROW(AB$15),0),
ROUND(ROUND(OFFSET($P585,0,AB$13),15-13*ORÇAMENTO!$AF$7)*OFFSET(ORÇAMENTO!$W$15,ROW(AB585)-ROW(AB$15),0),15-13*ORÇAMENTO!$AF$11)),0)</f>
        <v>0</v>
      </c>
      <c r="AC585" s="545">
        <f ca="1">IF(AND($D585="Serviço",AC$12&lt;&gt;0,$H585&gt;0,OR(AUTOEVENTO&lt;&gt;"manual",$M585&lt;&gt;1)),
IF(Import.TipoArredondamento&lt;&gt;"TransfereGOV",
ROUND(OFFSET($P585,0,AC$13),15-13*ORÇAMENTO!$AF$7)/$H585*OFFSET(ORÇAMENTO!$X$15,ROW(AC585)-ROW(AC$15),0),
ROUND(ROUND(OFFSET($P585,0,AC$13),15-13*ORÇAMENTO!$AF$7)*OFFSET(ORÇAMENTO!$W$15,ROW(AC585)-ROW(AC$15),0),15-13*ORÇAMENTO!$AF$11)),0)</f>
        <v>0</v>
      </c>
      <c r="AD585" s="545">
        <f ca="1">IF(AND($D585="Serviço",AD$12&lt;&gt;0,$H585&gt;0,OR(AUTOEVENTO&lt;&gt;"manual",$M585&lt;&gt;1)),
IF(Import.TipoArredondamento&lt;&gt;"TransfereGOV",
ROUND(OFFSET($P585,0,AD$13),15-13*ORÇAMENTO!$AF$7)/$H585*OFFSET(ORÇAMENTO!$X$15,ROW(AD585)-ROW(AD$15),0),
ROUND(ROUND(OFFSET($P585,0,AD$13),15-13*ORÇAMENTO!$AF$7)*OFFSET(ORÇAMENTO!$W$15,ROW(AD585)-ROW(AD$15),0),15-13*ORÇAMENTO!$AF$11)),0)</f>
        <v>0</v>
      </c>
      <c r="AE585" s="545">
        <f ca="1">IF(AND($D585="Serviço",AE$12&lt;&gt;0,$H585&gt;0,OR(AUTOEVENTO&lt;&gt;"manual",$M585&lt;&gt;1)),
IF(Import.TipoArredondamento&lt;&gt;"TransfereGOV",
ROUND(OFFSET($P585,0,AE$13),15-13*ORÇAMENTO!$AF$7)/$H585*OFFSET(ORÇAMENTO!$X$15,ROW(AE585)-ROW(AE$15),0),
ROUND(ROUND(OFFSET($P585,0,AE$13),15-13*ORÇAMENTO!$AF$7)*OFFSET(ORÇAMENTO!$W$15,ROW(AE585)-ROW(AE$15),0),15-13*ORÇAMENTO!$AF$11)),0)</f>
        <v>0</v>
      </c>
      <c r="AF585" s="545">
        <f ca="1">IF(AND($D585="Serviço",AF$12&lt;&gt;0,$H585&gt;0,OR(AUTOEVENTO&lt;&gt;"manual",$M585&lt;&gt;1)),
IF(Import.TipoArredondamento&lt;&gt;"TransfereGOV",
ROUND(OFFSET($P585,0,AF$13),15-13*ORÇAMENTO!$AF$7)/$H585*OFFSET(ORÇAMENTO!$X$15,ROW(AF585)-ROW(AF$15),0),
ROUND(ROUND(OFFSET($P585,0,AF$13),15-13*ORÇAMENTO!$AF$7)*OFFSET(ORÇAMENTO!$W$15,ROW(AF585)-ROW(AF$15),0),15-13*ORÇAMENTO!$AF$11)),0)</f>
        <v>0</v>
      </c>
      <c r="AG585" s="545">
        <f ca="1">IF(AND($D585="Serviço",AG$12&lt;&gt;0,$H585&gt;0,OR(AUTOEVENTO&lt;&gt;"manual",$M585&lt;&gt;1)),
IF(Import.TipoArredondamento&lt;&gt;"TransfereGOV",
ROUND(OFFSET($P585,0,AG$13),15-13*ORÇAMENTO!$AF$7)/$H585*OFFSET(ORÇAMENTO!$X$15,ROW(AG585)-ROW(AG$15),0),
ROUND(ROUND(OFFSET($P585,0,AG$13),15-13*ORÇAMENTO!$AF$7)*OFFSET(ORÇAMENTO!$W$15,ROW(AG585)-ROW(AG$15),0),15-13*ORÇAMENTO!$AF$11)),0)</f>
        <v>0</v>
      </c>
      <c r="AH585" s="545">
        <f ca="1">IF(AND($D585="Serviço",AH$12&lt;&gt;0,$H585&gt;0,OR(AUTOEVENTO&lt;&gt;"manual",$M585&lt;&gt;1)),
IF(Import.TipoArredondamento&lt;&gt;"TransfereGOV",
ROUND(OFFSET($P585,0,AH$13),15-13*ORÇAMENTO!$AF$7)/$H585*OFFSET(ORÇAMENTO!$X$15,ROW(AH585)-ROW(AH$15),0),
ROUND(ROUND(OFFSET($P585,0,AH$13),15-13*ORÇAMENTO!$AF$7)*OFFSET(ORÇAMENTO!$W$15,ROW(AH585)-ROW(AH$15),0),15-13*ORÇAMENTO!$AF$11)),0)</f>
        <v>0</v>
      </c>
      <c r="AI585" s="545">
        <f ca="1">IF(AND($D585="Serviço",AI$12&lt;&gt;0,$H585&gt;0,OR(AUTOEVENTO&lt;&gt;"manual",$M585&lt;&gt;1)),
IF(Import.TipoArredondamento&lt;&gt;"TransfereGOV",
ROUND(OFFSET($P585,0,AI$13),15-13*ORÇAMENTO!$AF$7)/$H585*OFFSET(ORÇAMENTO!$X$15,ROW(AI585)-ROW(AI$15),0),
ROUND(ROUND(OFFSET($P585,0,AI$13),15-13*ORÇAMENTO!$AF$7)*OFFSET(ORÇAMENTO!$W$15,ROW(AI585)-ROW(AI$15),0),15-13*ORÇAMENTO!$AF$11)),0)</f>
        <v>0</v>
      </c>
      <c r="AJ585" s="545">
        <f ca="1">IF(AND($D585="Serviço",AJ$12&lt;&gt;0,$H585&gt;0,OR(AUTOEVENTO&lt;&gt;"manual",$M585&lt;&gt;1)),
IF(Import.TipoArredondamento&lt;&gt;"TransfereGOV",
ROUND(OFFSET($P585,0,AJ$13),15-13*ORÇAMENTO!$AF$7)/$H585*OFFSET(ORÇAMENTO!$X$15,ROW(AJ585)-ROW(AJ$15),0),
ROUND(ROUND(OFFSET($P585,0,AJ$13),15-13*ORÇAMENTO!$AF$7)*OFFSET(ORÇAMENTO!$W$15,ROW(AJ585)-ROW(AJ$15),0),15-13*ORÇAMENTO!$AF$11)),0)</f>
        <v>0</v>
      </c>
      <c r="AK585" s="546">
        <f ca="1">IF(AND($D585="Serviço",AK$12&lt;&gt;0,$H585&gt;0,OR(AUTOEVENTO&lt;&gt;"manual",$M585&lt;&gt;1)),
IF(Import.TipoArredondamento&lt;&gt;"TransfereGOV",
ROUND(OFFSET($P585,0,AK$13),15-13*ORÇAMENTO!$AF$7)/$H585*OFFSET(ORÇAMENTO!$X$15,ROW(AK585)-ROW(AK$15),0),
ROUND(ROUND(OFFSET($P585,0,AK$13),15-13*ORÇAMENTO!$AF$7)*OFFSET(ORÇAMENTO!$W$15,ROW(AK585)-ROW(AK$15),0),15-13*ORÇAMENTO!$AF$11)),0)</f>
        <v>0</v>
      </c>
      <c r="AM585" s="181">
        <f ca="1">IF($D585&lt;&gt;"Serviço",0,IF(AND(AUTOEVENTO="Manual",$M585=1),0,IF(OFFSET(CRONOPLE!$F$14,$M585,AM$13)="",10^12,OFFSET(CRONOPLE!$F$14,$M585,AM$13))))</f>
        <v>1000000000000</v>
      </c>
      <c r="AN585" s="181">
        <f ca="1">IF($D585&lt;&gt;"Serviço",0,IF(AND(AUTOEVENTO="Manual",$M585=1),0,IF(OFFSET(CRONOPLE!$F$14,$M585,AN$13)="",10^12,OFFSET(CRONOPLE!$F$14,$M585,AN$13))))</f>
        <v>1000000000000</v>
      </c>
      <c r="AO585" s="181">
        <f ca="1">IF($D585&lt;&gt;"Serviço",0,IF(AND(AUTOEVENTO="Manual",$M585=1),0,IF(OFFSET(CRONOPLE!$F$14,$M585,AO$13)="",10^12,OFFSET(CRONOPLE!$F$14,$M585,AO$13))))</f>
        <v>1000000000000</v>
      </c>
      <c r="AP585" s="181">
        <f ca="1">IF($D585&lt;&gt;"Serviço",0,IF(AND(AUTOEVENTO="Manual",$M585=1),0,IF(OFFSET(CRONOPLE!$F$14,$M585,AP$13)="",10^12,OFFSET(CRONOPLE!$F$14,$M585,AP$13))))</f>
        <v>1000000000000</v>
      </c>
      <c r="AQ585" s="181">
        <f ca="1">IF($D585&lt;&gt;"Serviço",0,IF(AND(AUTOEVENTO="Manual",$M585=1),0,IF(OFFSET(CRONOPLE!$F$14,$M585,AQ$13)="",10^12,OFFSET(CRONOPLE!$F$14,$M585,AQ$13))))</f>
        <v>1000000000000</v>
      </c>
      <c r="AR585" s="181">
        <f ca="1">IF($D585&lt;&gt;"Serviço",0,IF(AND(AUTOEVENTO="Manual",$M585=1),0,IF(OFFSET(CRONOPLE!$F$14,$M585,AR$13)="",10^12,OFFSET(CRONOPLE!$F$14,$M585,AR$13))))</f>
        <v>1000000000000</v>
      </c>
      <c r="AS585" s="181">
        <f ca="1">IF($D585&lt;&gt;"Serviço",0,IF(AND(AUTOEVENTO="Manual",$M585=1),0,IF(OFFSET(CRONOPLE!$F$14,$M585,AS$13)="",10^12,OFFSET(CRONOPLE!$F$14,$M585,AS$13))))</f>
        <v>1000000000000</v>
      </c>
      <c r="AT585" s="181">
        <f ca="1">IF($D585&lt;&gt;"Serviço",0,IF(AND(AUTOEVENTO="Manual",$M585=1),0,IF(OFFSET(CRONOPLE!$F$14,$M585,AT$13)="",10^12,OFFSET(CRONOPLE!$F$14,$M585,AT$13))))</f>
        <v>1000000000000</v>
      </c>
      <c r="AU585" s="181">
        <f ca="1">IF($D585&lt;&gt;"Serviço",0,IF(AND(AUTOEVENTO="Manual",$M585=1),0,IF(OFFSET(CRONOPLE!$F$14,$M585,AU$13)="",10^12,OFFSET(CRONOPLE!$F$14,$M585,AU$13))))</f>
        <v>1000000000000</v>
      </c>
      <c r="AV585" s="181">
        <f ca="1">IF($D585&lt;&gt;"Serviço",0,IF(AND(AUTOEVENTO="Manual",$M585=1),0,IF(OFFSET(CRONOPLE!$F$14,$M585,AV$13)="",10^12,OFFSET(CRONOPLE!$F$14,$M585,AV$13))))</f>
        <v>1000000000000</v>
      </c>
      <c r="AX585" s="182">
        <f ca="1">IF($D585&lt;&gt;"Serviço",0,IF(OR(AND(AUTOEVENTO="Manual",$M585=1),$M585&gt;(ROW(PLE.lastrow)-ROW(PLE.firstrow))),0,IF(OFFSET(PLE!$G$14,$M585,AX$13)="",10^12,OFFSET(PLE!$G$14,$M585,AX$13))))</f>
        <v>1000000000000</v>
      </c>
      <c r="AY585" s="182">
        <f ca="1">IF($D585&lt;&gt;"Serviço",0,IF(OR(AND(AUTOEVENTO="Manual",$M585=1),$M585&gt;(ROW(PLE.lastrow)-ROW(PLE.firstrow))),0,IF(OFFSET(PLE!$G$14,$M585,AY$13)="",10^12,OFFSET(PLE!$G$14,$M585,AY$13))))</f>
        <v>1000000000000</v>
      </c>
      <c r="AZ585" s="182">
        <f ca="1">IF($D585&lt;&gt;"Serviço",0,IF(OR(AND(AUTOEVENTO="Manual",$M585=1),$M585&gt;(ROW(PLE.lastrow)-ROW(PLE.firstrow))),0,IF(OFFSET(PLE!$G$14,$M585,AZ$13)="",10^12,OFFSET(PLE!$G$14,$M585,AZ$13))))</f>
        <v>1000000000000</v>
      </c>
      <c r="BA585" s="182">
        <f ca="1">IF($D585&lt;&gt;"Serviço",0,IF(OR(AND(AUTOEVENTO="Manual",$M585=1),$M585&gt;(ROW(PLE.lastrow)-ROW(PLE.firstrow))),0,IF(OFFSET(PLE!$G$14,$M585,BA$13)="",10^12,OFFSET(PLE!$G$14,$M585,BA$13))))</f>
        <v>1000000000000</v>
      </c>
      <c r="BB585" s="182">
        <f ca="1">IF($D585&lt;&gt;"Serviço",0,IF(OR(AND(AUTOEVENTO="Manual",$M585=1),$M585&gt;(ROW(PLE.lastrow)-ROW(PLE.firstrow))),0,IF(OFFSET(PLE!$G$14,$M585,BB$13)="",10^12,OFFSET(PLE!$G$14,$M585,BB$13))))</f>
        <v>1000000000000</v>
      </c>
      <c r="BC585" s="182">
        <f ca="1">IF($D585&lt;&gt;"Serviço",0,IF(OR(AND(AUTOEVENTO="Manual",$M585=1),$M585&gt;(ROW(PLE.lastrow)-ROW(PLE.firstrow))),0,IF(OFFSET(PLE!$G$14,$M585,BC$13)="",10^12,OFFSET(PLE!$G$14,$M585,BC$13))))</f>
        <v>1000000000000</v>
      </c>
      <c r="BD585" s="182">
        <f ca="1">IF($D585&lt;&gt;"Serviço",0,IF(OR(AND(AUTOEVENTO="Manual",$M585=1),$M585&gt;(ROW(PLE.lastrow)-ROW(PLE.firstrow))),0,IF(OFFSET(PLE!$G$14,$M585,BD$13)="",10^12,OFFSET(PLE!$G$14,$M585,BD$13))))</f>
        <v>1000000000000</v>
      </c>
      <c r="BE585" s="182">
        <f ca="1">IF($D585&lt;&gt;"Serviço",0,IF(OR(AND(AUTOEVENTO="Manual",$M585=1),$M585&gt;(ROW(PLE.lastrow)-ROW(PLE.firstrow))),0,IF(OFFSET(PLE!$G$14,$M585,BE$13)="",10^12,OFFSET(PLE!$G$14,$M585,BE$13))))</f>
        <v>1000000000000</v>
      </c>
      <c r="BF585" s="182">
        <f ca="1">IF($D585&lt;&gt;"Serviço",0,IF(OR(AND(AUTOEVENTO="Manual",$M585=1),$M585&gt;(ROW(PLE.lastrow)-ROW(PLE.firstrow))),0,IF(OFFSET(PLE!$G$14,$M585,BF$13)="",10^12,OFFSET(PLE!$G$14,$M585,BF$13))))</f>
        <v>1000000000000</v>
      </c>
      <c r="BG585" s="182">
        <f ca="1">IF($D585&lt;&gt;"Serviço",0,IF(OR(AND(AUTOEVENTO="Manual",$M585=1),$M585&gt;(ROW(PLE.lastrow)-ROW(PLE.firstrow))),0,IF(OFFSET(PLE!$G$14,$M585,BG$13)="",10^12,OFFSET(PLE!$G$14,$M585,BG$13))))</f>
        <v>1000000000000</v>
      </c>
    </row>
    <row r="586" spans="1:59" ht="38.25" x14ac:dyDescent="0.2">
      <c r="A586" s="7" t="str">
        <f t="shared" ca="1" si="16"/>
        <v>472</v>
      </c>
      <c r="B586" s="7" t="str">
        <f ca="1">OFFSET(ORÇAMENTO!C$15,ROW(B586)-ROW(B$15),0)</f>
        <v>S</v>
      </c>
      <c r="C586" s="7" t="str">
        <f ca="1">OFFSET(ORÇAMENTO!L$15,ROW(C586)-ROW(C$15),0)</f>
        <v/>
      </c>
      <c r="D586" s="118" t="str">
        <f ca="1">OFFSET(ORÇAMENTO!N$15,ROW(D586)-ROW(D$15),0)</f>
        <v>Serviço</v>
      </c>
      <c r="E586" s="119" t="str">
        <f ca="1">OFFSET(ORÇAMENTO!O$15,ROW(E586)-ROW(E$15),0)</f>
        <v>-</v>
      </c>
      <c r="F586" s="172" t="str">
        <f ca="1">OFFSET(ORÇAMENTO!R$15,ROW(F586)-ROW(F$15),0)</f>
        <v>(abra o arquivo 'Referência 02-2025.xlsm)</v>
      </c>
      <c r="G586" s="173" t="str">
        <f ca="1">IF($D586&lt;&gt;"Serviço","",OFFSET(ORÇAMENTO!S$15,ROW(G586)-ROW(G$15),0))</f>
        <v>-</v>
      </c>
      <c r="H586" s="124">
        <f ca="1">IF($D586&lt;&gt;"Serviço",0,IF(ACOMPANHAMENTO="BM",ROUND(OFFSET(ORÇAMENTO!AJ$15,ROW(H586)-ROW(H$15),0),15-13*ORÇAMENTO!$AF$7),SUMPRODUCT(($Q$12:$AA$12&lt;&gt;"")*ROUND($Q586:$AA586,15-13*ORÇAMENTO!$AF$7))))</f>
        <v>1553.6</v>
      </c>
      <c r="I586" s="561" t="s">
        <v>890</v>
      </c>
      <c r="K586" s="174"/>
      <c r="L586" s="175" t="s">
        <v>255</v>
      </c>
      <c r="M586" s="176">
        <f ca="1">IF($D586&lt;&gt;"Serviço","",IF(AUTOEVENTO="manual",$A586,IF(ISERROR(MATCH($A586,$A$15:OFFSET($A586,-1,0),0)),MAX($M$15:OFFSET(M586,-1,0))+1,INDEX($M$15:OFFSET(M586,-1,0),MATCH($A586,$A$15:OFFSET($A586,-1,0),0)))))</f>
        <v>18</v>
      </c>
      <c r="N586" s="177" t="str">
        <f ca="1">IF($D586&lt;&gt;"Serviço","",IF(AUTOEVENTO="Manual",IF($A586=0,"&lt;-- defina o número do agrupador",OFFSET(EVENTOS!$D$14,$A586,0)),OFFSET($F$15,$A586,0)))</f>
        <v>INSTALAÇÕES ELÉTRICAS - 220V</v>
      </c>
      <c r="O586" s="178"/>
      <c r="Q586" s="178"/>
      <c r="R586" s="179"/>
      <c r="S586" s="179"/>
      <c r="T586" s="179"/>
      <c r="U586" s="179"/>
      <c r="V586" s="179"/>
      <c r="W586" s="179"/>
      <c r="X586" s="179"/>
      <c r="Y586" s="179"/>
      <c r="Z586" s="180"/>
      <c r="AB586" s="544">
        <f ca="1">IF(AND($D586="Serviço",AB$12&lt;&gt;0,$H586&gt;0,OR(AUTOEVENTO&lt;&gt;"manual",$M586&lt;&gt;1)),
IF(Import.TipoArredondamento&lt;&gt;"TransfereGOV",
ROUND(OFFSET($P586,0,AB$13),15-13*ORÇAMENTO!$AF$7)/$H586*OFFSET(ORÇAMENTO!$X$15,ROW(AB586)-ROW(AB$15),0),
ROUND(ROUND(OFFSET($P586,0,AB$13),15-13*ORÇAMENTO!$AF$7)*OFFSET(ORÇAMENTO!$W$15,ROW(AB586)-ROW(AB$15),0),15-13*ORÇAMENTO!$AF$11)),0)</f>
        <v>0</v>
      </c>
      <c r="AC586" s="545">
        <f ca="1">IF(AND($D586="Serviço",AC$12&lt;&gt;0,$H586&gt;0,OR(AUTOEVENTO&lt;&gt;"manual",$M586&lt;&gt;1)),
IF(Import.TipoArredondamento&lt;&gt;"TransfereGOV",
ROUND(OFFSET($P586,0,AC$13),15-13*ORÇAMENTO!$AF$7)/$H586*OFFSET(ORÇAMENTO!$X$15,ROW(AC586)-ROW(AC$15),0),
ROUND(ROUND(OFFSET($P586,0,AC$13),15-13*ORÇAMENTO!$AF$7)*OFFSET(ORÇAMENTO!$W$15,ROW(AC586)-ROW(AC$15),0),15-13*ORÇAMENTO!$AF$11)),0)</f>
        <v>0</v>
      </c>
      <c r="AD586" s="545">
        <f ca="1">IF(AND($D586="Serviço",AD$12&lt;&gt;0,$H586&gt;0,OR(AUTOEVENTO&lt;&gt;"manual",$M586&lt;&gt;1)),
IF(Import.TipoArredondamento&lt;&gt;"TransfereGOV",
ROUND(OFFSET($P586,0,AD$13),15-13*ORÇAMENTO!$AF$7)/$H586*OFFSET(ORÇAMENTO!$X$15,ROW(AD586)-ROW(AD$15),0),
ROUND(ROUND(OFFSET($P586,0,AD$13),15-13*ORÇAMENTO!$AF$7)*OFFSET(ORÇAMENTO!$W$15,ROW(AD586)-ROW(AD$15),0),15-13*ORÇAMENTO!$AF$11)),0)</f>
        <v>0</v>
      </c>
      <c r="AE586" s="545">
        <f ca="1">IF(AND($D586="Serviço",AE$12&lt;&gt;0,$H586&gt;0,OR(AUTOEVENTO&lt;&gt;"manual",$M586&lt;&gt;1)),
IF(Import.TipoArredondamento&lt;&gt;"TransfereGOV",
ROUND(OFFSET($P586,0,AE$13),15-13*ORÇAMENTO!$AF$7)/$H586*OFFSET(ORÇAMENTO!$X$15,ROW(AE586)-ROW(AE$15),0),
ROUND(ROUND(OFFSET($P586,0,AE$13),15-13*ORÇAMENTO!$AF$7)*OFFSET(ORÇAMENTO!$W$15,ROW(AE586)-ROW(AE$15),0),15-13*ORÇAMENTO!$AF$11)),0)</f>
        <v>0</v>
      </c>
      <c r="AF586" s="545">
        <f ca="1">IF(AND($D586="Serviço",AF$12&lt;&gt;0,$H586&gt;0,OR(AUTOEVENTO&lt;&gt;"manual",$M586&lt;&gt;1)),
IF(Import.TipoArredondamento&lt;&gt;"TransfereGOV",
ROUND(OFFSET($P586,0,AF$13),15-13*ORÇAMENTO!$AF$7)/$H586*OFFSET(ORÇAMENTO!$X$15,ROW(AF586)-ROW(AF$15),0),
ROUND(ROUND(OFFSET($P586,0,AF$13),15-13*ORÇAMENTO!$AF$7)*OFFSET(ORÇAMENTO!$W$15,ROW(AF586)-ROW(AF$15),0),15-13*ORÇAMENTO!$AF$11)),0)</f>
        <v>0</v>
      </c>
      <c r="AG586" s="545">
        <f ca="1">IF(AND($D586="Serviço",AG$12&lt;&gt;0,$H586&gt;0,OR(AUTOEVENTO&lt;&gt;"manual",$M586&lt;&gt;1)),
IF(Import.TipoArredondamento&lt;&gt;"TransfereGOV",
ROUND(OFFSET($P586,0,AG$13),15-13*ORÇAMENTO!$AF$7)/$H586*OFFSET(ORÇAMENTO!$X$15,ROW(AG586)-ROW(AG$15),0),
ROUND(ROUND(OFFSET($P586,0,AG$13),15-13*ORÇAMENTO!$AF$7)*OFFSET(ORÇAMENTO!$W$15,ROW(AG586)-ROW(AG$15),0),15-13*ORÇAMENTO!$AF$11)),0)</f>
        <v>0</v>
      </c>
      <c r="AH586" s="545">
        <f ca="1">IF(AND($D586="Serviço",AH$12&lt;&gt;0,$H586&gt;0,OR(AUTOEVENTO&lt;&gt;"manual",$M586&lt;&gt;1)),
IF(Import.TipoArredondamento&lt;&gt;"TransfereGOV",
ROUND(OFFSET($P586,0,AH$13),15-13*ORÇAMENTO!$AF$7)/$H586*OFFSET(ORÇAMENTO!$X$15,ROW(AH586)-ROW(AH$15),0),
ROUND(ROUND(OFFSET($P586,0,AH$13),15-13*ORÇAMENTO!$AF$7)*OFFSET(ORÇAMENTO!$W$15,ROW(AH586)-ROW(AH$15),0),15-13*ORÇAMENTO!$AF$11)),0)</f>
        <v>0</v>
      </c>
      <c r="AI586" s="545">
        <f ca="1">IF(AND($D586="Serviço",AI$12&lt;&gt;0,$H586&gt;0,OR(AUTOEVENTO&lt;&gt;"manual",$M586&lt;&gt;1)),
IF(Import.TipoArredondamento&lt;&gt;"TransfereGOV",
ROUND(OFFSET($P586,0,AI$13),15-13*ORÇAMENTO!$AF$7)/$H586*OFFSET(ORÇAMENTO!$X$15,ROW(AI586)-ROW(AI$15),0),
ROUND(ROUND(OFFSET($P586,0,AI$13),15-13*ORÇAMENTO!$AF$7)*OFFSET(ORÇAMENTO!$W$15,ROW(AI586)-ROW(AI$15),0),15-13*ORÇAMENTO!$AF$11)),0)</f>
        <v>0</v>
      </c>
      <c r="AJ586" s="545">
        <f ca="1">IF(AND($D586="Serviço",AJ$12&lt;&gt;0,$H586&gt;0,OR(AUTOEVENTO&lt;&gt;"manual",$M586&lt;&gt;1)),
IF(Import.TipoArredondamento&lt;&gt;"TransfereGOV",
ROUND(OFFSET($P586,0,AJ$13),15-13*ORÇAMENTO!$AF$7)/$H586*OFFSET(ORÇAMENTO!$X$15,ROW(AJ586)-ROW(AJ$15),0),
ROUND(ROUND(OFFSET($P586,0,AJ$13),15-13*ORÇAMENTO!$AF$7)*OFFSET(ORÇAMENTO!$W$15,ROW(AJ586)-ROW(AJ$15),0),15-13*ORÇAMENTO!$AF$11)),0)</f>
        <v>0</v>
      </c>
      <c r="AK586" s="546">
        <f ca="1">IF(AND($D586="Serviço",AK$12&lt;&gt;0,$H586&gt;0,OR(AUTOEVENTO&lt;&gt;"manual",$M586&lt;&gt;1)),
IF(Import.TipoArredondamento&lt;&gt;"TransfereGOV",
ROUND(OFFSET($P586,0,AK$13),15-13*ORÇAMENTO!$AF$7)/$H586*OFFSET(ORÇAMENTO!$X$15,ROW(AK586)-ROW(AK$15),0),
ROUND(ROUND(OFFSET($P586,0,AK$13),15-13*ORÇAMENTO!$AF$7)*OFFSET(ORÇAMENTO!$W$15,ROW(AK586)-ROW(AK$15),0),15-13*ORÇAMENTO!$AF$11)),0)</f>
        <v>0</v>
      </c>
      <c r="AM586" s="181">
        <f ca="1">IF($D586&lt;&gt;"Serviço",0,IF(AND(AUTOEVENTO="Manual",$M586=1),0,IF(OFFSET(CRONOPLE!$F$14,$M586,AM$13)="",10^12,OFFSET(CRONOPLE!$F$14,$M586,AM$13))))</f>
        <v>1000000000000</v>
      </c>
      <c r="AN586" s="181">
        <f ca="1">IF($D586&lt;&gt;"Serviço",0,IF(AND(AUTOEVENTO="Manual",$M586=1),0,IF(OFFSET(CRONOPLE!$F$14,$M586,AN$13)="",10^12,OFFSET(CRONOPLE!$F$14,$M586,AN$13))))</f>
        <v>1000000000000</v>
      </c>
      <c r="AO586" s="181">
        <f ca="1">IF($D586&lt;&gt;"Serviço",0,IF(AND(AUTOEVENTO="Manual",$M586=1),0,IF(OFFSET(CRONOPLE!$F$14,$M586,AO$13)="",10^12,OFFSET(CRONOPLE!$F$14,$M586,AO$13))))</f>
        <v>1000000000000</v>
      </c>
      <c r="AP586" s="181">
        <f ca="1">IF($D586&lt;&gt;"Serviço",0,IF(AND(AUTOEVENTO="Manual",$M586=1),0,IF(OFFSET(CRONOPLE!$F$14,$M586,AP$13)="",10^12,OFFSET(CRONOPLE!$F$14,$M586,AP$13))))</f>
        <v>1000000000000</v>
      </c>
      <c r="AQ586" s="181">
        <f ca="1">IF($D586&lt;&gt;"Serviço",0,IF(AND(AUTOEVENTO="Manual",$M586=1),0,IF(OFFSET(CRONOPLE!$F$14,$M586,AQ$13)="",10^12,OFFSET(CRONOPLE!$F$14,$M586,AQ$13))))</f>
        <v>1000000000000</v>
      </c>
      <c r="AR586" s="181">
        <f ca="1">IF($D586&lt;&gt;"Serviço",0,IF(AND(AUTOEVENTO="Manual",$M586=1),0,IF(OFFSET(CRONOPLE!$F$14,$M586,AR$13)="",10^12,OFFSET(CRONOPLE!$F$14,$M586,AR$13))))</f>
        <v>1000000000000</v>
      </c>
      <c r="AS586" s="181">
        <f ca="1">IF($D586&lt;&gt;"Serviço",0,IF(AND(AUTOEVENTO="Manual",$M586=1),0,IF(OFFSET(CRONOPLE!$F$14,$M586,AS$13)="",10^12,OFFSET(CRONOPLE!$F$14,$M586,AS$13))))</f>
        <v>1000000000000</v>
      </c>
      <c r="AT586" s="181">
        <f ca="1">IF($D586&lt;&gt;"Serviço",0,IF(AND(AUTOEVENTO="Manual",$M586=1),0,IF(OFFSET(CRONOPLE!$F$14,$M586,AT$13)="",10^12,OFFSET(CRONOPLE!$F$14,$M586,AT$13))))</f>
        <v>1000000000000</v>
      </c>
      <c r="AU586" s="181">
        <f ca="1">IF($D586&lt;&gt;"Serviço",0,IF(AND(AUTOEVENTO="Manual",$M586=1),0,IF(OFFSET(CRONOPLE!$F$14,$M586,AU$13)="",10^12,OFFSET(CRONOPLE!$F$14,$M586,AU$13))))</f>
        <v>1000000000000</v>
      </c>
      <c r="AV586" s="181">
        <f ca="1">IF($D586&lt;&gt;"Serviço",0,IF(AND(AUTOEVENTO="Manual",$M586=1),0,IF(OFFSET(CRONOPLE!$F$14,$M586,AV$13)="",10^12,OFFSET(CRONOPLE!$F$14,$M586,AV$13))))</f>
        <v>1000000000000</v>
      </c>
      <c r="AX586" s="182">
        <f ca="1">IF($D586&lt;&gt;"Serviço",0,IF(OR(AND(AUTOEVENTO="Manual",$M586=1),$M586&gt;(ROW(PLE.lastrow)-ROW(PLE.firstrow))),0,IF(OFFSET(PLE!$G$14,$M586,AX$13)="",10^12,OFFSET(PLE!$G$14,$M586,AX$13))))</f>
        <v>1000000000000</v>
      </c>
      <c r="AY586" s="182">
        <f ca="1">IF($D586&lt;&gt;"Serviço",0,IF(OR(AND(AUTOEVENTO="Manual",$M586=1),$M586&gt;(ROW(PLE.lastrow)-ROW(PLE.firstrow))),0,IF(OFFSET(PLE!$G$14,$M586,AY$13)="",10^12,OFFSET(PLE!$G$14,$M586,AY$13))))</f>
        <v>1000000000000</v>
      </c>
      <c r="AZ586" s="182">
        <f ca="1">IF($D586&lt;&gt;"Serviço",0,IF(OR(AND(AUTOEVENTO="Manual",$M586=1),$M586&gt;(ROW(PLE.lastrow)-ROW(PLE.firstrow))),0,IF(OFFSET(PLE!$G$14,$M586,AZ$13)="",10^12,OFFSET(PLE!$G$14,$M586,AZ$13))))</f>
        <v>1000000000000</v>
      </c>
      <c r="BA586" s="182">
        <f ca="1">IF($D586&lt;&gt;"Serviço",0,IF(OR(AND(AUTOEVENTO="Manual",$M586=1),$M586&gt;(ROW(PLE.lastrow)-ROW(PLE.firstrow))),0,IF(OFFSET(PLE!$G$14,$M586,BA$13)="",10^12,OFFSET(PLE!$G$14,$M586,BA$13))))</f>
        <v>1000000000000</v>
      </c>
      <c r="BB586" s="182">
        <f ca="1">IF($D586&lt;&gt;"Serviço",0,IF(OR(AND(AUTOEVENTO="Manual",$M586=1),$M586&gt;(ROW(PLE.lastrow)-ROW(PLE.firstrow))),0,IF(OFFSET(PLE!$G$14,$M586,BB$13)="",10^12,OFFSET(PLE!$G$14,$M586,BB$13))))</f>
        <v>1000000000000</v>
      </c>
      <c r="BC586" s="182">
        <f ca="1">IF($D586&lt;&gt;"Serviço",0,IF(OR(AND(AUTOEVENTO="Manual",$M586=1),$M586&gt;(ROW(PLE.lastrow)-ROW(PLE.firstrow))),0,IF(OFFSET(PLE!$G$14,$M586,BC$13)="",10^12,OFFSET(PLE!$G$14,$M586,BC$13))))</f>
        <v>1000000000000</v>
      </c>
      <c r="BD586" s="182">
        <f ca="1">IF($D586&lt;&gt;"Serviço",0,IF(OR(AND(AUTOEVENTO="Manual",$M586=1),$M586&gt;(ROW(PLE.lastrow)-ROW(PLE.firstrow))),0,IF(OFFSET(PLE!$G$14,$M586,BD$13)="",10^12,OFFSET(PLE!$G$14,$M586,BD$13))))</f>
        <v>1000000000000</v>
      </c>
      <c r="BE586" s="182">
        <f ca="1">IF($D586&lt;&gt;"Serviço",0,IF(OR(AND(AUTOEVENTO="Manual",$M586=1),$M586&gt;(ROW(PLE.lastrow)-ROW(PLE.firstrow))),0,IF(OFFSET(PLE!$G$14,$M586,BE$13)="",10^12,OFFSET(PLE!$G$14,$M586,BE$13))))</f>
        <v>1000000000000</v>
      </c>
      <c r="BF586" s="182">
        <f ca="1">IF($D586&lt;&gt;"Serviço",0,IF(OR(AND(AUTOEVENTO="Manual",$M586=1),$M586&gt;(ROW(PLE.lastrow)-ROW(PLE.firstrow))),0,IF(OFFSET(PLE!$G$14,$M586,BF$13)="",10^12,OFFSET(PLE!$G$14,$M586,BF$13))))</f>
        <v>1000000000000</v>
      </c>
      <c r="BG586" s="182">
        <f ca="1">IF($D586&lt;&gt;"Serviço",0,IF(OR(AND(AUTOEVENTO="Manual",$M586=1),$M586&gt;(ROW(PLE.lastrow)-ROW(PLE.firstrow))),0,IF(OFFSET(PLE!$G$14,$M586,BG$13)="",10^12,OFFSET(PLE!$G$14,$M586,BG$13))))</f>
        <v>1000000000000</v>
      </c>
    </row>
    <row r="587" spans="1:59" ht="38.25" x14ac:dyDescent="0.2">
      <c r="A587" s="7" t="str">
        <f t="shared" ca="1" si="16"/>
        <v>472</v>
      </c>
      <c r="B587" s="7" t="str">
        <f ca="1">OFFSET(ORÇAMENTO!C$15,ROW(B587)-ROW(B$15),0)</f>
        <v>S</v>
      </c>
      <c r="C587" s="7" t="str">
        <f ca="1">OFFSET(ORÇAMENTO!L$15,ROW(C587)-ROW(C$15),0)</f>
        <v/>
      </c>
      <c r="D587" s="118" t="str">
        <f ca="1">OFFSET(ORÇAMENTO!N$15,ROW(D587)-ROW(D$15),0)</f>
        <v>Serviço</v>
      </c>
      <c r="E587" s="119" t="str">
        <f ca="1">OFFSET(ORÇAMENTO!O$15,ROW(E587)-ROW(E$15),0)</f>
        <v>-</v>
      </c>
      <c r="F587" s="172" t="str">
        <f ca="1">OFFSET(ORÇAMENTO!R$15,ROW(F587)-ROW(F$15),0)</f>
        <v>(abra o arquivo 'Referência 02-2025.xlsm)</v>
      </c>
      <c r="G587" s="173" t="str">
        <f ca="1">IF($D587&lt;&gt;"Serviço","",OFFSET(ORÇAMENTO!S$15,ROW(G587)-ROW(G$15),0))</f>
        <v>-</v>
      </c>
      <c r="H587" s="124">
        <f ca="1">IF($D587&lt;&gt;"Serviço",0,IF(ACOMPANHAMENTO="BM",ROUND(OFFSET(ORÇAMENTO!AJ$15,ROW(H587)-ROW(H$15),0),15-13*ORÇAMENTO!$AF$7),SUMPRODUCT(($Q$12:$AA$12&lt;&gt;"")*ROUND($Q587:$AA587,15-13*ORÇAMENTO!$AF$7))))</f>
        <v>17.2</v>
      </c>
      <c r="I587" s="561" t="s">
        <v>890</v>
      </c>
      <c r="K587" s="174"/>
      <c r="L587" s="175" t="s">
        <v>255</v>
      </c>
      <c r="M587" s="176">
        <f ca="1">IF($D587&lt;&gt;"Serviço","",IF(AUTOEVENTO="manual",$A587,IF(ISERROR(MATCH($A587,$A$15:OFFSET($A587,-1,0),0)),MAX($M$15:OFFSET(M587,-1,0))+1,INDEX($M$15:OFFSET(M587,-1,0),MATCH($A587,$A$15:OFFSET($A587,-1,0),0)))))</f>
        <v>18</v>
      </c>
      <c r="N587" s="177" t="str">
        <f ca="1">IF($D587&lt;&gt;"Serviço","",IF(AUTOEVENTO="Manual",IF($A587=0,"&lt;-- defina o número do agrupador",OFFSET(EVENTOS!$D$14,$A587,0)),OFFSET($F$15,$A587,0)))</f>
        <v>INSTALAÇÕES ELÉTRICAS - 220V</v>
      </c>
      <c r="O587" s="178"/>
      <c r="Q587" s="178"/>
      <c r="R587" s="179"/>
      <c r="S587" s="179"/>
      <c r="T587" s="179"/>
      <c r="U587" s="179"/>
      <c r="V587" s="179"/>
      <c r="W587" s="179"/>
      <c r="X587" s="179"/>
      <c r="Y587" s="179"/>
      <c r="Z587" s="180"/>
      <c r="AB587" s="544">
        <f ca="1">IF(AND($D587="Serviço",AB$12&lt;&gt;0,$H587&gt;0,OR(AUTOEVENTO&lt;&gt;"manual",$M587&lt;&gt;1)),
IF(Import.TipoArredondamento&lt;&gt;"TransfereGOV",
ROUND(OFFSET($P587,0,AB$13),15-13*ORÇAMENTO!$AF$7)/$H587*OFFSET(ORÇAMENTO!$X$15,ROW(AB587)-ROW(AB$15),0),
ROUND(ROUND(OFFSET($P587,0,AB$13),15-13*ORÇAMENTO!$AF$7)*OFFSET(ORÇAMENTO!$W$15,ROW(AB587)-ROW(AB$15),0),15-13*ORÇAMENTO!$AF$11)),0)</f>
        <v>0</v>
      </c>
      <c r="AC587" s="545">
        <f ca="1">IF(AND($D587="Serviço",AC$12&lt;&gt;0,$H587&gt;0,OR(AUTOEVENTO&lt;&gt;"manual",$M587&lt;&gt;1)),
IF(Import.TipoArredondamento&lt;&gt;"TransfereGOV",
ROUND(OFFSET($P587,0,AC$13),15-13*ORÇAMENTO!$AF$7)/$H587*OFFSET(ORÇAMENTO!$X$15,ROW(AC587)-ROW(AC$15),0),
ROUND(ROUND(OFFSET($P587,0,AC$13),15-13*ORÇAMENTO!$AF$7)*OFFSET(ORÇAMENTO!$W$15,ROW(AC587)-ROW(AC$15),0),15-13*ORÇAMENTO!$AF$11)),0)</f>
        <v>0</v>
      </c>
      <c r="AD587" s="545">
        <f ca="1">IF(AND($D587="Serviço",AD$12&lt;&gt;0,$H587&gt;0,OR(AUTOEVENTO&lt;&gt;"manual",$M587&lt;&gt;1)),
IF(Import.TipoArredondamento&lt;&gt;"TransfereGOV",
ROUND(OFFSET($P587,0,AD$13),15-13*ORÇAMENTO!$AF$7)/$H587*OFFSET(ORÇAMENTO!$X$15,ROW(AD587)-ROW(AD$15),0),
ROUND(ROUND(OFFSET($P587,0,AD$13),15-13*ORÇAMENTO!$AF$7)*OFFSET(ORÇAMENTO!$W$15,ROW(AD587)-ROW(AD$15),0),15-13*ORÇAMENTO!$AF$11)),0)</f>
        <v>0</v>
      </c>
      <c r="AE587" s="545">
        <f ca="1">IF(AND($D587="Serviço",AE$12&lt;&gt;0,$H587&gt;0,OR(AUTOEVENTO&lt;&gt;"manual",$M587&lt;&gt;1)),
IF(Import.TipoArredondamento&lt;&gt;"TransfereGOV",
ROUND(OFFSET($P587,0,AE$13),15-13*ORÇAMENTO!$AF$7)/$H587*OFFSET(ORÇAMENTO!$X$15,ROW(AE587)-ROW(AE$15),0),
ROUND(ROUND(OFFSET($P587,0,AE$13),15-13*ORÇAMENTO!$AF$7)*OFFSET(ORÇAMENTO!$W$15,ROW(AE587)-ROW(AE$15),0),15-13*ORÇAMENTO!$AF$11)),0)</f>
        <v>0</v>
      </c>
      <c r="AF587" s="545">
        <f ca="1">IF(AND($D587="Serviço",AF$12&lt;&gt;0,$H587&gt;0,OR(AUTOEVENTO&lt;&gt;"manual",$M587&lt;&gt;1)),
IF(Import.TipoArredondamento&lt;&gt;"TransfereGOV",
ROUND(OFFSET($P587,0,AF$13),15-13*ORÇAMENTO!$AF$7)/$H587*OFFSET(ORÇAMENTO!$X$15,ROW(AF587)-ROW(AF$15),0),
ROUND(ROUND(OFFSET($P587,0,AF$13),15-13*ORÇAMENTO!$AF$7)*OFFSET(ORÇAMENTO!$W$15,ROW(AF587)-ROW(AF$15),0),15-13*ORÇAMENTO!$AF$11)),0)</f>
        <v>0</v>
      </c>
      <c r="AG587" s="545">
        <f ca="1">IF(AND($D587="Serviço",AG$12&lt;&gt;0,$H587&gt;0,OR(AUTOEVENTO&lt;&gt;"manual",$M587&lt;&gt;1)),
IF(Import.TipoArredondamento&lt;&gt;"TransfereGOV",
ROUND(OFFSET($P587,0,AG$13),15-13*ORÇAMENTO!$AF$7)/$H587*OFFSET(ORÇAMENTO!$X$15,ROW(AG587)-ROW(AG$15),0),
ROUND(ROUND(OFFSET($P587,0,AG$13),15-13*ORÇAMENTO!$AF$7)*OFFSET(ORÇAMENTO!$W$15,ROW(AG587)-ROW(AG$15),0),15-13*ORÇAMENTO!$AF$11)),0)</f>
        <v>0</v>
      </c>
      <c r="AH587" s="545">
        <f ca="1">IF(AND($D587="Serviço",AH$12&lt;&gt;0,$H587&gt;0,OR(AUTOEVENTO&lt;&gt;"manual",$M587&lt;&gt;1)),
IF(Import.TipoArredondamento&lt;&gt;"TransfereGOV",
ROUND(OFFSET($P587,0,AH$13),15-13*ORÇAMENTO!$AF$7)/$H587*OFFSET(ORÇAMENTO!$X$15,ROW(AH587)-ROW(AH$15),0),
ROUND(ROUND(OFFSET($P587,0,AH$13),15-13*ORÇAMENTO!$AF$7)*OFFSET(ORÇAMENTO!$W$15,ROW(AH587)-ROW(AH$15),0),15-13*ORÇAMENTO!$AF$11)),0)</f>
        <v>0</v>
      </c>
      <c r="AI587" s="545">
        <f ca="1">IF(AND($D587="Serviço",AI$12&lt;&gt;0,$H587&gt;0,OR(AUTOEVENTO&lt;&gt;"manual",$M587&lt;&gt;1)),
IF(Import.TipoArredondamento&lt;&gt;"TransfereGOV",
ROUND(OFFSET($P587,0,AI$13),15-13*ORÇAMENTO!$AF$7)/$H587*OFFSET(ORÇAMENTO!$X$15,ROW(AI587)-ROW(AI$15),0),
ROUND(ROUND(OFFSET($P587,0,AI$13),15-13*ORÇAMENTO!$AF$7)*OFFSET(ORÇAMENTO!$W$15,ROW(AI587)-ROW(AI$15),0),15-13*ORÇAMENTO!$AF$11)),0)</f>
        <v>0</v>
      </c>
      <c r="AJ587" s="545">
        <f ca="1">IF(AND($D587="Serviço",AJ$12&lt;&gt;0,$H587&gt;0,OR(AUTOEVENTO&lt;&gt;"manual",$M587&lt;&gt;1)),
IF(Import.TipoArredondamento&lt;&gt;"TransfereGOV",
ROUND(OFFSET($P587,0,AJ$13),15-13*ORÇAMENTO!$AF$7)/$H587*OFFSET(ORÇAMENTO!$X$15,ROW(AJ587)-ROW(AJ$15),0),
ROUND(ROUND(OFFSET($P587,0,AJ$13),15-13*ORÇAMENTO!$AF$7)*OFFSET(ORÇAMENTO!$W$15,ROW(AJ587)-ROW(AJ$15),0),15-13*ORÇAMENTO!$AF$11)),0)</f>
        <v>0</v>
      </c>
      <c r="AK587" s="546">
        <f ca="1">IF(AND($D587="Serviço",AK$12&lt;&gt;0,$H587&gt;0,OR(AUTOEVENTO&lt;&gt;"manual",$M587&lt;&gt;1)),
IF(Import.TipoArredondamento&lt;&gt;"TransfereGOV",
ROUND(OFFSET($P587,0,AK$13),15-13*ORÇAMENTO!$AF$7)/$H587*OFFSET(ORÇAMENTO!$X$15,ROW(AK587)-ROW(AK$15),0),
ROUND(ROUND(OFFSET($P587,0,AK$13),15-13*ORÇAMENTO!$AF$7)*OFFSET(ORÇAMENTO!$W$15,ROW(AK587)-ROW(AK$15),0),15-13*ORÇAMENTO!$AF$11)),0)</f>
        <v>0</v>
      </c>
      <c r="AM587" s="181">
        <f ca="1">IF($D587&lt;&gt;"Serviço",0,IF(AND(AUTOEVENTO="Manual",$M587=1),0,IF(OFFSET(CRONOPLE!$F$14,$M587,AM$13)="",10^12,OFFSET(CRONOPLE!$F$14,$M587,AM$13))))</f>
        <v>1000000000000</v>
      </c>
      <c r="AN587" s="181">
        <f ca="1">IF($D587&lt;&gt;"Serviço",0,IF(AND(AUTOEVENTO="Manual",$M587=1),0,IF(OFFSET(CRONOPLE!$F$14,$M587,AN$13)="",10^12,OFFSET(CRONOPLE!$F$14,$M587,AN$13))))</f>
        <v>1000000000000</v>
      </c>
      <c r="AO587" s="181">
        <f ca="1">IF($D587&lt;&gt;"Serviço",0,IF(AND(AUTOEVENTO="Manual",$M587=1),0,IF(OFFSET(CRONOPLE!$F$14,$M587,AO$13)="",10^12,OFFSET(CRONOPLE!$F$14,$M587,AO$13))))</f>
        <v>1000000000000</v>
      </c>
      <c r="AP587" s="181">
        <f ca="1">IF($D587&lt;&gt;"Serviço",0,IF(AND(AUTOEVENTO="Manual",$M587=1),0,IF(OFFSET(CRONOPLE!$F$14,$M587,AP$13)="",10^12,OFFSET(CRONOPLE!$F$14,$M587,AP$13))))</f>
        <v>1000000000000</v>
      </c>
      <c r="AQ587" s="181">
        <f ca="1">IF($D587&lt;&gt;"Serviço",0,IF(AND(AUTOEVENTO="Manual",$M587=1),0,IF(OFFSET(CRONOPLE!$F$14,$M587,AQ$13)="",10^12,OFFSET(CRONOPLE!$F$14,$M587,AQ$13))))</f>
        <v>1000000000000</v>
      </c>
      <c r="AR587" s="181">
        <f ca="1">IF($D587&lt;&gt;"Serviço",0,IF(AND(AUTOEVENTO="Manual",$M587=1),0,IF(OFFSET(CRONOPLE!$F$14,$M587,AR$13)="",10^12,OFFSET(CRONOPLE!$F$14,$M587,AR$13))))</f>
        <v>1000000000000</v>
      </c>
      <c r="AS587" s="181">
        <f ca="1">IF($D587&lt;&gt;"Serviço",0,IF(AND(AUTOEVENTO="Manual",$M587=1),0,IF(OFFSET(CRONOPLE!$F$14,$M587,AS$13)="",10^12,OFFSET(CRONOPLE!$F$14,$M587,AS$13))))</f>
        <v>1000000000000</v>
      </c>
      <c r="AT587" s="181">
        <f ca="1">IF($D587&lt;&gt;"Serviço",0,IF(AND(AUTOEVENTO="Manual",$M587=1),0,IF(OFFSET(CRONOPLE!$F$14,$M587,AT$13)="",10^12,OFFSET(CRONOPLE!$F$14,$M587,AT$13))))</f>
        <v>1000000000000</v>
      </c>
      <c r="AU587" s="181">
        <f ca="1">IF($D587&lt;&gt;"Serviço",0,IF(AND(AUTOEVENTO="Manual",$M587=1),0,IF(OFFSET(CRONOPLE!$F$14,$M587,AU$13)="",10^12,OFFSET(CRONOPLE!$F$14,$M587,AU$13))))</f>
        <v>1000000000000</v>
      </c>
      <c r="AV587" s="181">
        <f ca="1">IF($D587&lt;&gt;"Serviço",0,IF(AND(AUTOEVENTO="Manual",$M587=1),0,IF(OFFSET(CRONOPLE!$F$14,$M587,AV$13)="",10^12,OFFSET(CRONOPLE!$F$14,$M587,AV$13))))</f>
        <v>1000000000000</v>
      </c>
      <c r="AX587" s="182">
        <f ca="1">IF($D587&lt;&gt;"Serviço",0,IF(OR(AND(AUTOEVENTO="Manual",$M587=1),$M587&gt;(ROW(PLE.lastrow)-ROW(PLE.firstrow))),0,IF(OFFSET(PLE!$G$14,$M587,AX$13)="",10^12,OFFSET(PLE!$G$14,$M587,AX$13))))</f>
        <v>1000000000000</v>
      </c>
      <c r="AY587" s="182">
        <f ca="1">IF($D587&lt;&gt;"Serviço",0,IF(OR(AND(AUTOEVENTO="Manual",$M587=1),$M587&gt;(ROW(PLE.lastrow)-ROW(PLE.firstrow))),0,IF(OFFSET(PLE!$G$14,$M587,AY$13)="",10^12,OFFSET(PLE!$G$14,$M587,AY$13))))</f>
        <v>1000000000000</v>
      </c>
      <c r="AZ587" s="182">
        <f ca="1">IF($D587&lt;&gt;"Serviço",0,IF(OR(AND(AUTOEVENTO="Manual",$M587=1),$M587&gt;(ROW(PLE.lastrow)-ROW(PLE.firstrow))),0,IF(OFFSET(PLE!$G$14,$M587,AZ$13)="",10^12,OFFSET(PLE!$G$14,$M587,AZ$13))))</f>
        <v>1000000000000</v>
      </c>
      <c r="BA587" s="182">
        <f ca="1">IF($D587&lt;&gt;"Serviço",0,IF(OR(AND(AUTOEVENTO="Manual",$M587=1),$M587&gt;(ROW(PLE.lastrow)-ROW(PLE.firstrow))),0,IF(OFFSET(PLE!$G$14,$M587,BA$13)="",10^12,OFFSET(PLE!$G$14,$M587,BA$13))))</f>
        <v>1000000000000</v>
      </c>
      <c r="BB587" s="182">
        <f ca="1">IF($D587&lt;&gt;"Serviço",0,IF(OR(AND(AUTOEVENTO="Manual",$M587=1),$M587&gt;(ROW(PLE.lastrow)-ROW(PLE.firstrow))),0,IF(OFFSET(PLE!$G$14,$M587,BB$13)="",10^12,OFFSET(PLE!$G$14,$M587,BB$13))))</f>
        <v>1000000000000</v>
      </c>
      <c r="BC587" s="182">
        <f ca="1">IF($D587&lt;&gt;"Serviço",0,IF(OR(AND(AUTOEVENTO="Manual",$M587=1),$M587&gt;(ROW(PLE.lastrow)-ROW(PLE.firstrow))),0,IF(OFFSET(PLE!$G$14,$M587,BC$13)="",10^12,OFFSET(PLE!$G$14,$M587,BC$13))))</f>
        <v>1000000000000</v>
      </c>
      <c r="BD587" s="182">
        <f ca="1">IF($D587&lt;&gt;"Serviço",0,IF(OR(AND(AUTOEVENTO="Manual",$M587=1),$M587&gt;(ROW(PLE.lastrow)-ROW(PLE.firstrow))),0,IF(OFFSET(PLE!$G$14,$M587,BD$13)="",10^12,OFFSET(PLE!$G$14,$M587,BD$13))))</f>
        <v>1000000000000</v>
      </c>
      <c r="BE587" s="182">
        <f ca="1">IF($D587&lt;&gt;"Serviço",0,IF(OR(AND(AUTOEVENTO="Manual",$M587=1),$M587&gt;(ROW(PLE.lastrow)-ROW(PLE.firstrow))),0,IF(OFFSET(PLE!$G$14,$M587,BE$13)="",10^12,OFFSET(PLE!$G$14,$M587,BE$13))))</f>
        <v>1000000000000</v>
      </c>
      <c r="BF587" s="182">
        <f ca="1">IF($D587&lt;&gt;"Serviço",0,IF(OR(AND(AUTOEVENTO="Manual",$M587=1),$M587&gt;(ROW(PLE.lastrow)-ROW(PLE.firstrow))),0,IF(OFFSET(PLE!$G$14,$M587,BF$13)="",10^12,OFFSET(PLE!$G$14,$M587,BF$13))))</f>
        <v>1000000000000</v>
      </c>
      <c r="BG587" s="182">
        <f ca="1">IF($D587&lt;&gt;"Serviço",0,IF(OR(AND(AUTOEVENTO="Manual",$M587=1),$M587&gt;(ROW(PLE.lastrow)-ROW(PLE.firstrow))),0,IF(OFFSET(PLE!$G$14,$M587,BG$13)="",10^12,OFFSET(PLE!$G$14,$M587,BG$13))))</f>
        <v>1000000000000</v>
      </c>
    </row>
    <row r="588" spans="1:59" ht="38.25" x14ac:dyDescent="0.2">
      <c r="A588" s="7" t="str">
        <f t="shared" ca="1" si="16"/>
        <v>472</v>
      </c>
      <c r="B588" s="7" t="str">
        <f ca="1">OFFSET(ORÇAMENTO!C$15,ROW(B588)-ROW(B$15),0)</f>
        <v>S</v>
      </c>
      <c r="C588" s="7" t="str">
        <f ca="1">OFFSET(ORÇAMENTO!L$15,ROW(C588)-ROW(C$15),0)</f>
        <v/>
      </c>
      <c r="D588" s="118" t="str">
        <f ca="1">OFFSET(ORÇAMENTO!N$15,ROW(D588)-ROW(D$15),0)</f>
        <v>Serviço</v>
      </c>
      <c r="E588" s="119" t="str">
        <f ca="1">OFFSET(ORÇAMENTO!O$15,ROW(E588)-ROW(E$15),0)</f>
        <v>-</v>
      </c>
      <c r="F588" s="172" t="str">
        <f ca="1">OFFSET(ORÇAMENTO!R$15,ROW(F588)-ROW(F$15),0)</f>
        <v>(abra o arquivo 'Referência 02-2025.xlsm)</v>
      </c>
      <c r="G588" s="173" t="str">
        <f ca="1">IF($D588&lt;&gt;"Serviço","",OFFSET(ORÇAMENTO!S$15,ROW(G588)-ROW(G$15),0))</f>
        <v>-</v>
      </c>
      <c r="H588" s="124">
        <f ca="1">IF($D588&lt;&gt;"Serviço",0,IF(ACOMPANHAMENTO="BM",ROUND(OFFSET(ORÇAMENTO!AJ$15,ROW(H588)-ROW(H$15),0),15-13*ORÇAMENTO!$AF$7),SUMPRODUCT(($Q$12:$AA$12&lt;&gt;"")*ROUND($Q588:$AA588,15-13*ORÇAMENTO!$AF$7))))</f>
        <v>46.2</v>
      </c>
      <c r="I588" s="561" t="s">
        <v>890</v>
      </c>
      <c r="K588" s="174"/>
      <c r="L588" s="175" t="s">
        <v>255</v>
      </c>
      <c r="M588" s="176">
        <f ca="1">IF($D588&lt;&gt;"Serviço","",IF(AUTOEVENTO="manual",$A588,IF(ISERROR(MATCH($A588,$A$15:OFFSET($A588,-1,0),0)),MAX($M$15:OFFSET(M588,-1,0))+1,INDEX($M$15:OFFSET(M588,-1,0),MATCH($A588,$A$15:OFFSET($A588,-1,0),0)))))</f>
        <v>18</v>
      </c>
      <c r="N588" s="177" t="str">
        <f ca="1">IF($D588&lt;&gt;"Serviço","",IF(AUTOEVENTO="Manual",IF($A588=0,"&lt;-- defina o número do agrupador",OFFSET(EVENTOS!$D$14,$A588,0)),OFFSET($F$15,$A588,0)))</f>
        <v>INSTALAÇÕES ELÉTRICAS - 220V</v>
      </c>
      <c r="O588" s="178"/>
      <c r="Q588" s="178"/>
      <c r="R588" s="179"/>
      <c r="S588" s="179"/>
      <c r="T588" s="179"/>
      <c r="U588" s="179"/>
      <c r="V588" s="179"/>
      <c r="W588" s="179"/>
      <c r="X588" s="179"/>
      <c r="Y588" s="179"/>
      <c r="Z588" s="180"/>
      <c r="AB588" s="544">
        <f ca="1">IF(AND($D588="Serviço",AB$12&lt;&gt;0,$H588&gt;0,OR(AUTOEVENTO&lt;&gt;"manual",$M588&lt;&gt;1)),
IF(Import.TipoArredondamento&lt;&gt;"TransfereGOV",
ROUND(OFFSET($P588,0,AB$13),15-13*ORÇAMENTO!$AF$7)/$H588*OFFSET(ORÇAMENTO!$X$15,ROW(AB588)-ROW(AB$15),0),
ROUND(ROUND(OFFSET($P588,0,AB$13),15-13*ORÇAMENTO!$AF$7)*OFFSET(ORÇAMENTO!$W$15,ROW(AB588)-ROW(AB$15),0),15-13*ORÇAMENTO!$AF$11)),0)</f>
        <v>0</v>
      </c>
      <c r="AC588" s="545">
        <f ca="1">IF(AND($D588="Serviço",AC$12&lt;&gt;0,$H588&gt;0,OR(AUTOEVENTO&lt;&gt;"manual",$M588&lt;&gt;1)),
IF(Import.TipoArredondamento&lt;&gt;"TransfereGOV",
ROUND(OFFSET($P588,0,AC$13),15-13*ORÇAMENTO!$AF$7)/$H588*OFFSET(ORÇAMENTO!$X$15,ROW(AC588)-ROW(AC$15),0),
ROUND(ROUND(OFFSET($P588,0,AC$13),15-13*ORÇAMENTO!$AF$7)*OFFSET(ORÇAMENTO!$W$15,ROW(AC588)-ROW(AC$15),0),15-13*ORÇAMENTO!$AF$11)),0)</f>
        <v>0</v>
      </c>
      <c r="AD588" s="545">
        <f ca="1">IF(AND($D588="Serviço",AD$12&lt;&gt;0,$H588&gt;0,OR(AUTOEVENTO&lt;&gt;"manual",$M588&lt;&gt;1)),
IF(Import.TipoArredondamento&lt;&gt;"TransfereGOV",
ROUND(OFFSET($P588,0,AD$13),15-13*ORÇAMENTO!$AF$7)/$H588*OFFSET(ORÇAMENTO!$X$15,ROW(AD588)-ROW(AD$15),0),
ROUND(ROUND(OFFSET($P588,0,AD$13),15-13*ORÇAMENTO!$AF$7)*OFFSET(ORÇAMENTO!$W$15,ROW(AD588)-ROW(AD$15),0),15-13*ORÇAMENTO!$AF$11)),0)</f>
        <v>0</v>
      </c>
      <c r="AE588" s="545">
        <f ca="1">IF(AND($D588="Serviço",AE$12&lt;&gt;0,$H588&gt;0,OR(AUTOEVENTO&lt;&gt;"manual",$M588&lt;&gt;1)),
IF(Import.TipoArredondamento&lt;&gt;"TransfereGOV",
ROUND(OFFSET($P588,0,AE$13),15-13*ORÇAMENTO!$AF$7)/$H588*OFFSET(ORÇAMENTO!$X$15,ROW(AE588)-ROW(AE$15),0),
ROUND(ROUND(OFFSET($P588,0,AE$13),15-13*ORÇAMENTO!$AF$7)*OFFSET(ORÇAMENTO!$W$15,ROW(AE588)-ROW(AE$15),0),15-13*ORÇAMENTO!$AF$11)),0)</f>
        <v>0</v>
      </c>
      <c r="AF588" s="545">
        <f ca="1">IF(AND($D588="Serviço",AF$12&lt;&gt;0,$H588&gt;0,OR(AUTOEVENTO&lt;&gt;"manual",$M588&lt;&gt;1)),
IF(Import.TipoArredondamento&lt;&gt;"TransfereGOV",
ROUND(OFFSET($P588,0,AF$13),15-13*ORÇAMENTO!$AF$7)/$H588*OFFSET(ORÇAMENTO!$X$15,ROW(AF588)-ROW(AF$15),0),
ROUND(ROUND(OFFSET($P588,0,AF$13),15-13*ORÇAMENTO!$AF$7)*OFFSET(ORÇAMENTO!$W$15,ROW(AF588)-ROW(AF$15),0),15-13*ORÇAMENTO!$AF$11)),0)</f>
        <v>0</v>
      </c>
      <c r="AG588" s="545">
        <f ca="1">IF(AND($D588="Serviço",AG$12&lt;&gt;0,$H588&gt;0,OR(AUTOEVENTO&lt;&gt;"manual",$M588&lt;&gt;1)),
IF(Import.TipoArredondamento&lt;&gt;"TransfereGOV",
ROUND(OFFSET($P588,0,AG$13),15-13*ORÇAMENTO!$AF$7)/$H588*OFFSET(ORÇAMENTO!$X$15,ROW(AG588)-ROW(AG$15),0),
ROUND(ROUND(OFFSET($P588,0,AG$13),15-13*ORÇAMENTO!$AF$7)*OFFSET(ORÇAMENTO!$W$15,ROW(AG588)-ROW(AG$15),0),15-13*ORÇAMENTO!$AF$11)),0)</f>
        <v>0</v>
      </c>
      <c r="AH588" s="545">
        <f ca="1">IF(AND($D588="Serviço",AH$12&lt;&gt;0,$H588&gt;0,OR(AUTOEVENTO&lt;&gt;"manual",$M588&lt;&gt;1)),
IF(Import.TipoArredondamento&lt;&gt;"TransfereGOV",
ROUND(OFFSET($P588,0,AH$13),15-13*ORÇAMENTO!$AF$7)/$H588*OFFSET(ORÇAMENTO!$X$15,ROW(AH588)-ROW(AH$15),0),
ROUND(ROUND(OFFSET($P588,0,AH$13),15-13*ORÇAMENTO!$AF$7)*OFFSET(ORÇAMENTO!$W$15,ROW(AH588)-ROW(AH$15),0),15-13*ORÇAMENTO!$AF$11)),0)</f>
        <v>0</v>
      </c>
      <c r="AI588" s="545">
        <f ca="1">IF(AND($D588="Serviço",AI$12&lt;&gt;0,$H588&gt;0,OR(AUTOEVENTO&lt;&gt;"manual",$M588&lt;&gt;1)),
IF(Import.TipoArredondamento&lt;&gt;"TransfereGOV",
ROUND(OFFSET($P588,0,AI$13),15-13*ORÇAMENTO!$AF$7)/$H588*OFFSET(ORÇAMENTO!$X$15,ROW(AI588)-ROW(AI$15),0),
ROUND(ROUND(OFFSET($P588,0,AI$13),15-13*ORÇAMENTO!$AF$7)*OFFSET(ORÇAMENTO!$W$15,ROW(AI588)-ROW(AI$15),0),15-13*ORÇAMENTO!$AF$11)),0)</f>
        <v>0</v>
      </c>
      <c r="AJ588" s="545">
        <f ca="1">IF(AND($D588="Serviço",AJ$12&lt;&gt;0,$H588&gt;0,OR(AUTOEVENTO&lt;&gt;"manual",$M588&lt;&gt;1)),
IF(Import.TipoArredondamento&lt;&gt;"TransfereGOV",
ROUND(OFFSET($P588,0,AJ$13),15-13*ORÇAMENTO!$AF$7)/$H588*OFFSET(ORÇAMENTO!$X$15,ROW(AJ588)-ROW(AJ$15),0),
ROUND(ROUND(OFFSET($P588,0,AJ$13),15-13*ORÇAMENTO!$AF$7)*OFFSET(ORÇAMENTO!$W$15,ROW(AJ588)-ROW(AJ$15),0),15-13*ORÇAMENTO!$AF$11)),0)</f>
        <v>0</v>
      </c>
      <c r="AK588" s="546">
        <f ca="1">IF(AND($D588="Serviço",AK$12&lt;&gt;0,$H588&gt;0,OR(AUTOEVENTO&lt;&gt;"manual",$M588&lt;&gt;1)),
IF(Import.TipoArredondamento&lt;&gt;"TransfereGOV",
ROUND(OFFSET($P588,0,AK$13),15-13*ORÇAMENTO!$AF$7)/$H588*OFFSET(ORÇAMENTO!$X$15,ROW(AK588)-ROW(AK$15),0),
ROUND(ROUND(OFFSET($P588,0,AK$13),15-13*ORÇAMENTO!$AF$7)*OFFSET(ORÇAMENTO!$W$15,ROW(AK588)-ROW(AK$15),0),15-13*ORÇAMENTO!$AF$11)),0)</f>
        <v>0</v>
      </c>
      <c r="AM588" s="181">
        <f ca="1">IF($D588&lt;&gt;"Serviço",0,IF(AND(AUTOEVENTO="Manual",$M588=1),0,IF(OFFSET(CRONOPLE!$F$14,$M588,AM$13)="",10^12,OFFSET(CRONOPLE!$F$14,$M588,AM$13))))</f>
        <v>1000000000000</v>
      </c>
      <c r="AN588" s="181">
        <f ca="1">IF($D588&lt;&gt;"Serviço",0,IF(AND(AUTOEVENTO="Manual",$M588=1),0,IF(OFFSET(CRONOPLE!$F$14,$M588,AN$13)="",10^12,OFFSET(CRONOPLE!$F$14,$M588,AN$13))))</f>
        <v>1000000000000</v>
      </c>
      <c r="AO588" s="181">
        <f ca="1">IF($D588&lt;&gt;"Serviço",0,IF(AND(AUTOEVENTO="Manual",$M588=1),0,IF(OFFSET(CRONOPLE!$F$14,$M588,AO$13)="",10^12,OFFSET(CRONOPLE!$F$14,$M588,AO$13))))</f>
        <v>1000000000000</v>
      </c>
      <c r="AP588" s="181">
        <f ca="1">IF($D588&lt;&gt;"Serviço",0,IF(AND(AUTOEVENTO="Manual",$M588=1),0,IF(OFFSET(CRONOPLE!$F$14,$M588,AP$13)="",10^12,OFFSET(CRONOPLE!$F$14,$M588,AP$13))))</f>
        <v>1000000000000</v>
      </c>
      <c r="AQ588" s="181">
        <f ca="1">IF($D588&lt;&gt;"Serviço",0,IF(AND(AUTOEVENTO="Manual",$M588=1),0,IF(OFFSET(CRONOPLE!$F$14,$M588,AQ$13)="",10^12,OFFSET(CRONOPLE!$F$14,$M588,AQ$13))))</f>
        <v>1000000000000</v>
      </c>
      <c r="AR588" s="181">
        <f ca="1">IF($D588&lt;&gt;"Serviço",0,IF(AND(AUTOEVENTO="Manual",$M588=1),0,IF(OFFSET(CRONOPLE!$F$14,$M588,AR$13)="",10^12,OFFSET(CRONOPLE!$F$14,$M588,AR$13))))</f>
        <v>1000000000000</v>
      </c>
      <c r="AS588" s="181">
        <f ca="1">IF($D588&lt;&gt;"Serviço",0,IF(AND(AUTOEVENTO="Manual",$M588=1),0,IF(OFFSET(CRONOPLE!$F$14,$M588,AS$13)="",10^12,OFFSET(CRONOPLE!$F$14,$M588,AS$13))))</f>
        <v>1000000000000</v>
      </c>
      <c r="AT588" s="181">
        <f ca="1">IF($D588&lt;&gt;"Serviço",0,IF(AND(AUTOEVENTO="Manual",$M588=1),0,IF(OFFSET(CRONOPLE!$F$14,$M588,AT$13)="",10^12,OFFSET(CRONOPLE!$F$14,$M588,AT$13))))</f>
        <v>1000000000000</v>
      </c>
      <c r="AU588" s="181">
        <f ca="1">IF($D588&lt;&gt;"Serviço",0,IF(AND(AUTOEVENTO="Manual",$M588=1),0,IF(OFFSET(CRONOPLE!$F$14,$M588,AU$13)="",10^12,OFFSET(CRONOPLE!$F$14,$M588,AU$13))))</f>
        <v>1000000000000</v>
      </c>
      <c r="AV588" s="181">
        <f ca="1">IF($D588&lt;&gt;"Serviço",0,IF(AND(AUTOEVENTO="Manual",$M588=1),0,IF(OFFSET(CRONOPLE!$F$14,$M588,AV$13)="",10^12,OFFSET(CRONOPLE!$F$14,$M588,AV$13))))</f>
        <v>1000000000000</v>
      </c>
      <c r="AX588" s="182">
        <f ca="1">IF($D588&lt;&gt;"Serviço",0,IF(OR(AND(AUTOEVENTO="Manual",$M588=1),$M588&gt;(ROW(PLE.lastrow)-ROW(PLE.firstrow))),0,IF(OFFSET(PLE!$G$14,$M588,AX$13)="",10^12,OFFSET(PLE!$G$14,$M588,AX$13))))</f>
        <v>1000000000000</v>
      </c>
      <c r="AY588" s="182">
        <f ca="1">IF($D588&lt;&gt;"Serviço",0,IF(OR(AND(AUTOEVENTO="Manual",$M588=1),$M588&gt;(ROW(PLE.lastrow)-ROW(PLE.firstrow))),0,IF(OFFSET(PLE!$G$14,$M588,AY$13)="",10^12,OFFSET(PLE!$G$14,$M588,AY$13))))</f>
        <v>1000000000000</v>
      </c>
      <c r="AZ588" s="182">
        <f ca="1">IF($D588&lt;&gt;"Serviço",0,IF(OR(AND(AUTOEVENTO="Manual",$M588=1),$M588&gt;(ROW(PLE.lastrow)-ROW(PLE.firstrow))),0,IF(OFFSET(PLE!$G$14,$M588,AZ$13)="",10^12,OFFSET(PLE!$G$14,$M588,AZ$13))))</f>
        <v>1000000000000</v>
      </c>
      <c r="BA588" s="182">
        <f ca="1">IF($D588&lt;&gt;"Serviço",0,IF(OR(AND(AUTOEVENTO="Manual",$M588=1),$M588&gt;(ROW(PLE.lastrow)-ROW(PLE.firstrow))),0,IF(OFFSET(PLE!$G$14,$M588,BA$13)="",10^12,OFFSET(PLE!$G$14,$M588,BA$13))))</f>
        <v>1000000000000</v>
      </c>
      <c r="BB588" s="182">
        <f ca="1">IF($D588&lt;&gt;"Serviço",0,IF(OR(AND(AUTOEVENTO="Manual",$M588=1),$M588&gt;(ROW(PLE.lastrow)-ROW(PLE.firstrow))),0,IF(OFFSET(PLE!$G$14,$M588,BB$13)="",10^12,OFFSET(PLE!$G$14,$M588,BB$13))))</f>
        <v>1000000000000</v>
      </c>
      <c r="BC588" s="182">
        <f ca="1">IF($D588&lt;&gt;"Serviço",0,IF(OR(AND(AUTOEVENTO="Manual",$M588=1),$M588&gt;(ROW(PLE.lastrow)-ROW(PLE.firstrow))),0,IF(OFFSET(PLE!$G$14,$M588,BC$13)="",10^12,OFFSET(PLE!$G$14,$M588,BC$13))))</f>
        <v>1000000000000</v>
      </c>
      <c r="BD588" s="182">
        <f ca="1">IF($D588&lt;&gt;"Serviço",0,IF(OR(AND(AUTOEVENTO="Manual",$M588=1),$M588&gt;(ROW(PLE.lastrow)-ROW(PLE.firstrow))),0,IF(OFFSET(PLE!$G$14,$M588,BD$13)="",10^12,OFFSET(PLE!$G$14,$M588,BD$13))))</f>
        <v>1000000000000</v>
      </c>
      <c r="BE588" s="182">
        <f ca="1">IF($D588&lt;&gt;"Serviço",0,IF(OR(AND(AUTOEVENTO="Manual",$M588=1),$M588&gt;(ROW(PLE.lastrow)-ROW(PLE.firstrow))),0,IF(OFFSET(PLE!$G$14,$M588,BE$13)="",10^12,OFFSET(PLE!$G$14,$M588,BE$13))))</f>
        <v>1000000000000</v>
      </c>
      <c r="BF588" s="182">
        <f ca="1">IF($D588&lt;&gt;"Serviço",0,IF(OR(AND(AUTOEVENTO="Manual",$M588=1),$M588&gt;(ROW(PLE.lastrow)-ROW(PLE.firstrow))),0,IF(OFFSET(PLE!$G$14,$M588,BF$13)="",10^12,OFFSET(PLE!$G$14,$M588,BF$13))))</f>
        <v>1000000000000</v>
      </c>
      <c r="BG588" s="182">
        <f ca="1">IF($D588&lt;&gt;"Serviço",0,IF(OR(AND(AUTOEVENTO="Manual",$M588=1),$M588&gt;(ROW(PLE.lastrow)-ROW(PLE.firstrow))),0,IF(OFFSET(PLE!$G$14,$M588,BG$13)="",10^12,OFFSET(PLE!$G$14,$M588,BG$13))))</f>
        <v>1000000000000</v>
      </c>
    </row>
    <row r="589" spans="1:59" ht="38.25" x14ac:dyDescent="0.2">
      <c r="A589" s="7" t="str">
        <f t="shared" ca="1" si="16"/>
        <v>472</v>
      </c>
      <c r="B589" s="7" t="str">
        <f ca="1">OFFSET(ORÇAMENTO!C$15,ROW(B589)-ROW(B$15),0)</f>
        <v>S</v>
      </c>
      <c r="C589" s="7" t="str">
        <f ca="1">OFFSET(ORÇAMENTO!L$15,ROW(C589)-ROW(C$15),0)</f>
        <v/>
      </c>
      <c r="D589" s="118" t="str">
        <f ca="1">OFFSET(ORÇAMENTO!N$15,ROW(D589)-ROW(D$15),0)</f>
        <v>Serviço</v>
      </c>
      <c r="E589" s="119" t="str">
        <f ca="1">OFFSET(ORÇAMENTO!O$15,ROW(E589)-ROW(E$15),0)</f>
        <v>-</v>
      </c>
      <c r="F589" s="172" t="str">
        <f ca="1">OFFSET(ORÇAMENTO!R$15,ROW(F589)-ROW(F$15),0)</f>
        <v>(abra o arquivo 'Referência 02-2025.xlsm)</v>
      </c>
      <c r="G589" s="173" t="str">
        <f ca="1">IF($D589&lt;&gt;"Serviço","",OFFSET(ORÇAMENTO!S$15,ROW(G589)-ROW(G$15),0))</f>
        <v>-</v>
      </c>
      <c r="H589" s="124">
        <f ca="1">IF($D589&lt;&gt;"Serviço",0,IF(ACOMPANHAMENTO="BM",ROUND(OFFSET(ORÇAMENTO!AJ$15,ROW(H589)-ROW(H$15),0),15-13*ORÇAMENTO!$AF$7),SUMPRODUCT(($Q$12:$AA$12&lt;&gt;"")*ROUND($Q589:$AA589,15-13*ORÇAMENTO!$AF$7))))</f>
        <v>17.8</v>
      </c>
      <c r="I589" s="561" t="s">
        <v>890</v>
      </c>
      <c r="K589" s="174"/>
      <c r="L589" s="175" t="s">
        <v>255</v>
      </c>
      <c r="M589" s="176">
        <f ca="1">IF($D589&lt;&gt;"Serviço","",IF(AUTOEVENTO="manual",$A589,IF(ISERROR(MATCH($A589,$A$15:OFFSET($A589,-1,0),0)),MAX($M$15:OFFSET(M589,-1,0))+1,INDEX($M$15:OFFSET(M589,-1,0),MATCH($A589,$A$15:OFFSET($A589,-1,0),0)))))</f>
        <v>18</v>
      </c>
      <c r="N589" s="177" t="str">
        <f ca="1">IF($D589&lt;&gt;"Serviço","",IF(AUTOEVENTO="Manual",IF($A589=0,"&lt;-- defina o número do agrupador",OFFSET(EVENTOS!$D$14,$A589,0)),OFFSET($F$15,$A589,0)))</f>
        <v>INSTALAÇÕES ELÉTRICAS - 220V</v>
      </c>
      <c r="O589" s="178"/>
      <c r="Q589" s="178"/>
      <c r="R589" s="179"/>
      <c r="S589" s="179"/>
      <c r="T589" s="179"/>
      <c r="U589" s="179"/>
      <c r="V589" s="179"/>
      <c r="W589" s="179"/>
      <c r="X589" s="179"/>
      <c r="Y589" s="179"/>
      <c r="Z589" s="180"/>
      <c r="AB589" s="544">
        <f ca="1">IF(AND($D589="Serviço",AB$12&lt;&gt;0,$H589&gt;0,OR(AUTOEVENTO&lt;&gt;"manual",$M589&lt;&gt;1)),
IF(Import.TipoArredondamento&lt;&gt;"TransfereGOV",
ROUND(OFFSET($P589,0,AB$13),15-13*ORÇAMENTO!$AF$7)/$H589*OFFSET(ORÇAMENTO!$X$15,ROW(AB589)-ROW(AB$15),0),
ROUND(ROUND(OFFSET($P589,0,AB$13),15-13*ORÇAMENTO!$AF$7)*OFFSET(ORÇAMENTO!$W$15,ROW(AB589)-ROW(AB$15),0),15-13*ORÇAMENTO!$AF$11)),0)</f>
        <v>0</v>
      </c>
      <c r="AC589" s="545">
        <f ca="1">IF(AND($D589="Serviço",AC$12&lt;&gt;0,$H589&gt;0,OR(AUTOEVENTO&lt;&gt;"manual",$M589&lt;&gt;1)),
IF(Import.TipoArredondamento&lt;&gt;"TransfereGOV",
ROUND(OFFSET($P589,0,AC$13),15-13*ORÇAMENTO!$AF$7)/$H589*OFFSET(ORÇAMENTO!$X$15,ROW(AC589)-ROW(AC$15),0),
ROUND(ROUND(OFFSET($P589,0,AC$13),15-13*ORÇAMENTO!$AF$7)*OFFSET(ORÇAMENTO!$W$15,ROW(AC589)-ROW(AC$15),0),15-13*ORÇAMENTO!$AF$11)),0)</f>
        <v>0</v>
      </c>
      <c r="AD589" s="545">
        <f ca="1">IF(AND($D589="Serviço",AD$12&lt;&gt;0,$H589&gt;0,OR(AUTOEVENTO&lt;&gt;"manual",$M589&lt;&gt;1)),
IF(Import.TipoArredondamento&lt;&gt;"TransfereGOV",
ROUND(OFFSET($P589,0,AD$13),15-13*ORÇAMENTO!$AF$7)/$H589*OFFSET(ORÇAMENTO!$X$15,ROW(AD589)-ROW(AD$15),0),
ROUND(ROUND(OFFSET($P589,0,AD$13),15-13*ORÇAMENTO!$AF$7)*OFFSET(ORÇAMENTO!$W$15,ROW(AD589)-ROW(AD$15),0),15-13*ORÇAMENTO!$AF$11)),0)</f>
        <v>0</v>
      </c>
      <c r="AE589" s="545">
        <f ca="1">IF(AND($D589="Serviço",AE$12&lt;&gt;0,$H589&gt;0,OR(AUTOEVENTO&lt;&gt;"manual",$M589&lt;&gt;1)),
IF(Import.TipoArredondamento&lt;&gt;"TransfereGOV",
ROUND(OFFSET($P589,0,AE$13),15-13*ORÇAMENTO!$AF$7)/$H589*OFFSET(ORÇAMENTO!$X$15,ROW(AE589)-ROW(AE$15),0),
ROUND(ROUND(OFFSET($P589,0,AE$13),15-13*ORÇAMENTO!$AF$7)*OFFSET(ORÇAMENTO!$W$15,ROW(AE589)-ROW(AE$15),0),15-13*ORÇAMENTO!$AF$11)),0)</f>
        <v>0</v>
      </c>
      <c r="AF589" s="545">
        <f ca="1">IF(AND($D589="Serviço",AF$12&lt;&gt;0,$H589&gt;0,OR(AUTOEVENTO&lt;&gt;"manual",$M589&lt;&gt;1)),
IF(Import.TipoArredondamento&lt;&gt;"TransfereGOV",
ROUND(OFFSET($P589,0,AF$13),15-13*ORÇAMENTO!$AF$7)/$H589*OFFSET(ORÇAMENTO!$X$15,ROW(AF589)-ROW(AF$15),0),
ROUND(ROUND(OFFSET($P589,0,AF$13),15-13*ORÇAMENTO!$AF$7)*OFFSET(ORÇAMENTO!$W$15,ROW(AF589)-ROW(AF$15),0),15-13*ORÇAMENTO!$AF$11)),0)</f>
        <v>0</v>
      </c>
      <c r="AG589" s="545">
        <f ca="1">IF(AND($D589="Serviço",AG$12&lt;&gt;0,$H589&gt;0,OR(AUTOEVENTO&lt;&gt;"manual",$M589&lt;&gt;1)),
IF(Import.TipoArredondamento&lt;&gt;"TransfereGOV",
ROUND(OFFSET($P589,0,AG$13),15-13*ORÇAMENTO!$AF$7)/$H589*OFFSET(ORÇAMENTO!$X$15,ROW(AG589)-ROW(AG$15),0),
ROUND(ROUND(OFFSET($P589,0,AG$13),15-13*ORÇAMENTO!$AF$7)*OFFSET(ORÇAMENTO!$W$15,ROW(AG589)-ROW(AG$15),0),15-13*ORÇAMENTO!$AF$11)),0)</f>
        <v>0</v>
      </c>
      <c r="AH589" s="545">
        <f ca="1">IF(AND($D589="Serviço",AH$12&lt;&gt;0,$H589&gt;0,OR(AUTOEVENTO&lt;&gt;"manual",$M589&lt;&gt;1)),
IF(Import.TipoArredondamento&lt;&gt;"TransfereGOV",
ROUND(OFFSET($P589,0,AH$13),15-13*ORÇAMENTO!$AF$7)/$H589*OFFSET(ORÇAMENTO!$X$15,ROW(AH589)-ROW(AH$15),0),
ROUND(ROUND(OFFSET($P589,0,AH$13),15-13*ORÇAMENTO!$AF$7)*OFFSET(ORÇAMENTO!$W$15,ROW(AH589)-ROW(AH$15),0),15-13*ORÇAMENTO!$AF$11)),0)</f>
        <v>0</v>
      </c>
      <c r="AI589" s="545">
        <f ca="1">IF(AND($D589="Serviço",AI$12&lt;&gt;0,$H589&gt;0,OR(AUTOEVENTO&lt;&gt;"manual",$M589&lt;&gt;1)),
IF(Import.TipoArredondamento&lt;&gt;"TransfereGOV",
ROUND(OFFSET($P589,0,AI$13),15-13*ORÇAMENTO!$AF$7)/$H589*OFFSET(ORÇAMENTO!$X$15,ROW(AI589)-ROW(AI$15),0),
ROUND(ROUND(OFFSET($P589,0,AI$13),15-13*ORÇAMENTO!$AF$7)*OFFSET(ORÇAMENTO!$W$15,ROW(AI589)-ROW(AI$15),0),15-13*ORÇAMENTO!$AF$11)),0)</f>
        <v>0</v>
      </c>
      <c r="AJ589" s="545">
        <f ca="1">IF(AND($D589="Serviço",AJ$12&lt;&gt;0,$H589&gt;0,OR(AUTOEVENTO&lt;&gt;"manual",$M589&lt;&gt;1)),
IF(Import.TipoArredondamento&lt;&gt;"TransfereGOV",
ROUND(OFFSET($P589,0,AJ$13),15-13*ORÇAMENTO!$AF$7)/$H589*OFFSET(ORÇAMENTO!$X$15,ROW(AJ589)-ROW(AJ$15),0),
ROUND(ROUND(OFFSET($P589,0,AJ$13),15-13*ORÇAMENTO!$AF$7)*OFFSET(ORÇAMENTO!$W$15,ROW(AJ589)-ROW(AJ$15),0),15-13*ORÇAMENTO!$AF$11)),0)</f>
        <v>0</v>
      </c>
      <c r="AK589" s="546">
        <f ca="1">IF(AND($D589="Serviço",AK$12&lt;&gt;0,$H589&gt;0,OR(AUTOEVENTO&lt;&gt;"manual",$M589&lt;&gt;1)),
IF(Import.TipoArredondamento&lt;&gt;"TransfereGOV",
ROUND(OFFSET($P589,0,AK$13),15-13*ORÇAMENTO!$AF$7)/$H589*OFFSET(ORÇAMENTO!$X$15,ROW(AK589)-ROW(AK$15),0),
ROUND(ROUND(OFFSET($P589,0,AK$13),15-13*ORÇAMENTO!$AF$7)*OFFSET(ORÇAMENTO!$W$15,ROW(AK589)-ROW(AK$15),0),15-13*ORÇAMENTO!$AF$11)),0)</f>
        <v>0</v>
      </c>
      <c r="AM589" s="181">
        <f ca="1">IF($D589&lt;&gt;"Serviço",0,IF(AND(AUTOEVENTO="Manual",$M589=1),0,IF(OFFSET(CRONOPLE!$F$14,$M589,AM$13)="",10^12,OFFSET(CRONOPLE!$F$14,$M589,AM$13))))</f>
        <v>1000000000000</v>
      </c>
      <c r="AN589" s="181">
        <f ca="1">IF($D589&lt;&gt;"Serviço",0,IF(AND(AUTOEVENTO="Manual",$M589=1),0,IF(OFFSET(CRONOPLE!$F$14,$M589,AN$13)="",10^12,OFFSET(CRONOPLE!$F$14,$M589,AN$13))))</f>
        <v>1000000000000</v>
      </c>
      <c r="AO589" s="181">
        <f ca="1">IF($D589&lt;&gt;"Serviço",0,IF(AND(AUTOEVENTO="Manual",$M589=1),0,IF(OFFSET(CRONOPLE!$F$14,$M589,AO$13)="",10^12,OFFSET(CRONOPLE!$F$14,$M589,AO$13))))</f>
        <v>1000000000000</v>
      </c>
      <c r="AP589" s="181">
        <f ca="1">IF($D589&lt;&gt;"Serviço",0,IF(AND(AUTOEVENTO="Manual",$M589=1),0,IF(OFFSET(CRONOPLE!$F$14,$M589,AP$13)="",10^12,OFFSET(CRONOPLE!$F$14,$M589,AP$13))))</f>
        <v>1000000000000</v>
      </c>
      <c r="AQ589" s="181">
        <f ca="1">IF($D589&lt;&gt;"Serviço",0,IF(AND(AUTOEVENTO="Manual",$M589=1),0,IF(OFFSET(CRONOPLE!$F$14,$M589,AQ$13)="",10^12,OFFSET(CRONOPLE!$F$14,$M589,AQ$13))))</f>
        <v>1000000000000</v>
      </c>
      <c r="AR589" s="181">
        <f ca="1">IF($D589&lt;&gt;"Serviço",0,IF(AND(AUTOEVENTO="Manual",$M589=1),0,IF(OFFSET(CRONOPLE!$F$14,$M589,AR$13)="",10^12,OFFSET(CRONOPLE!$F$14,$M589,AR$13))))</f>
        <v>1000000000000</v>
      </c>
      <c r="AS589" s="181">
        <f ca="1">IF($D589&lt;&gt;"Serviço",0,IF(AND(AUTOEVENTO="Manual",$M589=1),0,IF(OFFSET(CRONOPLE!$F$14,$M589,AS$13)="",10^12,OFFSET(CRONOPLE!$F$14,$M589,AS$13))))</f>
        <v>1000000000000</v>
      </c>
      <c r="AT589" s="181">
        <f ca="1">IF($D589&lt;&gt;"Serviço",0,IF(AND(AUTOEVENTO="Manual",$M589=1),0,IF(OFFSET(CRONOPLE!$F$14,$M589,AT$13)="",10^12,OFFSET(CRONOPLE!$F$14,$M589,AT$13))))</f>
        <v>1000000000000</v>
      </c>
      <c r="AU589" s="181">
        <f ca="1">IF($D589&lt;&gt;"Serviço",0,IF(AND(AUTOEVENTO="Manual",$M589=1),0,IF(OFFSET(CRONOPLE!$F$14,$M589,AU$13)="",10^12,OFFSET(CRONOPLE!$F$14,$M589,AU$13))))</f>
        <v>1000000000000</v>
      </c>
      <c r="AV589" s="181">
        <f ca="1">IF($D589&lt;&gt;"Serviço",0,IF(AND(AUTOEVENTO="Manual",$M589=1),0,IF(OFFSET(CRONOPLE!$F$14,$M589,AV$13)="",10^12,OFFSET(CRONOPLE!$F$14,$M589,AV$13))))</f>
        <v>1000000000000</v>
      </c>
      <c r="AX589" s="182">
        <f ca="1">IF($D589&lt;&gt;"Serviço",0,IF(OR(AND(AUTOEVENTO="Manual",$M589=1),$M589&gt;(ROW(PLE.lastrow)-ROW(PLE.firstrow))),0,IF(OFFSET(PLE!$G$14,$M589,AX$13)="",10^12,OFFSET(PLE!$G$14,$M589,AX$13))))</f>
        <v>1000000000000</v>
      </c>
      <c r="AY589" s="182">
        <f ca="1">IF($D589&lt;&gt;"Serviço",0,IF(OR(AND(AUTOEVENTO="Manual",$M589=1),$M589&gt;(ROW(PLE.lastrow)-ROW(PLE.firstrow))),0,IF(OFFSET(PLE!$G$14,$M589,AY$13)="",10^12,OFFSET(PLE!$G$14,$M589,AY$13))))</f>
        <v>1000000000000</v>
      </c>
      <c r="AZ589" s="182">
        <f ca="1">IF($D589&lt;&gt;"Serviço",0,IF(OR(AND(AUTOEVENTO="Manual",$M589=1),$M589&gt;(ROW(PLE.lastrow)-ROW(PLE.firstrow))),0,IF(OFFSET(PLE!$G$14,$M589,AZ$13)="",10^12,OFFSET(PLE!$G$14,$M589,AZ$13))))</f>
        <v>1000000000000</v>
      </c>
      <c r="BA589" s="182">
        <f ca="1">IF($D589&lt;&gt;"Serviço",0,IF(OR(AND(AUTOEVENTO="Manual",$M589=1),$M589&gt;(ROW(PLE.lastrow)-ROW(PLE.firstrow))),0,IF(OFFSET(PLE!$G$14,$M589,BA$13)="",10^12,OFFSET(PLE!$G$14,$M589,BA$13))))</f>
        <v>1000000000000</v>
      </c>
      <c r="BB589" s="182">
        <f ca="1">IF($D589&lt;&gt;"Serviço",0,IF(OR(AND(AUTOEVENTO="Manual",$M589=1),$M589&gt;(ROW(PLE.lastrow)-ROW(PLE.firstrow))),0,IF(OFFSET(PLE!$G$14,$M589,BB$13)="",10^12,OFFSET(PLE!$G$14,$M589,BB$13))))</f>
        <v>1000000000000</v>
      </c>
      <c r="BC589" s="182">
        <f ca="1">IF($D589&lt;&gt;"Serviço",0,IF(OR(AND(AUTOEVENTO="Manual",$M589=1),$M589&gt;(ROW(PLE.lastrow)-ROW(PLE.firstrow))),0,IF(OFFSET(PLE!$G$14,$M589,BC$13)="",10^12,OFFSET(PLE!$G$14,$M589,BC$13))))</f>
        <v>1000000000000</v>
      </c>
      <c r="BD589" s="182">
        <f ca="1">IF($D589&lt;&gt;"Serviço",0,IF(OR(AND(AUTOEVENTO="Manual",$M589=1),$M589&gt;(ROW(PLE.lastrow)-ROW(PLE.firstrow))),0,IF(OFFSET(PLE!$G$14,$M589,BD$13)="",10^12,OFFSET(PLE!$G$14,$M589,BD$13))))</f>
        <v>1000000000000</v>
      </c>
      <c r="BE589" s="182">
        <f ca="1">IF($D589&lt;&gt;"Serviço",0,IF(OR(AND(AUTOEVENTO="Manual",$M589=1),$M589&gt;(ROW(PLE.lastrow)-ROW(PLE.firstrow))),0,IF(OFFSET(PLE!$G$14,$M589,BE$13)="",10^12,OFFSET(PLE!$G$14,$M589,BE$13))))</f>
        <v>1000000000000</v>
      </c>
      <c r="BF589" s="182">
        <f ca="1">IF($D589&lt;&gt;"Serviço",0,IF(OR(AND(AUTOEVENTO="Manual",$M589=1),$M589&gt;(ROW(PLE.lastrow)-ROW(PLE.firstrow))),0,IF(OFFSET(PLE!$G$14,$M589,BF$13)="",10^12,OFFSET(PLE!$G$14,$M589,BF$13))))</f>
        <v>1000000000000</v>
      </c>
      <c r="BG589" s="182">
        <f ca="1">IF($D589&lt;&gt;"Serviço",0,IF(OR(AND(AUTOEVENTO="Manual",$M589=1),$M589&gt;(ROW(PLE.lastrow)-ROW(PLE.firstrow))),0,IF(OFFSET(PLE!$G$14,$M589,BG$13)="",10^12,OFFSET(PLE!$G$14,$M589,BG$13))))</f>
        <v>1000000000000</v>
      </c>
    </row>
    <row r="590" spans="1:59" ht="38.25" x14ac:dyDescent="0.2">
      <c r="A590" s="7" t="str">
        <f t="shared" ca="1" si="16"/>
        <v>472</v>
      </c>
      <c r="B590" s="7" t="str">
        <f ca="1">OFFSET(ORÇAMENTO!C$15,ROW(B590)-ROW(B$15),0)</f>
        <v>S</v>
      </c>
      <c r="C590" s="7" t="str">
        <f ca="1">OFFSET(ORÇAMENTO!L$15,ROW(C590)-ROW(C$15),0)</f>
        <v/>
      </c>
      <c r="D590" s="118" t="str">
        <f ca="1">OFFSET(ORÇAMENTO!N$15,ROW(D590)-ROW(D$15),0)</f>
        <v>Serviço</v>
      </c>
      <c r="E590" s="119" t="str">
        <f ca="1">OFFSET(ORÇAMENTO!O$15,ROW(E590)-ROW(E$15),0)</f>
        <v>-</v>
      </c>
      <c r="F590" s="172" t="str">
        <f ca="1">OFFSET(ORÇAMENTO!R$15,ROW(F590)-ROW(F$15),0)</f>
        <v>(abra o arquivo 'Referência 02-2025.xlsm)</v>
      </c>
      <c r="G590" s="173" t="str">
        <f ca="1">IF($D590&lt;&gt;"Serviço","",OFFSET(ORÇAMENTO!S$15,ROW(G590)-ROW(G$15),0))</f>
        <v>-</v>
      </c>
      <c r="H590" s="124">
        <f ca="1">IF($D590&lt;&gt;"Serviço",0,IF(ACOMPANHAMENTO="BM",ROUND(OFFSET(ORÇAMENTO!AJ$15,ROW(H590)-ROW(H$15),0),15-13*ORÇAMENTO!$AF$7),SUMPRODUCT(($Q$12:$AA$12&lt;&gt;"")*ROUND($Q590:$AA590,15-13*ORÇAMENTO!$AF$7))))</f>
        <v>36</v>
      </c>
      <c r="I590" s="561" t="s">
        <v>890</v>
      </c>
      <c r="K590" s="174"/>
      <c r="L590" s="175" t="s">
        <v>255</v>
      </c>
      <c r="M590" s="176">
        <f ca="1">IF($D590&lt;&gt;"Serviço","",IF(AUTOEVENTO="manual",$A590,IF(ISERROR(MATCH($A590,$A$15:OFFSET($A590,-1,0),0)),MAX($M$15:OFFSET(M590,-1,0))+1,INDEX($M$15:OFFSET(M590,-1,0),MATCH($A590,$A$15:OFFSET($A590,-1,0),0)))))</f>
        <v>18</v>
      </c>
      <c r="N590" s="177" t="str">
        <f ca="1">IF($D590&lt;&gt;"Serviço","",IF(AUTOEVENTO="Manual",IF($A590=0,"&lt;-- defina o número do agrupador",OFFSET(EVENTOS!$D$14,$A590,0)),OFFSET($F$15,$A590,0)))</f>
        <v>INSTALAÇÕES ELÉTRICAS - 220V</v>
      </c>
      <c r="O590" s="178"/>
      <c r="Q590" s="178"/>
      <c r="R590" s="179"/>
      <c r="S590" s="179"/>
      <c r="T590" s="179"/>
      <c r="U590" s="179"/>
      <c r="V590" s="179"/>
      <c r="W590" s="179"/>
      <c r="X590" s="179"/>
      <c r="Y590" s="179"/>
      <c r="Z590" s="180"/>
      <c r="AB590" s="544">
        <f ca="1">IF(AND($D590="Serviço",AB$12&lt;&gt;0,$H590&gt;0,OR(AUTOEVENTO&lt;&gt;"manual",$M590&lt;&gt;1)),
IF(Import.TipoArredondamento&lt;&gt;"TransfereGOV",
ROUND(OFFSET($P590,0,AB$13),15-13*ORÇAMENTO!$AF$7)/$H590*OFFSET(ORÇAMENTO!$X$15,ROW(AB590)-ROW(AB$15),0),
ROUND(ROUND(OFFSET($P590,0,AB$13),15-13*ORÇAMENTO!$AF$7)*OFFSET(ORÇAMENTO!$W$15,ROW(AB590)-ROW(AB$15),0),15-13*ORÇAMENTO!$AF$11)),0)</f>
        <v>0</v>
      </c>
      <c r="AC590" s="545">
        <f ca="1">IF(AND($D590="Serviço",AC$12&lt;&gt;0,$H590&gt;0,OR(AUTOEVENTO&lt;&gt;"manual",$M590&lt;&gt;1)),
IF(Import.TipoArredondamento&lt;&gt;"TransfereGOV",
ROUND(OFFSET($P590,0,AC$13),15-13*ORÇAMENTO!$AF$7)/$H590*OFFSET(ORÇAMENTO!$X$15,ROW(AC590)-ROW(AC$15),0),
ROUND(ROUND(OFFSET($P590,0,AC$13),15-13*ORÇAMENTO!$AF$7)*OFFSET(ORÇAMENTO!$W$15,ROW(AC590)-ROW(AC$15),0),15-13*ORÇAMENTO!$AF$11)),0)</f>
        <v>0</v>
      </c>
      <c r="AD590" s="545">
        <f ca="1">IF(AND($D590="Serviço",AD$12&lt;&gt;0,$H590&gt;0,OR(AUTOEVENTO&lt;&gt;"manual",$M590&lt;&gt;1)),
IF(Import.TipoArredondamento&lt;&gt;"TransfereGOV",
ROUND(OFFSET($P590,0,AD$13),15-13*ORÇAMENTO!$AF$7)/$H590*OFFSET(ORÇAMENTO!$X$15,ROW(AD590)-ROW(AD$15),0),
ROUND(ROUND(OFFSET($P590,0,AD$13),15-13*ORÇAMENTO!$AF$7)*OFFSET(ORÇAMENTO!$W$15,ROW(AD590)-ROW(AD$15),0),15-13*ORÇAMENTO!$AF$11)),0)</f>
        <v>0</v>
      </c>
      <c r="AE590" s="545">
        <f ca="1">IF(AND($D590="Serviço",AE$12&lt;&gt;0,$H590&gt;0,OR(AUTOEVENTO&lt;&gt;"manual",$M590&lt;&gt;1)),
IF(Import.TipoArredondamento&lt;&gt;"TransfereGOV",
ROUND(OFFSET($P590,0,AE$13),15-13*ORÇAMENTO!$AF$7)/$H590*OFFSET(ORÇAMENTO!$X$15,ROW(AE590)-ROW(AE$15),0),
ROUND(ROUND(OFFSET($P590,0,AE$13),15-13*ORÇAMENTO!$AF$7)*OFFSET(ORÇAMENTO!$W$15,ROW(AE590)-ROW(AE$15),0),15-13*ORÇAMENTO!$AF$11)),0)</f>
        <v>0</v>
      </c>
      <c r="AF590" s="545">
        <f ca="1">IF(AND($D590="Serviço",AF$12&lt;&gt;0,$H590&gt;0,OR(AUTOEVENTO&lt;&gt;"manual",$M590&lt;&gt;1)),
IF(Import.TipoArredondamento&lt;&gt;"TransfereGOV",
ROUND(OFFSET($P590,0,AF$13),15-13*ORÇAMENTO!$AF$7)/$H590*OFFSET(ORÇAMENTO!$X$15,ROW(AF590)-ROW(AF$15),0),
ROUND(ROUND(OFFSET($P590,0,AF$13),15-13*ORÇAMENTO!$AF$7)*OFFSET(ORÇAMENTO!$W$15,ROW(AF590)-ROW(AF$15),0),15-13*ORÇAMENTO!$AF$11)),0)</f>
        <v>0</v>
      </c>
      <c r="AG590" s="545">
        <f ca="1">IF(AND($D590="Serviço",AG$12&lt;&gt;0,$H590&gt;0,OR(AUTOEVENTO&lt;&gt;"manual",$M590&lt;&gt;1)),
IF(Import.TipoArredondamento&lt;&gt;"TransfereGOV",
ROUND(OFFSET($P590,0,AG$13),15-13*ORÇAMENTO!$AF$7)/$H590*OFFSET(ORÇAMENTO!$X$15,ROW(AG590)-ROW(AG$15),0),
ROUND(ROUND(OFFSET($P590,0,AG$13),15-13*ORÇAMENTO!$AF$7)*OFFSET(ORÇAMENTO!$W$15,ROW(AG590)-ROW(AG$15),0),15-13*ORÇAMENTO!$AF$11)),0)</f>
        <v>0</v>
      </c>
      <c r="AH590" s="545">
        <f ca="1">IF(AND($D590="Serviço",AH$12&lt;&gt;0,$H590&gt;0,OR(AUTOEVENTO&lt;&gt;"manual",$M590&lt;&gt;1)),
IF(Import.TipoArredondamento&lt;&gt;"TransfereGOV",
ROUND(OFFSET($P590,0,AH$13),15-13*ORÇAMENTO!$AF$7)/$H590*OFFSET(ORÇAMENTO!$X$15,ROW(AH590)-ROW(AH$15),0),
ROUND(ROUND(OFFSET($P590,0,AH$13),15-13*ORÇAMENTO!$AF$7)*OFFSET(ORÇAMENTO!$W$15,ROW(AH590)-ROW(AH$15),0),15-13*ORÇAMENTO!$AF$11)),0)</f>
        <v>0</v>
      </c>
      <c r="AI590" s="545">
        <f ca="1">IF(AND($D590="Serviço",AI$12&lt;&gt;0,$H590&gt;0,OR(AUTOEVENTO&lt;&gt;"manual",$M590&lt;&gt;1)),
IF(Import.TipoArredondamento&lt;&gt;"TransfereGOV",
ROUND(OFFSET($P590,0,AI$13),15-13*ORÇAMENTO!$AF$7)/$H590*OFFSET(ORÇAMENTO!$X$15,ROW(AI590)-ROW(AI$15),0),
ROUND(ROUND(OFFSET($P590,0,AI$13),15-13*ORÇAMENTO!$AF$7)*OFFSET(ORÇAMENTO!$W$15,ROW(AI590)-ROW(AI$15),0),15-13*ORÇAMENTO!$AF$11)),0)</f>
        <v>0</v>
      </c>
      <c r="AJ590" s="545">
        <f ca="1">IF(AND($D590="Serviço",AJ$12&lt;&gt;0,$H590&gt;0,OR(AUTOEVENTO&lt;&gt;"manual",$M590&lt;&gt;1)),
IF(Import.TipoArredondamento&lt;&gt;"TransfereGOV",
ROUND(OFFSET($P590,0,AJ$13),15-13*ORÇAMENTO!$AF$7)/$H590*OFFSET(ORÇAMENTO!$X$15,ROW(AJ590)-ROW(AJ$15),0),
ROUND(ROUND(OFFSET($P590,0,AJ$13),15-13*ORÇAMENTO!$AF$7)*OFFSET(ORÇAMENTO!$W$15,ROW(AJ590)-ROW(AJ$15),0),15-13*ORÇAMENTO!$AF$11)),0)</f>
        <v>0</v>
      </c>
      <c r="AK590" s="546">
        <f ca="1">IF(AND($D590="Serviço",AK$12&lt;&gt;0,$H590&gt;0,OR(AUTOEVENTO&lt;&gt;"manual",$M590&lt;&gt;1)),
IF(Import.TipoArredondamento&lt;&gt;"TransfereGOV",
ROUND(OFFSET($P590,0,AK$13),15-13*ORÇAMENTO!$AF$7)/$H590*OFFSET(ORÇAMENTO!$X$15,ROW(AK590)-ROW(AK$15),0),
ROUND(ROUND(OFFSET($P590,0,AK$13),15-13*ORÇAMENTO!$AF$7)*OFFSET(ORÇAMENTO!$W$15,ROW(AK590)-ROW(AK$15),0),15-13*ORÇAMENTO!$AF$11)),0)</f>
        <v>0</v>
      </c>
      <c r="AM590" s="181">
        <f ca="1">IF($D590&lt;&gt;"Serviço",0,IF(AND(AUTOEVENTO="Manual",$M590=1),0,IF(OFFSET(CRONOPLE!$F$14,$M590,AM$13)="",10^12,OFFSET(CRONOPLE!$F$14,$M590,AM$13))))</f>
        <v>1000000000000</v>
      </c>
      <c r="AN590" s="181">
        <f ca="1">IF($D590&lt;&gt;"Serviço",0,IF(AND(AUTOEVENTO="Manual",$M590=1),0,IF(OFFSET(CRONOPLE!$F$14,$M590,AN$13)="",10^12,OFFSET(CRONOPLE!$F$14,$M590,AN$13))))</f>
        <v>1000000000000</v>
      </c>
      <c r="AO590" s="181">
        <f ca="1">IF($D590&lt;&gt;"Serviço",0,IF(AND(AUTOEVENTO="Manual",$M590=1),0,IF(OFFSET(CRONOPLE!$F$14,$M590,AO$13)="",10^12,OFFSET(CRONOPLE!$F$14,$M590,AO$13))))</f>
        <v>1000000000000</v>
      </c>
      <c r="AP590" s="181">
        <f ca="1">IF($D590&lt;&gt;"Serviço",0,IF(AND(AUTOEVENTO="Manual",$M590=1),0,IF(OFFSET(CRONOPLE!$F$14,$M590,AP$13)="",10^12,OFFSET(CRONOPLE!$F$14,$M590,AP$13))))</f>
        <v>1000000000000</v>
      </c>
      <c r="AQ590" s="181">
        <f ca="1">IF($D590&lt;&gt;"Serviço",0,IF(AND(AUTOEVENTO="Manual",$M590=1),0,IF(OFFSET(CRONOPLE!$F$14,$M590,AQ$13)="",10^12,OFFSET(CRONOPLE!$F$14,$M590,AQ$13))))</f>
        <v>1000000000000</v>
      </c>
      <c r="AR590" s="181">
        <f ca="1">IF($D590&lt;&gt;"Serviço",0,IF(AND(AUTOEVENTO="Manual",$M590=1),0,IF(OFFSET(CRONOPLE!$F$14,$M590,AR$13)="",10^12,OFFSET(CRONOPLE!$F$14,$M590,AR$13))))</f>
        <v>1000000000000</v>
      </c>
      <c r="AS590" s="181">
        <f ca="1">IF($D590&lt;&gt;"Serviço",0,IF(AND(AUTOEVENTO="Manual",$M590=1),0,IF(OFFSET(CRONOPLE!$F$14,$M590,AS$13)="",10^12,OFFSET(CRONOPLE!$F$14,$M590,AS$13))))</f>
        <v>1000000000000</v>
      </c>
      <c r="AT590" s="181">
        <f ca="1">IF($D590&lt;&gt;"Serviço",0,IF(AND(AUTOEVENTO="Manual",$M590=1),0,IF(OFFSET(CRONOPLE!$F$14,$M590,AT$13)="",10^12,OFFSET(CRONOPLE!$F$14,$M590,AT$13))))</f>
        <v>1000000000000</v>
      </c>
      <c r="AU590" s="181">
        <f ca="1">IF($D590&lt;&gt;"Serviço",0,IF(AND(AUTOEVENTO="Manual",$M590=1),0,IF(OFFSET(CRONOPLE!$F$14,$M590,AU$13)="",10^12,OFFSET(CRONOPLE!$F$14,$M590,AU$13))))</f>
        <v>1000000000000</v>
      </c>
      <c r="AV590" s="181">
        <f ca="1">IF($D590&lt;&gt;"Serviço",0,IF(AND(AUTOEVENTO="Manual",$M590=1),0,IF(OFFSET(CRONOPLE!$F$14,$M590,AV$13)="",10^12,OFFSET(CRONOPLE!$F$14,$M590,AV$13))))</f>
        <v>1000000000000</v>
      </c>
      <c r="AX590" s="182">
        <f ca="1">IF($D590&lt;&gt;"Serviço",0,IF(OR(AND(AUTOEVENTO="Manual",$M590=1),$M590&gt;(ROW(PLE.lastrow)-ROW(PLE.firstrow))),0,IF(OFFSET(PLE!$G$14,$M590,AX$13)="",10^12,OFFSET(PLE!$G$14,$M590,AX$13))))</f>
        <v>1000000000000</v>
      </c>
      <c r="AY590" s="182">
        <f ca="1">IF($D590&lt;&gt;"Serviço",0,IF(OR(AND(AUTOEVENTO="Manual",$M590=1),$M590&gt;(ROW(PLE.lastrow)-ROW(PLE.firstrow))),0,IF(OFFSET(PLE!$G$14,$M590,AY$13)="",10^12,OFFSET(PLE!$G$14,$M590,AY$13))))</f>
        <v>1000000000000</v>
      </c>
      <c r="AZ590" s="182">
        <f ca="1">IF($D590&lt;&gt;"Serviço",0,IF(OR(AND(AUTOEVENTO="Manual",$M590=1),$M590&gt;(ROW(PLE.lastrow)-ROW(PLE.firstrow))),0,IF(OFFSET(PLE!$G$14,$M590,AZ$13)="",10^12,OFFSET(PLE!$G$14,$M590,AZ$13))))</f>
        <v>1000000000000</v>
      </c>
      <c r="BA590" s="182">
        <f ca="1">IF($D590&lt;&gt;"Serviço",0,IF(OR(AND(AUTOEVENTO="Manual",$M590=1),$M590&gt;(ROW(PLE.lastrow)-ROW(PLE.firstrow))),0,IF(OFFSET(PLE!$G$14,$M590,BA$13)="",10^12,OFFSET(PLE!$G$14,$M590,BA$13))))</f>
        <v>1000000000000</v>
      </c>
      <c r="BB590" s="182">
        <f ca="1">IF($D590&lt;&gt;"Serviço",0,IF(OR(AND(AUTOEVENTO="Manual",$M590=1),$M590&gt;(ROW(PLE.lastrow)-ROW(PLE.firstrow))),0,IF(OFFSET(PLE!$G$14,$M590,BB$13)="",10^12,OFFSET(PLE!$G$14,$M590,BB$13))))</f>
        <v>1000000000000</v>
      </c>
      <c r="BC590" s="182">
        <f ca="1">IF($D590&lt;&gt;"Serviço",0,IF(OR(AND(AUTOEVENTO="Manual",$M590=1),$M590&gt;(ROW(PLE.lastrow)-ROW(PLE.firstrow))),0,IF(OFFSET(PLE!$G$14,$M590,BC$13)="",10^12,OFFSET(PLE!$G$14,$M590,BC$13))))</f>
        <v>1000000000000</v>
      </c>
      <c r="BD590" s="182">
        <f ca="1">IF($D590&lt;&gt;"Serviço",0,IF(OR(AND(AUTOEVENTO="Manual",$M590=1),$M590&gt;(ROW(PLE.lastrow)-ROW(PLE.firstrow))),0,IF(OFFSET(PLE!$G$14,$M590,BD$13)="",10^12,OFFSET(PLE!$G$14,$M590,BD$13))))</f>
        <v>1000000000000</v>
      </c>
      <c r="BE590" s="182">
        <f ca="1">IF($D590&lt;&gt;"Serviço",0,IF(OR(AND(AUTOEVENTO="Manual",$M590=1),$M590&gt;(ROW(PLE.lastrow)-ROW(PLE.firstrow))),0,IF(OFFSET(PLE!$G$14,$M590,BE$13)="",10^12,OFFSET(PLE!$G$14,$M590,BE$13))))</f>
        <v>1000000000000</v>
      </c>
      <c r="BF590" s="182">
        <f ca="1">IF($D590&lt;&gt;"Serviço",0,IF(OR(AND(AUTOEVENTO="Manual",$M590=1),$M590&gt;(ROW(PLE.lastrow)-ROW(PLE.firstrow))),0,IF(OFFSET(PLE!$G$14,$M590,BF$13)="",10^12,OFFSET(PLE!$G$14,$M590,BF$13))))</f>
        <v>1000000000000</v>
      </c>
      <c r="BG590" s="182">
        <f ca="1">IF($D590&lt;&gt;"Serviço",0,IF(OR(AND(AUTOEVENTO="Manual",$M590=1),$M590&gt;(ROW(PLE.lastrow)-ROW(PLE.firstrow))),0,IF(OFFSET(PLE!$G$14,$M590,BG$13)="",10^12,OFFSET(PLE!$G$14,$M590,BG$13))))</f>
        <v>1000000000000</v>
      </c>
    </row>
    <row r="591" spans="1:59" ht="38.25" x14ac:dyDescent="0.2">
      <c r="A591" s="7" t="str">
        <f t="shared" ca="1" si="16"/>
        <v>472</v>
      </c>
      <c r="B591" s="7" t="str">
        <f ca="1">OFFSET(ORÇAMENTO!C$15,ROW(B591)-ROW(B$15),0)</f>
        <v>S</v>
      </c>
      <c r="C591" s="7" t="str">
        <f ca="1">OFFSET(ORÇAMENTO!L$15,ROW(C591)-ROW(C$15),0)</f>
        <v/>
      </c>
      <c r="D591" s="118" t="str">
        <f ca="1">OFFSET(ORÇAMENTO!N$15,ROW(D591)-ROW(D$15),0)</f>
        <v>Serviço</v>
      </c>
      <c r="E591" s="119" t="str">
        <f ca="1">OFFSET(ORÇAMENTO!O$15,ROW(E591)-ROW(E$15),0)</f>
        <v>-</v>
      </c>
      <c r="F591" s="172" t="str">
        <f ca="1">OFFSET(ORÇAMENTO!R$15,ROW(F591)-ROW(F$15),0)</f>
        <v>(abra o arquivo 'Referência 02-2025.xlsm)</v>
      </c>
      <c r="G591" s="173" t="str">
        <f ca="1">IF($D591&lt;&gt;"Serviço","",OFFSET(ORÇAMENTO!S$15,ROW(G591)-ROW(G$15),0))</f>
        <v>-</v>
      </c>
      <c r="H591" s="124">
        <f ca="1">IF($D591&lt;&gt;"Serviço",0,IF(ACOMPANHAMENTO="BM",ROUND(OFFSET(ORÇAMENTO!AJ$15,ROW(H591)-ROW(H$15),0),15-13*ORÇAMENTO!$AF$7),SUMPRODUCT(($Q$12:$AA$12&lt;&gt;"")*ROUND($Q591:$AA591,15-13*ORÇAMENTO!$AF$7))))</f>
        <v>2</v>
      </c>
      <c r="I591" s="561" t="s">
        <v>890</v>
      </c>
      <c r="K591" s="174"/>
      <c r="L591" s="175" t="s">
        <v>255</v>
      </c>
      <c r="M591" s="176">
        <f ca="1">IF($D591&lt;&gt;"Serviço","",IF(AUTOEVENTO="manual",$A591,IF(ISERROR(MATCH($A591,$A$15:OFFSET($A591,-1,0),0)),MAX($M$15:OFFSET(M591,-1,0))+1,INDEX($M$15:OFFSET(M591,-1,0),MATCH($A591,$A$15:OFFSET($A591,-1,0),0)))))</f>
        <v>18</v>
      </c>
      <c r="N591" s="177" t="str">
        <f ca="1">IF($D591&lt;&gt;"Serviço","",IF(AUTOEVENTO="Manual",IF($A591=0,"&lt;-- defina o número do agrupador",OFFSET(EVENTOS!$D$14,$A591,0)),OFFSET($F$15,$A591,0)))</f>
        <v>INSTALAÇÕES ELÉTRICAS - 220V</v>
      </c>
      <c r="O591" s="178"/>
      <c r="Q591" s="178"/>
      <c r="R591" s="179"/>
      <c r="S591" s="179"/>
      <c r="T591" s="179"/>
      <c r="U591" s="179"/>
      <c r="V591" s="179"/>
      <c r="W591" s="179"/>
      <c r="X591" s="179"/>
      <c r="Y591" s="179"/>
      <c r="Z591" s="180"/>
      <c r="AB591" s="544">
        <f ca="1">IF(AND($D591="Serviço",AB$12&lt;&gt;0,$H591&gt;0,OR(AUTOEVENTO&lt;&gt;"manual",$M591&lt;&gt;1)),
IF(Import.TipoArredondamento&lt;&gt;"TransfereGOV",
ROUND(OFFSET($P591,0,AB$13),15-13*ORÇAMENTO!$AF$7)/$H591*OFFSET(ORÇAMENTO!$X$15,ROW(AB591)-ROW(AB$15),0),
ROUND(ROUND(OFFSET($P591,0,AB$13),15-13*ORÇAMENTO!$AF$7)*OFFSET(ORÇAMENTO!$W$15,ROW(AB591)-ROW(AB$15),0),15-13*ORÇAMENTO!$AF$11)),0)</f>
        <v>0</v>
      </c>
      <c r="AC591" s="545">
        <f ca="1">IF(AND($D591="Serviço",AC$12&lt;&gt;0,$H591&gt;0,OR(AUTOEVENTO&lt;&gt;"manual",$M591&lt;&gt;1)),
IF(Import.TipoArredondamento&lt;&gt;"TransfereGOV",
ROUND(OFFSET($P591,0,AC$13),15-13*ORÇAMENTO!$AF$7)/$H591*OFFSET(ORÇAMENTO!$X$15,ROW(AC591)-ROW(AC$15),0),
ROUND(ROUND(OFFSET($P591,0,AC$13),15-13*ORÇAMENTO!$AF$7)*OFFSET(ORÇAMENTO!$W$15,ROW(AC591)-ROW(AC$15),0),15-13*ORÇAMENTO!$AF$11)),0)</f>
        <v>0</v>
      </c>
      <c r="AD591" s="545">
        <f ca="1">IF(AND($D591="Serviço",AD$12&lt;&gt;0,$H591&gt;0,OR(AUTOEVENTO&lt;&gt;"manual",$M591&lt;&gt;1)),
IF(Import.TipoArredondamento&lt;&gt;"TransfereGOV",
ROUND(OFFSET($P591,0,AD$13),15-13*ORÇAMENTO!$AF$7)/$H591*OFFSET(ORÇAMENTO!$X$15,ROW(AD591)-ROW(AD$15),0),
ROUND(ROUND(OFFSET($P591,0,AD$13),15-13*ORÇAMENTO!$AF$7)*OFFSET(ORÇAMENTO!$W$15,ROW(AD591)-ROW(AD$15),0),15-13*ORÇAMENTO!$AF$11)),0)</f>
        <v>0</v>
      </c>
      <c r="AE591" s="545">
        <f ca="1">IF(AND($D591="Serviço",AE$12&lt;&gt;0,$H591&gt;0,OR(AUTOEVENTO&lt;&gt;"manual",$M591&lt;&gt;1)),
IF(Import.TipoArredondamento&lt;&gt;"TransfereGOV",
ROUND(OFFSET($P591,0,AE$13),15-13*ORÇAMENTO!$AF$7)/$H591*OFFSET(ORÇAMENTO!$X$15,ROW(AE591)-ROW(AE$15),0),
ROUND(ROUND(OFFSET($P591,0,AE$13),15-13*ORÇAMENTO!$AF$7)*OFFSET(ORÇAMENTO!$W$15,ROW(AE591)-ROW(AE$15),0),15-13*ORÇAMENTO!$AF$11)),0)</f>
        <v>0</v>
      </c>
      <c r="AF591" s="545">
        <f ca="1">IF(AND($D591="Serviço",AF$12&lt;&gt;0,$H591&gt;0,OR(AUTOEVENTO&lt;&gt;"manual",$M591&lt;&gt;1)),
IF(Import.TipoArredondamento&lt;&gt;"TransfereGOV",
ROUND(OFFSET($P591,0,AF$13),15-13*ORÇAMENTO!$AF$7)/$H591*OFFSET(ORÇAMENTO!$X$15,ROW(AF591)-ROW(AF$15),0),
ROUND(ROUND(OFFSET($P591,0,AF$13),15-13*ORÇAMENTO!$AF$7)*OFFSET(ORÇAMENTO!$W$15,ROW(AF591)-ROW(AF$15),0),15-13*ORÇAMENTO!$AF$11)),0)</f>
        <v>0</v>
      </c>
      <c r="AG591" s="545">
        <f ca="1">IF(AND($D591="Serviço",AG$12&lt;&gt;0,$H591&gt;0,OR(AUTOEVENTO&lt;&gt;"manual",$M591&lt;&gt;1)),
IF(Import.TipoArredondamento&lt;&gt;"TransfereGOV",
ROUND(OFFSET($P591,0,AG$13),15-13*ORÇAMENTO!$AF$7)/$H591*OFFSET(ORÇAMENTO!$X$15,ROW(AG591)-ROW(AG$15),0),
ROUND(ROUND(OFFSET($P591,0,AG$13),15-13*ORÇAMENTO!$AF$7)*OFFSET(ORÇAMENTO!$W$15,ROW(AG591)-ROW(AG$15),0),15-13*ORÇAMENTO!$AF$11)),0)</f>
        <v>0</v>
      </c>
      <c r="AH591" s="545">
        <f ca="1">IF(AND($D591="Serviço",AH$12&lt;&gt;0,$H591&gt;0,OR(AUTOEVENTO&lt;&gt;"manual",$M591&lt;&gt;1)),
IF(Import.TipoArredondamento&lt;&gt;"TransfereGOV",
ROUND(OFFSET($P591,0,AH$13),15-13*ORÇAMENTO!$AF$7)/$H591*OFFSET(ORÇAMENTO!$X$15,ROW(AH591)-ROW(AH$15),0),
ROUND(ROUND(OFFSET($P591,0,AH$13),15-13*ORÇAMENTO!$AF$7)*OFFSET(ORÇAMENTO!$W$15,ROW(AH591)-ROW(AH$15),0),15-13*ORÇAMENTO!$AF$11)),0)</f>
        <v>0</v>
      </c>
      <c r="AI591" s="545">
        <f ca="1">IF(AND($D591="Serviço",AI$12&lt;&gt;0,$H591&gt;0,OR(AUTOEVENTO&lt;&gt;"manual",$M591&lt;&gt;1)),
IF(Import.TipoArredondamento&lt;&gt;"TransfereGOV",
ROUND(OFFSET($P591,0,AI$13),15-13*ORÇAMENTO!$AF$7)/$H591*OFFSET(ORÇAMENTO!$X$15,ROW(AI591)-ROW(AI$15),0),
ROUND(ROUND(OFFSET($P591,0,AI$13),15-13*ORÇAMENTO!$AF$7)*OFFSET(ORÇAMENTO!$W$15,ROW(AI591)-ROW(AI$15),0),15-13*ORÇAMENTO!$AF$11)),0)</f>
        <v>0</v>
      </c>
      <c r="AJ591" s="545">
        <f ca="1">IF(AND($D591="Serviço",AJ$12&lt;&gt;0,$H591&gt;0,OR(AUTOEVENTO&lt;&gt;"manual",$M591&lt;&gt;1)),
IF(Import.TipoArredondamento&lt;&gt;"TransfereGOV",
ROUND(OFFSET($P591,0,AJ$13),15-13*ORÇAMENTO!$AF$7)/$H591*OFFSET(ORÇAMENTO!$X$15,ROW(AJ591)-ROW(AJ$15),0),
ROUND(ROUND(OFFSET($P591,0,AJ$13),15-13*ORÇAMENTO!$AF$7)*OFFSET(ORÇAMENTO!$W$15,ROW(AJ591)-ROW(AJ$15),0),15-13*ORÇAMENTO!$AF$11)),0)</f>
        <v>0</v>
      </c>
      <c r="AK591" s="546">
        <f ca="1">IF(AND($D591="Serviço",AK$12&lt;&gt;0,$H591&gt;0,OR(AUTOEVENTO&lt;&gt;"manual",$M591&lt;&gt;1)),
IF(Import.TipoArredondamento&lt;&gt;"TransfereGOV",
ROUND(OFFSET($P591,0,AK$13),15-13*ORÇAMENTO!$AF$7)/$H591*OFFSET(ORÇAMENTO!$X$15,ROW(AK591)-ROW(AK$15),0),
ROUND(ROUND(OFFSET($P591,0,AK$13),15-13*ORÇAMENTO!$AF$7)*OFFSET(ORÇAMENTO!$W$15,ROW(AK591)-ROW(AK$15),0),15-13*ORÇAMENTO!$AF$11)),0)</f>
        <v>0</v>
      </c>
      <c r="AM591" s="181">
        <f ca="1">IF($D591&lt;&gt;"Serviço",0,IF(AND(AUTOEVENTO="Manual",$M591=1),0,IF(OFFSET(CRONOPLE!$F$14,$M591,AM$13)="",10^12,OFFSET(CRONOPLE!$F$14,$M591,AM$13))))</f>
        <v>1000000000000</v>
      </c>
      <c r="AN591" s="181">
        <f ca="1">IF($D591&lt;&gt;"Serviço",0,IF(AND(AUTOEVENTO="Manual",$M591=1),0,IF(OFFSET(CRONOPLE!$F$14,$M591,AN$13)="",10^12,OFFSET(CRONOPLE!$F$14,$M591,AN$13))))</f>
        <v>1000000000000</v>
      </c>
      <c r="AO591" s="181">
        <f ca="1">IF($D591&lt;&gt;"Serviço",0,IF(AND(AUTOEVENTO="Manual",$M591=1),0,IF(OFFSET(CRONOPLE!$F$14,$M591,AO$13)="",10^12,OFFSET(CRONOPLE!$F$14,$M591,AO$13))))</f>
        <v>1000000000000</v>
      </c>
      <c r="AP591" s="181">
        <f ca="1">IF($D591&lt;&gt;"Serviço",0,IF(AND(AUTOEVENTO="Manual",$M591=1),0,IF(OFFSET(CRONOPLE!$F$14,$M591,AP$13)="",10^12,OFFSET(CRONOPLE!$F$14,$M591,AP$13))))</f>
        <v>1000000000000</v>
      </c>
      <c r="AQ591" s="181">
        <f ca="1">IF($D591&lt;&gt;"Serviço",0,IF(AND(AUTOEVENTO="Manual",$M591=1),0,IF(OFFSET(CRONOPLE!$F$14,$M591,AQ$13)="",10^12,OFFSET(CRONOPLE!$F$14,$M591,AQ$13))))</f>
        <v>1000000000000</v>
      </c>
      <c r="AR591" s="181">
        <f ca="1">IF($D591&lt;&gt;"Serviço",0,IF(AND(AUTOEVENTO="Manual",$M591=1),0,IF(OFFSET(CRONOPLE!$F$14,$M591,AR$13)="",10^12,OFFSET(CRONOPLE!$F$14,$M591,AR$13))))</f>
        <v>1000000000000</v>
      </c>
      <c r="AS591" s="181">
        <f ca="1">IF($D591&lt;&gt;"Serviço",0,IF(AND(AUTOEVENTO="Manual",$M591=1),0,IF(OFFSET(CRONOPLE!$F$14,$M591,AS$13)="",10^12,OFFSET(CRONOPLE!$F$14,$M591,AS$13))))</f>
        <v>1000000000000</v>
      </c>
      <c r="AT591" s="181">
        <f ca="1">IF($D591&lt;&gt;"Serviço",0,IF(AND(AUTOEVENTO="Manual",$M591=1),0,IF(OFFSET(CRONOPLE!$F$14,$M591,AT$13)="",10^12,OFFSET(CRONOPLE!$F$14,$M591,AT$13))))</f>
        <v>1000000000000</v>
      </c>
      <c r="AU591" s="181">
        <f ca="1">IF($D591&lt;&gt;"Serviço",0,IF(AND(AUTOEVENTO="Manual",$M591=1),0,IF(OFFSET(CRONOPLE!$F$14,$M591,AU$13)="",10^12,OFFSET(CRONOPLE!$F$14,$M591,AU$13))))</f>
        <v>1000000000000</v>
      </c>
      <c r="AV591" s="181">
        <f ca="1">IF($D591&lt;&gt;"Serviço",0,IF(AND(AUTOEVENTO="Manual",$M591=1),0,IF(OFFSET(CRONOPLE!$F$14,$M591,AV$13)="",10^12,OFFSET(CRONOPLE!$F$14,$M591,AV$13))))</f>
        <v>1000000000000</v>
      </c>
      <c r="AX591" s="182">
        <f ca="1">IF($D591&lt;&gt;"Serviço",0,IF(OR(AND(AUTOEVENTO="Manual",$M591=1),$M591&gt;(ROW(PLE.lastrow)-ROW(PLE.firstrow))),0,IF(OFFSET(PLE!$G$14,$M591,AX$13)="",10^12,OFFSET(PLE!$G$14,$M591,AX$13))))</f>
        <v>1000000000000</v>
      </c>
      <c r="AY591" s="182">
        <f ca="1">IF($D591&lt;&gt;"Serviço",0,IF(OR(AND(AUTOEVENTO="Manual",$M591=1),$M591&gt;(ROW(PLE.lastrow)-ROW(PLE.firstrow))),0,IF(OFFSET(PLE!$G$14,$M591,AY$13)="",10^12,OFFSET(PLE!$G$14,$M591,AY$13))))</f>
        <v>1000000000000</v>
      </c>
      <c r="AZ591" s="182">
        <f ca="1">IF($D591&lt;&gt;"Serviço",0,IF(OR(AND(AUTOEVENTO="Manual",$M591=1),$M591&gt;(ROW(PLE.lastrow)-ROW(PLE.firstrow))),0,IF(OFFSET(PLE!$G$14,$M591,AZ$13)="",10^12,OFFSET(PLE!$G$14,$M591,AZ$13))))</f>
        <v>1000000000000</v>
      </c>
      <c r="BA591" s="182">
        <f ca="1">IF($D591&lt;&gt;"Serviço",0,IF(OR(AND(AUTOEVENTO="Manual",$M591=1),$M591&gt;(ROW(PLE.lastrow)-ROW(PLE.firstrow))),0,IF(OFFSET(PLE!$G$14,$M591,BA$13)="",10^12,OFFSET(PLE!$G$14,$M591,BA$13))))</f>
        <v>1000000000000</v>
      </c>
      <c r="BB591" s="182">
        <f ca="1">IF($D591&lt;&gt;"Serviço",0,IF(OR(AND(AUTOEVENTO="Manual",$M591=1),$M591&gt;(ROW(PLE.lastrow)-ROW(PLE.firstrow))),0,IF(OFFSET(PLE!$G$14,$M591,BB$13)="",10^12,OFFSET(PLE!$G$14,$M591,BB$13))))</f>
        <v>1000000000000</v>
      </c>
      <c r="BC591" s="182">
        <f ca="1">IF($D591&lt;&gt;"Serviço",0,IF(OR(AND(AUTOEVENTO="Manual",$M591=1),$M591&gt;(ROW(PLE.lastrow)-ROW(PLE.firstrow))),0,IF(OFFSET(PLE!$G$14,$M591,BC$13)="",10^12,OFFSET(PLE!$G$14,$M591,BC$13))))</f>
        <v>1000000000000</v>
      </c>
      <c r="BD591" s="182">
        <f ca="1">IF($D591&lt;&gt;"Serviço",0,IF(OR(AND(AUTOEVENTO="Manual",$M591=1),$M591&gt;(ROW(PLE.lastrow)-ROW(PLE.firstrow))),0,IF(OFFSET(PLE!$G$14,$M591,BD$13)="",10^12,OFFSET(PLE!$G$14,$M591,BD$13))))</f>
        <v>1000000000000</v>
      </c>
      <c r="BE591" s="182">
        <f ca="1">IF($D591&lt;&gt;"Serviço",0,IF(OR(AND(AUTOEVENTO="Manual",$M591=1),$M591&gt;(ROW(PLE.lastrow)-ROW(PLE.firstrow))),0,IF(OFFSET(PLE!$G$14,$M591,BE$13)="",10^12,OFFSET(PLE!$G$14,$M591,BE$13))))</f>
        <v>1000000000000</v>
      </c>
      <c r="BF591" s="182">
        <f ca="1">IF($D591&lt;&gt;"Serviço",0,IF(OR(AND(AUTOEVENTO="Manual",$M591=1),$M591&gt;(ROW(PLE.lastrow)-ROW(PLE.firstrow))),0,IF(OFFSET(PLE!$G$14,$M591,BF$13)="",10^12,OFFSET(PLE!$G$14,$M591,BF$13))))</f>
        <v>1000000000000</v>
      </c>
      <c r="BG591" s="182">
        <f ca="1">IF($D591&lt;&gt;"Serviço",0,IF(OR(AND(AUTOEVENTO="Manual",$M591=1),$M591&gt;(ROW(PLE.lastrow)-ROW(PLE.firstrow))),0,IF(OFFSET(PLE!$G$14,$M591,BG$13)="",10^12,OFFSET(PLE!$G$14,$M591,BG$13))))</f>
        <v>1000000000000</v>
      </c>
    </row>
    <row r="592" spans="1:59" ht="38.25" x14ac:dyDescent="0.2">
      <c r="A592" s="7" t="str">
        <f t="shared" ca="1" si="16"/>
        <v>472</v>
      </c>
      <c r="B592" s="7" t="str">
        <f ca="1">OFFSET(ORÇAMENTO!C$15,ROW(B592)-ROW(B$15),0)</f>
        <v>S</v>
      </c>
      <c r="C592" s="7" t="str">
        <f ca="1">OFFSET(ORÇAMENTO!L$15,ROW(C592)-ROW(C$15),0)</f>
        <v/>
      </c>
      <c r="D592" s="118" t="str">
        <f ca="1">OFFSET(ORÇAMENTO!N$15,ROW(D592)-ROW(D$15),0)</f>
        <v>Serviço</v>
      </c>
      <c r="E592" s="119" t="str">
        <f ca="1">OFFSET(ORÇAMENTO!O$15,ROW(E592)-ROW(E$15),0)</f>
        <v>-</v>
      </c>
      <c r="F592" s="172" t="str">
        <f ca="1">OFFSET(ORÇAMENTO!R$15,ROW(F592)-ROW(F$15),0)</f>
        <v>(abra o arquivo 'Referência 02-2025.xlsm)</v>
      </c>
      <c r="G592" s="173" t="str">
        <f ca="1">IF($D592&lt;&gt;"Serviço","",OFFSET(ORÇAMENTO!S$15,ROW(G592)-ROW(G$15),0))</f>
        <v>-</v>
      </c>
      <c r="H592" s="124">
        <f ca="1">IF($D592&lt;&gt;"Serviço",0,IF(ACOMPANHAMENTO="BM",ROUND(OFFSET(ORÇAMENTO!AJ$15,ROW(H592)-ROW(H$15),0),15-13*ORÇAMENTO!$AF$7),SUMPRODUCT(($Q$12:$AA$12&lt;&gt;"")*ROUND($Q592:$AA592,15-13*ORÇAMENTO!$AF$7))))</f>
        <v>2</v>
      </c>
      <c r="I592" s="561" t="s">
        <v>890</v>
      </c>
      <c r="K592" s="174"/>
      <c r="L592" s="175" t="s">
        <v>255</v>
      </c>
      <c r="M592" s="176">
        <f ca="1">IF($D592&lt;&gt;"Serviço","",IF(AUTOEVENTO="manual",$A592,IF(ISERROR(MATCH($A592,$A$15:OFFSET($A592,-1,0),0)),MAX($M$15:OFFSET(M592,-1,0))+1,INDEX($M$15:OFFSET(M592,-1,0),MATCH($A592,$A$15:OFFSET($A592,-1,0),0)))))</f>
        <v>18</v>
      </c>
      <c r="N592" s="177" t="str">
        <f ca="1">IF($D592&lt;&gt;"Serviço","",IF(AUTOEVENTO="Manual",IF($A592=0,"&lt;-- defina o número do agrupador",OFFSET(EVENTOS!$D$14,$A592,0)),OFFSET($F$15,$A592,0)))</f>
        <v>INSTALAÇÕES ELÉTRICAS - 220V</v>
      </c>
      <c r="O592" s="178"/>
      <c r="Q592" s="178"/>
      <c r="R592" s="179"/>
      <c r="S592" s="179"/>
      <c r="T592" s="179"/>
      <c r="U592" s="179"/>
      <c r="V592" s="179"/>
      <c r="W592" s="179"/>
      <c r="X592" s="179"/>
      <c r="Y592" s="179"/>
      <c r="Z592" s="180"/>
      <c r="AB592" s="544">
        <f ca="1">IF(AND($D592="Serviço",AB$12&lt;&gt;0,$H592&gt;0,OR(AUTOEVENTO&lt;&gt;"manual",$M592&lt;&gt;1)),
IF(Import.TipoArredondamento&lt;&gt;"TransfereGOV",
ROUND(OFFSET($P592,0,AB$13),15-13*ORÇAMENTO!$AF$7)/$H592*OFFSET(ORÇAMENTO!$X$15,ROW(AB592)-ROW(AB$15),0),
ROUND(ROUND(OFFSET($P592,0,AB$13),15-13*ORÇAMENTO!$AF$7)*OFFSET(ORÇAMENTO!$W$15,ROW(AB592)-ROW(AB$15),0),15-13*ORÇAMENTO!$AF$11)),0)</f>
        <v>0</v>
      </c>
      <c r="AC592" s="545">
        <f ca="1">IF(AND($D592="Serviço",AC$12&lt;&gt;0,$H592&gt;0,OR(AUTOEVENTO&lt;&gt;"manual",$M592&lt;&gt;1)),
IF(Import.TipoArredondamento&lt;&gt;"TransfereGOV",
ROUND(OFFSET($P592,0,AC$13),15-13*ORÇAMENTO!$AF$7)/$H592*OFFSET(ORÇAMENTO!$X$15,ROW(AC592)-ROW(AC$15),0),
ROUND(ROUND(OFFSET($P592,0,AC$13),15-13*ORÇAMENTO!$AF$7)*OFFSET(ORÇAMENTO!$W$15,ROW(AC592)-ROW(AC$15),0),15-13*ORÇAMENTO!$AF$11)),0)</f>
        <v>0</v>
      </c>
      <c r="AD592" s="545">
        <f ca="1">IF(AND($D592="Serviço",AD$12&lt;&gt;0,$H592&gt;0,OR(AUTOEVENTO&lt;&gt;"manual",$M592&lt;&gt;1)),
IF(Import.TipoArredondamento&lt;&gt;"TransfereGOV",
ROUND(OFFSET($P592,0,AD$13),15-13*ORÇAMENTO!$AF$7)/$H592*OFFSET(ORÇAMENTO!$X$15,ROW(AD592)-ROW(AD$15),0),
ROUND(ROUND(OFFSET($P592,0,AD$13),15-13*ORÇAMENTO!$AF$7)*OFFSET(ORÇAMENTO!$W$15,ROW(AD592)-ROW(AD$15),0),15-13*ORÇAMENTO!$AF$11)),0)</f>
        <v>0</v>
      </c>
      <c r="AE592" s="545">
        <f ca="1">IF(AND($D592="Serviço",AE$12&lt;&gt;0,$H592&gt;0,OR(AUTOEVENTO&lt;&gt;"manual",$M592&lt;&gt;1)),
IF(Import.TipoArredondamento&lt;&gt;"TransfereGOV",
ROUND(OFFSET($P592,0,AE$13),15-13*ORÇAMENTO!$AF$7)/$H592*OFFSET(ORÇAMENTO!$X$15,ROW(AE592)-ROW(AE$15),0),
ROUND(ROUND(OFFSET($P592,0,AE$13),15-13*ORÇAMENTO!$AF$7)*OFFSET(ORÇAMENTO!$W$15,ROW(AE592)-ROW(AE$15),0),15-13*ORÇAMENTO!$AF$11)),0)</f>
        <v>0</v>
      </c>
      <c r="AF592" s="545">
        <f ca="1">IF(AND($D592="Serviço",AF$12&lt;&gt;0,$H592&gt;0,OR(AUTOEVENTO&lt;&gt;"manual",$M592&lt;&gt;1)),
IF(Import.TipoArredondamento&lt;&gt;"TransfereGOV",
ROUND(OFFSET($P592,0,AF$13),15-13*ORÇAMENTO!$AF$7)/$H592*OFFSET(ORÇAMENTO!$X$15,ROW(AF592)-ROW(AF$15),0),
ROUND(ROUND(OFFSET($P592,0,AF$13),15-13*ORÇAMENTO!$AF$7)*OFFSET(ORÇAMENTO!$W$15,ROW(AF592)-ROW(AF$15),0),15-13*ORÇAMENTO!$AF$11)),0)</f>
        <v>0</v>
      </c>
      <c r="AG592" s="545">
        <f ca="1">IF(AND($D592="Serviço",AG$12&lt;&gt;0,$H592&gt;0,OR(AUTOEVENTO&lt;&gt;"manual",$M592&lt;&gt;1)),
IF(Import.TipoArredondamento&lt;&gt;"TransfereGOV",
ROUND(OFFSET($P592,0,AG$13),15-13*ORÇAMENTO!$AF$7)/$H592*OFFSET(ORÇAMENTO!$X$15,ROW(AG592)-ROW(AG$15),0),
ROUND(ROUND(OFFSET($P592,0,AG$13),15-13*ORÇAMENTO!$AF$7)*OFFSET(ORÇAMENTO!$W$15,ROW(AG592)-ROW(AG$15),0),15-13*ORÇAMENTO!$AF$11)),0)</f>
        <v>0</v>
      </c>
      <c r="AH592" s="545">
        <f ca="1">IF(AND($D592="Serviço",AH$12&lt;&gt;0,$H592&gt;0,OR(AUTOEVENTO&lt;&gt;"manual",$M592&lt;&gt;1)),
IF(Import.TipoArredondamento&lt;&gt;"TransfereGOV",
ROUND(OFFSET($P592,0,AH$13),15-13*ORÇAMENTO!$AF$7)/$H592*OFFSET(ORÇAMENTO!$X$15,ROW(AH592)-ROW(AH$15),0),
ROUND(ROUND(OFFSET($P592,0,AH$13),15-13*ORÇAMENTO!$AF$7)*OFFSET(ORÇAMENTO!$W$15,ROW(AH592)-ROW(AH$15),0),15-13*ORÇAMENTO!$AF$11)),0)</f>
        <v>0</v>
      </c>
      <c r="AI592" s="545">
        <f ca="1">IF(AND($D592="Serviço",AI$12&lt;&gt;0,$H592&gt;0,OR(AUTOEVENTO&lt;&gt;"manual",$M592&lt;&gt;1)),
IF(Import.TipoArredondamento&lt;&gt;"TransfereGOV",
ROUND(OFFSET($P592,0,AI$13),15-13*ORÇAMENTO!$AF$7)/$H592*OFFSET(ORÇAMENTO!$X$15,ROW(AI592)-ROW(AI$15),0),
ROUND(ROUND(OFFSET($P592,0,AI$13),15-13*ORÇAMENTO!$AF$7)*OFFSET(ORÇAMENTO!$W$15,ROW(AI592)-ROW(AI$15),0),15-13*ORÇAMENTO!$AF$11)),0)</f>
        <v>0</v>
      </c>
      <c r="AJ592" s="545">
        <f ca="1">IF(AND($D592="Serviço",AJ$12&lt;&gt;0,$H592&gt;0,OR(AUTOEVENTO&lt;&gt;"manual",$M592&lt;&gt;1)),
IF(Import.TipoArredondamento&lt;&gt;"TransfereGOV",
ROUND(OFFSET($P592,0,AJ$13),15-13*ORÇAMENTO!$AF$7)/$H592*OFFSET(ORÇAMENTO!$X$15,ROW(AJ592)-ROW(AJ$15),0),
ROUND(ROUND(OFFSET($P592,0,AJ$13),15-13*ORÇAMENTO!$AF$7)*OFFSET(ORÇAMENTO!$W$15,ROW(AJ592)-ROW(AJ$15),0),15-13*ORÇAMENTO!$AF$11)),0)</f>
        <v>0</v>
      </c>
      <c r="AK592" s="546">
        <f ca="1">IF(AND($D592="Serviço",AK$12&lt;&gt;0,$H592&gt;0,OR(AUTOEVENTO&lt;&gt;"manual",$M592&lt;&gt;1)),
IF(Import.TipoArredondamento&lt;&gt;"TransfereGOV",
ROUND(OFFSET($P592,0,AK$13),15-13*ORÇAMENTO!$AF$7)/$H592*OFFSET(ORÇAMENTO!$X$15,ROW(AK592)-ROW(AK$15),0),
ROUND(ROUND(OFFSET($P592,0,AK$13),15-13*ORÇAMENTO!$AF$7)*OFFSET(ORÇAMENTO!$W$15,ROW(AK592)-ROW(AK$15),0),15-13*ORÇAMENTO!$AF$11)),0)</f>
        <v>0</v>
      </c>
      <c r="AM592" s="181">
        <f ca="1">IF($D592&lt;&gt;"Serviço",0,IF(AND(AUTOEVENTO="Manual",$M592=1),0,IF(OFFSET(CRONOPLE!$F$14,$M592,AM$13)="",10^12,OFFSET(CRONOPLE!$F$14,$M592,AM$13))))</f>
        <v>1000000000000</v>
      </c>
      <c r="AN592" s="181">
        <f ca="1">IF($D592&lt;&gt;"Serviço",0,IF(AND(AUTOEVENTO="Manual",$M592=1),0,IF(OFFSET(CRONOPLE!$F$14,$M592,AN$13)="",10^12,OFFSET(CRONOPLE!$F$14,$M592,AN$13))))</f>
        <v>1000000000000</v>
      </c>
      <c r="AO592" s="181">
        <f ca="1">IF($D592&lt;&gt;"Serviço",0,IF(AND(AUTOEVENTO="Manual",$M592=1),0,IF(OFFSET(CRONOPLE!$F$14,$M592,AO$13)="",10^12,OFFSET(CRONOPLE!$F$14,$M592,AO$13))))</f>
        <v>1000000000000</v>
      </c>
      <c r="AP592" s="181">
        <f ca="1">IF($D592&lt;&gt;"Serviço",0,IF(AND(AUTOEVENTO="Manual",$M592=1),0,IF(OFFSET(CRONOPLE!$F$14,$M592,AP$13)="",10^12,OFFSET(CRONOPLE!$F$14,$M592,AP$13))))</f>
        <v>1000000000000</v>
      </c>
      <c r="AQ592" s="181">
        <f ca="1">IF($D592&lt;&gt;"Serviço",0,IF(AND(AUTOEVENTO="Manual",$M592=1),0,IF(OFFSET(CRONOPLE!$F$14,$M592,AQ$13)="",10^12,OFFSET(CRONOPLE!$F$14,$M592,AQ$13))))</f>
        <v>1000000000000</v>
      </c>
      <c r="AR592" s="181">
        <f ca="1">IF($D592&lt;&gt;"Serviço",0,IF(AND(AUTOEVENTO="Manual",$M592=1),0,IF(OFFSET(CRONOPLE!$F$14,$M592,AR$13)="",10^12,OFFSET(CRONOPLE!$F$14,$M592,AR$13))))</f>
        <v>1000000000000</v>
      </c>
      <c r="AS592" s="181">
        <f ca="1">IF($D592&lt;&gt;"Serviço",0,IF(AND(AUTOEVENTO="Manual",$M592=1),0,IF(OFFSET(CRONOPLE!$F$14,$M592,AS$13)="",10^12,OFFSET(CRONOPLE!$F$14,$M592,AS$13))))</f>
        <v>1000000000000</v>
      </c>
      <c r="AT592" s="181">
        <f ca="1">IF($D592&lt;&gt;"Serviço",0,IF(AND(AUTOEVENTO="Manual",$M592=1),0,IF(OFFSET(CRONOPLE!$F$14,$M592,AT$13)="",10^12,OFFSET(CRONOPLE!$F$14,$M592,AT$13))))</f>
        <v>1000000000000</v>
      </c>
      <c r="AU592" s="181">
        <f ca="1">IF($D592&lt;&gt;"Serviço",0,IF(AND(AUTOEVENTO="Manual",$M592=1),0,IF(OFFSET(CRONOPLE!$F$14,$M592,AU$13)="",10^12,OFFSET(CRONOPLE!$F$14,$M592,AU$13))))</f>
        <v>1000000000000</v>
      </c>
      <c r="AV592" s="181">
        <f ca="1">IF($D592&lt;&gt;"Serviço",0,IF(AND(AUTOEVENTO="Manual",$M592=1),0,IF(OFFSET(CRONOPLE!$F$14,$M592,AV$13)="",10^12,OFFSET(CRONOPLE!$F$14,$M592,AV$13))))</f>
        <v>1000000000000</v>
      </c>
      <c r="AX592" s="182">
        <f ca="1">IF($D592&lt;&gt;"Serviço",0,IF(OR(AND(AUTOEVENTO="Manual",$M592=1),$M592&gt;(ROW(PLE.lastrow)-ROW(PLE.firstrow))),0,IF(OFFSET(PLE!$G$14,$M592,AX$13)="",10^12,OFFSET(PLE!$G$14,$M592,AX$13))))</f>
        <v>1000000000000</v>
      </c>
      <c r="AY592" s="182">
        <f ca="1">IF($D592&lt;&gt;"Serviço",0,IF(OR(AND(AUTOEVENTO="Manual",$M592=1),$M592&gt;(ROW(PLE.lastrow)-ROW(PLE.firstrow))),0,IF(OFFSET(PLE!$G$14,$M592,AY$13)="",10^12,OFFSET(PLE!$G$14,$M592,AY$13))))</f>
        <v>1000000000000</v>
      </c>
      <c r="AZ592" s="182">
        <f ca="1">IF($D592&lt;&gt;"Serviço",0,IF(OR(AND(AUTOEVENTO="Manual",$M592=1),$M592&gt;(ROW(PLE.lastrow)-ROW(PLE.firstrow))),0,IF(OFFSET(PLE!$G$14,$M592,AZ$13)="",10^12,OFFSET(PLE!$G$14,$M592,AZ$13))))</f>
        <v>1000000000000</v>
      </c>
      <c r="BA592" s="182">
        <f ca="1">IF($D592&lt;&gt;"Serviço",0,IF(OR(AND(AUTOEVENTO="Manual",$M592=1),$M592&gt;(ROW(PLE.lastrow)-ROW(PLE.firstrow))),0,IF(OFFSET(PLE!$G$14,$M592,BA$13)="",10^12,OFFSET(PLE!$G$14,$M592,BA$13))))</f>
        <v>1000000000000</v>
      </c>
      <c r="BB592" s="182">
        <f ca="1">IF($D592&lt;&gt;"Serviço",0,IF(OR(AND(AUTOEVENTO="Manual",$M592=1),$M592&gt;(ROW(PLE.lastrow)-ROW(PLE.firstrow))),0,IF(OFFSET(PLE!$G$14,$M592,BB$13)="",10^12,OFFSET(PLE!$G$14,$M592,BB$13))))</f>
        <v>1000000000000</v>
      </c>
      <c r="BC592" s="182">
        <f ca="1">IF($D592&lt;&gt;"Serviço",0,IF(OR(AND(AUTOEVENTO="Manual",$M592=1),$M592&gt;(ROW(PLE.lastrow)-ROW(PLE.firstrow))),0,IF(OFFSET(PLE!$G$14,$M592,BC$13)="",10^12,OFFSET(PLE!$G$14,$M592,BC$13))))</f>
        <v>1000000000000</v>
      </c>
      <c r="BD592" s="182">
        <f ca="1">IF($D592&lt;&gt;"Serviço",0,IF(OR(AND(AUTOEVENTO="Manual",$M592=1),$M592&gt;(ROW(PLE.lastrow)-ROW(PLE.firstrow))),0,IF(OFFSET(PLE!$G$14,$M592,BD$13)="",10^12,OFFSET(PLE!$G$14,$M592,BD$13))))</f>
        <v>1000000000000</v>
      </c>
      <c r="BE592" s="182">
        <f ca="1">IF($D592&lt;&gt;"Serviço",0,IF(OR(AND(AUTOEVENTO="Manual",$M592=1),$M592&gt;(ROW(PLE.lastrow)-ROW(PLE.firstrow))),0,IF(OFFSET(PLE!$G$14,$M592,BE$13)="",10^12,OFFSET(PLE!$G$14,$M592,BE$13))))</f>
        <v>1000000000000</v>
      </c>
      <c r="BF592" s="182">
        <f ca="1">IF($D592&lt;&gt;"Serviço",0,IF(OR(AND(AUTOEVENTO="Manual",$M592=1),$M592&gt;(ROW(PLE.lastrow)-ROW(PLE.firstrow))),0,IF(OFFSET(PLE!$G$14,$M592,BF$13)="",10^12,OFFSET(PLE!$G$14,$M592,BF$13))))</f>
        <v>1000000000000</v>
      </c>
      <c r="BG592" s="182">
        <f ca="1">IF($D592&lt;&gt;"Serviço",0,IF(OR(AND(AUTOEVENTO="Manual",$M592=1),$M592&gt;(ROW(PLE.lastrow)-ROW(PLE.firstrow))),0,IF(OFFSET(PLE!$G$14,$M592,BG$13)="",10^12,OFFSET(PLE!$G$14,$M592,BG$13))))</f>
        <v>1000000000000</v>
      </c>
    </row>
    <row r="593" spans="1:59" ht="12.75" x14ac:dyDescent="0.2">
      <c r="A593" s="7" t="str">
        <f t="shared" ca="1" si="16"/>
        <v>472</v>
      </c>
      <c r="B593" s="7">
        <f ca="1">OFFSET(ORÇAMENTO!C$15,ROW(B593)-ROW(B$15),0)</f>
        <v>3</v>
      </c>
      <c r="C593" s="7" t="str">
        <f ca="1">OFFSET(ORÇAMENTO!L$15,ROW(C593)-ROW(C$15),0)</f>
        <v>F</v>
      </c>
      <c r="D593" s="118" t="str">
        <f ca="1">OFFSET(ORÇAMENTO!N$15,ROW(D593)-ROW(D$15),0)</f>
        <v>Nível 3</v>
      </c>
      <c r="E593" s="119" t="str">
        <f ca="1">OFFSET(ORÇAMENTO!O$15,ROW(E593)-ROW(E$15),0)</f>
        <v>1.17.10.</v>
      </c>
      <c r="F593" s="172" t="str">
        <f ca="1">OFFSET(ORÇAMENTO!R$15,ROW(F593)-ROW(F$15),0)</f>
        <v>PERFILADOS</v>
      </c>
      <c r="G593" s="173" t="str">
        <f ca="1">IF($D593&lt;&gt;"Serviço","",OFFSET(ORÇAMENTO!S$15,ROW(G593)-ROW(G$15),0))</f>
        <v/>
      </c>
      <c r="H593" s="124">
        <f ca="1">IF($D593&lt;&gt;"Serviço",0,IF(ACOMPANHAMENTO="BM",ROUND(OFFSET(ORÇAMENTO!AJ$15,ROW(H593)-ROW(H$15),0),15-13*ORÇAMENTO!$AF$7),SUMPRODUCT(($Q$12:$AA$12&lt;&gt;"")*ROUND($Q593:$AA593,15-13*ORÇAMENTO!$AF$7))))</f>
        <v>0</v>
      </c>
      <c r="I593" s="561"/>
      <c r="K593" s="174"/>
      <c r="L593" s="175" t="s">
        <v>255</v>
      </c>
      <c r="M593" s="176" t="str">
        <f ca="1">IF($D593&lt;&gt;"Serviço","",IF(AUTOEVENTO="manual",$A593,IF(ISERROR(MATCH($A593,$A$15:OFFSET($A593,-1,0),0)),MAX($M$15:OFFSET(M593,-1,0))+1,INDEX($M$15:OFFSET(M593,-1,0),MATCH($A593,$A$15:OFFSET($A593,-1,0),0)))))</f>
        <v/>
      </c>
      <c r="N593" s="177" t="str">
        <f ca="1">IF($D593&lt;&gt;"Serviço","",IF(AUTOEVENTO="Manual",IF($A593=0,"&lt;-- defina o número do agrupador",OFFSET(EVENTOS!$D$14,$A593,0)),OFFSET($F$15,$A593,0)))</f>
        <v/>
      </c>
      <c r="O593" s="178"/>
      <c r="Q593" s="178"/>
      <c r="R593" s="179"/>
      <c r="S593" s="179"/>
      <c r="T593" s="179"/>
      <c r="U593" s="179"/>
      <c r="V593" s="179"/>
      <c r="W593" s="179"/>
      <c r="X593" s="179"/>
      <c r="Y593" s="179"/>
      <c r="Z593" s="180"/>
      <c r="AB593" s="544">
        <f ca="1">IF(AND($D593="Serviço",AB$12&lt;&gt;0,$H593&gt;0,OR(AUTOEVENTO&lt;&gt;"manual",$M593&lt;&gt;1)),
IF(Import.TipoArredondamento&lt;&gt;"TransfereGOV",
ROUND(OFFSET($P593,0,AB$13),15-13*ORÇAMENTO!$AF$7)/$H593*OFFSET(ORÇAMENTO!$X$15,ROW(AB593)-ROW(AB$15),0),
ROUND(ROUND(OFFSET($P593,0,AB$13),15-13*ORÇAMENTO!$AF$7)*OFFSET(ORÇAMENTO!$W$15,ROW(AB593)-ROW(AB$15),0),15-13*ORÇAMENTO!$AF$11)),0)</f>
        <v>0</v>
      </c>
      <c r="AC593" s="545">
        <f ca="1">IF(AND($D593="Serviço",AC$12&lt;&gt;0,$H593&gt;0,OR(AUTOEVENTO&lt;&gt;"manual",$M593&lt;&gt;1)),
IF(Import.TipoArredondamento&lt;&gt;"TransfereGOV",
ROUND(OFFSET($P593,0,AC$13),15-13*ORÇAMENTO!$AF$7)/$H593*OFFSET(ORÇAMENTO!$X$15,ROW(AC593)-ROW(AC$15),0),
ROUND(ROUND(OFFSET($P593,0,AC$13),15-13*ORÇAMENTO!$AF$7)*OFFSET(ORÇAMENTO!$W$15,ROW(AC593)-ROW(AC$15),0),15-13*ORÇAMENTO!$AF$11)),0)</f>
        <v>0</v>
      </c>
      <c r="AD593" s="545">
        <f ca="1">IF(AND($D593="Serviço",AD$12&lt;&gt;0,$H593&gt;0,OR(AUTOEVENTO&lt;&gt;"manual",$M593&lt;&gt;1)),
IF(Import.TipoArredondamento&lt;&gt;"TransfereGOV",
ROUND(OFFSET($P593,0,AD$13),15-13*ORÇAMENTO!$AF$7)/$H593*OFFSET(ORÇAMENTO!$X$15,ROW(AD593)-ROW(AD$15),0),
ROUND(ROUND(OFFSET($P593,0,AD$13),15-13*ORÇAMENTO!$AF$7)*OFFSET(ORÇAMENTO!$W$15,ROW(AD593)-ROW(AD$15),0),15-13*ORÇAMENTO!$AF$11)),0)</f>
        <v>0</v>
      </c>
      <c r="AE593" s="545">
        <f ca="1">IF(AND($D593="Serviço",AE$12&lt;&gt;0,$H593&gt;0,OR(AUTOEVENTO&lt;&gt;"manual",$M593&lt;&gt;1)),
IF(Import.TipoArredondamento&lt;&gt;"TransfereGOV",
ROUND(OFFSET($P593,0,AE$13),15-13*ORÇAMENTO!$AF$7)/$H593*OFFSET(ORÇAMENTO!$X$15,ROW(AE593)-ROW(AE$15),0),
ROUND(ROUND(OFFSET($P593,0,AE$13),15-13*ORÇAMENTO!$AF$7)*OFFSET(ORÇAMENTO!$W$15,ROW(AE593)-ROW(AE$15),0),15-13*ORÇAMENTO!$AF$11)),0)</f>
        <v>0</v>
      </c>
      <c r="AF593" s="545">
        <f ca="1">IF(AND($D593="Serviço",AF$12&lt;&gt;0,$H593&gt;0,OR(AUTOEVENTO&lt;&gt;"manual",$M593&lt;&gt;1)),
IF(Import.TipoArredondamento&lt;&gt;"TransfereGOV",
ROUND(OFFSET($P593,0,AF$13),15-13*ORÇAMENTO!$AF$7)/$H593*OFFSET(ORÇAMENTO!$X$15,ROW(AF593)-ROW(AF$15),0),
ROUND(ROUND(OFFSET($P593,0,AF$13),15-13*ORÇAMENTO!$AF$7)*OFFSET(ORÇAMENTO!$W$15,ROW(AF593)-ROW(AF$15),0),15-13*ORÇAMENTO!$AF$11)),0)</f>
        <v>0</v>
      </c>
      <c r="AG593" s="545">
        <f ca="1">IF(AND($D593="Serviço",AG$12&lt;&gt;0,$H593&gt;0,OR(AUTOEVENTO&lt;&gt;"manual",$M593&lt;&gt;1)),
IF(Import.TipoArredondamento&lt;&gt;"TransfereGOV",
ROUND(OFFSET($P593,0,AG$13),15-13*ORÇAMENTO!$AF$7)/$H593*OFFSET(ORÇAMENTO!$X$15,ROW(AG593)-ROW(AG$15),0),
ROUND(ROUND(OFFSET($P593,0,AG$13),15-13*ORÇAMENTO!$AF$7)*OFFSET(ORÇAMENTO!$W$15,ROW(AG593)-ROW(AG$15),0),15-13*ORÇAMENTO!$AF$11)),0)</f>
        <v>0</v>
      </c>
      <c r="AH593" s="545">
        <f ca="1">IF(AND($D593="Serviço",AH$12&lt;&gt;0,$H593&gt;0,OR(AUTOEVENTO&lt;&gt;"manual",$M593&lt;&gt;1)),
IF(Import.TipoArredondamento&lt;&gt;"TransfereGOV",
ROUND(OFFSET($P593,0,AH$13),15-13*ORÇAMENTO!$AF$7)/$H593*OFFSET(ORÇAMENTO!$X$15,ROW(AH593)-ROW(AH$15),0),
ROUND(ROUND(OFFSET($P593,0,AH$13),15-13*ORÇAMENTO!$AF$7)*OFFSET(ORÇAMENTO!$W$15,ROW(AH593)-ROW(AH$15),0),15-13*ORÇAMENTO!$AF$11)),0)</f>
        <v>0</v>
      </c>
      <c r="AI593" s="545">
        <f ca="1">IF(AND($D593="Serviço",AI$12&lt;&gt;0,$H593&gt;0,OR(AUTOEVENTO&lt;&gt;"manual",$M593&lt;&gt;1)),
IF(Import.TipoArredondamento&lt;&gt;"TransfereGOV",
ROUND(OFFSET($P593,0,AI$13),15-13*ORÇAMENTO!$AF$7)/$H593*OFFSET(ORÇAMENTO!$X$15,ROW(AI593)-ROW(AI$15),0),
ROUND(ROUND(OFFSET($P593,0,AI$13),15-13*ORÇAMENTO!$AF$7)*OFFSET(ORÇAMENTO!$W$15,ROW(AI593)-ROW(AI$15),0),15-13*ORÇAMENTO!$AF$11)),0)</f>
        <v>0</v>
      </c>
      <c r="AJ593" s="545">
        <f ca="1">IF(AND($D593="Serviço",AJ$12&lt;&gt;0,$H593&gt;0,OR(AUTOEVENTO&lt;&gt;"manual",$M593&lt;&gt;1)),
IF(Import.TipoArredondamento&lt;&gt;"TransfereGOV",
ROUND(OFFSET($P593,0,AJ$13),15-13*ORÇAMENTO!$AF$7)/$H593*OFFSET(ORÇAMENTO!$X$15,ROW(AJ593)-ROW(AJ$15),0),
ROUND(ROUND(OFFSET($P593,0,AJ$13),15-13*ORÇAMENTO!$AF$7)*OFFSET(ORÇAMENTO!$W$15,ROW(AJ593)-ROW(AJ$15),0),15-13*ORÇAMENTO!$AF$11)),0)</f>
        <v>0</v>
      </c>
      <c r="AK593" s="546">
        <f ca="1">IF(AND($D593="Serviço",AK$12&lt;&gt;0,$H593&gt;0,OR(AUTOEVENTO&lt;&gt;"manual",$M593&lt;&gt;1)),
IF(Import.TipoArredondamento&lt;&gt;"TransfereGOV",
ROUND(OFFSET($P593,0,AK$13),15-13*ORÇAMENTO!$AF$7)/$H593*OFFSET(ORÇAMENTO!$X$15,ROW(AK593)-ROW(AK$15),0),
ROUND(ROUND(OFFSET($P593,0,AK$13),15-13*ORÇAMENTO!$AF$7)*OFFSET(ORÇAMENTO!$W$15,ROW(AK593)-ROW(AK$15),0),15-13*ORÇAMENTO!$AF$11)),0)</f>
        <v>0</v>
      </c>
      <c r="AM593" s="181">
        <f ca="1">IF($D593&lt;&gt;"Serviço",0,IF(AND(AUTOEVENTO="Manual",$M593=1),0,IF(OFFSET(CRONOPLE!$F$14,$M593,AM$13)="",10^12,OFFSET(CRONOPLE!$F$14,$M593,AM$13))))</f>
        <v>0</v>
      </c>
      <c r="AN593" s="181">
        <f ca="1">IF($D593&lt;&gt;"Serviço",0,IF(AND(AUTOEVENTO="Manual",$M593=1),0,IF(OFFSET(CRONOPLE!$F$14,$M593,AN$13)="",10^12,OFFSET(CRONOPLE!$F$14,$M593,AN$13))))</f>
        <v>0</v>
      </c>
      <c r="AO593" s="181">
        <f ca="1">IF($D593&lt;&gt;"Serviço",0,IF(AND(AUTOEVENTO="Manual",$M593=1),0,IF(OFFSET(CRONOPLE!$F$14,$M593,AO$13)="",10^12,OFFSET(CRONOPLE!$F$14,$M593,AO$13))))</f>
        <v>0</v>
      </c>
      <c r="AP593" s="181">
        <f ca="1">IF($D593&lt;&gt;"Serviço",0,IF(AND(AUTOEVENTO="Manual",$M593=1),0,IF(OFFSET(CRONOPLE!$F$14,$M593,AP$13)="",10^12,OFFSET(CRONOPLE!$F$14,$M593,AP$13))))</f>
        <v>0</v>
      </c>
      <c r="AQ593" s="181">
        <f ca="1">IF($D593&lt;&gt;"Serviço",0,IF(AND(AUTOEVENTO="Manual",$M593=1),0,IF(OFFSET(CRONOPLE!$F$14,$M593,AQ$13)="",10^12,OFFSET(CRONOPLE!$F$14,$M593,AQ$13))))</f>
        <v>0</v>
      </c>
      <c r="AR593" s="181">
        <f ca="1">IF($D593&lt;&gt;"Serviço",0,IF(AND(AUTOEVENTO="Manual",$M593=1),0,IF(OFFSET(CRONOPLE!$F$14,$M593,AR$13)="",10^12,OFFSET(CRONOPLE!$F$14,$M593,AR$13))))</f>
        <v>0</v>
      </c>
      <c r="AS593" s="181">
        <f ca="1">IF($D593&lt;&gt;"Serviço",0,IF(AND(AUTOEVENTO="Manual",$M593=1),0,IF(OFFSET(CRONOPLE!$F$14,$M593,AS$13)="",10^12,OFFSET(CRONOPLE!$F$14,$M593,AS$13))))</f>
        <v>0</v>
      </c>
      <c r="AT593" s="181">
        <f ca="1">IF($D593&lt;&gt;"Serviço",0,IF(AND(AUTOEVENTO="Manual",$M593=1),0,IF(OFFSET(CRONOPLE!$F$14,$M593,AT$13)="",10^12,OFFSET(CRONOPLE!$F$14,$M593,AT$13))))</f>
        <v>0</v>
      </c>
      <c r="AU593" s="181">
        <f ca="1">IF($D593&lt;&gt;"Serviço",0,IF(AND(AUTOEVENTO="Manual",$M593=1),0,IF(OFFSET(CRONOPLE!$F$14,$M593,AU$13)="",10^12,OFFSET(CRONOPLE!$F$14,$M593,AU$13))))</f>
        <v>0</v>
      </c>
      <c r="AV593" s="181">
        <f ca="1">IF($D593&lt;&gt;"Serviço",0,IF(AND(AUTOEVENTO="Manual",$M593=1),0,IF(OFFSET(CRONOPLE!$F$14,$M593,AV$13)="",10^12,OFFSET(CRONOPLE!$F$14,$M593,AV$13))))</f>
        <v>0</v>
      </c>
      <c r="AX593" s="182">
        <f ca="1">IF($D593&lt;&gt;"Serviço",0,IF(OR(AND(AUTOEVENTO="Manual",$M593=1),$M593&gt;(ROW(PLE.lastrow)-ROW(PLE.firstrow))),0,IF(OFFSET(PLE!$G$14,$M593,AX$13)="",10^12,OFFSET(PLE!$G$14,$M593,AX$13))))</f>
        <v>0</v>
      </c>
      <c r="AY593" s="182">
        <f ca="1">IF($D593&lt;&gt;"Serviço",0,IF(OR(AND(AUTOEVENTO="Manual",$M593=1),$M593&gt;(ROW(PLE.lastrow)-ROW(PLE.firstrow))),0,IF(OFFSET(PLE!$G$14,$M593,AY$13)="",10^12,OFFSET(PLE!$G$14,$M593,AY$13))))</f>
        <v>0</v>
      </c>
      <c r="AZ593" s="182">
        <f ca="1">IF($D593&lt;&gt;"Serviço",0,IF(OR(AND(AUTOEVENTO="Manual",$M593=1),$M593&gt;(ROW(PLE.lastrow)-ROW(PLE.firstrow))),0,IF(OFFSET(PLE!$G$14,$M593,AZ$13)="",10^12,OFFSET(PLE!$G$14,$M593,AZ$13))))</f>
        <v>0</v>
      </c>
      <c r="BA593" s="182">
        <f ca="1">IF($D593&lt;&gt;"Serviço",0,IF(OR(AND(AUTOEVENTO="Manual",$M593=1),$M593&gt;(ROW(PLE.lastrow)-ROW(PLE.firstrow))),0,IF(OFFSET(PLE!$G$14,$M593,BA$13)="",10^12,OFFSET(PLE!$G$14,$M593,BA$13))))</f>
        <v>0</v>
      </c>
      <c r="BB593" s="182">
        <f ca="1">IF($D593&lt;&gt;"Serviço",0,IF(OR(AND(AUTOEVENTO="Manual",$M593=1),$M593&gt;(ROW(PLE.lastrow)-ROW(PLE.firstrow))),0,IF(OFFSET(PLE!$G$14,$M593,BB$13)="",10^12,OFFSET(PLE!$G$14,$M593,BB$13))))</f>
        <v>0</v>
      </c>
      <c r="BC593" s="182">
        <f ca="1">IF($D593&lt;&gt;"Serviço",0,IF(OR(AND(AUTOEVENTO="Manual",$M593=1),$M593&gt;(ROW(PLE.lastrow)-ROW(PLE.firstrow))),0,IF(OFFSET(PLE!$G$14,$M593,BC$13)="",10^12,OFFSET(PLE!$G$14,$M593,BC$13))))</f>
        <v>0</v>
      </c>
      <c r="BD593" s="182">
        <f ca="1">IF($D593&lt;&gt;"Serviço",0,IF(OR(AND(AUTOEVENTO="Manual",$M593=1),$M593&gt;(ROW(PLE.lastrow)-ROW(PLE.firstrow))),0,IF(OFFSET(PLE!$G$14,$M593,BD$13)="",10^12,OFFSET(PLE!$G$14,$M593,BD$13))))</f>
        <v>0</v>
      </c>
      <c r="BE593" s="182">
        <f ca="1">IF($D593&lt;&gt;"Serviço",0,IF(OR(AND(AUTOEVENTO="Manual",$M593=1),$M593&gt;(ROW(PLE.lastrow)-ROW(PLE.firstrow))),0,IF(OFFSET(PLE!$G$14,$M593,BE$13)="",10^12,OFFSET(PLE!$G$14,$M593,BE$13))))</f>
        <v>0</v>
      </c>
      <c r="BF593" s="182">
        <f ca="1">IF($D593&lt;&gt;"Serviço",0,IF(OR(AND(AUTOEVENTO="Manual",$M593=1),$M593&gt;(ROW(PLE.lastrow)-ROW(PLE.firstrow))),0,IF(OFFSET(PLE!$G$14,$M593,BF$13)="",10^12,OFFSET(PLE!$G$14,$M593,BF$13))))</f>
        <v>0</v>
      </c>
      <c r="BG593" s="182">
        <f ca="1">IF($D593&lt;&gt;"Serviço",0,IF(OR(AND(AUTOEVENTO="Manual",$M593=1),$M593&gt;(ROW(PLE.lastrow)-ROW(PLE.firstrow))),0,IF(OFFSET(PLE!$G$14,$M593,BG$13)="",10^12,OFFSET(PLE!$G$14,$M593,BG$13))))</f>
        <v>0</v>
      </c>
    </row>
    <row r="594" spans="1:59" ht="25.5" x14ac:dyDescent="0.2">
      <c r="A594" s="7" t="str">
        <f t="shared" ca="1" si="16"/>
        <v>472</v>
      </c>
      <c r="B594" s="7" t="str">
        <f ca="1">OFFSET(ORÇAMENTO!C$15,ROW(B594)-ROW(B$15),0)</f>
        <v>S</v>
      </c>
      <c r="C594" s="7" t="str">
        <f ca="1">OFFSET(ORÇAMENTO!L$15,ROW(C594)-ROW(C$15),0)</f>
        <v/>
      </c>
      <c r="D594" s="118" t="str">
        <f ca="1">OFFSET(ORÇAMENTO!N$15,ROW(D594)-ROW(D$15),0)</f>
        <v>Serviço</v>
      </c>
      <c r="E594" s="119" t="str">
        <f ca="1">OFFSET(ORÇAMENTO!O$15,ROW(E594)-ROW(E$15),0)</f>
        <v>-</v>
      </c>
      <c r="F594" s="172" t="str">
        <f ca="1">OFFSET(ORÇAMENTO!R$15,ROW(F594)-ROW(F$15),0)</f>
        <v>(abra o arquivo 'Referência 02-2025.xlsm)</v>
      </c>
      <c r="G594" s="173" t="str">
        <f ca="1">IF($D594&lt;&gt;"Serviço","",OFFSET(ORÇAMENTO!S$15,ROW(G594)-ROW(G$15),0))</f>
        <v>-</v>
      </c>
      <c r="H594" s="124">
        <f ca="1">IF($D594&lt;&gt;"Serviço",0,IF(ACOMPANHAMENTO="BM",ROUND(OFFSET(ORÇAMENTO!AJ$15,ROW(H594)-ROW(H$15),0),15-13*ORÇAMENTO!$AF$7),SUMPRODUCT(($Q$12:$AA$12&lt;&gt;"")*ROUND($Q594:$AA594,15-13*ORÇAMENTO!$AF$7))))</f>
        <v>53</v>
      </c>
      <c r="I594" s="561" t="s">
        <v>890</v>
      </c>
      <c r="K594" s="174"/>
      <c r="L594" s="175" t="s">
        <v>255</v>
      </c>
      <c r="M594" s="176">
        <f ca="1">IF($D594&lt;&gt;"Serviço","",IF(AUTOEVENTO="manual",$A594,IF(ISERROR(MATCH($A594,$A$15:OFFSET($A594,-1,0),0)),MAX($M$15:OFFSET(M594,-1,0))+1,INDEX($M$15:OFFSET(M594,-1,0),MATCH($A594,$A$15:OFFSET($A594,-1,0),0)))))</f>
        <v>18</v>
      </c>
      <c r="N594" s="177" t="str">
        <f ca="1">IF($D594&lt;&gt;"Serviço","",IF(AUTOEVENTO="Manual",IF($A594=0,"&lt;-- defina o número do agrupador",OFFSET(EVENTOS!$D$14,$A594,0)),OFFSET($F$15,$A594,0)))</f>
        <v>INSTALAÇÕES ELÉTRICAS - 220V</v>
      </c>
      <c r="O594" s="178"/>
      <c r="Q594" s="178"/>
      <c r="R594" s="179"/>
      <c r="S594" s="179"/>
      <c r="T594" s="179"/>
      <c r="U594" s="179"/>
      <c r="V594" s="179"/>
      <c r="W594" s="179"/>
      <c r="X594" s="179"/>
      <c r="Y594" s="179"/>
      <c r="Z594" s="180"/>
      <c r="AB594" s="544">
        <f ca="1">IF(AND($D594="Serviço",AB$12&lt;&gt;0,$H594&gt;0,OR(AUTOEVENTO&lt;&gt;"manual",$M594&lt;&gt;1)),
IF(Import.TipoArredondamento&lt;&gt;"TransfereGOV",
ROUND(OFFSET($P594,0,AB$13),15-13*ORÇAMENTO!$AF$7)/$H594*OFFSET(ORÇAMENTO!$X$15,ROW(AB594)-ROW(AB$15),0),
ROUND(ROUND(OFFSET($P594,0,AB$13),15-13*ORÇAMENTO!$AF$7)*OFFSET(ORÇAMENTO!$W$15,ROW(AB594)-ROW(AB$15),0),15-13*ORÇAMENTO!$AF$11)),0)</f>
        <v>0</v>
      </c>
      <c r="AC594" s="545">
        <f ca="1">IF(AND($D594="Serviço",AC$12&lt;&gt;0,$H594&gt;0,OR(AUTOEVENTO&lt;&gt;"manual",$M594&lt;&gt;1)),
IF(Import.TipoArredondamento&lt;&gt;"TransfereGOV",
ROUND(OFFSET($P594,0,AC$13),15-13*ORÇAMENTO!$AF$7)/$H594*OFFSET(ORÇAMENTO!$X$15,ROW(AC594)-ROW(AC$15),0),
ROUND(ROUND(OFFSET($P594,0,AC$13),15-13*ORÇAMENTO!$AF$7)*OFFSET(ORÇAMENTO!$W$15,ROW(AC594)-ROW(AC$15),0),15-13*ORÇAMENTO!$AF$11)),0)</f>
        <v>0</v>
      </c>
      <c r="AD594" s="545">
        <f ca="1">IF(AND($D594="Serviço",AD$12&lt;&gt;0,$H594&gt;0,OR(AUTOEVENTO&lt;&gt;"manual",$M594&lt;&gt;1)),
IF(Import.TipoArredondamento&lt;&gt;"TransfereGOV",
ROUND(OFFSET($P594,0,AD$13),15-13*ORÇAMENTO!$AF$7)/$H594*OFFSET(ORÇAMENTO!$X$15,ROW(AD594)-ROW(AD$15),0),
ROUND(ROUND(OFFSET($P594,0,AD$13),15-13*ORÇAMENTO!$AF$7)*OFFSET(ORÇAMENTO!$W$15,ROW(AD594)-ROW(AD$15),0),15-13*ORÇAMENTO!$AF$11)),0)</f>
        <v>0</v>
      </c>
      <c r="AE594" s="545">
        <f ca="1">IF(AND($D594="Serviço",AE$12&lt;&gt;0,$H594&gt;0,OR(AUTOEVENTO&lt;&gt;"manual",$M594&lt;&gt;1)),
IF(Import.TipoArredondamento&lt;&gt;"TransfereGOV",
ROUND(OFFSET($P594,0,AE$13),15-13*ORÇAMENTO!$AF$7)/$H594*OFFSET(ORÇAMENTO!$X$15,ROW(AE594)-ROW(AE$15),0),
ROUND(ROUND(OFFSET($P594,0,AE$13),15-13*ORÇAMENTO!$AF$7)*OFFSET(ORÇAMENTO!$W$15,ROW(AE594)-ROW(AE$15),0),15-13*ORÇAMENTO!$AF$11)),0)</f>
        <v>0</v>
      </c>
      <c r="AF594" s="545">
        <f ca="1">IF(AND($D594="Serviço",AF$12&lt;&gt;0,$H594&gt;0,OR(AUTOEVENTO&lt;&gt;"manual",$M594&lt;&gt;1)),
IF(Import.TipoArredondamento&lt;&gt;"TransfereGOV",
ROUND(OFFSET($P594,0,AF$13),15-13*ORÇAMENTO!$AF$7)/$H594*OFFSET(ORÇAMENTO!$X$15,ROW(AF594)-ROW(AF$15),0),
ROUND(ROUND(OFFSET($P594,0,AF$13),15-13*ORÇAMENTO!$AF$7)*OFFSET(ORÇAMENTO!$W$15,ROW(AF594)-ROW(AF$15),0),15-13*ORÇAMENTO!$AF$11)),0)</f>
        <v>0</v>
      </c>
      <c r="AG594" s="545">
        <f ca="1">IF(AND($D594="Serviço",AG$12&lt;&gt;0,$H594&gt;0,OR(AUTOEVENTO&lt;&gt;"manual",$M594&lt;&gt;1)),
IF(Import.TipoArredondamento&lt;&gt;"TransfereGOV",
ROUND(OFFSET($P594,0,AG$13),15-13*ORÇAMENTO!$AF$7)/$H594*OFFSET(ORÇAMENTO!$X$15,ROW(AG594)-ROW(AG$15),0),
ROUND(ROUND(OFFSET($P594,0,AG$13),15-13*ORÇAMENTO!$AF$7)*OFFSET(ORÇAMENTO!$W$15,ROW(AG594)-ROW(AG$15),0),15-13*ORÇAMENTO!$AF$11)),0)</f>
        <v>0</v>
      </c>
      <c r="AH594" s="545">
        <f ca="1">IF(AND($D594="Serviço",AH$12&lt;&gt;0,$H594&gt;0,OR(AUTOEVENTO&lt;&gt;"manual",$M594&lt;&gt;1)),
IF(Import.TipoArredondamento&lt;&gt;"TransfereGOV",
ROUND(OFFSET($P594,0,AH$13),15-13*ORÇAMENTO!$AF$7)/$H594*OFFSET(ORÇAMENTO!$X$15,ROW(AH594)-ROW(AH$15),0),
ROUND(ROUND(OFFSET($P594,0,AH$13),15-13*ORÇAMENTO!$AF$7)*OFFSET(ORÇAMENTO!$W$15,ROW(AH594)-ROW(AH$15),0),15-13*ORÇAMENTO!$AF$11)),0)</f>
        <v>0</v>
      </c>
      <c r="AI594" s="545">
        <f ca="1">IF(AND($D594="Serviço",AI$12&lt;&gt;0,$H594&gt;0,OR(AUTOEVENTO&lt;&gt;"manual",$M594&lt;&gt;1)),
IF(Import.TipoArredondamento&lt;&gt;"TransfereGOV",
ROUND(OFFSET($P594,0,AI$13),15-13*ORÇAMENTO!$AF$7)/$H594*OFFSET(ORÇAMENTO!$X$15,ROW(AI594)-ROW(AI$15),0),
ROUND(ROUND(OFFSET($P594,0,AI$13),15-13*ORÇAMENTO!$AF$7)*OFFSET(ORÇAMENTO!$W$15,ROW(AI594)-ROW(AI$15),0),15-13*ORÇAMENTO!$AF$11)),0)</f>
        <v>0</v>
      </c>
      <c r="AJ594" s="545">
        <f ca="1">IF(AND($D594="Serviço",AJ$12&lt;&gt;0,$H594&gt;0,OR(AUTOEVENTO&lt;&gt;"manual",$M594&lt;&gt;1)),
IF(Import.TipoArredondamento&lt;&gt;"TransfereGOV",
ROUND(OFFSET($P594,0,AJ$13),15-13*ORÇAMENTO!$AF$7)/$H594*OFFSET(ORÇAMENTO!$X$15,ROW(AJ594)-ROW(AJ$15),0),
ROUND(ROUND(OFFSET($P594,0,AJ$13),15-13*ORÇAMENTO!$AF$7)*OFFSET(ORÇAMENTO!$W$15,ROW(AJ594)-ROW(AJ$15),0),15-13*ORÇAMENTO!$AF$11)),0)</f>
        <v>0</v>
      </c>
      <c r="AK594" s="546">
        <f ca="1">IF(AND($D594="Serviço",AK$12&lt;&gt;0,$H594&gt;0,OR(AUTOEVENTO&lt;&gt;"manual",$M594&lt;&gt;1)),
IF(Import.TipoArredondamento&lt;&gt;"TransfereGOV",
ROUND(OFFSET($P594,0,AK$13),15-13*ORÇAMENTO!$AF$7)/$H594*OFFSET(ORÇAMENTO!$X$15,ROW(AK594)-ROW(AK$15),0),
ROUND(ROUND(OFFSET($P594,0,AK$13),15-13*ORÇAMENTO!$AF$7)*OFFSET(ORÇAMENTO!$W$15,ROW(AK594)-ROW(AK$15),0),15-13*ORÇAMENTO!$AF$11)),0)</f>
        <v>0</v>
      </c>
      <c r="AM594" s="181">
        <f ca="1">IF($D594&lt;&gt;"Serviço",0,IF(AND(AUTOEVENTO="Manual",$M594=1),0,IF(OFFSET(CRONOPLE!$F$14,$M594,AM$13)="",10^12,OFFSET(CRONOPLE!$F$14,$M594,AM$13))))</f>
        <v>1000000000000</v>
      </c>
      <c r="AN594" s="181">
        <f ca="1">IF($D594&lt;&gt;"Serviço",0,IF(AND(AUTOEVENTO="Manual",$M594=1),0,IF(OFFSET(CRONOPLE!$F$14,$M594,AN$13)="",10^12,OFFSET(CRONOPLE!$F$14,$M594,AN$13))))</f>
        <v>1000000000000</v>
      </c>
      <c r="AO594" s="181">
        <f ca="1">IF($D594&lt;&gt;"Serviço",0,IF(AND(AUTOEVENTO="Manual",$M594=1),0,IF(OFFSET(CRONOPLE!$F$14,$M594,AO$13)="",10^12,OFFSET(CRONOPLE!$F$14,$M594,AO$13))))</f>
        <v>1000000000000</v>
      </c>
      <c r="AP594" s="181">
        <f ca="1">IF($D594&lt;&gt;"Serviço",0,IF(AND(AUTOEVENTO="Manual",$M594=1),0,IF(OFFSET(CRONOPLE!$F$14,$M594,AP$13)="",10^12,OFFSET(CRONOPLE!$F$14,$M594,AP$13))))</f>
        <v>1000000000000</v>
      </c>
      <c r="AQ594" s="181">
        <f ca="1">IF($D594&lt;&gt;"Serviço",0,IF(AND(AUTOEVENTO="Manual",$M594=1),0,IF(OFFSET(CRONOPLE!$F$14,$M594,AQ$13)="",10^12,OFFSET(CRONOPLE!$F$14,$M594,AQ$13))))</f>
        <v>1000000000000</v>
      </c>
      <c r="AR594" s="181">
        <f ca="1">IF($D594&lt;&gt;"Serviço",0,IF(AND(AUTOEVENTO="Manual",$M594=1),0,IF(OFFSET(CRONOPLE!$F$14,$M594,AR$13)="",10^12,OFFSET(CRONOPLE!$F$14,$M594,AR$13))))</f>
        <v>1000000000000</v>
      </c>
      <c r="AS594" s="181">
        <f ca="1">IF($D594&lt;&gt;"Serviço",0,IF(AND(AUTOEVENTO="Manual",$M594=1),0,IF(OFFSET(CRONOPLE!$F$14,$M594,AS$13)="",10^12,OFFSET(CRONOPLE!$F$14,$M594,AS$13))))</f>
        <v>1000000000000</v>
      </c>
      <c r="AT594" s="181">
        <f ca="1">IF($D594&lt;&gt;"Serviço",0,IF(AND(AUTOEVENTO="Manual",$M594=1),0,IF(OFFSET(CRONOPLE!$F$14,$M594,AT$13)="",10^12,OFFSET(CRONOPLE!$F$14,$M594,AT$13))))</f>
        <v>1000000000000</v>
      </c>
      <c r="AU594" s="181">
        <f ca="1">IF($D594&lt;&gt;"Serviço",0,IF(AND(AUTOEVENTO="Manual",$M594=1),0,IF(OFFSET(CRONOPLE!$F$14,$M594,AU$13)="",10^12,OFFSET(CRONOPLE!$F$14,$M594,AU$13))))</f>
        <v>1000000000000</v>
      </c>
      <c r="AV594" s="181">
        <f ca="1">IF($D594&lt;&gt;"Serviço",0,IF(AND(AUTOEVENTO="Manual",$M594=1),0,IF(OFFSET(CRONOPLE!$F$14,$M594,AV$13)="",10^12,OFFSET(CRONOPLE!$F$14,$M594,AV$13))))</f>
        <v>1000000000000</v>
      </c>
      <c r="AX594" s="182">
        <f ca="1">IF($D594&lt;&gt;"Serviço",0,IF(OR(AND(AUTOEVENTO="Manual",$M594=1),$M594&gt;(ROW(PLE.lastrow)-ROW(PLE.firstrow))),0,IF(OFFSET(PLE!$G$14,$M594,AX$13)="",10^12,OFFSET(PLE!$G$14,$M594,AX$13))))</f>
        <v>1000000000000</v>
      </c>
      <c r="AY594" s="182">
        <f ca="1">IF($D594&lt;&gt;"Serviço",0,IF(OR(AND(AUTOEVENTO="Manual",$M594=1),$M594&gt;(ROW(PLE.lastrow)-ROW(PLE.firstrow))),0,IF(OFFSET(PLE!$G$14,$M594,AY$13)="",10^12,OFFSET(PLE!$G$14,$M594,AY$13))))</f>
        <v>1000000000000</v>
      </c>
      <c r="AZ594" s="182">
        <f ca="1">IF($D594&lt;&gt;"Serviço",0,IF(OR(AND(AUTOEVENTO="Manual",$M594=1),$M594&gt;(ROW(PLE.lastrow)-ROW(PLE.firstrow))),0,IF(OFFSET(PLE!$G$14,$M594,AZ$13)="",10^12,OFFSET(PLE!$G$14,$M594,AZ$13))))</f>
        <v>1000000000000</v>
      </c>
      <c r="BA594" s="182">
        <f ca="1">IF($D594&lt;&gt;"Serviço",0,IF(OR(AND(AUTOEVENTO="Manual",$M594=1),$M594&gt;(ROW(PLE.lastrow)-ROW(PLE.firstrow))),0,IF(OFFSET(PLE!$G$14,$M594,BA$13)="",10^12,OFFSET(PLE!$G$14,$M594,BA$13))))</f>
        <v>1000000000000</v>
      </c>
      <c r="BB594" s="182">
        <f ca="1">IF($D594&lt;&gt;"Serviço",0,IF(OR(AND(AUTOEVENTO="Manual",$M594=1),$M594&gt;(ROW(PLE.lastrow)-ROW(PLE.firstrow))),0,IF(OFFSET(PLE!$G$14,$M594,BB$13)="",10^12,OFFSET(PLE!$G$14,$M594,BB$13))))</f>
        <v>1000000000000</v>
      </c>
      <c r="BC594" s="182">
        <f ca="1">IF($D594&lt;&gt;"Serviço",0,IF(OR(AND(AUTOEVENTO="Manual",$M594=1),$M594&gt;(ROW(PLE.lastrow)-ROW(PLE.firstrow))),0,IF(OFFSET(PLE!$G$14,$M594,BC$13)="",10^12,OFFSET(PLE!$G$14,$M594,BC$13))))</f>
        <v>1000000000000</v>
      </c>
      <c r="BD594" s="182">
        <f ca="1">IF($D594&lt;&gt;"Serviço",0,IF(OR(AND(AUTOEVENTO="Manual",$M594=1),$M594&gt;(ROW(PLE.lastrow)-ROW(PLE.firstrow))),0,IF(OFFSET(PLE!$G$14,$M594,BD$13)="",10^12,OFFSET(PLE!$G$14,$M594,BD$13))))</f>
        <v>1000000000000</v>
      </c>
      <c r="BE594" s="182">
        <f ca="1">IF($D594&lt;&gt;"Serviço",0,IF(OR(AND(AUTOEVENTO="Manual",$M594=1),$M594&gt;(ROW(PLE.lastrow)-ROW(PLE.firstrow))),0,IF(OFFSET(PLE!$G$14,$M594,BE$13)="",10^12,OFFSET(PLE!$G$14,$M594,BE$13))))</f>
        <v>1000000000000</v>
      </c>
      <c r="BF594" s="182">
        <f ca="1">IF($D594&lt;&gt;"Serviço",0,IF(OR(AND(AUTOEVENTO="Manual",$M594=1),$M594&gt;(ROW(PLE.lastrow)-ROW(PLE.firstrow))),0,IF(OFFSET(PLE!$G$14,$M594,BF$13)="",10^12,OFFSET(PLE!$G$14,$M594,BF$13))))</f>
        <v>1000000000000</v>
      </c>
      <c r="BG594" s="182">
        <f ca="1">IF($D594&lt;&gt;"Serviço",0,IF(OR(AND(AUTOEVENTO="Manual",$M594=1),$M594&gt;(ROW(PLE.lastrow)-ROW(PLE.firstrow))),0,IF(OFFSET(PLE!$G$14,$M594,BG$13)="",10^12,OFFSET(PLE!$G$14,$M594,BG$13))))</f>
        <v>1000000000000</v>
      </c>
    </row>
    <row r="595" spans="1:59" ht="38.25" x14ac:dyDescent="0.2">
      <c r="A595" s="7" t="str">
        <f t="shared" ca="1" si="16"/>
        <v>472</v>
      </c>
      <c r="B595" s="7" t="str">
        <f ca="1">OFFSET(ORÇAMENTO!C$15,ROW(B595)-ROW(B$15),0)</f>
        <v>S</v>
      </c>
      <c r="C595" s="7" t="str">
        <f ca="1">OFFSET(ORÇAMENTO!L$15,ROW(C595)-ROW(C$15),0)</f>
        <v/>
      </c>
      <c r="D595" s="118" t="str">
        <f ca="1">OFFSET(ORÇAMENTO!N$15,ROW(D595)-ROW(D$15),0)</f>
        <v>Serviço</v>
      </c>
      <c r="E595" s="119" t="str">
        <f ca="1">OFFSET(ORÇAMENTO!O$15,ROW(E595)-ROW(E$15),0)</f>
        <v>-</v>
      </c>
      <c r="F595" s="172" t="str">
        <f ca="1">OFFSET(ORÇAMENTO!R$15,ROW(F595)-ROW(F$15),0)</f>
        <v>(abra o arquivo 'Referência 02-2025.xlsm)</v>
      </c>
      <c r="G595" s="173" t="str">
        <f ca="1">IF($D595&lt;&gt;"Serviço","",OFFSET(ORÇAMENTO!S$15,ROW(G595)-ROW(G$15),0))</f>
        <v>-</v>
      </c>
      <c r="H595" s="124">
        <f ca="1">IF($D595&lt;&gt;"Serviço",0,IF(ACOMPANHAMENTO="BM",ROUND(OFFSET(ORÇAMENTO!AJ$15,ROW(H595)-ROW(H$15),0),15-13*ORÇAMENTO!$AF$7),SUMPRODUCT(($Q$12:$AA$12&lt;&gt;"")*ROUND($Q595:$AA595,15-13*ORÇAMENTO!$AF$7))))</f>
        <v>45.3</v>
      </c>
      <c r="I595" s="561" t="s">
        <v>890</v>
      </c>
      <c r="K595" s="174"/>
      <c r="L595" s="175" t="s">
        <v>255</v>
      </c>
      <c r="M595" s="176">
        <f ca="1">IF($D595&lt;&gt;"Serviço","",IF(AUTOEVENTO="manual",$A595,IF(ISERROR(MATCH($A595,$A$15:OFFSET($A595,-1,0),0)),MAX($M$15:OFFSET(M595,-1,0))+1,INDEX($M$15:OFFSET(M595,-1,0),MATCH($A595,$A$15:OFFSET($A595,-1,0),0)))))</f>
        <v>18</v>
      </c>
      <c r="N595" s="177" t="str">
        <f ca="1">IF($D595&lt;&gt;"Serviço","",IF(AUTOEVENTO="Manual",IF($A595=0,"&lt;-- defina o número do agrupador",OFFSET(EVENTOS!$D$14,$A595,0)),OFFSET($F$15,$A595,0)))</f>
        <v>INSTALAÇÕES ELÉTRICAS - 220V</v>
      </c>
      <c r="O595" s="178"/>
      <c r="Q595" s="178"/>
      <c r="R595" s="179"/>
      <c r="S595" s="179"/>
      <c r="T595" s="179"/>
      <c r="U595" s="179"/>
      <c r="V595" s="179"/>
      <c r="W595" s="179"/>
      <c r="X595" s="179"/>
      <c r="Y595" s="179"/>
      <c r="Z595" s="180"/>
      <c r="AB595" s="544">
        <f ca="1">IF(AND($D595="Serviço",AB$12&lt;&gt;0,$H595&gt;0,OR(AUTOEVENTO&lt;&gt;"manual",$M595&lt;&gt;1)),
IF(Import.TipoArredondamento&lt;&gt;"TransfereGOV",
ROUND(OFFSET($P595,0,AB$13),15-13*ORÇAMENTO!$AF$7)/$H595*OFFSET(ORÇAMENTO!$X$15,ROW(AB595)-ROW(AB$15),0),
ROUND(ROUND(OFFSET($P595,0,AB$13),15-13*ORÇAMENTO!$AF$7)*OFFSET(ORÇAMENTO!$W$15,ROW(AB595)-ROW(AB$15),0),15-13*ORÇAMENTO!$AF$11)),0)</f>
        <v>0</v>
      </c>
      <c r="AC595" s="545">
        <f ca="1">IF(AND($D595="Serviço",AC$12&lt;&gt;0,$H595&gt;0,OR(AUTOEVENTO&lt;&gt;"manual",$M595&lt;&gt;1)),
IF(Import.TipoArredondamento&lt;&gt;"TransfereGOV",
ROUND(OFFSET($P595,0,AC$13),15-13*ORÇAMENTO!$AF$7)/$H595*OFFSET(ORÇAMENTO!$X$15,ROW(AC595)-ROW(AC$15),0),
ROUND(ROUND(OFFSET($P595,0,AC$13),15-13*ORÇAMENTO!$AF$7)*OFFSET(ORÇAMENTO!$W$15,ROW(AC595)-ROW(AC$15),0),15-13*ORÇAMENTO!$AF$11)),0)</f>
        <v>0</v>
      </c>
      <c r="AD595" s="545">
        <f ca="1">IF(AND($D595="Serviço",AD$12&lt;&gt;0,$H595&gt;0,OR(AUTOEVENTO&lt;&gt;"manual",$M595&lt;&gt;1)),
IF(Import.TipoArredondamento&lt;&gt;"TransfereGOV",
ROUND(OFFSET($P595,0,AD$13),15-13*ORÇAMENTO!$AF$7)/$H595*OFFSET(ORÇAMENTO!$X$15,ROW(AD595)-ROW(AD$15),0),
ROUND(ROUND(OFFSET($P595,0,AD$13),15-13*ORÇAMENTO!$AF$7)*OFFSET(ORÇAMENTO!$W$15,ROW(AD595)-ROW(AD$15),0),15-13*ORÇAMENTO!$AF$11)),0)</f>
        <v>0</v>
      </c>
      <c r="AE595" s="545">
        <f ca="1">IF(AND($D595="Serviço",AE$12&lt;&gt;0,$H595&gt;0,OR(AUTOEVENTO&lt;&gt;"manual",$M595&lt;&gt;1)),
IF(Import.TipoArredondamento&lt;&gt;"TransfereGOV",
ROUND(OFFSET($P595,0,AE$13),15-13*ORÇAMENTO!$AF$7)/$H595*OFFSET(ORÇAMENTO!$X$15,ROW(AE595)-ROW(AE$15),0),
ROUND(ROUND(OFFSET($P595,0,AE$13),15-13*ORÇAMENTO!$AF$7)*OFFSET(ORÇAMENTO!$W$15,ROW(AE595)-ROW(AE$15),0),15-13*ORÇAMENTO!$AF$11)),0)</f>
        <v>0</v>
      </c>
      <c r="AF595" s="545">
        <f ca="1">IF(AND($D595="Serviço",AF$12&lt;&gt;0,$H595&gt;0,OR(AUTOEVENTO&lt;&gt;"manual",$M595&lt;&gt;1)),
IF(Import.TipoArredondamento&lt;&gt;"TransfereGOV",
ROUND(OFFSET($P595,0,AF$13),15-13*ORÇAMENTO!$AF$7)/$H595*OFFSET(ORÇAMENTO!$X$15,ROW(AF595)-ROW(AF$15),0),
ROUND(ROUND(OFFSET($P595,0,AF$13),15-13*ORÇAMENTO!$AF$7)*OFFSET(ORÇAMENTO!$W$15,ROW(AF595)-ROW(AF$15),0),15-13*ORÇAMENTO!$AF$11)),0)</f>
        <v>0</v>
      </c>
      <c r="AG595" s="545">
        <f ca="1">IF(AND($D595="Serviço",AG$12&lt;&gt;0,$H595&gt;0,OR(AUTOEVENTO&lt;&gt;"manual",$M595&lt;&gt;1)),
IF(Import.TipoArredondamento&lt;&gt;"TransfereGOV",
ROUND(OFFSET($P595,0,AG$13),15-13*ORÇAMENTO!$AF$7)/$H595*OFFSET(ORÇAMENTO!$X$15,ROW(AG595)-ROW(AG$15),0),
ROUND(ROUND(OFFSET($P595,0,AG$13),15-13*ORÇAMENTO!$AF$7)*OFFSET(ORÇAMENTO!$W$15,ROW(AG595)-ROW(AG$15),0),15-13*ORÇAMENTO!$AF$11)),0)</f>
        <v>0</v>
      </c>
      <c r="AH595" s="545">
        <f ca="1">IF(AND($D595="Serviço",AH$12&lt;&gt;0,$H595&gt;0,OR(AUTOEVENTO&lt;&gt;"manual",$M595&lt;&gt;1)),
IF(Import.TipoArredondamento&lt;&gt;"TransfereGOV",
ROUND(OFFSET($P595,0,AH$13),15-13*ORÇAMENTO!$AF$7)/$H595*OFFSET(ORÇAMENTO!$X$15,ROW(AH595)-ROW(AH$15),0),
ROUND(ROUND(OFFSET($P595,0,AH$13),15-13*ORÇAMENTO!$AF$7)*OFFSET(ORÇAMENTO!$W$15,ROW(AH595)-ROW(AH$15),0),15-13*ORÇAMENTO!$AF$11)),0)</f>
        <v>0</v>
      </c>
      <c r="AI595" s="545">
        <f ca="1">IF(AND($D595="Serviço",AI$12&lt;&gt;0,$H595&gt;0,OR(AUTOEVENTO&lt;&gt;"manual",$M595&lt;&gt;1)),
IF(Import.TipoArredondamento&lt;&gt;"TransfereGOV",
ROUND(OFFSET($P595,0,AI$13),15-13*ORÇAMENTO!$AF$7)/$H595*OFFSET(ORÇAMENTO!$X$15,ROW(AI595)-ROW(AI$15),0),
ROUND(ROUND(OFFSET($P595,0,AI$13),15-13*ORÇAMENTO!$AF$7)*OFFSET(ORÇAMENTO!$W$15,ROW(AI595)-ROW(AI$15),0),15-13*ORÇAMENTO!$AF$11)),0)</f>
        <v>0</v>
      </c>
      <c r="AJ595" s="545">
        <f ca="1">IF(AND($D595="Serviço",AJ$12&lt;&gt;0,$H595&gt;0,OR(AUTOEVENTO&lt;&gt;"manual",$M595&lt;&gt;1)),
IF(Import.TipoArredondamento&lt;&gt;"TransfereGOV",
ROUND(OFFSET($P595,0,AJ$13),15-13*ORÇAMENTO!$AF$7)/$H595*OFFSET(ORÇAMENTO!$X$15,ROW(AJ595)-ROW(AJ$15),0),
ROUND(ROUND(OFFSET($P595,0,AJ$13),15-13*ORÇAMENTO!$AF$7)*OFFSET(ORÇAMENTO!$W$15,ROW(AJ595)-ROW(AJ$15),0),15-13*ORÇAMENTO!$AF$11)),0)</f>
        <v>0</v>
      </c>
      <c r="AK595" s="546">
        <f ca="1">IF(AND($D595="Serviço",AK$12&lt;&gt;0,$H595&gt;0,OR(AUTOEVENTO&lt;&gt;"manual",$M595&lt;&gt;1)),
IF(Import.TipoArredondamento&lt;&gt;"TransfereGOV",
ROUND(OFFSET($P595,0,AK$13),15-13*ORÇAMENTO!$AF$7)/$H595*OFFSET(ORÇAMENTO!$X$15,ROW(AK595)-ROW(AK$15),0),
ROUND(ROUND(OFFSET($P595,0,AK$13),15-13*ORÇAMENTO!$AF$7)*OFFSET(ORÇAMENTO!$W$15,ROW(AK595)-ROW(AK$15),0),15-13*ORÇAMENTO!$AF$11)),0)</f>
        <v>0</v>
      </c>
      <c r="AM595" s="181">
        <f ca="1">IF($D595&lt;&gt;"Serviço",0,IF(AND(AUTOEVENTO="Manual",$M595=1),0,IF(OFFSET(CRONOPLE!$F$14,$M595,AM$13)="",10^12,OFFSET(CRONOPLE!$F$14,$M595,AM$13))))</f>
        <v>1000000000000</v>
      </c>
      <c r="AN595" s="181">
        <f ca="1">IF($D595&lt;&gt;"Serviço",0,IF(AND(AUTOEVENTO="Manual",$M595=1),0,IF(OFFSET(CRONOPLE!$F$14,$M595,AN$13)="",10^12,OFFSET(CRONOPLE!$F$14,$M595,AN$13))))</f>
        <v>1000000000000</v>
      </c>
      <c r="AO595" s="181">
        <f ca="1">IF($D595&lt;&gt;"Serviço",0,IF(AND(AUTOEVENTO="Manual",$M595=1),0,IF(OFFSET(CRONOPLE!$F$14,$M595,AO$13)="",10^12,OFFSET(CRONOPLE!$F$14,$M595,AO$13))))</f>
        <v>1000000000000</v>
      </c>
      <c r="AP595" s="181">
        <f ca="1">IF($D595&lt;&gt;"Serviço",0,IF(AND(AUTOEVENTO="Manual",$M595=1),0,IF(OFFSET(CRONOPLE!$F$14,$M595,AP$13)="",10^12,OFFSET(CRONOPLE!$F$14,$M595,AP$13))))</f>
        <v>1000000000000</v>
      </c>
      <c r="AQ595" s="181">
        <f ca="1">IF($D595&lt;&gt;"Serviço",0,IF(AND(AUTOEVENTO="Manual",$M595=1),0,IF(OFFSET(CRONOPLE!$F$14,$M595,AQ$13)="",10^12,OFFSET(CRONOPLE!$F$14,$M595,AQ$13))))</f>
        <v>1000000000000</v>
      </c>
      <c r="AR595" s="181">
        <f ca="1">IF($D595&lt;&gt;"Serviço",0,IF(AND(AUTOEVENTO="Manual",$M595=1),0,IF(OFFSET(CRONOPLE!$F$14,$M595,AR$13)="",10^12,OFFSET(CRONOPLE!$F$14,$M595,AR$13))))</f>
        <v>1000000000000</v>
      </c>
      <c r="AS595" s="181">
        <f ca="1">IF($D595&lt;&gt;"Serviço",0,IF(AND(AUTOEVENTO="Manual",$M595=1),0,IF(OFFSET(CRONOPLE!$F$14,$M595,AS$13)="",10^12,OFFSET(CRONOPLE!$F$14,$M595,AS$13))))</f>
        <v>1000000000000</v>
      </c>
      <c r="AT595" s="181">
        <f ca="1">IF($D595&lt;&gt;"Serviço",0,IF(AND(AUTOEVENTO="Manual",$M595=1),0,IF(OFFSET(CRONOPLE!$F$14,$M595,AT$13)="",10^12,OFFSET(CRONOPLE!$F$14,$M595,AT$13))))</f>
        <v>1000000000000</v>
      </c>
      <c r="AU595" s="181">
        <f ca="1">IF($D595&lt;&gt;"Serviço",0,IF(AND(AUTOEVENTO="Manual",$M595=1),0,IF(OFFSET(CRONOPLE!$F$14,$M595,AU$13)="",10^12,OFFSET(CRONOPLE!$F$14,$M595,AU$13))))</f>
        <v>1000000000000</v>
      </c>
      <c r="AV595" s="181">
        <f ca="1">IF($D595&lt;&gt;"Serviço",0,IF(AND(AUTOEVENTO="Manual",$M595=1),0,IF(OFFSET(CRONOPLE!$F$14,$M595,AV$13)="",10^12,OFFSET(CRONOPLE!$F$14,$M595,AV$13))))</f>
        <v>1000000000000</v>
      </c>
      <c r="AX595" s="182">
        <f ca="1">IF($D595&lt;&gt;"Serviço",0,IF(OR(AND(AUTOEVENTO="Manual",$M595=1),$M595&gt;(ROW(PLE.lastrow)-ROW(PLE.firstrow))),0,IF(OFFSET(PLE!$G$14,$M595,AX$13)="",10^12,OFFSET(PLE!$G$14,$M595,AX$13))))</f>
        <v>1000000000000</v>
      </c>
      <c r="AY595" s="182">
        <f ca="1">IF($D595&lt;&gt;"Serviço",0,IF(OR(AND(AUTOEVENTO="Manual",$M595=1),$M595&gt;(ROW(PLE.lastrow)-ROW(PLE.firstrow))),0,IF(OFFSET(PLE!$G$14,$M595,AY$13)="",10^12,OFFSET(PLE!$G$14,$M595,AY$13))))</f>
        <v>1000000000000</v>
      </c>
      <c r="AZ595" s="182">
        <f ca="1">IF($D595&lt;&gt;"Serviço",0,IF(OR(AND(AUTOEVENTO="Manual",$M595=1),$M595&gt;(ROW(PLE.lastrow)-ROW(PLE.firstrow))),0,IF(OFFSET(PLE!$G$14,$M595,AZ$13)="",10^12,OFFSET(PLE!$G$14,$M595,AZ$13))))</f>
        <v>1000000000000</v>
      </c>
      <c r="BA595" s="182">
        <f ca="1">IF($D595&lt;&gt;"Serviço",0,IF(OR(AND(AUTOEVENTO="Manual",$M595=1),$M595&gt;(ROW(PLE.lastrow)-ROW(PLE.firstrow))),0,IF(OFFSET(PLE!$G$14,$M595,BA$13)="",10^12,OFFSET(PLE!$G$14,$M595,BA$13))))</f>
        <v>1000000000000</v>
      </c>
      <c r="BB595" s="182">
        <f ca="1">IF($D595&lt;&gt;"Serviço",0,IF(OR(AND(AUTOEVENTO="Manual",$M595=1),$M595&gt;(ROW(PLE.lastrow)-ROW(PLE.firstrow))),0,IF(OFFSET(PLE!$G$14,$M595,BB$13)="",10^12,OFFSET(PLE!$G$14,$M595,BB$13))))</f>
        <v>1000000000000</v>
      </c>
      <c r="BC595" s="182">
        <f ca="1">IF($D595&lt;&gt;"Serviço",0,IF(OR(AND(AUTOEVENTO="Manual",$M595=1),$M595&gt;(ROW(PLE.lastrow)-ROW(PLE.firstrow))),0,IF(OFFSET(PLE!$G$14,$M595,BC$13)="",10^12,OFFSET(PLE!$G$14,$M595,BC$13))))</f>
        <v>1000000000000</v>
      </c>
      <c r="BD595" s="182">
        <f ca="1">IF($D595&lt;&gt;"Serviço",0,IF(OR(AND(AUTOEVENTO="Manual",$M595=1),$M595&gt;(ROW(PLE.lastrow)-ROW(PLE.firstrow))),0,IF(OFFSET(PLE!$G$14,$M595,BD$13)="",10^12,OFFSET(PLE!$G$14,$M595,BD$13))))</f>
        <v>1000000000000</v>
      </c>
      <c r="BE595" s="182">
        <f ca="1">IF($D595&lt;&gt;"Serviço",0,IF(OR(AND(AUTOEVENTO="Manual",$M595=1),$M595&gt;(ROW(PLE.lastrow)-ROW(PLE.firstrow))),0,IF(OFFSET(PLE!$G$14,$M595,BE$13)="",10^12,OFFSET(PLE!$G$14,$M595,BE$13))))</f>
        <v>1000000000000</v>
      </c>
      <c r="BF595" s="182">
        <f ca="1">IF($D595&lt;&gt;"Serviço",0,IF(OR(AND(AUTOEVENTO="Manual",$M595=1),$M595&gt;(ROW(PLE.lastrow)-ROW(PLE.firstrow))),0,IF(OFFSET(PLE!$G$14,$M595,BF$13)="",10^12,OFFSET(PLE!$G$14,$M595,BF$13))))</f>
        <v>1000000000000</v>
      </c>
      <c r="BG595" s="182">
        <f ca="1">IF($D595&lt;&gt;"Serviço",0,IF(OR(AND(AUTOEVENTO="Manual",$M595=1),$M595&gt;(ROW(PLE.lastrow)-ROW(PLE.firstrow))),0,IF(OFFSET(PLE!$G$14,$M595,BG$13)="",10^12,OFFSET(PLE!$G$14,$M595,BG$13))))</f>
        <v>1000000000000</v>
      </c>
    </row>
    <row r="596" spans="1:59" ht="25.5" x14ac:dyDescent="0.2">
      <c r="A596" s="7" t="str">
        <f t="shared" ca="1" si="16"/>
        <v>472</v>
      </c>
      <c r="B596" s="7" t="str">
        <f ca="1">OFFSET(ORÇAMENTO!C$15,ROW(B596)-ROW(B$15),0)</f>
        <v>S</v>
      </c>
      <c r="C596" s="7" t="str">
        <f ca="1">OFFSET(ORÇAMENTO!L$15,ROW(C596)-ROW(C$15),0)</f>
        <v/>
      </c>
      <c r="D596" s="118" t="str">
        <f ca="1">OFFSET(ORÇAMENTO!N$15,ROW(D596)-ROW(D$15),0)</f>
        <v>Serviço</v>
      </c>
      <c r="E596" s="119" t="str">
        <f ca="1">OFFSET(ORÇAMENTO!O$15,ROW(E596)-ROW(E$15),0)</f>
        <v>-</v>
      </c>
      <c r="F596" s="172" t="str">
        <f ca="1">OFFSET(ORÇAMENTO!R$15,ROW(F596)-ROW(F$15),0)</f>
        <v>(abra o arquivo 'Referência 02-2025.xlsm)</v>
      </c>
      <c r="G596" s="173" t="str">
        <f ca="1">IF($D596&lt;&gt;"Serviço","",OFFSET(ORÇAMENTO!S$15,ROW(G596)-ROW(G$15),0))</f>
        <v>-</v>
      </c>
      <c r="H596" s="124">
        <f ca="1">IF($D596&lt;&gt;"Serviço",0,IF(ACOMPANHAMENTO="BM",ROUND(OFFSET(ORÇAMENTO!AJ$15,ROW(H596)-ROW(H$15),0),15-13*ORÇAMENTO!$AF$7),SUMPRODUCT(($Q$12:$AA$12&lt;&gt;"")*ROUND($Q596:$AA596,15-13*ORÇAMENTO!$AF$7))))</f>
        <v>45.3</v>
      </c>
      <c r="I596" s="561" t="s">
        <v>890</v>
      </c>
      <c r="K596" s="174"/>
      <c r="L596" s="175" t="s">
        <v>255</v>
      </c>
      <c r="M596" s="176">
        <f ca="1">IF($D596&lt;&gt;"Serviço","",IF(AUTOEVENTO="manual",$A596,IF(ISERROR(MATCH($A596,$A$15:OFFSET($A596,-1,0),0)),MAX($M$15:OFFSET(M596,-1,0))+1,INDEX($M$15:OFFSET(M596,-1,0),MATCH($A596,$A$15:OFFSET($A596,-1,0),0)))))</f>
        <v>18</v>
      </c>
      <c r="N596" s="177" t="str">
        <f ca="1">IF($D596&lt;&gt;"Serviço","",IF(AUTOEVENTO="Manual",IF($A596=0,"&lt;-- defina o número do agrupador",OFFSET(EVENTOS!$D$14,$A596,0)),OFFSET($F$15,$A596,0)))</f>
        <v>INSTALAÇÕES ELÉTRICAS - 220V</v>
      </c>
      <c r="O596" s="178"/>
      <c r="Q596" s="178"/>
      <c r="R596" s="179"/>
      <c r="S596" s="179"/>
      <c r="T596" s="179"/>
      <c r="U596" s="179"/>
      <c r="V596" s="179"/>
      <c r="W596" s="179"/>
      <c r="X596" s="179"/>
      <c r="Y596" s="179"/>
      <c r="Z596" s="180"/>
      <c r="AB596" s="544">
        <f ca="1">IF(AND($D596="Serviço",AB$12&lt;&gt;0,$H596&gt;0,OR(AUTOEVENTO&lt;&gt;"manual",$M596&lt;&gt;1)),
IF(Import.TipoArredondamento&lt;&gt;"TransfereGOV",
ROUND(OFFSET($P596,0,AB$13),15-13*ORÇAMENTO!$AF$7)/$H596*OFFSET(ORÇAMENTO!$X$15,ROW(AB596)-ROW(AB$15),0),
ROUND(ROUND(OFFSET($P596,0,AB$13),15-13*ORÇAMENTO!$AF$7)*OFFSET(ORÇAMENTO!$W$15,ROW(AB596)-ROW(AB$15),0),15-13*ORÇAMENTO!$AF$11)),0)</f>
        <v>0</v>
      </c>
      <c r="AC596" s="545">
        <f ca="1">IF(AND($D596="Serviço",AC$12&lt;&gt;0,$H596&gt;0,OR(AUTOEVENTO&lt;&gt;"manual",$M596&lt;&gt;1)),
IF(Import.TipoArredondamento&lt;&gt;"TransfereGOV",
ROUND(OFFSET($P596,0,AC$13),15-13*ORÇAMENTO!$AF$7)/$H596*OFFSET(ORÇAMENTO!$X$15,ROW(AC596)-ROW(AC$15),0),
ROUND(ROUND(OFFSET($P596,0,AC$13),15-13*ORÇAMENTO!$AF$7)*OFFSET(ORÇAMENTO!$W$15,ROW(AC596)-ROW(AC$15),0),15-13*ORÇAMENTO!$AF$11)),0)</f>
        <v>0</v>
      </c>
      <c r="AD596" s="545">
        <f ca="1">IF(AND($D596="Serviço",AD$12&lt;&gt;0,$H596&gt;0,OR(AUTOEVENTO&lt;&gt;"manual",$M596&lt;&gt;1)),
IF(Import.TipoArredondamento&lt;&gt;"TransfereGOV",
ROUND(OFFSET($P596,0,AD$13),15-13*ORÇAMENTO!$AF$7)/$H596*OFFSET(ORÇAMENTO!$X$15,ROW(AD596)-ROW(AD$15),0),
ROUND(ROUND(OFFSET($P596,0,AD$13),15-13*ORÇAMENTO!$AF$7)*OFFSET(ORÇAMENTO!$W$15,ROW(AD596)-ROW(AD$15),0),15-13*ORÇAMENTO!$AF$11)),0)</f>
        <v>0</v>
      </c>
      <c r="AE596" s="545">
        <f ca="1">IF(AND($D596="Serviço",AE$12&lt;&gt;0,$H596&gt;0,OR(AUTOEVENTO&lt;&gt;"manual",$M596&lt;&gt;1)),
IF(Import.TipoArredondamento&lt;&gt;"TransfereGOV",
ROUND(OFFSET($P596,0,AE$13),15-13*ORÇAMENTO!$AF$7)/$H596*OFFSET(ORÇAMENTO!$X$15,ROW(AE596)-ROW(AE$15),0),
ROUND(ROUND(OFFSET($P596,0,AE$13),15-13*ORÇAMENTO!$AF$7)*OFFSET(ORÇAMENTO!$W$15,ROW(AE596)-ROW(AE$15),0),15-13*ORÇAMENTO!$AF$11)),0)</f>
        <v>0</v>
      </c>
      <c r="AF596" s="545">
        <f ca="1">IF(AND($D596="Serviço",AF$12&lt;&gt;0,$H596&gt;0,OR(AUTOEVENTO&lt;&gt;"manual",$M596&lt;&gt;1)),
IF(Import.TipoArredondamento&lt;&gt;"TransfereGOV",
ROUND(OFFSET($P596,0,AF$13),15-13*ORÇAMENTO!$AF$7)/$H596*OFFSET(ORÇAMENTO!$X$15,ROW(AF596)-ROW(AF$15),0),
ROUND(ROUND(OFFSET($P596,0,AF$13),15-13*ORÇAMENTO!$AF$7)*OFFSET(ORÇAMENTO!$W$15,ROW(AF596)-ROW(AF$15),0),15-13*ORÇAMENTO!$AF$11)),0)</f>
        <v>0</v>
      </c>
      <c r="AG596" s="545">
        <f ca="1">IF(AND($D596="Serviço",AG$12&lt;&gt;0,$H596&gt;0,OR(AUTOEVENTO&lt;&gt;"manual",$M596&lt;&gt;1)),
IF(Import.TipoArredondamento&lt;&gt;"TransfereGOV",
ROUND(OFFSET($P596,0,AG$13),15-13*ORÇAMENTO!$AF$7)/$H596*OFFSET(ORÇAMENTO!$X$15,ROW(AG596)-ROW(AG$15),0),
ROUND(ROUND(OFFSET($P596,0,AG$13),15-13*ORÇAMENTO!$AF$7)*OFFSET(ORÇAMENTO!$W$15,ROW(AG596)-ROW(AG$15),0),15-13*ORÇAMENTO!$AF$11)),0)</f>
        <v>0</v>
      </c>
      <c r="AH596" s="545">
        <f ca="1">IF(AND($D596="Serviço",AH$12&lt;&gt;0,$H596&gt;0,OR(AUTOEVENTO&lt;&gt;"manual",$M596&lt;&gt;1)),
IF(Import.TipoArredondamento&lt;&gt;"TransfereGOV",
ROUND(OFFSET($P596,0,AH$13),15-13*ORÇAMENTO!$AF$7)/$H596*OFFSET(ORÇAMENTO!$X$15,ROW(AH596)-ROW(AH$15),0),
ROUND(ROUND(OFFSET($P596,0,AH$13),15-13*ORÇAMENTO!$AF$7)*OFFSET(ORÇAMENTO!$W$15,ROW(AH596)-ROW(AH$15),0),15-13*ORÇAMENTO!$AF$11)),0)</f>
        <v>0</v>
      </c>
      <c r="AI596" s="545">
        <f ca="1">IF(AND($D596="Serviço",AI$12&lt;&gt;0,$H596&gt;0,OR(AUTOEVENTO&lt;&gt;"manual",$M596&lt;&gt;1)),
IF(Import.TipoArredondamento&lt;&gt;"TransfereGOV",
ROUND(OFFSET($P596,0,AI$13),15-13*ORÇAMENTO!$AF$7)/$H596*OFFSET(ORÇAMENTO!$X$15,ROW(AI596)-ROW(AI$15),0),
ROUND(ROUND(OFFSET($P596,0,AI$13),15-13*ORÇAMENTO!$AF$7)*OFFSET(ORÇAMENTO!$W$15,ROW(AI596)-ROW(AI$15),0),15-13*ORÇAMENTO!$AF$11)),0)</f>
        <v>0</v>
      </c>
      <c r="AJ596" s="545">
        <f ca="1">IF(AND($D596="Serviço",AJ$12&lt;&gt;0,$H596&gt;0,OR(AUTOEVENTO&lt;&gt;"manual",$M596&lt;&gt;1)),
IF(Import.TipoArredondamento&lt;&gt;"TransfereGOV",
ROUND(OFFSET($P596,0,AJ$13),15-13*ORÇAMENTO!$AF$7)/$H596*OFFSET(ORÇAMENTO!$X$15,ROW(AJ596)-ROW(AJ$15),0),
ROUND(ROUND(OFFSET($P596,0,AJ$13),15-13*ORÇAMENTO!$AF$7)*OFFSET(ORÇAMENTO!$W$15,ROW(AJ596)-ROW(AJ$15),0),15-13*ORÇAMENTO!$AF$11)),0)</f>
        <v>0</v>
      </c>
      <c r="AK596" s="546">
        <f ca="1">IF(AND($D596="Serviço",AK$12&lt;&gt;0,$H596&gt;0,OR(AUTOEVENTO&lt;&gt;"manual",$M596&lt;&gt;1)),
IF(Import.TipoArredondamento&lt;&gt;"TransfereGOV",
ROUND(OFFSET($P596,0,AK$13),15-13*ORÇAMENTO!$AF$7)/$H596*OFFSET(ORÇAMENTO!$X$15,ROW(AK596)-ROW(AK$15),0),
ROUND(ROUND(OFFSET($P596,0,AK$13),15-13*ORÇAMENTO!$AF$7)*OFFSET(ORÇAMENTO!$W$15,ROW(AK596)-ROW(AK$15),0),15-13*ORÇAMENTO!$AF$11)),0)</f>
        <v>0</v>
      </c>
      <c r="AM596" s="181">
        <f ca="1">IF($D596&lt;&gt;"Serviço",0,IF(AND(AUTOEVENTO="Manual",$M596=1),0,IF(OFFSET(CRONOPLE!$F$14,$M596,AM$13)="",10^12,OFFSET(CRONOPLE!$F$14,$M596,AM$13))))</f>
        <v>1000000000000</v>
      </c>
      <c r="AN596" s="181">
        <f ca="1">IF($D596&lt;&gt;"Serviço",0,IF(AND(AUTOEVENTO="Manual",$M596=1),0,IF(OFFSET(CRONOPLE!$F$14,$M596,AN$13)="",10^12,OFFSET(CRONOPLE!$F$14,$M596,AN$13))))</f>
        <v>1000000000000</v>
      </c>
      <c r="AO596" s="181">
        <f ca="1">IF($D596&lt;&gt;"Serviço",0,IF(AND(AUTOEVENTO="Manual",$M596=1),0,IF(OFFSET(CRONOPLE!$F$14,$M596,AO$13)="",10^12,OFFSET(CRONOPLE!$F$14,$M596,AO$13))))</f>
        <v>1000000000000</v>
      </c>
      <c r="AP596" s="181">
        <f ca="1">IF($D596&lt;&gt;"Serviço",0,IF(AND(AUTOEVENTO="Manual",$M596=1),0,IF(OFFSET(CRONOPLE!$F$14,$M596,AP$13)="",10^12,OFFSET(CRONOPLE!$F$14,$M596,AP$13))))</f>
        <v>1000000000000</v>
      </c>
      <c r="AQ596" s="181">
        <f ca="1">IF($D596&lt;&gt;"Serviço",0,IF(AND(AUTOEVENTO="Manual",$M596=1),0,IF(OFFSET(CRONOPLE!$F$14,$M596,AQ$13)="",10^12,OFFSET(CRONOPLE!$F$14,$M596,AQ$13))))</f>
        <v>1000000000000</v>
      </c>
      <c r="AR596" s="181">
        <f ca="1">IF($D596&lt;&gt;"Serviço",0,IF(AND(AUTOEVENTO="Manual",$M596=1),0,IF(OFFSET(CRONOPLE!$F$14,$M596,AR$13)="",10^12,OFFSET(CRONOPLE!$F$14,$M596,AR$13))))</f>
        <v>1000000000000</v>
      </c>
      <c r="AS596" s="181">
        <f ca="1">IF($D596&lt;&gt;"Serviço",0,IF(AND(AUTOEVENTO="Manual",$M596=1),0,IF(OFFSET(CRONOPLE!$F$14,$M596,AS$13)="",10^12,OFFSET(CRONOPLE!$F$14,$M596,AS$13))))</f>
        <v>1000000000000</v>
      </c>
      <c r="AT596" s="181">
        <f ca="1">IF($D596&lt;&gt;"Serviço",0,IF(AND(AUTOEVENTO="Manual",$M596=1),0,IF(OFFSET(CRONOPLE!$F$14,$M596,AT$13)="",10^12,OFFSET(CRONOPLE!$F$14,$M596,AT$13))))</f>
        <v>1000000000000</v>
      </c>
      <c r="AU596" s="181">
        <f ca="1">IF($D596&lt;&gt;"Serviço",0,IF(AND(AUTOEVENTO="Manual",$M596=1),0,IF(OFFSET(CRONOPLE!$F$14,$M596,AU$13)="",10^12,OFFSET(CRONOPLE!$F$14,$M596,AU$13))))</f>
        <v>1000000000000</v>
      </c>
      <c r="AV596" s="181">
        <f ca="1">IF($D596&lt;&gt;"Serviço",0,IF(AND(AUTOEVENTO="Manual",$M596=1),0,IF(OFFSET(CRONOPLE!$F$14,$M596,AV$13)="",10^12,OFFSET(CRONOPLE!$F$14,$M596,AV$13))))</f>
        <v>1000000000000</v>
      </c>
      <c r="AX596" s="182">
        <f ca="1">IF($D596&lt;&gt;"Serviço",0,IF(OR(AND(AUTOEVENTO="Manual",$M596=1),$M596&gt;(ROW(PLE.lastrow)-ROW(PLE.firstrow))),0,IF(OFFSET(PLE!$G$14,$M596,AX$13)="",10^12,OFFSET(PLE!$G$14,$M596,AX$13))))</f>
        <v>1000000000000</v>
      </c>
      <c r="AY596" s="182">
        <f ca="1">IF($D596&lt;&gt;"Serviço",0,IF(OR(AND(AUTOEVENTO="Manual",$M596=1),$M596&gt;(ROW(PLE.lastrow)-ROW(PLE.firstrow))),0,IF(OFFSET(PLE!$G$14,$M596,AY$13)="",10^12,OFFSET(PLE!$G$14,$M596,AY$13))))</f>
        <v>1000000000000</v>
      </c>
      <c r="AZ596" s="182">
        <f ca="1">IF($D596&lt;&gt;"Serviço",0,IF(OR(AND(AUTOEVENTO="Manual",$M596=1),$M596&gt;(ROW(PLE.lastrow)-ROW(PLE.firstrow))),0,IF(OFFSET(PLE!$G$14,$M596,AZ$13)="",10^12,OFFSET(PLE!$G$14,$M596,AZ$13))))</f>
        <v>1000000000000</v>
      </c>
      <c r="BA596" s="182">
        <f ca="1">IF($D596&lt;&gt;"Serviço",0,IF(OR(AND(AUTOEVENTO="Manual",$M596=1),$M596&gt;(ROW(PLE.lastrow)-ROW(PLE.firstrow))),0,IF(OFFSET(PLE!$G$14,$M596,BA$13)="",10^12,OFFSET(PLE!$G$14,$M596,BA$13))))</f>
        <v>1000000000000</v>
      </c>
      <c r="BB596" s="182">
        <f ca="1">IF($D596&lt;&gt;"Serviço",0,IF(OR(AND(AUTOEVENTO="Manual",$M596=1),$M596&gt;(ROW(PLE.lastrow)-ROW(PLE.firstrow))),0,IF(OFFSET(PLE!$G$14,$M596,BB$13)="",10^12,OFFSET(PLE!$G$14,$M596,BB$13))))</f>
        <v>1000000000000</v>
      </c>
      <c r="BC596" s="182">
        <f ca="1">IF($D596&lt;&gt;"Serviço",0,IF(OR(AND(AUTOEVENTO="Manual",$M596=1),$M596&gt;(ROW(PLE.lastrow)-ROW(PLE.firstrow))),0,IF(OFFSET(PLE!$G$14,$M596,BC$13)="",10^12,OFFSET(PLE!$G$14,$M596,BC$13))))</f>
        <v>1000000000000</v>
      </c>
      <c r="BD596" s="182">
        <f ca="1">IF($D596&lt;&gt;"Serviço",0,IF(OR(AND(AUTOEVENTO="Manual",$M596=1),$M596&gt;(ROW(PLE.lastrow)-ROW(PLE.firstrow))),0,IF(OFFSET(PLE!$G$14,$M596,BD$13)="",10^12,OFFSET(PLE!$G$14,$M596,BD$13))))</f>
        <v>1000000000000</v>
      </c>
      <c r="BE596" s="182">
        <f ca="1">IF($D596&lt;&gt;"Serviço",0,IF(OR(AND(AUTOEVENTO="Manual",$M596=1),$M596&gt;(ROW(PLE.lastrow)-ROW(PLE.firstrow))),0,IF(OFFSET(PLE!$G$14,$M596,BE$13)="",10^12,OFFSET(PLE!$G$14,$M596,BE$13))))</f>
        <v>1000000000000</v>
      </c>
      <c r="BF596" s="182">
        <f ca="1">IF($D596&lt;&gt;"Serviço",0,IF(OR(AND(AUTOEVENTO="Manual",$M596=1),$M596&gt;(ROW(PLE.lastrow)-ROW(PLE.firstrow))),0,IF(OFFSET(PLE!$G$14,$M596,BF$13)="",10^12,OFFSET(PLE!$G$14,$M596,BF$13))))</f>
        <v>1000000000000</v>
      </c>
      <c r="BG596" s="182">
        <f ca="1">IF($D596&lt;&gt;"Serviço",0,IF(OR(AND(AUTOEVENTO="Manual",$M596=1),$M596&gt;(ROW(PLE.lastrow)-ROW(PLE.firstrow))),0,IF(OFFSET(PLE!$G$14,$M596,BG$13)="",10^12,OFFSET(PLE!$G$14,$M596,BG$13))))</f>
        <v>1000000000000</v>
      </c>
    </row>
    <row r="597" spans="1:59" ht="12.75" x14ac:dyDescent="0.2">
      <c r="A597" s="7" t="str">
        <f t="shared" ca="1" si="16"/>
        <v>472</v>
      </c>
      <c r="B597" s="7">
        <f ca="1">OFFSET(ORÇAMENTO!C$15,ROW(B597)-ROW(B$15),0)</f>
        <v>3</v>
      </c>
      <c r="C597" s="7" t="str">
        <f ca="1">OFFSET(ORÇAMENTO!L$15,ROW(C597)-ROW(C$15),0)</f>
        <v>F</v>
      </c>
      <c r="D597" s="118" t="str">
        <f ca="1">OFFSET(ORÇAMENTO!N$15,ROW(D597)-ROW(D$15),0)</f>
        <v>Nível 3</v>
      </c>
      <c r="E597" s="119" t="str">
        <f ca="1">OFFSET(ORÇAMENTO!O$15,ROW(E597)-ROW(E$15),0)</f>
        <v>1.17.11.</v>
      </c>
      <c r="F597" s="172" t="str">
        <f ca="1">OFFSET(ORÇAMENTO!R$15,ROW(F597)-ROW(F$15),0)</f>
        <v>ILUMINAÇÃO</v>
      </c>
      <c r="G597" s="173" t="str">
        <f ca="1">IF($D597&lt;&gt;"Serviço","",OFFSET(ORÇAMENTO!S$15,ROW(G597)-ROW(G$15),0))</f>
        <v/>
      </c>
      <c r="H597" s="124">
        <f ca="1">IF($D597&lt;&gt;"Serviço",0,IF(ACOMPANHAMENTO="BM",ROUND(OFFSET(ORÇAMENTO!AJ$15,ROW(H597)-ROW(H$15),0),15-13*ORÇAMENTO!$AF$7),SUMPRODUCT(($Q$12:$AA$12&lt;&gt;"")*ROUND($Q597:$AA597,15-13*ORÇAMENTO!$AF$7))))</f>
        <v>0</v>
      </c>
      <c r="I597" s="561"/>
      <c r="K597" s="174"/>
      <c r="L597" s="175" t="s">
        <v>255</v>
      </c>
      <c r="M597" s="176" t="str">
        <f ca="1">IF($D597&lt;&gt;"Serviço","",IF(AUTOEVENTO="manual",$A597,IF(ISERROR(MATCH($A597,$A$15:OFFSET($A597,-1,0),0)),MAX($M$15:OFFSET(M597,-1,0))+1,INDEX($M$15:OFFSET(M597,-1,0),MATCH($A597,$A$15:OFFSET($A597,-1,0),0)))))</f>
        <v/>
      </c>
      <c r="N597" s="177" t="str">
        <f ca="1">IF($D597&lt;&gt;"Serviço","",IF(AUTOEVENTO="Manual",IF($A597=0,"&lt;-- defina o número do agrupador",OFFSET(EVENTOS!$D$14,$A597,0)),OFFSET($F$15,$A597,0)))</f>
        <v/>
      </c>
      <c r="O597" s="178"/>
      <c r="Q597" s="178"/>
      <c r="R597" s="179"/>
      <c r="S597" s="179"/>
      <c r="T597" s="179"/>
      <c r="U597" s="179"/>
      <c r="V597" s="179"/>
      <c r="W597" s="179"/>
      <c r="X597" s="179"/>
      <c r="Y597" s="179"/>
      <c r="Z597" s="180"/>
      <c r="AB597" s="544">
        <f ca="1">IF(AND($D597="Serviço",AB$12&lt;&gt;0,$H597&gt;0,OR(AUTOEVENTO&lt;&gt;"manual",$M597&lt;&gt;1)),
IF(Import.TipoArredondamento&lt;&gt;"TransfereGOV",
ROUND(OFFSET($P597,0,AB$13),15-13*ORÇAMENTO!$AF$7)/$H597*OFFSET(ORÇAMENTO!$X$15,ROW(AB597)-ROW(AB$15),0),
ROUND(ROUND(OFFSET($P597,0,AB$13),15-13*ORÇAMENTO!$AF$7)*OFFSET(ORÇAMENTO!$W$15,ROW(AB597)-ROW(AB$15),0),15-13*ORÇAMENTO!$AF$11)),0)</f>
        <v>0</v>
      </c>
      <c r="AC597" s="545">
        <f ca="1">IF(AND($D597="Serviço",AC$12&lt;&gt;0,$H597&gt;0,OR(AUTOEVENTO&lt;&gt;"manual",$M597&lt;&gt;1)),
IF(Import.TipoArredondamento&lt;&gt;"TransfereGOV",
ROUND(OFFSET($P597,0,AC$13),15-13*ORÇAMENTO!$AF$7)/$H597*OFFSET(ORÇAMENTO!$X$15,ROW(AC597)-ROW(AC$15),0),
ROUND(ROUND(OFFSET($P597,0,AC$13),15-13*ORÇAMENTO!$AF$7)*OFFSET(ORÇAMENTO!$W$15,ROW(AC597)-ROW(AC$15),0),15-13*ORÇAMENTO!$AF$11)),0)</f>
        <v>0</v>
      </c>
      <c r="AD597" s="545">
        <f ca="1">IF(AND($D597="Serviço",AD$12&lt;&gt;0,$H597&gt;0,OR(AUTOEVENTO&lt;&gt;"manual",$M597&lt;&gt;1)),
IF(Import.TipoArredondamento&lt;&gt;"TransfereGOV",
ROUND(OFFSET($P597,0,AD$13),15-13*ORÇAMENTO!$AF$7)/$H597*OFFSET(ORÇAMENTO!$X$15,ROW(AD597)-ROW(AD$15),0),
ROUND(ROUND(OFFSET($P597,0,AD$13),15-13*ORÇAMENTO!$AF$7)*OFFSET(ORÇAMENTO!$W$15,ROW(AD597)-ROW(AD$15),0),15-13*ORÇAMENTO!$AF$11)),0)</f>
        <v>0</v>
      </c>
      <c r="AE597" s="545">
        <f ca="1">IF(AND($D597="Serviço",AE$12&lt;&gt;0,$H597&gt;0,OR(AUTOEVENTO&lt;&gt;"manual",$M597&lt;&gt;1)),
IF(Import.TipoArredondamento&lt;&gt;"TransfereGOV",
ROUND(OFFSET($P597,0,AE$13),15-13*ORÇAMENTO!$AF$7)/$H597*OFFSET(ORÇAMENTO!$X$15,ROW(AE597)-ROW(AE$15),0),
ROUND(ROUND(OFFSET($P597,0,AE$13),15-13*ORÇAMENTO!$AF$7)*OFFSET(ORÇAMENTO!$W$15,ROW(AE597)-ROW(AE$15),0),15-13*ORÇAMENTO!$AF$11)),0)</f>
        <v>0</v>
      </c>
      <c r="AF597" s="545">
        <f ca="1">IF(AND($D597="Serviço",AF$12&lt;&gt;0,$H597&gt;0,OR(AUTOEVENTO&lt;&gt;"manual",$M597&lt;&gt;1)),
IF(Import.TipoArredondamento&lt;&gt;"TransfereGOV",
ROUND(OFFSET($P597,0,AF$13),15-13*ORÇAMENTO!$AF$7)/$H597*OFFSET(ORÇAMENTO!$X$15,ROW(AF597)-ROW(AF$15),0),
ROUND(ROUND(OFFSET($P597,0,AF$13),15-13*ORÇAMENTO!$AF$7)*OFFSET(ORÇAMENTO!$W$15,ROW(AF597)-ROW(AF$15),0),15-13*ORÇAMENTO!$AF$11)),0)</f>
        <v>0</v>
      </c>
      <c r="AG597" s="545">
        <f ca="1">IF(AND($D597="Serviço",AG$12&lt;&gt;0,$H597&gt;0,OR(AUTOEVENTO&lt;&gt;"manual",$M597&lt;&gt;1)),
IF(Import.TipoArredondamento&lt;&gt;"TransfereGOV",
ROUND(OFFSET($P597,0,AG$13),15-13*ORÇAMENTO!$AF$7)/$H597*OFFSET(ORÇAMENTO!$X$15,ROW(AG597)-ROW(AG$15),0),
ROUND(ROUND(OFFSET($P597,0,AG$13),15-13*ORÇAMENTO!$AF$7)*OFFSET(ORÇAMENTO!$W$15,ROW(AG597)-ROW(AG$15),0),15-13*ORÇAMENTO!$AF$11)),0)</f>
        <v>0</v>
      </c>
      <c r="AH597" s="545">
        <f ca="1">IF(AND($D597="Serviço",AH$12&lt;&gt;0,$H597&gt;0,OR(AUTOEVENTO&lt;&gt;"manual",$M597&lt;&gt;1)),
IF(Import.TipoArredondamento&lt;&gt;"TransfereGOV",
ROUND(OFFSET($P597,0,AH$13),15-13*ORÇAMENTO!$AF$7)/$H597*OFFSET(ORÇAMENTO!$X$15,ROW(AH597)-ROW(AH$15),0),
ROUND(ROUND(OFFSET($P597,0,AH$13),15-13*ORÇAMENTO!$AF$7)*OFFSET(ORÇAMENTO!$W$15,ROW(AH597)-ROW(AH$15),0),15-13*ORÇAMENTO!$AF$11)),0)</f>
        <v>0</v>
      </c>
      <c r="AI597" s="545">
        <f ca="1">IF(AND($D597="Serviço",AI$12&lt;&gt;0,$H597&gt;0,OR(AUTOEVENTO&lt;&gt;"manual",$M597&lt;&gt;1)),
IF(Import.TipoArredondamento&lt;&gt;"TransfereGOV",
ROUND(OFFSET($P597,0,AI$13),15-13*ORÇAMENTO!$AF$7)/$H597*OFFSET(ORÇAMENTO!$X$15,ROW(AI597)-ROW(AI$15),0),
ROUND(ROUND(OFFSET($P597,0,AI$13),15-13*ORÇAMENTO!$AF$7)*OFFSET(ORÇAMENTO!$W$15,ROW(AI597)-ROW(AI$15),0),15-13*ORÇAMENTO!$AF$11)),0)</f>
        <v>0</v>
      </c>
      <c r="AJ597" s="545">
        <f ca="1">IF(AND($D597="Serviço",AJ$12&lt;&gt;0,$H597&gt;0,OR(AUTOEVENTO&lt;&gt;"manual",$M597&lt;&gt;1)),
IF(Import.TipoArredondamento&lt;&gt;"TransfereGOV",
ROUND(OFFSET($P597,0,AJ$13),15-13*ORÇAMENTO!$AF$7)/$H597*OFFSET(ORÇAMENTO!$X$15,ROW(AJ597)-ROW(AJ$15),0),
ROUND(ROUND(OFFSET($P597,0,AJ$13),15-13*ORÇAMENTO!$AF$7)*OFFSET(ORÇAMENTO!$W$15,ROW(AJ597)-ROW(AJ$15),0),15-13*ORÇAMENTO!$AF$11)),0)</f>
        <v>0</v>
      </c>
      <c r="AK597" s="546">
        <f ca="1">IF(AND($D597="Serviço",AK$12&lt;&gt;0,$H597&gt;0,OR(AUTOEVENTO&lt;&gt;"manual",$M597&lt;&gt;1)),
IF(Import.TipoArredondamento&lt;&gt;"TransfereGOV",
ROUND(OFFSET($P597,0,AK$13),15-13*ORÇAMENTO!$AF$7)/$H597*OFFSET(ORÇAMENTO!$X$15,ROW(AK597)-ROW(AK$15),0),
ROUND(ROUND(OFFSET($P597,0,AK$13),15-13*ORÇAMENTO!$AF$7)*OFFSET(ORÇAMENTO!$W$15,ROW(AK597)-ROW(AK$15),0),15-13*ORÇAMENTO!$AF$11)),0)</f>
        <v>0</v>
      </c>
      <c r="AM597" s="181">
        <f ca="1">IF($D597&lt;&gt;"Serviço",0,IF(AND(AUTOEVENTO="Manual",$M597=1),0,IF(OFFSET(CRONOPLE!$F$14,$M597,AM$13)="",10^12,OFFSET(CRONOPLE!$F$14,$M597,AM$13))))</f>
        <v>0</v>
      </c>
      <c r="AN597" s="181">
        <f ca="1">IF($D597&lt;&gt;"Serviço",0,IF(AND(AUTOEVENTO="Manual",$M597=1),0,IF(OFFSET(CRONOPLE!$F$14,$M597,AN$13)="",10^12,OFFSET(CRONOPLE!$F$14,$M597,AN$13))))</f>
        <v>0</v>
      </c>
      <c r="AO597" s="181">
        <f ca="1">IF($D597&lt;&gt;"Serviço",0,IF(AND(AUTOEVENTO="Manual",$M597=1),0,IF(OFFSET(CRONOPLE!$F$14,$M597,AO$13)="",10^12,OFFSET(CRONOPLE!$F$14,$M597,AO$13))))</f>
        <v>0</v>
      </c>
      <c r="AP597" s="181">
        <f ca="1">IF($D597&lt;&gt;"Serviço",0,IF(AND(AUTOEVENTO="Manual",$M597=1),0,IF(OFFSET(CRONOPLE!$F$14,$M597,AP$13)="",10^12,OFFSET(CRONOPLE!$F$14,$M597,AP$13))))</f>
        <v>0</v>
      </c>
      <c r="AQ597" s="181">
        <f ca="1">IF($D597&lt;&gt;"Serviço",0,IF(AND(AUTOEVENTO="Manual",$M597=1),0,IF(OFFSET(CRONOPLE!$F$14,$M597,AQ$13)="",10^12,OFFSET(CRONOPLE!$F$14,$M597,AQ$13))))</f>
        <v>0</v>
      </c>
      <c r="AR597" s="181">
        <f ca="1">IF($D597&lt;&gt;"Serviço",0,IF(AND(AUTOEVENTO="Manual",$M597=1),0,IF(OFFSET(CRONOPLE!$F$14,$M597,AR$13)="",10^12,OFFSET(CRONOPLE!$F$14,$M597,AR$13))))</f>
        <v>0</v>
      </c>
      <c r="AS597" s="181">
        <f ca="1">IF($D597&lt;&gt;"Serviço",0,IF(AND(AUTOEVENTO="Manual",$M597=1),0,IF(OFFSET(CRONOPLE!$F$14,$M597,AS$13)="",10^12,OFFSET(CRONOPLE!$F$14,$M597,AS$13))))</f>
        <v>0</v>
      </c>
      <c r="AT597" s="181">
        <f ca="1">IF($D597&lt;&gt;"Serviço",0,IF(AND(AUTOEVENTO="Manual",$M597=1),0,IF(OFFSET(CRONOPLE!$F$14,$M597,AT$13)="",10^12,OFFSET(CRONOPLE!$F$14,$M597,AT$13))))</f>
        <v>0</v>
      </c>
      <c r="AU597" s="181">
        <f ca="1">IF($D597&lt;&gt;"Serviço",0,IF(AND(AUTOEVENTO="Manual",$M597=1),0,IF(OFFSET(CRONOPLE!$F$14,$M597,AU$13)="",10^12,OFFSET(CRONOPLE!$F$14,$M597,AU$13))))</f>
        <v>0</v>
      </c>
      <c r="AV597" s="181">
        <f ca="1">IF($D597&lt;&gt;"Serviço",0,IF(AND(AUTOEVENTO="Manual",$M597=1),0,IF(OFFSET(CRONOPLE!$F$14,$M597,AV$13)="",10^12,OFFSET(CRONOPLE!$F$14,$M597,AV$13))))</f>
        <v>0</v>
      </c>
      <c r="AX597" s="182">
        <f ca="1">IF($D597&lt;&gt;"Serviço",0,IF(OR(AND(AUTOEVENTO="Manual",$M597=1),$M597&gt;(ROW(PLE.lastrow)-ROW(PLE.firstrow))),0,IF(OFFSET(PLE!$G$14,$M597,AX$13)="",10^12,OFFSET(PLE!$G$14,$M597,AX$13))))</f>
        <v>0</v>
      </c>
      <c r="AY597" s="182">
        <f ca="1">IF($D597&lt;&gt;"Serviço",0,IF(OR(AND(AUTOEVENTO="Manual",$M597=1),$M597&gt;(ROW(PLE.lastrow)-ROW(PLE.firstrow))),0,IF(OFFSET(PLE!$G$14,$M597,AY$13)="",10^12,OFFSET(PLE!$G$14,$M597,AY$13))))</f>
        <v>0</v>
      </c>
      <c r="AZ597" s="182">
        <f ca="1">IF($D597&lt;&gt;"Serviço",0,IF(OR(AND(AUTOEVENTO="Manual",$M597=1),$M597&gt;(ROW(PLE.lastrow)-ROW(PLE.firstrow))),0,IF(OFFSET(PLE!$G$14,$M597,AZ$13)="",10^12,OFFSET(PLE!$G$14,$M597,AZ$13))))</f>
        <v>0</v>
      </c>
      <c r="BA597" s="182">
        <f ca="1">IF($D597&lt;&gt;"Serviço",0,IF(OR(AND(AUTOEVENTO="Manual",$M597=1),$M597&gt;(ROW(PLE.lastrow)-ROW(PLE.firstrow))),0,IF(OFFSET(PLE!$G$14,$M597,BA$13)="",10^12,OFFSET(PLE!$G$14,$M597,BA$13))))</f>
        <v>0</v>
      </c>
      <c r="BB597" s="182">
        <f ca="1">IF($D597&lt;&gt;"Serviço",0,IF(OR(AND(AUTOEVENTO="Manual",$M597=1),$M597&gt;(ROW(PLE.lastrow)-ROW(PLE.firstrow))),0,IF(OFFSET(PLE!$G$14,$M597,BB$13)="",10^12,OFFSET(PLE!$G$14,$M597,BB$13))))</f>
        <v>0</v>
      </c>
      <c r="BC597" s="182">
        <f ca="1">IF($D597&lt;&gt;"Serviço",0,IF(OR(AND(AUTOEVENTO="Manual",$M597=1),$M597&gt;(ROW(PLE.lastrow)-ROW(PLE.firstrow))),0,IF(OFFSET(PLE!$G$14,$M597,BC$13)="",10^12,OFFSET(PLE!$G$14,$M597,BC$13))))</f>
        <v>0</v>
      </c>
      <c r="BD597" s="182">
        <f ca="1">IF($D597&lt;&gt;"Serviço",0,IF(OR(AND(AUTOEVENTO="Manual",$M597=1),$M597&gt;(ROW(PLE.lastrow)-ROW(PLE.firstrow))),0,IF(OFFSET(PLE!$G$14,$M597,BD$13)="",10^12,OFFSET(PLE!$G$14,$M597,BD$13))))</f>
        <v>0</v>
      </c>
      <c r="BE597" s="182">
        <f ca="1">IF($D597&lt;&gt;"Serviço",0,IF(OR(AND(AUTOEVENTO="Manual",$M597=1),$M597&gt;(ROW(PLE.lastrow)-ROW(PLE.firstrow))),0,IF(OFFSET(PLE!$G$14,$M597,BE$13)="",10^12,OFFSET(PLE!$G$14,$M597,BE$13))))</f>
        <v>0</v>
      </c>
      <c r="BF597" s="182">
        <f ca="1">IF($D597&lt;&gt;"Serviço",0,IF(OR(AND(AUTOEVENTO="Manual",$M597=1),$M597&gt;(ROW(PLE.lastrow)-ROW(PLE.firstrow))),0,IF(OFFSET(PLE!$G$14,$M597,BF$13)="",10^12,OFFSET(PLE!$G$14,$M597,BF$13))))</f>
        <v>0</v>
      </c>
      <c r="BG597" s="182">
        <f ca="1">IF($D597&lt;&gt;"Serviço",0,IF(OR(AND(AUTOEVENTO="Manual",$M597=1),$M597&gt;(ROW(PLE.lastrow)-ROW(PLE.firstrow))),0,IF(OFFSET(PLE!$G$14,$M597,BG$13)="",10^12,OFFSET(PLE!$G$14,$M597,BG$13))))</f>
        <v>0</v>
      </c>
    </row>
    <row r="598" spans="1:59" ht="25.5" x14ac:dyDescent="0.2">
      <c r="A598" s="7" t="str">
        <f t="shared" ca="1" si="16"/>
        <v>472</v>
      </c>
      <c r="B598" s="7" t="str">
        <f ca="1">OFFSET(ORÇAMENTO!C$15,ROW(B598)-ROW(B$15),0)</f>
        <v>S</v>
      </c>
      <c r="C598" s="7" t="str">
        <f ca="1">OFFSET(ORÇAMENTO!L$15,ROW(C598)-ROW(C$15),0)</f>
        <v/>
      </c>
      <c r="D598" s="118" t="str">
        <f ca="1">OFFSET(ORÇAMENTO!N$15,ROW(D598)-ROW(D$15),0)</f>
        <v>Serviço</v>
      </c>
      <c r="E598" s="119" t="str">
        <f ca="1">OFFSET(ORÇAMENTO!O$15,ROW(E598)-ROW(E$15),0)</f>
        <v>-</v>
      </c>
      <c r="F598" s="172" t="str">
        <f ca="1">OFFSET(ORÇAMENTO!R$15,ROW(F598)-ROW(F$15),0)</f>
        <v>(abra o arquivo 'Referência 02-2025.xlsm)</v>
      </c>
      <c r="G598" s="173" t="str">
        <f ca="1">IF($D598&lt;&gt;"Serviço","",OFFSET(ORÇAMENTO!S$15,ROW(G598)-ROW(G$15),0))</f>
        <v>-</v>
      </c>
      <c r="H598" s="124">
        <f ca="1">IF($D598&lt;&gt;"Serviço",0,IF(ACOMPANHAMENTO="BM",ROUND(OFFSET(ORÇAMENTO!AJ$15,ROW(H598)-ROW(H$15),0),15-13*ORÇAMENTO!$AF$7),SUMPRODUCT(($Q$12:$AA$12&lt;&gt;"")*ROUND($Q598:$AA598,15-13*ORÇAMENTO!$AF$7))))</f>
        <v>14</v>
      </c>
      <c r="I598" s="561" t="s">
        <v>890</v>
      </c>
      <c r="K598" s="174"/>
      <c r="L598" s="175" t="s">
        <v>255</v>
      </c>
      <c r="M598" s="176">
        <f ca="1">IF($D598&lt;&gt;"Serviço","",IF(AUTOEVENTO="manual",$A598,IF(ISERROR(MATCH($A598,$A$15:OFFSET($A598,-1,0),0)),MAX($M$15:OFFSET(M598,-1,0))+1,INDEX($M$15:OFFSET(M598,-1,0),MATCH($A598,$A$15:OFFSET($A598,-1,0),0)))))</f>
        <v>18</v>
      </c>
      <c r="N598" s="177" t="str">
        <f ca="1">IF($D598&lt;&gt;"Serviço","",IF(AUTOEVENTO="Manual",IF($A598=0,"&lt;-- defina o número do agrupador",OFFSET(EVENTOS!$D$14,$A598,0)),OFFSET($F$15,$A598,0)))</f>
        <v>INSTALAÇÕES ELÉTRICAS - 220V</v>
      </c>
      <c r="O598" s="178"/>
      <c r="Q598" s="178"/>
      <c r="R598" s="179"/>
      <c r="S598" s="179"/>
      <c r="T598" s="179"/>
      <c r="U598" s="179"/>
      <c r="V598" s="179"/>
      <c r="W598" s="179"/>
      <c r="X598" s="179"/>
      <c r="Y598" s="179"/>
      <c r="Z598" s="180"/>
      <c r="AB598" s="544">
        <f ca="1">IF(AND($D598="Serviço",AB$12&lt;&gt;0,$H598&gt;0,OR(AUTOEVENTO&lt;&gt;"manual",$M598&lt;&gt;1)),
IF(Import.TipoArredondamento&lt;&gt;"TransfereGOV",
ROUND(OFFSET($P598,0,AB$13),15-13*ORÇAMENTO!$AF$7)/$H598*OFFSET(ORÇAMENTO!$X$15,ROW(AB598)-ROW(AB$15),0),
ROUND(ROUND(OFFSET($P598,0,AB$13),15-13*ORÇAMENTO!$AF$7)*OFFSET(ORÇAMENTO!$W$15,ROW(AB598)-ROW(AB$15),0),15-13*ORÇAMENTO!$AF$11)),0)</f>
        <v>0</v>
      </c>
      <c r="AC598" s="545">
        <f ca="1">IF(AND($D598="Serviço",AC$12&lt;&gt;0,$H598&gt;0,OR(AUTOEVENTO&lt;&gt;"manual",$M598&lt;&gt;1)),
IF(Import.TipoArredondamento&lt;&gt;"TransfereGOV",
ROUND(OFFSET($P598,0,AC$13),15-13*ORÇAMENTO!$AF$7)/$H598*OFFSET(ORÇAMENTO!$X$15,ROW(AC598)-ROW(AC$15),0),
ROUND(ROUND(OFFSET($P598,0,AC$13),15-13*ORÇAMENTO!$AF$7)*OFFSET(ORÇAMENTO!$W$15,ROW(AC598)-ROW(AC$15),0),15-13*ORÇAMENTO!$AF$11)),0)</f>
        <v>0</v>
      </c>
      <c r="AD598" s="545">
        <f ca="1">IF(AND($D598="Serviço",AD$12&lt;&gt;0,$H598&gt;0,OR(AUTOEVENTO&lt;&gt;"manual",$M598&lt;&gt;1)),
IF(Import.TipoArredondamento&lt;&gt;"TransfereGOV",
ROUND(OFFSET($P598,0,AD$13),15-13*ORÇAMENTO!$AF$7)/$H598*OFFSET(ORÇAMENTO!$X$15,ROW(AD598)-ROW(AD$15),0),
ROUND(ROUND(OFFSET($P598,0,AD$13),15-13*ORÇAMENTO!$AF$7)*OFFSET(ORÇAMENTO!$W$15,ROW(AD598)-ROW(AD$15),0),15-13*ORÇAMENTO!$AF$11)),0)</f>
        <v>0</v>
      </c>
      <c r="AE598" s="545">
        <f ca="1">IF(AND($D598="Serviço",AE$12&lt;&gt;0,$H598&gt;0,OR(AUTOEVENTO&lt;&gt;"manual",$M598&lt;&gt;1)),
IF(Import.TipoArredondamento&lt;&gt;"TransfereGOV",
ROUND(OFFSET($P598,0,AE$13),15-13*ORÇAMENTO!$AF$7)/$H598*OFFSET(ORÇAMENTO!$X$15,ROW(AE598)-ROW(AE$15),0),
ROUND(ROUND(OFFSET($P598,0,AE$13),15-13*ORÇAMENTO!$AF$7)*OFFSET(ORÇAMENTO!$W$15,ROW(AE598)-ROW(AE$15),0),15-13*ORÇAMENTO!$AF$11)),0)</f>
        <v>0</v>
      </c>
      <c r="AF598" s="545">
        <f ca="1">IF(AND($D598="Serviço",AF$12&lt;&gt;0,$H598&gt;0,OR(AUTOEVENTO&lt;&gt;"manual",$M598&lt;&gt;1)),
IF(Import.TipoArredondamento&lt;&gt;"TransfereGOV",
ROUND(OFFSET($P598,0,AF$13),15-13*ORÇAMENTO!$AF$7)/$H598*OFFSET(ORÇAMENTO!$X$15,ROW(AF598)-ROW(AF$15),0),
ROUND(ROUND(OFFSET($P598,0,AF$13),15-13*ORÇAMENTO!$AF$7)*OFFSET(ORÇAMENTO!$W$15,ROW(AF598)-ROW(AF$15),0),15-13*ORÇAMENTO!$AF$11)),0)</f>
        <v>0</v>
      </c>
      <c r="AG598" s="545">
        <f ca="1">IF(AND($D598="Serviço",AG$12&lt;&gt;0,$H598&gt;0,OR(AUTOEVENTO&lt;&gt;"manual",$M598&lt;&gt;1)),
IF(Import.TipoArredondamento&lt;&gt;"TransfereGOV",
ROUND(OFFSET($P598,0,AG$13),15-13*ORÇAMENTO!$AF$7)/$H598*OFFSET(ORÇAMENTO!$X$15,ROW(AG598)-ROW(AG$15),0),
ROUND(ROUND(OFFSET($P598,0,AG$13),15-13*ORÇAMENTO!$AF$7)*OFFSET(ORÇAMENTO!$W$15,ROW(AG598)-ROW(AG$15),0),15-13*ORÇAMENTO!$AF$11)),0)</f>
        <v>0</v>
      </c>
      <c r="AH598" s="545">
        <f ca="1">IF(AND($D598="Serviço",AH$12&lt;&gt;0,$H598&gt;0,OR(AUTOEVENTO&lt;&gt;"manual",$M598&lt;&gt;1)),
IF(Import.TipoArredondamento&lt;&gt;"TransfereGOV",
ROUND(OFFSET($P598,0,AH$13),15-13*ORÇAMENTO!$AF$7)/$H598*OFFSET(ORÇAMENTO!$X$15,ROW(AH598)-ROW(AH$15),0),
ROUND(ROUND(OFFSET($P598,0,AH$13),15-13*ORÇAMENTO!$AF$7)*OFFSET(ORÇAMENTO!$W$15,ROW(AH598)-ROW(AH$15),0),15-13*ORÇAMENTO!$AF$11)),0)</f>
        <v>0</v>
      </c>
      <c r="AI598" s="545">
        <f ca="1">IF(AND($D598="Serviço",AI$12&lt;&gt;0,$H598&gt;0,OR(AUTOEVENTO&lt;&gt;"manual",$M598&lt;&gt;1)),
IF(Import.TipoArredondamento&lt;&gt;"TransfereGOV",
ROUND(OFFSET($P598,0,AI$13),15-13*ORÇAMENTO!$AF$7)/$H598*OFFSET(ORÇAMENTO!$X$15,ROW(AI598)-ROW(AI$15),0),
ROUND(ROUND(OFFSET($P598,0,AI$13),15-13*ORÇAMENTO!$AF$7)*OFFSET(ORÇAMENTO!$W$15,ROW(AI598)-ROW(AI$15),0),15-13*ORÇAMENTO!$AF$11)),0)</f>
        <v>0</v>
      </c>
      <c r="AJ598" s="545">
        <f ca="1">IF(AND($D598="Serviço",AJ$12&lt;&gt;0,$H598&gt;0,OR(AUTOEVENTO&lt;&gt;"manual",$M598&lt;&gt;1)),
IF(Import.TipoArredondamento&lt;&gt;"TransfereGOV",
ROUND(OFFSET($P598,0,AJ$13),15-13*ORÇAMENTO!$AF$7)/$H598*OFFSET(ORÇAMENTO!$X$15,ROW(AJ598)-ROW(AJ$15),0),
ROUND(ROUND(OFFSET($P598,0,AJ$13),15-13*ORÇAMENTO!$AF$7)*OFFSET(ORÇAMENTO!$W$15,ROW(AJ598)-ROW(AJ$15),0),15-13*ORÇAMENTO!$AF$11)),0)</f>
        <v>0</v>
      </c>
      <c r="AK598" s="546">
        <f ca="1">IF(AND($D598="Serviço",AK$12&lt;&gt;0,$H598&gt;0,OR(AUTOEVENTO&lt;&gt;"manual",$M598&lt;&gt;1)),
IF(Import.TipoArredondamento&lt;&gt;"TransfereGOV",
ROUND(OFFSET($P598,0,AK$13),15-13*ORÇAMENTO!$AF$7)/$H598*OFFSET(ORÇAMENTO!$X$15,ROW(AK598)-ROW(AK$15),0),
ROUND(ROUND(OFFSET($P598,0,AK$13),15-13*ORÇAMENTO!$AF$7)*OFFSET(ORÇAMENTO!$W$15,ROW(AK598)-ROW(AK$15),0),15-13*ORÇAMENTO!$AF$11)),0)</f>
        <v>0</v>
      </c>
      <c r="AM598" s="181">
        <f ca="1">IF($D598&lt;&gt;"Serviço",0,IF(AND(AUTOEVENTO="Manual",$M598=1),0,IF(OFFSET(CRONOPLE!$F$14,$M598,AM$13)="",10^12,OFFSET(CRONOPLE!$F$14,$M598,AM$13))))</f>
        <v>1000000000000</v>
      </c>
      <c r="AN598" s="181">
        <f ca="1">IF($D598&lt;&gt;"Serviço",0,IF(AND(AUTOEVENTO="Manual",$M598=1),0,IF(OFFSET(CRONOPLE!$F$14,$M598,AN$13)="",10^12,OFFSET(CRONOPLE!$F$14,$M598,AN$13))))</f>
        <v>1000000000000</v>
      </c>
      <c r="AO598" s="181">
        <f ca="1">IF($D598&lt;&gt;"Serviço",0,IF(AND(AUTOEVENTO="Manual",$M598=1),0,IF(OFFSET(CRONOPLE!$F$14,$M598,AO$13)="",10^12,OFFSET(CRONOPLE!$F$14,$M598,AO$13))))</f>
        <v>1000000000000</v>
      </c>
      <c r="AP598" s="181">
        <f ca="1">IF($D598&lt;&gt;"Serviço",0,IF(AND(AUTOEVENTO="Manual",$M598=1),0,IF(OFFSET(CRONOPLE!$F$14,$M598,AP$13)="",10^12,OFFSET(CRONOPLE!$F$14,$M598,AP$13))))</f>
        <v>1000000000000</v>
      </c>
      <c r="AQ598" s="181">
        <f ca="1">IF($D598&lt;&gt;"Serviço",0,IF(AND(AUTOEVENTO="Manual",$M598=1),0,IF(OFFSET(CRONOPLE!$F$14,$M598,AQ$13)="",10^12,OFFSET(CRONOPLE!$F$14,$M598,AQ$13))))</f>
        <v>1000000000000</v>
      </c>
      <c r="AR598" s="181">
        <f ca="1">IF($D598&lt;&gt;"Serviço",0,IF(AND(AUTOEVENTO="Manual",$M598=1),0,IF(OFFSET(CRONOPLE!$F$14,$M598,AR$13)="",10^12,OFFSET(CRONOPLE!$F$14,$M598,AR$13))))</f>
        <v>1000000000000</v>
      </c>
      <c r="AS598" s="181">
        <f ca="1">IF($D598&lt;&gt;"Serviço",0,IF(AND(AUTOEVENTO="Manual",$M598=1),0,IF(OFFSET(CRONOPLE!$F$14,$M598,AS$13)="",10^12,OFFSET(CRONOPLE!$F$14,$M598,AS$13))))</f>
        <v>1000000000000</v>
      </c>
      <c r="AT598" s="181">
        <f ca="1">IF($D598&lt;&gt;"Serviço",0,IF(AND(AUTOEVENTO="Manual",$M598=1),0,IF(OFFSET(CRONOPLE!$F$14,$M598,AT$13)="",10^12,OFFSET(CRONOPLE!$F$14,$M598,AT$13))))</f>
        <v>1000000000000</v>
      </c>
      <c r="AU598" s="181">
        <f ca="1">IF($D598&lt;&gt;"Serviço",0,IF(AND(AUTOEVENTO="Manual",$M598=1),0,IF(OFFSET(CRONOPLE!$F$14,$M598,AU$13)="",10^12,OFFSET(CRONOPLE!$F$14,$M598,AU$13))))</f>
        <v>1000000000000</v>
      </c>
      <c r="AV598" s="181">
        <f ca="1">IF($D598&lt;&gt;"Serviço",0,IF(AND(AUTOEVENTO="Manual",$M598=1),0,IF(OFFSET(CRONOPLE!$F$14,$M598,AV$13)="",10^12,OFFSET(CRONOPLE!$F$14,$M598,AV$13))))</f>
        <v>1000000000000</v>
      </c>
      <c r="AX598" s="182">
        <f ca="1">IF($D598&lt;&gt;"Serviço",0,IF(OR(AND(AUTOEVENTO="Manual",$M598=1),$M598&gt;(ROW(PLE.lastrow)-ROW(PLE.firstrow))),0,IF(OFFSET(PLE!$G$14,$M598,AX$13)="",10^12,OFFSET(PLE!$G$14,$M598,AX$13))))</f>
        <v>1000000000000</v>
      </c>
      <c r="AY598" s="182">
        <f ca="1">IF($D598&lt;&gt;"Serviço",0,IF(OR(AND(AUTOEVENTO="Manual",$M598=1),$M598&gt;(ROW(PLE.lastrow)-ROW(PLE.firstrow))),0,IF(OFFSET(PLE!$G$14,$M598,AY$13)="",10^12,OFFSET(PLE!$G$14,$M598,AY$13))))</f>
        <v>1000000000000</v>
      </c>
      <c r="AZ598" s="182">
        <f ca="1">IF($D598&lt;&gt;"Serviço",0,IF(OR(AND(AUTOEVENTO="Manual",$M598=1),$M598&gt;(ROW(PLE.lastrow)-ROW(PLE.firstrow))),0,IF(OFFSET(PLE!$G$14,$M598,AZ$13)="",10^12,OFFSET(PLE!$G$14,$M598,AZ$13))))</f>
        <v>1000000000000</v>
      </c>
      <c r="BA598" s="182">
        <f ca="1">IF($D598&lt;&gt;"Serviço",0,IF(OR(AND(AUTOEVENTO="Manual",$M598=1),$M598&gt;(ROW(PLE.lastrow)-ROW(PLE.firstrow))),0,IF(OFFSET(PLE!$G$14,$M598,BA$13)="",10^12,OFFSET(PLE!$G$14,$M598,BA$13))))</f>
        <v>1000000000000</v>
      </c>
      <c r="BB598" s="182">
        <f ca="1">IF($D598&lt;&gt;"Serviço",0,IF(OR(AND(AUTOEVENTO="Manual",$M598=1),$M598&gt;(ROW(PLE.lastrow)-ROW(PLE.firstrow))),0,IF(OFFSET(PLE!$G$14,$M598,BB$13)="",10^12,OFFSET(PLE!$G$14,$M598,BB$13))))</f>
        <v>1000000000000</v>
      </c>
      <c r="BC598" s="182">
        <f ca="1">IF($D598&lt;&gt;"Serviço",0,IF(OR(AND(AUTOEVENTO="Manual",$M598=1),$M598&gt;(ROW(PLE.lastrow)-ROW(PLE.firstrow))),0,IF(OFFSET(PLE!$G$14,$M598,BC$13)="",10^12,OFFSET(PLE!$G$14,$M598,BC$13))))</f>
        <v>1000000000000</v>
      </c>
      <c r="BD598" s="182">
        <f ca="1">IF($D598&lt;&gt;"Serviço",0,IF(OR(AND(AUTOEVENTO="Manual",$M598=1),$M598&gt;(ROW(PLE.lastrow)-ROW(PLE.firstrow))),0,IF(OFFSET(PLE!$G$14,$M598,BD$13)="",10^12,OFFSET(PLE!$G$14,$M598,BD$13))))</f>
        <v>1000000000000</v>
      </c>
      <c r="BE598" s="182">
        <f ca="1">IF($D598&lt;&gt;"Serviço",0,IF(OR(AND(AUTOEVENTO="Manual",$M598=1),$M598&gt;(ROW(PLE.lastrow)-ROW(PLE.firstrow))),0,IF(OFFSET(PLE!$G$14,$M598,BE$13)="",10^12,OFFSET(PLE!$G$14,$M598,BE$13))))</f>
        <v>1000000000000</v>
      </c>
      <c r="BF598" s="182">
        <f ca="1">IF($D598&lt;&gt;"Serviço",0,IF(OR(AND(AUTOEVENTO="Manual",$M598=1),$M598&gt;(ROW(PLE.lastrow)-ROW(PLE.firstrow))),0,IF(OFFSET(PLE!$G$14,$M598,BF$13)="",10^12,OFFSET(PLE!$G$14,$M598,BF$13))))</f>
        <v>1000000000000</v>
      </c>
      <c r="BG598" s="182">
        <f ca="1">IF($D598&lt;&gt;"Serviço",0,IF(OR(AND(AUTOEVENTO="Manual",$M598=1),$M598&gt;(ROW(PLE.lastrow)-ROW(PLE.firstrow))),0,IF(OFFSET(PLE!$G$14,$M598,BG$13)="",10^12,OFFSET(PLE!$G$14,$M598,BG$13))))</f>
        <v>1000000000000</v>
      </c>
    </row>
    <row r="599" spans="1:59" ht="25.5" x14ac:dyDescent="0.2">
      <c r="A599" s="7" t="str">
        <f t="shared" ca="1" si="16"/>
        <v>472</v>
      </c>
      <c r="B599" s="7" t="str">
        <f ca="1">OFFSET(ORÇAMENTO!C$15,ROW(B599)-ROW(B$15),0)</f>
        <v>S</v>
      </c>
      <c r="C599" s="7" t="str">
        <f ca="1">OFFSET(ORÇAMENTO!L$15,ROW(C599)-ROW(C$15),0)</f>
        <v/>
      </c>
      <c r="D599" s="118" t="str">
        <f ca="1">OFFSET(ORÇAMENTO!N$15,ROW(D599)-ROW(D$15),0)</f>
        <v>Serviço</v>
      </c>
      <c r="E599" s="119" t="str">
        <f ca="1">OFFSET(ORÇAMENTO!O$15,ROW(E599)-ROW(E$15),0)</f>
        <v>-</v>
      </c>
      <c r="F599" s="172" t="str">
        <f ca="1">OFFSET(ORÇAMENTO!R$15,ROW(F599)-ROW(F$15),0)</f>
        <v>(abra o arquivo 'Referência 02-2025.xlsm)</v>
      </c>
      <c r="G599" s="173" t="str">
        <f ca="1">IF($D599&lt;&gt;"Serviço","",OFFSET(ORÇAMENTO!S$15,ROW(G599)-ROW(G$15),0))</f>
        <v>-</v>
      </c>
      <c r="H599" s="124">
        <f ca="1">IF($D599&lt;&gt;"Serviço",0,IF(ACOMPANHAMENTO="BM",ROUND(OFFSET(ORÇAMENTO!AJ$15,ROW(H599)-ROW(H$15),0),15-13*ORÇAMENTO!$AF$7),SUMPRODUCT(($Q$12:$AA$12&lt;&gt;"")*ROUND($Q599:$AA599,15-13*ORÇAMENTO!$AF$7))))</f>
        <v>89</v>
      </c>
      <c r="I599" s="561" t="s">
        <v>890</v>
      </c>
      <c r="K599" s="174"/>
      <c r="L599" s="175" t="s">
        <v>255</v>
      </c>
      <c r="M599" s="176">
        <f ca="1">IF($D599&lt;&gt;"Serviço","",IF(AUTOEVENTO="manual",$A599,IF(ISERROR(MATCH($A599,$A$15:OFFSET($A599,-1,0),0)),MAX($M$15:OFFSET(M599,-1,0))+1,INDEX($M$15:OFFSET(M599,-1,0),MATCH($A599,$A$15:OFFSET($A599,-1,0),0)))))</f>
        <v>18</v>
      </c>
      <c r="N599" s="177" t="str">
        <f ca="1">IF($D599&lt;&gt;"Serviço","",IF(AUTOEVENTO="Manual",IF($A599=0,"&lt;-- defina o número do agrupador",OFFSET(EVENTOS!$D$14,$A599,0)),OFFSET($F$15,$A599,0)))</f>
        <v>INSTALAÇÕES ELÉTRICAS - 220V</v>
      </c>
      <c r="O599" s="178"/>
      <c r="Q599" s="178"/>
      <c r="R599" s="179"/>
      <c r="S599" s="179"/>
      <c r="T599" s="179"/>
      <c r="U599" s="179"/>
      <c r="V599" s="179"/>
      <c r="W599" s="179"/>
      <c r="X599" s="179"/>
      <c r="Y599" s="179"/>
      <c r="Z599" s="180"/>
      <c r="AB599" s="544">
        <f ca="1">IF(AND($D599="Serviço",AB$12&lt;&gt;0,$H599&gt;0,OR(AUTOEVENTO&lt;&gt;"manual",$M599&lt;&gt;1)),
IF(Import.TipoArredondamento&lt;&gt;"TransfereGOV",
ROUND(OFFSET($P599,0,AB$13),15-13*ORÇAMENTO!$AF$7)/$H599*OFFSET(ORÇAMENTO!$X$15,ROW(AB599)-ROW(AB$15),0),
ROUND(ROUND(OFFSET($P599,0,AB$13),15-13*ORÇAMENTO!$AF$7)*OFFSET(ORÇAMENTO!$W$15,ROW(AB599)-ROW(AB$15),0),15-13*ORÇAMENTO!$AF$11)),0)</f>
        <v>0</v>
      </c>
      <c r="AC599" s="545">
        <f ca="1">IF(AND($D599="Serviço",AC$12&lt;&gt;0,$H599&gt;0,OR(AUTOEVENTO&lt;&gt;"manual",$M599&lt;&gt;1)),
IF(Import.TipoArredondamento&lt;&gt;"TransfereGOV",
ROUND(OFFSET($P599,0,AC$13),15-13*ORÇAMENTO!$AF$7)/$H599*OFFSET(ORÇAMENTO!$X$15,ROW(AC599)-ROW(AC$15),0),
ROUND(ROUND(OFFSET($P599,0,AC$13),15-13*ORÇAMENTO!$AF$7)*OFFSET(ORÇAMENTO!$W$15,ROW(AC599)-ROW(AC$15),0),15-13*ORÇAMENTO!$AF$11)),0)</f>
        <v>0</v>
      </c>
      <c r="AD599" s="545">
        <f ca="1">IF(AND($D599="Serviço",AD$12&lt;&gt;0,$H599&gt;0,OR(AUTOEVENTO&lt;&gt;"manual",$M599&lt;&gt;1)),
IF(Import.TipoArredondamento&lt;&gt;"TransfereGOV",
ROUND(OFFSET($P599,0,AD$13),15-13*ORÇAMENTO!$AF$7)/$H599*OFFSET(ORÇAMENTO!$X$15,ROW(AD599)-ROW(AD$15),0),
ROUND(ROUND(OFFSET($P599,0,AD$13),15-13*ORÇAMENTO!$AF$7)*OFFSET(ORÇAMENTO!$W$15,ROW(AD599)-ROW(AD$15),0),15-13*ORÇAMENTO!$AF$11)),0)</f>
        <v>0</v>
      </c>
      <c r="AE599" s="545">
        <f ca="1">IF(AND($D599="Serviço",AE$12&lt;&gt;0,$H599&gt;0,OR(AUTOEVENTO&lt;&gt;"manual",$M599&lt;&gt;1)),
IF(Import.TipoArredondamento&lt;&gt;"TransfereGOV",
ROUND(OFFSET($P599,0,AE$13),15-13*ORÇAMENTO!$AF$7)/$H599*OFFSET(ORÇAMENTO!$X$15,ROW(AE599)-ROW(AE$15),0),
ROUND(ROUND(OFFSET($P599,0,AE$13),15-13*ORÇAMENTO!$AF$7)*OFFSET(ORÇAMENTO!$W$15,ROW(AE599)-ROW(AE$15),0),15-13*ORÇAMENTO!$AF$11)),0)</f>
        <v>0</v>
      </c>
      <c r="AF599" s="545">
        <f ca="1">IF(AND($D599="Serviço",AF$12&lt;&gt;0,$H599&gt;0,OR(AUTOEVENTO&lt;&gt;"manual",$M599&lt;&gt;1)),
IF(Import.TipoArredondamento&lt;&gt;"TransfereGOV",
ROUND(OFFSET($P599,0,AF$13),15-13*ORÇAMENTO!$AF$7)/$H599*OFFSET(ORÇAMENTO!$X$15,ROW(AF599)-ROW(AF$15),0),
ROUND(ROUND(OFFSET($P599,0,AF$13),15-13*ORÇAMENTO!$AF$7)*OFFSET(ORÇAMENTO!$W$15,ROW(AF599)-ROW(AF$15),0),15-13*ORÇAMENTO!$AF$11)),0)</f>
        <v>0</v>
      </c>
      <c r="AG599" s="545">
        <f ca="1">IF(AND($D599="Serviço",AG$12&lt;&gt;0,$H599&gt;0,OR(AUTOEVENTO&lt;&gt;"manual",$M599&lt;&gt;1)),
IF(Import.TipoArredondamento&lt;&gt;"TransfereGOV",
ROUND(OFFSET($P599,0,AG$13),15-13*ORÇAMENTO!$AF$7)/$H599*OFFSET(ORÇAMENTO!$X$15,ROW(AG599)-ROW(AG$15),0),
ROUND(ROUND(OFFSET($P599,0,AG$13),15-13*ORÇAMENTO!$AF$7)*OFFSET(ORÇAMENTO!$W$15,ROW(AG599)-ROW(AG$15),0),15-13*ORÇAMENTO!$AF$11)),0)</f>
        <v>0</v>
      </c>
      <c r="AH599" s="545">
        <f ca="1">IF(AND($D599="Serviço",AH$12&lt;&gt;0,$H599&gt;0,OR(AUTOEVENTO&lt;&gt;"manual",$M599&lt;&gt;1)),
IF(Import.TipoArredondamento&lt;&gt;"TransfereGOV",
ROUND(OFFSET($P599,0,AH$13),15-13*ORÇAMENTO!$AF$7)/$H599*OFFSET(ORÇAMENTO!$X$15,ROW(AH599)-ROW(AH$15),0),
ROUND(ROUND(OFFSET($P599,0,AH$13),15-13*ORÇAMENTO!$AF$7)*OFFSET(ORÇAMENTO!$W$15,ROW(AH599)-ROW(AH$15),0),15-13*ORÇAMENTO!$AF$11)),0)</f>
        <v>0</v>
      </c>
      <c r="AI599" s="545">
        <f ca="1">IF(AND($D599="Serviço",AI$12&lt;&gt;0,$H599&gt;0,OR(AUTOEVENTO&lt;&gt;"manual",$M599&lt;&gt;1)),
IF(Import.TipoArredondamento&lt;&gt;"TransfereGOV",
ROUND(OFFSET($P599,0,AI$13),15-13*ORÇAMENTO!$AF$7)/$H599*OFFSET(ORÇAMENTO!$X$15,ROW(AI599)-ROW(AI$15),0),
ROUND(ROUND(OFFSET($P599,0,AI$13),15-13*ORÇAMENTO!$AF$7)*OFFSET(ORÇAMENTO!$W$15,ROW(AI599)-ROW(AI$15),0),15-13*ORÇAMENTO!$AF$11)),0)</f>
        <v>0</v>
      </c>
      <c r="AJ599" s="545">
        <f ca="1">IF(AND($D599="Serviço",AJ$12&lt;&gt;0,$H599&gt;0,OR(AUTOEVENTO&lt;&gt;"manual",$M599&lt;&gt;1)),
IF(Import.TipoArredondamento&lt;&gt;"TransfereGOV",
ROUND(OFFSET($P599,0,AJ$13),15-13*ORÇAMENTO!$AF$7)/$H599*OFFSET(ORÇAMENTO!$X$15,ROW(AJ599)-ROW(AJ$15),0),
ROUND(ROUND(OFFSET($P599,0,AJ$13),15-13*ORÇAMENTO!$AF$7)*OFFSET(ORÇAMENTO!$W$15,ROW(AJ599)-ROW(AJ$15),0),15-13*ORÇAMENTO!$AF$11)),0)</f>
        <v>0</v>
      </c>
      <c r="AK599" s="546">
        <f ca="1">IF(AND($D599="Serviço",AK$12&lt;&gt;0,$H599&gt;0,OR(AUTOEVENTO&lt;&gt;"manual",$M599&lt;&gt;1)),
IF(Import.TipoArredondamento&lt;&gt;"TransfereGOV",
ROUND(OFFSET($P599,0,AK$13),15-13*ORÇAMENTO!$AF$7)/$H599*OFFSET(ORÇAMENTO!$X$15,ROW(AK599)-ROW(AK$15),0),
ROUND(ROUND(OFFSET($P599,0,AK$13),15-13*ORÇAMENTO!$AF$7)*OFFSET(ORÇAMENTO!$W$15,ROW(AK599)-ROW(AK$15),0),15-13*ORÇAMENTO!$AF$11)),0)</f>
        <v>0</v>
      </c>
      <c r="AM599" s="181">
        <f ca="1">IF($D599&lt;&gt;"Serviço",0,IF(AND(AUTOEVENTO="Manual",$M599=1),0,IF(OFFSET(CRONOPLE!$F$14,$M599,AM$13)="",10^12,OFFSET(CRONOPLE!$F$14,$M599,AM$13))))</f>
        <v>1000000000000</v>
      </c>
      <c r="AN599" s="181">
        <f ca="1">IF($D599&lt;&gt;"Serviço",0,IF(AND(AUTOEVENTO="Manual",$M599=1),0,IF(OFFSET(CRONOPLE!$F$14,$M599,AN$13)="",10^12,OFFSET(CRONOPLE!$F$14,$M599,AN$13))))</f>
        <v>1000000000000</v>
      </c>
      <c r="AO599" s="181">
        <f ca="1">IF($D599&lt;&gt;"Serviço",0,IF(AND(AUTOEVENTO="Manual",$M599=1),0,IF(OFFSET(CRONOPLE!$F$14,$M599,AO$13)="",10^12,OFFSET(CRONOPLE!$F$14,$M599,AO$13))))</f>
        <v>1000000000000</v>
      </c>
      <c r="AP599" s="181">
        <f ca="1">IF($D599&lt;&gt;"Serviço",0,IF(AND(AUTOEVENTO="Manual",$M599=1),0,IF(OFFSET(CRONOPLE!$F$14,$M599,AP$13)="",10^12,OFFSET(CRONOPLE!$F$14,$M599,AP$13))))</f>
        <v>1000000000000</v>
      </c>
      <c r="AQ599" s="181">
        <f ca="1">IF($D599&lt;&gt;"Serviço",0,IF(AND(AUTOEVENTO="Manual",$M599=1),0,IF(OFFSET(CRONOPLE!$F$14,$M599,AQ$13)="",10^12,OFFSET(CRONOPLE!$F$14,$M599,AQ$13))))</f>
        <v>1000000000000</v>
      </c>
      <c r="AR599" s="181">
        <f ca="1">IF($D599&lt;&gt;"Serviço",0,IF(AND(AUTOEVENTO="Manual",$M599=1),0,IF(OFFSET(CRONOPLE!$F$14,$M599,AR$13)="",10^12,OFFSET(CRONOPLE!$F$14,$M599,AR$13))))</f>
        <v>1000000000000</v>
      </c>
      <c r="AS599" s="181">
        <f ca="1">IF($D599&lt;&gt;"Serviço",0,IF(AND(AUTOEVENTO="Manual",$M599=1),0,IF(OFFSET(CRONOPLE!$F$14,$M599,AS$13)="",10^12,OFFSET(CRONOPLE!$F$14,$M599,AS$13))))</f>
        <v>1000000000000</v>
      </c>
      <c r="AT599" s="181">
        <f ca="1">IF($D599&lt;&gt;"Serviço",0,IF(AND(AUTOEVENTO="Manual",$M599=1),0,IF(OFFSET(CRONOPLE!$F$14,$M599,AT$13)="",10^12,OFFSET(CRONOPLE!$F$14,$M599,AT$13))))</f>
        <v>1000000000000</v>
      </c>
      <c r="AU599" s="181">
        <f ca="1">IF($D599&lt;&gt;"Serviço",0,IF(AND(AUTOEVENTO="Manual",$M599=1),0,IF(OFFSET(CRONOPLE!$F$14,$M599,AU$13)="",10^12,OFFSET(CRONOPLE!$F$14,$M599,AU$13))))</f>
        <v>1000000000000</v>
      </c>
      <c r="AV599" s="181">
        <f ca="1">IF($D599&lt;&gt;"Serviço",0,IF(AND(AUTOEVENTO="Manual",$M599=1),0,IF(OFFSET(CRONOPLE!$F$14,$M599,AV$13)="",10^12,OFFSET(CRONOPLE!$F$14,$M599,AV$13))))</f>
        <v>1000000000000</v>
      </c>
      <c r="AX599" s="182">
        <f ca="1">IF($D599&lt;&gt;"Serviço",0,IF(OR(AND(AUTOEVENTO="Manual",$M599=1),$M599&gt;(ROW(PLE.lastrow)-ROW(PLE.firstrow))),0,IF(OFFSET(PLE!$G$14,$M599,AX$13)="",10^12,OFFSET(PLE!$G$14,$M599,AX$13))))</f>
        <v>1000000000000</v>
      </c>
      <c r="AY599" s="182">
        <f ca="1">IF($D599&lt;&gt;"Serviço",0,IF(OR(AND(AUTOEVENTO="Manual",$M599=1),$M599&gt;(ROW(PLE.lastrow)-ROW(PLE.firstrow))),0,IF(OFFSET(PLE!$G$14,$M599,AY$13)="",10^12,OFFSET(PLE!$G$14,$M599,AY$13))))</f>
        <v>1000000000000</v>
      </c>
      <c r="AZ599" s="182">
        <f ca="1">IF($D599&lt;&gt;"Serviço",0,IF(OR(AND(AUTOEVENTO="Manual",$M599=1),$M599&gt;(ROW(PLE.lastrow)-ROW(PLE.firstrow))),0,IF(OFFSET(PLE!$G$14,$M599,AZ$13)="",10^12,OFFSET(PLE!$G$14,$M599,AZ$13))))</f>
        <v>1000000000000</v>
      </c>
      <c r="BA599" s="182">
        <f ca="1">IF($D599&lt;&gt;"Serviço",0,IF(OR(AND(AUTOEVENTO="Manual",$M599=1),$M599&gt;(ROW(PLE.lastrow)-ROW(PLE.firstrow))),0,IF(OFFSET(PLE!$G$14,$M599,BA$13)="",10^12,OFFSET(PLE!$G$14,$M599,BA$13))))</f>
        <v>1000000000000</v>
      </c>
      <c r="BB599" s="182">
        <f ca="1">IF($D599&lt;&gt;"Serviço",0,IF(OR(AND(AUTOEVENTO="Manual",$M599=1),$M599&gt;(ROW(PLE.lastrow)-ROW(PLE.firstrow))),0,IF(OFFSET(PLE!$G$14,$M599,BB$13)="",10^12,OFFSET(PLE!$G$14,$M599,BB$13))))</f>
        <v>1000000000000</v>
      </c>
      <c r="BC599" s="182">
        <f ca="1">IF($D599&lt;&gt;"Serviço",0,IF(OR(AND(AUTOEVENTO="Manual",$M599=1),$M599&gt;(ROW(PLE.lastrow)-ROW(PLE.firstrow))),0,IF(OFFSET(PLE!$G$14,$M599,BC$13)="",10^12,OFFSET(PLE!$G$14,$M599,BC$13))))</f>
        <v>1000000000000</v>
      </c>
      <c r="BD599" s="182">
        <f ca="1">IF($D599&lt;&gt;"Serviço",0,IF(OR(AND(AUTOEVENTO="Manual",$M599=1),$M599&gt;(ROW(PLE.lastrow)-ROW(PLE.firstrow))),0,IF(OFFSET(PLE!$G$14,$M599,BD$13)="",10^12,OFFSET(PLE!$G$14,$M599,BD$13))))</f>
        <v>1000000000000</v>
      </c>
      <c r="BE599" s="182">
        <f ca="1">IF($D599&lt;&gt;"Serviço",0,IF(OR(AND(AUTOEVENTO="Manual",$M599=1),$M599&gt;(ROW(PLE.lastrow)-ROW(PLE.firstrow))),0,IF(OFFSET(PLE!$G$14,$M599,BE$13)="",10^12,OFFSET(PLE!$G$14,$M599,BE$13))))</f>
        <v>1000000000000</v>
      </c>
      <c r="BF599" s="182">
        <f ca="1">IF($D599&lt;&gt;"Serviço",0,IF(OR(AND(AUTOEVENTO="Manual",$M599=1),$M599&gt;(ROW(PLE.lastrow)-ROW(PLE.firstrow))),0,IF(OFFSET(PLE!$G$14,$M599,BF$13)="",10^12,OFFSET(PLE!$G$14,$M599,BF$13))))</f>
        <v>1000000000000</v>
      </c>
      <c r="BG599" s="182">
        <f ca="1">IF($D599&lt;&gt;"Serviço",0,IF(OR(AND(AUTOEVENTO="Manual",$M599=1),$M599&gt;(ROW(PLE.lastrow)-ROW(PLE.firstrow))),0,IF(OFFSET(PLE!$G$14,$M599,BG$13)="",10^12,OFFSET(PLE!$G$14,$M599,BG$13))))</f>
        <v>1000000000000</v>
      </c>
    </row>
    <row r="600" spans="1:59" ht="25.5" x14ac:dyDescent="0.2">
      <c r="A600" s="7" t="str">
        <f t="shared" ca="1" si="16"/>
        <v>472</v>
      </c>
      <c r="B600" s="7" t="str">
        <f ca="1">OFFSET(ORÇAMENTO!C$15,ROW(B600)-ROW(B$15),0)</f>
        <v>S</v>
      </c>
      <c r="C600" s="7" t="str">
        <f ca="1">OFFSET(ORÇAMENTO!L$15,ROW(C600)-ROW(C$15),0)</f>
        <v/>
      </c>
      <c r="D600" s="118" t="str">
        <f ca="1">OFFSET(ORÇAMENTO!N$15,ROW(D600)-ROW(D$15),0)</f>
        <v>Serviço</v>
      </c>
      <c r="E600" s="119" t="str">
        <f ca="1">OFFSET(ORÇAMENTO!O$15,ROW(E600)-ROW(E$15),0)</f>
        <v>-</v>
      </c>
      <c r="F600" s="172" t="str">
        <f ca="1">OFFSET(ORÇAMENTO!R$15,ROW(F600)-ROW(F$15),0)</f>
        <v>(abra o arquivo 'Referência 02-2025.xlsm)</v>
      </c>
      <c r="G600" s="173" t="str">
        <f ca="1">IF($D600&lt;&gt;"Serviço","",OFFSET(ORÇAMENTO!S$15,ROW(G600)-ROW(G$15),0))</f>
        <v>-</v>
      </c>
      <c r="H600" s="124">
        <f ca="1">IF($D600&lt;&gt;"Serviço",0,IF(ACOMPANHAMENTO="BM",ROUND(OFFSET(ORÇAMENTO!AJ$15,ROW(H600)-ROW(H$15),0),15-13*ORÇAMENTO!$AF$7),SUMPRODUCT(($Q$12:$AA$12&lt;&gt;"")*ROUND($Q600:$AA600,15-13*ORÇAMENTO!$AF$7))))</f>
        <v>56</v>
      </c>
      <c r="I600" s="561" t="s">
        <v>890</v>
      </c>
      <c r="K600" s="174"/>
      <c r="L600" s="175" t="s">
        <v>255</v>
      </c>
      <c r="M600" s="176">
        <f ca="1">IF($D600&lt;&gt;"Serviço","",IF(AUTOEVENTO="manual",$A600,IF(ISERROR(MATCH($A600,$A$15:OFFSET($A600,-1,0),0)),MAX($M$15:OFFSET(M600,-1,0))+1,INDEX($M$15:OFFSET(M600,-1,0),MATCH($A600,$A$15:OFFSET($A600,-1,0),0)))))</f>
        <v>18</v>
      </c>
      <c r="N600" s="177" t="str">
        <f ca="1">IF($D600&lt;&gt;"Serviço","",IF(AUTOEVENTO="Manual",IF($A600=0,"&lt;-- defina o número do agrupador",OFFSET(EVENTOS!$D$14,$A600,0)),OFFSET($F$15,$A600,0)))</f>
        <v>INSTALAÇÕES ELÉTRICAS - 220V</v>
      </c>
      <c r="O600" s="178"/>
      <c r="Q600" s="178"/>
      <c r="R600" s="179"/>
      <c r="S600" s="179"/>
      <c r="T600" s="179"/>
      <c r="U600" s="179"/>
      <c r="V600" s="179"/>
      <c r="W600" s="179"/>
      <c r="X600" s="179"/>
      <c r="Y600" s="179"/>
      <c r="Z600" s="180"/>
      <c r="AB600" s="544">
        <f ca="1">IF(AND($D600="Serviço",AB$12&lt;&gt;0,$H600&gt;0,OR(AUTOEVENTO&lt;&gt;"manual",$M600&lt;&gt;1)),
IF(Import.TipoArredondamento&lt;&gt;"TransfereGOV",
ROUND(OFFSET($P600,0,AB$13),15-13*ORÇAMENTO!$AF$7)/$H600*OFFSET(ORÇAMENTO!$X$15,ROW(AB600)-ROW(AB$15),0),
ROUND(ROUND(OFFSET($P600,0,AB$13),15-13*ORÇAMENTO!$AF$7)*OFFSET(ORÇAMENTO!$W$15,ROW(AB600)-ROW(AB$15),0),15-13*ORÇAMENTO!$AF$11)),0)</f>
        <v>0</v>
      </c>
      <c r="AC600" s="545">
        <f ca="1">IF(AND($D600="Serviço",AC$12&lt;&gt;0,$H600&gt;0,OR(AUTOEVENTO&lt;&gt;"manual",$M600&lt;&gt;1)),
IF(Import.TipoArredondamento&lt;&gt;"TransfereGOV",
ROUND(OFFSET($P600,0,AC$13),15-13*ORÇAMENTO!$AF$7)/$H600*OFFSET(ORÇAMENTO!$X$15,ROW(AC600)-ROW(AC$15),0),
ROUND(ROUND(OFFSET($P600,0,AC$13),15-13*ORÇAMENTO!$AF$7)*OFFSET(ORÇAMENTO!$W$15,ROW(AC600)-ROW(AC$15),0),15-13*ORÇAMENTO!$AF$11)),0)</f>
        <v>0</v>
      </c>
      <c r="AD600" s="545">
        <f ca="1">IF(AND($D600="Serviço",AD$12&lt;&gt;0,$H600&gt;0,OR(AUTOEVENTO&lt;&gt;"manual",$M600&lt;&gt;1)),
IF(Import.TipoArredondamento&lt;&gt;"TransfereGOV",
ROUND(OFFSET($P600,0,AD$13),15-13*ORÇAMENTO!$AF$7)/$H600*OFFSET(ORÇAMENTO!$X$15,ROW(AD600)-ROW(AD$15),0),
ROUND(ROUND(OFFSET($P600,0,AD$13),15-13*ORÇAMENTO!$AF$7)*OFFSET(ORÇAMENTO!$W$15,ROW(AD600)-ROW(AD$15),0),15-13*ORÇAMENTO!$AF$11)),0)</f>
        <v>0</v>
      </c>
      <c r="AE600" s="545">
        <f ca="1">IF(AND($D600="Serviço",AE$12&lt;&gt;0,$H600&gt;0,OR(AUTOEVENTO&lt;&gt;"manual",$M600&lt;&gt;1)),
IF(Import.TipoArredondamento&lt;&gt;"TransfereGOV",
ROUND(OFFSET($P600,0,AE$13),15-13*ORÇAMENTO!$AF$7)/$H600*OFFSET(ORÇAMENTO!$X$15,ROW(AE600)-ROW(AE$15),0),
ROUND(ROUND(OFFSET($P600,0,AE$13),15-13*ORÇAMENTO!$AF$7)*OFFSET(ORÇAMENTO!$W$15,ROW(AE600)-ROW(AE$15),0),15-13*ORÇAMENTO!$AF$11)),0)</f>
        <v>0</v>
      </c>
      <c r="AF600" s="545">
        <f ca="1">IF(AND($D600="Serviço",AF$12&lt;&gt;0,$H600&gt;0,OR(AUTOEVENTO&lt;&gt;"manual",$M600&lt;&gt;1)),
IF(Import.TipoArredondamento&lt;&gt;"TransfereGOV",
ROUND(OFFSET($P600,0,AF$13),15-13*ORÇAMENTO!$AF$7)/$H600*OFFSET(ORÇAMENTO!$X$15,ROW(AF600)-ROW(AF$15),0),
ROUND(ROUND(OFFSET($P600,0,AF$13),15-13*ORÇAMENTO!$AF$7)*OFFSET(ORÇAMENTO!$W$15,ROW(AF600)-ROW(AF$15),0),15-13*ORÇAMENTO!$AF$11)),0)</f>
        <v>0</v>
      </c>
      <c r="AG600" s="545">
        <f ca="1">IF(AND($D600="Serviço",AG$12&lt;&gt;0,$H600&gt;0,OR(AUTOEVENTO&lt;&gt;"manual",$M600&lt;&gt;1)),
IF(Import.TipoArredondamento&lt;&gt;"TransfereGOV",
ROUND(OFFSET($P600,0,AG$13),15-13*ORÇAMENTO!$AF$7)/$H600*OFFSET(ORÇAMENTO!$X$15,ROW(AG600)-ROW(AG$15),0),
ROUND(ROUND(OFFSET($P600,0,AG$13),15-13*ORÇAMENTO!$AF$7)*OFFSET(ORÇAMENTO!$W$15,ROW(AG600)-ROW(AG$15),0),15-13*ORÇAMENTO!$AF$11)),0)</f>
        <v>0</v>
      </c>
      <c r="AH600" s="545">
        <f ca="1">IF(AND($D600="Serviço",AH$12&lt;&gt;0,$H600&gt;0,OR(AUTOEVENTO&lt;&gt;"manual",$M600&lt;&gt;1)),
IF(Import.TipoArredondamento&lt;&gt;"TransfereGOV",
ROUND(OFFSET($P600,0,AH$13),15-13*ORÇAMENTO!$AF$7)/$H600*OFFSET(ORÇAMENTO!$X$15,ROW(AH600)-ROW(AH$15),0),
ROUND(ROUND(OFFSET($P600,0,AH$13),15-13*ORÇAMENTO!$AF$7)*OFFSET(ORÇAMENTO!$W$15,ROW(AH600)-ROW(AH$15),0),15-13*ORÇAMENTO!$AF$11)),0)</f>
        <v>0</v>
      </c>
      <c r="AI600" s="545">
        <f ca="1">IF(AND($D600="Serviço",AI$12&lt;&gt;0,$H600&gt;0,OR(AUTOEVENTO&lt;&gt;"manual",$M600&lt;&gt;1)),
IF(Import.TipoArredondamento&lt;&gt;"TransfereGOV",
ROUND(OFFSET($P600,0,AI$13),15-13*ORÇAMENTO!$AF$7)/$H600*OFFSET(ORÇAMENTO!$X$15,ROW(AI600)-ROW(AI$15),0),
ROUND(ROUND(OFFSET($P600,0,AI$13),15-13*ORÇAMENTO!$AF$7)*OFFSET(ORÇAMENTO!$W$15,ROW(AI600)-ROW(AI$15),0),15-13*ORÇAMENTO!$AF$11)),0)</f>
        <v>0</v>
      </c>
      <c r="AJ600" s="545">
        <f ca="1">IF(AND($D600="Serviço",AJ$12&lt;&gt;0,$H600&gt;0,OR(AUTOEVENTO&lt;&gt;"manual",$M600&lt;&gt;1)),
IF(Import.TipoArredondamento&lt;&gt;"TransfereGOV",
ROUND(OFFSET($P600,0,AJ$13),15-13*ORÇAMENTO!$AF$7)/$H600*OFFSET(ORÇAMENTO!$X$15,ROW(AJ600)-ROW(AJ$15),0),
ROUND(ROUND(OFFSET($P600,0,AJ$13),15-13*ORÇAMENTO!$AF$7)*OFFSET(ORÇAMENTO!$W$15,ROW(AJ600)-ROW(AJ$15),0),15-13*ORÇAMENTO!$AF$11)),0)</f>
        <v>0</v>
      </c>
      <c r="AK600" s="546">
        <f ca="1">IF(AND($D600="Serviço",AK$12&lt;&gt;0,$H600&gt;0,OR(AUTOEVENTO&lt;&gt;"manual",$M600&lt;&gt;1)),
IF(Import.TipoArredondamento&lt;&gt;"TransfereGOV",
ROUND(OFFSET($P600,0,AK$13),15-13*ORÇAMENTO!$AF$7)/$H600*OFFSET(ORÇAMENTO!$X$15,ROW(AK600)-ROW(AK$15),0),
ROUND(ROUND(OFFSET($P600,0,AK$13),15-13*ORÇAMENTO!$AF$7)*OFFSET(ORÇAMENTO!$W$15,ROW(AK600)-ROW(AK$15),0),15-13*ORÇAMENTO!$AF$11)),0)</f>
        <v>0</v>
      </c>
      <c r="AM600" s="181">
        <f ca="1">IF($D600&lt;&gt;"Serviço",0,IF(AND(AUTOEVENTO="Manual",$M600=1),0,IF(OFFSET(CRONOPLE!$F$14,$M600,AM$13)="",10^12,OFFSET(CRONOPLE!$F$14,$M600,AM$13))))</f>
        <v>1000000000000</v>
      </c>
      <c r="AN600" s="181">
        <f ca="1">IF($D600&lt;&gt;"Serviço",0,IF(AND(AUTOEVENTO="Manual",$M600=1),0,IF(OFFSET(CRONOPLE!$F$14,$M600,AN$13)="",10^12,OFFSET(CRONOPLE!$F$14,$M600,AN$13))))</f>
        <v>1000000000000</v>
      </c>
      <c r="AO600" s="181">
        <f ca="1">IF($D600&lt;&gt;"Serviço",0,IF(AND(AUTOEVENTO="Manual",$M600=1),0,IF(OFFSET(CRONOPLE!$F$14,$M600,AO$13)="",10^12,OFFSET(CRONOPLE!$F$14,$M600,AO$13))))</f>
        <v>1000000000000</v>
      </c>
      <c r="AP600" s="181">
        <f ca="1">IF($D600&lt;&gt;"Serviço",0,IF(AND(AUTOEVENTO="Manual",$M600=1),0,IF(OFFSET(CRONOPLE!$F$14,$M600,AP$13)="",10^12,OFFSET(CRONOPLE!$F$14,$M600,AP$13))))</f>
        <v>1000000000000</v>
      </c>
      <c r="AQ600" s="181">
        <f ca="1">IF($D600&lt;&gt;"Serviço",0,IF(AND(AUTOEVENTO="Manual",$M600=1),0,IF(OFFSET(CRONOPLE!$F$14,$M600,AQ$13)="",10^12,OFFSET(CRONOPLE!$F$14,$M600,AQ$13))))</f>
        <v>1000000000000</v>
      </c>
      <c r="AR600" s="181">
        <f ca="1">IF($D600&lt;&gt;"Serviço",0,IF(AND(AUTOEVENTO="Manual",$M600=1),0,IF(OFFSET(CRONOPLE!$F$14,$M600,AR$13)="",10^12,OFFSET(CRONOPLE!$F$14,$M600,AR$13))))</f>
        <v>1000000000000</v>
      </c>
      <c r="AS600" s="181">
        <f ca="1">IF($D600&lt;&gt;"Serviço",0,IF(AND(AUTOEVENTO="Manual",$M600=1),0,IF(OFFSET(CRONOPLE!$F$14,$M600,AS$13)="",10^12,OFFSET(CRONOPLE!$F$14,$M600,AS$13))))</f>
        <v>1000000000000</v>
      </c>
      <c r="AT600" s="181">
        <f ca="1">IF($D600&lt;&gt;"Serviço",0,IF(AND(AUTOEVENTO="Manual",$M600=1),0,IF(OFFSET(CRONOPLE!$F$14,$M600,AT$13)="",10^12,OFFSET(CRONOPLE!$F$14,$M600,AT$13))))</f>
        <v>1000000000000</v>
      </c>
      <c r="AU600" s="181">
        <f ca="1">IF($D600&lt;&gt;"Serviço",0,IF(AND(AUTOEVENTO="Manual",$M600=1),0,IF(OFFSET(CRONOPLE!$F$14,$M600,AU$13)="",10^12,OFFSET(CRONOPLE!$F$14,$M600,AU$13))))</f>
        <v>1000000000000</v>
      </c>
      <c r="AV600" s="181">
        <f ca="1">IF($D600&lt;&gt;"Serviço",0,IF(AND(AUTOEVENTO="Manual",$M600=1),0,IF(OFFSET(CRONOPLE!$F$14,$M600,AV$13)="",10^12,OFFSET(CRONOPLE!$F$14,$M600,AV$13))))</f>
        <v>1000000000000</v>
      </c>
      <c r="AX600" s="182">
        <f ca="1">IF($D600&lt;&gt;"Serviço",0,IF(OR(AND(AUTOEVENTO="Manual",$M600=1),$M600&gt;(ROW(PLE.lastrow)-ROW(PLE.firstrow))),0,IF(OFFSET(PLE!$G$14,$M600,AX$13)="",10^12,OFFSET(PLE!$G$14,$M600,AX$13))))</f>
        <v>1000000000000</v>
      </c>
      <c r="AY600" s="182">
        <f ca="1">IF($D600&lt;&gt;"Serviço",0,IF(OR(AND(AUTOEVENTO="Manual",$M600=1),$M600&gt;(ROW(PLE.lastrow)-ROW(PLE.firstrow))),0,IF(OFFSET(PLE!$G$14,$M600,AY$13)="",10^12,OFFSET(PLE!$G$14,$M600,AY$13))))</f>
        <v>1000000000000</v>
      </c>
      <c r="AZ600" s="182">
        <f ca="1">IF($D600&lt;&gt;"Serviço",0,IF(OR(AND(AUTOEVENTO="Manual",$M600=1),$M600&gt;(ROW(PLE.lastrow)-ROW(PLE.firstrow))),0,IF(OFFSET(PLE!$G$14,$M600,AZ$13)="",10^12,OFFSET(PLE!$G$14,$M600,AZ$13))))</f>
        <v>1000000000000</v>
      </c>
      <c r="BA600" s="182">
        <f ca="1">IF($D600&lt;&gt;"Serviço",0,IF(OR(AND(AUTOEVENTO="Manual",$M600=1),$M600&gt;(ROW(PLE.lastrow)-ROW(PLE.firstrow))),0,IF(OFFSET(PLE!$G$14,$M600,BA$13)="",10^12,OFFSET(PLE!$G$14,$M600,BA$13))))</f>
        <v>1000000000000</v>
      </c>
      <c r="BB600" s="182">
        <f ca="1">IF($D600&lt;&gt;"Serviço",0,IF(OR(AND(AUTOEVENTO="Manual",$M600=1),$M600&gt;(ROW(PLE.lastrow)-ROW(PLE.firstrow))),0,IF(OFFSET(PLE!$G$14,$M600,BB$13)="",10^12,OFFSET(PLE!$G$14,$M600,BB$13))))</f>
        <v>1000000000000</v>
      </c>
      <c r="BC600" s="182">
        <f ca="1">IF($D600&lt;&gt;"Serviço",0,IF(OR(AND(AUTOEVENTO="Manual",$M600=1),$M600&gt;(ROW(PLE.lastrow)-ROW(PLE.firstrow))),0,IF(OFFSET(PLE!$G$14,$M600,BC$13)="",10^12,OFFSET(PLE!$G$14,$M600,BC$13))))</f>
        <v>1000000000000</v>
      </c>
      <c r="BD600" s="182">
        <f ca="1">IF($D600&lt;&gt;"Serviço",0,IF(OR(AND(AUTOEVENTO="Manual",$M600=1),$M600&gt;(ROW(PLE.lastrow)-ROW(PLE.firstrow))),0,IF(OFFSET(PLE!$G$14,$M600,BD$13)="",10^12,OFFSET(PLE!$G$14,$M600,BD$13))))</f>
        <v>1000000000000</v>
      </c>
      <c r="BE600" s="182">
        <f ca="1">IF($D600&lt;&gt;"Serviço",0,IF(OR(AND(AUTOEVENTO="Manual",$M600=1),$M600&gt;(ROW(PLE.lastrow)-ROW(PLE.firstrow))),0,IF(OFFSET(PLE!$G$14,$M600,BE$13)="",10^12,OFFSET(PLE!$G$14,$M600,BE$13))))</f>
        <v>1000000000000</v>
      </c>
      <c r="BF600" s="182">
        <f ca="1">IF($D600&lt;&gt;"Serviço",0,IF(OR(AND(AUTOEVENTO="Manual",$M600=1),$M600&gt;(ROW(PLE.lastrow)-ROW(PLE.firstrow))),0,IF(OFFSET(PLE!$G$14,$M600,BF$13)="",10^12,OFFSET(PLE!$G$14,$M600,BF$13))))</f>
        <v>1000000000000</v>
      </c>
      <c r="BG600" s="182">
        <f ca="1">IF($D600&lt;&gt;"Serviço",0,IF(OR(AND(AUTOEVENTO="Manual",$M600=1),$M600&gt;(ROW(PLE.lastrow)-ROW(PLE.firstrow))),0,IF(OFFSET(PLE!$G$14,$M600,BG$13)="",10^12,OFFSET(PLE!$G$14,$M600,BG$13))))</f>
        <v>1000000000000</v>
      </c>
    </row>
    <row r="601" spans="1:59" ht="25.5" x14ac:dyDescent="0.2">
      <c r="A601" s="7" t="str">
        <f t="shared" ca="1" si="16"/>
        <v>472</v>
      </c>
      <c r="B601" s="7" t="str">
        <f ca="1">OFFSET(ORÇAMENTO!C$15,ROW(B601)-ROW(B$15),0)</f>
        <v>S</v>
      </c>
      <c r="C601" s="7" t="str">
        <f ca="1">OFFSET(ORÇAMENTO!L$15,ROW(C601)-ROW(C$15),0)</f>
        <v/>
      </c>
      <c r="D601" s="118" t="str">
        <f ca="1">OFFSET(ORÇAMENTO!N$15,ROW(D601)-ROW(D$15),0)</f>
        <v>Serviço</v>
      </c>
      <c r="E601" s="119" t="str">
        <f ca="1">OFFSET(ORÇAMENTO!O$15,ROW(E601)-ROW(E$15),0)</f>
        <v>-</v>
      </c>
      <c r="F601" s="172" t="str">
        <f ca="1">OFFSET(ORÇAMENTO!R$15,ROW(F601)-ROW(F$15),0)</f>
        <v>(abra o arquivo 'Referência 02-2025.xlsm)</v>
      </c>
      <c r="G601" s="173" t="str">
        <f ca="1">IF($D601&lt;&gt;"Serviço","",OFFSET(ORÇAMENTO!S$15,ROW(G601)-ROW(G$15),0))</f>
        <v>-</v>
      </c>
      <c r="H601" s="124">
        <f ca="1">IF($D601&lt;&gt;"Serviço",0,IF(ACOMPANHAMENTO="BM",ROUND(OFFSET(ORÇAMENTO!AJ$15,ROW(H601)-ROW(H$15),0),15-13*ORÇAMENTO!$AF$7),SUMPRODUCT(($Q$12:$AA$12&lt;&gt;"")*ROUND($Q601:$AA601,15-13*ORÇAMENTO!$AF$7))))</f>
        <v>6</v>
      </c>
      <c r="I601" s="561" t="s">
        <v>890</v>
      </c>
      <c r="K601" s="174"/>
      <c r="L601" s="175" t="s">
        <v>255</v>
      </c>
      <c r="M601" s="176">
        <f ca="1">IF($D601&lt;&gt;"Serviço","",IF(AUTOEVENTO="manual",$A601,IF(ISERROR(MATCH($A601,$A$15:OFFSET($A601,-1,0),0)),MAX($M$15:OFFSET(M601,-1,0))+1,INDEX($M$15:OFFSET(M601,-1,0),MATCH($A601,$A$15:OFFSET($A601,-1,0),0)))))</f>
        <v>18</v>
      </c>
      <c r="N601" s="177" t="str">
        <f ca="1">IF($D601&lt;&gt;"Serviço","",IF(AUTOEVENTO="Manual",IF($A601=0,"&lt;-- defina o número do agrupador",OFFSET(EVENTOS!$D$14,$A601,0)),OFFSET($F$15,$A601,0)))</f>
        <v>INSTALAÇÕES ELÉTRICAS - 220V</v>
      </c>
      <c r="O601" s="178"/>
      <c r="Q601" s="178"/>
      <c r="R601" s="179"/>
      <c r="S601" s="179"/>
      <c r="T601" s="179"/>
      <c r="U601" s="179"/>
      <c r="V601" s="179"/>
      <c r="W601" s="179"/>
      <c r="X601" s="179"/>
      <c r="Y601" s="179"/>
      <c r="Z601" s="180"/>
      <c r="AB601" s="544">
        <f ca="1">IF(AND($D601="Serviço",AB$12&lt;&gt;0,$H601&gt;0,OR(AUTOEVENTO&lt;&gt;"manual",$M601&lt;&gt;1)),
IF(Import.TipoArredondamento&lt;&gt;"TransfereGOV",
ROUND(OFFSET($P601,0,AB$13),15-13*ORÇAMENTO!$AF$7)/$H601*OFFSET(ORÇAMENTO!$X$15,ROW(AB601)-ROW(AB$15),0),
ROUND(ROUND(OFFSET($P601,0,AB$13),15-13*ORÇAMENTO!$AF$7)*OFFSET(ORÇAMENTO!$W$15,ROW(AB601)-ROW(AB$15),0),15-13*ORÇAMENTO!$AF$11)),0)</f>
        <v>0</v>
      </c>
      <c r="AC601" s="545">
        <f ca="1">IF(AND($D601="Serviço",AC$12&lt;&gt;0,$H601&gt;0,OR(AUTOEVENTO&lt;&gt;"manual",$M601&lt;&gt;1)),
IF(Import.TipoArredondamento&lt;&gt;"TransfereGOV",
ROUND(OFFSET($P601,0,AC$13),15-13*ORÇAMENTO!$AF$7)/$H601*OFFSET(ORÇAMENTO!$X$15,ROW(AC601)-ROW(AC$15),0),
ROUND(ROUND(OFFSET($P601,0,AC$13),15-13*ORÇAMENTO!$AF$7)*OFFSET(ORÇAMENTO!$W$15,ROW(AC601)-ROW(AC$15),0),15-13*ORÇAMENTO!$AF$11)),0)</f>
        <v>0</v>
      </c>
      <c r="AD601" s="545">
        <f ca="1">IF(AND($D601="Serviço",AD$12&lt;&gt;0,$H601&gt;0,OR(AUTOEVENTO&lt;&gt;"manual",$M601&lt;&gt;1)),
IF(Import.TipoArredondamento&lt;&gt;"TransfereGOV",
ROUND(OFFSET($P601,0,AD$13),15-13*ORÇAMENTO!$AF$7)/$H601*OFFSET(ORÇAMENTO!$X$15,ROW(AD601)-ROW(AD$15),0),
ROUND(ROUND(OFFSET($P601,0,AD$13),15-13*ORÇAMENTO!$AF$7)*OFFSET(ORÇAMENTO!$W$15,ROW(AD601)-ROW(AD$15),0),15-13*ORÇAMENTO!$AF$11)),0)</f>
        <v>0</v>
      </c>
      <c r="AE601" s="545">
        <f ca="1">IF(AND($D601="Serviço",AE$12&lt;&gt;0,$H601&gt;0,OR(AUTOEVENTO&lt;&gt;"manual",$M601&lt;&gt;1)),
IF(Import.TipoArredondamento&lt;&gt;"TransfereGOV",
ROUND(OFFSET($P601,0,AE$13),15-13*ORÇAMENTO!$AF$7)/$H601*OFFSET(ORÇAMENTO!$X$15,ROW(AE601)-ROW(AE$15),0),
ROUND(ROUND(OFFSET($P601,0,AE$13),15-13*ORÇAMENTO!$AF$7)*OFFSET(ORÇAMENTO!$W$15,ROW(AE601)-ROW(AE$15),0),15-13*ORÇAMENTO!$AF$11)),0)</f>
        <v>0</v>
      </c>
      <c r="AF601" s="545">
        <f ca="1">IF(AND($D601="Serviço",AF$12&lt;&gt;0,$H601&gt;0,OR(AUTOEVENTO&lt;&gt;"manual",$M601&lt;&gt;1)),
IF(Import.TipoArredondamento&lt;&gt;"TransfereGOV",
ROUND(OFFSET($P601,0,AF$13),15-13*ORÇAMENTO!$AF$7)/$H601*OFFSET(ORÇAMENTO!$X$15,ROW(AF601)-ROW(AF$15),0),
ROUND(ROUND(OFFSET($P601,0,AF$13),15-13*ORÇAMENTO!$AF$7)*OFFSET(ORÇAMENTO!$W$15,ROW(AF601)-ROW(AF$15),0),15-13*ORÇAMENTO!$AF$11)),0)</f>
        <v>0</v>
      </c>
      <c r="AG601" s="545">
        <f ca="1">IF(AND($D601="Serviço",AG$12&lt;&gt;0,$H601&gt;0,OR(AUTOEVENTO&lt;&gt;"manual",$M601&lt;&gt;1)),
IF(Import.TipoArredondamento&lt;&gt;"TransfereGOV",
ROUND(OFFSET($P601,0,AG$13),15-13*ORÇAMENTO!$AF$7)/$H601*OFFSET(ORÇAMENTO!$X$15,ROW(AG601)-ROW(AG$15),0),
ROUND(ROUND(OFFSET($P601,0,AG$13),15-13*ORÇAMENTO!$AF$7)*OFFSET(ORÇAMENTO!$W$15,ROW(AG601)-ROW(AG$15),0),15-13*ORÇAMENTO!$AF$11)),0)</f>
        <v>0</v>
      </c>
      <c r="AH601" s="545">
        <f ca="1">IF(AND($D601="Serviço",AH$12&lt;&gt;0,$H601&gt;0,OR(AUTOEVENTO&lt;&gt;"manual",$M601&lt;&gt;1)),
IF(Import.TipoArredondamento&lt;&gt;"TransfereGOV",
ROUND(OFFSET($P601,0,AH$13),15-13*ORÇAMENTO!$AF$7)/$H601*OFFSET(ORÇAMENTO!$X$15,ROW(AH601)-ROW(AH$15),0),
ROUND(ROUND(OFFSET($P601,0,AH$13),15-13*ORÇAMENTO!$AF$7)*OFFSET(ORÇAMENTO!$W$15,ROW(AH601)-ROW(AH$15),0),15-13*ORÇAMENTO!$AF$11)),0)</f>
        <v>0</v>
      </c>
      <c r="AI601" s="545">
        <f ca="1">IF(AND($D601="Serviço",AI$12&lt;&gt;0,$H601&gt;0,OR(AUTOEVENTO&lt;&gt;"manual",$M601&lt;&gt;1)),
IF(Import.TipoArredondamento&lt;&gt;"TransfereGOV",
ROUND(OFFSET($P601,0,AI$13),15-13*ORÇAMENTO!$AF$7)/$H601*OFFSET(ORÇAMENTO!$X$15,ROW(AI601)-ROW(AI$15),0),
ROUND(ROUND(OFFSET($P601,0,AI$13),15-13*ORÇAMENTO!$AF$7)*OFFSET(ORÇAMENTO!$W$15,ROW(AI601)-ROW(AI$15),0),15-13*ORÇAMENTO!$AF$11)),0)</f>
        <v>0</v>
      </c>
      <c r="AJ601" s="545">
        <f ca="1">IF(AND($D601="Serviço",AJ$12&lt;&gt;0,$H601&gt;0,OR(AUTOEVENTO&lt;&gt;"manual",$M601&lt;&gt;1)),
IF(Import.TipoArredondamento&lt;&gt;"TransfereGOV",
ROUND(OFFSET($P601,0,AJ$13),15-13*ORÇAMENTO!$AF$7)/$H601*OFFSET(ORÇAMENTO!$X$15,ROW(AJ601)-ROW(AJ$15),0),
ROUND(ROUND(OFFSET($P601,0,AJ$13),15-13*ORÇAMENTO!$AF$7)*OFFSET(ORÇAMENTO!$W$15,ROW(AJ601)-ROW(AJ$15),0),15-13*ORÇAMENTO!$AF$11)),0)</f>
        <v>0</v>
      </c>
      <c r="AK601" s="546">
        <f ca="1">IF(AND($D601="Serviço",AK$12&lt;&gt;0,$H601&gt;0,OR(AUTOEVENTO&lt;&gt;"manual",$M601&lt;&gt;1)),
IF(Import.TipoArredondamento&lt;&gt;"TransfereGOV",
ROUND(OFFSET($P601,0,AK$13),15-13*ORÇAMENTO!$AF$7)/$H601*OFFSET(ORÇAMENTO!$X$15,ROW(AK601)-ROW(AK$15),0),
ROUND(ROUND(OFFSET($P601,0,AK$13),15-13*ORÇAMENTO!$AF$7)*OFFSET(ORÇAMENTO!$W$15,ROW(AK601)-ROW(AK$15),0),15-13*ORÇAMENTO!$AF$11)),0)</f>
        <v>0</v>
      </c>
      <c r="AM601" s="181">
        <f ca="1">IF($D601&lt;&gt;"Serviço",0,IF(AND(AUTOEVENTO="Manual",$M601=1),0,IF(OFFSET(CRONOPLE!$F$14,$M601,AM$13)="",10^12,OFFSET(CRONOPLE!$F$14,$M601,AM$13))))</f>
        <v>1000000000000</v>
      </c>
      <c r="AN601" s="181">
        <f ca="1">IF($D601&lt;&gt;"Serviço",0,IF(AND(AUTOEVENTO="Manual",$M601=1),0,IF(OFFSET(CRONOPLE!$F$14,$M601,AN$13)="",10^12,OFFSET(CRONOPLE!$F$14,$M601,AN$13))))</f>
        <v>1000000000000</v>
      </c>
      <c r="AO601" s="181">
        <f ca="1">IF($D601&lt;&gt;"Serviço",0,IF(AND(AUTOEVENTO="Manual",$M601=1),0,IF(OFFSET(CRONOPLE!$F$14,$M601,AO$13)="",10^12,OFFSET(CRONOPLE!$F$14,$M601,AO$13))))</f>
        <v>1000000000000</v>
      </c>
      <c r="AP601" s="181">
        <f ca="1">IF($D601&lt;&gt;"Serviço",0,IF(AND(AUTOEVENTO="Manual",$M601=1),0,IF(OFFSET(CRONOPLE!$F$14,$M601,AP$13)="",10^12,OFFSET(CRONOPLE!$F$14,$M601,AP$13))))</f>
        <v>1000000000000</v>
      </c>
      <c r="AQ601" s="181">
        <f ca="1">IF($D601&lt;&gt;"Serviço",0,IF(AND(AUTOEVENTO="Manual",$M601=1),0,IF(OFFSET(CRONOPLE!$F$14,$M601,AQ$13)="",10^12,OFFSET(CRONOPLE!$F$14,$M601,AQ$13))))</f>
        <v>1000000000000</v>
      </c>
      <c r="AR601" s="181">
        <f ca="1">IF($D601&lt;&gt;"Serviço",0,IF(AND(AUTOEVENTO="Manual",$M601=1),0,IF(OFFSET(CRONOPLE!$F$14,$M601,AR$13)="",10^12,OFFSET(CRONOPLE!$F$14,$M601,AR$13))))</f>
        <v>1000000000000</v>
      </c>
      <c r="AS601" s="181">
        <f ca="1">IF($D601&lt;&gt;"Serviço",0,IF(AND(AUTOEVENTO="Manual",$M601=1),0,IF(OFFSET(CRONOPLE!$F$14,$M601,AS$13)="",10^12,OFFSET(CRONOPLE!$F$14,$M601,AS$13))))</f>
        <v>1000000000000</v>
      </c>
      <c r="AT601" s="181">
        <f ca="1">IF($D601&lt;&gt;"Serviço",0,IF(AND(AUTOEVENTO="Manual",$M601=1),0,IF(OFFSET(CRONOPLE!$F$14,$M601,AT$13)="",10^12,OFFSET(CRONOPLE!$F$14,$M601,AT$13))))</f>
        <v>1000000000000</v>
      </c>
      <c r="AU601" s="181">
        <f ca="1">IF($D601&lt;&gt;"Serviço",0,IF(AND(AUTOEVENTO="Manual",$M601=1),0,IF(OFFSET(CRONOPLE!$F$14,$M601,AU$13)="",10^12,OFFSET(CRONOPLE!$F$14,$M601,AU$13))))</f>
        <v>1000000000000</v>
      </c>
      <c r="AV601" s="181">
        <f ca="1">IF($D601&lt;&gt;"Serviço",0,IF(AND(AUTOEVENTO="Manual",$M601=1),0,IF(OFFSET(CRONOPLE!$F$14,$M601,AV$13)="",10^12,OFFSET(CRONOPLE!$F$14,$M601,AV$13))))</f>
        <v>1000000000000</v>
      </c>
      <c r="AX601" s="182">
        <f ca="1">IF($D601&lt;&gt;"Serviço",0,IF(OR(AND(AUTOEVENTO="Manual",$M601=1),$M601&gt;(ROW(PLE.lastrow)-ROW(PLE.firstrow))),0,IF(OFFSET(PLE!$G$14,$M601,AX$13)="",10^12,OFFSET(PLE!$G$14,$M601,AX$13))))</f>
        <v>1000000000000</v>
      </c>
      <c r="AY601" s="182">
        <f ca="1">IF($D601&lt;&gt;"Serviço",0,IF(OR(AND(AUTOEVENTO="Manual",$M601=1),$M601&gt;(ROW(PLE.lastrow)-ROW(PLE.firstrow))),0,IF(OFFSET(PLE!$G$14,$M601,AY$13)="",10^12,OFFSET(PLE!$G$14,$M601,AY$13))))</f>
        <v>1000000000000</v>
      </c>
      <c r="AZ601" s="182">
        <f ca="1">IF($D601&lt;&gt;"Serviço",0,IF(OR(AND(AUTOEVENTO="Manual",$M601=1),$M601&gt;(ROW(PLE.lastrow)-ROW(PLE.firstrow))),0,IF(OFFSET(PLE!$G$14,$M601,AZ$13)="",10^12,OFFSET(PLE!$G$14,$M601,AZ$13))))</f>
        <v>1000000000000</v>
      </c>
      <c r="BA601" s="182">
        <f ca="1">IF($D601&lt;&gt;"Serviço",0,IF(OR(AND(AUTOEVENTO="Manual",$M601=1),$M601&gt;(ROW(PLE.lastrow)-ROW(PLE.firstrow))),0,IF(OFFSET(PLE!$G$14,$M601,BA$13)="",10^12,OFFSET(PLE!$G$14,$M601,BA$13))))</f>
        <v>1000000000000</v>
      </c>
      <c r="BB601" s="182">
        <f ca="1">IF($D601&lt;&gt;"Serviço",0,IF(OR(AND(AUTOEVENTO="Manual",$M601=1),$M601&gt;(ROW(PLE.lastrow)-ROW(PLE.firstrow))),0,IF(OFFSET(PLE!$G$14,$M601,BB$13)="",10^12,OFFSET(PLE!$G$14,$M601,BB$13))))</f>
        <v>1000000000000</v>
      </c>
      <c r="BC601" s="182">
        <f ca="1">IF($D601&lt;&gt;"Serviço",0,IF(OR(AND(AUTOEVENTO="Manual",$M601=1),$M601&gt;(ROW(PLE.lastrow)-ROW(PLE.firstrow))),0,IF(OFFSET(PLE!$G$14,$M601,BC$13)="",10^12,OFFSET(PLE!$G$14,$M601,BC$13))))</f>
        <v>1000000000000</v>
      </c>
      <c r="BD601" s="182">
        <f ca="1">IF($D601&lt;&gt;"Serviço",0,IF(OR(AND(AUTOEVENTO="Manual",$M601=1),$M601&gt;(ROW(PLE.lastrow)-ROW(PLE.firstrow))),0,IF(OFFSET(PLE!$G$14,$M601,BD$13)="",10^12,OFFSET(PLE!$G$14,$M601,BD$13))))</f>
        <v>1000000000000</v>
      </c>
      <c r="BE601" s="182">
        <f ca="1">IF($D601&lt;&gt;"Serviço",0,IF(OR(AND(AUTOEVENTO="Manual",$M601=1),$M601&gt;(ROW(PLE.lastrow)-ROW(PLE.firstrow))),0,IF(OFFSET(PLE!$G$14,$M601,BE$13)="",10^12,OFFSET(PLE!$G$14,$M601,BE$13))))</f>
        <v>1000000000000</v>
      </c>
      <c r="BF601" s="182">
        <f ca="1">IF($D601&lt;&gt;"Serviço",0,IF(OR(AND(AUTOEVENTO="Manual",$M601=1),$M601&gt;(ROW(PLE.lastrow)-ROW(PLE.firstrow))),0,IF(OFFSET(PLE!$G$14,$M601,BF$13)="",10^12,OFFSET(PLE!$G$14,$M601,BF$13))))</f>
        <v>1000000000000</v>
      </c>
      <c r="BG601" s="182">
        <f ca="1">IF($D601&lt;&gt;"Serviço",0,IF(OR(AND(AUTOEVENTO="Manual",$M601=1),$M601&gt;(ROW(PLE.lastrow)-ROW(PLE.firstrow))),0,IF(OFFSET(PLE!$G$14,$M601,BG$13)="",10^12,OFFSET(PLE!$G$14,$M601,BG$13))))</f>
        <v>1000000000000</v>
      </c>
    </row>
    <row r="602" spans="1:59" ht="25.5" x14ac:dyDescent="0.2">
      <c r="A602" s="7" t="str">
        <f t="shared" ca="1" si="16"/>
        <v>472</v>
      </c>
      <c r="B602" s="7" t="str">
        <f ca="1">OFFSET(ORÇAMENTO!C$15,ROW(B602)-ROW(B$15),0)</f>
        <v>S</v>
      </c>
      <c r="C602" s="7" t="str">
        <f ca="1">OFFSET(ORÇAMENTO!L$15,ROW(C602)-ROW(C$15),0)</f>
        <v/>
      </c>
      <c r="D602" s="118" t="str">
        <f ca="1">OFFSET(ORÇAMENTO!N$15,ROW(D602)-ROW(D$15),0)</f>
        <v>Serviço</v>
      </c>
      <c r="E602" s="119" t="str">
        <f ca="1">OFFSET(ORÇAMENTO!O$15,ROW(E602)-ROW(E$15),0)</f>
        <v>-</v>
      </c>
      <c r="F602" s="172" t="str">
        <f ca="1">OFFSET(ORÇAMENTO!R$15,ROW(F602)-ROW(F$15),0)</f>
        <v>(abra o arquivo 'Referência 02-2025.xlsm)</v>
      </c>
      <c r="G602" s="173" t="str">
        <f ca="1">IF($D602&lt;&gt;"Serviço","",OFFSET(ORÇAMENTO!S$15,ROW(G602)-ROW(G$15),0))</f>
        <v>-</v>
      </c>
      <c r="H602" s="124">
        <f ca="1">IF($D602&lt;&gt;"Serviço",0,IF(ACOMPANHAMENTO="BM",ROUND(OFFSET(ORÇAMENTO!AJ$15,ROW(H602)-ROW(H$15),0),15-13*ORÇAMENTO!$AF$7),SUMPRODUCT(($Q$12:$AA$12&lt;&gt;"")*ROUND($Q602:$AA602,15-13*ORÇAMENTO!$AF$7))))</f>
        <v>5</v>
      </c>
      <c r="I602" s="561" t="s">
        <v>890</v>
      </c>
      <c r="K602" s="174"/>
      <c r="L602" s="175" t="s">
        <v>255</v>
      </c>
      <c r="M602" s="176">
        <f ca="1">IF($D602&lt;&gt;"Serviço","",IF(AUTOEVENTO="manual",$A602,IF(ISERROR(MATCH($A602,$A$15:OFFSET($A602,-1,0),0)),MAX($M$15:OFFSET(M602,-1,0))+1,INDEX($M$15:OFFSET(M602,-1,0),MATCH($A602,$A$15:OFFSET($A602,-1,0),0)))))</f>
        <v>18</v>
      </c>
      <c r="N602" s="177" t="str">
        <f ca="1">IF($D602&lt;&gt;"Serviço","",IF(AUTOEVENTO="Manual",IF($A602=0,"&lt;-- defina o número do agrupador",OFFSET(EVENTOS!$D$14,$A602,0)),OFFSET($F$15,$A602,0)))</f>
        <v>INSTALAÇÕES ELÉTRICAS - 220V</v>
      </c>
      <c r="O602" s="178"/>
      <c r="Q602" s="178"/>
      <c r="R602" s="179"/>
      <c r="S602" s="179"/>
      <c r="T602" s="179"/>
      <c r="U602" s="179"/>
      <c r="V602" s="179"/>
      <c r="W602" s="179"/>
      <c r="X602" s="179"/>
      <c r="Y602" s="179"/>
      <c r="Z602" s="180"/>
      <c r="AB602" s="544">
        <f ca="1">IF(AND($D602="Serviço",AB$12&lt;&gt;0,$H602&gt;0,OR(AUTOEVENTO&lt;&gt;"manual",$M602&lt;&gt;1)),
IF(Import.TipoArredondamento&lt;&gt;"TransfereGOV",
ROUND(OFFSET($P602,0,AB$13),15-13*ORÇAMENTO!$AF$7)/$H602*OFFSET(ORÇAMENTO!$X$15,ROW(AB602)-ROW(AB$15),0),
ROUND(ROUND(OFFSET($P602,0,AB$13),15-13*ORÇAMENTO!$AF$7)*OFFSET(ORÇAMENTO!$W$15,ROW(AB602)-ROW(AB$15),0),15-13*ORÇAMENTO!$AF$11)),0)</f>
        <v>0</v>
      </c>
      <c r="AC602" s="545">
        <f ca="1">IF(AND($D602="Serviço",AC$12&lt;&gt;0,$H602&gt;0,OR(AUTOEVENTO&lt;&gt;"manual",$M602&lt;&gt;1)),
IF(Import.TipoArredondamento&lt;&gt;"TransfereGOV",
ROUND(OFFSET($P602,0,AC$13),15-13*ORÇAMENTO!$AF$7)/$H602*OFFSET(ORÇAMENTO!$X$15,ROW(AC602)-ROW(AC$15),0),
ROUND(ROUND(OFFSET($P602,0,AC$13),15-13*ORÇAMENTO!$AF$7)*OFFSET(ORÇAMENTO!$W$15,ROW(AC602)-ROW(AC$15),0),15-13*ORÇAMENTO!$AF$11)),0)</f>
        <v>0</v>
      </c>
      <c r="AD602" s="545">
        <f ca="1">IF(AND($D602="Serviço",AD$12&lt;&gt;0,$H602&gt;0,OR(AUTOEVENTO&lt;&gt;"manual",$M602&lt;&gt;1)),
IF(Import.TipoArredondamento&lt;&gt;"TransfereGOV",
ROUND(OFFSET($P602,0,AD$13),15-13*ORÇAMENTO!$AF$7)/$H602*OFFSET(ORÇAMENTO!$X$15,ROW(AD602)-ROW(AD$15),0),
ROUND(ROUND(OFFSET($P602,0,AD$13),15-13*ORÇAMENTO!$AF$7)*OFFSET(ORÇAMENTO!$W$15,ROW(AD602)-ROW(AD$15),0),15-13*ORÇAMENTO!$AF$11)),0)</f>
        <v>0</v>
      </c>
      <c r="AE602" s="545">
        <f ca="1">IF(AND($D602="Serviço",AE$12&lt;&gt;0,$H602&gt;0,OR(AUTOEVENTO&lt;&gt;"manual",$M602&lt;&gt;1)),
IF(Import.TipoArredondamento&lt;&gt;"TransfereGOV",
ROUND(OFFSET($P602,0,AE$13),15-13*ORÇAMENTO!$AF$7)/$H602*OFFSET(ORÇAMENTO!$X$15,ROW(AE602)-ROW(AE$15),0),
ROUND(ROUND(OFFSET($P602,0,AE$13),15-13*ORÇAMENTO!$AF$7)*OFFSET(ORÇAMENTO!$W$15,ROW(AE602)-ROW(AE$15),0),15-13*ORÇAMENTO!$AF$11)),0)</f>
        <v>0</v>
      </c>
      <c r="AF602" s="545">
        <f ca="1">IF(AND($D602="Serviço",AF$12&lt;&gt;0,$H602&gt;0,OR(AUTOEVENTO&lt;&gt;"manual",$M602&lt;&gt;1)),
IF(Import.TipoArredondamento&lt;&gt;"TransfereGOV",
ROUND(OFFSET($P602,0,AF$13),15-13*ORÇAMENTO!$AF$7)/$H602*OFFSET(ORÇAMENTO!$X$15,ROW(AF602)-ROW(AF$15),0),
ROUND(ROUND(OFFSET($P602,0,AF$13),15-13*ORÇAMENTO!$AF$7)*OFFSET(ORÇAMENTO!$W$15,ROW(AF602)-ROW(AF$15),0),15-13*ORÇAMENTO!$AF$11)),0)</f>
        <v>0</v>
      </c>
      <c r="AG602" s="545">
        <f ca="1">IF(AND($D602="Serviço",AG$12&lt;&gt;0,$H602&gt;0,OR(AUTOEVENTO&lt;&gt;"manual",$M602&lt;&gt;1)),
IF(Import.TipoArredondamento&lt;&gt;"TransfereGOV",
ROUND(OFFSET($P602,0,AG$13),15-13*ORÇAMENTO!$AF$7)/$H602*OFFSET(ORÇAMENTO!$X$15,ROW(AG602)-ROW(AG$15),0),
ROUND(ROUND(OFFSET($P602,0,AG$13),15-13*ORÇAMENTO!$AF$7)*OFFSET(ORÇAMENTO!$W$15,ROW(AG602)-ROW(AG$15),0),15-13*ORÇAMENTO!$AF$11)),0)</f>
        <v>0</v>
      </c>
      <c r="AH602" s="545">
        <f ca="1">IF(AND($D602="Serviço",AH$12&lt;&gt;0,$H602&gt;0,OR(AUTOEVENTO&lt;&gt;"manual",$M602&lt;&gt;1)),
IF(Import.TipoArredondamento&lt;&gt;"TransfereGOV",
ROUND(OFFSET($P602,0,AH$13),15-13*ORÇAMENTO!$AF$7)/$H602*OFFSET(ORÇAMENTO!$X$15,ROW(AH602)-ROW(AH$15),0),
ROUND(ROUND(OFFSET($P602,0,AH$13),15-13*ORÇAMENTO!$AF$7)*OFFSET(ORÇAMENTO!$W$15,ROW(AH602)-ROW(AH$15),0),15-13*ORÇAMENTO!$AF$11)),0)</f>
        <v>0</v>
      </c>
      <c r="AI602" s="545">
        <f ca="1">IF(AND($D602="Serviço",AI$12&lt;&gt;0,$H602&gt;0,OR(AUTOEVENTO&lt;&gt;"manual",$M602&lt;&gt;1)),
IF(Import.TipoArredondamento&lt;&gt;"TransfereGOV",
ROUND(OFFSET($P602,0,AI$13),15-13*ORÇAMENTO!$AF$7)/$H602*OFFSET(ORÇAMENTO!$X$15,ROW(AI602)-ROW(AI$15),0),
ROUND(ROUND(OFFSET($P602,0,AI$13),15-13*ORÇAMENTO!$AF$7)*OFFSET(ORÇAMENTO!$W$15,ROW(AI602)-ROW(AI$15),0),15-13*ORÇAMENTO!$AF$11)),0)</f>
        <v>0</v>
      </c>
      <c r="AJ602" s="545">
        <f ca="1">IF(AND($D602="Serviço",AJ$12&lt;&gt;0,$H602&gt;0,OR(AUTOEVENTO&lt;&gt;"manual",$M602&lt;&gt;1)),
IF(Import.TipoArredondamento&lt;&gt;"TransfereGOV",
ROUND(OFFSET($P602,0,AJ$13),15-13*ORÇAMENTO!$AF$7)/$H602*OFFSET(ORÇAMENTO!$X$15,ROW(AJ602)-ROW(AJ$15),0),
ROUND(ROUND(OFFSET($P602,0,AJ$13),15-13*ORÇAMENTO!$AF$7)*OFFSET(ORÇAMENTO!$W$15,ROW(AJ602)-ROW(AJ$15),0),15-13*ORÇAMENTO!$AF$11)),0)</f>
        <v>0</v>
      </c>
      <c r="AK602" s="546">
        <f ca="1">IF(AND($D602="Serviço",AK$12&lt;&gt;0,$H602&gt;0,OR(AUTOEVENTO&lt;&gt;"manual",$M602&lt;&gt;1)),
IF(Import.TipoArredondamento&lt;&gt;"TransfereGOV",
ROUND(OFFSET($P602,0,AK$13),15-13*ORÇAMENTO!$AF$7)/$H602*OFFSET(ORÇAMENTO!$X$15,ROW(AK602)-ROW(AK$15),0),
ROUND(ROUND(OFFSET($P602,0,AK$13),15-13*ORÇAMENTO!$AF$7)*OFFSET(ORÇAMENTO!$W$15,ROW(AK602)-ROW(AK$15),0),15-13*ORÇAMENTO!$AF$11)),0)</f>
        <v>0</v>
      </c>
      <c r="AM602" s="181">
        <f ca="1">IF($D602&lt;&gt;"Serviço",0,IF(AND(AUTOEVENTO="Manual",$M602=1),0,IF(OFFSET(CRONOPLE!$F$14,$M602,AM$13)="",10^12,OFFSET(CRONOPLE!$F$14,$M602,AM$13))))</f>
        <v>1000000000000</v>
      </c>
      <c r="AN602" s="181">
        <f ca="1">IF($D602&lt;&gt;"Serviço",0,IF(AND(AUTOEVENTO="Manual",$M602=1),0,IF(OFFSET(CRONOPLE!$F$14,$M602,AN$13)="",10^12,OFFSET(CRONOPLE!$F$14,$M602,AN$13))))</f>
        <v>1000000000000</v>
      </c>
      <c r="AO602" s="181">
        <f ca="1">IF($D602&lt;&gt;"Serviço",0,IF(AND(AUTOEVENTO="Manual",$M602=1),0,IF(OFFSET(CRONOPLE!$F$14,$M602,AO$13)="",10^12,OFFSET(CRONOPLE!$F$14,$M602,AO$13))))</f>
        <v>1000000000000</v>
      </c>
      <c r="AP602" s="181">
        <f ca="1">IF($D602&lt;&gt;"Serviço",0,IF(AND(AUTOEVENTO="Manual",$M602=1),0,IF(OFFSET(CRONOPLE!$F$14,$M602,AP$13)="",10^12,OFFSET(CRONOPLE!$F$14,$M602,AP$13))))</f>
        <v>1000000000000</v>
      </c>
      <c r="AQ602" s="181">
        <f ca="1">IF($D602&lt;&gt;"Serviço",0,IF(AND(AUTOEVENTO="Manual",$M602=1),0,IF(OFFSET(CRONOPLE!$F$14,$M602,AQ$13)="",10^12,OFFSET(CRONOPLE!$F$14,$M602,AQ$13))))</f>
        <v>1000000000000</v>
      </c>
      <c r="AR602" s="181">
        <f ca="1">IF($D602&lt;&gt;"Serviço",0,IF(AND(AUTOEVENTO="Manual",$M602=1),0,IF(OFFSET(CRONOPLE!$F$14,$M602,AR$13)="",10^12,OFFSET(CRONOPLE!$F$14,$M602,AR$13))))</f>
        <v>1000000000000</v>
      </c>
      <c r="AS602" s="181">
        <f ca="1">IF($D602&lt;&gt;"Serviço",0,IF(AND(AUTOEVENTO="Manual",$M602=1),0,IF(OFFSET(CRONOPLE!$F$14,$M602,AS$13)="",10^12,OFFSET(CRONOPLE!$F$14,$M602,AS$13))))</f>
        <v>1000000000000</v>
      </c>
      <c r="AT602" s="181">
        <f ca="1">IF($D602&lt;&gt;"Serviço",0,IF(AND(AUTOEVENTO="Manual",$M602=1),0,IF(OFFSET(CRONOPLE!$F$14,$M602,AT$13)="",10^12,OFFSET(CRONOPLE!$F$14,$M602,AT$13))))</f>
        <v>1000000000000</v>
      </c>
      <c r="AU602" s="181">
        <f ca="1">IF($D602&lt;&gt;"Serviço",0,IF(AND(AUTOEVENTO="Manual",$M602=1),0,IF(OFFSET(CRONOPLE!$F$14,$M602,AU$13)="",10^12,OFFSET(CRONOPLE!$F$14,$M602,AU$13))))</f>
        <v>1000000000000</v>
      </c>
      <c r="AV602" s="181">
        <f ca="1">IF($D602&lt;&gt;"Serviço",0,IF(AND(AUTOEVENTO="Manual",$M602=1),0,IF(OFFSET(CRONOPLE!$F$14,$M602,AV$13)="",10^12,OFFSET(CRONOPLE!$F$14,$M602,AV$13))))</f>
        <v>1000000000000</v>
      </c>
      <c r="AX602" s="182">
        <f ca="1">IF($D602&lt;&gt;"Serviço",0,IF(OR(AND(AUTOEVENTO="Manual",$M602=1),$M602&gt;(ROW(PLE.lastrow)-ROW(PLE.firstrow))),0,IF(OFFSET(PLE!$G$14,$M602,AX$13)="",10^12,OFFSET(PLE!$G$14,$M602,AX$13))))</f>
        <v>1000000000000</v>
      </c>
      <c r="AY602" s="182">
        <f ca="1">IF($D602&lt;&gt;"Serviço",0,IF(OR(AND(AUTOEVENTO="Manual",$M602=1),$M602&gt;(ROW(PLE.lastrow)-ROW(PLE.firstrow))),0,IF(OFFSET(PLE!$G$14,$M602,AY$13)="",10^12,OFFSET(PLE!$G$14,$M602,AY$13))))</f>
        <v>1000000000000</v>
      </c>
      <c r="AZ602" s="182">
        <f ca="1">IF($D602&lt;&gt;"Serviço",0,IF(OR(AND(AUTOEVENTO="Manual",$M602=1),$M602&gt;(ROW(PLE.lastrow)-ROW(PLE.firstrow))),0,IF(OFFSET(PLE!$G$14,$M602,AZ$13)="",10^12,OFFSET(PLE!$G$14,$M602,AZ$13))))</f>
        <v>1000000000000</v>
      </c>
      <c r="BA602" s="182">
        <f ca="1">IF($D602&lt;&gt;"Serviço",0,IF(OR(AND(AUTOEVENTO="Manual",$M602=1),$M602&gt;(ROW(PLE.lastrow)-ROW(PLE.firstrow))),0,IF(OFFSET(PLE!$G$14,$M602,BA$13)="",10^12,OFFSET(PLE!$G$14,$M602,BA$13))))</f>
        <v>1000000000000</v>
      </c>
      <c r="BB602" s="182">
        <f ca="1">IF($D602&lt;&gt;"Serviço",0,IF(OR(AND(AUTOEVENTO="Manual",$M602=1),$M602&gt;(ROW(PLE.lastrow)-ROW(PLE.firstrow))),0,IF(OFFSET(PLE!$G$14,$M602,BB$13)="",10^12,OFFSET(PLE!$G$14,$M602,BB$13))))</f>
        <v>1000000000000</v>
      </c>
      <c r="BC602" s="182">
        <f ca="1">IF($D602&lt;&gt;"Serviço",0,IF(OR(AND(AUTOEVENTO="Manual",$M602=1),$M602&gt;(ROW(PLE.lastrow)-ROW(PLE.firstrow))),0,IF(OFFSET(PLE!$G$14,$M602,BC$13)="",10^12,OFFSET(PLE!$G$14,$M602,BC$13))))</f>
        <v>1000000000000</v>
      </c>
      <c r="BD602" s="182">
        <f ca="1">IF($D602&lt;&gt;"Serviço",0,IF(OR(AND(AUTOEVENTO="Manual",$M602=1),$M602&gt;(ROW(PLE.lastrow)-ROW(PLE.firstrow))),0,IF(OFFSET(PLE!$G$14,$M602,BD$13)="",10^12,OFFSET(PLE!$G$14,$M602,BD$13))))</f>
        <v>1000000000000</v>
      </c>
      <c r="BE602" s="182">
        <f ca="1">IF($D602&lt;&gt;"Serviço",0,IF(OR(AND(AUTOEVENTO="Manual",$M602=1),$M602&gt;(ROW(PLE.lastrow)-ROW(PLE.firstrow))),0,IF(OFFSET(PLE!$G$14,$M602,BE$13)="",10^12,OFFSET(PLE!$G$14,$M602,BE$13))))</f>
        <v>1000000000000</v>
      </c>
      <c r="BF602" s="182">
        <f ca="1">IF($D602&lt;&gt;"Serviço",0,IF(OR(AND(AUTOEVENTO="Manual",$M602=1),$M602&gt;(ROW(PLE.lastrow)-ROW(PLE.firstrow))),0,IF(OFFSET(PLE!$G$14,$M602,BF$13)="",10^12,OFFSET(PLE!$G$14,$M602,BF$13))))</f>
        <v>1000000000000</v>
      </c>
      <c r="BG602" s="182">
        <f ca="1">IF($D602&lt;&gt;"Serviço",0,IF(OR(AND(AUTOEVENTO="Manual",$M602=1),$M602&gt;(ROW(PLE.lastrow)-ROW(PLE.firstrow))),0,IF(OFFSET(PLE!$G$14,$M602,BG$13)="",10^12,OFFSET(PLE!$G$14,$M602,BG$13))))</f>
        <v>1000000000000</v>
      </c>
    </row>
    <row r="603" spans="1:59" ht="25.5" x14ac:dyDescent="0.2">
      <c r="A603" s="7" t="str">
        <f t="shared" ca="1" si="16"/>
        <v>472</v>
      </c>
      <c r="B603" s="7" t="str">
        <f ca="1">OFFSET(ORÇAMENTO!C$15,ROW(B603)-ROW(B$15),0)</f>
        <v>S</v>
      </c>
      <c r="C603" s="7" t="str">
        <f ca="1">OFFSET(ORÇAMENTO!L$15,ROW(C603)-ROW(C$15),0)</f>
        <v/>
      </c>
      <c r="D603" s="118" t="str">
        <f ca="1">OFFSET(ORÇAMENTO!N$15,ROW(D603)-ROW(D$15),0)</f>
        <v>Serviço</v>
      </c>
      <c r="E603" s="119" t="str">
        <f ca="1">OFFSET(ORÇAMENTO!O$15,ROW(E603)-ROW(E$15),0)</f>
        <v>-</v>
      </c>
      <c r="F603" s="172" t="str">
        <f ca="1">OFFSET(ORÇAMENTO!R$15,ROW(F603)-ROW(F$15),0)</f>
        <v>(abra o arquivo 'Referência 02-2025.xlsm)</v>
      </c>
      <c r="G603" s="173" t="str">
        <f ca="1">IF($D603&lt;&gt;"Serviço","",OFFSET(ORÇAMENTO!S$15,ROW(G603)-ROW(G$15),0))</f>
        <v>-</v>
      </c>
      <c r="H603" s="124">
        <f ca="1">IF($D603&lt;&gt;"Serviço",0,IF(ACOMPANHAMENTO="BM",ROUND(OFFSET(ORÇAMENTO!AJ$15,ROW(H603)-ROW(H$15),0),15-13*ORÇAMENTO!$AF$7),SUMPRODUCT(($Q$12:$AA$12&lt;&gt;"")*ROUND($Q603:$AA603,15-13*ORÇAMENTO!$AF$7))))</f>
        <v>9</v>
      </c>
      <c r="I603" s="561" t="s">
        <v>890</v>
      </c>
      <c r="K603" s="174"/>
      <c r="L603" s="175" t="s">
        <v>255</v>
      </c>
      <c r="M603" s="176">
        <f ca="1">IF($D603&lt;&gt;"Serviço","",IF(AUTOEVENTO="manual",$A603,IF(ISERROR(MATCH($A603,$A$15:OFFSET($A603,-1,0),0)),MAX($M$15:OFFSET(M603,-1,0))+1,INDEX($M$15:OFFSET(M603,-1,0),MATCH($A603,$A$15:OFFSET($A603,-1,0),0)))))</f>
        <v>18</v>
      </c>
      <c r="N603" s="177" t="str">
        <f ca="1">IF($D603&lt;&gt;"Serviço","",IF(AUTOEVENTO="Manual",IF($A603=0,"&lt;-- defina o número do agrupador",OFFSET(EVENTOS!$D$14,$A603,0)),OFFSET($F$15,$A603,0)))</f>
        <v>INSTALAÇÕES ELÉTRICAS - 220V</v>
      </c>
      <c r="O603" s="178"/>
      <c r="Q603" s="178"/>
      <c r="R603" s="179"/>
      <c r="S603" s="179"/>
      <c r="T603" s="179"/>
      <c r="U603" s="179"/>
      <c r="V603" s="179"/>
      <c r="W603" s="179"/>
      <c r="X603" s="179"/>
      <c r="Y603" s="179"/>
      <c r="Z603" s="180"/>
      <c r="AB603" s="544">
        <f ca="1">IF(AND($D603="Serviço",AB$12&lt;&gt;0,$H603&gt;0,OR(AUTOEVENTO&lt;&gt;"manual",$M603&lt;&gt;1)),
IF(Import.TipoArredondamento&lt;&gt;"TransfereGOV",
ROUND(OFFSET($P603,0,AB$13),15-13*ORÇAMENTO!$AF$7)/$H603*OFFSET(ORÇAMENTO!$X$15,ROW(AB603)-ROW(AB$15),0),
ROUND(ROUND(OFFSET($P603,0,AB$13),15-13*ORÇAMENTO!$AF$7)*OFFSET(ORÇAMENTO!$W$15,ROW(AB603)-ROW(AB$15),0),15-13*ORÇAMENTO!$AF$11)),0)</f>
        <v>0</v>
      </c>
      <c r="AC603" s="545">
        <f ca="1">IF(AND($D603="Serviço",AC$12&lt;&gt;0,$H603&gt;0,OR(AUTOEVENTO&lt;&gt;"manual",$M603&lt;&gt;1)),
IF(Import.TipoArredondamento&lt;&gt;"TransfereGOV",
ROUND(OFFSET($P603,0,AC$13),15-13*ORÇAMENTO!$AF$7)/$H603*OFFSET(ORÇAMENTO!$X$15,ROW(AC603)-ROW(AC$15),0),
ROUND(ROUND(OFFSET($P603,0,AC$13),15-13*ORÇAMENTO!$AF$7)*OFFSET(ORÇAMENTO!$W$15,ROW(AC603)-ROW(AC$15),0),15-13*ORÇAMENTO!$AF$11)),0)</f>
        <v>0</v>
      </c>
      <c r="AD603" s="545">
        <f ca="1">IF(AND($D603="Serviço",AD$12&lt;&gt;0,$H603&gt;0,OR(AUTOEVENTO&lt;&gt;"manual",$M603&lt;&gt;1)),
IF(Import.TipoArredondamento&lt;&gt;"TransfereGOV",
ROUND(OFFSET($P603,0,AD$13),15-13*ORÇAMENTO!$AF$7)/$H603*OFFSET(ORÇAMENTO!$X$15,ROW(AD603)-ROW(AD$15),0),
ROUND(ROUND(OFFSET($P603,0,AD$13),15-13*ORÇAMENTO!$AF$7)*OFFSET(ORÇAMENTO!$W$15,ROW(AD603)-ROW(AD$15),0),15-13*ORÇAMENTO!$AF$11)),0)</f>
        <v>0</v>
      </c>
      <c r="AE603" s="545">
        <f ca="1">IF(AND($D603="Serviço",AE$12&lt;&gt;0,$H603&gt;0,OR(AUTOEVENTO&lt;&gt;"manual",$M603&lt;&gt;1)),
IF(Import.TipoArredondamento&lt;&gt;"TransfereGOV",
ROUND(OFFSET($P603,0,AE$13),15-13*ORÇAMENTO!$AF$7)/$H603*OFFSET(ORÇAMENTO!$X$15,ROW(AE603)-ROW(AE$15),0),
ROUND(ROUND(OFFSET($P603,0,AE$13),15-13*ORÇAMENTO!$AF$7)*OFFSET(ORÇAMENTO!$W$15,ROW(AE603)-ROW(AE$15),0),15-13*ORÇAMENTO!$AF$11)),0)</f>
        <v>0</v>
      </c>
      <c r="AF603" s="545">
        <f ca="1">IF(AND($D603="Serviço",AF$12&lt;&gt;0,$H603&gt;0,OR(AUTOEVENTO&lt;&gt;"manual",$M603&lt;&gt;1)),
IF(Import.TipoArredondamento&lt;&gt;"TransfereGOV",
ROUND(OFFSET($P603,0,AF$13),15-13*ORÇAMENTO!$AF$7)/$H603*OFFSET(ORÇAMENTO!$X$15,ROW(AF603)-ROW(AF$15),0),
ROUND(ROUND(OFFSET($P603,0,AF$13),15-13*ORÇAMENTO!$AF$7)*OFFSET(ORÇAMENTO!$W$15,ROW(AF603)-ROW(AF$15),0),15-13*ORÇAMENTO!$AF$11)),0)</f>
        <v>0</v>
      </c>
      <c r="AG603" s="545">
        <f ca="1">IF(AND($D603="Serviço",AG$12&lt;&gt;0,$H603&gt;0,OR(AUTOEVENTO&lt;&gt;"manual",$M603&lt;&gt;1)),
IF(Import.TipoArredondamento&lt;&gt;"TransfereGOV",
ROUND(OFFSET($P603,0,AG$13),15-13*ORÇAMENTO!$AF$7)/$H603*OFFSET(ORÇAMENTO!$X$15,ROW(AG603)-ROW(AG$15),0),
ROUND(ROUND(OFFSET($P603,0,AG$13),15-13*ORÇAMENTO!$AF$7)*OFFSET(ORÇAMENTO!$W$15,ROW(AG603)-ROW(AG$15),0),15-13*ORÇAMENTO!$AF$11)),0)</f>
        <v>0</v>
      </c>
      <c r="AH603" s="545">
        <f ca="1">IF(AND($D603="Serviço",AH$12&lt;&gt;0,$H603&gt;0,OR(AUTOEVENTO&lt;&gt;"manual",$M603&lt;&gt;1)),
IF(Import.TipoArredondamento&lt;&gt;"TransfereGOV",
ROUND(OFFSET($P603,0,AH$13),15-13*ORÇAMENTO!$AF$7)/$H603*OFFSET(ORÇAMENTO!$X$15,ROW(AH603)-ROW(AH$15),0),
ROUND(ROUND(OFFSET($P603,0,AH$13),15-13*ORÇAMENTO!$AF$7)*OFFSET(ORÇAMENTO!$W$15,ROW(AH603)-ROW(AH$15),0),15-13*ORÇAMENTO!$AF$11)),0)</f>
        <v>0</v>
      </c>
      <c r="AI603" s="545">
        <f ca="1">IF(AND($D603="Serviço",AI$12&lt;&gt;0,$H603&gt;0,OR(AUTOEVENTO&lt;&gt;"manual",$M603&lt;&gt;1)),
IF(Import.TipoArredondamento&lt;&gt;"TransfereGOV",
ROUND(OFFSET($P603,0,AI$13),15-13*ORÇAMENTO!$AF$7)/$H603*OFFSET(ORÇAMENTO!$X$15,ROW(AI603)-ROW(AI$15),0),
ROUND(ROUND(OFFSET($P603,0,AI$13),15-13*ORÇAMENTO!$AF$7)*OFFSET(ORÇAMENTO!$W$15,ROW(AI603)-ROW(AI$15),0),15-13*ORÇAMENTO!$AF$11)),0)</f>
        <v>0</v>
      </c>
      <c r="AJ603" s="545">
        <f ca="1">IF(AND($D603="Serviço",AJ$12&lt;&gt;0,$H603&gt;0,OR(AUTOEVENTO&lt;&gt;"manual",$M603&lt;&gt;1)),
IF(Import.TipoArredondamento&lt;&gt;"TransfereGOV",
ROUND(OFFSET($P603,0,AJ$13),15-13*ORÇAMENTO!$AF$7)/$H603*OFFSET(ORÇAMENTO!$X$15,ROW(AJ603)-ROW(AJ$15),0),
ROUND(ROUND(OFFSET($P603,0,AJ$13),15-13*ORÇAMENTO!$AF$7)*OFFSET(ORÇAMENTO!$W$15,ROW(AJ603)-ROW(AJ$15),0),15-13*ORÇAMENTO!$AF$11)),0)</f>
        <v>0</v>
      </c>
      <c r="AK603" s="546">
        <f ca="1">IF(AND($D603="Serviço",AK$12&lt;&gt;0,$H603&gt;0,OR(AUTOEVENTO&lt;&gt;"manual",$M603&lt;&gt;1)),
IF(Import.TipoArredondamento&lt;&gt;"TransfereGOV",
ROUND(OFFSET($P603,0,AK$13),15-13*ORÇAMENTO!$AF$7)/$H603*OFFSET(ORÇAMENTO!$X$15,ROW(AK603)-ROW(AK$15),0),
ROUND(ROUND(OFFSET($P603,0,AK$13),15-13*ORÇAMENTO!$AF$7)*OFFSET(ORÇAMENTO!$W$15,ROW(AK603)-ROW(AK$15),0),15-13*ORÇAMENTO!$AF$11)),0)</f>
        <v>0</v>
      </c>
      <c r="AM603" s="181">
        <f ca="1">IF($D603&lt;&gt;"Serviço",0,IF(AND(AUTOEVENTO="Manual",$M603=1),0,IF(OFFSET(CRONOPLE!$F$14,$M603,AM$13)="",10^12,OFFSET(CRONOPLE!$F$14,$M603,AM$13))))</f>
        <v>1000000000000</v>
      </c>
      <c r="AN603" s="181">
        <f ca="1">IF($D603&lt;&gt;"Serviço",0,IF(AND(AUTOEVENTO="Manual",$M603=1),0,IF(OFFSET(CRONOPLE!$F$14,$M603,AN$13)="",10^12,OFFSET(CRONOPLE!$F$14,$M603,AN$13))))</f>
        <v>1000000000000</v>
      </c>
      <c r="AO603" s="181">
        <f ca="1">IF($D603&lt;&gt;"Serviço",0,IF(AND(AUTOEVENTO="Manual",$M603=1),0,IF(OFFSET(CRONOPLE!$F$14,$M603,AO$13)="",10^12,OFFSET(CRONOPLE!$F$14,$M603,AO$13))))</f>
        <v>1000000000000</v>
      </c>
      <c r="AP603" s="181">
        <f ca="1">IF($D603&lt;&gt;"Serviço",0,IF(AND(AUTOEVENTO="Manual",$M603=1),0,IF(OFFSET(CRONOPLE!$F$14,$M603,AP$13)="",10^12,OFFSET(CRONOPLE!$F$14,$M603,AP$13))))</f>
        <v>1000000000000</v>
      </c>
      <c r="AQ603" s="181">
        <f ca="1">IF($D603&lt;&gt;"Serviço",0,IF(AND(AUTOEVENTO="Manual",$M603=1),0,IF(OFFSET(CRONOPLE!$F$14,$M603,AQ$13)="",10^12,OFFSET(CRONOPLE!$F$14,$M603,AQ$13))))</f>
        <v>1000000000000</v>
      </c>
      <c r="AR603" s="181">
        <f ca="1">IF($D603&lt;&gt;"Serviço",0,IF(AND(AUTOEVENTO="Manual",$M603=1),0,IF(OFFSET(CRONOPLE!$F$14,$M603,AR$13)="",10^12,OFFSET(CRONOPLE!$F$14,$M603,AR$13))))</f>
        <v>1000000000000</v>
      </c>
      <c r="AS603" s="181">
        <f ca="1">IF($D603&lt;&gt;"Serviço",0,IF(AND(AUTOEVENTO="Manual",$M603=1),0,IF(OFFSET(CRONOPLE!$F$14,$M603,AS$13)="",10^12,OFFSET(CRONOPLE!$F$14,$M603,AS$13))))</f>
        <v>1000000000000</v>
      </c>
      <c r="AT603" s="181">
        <f ca="1">IF($D603&lt;&gt;"Serviço",0,IF(AND(AUTOEVENTO="Manual",$M603=1),0,IF(OFFSET(CRONOPLE!$F$14,$M603,AT$13)="",10^12,OFFSET(CRONOPLE!$F$14,$M603,AT$13))))</f>
        <v>1000000000000</v>
      </c>
      <c r="AU603" s="181">
        <f ca="1">IF($D603&lt;&gt;"Serviço",0,IF(AND(AUTOEVENTO="Manual",$M603=1),0,IF(OFFSET(CRONOPLE!$F$14,$M603,AU$13)="",10^12,OFFSET(CRONOPLE!$F$14,$M603,AU$13))))</f>
        <v>1000000000000</v>
      </c>
      <c r="AV603" s="181">
        <f ca="1">IF($D603&lt;&gt;"Serviço",0,IF(AND(AUTOEVENTO="Manual",$M603=1),0,IF(OFFSET(CRONOPLE!$F$14,$M603,AV$13)="",10^12,OFFSET(CRONOPLE!$F$14,$M603,AV$13))))</f>
        <v>1000000000000</v>
      </c>
      <c r="AX603" s="182">
        <f ca="1">IF($D603&lt;&gt;"Serviço",0,IF(OR(AND(AUTOEVENTO="Manual",$M603=1),$M603&gt;(ROW(PLE.lastrow)-ROW(PLE.firstrow))),0,IF(OFFSET(PLE!$G$14,$M603,AX$13)="",10^12,OFFSET(PLE!$G$14,$M603,AX$13))))</f>
        <v>1000000000000</v>
      </c>
      <c r="AY603" s="182">
        <f ca="1">IF($D603&lt;&gt;"Serviço",0,IF(OR(AND(AUTOEVENTO="Manual",$M603=1),$M603&gt;(ROW(PLE.lastrow)-ROW(PLE.firstrow))),0,IF(OFFSET(PLE!$G$14,$M603,AY$13)="",10^12,OFFSET(PLE!$G$14,$M603,AY$13))))</f>
        <v>1000000000000</v>
      </c>
      <c r="AZ603" s="182">
        <f ca="1">IF($D603&lt;&gt;"Serviço",0,IF(OR(AND(AUTOEVENTO="Manual",$M603=1),$M603&gt;(ROW(PLE.lastrow)-ROW(PLE.firstrow))),0,IF(OFFSET(PLE!$G$14,$M603,AZ$13)="",10^12,OFFSET(PLE!$G$14,$M603,AZ$13))))</f>
        <v>1000000000000</v>
      </c>
      <c r="BA603" s="182">
        <f ca="1">IF($D603&lt;&gt;"Serviço",0,IF(OR(AND(AUTOEVENTO="Manual",$M603=1),$M603&gt;(ROW(PLE.lastrow)-ROW(PLE.firstrow))),0,IF(OFFSET(PLE!$G$14,$M603,BA$13)="",10^12,OFFSET(PLE!$G$14,$M603,BA$13))))</f>
        <v>1000000000000</v>
      </c>
      <c r="BB603" s="182">
        <f ca="1">IF($D603&lt;&gt;"Serviço",0,IF(OR(AND(AUTOEVENTO="Manual",$M603=1),$M603&gt;(ROW(PLE.lastrow)-ROW(PLE.firstrow))),0,IF(OFFSET(PLE!$G$14,$M603,BB$13)="",10^12,OFFSET(PLE!$G$14,$M603,BB$13))))</f>
        <v>1000000000000</v>
      </c>
      <c r="BC603" s="182">
        <f ca="1">IF($D603&lt;&gt;"Serviço",0,IF(OR(AND(AUTOEVENTO="Manual",$M603=1),$M603&gt;(ROW(PLE.lastrow)-ROW(PLE.firstrow))),0,IF(OFFSET(PLE!$G$14,$M603,BC$13)="",10^12,OFFSET(PLE!$G$14,$M603,BC$13))))</f>
        <v>1000000000000</v>
      </c>
      <c r="BD603" s="182">
        <f ca="1">IF($D603&lt;&gt;"Serviço",0,IF(OR(AND(AUTOEVENTO="Manual",$M603=1),$M603&gt;(ROW(PLE.lastrow)-ROW(PLE.firstrow))),0,IF(OFFSET(PLE!$G$14,$M603,BD$13)="",10^12,OFFSET(PLE!$G$14,$M603,BD$13))))</f>
        <v>1000000000000</v>
      </c>
      <c r="BE603" s="182">
        <f ca="1">IF($D603&lt;&gt;"Serviço",0,IF(OR(AND(AUTOEVENTO="Manual",$M603=1),$M603&gt;(ROW(PLE.lastrow)-ROW(PLE.firstrow))),0,IF(OFFSET(PLE!$G$14,$M603,BE$13)="",10^12,OFFSET(PLE!$G$14,$M603,BE$13))))</f>
        <v>1000000000000</v>
      </c>
      <c r="BF603" s="182">
        <f ca="1">IF($D603&lt;&gt;"Serviço",0,IF(OR(AND(AUTOEVENTO="Manual",$M603=1),$M603&gt;(ROW(PLE.lastrow)-ROW(PLE.firstrow))),0,IF(OFFSET(PLE!$G$14,$M603,BF$13)="",10^12,OFFSET(PLE!$G$14,$M603,BF$13))))</f>
        <v>1000000000000</v>
      </c>
      <c r="BG603" s="182">
        <f ca="1">IF($D603&lt;&gt;"Serviço",0,IF(OR(AND(AUTOEVENTO="Manual",$M603=1),$M603&gt;(ROW(PLE.lastrow)-ROW(PLE.firstrow))),0,IF(OFFSET(PLE!$G$14,$M603,BG$13)="",10^12,OFFSET(PLE!$G$14,$M603,BG$13))))</f>
        <v>1000000000000</v>
      </c>
    </row>
    <row r="604" spans="1:59" ht="38.25" x14ac:dyDescent="0.2">
      <c r="A604" s="7" t="str">
        <f t="shared" ca="1" si="16"/>
        <v>472</v>
      </c>
      <c r="B604" s="7" t="str">
        <f ca="1">OFFSET(ORÇAMENTO!C$15,ROW(B604)-ROW(B$15),0)</f>
        <v>S</v>
      </c>
      <c r="C604" s="7" t="str">
        <f ca="1">OFFSET(ORÇAMENTO!L$15,ROW(C604)-ROW(C$15),0)</f>
        <v/>
      </c>
      <c r="D604" s="118" t="str">
        <f ca="1">OFFSET(ORÇAMENTO!N$15,ROW(D604)-ROW(D$15),0)</f>
        <v>Serviço</v>
      </c>
      <c r="E604" s="119" t="str">
        <f ca="1">OFFSET(ORÇAMENTO!O$15,ROW(E604)-ROW(E$15),0)</f>
        <v>-</v>
      </c>
      <c r="F604" s="172" t="str">
        <f ca="1">OFFSET(ORÇAMENTO!R$15,ROW(F604)-ROW(F$15),0)</f>
        <v>(abra o arquivo 'Referência 02-2025.xlsm)</v>
      </c>
      <c r="G604" s="173" t="str">
        <f ca="1">IF($D604&lt;&gt;"Serviço","",OFFSET(ORÇAMENTO!S$15,ROW(G604)-ROW(G$15),0))</f>
        <v>-</v>
      </c>
      <c r="H604" s="124">
        <f ca="1">IF($D604&lt;&gt;"Serviço",0,IF(ACOMPANHAMENTO="BM",ROUND(OFFSET(ORÇAMENTO!AJ$15,ROW(H604)-ROW(H$15),0),15-13*ORÇAMENTO!$AF$7),SUMPRODUCT(($Q$12:$AA$12&lt;&gt;"")*ROUND($Q604:$AA604,15-13*ORÇAMENTO!$AF$7))))</f>
        <v>17</v>
      </c>
      <c r="I604" s="561" t="s">
        <v>890</v>
      </c>
      <c r="K604" s="174"/>
      <c r="L604" s="175" t="s">
        <v>255</v>
      </c>
      <c r="M604" s="176">
        <f ca="1">IF($D604&lt;&gt;"Serviço","",IF(AUTOEVENTO="manual",$A604,IF(ISERROR(MATCH($A604,$A$15:OFFSET($A604,-1,0),0)),MAX($M$15:OFFSET(M604,-1,0))+1,INDEX($M$15:OFFSET(M604,-1,0),MATCH($A604,$A$15:OFFSET($A604,-1,0),0)))))</f>
        <v>18</v>
      </c>
      <c r="N604" s="177" t="str">
        <f ca="1">IF($D604&lt;&gt;"Serviço","",IF(AUTOEVENTO="Manual",IF($A604=0,"&lt;-- defina o número do agrupador",OFFSET(EVENTOS!$D$14,$A604,0)),OFFSET($F$15,$A604,0)))</f>
        <v>INSTALAÇÕES ELÉTRICAS - 220V</v>
      </c>
      <c r="O604" s="178"/>
      <c r="Q604" s="178"/>
      <c r="R604" s="179"/>
      <c r="S604" s="179"/>
      <c r="T604" s="179"/>
      <c r="U604" s="179"/>
      <c r="V604" s="179"/>
      <c r="W604" s="179"/>
      <c r="X604" s="179"/>
      <c r="Y604" s="179"/>
      <c r="Z604" s="180"/>
      <c r="AB604" s="544">
        <f ca="1">IF(AND($D604="Serviço",AB$12&lt;&gt;0,$H604&gt;0,OR(AUTOEVENTO&lt;&gt;"manual",$M604&lt;&gt;1)),
IF(Import.TipoArredondamento&lt;&gt;"TransfereGOV",
ROUND(OFFSET($P604,0,AB$13),15-13*ORÇAMENTO!$AF$7)/$H604*OFFSET(ORÇAMENTO!$X$15,ROW(AB604)-ROW(AB$15),0),
ROUND(ROUND(OFFSET($P604,0,AB$13),15-13*ORÇAMENTO!$AF$7)*OFFSET(ORÇAMENTO!$W$15,ROW(AB604)-ROW(AB$15),0),15-13*ORÇAMENTO!$AF$11)),0)</f>
        <v>0</v>
      </c>
      <c r="AC604" s="545">
        <f ca="1">IF(AND($D604="Serviço",AC$12&lt;&gt;0,$H604&gt;0,OR(AUTOEVENTO&lt;&gt;"manual",$M604&lt;&gt;1)),
IF(Import.TipoArredondamento&lt;&gt;"TransfereGOV",
ROUND(OFFSET($P604,0,AC$13),15-13*ORÇAMENTO!$AF$7)/$H604*OFFSET(ORÇAMENTO!$X$15,ROW(AC604)-ROW(AC$15),0),
ROUND(ROUND(OFFSET($P604,0,AC$13),15-13*ORÇAMENTO!$AF$7)*OFFSET(ORÇAMENTO!$W$15,ROW(AC604)-ROW(AC$15),0),15-13*ORÇAMENTO!$AF$11)),0)</f>
        <v>0</v>
      </c>
      <c r="AD604" s="545">
        <f ca="1">IF(AND($D604="Serviço",AD$12&lt;&gt;0,$H604&gt;0,OR(AUTOEVENTO&lt;&gt;"manual",$M604&lt;&gt;1)),
IF(Import.TipoArredondamento&lt;&gt;"TransfereGOV",
ROUND(OFFSET($P604,0,AD$13),15-13*ORÇAMENTO!$AF$7)/$H604*OFFSET(ORÇAMENTO!$X$15,ROW(AD604)-ROW(AD$15),0),
ROUND(ROUND(OFFSET($P604,0,AD$13),15-13*ORÇAMENTO!$AF$7)*OFFSET(ORÇAMENTO!$W$15,ROW(AD604)-ROW(AD$15),0),15-13*ORÇAMENTO!$AF$11)),0)</f>
        <v>0</v>
      </c>
      <c r="AE604" s="545">
        <f ca="1">IF(AND($D604="Serviço",AE$12&lt;&gt;0,$H604&gt;0,OR(AUTOEVENTO&lt;&gt;"manual",$M604&lt;&gt;1)),
IF(Import.TipoArredondamento&lt;&gt;"TransfereGOV",
ROUND(OFFSET($P604,0,AE$13),15-13*ORÇAMENTO!$AF$7)/$H604*OFFSET(ORÇAMENTO!$X$15,ROW(AE604)-ROW(AE$15),0),
ROUND(ROUND(OFFSET($P604,0,AE$13),15-13*ORÇAMENTO!$AF$7)*OFFSET(ORÇAMENTO!$W$15,ROW(AE604)-ROW(AE$15),0),15-13*ORÇAMENTO!$AF$11)),0)</f>
        <v>0</v>
      </c>
      <c r="AF604" s="545">
        <f ca="1">IF(AND($D604="Serviço",AF$12&lt;&gt;0,$H604&gt;0,OR(AUTOEVENTO&lt;&gt;"manual",$M604&lt;&gt;1)),
IF(Import.TipoArredondamento&lt;&gt;"TransfereGOV",
ROUND(OFFSET($P604,0,AF$13),15-13*ORÇAMENTO!$AF$7)/$H604*OFFSET(ORÇAMENTO!$X$15,ROW(AF604)-ROW(AF$15),0),
ROUND(ROUND(OFFSET($P604,0,AF$13),15-13*ORÇAMENTO!$AF$7)*OFFSET(ORÇAMENTO!$W$15,ROW(AF604)-ROW(AF$15),0),15-13*ORÇAMENTO!$AF$11)),0)</f>
        <v>0</v>
      </c>
      <c r="AG604" s="545">
        <f ca="1">IF(AND($D604="Serviço",AG$12&lt;&gt;0,$H604&gt;0,OR(AUTOEVENTO&lt;&gt;"manual",$M604&lt;&gt;1)),
IF(Import.TipoArredondamento&lt;&gt;"TransfereGOV",
ROUND(OFFSET($P604,0,AG$13),15-13*ORÇAMENTO!$AF$7)/$H604*OFFSET(ORÇAMENTO!$X$15,ROW(AG604)-ROW(AG$15),0),
ROUND(ROUND(OFFSET($P604,0,AG$13),15-13*ORÇAMENTO!$AF$7)*OFFSET(ORÇAMENTO!$W$15,ROW(AG604)-ROW(AG$15),0),15-13*ORÇAMENTO!$AF$11)),0)</f>
        <v>0</v>
      </c>
      <c r="AH604" s="545">
        <f ca="1">IF(AND($D604="Serviço",AH$12&lt;&gt;0,$H604&gt;0,OR(AUTOEVENTO&lt;&gt;"manual",$M604&lt;&gt;1)),
IF(Import.TipoArredondamento&lt;&gt;"TransfereGOV",
ROUND(OFFSET($P604,0,AH$13),15-13*ORÇAMENTO!$AF$7)/$H604*OFFSET(ORÇAMENTO!$X$15,ROW(AH604)-ROW(AH$15),0),
ROUND(ROUND(OFFSET($P604,0,AH$13),15-13*ORÇAMENTO!$AF$7)*OFFSET(ORÇAMENTO!$W$15,ROW(AH604)-ROW(AH$15),0),15-13*ORÇAMENTO!$AF$11)),0)</f>
        <v>0</v>
      </c>
      <c r="AI604" s="545">
        <f ca="1">IF(AND($D604="Serviço",AI$12&lt;&gt;0,$H604&gt;0,OR(AUTOEVENTO&lt;&gt;"manual",$M604&lt;&gt;1)),
IF(Import.TipoArredondamento&lt;&gt;"TransfereGOV",
ROUND(OFFSET($P604,0,AI$13),15-13*ORÇAMENTO!$AF$7)/$H604*OFFSET(ORÇAMENTO!$X$15,ROW(AI604)-ROW(AI$15),0),
ROUND(ROUND(OFFSET($P604,0,AI$13),15-13*ORÇAMENTO!$AF$7)*OFFSET(ORÇAMENTO!$W$15,ROW(AI604)-ROW(AI$15),0),15-13*ORÇAMENTO!$AF$11)),0)</f>
        <v>0</v>
      </c>
      <c r="AJ604" s="545">
        <f ca="1">IF(AND($D604="Serviço",AJ$12&lt;&gt;0,$H604&gt;0,OR(AUTOEVENTO&lt;&gt;"manual",$M604&lt;&gt;1)),
IF(Import.TipoArredondamento&lt;&gt;"TransfereGOV",
ROUND(OFFSET($P604,0,AJ$13),15-13*ORÇAMENTO!$AF$7)/$H604*OFFSET(ORÇAMENTO!$X$15,ROW(AJ604)-ROW(AJ$15),0),
ROUND(ROUND(OFFSET($P604,0,AJ$13),15-13*ORÇAMENTO!$AF$7)*OFFSET(ORÇAMENTO!$W$15,ROW(AJ604)-ROW(AJ$15),0),15-13*ORÇAMENTO!$AF$11)),0)</f>
        <v>0</v>
      </c>
      <c r="AK604" s="546">
        <f ca="1">IF(AND($D604="Serviço",AK$12&lt;&gt;0,$H604&gt;0,OR(AUTOEVENTO&lt;&gt;"manual",$M604&lt;&gt;1)),
IF(Import.TipoArredondamento&lt;&gt;"TransfereGOV",
ROUND(OFFSET($P604,0,AK$13),15-13*ORÇAMENTO!$AF$7)/$H604*OFFSET(ORÇAMENTO!$X$15,ROW(AK604)-ROW(AK$15),0),
ROUND(ROUND(OFFSET($P604,0,AK$13),15-13*ORÇAMENTO!$AF$7)*OFFSET(ORÇAMENTO!$W$15,ROW(AK604)-ROW(AK$15),0),15-13*ORÇAMENTO!$AF$11)),0)</f>
        <v>0</v>
      </c>
      <c r="AM604" s="181">
        <f ca="1">IF($D604&lt;&gt;"Serviço",0,IF(AND(AUTOEVENTO="Manual",$M604=1),0,IF(OFFSET(CRONOPLE!$F$14,$M604,AM$13)="",10^12,OFFSET(CRONOPLE!$F$14,$M604,AM$13))))</f>
        <v>1000000000000</v>
      </c>
      <c r="AN604" s="181">
        <f ca="1">IF($D604&lt;&gt;"Serviço",0,IF(AND(AUTOEVENTO="Manual",$M604=1),0,IF(OFFSET(CRONOPLE!$F$14,$M604,AN$13)="",10^12,OFFSET(CRONOPLE!$F$14,$M604,AN$13))))</f>
        <v>1000000000000</v>
      </c>
      <c r="AO604" s="181">
        <f ca="1">IF($D604&lt;&gt;"Serviço",0,IF(AND(AUTOEVENTO="Manual",$M604=1),0,IF(OFFSET(CRONOPLE!$F$14,$M604,AO$13)="",10^12,OFFSET(CRONOPLE!$F$14,$M604,AO$13))))</f>
        <v>1000000000000</v>
      </c>
      <c r="AP604" s="181">
        <f ca="1">IF($D604&lt;&gt;"Serviço",0,IF(AND(AUTOEVENTO="Manual",$M604=1),0,IF(OFFSET(CRONOPLE!$F$14,$M604,AP$13)="",10^12,OFFSET(CRONOPLE!$F$14,$M604,AP$13))))</f>
        <v>1000000000000</v>
      </c>
      <c r="AQ604" s="181">
        <f ca="1">IF($D604&lt;&gt;"Serviço",0,IF(AND(AUTOEVENTO="Manual",$M604=1),0,IF(OFFSET(CRONOPLE!$F$14,$M604,AQ$13)="",10^12,OFFSET(CRONOPLE!$F$14,$M604,AQ$13))))</f>
        <v>1000000000000</v>
      </c>
      <c r="AR604" s="181">
        <f ca="1">IF($D604&lt;&gt;"Serviço",0,IF(AND(AUTOEVENTO="Manual",$M604=1),0,IF(OFFSET(CRONOPLE!$F$14,$M604,AR$13)="",10^12,OFFSET(CRONOPLE!$F$14,$M604,AR$13))))</f>
        <v>1000000000000</v>
      </c>
      <c r="AS604" s="181">
        <f ca="1">IF($D604&lt;&gt;"Serviço",0,IF(AND(AUTOEVENTO="Manual",$M604=1),0,IF(OFFSET(CRONOPLE!$F$14,$M604,AS$13)="",10^12,OFFSET(CRONOPLE!$F$14,$M604,AS$13))))</f>
        <v>1000000000000</v>
      </c>
      <c r="AT604" s="181">
        <f ca="1">IF($D604&lt;&gt;"Serviço",0,IF(AND(AUTOEVENTO="Manual",$M604=1),0,IF(OFFSET(CRONOPLE!$F$14,$M604,AT$13)="",10^12,OFFSET(CRONOPLE!$F$14,$M604,AT$13))))</f>
        <v>1000000000000</v>
      </c>
      <c r="AU604" s="181">
        <f ca="1">IF($D604&lt;&gt;"Serviço",0,IF(AND(AUTOEVENTO="Manual",$M604=1),0,IF(OFFSET(CRONOPLE!$F$14,$M604,AU$13)="",10^12,OFFSET(CRONOPLE!$F$14,$M604,AU$13))))</f>
        <v>1000000000000</v>
      </c>
      <c r="AV604" s="181">
        <f ca="1">IF($D604&lt;&gt;"Serviço",0,IF(AND(AUTOEVENTO="Manual",$M604=1),0,IF(OFFSET(CRONOPLE!$F$14,$M604,AV$13)="",10^12,OFFSET(CRONOPLE!$F$14,$M604,AV$13))))</f>
        <v>1000000000000</v>
      </c>
      <c r="AX604" s="182">
        <f ca="1">IF($D604&lt;&gt;"Serviço",0,IF(OR(AND(AUTOEVENTO="Manual",$M604=1),$M604&gt;(ROW(PLE.lastrow)-ROW(PLE.firstrow))),0,IF(OFFSET(PLE!$G$14,$M604,AX$13)="",10^12,OFFSET(PLE!$G$14,$M604,AX$13))))</f>
        <v>1000000000000</v>
      </c>
      <c r="AY604" s="182">
        <f ca="1">IF($D604&lt;&gt;"Serviço",0,IF(OR(AND(AUTOEVENTO="Manual",$M604=1),$M604&gt;(ROW(PLE.lastrow)-ROW(PLE.firstrow))),0,IF(OFFSET(PLE!$G$14,$M604,AY$13)="",10^12,OFFSET(PLE!$G$14,$M604,AY$13))))</f>
        <v>1000000000000</v>
      </c>
      <c r="AZ604" s="182">
        <f ca="1">IF($D604&lt;&gt;"Serviço",0,IF(OR(AND(AUTOEVENTO="Manual",$M604=1),$M604&gt;(ROW(PLE.lastrow)-ROW(PLE.firstrow))),0,IF(OFFSET(PLE!$G$14,$M604,AZ$13)="",10^12,OFFSET(PLE!$G$14,$M604,AZ$13))))</f>
        <v>1000000000000</v>
      </c>
      <c r="BA604" s="182">
        <f ca="1">IF($D604&lt;&gt;"Serviço",0,IF(OR(AND(AUTOEVENTO="Manual",$M604=1),$M604&gt;(ROW(PLE.lastrow)-ROW(PLE.firstrow))),0,IF(OFFSET(PLE!$G$14,$M604,BA$13)="",10^12,OFFSET(PLE!$G$14,$M604,BA$13))))</f>
        <v>1000000000000</v>
      </c>
      <c r="BB604" s="182">
        <f ca="1">IF($D604&lt;&gt;"Serviço",0,IF(OR(AND(AUTOEVENTO="Manual",$M604=1),$M604&gt;(ROW(PLE.lastrow)-ROW(PLE.firstrow))),0,IF(OFFSET(PLE!$G$14,$M604,BB$13)="",10^12,OFFSET(PLE!$G$14,$M604,BB$13))))</f>
        <v>1000000000000</v>
      </c>
      <c r="BC604" s="182">
        <f ca="1">IF($D604&lt;&gt;"Serviço",0,IF(OR(AND(AUTOEVENTO="Manual",$M604=1),$M604&gt;(ROW(PLE.lastrow)-ROW(PLE.firstrow))),0,IF(OFFSET(PLE!$G$14,$M604,BC$13)="",10^12,OFFSET(PLE!$G$14,$M604,BC$13))))</f>
        <v>1000000000000</v>
      </c>
      <c r="BD604" s="182">
        <f ca="1">IF($D604&lt;&gt;"Serviço",0,IF(OR(AND(AUTOEVENTO="Manual",$M604=1),$M604&gt;(ROW(PLE.lastrow)-ROW(PLE.firstrow))),0,IF(OFFSET(PLE!$G$14,$M604,BD$13)="",10^12,OFFSET(PLE!$G$14,$M604,BD$13))))</f>
        <v>1000000000000</v>
      </c>
      <c r="BE604" s="182">
        <f ca="1">IF($D604&lt;&gt;"Serviço",0,IF(OR(AND(AUTOEVENTO="Manual",$M604=1),$M604&gt;(ROW(PLE.lastrow)-ROW(PLE.firstrow))),0,IF(OFFSET(PLE!$G$14,$M604,BE$13)="",10^12,OFFSET(PLE!$G$14,$M604,BE$13))))</f>
        <v>1000000000000</v>
      </c>
      <c r="BF604" s="182">
        <f ca="1">IF($D604&lt;&gt;"Serviço",0,IF(OR(AND(AUTOEVENTO="Manual",$M604=1),$M604&gt;(ROW(PLE.lastrow)-ROW(PLE.firstrow))),0,IF(OFFSET(PLE!$G$14,$M604,BF$13)="",10^12,OFFSET(PLE!$G$14,$M604,BF$13))))</f>
        <v>1000000000000</v>
      </c>
      <c r="BG604" s="182">
        <f ca="1">IF($D604&lt;&gt;"Serviço",0,IF(OR(AND(AUTOEVENTO="Manual",$M604=1),$M604&gt;(ROW(PLE.lastrow)-ROW(PLE.firstrow))),0,IF(OFFSET(PLE!$G$14,$M604,BG$13)="",10^12,OFFSET(PLE!$G$14,$M604,BG$13))))</f>
        <v>1000000000000</v>
      </c>
    </row>
    <row r="605" spans="1:59" ht="12.75" x14ac:dyDescent="0.2">
      <c r="A605" s="7" t="str">
        <f t="shared" ca="1" si="16"/>
        <v>472</v>
      </c>
      <c r="B605" s="7">
        <f ca="1">OFFSET(ORÇAMENTO!C$15,ROW(B605)-ROW(B$15),0)</f>
        <v>3</v>
      </c>
      <c r="C605" s="7" t="str">
        <f ca="1">OFFSET(ORÇAMENTO!L$15,ROW(C605)-ROW(C$15),0)</f>
        <v>F</v>
      </c>
      <c r="D605" s="118" t="str">
        <f ca="1">OFFSET(ORÇAMENTO!N$15,ROW(D605)-ROW(D$15),0)</f>
        <v>Nível 3</v>
      </c>
      <c r="E605" s="119" t="str">
        <f ca="1">OFFSET(ORÇAMENTO!O$15,ROW(E605)-ROW(E$15),0)</f>
        <v>1.17.12.</v>
      </c>
      <c r="F605" s="172" t="str">
        <f ca="1">OFFSET(ORÇAMENTO!R$15,ROW(F605)-ROW(F$15),0)</f>
        <v>QUADROS</v>
      </c>
      <c r="G605" s="173" t="str">
        <f ca="1">IF($D605&lt;&gt;"Serviço","",OFFSET(ORÇAMENTO!S$15,ROW(G605)-ROW(G$15),0))</f>
        <v/>
      </c>
      <c r="H605" s="124">
        <f ca="1">IF($D605&lt;&gt;"Serviço",0,IF(ACOMPANHAMENTO="BM",ROUND(OFFSET(ORÇAMENTO!AJ$15,ROW(H605)-ROW(H$15),0),15-13*ORÇAMENTO!$AF$7),SUMPRODUCT(($Q$12:$AA$12&lt;&gt;"")*ROUND($Q605:$AA605,15-13*ORÇAMENTO!$AF$7))))</f>
        <v>0</v>
      </c>
      <c r="I605" s="561"/>
      <c r="K605" s="174"/>
      <c r="L605" s="175" t="s">
        <v>255</v>
      </c>
      <c r="M605" s="176" t="str">
        <f ca="1">IF($D605&lt;&gt;"Serviço","",IF(AUTOEVENTO="manual",$A605,IF(ISERROR(MATCH($A605,$A$15:OFFSET($A605,-1,0),0)),MAX($M$15:OFFSET(M605,-1,0))+1,INDEX($M$15:OFFSET(M605,-1,0),MATCH($A605,$A$15:OFFSET($A605,-1,0),0)))))</f>
        <v/>
      </c>
      <c r="N605" s="177" t="str">
        <f ca="1">IF($D605&lt;&gt;"Serviço","",IF(AUTOEVENTO="Manual",IF($A605=0,"&lt;-- defina o número do agrupador",OFFSET(EVENTOS!$D$14,$A605,0)),OFFSET($F$15,$A605,0)))</f>
        <v/>
      </c>
      <c r="O605" s="178"/>
      <c r="Q605" s="178"/>
      <c r="R605" s="179"/>
      <c r="S605" s="179"/>
      <c r="T605" s="179"/>
      <c r="U605" s="179"/>
      <c r="V605" s="179"/>
      <c r="W605" s="179"/>
      <c r="X605" s="179"/>
      <c r="Y605" s="179"/>
      <c r="Z605" s="180"/>
      <c r="AB605" s="544">
        <f ca="1">IF(AND($D605="Serviço",AB$12&lt;&gt;0,$H605&gt;0,OR(AUTOEVENTO&lt;&gt;"manual",$M605&lt;&gt;1)),
IF(Import.TipoArredondamento&lt;&gt;"TransfereGOV",
ROUND(OFFSET($P605,0,AB$13),15-13*ORÇAMENTO!$AF$7)/$H605*OFFSET(ORÇAMENTO!$X$15,ROW(AB605)-ROW(AB$15),0),
ROUND(ROUND(OFFSET($P605,0,AB$13),15-13*ORÇAMENTO!$AF$7)*OFFSET(ORÇAMENTO!$W$15,ROW(AB605)-ROW(AB$15),0),15-13*ORÇAMENTO!$AF$11)),0)</f>
        <v>0</v>
      </c>
      <c r="AC605" s="545">
        <f ca="1">IF(AND($D605="Serviço",AC$12&lt;&gt;0,$H605&gt;0,OR(AUTOEVENTO&lt;&gt;"manual",$M605&lt;&gt;1)),
IF(Import.TipoArredondamento&lt;&gt;"TransfereGOV",
ROUND(OFFSET($P605,0,AC$13),15-13*ORÇAMENTO!$AF$7)/$H605*OFFSET(ORÇAMENTO!$X$15,ROW(AC605)-ROW(AC$15),0),
ROUND(ROUND(OFFSET($P605,0,AC$13),15-13*ORÇAMENTO!$AF$7)*OFFSET(ORÇAMENTO!$W$15,ROW(AC605)-ROW(AC$15),0),15-13*ORÇAMENTO!$AF$11)),0)</f>
        <v>0</v>
      </c>
      <c r="AD605" s="545">
        <f ca="1">IF(AND($D605="Serviço",AD$12&lt;&gt;0,$H605&gt;0,OR(AUTOEVENTO&lt;&gt;"manual",$M605&lt;&gt;1)),
IF(Import.TipoArredondamento&lt;&gt;"TransfereGOV",
ROUND(OFFSET($P605,0,AD$13),15-13*ORÇAMENTO!$AF$7)/$H605*OFFSET(ORÇAMENTO!$X$15,ROW(AD605)-ROW(AD$15),0),
ROUND(ROUND(OFFSET($P605,0,AD$13),15-13*ORÇAMENTO!$AF$7)*OFFSET(ORÇAMENTO!$W$15,ROW(AD605)-ROW(AD$15),0),15-13*ORÇAMENTO!$AF$11)),0)</f>
        <v>0</v>
      </c>
      <c r="AE605" s="545">
        <f ca="1">IF(AND($D605="Serviço",AE$12&lt;&gt;0,$H605&gt;0,OR(AUTOEVENTO&lt;&gt;"manual",$M605&lt;&gt;1)),
IF(Import.TipoArredondamento&lt;&gt;"TransfereGOV",
ROUND(OFFSET($P605,0,AE$13),15-13*ORÇAMENTO!$AF$7)/$H605*OFFSET(ORÇAMENTO!$X$15,ROW(AE605)-ROW(AE$15),0),
ROUND(ROUND(OFFSET($P605,0,AE$13),15-13*ORÇAMENTO!$AF$7)*OFFSET(ORÇAMENTO!$W$15,ROW(AE605)-ROW(AE$15),0),15-13*ORÇAMENTO!$AF$11)),0)</f>
        <v>0</v>
      </c>
      <c r="AF605" s="545">
        <f ca="1">IF(AND($D605="Serviço",AF$12&lt;&gt;0,$H605&gt;0,OR(AUTOEVENTO&lt;&gt;"manual",$M605&lt;&gt;1)),
IF(Import.TipoArredondamento&lt;&gt;"TransfereGOV",
ROUND(OFFSET($P605,0,AF$13),15-13*ORÇAMENTO!$AF$7)/$H605*OFFSET(ORÇAMENTO!$X$15,ROW(AF605)-ROW(AF$15),0),
ROUND(ROUND(OFFSET($P605,0,AF$13),15-13*ORÇAMENTO!$AF$7)*OFFSET(ORÇAMENTO!$W$15,ROW(AF605)-ROW(AF$15),0),15-13*ORÇAMENTO!$AF$11)),0)</f>
        <v>0</v>
      </c>
      <c r="AG605" s="545">
        <f ca="1">IF(AND($D605="Serviço",AG$12&lt;&gt;0,$H605&gt;0,OR(AUTOEVENTO&lt;&gt;"manual",$M605&lt;&gt;1)),
IF(Import.TipoArredondamento&lt;&gt;"TransfereGOV",
ROUND(OFFSET($P605,0,AG$13),15-13*ORÇAMENTO!$AF$7)/$H605*OFFSET(ORÇAMENTO!$X$15,ROW(AG605)-ROW(AG$15),0),
ROUND(ROUND(OFFSET($P605,0,AG$13),15-13*ORÇAMENTO!$AF$7)*OFFSET(ORÇAMENTO!$W$15,ROW(AG605)-ROW(AG$15),0),15-13*ORÇAMENTO!$AF$11)),0)</f>
        <v>0</v>
      </c>
      <c r="AH605" s="545">
        <f ca="1">IF(AND($D605="Serviço",AH$12&lt;&gt;0,$H605&gt;0,OR(AUTOEVENTO&lt;&gt;"manual",$M605&lt;&gt;1)),
IF(Import.TipoArredondamento&lt;&gt;"TransfereGOV",
ROUND(OFFSET($P605,0,AH$13),15-13*ORÇAMENTO!$AF$7)/$H605*OFFSET(ORÇAMENTO!$X$15,ROW(AH605)-ROW(AH$15),0),
ROUND(ROUND(OFFSET($P605,0,AH$13),15-13*ORÇAMENTO!$AF$7)*OFFSET(ORÇAMENTO!$W$15,ROW(AH605)-ROW(AH$15),0),15-13*ORÇAMENTO!$AF$11)),0)</f>
        <v>0</v>
      </c>
      <c r="AI605" s="545">
        <f ca="1">IF(AND($D605="Serviço",AI$12&lt;&gt;0,$H605&gt;0,OR(AUTOEVENTO&lt;&gt;"manual",$M605&lt;&gt;1)),
IF(Import.TipoArredondamento&lt;&gt;"TransfereGOV",
ROUND(OFFSET($P605,0,AI$13),15-13*ORÇAMENTO!$AF$7)/$H605*OFFSET(ORÇAMENTO!$X$15,ROW(AI605)-ROW(AI$15),0),
ROUND(ROUND(OFFSET($P605,0,AI$13),15-13*ORÇAMENTO!$AF$7)*OFFSET(ORÇAMENTO!$W$15,ROW(AI605)-ROW(AI$15),0),15-13*ORÇAMENTO!$AF$11)),0)</f>
        <v>0</v>
      </c>
      <c r="AJ605" s="545">
        <f ca="1">IF(AND($D605="Serviço",AJ$12&lt;&gt;0,$H605&gt;0,OR(AUTOEVENTO&lt;&gt;"manual",$M605&lt;&gt;1)),
IF(Import.TipoArredondamento&lt;&gt;"TransfereGOV",
ROUND(OFFSET($P605,0,AJ$13),15-13*ORÇAMENTO!$AF$7)/$H605*OFFSET(ORÇAMENTO!$X$15,ROW(AJ605)-ROW(AJ$15),0),
ROUND(ROUND(OFFSET($P605,0,AJ$13),15-13*ORÇAMENTO!$AF$7)*OFFSET(ORÇAMENTO!$W$15,ROW(AJ605)-ROW(AJ$15),0),15-13*ORÇAMENTO!$AF$11)),0)</f>
        <v>0</v>
      </c>
      <c r="AK605" s="546">
        <f ca="1">IF(AND($D605="Serviço",AK$12&lt;&gt;0,$H605&gt;0,OR(AUTOEVENTO&lt;&gt;"manual",$M605&lt;&gt;1)),
IF(Import.TipoArredondamento&lt;&gt;"TransfereGOV",
ROUND(OFFSET($P605,0,AK$13),15-13*ORÇAMENTO!$AF$7)/$H605*OFFSET(ORÇAMENTO!$X$15,ROW(AK605)-ROW(AK$15),0),
ROUND(ROUND(OFFSET($P605,0,AK$13),15-13*ORÇAMENTO!$AF$7)*OFFSET(ORÇAMENTO!$W$15,ROW(AK605)-ROW(AK$15),0),15-13*ORÇAMENTO!$AF$11)),0)</f>
        <v>0</v>
      </c>
      <c r="AM605" s="181">
        <f ca="1">IF($D605&lt;&gt;"Serviço",0,IF(AND(AUTOEVENTO="Manual",$M605=1),0,IF(OFFSET(CRONOPLE!$F$14,$M605,AM$13)="",10^12,OFFSET(CRONOPLE!$F$14,$M605,AM$13))))</f>
        <v>0</v>
      </c>
      <c r="AN605" s="181">
        <f ca="1">IF($D605&lt;&gt;"Serviço",0,IF(AND(AUTOEVENTO="Manual",$M605=1),0,IF(OFFSET(CRONOPLE!$F$14,$M605,AN$13)="",10^12,OFFSET(CRONOPLE!$F$14,$M605,AN$13))))</f>
        <v>0</v>
      </c>
      <c r="AO605" s="181">
        <f ca="1">IF($D605&lt;&gt;"Serviço",0,IF(AND(AUTOEVENTO="Manual",$M605=1),0,IF(OFFSET(CRONOPLE!$F$14,$M605,AO$13)="",10^12,OFFSET(CRONOPLE!$F$14,$M605,AO$13))))</f>
        <v>0</v>
      </c>
      <c r="AP605" s="181">
        <f ca="1">IF($D605&lt;&gt;"Serviço",0,IF(AND(AUTOEVENTO="Manual",$M605=1),0,IF(OFFSET(CRONOPLE!$F$14,$M605,AP$13)="",10^12,OFFSET(CRONOPLE!$F$14,$M605,AP$13))))</f>
        <v>0</v>
      </c>
      <c r="AQ605" s="181">
        <f ca="1">IF($D605&lt;&gt;"Serviço",0,IF(AND(AUTOEVENTO="Manual",$M605=1),0,IF(OFFSET(CRONOPLE!$F$14,$M605,AQ$13)="",10^12,OFFSET(CRONOPLE!$F$14,$M605,AQ$13))))</f>
        <v>0</v>
      </c>
      <c r="AR605" s="181">
        <f ca="1">IF($D605&lt;&gt;"Serviço",0,IF(AND(AUTOEVENTO="Manual",$M605=1),0,IF(OFFSET(CRONOPLE!$F$14,$M605,AR$13)="",10^12,OFFSET(CRONOPLE!$F$14,$M605,AR$13))))</f>
        <v>0</v>
      </c>
      <c r="AS605" s="181">
        <f ca="1">IF($D605&lt;&gt;"Serviço",0,IF(AND(AUTOEVENTO="Manual",$M605=1),0,IF(OFFSET(CRONOPLE!$F$14,$M605,AS$13)="",10^12,OFFSET(CRONOPLE!$F$14,$M605,AS$13))))</f>
        <v>0</v>
      </c>
      <c r="AT605" s="181">
        <f ca="1">IF($D605&lt;&gt;"Serviço",0,IF(AND(AUTOEVENTO="Manual",$M605=1),0,IF(OFFSET(CRONOPLE!$F$14,$M605,AT$13)="",10^12,OFFSET(CRONOPLE!$F$14,$M605,AT$13))))</f>
        <v>0</v>
      </c>
      <c r="AU605" s="181">
        <f ca="1">IF($D605&lt;&gt;"Serviço",0,IF(AND(AUTOEVENTO="Manual",$M605=1),0,IF(OFFSET(CRONOPLE!$F$14,$M605,AU$13)="",10^12,OFFSET(CRONOPLE!$F$14,$M605,AU$13))))</f>
        <v>0</v>
      </c>
      <c r="AV605" s="181">
        <f ca="1">IF($D605&lt;&gt;"Serviço",0,IF(AND(AUTOEVENTO="Manual",$M605=1),0,IF(OFFSET(CRONOPLE!$F$14,$M605,AV$13)="",10^12,OFFSET(CRONOPLE!$F$14,$M605,AV$13))))</f>
        <v>0</v>
      </c>
      <c r="AX605" s="182">
        <f ca="1">IF($D605&lt;&gt;"Serviço",0,IF(OR(AND(AUTOEVENTO="Manual",$M605=1),$M605&gt;(ROW(PLE.lastrow)-ROW(PLE.firstrow))),0,IF(OFFSET(PLE!$G$14,$M605,AX$13)="",10^12,OFFSET(PLE!$G$14,$M605,AX$13))))</f>
        <v>0</v>
      </c>
      <c r="AY605" s="182">
        <f ca="1">IF($D605&lt;&gt;"Serviço",0,IF(OR(AND(AUTOEVENTO="Manual",$M605=1),$M605&gt;(ROW(PLE.lastrow)-ROW(PLE.firstrow))),0,IF(OFFSET(PLE!$G$14,$M605,AY$13)="",10^12,OFFSET(PLE!$G$14,$M605,AY$13))))</f>
        <v>0</v>
      </c>
      <c r="AZ605" s="182">
        <f ca="1">IF($D605&lt;&gt;"Serviço",0,IF(OR(AND(AUTOEVENTO="Manual",$M605=1),$M605&gt;(ROW(PLE.lastrow)-ROW(PLE.firstrow))),0,IF(OFFSET(PLE!$G$14,$M605,AZ$13)="",10^12,OFFSET(PLE!$G$14,$M605,AZ$13))))</f>
        <v>0</v>
      </c>
      <c r="BA605" s="182">
        <f ca="1">IF($D605&lt;&gt;"Serviço",0,IF(OR(AND(AUTOEVENTO="Manual",$M605=1),$M605&gt;(ROW(PLE.lastrow)-ROW(PLE.firstrow))),0,IF(OFFSET(PLE!$G$14,$M605,BA$13)="",10^12,OFFSET(PLE!$G$14,$M605,BA$13))))</f>
        <v>0</v>
      </c>
      <c r="BB605" s="182">
        <f ca="1">IF($D605&lt;&gt;"Serviço",0,IF(OR(AND(AUTOEVENTO="Manual",$M605=1),$M605&gt;(ROW(PLE.lastrow)-ROW(PLE.firstrow))),0,IF(OFFSET(PLE!$G$14,$M605,BB$13)="",10^12,OFFSET(PLE!$G$14,$M605,BB$13))))</f>
        <v>0</v>
      </c>
      <c r="BC605" s="182">
        <f ca="1">IF($D605&lt;&gt;"Serviço",0,IF(OR(AND(AUTOEVENTO="Manual",$M605=1),$M605&gt;(ROW(PLE.lastrow)-ROW(PLE.firstrow))),0,IF(OFFSET(PLE!$G$14,$M605,BC$13)="",10^12,OFFSET(PLE!$G$14,$M605,BC$13))))</f>
        <v>0</v>
      </c>
      <c r="BD605" s="182">
        <f ca="1">IF($D605&lt;&gt;"Serviço",0,IF(OR(AND(AUTOEVENTO="Manual",$M605=1),$M605&gt;(ROW(PLE.lastrow)-ROW(PLE.firstrow))),0,IF(OFFSET(PLE!$G$14,$M605,BD$13)="",10^12,OFFSET(PLE!$G$14,$M605,BD$13))))</f>
        <v>0</v>
      </c>
      <c r="BE605" s="182">
        <f ca="1">IF($D605&lt;&gt;"Serviço",0,IF(OR(AND(AUTOEVENTO="Manual",$M605=1),$M605&gt;(ROW(PLE.lastrow)-ROW(PLE.firstrow))),0,IF(OFFSET(PLE!$G$14,$M605,BE$13)="",10^12,OFFSET(PLE!$G$14,$M605,BE$13))))</f>
        <v>0</v>
      </c>
      <c r="BF605" s="182">
        <f ca="1">IF($D605&lt;&gt;"Serviço",0,IF(OR(AND(AUTOEVENTO="Manual",$M605=1),$M605&gt;(ROW(PLE.lastrow)-ROW(PLE.firstrow))),0,IF(OFFSET(PLE!$G$14,$M605,BF$13)="",10^12,OFFSET(PLE!$G$14,$M605,BF$13))))</f>
        <v>0</v>
      </c>
      <c r="BG605" s="182">
        <f ca="1">IF($D605&lt;&gt;"Serviço",0,IF(OR(AND(AUTOEVENTO="Manual",$M605=1),$M605&gt;(ROW(PLE.lastrow)-ROW(PLE.firstrow))),0,IF(OFFSET(PLE!$G$14,$M605,BG$13)="",10^12,OFFSET(PLE!$G$14,$M605,BG$13))))</f>
        <v>0</v>
      </c>
    </row>
    <row r="606" spans="1:59" ht="25.5" x14ac:dyDescent="0.2">
      <c r="A606" s="7" t="str">
        <f t="shared" ca="1" si="16"/>
        <v>472</v>
      </c>
      <c r="B606" s="7" t="str">
        <f ca="1">OFFSET(ORÇAMENTO!C$15,ROW(B606)-ROW(B$15),0)</f>
        <v>S</v>
      </c>
      <c r="C606" s="7" t="str">
        <f ca="1">OFFSET(ORÇAMENTO!L$15,ROW(C606)-ROW(C$15),0)</f>
        <v/>
      </c>
      <c r="D606" s="118" t="str">
        <f ca="1">OFFSET(ORÇAMENTO!N$15,ROW(D606)-ROW(D$15),0)</f>
        <v>Serviço</v>
      </c>
      <c r="E606" s="119" t="str">
        <f ca="1">OFFSET(ORÇAMENTO!O$15,ROW(E606)-ROW(E$15),0)</f>
        <v>-</v>
      </c>
      <c r="F606" s="172" t="str">
        <f ca="1">OFFSET(ORÇAMENTO!R$15,ROW(F606)-ROW(F$15),0)</f>
        <v>(abra o arquivo 'Referência 02-2025.xlsm)</v>
      </c>
      <c r="G606" s="173" t="str">
        <f ca="1">IF($D606&lt;&gt;"Serviço","",OFFSET(ORÇAMENTO!S$15,ROW(G606)-ROW(G$15),0))</f>
        <v>-</v>
      </c>
      <c r="H606" s="124">
        <f ca="1">IF($D606&lt;&gt;"Serviço",0,IF(ACOMPANHAMENTO="BM",ROUND(OFFSET(ORÇAMENTO!AJ$15,ROW(H606)-ROW(H$15),0),15-13*ORÇAMENTO!$AF$7),SUMPRODUCT(($Q$12:$AA$12&lt;&gt;"")*ROUND($Q606:$AA606,15-13*ORÇAMENTO!$AF$7))))</f>
        <v>1</v>
      </c>
      <c r="I606" s="561" t="s">
        <v>890</v>
      </c>
      <c r="K606" s="174"/>
      <c r="L606" s="175" t="s">
        <v>255</v>
      </c>
      <c r="M606" s="176">
        <f ca="1">IF($D606&lt;&gt;"Serviço","",IF(AUTOEVENTO="manual",$A606,IF(ISERROR(MATCH($A606,$A$15:OFFSET($A606,-1,0),0)),MAX($M$15:OFFSET(M606,-1,0))+1,INDEX($M$15:OFFSET(M606,-1,0),MATCH($A606,$A$15:OFFSET($A606,-1,0),0)))))</f>
        <v>18</v>
      </c>
      <c r="N606" s="177" t="str">
        <f ca="1">IF($D606&lt;&gt;"Serviço","",IF(AUTOEVENTO="Manual",IF($A606=0,"&lt;-- defina o número do agrupador",OFFSET(EVENTOS!$D$14,$A606,0)),OFFSET($F$15,$A606,0)))</f>
        <v>INSTALAÇÕES ELÉTRICAS - 220V</v>
      </c>
      <c r="O606" s="178"/>
      <c r="Q606" s="178"/>
      <c r="R606" s="179"/>
      <c r="S606" s="179"/>
      <c r="T606" s="179"/>
      <c r="U606" s="179"/>
      <c r="V606" s="179"/>
      <c r="W606" s="179"/>
      <c r="X606" s="179"/>
      <c r="Y606" s="179"/>
      <c r="Z606" s="180"/>
      <c r="AB606" s="544">
        <f ca="1">IF(AND($D606="Serviço",AB$12&lt;&gt;0,$H606&gt;0,OR(AUTOEVENTO&lt;&gt;"manual",$M606&lt;&gt;1)),
IF(Import.TipoArredondamento&lt;&gt;"TransfereGOV",
ROUND(OFFSET($P606,0,AB$13),15-13*ORÇAMENTO!$AF$7)/$H606*OFFSET(ORÇAMENTO!$X$15,ROW(AB606)-ROW(AB$15),0),
ROUND(ROUND(OFFSET($P606,0,AB$13),15-13*ORÇAMENTO!$AF$7)*OFFSET(ORÇAMENTO!$W$15,ROW(AB606)-ROW(AB$15),0),15-13*ORÇAMENTO!$AF$11)),0)</f>
        <v>0</v>
      </c>
      <c r="AC606" s="545">
        <f ca="1">IF(AND($D606="Serviço",AC$12&lt;&gt;0,$H606&gt;0,OR(AUTOEVENTO&lt;&gt;"manual",$M606&lt;&gt;1)),
IF(Import.TipoArredondamento&lt;&gt;"TransfereGOV",
ROUND(OFFSET($P606,0,AC$13),15-13*ORÇAMENTO!$AF$7)/$H606*OFFSET(ORÇAMENTO!$X$15,ROW(AC606)-ROW(AC$15),0),
ROUND(ROUND(OFFSET($P606,0,AC$13),15-13*ORÇAMENTO!$AF$7)*OFFSET(ORÇAMENTO!$W$15,ROW(AC606)-ROW(AC$15),0),15-13*ORÇAMENTO!$AF$11)),0)</f>
        <v>0</v>
      </c>
      <c r="AD606" s="545">
        <f ca="1">IF(AND($D606="Serviço",AD$12&lt;&gt;0,$H606&gt;0,OR(AUTOEVENTO&lt;&gt;"manual",$M606&lt;&gt;1)),
IF(Import.TipoArredondamento&lt;&gt;"TransfereGOV",
ROUND(OFFSET($P606,0,AD$13),15-13*ORÇAMENTO!$AF$7)/$H606*OFFSET(ORÇAMENTO!$X$15,ROW(AD606)-ROW(AD$15),0),
ROUND(ROUND(OFFSET($P606,0,AD$13),15-13*ORÇAMENTO!$AF$7)*OFFSET(ORÇAMENTO!$W$15,ROW(AD606)-ROW(AD$15),0),15-13*ORÇAMENTO!$AF$11)),0)</f>
        <v>0</v>
      </c>
      <c r="AE606" s="545">
        <f ca="1">IF(AND($D606="Serviço",AE$12&lt;&gt;0,$H606&gt;0,OR(AUTOEVENTO&lt;&gt;"manual",$M606&lt;&gt;1)),
IF(Import.TipoArredondamento&lt;&gt;"TransfereGOV",
ROUND(OFFSET($P606,0,AE$13),15-13*ORÇAMENTO!$AF$7)/$H606*OFFSET(ORÇAMENTO!$X$15,ROW(AE606)-ROW(AE$15),0),
ROUND(ROUND(OFFSET($P606,0,AE$13),15-13*ORÇAMENTO!$AF$7)*OFFSET(ORÇAMENTO!$W$15,ROW(AE606)-ROW(AE$15),0),15-13*ORÇAMENTO!$AF$11)),0)</f>
        <v>0</v>
      </c>
      <c r="AF606" s="545">
        <f ca="1">IF(AND($D606="Serviço",AF$12&lt;&gt;0,$H606&gt;0,OR(AUTOEVENTO&lt;&gt;"manual",$M606&lt;&gt;1)),
IF(Import.TipoArredondamento&lt;&gt;"TransfereGOV",
ROUND(OFFSET($P606,0,AF$13),15-13*ORÇAMENTO!$AF$7)/$H606*OFFSET(ORÇAMENTO!$X$15,ROW(AF606)-ROW(AF$15),0),
ROUND(ROUND(OFFSET($P606,0,AF$13),15-13*ORÇAMENTO!$AF$7)*OFFSET(ORÇAMENTO!$W$15,ROW(AF606)-ROW(AF$15),0),15-13*ORÇAMENTO!$AF$11)),0)</f>
        <v>0</v>
      </c>
      <c r="AG606" s="545">
        <f ca="1">IF(AND($D606="Serviço",AG$12&lt;&gt;0,$H606&gt;0,OR(AUTOEVENTO&lt;&gt;"manual",$M606&lt;&gt;1)),
IF(Import.TipoArredondamento&lt;&gt;"TransfereGOV",
ROUND(OFFSET($P606,0,AG$13),15-13*ORÇAMENTO!$AF$7)/$H606*OFFSET(ORÇAMENTO!$X$15,ROW(AG606)-ROW(AG$15),0),
ROUND(ROUND(OFFSET($P606,0,AG$13),15-13*ORÇAMENTO!$AF$7)*OFFSET(ORÇAMENTO!$W$15,ROW(AG606)-ROW(AG$15),0),15-13*ORÇAMENTO!$AF$11)),0)</f>
        <v>0</v>
      </c>
      <c r="AH606" s="545">
        <f ca="1">IF(AND($D606="Serviço",AH$12&lt;&gt;0,$H606&gt;0,OR(AUTOEVENTO&lt;&gt;"manual",$M606&lt;&gt;1)),
IF(Import.TipoArredondamento&lt;&gt;"TransfereGOV",
ROUND(OFFSET($P606,0,AH$13),15-13*ORÇAMENTO!$AF$7)/$H606*OFFSET(ORÇAMENTO!$X$15,ROW(AH606)-ROW(AH$15),0),
ROUND(ROUND(OFFSET($P606,0,AH$13),15-13*ORÇAMENTO!$AF$7)*OFFSET(ORÇAMENTO!$W$15,ROW(AH606)-ROW(AH$15),0),15-13*ORÇAMENTO!$AF$11)),0)</f>
        <v>0</v>
      </c>
      <c r="AI606" s="545">
        <f ca="1">IF(AND($D606="Serviço",AI$12&lt;&gt;0,$H606&gt;0,OR(AUTOEVENTO&lt;&gt;"manual",$M606&lt;&gt;1)),
IF(Import.TipoArredondamento&lt;&gt;"TransfereGOV",
ROUND(OFFSET($P606,0,AI$13),15-13*ORÇAMENTO!$AF$7)/$H606*OFFSET(ORÇAMENTO!$X$15,ROW(AI606)-ROW(AI$15),0),
ROUND(ROUND(OFFSET($P606,0,AI$13),15-13*ORÇAMENTO!$AF$7)*OFFSET(ORÇAMENTO!$W$15,ROW(AI606)-ROW(AI$15),0),15-13*ORÇAMENTO!$AF$11)),0)</f>
        <v>0</v>
      </c>
      <c r="AJ606" s="545">
        <f ca="1">IF(AND($D606="Serviço",AJ$12&lt;&gt;0,$H606&gt;0,OR(AUTOEVENTO&lt;&gt;"manual",$M606&lt;&gt;1)),
IF(Import.TipoArredondamento&lt;&gt;"TransfereGOV",
ROUND(OFFSET($P606,0,AJ$13),15-13*ORÇAMENTO!$AF$7)/$H606*OFFSET(ORÇAMENTO!$X$15,ROW(AJ606)-ROW(AJ$15),0),
ROUND(ROUND(OFFSET($P606,0,AJ$13),15-13*ORÇAMENTO!$AF$7)*OFFSET(ORÇAMENTO!$W$15,ROW(AJ606)-ROW(AJ$15),0),15-13*ORÇAMENTO!$AF$11)),0)</f>
        <v>0</v>
      </c>
      <c r="AK606" s="546">
        <f ca="1">IF(AND($D606="Serviço",AK$12&lt;&gt;0,$H606&gt;0,OR(AUTOEVENTO&lt;&gt;"manual",$M606&lt;&gt;1)),
IF(Import.TipoArredondamento&lt;&gt;"TransfereGOV",
ROUND(OFFSET($P606,0,AK$13),15-13*ORÇAMENTO!$AF$7)/$H606*OFFSET(ORÇAMENTO!$X$15,ROW(AK606)-ROW(AK$15),0),
ROUND(ROUND(OFFSET($P606,0,AK$13),15-13*ORÇAMENTO!$AF$7)*OFFSET(ORÇAMENTO!$W$15,ROW(AK606)-ROW(AK$15),0),15-13*ORÇAMENTO!$AF$11)),0)</f>
        <v>0</v>
      </c>
      <c r="AM606" s="181">
        <f ca="1">IF($D606&lt;&gt;"Serviço",0,IF(AND(AUTOEVENTO="Manual",$M606=1),0,IF(OFFSET(CRONOPLE!$F$14,$M606,AM$13)="",10^12,OFFSET(CRONOPLE!$F$14,$M606,AM$13))))</f>
        <v>1000000000000</v>
      </c>
      <c r="AN606" s="181">
        <f ca="1">IF($D606&lt;&gt;"Serviço",0,IF(AND(AUTOEVENTO="Manual",$M606=1),0,IF(OFFSET(CRONOPLE!$F$14,$M606,AN$13)="",10^12,OFFSET(CRONOPLE!$F$14,$M606,AN$13))))</f>
        <v>1000000000000</v>
      </c>
      <c r="AO606" s="181">
        <f ca="1">IF($D606&lt;&gt;"Serviço",0,IF(AND(AUTOEVENTO="Manual",$M606=1),0,IF(OFFSET(CRONOPLE!$F$14,$M606,AO$13)="",10^12,OFFSET(CRONOPLE!$F$14,$M606,AO$13))))</f>
        <v>1000000000000</v>
      </c>
      <c r="AP606" s="181">
        <f ca="1">IF($D606&lt;&gt;"Serviço",0,IF(AND(AUTOEVENTO="Manual",$M606=1),0,IF(OFFSET(CRONOPLE!$F$14,$M606,AP$13)="",10^12,OFFSET(CRONOPLE!$F$14,$M606,AP$13))))</f>
        <v>1000000000000</v>
      </c>
      <c r="AQ606" s="181">
        <f ca="1">IF($D606&lt;&gt;"Serviço",0,IF(AND(AUTOEVENTO="Manual",$M606=1),0,IF(OFFSET(CRONOPLE!$F$14,$M606,AQ$13)="",10^12,OFFSET(CRONOPLE!$F$14,$M606,AQ$13))))</f>
        <v>1000000000000</v>
      </c>
      <c r="AR606" s="181">
        <f ca="1">IF($D606&lt;&gt;"Serviço",0,IF(AND(AUTOEVENTO="Manual",$M606=1),0,IF(OFFSET(CRONOPLE!$F$14,$M606,AR$13)="",10^12,OFFSET(CRONOPLE!$F$14,$M606,AR$13))))</f>
        <v>1000000000000</v>
      </c>
      <c r="AS606" s="181">
        <f ca="1">IF($D606&lt;&gt;"Serviço",0,IF(AND(AUTOEVENTO="Manual",$M606=1),0,IF(OFFSET(CRONOPLE!$F$14,$M606,AS$13)="",10^12,OFFSET(CRONOPLE!$F$14,$M606,AS$13))))</f>
        <v>1000000000000</v>
      </c>
      <c r="AT606" s="181">
        <f ca="1">IF($D606&lt;&gt;"Serviço",0,IF(AND(AUTOEVENTO="Manual",$M606=1),0,IF(OFFSET(CRONOPLE!$F$14,$M606,AT$13)="",10^12,OFFSET(CRONOPLE!$F$14,$M606,AT$13))))</f>
        <v>1000000000000</v>
      </c>
      <c r="AU606" s="181">
        <f ca="1">IF($D606&lt;&gt;"Serviço",0,IF(AND(AUTOEVENTO="Manual",$M606=1),0,IF(OFFSET(CRONOPLE!$F$14,$M606,AU$13)="",10^12,OFFSET(CRONOPLE!$F$14,$M606,AU$13))))</f>
        <v>1000000000000</v>
      </c>
      <c r="AV606" s="181">
        <f ca="1">IF($D606&lt;&gt;"Serviço",0,IF(AND(AUTOEVENTO="Manual",$M606=1),0,IF(OFFSET(CRONOPLE!$F$14,$M606,AV$13)="",10^12,OFFSET(CRONOPLE!$F$14,$M606,AV$13))))</f>
        <v>1000000000000</v>
      </c>
      <c r="AX606" s="182">
        <f ca="1">IF($D606&lt;&gt;"Serviço",0,IF(OR(AND(AUTOEVENTO="Manual",$M606=1),$M606&gt;(ROW(PLE.lastrow)-ROW(PLE.firstrow))),0,IF(OFFSET(PLE!$G$14,$M606,AX$13)="",10^12,OFFSET(PLE!$G$14,$M606,AX$13))))</f>
        <v>1000000000000</v>
      </c>
      <c r="AY606" s="182">
        <f ca="1">IF($D606&lt;&gt;"Serviço",0,IF(OR(AND(AUTOEVENTO="Manual",$M606=1),$M606&gt;(ROW(PLE.lastrow)-ROW(PLE.firstrow))),0,IF(OFFSET(PLE!$G$14,$M606,AY$13)="",10^12,OFFSET(PLE!$G$14,$M606,AY$13))))</f>
        <v>1000000000000</v>
      </c>
      <c r="AZ606" s="182">
        <f ca="1">IF($D606&lt;&gt;"Serviço",0,IF(OR(AND(AUTOEVENTO="Manual",$M606=1),$M606&gt;(ROW(PLE.lastrow)-ROW(PLE.firstrow))),0,IF(OFFSET(PLE!$G$14,$M606,AZ$13)="",10^12,OFFSET(PLE!$G$14,$M606,AZ$13))))</f>
        <v>1000000000000</v>
      </c>
      <c r="BA606" s="182">
        <f ca="1">IF($D606&lt;&gt;"Serviço",0,IF(OR(AND(AUTOEVENTO="Manual",$M606=1),$M606&gt;(ROW(PLE.lastrow)-ROW(PLE.firstrow))),0,IF(OFFSET(PLE!$G$14,$M606,BA$13)="",10^12,OFFSET(PLE!$G$14,$M606,BA$13))))</f>
        <v>1000000000000</v>
      </c>
      <c r="BB606" s="182">
        <f ca="1">IF($D606&lt;&gt;"Serviço",0,IF(OR(AND(AUTOEVENTO="Manual",$M606=1),$M606&gt;(ROW(PLE.lastrow)-ROW(PLE.firstrow))),0,IF(OFFSET(PLE!$G$14,$M606,BB$13)="",10^12,OFFSET(PLE!$G$14,$M606,BB$13))))</f>
        <v>1000000000000</v>
      </c>
      <c r="BC606" s="182">
        <f ca="1">IF($D606&lt;&gt;"Serviço",0,IF(OR(AND(AUTOEVENTO="Manual",$M606=1),$M606&gt;(ROW(PLE.lastrow)-ROW(PLE.firstrow))),0,IF(OFFSET(PLE!$G$14,$M606,BC$13)="",10^12,OFFSET(PLE!$G$14,$M606,BC$13))))</f>
        <v>1000000000000</v>
      </c>
      <c r="BD606" s="182">
        <f ca="1">IF($D606&lt;&gt;"Serviço",0,IF(OR(AND(AUTOEVENTO="Manual",$M606=1),$M606&gt;(ROW(PLE.lastrow)-ROW(PLE.firstrow))),0,IF(OFFSET(PLE!$G$14,$M606,BD$13)="",10^12,OFFSET(PLE!$G$14,$M606,BD$13))))</f>
        <v>1000000000000</v>
      </c>
      <c r="BE606" s="182">
        <f ca="1">IF($D606&lt;&gt;"Serviço",0,IF(OR(AND(AUTOEVENTO="Manual",$M606=1),$M606&gt;(ROW(PLE.lastrow)-ROW(PLE.firstrow))),0,IF(OFFSET(PLE!$G$14,$M606,BE$13)="",10^12,OFFSET(PLE!$G$14,$M606,BE$13))))</f>
        <v>1000000000000</v>
      </c>
      <c r="BF606" s="182">
        <f ca="1">IF($D606&lt;&gt;"Serviço",0,IF(OR(AND(AUTOEVENTO="Manual",$M606=1),$M606&gt;(ROW(PLE.lastrow)-ROW(PLE.firstrow))),0,IF(OFFSET(PLE!$G$14,$M606,BF$13)="",10^12,OFFSET(PLE!$G$14,$M606,BF$13))))</f>
        <v>1000000000000</v>
      </c>
      <c r="BG606" s="182">
        <f ca="1">IF($D606&lt;&gt;"Serviço",0,IF(OR(AND(AUTOEVENTO="Manual",$M606=1),$M606&gt;(ROW(PLE.lastrow)-ROW(PLE.firstrow))),0,IF(OFFSET(PLE!$G$14,$M606,BG$13)="",10^12,OFFSET(PLE!$G$14,$M606,BG$13))))</f>
        <v>1000000000000</v>
      </c>
    </row>
    <row r="607" spans="1:59" ht="38.25" x14ac:dyDescent="0.2">
      <c r="A607" s="7" t="str">
        <f t="shared" ca="1" si="16"/>
        <v>472</v>
      </c>
      <c r="B607" s="7" t="str">
        <f ca="1">OFFSET(ORÇAMENTO!C$15,ROW(B607)-ROW(B$15),0)</f>
        <v>S</v>
      </c>
      <c r="C607" s="7" t="str">
        <f ca="1">OFFSET(ORÇAMENTO!L$15,ROW(C607)-ROW(C$15),0)</f>
        <v/>
      </c>
      <c r="D607" s="118" t="str">
        <f ca="1">OFFSET(ORÇAMENTO!N$15,ROW(D607)-ROW(D$15),0)</f>
        <v>Serviço</v>
      </c>
      <c r="E607" s="119" t="str">
        <f ca="1">OFFSET(ORÇAMENTO!O$15,ROW(E607)-ROW(E$15),0)</f>
        <v>-</v>
      </c>
      <c r="F607" s="172" t="str">
        <f ca="1">OFFSET(ORÇAMENTO!R$15,ROW(F607)-ROW(F$15),0)</f>
        <v>(abra o arquivo 'Referência 02-2025.xlsm)</v>
      </c>
      <c r="G607" s="173" t="str">
        <f ca="1">IF($D607&lt;&gt;"Serviço","",OFFSET(ORÇAMENTO!S$15,ROW(G607)-ROW(G$15),0))</f>
        <v>-</v>
      </c>
      <c r="H607" s="124">
        <f ca="1">IF($D607&lt;&gt;"Serviço",0,IF(ACOMPANHAMENTO="BM",ROUND(OFFSET(ORÇAMENTO!AJ$15,ROW(H607)-ROW(H$15),0),15-13*ORÇAMENTO!$AF$7),SUMPRODUCT(($Q$12:$AA$12&lt;&gt;"")*ROUND($Q607:$AA607,15-13*ORÇAMENTO!$AF$7))))</f>
        <v>8</v>
      </c>
      <c r="I607" s="561" t="s">
        <v>890</v>
      </c>
      <c r="K607" s="174"/>
      <c r="L607" s="175" t="s">
        <v>255</v>
      </c>
      <c r="M607" s="176">
        <f ca="1">IF($D607&lt;&gt;"Serviço","",IF(AUTOEVENTO="manual",$A607,IF(ISERROR(MATCH($A607,$A$15:OFFSET($A607,-1,0),0)),MAX($M$15:OFFSET(M607,-1,0))+1,INDEX($M$15:OFFSET(M607,-1,0),MATCH($A607,$A$15:OFFSET($A607,-1,0),0)))))</f>
        <v>18</v>
      </c>
      <c r="N607" s="177" t="str">
        <f ca="1">IF($D607&lt;&gt;"Serviço","",IF(AUTOEVENTO="Manual",IF($A607=0,"&lt;-- defina o número do agrupador",OFFSET(EVENTOS!$D$14,$A607,0)),OFFSET($F$15,$A607,0)))</f>
        <v>INSTALAÇÕES ELÉTRICAS - 220V</v>
      </c>
      <c r="O607" s="178"/>
      <c r="Q607" s="178"/>
      <c r="R607" s="179"/>
      <c r="S607" s="179"/>
      <c r="T607" s="179"/>
      <c r="U607" s="179"/>
      <c r="V607" s="179"/>
      <c r="W607" s="179"/>
      <c r="X607" s="179"/>
      <c r="Y607" s="179"/>
      <c r="Z607" s="180"/>
      <c r="AB607" s="544">
        <f ca="1">IF(AND($D607="Serviço",AB$12&lt;&gt;0,$H607&gt;0,OR(AUTOEVENTO&lt;&gt;"manual",$M607&lt;&gt;1)),
IF(Import.TipoArredondamento&lt;&gt;"TransfereGOV",
ROUND(OFFSET($P607,0,AB$13),15-13*ORÇAMENTO!$AF$7)/$H607*OFFSET(ORÇAMENTO!$X$15,ROW(AB607)-ROW(AB$15),0),
ROUND(ROUND(OFFSET($P607,0,AB$13),15-13*ORÇAMENTO!$AF$7)*OFFSET(ORÇAMENTO!$W$15,ROW(AB607)-ROW(AB$15),0),15-13*ORÇAMENTO!$AF$11)),0)</f>
        <v>0</v>
      </c>
      <c r="AC607" s="545">
        <f ca="1">IF(AND($D607="Serviço",AC$12&lt;&gt;0,$H607&gt;0,OR(AUTOEVENTO&lt;&gt;"manual",$M607&lt;&gt;1)),
IF(Import.TipoArredondamento&lt;&gt;"TransfereGOV",
ROUND(OFFSET($P607,0,AC$13),15-13*ORÇAMENTO!$AF$7)/$H607*OFFSET(ORÇAMENTO!$X$15,ROW(AC607)-ROW(AC$15),0),
ROUND(ROUND(OFFSET($P607,0,AC$13),15-13*ORÇAMENTO!$AF$7)*OFFSET(ORÇAMENTO!$W$15,ROW(AC607)-ROW(AC$15),0),15-13*ORÇAMENTO!$AF$11)),0)</f>
        <v>0</v>
      </c>
      <c r="AD607" s="545">
        <f ca="1">IF(AND($D607="Serviço",AD$12&lt;&gt;0,$H607&gt;0,OR(AUTOEVENTO&lt;&gt;"manual",$M607&lt;&gt;1)),
IF(Import.TipoArredondamento&lt;&gt;"TransfereGOV",
ROUND(OFFSET($P607,0,AD$13),15-13*ORÇAMENTO!$AF$7)/$H607*OFFSET(ORÇAMENTO!$X$15,ROW(AD607)-ROW(AD$15),0),
ROUND(ROUND(OFFSET($P607,0,AD$13),15-13*ORÇAMENTO!$AF$7)*OFFSET(ORÇAMENTO!$W$15,ROW(AD607)-ROW(AD$15),0),15-13*ORÇAMENTO!$AF$11)),0)</f>
        <v>0</v>
      </c>
      <c r="AE607" s="545">
        <f ca="1">IF(AND($D607="Serviço",AE$12&lt;&gt;0,$H607&gt;0,OR(AUTOEVENTO&lt;&gt;"manual",$M607&lt;&gt;1)),
IF(Import.TipoArredondamento&lt;&gt;"TransfereGOV",
ROUND(OFFSET($P607,0,AE$13),15-13*ORÇAMENTO!$AF$7)/$H607*OFFSET(ORÇAMENTO!$X$15,ROW(AE607)-ROW(AE$15),0),
ROUND(ROUND(OFFSET($P607,0,AE$13),15-13*ORÇAMENTO!$AF$7)*OFFSET(ORÇAMENTO!$W$15,ROW(AE607)-ROW(AE$15),0),15-13*ORÇAMENTO!$AF$11)),0)</f>
        <v>0</v>
      </c>
      <c r="AF607" s="545">
        <f ca="1">IF(AND($D607="Serviço",AF$12&lt;&gt;0,$H607&gt;0,OR(AUTOEVENTO&lt;&gt;"manual",$M607&lt;&gt;1)),
IF(Import.TipoArredondamento&lt;&gt;"TransfereGOV",
ROUND(OFFSET($P607,0,AF$13),15-13*ORÇAMENTO!$AF$7)/$H607*OFFSET(ORÇAMENTO!$X$15,ROW(AF607)-ROW(AF$15),0),
ROUND(ROUND(OFFSET($P607,0,AF$13),15-13*ORÇAMENTO!$AF$7)*OFFSET(ORÇAMENTO!$W$15,ROW(AF607)-ROW(AF$15),0),15-13*ORÇAMENTO!$AF$11)),0)</f>
        <v>0</v>
      </c>
      <c r="AG607" s="545">
        <f ca="1">IF(AND($D607="Serviço",AG$12&lt;&gt;0,$H607&gt;0,OR(AUTOEVENTO&lt;&gt;"manual",$M607&lt;&gt;1)),
IF(Import.TipoArredondamento&lt;&gt;"TransfereGOV",
ROUND(OFFSET($P607,0,AG$13),15-13*ORÇAMENTO!$AF$7)/$H607*OFFSET(ORÇAMENTO!$X$15,ROW(AG607)-ROW(AG$15),0),
ROUND(ROUND(OFFSET($P607,0,AG$13),15-13*ORÇAMENTO!$AF$7)*OFFSET(ORÇAMENTO!$W$15,ROW(AG607)-ROW(AG$15),0),15-13*ORÇAMENTO!$AF$11)),0)</f>
        <v>0</v>
      </c>
      <c r="AH607" s="545">
        <f ca="1">IF(AND($D607="Serviço",AH$12&lt;&gt;0,$H607&gt;0,OR(AUTOEVENTO&lt;&gt;"manual",$M607&lt;&gt;1)),
IF(Import.TipoArredondamento&lt;&gt;"TransfereGOV",
ROUND(OFFSET($P607,0,AH$13),15-13*ORÇAMENTO!$AF$7)/$H607*OFFSET(ORÇAMENTO!$X$15,ROW(AH607)-ROW(AH$15),0),
ROUND(ROUND(OFFSET($P607,0,AH$13),15-13*ORÇAMENTO!$AF$7)*OFFSET(ORÇAMENTO!$W$15,ROW(AH607)-ROW(AH$15),0),15-13*ORÇAMENTO!$AF$11)),0)</f>
        <v>0</v>
      </c>
      <c r="AI607" s="545">
        <f ca="1">IF(AND($D607="Serviço",AI$12&lt;&gt;0,$H607&gt;0,OR(AUTOEVENTO&lt;&gt;"manual",$M607&lt;&gt;1)),
IF(Import.TipoArredondamento&lt;&gt;"TransfereGOV",
ROUND(OFFSET($P607,0,AI$13),15-13*ORÇAMENTO!$AF$7)/$H607*OFFSET(ORÇAMENTO!$X$15,ROW(AI607)-ROW(AI$15),0),
ROUND(ROUND(OFFSET($P607,0,AI$13),15-13*ORÇAMENTO!$AF$7)*OFFSET(ORÇAMENTO!$W$15,ROW(AI607)-ROW(AI$15),0),15-13*ORÇAMENTO!$AF$11)),0)</f>
        <v>0</v>
      </c>
      <c r="AJ607" s="545">
        <f ca="1">IF(AND($D607="Serviço",AJ$12&lt;&gt;0,$H607&gt;0,OR(AUTOEVENTO&lt;&gt;"manual",$M607&lt;&gt;1)),
IF(Import.TipoArredondamento&lt;&gt;"TransfereGOV",
ROUND(OFFSET($P607,0,AJ$13),15-13*ORÇAMENTO!$AF$7)/$H607*OFFSET(ORÇAMENTO!$X$15,ROW(AJ607)-ROW(AJ$15),0),
ROUND(ROUND(OFFSET($P607,0,AJ$13),15-13*ORÇAMENTO!$AF$7)*OFFSET(ORÇAMENTO!$W$15,ROW(AJ607)-ROW(AJ$15),0),15-13*ORÇAMENTO!$AF$11)),0)</f>
        <v>0</v>
      </c>
      <c r="AK607" s="546">
        <f ca="1">IF(AND($D607="Serviço",AK$12&lt;&gt;0,$H607&gt;0,OR(AUTOEVENTO&lt;&gt;"manual",$M607&lt;&gt;1)),
IF(Import.TipoArredondamento&lt;&gt;"TransfereGOV",
ROUND(OFFSET($P607,0,AK$13),15-13*ORÇAMENTO!$AF$7)/$H607*OFFSET(ORÇAMENTO!$X$15,ROW(AK607)-ROW(AK$15),0),
ROUND(ROUND(OFFSET($P607,0,AK$13),15-13*ORÇAMENTO!$AF$7)*OFFSET(ORÇAMENTO!$W$15,ROW(AK607)-ROW(AK$15),0),15-13*ORÇAMENTO!$AF$11)),0)</f>
        <v>0</v>
      </c>
      <c r="AM607" s="181">
        <f ca="1">IF($D607&lt;&gt;"Serviço",0,IF(AND(AUTOEVENTO="Manual",$M607=1),0,IF(OFFSET(CRONOPLE!$F$14,$M607,AM$13)="",10^12,OFFSET(CRONOPLE!$F$14,$M607,AM$13))))</f>
        <v>1000000000000</v>
      </c>
      <c r="AN607" s="181">
        <f ca="1">IF($D607&lt;&gt;"Serviço",0,IF(AND(AUTOEVENTO="Manual",$M607=1),0,IF(OFFSET(CRONOPLE!$F$14,$M607,AN$13)="",10^12,OFFSET(CRONOPLE!$F$14,$M607,AN$13))))</f>
        <v>1000000000000</v>
      </c>
      <c r="AO607" s="181">
        <f ca="1">IF($D607&lt;&gt;"Serviço",0,IF(AND(AUTOEVENTO="Manual",$M607=1),0,IF(OFFSET(CRONOPLE!$F$14,$M607,AO$13)="",10^12,OFFSET(CRONOPLE!$F$14,$M607,AO$13))))</f>
        <v>1000000000000</v>
      </c>
      <c r="AP607" s="181">
        <f ca="1">IF($D607&lt;&gt;"Serviço",0,IF(AND(AUTOEVENTO="Manual",$M607=1),0,IF(OFFSET(CRONOPLE!$F$14,$M607,AP$13)="",10^12,OFFSET(CRONOPLE!$F$14,$M607,AP$13))))</f>
        <v>1000000000000</v>
      </c>
      <c r="AQ607" s="181">
        <f ca="1">IF($D607&lt;&gt;"Serviço",0,IF(AND(AUTOEVENTO="Manual",$M607=1),0,IF(OFFSET(CRONOPLE!$F$14,$M607,AQ$13)="",10^12,OFFSET(CRONOPLE!$F$14,$M607,AQ$13))))</f>
        <v>1000000000000</v>
      </c>
      <c r="AR607" s="181">
        <f ca="1">IF($D607&lt;&gt;"Serviço",0,IF(AND(AUTOEVENTO="Manual",$M607=1),0,IF(OFFSET(CRONOPLE!$F$14,$M607,AR$13)="",10^12,OFFSET(CRONOPLE!$F$14,$M607,AR$13))))</f>
        <v>1000000000000</v>
      </c>
      <c r="AS607" s="181">
        <f ca="1">IF($D607&lt;&gt;"Serviço",0,IF(AND(AUTOEVENTO="Manual",$M607=1),0,IF(OFFSET(CRONOPLE!$F$14,$M607,AS$13)="",10^12,OFFSET(CRONOPLE!$F$14,$M607,AS$13))))</f>
        <v>1000000000000</v>
      </c>
      <c r="AT607" s="181">
        <f ca="1">IF($D607&lt;&gt;"Serviço",0,IF(AND(AUTOEVENTO="Manual",$M607=1),0,IF(OFFSET(CRONOPLE!$F$14,$M607,AT$13)="",10^12,OFFSET(CRONOPLE!$F$14,$M607,AT$13))))</f>
        <v>1000000000000</v>
      </c>
      <c r="AU607" s="181">
        <f ca="1">IF($D607&lt;&gt;"Serviço",0,IF(AND(AUTOEVENTO="Manual",$M607=1),0,IF(OFFSET(CRONOPLE!$F$14,$M607,AU$13)="",10^12,OFFSET(CRONOPLE!$F$14,$M607,AU$13))))</f>
        <v>1000000000000</v>
      </c>
      <c r="AV607" s="181">
        <f ca="1">IF($D607&lt;&gt;"Serviço",0,IF(AND(AUTOEVENTO="Manual",$M607=1),0,IF(OFFSET(CRONOPLE!$F$14,$M607,AV$13)="",10^12,OFFSET(CRONOPLE!$F$14,$M607,AV$13))))</f>
        <v>1000000000000</v>
      </c>
      <c r="AX607" s="182">
        <f ca="1">IF($D607&lt;&gt;"Serviço",0,IF(OR(AND(AUTOEVENTO="Manual",$M607=1),$M607&gt;(ROW(PLE.lastrow)-ROW(PLE.firstrow))),0,IF(OFFSET(PLE!$G$14,$M607,AX$13)="",10^12,OFFSET(PLE!$G$14,$M607,AX$13))))</f>
        <v>1000000000000</v>
      </c>
      <c r="AY607" s="182">
        <f ca="1">IF($D607&lt;&gt;"Serviço",0,IF(OR(AND(AUTOEVENTO="Manual",$M607=1),$M607&gt;(ROW(PLE.lastrow)-ROW(PLE.firstrow))),0,IF(OFFSET(PLE!$G$14,$M607,AY$13)="",10^12,OFFSET(PLE!$G$14,$M607,AY$13))))</f>
        <v>1000000000000</v>
      </c>
      <c r="AZ607" s="182">
        <f ca="1">IF($D607&lt;&gt;"Serviço",0,IF(OR(AND(AUTOEVENTO="Manual",$M607=1),$M607&gt;(ROW(PLE.lastrow)-ROW(PLE.firstrow))),0,IF(OFFSET(PLE!$G$14,$M607,AZ$13)="",10^12,OFFSET(PLE!$G$14,$M607,AZ$13))))</f>
        <v>1000000000000</v>
      </c>
      <c r="BA607" s="182">
        <f ca="1">IF($D607&lt;&gt;"Serviço",0,IF(OR(AND(AUTOEVENTO="Manual",$M607=1),$M607&gt;(ROW(PLE.lastrow)-ROW(PLE.firstrow))),0,IF(OFFSET(PLE!$G$14,$M607,BA$13)="",10^12,OFFSET(PLE!$G$14,$M607,BA$13))))</f>
        <v>1000000000000</v>
      </c>
      <c r="BB607" s="182">
        <f ca="1">IF($D607&lt;&gt;"Serviço",0,IF(OR(AND(AUTOEVENTO="Manual",$M607=1),$M607&gt;(ROW(PLE.lastrow)-ROW(PLE.firstrow))),0,IF(OFFSET(PLE!$G$14,$M607,BB$13)="",10^12,OFFSET(PLE!$G$14,$M607,BB$13))))</f>
        <v>1000000000000</v>
      </c>
      <c r="BC607" s="182">
        <f ca="1">IF($D607&lt;&gt;"Serviço",0,IF(OR(AND(AUTOEVENTO="Manual",$M607=1),$M607&gt;(ROW(PLE.lastrow)-ROW(PLE.firstrow))),0,IF(OFFSET(PLE!$G$14,$M607,BC$13)="",10^12,OFFSET(PLE!$G$14,$M607,BC$13))))</f>
        <v>1000000000000</v>
      </c>
      <c r="BD607" s="182">
        <f ca="1">IF($D607&lt;&gt;"Serviço",0,IF(OR(AND(AUTOEVENTO="Manual",$M607=1),$M607&gt;(ROW(PLE.lastrow)-ROW(PLE.firstrow))),0,IF(OFFSET(PLE!$G$14,$M607,BD$13)="",10^12,OFFSET(PLE!$G$14,$M607,BD$13))))</f>
        <v>1000000000000</v>
      </c>
      <c r="BE607" s="182">
        <f ca="1">IF($D607&lt;&gt;"Serviço",0,IF(OR(AND(AUTOEVENTO="Manual",$M607=1),$M607&gt;(ROW(PLE.lastrow)-ROW(PLE.firstrow))),0,IF(OFFSET(PLE!$G$14,$M607,BE$13)="",10^12,OFFSET(PLE!$G$14,$M607,BE$13))))</f>
        <v>1000000000000</v>
      </c>
      <c r="BF607" s="182">
        <f ca="1">IF($D607&lt;&gt;"Serviço",0,IF(OR(AND(AUTOEVENTO="Manual",$M607=1),$M607&gt;(ROW(PLE.lastrow)-ROW(PLE.firstrow))),0,IF(OFFSET(PLE!$G$14,$M607,BF$13)="",10^12,OFFSET(PLE!$G$14,$M607,BF$13))))</f>
        <v>1000000000000</v>
      </c>
      <c r="BG607" s="182">
        <f ca="1">IF($D607&lt;&gt;"Serviço",0,IF(OR(AND(AUTOEVENTO="Manual",$M607=1),$M607&gt;(ROW(PLE.lastrow)-ROW(PLE.firstrow))),0,IF(OFFSET(PLE!$G$14,$M607,BG$13)="",10^12,OFFSET(PLE!$G$14,$M607,BG$13))))</f>
        <v>1000000000000</v>
      </c>
    </row>
    <row r="608" spans="1:59" ht="12.75" x14ac:dyDescent="0.2">
      <c r="A608" s="7" t="str">
        <f t="shared" ca="1" si="16"/>
        <v>593.</v>
      </c>
      <c r="B608" s="7">
        <f ca="1">OFFSET(ORÇAMENTO!C$15,ROW(B608)-ROW(B$15),0)</f>
        <v>2</v>
      </c>
      <c r="C608" s="7" t="str">
        <f ca="1">OFFSET(ORÇAMENTO!L$15,ROW(C608)-ROW(C$15),0)</f>
        <v>F</v>
      </c>
      <c r="D608" s="118" t="str">
        <f ca="1">OFFSET(ORÇAMENTO!N$15,ROW(D608)-ROW(D$15),0)</f>
        <v>Nível 2</v>
      </c>
      <c r="E608" s="119" t="str">
        <f ca="1">OFFSET(ORÇAMENTO!O$15,ROW(E608)-ROW(E$15),0)</f>
        <v>1.18.</v>
      </c>
      <c r="F608" s="172" t="str">
        <f ca="1">OFFSET(ORÇAMENTO!R$15,ROW(F608)-ROW(F$15),0)</f>
        <v>INSTALAÇÕES DE CABEAMENTO ESTRUTURADO</v>
      </c>
      <c r="G608" s="173" t="str">
        <f ca="1">IF($D608&lt;&gt;"Serviço","",OFFSET(ORÇAMENTO!S$15,ROW(G608)-ROW(G$15),0))</f>
        <v/>
      </c>
      <c r="H608" s="124">
        <f ca="1">IF($D608&lt;&gt;"Serviço",0,IF(ACOMPANHAMENTO="BM",ROUND(OFFSET(ORÇAMENTO!AJ$15,ROW(H608)-ROW(H$15),0),15-13*ORÇAMENTO!$AF$7),SUMPRODUCT(($Q$12:$AA$12&lt;&gt;"")*ROUND($Q608:$AA608,15-13*ORÇAMENTO!$AF$7))))</f>
        <v>0</v>
      </c>
      <c r="I608" s="561"/>
      <c r="K608" s="174"/>
      <c r="L608" s="175" t="s">
        <v>255</v>
      </c>
      <c r="M608" s="176" t="str">
        <f ca="1">IF($D608&lt;&gt;"Serviço","",IF(AUTOEVENTO="manual",$A608,IF(ISERROR(MATCH($A608,$A$15:OFFSET($A608,-1,0),0)),MAX($M$15:OFFSET(M608,-1,0))+1,INDEX($M$15:OFFSET(M608,-1,0),MATCH($A608,$A$15:OFFSET($A608,-1,0),0)))))</f>
        <v/>
      </c>
      <c r="N608" s="177" t="str">
        <f ca="1">IF($D608&lt;&gt;"Serviço","",IF(AUTOEVENTO="Manual",IF($A608=0,"&lt;-- defina o número do agrupador",OFFSET(EVENTOS!$D$14,$A608,0)),OFFSET($F$15,$A608,0)))</f>
        <v/>
      </c>
      <c r="O608" s="178"/>
      <c r="Q608" s="178"/>
      <c r="R608" s="179"/>
      <c r="S608" s="179"/>
      <c r="T608" s="179"/>
      <c r="U608" s="179"/>
      <c r="V608" s="179"/>
      <c r="W608" s="179"/>
      <c r="X608" s="179"/>
      <c r="Y608" s="179"/>
      <c r="Z608" s="180"/>
      <c r="AB608" s="544">
        <f ca="1">IF(AND($D608="Serviço",AB$12&lt;&gt;0,$H608&gt;0,OR(AUTOEVENTO&lt;&gt;"manual",$M608&lt;&gt;1)),
IF(Import.TipoArredondamento&lt;&gt;"TransfereGOV",
ROUND(OFFSET($P608,0,AB$13),15-13*ORÇAMENTO!$AF$7)/$H608*OFFSET(ORÇAMENTO!$X$15,ROW(AB608)-ROW(AB$15),0),
ROUND(ROUND(OFFSET($P608,0,AB$13),15-13*ORÇAMENTO!$AF$7)*OFFSET(ORÇAMENTO!$W$15,ROW(AB608)-ROW(AB$15),0),15-13*ORÇAMENTO!$AF$11)),0)</f>
        <v>0</v>
      </c>
      <c r="AC608" s="545">
        <f ca="1">IF(AND($D608="Serviço",AC$12&lt;&gt;0,$H608&gt;0,OR(AUTOEVENTO&lt;&gt;"manual",$M608&lt;&gt;1)),
IF(Import.TipoArredondamento&lt;&gt;"TransfereGOV",
ROUND(OFFSET($P608,0,AC$13),15-13*ORÇAMENTO!$AF$7)/$H608*OFFSET(ORÇAMENTO!$X$15,ROW(AC608)-ROW(AC$15),0),
ROUND(ROUND(OFFSET($P608,0,AC$13),15-13*ORÇAMENTO!$AF$7)*OFFSET(ORÇAMENTO!$W$15,ROW(AC608)-ROW(AC$15),0),15-13*ORÇAMENTO!$AF$11)),0)</f>
        <v>0</v>
      </c>
      <c r="AD608" s="545">
        <f ca="1">IF(AND($D608="Serviço",AD$12&lt;&gt;0,$H608&gt;0,OR(AUTOEVENTO&lt;&gt;"manual",$M608&lt;&gt;1)),
IF(Import.TipoArredondamento&lt;&gt;"TransfereGOV",
ROUND(OFFSET($P608,0,AD$13),15-13*ORÇAMENTO!$AF$7)/$H608*OFFSET(ORÇAMENTO!$X$15,ROW(AD608)-ROW(AD$15),0),
ROUND(ROUND(OFFSET($P608,0,AD$13),15-13*ORÇAMENTO!$AF$7)*OFFSET(ORÇAMENTO!$W$15,ROW(AD608)-ROW(AD$15),0),15-13*ORÇAMENTO!$AF$11)),0)</f>
        <v>0</v>
      </c>
      <c r="AE608" s="545">
        <f ca="1">IF(AND($D608="Serviço",AE$12&lt;&gt;0,$H608&gt;0,OR(AUTOEVENTO&lt;&gt;"manual",$M608&lt;&gt;1)),
IF(Import.TipoArredondamento&lt;&gt;"TransfereGOV",
ROUND(OFFSET($P608,0,AE$13),15-13*ORÇAMENTO!$AF$7)/$H608*OFFSET(ORÇAMENTO!$X$15,ROW(AE608)-ROW(AE$15),0),
ROUND(ROUND(OFFSET($P608,0,AE$13),15-13*ORÇAMENTO!$AF$7)*OFFSET(ORÇAMENTO!$W$15,ROW(AE608)-ROW(AE$15),0),15-13*ORÇAMENTO!$AF$11)),0)</f>
        <v>0</v>
      </c>
      <c r="AF608" s="545">
        <f ca="1">IF(AND($D608="Serviço",AF$12&lt;&gt;0,$H608&gt;0,OR(AUTOEVENTO&lt;&gt;"manual",$M608&lt;&gt;1)),
IF(Import.TipoArredondamento&lt;&gt;"TransfereGOV",
ROUND(OFFSET($P608,0,AF$13),15-13*ORÇAMENTO!$AF$7)/$H608*OFFSET(ORÇAMENTO!$X$15,ROW(AF608)-ROW(AF$15),0),
ROUND(ROUND(OFFSET($P608,0,AF$13),15-13*ORÇAMENTO!$AF$7)*OFFSET(ORÇAMENTO!$W$15,ROW(AF608)-ROW(AF$15),0),15-13*ORÇAMENTO!$AF$11)),0)</f>
        <v>0</v>
      </c>
      <c r="AG608" s="545">
        <f ca="1">IF(AND($D608="Serviço",AG$12&lt;&gt;0,$H608&gt;0,OR(AUTOEVENTO&lt;&gt;"manual",$M608&lt;&gt;1)),
IF(Import.TipoArredondamento&lt;&gt;"TransfereGOV",
ROUND(OFFSET($P608,0,AG$13),15-13*ORÇAMENTO!$AF$7)/$H608*OFFSET(ORÇAMENTO!$X$15,ROW(AG608)-ROW(AG$15),0),
ROUND(ROUND(OFFSET($P608,0,AG$13),15-13*ORÇAMENTO!$AF$7)*OFFSET(ORÇAMENTO!$W$15,ROW(AG608)-ROW(AG$15),0),15-13*ORÇAMENTO!$AF$11)),0)</f>
        <v>0</v>
      </c>
      <c r="AH608" s="545">
        <f ca="1">IF(AND($D608="Serviço",AH$12&lt;&gt;0,$H608&gt;0,OR(AUTOEVENTO&lt;&gt;"manual",$M608&lt;&gt;1)),
IF(Import.TipoArredondamento&lt;&gt;"TransfereGOV",
ROUND(OFFSET($P608,0,AH$13),15-13*ORÇAMENTO!$AF$7)/$H608*OFFSET(ORÇAMENTO!$X$15,ROW(AH608)-ROW(AH$15),0),
ROUND(ROUND(OFFSET($P608,0,AH$13),15-13*ORÇAMENTO!$AF$7)*OFFSET(ORÇAMENTO!$W$15,ROW(AH608)-ROW(AH$15),0),15-13*ORÇAMENTO!$AF$11)),0)</f>
        <v>0</v>
      </c>
      <c r="AI608" s="545">
        <f ca="1">IF(AND($D608="Serviço",AI$12&lt;&gt;0,$H608&gt;0,OR(AUTOEVENTO&lt;&gt;"manual",$M608&lt;&gt;1)),
IF(Import.TipoArredondamento&lt;&gt;"TransfereGOV",
ROUND(OFFSET($P608,0,AI$13),15-13*ORÇAMENTO!$AF$7)/$H608*OFFSET(ORÇAMENTO!$X$15,ROW(AI608)-ROW(AI$15),0),
ROUND(ROUND(OFFSET($P608,0,AI$13),15-13*ORÇAMENTO!$AF$7)*OFFSET(ORÇAMENTO!$W$15,ROW(AI608)-ROW(AI$15),0),15-13*ORÇAMENTO!$AF$11)),0)</f>
        <v>0</v>
      </c>
      <c r="AJ608" s="545">
        <f ca="1">IF(AND($D608="Serviço",AJ$12&lt;&gt;0,$H608&gt;0,OR(AUTOEVENTO&lt;&gt;"manual",$M608&lt;&gt;1)),
IF(Import.TipoArredondamento&lt;&gt;"TransfereGOV",
ROUND(OFFSET($P608,0,AJ$13),15-13*ORÇAMENTO!$AF$7)/$H608*OFFSET(ORÇAMENTO!$X$15,ROW(AJ608)-ROW(AJ$15),0),
ROUND(ROUND(OFFSET($P608,0,AJ$13),15-13*ORÇAMENTO!$AF$7)*OFFSET(ORÇAMENTO!$W$15,ROW(AJ608)-ROW(AJ$15),0),15-13*ORÇAMENTO!$AF$11)),0)</f>
        <v>0</v>
      </c>
      <c r="AK608" s="546">
        <f ca="1">IF(AND($D608="Serviço",AK$12&lt;&gt;0,$H608&gt;0,OR(AUTOEVENTO&lt;&gt;"manual",$M608&lt;&gt;1)),
IF(Import.TipoArredondamento&lt;&gt;"TransfereGOV",
ROUND(OFFSET($P608,0,AK$13),15-13*ORÇAMENTO!$AF$7)/$H608*OFFSET(ORÇAMENTO!$X$15,ROW(AK608)-ROW(AK$15),0),
ROUND(ROUND(OFFSET($P608,0,AK$13),15-13*ORÇAMENTO!$AF$7)*OFFSET(ORÇAMENTO!$W$15,ROW(AK608)-ROW(AK$15),0),15-13*ORÇAMENTO!$AF$11)),0)</f>
        <v>0</v>
      </c>
      <c r="AM608" s="181">
        <f ca="1">IF($D608&lt;&gt;"Serviço",0,IF(AND(AUTOEVENTO="Manual",$M608=1),0,IF(OFFSET(CRONOPLE!$F$14,$M608,AM$13)="",10^12,OFFSET(CRONOPLE!$F$14,$M608,AM$13))))</f>
        <v>0</v>
      </c>
      <c r="AN608" s="181">
        <f ca="1">IF($D608&lt;&gt;"Serviço",0,IF(AND(AUTOEVENTO="Manual",$M608=1),0,IF(OFFSET(CRONOPLE!$F$14,$M608,AN$13)="",10^12,OFFSET(CRONOPLE!$F$14,$M608,AN$13))))</f>
        <v>0</v>
      </c>
      <c r="AO608" s="181">
        <f ca="1">IF($D608&lt;&gt;"Serviço",0,IF(AND(AUTOEVENTO="Manual",$M608=1),0,IF(OFFSET(CRONOPLE!$F$14,$M608,AO$13)="",10^12,OFFSET(CRONOPLE!$F$14,$M608,AO$13))))</f>
        <v>0</v>
      </c>
      <c r="AP608" s="181">
        <f ca="1">IF($D608&lt;&gt;"Serviço",0,IF(AND(AUTOEVENTO="Manual",$M608=1),0,IF(OFFSET(CRONOPLE!$F$14,$M608,AP$13)="",10^12,OFFSET(CRONOPLE!$F$14,$M608,AP$13))))</f>
        <v>0</v>
      </c>
      <c r="AQ608" s="181">
        <f ca="1">IF($D608&lt;&gt;"Serviço",0,IF(AND(AUTOEVENTO="Manual",$M608=1),0,IF(OFFSET(CRONOPLE!$F$14,$M608,AQ$13)="",10^12,OFFSET(CRONOPLE!$F$14,$M608,AQ$13))))</f>
        <v>0</v>
      </c>
      <c r="AR608" s="181">
        <f ca="1">IF($D608&lt;&gt;"Serviço",0,IF(AND(AUTOEVENTO="Manual",$M608=1),0,IF(OFFSET(CRONOPLE!$F$14,$M608,AR$13)="",10^12,OFFSET(CRONOPLE!$F$14,$M608,AR$13))))</f>
        <v>0</v>
      </c>
      <c r="AS608" s="181">
        <f ca="1">IF($D608&lt;&gt;"Serviço",0,IF(AND(AUTOEVENTO="Manual",$M608=1),0,IF(OFFSET(CRONOPLE!$F$14,$M608,AS$13)="",10^12,OFFSET(CRONOPLE!$F$14,$M608,AS$13))))</f>
        <v>0</v>
      </c>
      <c r="AT608" s="181">
        <f ca="1">IF($D608&lt;&gt;"Serviço",0,IF(AND(AUTOEVENTO="Manual",$M608=1),0,IF(OFFSET(CRONOPLE!$F$14,$M608,AT$13)="",10^12,OFFSET(CRONOPLE!$F$14,$M608,AT$13))))</f>
        <v>0</v>
      </c>
      <c r="AU608" s="181">
        <f ca="1">IF($D608&lt;&gt;"Serviço",0,IF(AND(AUTOEVENTO="Manual",$M608=1),0,IF(OFFSET(CRONOPLE!$F$14,$M608,AU$13)="",10^12,OFFSET(CRONOPLE!$F$14,$M608,AU$13))))</f>
        <v>0</v>
      </c>
      <c r="AV608" s="181">
        <f ca="1">IF($D608&lt;&gt;"Serviço",0,IF(AND(AUTOEVENTO="Manual",$M608=1),0,IF(OFFSET(CRONOPLE!$F$14,$M608,AV$13)="",10^12,OFFSET(CRONOPLE!$F$14,$M608,AV$13))))</f>
        <v>0</v>
      </c>
      <c r="AX608" s="182">
        <f ca="1">IF($D608&lt;&gt;"Serviço",0,IF(OR(AND(AUTOEVENTO="Manual",$M608=1),$M608&gt;(ROW(PLE.lastrow)-ROW(PLE.firstrow))),0,IF(OFFSET(PLE!$G$14,$M608,AX$13)="",10^12,OFFSET(PLE!$G$14,$M608,AX$13))))</f>
        <v>0</v>
      </c>
      <c r="AY608" s="182">
        <f ca="1">IF($D608&lt;&gt;"Serviço",0,IF(OR(AND(AUTOEVENTO="Manual",$M608=1),$M608&gt;(ROW(PLE.lastrow)-ROW(PLE.firstrow))),0,IF(OFFSET(PLE!$G$14,$M608,AY$13)="",10^12,OFFSET(PLE!$G$14,$M608,AY$13))))</f>
        <v>0</v>
      </c>
      <c r="AZ608" s="182">
        <f ca="1">IF($D608&lt;&gt;"Serviço",0,IF(OR(AND(AUTOEVENTO="Manual",$M608=1),$M608&gt;(ROW(PLE.lastrow)-ROW(PLE.firstrow))),0,IF(OFFSET(PLE!$G$14,$M608,AZ$13)="",10^12,OFFSET(PLE!$G$14,$M608,AZ$13))))</f>
        <v>0</v>
      </c>
      <c r="BA608" s="182">
        <f ca="1">IF($D608&lt;&gt;"Serviço",0,IF(OR(AND(AUTOEVENTO="Manual",$M608=1),$M608&gt;(ROW(PLE.lastrow)-ROW(PLE.firstrow))),0,IF(OFFSET(PLE!$G$14,$M608,BA$13)="",10^12,OFFSET(PLE!$G$14,$M608,BA$13))))</f>
        <v>0</v>
      </c>
      <c r="BB608" s="182">
        <f ca="1">IF($D608&lt;&gt;"Serviço",0,IF(OR(AND(AUTOEVENTO="Manual",$M608=1),$M608&gt;(ROW(PLE.lastrow)-ROW(PLE.firstrow))),0,IF(OFFSET(PLE!$G$14,$M608,BB$13)="",10^12,OFFSET(PLE!$G$14,$M608,BB$13))))</f>
        <v>0</v>
      </c>
      <c r="BC608" s="182">
        <f ca="1">IF($D608&lt;&gt;"Serviço",0,IF(OR(AND(AUTOEVENTO="Manual",$M608=1),$M608&gt;(ROW(PLE.lastrow)-ROW(PLE.firstrow))),0,IF(OFFSET(PLE!$G$14,$M608,BC$13)="",10^12,OFFSET(PLE!$G$14,$M608,BC$13))))</f>
        <v>0</v>
      </c>
      <c r="BD608" s="182">
        <f ca="1">IF($D608&lt;&gt;"Serviço",0,IF(OR(AND(AUTOEVENTO="Manual",$M608=1),$M608&gt;(ROW(PLE.lastrow)-ROW(PLE.firstrow))),0,IF(OFFSET(PLE!$G$14,$M608,BD$13)="",10^12,OFFSET(PLE!$G$14,$M608,BD$13))))</f>
        <v>0</v>
      </c>
      <c r="BE608" s="182">
        <f ca="1">IF($D608&lt;&gt;"Serviço",0,IF(OR(AND(AUTOEVENTO="Manual",$M608=1),$M608&gt;(ROW(PLE.lastrow)-ROW(PLE.firstrow))),0,IF(OFFSET(PLE!$G$14,$M608,BE$13)="",10^12,OFFSET(PLE!$G$14,$M608,BE$13))))</f>
        <v>0</v>
      </c>
      <c r="BF608" s="182">
        <f ca="1">IF($D608&lt;&gt;"Serviço",0,IF(OR(AND(AUTOEVENTO="Manual",$M608=1),$M608&gt;(ROW(PLE.lastrow)-ROW(PLE.firstrow))),0,IF(OFFSET(PLE!$G$14,$M608,BF$13)="",10^12,OFFSET(PLE!$G$14,$M608,BF$13))))</f>
        <v>0</v>
      </c>
      <c r="BG608" s="182">
        <f ca="1">IF($D608&lt;&gt;"Serviço",0,IF(OR(AND(AUTOEVENTO="Manual",$M608=1),$M608&gt;(ROW(PLE.lastrow)-ROW(PLE.firstrow))),0,IF(OFFSET(PLE!$G$14,$M608,BG$13)="",10^12,OFFSET(PLE!$G$14,$M608,BG$13))))</f>
        <v>0</v>
      </c>
    </row>
    <row r="609" spans="1:59" ht="12.75" x14ac:dyDescent="0.2">
      <c r="A609" s="7" t="str">
        <f t="shared" ca="1" si="16"/>
        <v>593.</v>
      </c>
      <c r="B609" s="7">
        <f ca="1">OFFSET(ORÇAMENTO!C$15,ROW(B609)-ROW(B$15),0)</f>
        <v>3</v>
      </c>
      <c r="C609" s="7" t="str">
        <f ca="1">OFFSET(ORÇAMENTO!L$15,ROW(C609)-ROW(C$15),0)</f>
        <v>F</v>
      </c>
      <c r="D609" s="118" t="str">
        <f ca="1">OFFSET(ORÇAMENTO!N$15,ROW(D609)-ROW(D$15),0)</f>
        <v>Nível 3</v>
      </c>
      <c r="E609" s="119" t="str">
        <f ca="1">OFFSET(ORÇAMENTO!O$15,ROW(E609)-ROW(E$15),0)</f>
        <v>1.18.1.</v>
      </c>
      <c r="F609" s="172" t="str">
        <f ca="1">OFFSET(ORÇAMENTO!R$15,ROW(F609)-ROW(F$15),0)</f>
        <v>ACESSÓRIOS CABEAMENTO</v>
      </c>
      <c r="G609" s="173" t="str">
        <f ca="1">IF($D609&lt;&gt;"Serviço","",OFFSET(ORÇAMENTO!S$15,ROW(G609)-ROW(G$15),0))</f>
        <v/>
      </c>
      <c r="H609" s="124">
        <f ca="1">IF($D609&lt;&gt;"Serviço",0,IF(ACOMPANHAMENTO="BM",ROUND(OFFSET(ORÇAMENTO!AJ$15,ROW(H609)-ROW(H$15),0),15-13*ORÇAMENTO!$AF$7),SUMPRODUCT(($Q$12:$AA$12&lt;&gt;"")*ROUND($Q609:$AA609,15-13*ORÇAMENTO!$AF$7))))</f>
        <v>0</v>
      </c>
      <c r="I609" s="561"/>
      <c r="K609" s="174"/>
      <c r="L609" s="175" t="s">
        <v>255</v>
      </c>
      <c r="M609" s="176" t="str">
        <f ca="1">IF($D609&lt;&gt;"Serviço","",IF(AUTOEVENTO="manual",$A609,IF(ISERROR(MATCH($A609,$A$15:OFFSET($A609,-1,0),0)),MAX($M$15:OFFSET(M609,-1,0))+1,INDEX($M$15:OFFSET(M609,-1,0),MATCH($A609,$A$15:OFFSET($A609,-1,0),0)))))</f>
        <v/>
      </c>
      <c r="N609" s="177" t="str">
        <f ca="1">IF($D609&lt;&gt;"Serviço","",IF(AUTOEVENTO="Manual",IF($A609=0,"&lt;-- defina o número do agrupador",OFFSET(EVENTOS!$D$14,$A609,0)),OFFSET($F$15,$A609,0)))</f>
        <v/>
      </c>
      <c r="O609" s="178"/>
      <c r="Q609" s="178"/>
      <c r="R609" s="179"/>
      <c r="S609" s="179"/>
      <c r="T609" s="179"/>
      <c r="U609" s="179"/>
      <c r="V609" s="179"/>
      <c r="W609" s="179"/>
      <c r="X609" s="179"/>
      <c r="Y609" s="179"/>
      <c r="Z609" s="180"/>
      <c r="AB609" s="544">
        <f ca="1">IF(AND($D609="Serviço",AB$12&lt;&gt;0,$H609&gt;0,OR(AUTOEVENTO&lt;&gt;"manual",$M609&lt;&gt;1)),
IF(Import.TipoArredondamento&lt;&gt;"TransfereGOV",
ROUND(OFFSET($P609,0,AB$13),15-13*ORÇAMENTO!$AF$7)/$H609*OFFSET(ORÇAMENTO!$X$15,ROW(AB609)-ROW(AB$15),0),
ROUND(ROUND(OFFSET($P609,0,AB$13),15-13*ORÇAMENTO!$AF$7)*OFFSET(ORÇAMENTO!$W$15,ROW(AB609)-ROW(AB$15),0),15-13*ORÇAMENTO!$AF$11)),0)</f>
        <v>0</v>
      </c>
      <c r="AC609" s="545">
        <f ca="1">IF(AND($D609="Serviço",AC$12&lt;&gt;0,$H609&gt;0,OR(AUTOEVENTO&lt;&gt;"manual",$M609&lt;&gt;1)),
IF(Import.TipoArredondamento&lt;&gt;"TransfereGOV",
ROUND(OFFSET($P609,0,AC$13),15-13*ORÇAMENTO!$AF$7)/$H609*OFFSET(ORÇAMENTO!$X$15,ROW(AC609)-ROW(AC$15),0),
ROUND(ROUND(OFFSET($P609,0,AC$13),15-13*ORÇAMENTO!$AF$7)*OFFSET(ORÇAMENTO!$W$15,ROW(AC609)-ROW(AC$15),0),15-13*ORÇAMENTO!$AF$11)),0)</f>
        <v>0</v>
      </c>
      <c r="AD609" s="545">
        <f ca="1">IF(AND($D609="Serviço",AD$12&lt;&gt;0,$H609&gt;0,OR(AUTOEVENTO&lt;&gt;"manual",$M609&lt;&gt;1)),
IF(Import.TipoArredondamento&lt;&gt;"TransfereGOV",
ROUND(OFFSET($P609,0,AD$13),15-13*ORÇAMENTO!$AF$7)/$H609*OFFSET(ORÇAMENTO!$X$15,ROW(AD609)-ROW(AD$15),0),
ROUND(ROUND(OFFSET($P609,0,AD$13),15-13*ORÇAMENTO!$AF$7)*OFFSET(ORÇAMENTO!$W$15,ROW(AD609)-ROW(AD$15),0),15-13*ORÇAMENTO!$AF$11)),0)</f>
        <v>0</v>
      </c>
      <c r="AE609" s="545">
        <f ca="1">IF(AND($D609="Serviço",AE$12&lt;&gt;0,$H609&gt;0,OR(AUTOEVENTO&lt;&gt;"manual",$M609&lt;&gt;1)),
IF(Import.TipoArredondamento&lt;&gt;"TransfereGOV",
ROUND(OFFSET($P609,0,AE$13),15-13*ORÇAMENTO!$AF$7)/$H609*OFFSET(ORÇAMENTO!$X$15,ROW(AE609)-ROW(AE$15),0),
ROUND(ROUND(OFFSET($P609,0,AE$13),15-13*ORÇAMENTO!$AF$7)*OFFSET(ORÇAMENTO!$W$15,ROW(AE609)-ROW(AE$15),0),15-13*ORÇAMENTO!$AF$11)),0)</f>
        <v>0</v>
      </c>
      <c r="AF609" s="545">
        <f ca="1">IF(AND($D609="Serviço",AF$12&lt;&gt;0,$H609&gt;0,OR(AUTOEVENTO&lt;&gt;"manual",$M609&lt;&gt;1)),
IF(Import.TipoArredondamento&lt;&gt;"TransfereGOV",
ROUND(OFFSET($P609,0,AF$13),15-13*ORÇAMENTO!$AF$7)/$H609*OFFSET(ORÇAMENTO!$X$15,ROW(AF609)-ROW(AF$15),0),
ROUND(ROUND(OFFSET($P609,0,AF$13),15-13*ORÇAMENTO!$AF$7)*OFFSET(ORÇAMENTO!$W$15,ROW(AF609)-ROW(AF$15),0),15-13*ORÇAMENTO!$AF$11)),0)</f>
        <v>0</v>
      </c>
      <c r="AG609" s="545">
        <f ca="1">IF(AND($D609="Serviço",AG$12&lt;&gt;0,$H609&gt;0,OR(AUTOEVENTO&lt;&gt;"manual",$M609&lt;&gt;1)),
IF(Import.TipoArredondamento&lt;&gt;"TransfereGOV",
ROUND(OFFSET($P609,0,AG$13),15-13*ORÇAMENTO!$AF$7)/$H609*OFFSET(ORÇAMENTO!$X$15,ROW(AG609)-ROW(AG$15),0),
ROUND(ROUND(OFFSET($P609,0,AG$13),15-13*ORÇAMENTO!$AF$7)*OFFSET(ORÇAMENTO!$W$15,ROW(AG609)-ROW(AG$15),0),15-13*ORÇAMENTO!$AF$11)),0)</f>
        <v>0</v>
      </c>
      <c r="AH609" s="545">
        <f ca="1">IF(AND($D609="Serviço",AH$12&lt;&gt;0,$H609&gt;0,OR(AUTOEVENTO&lt;&gt;"manual",$M609&lt;&gt;1)),
IF(Import.TipoArredondamento&lt;&gt;"TransfereGOV",
ROUND(OFFSET($P609,0,AH$13),15-13*ORÇAMENTO!$AF$7)/$H609*OFFSET(ORÇAMENTO!$X$15,ROW(AH609)-ROW(AH$15),0),
ROUND(ROUND(OFFSET($P609,0,AH$13),15-13*ORÇAMENTO!$AF$7)*OFFSET(ORÇAMENTO!$W$15,ROW(AH609)-ROW(AH$15),0),15-13*ORÇAMENTO!$AF$11)),0)</f>
        <v>0</v>
      </c>
      <c r="AI609" s="545">
        <f ca="1">IF(AND($D609="Serviço",AI$12&lt;&gt;0,$H609&gt;0,OR(AUTOEVENTO&lt;&gt;"manual",$M609&lt;&gt;1)),
IF(Import.TipoArredondamento&lt;&gt;"TransfereGOV",
ROUND(OFFSET($P609,0,AI$13),15-13*ORÇAMENTO!$AF$7)/$H609*OFFSET(ORÇAMENTO!$X$15,ROW(AI609)-ROW(AI$15),0),
ROUND(ROUND(OFFSET($P609,0,AI$13),15-13*ORÇAMENTO!$AF$7)*OFFSET(ORÇAMENTO!$W$15,ROW(AI609)-ROW(AI$15),0),15-13*ORÇAMENTO!$AF$11)),0)</f>
        <v>0</v>
      </c>
      <c r="AJ609" s="545">
        <f ca="1">IF(AND($D609="Serviço",AJ$12&lt;&gt;0,$H609&gt;0,OR(AUTOEVENTO&lt;&gt;"manual",$M609&lt;&gt;1)),
IF(Import.TipoArredondamento&lt;&gt;"TransfereGOV",
ROUND(OFFSET($P609,0,AJ$13),15-13*ORÇAMENTO!$AF$7)/$H609*OFFSET(ORÇAMENTO!$X$15,ROW(AJ609)-ROW(AJ$15),0),
ROUND(ROUND(OFFSET($P609,0,AJ$13),15-13*ORÇAMENTO!$AF$7)*OFFSET(ORÇAMENTO!$W$15,ROW(AJ609)-ROW(AJ$15),0),15-13*ORÇAMENTO!$AF$11)),0)</f>
        <v>0</v>
      </c>
      <c r="AK609" s="546">
        <f ca="1">IF(AND($D609="Serviço",AK$12&lt;&gt;0,$H609&gt;0,OR(AUTOEVENTO&lt;&gt;"manual",$M609&lt;&gt;1)),
IF(Import.TipoArredondamento&lt;&gt;"TransfereGOV",
ROUND(OFFSET($P609,0,AK$13),15-13*ORÇAMENTO!$AF$7)/$H609*OFFSET(ORÇAMENTO!$X$15,ROW(AK609)-ROW(AK$15),0),
ROUND(ROUND(OFFSET($P609,0,AK$13),15-13*ORÇAMENTO!$AF$7)*OFFSET(ORÇAMENTO!$W$15,ROW(AK609)-ROW(AK$15),0),15-13*ORÇAMENTO!$AF$11)),0)</f>
        <v>0</v>
      </c>
      <c r="AM609" s="181">
        <f ca="1">IF($D609&lt;&gt;"Serviço",0,IF(AND(AUTOEVENTO="Manual",$M609=1),0,IF(OFFSET(CRONOPLE!$F$14,$M609,AM$13)="",10^12,OFFSET(CRONOPLE!$F$14,$M609,AM$13))))</f>
        <v>0</v>
      </c>
      <c r="AN609" s="181">
        <f ca="1">IF($D609&lt;&gt;"Serviço",0,IF(AND(AUTOEVENTO="Manual",$M609=1),0,IF(OFFSET(CRONOPLE!$F$14,$M609,AN$13)="",10^12,OFFSET(CRONOPLE!$F$14,$M609,AN$13))))</f>
        <v>0</v>
      </c>
      <c r="AO609" s="181">
        <f ca="1">IF($D609&lt;&gt;"Serviço",0,IF(AND(AUTOEVENTO="Manual",$M609=1),0,IF(OFFSET(CRONOPLE!$F$14,$M609,AO$13)="",10^12,OFFSET(CRONOPLE!$F$14,$M609,AO$13))))</f>
        <v>0</v>
      </c>
      <c r="AP609" s="181">
        <f ca="1">IF($D609&lt;&gt;"Serviço",0,IF(AND(AUTOEVENTO="Manual",$M609=1),0,IF(OFFSET(CRONOPLE!$F$14,$M609,AP$13)="",10^12,OFFSET(CRONOPLE!$F$14,$M609,AP$13))))</f>
        <v>0</v>
      </c>
      <c r="AQ609" s="181">
        <f ca="1">IF($D609&lt;&gt;"Serviço",0,IF(AND(AUTOEVENTO="Manual",$M609=1),0,IF(OFFSET(CRONOPLE!$F$14,$M609,AQ$13)="",10^12,OFFSET(CRONOPLE!$F$14,$M609,AQ$13))))</f>
        <v>0</v>
      </c>
      <c r="AR609" s="181">
        <f ca="1">IF($D609&lt;&gt;"Serviço",0,IF(AND(AUTOEVENTO="Manual",$M609=1),0,IF(OFFSET(CRONOPLE!$F$14,$M609,AR$13)="",10^12,OFFSET(CRONOPLE!$F$14,$M609,AR$13))))</f>
        <v>0</v>
      </c>
      <c r="AS609" s="181">
        <f ca="1">IF($D609&lt;&gt;"Serviço",0,IF(AND(AUTOEVENTO="Manual",$M609=1),0,IF(OFFSET(CRONOPLE!$F$14,$M609,AS$13)="",10^12,OFFSET(CRONOPLE!$F$14,$M609,AS$13))))</f>
        <v>0</v>
      </c>
      <c r="AT609" s="181">
        <f ca="1">IF($D609&lt;&gt;"Serviço",0,IF(AND(AUTOEVENTO="Manual",$M609=1),0,IF(OFFSET(CRONOPLE!$F$14,$M609,AT$13)="",10^12,OFFSET(CRONOPLE!$F$14,$M609,AT$13))))</f>
        <v>0</v>
      </c>
      <c r="AU609" s="181">
        <f ca="1">IF($D609&lt;&gt;"Serviço",0,IF(AND(AUTOEVENTO="Manual",$M609=1),0,IF(OFFSET(CRONOPLE!$F$14,$M609,AU$13)="",10^12,OFFSET(CRONOPLE!$F$14,$M609,AU$13))))</f>
        <v>0</v>
      </c>
      <c r="AV609" s="181">
        <f ca="1">IF($D609&lt;&gt;"Serviço",0,IF(AND(AUTOEVENTO="Manual",$M609=1),0,IF(OFFSET(CRONOPLE!$F$14,$M609,AV$13)="",10^12,OFFSET(CRONOPLE!$F$14,$M609,AV$13))))</f>
        <v>0</v>
      </c>
      <c r="AX609" s="182">
        <f ca="1">IF($D609&lt;&gt;"Serviço",0,IF(OR(AND(AUTOEVENTO="Manual",$M609=1),$M609&gt;(ROW(PLE.lastrow)-ROW(PLE.firstrow))),0,IF(OFFSET(PLE!$G$14,$M609,AX$13)="",10^12,OFFSET(PLE!$G$14,$M609,AX$13))))</f>
        <v>0</v>
      </c>
      <c r="AY609" s="182">
        <f ca="1">IF($D609&lt;&gt;"Serviço",0,IF(OR(AND(AUTOEVENTO="Manual",$M609=1),$M609&gt;(ROW(PLE.lastrow)-ROW(PLE.firstrow))),0,IF(OFFSET(PLE!$G$14,$M609,AY$13)="",10^12,OFFSET(PLE!$G$14,$M609,AY$13))))</f>
        <v>0</v>
      </c>
      <c r="AZ609" s="182">
        <f ca="1">IF($D609&lt;&gt;"Serviço",0,IF(OR(AND(AUTOEVENTO="Manual",$M609=1),$M609&gt;(ROW(PLE.lastrow)-ROW(PLE.firstrow))),0,IF(OFFSET(PLE!$G$14,$M609,AZ$13)="",10^12,OFFSET(PLE!$G$14,$M609,AZ$13))))</f>
        <v>0</v>
      </c>
      <c r="BA609" s="182">
        <f ca="1">IF($D609&lt;&gt;"Serviço",0,IF(OR(AND(AUTOEVENTO="Manual",$M609=1),$M609&gt;(ROW(PLE.lastrow)-ROW(PLE.firstrow))),0,IF(OFFSET(PLE!$G$14,$M609,BA$13)="",10^12,OFFSET(PLE!$G$14,$M609,BA$13))))</f>
        <v>0</v>
      </c>
      <c r="BB609" s="182">
        <f ca="1">IF($D609&lt;&gt;"Serviço",0,IF(OR(AND(AUTOEVENTO="Manual",$M609=1),$M609&gt;(ROW(PLE.lastrow)-ROW(PLE.firstrow))),0,IF(OFFSET(PLE!$G$14,$M609,BB$13)="",10^12,OFFSET(PLE!$G$14,$M609,BB$13))))</f>
        <v>0</v>
      </c>
      <c r="BC609" s="182">
        <f ca="1">IF($D609&lt;&gt;"Serviço",0,IF(OR(AND(AUTOEVENTO="Manual",$M609=1),$M609&gt;(ROW(PLE.lastrow)-ROW(PLE.firstrow))),0,IF(OFFSET(PLE!$G$14,$M609,BC$13)="",10^12,OFFSET(PLE!$G$14,$M609,BC$13))))</f>
        <v>0</v>
      </c>
      <c r="BD609" s="182">
        <f ca="1">IF($D609&lt;&gt;"Serviço",0,IF(OR(AND(AUTOEVENTO="Manual",$M609=1),$M609&gt;(ROW(PLE.lastrow)-ROW(PLE.firstrow))),0,IF(OFFSET(PLE!$G$14,$M609,BD$13)="",10^12,OFFSET(PLE!$G$14,$M609,BD$13))))</f>
        <v>0</v>
      </c>
      <c r="BE609" s="182">
        <f ca="1">IF($D609&lt;&gt;"Serviço",0,IF(OR(AND(AUTOEVENTO="Manual",$M609=1),$M609&gt;(ROW(PLE.lastrow)-ROW(PLE.firstrow))),0,IF(OFFSET(PLE!$G$14,$M609,BE$13)="",10^12,OFFSET(PLE!$G$14,$M609,BE$13))))</f>
        <v>0</v>
      </c>
      <c r="BF609" s="182">
        <f ca="1">IF($D609&lt;&gt;"Serviço",0,IF(OR(AND(AUTOEVENTO="Manual",$M609=1),$M609&gt;(ROW(PLE.lastrow)-ROW(PLE.firstrow))),0,IF(OFFSET(PLE!$G$14,$M609,BF$13)="",10^12,OFFSET(PLE!$G$14,$M609,BF$13))))</f>
        <v>0</v>
      </c>
      <c r="BG609" s="182">
        <f ca="1">IF($D609&lt;&gt;"Serviço",0,IF(OR(AND(AUTOEVENTO="Manual",$M609=1),$M609&gt;(ROW(PLE.lastrow)-ROW(PLE.firstrow))),0,IF(OFFSET(PLE!$G$14,$M609,BG$13)="",10^12,OFFSET(PLE!$G$14,$M609,BG$13))))</f>
        <v>0</v>
      </c>
    </row>
    <row r="610" spans="1:59" ht="25.5" x14ac:dyDescent="0.2">
      <c r="A610" s="7" t="str">
        <f t="shared" ca="1" si="16"/>
        <v>593</v>
      </c>
      <c r="B610" s="7" t="str">
        <f ca="1">OFFSET(ORÇAMENTO!C$15,ROW(B610)-ROW(B$15),0)</f>
        <v>S</v>
      </c>
      <c r="C610" s="7" t="str">
        <f ca="1">OFFSET(ORÇAMENTO!L$15,ROW(C610)-ROW(C$15),0)</f>
        <v/>
      </c>
      <c r="D610" s="118" t="str">
        <f ca="1">OFFSET(ORÇAMENTO!N$15,ROW(D610)-ROW(D$15),0)</f>
        <v>Serviço</v>
      </c>
      <c r="E610" s="119" t="str">
        <f ca="1">OFFSET(ORÇAMENTO!O$15,ROW(E610)-ROW(E$15),0)</f>
        <v>-</v>
      </c>
      <c r="F610" s="172" t="str">
        <f ca="1">OFFSET(ORÇAMENTO!R$15,ROW(F610)-ROW(F$15),0)</f>
        <v>(abra o arquivo 'Referência 02-2025.xlsm)</v>
      </c>
      <c r="G610" s="173" t="str">
        <f ca="1">IF($D610&lt;&gt;"Serviço","",OFFSET(ORÇAMENTO!S$15,ROW(G610)-ROW(G$15),0))</f>
        <v>-</v>
      </c>
      <c r="H610" s="124">
        <f ca="1">IF($D610&lt;&gt;"Serviço",0,IF(ACOMPANHAMENTO="BM",ROUND(OFFSET(ORÇAMENTO!AJ$15,ROW(H610)-ROW(H$15),0),15-13*ORÇAMENTO!$AF$7),SUMPRODUCT(($Q$12:$AA$12&lt;&gt;"")*ROUND($Q610:$AA610,15-13*ORÇAMENTO!$AF$7))))</f>
        <v>1</v>
      </c>
      <c r="I610" s="561" t="s">
        <v>890</v>
      </c>
      <c r="K610" s="174"/>
      <c r="L610" s="175" t="s">
        <v>255</v>
      </c>
      <c r="M610" s="176">
        <f ca="1">IF($D610&lt;&gt;"Serviço","",IF(AUTOEVENTO="manual",$A610,IF(ISERROR(MATCH($A610,$A$15:OFFSET($A610,-1,0),0)),MAX($M$15:OFFSET(M610,-1,0))+1,INDEX($M$15:OFFSET(M610,-1,0),MATCH($A610,$A$15:OFFSET($A610,-1,0),0)))))</f>
        <v>19</v>
      </c>
      <c r="N610" s="177" t="str">
        <f ca="1">IF($D610&lt;&gt;"Serviço","",IF(AUTOEVENTO="Manual",IF($A610=0,"&lt;-- defina o número do agrupador",OFFSET(EVENTOS!$D$14,$A610,0)),OFFSET($F$15,$A610,0)))</f>
        <v>INSTALAÇÕES DE CABEAMENTO ESTRUTURADO</v>
      </c>
      <c r="O610" s="178"/>
      <c r="Q610" s="178"/>
      <c r="R610" s="179"/>
      <c r="S610" s="179"/>
      <c r="T610" s="179"/>
      <c r="U610" s="179"/>
      <c r="V610" s="179"/>
      <c r="W610" s="179"/>
      <c r="X610" s="179"/>
      <c r="Y610" s="179"/>
      <c r="Z610" s="180"/>
      <c r="AB610" s="544">
        <f ca="1">IF(AND($D610="Serviço",AB$12&lt;&gt;0,$H610&gt;0,OR(AUTOEVENTO&lt;&gt;"manual",$M610&lt;&gt;1)),
IF(Import.TipoArredondamento&lt;&gt;"TransfereGOV",
ROUND(OFFSET($P610,0,AB$13),15-13*ORÇAMENTO!$AF$7)/$H610*OFFSET(ORÇAMENTO!$X$15,ROW(AB610)-ROW(AB$15),0),
ROUND(ROUND(OFFSET($P610,0,AB$13),15-13*ORÇAMENTO!$AF$7)*OFFSET(ORÇAMENTO!$W$15,ROW(AB610)-ROW(AB$15),0),15-13*ORÇAMENTO!$AF$11)),0)</f>
        <v>0</v>
      </c>
      <c r="AC610" s="545">
        <f ca="1">IF(AND($D610="Serviço",AC$12&lt;&gt;0,$H610&gt;0,OR(AUTOEVENTO&lt;&gt;"manual",$M610&lt;&gt;1)),
IF(Import.TipoArredondamento&lt;&gt;"TransfereGOV",
ROUND(OFFSET($P610,0,AC$13),15-13*ORÇAMENTO!$AF$7)/$H610*OFFSET(ORÇAMENTO!$X$15,ROW(AC610)-ROW(AC$15),0),
ROUND(ROUND(OFFSET($P610,0,AC$13),15-13*ORÇAMENTO!$AF$7)*OFFSET(ORÇAMENTO!$W$15,ROW(AC610)-ROW(AC$15),0),15-13*ORÇAMENTO!$AF$11)),0)</f>
        <v>0</v>
      </c>
      <c r="AD610" s="545">
        <f ca="1">IF(AND($D610="Serviço",AD$12&lt;&gt;0,$H610&gt;0,OR(AUTOEVENTO&lt;&gt;"manual",$M610&lt;&gt;1)),
IF(Import.TipoArredondamento&lt;&gt;"TransfereGOV",
ROUND(OFFSET($P610,0,AD$13),15-13*ORÇAMENTO!$AF$7)/$H610*OFFSET(ORÇAMENTO!$X$15,ROW(AD610)-ROW(AD$15),0),
ROUND(ROUND(OFFSET($P610,0,AD$13),15-13*ORÇAMENTO!$AF$7)*OFFSET(ORÇAMENTO!$W$15,ROW(AD610)-ROW(AD$15),0),15-13*ORÇAMENTO!$AF$11)),0)</f>
        <v>0</v>
      </c>
      <c r="AE610" s="545">
        <f ca="1">IF(AND($D610="Serviço",AE$12&lt;&gt;0,$H610&gt;0,OR(AUTOEVENTO&lt;&gt;"manual",$M610&lt;&gt;1)),
IF(Import.TipoArredondamento&lt;&gt;"TransfereGOV",
ROUND(OFFSET($P610,0,AE$13),15-13*ORÇAMENTO!$AF$7)/$H610*OFFSET(ORÇAMENTO!$X$15,ROW(AE610)-ROW(AE$15),0),
ROUND(ROUND(OFFSET($P610,0,AE$13),15-13*ORÇAMENTO!$AF$7)*OFFSET(ORÇAMENTO!$W$15,ROW(AE610)-ROW(AE$15),0),15-13*ORÇAMENTO!$AF$11)),0)</f>
        <v>0</v>
      </c>
      <c r="AF610" s="545">
        <f ca="1">IF(AND($D610="Serviço",AF$12&lt;&gt;0,$H610&gt;0,OR(AUTOEVENTO&lt;&gt;"manual",$M610&lt;&gt;1)),
IF(Import.TipoArredondamento&lt;&gt;"TransfereGOV",
ROUND(OFFSET($P610,0,AF$13),15-13*ORÇAMENTO!$AF$7)/$H610*OFFSET(ORÇAMENTO!$X$15,ROW(AF610)-ROW(AF$15),0),
ROUND(ROUND(OFFSET($P610,0,AF$13),15-13*ORÇAMENTO!$AF$7)*OFFSET(ORÇAMENTO!$W$15,ROW(AF610)-ROW(AF$15),0),15-13*ORÇAMENTO!$AF$11)),0)</f>
        <v>0</v>
      </c>
      <c r="AG610" s="545">
        <f ca="1">IF(AND($D610="Serviço",AG$12&lt;&gt;0,$H610&gt;0,OR(AUTOEVENTO&lt;&gt;"manual",$M610&lt;&gt;1)),
IF(Import.TipoArredondamento&lt;&gt;"TransfereGOV",
ROUND(OFFSET($P610,0,AG$13),15-13*ORÇAMENTO!$AF$7)/$H610*OFFSET(ORÇAMENTO!$X$15,ROW(AG610)-ROW(AG$15),0),
ROUND(ROUND(OFFSET($P610,0,AG$13),15-13*ORÇAMENTO!$AF$7)*OFFSET(ORÇAMENTO!$W$15,ROW(AG610)-ROW(AG$15),0),15-13*ORÇAMENTO!$AF$11)),0)</f>
        <v>0</v>
      </c>
      <c r="AH610" s="545">
        <f ca="1">IF(AND($D610="Serviço",AH$12&lt;&gt;0,$H610&gt;0,OR(AUTOEVENTO&lt;&gt;"manual",$M610&lt;&gt;1)),
IF(Import.TipoArredondamento&lt;&gt;"TransfereGOV",
ROUND(OFFSET($P610,0,AH$13),15-13*ORÇAMENTO!$AF$7)/$H610*OFFSET(ORÇAMENTO!$X$15,ROW(AH610)-ROW(AH$15),0),
ROUND(ROUND(OFFSET($P610,0,AH$13),15-13*ORÇAMENTO!$AF$7)*OFFSET(ORÇAMENTO!$W$15,ROW(AH610)-ROW(AH$15),0),15-13*ORÇAMENTO!$AF$11)),0)</f>
        <v>0</v>
      </c>
      <c r="AI610" s="545">
        <f ca="1">IF(AND($D610="Serviço",AI$12&lt;&gt;0,$H610&gt;0,OR(AUTOEVENTO&lt;&gt;"manual",$M610&lt;&gt;1)),
IF(Import.TipoArredondamento&lt;&gt;"TransfereGOV",
ROUND(OFFSET($P610,0,AI$13),15-13*ORÇAMENTO!$AF$7)/$H610*OFFSET(ORÇAMENTO!$X$15,ROW(AI610)-ROW(AI$15),0),
ROUND(ROUND(OFFSET($P610,0,AI$13),15-13*ORÇAMENTO!$AF$7)*OFFSET(ORÇAMENTO!$W$15,ROW(AI610)-ROW(AI$15),0),15-13*ORÇAMENTO!$AF$11)),0)</f>
        <v>0</v>
      </c>
      <c r="AJ610" s="545">
        <f ca="1">IF(AND($D610="Serviço",AJ$12&lt;&gt;0,$H610&gt;0,OR(AUTOEVENTO&lt;&gt;"manual",$M610&lt;&gt;1)),
IF(Import.TipoArredondamento&lt;&gt;"TransfereGOV",
ROUND(OFFSET($P610,0,AJ$13),15-13*ORÇAMENTO!$AF$7)/$H610*OFFSET(ORÇAMENTO!$X$15,ROW(AJ610)-ROW(AJ$15),0),
ROUND(ROUND(OFFSET($P610,0,AJ$13),15-13*ORÇAMENTO!$AF$7)*OFFSET(ORÇAMENTO!$W$15,ROW(AJ610)-ROW(AJ$15),0),15-13*ORÇAMENTO!$AF$11)),0)</f>
        <v>0</v>
      </c>
      <c r="AK610" s="546">
        <f ca="1">IF(AND($D610="Serviço",AK$12&lt;&gt;0,$H610&gt;0,OR(AUTOEVENTO&lt;&gt;"manual",$M610&lt;&gt;1)),
IF(Import.TipoArredondamento&lt;&gt;"TransfereGOV",
ROUND(OFFSET($P610,0,AK$13),15-13*ORÇAMENTO!$AF$7)/$H610*OFFSET(ORÇAMENTO!$X$15,ROW(AK610)-ROW(AK$15),0),
ROUND(ROUND(OFFSET($P610,0,AK$13),15-13*ORÇAMENTO!$AF$7)*OFFSET(ORÇAMENTO!$W$15,ROW(AK610)-ROW(AK$15),0),15-13*ORÇAMENTO!$AF$11)),0)</f>
        <v>0</v>
      </c>
      <c r="AM610" s="181">
        <f ca="1">IF($D610&lt;&gt;"Serviço",0,IF(AND(AUTOEVENTO="Manual",$M610=1),0,IF(OFFSET(CRONOPLE!$F$14,$M610,AM$13)="",10^12,OFFSET(CRONOPLE!$F$14,$M610,AM$13))))</f>
        <v>1000000000000</v>
      </c>
      <c r="AN610" s="181">
        <f ca="1">IF($D610&lt;&gt;"Serviço",0,IF(AND(AUTOEVENTO="Manual",$M610=1),0,IF(OFFSET(CRONOPLE!$F$14,$M610,AN$13)="",10^12,OFFSET(CRONOPLE!$F$14,$M610,AN$13))))</f>
        <v>1000000000000</v>
      </c>
      <c r="AO610" s="181">
        <f ca="1">IF($D610&lt;&gt;"Serviço",0,IF(AND(AUTOEVENTO="Manual",$M610=1),0,IF(OFFSET(CRONOPLE!$F$14,$M610,AO$13)="",10^12,OFFSET(CRONOPLE!$F$14,$M610,AO$13))))</f>
        <v>1000000000000</v>
      </c>
      <c r="AP610" s="181">
        <f ca="1">IF($D610&lt;&gt;"Serviço",0,IF(AND(AUTOEVENTO="Manual",$M610=1),0,IF(OFFSET(CRONOPLE!$F$14,$M610,AP$13)="",10^12,OFFSET(CRONOPLE!$F$14,$M610,AP$13))))</f>
        <v>1000000000000</v>
      </c>
      <c r="AQ610" s="181">
        <f ca="1">IF($D610&lt;&gt;"Serviço",0,IF(AND(AUTOEVENTO="Manual",$M610=1),0,IF(OFFSET(CRONOPLE!$F$14,$M610,AQ$13)="",10^12,OFFSET(CRONOPLE!$F$14,$M610,AQ$13))))</f>
        <v>1000000000000</v>
      </c>
      <c r="AR610" s="181">
        <f ca="1">IF($D610&lt;&gt;"Serviço",0,IF(AND(AUTOEVENTO="Manual",$M610=1),0,IF(OFFSET(CRONOPLE!$F$14,$M610,AR$13)="",10^12,OFFSET(CRONOPLE!$F$14,$M610,AR$13))))</f>
        <v>1000000000000</v>
      </c>
      <c r="AS610" s="181">
        <f ca="1">IF($D610&lt;&gt;"Serviço",0,IF(AND(AUTOEVENTO="Manual",$M610=1),0,IF(OFFSET(CRONOPLE!$F$14,$M610,AS$13)="",10^12,OFFSET(CRONOPLE!$F$14,$M610,AS$13))))</f>
        <v>1000000000000</v>
      </c>
      <c r="AT610" s="181">
        <f ca="1">IF($D610&lt;&gt;"Serviço",0,IF(AND(AUTOEVENTO="Manual",$M610=1),0,IF(OFFSET(CRONOPLE!$F$14,$M610,AT$13)="",10^12,OFFSET(CRONOPLE!$F$14,$M610,AT$13))))</f>
        <v>1000000000000</v>
      </c>
      <c r="AU610" s="181">
        <f ca="1">IF($D610&lt;&gt;"Serviço",0,IF(AND(AUTOEVENTO="Manual",$M610=1),0,IF(OFFSET(CRONOPLE!$F$14,$M610,AU$13)="",10^12,OFFSET(CRONOPLE!$F$14,$M610,AU$13))))</f>
        <v>1000000000000</v>
      </c>
      <c r="AV610" s="181">
        <f ca="1">IF($D610&lt;&gt;"Serviço",0,IF(AND(AUTOEVENTO="Manual",$M610=1),0,IF(OFFSET(CRONOPLE!$F$14,$M610,AV$13)="",10^12,OFFSET(CRONOPLE!$F$14,$M610,AV$13))))</f>
        <v>1000000000000</v>
      </c>
      <c r="AX610" s="182">
        <f ca="1">IF($D610&lt;&gt;"Serviço",0,IF(OR(AND(AUTOEVENTO="Manual",$M610=1),$M610&gt;(ROW(PLE.lastrow)-ROW(PLE.firstrow))),0,IF(OFFSET(PLE!$G$14,$M610,AX$13)="",10^12,OFFSET(PLE!$G$14,$M610,AX$13))))</f>
        <v>1000000000000</v>
      </c>
      <c r="AY610" s="182">
        <f ca="1">IF($D610&lt;&gt;"Serviço",0,IF(OR(AND(AUTOEVENTO="Manual",$M610=1),$M610&gt;(ROW(PLE.lastrow)-ROW(PLE.firstrow))),0,IF(OFFSET(PLE!$G$14,$M610,AY$13)="",10^12,OFFSET(PLE!$G$14,$M610,AY$13))))</f>
        <v>1000000000000</v>
      </c>
      <c r="AZ610" s="182">
        <f ca="1">IF($D610&lt;&gt;"Serviço",0,IF(OR(AND(AUTOEVENTO="Manual",$M610=1),$M610&gt;(ROW(PLE.lastrow)-ROW(PLE.firstrow))),0,IF(OFFSET(PLE!$G$14,$M610,AZ$13)="",10^12,OFFSET(PLE!$G$14,$M610,AZ$13))))</f>
        <v>1000000000000</v>
      </c>
      <c r="BA610" s="182">
        <f ca="1">IF($D610&lt;&gt;"Serviço",0,IF(OR(AND(AUTOEVENTO="Manual",$M610=1),$M610&gt;(ROW(PLE.lastrow)-ROW(PLE.firstrow))),0,IF(OFFSET(PLE!$G$14,$M610,BA$13)="",10^12,OFFSET(PLE!$G$14,$M610,BA$13))))</f>
        <v>1000000000000</v>
      </c>
      <c r="BB610" s="182">
        <f ca="1">IF($D610&lt;&gt;"Serviço",0,IF(OR(AND(AUTOEVENTO="Manual",$M610=1),$M610&gt;(ROW(PLE.lastrow)-ROW(PLE.firstrow))),0,IF(OFFSET(PLE!$G$14,$M610,BB$13)="",10^12,OFFSET(PLE!$G$14,$M610,BB$13))))</f>
        <v>1000000000000</v>
      </c>
      <c r="BC610" s="182">
        <f ca="1">IF($D610&lt;&gt;"Serviço",0,IF(OR(AND(AUTOEVENTO="Manual",$M610=1),$M610&gt;(ROW(PLE.lastrow)-ROW(PLE.firstrow))),0,IF(OFFSET(PLE!$G$14,$M610,BC$13)="",10^12,OFFSET(PLE!$G$14,$M610,BC$13))))</f>
        <v>1000000000000</v>
      </c>
      <c r="BD610" s="182">
        <f ca="1">IF($D610&lt;&gt;"Serviço",0,IF(OR(AND(AUTOEVENTO="Manual",$M610=1),$M610&gt;(ROW(PLE.lastrow)-ROW(PLE.firstrow))),0,IF(OFFSET(PLE!$G$14,$M610,BD$13)="",10^12,OFFSET(PLE!$G$14,$M610,BD$13))))</f>
        <v>1000000000000</v>
      </c>
      <c r="BE610" s="182">
        <f ca="1">IF($D610&lt;&gt;"Serviço",0,IF(OR(AND(AUTOEVENTO="Manual",$M610=1),$M610&gt;(ROW(PLE.lastrow)-ROW(PLE.firstrow))),0,IF(OFFSET(PLE!$G$14,$M610,BE$13)="",10^12,OFFSET(PLE!$G$14,$M610,BE$13))))</f>
        <v>1000000000000</v>
      </c>
      <c r="BF610" s="182">
        <f ca="1">IF($D610&lt;&gt;"Serviço",0,IF(OR(AND(AUTOEVENTO="Manual",$M610=1),$M610&gt;(ROW(PLE.lastrow)-ROW(PLE.firstrow))),0,IF(OFFSET(PLE!$G$14,$M610,BF$13)="",10^12,OFFSET(PLE!$G$14,$M610,BF$13))))</f>
        <v>1000000000000</v>
      </c>
      <c r="BG610" s="182">
        <f ca="1">IF($D610&lt;&gt;"Serviço",0,IF(OR(AND(AUTOEVENTO="Manual",$M610=1),$M610&gt;(ROW(PLE.lastrow)-ROW(PLE.firstrow))),0,IF(OFFSET(PLE!$G$14,$M610,BG$13)="",10^12,OFFSET(PLE!$G$14,$M610,BG$13))))</f>
        <v>1000000000000</v>
      </c>
    </row>
    <row r="611" spans="1:59" ht="25.5" x14ac:dyDescent="0.2">
      <c r="A611" s="7" t="str">
        <f t="shared" ca="1" si="16"/>
        <v>593</v>
      </c>
      <c r="B611" s="7" t="str">
        <f ca="1">OFFSET(ORÇAMENTO!C$15,ROW(B611)-ROW(B$15),0)</f>
        <v>S</v>
      </c>
      <c r="C611" s="7" t="str">
        <f ca="1">OFFSET(ORÇAMENTO!L$15,ROW(C611)-ROW(C$15),0)</f>
        <v/>
      </c>
      <c r="D611" s="118" t="str">
        <f ca="1">OFFSET(ORÇAMENTO!N$15,ROW(D611)-ROW(D$15),0)</f>
        <v>Serviço</v>
      </c>
      <c r="E611" s="119" t="str">
        <f ca="1">OFFSET(ORÇAMENTO!O$15,ROW(E611)-ROW(E$15),0)</f>
        <v>-</v>
      </c>
      <c r="F611" s="172" t="str">
        <f ca="1">OFFSET(ORÇAMENTO!R$15,ROW(F611)-ROW(F$15),0)</f>
        <v>(abra o arquivo 'Referência 02-2025.xlsm)</v>
      </c>
      <c r="G611" s="173" t="str">
        <f ca="1">IF($D611&lt;&gt;"Serviço","",OFFSET(ORÇAMENTO!S$15,ROW(G611)-ROW(G$15),0))</f>
        <v>-</v>
      </c>
      <c r="H611" s="124">
        <f ca="1">IF($D611&lt;&gt;"Serviço",0,IF(ACOMPANHAMENTO="BM",ROUND(OFFSET(ORÇAMENTO!AJ$15,ROW(H611)-ROW(H$15),0),15-13*ORÇAMENTO!$AF$7),SUMPRODUCT(($Q$12:$AA$12&lt;&gt;"")*ROUND($Q611:$AA611,15-13*ORÇAMENTO!$AF$7))))</f>
        <v>48</v>
      </c>
      <c r="I611" s="561" t="s">
        <v>890</v>
      </c>
      <c r="K611" s="174"/>
      <c r="L611" s="175" t="s">
        <v>255</v>
      </c>
      <c r="M611" s="176">
        <f ca="1">IF($D611&lt;&gt;"Serviço","",IF(AUTOEVENTO="manual",$A611,IF(ISERROR(MATCH($A611,$A$15:OFFSET($A611,-1,0),0)),MAX($M$15:OFFSET(M611,-1,0))+1,INDEX($M$15:OFFSET(M611,-1,0),MATCH($A611,$A$15:OFFSET($A611,-1,0),0)))))</f>
        <v>19</v>
      </c>
      <c r="N611" s="177" t="str">
        <f ca="1">IF($D611&lt;&gt;"Serviço","",IF(AUTOEVENTO="Manual",IF($A611=0,"&lt;-- defina o número do agrupador",OFFSET(EVENTOS!$D$14,$A611,0)),OFFSET($F$15,$A611,0)))</f>
        <v>INSTALAÇÕES DE CABEAMENTO ESTRUTURADO</v>
      </c>
      <c r="O611" s="178"/>
      <c r="Q611" s="178"/>
      <c r="R611" s="179"/>
      <c r="S611" s="179"/>
      <c r="T611" s="179"/>
      <c r="U611" s="179"/>
      <c r="V611" s="179"/>
      <c r="W611" s="179"/>
      <c r="X611" s="179"/>
      <c r="Y611" s="179"/>
      <c r="Z611" s="180"/>
      <c r="AB611" s="544">
        <f ca="1">IF(AND($D611="Serviço",AB$12&lt;&gt;0,$H611&gt;0,OR(AUTOEVENTO&lt;&gt;"manual",$M611&lt;&gt;1)),
IF(Import.TipoArredondamento&lt;&gt;"TransfereGOV",
ROUND(OFFSET($P611,0,AB$13),15-13*ORÇAMENTO!$AF$7)/$H611*OFFSET(ORÇAMENTO!$X$15,ROW(AB611)-ROW(AB$15),0),
ROUND(ROUND(OFFSET($P611,0,AB$13),15-13*ORÇAMENTO!$AF$7)*OFFSET(ORÇAMENTO!$W$15,ROW(AB611)-ROW(AB$15),0),15-13*ORÇAMENTO!$AF$11)),0)</f>
        <v>0</v>
      </c>
      <c r="AC611" s="545">
        <f ca="1">IF(AND($D611="Serviço",AC$12&lt;&gt;0,$H611&gt;0,OR(AUTOEVENTO&lt;&gt;"manual",$M611&lt;&gt;1)),
IF(Import.TipoArredondamento&lt;&gt;"TransfereGOV",
ROUND(OFFSET($P611,0,AC$13),15-13*ORÇAMENTO!$AF$7)/$H611*OFFSET(ORÇAMENTO!$X$15,ROW(AC611)-ROW(AC$15),0),
ROUND(ROUND(OFFSET($P611,0,AC$13),15-13*ORÇAMENTO!$AF$7)*OFFSET(ORÇAMENTO!$W$15,ROW(AC611)-ROW(AC$15),0),15-13*ORÇAMENTO!$AF$11)),0)</f>
        <v>0</v>
      </c>
      <c r="AD611" s="545">
        <f ca="1">IF(AND($D611="Serviço",AD$12&lt;&gt;0,$H611&gt;0,OR(AUTOEVENTO&lt;&gt;"manual",$M611&lt;&gt;1)),
IF(Import.TipoArredondamento&lt;&gt;"TransfereGOV",
ROUND(OFFSET($P611,0,AD$13),15-13*ORÇAMENTO!$AF$7)/$H611*OFFSET(ORÇAMENTO!$X$15,ROW(AD611)-ROW(AD$15),0),
ROUND(ROUND(OFFSET($P611,0,AD$13),15-13*ORÇAMENTO!$AF$7)*OFFSET(ORÇAMENTO!$W$15,ROW(AD611)-ROW(AD$15),0),15-13*ORÇAMENTO!$AF$11)),0)</f>
        <v>0</v>
      </c>
      <c r="AE611" s="545">
        <f ca="1">IF(AND($D611="Serviço",AE$12&lt;&gt;0,$H611&gt;0,OR(AUTOEVENTO&lt;&gt;"manual",$M611&lt;&gt;1)),
IF(Import.TipoArredondamento&lt;&gt;"TransfereGOV",
ROUND(OFFSET($P611,0,AE$13),15-13*ORÇAMENTO!$AF$7)/$H611*OFFSET(ORÇAMENTO!$X$15,ROW(AE611)-ROW(AE$15),0),
ROUND(ROUND(OFFSET($P611,0,AE$13),15-13*ORÇAMENTO!$AF$7)*OFFSET(ORÇAMENTO!$W$15,ROW(AE611)-ROW(AE$15),0),15-13*ORÇAMENTO!$AF$11)),0)</f>
        <v>0</v>
      </c>
      <c r="AF611" s="545">
        <f ca="1">IF(AND($D611="Serviço",AF$12&lt;&gt;0,$H611&gt;0,OR(AUTOEVENTO&lt;&gt;"manual",$M611&lt;&gt;1)),
IF(Import.TipoArredondamento&lt;&gt;"TransfereGOV",
ROUND(OFFSET($P611,0,AF$13),15-13*ORÇAMENTO!$AF$7)/$H611*OFFSET(ORÇAMENTO!$X$15,ROW(AF611)-ROW(AF$15),0),
ROUND(ROUND(OFFSET($P611,0,AF$13),15-13*ORÇAMENTO!$AF$7)*OFFSET(ORÇAMENTO!$W$15,ROW(AF611)-ROW(AF$15),0),15-13*ORÇAMENTO!$AF$11)),0)</f>
        <v>0</v>
      </c>
      <c r="AG611" s="545">
        <f ca="1">IF(AND($D611="Serviço",AG$12&lt;&gt;0,$H611&gt;0,OR(AUTOEVENTO&lt;&gt;"manual",$M611&lt;&gt;1)),
IF(Import.TipoArredondamento&lt;&gt;"TransfereGOV",
ROUND(OFFSET($P611,0,AG$13),15-13*ORÇAMENTO!$AF$7)/$H611*OFFSET(ORÇAMENTO!$X$15,ROW(AG611)-ROW(AG$15),0),
ROUND(ROUND(OFFSET($P611,0,AG$13),15-13*ORÇAMENTO!$AF$7)*OFFSET(ORÇAMENTO!$W$15,ROW(AG611)-ROW(AG$15),0),15-13*ORÇAMENTO!$AF$11)),0)</f>
        <v>0</v>
      </c>
      <c r="AH611" s="545">
        <f ca="1">IF(AND($D611="Serviço",AH$12&lt;&gt;0,$H611&gt;0,OR(AUTOEVENTO&lt;&gt;"manual",$M611&lt;&gt;1)),
IF(Import.TipoArredondamento&lt;&gt;"TransfereGOV",
ROUND(OFFSET($P611,0,AH$13),15-13*ORÇAMENTO!$AF$7)/$H611*OFFSET(ORÇAMENTO!$X$15,ROW(AH611)-ROW(AH$15),0),
ROUND(ROUND(OFFSET($P611,0,AH$13),15-13*ORÇAMENTO!$AF$7)*OFFSET(ORÇAMENTO!$W$15,ROW(AH611)-ROW(AH$15),0),15-13*ORÇAMENTO!$AF$11)),0)</f>
        <v>0</v>
      </c>
      <c r="AI611" s="545">
        <f ca="1">IF(AND($D611="Serviço",AI$12&lt;&gt;0,$H611&gt;0,OR(AUTOEVENTO&lt;&gt;"manual",$M611&lt;&gt;1)),
IF(Import.TipoArredondamento&lt;&gt;"TransfereGOV",
ROUND(OFFSET($P611,0,AI$13),15-13*ORÇAMENTO!$AF$7)/$H611*OFFSET(ORÇAMENTO!$X$15,ROW(AI611)-ROW(AI$15),0),
ROUND(ROUND(OFFSET($P611,0,AI$13),15-13*ORÇAMENTO!$AF$7)*OFFSET(ORÇAMENTO!$W$15,ROW(AI611)-ROW(AI$15),0),15-13*ORÇAMENTO!$AF$11)),0)</f>
        <v>0</v>
      </c>
      <c r="AJ611" s="545">
        <f ca="1">IF(AND($D611="Serviço",AJ$12&lt;&gt;0,$H611&gt;0,OR(AUTOEVENTO&lt;&gt;"manual",$M611&lt;&gt;1)),
IF(Import.TipoArredondamento&lt;&gt;"TransfereGOV",
ROUND(OFFSET($P611,0,AJ$13),15-13*ORÇAMENTO!$AF$7)/$H611*OFFSET(ORÇAMENTO!$X$15,ROW(AJ611)-ROW(AJ$15),0),
ROUND(ROUND(OFFSET($P611,0,AJ$13),15-13*ORÇAMENTO!$AF$7)*OFFSET(ORÇAMENTO!$W$15,ROW(AJ611)-ROW(AJ$15),0),15-13*ORÇAMENTO!$AF$11)),0)</f>
        <v>0</v>
      </c>
      <c r="AK611" s="546">
        <f ca="1">IF(AND($D611="Serviço",AK$12&lt;&gt;0,$H611&gt;0,OR(AUTOEVENTO&lt;&gt;"manual",$M611&lt;&gt;1)),
IF(Import.TipoArredondamento&lt;&gt;"TransfereGOV",
ROUND(OFFSET($P611,0,AK$13),15-13*ORÇAMENTO!$AF$7)/$H611*OFFSET(ORÇAMENTO!$X$15,ROW(AK611)-ROW(AK$15),0),
ROUND(ROUND(OFFSET($P611,0,AK$13),15-13*ORÇAMENTO!$AF$7)*OFFSET(ORÇAMENTO!$W$15,ROW(AK611)-ROW(AK$15),0),15-13*ORÇAMENTO!$AF$11)),0)</f>
        <v>0</v>
      </c>
      <c r="AM611" s="181">
        <f ca="1">IF($D611&lt;&gt;"Serviço",0,IF(AND(AUTOEVENTO="Manual",$M611=1),0,IF(OFFSET(CRONOPLE!$F$14,$M611,AM$13)="",10^12,OFFSET(CRONOPLE!$F$14,$M611,AM$13))))</f>
        <v>1000000000000</v>
      </c>
      <c r="AN611" s="181">
        <f ca="1">IF($D611&lt;&gt;"Serviço",0,IF(AND(AUTOEVENTO="Manual",$M611=1),0,IF(OFFSET(CRONOPLE!$F$14,$M611,AN$13)="",10^12,OFFSET(CRONOPLE!$F$14,$M611,AN$13))))</f>
        <v>1000000000000</v>
      </c>
      <c r="AO611" s="181">
        <f ca="1">IF($D611&lt;&gt;"Serviço",0,IF(AND(AUTOEVENTO="Manual",$M611=1),0,IF(OFFSET(CRONOPLE!$F$14,$M611,AO$13)="",10^12,OFFSET(CRONOPLE!$F$14,$M611,AO$13))))</f>
        <v>1000000000000</v>
      </c>
      <c r="AP611" s="181">
        <f ca="1">IF($D611&lt;&gt;"Serviço",0,IF(AND(AUTOEVENTO="Manual",$M611=1),0,IF(OFFSET(CRONOPLE!$F$14,$M611,AP$13)="",10^12,OFFSET(CRONOPLE!$F$14,$M611,AP$13))))</f>
        <v>1000000000000</v>
      </c>
      <c r="AQ611" s="181">
        <f ca="1">IF($D611&lt;&gt;"Serviço",0,IF(AND(AUTOEVENTO="Manual",$M611=1),0,IF(OFFSET(CRONOPLE!$F$14,$M611,AQ$13)="",10^12,OFFSET(CRONOPLE!$F$14,$M611,AQ$13))))</f>
        <v>1000000000000</v>
      </c>
      <c r="AR611" s="181">
        <f ca="1">IF($D611&lt;&gt;"Serviço",0,IF(AND(AUTOEVENTO="Manual",$M611=1),0,IF(OFFSET(CRONOPLE!$F$14,$M611,AR$13)="",10^12,OFFSET(CRONOPLE!$F$14,$M611,AR$13))))</f>
        <v>1000000000000</v>
      </c>
      <c r="AS611" s="181">
        <f ca="1">IF($D611&lt;&gt;"Serviço",0,IF(AND(AUTOEVENTO="Manual",$M611=1),0,IF(OFFSET(CRONOPLE!$F$14,$M611,AS$13)="",10^12,OFFSET(CRONOPLE!$F$14,$M611,AS$13))))</f>
        <v>1000000000000</v>
      </c>
      <c r="AT611" s="181">
        <f ca="1">IF($D611&lt;&gt;"Serviço",0,IF(AND(AUTOEVENTO="Manual",$M611=1),0,IF(OFFSET(CRONOPLE!$F$14,$M611,AT$13)="",10^12,OFFSET(CRONOPLE!$F$14,$M611,AT$13))))</f>
        <v>1000000000000</v>
      </c>
      <c r="AU611" s="181">
        <f ca="1">IF($D611&lt;&gt;"Serviço",0,IF(AND(AUTOEVENTO="Manual",$M611=1),0,IF(OFFSET(CRONOPLE!$F$14,$M611,AU$13)="",10^12,OFFSET(CRONOPLE!$F$14,$M611,AU$13))))</f>
        <v>1000000000000</v>
      </c>
      <c r="AV611" s="181">
        <f ca="1">IF($D611&lt;&gt;"Serviço",0,IF(AND(AUTOEVENTO="Manual",$M611=1),0,IF(OFFSET(CRONOPLE!$F$14,$M611,AV$13)="",10^12,OFFSET(CRONOPLE!$F$14,$M611,AV$13))))</f>
        <v>1000000000000</v>
      </c>
      <c r="AX611" s="182">
        <f ca="1">IF($D611&lt;&gt;"Serviço",0,IF(OR(AND(AUTOEVENTO="Manual",$M611=1),$M611&gt;(ROW(PLE.lastrow)-ROW(PLE.firstrow))),0,IF(OFFSET(PLE!$G$14,$M611,AX$13)="",10^12,OFFSET(PLE!$G$14,$M611,AX$13))))</f>
        <v>1000000000000</v>
      </c>
      <c r="AY611" s="182">
        <f ca="1">IF($D611&lt;&gt;"Serviço",0,IF(OR(AND(AUTOEVENTO="Manual",$M611=1),$M611&gt;(ROW(PLE.lastrow)-ROW(PLE.firstrow))),0,IF(OFFSET(PLE!$G$14,$M611,AY$13)="",10^12,OFFSET(PLE!$G$14,$M611,AY$13))))</f>
        <v>1000000000000</v>
      </c>
      <c r="AZ611" s="182">
        <f ca="1">IF($D611&lt;&gt;"Serviço",0,IF(OR(AND(AUTOEVENTO="Manual",$M611=1),$M611&gt;(ROW(PLE.lastrow)-ROW(PLE.firstrow))),0,IF(OFFSET(PLE!$G$14,$M611,AZ$13)="",10^12,OFFSET(PLE!$G$14,$M611,AZ$13))))</f>
        <v>1000000000000</v>
      </c>
      <c r="BA611" s="182">
        <f ca="1">IF($D611&lt;&gt;"Serviço",0,IF(OR(AND(AUTOEVENTO="Manual",$M611=1),$M611&gt;(ROW(PLE.lastrow)-ROW(PLE.firstrow))),0,IF(OFFSET(PLE!$G$14,$M611,BA$13)="",10^12,OFFSET(PLE!$G$14,$M611,BA$13))))</f>
        <v>1000000000000</v>
      </c>
      <c r="BB611" s="182">
        <f ca="1">IF($D611&lt;&gt;"Serviço",0,IF(OR(AND(AUTOEVENTO="Manual",$M611=1),$M611&gt;(ROW(PLE.lastrow)-ROW(PLE.firstrow))),0,IF(OFFSET(PLE!$G$14,$M611,BB$13)="",10^12,OFFSET(PLE!$G$14,$M611,BB$13))))</f>
        <v>1000000000000</v>
      </c>
      <c r="BC611" s="182">
        <f ca="1">IF($D611&lt;&gt;"Serviço",0,IF(OR(AND(AUTOEVENTO="Manual",$M611=1),$M611&gt;(ROW(PLE.lastrow)-ROW(PLE.firstrow))),0,IF(OFFSET(PLE!$G$14,$M611,BC$13)="",10^12,OFFSET(PLE!$G$14,$M611,BC$13))))</f>
        <v>1000000000000</v>
      </c>
      <c r="BD611" s="182">
        <f ca="1">IF($D611&lt;&gt;"Serviço",0,IF(OR(AND(AUTOEVENTO="Manual",$M611=1),$M611&gt;(ROW(PLE.lastrow)-ROW(PLE.firstrow))),0,IF(OFFSET(PLE!$G$14,$M611,BD$13)="",10^12,OFFSET(PLE!$G$14,$M611,BD$13))))</f>
        <v>1000000000000</v>
      </c>
      <c r="BE611" s="182">
        <f ca="1">IF($D611&lt;&gt;"Serviço",0,IF(OR(AND(AUTOEVENTO="Manual",$M611=1),$M611&gt;(ROW(PLE.lastrow)-ROW(PLE.firstrow))),0,IF(OFFSET(PLE!$G$14,$M611,BE$13)="",10^12,OFFSET(PLE!$G$14,$M611,BE$13))))</f>
        <v>1000000000000</v>
      </c>
      <c r="BF611" s="182">
        <f ca="1">IF($D611&lt;&gt;"Serviço",0,IF(OR(AND(AUTOEVENTO="Manual",$M611=1),$M611&gt;(ROW(PLE.lastrow)-ROW(PLE.firstrow))),0,IF(OFFSET(PLE!$G$14,$M611,BF$13)="",10^12,OFFSET(PLE!$G$14,$M611,BF$13))))</f>
        <v>1000000000000</v>
      </c>
      <c r="BG611" s="182">
        <f ca="1">IF($D611&lt;&gt;"Serviço",0,IF(OR(AND(AUTOEVENTO="Manual",$M611=1),$M611&gt;(ROW(PLE.lastrow)-ROW(PLE.firstrow))),0,IF(OFFSET(PLE!$G$14,$M611,BG$13)="",10^12,OFFSET(PLE!$G$14,$M611,BG$13))))</f>
        <v>1000000000000</v>
      </c>
    </row>
    <row r="612" spans="1:59" ht="25.5" x14ac:dyDescent="0.2">
      <c r="A612" s="7" t="str">
        <f t="shared" ca="1" si="16"/>
        <v>593</v>
      </c>
      <c r="B612" s="7" t="str">
        <f ca="1">OFFSET(ORÇAMENTO!C$15,ROW(B612)-ROW(B$15),0)</f>
        <v>S</v>
      </c>
      <c r="C612" s="7" t="str">
        <f ca="1">OFFSET(ORÇAMENTO!L$15,ROW(C612)-ROW(C$15),0)</f>
        <v/>
      </c>
      <c r="D612" s="118" t="str">
        <f ca="1">OFFSET(ORÇAMENTO!N$15,ROW(D612)-ROW(D$15),0)</f>
        <v>Serviço</v>
      </c>
      <c r="E612" s="119" t="str">
        <f ca="1">OFFSET(ORÇAMENTO!O$15,ROW(E612)-ROW(E$15),0)</f>
        <v>-</v>
      </c>
      <c r="F612" s="172" t="str">
        <f ca="1">OFFSET(ORÇAMENTO!R$15,ROW(F612)-ROW(F$15),0)</f>
        <v>(abra o arquivo 'Referência 02-2025.xlsm)</v>
      </c>
      <c r="G612" s="173" t="str">
        <f ca="1">IF($D612&lt;&gt;"Serviço","",OFFSET(ORÇAMENTO!S$15,ROW(G612)-ROW(G$15),0))</f>
        <v>-</v>
      </c>
      <c r="H612" s="124">
        <f ca="1">IF($D612&lt;&gt;"Serviço",0,IF(ACOMPANHAMENTO="BM",ROUND(OFFSET(ORÇAMENTO!AJ$15,ROW(H612)-ROW(H$15),0),15-13*ORÇAMENTO!$AF$7),SUMPRODUCT(($Q$12:$AA$12&lt;&gt;"")*ROUND($Q612:$AA612,15-13*ORÇAMENTO!$AF$7))))</f>
        <v>3</v>
      </c>
      <c r="I612" s="561" t="s">
        <v>890</v>
      </c>
      <c r="K612" s="174"/>
      <c r="L612" s="175" t="s">
        <v>255</v>
      </c>
      <c r="M612" s="176">
        <f ca="1">IF($D612&lt;&gt;"Serviço","",IF(AUTOEVENTO="manual",$A612,IF(ISERROR(MATCH($A612,$A$15:OFFSET($A612,-1,0),0)),MAX($M$15:OFFSET(M612,-1,0))+1,INDEX($M$15:OFFSET(M612,-1,0),MATCH($A612,$A$15:OFFSET($A612,-1,0),0)))))</f>
        <v>19</v>
      </c>
      <c r="N612" s="177" t="str">
        <f ca="1">IF($D612&lt;&gt;"Serviço","",IF(AUTOEVENTO="Manual",IF($A612=0,"&lt;-- defina o número do agrupador",OFFSET(EVENTOS!$D$14,$A612,0)),OFFSET($F$15,$A612,0)))</f>
        <v>INSTALAÇÕES DE CABEAMENTO ESTRUTURADO</v>
      </c>
      <c r="O612" s="178"/>
      <c r="Q612" s="178"/>
      <c r="R612" s="179"/>
      <c r="S612" s="179"/>
      <c r="T612" s="179"/>
      <c r="U612" s="179"/>
      <c r="V612" s="179"/>
      <c r="W612" s="179"/>
      <c r="X612" s="179"/>
      <c r="Y612" s="179"/>
      <c r="Z612" s="180"/>
      <c r="AB612" s="544">
        <f ca="1">IF(AND($D612="Serviço",AB$12&lt;&gt;0,$H612&gt;0,OR(AUTOEVENTO&lt;&gt;"manual",$M612&lt;&gt;1)),
IF(Import.TipoArredondamento&lt;&gt;"TransfereGOV",
ROUND(OFFSET($P612,0,AB$13),15-13*ORÇAMENTO!$AF$7)/$H612*OFFSET(ORÇAMENTO!$X$15,ROW(AB612)-ROW(AB$15),0),
ROUND(ROUND(OFFSET($P612,0,AB$13),15-13*ORÇAMENTO!$AF$7)*OFFSET(ORÇAMENTO!$W$15,ROW(AB612)-ROW(AB$15),0),15-13*ORÇAMENTO!$AF$11)),0)</f>
        <v>0</v>
      </c>
      <c r="AC612" s="545">
        <f ca="1">IF(AND($D612="Serviço",AC$12&lt;&gt;0,$H612&gt;0,OR(AUTOEVENTO&lt;&gt;"manual",$M612&lt;&gt;1)),
IF(Import.TipoArredondamento&lt;&gt;"TransfereGOV",
ROUND(OFFSET($P612,0,AC$13),15-13*ORÇAMENTO!$AF$7)/$H612*OFFSET(ORÇAMENTO!$X$15,ROW(AC612)-ROW(AC$15),0),
ROUND(ROUND(OFFSET($P612,0,AC$13),15-13*ORÇAMENTO!$AF$7)*OFFSET(ORÇAMENTO!$W$15,ROW(AC612)-ROW(AC$15),0),15-13*ORÇAMENTO!$AF$11)),0)</f>
        <v>0</v>
      </c>
      <c r="AD612" s="545">
        <f ca="1">IF(AND($D612="Serviço",AD$12&lt;&gt;0,$H612&gt;0,OR(AUTOEVENTO&lt;&gt;"manual",$M612&lt;&gt;1)),
IF(Import.TipoArredondamento&lt;&gt;"TransfereGOV",
ROUND(OFFSET($P612,0,AD$13),15-13*ORÇAMENTO!$AF$7)/$H612*OFFSET(ORÇAMENTO!$X$15,ROW(AD612)-ROW(AD$15),0),
ROUND(ROUND(OFFSET($P612,0,AD$13),15-13*ORÇAMENTO!$AF$7)*OFFSET(ORÇAMENTO!$W$15,ROW(AD612)-ROW(AD$15),0),15-13*ORÇAMENTO!$AF$11)),0)</f>
        <v>0</v>
      </c>
      <c r="AE612" s="545">
        <f ca="1">IF(AND($D612="Serviço",AE$12&lt;&gt;0,$H612&gt;0,OR(AUTOEVENTO&lt;&gt;"manual",$M612&lt;&gt;1)),
IF(Import.TipoArredondamento&lt;&gt;"TransfereGOV",
ROUND(OFFSET($P612,0,AE$13),15-13*ORÇAMENTO!$AF$7)/$H612*OFFSET(ORÇAMENTO!$X$15,ROW(AE612)-ROW(AE$15),0),
ROUND(ROUND(OFFSET($P612,0,AE$13),15-13*ORÇAMENTO!$AF$7)*OFFSET(ORÇAMENTO!$W$15,ROW(AE612)-ROW(AE$15),0),15-13*ORÇAMENTO!$AF$11)),0)</f>
        <v>0</v>
      </c>
      <c r="AF612" s="545">
        <f ca="1">IF(AND($D612="Serviço",AF$12&lt;&gt;0,$H612&gt;0,OR(AUTOEVENTO&lt;&gt;"manual",$M612&lt;&gt;1)),
IF(Import.TipoArredondamento&lt;&gt;"TransfereGOV",
ROUND(OFFSET($P612,0,AF$13),15-13*ORÇAMENTO!$AF$7)/$H612*OFFSET(ORÇAMENTO!$X$15,ROW(AF612)-ROW(AF$15),0),
ROUND(ROUND(OFFSET($P612,0,AF$13),15-13*ORÇAMENTO!$AF$7)*OFFSET(ORÇAMENTO!$W$15,ROW(AF612)-ROW(AF$15),0),15-13*ORÇAMENTO!$AF$11)),0)</f>
        <v>0</v>
      </c>
      <c r="AG612" s="545">
        <f ca="1">IF(AND($D612="Serviço",AG$12&lt;&gt;0,$H612&gt;0,OR(AUTOEVENTO&lt;&gt;"manual",$M612&lt;&gt;1)),
IF(Import.TipoArredondamento&lt;&gt;"TransfereGOV",
ROUND(OFFSET($P612,0,AG$13),15-13*ORÇAMENTO!$AF$7)/$H612*OFFSET(ORÇAMENTO!$X$15,ROW(AG612)-ROW(AG$15),0),
ROUND(ROUND(OFFSET($P612,0,AG$13),15-13*ORÇAMENTO!$AF$7)*OFFSET(ORÇAMENTO!$W$15,ROW(AG612)-ROW(AG$15),0),15-13*ORÇAMENTO!$AF$11)),0)</f>
        <v>0</v>
      </c>
      <c r="AH612" s="545">
        <f ca="1">IF(AND($D612="Serviço",AH$12&lt;&gt;0,$H612&gt;0,OR(AUTOEVENTO&lt;&gt;"manual",$M612&lt;&gt;1)),
IF(Import.TipoArredondamento&lt;&gt;"TransfereGOV",
ROUND(OFFSET($P612,0,AH$13),15-13*ORÇAMENTO!$AF$7)/$H612*OFFSET(ORÇAMENTO!$X$15,ROW(AH612)-ROW(AH$15),0),
ROUND(ROUND(OFFSET($P612,0,AH$13),15-13*ORÇAMENTO!$AF$7)*OFFSET(ORÇAMENTO!$W$15,ROW(AH612)-ROW(AH$15),0),15-13*ORÇAMENTO!$AF$11)),0)</f>
        <v>0</v>
      </c>
      <c r="AI612" s="545">
        <f ca="1">IF(AND($D612="Serviço",AI$12&lt;&gt;0,$H612&gt;0,OR(AUTOEVENTO&lt;&gt;"manual",$M612&lt;&gt;1)),
IF(Import.TipoArredondamento&lt;&gt;"TransfereGOV",
ROUND(OFFSET($P612,0,AI$13),15-13*ORÇAMENTO!$AF$7)/$H612*OFFSET(ORÇAMENTO!$X$15,ROW(AI612)-ROW(AI$15),0),
ROUND(ROUND(OFFSET($P612,0,AI$13),15-13*ORÇAMENTO!$AF$7)*OFFSET(ORÇAMENTO!$W$15,ROW(AI612)-ROW(AI$15),0),15-13*ORÇAMENTO!$AF$11)),0)</f>
        <v>0</v>
      </c>
      <c r="AJ612" s="545">
        <f ca="1">IF(AND($D612="Serviço",AJ$12&lt;&gt;0,$H612&gt;0,OR(AUTOEVENTO&lt;&gt;"manual",$M612&lt;&gt;1)),
IF(Import.TipoArredondamento&lt;&gt;"TransfereGOV",
ROUND(OFFSET($P612,0,AJ$13),15-13*ORÇAMENTO!$AF$7)/$H612*OFFSET(ORÇAMENTO!$X$15,ROW(AJ612)-ROW(AJ$15),0),
ROUND(ROUND(OFFSET($P612,0,AJ$13),15-13*ORÇAMENTO!$AF$7)*OFFSET(ORÇAMENTO!$W$15,ROW(AJ612)-ROW(AJ$15),0),15-13*ORÇAMENTO!$AF$11)),0)</f>
        <v>0</v>
      </c>
      <c r="AK612" s="546">
        <f ca="1">IF(AND($D612="Serviço",AK$12&lt;&gt;0,$H612&gt;0,OR(AUTOEVENTO&lt;&gt;"manual",$M612&lt;&gt;1)),
IF(Import.TipoArredondamento&lt;&gt;"TransfereGOV",
ROUND(OFFSET($P612,0,AK$13),15-13*ORÇAMENTO!$AF$7)/$H612*OFFSET(ORÇAMENTO!$X$15,ROW(AK612)-ROW(AK$15),0),
ROUND(ROUND(OFFSET($P612,0,AK$13),15-13*ORÇAMENTO!$AF$7)*OFFSET(ORÇAMENTO!$W$15,ROW(AK612)-ROW(AK$15),0),15-13*ORÇAMENTO!$AF$11)),0)</f>
        <v>0</v>
      </c>
      <c r="AM612" s="181">
        <f ca="1">IF($D612&lt;&gt;"Serviço",0,IF(AND(AUTOEVENTO="Manual",$M612=1),0,IF(OFFSET(CRONOPLE!$F$14,$M612,AM$13)="",10^12,OFFSET(CRONOPLE!$F$14,$M612,AM$13))))</f>
        <v>1000000000000</v>
      </c>
      <c r="AN612" s="181">
        <f ca="1">IF($D612&lt;&gt;"Serviço",0,IF(AND(AUTOEVENTO="Manual",$M612=1),0,IF(OFFSET(CRONOPLE!$F$14,$M612,AN$13)="",10^12,OFFSET(CRONOPLE!$F$14,$M612,AN$13))))</f>
        <v>1000000000000</v>
      </c>
      <c r="AO612" s="181">
        <f ca="1">IF($D612&lt;&gt;"Serviço",0,IF(AND(AUTOEVENTO="Manual",$M612=1),0,IF(OFFSET(CRONOPLE!$F$14,$M612,AO$13)="",10^12,OFFSET(CRONOPLE!$F$14,$M612,AO$13))))</f>
        <v>1000000000000</v>
      </c>
      <c r="AP612" s="181">
        <f ca="1">IF($D612&lt;&gt;"Serviço",0,IF(AND(AUTOEVENTO="Manual",$M612=1),0,IF(OFFSET(CRONOPLE!$F$14,$M612,AP$13)="",10^12,OFFSET(CRONOPLE!$F$14,$M612,AP$13))))</f>
        <v>1000000000000</v>
      </c>
      <c r="AQ612" s="181">
        <f ca="1">IF($D612&lt;&gt;"Serviço",0,IF(AND(AUTOEVENTO="Manual",$M612=1),0,IF(OFFSET(CRONOPLE!$F$14,$M612,AQ$13)="",10^12,OFFSET(CRONOPLE!$F$14,$M612,AQ$13))))</f>
        <v>1000000000000</v>
      </c>
      <c r="AR612" s="181">
        <f ca="1">IF($D612&lt;&gt;"Serviço",0,IF(AND(AUTOEVENTO="Manual",$M612=1),0,IF(OFFSET(CRONOPLE!$F$14,$M612,AR$13)="",10^12,OFFSET(CRONOPLE!$F$14,$M612,AR$13))))</f>
        <v>1000000000000</v>
      </c>
      <c r="AS612" s="181">
        <f ca="1">IF($D612&lt;&gt;"Serviço",0,IF(AND(AUTOEVENTO="Manual",$M612=1),0,IF(OFFSET(CRONOPLE!$F$14,$M612,AS$13)="",10^12,OFFSET(CRONOPLE!$F$14,$M612,AS$13))))</f>
        <v>1000000000000</v>
      </c>
      <c r="AT612" s="181">
        <f ca="1">IF($D612&lt;&gt;"Serviço",0,IF(AND(AUTOEVENTO="Manual",$M612=1),0,IF(OFFSET(CRONOPLE!$F$14,$M612,AT$13)="",10^12,OFFSET(CRONOPLE!$F$14,$M612,AT$13))))</f>
        <v>1000000000000</v>
      </c>
      <c r="AU612" s="181">
        <f ca="1">IF($D612&lt;&gt;"Serviço",0,IF(AND(AUTOEVENTO="Manual",$M612=1),0,IF(OFFSET(CRONOPLE!$F$14,$M612,AU$13)="",10^12,OFFSET(CRONOPLE!$F$14,$M612,AU$13))))</f>
        <v>1000000000000</v>
      </c>
      <c r="AV612" s="181">
        <f ca="1">IF($D612&lt;&gt;"Serviço",0,IF(AND(AUTOEVENTO="Manual",$M612=1),0,IF(OFFSET(CRONOPLE!$F$14,$M612,AV$13)="",10^12,OFFSET(CRONOPLE!$F$14,$M612,AV$13))))</f>
        <v>1000000000000</v>
      </c>
      <c r="AX612" s="182">
        <f ca="1">IF($D612&lt;&gt;"Serviço",0,IF(OR(AND(AUTOEVENTO="Manual",$M612=1),$M612&gt;(ROW(PLE.lastrow)-ROW(PLE.firstrow))),0,IF(OFFSET(PLE!$G$14,$M612,AX$13)="",10^12,OFFSET(PLE!$G$14,$M612,AX$13))))</f>
        <v>1000000000000</v>
      </c>
      <c r="AY612" s="182">
        <f ca="1">IF($D612&lt;&gt;"Serviço",0,IF(OR(AND(AUTOEVENTO="Manual",$M612=1),$M612&gt;(ROW(PLE.lastrow)-ROW(PLE.firstrow))),0,IF(OFFSET(PLE!$G$14,$M612,AY$13)="",10^12,OFFSET(PLE!$G$14,$M612,AY$13))))</f>
        <v>1000000000000</v>
      </c>
      <c r="AZ612" s="182">
        <f ca="1">IF($D612&lt;&gt;"Serviço",0,IF(OR(AND(AUTOEVENTO="Manual",$M612=1),$M612&gt;(ROW(PLE.lastrow)-ROW(PLE.firstrow))),0,IF(OFFSET(PLE!$G$14,$M612,AZ$13)="",10^12,OFFSET(PLE!$G$14,$M612,AZ$13))))</f>
        <v>1000000000000</v>
      </c>
      <c r="BA612" s="182">
        <f ca="1">IF($D612&lt;&gt;"Serviço",0,IF(OR(AND(AUTOEVENTO="Manual",$M612=1),$M612&gt;(ROW(PLE.lastrow)-ROW(PLE.firstrow))),0,IF(OFFSET(PLE!$G$14,$M612,BA$13)="",10^12,OFFSET(PLE!$G$14,$M612,BA$13))))</f>
        <v>1000000000000</v>
      </c>
      <c r="BB612" s="182">
        <f ca="1">IF($D612&lt;&gt;"Serviço",0,IF(OR(AND(AUTOEVENTO="Manual",$M612=1),$M612&gt;(ROW(PLE.lastrow)-ROW(PLE.firstrow))),0,IF(OFFSET(PLE!$G$14,$M612,BB$13)="",10^12,OFFSET(PLE!$G$14,$M612,BB$13))))</f>
        <v>1000000000000</v>
      </c>
      <c r="BC612" s="182">
        <f ca="1">IF($D612&lt;&gt;"Serviço",0,IF(OR(AND(AUTOEVENTO="Manual",$M612=1),$M612&gt;(ROW(PLE.lastrow)-ROW(PLE.firstrow))),0,IF(OFFSET(PLE!$G$14,$M612,BC$13)="",10^12,OFFSET(PLE!$G$14,$M612,BC$13))))</f>
        <v>1000000000000</v>
      </c>
      <c r="BD612" s="182">
        <f ca="1">IF($D612&lt;&gt;"Serviço",0,IF(OR(AND(AUTOEVENTO="Manual",$M612=1),$M612&gt;(ROW(PLE.lastrow)-ROW(PLE.firstrow))),0,IF(OFFSET(PLE!$G$14,$M612,BD$13)="",10^12,OFFSET(PLE!$G$14,$M612,BD$13))))</f>
        <v>1000000000000</v>
      </c>
      <c r="BE612" s="182">
        <f ca="1">IF($D612&lt;&gt;"Serviço",0,IF(OR(AND(AUTOEVENTO="Manual",$M612=1),$M612&gt;(ROW(PLE.lastrow)-ROW(PLE.firstrow))),0,IF(OFFSET(PLE!$G$14,$M612,BE$13)="",10^12,OFFSET(PLE!$G$14,$M612,BE$13))))</f>
        <v>1000000000000</v>
      </c>
      <c r="BF612" s="182">
        <f ca="1">IF($D612&lt;&gt;"Serviço",0,IF(OR(AND(AUTOEVENTO="Manual",$M612=1),$M612&gt;(ROW(PLE.lastrow)-ROW(PLE.firstrow))),0,IF(OFFSET(PLE!$G$14,$M612,BF$13)="",10^12,OFFSET(PLE!$G$14,$M612,BF$13))))</f>
        <v>1000000000000</v>
      </c>
      <c r="BG612" s="182">
        <f ca="1">IF($D612&lt;&gt;"Serviço",0,IF(OR(AND(AUTOEVENTO="Manual",$M612=1),$M612&gt;(ROW(PLE.lastrow)-ROW(PLE.firstrow))),0,IF(OFFSET(PLE!$G$14,$M612,BG$13)="",10^12,OFFSET(PLE!$G$14,$M612,BG$13))))</f>
        <v>1000000000000</v>
      </c>
    </row>
    <row r="613" spans="1:59" ht="25.5" x14ac:dyDescent="0.2">
      <c r="A613" s="7" t="str">
        <f t="shared" ca="1" si="16"/>
        <v>593</v>
      </c>
      <c r="B613" s="7" t="str">
        <f ca="1">OFFSET(ORÇAMENTO!C$15,ROW(B613)-ROW(B$15),0)</f>
        <v>S</v>
      </c>
      <c r="C613" s="7" t="str">
        <f ca="1">OFFSET(ORÇAMENTO!L$15,ROW(C613)-ROW(C$15),0)</f>
        <v/>
      </c>
      <c r="D613" s="118" t="str">
        <f ca="1">OFFSET(ORÇAMENTO!N$15,ROW(D613)-ROW(D$15),0)</f>
        <v>Serviço</v>
      </c>
      <c r="E613" s="119" t="str">
        <f ca="1">OFFSET(ORÇAMENTO!O$15,ROW(E613)-ROW(E$15),0)</f>
        <v>-</v>
      </c>
      <c r="F613" s="172" t="str">
        <f ca="1">OFFSET(ORÇAMENTO!R$15,ROW(F613)-ROW(F$15),0)</f>
        <v>(abra o arquivo 'Referência 02-2025.xlsm)</v>
      </c>
      <c r="G613" s="173" t="str">
        <f ca="1">IF($D613&lt;&gt;"Serviço","",OFFSET(ORÇAMENTO!S$15,ROW(G613)-ROW(G$15),0))</f>
        <v>-</v>
      </c>
      <c r="H613" s="124">
        <f ca="1">IF($D613&lt;&gt;"Serviço",0,IF(ACOMPANHAMENTO="BM",ROUND(OFFSET(ORÇAMENTO!AJ$15,ROW(H613)-ROW(H$15),0),15-13*ORÇAMENTO!$AF$7),SUMPRODUCT(($Q$12:$AA$12&lt;&gt;"")*ROUND($Q613:$AA613,15-13*ORÇAMENTO!$AF$7))))</f>
        <v>1</v>
      </c>
      <c r="I613" s="561" t="s">
        <v>890</v>
      </c>
      <c r="K613" s="174"/>
      <c r="L613" s="175" t="s">
        <v>255</v>
      </c>
      <c r="M613" s="176">
        <f ca="1">IF($D613&lt;&gt;"Serviço","",IF(AUTOEVENTO="manual",$A613,IF(ISERROR(MATCH($A613,$A$15:OFFSET($A613,-1,0),0)),MAX($M$15:OFFSET(M613,-1,0))+1,INDEX($M$15:OFFSET(M613,-1,0),MATCH($A613,$A$15:OFFSET($A613,-1,0),0)))))</f>
        <v>19</v>
      </c>
      <c r="N613" s="177" t="str">
        <f ca="1">IF($D613&lt;&gt;"Serviço","",IF(AUTOEVENTO="Manual",IF($A613=0,"&lt;-- defina o número do agrupador",OFFSET(EVENTOS!$D$14,$A613,0)),OFFSET($F$15,$A613,0)))</f>
        <v>INSTALAÇÕES DE CABEAMENTO ESTRUTURADO</v>
      </c>
      <c r="O613" s="178"/>
      <c r="Q613" s="178"/>
      <c r="R613" s="179"/>
      <c r="S613" s="179"/>
      <c r="T613" s="179"/>
      <c r="U613" s="179"/>
      <c r="V613" s="179"/>
      <c r="W613" s="179"/>
      <c r="X613" s="179"/>
      <c r="Y613" s="179"/>
      <c r="Z613" s="180"/>
      <c r="AB613" s="544">
        <f ca="1">IF(AND($D613="Serviço",AB$12&lt;&gt;0,$H613&gt;0,OR(AUTOEVENTO&lt;&gt;"manual",$M613&lt;&gt;1)),
IF(Import.TipoArredondamento&lt;&gt;"TransfereGOV",
ROUND(OFFSET($P613,0,AB$13),15-13*ORÇAMENTO!$AF$7)/$H613*OFFSET(ORÇAMENTO!$X$15,ROW(AB613)-ROW(AB$15),0),
ROUND(ROUND(OFFSET($P613,0,AB$13),15-13*ORÇAMENTO!$AF$7)*OFFSET(ORÇAMENTO!$W$15,ROW(AB613)-ROW(AB$15),0),15-13*ORÇAMENTO!$AF$11)),0)</f>
        <v>0</v>
      </c>
      <c r="AC613" s="545">
        <f ca="1">IF(AND($D613="Serviço",AC$12&lt;&gt;0,$H613&gt;0,OR(AUTOEVENTO&lt;&gt;"manual",$M613&lt;&gt;1)),
IF(Import.TipoArredondamento&lt;&gt;"TransfereGOV",
ROUND(OFFSET($P613,0,AC$13),15-13*ORÇAMENTO!$AF$7)/$H613*OFFSET(ORÇAMENTO!$X$15,ROW(AC613)-ROW(AC$15),0),
ROUND(ROUND(OFFSET($P613,0,AC$13),15-13*ORÇAMENTO!$AF$7)*OFFSET(ORÇAMENTO!$W$15,ROW(AC613)-ROW(AC$15),0),15-13*ORÇAMENTO!$AF$11)),0)</f>
        <v>0</v>
      </c>
      <c r="AD613" s="545">
        <f ca="1">IF(AND($D613="Serviço",AD$12&lt;&gt;0,$H613&gt;0,OR(AUTOEVENTO&lt;&gt;"manual",$M613&lt;&gt;1)),
IF(Import.TipoArredondamento&lt;&gt;"TransfereGOV",
ROUND(OFFSET($P613,0,AD$13),15-13*ORÇAMENTO!$AF$7)/$H613*OFFSET(ORÇAMENTO!$X$15,ROW(AD613)-ROW(AD$15),0),
ROUND(ROUND(OFFSET($P613,0,AD$13),15-13*ORÇAMENTO!$AF$7)*OFFSET(ORÇAMENTO!$W$15,ROW(AD613)-ROW(AD$15),0),15-13*ORÇAMENTO!$AF$11)),0)</f>
        <v>0</v>
      </c>
      <c r="AE613" s="545">
        <f ca="1">IF(AND($D613="Serviço",AE$12&lt;&gt;0,$H613&gt;0,OR(AUTOEVENTO&lt;&gt;"manual",$M613&lt;&gt;1)),
IF(Import.TipoArredondamento&lt;&gt;"TransfereGOV",
ROUND(OFFSET($P613,0,AE$13),15-13*ORÇAMENTO!$AF$7)/$H613*OFFSET(ORÇAMENTO!$X$15,ROW(AE613)-ROW(AE$15),0),
ROUND(ROUND(OFFSET($P613,0,AE$13),15-13*ORÇAMENTO!$AF$7)*OFFSET(ORÇAMENTO!$W$15,ROW(AE613)-ROW(AE$15),0),15-13*ORÇAMENTO!$AF$11)),0)</f>
        <v>0</v>
      </c>
      <c r="AF613" s="545">
        <f ca="1">IF(AND($D613="Serviço",AF$12&lt;&gt;0,$H613&gt;0,OR(AUTOEVENTO&lt;&gt;"manual",$M613&lt;&gt;1)),
IF(Import.TipoArredondamento&lt;&gt;"TransfereGOV",
ROUND(OFFSET($P613,0,AF$13),15-13*ORÇAMENTO!$AF$7)/$H613*OFFSET(ORÇAMENTO!$X$15,ROW(AF613)-ROW(AF$15),0),
ROUND(ROUND(OFFSET($P613,0,AF$13),15-13*ORÇAMENTO!$AF$7)*OFFSET(ORÇAMENTO!$W$15,ROW(AF613)-ROW(AF$15),0),15-13*ORÇAMENTO!$AF$11)),0)</f>
        <v>0</v>
      </c>
      <c r="AG613" s="545">
        <f ca="1">IF(AND($D613="Serviço",AG$12&lt;&gt;0,$H613&gt;0,OR(AUTOEVENTO&lt;&gt;"manual",$M613&lt;&gt;1)),
IF(Import.TipoArredondamento&lt;&gt;"TransfereGOV",
ROUND(OFFSET($P613,0,AG$13),15-13*ORÇAMENTO!$AF$7)/$H613*OFFSET(ORÇAMENTO!$X$15,ROW(AG613)-ROW(AG$15),0),
ROUND(ROUND(OFFSET($P613,0,AG$13),15-13*ORÇAMENTO!$AF$7)*OFFSET(ORÇAMENTO!$W$15,ROW(AG613)-ROW(AG$15),0),15-13*ORÇAMENTO!$AF$11)),0)</f>
        <v>0</v>
      </c>
      <c r="AH613" s="545">
        <f ca="1">IF(AND($D613="Serviço",AH$12&lt;&gt;0,$H613&gt;0,OR(AUTOEVENTO&lt;&gt;"manual",$M613&lt;&gt;1)),
IF(Import.TipoArredondamento&lt;&gt;"TransfereGOV",
ROUND(OFFSET($P613,0,AH$13),15-13*ORÇAMENTO!$AF$7)/$H613*OFFSET(ORÇAMENTO!$X$15,ROW(AH613)-ROW(AH$15),0),
ROUND(ROUND(OFFSET($P613,0,AH$13),15-13*ORÇAMENTO!$AF$7)*OFFSET(ORÇAMENTO!$W$15,ROW(AH613)-ROW(AH$15),0),15-13*ORÇAMENTO!$AF$11)),0)</f>
        <v>0</v>
      </c>
      <c r="AI613" s="545">
        <f ca="1">IF(AND($D613="Serviço",AI$12&lt;&gt;0,$H613&gt;0,OR(AUTOEVENTO&lt;&gt;"manual",$M613&lt;&gt;1)),
IF(Import.TipoArredondamento&lt;&gt;"TransfereGOV",
ROUND(OFFSET($P613,0,AI$13),15-13*ORÇAMENTO!$AF$7)/$H613*OFFSET(ORÇAMENTO!$X$15,ROW(AI613)-ROW(AI$15),0),
ROUND(ROUND(OFFSET($P613,0,AI$13),15-13*ORÇAMENTO!$AF$7)*OFFSET(ORÇAMENTO!$W$15,ROW(AI613)-ROW(AI$15),0),15-13*ORÇAMENTO!$AF$11)),0)</f>
        <v>0</v>
      </c>
      <c r="AJ613" s="545">
        <f ca="1">IF(AND($D613="Serviço",AJ$12&lt;&gt;0,$H613&gt;0,OR(AUTOEVENTO&lt;&gt;"manual",$M613&lt;&gt;1)),
IF(Import.TipoArredondamento&lt;&gt;"TransfereGOV",
ROUND(OFFSET($P613,0,AJ$13),15-13*ORÇAMENTO!$AF$7)/$H613*OFFSET(ORÇAMENTO!$X$15,ROW(AJ613)-ROW(AJ$15),0),
ROUND(ROUND(OFFSET($P613,0,AJ$13),15-13*ORÇAMENTO!$AF$7)*OFFSET(ORÇAMENTO!$W$15,ROW(AJ613)-ROW(AJ$15),0),15-13*ORÇAMENTO!$AF$11)),0)</f>
        <v>0</v>
      </c>
      <c r="AK613" s="546">
        <f ca="1">IF(AND($D613="Serviço",AK$12&lt;&gt;0,$H613&gt;0,OR(AUTOEVENTO&lt;&gt;"manual",$M613&lt;&gt;1)),
IF(Import.TipoArredondamento&lt;&gt;"TransfereGOV",
ROUND(OFFSET($P613,0,AK$13),15-13*ORÇAMENTO!$AF$7)/$H613*OFFSET(ORÇAMENTO!$X$15,ROW(AK613)-ROW(AK$15),0),
ROUND(ROUND(OFFSET($P613,0,AK$13),15-13*ORÇAMENTO!$AF$7)*OFFSET(ORÇAMENTO!$W$15,ROW(AK613)-ROW(AK$15),0),15-13*ORÇAMENTO!$AF$11)),0)</f>
        <v>0</v>
      </c>
      <c r="AM613" s="181">
        <f ca="1">IF($D613&lt;&gt;"Serviço",0,IF(AND(AUTOEVENTO="Manual",$M613=1),0,IF(OFFSET(CRONOPLE!$F$14,$M613,AM$13)="",10^12,OFFSET(CRONOPLE!$F$14,$M613,AM$13))))</f>
        <v>1000000000000</v>
      </c>
      <c r="AN613" s="181">
        <f ca="1">IF($D613&lt;&gt;"Serviço",0,IF(AND(AUTOEVENTO="Manual",$M613=1),0,IF(OFFSET(CRONOPLE!$F$14,$M613,AN$13)="",10^12,OFFSET(CRONOPLE!$F$14,$M613,AN$13))))</f>
        <v>1000000000000</v>
      </c>
      <c r="AO613" s="181">
        <f ca="1">IF($D613&lt;&gt;"Serviço",0,IF(AND(AUTOEVENTO="Manual",$M613=1),0,IF(OFFSET(CRONOPLE!$F$14,$M613,AO$13)="",10^12,OFFSET(CRONOPLE!$F$14,$M613,AO$13))))</f>
        <v>1000000000000</v>
      </c>
      <c r="AP613" s="181">
        <f ca="1">IF($D613&lt;&gt;"Serviço",0,IF(AND(AUTOEVENTO="Manual",$M613=1),0,IF(OFFSET(CRONOPLE!$F$14,$M613,AP$13)="",10^12,OFFSET(CRONOPLE!$F$14,$M613,AP$13))))</f>
        <v>1000000000000</v>
      </c>
      <c r="AQ613" s="181">
        <f ca="1">IF($D613&lt;&gt;"Serviço",0,IF(AND(AUTOEVENTO="Manual",$M613=1),0,IF(OFFSET(CRONOPLE!$F$14,$M613,AQ$13)="",10^12,OFFSET(CRONOPLE!$F$14,$M613,AQ$13))))</f>
        <v>1000000000000</v>
      </c>
      <c r="AR613" s="181">
        <f ca="1">IF($D613&lt;&gt;"Serviço",0,IF(AND(AUTOEVENTO="Manual",$M613=1),0,IF(OFFSET(CRONOPLE!$F$14,$M613,AR$13)="",10^12,OFFSET(CRONOPLE!$F$14,$M613,AR$13))))</f>
        <v>1000000000000</v>
      </c>
      <c r="AS613" s="181">
        <f ca="1">IF($D613&lt;&gt;"Serviço",0,IF(AND(AUTOEVENTO="Manual",$M613=1),0,IF(OFFSET(CRONOPLE!$F$14,$M613,AS$13)="",10^12,OFFSET(CRONOPLE!$F$14,$M613,AS$13))))</f>
        <v>1000000000000</v>
      </c>
      <c r="AT613" s="181">
        <f ca="1">IF($D613&lt;&gt;"Serviço",0,IF(AND(AUTOEVENTO="Manual",$M613=1),0,IF(OFFSET(CRONOPLE!$F$14,$M613,AT$13)="",10^12,OFFSET(CRONOPLE!$F$14,$M613,AT$13))))</f>
        <v>1000000000000</v>
      </c>
      <c r="AU613" s="181">
        <f ca="1">IF($D613&lt;&gt;"Serviço",0,IF(AND(AUTOEVENTO="Manual",$M613=1),0,IF(OFFSET(CRONOPLE!$F$14,$M613,AU$13)="",10^12,OFFSET(CRONOPLE!$F$14,$M613,AU$13))))</f>
        <v>1000000000000</v>
      </c>
      <c r="AV613" s="181">
        <f ca="1">IF($D613&lt;&gt;"Serviço",0,IF(AND(AUTOEVENTO="Manual",$M613=1),0,IF(OFFSET(CRONOPLE!$F$14,$M613,AV$13)="",10^12,OFFSET(CRONOPLE!$F$14,$M613,AV$13))))</f>
        <v>1000000000000</v>
      </c>
      <c r="AX613" s="182">
        <f ca="1">IF($D613&lt;&gt;"Serviço",0,IF(OR(AND(AUTOEVENTO="Manual",$M613=1),$M613&gt;(ROW(PLE.lastrow)-ROW(PLE.firstrow))),0,IF(OFFSET(PLE!$G$14,$M613,AX$13)="",10^12,OFFSET(PLE!$G$14,$M613,AX$13))))</f>
        <v>1000000000000</v>
      </c>
      <c r="AY613" s="182">
        <f ca="1">IF($D613&lt;&gt;"Serviço",0,IF(OR(AND(AUTOEVENTO="Manual",$M613=1),$M613&gt;(ROW(PLE.lastrow)-ROW(PLE.firstrow))),0,IF(OFFSET(PLE!$G$14,$M613,AY$13)="",10^12,OFFSET(PLE!$G$14,$M613,AY$13))))</f>
        <v>1000000000000</v>
      </c>
      <c r="AZ613" s="182">
        <f ca="1">IF($D613&lt;&gt;"Serviço",0,IF(OR(AND(AUTOEVENTO="Manual",$M613=1),$M613&gt;(ROW(PLE.lastrow)-ROW(PLE.firstrow))),0,IF(OFFSET(PLE!$G$14,$M613,AZ$13)="",10^12,OFFSET(PLE!$G$14,$M613,AZ$13))))</f>
        <v>1000000000000</v>
      </c>
      <c r="BA613" s="182">
        <f ca="1">IF($D613&lt;&gt;"Serviço",0,IF(OR(AND(AUTOEVENTO="Manual",$M613=1),$M613&gt;(ROW(PLE.lastrow)-ROW(PLE.firstrow))),0,IF(OFFSET(PLE!$G$14,$M613,BA$13)="",10^12,OFFSET(PLE!$G$14,$M613,BA$13))))</f>
        <v>1000000000000</v>
      </c>
      <c r="BB613" s="182">
        <f ca="1">IF($D613&lt;&gt;"Serviço",0,IF(OR(AND(AUTOEVENTO="Manual",$M613=1),$M613&gt;(ROW(PLE.lastrow)-ROW(PLE.firstrow))),0,IF(OFFSET(PLE!$G$14,$M613,BB$13)="",10^12,OFFSET(PLE!$G$14,$M613,BB$13))))</f>
        <v>1000000000000</v>
      </c>
      <c r="BC613" s="182">
        <f ca="1">IF($D613&lt;&gt;"Serviço",0,IF(OR(AND(AUTOEVENTO="Manual",$M613=1),$M613&gt;(ROW(PLE.lastrow)-ROW(PLE.firstrow))),0,IF(OFFSET(PLE!$G$14,$M613,BC$13)="",10^12,OFFSET(PLE!$G$14,$M613,BC$13))))</f>
        <v>1000000000000</v>
      </c>
      <c r="BD613" s="182">
        <f ca="1">IF($D613&lt;&gt;"Serviço",0,IF(OR(AND(AUTOEVENTO="Manual",$M613=1),$M613&gt;(ROW(PLE.lastrow)-ROW(PLE.firstrow))),0,IF(OFFSET(PLE!$G$14,$M613,BD$13)="",10^12,OFFSET(PLE!$G$14,$M613,BD$13))))</f>
        <v>1000000000000</v>
      </c>
      <c r="BE613" s="182">
        <f ca="1">IF($D613&lt;&gt;"Serviço",0,IF(OR(AND(AUTOEVENTO="Manual",$M613=1),$M613&gt;(ROW(PLE.lastrow)-ROW(PLE.firstrow))),0,IF(OFFSET(PLE!$G$14,$M613,BE$13)="",10^12,OFFSET(PLE!$G$14,$M613,BE$13))))</f>
        <v>1000000000000</v>
      </c>
      <c r="BF613" s="182">
        <f ca="1">IF($D613&lt;&gt;"Serviço",0,IF(OR(AND(AUTOEVENTO="Manual",$M613=1),$M613&gt;(ROW(PLE.lastrow)-ROW(PLE.firstrow))),0,IF(OFFSET(PLE!$G$14,$M613,BF$13)="",10^12,OFFSET(PLE!$G$14,$M613,BF$13))))</f>
        <v>1000000000000</v>
      </c>
      <c r="BG613" s="182">
        <f ca="1">IF($D613&lt;&gt;"Serviço",0,IF(OR(AND(AUTOEVENTO="Manual",$M613=1),$M613&gt;(ROW(PLE.lastrow)-ROW(PLE.firstrow))),0,IF(OFFSET(PLE!$G$14,$M613,BG$13)="",10^12,OFFSET(PLE!$G$14,$M613,BG$13))))</f>
        <v>1000000000000</v>
      </c>
    </row>
    <row r="614" spans="1:59" ht="25.5" x14ac:dyDescent="0.2">
      <c r="A614" s="7" t="str">
        <f t="shared" ca="1" si="16"/>
        <v>593</v>
      </c>
      <c r="B614" s="7" t="str">
        <f ca="1">OFFSET(ORÇAMENTO!C$15,ROW(B614)-ROW(B$15),0)</f>
        <v>S</v>
      </c>
      <c r="C614" s="7" t="str">
        <f ca="1">OFFSET(ORÇAMENTO!L$15,ROW(C614)-ROW(C$15),0)</f>
        <v/>
      </c>
      <c r="D614" s="118" t="str">
        <f ca="1">OFFSET(ORÇAMENTO!N$15,ROW(D614)-ROW(D$15),0)</f>
        <v>Serviço</v>
      </c>
      <c r="E614" s="119" t="str">
        <f ca="1">OFFSET(ORÇAMENTO!O$15,ROW(E614)-ROW(E$15),0)</f>
        <v>-</v>
      </c>
      <c r="F614" s="172" t="str">
        <f ca="1">OFFSET(ORÇAMENTO!R$15,ROW(F614)-ROW(F$15),0)</f>
        <v>(abra o arquivo 'Referência 02-2025.xlsm)</v>
      </c>
      <c r="G614" s="173" t="str">
        <f ca="1">IF($D614&lt;&gt;"Serviço","",OFFSET(ORÇAMENTO!S$15,ROW(G614)-ROW(G$15),0))</f>
        <v>-</v>
      </c>
      <c r="H614" s="124">
        <f ca="1">IF($D614&lt;&gt;"Serviço",0,IF(ACOMPANHAMENTO="BM",ROUND(OFFSET(ORÇAMENTO!AJ$15,ROW(H614)-ROW(H$15),0),15-13*ORÇAMENTO!$AF$7),SUMPRODUCT(($Q$12:$AA$12&lt;&gt;"")*ROUND($Q614:$AA614,15-13*ORÇAMENTO!$AF$7))))</f>
        <v>2</v>
      </c>
      <c r="I614" s="561" t="s">
        <v>890</v>
      </c>
      <c r="K614" s="174"/>
      <c r="L614" s="175" t="s">
        <v>255</v>
      </c>
      <c r="M614" s="176">
        <f ca="1">IF($D614&lt;&gt;"Serviço","",IF(AUTOEVENTO="manual",$A614,IF(ISERROR(MATCH($A614,$A$15:OFFSET($A614,-1,0),0)),MAX($M$15:OFFSET(M614,-1,0))+1,INDEX($M$15:OFFSET(M614,-1,0),MATCH($A614,$A$15:OFFSET($A614,-1,0),0)))))</f>
        <v>19</v>
      </c>
      <c r="N614" s="177" t="str">
        <f ca="1">IF($D614&lt;&gt;"Serviço","",IF(AUTOEVENTO="Manual",IF($A614=0,"&lt;-- defina o número do agrupador",OFFSET(EVENTOS!$D$14,$A614,0)),OFFSET($F$15,$A614,0)))</f>
        <v>INSTALAÇÕES DE CABEAMENTO ESTRUTURADO</v>
      </c>
      <c r="O614" s="178"/>
      <c r="Q614" s="178"/>
      <c r="R614" s="179"/>
      <c r="S614" s="179"/>
      <c r="T614" s="179"/>
      <c r="U614" s="179"/>
      <c r="V614" s="179"/>
      <c r="W614" s="179"/>
      <c r="X614" s="179"/>
      <c r="Y614" s="179"/>
      <c r="Z614" s="180"/>
      <c r="AB614" s="544">
        <f ca="1">IF(AND($D614="Serviço",AB$12&lt;&gt;0,$H614&gt;0,OR(AUTOEVENTO&lt;&gt;"manual",$M614&lt;&gt;1)),
IF(Import.TipoArredondamento&lt;&gt;"TransfereGOV",
ROUND(OFFSET($P614,0,AB$13),15-13*ORÇAMENTO!$AF$7)/$H614*OFFSET(ORÇAMENTO!$X$15,ROW(AB614)-ROW(AB$15),0),
ROUND(ROUND(OFFSET($P614,0,AB$13),15-13*ORÇAMENTO!$AF$7)*OFFSET(ORÇAMENTO!$W$15,ROW(AB614)-ROW(AB$15),0),15-13*ORÇAMENTO!$AF$11)),0)</f>
        <v>0</v>
      </c>
      <c r="AC614" s="545">
        <f ca="1">IF(AND($D614="Serviço",AC$12&lt;&gt;0,$H614&gt;0,OR(AUTOEVENTO&lt;&gt;"manual",$M614&lt;&gt;1)),
IF(Import.TipoArredondamento&lt;&gt;"TransfereGOV",
ROUND(OFFSET($P614,0,AC$13),15-13*ORÇAMENTO!$AF$7)/$H614*OFFSET(ORÇAMENTO!$X$15,ROW(AC614)-ROW(AC$15),0),
ROUND(ROUND(OFFSET($P614,0,AC$13),15-13*ORÇAMENTO!$AF$7)*OFFSET(ORÇAMENTO!$W$15,ROW(AC614)-ROW(AC$15),0),15-13*ORÇAMENTO!$AF$11)),0)</f>
        <v>0</v>
      </c>
      <c r="AD614" s="545">
        <f ca="1">IF(AND($D614="Serviço",AD$12&lt;&gt;0,$H614&gt;0,OR(AUTOEVENTO&lt;&gt;"manual",$M614&lt;&gt;1)),
IF(Import.TipoArredondamento&lt;&gt;"TransfereGOV",
ROUND(OFFSET($P614,0,AD$13),15-13*ORÇAMENTO!$AF$7)/$H614*OFFSET(ORÇAMENTO!$X$15,ROW(AD614)-ROW(AD$15),0),
ROUND(ROUND(OFFSET($P614,0,AD$13),15-13*ORÇAMENTO!$AF$7)*OFFSET(ORÇAMENTO!$W$15,ROW(AD614)-ROW(AD$15),0),15-13*ORÇAMENTO!$AF$11)),0)</f>
        <v>0</v>
      </c>
      <c r="AE614" s="545">
        <f ca="1">IF(AND($D614="Serviço",AE$12&lt;&gt;0,$H614&gt;0,OR(AUTOEVENTO&lt;&gt;"manual",$M614&lt;&gt;1)),
IF(Import.TipoArredondamento&lt;&gt;"TransfereGOV",
ROUND(OFFSET($P614,0,AE$13),15-13*ORÇAMENTO!$AF$7)/$H614*OFFSET(ORÇAMENTO!$X$15,ROW(AE614)-ROW(AE$15),0),
ROUND(ROUND(OFFSET($P614,0,AE$13),15-13*ORÇAMENTO!$AF$7)*OFFSET(ORÇAMENTO!$W$15,ROW(AE614)-ROW(AE$15),0),15-13*ORÇAMENTO!$AF$11)),0)</f>
        <v>0</v>
      </c>
      <c r="AF614" s="545">
        <f ca="1">IF(AND($D614="Serviço",AF$12&lt;&gt;0,$H614&gt;0,OR(AUTOEVENTO&lt;&gt;"manual",$M614&lt;&gt;1)),
IF(Import.TipoArredondamento&lt;&gt;"TransfereGOV",
ROUND(OFFSET($P614,0,AF$13),15-13*ORÇAMENTO!$AF$7)/$H614*OFFSET(ORÇAMENTO!$X$15,ROW(AF614)-ROW(AF$15),0),
ROUND(ROUND(OFFSET($P614,0,AF$13),15-13*ORÇAMENTO!$AF$7)*OFFSET(ORÇAMENTO!$W$15,ROW(AF614)-ROW(AF$15),0),15-13*ORÇAMENTO!$AF$11)),0)</f>
        <v>0</v>
      </c>
      <c r="AG614" s="545">
        <f ca="1">IF(AND($D614="Serviço",AG$12&lt;&gt;0,$H614&gt;0,OR(AUTOEVENTO&lt;&gt;"manual",$M614&lt;&gt;1)),
IF(Import.TipoArredondamento&lt;&gt;"TransfereGOV",
ROUND(OFFSET($P614,0,AG$13),15-13*ORÇAMENTO!$AF$7)/$H614*OFFSET(ORÇAMENTO!$X$15,ROW(AG614)-ROW(AG$15),0),
ROUND(ROUND(OFFSET($P614,0,AG$13),15-13*ORÇAMENTO!$AF$7)*OFFSET(ORÇAMENTO!$W$15,ROW(AG614)-ROW(AG$15),0),15-13*ORÇAMENTO!$AF$11)),0)</f>
        <v>0</v>
      </c>
      <c r="AH614" s="545">
        <f ca="1">IF(AND($D614="Serviço",AH$12&lt;&gt;0,$H614&gt;0,OR(AUTOEVENTO&lt;&gt;"manual",$M614&lt;&gt;1)),
IF(Import.TipoArredondamento&lt;&gt;"TransfereGOV",
ROUND(OFFSET($P614,0,AH$13),15-13*ORÇAMENTO!$AF$7)/$H614*OFFSET(ORÇAMENTO!$X$15,ROW(AH614)-ROW(AH$15),0),
ROUND(ROUND(OFFSET($P614,0,AH$13),15-13*ORÇAMENTO!$AF$7)*OFFSET(ORÇAMENTO!$W$15,ROW(AH614)-ROW(AH$15),0),15-13*ORÇAMENTO!$AF$11)),0)</f>
        <v>0</v>
      </c>
      <c r="AI614" s="545">
        <f ca="1">IF(AND($D614="Serviço",AI$12&lt;&gt;0,$H614&gt;0,OR(AUTOEVENTO&lt;&gt;"manual",$M614&lt;&gt;1)),
IF(Import.TipoArredondamento&lt;&gt;"TransfereGOV",
ROUND(OFFSET($P614,0,AI$13),15-13*ORÇAMENTO!$AF$7)/$H614*OFFSET(ORÇAMENTO!$X$15,ROW(AI614)-ROW(AI$15),0),
ROUND(ROUND(OFFSET($P614,0,AI$13),15-13*ORÇAMENTO!$AF$7)*OFFSET(ORÇAMENTO!$W$15,ROW(AI614)-ROW(AI$15),0),15-13*ORÇAMENTO!$AF$11)),0)</f>
        <v>0</v>
      </c>
      <c r="AJ614" s="545">
        <f ca="1">IF(AND($D614="Serviço",AJ$12&lt;&gt;0,$H614&gt;0,OR(AUTOEVENTO&lt;&gt;"manual",$M614&lt;&gt;1)),
IF(Import.TipoArredondamento&lt;&gt;"TransfereGOV",
ROUND(OFFSET($P614,0,AJ$13),15-13*ORÇAMENTO!$AF$7)/$H614*OFFSET(ORÇAMENTO!$X$15,ROW(AJ614)-ROW(AJ$15),0),
ROUND(ROUND(OFFSET($P614,0,AJ$13),15-13*ORÇAMENTO!$AF$7)*OFFSET(ORÇAMENTO!$W$15,ROW(AJ614)-ROW(AJ$15),0),15-13*ORÇAMENTO!$AF$11)),0)</f>
        <v>0</v>
      </c>
      <c r="AK614" s="546">
        <f ca="1">IF(AND($D614="Serviço",AK$12&lt;&gt;0,$H614&gt;0,OR(AUTOEVENTO&lt;&gt;"manual",$M614&lt;&gt;1)),
IF(Import.TipoArredondamento&lt;&gt;"TransfereGOV",
ROUND(OFFSET($P614,0,AK$13),15-13*ORÇAMENTO!$AF$7)/$H614*OFFSET(ORÇAMENTO!$X$15,ROW(AK614)-ROW(AK$15),0),
ROUND(ROUND(OFFSET($P614,0,AK$13),15-13*ORÇAMENTO!$AF$7)*OFFSET(ORÇAMENTO!$W$15,ROW(AK614)-ROW(AK$15),0),15-13*ORÇAMENTO!$AF$11)),0)</f>
        <v>0</v>
      </c>
      <c r="AM614" s="181">
        <f ca="1">IF($D614&lt;&gt;"Serviço",0,IF(AND(AUTOEVENTO="Manual",$M614=1),0,IF(OFFSET(CRONOPLE!$F$14,$M614,AM$13)="",10^12,OFFSET(CRONOPLE!$F$14,$M614,AM$13))))</f>
        <v>1000000000000</v>
      </c>
      <c r="AN614" s="181">
        <f ca="1">IF($D614&lt;&gt;"Serviço",0,IF(AND(AUTOEVENTO="Manual",$M614=1),0,IF(OFFSET(CRONOPLE!$F$14,$M614,AN$13)="",10^12,OFFSET(CRONOPLE!$F$14,$M614,AN$13))))</f>
        <v>1000000000000</v>
      </c>
      <c r="AO614" s="181">
        <f ca="1">IF($D614&lt;&gt;"Serviço",0,IF(AND(AUTOEVENTO="Manual",$M614=1),0,IF(OFFSET(CRONOPLE!$F$14,$M614,AO$13)="",10^12,OFFSET(CRONOPLE!$F$14,$M614,AO$13))))</f>
        <v>1000000000000</v>
      </c>
      <c r="AP614" s="181">
        <f ca="1">IF($D614&lt;&gt;"Serviço",0,IF(AND(AUTOEVENTO="Manual",$M614=1),0,IF(OFFSET(CRONOPLE!$F$14,$M614,AP$13)="",10^12,OFFSET(CRONOPLE!$F$14,$M614,AP$13))))</f>
        <v>1000000000000</v>
      </c>
      <c r="AQ614" s="181">
        <f ca="1">IF($D614&lt;&gt;"Serviço",0,IF(AND(AUTOEVENTO="Manual",$M614=1),0,IF(OFFSET(CRONOPLE!$F$14,$M614,AQ$13)="",10^12,OFFSET(CRONOPLE!$F$14,$M614,AQ$13))))</f>
        <v>1000000000000</v>
      </c>
      <c r="AR614" s="181">
        <f ca="1">IF($D614&lt;&gt;"Serviço",0,IF(AND(AUTOEVENTO="Manual",$M614=1),0,IF(OFFSET(CRONOPLE!$F$14,$M614,AR$13)="",10^12,OFFSET(CRONOPLE!$F$14,$M614,AR$13))))</f>
        <v>1000000000000</v>
      </c>
      <c r="AS614" s="181">
        <f ca="1">IF($D614&lt;&gt;"Serviço",0,IF(AND(AUTOEVENTO="Manual",$M614=1),0,IF(OFFSET(CRONOPLE!$F$14,$M614,AS$13)="",10^12,OFFSET(CRONOPLE!$F$14,$M614,AS$13))))</f>
        <v>1000000000000</v>
      </c>
      <c r="AT614" s="181">
        <f ca="1">IF($D614&lt;&gt;"Serviço",0,IF(AND(AUTOEVENTO="Manual",$M614=1),0,IF(OFFSET(CRONOPLE!$F$14,$M614,AT$13)="",10^12,OFFSET(CRONOPLE!$F$14,$M614,AT$13))))</f>
        <v>1000000000000</v>
      </c>
      <c r="AU614" s="181">
        <f ca="1">IF($D614&lt;&gt;"Serviço",0,IF(AND(AUTOEVENTO="Manual",$M614=1),0,IF(OFFSET(CRONOPLE!$F$14,$M614,AU$13)="",10^12,OFFSET(CRONOPLE!$F$14,$M614,AU$13))))</f>
        <v>1000000000000</v>
      </c>
      <c r="AV614" s="181">
        <f ca="1">IF($D614&lt;&gt;"Serviço",0,IF(AND(AUTOEVENTO="Manual",$M614=1),0,IF(OFFSET(CRONOPLE!$F$14,$M614,AV$13)="",10^12,OFFSET(CRONOPLE!$F$14,$M614,AV$13))))</f>
        <v>1000000000000</v>
      </c>
      <c r="AX614" s="182">
        <f ca="1">IF($D614&lt;&gt;"Serviço",0,IF(OR(AND(AUTOEVENTO="Manual",$M614=1),$M614&gt;(ROW(PLE.lastrow)-ROW(PLE.firstrow))),0,IF(OFFSET(PLE!$G$14,$M614,AX$13)="",10^12,OFFSET(PLE!$G$14,$M614,AX$13))))</f>
        <v>1000000000000</v>
      </c>
      <c r="AY614" s="182">
        <f ca="1">IF($D614&lt;&gt;"Serviço",0,IF(OR(AND(AUTOEVENTO="Manual",$M614=1),$M614&gt;(ROW(PLE.lastrow)-ROW(PLE.firstrow))),0,IF(OFFSET(PLE!$G$14,$M614,AY$13)="",10^12,OFFSET(PLE!$G$14,$M614,AY$13))))</f>
        <v>1000000000000</v>
      </c>
      <c r="AZ614" s="182">
        <f ca="1">IF($D614&lt;&gt;"Serviço",0,IF(OR(AND(AUTOEVENTO="Manual",$M614=1),$M614&gt;(ROW(PLE.lastrow)-ROW(PLE.firstrow))),0,IF(OFFSET(PLE!$G$14,$M614,AZ$13)="",10^12,OFFSET(PLE!$G$14,$M614,AZ$13))))</f>
        <v>1000000000000</v>
      </c>
      <c r="BA614" s="182">
        <f ca="1">IF($D614&lt;&gt;"Serviço",0,IF(OR(AND(AUTOEVENTO="Manual",$M614=1),$M614&gt;(ROW(PLE.lastrow)-ROW(PLE.firstrow))),0,IF(OFFSET(PLE!$G$14,$M614,BA$13)="",10^12,OFFSET(PLE!$G$14,$M614,BA$13))))</f>
        <v>1000000000000</v>
      </c>
      <c r="BB614" s="182">
        <f ca="1">IF($D614&lt;&gt;"Serviço",0,IF(OR(AND(AUTOEVENTO="Manual",$M614=1),$M614&gt;(ROW(PLE.lastrow)-ROW(PLE.firstrow))),0,IF(OFFSET(PLE!$G$14,$M614,BB$13)="",10^12,OFFSET(PLE!$G$14,$M614,BB$13))))</f>
        <v>1000000000000</v>
      </c>
      <c r="BC614" s="182">
        <f ca="1">IF($D614&lt;&gt;"Serviço",0,IF(OR(AND(AUTOEVENTO="Manual",$M614=1),$M614&gt;(ROW(PLE.lastrow)-ROW(PLE.firstrow))),0,IF(OFFSET(PLE!$G$14,$M614,BC$13)="",10^12,OFFSET(PLE!$G$14,$M614,BC$13))))</f>
        <v>1000000000000</v>
      </c>
      <c r="BD614" s="182">
        <f ca="1">IF($D614&lt;&gt;"Serviço",0,IF(OR(AND(AUTOEVENTO="Manual",$M614=1),$M614&gt;(ROW(PLE.lastrow)-ROW(PLE.firstrow))),0,IF(OFFSET(PLE!$G$14,$M614,BD$13)="",10^12,OFFSET(PLE!$G$14,$M614,BD$13))))</f>
        <v>1000000000000</v>
      </c>
      <c r="BE614" s="182">
        <f ca="1">IF($D614&lt;&gt;"Serviço",0,IF(OR(AND(AUTOEVENTO="Manual",$M614=1),$M614&gt;(ROW(PLE.lastrow)-ROW(PLE.firstrow))),0,IF(OFFSET(PLE!$G$14,$M614,BE$13)="",10^12,OFFSET(PLE!$G$14,$M614,BE$13))))</f>
        <v>1000000000000</v>
      </c>
      <c r="BF614" s="182">
        <f ca="1">IF($D614&lt;&gt;"Serviço",0,IF(OR(AND(AUTOEVENTO="Manual",$M614=1),$M614&gt;(ROW(PLE.lastrow)-ROW(PLE.firstrow))),0,IF(OFFSET(PLE!$G$14,$M614,BF$13)="",10^12,OFFSET(PLE!$G$14,$M614,BF$13))))</f>
        <v>1000000000000</v>
      </c>
      <c r="BG614" s="182">
        <f ca="1">IF($D614&lt;&gt;"Serviço",0,IF(OR(AND(AUTOEVENTO="Manual",$M614=1),$M614&gt;(ROW(PLE.lastrow)-ROW(PLE.firstrow))),0,IF(OFFSET(PLE!$G$14,$M614,BG$13)="",10^12,OFFSET(PLE!$G$14,$M614,BG$13))))</f>
        <v>1000000000000</v>
      </c>
    </row>
    <row r="615" spans="1:59" ht="25.5" x14ac:dyDescent="0.2">
      <c r="A615" s="7" t="str">
        <f t="shared" ca="1" si="16"/>
        <v>593</v>
      </c>
      <c r="B615" s="7" t="str">
        <f ca="1">OFFSET(ORÇAMENTO!C$15,ROW(B615)-ROW(B$15),0)</f>
        <v>S</v>
      </c>
      <c r="C615" s="7" t="str">
        <f ca="1">OFFSET(ORÇAMENTO!L$15,ROW(C615)-ROW(C$15),0)</f>
        <v/>
      </c>
      <c r="D615" s="118" t="str">
        <f ca="1">OFFSET(ORÇAMENTO!N$15,ROW(D615)-ROW(D$15),0)</f>
        <v>Serviço</v>
      </c>
      <c r="E615" s="119" t="str">
        <f ca="1">OFFSET(ORÇAMENTO!O$15,ROW(E615)-ROW(E$15),0)</f>
        <v>-</v>
      </c>
      <c r="F615" s="172" t="str">
        <f ca="1">OFFSET(ORÇAMENTO!R$15,ROW(F615)-ROW(F$15),0)</f>
        <v>(abra o arquivo 'Referência 02-2025.xlsm)</v>
      </c>
      <c r="G615" s="173" t="str">
        <f ca="1">IF($D615&lt;&gt;"Serviço","",OFFSET(ORÇAMENTO!S$15,ROW(G615)-ROW(G$15),0))</f>
        <v>-</v>
      </c>
      <c r="H615" s="124">
        <f ca="1">IF($D615&lt;&gt;"Serviço",0,IF(ACOMPANHAMENTO="BM",ROUND(OFFSET(ORÇAMENTO!AJ$15,ROW(H615)-ROW(H$15),0),15-13*ORÇAMENTO!$AF$7),SUMPRODUCT(($Q$12:$AA$12&lt;&gt;"")*ROUND($Q615:$AA615,15-13*ORÇAMENTO!$AF$7))))</f>
        <v>1</v>
      </c>
      <c r="I615" s="561" t="s">
        <v>890</v>
      </c>
      <c r="K615" s="174"/>
      <c r="L615" s="175" t="s">
        <v>255</v>
      </c>
      <c r="M615" s="176">
        <f ca="1">IF($D615&lt;&gt;"Serviço","",IF(AUTOEVENTO="manual",$A615,IF(ISERROR(MATCH($A615,$A$15:OFFSET($A615,-1,0),0)),MAX($M$15:OFFSET(M615,-1,0))+1,INDEX($M$15:OFFSET(M615,-1,0),MATCH($A615,$A$15:OFFSET($A615,-1,0),0)))))</f>
        <v>19</v>
      </c>
      <c r="N615" s="177" t="str">
        <f ca="1">IF($D615&lt;&gt;"Serviço","",IF(AUTOEVENTO="Manual",IF($A615=0,"&lt;-- defina o número do agrupador",OFFSET(EVENTOS!$D$14,$A615,0)),OFFSET($F$15,$A615,0)))</f>
        <v>INSTALAÇÕES DE CABEAMENTO ESTRUTURADO</v>
      </c>
      <c r="O615" s="178"/>
      <c r="Q615" s="178"/>
      <c r="R615" s="179"/>
      <c r="S615" s="179"/>
      <c r="T615" s="179"/>
      <c r="U615" s="179"/>
      <c r="V615" s="179"/>
      <c r="W615" s="179"/>
      <c r="X615" s="179"/>
      <c r="Y615" s="179"/>
      <c r="Z615" s="180"/>
      <c r="AB615" s="544">
        <f ca="1">IF(AND($D615="Serviço",AB$12&lt;&gt;0,$H615&gt;0,OR(AUTOEVENTO&lt;&gt;"manual",$M615&lt;&gt;1)),
IF(Import.TipoArredondamento&lt;&gt;"TransfereGOV",
ROUND(OFFSET($P615,0,AB$13),15-13*ORÇAMENTO!$AF$7)/$H615*OFFSET(ORÇAMENTO!$X$15,ROW(AB615)-ROW(AB$15),0),
ROUND(ROUND(OFFSET($P615,0,AB$13),15-13*ORÇAMENTO!$AF$7)*OFFSET(ORÇAMENTO!$W$15,ROW(AB615)-ROW(AB$15),0),15-13*ORÇAMENTO!$AF$11)),0)</f>
        <v>0</v>
      </c>
      <c r="AC615" s="545">
        <f ca="1">IF(AND($D615="Serviço",AC$12&lt;&gt;0,$H615&gt;0,OR(AUTOEVENTO&lt;&gt;"manual",$M615&lt;&gt;1)),
IF(Import.TipoArredondamento&lt;&gt;"TransfereGOV",
ROUND(OFFSET($P615,0,AC$13),15-13*ORÇAMENTO!$AF$7)/$H615*OFFSET(ORÇAMENTO!$X$15,ROW(AC615)-ROW(AC$15),0),
ROUND(ROUND(OFFSET($P615,0,AC$13),15-13*ORÇAMENTO!$AF$7)*OFFSET(ORÇAMENTO!$W$15,ROW(AC615)-ROW(AC$15),0),15-13*ORÇAMENTO!$AF$11)),0)</f>
        <v>0</v>
      </c>
      <c r="AD615" s="545">
        <f ca="1">IF(AND($D615="Serviço",AD$12&lt;&gt;0,$H615&gt;0,OR(AUTOEVENTO&lt;&gt;"manual",$M615&lt;&gt;1)),
IF(Import.TipoArredondamento&lt;&gt;"TransfereGOV",
ROUND(OFFSET($P615,0,AD$13),15-13*ORÇAMENTO!$AF$7)/$H615*OFFSET(ORÇAMENTO!$X$15,ROW(AD615)-ROW(AD$15),0),
ROUND(ROUND(OFFSET($P615,0,AD$13),15-13*ORÇAMENTO!$AF$7)*OFFSET(ORÇAMENTO!$W$15,ROW(AD615)-ROW(AD$15),0),15-13*ORÇAMENTO!$AF$11)),0)</f>
        <v>0</v>
      </c>
      <c r="AE615" s="545">
        <f ca="1">IF(AND($D615="Serviço",AE$12&lt;&gt;0,$H615&gt;0,OR(AUTOEVENTO&lt;&gt;"manual",$M615&lt;&gt;1)),
IF(Import.TipoArredondamento&lt;&gt;"TransfereGOV",
ROUND(OFFSET($P615,0,AE$13),15-13*ORÇAMENTO!$AF$7)/$H615*OFFSET(ORÇAMENTO!$X$15,ROW(AE615)-ROW(AE$15),0),
ROUND(ROUND(OFFSET($P615,0,AE$13),15-13*ORÇAMENTO!$AF$7)*OFFSET(ORÇAMENTO!$W$15,ROW(AE615)-ROW(AE$15),0),15-13*ORÇAMENTO!$AF$11)),0)</f>
        <v>0</v>
      </c>
      <c r="AF615" s="545">
        <f ca="1">IF(AND($D615="Serviço",AF$12&lt;&gt;0,$H615&gt;0,OR(AUTOEVENTO&lt;&gt;"manual",$M615&lt;&gt;1)),
IF(Import.TipoArredondamento&lt;&gt;"TransfereGOV",
ROUND(OFFSET($P615,0,AF$13),15-13*ORÇAMENTO!$AF$7)/$H615*OFFSET(ORÇAMENTO!$X$15,ROW(AF615)-ROW(AF$15),0),
ROUND(ROUND(OFFSET($P615,0,AF$13),15-13*ORÇAMENTO!$AF$7)*OFFSET(ORÇAMENTO!$W$15,ROW(AF615)-ROW(AF$15),0),15-13*ORÇAMENTO!$AF$11)),0)</f>
        <v>0</v>
      </c>
      <c r="AG615" s="545">
        <f ca="1">IF(AND($D615="Serviço",AG$12&lt;&gt;0,$H615&gt;0,OR(AUTOEVENTO&lt;&gt;"manual",$M615&lt;&gt;1)),
IF(Import.TipoArredondamento&lt;&gt;"TransfereGOV",
ROUND(OFFSET($P615,0,AG$13),15-13*ORÇAMENTO!$AF$7)/$H615*OFFSET(ORÇAMENTO!$X$15,ROW(AG615)-ROW(AG$15),0),
ROUND(ROUND(OFFSET($P615,0,AG$13),15-13*ORÇAMENTO!$AF$7)*OFFSET(ORÇAMENTO!$W$15,ROW(AG615)-ROW(AG$15),0),15-13*ORÇAMENTO!$AF$11)),0)</f>
        <v>0</v>
      </c>
      <c r="AH615" s="545">
        <f ca="1">IF(AND($D615="Serviço",AH$12&lt;&gt;0,$H615&gt;0,OR(AUTOEVENTO&lt;&gt;"manual",$M615&lt;&gt;1)),
IF(Import.TipoArredondamento&lt;&gt;"TransfereGOV",
ROUND(OFFSET($P615,0,AH$13),15-13*ORÇAMENTO!$AF$7)/$H615*OFFSET(ORÇAMENTO!$X$15,ROW(AH615)-ROW(AH$15),0),
ROUND(ROUND(OFFSET($P615,0,AH$13),15-13*ORÇAMENTO!$AF$7)*OFFSET(ORÇAMENTO!$W$15,ROW(AH615)-ROW(AH$15),0),15-13*ORÇAMENTO!$AF$11)),0)</f>
        <v>0</v>
      </c>
      <c r="AI615" s="545">
        <f ca="1">IF(AND($D615="Serviço",AI$12&lt;&gt;0,$H615&gt;0,OR(AUTOEVENTO&lt;&gt;"manual",$M615&lt;&gt;1)),
IF(Import.TipoArredondamento&lt;&gt;"TransfereGOV",
ROUND(OFFSET($P615,0,AI$13),15-13*ORÇAMENTO!$AF$7)/$H615*OFFSET(ORÇAMENTO!$X$15,ROW(AI615)-ROW(AI$15),0),
ROUND(ROUND(OFFSET($P615,0,AI$13),15-13*ORÇAMENTO!$AF$7)*OFFSET(ORÇAMENTO!$W$15,ROW(AI615)-ROW(AI$15),0),15-13*ORÇAMENTO!$AF$11)),0)</f>
        <v>0</v>
      </c>
      <c r="AJ615" s="545">
        <f ca="1">IF(AND($D615="Serviço",AJ$12&lt;&gt;0,$H615&gt;0,OR(AUTOEVENTO&lt;&gt;"manual",$M615&lt;&gt;1)),
IF(Import.TipoArredondamento&lt;&gt;"TransfereGOV",
ROUND(OFFSET($P615,0,AJ$13),15-13*ORÇAMENTO!$AF$7)/$H615*OFFSET(ORÇAMENTO!$X$15,ROW(AJ615)-ROW(AJ$15),0),
ROUND(ROUND(OFFSET($P615,0,AJ$13),15-13*ORÇAMENTO!$AF$7)*OFFSET(ORÇAMENTO!$W$15,ROW(AJ615)-ROW(AJ$15),0),15-13*ORÇAMENTO!$AF$11)),0)</f>
        <v>0</v>
      </c>
      <c r="AK615" s="546">
        <f ca="1">IF(AND($D615="Serviço",AK$12&lt;&gt;0,$H615&gt;0,OR(AUTOEVENTO&lt;&gt;"manual",$M615&lt;&gt;1)),
IF(Import.TipoArredondamento&lt;&gt;"TransfereGOV",
ROUND(OFFSET($P615,0,AK$13),15-13*ORÇAMENTO!$AF$7)/$H615*OFFSET(ORÇAMENTO!$X$15,ROW(AK615)-ROW(AK$15),0),
ROUND(ROUND(OFFSET($P615,0,AK$13),15-13*ORÇAMENTO!$AF$7)*OFFSET(ORÇAMENTO!$W$15,ROW(AK615)-ROW(AK$15),0),15-13*ORÇAMENTO!$AF$11)),0)</f>
        <v>0</v>
      </c>
      <c r="AM615" s="181">
        <f ca="1">IF($D615&lt;&gt;"Serviço",0,IF(AND(AUTOEVENTO="Manual",$M615=1),0,IF(OFFSET(CRONOPLE!$F$14,$M615,AM$13)="",10^12,OFFSET(CRONOPLE!$F$14,$M615,AM$13))))</f>
        <v>1000000000000</v>
      </c>
      <c r="AN615" s="181">
        <f ca="1">IF($D615&lt;&gt;"Serviço",0,IF(AND(AUTOEVENTO="Manual",$M615=1),0,IF(OFFSET(CRONOPLE!$F$14,$M615,AN$13)="",10^12,OFFSET(CRONOPLE!$F$14,$M615,AN$13))))</f>
        <v>1000000000000</v>
      </c>
      <c r="AO615" s="181">
        <f ca="1">IF($D615&lt;&gt;"Serviço",0,IF(AND(AUTOEVENTO="Manual",$M615=1),0,IF(OFFSET(CRONOPLE!$F$14,$M615,AO$13)="",10^12,OFFSET(CRONOPLE!$F$14,$M615,AO$13))))</f>
        <v>1000000000000</v>
      </c>
      <c r="AP615" s="181">
        <f ca="1">IF($D615&lt;&gt;"Serviço",0,IF(AND(AUTOEVENTO="Manual",$M615=1),0,IF(OFFSET(CRONOPLE!$F$14,$M615,AP$13)="",10^12,OFFSET(CRONOPLE!$F$14,$M615,AP$13))))</f>
        <v>1000000000000</v>
      </c>
      <c r="AQ615" s="181">
        <f ca="1">IF($D615&lt;&gt;"Serviço",0,IF(AND(AUTOEVENTO="Manual",$M615=1),0,IF(OFFSET(CRONOPLE!$F$14,$M615,AQ$13)="",10^12,OFFSET(CRONOPLE!$F$14,$M615,AQ$13))))</f>
        <v>1000000000000</v>
      </c>
      <c r="AR615" s="181">
        <f ca="1">IF($D615&lt;&gt;"Serviço",0,IF(AND(AUTOEVENTO="Manual",$M615=1),0,IF(OFFSET(CRONOPLE!$F$14,$M615,AR$13)="",10^12,OFFSET(CRONOPLE!$F$14,$M615,AR$13))))</f>
        <v>1000000000000</v>
      </c>
      <c r="AS615" s="181">
        <f ca="1">IF($D615&lt;&gt;"Serviço",0,IF(AND(AUTOEVENTO="Manual",$M615=1),0,IF(OFFSET(CRONOPLE!$F$14,$M615,AS$13)="",10^12,OFFSET(CRONOPLE!$F$14,$M615,AS$13))))</f>
        <v>1000000000000</v>
      </c>
      <c r="AT615" s="181">
        <f ca="1">IF($D615&lt;&gt;"Serviço",0,IF(AND(AUTOEVENTO="Manual",$M615=1),0,IF(OFFSET(CRONOPLE!$F$14,$M615,AT$13)="",10^12,OFFSET(CRONOPLE!$F$14,$M615,AT$13))))</f>
        <v>1000000000000</v>
      </c>
      <c r="AU615" s="181">
        <f ca="1">IF($D615&lt;&gt;"Serviço",0,IF(AND(AUTOEVENTO="Manual",$M615=1),0,IF(OFFSET(CRONOPLE!$F$14,$M615,AU$13)="",10^12,OFFSET(CRONOPLE!$F$14,$M615,AU$13))))</f>
        <v>1000000000000</v>
      </c>
      <c r="AV615" s="181">
        <f ca="1">IF($D615&lt;&gt;"Serviço",0,IF(AND(AUTOEVENTO="Manual",$M615=1),0,IF(OFFSET(CRONOPLE!$F$14,$M615,AV$13)="",10^12,OFFSET(CRONOPLE!$F$14,$M615,AV$13))))</f>
        <v>1000000000000</v>
      </c>
      <c r="AX615" s="182">
        <f ca="1">IF($D615&lt;&gt;"Serviço",0,IF(OR(AND(AUTOEVENTO="Manual",$M615=1),$M615&gt;(ROW(PLE.lastrow)-ROW(PLE.firstrow))),0,IF(OFFSET(PLE!$G$14,$M615,AX$13)="",10^12,OFFSET(PLE!$G$14,$M615,AX$13))))</f>
        <v>1000000000000</v>
      </c>
      <c r="AY615" s="182">
        <f ca="1">IF($D615&lt;&gt;"Serviço",0,IF(OR(AND(AUTOEVENTO="Manual",$M615=1),$M615&gt;(ROW(PLE.lastrow)-ROW(PLE.firstrow))),0,IF(OFFSET(PLE!$G$14,$M615,AY$13)="",10^12,OFFSET(PLE!$G$14,$M615,AY$13))))</f>
        <v>1000000000000</v>
      </c>
      <c r="AZ615" s="182">
        <f ca="1">IF($D615&lt;&gt;"Serviço",0,IF(OR(AND(AUTOEVENTO="Manual",$M615=1),$M615&gt;(ROW(PLE.lastrow)-ROW(PLE.firstrow))),0,IF(OFFSET(PLE!$G$14,$M615,AZ$13)="",10^12,OFFSET(PLE!$G$14,$M615,AZ$13))))</f>
        <v>1000000000000</v>
      </c>
      <c r="BA615" s="182">
        <f ca="1">IF($D615&lt;&gt;"Serviço",0,IF(OR(AND(AUTOEVENTO="Manual",$M615=1),$M615&gt;(ROW(PLE.lastrow)-ROW(PLE.firstrow))),0,IF(OFFSET(PLE!$G$14,$M615,BA$13)="",10^12,OFFSET(PLE!$G$14,$M615,BA$13))))</f>
        <v>1000000000000</v>
      </c>
      <c r="BB615" s="182">
        <f ca="1">IF($D615&lt;&gt;"Serviço",0,IF(OR(AND(AUTOEVENTO="Manual",$M615=1),$M615&gt;(ROW(PLE.lastrow)-ROW(PLE.firstrow))),0,IF(OFFSET(PLE!$G$14,$M615,BB$13)="",10^12,OFFSET(PLE!$G$14,$M615,BB$13))))</f>
        <v>1000000000000</v>
      </c>
      <c r="BC615" s="182">
        <f ca="1">IF($D615&lt;&gt;"Serviço",0,IF(OR(AND(AUTOEVENTO="Manual",$M615=1),$M615&gt;(ROW(PLE.lastrow)-ROW(PLE.firstrow))),0,IF(OFFSET(PLE!$G$14,$M615,BC$13)="",10^12,OFFSET(PLE!$G$14,$M615,BC$13))))</f>
        <v>1000000000000</v>
      </c>
      <c r="BD615" s="182">
        <f ca="1">IF($D615&lt;&gt;"Serviço",0,IF(OR(AND(AUTOEVENTO="Manual",$M615=1),$M615&gt;(ROW(PLE.lastrow)-ROW(PLE.firstrow))),0,IF(OFFSET(PLE!$G$14,$M615,BD$13)="",10^12,OFFSET(PLE!$G$14,$M615,BD$13))))</f>
        <v>1000000000000</v>
      </c>
      <c r="BE615" s="182">
        <f ca="1">IF($D615&lt;&gt;"Serviço",0,IF(OR(AND(AUTOEVENTO="Manual",$M615=1),$M615&gt;(ROW(PLE.lastrow)-ROW(PLE.firstrow))),0,IF(OFFSET(PLE!$G$14,$M615,BE$13)="",10^12,OFFSET(PLE!$G$14,$M615,BE$13))))</f>
        <v>1000000000000</v>
      </c>
      <c r="BF615" s="182">
        <f ca="1">IF($D615&lt;&gt;"Serviço",0,IF(OR(AND(AUTOEVENTO="Manual",$M615=1),$M615&gt;(ROW(PLE.lastrow)-ROW(PLE.firstrow))),0,IF(OFFSET(PLE!$G$14,$M615,BF$13)="",10^12,OFFSET(PLE!$G$14,$M615,BF$13))))</f>
        <v>1000000000000</v>
      </c>
      <c r="BG615" s="182">
        <f ca="1">IF($D615&lt;&gt;"Serviço",0,IF(OR(AND(AUTOEVENTO="Manual",$M615=1),$M615&gt;(ROW(PLE.lastrow)-ROW(PLE.firstrow))),0,IF(OFFSET(PLE!$G$14,$M615,BG$13)="",10^12,OFFSET(PLE!$G$14,$M615,BG$13))))</f>
        <v>1000000000000</v>
      </c>
    </row>
    <row r="616" spans="1:59" ht="25.5" x14ac:dyDescent="0.2">
      <c r="A616" s="7" t="str">
        <f t="shared" ca="1" si="16"/>
        <v>593</v>
      </c>
      <c r="B616" s="7" t="str">
        <f ca="1">OFFSET(ORÇAMENTO!C$15,ROW(B616)-ROW(B$15),0)</f>
        <v>S</v>
      </c>
      <c r="C616" s="7" t="str">
        <f ca="1">OFFSET(ORÇAMENTO!L$15,ROW(C616)-ROW(C$15),0)</f>
        <v/>
      </c>
      <c r="D616" s="118" t="str">
        <f ca="1">OFFSET(ORÇAMENTO!N$15,ROW(D616)-ROW(D$15),0)</f>
        <v>Serviço</v>
      </c>
      <c r="E616" s="119" t="str">
        <f ca="1">OFFSET(ORÇAMENTO!O$15,ROW(E616)-ROW(E$15),0)</f>
        <v>-</v>
      </c>
      <c r="F616" s="172" t="str">
        <f ca="1">OFFSET(ORÇAMENTO!R$15,ROW(F616)-ROW(F$15),0)</f>
        <v>(abra o arquivo 'Referência 02-2025.xlsm)</v>
      </c>
      <c r="G616" s="173" t="str">
        <f ca="1">IF($D616&lt;&gt;"Serviço","",OFFSET(ORÇAMENTO!S$15,ROW(G616)-ROW(G$15),0))</f>
        <v>-</v>
      </c>
      <c r="H616" s="124">
        <f ca="1">IF($D616&lt;&gt;"Serviço",0,IF(ACOMPANHAMENTO="BM",ROUND(OFFSET(ORÇAMENTO!AJ$15,ROW(H616)-ROW(H$15),0),15-13*ORÇAMENTO!$AF$7),SUMPRODUCT(($Q$12:$AA$12&lt;&gt;"")*ROUND($Q616:$AA616,15-13*ORÇAMENTO!$AF$7))))</f>
        <v>1</v>
      </c>
      <c r="I616" s="561" t="s">
        <v>890</v>
      </c>
      <c r="K616" s="174"/>
      <c r="L616" s="175" t="s">
        <v>255</v>
      </c>
      <c r="M616" s="176">
        <f ca="1">IF($D616&lt;&gt;"Serviço","",IF(AUTOEVENTO="manual",$A616,IF(ISERROR(MATCH($A616,$A$15:OFFSET($A616,-1,0),0)),MAX($M$15:OFFSET(M616,-1,0))+1,INDEX($M$15:OFFSET(M616,-1,0),MATCH($A616,$A$15:OFFSET($A616,-1,0),0)))))</f>
        <v>19</v>
      </c>
      <c r="N616" s="177" t="str">
        <f ca="1">IF($D616&lt;&gt;"Serviço","",IF(AUTOEVENTO="Manual",IF($A616=0,"&lt;-- defina o número do agrupador",OFFSET(EVENTOS!$D$14,$A616,0)),OFFSET($F$15,$A616,0)))</f>
        <v>INSTALAÇÕES DE CABEAMENTO ESTRUTURADO</v>
      </c>
      <c r="O616" s="178"/>
      <c r="Q616" s="178"/>
      <c r="R616" s="179"/>
      <c r="S616" s="179"/>
      <c r="T616" s="179"/>
      <c r="U616" s="179"/>
      <c r="V616" s="179"/>
      <c r="W616" s="179"/>
      <c r="X616" s="179"/>
      <c r="Y616" s="179"/>
      <c r="Z616" s="180"/>
      <c r="AB616" s="544">
        <f ca="1">IF(AND($D616="Serviço",AB$12&lt;&gt;0,$H616&gt;0,OR(AUTOEVENTO&lt;&gt;"manual",$M616&lt;&gt;1)),
IF(Import.TipoArredondamento&lt;&gt;"TransfereGOV",
ROUND(OFFSET($P616,0,AB$13),15-13*ORÇAMENTO!$AF$7)/$H616*OFFSET(ORÇAMENTO!$X$15,ROW(AB616)-ROW(AB$15),0),
ROUND(ROUND(OFFSET($P616,0,AB$13),15-13*ORÇAMENTO!$AF$7)*OFFSET(ORÇAMENTO!$W$15,ROW(AB616)-ROW(AB$15),0),15-13*ORÇAMENTO!$AF$11)),0)</f>
        <v>0</v>
      </c>
      <c r="AC616" s="545">
        <f ca="1">IF(AND($D616="Serviço",AC$12&lt;&gt;0,$H616&gt;0,OR(AUTOEVENTO&lt;&gt;"manual",$M616&lt;&gt;1)),
IF(Import.TipoArredondamento&lt;&gt;"TransfereGOV",
ROUND(OFFSET($P616,0,AC$13),15-13*ORÇAMENTO!$AF$7)/$H616*OFFSET(ORÇAMENTO!$X$15,ROW(AC616)-ROW(AC$15),0),
ROUND(ROUND(OFFSET($P616,0,AC$13),15-13*ORÇAMENTO!$AF$7)*OFFSET(ORÇAMENTO!$W$15,ROW(AC616)-ROW(AC$15),0),15-13*ORÇAMENTO!$AF$11)),0)</f>
        <v>0</v>
      </c>
      <c r="AD616" s="545">
        <f ca="1">IF(AND($D616="Serviço",AD$12&lt;&gt;0,$H616&gt;0,OR(AUTOEVENTO&lt;&gt;"manual",$M616&lt;&gt;1)),
IF(Import.TipoArredondamento&lt;&gt;"TransfereGOV",
ROUND(OFFSET($P616,0,AD$13),15-13*ORÇAMENTO!$AF$7)/$H616*OFFSET(ORÇAMENTO!$X$15,ROW(AD616)-ROW(AD$15),0),
ROUND(ROUND(OFFSET($P616,0,AD$13),15-13*ORÇAMENTO!$AF$7)*OFFSET(ORÇAMENTO!$W$15,ROW(AD616)-ROW(AD$15),0),15-13*ORÇAMENTO!$AF$11)),0)</f>
        <v>0</v>
      </c>
      <c r="AE616" s="545">
        <f ca="1">IF(AND($D616="Serviço",AE$12&lt;&gt;0,$H616&gt;0,OR(AUTOEVENTO&lt;&gt;"manual",$M616&lt;&gt;1)),
IF(Import.TipoArredondamento&lt;&gt;"TransfereGOV",
ROUND(OFFSET($P616,0,AE$13),15-13*ORÇAMENTO!$AF$7)/$H616*OFFSET(ORÇAMENTO!$X$15,ROW(AE616)-ROW(AE$15),0),
ROUND(ROUND(OFFSET($P616,0,AE$13),15-13*ORÇAMENTO!$AF$7)*OFFSET(ORÇAMENTO!$W$15,ROW(AE616)-ROW(AE$15),0),15-13*ORÇAMENTO!$AF$11)),0)</f>
        <v>0</v>
      </c>
      <c r="AF616" s="545">
        <f ca="1">IF(AND($D616="Serviço",AF$12&lt;&gt;0,$H616&gt;0,OR(AUTOEVENTO&lt;&gt;"manual",$M616&lt;&gt;1)),
IF(Import.TipoArredondamento&lt;&gt;"TransfereGOV",
ROUND(OFFSET($P616,0,AF$13),15-13*ORÇAMENTO!$AF$7)/$H616*OFFSET(ORÇAMENTO!$X$15,ROW(AF616)-ROW(AF$15),0),
ROUND(ROUND(OFFSET($P616,0,AF$13),15-13*ORÇAMENTO!$AF$7)*OFFSET(ORÇAMENTO!$W$15,ROW(AF616)-ROW(AF$15),0),15-13*ORÇAMENTO!$AF$11)),0)</f>
        <v>0</v>
      </c>
      <c r="AG616" s="545">
        <f ca="1">IF(AND($D616="Serviço",AG$12&lt;&gt;0,$H616&gt;0,OR(AUTOEVENTO&lt;&gt;"manual",$M616&lt;&gt;1)),
IF(Import.TipoArredondamento&lt;&gt;"TransfereGOV",
ROUND(OFFSET($P616,0,AG$13),15-13*ORÇAMENTO!$AF$7)/$H616*OFFSET(ORÇAMENTO!$X$15,ROW(AG616)-ROW(AG$15),0),
ROUND(ROUND(OFFSET($P616,0,AG$13),15-13*ORÇAMENTO!$AF$7)*OFFSET(ORÇAMENTO!$W$15,ROW(AG616)-ROW(AG$15),0),15-13*ORÇAMENTO!$AF$11)),0)</f>
        <v>0</v>
      </c>
      <c r="AH616" s="545">
        <f ca="1">IF(AND($D616="Serviço",AH$12&lt;&gt;0,$H616&gt;0,OR(AUTOEVENTO&lt;&gt;"manual",$M616&lt;&gt;1)),
IF(Import.TipoArredondamento&lt;&gt;"TransfereGOV",
ROUND(OFFSET($P616,0,AH$13),15-13*ORÇAMENTO!$AF$7)/$H616*OFFSET(ORÇAMENTO!$X$15,ROW(AH616)-ROW(AH$15),0),
ROUND(ROUND(OFFSET($P616,0,AH$13),15-13*ORÇAMENTO!$AF$7)*OFFSET(ORÇAMENTO!$W$15,ROW(AH616)-ROW(AH$15),0),15-13*ORÇAMENTO!$AF$11)),0)</f>
        <v>0</v>
      </c>
      <c r="AI616" s="545">
        <f ca="1">IF(AND($D616="Serviço",AI$12&lt;&gt;0,$H616&gt;0,OR(AUTOEVENTO&lt;&gt;"manual",$M616&lt;&gt;1)),
IF(Import.TipoArredondamento&lt;&gt;"TransfereGOV",
ROUND(OFFSET($P616,0,AI$13),15-13*ORÇAMENTO!$AF$7)/$H616*OFFSET(ORÇAMENTO!$X$15,ROW(AI616)-ROW(AI$15),0),
ROUND(ROUND(OFFSET($P616,0,AI$13),15-13*ORÇAMENTO!$AF$7)*OFFSET(ORÇAMENTO!$W$15,ROW(AI616)-ROW(AI$15),0),15-13*ORÇAMENTO!$AF$11)),0)</f>
        <v>0</v>
      </c>
      <c r="AJ616" s="545">
        <f ca="1">IF(AND($D616="Serviço",AJ$12&lt;&gt;0,$H616&gt;0,OR(AUTOEVENTO&lt;&gt;"manual",$M616&lt;&gt;1)),
IF(Import.TipoArredondamento&lt;&gt;"TransfereGOV",
ROUND(OFFSET($P616,0,AJ$13),15-13*ORÇAMENTO!$AF$7)/$H616*OFFSET(ORÇAMENTO!$X$15,ROW(AJ616)-ROW(AJ$15),0),
ROUND(ROUND(OFFSET($P616,0,AJ$13),15-13*ORÇAMENTO!$AF$7)*OFFSET(ORÇAMENTO!$W$15,ROW(AJ616)-ROW(AJ$15),0),15-13*ORÇAMENTO!$AF$11)),0)</f>
        <v>0</v>
      </c>
      <c r="AK616" s="546">
        <f ca="1">IF(AND($D616="Serviço",AK$12&lt;&gt;0,$H616&gt;0,OR(AUTOEVENTO&lt;&gt;"manual",$M616&lt;&gt;1)),
IF(Import.TipoArredondamento&lt;&gt;"TransfereGOV",
ROUND(OFFSET($P616,0,AK$13),15-13*ORÇAMENTO!$AF$7)/$H616*OFFSET(ORÇAMENTO!$X$15,ROW(AK616)-ROW(AK$15),0),
ROUND(ROUND(OFFSET($P616,0,AK$13),15-13*ORÇAMENTO!$AF$7)*OFFSET(ORÇAMENTO!$W$15,ROW(AK616)-ROW(AK$15),0),15-13*ORÇAMENTO!$AF$11)),0)</f>
        <v>0</v>
      </c>
      <c r="AM616" s="181">
        <f ca="1">IF($D616&lt;&gt;"Serviço",0,IF(AND(AUTOEVENTO="Manual",$M616=1),0,IF(OFFSET(CRONOPLE!$F$14,$M616,AM$13)="",10^12,OFFSET(CRONOPLE!$F$14,$M616,AM$13))))</f>
        <v>1000000000000</v>
      </c>
      <c r="AN616" s="181">
        <f ca="1">IF($D616&lt;&gt;"Serviço",0,IF(AND(AUTOEVENTO="Manual",$M616=1),0,IF(OFFSET(CRONOPLE!$F$14,$M616,AN$13)="",10^12,OFFSET(CRONOPLE!$F$14,$M616,AN$13))))</f>
        <v>1000000000000</v>
      </c>
      <c r="AO616" s="181">
        <f ca="1">IF($D616&lt;&gt;"Serviço",0,IF(AND(AUTOEVENTO="Manual",$M616=1),0,IF(OFFSET(CRONOPLE!$F$14,$M616,AO$13)="",10^12,OFFSET(CRONOPLE!$F$14,$M616,AO$13))))</f>
        <v>1000000000000</v>
      </c>
      <c r="AP616" s="181">
        <f ca="1">IF($D616&lt;&gt;"Serviço",0,IF(AND(AUTOEVENTO="Manual",$M616=1),0,IF(OFFSET(CRONOPLE!$F$14,$M616,AP$13)="",10^12,OFFSET(CRONOPLE!$F$14,$M616,AP$13))))</f>
        <v>1000000000000</v>
      </c>
      <c r="AQ616" s="181">
        <f ca="1">IF($D616&lt;&gt;"Serviço",0,IF(AND(AUTOEVENTO="Manual",$M616=1),0,IF(OFFSET(CRONOPLE!$F$14,$M616,AQ$13)="",10^12,OFFSET(CRONOPLE!$F$14,$M616,AQ$13))))</f>
        <v>1000000000000</v>
      </c>
      <c r="AR616" s="181">
        <f ca="1">IF($D616&lt;&gt;"Serviço",0,IF(AND(AUTOEVENTO="Manual",$M616=1),0,IF(OFFSET(CRONOPLE!$F$14,$M616,AR$13)="",10^12,OFFSET(CRONOPLE!$F$14,$M616,AR$13))))</f>
        <v>1000000000000</v>
      </c>
      <c r="AS616" s="181">
        <f ca="1">IF($D616&lt;&gt;"Serviço",0,IF(AND(AUTOEVENTO="Manual",$M616=1),0,IF(OFFSET(CRONOPLE!$F$14,$M616,AS$13)="",10^12,OFFSET(CRONOPLE!$F$14,$M616,AS$13))))</f>
        <v>1000000000000</v>
      </c>
      <c r="AT616" s="181">
        <f ca="1">IF($D616&lt;&gt;"Serviço",0,IF(AND(AUTOEVENTO="Manual",$M616=1),0,IF(OFFSET(CRONOPLE!$F$14,$M616,AT$13)="",10^12,OFFSET(CRONOPLE!$F$14,$M616,AT$13))))</f>
        <v>1000000000000</v>
      </c>
      <c r="AU616" s="181">
        <f ca="1">IF($D616&lt;&gt;"Serviço",0,IF(AND(AUTOEVENTO="Manual",$M616=1),0,IF(OFFSET(CRONOPLE!$F$14,$M616,AU$13)="",10^12,OFFSET(CRONOPLE!$F$14,$M616,AU$13))))</f>
        <v>1000000000000</v>
      </c>
      <c r="AV616" s="181">
        <f ca="1">IF($D616&lt;&gt;"Serviço",0,IF(AND(AUTOEVENTO="Manual",$M616=1),0,IF(OFFSET(CRONOPLE!$F$14,$M616,AV$13)="",10^12,OFFSET(CRONOPLE!$F$14,$M616,AV$13))))</f>
        <v>1000000000000</v>
      </c>
      <c r="AX616" s="182">
        <f ca="1">IF($D616&lt;&gt;"Serviço",0,IF(OR(AND(AUTOEVENTO="Manual",$M616=1),$M616&gt;(ROW(PLE.lastrow)-ROW(PLE.firstrow))),0,IF(OFFSET(PLE!$G$14,$M616,AX$13)="",10^12,OFFSET(PLE!$G$14,$M616,AX$13))))</f>
        <v>1000000000000</v>
      </c>
      <c r="AY616" s="182">
        <f ca="1">IF($D616&lt;&gt;"Serviço",0,IF(OR(AND(AUTOEVENTO="Manual",$M616=1),$M616&gt;(ROW(PLE.lastrow)-ROW(PLE.firstrow))),0,IF(OFFSET(PLE!$G$14,$M616,AY$13)="",10^12,OFFSET(PLE!$G$14,$M616,AY$13))))</f>
        <v>1000000000000</v>
      </c>
      <c r="AZ616" s="182">
        <f ca="1">IF($D616&lt;&gt;"Serviço",0,IF(OR(AND(AUTOEVENTO="Manual",$M616=1),$M616&gt;(ROW(PLE.lastrow)-ROW(PLE.firstrow))),0,IF(OFFSET(PLE!$G$14,$M616,AZ$13)="",10^12,OFFSET(PLE!$G$14,$M616,AZ$13))))</f>
        <v>1000000000000</v>
      </c>
      <c r="BA616" s="182">
        <f ca="1">IF($D616&lt;&gt;"Serviço",0,IF(OR(AND(AUTOEVENTO="Manual",$M616=1),$M616&gt;(ROW(PLE.lastrow)-ROW(PLE.firstrow))),0,IF(OFFSET(PLE!$G$14,$M616,BA$13)="",10^12,OFFSET(PLE!$G$14,$M616,BA$13))))</f>
        <v>1000000000000</v>
      </c>
      <c r="BB616" s="182">
        <f ca="1">IF($D616&lt;&gt;"Serviço",0,IF(OR(AND(AUTOEVENTO="Manual",$M616=1),$M616&gt;(ROW(PLE.lastrow)-ROW(PLE.firstrow))),0,IF(OFFSET(PLE!$G$14,$M616,BB$13)="",10^12,OFFSET(PLE!$G$14,$M616,BB$13))))</f>
        <v>1000000000000</v>
      </c>
      <c r="BC616" s="182">
        <f ca="1">IF($D616&lt;&gt;"Serviço",0,IF(OR(AND(AUTOEVENTO="Manual",$M616=1),$M616&gt;(ROW(PLE.lastrow)-ROW(PLE.firstrow))),0,IF(OFFSET(PLE!$G$14,$M616,BC$13)="",10^12,OFFSET(PLE!$G$14,$M616,BC$13))))</f>
        <v>1000000000000</v>
      </c>
      <c r="BD616" s="182">
        <f ca="1">IF($D616&lt;&gt;"Serviço",0,IF(OR(AND(AUTOEVENTO="Manual",$M616=1),$M616&gt;(ROW(PLE.lastrow)-ROW(PLE.firstrow))),0,IF(OFFSET(PLE!$G$14,$M616,BD$13)="",10^12,OFFSET(PLE!$G$14,$M616,BD$13))))</f>
        <v>1000000000000</v>
      </c>
      <c r="BE616" s="182">
        <f ca="1">IF($D616&lt;&gt;"Serviço",0,IF(OR(AND(AUTOEVENTO="Manual",$M616=1),$M616&gt;(ROW(PLE.lastrow)-ROW(PLE.firstrow))),0,IF(OFFSET(PLE!$G$14,$M616,BE$13)="",10^12,OFFSET(PLE!$G$14,$M616,BE$13))))</f>
        <v>1000000000000</v>
      </c>
      <c r="BF616" s="182">
        <f ca="1">IF($D616&lt;&gt;"Serviço",0,IF(OR(AND(AUTOEVENTO="Manual",$M616=1),$M616&gt;(ROW(PLE.lastrow)-ROW(PLE.firstrow))),0,IF(OFFSET(PLE!$G$14,$M616,BF$13)="",10^12,OFFSET(PLE!$G$14,$M616,BF$13))))</f>
        <v>1000000000000</v>
      </c>
      <c r="BG616" s="182">
        <f ca="1">IF($D616&lt;&gt;"Serviço",0,IF(OR(AND(AUTOEVENTO="Manual",$M616=1),$M616&gt;(ROW(PLE.lastrow)-ROW(PLE.firstrow))),0,IF(OFFSET(PLE!$G$14,$M616,BG$13)="",10^12,OFFSET(PLE!$G$14,$M616,BG$13))))</f>
        <v>1000000000000</v>
      </c>
    </row>
    <row r="617" spans="1:59" ht="25.5" x14ac:dyDescent="0.2">
      <c r="A617" s="7" t="str">
        <f t="shared" ca="1" si="16"/>
        <v>593</v>
      </c>
      <c r="B617" s="7" t="str">
        <f ca="1">OFFSET(ORÇAMENTO!C$15,ROW(B617)-ROW(B$15),0)</f>
        <v>S</v>
      </c>
      <c r="C617" s="7" t="str">
        <f ca="1">OFFSET(ORÇAMENTO!L$15,ROW(C617)-ROW(C$15),0)</f>
        <v/>
      </c>
      <c r="D617" s="118" t="str">
        <f ca="1">OFFSET(ORÇAMENTO!N$15,ROW(D617)-ROW(D$15),0)</f>
        <v>Serviço</v>
      </c>
      <c r="E617" s="119" t="str">
        <f ca="1">OFFSET(ORÇAMENTO!O$15,ROW(E617)-ROW(E$15),0)</f>
        <v>-</v>
      </c>
      <c r="F617" s="172" t="str">
        <f ca="1">OFFSET(ORÇAMENTO!R$15,ROW(F617)-ROW(F$15),0)</f>
        <v>(abra o arquivo 'Referência 02-2025.xlsm)</v>
      </c>
      <c r="G617" s="173" t="str">
        <f ca="1">IF($D617&lt;&gt;"Serviço","",OFFSET(ORÇAMENTO!S$15,ROW(G617)-ROW(G$15),0))</f>
        <v>-</v>
      </c>
      <c r="H617" s="124">
        <f ca="1">IF($D617&lt;&gt;"Serviço",0,IF(ACOMPANHAMENTO="BM",ROUND(OFFSET(ORÇAMENTO!AJ$15,ROW(H617)-ROW(H$15),0),15-13*ORÇAMENTO!$AF$7),SUMPRODUCT(($Q$12:$AA$12&lt;&gt;"")*ROUND($Q617:$AA617,15-13*ORÇAMENTO!$AF$7))))</f>
        <v>1</v>
      </c>
      <c r="I617" s="561" t="s">
        <v>890</v>
      </c>
      <c r="K617" s="174"/>
      <c r="L617" s="175" t="s">
        <v>255</v>
      </c>
      <c r="M617" s="176">
        <f ca="1">IF($D617&lt;&gt;"Serviço","",IF(AUTOEVENTO="manual",$A617,IF(ISERROR(MATCH($A617,$A$15:OFFSET($A617,-1,0),0)),MAX($M$15:OFFSET(M617,-1,0))+1,INDEX($M$15:OFFSET(M617,-1,0),MATCH($A617,$A$15:OFFSET($A617,-1,0),0)))))</f>
        <v>19</v>
      </c>
      <c r="N617" s="177" t="str">
        <f ca="1">IF($D617&lt;&gt;"Serviço","",IF(AUTOEVENTO="Manual",IF($A617=0,"&lt;-- defina o número do agrupador",OFFSET(EVENTOS!$D$14,$A617,0)),OFFSET($F$15,$A617,0)))</f>
        <v>INSTALAÇÕES DE CABEAMENTO ESTRUTURADO</v>
      </c>
      <c r="O617" s="178"/>
      <c r="Q617" s="178"/>
      <c r="R617" s="179"/>
      <c r="S617" s="179"/>
      <c r="T617" s="179"/>
      <c r="U617" s="179"/>
      <c r="V617" s="179"/>
      <c r="W617" s="179"/>
      <c r="X617" s="179"/>
      <c r="Y617" s="179"/>
      <c r="Z617" s="180"/>
      <c r="AB617" s="544">
        <f ca="1">IF(AND($D617="Serviço",AB$12&lt;&gt;0,$H617&gt;0,OR(AUTOEVENTO&lt;&gt;"manual",$M617&lt;&gt;1)),
IF(Import.TipoArredondamento&lt;&gt;"TransfereGOV",
ROUND(OFFSET($P617,0,AB$13),15-13*ORÇAMENTO!$AF$7)/$H617*OFFSET(ORÇAMENTO!$X$15,ROW(AB617)-ROW(AB$15),0),
ROUND(ROUND(OFFSET($P617,0,AB$13),15-13*ORÇAMENTO!$AF$7)*OFFSET(ORÇAMENTO!$W$15,ROW(AB617)-ROW(AB$15),0),15-13*ORÇAMENTO!$AF$11)),0)</f>
        <v>0</v>
      </c>
      <c r="AC617" s="545">
        <f ca="1">IF(AND($D617="Serviço",AC$12&lt;&gt;0,$H617&gt;0,OR(AUTOEVENTO&lt;&gt;"manual",$M617&lt;&gt;1)),
IF(Import.TipoArredondamento&lt;&gt;"TransfereGOV",
ROUND(OFFSET($P617,0,AC$13),15-13*ORÇAMENTO!$AF$7)/$H617*OFFSET(ORÇAMENTO!$X$15,ROW(AC617)-ROW(AC$15),0),
ROUND(ROUND(OFFSET($P617,0,AC$13),15-13*ORÇAMENTO!$AF$7)*OFFSET(ORÇAMENTO!$W$15,ROW(AC617)-ROW(AC$15),0),15-13*ORÇAMENTO!$AF$11)),0)</f>
        <v>0</v>
      </c>
      <c r="AD617" s="545">
        <f ca="1">IF(AND($D617="Serviço",AD$12&lt;&gt;0,$H617&gt;0,OR(AUTOEVENTO&lt;&gt;"manual",$M617&lt;&gt;1)),
IF(Import.TipoArredondamento&lt;&gt;"TransfereGOV",
ROUND(OFFSET($P617,0,AD$13),15-13*ORÇAMENTO!$AF$7)/$H617*OFFSET(ORÇAMENTO!$X$15,ROW(AD617)-ROW(AD$15),0),
ROUND(ROUND(OFFSET($P617,0,AD$13),15-13*ORÇAMENTO!$AF$7)*OFFSET(ORÇAMENTO!$W$15,ROW(AD617)-ROW(AD$15),0),15-13*ORÇAMENTO!$AF$11)),0)</f>
        <v>0</v>
      </c>
      <c r="AE617" s="545">
        <f ca="1">IF(AND($D617="Serviço",AE$12&lt;&gt;0,$H617&gt;0,OR(AUTOEVENTO&lt;&gt;"manual",$M617&lt;&gt;1)),
IF(Import.TipoArredondamento&lt;&gt;"TransfereGOV",
ROUND(OFFSET($P617,0,AE$13),15-13*ORÇAMENTO!$AF$7)/$H617*OFFSET(ORÇAMENTO!$X$15,ROW(AE617)-ROW(AE$15),0),
ROUND(ROUND(OFFSET($P617,0,AE$13),15-13*ORÇAMENTO!$AF$7)*OFFSET(ORÇAMENTO!$W$15,ROW(AE617)-ROW(AE$15),0),15-13*ORÇAMENTO!$AF$11)),0)</f>
        <v>0</v>
      </c>
      <c r="AF617" s="545">
        <f ca="1">IF(AND($D617="Serviço",AF$12&lt;&gt;0,$H617&gt;0,OR(AUTOEVENTO&lt;&gt;"manual",$M617&lt;&gt;1)),
IF(Import.TipoArredondamento&lt;&gt;"TransfereGOV",
ROUND(OFFSET($P617,0,AF$13),15-13*ORÇAMENTO!$AF$7)/$H617*OFFSET(ORÇAMENTO!$X$15,ROW(AF617)-ROW(AF$15),0),
ROUND(ROUND(OFFSET($P617,0,AF$13),15-13*ORÇAMENTO!$AF$7)*OFFSET(ORÇAMENTO!$W$15,ROW(AF617)-ROW(AF$15),0),15-13*ORÇAMENTO!$AF$11)),0)</f>
        <v>0</v>
      </c>
      <c r="AG617" s="545">
        <f ca="1">IF(AND($D617="Serviço",AG$12&lt;&gt;0,$H617&gt;0,OR(AUTOEVENTO&lt;&gt;"manual",$M617&lt;&gt;1)),
IF(Import.TipoArredondamento&lt;&gt;"TransfereGOV",
ROUND(OFFSET($P617,0,AG$13),15-13*ORÇAMENTO!$AF$7)/$H617*OFFSET(ORÇAMENTO!$X$15,ROW(AG617)-ROW(AG$15),0),
ROUND(ROUND(OFFSET($P617,0,AG$13),15-13*ORÇAMENTO!$AF$7)*OFFSET(ORÇAMENTO!$W$15,ROW(AG617)-ROW(AG$15),0),15-13*ORÇAMENTO!$AF$11)),0)</f>
        <v>0</v>
      </c>
      <c r="AH617" s="545">
        <f ca="1">IF(AND($D617="Serviço",AH$12&lt;&gt;0,$H617&gt;0,OR(AUTOEVENTO&lt;&gt;"manual",$M617&lt;&gt;1)),
IF(Import.TipoArredondamento&lt;&gt;"TransfereGOV",
ROUND(OFFSET($P617,0,AH$13),15-13*ORÇAMENTO!$AF$7)/$H617*OFFSET(ORÇAMENTO!$X$15,ROW(AH617)-ROW(AH$15),0),
ROUND(ROUND(OFFSET($P617,0,AH$13),15-13*ORÇAMENTO!$AF$7)*OFFSET(ORÇAMENTO!$W$15,ROW(AH617)-ROW(AH$15),0),15-13*ORÇAMENTO!$AF$11)),0)</f>
        <v>0</v>
      </c>
      <c r="AI617" s="545">
        <f ca="1">IF(AND($D617="Serviço",AI$12&lt;&gt;0,$H617&gt;0,OR(AUTOEVENTO&lt;&gt;"manual",$M617&lt;&gt;1)),
IF(Import.TipoArredondamento&lt;&gt;"TransfereGOV",
ROUND(OFFSET($P617,0,AI$13),15-13*ORÇAMENTO!$AF$7)/$H617*OFFSET(ORÇAMENTO!$X$15,ROW(AI617)-ROW(AI$15),0),
ROUND(ROUND(OFFSET($P617,0,AI$13),15-13*ORÇAMENTO!$AF$7)*OFFSET(ORÇAMENTO!$W$15,ROW(AI617)-ROW(AI$15),0),15-13*ORÇAMENTO!$AF$11)),0)</f>
        <v>0</v>
      </c>
      <c r="AJ617" s="545">
        <f ca="1">IF(AND($D617="Serviço",AJ$12&lt;&gt;0,$H617&gt;0,OR(AUTOEVENTO&lt;&gt;"manual",$M617&lt;&gt;1)),
IF(Import.TipoArredondamento&lt;&gt;"TransfereGOV",
ROUND(OFFSET($P617,0,AJ$13),15-13*ORÇAMENTO!$AF$7)/$H617*OFFSET(ORÇAMENTO!$X$15,ROW(AJ617)-ROW(AJ$15),0),
ROUND(ROUND(OFFSET($P617,0,AJ$13),15-13*ORÇAMENTO!$AF$7)*OFFSET(ORÇAMENTO!$W$15,ROW(AJ617)-ROW(AJ$15),0),15-13*ORÇAMENTO!$AF$11)),0)</f>
        <v>0</v>
      </c>
      <c r="AK617" s="546">
        <f ca="1">IF(AND($D617="Serviço",AK$12&lt;&gt;0,$H617&gt;0,OR(AUTOEVENTO&lt;&gt;"manual",$M617&lt;&gt;1)),
IF(Import.TipoArredondamento&lt;&gt;"TransfereGOV",
ROUND(OFFSET($P617,0,AK$13),15-13*ORÇAMENTO!$AF$7)/$H617*OFFSET(ORÇAMENTO!$X$15,ROW(AK617)-ROW(AK$15),0),
ROUND(ROUND(OFFSET($P617,0,AK$13),15-13*ORÇAMENTO!$AF$7)*OFFSET(ORÇAMENTO!$W$15,ROW(AK617)-ROW(AK$15),0),15-13*ORÇAMENTO!$AF$11)),0)</f>
        <v>0</v>
      </c>
      <c r="AM617" s="181">
        <f ca="1">IF($D617&lt;&gt;"Serviço",0,IF(AND(AUTOEVENTO="Manual",$M617=1),0,IF(OFFSET(CRONOPLE!$F$14,$M617,AM$13)="",10^12,OFFSET(CRONOPLE!$F$14,$M617,AM$13))))</f>
        <v>1000000000000</v>
      </c>
      <c r="AN617" s="181">
        <f ca="1">IF($D617&lt;&gt;"Serviço",0,IF(AND(AUTOEVENTO="Manual",$M617=1),0,IF(OFFSET(CRONOPLE!$F$14,$M617,AN$13)="",10^12,OFFSET(CRONOPLE!$F$14,$M617,AN$13))))</f>
        <v>1000000000000</v>
      </c>
      <c r="AO617" s="181">
        <f ca="1">IF($D617&lt;&gt;"Serviço",0,IF(AND(AUTOEVENTO="Manual",$M617=1),0,IF(OFFSET(CRONOPLE!$F$14,$M617,AO$13)="",10^12,OFFSET(CRONOPLE!$F$14,$M617,AO$13))))</f>
        <v>1000000000000</v>
      </c>
      <c r="AP617" s="181">
        <f ca="1">IF($D617&lt;&gt;"Serviço",0,IF(AND(AUTOEVENTO="Manual",$M617=1),0,IF(OFFSET(CRONOPLE!$F$14,$M617,AP$13)="",10^12,OFFSET(CRONOPLE!$F$14,$M617,AP$13))))</f>
        <v>1000000000000</v>
      </c>
      <c r="AQ617" s="181">
        <f ca="1">IF($D617&lt;&gt;"Serviço",0,IF(AND(AUTOEVENTO="Manual",$M617=1),0,IF(OFFSET(CRONOPLE!$F$14,$M617,AQ$13)="",10^12,OFFSET(CRONOPLE!$F$14,$M617,AQ$13))))</f>
        <v>1000000000000</v>
      </c>
      <c r="AR617" s="181">
        <f ca="1">IF($D617&lt;&gt;"Serviço",0,IF(AND(AUTOEVENTO="Manual",$M617=1),0,IF(OFFSET(CRONOPLE!$F$14,$M617,AR$13)="",10^12,OFFSET(CRONOPLE!$F$14,$M617,AR$13))))</f>
        <v>1000000000000</v>
      </c>
      <c r="AS617" s="181">
        <f ca="1">IF($D617&lt;&gt;"Serviço",0,IF(AND(AUTOEVENTO="Manual",$M617=1),0,IF(OFFSET(CRONOPLE!$F$14,$M617,AS$13)="",10^12,OFFSET(CRONOPLE!$F$14,$M617,AS$13))))</f>
        <v>1000000000000</v>
      </c>
      <c r="AT617" s="181">
        <f ca="1">IF($D617&lt;&gt;"Serviço",0,IF(AND(AUTOEVENTO="Manual",$M617=1),0,IF(OFFSET(CRONOPLE!$F$14,$M617,AT$13)="",10^12,OFFSET(CRONOPLE!$F$14,$M617,AT$13))))</f>
        <v>1000000000000</v>
      </c>
      <c r="AU617" s="181">
        <f ca="1">IF($D617&lt;&gt;"Serviço",0,IF(AND(AUTOEVENTO="Manual",$M617=1),0,IF(OFFSET(CRONOPLE!$F$14,$M617,AU$13)="",10^12,OFFSET(CRONOPLE!$F$14,$M617,AU$13))))</f>
        <v>1000000000000</v>
      </c>
      <c r="AV617" s="181">
        <f ca="1">IF($D617&lt;&gt;"Serviço",0,IF(AND(AUTOEVENTO="Manual",$M617=1),0,IF(OFFSET(CRONOPLE!$F$14,$M617,AV$13)="",10^12,OFFSET(CRONOPLE!$F$14,$M617,AV$13))))</f>
        <v>1000000000000</v>
      </c>
      <c r="AX617" s="182">
        <f ca="1">IF($D617&lt;&gt;"Serviço",0,IF(OR(AND(AUTOEVENTO="Manual",$M617=1),$M617&gt;(ROW(PLE.lastrow)-ROW(PLE.firstrow))),0,IF(OFFSET(PLE!$G$14,$M617,AX$13)="",10^12,OFFSET(PLE!$G$14,$M617,AX$13))))</f>
        <v>1000000000000</v>
      </c>
      <c r="AY617" s="182">
        <f ca="1">IF($D617&lt;&gt;"Serviço",0,IF(OR(AND(AUTOEVENTO="Manual",$M617=1),$M617&gt;(ROW(PLE.lastrow)-ROW(PLE.firstrow))),0,IF(OFFSET(PLE!$G$14,$M617,AY$13)="",10^12,OFFSET(PLE!$G$14,$M617,AY$13))))</f>
        <v>1000000000000</v>
      </c>
      <c r="AZ617" s="182">
        <f ca="1">IF($D617&lt;&gt;"Serviço",0,IF(OR(AND(AUTOEVENTO="Manual",$M617=1),$M617&gt;(ROW(PLE.lastrow)-ROW(PLE.firstrow))),0,IF(OFFSET(PLE!$G$14,$M617,AZ$13)="",10^12,OFFSET(PLE!$G$14,$M617,AZ$13))))</f>
        <v>1000000000000</v>
      </c>
      <c r="BA617" s="182">
        <f ca="1">IF($D617&lt;&gt;"Serviço",0,IF(OR(AND(AUTOEVENTO="Manual",$M617=1),$M617&gt;(ROW(PLE.lastrow)-ROW(PLE.firstrow))),0,IF(OFFSET(PLE!$G$14,$M617,BA$13)="",10^12,OFFSET(PLE!$G$14,$M617,BA$13))))</f>
        <v>1000000000000</v>
      </c>
      <c r="BB617" s="182">
        <f ca="1">IF($D617&lt;&gt;"Serviço",0,IF(OR(AND(AUTOEVENTO="Manual",$M617=1),$M617&gt;(ROW(PLE.lastrow)-ROW(PLE.firstrow))),0,IF(OFFSET(PLE!$G$14,$M617,BB$13)="",10^12,OFFSET(PLE!$G$14,$M617,BB$13))))</f>
        <v>1000000000000</v>
      </c>
      <c r="BC617" s="182">
        <f ca="1">IF($D617&lt;&gt;"Serviço",0,IF(OR(AND(AUTOEVENTO="Manual",$M617=1),$M617&gt;(ROW(PLE.lastrow)-ROW(PLE.firstrow))),0,IF(OFFSET(PLE!$G$14,$M617,BC$13)="",10^12,OFFSET(PLE!$G$14,$M617,BC$13))))</f>
        <v>1000000000000</v>
      </c>
      <c r="BD617" s="182">
        <f ca="1">IF($D617&lt;&gt;"Serviço",0,IF(OR(AND(AUTOEVENTO="Manual",$M617=1),$M617&gt;(ROW(PLE.lastrow)-ROW(PLE.firstrow))),0,IF(OFFSET(PLE!$G$14,$M617,BD$13)="",10^12,OFFSET(PLE!$G$14,$M617,BD$13))))</f>
        <v>1000000000000</v>
      </c>
      <c r="BE617" s="182">
        <f ca="1">IF($D617&lt;&gt;"Serviço",0,IF(OR(AND(AUTOEVENTO="Manual",$M617=1),$M617&gt;(ROW(PLE.lastrow)-ROW(PLE.firstrow))),0,IF(OFFSET(PLE!$G$14,$M617,BE$13)="",10^12,OFFSET(PLE!$G$14,$M617,BE$13))))</f>
        <v>1000000000000</v>
      </c>
      <c r="BF617" s="182">
        <f ca="1">IF($D617&lt;&gt;"Serviço",0,IF(OR(AND(AUTOEVENTO="Manual",$M617=1),$M617&gt;(ROW(PLE.lastrow)-ROW(PLE.firstrow))),0,IF(OFFSET(PLE!$G$14,$M617,BF$13)="",10^12,OFFSET(PLE!$G$14,$M617,BF$13))))</f>
        <v>1000000000000</v>
      </c>
      <c r="BG617" s="182">
        <f ca="1">IF($D617&lt;&gt;"Serviço",0,IF(OR(AND(AUTOEVENTO="Manual",$M617=1),$M617&gt;(ROW(PLE.lastrow)-ROW(PLE.firstrow))),0,IF(OFFSET(PLE!$G$14,$M617,BG$13)="",10^12,OFFSET(PLE!$G$14,$M617,BG$13))))</f>
        <v>1000000000000</v>
      </c>
    </row>
    <row r="618" spans="1:59" ht="12.75" x14ac:dyDescent="0.2">
      <c r="A618" s="7" t="str">
        <f t="shared" ca="1" si="16"/>
        <v>593</v>
      </c>
      <c r="B618" s="7">
        <f ca="1">OFFSET(ORÇAMENTO!C$15,ROW(B618)-ROW(B$15),0)</f>
        <v>3</v>
      </c>
      <c r="C618" s="7" t="str">
        <f ca="1">OFFSET(ORÇAMENTO!L$15,ROW(C618)-ROW(C$15),0)</f>
        <v>F</v>
      </c>
      <c r="D618" s="118" t="str">
        <f ca="1">OFFSET(ORÇAMENTO!N$15,ROW(D618)-ROW(D$15),0)</f>
        <v>Nível 3</v>
      </c>
      <c r="E618" s="119" t="str">
        <f ca="1">OFFSET(ORÇAMENTO!O$15,ROW(E618)-ROW(E$15),0)</f>
        <v>1.18.2.</v>
      </c>
      <c r="F618" s="172" t="str">
        <f ca="1">OFFSET(ORÇAMENTO!R$15,ROW(F618)-ROW(F$15),0)</f>
        <v>ACESSÓRIOS</v>
      </c>
      <c r="G618" s="173" t="str">
        <f ca="1">IF($D618&lt;&gt;"Serviço","",OFFSET(ORÇAMENTO!S$15,ROW(G618)-ROW(G$15),0))</f>
        <v/>
      </c>
      <c r="H618" s="124">
        <f ca="1">IF($D618&lt;&gt;"Serviço",0,IF(ACOMPANHAMENTO="BM",ROUND(OFFSET(ORÇAMENTO!AJ$15,ROW(H618)-ROW(H$15),0),15-13*ORÇAMENTO!$AF$7),SUMPRODUCT(($Q$12:$AA$12&lt;&gt;"")*ROUND($Q618:$AA618,15-13*ORÇAMENTO!$AF$7))))</f>
        <v>0</v>
      </c>
      <c r="I618" s="561"/>
      <c r="K618" s="174"/>
      <c r="L618" s="175" t="s">
        <v>255</v>
      </c>
      <c r="M618" s="176" t="str">
        <f ca="1">IF($D618&lt;&gt;"Serviço","",IF(AUTOEVENTO="manual",$A618,IF(ISERROR(MATCH($A618,$A$15:OFFSET($A618,-1,0),0)),MAX($M$15:OFFSET(M618,-1,0))+1,INDEX($M$15:OFFSET(M618,-1,0),MATCH($A618,$A$15:OFFSET($A618,-1,0),0)))))</f>
        <v/>
      </c>
      <c r="N618" s="177" t="str">
        <f ca="1">IF($D618&lt;&gt;"Serviço","",IF(AUTOEVENTO="Manual",IF($A618=0,"&lt;-- defina o número do agrupador",OFFSET(EVENTOS!$D$14,$A618,0)),OFFSET($F$15,$A618,0)))</f>
        <v/>
      </c>
      <c r="O618" s="178"/>
      <c r="Q618" s="178"/>
      <c r="R618" s="179"/>
      <c r="S618" s="179"/>
      <c r="T618" s="179"/>
      <c r="U618" s="179"/>
      <c r="V618" s="179"/>
      <c r="W618" s="179"/>
      <c r="X618" s="179"/>
      <c r="Y618" s="179"/>
      <c r="Z618" s="180"/>
      <c r="AB618" s="544">
        <f ca="1">IF(AND($D618="Serviço",AB$12&lt;&gt;0,$H618&gt;0,OR(AUTOEVENTO&lt;&gt;"manual",$M618&lt;&gt;1)),
IF(Import.TipoArredondamento&lt;&gt;"TransfereGOV",
ROUND(OFFSET($P618,0,AB$13),15-13*ORÇAMENTO!$AF$7)/$H618*OFFSET(ORÇAMENTO!$X$15,ROW(AB618)-ROW(AB$15),0),
ROUND(ROUND(OFFSET($P618,0,AB$13),15-13*ORÇAMENTO!$AF$7)*OFFSET(ORÇAMENTO!$W$15,ROW(AB618)-ROW(AB$15),0),15-13*ORÇAMENTO!$AF$11)),0)</f>
        <v>0</v>
      </c>
      <c r="AC618" s="545">
        <f ca="1">IF(AND($D618="Serviço",AC$12&lt;&gt;0,$H618&gt;0,OR(AUTOEVENTO&lt;&gt;"manual",$M618&lt;&gt;1)),
IF(Import.TipoArredondamento&lt;&gt;"TransfereGOV",
ROUND(OFFSET($P618,0,AC$13),15-13*ORÇAMENTO!$AF$7)/$H618*OFFSET(ORÇAMENTO!$X$15,ROW(AC618)-ROW(AC$15),0),
ROUND(ROUND(OFFSET($P618,0,AC$13),15-13*ORÇAMENTO!$AF$7)*OFFSET(ORÇAMENTO!$W$15,ROW(AC618)-ROW(AC$15),0),15-13*ORÇAMENTO!$AF$11)),0)</f>
        <v>0</v>
      </c>
      <c r="AD618" s="545">
        <f ca="1">IF(AND($D618="Serviço",AD$12&lt;&gt;0,$H618&gt;0,OR(AUTOEVENTO&lt;&gt;"manual",$M618&lt;&gt;1)),
IF(Import.TipoArredondamento&lt;&gt;"TransfereGOV",
ROUND(OFFSET($P618,0,AD$13),15-13*ORÇAMENTO!$AF$7)/$H618*OFFSET(ORÇAMENTO!$X$15,ROW(AD618)-ROW(AD$15),0),
ROUND(ROUND(OFFSET($P618,0,AD$13),15-13*ORÇAMENTO!$AF$7)*OFFSET(ORÇAMENTO!$W$15,ROW(AD618)-ROW(AD$15),0),15-13*ORÇAMENTO!$AF$11)),0)</f>
        <v>0</v>
      </c>
      <c r="AE618" s="545">
        <f ca="1">IF(AND($D618="Serviço",AE$12&lt;&gt;0,$H618&gt;0,OR(AUTOEVENTO&lt;&gt;"manual",$M618&lt;&gt;1)),
IF(Import.TipoArredondamento&lt;&gt;"TransfereGOV",
ROUND(OFFSET($P618,0,AE$13),15-13*ORÇAMENTO!$AF$7)/$H618*OFFSET(ORÇAMENTO!$X$15,ROW(AE618)-ROW(AE$15),0),
ROUND(ROUND(OFFSET($P618,0,AE$13),15-13*ORÇAMENTO!$AF$7)*OFFSET(ORÇAMENTO!$W$15,ROW(AE618)-ROW(AE$15),0),15-13*ORÇAMENTO!$AF$11)),0)</f>
        <v>0</v>
      </c>
      <c r="AF618" s="545">
        <f ca="1">IF(AND($D618="Serviço",AF$12&lt;&gt;0,$H618&gt;0,OR(AUTOEVENTO&lt;&gt;"manual",$M618&lt;&gt;1)),
IF(Import.TipoArredondamento&lt;&gt;"TransfereGOV",
ROUND(OFFSET($P618,0,AF$13),15-13*ORÇAMENTO!$AF$7)/$H618*OFFSET(ORÇAMENTO!$X$15,ROW(AF618)-ROW(AF$15),0),
ROUND(ROUND(OFFSET($P618,0,AF$13),15-13*ORÇAMENTO!$AF$7)*OFFSET(ORÇAMENTO!$W$15,ROW(AF618)-ROW(AF$15),0),15-13*ORÇAMENTO!$AF$11)),0)</f>
        <v>0</v>
      </c>
      <c r="AG618" s="545">
        <f ca="1">IF(AND($D618="Serviço",AG$12&lt;&gt;0,$H618&gt;0,OR(AUTOEVENTO&lt;&gt;"manual",$M618&lt;&gt;1)),
IF(Import.TipoArredondamento&lt;&gt;"TransfereGOV",
ROUND(OFFSET($P618,0,AG$13),15-13*ORÇAMENTO!$AF$7)/$H618*OFFSET(ORÇAMENTO!$X$15,ROW(AG618)-ROW(AG$15),0),
ROUND(ROUND(OFFSET($P618,0,AG$13),15-13*ORÇAMENTO!$AF$7)*OFFSET(ORÇAMENTO!$W$15,ROW(AG618)-ROW(AG$15),0),15-13*ORÇAMENTO!$AF$11)),0)</f>
        <v>0</v>
      </c>
      <c r="AH618" s="545">
        <f ca="1">IF(AND($D618="Serviço",AH$12&lt;&gt;0,$H618&gt;0,OR(AUTOEVENTO&lt;&gt;"manual",$M618&lt;&gt;1)),
IF(Import.TipoArredondamento&lt;&gt;"TransfereGOV",
ROUND(OFFSET($P618,0,AH$13),15-13*ORÇAMENTO!$AF$7)/$H618*OFFSET(ORÇAMENTO!$X$15,ROW(AH618)-ROW(AH$15),0),
ROUND(ROUND(OFFSET($P618,0,AH$13),15-13*ORÇAMENTO!$AF$7)*OFFSET(ORÇAMENTO!$W$15,ROW(AH618)-ROW(AH$15),0),15-13*ORÇAMENTO!$AF$11)),0)</f>
        <v>0</v>
      </c>
      <c r="AI618" s="545">
        <f ca="1">IF(AND($D618="Serviço",AI$12&lt;&gt;0,$H618&gt;0,OR(AUTOEVENTO&lt;&gt;"manual",$M618&lt;&gt;1)),
IF(Import.TipoArredondamento&lt;&gt;"TransfereGOV",
ROUND(OFFSET($P618,0,AI$13),15-13*ORÇAMENTO!$AF$7)/$H618*OFFSET(ORÇAMENTO!$X$15,ROW(AI618)-ROW(AI$15),0),
ROUND(ROUND(OFFSET($P618,0,AI$13),15-13*ORÇAMENTO!$AF$7)*OFFSET(ORÇAMENTO!$W$15,ROW(AI618)-ROW(AI$15),0),15-13*ORÇAMENTO!$AF$11)),0)</f>
        <v>0</v>
      </c>
      <c r="AJ618" s="545">
        <f ca="1">IF(AND($D618="Serviço",AJ$12&lt;&gt;0,$H618&gt;0,OR(AUTOEVENTO&lt;&gt;"manual",$M618&lt;&gt;1)),
IF(Import.TipoArredondamento&lt;&gt;"TransfereGOV",
ROUND(OFFSET($P618,0,AJ$13),15-13*ORÇAMENTO!$AF$7)/$H618*OFFSET(ORÇAMENTO!$X$15,ROW(AJ618)-ROW(AJ$15),0),
ROUND(ROUND(OFFSET($P618,0,AJ$13),15-13*ORÇAMENTO!$AF$7)*OFFSET(ORÇAMENTO!$W$15,ROW(AJ618)-ROW(AJ$15),0),15-13*ORÇAMENTO!$AF$11)),0)</f>
        <v>0</v>
      </c>
      <c r="AK618" s="546">
        <f ca="1">IF(AND($D618="Serviço",AK$12&lt;&gt;0,$H618&gt;0,OR(AUTOEVENTO&lt;&gt;"manual",$M618&lt;&gt;1)),
IF(Import.TipoArredondamento&lt;&gt;"TransfereGOV",
ROUND(OFFSET($P618,0,AK$13),15-13*ORÇAMENTO!$AF$7)/$H618*OFFSET(ORÇAMENTO!$X$15,ROW(AK618)-ROW(AK$15),0),
ROUND(ROUND(OFFSET($P618,0,AK$13),15-13*ORÇAMENTO!$AF$7)*OFFSET(ORÇAMENTO!$W$15,ROW(AK618)-ROW(AK$15),0),15-13*ORÇAMENTO!$AF$11)),0)</f>
        <v>0</v>
      </c>
      <c r="AM618" s="181">
        <f ca="1">IF($D618&lt;&gt;"Serviço",0,IF(AND(AUTOEVENTO="Manual",$M618=1),0,IF(OFFSET(CRONOPLE!$F$14,$M618,AM$13)="",10^12,OFFSET(CRONOPLE!$F$14,$M618,AM$13))))</f>
        <v>0</v>
      </c>
      <c r="AN618" s="181">
        <f ca="1">IF($D618&lt;&gt;"Serviço",0,IF(AND(AUTOEVENTO="Manual",$M618=1),0,IF(OFFSET(CRONOPLE!$F$14,$M618,AN$13)="",10^12,OFFSET(CRONOPLE!$F$14,$M618,AN$13))))</f>
        <v>0</v>
      </c>
      <c r="AO618" s="181">
        <f ca="1">IF($D618&lt;&gt;"Serviço",0,IF(AND(AUTOEVENTO="Manual",$M618=1),0,IF(OFFSET(CRONOPLE!$F$14,$M618,AO$13)="",10^12,OFFSET(CRONOPLE!$F$14,$M618,AO$13))))</f>
        <v>0</v>
      </c>
      <c r="AP618" s="181">
        <f ca="1">IF($D618&lt;&gt;"Serviço",0,IF(AND(AUTOEVENTO="Manual",$M618=1),0,IF(OFFSET(CRONOPLE!$F$14,$M618,AP$13)="",10^12,OFFSET(CRONOPLE!$F$14,$M618,AP$13))))</f>
        <v>0</v>
      </c>
      <c r="AQ618" s="181">
        <f ca="1">IF($D618&lt;&gt;"Serviço",0,IF(AND(AUTOEVENTO="Manual",$M618=1),0,IF(OFFSET(CRONOPLE!$F$14,$M618,AQ$13)="",10^12,OFFSET(CRONOPLE!$F$14,$M618,AQ$13))))</f>
        <v>0</v>
      </c>
      <c r="AR618" s="181">
        <f ca="1">IF($D618&lt;&gt;"Serviço",0,IF(AND(AUTOEVENTO="Manual",$M618=1),0,IF(OFFSET(CRONOPLE!$F$14,$M618,AR$13)="",10^12,OFFSET(CRONOPLE!$F$14,$M618,AR$13))))</f>
        <v>0</v>
      </c>
      <c r="AS618" s="181">
        <f ca="1">IF($D618&lt;&gt;"Serviço",0,IF(AND(AUTOEVENTO="Manual",$M618=1),0,IF(OFFSET(CRONOPLE!$F$14,$M618,AS$13)="",10^12,OFFSET(CRONOPLE!$F$14,$M618,AS$13))))</f>
        <v>0</v>
      </c>
      <c r="AT618" s="181">
        <f ca="1">IF($D618&lt;&gt;"Serviço",0,IF(AND(AUTOEVENTO="Manual",$M618=1),0,IF(OFFSET(CRONOPLE!$F$14,$M618,AT$13)="",10^12,OFFSET(CRONOPLE!$F$14,$M618,AT$13))))</f>
        <v>0</v>
      </c>
      <c r="AU618" s="181">
        <f ca="1">IF($D618&lt;&gt;"Serviço",0,IF(AND(AUTOEVENTO="Manual",$M618=1),0,IF(OFFSET(CRONOPLE!$F$14,$M618,AU$13)="",10^12,OFFSET(CRONOPLE!$F$14,$M618,AU$13))))</f>
        <v>0</v>
      </c>
      <c r="AV618" s="181">
        <f ca="1">IF($D618&lt;&gt;"Serviço",0,IF(AND(AUTOEVENTO="Manual",$M618=1),0,IF(OFFSET(CRONOPLE!$F$14,$M618,AV$13)="",10^12,OFFSET(CRONOPLE!$F$14,$M618,AV$13))))</f>
        <v>0</v>
      </c>
      <c r="AX618" s="182">
        <f ca="1">IF($D618&lt;&gt;"Serviço",0,IF(OR(AND(AUTOEVENTO="Manual",$M618=1),$M618&gt;(ROW(PLE.lastrow)-ROW(PLE.firstrow))),0,IF(OFFSET(PLE!$G$14,$M618,AX$13)="",10^12,OFFSET(PLE!$G$14,$M618,AX$13))))</f>
        <v>0</v>
      </c>
      <c r="AY618" s="182">
        <f ca="1">IF($D618&lt;&gt;"Serviço",0,IF(OR(AND(AUTOEVENTO="Manual",$M618=1),$M618&gt;(ROW(PLE.lastrow)-ROW(PLE.firstrow))),0,IF(OFFSET(PLE!$G$14,$M618,AY$13)="",10^12,OFFSET(PLE!$G$14,$M618,AY$13))))</f>
        <v>0</v>
      </c>
      <c r="AZ618" s="182">
        <f ca="1">IF($D618&lt;&gt;"Serviço",0,IF(OR(AND(AUTOEVENTO="Manual",$M618=1),$M618&gt;(ROW(PLE.lastrow)-ROW(PLE.firstrow))),0,IF(OFFSET(PLE!$G$14,$M618,AZ$13)="",10^12,OFFSET(PLE!$G$14,$M618,AZ$13))))</f>
        <v>0</v>
      </c>
      <c r="BA618" s="182">
        <f ca="1">IF($D618&lt;&gt;"Serviço",0,IF(OR(AND(AUTOEVENTO="Manual",$M618=1),$M618&gt;(ROW(PLE.lastrow)-ROW(PLE.firstrow))),0,IF(OFFSET(PLE!$G$14,$M618,BA$13)="",10^12,OFFSET(PLE!$G$14,$M618,BA$13))))</f>
        <v>0</v>
      </c>
      <c r="BB618" s="182">
        <f ca="1">IF($D618&lt;&gt;"Serviço",0,IF(OR(AND(AUTOEVENTO="Manual",$M618=1),$M618&gt;(ROW(PLE.lastrow)-ROW(PLE.firstrow))),0,IF(OFFSET(PLE!$G$14,$M618,BB$13)="",10^12,OFFSET(PLE!$G$14,$M618,BB$13))))</f>
        <v>0</v>
      </c>
      <c r="BC618" s="182">
        <f ca="1">IF($D618&lt;&gt;"Serviço",0,IF(OR(AND(AUTOEVENTO="Manual",$M618=1),$M618&gt;(ROW(PLE.lastrow)-ROW(PLE.firstrow))),0,IF(OFFSET(PLE!$G$14,$M618,BC$13)="",10^12,OFFSET(PLE!$G$14,$M618,BC$13))))</f>
        <v>0</v>
      </c>
      <c r="BD618" s="182">
        <f ca="1">IF($D618&lt;&gt;"Serviço",0,IF(OR(AND(AUTOEVENTO="Manual",$M618=1),$M618&gt;(ROW(PLE.lastrow)-ROW(PLE.firstrow))),0,IF(OFFSET(PLE!$G$14,$M618,BD$13)="",10^12,OFFSET(PLE!$G$14,$M618,BD$13))))</f>
        <v>0</v>
      </c>
      <c r="BE618" s="182">
        <f ca="1">IF($D618&lt;&gt;"Serviço",0,IF(OR(AND(AUTOEVENTO="Manual",$M618=1),$M618&gt;(ROW(PLE.lastrow)-ROW(PLE.firstrow))),0,IF(OFFSET(PLE!$G$14,$M618,BE$13)="",10^12,OFFSET(PLE!$G$14,$M618,BE$13))))</f>
        <v>0</v>
      </c>
      <c r="BF618" s="182">
        <f ca="1">IF($D618&lt;&gt;"Serviço",0,IF(OR(AND(AUTOEVENTO="Manual",$M618=1),$M618&gt;(ROW(PLE.lastrow)-ROW(PLE.firstrow))),0,IF(OFFSET(PLE!$G$14,$M618,BF$13)="",10^12,OFFSET(PLE!$G$14,$M618,BF$13))))</f>
        <v>0</v>
      </c>
      <c r="BG618" s="182">
        <f ca="1">IF($D618&lt;&gt;"Serviço",0,IF(OR(AND(AUTOEVENTO="Manual",$M618=1),$M618&gt;(ROW(PLE.lastrow)-ROW(PLE.firstrow))),0,IF(OFFSET(PLE!$G$14,$M618,BG$13)="",10^12,OFFSET(PLE!$G$14,$M618,BG$13))))</f>
        <v>0</v>
      </c>
    </row>
    <row r="619" spans="1:59" ht="25.5" x14ac:dyDescent="0.2">
      <c r="A619" s="7" t="str">
        <f t="shared" ca="1" si="16"/>
        <v>593</v>
      </c>
      <c r="B619" s="7" t="str">
        <f ca="1">OFFSET(ORÇAMENTO!C$15,ROW(B619)-ROW(B$15),0)</f>
        <v>S</v>
      </c>
      <c r="C619" s="7" t="str">
        <f ca="1">OFFSET(ORÇAMENTO!L$15,ROW(C619)-ROW(C$15),0)</f>
        <v/>
      </c>
      <c r="D619" s="118" t="str">
        <f ca="1">OFFSET(ORÇAMENTO!N$15,ROW(D619)-ROW(D$15),0)</f>
        <v>Serviço</v>
      </c>
      <c r="E619" s="119" t="str">
        <f ca="1">OFFSET(ORÇAMENTO!O$15,ROW(E619)-ROW(E$15),0)</f>
        <v>-</v>
      </c>
      <c r="F619" s="172" t="str">
        <f ca="1">OFFSET(ORÇAMENTO!R$15,ROW(F619)-ROW(F$15),0)</f>
        <v>(abra o arquivo 'Referência 02-2025.xlsm)</v>
      </c>
      <c r="G619" s="173" t="str">
        <f ca="1">IF($D619&lt;&gt;"Serviço","",OFFSET(ORÇAMENTO!S$15,ROW(G619)-ROW(G$15),0))</f>
        <v>-</v>
      </c>
      <c r="H619" s="124">
        <f ca="1">IF($D619&lt;&gt;"Serviço",0,IF(ACOMPANHAMENTO="BM",ROUND(OFFSET(ORÇAMENTO!AJ$15,ROW(H619)-ROW(H$15),0),15-13*ORÇAMENTO!$AF$7),SUMPRODUCT(($Q$12:$AA$12&lt;&gt;"")*ROUND($Q619:$AA619,15-13*ORÇAMENTO!$AF$7))))</f>
        <v>42</v>
      </c>
      <c r="I619" s="561" t="s">
        <v>890</v>
      </c>
      <c r="K619" s="174"/>
      <c r="L619" s="175" t="s">
        <v>255</v>
      </c>
      <c r="M619" s="176">
        <f ca="1">IF($D619&lt;&gt;"Serviço","",IF(AUTOEVENTO="manual",$A619,IF(ISERROR(MATCH($A619,$A$15:OFFSET($A619,-1,0),0)),MAX($M$15:OFFSET(M619,-1,0))+1,INDEX($M$15:OFFSET(M619,-1,0),MATCH($A619,$A$15:OFFSET($A619,-1,0),0)))))</f>
        <v>19</v>
      </c>
      <c r="N619" s="177" t="str">
        <f ca="1">IF($D619&lt;&gt;"Serviço","",IF(AUTOEVENTO="Manual",IF($A619=0,"&lt;-- defina o número do agrupador",OFFSET(EVENTOS!$D$14,$A619,0)),OFFSET($F$15,$A619,0)))</f>
        <v>INSTALAÇÕES DE CABEAMENTO ESTRUTURADO</v>
      </c>
      <c r="O619" s="178"/>
      <c r="Q619" s="178"/>
      <c r="R619" s="179"/>
      <c r="S619" s="179"/>
      <c r="T619" s="179"/>
      <c r="U619" s="179"/>
      <c r="V619" s="179"/>
      <c r="W619" s="179"/>
      <c r="X619" s="179"/>
      <c r="Y619" s="179"/>
      <c r="Z619" s="180"/>
      <c r="AB619" s="544">
        <f ca="1">IF(AND($D619="Serviço",AB$12&lt;&gt;0,$H619&gt;0,OR(AUTOEVENTO&lt;&gt;"manual",$M619&lt;&gt;1)),
IF(Import.TipoArredondamento&lt;&gt;"TransfereGOV",
ROUND(OFFSET($P619,0,AB$13),15-13*ORÇAMENTO!$AF$7)/$H619*OFFSET(ORÇAMENTO!$X$15,ROW(AB619)-ROW(AB$15),0),
ROUND(ROUND(OFFSET($P619,0,AB$13),15-13*ORÇAMENTO!$AF$7)*OFFSET(ORÇAMENTO!$W$15,ROW(AB619)-ROW(AB$15),0),15-13*ORÇAMENTO!$AF$11)),0)</f>
        <v>0</v>
      </c>
      <c r="AC619" s="545">
        <f ca="1">IF(AND($D619="Serviço",AC$12&lt;&gt;0,$H619&gt;0,OR(AUTOEVENTO&lt;&gt;"manual",$M619&lt;&gt;1)),
IF(Import.TipoArredondamento&lt;&gt;"TransfereGOV",
ROUND(OFFSET($P619,0,AC$13),15-13*ORÇAMENTO!$AF$7)/$H619*OFFSET(ORÇAMENTO!$X$15,ROW(AC619)-ROW(AC$15),0),
ROUND(ROUND(OFFSET($P619,0,AC$13),15-13*ORÇAMENTO!$AF$7)*OFFSET(ORÇAMENTO!$W$15,ROW(AC619)-ROW(AC$15),0),15-13*ORÇAMENTO!$AF$11)),0)</f>
        <v>0</v>
      </c>
      <c r="AD619" s="545">
        <f ca="1">IF(AND($D619="Serviço",AD$12&lt;&gt;0,$H619&gt;0,OR(AUTOEVENTO&lt;&gt;"manual",$M619&lt;&gt;1)),
IF(Import.TipoArredondamento&lt;&gt;"TransfereGOV",
ROUND(OFFSET($P619,0,AD$13),15-13*ORÇAMENTO!$AF$7)/$H619*OFFSET(ORÇAMENTO!$X$15,ROW(AD619)-ROW(AD$15),0),
ROUND(ROUND(OFFSET($P619,0,AD$13),15-13*ORÇAMENTO!$AF$7)*OFFSET(ORÇAMENTO!$W$15,ROW(AD619)-ROW(AD$15),0),15-13*ORÇAMENTO!$AF$11)),0)</f>
        <v>0</v>
      </c>
      <c r="AE619" s="545">
        <f ca="1">IF(AND($D619="Serviço",AE$12&lt;&gt;0,$H619&gt;0,OR(AUTOEVENTO&lt;&gt;"manual",$M619&lt;&gt;1)),
IF(Import.TipoArredondamento&lt;&gt;"TransfereGOV",
ROUND(OFFSET($P619,0,AE$13),15-13*ORÇAMENTO!$AF$7)/$H619*OFFSET(ORÇAMENTO!$X$15,ROW(AE619)-ROW(AE$15),0),
ROUND(ROUND(OFFSET($P619,0,AE$13),15-13*ORÇAMENTO!$AF$7)*OFFSET(ORÇAMENTO!$W$15,ROW(AE619)-ROW(AE$15),0),15-13*ORÇAMENTO!$AF$11)),0)</f>
        <v>0</v>
      </c>
      <c r="AF619" s="545">
        <f ca="1">IF(AND($D619="Serviço",AF$12&lt;&gt;0,$H619&gt;0,OR(AUTOEVENTO&lt;&gt;"manual",$M619&lt;&gt;1)),
IF(Import.TipoArredondamento&lt;&gt;"TransfereGOV",
ROUND(OFFSET($P619,0,AF$13),15-13*ORÇAMENTO!$AF$7)/$H619*OFFSET(ORÇAMENTO!$X$15,ROW(AF619)-ROW(AF$15),0),
ROUND(ROUND(OFFSET($P619,0,AF$13),15-13*ORÇAMENTO!$AF$7)*OFFSET(ORÇAMENTO!$W$15,ROW(AF619)-ROW(AF$15),0),15-13*ORÇAMENTO!$AF$11)),0)</f>
        <v>0</v>
      </c>
      <c r="AG619" s="545">
        <f ca="1">IF(AND($D619="Serviço",AG$12&lt;&gt;0,$H619&gt;0,OR(AUTOEVENTO&lt;&gt;"manual",$M619&lt;&gt;1)),
IF(Import.TipoArredondamento&lt;&gt;"TransfereGOV",
ROUND(OFFSET($P619,0,AG$13),15-13*ORÇAMENTO!$AF$7)/$H619*OFFSET(ORÇAMENTO!$X$15,ROW(AG619)-ROW(AG$15),0),
ROUND(ROUND(OFFSET($P619,0,AG$13),15-13*ORÇAMENTO!$AF$7)*OFFSET(ORÇAMENTO!$W$15,ROW(AG619)-ROW(AG$15),0),15-13*ORÇAMENTO!$AF$11)),0)</f>
        <v>0</v>
      </c>
      <c r="AH619" s="545">
        <f ca="1">IF(AND($D619="Serviço",AH$12&lt;&gt;0,$H619&gt;0,OR(AUTOEVENTO&lt;&gt;"manual",$M619&lt;&gt;1)),
IF(Import.TipoArredondamento&lt;&gt;"TransfereGOV",
ROUND(OFFSET($P619,0,AH$13),15-13*ORÇAMENTO!$AF$7)/$H619*OFFSET(ORÇAMENTO!$X$15,ROW(AH619)-ROW(AH$15),0),
ROUND(ROUND(OFFSET($P619,0,AH$13),15-13*ORÇAMENTO!$AF$7)*OFFSET(ORÇAMENTO!$W$15,ROW(AH619)-ROW(AH$15),0),15-13*ORÇAMENTO!$AF$11)),0)</f>
        <v>0</v>
      </c>
      <c r="AI619" s="545">
        <f ca="1">IF(AND($D619="Serviço",AI$12&lt;&gt;0,$H619&gt;0,OR(AUTOEVENTO&lt;&gt;"manual",$M619&lt;&gt;1)),
IF(Import.TipoArredondamento&lt;&gt;"TransfereGOV",
ROUND(OFFSET($P619,0,AI$13),15-13*ORÇAMENTO!$AF$7)/$H619*OFFSET(ORÇAMENTO!$X$15,ROW(AI619)-ROW(AI$15),0),
ROUND(ROUND(OFFSET($P619,0,AI$13),15-13*ORÇAMENTO!$AF$7)*OFFSET(ORÇAMENTO!$W$15,ROW(AI619)-ROW(AI$15),0),15-13*ORÇAMENTO!$AF$11)),0)</f>
        <v>0</v>
      </c>
      <c r="AJ619" s="545">
        <f ca="1">IF(AND($D619="Serviço",AJ$12&lt;&gt;0,$H619&gt;0,OR(AUTOEVENTO&lt;&gt;"manual",$M619&lt;&gt;1)),
IF(Import.TipoArredondamento&lt;&gt;"TransfereGOV",
ROUND(OFFSET($P619,0,AJ$13),15-13*ORÇAMENTO!$AF$7)/$H619*OFFSET(ORÇAMENTO!$X$15,ROW(AJ619)-ROW(AJ$15),0),
ROUND(ROUND(OFFSET($P619,0,AJ$13),15-13*ORÇAMENTO!$AF$7)*OFFSET(ORÇAMENTO!$W$15,ROW(AJ619)-ROW(AJ$15),0),15-13*ORÇAMENTO!$AF$11)),0)</f>
        <v>0</v>
      </c>
      <c r="AK619" s="546">
        <f ca="1">IF(AND($D619="Serviço",AK$12&lt;&gt;0,$H619&gt;0,OR(AUTOEVENTO&lt;&gt;"manual",$M619&lt;&gt;1)),
IF(Import.TipoArredondamento&lt;&gt;"TransfereGOV",
ROUND(OFFSET($P619,0,AK$13),15-13*ORÇAMENTO!$AF$7)/$H619*OFFSET(ORÇAMENTO!$X$15,ROW(AK619)-ROW(AK$15),0),
ROUND(ROUND(OFFSET($P619,0,AK$13),15-13*ORÇAMENTO!$AF$7)*OFFSET(ORÇAMENTO!$W$15,ROW(AK619)-ROW(AK$15),0),15-13*ORÇAMENTO!$AF$11)),0)</f>
        <v>0</v>
      </c>
      <c r="AM619" s="181">
        <f ca="1">IF($D619&lt;&gt;"Serviço",0,IF(AND(AUTOEVENTO="Manual",$M619=1),0,IF(OFFSET(CRONOPLE!$F$14,$M619,AM$13)="",10^12,OFFSET(CRONOPLE!$F$14,$M619,AM$13))))</f>
        <v>1000000000000</v>
      </c>
      <c r="AN619" s="181">
        <f ca="1">IF($D619&lt;&gt;"Serviço",0,IF(AND(AUTOEVENTO="Manual",$M619=1),0,IF(OFFSET(CRONOPLE!$F$14,$M619,AN$13)="",10^12,OFFSET(CRONOPLE!$F$14,$M619,AN$13))))</f>
        <v>1000000000000</v>
      </c>
      <c r="AO619" s="181">
        <f ca="1">IF($D619&lt;&gt;"Serviço",0,IF(AND(AUTOEVENTO="Manual",$M619=1),0,IF(OFFSET(CRONOPLE!$F$14,$M619,AO$13)="",10^12,OFFSET(CRONOPLE!$F$14,$M619,AO$13))))</f>
        <v>1000000000000</v>
      </c>
      <c r="AP619" s="181">
        <f ca="1">IF($D619&lt;&gt;"Serviço",0,IF(AND(AUTOEVENTO="Manual",$M619=1),0,IF(OFFSET(CRONOPLE!$F$14,$M619,AP$13)="",10^12,OFFSET(CRONOPLE!$F$14,$M619,AP$13))))</f>
        <v>1000000000000</v>
      </c>
      <c r="AQ619" s="181">
        <f ca="1">IF($D619&lt;&gt;"Serviço",0,IF(AND(AUTOEVENTO="Manual",$M619=1),0,IF(OFFSET(CRONOPLE!$F$14,$M619,AQ$13)="",10^12,OFFSET(CRONOPLE!$F$14,$M619,AQ$13))))</f>
        <v>1000000000000</v>
      </c>
      <c r="AR619" s="181">
        <f ca="1">IF($D619&lt;&gt;"Serviço",0,IF(AND(AUTOEVENTO="Manual",$M619=1),0,IF(OFFSET(CRONOPLE!$F$14,$M619,AR$13)="",10^12,OFFSET(CRONOPLE!$F$14,$M619,AR$13))))</f>
        <v>1000000000000</v>
      </c>
      <c r="AS619" s="181">
        <f ca="1">IF($D619&lt;&gt;"Serviço",0,IF(AND(AUTOEVENTO="Manual",$M619=1),0,IF(OFFSET(CRONOPLE!$F$14,$M619,AS$13)="",10^12,OFFSET(CRONOPLE!$F$14,$M619,AS$13))))</f>
        <v>1000000000000</v>
      </c>
      <c r="AT619" s="181">
        <f ca="1">IF($D619&lt;&gt;"Serviço",0,IF(AND(AUTOEVENTO="Manual",$M619=1),0,IF(OFFSET(CRONOPLE!$F$14,$M619,AT$13)="",10^12,OFFSET(CRONOPLE!$F$14,$M619,AT$13))))</f>
        <v>1000000000000</v>
      </c>
      <c r="AU619" s="181">
        <f ca="1">IF($D619&lt;&gt;"Serviço",0,IF(AND(AUTOEVENTO="Manual",$M619=1),0,IF(OFFSET(CRONOPLE!$F$14,$M619,AU$13)="",10^12,OFFSET(CRONOPLE!$F$14,$M619,AU$13))))</f>
        <v>1000000000000</v>
      </c>
      <c r="AV619" s="181">
        <f ca="1">IF($D619&lt;&gt;"Serviço",0,IF(AND(AUTOEVENTO="Manual",$M619=1),0,IF(OFFSET(CRONOPLE!$F$14,$M619,AV$13)="",10^12,OFFSET(CRONOPLE!$F$14,$M619,AV$13))))</f>
        <v>1000000000000</v>
      </c>
      <c r="AX619" s="182">
        <f ca="1">IF($D619&lt;&gt;"Serviço",0,IF(OR(AND(AUTOEVENTO="Manual",$M619=1),$M619&gt;(ROW(PLE.lastrow)-ROW(PLE.firstrow))),0,IF(OFFSET(PLE!$G$14,$M619,AX$13)="",10^12,OFFSET(PLE!$G$14,$M619,AX$13))))</f>
        <v>1000000000000</v>
      </c>
      <c r="AY619" s="182">
        <f ca="1">IF($D619&lt;&gt;"Serviço",0,IF(OR(AND(AUTOEVENTO="Manual",$M619=1),$M619&gt;(ROW(PLE.lastrow)-ROW(PLE.firstrow))),0,IF(OFFSET(PLE!$G$14,$M619,AY$13)="",10^12,OFFSET(PLE!$G$14,$M619,AY$13))))</f>
        <v>1000000000000</v>
      </c>
      <c r="AZ619" s="182">
        <f ca="1">IF($D619&lt;&gt;"Serviço",0,IF(OR(AND(AUTOEVENTO="Manual",$M619=1),$M619&gt;(ROW(PLE.lastrow)-ROW(PLE.firstrow))),0,IF(OFFSET(PLE!$G$14,$M619,AZ$13)="",10^12,OFFSET(PLE!$G$14,$M619,AZ$13))))</f>
        <v>1000000000000</v>
      </c>
      <c r="BA619" s="182">
        <f ca="1">IF($D619&lt;&gt;"Serviço",0,IF(OR(AND(AUTOEVENTO="Manual",$M619=1),$M619&gt;(ROW(PLE.lastrow)-ROW(PLE.firstrow))),0,IF(OFFSET(PLE!$G$14,$M619,BA$13)="",10^12,OFFSET(PLE!$G$14,$M619,BA$13))))</f>
        <v>1000000000000</v>
      </c>
      <c r="BB619" s="182">
        <f ca="1">IF($D619&lt;&gt;"Serviço",0,IF(OR(AND(AUTOEVENTO="Manual",$M619=1),$M619&gt;(ROW(PLE.lastrow)-ROW(PLE.firstrow))),0,IF(OFFSET(PLE!$G$14,$M619,BB$13)="",10^12,OFFSET(PLE!$G$14,$M619,BB$13))))</f>
        <v>1000000000000</v>
      </c>
      <c r="BC619" s="182">
        <f ca="1">IF($D619&lt;&gt;"Serviço",0,IF(OR(AND(AUTOEVENTO="Manual",$M619=1),$M619&gt;(ROW(PLE.lastrow)-ROW(PLE.firstrow))),0,IF(OFFSET(PLE!$G$14,$M619,BC$13)="",10^12,OFFSET(PLE!$G$14,$M619,BC$13))))</f>
        <v>1000000000000</v>
      </c>
      <c r="BD619" s="182">
        <f ca="1">IF($D619&lt;&gt;"Serviço",0,IF(OR(AND(AUTOEVENTO="Manual",$M619=1),$M619&gt;(ROW(PLE.lastrow)-ROW(PLE.firstrow))),0,IF(OFFSET(PLE!$G$14,$M619,BD$13)="",10^12,OFFSET(PLE!$G$14,$M619,BD$13))))</f>
        <v>1000000000000</v>
      </c>
      <c r="BE619" s="182">
        <f ca="1">IF($D619&lt;&gt;"Serviço",0,IF(OR(AND(AUTOEVENTO="Manual",$M619=1),$M619&gt;(ROW(PLE.lastrow)-ROW(PLE.firstrow))),0,IF(OFFSET(PLE!$G$14,$M619,BE$13)="",10^12,OFFSET(PLE!$G$14,$M619,BE$13))))</f>
        <v>1000000000000</v>
      </c>
      <c r="BF619" s="182">
        <f ca="1">IF($D619&lt;&gt;"Serviço",0,IF(OR(AND(AUTOEVENTO="Manual",$M619=1),$M619&gt;(ROW(PLE.lastrow)-ROW(PLE.firstrow))),0,IF(OFFSET(PLE!$G$14,$M619,BF$13)="",10^12,OFFSET(PLE!$G$14,$M619,BF$13))))</f>
        <v>1000000000000</v>
      </c>
      <c r="BG619" s="182">
        <f ca="1">IF($D619&lt;&gt;"Serviço",0,IF(OR(AND(AUTOEVENTO="Manual",$M619=1),$M619&gt;(ROW(PLE.lastrow)-ROW(PLE.firstrow))),0,IF(OFFSET(PLE!$G$14,$M619,BG$13)="",10^12,OFFSET(PLE!$G$14,$M619,BG$13))))</f>
        <v>1000000000000</v>
      </c>
    </row>
    <row r="620" spans="1:59" ht="25.5" x14ac:dyDescent="0.2">
      <c r="A620" s="7" t="str">
        <f t="shared" ca="1" si="16"/>
        <v>593</v>
      </c>
      <c r="B620" s="7" t="str">
        <f ca="1">OFFSET(ORÇAMENTO!C$15,ROW(B620)-ROW(B$15),0)</f>
        <v>S</v>
      </c>
      <c r="C620" s="7" t="str">
        <f ca="1">OFFSET(ORÇAMENTO!L$15,ROW(C620)-ROW(C$15),0)</f>
        <v/>
      </c>
      <c r="D620" s="118" t="str">
        <f ca="1">OFFSET(ORÇAMENTO!N$15,ROW(D620)-ROW(D$15),0)</f>
        <v>Serviço</v>
      </c>
      <c r="E620" s="119" t="str">
        <f ca="1">OFFSET(ORÇAMENTO!O$15,ROW(E620)-ROW(E$15),0)</f>
        <v>-</v>
      </c>
      <c r="F620" s="172" t="str">
        <f ca="1">OFFSET(ORÇAMENTO!R$15,ROW(F620)-ROW(F$15),0)</f>
        <v>(abra o arquivo 'Referência 02-2025.xlsm)</v>
      </c>
      <c r="G620" s="173" t="str">
        <f ca="1">IF($D620&lt;&gt;"Serviço","",OFFSET(ORÇAMENTO!S$15,ROW(G620)-ROW(G$15),0))</f>
        <v>-</v>
      </c>
      <c r="H620" s="124">
        <f ca="1">IF($D620&lt;&gt;"Serviço",0,IF(ACOMPANHAMENTO="BM",ROUND(OFFSET(ORÇAMENTO!AJ$15,ROW(H620)-ROW(H$15),0),15-13*ORÇAMENTO!$AF$7),SUMPRODUCT(($Q$12:$AA$12&lt;&gt;"")*ROUND($Q620:$AA620,15-13*ORÇAMENTO!$AF$7))))</f>
        <v>697</v>
      </c>
      <c r="I620" s="561" t="s">
        <v>890</v>
      </c>
      <c r="K620" s="174"/>
      <c r="L620" s="175" t="s">
        <v>255</v>
      </c>
      <c r="M620" s="176">
        <f ca="1">IF($D620&lt;&gt;"Serviço","",IF(AUTOEVENTO="manual",$A620,IF(ISERROR(MATCH($A620,$A$15:OFFSET($A620,-1,0),0)),MAX($M$15:OFFSET(M620,-1,0))+1,INDEX($M$15:OFFSET(M620,-1,0),MATCH($A620,$A$15:OFFSET($A620,-1,0),0)))))</f>
        <v>19</v>
      </c>
      <c r="N620" s="177" t="str">
        <f ca="1">IF($D620&lt;&gt;"Serviço","",IF(AUTOEVENTO="Manual",IF($A620=0,"&lt;-- defina o número do agrupador",OFFSET(EVENTOS!$D$14,$A620,0)),OFFSET($F$15,$A620,0)))</f>
        <v>INSTALAÇÕES DE CABEAMENTO ESTRUTURADO</v>
      </c>
      <c r="O620" s="178"/>
      <c r="Q620" s="178"/>
      <c r="R620" s="179"/>
      <c r="S620" s="179"/>
      <c r="T620" s="179"/>
      <c r="U620" s="179"/>
      <c r="V620" s="179"/>
      <c r="W620" s="179"/>
      <c r="X620" s="179"/>
      <c r="Y620" s="179"/>
      <c r="Z620" s="180"/>
      <c r="AB620" s="544">
        <f ca="1">IF(AND($D620="Serviço",AB$12&lt;&gt;0,$H620&gt;0,OR(AUTOEVENTO&lt;&gt;"manual",$M620&lt;&gt;1)),
IF(Import.TipoArredondamento&lt;&gt;"TransfereGOV",
ROUND(OFFSET($P620,0,AB$13),15-13*ORÇAMENTO!$AF$7)/$H620*OFFSET(ORÇAMENTO!$X$15,ROW(AB620)-ROW(AB$15),0),
ROUND(ROUND(OFFSET($P620,0,AB$13),15-13*ORÇAMENTO!$AF$7)*OFFSET(ORÇAMENTO!$W$15,ROW(AB620)-ROW(AB$15),0),15-13*ORÇAMENTO!$AF$11)),0)</f>
        <v>0</v>
      </c>
      <c r="AC620" s="545">
        <f ca="1">IF(AND($D620="Serviço",AC$12&lt;&gt;0,$H620&gt;0,OR(AUTOEVENTO&lt;&gt;"manual",$M620&lt;&gt;1)),
IF(Import.TipoArredondamento&lt;&gt;"TransfereGOV",
ROUND(OFFSET($P620,0,AC$13),15-13*ORÇAMENTO!$AF$7)/$H620*OFFSET(ORÇAMENTO!$X$15,ROW(AC620)-ROW(AC$15),0),
ROUND(ROUND(OFFSET($P620,0,AC$13),15-13*ORÇAMENTO!$AF$7)*OFFSET(ORÇAMENTO!$W$15,ROW(AC620)-ROW(AC$15),0),15-13*ORÇAMENTO!$AF$11)),0)</f>
        <v>0</v>
      </c>
      <c r="AD620" s="545">
        <f ca="1">IF(AND($D620="Serviço",AD$12&lt;&gt;0,$H620&gt;0,OR(AUTOEVENTO&lt;&gt;"manual",$M620&lt;&gt;1)),
IF(Import.TipoArredondamento&lt;&gt;"TransfereGOV",
ROUND(OFFSET($P620,0,AD$13),15-13*ORÇAMENTO!$AF$7)/$H620*OFFSET(ORÇAMENTO!$X$15,ROW(AD620)-ROW(AD$15),0),
ROUND(ROUND(OFFSET($P620,0,AD$13),15-13*ORÇAMENTO!$AF$7)*OFFSET(ORÇAMENTO!$W$15,ROW(AD620)-ROW(AD$15),0),15-13*ORÇAMENTO!$AF$11)),0)</f>
        <v>0</v>
      </c>
      <c r="AE620" s="545">
        <f ca="1">IF(AND($D620="Serviço",AE$12&lt;&gt;0,$H620&gt;0,OR(AUTOEVENTO&lt;&gt;"manual",$M620&lt;&gt;1)),
IF(Import.TipoArredondamento&lt;&gt;"TransfereGOV",
ROUND(OFFSET($P620,0,AE$13),15-13*ORÇAMENTO!$AF$7)/$H620*OFFSET(ORÇAMENTO!$X$15,ROW(AE620)-ROW(AE$15),0),
ROUND(ROUND(OFFSET($P620,0,AE$13),15-13*ORÇAMENTO!$AF$7)*OFFSET(ORÇAMENTO!$W$15,ROW(AE620)-ROW(AE$15),0),15-13*ORÇAMENTO!$AF$11)),0)</f>
        <v>0</v>
      </c>
      <c r="AF620" s="545">
        <f ca="1">IF(AND($D620="Serviço",AF$12&lt;&gt;0,$H620&gt;0,OR(AUTOEVENTO&lt;&gt;"manual",$M620&lt;&gt;1)),
IF(Import.TipoArredondamento&lt;&gt;"TransfereGOV",
ROUND(OFFSET($P620,0,AF$13),15-13*ORÇAMENTO!$AF$7)/$H620*OFFSET(ORÇAMENTO!$X$15,ROW(AF620)-ROW(AF$15),0),
ROUND(ROUND(OFFSET($P620,0,AF$13),15-13*ORÇAMENTO!$AF$7)*OFFSET(ORÇAMENTO!$W$15,ROW(AF620)-ROW(AF$15),0),15-13*ORÇAMENTO!$AF$11)),0)</f>
        <v>0</v>
      </c>
      <c r="AG620" s="545">
        <f ca="1">IF(AND($D620="Serviço",AG$12&lt;&gt;0,$H620&gt;0,OR(AUTOEVENTO&lt;&gt;"manual",$M620&lt;&gt;1)),
IF(Import.TipoArredondamento&lt;&gt;"TransfereGOV",
ROUND(OFFSET($P620,0,AG$13),15-13*ORÇAMENTO!$AF$7)/$H620*OFFSET(ORÇAMENTO!$X$15,ROW(AG620)-ROW(AG$15),0),
ROUND(ROUND(OFFSET($P620,0,AG$13),15-13*ORÇAMENTO!$AF$7)*OFFSET(ORÇAMENTO!$W$15,ROW(AG620)-ROW(AG$15),0),15-13*ORÇAMENTO!$AF$11)),0)</f>
        <v>0</v>
      </c>
      <c r="AH620" s="545">
        <f ca="1">IF(AND($D620="Serviço",AH$12&lt;&gt;0,$H620&gt;0,OR(AUTOEVENTO&lt;&gt;"manual",$M620&lt;&gt;1)),
IF(Import.TipoArredondamento&lt;&gt;"TransfereGOV",
ROUND(OFFSET($P620,0,AH$13),15-13*ORÇAMENTO!$AF$7)/$H620*OFFSET(ORÇAMENTO!$X$15,ROW(AH620)-ROW(AH$15),0),
ROUND(ROUND(OFFSET($P620,0,AH$13),15-13*ORÇAMENTO!$AF$7)*OFFSET(ORÇAMENTO!$W$15,ROW(AH620)-ROW(AH$15),0),15-13*ORÇAMENTO!$AF$11)),0)</f>
        <v>0</v>
      </c>
      <c r="AI620" s="545">
        <f ca="1">IF(AND($D620="Serviço",AI$12&lt;&gt;0,$H620&gt;0,OR(AUTOEVENTO&lt;&gt;"manual",$M620&lt;&gt;1)),
IF(Import.TipoArredondamento&lt;&gt;"TransfereGOV",
ROUND(OFFSET($P620,0,AI$13),15-13*ORÇAMENTO!$AF$7)/$H620*OFFSET(ORÇAMENTO!$X$15,ROW(AI620)-ROW(AI$15),0),
ROUND(ROUND(OFFSET($P620,0,AI$13),15-13*ORÇAMENTO!$AF$7)*OFFSET(ORÇAMENTO!$W$15,ROW(AI620)-ROW(AI$15),0),15-13*ORÇAMENTO!$AF$11)),0)</f>
        <v>0</v>
      </c>
      <c r="AJ620" s="545">
        <f ca="1">IF(AND($D620="Serviço",AJ$12&lt;&gt;0,$H620&gt;0,OR(AUTOEVENTO&lt;&gt;"manual",$M620&lt;&gt;1)),
IF(Import.TipoArredondamento&lt;&gt;"TransfereGOV",
ROUND(OFFSET($P620,0,AJ$13),15-13*ORÇAMENTO!$AF$7)/$H620*OFFSET(ORÇAMENTO!$X$15,ROW(AJ620)-ROW(AJ$15),0),
ROUND(ROUND(OFFSET($P620,0,AJ$13),15-13*ORÇAMENTO!$AF$7)*OFFSET(ORÇAMENTO!$W$15,ROW(AJ620)-ROW(AJ$15),0),15-13*ORÇAMENTO!$AF$11)),0)</f>
        <v>0</v>
      </c>
      <c r="AK620" s="546">
        <f ca="1">IF(AND($D620="Serviço",AK$12&lt;&gt;0,$H620&gt;0,OR(AUTOEVENTO&lt;&gt;"manual",$M620&lt;&gt;1)),
IF(Import.TipoArredondamento&lt;&gt;"TransfereGOV",
ROUND(OFFSET($P620,0,AK$13),15-13*ORÇAMENTO!$AF$7)/$H620*OFFSET(ORÇAMENTO!$X$15,ROW(AK620)-ROW(AK$15),0),
ROUND(ROUND(OFFSET($P620,0,AK$13),15-13*ORÇAMENTO!$AF$7)*OFFSET(ORÇAMENTO!$W$15,ROW(AK620)-ROW(AK$15),0),15-13*ORÇAMENTO!$AF$11)),0)</f>
        <v>0</v>
      </c>
      <c r="AM620" s="181">
        <f ca="1">IF($D620&lt;&gt;"Serviço",0,IF(AND(AUTOEVENTO="Manual",$M620=1),0,IF(OFFSET(CRONOPLE!$F$14,$M620,AM$13)="",10^12,OFFSET(CRONOPLE!$F$14,$M620,AM$13))))</f>
        <v>1000000000000</v>
      </c>
      <c r="AN620" s="181">
        <f ca="1">IF($D620&lt;&gt;"Serviço",0,IF(AND(AUTOEVENTO="Manual",$M620=1),0,IF(OFFSET(CRONOPLE!$F$14,$M620,AN$13)="",10^12,OFFSET(CRONOPLE!$F$14,$M620,AN$13))))</f>
        <v>1000000000000</v>
      </c>
      <c r="AO620" s="181">
        <f ca="1">IF($D620&lt;&gt;"Serviço",0,IF(AND(AUTOEVENTO="Manual",$M620=1),0,IF(OFFSET(CRONOPLE!$F$14,$M620,AO$13)="",10^12,OFFSET(CRONOPLE!$F$14,$M620,AO$13))))</f>
        <v>1000000000000</v>
      </c>
      <c r="AP620" s="181">
        <f ca="1">IF($D620&lt;&gt;"Serviço",0,IF(AND(AUTOEVENTO="Manual",$M620=1),0,IF(OFFSET(CRONOPLE!$F$14,$M620,AP$13)="",10^12,OFFSET(CRONOPLE!$F$14,$M620,AP$13))))</f>
        <v>1000000000000</v>
      </c>
      <c r="AQ620" s="181">
        <f ca="1">IF($D620&lt;&gt;"Serviço",0,IF(AND(AUTOEVENTO="Manual",$M620=1),0,IF(OFFSET(CRONOPLE!$F$14,$M620,AQ$13)="",10^12,OFFSET(CRONOPLE!$F$14,$M620,AQ$13))))</f>
        <v>1000000000000</v>
      </c>
      <c r="AR620" s="181">
        <f ca="1">IF($D620&lt;&gt;"Serviço",0,IF(AND(AUTOEVENTO="Manual",$M620=1),0,IF(OFFSET(CRONOPLE!$F$14,$M620,AR$13)="",10^12,OFFSET(CRONOPLE!$F$14,$M620,AR$13))))</f>
        <v>1000000000000</v>
      </c>
      <c r="AS620" s="181">
        <f ca="1">IF($D620&lt;&gt;"Serviço",0,IF(AND(AUTOEVENTO="Manual",$M620=1),0,IF(OFFSET(CRONOPLE!$F$14,$M620,AS$13)="",10^12,OFFSET(CRONOPLE!$F$14,$M620,AS$13))))</f>
        <v>1000000000000</v>
      </c>
      <c r="AT620" s="181">
        <f ca="1">IF($D620&lt;&gt;"Serviço",0,IF(AND(AUTOEVENTO="Manual",$M620=1),0,IF(OFFSET(CRONOPLE!$F$14,$M620,AT$13)="",10^12,OFFSET(CRONOPLE!$F$14,$M620,AT$13))))</f>
        <v>1000000000000</v>
      </c>
      <c r="AU620" s="181">
        <f ca="1">IF($D620&lt;&gt;"Serviço",0,IF(AND(AUTOEVENTO="Manual",$M620=1),0,IF(OFFSET(CRONOPLE!$F$14,$M620,AU$13)="",10^12,OFFSET(CRONOPLE!$F$14,$M620,AU$13))))</f>
        <v>1000000000000</v>
      </c>
      <c r="AV620" s="181">
        <f ca="1">IF($D620&lt;&gt;"Serviço",0,IF(AND(AUTOEVENTO="Manual",$M620=1),0,IF(OFFSET(CRONOPLE!$F$14,$M620,AV$13)="",10^12,OFFSET(CRONOPLE!$F$14,$M620,AV$13))))</f>
        <v>1000000000000</v>
      </c>
      <c r="AX620" s="182">
        <f ca="1">IF($D620&lt;&gt;"Serviço",0,IF(OR(AND(AUTOEVENTO="Manual",$M620=1),$M620&gt;(ROW(PLE.lastrow)-ROW(PLE.firstrow))),0,IF(OFFSET(PLE!$G$14,$M620,AX$13)="",10^12,OFFSET(PLE!$G$14,$M620,AX$13))))</f>
        <v>1000000000000</v>
      </c>
      <c r="AY620" s="182">
        <f ca="1">IF($D620&lt;&gt;"Serviço",0,IF(OR(AND(AUTOEVENTO="Manual",$M620=1),$M620&gt;(ROW(PLE.lastrow)-ROW(PLE.firstrow))),0,IF(OFFSET(PLE!$G$14,$M620,AY$13)="",10^12,OFFSET(PLE!$G$14,$M620,AY$13))))</f>
        <v>1000000000000</v>
      </c>
      <c r="AZ620" s="182">
        <f ca="1">IF($D620&lt;&gt;"Serviço",0,IF(OR(AND(AUTOEVENTO="Manual",$M620=1),$M620&gt;(ROW(PLE.lastrow)-ROW(PLE.firstrow))),0,IF(OFFSET(PLE!$G$14,$M620,AZ$13)="",10^12,OFFSET(PLE!$G$14,$M620,AZ$13))))</f>
        <v>1000000000000</v>
      </c>
      <c r="BA620" s="182">
        <f ca="1">IF($D620&lt;&gt;"Serviço",0,IF(OR(AND(AUTOEVENTO="Manual",$M620=1),$M620&gt;(ROW(PLE.lastrow)-ROW(PLE.firstrow))),0,IF(OFFSET(PLE!$G$14,$M620,BA$13)="",10^12,OFFSET(PLE!$G$14,$M620,BA$13))))</f>
        <v>1000000000000</v>
      </c>
      <c r="BB620" s="182">
        <f ca="1">IF($D620&lt;&gt;"Serviço",0,IF(OR(AND(AUTOEVENTO="Manual",$M620=1),$M620&gt;(ROW(PLE.lastrow)-ROW(PLE.firstrow))),0,IF(OFFSET(PLE!$G$14,$M620,BB$13)="",10^12,OFFSET(PLE!$G$14,$M620,BB$13))))</f>
        <v>1000000000000</v>
      </c>
      <c r="BC620" s="182">
        <f ca="1">IF($D620&lt;&gt;"Serviço",0,IF(OR(AND(AUTOEVENTO="Manual",$M620=1),$M620&gt;(ROW(PLE.lastrow)-ROW(PLE.firstrow))),0,IF(OFFSET(PLE!$G$14,$M620,BC$13)="",10^12,OFFSET(PLE!$G$14,$M620,BC$13))))</f>
        <v>1000000000000</v>
      </c>
      <c r="BD620" s="182">
        <f ca="1">IF($D620&lt;&gt;"Serviço",0,IF(OR(AND(AUTOEVENTO="Manual",$M620=1),$M620&gt;(ROW(PLE.lastrow)-ROW(PLE.firstrow))),0,IF(OFFSET(PLE!$G$14,$M620,BD$13)="",10^12,OFFSET(PLE!$G$14,$M620,BD$13))))</f>
        <v>1000000000000</v>
      </c>
      <c r="BE620" s="182">
        <f ca="1">IF($D620&lt;&gt;"Serviço",0,IF(OR(AND(AUTOEVENTO="Manual",$M620=1),$M620&gt;(ROW(PLE.lastrow)-ROW(PLE.firstrow))),0,IF(OFFSET(PLE!$G$14,$M620,BE$13)="",10^12,OFFSET(PLE!$G$14,$M620,BE$13))))</f>
        <v>1000000000000</v>
      </c>
      <c r="BF620" s="182">
        <f ca="1">IF($D620&lt;&gt;"Serviço",0,IF(OR(AND(AUTOEVENTO="Manual",$M620=1),$M620&gt;(ROW(PLE.lastrow)-ROW(PLE.firstrow))),0,IF(OFFSET(PLE!$G$14,$M620,BF$13)="",10^12,OFFSET(PLE!$G$14,$M620,BF$13))))</f>
        <v>1000000000000</v>
      </c>
      <c r="BG620" s="182">
        <f ca="1">IF($D620&lt;&gt;"Serviço",0,IF(OR(AND(AUTOEVENTO="Manual",$M620=1),$M620&gt;(ROW(PLE.lastrow)-ROW(PLE.firstrow))),0,IF(OFFSET(PLE!$G$14,$M620,BG$13)="",10^12,OFFSET(PLE!$G$14,$M620,BG$13))))</f>
        <v>1000000000000</v>
      </c>
    </row>
    <row r="621" spans="1:59" ht="25.5" x14ac:dyDescent="0.2">
      <c r="A621" s="7" t="str">
        <f t="shared" ca="1" si="16"/>
        <v>593</v>
      </c>
      <c r="B621" s="7" t="str">
        <f ca="1">OFFSET(ORÇAMENTO!C$15,ROW(B621)-ROW(B$15),0)</f>
        <v>S</v>
      </c>
      <c r="C621" s="7" t="str">
        <f ca="1">OFFSET(ORÇAMENTO!L$15,ROW(C621)-ROW(C$15),0)</f>
        <v/>
      </c>
      <c r="D621" s="118" t="str">
        <f ca="1">OFFSET(ORÇAMENTO!N$15,ROW(D621)-ROW(D$15),0)</f>
        <v>Serviço</v>
      </c>
      <c r="E621" s="119" t="str">
        <f ca="1">OFFSET(ORÇAMENTO!O$15,ROW(E621)-ROW(E$15),0)</f>
        <v>-</v>
      </c>
      <c r="F621" s="172" t="str">
        <f ca="1">OFFSET(ORÇAMENTO!R$15,ROW(F621)-ROW(F$15),0)</f>
        <v>(abra o arquivo 'Referência 02-2025.xlsm)</v>
      </c>
      <c r="G621" s="173" t="str">
        <f ca="1">IF($D621&lt;&gt;"Serviço","",OFFSET(ORÇAMENTO!S$15,ROW(G621)-ROW(G$15),0))</f>
        <v>-</v>
      </c>
      <c r="H621" s="124">
        <f ca="1">IF($D621&lt;&gt;"Serviço",0,IF(ACOMPANHAMENTO="BM",ROUND(OFFSET(ORÇAMENTO!AJ$15,ROW(H621)-ROW(H$15),0),15-13*ORÇAMENTO!$AF$7),SUMPRODUCT(($Q$12:$AA$12&lt;&gt;"")*ROUND($Q621:$AA621,15-13*ORÇAMENTO!$AF$7))))</f>
        <v>23</v>
      </c>
      <c r="I621" s="561" t="s">
        <v>890</v>
      </c>
      <c r="K621" s="174"/>
      <c r="L621" s="175" t="s">
        <v>255</v>
      </c>
      <c r="M621" s="176">
        <f ca="1">IF($D621&lt;&gt;"Serviço","",IF(AUTOEVENTO="manual",$A621,IF(ISERROR(MATCH($A621,$A$15:OFFSET($A621,-1,0),0)),MAX($M$15:OFFSET(M621,-1,0))+1,INDEX($M$15:OFFSET(M621,-1,0),MATCH($A621,$A$15:OFFSET($A621,-1,0),0)))))</f>
        <v>19</v>
      </c>
      <c r="N621" s="177" t="str">
        <f ca="1">IF($D621&lt;&gt;"Serviço","",IF(AUTOEVENTO="Manual",IF($A621=0,"&lt;-- defina o número do agrupador",OFFSET(EVENTOS!$D$14,$A621,0)),OFFSET($F$15,$A621,0)))</f>
        <v>INSTALAÇÕES DE CABEAMENTO ESTRUTURADO</v>
      </c>
      <c r="O621" s="178"/>
      <c r="Q621" s="178"/>
      <c r="R621" s="179"/>
      <c r="S621" s="179"/>
      <c r="T621" s="179"/>
      <c r="U621" s="179"/>
      <c r="V621" s="179"/>
      <c r="W621" s="179"/>
      <c r="X621" s="179"/>
      <c r="Y621" s="179"/>
      <c r="Z621" s="180"/>
      <c r="AB621" s="544">
        <f ca="1">IF(AND($D621="Serviço",AB$12&lt;&gt;0,$H621&gt;0,OR(AUTOEVENTO&lt;&gt;"manual",$M621&lt;&gt;1)),
IF(Import.TipoArredondamento&lt;&gt;"TransfereGOV",
ROUND(OFFSET($P621,0,AB$13),15-13*ORÇAMENTO!$AF$7)/$H621*OFFSET(ORÇAMENTO!$X$15,ROW(AB621)-ROW(AB$15),0),
ROUND(ROUND(OFFSET($P621,0,AB$13),15-13*ORÇAMENTO!$AF$7)*OFFSET(ORÇAMENTO!$W$15,ROW(AB621)-ROW(AB$15),0),15-13*ORÇAMENTO!$AF$11)),0)</f>
        <v>0</v>
      </c>
      <c r="AC621" s="545">
        <f ca="1">IF(AND($D621="Serviço",AC$12&lt;&gt;0,$H621&gt;0,OR(AUTOEVENTO&lt;&gt;"manual",$M621&lt;&gt;1)),
IF(Import.TipoArredondamento&lt;&gt;"TransfereGOV",
ROUND(OFFSET($P621,0,AC$13),15-13*ORÇAMENTO!$AF$7)/$H621*OFFSET(ORÇAMENTO!$X$15,ROW(AC621)-ROW(AC$15),0),
ROUND(ROUND(OFFSET($P621,0,AC$13),15-13*ORÇAMENTO!$AF$7)*OFFSET(ORÇAMENTO!$W$15,ROW(AC621)-ROW(AC$15),0),15-13*ORÇAMENTO!$AF$11)),0)</f>
        <v>0</v>
      </c>
      <c r="AD621" s="545">
        <f ca="1">IF(AND($D621="Serviço",AD$12&lt;&gt;0,$H621&gt;0,OR(AUTOEVENTO&lt;&gt;"manual",$M621&lt;&gt;1)),
IF(Import.TipoArredondamento&lt;&gt;"TransfereGOV",
ROUND(OFFSET($P621,0,AD$13),15-13*ORÇAMENTO!$AF$7)/$H621*OFFSET(ORÇAMENTO!$X$15,ROW(AD621)-ROW(AD$15),0),
ROUND(ROUND(OFFSET($P621,0,AD$13),15-13*ORÇAMENTO!$AF$7)*OFFSET(ORÇAMENTO!$W$15,ROW(AD621)-ROW(AD$15),0),15-13*ORÇAMENTO!$AF$11)),0)</f>
        <v>0</v>
      </c>
      <c r="AE621" s="545">
        <f ca="1">IF(AND($D621="Serviço",AE$12&lt;&gt;0,$H621&gt;0,OR(AUTOEVENTO&lt;&gt;"manual",$M621&lt;&gt;1)),
IF(Import.TipoArredondamento&lt;&gt;"TransfereGOV",
ROUND(OFFSET($P621,0,AE$13),15-13*ORÇAMENTO!$AF$7)/$H621*OFFSET(ORÇAMENTO!$X$15,ROW(AE621)-ROW(AE$15),0),
ROUND(ROUND(OFFSET($P621,0,AE$13),15-13*ORÇAMENTO!$AF$7)*OFFSET(ORÇAMENTO!$W$15,ROW(AE621)-ROW(AE$15),0),15-13*ORÇAMENTO!$AF$11)),0)</f>
        <v>0</v>
      </c>
      <c r="AF621" s="545">
        <f ca="1">IF(AND($D621="Serviço",AF$12&lt;&gt;0,$H621&gt;0,OR(AUTOEVENTO&lt;&gt;"manual",$M621&lt;&gt;1)),
IF(Import.TipoArredondamento&lt;&gt;"TransfereGOV",
ROUND(OFFSET($P621,0,AF$13),15-13*ORÇAMENTO!$AF$7)/$H621*OFFSET(ORÇAMENTO!$X$15,ROW(AF621)-ROW(AF$15),0),
ROUND(ROUND(OFFSET($P621,0,AF$13),15-13*ORÇAMENTO!$AF$7)*OFFSET(ORÇAMENTO!$W$15,ROW(AF621)-ROW(AF$15),0),15-13*ORÇAMENTO!$AF$11)),0)</f>
        <v>0</v>
      </c>
      <c r="AG621" s="545">
        <f ca="1">IF(AND($D621="Serviço",AG$12&lt;&gt;0,$H621&gt;0,OR(AUTOEVENTO&lt;&gt;"manual",$M621&lt;&gt;1)),
IF(Import.TipoArredondamento&lt;&gt;"TransfereGOV",
ROUND(OFFSET($P621,0,AG$13),15-13*ORÇAMENTO!$AF$7)/$H621*OFFSET(ORÇAMENTO!$X$15,ROW(AG621)-ROW(AG$15),0),
ROUND(ROUND(OFFSET($P621,0,AG$13),15-13*ORÇAMENTO!$AF$7)*OFFSET(ORÇAMENTO!$W$15,ROW(AG621)-ROW(AG$15),0),15-13*ORÇAMENTO!$AF$11)),0)</f>
        <v>0</v>
      </c>
      <c r="AH621" s="545">
        <f ca="1">IF(AND($D621="Serviço",AH$12&lt;&gt;0,$H621&gt;0,OR(AUTOEVENTO&lt;&gt;"manual",$M621&lt;&gt;1)),
IF(Import.TipoArredondamento&lt;&gt;"TransfereGOV",
ROUND(OFFSET($P621,0,AH$13),15-13*ORÇAMENTO!$AF$7)/$H621*OFFSET(ORÇAMENTO!$X$15,ROW(AH621)-ROW(AH$15),0),
ROUND(ROUND(OFFSET($P621,0,AH$13),15-13*ORÇAMENTO!$AF$7)*OFFSET(ORÇAMENTO!$W$15,ROW(AH621)-ROW(AH$15),0),15-13*ORÇAMENTO!$AF$11)),0)</f>
        <v>0</v>
      </c>
      <c r="AI621" s="545">
        <f ca="1">IF(AND($D621="Serviço",AI$12&lt;&gt;0,$H621&gt;0,OR(AUTOEVENTO&lt;&gt;"manual",$M621&lt;&gt;1)),
IF(Import.TipoArredondamento&lt;&gt;"TransfereGOV",
ROUND(OFFSET($P621,0,AI$13),15-13*ORÇAMENTO!$AF$7)/$H621*OFFSET(ORÇAMENTO!$X$15,ROW(AI621)-ROW(AI$15),0),
ROUND(ROUND(OFFSET($P621,0,AI$13),15-13*ORÇAMENTO!$AF$7)*OFFSET(ORÇAMENTO!$W$15,ROW(AI621)-ROW(AI$15),0),15-13*ORÇAMENTO!$AF$11)),0)</f>
        <v>0</v>
      </c>
      <c r="AJ621" s="545">
        <f ca="1">IF(AND($D621="Serviço",AJ$12&lt;&gt;0,$H621&gt;0,OR(AUTOEVENTO&lt;&gt;"manual",$M621&lt;&gt;1)),
IF(Import.TipoArredondamento&lt;&gt;"TransfereGOV",
ROUND(OFFSET($P621,0,AJ$13),15-13*ORÇAMENTO!$AF$7)/$H621*OFFSET(ORÇAMENTO!$X$15,ROW(AJ621)-ROW(AJ$15),0),
ROUND(ROUND(OFFSET($P621,0,AJ$13),15-13*ORÇAMENTO!$AF$7)*OFFSET(ORÇAMENTO!$W$15,ROW(AJ621)-ROW(AJ$15),0),15-13*ORÇAMENTO!$AF$11)),0)</f>
        <v>0</v>
      </c>
      <c r="AK621" s="546">
        <f ca="1">IF(AND($D621="Serviço",AK$12&lt;&gt;0,$H621&gt;0,OR(AUTOEVENTO&lt;&gt;"manual",$M621&lt;&gt;1)),
IF(Import.TipoArredondamento&lt;&gt;"TransfereGOV",
ROUND(OFFSET($P621,0,AK$13),15-13*ORÇAMENTO!$AF$7)/$H621*OFFSET(ORÇAMENTO!$X$15,ROW(AK621)-ROW(AK$15),0),
ROUND(ROUND(OFFSET($P621,0,AK$13),15-13*ORÇAMENTO!$AF$7)*OFFSET(ORÇAMENTO!$W$15,ROW(AK621)-ROW(AK$15),0),15-13*ORÇAMENTO!$AF$11)),0)</f>
        <v>0</v>
      </c>
      <c r="AM621" s="181">
        <f ca="1">IF($D621&lt;&gt;"Serviço",0,IF(AND(AUTOEVENTO="Manual",$M621=1),0,IF(OFFSET(CRONOPLE!$F$14,$M621,AM$13)="",10^12,OFFSET(CRONOPLE!$F$14,$M621,AM$13))))</f>
        <v>1000000000000</v>
      </c>
      <c r="AN621" s="181">
        <f ca="1">IF($D621&lt;&gt;"Serviço",0,IF(AND(AUTOEVENTO="Manual",$M621=1),0,IF(OFFSET(CRONOPLE!$F$14,$M621,AN$13)="",10^12,OFFSET(CRONOPLE!$F$14,$M621,AN$13))))</f>
        <v>1000000000000</v>
      </c>
      <c r="AO621" s="181">
        <f ca="1">IF($D621&lt;&gt;"Serviço",0,IF(AND(AUTOEVENTO="Manual",$M621=1),0,IF(OFFSET(CRONOPLE!$F$14,$M621,AO$13)="",10^12,OFFSET(CRONOPLE!$F$14,$M621,AO$13))))</f>
        <v>1000000000000</v>
      </c>
      <c r="AP621" s="181">
        <f ca="1">IF($D621&lt;&gt;"Serviço",0,IF(AND(AUTOEVENTO="Manual",$M621=1),0,IF(OFFSET(CRONOPLE!$F$14,$M621,AP$13)="",10^12,OFFSET(CRONOPLE!$F$14,$M621,AP$13))))</f>
        <v>1000000000000</v>
      </c>
      <c r="AQ621" s="181">
        <f ca="1">IF($D621&lt;&gt;"Serviço",0,IF(AND(AUTOEVENTO="Manual",$M621=1),0,IF(OFFSET(CRONOPLE!$F$14,$M621,AQ$13)="",10^12,OFFSET(CRONOPLE!$F$14,$M621,AQ$13))))</f>
        <v>1000000000000</v>
      </c>
      <c r="AR621" s="181">
        <f ca="1">IF($D621&lt;&gt;"Serviço",0,IF(AND(AUTOEVENTO="Manual",$M621=1),0,IF(OFFSET(CRONOPLE!$F$14,$M621,AR$13)="",10^12,OFFSET(CRONOPLE!$F$14,$M621,AR$13))))</f>
        <v>1000000000000</v>
      </c>
      <c r="AS621" s="181">
        <f ca="1">IF($D621&lt;&gt;"Serviço",0,IF(AND(AUTOEVENTO="Manual",$M621=1),0,IF(OFFSET(CRONOPLE!$F$14,$M621,AS$13)="",10^12,OFFSET(CRONOPLE!$F$14,$M621,AS$13))))</f>
        <v>1000000000000</v>
      </c>
      <c r="AT621" s="181">
        <f ca="1">IF($D621&lt;&gt;"Serviço",0,IF(AND(AUTOEVENTO="Manual",$M621=1),0,IF(OFFSET(CRONOPLE!$F$14,$M621,AT$13)="",10^12,OFFSET(CRONOPLE!$F$14,$M621,AT$13))))</f>
        <v>1000000000000</v>
      </c>
      <c r="AU621" s="181">
        <f ca="1">IF($D621&lt;&gt;"Serviço",0,IF(AND(AUTOEVENTO="Manual",$M621=1),0,IF(OFFSET(CRONOPLE!$F$14,$M621,AU$13)="",10^12,OFFSET(CRONOPLE!$F$14,$M621,AU$13))))</f>
        <v>1000000000000</v>
      </c>
      <c r="AV621" s="181">
        <f ca="1">IF($D621&lt;&gt;"Serviço",0,IF(AND(AUTOEVENTO="Manual",$M621=1),0,IF(OFFSET(CRONOPLE!$F$14,$M621,AV$13)="",10^12,OFFSET(CRONOPLE!$F$14,$M621,AV$13))))</f>
        <v>1000000000000</v>
      </c>
      <c r="AX621" s="182">
        <f ca="1">IF($D621&lt;&gt;"Serviço",0,IF(OR(AND(AUTOEVENTO="Manual",$M621=1),$M621&gt;(ROW(PLE.lastrow)-ROW(PLE.firstrow))),0,IF(OFFSET(PLE!$G$14,$M621,AX$13)="",10^12,OFFSET(PLE!$G$14,$M621,AX$13))))</f>
        <v>1000000000000</v>
      </c>
      <c r="AY621" s="182">
        <f ca="1">IF($D621&lt;&gt;"Serviço",0,IF(OR(AND(AUTOEVENTO="Manual",$M621=1),$M621&gt;(ROW(PLE.lastrow)-ROW(PLE.firstrow))),0,IF(OFFSET(PLE!$G$14,$M621,AY$13)="",10^12,OFFSET(PLE!$G$14,$M621,AY$13))))</f>
        <v>1000000000000</v>
      </c>
      <c r="AZ621" s="182">
        <f ca="1">IF($D621&lt;&gt;"Serviço",0,IF(OR(AND(AUTOEVENTO="Manual",$M621=1),$M621&gt;(ROW(PLE.lastrow)-ROW(PLE.firstrow))),0,IF(OFFSET(PLE!$G$14,$M621,AZ$13)="",10^12,OFFSET(PLE!$G$14,$M621,AZ$13))))</f>
        <v>1000000000000</v>
      </c>
      <c r="BA621" s="182">
        <f ca="1">IF($D621&lt;&gt;"Serviço",0,IF(OR(AND(AUTOEVENTO="Manual",$M621=1),$M621&gt;(ROW(PLE.lastrow)-ROW(PLE.firstrow))),0,IF(OFFSET(PLE!$G$14,$M621,BA$13)="",10^12,OFFSET(PLE!$G$14,$M621,BA$13))))</f>
        <v>1000000000000</v>
      </c>
      <c r="BB621" s="182">
        <f ca="1">IF($D621&lt;&gt;"Serviço",0,IF(OR(AND(AUTOEVENTO="Manual",$M621=1),$M621&gt;(ROW(PLE.lastrow)-ROW(PLE.firstrow))),0,IF(OFFSET(PLE!$G$14,$M621,BB$13)="",10^12,OFFSET(PLE!$G$14,$M621,BB$13))))</f>
        <v>1000000000000</v>
      </c>
      <c r="BC621" s="182">
        <f ca="1">IF($D621&lt;&gt;"Serviço",0,IF(OR(AND(AUTOEVENTO="Manual",$M621=1),$M621&gt;(ROW(PLE.lastrow)-ROW(PLE.firstrow))),0,IF(OFFSET(PLE!$G$14,$M621,BC$13)="",10^12,OFFSET(PLE!$G$14,$M621,BC$13))))</f>
        <v>1000000000000</v>
      </c>
      <c r="BD621" s="182">
        <f ca="1">IF($D621&lt;&gt;"Serviço",0,IF(OR(AND(AUTOEVENTO="Manual",$M621=1),$M621&gt;(ROW(PLE.lastrow)-ROW(PLE.firstrow))),0,IF(OFFSET(PLE!$G$14,$M621,BD$13)="",10^12,OFFSET(PLE!$G$14,$M621,BD$13))))</f>
        <v>1000000000000</v>
      </c>
      <c r="BE621" s="182">
        <f ca="1">IF($D621&lt;&gt;"Serviço",0,IF(OR(AND(AUTOEVENTO="Manual",$M621=1),$M621&gt;(ROW(PLE.lastrow)-ROW(PLE.firstrow))),0,IF(OFFSET(PLE!$G$14,$M621,BE$13)="",10^12,OFFSET(PLE!$G$14,$M621,BE$13))))</f>
        <v>1000000000000</v>
      </c>
      <c r="BF621" s="182">
        <f ca="1">IF($D621&lt;&gt;"Serviço",0,IF(OR(AND(AUTOEVENTO="Manual",$M621=1),$M621&gt;(ROW(PLE.lastrow)-ROW(PLE.firstrow))),0,IF(OFFSET(PLE!$G$14,$M621,BF$13)="",10^12,OFFSET(PLE!$G$14,$M621,BF$13))))</f>
        <v>1000000000000</v>
      </c>
      <c r="BG621" s="182">
        <f ca="1">IF($D621&lt;&gt;"Serviço",0,IF(OR(AND(AUTOEVENTO="Manual",$M621=1),$M621&gt;(ROW(PLE.lastrow)-ROW(PLE.firstrow))),0,IF(OFFSET(PLE!$G$14,$M621,BG$13)="",10^12,OFFSET(PLE!$G$14,$M621,BG$13))))</f>
        <v>1000000000000</v>
      </c>
    </row>
    <row r="622" spans="1:59" ht="25.5" x14ac:dyDescent="0.2">
      <c r="A622" s="7" t="str">
        <f t="shared" ca="1" si="16"/>
        <v>593</v>
      </c>
      <c r="B622" s="7" t="str">
        <f ca="1">OFFSET(ORÇAMENTO!C$15,ROW(B622)-ROW(B$15),0)</f>
        <v>S</v>
      </c>
      <c r="C622" s="7" t="str">
        <f ca="1">OFFSET(ORÇAMENTO!L$15,ROW(C622)-ROW(C$15),0)</f>
        <v/>
      </c>
      <c r="D622" s="118" t="str">
        <f ca="1">OFFSET(ORÇAMENTO!N$15,ROW(D622)-ROW(D$15),0)</f>
        <v>Serviço</v>
      </c>
      <c r="E622" s="119" t="str">
        <f ca="1">OFFSET(ORÇAMENTO!O$15,ROW(E622)-ROW(E$15),0)</f>
        <v>-</v>
      </c>
      <c r="F622" s="172" t="str">
        <f ca="1">OFFSET(ORÇAMENTO!R$15,ROW(F622)-ROW(F$15),0)</f>
        <v>(abra o arquivo 'Referência 02-2025.xlsm)</v>
      </c>
      <c r="G622" s="173" t="str">
        <f ca="1">IF($D622&lt;&gt;"Serviço","",OFFSET(ORÇAMENTO!S$15,ROW(G622)-ROW(G$15),0))</f>
        <v>-</v>
      </c>
      <c r="H622" s="124">
        <f ca="1">IF($D622&lt;&gt;"Serviço",0,IF(ACOMPANHAMENTO="BM",ROUND(OFFSET(ORÇAMENTO!AJ$15,ROW(H622)-ROW(H$15),0),15-13*ORÇAMENTO!$AF$7),SUMPRODUCT(($Q$12:$AA$12&lt;&gt;"")*ROUND($Q622:$AA622,15-13*ORÇAMENTO!$AF$7))))</f>
        <v>481</v>
      </c>
      <c r="I622" s="561" t="s">
        <v>890</v>
      </c>
      <c r="K622" s="174"/>
      <c r="L622" s="175" t="s">
        <v>255</v>
      </c>
      <c r="M622" s="176">
        <f ca="1">IF($D622&lt;&gt;"Serviço","",IF(AUTOEVENTO="manual",$A622,IF(ISERROR(MATCH($A622,$A$15:OFFSET($A622,-1,0),0)),MAX($M$15:OFFSET(M622,-1,0))+1,INDEX($M$15:OFFSET(M622,-1,0),MATCH($A622,$A$15:OFFSET($A622,-1,0),0)))))</f>
        <v>19</v>
      </c>
      <c r="N622" s="177" t="str">
        <f ca="1">IF($D622&lt;&gt;"Serviço","",IF(AUTOEVENTO="Manual",IF($A622=0,"&lt;-- defina o número do agrupador",OFFSET(EVENTOS!$D$14,$A622,0)),OFFSET($F$15,$A622,0)))</f>
        <v>INSTALAÇÕES DE CABEAMENTO ESTRUTURADO</v>
      </c>
      <c r="O622" s="178"/>
      <c r="Q622" s="178"/>
      <c r="R622" s="179"/>
      <c r="S622" s="179"/>
      <c r="T622" s="179"/>
      <c r="U622" s="179"/>
      <c r="V622" s="179"/>
      <c r="W622" s="179"/>
      <c r="X622" s="179"/>
      <c r="Y622" s="179"/>
      <c r="Z622" s="180"/>
      <c r="AB622" s="544">
        <f ca="1">IF(AND($D622="Serviço",AB$12&lt;&gt;0,$H622&gt;0,OR(AUTOEVENTO&lt;&gt;"manual",$M622&lt;&gt;1)),
IF(Import.TipoArredondamento&lt;&gt;"TransfereGOV",
ROUND(OFFSET($P622,0,AB$13),15-13*ORÇAMENTO!$AF$7)/$H622*OFFSET(ORÇAMENTO!$X$15,ROW(AB622)-ROW(AB$15),0),
ROUND(ROUND(OFFSET($P622,0,AB$13),15-13*ORÇAMENTO!$AF$7)*OFFSET(ORÇAMENTO!$W$15,ROW(AB622)-ROW(AB$15),0),15-13*ORÇAMENTO!$AF$11)),0)</f>
        <v>0</v>
      </c>
      <c r="AC622" s="545">
        <f ca="1">IF(AND($D622="Serviço",AC$12&lt;&gt;0,$H622&gt;0,OR(AUTOEVENTO&lt;&gt;"manual",$M622&lt;&gt;1)),
IF(Import.TipoArredondamento&lt;&gt;"TransfereGOV",
ROUND(OFFSET($P622,0,AC$13),15-13*ORÇAMENTO!$AF$7)/$H622*OFFSET(ORÇAMENTO!$X$15,ROW(AC622)-ROW(AC$15),0),
ROUND(ROUND(OFFSET($P622,0,AC$13),15-13*ORÇAMENTO!$AF$7)*OFFSET(ORÇAMENTO!$W$15,ROW(AC622)-ROW(AC$15),0),15-13*ORÇAMENTO!$AF$11)),0)</f>
        <v>0</v>
      </c>
      <c r="AD622" s="545">
        <f ca="1">IF(AND($D622="Serviço",AD$12&lt;&gt;0,$H622&gt;0,OR(AUTOEVENTO&lt;&gt;"manual",$M622&lt;&gt;1)),
IF(Import.TipoArredondamento&lt;&gt;"TransfereGOV",
ROUND(OFFSET($P622,0,AD$13),15-13*ORÇAMENTO!$AF$7)/$H622*OFFSET(ORÇAMENTO!$X$15,ROW(AD622)-ROW(AD$15),0),
ROUND(ROUND(OFFSET($P622,0,AD$13),15-13*ORÇAMENTO!$AF$7)*OFFSET(ORÇAMENTO!$W$15,ROW(AD622)-ROW(AD$15),0),15-13*ORÇAMENTO!$AF$11)),0)</f>
        <v>0</v>
      </c>
      <c r="AE622" s="545">
        <f ca="1">IF(AND($D622="Serviço",AE$12&lt;&gt;0,$H622&gt;0,OR(AUTOEVENTO&lt;&gt;"manual",$M622&lt;&gt;1)),
IF(Import.TipoArredondamento&lt;&gt;"TransfereGOV",
ROUND(OFFSET($P622,0,AE$13),15-13*ORÇAMENTO!$AF$7)/$H622*OFFSET(ORÇAMENTO!$X$15,ROW(AE622)-ROW(AE$15),0),
ROUND(ROUND(OFFSET($P622,0,AE$13),15-13*ORÇAMENTO!$AF$7)*OFFSET(ORÇAMENTO!$W$15,ROW(AE622)-ROW(AE$15),0),15-13*ORÇAMENTO!$AF$11)),0)</f>
        <v>0</v>
      </c>
      <c r="AF622" s="545">
        <f ca="1">IF(AND($D622="Serviço",AF$12&lt;&gt;0,$H622&gt;0,OR(AUTOEVENTO&lt;&gt;"manual",$M622&lt;&gt;1)),
IF(Import.TipoArredondamento&lt;&gt;"TransfereGOV",
ROUND(OFFSET($P622,0,AF$13),15-13*ORÇAMENTO!$AF$7)/$H622*OFFSET(ORÇAMENTO!$X$15,ROW(AF622)-ROW(AF$15),0),
ROUND(ROUND(OFFSET($P622,0,AF$13),15-13*ORÇAMENTO!$AF$7)*OFFSET(ORÇAMENTO!$W$15,ROW(AF622)-ROW(AF$15),0),15-13*ORÇAMENTO!$AF$11)),0)</f>
        <v>0</v>
      </c>
      <c r="AG622" s="545">
        <f ca="1">IF(AND($D622="Serviço",AG$12&lt;&gt;0,$H622&gt;0,OR(AUTOEVENTO&lt;&gt;"manual",$M622&lt;&gt;1)),
IF(Import.TipoArredondamento&lt;&gt;"TransfereGOV",
ROUND(OFFSET($P622,0,AG$13),15-13*ORÇAMENTO!$AF$7)/$H622*OFFSET(ORÇAMENTO!$X$15,ROW(AG622)-ROW(AG$15),0),
ROUND(ROUND(OFFSET($P622,0,AG$13),15-13*ORÇAMENTO!$AF$7)*OFFSET(ORÇAMENTO!$W$15,ROW(AG622)-ROW(AG$15),0),15-13*ORÇAMENTO!$AF$11)),0)</f>
        <v>0</v>
      </c>
      <c r="AH622" s="545">
        <f ca="1">IF(AND($D622="Serviço",AH$12&lt;&gt;0,$H622&gt;0,OR(AUTOEVENTO&lt;&gt;"manual",$M622&lt;&gt;1)),
IF(Import.TipoArredondamento&lt;&gt;"TransfereGOV",
ROUND(OFFSET($P622,0,AH$13),15-13*ORÇAMENTO!$AF$7)/$H622*OFFSET(ORÇAMENTO!$X$15,ROW(AH622)-ROW(AH$15),0),
ROUND(ROUND(OFFSET($P622,0,AH$13),15-13*ORÇAMENTO!$AF$7)*OFFSET(ORÇAMENTO!$W$15,ROW(AH622)-ROW(AH$15),0),15-13*ORÇAMENTO!$AF$11)),0)</f>
        <v>0</v>
      </c>
      <c r="AI622" s="545">
        <f ca="1">IF(AND($D622="Serviço",AI$12&lt;&gt;0,$H622&gt;0,OR(AUTOEVENTO&lt;&gt;"manual",$M622&lt;&gt;1)),
IF(Import.TipoArredondamento&lt;&gt;"TransfereGOV",
ROUND(OFFSET($P622,0,AI$13),15-13*ORÇAMENTO!$AF$7)/$H622*OFFSET(ORÇAMENTO!$X$15,ROW(AI622)-ROW(AI$15),0),
ROUND(ROUND(OFFSET($P622,0,AI$13),15-13*ORÇAMENTO!$AF$7)*OFFSET(ORÇAMENTO!$W$15,ROW(AI622)-ROW(AI$15),0),15-13*ORÇAMENTO!$AF$11)),0)</f>
        <v>0</v>
      </c>
      <c r="AJ622" s="545">
        <f ca="1">IF(AND($D622="Serviço",AJ$12&lt;&gt;0,$H622&gt;0,OR(AUTOEVENTO&lt;&gt;"manual",$M622&lt;&gt;1)),
IF(Import.TipoArredondamento&lt;&gt;"TransfereGOV",
ROUND(OFFSET($P622,0,AJ$13),15-13*ORÇAMENTO!$AF$7)/$H622*OFFSET(ORÇAMENTO!$X$15,ROW(AJ622)-ROW(AJ$15),0),
ROUND(ROUND(OFFSET($P622,0,AJ$13),15-13*ORÇAMENTO!$AF$7)*OFFSET(ORÇAMENTO!$W$15,ROW(AJ622)-ROW(AJ$15),0),15-13*ORÇAMENTO!$AF$11)),0)</f>
        <v>0</v>
      </c>
      <c r="AK622" s="546">
        <f ca="1">IF(AND($D622="Serviço",AK$12&lt;&gt;0,$H622&gt;0,OR(AUTOEVENTO&lt;&gt;"manual",$M622&lt;&gt;1)),
IF(Import.TipoArredondamento&lt;&gt;"TransfereGOV",
ROUND(OFFSET($P622,0,AK$13),15-13*ORÇAMENTO!$AF$7)/$H622*OFFSET(ORÇAMENTO!$X$15,ROW(AK622)-ROW(AK$15),0),
ROUND(ROUND(OFFSET($P622,0,AK$13),15-13*ORÇAMENTO!$AF$7)*OFFSET(ORÇAMENTO!$W$15,ROW(AK622)-ROW(AK$15),0),15-13*ORÇAMENTO!$AF$11)),0)</f>
        <v>0</v>
      </c>
      <c r="AM622" s="181">
        <f ca="1">IF($D622&lt;&gt;"Serviço",0,IF(AND(AUTOEVENTO="Manual",$M622=1),0,IF(OFFSET(CRONOPLE!$F$14,$M622,AM$13)="",10^12,OFFSET(CRONOPLE!$F$14,$M622,AM$13))))</f>
        <v>1000000000000</v>
      </c>
      <c r="AN622" s="181">
        <f ca="1">IF($D622&lt;&gt;"Serviço",0,IF(AND(AUTOEVENTO="Manual",$M622=1),0,IF(OFFSET(CRONOPLE!$F$14,$M622,AN$13)="",10^12,OFFSET(CRONOPLE!$F$14,$M622,AN$13))))</f>
        <v>1000000000000</v>
      </c>
      <c r="AO622" s="181">
        <f ca="1">IF($D622&lt;&gt;"Serviço",0,IF(AND(AUTOEVENTO="Manual",$M622=1),0,IF(OFFSET(CRONOPLE!$F$14,$M622,AO$13)="",10^12,OFFSET(CRONOPLE!$F$14,$M622,AO$13))))</f>
        <v>1000000000000</v>
      </c>
      <c r="AP622" s="181">
        <f ca="1">IF($D622&lt;&gt;"Serviço",0,IF(AND(AUTOEVENTO="Manual",$M622=1),0,IF(OFFSET(CRONOPLE!$F$14,$M622,AP$13)="",10^12,OFFSET(CRONOPLE!$F$14,$M622,AP$13))))</f>
        <v>1000000000000</v>
      </c>
      <c r="AQ622" s="181">
        <f ca="1">IF($D622&lt;&gt;"Serviço",0,IF(AND(AUTOEVENTO="Manual",$M622=1),0,IF(OFFSET(CRONOPLE!$F$14,$M622,AQ$13)="",10^12,OFFSET(CRONOPLE!$F$14,$M622,AQ$13))))</f>
        <v>1000000000000</v>
      </c>
      <c r="AR622" s="181">
        <f ca="1">IF($D622&lt;&gt;"Serviço",0,IF(AND(AUTOEVENTO="Manual",$M622=1),0,IF(OFFSET(CRONOPLE!$F$14,$M622,AR$13)="",10^12,OFFSET(CRONOPLE!$F$14,$M622,AR$13))))</f>
        <v>1000000000000</v>
      </c>
      <c r="AS622" s="181">
        <f ca="1">IF($D622&lt;&gt;"Serviço",0,IF(AND(AUTOEVENTO="Manual",$M622=1),0,IF(OFFSET(CRONOPLE!$F$14,$M622,AS$13)="",10^12,OFFSET(CRONOPLE!$F$14,$M622,AS$13))))</f>
        <v>1000000000000</v>
      </c>
      <c r="AT622" s="181">
        <f ca="1">IF($D622&lt;&gt;"Serviço",0,IF(AND(AUTOEVENTO="Manual",$M622=1),0,IF(OFFSET(CRONOPLE!$F$14,$M622,AT$13)="",10^12,OFFSET(CRONOPLE!$F$14,$M622,AT$13))))</f>
        <v>1000000000000</v>
      </c>
      <c r="AU622" s="181">
        <f ca="1">IF($D622&lt;&gt;"Serviço",0,IF(AND(AUTOEVENTO="Manual",$M622=1),0,IF(OFFSET(CRONOPLE!$F$14,$M622,AU$13)="",10^12,OFFSET(CRONOPLE!$F$14,$M622,AU$13))))</f>
        <v>1000000000000</v>
      </c>
      <c r="AV622" s="181">
        <f ca="1">IF($D622&lt;&gt;"Serviço",0,IF(AND(AUTOEVENTO="Manual",$M622=1),0,IF(OFFSET(CRONOPLE!$F$14,$M622,AV$13)="",10^12,OFFSET(CRONOPLE!$F$14,$M622,AV$13))))</f>
        <v>1000000000000</v>
      </c>
      <c r="AX622" s="182">
        <f ca="1">IF($D622&lt;&gt;"Serviço",0,IF(OR(AND(AUTOEVENTO="Manual",$M622=1),$M622&gt;(ROW(PLE.lastrow)-ROW(PLE.firstrow))),0,IF(OFFSET(PLE!$G$14,$M622,AX$13)="",10^12,OFFSET(PLE!$G$14,$M622,AX$13))))</f>
        <v>1000000000000</v>
      </c>
      <c r="AY622" s="182">
        <f ca="1">IF($D622&lt;&gt;"Serviço",0,IF(OR(AND(AUTOEVENTO="Manual",$M622=1),$M622&gt;(ROW(PLE.lastrow)-ROW(PLE.firstrow))),0,IF(OFFSET(PLE!$G$14,$M622,AY$13)="",10^12,OFFSET(PLE!$G$14,$M622,AY$13))))</f>
        <v>1000000000000</v>
      </c>
      <c r="AZ622" s="182">
        <f ca="1">IF($D622&lt;&gt;"Serviço",0,IF(OR(AND(AUTOEVENTO="Manual",$M622=1),$M622&gt;(ROW(PLE.lastrow)-ROW(PLE.firstrow))),0,IF(OFFSET(PLE!$G$14,$M622,AZ$13)="",10^12,OFFSET(PLE!$G$14,$M622,AZ$13))))</f>
        <v>1000000000000</v>
      </c>
      <c r="BA622" s="182">
        <f ca="1">IF($D622&lt;&gt;"Serviço",0,IF(OR(AND(AUTOEVENTO="Manual",$M622=1),$M622&gt;(ROW(PLE.lastrow)-ROW(PLE.firstrow))),0,IF(OFFSET(PLE!$G$14,$M622,BA$13)="",10^12,OFFSET(PLE!$G$14,$M622,BA$13))))</f>
        <v>1000000000000</v>
      </c>
      <c r="BB622" s="182">
        <f ca="1">IF($D622&lt;&gt;"Serviço",0,IF(OR(AND(AUTOEVENTO="Manual",$M622=1),$M622&gt;(ROW(PLE.lastrow)-ROW(PLE.firstrow))),0,IF(OFFSET(PLE!$G$14,$M622,BB$13)="",10^12,OFFSET(PLE!$G$14,$M622,BB$13))))</f>
        <v>1000000000000</v>
      </c>
      <c r="BC622" s="182">
        <f ca="1">IF($D622&lt;&gt;"Serviço",0,IF(OR(AND(AUTOEVENTO="Manual",$M622=1),$M622&gt;(ROW(PLE.lastrow)-ROW(PLE.firstrow))),0,IF(OFFSET(PLE!$G$14,$M622,BC$13)="",10^12,OFFSET(PLE!$G$14,$M622,BC$13))))</f>
        <v>1000000000000</v>
      </c>
      <c r="BD622" s="182">
        <f ca="1">IF($D622&lt;&gt;"Serviço",0,IF(OR(AND(AUTOEVENTO="Manual",$M622=1),$M622&gt;(ROW(PLE.lastrow)-ROW(PLE.firstrow))),0,IF(OFFSET(PLE!$G$14,$M622,BD$13)="",10^12,OFFSET(PLE!$G$14,$M622,BD$13))))</f>
        <v>1000000000000</v>
      </c>
      <c r="BE622" s="182">
        <f ca="1">IF($D622&lt;&gt;"Serviço",0,IF(OR(AND(AUTOEVENTO="Manual",$M622=1),$M622&gt;(ROW(PLE.lastrow)-ROW(PLE.firstrow))),0,IF(OFFSET(PLE!$G$14,$M622,BE$13)="",10^12,OFFSET(PLE!$G$14,$M622,BE$13))))</f>
        <v>1000000000000</v>
      </c>
      <c r="BF622" s="182">
        <f ca="1">IF($D622&lt;&gt;"Serviço",0,IF(OR(AND(AUTOEVENTO="Manual",$M622=1),$M622&gt;(ROW(PLE.lastrow)-ROW(PLE.firstrow))),0,IF(OFFSET(PLE!$G$14,$M622,BF$13)="",10^12,OFFSET(PLE!$G$14,$M622,BF$13))))</f>
        <v>1000000000000</v>
      </c>
      <c r="BG622" s="182">
        <f ca="1">IF($D622&lt;&gt;"Serviço",0,IF(OR(AND(AUTOEVENTO="Manual",$M622=1),$M622&gt;(ROW(PLE.lastrow)-ROW(PLE.firstrow))),0,IF(OFFSET(PLE!$G$14,$M622,BG$13)="",10^12,OFFSET(PLE!$G$14,$M622,BG$13))))</f>
        <v>1000000000000</v>
      </c>
    </row>
    <row r="623" spans="1:59" ht="25.5" x14ac:dyDescent="0.2">
      <c r="A623" s="7" t="str">
        <f t="shared" ca="1" si="16"/>
        <v>593</v>
      </c>
      <c r="B623" s="7" t="str">
        <f ca="1">OFFSET(ORÇAMENTO!C$15,ROW(B623)-ROW(B$15),0)</f>
        <v>S</v>
      </c>
      <c r="C623" s="7" t="str">
        <f ca="1">OFFSET(ORÇAMENTO!L$15,ROW(C623)-ROW(C$15),0)</f>
        <v/>
      </c>
      <c r="D623" s="118" t="str">
        <f ca="1">OFFSET(ORÇAMENTO!N$15,ROW(D623)-ROW(D$15),0)</f>
        <v>Serviço</v>
      </c>
      <c r="E623" s="119" t="str">
        <f ca="1">OFFSET(ORÇAMENTO!O$15,ROW(E623)-ROW(E$15),0)</f>
        <v>-</v>
      </c>
      <c r="F623" s="172" t="str">
        <f ca="1">OFFSET(ORÇAMENTO!R$15,ROW(F623)-ROW(F$15),0)</f>
        <v>(abra o arquivo 'Referência 02-2025.xlsm)</v>
      </c>
      <c r="G623" s="173" t="str">
        <f ca="1">IF($D623&lt;&gt;"Serviço","",OFFSET(ORÇAMENTO!S$15,ROW(G623)-ROW(G$15),0))</f>
        <v>-</v>
      </c>
      <c r="H623" s="124">
        <f ca="1">IF($D623&lt;&gt;"Serviço",0,IF(ACOMPANHAMENTO="BM",ROUND(OFFSET(ORÇAMENTO!AJ$15,ROW(H623)-ROW(H$15),0),15-13*ORÇAMENTO!$AF$7),SUMPRODUCT(($Q$12:$AA$12&lt;&gt;"")*ROUND($Q623:$AA623,15-13*ORÇAMENTO!$AF$7))))</f>
        <v>593</v>
      </c>
      <c r="I623" s="561" t="s">
        <v>890</v>
      </c>
      <c r="K623" s="174"/>
      <c r="L623" s="175" t="s">
        <v>255</v>
      </c>
      <c r="M623" s="176">
        <f ca="1">IF($D623&lt;&gt;"Serviço","",IF(AUTOEVENTO="manual",$A623,IF(ISERROR(MATCH($A623,$A$15:OFFSET($A623,-1,0),0)),MAX($M$15:OFFSET(M623,-1,0))+1,INDEX($M$15:OFFSET(M623,-1,0),MATCH($A623,$A$15:OFFSET($A623,-1,0),0)))))</f>
        <v>19</v>
      </c>
      <c r="N623" s="177" t="str">
        <f ca="1">IF($D623&lt;&gt;"Serviço","",IF(AUTOEVENTO="Manual",IF($A623=0,"&lt;-- defina o número do agrupador",OFFSET(EVENTOS!$D$14,$A623,0)),OFFSET($F$15,$A623,0)))</f>
        <v>INSTALAÇÕES DE CABEAMENTO ESTRUTURADO</v>
      </c>
      <c r="O623" s="178"/>
      <c r="Q623" s="178"/>
      <c r="R623" s="179"/>
      <c r="S623" s="179"/>
      <c r="T623" s="179"/>
      <c r="U623" s="179"/>
      <c r="V623" s="179"/>
      <c r="W623" s="179"/>
      <c r="X623" s="179"/>
      <c r="Y623" s="179"/>
      <c r="Z623" s="180"/>
      <c r="AB623" s="544">
        <f ca="1">IF(AND($D623="Serviço",AB$12&lt;&gt;0,$H623&gt;0,OR(AUTOEVENTO&lt;&gt;"manual",$M623&lt;&gt;1)),
IF(Import.TipoArredondamento&lt;&gt;"TransfereGOV",
ROUND(OFFSET($P623,0,AB$13),15-13*ORÇAMENTO!$AF$7)/$H623*OFFSET(ORÇAMENTO!$X$15,ROW(AB623)-ROW(AB$15),0),
ROUND(ROUND(OFFSET($P623,0,AB$13),15-13*ORÇAMENTO!$AF$7)*OFFSET(ORÇAMENTO!$W$15,ROW(AB623)-ROW(AB$15),0),15-13*ORÇAMENTO!$AF$11)),0)</f>
        <v>0</v>
      </c>
      <c r="AC623" s="545">
        <f ca="1">IF(AND($D623="Serviço",AC$12&lt;&gt;0,$H623&gt;0,OR(AUTOEVENTO&lt;&gt;"manual",$M623&lt;&gt;1)),
IF(Import.TipoArredondamento&lt;&gt;"TransfereGOV",
ROUND(OFFSET($P623,0,AC$13),15-13*ORÇAMENTO!$AF$7)/$H623*OFFSET(ORÇAMENTO!$X$15,ROW(AC623)-ROW(AC$15),0),
ROUND(ROUND(OFFSET($P623,0,AC$13),15-13*ORÇAMENTO!$AF$7)*OFFSET(ORÇAMENTO!$W$15,ROW(AC623)-ROW(AC$15),0),15-13*ORÇAMENTO!$AF$11)),0)</f>
        <v>0</v>
      </c>
      <c r="AD623" s="545">
        <f ca="1">IF(AND($D623="Serviço",AD$12&lt;&gt;0,$H623&gt;0,OR(AUTOEVENTO&lt;&gt;"manual",$M623&lt;&gt;1)),
IF(Import.TipoArredondamento&lt;&gt;"TransfereGOV",
ROUND(OFFSET($P623,0,AD$13),15-13*ORÇAMENTO!$AF$7)/$H623*OFFSET(ORÇAMENTO!$X$15,ROW(AD623)-ROW(AD$15),0),
ROUND(ROUND(OFFSET($P623,0,AD$13),15-13*ORÇAMENTO!$AF$7)*OFFSET(ORÇAMENTO!$W$15,ROW(AD623)-ROW(AD$15),0),15-13*ORÇAMENTO!$AF$11)),0)</f>
        <v>0</v>
      </c>
      <c r="AE623" s="545">
        <f ca="1">IF(AND($D623="Serviço",AE$12&lt;&gt;0,$H623&gt;0,OR(AUTOEVENTO&lt;&gt;"manual",$M623&lt;&gt;1)),
IF(Import.TipoArredondamento&lt;&gt;"TransfereGOV",
ROUND(OFFSET($P623,0,AE$13),15-13*ORÇAMENTO!$AF$7)/$H623*OFFSET(ORÇAMENTO!$X$15,ROW(AE623)-ROW(AE$15),0),
ROUND(ROUND(OFFSET($P623,0,AE$13),15-13*ORÇAMENTO!$AF$7)*OFFSET(ORÇAMENTO!$W$15,ROW(AE623)-ROW(AE$15),0),15-13*ORÇAMENTO!$AF$11)),0)</f>
        <v>0</v>
      </c>
      <c r="AF623" s="545">
        <f ca="1">IF(AND($D623="Serviço",AF$12&lt;&gt;0,$H623&gt;0,OR(AUTOEVENTO&lt;&gt;"manual",$M623&lt;&gt;1)),
IF(Import.TipoArredondamento&lt;&gt;"TransfereGOV",
ROUND(OFFSET($P623,0,AF$13),15-13*ORÇAMENTO!$AF$7)/$H623*OFFSET(ORÇAMENTO!$X$15,ROW(AF623)-ROW(AF$15),0),
ROUND(ROUND(OFFSET($P623,0,AF$13),15-13*ORÇAMENTO!$AF$7)*OFFSET(ORÇAMENTO!$W$15,ROW(AF623)-ROW(AF$15),0),15-13*ORÇAMENTO!$AF$11)),0)</f>
        <v>0</v>
      </c>
      <c r="AG623" s="545">
        <f ca="1">IF(AND($D623="Serviço",AG$12&lt;&gt;0,$H623&gt;0,OR(AUTOEVENTO&lt;&gt;"manual",$M623&lt;&gt;1)),
IF(Import.TipoArredondamento&lt;&gt;"TransfereGOV",
ROUND(OFFSET($P623,0,AG$13),15-13*ORÇAMENTO!$AF$7)/$H623*OFFSET(ORÇAMENTO!$X$15,ROW(AG623)-ROW(AG$15),0),
ROUND(ROUND(OFFSET($P623,0,AG$13),15-13*ORÇAMENTO!$AF$7)*OFFSET(ORÇAMENTO!$W$15,ROW(AG623)-ROW(AG$15),0),15-13*ORÇAMENTO!$AF$11)),0)</f>
        <v>0</v>
      </c>
      <c r="AH623" s="545">
        <f ca="1">IF(AND($D623="Serviço",AH$12&lt;&gt;0,$H623&gt;0,OR(AUTOEVENTO&lt;&gt;"manual",$M623&lt;&gt;1)),
IF(Import.TipoArredondamento&lt;&gt;"TransfereGOV",
ROUND(OFFSET($P623,0,AH$13),15-13*ORÇAMENTO!$AF$7)/$H623*OFFSET(ORÇAMENTO!$X$15,ROW(AH623)-ROW(AH$15),0),
ROUND(ROUND(OFFSET($P623,0,AH$13),15-13*ORÇAMENTO!$AF$7)*OFFSET(ORÇAMENTO!$W$15,ROW(AH623)-ROW(AH$15),0),15-13*ORÇAMENTO!$AF$11)),0)</f>
        <v>0</v>
      </c>
      <c r="AI623" s="545">
        <f ca="1">IF(AND($D623="Serviço",AI$12&lt;&gt;0,$H623&gt;0,OR(AUTOEVENTO&lt;&gt;"manual",$M623&lt;&gt;1)),
IF(Import.TipoArredondamento&lt;&gt;"TransfereGOV",
ROUND(OFFSET($P623,0,AI$13),15-13*ORÇAMENTO!$AF$7)/$H623*OFFSET(ORÇAMENTO!$X$15,ROW(AI623)-ROW(AI$15),0),
ROUND(ROUND(OFFSET($P623,0,AI$13),15-13*ORÇAMENTO!$AF$7)*OFFSET(ORÇAMENTO!$W$15,ROW(AI623)-ROW(AI$15),0),15-13*ORÇAMENTO!$AF$11)),0)</f>
        <v>0</v>
      </c>
      <c r="AJ623" s="545">
        <f ca="1">IF(AND($D623="Serviço",AJ$12&lt;&gt;0,$H623&gt;0,OR(AUTOEVENTO&lt;&gt;"manual",$M623&lt;&gt;1)),
IF(Import.TipoArredondamento&lt;&gt;"TransfereGOV",
ROUND(OFFSET($P623,0,AJ$13),15-13*ORÇAMENTO!$AF$7)/$H623*OFFSET(ORÇAMENTO!$X$15,ROW(AJ623)-ROW(AJ$15),0),
ROUND(ROUND(OFFSET($P623,0,AJ$13),15-13*ORÇAMENTO!$AF$7)*OFFSET(ORÇAMENTO!$W$15,ROW(AJ623)-ROW(AJ$15),0),15-13*ORÇAMENTO!$AF$11)),0)</f>
        <v>0</v>
      </c>
      <c r="AK623" s="546">
        <f ca="1">IF(AND($D623="Serviço",AK$12&lt;&gt;0,$H623&gt;0,OR(AUTOEVENTO&lt;&gt;"manual",$M623&lt;&gt;1)),
IF(Import.TipoArredondamento&lt;&gt;"TransfereGOV",
ROUND(OFFSET($P623,0,AK$13),15-13*ORÇAMENTO!$AF$7)/$H623*OFFSET(ORÇAMENTO!$X$15,ROW(AK623)-ROW(AK$15),0),
ROUND(ROUND(OFFSET($P623,0,AK$13),15-13*ORÇAMENTO!$AF$7)*OFFSET(ORÇAMENTO!$W$15,ROW(AK623)-ROW(AK$15),0),15-13*ORÇAMENTO!$AF$11)),0)</f>
        <v>0</v>
      </c>
      <c r="AM623" s="181">
        <f ca="1">IF($D623&lt;&gt;"Serviço",0,IF(AND(AUTOEVENTO="Manual",$M623=1),0,IF(OFFSET(CRONOPLE!$F$14,$M623,AM$13)="",10^12,OFFSET(CRONOPLE!$F$14,$M623,AM$13))))</f>
        <v>1000000000000</v>
      </c>
      <c r="AN623" s="181">
        <f ca="1">IF($D623&lt;&gt;"Serviço",0,IF(AND(AUTOEVENTO="Manual",$M623=1),0,IF(OFFSET(CRONOPLE!$F$14,$M623,AN$13)="",10^12,OFFSET(CRONOPLE!$F$14,$M623,AN$13))))</f>
        <v>1000000000000</v>
      </c>
      <c r="AO623" s="181">
        <f ca="1">IF($D623&lt;&gt;"Serviço",0,IF(AND(AUTOEVENTO="Manual",$M623=1),0,IF(OFFSET(CRONOPLE!$F$14,$M623,AO$13)="",10^12,OFFSET(CRONOPLE!$F$14,$M623,AO$13))))</f>
        <v>1000000000000</v>
      </c>
      <c r="AP623" s="181">
        <f ca="1">IF($D623&lt;&gt;"Serviço",0,IF(AND(AUTOEVENTO="Manual",$M623=1),0,IF(OFFSET(CRONOPLE!$F$14,$M623,AP$13)="",10^12,OFFSET(CRONOPLE!$F$14,$M623,AP$13))))</f>
        <v>1000000000000</v>
      </c>
      <c r="AQ623" s="181">
        <f ca="1">IF($D623&lt;&gt;"Serviço",0,IF(AND(AUTOEVENTO="Manual",$M623=1),0,IF(OFFSET(CRONOPLE!$F$14,$M623,AQ$13)="",10^12,OFFSET(CRONOPLE!$F$14,$M623,AQ$13))))</f>
        <v>1000000000000</v>
      </c>
      <c r="AR623" s="181">
        <f ca="1">IF($D623&lt;&gt;"Serviço",0,IF(AND(AUTOEVENTO="Manual",$M623=1),0,IF(OFFSET(CRONOPLE!$F$14,$M623,AR$13)="",10^12,OFFSET(CRONOPLE!$F$14,$M623,AR$13))))</f>
        <v>1000000000000</v>
      </c>
      <c r="AS623" s="181">
        <f ca="1">IF($D623&lt;&gt;"Serviço",0,IF(AND(AUTOEVENTO="Manual",$M623=1),0,IF(OFFSET(CRONOPLE!$F$14,$M623,AS$13)="",10^12,OFFSET(CRONOPLE!$F$14,$M623,AS$13))))</f>
        <v>1000000000000</v>
      </c>
      <c r="AT623" s="181">
        <f ca="1">IF($D623&lt;&gt;"Serviço",0,IF(AND(AUTOEVENTO="Manual",$M623=1),0,IF(OFFSET(CRONOPLE!$F$14,$M623,AT$13)="",10^12,OFFSET(CRONOPLE!$F$14,$M623,AT$13))))</f>
        <v>1000000000000</v>
      </c>
      <c r="AU623" s="181">
        <f ca="1">IF($D623&lt;&gt;"Serviço",0,IF(AND(AUTOEVENTO="Manual",$M623=1),0,IF(OFFSET(CRONOPLE!$F$14,$M623,AU$13)="",10^12,OFFSET(CRONOPLE!$F$14,$M623,AU$13))))</f>
        <v>1000000000000</v>
      </c>
      <c r="AV623" s="181">
        <f ca="1">IF($D623&lt;&gt;"Serviço",0,IF(AND(AUTOEVENTO="Manual",$M623=1),0,IF(OFFSET(CRONOPLE!$F$14,$M623,AV$13)="",10^12,OFFSET(CRONOPLE!$F$14,$M623,AV$13))))</f>
        <v>1000000000000</v>
      </c>
      <c r="AX623" s="182">
        <f ca="1">IF($D623&lt;&gt;"Serviço",0,IF(OR(AND(AUTOEVENTO="Manual",$M623=1),$M623&gt;(ROW(PLE.lastrow)-ROW(PLE.firstrow))),0,IF(OFFSET(PLE!$G$14,$M623,AX$13)="",10^12,OFFSET(PLE!$G$14,$M623,AX$13))))</f>
        <v>1000000000000</v>
      </c>
      <c r="AY623" s="182">
        <f ca="1">IF($D623&lt;&gt;"Serviço",0,IF(OR(AND(AUTOEVENTO="Manual",$M623=1),$M623&gt;(ROW(PLE.lastrow)-ROW(PLE.firstrow))),0,IF(OFFSET(PLE!$G$14,$M623,AY$13)="",10^12,OFFSET(PLE!$G$14,$M623,AY$13))))</f>
        <v>1000000000000</v>
      </c>
      <c r="AZ623" s="182">
        <f ca="1">IF($D623&lt;&gt;"Serviço",0,IF(OR(AND(AUTOEVENTO="Manual",$M623=1),$M623&gt;(ROW(PLE.lastrow)-ROW(PLE.firstrow))),0,IF(OFFSET(PLE!$G$14,$M623,AZ$13)="",10^12,OFFSET(PLE!$G$14,$M623,AZ$13))))</f>
        <v>1000000000000</v>
      </c>
      <c r="BA623" s="182">
        <f ca="1">IF($D623&lt;&gt;"Serviço",0,IF(OR(AND(AUTOEVENTO="Manual",$M623=1),$M623&gt;(ROW(PLE.lastrow)-ROW(PLE.firstrow))),0,IF(OFFSET(PLE!$G$14,$M623,BA$13)="",10^12,OFFSET(PLE!$G$14,$M623,BA$13))))</f>
        <v>1000000000000</v>
      </c>
      <c r="BB623" s="182">
        <f ca="1">IF($D623&lt;&gt;"Serviço",0,IF(OR(AND(AUTOEVENTO="Manual",$M623=1),$M623&gt;(ROW(PLE.lastrow)-ROW(PLE.firstrow))),0,IF(OFFSET(PLE!$G$14,$M623,BB$13)="",10^12,OFFSET(PLE!$G$14,$M623,BB$13))))</f>
        <v>1000000000000</v>
      </c>
      <c r="BC623" s="182">
        <f ca="1">IF($D623&lt;&gt;"Serviço",0,IF(OR(AND(AUTOEVENTO="Manual",$M623=1),$M623&gt;(ROW(PLE.lastrow)-ROW(PLE.firstrow))),0,IF(OFFSET(PLE!$G$14,$M623,BC$13)="",10^12,OFFSET(PLE!$G$14,$M623,BC$13))))</f>
        <v>1000000000000</v>
      </c>
      <c r="BD623" s="182">
        <f ca="1">IF($D623&lt;&gt;"Serviço",0,IF(OR(AND(AUTOEVENTO="Manual",$M623=1),$M623&gt;(ROW(PLE.lastrow)-ROW(PLE.firstrow))),0,IF(OFFSET(PLE!$G$14,$M623,BD$13)="",10^12,OFFSET(PLE!$G$14,$M623,BD$13))))</f>
        <v>1000000000000</v>
      </c>
      <c r="BE623" s="182">
        <f ca="1">IF($D623&lt;&gt;"Serviço",0,IF(OR(AND(AUTOEVENTO="Manual",$M623=1),$M623&gt;(ROW(PLE.lastrow)-ROW(PLE.firstrow))),0,IF(OFFSET(PLE!$G$14,$M623,BE$13)="",10^12,OFFSET(PLE!$G$14,$M623,BE$13))))</f>
        <v>1000000000000</v>
      </c>
      <c r="BF623" s="182">
        <f ca="1">IF($D623&lt;&gt;"Serviço",0,IF(OR(AND(AUTOEVENTO="Manual",$M623=1),$M623&gt;(ROW(PLE.lastrow)-ROW(PLE.firstrow))),0,IF(OFFSET(PLE!$G$14,$M623,BF$13)="",10^12,OFFSET(PLE!$G$14,$M623,BF$13))))</f>
        <v>1000000000000</v>
      </c>
      <c r="BG623" s="182">
        <f ca="1">IF($D623&lt;&gt;"Serviço",0,IF(OR(AND(AUTOEVENTO="Manual",$M623=1),$M623&gt;(ROW(PLE.lastrow)-ROW(PLE.firstrow))),0,IF(OFFSET(PLE!$G$14,$M623,BG$13)="",10^12,OFFSET(PLE!$G$14,$M623,BG$13))))</f>
        <v>1000000000000</v>
      </c>
    </row>
    <row r="624" spans="1:59" ht="25.5" x14ac:dyDescent="0.2">
      <c r="A624" s="7" t="str">
        <f t="shared" ca="1" si="16"/>
        <v>593</v>
      </c>
      <c r="B624" s="7" t="str">
        <f ca="1">OFFSET(ORÇAMENTO!C$15,ROW(B624)-ROW(B$15),0)</f>
        <v>S</v>
      </c>
      <c r="C624" s="7" t="str">
        <f ca="1">OFFSET(ORÇAMENTO!L$15,ROW(C624)-ROW(C$15),0)</f>
        <v/>
      </c>
      <c r="D624" s="118" t="str">
        <f ca="1">OFFSET(ORÇAMENTO!N$15,ROW(D624)-ROW(D$15),0)</f>
        <v>Serviço</v>
      </c>
      <c r="E624" s="119" t="str">
        <f ca="1">OFFSET(ORÇAMENTO!O$15,ROW(E624)-ROW(E$15),0)</f>
        <v>-</v>
      </c>
      <c r="F624" s="172" t="str">
        <f ca="1">OFFSET(ORÇAMENTO!R$15,ROW(F624)-ROW(F$15),0)</f>
        <v>(abra o arquivo 'Referência 02-2025.xlsm)</v>
      </c>
      <c r="G624" s="173" t="str">
        <f ca="1">IF($D624&lt;&gt;"Serviço","",OFFSET(ORÇAMENTO!S$15,ROW(G624)-ROW(G$15),0))</f>
        <v>-</v>
      </c>
      <c r="H624" s="124">
        <f ca="1">IF($D624&lt;&gt;"Serviço",0,IF(ACOMPANHAMENTO="BM",ROUND(OFFSET(ORÇAMENTO!AJ$15,ROW(H624)-ROW(H$15),0),15-13*ORÇAMENTO!$AF$7),SUMPRODUCT(($Q$12:$AA$12&lt;&gt;"")*ROUND($Q624:$AA624,15-13*ORÇAMENTO!$AF$7))))</f>
        <v>39.24</v>
      </c>
      <c r="I624" s="561" t="s">
        <v>890</v>
      </c>
      <c r="K624" s="174"/>
      <c r="L624" s="175" t="s">
        <v>255</v>
      </c>
      <c r="M624" s="176">
        <f ca="1">IF($D624&lt;&gt;"Serviço","",IF(AUTOEVENTO="manual",$A624,IF(ISERROR(MATCH($A624,$A$15:OFFSET($A624,-1,0),0)),MAX($M$15:OFFSET(M624,-1,0))+1,INDEX($M$15:OFFSET(M624,-1,0),MATCH($A624,$A$15:OFFSET($A624,-1,0),0)))))</f>
        <v>19</v>
      </c>
      <c r="N624" s="177" t="str">
        <f ca="1">IF($D624&lt;&gt;"Serviço","",IF(AUTOEVENTO="Manual",IF($A624=0,"&lt;-- defina o número do agrupador",OFFSET(EVENTOS!$D$14,$A624,0)),OFFSET($F$15,$A624,0)))</f>
        <v>INSTALAÇÕES DE CABEAMENTO ESTRUTURADO</v>
      </c>
      <c r="O624" s="178"/>
      <c r="Q624" s="178"/>
      <c r="R624" s="179"/>
      <c r="S624" s="179"/>
      <c r="T624" s="179"/>
      <c r="U624" s="179"/>
      <c r="V624" s="179"/>
      <c r="W624" s="179"/>
      <c r="X624" s="179"/>
      <c r="Y624" s="179"/>
      <c r="Z624" s="180"/>
      <c r="AB624" s="544">
        <f ca="1">IF(AND($D624="Serviço",AB$12&lt;&gt;0,$H624&gt;0,OR(AUTOEVENTO&lt;&gt;"manual",$M624&lt;&gt;1)),
IF(Import.TipoArredondamento&lt;&gt;"TransfereGOV",
ROUND(OFFSET($P624,0,AB$13),15-13*ORÇAMENTO!$AF$7)/$H624*OFFSET(ORÇAMENTO!$X$15,ROW(AB624)-ROW(AB$15),0),
ROUND(ROUND(OFFSET($P624,0,AB$13),15-13*ORÇAMENTO!$AF$7)*OFFSET(ORÇAMENTO!$W$15,ROW(AB624)-ROW(AB$15),0),15-13*ORÇAMENTO!$AF$11)),0)</f>
        <v>0</v>
      </c>
      <c r="AC624" s="545">
        <f ca="1">IF(AND($D624="Serviço",AC$12&lt;&gt;0,$H624&gt;0,OR(AUTOEVENTO&lt;&gt;"manual",$M624&lt;&gt;1)),
IF(Import.TipoArredondamento&lt;&gt;"TransfereGOV",
ROUND(OFFSET($P624,0,AC$13),15-13*ORÇAMENTO!$AF$7)/$H624*OFFSET(ORÇAMENTO!$X$15,ROW(AC624)-ROW(AC$15),0),
ROUND(ROUND(OFFSET($P624,0,AC$13),15-13*ORÇAMENTO!$AF$7)*OFFSET(ORÇAMENTO!$W$15,ROW(AC624)-ROW(AC$15),0),15-13*ORÇAMENTO!$AF$11)),0)</f>
        <v>0</v>
      </c>
      <c r="AD624" s="545">
        <f ca="1">IF(AND($D624="Serviço",AD$12&lt;&gt;0,$H624&gt;0,OR(AUTOEVENTO&lt;&gt;"manual",$M624&lt;&gt;1)),
IF(Import.TipoArredondamento&lt;&gt;"TransfereGOV",
ROUND(OFFSET($P624,0,AD$13),15-13*ORÇAMENTO!$AF$7)/$H624*OFFSET(ORÇAMENTO!$X$15,ROW(AD624)-ROW(AD$15),0),
ROUND(ROUND(OFFSET($P624,0,AD$13),15-13*ORÇAMENTO!$AF$7)*OFFSET(ORÇAMENTO!$W$15,ROW(AD624)-ROW(AD$15),0),15-13*ORÇAMENTO!$AF$11)),0)</f>
        <v>0</v>
      </c>
      <c r="AE624" s="545">
        <f ca="1">IF(AND($D624="Serviço",AE$12&lt;&gt;0,$H624&gt;0,OR(AUTOEVENTO&lt;&gt;"manual",$M624&lt;&gt;1)),
IF(Import.TipoArredondamento&lt;&gt;"TransfereGOV",
ROUND(OFFSET($P624,0,AE$13),15-13*ORÇAMENTO!$AF$7)/$H624*OFFSET(ORÇAMENTO!$X$15,ROW(AE624)-ROW(AE$15),0),
ROUND(ROUND(OFFSET($P624,0,AE$13),15-13*ORÇAMENTO!$AF$7)*OFFSET(ORÇAMENTO!$W$15,ROW(AE624)-ROW(AE$15),0),15-13*ORÇAMENTO!$AF$11)),0)</f>
        <v>0</v>
      </c>
      <c r="AF624" s="545">
        <f ca="1">IF(AND($D624="Serviço",AF$12&lt;&gt;0,$H624&gt;0,OR(AUTOEVENTO&lt;&gt;"manual",$M624&lt;&gt;1)),
IF(Import.TipoArredondamento&lt;&gt;"TransfereGOV",
ROUND(OFFSET($P624,0,AF$13),15-13*ORÇAMENTO!$AF$7)/$H624*OFFSET(ORÇAMENTO!$X$15,ROW(AF624)-ROW(AF$15),0),
ROUND(ROUND(OFFSET($P624,0,AF$13),15-13*ORÇAMENTO!$AF$7)*OFFSET(ORÇAMENTO!$W$15,ROW(AF624)-ROW(AF$15),0),15-13*ORÇAMENTO!$AF$11)),0)</f>
        <v>0</v>
      </c>
      <c r="AG624" s="545">
        <f ca="1">IF(AND($D624="Serviço",AG$12&lt;&gt;0,$H624&gt;0,OR(AUTOEVENTO&lt;&gt;"manual",$M624&lt;&gt;1)),
IF(Import.TipoArredondamento&lt;&gt;"TransfereGOV",
ROUND(OFFSET($P624,0,AG$13),15-13*ORÇAMENTO!$AF$7)/$H624*OFFSET(ORÇAMENTO!$X$15,ROW(AG624)-ROW(AG$15),0),
ROUND(ROUND(OFFSET($P624,0,AG$13),15-13*ORÇAMENTO!$AF$7)*OFFSET(ORÇAMENTO!$W$15,ROW(AG624)-ROW(AG$15),0),15-13*ORÇAMENTO!$AF$11)),0)</f>
        <v>0</v>
      </c>
      <c r="AH624" s="545">
        <f ca="1">IF(AND($D624="Serviço",AH$12&lt;&gt;0,$H624&gt;0,OR(AUTOEVENTO&lt;&gt;"manual",$M624&lt;&gt;1)),
IF(Import.TipoArredondamento&lt;&gt;"TransfereGOV",
ROUND(OFFSET($P624,0,AH$13),15-13*ORÇAMENTO!$AF$7)/$H624*OFFSET(ORÇAMENTO!$X$15,ROW(AH624)-ROW(AH$15),0),
ROUND(ROUND(OFFSET($P624,0,AH$13),15-13*ORÇAMENTO!$AF$7)*OFFSET(ORÇAMENTO!$W$15,ROW(AH624)-ROW(AH$15),0),15-13*ORÇAMENTO!$AF$11)),0)</f>
        <v>0</v>
      </c>
      <c r="AI624" s="545">
        <f ca="1">IF(AND($D624="Serviço",AI$12&lt;&gt;0,$H624&gt;0,OR(AUTOEVENTO&lt;&gt;"manual",$M624&lt;&gt;1)),
IF(Import.TipoArredondamento&lt;&gt;"TransfereGOV",
ROUND(OFFSET($P624,0,AI$13),15-13*ORÇAMENTO!$AF$7)/$H624*OFFSET(ORÇAMENTO!$X$15,ROW(AI624)-ROW(AI$15),0),
ROUND(ROUND(OFFSET($P624,0,AI$13),15-13*ORÇAMENTO!$AF$7)*OFFSET(ORÇAMENTO!$W$15,ROW(AI624)-ROW(AI$15),0),15-13*ORÇAMENTO!$AF$11)),0)</f>
        <v>0</v>
      </c>
      <c r="AJ624" s="545">
        <f ca="1">IF(AND($D624="Serviço",AJ$12&lt;&gt;0,$H624&gt;0,OR(AUTOEVENTO&lt;&gt;"manual",$M624&lt;&gt;1)),
IF(Import.TipoArredondamento&lt;&gt;"TransfereGOV",
ROUND(OFFSET($P624,0,AJ$13),15-13*ORÇAMENTO!$AF$7)/$H624*OFFSET(ORÇAMENTO!$X$15,ROW(AJ624)-ROW(AJ$15),0),
ROUND(ROUND(OFFSET($P624,0,AJ$13),15-13*ORÇAMENTO!$AF$7)*OFFSET(ORÇAMENTO!$W$15,ROW(AJ624)-ROW(AJ$15),0),15-13*ORÇAMENTO!$AF$11)),0)</f>
        <v>0</v>
      </c>
      <c r="AK624" s="546">
        <f ca="1">IF(AND($D624="Serviço",AK$12&lt;&gt;0,$H624&gt;0,OR(AUTOEVENTO&lt;&gt;"manual",$M624&lt;&gt;1)),
IF(Import.TipoArredondamento&lt;&gt;"TransfereGOV",
ROUND(OFFSET($P624,0,AK$13),15-13*ORÇAMENTO!$AF$7)/$H624*OFFSET(ORÇAMENTO!$X$15,ROW(AK624)-ROW(AK$15),0),
ROUND(ROUND(OFFSET($P624,0,AK$13),15-13*ORÇAMENTO!$AF$7)*OFFSET(ORÇAMENTO!$W$15,ROW(AK624)-ROW(AK$15),0),15-13*ORÇAMENTO!$AF$11)),0)</f>
        <v>0</v>
      </c>
      <c r="AM624" s="181">
        <f ca="1">IF($D624&lt;&gt;"Serviço",0,IF(AND(AUTOEVENTO="Manual",$M624=1),0,IF(OFFSET(CRONOPLE!$F$14,$M624,AM$13)="",10^12,OFFSET(CRONOPLE!$F$14,$M624,AM$13))))</f>
        <v>1000000000000</v>
      </c>
      <c r="AN624" s="181">
        <f ca="1">IF($D624&lt;&gt;"Serviço",0,IF(AND(AUTOEVENTO="Manual",$M624=1),0,IF(OFFSET(CRONOPLE!$F$14,$M624,AN$13)="",10^12,OFFSET(CRONOPLE!$F$14,$M624,AN$13))))</f>
        <v>1000000000000</v>
      </c>
      <c r="AO624" s="181">
        <f ca="1">IF($D624&lt;&gt;"Serviço",0,IF(AND(AUTOEVENTO="Manual",$M624=1),0,IF(OFFSET(CRONOPLE!$F$14,$M624,AO$13)="",10^12,OFFSET(CRONOPLE!$F$14,$M624,AO$13))))</f>
        <v>1000000000000</v>
      </c>
      <c r="AP624" s="181">
        <f ca="1">IF($D624&lt;&gt;"Serviço",0,IF(AND(AUTOEVENTO="Manual",$M624=1),0,IF(OFFSET(CRONOPLE!$F$14,$M624,AP$13)="",10^12,OFFSET(CRONOPLE!$F$14,$M624,AP$13))))</f>
        <v>1000000000000</v>
      </c>
      <c r="AQ624" s="181">
        <f ca="1">IF($D624&lt;&gt;"Serviço",0,IF(AND(AUTOEVENTO="Manual",$M624=1),0,IF(OFFSET(CRONOPLE!$F$14,$M624,AQ$13)="",10^12,OFFSET(CRONOPLE!$F$14,$M624,AQ$13))))</f>
        <v>1000000000000</v>
      </c>
      <c r="AR624" s="181">
        <f ca="1">IF($D624&lt;&gt;"Serviço",0,IF(AND(AUTOEVENTO="Manual",$M624=1),0,IF(OFFSET(CRONOPLE!$F$14,$M624,AR$13)="",10^12,OFFSET(CRONOPLE!$F$14,$M624,AR$13))))</f>
        <v>1000000000000</v>
      </c>
      <c r="AS624" s="181">
        <f ca="1">IF($D624&lt;&gt;"Serviço",0,IF(AND(AUTOEVENTO="Manual",$M624=1),0,IF(OFFSET(CRONOPLE!$F$14,$M624,AS$13)="",10^12,OFFSET(CRONOPLE!$F$14,$M624,AS$13))))</f>
        <v>1000000000000</v>
      </c>
      <c r="AT624" s="181">
        <f ca="1">IF($D624&lt;&gt;"Serviço",0,IF(AND(AUTOEVENTO="Manual",$M624=1),0,IF(OFFSET(CRONOPLE!$F$14,$M624,AT$13)="",10^12,OFFSET(CRONOPLE!$F$14,$M624,AT$13))))</f>
        <v>1000000000000</v>
      </c>
      <c r="AU624" s="181">
        <f ca="1">IF($D624&lt;&gt;"Serviço",0,IF(AND(AUTOEVENTO="Manual",$M624=1),0,IF(OFFSET(CRONOPLE!$F$14,$M624,AU$13)="",10^12,OFFSET(CRONOPLE!$F$14,$M624,AU$13))))</f>
        <v>1000000000000</v>
      </c>
      <c r="AV624" s="181">
        <f ca="1">IF($D624&lt;&gt;"Serviço",0,IF(AND(AUTOEVENTO="Manual",$M624=1),0,IF(OFFSET(CRONOPLE!$F$14,$M624,AV$13)="",10^12,OFFSET(CRONOPLE!$F$14,$M624,AV$13))))</f>
        <v>1000000000000</v>
      </c>
      <c r="AX624" s="182">
        <f ca="1">IF($D624&lt;&gt;"Serviço",0,IF(OR(AND(AUTOEVENTO="Manual",$M624=1),$M624&gt;(ROW(PLE.lastrow)-ROW(PLE.firstrow))),0,IF(OFFSET(PLE!$G$14,$M624,AX$13)="",10^12,OFFSET(PLE!$G$14,$M624,AX$13))))</f>
        <v>1000000000000</v>
      </c>
      <c r="AY624" s="182">
        <f ca="1">IF($D624&lt;&gt;"Serviço",0,IF(OR(AND(AUTOEVENTO="Manual",$M624=1),$M624&gt;(ROW(PLE.lastrow)-ROW(PLE.firstrow))),0,IF(OFFSET(PLE!$G$14,$M624,AY$13)="",10^12,OFFSET(PLE!$G$14,$M624,AY$13))))</f>
        <v>1000000000000</v>
      </c>
      <c r="AZ624" s="182">
        <f ca="1">IF($D624&lt;&gt;"Serviço",0,IF(OR(AND(AUTOEVENTO="Manual",$M624=1),$M624&gt;(ROW(PLE.lastrow)-ROW(PLE.firstrow))),0,IF(OFFSET(PLE!$G$14,$M624,AZ$13)="",10^12,OFFSET(PLE!$G$14,$M624,AZ$13))))</f>
        <v>1000000000000</v>
      </c>
      <c r="BA624" s="182">
        <f ca="1">IF($D624&lt;&gt;"Serviço",0,IF(OR(AND(AUTOEVENTO="Manual",$M624=1),$M624&gt;(ROW(PLE.lastrow)-ROW(PLE.firstrow))),0,IF(OFFSET(PLE!$G$14,$M624,BA$13)="",10^12,OFFSET(PLE!$G$14,$M624,BA$13))))</f>
        <v>1000000000000</v>
      </c>
      <c r="BB624" s="182">
        <f ca="1">IF($D624&lt;&gt;"Serviço",0,IF(OR(AND(AUTOEVENTO="Manual",$M624=1),$M624&gt;(ROW(PLE.lastrow)-ROW(PLE.firstrow))),0,IF(OFFSET(PLE!$G$14,$M624,BB$13)="",10^12,OFFSET(PLE!$G$14,$M624,BB$13))))</f>
        <v>1000000000000</v>
      </c>
      <c r="BC624" s="182">
        <f ca="1">IF($D624&lt;&gt;"Serviço",0,IF(OR(AND(AUTOEVENTO="Manual",$M624=1),$M624&gt;(ROW(PLE.lastrow)-ROW(PLE.firstrow))),0,IF(OFFSET(PLE!$G$14,$M624,BC$13)="",10^12,OFFSET(PLE!$G$14,$M624,BC$13))))</f>
        <v>1000000000000</v>
      </c>
      <c r="BD624" s="182">
        <f ca="1">IF($D624&lt;&gt;"Serviço",0,IF(OR(AND(AUTOEVENTO="Manual",$M624=1),$M624&gt;(ROW(PLE.lastrow)-ROW(PLE.firstrow))),0,IF(OFFSET(PLE!$G$14,$M624,BD$13)="",10^12,OFFSET(PLE!$G$14,$M624,BD$13))))</f>
        <v>1000000000000</v>
      </c>
      <c r="BE624" s="182">
        <f ca="1">IF($D624&lt;&gt;"Serviço",0,IF(OR(AND(AUTOEVENTO="Manual",$M624=1),$M624&gt;(ROW(PLE.lastrow)-ROW(PLE.firstrow))),0,IF(OFFSET(PLE!$G$14,$M624,BE$13)="",10^12,OFFSET(PLE!$G$14,$M624,BE$13))))</f>
        <v>1000000000000</v>
      </c>
      <c r="BF624" s="182">
        <f ca="1">IF($D624&lt;&gt;"Serviço",0,IF(OR(AND(AUTOEVENTO="Manual",$M624=1),$M624&gt;(ROW(PLE.lastrow)-ROW(PLE.firstrow))),0,IF(OFFSET(PLE!$G$14,$M624,BF$13)="",10^12,OFFSET(PLE!$G$14,$M624,BF$13))))</f>
        <v>1000000000000</v>
      </c>
      <c r="BG624" s="182">
        <f ca="1">IF($D624&lt;&gt;"Serviço",0,IF(OR(AND(AUTOEVENTO="Manual",$M624=1),$M624&gt;(ROW(PLE.lastrow)-ROW(PLE.firstrow))),0,IF(OFFSET(PLE!$G$14,$M624,BG$13)="",10^12,OFFSET(PLE!$G$14,$M624,BG$13))))</f>
        <v>1000000000000</v>
      </c>
    </row>
    <row r="625" spans="1:59" ht="38.25" x14ac:dyDescent="0.2">
      <c r="A625" s="7" t="str">
        <f t="shared" ca="1" si="16"/>
        <v>593</v>
      </c>
      <c r="B625" s="7" t="str">
        <f ca="1">OFFSET(ORÇAMENTO!C$15,ROW(B625)-ROW(B$15),0)</f>
        <v>S</v>
      </c>
      <c r="C625" s="7" t="str">
        <f ca="1">OFFSET(ORÇAMENTO!L$15,ROW(C625)-ROW(C$15),0)</f>
        <v/>
      </c>
      <c r="D625" s="118" t="str">
        <f ca="1">OFFSET(ORÇAMENTO!N$15,ROW(D625)-ROW(D$15),0)</f>
        <v>Serviço</v>
      </c>
      <c r="E625" s="119" t="str">
        <f ca="1">OFFSET(ORÇAMENTO!O$15,ROW(E625)-ROW(E$15),0)</f>
        <v>-</v>
      </c>
      <c r="F625" s="172" t="str">
        <f ca="1">OFFSET(ORÇAMENTO!R$15,ROW(F625)-ROW(F$15),0)</f>
        <v>(abra o arquivo 'Referência 02-2025.xlsm)</v>
      </c>
      <c r="G625" s="173" t="str">
        <f ca="1">IF($D625&lt;&gt;"Serviço","",OFFSET(ORÇAMENTO!S$15,ROW(G625)-ROW(G$15),0))</f>
        <v>-</v>
      </c>
      <c r="H625" s="124">
        <f ca="1">IF($D625&lt;&gt;"Serviço",0,IF(ACOMPANHAMENTO="BM",ROUND(OFFSET(ORÇAMENTO!AJ$15,ROW(H625)-ROW(H$15),0),15-13*ORÇAMENTO!$AF$7),SUMPRODUCT(($Q$12:$AA$12&lt;&gt;"")*ROUND($Q625:$AA625,15-13*ORÇAMENTO!$AF$7))))</f>
        <v>65</v>
      </c>
      <c r="I625" s="561" t="s">
        <v>890</v>
      </c>
      <c r="K625" s="174"/>
      <c r="L625" s="175" t="s">
        <v>255</v>
      </c>
      <c r="M625" s="176">
        <f ca="1">IF($D625&lt;&gt;"Serviço","",IF(AUTOEVENTO="manual",$A625,IF(ISERROR(MATCH($A625,$A$15:OFFSET($A625,-1,0),0)),MAX($M$15:OFFSET(M625,-1,0))+1,INDEX($M$15:OFFSET(M625,-1,0),MATCH($A625,$A$15:OFFSET($A625,-1,0),0)))))</f>
        <v>19</v>
      </c>
      <c r="N625" s="177" t="str">
        <f ca="1">IF($D625&lt;&gt;"Serviço","",IF(AUTOEVENTO="Manual",IF($A625=0,"&lt;-- defina o número do agrupador",OFFSET(EVENTOS!$D$14,$A625,0)),OFFSET($F$15,$A625,0)))</f>
        <v>INSTALAÇÕES DE CABEAMENTO ESTRUTURADO</v>
      </c>
      <c r="O625" s="178"/>
      <c r="Q625" s="178"/>
      <c r="R625" s="179"/>
      <c r="S625" s="179"/>
      <c r="T625" s="179"/>
      <c r="U625" s="179"/>
      <c r="V625" s="179"/>
      <c r="W625" s="179"/>
      <c r="X625" s="179"/>
      <c r="Y625" s="179"/>
      <c r="Z625" s="180"/>
      <c r="AB625" s="544">
        <f ca="1">IF(AND($D625="Serviço",AB$12&lt;&gt;0,$H625&gt;0,OR(AUTOEVENTO&lt;&gt;"manual",$M625&lt;&gt;1)),
IF(Import.TipoArredondamento&lt;&gt;"TransfereGOV",
ROUND(OFFSET($P625,0,AB$13),15-13*ORÇAMENTO!$AF$7)/$H625*OFFSET(ORÇAMENTO!$X$15,ROW(AB625)-ROW(AB$15),0),
ROUND(ROUND(OFFSET($P625,0,AB$13),15-13*ORÇAMENTO!$AF$7)*OFFSET(ORÇAMENTO!$W$15,ROW(AB625)-ROW(AB$15),0),15-13*ORÇAMENTO!$AF$11)),0)</f>
        <v>0</v>
      </c>
      <c r="AC625" s="545">
        <f ca="1">IF(AND($D625="Serviço",AC$12&lt;&gt;0,$H625&gt;0,OR(AUTOEVENTO&lt;&gt;"manual",$M625&lt;&gt;1)),
IF(Import.TipoArredondamento&lt;&gt;"TransfereGOV",
ROUND(OFFSET($P625,0,AC$13),15-13*ORÇAMENTO!$AF$7)/$H625*OFFSET(ORÇAMENTO!$X$15,ROW(AC625)-ROW(AC$15),0),
ROUND(ROUND(OFFSET($P625,0,AC$13),15-13*ORÇAMENTO!$AF$7)*OFFSET(ORÇAMENTO!$W$15,ROW(AC625)-ROW(AC$15),0),15-13*ORÇAMENTO!$AF$11)),0)</f>
        <v>0</v>
      </c>
      <c r="AD625" s="545">
        <f ca="1">IF(AND($D625="Serviço",AD$12&lt;&gt;0,$H625&gt;0,OR(AUTOEVENTO&lt;&gt;"manual",$M625&lt;&gt;1)),
IF(Import.TipoArredondamento&lt;&gt;"TransfereGOV",
ROUND(OFFSET($P625,0,AD$13),15-13*ORÇAMENTO!$AF$7)/$H625*OFFSET(ORÇAMENTO!$X$15,ROW(AD625)-ROW(AD$15),0),
ROUND(ROUND(OFFSET($P625,0,AD$13),15-13*ORÇAMENTO!$AF$7)*OFFSET(ORÇAMENTO!$W$15,ROW(AD625)-ROW(AD$15),0),15-13*ORÇAMENTO!$AF$11)),0)</f>
        <v>0</v>
      </c>
      <c r="AE625" s="545">
        <f ca="1">IF(AND($D625="Serviço",AE$12&lt;&gt;0,$H625&gt;0,OR(AUTOEVENTO&lt;&gt;"manual",$M625&lt;&gt;1)),
IF(Import.TipoArredondamento&lt;&gt;"TransfereGOV",
ROUND(OFFSET($P625,0,AE$13),15-13*ORÇAMENTO!$AF$7)/$H625*OFFSET(ORÇAMENTO!$X$15,ROW(AE625)-ROW(AE$15),0),
ROUND(ROUND(OFFSET($P625,0,AE$13),15-13*ORÇAMENTO!$AF$7)*OFFSET(ORÇAMENTO!$W$15,ROW(AE625)-ROW(AE$15),0),15-13*ORÇAMENTO!$AF$11)),0)</f>
        <v>0</v>
      </c>
      <c r="AF625" s="545">
        <f ca="1">IF(AND($D625="Serviço",AF$12&lt;&gt;0,$H625&gt;0,OR(AUTOEVENTO&lt;&gt;"manual",$M625&lt;&gt;1)),
IF(Import.TipoArredondamento&lt;&gt;"TransfereGOV",
ROUND(OFFSET($P625,0,AF$13),15-13*ORÇAMENTO!$AF$7)/$H625*OFFSET(ORÇAMENTO!$X$15,ROW(AF625)-ROW(AF$15),0),
ROUND(ROUND(OFFSET($P625,0,AF$13),15-13*ORÇAMENTO!$AF$7)*OFFSET(ORÇAMENTO!$W$15,ROW(AF625)-ROW(AF$15),0),15-13*ORÇAMENTO!$AF$11)),0)</f>
        <v>0</v>
      </c>
      <c r="AG625" s="545">
        <f ca="1">IF(AND($D625="Serviço",AG$12&lt;&gt;0,$H625&gt;0,OR(AUTOEVENTO&lt;&gt;"manual",$M625&lt;&gt;1)),
IF(Import.TipoArredondamento&lt;&gt;"TransfereGOV",
ROUND(OFFSET($P625,0,AG$13),15-13*ORÇAMENTO!$AF$7)/$H625*OFFSET(ORÇAMENTO!$X$15,ROW(AG625)-ROW(AG$15),0),
ROUND(ROUND(OFFSET($P625,0,AG$13),15-13*ORÇAMENTO!$AF$7)*OFFSET(ORÇAMENTO!$W$15,ROW(AG625)-ROW(AG$15),0),15-13*ORÇAMENTO!$AF$11)),0)</f>
        <v>0</v>
      </c>
      <c r="AH625" s="545">
        <f ca="1">IF(AND($D625="Serviço",AH$12&lt;&gt;0,$H625&gt;0,OR(AUTOEVENTO&lt;&gt;"manual",$M625&lt;&gt;1)),
IF(Import.TipoArredondamento&lt;&gt;"TransfereGOV",
ROUND(OFFSET($P625,0,AH$13),15-13*ORÇAMENTO!$AF$7)/$H625*OFFSET(ORÇAMENTO!$X$15,ROW(AH625)-ROW(AH$15),0),
ROUND(ROUND(OFFSET($P625,0,AH$13),15-13*ORÇAMENTO!$AF$7)*OFFSET(ORÇAMENTO!$W$15,ROW(AH625)-ROW(AH$15),0),15-13*ORÇAMENTO!$AF$11)),0)</f>
        <v>0</v>
      </c>
      <c r="AI625" s="545">
        <f ca="1">IF(AND($D625="Serviço",AI$12&lt;&gt;0,$H625&gt;0,OR(AUTOEVENTO&lt;&gt;"manual",$M625&lt;&gt;1)),
IF(Import.TipoArredondamento&lt;&gt;"TransfereGOV",
ROUND(OFFSET($P625,0,AI$13),15-13*ORÇAMENTO!$AF$7)/$H625*OFFSET(ORÇAMENTO!$X$15,ROW(AI625)-ROW(AI$15),0),
ROUND(ROUND(OFFSET($P625,0,AI$13),15-13*ORÇAMENTO!$AF$7)*OFFSET(ORÇAMENTO!$W$15,ROW(AI625)-ROW(AI$15),0),15-13*ORÇAMENTO!$AF$11)),0)</f>
        <v>0</v>
      </c>
      <c r="AJ625" s="545">
        <f ca="1">IF(AND($D625="Serviço",AJ$12&lt;&gt;0,$H625&gt;0,OR(AUTOEVENTO&lt;&gt;"manual",$M625&lt;&gt;1)),
IF(Import.TipoArredondamento&lt;&gt;"TransfereGOV",
ROUND(OFFSET($P625,0,AJ$13),15-13*ORÇAMENTO!$AF$7)/$H625*OFFSET(ORÇAMENTO!$X$15,ROW(AJ625)-ROW(AJ$15),0),
ROUND(ROUND(OFFSET($P625,0,AJ$13),15-13*ORÇAMENTO!$AF$7)*OFFSET(ORÇAMENTO!$W$15,ROW(AJ625)-ROW(AJ$15),0),15-13*ORÇAMENTO!$AF$11)),0)</f>
        <v>0</v>
      </c>
      <c r="AK625" s="546">
        <f ca="1">IF(AND($D625="Serviço",AK$12&lt;&gt;0,$H625&gt;0,OR(AUTOEVENTO&lt;&gt;"manual",$M625&lt;&gt;1)),
IF(Import.TipoArredondamento&lt;&gt;"TransfereGOV",
ROUND(OFFSET($P625,0,AK$13),15-13*ORÇAMENTO!$AF$7)/$H625*OFFSET(ORÇAMENTO!$X$15,ROW(AK625)-ROW(AK$15),0),
ROUND(ROUND(OFFSET($P625,0,AK$13),15-13*ORÇAMENTO!$AF$7)*OFFSET(ORÇAMENTO!$W$15,ROW(AK625)-ROW(AK$15),0),15-13*ORÇAMENTO!$AF$11)),0)</f>
        <v>0</v>
      </c>
      <c r="AM625" s="181">
        <f ca="1">IF($D625&lt;&gt;"Serviço",0,IF(AND(AUTOEVENTO="Manual",$M625=1),0,IF(OFFSET(CRONOPLE!$F$14,$M625,AM$13)="",10^12,OFFSET(CRONOPLE!$F$14,$M625,AM$13))))</f>
        <v>1000000000000</v>
      </c>
      <c r="AN625" s="181">
        <f ca="1">IF($D625&lt;&gt;"Serviço",0,IF(AND(AUTOEVENTO="Manual",$M625=1),0,IF(OFFSET(CRONOPLE!$F$14,$M625,AN$13)="",10^12,OFFSET(CRONOPLE!$F$14,$M625,AN$13))))</f>
        <v>1000000000000</v>
      </c>
      <c r="AO625" s="181">
        <f ca="1">IF($D625&lt;&gt;"Serviço",0,IF(AND(AUTOEVENTO="Manual",$M625=1),0,IF(OFFSET(CRONOPLE!$F$14,$M625,AO$13)="",10^12,OFFSET(CRONOPLE!$F$14,$M625,AO$13))))</f>
        <v>1000000000000</v>
      </c>
      <c r="AP625" s="181">
        <f ca="1">IF($D625&lt;&gt;"Serviço",0,IF(AND(AUTOEVENTO="Manual",$M625=1),0,IF(OFFSET(CRONOPLE!$F$14,$M625,AP$13)="",10^12,OFFSET(CRONOPLE!$F$14,$M625,AP$13))))</f>
        <v>1000000000000</v>
      </c>
      <c r="AQ625" s="181">
        <f ca="1">IF($D625&lt;&gt;"Serviço",0,IF(AND(AUTOEVENTO="Manual",$M625=1),0,IF(OFFSET(CRONOPLE!$F$14,$M625,AQ$13)="",10^12,OFFSET(CRONOPLE!$F$14,$M625,AQ$13))))</f>
        <v>1000000000000</v>
      </c>
      <c r="AR625" s="181">
        <f ca="1">IF($D625&lt;&gt;"Serviço",0,IF(AND(AUTOEVENTO="Manual",$M625=1),0,IF(OFFSET(CRONOPLE!$F$14,$M625,AR$13)="",10^12,OFFSET(CRONOPLE!$F$14,$M625,AR$13))))</f>
        <v>1000000000000</v>
      </c>
      <c r="AS625" s="181">
        <f ca="1">IF($D625&lt;&gt;"Serviço",0,IF(AND(AUTOEVENTO="Manual",$M625=1),0,IF(OFFSET(CRONOPLE!$F$14,$M625,AS$13)="",10^12,OFFSET(CRONOPLE!$F$14,$M625,AS$13))))</f>
        <v>1000000000000</v>
      </c>
      <c r="AT625" s="181">
        <f ca="1">IF($D625&lt;&gt;"Serviço",0,IF(AND(AUTOEVENTO="Manual",$M625=1),0,IF(OFFSET(CRONOPLE!$F$14,$M625,AT$13)="",10^12,OFFSET(CRONOPLE!$F$14,$M625,AT$13))))</f>
        <v>1000000000000</v>
      </c>
      <c r="AU625" s="181">
        <f ca="1">IF($D625&lt;&gt;"Serviço",0,IF(AND(AUTOEVENTO="Manual",$M625=1),0,IF(OFFSET(CRONOPLE!$F$14,$M625,AU$13)="",10^12,OFFSET(CRONOPLE!$F$14,$M625,AU$13))))</f>
        <v>1000000000000</v>
      </c>
      <c r="AV625" s="181">
        <f ca="1">IF($D625&lt;&gt;"Serviço",0,IF(AND(AUTOEVENTO="Manual",$M625=1),0,IF(OFFSET(CRONOPLE!$F$14,$M625,AV$13)="",10^12,OFFSET(CRONOPLE!$F$14,$M625,AV$13))))</f>
        <v>1000000000000</v>
      </c>
      <c r="AX625" s="182">
        <f ca="1">IF($D625&lt;&gt;"Serviço",0,IF(OR(AND(AUTOEVENTO="Manual",$M625=1),$M625&gt;(ROW(PLE.lastrow)-ROW(PLE.firstrow))),0,IF(OFFSET(PLE!$G$14,$M625,AX$13)="",10^12,OFFSET(PLE!$G$14,$M625,AX$13))))</f>
        <v>1000000000000</v>
      </c>
      <c r="AY625" s="182">
        <f ca="1">IF($D625&lt;&gt;"Serviço",0,IF(OR(AND(AUTOEVENTO="Manual",$M625=1),$M625&gt;(ROW(PLE.lastrow)-ROW(PLE.firstrow))),0,IF(OFFSET(PLE!$G$14,$M625,AY$13)="",10^12,OFFSET(PLE!$G$14,$M625,AY$13))))</f>
        <v>1000000000000</v>
      </c>
      <c r="AZ625" s="182">
        <f ca="1">IF($D625&lt;&gt;"Serviço",0,IF(OR(AND(AUTOEVENTO="Manual",$M625=1),$M625&gt;(ROW(PLE.lastrow)-ROW(PLE.firstrow))),0,IF(OFFSET(PLE!$G$14,$M625,AZ$13)="",10^12,OFFSET(PLE!$G$14,$M625,AZ$13))))</f>
        <v>1000000000000</v>
      </c>
      <c r="BA625" s="182">
        <f ca="1">IF($D625&lt;&gt;"Serviço",0,IF(OR(AND(AUTOEVENTO="Manual",$M625=1),$M625&gt;(ROW(PLE.lastrow)-ROW(PLE.firstrow))),0,IF(OFFSET(PLE!$G$14,$M625,BA$13)="",10^12,OFFSET(PLE!$G$14,$M625,BA$13))))</f>
        <v>1000000000000</v>
      </c>
      <c r="BB625" s="182">
        <f ca="1">IF($D625&lt;&gt;"Serviço",0,IF(OR(AND(AUTOEVENTO="Manual",$M625=1),$M625&gt;(ROW(PLE.lastrow)-ROW(PLE.firstrow))),0,IF(OFFSET(PLE!$G$14,$M625,BB$13)="",10^12,OFFSET(PLE!$G$14,$M625,BB$13))))</f>
        <v>1000000000000</v>
      </c>
      <c r="BC625" s="182">
        <f ca="1">IF($D625&lt;&gt;"Serviço",0,IF(OR(AND(AUTOEVENTO="Manual",$M625=1),$M625&gt;(ROW(PLE.lastrow)-ROW(PLE.firstrow))),0,IF(OFFSET(PLE!$G$14,$M625,BC$13)="",10^12,OFFSET(PLE!$G$14,$M625,BC$13))))</f>
        <v>1000000000000</v>
      </c>
      <c r="BD625" s="182">
        <f ca="1">IF($D625&lt;&gt;"Serviço",0,IF(OR(AND(AUTOEVENTO="Manual",$M625=1),$M625&gt;(ROW(PLE.lastrow)-ROW(PLE.firstrow))),0,IF(OFFSET(PLE!$G$14,$M625,BD$13)="",10^12,OFFSET(PLE!$G$14,$M625,BD$13))))</f>
        <v>1000000000000</v>
      </c>
      <c r="BE625" s="182">
        <f ca="1">IF($D625&lt;&gt;"Serviço",0,IF(OR(AND(AUTOEVENTO="Manual",$M625=1),$M625&gt;(ROW(PLE.lastrow)-ROW(PLE.firstrow))),0,IF(OFFSET(PLE!$G$14,$M625,BE$13)="",10^12,OFFSET(PLE!$G$14,$M625,BE$13))))</f>
        <v>1000000000000</v>
      </c>
      <c r="BF625" s="182">
        <f ca="1">IF($D625&lt;&gt;"Serviço",0,IF(OR(AND(AUTOEVENTO="Manual",$M625=1),$M625&gt;(ROW(PLE.lastrow)-ROW(PLE.firstrow))),0,IF(OFFSET(PLE!$G$14,$M625,BF$13)="",10^12,OFFSET(PLE!$G$14,$M625,BF$13))))</f>
        <v>1000000000000</v>
      </c>
      <c r="BG625" s="182">
        <f ca="1">IF($D625&lt;&gt;"Serviço",0,IF(OR(AND(AUTOEVENTO="Manual",$M625=1),$M625&gt;(ROW(PLE.lastrow)-ROW(PLE.firstrow))),0,IF(OFFSET(PLE!$G$14,$M625,BG$13)="",10^12,OFFSET(PLE!$G$14,$M625,BG$13))))</f>
        <v>1000000000000</v>
      </c>
    </row>
    <row r="626" spans="1:59" ht="12.75" x14ac:dyDescent="0.2">
      <c r="A626" s="7" t="str">
        <f t="shared" ca="1" si="16"/>
        <v>593</v>
      </c>
      <c r="B626" s="7">
        <f ca="1">OFFSET(ORÇAMENTO!C$15,ROW(B626)-ROW(B$15),0)</f>
        <v>3</v>
      </c>
      <c r="C626" s="7" t="str">
        <f ca="1">OFFSET(ORÇAMENTO!L$15,ROW(C626)-ROW(C$15),0)</f>
        <v>F</v>
      </c>
      <c r="D626" s="118" t="str">
        <f ca="1">OFFSET(ORÇAMENTO!N$15,ROW(D626)-ROW(D$15),0)</f>
        <v>Nível 3</v>
      </c>
      <c r="E626" s="119" t="str">
        <f ca="1">OFFSET(ORÇAMENTO!O$15,ROW(E626)-ROW(E$15),0)</f>
        <v>1.18.3.</v>
      </c>
      <c r="F626" s="172" t="str">
        <f ca="1">OFFSET(ORÇAMENTO!R$15,ROW(F626)-ROW(F$15),0)</f>
        <v>CAIXAS E QUADROS</v>
      </c>
      <c r="G626" s="173" t="str">
        <f ca="1">IF($D626&lt;&gt;"Serviço","",OFFSET(ORÇAMENTO!S$15,ROW(G626)-ROW(G$15),0))</f>
        <v/>
      </c>
      <c r="H626" s="124">
        <f ca="1">IF($D626&lt;&gt;"Serviço",0,IF(ACOMPANHAMENTO="BM",ROUND(OFFSET(ORÇAMENTO!AJ$15,ROW(H626)-ROW(H$15),0),15-13*ORÇAMENTO!$AF$7),SUMPRODUCT(($Q$12:$AA$12&lt;&gt;"")*ROUND($Q626:$AA626,15-13*ORÇAMENTO!$AF$7))))</f>
        <v>0</v>
      </c>
      <c r="I626" s="561"/>
      <c r="K626" s="174"/>
      <c r="L626" s="175" t="s">
        <v>255</v>
      </c>
      <c r="M626" s="176" t="str">
        <f ca="1">IF($D626&lt;&gt;"Serviço","",IF(AUTOEVENTO="manual",$A626,IF(ISERROR(MATCH($A626,$A$15:OFFSET($A626,-1,0),0)),MAX($M$15:OFFSET(M626,-1,0))+1,INDEX($M$15:OFFSET(M626,-1,0),MATCH($A626,$A$15:OFFSET($A626,-1,0),0)))))</f>
        <v/>
      </c>
      <c r="N626" s="177" t="str">
        <f ca="1">IF($D626&lt;&gt;"Serviço","",IF(AUTOEVENTO="Manual",IF($A626=0,"&lt;-- defina o número do agrupador",OFFSET(EVENTOS!$D$14,$A626,0)),OFFSET($F$15,$A626,0)))</f>
        <v/>
      </c>
      <c r="O626" s="178"/>
      <c r="Q626" s="178"/>
      <c r="R626" s="179"/>
      <c r="S626" s="179"/>
      <c r="T626" s="179"/>
      <c r="U626" s="179"/>
      <c r="V626" s="179"/>
      <c r="W626" s="179"/>
      <c r="X626" s="179"/>
      <c r="Y626" s="179"/>
      <c r="Z626" s="180"/>
      <c r="AB626" s="544">
        <f ca="1">IF(AND($D626="Serviço",AB$12&lt;&gt;0,$H626&gt;0,OR(AUTOEVENTO&lt;&gt;"manual",$M626&lt;&gt;1)),
IF(Import.TipoArredondamento&lt;&gt;"TransfereGOV",
ROUND(OFFSET($P626,0,AB$13),15-13*ORÇAMENTO!$AF$7)/$H626*OFFSET(ORÇAMENTO!$X$15,ROW(AB626)-ROW(AB$15),0),
ROUND(ROUND(OFFSET($P626,0,AB$13),15-13*ORÇAMENTO!$AF$7)*OFFSET(ORÇAMENTO!$W$15,ROW(AB626)-ROW(AB$15),0),15-13*ORÇAMENTO!$AF$11)),0)</f>
        <v>0</v>
      </c>
      <c r="AC626" s="545">
        <f ca="1">IF(AND($D626="Serviço",AC$12&lt;&gt;0,$H626&gt;0,OR(AUTOEVENTO&lt;&gt;"manual",$M626&lt;&gt;1)),
IF(Import.TipoArredondamento&lt;&gt;"TransfereGOV",
ROUND(OFFSET($P626,0,AC$13),15-13*ORÇAMENTO!$AF$7)/$H626*OFFSET(ORÇAMENTO!$X$15,ROW(AC626)-ROW(AC$15),0),
ROUND(ROUND(OFFSET($P626,0,AC$13),15-13*ORÇAMENTO!$AF$7)*OFFSET(ORÇAMENTO!$W$15,ROW(AC626)-ROW(AC$15),0),15-13*ORÇAMENTO!$AF$11)),0)</f>
        <v>0</v>
      </c>
      <c r="AD626" s="545">
        <f ca="1">IF(AND($D626="Serviço",AD$12&lt;&gt;0,$H626&gt;0,OR(AUTOEVENTO&lt;&gt;"manual",$M626&lt;&gt;1)),
IF(Import.TipoArredondamento&lt;&gt;"TransfereGOV",
ROUND(OFFSET($P626,0,AD$13),15-13*ORÇAMENTO!$AF$7)/$H626*OFFSET(ORÇAMENTO!$X$15,ROW(AD626)-ROW(AD$15),0),
ROUND(ROUND(OFFSET($P626,0,AD$13),15-13*ORÇAMENTO!$AF$7)*OFFSET(ORÇAMENTO!$W$15,ROW(AD626)-ROW(AD$15),0),15-13*ORÇAMENTO!$AF$11)),0)</f>
        <v>0</v>
      </c>
      <c r="AE626" s="545">
        <f ca="1">IF(AND($D626="Serviço",AE$12&lt;&gt;0,$H626&gt;0,OR(AUTOEVENTO&lt;&gt;"manual",$M626&lt;&gt;1)),
IF(Import.TipoArredondamento&lt;&gt;"TransfereGOV",
ROUND(OFFSET($P626,0,AE$13),15-13*ORÇAMENTO!$AF$7)/$H626*OFFSET(ORÇAMENTO!$X$15,ROW(AE626)-ROW(AE$15),0),
ROUND(ROUND(OFFSET($P626,0,AE$13),15-13*ORÇAMENTO!$AF$7)*OFFSET(ORÇAMENTO!$W$15,ROW(AE626)-ROW(AE$15),0),15-13*ORÇAMENTO!$AF$11)),0)</f>
        <v>0</v>
      </c>
      <c r="AF626" s="545">
        <f ca="1">IF(AND($D626="Serviço",AF$12&lt;&gt;0,$H626&gt;0,OR(AUTOEVENTO&lt;&gt;"manual",$M626&lt;&gt;1)),
IF(Import.TipoArredondamento&lt;&gt;"TransfereGOV",
ROUND(OFFSET($P626,0,AF$13),15-13*ORÇAMENTO!$AF$7)/$H626*OFFSET(ORÇAMENTO!$X$15,ROW(AF626)-ROW(AF$15),0),
ROUND(ROUND(OFFSET($P626,0,AF$13),15-13*ORÇAMENTO!$AF$7)*OFFSET(ORÇAMENTO!$W$15,ROW(AF626)-ROW(AF$15),0),15-13*ORÇAMENTO!$AF$11)),0)</f>
        <v>0</v>
      </c>
      <c r="AG626" s="545">
        <f ca="1">IF(AND($D626="Serviço",AG$12&lt;&gt;0,$H626&gt;0,OR(AUTOEVENTO&lt;&gt;"manual",$M626&lt;&gt;1)),
IF(Import.TipoArredondamento&lt;&gt;"TransfereGOV",
ROUND(OFFSET($P626,0,AG$13),15-13*ORÇAMENTO!$AF$7)/$H626*OFFSET(ORÇAMENTO!$X$15,ROW(AG626)-ROW(AG$15),0),
ROUND(ROUND(OFFSET($P626,0,AG$13),15-13*ORÇAMENTO!$AF$7)*OFFSET(ORÇAMENTO!$W$15,ROW(AG626)-ROW(AG$15),0),15-13*ORÇAMENTO!$AF$11)),0)</f>
        <v>0</v>
      </c>
      <c r="AH626" s="545">
        <f ca="1">IF(AND($D626="Serviço",AH$12&lt;&gt;0,$H626&gt;0,OR(AUTOEVENTO&lt;&gt;"manual",$M626&lt;&gt;1)),
IF(Import.TipoArredondamento&lt;&gt;"TransfereGOV",
ROUND(OFFSET($P626,0,AH$13),15-13*ORÇAMENTO!$AF$7)/$H626*OFFSET(ORÇAMENTO!$X$15,ROW(AH626)-ROW(AH$15),0),
ROUND(ROUND(OFFSET($P626,0,AH$13),15-13*ORÇAMENTO!$AF$7)*OFFSET(ORÇAMENTO!$W$15,ROW(AH626)-ROW(AH$15),0),15-13*ORÇAMENTO!$AF$11)),0)</f>
        <v>0</v>
      </c>
      <c r="AI626" s="545">
        <f ca="1">IF(AND($D626="Serviço",AI$12&lt;&gt;0,$H626&gt;0,OR(AUTOEVENTO&lt;&gt;"manual",$M626&lt;&gt;1)),
IF(Import.TipoArredondamento&lt;&gt;"TransfereGOV",
ROUND(OFFSET($P626,0,AI$13),15-13*ORÇAMENTO!$AF$7)/$H626*OFFSET(ORÇAMENTO!$X$15,ROW(AI626)-ROW(AI$15),0),
ROUND(ROUND(OFFSET($P626,0,AI$13),15-13*ORÇAMENTO!$AF$7)*OFFSET(ORÇAMENTO!$W$15,ROW(AI626)-ROW(AI$15),0),15-13*ORÇAMENTO!$AF$11)),0)</f>
        <v>0</v>
      </c>
      <c r="AJ626" s="545">
        <f ca="1">IF(AND($D626="Serviço",AJ$12&lt;&gt;0,$H626&gt;0,OR(AUTOEVENTO&lt;&gt;"manual",$M626&lt;&gt;1)),
IF(Import.TipoArredondamento&lt;&gt;"TransfereGOV",
ROUND(OFFSET($P626,0,AJ$13),15-13*ORÇAMENTO!$AF$7)/$H626*OFFSET(ORÇAMENTO!$X$15,ROW(AJ626)-ROW(AJ$15),0),
ROUND(ROUND(OFFSET($P626,0,AJ$13),15-13*ORÇAMENTO!$AF$7)*OFFSET(ORÇAMENTO!$W$15,ROW(AJ626)-ROW(AJ$15),0),15-13*ORÇAMENTO!$AF$11)),0)</f>
        <v>0</v>
      </c>
      <c r="AK626" s="546">
        <f ca="1">IF(AND($D626="Serviço",AK$12&lt;&gt;0,$H626&gt;0,OR(AUTOEVENTO&lt;&gt;"manual",$M626&lt;&gt;1)),
IF(Import.TipoArredondamento&lt;&gt;"TransfereGOV",
ROUND(OFFSET($P626,0,AK$13),15-13*ORÇAMENTO!$AF$7)/$H626*OFFSET(ORÇAMENTO!$X$15,ROW(AK626)-ROW(AK$15),0),
ROUND(ROUND(OFFSET($P626,0,AK$13),15-13*ORÇAMENTO!$AF$7)*OFFSET(ORÇAMENTO!$W$15,ROW(AK626)-ROW(AK$15),0),15-13*ORÇAMENTO!$AF$11)),0)</f>
        <v>0</v>
      </c>
      <c r="AM626" s="181">
        <f ca="1">IF($D626&lt;&gt;"Serviço",0,IF(AND(AUTOEVENTO="Manual",$M626=1),0,IF(OFFSET(CRONOPLE!$F$14,$M626,AM$13)="",10^12,OFFSET(CRONOPLE!$F$14,$M626,AM$13))))</f>
        <v>0</v>
      </c>
      <c r="AN626" s="181">
        <f ca="1">IF($D626&lt;&gt;"Serviço",0,IF(AND(AUTOEVENTO="Manual",$M626=1),0,IF(OFFSET(CRONOPLE!$F$14,$M626,AN$13)="",10^12,OFFSET(CRONOPLE!$F$14,$M626,AN$13))))</f>
        <v>0</v>
      </c>
      <c r="AO626" s="181">
        <f ca="1">IF($D626&lt;&gt;"Serviço",0,IF(AND(AUTOEVENTO="Manual",$M626=1),0,IF(OFFSET(CRONOPLE!$F$14,$M626,AO$13)="",10^12,OFFSET(CRONOPLE!$F$14,$M626,AO$13))))</f>
        <v>0</v>
      </c>
      <c r="AP626" s="181">
        <f ca="1">IF($D626&lt;&gt;"Serviço",0,IF(AND(AUTOEVENTO="Manual",$M626=1),0,IF(OFFSET(CRONOPLE!$F$14,$M626,AP$13)="",10^12,OFFSET(CRONOPLE!$F$14,$M626,AP$13))))</f>
        <v>0</v>
      </c>
      <c r="AQ626" s="181">
        <f ca="1">IF($D626&lt;&gt;"Serviço",0,IF(AND(AUTOEVENTO="Manual",$M626=1),0,IF(OFFSET(CRONOPLE!$F$14,$M626,AQ$13)="",10^12,OFFSET(CRONOPLE!$F$14,$M626,AQ$13))))</f>
        <v>0</v>
      </c>
      <c r="AR626" s="181">
        <f ca="1">IF($D626&lt;&gt;"Serviço",0,IF(AND(AUTOEVENTO="Manual",$M626=1),0,IF(OFFSET(CRONOPLE!$F$14,$M626,AR$13)="",10^12,OFFSET(CRONOPLE!$F$14,$M626,AR$13))))</f>
        <v>0</v>
      </c>
      <c r="AS626" s="181">
        <f ca="1">IF($D626&lt;&gt;"Serviço",0,IF(AND(AUTOEVENTO="Manual",$M626=1),0,IF(OFFSET(CRONOPLE!$F$14,$M626,AS$13)="",10^12,OFFSET(CRONOPLE!$F$14,$M626,AS$13))))</f>
        <v>0</v>
      </c>
      <c r="AT626" s="181">
        <f ca="1">IF($D626&lt;&gt;"Serviço",0,IF(AND(AUTOEVENTO="Manual",$M626=1),0,IF(OFFSET(CRONOPLE!$F$14,$M626,AT$13)="",10^12,OFFSET(CRONOPLE!$F$14,$M626,AT$13))))</f>
        <v>0</v>
      </c>
      <c r="AU626" s="181">
        <f ca="1">IF($D626&lt;&gt;"Serviço",0,IF(AND(AUTOEVENTO="Manual",$M626=1),0,IF(OFFSET(CRONOPLE!$F$14,$M626,AU$13)="",10^12,OFFSET(CRONOPLE!$F$14,$M626,AU$13))))</f>
        <v>0</v>
      </c>
      <c r="AV626" s="181">
        <f ca="1">IF($D626&lt;&gt;"Serviço",0,IF(AND(AUTOEVENTO="Manual",$M626=1),0,IF(OFFSET(CRONOPLE!$F$14,$M626,AV$13)="",10^12,OFFSET(CRONOPLE!$F$14,$M626,AV$13))))</f>
        <v>0</v>
      </c>
      <c r="AX626" s="182">
        <f ca="1">IF($D626&lt;&gt;"Serviço",0,IF(OR(AND(AUTOEVENTO="Manual",$M626=1),$M626&gt;(ROW(PLE.lastrow)-ROW(PLE.firstrow))),0,IF(OFFSET(PLE!$G$14,$M626,AX$13)="",10^12,OFFSET(PLE!$G$14,$M626,AX$13))))</f>
        <v>0</v>
      </c>
      <c r="AY626" s="182">
        <f ca="1">IF($D626&lt;&gt;"Serviço",0,IF(OR(AND(AUTOEVENTO="Manual",$M626=1),$M626&gt;(ROW(PLE.lastrow)-ROW(PLE.firstrow))),0,IF(OFFSET(PLE!$G$14,$M626,AY$13)="",10^12,OFFSET(PLE!$G$14,$M626,AY$13))))</f>
        <v>0</v>
      </c>
      <c r="AZ626" s="182">
        <f ca="1">IF($D626&lt;&gt;"Serviço",0,IF(OR(AND(AUTOEVENTO="Manual",$M626=1),$M626&gt;(ROW(PLE.lastrow)-ROW(PLE.firstrow))),0,IF(OFFSET(PLE!$G$14,$M626,AZ$13)="",10^12,OFFSET(PLE!$G$14,$M626,AZ$13))))</f>
        <v>0</v>
      </c>
      <c r="BA626" s="182">
        <f ca="1">IF($D626&lt;&gt;"Serviço",0,IF(OR(AND(AUTOEVENTO="Manual",$M626=1),$M626&gt;(ROW(PLE.lastrow)-ROW(PLE.firstrow))),0,IF(OFFSET(PLE!$G$14,$M626,BA$13)="",10^12,OFFSET(PLE!$G$14,$M626,BA$13))))</f>
        <v>0</v>
      </c>
      <c r="BB626" s="182">
        <f ca="1">IF($D626&lt;&gt;"Serviço",0,IF(OR(AND(AUTOEVENTO="Manual",$M626=1),$M626&gt;(ROW(PLE.lastrow)-ROW(PLE.firstrow))),0,IF(OFFSET(PLE!$G$14,$M626,BB$13)="",10^12,OFFSET(PLE!$G$14,$M626,BB$13))))</f>
        <v>0</v>
      </c>
      <c r="BC626" s="182">
        <f ca="1">IF($D626&lt;&gt;"Serviço",0,IF(OR(AND(AUTOEVENTO="Manual",$M626=1),$M626&gt;(ROW(PLE.lastrow)-ROW(PLE.firstrow))),0,IF(OFFSET(PLE!$G$14,$M626,BC$13)="",10^12,OFFSET(PLE!$G$14,$M626,BC$13))))</f>
        <v>0</v>
      </c>
      <c r="BD626" s="182">
        <f ca="1">IF($D626&lt;&gt;"Serviço",0,IF(OR(AND(AUTOEVENTO="Manual",$M626=1),$M626&gt;(ROW(PLE.lastrow)-ROW(PLE.firstrow))),0,IF(OFFSET(PLE!$G$14,$M626,BD$13)="",10^12,OFFSET(PLE!$G$14,$M626,BD$13))))</f>
        <v>0</v>
      </c>
      <c r="BE626" s="182">
        <f ca="1">IF($D626&lt;&gt;"Serviço",0,IF(OR(AND(AUTOEVENTO="Manual",$M626=1),$M626&gt;(ROW(PLE.lastrow)-ROW(PLE.firstrow))),0,IF(OFFSET(PLE!$G$14,$M626,BE$13)="",10^12,OFFSET(PLE!$G$14,$M626,BE$13))))</f>
        <v>0</v>
      </c>
      <c r="BF626" s="182">
        <f ca="1">IF($D626&lt;&gt;"Serviço",0,IF(OR(AND(AUTOEVENTO="Manual",$M626=1),$M626&gt;(ROW(PLE.lastrow)-ROW(PLE.firstrow))),0,IF(OFFSET(PLE!$G$14,$M626,BF$13)="",10^12,OFFSET(PLE!$G$14,$M626,BF$13))))</f>
        <v>0</v>
      </c>
      <c r="BG626" s="182">
        <f ca="1">IF($D626&lt;&gt;"Serviço",0,IF(OR(AND(AUTOEVENTO="Manual",$M626=1),$M626&gt;(ROW(PLE.lastrow)-ROW(PLE.firstrow))),0,IF(OFFSET(PLE!$G$14,$M626,BG$13)="",10^12,OFFSET(PLE!$G$14,$M626,BG$13))))</f>
        <v>0</v>
      </c>
    </row>
    <row r="627" spans="1:59" ht="25.5" x14ac:dyDescent="0.2">
      <c r="A627" s="7" t="str">
        <f t="shared" ca="1" si="16"/>
        <v>593</v>
      </c>
      <c r="B627" s="7" t="str">
        <f ca="1">OFFSET(ORÇAMENTO!C$15,ROW(B627)-ROW(B$15),0)</f>
        <v>S</v>
      </c>
      <c r="C627" s="7" t="str">
        <f ca="1">OFFSET(ORÇAMENTO!L$15,ROW(C627)-ROW(C$15),0)</f>
        <v/>
      </c>
      <c r="D627" s="118" t="str">
        <f ca="1">OFFSET(ORÇAMENTO!N$15,ROW(D627)-ROW(D$15),0)</f>
        <v>Serviço</v>
      </c>
      <c r="E627" s="119" t="str">
        <f ca="1">OFFSET(ORÇAMENTO!O$15,ROW(E627)-ROW(E$15),0)</f>
        <v>-</v>
      </c>
      <c r="F627" s="172" t="str">
        <f ca="1">OFFSET(ORÇAMENTO!R$15,ROW(F627)-ROW(F$15),0)</f>
        <v>(abra o arquivo 'Referência 02-2025.xlsm)</v>
      </c>
      <c r="G627" s="173" t="str">
        <f ca="1">IF($D627&lt;&gt;"Serviço","",OFFSET(ORÇAMENTO!S$15,ROW(G627)-ROW(G$15),0))</f>
        <v>-</v>
      </c>
      <c r="H627" s="124">
        <f ca="1">IF($D627&lt;&gt;"Serviço",0,IF(ACOMPANHAMENTO="BM",ROUND(OFFSET(ORÇAMENTO!AJ$15,ROW(H627)-ROW(H$15),0),15-13*ORÇAMENTO!$AF$7),SUMPRODUCT(($Q$12:$AA$12&lt;&gt;"")*ROUND($Q627:$AA627,15-13*ORÇAMENTO!$AF$7))))</f>
        <v>5</v>
      </c>
      <c r="I627" s="561" t="s">
        <v>890</v>
      </c>
      <c r="K627" s="174"/>
      <c r="L627" s="175" t="s">
        <v>255</v>
      </c>
      <c r="M627" s="176">
        <f ca="1">IF($D627&lt;&gt;"Serviço","",IF(AUTOEVENTO="manual",$A627,IF(ISERROR(MATCH($A627,$A$15:OFFSET($A627,-1,0),0)),MAX($M$15:OFFSET(M627,-1,0))+1,INDEX($M$15:OFFSET(M627,-1,0),MATCH($A627,$A$15:OFFSET($A627,-1,0),0)))))</f>
        <v>19</v>
      </c>
      <c r="N627" s="177" t="str">
        <f ca="1">IF($D627&lt;&gt;"Serviço","",IF(AUTOEVENTO="Manual",IF($A627=0,"&lt;-- defina o número do agrupador",OFFSET(EVENTOS!$D$14,$A627,0)),OFFSET($F$15,$A627,0)))</f>
        <v>INSTALAÇÕES DE CABEAMENTO ESTRUTURADO</v>
      </c>
      <c r="O627" s="178"/>
      <c r="Q627" s="178"/>
      <c r="R627" s="179"/>
      <c r="S627" s="179"/>
      <c r="T627" s="179"/>
      <c r="U627" s="179"/>
      <c r="V627" s="179"/>
      <c r="W627" s="179"/>
      <c r="X627" s="179"/>
      <c r="Y627" s="179"/>
      <c r="Z627" s="180"/>
      <c r="AB627" s="544">
        <f ca="1">IF(AND($D627="Serviço",AB$12&lt;&gt;0,$H627&gt;0,OR(AUTOEVENTO&lt;&gt;"manual",$M627&lt;&gt;1)),
IF(Import.TipoArredondamento&lt;&gt;"TransfereGOV",
ROUND(OFFSET($P627,0,AB$13),15-13*ORÇAMENTO!$AF$7)/$H627*OFFSET(ORÇAMENTO!$X$15,ROW(AB627)-ROW(AB$15),0),
ROUND(ROUND(OFFSET($P627,0,AB$13),15-13*ORÇAMENTO!$AF$7)*OFFSET(ORÇAMENTO!$W$15,ROW(AB627)-ROW(AB$15),0),15-13*ORÇAMENTO!$AF$11)),0)</f>
        <v>0</v>
      </c>
      <c r="AC627" s="545">
        <f ca="1">IF(AND($D627="Serviço",AC$12&lt;&gt;0,$H627&gt;0,OR(AUTOEVENTO&lt;&gt;"manual",$M627&lt;&gt;1)),
IF(Import.TipoArredondamento&lt;&gt;"TransfereGOV",
ROUND(OFFSET($P627,0,AC$13),15-13*ORÇAMENTO!$AF$7)/$H627*OFFSET(ORÇAMENTO!$X$15,ROW(AC627)-ROW(AC$15),0),
ROUND(ROUND(OFFSET($P627,0,AC$13),15-13*ORÇAMENTO!$AF$7)*OFFSET(ORÇAMENTO!$W$15,ROW(AC627)-ROW(AC$15),0),15-13*ORÇAMENTO!$AF$11)),0)</f>
        <v>0</v>
      </c>
      <c r="AD627" s="545">
        <f ca="1">IF(AND($D627="Serviço",AD$12&lt;&gt;0,$H627&gt;0,OR(AUTOEVENTO&lt;&gt;"manual",$M627&lt;&gt;1)),
IF(Import.TipoArredondamento&lt;&gt;"TransfereGOV",
ROUND(OFFSET($P627,0,AD$13),15-13*ORÇAMENTO!$AF$7)/$H627*OFFSET(ORÇAMENTO!$X$15,ROW(AD627)-ROW(AD$15),0),
ROUND(ROUND(OFFSET($P627,0,AD$13),15-13*ORÇAMENTO!$AF$7)*OFFSET(ORÇAMENTO!$W$15,ROW(AD627)-ROW(AD$15),0),15-13*ORÇAMENTO!$AF$11)),0)</f>
        <v>0</v>
      </c>
      <c r="AE627" s="545">
        <f ca="1">IF(AND($D627="Serviço",AE$12&lt;&gt;0,$H627&gt;0,OR(AUTOEVENTO&lt;&gt;"manual",$M627&lt;&gt;1)),
IF(Import.TipoArredondamento&lt;&gt;"TransfereGOV",
ROUND(OFFSET($P627,0,AE$13),15-13*ORÇAMENTO!$AF$7)/$H627*OFFSET(ORÇAMENTO!$X$15,ROW(AE627)-ROW(AE$15),0),
ROUND(ROUND(OFFSET($P627,0,AE$13),15-13*ORÇAMENTO!$AF$7)*OFFSET(ORÇAMENTO!$W$15,ROW(AE627)-ROW(AE$15),0),15-13*ORÇAMENTO!$AF$11)),0)</f>
        <v>0</v>
      </c>
      <c r="AF627" s="545">
        <f ca="1">IF(AND($D627="Serviço",AF$12&lt;&gt;0,$H627&gt;0,OR(AUTOEVENTO&lt;&gt;"manual",$M627&lt;&gt;1)),
IF(Import.TipoArredondamento&lt;&gt;"TransfereGOV",
ROUND(OFFSET($P627,0,AF$13),15-13*ORÇAMENTO!$AF$7)/$H627*OFFSET(ORÇAMENTO!$X$15,ROW(AF627)-ROW(AF$15),0),
ROUND(ROUND(OFFSET($P627,0,AF$13),15-13*ORÇAMENTO!$AF$7)*OFFSET(ORÇAMENTO!$W$15,ROW(AF627)-ROW(AF$15),0),15-13*ORÇAMENTO!$AF$11)),0)</f>
        <v>0</v>
      </c>
      <c r="AG627" s="545">
        <f ca="1">IF(AND($D627="Serviço",AG$12&lt;&gt;0,$H627&gt;0,OR(AUTOEVENTO&lt;&gt;"manual",$M627&lt;&gt;1)),
IF(Import.TipoArredondamento&lt;&gt;"TransfereGOV",
ROUND(OFFSET($P627,0,AG$13),15-13*ORÇAMENTO!$AF$7)/$H627*OFFSET(ORÇAMENTO!$X$15,ROW(AG627)-ROW(AG$15),0),
ROUND(ROUND(OFFSET($P627,0,AG$13),15-13*ORÇAMENTO!$AF$7)*OFFSET(ORÇAMENTO!$W$15,ROW(AG627)-ROW(AG$15),0),15-13*ORÇAMENTO!$AF$11)),0)</f>
        <v>0</v>
      </c>
      <c r="AH627" s="545">
        <f ca="1">IF(AND($D627="Serviço",AH$12&lt;&gt;0,$H627&gt;0,OR(AUTOEVENTO&lt;&gt;"manual",$M627&lt;&gt;1)),
IF(Import.TipoArredondamento&lt;&gt;"TransfereGOV",
ROUND(OFFSET($P627,0,AH$13),15-13*ORÇAMENTO!$AF$7)/$H627*OFFSET(ORÇAMENTO!$X$15,ROW(AH627)-ROW(AH$15),0),
ROUND(ROUND(OFFSET($P627,0,AH$13),15-13*ORÇAMENTO!$AF$7)*OFFSET(ORÇAMENTO!$W$15,ROW(AH627)-ROW(AH$15),0),15-13*ORÇAMENTO!$AF$11)),0)</f>
        <v>0</v>
      </c>
      <c r="AI627" s="545">
        <f ca="1">IF(AND($D627="Serviço",AI$12&lt;&gt;0,$H627&gt;0,OR(AUTOEVENTO&lt;&gt;"manual",$M627&lt;&gt;1)),
IF(Import.TipoArredondamento&lt;&gt;"TransfereGOV",
ROUND(OFFSET($P627,0,AI$13),15-13*ORÇAMENTO!$AF$7)/$H627*OFFSET(ORÇAMENTO!$X$15,ROW(AI627)-ROW(AI$15),0),
ROUND(ROUND(OFFSET($P627,0,AI$13),15-13*ORÇAMENTO!$AF$7)*OFFSET(ORÇAMENTO!$W$15,ROW(AI627)-ROW(AI$15),0),15-13*ORÇAMENTO!$AF$11)),0)</f>
        <v>0</v>
      </c>
      <c r="AJ627" s="545">
        <f ca="1">IF(AND($D627="Serviço",AJ$12&lt;&gt;0,$H627&gt;0,OR(AUTOEVENTO&lt;&gt;"manual",$M627&lt;&gt;1)),
IF(Import.TipoArredondamento&lt;&gt;"TransfereGOV",
ROUND(OFFSET($P627,0,AJ$13),15-13*ORÇAMENTO!$AF$7)/$H627*OFFSET(ORÇAMENTO!$X$15,ROW(AJ627)-ROW(AJ$15),0),
ROUND(ROUND(OFFSET($P627,0,AJ$13),15-13*ORÇAMENTO!$AF$7)*OFFSET(ORÇAMENTO!$W$15,ROW(AJ627)-ROW(AJ$15),0),15-13*ORÇAMENTO!$AF$11)),0)</f>
        <v>0</v>
      </c>
      <c r="AK627" s="546">
        <f ca="1">IF(AND($D627="Serviço",AK$12&lt;&gt;0,$H627&gt;0,OR(AUTOEVENTO&lt;&gt;"manual",$M627&lt;&gt;1)),
IF(Import.TipoArredondamento&lt;&gt;"TransfereGOV",
ROUND(OFFSET($P627,0,AK$13),15-13*ORÇAMENTO!$AF$7)/$H627*OFFSET(ORÇAMENTO!$X$15,ROW(AK627)-ROW(AK$15),0),
ROUND(ROUND(OFFSET($P627,0,AK$13),15-13*ORÇAMENTO!$AF$7)*OFFSET(ORÇAMENTO!$W$15,ROW(AK627)-ROW(AK$15),0),15-13*ORÇAMENTO!$AF$11)),0)</f>
        <v>0</v>
      </c>
      <c r="AM627" s="181">
        <f ca="1">IF($D627&lt;&gt;"Serviço",0,IF(AND(AUTOEVENTO="Manual",$M627=1),0,IF(OFFSET(CRONOPLE!$F$14,$M627,AM$13)="",10^12,OFFSET(CRONOPLE!$F$14,$M627,AM$13))))</f>
        <v>1000000000000</v>
      </c>
      <c r="AN627" s="181">
        <f ca="1">IF($D627&lt;&gt;"Serviço",0,IF(AND(AUTOEVENTO="Manual",$M627=1),0,IF(OFFSET(CRONOPLE!$F$14,$M627,AN$13)="",10^12,OFFSET(CRONOPLE!$F$14,$M627,AN$13))))</f>
        <v>1000000000000</v>
      </c>
      <c r="AO627" s="181">
        <f ca="1">IF($D627&lt;&gt;"Serviço",0,IF(AND(AUTOEVENTO="Manual",$M627=1),0,IF(OFFSET(CRONOPLE!$F$14,$M627,AO$13)="",10^12,OFFSET(CRONOPLE!$F$14,$M627,AO$13))))</f>
        <v>1000000000000</v>
      </c>
      <c r="AP627" s="181">
        <f ca="1">IF($D627&lt;&gt;"Serviço",0,IF(AND(AUTOEVENTO="Manual",$M627=1),0,IF(OFFSET(CRONOPLE!$F$14,$M627,AP$13)="",10^12,OFFSET(CRONOPLE!$F$14,$M627,AP$13))))</f>
        <v>1000000000000</v>
      </c>
      <c r="AQ627" s="181">
        <f ca="1">IF($D627&lt;&gt;"Serviço",0,IF(AND(AUTOEVENTO="Manual",$M627=1),0,IF(OFFSET(CRONOPLE!$F$14,$M627,AQ$13)="",10^12,OFFSET(CRONOPLE!$F$14,$M627,AQ$13))))</f>
        <v>1000000000000</v>
      </c>
      <c r="AR627" s="181">
        <f ca="1">IF($D627&lt;&gt;"Serviço",0,IF(AND(AUTOEVENTO="Manual",$M627=1),0,IF(OFFSET(CRONOPLE!$F$14,$M627,AR$13)="",10^12,OFFSET(CRONOPLE!$F$14,$M627,AR$13))))</f>
        <v>1000000000000</v>
      </c>
      <c r="AS627" s="181">
        <f ca="1">IF($D627&lt;&gt;"Serviço",0,IF(AND(AUTOEVENTO="Manual",$M627=1),0,IF(OFFSET(CRONOPLE!$F$14,$M627,AS$13)="",10^12,OFFSET(CRONOPLE!$F$14,$M627,AS$13))))</f>
        <v>1000000000000</v>
      </c>
      <c r="AT627" s="181">
        <f ca="1">IF($D627&lt;&gt;"Serviço",0,IF(AND(AUTOEVENTO="Manual",$M627=1),0,IF(OFFSET(CRONOPLE!$F$14,$M627,AT$13)="",10^12,OFFSET(CRONOPLE!$F$14,$M627,AT$13))))</f>
        <v>1000000000000</v>
      </c>
      <c r="AU627" s="181">
        <f ca="1">IF($D627&lt;&gt;"Serviço",0,IF(AND(AUTOEVENTO="Manual",$M627=1),0,IF(OFFSET(CRONOPLE!$F$14,$M627,AU$13)="",10^12,OFFSET(CRONOPLE!$F$14,$M627,AU$13))))</f>
        <v>1000000000000</v>
      </c>
      <c r="AV627" s="181">
        <f ca="1">IF($D627&lt;&gt;"Serviço",0,IF(AND(AUTOEVENTO="Manual",$M627=1),0,IF(OFFSET(CRONOPLE!$F$14,$M627,AV$13)="",10^12,OFFSET(CRONOPLE!$F$14,$M627,AV$13))))</f>
        <v>1000000000000</v>
      </c>
      <c r="AX627" s="182">
        <f ca="1">IF($D627&lt;&gt;"Serviço",0,IF(OR(AND(AUTOEVENTO="Manual",$M627=1),$M627&gt;(ROW(PLE.lastrow)-ROW(PLE.firstrow))),0,IF(OFFSET(PLE!$G$14,$M627,AX$13)="",10^12,OFFSET(PLE!$G$14,$M627,AX$13))))</f>
        <v>1000000000000</v>
      </c>
      <c r="AY627" s="182">
        <f ca="1">IF($D627&lt;&gt;"Serviço",0,IF(OR(AND(AUTOEVENTO="Manual",$M627=1),$M627&gt;(ROW(PLE.lastrow)-ROW(PLE.firstrow))),0,IF(OFFSET(PLE!$G$14,$M627,AY$13)="",10^12,OFFSET(PLE!$G$14,$M627,AY$13))))</f>
        <v>1000000000000</v>
      </c>
      <c r="AZ627" s="182">
        <f ca="1">IF($D627&lt;&gt;"Serviço",0,IF(OR(AND(AUTOEVENTO="Manual",$M627=1),$M627&gt;(ROW(PLE.lastrow)-ROW(PLE.firstrow))),0,IF(OFFSET(PLE!$G$14,$M627,AZ$13)="",10^12,OFFSET(PLE!$G$14,$M627,AZ$13))))</f>
        <v>1000000000000</v>
      </c>
      <c r="BA627" s="182">
        <f ca="1">IF($D627&lt;&gt;"Serviço",0,IF(OR(AND(AUTOEVENTO="Manual",$M627=1),$M627&gt;(ROW(PLE.lastrow)-ROW(PLE.firstrow))),0,IF(OFFSET(PLE!$G$14,$M627,BA$13)="",10^12,OFFSET(PLE!$G$14,$M627,BA$13))))</f>
        <v>1000000000000</v>
      </c>
      <c r="BB627" s="182">
        <f ca="1">IF($D627&lt;&gt;"Serviço",0,IF(OR(AND(AUTOEVENTO="Manual",$M627=1),$M627&gt;(ROW(PLE.lastrow)-ROW(PLE.firstrow))),0,IF(OFFSET(PLE!$G$14,$M627,BB$13)="",10^12,OFFSET(PLE!$G$14,$M627,BB$13))))</f>
        <v>1000000000000</v>
      </c>
      <c r="BC627" s="182">
        <f ca="1">IF($D627&lt;&gt;"Serviço",0,IF(OR(AND(AUTOEVENTO="Manual",$M627=1),$M627&gt;(ROW(PLE.lastrow)-ROW(PLE.firstrow))),0,IF(OFFSET(PLE!$G$14,$M627,BC$13)="",10^12,OFFSET(PLE!$G$14,$M627,BC$13))))</f>
        <v>1000000000000</v>
      </c>
      <c r="BD627" s="182">
        <f ca="1">IF($D627&lt;&gt;"Serviço",0,IF(OR(AND(AUTOEVENTO="Manual",$M627=1),$M627&gt;(ROW(PLE.lastrow)-ROW(PLE.firstrow))),0,IF(OFFSET(PLE!$G$14,$M627,BD$13)="",10^12,OFFSET(PLE!$G$14,$M627,BD$13))))</f>
        <v>1000000000000</v>
      </c>
      <c r="BE627" s="182">
        <f ca="1">IF($D627&lt;&gt;"Serviço",0,IF(OR(AND(AUTOEVENTO="Manual",$M627=1),$M627&gt;(ROW(PLE.lastrow)-ROW(PLE.firstrow))),0,IF(OFFSET(PLE!$G$14,$M627,BE$13)="",10^12,OFFSET(PLE!$G$14,$M627,BE$13))))</f>
        <v>1000000000000</v>
      </c>
      <c r="BF627" s="182">
        <f ca="1">IF($D627&lt;&gt;"Serviço",0,IF(OR(AND(AUTOEVENTO="Manual",$M627=1),$M627&gt;(ROW(PLE.lastrow)-ROW(PLE.firstrow))),0,IF(OFFSET(PLE!$G$14,$M627,BF$13)="",10^12,OFFSET(PLE!$G$14,$M627,BF$13))))</f>
        <v>1000000000000</v>
      </c>
      <c r="BG627" s="182">
        <f ca="1">IF($D627&lt;&gt;"Serviço",0,IF(OR(AND(AUTOEVENTO="Manual",$M627=1),$M627&gt;(ROW(PLE.lastrow)-ROW(PLE.firstrow))),0,IF(OFFSET(PLE!$G$14,$M627,BG$13)="",10^12,OFFSET(PLE!$G$14,$M627,BG$13))))</f>
        <v>1000000000000</v>
      </c>
    </row>
    <row r="628" spans="1:59" ht="25.5" x14ac:dyDescent="0.2">
      <c r="A628" s="7" t="str">
        <f t="shared" ca="1" si="16"/>
        <v>593</v>
      </c>
      <c r="B628" s="7" t="str">
        <f ca="1">OFFSET(ORÇAMENTO!C$15,ROW(B628)-ROW(B$15),0)</f>
        <v>S</v>
      </c>
      <c r="C628" s="7" t="str">
        <f ca="1">OFFSET(ORÇAMENTO!L$15,ROW(C628)-ROW(C$15),0)</f>
        <v/>
      </c>
      <c r="D628" s="118" t="str">
        <f ca="1">OFFSET(ORÇAMENTO!N$15,ROW(D628)-ROW(D$15),0)</f>
        <v>Serviço</v>
      </c>
      <c r="E628" s="119" t="str">
        <f ca="1">OFFSET(ORÇAMENTO!O$15,ROW(E628)-ROW(E$15),0)</f>
        <v>-</v>
      </c>
      <c r="F628" s="172" t="str">
        <f ca="1">OFFSET(ORÇAMENTO!R$15,ROW(F628)-ROW(F$15),0)</f>
        <v>(abra o arquivo 'Referência 02-2025.xlsm)</v>
      </c>
      <c r="G628" s="173" t="str">
        <f ca="1">IF($D628&lt;&gt;"Serviço","",OFFSET(ORÇAMENTO!S$15,ROW(G628)-ROW(G$15),0))</f>
        <v>-</v>
      </c>
      <c r="H628" s="124">
        <f ca="1">IF($D628&lt;&gt;"Serviço",0,IF(ACOMPANHAMENTO="BM",ROUND(OFFSET(ORÇAMENTO!AJ$15,ROW(H628)-ROW(H$15),0),15-13*ORÇAMENTO!$AF$7),SUMPRODUCT(($Q$12:$AA$12&lt;&gt;"")*ROUND($Q628:$AA628,15-13*ORÇAMENTO!$AF$7))))</f>
        <v>4</v>
      </c>
      <c r="I628" s="561" t="s">
        <v>890</v>
      </c>
      <c r="K628" s="174"/>
      <c r="L628" s="175" t="s">
        <v>255</v>
      </c>
      <c r="M628" s="176">
        <f ca="1">IF($D628&lt;&gt;"Serviço","",IF(AUTOEVENTO="manual",$A628,IF(ISERROR(MATCH($A628,$A$15:OFFSET($A628,-1,0),0)),MAX($M$15:OFFSET(M628,-1,0))+1,INDEX($M$15:OFFSET(M628,-1,0),MATCH($A628,$A$15:OFFSET($A628,-1,0),0)))))</f>
        <v>19</v>
      </c>
      <c r="N628" s="177" t="str">
        <f ca="1">IF($D628&lt;&gt;"Serviço","",IF(AUTOEVENTO="Manual",IF($A628=0,"&lt;-- defina o número do agrupador",OFFSET(EVENTOS!$D$14,$A628,0)),OFFSET($F$15,$A628,0)))</f>
        <v>INSTALAÇÕES DE CABEAMENTO ESTRUTURADO</v>
      </c>
      <c r="O628" s="178"/>
      <c r="Q628" s="178"/>
      <c r="R628" s="179"/>
      <c r="S628" s="179"/>
      <c r="T628" s="179"/>
      <c r="U628" s="179"/>
      <c r="V628" s="179"/>
      <c r="W628" s="179"/>
      <c r="X628" s="179"/>
      <c r="Y628" s="179"/>
      <c r="Z628" s="180"/>
      <c r="AB628" s="544">
        <f ca="1">IF(AND($D628="Serviço",AB$12&lt;&gt;0,$H628&gt;0,OR(AUTOEVENTO&lt;&gt;"manual",$M628&lt;&gt;1)),
IF(Import.TipoArredondamento&lt;&gt;"TransfereGOV",
ROUND(OFFSET($P628,0,AB$13),15-13*ORÇAMENTO!$AF$7)/$H628*OFFSET(ORÇAMENTO!$X$15,ROW(AB628)-ROW(AB$15),0),
ROUND(ROUND(OFFSET($P628,0,AB$13),15-13*ORÇAMENTO!$AF$7)*OFFSET(ORÇAMENTO!$W$15,ROW(AB628)-ROW(AB$15),0),15-13*ORÇAMENTO!$AF$11)),0)</f>
        <v>0</v>
      </c>
      <c r="AC628" s="545">
        <f ca="1">IF(AND($D628="Serviço",AC$12&lt;&gt;0,$H628&gt;0,OR(AUTOEVENTO&lt;&gt;"manual",$M628&lt;&gt;1)),
IF(Import.TipoArredondamento&lt;&gt;"TransfereGOV",
ROUND(OFFSET($P628,0,AC$13),15-13*ORÇAMENTO!$AF$7)/$H628*OFFSET(ORÇAMENTO!$X$15,ROW(AC628)-ROW(AC$15),0),
ROUND(ROUND(OFFSET($P628,0,AC$13),15-13*ORÇAMENTO!$AF$7)*OFFSET(ORÇAMENTO!$W$15,ROW(AC628)-ROW(AC$15),0),15-13*ORÇAMENTO!$AF$11)),0)</f>
        <v>0</v>
      </c>
      <c r="AD628" s="545">
        <f ca="1">IF(AND($D628="Serviço",AD$12&lt;&gt;0,$H628&gt;0,OR(AUTOEVENTO&lt;&gt;"manual",$M628&lt;&gt;1)),
IF(Import.TipoArredondamento&lt;&gt;"TransfereGOV",
ROUND(OFFSET($P628,0,AD$13),15-13*ORÇAMENTO!$AF$7)/$H628*OFFSET(ORÇAMENTO!$X$15,ROW(AD628)-ROW(AD$15),0),
ROUND(ROUND(OFFSET($P628,0,AD$13),15-13*ORÇAMENTO!$AF$7)*OFFSET(ORÇAMENTO!$W$15,ROW(AD628)-ROW(AD$15),0),15-13*ORÇAMENTO!$AF$11)),0)</f>
        <v>0</v>
      </c>
      <c r="AE628" s="545">
        <f ca="1">IF(AND($D628="Serviço",AE$12&lt;&gt;0,$H628&gt;0,OR(AUTOEVENTO&lt;&gt;"manual",$M628&lt;&gt;1)),
IF(Import.TipoArredondamento&lt;&gt;"TransfereGOV",
ROUND(OFFSET($P628,0,AE$13),15-13*ORÇAMENTO!$AF$7)/$H628*OFFSET(ORÇAMENTO!$X$15,ROW(AE628)-ROW(AE$15),0),
ROUND(ROUND(OFFSET($P628,0,AE$13),15-13*ORÇAMENTO!$AF$7)*OFFSET(ORÇAMENTO!$W$15,ROW(AE628)-ROW(AE$15),0),15-13*ORÇAMENTO!$AF$11)),0)</f>
        <v>0</v>
      </c>
      <c r="AF628" s="545">
        <f ca="1">IF(AND($D628="Serviço",AF$12&lt;&gt;0,$H628&gt;0,OR(AUTOEVENTO&lt;&gt;"manual",$M628&lt;&gt;1)),
IF(Import.TipoArredondamento&lt;&gt;"TransfereGOV",
ROUND(OFFSET($P628,0,AF$13),15-13*ORÇAMENTO!$AF$7)/$H628*OFFSET(ORÇAMENTO!$X$15,ROW(AF628)-ROW(AF$15),0),
ROUND(ROUND(OFFSET($P628,0,AF$13),15-13*ORÇAMENTO!$AF$7)*OFFSET(ORÇAMENTO!$W$15,ROW(AF628)-ROW(AF$15),0),15-13*ORÇAMENTO!$AF$11)),0)</f>
        <v>0</v>
      </c>
      <c r="AG628" s="545">
        <f ca="1">IF(AND($D628="Serviço",AG$12&lt;&gt;0,$H628&gt;0,OR(AUTOEVENTO&lt;&gt;"manual",$M628&lt;&gt;1)),
IF(Import.TipoArredondamento&lt;&gt;"TransfereGOV",
ROUND(OFFSET($P628,0,AG$13),15-13*ORÇAMENTO!$AF$7)/$H628*OFFSET(ORÇAMENTO!$X$15,ROW(AG628)-ROW(AG$15),0),
ROUND(ROUND(OFFSET($P628,0,AG$13),15-13*ORÇAMENTO!$AF$7)*OFFSET(ORÇAMENTO!$W$15,ROW(AG628)-ROW(AG$15),0),15-13*ORÇAMENTO!$AF$11)),0)</f>
        <v>0</v>
      </c>
      <c r="AH628" s="545">
        <f ca="1">IF(AND($D628="Serviço",AH$12&lt;&gt;0,$H628&gt;0,OR(AUTOEVENTO&lt;&gt;"manual",$M628&lt;&gt;1)),
IF(Import.TipoArredondamento&lt;&gt;"TransfereGOV",
ROUND(OFFSET($P628,0,AH$13),15-13*ORÇAMENTO!$AF$7)/$H628*OFFSET(ORÇAMENTO!$X$15,ROW(AH628)-ROW(AH$15),0),
ROUND(ROUND(OFFSET($P628,0,AH$13),15-13*ORÇAMENTO!$AF$7)*OFFSET(ORÇAMENTO!$W$15,ROW(AH628)-ROW(AH$15),0),15-13*ORÇAMENTO!$AF$11)),0)</f>
        <v>0</v>
      </c>
      <c r="AI628" s="545">
        <f ca="1">IF(AND($D628="Serviço",AI$12&lt;&gt;0,$H628&gt;0,OR(AUTOEVENTO&lt;&gt;"manual",$M628&lt;&gt;1)),
IF(Import.TipoArredondamento&lt;&gt;"TransfereGOV",
ROUND(OFFSET($P628,0,AI$13),15-13*ORÇAMENTO!$AF$7)/$H628*OFFSET(ORÇAMENTO!$X$15,ROW(AI628)-ROW(AI$15),0),
ROUND(ROUND(OFFSET($P628,0,AI$13),15-13*ORÇAMENTO!$AF$7)*OFFSET(ORÇAMENTO!$W$15,ROW(AI628)-ROW(AI$15),0),15-13*ORÇAMENTO!$AF$11)),0)</f>
        <v>0</v>
      </c>
      <c r="AJ628" s="545">
        <f ca="1">IF(AND($D628="Serviço",AJ$12&lt;&gt;0,$H628&gt;0,OR(AUTOEVENTO&lt;&gt;"manual",$M628&lt;&gt;1)),
IF(Import.TipoArredondamento&lt;&gt;"TransfereGOV",
ROUND(OFFSET($P628,0,AJ$13),15-13*ORÇAMENTO!$AF$7)/$H628*OFFSET(ORÇAMENTO!$X$15,ROW(AJ628)-ROW(AJ$15),0),
ROUND(ROUND(OFFSET($P628,0,AJ$13),15-13*ORÇAMENTO!$AF$7)*OFFSET(ORÇAMENTO!$W$15,ROW(AJ628)-ROW(AJ$15),0),15-13*ORÇAMENTO!$AF$11)),0)</f>
        <v>0</v>
      </c>
      <c r="AK628" s="546">
        <f ca="1">IF(AND($D628="Serviço",AK$12&lt;&gt;0,$H628&gt;0,OR(AUTOEVENTO&lt;&gt;"manual",$M628&lt;&gt;1)),
IF(Import.TipoArredondamento&lt;&gt;"TransfereGOV",
ROUND(OFFSET($P628,0,AK$13),15-13*ORÇAMENTO!$AF$7)/$H628*OFFSET(ORÇAMENTO!$X$15,ROW(AK628)-ROW(AK$15),0),
ROUND(ROUND(OFFSET($P628,0,AK$13),15-13*ORÇAMENTO!$AF$7)*OFFSET(ORÇAMENTO!$W$15,ROW(AK628)-ROW(AK$15),0),15-13*ORÇAMENTO!$AF$11)),0)</f>
        <v>0</v>
      </c>
      <c r="AM628" s="181">
        <f ca="1">IF($D628&lt;&gt;"Serviço",0,IF(AND(AUTOEVENTO="Manual",$M628=1),0,IF(OFFSET(CRONOPLE!$F$14,$M628,AM$13)="",10^12,OFFSET(CRONOPLE!$F$14,$M628,AM$13))))</f>
        <v>1000000000000</v>
      </c>
      <c r="AN628" s="181">
        <f ca="1">IF($D628&lt;&gt;"Serviço",0,IF(AND(AUTOEVENTO="Manual",$M628=1),0,IF(OFFSET(CRONOPLE!$F$14,$M628,AN$13)="",10^12,OFFSET(CRONOPLE!$F$14,$M628,AN$13))))</f>
        <v>1000000000000</v>
      </c>
      <c r="AO628" s="181">
        <f ca="1">IF($D628&lt;&gt;"Serviço",0,IF(AND(AUTOEVENTO="Manual",$M628=1),0,IF(OFFSET(CRONOPLE!$F$14,$M628,AO$13)="",10^12,OFFSET(CRONOPLE!$F$14,$M628,AO$13))))</f>
        <v>1000000000000</v>
      </c>
      <c r="AP628" s="181">
        <f ca="1">IF($D628&lt;&gt;"Serviço",0,IF(AND(AUTOEVENTO="Manual",$M628=1),0,IF(OFFSET(CRONOPLE!$F$14,$M628,AP$13)="",10^12,OFFSET(CRONOPLE!$F$14,$M628,AP$13))))</f>
        <v>1000000000000</v>
      </c>
      <c r="AQ628" s="181">
        <f ca="1">IF($D628&lt;&gt;"Serviço",0,IF(AND(AUTOEVENTO="Manual",$M628=1),0,IF(OFFSET(CRONOPLE!$F$14,$M628,AQ$13)="",10^12,OFFSET(CRONOPLE!$F$14,$M628,AQ$13))))</f>
        <v>1000000000000</v>
      </c>
      <c r="AR628" s="181">
        <f ca="1">IF($D628&lt;&gt;"Serviço",0,IF(AND(AUTOEVENTO="Manual",$M628=1),0,IF(OFFSET(CRONOPLE!$F$14,$M628,AR$13)="",10^12,OFFSET(CRONOPLE!$F$14,$M628,AR$13))))</f>
        <v>1000000000000</v>
      </c>
      <c r="AS628" s="181">
        <f ca="1">IF($D628&lt;&gt;"Serviço",0,IF(AND(AUTOEVENTO="Manual",$M628=1),0,IF(OFFSET(CRONOPLE!$F$14,$M628,AS$13)="",10^12,OFFSET(CRONOPLE!$F$14,$M628,AS$13))))</f>
        <v>1000000000000</v>
      </c>
      <c r="AT628" s="181">
        <f ca="1">IF($D628&lt;&gt;"Serviço",0,IF(AND(AUTOEVENTO="Manual",$M628=1),0,IF(OFFSET(CRONOPLE!$F$14,$M628,AT$13)="",10^12,OFFSET(CRONOPLE!$F$14,$M628,AT$13))))</f>
        <v>1000000000000</v>
      </c>
      <c r="AU628" s="181">
        <f ca="1">IF($D628&lt;&gt;"Serviço",0,IF(AND(AUTOEVENTO="Manual",$M628=1),0,IF(OFFSET(CRONOPLE!$F$14,$M628,AU$13)="",10^12,OFFSET(CRONOPLE!$F$14,$M628,AU$13))))</f>
        <v>1000000000000</v>
      </c>
      <c r="AV628" s="181">
        <f ca="1">IF($D628&lt;&gt;"Serviço",0,IF(AND(AUTOEVENTO="Manual",$M628=1),0,IF(OFFSET(CRONOPLE!$F$14,$M628,AV$13)="",10^12,OFFSET(CRONOPLE!$F$14,$M628,AV$13))))</f>
        <v>1000000000000</v>
      </c>
      <c r="AX628" s="182">
        <f ca="1">IF($D628&lt;&gt;"Serviço",0,IF(OR(AND(AUTOEVENTO="Manual",$M628=1),$M628&gt;(ROW(PLE.lastrow)-ROW(PLE.firstrow))),0,IF(OFFSET(PLE!$G$14,$M628,AX$13)="",10^12,OFFSET(PLE!$G$14,$M628,AX$13))))</f>
        <v>1000000000000</v>
      </c>
      <c r="AY628" s="182">
        <f ca="1">IF($D628&lt;&gt;"Serviço",0,IF(OR(AND(AUTOEVENTO="Manual",$M628=1),$M628&gt;(ROW(PLE.lastrow)-ROW(PLE.firstrow))),0,IF(OFFSET(PLE!$G$14,$M628,AY$13)="",10^12,OFFSET(PLE!$G$14,$M628,AY$13))))</f>
        <v>1000000000000</v>
      </c>
      <c r="AZ628" s="182">
        <f ca="1">IF($D628&lt;&gt;"Serviço",0,IF(OR(AND(AUTOEVENTO="Manual",$M628=1),$M628&gt;(ROW(PLE.lastrow)-ROW(PLE.firstrow))),0,IF(OFFSET(PLE!$G$14,$M628,AZ$13)="",10^12,OFFSET(PLE!$G$14,$M628,AZ$13))))</f>
        <v>1000000000000</v>
      </c>
      <c r="BA628" s="182">
        <f ca="1">IF($D628&lt;&gt;"Serviço",0,IF(OR(AND(AUTOEVENTO="Manual",$M628=1),$M628&gt;(ROW(PLE.lastrow)-ROW(PLE.firstrow))),0,IF(OFFSET(PLE!$G$14,$M628,BA$13)="",10^12,OFFSET(PLE!$G$14,$M628,BA$13))))</f>
        <v>1000000000000</v>
      </c>
      <c r="BB628" s="182">
        <f ca="1">IF($D628&lt;&gt;"Serviço",0,IF(OR(AND(AUTOEVENTO="Manual",$M628=1),$M628&gt;(ROW(PLE.lastrow)-ROW(PLE.firstrow))),0,IF(OFFSET(PLE!$G$14,$M628,BB$13)="",10^12,OFFSET(PLE!$G$14,$M628,BB$13))))</f>
        <v>1000000000000</v>
      </c>
      <c r="BC628" s="182">
        <f ca="1">IF($D628&lt;&gt;"Serviço",0,IF(OR(AND(AUTOEVENTO="Manual",$M628=1),$M628&gt;(ROW(PLE.lastrow)-ROW(PLE.firstrow))),0,IF(OFFSET(PLE!$G$14,$M628,BC$13)="",10^12,OFFSET(PLE!$G$14,$M628,BC$13))))</f>
        <v>1000000000000</v>
      </c>
      <c r="BD628" s="182">
        <f ca="1">IF($D628&lt;&gt;"Serviço",0,IF(OR(AND(AUTOEVENTO="Manual",$M628=1),$M628&gt;(ROW(PLE.lastrow)-ROW(PLE.firstrow))),0,IF(OFFSET(PLE!$G$14,$M628,BD$13)="",10^12,OFFSET(PLE!$G$14,$M628,BD$13))))</f>
        <v>1000000000000</v>
      </c>
      <c r="BE628" s="182">
        <f ca="1">IF($D628&lt;&gt;"Serviço",0,IF(OR(AND(AUTOEVENTO="Manual",$M628=1),$M628&gt;(ROW(PLE.lastrow)-ROW(PLE.firstrow))),0,IF(OFFSET(PLE!$G$14,$M628,BE$13)="",10^12,OFFSET(PLE!$G$14,$M628,BE$13))))</f>
        <v>1000000000000</v>
      </c>
      <c r="BF628" s="182">
        <f ca="1">IF($D628&lt;&gt;"Serviço",0,IF(OR(AND(AUTOEVENTO="Manual",$M628=1),$M628&gt;(ROW(PLE.lastrow)-ROW(PLE.firstrow))),0,IF(OFFSET(PLE!$G$14,$M628,BF$13)="",10^12,OFFSET(PLE!$G$14,$M628,BF$13))))</f>
        <v>1000000000000</v>
      </c>
      <c r="BG628" s="182">
        <f ca="1">IF($D628&lt;&gt;"Serviço",0,IF(OR(AND(AUTOEVENTO="Manual",$M628=1),$M628&gt;(ROW(PLE.lastrow)-ROW(PLE.firstrow))),0,IF(OFFSET(PLE!$G$14,$M628,BG$13)="",10^12,OFFSET(PLE!$G$14,$M628,BG$13))))</f>
        <v>1000000000000</v>
      </c>
    </row>
    <row r="629" spans="1:59" ht="38.25" x14ac:dyDescent="0.2">
      <c r="A629" s="7" t="str">
        <f t="shared" ref="A629:A714" ca="1" si="17">IF(AUTOEVENTO="Manual",IF(K629&lt;&gt;"",MIN(VALUE(LEFT(K629,FIND(".",K629)-1)),COUNTA(EVENTOS.Lista)),0),IF(OR($B629&gt;AUTOEVENTO,$B629="S",$B629=0),SUBSTITUTE(OFFSET($A629,-1,0),IF($D629="Serviço",".",""),""),ROW(A629)-ROW($A$15)&amp;"."))</f>
        <v>593</v>
      </c>
      <c r="B629" s="7" t="str">
        <f ca="1">OFFSET(ORÇAMENTO!C$15,ROW(B629)-ROW(B$15),0)</f>
        <v>S</v>
      </c>
      <c r="C629" s="7" t="str">
        <f ca="1">OFFSET(ORÇAMENTO!L$15,ROW(C629)-ROW(C$15),0)</f>
        <v/>
      </c>
      <c r="D629" s="118" t="str">
        <f ca="1">OFFSET(ORÇAMENTO!N$15,ROW(D629)-ROW(D$15),0)</f>
        <v>Serviço</v>
      </c>
      <c r="E629" s="119" t="str">
        <f ca="1">OFFSET(ORÇAMENTO!O$15,ROW(E629)-ROW(E$15),0)</f>
        <v>-</v>
      </c>
      <c r="F629" s="172" t="str">
        <f ca="1">OFFSET(ORÇAMENTO!R$15,ROW(F629)-ROW(F$15),0)</f>
        <v>(abra o arquivo 'Referência 02-2025.xlsm)</v>
      </c>
      <c r="G629" s="173" t="str">
        <f ca="1">IF($D629&lt;&gt;"Serviço","",OFFSET(ORÇAMENTO!S$15,ROW(G629)-ROW(G$15),0))</f>
        <v>-</v>
      </c>
      <c r="H629" s="124">
        <f ca="1">IF($D629&lt;&gt;"Serviço",0,IF(ACOMPANHAMENTO="BM",ROUND(OFFSET(ORÇAMENTO!AJ$15,ROW(H629)-ROW(H$15),0),15-13*ORÇAMENTO!$AF$7),SUMPRODUCT(($Q$12:$AA$12&lt;&gt;"")*ROUND($Q629:$AA629,15-13*ORÇAMENTO!$AF$7))))</f>
        <v>1</v>
      </c>
      <c r="I629" s="561" t="s">
        <v>890</v>
      </c>
      <c r="K629" s="174"/>
      <c r="L629" s="175" t="s">
        <v>255</v>
      </c>
      <c r="M629" s="176">
        <f ca="1">IF($D629&lt;&gt;"Serviço","",IF(AUTOEVENTO="manual",$A629,IF(ISERROR(MATCH($A629,$A$15:OFFSET($A629,-1,0),0)),MAX($M$15:OFFSET(M629,-1,0))+1,INDEX($M$15:OFFSET(M629,-1,0),MATCH($A629,$A$15:OFFSET($A629,-1,0),0)))))</f>
        <v>19</v>
      </c>
      <c r="N629" s="177" t="str">
        <f ca="1">IF($D629&lt;&gt;"Serviço","",IF(AUTOEVENTO="Manual",IF($A629=0,"&lt;-- defina o número do agrupador",OFFSET(EVENTOS!$D$14,$A629,0)),OFFSET($F$15,$A629,0)))</f>
        <v>INSTALAÇÕES DE CABEAMENTO ESTRUTURADO</v>
      </c>
      <c r="O629" s="178"/>
      <c r="Q629" s="178"/>
      <c r="R629" s="179"/>
      <c r="S629" s="179"/>
      <c r="T629" s="179"/>
      <c r="U629" s="179"/>
      <c r="V629" s="179"/>
      <c r="W629" s="179"/>
      <c r="X629" s="179"/>
      <c r="Y629" s="179"/>
      <c r="Z629" s="180"/>
      <c r="AB629" s="544">
        <f ca="1">IF(AND($D629="Serviço",AB$12&lt;&gt;0,$H629&gt;0,OR(AUTOEVENTO&lt;&gt;"manual",$M629&lt;&gt;1)),
IF(Import.TipoArredondamento&lt;&gt;"TransfereGOV",
ROUND(OFFSET($P629,0,AB$13),15-13*ORÇAMENTO!$AF$7)/$H629*OFFSET(ORÇAMENTO!$X$15,ROW(AB629)-ROW(AB$15),0),
ROUND(ROUND(OFFSET($P629,0,AB$13),15-13*ORÇAMENTO!$AF$7)*OFFSET(ORÇAMENTO!$W$15,ROW(AB629)-ROW(AB$15),0),15-13*ORÇAMENTO!$AF$11)),0)</f>
        <v>0</v>
      </c>
      <c r="AC629" s="545">
        <f ca="1">IF(AND($D629="Serviço",AC$12&lt;&gt;0,$H629&gt;0,OR(AUTOEVENTO&lt;&gt;"manual",$M629&lt;&gt;1)),
IF(Import.TipoArredondamento&lt;&gt;"TransfereGOV",
ROUND(OFFSET($P629,0,AC$13),15-13*ORÇAMENTO!$AF$7)/$H629*OFFSET(ORÇAMENTO!$X$15,ROW(AC629)-ROW(AC$15),0),
ROUND(ROUND(OFFSET($P629,0,AC$13),15-13*ORÇAMENTO!$AF$7)*OFFSET(ORÇAMENTO!$W$15,ROW(AC629)-ROW(AC$15),0),15-13*ORÇAMENTO!$AF$11)),0)</f>
        <v>0</v>
      </c>
      <c r="AD629" s="545">
        <f ca="1">IF(AND($D629="Serviço",AD$12&lt;&gt;0,$H629&gt;0,OR(AUTOEVENTO&lt;&gt;"manual",$M629&lt;&gt;1)),
IF(Import.TipoArredondamento&lt;&gt;"TransfereGOV",
ROUND(OFFSET($P629,0,AD$13),15-13*ORÇAMENTO!$AF$7)/$H629*OFFSET(ORÇAMENTO!$X$15,ROW(AD629)-ROW(AD$15),0),
ROUND(ROUND(OFFSET($P629,0,AD$13),15-13*ORÇAMENTO!$AF$7)*OFFSET(ORÇAMENTO!$W$15,ROW(AD629)-ROW(AD$15),0),15-13*ORÇAMENTO!$AF$11)),0)</f>
        <v>0</v>
      </c>
      <c r="AE629" s="545">
        <f ca="1">IF(AND($D629="Serviço",AE$12&lt;&gt;0,$H629&gt;0,OR(AUTOEVENTO&lt;&gt;"manual",$M629&lt;&gt;1)),
IF(Import.TipoArredondamento&lt;&gt;"TransfereGOV",
ROUND(OFFSET($P629,0,AE$13),15-13*ORÇAMENTO!$AF$7)/$H629*OFFSET(ORÇAMENTO!$X$15,ROW(AE629)-ROW(AE$15),0),
ROUND(ROUND(OFFSET($P629,0,AE$13),15-13*ORÇAMENTO!$AF$7)*OFFSET(ORÇAMENTO!$W$15,ROW(AE629)-ROW(AE$15),0),15-13*ORÇAMENTO!$AF$11)),0)</f>
        <v>0</v>
      </c>
      <c r="AF629" s="545">
        <f ca="1">IF(AND($D629="Serviço",AF$12&lt;&gt;0,$H629&gt;0,OR(AUTOEVENTO&lt;&gt;"manual",$M629&lt;&gt;1)),
IF(Import.TipoArredondamento&lt;&gt;"TransfereGOV",
ROUND(OFFSET($P629,0,AF$13),15-13*ORÇAMENTO!$AF$7)/$H629*OFFSET(ORÇAMENTO!$X$15,ROW(AF629)-ROW(AF$15),0),
ROUND(ROUND(OFFSET($P629,0,AF$13),15-13*ORÇAMENTO!$AF$7)*OFFSET(ORÇAMENTO!$W$15,ROW(AF629)-ROW(AF$15),0),15-13*ORÇAMENTO!$AF$11)),0)</f>
        <v>0</v>
      </c>
      <c r="AG629" s="545">
        <f ca="1">IF(AND($D629="Serviço",AG$12&lt;&gt;0,$H629&gt;0,OR(AUTOEVENTO&lt;&gt;"manual",$M629&lt;&gt;1)),
IF(Import.TipoArredondamento&lt;&gt;"TransfereGOV",
ROUND(OFFSET($P629,0,AG$13),15-13*ORÇAMENTO!$AF$7)/$H629*OFFSET(ORÇAMENTO!$X$15,ROW(AG629)-ROW(AG$15),0),
ROUND(ROUND(OFFSET($P629,0,AG$13),15-13*ORÇAMENTO!$AF$7)*OFFSET(ORÇAMENTO!$W$15,ROW(AG629)-ROW(AG$15),0),15-13*ORÇAMENTO!$AF$11)),0)</f>
        <v>0</v>
      </c>
      <c r="AH629" s="545">
        <f ca="1">IF(AND($D629="Serviço",AH$12&lt;&gt;0,$H629&gt;0,OR(AUTOEVENTO&lt;&gt;"manual",$M629&lt;&gt;1)),
IF(Import.TipoArredondamento&lt;&gt;"TransfereGOV",
ROUND(OFFSET($P629,0,AH$13),15-13*ORÇAMENTO!$AF$7)/$H629*OFFSET(ORÇAMENTO!$X$15,ROW(AH629)-ROW(AH$15),0),
ROUND(ROUND(OFFSET($P629,0,AH$13),15-13*ORÇAMENTO!$AF$7)*OFFSET(ORÇAMENTO!$W$15,ROW(AH629)-ROW(AH$15),0),15-13*ORÇAMENTO!$AF$11)),0)</f>
        <v>0</v>
      </c>
      <c r="AI629" s="545">
        <f ca="1">IF(AND($D629="Serviço",AI$12&lt;&gt;0,$H629&gt;0,OR(AUTOEVENTO&lt;&gt;"manual",$M629&lt;&gt;1)),
IF(Import.TipoArredondamento&lt;&gt;"TransfereGOV",
ROUND(OFFSET($P629,0,AI$13),15-13*ORÇAMENTO!$AF$7)/$H629*OFFSET(ORÇAMENTO!$X$15,ROW(AI629)-ROW(AI$15),0),
ROUND(ROUND(OFFSET($P629,0,AI$13),15-13*ORÇAMENTO!$AF$7)*OFFSET(ORÇAMENTO!$W$15,ROW(AI629)-ROW(AI$15),0),15-13*ORÇAMENTO!$AF$11)),0)</f>
        <v>0</v>
      </c>
      <c r="AJ629" s="545">
        <f ca="1">IF(AND($D629="Serviço",AJ$12&lt;&gt;0,$H629&gt;0,OR(AUTOEVENTO&lt;&gt;"manual",$M629&lt;&gt;1)),
IF(Import.TipoArredondamento&lt;&gt;"TransfereGOV",
ROUND(OFFSET($P629,0,AJ$13),15-13*ORÇAMENTO!$AF$7)/$H629*OFFSET(ORÇAMENTO!$X$15,ROW(AJ629)-ROW(AJ$15),0),
ROUND(ROUND(OFFSET($P629,0,AJ$13),15-13*ORÇAMENTO!$AF$7)*OFFSET(ORÇAMENTO!$W$15,ROW(AJ629)-ROW(AJ$15),0),15-13*ORÇAMENTO!$AF$11)),0)</f>
        <v>0</v>
      </c>
      <c r="AK629" s="546">
        <f ca="1">IF(AND($D629="Serviço",AK$12&lt;&gt;0,$H629&gt;0,OR(AUTOEVENTO&lt;&gt;"manual",$M629&lt;&gt;1)),
IF(Import.TipoArredondamento&lt;&gt;"TransfereGOV",
ROUND(OFFSET($P629,0,AK$13),15-13*ORÇAMENTO!$AF$7)/$H629*OFFSET(ORÇAMENTO!$X$15,ROW(AK629)-ROW(AK$15),0),
ROUND(ROUND(OFFSET($P629,0,AK$13),15-13*ORÇAMENTO!$AF$7)*OFFSET(ORÇAMENTO!$W$15,ROW(AK629)-ROW(AK$15),0),15-13*ORÇAMENTO!$AF$11)),0)</f>
        <v>0</v>
      </c>
      <c r="AM629" s="181">
        <f ca="1">IF($D629&lt;&gt;"Serviço",0,IF(AND(AUTOEVENTO="Manual",$M629=1),0,IF(OFFSET(CRONOPLE!$F$14,$M629,AM$13)="",10^12,OFFSET(CRONOPLE!$F$14,$M629,AM$13))))</f>
        <v>1000000000000</v>
      </c>
      <c r="AN629" s="181">
        <f ca="1">IF($D629&lt;&gt;"Serviço",0,IF(AND(AUTOEVENTO="Manual",$M629=1),0,IF(OFFSET(CRONOPLE!$F$14,$M629,AN$13)="",10^12,OFFSET(CRONOPLE!$F$14,$M629,AN$13))))</f>
        <v>1000000000000</v>
      </c>
      <c r="AO629" s="181">
        <f ca="1">IF($D629&lt;&gt;"Serviço",0,IF(AND(AUTOEVENTO="Manual",$M629=1),0,IF(OFFSET(CRONOPLE!$F$14,$M629,AO$13)="",10^12,OFFSET(CRONOPLE!$F$14,$M629,AO$13))))</f>
        <v>1000000000000</v>
      </c>
      <c r="AP629" s="181">
        <f ca="1">IF($D629&lt;&gt;"Serviço",0,IF(AND(AUTOEVENTO="Manual",$M629=1),0,IF(OFFSET(CRONOPLE!$F$14,$M629,AP$13)="",10^12,OFFSET(CRONOPLE!$F$14,$M629,AP$13))))</f>
        <v>1000000000000</v>
      </c>
      <c r="AQ629" s="181">
        <f ca="1">IF($D629&lt;&gt;"Serviço",0,IF(AND(AUTOEVENTO="Manual",$M629=1),0,IF(OFFSET(CRONOPLE!$F$14,$M629,AQ$13)="",10^12,OFFSET(CRONOPLE!$F$14,$M629,AQ$13))))</f>
        <v>1000000000000</v>
      </c>
      <c r="AR629" s="181">
        <f ca="1">IF($D629&lt;&gt;"Serviço",0,IF(AND(AUTOEVENTO="Manual",$M629=1),0,IF(OFFSET(CRONOPLE!$F$14,$M629,AR$13)="",10^12,OFFSET(CRONOPLE!$F$14,$M629,AR$13))))</f>
        <v>1000000000000</v>
      </c>
      <c r="AS629" s="181">
        <f ca="1">IF($D629&lt;&gt;"Serviço",0,IF(AND(AUTOEVENTO="Manual",$M629=1),0,IF(OFFSET(CRONOPLE!$F$14,$M629,AS$13)="",10^12,OFFSET(CRONOPLE!$F$14,$M629,AS$13))))</f>
        <v>1000000000000</v>
      </c>
      <c r="AT629" s="181">
        <f ca="1">IF($D629&lt;&gt;"Serviço",0,IF(AND(AUTOEVENTO="Manual",$M629=1),0,IF(OFFSET(CRONOPLE!$F$14,$M629,AT$13)="",10^12,OFFSET(CRONOPLE!$F$14,$M629,AT$13))))</f>
        <v>1000000000000</v>
      </c>
      <c r="AU629" s="181">
        <f ca="1">IF($D629&lt;&gt;"Serviço",0,IF(AND(AUTOEVENTO="Manual",$M629=1),0,IF(OFFSET(CRONOPLE!$F$14,$M629,AU$13)="",10^12,OFFSET(CRONOPLE!$F$14,$M629,AU$13))))</f>
        <v>1000000000000</v>
      </c>
      <c r="AV629" s="181">
        <f ca="1">IF($D629&lt;&gt;"Serviço",0,IF(AND(AUTOEVENTO="Manual",$M629=1),0,IF(OFFSET(CRONOPLE!$F$14,$M629,AV$13)="",10^12,OFFSET(CRONOPLE!$F$14,$M629,AV$13))))</f>
        <v>1000000000000</v>
      </c>
      <c r="AX629" s="182">
        <f ca="1">IF($D629&lt;&gt;"Serviço",0,IF(OR(AND(AUTOEVENTO="Manual",$M629=1),$M629&gt;(ROW(PLE.lastrow)-ROW(PLE.firstrow))),0,IF(OFFSET(PLE!$G$14,$M629,AX$13)="",10^12,OFFSET(PLE!$G$14,$M629,AX$13))))</f>
        <v>1000000000000</v>
      </c>
      <c r="AY629" s="182">
        <f ca="1">IF($D629&lt;&gt;"Serviço",0,IF(OR(AND(AUTOEVENTO="Manual",$M629=1),$M629&gt;(ROW(PLE.lastrow)-ROW(PLE.firstrow))),0,IF(OFFSET(PLE!$G$14,$M629,AY$13)="",10^12,OFFSET(PLE!$G$14,$M629,AY$13))))</f>
        <v>1000000000000</v>
      </c>
      <c r="AZ629" s="182">
        <f ca="1">IF($D629&lt;&gt;"Serviço",0,IF(OR(AND(AUTOEVENTO="Manual",$M629=1),$M629&gt;(ROW(PLE.lastrow)-ROW(PLE.firstrow))),0,IF(OFFSET(PLE!$G$14,$M629,AZ$13)="",10^12,OFFSET(PLE!$G$14,$M629,AZ$13))))</f>
        <v>1000000000000</v>
      </c>
      <c r="BA629" s="182">
        <f ca="1">IF($D629&lt;&gt;"Serviço",0,IF(OR(AND(AUTOEVENTO="Manual",$M629=1),$M629&gt;(ROW(PLE.lastrow)-ROW(PLE.firstrow))),0,IF(OFFSET(PLE!$G$14,$M629,BA$13)="",10^12,OFFSET(PLE!$G$14,$M629,BA$13))))</f>
        <v>1000000000000</v>
      </c>
      <c r="BB629" s="182">
        <f ca="1">IF($D629&lt;&gt;"Serviço",0,IF(OR(AND(AUTOEVENTO="Manual",$M629=1),$M629&gt;(ROW(PLE.lastrow)-ROW(PLE.firstrow))),0,IF(OFFSET(PLE!$G$14,$M629,BB$13)="",10^12,OFFSET(PLE!$G$14,$M629,BB$13))))</f>
        <v>1000000000000</v>
      </c>
      <c r="BC629" s="182">
        <f ca="1">IF($D629&lt;&gt;"Serviço",0,IF(OR(AND(AUTOEVENTO="Manual",$M629=1),$M629&gt;(ROW(PLE.lastrow)-ROW(PLE.firstrow))),0,IF(OFFSET(PLE!$G$14,$M629,BC$13)="",10^12,OFFSET(PLE!$G$14,$M629,BC$13))))</f>
        <v>1000000000000</v>
      </c>
      <c r="BD629" s="182">
        <f ca="1">IF($D629&lt;&gt;"Serviço",0,IF(OR(AND(AUTOEVENTO="Manual",$M629=1),$M629&gt;(ROW(PLE.lastrow)-ROW(PLE.firstrow))),0,IF(OFFSET(PLE!$G$14,$M629,BD$13)="",10^12,OFFSET(PLE!$G$14,$M629,BD$13))))</f>
        <v>1000000000000</v>
      </c>
      <c r="BE629" s="182">
        <f ca="1">IF($D629&lt;&gt;"Serviço",0,IF(OR(AND(AUTOEVENTO="Manual",$M629=1),$M629&gt;(ROW(PLE.lastrow)-ROW(PLE.firstrow))),0,IF(OFFSET(PLE!$G$14,$M629,BE$13)="",10^12,OFFSET(PLE!$G$14,$M629,BE$13))))</f>
        <v>1000000000000</v>
      </c>
      <c r="BF629" s="182">
        <f ca="1">IF($D629&lt;&gt;"Serviço",0,IF(OR(AND(AUTOEVENTO="Manual",$M629=1),$M629&gt;(ROW(PLE.lastrow)-ROW(PLE.firstrow))),0,IF(OFFSET(PLE!$G$14,$M629,BF$13)="",10^12,OFFSET(PLE!$G$14,$M629,BF$13))))</f>
        <v>1000000000000</v>
      </c>
      <c r="BG629" s="182">
        <f ca="1">IF($D629&lt;&gt;"Serviço",0,IF(OR(AND(AUTOEVENTO="Manual",$M629=1),$M629&gt;(ROW(PLE.lastrow)-ROW(PLE.firstrow))),0,IF(OFFSET(PLE!$G$14,$M629,BG$13)="",10^12,OFFSET(PLE!$G$14,$M629,BG$13))))</f>
        <v>1000000000000</v>
      </c>
    </row>
    <row r="630" spans="1:59" ht="12.75" x14ac:dyDescent="0.2">
      <c r="A630" s="7" t="str">
        <f t="shared" ca="1" si="17"/>
        <v>593</v>
      </c>
      <c r="B630" s="7">
        <f ca="1">OFFSET(ORÇAMENTO!C$15,ROW(B630)-ROW(B$15),0)</f>
        <v>3</v>
      </c>
      <c r="C630" s="7" t="str">
        <f ca="1">OFFSET(ORÇAMENTO!L$15,ROW(C630)-ROW(C$15),0)</f>
        <v>F</v>
      </c>
      <c r="D630" s="118" t="str">
        <f ca="1">OFFSET(ORÇAMENTO!N$15,ROW(D630)-ROW(D$15),0)</f>
        <v>Nível 3</v>
      </c>
      <c r="E630" s="119" t="str">
        <f ca="1">OFFSET(ORÇAMENTO!O$15,ROW(E630)-ROW(E$15),0)</f>
        <v>1.18.4.</v>
      </c>
      <c r="F630" s="172" t="str">
        <f ca="1">OFFSET(ORÇAMENTO!R$15,ROW(F630)-ROW(F$15),0)</f>
        <v>DISPOSITIVOS</v>
      </c>
      <c r="G630" s="173" t="str">
        <f ca="1">IF($D630&lt;&gt;"Serviço","",OFFSET(ORÇAMENTO!S$15,ROW(G630)-ROW(G$15),0))</f>
        <v/>
      </c>
      <c r="H630" s="124">
        <f ca="1">IF($D630&lt;&gt;"Serviço",0,IF(ACOMPANHAMENTO="BM",ROUND(OFFSET(ORÇAMENTO!AJ$15,ROW(H630)-ROW(H$15),0),15-13*ORÇAMENTO!$AF$7),SUMPRODUCT(($Q$12:$AA$12&lt;&gt;"")*ROUND($Q630:$AA630,15-13*ORÇAMENTO!$AF$7))))</f>
        <v>0</v>
      </c>
      <c r="I630" s="561"/>
      <c r="K630" s="174"/>
      <c r="L630" s="175" t="s">
        <v>255</v>
      </c>
      <c r="M630" s="176" t="str">
        <f ca="1">IF($D630&lt;&gt;"Serviço","",IF(AUTOEVENTO="manual",$A630,IF(ISERROR(MATCH($A630,$A$15:OFFSET($A630,-1,0),0)),MAX($M$15:OFFSET(M630,-1,0))+1,INDEX($M$15:OFFSET(M630,-1,0),MATCH($A630,$A$15:OFFSET($A630,-1,0),0)))))</f>
        <v/>
      </c>
      <c r="N630" s="177" t="str">
        <f ca="1">IF($D630&lt;&gt;"Serviço","",IF(AUTOEVENTO="Manual",IF($A630=0,"&lt;-- defina o número do agrupador",OFFSET(EVENTOS!$D$14,$A630,0)),OFFSET($F$15,$A630,0)))</f>
        <v/>
      </c>
      <c r="O630" s="178"/>
      <c r="Q630" s="178"/>
      <c r="R630" s="179"/>
      <c r="S630" s="179"/>
      <c r="T630" s="179"/>
      <c r="U630" s="179"/>
      <c r="V630" s="179"/>
      <c r="W630" s="179"/>
      <c r="X630" s="179"/>
      <c r="Y630" s="179"/>
      <c r="Z630" s="180"/>
      <c r="AB630" s="544">
        <f ca="1">IF(AND($D630="Serviço",AB$12&lt;&gt;0,$H630&gt;0,OR(AUTOEVENTO&lt;&gt;"manual",$M630&lt;&gt;1)),
IF(Import.TipoArredondamento&lt;&gt;"TransfereGOV",
ROUND(OFFSET($P630,0,AB$13),15-13*ORÇAMENTO!$AF$7)/$H630*OFFSET(ORÇAMENTO!$X$15,ROW(AB630)-ROW(AB$15),0),
ROUND(ROUND(OFFSET($P630,0,AB$13),15-13*ORÇAMENTO!$AF$7)*OFFSET(ORÇAMENTO!$W$15,ROW(AB630)-ROW(AB$15),0),15-13*ORÇAMENTO!$AF$11)),0)</f>
        <v>0</v>
      </c>
      <c r="AC630" s="545">
        <f ca="1">IF(AND($D630="Serviço",AC$12&lt;&gt;0,$H630&gt;0,OR(AUTOEVENTO&lt;&gt;"manual",$M630&lt;&gt;1)),
IF(Import.TipoArredondamento&lt;&gt;"TransfereGOV",
ROUND(OFFSET($P630,0,AC$13),15-13*ORÇAMENTO!$AF$7)/$H630*OFFSET(ORÇAMENTO!$X$15,ROW(AC630)-ROW(AC$15),0),
ROUND(ROUND(OFFSET($P630,0,AC$13),15-13*ORÇAMENTO!$AF$7)*OFFSET(ORÇAMENTO!$W$15,ROW(AC630)-ROW(AC$15),0),15-13*ORÇAMENTO!$AF$11)),0)</f>
        <v>0</v>
      </c>
      <c r="AD630" s="545">
        <f ca="1">IF(AND($D630="Serviço",AD$12&lt;&gt;0,$H630&gt;0,OR(AUTOEVENTO&lt;&gt;"manual",$M630&lt;&gt;1)),
IF(Import.TipoArredondamento&lt;&gt;"TransfereGOV",
ROUND(OFFSET($P630,0,AD$13),15-13*ORÇAMENTO!$AF$7)/$H630*OFFSET(ORÇAMENTO!$X$15,ROW(AD630)-ROW(AD$15),0),
ROUND(ROUND(OFFSET($P630,0,AD$13),15-13*ORÇAMENTO!$AF$7)*OFFSET(ORÇAMENTO!$W$15,ROW(AD630)-ROW(AD$15),0),15-13*ORÇAMENTO!$AF$11)),0)</f>
        <v>0</v>
      </c>
      <c r="AE630" s="545">
        <f ca="1">IF(AND($D630="Serviço",AE$12&lt;&gt;0,$H630&gt;0,OR(AUTOEVENTO&lt;&gt;"manual",$M630&lt;&gt;1)),
IF(Import.TipoArredondamento&lt;&gt;"TransfereGOV",
ROUND(OFFSET($P630,0,AE$13),15-13*ORÇAMENTO!$AF$7)/$H630*OFFSET(ORÇAMENTO!$X$15,ROW(AE630)-ROW(AE$15),0),
ROUND(ROUND(OFFSET($P630,0,AE$13),15-13*ORÇAMENTO!$AF$7)*OFFSET(ORÇAMENTO!$W$15,ROW(AE630)-ROW(AE$15),0),15-13*ORÇAMENTO!$AF$11)),0)</f>
        <v>0</v>
      </c>
      <c r="AF630" s="545">
        <f ca="1">IF(AND($D630="Serviço",AF$12&lt;&gt;0,$H630&gt;0,OR(AUTOEVENTO&lt;&gt;"manual",$M630&lt;&gt;1)),
IF(Import.TipoArredondamento&lt;&gt;"TransfereGOV",
ROUND(OFFSET($P630,0,AF$13),15-13*ORÇAMENTO!$AF$7)/$H630*OFFSET(ORÇAMENTO!$X$15,ROW(AF630)-ROW(AF$15),0),
ROUND(ROUND(OFFSET($P630,0,AF$13),15-13*ORÇAMENTO!$AF$7)*OFFSET(ORÇAMENTO!$W$15,ROW(AF630)-ROW(AF$15),0),15-13*ORÇAMENTO!$AF$11)),0)</f>
        <v>0</v>
      </c>
      <c r="AG630" s="545">
        <f ca="1">IF(AND($D630="Serviço",AG$12&lt;&gt;0,$H630&gt;0,OR(AUTOEVENTO&lt;&gt;"manual",$M630&lt;&gt;1)),
IF(Import.TipoArredondamento&lt;&gt;"TransfereGOV",
ROUND(OFFSET($P630,0,AG$13),15-13*ORÇAMENTO!$AF$7)/$H630*OFFSET(ORÇAMENTO!$X$15,ROW(AG630)-ROW(AG$15),0),
ROUND(ROUND(OFFSET($P630,0,AG$13),15-13*ORÇAMENTO!$AF$7)*OFFSET(ORÇAMENTO!$W$15,ROW(AG630)-ROW(AG$15),0),15-13*ORÇAMENTO!$AF$11)),0)</f>
        <v>0</v>
      </c>
      <c r="AH630" s="545">
        <f ca="1">IF(AND($D630="Serviço",AH$12&lt;&gt;0,$H630&gt;0,OR(AUTOEVENTO&lt;&gt;"manual",$M630&lt;&gt;1)),
IF(Import.TipoArredondamento&lt;&gt;"TransfereGOV",
ROUND(OFFSET($P630,0,AH$13),15-13*ORÇAMENTO!$AF$7)/$H630*OFFSET(ORÇAMENTO!$X$15,ROW(AH630)-ROW(AH$15),0),
ROUND(ROUND(OFFSET($P630,0,AH$13),15-13*ORÇAMENTO!$AF$7)*OFFSET(ORÇAMENTO!$W$15,ROW(AH630)-ROW(AH$15),0),15-13*ORÇAMENTO!$AF$11)),0)</f>
        <v>0</v>
      </c>
      <c r="AI630" s="545">
        <f ca="1">IF(AND($D630="Serviço",AI$12&lt;&gt;0,$H630&gt;0,OR(AUTOEVENTO&lt;&gt;"manual",$M630&lt;&gt;1)),
IF(Import.TipoArredondamento&lt;&gt;"TransfereGOV",
ROUND(OFFSET($P630,0,AI$13),15-13*ORÇAMENTO!$AF$7)/$H630*OFFSET(ORÇAMENTO!$X$15,ROW(AI630)-ROW(AI$15),0),
ROUND(ROUND(OFFSET($P630,0,AI$13),15-13*ORÇAMENTO!$AF$7)*OFFSET(ORÇAMENTO!$W$15,ROW(AI630)-ROW(AI$15),0),15-13*ORÇAMENTO!$AF$11)),0)</f>
        <v>0</v>
      </c>
      <c r="AJ630" s="545">
        <f ca="1">IF(AND($D630="Serviço",AJ$12&lt;&gt;0,$H630&gt;0,OR(AUTOEVENTO&lt;&gt;"manual",$M630&lt;&gt;1)),
IF(Import.TipoArredondamento&lt;&gt;"TransfereGOV",
ROUND(OFFSET($P630,0,AJ$13),15-13*ORÇAMENTO!$AF$7)/$H630*OFFSET(ORÇAMENTO!$X$15,ROW(AJ630)-ROW(AJ$15),0),
ROUND(ROUND(OFFSET($P630,0,AJ$13),15-13*ORÇAMENTO!$AF$7)*OFFSET(ORÇAMENTO!$W$15,ROW(AJ630)-ROW(AJ$15),0),15-13*ORÇAMENTO!$AF$11)),0)</f>
        <v>0</v>
      </c>
      <c r="AK630" s="546">
        <f ca="1">IF(AND($D630="Serviço",AK$12&lt;&gt;0,$H630&gt;0,OR(AUTOEVENTO&lt;&gt;"manual",$M630&lt;&gt;1)),
IF(Import.TipoArredondamento&lt;&gt;"TransfereGOV",
ROUND(OFFSET($P630,0,AK$13),15-13*ORÇAMENTO!$AF$7)/$H630*OFFSET(ORÇAMENTO!$X$15,ROW(AK630)-ROW(AK$15),0),
ROUND(ROUND(OFFSET($P630,0,AK$13),15-13*ORÇAMENTO!$AF$7)*OFFSET(ORÇAMENTO!$W$15,ROW(AK630)-ROW(AK$15),0),15-13*ORÇAMENTO!$AF$11)),0)</f>
        <v>0</v>
      </c>
      <c r="AM630" s="181">
        <f ca="1">IF($D630&lt;&gt;"Serviço",0,IF(AND(AUTOEVENTO="Manual",$M630=1),0,IF(OFFSET(CRONOPLE!$F$14,$M630,AM$13)="",10^12,OFFSET(CRONOPLE!$F$14,$M630,AM$13))))</f>
        <v>0</v>
      </c>
      <c r="AN630" s="181">
        <f ca="1">IF($D630&lt;&gt;"Serviço",0,IF(AND(AUTOEVENTO="Manual",$M630=1),0,IF(OFFSET(CRONOPLE!$F$14,$M630,AN$13)="",10^12,OFFSET(CRONOPLE!$F$14,$M630,AN$13))))</f>
        <v>0</v>
      </c>
      <c r="AO630" s="181">
        <f ca="1">IF($D630&lt;&gt;"Serviço",0,IF(AND(AUTOEVENTO="Manual",$M630=1),0,IF(OFFSET(CRONOPLE!$F$14,$M630,AO$13)="",10^12,OFFSET(CRONOPLE!$F$14,$M630,AO$13))))</f>
        <v>0</v>
      </c>
      <c r="AP630" s="181">
        <f ca="1">IF($D630&lt;&gt;"Serviço",0,IF(AND(AUTOEVENTO="Manual",$M630=1),0,IF(OFFSET(CRONOPLE!$F$14,$M630,AP$13)="",10^12,OFFSET(CRONOPLE!$F$14,$M630,AP$13))))</f>
        <v>0</v>
      </c>
      <c r="AQ630" s="181">
        <f ca="1">IF($D630&lt;&gt;"Serviço",0,IF(AND(AUTOEVENTO="Manual",$M630=1),0,IF(OFFSET(CRONOPLE!$F$14,$M630,AQ$13)="",10^12,OFFSET(CRONOPLE!$F$14,$M630,AQ$13))))</f>
        <v>0</v>
      </c>
      <c r="AR630" s="181">
        <f ca="1">IF($D630&lt;&gt;"Serviço",0,IF(AND(AUTOEVENTO="Manual",$M630=1),0,IF(OFFSET(CRONOPLE!$F$14,$M630,AR$13)="",10^12,OFFSET(CRONOPLE!$F$14,$M630,AR$13))))</f>
        <v>0</v>
      </c>
      <c r="AS630" s="181">
        <f ca="1">IF($D630&lt;&gt;"Serviço",0,IF(AND(AUTOEVENTO="Manual",$M630=1),0,IF(OFFSET(CRONOPLE!$F$14,$M630,AS$13)="",10^12,OFFSET(CRONOPLE!$F$14,$M630,AS$13))))</f>
        <v>0</v>
      </c>
      <c r="AT630" s="181">
        <f ca="1">IF($D630&lt;&gt;"Serviço",0,IF(AND(AUTOEVENTO="Manual",$M630=1),0,IF(OFFSET(CRONOPLE!$F$14,$M630,AT$13)="",10^12,OFFSET(CRONOPLE!$F$14,$M630,AT$13))))</f>
        <v>0</v>
      </c>
      <c r="AU630" s="181">
        <f ca="1">IF($D630&lt;&gt;"Serviço",0,IF(AND(AUTOEVENTO="Manual",$M630=1),0,IF(OFFSET(CRONOPLE!$F$14,$M630,AU$13)="",10^12,OFFSET(CRONOPLE!$F$14,$M630,AU$13))))</f>
        <v>0</v>
      </c>
      <c r="AV630" s="181">
        <f ca="1">IF($D630&lt;&gt;"Serviço",0,IF(AND(AUTOEVENTO="Manual",$M630=1),0,IF(OFFSET(CRONOPLE!$F$14,$M630,AV$13)="",10^12,OFFSET(CRONOPLE!$F$14,$M630,AV$13))))</f>
        <v>0</v>
      </c>
      <c r="AX630" s="182">
        <f ca="1">IF($D630&lt;&gt;"Serviço",0,IF(OR(AND(AUTOEVENTO="Manual",$M630=1),$M630&gt;(ROW(PLE.lastrow)-ROW(PLE.firstrow))),0,IF(OFFSET(PLE!$G$14,$M630,AX$13)="",10^12,OFFSET(PLE!$G$14,$M630,AX$13))))</f>
        <v>0</v>
      </c>
      <c r="AY630" s="182">
        <f ca="1">IF($D630&lt;&gt;"Serviço",0,IF(OR(AND(AUTOEVENTO="Manual",$M630=1),$M630&gt;(ROW(PLE.lastrow)-ROW(PLE.firstrow))),0,IF(OFFSET(PLE!$G$14,$M630,AY$13)="",10^12,OFFSET(PLE!$G$14,$M630,AY$13))))</f>
        <v>0</v>
      </c>
      <c r="AZ630" s="182">
        <f ca="1">IF($D630&lt;&gt;"Serviço",0,IF(OR(AND(AUTOEVENTO="Manual",$M630=1),$M630&gt;(ROW(PLE.lastrow)-ROW(PLE.firstrow))),0,IF(OFFSET(PLE!$G$14,$M630,AZ$13)="",10^12,OFFSET(PLE!$G$14,$M630,AZ$13))))</f>
        <v>0</v>
      </c>
      <c r="BA630" s="182">
        <f ca="1">IF($D630&lt;&gt;"Serviço",0,IF(OR(AND(AUTOEVENTO="Manual",$M630=1),$M630&gt;(ROW(PLE.lastrow)-ROW(PLE.firstrow))),0,IF(OFFSET(PLE!$G$14,$M630,BA$13)="",10^12,OFFSET(PLE!$G$14,$M630,BA$13))))</f>
        <v>0</v>
      </c>
      <c r="BB630" s="182">
        <f ca="1">IF($D630&lt;&gt;"Serviço",0,IF(OR(AND(AUTOEVENTO="Manual",$M630=1),$M630&gt;(ROW(PLE.lastrow)-ROW(PLE.firstrow))),0,IF(OFFSET(PLE!$G$14,$M630,BB$13)="",10^12,OFFSET(PLE!$G$14,$M630,BB$13))))</f>
        <v>0</v>
      </c>
      <c r="BC630" s="182">
        <f ca="1">IF($D630&lt;&gt;"Serviço",0,IF(OR(AND(AUTOEVENTO="Manual",$M630=1),$M630&gt;(ROW(PLE.lastrow)-ROW(PLE.firstrow))),0,IF(OFFSET(PLE!$G$14,$M630,BC$13)="",10^12,OFFSET(PLE!$G$14,$M630,BC$13))))</f>
        <v>0</v>
      </c>
      <c r="BD630" s="182">
        <f ca="1">IF($D630&lt;&gt;"Serviço",0,IF(OR(AND(AUTOEVENTO="Manual",$M630=1),$M630&gt;(ROW(PLE.lastrow)-ROW(PLE.firstrow))),0,IF(OFFSET(PLE!$G$14,$M630,BD$13)="",10^12,OFFSET(PLE!$G$14,$M630,BD$13))))</f>
        <v>0</v>
      </c>
      <c r="BE630" s="182">
        <f ca="1">IF($D630&lt;&gt;"Serviço",0,IF(OR(AND(AUTOEVENTO="Manual",$M630=1),$M630&gt;(ROW(PLE.lastrow)-ROW(PLE.firstrow))),0,IF(OFFSET(PLE!$G$14,$M630,BE$13)="",10^12,OFFSET(PLE!$G$14,$M630,BE$13))))</f>
        <v>0</v>
      </c>
      <c r="BF630" s="182">
        <f ca="1">IF($D630&lt;&gt;"Serviço",0,IF(OR(AND(AUTOEVENTO="Manual",$M630=1),$M630&gt;(ROW(PLE.lastrow)-ROW(PLE.firstrow))),0,IF(OFFSET(PLE!$G$14,$M630,BF$13)="",10^12,OFFSET(PLE!$G$14,$M630,BF$13))))</f>
        <v>0</v>
      </c>
      <c r="BG630" s="182">
        <f ca="1">IF($D630&lt;&gt;"Serviço",0,IF(OR(AND(AUTOEVENTO="Manual",$M630=1),$M630&gt;(ROW(PLE.lastrow)-ROW(PLE.firstrow))),0,IF(OFFSET(PLE!$G$14,$M630,BG$13)="",10^12,OFFSET(PLE!$G$14,$M630,BG$13))))</f>
        <v>0</v>
      </c>
    </row>
    <row r="631" spans="1:59" ht="25.5" x14ac:dyDescent="0.2">
      <c r="A631" s="7" t="str">
        <f t="shared" ca="1" si="17"/>
        <v>593</v>
      </c>
      <c r="B631" s="7" t="str">
        <f ca="1">OFFSET(ORÇAMENTO!C$15,ROW(B631)-ROW(B$15),0)</f>
        <v>S</v>
      </c>
      <c r="C631" s="7" t="str">
        <f ca="1">OFFSET(ORÇAMENTO!L$15,ROW(C631)-ROW(C$15),0)</f>
        <v/>
      </c>
      <c r="D631" s="118" t="str">
        <f ca="1">OFFSET(ORÇAMENTO!N$15,ROW(D631)-ROW(D$15),0)</f>
        <v>Serviço</v>
      </c>
      <c r="E631" s="119" t="str">
        <f ca="1">OFFSET(ORÇAMENTO!O$15,ROW(E631)-ROW(E$15),0)</f>
        <v>-</v>
      </c>
      <c r="F631" s="172" t="str">
        <f ca="1">OFFSET(ORÇAMENTO!R$15,ROW(F631)-ROW(F$15),0)</f>
        <v>(abra o arquivo 'Referência 02-2025.xlsm)</v>
      </c>
      <c r="G631" s="173" t="str">
        <f ca="1">IF($D631&lt;&gt;"Serviço","",OFFSET(ORÇAMENTO!S$15,ROW(G631)-ROW(G$15),0))</f>
        <v>-</v>
      </c>
      <c r="H631" s="124">
        <f ca="1">IF($D631&lt;&gt;"Serviço",0,IF(ACOMPANHAMENTO="BM",ROUND(OFFSET(ORÇAMENTO!AJ$15,ROW(H631)-ROW(H$15),0),15-13*ORÇAMENTO!$AF$7),SUMPRODUCT(($Q$12:$AA$12&lt;&gt;"")*ROUND($Q631:$AA631,15-13*ORÇAMENTO!$AF$7))))</f>
        <v>28</v>
      </c>
      <c r="I631" s="561" t="s">
        <v>890</v>
      </c>
      <c r="K631" s="174"/>
      <c r="L631" s="175" t="s">
        <v>255</v>
      </c>
      <c r="M631" s="176">
        <f ca="1">IF($D631&lt;&gt;"Serviço","",IF(AUTOEVENTO="manual",$A631,IF(ISERROR(MATCH($A631,$A$15:OFFSET($A631,-1,0),0)),MAX($M$15:OFFSET(M631,-1,0))+1,INDEX($M$15:OFFSET(M631,-1,0),MATCH($A631,$A$15:OFFSET($A631,-1,0),0)))))</f>
        <v>19</v>
      </c>
      <c r="N631" s="177" t="str">
        <f ca="1">IF($D631&lt;&gt;"Serviço","",IF(AUTOEVENTO="Manual",IF($A631=0,"&lt;-- defina o número do agrupador",OFFSET(EVENTOS!$D$14,$A631,0)),OFFSET($F$15,$A631,0)))</f>
        <v>INSTALAÇÕES DE CABEAMENTO ESTRUTURADO</v>
      </c>
      <c r="O631" s="178"/>
      <c r="Q631" s="178"/>
      <c r="R631" s="179"/>
      <c r="S631" s="179"/>
      <c r="T631" s="179"/>
      <c r="U631" s="179"/>
      <c r="V631" s="179"/>
      <c r="W631" s="179"/>
      <c r="X631" s="179"/>
      <c r="Y631" s="179"/>
      <c r="Z631" s="180"/>
      <c r="AB631" s="544">
        <f ca="1">IF(AND($D631="Serviço",AB$12&lt;&gt;0,$H631&gt;0,OR(AUTOEVENTO&lt;&gt;"manual",$M631&lt;&gt;1)),
IF(Import.TipoArredondamento&lt;&gt;"TransfereGOV",
ROUND(OFFSET($P631,0,AB$13),15-13*ORÇAMENTO!$AF$7)/$H631*OFFSET(ORÇAMENTO!$X$15,ROW(AB631)-ROW(AB$15),0),
ROUND(ROUND(OFFSET($P631,0,AB$13),15-13*ORÇAMENTO!$AF$7)*OFFSET(ORÇAMENTO!$W$15,ROW(AB631)-ROW(AB$15),0),15-13*ORÇAMENTO!$AF$11)),0)</f>
        <v>0</v>
      </c>
      <c r="AC631" s="545">
        <f ca="1">IF(AND($D631="Serviço",AC$12&lt;&gt;0,$H631&gt;0,OR(AUTOEVENTO&lt;&gt;"manual",$M631&lt;&gt;1)),
IF(Import.TipoArredondamento&lt;&gt;"TransfereGOV",
ROUND(OFFSET($P631,0,AC$13),15-13*ORÇAMENTO!$AF$7)/$H631*OFFSET(ORÇAMENTO!$X$15,ROW(AC631)-ROW(AC$15),0),
ROUND(ROUND(OFFSET($P631,0,AC$13),15-13*ORÇAMENTO!$AF$7)*OFFSET(ORÇAMENTO!$W$15,ROW(AC631)-ROW(AC$15),0),15-13*ORÇAMENTO!$AF$11)),0)</f>
        <v>0</v>
      </c>
      <c r="AD631" s="545">
        <f ca="1">IF(AND($D631="Serviço",AD$12&lt;&gt;0,$H631&gt;0,OR(AUTOEVENTO&lt;&gt;"manual",$M631&lt;&gt;1)),
IF(Import.TipoArredondamento&lt;&gt;"TransfereGOV",
ROUND(OFFSET($P631,0,AD$13),15-13*ORÇAMENTO!$AF$7)/$H631*OFFSET(ORÇAMENTO!$X$15,ROW(AD631)-ROW(AD$15),0),
ROUND(ROUND(OFFSET($P631,0,AD$13),15-13*ORÇAMENTO!$AF$7)*OFFSET(ORÇAMENTO!$W$15,ROW(AD631)-ROW(AD$15),0),15-13*ORÇAMENTO!$AF$11)),0)</f>
        <v>0</v>
      </c>
      <c r="AE631" s="545">
        <f ca="1">IF(AND($D631="Serviço",AE$12&lt;&gt;0,$H631&gt;0,OR(AUTOEVENTO&lt;&gt;"manual",$M631&lt;&gt;1)),
IF(Import.TipoArredondamento&lt;&gt;"TransfereGOV",
ROUND(OFFSET($P631,0,AE$13),15-13*ORÇAMENTO!$AF$7)/$H631*OFFSET(ORÇAMENTO!$X$15,ROW(AE631)-ROW(AE$15),0),
ROUND(ROUND(OFFSET($P631,0,AE$13),15-13*ORÇAMENTO!$AF$7)*OFFSET(ORÇAMENTO!$W$15,ROW(AE631)-ROW(AE$15),0),15-13*ORÇAMENTO!$AF$11)),0)</f>
        <v>0</v>
      </c>
      <c r="AF631" s="545">
        <f ca="1">IF(AND($D631="Serviço",AF$12&lt;&gt;0,$H631&gt;0,OR(AUTOEVENTO&lt;&gt;"manual",$M631&lt;&gt;1)),
IF(Import.TipoArredondamento&lt;&gt;"TransfereGOV",
ROUND(OFFSET($P631,0,AF$13),15-13*ORÇAMENTO!$AF$7)/$H631*OFFSET(ORÇAMENTO!$X$15,ROW(AF631)-ROW(AF$15),0),
ROUND(ROUND(OFFSET($P631,0,AF$13),15-13*ORÇAMENTO!$AF$7)*OFFSET(ORÇAMENTO!$W$15,ROW(AF631)-ROW(AF$15),0),15-13*ORÇAMENTO!$AF$11)),0)</f>
        <v>0</v>
      </c>
      <c r="AG631" s="545">
        <f ca="1">IF(AND($D631="Serviço",AG$12&lt;&gt;0,$H631&gt;0,OR(AUTOEVENTO&lt;&gt;"manual",$M631&lt;&gt;1)),
IF(Import.TipoArredondamento&lt;&gt;"TransfereGOV",
ROUND(OFFSET($P631,0,AG$13),15-13*ORÇAMENTO!$AF$7)/$H631*OFFSET(ORÇAMENTO!$X$15,ROW(AG631)-ROW(AG$15),0),
ROUND(ROUND(OFFSET($P631,0,AG$13),15-13*ORÇAMENTO!$AF$7)*OFFSET(ORÇAMENTO!$W$15,ROW(AG631)-ROW(AG$15),0),15-13*ORÇAMENTO!$AF$11)),0)</f>
        <v>0</v>
      </c>
      <c r="AH631" s="545">
        <f ca="1">IF(AND($D631="Serviço",AH$12&lt;&gt;0,$H631&gt;0,OR(AUTOEVENTO&lt;&gt;"manual",$M631&lt;&gt;1)),
IF(Import.TipoArredondamento&lt;&gt;"TransfereGOV",
ROUND(OFFSET($P631,0,AH$13),15-13*ORÇAMENTO!$AF$7)/$H631*OFFSET(ORÇAMENTO!$X$15,ROW(AH631)-ROW(AH$15),0),
ROUND(ROUND(OFFSET($P631,0,AH$13),15-13*ORÇAMENTO!$AF$7)*OFFSET(ORÇAMENTO!$W$15,ROW(AH631)-ROW(AH$15),0),15-13*ORÇAMENTO!$AF$11)),0)</f>
        <v>0</v>
      </c>
      <c r="AI631" s="545">
        <f ca="1">IF(AND($D631="Serviço",AI$12&lt;&gt;0,$H631&gt;0,OR(AUTOEVENTO&lt;&gt;"manual",$M631&lt;&gt;1)),
IF(Import.TipoArredondamento&lt;&gt;"TransfereGOV",
ROUND(OFFSET($P631,0,AI$13),15-13*ORÇAMENTO!$AF$7)/$H631*OFFSET(ORÇAMENTO!$X$15,ROW(AI631)-ROW(AI$15),0),
ROUND(ROUND(OFFSET($P631,0,AI$13),15-13*ORÇAMENTO!$AF$7)*OFFSET(ORÇAMENTO!$W$15,ROW(AI631)-ROW(AI$15),0),15-13*ORÇAMENTO!$AF$11)),0)</f>
        <v>0</v>
      </c>
      <c r="AJ631" s="545">
        <f ca="1">IF(AND($D631="Serviço",AJ$12&lt;&gt;0,$H631&gt;0,OR(AUTOEVENTO&lt;&gt;"manual",$M631&lt;&gt;1)),
IF(Import.TipoArredondamento&lt;&gt;"TransfereGOV",
ROUND(OFFSET($P631,0,AJ$13),15-13*ORÇAMENTO!$AF$7)/$H631*OFFSET(ORÇAMENTO!$X$15,ROW(AJ631)-ROW(AJ$15),0),
ROUND(ROUND(OFFSET($P631,0,AJ$13),15-13*ORÇAMENTO!$AF$7)*OFFSET(ORÇAMENTO!$W$15,ROW(AJ631)-ROW(AJ$15),0),15-13*ORÇAMENTO!$AF$11)),0)</f>
        <v>0</v>
      </c>
      <c r="AK631" s="546">
        <f ca="1">IF(AND($D631="Serviço",AK$12&lt;&gt;0,$H631&gt;0,OR(AUTOEVENTO&lt;&gt;"manual",$M631&lt;&gt;1)),
IF(Import.TipoArredondamento&lt;&gt;"TransfereGOV",
ROUND(OFFSET($P631,0,AK$13),15-13*ORÇAMENTO!$AF$7)/$H631*OFFSET(ORÇAMENTO!$X$15,ROW(AK631)-ROW(AK$15),0),
ROUND(ROUND(OFFSET($P631,0,AK$13),15-13*ORÇAMENTO!$AF$7)*OFFSET(ORÇAMENTO!$W$15,ROW(AK631)-ROW(AK$15),0),15-13*ORÇAMENTO!$AF$11)),0)</f>
        <v>0</v>
      </c>
      <c r="AM631" s="181">
        <f ca="1">IF($D631&lt;&gt;"Serviço",0,IF(AND(AUTOEVENTO="Manual",$M631=1),0,IF(OFFSET(CRONOPLE!$F$14,$M631,AM$13)="",10^12,OFFSET(CRONOPLE!$F$14,$M631,AM$13))))</f>
        <v>1000000000000</v>
      </c>
      <c r="AN631" s="181">
        <f ca="1">IF($D631&lt;&gt;"Serviço",0,IF(AND(AUTOEVENTO="Manual",$M631=1),0,IF(OFFSET(CRONOPLE!$F$14,$M631,AN$13)="",10^12,OFFSET(CRONOPLE!$F$14,$M631,AN$13))))</f>
        <v>1000000000000</v>
      </c>
      <c r="AO631" s="181">
        <f ca="1">IF($D631&lt;&gt;"Serviço",0,IF(AND(AUTOEVENTO="Manual",$M631=1),0,IF(OFFSET(CRONOPLE!$F$14,$M631,AO$13)="",10^12,OFFSET(CRONOPLE!$F$14,$M631,AO$13))))</f>
        <v>1000000000000</v>
      </c>
      <c r="AP631" s="181">
        <f ca="1">IF($D631&lt;&gt;"Serviço",0,IF(AND(AUTOEVENTO="Manual",$M631=1),0,IF(OFFSET(CRONOPLE!$F$14,$M631,AP$13)="",10^12,OFFSET(CRONOPLE!$F$14,$M631,AP$13))))</f>
        <v>1000000000000</v>
      </c>
      <c r="AQ631" s="181">
        <f ca="1">IF($D631&lt;&gt;"Serviço",0,IF(AND(AUTOEVENTO="Manual",$M631=1),0,IF(OFFSET(CRONOPLE!$F$14,$M631,AQ$13)="",10^12,OFFSET(CRONOPLE!$F$14,$M631,AQ$13))))</f>
        <v>1000000000000</v>
      </c>
      <c r="AR631" s="181">
        <f ca="1">IF($D631&lt;&gt;"Serviço",0,IF(AND(AUTOEVENTO="Manual",$M631=1),0,IF(OFFSET(CRONOPLE!$F$14,$M631,AR$13)="",10^12,OFFSET(CRONOPLE!$F$14,$M631,AR$13))))</f>
        <v>1000000000000</v>
      </c>
      <c r="AS631" s="181">
        <f ca="1">IF($D631&lt;&gt;"Serviço",0,IF(AND(AUTOEVENTO="Manual",$M631=1),0,IF(OFFSET(CRONOPLE!$F$14,$M631,AS$13)="",10^12,OFFSET(CRONOPLE!$F$14,$M631,AS$13))))</f>
        <v>1000000000000</v>
      </c>
      <c r="AT631" s="181">
        <f ca="1">IF($D631&lt;&gt;"Serviço",0,IF(AND(AUTOEVENTO="Manual",$M631=1),0,IF(OFFSET(CRONOPLE!$F$14,$M631,AT$13)="",10^12,OFFSET(CRONOPLE!$F$14,$M631,AT$13))))</f>
        <v>1000000000000</v>
      </c>
      <c r="AU631" s="181">
        <f ca="1">IF($D631&lt;&gt;"Serviço",0,IF(AND(AUTOEVENTO="Manual",$M631=1),0,IF(OFFSET(CRONOPLE!$F$14,$M631,AU$13)="",10^12,OFFSET(CRONOPLE!$F$14,$M631,AU$13))))</f>
        <v>1000000000000</v>
      </c>
      <c r="AV631" s="181">
        <f ca="1">IF($D631&lt;&gt;"Serviço",0,IF(AND(AUTOEVENTO="Manual",$M631=1),0,IF(OFFSET(CRONOPLE!$F$14,$M631,AV$13)="",10^12,OFFSET(CRONOPLE!$F$14,$M631,AV$13))))</f>
        <v>1000000000000</v>
      </c>
      <c r="AX631" s="182">
        <f ca="1">IF($D631&lt;&gt;"Serviço",0,IF(OR(AND(AUTOEVENTO="Manual",$M631=1),$M631&gt;(ROW(PLE.lastrow)-ROW(PLE.firstrow))),0,IF(OFFSET(PLE!$G$14,$M631,AX$13)="",10^12,OFFSET(PLE!$G$14,$M631,AX$13))))</f>
        <v>1000000000000</v>
      </c>
      <c r="AY631" s="182">
        <f ca="1">IF($D631&lt;&gt;"Serviço",0,IF(OR(AND(AUTOEVENTO="Manual",$M631=1),$M631&gt;(ROW(PLE.lastrow)-ROW(PLE.firstrow))),0,IF(OFFSET(PLE!$G$14,$M631,AY$13)="",10^12,OFFSET(PLE!$G$14,$M631,AY$13))))</f>
        <v>1000000000000</v>
      </c>
      <c r="AZ631" s="182">
        <f ca="1">IF($D631&lt;&gt;"Serviço",0,IF(OR(AND(AUTOEVENTO="Manual",$M631=1),$M631&gt;(ROW(PLE.lastrow)-ROW(PLE.firstrow))),0,IF(OFFSET(PLE!$G$14,$M631,AZ$13)="",10^12,OFFSET(PLE!$G$14,$M631,AZ$13))))</f>
        <v>1000000000000</v>
      </c>
      <c r="BA631" s="182">
        <f ca="1">IF($D631&lt;&gt;"Serviço",0,IF(OR(AND(AUTOEVENTO="Manual",$M631=1),$M631&gt;(ROW(PLE.lastrow)-ROW(PLE.firstrow))),0,IF(OFFSET(PLE!$G$14,$M631,BA$13)="",10^12,OFFSET(PLE!$G$14,$M631,BA$13))))</f>
        <v>1000000000000</v>
      </c>
      <c r="BB631" s="182">
        <f ca="1">IF($D631&lt;&gt;"Serviço",0,IF(OR(AND(AUTOEVENTO="Manual",$M631=1),$M631&gt;(ROW(PLE.lastrow)-ROW(PLE.firstrow))),0,IF(OFFSET(PLE!$G$14,$M631,BB$13)="",10^12,OFFSET(PLE!$G$14,$M631,BB$13))))</f>
        <v>1000000000000</v>
      </c>
      <c r="BC631" s="182">
        <f ca="1">IF($D631&lt;&gt;"Serviço",0,IF(OR(AND(AUTOEVENTO="Manual",$M631=1),$M631&gt;(ROW(PLE.lastrow)-ROW(PLE.firstrow))),0,IF(OFFSET(PLE!$G$14,$M631,BC$13)="",10^12,OFFSET(PLE!$G$14,$M631,BC$13))))</f>
        <v>1000000000000</v>
      </c>
      <c r="BD631" s="182">
        <f ca="1">IF($D631&lt;&gt;"Serviço",0,IF(OR(AND(AUTOEVENTO="Manual",$M631=1),$M631&gt;(ROW(PLE.lastrow)-ROW(PLE.firstrow))),0,IF(OFFSET(PLE!$G$14,$M631,BD$13)="",10^12,OFFSET(PLE!$G$14,$M631,BD$13))))</f>
        <v>1000000000000</v>
      </c>
      <c r="BE631" s="182">
        <f ca="1">IF($D631&lt;&gt;"Serviço",0,IF(OR(AND(AUTOEVENTO="Manual",$M631=1),$M631&gt;(ROW(PLE.lastrow)-ROW(PLE.firstrow))),0,IF(OFFSET(PLE!$G$14,$M631,BE$13)="",10^12,OFFSET(PLE!$G$14,$M631,BE$13))))</f>
        <v>1000000000000</v>
      </c>
      <c r="BF631" s="182">
        <f ca="1">IF($D631&lt;&gt;"Serviço",0,IF(OR(AND(AUTOEVENTO="Manual",$M631=1),$M631&gt;(ROW(PLE.lastrow)-ROW(PLE.firstrow))),0,IF(OFFSET(PLE!$G$14,$M631,BF$13)="",10^12,OFFSET(PLE!$G$14,$M631,BF$13))))</f>
        <v>1000000000000</v>
      </c>
      <c r="BG631" s="182">
        <f ca="1">IF($D631&lt;&gt;"Serviço",0,IF(OR(AND(AUTOEVENTO="Manual",$M631=1),$M631&gt;(ROW(PLE.lastrow)-ROW(PLE.firstrow))),0,IF(OFFSET(PLE!$G$14,$M631,BG$13)="",10^12,OFFSET(PLE!$G$14,$M631,BG$13))))</f>
        <v>1000000000000</v>
      </c>
    </row>
    <row r="632" spans="1:59" ht="25.5" x14ac:dyDescent="0.2">
      <c r="A632" s="7" t="str">
        <f t="shared" ca="1" si="17"/>
        <v>593</v>
      </c>
      <c r="B632" s="7" t="str">
        <f ca="1">OFFSET(ORÇAMENTO!C$15,ROW(B632)-ROW(B$15),0)</f>
        <v>S</v>
      </c>
      <c r="C632" s="7" t="str">
        <f ca="1">OFFSET(ORÇAMENTO!L$15,ROW(C632)-ROW(C$15),0)</f>
        <v/>
      </c>
      <c r="D632" s="118" t="str">
        <f ca="1">OFFSET(ORÇAMENTO!N$15,ROW(D632)-ROW(D$15),0)</f>
        <v>Serviço</v>
      </c>
      <c r="E632" s="119" t="str">
        <f ca="1">OFFSET(ORÇAMENTO!O$15,ROW(E632)-ROW(E$15),0)</f>
        <v>-</v>
      </c>
      <c r="F632" s="172" t="str">
        <f ca="1">OFFSET(ORÇAMENTO!R$15,ROW(F632)-ROW(F$15),0)</f>
        <v>(abra o arquivo 'Referência 02-2025.xlsm)</v>
      </c>
      <c r="G632" s="173" t="str">
        <f ca="1">IF($D632&lt;&gt;"Serviço","",OFFSET(ORÇAMENTO!S$15,ROW(G632)-ROW(G$15),0))</f>
        <v>-</v>
      </c>
      <c r="H632" s="124">
        <f ca="1">IF($D632&lt;&gt;"Serviço",0,IF(ACOMPANHAMENTO="BM",ROUND(OFFSET(ORÇAMENTO!AJ$15,ROW(H632)-ROW(H$15),0),15-13*ORÇAMENTO!$AF$7),SUMPRODUCT(($Q$12:$AA$12&lt;&gt;"")*ROUND($Q632:$AA632,15-13*ORÇAMENTO!$AF$7))))</f>
        <v>14</v>
      </c>
      <c r="I632" s="561" t="s">
        <v>890</v>
      </c>
      <c r="K632" s="174"/>
      <c r="L632" s="175" t="s">
        <v>255</v>
      </c>
      <c r="M632" s="176">
        <f ca="1">IF($D632&lt;&gt;"Serviço","",IF(AUTOEVENTO="manual",$A632,IF(ISERROR(MATCH($A632,$A$15:OFFSET($A632,-1,0),0)),MAX($M$15:OFFSET(M632,-1,0))+1,INDEX($M$15:OFFSET(M632,-1,0),MATCH($A632,$A$15:OFFSET($A632,-1,0),0)))))</f>
        <v>19</v>
      </c>
      <c r="N632" s="177" t="str">
        <f ca="1">IF($D632&lt;&gt;"Serviço","",IF(AUTOEVENTO="Manual",IF($A632=0,"&lt;-- defina o número do agrupador",OFFSET(EVENTOS!$D$14,$A632,0)),OFFSET($F$15,$A632,0)))</f>
        <v>INSTALAÇÕES DE CABEAMENTO ESTRUTURADO</v>
      </c>
      <c r="O632" s="178"/>
      <c r="Q632" s="178"/>
      <c r="R632" s="179"/>
      <c r="S632" s="179"/>
      <c r="T632" s="179"/>
      <c r="U632" s="179"/>
      <c r="V632" s="179"/>
      <c r="W632" s="179"/>
      <c r="X632" s="179"/>
      <c r="Y632" s="179"/>
      <c r="Z632" s="180"/>
      <c r="AB632" s="544">
        <f ca="1">IF(AND($D632="Serviço",AB$12&lt;&gt;0,$H632&gt;0,OR(AUTOEVENTO&lt;&gt;"manual",$M632&lt;&gt;1)),
IF(Import.TipoArredondamento&lt;&gt;"TransfereGOV",
ROUND(OFFSET($P632,0,AB$13),15-13*ORÇAMENTO!$AF$7)/$H632*OFFSET(ORÇAMENTO!$X$15,ROW(AB632)-ROW(AB$15),0),
ROUND(ROUND(OFFSET($P632,0,AB$13),15-13*ORÇAMENTO!$AF$7)*OFFSET(ORÇAMENTO!$W$15,ROW(AB632)-ROW(AB$15),0),15-13*ORÇAMENTO!$AF$11)),0)</f>
        <v>0</v>
      </c>
      <c r="AC632" s="545">
        <f ca="1">IF(AND($D632="Serviço",AC$12&lt;&gt;0,$H632&gt;0,OR(AUTOEVENTO&lt;&gt;"manual",$M632&lt;&gt;1)),
IF(Import.TipoArredondamento&lt;&gt;"TransfereGOV",
ROUND(OFFSET($P632,0,AC$13),15-13*ORÇAMENTO!$AF$7)/$H632*OFFSET(ORÇAMENTO!$X$15,ROW(AC632)-ROW(AC$15),0),
ROUND(ROUND(OFFSET($P632,0,AC$13),15-13*ORÇAMENTO!$AF$7)*OFFSET(ORÇAMENTO!$W$15,ROW(AC632)-ROW(AC$15),0),15-13*ORÇAMENTO!$AF$11)),0)</f>
        <v>0</v>
      </c>
      <c r="AD632" s="545">
        <f ca="1">IF(AND($D632="Serviço",AD$12&lt;&gt;0,$H632&gt;0,OR(AUTOEVENTO&lt;&gt;"manual",$M632&lt;&gt;1)),
IF(Import.TipoArredondamento&lt;&gt;"TransfereGOV",
ROUND(OFFSET($P632,0,AD$13),15-13*ORÇAMENTO!$AF$7)/$H632*OFFSET(ORÇAMENTO!$X$15,ROW(AD632)-ROW(AD$15),0),
ROUND(ROUND(OFFSET($P632,0,AD$13),15-13*ORÇAMENTO!$AF$7)*OFFSET(ORÇAMENTO!$W$15,ROW(AD632)-ROW(AD$15),0),15-13*ORÇAMENTO!$AF$11)),0)</f>
        <v>0</v>
      </c>
      <c r="AE632" s="545">
        <f ca="1">IF(AND($D632="Serviço",AE$12&lt;&gt;0,$H632&gt;0,OR(AUTOEVENTO&lt;&gt;"manual",$M632&lt;&gt;1)),
IF(Import.TipoArredondamento&lt;&gt;"TransfereGOV",
ROUND(OFFSET($P632,0,AE$13),15-13*ORÇAMENTO!$AF$7)/$H632*OFFSET(ORÇAMENTO!$X$15,ROW(AE632)-ROW(AE$15),0),
ROUND(ROUND(OFFSET($P632,0,AE$13),15-13*ORÇAMENTO!$AF$7)*OFFSET(ORÇAMENTO!$W$15,ROW(AE632)-ROW(AE$15),0),15-13*ORÇAMENTO!$AF$11)),0)</f>
        <v>0</v>
      </c>
      <c r="AF632" s="545">
        <f ca="1">IF(AND($D632="Serviço",AF$12&lt;&gt;0,$H632&gt;0,OR(AUTOEVENTO&lt;&gt;"manual",$M632&lt;&gt;1)),
IF(Import.TipoArredondamento&lt;&gt;"TransfereGOV",
ROUND(OFFSET($P632,0,AF$13),15-13*ORÇAMENTO!$AF$7)/$H632*OFFSET(ORÇAMENTO!$X$15,ROW(AF632)-ROW(AF$15),0),
ROUND(ROUND(OFFSET($P632,0,AF$13),15-13*ORÇAMENTO!$AF$7)*OFFSET(ORÇAMENTO!$W$15,ROW(AF632)-ROW(AF$15),0),15-13*ORÇAMENTO!$AF$11)),0)</f>
        <v>0</v>
      </c>
      <c r="AG632" s="545">
        <f ca="1">IF(AND($D632="Serviço",AG$12&lt;&gt;0,$H632&gt;0,OR(AUTOEVENTO&lt;&gt;"manual",$M632&lt;&gt;1)),
IF(Import.TipoArredondamento&lt;&gt;"TransfereGOV",
ROUND(OFFSET($P632,0,AG$13),15-13*ORÇAMENTO!$AF$7)/$H632*OFFSET(ORÇAMENTO!$X$15,ROW(AG632)-ROW(AG$15),0),
ROUND(ROUND(OFFSET($P632,0,AG$13),15-13*ORÇAMENTO!$AF$7)*OFFSET(ORÇAMENTO!$W$15,ROW(AG632)-ROW(AG$15),0),15-13*ORÇAMENTO!$AF$11)),0)</f>
        <v>0</v>
      </c>
      <c r="AH632" s="545">
        <f ca="1">IF(AND($D632="Serviço",AH$12&lt;&gt;0,$H632&gt;0,OR(AUTOEVENTO&lt;&gt;"manual",$M632&lt;&gt;1)),
IF(Import.TipoArredondamento&lt;&gt;"TransfereGOV",
ROUND(OFFSET($P632,0,AH$13),15-13*ORÇAMENTO!$AF$7)/$H632*OFFSET(ORÇAMENTO!$X$15,ROW(AH632)-ROW(AH$15),0),
ROUND(ROUND(OFFSET($P632,0,AH$13),15-13*ORÇAMENTO!$AF$7)*OFFSET(ORÇAMENTO!$W$15,ROW(AH632)-ROW(AH$15),0),15-13*ORÇAMENTO!$AF$11)),0)</f>
        <v>0</v>
      </c>
      <c r="AI632" s="545">
        <f ca="1">IF(AND($D632="Serviço",AI$12&lt;&gt;0,$H632&gt;0,OR(AUTOEVENTO&lt;&gt;"manual",$M632&lt;&gt;1)),
IF(Import.TipoArredondamento&lt;&gt;"TransfereGOV",
ROUND(OFFSET($P632,0,AI$13),15-13*ORÇAMENTO!$AF$7)/$H632*OFFSET(ORÇAMENTO!$X$15,ROW(AI632)-ROW(AI$15),0),
ROUND(ROUND(OFFSET($P632,0,AI$13),15-13*ORÇAMENTO!$AF$7)*OFFSET(ORÇAMENTO!$W$15,ROW(AI632)-ROW(AI$15),0),15-13*ORÇAMENTO!$AF$11)),0)</f>
        <v>0</v>
      </c>
      <c r="AJ632" s="545">
        <f ca="1">IF(AND($D632="Serviço",AJ$12&lt;&gt;0,$H632&gt;0,OR(AUTOEVENTO&lt;&gt;"manual",$M632&lt;&gt;1)),
IF(Import.TipoArredondamento&lt;&gt;"TransfereGOV",
ROUND(OFFSET($P632,0,AJ$13),15-13*ORÇAMENTO!$AF$7)/$H632*OFFSET(ORÇAMENTO!$X$15,ROW(AJ632)-ROW(AJ$15),0),
ROUND(ROUND(OFFSET($P632,0,AJ$13),15-13*ORÇAMENTO!$AF$7)*OFFSET(ORÇAMENTO!$W$15,ROW(AJ632)-ROW(AJ$15),0),15-13*ORÇAMENTO!$AF$11)),0)</f>
        <v>0</v>
      </c>
      <c r="AK632" s="546">
        <f ca="1">IF(AND($D632="Serviço",AK$12&lt;&gt;0,$H632&gt;0,OR(AUTOEVENTO&lt;&gt;"manual",$M632&lt;&gt;1)),
IF(Import.TipoArredondamento&lt;&gt;"TransfereGOV",
ROUND(OFFSET($P632,0,AK$13),15-13*ORÇAMENTO!$AF$7)/$H632*OFFSET(ORÇAMENTO!$X$15,ROW(AK632)-ROW(AK$15),0),
ROUND(ROUND(OFFSET($P632,0,AK$13),15-13*ORÇAMENTO!$AF$7)*OFFSET(ORÇAMENTO!$W$15,ROW(AK632)-ROW(AK$15),0),15-13*ORÇAMENTO!$AF$11)),0)</f>
        <v>0</v>
      </c>
      <c r="AM632" s="181">
        <f ca="1">IF($D632&lt;&gt;"Serviço",0,IF(AND(AUTOEVENTO="Manual",$M632=1),0,IF(OFFSET(CRONOPLE!$F$14,$M632,AM$13)="",10^12,OFFSET(CRONOPLE!$F$14,$M632,AM$13))))</f>
        <v>1000000000000</v>
      </c>
      <c r="AN632" s="181">
        <f ca="1">IF($D632&lt;&gt;"Serviço",0,IF(AND(AUTOEVENTO="Manual",$M632=1),0,IF(OFFSET(CRONOPLE!$F$14,$M632,AN$13)="",10^12,OFFSET(CRONOPLE!$F$14,$M632,AN$13))))</f>
        <v>1000000000000</v>
      </c>
      <c r="AO632" s="181">
        <f ca="1">IF($D632&lt;&gt;"Serviço",0,IF(AND(AUTOEVENTO="Manual",$M632=1),0,IF(OFFSET(CRONOPLE!$F$14,$M632,AO$13)="",10^12,OFFSET(CRONOPLE!$F$14,$M632,AO$13))))</f>
        <v>1000000000000</v>
      </c>
      <c r="AP632" s="181">
        <f ca="1">IF($D632&lt;&gt;"Serviço",0,IF(AND(AUTOEVENTO="Manual",$M632=1),0,IF(OFFSET(CRONOPLE!$F$14,$M632,AP$13)="",10^12,OFFSET(CRONOPLE!$F$14,$M632,AP$13))))</f>
        <v>1000000000000</v>
      </c>
      <c r="AQ632" s="181">
        <f ca="1">IF($D632&lt;&gt;"Serviço",0,IF(AND(AUTOEVENTO="Manual",$M632=1),0,IF(OFFSET(CRONOPLE!$F$14,$M632,AQ$13)="",10^12,OFFSET(CRONOPLE!$F$14,$M632,AQ$13))))</f>
        <v>1000000000000</v>
      </c>
      <c r="AR632" s="181">
        <f ca="1">IF($D632&lt;&gt;"Serviço",0,IF(AND(AUTOEVENTO="Manual",$M632=1),0,IF(OFFSET(CRONOPLE!$F$14,$M632,AR$13)="",10^12,OFFSET(CRONOPLE!$F$14,$M632,AR$13))))</f>
        <v>1000000000000</v>
      </c>
      <c r="AS632" s="181">
        <f ca="1">IF($D632&lt;&gt;"Serviço",0,IF(AND(AUTOEVENTO="Manual",$M632=1),0,IF(OFFSET(CRONOPLE!$F$14,$M632,AS$13)="",10^12,OFFSET(CRONOPLE!$F$14,$M632,AS$13))))</f>
        <v>1000000000000</v>
      </c>
      <c r="AT632" s="181">
        <f ca="1">IF($D632&lt;&gt;"Serviço",0,IF(AND(AUTOEVENTO="Manual",$M632=1),0,IF(OFFSET(CRONOPLE!$F$14,$M632,AT$13)="",10^12,OFFSET(CRONOPLE!$F$14,$M632,AT$13))))</f>
        <v>1000000000000</v>
      </c>
      <c r="AU632" s="181">
        <f ca="1">IF($D632&lt;&gt;"Serviço",0,IF(AND(AUTOEVENTO="Manual",$M632=1),0,IF(OFFSET(CRONOPLE!$F$14,$M632,AU$13)="",10^12,OFFSET(CRONOPLE!$F$14,$M632,AU$13))))</f>
        <v>1000000000000</v>
      </c>
      <c r="AV632" s="181">
        <f ca="1">IF($D632&lt;&gt;"Serviço",0,IF(AND(AUTOEVENTO="Manual",$M632=1),0,IF(OFFSET(CRONOPLE!$F$14,$M632,AV$13)="",10^12,OFFSET(CRONOPLE!$F$14,$M632,AV$13))))</f>
        <v>1000000000000</v>
      </c>
      <c r="AX632" s="182">
        <f ca="1">IF($D632&lt;&gt;"Serviço",0,IF(OR(AND(AUTOEVENTO="Manual",$M632=1),$M632&gt;(ROW(PLE.lastrow)-ROW(PLE.firstrow))),0,IF(OFFSET(PLE!$G$14,$M632,AX$13)="",10^12,OFFSET(PLE!$G$14,$M632,AX$13))))</f>
        <v>1000000000000</v>
      </c>
      <c r="AY632" s="182">
        <f ca="1">IF($D632&lt;&gt;"Serviço",0,IF(OR(AND(AUTOEVENTO="Manual",$M632=1),$M632&gt;(ROW(PLE.lastrow)-ROW(PLE.firstrow))),0,IF(OFFSET(PLE!$G$14,$M632,AY$13)="",10^12,OFFSET(PLE!$G$14,$M632,AY$13))))</f>
        <v>1000000000000</v>
      </c>
      <c r="AZ632" s="182">
        <f ca="1">IF($D632&lt;&gt;"Serviço",0,IF(OR(AND(AUTOEVENTO="Manual",$M632=1),$M632&gt;(ROW(PLE.lastrow)-ROW(PLE.firstrow))),0,IF(OFFSET(PLE!$G$14,$M632,AZ$13)="",10^12,OFFSET(PLE!$G$14,$M632,AZ$13))))</f>
        <v>1000000000000</v>
      </c>
      <c r="BA632" s="182">
        <f ca="1">IF($D632&lt;&gt;"Serviço",0,IF(OR(AND(AUTOEVENTO="Manual",$M632=1),$M632&gt;(ROW(PLE.lastrow)-ROW(PLE.firstrow))),0,IF(OFFSET(PLE!$G$14,$M632,BA$13)="",10^12,OFFSET(PLE!$G$14,$M632,BA$13))))</f>
        <v>1000000000000</v>
      </c>
      <c r="BB632" s="182">
        <f ca="1">IF($D632&lt;&gt;"Serviço",0,IF(OR(AND(AUTOEVENTO="Manual",$M632=1),$M632&gt;(ROW(PLE.lastrow)-ROW(PLE.firstrow))),0,IF(OFFSET(PLE!$G$14,$M632,BB$13)="",10^12,OFFSET(PLE!$G$14,$M632,BB$13))))</f>
        <v>1000000000000</v>
      </c>
      <c r="BC632" s="182">
        <f ca="1">IF($D632&lt;&gt;"Serviço",0,IF(OR(AND(AUTOEVENTO="Manual",$M632=1),$M632&gt;(ROW(PLE.lastrow)-ROW(PLE.firstrow))),0,IF(OFFSET(PLE!$G$14,$M632,BC$13)="",10^12,OFFSET(PLE!$G$14,$M632,BC$13))))</f>
        <v>1000000000000</v>
      </c>
      <c r="BD632" s="182">
        <f ca="1">IF($D632&lt;&gt;"Serviço",0,IF(OR(AND(AUTOEVENTO="Manual",$M632=1),$M632&gt;(ROW(PLE.lastrow)-ROW(PLE.firstrow))),0,IF(OFFSET(PLE!$G$14,$M632,BD$13)="",10^12,OFFSET(PLE!$G$14,$M632,BD$13))))</f>
        <v>1000000000000</v>
      </c>
      <c r="BE632" s="182">
        <f ca="1">IF($D632&lt;&gt;"Serviço",0,IF(OR(AND(AUTOEVENTO="Manual",$M632=1),$M632&gt;(ROW(PLE.lastrow)-ROW(PLE.firstrow))),0,IF(OFFSET(PLE!$G$14,$M632,BE$13)="",10^12,OFFSET(PLE!$G$14,$M632,BE$13))))</f>
        <v>1000000000000</v>
      </c>
      <c r="BF632" s="182">
        <f ca="1">IF($D632&lt;&gt;"Serviço",0,IF(OR(AND(AUTOEVENTO="Manual",$M632=1),$M632&gt;(ROW(PLE.lastrow)-ROW(PLE.firstrow))),0,IF(OFFSET(PLE!$G$14,$M632,BF$13)="",10^12,OFFSET(PLE!$G$14,$M632,BF$13))))</f>
        <v>1000000000000</v>
      </c>
      <c r="BG632" s="182">
        <f ca="1">IF($D632&lt;&gt;"Serviço",0,IF(OR(AND(AUTOEVENTO="Manual",$M632=1),$M632&gt;(ROW(PLE.lastrow)-ROW(PLE.firstrow))),0,IF(OFFSET(PLE!$G$14,$M632,BG$13)="",10^12,OFFSET(PLE!$G$14,$M632,BG$13))))</f>
        <v>1000000000000</v>
      </c>
    </row>
    <row r="633" spans="1:59" ht="12.75" x14ac:dyDescent="0.2">
      <c r="A633" s="7" t="str">
        <f t="shared" ca="1" si="17"/>
        <v>593</v>
      </c>
      <c r="B633" s="7">
        <f ca="1">OFFSET(ORÇAMENTO!C$15,ROW(B633)-ROW(B$15),0)</f>
        <v>3</v>
      </c>
      <c r="C633" s="7" t="str">
        <f ca="1">OFFSET(ORÇAMENTO!L$15,ROW(C633)-ROW(C$15),0)</f>
        <v>F</v>
      </c>
      <c r="D633" s="118" t="str">
        <f ca="1">OFFSET(ORÇAMENTO!N$15,ROW(D633)-ROW(D$15),0)</f>
        <v>Nível 3</v>
      </c>
      <c r="E633" s="119" t="str">
        <f ca="1">OFFSET(ORÇAMENTO!O$15,ROW(E633)-ROW(E$15),0)</f>
        <v>1.18.5.</v>
      </c>
      <c r="F633" s="172" t="str">
        <f ca="1">OFFSET(ORÇAMENTO!R$15,ROW(F633)-ROW(F$15),0)</f>
        <v>ELETROCALHA E ELETRODUTOS</v>
      </c>
      <c r="G633" s="173" t="str">
        <f ca="1">IF($D633&lt;&gt;"Serviço","",OFFSET(ORÇAMENTO!S$15,ROW(G633)-ROW(G$15),0))</f>
        <v/>
      </c>
      <c r="H633" s="124">
        <f ca="1">IF($D633&lt;&gt;"Serviço",0,IF(ACOMPANHAMENTO="BM",ROUND(OFFSET(ORÇAMENTO!AJ$15,ROW(H633)-ROW(H$15),0),15-13*ORÇAMENTO!$AF$7),SUMPRODUCT(($Q$12:$AA$12&lt;&gt;"")*ROUND($Q633:$AA633,15-13*ORÇAMENTO!$AF$7))))</f>
        <v>0</v>
      </c>
      <c r="I633" s="561"/>
      <c r="K633" s="174"/>
      <c r="L633" s="175" t="s">
        <v>255</v>
      </c>
      <c r="M633" s="176" t="str">
        <f ca="1">IF($D633&lt;&gt;"Serviço","",IF(AUTOEVENTO="manual",$A633,IF(ISERROR(MATCH($A633,$A$15:OFFSET($A633,-1,0),0)),MAX($M$15:OFFSET(M633,-1,0))+1,INDEX($M$15:OFFSET(M633,-1,0),MATCH($A633,$A$15:OFFSET($A633,-1,0),0)))))</f>
        <v/>
      </c>
      <c r="N633" s="177" t="str">
        <f ca="1">IF($D633&lt;&gt;"Serviço","",IF(AUTOEVENTO="Manual",IF($A633=0,"&lt;-- defina o número do agrupador",OFFSET(EVENTOS!$D$14,$A633,0)),OFFSET($F$15,$A633,0)))</f>
        <v/>
      </c>
      <c r="O633" s="178"/>
      <c r="Q633" s="178"/>
      <c r="R633" s="179"/>
      <c r="S633" s="179"/>
      <c r="T633" s="179"/>
      <c r="U633" s="179"/>
      <c r="V633" s="179"/>
      <c r="W633" s="179"/>
      <c r="X633" s="179"/>
      <c r="Y633" s="179"/>
      <c r="Z633" s="180"/>
      <c r="AB633" s="544">
        <f ca="1">IF(AND($D633="Serviço",AB$12&lt;&gt;0,$H633&gt;0,OR(AUTOEVENTO&lt;&gt;"manual",$M633&lt;&gt;1)),
IF(Import.TipoArredondamento&lt;&gt;"TransfereGOV",
ROUND(OFFSET($P633,0,AB$13),15-13*ORÇAMENTO!$AF$7)/$H633*OFFSET(ORÇAMENTO!$X$15,ROW(AB633)-ROW(AB$15),0),
ROUND(ROUND(OFFSET($P633,0,AB$13),15-13*ORÇAMENTO!$AF$7)*OFFSET(ORÇAMENTO!$W$15,ROW(AB633)-ROW(AB$15),0),15-13*ORÇAMENTO!$AF$11)),0)</f>
        <v>0</v>
      </c>
      <c r="AC633" s="545">
        <f ca="1">IF(AND($D633="Serviço",AC$12&lt;&gt;0,$H633&gt;0,OR(AUTOEVENTO&lt;&gt;"manual",$M633&lt;&gt;1)),
IF(Import.TipoArredondamento&lt;&gt;"TransfereGOV",
ROUND(OFFSET($P633,0,AC$13),15-13*ORÇAMENTO!$AF$7)/$H633*OFFSET(ORÇAMENTO!$X$15,ROW(AC633)-ROW(AC$15),0),
ROUND(ROUND(OFFSET($P633,0,AC$13),15-13*ORÇAMENTO!$AF$7)*OFFSET(ORÇAMENTO!$W$15,ROW(AC633)-ROW(AC$15),0),15-13*ORÇAMENTO!$AF$11)),0)</f>
        <v>0</v>
      </c>
      <c r="AD633" s="545">
        <f ca="1">IF(AND($D633="Serviço",AD$12&lt;&gt;0,$H633&gt;0,OR(AUTOEVENTO&lt;&gt;"manual",$M633&lt;&gt;1)),
IF(Import.TipoArredondamento&lt;&gt;"TransfereGOV",
ROUND(OFFSET($P633,0,AD$13),15-13*ORÇAMENTO!$AF$7)/$H633*OFFSET(ORÇAMENTO!$X$15,ROW(AD633)-ROW(AD$15),0),
ROUND(ROUND(OFFSET($P633,0,AD$13),15-13*ORÇAMENTO!$AF$7)*OFFSET(ORÇAMENTO!$W$15,ROW(AD633)-ROW(AD$15),0),15-13*ORÇAMENTO!$AF$11)),0)</f>
        <v>0</v>
      </c>
      <c r="AE633" s="545">
        <f ca="1">IF(AND($D633="Serviço",AE$12&lt;&gt;0,$H633&gt;0,OR(AUTOEVENTO&lt;&gt;"manual",$M633&lt;&gt;1)),
IF(Import.TipoArredondamento&lt;&gt;"TransfereGOV",
ROUND(OFFSET($P633,0,AE$13),15-13*ORÇAMENTO!$AF$7)/$H633*OFFSET(ORÇAMENTO!$X$15,ROW(AE633)-ROW(AE$15),0),
ROUND(ROUND(OFFSET($P633,0,AE$13),15-13*ORÇAMENTO!$AF$7)*OFFSET(ORÇAMENTO!$W$15,ROW(AE633)-ROW(AE$15),0),15-13*ORÇAMENTO!$AF$11)),0)</f>
        <v>0</v>
      </c>
      <c r="AF633" s="545">
        <f ca="1">IF(AND($D633="Serviço",AF$12&lt;&gt;0,$H633&gt;0,OR(AUTOEVENTO&lt;&gt;"manual",$M633&lt;&gt;1)),
IF(Import.TipoArredondamento&lt;&gt;"TransfereGOV",
ROUND(OFFSET($P633,0,AF$13),15-13*ORÇAMENTO!$AF$7)/$H633*OFFSET(ORÇAMENTO!$X$15,ROW(AF633)-ROW(AF$15),0),
ROUND(ROUND(OFFSET($P633,0,AF$13),15-13*ORÇAMENTO!$AF$7)*OFFSET(ORÇAMENTO!$W$15,ROW(AF633)-ROW(AF$15),0),15-13*ORÇAMENTO!$AF$11)),0)</f>
        <v>0</v>
      </c>
      <c r="AG633" s="545">
        <f ca="1">IF(AND($D633="Serviço",AG$12&lt;&gt;0,$H633&gt;0,OR(AUTOEVENTO&lt;&gt;"manual",$M633&lt;&gt;1)),
IF(Import.TipoArredondamento&lt;&gt;"TransfereGOV",
ROUND(OFFSET($P633,0,AG$13),15-13*ORÇAMENTO!$AF$7)/$H633*OFFSET(ORÇAMENTO!$X$15,ROW(AG633)-ROW(AG$15),0),
ROUND(ROUND(OFFSET($P633,0,AG$13),15-13*ORÇAMENTO!$AF$7)*OFFSET(ORÇAMENTO!$W$15,ROW(AG633)-ROW(AG$15),0),15-13*ORÇAMENTO!$AF$11)),0)</f>
        <v>0</v>
      </c>
      <c r="AH633" s="545">
        <f ca="1">IF(AND($D633="Serviço",AH$12&lt;&gt;0,$H633&gt;0,OR(AUTOEVENTO&lt;&gt;"manual",$M633&lt;&gt;1)),
IF(Import.TipoArredondamento&lt;&gt;"TransfereGOV",
ROUND(OFFSET($P633,0,AH$13),15-13*ORÇAMENTO!$AF$7)/$H633*OFFSET(ORÇAMENTO!$X$15,ROW(AH633)-ROW(AH$15),0),
ROUND(ROUND(OFFSET($P633,0,AH$13),15-13*ORÇAMENTO!$AF$7)*OFFSET(ORÇAMENTO!$W$15,ROW(AH633)-ROW(AH$15),0),15-13*ORÇAMENTO!$AF$11)),0)</f>
        <v>0</v>
      </c>
      <c r="AI633" s="545">
        <f ca="1">IF(AND($D633="Serviço",AI$12&lt;&gt;0,$H633&gt;0,OR(AUTOEVENTO&lt;&gt;"manual",$M633&lt;&gt;1)),
IF(Import.TipoArredondamento&lt;&gt;"TransfereGOV",
ROUND(OFFSET($P633,0,AI$13),15-13*ORÇAMENTO!$AF$7)/$H633*OFFSET(ORÇAMENTO!$X$15,ROW(AI633)-ROW(AI$15),0),
ROUND(ROUND(OFFSET($P633,0,AI$13),15-13*ORÇAMENTO!$AF$7)*OFFSET(ORÇAMENTO!$W$15,ROW(AI633)-ROW(AI$15),0),15-13*ORÇAMENTO!$AF$11)),0)</f>
        <v>0</v>
      </c>
      <c r="AJ633" s="545">
        <f ca="1">IF(AND($D633="Serviço",AJ$12&lt;&gt;0,$H633&gt;0,OR(AUTOEVENTO&lt;&gt;"manual",$M633&lt;&gt;1)),
IF(Import.TipoArredondamento&lt;&gt;"TransfereGOV",
ROUND(OFFSET($P633,0,AJ$13),15-13*ORÇAMENTO!$AF$7)/$H633*OFFSET(ORÇAMENTO!$X$15,ROW(AJ633)-ROW(AJ$15),0),
ROUND(ROUND(OFFSET($P633,0,AJ$13),15-13*ORÇAMENTO!$AF$7)*OFFSET(ORÇAMENTO!$W$15,ROW(AJ633)-ROW(AJ$15),0),15-13*ORÇAMENTO!$AF$11)),0)</f>
        <v>0</v>
      </c>
      <c r="AK633" s="546">
        <f ca="1">IF(AND($D633="Serviço",AK$12&lt;&gt;0,$H633&gt;0,OR(AUTOEVENTO&lt;&gt;"manual",$M633&lt;&gt;1)),
IF(Import.TipoArredondamento&lt;&gt;"TransfereGOV",
ROUND(OFFSET($P633,0,AK$13),15-13*ORÇAMENTO!$AF$7)/$H633*OFFSET(ORÇAMENTO!$X$15,ROW(AK633)-ROW(AK$15),0),
ROUND(ROUND(OFFSET($P633,0,AK$13),15-13*ORÇAMENTO!$AF$7)*OFFSET(ORÇAMENTO!$W$15,ROW(AK633)-ROW(AK$15),0),15-13*ORÇAMENTO!$AF$11)),0)</f>
        <v>0</v>
      </c>
      <c r="AM633" s="181">
        <f ca="1">IF($D633&lt;&gt;"Serviço",0,IF(AND(AUTOEVENTO="Manual",$M633=1),0,IF(OFFSET(CRONOPLE!$F$14,$M633,AM$13)="",10^12,OFFSET(CRONOPLE!$F$14,$M633,AM$13))))</f>
        <v>0</v>
      </c>
      <c r="AN633" s="181">
        <f ca="1">IF($D633&lt;&gt;"Serviço",0,IF(AND(AUTOEVENTO="Manual",$M633=1),0,IF(OFFSET(CRONOPLE!$F$14,$M633,AN$13)="",10^12,OFFSET(CRONOPLE!$F$14,$M633,AN$13))))</f>
        <v>0</v>
      </c>
      <c r="AO633" s="181">
        <f ca="1">IF($D633&lt;&gt;"Serviço",0,IF(AND(AUTOEVENTO="Manual",$M633=1),0,IF(OFFSET(CRONOPLE!$F$14,$M633,AO$13)="",10^12,OFFSET(CRONOPLE!$F$14,$M633,AO$13))))</f>
        <v>0</v>
      </c>
      <c r="AP633" s="181">
        <f ca="1">IF($D633&lt;&gt;"Serviço",0,IF(AND(AUTOEVENTO="Manual",$M633=1),0,IF(OFFSET(CRONOPLE!$F$14,$M633,AP$13)="",10^12,OFFSET(CRONOPLE!$F$14,$M633,AP$13))))</f>
        <v>0</v>
      </c>
      <c r="AQ633" s="181">
        <f ca="1">IF($D633&lt;&gt;"Serviço",0,IF(AND(AUTOEVENTO="Manual",$M633=1),0,IF(OFFSET(CRONOPLE!$F$14,$M633,AQ$13)="",10^12,OFFSET(CRONOPLE!$F$14,$M633,AQ$13))))</f>
        <v>0</v>
      </c>
      <c r="AR633" s="181">
        <f ca="1">IF($D633&lt;&gt;"Serviço",0,IF(AND(AUTOEVENTO="Manual",$M633=1),0,IF(OFFSET(CRONOPLE!$F$14,$M633,AR$13)="",10^12,OFFSET(CRONOPLE!$F$14,$M633,AR$13))))</f>
        <v>0</v>
      </c>
      <c r="AS633" s="181">
        <f ca="1">IF($D633&lt;&gt;"Serviço",0,IF(AND(AUTOEVENTO="Manual",$M633=1),0,IF(OFFSET(CRONOPLE!$F$14,$M633,AS$13)="",10^12,OFFSET(CRONOPLE!$F$14,$M633,AS$13))))</f>
        <v>0</v>
      </c>
      <c r="AT633" s="181">
        <f ca="1">IF($D633&lt;&gt;"Serviço",0,IF(AND(AUTOEVENTO="Manual",$M633=1),0,IF(OFFSET(CRONOPLE!$F$14,$M633,AT$13)="",10^12,OFFSET(CRONOPLE!$F$14,$M633,AT$13))))</f>
        <v>0</v>
      </c>
      <c r="AU633" s="181">
        <f ca="1">IF($D633&lt;&gt;"Serviço",0,IF(AND(AUTOEVENTO="Manual",$M633=1),0,IF(OFFSET(CRONOPLE!$F$14,$M633,AU$13)="",10^12,OFFSET(CRONOPLE!$F$14,$M633,AU$13))))</f>
        <v>0</v>
      </c>
      <c r="AV633" s="181">
        <f ca="1">IF($D633&lt;&gt;"Serviço",0,IF(AND(AUTOEVENTO="Manual",$M633=1),0,IF(OFFSET(CRONOPLE!$F$14,$M633,AV$13)="",10^12,OFFSET(CRONOPLE!$F$14,$M633,AV$13))))</f>
        <v>0</v>
      </c>
      <c r="AX633" s="182">
        <f ca="1">IF($D633&lt;&gt;"Serviço",0,IF(OR(AND(AUTOEVENTO="Manual",$M633=1),$M633&gt;(ROW(PLE.lastrow)-ROW(PLE.firstrow))),0,IF(OFFSET(PLE!$G$14,$M633,AX$13)="",10^12,OFFSET(PLE!$G$14,$M633,AX$13))))</f>
        <v>0</v>
      </c>
      <c r="AY633" s="182">
        <f ca="1">IF($D633&lt;&gt;"Serviço",0,IF(OR(AND(AUTOEVENTO="Manual",$M633=1),$M633&gt;(ROW(PLE.lastrow)-ROW(PLE.firstrow))),0,IF(OFFSET(PLE!$G$14,$M633,AY$13)="",10^12,OFFSET(PLE!$G$14,$M633,AY$13))))</f>
        <v>0</v>
      </c>
      <c r="AZ633" s="182">
        <f ca="1">IF($D633&lt;&gt;"Serviço",0,IF(OR(AND(AUTOEVENTO="Manual",$M633=1),$M633&gt;(ROW(PLE.lastrow)-ROW(PLE.firstrow))),0,IF(OFFSET(PLE!$G$14,$M633,AZ$13)="",10^12,OFFSET(PLE!$G$14,$M633,AZ$13))))</f>
        <v>0</v>
      </c>
      <c r="BA633" s="182">
        <f ca="1">IF($D633&lt;&gt;"Serviço",0,IF(OR(AND(AUTOEVENTO="Manual",$M633=1),$M633&gt;(ROW(PLE.lastrow)-ROW(PLE.firstrow))),0,IF(OFFSET(PLE!$G$14,$M633,BA$13)="",10^12,OFFSET(PLE!$G$14,$M633,BA$13))))</f>
        <v>0</v>
      </c>
      <c r="BB633" s="182">
        <f ca="1">IF($D633&lt;&gt;"Serviço",0,IF(OR(AND(AUTOEVENTO="Manual",$M633=1),$M633&gt;(ROW(PLE.lastrow)-ROW(PLE.firstrow))),0,IF(OFFSET(PLE!$G$14,$M633,BB$13)="",10^12,OFFSET(PLE!$G$14,$M633,BB$13))))</f>
        <v>0</v>
      </c>
      <c r="BC633" s="182">
        <f ca="1">IF($D633&lt;&gt;"Serviço",0,IF(OR(AND(AUTOEVENTO="Manual",$M633=1),$M633&gt;(ROW(PLE.lastrow)-ROW(PLE.firstrow))),0,IF(OFFSET(PLE!$G$14,$M633,BC$13)="",10^12,OFFSET(PLE!$G$14,$M633,BC$13))))</f>
        <v>0</v>
      </c>
      <c r="BD633" s="182">
        <f ca="1">IF($D633&lt;&gt;"Serviço",0,IF(OR(AND(AUTOEVENTO="Manual",$M633=1),$M633&gt;(ROW(PLE.lastrow)-ROW(PLE.firstrow))),0,IF(OFFSET(PLE!$G$14,$M633,BD$13)="",10^12,OFFSET(PLE!$G$14,$M633,BD$13))))</f>
        <v>0</v>
      </c>
      <c r="BE633" s="182">
        <f ca="1">IF($D633&lt;&gt;"Serviço",0,IF(OR(AND(AUTOEVENTO="Manual",$M633=1),$M633&gt;(ROW(PLE.lastrow)-ROW(PLE.firstrow))),0,IF(OFFSET(PLE!$G$14,$M633,BE$13)="",10^12,OFFSET(PLE!$G$14,$M633,BE$13))))</f>
        <v>0</v>
      </c>
      <c r="BF633" s="182">
        <f ca="1">IF($D633&lt;&gt;"Serviço",0,IF(OR(AND(AUTOEVENTO="Manual",$M633=1),$M633&gt;(ROW(PLE.lastrow)-ROW(PLE.firstrow))),0,IF(OFFSET(PLE!$G$14,$M633,BF$13)="",10^12,OFFSET(PLE!$G$14,$M633,BF$13))))</f>
        <v>0</v>
      </c>
      <c r="BG633" s="182">
        <f ca="1">IF($D633&lt;&gt;"Serviço",0,IF(OR(AND(AUTOEVENTO="Manual",$M633=1),$M633&gt;(ROW(PLE.lastrow)-ROW(PLE.firstrow))),0,IF(OFFSET(PLE!$G$14,$M633,BG$13)="",10^12,OFFSET(PLE!$G$14,$M633,BG$13))))</f>
        <v>0</v>
      </c>
    </row>
    <row r="634" spans="1:59" ht="38.25" x14ac:dyDescent="0.2">
      <c r="A634" s="7" t="str">
        <f t="shared" ca="1" si="17"/>
        <v>593</v>
      </c>
      <c r="B634" s="7" t="str">
        <f ca="1">OFFSET(ORÇAMENTO!C$15,ROW(B634)-ROW(B$15),0)</f>
        <v>S</v>
      </c>
      <c r="C634" s="7" t="str">
        <f ca="1">OFFSET(ORÇAMENTO!L$15,ROW(C634)-ROW(C$15),0)</f>
        <v/>
      </c>
      <c r="D634" s="118" t="str">
        <f ca="1">OFFSET(ORÇAMENTO!N$15,ROW(D634)-ROW(D$15),0)</f>
        <v>Serviço</v>
      </c>
      <c r="E634" s="119" t="str">
        <f ca="1">OFFSET(ORÇAMENTO!O$15,ROW(E634)-ROW(E$15),0)</f>
        <v>-</v>
      </c>
      <c r="F634" s="172" t="str">
        <f ca="1">OFFSET(ORÇAMENTO!R$15,ROW(F634)-ROW(F$15),0)</f>
        <v>(abra o arquivo 'Referência 02-2025.xlsm)</v>
      </c>
      <c r="G634" s="173" t="str">
        <f ca="1">IF($D634&lt;&gt;"Serviço","",OFFSET(ORÇAMENTO!S$15,ROW(G634)-ROW(G$15),0))</f>
        <v>-</v>
      </c>
      <c r="H634" s="124">
        <f ca="1">IF($D634&lt;&gt;"Serviço",0,IF(ACOMPANHAMENTO="BM",ROUND(OFFSET(ORÇAMENTO!AJ$15,ROW(H634)-ROW(H$15),0),15-13*ORÇAMENTO!$AF$7),SUMPRODUCT(($Q$12:$AA$12&lt;&gt;"")*ROUND($Q634:$AA634,15-13*ORÇAMENTO!$AF$7))))</f>
        <v>77.599999999999994</v>
      </c>
      <c r="I634" s="561" t="s">
        <v>890</v>
      </c>
      <c r="K634" s="174"/>
      <c r="L634" s="175" t="s">
        <v>255</v>
      </c>
      <c r="M634" s="176">
        <f ca="1">IF($D634&lt;&gt;"Serviço","",IF(AUTOEVENTO="manual",$A634,IF(ISERROR(MATCH($A634,$A$15:OFFSET($A634,-1,0),0)),MAX($M$15:OFFSET(M634,-1,0))+1,INDEX($M$15:OFFSET(M634,-1,0),MATCH($A634,$A$15:OFFSET($A634,-1,0),0)))))</f>
        <v>19</v>
      </c>
      <c r="N634" s="177" t="str">
        <f ca="1">IF($D634&lt;&gt;"Serviço","",IF(AUTOEVENTO="Manual",IF($A634=0,"&lt;-- defina o número do agrupador",OFFSET(EVENTOS!$D$14,$A634,0)),OFFSET($F$15,$A634,0)))</f>
        <v>INSTALAÇÕES DE CABEAMENTO ESTRUTURADO</v>
      </c>
      <c r="O634" s="178"/>
      <c r="Q634" s="178"/>
      <c r="R634" s="179"/>
      <c r="S634" s="179"/>
      <c r="T634" s="179"/>
      <c r="U634" s="179"/>
      <c r="V634" s="179"/>
      <c r="W634" s="179"/>
      <c r="X634" s="179"/>
      <c r="Y634" s="179"/>
      <c r="Z634" s="180"/>
      <c r="AB634" s="544">
        <f ca="1">IF(AND($D634="Serviço",AB$12&lt;&gt;0,$H634&gt;0,OR(AUTOEVENTO&lt;&gt;"manual",$M634&lt;&gt;1)),
IF(Import.TipoArredondamento&lt;&gt;"TransfereGOV",
ROUND(OFFSET($P634,0,AB$13),15-13*ORÇAMENTO!$AF$7)/$H634*OFFSET(ORÇAMENTO!$X$15,ROW(AB634)-ROW(AB$15),0),
ROUND(ROUND(OFFSET($P634,0,AB$13),15-13*ORÇAMENTO!$AF$7)*OFFSET(ORÇAMENTO!$W$15,ROW(AB634)-ROW(AB$15),0),15-13*ORÇAMENTO!$AF$11)),0)</f>
        <v>0</v>
      </c>
      <c r="AC634" s="545">
        <f ca="1">IF(AND($D634="Serviço",AC$12&lt;&gt;0,$H634&gt;0,OR(AUTOEVENTO&lt;&gt;"manual",$M634&lt;&gt;1)),
IF(Import.TipoArredondamento&lt;&gt;"TransfereGOV",
ROUND(OFFSET($P634,0,AC$13),15-13*ORÇAMENTO!$AF$7)/$H634*OFFSET(ORÇAMENTO!$X$15,ROW(AC634)-ROW(AC$15),0),
ROUND(ROUND(OFFSET($P634,0,AC$13),15-13*ORÇAMENTO!$AF$7)*OFFSET(ORÇAMENTO!$W$15,ROW(AC634)-ROW(AC$15),0),15-13*ORÇAMENTO!$AF$11)),0)</f>
        <v>0</v>
      </c>
      <c r="AD634" s="545">
        <f ca="1">IF(AND($D634="Serviço",AD$12&lt;&gt;0,$H634&gt;0,OR(AUTOEVENTO&lt;&gt;"manual",$M634&lt;&gt;1)),
IF(Import.TipoArredondamento&lt;&gt;"TransfereGOV",
ROUND(OFFSET($P634,0,AD$13),15-13*ORÇAMENTO!$AF$7)/$H634*OFFSET(ORÇAMENTO!$X$15,ROW(AD634)-ROW(AD$15),0),
ROUND(ROUND(OFFSET($P634,0,AD$13),15-13*ORÇAMENTO!$AF$7)*OFFSET(ORÇAMENTO!$W$15,ROW(AD634)-ROW(AD$15),0),15-13*ORÇAMENTO!$AF$11)),0)</f>
        <v>0</v>
      </c>
      <c r="AE634" s="545">
        <f ca="1">IF(AND($D634="Serviço",AE$12&lt;&gt;0,$H634&gt;0,OR(AUTOEVENTO&lt;&gt;"manual",$M634&lt;&gt;1)),
IF(Import.TipoArredondamento&lt;&gt;"TransfereGOV",
ROUND(OFFSET($P634,0,AE$13),15-13*ORÇAMENTO!$AF$7)/$H634*OFFSET(ORÇAMENTO!$X$15,ROW(AE634)-ROW(AE$15),0),
ROUND(ROUND(OFFSET($P634,0,AE$13),15-13*ORÇAMENTO!$AF$7)*OFFSET(ORÇAMENTO!$W$15,ROW(AE634)-ROW(AE$15),0),15-13*ORÇAMENTO!$AF$11)),0)</f>
        <v>0</v>
      </c>
      <c r="AF634" s="545">
        <f ca="1">IF(AND($D634="Serviço",AF$12&lt;&gt;0,$H634&gt;0,OR(AUTOEVENTO&lt;&gt;"manual",$M634&lt;&gt;1)),
IF(Import.TipoArredondamento&lt;&gt;"TransfereGOV",
ROUND(OFFSET($P634,0,AF$13),15-13*ORÇAMENTO!$AF$7)/$H634*OFFSET(ORÇAMENTO!$X$15,ROW(AF634)-ROW(AF$15),0),
ROUND(ROUND(OFFSET($P634,0,AF$13),15-13*ORÇAMENTO!$AF$7)*OFFSET(ORÇAMENTO!$W$15,ROW(AF634)-ROW(AF$15),0),15-13*ORÇAMENTO!$AF$11)),0)</f>
        <v>0</v>
      </c>
      <c r="AG634" s="545">
        <f ca="1">IF(AND($D634="Serviço",AG$12&lt;&gt;0,$H634&gt;0,OR(AUTOEVENTO&lt;&gt;"manual",$M634&lt;&gt;1)),
IF(Import.TipoArredondamento&lt;&gt;"TransfereGOV",
ROUND(OFFSET($P634,0,AG$13),15-13*ORÇAMENTO!$AF$7)/$H634*OFFSET(ORÇAMENTO!$X$15,ROW(AG634)-ROW(AG$15),0),
ROUND(ROUND(OFFSET($P634,0,AG$13),15-13*ORÇAMENTO!$AF$7)*OFFSET(ORÇAMENTO!$W$15,ROW(AG634)-ROW(AG$15),0),15-13*ORÇAMENTO!$AF$11)),0)</f>
        <v>0</v>
      </c>
      <c r="AH634" s="545">
        <f ca="1">IF(AND($D634="Serviço",AH$12&lt;&gt;0,$H634&gt;0,OR(AUTOEVENTO&lt;&gt;"manual",$M634&lt;&gt;1)),
IF(Import.TipoArredondamento&lt;&gt;"TransfereGOV",
ROUND(OFFSET($P634,0,AH$13),15-13*ORÇAMENTO!$AF$7)/$H634*OFFSET(ORÇAMENTO!$X$15,ROW(AH634)-ROW(AH$15),0),
ROUND(ROUND(OFFSET($P634,0,AH$13),15-13*ORÇAMENTO!$AF$7)*OFFSET(ORÇAMENTO!$W$15,ROW(AH634)-ROW(AH$15),0),15-13*ORÇAMENTO!$AF$11)),0)</f>
        <v>0</v>
      </c>
      <c r="AI634" s="545">
        <f ca="1">IF(AND($D634="Serviço",AI$12&lt;&gt;0,$H634&gt;0,OR(AUTOEVENTO&lt;&gt;"manual",$M634&lt;&gt;1)),
IF(Import.TipoArredondamento&lt;&gt;"TransfereGOV",
ROUND(OFFSET($P634,0,AI$13),15-13*ORÇAMENTO!$AF$7)/$H634*OFFSET(ORÇAMENTO!$X$15,ROW(AI634)-ROW(AI$15),0),
ROUND(ROUND(OFFSET($P634,0,AI$13),15-13*ORÇAMENTO!$AF$7)*OFFSET(ORÇAMENTO!$W$15,ROW(AI634)-ROW(AI$15),0),15-13*ORÇAMENTO!$AF$11)),0)</f>
        <v>0</v>
      </c>
      <c r="AJ634" s="545">
        <f ca="1">IF(AND($D634="Serviço",AJ$12&lt;&gt;0,$H634&gt;0,OR(AUTOEVENTO&lt;&gt;"manual",$M634&lt;&gt;1)),
IF(Import.TipoArredondamento&lt;&gt;"TransfereGOV",
ROUND(OFFSET($P634,0,AJ$13),15-13*ORÇAMENTO!$AF$7)/$H634*OFFSET(ORÇAMENTO!$X$15,ROW(AJ634)-ROW(AJ$15),0),
ROUND(ROUND(OFFSET($P634,0,AJ$13),15-13*ORÇAMENTO!$AF$7)*OFFSET(ORÇAMENTO!$W$15,ROW(AJ634)-ROW(AJ$15),0),15-13*ORÇAMENTO!$AF$11)),0)</f>
        <v>0</v>
      </c>
      <c r="AK634" s="546">
        <f ca="1">IF(AND($D634="Serviço",AK$12&lt;&gt;0,$H634&gt;0,OR(AUTOEVENTO&lt;&gt;"manual",$M634&lt;&gt;1)),
IF(Import.TipoArredondamento&lt;&gt;"TransfereGOV",
ROUND(OFFSET($P634,0,AK$13),15-13*ORÇAMENTO!$AF$7)/$H634*OFFSET(ORÇAMENTO!$X$15,ROW(AK634)-ROW(AK$15),0),
ROUND(ROUND(OFFSET($P634,0,AK$13),15-13*ORÇAMENTO!$AF$7)*OFFSET(ORÇAMENTO!$W$15,ROW(AK634)-ROW(AK$15),0),15-13*ORÇAMENTO!$AF$11)),0)</f>
        <v>0</v>
      </c>
      <c r="AM634" s="181">
        <f ca="1">IF($D634&lt;&gt;"Serviço",0,IF(AND(AUTOEVENTO="Manual",$M634=1),0,IF(OFFSET(CRONOPLE!$F$14,$M634,AM$13)="",10^12,OFFSET(CRONOPLE!$F$14,$M634,AM$13))))</f>
        <v>1000000000000</v>
      </c>
      <c r="AN634" s="181">
        <f ca="1">IF($D634&lt;&gt;"Serviço",0,IF(AND(AUTOEVENTO="Manual",$M634=1),0,IF(OFFSET(CRONOPLE!$F$14,$M634,AN$13)="",10^12,OFFSET(CRONOPLE!$F$14,$M634,AN$13))))</f>
        <v>1000000000000</v>
      </c>
      <c r="AO634" s="181">
        <f ca="1">IF($D634&lt;&gt;"Serviço",0,IF(AND(AUTOEVENTO="Manual",$M634=1),0,IF(OFFSET(CRONOPLE!$F$14,$M634,AO$13)="",10^12,OFFSET(CRONOPLE!$F$14,$M634,AO$13))))</f>
        <v>1000000000000</v>
      </c>
      <c r="AP634" s="181">
        <f ca="1">IF($D634&lt;&gt;"Serviço",0,IF(AND(AUTOEVENTO="Manual",$M634=1),0,IF(OFFSET(CRONOPLE!$F$14,$M634,AP$13)="",10^12,OFFSET(CRONOPLE!$F$14,$M634,AP$13))))</f>
        <v>1000000000000</v>
      </c>
      <c r="AQ634" s="181">
        <f ca="1">IF($D634&lt;&gt;"Serviço",0,IF(AND(AUTOEVENTO="Manual",$M634=1),0,IF(OFFSET(CRONOPLE!$F$14,$M634,AQ$13)="",10^12,OFFSET(CRONOPLE!$F$14,$M634,AQ$13))))</f>
        <v>1000000000000</v>
      </c>
      <c r="AR634" s="181">
        <f ca="1">IF($D634&lt;&gt;"Serviço",0,IF(AND(AUTOEVENTO="Manual",$M634=1),0,IF(OFFSET(CRONOPLE!$F$14,$M634,AR$13)="",10^12,OFFSET(CRONOPLE!$F$14,$M634,AR$13))))</f>
        <v>1000000000000</v>
      </c>
      <c r="AS634" s="181">
        <f ca="1">IF($D634&lt;&gt;"Serviço",0,IF(AND(AUTOEVENTO="Manual",$M634=1),0,IF(OFFSET(CRONOPLE!$F$14,$M634,AS$13)="",10^12,OFFSET(CRONOPLE!$F$14,$M634,AS$13))))</f>
        <v>1000000000000</v>
      </c>
      <c r="AT634" s="181">
        <f ca="1">IF($D634&lt;&gt;"Serviço",0,IF(AND(AUTOEVENTO="Manual",$M634=1),0,IF(OFFSET(CRONOPLE!$F$14,$M634,AT$13)="",10^12,OFFSET(CRONOPLE!$F$14,$M634,AT$13))))</f>
        <v>1000000000000</v>
      </c>
      <c r="AU634" s="181">
        <f ca="1">IF($D634&lt;&gt;"Serviço",0,IF(AND(AUTOEVENTO="Manual",$M634=1),0,IF(OFFSET(CRONOPLE!$F$14,$M634,AU$13)="",10^12,OFFSET(CRONOPLE!$F$14,$M634,AU$13))))</f>
        <v>1000000000000</v>
      </c>
      <c r="AV634" s="181">
        <f ca="1">IF($D634&lt;&gt;"Serviço",0,IF(AND(AUTOEVENTO="Manual",$M634=1),0,IF(OFFSET(CRONOPLE!$F$14,$M634,AV$13)="",10^12,OFFSET(CRONOPLE!$F$14,$M634,AV$13))))</f>
        <v>1000000000000</v>
      </c>
      <c r="AX634" s="182">
        <f ca="1">IF($D634&lt;&gt;"Serviço",0,IF(OR(AND(AUTOEVENTO="Manual",$M634=1),$M634&gt;(ROW(PLE.lastrow)-ROW(PLE.firstrow))),0,IF(OFFSET(PLE!$G$14,$M634,AX$13)="",10^12,OFFSET(PLE!$G$14,$M634,AX$13))))</f>
        <v>1000000000000</v>
      </c>
      <c r="AY634" s="182">
        <f ca="1">IF($D634&lt;&gt;"Serviço",0,IF(OR(AND(AUTOEVENTO="Manual",$M634=1),$M634&gt;(ROW(PLE.lastrow)-ROW(PLE.firstrow))),0,IF(OFFSET(PLE!$G$14,$M634,AY$13)="",10^12,OFFSET(PLE!$G$14,$M634,AY$13))))</f>
        <v>1000000000000</v>
      </c>
      <c r="AZ634" s="182">
        <f ca="1">IF($D634&lt;&gt;"Serviço",0,IF(OR(AND(AUTOEVENTO="Manual",$M634=1),$M634&gt;(ROW(PLE.lastrow)-ROW(PLE.firstrow))),0,IF(OFFSET(PLE!$G$14,$M634,AZ$13)="",10^12,OFFSET(PLE!$G$14,$M634,AZ$13))))</f>
        <v>1000000000000</v>
      </c>
      <c r="BA634" s="182">
        <f ca="1">IF($D634&lt;&gt;"Serviço",0,IF(OR(AND(AUTOEVENTO="Manual",$M634=1),$M634&gt;(ROW(PLE.lastrow)-ROW(PLE.firstrow))),0,IF(OFFSET(PLE!$G$14,$M634,BA$13)="",10^12,OFFSET(PLE!$G$14,$M634,BA$13))))</f>
        <v>1000000000000</v>
      </c>
      <c r="BB634" s="182">
        <f ca="1">IF($D634&lt;&gt;"Serviço",0,IF(OR(AND(AUTOEVENTO="Manual",$M634=1),$M634&gt;(ROW(PLE.lastrow)-ROW(PLE.firstrow))),0,IF(OFFSET(PLE!$G$14,$M634,BB$13)="",10^12,OFFSET(PLE!$G$14,$M634,BB$13))))</f>
        <v>1000000000000</v>
      </c>
      <c r="BC634" s="182">
        <f ca="1">IF($D634&lt;&gt;"Serviço",0,IF(OR(AND(AUTOEVENTO="Manual",$M634=1),$M634&gt;(ROW(PLE.lastrow)-ROW(PLE.firstrow))),0,IF(OFFSET(PLE!$G$14,$M634,BC$13)="",10^12,OFFSET(PLE!$G$14,$M634,BC$13))))</f>
        <v>1000000000000</v>
      </c>
      <c r="BD634" s="182">
        <f ca="1">IF($D634&lt;&gt;"Serviço",0,IF(OR(AND(AUTOEVENTO="Manual",$M634=1),$M634&gt;(ROW(PLE.lastrow)-ROW(PLE.firstrow))),0,IF(OFFSET(PLE!$G$14,$M634,BD$13)="",10^12,OFFSET(PLE!$G$14,$M634,BD$13))))</f>
        <v>1000000000000</v>
      </c>
      <c r="BE634" s="182">
        <f ca="1">IF($D634&lt;&gt;"Serviço",0,IF(OR(AND(AUTOEVENTO="Manual",$M634=1),$M634&gt;(ROW(PLE.lastrow)-ROW(PLE.firstrow))),0,IF(OFFSET(PLE!$G$14,$M634,BE$13)="",10^12,OFFSET(PLE!$G$14,$M634,BE$13))))</f>
        <v>1000000000000</v>
      </c>
      <c r="BF634" s="182">
        <f ca="1">IF($D634&lt;&gt;"Serviço",0,IF(OR(AND(AUTOEVENTO="Manual",$M634=1),$M634&gt;(ROW(PLE.lastrow)-ROW(PLE.firstrow))),0,IF(OFFSET(PLE!$G$14,$M634,BF$13)="",10^12,OFFSET(PLE!$G$14,$M634,BF$13))))</f>
        <v>1000000000000</v>
      </c>
      <c r="BG634" s="182">
        <f ca="1">IF($D634&lt;&gt;"Serviço",0,IF(OR(AND(AUTOEVENTO="Manual",$M634=1),$M634&gt;(ROW(PLE.lastrow)-ROW(PLE.firstrow))),0,IF(OFFSET(PLE!$G$14,$M634,BG$13)="",10^12,OFFSET(PLE!$G$14,$M634,BG$13))))</f>
        <v>1000000000000</v>
      </c>
    </row>
    <row r="635" spans="1:59" ht="38.25" x14ac:dyDescent="0.2">
      <c r="A635" s="7" t="str">
        <f t="shared" ca="1" si="17"/>
        <v>593</v>
      </c>
      <c r="B635" s="7" t="str">
        <f ca="1">OFFSET(ORÇAMENTO!C$15,ROW(B635)-ROW(B$15),0)</f>
        <v>S</v>
      </c>
      <c r="C635" s="7" t="str">
        <f ca="1">OFFSET(ORÇAMENTO!L$15,ROW(C635)-ROW(C$15),0)</f>
        <v/>
      </c>
      <c r="D635" s="118" t="str">
        <f ca="1">OFFSET(ORÇAMENTO!N$15,ROW(D635)-ROW(D$15),0)</f>
        <v>Serviço</v>
      </c>
      <c r="E635" s="119" t="str">
        <f ca="1">OFFSET(ORÇAMENTO!O$15,ROW(E635)-ROW(E$15),0)</f>
        <v>-</v>
      </c>
      <c r="F635" s="172" t="str">
        <f ca="1">OFFSET(ORÇAMENTO!R$15,ROW(F635)-ROW(F$15),0)</f>
        <v>(abra o arquivo 'Referência 02-2025.xlsm)</v>
      </c>
      <c r="G635" s="173" t="str">
        <f ca="1">IF($D635&lt;&gt;"Serviço","",OFFSET(ORÇAMENTO!S$15,ROW(G635)-ROW(G$15),0))</f>
        <v>-</v>
      </c>
      <c r="H635" s="124">
        <f ca="1">IF($D635&lt;&gt;"Serviço",0,IF(ACOMPANHAMENTO="BM",ROUND(OFFSET(ORÇAMENTO!AJ$15,ROW(H635)-ROW(H$15),0),15-13*ORÇAMENTO!$AF$7),SUMPRODUCT(($Q$12:$AA$12&lt;&gt;"")*ROUND($Q635:$AA635,15-13*ORÇAMENTO!$AF$7))))</f>
        <v>4.2</v>
      </c>
      <c r="I635" s="561" t="s">
        <v>890</v>
      </c>
      <c r="K635" s="174"/>
      <c r="L635" s="175" t="s">
        <v>255</v>
      </c>
      <c r="M635" s="176">
        <f ca="1">IF($D635&lt;&gt;"Serviço","",IF(AUTOEVENTO="manual",$A635,IF(ISERROR(MATCH($A635,$A$15:OFFSET($A635,-1,0),0)),MAX($M$15:OFFSET(M635,-1,0))+1,INDEX($M$15:OFFSET(M635,-1,0),MATCH($A635,$A$15:OFFSET($A635,-1,0),0)))))</f>
        <v>19</v>
      </c>
      <c r="N635" s="177" t="str">
        <f ca="1">IF($D635&lt;&gt;"Serviço","",IF(AUTOEVENTO="Manual",IF($A635=0,"&lt;-- defina o número do agrupador",OFFSET(EVENTOS!$D$14,$A635,0)),OFFSET($F$15,$A635,0)))</f>
        <v>INSTALAÇÕES DE CABEAMENTO ESTRUTURADO</v>
      </c>
      <c r="O635" s="178"/>
      <c r="Q635" s="178"/>
      <c r="R635" s="179"/>
      <c r="S635" s="179"/>
      <c r="T635" s="179"/>
      <c r="U635" s="179"/>
      <c r="V635" s="179"/>
      <c r="W635" s="179"/>
      <c r="X635" s="179"/>
      <c r="Y635" s="179"/>
      <c r="Z635" s="180"/>
      <c r="AB635" s="544">
        <f ca="1">IF(AND($D635="Serviço",AB$12&lt;&gt;0,$H635&gt;0,OR(AUTOEVENTO&lt;&gt;"manual",$M635&lt;&gt;1)),
IF(Import.TipoArredondamento&lt;&gt;"TransfereGOV",
ROUND(OFFSET($P635,0,AB$13),15-13*ORÇAMENTO!$AF$7)/$H635*OFFSET(ORÇAMENTO!$X$15,ROW(AB635)-ROW(AB$15),0),
ROUND(ROUND(OFFSET($P635,0,AB$13),15-13*ORÇAMENTO!$AF$7)*OFFSET(ORÇAMENTO!$W$15,ROW(AB635)-ROW(AB$15),0),15-13*ORÇAMENTO!$AF$11)),0)</f>
        <v>0</v>
      </c>
      <c r="AC635" s="545">
        <f ca="1">IF(AND($D635="Serviço",AC$12&lt;&gt;0,$H635&gt;0,OR(AUTOEVENTO&lt;&gt;"manual",$M635&lt;&gt;1)),
IF(Import.TipoArredondamento&lt;&gt;"TransfereGOV",
ROUND(OFFSET($P635,0,AC$13),15-13*ORÇAMENTO!$AF$7)/$H635*OFFSET(ORÇAMENTO!$X$15,ROW(AC635)-ROW(AC$15),0),
ROUND(ROUND(OFFSET($P635,0,AC$13),15-13*ORÇAMENTO!$AF$7)*OFFSET(ORÇAMENTO!$W$15,ROW(AC635)-ROW(AC$15),0),15-13*ORÇAMENTO!$AF$11)),0)</f>
        <v>0</v>
      </c>
      <c r="AD635" s="545">
        <f ca="1">IF(AND($D635="Serviço",AD$12&lt;&gt;0,$H635&gt;0,OR(AUTOEVENTO&lt;&gt;"manual",$M635&lt;&gt;1)),
IF(Import.TipoArredondamento&lt;&gt;"TransfereGOV",
ROUND(OFFSET($P635,0,AD$13),15-13*ORÇAMENTO!$AF$7)/$H635*OFFSET(ORÇAMENTO!$X$15,ROW(AD635)-ROW(AD$15),0),
ROUND(ROUND(OFFSET($P635,0,AD$13),15-13*ORÇAMENTO!$AF$7)*OFFSET(ORÇAMENTO!$W$15,ROW(AD635)-ROW(AD$15),0),15-13*ORÇAMENTO!$AF$11)),0)</f>
        <v>0</v>
      </c>
      <c r="AE635" s="545">
        <f ca="1">IF(AND($D635="Serviço",AE$12&lt;&gt;0,$H635&gt;0,OR(AUTOEVENTO&lt;&gt;"manual",$M635&lt;&gt;1)),
IF(Import.TipoArredondamento&lt;&gt;"TransfereGOV",
ROUND(OFFSET($P635,0,AE$13),15-13*ORÇAMENTO!$AF$7)/$H635*OFFSET(ORÇAMENTO!$X$15,ROW(AE635)-ROW(AE$15),0),
ROUND(ROUND(OFFSET($P635,0,AE$13),15-13*ORÇAMENTO!$AF$7)*OFFSET(ORÇAMENTO!$W$15,ROW(AE635)-ROW(AE$15),0),15-13*ORÇAMENTO!$AF$11)),0)</f>
        <v>0</v>
      </c>
      <c r="AF635" s="545">
        <f ca="1">IF(AND($D635="Serviço",AF$12&lt;&gt;0,$H635&gt;0,OR(AUTOEVENTO&lt;&gt;"manual",$M635&lt;&gt;1)),
IF(Import.TipoArredondamento&lt;&gt;"TransfereGOV",
ROUND(OFFSET($P635,0,AF$13),15-13*ORÇAMENTO!$AF$7)/$H635*OFFSET(ORÇAMENTO!$X$15,ROW(AF635)-ROW(AF$15),0),
ROUND(ROUND(OFFSET($P635,0,AF$13),15-13*ORÇAMENTO!$AF$7)*OFFSET(ORÇAMENTO!$W$15,ROW(AF635)-ROW(AF$15),0),15-13*ORÇAMENTO!$AF$11)),0)</f>
        <v>0</v>
      </c>
      <c r="AG635" s="545">
        <f ca="1">IF(AND($D635="Serviço",AG$12&lt;&gt;0,$H635&gt;0,OR(AUTOEVENTO&lt;&gt;"manual",$M635&lt;&gt;1)),
IF(Import.TipoArredondamento&lt;&gt;"TransfereGOV",
ROUND(OFFSET($P635,0,AG$13),15-13*ORÇAMENTO!$AF$7)/$H635*OFFSET(ORÇAMENTO!$X$15,ROW(AG635)-ROW(AG$15),0),
ROUND(ROUND(OFFSET($P635,0,AG$13),15-13*ORÇAMENTO!$AF$7)*OFFSET(ORÇAMENTO!$W$15,ROW(AG635)-ROW(AG$15),0),15-13*ORÇAMENTO!$AF$11)),0)</f>
        <v>0</v>
      </c>
      <c r="AH635" s="545">
        <f ca="1">IF(AND($D635="Serviço",AH$12&lt;&gt;0,$H635&gt;0,OR(AUTOEVENTO&lt;&gt;"manual",$M635&lt;&gt;1)),
IF(Import.TipoArredondamento&lt;&gt;"TransfereGOV",
ROUND(OFFSET($P635,0,AH$13),15-13*ORÇAMENTO!$AF$7)/$H635*OFFSET(ORÇAMENTO!$X$15,ROW(AH635)-ROW(AH$15),0),
ROUND(ROUND(OFFSET($P635,0,AH$13),15-13*ORÇAMENTO!$AF$7)*OFFSET(ORÇAMENTO!$W$15,ROW(AH635)-ROW(AH$15),0),15-13*ORÇAMENTO!$AF$11)),0)</f>
        <v>0</v>
      </c>
      <c r="AI635" s="545">
        <f ca="1">IF(AND($D635="Serviço",AI$12&lt;&gt;0,$H635&gt;0,OR(AUTOEVENTO&lt;&gt;"manual",$M635&lt;&gt;1)),
IF(Import.TipoArredondamento&lt;&gt;"TransfereGOV",
ROUND(OFFSET($P635,0,AI$13),15-13*ORÇAMENTO!$AF$7)/$H635*OFFSET(ORÇAMENTO!$X$15,ROW(AI635)-ROW(AI$15),0),
ROUND(ROUND(OFFSET($P635,0,AI$13),15-13*ORÇAMENTO!$AF$7)*OFFSET(ORÇAMENTO!$W$15,ROW(AI635)-ROW(AI$15),0),15-13*ORÇAMENTO!$AF$11)),0)</f>
        <v>0</v>
      </c>
      <c r="AJ635" s="545">
        <f ca="1">IF(AND($D635="Serviço",AJ$12&lt;&gt;0,$H635&gt;0,OR(AUTOEVENTO&lt;&gt;"manual",$M635&lt;&gt;1)),
IF(Import.TipoArredondamento&lt;&gt;"TransfereGOV",
ROUND(OFFSET($P635,0,AJ$13),15-13*ORÇAMENTO!$AF$7)/$H635*OFFSET(ORÇAMENTO!$X$15,ROW(AJ635)-ROW(AJ$15),0),
ROUND(ROUND(OFFSET($P635,0,AJ$13),15-13*ORÇAMENTO!$AF$7)*OFFSET(ORÇAMENTO!$W$15,ROW(AJ635)-ROW(AJ$15),0),15-13*ORÇAMENTO!$AF$11)),0)</f>
        <v>0</v>
      </c>
      <c r="AK635" s="546">
        <f ca="1">IF(AND($D635="Serviço",AK$12&lt;&gt;0,$H635&gt;0,OR(AUTOEVENTO&lt;&gt;"manual",$M635&lt;&gt;1)),
IF(Import.TipoArredondamento&lt;&gt;"TransfereGOV",
ROUND(OFFSET($P635,0,AK$13),15-13*ORÇAMENTO!$AF$7)/$H635*OFFSET(ORÇAMENTO!$X$15,ROW(AK635)-ROW(AK$15),0),
ROUND(ROUND(OFFSET($P635,0,AK$13),15-13*ORÇAMENTO!$AF$7)*OFFSET(ORÇAMENTO!$W$15,ROW(AK635)-ROW(AK$15),0),15-13*ORÇAMENTO!$AF$11)),0)</f>
        <v>0</v>
      </c>
      <c r="AM635" s="181">
        <f ca="1">IF($D635&lt;&gt;"Serviço",0,IF(AND(AUTOEVENTO="Manual",$M635=1),0,IF(OFFSET(CRONOPLE!$F$14,$M635,AM$13)="",10^12,OFFSET(CRONOPLE!$F$14,$M635,AM$13))))</f>
        <v>1000000000000</v>
      </c>
      <c r="AN635" s="181">
        <f ca="1">IF($D635&lt;&gt;"Serviço",0,IF(AND(AUTOEVENTO="Manual",$M635=1),0,IF(OFFSET(CRONOPLE!$F$14,$M635,AN$13)="",10^12,OFFSET(CRONOPLE!$F$14,$M635,AN$13))))</f>
        <v>1000000000000</v>
      </c>
      <c r="AO635" s="181">
        <f ca="1">IF($D635&lt;&gt;"Serviço",0,IF(AND(AUTOEVENTO="Manual",$M635=1),0,IF(OFFSET(CRONOPLE!$F$14,$M635,AO$13)="",10^12,OFFSET(CRONOPLE!$F$14,$M635,AO$13))))</f>
        <v>1000000000000</v>
      </c>
      <c r="AP635" s="181">
        <f ca="1">IF($D635&lt;&gt;"Serviço",0,IF(AND(AUTOEVENTO="Manual",$M635=1),0,IF(OFFSET(CRONOPLE!$F$14,$M635,AP$13)="",10^12,OFFSET(CRONOPLE!$F$14,$M635,AP$13))))</f>
        <v>1000000000000</v>
      </c>
      <c r="AQ635" s="181">
        <f ca="1">IF($D635&lt;&gt;"Serviço",0,IF(AND(AUTOEVENTO="Manual",$M635=1),0,IF(OFFSET(CRONOPLE!$F$14,$M635,AQ$13)="",10^12,OFFSET(CRONOPLE!$F$14,$M635,AQ$13))))</f>
        <v>1000000000000</v>
      </c>
      <c r="AR635" s="181">
        <f ca="1">IF($D635&lt;&gt;"Serviço",0,IF(AND(AUTOEVENTO="Manual",$M635=1),0,IF(OFFSET(CRONOPLE!$F$14,$M635,AR$13)="",10^12,OFFSET(CRONOPLE!$F$14,$M635,AR$13))))</f>
        <v>1000000000000</v>
      </c>
      <c r="AS635" s="181">
        <f ca="1">IF($D635&lt;&gt;"Serviço",0,IF(AND(AUTOEVENTO="Manual",$M635=1),0,IF(OFFSET(CRONOPLE!$F$14,$M635,AS$13)="",10^12,OFFSET(CRONOPLE!$F$14,$M635,AS$13))))</f>
        <v>1000000000000</v>
      </c>
      <c r="AT635" s="181">
        <f ca="1">IF($D635&lt;&gt;"Serviço",0,IF(AND(AUTOEVENTO="Manual",$M635=1),0,IF(OFFSET(CRONOPLE!$F$14,$M635,AT$13)="",10^12,OFFSET(CRONOPLE!$F$14,$M635,AT$13))))</f>
        <v>1000000000000</v>
      </c>
      <c r="AU635" s="181">
        <f ca="1">IF($D635&lt;&gt;"Serviço",0,IF(AND(AUTOEVENTO="Manual",$M635=1),0,IF(OFFSET(CRONOPLE!$F$14,$M635,AU$13)="",10^12,OFFSET(CRONOPLE!$F$14,$M635,AU$13))))</f>
        <v>1000000000000</v>
      </c>
      <c r="AV635" s="181">
        <f ca="1">IF($D635&lt;&gt;"Serviço",0,IF(AND(AUTOEVENTO="Manual",$M635=1),0,IF(OFFSET(CRONOPLE!$F$14,$M635,AV$13)="",10^12,OFFSET(CRONOPLE!$F$14,$M635,AV$13))))</f>
        <v>1000000000000</v>
      </c>
      <c r="AX635" s="182">
        <f ca="1">IF($D635&lt;&gt;"Serviço",0,IF(OR(AND(AUTOEVENTO="Manual",$M635=1),$M635&gt;(ROW(PLE.lastrow)-ROW(PLE.firstrow))),0,IF(OFFSET(PLE!$G$14,$M635,AX$13)="",10^12,OFFSET(PLE!$G$14,$M635,AX$13))))</f>
        <v>1000000000000</v>
      </c>
      <c r="AY635" s="182">
        <f ca="1">IF($D635&lt;&gt;"Serviço",0,IF(OR(AND(AUTOEVENTO="Manual",$M635=1),$M635&gt;(ROW(PLE.lastrow)-ROW(PLE.firstrow))),0,IF(OFFSET(PLE!$G$14,$M635,AY$13)="",10^12,OFFSET(PLE!$G$14,$M635,AY$13))))</f>
        <v>1000000000000</v>
      </c>
      <c r="AZ635" s="182">
        <f ca="1">IF($D635&lt;&gt;"Serviço",0,IF(OR(AND(AUTOEVENTO="Manual",$M635=1),$M635&gt;(ROW(PLE.lastrow)-ROW(PLE.firstrow))),0,IF(OFFSET(PLE!$G$14,$M635,AZ$13)="",10^12,OFFSET(PLE!$G$14,$M635,AZ$13))))</f>
        <v>1000000000000</v>
      </c>
      <c r="BA635" s="182">
        <f ca="1">IF($D635&lt;&gt;"Serviço",0,IF(OR(AND(AUTOEVENTO="Manual",$M635=1),$M635&gt;(ROW(PLE.lastrow)-ROW(PLE.firstrow))),0,IF(OFFSET(PLE!$G$14,$M635,BA$13)="",10^12,OFFSET(PLE!$G$14,$M635,BA$13))))</f>
        <v>1000000000000</v>
      </c>
      <c r="BB635" s="182">
        <f ca="1">IF($D635&lt;&gt;"Serviço",0,IF(OR(AND(AUTOEVENTO="Manual",$M635=1),$M635&gt;(ROW(PLE.lastrow)-ROW(PLE.firstrow))),0,IF(OFFSET(PLE!$G$14,$M635,BB$13)="",10^12,OFFSET(PLE!$G$14,$M635,BB$13))))</f>
        <v>1000000000000</v>
      </c>
      <c r="BC635" s="182">
        <f ca="1">IF($D635&lt;&gt;"Serviço",0,IF(OR(AND(AUTOEVENTO="Manual",$M635=1),$M635&gt;(ROW(PLE.lastrow)-ROW(PLE.firstrow))),0,IF(OFFSET(PLE!$G$14,$M635,BC$13)="",10^12,OFFSET(PLE!$G$14,$M635,BC$13))))</f>
        <v>1000000000000</v>
      </c>
      <c r="BD635" s="182">
        <f ca="1">IF($D635&lt;&gt;"Serviço",0,IF(OR(AND(AUTOEVENTO="Manual",$M635=1),$M635&gt;(ROW(PLE.lastrow)-ROW(PLE.firstrow))),0,IF(OFFSET(PLE!$G$14,$M635,BD$13)="",10^12,OFFSET(PLE!$G$14,$M635,BD$13))))</f>
        <v>1000000000000</v>
      </c>
      <c r="BE635" s="182">
        <f ca="1">IF($D635&lt;&gt;"Serviço",0,IF(OR(AND(AUTOEVENTO="Manual",$M635=1),$M635&gt;(ROW(PLE.lastrow)-ROW(PLE.firstrow))),0,IF(OFFSET(PLE!$G$14,$M635,BE$13)="",10^12,OFFSET(PLE!$G$14,$M635,BE$13))))</f>
        <v>1000000000000</v>
      </c>
      <c r="BF635" s="182">
        <f ca="1">IF($D635&lt;&gt;"Serviço",0,IF(OR(AND(AUTOEVENTO="Manual",$M635=1),$M635&gt;(ROW(PLE.lastrow)-ROW(PLE.firstrow))),0,IF(OFFSET(PLE!$G$14,$M635,BF$13)="",10^12,OFFSET(PLE!$G$14,$M635,BF$13))))</f>
        <v>1000000000000</v>
      </c>
      <c r="BG635" s="182">
        <f ca="1">IF($D635&lt;&gt;"Serviço",0,IF(OR(AND(AUTOEVENTO="Manual",$M635=1),$M635&gt;(ROW(PLE.lastrow)-ROW(PLE.firstrow))),0,IF(OFFSET(PLE!$G$14,$M635,BG$13)="",10^12,OFFSET(PLE!$G$14,$M635,BG$13))))</f>
        <v>1000000000000</v>
      </c>
    </row>
    <row r="636" spans="1:59" ht="38.25" x14ac:dyDescent="0.2">
      <c r="A636" s="7" t="str">
        <f t="shared" ca="1" si="17"/>
        <v>593</v>
      </c>
      <c r="B636" s="7" t="str">
        <f ca="1">OFFSET(ORÇAMENTO!C$15,ROW(B636)-ROW(B$15),0)</f>
        <v>S</v>
      </c>
      <c r="C636" s="7" t="str">
        <f ca="1">OFFSET(ORÇAMENTO!L$15,ROW(C636)-ROW(C$15),0)</f>
        <v/>
      </c>
      <c r="D636" s="118" t="str">
        <f ca="1">OFFSET(ORÇAMENTO!N$15,ROW(D636)-ROW(D$15),0)</f>
        <v>Serviço</v>
      </c>
      <c r="E636" s="119" t="str">
        <f ca="1">OFFSET(ORÇAMENTO!O$15,ROW(E636)-ROW(E$15),0)</f>
        <v>-</v>
      </c>
      <c r="F636" s="172" t="str">
        <f ca="1">OFFSET(ORÇAMENTO!R$15,ROW(F636)-ROW(F$15),0)</f>
        <v>(abra o arquivo 'Referência 02-2025.xlsm)</v>
      </c>
      <c r="G636" s="173" t="str">
        <f ca="1">IF($D636&lt;&gt;"Serviço","",OFFSET(ORÇAMENTO!S$15,ROW(G636)-ROW(G$15),0))</f>
        <v>-</v>
      </c>
      <c r="H636" s="124">
        <f ca="1">IF($D636&lt;&gt;"Serviço",0,IF(ACOMPANHAMENTO="BM",ROUND(OFFSET(ORÇAMENTO!AJ$15,ROW(H636)-ROW(H$15),0),15-13*ORÇAMENTO!$AF$7),SUMPRODUCT(($Q$12:$AA$12&lt;&gt;"")*ROUND($Q636:$AA636,15-13*ORÇAMENTO!$AF$7))))</f>
        <v>258.39999999999998</v>
      </c>
      <c r="I636" s="561" t="s">
        <v>890</v>
      </c>
      <c r="K636" s="174"/>
      <c r="L636" s="175" t="s">
        <v>255</v>
      </c>
      <c r="M636" s="176">
        <f ca="1">IF($D636&lt;&gt;"Serviço","",IF(AUTOEVENTO="manual",$A636,IF(ISERROR(MATCH($A636,$A$15:OFFSET($A636,-1,0),0)),MAX($M$15:OFFSET(M636,-1,0))+1,INDEX($M$15:OFFSET(M636,-1,0),MATCH($A636,$A$15:OFFSET($A636,-1,0),0)))))</f>
        <v>19</v>
      </c>
      <c r="N636" s="177" t="str">
        <f ca="1">IF($D636&lt;&gt;"Serviço","",IF(AUTOEVENTO="Manual",IF($A636=0,"&lt;-- defina o número do agrupador",OFFSET(EVENTOS!$D$14,$A636,0)),OFFSET($F$15,$A636,0)))</f>
        <v>INSTALAÇÕES DE CABEAMENTO ESTRUTURADO</v>
      </c>
      <c r="O636" s="178"/>
      <c r="Q636" s="178"/>
      <c r="R636" s="179"/>
      <c r="S636" s="179"/>
      <c r="T636" s="179"/>
      <c r="U636" s="179"/>
      <c r="V636" s="179"/>
      <c r="W636" s="179"/>
      <c r="X636" s="179"/>
      <c r="Y636" s="179"/>
      <c r="Z636" s="180"/>
      <c r="AB636" s="544">
        <f ca="1">IF(AND($D636="Serviço",AB$12&lt;&gt;0,$H636&gt;0,OR(AUTOEVENTO&lt;&gt;"manual",$M636&lt;&gt;1)),
IF(Import.TipoArredondamento&lt;&gt;"TransfereGOV",
ROUND(OFFSET($P636,0,AB$13),15-13*ORÇAMENTO!$AF$7)/$H636*OFFSET(ORÇAMENTO!$X$15,ROW(AB636)-ROW(AB$15),0),
ROUND(ROUND(OFFSET($P636,0,AB$13),15-13*ORÇAMENTO!$AF$7)*OFFSET(ORÇAMENTO!$W$15,ROW(AB636)-ROW(AB$15),0),15-13*ORÇAMENTO!$AF$11)),0)</f>
        <v>0</v>
      </c>
      <c r="AC636" s="545">
        <f ca="1">IF(AND($D636="Serviço",AC$12&lt;&gt;0,$H636&gt;0,OR(AUTOEVENTO&lt;&gt;"manual",$M636&lt;&gt;1)),
IF(Import.TipoArredondamento&lt;&gt;"TransfereGOV",
ROUND(OFFSET($P636,0,AC$13),15-13*ORÇAMENTO!$AF$7)/$H636*OFFSET(ORÇAMENTO!$X$15,ROW(AC636)-ROW(AC$15),0),
ROUND(ROUND(OFFSET($P636,0,AC$13),15-13*ORÇAMENTO!$AF$7)*OFFSET(ORÇAMENTO!$W$15,ROW(AC636)-ROW(AC$15),0),15-13*ORÇAMENTO!$AF$11)),0)</f>
        <v>0</v>
      </c>
      <c r="AD636" s="545">
        <f ca="1">IF(AND($D636="Serviço",AD$12&lt;&gt;0,$H636&gt;0,OR(AUTOEVENTO&lt;&gt;"manual",$M636&lt;&gt;1)),
IF(Import.TipoArredondamento&lt;&gt;"TransfereGOV",
ROUND(OFFSET($P636,0,AD$13),15-13*ORÇAMENTO!$AF$7)/$H636*OFFSET(ORÇAMENTO!$X$15,ROW(AD636)-ROW(AD$15),0),
ROUND(ROUND(OFFSET($P636,0,AD$13),15-13*ORÇAMENTO!$AF$7)*OFFSET(ORÇAMENTO!$W$15,ROW(AD636)-ROW(AD$15),0),15-13*ORÇAMENTO!$AF$11)),0)</f>
        <v>0</v>
      </c>
      <c r="AE636" s="545">
        <f ca="1">IF(AND($D636="Serviço",AE$12&lt;&gt;0,$H636&gt;0,OR(AUTOEVENTO&lt;&gt;"manual",$M636&lt;&gt;1)),
IF(Import.TipoArredondamento&lt;&gt;"TransfereGOV",
ROUND(OFFSET($P636,0,AE$13),15-13*ORÇAMENTO!$AF$7)/$H636*OFFSET(ORÇAMENTO!$X$15,ROW(AE636)-ROW(AE$15),0),
ROUND(ROUND(OFFSET($P636,0,AE$13),15-13*ORÇAMENTO!$AF$7)*OFFSET(ORÇAMENTO!$W$15,ROW(AE636)-ROW(AE$15),0),15-13*ORÇAMENTO!$AF$11)),0)</f>
        <v>0</v>
      </c>
      <c r="AF636" s="545">
        <f ca="1">IF(AND($D636="Serviço",AF$12&lt;&gt;0,$H636&gt;0,OR(AUTOEVENTO&lt;&gt;"manual",$M636&lt;&gt;1)),
IF(Import.TipoArredondamento&lt;&gt;"TransfereGOV",
ROUND(OFFSET($P636,0,AF$13),15-13*ORÇAMENTO!$AF$7)/$H636*OFFSET(ORÇAMENTO!$X$15,ROW(AF636)-ROW(AF$15),0),
ROUND(ROUND(OFFSET($P636,0,AF$13),15-13*ORÇAMENTO!$AF$7)*OFFSET(ORÇAMENTO!$W$15,ROW(AF636)-ROW(AF$15),0),15-13*ORÇAMENTO!$AF$11)),0)</f>
        <v>0</v>
      </c>
      <c r="AG636" s="545">
        <f ca="1">IF(AND($D636="Serviço",AG$12&lt;&gt;0,$H636&gt;0,OR(AUTOEVENTO&lt;&gt;"manual",$M636&lt;&gt;1)),
IF(Import.TipoArredondamento&lt;&gt;"TransfereGOV",
ROUND(OFFSET($P636,0,AG$13),15-13*ORÇAMENTO!$AF$7)/$H636*OFFSET(ORÇAMENTO!$X$15,ROW(AG636)-ROW(AG$15),0),
ROUND(ROUND(OFFSET($P636,0,AG$13),15-13*ORÇAMENTO!$AF$7)*OFFSET(ORÇAMENTO!$W$15,ROW(AG636)-ROW(AG$15),0),15-13*ORÇAMENTO!$AF$11)),0)</f>
        <v>0</v>
      </c>
      <c r="AH636" s="545">
        <f ca="1">IF(AND($D636="Serviço",AH$12&lt;&gt;0,$H636&gt;0,OR(AUTOEVENTO&lt;&gt;"manual",$M636&lt;&gt;1)),
IF(Import.TipoArredondamento&lt;&gt;"TransfereGOV",
ROUND(OFFSET($P636,0,AH$13),15-13*ORÇAMENTO!$AF$7)/$H636*OFFSET(ORÇAMENTO!$X$15,ROW(AH636)-ROW(AH$15),0),
ROUND(ROUND(OFFSET($P636,0,AH$13),15-13*ORÇAMENTO!$AF$7)*OFFSET(ORÇAMENTO!$W$15,ROW(AH636)-ROW(AH$15),0),15-13*ORÇAMENTO!$AF$11)),0)</f>
        <v>0</v>
      </c>
      <c r="AI636" s="545">
        <f ca="1">IF(AND($D636="Serviço",AI$12&lt;&gt;0,$H636&gt;0,OR(AUTOEVENTO&lt;&gt;"manual",$M636&lt;&gt;1)),
IF(Import.TipoArredondamento&lt;&gt;"TransfereGOV",
ROUND(OFFSET($P636,0,AI$13),15-13*ORÇAMENTO!$AF$7)/$H636*OFFSET(ORÇAMENTO!$X$15,ROW(AI636)-ROW(AI$15),0),
ROUND(ROUND(OFFSET($P636,0,AI$13),15-13*ORÇAMENTO!$AF$7)*OFFSET(ORÇAMENTO!$W$15,ROW(AI636)-ROW(AI$15),0),15-13*ORÇAMENTO!$AF$11)),0)</f>
        <v>0</v>
      </c>
      <c r="AJ636" s="545">
        <f ca="1">IF(AND($D636="Serviço",AJ$12&lt;&gt;0,$H636&gt;0,OR(AUTOEVENTO&lt;&gt;"manual",$M636&lt;&gt;1)),
IF(Import.TipoArredondamento&lt;&gt;"TransfereGOV",
ROUND(OFFSET($P636,0,AJ$13),15-13*ORÇAMENTO!$AF$7)/$H636*OFFSET(ORÇAMENTO!$X$15,ROW(AJ636)-ROW(AJ$15),0),
ROUND(ROUND(OFFSET($P636,0,AJ$13),15-13*ORÇAMENTO!$AF$7)*OFFSET(ORÇAMENTO!$W$15,ROW(AJ636)-ROW(AJ$15),0),15-13*ORÇAMENTO!$AF$11)),0)</f>
        <v>0</v>
      </c>
      <c r="AK636" s="546">
        <f ca="1">IF(AND($D636="Serviço",AK$12&lt;&gt;0,$H636&gt;0,OR(AUTOEVENTO&lt;&gt;"manual",$M636&lt;&gt;1)),
IF(Import.TipoArredondamento&lt;&gt;"TransfereGOV",
ROUND(OFFSET($P636,0,AK$13),15-13*ORÇAMENTO!$AF$7)/$H636*OFFSET(ORÇAMENTO!$X$15,ROW(AK636)-ROW(AK$15),0),
ROUND(ROUND(OFFSET($P636,0,AK$13),15-13*ORÇAMENTO!$AF$7)*OFFSET(ORÇAMENTO!$W$15,ROW(AK636)-ROW(AK$15),0),15-13*ORÇAMENTO!$AF$11)),0)</f>
        <v>0</v>
      </c>
      <c r="AM636" s="181">
        <f ca="1">IF($D636&lt;&gt;"Serviço",0,IF(AND(AUTOEVENTO="Manual",$M636=1),0,IF(OFFSET(CRONOPLE!$F$14,$M636,AM$13)="",10^12,OFFSET(CRONOPLE!$F$14,$M636,AM$13))))</f>
        <v>1000000000000</v>
      </c>
      <c r="AN636" s="181">
        <f ca="1">IF($D636&lt;&gt;"Serviço",0,IF(AND(AUTOEVENTO="Manual",$M636=1),0,IF(OFFSET(CRONOPLE!$F$14,$M636,AN$13)="",10^12,OFFSET(CRONOPLE!$F$14,$M636,AN$13))))</f>
        <v>1000000000000</v>
      </c>
      <c r="AO636" s="181">
        <f ca="1">IF($D636&lt;&gt;"Serviço",0,IF(AND(AUTOEVENTO="Manual",$M636=1),0,IF(OFFSET(CRONOPLE!$F$14,$M636,AO$13)="",10^12,OFFSET(CRONOPLE!$F$14,$M636,AO$13))))</f>
        <v>1000000000000</v>
      </c>
      <c r="AP636" s="181">
        <f ca="1">IF($D636&lt;&gt;"Serviço",0,IF(AND(AUTOEVENTO="Manual",$M636=1),0,IF(OFFSET(CRONOPLE!$F$14,$M636,AP$13)="",10^12,OFFSET(CRONOPLE!$F$14,$M636,AP$13))))</f>
        <v>1000000000000</v>
      </c>
      <c r="AQ636" s="181">
        <f ca="1">IF($D636&lt;&gt;"Serviço",0,IF(AND(AUTOEVENTO="Manual",$M636=1),0,IF(OFFSET(CRONOPLE!$F$14,$M636,AQ$13)="",10^12,OFFSET(CRONOPLE!$F$14,$M636,AQ$13))))</f>
        <v>1000000000000</v>
      </c>
      <c r="AR636" s="181">
        <f ca="1">IF($D636&lt;&gt;"Serviço",0,IF(AND(AUTOEVENTO="Manual",$M636=1),0,IF(OFFSET(CRONOPLE!$F$14,$M636,AR$13)="",10^12,OFFSET(CRONOPLE!$F$14,$M636,AR$13))))</f>
        <v>1000000000000</v>
      </c>
      <c r="AS636" s="181">
        <f ca="1">IF($D636&lt;&gt;"Serviço",0,IF(AND(AUTOEVENTO="Manual",$M636=1),0,IF(OFFSET(CRONOPLE!$F$14,$M636,AS$13)="",10^12,OFFSET(CRONOPLE!$F$14,$M636,AS$13))))</f>
        <v>1000000000000</v>
      </c>
      <c r="AT636" s="181">
        <f ca="1">IF($D636&lt;&gt;"Serviço",0,IF(AND(AUTOEVENTO="Manual",$M636=1),0,IF(OFFSET(CRONOPLE!$F$14,$M636,AT$13)="",10^12,OFFSET(CRONOPLE!$F$14,$M636,AT$13))))</f>
        <v>1000000000000</v>
      </c>
      <c r="AU636" s="181">
        <f ca="1">IF($D636&lt;&gt;"Serviço",0,IF(AND(AUTOEVENTO="Manual",$M636=1),0,IF(OFFSET(CRONOPLE!$F$14,$M636,AU$13)="",10^12,OFFSET(CRONOPLE!$F$14,$M636,AU$13))))</f>
        <v>1000000000000</v>
      </c>
      <c r="AV636" s="181">
        <f ca="1">IF($D636&lt;&gt;"Serviço",0,IF(AND(AUTOEVENTO="Manual",$M636=1),0,IF(OFFSET(CRONOPLE!$F$14,$M636,AV$13)="",10^12,OFFSET(CRONOPLE!$F$14,$M636,AV$13))))</f>
        <v>1000000000000</v>
      </c>
      <c r="AX636" s="182">
        <f ca="1">IF($D636&lt;&gt;"Serviço",0,IF(OR(AND(AUTOEVENTO="Manual",$M636=1),$M636&gt;(ROW(PLE.lastrow)-ROW(PLE.firstrow))),0,IF(OFFSET(PLE!$G$14,$M636,AX$13)="",10^12,OFFSET(PLE!$G$14,$M636,AX$13))))</f>
        <v>1000000000000</v>
      </c>
      <c r="AY636" s="182">
        <f ca="1">IF($D636&lt;&gt;"Serviço",0,IF(OR(AND(AUTOEVENTO="Manual",$M636=1),$M636&gt;(ROW(PLE.lastrow)-ROW(PLE.firstrow))),0,IF(OFFSET(PLE!$G$14,$M636,AY$13)="",10^12,OFFSET(PLE!$G$14,$M636,AY$13))))</f>
        <v>1000000000000</v>
      </c>
      <c r="AZ636" s="182">
        <f ca="1">IF($D636&lt;&gt;"Serviço",0,IF(OR(AND(AUTOEVENTO="Manual",$M636=1),$M636&gt;(ROW(PLE.lastrow)-ROW(PLE.firstrow))),0,IF(OFFSET(PLE!$G$14,$M636,AZ$13)="",10^12,OFFSET(PLE!$G$14,$M636,AZ$13))))</f>
        <v>1000000000000</v>
      </c>
      <c r="BA636" s="182">
        <f ca="1">IF($D636&lt;&gt;"Serviço",0,IF(OR(AND(AUTOEVENTO="Manual",$M636=1),$M636&gt;(ROW(PLE.lastrow)-ROW(PLE.firstrow))),0,IF(OFFSET(PLE!$G$14,$M636,BA$13)="",10^12,OFFSET(PLE!$G$14,$M636,BA$13))))</f>
        <v>1000000000000</v>
      </c>
      <c r="BB636" s="182">
        <f ca="1">IF($D636&lt;&gt;"Serviço",0,IF(OR(AND(AUTOEVENTO="Manual",$M636=1),$M636&gt;(ROW(PLE.lastrow)-ROW(PLE.firstrow))),0,IF(OFFSET(PLE!$G$14,$M636,BB$13)="",10^12,OFFSET(PLE!$G$14,$M636,BB$13))))</f>
        <v>1000000000000</v>
      </c>
      <c r="BC636" s="182">
        <f ca="1">IF($D636&lt;&gt;"Serviço",0,IF(OR(AND(AUTOEVENTO="Manual",$M636=1),$M636&gt;(ROW(PLE.lastrow)-ROW(PLE.firstrow))),0,IF(OFFSET(PLE!$G$14,$M636,BC$13)="",10^12,OFFSET(PLE!$G$14,$M636,BC$13))))</f>
        <v>1000000000000</v>
      </c>
      <c r="BD636" s="182">
        <f ca="1">IF($D636&lt;&gt;"Serviço",0,IF(OR(AND(AUTOEVENTO="Manual",$M636=1),$M636&gt;(ROW(PLE.lastrow)-ROW(PLE.firstrow))),0,IF(OFFSET(PLE!$G$14,$M636,BD$13)="",10^12,OFFSET(PLE!$G$14,$M636,BD$13))))</f>
        <v>1000000000000</v>
      </c>
      <c r="BE636" s="182">
        <f ca="1">IF($D636&lt;&gt;"Serviço",0,IF(OR(AND(AUTOEVENTO="Manual",$M636=1),$M636&gt;(ROW(PLE.lastrow)-ROW(PLE.firstrow))),0,IF(OFFSET(PLE!$G$14,$M636,BE$13)="",10^12,OFFSET(PLE!$G$14,$M636,BE$13))))</f>
        <v>1000000000000</v>
      </c>
      <c r="BF636" s="182">
        <f ca="1">IF($D636&lt;&gt;"Serviço",0,IF(OR(AND(AUTOEVENTO="Manual",$M636=1),$M636&gt;(ROW(PLE.lastrow)-ROW(PLE.firstrow))),0,IF(OFFSET(PLE!$G$14,$M636,BF$13)="",10^12,OFFSET(PLE!$G$14,$M636,BF$13))))</f>
        <v>1000000000000</v>
      </c>
      <c r="BG636" s="182">
        <f ca="1">IF($D636&lt;&gt;"Serviço",0,IF(OR(AND(AUTOEVENTO="Manual",$M636=1),$M636&gt;(ROW(PLE.lastrow)-ROW(PLE.firstrow))),0,IF(OFFSET(PLE!$G$14,$M636,BG$13)="",10^12,OFFSET(PLE!$G$14,$M636,BG$13))))</f>
        <v>1000000000000</v>
      </c>
    </row>
    <row r="637" spans="1:59" ht="38.25" x14ac:dyDescent="0.2">
      <c r="A637" s="7" t="str">
        <f t="shared" ca="1" si="17"/>
        <v>593</v>
      </c>
      <c r="B637" s="7" t="str">
        <f ca="1">OFFSET(ORÇAMENTO!C$15,ROW(B637)-ROW(B$15),0)</f>
        <v>S</v>
      </c>
      <c r="C637" s="7" t="str">
        <f ca="1">OFFSET(ORÇAMENTO!L$15,ROW(C637)-ROW(C$15),0)</f>
        <v/>
      </c>
      <c r="D637" s="118" t="str">
        <f ca="1">OFFSET(ORÇAMENTO!N$15,ROW(D637)-ROW(D$15),0)</f>
        <v>Serviço</v>
      </c>
      <c r="E637" s="119" t="str">
        <f ca="1">OFFSET(ORÇAMENTO!O$15,ROW(E637)-ROW(E$15),0)</f>
        <v>-</v>
      </c>
      <c r="F637" s="172" t="str">
        <f ca="1">OFFSET(ORÇAMENTO!R$15,ROW(F637)-ROW(F$15),0)</f>
        <v>(abra o arquivo 'Referência 02-2025.xlsm)</v>
      </c>
      <c r="G637" s="173" t="str">
        <f ca="1">IF($D637&lt;&gt;"Serviço","",OFFSET(ORÇAMENTO!S$15,ROW(G637)-ROW(G$15),0))</f>
        <v>-</v>
      </c>
      <c r="H637" s="124">
        <f ca="1">IF($D637&lt;&gt;"Serviço",0,IF(ACOMPANHAMENTO="BM",ROUND(OFFSET(ORÇAMENTO!AJ$15,ROW(H637)-ROW(H$15),0),15-13*ORÇAMENTO!$AF$7),SUMPRODUCT(($Q$12:$AA$12&lt;&gt;"")*ROUND($Q637:$AA637,15-13*ORÇAMENTO!$AF$7))))</f>
        <v>51.8</v>
      </c>
      <c r="I637" s="561" t="s">
        <v>890</v>
      </c>
      <c r="K637" s="174"/>
      <c r="L637" s="175" t="s">
        <v>255</v>
      </c>
      <c r="M637" s="176">
        <f ca="1">IF($D637&lt;&gt;"Serviço","",IF(AUTOEVENTO="manual",$A637,IF(ISERROR(MATCH($A637,$A$15:OFFSET($A637,-1,0),0)),MAX($M$15:OFFSET(M637,-1,0))+1,INDEX($M$15:OFFSET(M637,-1,0),MATCH($A637,$A$15:OFFSET($A637,-1,0),0)))))</f>
        <v>19</v>
      </c>
      <c r="N637" s="177" t="str">
        <f ca="1">IF($D637&lt;&gt;"Serviço","",IF(AUTOEVENTO="Manual",IF($A637=0,"&lt;-- defina o número do agrupador",OFFSET(EVENTOS!$D$14,$A637,0)),OFFSET($F$15,$A637,0)))</f>
        <v>INSTALAÇÕES DE CABEAMENTO ESTRUTURADO</v>
      </c>
      <c r="O637" s="178"/>
      <c r="Q637" s="178"/>
      <c r="R637" s="179"/>
      <c r="S637" s="179"/>
      <c r="T637" s="179"/>
      <c r="U637" s="179"/>
      <c r="V637" s="179"/>
      <c r="W637" s="179"/>
      <c r="X637" s="179"/>
      <c r="Y637" s="179"/>
      <c r="Z637" s="180"/>
      <c r="AB637" s="544">
        <f ca="1">IF(AND($D637="Serviço",AB$12&lt;&gt;0,$H637&gt;0,OR(AUTOEVENTO&lt;&gt;"manual",$M637&lt;&gt;1)),
IF(Import.TipoArredondamento&lt;&gt;"TransfereGOV",
ROUND(OFFSET($P637,0,AB$13),15-13*ORÇAMENTO!$AF$7)/$H637*OFFSET(ORÇAMENTO!$X$15,ROW(AB637)-ROW(AB$15),0),
ROUND(ROUND(OFFSET($P637,0,AB$13),15-13*ORÇAMENTO!$AF$7)*OFFSET(ORÇAMENTO!$W$15,ROW(AB637)-ROW(AB$15),0),15-13*ORÇAMENTO!$AF$11)),0)</f>
        <v>0</v>
      </c>
      <c r="AC637" s="545">
        <f ca="1">IF(AND($D637="Serviço",AC$12&lt;&gt;0,$H637&gt;0,OR(AUTOEVENTO&lt;&gt;"manual",$M637&lt;&gt;1)),
IF(Import.TipoArredondamento&lt;&gt;"TransfereGOV",
ROUND(OFFSET($P637,0,AC$13),15-13*ORÇAMENTO!$AF$7)/$H637*OFFSET(ORÇAMENTO!$X$15,ROW(AC637)-ROW(AC$15),0),
ROUND(ROUND(OFFSET($P637,0,AC$13),15-13*ORÇAMENTO!$AF$7)*OFFSET(ORÇAMENTO!$W$15,ROW(AC637)-ROW(AC$15),0),15-13*ORÇAMENTO!$AF$11)),0)</f>
        <v>0</v>
      </c>
      <c r="AD637" s="545">
        <f ca="1">IF(AND($D637="Serviço",AD$12&lt;&gt;0,$H637&gt;0,OR(AUTOEVENTO&lt;&gt;"manual",$M637&lt;&gt;1)),
IF(Import.TipoArredondamento&lt;&gt;"TransfereGOV",
ROUND(OFFSET($P637,0,AD$13),15-13*ORÇAMENTO!$AF$7)/$H637*OFFSET(ORÇAMENTO!$X$15,ROW(AD637)-ROW(AD$15),0),
ROUND(ROUND(OFFSET($P637,0,AD$13),15-13*ORÇAMENTO!$AF$7)*OFFSET(ORÇAMENTO!$W$15,ROW(AD637)-ROW(AD$15),0),15-13*ORÇAMENTO!$AF$11)),0)</f>
        <v>0</v>
      </c>
      <c r="AE637" s="545">
        <f ca="1">IF(AND($D637="Serviço",AE$12&lt;&gt;0,$H637&gt;0,OR(AUTOEVENTO&lt;&gt;"manual",$M637&lt;&gt;1)),
IF(Import.TipoArredondamento&lt;&gt;"TransfereGOV",
ROUND(OFFSET($P637,0,AE$13),15-13*ORÇAMENTO!$AF$7)/$H637*OFFSET(ORÇAMENTO!$X$15,ROW(AE637)-ROW(AE$15),0),
ROUND(ROUND(OFFSET($P637,0,AE$13),15-13*ORÇAMENTO!$AF$7)*OFFSET(ORÇAMENTO!$W$15,ROW(AE637)-ROW(AE$15),0),15-13*ORÇAMENTO!$AF$11)),0)</f>
        <v>0</v>
      </c>
      <c r="AF637" s="545">
        <f ca="1">IF(AND($D637="Serviço",AF$12&lt;&gt;0,$H637&gt;0,OR(AUTOEVENTO&lt;&gt;"manual",$M637&lt;&gt;1)),
IF(Import.TipoArredondamento&lt;&gt;"TransfereGOV",
ROUND(OFFSET($P637,0,AF$13),15-13*ORÇAMENTO!$AF$7)/$H637*OFFSET(ORÇAMENTO!$X$15,ROW(AF637)-ROW(AF$15),0),
ROUND(ROUND(OFFSET($P637,0,AF$13),15-13*ORÇAMENTO!$AF$7)*OFFSET(ORÇAMENTO!$W$15,ROW(AF637)-ROW(AF$15),0),15-13*ORÇAMENTO!$AF$11)),0)</f>
        <v>0</v>
      </c>
      <c r="AG637" s="545">
        <f ca="1">IF(AND($D637="Serviço",AG$12&lt;&gt;0,$H637&gt;0,OR(AUTOEVENTO&lt;&gt;"manual",$M637&lt;&gt;1)),
IF(Import.TipoArredondamento&lt;&gt;"TransfereGOV",
ROUND(OFFSET($P637,0,AG$13),15-13*ORÇAMENTO!$AF$7)/$H637*OFFSET(ORÇAMENTO!$X$15,ROW(AG637)-ROW(AG$15),0),
ROUND(ROUND(OFFSET($P637,0,AG$13),15-13*ORÇAMENTO!$AF$7)*OFFSET(ORÇAMENTO!$W$15,ROW(AG637)-ROW(AG$15),0),15-13*ORÇAMENTO!$AF$11)),0)</f>
        <v>0</v>
      </c>
      <c r="AH637" s="545">
        <f ca="1">IF(AND($D637="Serviço",AH$12&lt;&gt;0,$H637&gt;0,OR(AUTOEVENTO&lt;&gt;"manual",$M637&lt;&gt;1)),
IF(Import.TipoArredondamento&lt;&gt;"TransfereGOV",
ROUND(OFFSET($P637,0,AH$13),15-13*ORÇAMENTO!$AF$7)/$H637*OFFSET(ORÇAMENTO!$X$15,ROW(AH637)-ROW(AH$15),0),
ROUND(ROUND(OFFSET($P637,0,AH$13),15-13*ORÇAMENTO!$AF$7)*OFFSET(ORÇAMENTO!$W$15,ROW(AH637)-ROW(AH$15),0),15-13*ORÇAMENTO!$AF$11)),0)</f>
        <v>0</v>
      </c>
      <c r="AI637" s="545">
        <f ca="1">IF(AND($D637="Serviço",AI$12&lt;&gt;0,$H637&gt;0,OR(AUTOEVENTO&lt;&gt;"manual",$M637&lt;&gt;1)),
IF(Import.TipoArredondamento&lt;&gt;"TransfereGOV",
ROUND(OFFSET($P637,0,AI$13),15-13*ORÇAMENTO!$AF$7)/$H637*OFFSET(ORÇAMENTO!$X$15,ROW(AI637)-ROW(AI$15),0),
ROUND(ROUND(OFFSET($P637,0,AI$13),15-13*ORÇAMENTO!$AF$7)*OFFSET(ORÇAMENTO!$W$15,ROW(AI637)-ROW(AI$15),0),15-13*ORÇAMENTO!$AF$11)),0)</f>
        <v>0</v>
      </c>
      <c r="AJ637" s="545">
        <f ca="1">IF(AND($D637="Serviço",AJ$12&lt;&gt;0,$H637&gt;0,OR(AUTOEVENTO&lt;&gt;"manual",$M637&lt;&gt;1)),
IF(Import.TipoArredondamento&lt;&gt;"TransfereGOV",
ROUND(OFFSET($P637,0,AJ$13),15-13*ORÇAMENTO!$AF$7)/$H637*OFFSET(ORÇAMENTO!$X$15,ROW(AJ637)-ROW(AJ$15),0),
ROUND(ROUND(OFFSET($P637,0,AJ$13),15-13*ORÇAMENTO!$AF$7)*OFFSET(ORÇAMENTO!$W$15,ROW(AJ637)-ROW(AJ$15),0),15-13*ORÇAMENTO!$AF$11)),0)</f>
        <v>0</v>
      </c>
      <c r="AK637" s="546">
        <f ca="1">IF(AND($D637="Serviço",AK$12&lt;&gt;0,$H637&gt;0,OR(AUTOEVENTO&lt;&gt;"manual",$M637&lt;&gt;1)),
IF(Import.TipoArredondamento&lt;&gt;"TransfereGOV",
ROUND(OFFSET($P637,0,AK$13),15-13*ORÇAMENTO!$AF$7)/$H637*OFFSET(ORÇAMENTO!$X$15,ROW(AK637)-ROW(AK$15),0),
ROUND(ROUND(OFFSET($P637,0,AK$13),15-13*ORÇAMENTO!$AF$7)*OFFSET(ORÇAMENTO!$W$15,ROW(AK637)-ROW(AK$15),0),15-13*ORÇAMENTO!$AF$11)),0)</f>
        <v>0</v>
      </c>
      <c r="AM637" s="181">
        <f ca="1">IF($D637&lt;&gt;"Serviço",0,IF(AND(AUTOEVENTO="Manual",$M637=1),0,IF(OFFSET(CRONOPLE!$F$14,$M637,AM$13)="",10^12,OFFSET(CRONOPLE!$F$14,$M637,AM$13))))</f>
        <v>1000000000000</v>
      </c>
      <c r="AN637" s="181">
        <f ca="1">IF($D637&lt;&gt;"Serviço",0,IF(AND(AUTOEVENTO="Manual",$M637=1),0,IF(OFFSET(CRONOPLE!$F$14,$M637,AN$13)="",10^12,OFFSET(CRONOPLE!$F$14,$M637,AN$13))))</f>
        <v>1000000000000</v>
      </c>
      <c r="AO637" s="181">
        <f ca="1">IF($D637&lt;&gt;"Serviço",0,IF(AND(AUTOEVENTO="Manual",$M637=1),0,IF(OFFSET(CRONOPLE!$F$14,$M637,AO$13)="",10^12,OFFSET(CRONOPLE!$F$14,$M637,AO$13))))</f>
        <v>1000000000000</v>
      </c>
      <c r="AP637" s="181">
        <f ca="1">IF($D637&lt;&gt;"Serviço",0,IF(AND(AUTOEVENTO="Manual",$M637=1),0,IF(OFFSET(CRONOPLE!$F$14,$M637,AP$13)="",10^12,OFFSET(CRONOPLE!$F$14,$M637,AP$13))))</f>
        <v>1000000000000</v>
      </c>
      <c r="AQ637" s="181">
        <f ca="1">IF($D637&lt;&gt;"Serviço",0,IF(AND(AUTOEVENTO="Manual",$M637=1),0,IF(OFFSET(CRONOPLE!$F$14,$M637,AQ$13)="",10^12,OFFSET(CRONOPLE!$F$14,$M637,AQ$13))))</f>
        <v>1000000000000</v>
      </c>
      <c r="AR637" s="181">
        <f ca="1">IF($D637&lt;&gt;"Serviço",0,IF(AND(AUTOEVENTO="Manual",$M637=1),0,IF(OFFSET(CRONOPLE!$F$14,$M637,AR$13)="",10^12,OFFSET(CRONOPLE!$F$14,$M637,AR$13))))</f>
        <v>1000000000000</v>
      </c>
      <c r="AS637" s="181">
        <f ca="1">IF($D637&lt;&gt;"Serviço",0,IF(AND(AUTOEVENTO="Manual",$M637=1),0,IF(OFFSET(CRONOPLE!$F$14,$M637,AS$13)="",10^12,OFFSET(CRONOPLE!$F$14,$M637,AS$13))))</f>
        <v>1000000000000</v>
      </c>
      <c r="AT637" s="181">
        <f ca="1">IF($D637&lt;&gt;"Serviço",0,IF(AND(AUTOEVENTO="Manual",$M637=1),0,IF(OFFSET(CRONOPLE!$F$14,$M637,AT$13)="",10^12,OFFSET(CRONOPLE!$F$14,$M637,AT$13))))</f>
        <v>1000000000000</v>
      </c>
      <c r="AU637" s="181">
        <f ca="1">IF($D637&lt;&gt;"Serviço",0,IF(AND(AUTOEVENTO="Manual",$M637=1),0,IF(OFFSET(CRONOPLE!$F$14,$M637,AU$13)="",10^12,OFFSET(CRONOPLE!$F$14,$M637,AU$13))))</f>
        <v>1000000000000</v>
      </c>
      <c r="AV637" s="181">
        <f ca="1">IF($D637&lt;&gt;"Serviço",0,IF(AND(AUTOEVENTO="Manual",$M637=1),0,IF(OFFSET(CRONOPLE!$F$14,$M637,AV$13)="",10^12,OFFSET(CRONOPLE!$F$14,$M637,AV$13))))</f>
        <v>1000000000000</v>
      </c>
      <c r="AX637" s="182">
        <f ca="1">IF($D637&lt;&gt;"Serviço",0,IF(OR(AND(AUTOEVENTO="Manual",$M637=1),$M637&gt;(ROW(PLE.lastrow)-ROW(PLE.firstrow))),0,IF(OFFSET(PLE!$G$14,$M637,AX$13)="",10^12,OFFSET(PLE!$G$14,$M637,AX$13))))</f>
        <v>1000000000000</v>
      </c>
      <c r="AY637" s="182">
        <f ca="1">IF($D637&lt;&gt;"Serviço",0,IF(OR(AND(AUTOEVENTO="Manual",$M637=1),$M637&gt;(ROW(PLE.lastrow)-ROW(PLE.firstrow))),0,IF(OFFSET(PLE!$G$14,$M637,AY$13)="",10^12,OFFSET(PLE!$G$14,$M637,AY$13))))</f>
        <v>1000000000000</v>
      </c>
      <c r="AZ637" s="182">
        <f ca="1">IF($D637&lt;&gt;"Serviço",0,IF(OR(AND(AUTOEVENTO="Manual",$M637=1),$M637&gt;(ROW(PLE.lastrow)-ROW(PLE.firstrow))),0,IF(OFFSET(PLE!$G$14,$M637,AZ$13)="",10^12,OFFSET(PLE!$G$14,$M637,AZ$13))))</f>
        <v>1000000000000</v>
      </c>
      <c r="BA637" s="182">
        <f ca="1">IF($D637&lt;&gt;"Serviço",0,IF(OR(AND(AUTOEVENTO="Manual",$M637=1),$M637&gt;(ROW(PLE.lastrow)-ROW(PLE.firstrow))),0,IF(OFFSET(PLE!$G$14,$M637,BA$13)="",10^12,OFFSET(PLE!$G$14,$M637,BA$13))))</f>
        <v>1000000000000</v>
      </c>
      <c r="BB637" s="182">
        <f ca="1">IF($D637&lt;&gt;"Serviço",0,IF(OR(AND(AUTOEVENTO="Manual",$M637=1),$M637&gt;(ROW(PLE.lastrow)-ROW(PLE.firstrow))),0,IF(OFFSET(PLE!$G$14,$M637,BB$13)="",10^12,OFFSET(PLE!$G$14,$M637,BB$13))))</f>
        <v>1000000000000</v>
      </c>
      <c r="BC637" s="182">
        <f ca="1">IF($D637&lt;&gt;"Serviço",0,IF(OR(AND(AUTOEVENTO="Manual",$M637=1),$M637&gt;(ROW(PLE.lastrow)-ROW(PLE.firstrow))),0,IF(OFFSET(PLE!$G$14,$M637,BC$13)="",10^12,OFFSET(PLE!$G$14,$M637,BC$13))))</f>
        <v>1000000000000</v>
      </c>
      <c r="BD637" s="182">
        <f ca="1">IF($D637&lt;&gt;"Serviço",0,IF(OR(AND(AUTOEVENTO="Manual",$M637=1),$M637&gt;(ROW(PLE.lastrow)-ROW(PLE.firstrow))),0,IF(OFFSET(PLE!$G$14,$M637,BD$13)="",10^12,OFFSET(PLE!$G$14,$M637,BD$13))))</f>
        <v>1000000000000</v>
      </c>
      <c r="BE637" s="182">
        <f ca="1">IF($D637&lt;&gt;"Serviço",0,IF(OR(AND(AUTOEVENTO="Manual",$M637=1),$M637&gt;(ROW(PLE.lastrow)-ROW(PLE.firstrow))),0,IF(OFFSET(PLE!$G$14,$M637,BE$13)="",10^12,OFFSET(PLE!$G$14,$M637,BE$13))))</f>
        <v>1000000000000</v>
      </c>
      <c r="BF637" s="182">
        <f ca="1">IF($D637&lt;&gt;"Serviço",0,IF(OR(AND(AUTOEVENTO="Manual",$M637=1),$M637&gt;(ROW(PLE.lastrow)-ROW(PLE.firstrow))),0,IF(OFFSET(PLE!$G$14,$M637,BF$13)="",10^12,OFFSET(PLE!$G$14,$M637,BF$13))))</f>
        <v>1000000000000</v>
      </c>
      <c r="BG637" s="182">
        <f ca="1">IF($D637&lt;&gt;"Serviço",0,IF(OR(AND(AUTOEVENTO="Manual",$M637=1),$M637&gt;(ROW(PLE.lastrow)-ROW(PLE.firstrow))),0,IF(OFFSET(PLE!$G$14,$M637,BG$13)="",10^12,OFFSET(PLE!$G$14,$M637,BG$13))))</f>
        <v>1000000000000</v>
      </c>
    </row>
    <row r="638" spans="1:59" ht="38.25" x14ac:dyDescent="0.2">
      <c r="A638" s="7" t="str">
        <f t="shared" ca="1" si="17"/>
        <v>593</v>
      </c>
      <c r="B638" s="7" t="str">
        <f ca="1">OFFSET(ORÇAMENTO!C$15,ROW(B638)-ROW(B$15),0)</f>
        <v>S</v>
      </c>
      <c r="C638" s="7" t="str">
        <f ca="1">OFFSET(ORÇAMENTO!L$15,ROW(C638)-ROW(C$15),0)</f>
        <v/>
      </c>
      <c r="D638" s="118" t="str">
        <f ca="1">OFFSET(ORÇAMENTO!N$15,ROW(D638)-ROW(D$15),0)</f>
        <v>Serviço</v>
      </c>
      <c r="E638" s="119" t="str">
        <f ca="1">OFFSET(ORÇAMENTO!O$15,ROW(E638)-ROW(E$15),0)</f>
        <v>-</v>
      </c>
      <c r="F638" s="172" t="str">
        <f ca="1">OFFSET(ORÇAMENTO!R$15,ROW(F638)-ROW(F$15),0)</f>
        <v>(abra o arquivo 'Referência 02-2025.xlsm)</v>
      </c>
      <c r="G638" s="173" t="str">
        <f ca="1">IF($D638&lt;&gt;"Serviço","",OFFSET(ORÇAMENTO!S$15,ROW(G638)-ROW(G$15),0))</f>
        <v>-</v>
      </c>
      <c r="H638" s="124">
        <f ca="1">IF($D638&lt;&gt;"Serviço",0,IF(ACOMPANHAMENTO="BM",ROUND(OFFSET(ORÇAMENTO!AJ$15,ROW(H638)-ROW(H$15),0),15-13*ORÇAMENTO!$AF$7),SUMPRODUCT(($Q$12:$AA$12&lt;&gt;"")*ROUND($Q638:$AA638,15-13*ORÇAMENTO!$AF$7))))</f>
        <v>46.9</v>
      </c>
      <c r="I638" s="561" t="s">
        <v>890</v>
      </c>
      <c r="K638" s="174"/>
      <c r="L638" s="175" t="s">
        <v>255</v>
      </c>
      <c r="M638" s="176">
        <f ca="1">IF($D638&lt;&gt;"Serviço","",IF(AUTOEVENTO="manual",$A638,IF(ISERROR(MATCH($A638,$A$15:OFFSET($A638,-1,0),0)),MAX($M$15:OFFSET(M638,-1,0))+1,INDEX($M$15:OFFSET(M638,-1,0),MATCH($A638,$A$15:OFFSET($A638,-1,0),0)))))</f>
        <v>19</v>
      </c>
      <c r="N638" s="177" t="str">
        <f ca="1">IF($D638&lt;&gt;"Serviço","",IF(AUTOEVENTO="Manual",IF($A638=0,"&lt;-- defina o número do agrupador",OFFSET(EVENTOS!$D$14,$A638,0)),OFFSET($F$15,$A638,0)))</f>
        <v>INSTALAÇÕES DE CABEAMENTO ESTRUTURADO</v>
      </c>
      <c r="O638" s="178"/>
      <c r="Q638" s="178"/>
      <c r="R638" s="179"/>
      <c r="S638" s="179"/>
      <c r="T638" s="179"/>
      <c r="U638" s="179"/>
      <c r="V638" s="179"/>
      <c r="W638" s="179"/>
      <c r="X638" s="179"/>
      <c r="Y638" s="179"/>
      <c r="Z638" s="180"/>
      <c r="AB638" s="544">
        <f ca="1">IF(AND($D638="Serviço",AB$12&lt;&gt;0,$H638&gt;0,OR(AUTOEVENTO&lt;&gt;"manual",$M638&lt;&gt;1)),
IF(Import.TipoArredondamento&lt;&gt;"TransfereGOV",
ROUND(OFFSET($P638,0,AB$13),15-13*ORÇAMENTO!$AF$7)/$H638*OFFSET(ORÇAMENTO!$X$15,ROW(AB638)-ROW(AB$15),0),
ROUND(ROUND(OFFSET($P638,0,AB$13),15-13*ORÇAMENTO!$AF$7)*OFFSET(ORÇAMENTO!$W$15,ROW(AB638)-ROW(AB$15),0),15-13*ORÇAMENTO!$AF$11)),0)</f>
        <v>0</v>
      </c>
      <c r="AC638" s="545">
        <f ca="1">IF(AND($D638="Serviço",AC$12&lt;&gt;0,$H638&gt;0,OR(AUTOEVENTO&lt;&gt;"manual",$M638&lt;&gt;1)),
IF(Import.TipoArredondamento&lt;&gt;"TransfereGOV",
ROUND(OFFSET($P638,0,AC$13),15-13*ORÇAMENTO!$AF$7)/$H638*OFFSET(ORÇAMENTO!$X$15,ROW(AC638)-ROW(AC$15),0),
ROUND(ROUND(OFFSET($P638,0,AC$13),15-13*ORÇAMENTO!$AF$7)*OFFSET(ORÇAMENTO!$W$15,ROW(AC638)-ROW(AC$15),0),15-13*ORÇAMENTO!$AF$11)),0)</f>
        <v>0</v>
      </c>
      <c r="AD638" s="545">
        <f ca="1">IF(AND($D638="Serviço",AD$12&lt;&gt;0,$H638&gt;0,OR(AUTOEVENTO&lt;&gt;"manual",$M638&lt;&gt;1)),
IF(Import.TipoArredondamento&lt;&gt;"TransfereGOV",
ROUND(OFFSET($P638,0,AD$13),15-13*ORÇAMENTO!$AF$7)/$H638*OFFSET(ORÇAMENTO!$X$15,ROW(AD638)-ROW(AD$15),0),
ROUND(ROUND(OFFSET($P638,0,AD$13),15-13*ORÇAMENTO!$AF$7)*OFFSET(ORÇAMENTO!$W$15,ROW(AD638)-ROW(AD$15),0),15-13*ORÇAMENTO!$AF$11)),0)</f>
        <v>0</v>
      </c>
      <c r="AE638" s="545">
        <f ca="1">IF(AND($D638="Serviço",AE$12&lt;&gt;0,$H638&gt;0,OR(AUTOEVENTO&lt;&gt;"manual",$M638&lt;&gt;1)),
IF(Import.TipoArredondamento&lt;&gt;"TransfereGOV",
ROUND(OFFSET($P638,0,AE$13),15-13*ORÇAMENTO!$AF$7)/$H638*OFFSET(ORÇAMENTO!$X$15,ROW(AE638)-ROW(AE$15),0),
ROUND(ROUND(OFFSET($P638,0,AE$13),15-13*ORÇAMENTO!$AF$7)*OFFSET(ORÇAMENTO!$W$15,ROW(AE638)-ROW(AE$15),0),15-13*ORÇAMENTO!$AF$11)),0)</f>
        <v>0</v>
      </c>
      <c r="AF638" s="545">
        <f ca="1">IF(AND($D638="Serviço",AF$12&lt;&gt;0,$H638&gt;0,OR(AUTOEVENTO&lt;&gt;"manual",$M638&lt;&gt;1)),
IF(Import.TipoArredondamento&lt;&gt;"TransfereGOV",
ROUND(OFFSET($P638,0,AF$13),15-13*ORÇAMENTO!$AF$7)/$H638*OFFSET(ORÇAMENTO!$X$15,ROW(AF638)-ROW(AF$15),0),
ROUND(ROUND(OFFSET($P638,0,AF$13),15-13*ORÇAMENTO!$AF$7)*OFFSET(ORÇAMENTO!$W$15,ROW(AF638)-ROW(AF$15),0),15-13*ORÇAMENTO!$AF$11)),0)</f>
        <v>0</v>
      </c>
      <c r="AG638" s="545">
        <f ca="1">IF(AND($D638="Serviço",AG$12&lt;&gt;0,$H638&gt;0,OR(AUTOEVENTO&lt;&gt;"manual",$M638&lt;&gt;1)),
IF(Import.TipoArredondamento&lt;&gt;"TransfereGOV",
ROUND(OFFSET($P638,0,AG$13),15-13*ORÇAMENTO!$AF$7)/$H638*OFFSET(ORÇAMENTO!$X$15,ROW(AG638)-ROW(AG$15),0),
ROUND(ROUND(OFFSET($P638,0,AG$13),15-13*ORÇAMENTO!$AF$7)*OFFSET(ORÇAMENTO!$W$15,ROW(AG638)-ROW(AG$15),0),15-13*ORÇAMENTO!$AF$11)),0)</f>
        <v>0</v>
      </c>
      <c r="AH638" s="545">
        <f ca="1">IF(AND($D638="Serviço",AH$12&lt;&gt;0,$H638&gt;0,OR(AUTOEVENTO&lt;&gt;"manual",$M638&lt;&gt;1)),
IF(Import.TipoArredondamento&lt;&gt;"TransfereGOV",
ROUND(OFFSET($P638,0,AH$13),15-13*ORÇAMENTO!$AF$7)/$H638*OFFSET(ORÇAMENTO!$X$15,ROW(AH638)-ROW(AH$15),0),
ROUND(ROUND(OFFSET($P638,0,AH$13),15-13*ORÇAMENTO!$AF$7)*OFFSET(ORÇAMENTO!$W$15,ROW(AH638)-ROW(AH$15),0),15-13*ORÇAMENTO!$AF$11)),0)</f>
        <v>0</v>
      </c>
      <c r="AI638" s="545">
        <f ca="1">IF(AND($D638="Serviço",AI$12&lt;&gt;0,$H638&gt;0,OR(AUTOEVENTO&lt;&gt;"manual",$M638&lt;&gt;1)),
IF(Import.TipoArredondamento&lt;&gt;"TransfereGOV",
ROUND(OFFSET($P638,0,AI$13),15-13*ORÇAMENTO!$AF$7)/$H638*OFFSET(ORÇAMENTO!$X$15,ROW(AI638)-ROW(AI$15),0),
ROUND(ROUND(OFFSET($P638,0,AI$13),15-13*ORÇAMENTO!$AF$7)*OFFSET(ORÇAMENTO!$W$15,ROW(AI638)-ROW(AI$15),0),15-13*ORÇAMENTO!$AF$11)),0)</f>
        <v>0</v>
      </c>
      <c r="AJ638" s="545">
        <f ca="1">IF(AND($D638="Serviço",AJ$12&lt;&gt;0,$H638&gt;0,OR(AUTOEVENTO&lt;&gt;"manual",$M638&lt;&gt;1)),
IF(Import.TipoArredondamento&lt;&gt;"TransfereGOV",
ROUND(OFFSET($P638,0,AJ$13),15-13*ORÇAMENTO!$AF$7)/$H638*OFFSET(ORÇAMENTO!$X$15,ROW(AJ638)-ROW(AJ$15),0),
ROUND(ROUND(OFFSET($P638,0,AJ$13),15-13*ORÇAMENTO!$AF$7)*OFFSET(ORÇAMENTO!$W$15,ROW(AJ638)-ROW(AJ$15),0),15-13*ORÇAMENTO!$AF$11)),0)</f>
        <v>0</v>
      </c>
      <c r="AK638" s="546">
        <f ca="1">IF(AND($D638="Serviço",AK$12&lt;&gt;0,$H638&gt;0,OR(AUTOEVENTO&lt;&gt;"manual",$M638&lt;&gt;1)),
IF(Import.TipoArredondamento&lt;&gt;"TransfereGOV",
ROUND(OFFSET($P638,0,AK$13),15-13*ORÇAMENTO!$AF$7)/$H638*OFFSET(ORÇAMENTO!$X$15,ROW(AK638)-ROW(AK$15),0),
ROUND(ROUND(OFFSET($P638,0,AK$13),15-13*ORÇAMENTO!$AF$7)*OFFSET(ORÇAMENTO!$W$15,ROW(AK638)-ROW(AK$15),0),15-13*ORÇAMENTO!$AF$11)),0)</f>
        <v>0</v>
      </c>
      <c r="AM638" s="181">
        <f ca="1">IF($D638&lt;&gt;"Serviço",0,IF(AND(AUTOEVENTO="Manual",$M638=1),0,IF(OFFSET(CRONOPLE!$F$14,$M638,AM$13)="",10^12,OFFSET(CRONOPLE!$F$14,$M638,AM$13))))</f>
        <v>1000000000000</v>
      </c>
      <c r="AN638" s="181">
        <f ca="1">IF($D638&lt;&gt;"Serviço",0,IF(AND(AUTOEVENTO="Manual",$M638=1),0,IF(OFFSET(CRONOPLE!$F$14,$M638,AN$13)="",10^12,OFFSET(CRONOPLE!$F$14,$M638,AN$13))))</f>
        <v>1000000000000</v>
      </c>
      <c r="AO638" s="181">
        <f ca="1">IF($D638&lt;&gt;"Serviço",0,IF(AND(AUTOEVENTO="Manual",$M638=1),0,IF(OFFSET(CRONOPLE!$F$14,$M638,AO$13)="",10^12,OFFSET(CRONOPLE!$F$14,$M638,AO$13))))</f>
        <v>1000000000000</v>
      </c>
      <c r="AP638" s="181">
        <f ca="1">IF($D638&lt;&gt;"Serviço",0,IF(AND(AUTOEVENTO="Manual",$M638=1),0,IF(OFFSET(CRONOPLE!$F$14,$M638,AP$13)="",10^12,OFFSET(CRONOPLE!$F$14,$M638,AP$13))))</f>
        <v>1000000000000</v>
      </c>
      <c r="AQ638" s="181">
        <f ca="1">IF($D638&lt;&gt;"Serviço",0,IF(AND(AUTOEVENTO="Manual",$M638=1),0,IF(OFFSET(CRONOPLE!$F$14,$M638,AQ$13)="",10^12,OFFSET(CRONOPLE!$F$14,$M638,AQ$13))))</f>
        <v>1000000000000</v>
      </c>
      <c r="AR638" s="181">
        <f ca="1">IF($D638&lt;&gt;"Serviço",0,IF(AND(AUTOEVENTO="Manual",$M638=1),0,IF(OFFSET(CRONOPLE!$F$14,$M638,AR$13)="",10^12,OFFSET(CRONOPLE!$F$14,$M638,AR$13))))</f>
        <v>1000000000000</v>
      </c>
      <c r="AS638" s="181">
        <f ca="1">IF($D638&lt;&gt;"Serviço",0,IF(AND(AUTOEVENTO="Manual",$M638=1),0,IF(OFFSET(CRONOPLE!$F$14,$M638,AS$13)="",10^12,OFFSET(CRONOPLE!$F$14,$M638,AS$13))))</f>
        <v>1000000000000</v>
      </c>
      <c r="AT638" s="181">
        <f ca="1">IF($D638&lt;&gt;"Serviço",0,IF(AND(AUTOEVENTO="Manual",$M638=1),0,IF(OFFSET(CRONOPLE!$F$14,$M638,AT$13)="",10^12,OFFSET(CRONOPLE!$F$14,$M638,AT$13))))</f>
        <v>1000000000000</v>
      </c>
      <c r="AU638" s="181">
        <f ca="1">IF($D638&lt;&gt;"Serviço",0,IF(AND(AUTOEVENTO="Manual",$M638=1),0,IF(OFFSET(CRONOPLE!$F$14,$M638,AU$13)="",10^12,OFFSET(CRONOPLE!$F$14,$M638,AU$13))))</f>
        <v>1000000000000</v>
      </c>
      <c r="AV638" s="181">
        <f ca="1">IF($D638&lt;&gt;"Serviço",0,IF(AND(AUTOEVENTO="Manual",$M638=1),0,IF(OFFSET(CRONOPLE!$F$14,$M638,AV$13)="",10^12,OFFSET(CRONOPLE!$F$14,$M638,AV$13))))</f>
        <v>1000000000000</v>
      </c>
      <c r="AX638" s="182">
        <f ca="1">IF($D638&lt;&gt;"Serviço",0,IF(OR(AND(AUTOEVENTO="Manual",$M638=1),$M638&gt;(ROW(PLE.lastrow)-ROW(PLE.firstrow))),0,IF(OFFSET(PLE!$G$14,$M638,AX$13)="",10^12,OFFSET(PLE!$G$14,$M638,AX$13))))</f>
        <v>1000000000000</v>
      </c>
      <c r="AY638" s="182">
        <f ca="1">IF($D638&lt;&gt;"Serviço",0,IF(OR(AND(AUTOEVENTO="Manual",$M638=1),$M638&gt;(ROW(PLE.lastrow)-ROW(PLE.firstrow))),0,IF(OFFSET(PLE!$G$14,$M638,AY$13)="",10^12,OFFSET(PLE!$G$14,$M638,AY$13))))</f>
        <v>1000000000000</v>
      </c>
      <c r="AZ638" s="182">
        <f ca="1">IF($D638&lt;&gt;"Serviço",0,IF(OR(AND(AUTOEVENTO="Manual",$M638=1),$M638&gt;(ROW(PLE.lastrow)-ROW(PLE.firstrow))),0,IF(OFFSET(PLE!$G$14,$M638,AZ$13)="",10^12,OFFSET(PLE!$G$14,$M638,AZ$13))))</f>
        <v>1000000000000</v>
      </c>
      <c r="BA638" s="182">
        <f ca="1">IF($D638&lt;&gt;"Serviço",0,IF(OR(AND(AUTOEVENTO="Manual",$M638=1),$M638&gt;(ROW(PLE.lastrow)-ROW(PLE.firstrow))),0,IF(OFFSET(PLE!$G$14,$M638,BA$13)="",10^12,OFFSET(PLE!$G$14,$M638,BA$13))))</f>
        <v>1000000000000</v>
      </c>
      <c r="BB638" s="182">
        <f ca="1">IF($D638&lt;&gt;"Serviço",0,IF(OR(AND(AUTOEVENTO="Manual",$M638=1),$M638&gt;(ROW(PLE.lastrow)-ROW(PLE.firstrow))),0,IF(OFFSET(PLE!$G$14,$M638,BB$13)="",10^12,OFFSET(PLE!$G$14,$M638,BB$13))))</f>
        <v>1000000000000</v>
      </c>
      <c r="BC638" s="182">
        <f ca="1">IF($D638&lt;&gt;"Serviço",0,IF(OR(AND(AUTOEVENTO="Manual",$M638=1),$M638&gt;(ROW(PLE.lastrow)-ROW(PLE.firstrow))),0,IF(OFFSET(PLE!$G$14,$M638,BC$13)="",10^12,OFFSET(PLE!$G$14,$M638,BC$13))))</f>
        <v>1000000000000</v>
      </c>
      <c r="BD638" s="182">
        <f ca="1">IF($D638&lt;&gt;"Serviço",0,IF(OR(AND(AUTOEVENTO="Manual",$M638=1),$M638&gt;(ROW(PLE.lastrow)-ROW(PLE.firstrow))),0,IF(OFFSET(PLE!$G$14,$M638,BD$13)="",10^12,OFFSET(PLE!$G$14,$M638,BD$13))))</f>
        <v>1000000000000</v>
      </c>
      <c r="BE638" s="182">
        <f ca="1">IF($D638&lt;&gt;"Serviço",0,IF(OR(AND(AUTOEVENTO="Manual",$M638=1),$M638&gt;(ROW(PLE.lastrow)-ROW(PLE.firstrow))),0,IF(OFFSET(PLE!$G$14,$M638,BE$13)="",10^12,OFFSET(PLE!$G$14,$M638,BE$13))))</f>
        <v>1000000000000</v>
      </c>
      <c r="BF638" s="182">
        <f ca="1">IF($D638&lt;&gt;"Serviço",0,IF(OR(AND(AUTOEVENTO="Manual",$M638=1),$M638&gt;(ROW(PLE.lastrow)-ROW(PLE.firstrow))),0,IF(OFFSET(PLE!$G$14,$M638,BF$13)="",10^12,OFFSET(PLE!$G$14,$M638,BF$13))))</f>
        <v>1000000000000</v>
      </c>
      <c r="BG638" s="182">
        <f ca="1">IF($D638&lt;&gt;"Serviço",0,IF(OR(AND(AUTOEVENTO="Manual",$M638=1),$M638&gt;(ROW(PLE.lastrow)-ROW(PLE.firstrow))),0,IF(OFFSET(PLE!$G$14,$M638,BG$13)="",10^12,OFFSET(PLE!$G$14,$M638,BG$13))))</f>
        <v>1000000000000</v>
      </c>
    </row>
    <row r="639" spans="1:59" ht="25.5" x14ac:dyDescent="0.2">
      <c r="A639" s="7" t="str">
        <f t="shared" ca="1" si="17"/>
        <v>593</v>
      </c>
      <c r="B639" s="7" t="str">
        <f ca="1">OFFSET(ORÇAMENTO!C$15,ROW(B639)-ROW(B$15),0)</f>
        <v>S</v>
      </c>
      <c r="C639" s="7" t="str">
        <f ca="1">OFFSET(ORÇAMENTO!L$15,ROW(C639)-ROW(C$15),0)</f>
        <v/>
      </c>
      <c r="D639" s="118" t="str">
        <f ca="1">OFFSET(ORÇAMENTO!N$15,ROW(D639)-ROW(D$15),0)</f>
        <v>Serviço</v>
      </c>
      <c r="E639" s="119" t="str">
        <f ca="1">OFFSET(ORÇAMENTO!O$15,ROW(E639)-ROW(E$15),0)</f>
        <v>-</v>
      </c>
      <c r="F639" s="172" t="str">
        <f ca="1">OFFSET(ORÇAMENTO!R$15,ROW(F639)-ROW(F$15),0)</f>
        <v>(abra o arquivo 'Referência 02-2025.xlsm)</v>
      </c>
      <c r="G639" s="173" t="str">
        <f ca="1">IF($D639&lt;&gt;"Serviço","",OFFSET(ORÇAMENTO!S$15,ROW(G639)-ROW(G$15),0))</f>
        <v>-</v>
      </c>
      <c r="H639" s="124">
        <f ca="1">IF($D639&lt;&gt;"Serviço",0,IF(ACOMPANHAMENTO="BM",ROUND(OFFSET(ORÇAMENTO!AJ$15,ROW(H639)-ROW(H$15),0),15-13*ORÇAMENTO!$AF$7),SUMPRODUCT(($Q$12:$AA$12&lt;&gt;"")*ROUND($Q639:$AA639,15-13*ORÇAMENTO!$AF$7))))</f>
        <v>1</v>
      </c>
      <c r="I639" s="561" t="s">
        <v>890</v>
      </c>
      <c r="K639" s="174"/>
      <c r="L639" s="175" t="s">
        <v>255</v>
      </c>
      <c r="M639" s="176">
        <f ca="1">IF($D639&lt;&gt;"Serviço","",IF(AUTOEVENTO="manual",$A639,IF(ISERROR(MATCH($A639,$A$15:OFFSET($A639,-1,0),0)),MAX($M$15:OFFSET(M639,-1,0))+1,INDEX($M$15:OFFSET(M639,-1,0),MATCH($A639,$A$15:OFFSET($A639,-1,0),0)))))</f>
        <v>19</v>
      </c>
      <c r="N639" s="177" t="str">
        <f ca="1">IF($D639&lt;&gt;"Serviço","",IF(AUTOEVENTO="Manual",IF($A639=0,"&lt;-- defina o número do agrupador",OFFSET(EVENTOS!$D$14,$A639,0)),OFFSET($F$15,$A639,0)))</f>
        <v>INSTALAÇÕES DE CABEAMENTO ESTRUTURADO</v>
      </c>
      <c r="O639" s="178"/>
      <c r="Q639" s="178"/>
      <c r="R639" s="179"/>
      <c r="S639" s="179"/>
      <c r="T639" s="179"/>
      <c r="U639" s="179"/>
      <c r="V639" s="179"/>
      <c r="W639" s="179"/>
      <c r="X639" s="179"/>
      <c r="Y639" s="179"/>
      <c r="Z639" s="180"/>
      <c r="AB639" s="544">
        <f ca="1">IF(AND($D639="Serviço",AB$12&lt;&gt;0,$H639&gt;0,OR(AUTOEVENTO&lt;&gt;"manual",$M639&lt;&gt;1)),
IF(Import.TipoArredondamento&lt;&gt;"TransfereGOV",
ROUND(OFFSET($P639,0,AB$13),15-13*ORÇAMENTO!$AF$7)/$H639*OFFSET(ORÇAMENTO!$X$15,ROW(AB639)-ROW(AB$15),0),
ROUND(ROUND(OFFSET($P639,0,AB$13),15-13*ORÇAMENTO!$AF$7)*OFFSET(ORÇAMENTO!$W$15,ROW(AB639)-ROW(AB$15),0),15-13*ORÇAMENTO!$AF$11)),0)</f>
        <v>0</v>
      </c>
      <c r="AC639" s="545">
        <f ca="1">IF(AND($D639="Serviço",AC$12&lt;&gt;0,$H639&gt;0,OR(AUTOEVENTO&lt;&gt;"manual",$M639&lt;&gt;1)),
IF(Import.TipoArredondamento&lt;&gt;"TransfereGOV",
ROUND(OFFSET($P639,0,AC$13),15-13*ORÇAMENTO!$AF$7)/$H639*OFFSET(ORÇAMENTO!$X$15,ROW(AC639)-ROW(AC$15),0),
ROUND(ROUND(OFFSET($P639,0,AC$13),15-13*ORÇAMENTO!$AF$7)*OFFSET(ORÇAMENTO!$W$15,ROW(AC639)-ROW(AC$15),0),15-13*ORÇAMENTO!$AF$11)),0)</f>
        <v>0</v>
      </c>
      <c r="AD639" s="545">
        <f ca="1">IF(AND($D639="Serviço",AD$12&lt;&gt;0,$H639&gt;0,OR(AUTOEVENTO&lt;&gt;"manual",$M639&lt;&gt;1)),
IF(Import.TipoArredondamento&lt;&gt;"TransfereGOV",
ROUND(OFFSET($P639,0,AD$13),15-13*ORÇAMENTO!$AF$7)/$H639*OFFSET(ORÇAMENTO!$X$15,ROW(AD639)-ROW(AD$15),0),
ROUND(ROUND(OFFSET($P639,0,AD$13),15-13*ORÇAMENTO!$AF$7)*OFFSET(ORÇAMENTO!$W$15,ROW(AD639)-ROW(AD$15),0),15-13*ORÇAMENTO!$AF$11)),0)</f>
        <v>0</v>
      </c>
      <c r="AE639" s="545">
        <f ca="1">IF(AND($D639="Serviço",AE$12&lt;&gt;0,$H639&gt;0,OR(AUTOEVENTO&lt;&gt;"manual",$M639&lt;&gt;1)),
IF(Import.TipoArredondamento&lt;&gt;"TransfereGOV",
ROUND(OFFSET($P639,0,AE$13),15-13*ORÇAMENTO!$AF$7)/$H639*OFFSET(ORÇAMENTO!$X$15,ROW(AE639)-ROW(AE$15),0),
ROUND(ROUND(OFFSET($P639,0,AE$13),15-13*ORÇAMENTO!$AF$7)*OFFSET(ORÇAMENTO!$W$15,ROW(AE639)-ROW(AE$15),0),15-13*ORÇAMENTO!$AF$11)),0)</f>
        <v>0</v>
      </c>
      <c r="AF639" s="545">
        <f ca="1">IF(AND($D639="Serviço",AF$12&lt;&gt;0,$H639&gt;0,OR(AUTOEVENTO&lt;&gt;"manual",$M639&lt;&gt;1)),
IF(Import.TipoArredondamento&lt;&gt;"TransfereGOV",
ROUND(OFFSET($P639,0,AF$13),15-13*ORÇAMENTO!$AF$7)/$H639*OFFSET(ORÇAMENTO!$X$15,ROW(AF639)-ROW(AF$15),0),
ROUND(ROUND(OFFSET($P639,0,AF$13),15-13*ORÇAMENTO!$AF$7)*OFFSET(ORÇAMENTO!$W$15,ROW(AF639)-ROW(AF$15),0),15-13*ORÇAMENTO!$AF$11)),0)</f>
        <v>0</v>
      </c>
      <c r="AG639" s="545">
        <f ca="1">IF(AND($D639="Serviço",AG$12&lt;&gt;0,$H639&gt;0,OR(AUTOEVENTO&lt;&gt;"manual",$M639&lt;&gt;1)),
IF(Import.TipoArredondamento&lt;&gt;"TransfereGOV",
ROUND(OFFSET($P639,0,AG$13),15-13*ORÇAMENTO!$AF$7)/$H639*OFFSET(ORÇAMENTO!$X$15,ROW(AG639)-ROW(AG$15),0),
ROUND(ROUND(OFFSET($P639,0,AG$13),15-13*ORÇAMENTO!$AF$7)*OFFSET(ORÇAMENTO!$W$15,ROW(AG639)-ROW(AG$15),0),15-13*ORÇAMENTO!$AF$11)),0)</f>
        <v>0</v>
      </c>
      <c r="AH639" s="545">
        <f ca="1">IF(AND($D639="Serviço",AH$12&lt;&gt;0,$H639&gt;0,OR(AUTOEVENTO&lt;&gt;"manual",$M639&lt;&gt;1)),
IF(Import.TipoArredondamento&lt;&gt;"TransfereGOV",
ROUND(OFFSET($P639,0,AH$13),15-13*ORÇAMENTO!$AF$7)/$H639*OFFSET(ORÇAMENTO!$X$15,ROW(AH639)-ROW(AH$15),0),
ROUND(ROUND(OFFSET($P639,0,AH$13),15-13*ORÇAMENTO!$AF$7)*OFFSET(ORÇAMENTO!$W$15,ROW(AH639)-ROW(AH$15),0),15-13*ORÇAMENTO!$AF$11)),0)</f>
        <v>0</v>
      </c>
      <c r="AI639" s="545">
        <f ca="1">IF(AND($D639="Serviço",AI$12&lt;&gt;0,$H639&gt;0,OR(AUTOEVENTO&lt;&gt;"manual",$M639&lt;&gt;1)),
IF(Import.TipoArredondamento&lt;&gt;"TransfereGOV",
ROUND(OFFSET($P639,0,AI$13),15-13*ORÇAMENTO!$AF$7)/$H639*OFFSET(ORÇAMENTO!$X$15,ROW(AI639)-ROW(AI$15),0),
ROUND(ROUND(OFFSET($P639,0,AI$13),15-13*ORÇAMENTO!$AF$7)*OFFSET(ORÇAMENTO!$W$15,ROW(AI639)-ROW(AI$15),0),15-13*ORÇAMENTO!$AF$11)),0)</f>
        <v>0</v>
      </c>
      <c r="AJ639" s="545">
        <f ca="1">IF(AND($D639="Serviço",AJ$12&lt;&gt;0,$H639&gt;0,OR(AUTOEVENTO&lt;&gt;"manual",$M639&lt;&gt;1)),
IF(Import.TipoArredondamento&lt;&gt;"TransfereGOV",
ROUND(OFFSET($P639,0,AJ$13),15-13*ORÇAMENTO!$AF$7)/$H639*OFFSET(ORÇAMENTO!$X$15,ROW(AJ639)-ROW(AJ$15),0),
ROUND(ROUND(OFFSET($P639,0,AJ$13),15-13*ORÇAMENTO!$AF$7)*OFFSET(ORÇAMENTO!$W$15,ROW(AJ639)-ROW(AJ$15),0),15-13*ORÇAMENTO!$AF$11)),0)</f>
        <v>0</v>
      </c>
      <c r="AK639" s="546">
        <f ca="1">IF(AND($D639="Serviço",AK$12&lt;&gt;0,$H639&gt;0,OR(AUTOEVENTO&lt;&gt;"manual",$M639&lt;&gt;1)),
IF(Import.TipoArredondamento&lt;&gt;"TransfereGOV",
ROUND(OFFSET($P639,0,AK$13),15-13*ORÇAMENTO!$AF$7)/$H639*OFFSET(ORÇAMENTO!$X$15,ROW(AK639)-ROW(AK$15),0),
ROUND(ROUND(OFFSET($P639,0,AK$13),15-13*ORÇAMENTO!$AF$7)*OFFSET(ORÇAMENTO!$W$15,ROW(AK639)-ROW(AK$15),0),15-13*ORÇAMENTO!$AF$11)),0)</f>
        <v>0</v>
      </c>
      <c r="AM639" s="181">
        <f ca="1">IF($D639&lt;&gt;"Serviço",0,IF(AND(AUTOEVENTO="Manual",$M639=1),0,IF(OFFSET(CRONOPLE!$F$14,$M639,AM$13)="",10^12,OFFSET(CRONOPLE!$F$14,$M639,AM$13))))</f>
        <v>1000000000000</v>
      </c>
      <c r="AN639" s="181">
        <f ca="1">IF($D639&lt;&gt;"Serviço",0,IF(AND(AUTOEVENTO="Manual",$M639=1),0,IF(OFFSET(CRONOPLE!$F$14,$M639,AN$13)="",10^12,OFFSET(CRONOPLE!$F$14,$M639,AN$13))))</f>
        <v>1000000000000</v>
      </c>
      <c r="AO639" s="181">
        <f ca="1">IF($D639&lt;&gt;"Serviço",0,IF(AND(AUTOEVENTO="Manual",$M639=1),0,IF(OFFSET(CRONOPLE!$F$14,$M639,AO$13)="",10^12,OFFSET(CRONOPLE!$F$14,$M639,AO$13))))</f>
        <v>1000000000000</v>
      </c>
      <c r="AP639" s="181">
        <f ca="1">IF($D639&lt;&gt;"Serviço",0,IF(AND(AUTOEVENTO="Manual",$M639=1),0,IF(OFFSET(CRONOPLE!$F$14,$M639,AP$13)="",10^12,OFFSET(CRONOPLE!$F$14,$M639,AP$13))))</f>
        <v>1000000000000</v>
      </c>
      <c r="AQ639" s="181">
        <f ca="1">IF($D639&lt;&gt;"Serviço",0,IF(AND(AUTOEVENTO="Manual",$M639=1),0,IF(OFFSET(CRONOPLE!$F$14,$M639,AQ$13)="",10^12,OFFSET(CRONOPLE!$F$14,$M639,AQ$13))))</f>
        <v>1000000000000</v>
      </c>
      <c r="AR639" s="181">
        <f ca="1">IF($D639&lt;&gt;"Serviço",0,IF(AND(AUTOEVENTO="Manual",$M639=1),0,IF(OFFSET(CRONOPLE!$F$14,$M639,AR$13)="",10^12,OFFSET(CRONOPLE!$F$14,$M639,AR$13))))</f>
        <v>1000000000000</v>
      </c>
      <c r="AS639" s="181">
        <f ca="1">IF($D639&lt;&gt;"Serviço",0,IF(AND(AUTOEVENTO="Manual",$M639=1),0,IF(OFFSET(CRONOPLE!$F$14,$M639,AS$13)="",10^12,OFFSET(CRONOPLE!$F$14,$M639,AS$13))))</f>
        <v>1000000000000</v>
      </c>
      <c r="AT639" s="181">
        <f ca="1">IF($D639&lt;&gt;"Serviço",0,IF(AND(AUTOEVENTO="Manual",$M639=1),0,IF(OFFSET(CRONOPLE!$F$14,$M639,AT$13)="",10^12,OFFSET(CRONOPLE!$F$14,$M639,AT$13))))</f>
        <v>1000000000000</v>
      </c>
      <c r="AU639" s="181">
        <f ca="1">IF($D639&lt;&gt;"Serviço",0,IF(AND(AUTOEVENTO="Manual",$M639=1),0,IF(OFFSET(CRONOPLE!$F$14,$M639,AU$13)="",10^12,OFFSET(CRONOPLE!$F$14,$M639,AU$13))))</f>
        <v>1000000000000</v>
      </c>
      <c r="AV639" s="181">
        <f ca="1">IF($D639&lt;&gt;"Serviço",0,IF(AND(AUTOEVENTO="Manual",$M639=1),0,IF(OFFSET(CRONOPLE!$F$14,$M639,AV$13)="",10^12,OFFSET(CRONOPLE!$F$14,$M639,AV$13))))</f>
        <v>1000000000000</v>
      </c>
      <c r="AX639" s="182">
        <f ca="1">IF($D639&lt;&gt;"Serviço",0,IF(OR(AND(AUTOEVENTO="Manual",$M639=1),$M639&gt;(ROW(PLE.lastrow)-ROW(PLE.firstrow))),0,IF(OFFSET(PLE!$G$14,$M639,AX$13)="",10^12,OFFSET(PLE!$G$14,$M639,AX$13))))</f>
        <v>1000000000000</v>
      </c>
      <c r="AY639" s="182">
        <f ca="1">IF($D639&lt;&gt;"Serviço",0,IF(OR(AND(AUTOEVENTO="Manual",$M639=1),$M639&gt;(ROW(PLE.lastrow)-ROW(PLE.firstrow))),0,IF(OFFSET(PLE!$G$14,$M639,AY$13)="",10^12,OFFSET(PLE!$G$14,$M639,AY$13))))</f>
        <v>1000000000000</v>
      </c>
      <c r="AZ639" s="182">
        <f ca="1">IF($D639&lt;&gt;"Serviço",0,IF(OR(AND(AUTOEVENTO="Manual",$M639=1),$M639&gt;(ROW(PLE.lastrow)-ROW(PLE.firstrow))),0,IF(OFFSET(PLE!$G$14,$M639,AZ$13)="",10^12,OFFSET(PLE!$G$14,$M639,AZ$13))))</f>
        <v>1000000000000</v>
      </c>
      <c r="BA639" s="182">
        <f ca="1">IF($D639&lt;&gt;"Serviço",0,IF(OR(AND(AUTOEVENTO="Manual",$M639=1),$M639&gt;(ROW(PLE.lastrow)-ROW(PLE.firstrow))),0,IF(OFFSET(PLE!$G$14,$M639,BA$13)="",10^12,OFFSET(PLE!$G$14,$M639,BA$13))))</f>
        <v>1000000000000</v>
      </c>
      <c r="BB639" s="182">
        <f ca="1">IF($D639&lt;&gt;"Serviço",0,IF(OR(AND(AUTOEVENTO="Manual",$M639=1),$M639&gt;(ROW(PLE.lastrow)-ROW(PLE.firstrow))),0,IF(OFFSET(PLE!$G$14,$M639,BB$13)="",10^12,OFFSET(PLE!$G$14,$M639,BB$13))))</f>
        <v>1000000000000</v>
      </c>
      <c r="BC639" s="182">
        <f ca="1">IF($D639&lt;&gt;"Serviço",0,IF(OR(AND(AUTOEVENTO="Manual",$M639=1),$M639&gt;(ROW(PLE.lastrow)-ROW(PLE.firstrow))),0,IF(OFFSET(PLE!$G$14,$M639,BC$13)="",10^12,OFFSET(PLE!$G$14,$M639,BC$13))))</f>
        <v>1000000000000</v>
      </c>
      <c r="BD639" s="182">
        <f ca="1">IF($D639&lt;&gt;"Serviço",0,IF(OR(AND(AUTOEVENTO="Manual",$M639=1),$M639&gt;(ROW(PLE.lastrow)-ROW(PLE.firstrow))),0,IF(OFFSET(PLE!$G$14,$M639,BD$13)="",10^12,OFFSET(PLE!$G$14,$M639,BD$13))))</f>
        <v>1000000000000</v>
      </c>
      <c r="BE639" s="182">
        <f ca="1">IF($D639&lt;&gt;"Serviço",0,IF(OR(AND(AUTOEVENTO="Manual",$M639=1),$M639&gt;(ROW(PLE.lastrow)-ROW(PLE.firstrow))),0,IF(OFFSET(PLE!$G$14,$M639,BE$13)="",10^12,OFFSET(PLE!$G$14,$M639,BE$13))))</f>
        <v>1000000000000</v>
      </c>
      <c r="BF639" s="182">
        <f ca="1">IF($D639&lt;&gt;"Serviço",0,IF(OR(AND(AUTOEVENTO="Manual",$M639=1),$M639&gt;(ROW(PLE.lastrow)-ROW(PLE.firstrow))),0,IF(OFFSET(PLE!$G$14,$M639,BF$13)="",10^12,OFFSET(PLE!$G$14,$M639,BF$13))))</f>
        <v>1000000000000</v>
      </c>
      <c r="BG639" s="182">
        <f ca="1">IF($D639&lt;&gt;"Serviço",0,IF(OR(AND(AUTOEVENTO="Manual",$M639=1),$M639&gt;(ROW(PLE.lastrow)-ROW(PLE.firstrow))),0,IF(OFFSET(PLE!$G$14,$M639,BG$13)="",10^12,OFFSET(PLE!$G$14,$M639,BG$13))))</f>
        <v>1000000000000</v>
      </c>
    </row>
    <row r="640" spans="1:59" ht="25.5" x14ac:dyDescent="0.2">
      <c r="A640" s="7" t="str">
        <f t="shared" ca="1" si="17"/>
        <v>593</v>
      </c>
      <c r="B640" s="7" t="str">
        <f ca="1">OFFSET(ORÇAMENTO!C$15,ROW(B640)-ROW(B$15),0)</f>
        <v>S</v>
      </c>
      <c r="C640" s="7" t="str">
        <f ca="1">OFFSET(ORÇAMENTO!L$15,ROW(C640)-ROW(C$15),0)</f>
        <v/>
      </c>
      <c r="D640" s="118" t="str">
        <f ca="1">OFFSET(ORÇAMENTO!N$15,ROW(D640)-ROW(D$15),0)</f>
        <v>Serviço</v>
      </c>
      <c r="E640" s="119" t="str">
        <f ca="1">OFFSET(ORÇAMENTO!O$15,ROW(E640)-ROW(E$15),0)</f>
        <v>-</v>
      </c>
      <c r="F640" s="172" t="str">
        <f ca="1">OFFSET(ORÇAMENTO!R$15,ROW(F640)-ROW(F$15),0)</f>
        <v>(abra o arquivo 'Referência 02-2025.xlsm)</v>
      </c>
      <c r="G640" s="173" t="str">
        <f ca="1">IF($D640&lt;&gt;"Serviço","",OFFSET(ORÇAMENTO!S$15,ROW(G640)-ROW(G$15),0))</f>
        <v>-</v>
      </c>
      <c r="H640" s="124">
        <f ca="1">IF($D640&lt;&gt;"Serviço",0,IF(ACOMPANHAMENTO="BM",ROUND(OFFSET(ORÇAMENTO!AJ$15,ROW(H640)-ROW(H$15),0),15-13*ORÇAMENTO!$AF$7),SUMPRODUCT(($Q$12:$AA$12&lt;&gt;"")*ROUND($Q640:$AA640,15-13*ORÇAMENTO!$AF$7))))</f>
        <v>3</v>
      </c>
      <c r="I640" s="561" t="s">
        <v>890</v>
      </c>
      <c r="K640" s="174"/>
      <c r="L640" s="175" t="s">
        <v>255</v>
      </c>
      <c r="M640" s="176">
        <f ca="1">IF($D640&lt;&gt;"Serviço","",IF(AUTOEVENTO="manual",$A640,IF(ISERROR(MATCH($A640,$A$15:OFFSET($A640,-1,0),0)),MAX($M$15:OFFSET(M640,-1,0))+1,INDEX($M$15:OFFSET(M640,-1,0),MATCH($A640,$A$15:OFFSET($A640,-1,0),0)))))</f>
        <v>19</v>
      </c>
      <c r="N640" s="177" t="str">
        <f ca="1">IF($D640&lt;&gt;"Serviço","",IF(AUTOEVENTO="Manual",IF($A640=0,"&lt;-- defina o número do agrupador",OFFSET(EVENTOS!$D$14,$A640,0)),OFFSET($F$15,$A640,0)))</f>
        <v>INSTALAÇÕES DE CABEAMENTO ESTRUTURADO</v>
      </c>
      <c r="O640" s="178"/>
      <c r="Q640" s="178"/>
      <c r="R640" s="179"/>
      <c r="S640" s="179"/>
      <c r="T640" s="179"/>
      <c r="U640" s="179"/>
      <c r="V640" s="179"/>
      <c r="W640" s="179"/>
      <c r="X640" s="179"/>
      <c r="Y640" s="179"/>
      <c r="Z640" s="180"/>
      <c r="AB640" s="544">
        <f ca="1">IF(AND($D640="Serviço",AB$12&lt;&gt;0,$H640&gt;0,OR(AUTOEVENTO&lt;&gt;"manual",$M640&lt;&gt;1)),
IF(Import.TipoArredondamento&lt;&gt;"TransfereGOV",
ROUND(OFFSET($P640,0,AB$13),15-13*ORÇAMENTO!$AF$7)/$H640*OFFSET(ORÇAMENTO!$X$15,ROW(AB640)-ROW(AB$15),0),
ROUND(ROUND(OFFSET($P640,0,AB$13),15-13*ORÇAMENTO!$AF$7)*OFFSET(ORÇAMENTO!$W$15,ROW(AB640)-ROW(AB$15),0),15-13*ORÇAMENTO!$AF$11)),0)</f>
        <v>0</v>
      </c>
      <c r="AC640" s="545">
        <f ca="1">IF(AND($D640="Serviço",AC$12&lt;&gt;0,$H640&gt;0,OR(AUTOEVENTO&lt;&gt;"manual",$M640&lt;&gt;1)),
IF(Import.TipoArredondamento&lt;&gt;"TransfereGOV",
ROUND(OFFSET($P640,0,AC$13),15-13*ORÇAMENTO!$AF$7)/$H640*OFFSET(ORÇAMENTO!$X$15,ROW(AC640)-ROW(AC$15),0),
ROUND(ROUND(OFFSET($P640,0,AC$13),15-13*ORÇAMENTO!$AF$7)*OFFSET(ORÇAMENTO!$W$15,ROW(AC640)-ROW(AC$15),0),15-13*ORÇAMENTO!$AF$11)),0)</f>
        <v>0</v>
      </c>
      <c r="AD640" s="545">
        <f ca="1">IF(AND($D640="Serviço",AD$12&lt;&gt;0,$H640&gt;0,OR(AUTOEVENTO&lt;&gt;"manual",$M640&lt;&gt;1)),
IF(Import.TipoArredondamento&lt;&gt;"TransfereGOV",
ROUND(OFFSET($P640,0,AD$13),15-13*ORÇAMENTO!$AF$7)/$H640*OFFSET(ORÇAMENTO!$X$15,ROW(AD640)-ROW(AD$15),0),
ROUND(ROUND(OFFSET($P640,0,AD$13),15-13*ORÇAMENTO!$AF$7)*OFFSET(ORÇAMENTO!$W$15,ROW(AD640)-ROW(AD$15),0),15-13*ORÇAMENTO!$AF$11)),0)</f>
        <v>0</v>
      </c>
      <c r="AE640" s="545">
        <f ca="1">IF(AND($D640="Serviço",AE$12&lt;&gt;0,$H640&gt;0,OR(AUTOEVENTO&lt;&gt;"manual",$M640&lt;&gt;1)),
IF(Import.TipoArredondamento&lt;&gt;"TransfereGOV",
ROUND(OFFSET($P640,0,AE$13),15-13*ORÇAMENTO!$AF$7)/$H640*OFFSET(ORÇAMENTO!$X$15,ROW(AE640)-ROW(AE$15),0),
ROUND(ROUND(OFFSET($P640,0,AE$13),15-13*ORÇAMENTO!$AF$7)*OFFSET(ORÇAMENTO!$W$15,ROW(AE640)-ROW(AE$15),0),15-13*ORÇAMENTO!$AF$11)),0)</f>
        <v>0</v>
      </c>
      <c r="AF640" s="545">
        <f ca="1">IF(AND($D640="Serviço",AF$12&lt;&gt;0,$H640&gt;0,OR(AUTOEVENTO&lt;&gt;"manual",$M640&lt;&gt;1)),
IF(Import.TipoArredondamento&lt;&gt;"TransfereGOV",
ROUND(OFFSET($P640,0,AF$13),15-13*ORÇAMENTO!$AF$7)/$H640*OFFSET(ORÇAMENTO!$X$15,ROW(AF640)-ROW(AF$15),0),
ROUND(ROUND(OFFSET($P640,0,AF$13),15-13*ORÇAMENTO!$AF$7)*OFFSET(ORÇAMENTO!$W$15,ROW(AF640)-ROW(AF$15),0),15-13*ORÇAMENTO!$AF$11)),0)</f>
        <v>0</v>
      </c>
      <c r="AG640" s="545">
        <f ca="1">IF(AND($D640="Serviço",AG$12&lt;&gt;0,$H640&gt;0,OR(AUTOEVENTO&lt;&gt;"manual",$M640&lt;&gt;1)),
IF(Import.TipoArredondamento&lt;&gt;"TransfereGOV",
ROUND(OFFSET($P640,0,AG$13),15-13*ORÇAMENTO!$AF$7)/$H640*OFFSET(ORÇAMENTO!$X$15,ROW(AG640)-ROW(AG$15),0),
ROUND(ROUND(OFFSET($P640,0,AG$13),15-13*ORÇAMENTO!$AF$7)*OFFSET(ORÇAMENTO!$W$15,ROW(AG640)-ROW(AG$15),0),15-13*ORÇAMENTO!$AF$11)),0)</f>
        <v>0</v>
      </c>
      <c r="AH640" s="545">
        <f ca="1">IF(AND($D640="Serviço",AH$12&lt;&gt;0,$H640&gt;0,OR(AUTOEVENTO&lt;&gt;"manual",$M640&lt;&gt;1)),
IF(Import.TipoArredondamento&lt;&gt;"TransfereGOV",
ROUND(OFFSET($P640,0,AH$13),15-13*ORÇAMENTO!$AF$7)/$H640*OFFSET(ORÇAMENTO!$X$15,ROW(AH640)-ROW(AH$15),0),
ROUND(ROUND(OFFSET($P640,0,AH$13),15-13*ORÇAMENTO!$AF$7)*OFFSET(ORÇAMENTO!$W$15,ROW(AH640)-ROW(AH$15),0),15-13*ORÇAMENTO!$AF$11)),0)</f>
        <v>0</v>
      </c>
      <c r="AI640" s="545">
        <f ca="1">IF(AND($D640="Serviço",AI$12&lt;&gt;0,$H640&gt;0,OR(AUTOEVENTO&lt;&gt;"manual",$M640&lt;&gt;1)),
IF(Import.TipoArredondamento&lt;&gt;"TransfereGOV",
ROUND(OFFSET($P640,0,AI$13),15-13*ORÇAMENTO!$AF$7)/$H640*OFFSET(ORÇAMENTO!$X$15,ROW(AI640)-ROW(AI$15),0),
ROUND(ROUND(OFFSET($P640,0,AI$13),15-13*ORÇAMENTO!$AF$7)*OFFSET(ORÇAMENTO!$W$15,ROW(AI640)-ROW(AI$15),0),15-13*ORÇAMENTO!$AF$11)),0)</f>
        <v>0</v>
      </c>
      <c r="AJ640" s="545">
        <f ca="1">IF(AND($D640="Serviço",AJ$12&lt;&gt;0,$H640&gt;0,OR(AUTOEVENTO&lt;&gt;"manual",$M640&lt;&gt;1)),
IF(Import.TipoArredondamento&lt;&gt;"TransfereGOV",
ROUND(OFFSET($P640,0,AJ$13),15-13*ORÇAMENTO!$AF$7)/$H640*OFFSET(ORÇAMENTO!$X$15,ROW(AJ640)-ROW(AJ$15),0),
ROUND(ROUND(OFFSET($P640,0,AJ$13),15-13*ORÇAMENTO!$AF$7)*OFFSET(ORÇAMENTO!$W$15,ROW(AJ640)-ROW(AJ$15),0),15-13*ORÇAMENTO!$AF$11)),0)</f>
        <v>0</v>
      </c>
      <c r="AK640" s="546">
        <f ca="1">IF(AND($D640="Serviço",AK$12&lt;&gt;0,$H640&gt;0,OR(AUTOEVENTO&lt;&gt;"manual",$M640&lt;&gt;1)),
IF(Import.TipoArredondamento&lt;&gt;"TransfereGOV",
ROUND(OFFSET($P640,0,AK$13),15-13*ORÇAMENTO!$AF$7)/$H640*OFFSET(ORÇAMENTO!$X$15,ROW(AK640)-ROW(AK$15),0),
ROUND(ROUND(OFFSET($P640,0,AK$13),15-13*ORÇAMENTO!$AF$7)*OFFSET(ORÇAMENTO!$W$15,ROW(AK640)-ROW(AK$15),0),15-13*ORÇAMENTO!$AF$11)),0)</f>
        <v>0</v>
      </c>
      <c r="AM640" s="181">
        <f ca="1">IF($D640&lt;&gt;"Serviço",0,IF(AND(AUTOEVENTO="Manual",$M640=1),0,IF(OFFSET(CRONOPLE!$F$14,$M640,AM$13)="",10^12,OFFSET(CRONOPLE!$F$14,$M640,AM$13))))</f>
        <v>1000000000000</v>
      </c>
      <c r="AN640" s="181">
        <f ca="1">IF($D640&lt;&gt;"Serviço",0,IF(AND(AUTOEVENTO="Manual",$M640=1),0,IF(OFFSET(CRONOPLE!$F$14,$M640,AN$13)="",10^12,OFFSET(CRONOPLE!$F$14,$M640,AN$13))))</f>
        <v>1000000000000</v>
      </c>
      <c r="AO640" s="181">
        <f ca="1">IF($D640&lt;&gt;"Serviço",0,IF(AND(AUTOEVENTO="Manual",$M640=1),0,IF(OFFSET(CRONOPLE!$F$14,$M640,AO$13)="",10^12,OFFSET(CRONOPLE!$F$14,$M640,AO$13))))</f>
        <v>1000000000000</v>
      </c>
      <c r="AP640" s="181">
        <f ca="1">IF($D640&lt;&gt;"Serviço",0,IF(AND(AUTOEVENTO="Manual",$M640=1),0,IF(OFFSET(CRONOPLE!$F$14,$M640,AP$13)="",10^12,OFFSET(CRONOPLE!$F$14,$M640,AP$13))))</f>
        <v>1000000000000</v>
      </c>
      <c r="AQ640" s="181">
        <f ca="1">IF($D640&lt;&gt;"Serviço",0,IF(AND(AUTOEVENTO="Manual",$M640=1),0,IF(OFFSET(CRONOPLE!$F$14,$M640,AQ$13)="",10^12,OFFSET(CRONOPLE!$F$14,$M640,AQ$13))))</f>
        <v>1000000000000</v>
      </c>
      <c r="AR640" s="181">
        <f ca="1">IF($D640&lt;&gt;"Serviço",0,IF(AND(AUTOEVENTO="Manual",$M640=1),0,IF(OFFSET(CRONOPLE!$F$14,$M640,AR$13)="",10^12,OFFSET(CRONOPLE!$F$14,$M640,AR$13))))</f>
        <v>1000000000000</v>
      </c>
      <c r="AS640" s="181">
        <f ca="1">IF($D640&lt;&gt;"Serviço",0,IF(AND(AUTOEVENTO="Manual",$M640=1),0,IF(OFFSET(CRONOPLE!$F$14,$M640,AS$13)="",10^12,OFFSET(CRONOPLE!$F$14,$M640,AS$13))))</f>
        <v>1000000000000</v>
      </c>
      <c r="AT640" s="181">
        <f ca="1">IF($D640&lt;&gt;"Serviço",0,IF(AND(AUTOEVENTO="Manual",$M640=1),0,IF(OFFSET(CRONOPLE!$F$14,$M640,AT$13)="",10^12,OFFSET(CRONOPLE!$F$14,$M640,AT$13))))</f>
        <v>1000000000000</v>
      </c>
      <c r="AU640" s="181">
        <f ca="1">IF($D640&lt;&gt;"Serviço",0,IF(AND(AUTOEVENTO="Manual",$M640=1),0,IF(OFFSET(CRONOPLE!$F$14,$M640,AU$13)="",10^12,OFFSET(CRONOPLE!$F$14,$M640,AU$13))))</f>
        <v>1000000000000</v>
      </c>
      <c r="AV640" s="181">
        <f ca="1">IF($D640&lt;&gt;"Serviço",0,IF(AND(AUTOEVENTO="Manual",$M640=1),0,IF(OFFSET(CRONOPLE!$F$14,$M640,AV$13)="",10^12,OFFSET(CRONOPLE!$F$14,$M640,AV$13))))</f>
        <v>1000000000000</v>
      </c>
      <c r="AX640" s="182">
        <f ca="1">IF($D640&lt;&gt;"Serviço",0,IF(OR(AND(AUTOEVENTO="Manual",$M640=1),$M640&gt;(ROW(PLE.lastrow)-ROW(PLE.firstrow))),0,IF(OFFSET(PLE!$G$14,$M640,AX$13)="",10^12,OFFSET(PLE!$G$14,$M640,AX$13))))</f>
        <v>1000000000000</v>
      </c>
      <c r="AY640" s="182">
        <f ca="1">IF($D640&lt;&gt;"Serviço",0,IF(OR(AND(AUTOEVENTO="Manual",$M640=1),$M640&gt;(ROW(PLE.lastrow)-ROW(PLE.firstrow))),0,IF(OFFSET(PLE!$G$14,$M640,AY$13)="",10^12,OFFSET(PLE!$G$14,$M640,AY$13))))</f>
        <v>1000000000000</v>
      </c>
      <c r="AZ640" s="182">
        <f ca="1">IF($D640&lt;&gt;"Serviço",0,IF(OR(AND(AUTOEVENTO="Manual",$M640=1),$M640&gt;(ROW(PLE.lastrow)-ROW(PLE.firstrow))),0,IF(OFFSET(PLE!$G$14,$M640,AZ$13)="",10^12,OFFSET(PLE!$G$14,$M640,AZ$13))))</f>
        <v>1000000000000</v>
      </c>
      <c r="BA640" s="182">
        <f ca="1">IF($D640&lt;&gt;"Serviço",0,IF(OR(AND(AUTOEVENTO="Manual",$M640=1),$M640&gt;(ROW(PLE.lastrow)-ROW(PLE.firstrow))),0,IF(OFFSET(PLE!$G$14,$M640,BA$13)="",10^12,OFFSET(PLE!$G$14,$M640,BA$13))))</f>
        <v>1000000000000</v>
      </c>
      <c r="BB640" s="182">
        <f ca="1">IF($D640&lt;&gt;"Serviço",0,IF(OR(AND(AUTOEVENTO="Manual",$M640=1),$M640&gt;(ROW(PLE.lastrow)-ROW(PLE.firstrow))),0,IF(OFFSET(PLE!$G$14,$M640,BB$13)="",10^12,OFFSET(PLE!$G$14,$M640,BB$13))))</f>
        <v>1000000000000</v>
      </c>
      <c r="BC640" s="182">
        <f ca="1">IF($D640&lt;&gt;"Serviço",0,IF(OR(AND(AUTOEVENTO="Manual",$M640=1),$M640&gt;(ROW(PLE.lastrow)-ROW(PLE.firstrow))),0,IF(OFFSET(PLE!$G$14,$M640,BC$13)="",10^12,OFFSET(PLE!$G$14,$M640,BC$13))))</f>
        <v>1000000000000</v>
      </c>
      <c r="BD640" s="182">
        <f ca="1">IF($D640&lt;&gt;"Serviço",0,IF(OR(AND(AUTOEVENTO="Manual",$M640=1),$M640&gt;(ROW(PLE.lastrow)-ROW(PLE.firstrow))),0,IF(OFFSET(PLE!$G$14,$M640,BD$13)="",10^12,OFFSET(PLE!$G$14,$M640,BD$13))))</f>
        <v>1000000000000</v>
      </c>
      <c r="BE640" s="182">
        <f ca="1">IF($D640&lt;&gt;"Serviço",0,IF(OR(AND(AUTOEVENTO="Manual",$M640=1),$M640&gt;(ROW(PLE.lastrow)-ROW(PLE.firstrow))),0,IF(OFFSET(PLE!$G$14,$M640,BE$13)="",10^12,OFFSET(PLE!$G$14,$M640,BE$13))))</f>
        <v>1000000000000</v>
      </c>
      <c r="BF640" s="182">
        <f ca="1">IF($D640&lt;&gt;"Serviço",0,IF(OR(AND(AUTOEVENTO="Manual",$M640=1),$M640&gt;(ROW(PLE.lastrow)-ROW(PLE.firstrow))),0,IF(OFFSET(PLE!$G$14,$M640,BF$13)="",10^12,OFFSET(PLE!$G$14,$M640,BF$13))))</f>
        <v>1000000000000</v>
      </c>
      <c r="BG640" s="182">
        <f ca="1">IF($D640&lt;&gt;"Serviço",0,IF(OR(AND(AUTOEVENTO="Manual",$M640=1),$M640&gt;(ROW(PLE.lastrow)-ROW(PLE.firstrow))),0,IF(OFFSET(PLE!$G$14,$M640,BG$13)="",10^12,OFFSET(PLE!$G$14,$M640,BG$13))))</f>
        <v>1000000000000</v>
      </c>
    </row>
    <row r="641" spans="1:59" ht="25.5" x14ac:dyDescent="0.2">
      <c r="A641" s="7" t="str">
        <f t="shared" ca="1" si="17"/>
        <v>593</v>
      </c>
      <c r="B641" s="7" t="str">
        <f ca="1">OFFSET(ORÇAMENTO!C$15,ROW(B641)-ROW(B$15),0)</f>
        <v>S</v>
      </c>
      <c r="C641" s="7" t="str">
        <f ca="1">OFFSET(ORÇAMENTO!L$15,ROW(C641)-ROW(C$15),0)</f>
        <v/>
      </c>
      <c r="D641" s="118" t="str">
        <f ca="1">OFFSET(ORÇAMENTO!N$15,ROW(D641)-ROW(D$15),0)</f>
        <v>Serviço</v>
      </c>
      <c r="E641" s="119" t="str">
        <f ca="1">OFFSET(ORÇAMENTO!O$15,ROW(E641)-ROW(E$15),0)</f>
        <v>-</v>
      </c>
      <c r="F641" s="172" t="str">
        <f ca="1">OFFSET(ORÇAMENTO!R$15,ROW(F641)-ROW(F$15),0)</f>
        <v>(abra o arquivo 'Referência 02-2025.xlsm)</v>
      </c>
      <c r="G641" s="173" t="str">
        <f ca="1">IF($D641&lt;&gt;"Serviço","",OFFSET(ORÇAMENTO!S$15,ROW(G641)-ROW(G$15),0))</f>
        <v>-</v>
      </c>
      <c r="H641" s="124">
        <f ca="1">IF($D641&lt;&gt;"Serviço",0,IF(ACOMPANHAMENTO="BM",ROUND(OFFSET(ORÇAMENTO!AJ$15,ROW(H641)-ROW(H$15),0),15-13*ORÇAMENTO!$AF$7),SUMPRODUCT(($Q$12:$AA$12&lt;&gt;"")*ROUND($Q641:$AA641,15-13*ORÇAMENTO!$AF$7))))</f>
        <v>12</v>
      </c>
      <c r="I641" s="561" t="s">
        <v>890</v>
      </c>
      <c r="K641" s="174"/>
      <c r="L641" s="175" t="s">
        <v>255</v>
      </c>
      <c r="M641" s="176">
        <f ca="1">IF($D641&lt;&gt;"Serviço","",IF(AUTOEVENTO="manual",$A641,IF(ISERROR(MATCH($A641,$A$15:OFFSET($A641,-1,0),0)),MAX($M$15:OFFSET(M641,-1,0))+1,INDEX($M$15:OFFSET(M641,-1,0),MATCH($A641,$A$15:OFFSET($A641,-1,0),0)))))</f>
        <v>19</v>
      </c>
      <c r="N641" s="177" t="str">
        <f ca="1">IF($D641&lt;&gt;"Serviço","",IF(AUTOEVENTO="Manual",IF($A641=0,"&lt;-- defina o número do agrupador",OFFSET(EVENTOS!$D$14,$A641,0)),OFFSET($F$15,$A641,0)))</f>
        <v>INSTALAÇÕES DE CABEAMENTO ESTRUTURADO</v>
      </c>
      <c r="O641" s="178"/>
      <c r="Q641" s="178"/>
      <c r="R641" s="179"/>
      <c r="S641" s="179"/>
      <c r="T641" s="179"/>
      <c r="U641" s="179"/>
      <c r="V641" s="179"/>
      <c r="W641" s="179"/>
      <c r="X641" s="179"/>
      <c r="Y641" s="179"/>
      <c r="Z641" s="180"/>
      <c r="AB641" s="544">
        <f ca="1">IF(AND($D641="Serviço",AB$12&lt;&gt;0,$H641&gt;0,OR(AUTOEVENTO&lt;&gt;"manual",$M641&lt;&gt;1)),
IF(Import.TipoArredondamento&lt;&gt;"TransfereGOV",
ROUND(OFFSET($P641,0,AB$13),15-13*ORÇAMENTO!$AF$7)/$H641*OFFSET(ORÇAMENTO!$X$15,ROW(AB641)-ROW(AB$15),0),
ROUND(ROUND(OFFSET($P641,0,AB$13),15-13*ORÇAMENTO!$AF$7)*OFFSET(ORÇAMENTO!$W$15,ROW(AB641)-ROW(AB$15),0),15-13*ORÇAMENTO!$AF$11)),0)</f>
        <v>0</v>
      </c>
      <c r="AC641" s="545">
        <f ca="1">IF(AND($D641="Serviço",AC$12&lt;&gt;0,$H641&gt;0,OR(AUTOEVENTO&lt;&gt;"manual",$M641&lt;&gt;1)),
IF(Import.TipoArredondamento&lt;&gt;"TransfereGOV",
ROUND(OFFSET($P641,0,AC$13),15-13*ORÇAMENTO!$AF$7)/$H641*OFFSET(ORÇAMENTO!$X$15,ROW(AC641)-ROW(AC$15),0),
ROUND(ROUND(OFFSET($P641,0,AC$13),15-13*ORÇAMENTO!$AF$7)*OFFSET(ORÇAMENTO!$W$15,ROW(AC641)-ROW(AC$15),0),15-13*ORÇAMENTO!$AF$11)),0)</f>
        <v>0</v>
      </c>
      <c r="AD641" s="545">
        <f ca="1">IF(AND($D641="Serviço",AD$12&lt;&gt;0,$H641&gt;0,OR(AUTOEVENTO&lt;&gt;"manual",$M641&lt;&gt;1)),
IF(Import.TipoArredondamento&lt;&gt;"TransfereGOV",
ROUND(OFFSET($P641,0,AD$13),15-13*ORÇAMENTO!$AF$7)/$H641*OFFSET(ORÇAMENTO!$X$15,ROW(AD641)-ROW(AD$15),0),
ROUND(ROUND(OFFSET($P641,0,AD$13),15-13*ORÇAMENTO!$AF$7)*OFFSET(ORÇAMENTO!$W$15,ROW(AD641)-ROW(AD$15),0),15-13*ORÇAMENTO!$AF$11)),0)</f>
        <v>0</v>
      </c>
      <c r="AE641" s="545">
        <f ca="1">IF(AND($D641="Serviço",AE$12&lt;&gt;0,$H641&gt;0,OR(AUTOEVENTO&lt;&gt;"manual",$M641&lt;&gt;1)),
IF(Import.TipoArredondamento&lt;&gt;"TransfereGOV",
ROUND(OFFSET($P641,0,AE$13),15-13*ORÇAMENTO!$AF$7)/$H641*OFFSET(ORÇAMENTO!$X$15,ROW(AE641)-ROW(AE$15),0),
ROUND(ROUND(OFFSET($P641,0,AE$13),15-13*ORÇAMENTO!$AF$7)*OFFSET(ORÇAMENTO!$W$15,ROW(AE641)-ROW(AE$15),0),15-13*ORÇAMENTO!$AF$11)),0)</f>
        <v>0</v>
      </c>
      <c r="AF641" s="545">
        <f ca="1">IF(AND($D641="Serviço",AF$12&lt;&gt;0,$H641&gt;0,OR(AUTOEVENTO&lt;&gt;"manual",$M641&lt;&gt;1)),
IF(Import.TipoArredondamento&lt;&gt;"TransfereGOV",
ROUND(OFFSET($P641,0,AF$13),15-13*ORÇAMENTO!$AF$7)/$H641*OFFSET(ORÇAMENTO!$X$15,ROW(AF641)-ROW(AF$15),0),
ROUND(ROUND(OFFSET($P641,0,AF$13),15-13*ORÇAMENTO!$AF$7)*OFFSET(ORÇAMENTO!$W$15,ROW(AF641)-ROW(AF$15),0),15-13*ORÇAMENTO!$AF$11)),0)</f>
        <v>0</v>
      </c>
      <c r="AG641" s="545">
        <f ca="1">IF(AND($D641="Serviço",AG$12&lt;&gt;0,$H641&gt;0,OR(AUTOEVENTO&lt;&gt;"manual",$M641&lt;&gt;1)),
IF(Import.TipoArredondamento&lt;&gt;"TransfereGOV",
ROUND(OFFSET($P641,0,AG$13),15-13*ORÇAMENTO!$AF$7)/$H641*OFFSET(ORÇAMENTO!$X$15,ROW(AG641)-ROW(AG$15),0),
ROUND(ROUND(OFFSET($P641,0,AG$13),15-13*ORÇAMENTO!$AF$7)*OFFSET(ORÇAMENTO!$W$15,ROW(AG641)-ROW(AG$15),0),15-13*ORÇAMENTO!$AF$11)),0)</f>
        <v>0</v>
      </c>
      <c r="AH641" s="545">
        <f ca="1">IF(AND($D641="Serviço",AH$12&lt;&gt;0,$H641&gt;0,OR(AUTOEVENTO&lt;&gt;"manual",$M641&lt;&gt;1)),
IF(Import.TipoArredondamento&lt;&gt;"TransfereGOV",
ROUND(OFFSET($P641,0,AH$13),15-13*ORÇAMENTO!$AF$7)/$H641*OFFSET(ORÇAMENTO!$X$15,ROW(AH641)-ROW(AH$15),0),
ROUND(ROUND(OFFSET($P641,0,AH$13),15-13*ORÇAMENTO!$AF$7)*OFFSET(ORÇAMENTO!$W$15,ROW(AH641)-ROW(AH$15),0),15-13*ORÇAMENTO!$AF$11)),0)</f>
        <v>0</v>
      </c>
      <c r="AI641" s="545">
        <f ca="1">IF(AND($D641="Serviço",AI$12&lt;&gt;0,$H641&gt;0,OR(AUTOEVENTO&lt;&gt;"manual",$M641&lt;&gt;1)),
IF(Import.TipoArredondamento&lt;&gt;"TransfereGOV",
ROUND(OFFSET($P641,0,AI$13),15-13*ORÇAMENTO!$AF$7)/$H641*OFFSET(ORÇAMENTO!$X$15,ROW(AI641)-ROW(AI$15),0),
ROUND(ROUND(OFFSET($P641,0,AI$13),15-13*ORÇAMENTO!$AF$7)*OFFSET(ORÇAMENTO!$W$15,ROW(AI641)-ROW(AI$15),0),15-13*ORÇAMENTO!$AF$11)),0)</f>
        <v>0</v>
      </c>
      <c r="AJ641" s="545">
        <f ca="1">IF(AND($D641="Serviço",AJ$12&lt;&gt;0,$H641&gt;0,OR(AUTOEVENTO&lt;&gt;"manual",$M641&lt;&gt;1)),
IF(Import.TipoArredondamento&lt;&gt;"TransfereGOV",
ROUND(OFFSET($P641,0,AJ$13),15-13*ORÇAMENTO!$AF$7)/$H641*OFFSET(ORÇAMENTO!$X$15,ROW(AJ641)-ROW(AJ$15),0),
ROUND(ROUND(OFFSET($P641,0,AJ$13),15-13*ORÇAMENTO!$AF$7)*OFFSET(ORÇAMENTO!$W$15,ROW(AJ641)-ROW(AJ$15),0),15-13*ORÇAMENTO!$AF$11)),0)</f>
        <v>0</v>
      </c>
      <c r="AK641" s="546">
        <f ca="1">IF(AND($D641="Serviço",AK$12&lt;&gt;0,$H641&gt;0,OR(AUTOEVENTO&lt;&gt;"manual",$M641&lt;&gt;1)),
IF(Import.TipoArredondamento&lt;&gt;"TransfereGOV",
ROUND(OFFSET($P641,0,AK$13),15-13*ORÇAMENTO!$AF$7)/$H641*OFFSET(ORÇAMENTO!$X$15,ROW(AK641)-ROW(AK$15),0),
ROUND(ROUND(OFFSET($P641,0,AK$13),15-13*ORÇAMENTO!$AF$7)*OFFSET(ORÇAMENTO!$W$15,ROW(AK641)-ROW(AK$15),0),15-13*ORÇAMENTO!$AF$11)),0)</f>
        <v>0</v>
      </c>
      <c r="AM641" s="181">
        <f ca="1">IF($D641&lt;&gt;"Serviço",0,IF(AND(AUTOEVENTO="Manual",$M641=1),0,IF(OFFSET(CRONOPLE!$F$14,$M641,AM$13)="",10^12,OFFSET(CRONOPLE!$F$14,$M641,AM$13))))</f>
        <v>1000000000000</v>
      </c>
      <c r="AN641" s="181">
        <f ca="1">IF($D641&lt;&gt;"Serviço",0,IF(AND(AUTOEVENTO="Manual",$M641=1),0,IF(OFFSET(CRONOPLE!$F$14,$M641,AN$13)="",10^12,OFFSET(CRONOPLE!$F$14,$M641,AN$13))))</f>
        <v>1000000000000</v>
      </c>
      <c r="AO641" s="181">
        <f ca="1">IF($D641&lt;&gt;"Serviço",0,IF(AND(AUTOEVENTO="Manual",$M641=1),0,IF(OFFSET(CRONOPLE!$F$14,$M641,AO$13)="",10^12,OFFSET(CRONOPLE!$F$14,$M641,AO$13))))</f>
        <v>1000000000000</v>
      </c>
      <c r="AP641" s="181">
        <f ca="1">IF($D641&lt;&gt;"Serviço",0,IF(AND(AUTOEVENTO="Manual",$M641=1),0,IF(OFFSET(CRONOPLE!$F$14,$M641,AP$13)="",10^12,OFFSET(CRONOPLE!$F$14,$M641,AP$13))))</f>
        <v>1000000000000</v>
      </c>
      <c r="AQ641" s="181">
        <f ca="1">IF($D641&lt;&gt;"Serviço",0,IF(AND(AUTOEVENTO="Manual",$M641=1),0,IF(OFFSET(CRONOPLE!$F$14,$M641,AQ$13)="",10^12,OFFSET(CRONOPLE!$F$14,$M641,AQ$13))))</f>
        <v>1000000000000</v>
      </c>
      <c r="AR641" s="181">
        <f ca="1">IF($D641&lt;&gt;"Serviço",0,IF(AND(AUTOEVENTO="Manual",$M641=1),0,IF(OFFSET(CRONOPLE!$F$14,$M641,AR$13)="",10^12,OFFSET(CRONOPLE!$F$14,$M641,AR$13))))</f>
        <v>1000000000000</v>
      </c>
      <c r="AS641" s="181">
        <f ca="1">IF($D641&lt;&gt;"Serviço",0,IF(AND(AUTOEVENTO="Manual",$M641=1),0,IF(OFFSET(CRONOPLE!$F$14,$M641,AS$13)="",10^12,OFFSET(CRONOPLE!$F$14,$M641,AS$13))))</f>
        <v>1000000000000</v>
      </c>
      <c r="AT641" s="181">
        <f ca="1">IF($D641&lt;&gt;"Serviço",0,IF(AND(AUTOEVENTO="Manual",$M641=1),0,IF(OFFSET(CRONOPLE!$F$14,$M641,AT$13)="",10^12,OFFSET(CRONOPLE!$F$14,$M641,AT$13))))</f>
        <v>1000000000000</v>
      </c>
      <c r="AU641" s="181">
        <f ca="1">IF($D641&lt;&gt;"Serviço",0,IF(AND(AUTOEVENTO="Manual",$M641=1),0,IF(OFFSET(CRONOPLE!$F$14,$M641,AU$13)="",10^12,OFFSET(CRONOPLE!$F$14,$M641,AU$13))))</f>
        <v>1000000000000</v>
      </c>
      <c r="AV641" s="181">
        <f ca="1">IF($D641&lt;&gt;"Serviço",0,IF(AND(AUTOEVENTO="Manual",$M641=1),0,IF(OFFSET(CRONOPLE!$F$14,$M641,AV$13)="",10^12,OFFSET(CRONOPLE!$F$14,$M641,AV$13))))</f>
        <v>1000000000000</v>
      </c>
      <c r="AX641" s="182">
        <f ca="1">IF($D641&lt;&gt;"Serviço",0,IF(OR(AND(AUTOEVENTO="Manual",$M641=1),$M641&gt;(ROW(PLE.lastrow)-ROW(PLE.firstrow))),0,IF(OFFSET(PLE!$G$14,$M641,AX$13)="",10^12,OFFSET(PLE!$G$14,$M641,AX$13))))</f>
        <v>1000000000000</v>
      </c>
      <c r="AY641" s="182">
        <f ca="1">IF($D641&lt;&gt;"Serviço",0,IF(OR(AND(AUTOEVENTO="Manual",$M641=1),$M641&gt;(ROW(PLE.lastrow)-ROW(PLE.firstrow))),0,IF(OFFSET(PLE!$G$14,$M641,AY$13)="",10^12,OFFSET(PLE!$G$14,$M641,AY$13))))</f>
        <v>1000000000000</v>
      </c>
      <c r="AZ641" s="182">
        <f ca="1">IF($D641&lt;&gt;"Serviço",0,IF(OR(AND(AUTOEVENTO="Manual",$M641=1),$M641&gt;(ROW(PLE.lastrow)-ROW(PLE.firstrow))),0,IF(OFFSET(PLE!$G$14,$M641,AZ$13)="",10^12,OFFSET(PLE!$G$14,$M641,AZ$13))))</f>
        <v>1000000000000</v>
      </c>
      <c r="BA641" s="182">
        <f ca="1">IF($D641&lt;&gt;"Serviço",0,IF(OR(AND(AUTOEVENTO="Manual",$M641=1),$M641&gt;(ROW(PLE.lastrow)-ROW(PLE.firstrow))),0,IF(OFFSET(PLE!$G$14,$M641,BA$13)="",10^12,OFFSET(PLE!$G$14,$M641,BA$13))))</f>
        <v>1000000000000</v>
      </c>
      <c r="BB641" s="182">
        <f ca="1">IF($D641&lt;&gt;"Serviço",0,IF(OR(AND(AUTOEVENTO="Manual",$M641=1),$M641&gt;(ROW(PLE.lastrow)-ROW(PLE.firstrow))),0,IF(OFFSET(PLE!$G$14,$M641,BB$13)="",10^12,OFFSET(PLE!$G$14,$M641,BB$13))))</f>
        <v>1000000000000</v>
      </c>
      <c r="BC641" s="182">
        <f ca="1">IF($D641&lt;&gt;"Serviço",0,IF(OR(AND(AUTOEVENTO="Manual",$M641=1),$M641&gt;(ROW(PLE.lastrow)-ROW(PLE.firstrow))),0,IF(OFFSET(PLE!$G$14,$M641,BC$13)="",10^12,OFFSET(PLE!$G$14,$M641,BC$13))))</f>
        <v>1000000000000</v>
      </c>
      <c r="BD641" s="182">
        <f ca="1">IF($D641&lt;&gt;"Serviço",0,IF(OR(AND(AUTOEVENTO="Manual",$M641=1),$M641&gt;(ROW(PLE.lastrow)-ROW(PLE.firstrow))),0,IF(OFFSET(PLE!$G$14,$M641,BD$13)="",10^12,OFFSET(PLE!$G$14,$M641,BD$13))))</f>
        <v>1000000000000</v>
      </c>
      <c r="BE641" s="182">
        <f ca="1">IF($D641&lt;&gt;"Serviço",0,IF(OR(AND(AUTOEVENTO="Manual",$M641=1),$M641&gt;(ROW(PLE.lastrow)-ROW(PLE.firstrow))),0,IF(OFFSET(PLE!$G$14,$M641,BE$13)="",10^12,OFFSET(PLE!$G$14,$M641,BE$13))))</f>
        <v>1000000000000</v>
      </c>
      <c r="BF641" s="182">
        <f ca="1">IF($D641&lt;&gt;"Serviço",0,IF(OR(AND(AUTOEVENTO="Manual",$M641=1),$M641&gt;(ROW(PLE.lastrow)-ROW(PLE.firstrow))),0,IF(OFFSET(PLE!$G$14,$M641,BF$13)="",10^12,OFFSET(PLE!$G$14,$M641,BF$13))))</f>
        <v>1000000000000</v>
      </c>
      <c r="BG641" s="182">
        <f ca="1">IF($D641&lt;&gt;"Serviço",0,IF(OR(AND(AUTOEVENTO="Manual",$M641=1),$M641&gt;(ROW(PLE.lastrow)-ROW(PLE.firstrow))),0,IF(OFFSET(PLE!$G$14,$M641,BG$13)="",10^12,OFFSET(PLE!$G$14,$M641,BG$13))))</f>
        <v>1000000000000</v>
      </c>
    </row>
    <row r="642" spans="1:59" ht="25.5" x14ac:dyDescent="0.2">
      <c r="A642" s="7" t="str">
        <f t="shared" ca="1" si="17"/>
        <v>593</v>
      </c>
      <c r="B642" s="7" t="str">
        <f ca="1">OFFSET(ORÇAMENTO!C$15,ROW(B642)-ROW(B$15),0)</f>
        <v>S</v>
      </c>
      <c r="C642" s="7" t="str">
        <f ca="1">OFFSET(ORÇAMENTO!L$15,ROW(C642)-ROW(C$15),0)</f>
        <v/>
      </c>
      <c r="D642" s="118" t="str">
        <f ca="1">OFFSET(ORÇAMENTO!N$15,ROW(D642)-ROW(D$15),0)</f>
        <v>Serviço</v>
      </c>
      <c r="E642" s="119" t="str">
        <f ca="1">OFFSET(ORÇAMENTO!O$15,ROW(E642)-ROW(E$15),0)</f>
        <v>-</v>
      </c>
      <c r="F642" s="172" t="str">
        <f ca="1">OFFSET(ORÇAMENTO!R$15,ROW(F642)-ROW(F$15),0)</f>
        <v>(abra o arquivo 'Referência 02-2025.xlsm)</v>
      </c>
      <c r="G642" s="173" t="str">
        <f ca="1">IF($D642&lt;&gt;"Serviço","",OFFSET(ORÇAMENTO!S$15,ROW(G642)-ROW(G$15),0))</f>
        <v>-</v>
      </c>
      <c r="H642" s="124">
        <f ca="1">IF($D642&lt;&gt;"Serviço",0,IF(ACOMPANHAMENTO="BM",ROUND(OFFSET(ORÇAMENTO!AJ$15,ROW(H642)-ROW(H$15),0),15-13*ORÇAMENTO!$AF$7),SUMPRODUCT(($Q$12:$AA$12&lt;&gt;"")*ROUND($Q642:$AA642,15-13*ORÇAMENTO!$AF$7))))</f>
        <v>5</v>
      </c>
      <c r="I642" s="561" t="s">
        <v>890</v>
      </c>
      <c r="K642" s="174"/>
      <c r="L642" s="175" t="s">
        <v>255</v>
      </c>
      <c r="M642" s="176">
        <f ca="1">IF($D642&lt;&gt;"Serviço","",IF(AUTOEVENTO="manual",$A642,IF(ISERROR(MATCH($A642,$A$15:OFFSET($A642,-1,0),0)),MAX($M$15:OFFSET(M642,-1,0))+1,INDEX($M$15:OFFSET(M642,-1,0),MATCH($A642,$A$15:OFFSET($A642,-1,0),0)))))</f>
        <v>19</v>
      </c>
      <c r="N642" s="177" t="str">
        <f ca="1">IF($D642&lt;&gt;"Serviço","",IF(AUTOEVENTO="Manual",IF($A642=0,"&lt;-- defina o número do agrupador",OFFSET(EVENTOS!$D$14,$A642,0)),OFFSET($F$15,$A642,0)))</f>
        <v>INSTALAÇÕES DE CABEAMENTO ESTRUTURADO</v>
      </c>
      <c r="O642" s="178"/>
      <c r="Q642" s="178"/>
      <c r="R642" s="179"/>
      <c r="S642" s="179"/>
      <c r="T642" s="179"/>
      <c r="U642" s="179"/>
      <c r="V642" s="179"/>
      <c r="W642" s="179"/>
      <c r="X642" s="179"/>
      <c r="Y642" s="179"/>
      <c r="Z642" s="180"/>
      <c r="AB642" s="544">
        <f ca="1">IF(AND($D642="Serviço",AB$12&lt;&gt;0,$H642&gt;0,OR(AUTOEVENTO&lt;&gt;"manual",$M642&lt;&gt;1)),
IF(Import.TipoArredondamento&lt;&gt;"TransfereGOV",
ROUND(OFFSET($P642,0,AB$13),15-13*ORÇAMENTO!$AF$7)/$H642*OFFSET(ORÇAMENTO!$X$15,ROW(AB642)-ROW(AB$15),0),
ROUND(ROUND(OFFSET($P642,0,AB$13),15-13*ORÇAMENTO!$AF$7)*OFFSET(ORÇAMENTO!$W$15,ROW(AB642)-ROW(AB$15),0),15-13*ORÇAMENTO!$AF$11)),0)</f>
        <v>0</v>
      </c>
      <c r="AC642" s="545">
        <f ca="1">IF(AND($D642="Serviço",AC$12&lt;&gt;0,$H642&gt;0,OR(AUTOEVENTO&lt;&gt;"manual",$M642&lt;&gt;1)),
IF(Import.TipoArredondamento&lt;&gt;"TransfereGOV",
ROUND(OFFSET($P642,0,AC$13),15-13*ORÇAMENTO!$AF$7)/$H642*OFFSET(ORÇAMENTO!$X$15,ROW(AC642)-ROW(AC$15),0),
ROUND(ROUND(OFFSET($P642,0,AC$13),15-13*ORÇAMENTO!$AF$7)*OFFSET(ORÇAMENTO!$W$15,ROW(AC642)-ROW(AC$15),0),15-13*ORÇAMENTO!$AF$11)),0)</f>
        <v>0</v>
      </c>
      <c r="AD642" s="545">
        <f ca="1">IF(AND($D642="Serviço",AD$12&lt;&gt;0,$H642&gt;0,OR(AUTOEVENTO&lt;&gt;"manual",$M642&lt;&gt;1)),
IF(Import.TipoArredondamento&lt;&gt;"TransfereGOV",
ROUND(OFFSET($P642,0,AD$13),15-13*ORÇAMENTO!$AF$7)/$H642*OFFSET(ORÇAMENTO!$X$15,ROW(AD642)-ROW(AD$15),0),
ROUND(ROUND(OFFSET($P642,0,AD$13),15-13*ORÇAMENTO!$AF$7)*OFFSET(ORÇAMENTO!$W$15,ROW(AD642)-ROW(AD$15),0),15-13*ORÇAMENTO!$AF$11)),0)</f>
        <v>0</v>
      </c>
      <c r="AE642" s="545">
        <f ca="1">IF(AND($D642="Serviço",AE$12&lt;&gt;0,$H642&gt;0,OR(AUTOEVENTO&lt;&gt;"manual",$M642&lt;&gt;1)),
IF(Import.TipoArredondamento&lt;&gt;"TransfereGOV",
ROUND(OFFSET($P642,0,AE$13),15-13*ORÇAMENTO!$AF$7)/$H642*OFFSET(ORÇAMENTO!$X$15,ROW(AE642)-ROW(AE$15),0),
ROUND(ROUND(OFFSET($P642,0,AE$13),15-13*ORÇAMENTO!$AF$7)*OFFSET(ORÇAMENTO!$W$15,ROW(AE642)-ROW(AE$15),0),15-13*ORÇAMENTO!$AF$11)),0)</f>
        <v>0</v>
      </c>
      <c r="AF642" s="545">
        <f ca="1">IF(AND($D642="Serviço",AF$12&lt;&gt;0,$H642&gt;0,OR(AUTOEVENTO&lt;&gt;"manual",$M642&lt;&gt;1)),
IF(Import.TipoArredondamento&lt;&gt;"TransfereGOV",
ROUND(OFFSET($P642,0,AF$13),15-13*ORÇAMENTO!$AF$7)/$H642*OFFSET(ORÇAMENTO!$X$15,ROW(AF642)-ROW(AF$15),0),
ROUND(ROUND(OFFSET($P642,0,AF$13),15-13*ORÇAMENTO!$AF$7)*OFFSET(ORÇAMENTO!$W$15,ROW(AF642)-ROW(AF$15),0),15-13*ORÇAMENTO!$AF$11)),0)</f>
        <v>0</v>
      </c>
      <c r="AG642" s="545">
        <f ca="1">IF(AND($D642="Serviço",AG$12&lt;&gt;0,$H642&gt;0,OR(AUTOEVENTO&lt;&gt;"manual",$M642&lt;&gt;1)),
IF(Import.TipoArredondamento&lt;&gt;"TransfereGOV",
ROUND(OFFSET($P642,0,AG$13),15-13*ORÇAMENTO!$AF$7)/$H642*OFFSET(ORÇAMENTO!$X$15,ROW(AG642)-ROW(AG$15),0),
ROUND(ROUND(OFFSET($P642,0,AG$13),15-13*ORÇAMENTO!$AF$7)*OFFSET(ORÇAMENTO!$W$15,ROW(AG642)-ROW(AG$15),0),15-13*ORÇAMENTO!$AF$11)),0)</f>
        <v>0</v>
      </c>
      <c r="AH642" s="545">
        <f ca="1">IF(AND($D642="Serviço",AH$12&lt;&gt;0,$H642&gt;0,OR(AUTOEVENTO&lt;&gt;"manual",$M642&lt;&gt;1)),
IF(Import.TipoArredondamento&lt;&gt;"TransfereGOV",
ROUND(OFFSET($P642,0,AH$13),15-13*ORÇAMENTO!$AF$7)/$H642*OFFSET(ORÇAMENTO!$X$15,ROW(AH642)-ROW(AH$15),0),
ROUND(ROUND(OFFSET($P642,0,AH$13),15-13*ORÇAMENTO!$AF$7)*OFFSET(ORÇAMENTO!$W$15,ROW(AH642)-ROW(AH$15),0),15-13*ORÇAMENTO!$AF$11)),0)</f>
        <v>0</v>
      </c>
      <c r="AI642" s="545">
        <f ca="1">IF(AND($D642="Serviço",AI$12&lt;&gt;0,$H642&gt;0,OR(AUTOEVENTO&lt;&gt;"manual",$M642&lt;&gt;1)),
IF(Import.TipoArredondamento&lt;&gt;"TransfereGOV",
ROUND(OFFSET($P642,0,AI$13),15-13*ORÇAMENTO!$AF$7)/$H642*OFFSET(ORÇAMENTO!$X$15,ROW(AI642)-ROW(AI$15),0),
ROUND(ROUND(OFFSET($P642,0,AI$13),15-13*ORÇAMENTO!$AF$7)*OFFSET(ORÇAMENTO!$W$15,ROW(AI642)-ROW(AI$15),0),15-13*ORÇAMENTO!$AF$11)),0)</f>
        <v>0</v>
      </c>
      <c r="AJ642" s="545">
        <f ca="1">IF(AND($D642="Serviço",AJ$12&lt;&gt;0,$H642&gt;0,OR(AUTOEVENTO&lt;&gt;"manual",$M642&lt;&gt;1)),
IF(Import.TipoArredondamento&lt;&gt;"TransfereGOV",
ROUND(OFFSET($P642,0,AJ$13),15-13*ORÇAMENTO!$AF$7)/$H642*OFFSET(ORÇAMENTO!$X$15,ROW(AJ642)-ROW(AJ$15),0),
ROUND(ROUND(OFFSET($P642,0,AJ$13),15-13*ORÇAMENTO!$AF$7)*OFFSET(ORÇAMENTO!$W$15,ROW(AJ642)-ROW(AJ$15),0),15-13*ORÇAMENTO!$AF$11)),0)</f>
        <v>0</v>
      </c>
      <c r="AK642" s="546">
        <f ca="1">IF(AND($D642="Serviço",AK$12&lt;&gt;0,$H642&gt;0,OR(AUTOEVENTO&lt;&gt;"manual",$M642&lt;&gt;1)),
IF(Import.TipoArredondamento&lt;&gt;"TransfereGOV",
ROUND(OFFSET($P642,0,AK$13),15-13*ORÇAMENTO!$AF$7)/$H642*OFFSET(ORÇAMENTO!$X$15,ROW(AK642)-ROW(AK$15),0),
ROUND(ROUND(OFFSET($P642,0,AK$13),15-13*ORÇAMENTO!$AF$7)*OFFSET(ORÇAMENTO!$W$15,ROW(AK642)-ROW(AK$15),0),15-13*ORÇAMENTO!$AF$11)),0)</f>
        <v>0</v>
      </c>
      <c r="AM642" s="181">
        <f ca="1">IF($D642&lt;&gt;"Serviço",0,IF(AND(AUTOEVENTO="Manual",$M642=1),0,IF(OFFSET(CRONOPLE!$F$14,$M642,AM$13)="",10^12,OFFSET(CRONOPLE!$F$14,$M642,AM$13))))</f>
        <v>1000000000000</v>
      </c>
      <c r="AN642" s="181">
        <f ca="1">IF($D642&lt;&gt;"Serviço",0,IF(AND(AUTOEVENTO="Manual",$M642=1),0,IF(OFFSET(CRONOPLE!$F$14,$M642,AN$13)="",10^12,OFFSET(CRONOPLE!$F$14,$M642,AN$13))))</f>
        <v>1000000000000</v>
      </c>
      <c r="AO642" s="181">
        <f ca="1">IF($D642&lt;&gt;"Serviço",0,IF(AND(AUTOEVENTO="Manual",$M642=1),0,IF(OFFSET(CRONOPLE!$F$14,$M642,AO$13)="",10^12,OFFSET(CRONOPLE!$F$14,$M642,AO$13))))</f>
        <v>1000000000000</v>
      </c>
      <c r="AP642" s="181">
        <f ca="1">IF($D642&lt;&gt;"Serviço",0,IF(AND(AUTOEVENTO="Manual",$M642=1),0,IF(OFFSET(CRONOPLE!$F$14,$M642,AP$13)="",10^12,OFFSET(CRONOPLE!$F$14,$M642,AP$13))))</f>
        <v>1000000000000</v>
      </c>
      <c r="AQ642" s="181">
        <f ca="1">IF($D642&lt;&gt;"Serviço",0,IF(AND(AUTOEVENTO="Manual",$M642=1),0,IF(OFFSET(CRONOPLE!$F$14,$M642,AQ$13)="",10^12,OFFSET(CRONOPLE!$F$14,$M642,AQ$13))))</f>
        <v>1000000000000</v>
      </c>
      <c r="AR642" s="181">
        <f ca="1">IF($D642&lt;&gt;"Serviço",0,IF(AND(AUTOEVENTO="Manual",$M642=1),0,IF(OFFSET(CRONOPLE!$F$14,$M642,AR$13)="",10^12,OFFSET(CRONOPLE!$F$14,$M642,AR$13))))</f>
        <v>1000000000000</v>
      </c>
      <c r="AS642" s="181">
        <f ca="1">IF($D642&lt;&gt;"Serviço",0,IF(AND(AUTOEVENTO="Manual",$M642=1),0,IF(OFFSET(CRONOPLE!$F$14,$M642,AS$13)="",10^12,OFFSET(CRONOPLE!$F$14,$M642,AS$13))))</f>
        <v>1000000000000</v>
      </c>
      <c r="AT642" s="181">
        <f ca="1">IF($D642&lt;&gt;"Serviço",0,IF(AND(AUTOEVENTO="Manual",$M642=1),0,IF(OFFSET(CRONOPLE!$F$14,$M642,AT$13)="",10^12,OFFSET(CRONOPLE!$F$14,$M642,AT$13))))</f>
        <v>1000000000000</v>
      </c>
      <c r="AU642" s="181">
        <f ca="1">IF($D642&lt;&gt;"Serviço",0,IF(AND(AUTOEVENTO="Manual",$M642=1),0,IF(OFFSET(CRONOPLE!$F$14,$M642,AU$13)="",10^12,OFFSET(CRONOPLE!$F$14,$M642,AU$13))))</f>
        <v>1000000000000</v>
      </c>
      <c r="AV642" s="181">
        <f ca="1">IF($D642&lt;&gt;"Serviço",0,IF(AND(AUTOEVENTO="Manual",$M642=1),0,IF(OFFSET(CRONOPLE!$F$14,$M642,AV$13)="",10^12,OFFSET(CRONOPLE!$F$14,$M642,AV$13))))</f>
        <v>1000000000000</v>
      </c>
      <c r="AX642" s="182">
        <f ca="1">IF($D642&lt;&gt;"Serviço",0,IF(OR(AND(AUTOEVENTO="Manual",$M642=1),$M642&gt;(ROW(PLE.lastrow)-ROW(PLE.firstrow))),0,IF(OFFSET(PLE!$G$14,$M642,AX$13)="",10^12,OFFSET(PLE!$G$14,$M642,AX$13))))</f>
        <v>1000000000000</v>
      </c>
      <c r="AY642" s="182">
        <f ca="1">IF($D642&lt;&gt;"Serviço",0,IF(OR(AND(AUTOEVENTO="Manual",$M642=1),$M642&gt;(ROW(PLE.lastrow)-ROW(PLE.firstrow))),0,IF(OFFSET(PLE!$G$14,$M642,AY$13)="",10^12,OFFSET(PLE!$G$14,$M642,AY$13))))</f>
        <v>1000000000000</v>
      </c>
      <c r="AZ642" s="182">
        <f ca="1">IF($D642&lt;&gt;"Serviço",0,IF(OR(AND(AUTOEVENTO="Manual",$M642=1),$M642&gt;(ROW(PLE.lastrow)-ROW(PLE.firstrow))),0,IF(OFFSET(PLE!$G$14,$M642,AZ$13)="",10^12,OFFSET(PLE!$G$14,$M642,AZ$13))))</f>
        <v>1000000000000</v>
      </c>
      <c r="BA642" s="182">
        <f ca="1">IF($D642&lt;&gt;"Serviço",0,IF(OR(AND(AUTOEVENTO="Manual",$M642=1),$M642&gt;(ROW(PLE.lastrow)-ROW(PLE.firstrow))),0,IF(OFFSET(PLE!$G$14,$M642,BA$13)="",10^12,OFFSET(PLE!$G$14,$M642,BA$13))))</f>
        <v>1000000000000</v>
      </c>
      <c r="BB642" s="182">
        <f ca="1">IF($D642&lt;&gt;"Serviço",0,IF(OR(AND(AUTOEVENTO="Manual",$M642=1),$M642&gt;(ROW(PLE.lastrow)-ROW(PLE.firstrow))),0,IF(OFFSET(PLE!$G$14,$M642,BB$13)="",10^12,OFFSET(PLE!$G$14,$M642,BB$13))))</f>
        <v>1000000000000</v>
      </c>
      <c r="BC642" s="182">
        <f ca="1">IF($D642&lt;&gt;"Serviço",0,IF(OR(AND(AUTOEVENTO="Manual",$M642=1),$M642&gt;(ROW(PLE.lastrow)-ROW(PLE.firstrow))),0,IF(OFFSET(PLE!$G$14,$M642,BC$13)="",10^12,OFFSET(PLE!$G$14,$M642,BC$13))))</f>
        <v>1000000000000</v>
      </c>
      <c r="BD642" s="182">
        <f ca="1">IF($D642&lt;&gt;"Serviço",0,IF(OR(AND(AUTOEVENTO="Manual",$M642=1),$M642&gt;(ROW(PLE.lastrow)-ROW(PLE.firstrow))),0,IF(OFFSET(PLE!$G$14,$M642,BD$13)="",10^12,OFFSET(PLE!$G$14,$M642,BD$13))))</f>
        <v>1000000000000</v>
      </c>
      <c r="BE642" s="182">
        <f ca="1">IF($D642&lt;&gt;"Serviço",0,IF(OR(AND(AUTOEVENTO="Manual",$M642=1),$M642&gt;(ROW(PLE.lastrow)-ROW(PLE.firstrow))),0,IF(OFFSET(PLE!$G$14,$M642,BE$13)="",10^12,OFFSET(PLE!$G$14,$M642,BE$13))))</f>
        <v>1000000000000</v>
      </c>
      <c r="BF642" s="182">
        <f ca="1">IF($D642&lt;&gt;"Serviço",0,IF(OR(AND(AUTOEVENTO="Manual",$M642=1),$M642&gt;(ROW(PLE.lastrow)-ROW(PLE.firstrow))),0,IF(OFFSET(PLE!$G$14,$M642,BF$13)="",10^12,OFFSET(PLE!$G$14,$M642,BF$13))))</f>
        <v>1000000000000</v>
      </c>
      <c r="BG642" s="182">
        <f ca="1">IF($D642&lt;&gt;"Serviço",0,IF(OR(AND(AUTOEVENTO="Manual",$M642=1),$M642&gt;(ROW(PLE.lastrow)-ROW(PLE.firstrow))),0,IF(OFFSET(PLE!$G$14,$M642,BG$13)="",10^12,OFFSET(PLE!$G$14,$M642,BG$13))))</f>
        <v>1000000000000</v>
      </c>
    </row>
    <row r="643" spans="1:59" ht="38.25" x14ac:dyDescent="0.2">
      <c r="A643" s="7" t="str">
        <f t="shared" ca="1" si="17"/>
        <v>593</v>
      </c>
      <c r="B643" s="7" t="str">
        <f ca="1">OFFSET(ORÇAMENTO!C$15,ROW(B643)-ROW(B$15),0)</f>
        <v>S</v>
      </c>
      <c r="C643" s="7" t="str">
        <f ca="1">OFFSET(ORÇAMENTO!L$15,ROW(C643)-ROW(C$15),0)</f>
        <v/>
      </c>
      <c r="D643" s="118" t="str">
        <f ca="1">OFFSET(ORÇAMENTO!N$15,ROW(D643)-ROW(D$15),0)</f>
        <v>Serviço</v>
      </c>
      <c r="E643" s="119" t="str">
        <f ca="1">OFFSET(ORÇAMENTO!O$15,ROW(E643)-ROW(E$15),0)</f>
        <v>-</v>
      </c>
      <c r="F643" s="172" t="str">
        <f ca="1">OFFSET(ORÇAMENTO!R$15,ROW(F643)-ROW(F$15),0)</f>
        <v>(abra o arquivo 'Referência 02-2025.xlsm)</v>
      </c>
      <c r="G643" s="173" t="str">
        <f ca="1">IF($D643&lt;&gt;"Serviço","",OFFSET(ORÇAMENTO!S$15,ROW(G643)-ROW(G$15),0))</f>
        <v>-</v>
      </c>
      <c r="H643" s="124">
        <f ca="1">IF($D643&lt;&gt;"Serviço",0,IF(ACOMPANHAMENTO="BM",ROUND(OFFSET(ORÇAMENTO!AJ$15,ROW(H643)-ROW(H$15),0),15-13*ORÇAMENTO!$AF$7),SUMPRODUCT(($Q$12:$AA$12&lt;&gt;"")*ROUND($Q643:$AA643,15-13*ORÇAMENTO!$AF$7))))</f>
        <v>4</v>
      </c>
      <c r="I643" s="561" t="s">
        <v>890</v>
      </c>
      <c r="K643" s="174"/>
      <c r="L643" s="175" t="s">
        <v>255</v>
      </c>
      <c r="M643" s="176">
        <f ca="1">IF($D643&lt;&gt;"Serviço","",IF(AUTOEVENTO="manual",$A643,IF(ISERROR(MATCH($A643,$A$15:OFFSET($A643,-1,0),0)),MAX($M$15:OFFSET(M643,-1,0))+1,INDEX($M$15:OFFSET(M643,-1,0),MATCH($A643,$A$15:OFFSET($A643,-1,0),0)))))</f>
        <v>19</v>
      </c>
      <c r="N643" s="177" t="str">
        <f ca="1">IF($D643&lt;&gt;"Serviço","",IF(AUTOEVENTO="Manual",IF($A643=0,"&lt;-- defina o número do agrupador",OFFSET(EVENTOS!$D$14,$A643,0)),OFFSET($F$15,$A643,0)))</f>
        <v>INSTALAÇÕES DE CABEAMENTO ESTRUTURADO</v>
      </c>
      <c r="O643" s="178"/>
      <c r="Q643" s="178"/>
      <c r="R643" s="179"/>
      <c r="S643" s="179"/>
      <c r="T643" s="179"/>
      <c r="U643" s="179"/>
      <c r="V643" s="179"/>
      <c r="W643" s="179"/>
      <c r="X643" s="179"/>
      <c r="Y643" s="179"/>
      <c r="Z643" s="180"/>
      <c r="AB643" s="544">
        <f ca="1">IF(AND($D643="Serviço",AB$12&lt;&gt;0,$H643&gt;0,OR(AUTOEVENTO&lt;&gt;"manual",$M643&lt;&gt;1)),
IF(Import.TipoArredondamento&lt;&gt;"TransfereGOV",
ROUND(OFFSET($P643,0,AB$13),15-13*ORÇAMENTO!$AF$7)/$H643*OFFSET(ORÇAMENTO!$X$15,ROW(AB643)-ROW(AB$15),0),
ROUND(ROUND(OFFSET($P643,0,AB$13),15-13*ORÇAMENTO!$AF$7)*OFFSET(ORÇAMENTO!$W$15,ROW(AB643)-ROW(AB$15),0),15-13*ORÇAMENTO!$AF$11)),0)</f>
        <v>0</v>
      </c>
      <c r="AC643" s="545">
        <f ca="1">IF(AND($D643="Serviço",AC$12&lt;&gt;0,$H643&gt;0,OR(AUTOEVENTO&lt;&gt;"manual",$M643&lt;&gt;1)),
IF(Import.TipoArredondamento&lt;&gt;"TransfereGOV",
ROUND(OFFSET($P643,0,AC$13),15-13*ORÇAMENTO!$AF$7)/$H643*OFFSET(ORÇAMENTO!$X$15,ROW(AC643)-ROW(AC$15),0),
ROUND(ROUND(OFFSET($P643,0,AC$13),15-13*ORÇAMENTO!$AF$7)*OFFSET(ORÇAMENTO!$W$15,ROW(AC643)-ROW(AC$15),0),15-13*ORÇAMENTO!$AF$11)),0)</f>
        <v>0</v>
      </c>
      <c r="AD643" s="545">
        <f ca="1">IF(AND($D643="Serviço",AD$12&lt;&gt;0,$H643&gt;0,OR(AUTOEVENTO&lt;&gt;"manual",$M643&lt;&gt;1)),
IF(Import.TipoArredondamento&lt;&gt;"TransfereGOV",
ROUND(OFFSET($P643,0,AD$13),15-13*ORÇAMENTO!$AF$7)/$H643*OFFSET(ORÇAMENTO!$X$15,ROW(AD643)-ROW(AD$15),0),
ROUND(ROUND(OFFSET($P643,0,AD$13),15-13*ORÇAMENTO!$AF$7)*OFFSET(ORÇAMENTO!$W$15,ROW(AD643)-ROW(AD$15),0),15-13*ORÇAMENTO!$AF$11)),0)</f>
        <v>0</v>
      </c>
      <c r="AE643" s="545">
        <f ca="1">IF(AND($D643="Serviço",AE$12&lt;&gt;0,$H643&gt;0,OR(AUTOEVENTO&lt;&gt;"manual",$M643&lt;&gt;1)),
IF(Import.TipoArredondamento&lt;&gt;"TransfereGOV",
ROUND(OFFSET($P643,0,AE$13),15-13*ORÇAMENTO!$AF$7)/$H643*OFFSET(ORÇAMENTO!$X$15,ROW(AE643)-ROW(AE$15),0),
ROUND(ROUND(OFFSET($P643,0,AE$13),15-13*ORÇAMENTO!$AF$7)*OFFSET(ORÇAMENTO!$W$15,ROW(AE643)-ROW(AE$15),0),15-13*ORÇAMENTO!$AF$11)),0)</f>
        <v>0</v>
      </c>
      <c r="AF643" s="545">
        <f ca="1">IF(AND($D643="Serviço",AF$12&lt;&gt;0,$H643&gt;0,OR(AUTOEVENTO&lt;&gt;"manual",$M643&lt;&gt;1)),
IF(Import.TipoArredondamento&lt;&gt;"TransfereGOV",
ROUND(OFFSET($P643,0,AF$13),15-13*ORÇAMENTO!$AF$7)/$H643*OFFSET(ORÇAMENTO!$X$15,ROW(AF643)-ROW(AF$15),0),
ROUND(ROUND(OFFSET($P643,0,AF$13),15-13*ORÇAMENTO!$AF$7)*OFFSET(ORÇAMENTO!$W$15,ROW(AF643)-ROW(AF$15),0),15-13*ORÇAMENTO!$AF$11)),0)</f>
        <v>0</v>
      </c>
      <c r="AG643" s="545">
        <f ca="1">IF(AND($D643="Serviço",AG$12&lt;&gt;0,$H643&gt;0,OR(AUTOEVENTO&lt;&gt;"manual",$M643&lt;&gt;1)),
IF(Import.TipoArredondamento&lt;&gt;"TransfereGOV",
ROUND(OFFSET($P643,0,AG$13),15-13*ORÇAMENTO!$AF$7)/$H643*OFFSET(ORÇAMENTO!$X$15,ROW(AG643)-ROW(AG$15),0),
ROUND(ROUND(OFFSET($P643,0,AG$13),15-13*ORÇAMENTO!$AF$7)*OFFSET(ORÇAMENTO!$W$15,ROW(AG643)-ROW(AG$15),0),15-13*ORÇAMENTO!$AF$11)),0)</f>
        <v>0</v>
      </c>
      <c r="AH643" s="545">
        <f ca="1">IF(AND($D643="Serviço",AH$12&lt;&gt;0,$H643&gt;0,OR(AUTOEVENTO&lt;&gt;"manual",$M643&lt;&gt;1)),
IF(Import.TipoArredondamento&lt;&gt;"TransfereGOV",
ROUND(OFFSET($P643,0,AH$13),15-13*ORÇAMENTO!$AF$7)/$H643*OFFSET(ORÇAMENTO!$X$15,ROW(AH643)-ROW(AH$15),0),
ROUND(ROUND(OFFSET($P643,0,AH$13),15-13*ORÇAMENTO!$AF$7)*OFFSET(ORÇAMENTO!$W$15,ROW(AH643)-ROW(AH$15),0),15-13*ORÇAMENTO!$AF$11)),0)</f>
        <v>0</v>
      </c>
      <c r="AI643" s="545">
        <f ca="1">IF(AND($D643="Serviço",AI$12&lt;&gt;0,$H643&gt;0,OR(AUTOEVENTO&lt;&gt;"manual",$M643&lt;&gt;1)),
IF(Import.TipoArredondamento&lt;&gt;"TransfereGOV",
ROUND(OFFSET($P643,0,AI$13),15-13*ORÇAMENTO!$AF$7)/$H643*OFFSET(ORÇAMENTO!$X$15,ROW(AI643)-ROW(AI$15),0),
ROUND(ROUND(OFFSET($P643,0,AI$13),15-13*ORÇAMENTO!$AF$7)*OFFSET(ORÇAMENTO!$W$15,ROW(AI643)-ROW(AI$15),0),15-13*ORÇAMENTO!$AF$11)),0)</f>
        <v>0</v>
      </c>
      <c r="AJ643" s="545">
        <f ca="1">IF(AND($D643="Serviço",AJ$12&lt;&gt;0,$H643&gt;0,OR(AUTOEVENTO&lt;&gt;"manual",$M643&lt;&gt;1)),
IF(Import.TipoArredondamento&lt;&gt;"TransfereGOV",
ROUND(OFFSET($P643,0,AJ$13),15-13*ORÇAMENTO!$AF$7)/$H643*OFFSET(ORÇAMENTO!$X$15,ROW(AJ643)-ROW(AJ$15),0),
ROUND(ROUND(OFFSET($P643,0,AJ$13),15-13*ORÇAMENTO!$AF$7)*OFFSET(ORÇAMENTO!$W$15,ROW(AJ643)-ROW(AJ$15),0),15-13*ORÇAMENTO!$AF$11)),0)</f>
        <v>0</v>
      </c>
      <c r="AK643" s="546">
        <f ca="1">IF(AND($D643="Serviço",AK$12&lt;&gt;0,$H643&gt;0,OR(AUTOEVENTO&lt;&gt;"manual",$M643&lt;&gt;1)),
IF(Import.TipoArredondamento&lt;&gt;"TransfereGOV",
ROUND(OFFSET($P643,0,AK$13),15-13*ORÇAMENTO!$AF$7)/$H643*OFFSET(ORÇAMENTO!$X$15,ROW(AK643)-ROW(AK$15),0),
ROUND(ROUND(OFFSET($P643,0,AK$13),15-13*ORÇAMENTO!$AF$7)*OFFSET(ORÇAMENTO!$W$15,ROW(AK643)-ROW(AK$15),0),15-13*ORÇAMENTO!$AF$11)),0)</f>
        <v>0</v>
      </c>
      <c r="AM643" s="181">
        <f ca="1">IF($D643&lt;&gt;"Serviço",0,IF(AND(AUTOEVENTO="Manual",$M643=1),0,IF(OFFSET(CRONOPLE!$F$14,$M643,AM$13)="",10^12,OFFSET(CRONOPLE!$F$14,$M643,AM$13))))</f>
        <v>1000000000000</v>
      </c>
      <c r="AN643" s="181">
        <f ca="1">IF($D643&lt;&gt;"Serviço",0,IF(AND(AUTOEVENTO="Manual",$M643=1),0,IF(OFFSET(CRONOPLE!$F$14,$M643,AN$13)="",10^12,OFFSET(CRONOPLE!$F$14,$M643,AN$13))))</f>
        <v>1000000000000</v>
      </c>
      <c r="AO643" s="181">
        <f ca="1">IF($D643&lt;&gt;"Serviço",0,IF(AND(AUTOEVENTO="Manual",$M643=1),0,IF(OFFSET(CRONOPLE!$F$14,$M643,AO$13)="",10^12,OFFSET(CRONOPLE!$F$14,$M643,AO$13))))</f>
        <v>1000000000000</v>
      </c>
      <c r="AP643" s="181">
        <f ca="1">IF($D643&lt;&gt;"Serviço",0,IF(AND(AUTOEVENTO="Manual",$M643=1),0,IF(OFFSET(CRONOPLE!$F$14,$M643,AP$13)="",10^12,OFFSET(CRONOPLE!$F$14,$M643,AP$13))))</f>
        <v>1000000000000</v>
      </c>
      <c r="AQ643" s="181">
        <f ca="1">IF($D643&lt;&gt;"Serviço",0,IF(AND(AUTOEVENTO="Manual",$M643=1),0,IF(OFFSET(CRONOPLE!$F$14,$M643,AQ$13)="",10^12,OFFSET(CRONOPLE!$F$14,$M643,AQ$13))))</f>
        <v>1000000000000</v>
      </c>
      <c r="AR643" s="181">
        <f ca="1">IF($D643&lt;&gt;"Serviço",0,IF(AND(AUTOEVENTO="Manual",$M643=1),0,IF(OFFSET(CRONOPLE!$F$14,$M643,AR$13)="",10^12,OFFSET(CRONOPLE!$F$14,$M643,AR$13))))</f>
        <v>1000000000000</v>
      </c>
      <c r="AS643" s="181">
        <f ca="1">IF($D643&lt;&gt;"Serviço",0,IF(AND(AUTOEVENTO="Manual",$M643=1),0,IF(OFFSET(CRONOPLE!$F$14,$M643,AS$13)="",10^12,OFFSET(CRONOPLE!$F$14,$M643,AS$13))))</f>
        <v>1000000000000</v>
      </c>
      <c r="AT643" s="181">
        <f ca="1">IF($D643&lt;&gt;"Serviço",0,IF(AND(AUTOEVENTO="Manual",$M643=1),0,IF(OFFSET(CRONOPLE!$F$14,$M643,AT$13)="",10^12,OFFSET(CRONOPLE!$F$14,$M643,AT$13))))</f>
        <v>1000000000000</v>
      </c>
      <c r="AU643" s="181">
        <f ca="1">IF($D643&lt;&gt;"Serviço",0,IF(AND(AUTOEVENTO="Manual",$M643=1),0,IF(OFFSET(CRONOPLE!$F$14,$M643,AU$13)="",10^12,OFFSET(CRONOPLE!$F$14,$M643,AU$13))))</f>
        <v>1000000000000</v>
      </c>
      <c r="AV643" s="181">
        <f ca="1">IF($D643&lt;&gt;"Serviço",0,IF(AND(AUTOEVENTO="Manual",$M643=1),0,IF(OFFSET(CRONOPLE!$F$14,$M643,AV$13)="",10^12,OFFSET(CRONOPLE!$F$14,$M643,AV$13))))</f>
        <v>1000000000000</v>
      </c>
      <c r="AX643" s="182">
        <f ca="1">IF($D643&lt;&gt;"Serviço",0,IF(OR(AND(AUTOEVENTO="Manual",$M643=1),$M643&gt;(ROW(PLE.lastrow)-ROW(PLE.firstrow))),0,IF(OFFSET(PLE!$G$14,$M643,AX$13)="",10^12,OFFSET(PLE!$G$14,$M643,AX$13))))</f>
        <v>1000000000000</v>
      </c>
      <c r="AY643" s="182">
        <f ca="1">IF($D643&lt;&gt;"Serviço",0,IF(OR(AND(AUTOEVENTO="Manual",$M643=1),$M643&gt;(ROW(PLE.lastrow)-ROW(PLE.firstrow))),0,IF(OFFSET(PLE!$G$14,$M643,AY$13)="",10^12,OFFSET(PLE!$G$14,$M643,AY$13))))</f>
        <v>1000000000000</v>
      </c>
      <c r="AZ643" s="182">
        <f ca="1">IF($D643&lt;&gt;"Serviço",0,IF(OR(AND(AUTOEVENTO="Manual",$M643=1),$M643&gt;(ROW(PLE.lastrow)-ROW(PLE.firstrow))),0,IF(OFFSET(PLE!$G$14,$M643,AZ$13)="",10^12,OFFSET(PLE!$G$14,$M643,AZ$13))))</f>
        <v>1000000000000</v>
      </c>
      <c r="BA643" s="182">
        <f ca="1">IF($D643&lt;&gt;"Serviço",0,IF(OR(AND(AUTOEVENTO="Manual",$M643=1),$M643&gt;(ROW(PLE.lastrow)-ROW(PLE.firstrow))),0,IF(OFFSET(PLE!$G$14,$M643,BA$13)="",10^12,OFFSET(PLE!$G$14,$M643,BA$13))))</f>
        <v>1000000000000</v>
      </c>
      <c r="BB643" s="182">
        <f ca="1">IF($D643&lt;&gt;"Serviço",0,IF(OR(AND(AUTOEVENTO="Manual",$M643=1),$M643&gt;(ROW(PLE.lastrow)-ROW(PLE.firstrow))),0,IF(OFFSET(PLE!$G$14,$M643,BB$13)="",10^12,OFFSET(PLE!$G$14,$M643,BB$13))))</f>
        <v>1000000000000</v>
      </c>
      <c r="BC643" s="182">
        <f ca="1">IF($D643&lt;&gt;"Serviço",0,IF(OR(AND(AUTOEVENTO="Manual",$M643=1),$M643&gt;(ROW(PLE.lastrow)-ROW(PLE.firstrow))),0,IF(OFFSET(PLE!$G$14,$M643,BC$13)="",10^12,OFFSET(PLE!$G$14,$M643,BC$13))))</f>
        <v>1000000000000</v>
      </c>
      <c r="BD643" s="182">
        <f ca="1">IF($D643&lt;&gt;"Serviço",0,IF(OR(AND(AUTOEVENTO="Manual",$M643=1),$M643&gt;(ROW(PLE.lastrow)-ROW(PLE.firstrow))),0,IF(OFFSET(PLE!$G$14,$M643,BD$13)="",10^12,OFFSET(PLE!$G$14,$M643,BD$13))))</f>
        <v>1000000000000</v>
      </c>
      <c r="BE643" s="182">
        <f ca="1">IF($D643&lt;&gt;"Serviço",0,IF(OR(AND(AUTOEVENTO="Manual",$M643=1),$M643&gt;(ROW(PLE.lastrow)-ROW(PLE.firstrow))),0,IF(OFFSET(PLE!$G$14,$M643,BE$13)="",10^12,OFFSET(PLE!$G$14,$M643,BE$13))))</f>
        <v>1000000000000</v>
      </c>
      <c r="BF643" s="182">
        <f ca="1">IF($D643&lt;&gt;"Serviço",0,IF(OR(AND(AUTOEVENTO="Manual",$M643=1),$M643&gt;(ROW(PLE.lastrow)-ROW(PLE.firstrow))),0,IF(OFFSET(PLE!$G$14,$M643,BF$13)="",10^12,OFFSET(PLE!$G$14,$M643,BF$13))))</f>
        <v>1000000000000</v>
      </c>
      <c r="BG643" s="182">
        <f ca="1">IF($D643&lt;&gt;"Serviço",0,IF(OR(AND(AUTOEVENTO="Manual",$M643=1),$M643&gt;(ROW(PLE.lastrow)-ROW(PLE.firstrow))),0,IF(OFFSET(PLE!$G$14,$M643,BG$13)="",10^12,OFFSET(PLE!$G$14,$M643,BG$13))))</f>
        <v>1000000000000</v>
      </c>
    </row>
    <row r="644" spans="1:59" ht="12.75" x14ac:dyDescent="0.2">
      <c r="A644" s="7" t="str">
        <f t="shared" ca="1" si="17"/>
        <v>593</v>
      </c>
      <c r="B644" s="7">
        <f ca="1">OFFSET(ORÇAMENTO!C$15,ROW(B644)-ROW(B$15),0)</f>
        <v>3</v>
      </c>
      <c r="C644" s="7" t="str">
        <f ca="1">OFFSET(ORÇAMENTO!L$15,ROW(C644)-ROW(C$15),0)</f>
        <v>F</v>
      </c>
      <c r="D644" s="118" t="str">
        <f ca="1">OFFSET(ORÇAMENTO!N$15,ROW(D644)-ROW(D$15),0)</f>
        <v>Nível 3</v>
      </c>
      <c r="E644" s="119" t="str">
        <f ca="1">OFFSET(ORÇAMENTO!O$15,ROW(E644)-ROW(E$15),0)</f>
        <v>1.18.6.</v>
      </c>
      <c r="F644" s="172" t="str">
        <f ca="1">OFFSET(ORÇAMENTO!R$15,ROW(F644)-ROW(F$15),0)</f>
        <v>CABEAMENTO</v>
      </c>
      <c r="G644" s="173" t="str">
        <f ca="1">IF($D644&lt;&gt;"Serviço","",OFFSET(ORÇAMENTO!S$15,ROW(G644)-ROW(G$15),0))</f>
        <v/>
      </c>
      <c r="H644" s="124">
        <f ca="1">IF($D644&lt;&gt;"Serviço",0,IF(ACOMPANHAMENTO="BM",ROUND(OFFSET(ORÇAMENTO!AJ$15,ROW(H644)-ROW(H$15),0),15-13*ORÇAMENTO!$AF$7),SUMPRODUCT(($Q$12:$AA$12&lt;&gt;"")*ROUND($Q644:$AA644,15-13*ORÇAMENTO!$AF$7))))</f>
        <v>0</v>
      </c>
      <c r="I644" s="561"/>
      <c r="K644" s="174"/>
      <c r="L644" s="175" t="s">
        <v>255</v>
      </c>
      <c r="M644" s="176" t="str">
        <f ca="1">IF($D644&lt;&gt;"Serviço","",IF(AUTOEVENTO="manual",$A644,IF(ISERROR(MATCH($A644,$A$15:OFFSET($A644,-1,0),0)),MAX($M$15:OFFSET(M644,-1,0))+1,INDEX($M$15:OFFSET(M644,-1,0),MATCH($A644,$A$15:OFFSET($A644,-1,0),0)))))</f>
        <v/>
      </c>
      <c r="N644" s="177" t="str">
        <f ca="1">IF($D644&lt;&gt;"Serviço","",IF(AUTOEVENTO="Manual",IF($A644=0,"&lt;-- defina o número do agrupador",OFFSET(EVENTOS!$D$14,$A644,0)),OFFSET($F$15,$A644,0)))</f>
        <v/>
      </c>
      <c r="O644" s="178"/>
      <c r="Q644" s="178"/>
      <c r="R644" s="179"/>
      <c r="S644" s="179"/>
      <c r="T644" s="179"/>
      <c r="U644" s="179"/>
      <c r="V644" s="179"/>
      <c r="W644" s="179"/>
      <c r="X644" s="179"/>
      <c r="Y644" s="179"/>
      <c r="Z644" s="180"/>
      <c r="AB644" s="544">
        <f ca="1">IF(AND($D644="Serviço",AB$12&lt;&gt;0,$H644&gt;0,OR(AUTOEVENTO&lt;&gt;"manual",$M644&lt;&gt;1)),
IF(Import.TipoArredondamento&lt;&gt;"TransfereGOV",
ROUND(OFFSET($P644,0,AB$13),15-13*ORÇAMENTO!$AF$7)/$H644*OFFSET(ORÇAMENTO!$X$15,ROW(AB644)-ROW(AB$15),0),
ROUND(ROUND(OFFSET($P644,0,AB$13),15-13*ORÇAMENTO!$AF$7)*OFFSET(ORÇAMENTO!$W$15,ROW(AB644)-ROW(AB$15),0),15-13*ORÇAMENTO!$AF$11)),0)</f>
        <v>0</v>
      </c>
      <c r="AC644" s="545">
        <f ca="1">IF(AND($D644="Serviço",AC$12&lt;&gt;0,$H644&gt;0,OR(AUTOEVENTO&lt;&gt;"manual",$M644&lt;&gt;1)),
IF(Import.TipoArredondamento&lt;&gt;"TransfereGOV",
ROUND(OFFSET($P644,0,AC$13),15-13*ORÇAMENTO!$AF$7)/$H644*OFFSET(ORÇAMENTO!$X$15,ROW(AC644)-ROW(AC$15),0),
ROUND(ROUND(OFFSET($P644,0,AC$13),15-13*ORÇAMENTO!$AF$7)*OFFSET(ORÇAMENTO!$W$15,ROW(AC644)-ROW(AC$15),0),15-13*ORÇAMENTO!$AF$11)),0)</f>
        <v>0</v>
      </c>
      <c r="AD644" s="545">
        <f ca="1">IF(AND($D644="Serviço",AD$12&lt;&gt;0,$H644&gt;0,OR(AUTOEVENTO&lt;&gt;"manual",$M644&lt;&gt;1)),
IF(Import.TipoArredondamento&lt;&gt;"TransfereGOV",
ROUND(OFFSET($P644,0,AD$13),15-13*ORÇAMENTO!$AF$7)/$H644*OFFSET(ORÇAMENTO!$X$15,ROW(AD644)-ROW(AD$15),0),
ROUND(ROUND(OFFSET($P644,0,AD$13),15-13*ORÇAMENTO!$AF$7)*OFFSET(ORÇAMENTO!$W$15,ROW(AD644)-ROW(AD$15),0),15-13*ORÇAMENTO!$AF$11)),0)</f>
        <v>0</v>
      </c>
      <c r="AE644" s="545">
        <f ca="1">IF(AND($D644="Serviço",AE$12&lt;&gt;0,$H644&gt;0,OR(AUTOEVENTO&lt;&gt;"manual",$M644&lt;&gt;1)),
IF(Import.TipoArredondamento&lt;&gt;"TransfereGOV",
ROUND(OFFSET($P644,0,AE$13),15-13*ORÇAMENTO!$AF$7)/$H644*OFFSET(ORÇAMENTO!$X$15,ROW(AE644)-ROW(AE$15),0),
ROUND(ROUND(OFFSET($P644,0,AE$13),15-13*ORÇAMENTO!$AF$7)*OFFSET(ORÇAMENTO!$W$15,ROW(AE644)-ROW(AE$15),0),15-13*ORÇAMENTO!$AF$11)),0)</f>
        <v>0</v>
      </c>
      <c r="AF644" s="545">
        <f ca="1">IF(AND($D644="Serviço",AF$12&lt;&gt;0,$H644&gt;0,OR(AUTOEVENTO&lt;&gt;"manual",$M644&lt;&gt;1)),
IF(Import.TipoArredondamento&lt;&gt;"TransfereGOV",
ROUND(OFFSET($P644,0,AF$13),15-13*ORÇAMENTO!$AF$7)/$H644*OFFSET(ORÇAMENTO!$X$15,ROW(AF644)-ROW(AF$15),0),
ROUND(ROUND(OFFSET($P644,0,AF$13),15-13*ORÇAMENTO!$AF$7)*OFFSET(ORÇAMENTO!$W$15,ROW(AF644)-ROW(AF$15),0),15-13*ORÇAMENTO!$AF$11)),0)</f>
        <v>0</v>
      </c>
      <c r="AG644" s="545">
        <f ca="1">IF(AND($D644="Serviço",AG$12&lt;&gt;0,$H644&gt;0,OR(AUTOEVENTO&lt;&gt;"manual",$M644&lt;&gt;1)),
IF(Import.TipoArredondamento&lt;&gt;"TransfereGOV",
ROUND(OFFSET($P644,0,AG$13),15-13*ORÇAMENTO!$AF$7)/$H644*OFFSET(ORÇAMENTO!$X$15,ROW(AG644)-ROW(AG$15),0),
ROUND(ROUND(OFFSET($P644,0,AG$13),15-13*ORÇAMENTO!$AF$7)*OFFSET(ORÇAMENTO!$W$15,ROW(AG644)-ROW(AG$15),0),15-13*ORÇAMENTO!$AF$11)),0)</f>
        <v>0</v>
      </c>
      <c r="AH644" s="545">
        <f ca="1">IF(AND($D644="Serviço",AH$12&lt;&gt;0,$H644&gt;0,OR(AUTOEVENTO&lt;&gt;"manual",$M644&lt;&gt;1)),
IF(Import.TipoArredondamento&lt;&gt;"TransfereGOV",
ROUND(OFFSET($P644,0,AH$13),15-13*ORÇAMENTO!$AF$7)/$H644*OFFSET(ORÇAMENTO!$X$15,ROW(AH644)-ROW(AH$15),0),
ROUND(ROUND(OFFSET($P644,0,AH$13),15-13*ORÇAMENTO!$AF$7)*OFFSET(ORÇAMENTO!$W$15,ROW(AH644)-ROW(AH$15),0),15-13*ORÇAMENTO!$AF$11)),0)</f>
        <v>0</v>
      </c>
      <c r="AI644" s="545">
        <f ca="1">IF(AND($D644="Serviço",AI$12&lt;&gt;0,$H644&gt;0,OR(AUTOEVENTO&lt;&gt;"manual",$M644&lt;&gt;1)),
IF(Import.TipoArredondamento&lt;&gt;"TransfereGOV",
ROUND(OFFSET($P644,0,AI$13),15-13*ORÇAMENTO!$AF$7)/$H644*OFFSET(ORÇAMENTO!$X$15,ROW(AI644)-ROW(AI$15),0),
ROUND(ROUND(OFFSET($P644,0,AI$13),15-13*ORÇAMENTO!$AF$7)*OFFSET(ORÇAMENTO!$W$15,ROW(AI644)-ROW(AI$15),0),15-13*ORÇAMENTO!$AF$11)),0)</f>
        <v>0</v>
      </c>
      <c r="AJ644" s="545">
        <f ca="1">IF(AND($D644="Serviço",AJ$12&lt;&gt;0,$H644&gt;0,OR(AUTOEVENTO&lt;&gt;"manual",$M644&lt;&gt;1)),
IF(Import.TipoArredondamento&lt;&gt;"TransfereGOV",
ROUND(OFFSET($P644,0,AJ$13),15-13*ORÇAMENTO!$AF$7)/$H644*OFFSET(ORÇAMENTO!$X$15,ROW(AJ644)-ROW(AJ$15),0),
ROUND(ROUND(OFFSET($P644,0,AJ$13),15-13*ORÇAMENTO!$AF$7)*OFFSET(ORÇAMENTO!$W$15,ROW(AJ644)-ROW(AJ$15),0),15-13*ORÇAMENTO!$AF$11)),0)</f>
        <v>0</v>
      </c>
      <c r="AK644" s="546">
        <f ca="1">IF(AND($D644="Serviço",AK$12&lt;&gt;0,$H644&gt;0,OR(AUTOEVENTO&lt;&gt;"manual",$M644&lt;&gt;1)),
IF(Import.TipoArredondamento&lt;&gt;"TransfereGOV",
ROUND(OFFSET($P644,0,AK$13),15-13*ORÇAMENTO!$AF$7)/$H644*OFFSET(ORÇAMENTO!$X$15,ROW(AK644)-ROW(AK$15),0),
ROUND(ROUND(OFFSET($P644,0,AK$13),15-13*ORÇAMENTO!$AF$7)*OFFSET(ORÇAMENTO!$W$15,ROW(AK644)-ROW(AK$15),0),15-13*ORÇAMENTO!$AF$11)),0)</f>
        <v>0</v>
      </c>
      <c r="AM644" s="181">
        <f ca="1">IF($D644&lt;&gt;"Serviço",0,IF(AND(AUTOEVENTO="Manual",$M644=1),0,IF(OFFSET(CRONOPLE!$F$14,$M644,AM$13)="",10^12,OFFSET(CRONOPLE!$F$14,$M644,AM$13))))</f>
        <v>0</v>
      </c>
      <c r="AN644" s="181">
        <f ca="1">IF($D644&lt;&gt;"Serviço",0,IF(AND(AUTOEVENTO="Manual",$M644=1),0,IF(OFFSET(CRONOPLE!$F$14,$M644,AN$13)="",10^12,OFFSET(CRONOPLE!$F$14,$M644,AN$13))))</f>
        <v>0</v>
      </c>
      <c r="AO644" s="181">
        <f ca="1">IF($D644&lt;&gt;"Serviço",0,IF(AND(AUTOEVENTO="Manual",$M644=1),0,IF(OFFSET(CRONOPLE!$F$14,$M644,AO$13)="",10^12,OFFSET(CRONOPLE!$F$14,$M644,AO$13))))</f>
        <v>0</v>
      </c>
      <c r="AP644" s="181">
        <f ca="1">IF($D644&lt;&gt;"Serviço",0,IF(AND(AUTOEVENTO="Manual",$M644=1),0,IF(OFFSET(CRONOPLE!$F$14,$M644,AP$13)="",10^12,OFFSET(CRONOPLE!$F$14,$M644,AP$13))))</f>
        <v>0</v>
      </c>
      <c r="AQ644" s="181">
        <f ca="1">IF($D644&lt;&gt;"Serviço",0,IF(AND(AUTOEVENTO="Manual",$M644=1),0,IF(OFFSET(CRONOPLE!$F$14,$M644,AQ$13)="",10^12,OFFSET(CRONOPLE!$F$14,$M644,AQ$13))))</f>
        <v>0</v>
      </c>
      <c r="AR644" s="181">
        <f ca="1">IF($D644&lt;&gt;"Serviço",0,IF(AND(AUTOEVENTO="Manual",$M644=1),0,IF(OFFSET(CRONOPLE!$F$14,$M644,AR$13)="",10^12,OFFSET(CRONOPLE!$F$14,$M644,AR$13))))</f>
        <v>0</v>
      </c>
      <c r="AS644" s="181">
        <f ca="1">IF($D644&lt;&gt;"Serviço",0,IF(AND(AUTOEVENTO="Manual",$M644=1),0,IF(OFFSET(CRONOPLE!$F$14,$M644,AS$13)="",10^12,OFFSET(CRONOPLE!$F$14,$M644,AS$13))))</f>
        <v>0</v>
      </c>
      <c r="AT644" s="181">
        <f ca="1">IF($D644&lt;&gt;"Serviço",0,IF(AND(AUTOEVENTO="Manual",$M644=1),0,IF(OFFSET(CRONOPLE!$F$14,$M644,AT$13)="",10^12,OFFSET(CRONOPLE!$F$14,$M644,AT$13))))</f>
        <v>0</v>
      </c>
      <c r="AU644" s="181">
        <f ca="1">IF($D644&lt;&gt;"Serviço",0,IF(AND(AUTOEVENTO="Manual",$M644=1),0,IF(OFFSET(CRONOPLE!$F$14,$M644,AU$13)="",10^12,OFFSET(CRONOPLE!$F$14,$M644,AU$13))))</f>
        <v>0</v>
      </c>
      <c r="AV644" s="181">
        <f ca="1">IF($D644&lt;&gt;"Serviço",0,IF(AND(AUTOEVENTO="Manual",$M644=1),0,IF(OFFSET(CRONOPLE!$F$14,$M644,AV$13)="",10^12,OFFSET(CRONOPLE!$F$14,$M644,AV$13))))</f>
        <v>0</v>
      </c>
      <c r="AX644" s="182">
        <f ca="1">IF($D644&lt;&gt;"Serviço",0,IF(OR(AND(AUTOEVENTO="Manual",$M644=1),$M644&gt;(ROW(PLE.lastrow)-ROW(PLE.firstrow))),0,IF(OFFSET(PLE!$G$14,$M644,AX$13)="",10^12,OFFSET(PLE!$G$14,$M644,AX$13))))</f>
        <v>0</v>
      </c>
      <c r="AY644" s="182">
        <f ca="1">IF($D644&lt;&gt;"Serviço",0,IF(OR(AND(AUTOEVENTO="Manual",$M644=1),$M644&gt;(ROW(PLE.lastrow)-ROW(PLE.firstrow))),0,IF(OFFSET(PLE!$G$14,$M644,AY$13)="",10^12,OFFSET(PLE!$G$14,$M644,AY$13))))</f>
        <v>0</v>
      </c>
      <c r="AZ644" s="182">
        <f ca="1">IF($D644&lt;&gt;"Serviço",0,IF(OR(AND(AUTOEVENTO="Manual",$M644=1),$M644&gt;(ROW(PLE.lastrow)-ROW(PLE.firstrow))),0,IF(OFFSET(PLE!$G$14,$M644,AZ$13)="",10^12,OFFSET(PLE!$G$14,$M644,AZ$13))))</f>
        <v>0</v>
      </c>
      <c r="BA644" s="182">
        <f ca="1">IF($D644&lt;&gt;"Serviço",0,IF(OR(AND(AUTOEVENTO="Manual",$M644=1),$M644&gt;(ROW(PLE.lastrow)-ROW(PLE.firstrow))),0,IF(OFFSET(PLE!$G$14,$M644,BA$13)="",10^12,OFFSET(PLE!$G$14,$M644,BA$13))))</f>
        <v>0</v>
      </c>
      <c r="BB644" s="182">
        <f ca="1">IF($D644&lt;&gt;"Serviço",0,IF(OR(AND(AUTOEVENTO="Manual",$M644=1),$M644&gt;(ROW(PLE.lastrow)-ROW(PLE.firstrow))),0,IF(OFFSET(PLE!$G$14,$M644,BB$13)="",10^12,OFFSET(PLE!$G$14,$M644,BB$13))))</f>
        <v>0</v>
      </c>
      <c r="BC644" s="182">
        <f ca="1">IF($D644&lt;&gt;"Serviço",0,IF(OR(AND(AUTOEVENTO="Manual",$M644=1),$M644&gt;(ROW(PLE.lastrow)-ROW(PLE.firstrow))),0,IF(OFFSET(PLE!$G$14,$M644,BC$13)="",10^12,OFFSET(PLE!$G$14,$M644,BC$13))))</f>
        <v>0</v>
      </c>
      <c r="BD644" s="182">
        <f ca="1">IF($D644&lt;&gt;"Serviço",0,IF(OR(AND(AUTOEVENTO="Manual",$M644=1),$M644&gt;(ROW(PLE.lastrow)-ROW(PLE.firstrow))),0,IF(OFFSET(PLE!$G$14,$M644,BD$13)="",10^12,OFFSET(PLE!$G$14,$M644,BD$13))))</f>
        <v>0</v>
      </c>
      <c r="BE644" s="182">
        <f ca="1">IF($D644&lt;&gt;"Serviço",0,IF(OR(AND(AUTOEVENTO="Manual",$M644=1),$M644&gt;(ROW(PLE.lastrow)-ROW(PLE.firstrow))),0,IF(OFFSET(PLE!$G$14,$M644,BE$13)="",10^12,OFFSET(PLE!$G$14,$M644,BE$13))))</f>
        <v>0</v>
      </c>
      <c r="BF644" s="182">
        <f ca="1">IF($D644&lt;&gt;"Serviço",0,IF(OR(AND(AUTOEVENTO="Manual",$M644=1),$M644&gt;(ROW(PLE.lastrow)-ROW(PLE.firstrow))),0,IF(OFFSET(PLE!$G$14,$M644,BF$13)="",10^12,OFFSET(PLE!$G$14,$M644,BF$13))))</f>
        <v>0</v>
      </c>
      <c r="BG644" s="182">
        <f ca="1">IF($D644&lt;&gt;"Serviço",0,IF(OR(AND(AUTOEVENTO="Manual",$M644=1),$M644&gt;(ROW(PLE.lastrow)-ROW(PLE.firstrow))),0,IF(OFFSET(PLE!$G$14,$M644,BG$13)="",10^12,OFFSET(PLE!$G$14,$M644,BG$13))))</f>
        <v>0</v>
      </c>
    </row>
    <row r="645" spans="1:59" ht="25.5" x14ac:dyDescent="0.2">
      <c r="A645" s="7" t="str">
        <f t="shared" ca="1" si="17"/>
        <v>593</v>
      </c>
      <c r="B645" s="7" t="str">
        <f ca="1">OFFSET(ORÇAMENTO!C$15,ROW(B645)-ROW(B$15),0)</f>
        <v>S</v>
      </c>
      <c r="C645" s="7" t="str">
        <f ca="1">OFFSET(ORÇAMENTO!L$15,ROW(C645)-ROW(C$15),0)</f>
        <v/>
      </c>
      <c r="D645" s="118" t="str">
        <f ca="1">OFFSET(ORÇAMENTO!N$15,ROW(D645)-ROW(D$15),0)</f>
        <v>Serviço</v>
      </c>
      <c r="E645" s="119" t="str">
        <f ca="1">OFFSET(ORÇAMENTO!O$15,ROW(E645)-ROW(E$15),0)</f>
        <v>-</v>
      </c>
      <c r="F645" s="172" t="str">
        <f ca="1">OFFSET(ORÇAMENTO!R$15,ROW(F645)-ROW(F$15),0)</f>
        <v>(abra o arquivo 'Referência 02-2025.xlsm)</v>
      </c>
      <c r="G645" s="173" t="str">
        <f ca="1">IF($D645&lt;&gt;"Serviço","",OFFSET(ORÇAMENTO!S$15,ROW(G645)-ROW(G$15),0))</f>
        <v>-</v>
      </c>
      <c r="H645" s="124">
        <f ca="1">IF($D645&lt;&gt;"Serviço",0,IF(ACOMPANHAMENTO="BM",ROUND(OFFSET(ORÇAMENTO!AJ$15,ROW(H645)-ROW(H$15),0),15-13*ORÇAMENTO!$AF$7),SUMPRODUCT(($Q$12:$AA$12&lt;&gt;"")*ROUND($Q645:$AA645,15-13*ORÇAMENTO!$AF$7))))</f>
        <v>1209.5</v>
      </c>
      <c r="I645" s="561" t="s">
        <v>890</v>
      </c>
      <c r="K645" s="174"/>
      <c r="L645" s="175" t="s">
        <v>255</v>
      </c>
      <c r="M645" s="176">
        <f ca="1">IF($D645&lt;&gt;"Serviço","",IF(AUTOEVENTO="manual",$A645,IF(ISERROR(MATCH($A645,$A$15:OFFSET($A645,-1,0),0)),MAX($M$15:OFFSET(M645,-1,0))+1,INDEX($M$15:OFFSET(M645,-1,0),MATCH($A645,$A$15:OFFSET($A645,-1,0),0)))))</f>
        <v>19</v>
      </c>
      <c r="N645" s="177" t="str">
        <f ca="1">IF($D645&lt;&gt;"Serviço","",IF(AUTOEVENTO="Manual",IF($A645=0,"&lt;-- defina o número do agrupador",OFFSET(EVENTOS!$D$14,$A645,0)),OFFSET($F$15,$A645,0)))</f>
        <v>INSTALAÇÕES DE CABEAMENTO ESTRUTURADO</v>
      </c>
      <c r="O645" s="178"/>
      <c r="Q645" s="178"/>
      <c r="R645" s="179"/>
      <c r="S645" s="179"/>
      <c r="T645" s="179"/>
      <c r="U645" s="179"/>
      <c r="V645" s="179"/>
      <c r="W645" s="179"/>
      <c r="X645" s="179"/>
      <c r="Y645" s="179"/>
      <c r="Z645" s="180"/>
      <c r="AB645" s="544">
        <f ca="1">IF(AND($D645="Serviço",AB$12&lt;&gt;0,$H645&gt;0,OR(AUTOEVENTO&lt;&gt;"manual",$M645&lt;&gt;1)),
IF(Import.TipoArredondamento&lt;&gt;"TransfereGOV",
ROUND(OFFSET($P645,0,AB$13),15-13*ORÇAMENTO!$AF$7)/$H645*OFFSET(ORÇAMENTO!$X$15,ROW(AB645)-ROW(AB$15),0),
ROUND(ROUND(OFFSET($P645,0,AB$13),15-13*ORÇAMENTO!$AF$7)*OFFSET(ORÇAMENTO!$W$15,ROW(AB645)-ROW(AB$15),0),15-13*ORÇAMENTO!$AF$11)),0)</f>
        <v>0</v>
      </c>
      <c r="AC645" s="545">
        <f ca="1">IF(AND($D645="Serviço",AC$12&lt;&gt;0,$H645&gt;0,OR(AUTOEVENTO&lt;&gt;"manual",$M645&lt;&gt;1)),
IF(Import.TipoArredondamento&lt;&gt;"TransfereGOV",
ROUND(OFFSET($P645,0,AC$13),15-13*ORÇAMENTO!$AF$7)/$H645*OFFSET(ORÇAMENTO!$X$15,ROW(AC645)-ROW(AC$15),0),
ROUND(ROUND(OFFSET($P645,0,AC$13),15-13*ORÇAMENTO!$AF$7)*OFFSET(ORÇAMENTO!$W$15,ROW(AC645)-ROW(AC$15),0),15-13*ORÇAMENTO!$AF$11)),0)</f>
        <v>0</v>
      </c>
      <c r="AD645" s="545">
        <f ca="1">IF(AND($D645="Serviço",AD$12&lt;&gt;0,$H645&gt;0,OR(AUTOEVENTO&lt;&gt;"manual",$M645&lt;&gt;1)),
IF(Import.TipoArredondamento&lt;&gt;"TransfereGOV",
ROUND(OFFSET($P645,0,AD$13),15-13*ORÇAMENTO!$AF$7)/$H645*OFFSET(ORÇAMENTO!$X$15,ROW(AD645)-ROW(AD$15),0),
ROUND(ROUND(OFFSET($P645,0,AD$13),15-13*ORÇAMENTO!$AF$7)*OFFSET(ORÇAMENTO!$W$15,ROW(AD645)-ROW(AD$15),0),15-13*ORÇAMENTO!$AF$11)),0)</f>
        <v>0</v>
      </c>
      <c r="AE645" s="545">
        <f ca="1">IF(AND($D645="Serviço",AE$12&lt;&gt;0,$H645&gt;0,OR(AUTOEVENTO&lt;&gt;"manual",$M645&lt;&gt;1)),
IF(Import.TipoArredondamento&lt;&gt;"TransfereGOV",
ROUND(OFFSET($P645,0,AE$13),15-13*ORÇAMENTO!$AF$7)/$H645*OFFSET(ORÇAMENTO!$X$15,ROW(AE645)-ROW(AE$15),0),
ROUND(ROUND(OFFSET($P645,0,AE$13),15-13*ORÇAMENTO!$AF$7)*OFFSET(ORÇAMENTO!$W$15,ROW(AE645)-ROW(AE$15),0),15-13*ORÇAMENTO!$AF$11)),0)</f>
        <v>0</v>
      </c>
      <c r="AF645" s="545">
        <f ca="1">IF(AND($D645="Serviço",AF$12&lt;&gt;0,$H645&gt;0,OR(AUTOEVENTO&lt;&gt;"manual",$M645&lt;&gt;1)),
IF(Import.TipoArredondamento&lt;&gt;"TransfereGOV",
ROUND(OFFSET($P645,0,AF$13),15-13*ORÇAMENTO!$AF$7)/$H645*OFFSET(ORÇAMENTO!$X$15,ROW(AF645)-ROW(AF$15),0),
ROUND(ROUND(OFFSET($P645,0,AF$13),15-13*ORÇAMENTO!$AF$7)*OFFSET(ORÇAMENTO!$W$15,ROW(AF645)-ROW(AF$15),0),15-13*ORÇAMENTO!$AF$11)),0)</f>
        <v>0</v>
      </c>
      <c r="AG645" s="545">
        <f ca="1">IF(AND($D645="Serviço",AG$12&lt;&gt;0,$H645&gt;0,OR(AUTOEVENTO&lt;&gt;"manual",$M645&lt;&gt;1)),
IF(Import.TipoArredondamento&lt;&gt;"TransfereGOV",
ROUND(OFFSET($P645,0,AG$13),15-13*ORÇAMENTO!$AF$7)/$H645*OFFSET(ORÇAMENTO!$X$15,ROW(AG645)-ROW(AG$15),0),
ROUND(ROUND(OFFSET($P645,0,AG$13),15-13*ORÇAMENTO!$AF$7)*OFFSET(ORÇAMENTO!$W$15,ROW(AG645)-ROW(AG$15),0),15-13*ORÇAMENTO!$AF$11)),0)</f>
        <v>0</v>
      </c>
      <c r="AH645" s="545">
        <f ca="1">IF(AND($D645="Serviço",AH$12&lt;&gt;0,$H645&gt;0,OR(AUTOEVENTO&lt;&gt;"manual",$M645&lt;&gt;1)),
IF(Import.TipoArredondamento&lt;&gt;"TransfereGOV",
ROUND(OFFSET($P645,0,AH$13),15-13*ORÇAMENTO!$AF$7)/$H645*OFFSET(ORÇAMENTO!$X$15,ROW(AH645)-ROW(AH$15),0),
ROUND(ROUND(OFFSET($P645,0,AH$13),15-13*ORÇAMENTO!$AF$7)*OFFSET(ORÇAMENTO!$W$15,ROW(AH645)-ROW(AH$15),0),15-13*ORÇAMENTO!$AF$11)),0)</f>
        <v>0</v>
      </c>
      <c r="AI645" s="545">
        <f ca="1">IF(AND($D645="Serviço",AI$12&lt;&gt;0,$H645&gt;0,OR(AUTOEVENTO&lt;&gt;"manual",$M645&lt;&gt;1)),
IF(Import.TipoArredondamento&lt;&gt;"TransfereGOV",
ROUND(OFFSET($P645,0,AI$13),15-13*ORÇAMENTO!$AF$7)/$H645*OFFSET(ORÇAMENTO!$X$15,ROW(AI645)-ROW(AI$15),0),
ROUND(ROUND(OFFSET($P645,0,AI$13),15-13*ORÇAMENTO!$AF$7)*OFFSET(ORÇAMENTO!$W$15,ROW(AI645)-ROW(AI$15),0),15-13*ORÇAMENTO!$AF$11)),0)</f>
        <v>0</v>
      </c>
      <c r="AJ645" s="545">
        <f ca="1">IF(AND($D645="Serviço",AJ$12&lt;&gt;0,$H645&gt;0,OR(AUTOEVENTO&lt;&gt;"manual",$M645&lt;&gt;1)),
IF(Import.TipoArredondamento&lt;&gt;"TransfereGOV",
ROUND(OFFSET($P645,0,AJ$13),15-13*ORÇAMENTO!$AF$7)/$H645*OFFSET(ORÇAMENTO!$X$15,ROW(AJ645)-ROW(AJ$15),0),
ROUND(ROUND(OFFSET($P645,0,AJ$13),15-13*ORÇAMENTO!$AF$7)*OFFSET(ORÇAMENTO!$W$15,ROW(AJ645)-ROW(AJ$15),0),15-13*ORÇAMENTO!$AF$11)),0)</f>
        <v>0</v>
      </c>
      <c r="AK645" s="546">
        <f ca="1">IF(AND($D645="Serviço",AK$12&lt;&gt;0,$H645&gt;0,OR(AUTOEVENTO&lt;&gt;"manual",$M645&lt;&gt;1)),
IF(Import.TipoArredondamento&lt;&gt;"TransfereGOV",
ROUND(OFFSET($P645,0,AK$13),15-13*ORÇAMENTO!$AF$7)/$H645*OFFSET(ORÇAMENTO!$X$15,ROW(AK645)-ROW(AK$15),0),
ROUND(ROUND(OFFSET($P645,0,AK$13),15-13*ORÇAMENTO!$AF$7)*OFFSET(ORÇAMENTO!$W$15,ROW(AK645)-ROW(AK$15),0),15-13*ORÇAMENTO!$AF$11)),0)</f>
        <v>0</v>
      </c>
      <c r="AM645" s="181">
        <f ca="1">IF($D645&lt;&gt;"Serviço",0,IF(AND(AUTOEVENTO="Manual",$M645=1),0,IF(OFFSET(CRONOPLE!$F$14,$M645,AM$13)="",10^12,OFFSET(CRONOPLE!$F$14,$M645,AM$13))))</f>
        <v>1000000000000</v>
      </c>
      <c r="AN645" s="181">
        <f ca="1">IF($D645&lt;&gt;"Serviço",0,IF(AND(AUTOEVENTO="Manual",$M645=1),0,IF(OFFSET(CRONOPLE!$F$14,$M645,AN$13)="",10^12,OFFSET(CRONOPLE!$F$14,$M645,AN$13))))</f>
        <v>1000000000000</v>
      </c>
      <c r="AO645" s="181">
        <f ca="1">IF($D645&lt;&gt;"Serviço",0,IF(AND(AUTOEVENTO="Manual",$M645=1),0,IF(OFFSET(CRONOPLE!$F$14,$M645,AO$13)="",10^12,OFFSET(CRONOPLE!$F$14,$M645,AO$13))))</f>
        <v>1000000000000</v>
      </c>
      <c r="AP645" s="181">
        <f ca="1">IF($D645&lt;&gt;"Serviço",0,IF(AND(AUTOEVENTO="Manual",$M645=1),0,IF(OFFSET(CRONOPLE!$F$14,$M645,AP$13)="",10^12,OFFSET(CRONOPLE!$F$14,$M645,AP$13))))</f>
        <v>1000000000000</v>
      </c>
      <c r="AQ645" s="181">
        <f ca="1">IF($D645&lt;&gt;"Serviço",0,IF(AND(AUTOEVENTO="Manual",$M645=1),0,IF(OFFSET(CRONOPLE!$F$14,$M645,AQ$13)="",10^12,OFFSET(CRONOPLE!$F$14,$M645,AQ$13))))</f>
        <v>1000000000000</v>
      </c>
      <c r="AR645" s="181">
        <f ca="1">IF($D645&lt;&gt;"Serviço",0,IF(AND(AUTOEVENTO="Manual",$M645=1),0,IF(OFFSET(CRONOPLE!$F$14,$M645,AR$13)="",10^12,OFFSET(CRONOPLE!$F$14,$M645,AR$13))))</f>
        <v>1000000000000</v>
      </c>
      <c r="AS645" s="181">
        <f ca="1">IF($D645&lt;&gt;"Serviço",0,IF(AND(AUTOEVENTO="Manual",$M645=1),0,IF(OFFSET(CRONOPLE!$F$14,$M645,AS$13)="",10^12,OFFSET(CRONOPLE!$F$14,$M645,AS$13))))</f>
        <v>1000000000000</v>
      </c>
      <c r="AT645" s="181">
        <f ca="1">IF($D645&lt;&gt;"Serviço",0,IF(AND(AUTOEVENTO="Manual",$M645=1),0,IF(OFFSET(CRONOPLE!$F$14,$M645,AT$13)="",10^12,OFFSET(CRONOPLE!$F$14,$M645,AT$13))))</f>
        <v>1000000000000</v>
      </c>
      <c r="AU645" s="181">
        <f ca="1">IF($D645&lt;&gt;"Serviço",0,IF(AND(AUTOEVENTO="Manual",$M645=1),0,IF(OFFSET(CRONOPLE!$F$14,$M645,AU$13)="",10^12,OFFSET(CRONOPLE!$F$14,$M645,AU$13))))</f>
        <v>1000000000000</v>
      </c>
      <c r="AV645" s="181">
        <f ca="1">IF($D645&lt;&gt;"Serviço",0,IF(AND(AUTOEVENTO="Manual",$M645=1),0,IF(OFFSET(CRONOPLE!$F$14,$M645,AV$13)="",10^12,OFFSET(CRONOPLE!$F$14,$M645,AV$13))))</f>
        <v>1000000000000</v>
      </c>
      <c r="AX645" s="182">
        <f ca="1">IF($D645&lt;&gt;"Serviço",0,IF(OR(AND(AUTOEVENTO="Manual",$M645=1),$M645&gt;(ROW(PLE.lastrow)-ROW(PLE.firstrow))),0,IF(OFFSET(PLE!$G$14,$M645,AX$13)="",10^12,OFFSET(PLE!$G$14,$M645,AX$13))))</f>
        <v>1000000000000</v>
      </c>
      <c r="AY645" s="182">
        <f ca="1">IF($D645&lt;&gt;"Serviço",0,IF(OR(AND(AUTOEVENTO="Manual",$M645=1),$M645&gt;(ROW(PLE.lastrow)-ROW(PLE.firstrow))),0,IF(OFFSET(PLE!$G$14,$M645,AY$13)="",10^12,OFFSET(PLE!$G$14,$M645,AY$13))))</f>
        <v>1000000000000</v>
      </c>
      <c r="AZ645" s="182">
        <f ca="1">IF($D645&lt;&gt;"Serviço",0,IF(OR(AND(AUTOEVENTO="Manual",$M645=1),$M645&gt;(ROW(PLE.lastrow)-ROW(PLE.firstrow))),0,IF(OFFSET(PLE!$G$14,$M645,AZ$13)="",10^12,OFFSET(PLE!$G$14,$M645,AZ$13))))</f>
        <v>1000000000000</v>
      </c>
      <c r="BA645" s="182">
        <f ca="1">IF($D645&lt;&gt;"Serviço",0,IF(OR(AND(AUTOEVENTO="Manual",$M645=1),$M645&gt;(ROW(PLE.lastrow)-ROW(PLE.firstrow))),0,IF(OFFSET(PLE!$G$14,$M645,BA$13)="",10^12,OFFSET(PLE!$G$14,$M645,BA$13))))</f>
        <v>1000000000000</v>
      </c>
      <c r="BB645" s="182">
        <f ca="1">IF($D645&lt;&gt;"Serviço",0,IF(OR(AND(AUTOEVENTO="Manual",$M645=1),$M645&gt;(ROW(PLE.lastrow)-ROW(PLE.firstrow))),0,IF(OFFSET(PLE!$G$14,$M645,BB$13)="",10^12,OFFSET(PLE!$G$14,$M645,BB$13))))</f>
        <v>1000000000000</v>
      </c>
      <c r="BC645" s="182">
        <f ca="1">IF($D645&lt;&gt;"Serviço",0,IF(OR(AND(AUTOEVENTO="Manual",$M645=1),$M645&gt;(ROW(PLE.lastrow)-ROW(PLE.firstrow))),0,IF(OFFSET(PLE!$G$14,$M645,BC$13)="",10^12,OFFSET(PLE!$G$14,$M645,BC$13))))</f>
        <v>1000000000000</v>
      </c>
      <c r="BD645" s="182">
        <f ca="1">IF($D645&lt;&gt;"Serviço",0,IF(OR(AND(AUTOEVENTO="Manual",$M645=1),$M645&gt;(ROW(PLE.lastrow)-ROW(PLE.firstrow))),0,IF(OFFSET(PLE!$G$14,$M645,BD$13)="",10^12,OFFSET(PLE!$G$14,$M645,BD$13))))</f>
        <v>1000000000000</v>
      </c>
      <c r="BE645" s="182">
        <f ca="1">IF($D645&lt;&gt;"Serviço",0,IF(OR(AND(AUTOEVENTO="Manual",$M645=1),$M645&gt;(ROW(PLE.lastrow)-ROW(PLE.firstrow))),0,IF(OFFSET(PLE!$G$14,$M645,BE$13)="",10^12,OFFSET(PLE!$G$14,$M645,BE$13))))</f>
        <v>1000000000000</v>
      </c>
      <c r="BF645" s="182">
        <f ca="1">IF($D645&lt;&gt;"Serviço",0,IF(OR(AND(AUTOEVENTO="Manual",$M645=1),$M645&gt;(ROW(PLE.lastrow)-ROW(PLE.firstrow))),0,IF(OFFSET(PLE!$G$14,$M645,BF$13)="",10^12,OFFSET(PLE!$G$14,$M645,BF$13))))</f>
        <v>1000000000000</v>
      </c>
      <c r="BG645" s="182">
        <f ca="1">IF($D645&lt;&gt;"Serviço",0,IF(OR(AND(AUTOEVENTO="Manual",$M645=1),$M645&gt;(ROW(PLE.lastrow)-ROW(PLE.firstrow))),0,IF(OFFSET(PLE!$G$14,$M645,BG$13)="",10^12,OFFSET(PLE!$G$14,$M645,BG$13))))</f>
        <v>1000000000000</v>
      </c>
    </row>
    <row r="646" spans="1:59" ht="25.5" x14ac:dyDescent="0.2">
      <c r="A646" s="7" t="str">
        <f t="shared" ca="1" si="17"/>
        <v>631.</v>
      </c>
      <c r="B646" s="7">
        <f ca="1">OFFSET(ORÇAMENTO!C$15,ROW(B646)-ROW(B$15),0)</f>
        <v>2</v>
      </c>
      <c r="C646" s="7" t="str">
        <f ca="1">OFFSET(ORÇAMENTO!L$15,ROW(C646)-ROW(C$15),0)</f>
        <v>F</v>
      </c>
      <c r="D646" s="118" t="str">
        <f ca="1">OFFSET(ORÇAMENTO!N$15,ROW(D646)-ROW(D$15),0)</f>
        <v>Nível 2</v>
      </c>
      <c r="E646" s="119" t="str">
        <f ca="1">OFFSET(ORÇAMENTO!O$15,ROW(E646)-ROW(E$15),0)</f>
        <v>1.19.</v>
      </c>
      <c r="F646" s="172" t="str">
        <f ca="1">OFFSET(ORÇAMENTO!R$15,ROW(F646)-ROW(F$15),0)</f>
        <v>SISTEMA DE PROTEÇÃO CONTRA DESCARGAS ATMOSFÉRICAS (SPDA)</v>
      </c>
      <c r="G646" s="173" t="str">
        <f ca="1">IF($D646&lt;&gt;"Serviço","",OFFSET(ORÇAMENTO!S$15,ROW(G646)-ROW(G$15),0))</f>
        <v/>
      </c>
      <c r="H646" s="124">
        <f ca="1">IF($D646&lt;&gt;"Serviço",0,IF(ACOMPANHAMENTO="BM",ROUND(OFFSET(ORÇAMENTO!AJ$15,ROW(H646)-ROW(H$15),0),15-13*ORÇAMENTO!$AF$7),SUMPRODUCT(($Q$12:$AA$12&lt;&gt;"")*ROUND($Q646:$AA646,15-13*ORÇAMENTO!$AF$7))))</f>
        <v>0</v>
      </c>
      <c r="I646" s="561"/>
      <c r="K646" s="174"/>
      <c r="L646" s="175" t="s">
        <v>255</v>
      </c>
      <c r="M646" s="176" t="str">
        <f ca="1">IF($D646&lt;&gt;"Serviço","",IF(AUTOEVENTO="manual",$A646,IF(ISERROR(MATCH($A646,$A$15:OFFSET($A646,-1,0),0)),MAX($M$15:OFFSET(M646,-1,0))+1,INDEX($M$15:OFFSET(M646,-1,0),MATCH($A646,$A$15:OFFSET($A646,-1,0),0)))))</f>
        <v/>
      </c>
      <c r="N646" s="177" t="str">
        <f ca="1">IF($D646&lt;&gt;"Serviço","",IF(AUTOEVENTO="Manual",IF($A646=0,"&lt;-- defina o número do agrupador",OFFSET(EVENTOS!$D$14,$A646,0)),OFFSET($F$15,$A646,0)))</f>
        <v/>
      </c>
      <c r="O646" s="178"/>
      <c r="Q646" s="178"/>
      <c r="R646" s="179"/>
      <c r="S646" s="179"/>
      <c r="T646" s="179"/>
      <c r="U646" s="179"/>
      <c r="V646" s="179"/>
      <c r="W646" s="179"/>
      <c r="X646" s="179"/>
      <c r="Y646" s="179"/>
      <c r="Z646" s="180"/>
      <c r="AB646" s="544">
        <f ca="1">IF(AND($D646="Serviço",AB$12&lt;&gt;0,$H646&gt;0,OR(AUTOEVENTO&lt;&gt;"manual",$M646&lt;&gt;1)),
IF(Import.TipoArredondamento&lt;&gt;"TransfereGOV",
ROUND(OFFSET($P646,0,AB$13),15-13*ORÇAMENTO!$AF$7)/$H646*OFFSET(ORÇAMENTO!$X$15,ROW(AB646)-ROW(AB$15),0),
ROUND(ROUND(OFFSET($P646,0,AB$13),15-13*ORÇAMENTO!$AF$7)*OFFSET(ORÇAMENTO!$W$15,ROW(AB646)-ROW(AB$15),0),15-13*ORÇAMENTO!$AF$11)),0)</f>
        <v>0</v>
      </c>
      <c r="AC646" s="545">
        <f ca="1">IF(AND($D646="Serviço",AC$12&lt;&gt;0,$H646&gt;0,OR(AUTOEVENTO&lt;&gt;"manual",$M646&lt;&gt;1)),
IF(Import.TipoArredondamento&lt;&gt;"TransfereGOV",
ROUND(OFFSET($P646,0,AC$13),15-13*ORÇAMENTO!$AF$7)/$H646*OFFSET(ORÇAMENTO!$X$15,ROW(AC646)-ROW(AC$15),0),
ROUND(ROUND(OFFSET($P646,0,AC$13),15-13*ORÇAMENTO!$AF$7)*OFFSET(ORÇAMENTO!$W$15,ROW(AC646)-ROW(AC$15),0),15-13*ORÇAMENTO!$AF$11)),0)</f>
        <v>0</v>
      </c>
      <c r="AD646" s="545">
        <f ca="1">IF(AND($D646="Serviço",AD$12&lt;&gt;0,$H646&gt;0,OR(AUTOEVENTO&lt;&gt;"manual",$M646&lt;&gt;1)),
IF(Import.TipoArredondamento&lt;&gt;"TransfereGOV",
ROUND(OFFSET($P646,0,AD$13),15-13*ORÇAMENTO!$AF$7)/$H646*OFFSET(ORÇAMENTO!$X$15,ROW(AD646)-ROW(AD$15),0),
ROUND(ROUND(OFFSET($P646,0,AD$13),15-13*ORÇAMENTO!$AF$7)*OFFSET(ORÇAMENTO!$W$15,ROW(AD646)-ROW(AD$15),0),15-13*ORÇAMENTO!$AF$11)),0)</f>
        <v>0</v>
      </c>
      <c r="AE646" s="545">
        <f ca="1">IF(AND($D646="Serviço",AE$12&lt;&gt;0,$H646&gt;0,OR(AUTOEVENTO&lt;&gt;"manual",$M646&lt;&gt;1)),
IF(Import.TipoArredondamento&lt;&gt;"TransfereGOV",
ROUND(OFFSET($P646,0,AE$13),15-13*ORÇAMENTO!$AF$7)/$H646*OFFSET(ORÇAMENTO!$X$15,ROW(AE646)-ROW(AE$15),0),
ROUND(ROUND(OFFSET($P646,0,AE$13),15-13*ORÇAMENTO!$AF$7)*OFFSET(ORÇAMENTO!$W$15,ROW(AE646)-ROW(AE$15),0),15-13*ORÇAMENTO!$AF$11)),0)</f>
        <v>0</v>
      </c>
      <c r="AF646" s="545">
        <f ca="1">IF(AND($D646="Serviço",AF$12&lt;&gt;0,$H646&gt;0,OR(AUTOEVENTO&lt;&gt;"manual",$M646&lt;&gt;1)),
IF(Import.TipoArredondamento&lt;&gt;"TransfereGOV",
ROUND(OFFSET($P646,0,AF$13),15-13*ORÇAMENTO!$AF$7)/$H646*OFFSET(ORÇAMENTO!$X$15,ROW(AF646)-ROW(AF$15),0),
ROUND(ROUND(OFFSET($P646,0,AF$13),15-13*ORÇAMENTO!$AF$7)*OFFSET(ORÇAMENTO!$W$15,ROW(AF646)-ROW(AF$15),0),15-13*ORÇAMENTO!$AF$11)),0)</f>
        <v>0</v>
      </c>
      <c r="AG646" s="545">
        <f ca="1">IF(AND($D646="Serviço",AG$12&lt;&gt;0,$H646&gt;0,OR(AUTOEVENTO&lt;&gt;"manual",$M646&lt;&gt;1)),
IF(Import.TipoArredondamento&lt;&gt;"TransfereGOV",
ROUND(OFFSET($P646,0,AG$13),15-13*ORÇAMENTO!$AF$7)/$H646*OFFSET(ORÇAMENTO!$X$15,ROW(AG646)-ROW(AG$15),0),
ROUND(ROUND(OFFSET($P646,0,AG$13),15-13*ORÇAMENTO!$AF$7)*OFFSET(ORÇAMENTO!$W$15,ROW(AG646)-ROW(AG$15),0),15-13*ORÇAMENTO!$AF$11)),0)</f>
        <v>0</v>
      </c>
      <c r="AH646" s="545">
        <f ca="1">IF(AND($D646="Serviço",AH$12&lt;&gt;0,$H646&gt;0,OR(AUTOEVENTO&lt;&gt;"manual",$M646&lt;&gt;1)),
IF(Import.TipoArredondamento&lt;&gt;"TransfereGOV",
ROUND(OFFSET($P646,0,AH$13),15-13*ORÇAMENTO!$AF$7)/$H646*OFFSET(ORÇAMENTO!$X$15,ROW(AH646)-ROW(AH$15),0),
ROUND(ROUND(OFFSET($P646,0,AH$13),15-13*ORÇAMENTO!$AF$7)*OFFSET(ORÇAMENTO!$W$15,ROW(AH646)-ROW(AH$15),0),15-13*ORÇAMENTO!$AF$11)),0)</f>
        <v>0</v>
      </c>
      <c r="AI646" s="545">
        <f ca="1">IF(AND($D646="Serviço",AI$12&lt;&gt;0,$H646&gt;0,OR(AUTOEVENTO&lt;&gt;"manual",$M646&lt;&gt;1)),
IF(Import.TipoArredondamento&lt;&gt;"TransfereGOV",
ROUND(OFFSET($P646,0,AI$13),15-13*ORÇAMENTO!$AF$7)/$H646*OFFSET(ORÇAMENTO!$X$15,ROW(AI646)-ROW(AI$15),0),
ROUND(ROUND(OFFSET($P646,0,AI$13),15-13*ORÇAMENTO!$AF$7)*OFFSET(ORÇAMENTO!$W$15,ROW(AI646)-ROW(AI$15),0),15-13*ORÇAMENTO!$AF$11)),0)</f>
        <v>0</v>
      </c>
      <c r="AJ646" s="545">
        <f ca="1">IF(AND($D646="Serviço",AJ$12&lt;&gt;0,$H646&gt;0,OR(AUTOEVENTO&lt;&gt;"manual",$M646&lt;&gt;1)),
IF(Import.TipoArredondamento&lt;&gt;"TransfereGOV",
ROUND(OFFSET($P646,0,AJ$13),15-13*ORÇAMENTO!$AF$7)/$H646*OFFSET(ORÇAMENTO!$X$15,ROW(AJ646)-ROW(AJ$15),0),
ROUND(ROUND(OFFSET($P646,0,AJ$13),15-13*ORÇAMENTO!$AF$7)*OFFSET(ORÇAMENTO!$W$15,ROW(AJ646)-ROW(AJ$15),0),15-13*ORÇAMENTO!$AF$11)),0)</f>
        <v>0</v>
      </c>
      <c r="AK646" s="546">
        <f ca="1">IF(AND($D646="Serviço",AK$12&lt;&gt;0,$H646&gt;0,OR(AUTOEVENTO&lt;&gt;"manual",$M646&lt;&gt;1)),
IF(Import.TipoArredondamento&lt;&gt;"TransfereGOV",
ROUND(OFFSET($P646,0,AK$13),15-13*ORÇAMENTO!$AF$7)/$H646*OFFSET(ORÇAMENTO!$X$15,ROW(AK646)-ROW(AK$15),0),
ROUND(ROUND(OFFSET($P646,0,AK$13),15-13*ORÇAMENTO!$AF$7)*OFFSET(ORÇAMENTO!$W$15,ROW(AK646)-ROW(AK$15),0),15-13*ORÇAMENTO!$AF$11)),0)</f>
        <v>0</v>
      </c>
      <c r="AM646" s="181">
        <f ca="1">IF($D646&lt;&gt;"Serviço",0,IF(AND(AUTOEVENTO="Manual",$M646=1),0,IF(OFFSET(CRONOPLE!$F$14,$M646,AM$13)="",10^12,OFFSET(CRONOPLE!$F$14,$M646,AM$13))))</f>
        <v>0</v>
      </c>
      <c r="AN646" s="181">
        <f ca="1">IF($D646&lt;&gt;"Serviço",0,IF(AND(AUTOEVENTO="Manual",$M646=1),0,IF(OFFSET(CRONOPLE!$F$14,$M646,AN$13)="",10^12,OFFSET(CRONOPLE!$F$14,$M646,AN$13))))</f>
        <v>0</v>
      </c>
      <c r="AO646" s="181">
        <f ca="1">IF($D646&lt;&gt;"Serviço",0,IF(AND(AUTOEVENTO="Manual",$M646=1),0,IF(OFFSET(CRONOPLE!$F$14,$M646,AO$13)="",10^12,OFFSET(CRONOPLE!$F$14,$M646,AO$13))))</f>
        <v>0</v>
      </c>
      <c r="AP646" s="181">
        <f ca="1">IF($D646&lt;&gt;"Serviço",0,IF(AND(AUTOEVENTO="Manual",$M646=1),0,IF(OFFSET(CRONOPLE!$F$14,$M646,AP$13)="",10^12,OFFSET(CRONOPLE!$F$14,$M646,AP$13))))</f>
        <v>0</v>
      </c>
      <c r="AQ646" s="181">
        <f ca="1">IF($D646&lt;&gt;"Serviço",0,IF(AND(AUTOEVENTO="Manual",$M646=1),0,IF(OFFSET(CRONOPLE!$F$14,$M646,AQ$13)="",10^12,OFFSET(CRONOPLE!$F$14,$M646,AQ$13))))</f>
        <v>0</v>
      </c>
      <c r="AR646" s="181">
        <f ca="1">IF($D646&lt;&gt;"Serviço",0,IF(AND(AUTOEVENTO="Manual",$M646=1),0,IF(OFFSET(CRONOPLE!$F$14,$M646,AR$13)="",10^12,OFFSET(CRONOPLE!$F$14,$M646,AR$13))))</f>
        <v>0</v>
      </c>
      <c r="AS646" s="181">
        <f ca="1">IF($D646&lt;&gt;"Serviço",0,IF(AND(AUTOEVENTO="Manual",$M646=1),0,IF(OFFSET(CRONOPLE!$F$14,$M646,AS$13)="",10^12,OFFSET(CRONOPLE!$F$14,$M646,AS$13))))</f>
        <v>0</v>
      </c>
      <c r="AT646" s="181">
        <f ca="1">IF($D646&lt;&gt;"Serviço",0,IF(AND(AUTOEVENTO="Manual",$M646=1),0,IF(OFFSET(CRONOPLE!$F$14,$M646,AT$13)="",10^12,OFFSET(CRONOPLE!$F$14,$M646,AT$13))))</f>
        <v>0</v>
      </c>
      <c r="AU646" s="181">
        <f ca="1">IF($D646&lt;&gt;"Serviço",0,IF(AND(AUTOEVENTO="Manual",$M646=1),0,IF(OFFSET(CRONOPLE!$F$14,$M646,AU$13)="",10^12,OFFSET(CRONOPLE!$F$14,$M646,AU$13))))</f>
        <v>0</v>
      </c>
      <c r="AV646" s="181">
        <f ca="1">IF($D646&lt;&gt;"Serviço",0,IF(AND(AUTOEVENTO="Manual",$M646=1),0,IF(OFFSET(CRONOPLE!$F$14,$M646,AV$13)="",10^12,OFFSET(CRONOPLE!$F$14,$M646,AV$13))))</f>
        <v>0</v>
      </c>
      <c r="AX646" s="182">
        <f ca="1">IF($D646&lt;&gt;"Serviço",0,IF(OR(AND(AUTOEVENTO="Manual",$M646=1),$M646&gt;(ROW(PLE.lastrow)-ROW(PLE.firstrow))),0,IF(OFFSET(PLE!$G$14,$M646,AX$13)="",10^12,OFFSET(PLE!$G$14,$M646,AX$13))))</f>
        <v>0</v>
      </c>
      <c r="AY646" s="182">
        <f ca="1">IF($D646&lt;&gt;"Serviço",0,IF(OR(AND(AUTOEVENTO="Manual",$M646=1),$M646&gt;(ROW(PLE.lastrow)-ROW(PLE.firstrow))),0,IF(OFFSET(PLE!$G$14,$M646,AY$13)="",10^12,OFFSET(PLE!$G$14,$M646,AY$13))))</f>
        <v>0</v>
      </c>
      <c r="AZ646" s="182">
        <f ca="1">IF($D646&lt;&gt;"Serviço",0,IF(OR(AND(AUTOEVENTO="Manual",$M646=1),$M646&gt;(ROW(PLE.lastrow)-ROW(PLE.firstrow))),0,IF(OFFSET(PLE!$G$14,$M646,AZ$13)="",10^12,OFFSET(PLE!$G$14,$M646,AZ$13))))</f>
        <v>0</v>
      </c>
      <c r="BA646" s="182">
        <f ca="1">IF($D646&lt;&gt;"Serviço",0,IF(OR(AND(AUTOEVENTO="Manual",$M646=1),$M646&gt;(ROW(PLE.lastrow)-ROW(PLE.firstrow))),0,IF(OFFSET(PLE!$G$14,$M646,BA$13)="",10^12,OFFSET(PLE!$G$14,$M646,BA$13))))</f>
        <v>0</v>
      </c>
      <c r="BB646" s="182">
        <f ca="1">IF($D646&lt;&gt;"Serviço",0,IF(OR(AND(AUTOEVENTO="Manual",$M646=1),$M646&gt;(ROW(PLE.lastrow)-ROW(PLE.firstrow))),0,IF(OFFSET(PLE!$G$14,$M646,BB$13)="",10^12,OFFSET(PLE!$G$14,$M646,BB$13))))</f>
        <v>0</v>
      </c>
      <c r="BC646" s="182">
        <f ca="1">IF($D646&lt;&gt;"Serviço",0,IF(OR(AND(AUTOEVENTO="Manual",$M646=1),$M646&gt;(ROW(PLE.lastrow)-ROW(PLE.firstrow))),0,IF(OFFSET(PLE!$G$14,$M646,BC$13)="",10^12,OFFSET(PLE!$G$14,$M646,BC$13))))</f>
        <v>0</v>
      </c>
      <c r="BD646" s="182">
        <f ca="1">IF($D646&lt;&gt;"Serviço",0,IF(OR(AND(AUTOEVENTO="Manual",$M646=1),$M646&gt;(ROW(PLE.lastrow)-ROW(PLE.firstrow))),0,IF(OFFSET(PLE!$G$14,$M646,BD$13)="",10^12,OFFSET(PLE!$G$14,$M646,BD$13))))</f>
        <v>0</v>
      </c>
      <c r="BE646" s="182">
        <f ca="1">IF($D646&lt;&gt;"Serviço",0,IF(OR(AND(AUTOEVENTO="Manual",$M646=1),$M646&gt;(ROW(PLE.lastrow)-ROW(PLE.firstrow))),0,IF(OFFSET(PLE!$G$14,$M646,BE$13)="",10^12,OFFSET(PLE!$G$14,$M646,BE$13))))</f>
        <v>0</v>
      </c>
      <c r="BF646" s="182">
        <f ca="1">IF($D646&lt;&gt;"Serviço",0,IF(OR(AND(AUTOEVENTO="Manual",$M646=1),$M646&gt;(ROW(PLE.lastrow)-ROW(PLE.firstrow))),0,IF(OFFSET(PLE!$G$14,$M646,BF$13)="",10^12,OFFSET(PLE!$G$14,$M646,BF$13))))</f>
        <v>0</v>
      </c>
      <c r="BG646" s="182">
        <f ca="1">IF($D646&lt;&gt;"Serviço",0,IF(OR(AND(AUTOEVENTO="Manual",$M646=1),$M646&gt;(ROW(PLE.lastrow)-ROW(PLE.firstrow))),0,IF(OFFSET(PLE!$G$14,$M646,BG$13)="",10^12,OFFSET(PLE!$G$14,$M646,BG$13))))</f>
        <v>0</v>
      </c>
    </row>
    <row r="647" spans="1:59" ht="38.25" x14ac:dyDescent="0.2">
      <c r="A647" s="7" t="str">
        <f t="shared" ca="1" si="17"/>
        <v>631</v>
      </c>
      <c r="B647" s="7" t="str">
        <f ca="1">OFFSET(ORÇAMENTO!C$15,ROW(B647)-ROW(B$15),0)</f>
        <v>S</v>
      </c>
      <c r="C647" s="7" t="str">
        <f ca="1">OFFSET(ORÇAMENTO!L$15,ROW(C647)-ROW(C$15),0)</f>
        <v/>
      </c>
      <c r="D647" s="118" t="str">
        <f ca="1">OFFSET(ORÇAMENTO!N$15,ROW(D647)-ROW(D$15),0)</f>
        <v>Serviço</v>
      </c>
      <c r="E647" s="119" t="str">
        <f ca="1">OFFSET(ORÇAMENTO!O$15,ROW(E647)-ROW(E$15),0)</f>
        <v>-</v>
      </c>
      <c r="F647" s="172" t="str">
        <f ca="1">OFFSET(ORÇAMENTO!R$15,ROW(F647)-ROW(F$15),0)</f>
        <v>(abra o arquivo 'Referência 02-2025.xlsm)</v>
      </c>
      <c r="G647" s="173" t="str">
        <f ca="1">IF($D647&lt;&gt;"Serviço","",OFFSET(ORÇAMENTO!S$15,ROW(G647)-ROW(G$15),0))</f>
        <v>-</v>
      </c>
      <c r="H647" s="124">
        <f ca="1">IF($D647&lt;&gt;"Serviço",0,IF(ACOMPANHAMENTO="BM",ROUND(OFFSET(ORÇAMENTO!AJ$15,ROW(H647)-ROW(H$15),0),15-13*ORÇAMENTO!$AF$7),SUMPRODUCT(($Q$12:$AA$12&lt;&gt;"")*ROUND($Q647:$AA647,15-13*ORÇAMENTO!$AF$7))))</f>
        <v>15</v>
      </c>
      <c r="I647" s="561" t="s">
        <v>890</v>
      </c>
      <c r="K647" s="174"/>
      <c r="L647" s="175" t="s">
        <v>255</v>
      </c>
      <c r="M647" s="176">
        <f ca="1">IF($D647&lt;&gt;"Serviço","",IF(AUTOEVENTO="manual",$A647,IF(ISERROR(MATCH($A647,$A$15:OFFSET($A647,-1,0),0)),MAX($M$15:OFFSET(M647,-1,0))+1,INDEX($M$15:OFFSET(M647,-1,0),MATCH($A647,$A$15:OFFSET($A647,-1,0),0)))))</f>
        <v>20</v>
      </c>
      <c r="N647" s="177" t="str">
        <f ca="1">IF($D647&lt;&gt;"Serviço","",IF(AUTOEVENTO="Manual",IF($A647=0,"&lt;-- defina o número do agrupador",OFFSET(EVENTOS!$D$14,$A647,0)),OFFSET($F$15,$A647,0)))</f>
        <v>SISTEMA DE PROTEÇÃO CONTRA DESCARGAS ATMOSFÉRICAS (SPDA)</v>
      </c>
      <c r="O647" s="178"/>
      <c r="Q647" s="178"/>
      <c r="R647" s="179"/>
      <c r="S647" s="179"/>
      <c r="T647" s="179"/>
      <c r="U647" s="179"/>
      <c r="V647" s="179"/>
      <c r="W647" s="179"/>
      <c r="X647" s="179"/>
      <c r="Y647" s="179"/>
      <c r="Z647" s="180"/>
      <c r="AB647" s="544">
        <f ca="1">IF(AND($D647="Serviço",AB$12&lt;&gt;0,$H647&gt;0,OR(AUTOEVENTO&lt;&gt;"manual",$M647&lt;&gt;1)),
IF(Import.TipoArredondamento&lt;&gt;"TransfereGOV",
ROUND(OFFSET($P647,0,AB$13),15-13*ORÇAMENTO!$AF$7)/$H647*OFFSET(ORÇAMENTO!$X$15,ROW(AB647)-ROW(AB$15),0),
ROUND(ROUND(OFFSET($P647,0,AB$13),15-13*ORÇAMENTO!$AF$7)*OFFSET(ORÇAMENTO!$W$15,ROW(AB647)-ROW(AB$15),0),15-13*ORÇAMENTO!$AF$11)),0)</f>
        <v>0</v>
      </c>
      <c r="AC647" s="545">
        <f ca="1">IF(AND($D647="Serviço",AC$12&lt;&gt;0,$H647&gt;0,OR(AUTOEVENTO&lt;&gt;"manual",$M647&lt;&gt;1)),
IF(Import.TipoArredondamento&lt;&gt;"TransfereGOV",
ROUND(OFFSET($P647,0,AC$13),15-13*ORÇAMENTO!$AF$7)/$H647*OFFSET(ORÇAMENTO!$X$15,ROW(AC647)-ROW(AC$15),0),
ROUND(ROUND(OFFSET($P647,0,AC$13),15-13*ORÇAMENTO!$AF$7)*OFFSET(ORÇAMENTO!$W$15,ROW(AC647)-ROW(AC$15),0),15-13*ORÇAMENTO!$AF$11)),0)</f>
        <v>0</v>
      </c>
      <c r="AD647" s="545">
        <f ca="1">IF(AND($D647="Serviço",AD$12&lt;&gt;0,$H647&gt;0,OR(AUTOEVENTO&lt;&gt;"manual",$M647&lt;&gt;1)),
IF(Import.TipoArredondamento&lt;&gt;"TransfereGOV",
ROUND(OFFSET($P647,0,AD$13),15-13*ORÇAMENTO!$AF$7)/$H647*OFFSET(ORÇAMENTO!$X$15,ROW(AD647)-ROW(AD$15),0),
ROUND(ROUND(OFFSET($P647,0,AD$13),15-13*ORÇAMENTO!$AF$7)*OFFSET(ORÇAMENTO!$W$15,ROW(AD647)-ROW(AD$15),0),15-13*ORÇAMENTO!$AF$11)),0)</f>
        <v>0</v>
      </c>
      <c r="AE647" s="545">
        <f ca="1">IF(AND($D647="Serviço",AE$12&lt;&gt;0,$H647&gt;0,OR(AUTOEVENTO&lt;&gt;"manual",$M647&lt;&gt;1)),
IF(Import.TipoArredondamento&lt;&gt;"TransfereGOV",
ROUND(OFFSET($P647,0,AE$13),15-13*ORÇAMENTO!$AF$7)/$H647*OFFSET(ORÇAMENTO!$X$15,ROW(AE647)-ROW(AE$15),0),
ROUND(ROUND(OFFSET($P647,0,AE$13),15-13*ORÇAMENTO!$AF$7)*OFFSET(ORÇAMENTO!$W$15,ROW(AE647)-ROW(AE$15),0),15-13*ORÇAMENTO!$AF$11)),0)</f>
        <v>0</v>
      </c>
      <c r="AF647" s="545">
        <f ca="1">IF(AND($D647="Serviço",AF$12&lt;&gt;0,$H647&gt;0,OR(AUTOEVENTO&lt;&gt;"manual",$M647&lt;&gt;1)),
IF(Import.TipoArredondamento&lt;&gt;"TransfereGOV",
ROUND(OFFSET($P647,0,AF$13),15-13*ORÇAMENTO!$AF$7)/$H647*OFFSET(ORÇAMENTO!$X$15,ROW(AF647)-ROW(AF$15),0),
ROUND(ROUND(OFFSET($P647,0,AF$13),15-13*ORÇAMENTO!$AF$7)*OFFSET(ORÇAMENTO!$W$15,ROW(AF647)-ROW(AF$15),0),15-13*ORÇAMENTO!$AF$11)),0)</f>
        <v>0</v>
      </c>
      <c r="AG647" s="545">
        <f ca="1">IF(AND($D647="Serviço",AG$12&lt;&gt;0,$H647&gt;0,OR(AUTOEVENTO&lt;&gt;"manual",$M647&lt;&gt;1)),
IF(Import.TipoArredondamento&lt;&gt;"TransfereGOV",
ROUND(OFFSET($P647,0,AG$13),15-13*ORÇAMENTO!$AF$7)/$H647*OFFSET(ORÇAMENTO!$X$15,ROW(AG647)-ROW(AG$15),0),
ROUND(ROUND(OFFSET($P647,0,AG$13),15-13*ORÇAMENTO!$AF$7)*OFFSET(ORÇAMENTO!$W$15,ROW(AG647)-ROW(AG$15),0),15-13*ORÇAMENTO!$AF$11)),0)</f>
        <v>0</v>
      </c>
      <c r="AH647" s="545">
        <f ca="1">IF(AND($D647="Serviço",AH$12&lt;&gt;0,$H647&gt;0,OR(AUTOEVENTO&lt;&gt;"manual",$M647&lt;&gt;1)),
IF(Import.TipoArredondamento&lt;&gt;"TransfereGOV",
ROUND(OFFSET($P647,0,AH$13),15-13*ORÇAMENTO!$AF$7)/$H647*OFFSET(ORÇAMENTO!$X$15,ROW(AH647)-ROW(AH$15),0),
ROUND(ROUND(OFFSET($P647,0,AH$13),15-13*ORÇAMENTO!$AF$7)*OFFSET(ORÇAMENTO!$W$15,ROW(AH647)-ROW(AH$15),0),15-13*ORÇAMENTO!$AF$11)),0)</f>
        <v>0</v>
      </c>
      <c r="AI647" s="545">
        <f ca="1">IF(AND($D647="Serviço",AI$12&lt;&gt;0,$H647&gt;0,OR(AUTOEVENTO&lt;&gt;"manual",$M647&lt;&gt;1)),
IF(Import.TipoArredondamento&lt;&gt;"TransfereGOV",
ROUND(OFFSET($P647,0,AI$13),15-13*ORÇAMENTO!$AF$7)/$H647*OFFSET(ORÇAMENTO!$X$15,ROW(AI647)-ROW(AI$15),0),
ROUND(ROUND(OFFSET($P647,0,AI$13),15-13*ORÇAMENTO!$AF$7)*OFFSET(ORÇAMENTO!$W$15,ROW(AI647)-ROW(AI$15),0),15-13*ORÇAMENTO!$AF$11)),0)</f>
        <v>0</v>
      </c>
      <c r="AJ647" s="545">
        <f ca="1">IF(AND($D647="Serviço",AJ$12&lt;&gt;0,$H647&gt;0,OR(AUTOEVENTO&lt;&gt;"manual",$M647&lt;&gt;1)),
IF(Import.TipoArredondamento&lt;&gt;"TransfereGOV",
ROUND(OFFSET($P647,0,AJ$13),15-13*ORÇAMENTO!$AF$7)/$H647*OFFSET(ORÇAMENTO!$X$15,ROW(AJ647)-ROW(AJ$15),0),
ROUND(ROUND(OFFSET($P647,0,AJ$13),15-13*ORÇAMENTO!$AF$7)*OFFSET(ORÇAMENTO!$W$15,ROW(AJ647)-ROW(AJ$15),0),15-13*ORÇAMENTO!$AF$11)),0)</f>
        <v>0</v>
      </c>
      <c r="AK647" s="546">
        <f ca="1">IF(AND($D647="Serviço",AK$12&lt;&gt;0,$H647&gt;0,OR(AUTOEVENTO&lt;&gt;"manual",$M647&lt;&gt;1)),
IF(Import.TipoArredondamento&lt;&gt;"TransfereGOV",
ROUND(OFFSET($P647,0,AK$13),15-13*ORÇAMENTO!$AF$7)/$H647*OFFSET(ORÇAMENTO!$X$15,ROW(AK647)-ROW(AK$15),0),
ROUND(ROUND(OFFSET($P647,0,AK$13),15-13*ORÇAMENTO!$AF$7)*OFFSET(ORÇAMENTO!$W$15,ROW(AK647)-ROW(AK$15),0),15-13*ORÇAMENTO!$AF$11)),0)</f>
        <v>0</v>
      </c>
      <c r="AM647" s="181">
        <f ca="1">IF($D647&lt;&gt;"Serviço",0,IF(AND(AUTOEVENTO="Manual",$M647=1),0,IF(OFFSET(CRONOPLE!$F$14,$M647,AM$13)="",10^12,OFFSET(CRONOPLE!$F$14,$M647,AM$13))))</f>
        <v>1000000000000</v>
      </c>
      <c r="AN647" s="181">
        <f ca="1">IF($D647&lt;&gt;"Serviço",0,IF(AND(AUTOEVENTO="Manual",$M647=1),0,IF(OFFSET(CRONOPLE!$F$14,$M647,AN$13)="",10^12,OFFSET(CRONOPLE!$F$14,$M647,AN$13))))</f>
        <v>1000000000000</v>
      </c>
      <c r="AO647" s="181">
        <f ca="1">IF($D647&lt;&gt;"Serviço",0,IF(AND(AUTOEVENTO="Manual",$M647=1),0,IF(OFFSET(CRONOPLE!$F$14,$M647,AO$13)="",10^12,OFFSET(CRONOPLE!$F$14,$M647,AO$13))))</f>
        <v>1000000000000</v>
      </c>
      <c r="AP647" s="181">
        <f ca="1">IF($D647&lt;&gt;"Serviço",0,IF(AND(AUTOEVENTO="Manual",$M647=1),0,IF(OFFSET(CRONOPLE!$F$14,$M647,AP$13)="",10^12,OFFSET(CRONOPLE!$F$14,$M647,AP$13))))</f>
        <v>1000000000000</v>
      </c>
      <c r="AQ647" s="181">
        <f ca="1">IF($D647&lt;&gt;"Serviço",0,IF(AND(AUTOEVENTO="Manual",$M647=1),0,IF(OFFSET(CRONOPLE!$F$14,$M647,AQ$13)="",10^12,OFFSET(CRONOPLE!$F$14,$M647,AQ$13))))</f>
        <v>1000000000000</v>
      </c>
      <c r="AR647" s="181">
        <f ca="1">IF($D647&lt;&gt;"Serviço",0,IF(AND(AUTOEVENTO="Manual",$M647=1),0,IF(OFFSET(CRONOPLE!$F$14,$M647,AR$13)="",10^12,OFFSET(CRONOPLE!$F$14,$M647,AR$13))))</f>
        <v>1000000000000</v>
      </c>
      <c r="AS647" s="181">
        <f ca="1">IF($D647&lt;&gt;"Serviço",0,IF(AND(AUTOEVENTO="Manual",$M647=1),0,IF(OFFSET(CRONOPLE!$F$14,$M647,AS$13)="",10^12,OFFSET(CRONOPLE!$F$14,$M647,AS$13))))</f>
        <v>1000000000000</v>
      </c>
      <c r="AT647" s="181">
        <f ca="1">IF($D647&lt;&gt;"Serviço",0,IF(AND(AUTOEVENTO="Manual",$M647=1),0,IF(OFFSET(CRONOPLE!$F$14,$M647,AT$13)="",10^12,OFFSET(CRONOPLE!$F$14,$M647,AT$13))))</f>
        <v>1000000000000</v>
      </c>
      <c r="AU647" s="181">
        <f ca="1">IF($D647&lt;&gt;"Serviço",0,IF(AND(AUTOEVENTO="Manual",$M647=1),0,IF(OFFSET(CRONOPLE!$F$14,$M647,AU$13)="",10^12,OFFSET(CRONOPLE!$F$14,$M647,AU$13))))</f>
        <v>1000000000000</v>
      </c>
      <c r="AV647" s="181">
        <f ca="1">IF($D647&lt;&gt;"Serviço",0,IF(AND(AUTOEVENTO="Manual",$M647=1),0,IF(OFFSET(CRONOPLE!$F$14,$M647,AV$13)="",10^12,OFFSET(CRONOPLE!$F$14,$M647,AV$13))))</f>
        <v>1000000000000</v>
      </c>
      <c r="AX647" s="182">
        <f ca="1">IF($D647&lt;&gt;"Serviço",0,IF(OR(AND(AUTOEVENTO="Manual",$M647=1),$M647&gt;(ROW(PLE.lastrow)-ROW(PLE.firstrow))),0,IF(OFFSET(PLE!$G$14,$M647,AX$13)="",10^12,OFFSET(PLE!$G$14,$M647,AX$13))))</f>
        <v>1000000000000</v>
      </c>
      <c r="AY647" s="182">
        <f ca="1">IF($D647&lt;&gt;"Serviço",0,IF(OR(AND(AUTOEVENTO="Manual",$M647=1),$M647&gt;(ROW(PLE.lastrow)-ROW(PLE.firstrow))),0,IF(OFFSET(PLE!$G$14,$M647,AY$13)="",10^12,OFFSET(PLE!$G$14,$M647,AY$13))))</f>
        <v>1000000000000</v>
      </c>
      <c r="AZ647" s="182">
        <f ca="1">IF($D647&lt;&gt;"Serviço",0,IF(OR(AND(AUTOEVENTO="Manual",$M647=1),$M647&gt;(ROW(PLE.lastrow)-ROW(PLE.firstrow))),0,IF(OFFSET(PLE!$G$14,$M647,AZ$13)="",10^12,OFFSET(PLE!$G$14,$M647,AZ$13))))</f>
        <v>1000000000000</v>
      </c>
      <c r="BA647" s="182">
        <f ca="1">IF($D647&lt;&gt;"Serviço",0,IF(OR(AND(AUTOEVENTO="Manual",$M647=1),$M647&gt;(ROW(PLE.lastrow)-ROW(PLE.firstrow))),0,IF(OFFSET(PLE!$G$14,$M647,BA$13)="",10^12,OFFSET(PLE!$G$14,$M647,BA$13))))</f>
        <v>1000000000000</v>
      </c>
      <c r="BB647" s="182">
        <f ca="1">IF($D647&lt;&gt;"Serviço",0,IF(OR(AND(AUTOEVENTO="Manual",$M647=1),$M647&gt;(ROW(PLE.lastrow)-ROW(PLE.firstrow))),0,IF(OFFSET(PLE!$G$14,$M647,BB$13)="",10^12,OFFSET(PLE!$G$14,$M647,BB$13))))</f>
        <v>1000000000000</v>
      </c>
      <c r="BC647" s="182">
        <f ca="1">IF($D647&lt;&gt;"Serviço",0,IF(OR(AND(AUTOEVENTO="Manual",$M647=1),$M647&gt;(ROW(PLE.lastrow)-ROW(PLE.firstrow))),0,IF(OFFSET(PLE!$G$14,$M647,BC$13)="",10^12,OFFSET(PLE!$G$14,$M647,BC$13))))</f>
        <v>1000000000000</v>
      </c>
      <c r="BD647" s="182">
        <f ca="1">IF($D647&lt;&gt;"Serviço",0,IF(OR(AND(AUTOEVENTO="Manual",$M647=1),$M647&gt;(ROW(PLE.lastrow)-ROW(PLE.firstrow))),0,IF(OFFSET(PLE!$G$14,$M647,BD$13)="",10^12,OFFSET(PLE!$G$14,$M647,BD$13))))</f>
        <v>1000000000000</v>
      </c>
      <c r="BE647" s="182">
        <f ca="1">IF($D647&lt;&gt;"Serviço",0,IF(OR(AND(AUTOEVENTO="Manual",$M647=1),$M647&gt;(ROW(PLE.lastrow)-ROW(PLE.firstrow))),0,IF(OFFSET(PLE!$G$14,$M647,BE$13)="",10^12,OFFSET(PLE!$G$14,$M647,BE$13))))</f>
        <v>1000000000000</v>
      </c>
      <c r="BF647" s="182">
        <f ca="1">IF($D647&lt;&gt;"Serviço",0,IF(OR(AND(AUTOEVENTO="Manual",$M647=1),$M647&gt;(ROW(PLE.lastrow)-ROW(PLE.firstrow))),0,IF(OFFSET(PLE!$G$14,$M647,BF$13)="",10^12,OFFSET(PLE!$G$14,$M647,BF$13))))</f>
        <v>1000000000000</v>
      </c>
      <c r="BG647" s="182">
        <f ca="1">IF($D647&lt;&gt;"Serviço",0,IF(OR(AND(AUTOEVENTO="Manual",$M647=1),$M647&gt;(ROW(PLE.lastrow)-ROW(PLE.firstrow))),0,IF(OFFSET(PLE!$G$14,$M647,BG$13)="",10^12,OFFSET(PLE!$G$14,$M647,BG$13))))</f>
        <v>1000000000000</v>
      </c>
    </row>
    <row r="648" spans="1:59" ht="38.25" x14ac:dyDescent="0.2">
      <c r="A648" s="7" t="str">
        <f t="shared" ca="1" si="17"/>
        <v>631</v>
      </c>
      <c r="B648" s="7" t="str">
        <f ca="1">OFFSET(ORÇAMENTO!C$15,ROW(B648)-ROW(B$15),0)</f>
        <v>S</v>
      </c>
      <c r="C648" s="7" t="str">
        <f ca="1">OFFSET(ORÇAMENTO!L$15,ROW(C648)-ROW(C$15),0)</f>
        <v/>
      </c>
      <c r="D648" s="118" t="str">
        <f ca="1">OFFSET(ORÇAMENTO!N$15,ROW(D648)-ROW(D$15),0)</f>
        <v>Serviço</v>
      </c>
      <c r="E648" s="119" t="str">
        <f ca="1">OFFSET(ORÇAMENTO!O$15,ROW(E648)-ROW(E$15),0)</f>
        <v>-</v>
      </c>
      <c r="F648" s="172" t="str">
        <f ca="1">OFFSET(ORÇAMENTO!R$15,ROW(F648)-ROW(F$15),0)</f>
        <v>(abra o arquivo 'Referência 02-2025.xlsm)</v>
      </c>
      <c r="G648" s="173" t="str">
        <f ca="1">IF($D648&lt;&gt;"Serviço","",OFFSET(ORÇAMENTO!S$15,ROW(G648)-ROW(G$15),0))</f>
        <v>-</v>
      </c>
      <c r="H648" s="124">
        <f ca="1">IF($D648&lt;&gt;"Serviço",0,IF(ACOMPANHAMENTO="BM",ROUND(OFFSET(ORÇAMENTO!AJ$15,ROW(H648)-ROW(H$15),0),15-13*ORÇAMENTO!$AF$7),SUMPRODUCT(($Q$12:$AA$12&lt;&gt;"")*ROUND($Q648:$AA648,15-13*ORÇAMENTO!$AF$7))))</f>
        <v>15</v>
      </c>
      <c r="I648" s="561" t="s">
        <v>890</v>
      </c>
      <c r="K648" s="174"/>
      <c r="L648" s="175" t="s">
        <v>255</v>
      </c>
      <c r="M648" s="176">
        <f ca="1">IF($D648&lt;&gt;"Serviço","",IF(AUTOEVENTO="manual",$A648,IF(ISERROR(MATCH($A648,$A$15:OFFSET($A648,-1,0),0)),MAX($M$15:OFFSET(M648,-1,0))+1,INDEX($M$15:OFFSET(M648,-1,0),MATCH($A648,$A$15:OFFSET($A648,-1,0),0)))))</f>
        <v>20</v>
      </c>
      <c r="N648" s="177" t="str">
        <f ca="1">IF($D648&lt;&gt;"Serviço","",IF(AUTOEVENTO="Manual",IF($A648=0,"&lt;-- defina o número do agrupador",OFFSET(EVENTOS!$D$14,$A648,0)),OFFSET($F$15,$A648,0)))</f>
        <v>SISTEMA DE PROTEÇÃO CONTRA DESCARGAS ATMOSFÉRICAS (SPDA)</v>
      </c>
      <c r="O648" s="178"/>
      <c r="Q648" s="178"/>
      <c r="R648" s="179"/>
      <c r="S648" s="179"/>
      <c r="T648" s="179"/>
      <c r="U648" s="179"/>
      <c r="V648" s="179"/>
      <c r="W648" s="179"/>
      <c r="X648" s="179"/>
      <c r="Y648" s="179"/>
      <c r="Z648" s="180"/>
      <c r="AB648" s="544">
        <f ca="1">IF(AND($D648="Serviço",AB$12&lt;&gt;0,$H648&gt;0,OR(AUTOEVENTO&lt;&gt;"manual",$M648&lt;&gt;1)),
IF(Import.TipoArredondamento&lt;&gt;"TransfereGOV",
ROUND(OFFSET($P648,0,AB$13),15-13*ORÇAMENTO!$AF$7)/$H648*OFFSET(ORÇAMENTO!$X$15,ROW(AB648)-ROW(AB$15),0),
ROUND(ROUND(OFFSET($P648,0,AB$13),15-13*ORÇAMENTO!$AF$7)*OFFSET(ORÇAMENTO!$W$15,ROW(AB648)-ROW(AB$15),0),15-13*ORÇAMENTO!$AF$11)),0)</f>
        <v>0</v>
      </c>
      <c r="AC648" s="545">
        <f ca="1">IF(AND($D648="Serviço",AC$12&lt;&gt;0,$H648&gt;0,OR(AUTOEVENTO&lt;&gt;"manual",$M648&lt;&gt;1)),
IF(Import.TipoArredondamento&lt;&gt;"TransfereGOV",
ROUND(OFFSET($P648,0,AC$13),15-13*ORÇAMENTO!$AF$7)/$H648*OFFSET(ORÇAMENTO!$X$15,ROW(AC648)-ROW(AC$15),0),
ROUND(ROUND(OFFSET($P648,0,AC$13),15-13*ORÇAMENTO!$AF$7)*OFFSET(ORÇAMENTO!$W$15,ROW(AC648)-ROW(AC$15),0),15-13*ORÇAMENTO!$AF$11)),0)</f>
        <v>0</v>
      </c>
      <c r="AD648" s="545">
        <f ca="1">IF(AND($D648="Serviço",AD$12&lt;&gt;0,$H648&gt;0,OR(AUTOEVENTO&lt;&gt;"manual",$M648&lt;&gt;1)),
IF(Import.TipoArredondamento&lt;&gt;"TransfereGOV",
ROUND(OFFSET($P648,0,AD$13),15-13*ORÇAMENTO!$AF$7)/$H648*OFFSET(ORÇAMENTO!$X$15,ROW(AD648)-ROW(AD$15),0),
ROUND(ROUND(OFFSET($P648,0,AD$13),15-13*ORÇAMENTO!$AF$7)*OFFSET(ORÇAMENTO!$W$15,ROW(AD648)-ROW(AD$15),0),15-13*ORÇAMENTO!$AF$11)),0)</f>
        <v>0</v>
      </c>
      <c r="AE648" s="545">
        <f ca="1">IF(AND($D648="Serviço",AE$12&lt;&gt;0,$H648&gt;0,OR(AUTOEVENTO&lt;&gt;"manual",$M648&lt;&gt;1)),
IF(Import.TipoArredondamento&lt;&gt;"TransfereGOV",
ROUND(OFFSET($P648,0,AE$13),15-13*ORÇAMENTO!$AF$7)/$H648*OFFSET(ORÇAMENTO!$X$15,ROW(AE648)-ROW(AE$15),0),
ROUND(ROUND(OFFSET($P648,0,AE$13),15-13*ORÇAMENTO!$AF$7)*OFFSET(ORÇAMENTO!$W$15,ROW(AE648)-ROW(AE$15),0),15-13*ORÇAMENTO!$AF$11)),0)</f>
        <v>0</v>
      </c>
      <c r="AF648" s="545">
        <f ca="1">IF(AND($D648="Serviço",AF$12&lt;&gt;0,$H648&gt;0,OR(AUTOEVENTO&lt;&gt;"manual",$M648&lt;&gt;1)),
IF(Import.TipoArredondamento&lt;&gt;"TransfereGOV",
ROUND(OFFSET($P648,0,AF$13),15-13*ORÇAMENTO!$AF$7)/$H648*OFFSET(ORÇAMENTO!$X$15,ROW(AF648)-ROW(AF$15),0),
ROUND(ROUND(OFFSET($P648,0,AF$13),15-13*ORÇAMENTO!$AF$7)*OFFSET(ORÇAMENTO!$W$15,ROW(AF648)-ROW(AF$15),0),15-13*ORÇAMENTO!$AF$11)),0)</f>
        <v>0</v>
      </c>
      <c r="AG648" s="545">
        <f ca="1">IF(AND($D648="Serviço",AG$12&lt;&gt;0,$H648&gt;0,OR(AUTOEVENTO&lt;&gt;"manual",$M648&lt;&gt;1)),
IF(Import.TipoArredondamento&lt;&gt;"TransfereGOV",
ROUND(OFFSET($P648,0,AG$13),15-13*ORÇAMENTO!$AF$7)/$H648*OFFSET(ORÇAMENTO!$X$15,ROW(AG648)-ROW(AG$15),0),
ROUND(ROUND(OFFSET($P648,0,AG$13),15-13*ORÇAMENTO!$AF$7)*OFFSET(ORÇAMENTO!$W$15,ROW(AG648)-ROW(AG$15),0),15-13*ORÇAMENTO!$AF$11)),0)</f>
        <v>0</v>
      </c>
      <c r="AH648" s="545">
        <f ca="1">IF(AND($D648="Serviço",AH$12&lt;&gt;0,$H648&gt;0,OR(AUTOEVENTO&lt;&gt;"manual",$M648&lt;&gt;1)),
IF(Import.TipoArredondamento&lt;&gt;"TransfereGOV",
ROUND(OFFSET($P648,0,AH$13),15-13*ORÇAMENTO!$AF$7)/$H648*OFFSET(ORÇAMENTO!$X$15,ROW(AH648)-ROW(AH$15),0),
ROUND(ROUND(OFFSET($P648,0,AH$13),15-13*ORÇAMENTO!$AF$7)*OFFSET(ORÇAMENTO!$W$15,ROW(AH648)-ROW(AH$15),0),15-13*ORÇAMENTO!$AF$11)),0)</f>
        <v>0</v>
      </c>
      <c r="AI648" s="545">
        <f ca="1">IF(AND($D648="Serviço",AI$12&lt;&gt;0,$H648&gt;0,OR(AUTOEVENTO&lt;&gt;"manual",$M648&lt;&gt;1)),
IF(Import.TipoArredondamento&lt;&gt;"TransfereGOV",
ROUND(OFFSET($P648,0,AI$13),15-13*ORÇAMENTO!$AF$7)/$H648*OFFSET(ORÇAMENTO!$X$15,ROW(AI648)-ROW(AI$15),0),
ROUND(ROUND(OFFSET($P648,0,AI$13),15-13*ORÇAMENTO!$AF$7)*OFFSET(ORÇAMENTO!$W$15,ROW(AI648)-ROW(AI$15),0),15-13*ORÇAMENTO!$AF$11)),0)</f>
        <v>0</v>
      </c>
      <c r="AJ648" s="545">
        <f ca="1">IF(AND($D648="Serviço",AJ$12&lt;&gt;0,$H648&gt;0,OR(AUTOEVENTO&lt;&gt;"manual",$M648&lt;&gt;1)),
IF(Import.TipoArredondamento&lt;&gt;"TransfereGOV",
ROUND(OFFSET($P648,0,AJ$13),15-13*ORÇAMENTO!$AF$7)/$H648*OFFSET(ORÇAMENTO!$X$15,ROW(AJ648)-ROW(AJ$15),0),
ROUND(ROUND(OFFSET($P648,0,AJ$13),15-13*ORÇAMENTO!$AF$7)*OFFSET(ORÇAMENTO!$W$15,ROW(AJ648)-ROW(AJ$15),0),15-13*ORÇAMENTO!$AF$11)),0)</f>
        <v>0</v>
      </c>
      <c r="AK648" s="546">
        <f ca="1">IF(AND($D648="Serviço",AK$12&lt;&gt;0,$H648&gt;0,OR(AUTOEVENTO&lt;&gt;"manual",$M648&lt;&gt;1)),
IF(Import.TipoArredondamento&lt;&gt;"TransfereGOV",
ROUND(OFFSET($P648,0,AK$13),15-13*ORÇAMENTO!$AF$7)/$H648*OFFSET(ORÇAMENTO!$X$15,ROW(AK648)-ROW(AK$15),0),
ROUND(ROUND(OFFSET($P648,0,AK$13),15-13*ORÇAMENTO!$AF$7)*OFFSET(ORÇAMENTO!$W$15,ROW(AK648)-ROW(AK$15),0),15-13*ORÇAMENTO!$AF$11)),0)</f>
        <v>0</v>
      </c>
      <c r="AM648" s="181">
        <f ca="1">IF($D648&lt;&gt;"Serviço",0,IF(AND(AUTOEVENTO="Manual",$M648=1),0,IF(OFFSET(CRONOPLE!$F$14,$M648,AM$13)="",10^12,OFFSET(CRONOPLE!$F$14,$M648,AM$13))))</f>
        <v>1000000000000</v>
      </c>
      <c r="AN648" s="181">
        <f ca="1">IF($D648&lt;&gt;"Serviço",0,IF(AND(AUTOEVENTO="Manual",$M648=1),0,IF(OFFSET(CRONOPLE!$F$14,$M648,AN$13)="",10^12,OFFSET(CRONOPLE!$F$14,$M648,AN$13))))</f>
        <v>1000000000000</v>
      </c>
      <c r="AO648" s="181">
        <f ca="1">IF($D648&lt;&gt;"Serviço",0,IF(AND(AUTOEVENTO="Manual",$M648=1),0,IF(OFFSET(CRONOPLE!$F$14,$M648,AO$13)="",10^12,OFFSET(CRONOPLE!$F$14,$M648,AO$13))))</f>
        <v>1000000000000</v>
      </c>
      <c r="AP648" s="181">
        <f ca="1">IF($D648&lt;&gt;"Serviço",0,IF(AND(AUTOEVENTO="Manual",$M648=1),0,IF(OFFSET(CRONOPLE!$F$14,$M648,AP$13)="",10^12,OFFSET(CRONOPLE!$F$14,$M648,AP$13))))</f>
        <v>1000000000000</v>
      </c>
      <c r="AQ648" s="181">
        <f ca="1">IF($D648&lt;&gt;"Serviço",0,IF(AND(AUTOEVENTO="Manual",$M648=1),0,IF(OFFSET(CRONOPLE!$F$14,$M648,AQ$13)="",10^12,OFFSET(CRONOPLE!$F$14,$M648,AQ$13))))</f>
        <v>1000000000000</v>
      </c>
      <c r="AR648" s="181">
        <f ca="1">IF($D648&lt;&gt;"Serviço",0,IF(AND(AUTOEVENTO="Manual",$M648=1),0,IF(OFFSET(CRONOPLE!$F$14,$M648,AR$13)="",10^12,OFFSET(CRONOPLE!$F$14,$M648,AR$13))))</f>
        <v>1000000000000</v>
      </c>
      <c r="AS648" s="181">
        <f ca="1">IF($D648&lt;&gt;"Serviço",0,IF(AND(AUTOEVENTO="Manual",$M648=1),0,IF(OFFSET(CRONOPLE!$F$14,$M648,AS$13)="",10^12,OFFSET(CRONOPLE!$F$14,$M648,AS$13))))</f>
        <v>1000000000000</v>
      </c>
      <c r="AT648" s="181">
        <f ca="1">IF($D648&lt;&gt;"Serviço",0,IF(AND(AUTOEVENTO="Manual",$M648=1),0,IF(OFFSET(CRONOPLE!$F$14,$M648,AT$13)="",10^12,OFFSET(CRONOPLE!$F$14,$M648,AT$13))))</f>
        <v>1000000000000</v>
      </c>
      <c r="AU648" s="181">
        <f ca="1">IF($D648&lt;&gt;"Serviço",0,IF(AND(AUTOEVENTO="Manual",$M648=1),0,IF(OFFSET(CRONOPLE!$F$14,$M648,AU$13)="",10^12,OFFSET(CRONOPLE!$F$14,$M648,AU$13))))</f>
        <v>1000000000000</v>
      </c>
      <c r="AV648" s="181">
        <f ca="1">IF($D648&lt;&gt;"Serviço",0,IF(AND(AUTOEVENTO="Manual",$M648=1),0,IF(OFFSET(CRONOPLE!$F$14,$M648,AV$13)="",10^12,OFFSET(CRONOPLE!$F$14,$M648,AV$13))))</f>
        <v>1000000000000</v>
      </c>
      <c r="AX648" s="182">
        <f ca="1">IF($D648&lt;&gt;"Serviço",0,IF(OR(AND(AUTOEVENTO="Manual",$M648=1),$M648&gt;(ROW(PLE.lastrow)-ROW(PLE.firstrow))),0,IF(OFFSET(PLE!$G$14,$M648,AX$13)="",10^12,OFFSET(PLE!$G$14,$M648,AX$13))))</f>
        <v>1000000000000</v>
      </c>
      <c r="AY648" s="182">
        <f ca="1">IF($D648&lt;&gt;"Serviço",0,IF(OR(AND(AUTOEVENTO="Manual",$M648=1),$M648&gt;(ROW(PLE.lastrow)-ROW(PLE.firstrow))),0,IF(OFFSET(PLE!$G$14,$M648,AY$13)="",10^12,OFFSET(PLE!$G$14,$M648,AY$13))))</f>
        <v>1000000000000</v>
      </c>
      <c r="AZ648" s="182">
        <f ca="1">IF($D648&lt;&gt;"Serviço",0,IF(OR(AND(AUTOEVENTO="Manual",$M648=1),$M648&gt;(ROW(PLE.lastrow)-ROW(PLE.firstrow))),0,IF(OFFSET(PLE!$G$14,$M648,AZ$13)="",10^12,OFFSET(PLE!$G$14,$M648,AZ$13))))</f>
        <v>1000000000000</v>
      </c>
      <c r="BA648" s="182">
        <f ca="1">IF($D648&lt;&gt;"Serviço",0,IF(OR(AND(AUTOEVENTO="Manual",$M648=1),$M648&gt;(ROW(PLE.lastrow)-ROW(PLE.firstrow))),0,IF(OFFSET(PLE!$G$14,$M648,BA$13)="",10^12,OFFSET(PLE!$G$14,$M648,BA$13))))</f>
        <v>1000000000000</v>
      </c>
      <c r="BB648" s="182">
        <f ca="1">IF($D648&lt;&gt;"Serviço",0,IF(OR(AND(AUTOEVENTO="Manual",$M648=1),$M648&gt;(ROW(PLE.lastrow)-ROW(PLE.firstrow))),0,IF(OFFSET(PLE!$G$14,$M648,BB$13)="",10^12,OFFSET(PLE!$G$14,$M648,BB$13))))</f>
        <v>1000000000000</v>
      </c>
      <c r="BC648" s="182">
        <f ca="1">IF($D648&lt;&gt;"Serviço",0,IF(OR(AND(AUTOEVENTO="Manual",$M648=1),$M648&gt;(ROW(PLE.lastrow)-ROW(PLE.firstrow))),0,IF(OFFSET(PLE!$G$14,$M648,BC$13)="",10^12,OFFSET(PLE!$G$14,$M648,BC$13))))</f>
        <v>1000000000000</v>
      </c>
      <c r="BD648" s="182">
        <f ca="1">IF($D648&lt;&gt;"Serviço",0,IF(OR(AND(AUTOEVENTO="Manual",$M648=1),$M648&gt;(ROW(PLE.lastrow)-ROW(PLE.firstrow))),0,IF(OFFSET(PLE!$G$14,$M648,BD$13)="",10^12,OFFSET(PLE!$G$14,$M648,BD$13))))</f>
        <v>1000000000000</v>
      </c>
      <c r="BE648" s="182">
        <f ca="1">IF($D648&lt;&gt;"Serviço",0,IF(OR(AND(AUTOEVENTO="Manual",$M648=1),$M648&gt;(ROW(PLE.lastrow)-ROW(PLE.firstrow))),0,IF(OFFSET(PLE!$G$14,$M648,BE$13)="",10^12,OFFSET(PLE!$G$14,$M648,BE$13))))</f>
        <v>1000000000000</v>
      </c>
      <c r="BF648" s="182">
        <f ca="1">IF($D648&lt;&gt;"Serviço",0,IF(OR(AND(AUTOEVENTO="Manual",$M648=1),$M648&gt;(ROW(PLE.lastrow)-ROW(PLE.firstrow))),0,IF(OFFSET(PLE!$G$14,$M648,BF$13)="",10^12,OFFSET(PLE!$G$14,$M648,BF$13))))</f>
        <v>1000000000000</v>
      </c>
      <c r="BG648" s="182">
        <f ca="1">IF($D648&lt;&gt;"Serviço",0,IF(OR(AND(AUTOEVENTO="Manual",$M648=1),$M648&gt;(ROW(PLE.lastrow)-ROW(PLE.firstrow))),0,IF(OFFSET(PLE!$G$14,$M648,BG$13)="",10^12,OFFSET(PLE!$G$14,$M648,BG$13))))</f>
        <v>1000000000000</v>
      </c>
    </row>
    <row r="649" spans="1:59" ht="38.25" x14ac:dyDescent="0.2">
      <c r="A649" s="7" t="str">
        <f t="shared" ca="1" si="17"/>
        <v>631</v>
      </c>
      <c r="B649" s="7" t="str">
        <f ca="1">OFFSET(ORÇAMENTO!C$15,ROW(B649)-ROW(B$15),0)</f>
        <v>S</v>
      </c>
      <c r="C649" s="7" t="str">
        <f ca="1">OFFSET(ORÇAMENTO!L$15,ROW(C649)-ROW(C$15),0)</f>
        <v/>
      </c>
      <c r="D649" s="118" t="str">
        <f ca="1">OFFSET(ORÇAMENTO!N$15,ROW(D649)-ROW(D$15),0)</f>
        <v>Serviço</v>
      </c>
      <c r="E649" s="119" t="str">
        <f ca="1">OFFSET(ORÇAMENTO!O$15,ROW(E649)-ROW(E$15),0)</f>
        <v>-</v>
      </c>
      <c r="F649" s="172" t="str">
        <f ca="1">OFFSET(ORÇAMENTO!R$15,ROW(F649)-ROW(F$15),0)</f>
        <v>(abra o arquivo 'Referência 02-2025.xlsm)</v>
      </c>
      <c r="G649" s="173" t="str">
        <f ca="1">IF($D649&lt;&gt;"Serviço","",OFFSET(ORÇAMENTO!S$15,ROW(G649)-ROW(G$15),0))</f>
        <v>-</v>
      </c>
      <c r="H649" s="124">
        <f ca="1">IF($D649&lt;&gt;"Serviço",0,IF(ACOMPANHAMENTO="BM",ROUND(OFFSET(ORÇAMENTO!AJ$15,ROW(H649)-ROW(H$15),0),15-13*ORÇAMENTO!$AF$7),SUMPRODUCT(($Q$12:$AA$12&lt;&gt;"")*ROUND($Q649:$AA649,15-13*ORÇAMENTO!$AF$7))))</f>
        <v>48</v>
      </c>
      <c r="I649" s="561" t="s">
        <v>890</v>
      </c>
      <c r="K649" s="174"/>
      <c r="L649" s="175" t="s">
        <v>255</v>
      </c>
      <c r="M649" s="176">
        <f ca="1">IF($D649&lt;&gt;"Serviço","",IF(AUTOEVENTO="manual",$A649,IF(ISERROR(MATCH($A649,$A$15:OFFSET($A649,-1,0),0)),MAX($M$15:OFFSET(M649,-1,0))+1,INDEX($M$15:OFFSET(M649,-1,0),MATCH($A649,$A$15:OFFSET($A649,-1,0),0)))))</f>
        <v>20</v>
      </c>
      <c r="N649" s="177" t="str">
        <f ca="1">IF($D649&lt;&gt;"Serviço","",IF(AUTOEVENTO="Manual",IF($A649=0,"&lt;-- defina o número do agrupador",OFFSET(EVENTOS!$D$14,$A649,0)),OFFSET($F$15,$A649,0)))</f>
        <v>SISTEMA DE PROTEÇÃO CONTRA DESCARGAS ATMOSFÉRICAS (SPDA)</v>
      </c>
      <c r="O649" s="178"/>
      <c r="Q649" s="178"/>
      <c r="R649" s="179"/>
      <c r="S649" s="179"/>
      <c r="T649" s="179"/>
      <c r="U649" s="179"/>
      <c r="V649" s="179"/>
      <c r="W649" s="179"/>
      <c r="X649" s="179"/>
      <c r="Y649" s="179"/>
      <c r="Z649" s="180"/>
      <c r="AB649" s="544">
        <f ca="1">IF(AND($D649="Serviço",AB$12&lt;&gt;0,$H649&gt;0,OR(AUTOEVENTO&lt;&gt;"manual",$M649&lt;&gt;1)),
IF(Import.TipoArredondamento&lt;&gt;"TransfereGOV",
ROUND(OFFSET($P649,0,AB$13),15-13*ORÇAMENTO!$AF$7)/$H649*OFFSET(ORÇAMENTO!$X$15,ROW(AB649)-ROW(AB$15),0),
ROUND(ROUND(OFFSET($P649,0,AB$13),15-13*ORÇAMENTO!$AF$7)*OFFSET(ORÇAMENTO!$W$15,ROW(AB649)-ROW(AB$15),0),15-13*ORÇAMENTO!$AF$11)),0)</f>
        <v>0</v>
      </c>
      <c r="AC649" s="545">
        <f ca="1">IF(AND($D649="Serviço",AC$12&lt;&gt;0,$H649&gt;0,OR(AUTOEVENTO&lt;&gt;"manual",$M649&lt;&gt;1)),
IF(Import.TipoArredondamento&lt;&gt;"TransfereGOV",
ROUND(OFFSET($P649,0,AC$13),15-13*ORÇAMENTO!$AF$7)/$H649*OFFSET(ORÇAMENTO!$X$15,ROW(AC649)-ROW(AC$15),0),
ROUND(ROUND(OFFSET($P649,0,AC$13),15-13*ORÇAMENTO!$AF$7)*OFFSET(ORÇAMENTO!$W$15,ROW(AC649)-ROW(AC$15),0),15-13*ORÇAMENTO!$AF$11)),0)</f>
        <v>0</v>
      </c>
      <c r="AD649" s="545">
        <f ca="1">IF(AND($D649="Serviço",AD$12&lt;&gt;0,$H649&gt;0,OR(AUTOEVENTO&lt;&gt;"manual",$M649&lt;&gt;1)),
IF(Import.TipoArredondamento&lt;&gt;"TransfereGOV",
ROUND(OFFSET($P649,0,AD$13),15-13*ORÇAMENTO!$AF$7)/$H649*OFFSET(ORÇAMENTO!$X$15,ROW(AD649)-ROW(AD$15),0),
ROUND(ROUND(OFFSET($P649,0,AD$13),15-13*ORÇAMENTO!$AF$7)*OFFSET(ORÇAMENTO!$W$15,ROW(AD649)-ROW(AD$15),0),15-13*ORÇAMENTO!$AF$11)),0)</f>
        <v>0</v>
      </c>
      <c r="AE649" s="545">
        <f ca="1">IF(AND($D649="Serviço",AE$12&lt;&gt;0,$H649&gt;0,OR(AUTOEVENTO&lt;&gt;"manual",$M649&lt;&gt;1)),
IF(Import.TipoArredondamento&lt;&gt;"TransfereGOV",
ROUND(OFFSET($P649,0,AE$13),15-13*ORÇAMENTO!$AF$7)/$H649*OFFSET(ORÇAMENTO!$X$15,ROW(AE649)-ROW(AE$15),0),
ROUND(ROUND(OFFSET($P649,0,AE$13),15-13*ORÇAMENTO!$AF$7)*OFFSET(ORÇAMENTO!$W$15,ROW(AE649)-ROW(AE$15),0),15-13*ORÇAMENTO!$AF$11)),0)</f>
        <v>0</v>
      </c>
      <c r="AF649" s="545">
        <f ca="1">IF(AND($D649="Serviço",AF$12&lt;&gt;0,$H649&gt;0,OR(AUTOEVENTO&lt;&gt;"manual",$M649&lt;&gt;1)),
IF(Import.TipoArredondamento&lt;&gt;"TransfereGOV",
ROUND(OFFSET($P649,0,AF$13),15-13*ORÇAMENTO!$AF$7)/$H649*OFFSET(ORÇAMENTO!$X$15,ROW(AF649)-ROW(AF$15),0),
ROUND(ROUND(OFFSET($P649,0,AF$13),15-13*ORÇAMENTO!$AF$7)*OFFSET(ORÇAMENTO!$W$15,ROW(AF649)-ROW(AF$15),0),15-13*ORÇAMENTO!$AF$11)),0)</f>
        <v>0</v>
      </c>
      <c r="AG649" s="545">
        <f ca="1">IF(AND($D649="Serviço",AG$12&lt;&gt;0,$H649&gt;0,OR(AUTOEVENTO&lt;&gt;"manual",$M649&lt;&gt;1)),
IF(Import.TipoArredondamento&lt;&gt;"TransfereGOV",
ROUND(OFFSET($P649,0,AG$13),15-13*ORÇAMENTO!$AF$7)/$H649*OFFSET(ORÇAMENTO!$X$15,ROW(AG649)-ROW(AG$15),0),
ROUND(ROUND(OFFSET($P649,0,AG$13),15-13*ORÇAMENTO!$AF$7)*OFFSET(ORÇAMENTO!$W$15,ROW(AG649)-ROW(AG$15),0),15-13*ORÇAMENTO!$AF$11)),0)</f>
        <v>0</v>
      </c>
      <c r="AH649" s="545">
        <f ca="1">IF(AND($D649="Serviço",AH$12&lt;&gt;0,$H649&gt;0,OR(AUTOEVENTO&lt;&gt;"manual",$M649&lt;&gt;1)),
IF(Import.TipoArredondamento&lt;&gt;"TransfereGOV",
ROUND(OFFSET($P649,0,AH$13),15-13*ORÇAMENTO!$AF$7)/$H649*OFFSET(ORÇAMENTO!$X$15,ROW(AH649)-ROW(AH$15),0),
ROUND(ROUND(OFFSET($P649,0,AH$13),15-13*ORÇAMENTO!$AF$7)*OFFSET(ORÇAMENTO!$W$15,ROW(AH649)-ROW(AH$15),0),15-13*ORÇAMENTO!$AF$11)),0)</f>
        <v>0</v>
      </c>
      <c r="AI649" s="545">
        <f ca="1">IF(AND($D649="Serviço",AI$12&lt;&gt;0,$H649&gt;0,OR(AUTOEVENTO&lt;&gt;"manual",$M649&lt;&gt;1)),
IF(Import.TipoArredondamento&lt;&gt;"TransfereGOV",
ROUND(OFFSET($P649,0,AI$13),15-13*ORÇAMENTO!$AF$7)/$H649*OFFSET(ORÇAMENTO!$X$15,ROW(AI649)-ROW(AI$15),0),
ROUND(ROUND(OFFSET($P649,0,AI$13),15-13*ORÇAMENTO!$AF$7)*OFFSET(ORÇAMENTO!$W$15,ROW(AI649)-ROW(AI$15),0),15-13*ORÇAMENTO!$AF$11)),0)</f>
        <v>0</v>
      </c>
      <c r="AJ649" s="545">
        <f ca="1">IF(AND($D649="Serviço",AJ$12&lt;&gt;0,$H649&gt;0,OR(AUTOEVENTO&lt;&gt;"manual",$M649&lt;&gt;1)),
IF(Import.TipoArredondamento&lt;&gt;"TransfereGOV",
ROUND(OFFSET($P649,0,AJ$13),15-13*ORÇAMENTO!$AF$7)/$H649*OFFSET(ORÇAMENTO!$X$15,ROW(AJ649)-ROW(AJ$15),0),
ROUND(ROUND(OFFSET($P649,0,AJ$13),15-13*ORÇAMENTO!$AF$7)*OFFSET(ORÇAMENTO!$W$15,ROW(AJ649)-ROW(AJ$15),0),15-13*ORÇAMENTO!$AF$11)),0)</f>
        <v>0</v>
      </c>
      <c r="AK649" s="546">
        <f ca="1">IF(AND($D649="Serviço",AK$12&lt;&gt;0,$H649&gt;0,OR(AUTOEVENTO&lt;&gt;"manual",$M649&lt;&gt;1)),
IF(Import.TipoArredondamento&lt;&gt;"TransfereGOV",
ROUND(OFFSET($P649,0,AK$13),15-13*ORÇAMENTO!$AF$7)/$H649*OFFSET(ORÇAMENTO!$X$15,ROW(AK649)-ROW(AK$15),0),
ROUND(ROUND(OFFSET($P649,0,AK$13),15-13*ORÇAMENTO!$AF$7)*OFFSET(ORÇAMENTO!$W$15,ROW(AK649)-ROW(AK$15),0),15-13*ORÇAMENTO!$AF$11)),0)</f>
        <v>0</v>
      </c>
      <c r="AM649" s="181">
        <f ca="1">IF($D649&lt;&gt;"Serviço",0,IF(AND(AUTOEVENTO="Manual",$M649=1),0,IF(OFFSET(CRONOPLE!$F$14,$M649,AM$13)="",10^12,OFFSET(CRONOPLE!$F$14,$M649,AM$13))))</f>
        <v>1000000000000</v>
      </c>
      <c r="AN649" s="181">
        <f ca="1">IF($D649&lt;&gt;"Serviço",0,IF(AND(AUTOEVENTO="Manual",$M649=1),0,IF(OFFSET(CRONOPLE!$F$14,$M649,AN$13)="",10^12,OFFSET(CRONOPLE!$F$14,$M649,AN$13))))</f>
        <v>1000000000000</v>
      </c>
      <c r="AO649" s="181">
        <f ca="1">IF($D649&lt;&gt;"Serviço",0,IF(AND(AUTOEVENTO="Manual",$M649=1),0,IF(OFFSET(CRONOPLE!$F$14,$M649,AO$13)="",10^12,OFFSET(CRONOPLE!$F$14,$M649,AO$13))))</f>
        <v>1000000000000</v>
      </c>
      <c r="AP649" s="181">
        <f ca="1">IF($D649&lt;&gt;"Serviço",0,IF(AND(AUTOEVENTO="Manual",$M649=1),0,IF(OFFSET(CRONOPLE!$F$14,$M649,AP$13)="",10^12,OFFSET(CRONOPLE!$F$14,$M649,AP$13))))</f>
        <v>1000000000000</v>
      </c>
      <c r="AQ649" s="181">
        <f ca="1">IF($D649&lt;&gt;"Serviço",0,IF(AND(AUTOEVENTO="Manual",$M649=1),0,IF(OFFSET(CRONOPLE!$F$14,$M649,AQ$13)="",10^12,OFFSET(CRONOPLE!$F$14,$M649,AQ$13))))</f>
        <v>1000000000000</v>
      </c>
      <c r="AR649" s="181">
        <f ca="1">IF($D649&lt;&gt;"Serviço",0,IF(AND(AUTOEVENTO="Manual",$M649=1),0,IF(OFFSET(CRONOPLE!$F$14,$M649,AR$13)="",10^12,OFFSET(CRONOPLE!$F$14,$M649,AR$13))))</f>
        <v>1000000000000</v>
      </c>
      <c r="AS649" s="181">
        <f ca="1">IF($D649&lt;&gt;"Serviço",0,IF(AND(AUTOEVENTO="Manual",$M649=1),0,IF(OFFSET(CRONOPLE!$F$14,$M649,AS$13)="",10^12,OFFSET(CRONOPLE!$F$14,$M649,AS$13))))</f>
        <v>1000000000000</v>
      </c>
      <c r="AT649" s="181">
        <f ca="1">IF($D649&lt;&gt;"Serviço",0,IF(AND(AUTOEVENTO="Manual",$M649=1),0,IF(OFFSET(CRONOPLE!$F$14,$M649,AT$13)="",10^12,OFFSET(CRONOPLE!$F$14,$M649,AT$13))))</f>
        <v>1000000000000</v>
      </c>
      <c r="AU649" s="181">
        <f ca="1">IF($D649&lt;&gt;"Serviço",0,IF(AND(AUTOEVENTO="Manual",$M649=1),0,IF(OFFSET(CRONOPLE!$F$14,$M649,AU$13)="",10^12,OFFSET(CRONOPLE!$F$14,$M649,AU$13))))</f>
        <v>1000000000000</v>
      </c>
      <c r="AV649" s="181">
        <f ca="1">IF($D649&lt;&gt;"Serviço",0,IF(AND(AUTOEVENTO="Manual",$M649=1),0,IF(OFFSET(CRONOPLE!$F$14,$M649,AV$13)="",10^12,OFFSET(CRONOPLE!$F$14,$M649,AV$13))))</f>
        <v>1000000000000</v>
      </c>
      <c r="AX649" s="182">
        <f ca="1">IF($D649&lt;&gt;"Serviço",0,IF(OR(AND(AUTOEVENTO="Manual",$M649=1),$M649&gt;(ROW(PLE.lastrow)-ROW(PLE.firstrow))),0,IF(OFFSET(PLE!$G$14,$M649,AX$13)="",10^12,OFFSET(PLE!$G$14,$M649,AX$13))))</f>
        <v>1000000000000</v>
      </c>
      <c r="AY649" s="182">
        <f ca="1">IF($D649&lt;&gt;"Serviço",0,IF(OR(AND(AUTOEVENTO="Manual",$M649=1),$M649&gt;(ROW(PLE.lastrow)-ROW(PLE.firstrow))),0,IF(OFFSET(PLE!$G$14,$M649,AY$13)="",10^12,OFFSET(PLE!$G$14,$M649,AY$13))))</f>
        <v>1000000000000</v>
      </c>
      <c r="AZ649" s="182">
        <f ca="1">IF($D649&lt;&gt;"Serviço",0,IF(OR(AND(AUTOEVENTO="Manual",$M649=1),$M649&gt;(ROW(PLE.lastrow)-ROW(PLE.firstrow))),0,IF(OFFSET(PLE!$G$14,$M649,AZ$13)="",10^12,OFFSET(PLE!$G$14,$M649,AZ$13))))</f>
        <v>1000000000000</v>
      </c>
      <c r="BA649" s="182">
        <f ca="1">IF($D649&lt;&gt;"Serviço",0,IF(OR(AND(AUTOEVENTO="Manual",$M649=1),$M649&gt;(ROW(PLE.lastrow)-ROW(PLE.firstrow))),0,IF(OFFSET(PLE!$G$14,$M649,BA$13)="",10^12,OFFSET(PLE!$G$14,$M649,BA$13))))</f>
        <v>1000000000000</v>
      </c>
      <c r="BB649" s="182">
        <f ca="1">IF($D649&lt;&gt;"Serviço",0,IF(OR(AND(AUTOEVENTO="Manual",$M649=1),$M649&gt;(ROW(PLE.lastrow)-ROW(PLE.firstrow))),0,IF(OFFSET(PLE!$G$14,$M649,BB$13)="",10^12,OFFSET(PLE!$G$14,$M649,BB$13))))</f>
        <v>1000000000000</v>
      </c>
      <c r="BC649" s="182">
        <f ca="1">IF($D649&lt;&gt;"Serviço",0,IF(OR(AND(AUTOEVENTO="Manual",$M649=1),$M649&gt;(ROW(PLE.lastrow)-ROW(PLE.firstrow))),0,IF(OFFSET(PLE!$G$14,$M649,BC$13)="",10^12,OFFSET(PLE!$G$14,$M649,BC$13))))</f>
        <v>1000000000000</v>
      </c>
      <c r="BD649" s="182">
        <f ca="1">IF($D649&lt;&gt;"Serviço",0,IF(OR(AND(AUTOEVENTO="Manual",$M649=1),$M649&gt;(ROW(PLE.lastrow)-ROW(PLE.firstrow))),0,IF(OFFSET(PLE!$G$14,$M649,BD$13)="",10^12,OFFSET(PLE!$G$14,$M649,BD$13))))</f>
        <v>1000000000000</v>
      </c>
      <c r="BE649" s="182">
        <f ca="1">IF($D649&lt;&gt;"Serviço",0,IF(OR(AND(AUTOEVENTO="Manual",$M649=1),$M649&gt;(ROW(PLE.lastrow)-ROW(PLE.firstrow))),0,IF(OFFSET(PLE!$G$14,$M649,BE$13)="",10^12,OFFSET(PLE!$G$14,$M649,BE$13))))</f>
        <v>1000000000000</v>
      </c>
      <c r="BF649" s="182">
        <f ca="1">IF($D649&lt;&gt;"Serviço",0,IF(OR(AND(AUTOEVENTO="Manual",$M649=1),$M649&gt;(ROW(PLE.lastrow)-ROW(PLE.firstrow))),0,IF(OFFSET(PLE!$G$14,$M649,BF$13)="",10^12,OFFSET(PLE!$G$14,$M649,BF$13))))</f>
        <v>1000000000000</v>
      </c>
      <c r="BG649" s="182">
        <f ca="1">IF($D649&lt;&gt;"Serviço",0,IF(OR(AND(AUTOEVENTO="Manual",$M649=1),$M649&gt;(ROW(PLE.lastrow)-ROW(PLE.firstrow))),0,IF(OFFSET(PLE!$G$14,$M649,BG$13)="",10^12,OFFSET(PLE!$G$14,$M649,BG$13))))</f>
        <v>1000000000000</v>
      </c>
    </row>
    <row r="650" spans="1:59" ht="38.25" x14ac:dyDescent="0.2">
      <c r="A650" s="7" t="str">
        <f t="shared" ca="1" si="17"/>
        <v>631</v>
      </c>
      <c r="B650" s="7" t="str">
        <f ca="1">OFFSET(ORÇAMENTO!C$15,ROW(B650)-ROW(B$15),0)</f>
        <v>S</v>
      </c>
      <c r="C650" s="7" t="str">
        <f ca="1">OFFSET(ORÇAMENTO!L$15,ROW(C650)-ROW(C$15),0)</f>
        <v/>
      </c>
      <c r="D650" s="118" t="str">
        <f ca="1">OFFSET(ORÇAMENTO!N$15,ROW(D650)-ROW(D$15),0)</f>
        <v>Serviço</v>
      </c>
      <c r="E650" s="119" t="str">
        <f ca="1">OFFSET(ORÇAMENTO!O$15,ROW(E650)-ROW(E$15),0)</f>
        <v>-</v>
      </c>
      <c r="F650" s="172" t="str">
        <f ca="1">OFFSET(ORÇAMENTO!R$15,ROW(F650)-ROW(F$15),0)</f>
        <v>(abra o arquivo 'Referência 02-2025.xlsm)</v>
      </c>
      <c r="G650" s="173" t="str">
        <f ca="1">IF($D650&lt;&gt;"Serviço","",OFFSET(ORÇAMENTO!S$15,ROW(G650)-ROW(G$15),0))</f>
        <v>-</v>
      </c>
      <c r="H650" s="124">
        <f ca="1">IF($D650&lt;&gt;"Serviço",0,IF(ACOMPANHAMENTO="BM",ROUND(OFFSET(ORÇAMENTO!AJ$15,ROW(H650)-ROW(H$15),0),15-13*ORÇAMENTO!$AF$7),SUMPRODUCT(($Q$12:$AA$12&lt;&gt;"")*ROUND($Q650:$AA650,15-13*ORÇAMENTO!$AF$7))))</f>
        <v>280</v>
      </c>
      <c r="I650" s="561" t="s">
        <v>890</v>
      </c>
      <c r="K650" s="174"/>
      <c r="L650" s="175" t="s">
        <v>255</v>
      </c>
      <c r="M650" s="176">
        <f ca="1">IF($D650&lt;&gt;"Serviço","",IF(AUTOEVENTO="manual",$A650,IF(ISERROR(MATCH($A650,$A$15:OFFSET($A650,-1,0),0)),MAX($M$15:OFFSET(M650,-1,0))+1,INDEX($M$15:OFFSET(M650,-1,0),MATCH($A650,$A$15:OFFSET($A650,-1,0),0)))))</f>
        <v>20</v>
      </c>
      <c r="N650" s="177" t="str">
        <f ca="1">IF($D650&lt;&gt;"Serviço","",IF(AUTOEVENTO="Manual",IF($A650=0,"&lt;-- defina o número do agrupador",OFFSET(EVENTOS!$D$14,$A650,0)),OFFSET($F$15,$A650,0)))</f>
        <v>SISTEMA DE PROTEÇÃO CONTRA DESCARGAS ATMOSFÉRICAS (SPDA)</v>
      </c>
      <c r="O650" s="178"/>
      <c r="Q650" s="178"/>
      <c r="R650" s="179"/>
      <c r="S650" s="179"/>
      <c r="T650" s="179"/>
      <c r="U650" s="179"/>
      <c r="V650" s="179"/>
      <c r="W650" s="179"/>
      <c r="X650" s="179"/>
      <c r="Y650" s="179"/>
      <c r="Z650" s="180"/>
      <c r="AB650" s="544">
        <f ca="1">IF(AND($D650="Serviço",AB$12&lt;&gt;0,$H650&gt;0,OR(AUTOEVENTO&lt;&gt;"manual",$M650&lt;&gt;1)),
IF(Import.TipoArredondamento&lt;&gt;"TransfereGOV",
ROUND(OFFSET($P650,0,AB$13),15-13*ORÇAMENTO!$AF$7)/$H650*OFFSET(ORÇAMENTO!$X$15,ROW(AB650)-ROW(AB$15),0),
ROUND(ROUND(OFFSET($P650,0,AB$13),15-13*ORÇAMENTO!$AF$7)*OFFSET(ORÇAMENTO!$W$15,ROW(AB650)-ROW(AB$15),0),15-13*ORÇAMENTO!$AF$11)),0)</f>
        <v>0</v>
      </c>
      <c r="AC650" s="545">
        <f ca="1">IF(AND($D650="Serviço",AC$12&lt;&gt;0,$H650&gt;0,OR(AUTOEVENTO&lt;&gt;"manual",$M650&lt;&gt;1)),
IF(Import.TipoArredondamento&lt;&gt;"TransfereGOV",
ROUND(OFFSET($P650,0,AC$13),15-13*ORÇAMENTO!$AF$7)/$H650*OFFSET(ORÇAMENTO!$X$15,ROW(AC650)-ROW(AC$15),0),
ROUND(ROUND(OFFSET($P650,0,AC$13),15-13*ORÇAMENTO!$AF$7)*OFFSET(ORÇAMENTO!$W$15,ROW(AC650)-ROW(AC$15),0),15-13*ORÇAMENTO!$AF$11)),0)</f>
        <v>0</v>
      </c>
      <c r="AD650" s="545">
        <f ca="1">IF(AND($D650="Serviço",AD$12&lt;&gt;0,$H650&gt;0,OR(AUTOEVENTO&lt;&gt;"manual",$M650&lt;&gt;1)),
IF(Import.TipoArredondamento&lt;&gt;"TransfereGOV",
ROUND(OFFSET($P650,0,AD$13),15-13*ORÇAMENTO!$AF$7)/$H650*OFFSET(ORÇAMENTO!$X$15,ROW(AD650)-ROW(AD$15),0),
ROUND(ROUND(OFFSET($P650,0,AD$13),15-13*ORÇAMENTO!$AF$7)*OFFSET(ORÇAMENTO!$W$15,ROW(AD650)-ROW(AD$15),0),15-13*ORÇAMENTO!$AF$11)),0)</f>
        <v>0</v>
      </c>
      <c r="AE650" s="545">
        <f ca="1">IF(AND($D650="Serviço",AE$12&lt;&gt;0,$H650&gt;0,OR(AUTOEVENTO&lt;&gt;"manual",$M650&lt;&gt;1)),
IF(Import.TipoArredondamento&lt;&gt;"TransfereGOV",
ROUND(OFFSET($P650,0,AE$13),15-13*ORÇAMENTO!$AF$7)/$H650*OFFSET(ORÇAMENTO!$X$15,ROW(AE650)-ROW(AE$15),0),
ROUND(ROUND(OFFSET($P650,0,AE$13),15-13*ORÇAMENTO!$AF$7)*OFFSET(ORÇAMENTO!$W$15,ROW(AE650)-ROW(AE$15),0),15-13*ORÇAMENTO!$AF$11)),0)</f>
        <v>0</v>
      </c>
      <c r="AF650" s="545">
        <f ca="1">IF(AND($D650="Serviço",AF$12&lt;&gt;0,$H650&gt;0,OR(AUTOEVENTO&lt;&gt;"manual",$M650&lt;&gt;1)),
IF(Import.TipoArredondamento&lt;&gt;"TransfereGOV",
ROUND(OFFSET($P650,0,AF$13),15-13*ORÇAMENTO!$AF$7)/$H650*OFFSET(ORÇAMENTO!$X$15,ROW(AF650)-ROW(AF$15),0),
ROUND(ROUND(OFFSET($P650,0,AF$13),15-13*ORÇAMENTO!$AF$7)*OFFSET(ORÇAMENTO!$W$15,ROW(AF650)-ROW(AF$15),0),15-13*ORÇAMENTO!$AF$11)),0)</f>
        <v>0</v>
      </c>
      <c r="AG650" s="545">
        <f ca="1">IF(AND($D650="Serviço",AG$12&lt;&gt;0,$H650&gt;0,OR(AUTOEVENTO&lt;&gt;"manual",$M650&lt;&gt;1)),
IF(Import.TipoArredondamento&lt;&gt;"TransfereGOV",
ROUND(OFFSET($P650,0,AG$13),15-13*ORÇAMENTO!$AF$7)/$H650*OFFSET(ORÇAMENTO!$X$15,ROW(AG650)-ROW(AG$15),0),
ROUND(ROUND(OFFSET($P650,0,AG$13),15-13*ORÇAMENTO!$AF$7)*OFFSET(ORÇAMENTO!$W$15,ROW(AG650)-ROW(AG$15),0),15-13*ORÇAMENTO!$AF$11)),0)</f>
        <v>0</v>
      </c>
      <c r="AH650" s="545">
        <f ca="1">IF(AND($D650="Serviço",AH$12&lt;&gt;0,$H650&gt;0,OR(AUTOEVENTO&lt;&gt;"manual",$M650&lt;&gt;1)),
IF(Import.TipoArredondamento&lt;&gt;"TransfereGOV",
ROUND(OFFSET($P650,0,AH$13),15-13*ORÇAMENTO!$AF$7)/$H650*OFFSET(ORÇAMENTO!$X$15,ROW(AH650)-ROW(AH$15),0),
ROUND(ROUND(OFFSET($P650,0,AH$13),15-13*ORÇAMENTO!$AF$7)*OFFSET(ORÇAMENTO!$W$15,ROW(AH650)-ROW(AH$15),0),15-13*ORÇAMENTO!$AF$11)),0)</f>
        <v>0</v>
      </c>
      <c r="AI650" s="545">
        <f ca="1">IF(AND($D650="Serviço",AI$12&lt;&gt;0,$H650&gt;0,OR(AUTOEVENTO&lt;&gt;"manual",$M650&lt;&gt;1)),
IF(Import.TipoArredondamento&lt;&gt;"TransfereGOV",
ROUND(OFFSET($P650,0,AI$13),15-13*ORÇAMENTO!$AF$7)/$H650*OFFSET(ORÇAMENTO!$X$15,ROW(AI650)-ROW(AI$15),0),
ROUND(ROUND(OFFSET($P650,0,AI$13),15-13*ORÇAMENTO!$AF$7)*OFFSET(ORÇAMENTO!$W$15,ROW(AI650)-ROW(AI$15),0),15-13*ORÇAMENTO!$AF$11)),0)</f>
        <v>0</v>
      </c>
      <c r="AJ650" s="545">
        <f ca="1">IF(AND($D650="Serviço",AJ$12&lt;&gt;0,$H650&gt;0,OR(AUTOEVENTO&lt;&gt;"manual",$M650&lt;&gt;1)),
IF(Import.TipoArredondamento&lt;&gt;"TransfereGOV",
ROUND(OFFSET($P650,0,AJ$13),15-13*ORÇAMENTO!$AF$7)/$H650*OFFSET(ORÇAMENTO!$X$15,ROW(AJ650)-ROW(AJ$15),0),
ROUND(ROUND(OFFSET($P650,0,AJ$13),15-13*ORÇAMENTO!$AF$7)*OFFSET(ORÇAMENTO!$W$15,ROW(AJ650)-ROW(AJ$15),0),15-13*ORÇAMENTO!$AF$11)),0)</f>
        <v>0</v>
      </c>
      <c r="AK650" s="546">
        <f ca="1">IF(AND($D650="Serviço",AK$12&lt;&gt;0,$H650&gt;0,OR(AUTOEVENTO&lt;&gt;"manual",$M650&lt;&gt;1)),
IF(Import.TipoArredondamento&lt;&gt;"TransfereGOV",
ROUND(OFFSET($P650,0,AK$13),15-13*ORÇAMENTO!$AF$7)/$H650*OFFSET(ORÇAMENTO!$X$15,ROW(AK650)-ROW(AK$15),0),
ROUND(ROUND(OFFSET($P650,0,AK$13),15-13*ORÇAMENTO!$AF$7)*OFFSET(ORÇAMENTO!$W$15,ROW(AK650)-ROW(AK$15),0),15-13*ORÇAMENTO!$AF$11)),0)</f>
        <v>0</v>
      </c>
      <c r="AM650" s="181">
        <f ca="1">IF($D650&lt;&gt;"Serviço",0,IF(AND(AUTOEVENTO="Manual",$M650=1),0,IF(OFFSET(CRONOPLE!$F$14,$M650,AM$13)="",10^12,OFFSET(CRONOPLE!$F$14,$M650,AM$13))))</f>
        <v>1000000000000</v>
      </c>
      <c r="AN650" s="181">
        <f ca="1">IF($D650&lt;&gt;"Serviço",0,IF(AND(AUTOEVENTO="Manual",$M650=1),0,IF(OFFSET(CRONOPLE!$F$14,$M650,AN$13)="",10^12,OFFSET(CRONOPLE!$F$14,$M650,AN$13))))</f>
        <v>1000000000000</v>
      </c>
      <c r="AO650" s="181">
        <f ca="1">IF($D650&lt;&gt;"Serviço",0,IF(AND(AUTOEVENTO="Manual",$M650=1),0,IF(OFFSET(CRONOPLE!$F$14,$M650,AO$13)="",10^12,OFFSET(CRONOPLE!$F$14,$M650,AO$13))))</f>
        <v>1000000000000</v>
      </c>
      <c r="AP650" s="181">
        <f ca="1">IF($D650&lt;&gt;"Serviço",0,IF(AND(AUTOEVENTO="Manual",$M650=1),0,IF(OFFSET(CRONOPLE!$F$14,$M650,AP$13)="",10^12,OFFSET(CRONOPLE!$F$14,$M650,AP$13))))</f>
        <v>1000000000000</v>
      </c>
      <c r="AQ650" s="181">
        <f ca="1">IF($D650&lt;&gt;"Serviço",0,IF(AND(AUTOEVENTO="Manual",$M650=1),0,IF(OFFSET(CRONOPLE!$F$14,$M650,AQ$13)="",10^12,OFFSET(CRONOPLE!$F$14,$M650,AQ$13))))</f>
        <v>1000000000000</v>
      </c>
      <c r="AR650" s="181">
        <f ca="1">IF($D650&lt;&gt;"Serviço",0,IF(AND(AUTOEVENTO="Manual",$M650=1),0,IF(OFFSET(CRONOPLE!$F$14,$M650,AR$13)="",10^12,OFFSET(CRONOPLE!$F$14,$M650,AR$13))))</f>
        <v>1000000000000</v>
      </c>
      <c r="AS650" s="181">
        <f ca="1">IF($D650&lt;&gt;"Serviço",0,IF(AND(AUTOEVENTO="Manual",$M650=1),0,IF(OFFSET(CRONOPLE!$F$14,$M650,AS$13)="",10^12,OFFSET(CRONOPLE!$F$14,$M650,AS$13))))</f>
        <v>1000000000000</v>
      </c>
      <c r="AT650" s="181">
        <f ca="1">IF($D650&lt;&gt;"Serviço",0,IF(AND(AUTOEVENTO="Manual",$M650=1),0,IF(OFFSET(CRONOPLE!$F$14,$M650,AT$13)="",10^12,OFFSET(CRONOPLE!$F$14,$M650,AT$13))))</f>
        <v>1000000000000</v>
      </c>
      <c r="AU650" s="181">
        <f ca="1">IF($D650&lt;&gt;"Serviço",0,IF(AND(AUTOEVENTO="Manual",$M650=1),0,IF(OFFSET(CRONOPLE!$F$14,$M650,AU$13)="",10^12,OFFSET(CRONOPLE!$F$14,$M650,AU$13))))</f>
        <v>1000000000000</v>
      </c>
      <c r="AV650" s="181">
        <f ca="1">IF($D650&lt;&gt;"Serviço",0,IF(AND(AUTOEVENTO="Manual",$M650=1),0,IF(OFFSET(CRONOPLE!$F$14,$M650,AV$13)="",10^12,OFFSET(CRONOPLE!$F$14,$M650,AV$13))))</f>
        <v>1000000000000</v>
      </c>
      <c r="AX650" s="182">
        <f ca="1">IF($D650&lt;&gt;"Serviço",0,IF(OR(AND(AUTOEVENTO="Manual",$M650=1),$M650&gt;(ROW(PLE.lastrow)-ROW(PLE.firstrow))),0,IF(OFFSET(PLE!$G$14,$M650,AX$13)="",10^12,OFFSET(PLE!$G$14,$M650,AX$13))))</f>
        <v>1000000000000</v>
      </c>
      <c r="AY650" s="182">
        <f ca="1">IF($D650&lt;&gt;"Serviço",0,IF(OR(AND(AUTOEVENTO="Manual",$M650=1),$M650&gt;(ROW(PLE.lastrow)-ROW(PLE.firstrow))),0,IF(OFFSET(PLE!$G$14,$M650,AY$13)="",10^12,OFFSET(PLE!$G$14,$M650,AY$13))))</f>
        <v>1000000000000</v>
      </c>
      <c r="AZ650" s="182">
        <f ca="1">IF($D650&lt;&gt;"Serviço",0,IF(OR(AND(AUTOEVENTO="Manual",$M650=1),$M650&gt;(ROW(PLE.lastrow)-ROW(PLE.firstrow))),0,IF(OFFSET(PLE!$G$14,$M650,AZ$13)="",10^12,OFFSET(PLE!$G$14,$M650,AZ$13))))</f>
        <v>1000000000000</v>
      </c>
      <c r="BA650" s="182">
        <f ca="1">IF($D650&lt;&gt;"Serviço",0,IF(OR(AND(AUTOEVENTO="Manual",$M650=1),$M650&gt;(ROW(PLE.lastrow)-ROW(PLE.firstrow))),0,IF(OFFSET(PLE!$G$14,$M650,BA$13)="",10^12,OFFSET(PLE!$G$14,$M650,BA$13))))</f>
        <v>1000000000000</v>
      </c>
      <c r="BB650" s="182">
        <f ca="1">IF($D650&lt;&gt;"Serviço",0,IF(OR(AND(AUTOEVENTO="Manual",$M650=1),$M650&gt;(ROW(PLE.lastrow)-ROW(PLE.firstrow))),0,IF(OFFSET(PLE!$G$14,$M650,BB$13)="",10^12,OFFSET(PLE!$G$14,$M650,BB$13))))</f>
        <v>1000000000000</v>
      </c>
      <c r="BC650" s="182">
        <f ca="1">IF($D650&lt;&gt;"Serviço",0,IF(OR(AND(AUTOEVENTO="Manual",$M650=1),$M650&gt;(ROW(PLE.lastrow)-ROW(PLE.firstrow))),0,IF(OFFSET(PLE!$G$14,$M650,BC$13)="",10^12,OFFSET(PLE!$G$14,$M650,BC$13))))</f>
        <v>1000000000000</v>
      </c>
      <c r="BD650" s="182">
        <f ca="1">IF($D650&lt;&gt;"Serviço",0,IF(OR(AND(AUTOEVENTO="Manual",$M650=1),$M650&gt;(ROW(PLE.lastrow)-ROW(PLE.firstrow))),0,IF(OFFSET(PLE!$G$14,$M650,BD$13)="",10^12,OFFSET(PLE!$G$14,$M650,BD$13))))</f>
        <v>1000000000000</v>
      </c>
      <c r="BE650" s="182">
        <f ca="1">IF($D650&lt;&gt;"Serviço",0,IF(OR(AND(AUTOEVENTO="Manual",$M650=1),$M650&gt;(ROW(PLE.lastrow)-ROW(PLE.firstrow))),0,IF(OFFSET(PLE!$G$14,$M650,BE$13)="",10^12,OFFSET(PLE!$G$14,$M650,BE$13))))</f>
        <v>1000000000000</v>
      </c>
      <c r="BF650" s="182">
        <f ca="1">IF($D650&lt;&gt;"Serviço",0,IF(OR(AND(AUTOEVENTO="Manual",$M650=1),$M650&gt;(ROW(PLE.lastrow)-ROW(PLE.firstrow))),0,IF(OFFSET(PLE!$G$14,$M650,BF$13)="",10^12,OFFSET(PLE!$G$14,$M650,BF$13))))</f>
        <v>1000000000000</v>
      </c>
      <c r="BG650" s="182">
        <f ca="1">IF($D650&lt;&gt;"Serviço",0,IF(OR(AND(AUTOEVENTO="Manual",$M650=1),$M650&gt;(ROW(PLE.lastrow)-ROW(PLE.firstrow))),0,IF(OFFSET(PLE!$G$14,$M650,BG$13)="",10^12,OFFSET(PLE!$G$14,$M650,BG$13))))</f>
        <v>1000000000000</v>
      </c>
    </row>
    <row r="651" spans="1:59" ht="38.25" x14ac:dyDescent="0.2">
      <c r="A651" s="7" t="str">
        <f t="shared" ca="1" si="17"/>
        <v>631</v>
      </c>
      <c r="B651" s="7" t="str">
        <f ca="1">OFFSET(ORÇAMENTO!C$15,ROW(B651)-ROW(B$15),0)</f>
        <v>S</v>
      </c>
      <c r="C651" s="7" t="str">
        <f ca="1">OFFSET(ORÇAMENTO!L$15,ROW(C651)-ROW(C$15),0)</f>
        <v/>
      </c>
      <c r="D651" s="118" t="str">
        <f ca="1">OFFSET(ORÇAMENTO!N$15,ROW(D651)-ROW(D$15),0)</f>
        <v>Serviço</v>
      </c>
      <c r="E651" s="119" t="str">
        <f ca="1">OFFSET(ORÇAMENTO!O$15,ROW(E651)-ROW(E$15),0)</f>
        <v>-</v>
      </c>
      <c r="F651" s="172" t="str">
        <f ca="1">OFFSET(ORÇAMENTO!R$15,ROW(F651)-ROW(F$15),0)</f>
        <v>(abra o arquivo 'Referência 02-2025.xlsm)</v>
      </c>
      <c r="G651" s="173" t="str">
        <f ca="1">IF($D651&lt;&gt;"Serviço","",OFFSET(ORÇAMENTO!S$15,ROW(G651)-ROW(G$15),0))</f>
        <v>-</v>
      </c>
      <c r="H651" s="124">
        <f ca="1">IF($D651&lt;&gt;"Serviço",0,IF(ACOMPANHAMENTO="BM",ROUND(OFFSET(ORÇAMENTO!AJ$15,ROW(H651)-ROW(H$15),0),15-13*ORÇAMENTO!$AF$7),SUMPRODUCT(($Q$12:$AA$12&lt;&gt;"")*ROUND($Q651:$AA651,15-13*ORÇAMENTO!$AF$7))))</f>
        <v>310</v>
      </c>
      <c r="I651" s="561" t="s">
        <v>890</v>
      </c>
      <c r="K651" s="174"/>
      <c r="L651" s="175" t="s">
        <v>255</v>
      </c>
      <c r="M651" s="176">
        <f ca="1">IF($D651&lt;&gt;"Serviço","",IF(AUTOEVENTO="manual",$A651,IF(ISERROR(MATCH($A651,$A$15:OFFSET($A651,-1,0),0)),MAX($M$15:OFFSET(M651,-1,0))+1,INDEX($M$15:OFFSET(M651,-1,0),MATCH($A651,$A$15:OFFSET($A651,-1,0),0)))))</f>
        <v>20</v>
      </c>
      <c r="N651" s="177" t="str">
        <f ca="1">IF($D651&lt;&gt;"Serviço","",IF(AUTOEVENTO="Manual",IF($A651=0,"&lt;-- defina o número do agrupador",OFFSET(EVENTOS!$D$14,$A651,0)),OFFSET($F$15,$A651,0)))</f>
        <v>SISTEMA DE PROTEÇÃO CONTRA DESCARGAS ATMOSFÉRICAS (SPDA)</v>
      </c>
      <c r="O651" s="178"/>
      <c r="Q651" s="178"/>
      <c r="R651" s="179"/>
      <c r="S651" s="179"/>
      <c r="T651" s="179"/>
      <c r="U651" s="179"/>
      <c r="V651" s="179"/>
      <c r="W651" s="179"/>
      <c r="X651" s="179"/>
      <c r="Y651" s="179"/>
      <c r="Z651" s="180"/>
      <c r="AB651" s="544">
        <f ca="1">IF(AND($D651="Serviço",AB$12&lt;&gt;0,$H651&gt;0,OR(AUTOEVENTO&lt;&gt;"manual",$M651&lt;&gt;1)),
IF(Import.TipoArredondamento&lt;&gt;"TransfereGOV",
ROUND(OFFSET($P651,0,AB$13),15-13*ORÇAMENTO!$AF$7)/$H651*OFFSET(ORÇAMENTO!$X$15,ROW(AB651)-ROW(AB$15),0),
ROUND(ROUND(OFFSET($P651,0,AB$13),15-13*ORÇAMENTO!$AF$7)*OFFSET(ORÇAMENTO!$W$15,ROW(AB651)-ROW(AB$15),0),15-13*ORÇAMENTO!$AF$11)),0)</f>
        <v>0</v>
      </c>
      <c r="AC651" s="545">
        <f ca="1">IF(AND($D651="Serviço",AC$12&lt;&gt;0,$H651&gt;0,OR(AUTOEVENTO&lt;&gt;"manual",$M651&lt;&gt;1)),
IF(Import.TipoArredondamento&lt;&gt;"TransfereGOV",
ROUND(OFFSET($P651,0,AC$13),15-13*ORÇAMENTO!$AF$7)/$H651*OFFSET(ORÇAMENTO!$X$15,ROW(AC651)-ROW(AC$15),0),
ROUND(ROUND(OFFSET($P651,0,AC$13),15-13*ORÇAMENTO!$AF$7)*OFFSET(ORÇAMENTO!$W$15,ROW(AC651)-ROW(AC$15),0),15-13*ORÇAMENTO!$AF$11)),0)</f>
        <v>0</v>
      </c>
      <c r="AD651" s="545">
        <f ca="1">IF(AND($D651="Serviço",AD$12&lt;&gt;0,$H651&gt;0,OR(AUTOEVENTO&lt;&gt;"manual",$M651&lt;&gt;1)),
IF(Import.TipoArredondamento&lt;&gt;"TransfereGOV",
ROUND(OFFSET($P651,0,AD$13),15-13*ORÇAMENTO!$AF$7)/$H651*OFFSET(ORÇAMENTO!$X$15,ROW(AD651)-ROW(AD$15),0),
ROUND(ROUND(OFFSET($P651,0,AD$13),15-13*ORÇAMENTO!$AF$7)*OFFSET(ORÇAMENTO!$W$15,ROW(AD651)-ROW(AD$15),0),15-13*ORÇAMENTO!$AF$11)),0)</f>
        <v>0</v>
      </c>
      <c r="AE651" s="545">
        <f ca="1">IF(AND($D651="Serviço",AE$12&lt;&gt;0,$H651&gt;0,OR(AUTOEVENTO&lt;&gt;"manual",$M651&lt;&gt;1)),
IF(Import.TipoArredondamento&lt;&gt;"TransfereGOV",
ROUND(OFFSET($P651,0,AE$13),15-13*ORÇAMENTO!$AF$7)/$H651*OFFSET(ORÇAMENTO!$X$15,ROW(AE651)-ROW(AE$15),0),
ROUND(ROUND(OFFSET($P651,0,AE$13),15-13*ORÇAMENTO!$AF$7)*OFFSET(ORÇAMENTO!$W$15,ROW(AE651)-ROW(AE$15),0),15-13*ORÇAMENTO!$AF$11)),0)</f>
        <v>0</v>
      </c>
      <c r="AF651" s="545">
        <f ca="1">IF(AND($D651="Serviço",AF$12&lt;&gt;0,$H651&gt;0,OR(AUTOEVENTO&lt;&gt;"manual",$M651&lt;&gt;1)),
IF(Import.TipoArredondamento&lt;&gt;"TransfereGOV",
ROUND(OFFSET($P651,0,AF$13),15-13*ORÇAMENTO!$AF$7)/$H651*OFFSET(ORÇAMENTO!$X$15,ROW(AF651)-ROW(AF$15),0),
ROUND(ROUND(OFFSET($P651,0,AF$13),15-13*ORÇAMENTO!$AF$7)*OFFSET(ORÇAMENTO!$W$15,ROW(AF651)-ROW(AF$15),0),15-13*ORÇAMENTO!$AF$11)),0)</f>
        <v>0</v>
      </c>
      <c r="AG651" s="545">
        <f ca="1">IF(AND($D651="Serviço",AG$12&lt;&gt;0,$H651&gt;0,OR(AUTOEVENTO&lt;&gt;"manual",$M651&lt;&gt;1)),
IF(Import.TipoArredondamento&lt;&gt;"TransfereGOV",
ROUND(OFFSET($P651,0,AG$13),15-13*ORÇAMENTO!$AF$7)/$H651*OFFSET(ORÇAMENTO!$X$15,ROW(AG651)-ROW(AG$15),0),
ROUND(ROUND(OFFSET($P651,0,AG$13),15-13*ORÇAMENTO!$AF$7)*OFFSET(ORÇAMENTO!$W$15,ROW(AG651)-ROW(AG$15),0),15-13*ORÇAMENTO!$AF$11)),0)</f>
        <v>0</v>
      </c>
      <c r="AH651" s="545">
        <f ca="1">IF(AND($D651="Serviço",AH$12&lt;&gt;0,$H651&gt;0,OR(AUTOEVENTO&lt;&gt;"manual",$M651&lt;&gt;1)),
IF(Import.TipoArredondamento&lt;&gt;"TransfereGOV",
ROUND(OFFSET($P651,0,AH$13),15-13*ORÇAMENTO!$AF$7)/$H651*OFFSET(ORÇAMENTO!$X$15,ROW(AH651)-ROW(AH$15),0),
ROUND(ROUND(OFFSET($P651,0,AH$13),15-13*ORÇAMENTO!$AF$7)*OFFSET(ORÇAMENTO!$W$15,ROW(AH651)-ROW(AH$15),0),15-13*ORÇAMENTO!$AF$11)),0)</f>
        <v>0</v>
      </c>
      <c r="AI651" s="545">
        <f ca="1">IF(AND($D651="Serviço",AI$12&lt;&gt;0,$H651&gt;0,OR(AUTOEVENTO&lt;&gt;"manual",$M651&lt;&gt;1)),
IF(Import.TipoArredondamento&lt;&gt;"TransfereGOV",
ROUND(OFFSET($P651,0,AI$13),15-13*ORÇAMENTO!$AF$7)/$H651*OFFSET(ORÇAMENTO!$X$15,ROW(AI651)-ROW(AI$15),0),
ROUND(ROUND(OFFSET($P651,0,AI$13),15-13*ORÇAMENTO!$AF$7)*OFFSET(ORÇAMENTO!$W$15,ROW(AI651)-ROW(AI$15),0),15-13*ORÇAMENTO!$AF$11)),0)</f>
        <v>0</v>
      </c>
      <c r="AJ651" s="545">
        <f ca="1">IF(AND($D651="Serviço",AJ$12&lt;&gt;0,$H651&gt;0,OR(AUTOEVENTO&lt;&gt;"manual",$M651&lt;&gt;1)),
IF(Import.TipoArredondamento&lt;&gt;"TransfereGOV",
ROUND(OFFSET($P651,0,AJ$13),15-13*ORÇAMENTO!$AF$7)/$H651*OFFSET(ORÇAMENTO!$X$15,ROW(AJ651)-ROW(AJ$15),0),
ROUND(ROUND(OFFSET($P651,0,AJ$13),15-13*ORÇAMENTO!$AF$7)*OFFSET(ORÇAMENTO!$W$15,ROW(AJ651)-ROW(AJ$15),0),15-13*ORÇAMENTO!$AF$11)),0)</f>
        <v>0</v>
      </c>
      <c r="AK651" s="546">
        <f ca="1">IF(AND($D651="Serviço",AK$12&lt;&gt;0,$H651&gt;0,OR(AUTOEVENTO&lt;&gt;"manual",$M651&lt;&gt;1)),
IF(Import.TipoArredondamento&lt;&gt;"TransfereGOV",
ROUND(OFFSET($P651,0,AK$13),15-13*ORÇAMENTO!$AF$7)/$H651*OFFSET(ORÇAMENTO!$X$15,ROW(AK651)-ROW(AK$15),0),
ROUND(ROUND(OFFSET($P651,0,AK$13),15-13*ORÇAMENTO!$AF$7)*OFFSET(ORÇAMENTO!$W$15,ROW(AK651)-ROW(AK$15),0),15-13*ORÇAMENTO!$AF$11)),0)</f>
        <v>0</v>
      </c>
      <c r="AM651" s="181">
        <f ca="1">IF($D651&lt;&gt;"Serviço",0,IF(AND(AUTOEVENTO="Manual",$M651=1),0,IF(OFFSET(CRONOPLE!$F$14,$M651,AM$13)="",10^12,OFFSET(CRONOPLE!$F$14,$M651,AM$13))))</f>
        <v>1000000000000</v>
      </c>
      <c r="AN651" s="181">
        <f ca="1">IF($D651&lt;&gt;"Serviço",0,IF(AND(AUTOEVENTO="Manual",$M651=1),0,IF(OFFSET(CRONOPLE!$F$14,$M651,AN$13)="",10^12,OFFSET(CRONOPLE!$F$14,$M651,AN$13))))</f>
        <v>1000000000000</v>
      </c>
      <c r="AO651" s="181">
        <f ca="1">IF($D651&lt;&gt;"Serviço",0,IF(AND(AUTOEVENTO="Manual",$M651=1),0,IF(OFFSET(CRONOPLE!$F$14,$M651,AO$13)="",10^12,OFFSET(CRONOPLE!$F$14,$M651,AO$13))))</f>
        <v>1000000000000</v>
      </c>
      <c r="AP651" s="181">
        <f ca="1">IF($D651&lt;&gt;"Serviço",0,IF(AND(AUTOEVENTO="Manual",$M651=1),0,IF(OFFSET(CRONOPLE!$F$14,$M651,AP$13)="",10^12,OFFSET(CRONOPLE!$F$14,$M651,AP$13))))</f>
        <v>1000000000000</v>
      </c>
      <c r="AQ651" s="181">
        <f ca="1">IF($D651&lt;&gt;"Serviço",0,IF(AND(AUTOEVENTO="Manual",$M651=1),0,IF(OFFSET(CRONOPLE!$F$14,$M651,AQ$13)="",10^12,OFFSET(CRONOPLE!$F$14,$M651,AQ$13))))</f>
        <v>1000000000000</v>
      </c>
      <c r="AR651" s="181">
        <f ca="1">IF($D651&lt;&gt;"Serviço",0,IF(AND(AUTOEVENTO="Manual",$M651=1),0,IF(OFFSET(CRONOPLE!$F$14,$M651,AR$13)="",10^12,OFFSET(CRONOPLE!$F$14,$M651,AR$13))))</f>
        <v>1000000000000</v>
      </c>
      <c r="AS651" s="181">
        <f ca="1">IF($D651&lt;&gt;"Serviço",0,IF(AND(AUTOEVENTO="Manual",$M651=1),0,IF(OFFSET(CRONOPLE!$F$14,$M651,AS$13)="",10^12,OFFSET(CRONOPLE!$F$14,$M651,AS$13))))</f>
        <v>1000000000000</v>
      </c>
      <c r="AT651" s="181">
        <f ca="1">IF($D651&lt;&gt;"Serviço",0,IF(AND(AUTOEVENTO="Manual",$M651=1),0,IF(OFFSET(CRONOPLE!$F$14,$M651,AT$13)="",10^12,OFFSET(CRONOPLE!$F$14,$M651,AT$13))))</f>
        <v>1000000000000</v>
      </c>
      <c r="AU651" s="181">
        <f ca="1">IF($D651&lt;&gt;"Serviço",0,IF(AND(AUTOEVENTO="Manual",$M651=1),0,IF(OFFSET(CRONOPLE!$F$14,$M651,AU$13)="",10^12,OFFSET(CRONOPLE!$F$14,$M651,AU$13))))</f>
        <v>1000000000000</v>
      </c>
      <c r="AV651" s="181">
        <f ca="1">IF($D651&lt;&gt;"Serviço",0,IF(AND(AUTOEVENTO="Manual",$M651=1),0,IF(OFFSET(CRONOPLE!$F$14,$M651,AV$13)="",10^12,OFFSET(CRONOPLE!$F$14,$M651,AV$13))))</f>
        <v>1000000000000</v>
      </c>
      <c r="AX651" s="182">
        <f ca="1">IF($D651&lt;&gt;"Serviço",0,IF(OR(AND(AUTOEVENTO="Manual",$M651=1),$M651&gt;(ROW(PLE.lastrow)-ROW(PLE.firstrow))),0,IF(OFFSET(PLE!$G$14,$M651,AX$13)="",10^12,OFFSET(PLE!$G$14,$M651,AX$13))))</f>
        <v>1000000000000</v>
      </c>
      <c r="AY651" s="182">
        <f ca="1">IF($D651&lt;&gt;"Serviço",0,IF(OR(AND(AUTOEVENTO="Manual",$M651=1),$M651&gt;(ROW(PLE.lastrow)-ROW(PLE.firstrow))),0,IF(OFFSET(PLE!$G$14,$M651,AY$13)="",10^12,OFFSET(PLE!$G$14,$M651,AY$13))))</f>
        <v>1000000000000</v>
      </c>
      <c r="AZ651" s="182">
        <f ca="1">IF($D651&lt;&gt;"Serviço",0,IF(OR(AND(AUTOEVENTO="Manual",$M651=1),$M651&gt;(ROW(PLE.lastrow)-ROW(PLE.firstrow))),0,IF(OFFSET(PLE!$G$14,$M651,AZ$13)="",10^12,OFFSET(PLE!$G$14,$M651,AZ$13))))</f>
        <v>1000000000000</v>
      </c>
      <c r="BA651" s="182">
        <f ca="1">IF($D651&lt;&gt;"Serviço",0,IF(OR(AND(AUTOEVENTO="Manual",$M651=1),$M651&gt;(ROW(PLE.lastrow)-ROW(PLE.firstrow))),0,IF(OFFSET(PLE!$G$14,$M651,BA$13)="",10^12,OFFSET(PLE!$G$14,$M651,BA$13))))</f>
        <v>1000000000000</v>
      </c>
      <c r="BB651" s="182">
        <f ca="1">IF($D651&lt;&gt;"Serviço",0,IF(OR(AND(AUTOEVENTO="Manual",$M651=1),$M651&gt;(ROW(PLE.lastrow)-ROW(PLE.firstrow))),0,IF(OFFSET(PLE!$G$14,$M651,BB$13)="",10^12,OFFSET(PLE!$G$14,$M651,BB$13))))</f>
        <v>1000000000000</v>
      </c>
      <c r="BC651" s="182">
        <f ca="1">IF($D651&lt;&gt;"Serviço",0,IF(OR(AND(AUTOEVENTO="Manual",$M651=1),$M651&gt;(ROW(PLE.lastrow)-ROW(PLE.firstrow))),0,IF(OFFSET(PLE!$G$14,$M651,BC$13)="",10^12,OFFSET(PLE!$G$14,$M651,BC$13))))</f>
        <v>1000000000000</v>
      </c>
      <c r="BD651" s="182">
        <f ca="1">IF($D651&lt;&gt;"Serviço",0,IF(OR(AND(AUTOEVENTO="Manual",$M651=1),$M651&gt;(ROW(PLE.lastrow)-ROW(PLE.firstrow))),0,IF(OFFSET(PLE!$G$14,$M651,BD$13)="",10^12,OFFSET(PLE!$G$14,$M651,BD$13))))</f>
        <v>1000000000000</v>
      </c>
      <c r="BE651" s="182">
        <f ca="1">IF($D651&lt;&gt;"Serviço",0,IF(OR(AND(AUTOEVENTO="Manual",$M651=1),$M651&gt;(ROW(PLE.lastrow)-ROW(PLE.firstrow))),0,IF(OFFSET(PLE!$G$14,$M651,BE$13)="",10^12,OFFSET(PLE!$G$14,$M651,BE$13))))</f>
        <v>1000000000000</v>
      </c>
      <c r="BF651" s="182">
        <f ca="1">IF($D651&lt;&gt;"Serviço",0,IF(OR(AND(AUTOEVENTO="Manual",$M651=1),$M651&gt;(ROW(PLE.lastrow)-ROW(PLE.firstrow))),0,IF(OFFSET(PLE!$G$14,$M651,BF$13)="",10^12,OFFSET(PLE!$G$14,$M651,BF$13))))</f>
        <v>1000000000000</v>
      </c>
      <c r="BG651" s="182">
        <f ca="1">IF($D651&lt;&gt;"Serviço",0,IF(OR(AND(AUTOEVENTO="Manual",$M651=1),$M651&gt;(ROW(PLE.lastrow)-ROW(PLE.firstrow))),0,IF(OFFSET(PLE!$G$14,$M651,BG$13)="",10^12,OFFSET(PLE!$G$14,$M651,BG$13))))</f>
        <v>1000000000000</v>
      </c>
    </row>
    <row r="652" spans="1:59" ht="38.25" x14ac:dyDescent="0.2">
      <c r="A652" s="7" t="str">
        <f t="shared" ca="1" si="17"/>
        <v>631</v>
      </c>
      <c r="B652" s="7" t="str">
        <f ca="1">OFFSET(ORÇAMENTO!C$15,ROW(B652)-ROW(B$15),0)</f>
        <v>S</v>
      </c>
      <c r="C652" s="7" t="str">
        <f ca="1">OFFSET(ORÇAMENTO!L$15,ROW(C652)-ROW(C$15),0)</f>
        <v/>
      </c>
      <c r="D652" s="118" t="str">
        <f ca="1">OFFSET(ORÇAMENTO!N$15,ROW(D652)-ROW(D$15),0)</f>
        <v>Serviço</v>
      </c>
      <c r="E652" s="119" t="str">
        <f ca="1">OFFSET(ORÇAMENTO!O$15,ROW(E652)-ROW(E$15),0)</f>
        <v>-</v>
      </c>
      <c r="F652" s="172" t="str">
        <f ca="1">OFFSET(ORÇAMENTO!R$15,ROW(F652)-ROW(F$15),0)</f>
        <v>(abra o arquivo 'Referência 02-2025.xlsm)</v>
      </c>
      <c r="G652" s="173" t="str">
        <f ca="1">IF($D652&lt;&gt;"Serviço","",OFFSET(ORÇAMENTO!S$15,ROW(G652)-ROW(G$15),0))</f>
        <v>-</v>
      </c>
      <c r="H652" s="124">
        <f ca="1">IF($D652&lt;&gt;"Serviço",0,IF(ACOMPANHAMENTO="BM",ROUND(OFFSET(ORÇAMENTO!AJ$15,ROW(H652)-ROW(H$15),0),15-13*ORÇAMENTO!$AF$7),SUMPRODUCT(($Q$12:$AA$12&lt;&gt;"")*ROUND($Q652:$AA652,15-13*ORÇAMENTO!$AF$7))))</f>
        <v>20</v>
      </c>
      <c r="I652" s="561" t="s">
        <v>890</v>
      </c>
      <c r="K652" s="174"/>
      <c r="L652" s="175" t="s">
        <v>255</v>
      </c>
      <c r="M652" s="176">
        <f ca="1">IF($D652&lt;&gt;"Serviço","",IF(AUTOEVENTO="manual",$A652,IF(ISERROR(MATCH($A652,$A$15:OFFSET($A652,-1,0),0)),MAX($M$15:OFFSET(M652,-1,0))+1,INDEX($M$15:OFFSET(M652,-1,0),MATCH($A652,$A$15:OFFSET($A652,-1,0),0)))))</f>
        <v>20</v>
      </c>
      <c r="N652" s="177" t="str">
        <f ca="1">IF($D652&lt;&gt;"Serviço","",IF(AUTOEVENTO="Manual",IF($A652=0,"&lt;-- defina o número do agrupador",OFFSET(EVENTOS!$D$14,$A652,0)),OFFSET($F$15,$A652,0)))</f>
        <v>SISTEMA DE PROTEÇÃO CONTRA DESCARGAS ATMOSFÉRICAS (SPDA)</v>
      </c>
      <c r="O652" s="178"/>
      <c r="Q652" s="178"/>
      <c r="R652" s="179"/>
      <c r="S652" s="179"/>
      <c r="T652" s="179"/>
      <c r="U652" s="179"/>
      <c r="V652" s="179"/>
      <c r="W652" s="179"/>
      <c r="X652" s="179"/>
      <c r="Y652" s="179"/>
      <c r="Z652" s="180"/>
      <c r="AB652" s="544">
        <f ca="1">IF(AND($D652="Serviço",AB$12&lt;&gt;0,$H652&gt;0,OR(AUTOEVENTO&lt;&gt;"manual",$M652&lt;&gt;1)),
IF(Import.TipoArredondamento&lt;&gt;"TransfereGOV",
ROUND(OFFSET($P652,0,AB$13),15-13*ORÇAMENTO!$AF$7)/$H652*OFFSET(ORÇAMENTO!$X$15,ROW(AB652)-ROW(AB$15),0),
ROUND(ROUND(OFFSET($P652,0,AB$13),15-13*ORÇAMENTO!$AF$7)*OFFSET(ORÇAMENTO!$W$15,ROW(AB652)-ROW(AB$15),0),15-13*ORÇAMENTO!$AF$11)),0)</f>
        <v>0</v>
      </c>
      <c r="AC652" s="545">
        <f ca="1">IF(AND($D652="Serviço",AC$12&lt;&gt;0,$H652&gt;0,OR(AUTOEVENTO&lt;&gt;"manual",$M652&lt;&gt;1)),
IF(Import.TipoArredondamento&lt;&gt;"TransfereGOV",
ROUND(OFFSET($P652,0,AC$13),15-13*ORÇAMENTO!$AF$7)/$H652*OFFSET(ORÇAMENTO!$X$15,ROW(AC652)-ROW(AC$15),0),
ROUND(ROUND(OFFSET($P652,0,AC$13),15-13*ORÇAMENTO!$AF$7)*OFFSET(ORÇAMENTO!$W$15,ROW(AC652)-ROW(AC$15),0),15-13*ORÇAMENTO!$AF$11)),0)</f>
        <v>0</v>
      </c>
      <c r="AD652" s="545">
        <f ca="1">IF(AND($D652="Serviço",AD$12&lt;&gt;0,$H652&gt;0,OR(AUTOEVENTO&lt;&gt;"manual",$M652&lt;&gt;1)),
IF(Import.TipoArredondamento&lt;&gt;"TransfereGOV",
ROUND(OFFSET($P652,0,AD$13),15-13*ORÇAMENTO!$AF$7)/$H652*OFFSET(ORÇAMENTO!$X$15,ROW(AD652)-ROW(AD$15),0),
ROUND(ROUND(OFFSET($P652,0,AD$13),15-13*ORÇAMENTO!$AF$7)*OFFSET(ORÇAMENTO!$W$15,ROW(AD652)-ROW(AD$15),0),15-13*ORÇAMENTO!$AF$11)),0)</f>
        <v>0</v>
      </c>
      <c r="AE652" s="545">
        <f ca="1">IF(AND($D652="Serviço",AE$12&lt;&gt;0,$H652&gt;0,OR(AUTOEVENTO&lt;&gt;"manual",$M652&lt;&gt;1)),
IF(Import.TipoArredondamento&lt;&gt;"TransfereGOV",
ROUND(OFFSET($P652,0,AE$13),15-13*ORÇAMENTO!$AF$7)/$H652*OFFSET(ORÇAMENTO!$X$15,ROW(AE652)-ROW(AE$15),0),
ROUND(ROUND(OFFSET($P652,0,AE$13),15-13*ORÇAMENTO!$AF$7)*OFFSET(ORÇAMENTO!$W$15,ROW(AE652)-ROW(AE$15),0),15-13*ORÇAMENTO!$AF$11)),0)</f>
        <v>0</v>
      </c>
      <c r="AF652" s="545">
        <f ca="1">IF(AND($D652="Serviço",AF$12&lt;&gt;0,$H652&gt;0,OR(AUTOEVENTO&lt;&gt;"manual",$M652&lt;&gt;1)),
IF(Import.TipoArredondamento&lt;&gt;"TransfereGOV",
ROUND(OFFSET($P652,0,AF$13),15-13*ORÇAMENTO!$AF$7)/$H652*OFFSET(ORÇAMENTO!$X$15,ROW(AF652)-ROW(AF$15),0),
ROUND(ROUND(OFFSET($P652,0,AF$13),15-13*ORÇAMENTO!$AF$7)*OFFSET(ORÇAMENTO!$W$15,ROW(AF652)-ROW(AF$15),0),15-13*ORÇAMENTO!$AF$11)),0)</f>
        <v>0</v>
      </c>
      <c r="AG652" s="545">
        <f ca="1">IF(AND($D652="Serviço",AG$12&lt;&gt;0,$H652&gt;0,OR(AUTOEVENTO&lt;&gt;"manual",$M652&lt;&gt;1)),
IF(Import.TipoArredondamento&lt;&gt;"TransfereGOV",
ROUND(OFFSET($P652,0,AG$13),15-13*ORÇAMENTO!$AF$7)/$H652*OFFSET(ORÇAMENTO!$X$15,ROW(AG652)-ROW(AG$15),0),
ROUND(ROUND(OFFSET($P652,0,AG$13),15-13*ORÇAMENTO!$AF$7)*OFFSET(ORÇAMENTO!$W$15,ROW(AG652)-ROW(AG$15),0),15-13*ORÇAMENTO!$AF$11)),0)</f>
        <v>0</v>
      </c>
      <c r="AH652" s="545">
        <f ca="1">IF(AND($D652="Serviço",AH$12&lt;&gt;0,$H652&gt;0,OR(AUTOEVENTO&lt;&gt;"manual",$M652&lt;&gt;1)),
IF(Import.TipoArredondamento&lt;&gt;"TransfereGOV",
ROUND(OFFSET($P652,0,AH$13),15-13*ORÇAMENTO!$AF$7)/$H652*OFFSET(ORÇAMENTO!$X$15,ROW(AH652)-ROW(AH$15),0),
ROUND(ROUND(OFFSET($P652,0,AH$13),15-13*ORÇAMENTO!$AF$7)*OFFSET(ORÇAMENTO!$W$15,ROW(AH652)-ROW(AH$15),0),15-13*ORÇAMENTO!$AF$11)),0)</f>
        <v>0</v>
      </c>
      <c r="AI652" s="545">
        <f ca="1">IF(AND($D652="Serviço",AI$12&lt;&gt;0,$H652&gt;0,OR(AUTOEVENTO&lt;&gt;"manual",$M652&lt;&gt;1)),
IF(Import.TipoArredondamento&lt;&gt;"TransfereGOV",
ROUND(OFFSET($P652,0,AI$13),15-13*ORÇAMENTO!$AF$7)/$H652*OFFSET(ORÇAMENTO!$X$15,ROW(AI652)-ROW(AI$15),0),
ROUND(ROUND(OFFSET($P652,0,AI$13),15-13*ORÇAMENTO!$AF$7)*OFFSET(ORÇAMENTO!$W$15,ROW(AI652)-ROW(AI$15),0),15-13*ORÇAMENTO!$AF$11)),0)</f>
        <v>0</v>
      </c>
      <c r="AJ652" s="545">
        <f ca="1">IF(AND($D652="Serviço",AJ$12&lt;&gt;0,$H652&gt;0,OR(AUTOEVENTO&lt;&gt;"manual",$M652&lt;&gt;1)),
IF(Import.TipoArredondamento&lt;&gt;"TransfereGOV",
ROUND(OFFSET($P652,0,AJ$13),15-13*ORÇAMENTO!$AF$7)/$H652*OFFSET(ORÇAMENTO!$X$15,ROW(AJ652)-ROW(AJ$15),0),
ROUND(ROUND(OFFSET($P652,0,AJ$13),15-13*ORÇAMENTO!$AF$7)*OFFSET(ORÇAMENTO!$W$15,ROW(AJ652)-ROW(AJ$15),0),15-13*ORÇAMENTO!$AF$11)),0)</f>
        <v>0</v>
      </c>
      <c r="AK652" s="546">
        <f ca="1">IF(AND($D652="Serviço",AK$12&lt;&gt;0,$H652&gt;0,OR(AUTOEVENTO&lt;&gt;"manual",$M652&lt;&gt;1)),
IF(Import.TipoArredondamento&lt;&gt;"TransfereGOV",
ROUND(OFFSET($P652,0,AK$13),15-13*ORÇAMENTO!$AF$7)/$H652*OFFSET(ORÇAMENTO!$X$15,ROW(AK652)-ROW(AK$15),0),
ROUND(ROUND(OFFSET($P652,0,AK$13),15-13*ORÇAMENTO!$AF$7)*OFFSET(ORÇAMENTO!$W$15,ROW(AK652)-ROW(AK$15),0),15-13*ORÇAMENTO!$AF$11)),0)</f>
        <v>0</v>
      </c>
      <c r="AM652" s="181">
        <f ca="1">IF($D652&lt;&gt;"Serviço",0,IF(AND(AUTOEVENTO="Manual",$M652=1),0,IF(OFFSET(CRONOPLE!$F$14,$M652,AM$13)="",10^12,OFFSET(CRONOPLE!$F$14,$M652,AM$13))))</f>
        <v>1000000000000</v>
      </c>
      <c r="AN652" s="181">
        <f ca="1">IF($D652&lt;&gt;"Serviço",0,IF(AND(AUTOEVENTO="Manual",$M652=1),0,IF(OFFSET(CRONOPLE!$F$14,$M652,AN$13)="",10^12,OFFSET(CRONOPLE!$F$14,$M652,AN$13))))</f>
        <v>1000000000000</v>
      </c>
      <c r="AO652" s="181">
        <f ca="1">IF($D652&lt;&gt;"Serviço",0,IF(AND(AUTOEVENTO="Manual",$M652=1),0,IF(OFFSET(CRONOPLE!$F$14,$M652,AO$13)="",10^12,OFFSET(CRONOPLE!$F$14,$M652,AO$13))))</f>
        <v>1000000000000</v>
      </c>
      <c r="AP652" s="181">
        <f ca="1">IF($D652&lt;&gt;"Serviço",0,IF(AND(AUTOEVENTO="Manual",$M652=1),0,IF(OFFSET(CRONOPLE!$F$14,$M652,AP$13)="",10^12,OFFSET(CRONOPLE!$F$14,$M652,AP$13))))</f>
        <v>1000000000000</v>
      </c>
      <c r="AQ652" s="181">
        <f ca="1">IF($D652&lt;&gt;"Serviço",0,IF(AND(AUTOEVENTO="Manual",$M652=1),0,IF(OFFSET(CRONOPLE!$F$14,$M652,AQ$13)="",10^12,OFFSET(CRONOPLE!$F$14,$M652,AQ$13))))</f>
        <v>1000000000000</v>
      </c>
      <c r="AR652" s="181">
        <f ca="1">IF($D652&lt;&gt;"Serviço",0,IF(AND(AUTOEVENTO="Manual",$M652=1),0,IF(OFFSET(CRONOPLE!$F$14,$M652,AR$13)="",10^12,OFFSET(CRONOPLE!$F$14,$M652,AR$13))))</f>
        <v>1000000000000</v>
      </c>
      <c r="AS652" s="181">
        <f ca="1">IF($D652&lt;&gt;"Serviço",0,IF(AND(AUTOEVENTO="Manual",$M652=1),0,IF(OFFSET(CRONOPLE!$F$14,$M652,AS$13)="",10^12,OFFSET(CRONOPLE!$F$14,$M652,AS$13))))</f>
        <v>1000000000000</v>
      </c>
      <c r="AT652" s="181">
        <f ca="1">IF($D652&lt;&gt;"Serviço",0,IF(AND(AUTOEVENTO="Manual",$M652=1),0,IF(OFFSET(CRONOPLE!$F$14,$M652,AT$13)="",10^12,OFFSET(CRONOPLE!$F$14,$M652,AT$13))))</f>
        <v>1000000000000</v>
      </c>
      <c r="AU652" s="181">
        <f ca="1">IF($D652&lt;&gt;"Serviço",0,IF(AND(AUTOEVENTO="Manual",$M652=1),0,IF(OFFSET(CRONOPLE!$F$14,$M652,AU$13)="",10^12,OFFSET(CRONOPLE!$F$14,$M652,AU$13))))</f>
        <v>1000000000000</v>
      </c>
      <c r="AV652" s="181">
        <f ca="1">IF($D652&lt;&gt;"Serviço",0,IF(AND(AUTOEVENTO="Manual",$M652=1),0,IF(OFFSET(CRONOPLE!$F$14,$M652,AV$13)="",10^12,OFFSET(CRONOPLE!$F$14,$M652,AV$13))))</f>
        <v>1000000000000</v>
      </c>
      <c r="AX652" s="182">
        <f ca="1">IF($D652&lt;&gt;"Serviço",0,IF(OR(AND(AUTOEVENTO="Manual",$M652=1),$M652&gt;(ROW(PLE.lastrow)-ROW(PLE.firstrow))),0,IF(OFFSET(PLE!$G$14,$M652,AX$13)="",10^12,OFFSET(PLE!$G$14,$M652,AX$13))))</f>
        <v>1000000000000</v>
      </c>
      <c r="AY652" s="182">
        <f ca="1">IF($D652&lt;&gt;"Serviço",0,IF(OR(AND(AUTOEVENTO="Manual",$M652=1),$M652&gt;(ROW(PLE.lastrow)-ROW(PLE.firstrow))),0,IF(OFFSET(PLE!$G$14,$M652,AY$13)="",10^12,OFFSET(PLE!$G$14,$M652,AY$13))))</f>
        <v>1000000000000</v>
      </c>
      <c r="AZ652" s="182">
        <f ca="1">IF($D652&lt;&gt;"Serviço",0,IF(OR(AND(AUTOEVENTO="Manual",$M652=1),$M652&gt;(ROW(PLE.lastrow)-ROW(PLE.firstrow))),0,IF(OFFSET(PLE!$G$14,$M652,AZ$13)="",10^12,OFFSET(PLE!$G$14,$M652,AZ$13))))</f>
        <v>1000000000000</v>
      </c>
      <c r="BA652" s="182">
        <f ca="1">IF($D652&lt;&gt;"Serviço",0,IF(OR(AND(AUTOEVENTO="Manual",$M652=1),$M652&gt;(ROW(PLE.lastrow)-ROW(PLE.firstrow))),0,IF(OFFSET(PLE!$G$14,$M652,BA$13)="",10^12,OFFSET(PLE!$G$14,$M652,BA$13))))</f>
        <v>1000000000000</v>
      </c>
      <c r="BB652" s="182">
        <f ca="1">IF($D652&lt;&gt;"Serviço",0,IF(OR(AND(AUTOEVENTO="Manual",$M652=1),$M652&gt;(ROW(PLE.lastrow)-ROW(PLE.firstrow))),0,IF(OFFSET(PLE!$G$14,$M652,BB$13)="",10^12,OFFSET(PLE!$G$14,$M652,BB$13))))</f>
        <v>1000000000000</v>
      </c>
      <c r="BC652" s="182">
        <f ca="1">IF($D652&lt;&gt;"Serviço",0,IF(OR(AND(AUTOEVENTO="Manual",$M652=1),$M652&gt;(ROW(PLE.lastrow)-ROW(PLE.firstrow))),0,IF(OFFSET(PLE!$G$14,$M652,BC$13)="",10^12,OFFSET(PLE!$G$14,$M652,BC$13))))</f>
        <v>1000000000000</v>
      </c>
      <c r="BD652" s="182">
        <f ca="1">IF($D652&lt;&gt;"Serviço",0,IF(OR(AND(AUTOEVENTO="Manual",$M652=1),$M652&gt;(ROW(PLE.lastrow)-ROW(PLE.firstrow))),0,IF(OFFSET(PLE!$G$14,$M652,BD$13)="",10^12,OFFSET(PLE!$G$14,$M652,BD$13))))</f>
        <v>1000000000000</v>
      </c>
      <c r="BE652" s="182">
        <f ca="1">IF($D652&lt;&gt;"Serviço",0,IF(OR(AND(AUTOEVENTO="Manual",$M652=1),$M652&gt;(ROW(PLE.lastrow)-ROW(PLE.firstrow))),0,IF(OFFSET(PLE!$G$14,$M652,BE$13)="",10^12,OFFSET(PLE!$G$14,$M652,BE$13))))</f>
        <v>1000000000000</v>
      </c>
      <c r="BF652" s="182">
        <f ca="1">IF($D652&lt;&gt;"Serviço",0,IF(OR(AND(AUTOEVENTO="Manual",$M652=1),$M652&gt;(ROW(PLE.lastrow)-ROW(PLE.firstrow))),0,IF(OFFSET(PLE!$G$14,$M652,BF$13)="",10^12,OFFSET(PLE!$G$14,$M652,BF$13))))</f>
        <v>1000000000000</v>
      </c>
      <c r="BG652" s="182">
        <f ca="1">IF($D652&lt;&gt;"Serviço",0,IF(OR(AND(AUTOEVENTO="Manual",$M652=1),$M652&gt;(ROW(PLE.lastrow)-ROW(PLE.firstrow))),0,IF(OFFSET(PLE!$G$14,$M652,BG$13)="",10^12,OFFSET(PLE!$G$14,$M652,BG$13))))</f>
        <v>1000000000000</v>
      </c>
    </row>
    <row r="653" spans="1:59" ht="12.75" x14ac:dyDescent="0.2">
      <c r="A653" s="7" t="str">
        <f t="shared" ca="1" si="17"/>
        <v>638.</v>
      </c>
      <c r="B653" s="7">
        <f ca="1">OFFSET(ORÇAMENTO!C$15,ROW(B653)-ROW(B$15),0)</f>
        <v>2</v>
      </c>
      <c r="C653" s="7" t="str">
        <f ca="1">OFFSET(ORÇAMENTO!L$15,ROW(C653)-ROW(C$15),0)</f>
        <v>F</v>
      </c>
      <c r="D653" s="118" t="str">
        <f ca="1">OFFSET(ORÇAMENTO!N$15,ROW(D653)-ROW(D$15),0)</f>
        <v>Nível 2</v>
      </c>
      <c r="E653" s="119" t="str">
        <f ca="1">OFFSET(ORÇAMENTO!O$15,ROW(E653)-ROW(E$15),0)</f>
        <v>1.20.</v>
      </c>
      <c r="F653" s="172" t="str">
        <f ca="1">OFFSET(ORÇAMENTO!R$15,ROW(F653)-ROW(F$15),0)</f>
        <v>INSTALAÇÕES DE CLIMATIZAÇÃO</v>
      </c>
      <c r="G653" s="173" t="str">
        <f ca="1">IF($D653&lt;&gt;"Serviço","",OFFSET(ORÇAMENTO!S$15,ROW(G653)-ROW(G$15),0))</f>
        <v/>
      </c>
      <c r="H653" s="124">
        <f ca="1">IF($D653&lt;&gt;"Serviço",0,IF(ACOMPANHAMENTO="BM",ROUND(OFFSET(ORÇAMENTO!AJ$15,ROW(H653)-ROW(H$15),0),15-13*ORÇAMENTO!$AF$7),SUMPRODUCT(($Q$12:$AA$12&lt;&gt;"")*ROUND($Q653:$AA653,15-13*ORÇAMENTO!$AF$7))))</f>
        <v>0</v>
      </c>
      <c r="I653" s="561"/>
      <c r="K653" s="174"/>
      <c r="L653" s="175" t="s">
        <v>255</v>
      </c>
      <c r="M653" s="176" t="str">
        <f ca="1">IF($D653&lt;&gt;"Serviço","",IF(AUTOEVENTO="manual",$A653,IF(ISERROR(MATCH($A653,$A$15:OFFSET($A653,-1,0),0)),MAX($M$15:OFFSET(M653,-1,0))+1,INDEX($M$15:OFFSET(M653,-1,0),MATCH($A653,$A$15:OFFSET($A653,-1,0),0)))))</f>
        <v/>
      </c>
      <c r="N653" s="177" t="str">
        <f ca="1">IF($D653&lt;&gt;"Serviço","",IF(AUTOEVENTO="Manual",IF($A653=0,"&lt;-- defina o número do agrupador",OFFSET(EVENTOS!$D$14,$A653,0)),OFFSET($F$15,$A653,0)))</f>
        <v/>
      </c>
      <c r="O653" s="178"/>
      <c r="Q653" s="178"/>
      <c r="R653" s="179"/>
      <c r="S653" s="179"/>
      <c r="T653" s="179"/>
      <c r="U653" s="179"/>
      <c r="V653" s="179"/>
      <c r="W653" s="179"/>
      <c r="X653" s="179"/>
      <c r="Y653" s="179"/>
      <c r="Z653" s="180"/>
      <c r="AB653" s="544">
        <f ca="1">IF(AND($D653="Serviço",AB$12&lt;&gt;0,$H653&gt;0,OR(AUTOEVENTO&lt;&gt;"manual",$M653&lt;&gt;1)),
IF(Import.TipoArredondamento&lt;&gt;"TransfereGOV",
ROUND(OFFSET($P653,0,AB$13),15-13*ORÇAMENTO!$AF$7)/$H653*OFFSET(ORÇAMENTO!$X$15,ROW(AB653)-ROW(AB$15),0),
ROUND(ROUND(OFFSET($P653,0,AB$13),15-13*ORÇAMENTO!$AF$7)*OFFSET(ORÇAMENTO!$W$15,ROW(AB653)-ROW(AB$15),0),15-13*ORÇAMENTO!$AF$11)),0)</f>
        <v>0</v>
      </c>
      <c r="AC653" s="545">
        <f ca="1">IF(AND($D653="Serviço",AC$12&lt;&gt;0,$H653&gt;0,OR(AUTOEVENTO&lt;&gt;"manual",$M653&lt;&gt;1)),
IF(Import.TipoArredondamento&lt;&gt;"TransfereGOV",
ROUND(OFFSET($P653,0,AC$13),15-13*ORÇAMENTO!$AF$7)/$H653*OFFSET(ORÇAMENTO!$X$15,ROW(AC653)-ROW(AC$15),0),
ROUND(ROUND(OFFSET($P653,0,AC$13),15-13*ORÇAMENTO!$AF$7)*OFFSET(ORÇAMENTO!$W$15,ROW(AC653)-ROW(AC$15),0),15-13*ORÇAMENTO!$AF$11)),0)</f>
        <v>0</v>
      </c>
      <c r="AD653" s="545">
        <f ca="1">IF(AND($D653="Serviço",AD$12&lt;&gt;0,$H653&gt;0,OR(AUTOEVENTO&lt;&gt;"manual",$M653&lt;&gt;1)),
IF(Import.TipoArredondamento&lt;&gt;"TransfereGOV",
ROUND(OFFSET($P653,0,AD$13),15-13*ORÇAMENTO!$AF$7)/$H653*OFFSET(ORÇAMENTO!$X$15,ROW(AD653)-ROW(AD$15),0),
ROUND(ROUND(OFFSET($P653,0,AD$13),15-13*ORÇAMENTO!$AF$7)*OFFSET(ORÇAMENTO!$W$15,ROW(AD653)-ROW(AD$15),0),15-13*ORÇAMENTO!$AF$11)),0)</f>
        <v>0</v>
      </c>
      <c r="AE653" s="545">
        <f ca="1">IF(AND($D653="Serviço",AE$12&lt;&gt;0,$H653&gt;0,OR(AUTOEVENTO&lt;&gt;"manual",$M653&lt;&gt;1)),
IF(Import.TipoArredondamento&lt;&gt;"TransfereGOV",
ROUND(OFFSET($P653,0,AE$13),15-13*ORÇAMENTO!$AF$7)/$H653*OFFSET(ORÇAMENTO!$X$15,ROW(AE653)-ROW(AE$15),0),
ROUND(ROUND(OFFSET($P653,0,AE$13),15-13*ORÇAMENTO!$AF$7)*OFFSET(ORÇAMENTO!$W$15,ROW(AE653)-ROW(AE$15),0),15-13*ORÇAMENTO!$AF$11)),0)</f>
        <v>0</v>
      </c>
      <c r="AF653" s="545">
        <f ca="1">IF(AND($D653="Serviço",AF$12&lt;&gt;0,$H653&gt;0,OR(AUTOEVENTO&lt;&gt;"manual",$M653&lt;&gt;1)),
IF(Import.TipoArredondamento&lt;&gt;"TransfereGOV",
ROUND(OFFSET($P653,0,AF$13),15-13*ORÇAMENTO!$AF$7)/$H653*OFFSET(ORÇAMENTO!$X$15,ROW(AF653)-ROW(AF$15),0),
ROUND(ROUND(OFFSET($P653,0,AF$13),15-13*ORÇAMENTO!$AF$7)*OFFSET(ORÇAMENTO!$W$15,ROW(AF653)-ROW(AF$15),0),15-13*ORÇAMENTO!$AF$11)),0)</f>
        <v>0</v>
      </c>
      <c r="AG653" s="545">
        <f ca="1">IF(AND($D653="Serviço",AG$12&lt;&gt;0,$H653&gt;0,OR(AUTOEVENTO&lt;&gt;"manual",$M653&lt;&gt;1)),
IF(Import.TipoArredondamento&lt;&gt;"TransfereGOV",
ROUND(OFFSET($P653,0,AG$13),15-13*ORÇAMENTO!$AF$7)/$H653*OFFSET(ORÇAMENTO!$X$15,ROW(AG653)-ROW(AG$15),0),
ROUND(ROUND(OFFSET($P653,0,AG$13),15-13*ORÇAMENTO!$AF$7)*OFFSET(ORÇAMENTO!$W$15,ROW(AG653)-ROW(AG$15),0),15-13*ORÇAMENTO!$AF$11)),0)</f>
        <v>0</v>
      </c>
      <c r="AH653" s="545">
        <f ca="1">IF(AND($D653="Serviço",AH$12&lt;&gt;0,$H653&gt;0,OR(AUTOEVENTO&lt;&gt;"manual",$M653&lt;&gt;1)),
IF(Import.TipoArredondamento&lt;&gt;"TransfereGOV",
ROUND(OFFSET($P653,0,AH$13),15-13*ORÇAMENTO!$AF$7)/$H653*OFFSET(ORÇAMENTO!$X$15,ROW(AH653)-ROW(AH$15),0),
ROUND(ROUND(OFFSET($P653,0,AH$13),15-13*ORÇAMENTO!$AF$7)*OFFSET(ORÇAMENTO!$W$15,ROW(AH653)-ROW(AH$15),0),15-13*ORÇAMENTO!$AF$11)),0)</f>
        <v>0</v>
      </c>
      <c r="AI653" s="545">
        <f ca="1">IF(AND($D653="Serviço",AI$12&lt;&gt;0,$H653&gt;0,OR(AUTOEVENTO&lt;&gt;"manual",$M653&lt;&gt;1)),
IF(Import.TipoArredondamento&lt;&gt;"TransfereGOV",
ROUND(OFFSET($P653,0,AI$13),15-13*ORÇAMENTO!$AF$7)/$H653*OFFSET(ORÇAMENTO!$X$15,ROW(AI653)-ROW(AI$15),0),
ROUND(ROUND(OFFSET($P653,0,AI$13),15-13*ORÇAMENTO!$AF$7)*OFFSET(ORÇAMENTO!$W$15,ROW(AI653)-ROW(AI$15),0),15-13*ORÇAMENTO!$AF$11)),0)</f>
        <v>0</v>
      </c>
      <c r="AJ653" s="545">
        <f ca="1">IF(AND($D653="Serviço",AJ$12&lt;&gt;0,$H653&gt;0,OR(AUTOEVENTO&lt;&gt;"manual",$M653&lt;&gt;1)),
IF(Import.TipoArredondamento&lt;&gt;"TransfereGOV",
ROUND(OFFSET($P653,0,AJ$13),15-13*ORÇAMENTO!$AF$7)/$H653*OFFSET(ORÇAMENTO!$X$15,ROW(AJ653)-ROW(AJ$15),0),
ROUND(ROUND(OFFSET($P653,0,AJ$13),15-13*ORÇAMENTO!$AF$7)*OFFSET(ORÇAMENTO!$W$15,ROW(AJ653)-ROW(AJ$15),0),15-13*ORÇAMENTO!$AF$11)),0)</f>
        <v>0</v>
      </c>
      <c r="AK653" s="546">
        <f ca="1">IF(AND($D653="Serviço",AK$12&lt;&gt;0,$H653&gt;0,OR(AUTOEVENTO&lt;&gt;"manual",$M653&lt;&gt;1)),
IF(Import.TipoArredondamento&lt;&gt;"TransfereGOV",
ROUND(OFFSET($P653,0,AK$13),15-13*ORÇAMENTO!$AF$7)/$H653*OFFSET(ORÇAMENTO!$X$15,ROW(AK653)-ROW(AK$15),0),
ROUND(ROUND(OFFSET($P653,0,AK$13),15-13*ORÇAMENTO!$AF$7)*OFFSET(ORÇAMENTO!$W$15,ROW(AK653)-ROW(AK$15),0),15-13*ORÇAMENTO!$AF$11)),0)</f>
        <v>0</v>
      </c>
      <c r="AM653" s="181">
        <f ca="1">IF($D653&lt;&gt;"Serviço",0,IF(AND(AUTOEVENTO="Manual",$M653=1),0,IF(OFFSET(CRONOPLE!$F$14,$M653,AM$13)="",10^12,OFFSET(CRONOPLE!$F$14,$M653,AM$13))))</f>
        <v>0</v>
      </c>
      <c r="AN653" s="181">
        <f ca="1">IF($D653&lt;&gt;"Serviço",0,IF(AND(AUTOEVENTO="Manual",$M653=1),0,IF(OFFSET(CRONOPLE!$F$14,$M653,AN$13)="",10^12,OFFSET(CRONOPLE!$F$14,$M653,AN$13))))</f>
        <v>0</v>
      </c>
      <c r="AO653" s="181">
        <f ca="1">IF($D653&lt;&gt;"Serviço",0,IF(AND(AUTOEVENTO="Manual",$M653=1),0,IF(OFFSET(CRONOPLE!$F$14,$M653,AO$13)="",10^12,OFFSET(CRONOPLE!$F$14,$M653,AO$13))))</f>
        <v>0</v>
      </c>
      <c r="AP653" s="181">
        <f ca="1">IF($D653&lt;&gt;"Serviço",0,IF(AND(AUTOEVENTO="Manual",$M653=1),0,IF(OFFSET(CRONOPLE!$F$14,$M653,AP$13)="",10^12,OFFSET(CRONOPLE!$F$14,$M653,AP$13))))</f>
        <v>0</v>
      </c>
      <c r="AQ653" s="181">
        <f ca="1">IF($D653&lt;&gt;"Serviço",0,IF(AND(AUTOEVENTO="Manual",$M653=1),0,IF(OFFSET(CRONOPLE!$F$14,$M653,AQ$13)="",10^12,OFFSET(CRONOPLE!$F$14,$M653,AQ$13))))</f>
        <v>0</v>
      </c>
      <c r="AR653" s="181">
        <f ca="1">IF($D653&lt;&gt;"Serviço",0,IF(AND(AUTOEVENTO="Manual",$M653=1),0,IF(OFFSET(CRONOPLE!$F$14,$M653,AR$13)="",10^12,OFFSET(CRONOPLE!$F$14,$M653,AR$13))))</f>
        <v>0</v>
      </c>
      <c r="AS653" s="181">
        <f ca="1">IF($D653&lt;&gt;"Serviço",0,IF(AND(AUTOEVENTO="Manual",$M653=1),0,IF(OFFSET(CRONOPLE!$F$14,$M653,AS$13)="",10^12,OFFSET(CRONOPLE!$F$14,$M653,AS$13))))</f>
        <v>0</v>
      </c>
      <c r="AT653" s="181">
        <f ca="1">IF($D653&lt;&gt;"Serviço",0,IF(AND(AUTOEVENTO="Manual",$M653=1),0,IF(OFFSET(CRONOPLE!$F$14,$M653,AT$13)="",10^12,OFFSET(CRONOPLE!$F$14,$M653,AT$13))))</f>
        <v>0</v>
      </c>
      <c r="AU653" s="181">
        <f ca="1">IF($D653&lt;&gt;"Serviço",0,IF(AND(AUTOEVENTO="Manual",$M653=1),0,IF(OFFSET(CRONOPLE!$F$14,$M653,AU$13)="",10^12,OFFSET(CRONOPLE!$F$14,$M653,AU$13))))</f>
        <v>0</v>
      </c>
      <c r="AV653" s="181">
        <f ca="1">IF($D653&lt;&gt;"Serviço",0,IF(AND(AUTOEVENTO="Manual",$M653=1),0,IF(OFFSET(CRONOPLE!$F$14,$M653,AV$13)="",10^12,OFFSET(CRONOPLE!$F$14,$M653,AV$13))))</f>
        <v>0</v>
      </c>
      <c r="AX653" s="182">
        <f ca="1">IF($D653&lt;&gt;"Serviço",0,IF(OR(AND(AUTOEVENTO="Manual",$M653=1),$M653&gt;(ROW(PLE.lastrow)-ROW(PLE.firstrow))),0,IF(OFFSET(PLE!$G$14,$M653,AX$13)="",10^12,OFFSET(PLE!$G$14,$M653,AX$13))))</f>
        <v>0</v>
      </c>
      <c r="AY653" s="182">
        <f ca="1">IF($D653&lt;&gt;"Serviço",0,IF(OR(AND(AUTOEVENTO="Manual",$M653=1),$M653&gt;(ROW(PLE.lastrow)-ROW(PLE.firstrow))),0,IF(OFFSET(PLE!$G$14,$M653,AY$13)="",10^12,OFFSET(PLE!$G$14,$M653,AY$13))))</f>
        <v>0</v>
      </c>
      <c r="AZ653" s="182">
        <f ca="1">IF($D653&lt;&gt;"Serviço",0,IF(OR(AND(AUTOEVENTO="Manual",$M653=1),$M653&gt;(ROW(PLE.lastrow)-ROW(PLE.firstrow))),0,IF(OFFSET(PLE!$G$14,$M653,AZ$13)="",10^12,OFFSET(PLE!$G$14,$M653,AZ$13))))</f>
        <v>0</v>
      </c>
      <c r="BA653" s="182">
        <f ca="1">IF($D653&lt;&gt;"Serviço",0,IF(OR(AND(AUTOEVENTO="Manual",$M653=1),$M653&gt;(ROW(PLE.lastrow)-ROW(PLE.firstrow))),0,IF(OFFSET(PLE!$G$14,$M653,BA$13)="",10^12,OFFSET(PLE!$G$14,$M653,BA$13))))</f>
        <v>0</v>
      </c>
      <c r="BB653" s="182">
        <f ca="1">IF($D653&lt;&gt;"Serviço",0,IF(OR(AND(AUTOEVENTO="Manual",$M653=1),$M653&gt;(ROW(PLE.lastrow)-ROW(PLE.firstrow))),0,IF(OFFSET(PLE!$G$14,$M653,BB$13)="",10^12,OFFSET(PLE!$G$14,$M653,BB$13))))</f>
        <v>0</v>
      </c>
      <c r="BC653" s="182">
        <f ca="1">IF($D653&lt;&gt;"Serviço",0,IF(OR(AND(AUTOEVENTO="Manual",$M653=1),$M653&gt;(ROW(PLE.lastrow)-ROW(PLE.firstrow))),0,IF(OFFSET(PLE!$G$14,$M653,BC$13)="",10^12,OFFSET(PLE!$G$14,$M653,BC$13))))</f>
        <v>0</v>
      </c>
      <c r="BD653" s="182">
        <f ca="1">IF($D653&lt;&gt;"Serviço",0,IF(OR(AND(AUTOEVENTO="Manual",$M653=1),$M653&gt;(ROW(PLE.lastrow)-ROW(PLE.firstrow))),0,IF(OFFSET(PLE!$G$14,$M653,BD$13)="",10^12,OFFSET(PLE!$G$14,$M653,BD$13))))</f>
        <v>0</v>
      </c>
      <c r="BE653" s="182">
        <f ca="1">IF($D653&lt;&gt;"Serviço",0,IF(OR(AND(AUTOEVENTO="Manual",$M653=1),$M653&gt;(ROW(PLE.lastrow)-ROW(PLE.firstrow))),0,IF(OFFSET(PLE!$G$14,$M653,BE$13)="",10^12,OFFSET(PLE!$G$14,$M653,BE$13))))</f>
        <v>0</v>
      </c>
      <c r="BF653" s="182">
        <f ca="1">IF($D653&lt;&gt;"Serviço",0,IF(OR(AND(AUTOEVENTO="Manual",$M653=1),$M653&gt;(ROW(PLE.lastrow)-ROW(PLE.firstrow))),0,IF(OFFSET(PLE!$G$14,$M653,BF$13)="",10^12,OFFSET(PLE!$G$14,$M653,BF$13))))</f>
        <v>0</v>
      </c>
      <c r="BG653" s="182">
        <f ca="1">IF($D653&lt;&gt;"Serviço",0,IF(OR(AND(AUTOEVENTO="Manual",$M653=1),$M653&gt;(ROW(PLE.lastrow)-ROW(PLE.firstrow))),0,IF(OFFSET(PLE!$G$14,$M653,BG$13)="",10^12,OFFSET(PLE!$G$14,$M653,BG$13))))</f>
        <v>0</v>
      </c>
    </row>
    <row r="654" spans="1:59" ht="12.75" x14ac:dyDescent="0.2">
      <c r="A654" s="7" t="str">
        <f t="shared" ca="1" si="17"/>
        <v>638.</v>
      </c>
      <c r="B654" s="7">
        <f ca="1">OFFSET(ORÇAMENTO!C$15,ROW(B654)-ROW(B$15),0)</f>
        <v>3</v>
      </c>
      <c r="C654" s="7" t="str">
        <f ca="1">OFFSET(ORÇAMENTO!L$15,ROW(C654)-ROW(C$15),0)</f>
        <v>F</v>
      </c>
      <c r="D654" s="118" t="str">
        <f ca="1">OFFSET(ORÇAMENTO!N$15,ROW(D654)-ROW(D$15),0)</f>
        <v>Nível 3</v>
      </c>
      <c r="E654" s="119" t="str">
        <f ca="1">OFFSET(ORÇAMENTO!O$15,ROW(E654)-ROW(E$15),0)</f>
        <v>1.20.1.</v>
      </c>
      <c r="F654" s="172" t="str">
        <f ca="1">OFFSET(ORÇAMENTO!R$15,ROW(F654)-ROW(F$15),0)</f>
        <v>DUTOS</v>
      </c>
      <c r="G654" s="173" t="str">
        <f ca="1">IF($D654&lt;&gt;"Serviço","",OFFSET(ORÇAMENTO!S$15,ROW(G654)-ROW(G$15),0))</f>
        <v/>
      </c>
      <c r="H654" s="124">
        <f ca="1">IF($D654&lt;&gt;"Serviço",0,IF(ACOMPANHAMENTO="BM",ROUND(OFFSET(ORÇAMENTO!AJ$15,ROW(H654)-ROW(H$15),0),15-13*ORÇAMENTO!$AF$7),SUMPRODUCT(($Q$12:$AA$12&lt;&gt;"")*ROUND($Q654:$AA654,15-13*ORÇAMENTO!$AF$7))))</f>
        <v>0</v>
      </c>
      <c r="I654" s="561"/>
      <c r="K654" s="174"/>
      <c r="L654" s="175" t="s">
        <v>255</v>
      </c>
      <c r="M654" s="176" t="str">
        <f ca="1">IF($D654&lt;&gt;"Serviço","",IF(AUTOEVENTO="manual",$A654,IF(ISERROR(MATCH($A654,$A$15:OFFSET($A654,-1,0),0)),MAX($M$15:OFFSET(M654,-1,0))+1,INDEX($M$15:OFFSET(M654,-1,0),MATCH($A654,$A$15:OFFSET($A654,-1,0),0)))))</f>
        <v/>
      </c>
      <c r="N654" s="177" t="str">
        <f ca="1">IF($D654&lt;&gt;"Serviço","",IF(AUTOEVENTO="Manual",IF($A654=0,"&lt;-- defina o número do agrupador",OFFSET(EVENTOS!$D$14,$A654,0)),OFFSET($F$15,$A654,0)))</f>
        <v/>
      </c>
      <c r="O654" s="178"/>
      <c r="Q654" s="178"/>
      <c r="R654" s="179"/>
      <c r="S654" s="179"/>
      <c r="T654" s="179"/>
      <c r="U654" s="179"/>
      <c r="V654" s="179"/>
      <c r="W654" s="179"/>
      <c r="X654" s="179"/>
      <c r="Y654" s="179"/>
      <c r="Z654" s="180"/>
      <c r="AB654" s="544">
        <f ca="1">IF(AND($D654="Serviço",AB$12&lt;&gt;0,$H654&gt;0,OR(AUTOEVENTO&lt;&gt;"manual",$M654&lt;&gt;1)),
IF(Import.TipoArredondamento&lt;&gt;"TransfereGOV",
ROUND(OFFSET($P654,0,AB$13),15-13*ORÇAMENTO!$AF$7)/$H654*OFFSET(ORÇAMENTO!$X$15,ROW(AB654)-ROW(AB$15),0),
ROUND(ROUND(OFFSET($P654,0,AB$13),15-13*ORÇAMENTO!$AF$7)*OFFSET(ORÇAMENTO!$W$15,ROW(AB654)-ROW(AB$15),0),15-13*ORÇAMENTO!$AF$11)),0)</f>
        <v>0</v>
      </c>
      <c r="AC654" s="545">
        <f ca="1">IF(AND($D654="Serviço",AC$12&lt;&gt;0,$H654&gt;0,OR(AUTOEVENTO&lt;&gt;"manual",$M654&lt;&gt;1)),
IF(Import.TipoArredondamento&lt;&gt;"TransfereGOV",
ROUND(OFFSET($P654,0,AC$13),15-13*ORÇAMENTO!$AF$7)/$H654*OFFSET(ORÇAMENTO!$X$15,ROW(AC654)-ROW(AC$15),0),
ROUND(ROUND(OFFSET($P654,0,AC$13),15-13*ORÇAMENTO!$AF$7)*OFFSET(ORÇAMENTO!$W$15,ROW(AC654)-ROW(AC$15),0),15-13*ORÇAMENTO!$AF$11)),0)</f>
        <v>0</v>
      </c>
      <c r="AD654" s="545">
        <f ca="1">IF(AND($D654="Serviço",AD$12&lt;&gt;0,$H654&gt;0,OR(AUTOEVENTO&lt;&gt;"manual",$M654&lt;&gt;1)),
IF(Import.TipoArredondamento&lt;&gt;"TransfereGOV",
ROUND(OFFSET($P654,0,AD$13),15-13*ORÇAMENTO!$AF$7)/$H654*OFFSET(ORÇAMENTO!$X$15,ROW(AD654)-ROW(AD$15),0),
ROUND(ROUND(OFFSET($P654,0,AD$13),15-13*ORÇAMENTO!$AF$7)*OFFSET(ORÇAMENTO!$W$15,ROW(AD654)-ROW(AD$15),0),15-13*ORÇAMENTO!$AF$11)),0)</f>
        <v>0</v>
      </c>
      <c r="AE654" s="545">
        <f ca="1">IF(AND($D654="Serviço",AE$12&lt;&gt;0,$H654&gt;0,OR(AUTOEVENTO&lt;&gt;"manual",$M654&lt;&gt;1)),
IF(Import.TipoArredondamento&lt;&gt;"TransfereGOV",
ROUND(OFFSET($P654,0,AE$13),15-13*ORÇAMENTO!$AF$7)/$H654*OFFSET(ORÇAMENTO!$X$15,ROW(AE654)-ROW(AE$15),0),
ROUND(ROUND(OFFSET($P654,0,AE$13),15-13*ORÇAMENTO!$AF$7)*OFFSET(ORÇAMENTO!$W$15,ROW(AE654)-ROW(AE$15),0),15-13*ORÇAMENTO!$AF$11)),0)</f>
        <v>0</v>
      </c>
      <c r="AF654" s="545">
        <f ca="1">IF(AND($D654="Serviço",AF$12&lt;&gt;0,$H654&gt;0,OR(AUTOEVENTO&lt;&gt;"manual",$M654&lt;&gt;1)),
IF(Import.TipoArredondamento&lt;&gt;"TransfereGOV",
ROUND(OFFSET($P654,0,AF$13),15-13*ORÇAMENTO!$AF$7)/$H654*OFFSET(ORÇAMENTO!$X$15,ROW(AF654)-ROW(AF$15),0),
ROUND(ROUND(OFFSET($P654,0,AF$13),15-13*ORÇAMENTO!$AF$7)*OFFSET(ORÇAMENTO!$W$15,ROW(AF654)-ROW(AF$15),0),15-13*ORÇAMENTO!$AF$11)),0)</f>
        <v>0</v>
      </c>
      <c r="AG654" s="545">
        <f ca="1">IF(AND($D654="Serviço",AG$12&lt;&gt;0,$H654&gt;0,OR(AUTOEVENTO&lt;&gt;"manual",$M654&lt;&gt;1)),
IF(Import.TipoArredondamento&lt;&gt;"TransfereGOV",
ROUND(OFFSET($P654,0,AG$13),15-13*ORÇAMENTO!$AF$7)/$H654*OFFSET(ORÇAMENTO!$X$15,ROW(AG654)-ROW(AG$15),0),
ROUND(ROUND(OFFSET($P654,0,AG$13),15-13*ORÇAMENTO!$AF$7)*OFFSET(ORÇAMENTO!$W$15,ROW(AG654)-ROW(AG$15),0),15-13*ORÇAMENTO!$AF$11)),0)</f>
        <v>0</v>
      </c>
      <c r="AH654" s="545">
        <f ca="1">IF(AND($D654="Serviço",AH$12&lt;&gt;0,$H654&gt;0,OR(AUTOEVENTO&lt;&gt;"manual",$M654&lt;&gt;1)),
IF(Import.TipoArredondamento&lt;&gt;"TransfereGOV",
ROUND(OFFSET($P654,0,AH$13),15-13*ORÇAMENTO!$AF$7)/$H654*OFFSET(ORÇAMENTO!$X$15,ROW(AH654)-ROW(AH$15),0),
ROUND(ROUND(OFFSET($P654,0,AH$13),15-13*ORÇAMENTO!$AF$7)*OFFSET(ORÇAMENTO!$W$15,ROW(AH654)-ROW(AH$15),0),15-13*ORÇAMENTO!$AF$11)),0)</f>
        <v>0</v>
      </c>
      <c r="AI654" s="545">
        <f ca="1">IF(AND($D654="Serviço",AI$12&lt;&gt;0,$H654&gt;0,OR(AUTOEVENTO&lt;&gt;"manual",$M654&lt;&gt;1)),
IF(Import.TipoArredondamento&lt;&gt;"TransfereGOV",
ROUND(OFFSET($P654,0,AI$13),15-13*ORÇAMENTO!$AF$7)/$H654*OFFSET(ORÇAMENTO!$X$15,ROW(AI654)-ROW(AI$15),0),
ROUND(ROUND(OFFSET($P654,0,AI$13),15-13*ORÇAMENTO!$AF$7)*OFFSET(ORÇAMENTO!$W$15,ROW(AI654)-ROW(AI$15),0),15-13*ORÇAMENTO!$AF$11)),0)</f>
        <v>0</v>
      </c>
      <c r="AJ654" s="545">
        <f ca="1">IF(AND($D654="Serviço",AJ$12&lt;&gt;0,$H654&gt;0,OR(AUTOEVENTO&lt;&gt;"manual",$M654&lt;&gt;1)),
IF(Import.TipoArredondamento&lt;&gt;"TransfereGOV",
ROUND(OFFSET($P654,0,AJ$13),15-13*ORÇAMENTO!$AF$7)/$H654*OFFSET(ORÇAMENTO!$X$15,ROW(AJ654)-ROW(AJ$15),0),
ROUND(ROUND(OFFSET($P654,0,AJ$13),15-13*ORÇAMENTO!$AF$7)*OFFSET(ORÇAMENTO!$W$15,ROW(AJ654)-ROW(AJ$15),0),15-13*ORÇAMENTO!$AF$11)),0)</f>
        <v>0</v>
      </c>
      <c r="AK654" s="546">
        <f ca="1">IF(AND($D654="Serviço",AK$12&lt;&gt;0,$H654&gt;0,OR(AUTOEVENTO&lt;&gt;"manual",$M654&lt;&gt;1)),
IF(Import.TipoArredondamento&lt;&gt;"TransfereGOV",
ROUND(OFFSET($P654,0,AK$13),15-13*ORÇAMENTO!$AF$7)/$H654*OFFSET(ORÇAMENTO!$X$15,ROW(AK654)-ROW(AK$15),0),
ROUND(ROUND(OFFSET($P654,0,AK$13),15-13*ORÇAMENTO!$AF$7)*OFFSET(ORÇAMENTO!$W$15,ROW(AK654)-ROW(AK$15),0),15-13*ORÇAMENTO!$AF$11)),0)</f>
        <v>0</v>
      </c>
      <c r="AM654" s="181">
        <f ca="1">IF($D654&lt;&gt;"Serviço",0,IF(AND(AUTOEVENTO="Manual",$M654=1),0,IF(OFFSET(CRONOPLE!$F$14,$M654,AM$13)="",10^12,OFFSET(CRONOPLE!$F$14,$M654,AM$13))))</f>
        <v>0</v>
      </c>
      <c r="AN654" s="181">
        <f ca="1">IF($D654&lt;&gt;"Serviço",0,IF(AND(AUTOEVENTO="Manual",$M654=1),0,IF(OFFSET(CRONOPLE!$F$14,$M654,AN$13)="",10^12,OFFSET(CRONOPLE!$F$14,$M654,AN$13))))</f>
        <v>0</v>
      </c>
      <c r="AO654" s="181">
        <f ca="1">IF($D654&lt;&gt;"Serviço",0,IF(AND(AUTOEVENTO="Manual",$M654=1),0,IF(OFFSET(CRONOPLE!$F$14,$M654,AO$13)="",10^12,OFFSET(CRONOPLE!$F$14,$M654,AO$13))))</f>
        <v>0</v>
      </c>
      <c r="AP654" s="181">
        <f ca="1">IF($D654&lt;&gt;"Serviço",0,IF(AND(AUTOEVENTO="Manual",$M654=1),0,IF(OFFSET(CRONOPLE!$F$14,$M654,AP$13)="",10^12,OFFSET(CRONOPLE!$F$14,$M654,AP$13))))</f>
        <v>0</v>
      </c>
      <c r="AQ654" s="181">
        <f ca="1">IF($D654&lt;&gt;"Serviço",0,IF(AND(AUTOEVENTO="Manual",$M654=1),0,IF(OFFSET(CRONOPLE!$F$14,$M654,AQ$13)="",10^12,OFFSET(CRONOPLE!$F$14,$M654,AQ$13))))</f>
        <v>0</v>
      </c>
      <c r="AR654" s="181">
        <f ca="1">IF($D654&lt;&gt;"Serviço",0,IF(AND(AUTOEVENTO="Manual",$M654=1),0,IF(OFFSET(CRONOPLE!$F$14,$M654,AR$13)="",10^12,OFFSET(CRONOPLE!$F$14,$M654,AR$13))))</f>
        <v>0</v>
      </c>
      <c r="AS654" s="181">
        <f ca="1">IF($D654&lt;&gt;"Serviço",0,IF(AND(AUTOEVENTO="Manual",$M654=1),0,IF(OFFSET(CRONOPLE!$F$14,$M654,AS$13)="",10^12,OFFSET(CRONOPLE!$F$14,$M654,AS$13))))</f>
        <v>0</v>
      </c>
      <c r="AT654" s="181">
        <f ca="1">IF($D654&lt;&gt;"Serviço",0,IF(AND(AUTOEVENTO="Manual",$M654=1),0,IF(OFFSET(CRONOPLE!$F$14,$M654,AT$13)="",10^12,OFFSET(CRONOPLE!$F$14,$M654,AT$13))))</f>
        <v>0</v>
      </c>
      <c r="AU654" s="181">
        <f ca="1">IF($D654&lt;&gt;"Serviço",0,IF(AND(AUTOEVENTO="Manual",$M654=1),0,IF(OFFSET(CRONOPLE!$F$14,$M654,AU$13)="",10^12,OFFSET(CRONOPLE!$F$14,$M654,AU$13))))</f>
        <v>0</v>
      </c>
      <c r="AV654" s="181">
        <f ca="1">IF($D654&lt;&gt;"Serviço",0,IF(AND(AUTOEVENTO="Manual",$M654=1),0,IF(OFFSET(CRONOPLE!$F$14,$M654,AV$13)="",10^12,OFFSET(CRONOPLE!$F$14,$M654,AV$13))))</f>
        <v>0</v>
      </c>
      <c r="AX654" s="182">
        <f ca="1">IF($D654&lt;&gt;"Serviço",0,IF(OR(AND(AUTOEVENTO="Manual",$M654=1),$M654&gt;(ROW(PLE.lastrow)-ROW(PLE.firstrow))),0,IF(OFFSET(PLE!$G$14,$M654,AX$13)="",10^12,OFFSET(PLE!$G$14,$M654,AX$13))))</f>
        <v>0</v>
      </c>
      <c r="AY654" s="182">
        <f ca="1">IF($D654&lt;&gt;"Serviço",0,IF(OR(AND(AUTOEVENTO="Manual",$M654=1),$M654&gt;(ROW(PLE.lastrow)-ROW(PLE.firstrow))),0,IF(OFFSET(PLE!$G$14,$M654,AY$13)="",10^12,OFFSET(PLE!$G$14,$M654,AY$13))))</f>
        <v>0</v>
      </c>
      <c r="AZ654" s="182">
        <f ca="1">IF($D654&lt;&gt;"Serviço",0,IF(OR(AND(AUTOEVENTO="Manual",$M654=1),$M654&gt;(ROW(PLE.lastrow)-ROW(PLE.firstrow))),0,IF(OFFSET(PLE!$G$14,$M654,AZ$13)="",10^12,OFFSET(PLE!$G$14,$M654,AZ$13))))</f>
        <v>0</v>
      </c>
      <c r="BA654" s="182">
        <f ca="1">IF($D654&lt;&gt;"Serviço",0,IF(OR(AND(AUTOEVENTO="Manual",$M654=1),$M654&gt;(ROW(PLE.lastrow)-ROW(PLE.firstrow))),0,IF(OFFSET(PLE!$G$14,$M654,BA$13)="",10^12,OFFSET(PLE!$G$14,$M654,BA$13))))</f>
        <v>0</v>
      </c>
      <c r="BB654" s="182">
        <f ca="1">IF($D654&lt;&gt;"Serviço",0,IF(OR(AND(AUTOEVENTO="Manual",$M654=1),$M654&gt;(ROW(PLE.lastrow)-ROW(PLE.firstrow))),0,IF(OFFSET(PLE!$G$14,$M654,BB$13)="",10^12,OFFSET(PLE!$G$14,$M654,BB$13))))</f>
        <v>0</v>
      </c>
      <c r="BC654" s="182">
        <f ca="1">IF($D654&lt;&gt;"Serviço",0,IF(OR(AND(AUTOEVENTO="Manual",$M654=1),$M654&gt;(ROW(PLE.lastrow)-ROW(PLE.firstrow))),0,IF(OFFSET(PLE!$G$14,$M654,BC$13)="",10^12,OFFSET(PLE!$G$14,$M654,BC$13))))</f>
        <v>0</v>
      </c>
      <c r="BD654" s="182">
        <f ca="1">IF($D654&lt;&gt;"Serviço",0,IF(OR(AND(AUTOEVENTO="Manual",$M654=1),$M654&gt;(ROW(PLE.lastrow)-ROW(PLE.firstrow))),0,IF(OFFSET(PLE!$G$14,$M654,BD$13)="",10^12,OFFSET(PLE!$G$14,$M654,BD$13))))</f>
        <v>0</v>
      </c>
      <c r="BE654" s="182">
        <f ca="1">IF($D654&lt;&gt;"Serviço",0,IF(OR(AND(AUTOEVENTO="Manual",$M654=1),$M654&gt;(ROW(PLE.lastrow)-ROW(PLE.firstrow))),0,IF(OFFSET(PLE!$G$14,$M654,BE$13)="",10^12,OFFSET(PLE!$G$14,$M654,BE$13))))</f>
        <v>0</v>
      </c>
      <c r="BF654" s="182">
        <f ca="1">IF($D654&lt;&gt;"Serviço",0,IF(OR(AND(AUTOEVENTO="Manual",$M654=1),$M654&gt;(ROW(PLE.lastrow)-ROW(PLE.firstrow))),0,IF(OFFSET(PLE!$G$14,$M654,BF$13)="",10^12,OFFSET(PLE!$G$14,$M654,BF$13))))</f>
        <v>0</v>
      </c>
      <c r="BG654" s="182">
        <f ca="1">IF($D654&lt;&gt;"Serviço",0,IF(OR(AND(AUTOEVENTO="Manual",$M654=1),$M654&gt;(ROW(PLE.lastrow)-ROW(PLE.firstrow))),0,IF(OFFSET(PLE!$G$14,$M654,BG$13)="",10^12,OFFSET(PLE!$G$14,$M654,BG$13))))</f>
        <v>0</v>
      </c>
    </row>
    <row r="655" spans="1:59" ht="38.25" x14ac:dyDescent="0.2">
      <c r="A655" s="7" t="str">
        <f t="shared" ca="1" si="17"/>
        <v>638</v>
      </c>
      <c r="B655" s="7" t="str">
        <f ca="1">OFFSET(ORÇAMENTO!C$15,ROW(B655)-ROW(B$15),0)</f>
        <v>S</v>
      </c>
      <c r="C655" s="7" t="str">
        <f ca="1">OFFSET(ORÇAMENTO!L$15,ROW(C655)-ROW(C$15),0)</f>
        <v/>
      </c>
      <c r="D655" s="118" t="str">
        <f ca="1">OFFSET(ORÇAMENTO!N$15,ROW(D655)-ROW(D$15),0)</f>
        <v>Serviço</v>
      </c>
      <c r="E655" s="119" t="str">
        <f ca="1">OFFSET(ORÇAMENTO!O$15,ROW(E655)-ROW(E$15),0)</f>
        <v>-</v>
      </c>
      <c r="F655" s="172" t="str">
        <f ca="1">OFFSET(ORÇAMENTO!R$15,ROW(F655)-ROW(F$15),0)</f>
        <v>(abra o arquivo 'Referência 02-2025.xlsm)</v>
      </c>
      <c r="G655" s="173" t="str">
        <f ca="1">IF($D655&lt;&gt;"Serviço","",OFFSET(ORÇAMENTO!S$15,ROW(G655)-ROW(G$15),0))</f>
        <v>-</v>
      </c>
      <c r="H655" s="124">
        <f ca="1">IF($D655&lt;&gt;"Serviço",0,IF(ACOMPANHAMENTO="BM",ROUND(OFFSET(ORÇAMENTO!AJ$15,ROW(H655)-ROW(H$15),0),15-13*ORÇAMENTO!$AF$7),SUMPRODUCT(($Q$12:$AA$12&lt;&gt;"")*ROUND($Q655:$AA655,15-13*ORÇAMENTO!$AF$7))))</f>
        <v>22.6</v>
      </c>
      <c r="I655" s="561"/>
      <c r="K655" s="174"/>
      <c r="L655" s="175" t="s">
        <v>255</v>
      </c>
      <c r="M655" s="176">
        <f ca="1">IF($D655&lt;&gt;"Serviço","",IF(AUTOEVENTO="manual",$A655,IF(ISERROR(MATCH($A655,$A$15:OFFSET($A655,-1,0),0)),MAX($M$15:OFFSET(M655,-1,0))+1,INDEX($M$15:OFFSET(M655,-1,0),MATCH($A655,$A$15:OFFSET($A655,-1,0),0)))))</f>
        <v>21</v>
      </c>
      <c r="N655" s="177" t="str">
        <f ca="1">IF($D655&lt;&gt;"Serviço","",IF(AUTOEVENTO="Manual",IF($A655=0,"&lt;-- defina o número do agrupador",OFFSET(EVENTOS!$D$14,$A655,0)),OFFSET($F$15,$A655,0)))</f>
        <v>INSTALAÇÕES DE CLIMATIZAÇÃO</v>
      </c>
      <c r="O655" s="178"/>
      <c r="Q655" s="178"/>
      <c r="R655" s="179"/>
      <c r="S655" s="179"/>
      <c r="T655" s="179"/>
      <c r="U655" s="179"/>
      <c r="V655" s="179"/>
      <c r="W655" s="179"/>
      <c r="X655" s="179"/>
      <c r="Y655" s="179"/>
      <c r="Z655" s="180"/>
      <c r="AB655" s="544">
        <f ca="1">IF(AND($D655="Serviço",AB$12&lt;&gt;0,$H655&gt;0,OR(AUTOEVENTO&lt;&gt;"manual",$M655&lt;&gt;1)),
IF(Import.TipoArredondamento&lt;&gt;"TransfereGOV",
ROUND(OFFSET($P655,0,AB$13),15-13*ORÇAMENTO!$AF$7)/$H655*OFFSET(ORÇAMENTO!$X$15,ROW(AB655)-ROW(AB$15),0),
ROUND(ROUND(OFFSET($P655,0,AB$13),15-13*ORÇAMENTO!$AF$7)*OFFSET(ORÇAMENTO!$W$15,ROW(AB655)-ROW(AB$15),0),15-13*ORÇAMENTO!$AF$11)),0)</f>
        <v>0</v>
      </c>
      <c r="AC655" s="545">
        <f ca="1">IF(AND($D655="Serviço",AC$12&lt;&gt;0,$H655&gt;0,OR(AUTOEVENTO&lt;&gt;"manual",$M655&lt;&gt;1)),
IF(Import.TipoArredondamento&lt;&gt;"TransfereGOV",
ROUND(OFFSET($P655,0,AC$13),15-13*ORÇAMENTO!$AF$7)/$H655*OFFSET(ORÇAMENTO!$X$15,ROW(AC655)-ROW(AC$15),0),
ROUND(ROUND(OFFSET($P655,0,AC$13),15-13*ORÇAMENTO!$AF$7)*OFFSET(ORÇAMENTO!$W$15,ROW(AC655)-ROW(AC$15),0),15-13*ORÇAMENTO!$AF$11)),0)</f>
        <v>0</v>
      </c>
      <c r="AD655" s="545">
        <f ca="1">IF(AND($D655="Serviço",AD$12&lt;&gt;0,$H655&gt;0,OR(AUTOEVENTO&lt;&gt;"manual",$M655&lt;&gt;1)),
IF(Import.TipoArredondamento&lt;&gt;"TransfereGOV",
ROUND(OFFSET($P655,0,AD$13),15-13*ORÇAMENTO!$AF$7)/$H655*OFFSET(ORÇAMENTO!$X$15,ROW(AD655)-ROW(AD$15),0),
ROUND(ROUND(OFFSET($P655,0,AD$13),15-13*ORÇAMENTO!$AF$7)*OFFSET(ORÇAMENTO!$W$15,ROW(AD655)-ROW(AD$15),0),15-13*ORÇAMENTO!$AF$11)),0)</f>
        <v>0</v>
      </c>
      <c r="AE655" s="545">
        <f ca="1">IF(AND($D655="Serviço",AE$12&lt;&gt;0,$H655&gt;0,OR(AUTOEVENTO&lt;&gt;"manual",$M655&lt;&gt;1)),
IF(Import.TipoArredondamento&lt;&gt;"TransfereGOV",
ROUND(OFFSET($P655,0,AE$13),15-13*ORÇAMENTO!$AF$7)/$H655*OFFSET(ORÇAMENTO!$X$15,ROW(AE655)-ROW(AE$15),0),
ROUND(ROUND(OFFSET($P655,0,AE$13),15-13*ORÇAMENTO!$AF$7)*OFFSET(ORÇAMENTO!$W$15,ROW(AE655)-ROW(AE$15),0),15-13*ORÇAMENTO!$AF$11)),0)</f>
        <v>0</v>
      </c>
      <c r="AF655" s="545">
        <f ca="1">IF(AND($D655="Serviço",AF$12&lt;&gt;0,$H655&gt;0,OR(AUTOEVENTO&lt;&gt;"manual",$M655&lt;&gt;1)),
IF(Import.TipoArredondamento&lt;&gt;"TransfereGOV",
ROUND(OFFSET($P655,0,AF$13),15-13*ORÇAMENTO!$AF$7)/$H655*OFFSET(ORÇAMENTO!$X$15,ROW(AF655)-ROW(AF$15),0),
ROUND(ROUND(OFFSET($P655,0,AF$13),15-13*ORÇAMENTO!$AF$7)*OFFSET(ORÇAMENTO!$W$15,ROW(AF655)-ROW(AF$15),0),15-13*ORÇAMENTO!$AF$11)),0)</f>
        <v>0</v>
      </c>
      <c r="AG655" s="545">
        <f ca="1">IF(AND($D655="Serviço",AG$12&lt;&gt;0,$H655&gt;0,OR(AUTOEVENTO&lt;&gt;"manual",$M655&lt;&gt;1)),
IF(Import.TipoArredondamento&lt;&gt;"TransfereGOV",
ROUND(OFFSET($P655,0,AG$13),15-13*ORÇAMENTO!$AF$7)/$H655*OFFSET(ORÇAMENTO!$X$15,ROW(AG655)-ROW(AG$15),0),
ROUND(ROUND(OFFSET($P655,0,AG$13),15-13*ORÇAMENTO!$AF$7)*OFFSET(ORÇAMENTO!$W$15,ROW(AG655)-ROW(AG$15),0),15-13*ORÇAMENTO!$AF$11)),0)</f>
        <v>0</v>
      </c>
      <c r="AH655" s="545">
        <f ca="1">IF(AND($D655="Serviço",AH$12&lt;&gt;0,$H655&gt;0,OR(AUTOEVENTO&lt;&gt;"manual",$M655&lt;&gt;1)),
IF(Import.TipoArredondamento&lt;&gt;"TransfereGOV",
ROUND(OFFSET($P655,0,AH$13),15-13*ORÇAMENTO!$AF$7)/$H655*OFFSET(ORÇAMENTO!$X$15,ROW(AH655)-ROW(AH$15),0),
ROUND(ROUND(OFFSET($P655,0,AH$13),15-13*ORÇAMENTO!$AF$7)*OFFSET(ORÇAMENTO!$W$15,ROW(AH655)-ROW(AH$15),0),15-13*ORÇAMENTO!$AF$11)),0)</f>
        <v>0</v>
      </c>
      <c r="AI655" s="545">
        <f ca="1">IF(AND($D655="Serviço",AI$12&lt;&gt;0,$H655&gt;0,OR(AUTOEVENTO&lt;&gt;"manual",$M655&lt;&gt;1)),
IF(Import.TipoArredondamento&lt;&gt;"TransfereGOV",
ROUND(OFFSET($P655,0,AI$13),15-13*ORÇAMENTO!$AF$7)/$H655*OFFSET(ORÇAMENTO!$X$15,ROW(AI655)-ROW(AI$15),0),
ROUND(ROUND(OFFSET($P655,0,AI$13),15-13*ORÇAMENTO!$AF$7)*OFFSET(ORÇAMENTO!$W$15,ROW(AI655)-ROW(AI$15),0),15-13*ORÇAMENTO!$AF$11)),0)</f>
        <v>0</v>
      </c>
      <c r="AJ655" s="545">
        <f ca="1">IF(AND($D655="Serviço",AJ$12&lt;&gt;0,$H655&gt;0,OR(AUTOEVENTO&lt;&gt;"manual",$M655&lt;&gt;1)),
IF(Import.TipoArredondamento&lt;&gt;"TransfereGOV",
ROUND(OFFSET($P655,0,AJ$13),15-13*ORÇAMENTO!$AF$7)/$H655*OFFSET(ORÇAMENTO!$X$15,ROW(AJ655)-ROW(AJ$15),0),
ROUND(ROUND(OFFSET($P655,0,AJ$13),15-13*ORÇAMENTO!$AF$7)*OFFSET(ORÇAMENTO!$W$15,ROW(AJ655)-ROW(AJ$15),0),15-13*ORÇAMENTO!$AF$11)),0)</f>
        <v>0</v>
      </c>
      <c r="AK655" s="546">
        <f ca="1">IF(AND($D655="Serviço",AK$12&lt;&gt;0,$H655&gt;0,OR(AUTOEVENTO&lt;&gt;"manual",$M655&lt;&gt;1)),
IF(Import.TipoArredondamento&lt;&gt;"TransfereGOV",
ROUND(OFFSET($P655,0,AK$13),15-13*ORÇAMENTO!$AF$7)/$H655*OFFSET(ORÇAMENTO!$X$15,ROW(AK655)-ROW(AK$15),0),
ROUND(ROUND(OFFSET($P655,0,AK$13),15-13*ORÇAMENTO!$AF$7)*OFFSET(ORÇAMENTO!$W$15,ROW(AK655)-ROW(AK$15),0),15-13*ORÇAMENTO!$AF$11)),0)</f>
        <v>0</v>
      </c>
      <c r="AM655" s="181">
        <f ca="1">IF($D655&lt;&gt;"Serviço",0,IF(AND(AUTOEVENTO="Manual",$M655=1),0,IF(OFFSET(CRONOPLE!$F$14,$M655,AM$13)="",10^12,OFFSET(CRONOPLE!$F$14,$M655,AM$13))))</f>
        <v>1000000000000</v>
      </c>
      <c r="AN655" s="181">
        <f ca="1">IF($D655&lt;&gt;"Serviço",0,IF(AND(AUTOEVENTO="Manual",$M655=1),0,IF(OFFSET(CRONOPLE!$F$14,$M655,AN$13)="",10^12,OFFSET(CRONOPLE!$F$14,$M655,AN$13))))</f>
        <v>1000000000000</v>
      </c>
      <c r="AO655" s="181">
        <f ca="1">IF($D655&lt;&gt;"Serviço",0,IF(AND(AUTOEVENTO="Manual",$M655=1),0,IF(OFFSET(CRONOPLE!$F$14,$M655,AO$13)="",10^12,OFFSET(CRONOPLE!$F$14,$M655,AO$13))))</f>
        <v>1000000000000</v>
      </c>
      <c r="AP655" s="181">
        <f ca="1">IF($D655&lt;&gt;"Serviço",0,IF(AND(AUTOEVENTO="Manual",$M655=1),0,IF(OFFSET(CRONOPLE!$F$14,$M655,AP$13)="",10^12,OFFSET(CRONOPLE!$F$14,$M655,AP$13))))</f>
        <v>1000000000000</v>
      </c>
      <c r="AQ655" s="181">
        <f ca="1">IF($D655&lt;&gt;"Serviço",0,IF(AND(AUTOEVENTO="Manual",$M655=1),0,IF(OFFSET(CRONOPLE!$F$14,$M655,AQ$13)="",10^12,OFFSET(CRONOPLE!$F$14,$M655,AQ$13))))</f>
        <v>1000000000000</v>
      </c>
      <c r="AR655" s="181">
        <f ca="1">IF($D655&lt;&gt;"Serviço",0,IF(AND(AUTOEVENTO="Manual",$M655=1),0,IF(OFFSET(CRONOPLE!$F$14,$M655,AR$13)="",10^12,OFFSET(CRONOPLE!$F$14,$M655,AR$13))))</f>
        <v>1000000000000</v>
      </c>
      <c r="AS655" s="181">
        <f ca="1">IF($D655&lt;&gt;"Serviço",0,IF(AND(AUTOEVENTO="Manual",$M655=1),0,IF(OFFSET(CRONOPLE!$F$14,$M655,AS$13)="",10^12,OFFSET(CRONOPLE!$F$14,$M655,AS$13))))</f>
        <v>1000000000000</v>
      </c>
      <c r="AT655" s="181">
        <f ca="1">IF($D655&lt;&gt;"Serviço",0,IF(AND(AUTOEVENTO="Manual",$M655=1),0,IF(OFFSET(CRONOPLE!$F$14,$M655,AT$13)="",10^12,OFFSET(CRONOPLE!$F$14,$M655,AT$13))))</f>
        <v>1000000000000</v>
      </c>
      <c r="AU655" s="181">
        <f ca="1">IF($D655&lt;&gt;"Serviço",0,IF(AND(AUTOEVENTO="Manual",$M655=1),0,IF(OFFSET(CRONOPLE!$F$14,$M655,AU$13)="",10^12,OFFSET(CRONOPLE!$F$14,$M655,AU$13))))</f>
        <v>1000000000000</v>
      </c>
      <c r="AV655" s="181">
        <f ca="1">IF($D655&lt;&gt;"Serviço",0,IF(AND(AUTOEVENTO="Manual",$M655=1),0,IF(OFFSET(CRONOPLE!$F$14,$M655,AV$13)="",10^12,OFFSET(CRONOPLE!$F$14,$M655,AV$13))))</f>
        <v>1000000000000</v>
      </c>
      <c r="AX655" s="182">
        <f ca="1">IF($D655&lt;&gt;"Serviço",0,IF(OR(AND(AUTOEVENTO="Manual",$M655=1),$M655&gt;(ROW(PLE.lastrow)-ROW(PLE.firstrow))),0,IF(OFFSET(PLE!$G$14,$M655,AX$13)="",10^12,OFFSET(PLE!$G$14,$M655,AX$13))))</f>
        <v>1000000000000</v>
      </c>
      <c r="AY655" s="182">
        <f ca="1">IF($D655&lt;&gt;"Serviço",0,IF(OR(AND(AUTOEVENTO="Manual",$M655=1),$M655&gt;(ROW(PLE.lastrow)-ROW(PLE.firstrow))),0,IF(OFFSET(PLE!$G$14,$M655,AY$13)="",10^12,OFFSET(PLE!$G$14,$M655,AY$13))))</f>
        <v>1000000000000</v>
      </c>
      <c r="AZ655" s="182">
        <f ca="1">IF($D655&lt;&gt;"Serviço",0,IF(OR(AND(AUTOEVENTO="Manual",$M655=1),$M655&gt;(ROW(PLE.lastrow)-ROW(PLE.firstrow))),0,IF(OFFSET(PLE!$G$14,$M655,AZ$13)="",10^12,OFFSET(PLE!$G$14,$M655,AZ$13))))</f>
        <v>1000000000000</v>
      </c>
      <c r="BA655" s="182">
        <f ca="1">IF($D655&lt;&gt;"Serviço",0,IF(OR(AND(AUTOEVENTO="Manual",$M655=1),$M655&gt;(ROW(PLE.lastrow)-ROW(PLE.firstrow))),0,IF(OFFSET(PLE!$G$14,$M655,BA$13)="",10^12,OFFSET(PLE!$G$14,$M655,BA$13))))</f>
        <v>1000000000000</v>
      </c>
      <c r="BB655" s="182">
        <f ca="1">IF($D655&lt;&gt;"Serviço",0,IF(OR(AND(AUTOEVENTO="Manual",$M655=1),$M655&gt;(ROW(PLE.lastrow)-ROW(PLE.firstrow))),0,IF(OFFSET(PLE!$G$14,$M655,BB$13)="",10^12,OFFSET(PLE!$G$14,$M655,BB$13))))</f>
        <v>1000000000000</v>
      </c>
      <c r="BC655" s="182">
        <f ca="1">IF($D655&lt;&gt;"Serviço",0,IF(OR(AND(AUTOEVENTO="Manual",$M655=1),$M655&gt;(ROW(PLE.lastrow)-ROW(PLE.firstrow))),0,IF(OFFSET(PLE!$G$14,$M655,BC$13)="",10^12,OFFSET(PLE!$G$14,$M655,BC$13))))</f>
        <v>1000000000000</v>
      </c>
      <c r="BD655" s="182">
        <f ca="1">IF($D655&lt;&gt;"Serviço",0,IF(OR(AND(AUTOEVENTO="Manual",$M655=1),$M655&gt;(ROW(PLE.lastrow)-ROW(PLE.firstrow))),0,IF(OFFSET(PLE!$G$14,$M655,BD$13)="",10^12,OFFSET(PLE!$G$14,$M655,BD$13))))</f>
        <v>1000000000000</v>
      </c>
      <c r="BE655" s="182">
        <f ca="1">IF($D655&lt;&gt;"Serviço",0,IF(OR(AND(AUTOEVENTO="Manual",$M655=1),$M655&gt;(ROW(PLE.lastrow)-ROW(PLE.firstrow))),0,IF(OFFSET(PLE!$G$14,$M655,BE$13)="",10^12,OFFSET(PLE!$G$14,$M655,BE$13))))</f>
        <v>1000000000000</v>
      </c>
      <c r="BF655" s="182">
        <f ca="1">IF($D655&lt;&gt;"Serviço",0,IF(OR(AND(AUTOEVENTO="Manual",$M655=1),$M655&gt;(ROW(PLE.lastrow)-ROW(PLE.firstrow))),0,IF(OFFSET(PLE!$G$14,$M655,BF$13)="",10^12,OFFSET(PLE!$G$14,$M655,BF$13))))</f>
        <v>1000000000000</v>
      </c>
      <c r="BG655" s="182">
        <f ca="1">IF($D655&lt;&gt;"Serviço",0,IF(OR(AND(AUTOEVENTO="Manual",$M655=1),$M655&gt;(ROW(PLE.lastrow)-ROW(PLE.firstrow))),0,IF(OFFSET(PLE!$G$14,$M655,BG$13)="",10^12,OFFSET(PLE!$G$14,$M655,BG$13))))</f>
        <v>1000000000000</v>
      </c>
    </row>
    <row r="656" spans="1:59" ht="38.25" x14ac:dyDescent="0.2">
      <c r="A656" s="7" t="str">
        <f t="shared" ca="1" si="17"/>
        <v>638</v>
      </c>
      <c r="B656" s="7" t="str">
        <f ca="1">OFFSET(ORÇAMENTO!C$15,ROW(B656)-ROW(B$15),0)</f>
        <v>S</v>
      </c>
      <c r="C656" s="7" t="str">
        <f ca="1">OFFSET(ORÇAMENTO!L$15,ROW(C656)-ROW(C$15),0)</f>
        <v/>
      </c>
      <c r="D656" s="118" t="str">
        <f ca="1">OFFSET(ORÇAMENTO!N$15,ROW(D656)-ROW(D$15),0)</f>
        <v>Serviço</v>
      </c>
      <c r="E656" s="119" t="str">
        <f ca="1">OFFSET(ORÇAMENTO!O$15,ROW(E656)-ROW(E$15),0)</f>
        <v>-</v>
      </c>
      <c r="F656" s="172" t="str">
        <f ca="1">OFFSET(ORÇAMENTO!R$15,ROW(F656)-ROW(F$15),0)</f>
        <v>(abra o arquivo 'Referência 02-2025.xlsm)</v>
      </c>
      <c r="G656" s="173" t="str">
        <f ca="1">IF($D656&lt;&gt;"Serviço","",OFFSET(ORÇAMENTO!S$15,ROW(G656)-ROW(G$15),0))</f>
        <v>-</v>
      </c>
      <c r="H656" s="124">
        <f ca="1">IF($D656&lt;&gt;"Serviço",0,IF(ACOMPANHAMENTO="BM",ROUND(OFFSET(ORÇAMENTO!AJ$15,ROW(H656)-ROW(H$15),0),15-13*ORÇAMENTO!$AF$7),SUMPRODUCT(($Q$12:$AA$12&lt;&gt;"")*ROUND($Q656:$AA656,15-13*ORÇAMENTO!$AF$7))))</f>
        <v>132.4</v>
      </c>
      <c r="I656" s="561"/>
      <c r="K656" s="174"/>
      <c r="L656" s="175" t="s">
        <v>255</v>
      </c>
      <c r="M656" s="176">
        <f ca="1">IF($D656&lt;&gt;"Serviço","",IF(AUTOEVENTO="manual",$A656,IF(ISERROR(MATCH($A656,$A$15:OFFSET($A656,-1,0),0)),MAX($M$15:OFFSET(M656,-1,0))+1,INDEX($M$15:OFFSET(M656,-1,0),MATCH($A656,$A$15:OFFSET($A656,-1,0),0)))))</f>
        <v>21</v>
      </c>
      <c r="N656" s="177" t="str">
        <f ca="1">IF($D656&lt;&gt;"Serviço","",IF(AUTOEVENTO="Manual",IF($A656=0,"&lt;-- defina o número do agrupador",OFFSET(EVENTOS!$D$14,$A656,0)),OFFSET($F$15,$A656,0)))</f>
        <v>INSTALAÇÕES DE CLIMATIZAÇÃO</v>
      </c>
      <c r="O656" s="178"/>
      <c r="Q656" s="178"/>
      <c r="R656" s="179"/>
      <c r="S656" s="179"/>
      <c r="T656" s="179"/>
      <c r="U656" s="179"/>
      <c r="V656" s="179"/>
      <c r="W656" s="179"/>
      <c r="X656" s="179"/>
      <c r="Y656" s="179"/>
      <c r="Z656" s="180"/>
      <c r="AB656" s="544">
        <f ca="1">IF(AND($D656="Serviço",AB$12&lt;&gt;0,$H656&gt;0,OR(AUTOEVENTO&lt;&gt;"manual",$M656&lt;&gt;1)),
IF(Import.TipoArredondamento&lt;&gt;"TransfereGOV",
ROUND(OFFSET($P656,0,AB$13),15-13*ORÇAMENTO!$AF$7)/$H656*OFFSET(ORÇAMENTO!$X$15,ROW(AB656)-ROW(AB$15),0),
ROUND(ROUND(OFFSET($P656,0,AB$13),15-13*ORÇAMENTO!$AF$7)*OFFSET(ORÇAMENTO!$W$15,ROW(AB656)-ROW(AB$15),0),15-13*ORÇAMENTO!$AF$11)),0)</f>
        <v>0</v>
      </c>
      <c r="AC656" s="545">
        <f ca="1">IF(AND($D656="Serviço",AC$12&lt;&gt;0,$H656&gt;0,OR(AUTOEVENTO&lt;&gt;"manual",$M656&lt;&gt;1)),
IF(Import.TipoArredondamento&lt;&gt;"TransfereGOV",
ROUND(OFFSET($P656,0,AC$13),15-13*ORÇAMENTO!$AF$7)/$H656*OFFSET(ORÇAMENTO!$X$15,ROW(AC656)-ROW(AC$15),0),
ROUND(ROUND(OFFSET($P656,0,AC$13),15-13*ORÇAMENTO!$AF$7)*OFFSET(ORÇAMENTO!$W$15,ROW(AC656)-ROW(AC$15),0),15-13*ORÇAMENTO!$AF$11)),0)</f>
        <v>0</v>
      </c>
      <c r="AD656" s="545">
        <f ca="1">IF(AND($D656="Serviço",AD$12&lt;&gt;0,$H656&gt;0,OR(AUTOEVENTO&lt;&gt;"manual",$M656&lt;&gt;1)),
IF(Import.TipoArredondamento&lt;&gt;"TransfereGOV",
ROUND(OFFSET($P656,0,AD$13),15-13*ORÇAMENTO!$AF$7)/$H656*OFFSET(ORÇAMENTO!$X$15,ROW(AD656)-ROW(AD$15),0),
ROUND(ROUND(OFFSET($P656,0,AD$13),15-13*ORÇAMENTO!$AF$7)*OFFSET(ORÇAMENTO!$W$15,ROW(AD656)-ROW(AD$15),0),15-13*ORÇAMENTO!$AF$11)),0)</f>
        <v>0</v>
      </c>
      <c r="AE656" s="545">
        <f ca="1">IF(AND($D656="Serviço",AE$12&lt;&gt;0,$H656&gt;0,OR(AUTOEVENTO&lt;&gt;"manual",$M656&lt;&gt;1)),
IF(Import.TipoArredondamento&lt;&gt;"TransfereGOV",
ROUND(OFFSET($P656,0,AE$13),15-13*ORÇAMENTO!$AF$7)/$H656*OFFSET(ORÇAMENTO!$X$15,ROW(AE656)-ROW(AE$15),0),
ROUND(ROUND(OFFSET($P656,0,AE$13),15-13*ORÇAMENTO!$AF$7)*OFFSET(ORÇAMENTO!$W$15,ROW(AE656)-ROW(AE$15),0),15-13*ORÇAMENTO!$AF$11)),0)</f>
        <v>0</v>
      </c>
      <c r="AF656" s="545">
        <f ca="1">IF(AND($D656="Serviço",AF$12&lt;&gt;0,$H656&gt;0,OR(AUTOEVENTO&lt;&gt;"manual",$M656&lt;&gt;1)),
IF(Import.TipoArredondamento&lt;&gt;"TransfereGOV",
ROUND(OFFSET($P656,0,AF$13),15-13*ORÇAMENTO!$AF$7)/$H656*OFFSET(ORÇAMENTO!$X$15,ROW(AF656)-ROW(AF$15),0),
ROUND(ROUND(OFFSET($P656,0,AF$13),15-13*ORÇAMENTO!$AF$7)*OFFSET(ORÇAMENTO!$W$15,ROW(AF656)-ROW(AF$15),0),15-13*ORÇAMENTO!$AF$11)),0)</f>
        <v>0</v>
      </c>
      <c r="AG656" s="545">
        <f ca="1">IF(AND($D656="Serviço",AG$12&lt;&gt;0,$H656&gt;0,OR(AUTOEVENTO&lt;&gt;"manual",$M656&lt;&gt;1)),
IF(Import.TipoArredondamento&lt;&gt;"TransfereGOV",
ROUND(OFFSET($P656,0,AG$13),15-13*ORÇAMENTO!$AF$7)/$H656*OFFSET(ORÇAMENTO!$X$15,ROW(AG656)-ROW(AG$15),0),
ROUND(ROUND(OFFSET($P656,0,AG$13),15-13*ORÇAMENTO!$AF$7)*OFFSET(ORÇAMENTO!$W$15,ROW(AG656)-ROW(AG$15),0),15-13*ORÇAMENTO!$AF$11)),0)</f>
        <v>0</v>
      </c>
      <c r="AH656" s="545">
        <f ca="1">IF(AND($D656="Serviço",AH$12&lt;&gt;0,$H656&gt;0,OR(AUTOEVENTO&lt;&gt;"manual",$M656&lt;&gt;1)),
IF(Import.TipoArredondamento&lt;&gt;"TransfereGOV",
ROUND(OFFSET($P656,0,AH$13),15-13*ORÇAMENTO!$AF$7)/$H656*OFFSET(ORÇAMENTO!$X$15,ROW(AH656)-ROW(AH$15),0),
ROUND(ROUND(OFFSET($P656,0,AH$13),15-13*ORÇAMENTO!$AF$7)*OFFSET(ORÇAMENTO!$W$15,ROW(AH656)-ROW(AH$15),0),15-13*ORÇAMENTO!$AF$11)),0)</f>
        <v>0</v>
      </c>
      <c r="AI656" s="545">
        <f ca="1">IF(AND($D656="Serviço",AI$12&lt;&gt;0,$H656&gt;0,OR(AUTOEVENTO&lt;&gt;"manual",$M656&lt;&gt;1)),
IF(Import.TipoArredondamento&lt;&gt;"TransfereGOV",
ROUND(OFFSET($P656,0,AI$13),15-13*ORÇAMENTO!$AF$7)/$H656*OFFSET(ORÇAMENTO!$X$15,ROW(AI656)-ROW(AI$15),0),
ROUND(ROUND(OFFSET($P656,0,AI$13),15-13*ORÇAMENTO!$AF$7)*OFFSET(ORÇAMENTO!$W$15,ROW(AI656)-ROW(AI$15),0),15-13*ORÇAMENTO!$AF$11)),0)</f>
        <v>0</v>
      </c>
      <c r="AJ656" s="545">
        <f ca="1">IF(AND($D656="Serviço",AJ$12&lt;&gt;0,$H656&gt;0,OR(AUTOEVENTO&lt;&gt;"manual",$M656&lt;&gt;1)),
IF(Import.TipoArredondamento&lt;&gt;"TransfereGOV",
ROUND(OFFSET($P656,0,AJ$13),15-13*ORÇAMENTO!$AF$7)/$H656*OFFSET(ORÇAMENTO!$X$15,ROW(AJ656)-ROW(AJ$15),0),
ROUND(ROUND(OFFSET($P656,0,AJ$13),15-13*ORÇAMENTO!$AF$7)*OFFSET(ORÇAMENTO!$W$15,ROW(AJ656)-ROW(AJ$15),0),15-13*ORÇAMENTO!$AF$11)),0)</f>
        <v>0</v>
      </c>
      <c r="AK656" s="546">
        <f ca="1">IF(AND($D656="Serviço",AK$12&lt;&gt;0,$H656&gt;0,OR(AUTOEVENTO&lt;&gt;"manual",$M656&lt;&gt;1)),
IF(Import.TipoArredondamento&lt;&gt;"TransfereGOV",
ROUND(OFFSET($P656,0,AK$13),15-13*ORÇAMENTO!$AF$7)/$H656*OFFSET(ORÇAMENTO!$X$15,ROW(AK656)-ROW(AK$15),0),
ROUND(ROUND(OFFSET($P656,0,AK$13),15-13*ORÇAMENTO!$AF$7)*OFFSET(ORÇAMENTO!$W$15,ROW(AK656)-ROW(AK$15),0),15-13*ORÇAMENTO!$AF$11)),0)</f>
        <v>0</v>
      </c>
      <c r="AM656" s="181">
        <f ca="1">IF($D656&lt;&gt;"Serviço",0,IF(AND(AUTOEVENTO="Manual",$M656=1),0,IF(OFFSET(CRONOPLE!$F$14,$M656,AM$13)="",10^12,OFFSET(CRONOPLE!$F$14,$M656,AM$13))))</f>
        <v>1000000000000</v>
      </c>
      <c r="AN656" s="181">
        <f ca="1">IF($D656&lt;&gt;"Serviço",0,IF(AND(AUTOEVENTO="Manual",$M656=1),0,IF(OFFSET(CRONOPLE!$F$14,$M656,AN$13)="",10^12,OFFSET(CRONOPLE!$F$14,$M656,AN$13))))</f>
        <v>1000000000000</v>
      </c>
      <c r="AO656" s="181">
        <f ca="1">IF($D656&lt;&gt;"Serviço",0,IF(AND(AUTOEVENTO="Manual",$M656=1),0,IF(OFFSET(CRONOPLE!$F$14,$M656,AO$13)="",10^12,OFFSET(CRONOPLE!$F$14,$M656,AO$13))))</f>
        <v>1000000000000</v>
      </c>
      <c r="AP656" s="181">
        <f ca="1">IF($D656&lt;&gt;"Serviço",0,IF(AND(AUTOEVENTO="Manual",$M656=1),0,IF(OFFSET(CRONOPLE!$F$14,$M656,AP$13)="",10^12,OFFSET(CRONOPLE!$F$14,$M656,AP$13))))</f>
        <v>1000000000000</v>
      </c>
      <c r="AQ656" s="181">
        <f ca="1">IF($D656&lt;&gt;"Serviço",0,IF(AND(AUTOEVENTO="Manual",$M656=1),0,IF(OFFSET(CRONOPLE!$F$14,$M656,AQ$13)="",10^12,OFFSET(CRONOPLE!$F$14,$M656,AQ$13))))</f>
        <v>1000000000000</v>
      </c>
      <c r="AR656" s="181">
        <f ca="1">IF($D656&lt;&gt;"Serviço",0,IF(AND(AUTOEVENTO="Manual",$M656=1),0,IF(OFFSET(CRONOPLE!$F$14,$M656,AR$13)="",10^12,OFFSET(CRONOPLE!$F$14,$M656,AR$13))))</f>
        <v>1000000000000</v>
      </c>
      <c r="AS656" s="181">
        <f ca="1">IF($D656&lt;&gt;"Serviço",0,IF(AND(AUTOEVENTO="Manual",$M656=1),0,IF(OFFSET(CRONOPLE!$F$14,$M656,AS$13)="",10^12,OFFSET(CRONOPLE!$F$14,$M656,AS$13))))</f>
        <v>1000000000000</v>
      </c>
      <c r="AT656" s="181">
        <f ca="1">IF($D656&lt;&gt;"Serviço",0,IF(AND(AUTOEVENTO="Manual",$M656=1),0,IF(OFFSET(CRONOPLE!$F$14,$M656,AT$13)="",10^12,OFFSET(CRONOPLE!$F$14,$M656,AT$13))))</f>
        <v>1000000000000</v>
      </c>
      <c r="AU656" s="181">
        <f ca="1">IF($D656&lt;&gt;"Serviço",0,IF(AND(AUTOEVENTO="Manual",$M656=1),0,IF(OFFSET(CRONOPLE!$F$14,$M656,AU$13)="",10^12,OFFSET(CRONOPLE!$F$14,$M656,AU$13))))</f>
        <v>1000000000000</v>
      </c>
      <c r="AV656" s="181">
        <f ca="1">IF($D656&lt;&gt;"Serviço",0,IF(AND(AUTOEVENTO="Manual",$M656=1),0,IF(OFFSET(CRONOPLE!$F$14,$M656,AV$13)="",10^12,OFFSET(CRONOPLE!$F$14,$M656,AV$13))))</f>
        <v>1000000000000</v>
      </c>
      <c r="AX656" s="182">
        <f ca="1">IF($D656&lt;&gt;"Serviço",0,IF(OR(AND(AUTOEVENTO="Manual",$M656=1),$M656&gt;(ROW(PLE.lastrow)-ROW(PLE.firstrow))),0,IF(OFFSET(PLE!$G$14,$M656,AX$13)="",10^12,OFFSET(PLE!$G$14,$M656,AX$13))))</f>
        <v>1000000000000</v>
      </c>
      <c r="AY656" s="182">
        <f ca="1">IF($D656&lt;&gt;"Serviço",0,IF(OR(AND(AUTOEVENTO="Manual",$M656=1),$M656&gt;(ROW(PLE.lastrow)-ROW(PLE.firstrow))),0,IF(OFFSET(PLE!$G$14,$M656,AY$13)="",10^12,OFFSET(PLE!$G$14,$M656,AY$13))))</f>
        <v>1000000000000</v>
      </c>
      <c r="AZ656" s="182">
        <f ca="1">IF($D656&lt;&gt;"Serviço",0,IF(OR(AND(AUTOEVENTO="Manual",$M656=1),$M656&gt;(ROW(PLE.lastrow)-ROW(PLE.firstrow))),0,IF(OFFSET(PLE!$G$14,$M656,AZ$13)="",10^12,OFFSET(PLE!$G$14,$M656,AZ$13))))</f>
        <v>1000000000000</v>
      </c>
      <c r="BA656" s="182">
        <f ca="1">IF($D656&lt;&gt;"Serviço",0,IF(OR(AND(AUTOEVENTO="Manual",$M656=1),$M656&gt;(ROW(PLE.lastrow)-ROW(PLE.firstrow))),0,IF(OFFSET(PLE!$G$14,$M656,BA$13)="",10^12,OFFSET(PLE!$G$14,$M656,BA$13))))</f>
        <v>1000000000000</v>
      </c>
      <c r="BB656" s="182">
        <f ca="1">IF($D656&lt;&gt;"Serviço",0,IF(OR(AND(AUTOEVENTO="Manual",$M656=1),$M656&gt;(ROW(PLE.lastrow)-ROW(PLE.firstrow))),0,IF(OFFSET(PLE!$G$14,$M656,BB$13)="",10^12,OFFSET(PLE!$G$14,$M656,BB$13))))</f>
        <v>1000000000000</v>
      </c>
      <c r="BC656" s="182">
        <f ca="1">IF($D656&lt;&gt;"Serviço",0,IF(OR(AND(AUTOEVENTO="Manual",$M656=1),$M656&gt;(ROW(PLE.lastrow)-ROW(PLE.firstrow))),0,IF(OFFSET(PLE!$G$14,$M656,BC$13)="",10^12,OFFSET(PLE!$G$14,$M656,BC$13))))</f>
        <v>1000000000000</v>
      </c>
      <c r="BD656" s="182">
        <f ca="1">IF($D656&lt;&gt;"Serviço",0,IF(OR(AND(AUTOEVENTO="Manual",$M656=1),$M656&gt;(ROW(PLE.lastrow)-ROW(PLE.firstrow))),0,IF(OFFSET(PLE!$G$14,$M656,BD$13)="",10^12,OFFSET(PLE!$G$14,$M656,BD$13))))</f>
        <v>1000000000000</v>
      </c>
      <c r="BE656" s="182">
        <f ca="1">IF($D656&lt;&gt;"Serviço",0,IF(OR(AND(AUTOEVENTO="Manual",$M656=1),$M656&gt;(ROW(PLE.lastrow)-ROW(PLE.firstrow))),0,IF(OFFSET(PLE!$G$14,$M656,BE$13)="",10^12,OFFSET(PLE!$G$14,$M656,BE$13))))</f>
        <v>1000000000000</v>
      </c>
      <c r="BF656" s="182">
        <f ca="1">IF($D656&lt;&gt;"Serviço",0,IF(OR(AND(AUTOEVENTO="Manual",$M656=1),$M656&gt;(ROW(PLE.lastrow)-ROW(PLE.firstrow))),0,IF(OFFSET(PLE!$G$14,$M656,BF$13)="",10^12,OFFSET(PLE!$G$14,$M656,BF$13))))</f>
        <v>1000000000000</v>
      </c>
      <c r="BG656" s="182">
        <f ca="1">IF($D656&lt;&gt;"Serviço",0,IF(OR(AND(AUTOEVENTO="Manual",$M656=1),$M656&gt;(ROW(PLE.lastrow)-ROW(PLE.firstrow))),0,IF(OFFSET(PLE!$G$14,$M656,BG$13)="",10^12,OFFSET(PLE!$G$14,$M656,BG$13))))</f>
        <v>1000000000000</v>
      </c>
    </row>
    <row r="657" spans="1:59" ht="51" x14ac:dyDescent="0.2">
      <c r="A657" s="7" t="str">
        <f t="shared" ca="1" si="17"/>
        <v>638</v>
      </c>
      <c r="B657" s="7" t="str">
        <f ca="1">OFFSET(ORÇAMENTO!C$15,ROW(B657)-ROW(B$15),0)</f>
        <v>S</v>
      </c>
      <c r="C657" s="7" t="str">
        <f ca="1">OFFSET(ORÇAMENTO!L$15,ROW(C657)-ROW(C$15),0)</f>
        <v/>
      </c>
      <c r="D657" s="118" t="str">
        <f ca="1">OFFSET(ORÇAMENTO!N$15,ROW(D657)-ROW(D$15),0)</f>
        <v>Serviço</v>
      </c>
      <c r="E657" s="119" t="str">
        <f ca="1">OFFSET(ORÇAMENTO!O$15,ROW(E657)-ROW(E$15),0)</f>
        <v>-</v>
      </c>
      <c r="F657" s="172" t="str">
        <f ca="1">OFFSET(ORÇAMENTO!R$15,ROW(F657)-ROW(F$15),0)</f>
        <v>(abra o arquivo 'Referência 02-2025.xlsm)</v>
      </c>
      <c r="G657" s="173" t="str">
        <f ca="1">IF($D657&lt;&gt;"Serviço","",OFFSET(ORÇAMENTO!S$15,ROW(G657)-ROW(G$15),0))</f>
        <v>-</v>
      </c>
      <c r="H657" s="124">
        <f ca="1">IF($D657&lt;&gt;"Serviço",0,IF(ACOMPANHAMENTO="BM",ROUND(OFFSET(ORÇAMENTO!AJ$15,ROW(H657)-ROW(H$15),0),15-13*ORÇAMENTO!$AF$7),SUMPRODUCT(($Q$12:$AA$12&lt;&gt;"")*ROUND($Q657:$AA657,15-13*ORÇAMENTO!$AF$7))))</f>
        <v>16.899999999999999</v>
      </c>
      <c r="I657" s="561"/>
      <c r="K657" s="174"/>
      <c r="L657" s="175" t="s">
        <v>255</v>
      </c>
      <c r="M657" s="176">
        <f ca="1">IF($D657&lt;&gt;"Serviço","",IF(AUTOEVENTO="manual",$A657,IF(ISERROR(MATCH($A657,$A$15:OFFSET($A657,-1,0),0)),MAX($M$15:OFFSET(M657,-1,0))+1,INDEX($M$15:OFFSET(M657,-1,0),MATCH($A657,$A$15:OFFSET($A657,-1,0),0)))))</f>
        <v>21</v>
      </c>
      <c r="N657" s="177" t="str">
        <f ca="1">IF($D657&lt;&gt;"Serviço","",IF(AUTOEVENTO="Manual",IF($A657=0,"&lt;-- defina o número do agrupador",OFFSET(EVENTOS!$D$14,$A657,0)),OFFSET($F$15,$A657,0)))</f>
        <v>INSTALAÇÕES DE CLIMATIZAÇÃO</v>
      </c>
      <c r="O657" s="178"/>
      <c r="Q657" s="178"/>
      <c r="R657" s="179"/>
      <c r="S657" s="179"/>
      <c r="T657" s="179"/>
      <c r="U657" s="179"/>
      <c r="V657" s="179"/>
      <c r="W657" s="179"/>
      <c r="X657" s="179"/>
      <c r="Y657" s="179"/>
      <c r="Z657" s="180"/>
      <c r="AB657" s="544">
        <f ca="1">IF(AND($D657="Serviço",AB$12&lt;&gt;0,$H657&gt;0,OR(AUTOEVENTO&lt;&gt;"manual",$M657&lt;&gt;1)),
IF(Import.TipoArredondamento&lt;&gt;"TransfereGOV",
ROUND(OFFSET($P657,0,AB$13),15-13*ORÇAMENTO!$AF$7)/$H657*OFFSET(ORÇAMENTO!$X$15,ROW(AB657)-ROW(AB$15),0),
ROUND(ROUND(OFFSET($P657,0,AB$13),15-13*ORÇAMENTO!$AF$7)*OFFSET(ORÇAMENTO!$W$15,ROW(AB657)-ROW(AB$15),0),15-13*ORÇAMENTO!$AF$11)),0)</f>
        <v>0</v>
      </c>
      <c r="AC657" s="545">
        <f ca="1">IF(AND($D657="Serviço",AC$12&lt;&gt;0,$H657&gt;0,OR(AUTOEVENTO&lt;&gt;"manual",$M657&lt;&gt;1)),
IF(Import.TipoArredondamento&lt;&gt;"TransfereGOV",
ROUND(OFFSET($P657,0,AC$13),15-13*ORÇAMENTO!$AF$7)/$H657*OFFSET(ORÇAMENTO!$X$15,ROW(AC657)-ROW(AC$15),0),
ROUND(ROUND(OFFSET($P657,0,AC$13),15-13*ORÇAMENTO!$AF$7)*OFFSET(ORÇAMENTO!$W$15,ROW(AC657)-ROW(AC$15),0),15-13*ORÇAMENTO!$AF$11)),0)</f>
        <v>0</v>
      </c>
      <c r="AD657" s="545">
        <f ca="1">IF(AND($D657="Serviço",AD$12&lt;&gt;0,$H657&gt;0,OR(AUTOEVENTO&lt;&gt;"manual",$M657&lt;&gt;1)),
IF(Import.TipoArredondamento&lt;&gt;"TransfereGOV",
ROUND(OFFSET($P657,0,AD$13),15-13*ORÇAMENTO!$AF$7)/$H657*OFFSET(ORÇAMENTO!$X$15,ROW(AD657)-ROW(AD$15),0),
ROUND(ROUND(OFFSET($P657,0,AD$13),15-13*ORÇAMENTO!$AF$7)*OFFSET(ORÇAMENTO!$W$15,ROW(AD657)-ROW(AD$15),0),15-13*ORÇAMENTO!$AF$11)),0)</f>
        <v>0</v>
      </c>
      <c r="AE657" s="545">
        <f ca="1">IF(AND($D657="Serviço",AE$12&lt;&gt;0,$H657&gt;0,OR(AUTOEVENTO&lt;&gt;"manual",$M657&lt;&gt;1)),
IF(Import.TipoArredondamento&lt;&gt;"TransfereGOV",
ROUND(OFFSET($P657,0,AE$13),15-13*ORÇAMENTO!$AF$7)/$H657*OFFSET(ORÇAMENTO!$X$15,ROW(AE657)-ROW(AE$15),0),
ROUND(ROUND(OFFSET($P657,0,AE$13),15-13*ORÇAMENTO!$AF$7)*OFFSET(ORÇAMENTO!$W$15,ROW(AE657)-ROW(AE$15),0),15-13*ORÇAMENTO!$AF$11)),0)</f>
        <v>0</v>
      </c>
      <c r="AF657" s="545">
        <f ca="1">IF(AND($D657="Serviço",AF$12&lt;&gt;0,$H657&gt;0,OR(AUTOEVENTO&lt;&gt;"manual",$M657&lt;&gt;1)),
IF(Import.TipoArredondamento&lt;&gt;"TransfereGOV",
ROUND(OFFSET($P657,0,AF$13),15-13*ORÇAMENTO!$AF$7)/$H657*OFFSET(ORÇAMENTO!$X$15,ROW(AF657)-ROW(AF$15),0),
ROUND(ROUND(OFFSET($P657,0,AF$13),15-13*ORÇAMENTO!$AF$7)*OFFSET(ORÇAMENTO!$W$15,ROW(AF657)-ROW(AF$15),0),15-13*ORÇAMENTO!$AF$11)),0)</f>
        <v>0</v>
      </c>
      <c r="AG657" s="545">
        <f ca="1">IF(AND($D657="Serviço",AG$12&lt;&gt;0,$H657&gt;0,OR(AUTOEVENTO&lt;&gt;"manual",$M657&lt;&gt;1)),
IF(Import.TipoArredondamento&lt;&gt;"TransfereGOV",
ROUND(OFFSET($P657,0,AG$13),15-13*ORÇAMENTO!$AF$7)/$H657*OFFSET(ORÇAMENTO!$X$15,ROW(AG657)-ROW(AG$15),0),
ROUND(ROUND(OFFSET($P657,0,AG$13),15-13*ORÇAMENTO!$AF$7)*OFFSET(ORÇAMENTO!$W$15,ROW(AG657)-ROW(AG$15),0),15-13*ORÇAMENTO!$AF$11)),0)</f>
        <v>0</v>
      </c>
      <c r="AH657" s="545">
        <f ca="1">IF(AND($D657="Serviço",AH$12&lt;&gt;0,$H657&gt;0,OR(AUTOEVENTO&lt;&gt;"manual",$M657&lt;&gt;1)),
IF(Import.TipoArredondamento&lt;&gt;"TransfereGOV",
ROUND(OFFSET($P657,0,AH$13),15-13*ORÇAMENTO!$AF$7)/$H657*OFFSET(ORÇAMENTO!$X$15,ROW(AH657)-ROW(AH$15),0),
ROUND(ROUND(OFFSET($P657,0,AH$13),15-13*ORÇAMENTO!$AF$7)*OFFSET(ORÇAMENTO!$W$15,ROW(AH657)-ROW(AH$15),0),15-13*ORÇAMENTO!$AF$11)),0)</f>
        <v>0</v>
      </c>
      <c r="AI657" s="545">
        <f ca="1">IF(AND($D657="Serviço",AI$12&lt;&gt;0,$H657&gt;0,OR(AUTOEVENTO&lt;&gt;"manual",$M657&lt;&gt;1)),
IF(Import.TipoArredondamento&lt;&gt;"TransfereGOV",
ROUND(OFFSET($P657,0,AI$13),15-13*ORÇAMENTO!$AF$7)/$H657*OFFSET(ORÇAMENTO!$X$15,ROW(AI657)-ROW(AI$15),0),
ROUND(ROUND(OFFSET($P657,0,AI$13),15-13*ORÇAMENTO!$AF$7)*OFFSET(ORÇAMENTO!$W$15,ROW(AI657)-ROW(AI$15),0),15-13*ORÇAMENTO!$AF$11)),0)</f>
        <v>0</v>
      </c>
      <c r="AJ657" s="545">
        <f ca="1">IF(AND($D657="Serviço",AJ$12&lt;&gt;0,$H657&gt;0,OR(AUTOEVENTO&lt;&gt;"manual",$M657&lt;&gt;1)),
IF(Import.TipoArredondamento&lt;&gt;"TransfereGOV",
ROUND(OFFSET($P657,0,AJ$13),15-13*ORÇAMENTO!$AF$7)/$H657*OFFSET(ORÇAMENTO!$X$15,ROW(AJ657)-ROW(AJ$15),0),
ROUND(ROUND(OFFSET($P657,0,AJ$13),15-13*ORÇAMENTO!$AF$7)*OFFSET(ORÇAMENTO!$W$15,ROW(AJ657)-ROW(AJ$15),0),15-13*ORÇAMENTO!$AF$11)),0)</f>
        <v>0</v>
      </c>
      <c r="AK657" s="546">
        <f ca="1">IF(AND($D657="Serviço",AK$12&lt;&gt;0,$H657&gt;0,OR(AUTOEVENTO&lt;&gt;"manual",$M657&lt;&gt;1)),
IF(Import.TipoArredondamento&lt;&gt;"TransfereGOV",
ROUND(OFFSET($P657,0,AK$13),15-13*ORÇAMENTO!$AF$7)/$H657*OFFSET(ORÇAMENTO!$X$15,ROW(AK657)-ROW(AK$15),0),
ROUND(ROUND(OFFSET($P657,0,AK$13),15-13*ORÇAMENTO!$AF$7)*OFFSET(ORÇAMENTO!$W$15,ROW(AK657)-ROW(AK$15),0),15-13*ORÇAMENTO!$AF$11)),0)</f>
        <v>0</v>
      </c>
      <c r="AM657" s="181">
        <f ca="1">IF($D657&lt;&gt;"Serviço",0,IF(AND(AUTOEVENTO="Manual",$M657=1),0,IF(OFFSET(CRONOPLE!$F$14,$M657,AM$13)="",10^12,OFFSET(CRONOPLE!$F$14,$M657,AM$13))))</f>
        <v>1000000000000</v>
      </c>
      <c r="AN657" s="181">
        <f ca="1">IF($D657&lt;&gt;"Serviço",0,IF(AND(AUTOEVENTO="Manual",$M657=1),0,IF(OFFSET(CRONOPLE!$F$14,$M657,AN$13)="",10^12,OFFSET(CRONOPLE!$F$14,$M657,AN$13))))</f>
        <v>1000000000000</v>
      </c>
      <c r="AO657" s="181">
        <f ca="1">IF($D657&lt;&gt;"Serviço",0,IF(AND(AUTOEVENTO="Manual",$M657=1),0,IF(OFFSET(CRONOPLE!$F$14,$M657,AO$13)="",10^12,OFFSET(CRONOPLE!$F$14,$M657,AO$13))))</f>
        <v>1000000000000</v>
      </c>
      <c r="AP657" s="181">
        <f ca="1">IF($D657&lt;&gt;"Serviço",0,IF(AND(AUTOEVENTO="Manual",$M657=1),0,IF(OFFSET(CRONOPLE!$F$14,$M657,AP$13)="",10^12,OFFSET(CRONOPLE!$F$14,$M657,AP$13))))</f>
        <v>1000000000000</v>
      </c>
      <c r="AQ657" s="181">
        <f ca="1">IF($D657&lt;&gt;"Serviço",0,IF(AND(AUTOEVENTO="Manual",$M657=1),0,IF(OFFSET(CRONOPLE!$F$14,$M657,AQ$13)="",10^12,OFFSET(CRONOPLE!$F$14,$M657,AQ$13))))</f>
        <v>1000000000000</v>
      </c>
      <c r="AR657" s="181">
        <f ca="1">IF($D657&lt;&gt;"Serviço",0,IF(AND(AUTOEVENTO="Manual",$M657=1),0,IF(OFFSET(CRONOPLE!$F$14,$M657,AR$13)="",10^12,OFFSET(CRONOPLE!$F$14,$M657,AR$13))))</f>
        <v>1000000000000</v>
      </c>
      <c r="AS657" s="181">
        <f ca="1">IF($D657&lt;&gt;"Serviço",0,IF(AND(AUTOEVENTO="Manual",$M657=1),0,IF(OFFSET(CRONOPLE!$F$14,$M657,AS$13)="",10^12,OFFSET(CRONOPLE!$F$14,$M657,AS$13))))</f>
        <v>1000000000000</v>
      </c>
      <c r="AT657" s="181">
        <f ca="1">IF($D657&lt;&gt;"Serviço",0,IF(AND(AUTOEVENTO="Manual",$M657=1),0,IF(OFFSET(CRONOPLE!$F$14,$M657,AT$13)="",10^12,OFFSET(CRONOPLE!$F$14,$M657,AT$13))))</f>
        <v>1000000000000</v>
      </c>
      <c r="AU657" s="181">
        <f ca="1">IF($D657&lt;&gt;"Serviço",0,IF(AND(AUTOEVENTO="Manual",$M657=1),0,IF(OFFSET(CRONOPLE!$F$14,$M657,AU$13)="",10^12,OFFSET(CRONOPLE!$F$14,$M657,AU$13))))</f>
        <v>1000000000000</v>
      </c>
      <c r="AV657" s="181">
        <f ca="1">IF($D657&lt;&gt;"Serviço",0,IF(AND(AUTOEVENTO="Manual",$M657=1),0,IF(OFFSET(CRONOPLE!$F$14,$M657,AV$13)="",10^12,OFFSET(CRONOPLE!$F$14,$M657,AV$13))))</f>
        <v>1000000000000</v>
      </c>
      <c r="AX657" s="182">
        <f ca="1">IF($D657&lt;&gt;"Serviço",0,IF(OR(AND(AUTOEVENTO="Manual",$M657=1),$M657&gt;(ROW(PLE.lastrow)-ROW(PLE.firstrow))),0,IF(OFFSET(PLE!$G$14,$M657,AX$13)="",10^12,OFFSET(PLE!$G$14,$M657,AX$13))))</f>
        <v>1000000000000</v>
      </c>
      <c r="AY657" s="182">
        <f ca="1">IF($D657&lt;&gt;"Serviço",0,IF(OR(AND(AUTOEVENTO="Manual",$M657=1),$M657&gt;(ROW(PLE.lastrow)-ROW(PLE.firstrow))),0,IF(OFFSET(PLE!$G$14,$M657,AY$13)="",10^12,OFFSET(PLE!$G$14,$M657,AY$13))))</f>
        <v>1000000000000</v>
      </c>
      <c r="AZ657" s="182">
        <f ca="1">IF($D657&lt;&gt;"Serviço",0,IF(OR(AND(AUTOEVENTO="Manual",$M657=1),$M657&gt;(ROW(PLE.lastrow)-ROW(PLE.firstrow))),0,IF(OFFSET(PLE!$G$14,$M657,AZ$13)="",10^12,OFFSET(PLE!$G$14,$M657,AZ$13))))</f>
        <v>1000000000000</v>
      </c>
      <c r="BA657" s="182">
        <f ca="1">IF($D657&lt;&gt;"Serviço",0,IF(OR(AND(AUTOEVENTO="Manual",$M657=1),$M657&gt;(ROW(PLE.lastrow)-ROW(PLE.firstrow))),0,IF(OFFSET(PLE!$G$14,$M657,BA$13)="",10^12,OFFSET(PLE!$G$14,$M657,BA$13))))</f>
        <v>1000000000000</v>
      </c>
      <c r="BB657" s="182">
        <f ca="1">IF($D657&lt;&gt;"Serviço",0,IF(OR(AND(AUTOEVENTO="Manual",$M657=1),$M657&gt;(ROW(PLE.lastrow)-ROW(PLE.firstrow))),0,IF(OFFSET(PLE!$G$14,$M657,BB$13)="",10^12,OFFSET(PLE!$G$14,$M657,BB$13))))</f>
        <v>1000000000000</v>
      </c>
      <c r="BC657" s="182">
        <f ca="1">IF($D657&lt;&gt;"Serviço",0,IF(OR(AND(AUTOEVENTO="Manual",$M657=1),$M657&gt;(ROW(PLE.lastrow)-ROW(PLE.firstrow))),0,IF(OFFSET(PLE!$G$14,$M657,BC$13)="",10^12,OFFSET(PLE!$G$14,$M657,BC$13))))</f>
        <v>1000000000000</v>
      </c>
      <c r="BD657" s="182">
        <f ca="1">IF($D657&lt;&gt;"Serviço",0,IF(OR(AND(AUTOEVENTO="Manual",$M657=1),$M657&gt;(ROW(PLE.lastrow)-ROW(PLE.firstrow))),0,IF(OFFSET(PLE!$G$14,$M657,BD$13)="",10^12,OFFSET(PLE!$G$14,$M657,BD$13))))</f>
        <v>1000000000000</v>
      </c>
      <c r="BE657" s="182">
        <f ca="1">IF($D657&lt;&gt;"Serviço",0,IF(OR(AND(AUTOEVENTO="Manual",$M657=1),$M657&gt;(ROW(PLE.lastrow)-ROW(PLE.firstrow))),0,IF(OFFSET(PLE!$G$14,$M657,BE$13)="",10^12,OFFSET(PLE!$G$14,$M657,BE$13))))</f>
        <v>1000000000000</v>
      </c>
      <c r="BF657" s="182">
        <f ca="1">IF($D657&lt;&gt;"Serviço",0,IF(OR(AND(AUTOEVENTO="Manual",$M657=1),$M657&gt;(ROW(PLE.lastrow)-ROW(PLE.firstrow))),0,IF(OFFSET(PLE!$G$14,$M657,BF$13)="",10^12,OFFSET(PLE!$G$14,$M657,BF$13))))</f>
        <v>1000000000000</v>
      </c>
      <c r="BG657" s="182">
        <f ca="1">IF($D657&lt;&gt;"Serviço",0,IF(OR(AND(AUTOEVENTO="Manual",$M657=1),$M657&gt;(ROW(PLE.lastrow)-ROW(PLE.firstrow))),0,IF(OFFSET(PLE!$G$14,$M657,BG$13)="",10^12,OFFSET(PLE!$G$14,$M657,BG$13))))</f>
        <v>1000000000000</v>
      </c>
    </row>
    <row r="658" spans="1:59" ht="51" x14ac:dyDescent="0.2">
      <c r="A658" s="7" t="str">
        <f t="shared" ca="1" si="17"/>
        <v>638</v>
      </c>
      <c r="B658" s="7" t="str">
        <f ca="1">OFFSET(ORÇAMENTO!C$15,ROW(B658)-ROW(B$15),0)</f>
        <v>S</v>
      </c>
      <c r="C658" s="7" t="str">
        <f ca="1">OFFSET(ORÇAMENTO!L$15,ROW(C658)-ROW(C$15),0)</f>
        <v/>
      </c>
      <c r="D658" s="118" t="str">
        <f ca="1">OFFSET(ORÇAMENTO!N$15,ROW(D658)-ROW(D$15),0)</f>
        <v>Serviço</v>
      </c>
      <c r="E658" s="119" t="str">
        <f ca="1">OFFSET(ORÇAMENTO!O$15,ROW(E658)-ROW(E$15),0)</f>
        <v>-</v>
      </c>
      <c r="F658" s="172" t="str">
        <f ca="1">OFFSET(ORÇAMENTO!R$15,ROW(F658)-ROW(F$15),0)</f>
        <v>(abra o arquivo 'Referência 02-2025.xlsm)</v>
      </c>
      <c r="G658" s="173" t="str">
        <f ca="1">IF($D658&lt;&gt;"Serviço","",OFFSET(ORÇAMENTO!S$15,ROW(G658)-ROW(G$15),0))</f>
        <v>-</v>
      </c>
      <c r="H658" s="124">
        <f ca="1">IF($D658&lt;&gt;"Serviço",0,IF(ACOMPANHAMENTO="BM",ROUND(OFFSET(ORÇAMENTO!AJ$15,ROW(H658)-ROW(H$15),0),15-13*ORÇAMENTO!$AF$7),SUMPRODUCT(($Q$12:$AA$12&lt;&gt;"")*ROUND($Q658:$AA658,15-13*ORÇAMENTO!$AF$7))))</f>
        <v>154.9</v>
      </c>
      <c r="I658" s="561"/>
      <c r="K658" s="174"/>
      <c r="L658" s="175" t="s">
        <v>255</v>
      </c>
      <c r="M658" s="176">
        <f ca="1">IF($D658&lt;&gt;"Serviço","",IF(AUTOEVENTO="manual",$A658,IF(ISERROR(MATCH($A658,$A$15:OFFSET($A658,-1,0),0)),MAX($M$15:OFFSET(M658,-1,0))+1,INDEX($M$15:OFFSET(M658,-1,0),MATCH($A658,$A$15:OFFSET($A658,-1,0),0)))))</f>
        <v>21</v>
      </c>
      <c r="N658" s="177" t="str">
        <f ca="1">IF($D658&lt;&gt;"Serviço","",IF(AUTOEVENTO="Manual",IF($A658=0,"&lt;-- defina o número do agrupador",OFFSET(EVENTOS!$D$14,$A658,0)),OFFSET($F$15,$A658,0)))</f>
        <v>INSTALAÇÕES DE CLIMATIZAÇÃO</v>
      </c>
      <c r="O658" s="178"/>
      <c r="Q658" s="178"/>
      <c r="R658" s="179"/>
      <c r="S658" s="179"/>
      <c r="T658" s="179"/>
      <c r="U658" s="179"/>
      <c r="V658" s="179"/>
      <c r="W658" s="179"/>
      <c r="X658" s="179"/>
      <c r="Y658" s="179"/>
      <c r="Z658" s="180"/>
      <c r="AB658" s="544">
        <f ca="1">IF(AND($D658="Serviço",AB$12&lt;&gt;0,$H658&gt;0,OR(AUTOEVENTO&lt;&gt;"manual",$M658&lt;&gt;1)),
IF(Import.TipoArredondamento&lt;&gt;"TransfereGOV",
ROUND(OFFSET($P658,0,AB$13),15-13*ORÇAMENTO!$AF$7)/$H658*OFFSET(ORÇAMENTO!$X$15,ROW(AB658)-ROW(AB$15),0),
ROUND(ROUND(OFFSET($P658,0,AB$13),15-13*ORÇAMENTO!$AF$7)*OFFSET(ORÇAMENTO!$W$15,ROW(AB658)-ROW(AB$15),0),15-13*ORÇAMENTO!$AF$11)),0)</f>
        <v>0</v>
      </c>
      <c r="AC658" s="545">
        <f ca="1">IF(AND($D658="Serviço",AC$12&lt;&gt;0,$H658&gt;0,OR(AUTOEVENTO&lt;&gt;"manual",$M658&lt;&gt;1)),
IF(Import.TipoArredondamento&lt;&gt;"TransfereGOV",
ROUND(OFFSET($P658,0,AC$13),15-13*ORÇAMENTO!$AF$7)/$H658*OFFSET(ORÇAMENTO!$X$15,ROW(AC658)-ROW(AC$15),0),
ROUND(ROUND(OFFSET($P658,0,AC$13),15-13*ORÇAMENTO!$AF$7)*OFFSET(ORÇAMENTO!$W$15,ROW(AC658)-ROW(AC$15),0),15-13*ORÇAMENTO!$AF$11)),0)</f>
        <v>0</v>
      </c>
      <c r="AD658" s="545">
        <f ca="1">IF(AND($D658="Serviço",AD$12&lt;&gt;0,$H658&gt;0,OR(AUTOEVENTO&lt;&gt;"manual",$M658&lt;&gt;1)),
IF(Import.TipoArredondamento&lt;&gt;"TransfereGOV",
ROUND(OFFSET($P658,0,AD$13),15-13*ORÇAMENTO!$AF$7)/$H658*OFFSET(ORÇAMENTO!$X$15,ROW(AD658)-ROW(AD$15),0),
ROUND(ROUND(OFFSET($P658,0,AD$13),15-13*ORÇAMENTO!$AF$7)*OFFSET(ORÇAMENTO!$W$15,ROW(AD658)-ROW(AD$15),0),15-13*ORÇAMENTO!$AF$11)),0)</f>
        <v>0</v>
      </c>
      <c r="AE658" s="545">
        <f ca="1">IF(AND($D658="Serviço",AE$12&lt;&gt;0,$H658&gt;0,OR(AUTOEVENTO&lt;&gt;"manual",$M658&lt;&gt;1)),
IF(Import.TipoArredondamento&lt;&gt;"TransfereGOV",
ROUND(OFFSET($P658,0,AE$13),15-13*ORÇAMENTO!$AF$7)/$H658*OFFSET(ORÇAMENTO!$X$15,ROW(AE658)-ROW(AE$15),0),
ROUND(ROUND(OFFSET($P658,0,AE$13),15-13*ORÇAMENTO!$AF$7)*OFFSET(ORÇAMENTO!$W$15,ROW(AE658)-ROW(AE$15),0),15-13*ORÇAMENTO!$AF$11)),0)</f>
        <v>0</v>
      </c>
      <c r="AF658" s="545">
        <f ca="1">IF(AND($D658="Serviço",AF$12&lt;&gt;0,$H658&gt;0,OR(AUTOEVENTO&lt;&gt;"manual",$M658&lt;&gt;1)),
IF(Import.TipoArredondamento&lt;&gt;"TransfereGOV",
ROUND(OFFSET($P658,0,AF$13),15-13*ORÇAMENTO!$AF$7)/$H658*OFFSET(ORÇAMENTO!$X$15,ROW(AF658)-ROW(AF$15),0),
ROUND(ROUND(OFFSET($P658,0,AF$13),15-13*ORÇAMENTO!$AF$7)*OFFSET(ORÇAMENTO!$W$15,ROW(AF658)-ROW(AF$15),0),15-13*ORÇAMENTO!$AF$11)),0)</f>
        <v>0</v>
      </c>
      <c r="AG658" s="545">
        <f ca="1">IF(AND($D658="Serviço",AG$12&lt;&gt;0,$H658&gt;0,OR(AUTOEVENTO&lt;&gt;"manual",$M658&lt;&gt;1)),
IF(Import.TipoArredondamento&lt;&gt;"TransfereGOV",
ROUND(OFFSET($P658,0,AG$13),15-13*ORÇAMENTO!$AF$7)/$H658*OFFSET(ORÇAMENTO!$X$15,ROW(AG658)-ROW(AG$15),0),
ROUND(ROUND(OFFSET($P658,0,AG$13),15-13*ORÇAMENTO!$AF$7)*OFFSET(ORÇAMENTO!$W$15,ROW(AG658)-ROW(AG$15),0),15-13*ORÇAMENTO!$AF$11)),0)</f>
        <v>0</v>
      </c>
      <c r="AH658" s="545">
        <f ca="1">IF(AND($D658="Serviço",AH$12&lt;&gt;0,$H658&gt;0,OR(AUTOEVENTO&lt;&gt;"manual",$M658&lt;&gt;1)),
IF(Import.TipoArredondamento&lt;&gt;"TransfereGOV",
ROUND(OFFSET($P658,0,AH$13),15-13*ORÇAMENTO!$AF$7)/$H658*OFFSET(ORÇAMENTO!$X$15,ROW(AH658)-ROW(AH$15),0),
ROUND(ROUND(OFFSET($P658,0,AH$13),15-13*ORÇAMENTO!$AF$7)*OFFSET(ORÇAMENTO!$W$15,ROW(AH658)-ROW(AH$15),0),15-13*ORÇAMENTO!$AF$11)),0)</f>
        <v>0</v>
      </c>
      <c r="AI658" s="545">
        <f ca="1">IF(AND($D658="Serviço",AI$12&lt;&gt;0,$H658&gt;0,OR(AUTOEVENTO&lt;&gt;"manual",$M658&lt;&gt;1)),
IF(Import.TipoArredondamento&lt;&gt;"TransfereGOV",
ROUND(OFFSET($P658,0,AI$13),15-13*ORÇAMENTO!$AF$7)/$H658*OFFSET(ORÇAMENTO!$X$15,ROW(AI658)-ROW(AI$15),0),
ROUND(ROUND(OFFSET($P658,0,AI$13),15-13*ORÇAMENTO!$AF$7)*OFFSET(ORÇAMENTO!$W$15,ROW(AI658)-ROW(AI$15),0),15-13*ORÇAMENTO!$AF$11)),0)</f>
        <v>0</v>
      </c>
      <c r="AJ658" s="545">
        <f ca="1">IF(AND($D658="Serviço",AJ$12&lt;&gt;0,$H658&gt;0,OR(AUTOEVENTO&lt;&gt;"manual",$M658&lt;&gt;1)),
IF(Import.TipoArredondamento&lt;&gt;"TransfereGOV",
ROUND(OFFSET($P658,0,AJ$13),15-13*ORÇAMENTO!$AF$7)/$H658*OFFSET(ORÇAMENTO!$X$15,ROW(AJ658)-ROW(AJ$15),0),
ROUND(ROUND(OFFSET($P658,0,AJ$13),15-13*ORÇAMENTO!$AF$7)*OFFSET(ORÇAMENTO!$W$15,ROW(AJ658)-ROW(AJ$15),0),15-13*ORÇAMENTO!$AF$11)),0)</f>
        <v>0</v>
      </c>
      <c r="AK658" s="546">
        <f ca="1">IF(AND($D658="Serviço",AK$12&lt;&gt;0,$H658&gt;0,OR(AUTOEVENTO&lt;&gt;"manual",$M658&lt;&gt;1)),
IF(Import.TipoArredondamento&lt;&gt;"TransfereGOV",
ROUND(OFFSET($P658,0,AK$13),15-13*ORÇAMENTO!$AF$7)/$H658*OFFSET(ORÇAMENTO!$X$15,ROW(AK658)-ROW(AK$15),0),
ROUND(ROUND(OFFSET($P658,0,AK$13),15-13*ORÇAMENTO!$AF$7)*OFFSET(ORÇAMENTO!$W$15,ROW(AK658)-ROW(AK$15),0),15-13*ORÇAMENTO!$AF$11)),0)</f>
        <v>0</v>
      </c>
      <c r="AM658" s="181">
        <f ca="1">IF($D658&lt;&gt;"Serviço",0,IF(AND(AUTOEVENTO="Manual",$M658=1),0,IF(OFFSET(CRONOPLE!$F$14,$M658,AM$13)="",10^12,OFFSET(CRONOPLE!$F$14,$M658,AM$13))))</f>
        <v>1000000000000</v>
      </c>
      <c r="AN658" s="181">
        <f ca="1">IF($D658&lt;&gt;"Serviço",0,IF(AND(AUTOEVENTO="Manual",$M658=1),0,IF(OFFSET(CRONOPLE!$F$14,$M658,AN$13)="",10^12,OFFSET(CRONOPLE!$F$14,$M658,AN$13))))</f>
        <v>1000000000000</v>
      </c>
      <c r="AO658" s="181">
        <f ca="1">IF($D658&lt;&gt;"Serviço",0,IF(AND(AUTOEVENTO="Manual",$M658=1),0,IF(OFFSET(CRONOPLE!$F$14,$M658,AO$13)="",10^12,OFFSET(CRONOPLE!$F$14,$M658,AO$13))))</f>
        <v>1000000000000</v>
      </c>
      <c r="AP658" s="181">
        <f ca="1">IF($D658&lt;&gt;"Serviço",0,IF(AND(AUTOEVENTO="Manual",$M658=1),0,IF(OFFSET(CRONOPLE!$F$14,$M658,AP$13)="",10^12,OFFSET(CRONOPLE!$F$14,$M658,AP$13))))</f>
        <v>1000000000000</v>
      </c>
      <c r="AQ658" s="181">
        <f ca="1">IF($D658&lt;&gt;"Serviço",0,IF(AND(AUTOEVENTO="Manual",$M658=1),0,IF(OFFSET(CRONOPLE!$F$14,$M658,AQ$13)="",10^12,OFFSET(CRONOPLE!$F$14,$M658,AQ$13))))</f>
        <v>1000000000000</v>
      </c>
      <c r="AR658" s="181">
        <f ca="1">IF($D658&lt;&gt;"Serviço",0,IF(AND(AUTOEVENTO="Manual",$M658=1),0,IF(OFFSET(CRONOPLE!$F$14,$M658,AR$13)="",10^12,OFFSET(CRONOPLE!$F$14,$M658,AR$13))))</f>
        <v>1000000000000</v>
      </c>
      <c r="AS658" s="181">
        <f ca="1">IF($D658&lt;&gt;"Serviço",0,IF(AND(AUTOEVENTO="Manual",$M658=1),0,IF(OFFSET(CRONOPLE!$F$14,$M658,AS$13)="",10^12,OFFSET(CRONOPLE!$F$14,$M658,AS$13))))</f>
        <v>1000000000000</v>
      </c>
      <c r="AT658" s="181">
        <f ca="1">IF($D658&lt;&gt;"Serviço",0,IF(AND(AUTOEVENTO="Manual",$M658=1),0,IF(OFFSET(CRONOPLE!$F$14,$M658,AT$13)="",10^12,OFFSET(CRONOPLE!$F$14,$M658,AT$13))))</f>
        <v>1000000000000</v>
      </c>
      <c r="AU658" s="181">
        <f ca="1">IF($D658&lt;&gt;"Serviço",0,IF(AND(AUTOEVENTO="Manual",$M658=1),0,IF(OFFSET(CRONOPLE!$F$14,$M658,AU$13)="",10^12,OFFSET(CRONOPLE!$F$14,$M658,AU$13))))</f>
        <v>1000000000000</v>
      </c>
      <c r="AV658" s="181">
        <f ca="1">IF($D658&lt;&gt;"Serviço",0,IF(AND(AUTOEVENTO="Manual",$M658=1),0,IF(OFFSET(CRONOPLE!$F$14,$M658,AV$13)="",10^12,OFFSET(CRONOPLE!$F$14,$M658,AV$13))))</f>
        <v>1000000000000</v>
      </c>
      <c r="AX658" s="182">
        <f ca="1">IF($D658&lt;&gt;"Serviço",0,IF(OR(AND(AUTOEVENTO="Manual",$M658=1),$M658&gt;(ROW(PLE.lastrow)-ROW(PLE.firstrow))),0,IF(OFFSET(PLE!$G$14,$M658,AX$13)="",10^12,OFFSET(PLE!$G$14,$M658,AX$13))))</f>
        <v>1000000000000</v>
      </c>
      <c r="AY658" s="182">
        <f ca="1">IF($D658&lt;&gt;"Serviço",0,IF(OR(AND(AUTOEVENTO="Manual",$M658=1),$M658&gt;(ROW(PLE.lastrow)-ROW(PLE.firstrow))),0,IF(OFFSET(PLE!$G$14,$M658,AY$13)="",10^12,OFFSET(PLE!$G$14,$M658,AY$13))))</f>
        <v>1000000000000</v>
      </c>
      <c r="AZ658" s="182">
        <f ca="1">IF($D658&lt;&gt;"Serviço",0,IF(OR(AND(AUTOEVENTO="Manual",$M658=1),$M658&gt;(ROW(PLE.lastrow)-ROW(PLE.firstrow))),0,IF(OFFSET(PLE!$G$14,$M658,AZ$13)="",10^12,OFFSET(PLE!$G$14,$M658,AZ$13))))</f>
        <v>1000000000000</v>
      </c>
      <c r="BA658" s="182">
        <f ca="1">IF($D658&lt;&gt;"Serviço",0,IF(OR(AND(AUTOEVENTO="Manual",$M658=1),$M658&gt;(ROW(PLE.lastrow)-ROW(PLE.firstrow))),0,IF(OFFSET(PLE!$G$14,$M658,BA$13)="",10^12,OFFSET(PLE!$G$14,$M658,BA$13))))</f>
        <v>1000000000000</v>
      </c>
      <c r="BB658" s="182">
        <f ca="1">IF($D658&lt;&gt;"Serviço",0,IF(OR(AND(AUTOEVENTO="Manual",$M658=1),$M658&gt;(ROW(PLE.lastrow)-ROW(PLE.firstrow))),0,IF(OFFSET(PLE!$G$14,$M658,BB$13)="",10^12,OFFSET(PLE!$G$14,$M658,BB$13))))</f>
        <v>1000000000000</v>
      </c>
      <c r="BC658" s="182">
        <f ca="1">IF($D658&lt;&gt;"Serviço",0,IF(OR(AND(AUTOEVENTO="Manual",$M658=1),$M658&gt;(ROW(PLE.lastrow)-ROW(PLE.firstrow))),0,IF(OFFSET(PLE!$G$14,$M658,BC$13)="",10^12,OFFSET(PLE!$G$14,$M658,BC$13))))</f>
        <v>1000000000000</v>
      </c>
      <c r="BD658" s="182">
        <f ca="1">IF($D658&lt;&gt;"Serviço",0,IF(OR(AND(AUTOEVENTO="Manual",$M658=1),$M658&gt;(ROW(PLE.lastrow)-ROW(PLE.firstrow))),0,IF(OFFSET(PLE!$G$14,$M658,BD$13)="",10^12,OFFSET(PLE!$G$14,$M658,BD$13))))</f>
        <v>1000000000000</v>
      </c>
      <c r="BE658" s="182">
        <f ca="1">IF($D658&lt;&gt;"Serviço",0,IF(OR(AND(AUTOEVENTO="Manual",$M658=1),$M658&gt;(ROW(PLE.lastrow)-ROW(PLE.firstrow))),0,IF(OFFSET(PLE!$G$14,$M658,BE$13)="",10^12,OFFSET(PLE!$G$14,$M658,BE$13))))</f>
        <v>1000000000000</v>
      </c>
      <c r="BF658" s="182">
        <f ca="1">IF($D658&lt;&gt;"Serviço",0,IF(OR(AND(AUTOEVENTO="Manual",$M658=1),$M658&gt;(ROW(PLE.lastrow)-ROW(PLE.firstrow))),0,IF(OFFSET(PLE!$G$14,$M658,BF$13)="",10^12,OFFSET(PLE!$G$14,$M658,BF$13))))</f>
        <v>1000000000000</v>
      </c>
      <c r="BG658" s="182">
        <f ca="1">IF($D658&lt;&gt;"Serviço",0,IF(OR(AND(AUTOEVENTO="Manual",$M658=1),$M658&gt;(ROW(PLE.lastrow)-ROW(PLE.firstrow))),0,IF(OFFSET(PLE!$G$14,$M658,BG$13)="",10^12,OFFSET(PLE!$G$14,$M658,BG$13))))</f>
        <v>1000000000000</v>
      </c>
    </row>
    <row r="659" spans="1:59" ht="38.25" x14ac:dyDescent="0.2">
      <c r="A659" s="7" t="str">
        <f t="shared" ca="1" si="17"/>
        <v>638</v>
      </c>
      <c r="B659" s="7" t="str">
        <f ca="1">OFFSET(ORÇAMENTO!C$15,ROW(B659)-ROW(B$15),0)</f>
        <v>S</v>
      </c>
      <c r="C659" s="7" t="str">
        <f ca="1">OFFSET(ORÇAMENTO!L$15,ROW(C659)-ROW(C$15),0)</f>
        <v/>
      </c>
      <c r="D659" s="118" t="str">
        <f ca="1">OFFSET(ORÇAMENTO!N$15,ROW(D659)-ROW(D$15),0)</f>
        <v>Serviço</v>
      </c>
      <c r="E659" s="119" t="str">
        <f ca="1">OFFSET(ORÇAMENTO!O$15,ROW(E659)-ROW(E$15),0)</f>
        <v>-</v>
      </c>
      <c r="F659" s="172" t="str">
        <f ca="1">OFFSET(ORÇAMENTO!R$15,ROW(F659)-ROW(F$15),0)</f>
        <v>(abra o arquivo 'Referência 02-2025.xlsm)</v>
      </c>
      <c r="G659" s="173" t="str">
        <f ca="1">IF($D659&lt;&gt;"Serviço","",OFFSET(ORÇAMENTO!S$15,ROW(G659)-ROW(G$15),0))</f>
        <v>-</v>
      </c>
      <c r="H659" s="124">
        <f ca="1">IF($D659&lt;&gt;"Serviço",0,IF(ACOMPANHAMENTO="BM",ROUND(OFFSET(ORÇAMENTO!AJ$15,ROW(H659)-ROW(H$15),0),15-13*ORÇAMENTO!$AF$7),SUMPRODUCT(($Q$12:$AA$12&lt;&gt;"")*ROUND($Q659:$AA659,15-13*ORÇAMENTO!$AF$7))))</f>
        <v>138</v>
      </c>
      <c r="I659" s="561"/>
      <c r="K659" s="174"/>
      <c r="L659" s="175" t="s">
        <v>255</v>
      </c>
      <c r="M659" s="176">
        <f ca="1">IF($D659&lt;&gt;"Serviço","",IF(AUTOEVENTO="manual",$A659,IF(ISERROR(MATCH($A659,$A$15:OFFSET($A659,-1,0),0)),MAX($M$15:OFFSET(M659,-1,0))+1,INDEX($M$15:OFFSET(M659,-1,0),MATCH($A659,$A$15:OFFSET($A659,-1,0),0)))))</f>
        <v>21</v>
      </c>
      <c r="N659" s="177" t="str">
        <f ca="1">IF($D659&lt;&gt;"Serviço","",IF(AUTOEVENTO="Manual",IF($A659=0,"&lt;-- defina o número do agrupador",OFFSET(EVENTOS!$D$14,$A659,0)),OFFSET($F$15,$A659,0)))</f>
        <v>INSTALAÇÕES DE CLIMATIZAÇÃO</v>
      </c>
      <c r="O659" s="178"/>
      <c r="Q659" s="178"/>
      <c r="R659" s="179"/>
      <c r="S659" s="179"/>
      <c r="T659" s="179"/>
      <c r="U659" s="179"/>
      <c r="V659" s="179"/>
      <c r="W659" s="179"/>
      <c r="X659" s="179"/>
      <c r="Y659" s="179"/>
      <c r="Z659" s="180"/>
      <c r="AB659" s="544">
        <f ca="1">IF(AND($D659="Serviço",AB$12&lt;&gt;0,$H659&gt;0,OR(AUTOEVENTO&lt;&gt;"manual",$M659&lt;&gt;1)),
IF(Import.TipoArredondamento&lt;&gt;"TransfereGOV",
ROUND(OFFSET($P659,0,AB$13),15-13*ORÇAMENTO!$AF$7)/$H659*OFFSET(ORÇAMENTO!$X$15,ROW(AB659)-ROW(AB$15),0),
ROUND(ROUND(OFFSET($P659,0,AB$13),15-13*ORÇAMENTO!$AF$7)*OFFSET(ORÇAMENTO!$W$15,ROW(AB659)-ROW(AB$15),0),15-13*ORÇAMENTO!$AF$11)),0)</f>
        <v>0</v>
      </c>
      <c r="AC659" s="545">
        <f ca="1">IF(AND($D659="Serviço",AC$12&lt;&gt;0,$H659&gt;0,OR(AUTOEVENTO&lt;&gt;"manual",$M659&lt;&gt;1)),
IF(Import.TipoArredondamento&lt;&gt;"TransfereGOV",
ROUND(OFFSET($P659,0,AC$13),15-13*ORÇAMENTO!$AF$7)/$H659*OFFSET(ORÇAMENTO!$X$15,ROW(AC659)-ROW(AC$15),0),
ROUND(ROUND(OFFSET($P659,0,AC$13),15-13*ORÇAMENTO!$AF$7)*OFFSET(ORÇAMENTO!$W$15,ROW(AC659)-ROW(AC$15),0),15-13*ORÇAMENTO!$AF$11)),0)</f>
        <v>0</v>
      </c>
      <c r="AD659" s="545">
        <f ca="1">IF(AND($D659="Serviço",AD$12&lt;&gt;0,$H659&gt;0,OR(AUTOEVENTO&lt;&gt;"manual",$M659&lt;&gt;1)),
IF(Import.TipoArredondamento&lt;&gt;"TransfereGOV",
ROUND(OFFSET($P659,0,AD$13),15-13*ORÇAMENTO!$AF$7)/$H659*OFFSET(ORÇAMENTO!$X$15,ROW(AD659)-ROW(AD$15),0),
ROUND(ROUND(OFFSET($P659,0,AD$13),15-13*ORÇAMENTO!$AF$7)*OFFSET(ORÇAMENTO!$W$15,ROW(AD659)-ROW(AD$15),0),15-13*ORÇAMENTO!$AF$11)),0)</f>
        <v>0</v>
      </c>
      <c r="AE659" s="545">
        <f ca="1">IF(AND($D659="Serviço",AE$12&lt;&gt;0,$H659&gt;0,OR(AUTOEVENTO&lt;&gt;"manual",$M659&lt;&gt;1)),
IF(Import.TipoArredondamento&lt;&gt;"TransfereGOV",
ROUND(OFFSET($P659,0,AE$13),15-13*ORÇAMENTO!$AF$7)/$H659*OFFSET(ORÇAMENTO!$X$15,ROW(AE659)-ROW(AE$15),0),
ROUND(ROUND(OFFSET($P659,0,AE$13),15-13*ORÇAMENTO!$AF$7)*OFFSET(ORÇAMENTO!$W$15,ROW(AE659)-ROW(AE$15),0),15-13*ORÇAMENTO!$AF$11)),0)</f>
        <v>0</v>
      </c>
      <c r="AF659" s="545">
        <f ca="1">IF(AND($D659="Serviço",AF$12&lt;&gt;0,$H659&gt;0,OR(AUTOEVENTO&lt;&gt;"manual",$M659&lt;&gt;1)),
IF(Import.TipoArredondamento&lt;&gt;"TransfereGOV",
ROUND(OFFSET($P659,0,AF$13),15-13*ORÇAMENTO!$AF$7)/$H659*OFFSET(ORÇAMENTO!$X$15,ROW(AF659)-ROW(AF$15),0),
ROUND(ROUND(OFFSET($P659,0,AF$13),15-13*ORÇAMENTO!$AF$7)*OFFSET(ORÇAMENTO!$W$15,ROW(AF659)-ROW(AF$15),0),15-13*ORÇAMENTO!$AF$11)),0)</f>
        <v>0</v>
      </c>
      <c r="AG659" s="545">
        <f ca="1">IF(AND($D659="Serviço",AG$12&lt;&gt;0,$H659&gt;0,OR(AUTOEVENTO&lt;&gt;"manual",$M659&lt;&gt;1)),
IF(Import.TipoArredondamento&lt;&gt;"TransfereGOV",
ROUND(OFFSET($P659,0,AG$13),15-13*ORÇAMENTO!$AF$7)/$H659*OFFSET(ORÇAMENTO!$X$15,ROW(AG659)-ROW(AG$15),0),
ROUND(ROUND(OFFSET($P659,0,AG$13),15-13*ORÇAMENTO!$AF$7)*OFFSET(ORÇAMENTO!$W$15,ROW(AG659)-ROW(AG$15),0),15-13*ORÇAMENTO!$AF$11)),0)</f>
        <v>0</v>
      </c>
      <c r="AH659" s="545">
        <f ca="1">IF(AND($D659="Serviço",AH$12&lt;&gt;0,$H659&gt;0,OR(AUTOEVENTO&lt;&gt;"manual",$M659&lt;&gt;1)),
IF(Import.TipoArredondamento&lt;&gt;"TransfereGOV",
ROUND(OFFSET($P659,0,AH$13),15-13*ORÇAMENTO!$AF$7)/$H659*OFFSET(ORÇAMENTO!$X$15,ROW(AH659)-ROW(AH$15),0),
ROUND(ROUND(OFFSET($P659,0,AH$13),15-13*ORÇAMENTO!$AF$7)*OFFSET(ORÇAMENTO!$W$15,ROW(AH659)-ROW(AH$15),0),15-13*ORÇAMENTO!$AF$11)),0)</f>
        <v>0</v>
      </c>
      <c r="AI659" s="545">
        <f ca="1">IF(AND($D659="Serviço",AI$12&lt;&gt;0,$H659&gt;0,OR(AUTOEVENTO&lt;&gt;"manual",$M659&lt;&gt;1)),
IF(Import.TipoArredondamento&lt;&gt;"TransfereGOV",
ROUND(OFFSET($P659,0,AI$13),15-13*ORÇAMENTO!$AF$7)/$H659*OFFSET(ORÇAMENTO!$X$15,ROW(AI659)-ROW(AI$15),0),
ROUND(ROUND(OFFSET($P659,0,AI$13),15-13*ORÇAMENTO!$AF$7)*OFFSET(ORÇAMENTO!$W$15,ROW(AI659)-ROW(AI$15),0),15-13*ORÇAMENTO!$AF$11)),0)</f>
        <v>0</v>
      </c>
      <c r="AJ659" s="545">
        <f ca="1">IF(AND($D659="Serviço",AJ$12&lt;&gt;0,$H659&gt;0,OR(AUTOEVENTO&lt;&gt;"manual",$M659&lt;&gt;1)),
IF(Import.TipoArredondamento&lt;&gt;"TransfereGOV",
ROUND(OFFSET($P659,0,AJ$13),15-13*ORÇAMENTO!$AF$7)/$H659*OFFSET(ORÇAMENTO!$X$15,ROW(AJ659)-ROW(AJ$15),0),
ROUND(ROUND(OFFSET($P659,0,AJ$13),15-13*ORÇAMENTO!$AF$7)*OFFSET(ORÇAMENTO!$W$15,ROW(AJ659)-ROW(AJ$15),0),15-13*ORÇAMENTO!$AF$11)),0)</f>
        <v>0</v>
      </c>
      <c r="AK659" s="546">
        <f ca="1">IF(AND($D659="Serviço",AK$12&lt;&gt;0,$H659&gt;0,OR(AUTOEVENTO&lt;&gt;"manual",$M659&lt;&gt;1)),
IF(Import.TipoArredondamento&lt;&gt;"TransfereGOV",
ROUND(OFFSET($P659,0,AK$13),15-13*ORÇAMENTO!$AF$7)/$H659*OFFSET(ORÇAMENTO!$X$15,ROW(AK659)-ROW(AK$15),0),
ROUND(ROUND(OFFSET($P659,0,AK$13),15-13*ORÇAMENTO!$AF$7)*OFFSET(ORÇAMENTO!$W$15,ROW(AK659)-ROW(AK$15),0),15-13*ORÇAMENTO!$AF$11)),0)</f>
        <v>0</v>
      </c>
      <c r="AM659" s="181">
        <f ca="1">IF($D659&lt;&gt;"Serviço",0,IF(AND(AUTOEVENTO="Manual",$M659=1),0,IF(OFFSET(CRONOPLE!$F$14,$M659,AM$13)="",10^12,OFFSET(CRONOPLE!$F$14,$M659,AM$13))))</f>
        <v>1000000000000</v>
      </c>
      <c r="AN659" s="181">
        <f ca="1">IF($D659&lt;&gt;"Serviço",0,IF(AND(AUTOEVENTO="Manual",$M659=1),0,IF(OFFSET(CRONOPLE!$F$14,$M659,AN$13)="",10^12,OFFSET(CRONOPLE!$F$14,$M659,AN$13))))</f>
        <v>1000000000000</v>
      </c>
      <c r="AO659" s="181">
        <f ca="1">IF($D659&lt;&gt;"Serviço",0,IF(AND(AUTOEVENTO="Manual",$M659=1),0,IF(OFFSET(CRONOPLE!$F$14,$M659,AO$13)="",10^12,OFFSET(CRONOPLE!$F$14,$M659,AO$13))))</f>
        <v>1000000000000</v>
      </c>
      <c r="AP659" s="181">
        <f ca="1">IF($D659&lt;&gt;"Serviço",0,IF(AND(AUTOEVENTO="Manual",$M659=1),0,IF(OFFSET(CRONOPLE!$F$14,$M659,AP$13)="",10^12,OFFSET(CRONOPLE!$F$14,$M659,AP$13))))</f>
        <v>1000000000000</v>
      </c>
      <c r="AQ659" s="181">
        <f ca="1">IF($D659&lt;&gt;"Serviço",0,IF(AND(AUTOEVENTO="Manual",$M659=1),0,IF(OFFSET(CRONOPLE!$F$14,$M659,AQ$13)="",10^12,OFFSET(CRONOPLE!$F$14,$M659,AQ$13))))</f>
        <v>1000000000000</v>
      </c>
      <c r="AR659" s="181">
        <f ca="1">IF($D659&lt;&gt;"Serviço",0,IF(AND(AUTOEVENTO="Manual",$M659=1),0,IF(OFFSET(CRONOPLE!$F$14,$M659,AR$13)="",10^12,OFFSET(CRONOPLE!$F$14,$M659,AR$13))))</f>
        <v>1000000000000</v>
      </c>
      <c r="AS659" s="181">
        <f ca="1">IF($D659&lt;&gt;"Serviço",0,IF(AND(AUTOEVENTO="Manual",$M659=1),0,IF(OFFSET(CRONOPLE!$F$14,$M659,AS$13)="",10^12,OFFSET(CRONOPLE!$F$14,$M659,AS$13))))</f>
        <v>1000000000000</v>
      </c>
      <c r="AT659" s="181">
        <f ca="1">IF($D659&lt;&gt;"Serviço",0,IF(AND(AUTOEVENTO="Manual",$M659=1),0,IF(OFFSET(CRONOPLE!$F$14,$M659,AT$13)="",10^12,OFFSET(CRONOPLE!$F$14,$M659,AT$13))))</f>
        <v>1000000000000</v>
      </c>
      <c r="AU659" s="181">
        <f ca="1">IF($D659&lt;&gt;"Serviço",0,IF(AND(AUTOEVENTO="Manual",$M659=1),0,IF(OFFSET(CRONOPLE!$F$14,$M659,AU$13)="",10^12,OFFSET(CRONOPLE!$F$14,$M659,AU$13))))</f>
        <v>1000000000000</v>
      </c>
      <c r="AV659" s="181">
        <f ca="1">IF($D659&lt;&gt;"Serviço",0,IF(AND(AUTOEVENTO="Manual",$M659=1),0,IF(OFFSET(CRONOPLE!$F$14,$M659,AV$13)="",10^12,OFFSET(CRONOPLE!$F$14,$M659,AV$13))))</f>
        <v>1000000000000</v>
      </c>
      <c r="AX659" s="182">
        <f ca="1">IF($D659&lt;&gt;"Serviço",0,IF(OR(AND(AUTOEVENTO="Manual",$M659=1),$M659&gt;(ROW(PLE.lastrow)-ROW(PLE.firstrow))),0,IF(OFFSET(PLE!$G$14,$M659,AX$13)="",10^12,OFFSET(PLE!$G$14,$M659,AX$13))))</f>
        <v>1000000000000</v>
      </c>
      <c r="AY659" s="182">
        <f ca="1">IF($D659&lt;&gt;"Serviço",0,IF(OR(AND(AUTOEVENTO="Manual",$M659=1),$M659&gt;(ROW(PLE.lastrow)-ROW(PLE.firstrow))),0,IF(OFFSET(PLE!$G$14,$M659,AY$13)="",10^12,OFFSET(PLE!$G$14,$M659,AY$13))))</f>
        <v>1000000000000</v>
      </c>
      <c r="AZ659" s="182">
        <f ca="1">IF($D659&lt;&gt;"Serviço",0,IF(OR(AND(AUTOEVENTO="Manual",$M659=1),$M659&gt;(ROW(PLE.lastrow)-ROW(PLE.firstrow))),0,IF(OFFSET(PLE!$G$14,$M659,AZ$13)="",10^12,OFFSET(PLE!$G$14,$M659,AZ$13))))</f>
        <v>1000000000000</v>
      </c>
      <c r="BA659" s="182">
        <f ca="1">IF($D659&lt;&gt;"Serviço",0,IF(OR(AND(AUTOEVENTO="Manual",$M659=1),$M659&gt;(ROW(PLE.lastrow)-ROW(PLE.firstrow))),0,IF(OFFSET(PLE!$G$14,$M659,BA$13)="",10^12,OFFSET(PLE!$G$14,$M659,BA$13))))</f>
        <v>1000000000000</v>
      </c>
      <c r="BB659" s="182">
        <f ca="1">IF($D659&lt;&gt;"Serviço",0,IF(OR(AND(AUTOEVENTO="Manual",$M659=1),$M659&gt;(ROW(PLE.lastrow)-ROW(PLE.firstrow))),0,IF(OFFSET(PLE!$G$14,$M659,BB$13)="",10^12,OFFSET(PLE!$G$14,$M659,BB$13))))</f>
        <v>1000000000000</v>
      </c>
      <c r="BC659" s="182">
        <f ca="1">IF($D659&lt;&gt;"Serviço",0,IF(OR(AND(AUTOEVENTO="Manual",$M659=1),$M659&gt;(ROW(PLE.lastrow)-ROW(PLE.firstrow))),0,IF(OFFSET(PLE!$G$14,$M659,BC$13)="",10^12,OFFSET(PLE!$G$14,$M659,BC$13))))</f>
        <v>1000000000000</v>
      </c>
      <c r="BD659" s="182">
        <f ca="1">IF($D659&lt;&gt;"Serviço",0,IF(OR(AND(AUTOEVENTO="Manual",$M659=1),$M659&gt;(ROW(PLE.lastrow)-ROW(PLE.firstrow))),0,IF(OFFSET(PLE!$G$14,$M659,BD$13)="",10^12,OFFSET(PLE!$G$14,$M659,BD$13))))</f>
        <v>1000000000000</v>
      </c>
      <c r="BE659" s="182">
        <f ca="1">IF($D659&lt;&gt;"Serviço",0,IF(OR(AND(AUTOEVENTO="Manual",$M659=1),$M659&gt;(ROW(PLE.lastrow)-ROW(PLE.firstrow))),0,IF(OFFSET(PLE!$G$14,$M659,BE$13)="",10^12,OFFSET(PLE!$G$14,$M659,BE$13))))</f>
        <v>1000000000000</v>
      </c>
      <c r="BF659" s="182">
        <f ca="1">IF($D659&lt;&gt;"Serviço",0,IF(OR(AND(AUTOEVENTO="Manual",$M659=1),$M659&gt;(ROW(PLE.lastrow)-ROW(PLE.firstrow))),0,IF(OFFSET(PLE!$G$14,$M659,BF$13)="",10^12,OFFSET(PLE!$G$14,$M659,BF$13))))</f>
        <v>1000000000000</v>
      </c>
      <c r="BG659" s="182">
        <f ca="1">IF($D659&lt;&gt;"Serviço",0,IF(OR(AND(AUTOEVENTO="Manual",$M659=1),$M659&gt;(ROW(PLE.lastrow)-ROW(PLE.firstrow))),0,IF(OFFSET(PLE!$G$14,$M659,BG$13)="",10^12,OFFSET(PLE!$G$14,$M659,BG$13))))</f>
        <v>1000000000000</v>
      </c>
    </row>
    <row r="660" spans="1:59" ht="12.75" x14ac:dyDescent="0.2">
      <c r="A660" s="7" t="str">
        <f t="shared" ca="1" si="17"/>
        <v>638</v>
      </c>
      <c r="B660" s="7">
        <f ca="1">OFFSET(ORÇAMENTO!C$15,ROW(B660)-ROW(B$15),0)</f>
        <v>3</v>
      </c>
      <c r="C660" s="7" t="str">
        <f ca="1">OFFSET(ORÇAMENTO!L$15,ROW(C660)-ROW(C$15),0)</f>
        <v>F</v>
      </c>
      <c r="D660" s="118" t="str">
        <f ca="1">OFFSET(ORÇAMENTO!N$15,ROW(D660)-ROW(D$15),0)</f>
        <v>Nível 3</v>
      </c>
      <c r="E660" s="119" t="str">
        <f ca="1">OFFSET(ORÇAMENTO!O$15,ROW(E660)-ROW(E$15),0)</f>
        <v>1.20.2.</v>
      </c>
      <c r="F660" s="172" t="str">
        <f ca="1">OFFSET(ORÇAMENTO!R$15,ROW(F660)-ROW(F$15),0)</f>
        <v>DRENO</v>
      </c>
      <c r="G660" s="173" t="str">
        <f ca="1">IF($D660&lt;&gt;"Serviço","",OFFSET(ORÇAMENTO!S$15,ROW(G660)-ROW(G$15),0))</f>
        <v/>
      </c>
      <c r="H660" s="124">
        <f ca="1">IF($D660&lt;&gt;"Serviço",0,IF(ACOMPANHAMENTO="BM",ROUND(OFFSET(ORÇAMENTO!AJ$15,ROW(H660)-ROW(H$15),0),15-13*ORÇAMENTO!$AF$7),SUMPRODUCT(($Q$12:$AA$12&lt;&gt;"")*ROUND($Q660:$AA660,15-13*ORÇAMENTO!$AF$7))))</f>
        <v>0</v>
      </c>
      <c r="I660" s="561"/>
      <c r="K660" s="174"/>
      <c r="L660" s="175" t="s">
        <v>255</v>
      </c>
      <c r="M660" s="176" t="str">
        <f ca="1">IF($D660&lt;&gt;"Serviço","",IF(AUTOEVENTO="manual",$A660,IF(ISERROR(MATCH($A660,$A$15:OFFSET($A660,-1,0),0)),MAX($M$15:OFFSET(M660,-1,0))+1,INDEX($M$15:OFFSET(M660,-1,0),MATCH($A660,$A$15:OFFSET($A660,-1,0),0)))))</f>
        <v/>
      </c>
      <c r="N660" s="177" t="str">
        <f ca="1">IF($D660&lt;&gt;"Serviço","",IF(AUTOEVENTO="Manual",IF($A660=0,"&lt;-- defina o número do agrupador",OFFSET(EVENTOS!$D$14,$A660,0)),OFFSET($F$15,$A660,0)))</f>
        <v/>
      </c>
      <c r="O660" s="178"/>
      <c r="Q660" s="178"/>
      <c r="R660" s="179"/>
      <c r="S660" s="179"/>
      <c r="T660" s="179"/>
      <c r="U660" s="179"/>
      <c r="V660" s="179"/>
      <c r="W660" s="179"/>
      <c r="X660" s="179"/>
      <c r="Y660" s="179"/>
      <c r="Z660" s="180"/>
      <c r="AB660" s="544">
        <f ca="1">IF(AND($D660="Serviço",AB$12&lt;&gt;0,$H660&gt;0,OR(AUTOEVENTO&lt;&gt;"manual",$M660&lt;&gt;1)),
IF(Import.TipoArredondamento&lt;&gt;"TransfereGOV",
ROUND(OFFSET($P660,0,AB$13),15-13*ORÇAMENTO!$AF$7)/$H660*OFFSET(ORÇAMENTO!$X$15,ROW(AB660)-ROW(AB$15),0),
ROUND(ROUND(OFFSET($P660,0,AB$13),15-13*ORÇAMENTO!$AF$7)*OFFSET(ORÇAMENTO!$W$15,ROW(AB660)-ROW(AB$15),0),15-13*ORÇAMENTO!$AF$11)),0)</f>
        <v>0</v>
      </c>
      <c r="AC660" s="545">
        <f ca="1">IF(AND($D660="Serviço",AC$12&lt;&gt;0,$H660&gt;0,OR(AUTOEVENTO&lt;&gt;"manual",$M660&lt;&gt;1)),
IF(Import.TipoArredondamento&lt;&gt;"TransfereGOV",
ROUND(OFFSET($P660,0,AC$13),15-13*ORÇAMENTO!$AF$7)/$H660*OFFSET(ORÇAMENTO!$X$15,ROW(AC660)-ROW(AC$15),0),
ROUND(ROUND(OFFSET($P660,0,AC$13),15-13*ORÇAMENTO!$AF$7)*OFFSET(ORÇAMENTO!$W$15,ROW(AC660)-ROW(AC$15),0),15-13*ORÇAMENTO!$AF$11)),0)</f>
        <v>0</v>
      </c>
      <c r="AD660" s="545">
        <f ca="1">IF(AND($D660="Serviço",AD$12&lt;&gt;0,$H660&gt;0,OR(AUTOEVENTO&lt;&gt;"manual",$M660&lt;&gt;1)),
IF(Import.TipoArredondamento&lt;&gt;"TransfereGOV",
ROUND(OFFSET($P660,0,AD$13),15-13*ORÇAMENTO!$AF$7)/$H660*OFFSET(ORÇAMENTO!$X$15,ROW(AD660)-ROW(AD$15),0),
ROUND(ROUND(OFFSET($P660,0,AD$13),15-13*ORÇAMENTO!$AF$7)*OFFSET(ORÇAMENTO!$W$15,ROW(AD660)-ROW(AD$15),0),15-13*ORÇAMENTO!$AF$11)),0)</f>
        <v>0</v>
      </c>
      <c r="AE660" s="545">
        <f ca="1">IF(AND($D660="Serviço",AE$12&lt;&gt;0,$H660&gt;0,OR(AUTOEVENTO&lt;&gt;"manual",$M660&lt;&gt;1)),
IF(Import.TipoArredondamento&lt;&gt;"TransfereGOV",
ROUND(OFFSET($P660,0,AE$13),15-13*ORÇAMENTO!$AF$7)/$H660*OFFSET(ORÇAMENTO!$X$15,ROW(AE660)-ROW(AE$15),0),
ROUND(ROUND(OFFSET($P660,0,AE$13),15-13*ORÇAMENTO!$AF$7)*OFFSET(ORÇAMENTO!$W$15,ROW(AE660)-ROW(AE$15),0),15-13*ORÇAMENTO!$AF$11)),0)</f>
        <v>0</v>
      </c>
      <c r="AF660" s="545">
        <f ca="1">IF(AND($D660="Serviço",AF$12&lt;&gt;0,$H660&gt;0,OR(AUTOEVENTO&lt;&gt;"manual",$M660&lt;&gt;1)),
IF(Import.TipoArredondamento&lt;&gt;"TransfereGOV",
ROUND(OFFSET($P660,0,AF$13),15-13*ORÇAMENTO!$AF$7)/$H660*OFFSET(ORÇAMENTO!$X$15,ROW(AF660)-ROW(AF$15),0),
ROUND(ROUND(OFFSET($P660,0,AF$13),15-13*ORÇAMENTO!$AF$7)*OFFSET(ORÇAMENTO!$W$15,ROW(AF660)-ROW(AF$15),0),15-13*ORÇAMENTO!$AF$11)),0)</f>
        <v>0</v>
      </c>
      <c r="AG660" s="545">
        <f ca="1">IF(AND($D660="Serviço",AG$12&lt;&gt;0,$H660&gt;0,OR(AUTOEVENTO&lt;&gt;"manual",$M660&lt;&gt;1)),
IF(Import.TipoArredondamento&lt;&gt;"TransfereGOV",
ROUND(OFFSET($P660,0,AG$13),15-13*ORÇAMENTO!$AF$7)/$H660*OFFSET(ORÇAMENTO!$X$15,ROW(AG660)-ROW(AG$15),0),
ROUND(ROUND(OFFSET($P660,0,AG$13),15-13*ORÇAMENTO!$AF$7)*OFFSET(ORÇAMENTO!$W$15,ROW(AG660)-ROW(AG$15),0),15-13*ORÇAMENTO!$AF$11)),0)</f>
        <v>0</v>
      </c>
      <c r="AH660" s="545">
        <f ca="1">IF(AND($D660="Serviço",AH$12&lt;&gt;0,$H660&gt;0,OR(AUTOEVENTO&lt;&gt;"manual",$M660&lt;&gt;1)),
IF(Import.TipoArredondamento&lt;&gt;"TransfereGOV",
ROUND(OFFSET($P660,0,AH$13),15-13*ORÇAMENTO!$AF$7)/$H660*OFFSET(ORÇAMENTO!$X$15,ROW(AH660)-ROW(AH$15),0),
ROUND(ROUND(OFFSET($P660,0,AH$13),15-13*ORÇAMENTO!$AF$7)*OFFSET(ORÇAMENTO!$W$15,ROW(AH660)-ROW(AH$15),0),15-13*ORÇAMENTO!$AF$11)),0)</f>
        <v>0</v>
      </c>
      <c r="AI660" s="545">
        <f ca="1">IF(AND($D660="Serviço",AI$12&lt;&gt;0,$H660&gt;0,OR(AUTOEVENTO&lt;&gt;"manual",$M660&lt;&gt;1)),
IF(Import.TipoArredondamento&lt;&gt;"TransfereGOV",
ROUND(OFFSET($P660,0,AI$13),15-13*ORÇAMENTO!$AF$7)/$H660*OFFSET(ORÇAMENTO!$X$15,ROW(AI660)-ROW(AI$15),0),
ROUND(ROUND(OFFSET($P660,0,AI$13),15-13*ORÇAMENTO!$AF$7)*OFFSET(ORÇAMENTO!$W$15,ROW(AI660)-ROW(AI$15),0),15-13*ORÇAMENTO!$AF$11)),0)</f>
        <v>0</v>
      </c>
      <c r="AJ660" s="545">
        <f ca="1">IF(AND($D660="Serviço",AJ$12&lt;&gt;0,$H660&gt;0,OR(AUTOEVENTO&lt;&gt;"manual",$M660&lt;&gt;1)),
IF(Import.TipoArredondamento&lt;&gt;"TransfereGOV",
ROUND(OFFSET($P660,0,AJ$13),15-13*ORÇAMENTO!$AF$7)/$H660*OFFSET(ORÇAMENTO!$X$15,ROW(AJ660)-ROW(AJ$15),0),
ROUND(ROUND(OFFSET($P660,0,AJ$13),15-13*ORÇAMENTO!$AF$7)*OFFSET(ORÇAMENTO!$W$15,ROW(AJ660)-ROW(AJ$15),0),15-13*ORÇAMENTO!$AF$11)),0)</f>
        <v>0</v>
      </c>
      <c r="AK660" s="546">
        <f ca="1">IF(AND($D660="Serviço",AK$12&lt;&gt;0,$H660&gt;0,OR(AUTOEVENTO&lt;&gt;"manual",$M660&lt;&gt;1)),
IF(Import.TipoArredondamento&lt;&gt;"TransfereGOV",
ROUND(OFFSET($P660,0,AK$13),15-13*ORÇAMENTO!$AF$7)/$H660*OFFSET(ORÇAMENTO!$X$15,ROW(AK660)-ROW(AK$15),0),
ROUND(ROUND(OFFSET($P660,0,AK$13),15-13*ORÇAMENTO!$AF$7)*OFFSET(ORÇAMENTO!$W$15,ROW(AK660)-ROW(AK$15),0),15-13*ORÇAMENTO!$AF$11)),0)</f>
        <v>0</v>
      </c>
      <c r="AM660" s="181">
        <f ca="1">IF($D660&lt;&gt;"Serviço",0,IF(AND(AUTOEVENTO="Manual",$M660=1),0,IF(OFFSET(CRONOPLE!$F$14,$M660,AM$13)="",10^12,OFFSET(CRONOPLE!$F$14,$M660,AM$13))))</f>
        <v>0</v>
      </c>
      <c r="AN660" s="181">
        <f ca="1">IF($D660&lt;&gt;"Serviço",0,IF(AND(AUTOEVENTO="Manual",$M660=1),0,IF(OFFSET(CRONOPLE!$F$14,$M660,AN$13)="",10^12,OFFSET(CRONOPLE!$F$14,$M660,AN$13))))</f>
        <v>0</v>
      </c>
      <c r="AO660" s="181">
        <f ca="1">IF($D660&lt;&gt;"Serviço",0,IF(AND(AUTOEVENTO="Manual",$M660=1),0,IF(OFFSET(CRONOPLE!$F$14,$M660,AO$13)="",10^12,OFFSET(CRONOPLE!$F$14,$M660,AO$13))))</f>
        <v>0</v>
      </c>
      <c r="AP660" s="181">
        <f ca="1">IF($D660&lt;&gt;"Serviço",0,IF(AND(AUTOEVENTO="Manual",$M660=1),0,IF(OFFSET(CRONOPLE!$F$14,$M660,AP$13)="",10^12,OFFSET(CRONOPLE!$F$14,$M660,AP$13))))</f>
        <v>0</v>
      </c>
      <c r="AQ660" s="181">
        <f ca="1">IF($D660&lt;&gt;"Serviço",0,IF(AND(AUTOEVENTO="Manual",$M660=1),0,IF(OFFSET(CRONOPLE!$F$14,$M660,AQ$13)="",10^12,OFFSET(CRONOPLE!$F$14,$M660,AQ$13))))</f>
        <v>0</v>
      </c>
      <c r="AR660" s="181">
        <f ca="1">IF($D660&lt;&gt;"Serviço",0,IF(AND(AUTOEVENTO="Manual",$M660=1),0,IF(OFFSET(CRONOPLE!$F$14,$M660,AR$13)="",10^12,OFFSET(CRONOPLE!$F$14,$M660,AR$13))))</f>
        <v>0</v>
      </c>
      <c r="AS660" s="181">
        <f ca="1">IF($D660&lt;&gt;"Serviço",0,IF(AND(AUTOEVENTO="Manual",$M660=1),0,IF(OFFSET(CRONOPLE!$F$14,$M660,AS$13)="",10^12,OFFSET(CRONOPLE!$F$14,$M660,AS$13))))</f>
        <v>0</v>
      </c>
      <c r="AT660" s="181">
        <f ca="1">IF($D660&lt;&gt;"Serviço",0,IF(AND(AUTOEVENTO="Manual",$M660=1),0,IF(OFFSET(CRONOPLE!$F$14,$M660,AT$13)="",10^12,OFFSET(CRONOPLE!$F$14,$M660,AT$13))))</f>
        <v>0</v>
      </c>
      <c r="AU660" s="181">
        <f ca="1">IF($D660&lt;&gt;"Serviço",0,IF(AND(AUTOEVENTO="Manual",$M660=1),0,IF(OFFSET(CRONOPLE!$F$14,$M660,AU$13)="",10^12,OFFSET(CRONOPLE!$F$14,$M660,AU$13))))</f>
        <v>0</v>
      </c>
      <c r="AV660" s="181">
        <f ca="1">IF($D660&lt;&gt;"Serviço",0,IF(AND(AUTOEVENTO="Manual",$M660=1),0,IF(OFFSET(CRONOPLE!$F$14,$M660,AV$13)="",10^12,OFFSET(CRONOPLE!$F$14,$M660,AV$13))))</f>
        <v>0</v>
      </c>
      <c r="AX660" s="182">
        <f ca="1">IF($D660&lt;&gt;"Serviço",0,IF(OR(AND(AUTOEVENTO="Manual",$M660=1),$M660&gt;(ROW(PLE.lastrow)-ROW(PLE.firstrow))),0,IF(OFFSET(PLE!$G$14,$M660,AX$13)="",10^12,OFFSET(PLE!$G$14,$M660,AX$13))))</f>
        <v>0</v>
      </c>
      <c r="AY660" s="182">
        <f ca="1">IF($D660&lt;&gt;"Serviço",0,IF(OR(AND(AUTOEVENTO="Manual",$M660=1),$M660&gt;(ROW(PLE.lastrow)-ROW(PLE.firstrow))),0,IF(OFFSET(PLE!$G$14,$M660,AY$13)="",10^12,OFFSET(PLE!$G$14,$M660,AY$13))))</f>
        <v>0</v>
      </c>
      <c r="AZ660" s="182">
        <f ca="1">IF($D660&lt;&gt;"Serviço",0,IF(OR(AND(AUTOEVENTO="Manual",$M660=1),$M660&gt;(ROW(PLE.lastrow)-ROW(PLE.firstrow))),0,IF(OFFSET(PLE!$G$14,$M660,AZ$13)="",10^12,OFFSET(PLE!$G$14,$M660,AZ$13))))</f>
        <v>0</v>
      </c>
      <c r="BA660" s="182">
        <f ca="1">IF($D660&lt;&gt;"Serviço",0,IF(OR(AND(AUTOEVENTO="Manual",$M660=1),$M660&gt;(ROW(PLE.lastrow)-ROW(PLE.firstrow))),0,IF(OFFSET(PLE!$G$14,$M660,BA$13)="",10^12,OFFSET(PLE!$G$14,$M660,BA$13))))</f>
        <v>0</v>
      </c>
      <c r="BB660" s="182">
        <f ca="1">IF($D660&lt;&gt;"Serviço",0,IF(OR(AND(AUTOEVENTO="Manual",$M660=1),$M660&gt;(ROW(PLE.lastrow)-ROW(PLE.firstrow))),0,IF(OFFSET(PLE!$G$14,$M660,BB$13)="",10^12,OFFSET(PLE!$G$14,$M660,BB$13))))</f>
        <v>0</v>
      </c>
      <c r="BC660" s="182">
        <f ca="1">IF($D660&lt;&gt;"Serviço",0,IF(OR(AND(AUTOEVENTO="Manual",$M660=1),$M660&gt;(ROW(PLE.lastrow)-ROW(PLE.firstrow))),0,IF(OFFSET(PLE!$G$14,$M660,BC$13)="",10^12,OFFSET(PLE!$G$14,$M660,BC$13))))</f>
        <v>0</v>
      </c>
      <c r="BD660" s="182">
        <f ca="1">IF($D660&lt;&gt;"Serviço",0,IF(OR(AND(AUTOEVENTO="Manual",$M660=1),$M660&gt;(ROW(PLE.lastrow)-ROW(PLE.firstrow))),0,IF(OFFSET(PLE!$G$14,$M660,BD$13)="",10^12,OFFSET(PLE!$G$14,$M660,BD$13))))</f>
        <v>0</v>
      </c>
      <c r="BE660" s="182">
        <f ca="1">IF($D660&lt;&gt;"Serviço",0,IF(OR(AND(AUTOEVENTO="Manual",$M660=1),$M660&gt;(ROW(PLE.lastrow)-ROW(PLE.firstrow))),0,IF(OFFSET(PLE!$G$14,$M660,BE$13)="",10^12,OFFSET(PLE!$G$14,$M660,BE$13))))</f>
        <v>0</v>
      </c>
      <c r="BF660" s="182">
        <f ca="1">IF($D660&lt;&gt;"Serviço",0,IF(OR(AND(AUTOEVENTO="Manual",$M660=1),$M660&gt;(ROW(PLE.lastrow)-ROW(PLE.firstrow))),0,IF(OFFSET(PLE!$G$14,$M660,BF$13)="",10^12,OFFSET(PLE!$G$14,$M660,BF$13))))</f>
        <v>0</v>
      </c>
      <c r="BG660" s="182">
        <f ca="1">IF($D660&lt;&gt;"Serviço",0,IF(OR(AND(AUTOEVENTO="Manual",$M660=1),$M660&gt;(ROW(PLE.lastrow)-ROW(PLE.firstrow))),0,IF(OFFSET(PLE!$G$14,$M660,BG$13)="",10^12,OFFSET(PLE!$G$14,$M660,BG$13))))</f>
        <v>0</v>
      </c>
    </row>
    <row r="661" spans="1:59" ht="38.25" x14ac:dyDescent="0.2">
      <c r="A661" s="7" t="str">
        <f t="shared" ca="1" si="17"/>
        <v>638</v>
      </c>
      <c r="B661" s="7" t="str">
        <f ca="1">OFFSET(ORÇAMENTO!C$15,ROW(B661)-ROW(B$15),0)</f>
        <v>S</v>
      </c>
      <c r="C661" s="7" t="str">
        <f ca="1">OFFSET(ORÇAMENTO!L$15,ROW(C661)-ROW(C$15),0)</f>
        <v/>
      </c>
      <c r="D661" s="118" t="str">
        <f ca="1">OFFSET(ORÇAMENTO!N$15,ROW(D661)-ROW(D$15),0)</f>
        <v>Serviço</v>
      </c>
      <c r="E661" s="119" t="str">
        <f ca="1">OFFSET(ORÇAMENTO!O$15,ROW(E661)-ROW(E$15),0)</f>
        <v>-</v>
      </c>
      <c r="F661" s="172" t="str">
        <f ca="1">OFFSET(ORÇAMENTO!R$15,ROW(F661)-ROW(F$15),0)</f>
        <v>(abra o arquivo 'Referência 02-2025.xlsm)</v>
      </c>
      <c r="G661" s="173" t="str">
        <f ca="1">IF($D661&lt;&gt;"Serviço","",OFFSET(ORÇAMENTO!S$15,ROW(G661)-ROW(G$15),0))</f>
        <v>-</v>
      </c>
      <c r="H661" s="124">
        <f ca="1">IF($D661&lt;&gt;"Serviço",0,IF(ACOMPANHAMENTO="BM",ROUND(OFFSET(ORÇAMENTO!AJ$15,ROW(H661)-ROW(H$15),0),15-13*ORÇAMENTO!$AF$7),SUMPRODUCT(($Q$12:$AA$12&lt;&gt;"")*ROUND($Q661:$AA661,15-13*ORÇAMENTO!$AF$7))))</f>
        <v>128.80000000000001</v>
      </c>
      <c r="I661" s="561"/>
      <c r="K661" s="174"/>
      <c r="L661" s="175" t="s">
        <v>255</v>
      </c>
      <c r="M661" s="176">
        <f ca="1">IF($D661&lt;&gt;"Serviço","",IF(AUTOEVENTO="manual",$A661,IF(ISERROR(MATCH($A661,$A$15:OFFSET($A661,-1,0),0)),MAX($M$15:OFFSET(M661,-1,0))+1,INDEX($M$15:OFFSET(M661,-1,0),MATCH($A661,$A$15:OFFSET($A661,-1,0),0)))))</f>
        <v>21</v>
      </c>
      <c r="N661" s="177" t="str">
        <f ca="1">IF($D661&lt;&gt;"Serviço","",IF(AUTOEVENTO="Manual",IF($A661=0,"&lt;-- defina o número do agrupador",OFFSET(EVENTOS!$D$14,$A661,0)),OFFSET($F$15,$A661,0)))</f>
        <v>INSTALAÇÕES DE CLIMATIZAÇÃO</v>
      </c>
      <c r="O661" s="178"/>
      <c r="Q661" s="178"/>
      <c r="R661" s="179"/>
      <c r="S661" s="179"/>
      <c r="T661" s="179"/>
      <c r="U661" s="179"/>
      <c r="V661" s="179"/>
      <c r="W661" s="179"/>
      <c r="X661" s="179"/>
      <c r="Y661" s="179"/>
      <c r="Z661" s="180"/>
      <c r="AB661" s="544">
        <f ca="1">IF(AND($D661="Serviço",AB$12&lt;&gt;0,$H661&gt;0,OR(AUTOEVENTO&lt;&gt;"manual",$M661&lt;&gt;1)),
IF(Import.TipoArredondamento&lt;&gt;"TransfereGOV",
ROUND(OFFSET($P661,0,AB$13),15-13*ORÇAMENTO!$AF$7)/$H661*OFFSET(ORÇAMENTO!$X$15,ROW(AB661)-ROW(AB$15),0),
ROUND(ROUND(OFFSET($P661,0,AB$13),15-13*ORÇAMENTO!$AF$7)*OFFSET(ORÇAMENTO!$W$15,ROW(AB661)-ROW(AB$15),0),15-13*ORÇAMENTO!$AF$11)),0)</f>
        <v>0</v>
      </c>
      <c r="AC661" s="545">
        <f ca="1">IF(AND($D661="Serviço",AC$12&lt;&gt;0,$H661&gt;0,OR(AUTOEVENTO&lt;&gt;"manual",$M661&lt;&gt;1)),
IF(Import.TipoArredondamento&lt;&gt;"TransfereGOV",
ROUND(OFFSET($P661,0,AC$13),15-13*ORÇAMENTO!$AF$7)/$H661*OFFSET(ORÇAMENTO!$X$15,ROW(AC661)-ROW(AC$15),0),
ROUND(ROUND(OFFSET($P661,0,AC$13),15-13*ORÇAMENTO!$AF$7)*OFFSET(ORÇAMENTO!$W$15,ROW(AC661)-ROW(AC$15),0),15-13*ORÇAMENTO!$AF$11)),0)</f>
        <v>0</v>
      </c>
      <c r="AD661" s="545">
        <f ca="1">IF(AND($D661="Serviço",AD$12&lt;&gt;0,$H661&gt;0,OR(AUTOEVENTO&lt;&gt;"manual",$M661&lt;&gt;1)),
IF(Import.TipoArredondamento&lt;&gt;"TransfereGOV",
ROUND(OFFSET($P661,0,AD$13),15-13*ORÇAMENTO!$AF$7)/$H661*OFFSET(ORÇAMENTO!$X$15,ROW(AD661)-ROW(AD$15),0),
ROUND(ROUND(OFFSET($P661,0,AD$13),15-13*ORÇAMENTO!$AF$7)*OFFSET(ORÇAMENTO!$W$15,ROW(AD661)-ROW(AD$15),0),15-13*ORÇAMENTO!$AF$11)),0)</f>
        <v>0</v>
      </c>
      <c r="AE661" s="545">
        <f ca="1">IF(AND($D661="Serviço",AE$12&lt;&gt;0,$H661&gt;0,OR(AUTOEVENTO&lt;&gt;"manual",$M661&lt;&gt;1)),
IF(Import.TipoArredondamento&lt;&gt;"TransfereGOV",
ROUND(OFFSET($P661,0,AE$13),15-13*ORÇAMENTO!$AF$7)/$H661*OFFSET(ORÇAMENTO!$X$15,ROW(AE661)-ROW(AE$15),0),
ROUND(ROUND(OFFSET($P661,0,AE$13),15-13*ORÇAMENTO!$AF$7)*OFFSET(ORÇAMENTO!$W$15,ROW(AE661)-ROW(AE$15),0),15-13*ORÇAMENTO!$AF$11)),0)</f>
        <v>0</v>
      </c>
      <c r="AF661" s="545">
        <f ca="1">IF(AND($D661="Serviço",AF$12&lt;&gt;0,$H661&gt;0,OR(AUTOEVENTO&lt;&gt;"manual",$M661&lt;&gt;1)),
IF(Import.TipoArredondamento&lt;&gt;"TransfereGOV",
ROUND(OFFSET($P661,0,AF$13),15-13*ORÇAMENTO!$AF$7)/$H661*OFFSET(ORÇAMENTO!$X$15,ROW(AF661)-ROW(AF$15),0),
ROUND(ROUND(OFFSET($P661,0,AF$13),15-13*ORÇAMENTO!$AF$7)*OFFSET(ORÇAMENTO!$W$15,ROW(AF661)-ROW(AF$15),0),15-13*ORÇAMENTO!$AF$11)),0)</f>
        <v>0</v>
      </c>
      <c r="AG661" s="545">
        <f ca="1">IF(AND($D661="Serviço",AG$12&lt;&gt;0,$H661&gt;0,OR(AUTOEVENTO&lt;&gt;"manual",$M661&lt;&gt;1)),
IF(Import.TipoArredondamento&lt;&gt;"TransfereGOV",
ROUND(OFFSET($P661,0,AG$13),15-13*ORÇAMENTO!$AF$7)/$H661*OFFSET(ORÇAMENTO!$X$15,ROW(AG661)-ROW(AG$15),0),
ROUND(ROUND(OFFSET($P661,0,AG$13),15-13*ORÇAMENTO!$AF$7)*OFFSET(ORÇAMENTO!$W$15,ROW(AG661)-ROW(AG$15),0),15-13*ORÇAMENTO!$AF$11)),0)</f>
        <v>0</v>
      </c>
      <c r="AH661" s="545">
        <f ca="1">IF(AND($D661="Serviço",AH$12&lt;&gt;0,$H661&gt;0,OR(AUTOEVENTO&lt;&gt;"manual",$M661&lt;&gt;1)),
IF(Import.TipoArredondamento&lt;&gt;"TransfereGOV",
ROUND(OFFSET($P661,0,AH$13),15-13*ORÇAMENTO!$AF$7)/$H661*OFFSET(ORÇAMENTO!$X$15,ROW(AH661)-ROW(AH$15),0),
ROUND(ROUND(OFFSET($P661,0,AH$13),15-13*ORÇAMENTO!$AF$7)*OFFSET(ORÇAMENTO!$W$15,ROW(AH661)-ROW(AH$15),0),15-13*ORÇAMENTO!$AF$11)),0)</f>
        <v>0</v>
      </c>
      <c r="AI661" s="545">
        <f ca="1">IF(AND($D661="Serviço",AI$12&lt;&gt;0,$H661&gt;0,OR(AUTOEVENTO&lt;&gt;"manual",$M661&lt;&gt;1)),
IF(Import.TipoArredondamento&lt;&gt;"TransfereGOV",
ROUND(OFFSET($P661,0,AI$13),15-13*ORÇAMENTO!$AF$7)/$H661*OFFSET(ORÇAMENTO!$X$15,ROW(AI661)-ROW(AI$15),0),
ROUND(ROUND(OFFSET($P661,0,AI$13),15-13*ORÇAMENTO!$AF$7)*OFFSET(ORÇAMENTO!$W$15,ROW(AI661)-ROW(AI$15),0),15-13*ORÇAMENTO!$AF$11)),0)</f>
        <v>0</v>
      </c>
      <c r="AJ661" s="545">
        <f ca="1">IF(AND($D661="Serviço",AJ$12&lt;&gt;0,$H661&gt;0,OR(AUTOEVENTO&lt;&gt;"manual",$M661&lt;&gt;1)),
IF(Import.TipoArredondamento&lt;&gt;"TransfereGOV",
ROUND(OFFSET($P661,0,AJ$13),15-13*ORÇAMENTO!$AF$7)/$H661*OFFSET(ORÇAMENTO!$X$15,ROW(AJ661)-ROW(AJ$15),0),
ROUND(ROUND(OFFSET($P661,0,AJ$13),15-13*ORÇAMENTO!$AF$7)*OFFSET(ORÇAMENTO!$W$15,ROW(AJ661)-ROW(AJ$15),0),15-13*ORÇAMENTO!$AF$11)),0)</f>
        <v>0</v>
      </c>
      <c r="AK661" s="546">
        <f ca="1">IF(AND($D661="Serviço",AK$12&lt;&gt;0,$H661&gt;0,OR(AUTOEVENTO&lt;&gt;"manual",$M661&lt;&gt;1)),
IF(Import.TipoArredondamento&lt;&gt;"TransfereGOV",
ROUND(OFFSET($P661,0,AK$13),15-13*ORÇAMENTO!$AF$7)/$H661*OFFSET(ORÇAMENTO!$X$15,ROW(AK661)-ROW(AK$15),0),
ROUND(ROUND(OFFSET($P661,0,AK$13),15-13*ORÇAMENTO!$AF$7)*OFFSET(ORÇAMENTO!$W$15,ROW(AK661)-ROW(AK$15),0),15-13*ORÇAMENTO!$AF$11)),0)</f>
        <v>0</v>
      </c>
      <c r="AM661" s="181">
        <f ca="1">IF($D661&lt;&gt;"Serviço",0,IF(AND(AUTOEVENTO="Manual",$M661=1),0,IF(OFFSET(CRONOPLE!$F$14,$M661,AM$13)="",10^12,OFFSET(CRONOPLE!$F$14,$M661,AM$13))))</f>
        <v>1000000000000</v>
      </c>
      <c r="AN661" s="181">
        <f ca="1">IF($D661&lt;&gt;"Serviço",0,IF(AND(AUTOEVENTO="Manual",$M661=1),0,IF(OFFSET(CRONOPLE!$F$14,$M661,AN$13)="",10^12,OFFSET(CRONOPLE!$F$14,$M661,AN$13))))</f>
        <v>1000000000000</v>
      </c>
      <c r="AO661" s="181">
        <f ca="1">IF($D661&lt;&gt;"Serviço",0,IF(AND(AUTOEVENTO="Manual",$M661=1),0,IF(OFFSET(CRONOPLE!$F$14,$M661,AO$13)="",10^12,OFFSET(CRONOPLE!$F$14,$M661,AO$13))))</f>
        <v>1000000000000</v>
      </c>
      <c r="AP661" s="181">
        <f ca="1">IF($D661&lt;&gt;"Serviço",0,IF(AND(AUTOEVENTO="Manual",$M661=1),0,IF(OFFSET(CRONOPLE!$F$14,$M661,AP$13)="",10^12,OFFSET(CRONOPLE!$F$14,$M661,AP$13))))</f>
        <v>1000000000000</v>
      </c>
      <c r="AQ661" s="181">
        <f ca="1">IF($D661&lt;&gt;"Serviço",0,IF(AND(AUTOEVENTO="Manual",$M661=1),0,IF(OFFSET(CRONOPLE!$F$14,$M661,AQ$13)="",10^12,OFFSET(CRONOPLE!$F$14,$M661,AQ$13))))</f>
        <v>1000000000000</v>
      </c>
      <c r="AR661" s="181">
        <f ca="1">IF($D661&lt;&gt;"Serviço",0,IF(AND(AUTOEVENTO="Manual",$M661=1),0,IF(OFFSET(CRONOPLE!$F$14,$M661,AR$13)="",10^12,OFFSET(CRONOPLE!$F$14,$M661,AR$13))))</f>
        <v>1000000000000</v>
      </c>
      <c r="AS661" s="181">
        <f ca="1">IF($D661&lt;&gt;"Serviço",0,IF(AND(AUTOEVENTO="Manual",$M661=1),0,IF(OFFSET(CRONOPLE!$F$14,$M661,AS$13)="",10^12,OFFSET(CRONOPLE!$F$14,$M661,AS$13))))</f>
        <v>1000000000000</v>
      </c>
      <c r="AT661" s="181">
        <f ca="1">IF($D661&lt;&gt;"Serviço",0,IF(AND(AUTOEVENTO="Manual",$M661=1),0,IF(OFFSET(CRONOPLE!$F$14,$M661,AT$13)="",10^12,OFFSET(CRONOPLE!$F$14,$M661,AT$13))))</f>
        <v>1000000000000</v>
      </c>
      <c r="AU661" s="181">
        <f ca="1">IF($D661&lt;&gt;"Serviço",0,IF(AND(AUTOEVENTO="Manual",$M661=1),0,IF(OFFSET(CRONOPLE!$F$14,$M661,AU$13)="",10^12,OFFSET(CRONOPLE!$F$14,$M661,AU$13))))</f>
        <v>1000000000000</v>
      </c>
      <c r="AV661" s="181">
        <f ca="1">IF($D661&lt;&gt;"Serviço",0,IF(AND(AUTOEVENTO="Manual",$M661=1),0,IF(OFFSET(CRONOPLE!$F$14,$M661,AV$13)="",10^12,OFFSET(CRONOPLE!$F$14,$M661,AV$13))))</f>
        <v>1000000000000</v>
      </c>
      <c r="AX661" s="182">
        <f ca="1">IF($D661&lt;&gt;"Serviço",0,IF(OR(AND(AUTOEVENTO="Manual",$M661=1),$M661&gt;(ROW(PLE.lastrow)-ROW(PLE.firstrow))),0,IF(OFFSET(PLE!$G$14,$M661,AX$13)="",10^12,OFFSET(PLE!$G$14,$M661,AX$13))))</f>
        <v>1000000000000</v>
      </c>
      <c r="AY661" s="182">
        <f ca="1">IF($D661&lt;&gt;"Serviço",0,IF(OR(AND(AUTOEVENTO="Manual",$M661=1),$M661&gt;(ROW(PLE.lastrow)-ROW(PLE.firstrow))),0,IF(OFFSET(PLE!$G$14,$M661,AY$13)="",10^12,OFFSET(PLE!$G$14,$M661,AY$13))))</f>
        <v>1000000000000</v>
      </c>
      <c r="AZ661" s="182">
        <f ca="1">IF($D661&lt;&gt;"Serviço",0,IF(OR(AND(AUTOEVENTO="Manual",$M661=1),$M661&gt;(ROW(PLE.lastrow)-ROW(PLE.firstrow))),0,IF(OFFSET(PLE!$G$14,$M661,AZ$13)="",10^12,OFFSET(PLE!$G$14,$M661,AZ$13))))</f>
        <v>1000000000000</v>
      </c>
      <c r="BA661" s="182">
        <f ca="1">IF($D661&lt;&gt;"Serviço",0,IF(OR(AND(AUTOEVENTO="Manual",$M661=1),$M661&gt;(ROW(PLE.lastrow)-ROW(PLE.firstrow))),0,IF(OFFSET(PLE!$G$14,$M661,BA$13)="",10^12,OFFSET(PLE!$G$14,$M661,BA$13))))</f>
        <v>1000000000000</v>
      </c>
      <c r="BB661" s="182">
        <f ca="1">IF($D661&lt;&gt;"Serviço",0,IF(OR(AND(AUTOEVENTO="Manual",$M661=1),$M661&gt;(ROW(PLE.lastrow)-ROW(PLE.firstrow))),0,IF(OFFSET(PLE!$G$14,$M661,BB$13)="",10^12,OFFSET(PLE!$G$14,$M661,BB$13))))</f>
        <v>1000000000000</v>
      </c>
      <c r="BC661" s="182">
        <f ca="1">IF($D661&lt;&gt;"Serviço",0,IF(OR(AND(AUTOEVENTO="Manual",$M661=1),$M661&gt;(ROW(PLE.lastrow)-ROW(PLE.firstrow))),0,IF(OFFSET(PLE!$G$14,$M661,BC$13)="",10^12,OFFSET(PLE!$G$14,$M661,BC$13))))</f>
        <v>1000000000000</v>
      </c>
      <c r="BD661" s="182">
        <f ca="1">IF($D661&lt;&gt;"Serviço",0,IF(OR(AND(AUTOEVENTO="Manual",$M661=1),$M661&gt;(ROW(PLE.lastrow)-ROW(PLE.firstrow))),0,IF(OFFSET(PLE!$G$14,$M661,BD$13)="",10^12,OFFSET(PLE!$G$14,$M661,BD$13))))</f>
        <v>1000000000000</v>
      </c>
      <c r="BE661" s="182">
        <f ca="1">IF($D661&lt;&gt;"Serviço",0,IF(OR(AND(AUTOEVENTO="Manual",$M661=1),$M661&gt;(ROW(PLE.lastrow)-ROW(PLE.firstrow))),0,IF(OFFSET(PLE!$G$14,$M661,BE$13)="",10^12,OFFSET(PLE!$G$14,$M661,BE$13))))</f>
        <v>1000000000000</v>
      </c>
      <c r="BF661" s="182">
        <f ca="1">IF($D661&lt;&gt;"Serviço",0,IF(OR(AND(AUTOEVENTO="Manual",$M661=1),$M661&gt;(ROW(PLE.lastrow)-ROW(PLE.firstrow))),0,IF(OFFSET(PLE!$G$14,$M661,BF$13)="",10^12,OFFSET(PLE!$G$14,$M661,BF$13))))</f>
        <v>1000000000000</v>
      </c>
      <c r="BG661" s="182">
        <f ca="1">IF($D661&lt;&gt;"Serviço",0,IF(OR(AND(AUTOEVENTO="Manual",$M661=1),$M661&gt;(ROW(PLE.lastrow)-ROW(PLE.firstrow))),0,IF(OFFSET(PLE!$G$14,$M661,BG$13)="",10^12,OFFSET(PLE!$G$14,$M661,BG$13))))</f>
        <v>1000000000000</v>
      </c>
    </row>
    <row r="662" spans="1:59" ht="38.25" x14ac:dyDescent="0.2">
      <c r="A662" s="7" t="str">
        <f t="shared" ca="1" si="17"/>
        <v>638</v>
      </c>
      <c r="B662" s="7" t="str">
        <f ca="1">OFFSET(ORÇAMENTO!C$15,ROW(B662)-ROW(B$15),0)</f>
        <v>S</v>
      </c>
      <c r="C662" s="7" t="str">
        <f ca="1">OFFSET(ORÇAMENTO!L$15,ROW(C662)-ROW(C$15),0)</f>
        <v/>
      </c>
      <c r="D662" s="118" t="str">
        <f ca="1">OFFSET(ORÇAMENTO!N$15,ROW(D662)-ROW(D$15),0)</f>
        <v>Serviço</v>
      </c>
      <c r="E662" s="119" t="str">
        <f ca="1">OFFSET(ORÇAMENTO!O$15,ROW(E662)-ROW(E$15),0)</f>
        <v>-</v>
      </c>
      <c r="F662" s="172" t="str">
        <f ca="1">OFFSET(ORÇAMENTO!R$15,ROW(F662)-ROW(F$15),0)</f>
        <v>(abra o arquivo 'Referência 02-2025.xlsm)</v>
      </c>
      <c r="G662" s="173" t="str">
        <f ca="1">IF($D662&lt;&gt;"Serviço","",OFFSET(ORÇAMENTO!S$15,ROW(G662)-ROW(G$15),0))</f>
        <v>-</v>
      </c>
      <c r="H662" s="124">
        <f ca="1">IF($D662&lt;&gt;"Serviço",0,IF(ACOMPANHAMENTO="BM",ROUND(OFFSET(ORÇAMENTO!AJ$15,ROW(H662)-ROW(H$15),0),15-13*ORÇAMENTO!$AF$7),SUMPRODUCT(($Q$12:$AA$12&lt;&gt;"")*ROUND($Q662:$AA662,15-13*ORÇAMENTO!$AF$7))))</f>
        <v>24</v>
      </c>
      <c r="I662" s="561"/>
      <c r="K662" s="174"/>
      <c r="L662" s="175" t="s">
        <v>255</v>
      </c>
      <c r="M662" s="176">
        <f ca="1">IF($D662&lt;&gt;"Serviço","",IF(AUTOEVENTO="manual",$A662,IF(ISERROR(MATCH($A662,$A$15:OFFSET($A662,-1,0),0)),MAX($M$15:OFFSET(M662,-1,0))+1,INDEX($M$15:OFFSET(M662,-1,0),MATCH($A662,$A$15:OFFSET($A662,-1,0),0)))))</f>
        <v>21</v>
      </c>
      <c r="N662" s="177" t="str">
        <f ca="1">IF($D662&lt;&gt;"Serviço","",IF(AUTOEVENTO="Manual",IF($A662=0,"&lt;-- defina o número do agrupador",OFFSET(EVENTOS!$D$14,$A662,0)),OFFSET($F$15,$A662,0)))</f>
        <v>INSTALAÇÕES DE CLIMATIZAÇÃO</v>
      </c>
      <c r="O662" s="178"/>
      <c r="Q662" s="178"/>
      <c r="R662" s="179"/>
      <c r="S662" s="179"/>
      <c r="T662" s="179"/>
      <c r="U662" s="179"/>
      <c r="V662" s="179"/>
      <c r="W662" s="179"/>
      <c r="X662" s="179"/>
      <c r="Y662" s="179"/>
      <c r="Z662" s="180"/>
      <c r="AB662" s="544">
        <f ca="1">IF(AND($D662="Serviço",AB$12&lt;&gt;0,$H662&gt;0,OR(AUTOEVENTO&lt;&gt;"manual",$M662&lt;&gt;1)),
IF(Import.TipoArredondamento&lt;&gt;"TransfereGOV",
ROUND(OFFSET($P662,0,AB$13),15-13*ORÇAMENTO!$AF$7)/$H662*OFFSET(ORÇAMENTO!$X$15,ROW(AB662)-ROW(AB$15),0),
ROUND(ROUND(OFFSET($P662,0,AB$13),15-13*ORÇAMENTO!$AF$7)*OFFSET(ORÇAMENTO!$W$15,ROW(AB662)-ROW(AB$15),0),15-13*ORÇAMENTO!$AF$11)),0)</f>
        <v>0</v>
      </c>
      <c r="AC662" s="545">
        <f ca="1">IF(AND($D662="Serviço",AC$12&lt;&gt;0,$H662&gt;0,OR(AUTOEVENTO&lt;&gt;"manual",$M662&lt;&gt;1)),
IF(Import.TipoArredondamento&lt;&gt;"TransfereGOV",
ROUND(OFFSET($P662,0,AC$13),15-13*ORÇAMENTO!$AF$7)/$H662*OFFSET(ORÇAMENTO!$X$15,ROW(AC662)-ROW(AC$15),0),
ROUND(ROUND(OFFSET($P662,0,AC$13),15-13*ORÇAMENTO!$AF$7)*OFFSET(ORÇAMENTO!$W$15,ROW(AC662)-ROW(AC$15),0),15-13*ORÇAMENTO!$AF$11)),0)</f>
        <v>0</v>
      </c>
      <c r="AD662" s="545">
        <f ca="1">IF(AND($D662="Serviço",AD$12&lt;&gt;0,$H662&gt;0,OR(AUTOEVENTO&lt;&gt;"manual",$M662&lt;&gt;1)),
IF(Import.TipoArredondamento&lt;&gt;"TransfereGOV",
ROUND(OFFSET($P662,0,AD$13),15-13*ORÇAMENTO!$AF$7)/$H662*OFFSET(ORÇAMENTO!$X$15,ROW(AD662)-ROW(AD$15),0),
ROUND(ROUND(OFFSET($P662,0,AD$13),15-13*ORÇAMENTO!$AF$7)*OFFSET(ORÇAMENTO!$W$15,ROW(AD662)-ROW(AD$15),0),15-13*ORÇAMENTO!$AF$11)),0)</f>
        <v>0</v>
      </c>
      <c r="AE662" s="545">
        <f ca="1">IF(AND($D662="Serviço",AE$12&lt;&gt;0,$H662&gt;0,OR(AUTOEVENTO&lt;&gt;"manual",$M662&lt;&gt;1)),
IF(Import.TipoArredondamento&lt;&gt;"TransfereGOV",
ROUND(OFFSET($P662,0,AE$13),15-13*ORÇAMENTO!$AF$7)/$H662*OFFSET(ORÇAMENTO!$X$15,ROW(AE662)-ROW(AE$15),0),
ROUND(ROUND(OFFSET($P662,0,AE$13),15-13*ORÇAMENTO!$AF$7)*OFFSET(ORÇAMENTO!$W$15,ROW(AE662)-ROW(AE$15),0),15-13*ORÇAMENTO!$AF$11)),0)</f>
        <v>0</v>
      </c>
      <c r="AF662" s="545">
        <f ca="1">IF(AND($D662="Serviço",AF$12&lt;&gt;0,$H662&gt;0,OR(AUTOEVENTO&lt;&gt;"manual",$M662&lt;&gt;1)),
IF(Import.TipoArredondamento&lt;&gt;"TransfereGOV",
ROUND(OFFSET($P662,0,AF$13),15-13*ORÇAMENTO!$AF$7)/$H662*OFFSET(ORÇAMENTO!$X$15,ROW(AF662)-ROW(AF$15),0),
ROUND(ROUND(OFFSET($P662,0,AF$13),15-13*ORÇAMENTO!$AF$7)*OFFSET(ORÇAMENTO!$W$15,ROW(AF662)-ROW(AF$15),0),15-13*ORÇAMENTO!$AF$11)),0)</f>
        <v>0</v>
      </c>
      <c r="AG662" s="545">
        <f ca="1">IF(AND($D662="Serviço",AG$12&lt;&gt;0,$H662&gt;0,OR(AUTOEVENTO&lt;&gt;"manual",$M662&lt;&gt;1)),
IF(Import.TipoArredondamento&lt;&gt;"TransfereGOV",
ROUND(OFFSET($P662,0,AG$13),15-13*ORÇAMENTO!$AF$7)/$H662*OFFSET(ORÇAMENTO!$X$15,ROW(AG662)-ROW(AG$15),0),
ROUND(ROUND(OFFSET($P662,0,AG$13),15-13*ORÇAMENTO!$AF$7)*OFFSET(ORÇAMENTO!$W$15,ROW(AG662)-ROW(AG$15),0),15-13*ORÇAMENTO!$AF$11)),0)</f>
        <v>0</v>
      </c>
      <c r="AH662" s="545">
        <f ca="1">IF(AND($D662="Serviço",AH$12&lt;&gt;0,$H662&gt;0,OR(AUTOEVENTO&lt;&gt;"manual",$M662&lt;&gt;1)),
IF(Import.TipoArredondamento&lt;&gt;"TransfereGOV",
ROUND(OFFSET($P662,0,AH$13),15-13*ORÇAMENTO!$AF$7)/$H662*OFFSET(ORÇAMENTO!$X$15,ROW(AH662)-ROW(AH$15),0),
ROUND(ROUND(OFFSET($P662,0,AH$13),15-13*ORÇAMENTO!$AF$7)*OFFSET(ORÇAMENTO!$W$15,ROW(AH662)-ROW(AH$15),0),15-13*ORÇAMENTO!$AF$11)),0)</f>
        <v>0</v>
      </c>
      <c r="AI662" s="545">
        <f ca="1">IF(AND($D662="Serviço",AI$12&lt;&gt;0,$H662&gt;0,OR(AUTOEVENTO&lt;&gt;"manual",$M662&lt;&gt;1)),
IF(Import.TipoArredondamento&lt;&gt;"TransfereGOV",
ROUND(OFFSET($P662,0,AI$13),15-13*ORÇAMENTO!$AF$7)/$H662*OFFSET(ORÇAMENTO!$X$15,ROW(AI662)-ROW(AI$15),0),
ROUND(ROUND(OFFSET($P662,0,AI$13),15-13*ORÇAMENTO!$AF$7)*OFFSET(ORÇAMENTO!$W$15,ROW(AI662)-ROW(AI$15),0),15-13*ORÇAMENTO!$AF$11)),0)</f>
        <v>0</v>
      </c>
      <c r="AJ662" s="545">
        <f ca="1">IF(AND($D662="Serviço",AJ$12&lt;&gt;0,$H662&gt;0,OR(AUTOEVENTO&lt;&gt;"manual",$M662&lt;&gt;1)),
IF(Import.TipoArredondamento&lt;&gt;"TransfereGOV",
ROUND(OFFSET($P662,0,AJ$13),15-13*ORÇAMENTO!$AF$7)/$H662*OFFSET(ORÇAMENTO!$X$15,ROW(AJ662)-ROW(AJ$15),0),
ROUND(ROUND(OFFSET($P662,0,AJ$13),15-13*ORÇAMENTO!$AF$7)*OFFSET(ORÇAMENTO!$W$15,ROW(AJ662)-ROW(AJ$15),0),15-13*ORÇAMENTO!$AF$11)),0)</f>
        <v>0</v>
      </c>
      <c r="AK662" s="546">
        <f ca="1">IF(AND($D662="Serviço",AK$12&lt;&gt;0,$H662&gt;0,OR(AUTOEVENTO&lt;&gt;"manual",$M662&lt;&gt;1)),
IF(Import.TipoArredondamento&lt;&gt;"TransfereGOV",
ROUND(OFFSET($P662,0,AK$13),15-13*ORÇAMENTO!$AF$7)/$H662*OFFSET(ORÇAMENTO!$X$15,ROW(AK662)-ROW(AK$15),0),
ROUND(ROUND(OFFSET($P662,0,AK$13),15-13*ORÇAMENTO!$AF$7)*OFFSET(ORÇAMENTO!$W$15,ROW(AK662)-ROW(AK$15),0),15-13*ORÇAMENTO!$AF$11)),0)</f>
        <v>0</v>
      </c>
      <c r="AM662" s="181">
        <f ca="1">IF($D662&lt;&gt;"Serviço",0,IF(AND(AUTOEVENTO="Manual",$M662=1),0,IF(OFFSET(CRONOPLE!$F$14,$M662,AM$13)="",10^12,OFFSET(CRONOPLE!$F$14,$M662,AM$13))))</f>
        <v>1000000000000</v>
      </c>
      <c r="AN662" s="181">
        <f ca="1">IF($D662&lt;&gt;"Serviço",0,IF(AND(AUTOEVENTO="Manual",$M662=1),0,IF(OFFSET(CRONOPLE!$F$14,$M662,AN$13)="",10^12,OFFSET(CRONOPLE!$F$14,$M662,AN$13))))</f>
        <v>1000000000000</v>
      </c>
      <c r="AO662" s="181">
        <f ca="1">IF($D662&lt;&gt;"Serviço",0,IF(AND(AUTOEVENTO="Manual",$M662=1),0,IF(OFFSET(CRONOPLE!$F$14,$M662,AO$13)="",10^12,OFFSET(CRONOPLE!$F$14,$M662,AO$13))))</f>
        <v>1000000000000</v>
      </c>
      <c r="AP662" s="181">
        <f ca="1">IF($D662&lt;&gt;"Serviço",0,IF(AND(AUTOEVENTO="Manual",$M662=1),0,IF(OFFSET(CRONOPLE!$F$14,$M662,AP$13)="",10^12,OFFSET(CRONOPLE!$F$14,$M662,AP$13))))</f>
        <v>1000000000000</v>
      </c>
      <c r="AQ662" s="181">
        <f ca="1">IF($D662&lt;&gt;"Serviço",0,IF(AND(AUTOEVENTO="Manual",$M662=1),0,IF(OFFSET(CRONOPLE!$F$14,$M662,AQ$13)="",10^12,OFFSET(CRONOPLE!$F$14,$M662,AQ$13))))</f>
        <v>1000000000000</v>
      </c>
      <c r="AR662" s="181">
        <f ca="1">IF($D662&lt;&gt;"Serviço",0,IF(AND(AUTOEVENTO="Manual",$M662=1),0,IF(OFFSET(CRONOPLE!$F$14,$M662,AR$13)="",10^12,OFFSET(CRONOPLE!$F$14,$M662,AR$13))))</f>
        <v>1000000000000</v>
      </c>
      <c r="AS662" s="181">
        <f ca="1">IF($D662&lt;&gt;"Serviço",0,IF(AND(AUTOEVENTO="Manual",$M662=1),0,IF(OFFSET(CRONOPLE!$F$14,$M662,AS$13)="",10^12,OFFSET(CRONOPLE!$F$14,$M662,AS$13))))</f>
        <v>1000000000000</v>
      </c>
      <c r="AT662" s="181">
        <f ca="1">IF($D662&lt;&gt;"Serviço",0,IF(AND(AUTOEVENTO="Manual",$M662=1),0,IF(OFFSET(CRONOPLE!$F$14,$M662,AT$13)="",10^12,OFFSET(CRONOPLE!$F$14,$M662,AT$13))))</f>
        <v>1000000000000</v>
      </c>
      <c r="AU662" s="181">
        <f ca="1">IF($D662&lt;&gt;"Serviço",0,IF(AND(AUTOEVENTO="Manual",$M662=1),0,IF(OFFSET(CRONOPLE!$F$14,$M662,AU$13)="",10^12,OFFSET(CRONOPLE!$F$14,$M662,AU$13))))</f>
        <v>1000000000000</v>
      </c>
      <c r="AV662" s="181">
        <f ca="1">IF($D662&lt;&gt;"Serviço",0,IF(AND(AUTOEVENTO="Manual",$M662=1),0,IF(OFFSET(CRONOPLE!$F$14,$M662,AV$13)="",10^12,OFFSET(CRONOPLE!$F$14,$M662,AV$13))))</f>
        <v>1000000000000</v>
      </c>
      <c r="AX662" s="182">
        <f ca="1">IF($D662&lt;&gt;"Serviço",0,IF(OR(AND(AUTOEVENTO="Manual",$M662=1),$M662&gt;(ROW(PLE.lastrow)-ROW(PLE.firstrow))),0,IF(OFFSET(PLE!$G$14,$M662,AX$13)="",10^12,OFFSET(PLE!$G$14,$M662,AX$13))))</f>
        <v>1000000000000</v>
      </c>
      <c r="AY662" s="182">
        <f ca="1">IF($D662&lt;&gt;"Serviço",0,IF(OR(AND(AUTOEVENTO="Manual",$M662=1),$M662&gt;(ROW(PLE.lastrow)-ROW(PLE.firstrow))),0,IF(OFFSET(PLE!$G$14,$M662,AY$13)="",10^12,OFFSET(PLE!$G$14,$M662,AY$13))))</f>
        <v>1000000000000</v>
      </c>
      <c r="AZ662" s="182">
        <f ca="1">IF($D662&lt;&gt;"Serviço",0,IF(OR(AND(AUTOEVENTO="Manual",$M662=1),$M662&gt;(ROW(PLE.lastrow)-ROW(PLE.firstrow))),0,IF(OFFSET(PLE!$G$14,$M662,AZ$13)="",10^12,OFFSET(PLE!$G$14,$M662,AZ$13))))</f>
        <v>1000000000000</v>
      </c>
      <c r="BA662" s="182">
        <f ca="1">IF($D662&lt;&gt;"Serviço",0,IF(OR(AND(AUTOEVENTO="Manual",$M662=1),$M662&gt;(ROW(PLE.lastrow)-ROW(PLE.firstrow))),0,IF(OFFSET(PLE!$G$14,$M662,BA$13)="",10^12,OFFSET(PLE!$G$14,$M662,BA$13))))</f>
        <v>1000000000000</v>
      </c>
      <c r="BB662" s="182">
        <f ca="1">IF($D662&lt;&gt;"Serviço",0,IF(OR(AND(AUTOEVENTO="Manual",$M662=1),$M662&gt;(ROW(PLE.lastrow)-ROW(PLE.firstrow))),0,IF(OFFSET(PLE!$G$14,$M662,BB$13)="",10^12,OFFSET(PLE!$G$14,$M662,BB$13))))</f>
        <v>1000000000000</v>
      </c>
      <c r="BC662" s="182">
        <f ca="1">IF($D662&lt;&gt;"Serviço",0,IF(OR(AND(AUTOEVENTO="Manual",$M662=1),$M662&gt;(ROW(PLE.lastrow)-ROW(PLE.firstrow))),0,IF(OFFSET(PLE!$G$14,$M662,BC$13)="",10^12,OFFSET(PLE!$G$14,$M662,BC$13))))</f>
        <v>1000000000000</v>
      </c>
      <c r="BD662" s="182">
        <f ca="1">IF($D662&lt;&gt;"Serviço",0,IF(OR(AND(AUTOEVENTO="Manual",$M662=1),$M662&gt;(ROW(PLE.lastrow)-ROW(PLE.firstrow))),0,IF(OFFSET(PLE!$G$14,$M662,BD$13)="",10^12,OFFSET(PLE!$G$14,$M662,BD$13))))</f>
        <v>1000000000000</v>
      </c>
      <c r="BE662" s="182">
        <f ca="1">IF($D662&lt;&gt;"Serviço",0,IF(OR(AND(AUTOEVENTO="Manual",$M662=1),$M662&gt;(ROW(PLE.lastrow)-ROW(PLE.firstrow))),0,IF(OFFSET(PLE!$G$14,$M662,BE$13)="",10^12,OFFSET(PLE!$G$14,$M662,BE$13))))</f>
        <v>1000000000000</v>
      </c>
      <c r="BF662" s="182">
        <f ca="1">IF($D662&lt;&gt;"Serviço",0,IF(OR(AND(AUTOEVENTO="Manual",$M662=1),$M662&gt;(ROW(PLE.lastrow)-ROW(PLE.firstrow))),0,IF(OFFSET(PLE!$G$14,$M662,BF$13)="",10^12,OFFSET(PLE!$G$14,$M662,BF$13))))</f>
        <v>1000000000000</v>
      </c>
      <c r="BG662" s="182">
        <f ca="1">IF($D662&lt;&gt;"Serviço",0,IF(OR(AND(AUTOEVENTO="Manual",$M662=1),$M662&gt;(ROW(PLE.lastrow)-ROW(PLE.firstrow))),0,IF(OFFSET(PLE!$G$14,$M662,BG$13)="",10^12,OFFSET(PLE!$G$14,$M662,BG$13))))</f>
        <v>1000000000000</v>
      </c>
    </row>
    <row r="663" spans="1:59" ht="38.25" x14ac:dyDescent="0.2">
      <c r="A663" s="7" t="str">
        <f t="shared" ca="1" si="17"/>
        <v>638</v>
      </c>
      <c r="B663" s="7" t="str">
        <f ca="1">OFFSET(ORÇAMENTO!C$15,ROW(B663)-ROW(B$15),0)</f>
        <v>S</v>
      </c>
      <c r="C663" s="7" t="str">
        <f ca="1">OFFSET(ORÇAMENTO!L$15,ROW(C663)-ROW(C$15),0)</f>
        <v/>
      </c>
      <c r="D663" s="118" t="str">
        <f ca="1">OFFSET(ORÇAMENTO!N$15,ROW(D663)-ROW(D$15),0)</f>
        <v>Serviço</v>
      </c>
      <c r="E663" s="119" t="str">
        <f ca="1">OFFSET(ORÇAMENTO!O$15,ROW(E663)-ROW(E$15),0)</f>
        <v>-</v>
      </c>
      <c r="F663" s="172" t="str">
        <f ca="1">OFFSET(ORÇAMENTO!R$15,ROW(F663)-ROW(F$15),0)</f>
        <v>(abra o arquivo 'Referência 02-2025.xlsm)</v>
      </c>
      <c r="G663" s="173" t="str">
        <f ca="1">IF($D663&lt;&gt;"Serviço","",OFFSET(ORÇAMENTO!S$15,ROW(G663)-ROW(G$15),0))</f>
        <v>-</v>
      </c>
      <c r="H663" s="124">
        <f ca="1">IF($D663&lt;&gt;"Serviço",0,IF(ACOMPANHAMENTO="BM",ROUND(OFFSET(ORÇAMENTO!AJ$15,ROW(H663)-ROW(H$15),0),15-13*ORÇAMENTO!$AF$7),SUMPRODUCT(($Q$12:$AA$12&lt;&gt;"")*ROUND($Q663:$AA663,15-13*ORÇAMENTO!$AF$7))))</f>
        <v>19</v>
      </c>
      <c r="I663" s="561"/>
      <c r="K663" s="174"/>
      <c r="L663" s="175" t="s">
        <v>255</v>
      </c>
      <c r="M663" s="176">
        <f ca="1">IF($D663&lt;&gt;"Serviço","",IF(AUTOEVENTO="manual",$A663,IF(ISERROR(MATCH($A663,$A$15:OFFSET($A663,-1,0),0)),MAX($M$15:OFFSET(M663,-1,0))+1,INDEX($M$15:OFFSET(M663,-1,0),MATCH($A663,$A$15:OFFSET($A663,-1,0),0)))))</f>
        <v>21</v>
      </c>
      <c r="N663" s="177" t="str">
        <f ca="1">IF($D663&lt;&gt;"Serviço","",IF(AUTOEVENTO="Manual",IF($A663=0,"&lt;-- defina o número do agrupador",OFFSET(EVENTOS!$D$14,$A663,0)),OFFSET($F$15,$A663,0)))</f>
        <v>INSTALAÇÕES DE CLIMATIZAÇÃO</v>
      </c>
      <c r="O663" s="178"/>
      <c r="Q663" s="178"/>
      <c r="R663" s="179"/>
      <c r="S663" s="179"/>
      <c r="T663" s="179"/>
      <c r="U663" s="179"/>
      <c r="V663" s="179"/>
      <c r="W663" s="179"/>
      <c r="X663" s="179"/>
      <c r="Y663" s="179"/>
      <c r="Z663" s="180"/>
      <c r="AB663" s="544">
        <f ca="1">IF(AND($D663="Serviço",AB$12&lt;&gt;0,$H663&gt;0,OR(AUTOEVENTO&lt;&gt;"manual",$M663&lt;&gt;1)),
IF(Import.TipoArredondamento&lt;&gt;"TransfereGOV",
ROUND(OFFSET($P663,0,AB$13),15-13*ORÇAMENTO!$AF$7)/$H663*OFFSET(ORÇAMENTO!$X$15,ROW(AB663)-ROW(AB$15),0),
ROUND(ROUND(OFFSET($P663,0,AB$13),15-13*ORÇAMENTO!$AF$7)*OFFSET(ORÇAMENTO!$W$15,ROW(AB663)-ROW(AB$15),0),15-13*ORÇAMENTO!$AF$11)),0)</f>
        <v>0</v>
      </c>
      <c r="AC663" s="545">
        <f ca="1">IF(AND($D663="Serviço",AC$12&lt;&gt;0,$H663&gt;0,OR(AUTOEVENTO&lt;&gt;"manual",$M663&lt;&gt;1)),
IF(Import.TipoArredondamento&lt;&gt;"TransfereGOV",
ROUND(OFFSET($P663,0,AC$13),15-13*ORÇAMENTO!$AF$7)/$H663*OFFSET(ORÇAMENTO!$X$15,ROW(AC663)-ROW(AC$15),0),
ROUND(ROUND(OFFSET($P663,0,AC$13),15-13*ORÇAMENTO!$AF$7)*OFFSET(ORÇAMENTO!$W$15,ROW(AC663)-ROW(AC$15),0),15-13*ORÇAMENTO!$AF$11)),0)</f>
        <v>0</v>
      </c>
      <c r="AD663" s="545">
        <f ca="1">IF(AND($D663="Serviço",AD$12&lt;&gt;0,$H663&gt;0,OR(AUTOEVENTO&lt;&gt;"manual",$M663&lt;&gt;1)),
IF(Import.TipoArredondamento&lt;&gt;"TransfereGOV",
ROUND(OFFSET($P663,0,AD$13),15-13*ORÇAMENTO!$AF$7)/$H663*OFFSET(ORÇAMENTO!$X$15,ROW(AD663)-ROW(AD$15),0),
ROUND(ROUND(OFFSET($P663,0,AD$13),15-13*ORÇAMENTO!$AF$7)*OFFSET(ORÇAMENTO!$W$15,ROW(AD663)-ROW(AD$15),0),15-13*ORÇAMENTO!$AF$11)),0)</f>
        <v>0</v>
      </c>
      <c r="AE663" s="545">
        <f ca="1">IF(AND($D663="Serviço",AE$12&lt;&gt;0,$H663&gt;0,OR(AUTOEVENTO&lt;&gt;"manual",$M663&lt;&gt;1)),
IF(Import.TipoArredondamento&lt;&gt;"TransfereGOV",
ROUND(OFFSET($P663,0,AE$13),15-13*ORÇAMENTO!$AF$7)/$H663*OFFSET(ORÇAMENTO!$X$15,ROW(AE663)-ROW(AE$15),0),
ROUND(ROUND(OFFSET($P663,0,AE$13),15-13*ORÇAMENTO!$AF$7)*OFFSET(ORÇAMENTO!$W$15,ROW(AE663)-ROW(AE$15),0),15-13*ORÇAMENTO!$AF$11)),0)</f>
        <v>0</v>
      </c>
      <c r="AF663" s="545">
        <f ca="1">IF(AND($D663="Serviço",AF$12&lt;&gt;0,$H663&gt;0,OR(AUTOEVENTO&lt;&gt;"manual",$M663&lt;&gt;1)),
IF(Import.TipoArredondamento&lt;&gt;"TransfereGOV",
ROUND(OFFSET($P663,0,AF$13),15-13*ORÇAMENTO!$AF$7)/$H663*OFFSET(ORÇAMENTO!$X$15,ROW(AF663)-ROW(AF$15),0),
ROUND(ROUND(OFFSET($P663,0,AF$13),15-13*ORÇAMENTO!$AF$7)*OFFSET(ORÇAMENTO!$W$15,ROW(AF663)-ROW(AF$15),0),15-13*ORÇAMENTO!$AF$11)),0)</f>
        <v>0</v>
      </c>
      <c r="AG663" s="545">
        <f ca="1">IF(AND($D663="Serviço",AG$12&lt;&gt;0,$H663&gt;0,OR(AUTOEVENTO&lt;&gt;"manual",$M663&lt;&gt;1)),
IF(Import.TipoArredondamento&lt;&gt;"TransfereGOV",
ROUND(OFFSET($P663,0,AG$13),15-13*ORÇAMENTO!$AF$7)/$H663*OFFSET(ORÇAMENTO!$X$15,ROW(AG663)-ROW(AG$15),0),
ROUND(ROUND(OFFSET($P663,0,AG$13),15-13*ORÇAMENTO!$AF$7)*OFFSET(ORÇAMENTO!$W$15,ROW(AG663)-ROW(AG$15),0),15-13*ORÇAMENTO!$AF$11)),0)</f>
        <v>0</v>
      </c>
      <c r="AH663" s="545">
        <f ca="1">IF(AND($D663="Serviço",AH$12&lt;&gt;0,$H663&gt;0,OR(AUTOEVENTO&lt;&gt;"manual",$M663&lt;&gt;1)),
IF(Import.TipoArredondamento&lt;&gt;"TransfereGOV",
ROUND(OFFSET($P663,0,AH$13),15-13*ORÇAMENTO!$AF$7)/$H663*OFFSET(ORÇAMENTO!$X$15,ROW(AH663)-ROW(AH$15),0),
ROUND(ROUND(OFFSET($P663,0,AH$13),15-13*ORÇAMENTO!$AF$7)*OFFSET(ORÇAMENTO!$W$15,ROW(AH663)-ROW(AH$15),0),15-13*ORÇAMENTO!$AF$11)),0)</f>
        <v>0</v>
      </c>
      <c r="AI663" s="545">
        <f ca="1">IF(AND($D663="Serviço",AI$12&lt;&gt;0,$H663&gt;0,OR(AUTOEVENTO&lt;&gt;"manual",$M663&lt;&gt;1)),
IF(Import.TipoArredondamento&lt;&gt;"TransfereGOV",
ROUND(OFFSET($P663,0,AI$13),15-13*ORÇAMENTO!$AF$7)/$H663*OFFSET(ORÇAMENTO!$X$15,ROW(AI663)-ROW(AI$15),0),
ROUND(ROUND(OFFSET($P663,0,AI$13),15-13*ORÇAMENTO!$AF$7)*OFFSET(ORÇAMENTO!$W$15,ROW(AI663)-ROW(AI$15),0),15-13*ORÇAMENTO!$AF$11)),0)</f>
        <v>0</v>
      </c>
      <c r="AJ663" s="545">
        <f ca="1">IF(AND($D663="Serviço",AJ$12&lt;&gt;0,$H663&gt;0,OR(AUTOEVENTO&lt;&gt;"manual",$M663&lt;&gt;1)),
IF(Import.TipoArredondamento&lt;&gt;"TransfereGOV",
ROUND(OFFSET($P663,0,AJ$13),15-13*ORÇAMENTO!$AF$7)/$H663*OFFSET(ORÇAMENTO!$X$15,ROW(AJ663)-ROW(AJ$15),0),
ROUND(ROUND(OFFSET($P663,0,AJ$13),15-13*ORÇAMENTO!$AF$7)*OFFSET(ORÇAMENTO!$W$15,ROW(AJ663)-ROW(AJ$15),0),15-13*ORÇAMENTO!$AF$11)),0)</f>
        <v>0</v>
      </c>
      <c r="AK663" s="546">
        <f ca="1">IF(AND($D663="Serviço",AK$12&lt;&gt;0,$H663&gt;0,OR(AUTOEVENTO&lt;&gt;"manual",$M663&lt;&gt;1)),
IF(Import.TipoArredondamento&lt;&gt;"TransfereGOV",
ROUND(OFFSET($P663,0,AK$13),15-13*ORÇAMENTO!$AF$7)/$H663*OFFSET(ORÇAMENTO!$X$15,ROW(AK663)-ROW(AK$15),0),
ROUND(ROUND(OFFSET($P663,0,AK$13),15-13*ORÇAMENTO!$AF$7)*OFFSET(ORÇAMENTO!$W$15,ROW(AK663)-ROW(AK$15),0),15-13*ORÇAMENTO!$AF$11)),0)</f>
        <v>0</v>
      </c>
      <c r="AM663" s="181">
        <f ca="1">IF($D663&lt;&gt;"Serviço",0,IF(AND(AUTOEVENTO="Manual",$M663=1),0,IF(OFFSET(CRONOPLE!$F$14,$M663,AM$13)="",10^12,OFFSET(CRONOPLE!$F$14,$M663,AM$13))))</f>
        <v>1000000000000</v>
      </c>
      <c r="AN663" s="181">
        <f ca="1">IF($D663&lt;&gt;"Serviço",0,IF(AND(AUTOEVENTO="Manual",$M663=1),0,IF(OFFSET(CRONOPLE!$F$14,$M663,AN$13)="",10^12,OFFSET(CRONOPLE!$F$14,$M663,AN$13))))</f>
        <v>1000000000000</v>
      </c>
      <c r="AO663" s="181">
        <f ca="1">IF($D663&lt;&gt;"Serviço",0,IF(AND(AUTOEVENTO="Manual",$M663=1),0,IF(OFFSET(CRONOPLE!$F$14,$M663,AO$13)="",10^12,OFFSET(CRONOPLE!$F$14,$M663,AO$13))))</f>
        <v>1000000000000</v>
      </c>
      <c r="AP663" s="181">
        <f ca="1">IF($D663&lt;&gt;"Serviço",0,IF(AND(AUTOEVENTO="Manual",$M663=1),0,IF(OFFSET(CRONOPLE!$F$14,$M663,AP$13)="",10^12,OFFSET(CRONOPLE!$F$14,$M663,AP$13))))</f>
        <v>1000000000000</v>
      </c>
      <c r="AQ663" s="181">
        <f ca="1">IF($D663&lt;&gt;"Serviço",0,IF(AND(AUTOEVENTO="Manual",$M663=1),0,IF(OFFSET(CRONOPLE!$F$14,$M663,AQ$13)="",10^12,OFFSET(CRONOPLE!$F$14,$M663,AQ$13))))</f>
        <v>1000000000000</v>
      </c>
      <c r="AR663" s="181">
        <f ca="1">IF($D663&lt;&gt;"Serviço",0,IF(AND(AUTOEVENTO="Manual",$M663=1),0,IF(OFFSET(CRONOPLE!$F$14,$M663,AR$13)="",10^12,OFFSET(CRONOPLE!$F$14,$M663,AR$13))))</f>
        <v>1000000000000</v>
      </c>
      <c r="AS663" s="181">
        <f ca="1">IF($D663&lt;&gt;"Serviço",0,IF(AND(AUTOEVENTO="Manual",$M663=1),0,IF(OFFSET(CRONOPLE!$F$14,$M663,AS$13)="",10^12,OFFSET(CRONOPLE!$F$14,$M663,AS$13))))</f>
        <v>1000000000000</v>
      </c>
      <c r="AT663" s="181">
        <f ca="1">IF($D663&lt;&gt;"Serviço",0,IF(AND(AUTOEVENTO="Manual",$M663=1),0,IF(OFFSET(CRONOPLE!$F$14,$M663,AT$13)="",10^12,OFFSET(CRONOPLE!$F$14,$M663,AT$13))))</f>
        <v>1000000000000</v>
      </c>
      <c r="AU663" s="181">
        <f ca="1">IF($D663&lt;&gt;"Serviço",0,IF(AND(AUTOEVENTO="Manual",$M663=1),0,IF(OFFSET(CRONOPLE!$F$14,$M663,AU$13)="",10^12,OFFSET(CRONOPLE!$F$14,$M663,AU$13))))</f>
        <v>1000000000000</v>
      </c>
      <c r="AV663" s="181">
        <f ca="1">IF($D663&lt;&gt;"Serviço",0,IF(AND(AUTOEVENTO="Manual",$M663=1),0,IF(OFFSET(CRONOPLE!$F$14,$M663,AV$13)="",10^12,OFFSET(CRONOPLE!$F$14,$M663,AV$13))))</f>
        <v>1000000000000</v>
      </c>
      <c r="AX663" s="182">
        <f ca="1">IF($D663&lt;&gt;"Serviço",0,IF(OR(AND(AUTOEVENTO="Manual",$M663=1),$M663&gt;(ROW(PLE.lastrow)-ROW(PLE.firstrow))),0,IF(OFFSET(PLE!$G$14,$M663,AX$13)="",10^12,OFFSET(PLE!$G$14,$M663,AX$13))))</f>
        <v>1000000000000</v>
      </c>
      <c r="AY663" s="182">
        <f ca="1">IF($D663&lt;&gt;"Serviço",0,IF(OR(AND(AUTOEVENTO="Manual",$M663=1),$M663&gt;(ROW(PLE.lastrow)-ROW(PLE.firstrow))),0,IF(OFFSET(PLE!$G$14,$M663,AY$13)="",10^12,OFFSET(PLE!$G$14,$M663,AY$13))))</f>
        <v>1000000000000</v>
      </c>
      <c r="AZ663" s="182">
        <f ca="1">IF($D663&lt;&gt;"Serviço",0,IF(OR(AND(AUTOEVENTO="Manual",$M663=1),$M663&gt;(ROW(PLE.lastrow)-ROW(PLE.firstrow))),0,IF(OFFSET(PLE!$G$14,$M663,AZ$13)="",10^12,OFFSET(PLE!$G$14,$M663,AZ$13))))</f>
        <v>1000000000000</v>
      </c>
      <c r="BA663" s="182">
        <f ca="1">IF($D663&lt;&gt;"Serviço",0,IF(OR(AND(AUTOEVENTO="Manual",$M663=1),$M663&gt;(ROW(PLE.lastrow)-ROW(PLE.firstrow))),0,IF(OFFSET(PLE!$G$14,$M663,BA$13)="",10^12,OFFSET(PLE!$G$14,$M663,BA$13))))</f>
        <v>1000000000000</v>
      </c>
      <c r="BB663" s="182">
        <f ca="1">IF($D663&lt;&gt;"Serviço",0,IF(OR(AND(AUTOEVENTO="Manual",$M663=1),$M663&gt;(ROW(PLE.lastrow)-ROW(PLE.firstrow))),0,IF(OFFSET(PLE!$G$14,$M663,BB$13)="",10^12,OFFSET(PLE!$G$14,$M663,BB$13))))</f>
        <v>1000000000000</v>
      </c>
      <c r="BC663" s="182">
        <f ca="1">IF($D663&lt;&gt;"Serviço",0,IF(OR(AND(AUTOEVENTO="Manual",$M663=1),$M663&gt;(ROW(PLE.lastrow)-ROW(PLE.firstrow))),0,IF(OFFSET(PLE!$G$14,$M663,BC$13)="",10^12,OFFSET(PLE!$G$14,$M663,BC$13))))</f>
        <v>1000000000000</v>
      </c>
      <c r="BD663" s="182">
        <f ca="1">IF($D663&lt;&gt;"Serviço",0,IF(OR(AND(AUTOEVENTO="Manual",$M663=1),$M663&gt;(ROW(PLE.lastrow)-ROW(PLE.firstrow))),0,IF(OFFSET(PLE!$G$14,$M663,BD$13)="",10^12,OFFSET(PLE!$G$14,$M663,BD$13))))</f>
        <v>1000000000000</v>
      </c>
      <c r="BE663" s="182">
        <f ca="1">IF($D663&lt;&gt;"Serviço",0,IF(OR(AND(AUTOEVENTO="Manual",$M663=1),$M663&gt;(ROW(PLE.lastrow)-ROW(PLE.firstrow))),0,IF(OFFSET(PLE!$G$14,$M663,BE$13)="",10^12,OFFSET(PLE!$G$14,$M663,BE$13))))</f>
        <v>1000000000000</v>
      </c>
      <c r="BF663" s="182">
        <f ca="1">IF($D663&lt;&gt;"Serviço",0,IF(OR(AND(AUTOEVENTO="Manual",$M663=1),$M663&gt;(ROW(PLE.lastrow)-ROW(PLE.firstrow))),0,IF(OFFSET(PLE!$G$14,$M663,BF$13)="",10^12,OFFSET(PLE!$G$14,$M663,BF$13))))</f>
        <v>1000000000000</v>
      </c>
      <c r="BG663" s="182">
        <f ca="1">IF($D663&lt;&gt;"Serviço",0,IF(OR(AND(AUTOEVENTO="Manual",$M663=1),$M663&gt;(ROW(PLE.lastrow)-ROW(PLE.firstrow))),0,IF(OFFSET(PLE!$G$14,$M663,BG$13)="",10^12,OFFSET(PLE!$G$14,$M663,BG$13))))</f>
        <v>1000000000000</v>
      </c>
    </row>
    <row r="664" spans="1:59" ht="38.25" x14ac:dyDescent="0.2">
      <c r="A664" s="7" t="str">
        <f t="shared" ca="1" si="17"/>
        <v>638</v>
      </c>
      <c r="B664" s="7" t="str">
        <f ca="1">OFFSET(ORÇAMENTO!C$15,ROW(B664)-ROW(B$15),0)</f>
        <v>S</v>
      </c>
      <c r="C664" s="7" t="str">
        <f ca="1">OFFSET(ORÇAMENTO!L$15,ROW(C664)-ROW(C$15),0)</f>
        <v/>
      </c>
      <c r="D664" s="118" t="str">
        <f ca="1">OFFSET(ORÇAMENTO!N$15,ROW(D664)-ROW(D$15),0)</f>
        <v>Serviço</v>
      </c>
      <c r="E664" s="119" t="str">
        <f ca="1">OFFSET(ORÇAMENTO!O$15,ROW(E664)-ROW(E$15),0)</f>
        <v>-</v>
      </c>
      <c r="F664" s="172" t="str">
        <f ca="1">OFFSET(ORÇAMENTO!R$15,ROW(F664)-ROW(F$15),0)</f>
        <v>(abra o arquivo 'Referência 02-2025.xlsm)</v>
      </c>
      <c r="G664" s="173" t="str">
        <f ca="1">IF($D664&lt;&gt;"Serviço","",OFFSET(ORÇAMENTO!S$15,ROW(G664)-ROW(G$15),0))</f>
        <v>-</v>
      </c>
      <c r="H664" s="124">
        <f ca="1">IF($D664&lt;&gt;"Serviço",0,IF(ACOMPANHAMENTO="BM",ROUND(OFFSET(ORÇAMENTO!AJ$15,ROW(H664)-ROW(H$15),0),15-13*ORÇAMENTO!$AF$7),SUMPRODUCT(($Q$12:$AA$12&lt;&gt;"")*ROUND($Q664:$AA664,15-13*ORÇAMENTO!$AF$7))))</f>
        <v>1</v>
      </c>
      <c r="I664" s="561"/>
      <c r="K664" s="174"/>
      <c r="L664" s="175" t="s">
        <v>255</v>
      </c>
      <c r="M664" s="176">
        <f ca="1">IF($D664&lt;&gt;"Serviço","",IF(AUTOEVENTO="manual",$A664,IF(ISERROR(MATCH($A664,$A$15:OFFSET($A664,-1,0),0)),MAX($M$15:OFFSET(M664,-1,0))+1,INDEX($M$15:OFFSET(M664,-1,0),MATCH($A664,$A$15:OFFSET($A664,-1,0),0)))))</f>
        <v>21</v>
      </c>
      <c r="N664" s="177" t="str">
        <f ca="1">IF($D664&lt;&gt;"Serviço","",IF(AUTOEVENTO="Manual",IF($A664=0,"&lt;-- defina o número do agrupador",OFFSET(EVENTOS!$D$14,$A664,0)),OFFSET($F$15,$A664,0)))</f>
        <v>INSTALAÇÕES DE CLIMATIZAÇÃO</v>
      </c>
      <c r="O664" s="178"/>
      <c r="Q664" s="178"/>
      <c r="R664" s="179"/>
      <c r="S664" s="179"/>
      <c r="T664" s="179"/>
      <c r="U664" s="179"/>
      <c r="V664" s="179"/>
      <c r="W664" s="179"/>
      <c r="X664" s="179"/>
      <c r="Y664" s="179"/>
      <c r="Z664" s="180"/>
      <c r="AB664" s="544">
        <f ca="1">IF(AND($D664="Serviço",AB$12&lt;&gt;0,$H664&gt;0,OR(AUTOEVENTO&lt;&gt;"manual",$M664&lt;&gt;1)),
IF(Import.TipoArredondamento&lt;&gt;"TransfereGOV",
ROUND(OFFSET($P664,0,AB$13),15-13*ORÇAMENTO!$AF$7)/$H664*OFFSET(ORÇAMENTO!$X$15,ROW(AB664)-ROW(AB$15),0),
ROUND(ROUND(OFFSET($P664,0,AB$13),15-13*ORÇAMENTO!$AF$7)*OFFSET(ORÇAMENTO!$W$15,ROW(AB664)-ROW(AB$15),0),15-13*ORÇAMENTO!$AF$11)),0)</f>
        <v>0</v>
      </c>
      <c r="AC664" s="545">
        <f ca="1">IF(AND($D664="Serviço",AC$12&lt;&gt;0,$H664&gt;0,OR(AUTOEVENTO&lt;&gt;"manual",$M664&lt;&gt;1)),
IF(Import.TipoArredondamento&lt;&gt;"TransfereGOV",
ROUND(OFFSET($P664,0,AC$13),15-13*ORÇAMENTO!$AF$7)/$H664*OFFSET(ORÇAMENTO!$X$15,ROW(AC664)-ROW(AC$15),0),
ROUND(ROUND(OFFSET($P664,0,AC$13),15-13*ORÇAMENTO!$AF$7)*OFFSET(ORÇAMENTO!$W$15,ROW(AC664)-ROW(AC$15),0),15-13*ORÇAMENTO!$AF$11)),0)</f>
        <v>0</v>
      </c>
      <c r="AD664" s="545">
        <f ca="1">IF(AND($D664="Serviço",AD$12&lt;&gt;0,$H664&gt;0,OR(AUTOEVENTO&lt;&gt;"manual",$M664&lt;&gt;1)),
IF(Import.TipoArredondamento&lt;&gt;"TransfereGOV",
ROUND(OFFSET($P664,0,AD$13),15-13*ORÇAMENTO!$AF$7)/$H664*OFFSET(ORÇAMENTO!$X$15,ROW(AD664)-ROW(AD$15),0),
ROUND(ROUND(OFFSET($P664,0,AD$13),15-13*ORÇAMENTO!$AF$7)*OFFSET(ORÇAMENTO!$W$15,ROW(AD664)-ROW(AD$15),0),15-13*ORÇAMENTO!$AF$11)),0)</f>
        <v>0</v>
      </c>
      <c r="AE664" s="545">
        <f ca="1">IF(AND($D664="Serviço",AE$12&lt;&gt;0,$H664&gt;0,OR(AUTOEVENTO&lt;&gt;"manual",$M664&lt;&gt;1)),
IF(Import.TipoArredondamento&lt;&gt;"TransfereGOV",
ROUND(OFFSET($P664,0,AE$13),15-13*ORÇAMENTO!$AF$7)/$H664*OFFSET(ORÇAMENTO!$X$15,ROW(AE664)-ROW(AE$15),0),
ROUND(ROUND(OFFSET($P664,0,AE$13),15-13*ORÇAMENTO!$AF$7)*OFFSET(ORÇAMENTO!$W$15,ROW(AE664)-ROW(AE$15),0),15-13*ORÇAMENTO!$AF$11)),0)</f>
        <v>0</v>
      </c>
      <c r="AF664" s="545">
        <f ca="1">IF(AND($D664="Serviço",AF$12&lt;&gt;0,$H664&gt;0,OR(AUTOEVENTO&lt;&gt;"manual",$M664&lt;&gt;1)),
IF(Import.TipoArredondamento&lt;&gt;"TransfereGOV",
ROUND(OFFSET($P664,0,AF$13),15-13*ORÇAMENTO!$AF$7)/$H664*OFFSET(ORÇAMENTO!$X$15,ROW(AF664)-ROW(AF$15),0),
ROUND(ROUND(OFFSET($P664,0,AF$13),15-13*ORÇAMENTO!$AF$7)*OFFSET(ORÇAMENTO!$W$15,ROW(AF664)-ROW(AF$15),0),15-13*ORÇAMENTO!$AF$11)),0)</f>
        <v>0</v>
      </c>
      <c r="AG664" s="545">
        <f ca="1">IF(AND($D664="Serviço",AG$12&lt;&gt;0,$H664&gt;0,OR(AUTOEVENTO&lt;&gt;"manual",$M664&lt;&gt;1)),
IF(Import.TipoArredondamento&lt;&gt;"TransfereGOV",
ROUND(OFFSET($P664,0,AG$13),15-13*ORÇAMENTO!$AF$7)/$H664*OFFSET(ORÇAMENTO!$X$15,ROW(AG664)-ROW(AG$15),0),
ROUND(ROUND(OFFSET($P664,0,AG$13),15-13*ORÇAMENTO!$AF$7)*OFFSET(ORÇAMENTO!$W$15,ROW(AG664)-ROW(AG$15),0),15-13*ORÇAMENTO!$AF$11)),0)</f>
        <v>0</v>
      </c>
      <c r="AH664" s="545">
        <f ca="1">IF(AND($D664="Serviço",AH$12&lt;&gt;0,$H664&gt;0,OR(AUTOEVENTO&lt;&gt;"manual",$M664&lt;&gt;1)),
IF(Import.TipoArredondamento&lt;&gt;"TransfereGOV",
ROUND(OFFSET($P664,0,AH$13),15-13*ORÇAMENTO!$AF$7)/$H664*OFFSET(ORÇAMENTO!$X$15,ROW(AH664)-ROW(AH$15),0),
ROUND(ROUND(OFFSET($P664,0,AH$13),15-13*ORÇAMENTO!$AF$7)*OFFSET(ORÇAMENTO!$W$15,ROW(AH664)-ROW(AH$15),0),15-13*ORÇAMENTO!$AF$11)),0)</f>
        <v>0</v>
      </c>
      <c r="AI664" s="545">
        <f ca="1">IF(AND($D664="Serviço",AI$12&lt;&gt;0,$H664&gt;0,OR(AUTOEVENTO&lt;&gt;"manual",$M664&lt;&gt;1)),
IF(Import.TipoArredondamento&lt;&gt;"TransfereGOV",
ROUND(OFFSET($P664,0,AI$13),15-13*ORÇAMENTO!$AF$7)/$H664*OFFSET(ORÇAMENTO!$X$15,ROW(AI664)-ROW(AI$15),0),
ROUND(ROUND(OFFSET($P664,0,AI$13),15-13*ORÇAMENTO!$AF$7)*OFFSET(ORÇAMENTO!$W$15,ROW(AI664)-ROW(AI$15),0),15-13*ORÇAMENTO!$AF$11)),0)</f>
        <v>0</v>
      </c>
      <c r="AJ664" s="545">
        <f ca="1">IF(AND($D664="Serviço",AJ$12&lt;&gt;0,$H664&gt;0,OR(AUTOEVENTO&lt;&gt;"manual",$M664&lt;&gt;1)),
IF(Import.TipoArredondamento&lt;&gt;"TransfereGOV",
ROUND(OFFSET($P664,0,AJ$13),15-13*ORÇAMENTO!$AF$7)/$H664*OFFSET(ORÇAMENTO!$X$15,ROW(AJ664)-ROW(AJ$15),0),
ROUND(ROUND(OFFSET($P664,0,AJ$13),15-13*ORÇAMENTO!$AF$7)*OFFSET(ORÇAMENTO!$W$15,ROW(AJ664)-ROW(AJ$15),0),15-13*ORÇAMENTO!$AF$11)),0)</f>
        <v>0</v>
      </c>
      <c r="AK664" s="546">
        <f ca="1">IF(AND($D664="Serviço",AK$12&lt;&gt;0,$H664&gt;0,OR(AUTOEVENTO&lt;&gt;"manual",$M664&lt;&gt;1)),
IF(Import.TipoArredondamento&lt;&gt;"TransfereGOV",
ROUND(OFFSET($P664,0,AK$13),15-13*ORÇAMENTO!$AF$7)/$H664*OFFSET(ORÇAMENTO!$X$15,ROW(AK664)-ROW(AK$15),0),
ROUND(ROUND(OFFSET($P664,0,AK$13),15-13*ORÇAMENTO!$AF$7)*OFFSET(ORÇAMENTO!$W$15,ROW(AK664)-ROW(AK$15),0),15-13*ORÇAMENTO!$AF$11)),0)</f>
        <v>0</v>
      </c>
      <c r="AM664" s="181">
        <f ca="1">IF($D664&lt;&gt;"Serviço",0,IF(AND(AUTOEVENTO="Manual",$M664=1),0,IF(OFFSET(CRONOPLE!$F$14,$M664,AM$13)="",10^12,OFFSET(CRONOPLE!$F$14,$M664,AM$13))))</f>
        <v>1000000000000</v>
      </c>
      <c r="AN664" s="181">
        <f ca="1">IF($D664&lt;&gt;"Serviço",0,IF(AND(AUTOEVENTO="Manual",$M664=1),0,IF(OFFSET(CRONOPLE!$F$14,$M664,AN$13)="",10^12,OFFSET(CRONOPLE!$F$14,$M664,AN$13))))</f>
        <v>1000000000000</v>
      </c>
      <c r="AO664" s="181">
        <f ca="1">IF($D664&lt;&gt;"Serviço",0,IF(AND(AUTOEVENTO="Manual",$M664=1),0,IF(OFFSET(CRONOPLE!$F$14,$M664,AO$13)="",10^12,OFFSET(CRONOPLE!$F$14,$M664,AO$13))))</f>
        <v>1000000000000</v>
      </c>
      <c r="AP664" s="181">
        <f ca="1">IF($D664&lt;&gt;"Serviço",0,IF(AND(AUTOEVENTO="Manual",$M664=1),0,IF(OFFSET(CRONOPLE!$F$14,$M664,AP$13)="",10^12,OFFSET(CRONOPLE!$F$14,$M664,AP$13))))</f>
        <v>1000000000000</v>
      </c>
      <c r="AQ664" s="181">
        <f ca="1">IF($D664&lt;&gt;"Serviço",0,IF(AND(AUTOEVENTO="Manual",$M664=1),0,IF(OFFSET(CRONOPLE!$F$14,$M664,AQ$13)="",10^12,OFFSET(CRONOPLE!$F$14,$M664,AQ$13))))</f>
        <v>1000000000000</v>
      </c>
      <c r="AR664" s="181">
        <f ca="1">IF($D664&lt;&gt;"Serviço",0,IF(AND(AUTOEVENTO="Manual",$M664=1),0,IF(OFFSET(CRONOPLE!$F$14,$M664,AR$13)="",10^12,OFFSET(CRONOPLE!$F$14,$M664,AR$13))))</f>
        <v>1000000000000</v>
      </c>
      <c r="AS664" s="181">
        <f ca="1">IF($D664&lt;&gt;"Serviço",0,IF(AND(AUTOEVENTO="Manual",$M664=1),0,IF(OFFSET(CRONOPLE!$F$14,$M664,AS$13)="",10^12,OFFSET(CRONOPLE!$F$14,$M664,AS$13))))</f>
        <v>1000000000000</v>
      </c>
      <c r="AT664" s="181">
        <f ca="1">IF($D664&lt;&gt;"Serviço",0,IF(AND(AUTOEVENTO="Manual",$M664=1),0,IF(OFFSET(CRONOPLE!$F$14,$M664,AT$13)="",10^12,OFFSET(CRONOPLE!$F$14,$M664,AT$13))))</f>
        <v>1000000000000</v>
      </c>
      <c r="AU664" s="181">
        <f ca="1">IF($D664&lt;&gt;"Serviço",0,IF(AND(AUTOEVENTO="Manual",$M664=1),0,IF(OFFSET(CRONOPLE!$F$14,$M664,AU$13)="",10^12,OFFSET(CRONOPLE!$F$14,$M664,AU$13))))</f>
        <v>1000000000000</v>
      </c>
      <c r="AV664" s="181">
        <f ca="1">IF($D664&lt;&gt;"Serviço",0,IF(AND(AUTOEVENTO="Manual",$M664=1),0,IF(OFFSET(CRONOPLE!$F$14,$M664,AV$13)="",10^12,OFFSET(CRONOPLE!$F$14,$M664,AV$13))))</f>
        <v>1000000000000</v>
      </c>
      <c r="AX664" s="182">
        <f ca="1">IF($D664&lt;&gt;"Serviço",0,IF(OR(AND(AUTOEVENTO="Manual",$M664=1),$M664&gt;(ROW(PLE.lastrow)-ROW(PLE.firstrow))),0,IF(OFFSET(PLE!$G$14,$M664,AX$13)="",10^12,OFFSET(PLE!$G$14,$M664,AX$13))))</f>
        <v>1000000000000</v>
      </c>
      <c r="AY664" s="182">
        <f ca="1">IF($D664&lt;&gt;"Serviço",0,IF(OR(AND(AUTOEVENTO="Manual",$M664=1),$M664&gt;(ROW(PLE.lastrow)-ROW(PLE.firstrow))),0,IF(OFFSET(PLE!$G$14,$M664,AY$13)="",10^12,OFFSET(PLE!$G$14,$M664,AY$13))))</f>
        <v>1000000000000</v>
      </c>
      <c r="AZ664" s="182">
        <f ca="1">IF($D664&lt;&gt;"Serviço",0,IF(OR(AND(AUTOEVENTO="Manual",$M664=1),$M664&gt;(ROW(PLE.lastrow)-ROW(PLE.firstrow))),0,IF(OFFSET(PLE!$G$14,$M664,AZ$13)="",10^12,OFFSET(PLE!$G$14,$M664,AZ$13))))</f>
        <v>1000000000000</v>
      </c>
      <c r="BA664" s="182">
        <f ca="1">IF($D664&lt;&gt;"Serviço",0,IF(OR(AND(AUTOEVENTO="Manual",$M664=1),$M664&gt;(ROW(PLE.lastrow)-ROW(PLE.firstrow))),0,IF(OFFSET(PLE!$G$14,$M664,BA$13)="",10^12,OFFSET(PLE!$G$14,$M664,BA$13))))</f>
        <v>1000000000000</v>
      </c>
      <c r="BB664" s="182">
        <f ca="1">IF($D664&lt;&gt;"Serviço",0,IF(OR(AND(AUTOEVENTO="Manual",$M664=1),$M664&gt;(ROW(PLE.lastrow)-ROW(PLE.firstrow))),0,IF(OFFSET(PLE!$G$14,$M664,BB$13)="",10^12,OFFSET(PLE!$G$14,$M664,BB$13))))</f>
        <v>1000000000000</v>
      </c>
      <c r="BC664" s="182">
        <f ca="1">IF($D664&lt;&gt;"Serviço",0,IF(OR(AND(AUTOEVENTO="Manual",$M664=1),$M664&gt;(ROW(PLE.lastrow)-ROW(PLE.firstrow))),0,IF(OFFSET(PLE!$G$14,$M664,BC$13)="",10^12,OFFSET(PLE!$G$14,$M664,BC$13))))</f>
        <v>1000000000000</v>
      </c>
      <c r="BD664" s="182">
        <f ca="1">IF($D664&lt;&gt;"Serviço",0,IF(OR(AND(AUTOEVENTO="Manual",$M664=1),$M664&gt;(ROW(PLE.lastrow)-ROW(PLE.firstrow))),0,IF(OFFSET(PLE!$G$14,$M664,BD$13)="",10^12,OFFSET(PLE!$G$14,$M664,BD$13))))</f>
        <v>1000000000000</v>
      </c>
      <c r="BE664" s="182">
        <f ca="1">IF($D664&lt;&gt;"Serviço",0,IF(OR(AND(AUTOEVENTO="Manual",$M664=1),$M664&gt;(ROW(PLE.lastrow)-ROW(PLE.firstrow))),0,IF(OFFSET(PLE!$G$14,$M664,BE$13)="",10^12,OFFSET(PLE!$G$14,$M664,BE$13))))</f>
        <v>1000000000000</v>
      </c>
      <c r="BF664" s="182">
        <f ca="1">IF($D664&lt;&gt;"Serviço",0,IF(OR(AND(AUTOEVENTO="Manual",$M664=1),$M664&gt;(ROW(PLE.lastrow)-ROW(PLE.firstrow))),0,IF(OFFSET(PLE!$G$14,$M664,BF$13)="",10^12,OFFSET(PLE!$G$14,$M664,BF$13))))</f>
        <v>1000000000000</v>
      </c>
      <c r="BG664" s="182">
        <f ca="1">IF($D664&lt;&gt;"Serviço",0,IF(OR(AND(AUTOEVENTO="Manual",$M664=1),$M664&gt;(ROW(PLE.lastrow)-ROW(PLE.firstrow))),0,IF(OFFSET(PLE!$G$14,$M664,BG$13)="",10^12,OFFSET(PLE!$G$14,$M664,BG$13))))</f>
        <v>1000000000000</v>
      </c>
    </row>
    <row r="665" spans="1:59" ht="12.75" x14ac:dyDescent="0.2">
      <c r="A665" s="7" t="str">
        <f t="shared" ca="1" si="17"/>
        <v>650.</v>
      </c>
      <c r="B665" s="7">
        <f ca="1">OFFSET(ORÇAMENTO!C$15,ROW(B665)-ROW(B$15),0)</f>
        <v>2</v>
      </c>
      <c r="C665" s="7" t="str">
        <f ca="1">OFFSET(ORÇAMENTO!L$15,ROW(C665)-ROW(C$15),0)</f>
        <v>F</v>
      </c>
      <c r="D665" s="118" t="str">
        <f ca="1">OFFSET(ORÇAMENTO!N$15,ROW(D665)-ROW(D$15),0)</f>
        <v>Nível 2</v>
      </c>
      <c r="E665" s="119" t="str">
        <f ca="1">OFFSET(ORÇAMENTO!O$15,ROW(E665)-ROW(E$15),0)</f>
        <v>1.21.</v>
      </c>
      <c r="F665" s="172" t="str">
        <f ca="1">OFFSET(ORÇAMENTO!R$15,ROW(F665)-ROW(F$15),0)</f>
        <v>INSTALAÇÕES DE EXAUSTÃO MECÂNICA</v>
      </c>
      <c r="G665" s="173" t="str">
        <f ca="1">IF($D665&lt;&gt;"Serviço","",OFFSET(ORÇAMENTO!S$15,ROW(G665)-ROW(G$15),0))</f>
        <v/>
      </c>
      <c r="H665" s="124">
        <f ca="1">IF($D665&lt;&gt;"Serviço",0,IF(ACOMPANHAMENTO="BM",ROUND(OFFSET(ORÇAMENTO!AJ$15,ROW(H665)-ROW(H$15),0),15-13*ORÇAMENTO!$AF$7),SUMPRODUCT(($Q$12:$AA$12&lt;&gt;"")*ROUND($Q665:$AA665,15-13*ORÇAMENTO!$AF$7))))</f>
        <v>0</v>
      </c>
      <c r="I665" s="561"/>
      <c r="K665" s="174"/>
      <c r="L665" s="175" t="s">
        <v>255</v>
      </c>
      <c r="M665" s="176" t="str">
        <f ca="1">IF($D665&lt;&gt;"Serviço","",IF(AUTOEVENTO="manual",$A665,IF(ISERROR(MATCH($A665,$A$15:OFFSET($A665,-1,0),0)),MAX($M$15:OFFSET(M665,-1,0))+1,INDEX($M$15:OFFSET(M665,-1,0),MATCH($A665,$A$15:OFFSET($A665,-1,0),0)))))</f>
        <v/>
      </c>
      <c r="N665" s="177" t="str">
        <f ca="1">IF($D665&lt;&gt;"Serviço","",IF(AUTOEVENTO="Manual",IF($A665=0,"&lt;-- defina o número do agrupador",OFFSET(EVENTOS!$D$14,$A665,0)),OFFSET($F$15,$A665,0)))</f>
        <v/>
      </c>
      <c r="O665" s="178"/>
      <c r="Q665" s="178"/>
      <c r="R665" s="179"/>
      <c r="S665" s="179"/>
      <c r="T665" s="179"/>
      <c r="U665" s="179"/>
      <c r="V665" s="179"/>
      <c r="W665" s="179"/>
      <c r="X665" s="179"/>
      <c r="Y665" s="179"/>
      <c r="Z665" s="180"/>
      <c r="AB665" s="544">
        <f ca="1">IF(AND($D665="Serviço",AB$12&lt;&gt;0,$H665&gt;0,OR(AUTOEVENTO&lt;&gt;"manual",$M665&lt;&gt;1)),
IF(Import.TipoArredondamento&lt;&gt;"TransfereGOV",
ROUND(OFFSET($P665,0,AB$13),15-13*ORÇAMENTO!$AF$7)/$H665*OFFSET(ORÇAMENTO!$X$15,ROW(AB665)-ROW(AB$15),0),
ROUND(ROUND(OFFSET($P665,0,AB$13),15-13*ORÇAMENTO!$AF$7)*OFFSET(ORÇAMENTO!$W$15,ROW(AB665)-ROW(AB$15),0),15-13*ORÇAMENTO!$AF$11)),0)</f>
        <v>0</v>
      </c>
      <c r="AC665" s="545">
        <f ca="1">IF(AND($D665="Serviço",AC$12&lt;&gt;0,$H665&gt;0,OR(AUTOEVENTO&lt;&gt;"manual",$M665&lt;&gt;1)),
IF(Import.TipoArredondamento&lt;&gt;"TransfereGOV",
ROUND(OFFSET($P665,0,AC$13),15-13*ORÇAMENTO!$AF$7)/$H665*OFFSET(ORÇAMENTO!$X$15,ROW(AC665)-ROW(AC$15),0),
ROUND(ROUND(OFFSET($P665,0,AC$13),15-13*ORÇAMENTO!$AF$7)*OFFSET(ORÇAMENTO!$W$15,ROW(AC665)-ROW(AC$15),0),15-13*ORÇAMENTO!$AF$11)),0)</f>
        <v>0</v>
      </c>
      <c r="AD665" s="545">
        <f ca="1">IF(AND($D665="Serviço",AD$12&lt;&gt;0,$H665&gt;0,OR(AUTOEVENTO&lt;&gt;"manual",$M665&lt;&gt;1)),
IF(Import.TipoArredondamento&lt;&gt;"TransfereGOV",
ROUND(OFFSET($P665,0,AD$13),15-13*ORÇAMENTO!$AF$7)/$H665*OFFSET(ORÇAMENTO!$X$15,ROW(AD665)-ROW(AD$15),0),
ROUND(ROUND(OFFSET($P665,0,AD$13),15-13*ORÇAMENTO!$AF$7)*OFFSET(ORÇAMENTO!$W$15,ROW(AD665)-ROW(AD$15),0),15-13*ORÇAMENTO!$AF$11)),0)</f>
        <v>0</v>
      </c>
      <c r="AE665" s="545">
        <f ca="1">IF(AND($D665="Serviço",AE$12&lt;&gt;0,$H665&gt;0,OR(AUTOEVENTO&lt;&gt;"manual",$M665&lt;&gt;1)),
IF(Import.TipoArredondamento&lt;&gt;"TransfereGOV",
ROUND(OFFSET($P665,0,AE$13),15-13*ORÇAMENTO!$AF$7)/$H665*OFFSET(ORÇAMENTO!$X$15,ROW(AE665)-ROW(AE$15),0),
ROUND(ROUND(OFFSET($P665,0,AE$13),15-13*ORÇAMENTO!$AF$7)*OFFSET(ORÇAMENTO!$W$15,ROW(AE665)-ROW(AE$15),0),15-13*ORÇAMENTO!$AF$11)),0)</f>
        <v>0</v>
      </c>
      <c r="AF665" s="545">
        <f ca="1">IF(AND($D665="Serviço",AF$12&lt;&gt;0,$H665&gt;0,OR(AUTOEVENTO&lt;&gt;"manual",$M665&lt;&gt;1)),
IF(Import.TipoArredondamento&lt;&gt;"TransfereGOV",
ROUND(OFFSET($P665,0,AF$13),15-13*ORÇAMENTO!$AF$7)/$H665*OFFSET(ORÇAMENTO!$X$15,ROW(AF665)-ROW(AF$15),0),
ROUND(ROUND(OFFSET($P665,0,AF$13),15-13*ORÇAMENTO!$AF$7)*OFFSET(ORÇAMENTO!$W$15,ROW(AF665)-ROW(AF$15),0),15-13*ORÇAMENTO!$AF$11)),0)</f>
        <v>0</v>
      </c>
      <c r="AG665" s="545">
        <f ca="1">IF(AND($D665="Serviço",AG$12&lt;&gt;0,$H665&gt;0,OR(AUTOEVENTO&lt;&gt;"manual",$M665&lt;&gt;1)),
IF(Import.TipoArredondamento&lt;&gt;"TransfereGOV",
ROUND(OFFSET($P665,0,AG$13),15-13*ORÇAMENTO!$AF$7)/$H665*OFFSET(ORÇAMENTO!$X$15,ROW(AG665)-ROW(AG$15),0),
ROUND(ROUND(OFFSET($P665,0,AG$13),15-13*ORÇAMENTO!$AF$7)*OFFSET(ORÇAMENTO!$W$15,ROW(AG665)-ROW(AG$15),0),15-13*ORÇAMENTO!$AF$11)),0)</f>
        <v>0</v>
      </c>
      <c r="AH665" s="545">
        <f ca="1">IF(AND($D665="Serviço",AH$12&lt;&gt;0,$H665&gt;0,OR(AUTOEVENTO&lt;&gt;"manual",$M665&lt;&gt;1)),
IF(Import.TipoArredondamento&lt;&gt;"TransfereGOV",
ROUND(OFFSET($P665,0,AH$13),15-13*ORÇAMENTO!$AF$7)/$H665*OFFSET(ORÇAMENTO!$X$15,ROW(AH665)-ROW(AH$15),0),
ROUND(ROUND(OFFSET($P665,0,AH$13),15-13*ORÇAMENTO!$AF$7)*OFFSET(ORÇAMENTO!$W$15,ROW(AH665)-ROW(AH$15),0),15-13*ORÇAMENTO!$AF$11)),0)</f>
        <v>0</v>
      </c>
      <c r="AI665" s="545">
        <f ca="1">IF(AND($D665="Serviço",AI$12&lt;&gt;0,$H665&gt;0,OR(AUTOEVENTO&lt;&gt;"manual",$M665&lt;&gt;1)),
IF(Import.TipoArredondamento&lt;&gt;"TransfereGOV",
ROUND(OFFSET($P665,0,AI$13),15-13*ORÇAMENTO!$AF$7)/$H665*OFFSET(ORÇAMENTO!$X$15,ROW(AI665)-ROW(AI$15),0),
ROUND(ROUND(OFFSET($P665,0,AI$13),15-13*ORÇAMENTO!$AF$7)*OFFSET(ORÇAMENTO!$W$15,ROW(AI665)-ROW(AI$15),0),15-13*ORÇAMENTO!$AF$11)),0)</f>
        <v>0</v>
      </c>
      <c r="AJ665" s="545">
        <f ca="1">IF(AND($D665="Serviço",AJ$12&lt;&gt;0,$H665&gt;0,OR(AUTOEVENTO&lt;&gt;"manual",$M665&lt;&gt;1)),
IF(Import.TipoArredondamento&lt;&gt;"TransfereGOV",
ROUND(OFFSET($P665,0,AJ$13),15-13*ORÇAMENTO!$AF$7)/$H665*OFFSET(ORÇAMENTO!$X$15,ROW(AJ665)-ROW(AJ$15),0),
ROUND(ROUND(OFFSET($P665,0,AJ$13),15-13*ORÇAMENTO!$AF$7)*OFFSET(ORÇAMENTO!$W$15,ROW(AJ665)-ROW(AJ$15),0),15-13*ORÇAMENTO!$AF$11)),0)</f>
        <v>0</v>
      </c>
      <c r="AK665" s="546">
        <f ca="1">IF(AND($D665="Serviço",AK$12&lt;&gt;0,$H665&gt;0,OR(AUTOEVENTO&lt;&gt;"manual",$M665&lt;&gt;1)),
IF(Import.TipoArredondamento&lt;&gt;"TransfereGOV",
ROUND(OFFSET($P665,0,AK$13),15-13*ORÇAMENTO!$AF$7)/$H665*OFFSET(ORÇAMENTO!$X$15,ROW(AK665)-ROW(AK$15),0),
ROUND(ROUND(OFFSET($P665,0,AK$13),15-13*ORÇAMENTO!$AF$7)*OFFSET(ORÇAMENTO!$W$15,ROW(AK665)-ROW(AK$15),0),15-13*ORÇAMENTO!$AF$11)),0)</f>
        <v>0</v>
      </c>
      <c r="AM665" s="181">
        <f ca="1">IF($D665&lt;&gt;"Serviço",0,IF(AND(AUTOEVENTO="Manual",$M665=1),0,IF(OFFSET(CRONOPLE!$F$14,$M665,AM$13)="",10^12,OFFSET(CRONOPLE!$F$14,$M665,AM$13))))</f>
        <v>0</v>
      </c>
      <c r="AN665" s="181">
        <f ca="1">IF($D665&lt;&gt;"Serviço",0,IF(AND(AUTOEVENTO="Manual",$M665=1),0,IF(OFFSET(CRONOPLE!$F$14,$M665,AN$13)="",10^12,OFFSET(CRONOPLE!$F$14,$M665,AN$13))))</f>
        <v>0</v>
      </c>
      <c r="AO665" s="181">
        <f ca="1">IF($D665&lt;&gt;"Serviço",0,IF(AND(AUTOEVENTO="Manual",$M665=1),0,IF(OFFSET(CRONOPLE!$F$14,$M665,AO$13)="",10^12,OFFSET(CRONOPLE!$F$14,$M665,AO$13))))</f>
        <v>0</v>
      </c>
      <c r="AP665" s="181">
        <f ca="1">IF($D665&lt;&gt;"Serviço",0,IF(AND(AUTOEVENTO="Manual",$M665=1),0,IF(OFFSET(CRONOPLE!$F$14,$M665,AP$13)="",10^12,OFFSET(CRONOPLE!$F$14,$M665,AP$13))))</f>
        <v>0</v>
      </c>
      <c r="AQ665" s="181">
        <f ca="1">IF($D665&lt;&gt;"Serviço",0,IF(AND(AUTOEVENTO="Manual",$M665=1),0,IF(OFFSET(CRONOPLE!$F$14,$M665,AQ$13)="",10^12,OFFSET(CRONOPLE!$F$14,$M665,AQ$13))))</f>
        <v>0</v>
      </c>
      <c r="AR665" s="181">
        <f ca="1">IF($D665&lt;&gt;"Serviço",0,IF(AND(AUTOEVENTO="Manual",$M665=1),0,IF(OFFSET(CRONOPLE!$F$14,$M665,AR$13)="",10^12,OFFSET(CRONOPLE!$F$14,$M665,AR$13))))</f>
        <v>0</v>
      </c>
      <c r="AS665" s="181">
        <f ca="1">IF($D665&lt;&gt;"Serviço",0,IF(AND(AUTOEVENTO="Manual",$M665=1),0,IF(OFFSET(CRONOPLE!$F$14,$M665,AS$13)="",10^12,OFFSET(CRONOPLE!$F$14,$M665,AS$13))))</f>
        <v>0</v>
      </c>
      <c r="AT665" s="181">
        <f ca="1">IF($D665&lt;&gt;"Serviço",0,IF(AND(AUTOEVENTO="Manual",$M665=1),0,IF(OFFSET(CRONOPLE!$F$14,$M665,AT$13)="",10^12,OFFSET(CRONOPLE!$F$14,$M665,AT$13))))</f>
        <v>0</v>
      </c>
      <c r="AU665" s="181">
        <f ca="1">IF($D665&lt;&gt;"Serviço",0,IF(AND(AUTOEVENTO="Manual",$M665=1),0,IF(OFFSET(CRONOPLE!$F$14,$M665,AU$13)="",10^12,OFFSET(CRONOPLE!$F$14,$M665,AU$13))))</f>
        <v>0</v>
      </c>
      <c r="AV665" s="181">
        <f ca="1">IF($D665&lt;&gt;"Serviço",0,IF(AND(AUTOEVENTO="Manual",$M665=1),0,IF(OFFSET(CRONOPLE!$F$14,$M665,AV$13)="",10^12,OFFSET(CRONOPLE!$F$14,$M665,AV$13))))</f>
        <v>0</v>
      </c>
      <c r="AX665" s="182">
        <f ca="1">IF($D665&lt;&gt;"Serviço",0,IF(OR(AND(AUTOEVENTO="Manual",$M665=1),$M665&gt;(ROW(PLE.lastrow)-ROW(PLE.firstrow))),0,IF(OFFSET(PLE!$G$14,$M665,AX$13)="",10^12,OFFSET(PLE!$G$14,$M665,AX$13))))</f>
        <v>0</v>
      </c>
      <c r="AY665" s="182">
        <f ca="1">IF($D665&lt;&gt;"Serviço",0,IF(OR(AND(AUTOEVENTO="Manual",$M665=1),$M665&gt;(ROW(PLE.lastrow)-ROW(PLE.firstrow))),0,IF(OFFSET(PLE!$G$14,$M665,AY$13)="",10^12,OFFSET(PLE!$G$14,$M665,AY$13))))</f>
        <v>0</v>
      </c>
      <c r="AZ665" s="182">
        <f ca="1">IF($D665&lt;&gt;"Serviço",0,IF(OR(AND(AUTOEVENTO="Manual",$M665=1),$M665&gt;(ROW(PLE.lastrow)-ROW(PLE.firstrow))),0,IF(OFFSET(PLE!$G$14,$M665,AZ$13)="",10^12,OFFSET(PLE!$G$14,$M665,AZ$13))))</f>
        <v>0</v>
      </c>
      <c r="BA665" s="182">
        <f ca="1">IF($D665&lt;&gt;"Serviço",0,IF(OR(AND(AUTOEVENTO="Manual",$M665=1),$M665&gt;(ROW(PLE.lastrow)-ROW(PLE.firstrow))),0,IF(OFFSET(PLE!$G$14,$M665,BA$13)="",10^12,OFFSET(PLE!$G$14,$M665,BA$13))))</f>
        <v>0</v>
      </c>
      <c r="BB665" s="182">
        <f ca="1">IF($D665&lt;&gt;"Serviço",0,IF(OR(AND(AUTOEVENTO="Manual",$M665=1),$M665&gt;(ROW(PLE.lastrow)-ROW(PLE.firstrow))),0,IF(OFFSET(PLE!$G$14,$M665,BB$13)="",10^12,OFFSET(PLE!$G$14,$M665,BB$13))))</f>
        <v>0</v>
      </c>
      <c r="BC665" s="182">
        <f ca="1">IF($D665&lt;&gt;"Serviço",0,IF(OR(AND(AUTOEVENTO="Manual",$M665=1),$M665&gt;(ROW(PLE.lastrow)-ROW(PLE.firstrow))),0,IF(OFFSET(PLE!$G$14,$M665,BC$13)="",10^12,OFFSET(PLE!$G$14,$M665,BC$13))))</f>
        <v>0</v>
      </c>
      <c r="BD665" s="182">
        <f ca="1">IF($D665&lt;&gt;"Serviço",0,IF(OR(AND(AUTOEVENTO="Manual",$M665=1),$M665&gt;(ROW(PLE.lastrow)-ROW(PLE.firstrow))),0,IF(OFFSET(PLE!$G$14,$M665,BD$13)="",10^12,OFFSET(PLE!$G$14,$M665,BD$13))))</f>
        <v>0</v>
      </c>
      <c r="BE665" s="182">
        <f ca="1">IF($D665&lt;&gt;"Serviço",0,IF(OR(AND(AUTOEVENTO="Manual",$M665=1),$M665&gt;(ROW(PLE.lastrow)-ROW(PLE.firstrow))),0,IF(OFFSET(PLE!$G$14,$M665,BE$13)="",10^12,OFFSET(PLE!$G$14,$M665,BE$13))))</f>
        <v>0</v>
      </c>
      <c r="BF665" s="182">
        <f ca="1">IF($D665&lt;&gt;"Serviço",0,IF(OR(AND(AUTOEVENTO="Manual",$M665=1),$M665&gt;(ROW(PLE.lastrow)-ROW(PLE.firstrow))),0,IF(OFFSET(PLE!$G$14,$M665,BF$13)="",10^12,OFFSET(PLE!$G$14,$M665,BF$13))))</f>
        <v>0</v>
      </c>
      <c r="BG665" s="182">
        <f ca="1">IF($D665&lt;&gt;"Serviço",0,IF(OR(AND(AUTOEVENTO="Manual",$M665=1),$M665&gt;(ROW(PLE.lastrow)-ROW(PLE.firstrow))),0,IF(OFFSET(PLE!$G$14,$M665,BG$13)="",10^12,OFFSET(PLE!$G$14,$M665,BG$13))))</f>
        <v>0</v>
      </c>
    </row>
    <row r="666" spans="1:59" ht="25.5" x14ac:dyDescent="0.2">
      <c r="A666" s="7" t="str">
        <f t="shared" ca="1" si="17"/>
        <v>650</v>
      </c>
      <c r="B666" s="7" t="str">
        <f ca="1">OFFSET(ORÇAMENTO!C$15,ROW(B666)-ROW(B$15),0)</f>
        <v>S</v>
      </c>
      <c r="C666" s="7" t="str">
        <f ca="1">OFFSET(ORÇAMENTO!L$15,ROW(C666)-ROW(C$15),0)</f>
        <v/>
      </c>
      <c r="D666" s="118" t="str">
        <f ca="1">OFFSET(ORÇAMENTO!N$15,ROW(D666)-ROW(D$15),0)</f>
        <v>Serviço</v>
      </c>
      <c r="E666" s="119" t="str">
        <f ca="1">OFFSET(ORÇAMENTO!O$15,ROW(E666)-ROW(E$15),0)</f>
        <v>-</v>
      </c>
      <c r="F666" s="172" t="str">
        <f ca="1">OFFSET(ORÇAMENTO!R$15,ROW(F666)-ROW(F$15),0)</f>
        <v>(abra o arquivo 'Referência 02-2025.xlsm)</v>
      </c>
      <c r="G666" s="173" t="str">
        <f ca="1">IF($D666&lt;&gt;"Serviço","",OFFSET(ORÇAMENTO!S$15,ROW(G666)-ROW(G$15),0))</f>
        <v>-</v>
      </c>
      <c r="H666" s="124">
        <f ca="1">IF($D666&lt;&gt;"Serviço",0,IF(ACOMPANHAMENTO="BM",ROUND(OFFSET(ORÇAMENTO!AJ$15,ROW(H666)-ROW(H$15),0),15-13*ORÇAMENTO!$AF$7),SUMPRODUCT(($Q$12:$AA$12&lt;&gt;"")*ROUND($Q666:$AA666,15-13*ORÇAMENTO!$AF$7))))</f>
        <v>4</v>
      </c>
      <c r="I666" s="561"/>
      <c r="K666" s="174"/>
      <c r="L666" s="175" t="s">
        <v>255</v>
      </c>
      <c r="M666" s="176">
        <f ca="1">IF($D666&lt;&gt;"Serviço","",IF(AUTOEVENTO="manual",$A666,IF(ISERROR(MATCH($A666,$A$15:OFFSET($A666,-1,0),0)),MAX($M$15:OFFSET(M666,-1,0))+1,INDEX($M$15:OFFSET(M666,-1,0),MATCH($A666,$A$15:OFFSET($A666,-1,0),0)))))</f>
        <v>22</v>
      </c>
      <c r="N666" s="177" t="str">
        <f ca="1">IF($D666&lt;&gt;"Serviço","",IF(AUTOEVENTO="Manual",IF($A666=0,"&lt;-- defina o número do agrupador",OFFSET(EVENTOS!$D$14,$A666,0)),OFFSET($F$15,$A666,0)))</f>
        <v>INSTALAÇÕES DE EXAUSTÃO MECÂNICA</v>
      </c>
      <c r="O666" s="178"/>
      <c r="Q666" s="178"/>
      <c r="R666" s="179"/>
      <c r="S666" s="179"/>
      <c r="T666" s="179"/>
      <c r="U666" s="179"/>
      <c r="V666" s="179"/>
      <c r="W666" s="179"/>
      <c r="X666" s="179"/>
      <c r="Y666" s="179"/>
      <c r="Z666" s="180"/>
      <c r="AB666" s="544">
        <f ca="1">IF(AND($D666="Serviço",AB$12&lt;&gt;0,$H666&gt;0,OR(AUTOEVENTO&lt;&gt;"manual",$M666&lt;&gt;1)),
IF(Import.TipoArredondamento&lt;&gt;"TransfereGOV",
ROUND(OFFSET($P666,0,AB$13),15-13*ORÇAMENTO!$AF$7)/$H666*OFFSET(ORÇAMENTO!$X$15,ROW(AB666)-ROW(AB$15),0),
ROUND(ROUND(OFFSET($P666,0,AB$13),15-13*ORÇAMENTO!$AF$7)*OFFSET(ORÇAMENTO!$W$15,ROW(AB666)-ROW(AB$15),0),15-13*ORÇAMENTO!$AF$11)),0)</f>
        <v>0</v>
      </c>
      <c r="AC666" s="545">
        <f ca="1">IF(AND($D666="Serviço",AC$12&lt;&gt;0,$H666&gt;0,OR(AUTOEVENTO&lt;&gt;"manual",$M666&lt;&gt;1)),
IF(Import.TipoArredondamento&lt;&gt;"TransfereGOV",
ROUND(OFFSET($P666,0,AC$13),15-13*ORÇAMENTO!$AF$7)/$H666*OFFSET(ORÇAMENTO!$X$15,ROW(AC666)-ROW(AC$15),0),
ROUND(ROUND(OFFSET($P666,0,AC$13),15-13*ORÇAMENTO!$AF$7)*OFFSET(ORÇAMENTO!$W$15,ROW(AC666)-ROW(AC$15),0),15-13*ORÇAMENTO!$AF$11)),0)</f>
        <v>0</v>
      </c>
      <c r="AD666" s="545">
        <f ca="1">IF(AND($D666="Serviço",AD$12&lt;&gt;0,$H666&gt;0,OR(AUTOEVENTO&lt;&gt;"manual",$M666&lt;&gt;1)),
IF(Import.TipoArredondamento&lt;&gt;"TransfereGOV",
ROUND(OFFSET($P666,0,AD$13),15-13*ORÇAMENTO!$AF$7)/$H666*OFFSET(ORÇAMENTO!$X$15,ROW(AD666)-ROW(AD$15),0),
ROUND(ROUND(OFFSET($P666,0,AD$13),15-13*ORÇAMENTO!$AF$7)*OFFSET(ORÇAMENTO!$W$15,ROW(AD666)-ROW(AD$15),0),15-13*ORÇAMENTO!$AF$11)),0)</f>
        <v>0</v>
      </c>
      <c r="AE666" s="545">
        <f ca="1">IF(AND($D666="Serviço",AE$12&lt;&gt;0,$H666&gt;0,OR(AUTOEVENTO&lt;&gt;"manual",$M666&lt;&gt;1)),
IF(Import.TipoArredondamento&lt;&gt;"TransfereGOV",
ROUND(OFFSET($P666,0,AE$13),15-13*ORÇAMENTO!$AF$7)/$H666*OFFSET(ORÇAMENTO!$X$15,ROW(AE666)-ROW(AE$15),0),
ROUND(ROUND(OFFSET($P666,0,AE$13),15-13*ORÇAMENTO!$AF$7)*OFFSET(ORÇAMENTO!$W$15,ROW(AE666)-ROW(AE$15),0),15-13*ORÇAMENTO!$AF$11)),0)</f>
        <v>0</v>
      </c>
      <c r="AF666" s="545">
        <f ca="1">IF(AND($D666="Serviço",AF$12&lt;&gt;0,$H666&gt;0,OR(AUTOEVENTO&lt;&gt;"manual",$M666&lt;&gt;1)),
IF(Import.TipoArredondamento&lt;&gt;"TransfereGOV",
ROUND(OFFSET($P666,0,AF$13),15-13*ORÇAMENTO!$AF$7)/$H666*OFFSET(ORÇAMENTO!$X$15,ROW(AF666)-ROW(AF$15),0),
ROUND(ROUND(OFFSET($P666,0,AF$13),15-13*ORÇAMENTO!$AF$7)*OFFSET(ORÇAMENTO!$W$15,ROW(AF666)-ROW(AF$15),0),15-13*ORÇAMENTO!$AF$11)),0)</f>
        <v>0</v>
      </c>
      <c r="AG666" s="545">
        <f ca="1">IF(AND($D666="Serviço",AG$12&lt;&gt;0,$H666&gt;0,OR(AUTOEVENTO&lt;&gt;"manual",$M666&lt;&gt;1)),
IF(Import.TipoArredondamento&lt;&gt;"TransfereGOV",
ROUND(OFFSET($P666,0,AG$13),15-13*ORÇAMENTO!$AF$7)/$H666*OFFSET(ORÇAMENTO!$X$15,ROW(AG666)-ROW(AG$15),0),
ROUND(ROUND(OFFSET($P666,0,AG$13),15-13*ORÇAMENTO!$AF$7)*OFFSET(ORÇAMENTO!$W$15,ROW(AG666)-ROW(AG$15),0),15-13*ORÇAMENTO!$AF$11)),0)</f>
        <v>0</v>
      </c>
      <c r="AH666" s="545">
        <f ca="1">IF(AND($D666="Serviço",AH$12&lt;&gt;0,$H666&gt;0,OR(AUTOEVENTO&lt;&gt;"manual",$M666&lt;&gt;1)),
IF(Import.TipoArredondamento&lt;&gt;"TransfereGOV",
ROUND(OFFSET($P666,0,AH$13),15-13*ORÇAMENTO!$AF$7)/$H666*OFFSET(ORÇAMENTO!$X$15,ROW(AH666)-ROW(AH$15),0),
ROUND(ROUND(OFFSET($P666,0,AH$13),15-13*ORÇAMENTO!$AF$7)*OFFSET(ORÇAMENTO!$W$15,ROW(AH666)-ROW(AH$15),0),15-13*ORÇAMENTO!$AF$11)),0)</f>
        <v>0</v>
      </c>
      <c r="AI666" s="545">
        <f ca="1">IF(AND($D666="Serviço",AI$12&lt;&gt;0,$H666&gt;0,OR(AUTOEVENTO&lt;&gt;"manual",$M666&lt;&gt;1)),
IF(Import.TipoArredondamento&lt;&gt;"TransfereGOV",
ROUND(OFFSET($P666,0,AI$13),15-13*ORÇAMENTO!$AF$7)/$H666*OFFSET(ORÇAMENTO!$X$15,ROW(AI666)-ROW(AI$15),0),
ROUND(ROUND(OFFSET($P666,0,AI$13),15-13*ORÇAMENTO!$AF$7)*OFFSET(ORÇAMENTO!$W$15,ROW(AI666)-ROW(AI$15),0),15-13*ORÇAMENTO!$AF$11)),0)</f>
        <v>0</v>
      </c>
      <c r="AJ666" s="545">
        <f ca="1">IF(AND($D666="Serviço",AJ$12&lt;&gt;0,$H666&gt;0,OR(AUTOEVENTO&lt;&gt;"manual",$M666&lt;&gt;1)),
IF(Import.TipoArredondamento&lt;&gt;"TransfereGOV",
ROUND(OFFSET($P666,0,AJ$13),15-13*ORÇAMENTO!$AF$7)/$H666*OFFSET(ORÇAMENTO!$X$15,ROW(AJ666)-ROW(AJ$15),0),
ROUND(ROUND(OFFSET($P666,0,AJ$13),15-13*ORÇAMENTO!$AF$7)*OFFSET(ORÇAMENTO!$W$15,ROW(AJ666)-ROW(AJ$15),0),15-13*ORÇAMENTO!$AF$11)),0)</f>
        <v>0</v>
      </c>
      <c r="AK666" s="546">
        <f ca="1">IF(AND($D666="Serviço",AK$12&lt;&gt;0,$H666&gt;0,OR(AUTOEVENTO&lt;&gt;"manual",$M666&lt;&gt;1)),
IF(Import.TipoArredondamento&lt;&gt;"TransfereGOV",
ROUND(OFFSET($P666,0,AK$13),15-13*ORÇAMENTO!$AF$7)/$H666*OFFSET(ORÇAMENTO!$X$15,ROW(AK666)-ROW(AK$15),0),
ROUND(ROUND(OFFSET($P666,0,AK$13),15-13*ORÇAMENTO!$AF$7)*OFFSET(ORÇAMENTO!$W$15,ROW(AK666)-ROW(AK$15),0),15-13*ORÇAMENTO!$AF$11)),0)</f>
        <v>0</v>
      </c>
      <c r="AM666" s="181">
        <f ca="1">IF($D666&lt;&gt;"Serviço",0,IF(AND(AUTOEVENTO="Manual",$M666=1),0,IF(OFFSET(CRONOPLE!$F$14,$M666,AM$13)="",10^12,OFFSET(CRONOPLE!$F$14,$M666,AM$13))))</f>
        <v>1000000000000</v>
      </c>
      <c r="AN666" s="181">
        <f ca="1">IF($D666&lt;&gt;"Serviço",0,IF(AND(AUTOEVENTO="Manual",$M666=1),0,IF(OFFSET(CRONOPLE!$F$14,$M666,AN$13)="",10^12,OFFSET(CRONOPLE!$F$14,$M666,AN$13))))</f>
        <v>1000000000000</v>
      </c>
      <c r="AO666" s="181">
        <f ca="1">IF($D666&lt;&gt;"Serviço",0,IF(AND(AUTOEVENTO="Manual",$M666=1),0,IF(OFFSET(CRONOPLE!$F$14,$M666,AO$13)="",10^12,OFFSET(CRONOPLE!$F$14,$M666,AO$13))))</f>
        <v>1000000000000</v>
      </c>
      <c r="AP666" s="181">
        <f ca="1">IF($D666&lt;&gt;"Serviço",0,IF(AND(AUTOEVENTO="Manual",$M666=1),0,IF(OFFSET(CRONOPLE!$F$14,$M666,AP$13)="",10^12,OFFSET(CRONOPLE!$F$14,$M666,AP$13))))</f>
        <v>1000000000000</v>
      </c>
      <c r="AQ666" s="181">
        <f ca="1">IF($D666&lt;&gt;"Serviço",0,IF(AND(AUTOEVENTO="Manual",$M666=1),0,IF(OFFSET(CRONOPLE!$F$14,$M666,AQ$13)="",10^12,OFFSET(CRONOPLE!$F$14,$M666,AQ$13))))</f>
        <v>1000000000000</v>
      </c>
      <c r="AR666" s="181">
        <f ca="1">IF($D666&lt;&gt;"Serviço",0,IF(AND(AUTOEVENTO="Manual",$M666=1),0,IF(OFFSET(CRONOPLE!$F$14,$M666,AR$13)="",10^12,OFFSET(CRONOPLE!$F$14,$M666,AR$13))))</f>
        <v>1000000000000</v>
      </c>
      <c r="AS666" s="181">
        <f ca="1">IF($D666&lt;&gt;"Serviço",0,IF(AND(AUTOEVENTO="Manual",$M666=1),0,IF(OFFSET(CRONOPLE!$F$14,$M666,AS$13)="",10^12,OFFSET(CRONOPLE!$F$14,$M666,AS$13))))</f>
        <v>1000000000000</v>
      </c>
      <c r="AT666" s="181">
        <f ca="1">IF($D666&lt;&gt;"Serviço",0,IF(AND(AUTOEVENTO="Manual",$M666=1),0,IF(OFFSET(CRONOPLE!$F$14,$M666,AT$13)="",10^12,OFFSET(CRONOPLE!$F$14,$M666,AT$13))))</f>
        <v>1000000000000</v>
      </c>
      <c r="AU666" s="181">
        <f ca="1">IF($D666&lt;&gt;"Serviço",0,IF(AND(AUTOEVENTO="Manual",$M666=1),0,IF(OFFSET(CRONOPLE!$F$14,$M666,AU$13)="",10^12,OFFSET(CRONOPLE!$F$14,$M666,AU$13))))</f>
        <v>1000000000000</v>
      </c>
      <c r="AV666" s="181">
        <f ca="1">IF($D666&lt;&gt;"Serviço",0,IF(AND(AUTOEVENTO="Manual",$M666=1),0,IF(OFFSET(CRONOPLE!$F$14,$M666,AV$13)="",10^12,OFFSET(CRONOPLE!$F$14,$M666,AV$13))))</f>
        <v>1000000000000</v>
      </c>
      <c r="AX666" s="182">
        <f ca="1">IF($D666&lt;&gt;"Serviço",0,IF(OR(AND(AUTOEVENTO="Manual",$M666=1),$M666&gt;(ROW(PLE.lastrow)-ROW(PLE.firstrow))),0,IF(OFFSET(PLE!$G$14,$M666,AX$13)="",10^12,OFFSET(PLE!$G$14,$M666,AX$13))))</f>
        <v>1000000000000</v>
      </c>
      <c r="AY666" s="182">
        <f ca="1">IF($D666&lt;&gt;"Serviço",0,IF(OR(AND(AUTOEVENTO="Manual",$M666=1),$M666&gt;(ROW(PLE.lastrow)-ROW(PLE.firstrow))),0,IF(OFFSET(PLE!$G$14,$M666,AY$13)="",10^12,OFFSET(PLE!$G$14,$M666,AY$13))))</f>
        <v>1000000000000</v>
      </c>
      <c r="AZ666" s="182">
        <f ca="1">IF($D666&lt;&gt;"Serviço",0,IF(OR(AND(AUTOEVENTO="Manual",$M666=1),$M666&gt;(ROW(PLE.lastrow)-ROW(PLE.firstrow))),0,IF(OFFSET(PLE!$G$14,$M666,AZ$13)="",10^12,OFFSET(PLE!$G$14,$M666,AZ$13))))</f>
        <v>1000000000000</v>
      </c>
      <c r="BA666" s="182">
        <f ca="1">IF($D666&lt;&gt;"Serviço",0,IF(OR(AND(AUTOEVENTO="Manual",$M666=1),$M666&gt;(ROW(PLE.lastrow)-ROW(PLE.firstrow))),0,IF(OFFSET(PLE!$G$14,$M666,BA$13)="",10^12,OFFSET(PLE!$G$14,$M666,BA$13))))</f>
        <v>1000000000000</v>
      </c>
      <c r="BB666" s="182">
        <f ca="1">IF($D666&lt;&gt;"Serviço",0,IF(OR(AND(AUTOEVENTO="Manual",$M666=1),$M666&gt;(ROW(PLE.lastrow)-ROW(PLE.firstrow))),0,IF(OFFSET(PLE!$G$14,$M666,BB$13)="",10^12,OFFSET(PLE!$G$14,$M666,BB$13))))</f>
        <v>1000000000000</v>
      </c>
      <c r="BC666" s="182">
        <f ca="1">IF($D666&lt;&gt;"Serviço",0,IF(OR(AND(AUTOEVENTO="Manual",$M666=1),$M666&gt;(ROW(PLE.lastrow)-ROW(PLE.firstrow))),0,IF(OFFSET(PLE!$G$14,$M666,BC$13)="",10^12,OFFSET(PLE!$G$14,$M666,BC$13))))</f>
        <v>1000000000000</v>
      </c>
      <c r="BD666" s="182">
        <f ca="1">IF($D666&lt;&gt;"Serviço",0,IF(OR(AND(AUTOEVENTO="Manual",$M666=1),$M666&gt;(ROW(PLE.lastrow)-ROW(PLE.firstrow))),0,IF(OFFSET(PLE!$G$14,$M666,BD$13)="",10^12,OFFSET(PLE!$G$14,$M666,BD$13))))</f>
        <v>1000000000000</v>
      </c>
      <c r="BE666" s="182">
        <f ca="1">IF($D666&lt;&gt;"Serviço",0,IF(OR(AND(AUTOEVENTO="Manual",$M666=1),$M666&gt;(ROW(PLE.lastrow)-ROW(PLE.firstrow))),0,IF(OFFSET(PLE!$G$14,$M666,BE$13)="",10^12,OFFSET(PLE!$G$14,$M666,BE$13))))</f>
        <v>1000000000000</v>
      </c>
      <c r="BF666" s="182">
        <f ca="1">IF($D666&lt;&gt;"Serviço",0,IF(OR(AND(AUTOEVENTO="Manual",$M666=1),$M666&gt;(ROW(PLE.lastrow)-ROW(PLE.firstrow))),0,IF(OFFSET(PLE!$G$14,$M666,BF$13)="",10^12,OFFSET(PLE!$G$14,$M666,BF$13))))</f>
        <v>1000000000000</v>
      </c>
      <c r="BG666" s="182">
        <f ca="1">IF($D666&lt;&gt;"Serviço",0,IF(OR(AND(AUTOEVENTO="Manual",$M666=1),$M666&gt;(ROW(PLE.lastrow)-ROW(PLE.firstrow))),0,IF(OFFSET(PLE!$G$14,$M666,BG$13)="",10^12,OFFSET(PLE!$G$14,$M666,BG$13))))</f>
        <v>1000000000000</v>
      </c>
    </row>
    <row r="667" spans="1:59" ht="25.5" x14ac:dyDescent="0.2">
      <c r="A667" s="7" t="str">
        <f t="shared" ca="1" si="17"/>
        <v>650</v>
      </c>
      <c r="B667" s="7" t="str">
        <f ca="1">OFFSET(ORÇAMENTO!C$15,ROW(B667)-ROW(B$15),0)</f>
        <v>S</v>
      </c>
      <c r="C667" s="7" t="str">
        <f ca="1">OFFSET(ORÇAMENTO!L$15,ROW(C667)-ROW(C$15),0)</f>
        <v/>
      </c>
      <c r="D667" s="118" t="str">
        <f ca="1">OFFSET(ORÇAMENTO!N$15,ROW(D667)-ROW(D$15),0)</f>
        <v>Serviço</v>
      </c>
      <c r="E667" s="119" t="str">
        <f ca="1">OFFSET(ORÇAMENTO!O$15,ROW(E667)-ROW(E$15),0)</f>
        <v>-</v>
      </c>
      <c r="F667" s="172" t="str">
        <f ca="1">OFFSET(ORÇAMENTO!R$15,ROW(F667)-ROW(F$15),0)</f>
        <v>(abra o arquivo 'Referência 02-2025.xlsm)</v>
      </c>
      <c r="G667" s="173" t="str">
        <f ca="1">IF($D667&lt;&gt;"Serviço","",OFFSET(ORÇAMENTO!S$15,ROW(G667)-ROW(G$15),0))</f>
        <v>-</v>
      </c>
      <c r="H667" s="124">
        <f ca="1">IF($D667&lt;&gt;"Serviço",0,IF(ACOMPANHAMENTO="BM",ROUND(OFFSET(ORÇAMENTO!AJ$15,ROW(H667)-ROW(H$15),0),15-13*ORÇAMENTO!$AF$7),SUMPRODUCT(($Q$12:$AA$12&lt;&gt;"")*ROUND($Q667:$AA667,15-13*ORÇAMENTO!$AF$7))))</f>
        <v>7.7</v>
      </c>
      <c r="I667" s="561"/>
      <c r="K667" s="174"/>
      <c r="L667" s="175" t="s">
        <v>255</v>
      </c>
      <c r="M667" s="176">
        <f ca="1">IF($D667&lt;&gt;"Serviço","",IF(AUTOEVENTO="manual",$A667,IF(ISERROR(MATCH($A667,$A$15:OFFSET($A667,-1,0),0)),MAX($M$15:OFFSET(M667,-1,0))+1,INDEX($M$15:OFFSET(M667,-1,0),MATCH($A667,$A$15:OFFSET($A667,-1,0),0)))))</f>
        <v>22</v>
      </c>
      <c r="N667" s="177" t="str">
        <f ca="1">IF($D667&lt;&gt;"Serviço","",IF(AUTOEVENTO="Manual",IF($A667=0,"&lt;-- defina o número do agrupador",OFFSET(EVENTOS!$D$14,$A667,0)),OFFSET($F$15,$A667,0)))</f>
        <v>INSTALAÇÕES DE EXAUSTÃO MECÂNICA</v>
      </c>
      <c r="O667" s="178"/>
      <c r="Q667" s="178"/>
      <c r="R667" s="179"/>
      <c r="S667" s="179"/>
      <c r="T667" s="179"/>
      <c r="U667" s="179"/>
      <c r="V667" s="179"/>
      <c r="W667" s="179"/>
      <c r="X667" s="179"/>
      <c r="Y667" s="179"/>
      <c r="Z667" s="180"/>
      <c r="AB667" s="544">
        <f ca="1">IF(AND($D667="Serviço",AB$12&lt;&gt;0,$H667&gt;0,OR(AUTOEVENTO&lt;&gt;"manual",$M667&lt;&gt;1)),
IF(Import.TipoArredondamento&lt;&gt;"TransfereGOV",
ROUND(OFFSET($P667,0,AB$13),15-13*ORÇAMENTO!$AF$7)/$H667*OFFSET(ORÇAMENTO!$X$15,ROW(AB667)-ROW(AB$15),0),
ROUND(ROUND(OFFSET($P667,0,AB$13),15-13*ORÇAMENTO!$AF$7)*OFFSET(ORÇAMENTO!$W$15,ROW(AB667)-ROW(AB$15),0),15-13*ORÇAMENTO!$AF$11)),0)</f>
        <v>0</v>
      </c>
      <c r="AC667" s="545">
        <f ca="1">IF(AND($D667="Serviço",AC$12&lt;&gt;0,$H667&gt;0,OR(AUTOEVENTO&lt;&gt;"manual",$M667&lt;&gt;1)),
IF(Import.TipoArredondamento&lt;&gt;"TransfereGOV",
ROUND(OFFSET($P667,0,AC$13),15-13*ORÇAMENTO!$AF$7)/$H667*OFFSET(ORÇAMENTO!$X$15,ROW(AC667)-ROW(AC$15),0),
ROUND(ROUND(OFFSET($P667,0,AC$13),15-13*ORÇAMENTO!$AF$7)*OFFSET(ORÇAMENTO!$W$15,ROW(AC667)-ROW(AC$15),0),15-13*ORÇAMENTO!$AF$11)),0)</f>
        <v>0</v>
      </c>
      <c r="AD667" s="545">
        <f ca="1">IF(AND($D667="Serviço",AD$12&lt;&gt;0,$H667&gt;0,OR(AUTOEVENTO&lt;&gt;"manual",$M667&lt;&gt;1)),
IF(Import.TipoArredondamento&lt;&gt;"TransfereGOV",
ROUND(OFFSET($P667,0,AD$13),15-13*ORÇAMENTO!$AF$7)/$H667*OFFSET(ORÇAMENTO!$X$15,ROW(AD667)-ROW(AD$15),0),
ROUND(ROUND(OFFSET($P667,0,AD$13),15-13*ORÇAMENTO!$AF$7)*OFFSET(ORÇAMENTO!$W$15,ROW(AD667)-ROW(AD$15),0),15-13*ORÇAMENTO!$AF$11)),0)</f>
        <v>0</v>
      </c>
      <c r="AE667" s="545">
        <f ca="1">IF(AND($D667="Serviço",AE$12&lt;&gt;0,$H667&gt;0,OR(AUTOEVENTO&lt;&gt;"manual",$M667&lt;&gt;1)),
IF(Import.TipoArredondamento&lt;&gt;"TransfereGOV",
ROUND(OFFSET($P667,0,AE$13),15-13*ORÇAMENTO!$AF$7)/$H667*OFFSET(ORÇAMENTO!$X$15,ROW(AE667)-ROW(AE$15),0),
ROUND(ROUND(OFFSET($P667,0,AE$13),15-13*ORÇAMENTO!$AF$7)*OFFSET(ORÇAMENTO!$W$15,ROW(AE667)-ROW(AE$15),0),15-13*ORÇAMENTO!$AF$11)),0)</f>
        <v>0</v>
      </c>
      <c r="AF667" s="545">
        <f ca="1">IF(AND($D667="Serviço",AF$12&lt;&gt;0,$H667&gt;0,OR(AUTOEVENTO&lt;&gt;"manual",$M667&lt;&gt;1)),
IF(Import.TipoArredondamento&lt;&gt;"TransfereGOV",
ROUND(OFFSET($P667,0,AF$13),15-13*ORÇAMENTO!$AF$7)/$H667*OFFSET(ORÇAMENTO!$X$15,ROW(AF667)-ROW(AF$15),0),
ROUND(ROUND(OFFSET($P667,0,AF$13),15-13*ORÇAMENTO!$AF$7)*OFFSET(ORÇAMENTO!$W$15,ROW(AF667)-ROW(AF$15),0),15-13*ORÇAMENTO!$AF$11)),0)</f>
        <v>0</v>
      </c>
      <c r="AG667" s="545">
        <f ca="1">IF(AND($D667="Serviço",AG$12&lt;&gt;0,$H667&gt;0,OR(AUTOEVENTO&lt;&gt;"manual",$M667&lt;&gt;1)),
IF(Import.TipoArredondamento&lt;&gt;"TransfereGOV",
ROUND(OFFSET($P667,0,AG$13),15-13*ORÇAMENTO!$AF$7)/$H667*OFFSET(ORÇAMENTO!$X$15,ROW(AG667)-ROW(AG$15),0),
ROUND(ROUND(OFFSET($P667,0,AG$13),15-13*ORÇAMENTO!$AF$7)*OFFSET(ORÇAMENTO!$W$15,ROW(AG667)-ROW(AG$15),0),15-13*ORÇAMENTO!$AF$11)),0)</f>
        <v>0</v>
      </c>
      <c r="AH667" s="545">
        <f ca="1">IF(AND($D667="Serviço",AH$12&lt;&gt;0,$H667&gt;0,OR(AUTOEVENTO&lt;&gt;"manual",$M667&lt;&gt;1)),
IF(Import.TipoArredondamento&lt;&gt;"TransfereGOV",
ROUND(OFFSET($P667,0,AH$13),15-13*ORÇAMENTO!$AF$7)/$H667*OFFSET(ORÇAMENTO!$X$15,ROW(AH667)-ROW(AH$15),0),
ROUND(ROUND(OFFSET($P667,0,AH$13),15-13*ORÇAMENTO!$AF$7)*OFFSET(ORÇAMENTO!$W$15,ROW(AH667)-ROW(AH$15),0),15-13*ORÇAMENTO!$AF$11)),0)</f>
        <v>0</v>
      </c>
      <c r="AI667" s="545">
        <f ca="1">IF(AND($D667="Serviço",AI$12&lt;&gt;0,$H667&gt;0,OR(AUTOEVENTO&lt;&gt;"manual",$M667&lt;&gt;1)),
IF(Import.TipoArredondamento&lt;&gt;"TransfereGOV",
ROUND(OFFSET($P667,0,AI$13),15-13*ORÇAMENTO!$AF$7)/$H667*OFFSET(ORÇAMENTO!$X$15,ROW(AI667)-ROW(AI$15),0),
ROUND(ROUND(OFFSET($P667,0,AI$13),15-13*ORÇAMENTO!$AF$7)*OFFSET(ORÇAMENTO!$W$15,ROW(AI667)-ROW(AI$15),0),15-13*ORÇAMENTO!$AF$11)),0)</f>
        <v>0</v>
      </c>
      <c r="AJ667" s="545">
        <f ca="1">IF(AND($D667="Serviço",AJ$12&lt;&gt;0,$H667&gt;0,OR(AUTOEVENTO&lt;&gt;"manual",$M667&lt;&gt;1)),
IF(Import.TipoArredondamento&lt;&gt;"TransfereGOV",
ROUND(OFFSET($P667,0,AJ$13),15-13*ORÇAMENTO!$AF$7)/$H667*OFFSET(ORÇAMENTO!$X$15,ROW(AJ667)-ROW(AJ$15),0),
ROUND(ROUND(OFFSET($P667,0,AJ$13),15-13*ORÇAMENTO!$AF$7)*OFFSET(ORÇAMENTO!$W$15,ROW(AJ667)-ROW(AJ$15),0),15-13*ORÇAMENTO!$AF$11)),0)</f>
        <v>0</v>
      </c>
      <c r="AK667" s="546">
        <f ca="1">IF(AND($D667="Serviço",AK$12&lt;&gt;0,$H667&gt;0,OR(AUTOEVENTO&lt;&gt;"manual",$M667&lt;&gt;1)),
IF(Import.TipoArredondamento&lt;&gt;"TransfereGOV",
ROUND(OFFSET($P667,0,AK$13),15-13*ORÇAMENTO!$AF$7)/$H667*OFFSET(ORÇAMENTO!$X$15,ROW(AK667)-ROW(AK$15),0),
ROUND(ROUND(OFFSET($P667,0,AK$13),15-13*ORÇAMENTO!$AF$7)*OFFSET(ORÇAMENTO!$W$15,ROW(AK667)-ROW(AK$15),0),15-13*ORÇAMENTO!$AF$11)),0)</f>
        <v>0</v>
      </c>
      <c r="AM667" s="181">
        <f ca="1">IF($D667&lt;&gt;"Serviço",0,IF(AND(AUTOEVENTO="Manual",$M667=1),0,IF(OFFSET(CRONOPLE!$F$14,$M667,AM$13)="",10^12,OFFSET(CRONOPLE!$F$14,$M667,AM$13))))</f>
        <v>1000000000000</v>
      </c>
      <c r="AN667" s="181">
        <f ca="1">IF($D667&lt;&gt;"Serviço",0,IF(AND(AUTOEVENTO="Manual",$M667=1),0,IF(OFFSET(CRONOPLE!$F$14,$M667,AN$13)="",10^12,OFFSET(CRONOPLE!$F$14,$M667,AN$13))))</f>
        <v>1000000000000</v>
      </c>
      <c r="AO667" s="181">
        <f ca="1">IF($D667&lt;&gt;"Serviço",0,IF(AND(AUTOEVENTO="Manual",$M667=1),0,IF(OFFSET(CRONOPLE!$F$14,$M667,AO$13)="",10^12,OFFSET(CRONOPLE!$F$14,$M667,AO$13))))</f>
        <v>1000000000000</v>
      </c>
      <c r="AP667" s="181">
        <f ca="1">IF($D667&lt;&gt;"Serviço",0,IF(AND(AUTOEVENTO="Manual",$M667=1),0,IF(OFFSET(CRONOPLE!$F$14,$M667,AP$13)="",10^12,OFFSET(CRONOPLE!$F$14,$M667,AP$13))))</f>
        <v>1000000000000</v>
      </c>
      <c r="AQ667" s="181">
        <f ca="1">IF($D667&lt;&gt;"Serviço",0,IF(AND(AUTOEVENTO="Manual",$M667=1),0,IF(OFFSET(CRONOPLE!$F$14,$M667,AQ$13)="",10^12,OFFSET(CRONOPLE!$F$14,$M667,AQ$13))))</f>
        <v>1000000000000</v>
      </c>
      <c r="AR667" s="181">
        <f ca="1">IF($D667&lt;&gt;"Serviço",0,IF(AND(AUTOEVENTO="Manual",$M667=1),0,IF(OFFSET(CRONOPLE!$F$14,$M667,AR$13)="",10^12,OFFSET(CRONOPLE!$F$14,$M667,AR$13))))</f>
        <v>1000000000000</v>
      </c>
      <c r="AS667" s="181">
        <f ca="1">IF($D667&lt;&gt;"Serviço",0,IF(AND(AUTOEVENTO="Manual",$M667=1),0,IF(OFFSET(CRONOPLE!$F$14,$M667,AS$13)="",10^12,OFFSET(CRONOPLE!$F$14,$M667,AS$13))))</f>
        <v>1000000000000</v>
      </c>
      <c r="AT667" s="181">
        <f ca="1">IF($D667&lt;&gt;"Serviço",0,IF(AND(AUTOEVENTO="Manual",$M667=1),0,IF(OFFSET(CRONOPLE!$F$14,$M667,AT$13)="",10^12,OFFSET(CRONOPLE!$F$14,$M667,AT$13))))</f>
        <v>1000000000000</v>
      </c>
      <c r="AU667" s="181">
        <f ca="1">IF($D667&lt;&gt;"Serviço",0,IF(AND(AUTOEVENTO="Manual",$M667=1),0,IF(OFFSET(CRONOPLE!$F$14,$M667,AU$13)="",10^12,OFFSET(CRONOPLE!$F$14,$M667,AU$13))))</f>
        <v>1000000000000</v>
      </c>
      <c r="AV667" s="181">
        <f ca="1">IF($D667&lt;&gt;"Serviço",0,IF(AND(AUTOEVENTO="Manual",$M667=1),0,IF(OFFSET(CRONOPLE!$F$14,$M667,AV$13)="",10^12,OFFSET(CRONOPLE!$F$14,$M667,AV$13))))</f>
        <v>1000000000000</v>
      </c>
      <c r="AX667" s="182">
        <f ca="1">IF($D667&lt;&gt;"Serviço",0,IF(OR(AND(AUTOEVENTO="Manual",$M667=1),$M667&gt;(ROW(PLE.lastrow)-ROW(PLE.firstrow))),0,IF(OFFSET(PLE!$G$14,$M667,AX$13)="",10^12,OFFSET(PLE!$G$14,$M667,AX$13))))</f>
        <v>1000000000000</v>
      </c>
      <c r="AY667" s="182">
        <f ca="1">IF($D667&lt;&gt;"Serviço",0,IF(OR(AND(AUTOEVENTO="Manual",$M667=1),$M667&gt;(ROW(PLE.lastrow)-ROW(PLE.firstrow))),0,IF(OFFSET(PLE!$G$14,$M667,AY$13)="",10^12,OFFSET(PLE!$G$14,$M667,AY$13))))</f>
        <v>1000000000000</v>
      </c>
      <c r="AZ667" s="182">
        <f ca="1">IF($D667&lt;&gt;"Serviço",0,IF(OR(AND(AUTOEVENTO="Manual",$M667=1),$M667&gt;(ROW(PLE.lastrow)-ROW(PLE.firstrow))),0,IF(OFFSET(PLE!$G$14,$M667,AZ$13)="",10^12,OFFSET(PLE!$G$14,$M667,AZ$13))))</f>
        <v>1000000000000</v>
      </c>
      <c r="BA667" s="182">
        <f ca="1">IF($D667&lt;&gt;"Serviço",0,IF(OR(AND(AUTOEVENTO="Manual",$M667=1),$M667&gt;(ROW(PLE.lastrow)-ROW(PLE.firstrow))),0,IF(OFFSET(PLE!$G$14,$M667,BA$13)="",10^12,OFFSET(PLE!$G$14,$M667,BA$13))))</f>
        <v>1000000000000</v>
      </c>
      <c r="BB667" s="182">
        <f ca="1">IF($D667&lt;&gt;"Serviço",0,IF(OR(AND(AUTOEVENTO="Manual",$M667=1),$M667&gt;(ROW(PLE.lastrow)-ROW(PLE.firstrow))),0,IF(OFFSET(PLE!$G$14,$M667,BB$13)="",10^12,OFFSET(PLE!$G$14,$M667,BB$13))))</f>
        <v>1000000000000</v>
      </c>
      <c r="BC667" s="182">
        <f ca="1">IF($D667&lt;&gt;"Serviço",0,IF(OR(AND(AUTOEVENTO="Manual",$M667=1),$M667&gt;(ROW(PLE.lastrow)-ROW(PLE.firstrow))),0,IF(OFFSET(PLE!$G$14,$M667,BC$13)="",10^12,OFFSET(PLE!$G$14,$M667,BC$13))))</f>
        <v>1000000000000</v>
      </c>
      <c r="BD667" s="182">
        <f ca="1">IF($D667&lt;&gt;"Serviço",0,IF(OR(AND(AUTOEVENTO="Manual",$M667=1),$M667&gt;(ROW(PLE.lastrow)-ROW(PLE.firstrow))),0,IF(OFFSET(PLE!$G$14,$M667,BD$13)="",10^12,OFFSET(PLE!$G$14,$M667,BD$13))))</f>
        <v>1000000000000</v>
      </c>
      <c r="BE667" s="182">
        <f ca="1">IF($D667&lt;&gt;"Serviço",0,IF(OR(AND(AUTOEVENTO="Manual",$M667=1),$M667&gt;(ROW(PLE.lastrow)-ROW(PLE.firstrow))),0,IF(OFFSET(PLE!$G$14,$M667,BE$13)="",10^12,OFFSET(PLE!$G$14,$M667,BE$13))))</f>
        <v>1000000000000</v>
      </c>
      <c r="BF667" s="182">
        <f ca="1">IF($D667&lt;&gt;"Serviço",0,IF(OR(AND(AUTOEVENTO="Manual",$M667=1),$M667&gt;(ROW(PLE.lastrow)-ROW(PLE.firstrow))),0,IF(OFFSET(PLE!$G$14,$M667,BF$13)="",10^12,OFFSET(PLE!$G$14,$M667,BF$13))))</f>
        <v>1000000000000</v>
      </c>
      <c r="BG667" s="182">
        <f ca="1">IF($D667&lt;&gt;"Serviço",0,IF(OR(AND(AUTOEVENTO="Manual",$M667=1),$M667&gt;(ROW(PLE.lastrow)-ROW(PLE.firstrow))),0,IF(OFFSET(PLE!$G$14,$M667,BG$13)="",10^12,OFFSET(PLE!$G$14,$M667,BG$13))))</f>
        <v>1000000000000</v>
      </c>
    </row>
    <row r="668" spans="1:59" ht="25.5" x14ac:dyDescent="0.2">
      <c r="A668" s="7" t="str">
        <f t="shared" ca="1" si="17"/>
        <v>650</v>
      </c>
      <c r="B668" s="7" t="str">
        <f ca="1">OFFSET(ORÇAMENTO!C$15,ROW(B668)-ROW(B$15),0)</f>
        <v>S</v>
      </c>
      <c r="C668" s="7" t="str">
        <f ca="1">OFFSET(ORÇAMENTO!L$15,ROW(C668)-ROW(C$15),0)</f>
        <v/>
      </c>
      <c r="D668" s="118" t="str">
        <f ca="1">OFFSET(ORÇAMENTO!N$15,ROW(D668)-ROW(D$15),0)</f>
        <v>Serviço</v>
      </c>
      <c r="E668" s="119" t="str">
        <f ca="1">OFFSET(ORÇAMENTO!O$15,ROW(E668)-ROW(E$15),0)</f>
        <v>-</v>
      </c>
      <c r="F668" s="172" t="str">
        <f ca="1">OFFSET(ORÇAMENTO!R$15,ROW(F668)-ROW(F$15),0)</f>
        <v>(abra o arquivo 'Referência 02-2025.xlsm)</v>
      </c>
      <c r="G668" s="173" t="str">
        <f ca="1">IF($D668&lt;&gt;"Serviço","",OFFSET(ORÇAMENTO!S$15,ROW(G668)-ROW(G$15),0))</f>
        <v>-</v>
      </c>
      <c r="H668" s="124">
        <f ca="1">IF($D668&lt;&gt;"Serviço",0,IF(ACOMPANHAMENTO="BM",ROUND(OFFSET(ORÇAMENTO!AJ$15,ROW(H668)-ROW(H$15),0),15-13*ORÇAMENTO!$AF$7),SUMPRODUCT(($Q$12:$AA$12&lt;&gt;"")*ROUND($Q668:$AA668,15-13*ORÇAMENTO!$AF$7))))</f>
        <v>1</v>
      </c>
      <c r="I668" s="561"/>
      <c r="K668" s="174"/>
      <c r="L668" s="175" t="s">
        <v>255</v>
      </c>
      <c r="M668" s="176">
        <f ca="1">IF($D668&lt;&gt;"Serviço","",IF(AUTOEVENTO="manual",$A668,IF(ISERROR(MATCH($A668,$A$15:OFFSET($A668,-1,0),0)),MAX($M$15:OFFSET(M668,-1,0))+1,INDEX($M$15:OFFSET(M668,-1,0),MATCH($A668,$A$15:OFFSET($A668,-1,0),0)))))</f>
        <v>22</v>
      </c>
      <c r="N668" s="177" t="str">
        <f ca="1">IF($D668&lt;&gt;"Serviço","",IF(AUTOEVENTO="Manual",IF($A668=0,"&lt;-- defina o número do agrupador",OFFSET(EVENTOS!$D$14,$A668,0)),OFFSET($F$15,$A668,0)))</f>
        <v>INSTALAÇÕES DE EXAUSTÃO MECÂNICA</v>
      </c>
      <c r="O668" s="178"/>
      <c r="Q668" s="178"/>
      <c r="R668" s="179"/>
      <c r="S668" s="179"/>
      <c r="T668" s="179"/>
      <c r="U668" s="179"/>
      <c r="V668" s="179"/>
      <c r="W668" s="179"/>
      <c r="X668" s="179"/>
      <c r="Y668" s="179"/>
      <c r="Z668" s="180"/>
      <c r="AB668" s="544">
        <f ca="1">IF(AND($D668="Serviço",AB$12&lt;&gt;0,$H668&gt;0,OR(AUTOEVENTO&lt;&gt;"manual",$M668&lt;&gt;1)),
IF(Import.TipoArredondamento&lt;&gt;"TransfereGOV",
ROUND(OFFSET($P668,0,AB$13),15-13*ORÇAMENTO!$AF$7)/$H668*OFFSET(ORÇAMENTO!$X$15,ROW(AB668)-ROW(AB$15),0),
ROUND(ROUND(OFFSET($P668,0,AB$13),15-13*ORÇAMENTO!$AF$7)*OFFSET(ORÇAMENTO!$W$15,ROW(AB668)-ROW(AB$15),0),15-13*ORÇAMENTO!$AF$11)),0)</f>
        <v>0</v>
      </c>
      <c r="AC668" s="545">
        <f ca="1">IF(AND($D668="Serviço",AC$12&lt;&gt;0,$H668&gt;0,OR(AUTOEVENTO&lt;&gt;"manual",$M668&lt;&gt;1)),
IF(Import.TipoArredondamento&lt;&gt;"TransfereGOV",
ROUND(OFFSET($P668,0,AC$13),15-13*ORÇAMENTO!$AF$7)/$H668*OFFSET(ORÇAMENTO!$X$15,ROW(AC668)-ROW(AC$15),0),
ROUND(ROUND(OFFSET($P668,0,AC$13),15-13*ORÇAMENTO!$AF$7)*OFFSET(ORÇAMENTO!$W$15,ROW(AC668)-ROW(AC$15),0),15-13*ORÇAMENTO!$AF$11)),0)</f>
        <v>0</v>
      </c>
      <c r="AD668" s="545">
        <f ca="1">IF(AND($D668="Serviço",AD$12&lt;&gt;0,$H668&gt;0,OR(AUTOEVENTO&lt;&gt;"manual",$M668&lt;&gt;1)),
IF(Import.TipoArredondamento&lt;&gt;"TransfereGOV",
ROUND(OFFSET($P668,0,AD$13),15-13*ORÇAMENTO!$AF$7)/$H668*OFFSET(ORÇAMENTO!$X$15,ROW(AD668)-ROW(AD$15),0),
ROUND(ROUND(OFFSET($P668,0,AD$13),15-13*ORÇAMENTO!$AF$7)*OFFSET(ORÇAMENTO!$W$15,ROW(AD668)-ROW(AD$15),0),15-13*ORÇAMENTO!$AF$11)),0)</f>
        <v>0</v>
      </c>
      <c r="AE668" s="545">
        <f ca="1">IF(AND($D668="Serviço",AE$12&lt;&gt;0,$H668&gt;0,OR(AUTOEVENTO&lt;&gt;"manual",$M668&lt;&gt;1)),
IF(Import.TipoArredondamento&lt;&gt;"TransfereGOV",
ROUND(OFFSET($P668,0,AE$13),15-13*ORÇAMENTO!$AF$7)/$H668*OFFSET(ORÇAMENTO!$X$15,ROW(AE668)-ROW(AE$15),0),
ROUND(ROUND(OFFSET($P668,0,AE$13),15-13*ORÇAMENTO!$AF$7)*OFFSET(ORÇAMENTO!$W$15,ROW(AE668)-ROW(AE$15),0),15-13*ORÇAMENTO!$AF$11)),0)</f>
        <v>0</v>
      </c>
      <c r="AF668" s="545">
        <f ca="1">IF(AND($D668="Serviço",AF$12&lt;&gt;0,$H668&gt;0,OR(AUTOEVENTO&lt;&gt;"manual",$M668&lt;&gt;1)),
IF(Import.TipoArredondamento&lt;&gt;"TransfereGOV",
ROUND(OFFSET($P668,0,AF$13),15-13*ORÇAMENTO!$AF$7)/$H668*OFFSET(ORÇAMENTO!$X$15,ROW(AF668)-ROW(AF$15),0),
ROUND(ROUND(OFFSET($P668,0,AF$13),15-13*ORÇAMENTO!$AF$7)*OFFSET(ORÇAMENTO!$W$15,ROW(AF668)-ROW(AF$15),0),15-13*ORÇAMENTO!$AF$11)),0)</f>
        <v>0</v>
      </c>
      <c r="AG668" s="545">
        <f ca="1">IF(AND($D668="Serviço",AG$12&lt;&gt;0,$H668&gt;0,OR(AUTOEVENTO&lt;&gt;"manual",$M668&lt;&gt;1)),
IF(Import.TipoArredondamento&lt;&gt;"TransfereGOV",
ROUND(OFFSET($P668,0,AG$13),15-13*ORÇAMENTO!$AF$7)/$H668*OFFSET(ORÇAMENTO!$X$15,ROW(AG668)-ROW(AG$15),0),
ROUND(ROUND(OFFSET($P668,0,AG$13),15-13*ORÇAMENTO!$AF$7)*OFFSET(ORÇAMENTO!$W$15,ROW(AG668)-ROW(AG$15),0),15-13*ORÇAMENTO!$AF$11)),0)</f>
        <v>0</v>
      </c>
      <c r="AH668" s="545">
        <f ca="1">IF(AND($D668="Serviço",AH$12&lt;&gt;0,$H668&gt;0,OR(AUTOEVENTO&lt;&gt;"manual",$M668&lt;&gt;1)),
IF(Import.TipoArredondamento&lt;&gt;"TransfereGOV",
ROUND(OFFSET($P668,0,AH$13),15-13*ORÇAMENTO!$AF$7)/$H668*OFFSET(ORÇAMENTO!$X$15,ROW(AH668)-ROW(AH$15),0),
ROUND(ROUND(OFFSET($P668,0,AH$13),15-13*ORÇAMENTO!$AF$7)*OFFSET(ORÇAMENTO!$W$15,ROW(AH668)-ROW(AH$15),0),15-13*ORÇAMENTO!$AF$11)),0)</f>
        <v>0</v>
      </c>
      <c r="AI668" s="545">
        <f ca="1">IF(AND($D668="Serviço",AI$12&lt;&gt;0,$H668&gt;0,OR(AUTOEVENTO&lt;&gt;"manual",$M668&lt;&gt;1)),
IF(Import.TipoArredondamento&lt;&gt;"TransfereGOV",
ROUND(OFFSET($P668,0,AI$13),15-13*ORÇAMENTO!$AF$7)/$H668*OFFSET(ORÇAMENTO!$X$15,ROW(AI668)-ROW(AI$15),0),
ROUND(ROUND(OFFSET($P668,0,AI$13),15-13*ORÇAMENTO!$AF$7)*OFFSET(ORÇAMENTO!$W$15,ROW(AI668)-ROW(AI$15),0),15-13*ORÇAMENTO!$AF$11)),0)</f>
        <v>0</v>
      </c>
      <c r="AJ668" s="545">
        <f ca="1">IF(AND($D668="Serviço",AJ$12&lt;&gt;0,$H668&gt;0,OR(AUTOEVENTO&lt;&gt;"manual",$M668&lt;&gt;1)),
IF(Import.TipoArredondamento&lt;&gt;"TransfereGOV",
ROUND(OFFSET($P668,0,AJ$13),15-13*ORÇAMENTO!$AF$7)/$H668*OFFSET(ORÇAMENTO!$X$15,ROW(AJ668)-ROW(AJ$15),0),
ROUND(ROUND(OFFSET($P668,0,AJ$13),15-13*ORÇAMENTO!$AF$7)*OFFSET(ORÇAMENTO!$W$15,ROW(AJ668)-ROW(AJ$15),0),15-13*ORÇAMENTO!$AF$11)),0)</f>
        <v>0</v>
      </c>
      <c r="AK668" s="546">
        <f ca="1">IF(AND($D668="Serviço",AK$12&lt;&gt;0,$H668&gt;0,OR(AUTOEVENTO&lt;&gt;"manual",$M668&lt;&gt;1)),
IF(Import.TipoArredondamento&lt;&gt;"TransfereGOV",
ROUND(OFFSET($P668,0,AK$13),15-13*ORÇAMENTO!$AF$7)/$H668*OFFSET(ORÇAMENTO!$X$15,ROW(AK668)-ROW(AK$15),0),
ROUND(ROUND(OFFSET($P668,0,AK$13),15-13*ORÇAMENTO!$AF$7)*OFFSET(ORÇAMENTO!$W$15,ROW(AK668)-ROW(AK$15),0),15-13*ORÇAMENTO!$AF$11)),0)</f>
        <v>0</v>
      </c>
      <c r="AM668" s="181">
        <f ca="1">IF($D668&lt;&gt;"Serviço",0,IF(AND(AUTOEVENTO="Manual",$M668=1),0,IF(OFFSET(CRONOPLE!$F$14,$M668,AM$13)="",10^12,OFFSET(CRONOPLE!$F$14,$M668,AM$13))))</f>
        <v>1000000000000</v>
      </c>
      <c r="AN668" s="181">
        <f ca="1">IF($D668&lt;&gt;"Serviço",0,IF(AND(AUTOEVENTO="Manual",$M668=1),0,IF(OFFSET(CRONOPLE!$F$14,$M668,AN$13)="",10^12,OFFSET(CRONOPLE!$F$14,$M668,AN$13))))</f>
        <v>1000000000000</v>
      </c>
      <c r="AO668" s="181">
        <f ca="1">IF($D668&lt;&gt;"Serviço",0,IF(AND(AUTOEVENTO="Manual",$M668=1),0,IF(OFFSET(CRONOPLE!$F$14,$M668,AO$13)="",10^12,OFFSET(CRONOPLE!$F$14,$M668,AO$13))))</f>
        <v>1000000000000</v>
      </c>
      <c r="AP668" s="181">
        <f ca="1">IF($D668&lt;&gt;"Serviço",0,IF(AND(AUTOEVENTO="Manual",$M668=1),0,IF(OFFSET(CRONOPLE!$F$14,$M668,AP$13)="",10^12,OFFSET(CRONOPLE!$F$14,$M668,AP$13))))</f>
        <v>1000000000000</v>
      </c>
      <c r="AQ668" s="181">
        <f ca="1">IF($D668&lt;&gt;"Serviço",0,IF(AND(AUTOEVENTO="Manual",$M668=1),0,IF(OFFSET(CRONOPLE!$F$14,$M668,AQ$13)="",10^12,OFFSET(CRONOPLE!$F$14,$M668,AQ$13))))</f>
        <v>1000000000000</v>
      </c>
      <c r="AR668" s="181">
        <f ca="1">IF($D668&lt;&gt;"Serviço",0,IF(AND(AUTOEVENTO="Manual",$M668=1),0,IF(OFFSET(CRONOPLE!$F$14,$M668,AR$13)="",10^12,OFFSET(CRONOPLE!$F$14,$M668,AR$13))))</f>
        <v>1000000000000</v>
      </c>
      <c r="AS668" s="181">
        <f ca="1">IF($D668&lt;&gt;"Serviço",0,IF(AND(AUTOEVENTO="Manual",$M668=1),0,IF(OFFSET(CRONOPLE!$F$14,$M668,AS$13)="",10^12,OFFSET(CRONOPLE!$F$14,$M668,AS$13))))</f>
        <v>1000000000000</v>
      </c>
      <c r="AT668" s="181">
        <f ca="1">IF($D668&lt;&gt;"Serviço",0,IF(AND(AUTOEVENTO="Manual",$M668=1),0,IF(OFFSET(CRONOPLE!$F$14,$M668,AT$13)="",10^12,OFFSET(CRONOPLE!$F$14,$M668,AT$13))))</f>
        <v>1000000000000</v>
      </c>
      <c r="AU668" s="181">
        <f ca="1">IF($D668&lt;&gt;"Serviço",0,IF(AND(AUTOEVENTO="Manual",$M668=1),0,IF(OFFSET(CRONOPLE!$F$14,$M668,AU$13)="",10^12,OFFSET(CRONOPLE!$F$14,$M668,AU$13))))</f>
        <v>1000000000000</v>
      </c>
      <c r="AV668" s="181">
        <f ca="1">IF($D668&lt;&gt;"Serviço",0,IF(AND(AUTOEVENTO="Manual",$M668=1),0,IF(OFFSET(CRONOPLE!$F$14,$M668,AV$13)="",10^12,OFFSET(CRONOPLE!$F$14,$M668,AV$13))))</f>
        <v>1000000000000</v>
      </c>
      <c r="AX668" s="182">
        <f ca="1">IF($D668&lt;&gt;"Serviço",0,IF(OR(AND(AUTOEVENTO="Manual",$M668=1),$M668&gt;(ROW(PLE.lastrow)-ROW(PLE.firstrow))),0,IF(OFFSET(PLE!$G$14,$M668,AX$13)="",10^12,OFFSET(PLE!$G$14,$M668,AX$13))))</f>
        <v>1000000000000</v>
      </c>
      <c r="AY668" s="182">
        <f ca="1">IF($D668&lt;&gt;"Serviço",0,IF(OR(AND(AUTOEVENTO="Manual",$M668=1),$M668&gt;(ROW(PLE.lastrow)-ROW(PLE.firstrow))),0,IF(OFFSET(PLE!$G$14,$M668,AY$13)="",10^12,OFFSET(PLE!$G$14,$M668,AY$13))))</f>
        <v>1000000000000</v>
      </c>
      <c r="AZ668" s="182">
        <f ca="1">IF($D668&lt;&gt;"Serviço",0,IF(OR(AND(AUTOEVENTO="Manual",$M668=1),$M668&gt;(ROW(PLE.lastrow)-ROW(PLE.firstrow))),0,IF(OFFSET(PLE!$G$14,$M668,AZ$13)="",10^12,OFFSET(PLE!$G$14,$M668,AZ$13))))</f>
        <v>1000000000000</v>
      </c>
      <c r="BA668" s="182">
        <f ca="1">IF($D668&lt;&gt;"Serviço",0,IF(OR(AND(AUTOEVENTO="Manual",$M668=1),$M668&gt;(ROW(PLE.lastrow)-ROW(PLE.firstrow))),0,IF(OFFSET(PLE!$G$14,$M668,BA$13)="",10^12,OFFSET(PLE!$G$14,$M668,BA$13))))</f>
        <v>1000000000000</v>
      </c>
      <c r="BB668" s="182">
        <f ca="1">IF($D668&lt;&gt;"Serviço",0,IF(OR(AND(AUTOEVENTO="Manual",$M668=1),$M668&gt;(ROW(PLE.lastrow)-ROW(PLE.firstrow))),0,IF(OFFSET(PLE!$G$14,$M668,BB$13)="",10^12,OFFSET(PLE!$G$14,$M668,BB$13))))</f>
        <v>1000000000000</v>
      </c>
      <c r="BC668" s="182">
        <f ca="1">IF($D668&lt;&gt;"Serviço",0,IF(OR(AND(AUTOEVENTO="Manual",$M668=1),$M668&gt;(ROW(PLE.lastrow)-ROW(PLE.firstrow))),0,IF(OFFSET(PLE!$G$14,$M668,BC$13)="",10^12,OFFSET(PLE!$G$14,$M668,BC$13))))</f>
        <v>1000000000000</v>
      </c>
      <c r="BD668" s="182">
        <f ca="1">IF($D668&lt;&gt;"Serviço",0,IF(OR(AND(AUTOEVENTO="Manual",$M668=1),$M668&gt;(ROW(PLE.lastrow)-ROW(PLE.firstrow))),0,IF(OFFSET(PLE!$G$14,$M668,BD$13)="",10^12,OFFSET(PLE!$G$14,$M668,BD$13))))</f>
        <v>1000000000000</v>
      </c>
      <c r="BE668" s="182">
        <f ca="1">IF($D668&lt;&gt;"Serviço",0,IF(OR(AND(AUTOEVENTO="Manual",$M668=1),$M668&gt;(ROW(PLE.lastrow)-ROW(PLE.firstrow))),0,IF(OFFSET(PLE!$G$14,$M668,BE$13)="",10^12,OFFSET(PLE!$G$14,$M668,BE$13))))</f>
        <v>1000000000000</v>
      </c>
      <c r="BF668" s="182">
        <f ca="1">IF($D668&lt;&gt;"Serviço",0,IF(OR(AND(AUTOEVENTO="Manual",$M668=1),$M668&gt;(ROW(PLE.lastrow)-ROW(PLE.firstrow))),0,IF(OFFSET(PLE!$G$14,$M668,BF$13)="",10^12,OFFSET(PLE!$G$14,$M668,BF$13))))</f>
        <v>1000000000000</v>
      </c>
      <c r="BG668" s="182">
        <f ca="1">IF($D668&lt;&gt;"Serviço",0,IF(OR(AND(AUTOEVENTO="Manual",$M668=1),$M668&gt;(ROW(PLE.lastrow)-ROW(PLE.firstrow))),0,IF(OFFSET(PLE!$G$14,$M668,BG$13)="",10^12,OFFSET(PLE!$G$14,$M668,BG$13))))</f>
        <v>1000000000000</v>
      </c>
    </row>
    <row r="669" spans="1:59" ht="12.75" x14ac:dyDescent="0.2">
      <c r="A669" s="7" t="str">
        <f t="shared" ca="1" si="17"/>
        <v>654.</v>
      </c>
      <c r="B669" s="7">
        <f ca="1">OFFSET(ORÇAMENTO!C$15,ROW(B669)-ROW(B$15),0)</f>
        <v>2</v>
      </c>
      <c r="C669" s="7" t="str">
        <f ca="1">OFFSET(ORÇAMENTO!L$15,ROW(C669)-ROW(C$15),0)</f>
        <v>F</v>
      </c>
      <c r="D669" s="118" t="str">
        <f ca="1">OFFSET(ORÇAMENTO!N$15,ROW(D669)-ROW(D$15),0)</f>
        <v>Nível 2</v>
      </c>
      <c r="E669" s="119" t="str">
        <f ca="1">OFFSET(ORÇAMENTO!O$15,ROW(E669)-ROW(E$15),0)</f>
        <v>1.22.</v>
      </c>
      <c r="F669" s="172" t="str">
        <f ca="1">OFFSET(ORÇAMENTO!R$15,ROW(F669)-ROW(F$15),0)</f>
        <v>INSTALAÇÕES DE GÁS COMBUSTÍVEL</v>
      </c>
      <c r="G669" s="173" t="str">
        <f ca="1">IF($D669&lt;&gt;"Serviço","",OFFSET(ORÇAMENTO!S$15,ROW(G669)-ROW(G$15),0))</f>
        <v/>
      </c>
      <c r="H669" s="124">
        <f ca="1">IF($D669&lt;&gt;"Serviço",0,IF(ACOMPANHAMENTO="BM",ROUND(OFFSET(ORÇAMENTO!AJ$15,ROW(H669)-ROW(H$15),0),15-13*ORÇAMENTO!$AF$7),SUMPRODUCT(($Q$12:$AA$12&lt;&gt;"")*ROUND($Q669:$AA669,15-13*ORÇAMENTO!$AF$7))))</f>
        <v>0</v>
      </c>
      <c r="I669" s="561"/>
      <c r="K669" s="174"/>
      <c r="L669" s="175" t="s">
        <v>255</v>
      </c>
      <c r="M669" s="176" t="str">
        <f ca="1">IF($D669&lt;&gt;"Serviço","",IF(AUTOEVENTO="manual",$A669,IF(ISERROR(MATCH($A669,$A$15:OFFSET($A669,-1,0),0)),MAX($M$15:OFFSET(M669,-1,0))+1,INDEX($M$15:OFFSET(M669,-1,0),MATCH($A669,$A$15:OFFSET($A669,-1,0),0)))))</f>
        <v/>
      </c>
      <c r="N669" s="177" t="str">
        <f ca="1">IF($D669&lt;&gt;"Serviço","",IF(AUTOEVENTO="Manual",IF($A669=0,"&lt;-- defina o número do agrupador",OFFSET(EVENTOS!$D$14,$A669,0)),OFFSET($F$15,$A669,0)))</f>
        <v/>
      </c>
      <c r="O669" s="178"/>
      <c r="Q669" s="178"/>
      <c r="R669" s="179"/>
      <c r="S669" s="179"/>
      <c r="T669" s="179"/>
      <c r="U669" s="179"/>
      <c r="V669" s="179"/>
      <c r="W669" s="179"/>
      <c r="X669" s="179"/>
      <c r="Y669" s="179"/>
      <c r="Z669" s="180"/>
      <c r="AB669" s="544">
        <f ca="1">IF(AND($D669="Serviço",AB$12&lt;&gt;0,$H669&gt;0,OR(AUTOEVENTO&lt;&gt;"manual",$M669&lt;&gt;1)),
IF(Import.TipoArredondamento&lt;&gt;"TransfereGOV",
ROUND(OFFSET($P669,0,AB$13),15-13*ORÇAMENTO!$AF$7)/$H669*OFFSET(ORÇAMENTO!$X$15,ROW(AB669)-ROW(AB$15),0),
ROUND(ROUND(OFFSET($P669,0,AB$13),15-13*ORÇAMENTO!$AF$7)*OFFSET(ORÇAMENTO!$W$15,ROW(AB669)-ROW(AB$15),0),15-13*ORÇAMENTO!$AF$11)),0)</f>
        <v>0</v>
      </c>
      <c r="AC669" s="545">
        <f ca="1">IF(AND($D669="Serviço",AC$12&lt;&gt;0,$H669&gt;0,OR(AUTOEVENTO&lt;&gt;"manual",$M669&lt;&gt;1)),
IF(Import.TipoArredondamento&lt;&gt;"TransfereGOV",
ROUND(OFFSET($P669,0,AC$13),15-13*ORÇAMENTO!$AF$7)/$H669*OFFSET(ORÇAMENTO!$X$15,ROW(AC669)-ROW(AC$15),0),
ROUND(ROUND(OFFSET($P669,0,AC$13),15-13*ORÇAMENTO!$AF$7)*OFFSET(ORÇAMENTO!$W$15,ROW(AC669)-ROW(AC$15),0),15-13*ORÇAMENTO!$AF$11)),0)</f>
        <v>0</v>
      </c>
      <c r="AD669" s="545">
        <f ca="1">IF(AND($D669="Serviço",AD$12&lt;&gt;0,$H669&gt;0,OR(AUTOEVENTO&lt;&gt;"manual",$M669&lt;&gt;1)),
IF(Import.TipoArredondamento&lt;&gt;"TransfereGOV",
ROUND(OFFSET($P669,0,AD$13),15-13*ORÇAMENTO!$AF$7)/$H669*OFFSET(ORÇAMENTO!$X$15,ROW(AD669)-ROW(AD$15),0),
ROUND(ROUND(OFFSET($P669,0,AD$13),15-13*ORÇAMENTO!$AF$7)*OFFSET(ORÇAMENTO!$W$15,ROW(AD669)-ROW(AD$15),0),15-13*ORÇAMENTO!$AF$11)),0)</f>
        <v>0</v>
      </c>
      <c r="AE669" s="545">
        <f ca="1">IF(AND($D669="Serviço",AE$12&lt;&gt;0,$H669&gt;0,OR(AUTOEVENTO&lt;&gt;"manual",$M669&lt;&gt;1)),
IF(Import.TipoArredondamento&lt;&gt;"TransfereGOV",
ROUND(OFFSET($P669,0,AE$13),15-13*ORÇAMENTO!$AF$7)/$H669*OFFSET(ORÇAMENTO!$X$15,ROW(AE669)-ROW(AE$15),0),
ROUND(ROUND(OFFSET($P669,0,AE$13),15-13*ORÇAMENTO!$AF$7)*OFFSET(ORÇAMENTO!$W$15,ROW(AE669)-ROW(AE$15),0),15-13*ORÇAMENTO!$AF$11)),0)</f>
        <v>0</v>
      </c>
      <c r="AF669" s="545">
        <f ca="1">IF(AND($D669="Serviço",AF$12&lt;&gt;0,$H669&gt;0,OR(AUTOEVENTO&lt;&gt;"manual",$M669&lt;&gt;1)),
IF(Import.TipoArredondamento&lt;&gt;"TransfereGOV",
ROUND(OFFSET($P669,0,AF$13),15-13*ORÇAMENTO!$AF$7)/$H669*OFFSET(ORÇAMENTO!$X$15,ROW(AF669)-ROW(AF$15),0),
ROUND(ROUND(OFFSET($P669,0,AF$13),15-13*ORÇAMENTO!$AF$7)*OFFSET(ORÇAMENTO!$W$15,ROW(AF669)-ROW(AF$15),0),15-13*ORÇAMENTO!$AF$11)),0)</f>
        <v>0</v>
      </c>
      <c r="AG669" s="545">
        <f ca="1">IF(AND($D669="Serviço",AG$12&lt;&gt;0,$H669&gt;0,OR(AUTOEVENTO&lt;&gt;"manual",$M669&lt;&gt;1)),
IF(Import.TipoArredondamento&lt;&gt;"TransfereGOV",
ROUND(OFFSET($P669,0,AG$13),15-13*ORÇAMENTO!$AF$7)/$H669*OFFSET(ORÇAMENTO!$X$15,ROW(AG669)-ROW(AG$15),0),
ROUND(ROUND(OFFSET($P669,0,AG$13),15-13*ORÇAMENTO!$AF$7)*OFFSET(ORÇAMENTO!$W$15,ROW(AG669)-ROW(AG$15),0),15-13*ORÇAMENTO!$AF$11)),0)</f>
        <v>0</v>
      </c>
      <c r="AH669" s="545">
        <f ca="1">IF(AND($D669="Serviço",AH$12&lt;&gt;0,$H669&gt;0,OR(AUTOEVENTO&lt;&gt;"manual",$M669&lt;&gt;1)),
IF(Import.TipoArredondamento&lt;&gt;"TransfereGOV",
ROUND(OFFSET($P669,0,AH$13),15-13*ORÇAMENTO!$AF$7)/$H669*OFFSET(ORÇAMENTO!$X$15,ROW(AH669)-ROW(AH$15),0),
ROUND(ROUND(OFFSET($P669,0,AH$13),15-13*ORÇAMENTO!$AF$7)*OFFSET(ORÇAMENTO!$W$15,ROW(AH669)-ROW(AH$15),0),15-13*ORÇAMENTO!$AF$11)),0)</f>
        <v>0</v>
      </c>
      <c r="AI669" s="545">
        <f ca="1">IF(AND($D669="Serviço",AI$12&lt;&gt;0,$H669&gt;0,OR(AUTOEVENTO&lt;&gt;"manual",$M669&lt;&gt;1)),
IF(Import.TipoArredondamento&lt;&gt;"TransfereGOV",
ROUND(OFFSET($P669,0,AI$13),15-13*ORÇAMENTO!$AF$7)/$H669*OFFSET(ORÇAMENTO!$X$15,ROW(AI669)-ROW(AI$15),0),
ROUND(ROUND(OFFSET($P669,0,AI$13),15-13*ORÇAMENTO!$AF$7)*OFFSET(ORÇAMENTO!$W$15,ROW(AI669)-ROW(AI$15),0),15-13*ORÇAMENTO!$AF$11)),0)</f>
        <v>0</v>
      </c>
      <c r="AJ669" s="545">
        <f ca="1">IF(AND($D669="Serviço",AJ$12&lt;&gt;0,$H669&gt;0,OR(AUTOEVENTO&lt;&gt;"manual",$M669&lt;&gt;1)),
IF(Import.TipoArredondamento&lt;&gt;"TransfereGOV",
ROUND(OFFSET($P669,0,AJ$13),15-13*ORÇAMENTO!$AF$7)/$H669*OFFSET(ORÇAMENTO!$X$15,ROW(AJ669)-ROW(AJ$15),0),
ROUND(ROUND(OFFSET($P669,0,AJ$13),15-13*ORÇAMENTO!$AF$7)*OFFSET(ORÇAMENTO!$W$15,ROW(AJ669)-ROW(AJ$15),0),15-13*ORÇAMENTO!$AF$11)),0)</f>
        <v>0</v>
      </c>
      <c r="AK669" s="546">
        <f ca="1">IF(AND($D669="Serviço",AK$12&lt;&gt;0,$H669&gt;0,OR(AUTOEVENTO&lt;&gt;"manual",$M669&lt;&gt;1)),
IF(Import.TipoArredondamento&lt;&gt;"TransfereGOV",
ROUND(OFFSET($P669,0,AK$13),15-13*ORÇAMENTO!$AF$7)/$H669*OFFSET(ORÇAMENTO!$X$15,ROW(AK669)-ROW(AK$15),0),
ROUND(ROUND(OFFSET($P669,0,AK$13),15-13*ORÇAMENTO!$AF$7)*OFFSET(ORÇAMENTO!$W$15,ROW(AK669)-ROW(AK$15),0),15-13*ORÇAMENTO!$AF$11)),0)</f>
        <v>0</v>
      </c>
      <c r="AM669" s="181">
        <f ca="1">IF($D669&lt;&gt;"Serviço",0,IF(AND(AUTOEVENTO="Manual",$M669=1),0,IF(OFFSET(CRONOPLE!$F$14,$M669,AM$13)="",10^12,OFFSET(CRONOPLE!$F$14,$M669,AM$13))))</f>
        <v>0</v>
      </c>
      <c r="AN669" s="181">
        <f ca="1">IF($D669&lt;&gt;"Serviço",0,IF(AND(AUTOEVENTO="Manual",$M669=1),0,IF(OFFSET(CRONOPLE!$F$14,$M669,AN$13)="",10^12,OFFSET(CRONOPLE!$F$14,$M669,AN$13))))</f>
        <v>0</v>
      </c>
      <c r="AO669" s="181">
        <f ca="1">IF($D669&lt;&gt;"Serviço",0,IF(AND(AUTOEVENTO="Manual",$M669=1),0,IF(OFFSET(CRONOPLE!$F$14,$M669,AO$13)="",10^12,OFFSET(CRONOPLE!$F$14,$M669,AO$13))))</f>
        <v>0</v>
      </c>
      <c r="AP669" s="181">
        <f ca="1">IF($D669&lt;&gt;"Serviço",0,IF(AND(AUTOEVENTO="Manual",$M669=1),0,IF(OFFSET(CRONOPLE!$F$14,$M669,AP$13)="",10^12,OFFSET(CRONOPLE!$F$14,$M669,AP$13))))</f>
        <v>0</v>
      </c>
      <c r="AQ669" s="181">
        <f ca="1">IF($D669&lt;&gt;"Serviço",0,IF(AND(AUTOEVENTO="Manual",$M669=1),0,IF(OFFSET(CRONOPLE!$F$14,$M669,AQ$13)="",10^12,OFFSET(CRONOPLE!$F$14,$M669,AQ$13))))</f>
        <v>0</v>
      </c>
      <c r="AR669" s="181">
        <f ca="1">IF($D669&lt;&gt;"Serviço",0,IF(AND(AUTOEVENTO="Manual",$M669=1),0,IF(OFFSET(CRONOPLE!$F$14,$M669,AR$13)="",10^12,OFFSET(CRONOPLE!$F$14,$M669,AR$13))))</f>
        <v>0</v>
      </c>
      <c r="AS669" s="181">
        <f ca="1">IF($D669&lt;&gt;"Serviço",0,IF(AND(AUTOEVENTO="Manual",$M669=1),0,IF(OFFSET(CRONOPLE!$F$14,$M669,AS$13)="",10^12,OFFSET(CRONOPLE!$F$14,$M669,AS$13))))</f>
        <v>0</v>
      </c>
      <c r="AT669" s="181">
        <f ca="1">IF($D669&lt;&gt;"Serviço",0,IF(AND(AUTOEVENTO="Manual",$M669=1),0,IF(OFFSET(CRONOPLE!$F$14,$M669,AT$13)="",10^12,OFFSET(CRONOPLE!$F$14,$M669,AT$13))))</f>
        <v>0</v>
      </c>
      <c r="AU669" s="181">
        <f ca="1">IF($D669&lt;&gt;"Serviço",0,IF(AND(AUTOEVENTO="Manual",$M669=1),0,IF(OFFSET(CRONOPLE!$F$14,$M669,AU$13)="",10^12,OFFSET(CRONOPLE!$F$14,$M669,AU$13))))</f>
        <v>0</v>
      </c>
      <c r="AV669" s="181">
        <f ca="1">IF($D669&lt;&gt;"Serviço",0,IF(AND(AUTOEVENTO="Manual",$M669=1),0,IF(OFFSET(CRONOPLE!$F$14,$M669,AV$13)="",10^12,OFFSET(CRONOPLE!$F$14,$M669,AV$13))))</f>
        <v>0</v>
      </c>
      <c r="AX669" s="182">
        <f ca="1">IF($D669&lt;&gt;"Serviço",0,IF(OR(AND(AUTOEVENTO="Manual",$M669=1),$M669&gt;(ROW(PLE.lastrow)-ROW(PLE.firstrow))),0,IF(OFFSET(PLE!$G$14,$M669,AX$13)="",10^12,OFFSET(PLE!$G$14,$M669,AX$13))))</f>
        <v>0</v>
      </c>
      <c r="AY669" s="182">
        <f ca="1">IF($D669&lt;&gt;"Serviço",0,IF(OR(AND(AUTOEVENTO="Manual",$M669=1),$M669&gt;(ROW(PLE.lastrow)-ROW(PLE.firstrow))),0,IF(OFFSET(PLE!$G$14,$M669,AY$13)="",10^12,OFFSET(PLE!$G$14,$M669,AY$13))))</f>
        <v>0</v>
      </c>
      <c r="AZ669" s="182">
        <f ca="1">IF($D669&lt;&gt;"Serviço",0,IF(OR(AND(AUTOEVENTO="Manual",$M669=1),$M669&gt;(ROW(PLE.lastrow)-ROW(PLE.firstrow))),0,IF(OFFSET(PLE!$G$14,$M669,AZ$13)="",10^12,OFFSET(PLE!$G$14,$M669,AZ$13))))</f>
        <v>0</v>
      </c>
      <c r="BA669" s="182">
        <f ca="1">IF($D669&lt;&gt;"Serviço",0,IF(OR(AND(AUTOEVENTO="Manual",$M669=1),$M669&gt;(ROW(PLE.lastrow)-ROW(PLE.firstrow))),0,IF(OFFSET(PLE!$G$14,$M669,BA$13)="",10^12,OFFSET(PLE!$G$14,$M669,BA$13))))</f>
        <v>0</v>
      </c>
      <c r="BB669" s="182">
        <f ca="1">IF($D669&lt;&gt;"Serviço",0,IF(OR(AND(AUTOEVENTO="Manual",$M669=1),$M669&gt;(ROW(PLE.lastrow)-ROW(PLE.firstrow))),0,IF(OFFSET(PLE!$G$14,$M669,BB$13)="",10^12,OFFSET(PLE!$G$14,$M669,BB$13))))</f>
        <v>0</v>
      </c>
      <c r="BC669" s="182">
        <f ca="1">IF($D669&lt;&gt;"Serviço",0,IF(OR(AND(AUTOEVENTO="Manual",$M669=1),$M669&gt;(ROW(PLE.lastrow)-ROW(PLE.firstrow))),0,IF(OFFSET(PLE!$G$14,$M669,BC$13)="",10^12,OFFSET(PLE!$G$14,$M669,BC$13))))</f>
        <v>0</v>
      </c>
      <c r="BD669" s="182">
        <f ca="1">IF($D669&lt;&gt;"Serviço",0,IF(OR(AND(AUTOEVENTO="Manual",$M669=1),$M669&gt;(ROW(PLE.lastrow)-ROW(PLE.firstrow))),0,IF(OFFSET(PLE!$G$14,$M669,BD$13)="",10^12,OFFSET(PLE!$G$14,$M669,BD$13))))</f>
        <v>0</v>
      </c>
      <c r="BE669" s="182">
        <f ca="1">IF($D669&lt;&gt;"Serviço",0,IF(OR(AND(AUTOEVENTO="Manual",$M669=1),$M669&gt;(ROW(PLE.lastrow)-ROW(PLE.firstrow))),0,IF(OFFSET(PLE!$G$14,$M669,BE$13)="",10^12,OFFSET(PLE!$G$14,$M669,BE$13))))</f>
        <v>0</v>
      </c>
      <c r="BF669" s="182">
        <f ca="1">IF($D669&lt;&gt;"Serviço",0,IF(OR(AND(AUTOEVENTO="Manual",$M669=1),$M669&gt;(ROW(PLE.lastrow)-ROW(PLE.firstrow))),0,IF(OFFSET(PLE!$G$14,$M669,BF$13)="",10^12,OFFSET(PLE!$G$14,$M669,BF$13))))</f>
        <v>0</v>
      </c>
      <c r="BG669" s="182">
        <f ca="1">IF($D669&lt;&gt;"Serviço",0,IF(OR(AND(AUTOEVENTO="Manual",$M669=1),$M669&gt;(ROW(PLE.lastrow)-ROW(PLE.firstrow))),0,IF(OFFSET(PLE!$G$14,$M669,BG$13)="",10^12,OFFSET(PLE!$G$14,$M669,BG$13))))</f>
        <v>0</v>
      </c>
    </row>
    <row r="670" spans="1:59" ht="25.5" x14ac:dyDescent="0.2">
      <c r="A670" s="7" t="str">
        <f t="shared" ca="1" si="17"/>
        <v>654</v>
      </c>
      <c r="B670" s="7" t="str">
        <f ca="1">OFFSET(ORÇAMENTO!C$15,ROW(B670)-ROW(B$15),0)</f>
        <v>S</v>
      </c>
      <c r="C670" s="7" t="str">
        <f ca="1">OFFSET(ORÇAMENTO!L$15,ROW(C670)-ROW(C$15),0)</f>
        <v/>
      </c>
      <c r="D670" s="118" t="str">
        <f ca="1">OFFSET(ORÇAMENTO!N$15,ROW(D670)-ROW(D$15),0)</f>
        <v>Serviço</v>
      </c>
      <c r="E670" s="119" t="str">
        <f ca="1">OFFSET(ORÇAMENTO!O$15,ROW(E670)-ROW(E$15),0)</f>
        <v>-</v>
      </c>
      <c r="F670" s="172" t="str">
        <f ca="1">OFFSET(ORÇAMENTO!R$15,ROW(F670)-ROW(F$15),0)</f>
        <v>(abra o arquivo 'Referência 02-2025.xlsm)</v>
      </c>
      <c r="G670" s="173" t="str">
        <f ca="1">IF($D670&lt;&gt;"Serviço","",OFFSET(ORÇAMENTO!S$15,ROW(G670)-ROW(G$15),0))</f>
        <v>-</v>
      </c>
      <c r="H670" s="124">
        <f ca="1">IF($D670&lt;&gt;"Serviço",0,IF(ACOMPANHAMENTO="BM",ROUND(OFFSET(ORÇAMENTO!AJ$15,ROW(H670)-ROW(H$15),0),15-13*ORÇAMENTO!$AF$7),SUMPRODUCT(($Q$12:$AA$12&lt;&gt;"")*ROUND($Q670:$AA670,15-13*ORÇAMENTO!$AF$7))))</f>
        <v>2</v>
      </c>
      <c r="I670" s="561"/>
      <c r="K670" s="174"/>
      <c r="L670" s="175" t="s">
        <v>255</v>
      </c>
      <c r="M670" s="176">
        <f ca="1">IF($D670&lt;&gt;"Serviço","",IF(AUTOEVENTO="manual",$A670,IF(ISERROR(MATCH($A670,$A$15:OFFSET($A670,-1,0),0)),MAX($M$15:OFFSET(M670,-1,0))+1,INDEX($M$15:OFFSET(M670,-1,0),MATCH($A670,$A$15:OFFSET($A670,-1,0),0)))))</f>
        <v>23</v>
      </c>
      <c r="N670" s="177" t="str">
        <f ca="1">IF($D670&lt;&gt;"Serviço","",IF(AUTOEVENTO="Manual",IF($A670=0,"&lt;-- defina o número do agrupador",OFFSET(EVENTOS!$D$14,$A670,0)),OFFSET($F$15,$A670,0)))</f>
        <v>INSTALAÇÕES DE GÁS COMBUSTÍVEL</v>
      </c>
      <c r="O670" s="178"/>
      <c r="Q670" s="178"/>
      <c r="R670" s="179"/>
      <c r="S670" s="179"/>
      <c r="T670" s="179"/>
      <c r="U670" s="179"/>
      <c r="V670" s="179"/>
      <c r="W670" s="179"/>
      <c r="X670" s="179"/>
      <c r="Y670" s="179"/>
      <c r="Z670" s="180"/>
      <c r="AB670" s="544">
        <f ca="1">IF(AND($D670="Serviço",AB$12&lt;&gt;0,$H670&gt;0,OR(AUTOEVENTO&lt;&gt;"manual",$M670&lt;&gt;1)),
IF(Import.TipoArredondamento&lt;&gt;"TransfereGOV",
ROUND(OFFSET($P670,0,AB$13),15-13*ORÇAMENTO!$AF$7)/$H670*OFFSET(ORÇAMENTO!$X$15,ROW(AB670)-ROW(AB$15),0),
ROUND(ROUND(OFFSET($P670,0,AB$13),15-13*ORÇAMENTO!$AF$7)*OFFSET(ORÇAMENTO!$W$15,ROW(AB670)-ROW(AB$15),0),15-13*ORÇAMENTO!$AF$11)),0)</f>
        <v>0</v>
      </c>
      <c r="AC670" s="545">
        <f ca="1">IF(AND($D670="Serviço",AC$12&lt;&gt;0,$H670&gt;0,OR(AUTOEVENTO&lt;&gt;"manual",$M670&lt;&gt;1)),
IF(Import.TipoArredondamento&lt;&gt;"TransfereGOV",
ROUND(OFFSET($P670,0,AC$13),15-13*ORÇAMENTO!$AF$7)/$H670*OFFSET(ORÇAMENTO!$X$15,ROW(AC670)-ROW(AC$15),0),
ROUND(ROUND(OFFSET($P670,0,AC$13),15-13*ORÇAMENTO!$AF$7)*OFFSET(ORÇAMENTO!$W$15,ROW(AC670)-ROW(AC$15),0),15-13*ORÇAMENTO!$AF$11)),0)</f>
        <v>0</v>
      </c>
      <c r="AD670" s="545">
        <f ca="1">IF(AND($D670="Serviço",AD$12&lt;&gt;0,$H670&gt;0,OR(AUTOEVENTO&lt;&gt;"manual",$M670&lt;&gt;1)),
IF(Import.TipoArredondamento&lt;&gt;"TransfereGOV",
ROUND(OFFSET($P670,0,AD$13),15-13*ORÇAMENTO!$AF$7)/$H670*OFFSET(ORÇAMENTO!$X$15,ROW(AD670)-ROW(AD$15),0),
ROUND(ROUND(OFFSET($P670,0,AD$13),15-13*ORÇAMENTO!$AF$7)*OFFSET(ORÇAMENTO!$W$15,ROW(AD670)-ROW(AD$15),0),15-13*ORÇAMENTO!$AF$11)),0)</f>
        <v>0</v>
      </c>
      <c r="AE670" s="545">
        <f ca="1">IF(AND($D670="Serviço",AE$12&lt;&gt;0,$H670&gt;0,OR(AUTOEVENTO&lt;&gt;"manual",$M670&lt;&gt;1)),
IF(Import.TipoArredondamento&lt;&gt;"TransfereGOV",
ROUND(OFFSET($P670,0,AE$13),15-13*ORÇAMENTO!$AF$7)/$H670*OFFSET(ORÇAMENTO!$X$15,ROW(AE670)-ROW(AE$15),0),
ROUND(ROUND(OFFSET($P670,0,AE$13),15-13*ORÇAMENTO!$AF$7)*OFFSET(ORÇAMENTO!$W$15,ROW(AE670)-ROW(AE$15),0),15-13*ORÇAMENTO!$AF$11)),0)</f>
        <v>0</v>
      </c>
      <c r="AF670" s="545">
        <f ca="1">IF(AND($D670="Serviço",AF$12&lt;&gt;0,$H670&gt;0,OR(AUTOEVENTO&lt;&gt;"manual",$M670&lt;&gt;1)),
IF(Import.TipoArredondamento&lt;&gt;"TransfereGOV",
ROUND(OFFSET($P670,0,AF$13),15-13*ORÇAMENTO!$AF$7)/$H670*OFFSET(ORÇAMENTO!$X$15,ROW(AF670)-ROW(AF$15),0),
ROUND(ROUND(OFFSET($P670,0,AF$13),15-13*ORÇAMENTO!$AF$7)*OFFSET(ORÇAMENTO!$W$15,ROW(AF670)-ROW(AF$15),0),15-13*ORÇAMENTO!$AF$11)),0)</f>
        <v>0</v>
      </c>
      <c r="AG670" s="545">
        <f ca="1">IF(AND($D670="Serviço",AG$12&lt;&gt;0,$H670&gt;0,OR(AUTOEVENTO&lt;&gt;"manual",$M670&lt;&gt;1)),
IF(Import.TipoArredondamento&lt;&gt;"TransfereGOV",
ROUND(OFFSET($P670,0,AG$13),15-13*ORÇAMENTO!$AF$7)/$H670*OFFSET(ORÇAMENTO!$X$15,ROW(AG670)-ROW(AG$15),0),
ROUND(ROUND(OFFSET($P670,0,AG$13),15-13*ORÇAMENTO!$AF$7)*OFFSET(ORÇAMENTO!$W$15,ROW(AG670)-ROW(AG$15),0),15-13*ORÇAMENTO!$AF$11)),0)</f>
        <v>0</v>
      </c>
      <c r="AH670" s="545">
        <f ca="1">IF(AND($D670="Serviço",AH$12&lt;&gt;0,$H670&gt;0,OR(AUTOEVENTO&lt;&gt;"manual",$M670&lt;&gt;1)),
IF(Import.TipoArredondamento&lt;&gt;"TransfereGOV",
ROUND(OFFSET($P670,0,AH$13),15-13*ORÇAMENTO!$AF$7)/$H670*OFFSET(ORÇAMENTO!$X$15,ROW(AH670)-ROW(AH$15),0),
ROUND(ROUND(OFFSET($P670,0,AH$13),15-13*ORÇAMENTO!$AF$7)*OFFSET(ORÇAMENTO!$W$15,ROW(AH670)-ROW(AH$15),0),15-13*ORÇAMENTO!$AF$11)),0)</f>
        <v>0</v>
      </c>
      <c r="AI670" s="545">
        <f ca="1">IF(AND($D670="Serviço",AI$12&lt;&gt;0,$H670&gt;0,OR(AUTOEVENTO&lt;&gt;"manual",$M670&lt;&gt;1)),
IF(Import.TipoArredondamento&lt;&gt;"TransfereGOV",
ROUND(OFFSET($P670,0,AI$13),15-13*ORÇAMENTO!$AF$7)/$H670*OFFSET(ORÇAMENTO!$X$15,ROW(AI670)-ROW(AI$15),0),
ROUND(ROUND(OFFSET($P670,0,AI$13),15-13*ORÇAMENTO!$AF$7)*OFFSET(ORÇAMENTO!$W$15,ROW(AI670)-ROW(AI$15),0),15-13*ORÇAMENTO!$AF$11)),0)</f>
        <v>0</v>
      </c>
      <c r="AJ670" s="545">
        <f ca="1">IF(AND($D670="Serviço",AJ$12&lt;&gt;0,$H670&gt;0,OR(AUTOEVENTO&lt;&gt;"manual",$M670&lt;&gt;1)),
IF(Import.TipoArredondamento&lt;&gt;"TransfereGOV",
ROUND(OFFSET($P670,0,AJ$13),15-13*ORÇAMENTO!$AF$7)/$H670*OFFSET(ORÇAMENTO!$X$15,ROW(AJ670)-ROW(AJ$15),0),
ROUND(ROUND(OFFSET($P670,0,AJ$13),15-13*ORÇAMENTO!$AF$7)*OFFSET(ORÇAMENTO!$W$15,ROW(AJ670)-ROW(AJ$15),0),15-13*ORÇAMENTO!$AF$11)),0)</f>
        <v>0</v>
      </c>
      <c r="AK670" s="546">
        <f ca="1">IF(AND($D670="Serviço",AK$12&lt;&gt;0,$H670&gt;0,OR(AUTOEVENTO&lt;&gt;"manual",$M670&lt;&gt;1)),
IF(Import.TipoArredondamento&lt;&gt;"TransfereGOV",
ROUND(OFFSET($P670,0,AK$13),15-13*ORÇAMENTO!$AF$7)/$H670*OFFSET(ORÇAMENTO!$X$15,ROW(AK670)-ROW(AK$15),0),
ROUND(ROUND(OFFSET($P670,0,AK$13),15-13*ORÇAMENTO!$AF$7)*OFFSET(ORÇAMENTO!$W$15,ROW(AK670)-ROW(AK$15),0),15-13*ORÇAMENTO!$AF$11)),0)</f>
        <v>0</v>
      </c>
      <c r="AM670" s="181">
        <f ca="1">IF($D670&lt;&gt;"Serviço",0,IF(AND(AUTOEVENTO="Manual",$M670=1),0,IF(OFFSET(CRONOPLE!$F$14,$M670,AM$13)="",10^12,OFFSET(CRONOPLE!$F$14,$M670,AM$13))))</f>
        <v>1000000000000</v>
      </c>
      <c r="AN670" s="181">
        <f ca="1">IF($D670&lt;&gt;"Serviço",0,IF(AND(AUTOEVENTO="Manual",$M670=1),0,IF(OFFSET(CRONOPLE!$F$14,$M670,AN$13)="",10^12,OFFSET(CRONOPLE!$F$14,$M670,AN$13))))</f>
        <v>1000000000000</v>
      </c>
      <c r="AO670" s="181">
        <f ca="1">IF($D670&lt;&gt;"Serviço",0,IF(AND(AUTOEVENTO="Manual",$M670=1),0,IF(OFFSET(CRONOPLE!$F$14,$M670,AO$13)="",10^12,OFFSET(CRONOPLE!$F$14,$M670,AO$13))))</f>
        <v>1000000000000</v>
      </c>
      <c r="AP670" s="181">
        <f ca="1">IF($D670&lt;&gt;"Serviço",0,IF(AND(AUTOEVENTO="Manual",$M670=1),0,IF(OFFSET(CRONOPLE!$F$14,$M670,AP$13)="",10^12,OFFSET(CRONOPLE!$F$14,$M670,AP$13))))</f>
        <v>1000000000000</v>
      </c>
      <c r="AQ670" s="181">
        <f ca="1">IF($D670&lt;&gt;"Serviço",0,IF(AND(AUTOEVENTO="Manual",$M670=1),0,IF(OFFSET(CRONOPLE!$F$14,$M670,AQ$13)="",10^12,OFFSET(CRONOPLE!$F$14,$M670,AQ$13))))</f>
        <v>1000000000000</v>
      </c>
      <c r="AR670" s="181">
        <f ca="1">IF($D670&lt;&gt;"Serviço",0,IF(AND(AUTOEVENTO="Manual",$M670=1),0,IF(OFFSET(CRONOPLE!$F$14,$M670,AR$13)="",10^12,OFFSET(CRONOPLE!$F$14,$M670,AR$13))))</f>
        <v>1000000000000</v>
      </c>
      <c r="AS670" s="181">
        <f ca="1">IF($D670&lt;&gt;"Serviço",0,IF(AND(AUTOEVENTO="Manual",$M670=1),0,IF(OFFSET(CRONOPLE!$F$14,$M670,AS$13)="",10^12,OFFSET(CRONOPLE!$F$14,$M670,AS$13))))</f>
        <v>1000000000000</v>
      </c>
      <c r="AT670" s="181">
        <f ca="1">IF($D670&lt;&gt;"Serviço",0,IF(AND(AUTOEVENTO="Manual",$M670=1),0,IF(OFFSET(CRONOPLE!$F$14,$M670,AT$13)="",10^12,OFFSET(CRONOPLE!$F$14,$M670,AT$13))))</f>
        <v>1000000000000</v>
      </c>
      <c r="AU670" s="181">
        <f ca="1">IF($D670&lt;&gt;"Serviço",0,IF(AND(AUTOEVENTO="Manual",$M670=1),0,IF(OFFSET(CRONOPLE!$F$14,$M670,AU$13)="",10^12,OFFSET(CRONOPLE!$F$14,$M670,AU$13))))</f>
        <v>1000000000000</v>
      </c>
      <c r="AV670" s="181">
        <f ca="1">IF($D670&lt;&gt;"Serviço",0,IF(AND(AUTOEVENTO="Manual",$M670=1),0,IF(OFFSET(CRONOPLE!$F$14,$M670,AV$13)="",10^12,OFFSET(CRONOPLE!$F$14,$M670,AV$13))))</f>
        <v>1000000000000</v>
      </c>
      <c r="AX670" s="182">
        <f ca="1">IF($D670&lt;&gt;"Serviço",0,IF(OR(AND(AUTOEVENTO="Manual",$M670=1),$M670&gt;(ROW(PLE.lastrow)-ROW(PLE.firstrow))),0,IF(OFFSET(PLE!$G$14,$M670,AX$13)="",10^12,OFFSET(PLE!$G$14,$M670,AX$13))))</f>
        <v>1000000000000</v>
      </c>
      <c r="AY670" s="182">
        <f ca="1">IF($D670&lt;&gt;"Serviço",0,IF(OR(AND(AUTOEVENTO="Manual",$M670=1),$M670&gt;(ROW(PLE.lastrow)-ROW(PLE.firstrow))),0,IF(OFFSET(PLE!$G$14,$M670,AY$13)="",10^12,OFFSET(PLE!$G$14,$M670,AY$13))))</f>
        <v>1000000000000</v>
      </c>
      <c r="AZ670" s="182">
        <f ca="1">IF($D670&lt;&gt;"Serviço",0,IF(OR(AND(AUTOEVENTO="Manual",$M670=1),$M670&gt;(ROW(PLE.lastrow)-ROW(PLE.firstrow))),0,IF(OFFSET(PLE!$G$14,$M670,AZ$13)="",10^12,OFFSET(PLE!$G$14,$M670,AZ$13))))</f>
        <v>1000000000000</v>
      </c>
      <c r="BA670" s="182">
        <f ca="1">IF($D670&lt;&gt;"Serviço",0,IF(OR(AND(AUTOEVENTO="Manual",$M670=1),$M670&gt;(ROW(PLE.lastrow)-ROW(PLE.firstrow))),0,IF(OFFSET(PLE!$G$14,$M670,BA$13)="",10^12,OFFSET(PLE!$G$14,$M670,BA$13))))</f>
        <v>1000000000000</v>
      </c>
      <c r="BB670" s="182">
        <f ca="1">IF($D670&lt;&gt;"Serviço",0,IF(OR(AND(AUTOEVENTO="Manual",$M670=1),$M670&gt;(ROW(PLE.lastrow)-ROW(PLE.firstrow))),0,IF(OFFSET(PLE!$G$14,$M670,BB$13)="",10^12,OFFSET(PLE!$G$14,$M670,BB$13))))</f>
        <v>1000000000000</v>
      </c>
      <c r="BC670" s="182">
        <f ca="1">IF($D670&lt;&gt;"Serviço",0,IF(OR(AND(AUTOEVENTO="Manual",$M670=1),$M670&gt;(ROW(PLE.lastrow)-ROW(PLE.firstrow))),0,IF(OFFSET(PLE!$G$14,$M670,BC$13)="",10^12,OFFSET(PLE!$G$14,$M670,BC$13))))</f>
        <v>1000000000000</v>
      </c>
      <c r="BD670" s="182">
        <f ca="1">IF($D670&lt;&gt;"Serviço",0,IF(OR(AND(AUTOEVENTO="Manual",$M670=1),$M670&gt;(ROW(PLE.lastrow)-ROW(PLE.firstrow))),0,IF(OFFSET(PLE!$G$14,$M670,BD$13)="",10^12,OFFSET(PLE!$G$14,$M670,BD$13))))</f>
        <v>1000000000000</v>
      </c>
      <c r="BE670" s="182">
        <f ca="1">IF($D670&lt;&gt;"Serviço",0,IF(OR(AND(AUTOEVENTO="Manual",$M670=1),$M670&gt;(ROW(PLE.lastrow)-ROW(PLE.firstrow))),0,IF(OFFSET(PLE!$G$14,$M670,BE$13)="",10^12,OFFSET(PLE!$G$14,$M670,BE$13))))</f>
        <v>1000000000000</v>
      </c>
      <c r="BF670" s="182">
        <f ca="1">IF($D670&lt;&gt;"Serviço",0,IF(OR(AND(AUTOEVENTO="Manual",$M670=1),$M670&gt;(ROW(PLE.lastrow)-ROW(PLE.firstrow))),0,IF(OFFSET(PLE!$G$14,$M670,BF$13)="",10^12,OFFSET(PLE!$G$14,$M670,BF$13))))</f>
        <v>1000000000000</v>
      </c>
      <c r="BG670" s="182">
        <f ca="1">IF($D670&lt;&gt;"Serviço",0,IF(OR(AND(AUTOEVENTO="Manual",$M670=1),$M670&gt;(ROW(PLE.lastrow)-ROW(PLE.firstrow))),0,IF(OFFSET(PLE!$G$14,$M670,BG$13)="",10^12,OFFSET(PLE!$G$14,$M670,BG$13))))</f>
        <v>1000000000000</v>
      </c>
    </row>
    <row r="671" spans="1:59" ht="25.5" x14ac:dyDescent="0.2">
      <c r="A671" s="7" t="str">
        <f t="shared" ca="1" si="17"/>
        <v>654</v>
      </c>
      <c r="B671" s="7" t="str">
        <f ca="1">OFFSET(ORÇAMENTO!C$15,ROW(B671)-ROW(B$15),0)</f>
        <v>S</v>
      </c>
      <c r="C671" s="7" t="str">
        <f ca="1">OFFSET(ORÇAMENTO!L$15,ROW(C671)-ROW(C$15),0)</f>
        <v/>
      </c>
      <c r="D671" s="118" t="str">
        <f ca="1">OFFSET(ORÇAMENTO!N$15,ROW(D671)-ROW(D$15),0)</f>
        <v>Serviço</v>
      </c>
      <c r="E671" s="119" t="str">
        <f ca="1">OFFSET(ORÇAMENTO!O$15,ROW(E671)-ROW(E$15),0)</f>
        <v>-</v>
      </c>
      <c r="F671" s="172" t="str">
        <f ca="1">OFFSET(ORÇAMENTO!R$15,ROW(F671)-ROW(F$15),0)</f>
        <v>(abra o arquivo 'Referência 02-2025.xlsm)</v>
      </c>
      <c r="G671" s="173" t="str">
        <f ca="1">IF($D671&lt;&gt;"Serviço","",OFFSET(ORÇAMENTO!S$15,ROW(G671)-ROW(G$15),0))</f>
        <v>-</v>
      </c>
      <c r="H671" s="124">
        <f ca="1">IF($D671&lt;&gt;"Serviço",0,IF(ACOMPANHAMENTO="BM",ROUND(OFFSET(ORÇAMENTO!AJ$15,ROW(H671)-ROW(H$15),0),15-13*ORÇAMENTO!$AF$7),SUMPRODUCT(($Q$12:$AA$12&lt;&gt;"")*ROUND($Q671:$AA671,15-13*ORÇAMENTO!$AF$7))))</f>
        <v>4</v>
      </c>
      <c r="I671" s="561"/>
      <c r="K671" s="174"/>
      <c r="L671" s="175" t="s">
        <v>255</v>
      </c>
      <c r="M671" s="176">
        <f ca="1">IF($D671&lt;&gt;"Serviço","",IF(AUTOEVENTO="manual",$A671,IF(ISERROR(MATCH($A671,$A$15:OFFSET($A671,-1,0),0)),MAX($M$15:OFFSET(M671,-1,0))+1,INDEX($M$15:OFFSET(M671,-1,0),MATCH($A671,$A$15:OFFSET($A671,-1,0),0)))))</f>
        <v>23</v>
      </c>
      <c r="N671" s="177" t="str">
        <f ca="1">IF($D671&lt;&gt;"Serviço","",IF(AUTOEVENTO="Manual",IF($A671=0,"&lt;-- defina o número do agrupador",OFFSET(EVENTOS!$D$14,$A671,0)),OFFSET($F$15,$A671,0)))</f>
        <v>INSTALAÇÕES DE GÁS COMBUSTÍVEL</v>
      </c>
      <c r="O671" s="178"/>
      <c r="Q671" s="178"/>
      <c r="R671" s="179"/>
      <c r="S671" s="179"/>
      <c r="T671" s="179"/>
      <c r="U671" s="179"/>
      <c r="V671" s="179"/>
      <c r="W671" s="179"/>
      <c r="X671" s="179"/>
      <c r="Y671" s="179"/>
      <c r="Z671" s="180"/>
      <c r="AB671" s="544">
        <f ca="1">IF(AND($D671="Serviço",AB$12&lt;&gt;0,$H671&gt;0,OR(AUTOEVENTO&lt;&gt;"manual",$M671&lt;&gt;1)),
IF(Import.TipoArredondamento&lt;&gt;"TransfereGOV",
ROUND(OFFSET($P671,0,AB$13),15-13*ORÇAMENTO!$AF$7)/$H671*OFFSET(ORÇAMENTO!$X$15,ROW(AB671)-ROW(AB$15),0),
ROUND(ROUND(OFFSET($P671,0,AB$13),15-13*ORÇAMENTO!$AF$7)*OFFSET(ORÇAMENTO!$W$15,ROW(AB671)-ROW(AB$15),0),15-13*ORÇAMENTO!$AF$11)),0)</f>
        <v>0</v>
      </c>
      <c r="AC671" s="545">
        <f ca="1">IF(AND($D671="Serviço",AC$12&lt;&gt;0,$H671&gt;0,OR(AUTOEVENTO&lt;&gt;"manual",$M671&lt;&gt;1)),
IF(Import.TipoArredondamento&lt;&gt;"TransfereGOV",
ROUND(OFFSET($P671,0,AC$13),15-13*ORÇAMENTO!$AF$7)/$H671*OFFSET(ORÇAMENTO!$X$15,ROW(AC671)-ROW(AC$15),0),
ROUND(ROUND(OFFSET($P671,0,AC$13),15-13*ORÇAMENTO!$AF$7)*OFFSET(ORÇAMENTO!$W$15,ROW(AC671)-ROW(AC$15),0),15-13*ORÇAMENTO!$AF$11)),0)</f>
        <v>0</v>
      </c>
      <c r="AD671" s="545">
        <f ca="1">IF(AND($D671="Serviço",AD$12&lt;&gt;0,$H671&gt;0,OR(AUTOEVENTO&lt;&gt;"manual",$M671&lt;&gt;1)),
IF(Import.TipoArredondamento&lt;&gt;"TransfereGOV",
ROUND(OFFSET($P671,0,AD$13),15-13*ORÇAMENTO!$AF$7)/$H671*OFFSET(ORÇAMENTO!$X$15,ROW(AD671)-ROW(AD$15),0),
ROUND(ROUND(OFFSET($P671,0,AD$13),15-13*ORÇAMENTO!$AF$7)*OFFSET(ORÇAMENTO!$W$15,ROW(AD671)-ROW(AD$15),0),15-13*ORÇAMENTO!$AF$11)),0)</f>
        <v>0</v>
      </c>
      <c r="AE671" s="545">
        <f ca="1">IF(AND($D671="Serviço",AE$12&lt;&gt;0,$H671&gt;0,OR(AUTOEVENTO&lt;&gt;"manual",$M671&lt;&gt;1)),
IF(Import.TipoArredondamento&lt;&gt;"TransfereGOV",
ROUND(OFFSET($P671,0,AE$13),15-13*ORÇAMENTO!$AF$7)/$H671*OFFSET(ORÇAMENTO!$X$15,ROW(AE671)-ROW(AE$15),0),
ROUND(ROUND(OFFSET($P671,0,AE$13),15-13*ORÇAMENTO!$AF$7)*OFFSET(ORÇAMENTO!$W$15,ROW(AE671)-ROW(AE$15),0),15-13*ORÇAMENTO!$AF$11)),0)</f>
        <v>0</v>
      </c>
      <c r="AF671" s="545">
        <f ca="1">IF(AND($D671="Serviço",AF$12&lt;&gt;0,$H671&gt;0,OR(AUTOEVENTO&lt;&gt;"manual",$M671&lt;&gt;1)),
IF(Import.TipoArredondamento&lt;&gt;"TransfereGOV",
ROUND(OFFSET($P671,0,AF$13),15-13*ORÇAMENTO!$AF$7)/$H671*OFFSET(ORÇAMENTO!$X$15,ROW(AF671)-ROW(AF$15),0),
ROUND(ROUND(OFFSET($P671,0,AF$13),15-13*ORÇAMENTO!$AF$7)*OFFSET(ORÇAMENTO!$W$15,ROW(AF671)-ROW(AF$15),0),15-13*ORÇAMENTO!$AF$11)),0)</f>
        <v>0</v>
      </c>
      <c r="AG671" s="545">
        <f ca="1">IF(AND($D671="Serviço",AG$12&lt;&gt;0,$H671&gt;0,OR(AUTOEVENTO&lt;&gt;"manual",$M671&lt;&gt;1)),
IF(Import.TipoArredondamento&lt;&gt;"TransfereGOV",
ROUND(OFFSET($P671,0,AG$13),15-13*ORÇAMENTO!$AF$7)/$H671*OFFSET(ORÇAMENTO!$X$15,ROW(AG671)-ROW(AG$15),0),
ROUND(ROUND(OFFSET($P671,0,AG$13),15-13*ORÇAMENTO!$AF$7)*OFFSET(ORÇAMENTO!$W$15,ROW(AG671)-ROW(AG$15),0),15-13*ORÇAMENTO!$AF$11)),0)</f>
        <v>0</v>
      </c>
      <c r="AH671" s="545">
        <f ca="1">IF(AND($D671="Serviço",AH$12&lt;&gt;0,$H671&gt;0,OR(AUTOEVENTO&lt;&gt;"manual",$M671&lt;&gt;1)),
IF(Import.TipoArredondamento&lt;&gt;"TransfereGOV",
ROUND(OFFSET($P671,0,AH$13),15-13*ORÇAMENTO!$AF$7)/$H671*OFFSET(ORÇAMENTO!$X$15,ROW(AH671)-ROW(AH$15),0),
ROUND(ROUND(OFFSET($P671,0,AH$13),15-13*ORÇAMENTO!$AF$7)*OFFSET(ORÇAMENTO!$W$15,ROW(AH671)-ROW(AH$15),0),15-13*ORÇAMENTO!$AF$11)),0)</f>
        <v>0</v>
      </c>
      <c r="AI671" s="545">
        <f ca="1">IF(AND($D671="Serviço",AI$12&lt;&gt;0,$H671&gt;0,OR(AUTOEVENTO&lt;&gt;"manual",$M671&lt;&gt;1)),
IF(Import.TipoArredondamento&lt;&gt;"TransfereGOV",
ROUND(OFFSET($P671,0,AI$13),15-13*ORÇAMENTO!$AF$7)/$H671*OFFSET(ORÇAMENTO!$X$15,ROW(AI671)-ROW(AI$15),0),
ROUND(ROUND(OFFSET($P671,0,AI$13),15-13*ORÇAMENTO!$AF$7)*OFFSET(ORÇAMENTO!$W$15,ROW(AI671)-ROW(AI$15),0),15-13*ORÇAMENTO!$AF$11)),0)</f>
        <v>0</v>
      </c>
      <c r="AJ671" s="545">
        <f ca="1">IF(AND($D671="Serviço",AJ$12&lt;&gt;0,$H671&gt;0,OR(AUTOEVENTO&lt;&gt;"manual",$M671&lt;&gt;1)),
IF(Import.TipoArredondamento&lt;&gt;"TransfereGOV",
ROUND(OFFSET($P671,0,AJ$13),15-13*ORÇAMENTO!$AF$7)/$H671*OFFSET(ORÇAMENTO!$X$15,ROW(AJ671)-ROW(AJ$15),0),
ROUND(ROUND(OFFSET($P671,0,AJ$13),15-13*ORÇAMENTO!$AF$7)*OFFSET(ORÇAMENTO!$W$15,ROW(AJ671)-ROW(AJ$15),0),15-13*ORÇAMENTO!$AF$11)),0)</f>
        <v>0</v>
      </c>
      <c r="AK671" s="546">
        <f ca="1">IF(AND($D671="Serviço",AK$12&lt;&gt;0,$H671&gt;0,OR(AUTOEVENTO&lt;&gt;"manual",$M671&lt;&gt;1)),
IF(Import.TipoArredondamento&lt;&gt;"TransfereGOV",
ROUND(OFFSET($P671,0,AK$13),15-13*ORÇAMENTO!$AF$7)/$H671*OFFSET(ORÇAMENTO!$X$15,ROW(AK671)-ROW(AK$15),0),
ROUND(ROUND(OFFSET($P671,0,AK$13),15-13*ORÇAMENTO!$AF$7)*OFFSET(ORÇAMENTO!$W$15,ROW(AK671)-ROW(AK$15),0),15-13*ORÇAMENTO!$AF$11)),0)</f>
        <v>0</v>
      </c>
      <c r="AM671" s="181">
        <f ca="1">IF($D671&lt;&gt;"Serviço",0,IF(AND(AUTOEVENTO="Manual",$M671=1),0,IF(OFFSET(CRONOPLE!$F$14,$M671,AM$13)="",10^12,OFFSET(CRONOPLE!$F$14,$M671,AM$13))))</f>
        <v>1000000000000</v>
      </c>
      <c r="AN671" s="181">
        <f ca="1">IF($D671&lt;&gt;"Serviço",0,IF(AND(AUTOEVENTO="Manual",$M671=1),0,IF(OFFSET(CRONOPLE!$F$14,$M671,AN$13)="",10^12,OFFSET(CRONOPLE!$F$14,$M671,AN$13))))</f>
        <v>1000000000000</v>
      </c>
      <c r="AO671" s="181">
        <f ca="1">IF($D671&lt;&gt;"Serviço",0,IF(AND(AUTOEVENTO="Manual",$M671=1),0,IF(OFFSET(CRONOPLE!$F$14,$M671,AO$13)="",10^12,OFFSET(CRONOPLE!$F$14,$M671,AO$13))))</f>
        <v>1000000000000</v>
      </c>
      <c r="AP671" s="181">
        <f ca="1">IF($D671&lt;&gt;"Serviço",0,IF(AND(AUTOEVENTO="Manual",$M671=1),0,IF(OFFSET(CRONOPLE!$F$14,$M671,AP$13)="",10^12,OFFSET(CRONOPLE!$F$14,$M671,AP$13))))</f>
        <v>1000000000000</v>
      </c>
      <c r="AQ671" s="181">
        <f ca="1">IF($D671&lt;&gt;"Serviço",0,IF(AND(AUTOEVENTO="Manual",$M671=1),0,IF(OFFSET(CRONOPLE!$F$14,$M671,AQ$13)="",10^12,OFFSET(CRONOPLE!$F$14,$M671,AQ$13))))</f>
        <v>1000000000000</v>
      </c>
      <c r="AR671" s="181">
        <f ca="1">IF($D671&lt;&gt;"Serviço",0,IF(AND(AUTOEVENTO="Manual",$M671=1),0,IF(OFFSET(CRONOPLE!$F$14,$M671,AR$13)="",10^12,OFFSET(CRONOPLE!$F$14,$M671,AR$13))))</f>
        <v>1000000000000</v>
      </c>
      <c r="AS671" s="181">
        <f ca="1">IF($D671&lt;&gt;"Serviço",0,IF(AND(AUTOEVENTO="Manual",$M671=1),0,IF(OFFSET(CRONOPLE!$F$14,$M671,AS$13)="",10^12,OFFSET(CRONOPLE!$F$14,$M671,AS$13))))</f>
        <v>1000000000000</v>
      </c>
      <c r="AT671" s="181">
        <f ca="1">IF($D671&lt;&gt;"Serviço",0,IF(AND(AUTOEVENTO="Manual",$M671=1),0,IF(OFFSET(CRONOPLE!$F$14,$M671,AT$13)="",10^12,OFFSET(CRONOPLE!$F$14,$M671,AT$13))))</f>
        <v>1000000000000</v>
      </c>
      <c r="AU671" s="181">
        <f ca="1">IF($D671&lt;&gt;"Serviço",0,IF(AND(AUTOEVENTO="Manual",$M671=1),0,IF(OFFSET(CRONOPLE!$F$14,$M671,AU$13)="",10^12,OFFSET(CRONOPLE!$F$14,$M671,AU$13))))</f>
        <v>1000000000000</v>
      </c>
      <c r="AV671" s="181">
        <f ca="1">IF($D671&lt;&gt;"Serviço",0,IF(AND(AUTOEVENTO="Manual",$M671=1),0,IF(OFFSET(CRONOPLE!$F$14,$M671,AV$13)="",10^12,OFFSET(CRONOPLE!$F$14,$M671,AV$13))))</f>
        <v>1000000000000</v>
      </c>
      <c r="AX671" s="182">
        <f ca="1">IF($D671&lt;&gt;"Serviço",0,IF(OR(AND(AUTOEVENTO="Manual",$M671=1),$M671&gt;(ROW(PLE.lastrow)-ROW(PLE.firstrow))),0,IF(OFFSET(PLE!$G$14,$M671,AX$13)="",10^12,OFFSET(PLE!$G$14,$M671,AX$13))))</f>
        <v>1000000000000</v>
      </c>
      <c r="AY671" s="182">
        <f ca="1">IF($D671&lt;&gt;"Serviço",0,IF(OR(AND(AUTOEVENTO="Manual",$M671=1),$M671&gt;(ROW(PLE.lastrow)-ROW(PLE.firstrow))),0,IF(OFFSET(PLE!$G$14,$M671,AY$13)="",10^12,OFFSET(PLE!$G$14,$M671,AY$13))))</f>
        <v>1000000000000</v>
      </c>
      <c r="AZ671" s="182">
        <f ca="1">IF($D671&lt;&gt;"Serviço",0,IF(OR(AND(AUTOEVENTO="Manual",$M671=1),$M671&gt;(ROW(PLE.lastrow)-ROW(PLE.firstrow))),0,IF(OFFSET(PLE!$G$14,$M671,AZ$13)="",10^12,OFFSET(PLE!$G$14,$M671,AZ$13))))</f>
        <v>1000000000000</v>
      </c>
      <c r="BA671" s="182">
        <f ca="1">IF($D671&lt;&gt;"Serviço",0,IF(OR(AND(AUTOEVENTO="Manual",$M671=1),$M671&gt;(ROW(PLE.lastrow)-ROW(PLE.firstrow))),0,IF(OFFSET(PLE!$G$14,$M671,BA$13)="",10^12,OFFSET(PLE!$G$14,$M671,BA$13))))</f>
        <v>1000000000000</v>
      </c>
      <c r="BB671" s="182">
        <f ca="1">IF($D671&lt;&gt;"Serviço",0,IF(OR(AND(AUTOEVENTO="Manual",$M671=1),$M671&gt;(ROW(PLE.lastrow)-ROW(PLE.firstrow))),0,IF(OFFSET(PLE!$G$14,$M671,BB$13)="",10^12,OFFSET(PLE!$G$14,$M671,BB$13))))</f>
        <v>1000000000000</v>
      </c>
      <c r="BC671" s="182">
        <f ca="1">IF($D671&lt;&gt;"Serviço",0,IF(OR(AND(AUTOEVENTO="Manual",$M671=1),$M671&gt;(ROW(PLE.lastrow)-ROW(PLE.firstrow))),0,IF(OFFSET(PLE!$G$14,$M671,BC$13)="",10^12,OFFSET(PLE!$G$14,$M671,BC$13))))</f>
        <v>1000000000000</v>
      </c>
      <c r="BD671" s="182">
        <f ca="1">IF($D671&lt;&gt;"Serviço",0,IF(OR(AND(AUTOEVENTO="Manual",$M671=1),$M671&gt;(ROW(PLE.lastrow)-ROW(PLE.firstrow))),0,IF(OFFSET(PLE!$G$14,$M671,BD$13)="",10^12,OFFSET(PLE!$G$14,$M671,BD$13))))</f>
        <v>1000000000000</v>
      </c>
      <c r="BE671" s="182">
        <f ca="1">IF($D671&lt;&gt;"Serviço",0,IF(OR(AND(AUTOEVENTO="Manual",$M671=1),$M671&gt;(ROW(PLE.lastrow)-ROW(PLE.firstrow))),0,IF(OFFSET(PLE!$G$14,$M671,BE$13)="",10^12,OFFSET(PLE!$G$14,$M671,BE$13))))</f>
        <v>1000000000000</v>
      </c>
      <c r="BF671" s="182">
        <f ca="1">IF($D671&lt;&gt;"Serviço",0,IF(OR(AND(AUTOEVENTO="Manual",$M671=1),$M671&gt;(ROW(PLE.lastrow)-ROW(PLE.firstrow))),0,IF(OFFSET(PLE!$G$14,$M671,BF$13)="",10^12,OFFSET(PLE!$G$14,$M671,BF$13))))</f>
        <v>1000000000000</v>
      </c>
      <c r="BG671" s="182">
        <f ca="1">IF($D671&lt;&gt;"Serviço",0,IF(OR(AND(AUTOEVENTO="Manual",$M671=1),$M671&gt;(ROW(PLE.lastrow)-ROW(PLE.firstrow))),0,IF(OFFSET(PLE!$G$14,$M671,BG$13)="",10^12,OFFSET(PLE!$G$14,$M671,BG$13))))</f>
        <v>1000000000000</v>
      </c>
    </row>
    <row r="672" spans="1:59" ht="25.5" x14ac:dyDescent="0.2">
      <c r="A672" s="7" t="str">
        <f t="shared" ca="1" si="17"/>
        <v>654</v>
      </c>
      <c r="B672" s="7" t="str">
        <f ca="1">OFFSET(ORÇAMENTO!C$15,ROW(B672)-ROW(B$15),0)</f>
        <v>S</v>
      </c>
      <c r="C672" s="7" t="str">
        <f ca="1">OFFSET(ORÇAMENTO!L$15,ROW(C672)-ROW(C$15),0)</f>
        <v/>
      </c>
      <c r="D672" s="118" t="str">
        <f ca="1">OFFSET(ORÇAMENTO!N$15,ROW(D672)-ROW(D$15),0)</f>
        <v>Serviço</v>
      </c>
      <c r="E672" s="119" t="str">
        <f ca="1">OFFSET(ORÇAMENTO!O$15,ROW(E672)-ROW(E$15),0)</f>
        <v>-</v>
      </c>
      <c r="F672" s="172" t="str">
        <f ca="1">OFFSET(ORÇAMENTO!R$15,ROW(F672)-ROW(F$15),0)</f>
        <v>(abra o arquivo 'Referência 02-2025.xlsm)</v>
      </c>
      <c r="G672" s="173" t="str">
        <f ca="1">IF($D672&lt;&gt;"Serviço","",OFFSET(ORÇAMENTO!S$15,ROW(G672)-ROW(G$15),0))</f>
        <v>-</v>
      </c>
      <c r="H672" s="124">
        <f ca="1">IF($D672&lt;&gt;"Serviço",0,IF(ACOMPANHAMENTO="BM",ROUND(OFFSET(ORÇAMENTO!AJ$15,ROW(H672)-ROW(H$15),0),15-13*ORÇAMENTO!$AF$7),SUMPRODUCT(($Q$12:$AA$12&lt;&gt;"")*ROUND($Q672:$AA672,15-13*ORÇAMENTO!$AF$7))))</f>
        <v>1</v>
      </c>
      <c r="I672" s="561"/>
      <c r="K672" s="174"/>
      <c r="L672" s="175" t="s">
        <v>255</v>
      </c>
      <c r="M672" s="176">
        <f ca="1">IF($D672&lt;&gt;"Serviço","",IF(AUTOEVENTO="manual",$A672,IF(ISERROR(MATCH($A672,$A$15:OFFSET($A672,-1,0),0)),MAX($M$15:OFFSET(M672,-1,0))+1,INDEX($M$15:OFFSET(M672,-1,0),MATCH($A672,$A$15:OFFSET($A672,-1,0),0)))))</f>
        <v>23</v>
      </c>
      <c r="N672" s="177" t="str">
        <f ca="1">IF($D672&lt;&gt;"Serviço","",IF(AUTOEVENTO="Manual",IF($A672=0,"&lt;-- defina o número do agrupador",OFFSET(EVENTOS!$D$14,$A672,0)),OFFSET($F$15,$A672,0)))</f>
        <v>INSTALAÇÕES DE GÁS COMBUSTÍVEL</v>
      </c>
      <c r="O672" s="178"/>
      <c r="Q672" s="178"/>
      <c r="R672" s="179"/>
      <c r="S672" s="179"/>
      <c r="T672" s="179"/>
      <c r="U672" s="179"/>
      <c r="V672" s="179"/>
      <c r="W672" s="179"/>
      <c r="X672" s="179"/>
      <c r="Y672" s="179"/>
      <c r="Z672" s="180"/>
      <c r="AB672" s="544">
        <f ca="1">IF(AND($D672="Serviço",AB$12&lt;&gt;0,$H672&gt;0,OR(AUTOEVENTO&lt;&gt;"manual",$M672&lt;&gt;1)),
IF(Import.TipoArredondamento&lt;&gt;"TransfereGOV",
ROUND(OFFSET($P672,0,AB$13),15-13*ORÇAMENTO!$AF$7)/$H672*OFFSET(ORÇAMENTO!$X$15,ROW(AB672)-ROW(AB$15),0),
ROUND(ROUND(OFFSET($P672,0,AB$13),15-13*ORÇAMENTO!$AF$7)*OFFSET(ORÇAMENTO!$W$15,ROW(AB672)-ROW(AB$15),0),15-13*ORÇAMENTO!$AF$11)),0)</f>
        <v>0</v>
      </c>
      <c r="AC672" s="545">
        <f ca="1">IF(AND($D672="Serviço",AC$12&lt;&gt;0,$H672&gt;0,OR(AUTOEVENTO&lt;&gt;"manual",$M672&lt;&gt;1)),
IF(Import.TipoArredondamento&lt;&gt;"TransfereGOV",
ROUND(OFFSET($P672,0,AC$13),15-13*ORÇAMENTO!$AF$7)/$H672*OFFSET(ORÇAMENTO!$X$15,ROW(AC672)-ROW(AC$15),0),
ROUND(ROUND(OFFSET($P672,0,AC$13),15-13*ORÇAMENTO!$AF$7)*OFFSET(ORÇAMENTO!$W$15,ROW(AC672)-ROW(AC$15),0),15-13*ORÇAMENTO!$AF$11)),0)</f>
        <v>0</v>
      </c>
      <c r="AD672" s="545">
        <f ca="1">IF(AND($D672="Serviço",AD$12&lt;&gt;0,$H672&gt;0,OR(AUTOEVENTO&lt;&gt;"manual",$M672&lt;&gt;1)),
IF(Import.TipoArredondamento&lt;&gt;"TransfereGOV",
ROUND(OFFSET($P672,0,AD$13),15-13*ORÇAMENTO!$AF$7)/$H672*OFFSET(ORÇAMENTO!$X$15,ROW(AD672)-ROW(AD$15),0),
ROUND(ROUND(OFFSET($P672,0,AD$13),15-13*ORÇAMENTO!$AF$7)*OFFSET(ORÇAMENTO!$W$15,ROW(AD672)-ROW(AD$15),0),15-13*ORÇAMENTO!$AF$11)),0)</f>
        <v>0</v>
      </c>
      <c r="AE672" s="545">
        <f ca="1">IF(AND($D672="Serviço",AE$12&lt;&gt;0,$H672&gt;0,OR(AUTOEVENTO&lt;&gt;"manual",$M672&lt;&gt;1)),
IF(Import.TipoArredondamento&lt;&gt;"TransfereGOV",
ROUND(OFFSET($P672,0,AE$13),15-13*ORÇAMENTO!$AF$7)/$H672*OFFSET(ORÇAMENTO!$X$15,ROW(AE672)-ROW(AE$15),0),
ROUND(ROUND(OFFSET($P672,0,AE$13),15-13*ORÇAMENTO!$AF$7)*OFFSET(ORÇAMENTO!$W$15,ROW(AE672)-ROW(AE$15),0),15-13*ORÇAMENTO!$AF$11)),0)</f>
        <v>0</v>
      </c>
      <c r="AF672" s="545">
        <f ca="1">IF(AND($D672="Serviço",AF$12&lt;&gt;0,$H672&gt;0,OR(AUTOEVENTO&lt;&gt;"manual",$M672&lt;&gt;1)),
IF(Import.TipoArredondamento&lt;&gt;"TransfereGOV",
ROUND(OFFSET($P672,0,AF$13),15-13*ORÇAMENTO!$AF$7)/$H672*OFFSET(ORÇAMENTO!$X$15,ROW(AF672)-ROW(AF$15),0),
ROUND(ROUND(OFFSET($P672,0,AF$13),15-13*ORÇAMENTO!$AF$7)*OFFSET(ORÇAMENTO!$W$15,ROW(AF672)-ROW(AF$15),0),15-13*ORÇAMENTO!$AF$11)),0)</f>
        <v>0</v>
      </c>
      <c r="AG672" s="545">
        <f ca="1">IF(AND($D672="Serviço",AG$12&lt;&gt;0,$H672&gt;0,OR(AUTOEVENTO&lt;&gt;"manual",$M672&lt;&gt;1)),
IF(Import.TipoArredondamento&lt;&gt;"TransfereGOV",
ROUND(OFFSET($P672,0,AG$13),15-13*ORÇAMENTO!$AF$7)/$H672*OFFSET(ORÇAMENTO!$X$15,ROW(AG672)-ROW(AG$15),0),
ROUND(ROUND(OFFSET($P672,0,AG$13),15-13*ORÇAMENTO!$AF$7)*OFFSET(ORÇAMENTO!$W$15,ROW(AG672)-ROW(AG$15),0),15-13*ORÇAMENTO!$AF$11)),0)</f>
        <v>0</v>
      </c>
      <c r="AH672" s="545">
        <f ca="1">IF(AND($D672="Serviço",AH$12&lt;&gt;0,$H672&gt;0,OR(AUTOEVENTO&lt;&gt;"manual",$M672&lt;&gt;1)),
IF(Import.TipoArredondamento&lt;&gt;"TransfereGOV",
ROUND(OFFSET($P672,0,AH$13),15-13*ORÇAMENTO!$AF$7)/$H672*OFFSET(ORÇAMENTO!$X$15,ROW(AH672)-ROW(AH$15),0),
ROUND(ROUND(OFFSET($P672,0,AH$13),15-13*ORÇAMENTO!$AF$7)*OFFSET(ORÇAMENTO!$W$15,ROW(AH672)-ROW(AH$15),0),15-13*ORÇAMENTO!$AF$11)),0)</f>
        <v>0</v>
      </c>
      <c r="AI672" s="545">
        <f ca="1">IF(AND($D672="Serviço",AI$12&lt;&gt;0,$H672&gt;0,OR(AUTOEVENTO&lt;&gt;"manual",$M672&lt;&gt;1)),
IF(Import.TipoArredondamento&lt;&gt;"TransfereGOV",
ROUND(OFFSET($P672,0,AI$13),15-13*ORÇAMENTO!$AF$7)/$H672*OFFSET(ORÇAMENTO!$X$15,ROW(AI672)-ROW(AI$15),0),
ROUND(ROUND(OFFSET($P672,0,AI$13),15-13*ORÇAMENTO!$AF$7)*OFFSET(ORÇAMENTO!$W$15,ROW(AI672)-ROW(AI$15),0),15-13*ORÇAMENTO!$AF$11)),0)</f>
        <v>0</v>
      </c>
      <c r="AJ672" s="545">
        <f ca="1">IF(AND($D672="Serviço",AJ$12&lt;&gt;0,$H672&gt;0,OR(AUTOEVENTO&lt;&gt;"manual",$M672&lt;&gt;1)),
IF(Import.TipoArredondamento&lt;&gt;"TransfereGOV",
ROUND(OFFSET($P672,0,AJ$13),15-13*ORÇAMENTO!$AF$7)/$H672*OFFSET(ORÇAMENTO!$X$15,ROW(AJ672)-ROW(AJ$15),0),
ROUND(ROUND(OFFSET($P672,0,AJ$13),15-13*ORÇAMENTO!$AF$7)*OFFSET(ORÇAMENTO!$W$15,ROW(AJ672)-ROW(AJ$15),0),15-13*ORÇAMENTO!$AF$11)),0)</f>
        <v>0</v>
      </c>
      <c r="AK672" s="546">
        <f ca="1">IF(AND($D672="Serviço",AK$12&lt;&gt;0,$H672&gt;0,OR(AUTOEVENTO&lt;&gt;"manual",$M672&lt;&gt;1)),
IF(Import.TipoArredondamento&lt;&gt;"TransfereGOV",
ROUND(OFFSET($P672,0,AK$13),15-13*ORÇAMENTO!$AF$7)/$H672*OFFSET(ORÇAMENTO!$X$15,ROW(AK672)-ROW(AK$15),0),
ROUND(ROUND(OFFSET($P672,0,AK$13),15-13*ORÇAMENTO!$AF$7)*OFFSET(ORÇAMENTO!$W$15,ROW(AK672)-ROW(AK$15),0),15-13*ORÇAMENTO!$AF$11)),0)</f>
        <v>0</v>
      </c>
      <c r="AM672" s="181">
        <f ca="1">IF($D672&lt;&gt;"Serviço",0,IF(AND(AUTOEVENTO="Manual",$M672=1),0,IF(OFFSET(CRONOPLE!$F$14,$M672,AM$13)="",10^12,OFFSET(CRONOPLE!$F$14,$M672,AM$13))))</f>
        <v>1000000000000</v>
      </c>
      <c r="AN672" s="181">
        <f ca="1">IF($D672&lt;&gt;"Serviço",0,IF(AND(AUTOEVENTO="Manual",$M672=1),0,IF(OFFSET(CRONOPLE!$F$14,$M672,AN$13)="",10^12,OFFSET(CRONOPLE!$F$14,$M672,AN$13))))</f>
        <v>1000000000000</v>
      </c>
      <c r="AO672" s="181">
        <f ca="1">IF($D672&lt;&gt;"Serviço",0,IF(AND(AUTOEVENTO="Manual",$M672=1),0,IF(OFFSET(CRONOPLE!$F$14,$M672,AO$13)="",10^12,OFFSET(CRONOPLE!$F$14,$M672,AO$13))))</f>
        <v>1000000000000</v>
      </c>
      <c r="AP672" s="181">
        <f ca="1">IF($D672&lt;&gt;"Serviço",0,IF(AND(AUTOEVENTO="Manual",$M672=1),0,IF(OFFSET(CRONOPLE!$F$14,$M672,AP$13)="",10^12,OFFSET(CRONOPLE!$F$14,$M672,AP$13))))</f>
        <v>1000000000000</v>
      </c>
      <c r="AQ672" s="181">
        <f ca="1">IF($D672&lt;&gt;"Serviço",0,IF(AND(AUTOEVENTO="Manual",$M672=1),0,IF(OFFSET(CRONOPLE!$F$14,$M672,AQ$13)="",10^12,OFFSET(CRONOPLE!$F$14,$M672,AQ$13))))</f>
        <v>1000000000000</v>
      </c>
      <c r="AR672" s="181">
        <f ca="1">IF($D672&lt;&gt;"Serviço",0,IF(AND(AUTOEVENTO="Manual",$M672=1),0,IF(OFFSET(CRONOPLE!$F$14,$M672,AR$13)="",10^12,OFFSET(CRONOPLE!$F$14,$M672,AR$13))))</f>
        <v>1000000000000</v>
      </c>
      <c r="AS672" s="181">
        <f ca="1">IF($D672&lt;&gt;"Serviço",0,IF(AND(AUTOEVENTO="Manual",$M672=1),0,IF(OFFSET(CRONOPLE!$F$14,$M672,AS$13)="",10^12,OFFSET(CRONOPLE!$F$14,$M672,AS$13))))</f>
        <v>1000000000000</v>
      </c>
      <c r="AT672" s="181">
        <f ca="1">IF($D672&lt;&gt;"Serviço",0,IF(AND(AUTOEVENTO="Manual",$M672=1),0,IF(OFFSET(CRONOPLE!$F$14,$M672,AT$13)="",10^12,OFFSET(CRONOPLE!$F$14,$M672,AT$13))))</f>
        <v>1000000000000</v>
      </c>
      <c r="AU672" s="181">
        <f ca="1">IF($D672&lt;&gt;"Serviço",0,IF(AND(AUTOEVENTO="Manual",$M672=1),0,IF(OFFSET(CRONOPLE!$F$14,$M672,AU$13)="",10^12,OFFSET(CRONOPLE!$F$14,$M672,AU$13))))</f>
        <v>1000000000000</v>
      </c>
      <c r="AV672" s="181">
        <f ca="1">IF($D672&lt;&gt;"Serviço",0,IF(AND(AUTOEVENTO="Manual",$M672=1),0,IF(OFFSET(CRONOPLE!$F$14,$M672,AV$13)="",10^12,OFFSET(CRONOPLE!$F$14,$M672,AV$13))))</f>
        <v>1000000000000</v>
      </c>
      <c r="AX672" s="182">
        <f ca="1">IF($D672&lt;&gt;"Serviço",0,IF(OR(AND(AUTOEVENTO="Manual",$M672=1),$M672&gt;(ROW(PLE.lastrow)-ROW(PLE.firstrow))),0,IF(OFFSET(PLE!$G$14,$M672,AX$13)="",10^12,OFFSET(PLE!$G$14,$M672,AX$13))))</f>
        <v>1000000000000</v>
      </c>
      <c r="AY672" s="182">
        <f ca="1">IF($D672&lt;&gt;"Serviço",0,IF(OR(AND(AUTOEVENTO="Manual",$M672=1),$M672&gt;(ROW(PLE.lastrow)-ROW(PLE.firstrow))),0,IF(OFFSET(PLE!$G$14,$M672,AY$13)="",10^12,OFFSET(PLE!$G$14,$M672,AY$13))))</f>
        <v>1000000000000</v>
      </c>
      <c r="AZ672" s="182">
        <f ca="1">IF($D672&lt;&gt;"Serviço",0,IF(OR(AND(AUTOEVENTO="Manual",$M672=1),$M672&gt;(ROW(PLE.lastrow)-ROW(PLE.firstrow))),0,IF(OFFSET(PLE!$G$14,$M672,AZ$13)="",10^12,OFFSET(PLE!$G$14,$M672,AZ$13))))</f>
        <v>1000000000000</v>
      </c>
      <c r="BA672" s="182">
        <f ca="1">IF($D672&lt;&gt;"Serviço",0,IF(OR(AND(AUTOEVENTO="Manual",$M672=1),$M672&gt;(ROW(PLE.lastrow)-ROW(PLE.firstrow))),0,IF(OFFSET(PLE!$G$14,$M672,BA$13)="",10^12,OFFSET(PLE!$G$14,$M672,BA$13))))</f>
        <v>1000000000000</v>
      </c>
      <c r="BB672" s="182">
        <f ca="1">IF($D672&lt;&gt;"Serviço",0,IF(OR(AND(AUTOEVENTO="Manual",$M672=1),$M672&gt;(ROW(PLE.lastrow)-ROW(PLE.firstrow))),0,IF(OFFSET(PLE!$G$14,$M672,BB$13)="",10^12,OFFSET(PLE!$G$14,$M672,BB$13))))</f>
        <v>1000000000000</v>
      </c>
      <c r="BC672" s="182">
        <f ca="1">IF($D672&lt;&gt;"Serviço",0,IF(OR(AND(AUTOEVENTO="Manual",$M672=1),$M672&gt;(ROW(PLE.lastrow)-ROW(PLE.firstrow))),0,IF(OFFSET(PLE!$G$14,$M672,BC$13)="",10^12,OFFSET(PLE!$G$14,$M672,BC$13))))</f>
        <v>1000000000000</v>
      </c>
      <c r="BD672" s="182">
        <f ca="1">IF($D672&lt;&gt;"Serviço",0,IF(OR(AND(AUTOEVENTO="Manual",$M672=1),$M672&gt;(ROW(PLE.lastrow)-ROW(PLE.firstrow))),0,IF(OFFSET(PLE!$G$14,$M672,BD$13)="",10^12,OFFSET(PLE!$G$14,$M672,BD$13))))</f>
        <v>1000000000000</v>
      </c>
      <c r="BE672" s="182">
        <f ca="1">IF($D672&lt;&gt;"Serviço",0,IF(OR(AND(AUTOEVENTO="Manual",$M672=1),$M672&gt;(ROW(PLE.lastrow)-ROW(PLE.firstrow))),0,IF(OFFSET(PLE!$G$14,$M672,BE$13)="",10^12,OFFSET(PLE!$G$14,$M672,BE$13))))</f>
        <v>1000000000000</v>
      </c>
      <c r="BF672" s="182">
        <f ca="1">IF($D672&lt;&gt;"Serviço",0,IF(OR(AND(AUTOEVENTO="Manual",$M672=1),$M672&gt;(ROW(PLE.lastrow)-ROW(PLE.firstrow))),0,IF(OFFSET(PLE!$G$14,$M672,BF$13)="",10^12,OFFSET(PLE!$G$14,$M672,BF$13))))</f>
        <v>1000000000000</v>
      </c>
      <c r="BG672" s="182">
        <f ca="1">IF($D672&lt;&gt;"Serviço",0,IF(OR(AND(AUTOEVENTO="Manual",$M672=1),$M672&gt;(ROW(PLE.lastrow)-ROW(PLE.firstrow))),0,IF(OFFSET(PLE!$G$14,$M672,BG$13)="",10^12,OFFSET(PLE!$G$14,$M672,BG$13))))</f>
        <v>1000000000000</v>
      </c>
    </row>
    <row r="673" spans="1:59" ht="25.5" x14ac:dyDescent="0.2">
      <c r="A673" s="7" t="str">
        <f t="shared" ca="1" si="17"/>
        <v>654</v>
      </c>
      <c r="B673" s="7" t="str">
        <f ca="1">OFFSET(ORÇAMENTO!C$15,ROW(B673)-ROW(B$15),0)</f>
        <v>S</v>
      </c>
      <c r="C673" s="7" t="str">
        <f ca="1">OFFSET(ORÇAMENTO!L$15,ROW(C673)-ROW(C$15),0)</f>
        <v/>
      </c>
      <c r="D673" s="118" t="str">
        <f ca="1">OFFSET(ORÇAMENTO!N$15,ROW(D673)-ROW(D$15),0)</f>
        <v>Serviço</v>
      </c>
      <c r="E673" s="119" t="str">
        <f ca="1">OFFSET(ORÇAMENTO!O$15,ROW(E673)-ROW(E$15),0)</f>
        <v>-</v>
      </c>
      <c r="F673" s="172" t="str">
        <f ca="1">OFFSET(ORÇAMENTO!R$15,ROW(F673)-ROW(F$15),0)</f>
        <v>(abra o arquivo 'Referência 02-2025.xlsm)</v>
      </c>
      <c r="G673" s="173" t="str">
        <f ca="1">IF($D673&lt;&gt;"Serviço","",OFFSET(ORÇAMENTO!S$15,ROW(G673)-ROW(G$15),0))</f>
        <v>-</v>
      </c>
      <c r="H673" s="124">
        <f ca="1">IF($D673&lt;&gt;"Serviço",0,IF(ACOMPANHAMENTO="BM",ROUND(OFFSET(ORÇAMENTO!AJ$15,ROW(H673)-ROW(H$15),0),15-13*ORÇAMENTO!$AF$7),SUMPRODUCT(($Q$12:$AA$12&lt;&gt;"")*ROUND($Q673:$AA673,15-13*ORÇAMENTO!$AF$7))))</f>
        <v>2</v>
      </c>
      <c r="I673" s="561"/>
      <c r="K673" s="174"/>
      <c r="L673" s="175" t="s">
        <v>255</v>
      </c>
      <c r="M673" s="176">
        <f ca="1">IF($D673&lt;&gt;"Serviço","",IF(AUTOEVENTO="manual",$A673,IF(ISERROR(MATCH($A673,$A$15:OFFSET($A673,-1,0),0)),MAX($M$15:OFFSET(M673,-1,0))+1,INDEX($M$15:OFFSET(M673,-1,0),MATCH($A673,$A$15:OFFSET($A673,-1,0),0)))))</f>
        <v>23</v>
      </c>
      <c r="N673" s="177" t="str">
        <f ca="1">IF($D673&lt;&gt;"Serviço","",IF(AUTOEVENTO="Manual",IF($A673=0,"&lt;-- defina o número do agrupador",OFFSET(EVENTOS!$D$14,$A673,0)),OFFSET($F$15,$A673,0)))</f>
        <v>INSTALAÇÕES DE GÁS COMBUSTÍVEL</v>
      </c>
      <c r="O673" s="178"/>
      <c r="Q673" s="178"/>
      <c r="R673" s="179"/>
      <c r="S673" s="179"/>
      <c r="T673" s="179"/>
      <c r="U673" s="179"/>
      <c r="V673" s="179"/>
      <c r="W673" s="179"/>
      <c r="X673" s="179"/>
      <c r="Y673" s="179"/>
      <c r="Z673" s="180"/>
      <c r="AB673" s="544">
        <f ca="1">IF(AND($D673="Serviço",AB$12&lt;&gt;0,$H673&gt;0,OR(AUTOEVENTO&lt;&gt;"manual",$M673&lt;&gt;1)),
IF(Import.TipoArredondamento&lt;&gt;"TransfereGOV",
ROUND(OFFSET($P673,0,AB$13),15-13*ORÇAMENTO!$AF$7)/$H673*OFFSET(ORÇAMENTO!$X$15,ROW(AB673)-ROW(AB$15),0),
ROUND(ROUND(OFFSET($P673,0,AB$13),15-13*ORÇAMENTO!$AF$7)*OFFSET(ORÇAMENTO!$W$15,ROW(AB673)-ROW(AB$15),0),15-13*ORÇAMENTO!$AF$11)),0)</f>
        <v>0</v>
      </c>
      <c r="AC673" s="545">
        <f ca="1">IF(AND($D673="Serviço",AC$12&lt;&gt;0,$H673&gt;0,OR(AUTOEVENTO&lt;&gt;"manual",$M673&lt;&gt;1)),
IF(Import.TipoArredondamento&lt;&gt;"TransfereGOV",
ROUND(OFFSET($P673,0,AC$13),15-13*ORÇAMENTO!$AF$7)/$H673*OFFSET(ORÇAMENTO!$X$15,ROW(AC673)-ROW(AC$15),0),
ROUND(ROUND(OFFSET($P673,0,AC$13),15-13*ORÇAMENTO!$AF$7)*OFFSET(ORÇAMENTO!$W$15,ROW(AC673)-ROW(AC$15),0),15-13*ORÇAMENTO!$AF$11)),0)</f>
        <v>0</v>
      </c>
      <c r="AD673" s="545">
        <f ca="1">IF(AND($D673="Serviço",AD$12&lt;&gt;0,$H673&gt;0,OR(AUTOEVENTO&lt;&gt;"manual",$M673&lt;&gt;1)),
IF(Import.TipoArredondamento&lt;&gt;"TransfereGOV",
ROUND(OFFSET($P673,0,AD$13),15-13*ORÇAMENTO!$AF$7)/$H673*OFFSET(ORÇAMENTO!$X$15,ROW(AD673)-ROW(AD$15),0),
ROUND(ROUND(OFFSET($P673,0,AD$13),15-13*ORÇAMENTO!$AF$7)*OFFSET(ORÇAMENTO!$W$15,ROW(AD673)-ROW(AD$15),0),15-13*ORÇAMENTO!$AF$11)),0)</f>
        <v>0</v>
      </c>
      <c r="AE673" s="545">
        <f ca="1">IF(AND($D673="Serviço",AE$12&lt;&gt;0,$H673&gt;0,OR(AUTOEVENTO&lt;&gt;"manual",$M673&lt;&gt;1)),
IF(Import.TipoArredondamento&lt;&gt;"TransfereGOV",
ROUND(OFFSET($P673,0,AE$13),15-13*ORÇAMENTO!$AF$7)/$H673*OFFSET(ORÇAMENTO!$X$15,ROW(AE673)-ROW(AE$15),0),
ROUND(ROUND(OFFSET($P673,0,AE$13),15-13*ORÇAMENTO!$AF$7)*OFFSET(ORÇAMENTO!$W$15,ROW(AE673)-ROW(AE$15),0),15-13*ORÇAMENTO!$AF$11)),0)</f>
        <v>0</v>
      </c>
      <c r="AF673" s="545">
        <f ca="1">IF(AND($D673="Serviço",AF$12&lt;&gt;0,$H673&gt;0,OR(AUTOEVENTO&lt;&gt;"manual",$M673&lt;&gt;1)),
IF(Import.TipoArredondamento&lt;&gt;"TransfereGOV",
ROUND(OFFSET($P673,0,AF$13),15-13*ORÇAMENTO!$AF$7)/$H673*OFFSET(ORÇAMENTO!$X$15,ROW(AF673)-ROW(AF$15),0),
ROUND(ROUND(OFFSET($P673,0,AF$13),15-13*ORÇAMENTO!$AF$7)*OFFSET(ORÇAMENTO!$W$15,ROW(AF673)-ROW(AF$15),0),15-13*ORÇAMENTO!$AF$11)),0)</f>
        <v>0</v>
      </c>
      <c r="AG673" s="545">
        <f ca="1">IF(AND($D673="Serviço",AG$12&lt;&gt;0,$H673&gt;0,OR(AUTOEVENTO&lt;&gt;"manual",$M673&lt;&gt;1)),
IF(Import.TipoArredondamento&lt;&gt;"TransfereGOV",
ROUND(OFFSET($P673,0,AG$13),15-13*ORÇAMENTO!$AF$7)/$H673*OFFSET(ORÇAMENTO!$X$15,ROW(AG673)-ROW(AG$15),0),
ROUND(ROUND(OFFSET($P673,0,AG$13),15-13*ORÇAMENTO!$AF$7)*OFFSET(ORÇAMENTO!$W$15,ROW(AG673)-ROW(AG$15),0),15-13*ORÇAMENTO!$AF$11)),0)</f>
        <v>0</v>
      </c>
      <c r="AH673" s="545">
        <f ca="1">IF(AND($D673="Serviço",AH$12&lt;&gt;0,$H673&gt;0,OR(AUTOEVENTO&lt;&gt;"manual",$M673&lt;&gt;1)),
IF(Import.TipoArredondamento&lt;&gt;"TransfereGOV",
ROUND(OFFSET($P673,0,AH$13),15-13*ORÇAMENTO!$AF$7)/$H673*OFFSET(ORÇAMENTO!$X$15,ROW(AH673)-ROW(AH$15),0),
ROUND(ROUND(OFFSET($P673,0,AH$13),15-13*ORÇAMENTO!$AF$7)*OFFSET(ORÇAMENTO!$W$15,ROW(AH673)-ROW(AH$15),0),15-13*ORÇAMENTO!$AF$11)),0)</f>
        <v>0</v>
      </c>
      <c r="AI673" s="545">
        <f ca="1">IF(AND($D673="Serviço",AI$12&lt;&gt;0,$H673&gt;0,OR(AUTOEVENTO&lt;&gt;"manual",$M673&lt;&gt;1)),
IF(Import.TipoArredondamento&lt;&gt;"TransfereGOV",
ROUND(OFFSET($P673,0,AI$13),15-13*ORÇAMENTO!$AF$7)/$H673*OFFSET(ORÇAMENTO!$X$15,ROW(AI673)-ROW(AI$15),0),
ROUND(ROUND(OFFSET($P673,0,AI$13),15-13*ORÇAMENTO!$AF$7)*OFFSET(ORÇAMENTO!$W$15,ROW(AI673)-ROW(AI$15),0),15-13*ORÇAMENTO!$AF$11)),0)</f>
        <v>0</v>
      </c>
      <c r="AJ673" s="545">
        <f ca="1">IF(AND($D673="Serviço",AJ$12&lt;&gt;0,$H673&gt;0,OR(AUTOEVENTO&lt;&gt;"manual",$M673&lt;&gt;1)),
IF(Import.TipoArredondamento&lt;&gt;"TransfereGOV",
ROUND(OFFSET($P673,0,AJ$13),15-13*ORÇAMENTO!$AF$7)/$H673*OFFSET(ORÇAMENTO!$X$15,ROW(AJ673)-ROW(AJ$15),0),
ROUND(ROUND(OFFSET($P673,0,AJ$13),15-13*ORÇAMENTO!$AF$7)*OFFSET(ORÇAMENTO!$W$15,ROW(AJ673)-ROW(AJ$15),0),15-13*ORÇAMENTO!$AF$11)),0)</f>
        <v>0</v>
      </c>
      <c r="AK673" s="546">
        <f ca="1">IF(AND($D673="Serviço",AK$12&lt;&gt;0,$H673&gt;0,OR(AUTOEVENTO&lt;&gt;"manual",$M673&lt;&gt;1)),
IF(Import.TipoArredondamento&lt;&gt;"TransfereGOV",
ROUND(OFFSET($P673,0,AK$13),15-13*ORÇAMENTO!$AF$7)/$H673*OFFSET(ORÇAMENTO!$X$15,ROW(AK673)-ROW(AK$15),0),
ROUND(ROUND(OFFSET($P673,0,AK$13),15-13*ORÇAMENTO!$AF$7)*OFFSET(ORÇAMENTO!$W$15,ROW(AK673)-ROW(AK$15),0),15-13*ORÇAMENTO!$AF$11)),0)</f>
        <v>0</v>
      </c>
      <c r="AM673" s="181">
        <f ca="1">IF($D673&lt;&gt;"Serviço",0,IF(AND(AUTOEVENTO="Manual",$M673=1),0,IF(OFFSET(CRONOPLE!$F$14,$M673,AM$13)="",10^12,OFFSET(CRONOPLE!$F$14,$M673,AM$13))))</f>
        <v>1000000000000</v>
      </c>
      <c r="AN673" s="181">
        <f ca="1">IF($D673&lt;&gt;"Serviço",0,IF(AND(AUTOEVENTO="Manual",$M673=1),0,IF(OFFSET(CRONOPLE!$F$14,$M673,AN$13)="",10^12,OFFSET(CRONOPLE!$F$14,$M673,AN$13))))</f>
        <v>1000000000000</v>
      </c>
      <c r="AO673" s="181">
        <f ca="1">IF($D673&lt;&gt;"Serviço",0,IF(AND(AUTOEVENTO="Manual",$M673=1),0,IF(OFFSET(CRONOPLE!$F$14,$M673,AO$13)="",10^12,OFFSET(CRONOPLE!$F$14,$M673,AO$13))))</f>
        <v>1000000000000</v>
      </c>
      <c r="AP673" s="181">
        <f ca="1">IF($D673&lt;&gt;"Serviço",0,IF(AND(AUTOEVENTO="Manual",$M673=1),0,IF(OFFSET(CRONOPLE!$F$14,$M673,AP$13)="",10^12,OFFSET(CRONOPLE!$F$14,$M673,AP$13))))</f>
        <v>1000000000000</v>
      </c>
      <c r="AQ673" s="181">
        <f ca="1">IF($D673&lt;&gt;"Serviço",0,IF(AND(AUTOEVENTO="Manual",$M673=1),0,IF(OFFSET(CRONOPLE!$F$14,$M673,AQ$13)="",10^12,OFFSET(CRONOPLE!$F$14,$M673,AQ$13))))</f>
        <v>1000000000000</v>
      </c>
      <c r="AR673" s="181">
        <f ca="1">IF($D673&lt;&gt;"Serviço",0,IF(AND(AUTOEVENTO="Manual",$M673=1),0,IF(OFFSET(CRONOPLE!$F$14,$M673,AR$13)="",10^12,OFFSET(CRONOPLE!$F$14,$M673,AR$13))))</f>
        <v>1000000000000</v>
      </c>
      <c r="AS673" s="181">
        <f ca="1">IF($D673&lt;&gt;"Serviço",0,IF(AND(AUTOEVENTO="Manual",$M673=1),0,IF(OFFSET(CRONOPLE!$F$14,$M673,AS$13)="",10^12,OFFSET(CRONOPLE!$F$14,$M673,AS$13))))</f>
        <v>1000000000000</v>
      </c>
      <c r="AT673" s="181">
        <f ca="1">IF($D673&lt;&gt;"Serviço",0,IF(AND(AUTOEVENTO="Manual",$M673=1),0,IF(OFFSET(CRONOPLE!$F$14,$M673,AT$13)="",10^12,OFFSET(CRONOPLE!$F$14,$M673,AT$13))))</f>
        <v>1000000000000</v>
      </c>
      <c r="AU673" s="181">
        <f ca="1">IF($D673&lt;&gt;"Serviço",0,IF(AND(AUTOEVENTO="Manual",$M673=1),0,IF(OFFSET(CRONOPLE!$F$14,$M673,AU$13)="",10^12,OFFSET(CRONOPLE!$F$14,$M673,AU$13))))</f>
        <v>1000000000000</v>
      </c>
      <c r="AV673" s="181">
        <f ca="1">IF($D673&lt;&gt;"Serviço",0,IF(AND(AUTOEVENTO="Manual",$M673=1),0,IF(OFFSET(CRONOPLE!$F$14,$M673,AV$13)="",10^12,OFFSET(CRONOPLE!$F$14,$M673,AV$13))))</f>
        <v>1000000000000</v>
      </c>
      <c r="AX673" s="182">
        <f ca="1">IF($D673&lt;&gt;"Serviço",0,IF(OR(AND(AUTOEVENTO="Manual",$M673=1),$M673&gt;(ROW(PLE.lastrow)-ROW(PLE.firstrow))),0,IF(OFFSET(PLE!$G$14,$M673,AX$13)="",10^12,OFFSET(PLE!$G$14,$M673,AX$13))))</f>
        <v>1000000000000</v>
      </c>
      <c r="AY673" s="182">
        <f ca="1">IF($D673&lt;&gt;"Serviço",0,IF(OR(AND(AUTOEVENTO="Manual",$M673=1),$M673&gt;(ROW(PLE.lastrow)-ROW(PLE.firstrow))),0,IF(OFFSET(PLE!$G$14,$M673,AY$13)="",10^12,OFFSET(PLE!$G$14,$M673,AY$13))))</f>
        <v>1000000000000</v>
      </c>
      <c r="AZ673" s="182">
        <f ca="1">IF($D673&lt;&gt;"Serviço",0,IF(OR(AND(AUTOEVENTO="Manual",$M673=1),$M673&gt;(ROW(PLE.lastrow)-ROW(PLE.firstrow))),0,IF(OFFSET(PLE!$G$14,$M673,AZ$13)="",10^12,OFFSET(PLE!$G$14,$M673,AZ$13))))</f>
        <v>1000000000000</v>
      </c>
      <c r="BA673" s="182">
        <f ca="1">IF($D673&lt;&gt;"Serviço",0,IF(OR(AND(AUTOEVENTO="Manual",$M673=1),$M673&gt;(ROW(PLE.lastrow)-ROW(PLE.firstrow))),0,IF(OFFSET(PLE!$G$14,$M673,BA$13)="",10^12,OFFSET(PLE!$G$14,$M673,BA$13))))</f>
        <v>1000000000000</v>
      </c>
      <c r="BB673" s="182">
        <f ca="1">IF($D673&lt;&gt;"Serviço",0,IF(OR(AND(AUTOEVENTO="Manual",$M673=1),$M673&gt;(ROW(PLE.lastrow)-ROW(PLE.firstrow))),0,IF(OFFSET(PLE!$G$14,$M673,BB$13)="",10^12,OFFSET(PLE!$G$14,$M673,BB$13))))</f>
        <v>1000000000000</v>
      </c>
      <c r="BC673" s="182">
        <f ca="1">IF($D673&lt;&gt;"Serviço",0,IF(OR(AND(AUTOEVENTO="Manual",$M673=1),$M673&gt;(ROW(PLE.lastrow)-ROW(PLE.firstrow))),0,IF(OFFSET(PLE!$G$14,$M673,BC$13)="",10^12,OFFSET(PLE!$G$14,$M673,BC$13))))</f>
        <v>1000000000000</v>
      </c>
      <c r="BD673" s="182">
        <f ca="1">IF($D673&lt;&gt;"Serviço",0,IF(OR(AND(AUTOEVENTO="Manual",$M673=1),$M673&gt;(ROW(PLE.lastrow)-ROW(PLE.firstrow))),0,IF(OFFSET(PLE!$G$14,$M673,BD$13)="",10^12,OFFSET(PLE!$G$14,$M673,BD$13))))</f>
        <v>1000000000000</v>
      </c>
      <c r="BE673" s="182">
        <f ca="1">IF($D673&lt;&gt;"Serviço",0,IF(OR(AND(AUTOEVENTO="Manual",$M673=1),$M673&gt;(ROW(PLE.lastrow)-ROW(PLE.firstrow))),0,IF(OFFSET(PLE!$G$14,$M673,BE$13)="",10^12,OFFSET(PLE!$G$14,$M673,BE$13))))</f>
        <v>1000000000000</v>
      </c>
      <c r="BF673" s="182">
        <f ca="1">IF($D673&lt;&gt;"Serviço",0,IF(OR(AND(AUTOEVENTO="Manual",$M673=1),$M673&gt;(ROW(PLE.lastrow)-ROW(PLE.firstrow))),0,IF(OFFSET(PLE!$G$14,$M673,BF$13)="",10^12,OFFSET(PLE!$G$14,$M673,BF$13))))</f>
        <v>1000000000000</v>
      </c>
      <c r="BG673" s="182">
        <f ca="1">IF($D673&lt;&gt;"Serviço",0,IF(OR(AND(AUTOEVENTO="Manual",$M673=1),$M673&gt;(ROW(PLE.lastrow)-ROW(PLE.firstrow))),0,IF(OFFSET(PLE!$G$14,$M673,BG$13)="",10^12,OFFSET(PLE!$G$14,$M673,BG$13))))</f>
        <v>1000000000000</v>
      </c>
    </row>
    <row r="674" spans="1:59" ht="38.25" x14ac:dyDescent="0.2">
      <c r="A674" s="7" t="str">
        <f t="shared" ca="1" si="17"/>
        <v>654</v>
      </c>
      <c r="B674" s="7" t="str">
        <f ca="1">OFFSET(ORÇAMENTO!C$15,ROW(B674)-ROW(B$15),0)</f>
        <v>S</v>
      </c>
      <c r="C674" s="7" t="str">
        <f ca="1">OFFSET(ORÇAMENTO!L$15,ROW(C674)-ROW(C$15),0)</f>
        <v/>
      </c>
      <c r="D674" s="118" t="str">
        <f ca="1">OFFSET(ORÇAMENTO!N$15,ROW(D674)-ROW(D$15),0)</f>
        <v>Serviço</v>
      </c>
      <c r="E674" s="119" t="str">
        <f ca="1">OFFSET(ORÇAMENTO!O$15,ROW(E674)-ROW(E$15),0)</f>
        <v>-</v>
      </c>
      <c r="F674" s="172" t="str">
        <f ca="1">OFFSET(ORÇAMENTO!R$15,ROW(F674)-ROW(F$15),0)</f>
        <v>(abra o arquivo 'Referência 02-2025.xlsm)</v>
      </c>
      <c r="G674" s="173" t="str">
        <f ca="1">IF($D674&lt;&gt;"Serviço","",OFFSET(ORÇAMENTO!S$15,ROW(G674)-ROW(G$15),0))</f>
        <v>-</v>
      </c>
      <c r="H674" s="124">
        <f ca="1">IF($D674&lt;&gt;"Serviço",0,IF(ACOMPANHAMENTO="BM",ROUND(OFFSET(ORÇAMENTO!AJ$15,ROW(H674)-ROW(H$15),0),15-13*ORÇAMENTO!$AF$7),SUMPRODUCT(($Q$12:$AA$12&lt;&gt;"")*ROUND($Q674:$AA674,15-13*ORÇAMENTO!$AF$7))))</f>
        <v>53</v>
      </c>
      <c r="I674" s="561"/>
      <c r="K674" s="174"/>
      <c r="L674" s="175" t="s">
        <v>255</v>
      </c>
      <c r="M674" s="176">
        <f ca="1">IF($D674&lt;&gt;"Serviço","",IF(AUTOEVENTO="manual",$A674,IF(ISERROR(MATCH($A674,$A$15:OFFSET($A674,-1,0),0)),MAX($M$15:OFFSET(M674,-1,0))+1,INDEX($M$15:OFFSET(M674,-1,0),MATCH($A674,$A$15:OFFSET($A674,-1,0),0)))))</f>
        <v>23</v>
      </c>
      <c r="N674" s="177" t="str">
        <f ca="1">IF($D674&lt;&gt;"Serviço","",IF(AUTOEVENTO="Manual",IF($A674=0,"&lt;-- defina o número do agrupador",OFFSET(EVENTOS!$D$14,$A674,0)),OFFSET($F$15,$A674,0)))</f>
        <v>INSTALAÇÕES DE GÁS COMBUSTÍVEL</v>
      </c>
      <c r="O674" s="178"/>
      <c r="Q674" s="178"/>
      <c r="R674" s="179"/>
      <c r="S674" s="179"/>
      <c r="T674" s="179"/>
      <c r="U674" s="179"/>
      <c r="V674" s="179"/>
      <c r="W674" s="179"/>
      <c r="X674" s="179"/>
      <c r="Y674" s="179"/>
      <c r="Z674" s="180"/>
      <c r="AB674" s="544">
        <f ca="1">IF(AND($D674="Serviço",AB$12&lt;&gt;0,$H674&gt;0,OR(AUTOEVENTO&lt;&gt;"manual",$M674&lt;&gt;1)),
IF(Import.TipoArredondamento&lt;&gt;"TransfereGOV",
ROUND(OFFSET($P674,0,AB$13),15-13*ORÇAMENTO!$AF$7)/$H674*OFFSET(ORÇAMENTO!$X$15,ROW(AB674)-ROW(AB$15),0),
ROUND(ROUND(OFFSET($P674,0,AB$13),15-13*ORÇAMENTO!$AF$7)*OFFSET(ORÇAMENTO!$W$15,ROW(AB674)-ROW(AB$15),0),15-13*ORÇAMENTO!$AF$11)),0)</f>
        <v>0</v>
      </c>
      <c r="AC674" s="545">
        <f ca="1">IF(AND($D674="Serviço",AC$12&lt;&gt;0,$H674&gt;0,OR(AUTOEVENTO&lt;&gt;"manual",$M674&lt;&gt;1)),
IF(Import.TipoArredondamento&lt;&gt;"TransfereGOV",
ROUND(OFFSET($P674,0,AC$13),15-13*ORÇAMENTO!$AF$7)/$H674*OFFSET(ORÇAMENTO!$X$15,ROW(AC674)-ROW(AC$15),0),
ROUND(ROUND(OFFSET($P674,0,AC$13),15-13*ORÇAMENTO!$AF$7)*OFFSET(ORÇAMENTO!$W$15,ROW(AC674)-ROW(AC$15),0),15-13*ORÇAMENTO!$AF$11)),0)</f>
        <v>0</v>
      </c>
      <c r="AD674" s="545">
        <f ca="1">IF(AND($D674="Serviço",AD$12&lt;&gt;0,$H674&gt;0,OR(AUTOEVENTO&lt;&gt;"manual",$M674&lt;&gt;1)),
IF(Import.TipoArredondamento&lt;&gt;"TransfereGOV",
ROUND(OFFSET($P674,0,AD$13),15-13*ORÇAMENTO!$AF$7)/$H674*OFFSET(ORÇAMENTO!$X$15,ROW(AD674)-ROW(AD$15),0),
ROUND(ROUND(OFFSET($P674,0,AD$13),15-13*ORÇAMENTO!$AF$7)*OFFSET(ORÇAMENTO!$W$15,ROW(AD674)-ROW(AD$15),0),15-13*ORÇAMENTO!$AF$11)),0)</f>
        <v>0</v>
      </c>
      <c r="AE674" s="545">
        <f ca="1">IF(AND($D674="Serviço",AE$12&lt;&gt;0,$H674&gt;0,OR(AUTOEVENTO&lt;&gt;"manual",$M674&lt;&gt;1)),
IF(Import.TipoArredondamento&lt;&gt;"TransfereGOV",
ROUND(OFFSET($P674,0,AE$13),15-13*ORÇAMENTO!$AF$7)/$H674*OFFSET(ORÇAMENTO!$X$15,ROW(AE674)-ROW(AE$15),0),
ROUND(ROUND(OFFSET($P674,0,AE$13),15-13*ORÇAMENTO!$AF$7)*OFFSET(ORÇAMENTO!$W$15,ROW(AE674)-ROW(AE$15),0),15-13*ORÇAMENTO!$AF$11)),0)</f>
        <v>0</v>
      </c>
      <c r="AF674" s="545">
        <f ca="1">IF(AND($D674="Serviço",AF$12&lt;&gt;0,$H674&gt;0,OR(AUTOEVENTO&lt;&gt;"manual",$M674&lt;&gt;1)),
IF(Import.TipoArredondamento&lt;&gt;"TransfereGOV",
ROUND(OFFSET($P674,0,AF$13),15-13*ORÇAMENTO!$AF$7)/$H674*OFFSET(ORÇAMENTO!$X$15,ROW(AF674)-ROW(AF$15),0),
ROUND(ROUND(OFFSET($P674,0,AF$13),15-13*ORÇAMENTO!$AF$7)*OFFSET(ORÇAMENTO!$W$15,ROW(AF674)-ROW(AF$15),0),15-13*ORÇAMENTO!$AF$11)),0)</f>
        <v>0</v>
      </c>
      <c r="AG674" s="545">
        <f ca="1">IF(AND($D674="Serviço",AG$12&lt;&gt;0,$H674&gt;0,OR(AUTOEVENTO&lt;&gt;"manual",$M674&lt;&gt;1)),
IF(Import.TipoArredondamento&lt;&gt;"TransfereGOV",
ROUND(OFFSET($P674,0,AG$13),15-13*ORÇAMENTO!$AF$7)/$H674*OFFSET(ORÇAMENTO!$X$15,ROW(AG674)-ROW(AG$15),0),
ROUND(ROUND(OFFSET($P674,0,AG$13),15-13*ORÇAMENTO!$AF$7)*OFFSET(ORÇAMENTO!$W$15,ROW(AG674)-ROW(AG$15),0),15-13*ORÇAMENTO!$AF$11)),0)</f>
        <v>0</v>
      </c>
      <c r="AH674" s="545">
        <f ca="1">IF(AND($D674="Serviço",AH$12&lt;&gt;0,$H674&gt;0,OR(AUTOEVENTO&lt;&gt;"manual",$M674&lt;&gt;1)),
IF(Import.TipoArredondamento&lt;&gt;"TransfereGOV",
ROUND(OFFSET($P674,0,AH$13),15-13*ORÇAMENTO!$AF$7)/$H674*OFFSET(ORÇAMENTO!$X$15,ROW(AH674)-ROW(AH$15),0),
ROUND(ROUND(OFFSET($P674,0,AH$13),15-13*ORÇAMENTO!$AF$7)*OFFSET(ORÇAMENTO!$W$15,ROW(AH674)-ROW(AH$15),0),15-13*ORÇAMENTO!$AF$11)),0)</f>
        <v>0</v>
      </c>
      <c r="AI674" s="545">
        <f ca="1">IF(AND($D674="Serviço",AI$12&lt;&gt;0,$H674&gt;0,OR(AUTOEVENTO&lt;&gt;"manual",$M674&lt;&gt;1)),
IF(Import.TipoArredondamento&lt;&gt;"TransfereGOV",
ROUND(OFFSET($P674,0,AI$13),15-13*ORÇAMENTO!$AF$7)/$H674*OFFSET(ORÇAMENTO!$X$15,ROW(AI674)-ROW(AI$15),0),
ROUND(ROUND(OFFSET($P674,0,AI$13),15-13*ORÇAMENTO!$AF$7)*OFFSET(ORÇAMENTO!$W$15,ROW(AI674)-ROW(AI$15),0),15-13*ORÇAMENTO!$AF$11)),0)</f>
        <v>0</v>
      </c>
      <c r="AJ674" s="545">
        <f ca="1">IF(AND($D674="Serviço",AJ$12&lt;&gt;0,$H674&gt;0,OR(AUTOEVENTO&lt;&gt;"manual",$M674&lt;&gt;1)),
IF(Import.TipoArredondamento&lt;&gt;"TransfereGOV",
ROUND(OFFSET($P674,0,AJ$13),15-13*ORÇAMENTO!$AF$7)/$H674*OFFSET(ORÇAMENTO!$X$15,ROW(AJ674)-ROW(AJ$15),0),
ROUND(ROUND(OFFSET($P674,0,AJ$13),15-13*ORÇAMENTO!$AF$7)*OFFSET(ORÇAMENTO!$W$15,ROW(AJ674)-ROW(AJ$15),0),15-13*ORÇAMENTO!$AF$11)),0)</f>
        <v>0</v>
      </c>
      <c r="AK674" s="546">
        <f ca="1">IF(AND($D674="Serviço",AK$12&lt;&gt;0,$H674&gt;0,OR(AUTOEVENTO&lt;&gt;"manual",$M674&lt;&gt;1)),
IF(Import.TipoArredondamento&lt;&gt;"TransfereGOV",
ROUND(OFFSET($P674,0,AK$13),15-13*ORÇAMENTO!$AF$7)/$H674*OFFSET(ORÇAMENTO!$X$15,ROW(AK674)-ROW(AK$15),0),
ROUND(ROUND(OFFSET($P674,0,AK$13),15-13*ORÇAMENTO!$AF$7)*OFFSET(ORÇAMENTO!$W$15,ROW(AK674)-ROW(AK$15),0),15-13*ORÇAMENTO!$AF$11)),0)</f>
        <v>0</v>
      </c>
      <c r="AM674" s="181">
        <f ca="1">IF($D674&lt;&gt;"Serviço",0,IF(AND(AUTOEVENTO="Manual",$M674=1),0,IF(OFFSET(CRONOPLE!$F$14,$M674,AM$13)="",10^12,OFFSET(CRONOPLE!$F$14,$M674,AM$13))))</f>
        <v>1000000000000</v>
      </c>
      <c r="AN674" s="181">
        <f ca="1">IF($D674&lt;&gt;"Serviço",0,IF(AND(AUTOEVENTO="Manual",$M674=1),0,IF(OFFSET(CRONOPLE!$F$14,$M674,AN$13)="",10^12,OFFSET(CRONOPLE!$F$14,$M674,AN$13))))</f>
        <v>1000000000000</v>
      </c>
      <c r="AO674" s="181">
        <f ca="1">IF($D674&lt;&gt;"Serviço",0,IF(AND(AUTOEVENTO="Manual",$M674=1),0,IF(OFFSET(CRONOPLE!$F$14,$M674,AO$13)="",10^12,OFFSET(CRONOPLE!$F$14,$M674,AO$13))))</f>
        <v>1000000000000</v>
      </c>
      <c r="AP674" s="181">
        <f ca="1">IF($D674&lt;&gt;"Serviço",0,IF(AND(AUTOEVENTO="Manual",$M674=1),0,IF(OFFSET(CRONOPLE!$F$14,$M674,AP$13)="",10^12,OFFSET(CRONOPLE!$F$14,$M674,AP$13))))</f>
        <v>1000000000000</v>
      </c>
      <c r="AQ674" s="181">
        <f ca="1">IF($D674&lt;&gt;"Serviço",0,IF(AND(AUTOEVENTO="Manual",$M674=1),0,IF(OFFSET(CRONOPLE!$F$14,$M674,AQ$13)="",10^12,OFFSET(CRONOPLE!$F$14,$M674,AQ$13))))</f>
        <v>1000000000000</v>
      </c>
      <c r="AR674" s="181">
        <f ca="1">IF($D674&lt;&gt;"Serviço",0,IF(AND(AUTOEVENTO="Manual",$M674=1),0,IF(OFFSET(CRONOPLE!$F$14,$M674,AR$13)="",10^12,OFFSET(CRONOPLE!$F$14,$M674,AR$13))))</f>
        <v>1000000000000</v>
      </c>
      <c r="AS674" s="181">
        <f ca="1">IF($D674&lt;&gt;"Serviço",0,IF(AND(AUTOEVENTO="Manual",$M674=1),0,IF(OFFSET(CRONOPLE!$F$14,$M674,AS$13)="",10^12,OFFSET(CRONOPLE!$F$14,$M674,AS$13))))</f>
        <v>1000000000000</v>
      </c>
      <c r="AT674" s="181">
        <f ca="1">IF($D674&lt;&gt;"Serviço",0,IF(AND(AUTOEVENTO="Manual",$M674=1),0,IF(OFFSET(CRONOPLE!$F$14,$M674,AT$13)="",10^12,OFFSET(CRONOPLE!$F$14,$M674,AT$13))))</f>
        <v>1000000000000</v>
      </c>
      <c r="AU674" s="181">
        <f ca="1">IF($D674&lt;&gt;"Serviço",0,IF(AND(AUTOEVENTO="Manual",$M674=1),0,IF(OFFSET(CRONOPLE!$F$14,$M674,AU$13)="",10^12,OFFSET(CRONOPLE!$F$14,$M674,AU$13))))</f>
        <v>1000000000000</v>
      </c>
      <c r="AV674" s="181">
        <f ca="1">IF($D674&lt;&gt;"Serviço",0,IF(AND(AUTOEVENTO="Manual",$M674=1),0,IF(OFFSET(CRONOPLE!$F$14,$M674,AV$13)="",10^12,OFFSET(CRONOPLE!$F$14,$M674,AV$13))))</f>
        <v>1000000000000</v>
      </c>
      <c r="AX674" s="182">
        <f ca="1">IF($D674&lt;&gt;"Serviço",0,IF(OR(AND(AUTOEVENTO="Manual",$M674=1),$M674&gt;(ROW(PLE.lastrow)-ROW(PLE.firstrow))),0,IF(OFFSET(PLE!$G$14,$M674,AX$13)="",10^12,OFFSET(PLE!$G$14,$M674,AX$13))))</f>
        <v>1000000000000</v>
      </c>
      <c r="AY674" s="182">
        <f ca="1">IF($D674&lt;&gt;"Serviço",0,IF(OR(AND(AUTOEVENTO="Manual",$M674=1),$M674&gt;(ROW(PLE.lastrow)-ROW(PLE.firstrow))),0,IF(OFFSET(PLE!$G$14,$M674,AY$13)="",10^12,OFFSET(PLE!$G$14,$M674,AY$13))))</f>
        <v>1000000000000</v>
      </c>
      <c r="AZ674" s="182">
        <f ca="1">IF($D674&lt;&gt;"Serviço",0,IF(OR(AND(AUTOEVENTO="Manual",$M674=1),$M674&gt;(ROW(PLE.lastrow)-ROW(PLE.firstrow))),0,IF(OFFSET(PLE!$G$14,$M674,AZ$13)="",10^12,OFFSET(PLE!$G$14,$M674,AZ$13))))</f>
        <v>1000000000000</v>
      </c>
      <c r="BA674" s="182">
        <f ca="1">IF($D674&lt;&gt;"Serviço",0,IF(OR(AND(AUTOEVENTO="Manual",$M674=1),$M674&gt;(ROW(PLE.lastrow)-ROW(PLE.firstrow))),0,IF(OFFSET(PLE!$G$14,$M674,BA$13)="",10^12,OFFSET(PLE!$G$14,$M674,BA$13))))</f>
        <v>1000000000000</v>
      </c>
      <c r="BB674" s="182">
        <f ca="1">IF($D674&lt;&gt;"Serviço",0,IF(OR(AND(AUTOEVENTO="Manual",$M674=1),$M674&gt;(ROW(PLE.lastrow)-ROW(PLE.firstrow))),0,IF(OFFSET(PLE!$G$14,$M674,BB$13)="",10^12,OFFSET(PLE!$G$14,$M674,BB$13))))</f>
        <v>1000000000000</v>
      </c>
      <c r="BC674" s="182">
        <f ca="1">IF($D674&lt;&gt;"Serviço",0,IF(OR(AND(AUTOEVENTO="Manual",$M674=1),$M674&gt;(ROW(PLE.lastrow)-ROW(PLE.firstrow))),0,IF(OFFSET(PLE!$G$14,$M674,BC$13)="",10^12,OFFSET(PLE!$G$14,$M674,BC$13))))</f>
        <v>1000000000000</v>
      </c>
      <c r="BD674" s="182">
        <f ca="1">IF($D674&lt;&gt;"Serviço",0,IF(OR(AND(AUTOEVENTO="Manual",$M674=1),$M674&gt;(ROW(PLE.lastrow)-ROW(PLE.firstrow))),0,IF(OFFSET(PLE!$G$14,$M674,BD$13)="",10^12,OFFSET(PLE!$G$14,$M674,BD$13))))</f>
        <v>1000000000000</v>
      </c>
      <c r="BE674" s="182">
        <f ca="1">IF($D674&lt;&gt;"Serviço",0,IF(OR(AND(AUTOEVENTO="Manual",$M674=1),$M674&gt;(ROW(PLE.lastrow)-ROW(PLE.firstrow))),0,IF(OFFSET(PLE!$G$14,$M674,BE$13)="",10^12,OFFSET(PLE!$G$14,$M674,BE$13))))</f>
        <v>1000000000000</v>
      </c>
      <c r="BF674" s="182">
        <f ca="1">IF($D674&lt;&gt;"Serviço",0,IF(OR(AND(AUTOEVENTO="Manual",$M674=1),$M674&gt;(ROW(PLE.lastrow)-ROW(PLE.firstrow))),0,IF(OFFSET(PLE!$G$14,$M674,BF$13)="",10^12,OFFSET(PLE!$G$14,$M674,BF$13))))</f>
        <v>1000000000000</v>
      </c>
      <c r="BG674" s="182">
        <f ca="1">IF($D674&lt;&gt;"Serviço",0,IF(OR(AND(AUTOEVENTO="Manual",$M674=1),$M674&gt;(ROW(PLE.lastrow)-ROW(PLE.firstrow))),0,IF(OFFSET(PLE!$G$14,$M674,BG$13)="",10^12,OFFSET(PLE!$G$14,$M674,BG$13))))</f>
        <v>1000000000000</v>
      </c>
    </row>
    <row r="675" spans="1:59" ht="38.25" x14ac:dyDescent="0.2">
      <c r="A675" s="7" t="str">
        <f t="shared" ca="1" si="17"/>
        <v>654</v>
      </c>
      <c r="B675" s="7" t="str">
        <f ca="1">OFFSET(ORÇAMENTO!C$15,ROW(B675)-ROW(B$15),0)</f>
        <v>S</v>
      </c>
      <c r="C675" s="7" t="str">
        <f ca="1">OFFSET(ORÇAMENTO!L$15,ROW(C675)-ROW(C$15),0)</f>
        <v/>
      </c>
      <c r="D675" s="118" t="str">
        <f ca="1">OFFSET(ORÇAMENTO!N$15,ROW(D675)-ROW(D$15),0)</f>
        <v>Serviço</v>
      </c>
      <c r="E675" s="119" t="str">
        <f ca="1">OFFSET(ORÇAMENTO!O$15,ROW(E675)-ROW(E$15),0)</f>
        <v>-</v>
      </c>
      <c r="F675" s="172" t="str">
        <f ca="1">OFFSET(ORÇAMENTO!R$15,ROW(F675)-ROW(F$15),0)</f>
        <v>(abra o arquivo 'Referência 02-2025.xlsm)</v>
      </c>
      <c r="G675" s="173" t="str">
        <f ca="1">IF($D675&lt;&gt;"Serviço","",OFFSET(ORÇAMENTO!S$15,ROW(G675)-ROW(G$15),0))</f>
        <v>-</v>
      </c>
      <c r="H675" s="124">
        <f ca="1">IF($D675&lt;&gt;"Serviço",0,IF(ACOMPANHAMENTO="BM",ROUND(OFFSET(ORÇAMENTO!AJ$15,ROW(H675)-ROW(H$15),0),15-13*ORÇAMENTO!$AF$7),SUMPRODUCT(($Q$12:$AA$12&lt;&gt;"")*ROUND($Q675:$AA675,15-13*ORÇAMENTO!$AF$7))))</f>
        <v>1</v>
      </c>
      <c r="I675" s="561"/>
      <c r="K675" s="174"/>
      <c r="L675" s="175" t="s">
        <v>255</v>
      </c>
      <c r="M675" s="176">
        <f ca="1">IF($D675&lt;&gt;"Serviço","",IF(AUTOEVENTO="manual",$A675,IF(ISERROR(MATCH($A675,$A$15:OFFSET($A675,-1,0),0)),MAX($M$15:OFFSET(M675,-1,0))+1,INDEX($M$15:OFFSET(M675,-1,0),MATCH($A675,$A$15:OFFSET($A675,-1,0),0)))))</f>
        <v>23</v>
      </c>
      <c r="N675" s="177" t="str">
        <f ca="1">IF($D675&lt;&gt;"Serviço","",IF(AUTOEVENTO="Manual",IF($A675=0,"&lt;-- defina o número do agrupador",OFFSET(EVENTOS!$D$14,$A675,0)),OFFSET($F$15,$A675,0)))</f>
        <v>INSTALAÇÕES DE GÁS COMBUSTÍVEL</v>
      </c>
      <c r="O675" s="178"/>
      <c r="Q675" s="178"/>
      <c r="R675" s="179"/>
      <c r="S675" s="179"/>
      <c r="T675" s="179"/>
      <c r="U675" s="179"/>
      <c r="V675" s="179"/>
      <c r="W675" s="179"/>
      <c r="X675" s="179"/>
      <c r="Y675" s="179"/>
      <c r="Z675" s="180"/>
      <c r="AB675" s="544">
        <f ca="1">IF(AND($D675="Serviço",AB$12&lt;&gt;0,$H675&gt;0,OR(AUTOEVENTO&lt;&gt;"manual",$M675&lt;&gt;1)),
IF(Import.TipoArredondamento&lt;&gt;"TransfereGOV",
ROUND(OFFSET($P675,0,AB$13),15-13*ORÇAMENTO!$AF$7)/$H675*OFFSET(ORÇAMENTO!$X$15,ROW(AB675)-ROW(AB$15),0),
ROUND(ROUND(OFFSET($P675,0,AB$13),15-13*ORÇAMENTO!$AF$7)*OFFSET(ORÇAMENTO!$W$15,ROW(AB675)-ROW(AB$15),0),15-13*ORÇAMENTO!$AF$11)),0)</f>
        <v>0</v>
      </c>
      <c r="AC675" s="545">
        <f ca="1">IF(AND($D675="Serviço",AC$12&lt;&gt;0,$H675&gt;0,OR(AUTOEVENTO&lt;&gt;"manual",$M675&lt;&gt;1)),
IF(Import.TipoArredondamento&lt;&gt;"TransfereGOV",
ROUND(OFFSET($P675,0,AC$13),15-13*ORÇAMENTO!$AF$7)/$H675*OFFSET(ORÇAMENTO!$X$15,ROW(AC675)-ROW(AC$15),0),
ROUND(ROUND(OFFSET($P675,0,AC$13),15-13*ORÇAMENTO!$AF$7)*OFFSET(ORÇAMENTO!$W$15,ROW(AC675)-ROW(AC$15),0),15-13*ORÇAMENTO!$AF$11)),0)</f>
        <v>0</v>
      </c>
      <c r="AD675" s="545">
        <f ca="1">IF(AND($D675="Serviço",AD$12&lt;&gt;0,$H675&gt;0,OR(AUTOEVENTO&lt;&gt;"manual",$M675&lt;&gt;1)),
IF(Import.TipoArredondamento&lt;&gt;"TransfereGOV",
ROUND(OFFSET($P675,0,AD$13),15-13*ORÇAMENTO!$AF$7)/$H675*OFFSET(ORÇAMENTO!$X$15,ROW(AD675)-ROW(AD$15),0),
ROUND(ROUND(OFFSET($P675,0,AD$13),15-13*ORÇAMENTO!$AF$7)*OFFSET(ORÇAMENTO!$W$15,ROW(AD675)-ROW(AD$15),0),15-13*ORÇAMENTO!$AF$11)),0)</f>
        <v>0</v>
      </c>
      <c r="AE675" s="545">
        <f ca="1">IF(AND($D675="Serviço",AE$12&lt;&gt;0,$H675&gt;0,OR(AUTOEVENTO&lt;&gt;"manual",$M675&lt;&gt;1)),
IF(Import.TipoArredondamento&lt;&gt;"TransfereGOV",
ROUND(OFFSET($P675,0,AE$13),15-13*ORÇAMENTO!$AF$7)/$H675*OFFSET(ORÇAMENTO!$X$15,ROW(AE675)-ROW(AE$15),0),
ROUND(ROUND(OFFSET($P675,0,AE$13),15-13*ORÇAMENTO!$AF$7)*OFFSET(ORÇAMENTO!$W$15,ROW(AE675)-ROW(AE$15),0),15-13*ORÇAMENTO!$AF$11)),0)</f>
        <v>0</v>
      </c>
      <c r="AF675" s="545">
        <f ca="1">IF(AND($D675="Serviço",AF$12&lt;&gt;0,$H675&gt;0,OR(AUTOEVENTO&lt;&gt;"manual",$M675&lt;&gt;1)),
IF(Import.TipoArredondamento&lt;&gt;"TransfereGOV",
ROUND(OFFSET($P675,0,AF$13),15-13*ORÇAMENTO!$AF$7)/$H675*OFFSET(ORÇAMENTO!$X$15,ROW(AF675)-ROW(AF$15),0),
ROUND(ROUND(OFFSET($P675,0,AF$13),15-13*ORÇAMENTO!$AF$7)*OFFSET(ORÇAMENTO!$W$15,ROW(AF675)-ROW(AF$15),0),15-13*ORÇAMENTO!$AF$11)),0)</f>
        <v>0</v>
      </c>
      <c r="AG675" s="545">
        <f ca="1">IF(AND($D675="Serviço",AG$12&lt;&gt;0,$H675&gt;0,OR(AUTOEVENTO&lt;&gt;"manual",$M675&lt;&gt;1)),
IF(Import.TipoArredondamento&lt;&gt;"TransfereGOV",
ROUND(OFFSET($P675,0,AG$13),15-13*ORÇAMENTO!$AF$7)/$H675*OFFSET(ORÇAMENTO!$X$15,ROW(AG675)-ROW(AG$15),0),
ROUND(ROUND(OFFSET($P675,0,AG$13),15-13*ORÇAMENTO!$AF$7)*OFFSET(ORÇAMENTO!$W$15,ROW(AG675)-ROW(AG$15),0),15-13*ORÇAMENTO!$AF$11)),0)</f>
        <v>0</v>
      </c>
      <c r="AH675" s="545">
        <f ca="1">IF(AND($D675="Serviço",AH$12&lt;&gt;0,$H675&gt;0,OR(AUTOEVENTO&lt;&gt;"manual",$M675&lt;&gt;1)),
IF(Import.TipoArredondamento&lt;&gt;"TransfereGOV",
ROUND(OFFSET($P675,0,AH$13),15-13*ORÇAMENTO!$AF$7)/$H675*OFFSET(ORÇAMENTO!$X$15,ROW(AH675)-ROW(AH$15),0),
ROUND(ROUND(OFFSET($P675,0,AH$13),15-13*ORÇAMENTO!$AF$7)*OFFSET(ORÇAMENTO!$W$15,ROW(AH675)-ROW(AH$15),0),15-13*ORÇAMENTO!$AF$11)),0)</f>
        <v>0</v>
      </c>
      <c r="AI675" s="545">
        <f ca="1">IF(AND($D675="Serviço",AI$12&lt;&gt;0,$H675&gt;0,OR(AUTOEVENTO&lt;&gt;"manual",$M675&lt;&gt;1)),
IF(Import.TipoArredondamento&lt;&gt;"TransfereGOV",
ROUND(OFFSET($P675,0,AI$13),15-13*ORÇAMENTO!$AF$7)/$H675*OFFSET(ORÇAMENTO!$X$15,ROW(AI675)-ROW(AI$15),0),
ROUND(ROUND(OFFSET($P675,0,AI$13),15-13*ORÇAMENTO!$AF$7)*OFFSET(ORÇAMENTO!$W$15,ROW(AI675)-ROW(AI$15),0),15-13*ORÇAMENTO!$AF$11)),0)</f>
        <v>0</v>
      </c>
      <c r="AJ675" s="545">
        <f ca="1">IF(AND($D675="Serviço",AJ$12&lt;&gt;0,$H675&gt;0,OR(AUTOEVENTO&lt;&gt;"manual",$M675&lt;&gt;1)),
IF(Import.TipoArredondamento&lt;&gt;"TransfereGOV",
ROUND(OFFSET($P675,0,AJ$13),15-13*ORÇAMENTO!$AF$7)/$H675*OFFSET(ORÇAMENTO!$X$15,ROW(AJ675)-ROW(AJ$15),0),
ROUND(ROUND(OFFSET($P675,0,AJ$13),15-13*ORÇAMENTO!$AF$7)*OFFSET(ORÇAMENTO!$W$15,ROW(AJ675)-ROW(AJ$15),0),15-13*ORÇAMENTO!$AF$11)),0)</f>
        <v>0</v>
      </c>
      <c r="AK675" s="546">
        <f ca="1">IF(AND($D675="Serviço",AK$12&lt;&gt;0,$H675&gt;0,OR(AUTOEVENTO&lt;&gt;"manual",$M675&lt;&gt;1)),
IF(Import.TipoArredondamento&lt;&gt;"TransfereGOV",
ROUND(OFFSET($P675,0,AK$13),15-13*ORÇAMENTO!$AF$7)/$H675*OFFSET(ORÇAMENTO!$X$15,ROW(AK675)-ROW(AK$15),0),
ROUND(ROUND(OFFSET($P675,0,AK$13),15-13*ORÇAMENTO!$AF$7)*OFFSET(ORÇAMENTO!$W$15,ROW(AK675)-ROW(AK$15),0),15-13*ORÇAMENTO!$AF$11)),0)</f>
        <v>0</v>
      </c>
      <c r="AM675" s="181">
        <f ca="1">IF($D675&lt;&gt;"Serviço",0,IF(AND(AUTOEVENTO="Manual",$M675=1),0,IF(OFFSET(CRONOPLE!$F$14,$M675,AM$13)="",10^12,OFFSET(CRONOPLE!$F$14,$M675,AM$13))))</f>
        <v>1000000000000</v>
      </c>
      <c r="AN675" s="181">
        <f ca="1">IF($D675&lt;&gt;"Serviço",0,IF(AND(AUTOEVENTO="Manual",$M675=1),0,IF(OFFSET(CRONOPLE!$F$14,$M675,AN$13)="",10^12,OFFSET(CRONOPLE!$F$14,$M675,AN$13))))</f>
        <v>1000000000000</v>
      </c>
      <c r="AO675" s="181">
        <f ca="1">IF($D675&lt;&gt;"Serviço",0,IF(AND(AUTOEVENTO="Manual",$M675=1),0,IF(OFFSET(CRONOPLE!$F$14,$M675,AO$13)="",10^12,OFFSET(CRONOPLE!$F$14,$M675,AO$13))))</f>
        <v>1000000000000</v>
      </c>
      <c r="AP675" s="181">
        <f ca="1">IF($D675&lt;&gt;"Serviço",0,IF(AND(AUTOEVENTO="Manual",$M675=1),0,IF(OFFSET(CRONOPLE!$F$14,$M675,AP$13)="",10^12,OFFSET(CRONOPLE!$F$14,$M675,AP$13))))</f>
        <v>1000000000000</v>
      </c>
      <c r="AQ675" s="181">
        <f ca="1">IF($D675&lt;&gt;"Serviço",0,IF(AND(AUTOEVENTO="Manual",$M675=1),0,IF(OFFSET(CRONOPLE!$F$14,$M675,AQ$13)="",10^12,OFFSET(CRONOPLE!$F$14,$M675,AQ$13))))</f>
        <v>1000000000000</v>
      </c>
      <c r="AR675" s="181">
        <f ca="1">IF($D675&lt;&gt;"Serviço",0,IF(AND(AUTOEVENTO="Manual",$M675=1),0,IF(OFFSET(CRONOPLE!$F$14,$M675,AR$13)="",10^12,OFFSET(CRONOPLE!$F$14,$M675,AR$13))))</f>
        <v>1000000000000</v>
      </c>
      <c r="AS675" s="181">
        <f ca="1">IF($D675&lt;&gt;"Serviço",0,IF(AND(AUTOEVENTO="Manual",$M675=1),0,IF(OFFSET(CRONOPLE!$F$14,$M675,AS$13)="",10^12,OFFSET(CRONOPLE!$F$14,$M675,AS$13))))</f>
        <v>1000000000000</v>
      </c>
      <c r="AT675" s="181">
        <f ca="1">IF($D675&lt;&gt;"Serviço",0,IF(AND(AUTOEVENTO="Manual",$M675=1),0,IF(OFFSET(CRONOPLE!$F$14,$M675,AT$13)="",10^12,OFFSET(CRONOPLE!$F$14,$M675,AT$13))))</f>
        <v>1000000000000</v>
      </c>
      <c r="AU675" s="181">
        <f ca="1">IF($D675&lt;&gt;"Serviço",0,IF(AND(AUTOEVENTO="Manual",$M675=1),0,IF(OFFSET(CRONOPLE!$F$14,$M675,AU$13)="",10^12,OFFSET(CRONOPLE!$F$14,$M675,AU$13))))</f>
        <v>1000000000000</v>
      </c>
      <c r="AV675" s="181">
        <f ca="1">IF($D675&lt;&gt;"Serviço",0,IF(AND(AUTOEVENTO="Manual",$M675=1),0,IF(OFFSET(CRONOPLE!$F$14,$M675,AV$13)="",10^12,OFFSET(CRONOPLE!$F$14,$M675,AV$13))))</f>
        <v>1000000000000</v>
      </c>
      <c r="AX675" s="182">
        <f ca="1">IF($D675&lt;&gt;"Serviço",0,IF(OR(AND(AUTOEVENTO="Manual",$M675=1),$M675&gt;(ROW(PLE.lastrow)-ROW(PLE.firstrow))),0,IF(OFFSET(PLE!$G$14,$M675,AX$13)="",10^12,OFFSET(PLE!$G$14,$M675,AX$13))))</f>
        <v>1000000000000</v>
      </c>
      <c r="AY675" s="182">
        <f ca="1">IF($D675&lt;&gt;"Serviço",0,IF(OR(AND(AUTOEVENTO="Manual",$M675=1),$M675&gt;(ROW(PLE.lastrow)-ROW(PLE.firstrow))),0,IF(OFFSET(PLE!$G$14,$M675,AY$13)="",10^12,OFFSET(PLE!$G$14,$M675,AY$13))))</f>
        <v>1000000000000</v>
      </c>
      <c r="AZ675" s="182">
        <f ca="1">IF($D675&lt;&gt;"Serviço",0,IF(OR(AND(AUTOEVENTO="Manual",$M675=1),$M675&gt;(ROW(PLE.lastrow)-ROW(PLE.firstrow))),0,IF(OFFSET(PLE!$G$14,$M675,AZ$13)="",10^12,OFFSET(PLE!$G$14,$M675,AZ$13))))</f>
        <v>1000000000000</v>
      </c>
      <c r="BA675" s="182">
        <f ca="1">IF($D675&lt;&gt;"Serviço",0,IF(OR(AND(AUTOEVENTO="Manual",$M675=1),$M675&gt;(ROW(PLE.lastrow)-ROW(PLE.firstrow))),0,IF(OFFSET(PLE!$G$14,$M675,BA$13)="",10^12,OFFSET(PLE!$G$14,$M675,BA$13))))</f>
        <v>1000000000000</v>
      </c>
      <c r="BB675" s="182">
        <f ca="1">IF($D675&lt;&gt;"Serviço",0,IF(OR(AND(AUTOEVENTO="Manual",$M675=1),$M675&gt;(ROW(PLE.lastrow)-ROW(PLE.firstrow))),0,IF(OFFSET(PLE!$G$14,$M675,BB$13)="",10^12,OFFSET(PLE!$G$14,$M675,BB$13))))</f>
        <v>1000000000000</v>
      </c>
      <c r="BC675" s="182">
        <f ca="1">IF($D675&lt;&gt;"Serviço",0,IF(OR(AND(AUTOEVENTO="Manual",$M675=1),$M675&gt;(ROW(PLE.lastrow)-ROW(PLE.firstrow))),0,IF(OFFSET(PLE!$G$14,$M675,BC$13)="",10^12,OFFSET(PLE!$G$14,$M675,BC$13))))</f>
        <v>1000000000000</v>
      </c>
      <c r="BD675" s="182">
        <f ca="1">IF($D675&lt;&gt;"Serviço",0,IF(OR(AND(AUTOEVENTO="Manual",$M675=1),$M675&gt;(ROW(PLE.lastrow)-ROW(PLE.firstrow))),0,IF(OFFSET(PLE!$G$14,$M675,BD$13)="",10^12,OFFSET(PLE!$G$14,$M675,BD$13))))</f>
        <v>1000000000000</v>
      </c>
      <c r="BE675" s="182">
        <f ca="1">IF($D675&lt;&gt;"Serviço",0,IF(OR(AND(AUTOEVENTO="Manual",$M675=1),$M675&gt;(ROW(PLE.lastrow)-ROW(PLE.firstrow))),0,IF(OFFSET(PLE!$G$14,$M675,BE$13)="",10^12,OFFSET(PLE!$G$14,$M675,BE$13))))</f>
        <v>1000000000000</v>
      </c>
      <c r="BF675" s="182">
        <f ca="1">IF($D675&lt;&gt;"Serviço",0,IF(OR(AND(AUTOEVENTO="Manual",$M675=1),$M675&gt;(ROW(PLE.lastrow)-ROW(PLE.firstrow))),0,IF(OFFSET(PLE!$G$14,$M675,BF$13)="",10^12,OFFSET(PLE!$G$14,$M675,BF$13))))</f>
        <v>1000000000000</v>
      </c>
      <c r="BG675" s="182">
        <f ca="1">IF($D675&lt;&gt;"Serviço",0,IF(OR(AND(AUTOEVENTO="Manual",$M675=1),$M675&gt;(ROW(PLE.lastrow)-ROW(PLE.firstrow))),0,IF(OFFSET(PLE!$G$14,$M675,BG$13)="",10^12,OFFSET(PLE!$G$14,$M675,BG$13))))</f>
        <v>1000000000000</v>
      </c>
    </row>
    <row r="676" spans="1:59" ht="25.5" x14ac:dyDescent="0.2">
      <c r="A676" s="7" t="str">
        <f t="shared" ca="1" si="17"/>
        <v>654</v>
      </c>
      <c r="B676" s="7" t="str">
        <f ca="1">OFFSET(ORÇAMENTO!C$15,ROW(B676)-ROW(B$15),0)</f>
        <v>S</v>
      </c>
      <c r="C676" s="7" t="str">
        <f ca="1">OFFSET(ORÇAMENTO!L$15,ROW(C676)-ROW(C$15),0)</f>
        <v/>
      </c>
      <c r="D676" s="118" t="str">
        <f ca="1">OFFSET(ORÇAMENTO!N$15,ROW(D676)-ROW(D$15),0)</f>
        <v>Serviço</v>
      </c>
      <c r="E676" s="119" t="str">
        <f ca="1">OFFSET(ORÇAMENTO!O$15,ROW(E676)-ROW(E$15),0)</f>
        <v>-</v>
      </c>
      <c r="F676" s="172" t="str">
        <f ca="1">OFFSET(ORÇAMENTO!R$15,ROW(F676)-ROW(F$15),0)</f>
        <v>(abra o arquivo 'Referência 02-2025.xlsm)</v>
      </c>
      <c r="G676" s="173" t="str">
        <f ca="1">IF($D676&lt;&gt;"Serviço","",OFFSET(ORÇAMENTO!S$15,ROW(G676)-ROW(G$15),0))</f>
        <v>-</v>
      </c>
      <c r="H676" s="124">
        <f ca="1">IF($D676&lt;&gt;"Serviço",0,IF(ACOMPANHAMENTO="BM",ROUND(OFFSET(ORÇAMENTO!AJ$15,ROW(H676)-ROW(H$15),0),15-13*ORÇAMENTO!$AF$7),SUMPRODUCT(($Q$12:$AA$12&lt;&gt;"")*ROUND($Q676:$AA676,15-13*ORÇAMENTO!$AF$7))))</f>
        <v>1</v>
      </c>
      <c r="I676" s="561"/>
      <c r="K676" s="174"/>
      <c r="L676" s="175" t="s">
        <v>255</v>
      </c>
      <c r="M676" s="176">
        <f ca="1">IF($D676&lt;&gt;"Serviço","",IF(AUTOEVENTO="manual",$A676,IF(ISERROR(MATCH($A676,$A$15:OFFSET($A676,-1,0),0)),MAX($M$15:OFFSET(M676,-1,0))+1,INDEX($M$15:OFFSET(M676,-1,0),MATCH($A676,$A$15:OFFSET($A676,-1,0),0)))))</f>
        <v>23</v>
      </c>
      <c r="N676" s="177" t="str">
        <f ca="1">IF($D676&lt;&gt;"Serviço","",IF(AUTOEVENTO="Manual",IF($A676=0,"&lt;-- defina o número do agrupador",OFFSET(EVENTOS!$D$14,$A676,0)),OFFSET($F$15,$A676,0)))</f>
        <v>INSTALAÇÕES DE GÁS COMBUSTÍVEL</v>
      </c>
      <c r="O676" s="178"/>
      <c r="Q676" s="178"/>
      <c r="R676" s="179"/>
      <c r="S676" s="179"/>
      <c r="T676" s="179"/>
      <c r="U676" s="179"/>
      <c r="V676" s="179"/>
      <c r="W676" s="179"/>
      <c r="X676" s="179"/>
      <c r="Y676" s="179"/>
      <c r="Z676" s="180"/>
      <c r="AB676" s="544">
        <f ca="1">IF(AND($D676="Serviço",AB$12&lt;&gt;0,$H676&gt;0,OR(AUTOEVENTO&lt;&gt;"manual",$M676&lt;&gt;1)),
IF(Import.TipoArredondamento&lt;&gt;"TransfereGOV",
ROUND(OFFSET($P676,0,AB$13),15-13*ORÇAMENTO!$AF$7)/$H676*OFFSET(ORÇAMENTO!$X$15,ROW(AB676)-ROW(AB$15),0),
ROUND(ROUND(OFFSET($P676,0,AB$13),15-13*ORÇAMENTO!$AF$7)*OFFSET(ORÇAMENTO!$W$15,ROW(AB676)-ROW(AB$15),0),15-13*ORÇAMENTO!$AF$11)),0)</f>
        <v>0</v>
      </c>
      <c r="AC676" s="545">
        <f ca="1">IF(AND($D676="Serviço",AC$12&lt;&gt;0,$H676&gt;0,OR(AUTOEVENTO&lt;&gt;"manual",$M676&lt;&gt;1)),
IF(Import.TipoArredondamento&lt;&gt;"TransfereGOV",
ROUND(OFFSET($P676,0,AC$13),15-13*ORÇAMENTO!$AF$7)/$H676*OFFSET(ORÇAMENTO!$X$15,ROW(AC676)-ROW(AC$15),0),
ROUND(ROUND(OFFSET($P676,0,AC$13),15-13*ORÇAMENTO!$AF$7)*OFFSET(ORÇAMENTO!$W$15,ROW(AC676)-ROW(AC$15),0),15-13*ORÇAMENTO!$AF$11)),0)</f>
        <v>0</v>
      </c>
      <c r="AD676" s="545">
        <f ca="1">IF(AND($D676="Serviço",AD$12&lt;&gt;0,$H676&gt;0,OR(AUTOEVENTO&lt;&gt;"manual",$M676&lt;&gt;1)),
IF(Import.TipoArredondamento&lt;&gt;"TransfereGOV",
ROUND(OFFSET($P676,0,AD$13),15-13*ORÇAMENTO!$AF$7)/$H676*OFFSET(ORÇAMENTO!$X$15,ROW(AD676)-ROW(AD$15),0),
ROUND(ROUND(OFFSET($P676,0,AD$13),15-13*ORÇAMENTO!$AF$7)*OFFSET(ORÇAMENTO!$W$15,ROW(AD676)-ROW(AD$15),0),15-13*ORÇAMENTO!$AF$11)),0)</f>
        <v>0</v>
      </c>
      <c r="AE676" s="545">
        <f ca="1">IF(AND($D676="Serviço",AE$12&lt;&gt;0,$H676&gt;0,OR(AUTOEVENTO&lt;&gt;"manual",$M676&lt;&gt;1)),
IF(Import.TipoArredondamento&lt;&gt;"TransfereGOV",
ROUND(OFFSET($P676,0,AE$13),15-13*ORÇAMENTO!$AF$7)/$H676*OFFSET(ORÇAMENTO!$X$15,ROW(AE676)-ROW(AE$15),0),
ROUND(ROUND(OFFSET($P676,0,AE$13),15-13*ORÇAMENTO!$AF$7)*OFFSET(ORÇAMENTO!$W$15,ROW(AE676)-ROW(AE$15),0),15-13*ORÇAMENTO!$AF$11)),0)</f>
        <v>0</v>
      </c>
      <c r="AF676" s="545">
        <f ca="1">IF(AND($D676="Serviço",AF$12&lt;&gt;0,$H676&gt;0,OR(AUTOEVENTO&lt;&gt;"manual",$M676&lt;&gt;1)),
IF(Import.TipoArredondamento&lt;&gt;"TransfereGOV",
ROUND(OFFSET($P676,0,AF$13),15-13*ORÇAMENTO!$AF$7)/$H676*OFFSET(ORÇAMENTO!$X$15,ROW(AF676)-ROW(AF$15),0),
ROUND(ROUND(OFFSET($P676,0,AF$13),15-13*ORÇAMENTO!$AF$7)*OFFSET(ORÇAMENTO!$W$15,ROW(AF676)-ROW(AF$15),0),15-13*ORÇAMENTO!$AF$11)),0)</f>
        <v>0</v>
      </c>
      <c r="AG676" s="545">
        <f ca="1">IF(AND($D676="Serviço",AG$12&lt;&gt;0,$H676&gt;0,OR(AUTOEVENTO&lt;&gt;"manual",$M676&lt;&gt;1)),
IF(Import.TipoArredondamento&lt;&gt;"TransfereGOV",
ROUND(OFFSET($P676,0,AG$13),15-13*ORÇAMENTO!$AF$7)/$H676*OFFSET(ORÇAMENTO!$X$15,ROW(AG676)-ROW(AG$15),0),
ROUND(ROUND(OFFSET($P676,0,AG$13),15-13*ORÇAMENTO!$AF$7)*OFFSET(ORÇAMENTO!$W$15,ROW(AG676)-ROW(AG$15),0),15-13*ORÇAMENTO!$AF$11)),0)</f>
        <v>0</v>
      </c>
      <c r="AH676" s="545">
        <f ca="1">IF(AND($D676="Serviço",AH$12&lt;&gt;0,$H676&gt;0,OR(AUTOEVENTO&lt;&gt;"manual",$M676&lt;&gt;1)),
IF(Import.TipoArredondamento&lt;&gt;"TransfereGOV",
ROUND(OFFSET($P676,0,AH$13),15-13*ORÇAMENTO!$AF$7)/$H676*OFFSET(ORÇAMENTO!$X$15,ROW(AH676)-ROW(AH$15),0),
ROUND(ROUND(OFFSET($P676,0,AH$13),15-13*ORÇAMENTO!$AF$7)*OFFSET(ORÇAMENTO!$W$15,ROW(AH676)-ROW(AH$15),0),15-13*ORÇAMENTO!$AF$11)),0)</f>
        <v>0</v>
      </c>
      <c r="AI676" s="545">
        <f ca="1">IF(AND($D676="Serviço",AI$12&lt;&gt;0,$H676&gt;0,OR(AUTOEVENTO&lt;&gt;"manual",$M676&lt;&gt;1)),
IF(Import.TipoArredondamento&lt;&gt;"TransfereGOV",
ROUND(OFFSET($P676,0,AI$13),15-13*ORÇAMENTO!$AF$7)/$H676*OFFSET(ORÇAMENTO!$X$15,ROW(AI676)-ROW(AI$15),0),
ROUND(ROUND(OFFSET($P676,0,AI$13),15-13*ORÇAMENTO!$AF$7)*OFFSET(ORÇAMENTO!$W$15,ROW(AI676)-ROW(AI$15),0),15-13*ORÇAMENTO!$AF$11)),0)</f>
        <v>0</v>
      </c>
      <c r="AJ676" s="545">
        <f ca="1">IF(AND($D676="Serviço",AJ$12&lt;&gt;0,$H676&gt;0,OR(AUTOEVENTO&lt;&gt;"manual",$M676&lt;&gt;1)),
IF(Import.TipoArredondamento&lt;&gt;"TransfereGOV",
ROUND(OFFSET($P676,0,AJ$13),15-13*ORÇAMENTO!$AF$7)/$H676*OFFSET(ORÇAMENTO!$X$15,ROW(AJ676)-ROW(AJ$15),0),
ROUND(ROUND(OFFSET($P676,0,AJ$13),15-13*ORÇAMENTO!$AF$7)*OFFSET(ORÇAMENTO!$W$15,ROW(AJ676)-ROW(AJ$15),0),15-13*ORÇAMENTO!$AF$11)),0)</f>
        <v>0</v>
      </c>
      <c r="AK676" s="546">
        <f ca="1">IF(AND($D676="Serviço",AK$12&lt;&gt;0,$H676&gt;0,OR(AUTOEVENTO&lt;&gt;"manual",$M676&lt;&gt;1)),
IF(Import.TipoArredondamento&lt;&gt;"TransfereGOV",
ROUND(OFFSET($P676,0,AK$13),15-13*ORÇAMENTO!$AF$7)/$H676*OFFSET(ORÇAMENTO!$X$15,ROW(AK676)-ROW(AK$15),0),
ROUND(ROUND(OFFSET($P676,0,AK$13),15-13*ORÇAMENTO!$AF$7)*OFFSET(ORÇAMENTO!$W$15,ROW(AK676)-ROW(AK$15),0),15-13*ORÇAMENTO!$AF$11)),0)</f>
        <v>0</v>
      </c>
      <c r="AM676" s="181">
        <f ca="1">IF($D676&lt;&gt;"Serviço",0,IF(AND(AUTOEVENTO="Manual",$M676=1),0,IF(OFFSET(CRONOPLE!$F$14,$M676,AM$13)="",10^12,OFFSET(CRONOPLE!$F$14,$M676,AM$13))))</f>
        <v>1000000000000</v>
      </c>
      <c r="AN676" s="181">
        <f ca="1">IF($D676&lt;&gt;"Serviço",0,IF(AND(AUTOEVENTO="Manual",$M676=1),0,IF(OFFSET(CRONOPLE!$F$14,$M676,AN$13)="",10^12,OFFSET(CRONOPLE!$F$14,$M676,AN$13))))</f>
        <v>1000000000000</v>
      </c>
      <c r="AO676" s="181">
        <f ca="1">IF($D676&lt;&gt;"Serviço",0,IF(AND(AUTOEVENTO="Manual",$M676=1),0,IF(OFFSET(CRONOPLE!$F$14,$M676,AO$13)="",10^12,OFFSET(CRONOPLE!$F$14,$M676,AO$13))))</f>
        <v>1000000000000</v>
      </c>
      <c r="AP676" s="181">
        <f ca="1">IF($D676&lt;&gt;"Serviço",0,IF(AND(AUTOEVENTO="Manual",$M676=1),0,IF(OFFSET(CRONOPLE!$F$14,$M676,AP$13)="",10^12,OFFSET(CRONOPLE!$F$14,$M676,AP$13))))</f>
        <v>1000000000000</v>
      </c>
      <c r="AQ676" s="181">
        <f ca="1">IF($D676&lt;&gt;"Serviço",0,IF(AND(AUTOEVENTO="Manual",$M676=1),0,IF(OFFSET(CRONOPLE!$F$14,$M676,AQ$13)="",10^12,OFFSET(CRONOPLE!$F$14,$M676,AQ$13))))</f>
        <v>1000000000000</v>
      </c>
      <c r="AR676" s="181">
        <f ca="1">IF($D676&lt;&gt;"Serviço",0,IF(AND(AUTOEVENTO="Manual",$M676=1),0,IF(OFFSET(CRONOPLE!$F$14,$M676,AR$13)="",10^12,OFFSET(CRONOPLE!$F$14,$M676,AR$13))))</f>
        <v>1000000000000</v>
      </c>
      <c r="AS676" s="181">
        <f ca="1">IF($D676&lt;&gt;"Serviço",0,IF(AND(AUTOEVENTO="Manual",$M676=1),0,IF(OFFSET(CRONOPLE!$F$14,$M676,AS$13)="",10^12,OFFSET(CRONOPLE!$F$14,$M676,AS$13))))</f>
        <v>1000000000000</v>
      </c>
      <c r="AT676" s="181">
        <f ca="1">IF($D676&lt;&gt;"Serviço",0,IF(AND(AUTOEVENTO="Manual",$M676=1),0,IF(OFFSET(CRONOPLE!$F$14,$M676,AT$13)="",10^12,OFFSET(CRONOPLE!$F$14,$M676,AT$13))))</f>
        <v>1000000000000</v>
      </c>
      <c r="AU676" s="181">
        <f ca="1">IF($D676&lt;&gt;"Serviço",0,IF(AND(AUTOEVENTO="Manual",$M676=1),0,IF(OFFSET(CRONOPLE!$F$14,$M676,AU$13)="",10^12,OFFSET(CRONOPLE!$F$14,$M676,AU$13))))</f>
        <v>1000000000000</v>
      </c>
      <c r="AV676" s="181">
        <f ca="1">IF($D676&lt;&gt;"Serviço",0,IF(AND(AUTOEVENTO="Manual",$M676=1),0,IF(OFFSET(CRONOPLE!$F$14,$M676,AV$13)="",10^12,OFFSET(CRONOPLE!$F$14,$M676,AV$13))))</f>
        <v>1000000000000</v>
      </c>
      <c r="AX676" s="182">
        <f ca="1">IF($D676&lt;&gt;"Serviço",0,IF(OR(AND(AUTOEVENTO="Manual",$M676=1),$M676&gt;(ROW(PLE.lastrow)-ROW(PLE.firstrow))),0,IF(OFFSET(PLE!$G$14,$M676,AX$13)="",10^12,OFFSET(PLE!$G$14,$M676,AX$13))))</f>
        <v>1000000000000</v>
      </c>
      <c r="AY676" s="182">
        <f ca="1">IF($D676&lt;&gt;"Serviço",0,IF(OR(AND(AUTOEVENTO="Manual",$M676=1),$M676&gt;(ROW(PLE.lastrow)-ROW(PLE.firstrow))),0,IF(OFFSET(PLE!$G$14,$M676,AY$13)="",10^12,OFFSET(PLE!$G$14,$M676,AY$13))))</f>
        <v>1000000000000</v>
      </c>
      <c r="AZ676" s="182">
        <f ca="1">IF($D676&lt;&gt;"Serviço",0,IF(OR(AND(AUTOEVENTO="Manual",$M676=1),$M676&gt;(ROW(PLE.lastrow)-ROW(PLE.firstrow))),0,IF(OFFSET(PLE!$G$14,$M676,AZ$13)="",10^12,OFFSET(PLE!$G$14,$M676,AZ$13))))</f>
        <v>1000000000000</v>
      </c>
      <c r="BA676" s="182">
        <f ca="1">IF($D676&lt;&gt;"Serviço",0,IF(OR(AND(AUTOEVENTO="Manual",$M676=1),$M676&gt;(ROW(PLE.lastrow)-ROW(PLE.firstrow))),0,IF(OFFSET(PLE!$G$14,$M676,BA$13)="",10^12,OFFSET(PLE!$G$14,$M676,BA$13))))</f>
        <v>1000000000000</v>
      </c>
      <c r="BB676" s="182">
        <f ca="1">IF($D676&lt;&gt;"Serviço",0,IF(OR(AND(AUTOEVENTO="Manual",$M676=1),$M676&gt;(ROW(PLE.lastrow)-ROW(PLE.firstrow))),0,IF(OFFSET(PLE!$G$14,$M676,BB$13)="",10^12,OFFSET(PLE!$G$14,$M676,BB$13))))</f>
        <v>1000000000000</v>
      </c>
      <c r="BC676" s="182">
        <f ca="1">IF($D676&lt;&gt;"Serviço",0,IF(OR(AND(AUTOEVENTO="Manual",$M676=1),$M676&gt;(ROW(PLE.lastrow)-ROW(PLE.firstrow))),0,IF(OFFSET(PLE!$G$14,$M676,BC$13)="",10^12,OFFSET(PLE!$G$14,$M676,BC$13))))</f>
        <v>1000000000000</v>
      </c>
      <c r="BD676" s="182">
        <f ca="1">IF($D676&lt;&gt;"Serviço",0,IF(OR(AND(AUTOEVENTO="Manual",$M676=1),$M676&gt;(ROW(PLE.lastrow)-ROW(PLE.firstrow))),0,IF(OFFSET(PLE!$G$14,$M676,BD$13)="",10^12,OFFSET(PLE!$G$14,$M676,BD$13))))</f>
        <v>1000000000000</v>
      </c>
      <c r="BE676" s="182">
        <f ca="1">IF($D676&lt;&gt;"Serviço",0,IF(OR(AND(AUTOEVENTO="Manual",$M676=1),$M676&gt;(ROW(PLE.lastrow)-ROW(PLE.firstrow))),0,IF(OFFSET(PLE!$G$14,$M676,BE$13)="",10^12,OFFSET(PLE!$G$14,$M676,BE$13))))</f>
        <v>1000000000000</v>
      </c>
      <c r="BF676" s="182">
        <f ca="1">IF($D676&lt;&gt;"Serviço",0,IF(OR(AND(AUTOEVENTO="Manual",$M676=1),$M676&gt;(ROW(PLE.lastrow)-ROW(PLE.firstrow))),0,IF(OFFSET(PLE!$G$14,$M676,BF$13)="",10^12,OFFSET(PLE!$G$14,$M676,BF$13))))</f>
        <v>1000000000000</v>
      </c>
      <c r="BG676" s="182">
        <f ca="1">IF($D676&lt;&gt;"Serviço",0,IF(OR(AND(AUTOEVENTO="Manual",$M676=1),$M676&gt;(ROW(PLE.lastrow)-ROW(PLE.firstrow))),0,IF(OFFSET(PLE!$G$14,$M676,BG$13)="",10^12,OFFSET(PLE!$G$14,$M676,BG$13))))</f>
        <v>1000000000000</v>
      </c>
    </row>
    <row r="677" spans="1:59" ht="38.25" x14ac:dyDescent="0.2">
      <c r="A677" s="7" t="str">
        <f t="shared" ca="1" si="17"/>
        <v>654</v>
      </c>
      <c r="B677" s="7" t="str">
        <f ca="1">OFFSET(ORÇAMENTO!C$15,ROW(B677)-ROW(B$15),0)</f>
        <v>S</v>
      </c>
      <c r="C677" s="7" t="str">
        <f ca="1">OFFSET(ORÇAMENTO!L$15,ROW(C677)-ROW(C$15),0)</f>
        <v/>
      </c>
      <c r="D677" s="118" t="str">
        <f ca="1">OFFSET(ORÇAMENTO!N$15,ROW(D677)-ROW(D$15),0)</f>
        <v>Serviço</v>
      </c>
      <c r="E677" s="119" t="str">
        <f ca="1">OFFSET(ORÇAMENTO!O$15,ROW(E677)-ROW(E$15),0)</f>
        <v>-</v>
      </c>
      <c r="F677" s="172" t="str">
        <f ca="1">OFFSET(ORÇAMENTO!R$15,ROW(F677)-ROW(F$15),0)</f>
        <v>(abra o arquivo 'Referência 02-2025.xlsm)</v>
      </c>
      <c r="G677" s="173" t="str">
        <f ca="1">IF($D677&lt;&gt;"Serviço","",OFFSET(ORÇAMENTO!S$15,ROW(G677)-ROW(G$15),0))</f>
        <v>-</v>
      </c>
      <c r="H677" s="124">
        <f ca="1">IF($D677&lt;&gt;"Serviço",0,IF(ACOMPANHAMENTO="BM",ROUND(OFFSET(ORÇAMENTO!AJ$15,ROW(H677)-ROW(H$15),0),15-13*ORÇAMENTO!$AF$7),SUMPRODUCT(($Q$12:$AA$12&lt;&gt;"")*ROUND($Q677:$AA677,15-13*ORÇAMENTO!$AF$7))))</f>
        <v>8</v>
      </c>
      <c r="I677" s="561"/>
      <c r="K677" s="174"/>
      <c r="L677" s="175" t="s">
        <v>255</v>
      </c>
      <c r="M677" s="176">
        <f ca="1">IF($D677&lt;&gt;"Serviço","",IF(AUTOEVENTO="manual",$A677,IF(ISERROR(MATCH($A677,$A$15:OFFSET($A677,-1,0),0)),MAX($M$15:OFFSET(M677,-1,0))+1,INDEX($M$15:OFFSET(M677,-1,0),MATCH($A677,$A$15:OFFSET($A677,-1,0),0)))))</f>
        <v>23</v>
      </c>
      <c r="N677" s="177" t="str">
        <f ca="1">IF($D677&lt;&gt;"Serviço","",IF(AUTOEVENTO="Manual",IF($A677=0,"&lt;-- defina o número do agrupador",OFFSET(EVENTOS!$D$14,$A677,0)),OFFSET($F$15,$A677,0)))</f>
        <v>INSTALAÇÕES DE GÁS COMBUSTÍVEL</v>
      </c>
      <c r="O677" s="178"/>
      <c r="Q677" s="178"/>
      <c r="R677" s="179"/>
      <c r="S677" s="179"/>
      <c r="T677" s="179"/>
      <c r="U677" s="179"/>
      <c r="V677" s="179"/>
      <c r="W677" s="179"/>
      <c r="X677" s="179"/>
      <c r="Y677" s="179"/>
      <c r="Z677" s="180"/>
      <c r="AB677" s="544">
        <f ca="1">IF(AND($D677="Serviço",AB$12&lt;&gt;0,$H677&gt;0,OR(AUTOEVENTO&lt;&gt;"manual",$M677&lt;&gt;1)),
IF(Import.TipoArredondamento&lt;&gt;"TransfereGOV",
ROUND(OFFSET($P677,0,AB$13),15-13*ORÇAMENTO!$AF$7)/$H677*OFFSET(ORÇAMENTO!$X$15,ROW(AB677)-ROW(AB$15),0),
ROUND(ROUND(OFFSET($P677,0,AB$13),15-13*ORÇAMENTO!$AF$7)*OFFSET(ORÇAMENTO!$W$15,ROW(AB677)-ROW(AB$15),0),15-13*ORÇAMENTO!$AF$11)),0)</f>
        <v>0</v>
      </c>
      <c r="AC677" s="545">
        <f ca="1">IF(AND($D677="Serviço",AC$12&lt;&gt;0,$H677&gt;0,OR(AUTOEVENTO&lt;&gt;"manual",$M677&lt;&gt;1)),
IF(Import.TipoArredondamento&lt;&gt;"TransfereGOV",
ROUND(OFFSET($P677,0,AC$13),15-13*ORÇAMENTO!$AF$7)/$H677*OFFSET(ORÇAMENTO!$X$15,ROW(AC677)-ROW(AC$15),0),
ROUND(ROUND(OFFSET($P677,0,AC$13),15-13*ORÇAMENTO!$AF$7)*OFFSET(ORÇAMENTO!$W$15,ROW(AC677)-ROW(AC$15),0),15-13*ORÇAMENTO!$AF$11)),0)</f>
        <v>0</v>
      </c>
      <c r="AD677" s="545">
        <f ca="1">IF(AND($D677="Serviço",AD$12&lt;&gt;0,$H677&gt;0,OR(AUTOEVENTO&lt;&gt;"manual",$M677&lt;&gt;1)),
IF(Import.TipoArredondamento&lt;&gt;"TransfereGOV",
ROUND(OFFSET($P677,0,AD$13),15-13*ORÇAMENTO!$AF$7)/$H677*OFFSET(ORÇAMENTO!$X$15,ROW(AD677)-ROW(AD$15),0),
ROUND(ROUND(OFFSET($P677,0,AD$13),15-13*ORÇAMENTO!$AF$7)*OFFSET(ORÇAMENTO!$W$15,ROW(AD677)-ROW(AD$15),0),15-13*ORÇAMENTO!$AF$11)),0)</f>
        <v>0</v>
      </c>
      <c r="AE677" s="545">
        <f ca="1">IF(AND($D677="Serviço",AE$12&lt;&gt;0,$H677&gt;0,OR(AUTOEVENTO&lt;&gt;"manual",$M677&lt;&gt;1)),
IF(Import.TipoArredondamento&lt;&gt;"TransfereGOV",
ROUND(OFFSET($P677,0,AE$13),15-13*ORÇAMENTO!$AF$7)/$H677*OFFSET(ORÇAMENTO!$X$15,ROW(AE677)-ROW(AE$15),0),
ROUND(ROUND(OFFSET($P677,0,AE$13),15-13*ORÇAMENTO!$AF$7)*OFFSET(ORÇAMENTO!$W$15,ROW(AE677)-ROW(AE$15),0),15-13*ORÇAMENTO!$AF$11)),0)</f>
        <v>0</v>
      </c>
      <c r="AF677" s="545">
        <f ca="1">IF(AND($D677="Serviço",AF$12&lt;&gt;0,$H677&gt;0,OR(AUTOEVENTO&lt;&gt;"manual",$M677&lt;&gt;1)),
IF(Import.TipoArredondamento&lt;&gt;"TransfereGOV",
ROUND(OFFSET($P677,0,AF$13),15-13*ORÇAMENTO!$AF$7)/$H677*OFFSET(ORÇAMENTO!$X$15,ROW(AF677)-ROW(AF$15),0),
ROUND(ROUND(OFFSET($P677,0,AF$13),15-13*ORÇAMENTO!$AF$7)*OFFSET(ORÇAMENTO!$W$15,ROW(AF677)-ROW(AF$15),0),15-13*ORÇAMENTO!$AF$11)),0)</f>
        <v>0</v>
      </c>
      <c r="AG677" s="545">
        <f ca="1">IF(AND($D677="Serviço",AG$12&lt;&gt;0,$H677&gt;0,OR(AUTOEVENTO&lt;&gt;"manual",$M677&lt;&gt;1)),
IF(Import.TipoArredondamento&lt;&gt;"TransfereGOV",
ROUND(OFFSET($P677,0,AG$13),15-13*ORÇAMENTO!$AF$7)/$H677*OFFSET(ORÇAMENTO!$X$15,ROW(AG677)-ROW(AG$15),0),
ROUND(ROUND(OFFSET($P677,0,AG$13),15-13*ORÇAMENTO!$AF$7)*OFFSET(ORÇAMENTO!$W$15,ROW(AG677)-ROW(AG$15),0),15-13*ORÇAMENTO!$AF$11)),0)</f>
        <v>0</v>
      </c>
      <c r="AH677" s="545">
        <f ca="1">IF(AND($D677="Serviço",AH$12&lt;&gt;0,$H677&gt;0,OR(AUTOEVENTO&lt;&gt;"manual",$M677&lt;&gt;1)),
IF(Import.TipoArredondamento&lt;&gt;"TransfereGOV",
ROUND(OFFSET($P677,0,AH$13),15-13*ORÇAMENTO!$AF$7)/$H677*OFFSET(ORÇAMENTO!$X$15,ROW(AH677)-ROW(AH$15),0),
ROUND(ROUND(OFFSET($P677,0,AH$13),15-13*ORÇAMENTO!$AF$7)*OFFSET(ORÇAMENTO!$W$15,ROW(AH677)-ROW(AH$15),0),15-13*ORÇAMENTO!$AF$11)),0)</f>
        <v>0</v>
      </c>
      <c r="AI677" s="545">
        <f ca="1">IF(AND($D677="Serviço",AI$12&lt;&gt;0,$H677&gt;0,OR(AUTOEVENTO&lt;&gt;"manual",$M677&lt;&gt;1)),
IF(Import.TipoArredondamento&lt;&gt;"TransfereGOV",
ROUND(OFFSET($P677,0,AI$13),15-13*ORÇAMENTO!$AF$7)/$H677*OFFSET(ORÇAMENTO!$X$15,ROW(AI677)-ROW(AI$15),0),
ROUND(ROUND(OFFSET($P677,0,AI$13),15-13*ORÇAMENTO!$AF$7)*OFFSET(ORÇAMENTO!$W$15,ROW(AI677)-ROW(AI$15),0),15-13*ORÇAMENTO!$AF$11)),0)</f>
        <v>0</v>
      </c>
      <c r="AJ677" s="545">
        <f ca="1">IF(AND($D677="Serviço",AJ$12&lt;&gt;0,$H677&gt;0,OR(AUTOEVENTO&lt;&gt;"manual",$M677&lt;&gt;1)),
IF(Import.TipoArredondamento&lt;&gt;"TransfereGOV",
ROUND(OFFSET($P677,0,AJ$13),15-13*ORÇAMENTO!$AF$7)/$H677*OFFSET(ORÇAMENTO!$X$15,ROW(AJ677)-ROW(AJ$15),0),
ROUND(ROUND(OFFSET($P677,0,AJ$13),15-13*ORÇAMENTO!$AF$7)*OFFSET(ORÇAMENTO!$W$15,ROW(AJ677)-ROW(AJ$15),0),15-13*ORÇAMENTO!$AF$11)),0)</f>
        <v>0</v>
      </c>
      <c r="AK677" s="546">
        <f ca="1">IF(AND($D677="Serviço",AK$12&lt;&gt;0,$H677&gt;0,OR(AUTOEVENTO&lt;&gt;"manual",$M677&lt;&gt;1)),
IF(Import.TipoArredondamento&lt;&gt;"TransfereGOV",
ROUND(OFFSET($P677,0,AK$13),15-13*ORÇAMENTO!$AF$7)/$H677*OFFSET(ORÇAMENTO!$X$15,ROW(AK677)-ROW(AK$15),0),
ROUND(ROUND(OFFSET($P677,0,AK$13),15-13*ORÇAMENTO!$AF$7)*OFFSET(ORÇAMENTO!$W$15,ROW(AK677)-ROW(AK$15),0),15-13*ORÇAMENTO!$AF$11)),0)</f>
        <v>0</v>
      </c>
      <c r="AM677" s="181">
        <f ca="1">IF($D677&lt;&gt;"Serviço",0,IF(AND(AUTOEVENTO="Manual",$M677=1),0,IF(OFFSET(CRONOPLE!$F$14,$M677,AM$13)="",10^12,OFFSET(CRONOPLE!$F$14,$M677,AM$13))))</f>
        <v>1000000000000</v>
      </c>
      <c r="AN677" s="181">
        <f ca="1">IF($D677&lt;&gt;"Serviço",0,IF(AND(AUTOEVENTO="Manual",$M677=1),0,IF(OFFSET(CRONOPLE!$F$14,$M677,AN$13)="",10^12,OFFSET(CRONOPLE!$F$14,$M677,AN$13))))</f>
        <v>1000000000000</v>
      </c>
      <c r="AO677" s="181">
        <f ca="1">IF($D677&lt;&gt;"Serviço",0,IF(AND(AUTOEVENTO="Manual",$M677=1),0,IF(OFFSET(CRONOPLE!$F$14,$M677,AO$13)="",10^12,OFFSET(CRONOPLE!$F$14,$M677,AO$13))))</f>
        <v>1000000000000</v>
      </c>
      <c r="AP677" s="181">
        <f ca="1">IF($D677&lt;&gt;"Serviço",0,IF(AND(AUTOEVENTO="Manual",$M677=1),0,IF(OFFSET(CRONOPLE!$F$14,$M677,AP$13)="",10^12,OFFSET(CRONOPLE!$F$14,$M677,AP$13))))</f>
        <v>1000000000000</v>
      </c>
      <c r="AQ677" s="181">
        <f ca="1">IF($D677&lt;&gt;"Serviço",0,IF(AND(AUTOEVENTO="Manual",$M677=1),0,IF(OFFSET(CRONOPLE!$F$14,$M677,AQ$13)="",10^12,OFFSET(CRONOPLE!$F$14,$M677,AQ$13))))</f>
        <v>1000000000000</v>
      </c>
      <c r="AR677" s="181">
        <f ca="1">IF($D677&lt;&gt;"Serviço",0,IF(AND(AUTOEVENTO="Manual",$M677=1),0,IF(OFFSET(CRONOPLE!$F$14,$M677,AR$13)="",10^12,OFFSET(CRONOPLE!$F$14,$M677,AR$13))))</f>
        <v>1000000000000</v>
      </c>
      <c r="AS677" s="181">
        <f ca="1">IF($D677&lt;&gt;"Serviço",0,IF(AND(AUTOEVENTO="Manual",$M677=1),0,IF(OFFSET(CRONOPLE!$F$14,$M677,AS$13)="",10^12,OFFSET(CRONOPLE!$F$14,$M677,AS$13))))</f>
        <v>1000000000000</v>
      </c>
      <c r="AT677" s="181">
        <f ca="1">IF($D677&lt;&gt;"Serviço",0,IF(AND(AUTOEVENTO="Manual",$M677=1),0,IF(OFFSET(CRONOPLE!$F$14,$M677,AT$13)="",10^12,OFFSET(CRONOPLE!$F$14,$M677,AT$13))))</f>
        <v>1000000000000</v>
      </c>
      <c r="AU677" s="181">
        <f ca="1">IF($D677&lt;&gt;"Serviço",0,IF(AND(AUTOEVENTO="Manual",$M677=1),0,IF(OFFSET(CRONOPLE!$F$14,$M677,AU$13)="",10^12,OFFSET(CRONOPLE!$F$14,$M677,AU$13))))</f>
        <v>1000000000000</v>
      </c>
      <c r="AV677" s="181">
        <f ca="1">IF($D677&lt;&gt;"Serviço",0,IF(AND(AUTOEVENTO="Manual",$M677=1),0,IF(OFFSET(CRONOPLE!$F$14,$M677,AV$13)="",10^12,OFFSET(CRONOPLE!$F$14,$M677,AV$13))))</f>
        <v>1000000000000</v>
      </c>
      <c r="AX677" s="182">
        <f ca="1">IF($D677&lt;&gt;"Serviço",0,IF(OR(AND(AUTOEVENTO="Manual",$M677=1),$M677&gt;(ROW(PLE.lastrow)-ROW(PLE.firstrow))),0,IF(OFFSET(PLE!$G$14,$M677,AX$13)="",10^12,OFFSET(PLE!$G$14,$M677,AX$13))))</f>
        <v>1000000000000</v>
      </c>
      <c r="AY677" s="182">
        <f ca="1">IF($D677&lt;&gt;"Serviço",0,IF(OR(AND(AUTOEVENTO="Manual",$M677=1),$M677&gt;(ROW(PLE.lastrow)-ROW(PLE.firstrow))),0,IF(OFFSET(PLE!$G$14,$M677,AY$13)="",10^12,OFFSET(PLE!$G$14,$M677,AY$13))))</f>
        <v>1000000000000</v>
      </c>
      <c r="AZ677" s="182">
        <f ca="1">IF($D677&lt;&gt;"Serviço",0,IF(OR(AND(AUTOEVENTO="Manual",$M677=1),$M677&gt;(ROW(PLE.lastrow)-ROW(PLE.firstrow))),0,IF(OFFSET(PLE!$G$14,$M677,AZ$13)="",10^12,OFFSET(PLE!$G$14,$M677,AZ$13))))</f>
        <v>1000000000000</v>
      </c>
      <c r="BA677" s="182">
        <f ca="1">IF($D677&lt;&gt;"Serviço",0,IF(OR(AND(AUTOEVENTO="Manual",$M677=1),$M677&gt;(ROW(PLE.lastrow)-ROW(PLE.firstrow))),0,IF(OFFSET(PLE!$G$14,$M677,BA$13)="",10^12,OFFSET(PLE!$G$14,$M677,BA$13))))</f>
        <v>1000000000000</v>
      </c>
      <c r="BB677" s="182">
        <f ca="1">IF($D677&lt;&gt;"Serviço",0,IF(OR(AND(AUTOEVENTO="Manual",$M677=1),$M677&gt;(ROW(PLE.lastrow)-ROW(PLE.firstrow))),0,IF(OFFSET(PLE!$G$14,$M677,BB$13)="",10^12,OFFSET(PLE!$G$14,$M677,BB$13))))</f>
        <v>1000000000000</v>
      </c>
      <c r="BC677" s="182">
        <f ca="1">IF($D677&lt;&gt;"Serviço",0,IF(OR(AND(AUTOEVENTO="Manual",$M677=1),$M677&gt;(ROW(PLE.lastrow)-ROW(PLE.firstrow))),0,IF(OFFSET(PLE!$G$14,$M677,BC$13)="",10^12,OFFSET(PLE!$G$14,$M677,BC$13))))</f>
        <v>1000000000000</v>
      </c>
      <c r="BD677" s="182">
        <f ca="1">IF($D677&lt;&gt;"Serviço",0,IF(OR(AND(AUTOEVENTO="Manual",$M677=1),$M677&gt;(ROW(PLE.lastrow)-ROW(PLE.firstrow))),0,IF(OFFSET(PLE!$G$14,$M677,BD$13)="",10^12,OFFSET(PLE!$G$14,$M677,BD$13))))</f>
        <v>1000000000000</v>
      </c>
      <c r="BE677" s="182">
        <f ca="1">IF($D677&lt;&gt;"Serviço",0,IF(OR(AND(AUTOEVENTO="Manual",$M677=1),$M677&gt;(ROW(PLE.lastrow)-ROW(PLE.firstrow))),0,IF(OFFSET(PLE!$G$14,$M677,BE$13)="",10^12,OFFSET(PLE!$G$14,$M677,BE$13))))</f>
        <v>1000000000000</v>
      </c>
      <c r="BF677" s="182">
        <f ca="1">IF($D677&lt;&gt;"Serviço",0,IF(OR(AND(AUTOEVENTO="Manual",$M677=1),$M677&gt;(ROW(PLE.lastrow)-ROW(PLE.firstrow))),0,IF(OFFSET(PLE!$G$14,$M677,BF$13)="",10^12,OFFSET(PLE!$G$14,$M677,BF$13))))</f>
        <v>1000000000000</v>
      </c>
      <c r="BG677" s="182">
        <f ca="1">IF($D677&lt;&gt;"Serviço",0,IF(OR(AND(AUTOEVENTO="Manual",$M677=1),$M677&gt;(ROW(PLE.lastrow)-ROW(PLE.firstrow))),0,IF(OFFSET(PLE!$G$14,$M677,BG$13)="",10^12,OFFSET(PLE!$G$14,$M677,BG$13))))</f>
        <v>1000000000000</v>
      </c>
    </row>
    <row r="678" spans="1:59" ht="25.5" x14ac:dyDescent="0.2">
      <c r="A678" s="7" t="str">
        <f t="shared" ca="1" si="17"/>
        <v>654</v>
      </c>
      <c r="B678" s="7" t="str">
        <f ca="1">OFFSET(ORÇAMENTO!C$15,ROW(B678)-ROW(B$15),0)</f>
        <v>S</v>
      </c>
      <c r="C678" s="7" t="str">
        <f ca="1">OFFSET(ORÇAMENTO!L$15,ROW(C678)-ROW(C$15),0)</f>
        <v/>
      </c>
      <c r="D678" s="118" t="str">
        <f ca="1">OFFSET(ORÇAMENTO!N$15,ROW(D678)-ROW(D$15),0)</f>
        <v>Serviço</v>
      </c>
      <c r="E678" s="119" t="str">
        <f ca="1">OFFSET(ORÇAMENTO!O$15,ROW(E678)-ROW(E$15),0)</f>
        <v>-</v>
      </c>
      <c r="F678" s="172" t="str">
        <f ca="1">OFFSET(ORÇAMENTO!R$15,ROW(F678)-ROW(F$15),0)</f>
        <v>(abra o arquivo 'Referência 02-2025.xlsm)</v>
      </c>
      <c r="G678" s="173" t="str">
        <f ca="1">IF($D678&lt;&gt;"Serviço","",OFFSET(ORÇAMENTO!S$15,ROW(G678)-ROW(G$15),0))</f>
        <v>-</v>
      </c>
      <c r="H678" s="124">
        <f ca="1">IF($D678&lt;&gt;"Serviço",0,IF(ACOMPANHAMENTO="BM",ROUND(OFFSET(ORÇAMENTO!AJ$15,ROW(H678)-ROW(H$15),0),15-13*ORÇAMENTO!$AF$7),SUMPRODUCT(($Q$12:$AA$12&lt;&gt;"")*ROUND($Q678:$AA678,15-13*ORÇAMENTO!$AF$7))))</f>
        <v>4</v>
      </c>
      <c r="I678" s="561"/>
      <c r="K678" s="174"/>
      <c r="L678" s="175" t="s">
        <v>255</v>
      </c>
      <c r="M678" s="176">
        <f ca="1">IF($D678&lt;&gt;"Serviço","",IF(AUTOEVENTO="manual",$A678,IF(ISERROR(MATCH($A678,$A$15:OFFSET($A678,-1,0),0)),MAX($M$15:OFFSET(M678,-1,0))+1,INDEX($M$15:OFFSET(M678,-1,0),MATCH($A678,$A$15:OFFSET($A678,-1,0),0)))))</f>
        <v>23</v>
      </c>
      <c r="N678" s="177" t="str">
        <f ca="1">IF($D678&lt;&gt;"Serviço","",IF(AUTOEVENTO="Manual",IF($A678=0,"&lt;-- defina o número do agrupador",OFFSET(EVENTOS!$D$14,$A678,0)),OFFSET($F$15,$A678,0)))</f>
        <v>INSTALAÇÕES DE GÁS COMBUSTÍVEL</v>
      </c>
      <c r="O678" s="178"/>
      <c r="Q678" s="178"/>
      <c r="R678" s="179"/>
      <c r="S678" s="179"/>
      <c r="T678" s="179"/>
      <c r="U678" s="179"/>
      <c r="V678" s="179"/>
      <c r="W678" s="179"/>
      <c r="X678" s="179"/>
      <c r="Y678" s="179"/>
      <c r="Z678" s="180"/>
      <c r="AB678" s="544">
        <f ca="1">IF(AND($D678="Serviço",AB$12&lt;&gt;0,$H678&gt;0,OR(AUTOEVENTO&lt;&gt;"manual",$M678&lt;&gt;1)),
IF(Import.TipoArredondamento&lt;&gt;"TransfereGOV",
ROUND(OFFSET($P678,0,AB$13),15-13*ORÇAMENTO!$AF$7)/$H678*OFFSET(ORÇAMENTO!$X$15,ROW(AB678)-ROW(AB$15),0),
ROUND(ROUND(OFFSET($P678,0,AB$13),15-13*ORÇAMENTO!$AF$7)*OFFSET(ORÇAMENTO!$W$15,ROW(AB678)-ROW(AB$15),0),15-13*ORÇAMENTO!$AF$11)),0)</f>
        <v>0</v>
      </c>
      <c r="AC678" s="545">
        <f ca="1">IF(AND($D678="Serviço",AC$12&lt;&gt;0,$H678&gt;0,OR(AUTOEVENTO&lt;&gt;"manual",$M678&lt;&gt;1)),
IF(Import.TipoArredondamento&lt;&gt;"TransfereGOV",
ROUND(OFFSET($P678,0,AC$13),15-13*ORÇAMENTO!$AF$7)/$H678*OFFSET(ORÇAMENTO!$X$15,ROW(AC678)-ROW(AC$15),0),
ROUND(ROUND(OFFSET($P678,0,AC$13),15-13*ORÇAMENTO!$AF$7)*OFFSET(ORÇAMENTO!$W$15,ROW(AC678)-ROW(AC$15),0),15-13*ORÇAMENTO!$AF$11)),0)</f>
        <v>0</v>
      </c>
      <c r="AD678" s="545">
        <f ca="1">IF(AND($D678="Serviço",AD$12&lt;&gt;0,$H678&gt;0,OR(AUTOEVENTO&lt;&gt;"manual",$M678&lt;&gt;1)),
IF(Import.TipoArredondamento&lt;&gt;"TransfereGOV",
ROUND(OFFSET($P678,0,AD$13),15-13*ORÇAMENTO!$AF$7)/$H678*OFFSET(ORÇAMENTO!$X$15,ROW(AD678)-ROW(AD$15),0),
ROUND(ROUND(OFFSET($P678,0,AD$13),15-13*ORÇAMENTO!$AF$7)*OFFSET(ORÇAMENTO!$W$15,ROW(AD678)-ROW(AD$15),0),15-13*ORÇAMENTO!$AF$11)),0)</f>
        <v>0</v>
      </c>
      <c r="AE678" s="545">
        <f ca="1">IF(AND($D678="Serviço",AE$12&lt;&gt;0,$H678&gt;0,OR(AUTOEVENTO&lt;&gt;"manual",$M678&lt;&gt;1)),
IF(Import.TipoArredondamento&lt;&gt;"TransfereGOV",
ROUND(OFFSET($P678,0,AE$13),15-13*ORÇAMENTO!$AF$7)/$H678*OFFSET(ORÇAMENTO!$X$15,ROW(AE678)-ROW(AE$15),0),
ROUND(ROUND(OFFSET($P678,0,AE$13),15-13*ORÇAMENTO!$AF$7)*OFFSET(ORÇAMENTO!$W$15,ROW(AE678)-ROW(AE$15),0),15-13*ORÇAMENTO!$AF$11)),0)</f>
        <v>0</v>
      </c>
      <c r="AF678" s="545">
        <f ca="1">IF(AND($D678="Serviço",AF$12&lt;&gt;0,$H678&gt;0,OR(AUTOEVENTO&lt;&gt;"manual",$M678&lt;&gt;1)),
IF(Import.TipoArredondamento&lt;&gt;"TransfereGOV",
ROUND(OFFSET($P678,0,AF$13),15-13*ORÇAMENTO!$AF$7)/$H678*OFFSET(ORÇAMENTO!$X$15,ROW(AF678)-ROW(AF$15),0),
ROUND(ROUND(OFFSET($P678,0,AF$13),15-13*ORÇAMENTO!$AF$7)*OFFSET(ORÇAMENTO!$W$15,ROW(AF678)-ROW(AF$15),0),15-13*ORÇAMENTO!$AF$11)),0)</f>
        <v>0</v>
      </c>
      <c r="AG678" s="545">
        <f ca="1">IF(AND($D678="Serviço",AG$12&lt;&gt;0,$H678&gt;0,OR(AUTOEVENTO&lt;&gt;"manual",$M678&lt;&gt;1)),
IF(Import.TipoArredondamento&lt;&gt;"TransfereGOV",
ROUND(OFFSET($P678,0,AG$13),15-13*ORÇAMENTO!$AF$7)/$H678*OFFSET(ORÇAMENTO!$X$15,ROW(AG678)-ROW(AG$15),0),
ROUND(ROUND(OFFSET($P678,0,AG$13),15-13*ORÇAMENTO!$AF$7)*OFFSET(ORÇAMENTO!$W$15,ROW(AG678)-ROW(AG$15),0),15-13*ORÇAMENTO!$AF$11)),0)</f>
        <v>0</v>
      </c>
      <c r="AH678" s="545">
        <f ca="1">IF(AND($D678="Serviço",AH$12&lt;&gt;0,$H678&gt;0,OR(AUTOEVENTO&lt;&gt;"manual",$M678&lt;&gt;1)),
IF(Import.TipoArredondamento&lt;&gt;"TransfereGOV",
ROUND(OFFSET($P678,0,AH$13),15-13*ORÇAMENTO!$AF$7)/$H678*OFFSET(ORÇAMENTO!$X$15,ROW(AH678)-ROW(AH$15),0),
ROUND(ROUND(OFFSET($P678,0,AH$13),15-13*ORÇAMENTO!$AF$7)*OFFSET(ORÇAMENTO!$W$15,ROW(AH678)-ROW(AH$15),0),15-13*ORÇAMENTO!$AF$11)),0)</f>
        <v>0</v>
      </c>
      <c r="AI678" s="545">
        <f ca="1">IF(AND($D678="Serviço",AI$12&lt;&gt;0,$H678&gt;0,OR(AUTOEVENTO&lt;&gt;"manual",$M678&lt;&gt;1)),
IF(Import.TipoArredondamento&lt;&gt;"TransfereGOV",
ROUND(OFFSET($P678,0,AI$13),15-13*ORÇAMENTO!$AF$7)/$H678*OFFSET(ORÇAMENTO!$X$15,ROW(AI678)-ROW(AI$15),0),
ROUND(ROUND(OFFSET($P678,0,AI$13),15-13*ORÇAMENTO!$AF$7)*OFFSET(ORÇAMENTO!$W$15,ROW(AI678)-ROW(AI$15),0),15-13*ORÇAMENTO!$AF$11)),0)</f>
        <v>0</v>
      </c>
      <c r="AJ678" s="545">
        <f ca="1">IF(AND($D678="Serviço",AJ$12&lt;&gt;0,$H678&gt;0,OR(AUTOEVENTO&lt;&gt;"manual",$M678&lt;&gt;1)),
IF(Import.TipoArredondamento&lt;&gt;"TransfereGOV",
ROUND(OFFSET($P678,0,AJ$13),15-13*ORÇAMENTO!$AF$7)/$H678*OFFSET(ORÇAMENTO!$X$15,ROW(AJ678)-ROW(AJ$15),0),
ROUND(ROUND(OFFSET($P678,0,AJ$13),15-13*ORÇAMENTO!$AF$7)*OFFSET(ORÇAMENTO!$W$15,ROW(AJ678)-ROW(AJ$15),0),15-13*ORÇAMENTO!$AF$11)),0)</f>
        <v>0</v>
      </c>
      <c r="AK678" s="546">
        <f ca="1">IF(AND($D678="Serviço",AK$12&lt;&gt;0,$H678&gt;0,OR(AUTOEVENTO&lt;&gt;"manual",$M678&lt;&gt;1)),
IF(Import.TipoArredondamento&lt;&gt;"TransfereGOV",
ROUND(OFFSET($P678,0,AK$13),15-13*ORÇAMENTO!$AF$7)/$H678*OFFSET(ORÇAMENTO!$X$15,ROW(AK678)-ROW(AK$15),0),
ROUND(ROUND(OFFSET($P678,0,AK$13),15-13*ORÇAMENTO!$AF$7)*OFFSET(ORÇAMENTO!$W$15,ROW(AK678)-ROW(AK$15),0),15-13*ORÇAMENTO!$AF$11)),0)</f>
        <v>0</v>
      </c>
      <c r="AM678" s="181">
        <f ca="1">IF($D678&lt;&gt;"Serviço",0,IF(AND(AUTOEVENTO="Manual",$M678=1),0,IF(OFFSET(CRONOPLE!$F$14,$M678,AM$13)="",10^12,OFFSET(CRONOPLE!$F$14,$M678,AM$13))))</f>
        <v>1000000000000</v>
      </c>
      <c r="AN678" s="181">
        <f ca="1">IF($D678&lt;&gt;"Serviço",0,IF(AND(AUTOEVENTO="Manual",$M678=1),0,IF(OFFSET(CRONOPLE!$F$14,$M678,AN$13)="",10^12,OFFSET(CRONOPLE!$F$14,$M678,AN$13))))</f>
        <v>1000000000000</v>
      </c>
      <c r="AO678" s="181">
        <f ca="1">IF($D678&lt;&gt;"Serviço",0,IF(AND(AUTOEVENTO="Manual",$M678=1),0,IF(OFFSET(CRONOPLE!$F$14,$M678,AO$13)="",10^12,OFFSET(CRONOPLE!$F$14,$M678,AO$13))))</f>
        <v>1000000000000</v>
      </c>
      <c r="AP678" s="181">
        <f ca="1">IF($D678&lt;&gt;"Serviço",0,IF(AND(AUTOEVENTO="Manual",$M678=1),0,IF(OFFSET(CRONOPLE!$F$14,$M678,AP$13)="",10^12,OFFSET(CRONOPLE!$F$14,$M678,AP$13))))</f>
        <v>1000000000000</v>
      </c>
      <c r="AQ678" s="181">
        <f ca="1">IF($D678&lt;&gt;"Serviço",0,IF(AND(AUTOEVENTO="Manual",$M678=1),0,IF(OFFSET(CRONOPLE!$F$14,$M678,AQ$13)="",10^12,OFFSET(CRONOPLE!$F$14,$M678,AQ$13))))</f>
        <v>1000000000000</v>
      </c>
      <c r="AR678" s="181">
        <f ca="1">IF($D678&lt;&gt;"Serviço",0,IF(AND(AUTOEVENTO="Manual",$M678=1),0,IF(OFFSET(CRONOPLE!$F$14,$M678,AR$13)="",10^12,OFFSET(CRONOPLE!$F$14,$M678,AR$13))))</f>
        <v>1000000000000</v>
      </c>
      <c r="AS678" s="181">
        <f ca="1">IF($D678&lt;&gt;"Serviço",0,IF(AND(AUTOEVENTO="Manual",$M678=1),0,IF(OFFSET(CRONOPLE!$F$14,$M678,AS$13)="",10^12,OFFSET(CRONOPLE!$F$14,$M678,AS$13))))</f>
        <v>1000000000000</v>
      </c>
      <c r="AT678" s="181">
        <f ca="1">IF($D678&lt;&gt;"Serviço",0,IF(AND(AUTOEVENTO="Manual",$M678=1),0,IF(OFFSET(CRONOPLE!$F$14,$M678,AT$13)="",10^12,OFFSET(CRONOPLE!$F$14,$M678,AT$13))))</f>
        <v>1000000000000</v>
      </c>
      <c r="AU678" s="181">
        <f ca="1">IF($D678&lt;&gt;"Serviço",0,IF(AND(AUTOEVENTO="Manual",$M678=1),0,IF(OFFSET(CRONOPLE!$F$14,$M678,AU$13)="",10^12,OFFSET(CRONOPLE!$F$14,$M678,AU$13))))</f>
        <v>1000000000000</v>
      </c>
      <c r="AV678" s="181">
        <f ca="1">IF($D678&lt;&gt;"Serviço",0,IF(AND(AUTOEVENTO="Manual",$M678=1),0,IF(OFFSET(CRONOPLE!$F$14,$M678,AV$13)="",10^12,OFFSET(CRONOPLE!$F$14,$M678,AV$13))))</f>
        <v>1000000000000</v>
      </c>
      <c r="AX678" s="182">
        <f ca="1">IF($D678&lt;&gt;"Serviço",0,IF(OR(AND(AUTOEVENTO="Manual",$M678=1),$M678&gt;(ROW(PLE.lastrow)-ROW(PLE.firstrow))),0,IF(OFFSET(PLE!$G$14,$M678,AX$13)="",10^12,OFFSET(PLE!$G$14,$M678,AX$13))))</f>
        <v>1000000000000</v>
      </c>
      <c r="AY678" s="182">
        <f ca="1">IF($D678&lt;&gt;"Serviço",0,IF(OR(AND(AUTOEVENTO="Manual",$M678=1),$M678&gt;(ROW(PLE.lastrow)-ROW(PLE.firstrow))),0,IF(OFFSET(PLE!$G$14,$M678,AY$13)="",10^12,OFFSET(PLE!$G$14,$M678,AY$13))))</f>
        <v>1000000000000</v>
      </c>
      <c r="AZ678" s="182">
        <f ca="1">IF($D678&lt;&gt;"Serviço",0,IF(OR(AND(AUTOEVENTO="Manual",$M678=1),$M678&gt;(ROW(PLE.lastrow)-ROW(PLE.firstrow))),0,IF(OFFSET(PLE!$G$14,$M678,AZ$13)="",10^12,OFFSET(PLE!$G$14,$M678,AZ$13))))</f>
        <v>1000000000000</v>
      </c>
      <c r="BA678" s="182">
        <f ca="1">IF($D678&lt;&gt;"Serviço",0,IF(OR(AND(AUTOEVENTO="Manual",$M678=1),$M678&gt;(ROW(PLE.lastrow)-ROW(PLE.firstrow))),0,IF(OFFSET(PLE!$G$14,$M678,BA$13)="",10^12,OFFSET(PLE!$G$14,$M678,BA$13))))</f>
        <v>1000000000000</v>
      </c>
      <c r="BB678" s="182">
        <f ca="1">IF($D678&lt;&gt;"Serviço",0,IF(OR(AND(AUTOEVENTO="Manual",$M678=1),$M678&gt;(ROW(PLE.lastrow)-ROW(PLE.firstrow))),0,IF(OFFSET(PLE!$G$14,$M678,BB$13)="",10^12,OFFSET(PLE!$G$14,$M678,BB$13))))</f>
        <v>1000000000000</v>
      </c>
      <c r="BC678" s="182">
        <f ca="1">IF($D678&lt;&gt;"Serviço",0,IF(OR(AND(AUTOEVENTO="Manual",$M678=1),$M678&gt;(ROW(PLE.lastrow)-ROW(PLE.firstrow))),0,IF(OFFSET(PLE!$G$14,$M678,BC$13)="",10^12,OFFSET(PLE!$G$14,$M678,BC$13))))</f>
        <v>1000000000000</v>
      </c>
      <c r="BD678" s="182">
        <f ca="1">IF($D678&lt;&gt;"Serviço",0,IF(OR(AND(AUTOEVENTO="Manual",$M678=1),$M678&gt;(ROW(PLE.lastrow)-ROW(PLE.firstrow))),0,IF(OFFSET(PLE!$G$14,$M678,BD$13)="",10^12,OFFSET(PLE!$G$14,$M678,BD$13))))</f>
        <v>1000000000000</v>
      </c>
      <c r="BE678" s="182">
        <f ca="1">IF($D678&lt;&gt;"Serviço",0,IF(OR(AND(AUTOEVENTO="Manual",$M678=1),$M678&gt;(ROW(PLE.lastrow)-ROW(PLE.firstrow))),0,IF(OFFSET(PLE!$G$14,$M678,BE$13)="",10^12,OFFSET(PLE!$G$14,$M678,BE$13))))</f>
        <v>1000000000000</v>
      </c>
      <c r="BF678" s="182">
        <f ca="1">IF($D678&lt;&gt;"Serviço",0,IF(OR(AND(AUTOEVENTO="Manual",$M678=1),$M678&gt;(ROW(PLE.lastrow)-ROW(PLE.firstrow))),0,IF(OFFSET(PLE!$G$14,$M678,BF$13)="",10^12,OFFSET(PLE!$G$14,$M678,BF$13))))</f>
        <v>1000000000000</v>
      </c>
      <c r="BG678" s="182">
        <f ca="1">IF($D678&lt;&gt;"Serviço",0,IF(OR(AND(AUTOEVENTO="Manual",$M678=1),$M678&gt;(ROW(PLE.lastrow)-ROW(PLE.firstrow))),0,IF(OFFSET(PLE!$G$14,$M678,BG$13)="",10^12,OFFSET(PLE!$G$14,$M678,BG$13))))</f>
        <v>1000000000000</v>
      </c>
    </row>
    <row r="679" spans="1:59" ht="38.25" x14ac:dyDescent="0.2">
      <c r="A679" s="7" t="str">
        <f t="shared" ca="1" si="17"/>
        <v>654</v>
      </c>
      <c r="B679" s="7" t="str">
        <f ca="1">OFFSET(ORÇAMENTO!C$15,ROW(B679)-ROW(B$15),0)</f>
        <v>S</v>
      </c>
      <c r="C679" s="7" t="str">
        <f ca="1">OFFSET(ORÇAMENTO!L$15,ROW(C679)-ROW(C$15),0)</f>
        <v/>
      </c>
      <c r="D679" s="118" t="str">
        <f ca="1">OFFSET(ORÇAMENTO!N$15,ROW(D679)-ROW(D$15),0)</f>
        <v>Serviço</v>
      </c>
      <c r="E679" s="119" t="str">
        <f ca="1">OFFSET(ORÇAMENTO!O$15,ROW(E679)-ROW(E$15),0)</f>
        <v>-</v>
      </c>
      <c r="F679" s="172" t="str">
        <f ca="1">OFFSET(ORÇAMENTO!R$15,ROW(F679)-ROW(F$15),0)</f>
        <v>(abra o arquivo 'Referência 02-2025.xlsm)</v>
      </c>
      <c r="G679" s="173" t="str">
        <f ca="1">IF($D679&lt;&gt;"Serviço","",OFFSET(ORÇAMENTO!S$15,ROW(G679)-ROW(G$15),0))</f>
        <v>-</v>
      </c>
      <c r="H679" s="124">
        <f ca="1">IF($D679&lt;&gt;"Serviço",0,IF(ACOMPANHAMENTO="BM",ROUND(OFFSET(ORÇAMENTO!AJ$15,ROW(H679)-ROW(H$15),0),15-13*ORÇAMENTO!$AF$7),SUMPRODUCT(($Q$12:$AA$12&lt;&gt;"")*ROUND($Q679:$AA679,15-13*ORÇAMENTO!$AF$7))))</f>
        <v>2</v>
      </c>
      <c r="I679" s="561"/>
      <c r="K679" s="174"/>
      <c r="L679" s="175" t="s">
        <v>255</v>
      </c>
      <c r="M679" s="176">
        <f ca="1">IF($D679&lt;&gt;"Serviço","",IF(AUTOEVENTO="manual",$A679,IF(ISERROR(MATCH($A679,$A$15:OFFSET($A679,-1,0),0)),MAX($M$15:OFFSET(M679,-1,0))+1,INDEX($M$15:OFFSET(M679,-1,0),MATCH($A679,$A$15:OFFSET($A679,-1,0),0)))))</f>
        <v>23</v>
      </c>
      <c r="N679" s="177" t="str">
        <f ca="1">IF($D679&lt;&gt;"Serviço","",IF(AUTOEVENTO="Manual",IF($A679=0,"&lt;-- defina o número do agrupador",OFFSET(EVENTOS!$D$14,$A679,0)),OFFSET($F$15,$A679,0)))</f>
        <v>INSTALAÇÕES DE GÁS COMBUSTÍVEL</v>
      </c>
      <c r="O679" s="178"/>
      <c r="Q679" s="178"/>
      <c r="R679" s="179"/>
      <c r="S679" s="179"/>
      <c r="T679" s="179"/>
      <c r="U679" s="179"/>
      <c r="V679" s="179"/>
      <c r="W679" s="179"/>
      <c r="X679" s="179"/>
      <c r="Y679" s="179"/>
      <c r="Z679" s="180"/>
      <c r="AB679" s="544">
        <f ca="1">IF(AND($D679="Serviço",AB$12&lt;&gt;0,$H679&gt;0,OR(AUTOEVENTO&lt;&gt;"manual",$M679&lt;&gt;1)),
IF(Import.TipoArredondamento&lt;&gt;"TransfereGOV",
ROUND(OFFSET($P679,0,AB$13),15-13*ORÇAMENTO!$AF$7)/$H679*OFFSET(ORÇAMENTO!$X$15,ROW(AB679)-ROW(AB$15),0),
ROUND(ROUND(OFFSET($P679,0,AB$13),15-13*ORÇAMENTO!$AF$7)*OFFSET(ORÇAMENTO!$W$15,ROW(AB679)-ROW(AB$15),0),15-13*ORÇAMENTO!$AF$11)),0)</f>
        <v>0</v>
      </c>
      <c r="AC679" s="545">
        <f ca="1">IF(AND($D679="Serviço",AC$12&lt;&gt;0,$H679&gt;0,OR(AUTOEVENTO&lt;&gt;"manual",$M679&lt;&gt;1)),
IF(Import.TipoArredondamento&lt;&gt;"TransfereGOV",
ROUND(OFFSET($P679,0,AC$13),15-13*ORÇAMENTO!$AF$7)/$H679*OFFSET(ORÇAMENTO!$X$15,ROW(AC679)-ROW(AC$15),0),
ROUND(ROUND(OFFSET($P679,0,AC$13),15-13*ORÇAMENTO!$AF$7)*OFFSET(ORÇAMENTO!$W$15,ROW(AC679)-ROW(AC$15),0),15-13*ORÇAMENTO!$AF$11)),0)</f>
        <v>0</v>
      </c>
      <c r="AD679" s="545">
        <f ca="1">IF(AND($D679="Serviço",AD$12&lt;&gt;0,$H679&gt;0,OR(AUTOEVENTO&lt;&gt;"manual",$M679&lt;&gt;1)),
IF(Import.TipoArredondamento&lt;&gt;"TransfereGOV",
ROUND(OFFSET($P679,0,AD$13),15-13*ORÇAMENTO!$AF$7)/$H679*OFFSET(ORÇAMENTO!$X$15,ROW(AD679)-ROW(AD$15),0),
ROUND(ROUND(OFFSET($P679,0,AD$13),15-13*ORÇAMENTO!$AF$7)*OFFSET(ORÇAMENTO!$W$15,ROW(AD679)-ROW(AD$15),0),15-13*ORÇAMENTO!$AF$11)),0)</f>
        <v>0</v>
      </c>
      <c r="AE679" s="545">
        <f ca="1">IF(AND($D679="Serviço",AE$12&lt;&gt;0,$H679&gt;0,OR(AUTOEVENTO&lt;&gt;"manual",$M679&lt;&gt;1)),
IF(Import.TipoArredondamento&lt;&gt;"TransfereGOV",
ROUND(OFFSET($P679,0,AE$13),15-13*ORÇAMENTO!$AF$7)/$H679*OFFSET(ORÇAMENTO!$X$15,ROW(AE679)-ROW(AE$15),0),
ROUND(ROUND(OFFSET($P679,0,AE$13),15-13*ORÇAMENTO!$AF$7)*OFFSET(ORÇAMENTO!$W$15,ROW(AE679)-ROW(AE$15),0),15-13*ORÇAMENTO!$AF$11)),0)</f>
        <v>0</v>
      </c>
      <c r="AF679" s="545">
        <f ca="1">IF(AND($D679="Serviço",AF$12&lt;&gt;0,$H679&gt;0,OR(AUTOEVENTO&lt;&gt;"manual",$M679&lt;&gt;1)),
IF(Import.TipoArredondamento&lt;&gt;"TransfereGOV",
ROUND(OFFSET($P679,0,AF$13),15-13*ORÇAMENTO!$AF$7)/$H679*OFFSET(ORÇAMENTO!$X$15,ROW(AF679)-ROW(AF$15),0),
ROUND(ROUND(OFFSET($P679,0,AF$13),15-13*ORÇAMENTO!$AF$7)*OFFSET(ORÇAMENTO!$W$15,ROW(AF679)-ROW(AF$15),0),15-13*ORÇAMENTO!$AF$11)),0)</f>
        <v>0</v>
      </c>
      <c r="AG679" s="545">
        <f ca="1">IF(AND($D679="Serviço",AG$12&lt;&gt;0,$H679&gt;0,OR(AUTOEVENTO&lt;&gt;"manual",$M679&lt;&gt;1)),
IF(Import.TipoArredondamento&lt;&gt;"TransfereGOV",
ROUND(OFFSET($P679,0,AG$13),15-13*ORÇAMENTO!$AF$7)/$H679*OFFSET(ORÇAMENTO!$X$15,ROW(AG679)-ROW(AG$15),0),
ROUND(ROUND(OFFSET($P679,0,AG$13),15-13*ORÇAMENTO!$AF$7)*OFFSET(ORÇAMENTO!$W$15,ROW(AG679)-ROW(AG$15),0),15-13*ORÇAMENTO!$AF$11)),0)</f>
        <v>0</v>
      </c>
      <c r="AH679" s="545">
        <f ca="1">IF(AND($D679="Serviço",AH$12&lt;&gt;0,$H679&gt;0,OR(AUTOEVENTO&lt;&gt;"manual",$M679&lt;&gt;1)),
IF(Import.TipoArredondamento&lt;&gt;"TransfereGOV",
ROUND(OFFSET($P679,0,AH$13),15-13*ORÇAMENTO!$AF$7)/$H679*OFFSET(ORÇAMENTO!$X$15,ROW(AH679)-ROW(AH$15),0),
ROUND(ROUND(OFFSET($P679,0,AH$13),15-13*ORÇAMENTO!$AF$7)*OFFSET(ORÇAMENTO!$W$15,ROW(AH679)-ROW(AH$15),0),15-13*ORÇAMENTO!$AF$11)),0)</f>
        <v>0</v>
      </c>
      <c r="AI679" s="545">
        <f ca="1">IF(AND($D679="Serviço",AI$12&lt;&gt;0,$H679&gt;0,OR(AUTOEVENTO&lt;&gt;"manual",$M679&lt;&gt;1)),
IF(Import.TipoArredondamento&lt;&gt;"TransfereGOV",
ROUND(OFFSET($P679,0,AI$13),15-13*ORÇAMENTO!$AF$7)/$H679*OFFSET(ORÇAMENTO!$X$15,ROW(AI679)-ROW(AI$15),0),
ROUND(ROUND(OFFSET($P679,0,AI$13),15-13*ORÇAMENTO!$AF$7)*OFFSET(ORÇAMENTO!$W$15,ROW(AI679)-ROW(AI$15),0),15-13*ORÇAMENTO!$AF$11)),0)</f>
        <v>0</v>
      </c>
      <c r="AJ679" s="545">
        <f ca="1">IF(AND($D679="Serviço",AJ$12&lt;&gt;0,$H679&gt;0,OR(AUTOEVENTO&lt;&gt;"manual",$M679&lt;&gt;1)),
IF(Import.TipoArredondamento&lt;&gt;"TransfereGOV",
ROUND(OFFSET($P679,0,AJ$13),15-13*ORÇAMENTO!$AF$7)/$H679*OFFSET(ORÇAMENTO!$X$15,ROW(AJ679)-ROW(AJ$15),0),
ROUND(ROUND(OFFSET($P679,0,AJ$13),15-13*ORÇAMENTO!$AF$7)*OFFSET(ORÇAMENTO!$W$15,ROW(AJ679)-ROW(AJ$15),0),15-13*ORÇAMENTO!$AF$11)),0)</f>
        <v>0</v>
      </c>
      <c r="AK679" s="546">
        <f ca="1">IF(AND($D679="Serviço",AK$12&lt;&gt;0,$H679&gt;0,OR(AUTOEVENTO&lt;&gt;"manual",$M679&lt;&gt;1)),
IF(Import.TipoArredondamento&lt;&gt;"TransfereGOV",
ROUND(OFFSET($P679,0,AK$13),15-13*ORÇAMENTO!$AF$7)/$H679*OFFSET(ORÇAMENTO!$X$15,ROW(AK679)-ROW(AK$15),0),
ROUND(ROUND(OFFSET($P679,0,AK$13),15-13*ORÇAMENTO!$AF$7)*OFFSET(ORÇAMENTO!$W$15,ROW(AK679)-ROW(AK$15),0),15-13*ORÇAMENTO!$AF$11)),0)</f>
        <v>0</v>
      </c>
      <c r="AM679" s="181">
        <f ca="1">IF($D679&lt;&gt;"Serviço",0,IF(AND(AUTOEVENTO="Manual",$M679=1),0,IF(OFFSET(CRONOPLE!$F$14,$M679,AM$13)="",10^12,OFFSET(CRONOPLE!$F$14,$M679,AM$13))))</f>
        <v>1000000000000</v>
      </c>
      <c r="AN679" s="181">
        <f ca="1">IF($D679&lt;&gt;"Serviço",0,IF(AND(AUTOEVENTO="Manual",$M679=1),0,IF(OFFSET(CRONOPLE!$F$14,$M679,AN$13)="",10^12,OFFSET(CRONOPLE!$F$14,$M679,AN$13))))</f>
        <v>1000000000000</v>
      </c>
      <c r="AO679" s="181">
        <f ca="1">IF($D679&lt;&gt;"Serviço",0,IF(AND(AUTOEVENTO="Manual",$M679=1),0,IF(OFFSET(CRONOPLE!$F$14,$M679,AO$13)="",10^12,OFFSET(CRONOPLE!$F$14,$M679,AO$13))))</f>
        <v>1000000000000</v>
      </c>
      <c r="AP679" s="181">
        <f ca="1">IF($D679&lt;&gt;"Serviço",0,IF(AND(AUTOEVENTO="Manual",$M679=1),0,IF(OFFSET(CRONOPLE!$F$14,$M679,AP$13)="",10^12,OFFSET(CRONOPLE!$F$14,$M679,AP$13))))</f>
        <v>1000000000000</v>
      </c>
      <c r="AQ679" s="181">
        <f ca="1">IF($D679&lt;&gt;"Serviço",0,IF(AND(AUTOEVENTO="Manual",$M679=1),0,IF(OFFSET(CRONOPLE!$F$14,$M679,AQ$13)="",10^12,OFFSET(CRONOPLE!$F$14,$M679,AQ$13))))</f>
        <v>1000000000000</v>
      </c>
      <c r="AR679" s="181">
        <f ca="1">IF($D679&lt;&gt;"Serviço",0,IF(AND(AUTOEVENTO="Manual",$M679=1),0,IF(OFFSET(CRONOPLE!$F$14,$M679,AR$13)="",10^12,OFFSET(CRONOPLE!$F$14,$M679,AR$13))))</f>
        <v>1000000000000</v>
      </c>
      <c r="AS679" s="181">
        <f ca="1">IF($D679&lt;&gt;"Serviço",0,IF(AND(AUTOEVENTO="Manual",$M679=1),0,IF(OFFSET(CRONOPLE!$F$14,$M679,AS$13)="",10^12,OFFSET(CRONOPLE!$F$14,$M679,AS$13))))</f>
        <v>1000000000000</v>
      </c>
      <c r="AT679" s="181">
        <f ca="1">IF($D679&lt;&gt;"Serviço",0,IF(AND(AUTOEVENTO="Manual",$M679=1),0,IF(OFFSET(CRONOPLE!$F$14,$M679,AT$13)="",10^12,OFFSET(CRONOPLE!$F$14,$M679,AT$13))))</f>
        <v>1000000000000</v>
      </c>
      <c r="AU679" s="181">
        <f ca="1">IF($D679&lt;&gt;"Serviço",0,IF(AND(AUTOEVENTO="Manual",$M679=1),0,IF(OFFSET(CRONOPLE!$F$14,$M679,AU$13)="",10^12,OFFSET(CRONOPLE!$F$14,$M679,AU$13))))</f>
        <v>1000000000000</v>
      </c>
      <c r="AV679" s="181">
        <f ca="1">IF($D679&lt;&gt;"Serviço",0,IF(AND(AUTOEVENTO="Manual",$M679=1),0,IF(OFFSET(CRONOPLE!$F$14,$M679,AV$13)="",10^12,OFFSET(CRONOPLE!$F$14,$M679,AV$13))))</f>
        <v>1000000000000</v>
      </c>
      <c r="AX679" s="182">
        <f ca="1">IF($D679&lt;&gt;"Serviço",0,IF(OR(AND(AUTOEVENTO="Manual",$M679=1),$M679&gt;(ROW(PLE.lastrow)-ROW(PLE.firstrow))),0,IF(OFFSET(PLE!$G$14,$M679,AX$13)="",10^12,OFFSET(PLE!$G$14,$M679,AX$13))))</f>
        <v>1000000000000</v>
      </c>
      <c r="AY679" s="182">
        <f ca="1">IF($D679&lt;&gt;"Serviço",0,IF(OR(AND(AUTOEVENTO="Manual",$M679=1),$M679&gt;(ROW(PLE.lastrow)-ROW(PLE.firstrow))),0,IF(OFFSET(PLE!$G$14,$M679,AY$13)="",10^12,OFFSET(PLE!$G$14,$M679,AY$13))))</f>
        <v>1000000000000</v>
      </c>
      <c r="AZ679" s="182">
        <f ca="1">IF($D679&lt;&gt;"Serviço",0,IF(OR(AND(AUTOEVENTO="Manual",$M679=1),$M679&gt;(ROW(PLE.lastrow)-ROW(PLE.firstrow))),0,IF(OFFSET(PLE!$G$14,$M679,AZ$13)="",10^12,OFFSET(PLE!$G$14,$M679,AZ$13))))</f>
        <v>1000000000000</v>
      </c>
      <c r="BA679" s="182">
        <f ca="1">IF($D679&lt;&gt;"Serviço",0,IF(OR(AND(AUTOEVENTO="Manual",$M679=1),$M679&gt;(ROW(PLE.lastrow)-ROW(PLE.firstrow))),0,IF(OFFSET(PLE!$G$14,$M679,BA$13)="",10^12,OFFSET(PLE!$G$14,$M679,BA$13))))</f>
        <v>1000000000000</v>
      </c>
      <c r="BB679" s="182">
        <f ca="1">IF($D679&lt;&gt;"Serviço",0,IF(OR(AND(AUTOEVENTO="Manual",$M679=1),$M679&gt;(ROW(PLE.lastrow)-ROW(PLE.firstrow))),0,IF(OFFSET(PLE!$G$14,$M679,BB$13)="",10^12,OFFSET(PLE!$G$14,$M679,BB$13))))</f>
        <v>1000000000000</v>
      </c>
      <c r="BC679" s="182">
        <f ca="1">IF($D679&lt;&gt;"Serviço",0,IF(OR(AND(AUTOEVENTO="Manual",$M679=1),$M679&gt;(ROW(PLE.lastrow)-ROW(PLE.firstrow))),0,IF(OFFSET(PLE!$G$14,$M679,BC$13)="",10^12,OFFSET(PLE!$G$14,$M679,BC$13))))</f>
        <v>1000000000000</v>
      </c>
      <c r="BD679" s="182">
        <f ca="1">IF($D679&lt;&gt;"Serviço",0,IF(OR(AND(AUTOEVENTO="Manual",$M679=1),$M679&gt;(ROW(PLE.lastrow)-ROW(PLE.firstrow))),0,IF(OFFSET(PLE!$G$14,$M679,BD$13)="",10^12,OFFSET(PLE!$G$14,$M679,BD$13))))</f>
        <v>1000000000000</v>
      </c>
      <c r="BE679" s="182">
        <f ca="1">IF($D679&lt;&gt;"Serviço",0,IF(OR(AND(AUTOEVENTO="Manual",$M679=1),$M679&gt;(ROW(PLE.lastrow)-ROW(PLE.firstrow))),0,IF(OFFSET(PLE!$G$14,$M679,BE$13)="",10^12,OFFSET(PLE!$G$14,$M679,BE$13))))</f>
        <v>1000000000000</v>
      </c>
      <c r="BF679" s="182">
        <f ca="1">IF($D679&lt;&gt;"Serviço",0,IF(OR(AND(AUTOEVENTO="Manual",$M679=1),$M679&gt;(ROW(PLE.lastrow)-ROW(PLE.firstrow))),0,IF(OFFSET(PLE!$G$14,$M679,BF$13)="",10^12,OFFSET(PLE!$G$14,$M679,BF$13))))</f>
        <v>1000000000000</v>
      </c>
      <c r="BG679" s="182">
        <f ca="1">IF($D679&lt;&gt;"Serviço",0,IF(OR(AND(AUTOEVENTO="Manual",$M679=1),$M679&gt;(ROW(PLE.lastrow)-ROW(PLE.firstrow))),0,IF(OFFSET(PLE!$G$14,$M679,BG$13)="",10^12,OFFSET(PLE!$G$14,$M679,BG$13))))</f>
        <v>1000000000000</v>
      </c>
    </row>
    <row r="680" spans="1:59" ht="38.25" x14ac:dyDescent="0.2">
      <c r="A680" s="7" t="str">
        <f t="shared" ca="1" si="17"/>
        <v>654</v>
      </c>
      <c r="B680" s="7" t="str">
        <f ca="1">OFFSET(ORÇAMENTO!C$15,ROW(B680)-ROW(B$15),0)</f>
        <v>S</v>
      </c>
      <c r="C680" s="7" t="str">
        <f ca="1">OFFSET(ORÇAMENTO!L$15,ROW(C680)-ROW(C$15),0)</f>
        <v/>
      </c>
      <c r="D680" s="118" t="str">
        <f ca="1">OFFSET(ORÇAMENTO!N$15,ROW(D680)-ROW(D$15),0)</f>
        <v>Serviço</v>
      </c>
      <c r="E680" s="119" t="str">
        <f ca="1">OFFSET(ORÇAMENTO!O$15,ROW(E680)-ROW(E$15),0)</f>
        <v>-</v>
      </c>
      <c r="F680" s="172" t="str">
        <f ca="1">OFFSET(ORÇAMENTO!R$15,ROW(F680)-ROW(F$15),0)</f>
        <v>(abra o arquivo 'Referência 02-2025.xlsm)</v>
      </c>
      <c r="G680" s="173" t="str">
        <f ca="1">IF($D680&lt;&gt;"Serviço","",OFFSET(ORÇAMENTO!S$15,ROW(G680)-ROW(G$15),0))</f>
        <v>-</v>
      </c>
      <c r="H680" s="124">
        <f ca="1">IF($D680&lt;&gt;"Serviço",0,IF(ACOMPANHAMENTO="BM",ROUND(OFFSET(ORÇAMENTO!AJ$15,ROW(H680)-ROW(H$15),0),15-13*ORÇAMENTO!$AF$7),SUMPRODUCT(($Q$12:$AA$12&lt;&gt;"")*ROUND($Q680:$AA680,15-13*ORÇAMENTO!$AF$7))))</f>
        <v>6</v>
      </c>
      <c r="I680" s="561"/>
      <c r="K680" s="174"/>
      <c r="L680" s="175" t="s">
        <v>255</v>
      </c>
      <c r="M680" s="176">
        <f ca="1">IF($D680&lt;&gt;"Serviço","",IF(AUTOEVENTO="manual",$A680,IF(ISERROR(MATCH($A680,$A$15:OFFSET($A680,-1,0),0)),MAX($M$15:OFFSET(M680,-1,0))+1,INDEX($M$15:OFFSET(M680,-1,0),MATCH($A680,$A$15:OFFSET($A680,-1,0),0)))))</f>
        <v>23</v>
      </c>
      <c r="N680" s="177" t="str">
        <f ca="1">IF($D680&lt;&gt;"Serviço","",IF(AUTOEVENTO="Manual",IF($A680=0,"&lt;-- defina o número do agrupador",OFFSET(EVENTOS!$D$14,$A680,0)),OFFSET($F$15,$A680,0)))</f>
        <v>INSTALAÇÕES DE GÁS COMBUSTÍVEL</v>
      </c>
      <c r="O680" s="178"/>
      <c r="Q680" s="178"/>
      <c r="R680" s="179"/>
      <c r="S680" s="179"/>
      <c r="T680" s="179"/>
      <c r="U680" s="179"/>
      <c r="V680" s="179"/>
      <c r="W680" s="179"/>
      <c r="X680" s="179"/>
      <c r="Y680" s="179"/>
      <c r="Z680" s="180"/>
      <c r="AB680" s="544">
        <f ca="1">IF(AND($D680="Serviço",AB$12&lt;&gt;0,$H680&gt;0,OR(AUTOEVENTO&lt;&gt;"manual",$M680&lt;&gt;1)),
IF(Import.TipoArredondamento&lt;&gt;"TransfereGOV",
ROUND(OFFSET($P680,0,AB$13),15-13*ORÇAMENTO!$AF$7)/$H680*OFFSET(ORÇAMENTO!$X$15,ROW(AB680)-ROW(AB$15),0),
ROUND(ROUND(OFFSET($P680,0,AB$13),15-13*ORÇAMENTO!$AF$7)*OFFSET(ORÇAMENTO!$W$15,ROW(AB680)-ROW(AB$15),0),15-13*ORÇAMENTO!$AF$11)),0)</f>
        <v>0</v>
      </c>
      <c r="AC680" s="545">
        <f ca="1">IF(AND($D680="Serviço",AC$12&lt;&gt;0,$H680&gt;0,OR(AUTOEVENTO&lt;&gt;"manual",$M680&lt;&gt;1)),
IF(Import.TipoArredondamento&lt;&gt;"TransfereGOV",
ROUND(OFFSET($P680,0,AC$13),15-13*ORÇAMENTO!$AF$7)/$H680*OFFSET(ORÇAMENTO!$X$15,ROW(AC680)-ROW(AC$15),0),
ROUND(ROUND(OFFSET($P680,0,AC$13),15-13*ORÇAMENTO!$AF$7)*OFFSET(ORÇAMENTO!$W$15,ROW(AC680)-ROW(AC$15),0),15-13*ORÇAMENTO!$AF$11)),0)</f>
        <v>0</v>
      </c>
      <c r="AD680" s="545">
        <f ca="1">IF(AND($D680="Serviço",AD$12&lt;&gt;0,$H680&gt;0,OR(AUTOEVENTO&lt;&gt;"manual",$M680&lt;&gt;1)),
IF(Import.TipoArredondamento&lt;&gt;"TransfereGOV",
ROUND(OFFSET($P680,0,AD$13),15-13*ORÇAMENTO!$AF$7)/$H680*OFFSET(ORÇAMENTO!$X$15,ROW(AD680)-ROW(AD$15),0),
ROUND(ROUND(OFFSET($P680,0,AD$13),15-13*ORÇAMENTO!$AF$7)*OFFSET(ORÇAMENTO!$W$15,ROW(AD680)-ROW(AD$15),0),15-13*ORÇAMENTO!$AF$11)),0)</f>
        <v>0</v>
      </c>
      <c r="AE680" s="545">
        <f ca="1">IF(AND($D680="Serviço",AE$12&lt;&gt;0,$H680&gt;0,OR(AUTOEVENTO&lt;&gt;"manual",$M680&lt;&gt;1)),
IF(Import.TipoArredondamento&lt;&gt;"TransfereGOV",
ROUND(OFFSET($P680,0,AE$13),15-13*ORÇAMENTO!$AF$7)/$H680*OFFSET(ORÇAMENTO!$X$15,ROW(AE680)-ROW(AE$15),0),
ROUND(ROUND(OFFSET($P680,0,AE$13),15-13*ORÇAMENTO!$AF$7)*OFFSET(ORÇAMENTO!$W$15,ROW(AE680)-ROW(AE$15),0),15-13*ORÇAMENTO!$AF$11)),0)</f>
        <v>0</v>
      </c>
      <c r="AF680" s="545">
        <f ca="1">IF(AND($D680="Serviço",AF$12&lt;&gt;0,$H680&gt;0,OR(AUTOEVENTO&lt;&gt;"manual",$M680&lt;&gt;1)),
IF(Import.TipoArredondamento&lt;&gt;"TransfereGOV",
ROUND(OFFSET($P680,0,AF$13),15-13*ORÇAMENTO!$AF$7)/$H680*OFFSET(ORÇAMENTO!$X$15,ROW(AF680)-ROW(AF$15),0),
ROUND(ROUND(OFFSET($P680,0,AF$13),15-13*ORÇAMENTO!$AF$7)*OFFSET(ORÇAMENTO!$W$15,ROW(AF680)-ROW(AF$15),0),15-13*ORÇAMENTO!$AF$11)),0)</f>
        <v>0</v>
      </c>
      <c r="AG680" s="545">
        <f ca="1">IF(AND($D680="Serviço",AG$12&lt;&gt;0,$H680&gt;0,OR(AUTOEVENTO&lt;&gt;"manual",$M680&lt;&gt;1)),
IF(Import.TipoArredondamento&lt;&gt;"TransfereGOV",
ROUND(OFFSET($P680,0,AG$13),15-13*ORÇAMENTO!$AF$7)/$H680*OFFSET(ORÇAMENTO!$X$15,ROW(AG680)-ROW(AG$15),0),
ROUND(ROUND(OFFSET($P680,0,AG$13),15-13*ORÇAMENTO!$AF$7)*OFFSET(ORÇAMENTO!$W$15,ROW(AG680)-ROW(AG$15),0),15-13*ORÇAMENTO!$AF$11)),0)</f>
        <v>0</v>
      </c>
      <c r="AH680" s="545">
        <f ca="1">IF(AND($D680="Serviço",AH$12&lt;&gt;0,$H680&gt;0,OR(AUTOEVENTO&lt;&gt;"manual",$M680&lt;&gt;1)),
IF(Import.TipoArredondamento&lt;&gt;"TransfereGOV",
ROUND(OFFSET($P680,0,AH$13),15-13*ORÇAMENTO!$AF$7)/$H680*OFFSET(ORÇAMENTO!$X$15,ROW(AH680)-ROW(AH$15),0),
ROUND(ROUND(OFFSET($P680,0,AH$13),15-13*ORÇAMENTO!$AF$7)*OFFSET(ORÇAMENTO!$W$15,ROW(AH680)-ROW(AH$15),0),15-13*ORÇAMENTO!$AF$11)),0)</f>
        <v>0</v>
      </c>
      <c r="AI680" s="545">
        <f ca="1">IF(AND($D680="Serviço",AI$12&lt;&gt;0,$H680&gt;0,OR(AUTOEVENTO&lt;&gt;"manual",$M680&lt;&gt;1)),
IF(Import.TipoArredondamento&lt;&gt;"TransfereGOV",
ROUND(OFFSET($P680,0,AI$13),15-13*ORÇAMENTO!$AF$7)/$H680*OFFSET(ORÇAMENTO!$X$15,ROW(AI680)-ROW(AI$15),0),
ROUND(ROUND(OFFSET($P680,0,AI$13),15-13*ORÇAMENTO!$AF$7)*OFFSET(ORÇAMENTO!$W$15,ROW(AI680)-ROW(AI$15),0),15-13*ORÇAMENTO!$AF$11)),0)</f>
        <v>0</v>
      </c>
      <c r="AJ680" s="545">
        <f ca="1">IF(AND($D680="Serviço",AJ$12&lt;&gt;0,$H680&gt;0,OR(AUTOEVENTO&lt;&gt;"manual",$M680&lt;&gt;1)),
IF(Import.TipoArredondamento&lt;&gt;"TransfereGOV",
ROUND(OFFSET($P680,0,AJ$13),15-13*ORÇAMENTO!$AF$7)/$H680*OFFSET(ORÇAMENTO!$X$15,ROW(AJ680)-ROW(AJ$15),0),
ROUND(ROUND(OFFSET($P680,0,AJ$13),15-13*ORÇAMENTO!$AF$7)*OFFSET(ORÇAMENTO!$W$15,ROW(AJ680)-ROW(AJ$15),0),15-13*ORÇAMENTO!$AF$11)),0)</f>
        <v>0</v>
      </c>
      <c r="AK680" s="546">
        <f ca="1">IF(AND($D680="Serviço",AK$12&lt;&gt;0,$H680&gt;0,OR(AUTOEVENTO&lt;&gt;"manual",$M680&lt;&gt;1)),
IF(Import.TipoArredondamento&lt;&gt;"TransfereGOV",
ROUND(OFFSET($P680,0,AK$13),15-13*ORÇAMENTO!$AF$7)/$H680*OFFSET(ORÇAMENTO!$X$15,ROW(AK680)-ROW(AK$15),0),
ROUND(ROUND(OFFSET($P680,0,AK$13),15-13*ORÇAMENTO!$AF$7)*OFFSET(ORÇAMENTO!$W$15,ROW(AK680)-ROW(AK$15),0),15-13*ORÇAMENTO!$AF$11)),0)</f>
        <v>0</v>
      </c>
      <c r="AM680" s="181">
        <f ca="1">IF($D680&lt;&gt;"Serviço",0,IF(AND(AUTOEVENTO="Manual",$M680=1),0,IF(OFFSET(CRONOPLE!$F$14,$M680,AM$13)="",10^12,OFFSET(CRONOPLE!$F$14,$M680,AM$13))))</f>
        <v>1000000000000</v>
      </c>
      <c r="AN680" s="181">
        <f ca="1">IF($D680&lt;&gt;"Serviço",0,IF(AND(AUTOEVENTO="Manual",$M680=1),0,IF(OFFSET(CRONOPLE!$F$14,$M680,AN$13)="",10^12,OFFSET(CRONOPLE!$F$14,$M680,AN$13))))</f>
        <v>1000000000000</v>
      </c>
      <c r="AO680" s="181">
        <f ca="1">IF($D680&lt;&gt;"Serviço",0,IF(AND(AUTOEVENTO="Manual",$M680=1),0,IF(OFFSET(CRONOPLE!$F$14,$M680,AO$13)="",10^12,OFFSET(CRONOPLE!$F$14,$M680,AO$13))))</f>
        <v>1000000000000</v>
      </c>
      <c r="AP680" s="181">
        <f ca="1">IF($D680&lt;&gt;"Serviço",0,IF(AND(AUTOEVENTO="Manual",$M680=1),0,IF(OFFSET(CRONOPLE!$F$14,$M680,AP$13)="",10^12,OFFSET(CRONOPLE!$F$14,$M680,AP$13))))</f>
        <v>1000000000000</v>
      </c>
      <c r="AQ680" s="181">
        <f ca="1">IF($D680&lt;&gt;"Serviço",0,IF(AND(AUTOEVENTO="Manual",$M680=1),0,IF(OFFSET(CRONOPLE!$F$14,$M680,AQ$13)="",10^12,OFFSET(CRONOPLE!$F$14,$M680,AQ$13))))</f>
        <v>1000000000000</v>
      </c>
      <c r="AR680" s="181">
        <f ca="1">IF($D680&lt;&gt;"Serviço",0,IF(AND(AUTOEVENTO="Manual",$M680=1),0,IF(OFFSET(CRONOPLE!$F$14,$M680,AR$13)="",10^12,OFFSET(CRONOPLE!$F$14,$M680,AR$13))))</f>
        <v>1000000000000</v>
      </c>
      <c r="AS680" s="181">
        <f ca="1">IF($D680&lt;&gt;"Serviço",0,IF(AND(AUTOEVENTO="Manual",$M680=1),0,IF(OFFSET(CRONOPLE!$F$14,$M680,AS$13)="",10^12,OFFSET(CRONOPLE!$F$14,$M680,AS$13))))</f>
        <v>1000000000000</v>
      </c>
      <c r="AT680" s="181">
        <f ca="1">IF($D680&lt;&gt;"Serviço",0,IF(AND(AUTOEVENTO="Manual",$M680=1),0,IF(OFFSET(CRONOPLE!$F$14,$M680,AT$13)="",10^12,OFFSET(CRONOPLE!$F$14,$M680,AT$13))))</f>
        <v>1000000000000</v>
      </c>
      <c r="AU680" s="181">
        <f ca="1">IF($D680&lt;&gt;"Serviço",0,IF(AND(AUTOEVENTO="Manual",$M680=1),0,IF(OFFSET(CRONOPLE!$F$14,$M680,AU$13)="",10^12,OFFSET(CRONOPLE!$F$14,$M680,AU$13))))</f>
        <v>1000000000000</v>
      </c>
      <c r="AV680" s="181">
        <f ca="1">IF($D680&lt;&gt;"Serviço",0,IF(AND(AUTOEVENTO="Manual",$M680=1),0,IF(OFFSET(CRONOPLE!$F$14,$M680,AV$13)="",10^12,OFFSET(CRONOPLE!$F$14,$M680,AV$13))))</f>
        <v>1000000000000</v>
      </c>
      <c r="AX680" s="182">
        <f ca="1">IF($D680&lt;&gt;"Serviço",0,IF(OR(AND(AUTOEVENTO="Manual",$M680=1),$M680&gt;(ROW(PLE.lastrow)-ROW(PLE.firstrow))),0,IF(OFFSET(PLE!$G$14,$M680,AX$13)="",10^12,OFFSET(PLE!$G$14,$M680,AX$13))))</f>
        <v>1000000000000</v>
      </c>
      <c r="AY680" s="182">
        <f ca="1">IF($D680&lt;&gt;"Serviço",0,IF(OR(AND(AUTOEVENTO="Manual",$M680=1),$M680&gt;(ROW(PLE.lastrow)-ROW(PLE.firstrow))),0,IF(OFFSET(PLE!$G$14,$M680,AY$13)="",10^12,OFFSET(PLE!$G$14,$M680,AY$13))))</f>
        <v>1000000000000</v>
      </c>
      <c r="AZ680" s="182">
        <f ca="1">IF($D680&lt;&gt;"Serviço",0,IF(OR(AND(AUTOEVENTO="Manual",$M680=1),$M680&gt;(ROW(PLE.lastrow)-ROW(PLE.firstrow))),0,IF(OFFSET(PLE!$G$14,$M680,AZ$13)="",10^12,OFFSET(PLE!$G$14,$M680,AZ$13))))</f>
        <v>1000000000000</v>
      </c>
      <c r="BA680" s="182">
        <f ca="1">IF($D680&lt;&gt;"Serviço",0,IF(OR(AND(AUTOEVENTO="Manual",$M680=1),$M680&gt;(ROW(PLE.lastrow)-ROW(PLE.firstrow))),0,IF(OFFSET(PLE!$G$14,$M680,BA$13)="",10^12,OFFSET(PLE!$G$14,$M680,BA$13))))</f>
        <v>1000000000000</v>
      </c>
      <c r="BB680" s="182">
        <f ca="1">IF($D680&lt;&gt;"Serviço",0,IF(OR(AND(AUTOEVENTO="Manual",$M680=1),$M680&gt;(ROW(PLE.lastrow)-ROW(PLE.firstrow))),0,IF(OFFSET(PLE!$G$14,$M680,BB$13)="",10^12,OFFSET(PLE!$G$14,$M680,BB$13))))</f>
        <v>1000000000000</v>
      </c>
      <c r="BC680" s="182">
        <f ca="1">IF($D680&lt;&gt;"Serviço",0,IF(OR(AND(AUTOEVENTO="Manual",$M680=1),$M680&gt;(ROW(PLE.lastrow)-ROW(PLE.firstrow))),0,IF(OFFSET(PLE!$G$14,$M680,BC$13)="",10^12,OFFSET(PLE!$G$14,$M680,BC$13))))</f>
        <v>1000000000000</v>
      </c>
      <c r="BD680" s="182">
        <f ca="1">IF($D680&lt;&gt;"Serviço",0,IF(OR(AND(AUTOEVENTO="Manual",$M680=1),$M680&gt;(ROW(PLE.lastrow)-ROW(PLE.firstrow))),0,IF(OFFSET(PLE!$G$14,$M680,BD$13)="",10^12,OFFSET(PLE!$G$14,$M680,BD$13))))</f>
        <v>1000000000000</v>
      </c>
      <c r="BE680" s="182">
        <f ca="1">IF($D680&lt;&gt;"Serviço",0,IF(OR(AND(AUTOEVENTO="Manual",$M680=1),$M680&gt;(ROW(PLE.lastrow)-ROW(PLE.firstrow))),0,IF(OFFSET(PLE!$G$14,$M680,BE$13)="",10^12,OFFSET(PLE!$G$14,$M680,BE$13))))</f>
        <v>1000000000000</v>
      </c>
      <c r="BF680" s="182">
        <f ca="1">IF($D680&lt;&gt;"Serviço",0,IF(OR(AND(AUTOEVENTO="Manual",$M680=1),$M680&gt;(ROW(PLE.lastrow)-ROW(PLE.firstrow))),0,IF(OFFSET(PLE!$G$14,$M680,BF$13)="",10^12,OFFSET(PLE!$G$14,$M680,BF$13))))</f>
        <v>1000000000000</v>
      </c>
      <c r="BG680" s="182">
        <f ca="1">IF($D680&lt;&gt;"Serviço",0,IF(OR(AND(AUTOEVENTO="Manual",$M680=1),$M680&gt;(ROW(PLE.lastrow)-ROW(PLE.firstrow))),0,IF(OFFSET(PLE!$G$14,$M680,BG$13)="",10^12,OFFSET(PLE!$G$14,$M680,BG$13))))</f>
        <v>1000000000000</v>
      </c>
    </row>
    <row r="681" spans="1:59" ht="38.25" x14ac:dyDescent="0.2">
      <c r="A681" s="7" t="str">
        <f t="shared" ca="1" si="17"/>
        <v>654</v>
      </c>
      <c r="B681" s="7" t="str">
        <f ca="1">OFFSET(ORÇAMENTO!C$15,ROW(B681)-ROW(B$15),0)</f>
        <v>S</v>
      </c>
      <c r="C681" s="7" t="str">
        <f ca="1">OFFSET(ORÇAMENTO!L$15,ROW(C681)-ROW(C$15),0)</f>
        <v/>
      </c>
      <c r="D681" s="118" t="str">
        <f ca="1">OFFSET(ORÇAMENTO!N$15,ROW(D681)-ROW(D$15),0)</f>
        <v>Serviço</v>
      </c>
      <c r="E681" s="119" t="str">
        <f ca="1">OFFSET(ORÇAMENTO!O$15,ROW(E681)-ROW(E$15),0)</f>
        <v>-</v>
      </c>
      <c r="F681" s="172" t="str">
        <f ca="1">OFFSET(ORÇAMENTO!R$15,ROW(F681)-ROW(F$15),0)</f>
        <v>(abra o arquivo 'Referência 02-2025.xlsm)</v>
      </c>
      <c r="G681" s="173" t="str">
        <f ca="1">IF($D681&lt;&gt;"Serviço","",OFFSET(ORÇAMENTO!S$15,ROW(G681)-ROW(G$15),0))</f>
        <v>-</v>
      </c>
      <c r="H681" s="124">
        <f ca="1">IF($D681&lt;&gt;"Serviço",0,IF(ACOMPANHAMENTO="BM",ROUND(OFFSET(ORÇAMENTO!AJ$15,ROW(H681)-ROW(H$15),0),15-13*ORÇAMENTO!$AF$7),SUMPRODUCT(($Q$12:$AA$12&lt;&gt;"")*ROUND($Q681:$AA681,15-13*ORÇAMENTO!$AF$7))))</f>
        <v>2</v>
      </c>
      <c r="I681" s="561"/>
      <c r="K681" s="174"/>
      <c r="L681" s="175" t="s">
        <v>255</v>
      </c>
      <c r="M681" s="176">
        <f ca="1">IF($D681&lt;&gt;"Serviço","",IF(AUTOEVENTO="manual",$A681,IF(ISERROR(MATCH($A681,$A$15:OFFSET($A681,-1,0),0)),MAX($M$15:OFFSET(M681,-1,0))+1,INDEX($M$15:OFFSET(M681,-1,0),MATCH($A681,$A$15:OFFSET($A681,-1,0),0)))))</f>
        <v>23</v>
      </c>
      <c r="N681" s="177" t="str">
        <f ca="1">IF($D681&lt;&gt;"Serviço","",IF(AUTOEVENTO="Manual",IF($A681=0,"&lt;-- defina o número do agrupador",OFFSET(EVENTOS!$D$14,$A681,0)),OFFSET($F$15,$A681,0)))</f>
        <v>INSTALAÇÕES DE GÁS COMBUSTÍVEL</v>
      </c>
      <c r="O681" s="178"/>
      <c r="Q681" s="178"/>
      <c r="R681" s="179"/>
      <c r="S681" s="179"/>
      <c r="T681" s="179"/>
      <c r="U681" s="179"/>
      <c r="V681" s="179"/>
      <c r="W681" s="179"/>
      <c r="X681" s="179"/>
      <c r="Y681" s="179"/>
      <c r="Z681" s="180"/>
      <c r="AB681" s="544">
        <f ca="1">IF(AND($D681="Serviço",AB$12&lt;&gt;0,$H681&gt;0,OR(AUTOEVENTO&lt;&gt;"manual",$M681&lt;&gt;1)),
IF(Import.TipoArredondamento&lt;&gt;"TransfereGOV",
ROUND(OFFSET($P681,0,AB$13),15-13*ORÇAMENTO!$AF$7)/$H681*OFFSET(ORÇAMENTO!$X$15,ROW(AB681)-ROW(AB$15),0),
ROUND(ROUND(OFFSET($P681,0,AB$13),15-13*ORÇAMENTO!$AF$7)*OFFSET(ORÇAMENTO!$W$15,ROW(AB681)-ROW(AB$15),0),15-13*ORÇAMENTO!$AF$11)),0)</f>
        <v>0</v>
      </c>
      <c r="AC681" s="545">
        <f ca="1">IF(AND($D681="Serviço",AC$12&lt;&gt;0,$H681&gt;0,OR(AUTOEVENTO&lt;&gt;"manual",$M681&lt;&gt;1)),
IF(Import.TipoArredondamento&lt;&gt;"TransfereGOV",
ROUND(OFFSET($P681,0,AC$13),15-13*ORÇAMENTO!$AF$7)/$H681*OFFSET(ORÇAMENTO!$X$15,ROW(AC681)-ROW(AC$15),0),
ROUND(ROUND(OFFSET($P681,0,AC$13),15-13*ORÇAMENTO!$AF$7)*OFFSET(ORÇAMENTO!$W$15,ROW(AC681)-ROW(AC$15),0),15-13*ORÇAMENTO!$AF$11)),0)</f>
        <v>0</v>
      </c>
      <c r="AD681" s="545">
        <f ca="1">IF(AND($D681="Serviço",AD$12&lt;&gt;0,$H681&gt;0,OR(AUTOEVENTO&lt;&gt;"manual",$M681&lt;&gt;1)),
IF(Import.TipoArredondamento&lt;&gt;"TransfereGOV",
ROUND(OFFSET($P681,0,AD$13),15-13*ORÇAMENTO!$AF$7)/$H681*OFFSET(ORÇAMENTO!$X$15,ROW(AD681)-ROW(AD$15),0),
ROUND(ROUND(OFFSET($P681,0,AD$13),15-13*ORÇAMENTO!$AF$7)*OFFSET(ORÇAMENTO!$W$15,ROW(AD681)-ROW(AD$15),0),15-13*ORÇAMENTO!$AF$11)),0)</f>
        <v>0</v>
      </c>
      <c r="AE681" s="545">
        <f ca="1">IF(AND($D681="Serviço",AE$12&lt;&gt;0,$H681&gt;0,OR(AUTOEVENTO&lt;&gt;"manual",$M681&lt;&gt;1)),
IF(Import.TipoArredondamento&lt;&gt;"TransfereGOV",
ROUND(OFFSET($P681,0,AE$13),15-13*ORÇAMENTO!$AF$7)/$H681*OFFSET(ORÇAMENTO!$X$15,ROW(AE681)-ROW(AE$15),0),
ROUND(ROUND(OFFSET($P681,0,AE$13),15-13*ORÇAMENTO!$AF$7)*OFFSET(ORÇAMENTO!$W$15,ROW(AE681)-ROW(AE$15),0),15-13*ORÇAMENTO!$AF$11)),0)</f>
        <v>0</v>
      </c>
      <c r="AF681" s="545">
        <f ca="1">IF(AND($D681="Serviço",AF$12&lt;&gt;0,$H681&gt;0,OR(AUTOEVENTO&lt;&gt;"manual",$M681&lt;&gt;1)),
IF(Import.TipoArredondamento&lt;&gt;"TransfereGOV",
ROUND(OFFSET($P681,0,AF$13),15-13*ORÇAMENTO!$AF$7)/$H681*OFFSET(ORÇAMENTO!$X$15,ROW(AF681)-ROW(AF$15),0),
ROUND(ROUND(OFFSET($P681,0,AF$13),15-13*ORÇAMENTO!$AF$7)*OFFSET(ORÇAMENTO!$W$15,ROW(AF681)-ROW(AF$15),0),15-13*ORÇAMENTO!$AF$11)),0)</f>
        <v>0</v>
      </c>
      <c r="AG681" s="545">
        <f ca="1">IF(AND($D681="Serviço",AG$12&lt;&gt;0,$H681&gt;0,OR(AUTOEVENTO&lt;&gt;"manual",$M681&lt;&gt;1)),
IF(Import.TipoArredondamento&lt;&gt;"TransfereGOV",
ROUND(OFFSET($P681,0,AG$13),15-13*ORÇAMENTO!$AF$7)/$H681*OFFSET(ORÇAMENTO!$X$15,ROW(AG681)-ROW(AG$15),0),
ROUND(ROUND(OFFSET($P681,0,AG$13),15-13*ORÇAMENTO!$AF$7)*OFFSET(ORÇAMENTO!$W$15,ROW(AG681)-ROW(AG$15),0),15-13*ORÇAMENTO!$AF$11)),0)</f>
        <v>0</v>
      </c>
      <c r="AH681" s="545">
        <f ca="1">IF(AND($D681="Serviço",AH$12&lt;&gt;0,$H681&gt;0,OR(AUTOEVENTO&lt;&gt;"manual",$M681&lt;&gt;1)),
IF(Import.TipoArredondamento&lt;&gt;"TransfereGOV",
ROUND(OFFSET($P681,0,AH$13),15-13*ORÇAMENTO!$AF$7)/$H681*OFFSET(ORÇAMENTO!$X$15,ROW(AH681)-ROW(AH$15),0),
ROUND(ROUND(OFFSET($P681,0,AH$13),15-13*ORÇAMENTO!$AF$7)*OFFSET(ORÇAMENTO!$W$15,ROW(AH681)-ROW(AH$15),0),15-13*ORÇAMENTO!$AF$11)),0)</f>
        <v>0</v>
      </c>
      <c r="AI681" s="545">
        <f ca="1">IF(AND($D681="Serviço",AI$12&lt;&gt;0,$H681&gt;0,OR(AUTOEVENTO&lt;&gt;"manual",$M681&lt;&gt;1)),
IF(Import.TipoArredondamento&lt;&gt;"TransfereGOV",
ROUND(OFFSET($P681,0,AI$13),15-13*ORÇAMENTO!$AF$7)/$H681*OFFSET(ORÇAMENTO!$X$15,ROW(AI681)-ROW(AI$15),0),
ROUND(ROUND(OFFSET($P681,0,AI$13),15-13*ORÇAMENTO!$AF$7)*OFFSET(ORÇAMENTO!$W$15,ROW(AI681)-ROW(AI$15),0),15-13*ORÇAMENTO!$AF$11)),0)</f>
        <v>0</v>
      </c>
      <c r="AJ681" s="545">
        <f ca="1">IF(AND($D681="Serviço",AJ$12&lt;&gt;0,$H681&gt;0,OR(AUTOEVENTO&lt;&gt;"manual",$M681&lt;&gt;1)),
IF(Import.TipoArredondamento&lt;&gt;"TransfereGOV",
ROUND(OFFSET($P681,0,AJ$13),15-13*ORÇAMENTO!$AF$7)/$H681*OFFSET(ORÇAMENTO!$X$15,ROW(AJ681)-ROW(AJ$15),0),
ROUND(ROUND(OFFSET($P681,0,AJ$13),15-13*ORÇAMENTO!$AF$7)*OFFSET(ORÇAMENTO!$W$15,ROW(AJ681)-ROW(AJ$15),0),15-13*ORÇAMENTO!$AF$11)),0)</f>
        <v>0</v>
      </c>
      <c r="AK681" s="546">
        <f ca="1">IF(AND($D681="Serviço",AK$12&lt;&gt;0,$H681&gt;0,OR(AUTOEVENTO&lt;&gt;"manual",$M681&lt;&gt;1)),
IF(Import.TipoArredondamento&lt;&gt;"TransfereGOV",
ROUND(OFFSET($P681,0,AK$13),15-13*ORÇAMENTO!$AF$7)/$H681*OFFSET(ORÇAMENTO!$X$15,ROW(AK681)-ROW(AK$15),0),
ROUND(ROUND(OFFSET($P681,0,AK$13),15-13*ORÇAMENTO!$AF$7)*OFFSET(ORÇAMENTO!$W$15,ROW(AK681)-ROW(AK$15),0),15-13*ORÇAMENTO!$AF$11)),0)</f>
        <v>0</v>
      </c>
      <c r="AM681" s="181">
        <f ca="1">IF($D681&lt;&gt;"Serviço",0,IF(AND(AUTOEVENTO="Manual",$M681=1),0,IF(OFFSET(CRONOPLE!$F$14,$M681,AM$13)="",10^12,OFFSET(CRONOPLE!$F$14,$M681,AM$13))))</f>
        <v>1000000000000</v>
      </c>
      <c r="AN681" s="181">
        <f ca="1">IF($D681&lt;&gt;"Serviço",0,IF(AND(AUTOEVENTO="Manual",$M681=1),0,IF(OFFSET(CRONOPLE!$F$14,$M681,AN$13)="",10^12,OFFSET(CRONOPLE!$F$14,$M681,AN$13))))</f>
        <v>1000000000000</v>
      </c>
      <c r="AO681" s="181">
        <f ca="1">IF($D681&lt;&gt;"Serviço",0,IF(AND(AUTOEVENTO="Manual",$M681=1),0,IF(OFFSET(CRONOPLE!$F$14,$M681,AO$13)="",10^12,OFFSET(CRONOPLE!$F$14,$M681,AO$13))))</f>
        <v>1000000000000</v>
      </c>
      <c r="AP681" s="181">
        <f ca="1">IF($D681&lt;&gt;"Serviço",0,IF(AND(AUTOEVENTO="Manual",$M681=1),0,IF(OFFSET(CRONOPLE!$F$14,$M681,AP$13)="",10^12,OFFSET(CRONOPLE!$F$14,$M681,AP$13))))</f>
        <v>1000000000000</v>
      </c>
      <c r="AQ681" s="181">
        <f ca="1">IF($D681&lt;&gt;"Serviço",0,IF(AND(AUTOEVENTO="Manual",$M681=1),0,IF(OFFSET(CRONOPLE!$F$14,$M681,AQ$13)="",10^12,OFFSET(CRONOPLE!$F$14,$M681,AQ$13))))</f>
        <v>1000000000000</v>
      </c>
      <c r="AR681" s="181">
        <f ca="1">IF($D681&lt;&gt;"Serviço",0,IF(AND(AUTOEVENTO="Manual",$M681=1),0,IF(OFFSET(CRONOPLE!$F$14,$M681,AR$13)="",10^12,OFFSET(CRONOPLE!$F$14,$M681,AR$13))))</f>
        <v>1000000000000</v>
      </c>
      <c r="AS681" s="181">
        <f ca="1">IF($D681&lt;&gt;"Serviço",0,IF(AND(AUTOEVENTO="Manual",$M681=1),0,IF(OFFSET(CRONOPLE!$F$14,$M681,AS$13)="",10^12,OFFSET(CRONOPLE!$F$14,$M681,AS$13))))</f>
        <v>1000000000000</v>
      </c>
      <c r="AT681" s="181">
        <f ca="1">IF($D681&lt;&gt;"Serviço",0,IF(AND(AUTOEVENTO="Manual",$M681=1),0,IF(OFFSET(CRONOPLE!$F$14,$M681,AT$13)="",10^12,OFFSET(CRONOPLE!$F$14,$M681,AT$13))))</f>
        <v>1000000000000</v>
      </c>
      <c r="AU681" s="181">
        <f ca="1">IF($D681&lt;&gt;"Serviço",0,IF(AND(AUTOEVENTO="Manual",$M681=1),0,IF(OFFSET(CRONOPLE!$F$14,$M681,AU$13)="",10^12,OFFSET(CRONOPLE!$F$14,$M681,AU$13))))</f>
        <v>1000000000000</v>
      </c>
      <c r="AV681" s="181">
        <f ca="1">IF($D681&lt;&gt;"Serviço",0,IF(AND(AUTOEVENTO="Manual",$M681=1),0,IF(OFFSET(CRONOPLE!$F$14,$M681,AV$13)="",10^12,OFFSET(CRONOPLE!$F$14,$M681,AV$13))))</f>
        <v>1000000000000</v>
      </c>
      <c r="AX681" s="182">
        <f ca="1">IF($D681&lt;&gt;"Serviço",0,IF(OR(AND(AUTOEVENTO="Manual",$M681=1),$M681&gt;(ROW(PLE.lastrow)-ROW(PLE.firstrow))),0,IF(OFFSET(PLE!$G$14,$M681,AX$13)="",10^12,OFFSET(PLE!$G$14,$M681,AX$13))))</f>
        <v>1000000000000</v>
      </c>
      <c r="AY681" s="182">
        <f ca="1">IF($D681&lt;&gt;"Serviço",0,IF(OR(AND(AUTOEVENTO="Manual",$M681=1),$M681&gt;(ROW(PLE.lastrow)-ROW(PLE.firstrow))),0,IF(OFFSET(PLE!$G$14,$M681,AY$13)="",10^12,OFFSET(PLE!$G$14,$M681,AY$13))))</f>
        <v>1000000000000</v>
      </c>
      <c r="AZ681" s="182">
        <f ca="1">IF($D681&lt;&gt;"Serviço",0,IF(OR(AND(AUTOEVENTO="Manual",$M681=1),$M681&gt;(ROW(PLE.lastrow)-ROW(PLE.firstrow))),0,IF(OFFSET(PLE!$G$14,$M681,AZ$13)="",10^12,OFFSET(PLE!$G$14,$M681,AZ$13))))</f>
        <v>1000000000000</v>
      </c>
      <c r="BA681" s="182">
        <f ca="1">IF($D681&lt;&gt;"Serviço",0,IF(OR(AND(AUTOEVENTO="Manual",$M681=1),$M681&gt;(ROW(PLE.lastrow)-ROW(PLE.firstrow))),0,IF(OFFSET(PLE!$G$14,$M681,BA$13)="",10^12,OFFSET(PLE!$G$14,$M681,BA$13))))</f>
        <v>1000000000000</v>
      </c>
      <c r="BB681" s="182">
        <f ca="1">IF($D681&lt;&gt;"Serviço",0,IF(OR(AND(AUTOEVENTO="Manual",$M681=1),$M681&gt;(ROW(PLE.lastrow)-ROW(PLE.firstrow))),0,IF(OFFSET(PLE!$G$14,$M681,BB$13)="",10^12,OFFSET(PLE!$G$14,$M681,BB$13))))</f>
        <v>1000000000000</v>
      </c>
      <c r="BC681" s="182">
        <f ca="1">IF($D681&lt;&gt;"Serviço",0,IF(OR(AND(AUTOEVENTO="Manual",$M681=1),$M681&gt;(ROW(PLE.lastrow)-ROW(PLE.firstrow))),0,IF(OFFSET(PLE!$G$14,$M681,BC$13)="",10^12,OFFSET(PLE!$G$14,$M681,BC$13))))</f>
        <v>1000000000000</v>
      </c>
      <c r="BD681" s="182">
        <f ca="1">IF($D681&lt;&gt;"Serviço",0,IF(OR(AND(AUTOEVENTO="Manual",$M681=1),$M681&gt;(ROW(PLE.lastrow)-ROW(PLE.firstrow))),0,IF(OFFSET(PLE!$G$14,$M681,BD$13)="",10^12,OFFSET(PLE!$G$14,$M681,BD$13))))</f>
        <v>1000000000000</v>
      </c>
      <c r="BE681" s="182">
        <f ca="1">IF($D681&lt;&gt;"Serviço",0,IF(OR(AND(AUTOEVENTO="Manual",$M681=1),$M681&gt;(ROW(PLE.lastrow)-ROW(PLE.firstrow))),0,IF(OFFSET(PLE!$G$14,$M681,BE$13)="",10^12,OFFSET(PLE!$G$14,$M681,BE$13))))</f>
        <v>1000000000000</v>
      </c>
      <c r="BF681" s="182">
        <f ca="1">IF($D681&lt;&gt;"Serviço",0,IF(OR(AND(AUTOEVENTO="Manual",$M681=1),$M681&gt;(ROW(PLE.lastrow)-ROW(PLE.firstrow))),0,IF(OFFSET(PLE!$G$14,$M681,BF$13)="",10^12,OFFSET(PLE!$G$14,$M681,BF$13))))</f>
        <v>1000000000000</v>
      </c>
      <c r="BG681" s="182">
        <f ca="1">IF($D681&lt;&gt;"Serviço",0,IF(OR(AND(AUTOEVENTO="Manual",$M681=1),$M681&gt;(ROW(PLE.lastrow)-ROW(PLE.firstrow))),0,IF(OFFSET(PLE!$G$14,$M681,BG$13)="",10^12,OFFSET(PLE!$G$14,$M681,BG$13))))</f>
        <v>1000000000000</v>
      </c>
    </row>
    <row r="682" spans="1:59" ht="12.75" x14ac:dyDescent="0.2">
      <c r="A682" s="7" t="str">
        <f t="shared" ca="1" si="17"/>
        <v>667.</v>
      </c>
      <c r="B682" s="7">
        <f ca="1">OFFSET(ORÇAMENTO!C$15,ROW(B682)-ROW(B$15),0)</f>
        <v>2</v>
      </c>
      <c r="C682" s="7" t="str">
        <f ca="1">OFFSET(ORÇAMENTO!L$15,ROW(C682)-ROW(C$15),0)</f>
        <v>F</v>
      </c>
      <c r="D682" s="118" t="str">
        <f ca="1">OFFSET(ORÇAMENTO!N$15,ROW(D682)-ROW(D$15),0)</f>
        <v>Nível 2</v>
      </c>
      <c r="E682" s="119" t="str">
        <f ca="1">OFFSET(ORÇAMENTO!O$15,ROW(E682)-ROW(E$15),0)</f>
        <v>1.23.</v>
      </c>
      <c r="F682" s="172" t="str">
        <f ca="1">OFFSET(ORÇAMENTO!R$15,ROW(F682)-ROW(F$15),0)</f>
        <v>SERVIÇOS COMPLEMENTARES</v>
      </c>
      <c r="G682" s="173" t="str">
        <f ca="1">IF($D682&lt;&gt;"Serviço","",OFFSET(ORÇAMENTO!S$15,ROW(G682)-ROW(G$15),0))</f>
        <v/>
      </c>
      <c r="H682" s="124">
        <f ca="1">IF($D682&lt;&gt;"Serviço",0,IF(ACOMPANHAMENTO="BM",ROUND(OFFSET(ORÇAMENTO!AJ$15,ROW(H682)-ROW(H$15),0),15-13*ORÇAMENTO!$AF$7),SUMPRODUCT(($Q$12:$AA$12&lt;&gt;"")*ROUND($Q682:$AA682,15-13*ORÇAMENTO!$AF$7))))</f>
        <v>0</v>
      </c>
      <c r="I682" s="561"/>
      <c r="K682" s="174"/>
      <c r="L682" s="175" t="s">
        <v>255</v>
      </c>
      <c r="M682" s="176" t="str">
        <f ca="1">IF($D682&lt;&gt;"Serviço","",IF(AUTOEVENTO="manual",$A682,IF(ISERROR(MATCH($A682,$A$15:OFFSET($A682,-1,0),0)),MAX($M$15:OFFSET(M682,-1,0))+1,INDEX($M$15:OFFSET(M682,-1,0),MATCH($A682,$A$15:OFFSET($A682,-1,0),0)))))</f>
        <v/>
      </c>
      <c r="N682" s="177" t="str">
        <f ca="1">IF($D682&lt;&gt;"Serviço","",IF(AUTOEVENTO="Manual",IF($A682=0,"&lt;-- defina o número do agrupador",OFFSET(EVENTOS!$D$14,$A682,0)),OFFSET($F$15,$A682,0)))</f>
        <v/>
      </c>
      <c r="O682" s="178"/>
      <c r="Q682" s="178"/>
      <c r="R682" s="179"/>
      <c r="S682" s="179"/>
      <c r="T682" s="179"/>
      <c r="U682" s="179"/>
      <c r="V682" s="179"/>
      <c r="W682" s="179"/>
      <c r="X682" s="179"/>
      <c r="Y682" s="179"/>
      <c r="Z682" s="180"/>
      <c r="AB682" s="544">
        <f ca="1">IF(AND($D682="Serviço",AB$12&lt;&gt;0,$H682&gt;0,OR(AUTOEVENTO&lt;&gt;"manual",$M682&lt;&gt;1)),
IF(Import.TipoArredondamento&lt;&gt;"TransfereGOV",
ROUND(OFFSET($P682,0,AB$13),15-13*ORÇAMENTO!$AF$7)/$H682*OFFSET(ORÇAMENTO!$X$15,ROW(AB682)-ROW(AB$15),0),
ROUND(ROUND(OFFSET($P682,0,AB$13),15-13*ORÇAMENTO!$AF$7)*OFFSET(ORÇAMENTO!$W$15,ROW(AB682)-ROW(AB$15),0),15-13*ORÇAMENTO!$AF$11)),0)</f>
        <v>0</v>
      </c>
      <c r="AC682" s="545">
        <f ca="1">IF(AND($D682="Serviço",AC$12&lt;&gt;0,$H682&gt;0,OR(AUTOEVENTO&lt;&gt;"manual",$M682&lt;&gt;1)),
IF(Import.TipoArredondamento&lt;&gt;"TransfereGOV",
ROUND(OFFSET($P682,0,AC$13),15-13*ORÇAMENTO!$AF$7)/$H682*OFFSET(ORÇAMENTO!$X$15,ROW(AC682)-ROW(AC$15),0),
ROUND(ROUND(OFFSET($P682,0,AC$13),15-13*ORÇAMENTO!$AF$7)*OFFSET(ORÇAMENTO!$W$15,ROW(AC682)-ROW(AC$15),0),15-13*ORÇAMENTO!$AF$11)),0)</f>
        <v>0</v>
      </c>
      <c r="AD682" s="545">
        <f ca="1">IF(AND($D682="Serviço",AD$12&lt;&gt;0,$H682&gt;0,OR(AUTOEVENTO&lt;&gt;"manual",$M682&lt;&gt;1)),
IF(Import.TipoArredondamento&lt;&gt;"TransfereGOV",
ROUND(OFFSET($P682,0,AD$13),15-13*ORÇAMENTO!$AF$7)/$H682*OFFSET(ORÇAMENTO!$X$15,ROW(AD682)-ROW(AD$15),0),
ROUND(ROUND(OFFSET($P682,0,AD$13),15-13*ORÇAMENTO!$AF$7)*OFFSET(ORÇAMENTO!$W$15,ROW(AD682)-ROW(AD$15),0),15-13*ORÇAMENTO!$AF$11)),0)</f>
        <v>0</v>
      </c>
      <c r="AE682" s="545">
        <f ca="1">IF(AND($D682="Serviço",AE$12&lt;&gt;0,$H682&gt;0,OR(AUTOEVENTO&lt;&gt;"manual",$M682&lt;&gt;1)),
IF(Import.TipoArredondamento&lt;&gt;"TransfereGOV",
ROUND(OFFSET($P682,0,AE$13),15-13*ORÇAMENTO!$AF$7)/$H682*OFFSET(ORÇAMENTO!$X$15,ROW(AE682)-ROW(AE$15),0),
ROUND(ROUND(OFFSET($P682,0,AE$13),15-13*ORÇAMENTO!$AF$7)*OFFSET(ORÇAMENTO!$W$15,ROW(AE682)-ROW(AE$15),0),15-13*ORÇAMENTO!$AF$11)),0)</f>
        <v>0</v>
      </c>
      <c r="AF682" s="545">
        <f ca="1">IF(AND($D682="Serviço",AF$12&lt;&gt;0,$H682&gt;0,OR(AUTOEVENTO&lt;&gt;"manual",$M682&lt;&gt;1)),
IF(Import.TipoArredondamento&lt;&gt;"TransfereGOV",
ROUND(OFFSET($P682,0,AF$13),15-13*ORÇAMENTO!$AF$7)/$H682*OFFSET(ORÇAMENTO!$X$15,ROW(AF682)-ROW(AF$15),0),
ROUND(ROUND(OFFSET($P682,0,AF$13),15-13*ORÇAMENTO!$AF$7)*OFFSET(ORÇAMENTO!$W$15,ROW(AF682)-ROW(AF$15),0),15-13*ORÇAMENTO!$AF$11)),0)</f>
        <v>0</v>
      </c>
      <c r="AG682" s="545">
        <f ca="1">IF(AND($D682="Serviço",AG$12&lt;&gt;0,$H682&gt;0,OR(AUTOEVENTO&lt;&gt;"manual",$M682&lt;&gt;1)),
IF(Import.TipoArredondamento&lt;&gt;"TransfereGOV",
ROUND(OFFSET($P682,0,AG$13),15-13*ORÇAMENTO!$AF$7)/$H682*OFFSET(ORÇAMENTO!$X$15,ROW(AG682)-ROW(AG$15),0),
ROUND(ROUND(OFFSET($P682,0,AG$13),15-13*ORÇAMENTO!$AF$7)*OFFSET(ORÇAMENTO!$W$15,ROW(AG682)-ROW(AG$15),0),15-13*ORÇAMENTO!$AF$11)),0)</f>
        <v>0</v>
      </c>
      <c r="AH682" s="545">
        <f ca="1">IF(AND($D682="Serviço",AH$12&lt;&gt;0,$H682&gt;0,OR(AUTOEVENTO&lt;&gt;"manual",$M682&lt;&gt;1)),
IF(Import.TipoArredondamento&lt;&gt;"TransfereGOV",
ROUND(OFFSET($P682,0,AH$13),15-13*ORÇAMENTO!$AF$7)/$H682*OFFSET(ORÇAMENTO!$X$15,ROW(AH682)-ROW(AH$15),0),
ROUND(ROUND(OFFSET($P682,0,AH$13),15-13*ORÇAMENTO!$AF$7)*OFFSET(ORÇAMENTO!$W$15,ROW(AH682)-ROW(AH$15),0),15-13*ORÇAMENTO!$AF$11)),0)</f>
        <v>0</v>
      </c>
      <c r="AI682" s="545">
        <f ca="1">IF(AND($D682="Serviço",AI$12&lt;&gt;0,$H682&gt;0,OR(AUTOEVENTO&lt;&gt;"manual",$M682&lt;&gt;1)),
IF(Import.TipoArredondamento&lt;&gt;"TransfereGOV",
ROUND(OFFSET($P682,0,AI$13),15-13*ORÇAMENTO!$AF$7)/$H682*OFFSET(ORÇAMENTO!$X$15,ROW(AI682)-ROW(AI$15),0),
ROUND(ROUND(OFFSET($P682,0,AI$13),15-13*ORÇAMENTO!$AF$7)*OFFSET(ORÇAMENTO!$W$15,ROW(AI682)-ROW(AI$15),0),15-13*ORÇAMENTO!$AF$11)),0)</f>
        <v>0</v>
      </c>
      <c r="AJ682" s="545">
        <f ca="1">IF(AND($D682="Serviço",AJ$12&lt;&gt;0,$H682&gt;0,OR(AUTOEVENTO&lt;&gt;"manual",$M682&lt;&gt;1)),
IF(Import.TipoArredondamento&lt;&gt;"TransfereGOV",
ROUND(OFFSET($P682,0,AJ$13),15-13*ORÇAMENTO!$AF$7)/$H682*OFFSET(ORÇAMENTO!$X$15,ROW(AJ682)-ROW(AJ$15),0),
ROUND(ROUND(OFFSET($P682,0,AJ$13),15-13*ORÇAMENTO!$AF$7)*OFFSET(ORÇAMENTO!$W$15,ROW(AJ682)-ROW(AJ$15),0),15-13*ORÇAMENTO!$AF$11)),0)</f>
        <v>0</v>
      </c>
      <c r="AK682" s="546">
        <f ca="1">IF(AND($D682="Serviço",AK$12&lt;&gt;0,$H682&gt;0,OR(AUTOEVENTO&lt;&gt;"manual",$M682&lt;&gt;1)),
IF(Import.TipoArredondamento&lt;&gt;"TransfereGOV",
ROUND(OFFSET($P682,0,AK$13),15-13*ORÇAMENTO!$AF$7)/$H682*OFFSET(ORÇAMENTO!$X$15,ROW(AK682)-ROW(AK$15),0),
ROUND(ROUND(OFFSET($P682,0,AK$13),15-13*ORÇAMENTO!$AF$7)*OFFSET(ORÇAMENTO!$W$15,ROW(AK682)-ROW(AK$15),0),15-13*ORÇAMENTO!$AF$11)),0)</f>
        <v>0</v>
      </c>
      <c r="AM682" s="181">
        <f ca="1">IF($D682&lt;&gt;"Serviço",0,IF(AND(AUTOEVENTO="Manual",$M682=1),0,IF(OFFSET(CRONOPLE!$F$14,$M682,AM$13)="",10^12,OFFSET(CRONOPLE!$F$14,$M682,AM$13))))</f>
        <v>0</v>
      </c>
      <c r="AN682" s="181">
        <f ca="1">IF($D682&lt;&gt;"Serviço",0,IF(AND(AUTOEVENTO="Manual",$M682=1),0,IF(OFFSET(CRONOPLE!$F$14,$M682,AN$13)="",10^12,OFFSET(CRONOPLE!$F$14,$M682,AN$13))))</f>
        <v>0</v>
      </c>
      <c r="AO682" s="181">
        <f ca="1">IF($D682&lt;&gt;"Serviço",0,IF(AND(AUTOEVENTO="Manual",$M682=1),0,IF(OFFSET(CRONOPLE!$F$14,$M682,AO$13)="",10^12,OFFSET(CRONOPLE!$F$14,$M682,AO$13))))</f>
        <v>0</v>
      </c>
      <c r="AP682" s="181">
        <f ca="1">IF($D682&lt;&gt;"Serviço",0,IF(AND(AUTOEVENTO="Manual",$M682=1),0,IF(OFFSET(CRONOPLE!$F$14,$M682,AP$13)="",10^12,OFFSET(CRONOPLE!$F$14,$M682,AP$13))))</f>
        <v>0</v>
      </c>
      <c r="AQ682" s="181">
        <f ca="1">IF($D682&lt;&gt;"Serviço",0,IF(AND(AUTOEVENTO="Manual",$M682=1),0,IF(OFFSET(CRONOPLE!$F$14,$M682,AQ$13)="",10^12,OFFSET(CRONOPLE!$F$14,$M682,AQ$13))))</f>
        <v>0</v>
      </c>
      <c r="AR682" s="181">
        <f ca="1">IF($D682&lt;&gt;"Serviço",0,IF(AND(AUTOEVENTO="Manual",$M682=1),0,IF(OFFSET(CRONOPLE!$F$14,$M682,AR$13)="",10^12,OFFSET(CRONOPLE!$F$14,$M682,AR$13))))</f>
        <v>0</v>
      </c>
      <c r="AS682" s="181">
        <f ca="1">IF($D682&lt;&gt;"Serviço",0,IF(AND(AUTOEVENTO="Manual",$M682=1),0,IF(OFFSET(CRONOPLE!$F$14,$M682,AS$13)="",10^12,OFFSET(CRONOPLE!$F$14,$M682,AS$13))))</f>
        <v>0</v>
      </c>
      <c r="AT682" s="181">
        <f ca="1">IF($D682&lt;&gt;"Serviço",0,IF(AND(AUTOEVENTO="Manual",$M682=1),0,IF(OFFSET(CRONOPLE!$F$14,$M682,AT$13)="",10^12,OFFSET(CRONOPLE!$F$14,$M682,AT$13))))</f>
        <v>0</v>
      </c>
      <c r="AU682" s="181">
        <f ca="1">IF($D682&lt;&gt;"Serviço",0,IF(AND(AUTOEVENTO="Manual",$M682=1),0,IF(OFFSET(CRONOPLE!$F$14,$M682,AU$13)="",10^12,OFFSET(CRONOPLE!$F$14,$M682,AU$13))))</f>
        <v>0</v>
      </c>
      <c r="AV682" s="181">
        <f ca="1">IF($D682&lt;&gt;"Serviço",0,IF(AND(AUTOEVENTO="Manual",$M682=1),0,IF(OFFSET(CRONOPLE!$F$14,$M682,AV$13)="",10^12,OFFSET(CRONOPLE!$F$14,$M682,AV$13))))</f>
        <v>0</v>
      </c>
      <c r="AX682" s="182">
        <f ca="1">IF($D682&lt;&gt;"Serviço",0,IF(OR(AND(AUTOEVENTO="Manual",$M682=1),$M682&gt;(ROW(PLE.lastrow)-ROW(PLE.firstrow))),0,IF(OFFSET(PLE!$G$14,$M682,AX$13)="",10^12,OFFSET(PLE!$G$14,$M682,AX$13))))</f>
        <v>0</v>
      </c>
      <c r="AY682" s="182">
        <f ca="1">IF($D682&lt;&gt;"Serviço",0,IF(OR(AND(AUTOEVENTO="Manual",$M682=1),$M682&gt;(ROW(PLE.lastrow)-ROW(PLE.firstrow))),0,IF(OFFSET(PLE!$G$14,$M682,AY$13)="",10^12,OFFSET(PLE!$G$14,$M682,AY$13))))</f>
        <v>0</v>
      </c>
      <c r="AZ682" s="182">
        <f ca="1">IF($D682&lt;&gt;"Serviço",0,IF(OR(AND(AUTOEVENTO="Manual",$M682=1),$M682&gt;(ROW(PLE.lastrow)-ROW(PLE.firstrow))),0,IF(OFFSET(PLE!$G$14,$M682,AZ$13)="",10^12,OFFSET(PLE!$G$14,$M682,AZ$13))))</f>
        <v>0</v>
      </c>
      <c r="BA682" s="182">
        <f ca="1">IF($D682&lt;&gt;"Serviço",0,IF(OR(AND(AUTOEVENTO="Manual",$M682=1),$M682&gt;(ROW(PLE.lastrow)-ROW(PLE.firstrow))),0,IF(OFFSET(PLE!$G$14,$M682,BA$13)="",10^12,OFFSET(PLE!$G$14,$M682,BA$13))))</f>
        <v>0</v>
      </c>
      <c r="BB682" s="182">
        <f ca="1">IF($D682&lt;&gt;"Serviço",0,IF(OR(AND(AUTOEVENTO="Manual",$M682=1),$M682&gt;(ROW(PLE.lastrow)-ROW(PLE.firstrow))),0,IF(OFFSET(PLE!$G$14,$M682,BB$13)="",10^12,OFFSET(PLE!$G$14,$M682,BB$13))))</f>
        <v>0</v>
      </c>
      <c r="BC682" s="182">
        <f ca="1">IF($D682&lt;&gt;"Serviço",0,IF(OR(AND(AUTOEVENTO="Manual",$M682=1),$M682&gt;(ROW(PLE.lastrow)-ROW(PLE.firstrow))),0,IF(OFFSET(PLE!$G$14,$M682,BC$13)="",10^12,OFFSET(PLE!$G$14,$M682,BC$13))))</f>
        <v>0</v>
      </c>
      <c r="BD682" s="182">
        <f ca="1">IF($D682&lt;&gt;"Serviço",0,IF(OR(AND(AUTOEVENTO="Manual",$M682=1),$M682&gt;(ROW(PLE.lastrow)-ROW(PLE.firstrow))),0,IF(OFFSET(PLE!$G$14,$M682,BD$13)="",10^12,OFFSET(PLE!$G$14,$M682,BD$13))))</f>
        <v>0</v>
      </c>
      <c r="BE682" s="182">
        <f ca="1">IF($D682&lt;&gt;"Serviço",0,IF(OR(AND(AUTOEVENTO="Manual",$M682=1),$M682&gt;(ROW(PLE.lastrow)-ROW(PLE.firstrow))),0,IF(OFFSET(PLE!$G$14,$M682,BE$13)="",10^12,OFFSET(PLE!$G$14,$M682,BE$13))))</f>
        <v>0</v>
      </c>
      <c r="BF682" s="182">
        <f ca="1">IF($D682&lt;&gt;"Serviço",0,IF(OR(AND(AUTOEVENTO="Manual",$M682=1),$M682&gt;(ROW(PLE.lastrow)-ROW(PLE.firstrow))),0,IF(OFFSET(PLE!$G$14,$M682,BF$13)="",10^12,OFFSET(PLE!$G$14,$M682,BF$13))))</f>
        <v>0</v>
      </c>
      <c r="BG682" s="182">
        <f ca="1">IF($D682&lt;&gt;"Serviço",0,IF(OR(AND(AUTOEVENTO="Manual",$M682=1),$M682&gt;(ROW(PLE.lastrow)-ROW(PLE.firstrow))),0,IF(OFFSET(PLE!$G$14,$M682,BG$13)="",10^12,OFFSET(PLE!$G$14,$M682,BG$13))))</f>
        <v>0</v>
      </c>
    </row>
    <row r="683" spans="1:59" ht="12.75" x14ac:dyDescent="0.2">
      <c r="A683" s="7" t="str">
        <f t="shared" ca="1" si="17"/>
        <v>667</v>
      </c>
      <c r="B683" s="7" t="str">
        <f ca="1">OFFSET(ORÇAMENTO!C$15,ROW(B683)-ROW(B$15),0)</f>
        <v>S</v>
      </c>
      <c r="C683" s="7" t="str">
        <f ca="1">OFFSET(ORÇAMENTO!L$15,ROW(C683)-ROW(C$15),0)</f>
        <v/>
      </c>
      <c r="D683" s="118" t="str">
        <f ca="1">OFFSET(ORÇAMENTO!N$15,ROW(D683)-ROW(D$15),0)</f>
        <v>Serviço</v>
      </c>
      <c r="E683" s="119" t="str">
        <f ca="1">OFFSET(ORÇAMENTO!O$15,ROW(E683)-ROW(E$15),0)</f>
        <v>-</v>
      </c>
      <c r="F683" s="172" t="str">
        <f ca="1">OFFSET(ORÇAMENTO!R$15,ROW(F683)-ROW(F$15),0)</f>
        <v>(abra o arquivo 'Referência 02-2025.xlsm)</v>
      </c>
      <c r="G683" s="173" t="str">
        <f ca="1">IF($D683&lt;&gt;"Serviço","",OFFSET(ORÇAMENTO!S$15,ROW(G683)-ROW(G$15),0))</f>
        <v>-</v>
      </c>
      <c r="H683" s="124">
        <f ca="1">IF($D683&lt;&gt;"Serviço",0,IF(ACOMPANHAMENTO="BM",ROUND(OFFSET(ORÇAMENTO!AJ$15,ROW(H683)-ROW(H$15),0),15-13*ORÇAMENTO!$AF$7),SUMPRODUCT(($Q$12:$AA$12&lt;&gt;"")*ROUND($Q683:$AA683,15-13*ORÇAMENTO!$AF$7))))</f>
        <v>1</v>
      </c>
      <c r="I683" s="561" t="s">
        <v>890</v>
      </c>
      <c r="K683" s="174"/>
      <c r="L683" s="175" t="s">
        <v>255</v>
      </c>
      <c r="M683" s="176">
        <f ca="1">IF($D683&lt;&gt;"Serviço","",IF(AUTOEVENTO="manual",$A683,IF(ISERROR(MATCH($A683,$A$15:OFFSET($A683,-1,0),0)),MAX($M$15:OFFSET(M683,-1,0))+1,INDEX($M$15:OFFSET(M683,-1,0),MATCH($A683,$A$15:OFFSET($A683,-1,0),0)))))</f>
        <v>24</v>
      </c>
      <c r="N683" s="177" t="str">
        <f ca="1">IF($D683&lt;&gt;"Serviço","",IF(AUTOEVENTO="Manual",IF($A683=0,"&lt;-- defina o número do agrupador",OFFSET(EVENTOS!$D$14,$A683,0)),OFFSET($F$15,$A683,0)))</f>
        <v>SERVIÇOS COMPLEMENTARES</v>
      </c>
      <c r="O683" s="178"/>
      <c r="Q683" s="178"/>
      <c r="R683" s="179"/>
      <c r="S683" s="179"/>
      <c r="T683" s="179"/>
      <c r="U683" s="179"/>
      <c r="V683" s="179"/>
      <c r="W683" s="179"/>
      <c r="X683" s="179"/>
      <c r="Y683" s="179"/>
      <c r="Z683" s="180"/>
      <c r="AB683" s="544">
        <f ca="1">IF(AND($D683="Serviço",AB$12&lt;&gt;0,$H683&gt;0,OR(AUTOEVENTO&lt;&gt;"manual",$M683&lt;&gt;1)),
IF(Import.TipoArredondamento&lt;&gt;"TransfereGOV",
ROUND(OFFSET($P683,0,AB$13),15-13*ORÇAMENTO!$AF$7)/$H683*OFFSET(ORÇAMENTO!$X$15,ROW(AB683)-ROW(AB$15),0),
ROUND(ROUND(OFFSET($P683,0,AB$13),15-13*ORÇAMENTO!$AF$7)*OFFSET(ORÇAMENTO!$W$15,ROW(AB683)-ROW(AB$15),0),15-13*ORÇAMENTO!$AF$11)),0)</f>
        <v>0</v>
      </c>
      <c r="AC683" s="545">
        <f ca="1">IF(AND($D683="Serviço",AC$12&lt;&gt;0,$H683&gt;0,OR(AUTOEVENTO&lt;&gt;"manual",$M683&lt;&gt;1)),
IF(Import.TipoArredondamento&lt;&gt;"TransfereGOV",
ROUND(OFFSET($P683,0,AC$13),15-13*ORÇAMENTO!$AF$7)/$H683*OFFSET(ORÇAMENTO!$X$15,ROW(AC683)-ROW(AC$15),0),
ROUND(ROUND(OFFSET($P683,0,AC$13),15-13*ORÇAMENTO!$AF$7)*OFFSET(ORÇAMENTO!$W$15,ROW(AC683)-ROW(AC$15),0),15-13*ORÇAMENTO!$AF$11)),0)</f>
        <v>0</v>
      </c>
      <c r="AD683" s="545">
        <f ca="1">IF(AND($D683="Serviço",AD$12&lt;&gt;0,$H683&gt;0,OR(AUTOEVENTO&lt;&gt;"manual",$M683&lt;&gt;1)),
IF(Import.TipoArredondamento&lt;&gt;"TransfereGOV",
ROUND(OFFSET($P683,0,AD$13),15-13*ORÇAMENTO!$AF$7)/$H683*OFFSET(ORÇAMENTO!$X$15,ROW(AD683)-ROW(AD$15),0),
ROUND(ROUND(OFFSET($P683,0,AD$13),15-13*ORÇAMENTO!$AF$7)*OFFSET(ORÇAMENTO!$W$15,ROW(AD683)-ROW(AD$15),0),15-13*ORÇAMENTO!$AF$11)),0)</f>
        <v>0</v>
      </c>
      <c r="AE683" s="545">
        <f ca="1">IF(AND($D683="Serviço",AE$12&lt;&gt;0,$H683&gt;0,OR(AUTOEVENTO&lt;&gt;"manual",$M683&lt;&gt;1)),
IF(Import.TipoArredondamento&lt;&gt;"TransfereGOV",
ROUND(OFFSET($P683,0,AE$13),15-13*ORÇAMENTO!$AF$7)/$H683*OFFSET(ORÇAMENTO!$X$15,ROW(AE683)-ROW(AE$15),0),
ROUND(ROUND(OFFSET($P683,0,AE$13),15-13*ORÇAMENTO!$AF$7)*OFFSET(ORÇAMENTO!$W$15,ROW(AE683)-ROW(AE$15),0),15-13*ORÇAMENTO!$AF$11)),0)</f>
        <v>0</v>
      </c>
      <c r="AF683" s="545">
        <f ca="1">IF(AND($D683="Serviço",AF$12&lt;&gt;0,$H683&gt;0,OR(AUTOEVENTO&lt;&gt;"manual",$M683&lt;&gt;1)),
IF(Import.TipoArredondamento&lt;&gt;"TransfereGOV",
ROUND(OFFSET($P683,0,AF$13),15-13*ORÇAMENTO!$AF$7)/$H683*OFFSET(ORÇAMENTO!$X$15,ROW(AF683)-ROW(AF$15),0),
ROUND(ROUND(OFFSET($P683,0,AF$13),15-13*ORÇAMENTO!$AF$7)*OFFSET(ORÇAMENTO!$W$15,ROW(AF683)-ROW(AF$15),0),15-13*ORÇAMENTO!$AF$11)),0)</f>
        <v>0</v>
      </c>
      <c r="AG683" s="545">
        <f ca="1">IF(AND($D683="Serviço",AG$12&lt;&gt;0,$H683&gt;0,OR(AUTOEVENTO&lt;&gt;"manual",$M683&lt;&gt;1)),
IF(Import.TipoArredondamento&lt;&gt;"TransfereGOV",
ROUND(OFFSET($P683,0,AG$13),15-13*ORÇAMENTO!$AF$7)/$H683*OFFSET(ORÇAMENTO!$X$15,ROW(AG683)-ROW(AG$15),0),
ROUND(ROUND(OFFSET($P683,0,AG$13),15-13*ORÇAMENTO!$AF$7)*OFFSET(ORÇAMENTO!$W$15,ROW(AG683)-ROW(AG$15),0),15-13*ORÇAMENTO!$AF$11)),0)</f>
        <v>0</v>
      </c>
      <c r="AH683" s="545">
        <f ca="1">IF(AND($D683="Serviço",AH$12&lt;&gt;0,$H683&gt;0,OR(AUTOEVENTO&lt;&gt;"manual",$M683&lt;&gt;1)),
IF(Import.TipoArredondamento&lt;&gt;"TransfereGOV",
ROUND(OFFSET($P683,0,AH$13),15-13*ORÇAMENTO!$AF$7)/$H683*OFFSET(ORÇAMENTO!$X$15,ROW(AH683)-ROW(AH$15),0),
ROUND(ROUND(OFFSET($P683,0,AH$13),15-13*ORÇAMENTO!$AF$7)*OFFSET(ORÇAMENTO!$W$15,ROW(AH683)-ROW(AH$15),0),15-13*ORÇAMENTO!$AF$11)),0)</f>
        <v>0</v>
      </c>
      <c r="AI683" s="545">
        <f ca="1">IF(AND($D683="Serviço",AI$12&lt;&gt;0,$H683&gt;0,OR(AUTOEVENTO&lt;&gt;"manual",$M683&lt;&gt;1)),
IF(Import.TipoArredondamento&lt;&gt;"TransfereGOV",
ROUND(OFFSET($P683,0,AI$13),15-13*ORÇAMENTO!$AF$7)/$H683*OFFSET(ORÇAMENTO!$X$15,ROW(AI683)-ROW(AI$15),0),
ROUND(ROUND(OFFSET($P683,0,AI$13),15-13*ORÇAMENTO!$AF$7)*OFFSET(ORÇAMENTO!$W$15,ROW(AI683)-ROW(AI$15),0),15-13*ORÇAMENTO!$AF$11)),0)</f>
        <v>0</v>
      </c>
      <c r="AJ683" s="545">
        <f ca="1">IF(AND($D683="Serviço",AJ$12&lt;&gt;0,$H683&gt;0,OR(AUTOEVENTO&lt;&gt;"manual",$M683&lt;&gt;1)),
IF(Import.TipoArredondamento&lt;&gt;"TransfereGOV",
ROUND(OFFSET($P683,0,AJ$13),15-13*ORÇAMENTO!$AF$7)/$H683*OFFSET(ORÇAMENTO!$X$15,ROW(AJ683)-ROW(AJ$15),0),
ROUND(ROUND(OFFSET($P683,0,AJ$13),15-13*ORÇAMENTO!$AF$7)*OFFSET(ORÇAMENTO!$W$15,ROW(AJ683)-ROW(AJ$15),0),15-13*ORÇAMENTO!$AF$11)),0)</f>
        <v>0</v>
      </c>
      <c r="AK683" s="546">
        <f ca="1">IF(AND($D683="Serviço",AK$12&lt;&gt;0,$H683&gt;0,OR(AUTOEVENTO&lt;&gt;"manual",$M683&lt;&gt;1)),
IF(Import.TipoArredondamento&lt;&gt;"TransfereGOV",
ROUND(OFFSET($P683,0,AK$13),15-13*ORÇAMENTO!$AF$7)/$H683*OFFSET(ORÇAMENTO!$X$15,ROW(AK683)-ROW(AK$15),0),
ROUND(ROUND(OFFSET($P683,0,AK$13),15-13*ORÇAMENTO!$AF$7)*OFFSET(ORÇAMENTO!$W$15,ROW(AK683)-ROW(AK$15),0),15-13*ORÇAMENTO!$AF$11)),0)</f>
        <v>0</v>
      </c>
      <c r="AM683" s="181">
        <f ca="1">IF($D683&lt;&gt;"Serviço",0,IF(AND(AUTOEVENTO="Manual",$M683=1),0,IF(OFFSET(CRONOPLE!$F$14,$M683,AM$13)="",10^12,OFFSET(CRONOPLE!$F$14,$M683,AM$13))))</f>
        <v>1000000000000</v>
      </c>
      <c r="AN683" s="181">
        <f ca="1">IF($D683&lt;&gt;"Serviço",0,IF(AND(AUTOEVENTO="Manual",$M683=1),0,IF(OFFSET(CRONOPLE!$F$14,$M683,AN$13)="",10^12,OFFSET(CRONOPLE!$F$14,$M683,AN$13))))</f>
        <v>1000000000000</v>
      </c>
      <c r="AO683" s="181">
        <f ca="1">IF($D683&lt;&gt;"Serviço",0,IF(AND(AUTOEVENTO="Manual",$M683=1),0,IF(OFFSET(CRONOPLE!$F$14,$M683,AO$13)="",10^12,OFFSET(CRONOPLE!$F$14,$M683,AO$13))))</f>
        <v>1000000000000</v>
      </c>
      <c r="AP683" s="181">
        <f ca="1">IF($D683&lt;&gt;"Serviço",0,IF(AND(AUTOEVENTO="Manual",$M683=1),0,IF(OFFSET(CRONOPLE!$F$14,$M683,AP$13)="",10^12,OFFSET(CRONOPLE!$F$14,$M683,AP$13))))</f>
        <v>1000000000000</v>
      </c>
      <c r="AQ683" s="181">
        <f ca="1">IF($D683&lt;&gt;"Serviço",0,IF(AND(AUTOEVENTO="Manual",$M683=1),0,IF(OFFSET(CRONOPLE!$F$14,$M683,AQ$13)="",10^12,OFFSET(CRONOPLE!$F$14,$M683,AQ$13))))</f>
        <v>1000000000000</v>
      </c>
      <c r="AR683" s="181">
        <f ca="1">IF($D683&lt;&gt;"Serviço",0,IF(AND(AUTOEVENTO="Manual",$M683=1),0,IF(OFFSET(CRONOPLE!$F$14,$M683,AR$13)="",10^12,OFFSET(CRONOPLE!$F$14,$M683,AR$13))))</f>
        <v>1000000000000</v>
      </c>
      <c r="AS683" s="181">
        <f ca="1">IF($D683&lt;&gt;"Serviço",0,IF(AND(AUTOEVENTO="Manual",$M683=1),0,IF(OFFSET(CRONOPLE!$F$14,$M683,AS$13)="",10^12,OFFSET(CRONOPLE!$F$14,$M683,AS$13))))</f>
        <v>1000000000000</v>
      </c>
      <c r="AT683" s="181">
        <f ca="1">IF($D683&lt;&gt;"Serviço",0,IF(AND(AUTOEVENTO="Manual",$M683=1),0,IF(OFFSET(CRONOPLE!$F$14,$M683,AT$13)="",10^12,OFFSET(CRONOPLE!$F$14,$M683,AT$13))))</f>
        <v>1000000000000</v>
      </c>
      <c r="AU683" s="181">
        <f ca="1">IF($D683&lt;&gt;"Serviço",0,IF(AND(AUTOEVENTO="Manual",$M683=1),0,IF(OFFSET(CRONOPLE!$F$14,$M683,AU$13)="",10^12,OFFSET(CRONOPLE!$F$14,$M683,AU$13))))</f>
        <v>1000000000000</v>
      </c>
      <c r="AV683" s="181">
        <f ca="1">IF($D683&lt;&gt;"Serviço",0,IF(AND(AUTOEVENTO="Manual",$M683=1),0,IF(OFFSET(CRONOPLE!$F$14,$M683,AV$13)="",10^12,OFFSET(CRONOPLE!$F$14,$M683,AV$13))))</f>
        <v>1000000000000</v>
      </c>
      <c r="AX683" s="182">
        <f ca="1">IF($D683&lt;&gt;"Serviço",0,IF(OR(AND(AUTOEVENTO="Manual",$M683=1),$M683&gt;(ROW(PLE.lastrow)-ROW(PLE.firstrow))),0,IF(OFFSET(PLE!$G$14,$M683,AX$13)="",10^12,OFFSET(PLE!$G$14,$M683,AX$13))))</f>
        <v>1000000000000</v>
      </c>
      <c r="AY683" s="182">
        <f ca="1">IF($D683&lt;&gt;"Serviço",0,IF(OR(AND(AUTOEVENTO="Manual",$M683=1),$M683&gt;(ROW(PLE.lastrow)-ROW(PLE.firstrow))),0,IF(OFFSET(PLE!$G$14,$M683,AY$13)="",10^12,OFFSET(PLE!$G$14,$M683,AY$13))))</f>
        <v>1000000000000</v>
      </c>
      <c r="AZ683" s="182">
        <f ca="1">IF($D683&lt;&gt;"Serviço",0,IF(OR(AND(AUTOEVENTO="Manual",$M683=1),$M683&gt;(ROW(PLE.lastrow)-ROW(PLE.firstrow))),0,IF(OFFSET(PLE!$G$14,$M683,AZ$13)="",10^12,OFFSET(PLE!$G$14,$M683,AZ$13))))</f>
        <v>1000000000000</v>
      </c>
      <c r="BA683" s="182">
        <f ca="1">IF($D683&lt;&gt;"Serviço",0,IF(OR(AND(AUTOEVENTO="Manual",$M683=1),$M683&gt;(ROW(PLE.lastrow)-ROW(PLE.firstrow))),0,IF(OFFSET(PLE!$G$14,$M683,BA$13)="",10^12,OFFSET(PLE!$G$14,$M683,BA$13))))</f>
        <v>1000000000000</v>
      </c>
      <c r="BB683" s="182">
        <f ca="1">IF($D683&lt;&gt;"Serviço",0,IF(OR(AND(AUTOEVENTO="Manual",$M683=1),$M683&gt;(ROW(PLE.lastrow)-ROW(PLE.firstrow))),0,IF(OFFSET(PLE!$G$14,$M683,BB$13)="",10^12,OFFSET(PLE!$G$14,$M683,BB$13))))</f>
        <v>1000000000000</v>
      </c>
      <c r="BC683" s="182">
        <f ca="1">IF($D683&lt;&gt;"Serviço",0,IF(OR(AND(AUTOEVENTO="Manual",$M683=1),$M683&gt;(ROW(PLE.lastrow)-ROW(PLE.firstrow))),0,IF(OFFSET(PLE!$G$14,$M683,BC$13)="",10^12,OFFSET(PLE!$G$14,$M683,BC$13))))</f>
        <v>1000000000000</v>
      </c>
      <c r="BD683" s="182">
        <f ca="1">IF($D683&lt;&gt;"Serviço",0,IF(OR(AND(AUTOEVENTO="Manual",$M683=1),$M683&gt;(ROW(PLE.lastrow)-ROW(PLE.firstrow))),0,IF(OFFSET(PLE!$G$14,$M683,BD$13)="",10^12,OFFSET(PLE!$G$14,$M683,BD$13))))</f>
        <v>1000000000000</v>
      </c>
      <c r="BE683" s="182">
        <f ca="1">IF($D683&lt;&gt;"Serviço",0,IF(OR(AND(AUTOEVENTO="Manual",$M683=1),$M683&gt;(ROW(PLE.lastrow)-ROW(PLE.firstrow))),0,IF(OFFSET(PLE!$G$14,$M683,BE$13)="",10^12,OFFSET(PLE!$G$14,$M683,BE$13))))</f>
        <v>1000000000000</v>
      </c>
      <c r="BF683" s="182">
        <f ca="1">IF($D683&lt;&gt;"Serviço",0,IF(OR(AND(AUTOEVENTO="Manual",$M683=1),$M683&gt;(ROW(PLE.lastrow)-ROW(PLE.firstrow))),0,IF(OFFSET(PLE!$G$14,$M683,BF$13)="",10^12,OFFSET(PLE!$G$14,$M683,BF$13))))</f>
        <v>1000000000000</v>
      </c>
      <c r="BG683" s="182">
        <f ca="1">IF($D683&lt;&gt;"Serviço",0,IF(OR(AND(AUTOEVENTO="Manual",$M683=1),$M683&gt;(ROW(PLE.lastrow)-ROW(PLE.firstrow))),0,IF(OFFSET(PLE!$G$14,$M683,BG$13)="",10^12,OFFSET(PLE!$G$14,$M683,BG$13))))</f>
        <v>1000000000000</v>
      </c>
    </row>
    <row r="684" spans="1:59" ht="25.5" x14ac:dyDescent="0.2">
      <c r="A684" s="7" t="str">
        <f t="shared" ca="1" si="17"/>
        <v>667</v>
      </c>
      <c r="B684" s="7" t="str">
        <f ca="1">OFFSET(ORÇAMENTO!C$15,ROW(B684)-ROW(B$15),0)</f>
        <v>S</v>
      </c>
      <c r="C684" s="7" t="str">
        <f ca="1">OFFSET(ORÇAMENTO!L$15,ROW(C684)-ROW(C$15),0)</f>
        <v/>
      </c>
      <c r="D684" s="118" t="str">
        <f ca="1">OFFSET(ORÇAMENTO!N$15,ROW(D684)-ROW(D$15),0)</f>
        <v>Serviço</v>
      </c>
      <c r="E684" s="119" t="str">
        <f ca="1">OFFSET(ORÇAMENTO!O$15,ROW(E684)-ROW(E$15),0)</f>
        <v>-</v>
      </c>
      <c r="F684" s="172" t="str">
        <f ca="1">OFFSET(ORÇAMENTO!R$15,ROW(F684)-ROW(F$15),0)</f>
        <v>(abra o arquivo 'Referência 02-2025.xlsm)</v>
      </c>
      <c r="G684" s="173" t="str">
        <f ca="1">IF($D684&lt;&gt;"Serviço","",OFFSET(ORÇAMENTO!S$15,ROW(G684)-ROW(G$15),0))</f>
        <v>-</v>
      </c>
      <c r="H684" s="124">
        <f ca="1">IF($D684&lt;&gt;"Serviço",0,IF(ACOMPANHAMENTO="BM",ROUND(OFFSET(ORÇAMENTO!AJ$15,ROW(H684)-ROW(H$15),0),15-13*ORÇAMENTO!$AF$7),SUMPRODUCT(($Q$12:$AA$12&lt;&gt;"")*ROUND($Q684:$AA684,15-13*ORÇAMENTO!$AF$7))))</f>
        <v>64.53</v>
      </c>
      <c r="I684" s="561" t="s">
        <v>890</v>
      </c>
      <c r="K684" s="174"/>
      <c r="L684" s="175" t="s">
        <v>255</v>
      </c>
      <c r="M684" s="176">
        <f ca="1">IF($D684&lt;&gt;"Serviço","",IF(AUTOEVENTO="manual",$A684,IF(ISERROR(MATCH($A684,$A$15:OFFSET($A684,-1,0),0)),MAX($M$15:OFFSET(M684,-1,0))+1,INDEX($M$15:OFFSET(M684,-1,0),MATCH($A684,$A$15:OFFSET($A684,-1,0),0)))))</f>
        <v>24</v>
      </c>
      <c r="N684" s="177" t="str">
        <f ca="1">IF($D684&lt;&gt;"Serviço","",IF(AUTOEVENTO="Manual",IF($A684=0,"&lt;-- defina o número do agrupador",OFFSET(EVENTOS!$D$14,$A684,0)),OFFSET($F$15,$A684,0)))</f>
        <v>SERVIÇOS COMPLEMENTARES</v>
      </c>
      <c r="O684" s="178"/>
      <c r="Q684" s="178"/>
      <c r="R684" s="179"/>
      <c r="S684" s="179"/>
      <c r="T684" s="179"/>
      <c r="U684" s="179"/>
      <c r="V684" s="179"/>
      <c r="W684" s="179"/>
      <c r="X684" s="179"/>
      <c r="Y684" s="179"/>
      <c r="Z684" s="180"/>
      <c r="AB684" s="544">
        <f ca="1">IF(AND($D684="Serviço",AB$12&lt;&gt;0,$H684&gt;0,OR(AUTOEVENTO&lt;&gt;"manual",$M684&lt;&gt;1)),
IF(Import.TipoArredondamento&lt;&gt;"TransfereGOV",
ROUND(OFFSET($P684,0,AB$13),15-13*ORÇAMENTO!$AF$7)/$H684*OFFSET(ORÇAMENTO!$X$15,ROW(AB684)-ROW(AB$15),0),
ROUND(ROUND(OFFSET($P684,0,AB$13),15-13*ORÇAMENTO!$AF$7)*OFFSET(ORÇAMENTO!$W$15,ROW(AB684)-ROW(AB$15),0),15-13*ORÇAMENTO!$AF$11)),0)</f>
        <v>0</v>
      </c>
      <c r="AC684" s="545">
        <f ca="1">IF(AND($D684="Serviço",AC$12&lt;&gt;0,$H684&gt;0,OR(AUTOEVENTO&lt;&gt;"manual",$M684&lt;&gt;1)),
IF(Import.TipoArredondamento&lt;&gt;"TransfereGOV",
ROUND(OFFSET($P684,0,AC$13),15-13*ORÇAMENTO!$AF$7)/$H684*OFFSET(ORÇAMENTO!$X$15,ROW(AC684)-ROW(AC$15),0),
ROUND(ROUND(OFFSET($P684,0,AC$13),15-13*ORÇAMENTO!$AF$7)*OFFSET(ORÇAMENTO!$W$15,ROW(AC684)-ROW(AC$15),0),15-13*ORÇAMENTO!$AF$11)),0)</f>
        <v>0</v>
      </c>
      <c r="AD684" s="545">
        <f ca="1">IF(AND($D684="Serviço",AD$12&lt;&gt;0,$H684&gt;0,OR(AUTOEVENTO&lt;&gt;"manual",$M684&lt;&gt;1)),
IF(Import.TipoArredondamento&lt;&gt;"TransfereGOV",
ROUND(OFFSET($P684,0,AD$13),15-13*ORÇAMENTO!$AF$7)/$H684*OFFSET(ORÇAMENTO!$X$15,ROW(AD684)-ROW(AD$15),0),
ROUND(ROUND(OFFSET($P684,0,AD$13),15-13*ORÇAMENTO!$AF$7)*OFFSET(ORÇAMENTO!$W$15,ROW(AD684)-ROW(AD$15),0),15-13*ORÇAMENTO!$AF$11)),0)</f>
        <v>0</v>
      </c>
      <c r="AE684" s="545">
        <f ca="1">IF(AND($D684="Serviço",AE$12&lt;&gt;0,$H684&gt;0,OR(AUTOEVENTO&lt;&gt;"manual",$M684&lt;&gt;1)),
IF(Import.TipoArredondamento&lt;&gt;"TransfereGOV",
ROUND(OFFSET($P684,0,AE$13),15-13*ORÇAMENTO!$AF$7)/$H684*OFFSET(ORÇAMENTO!$X$15,ROW(AE684)-ROW(AE$15),0),
ROUND(ROUND(OFFSET($P684,0,AE$13),15-13*ORÇAMENTO!$AF$7)*OFFSET(ORÇAMENTO!$W$15,ROW(AE684)-ROW(AE$15),0),15-13*ORÇAMENTO!$AF$11)),0)</f>
        <v>0</v>
      </c>
      <c r="AF684" s="545">
        <f ca="1">IF(AND($D684="Serviço",AF$12&lt;&gt;0,$H684&gt;0,OR(AUTOEVENTO&lt;&gt;"manual",$M684&lt;&gt;1)),
IF(Import.TipoArredondamento&lt;&gt;"TransfereGOV",
ROUND(OFFSET($P684,0,AF$13),15-13*ORÇAMENTO!$AF$7)/$H684*OFFSET(ORÇAMENTO!$X$15,ROW(AF684)-ROW(AF$15),0),
ROUND(ROUND(OFFSET($P684,0,AF$13),15-13*ORÇAMENTO!$AF$7)*OFFSET(ORÇAMENTO!$W$15,ROW(AF684)-ROW(AF$15),0),15-13*ORÇAMENTO!$AF$11)),0)</f>
        <v>0</v>
      </c>
      <c r="AG684" s="545">
        <f ca="1">IF(AND($D684="Serviço",AG$12&lt;&gt;0,$H684&gt;0,OR(AUTOEVENTO&lt;&gt;"manual",$M684&lt;&gt;1)),
IF(Import.TipoArredondamento&lt;&gt;"TransfereGOV",
ROUND(OFFSET($P684,0,AG$13),15-13*ORÇAMENTO!$AF$7)/$H684*OFFSET(ORÇAMENTO!$X$15,ROW(AG684)-ROW(AG$15),0),
ROUND(ROUND(OFFSET($P684,0,AG$13),15-13*ORÇAMENTO!$AF$7)*OFFSET(ORÇAMENTO!$W$15,ROW(AG684)-ROW(AG$15),0),15-13*ORÇAMENTO!$AF$11)),0)</f>
        <v>0</v>
      </c>
      <c r="AH684" s="545">
        <f ca="1">IF(AND($D684="Serviço",AH$12&lt;&gt;0,$H684&gt;0,OR(AUTOEVENTO&lt;&gt;"manual",$M684&lt;&gt;1)),
IF(Import.TipoArredondamento&lt;&gt;"TransfereGOV",
ROUND(OFFSET($P684,0,AH$13),15-13*ORÇAMENTO!$AF$7)/$H684*OFFSET(ORÇAMENTO!$X$15,ROW(AH684)-ROW(AH$15),0),
ROUND(ROUND(OFFSET($P684,0,AH$13),15-13*ORÇAMENTO!$AF$7)*OFFSET(ORÇAMENTO!$W$15,ROW(AH684)-ROW(AH$15),0),15-13*ORÇAMENTO!$AF$11)),0)</f>
        <v>0</v>
      </c>
      <c r="AI684" s="545">
        <f ca="1">IF(AND($D684="Serviço",AI$12&lt;&gt;0,$H684&gt;0,OR(AUTOEVENTO&lt;&gt;"manual",$M684&lt;&gt;1)),
IF(Import.TipoArredondamento&lt;&gt;"TransfereGOV",
ROUND(OFFSET($P684,0,AI$13),15-13*ORÇAMENTO!$AF$7)/$H684*OFFSET(ORÇAMENTO!$X$15,ROW(AI684)-ROW(AI$15),0),
ROUND(ROUND(OFFSET($P684,0,AI$13),15-13*ORÇAMENTO!$AF$7)*OFFSET(ORÇAMENTO!$W$15,ROW(AI684)-ROW(AI$15),0),15-13*ORÇAMENTO!$AF$11)),0)</f>
        <v>0</v>
      </c>
      <c r="AJ684" s="545">
        <f ca="1">IF(AND($D684="Serviço",AJ$12&lt;&gt;0,$H684&gt;0,OR(AUTOEVENTO&lt;&gt;"manual",$M684&lt;&gt;1)),
IF(Import.TipoArredondamento&lt;&gt;"TransfereGOV",
ROUND(OFFSET($P684,0,AJ$13),15-13*ORÇAMENTO!$AF$7)/$H684*OFFSET(ORÇAMENTO!$X$15,ROW(AJ684)-ROW(AJ$15),0),
ROUND(ROUND(OFFSET($P684,0,AJ$13),15-13*ORÇAMENTO!$AF$7)*OFFSET(ORÇAMENTO!$W$15,ROW(AJ684)-ROW(AJ$15),0),15-13*ORÇAMENTO!$AF$11)),0)</f>
        <v>0</v>
      </c>
      <c r="AK684" s="546">
        <f ca="1">IF(AND($D684="Serviço",AK$12&lt;&gt;0,$H684&gt;0,OR(AUTOEVENTO&lt;&gt;"manual",$M684&lt;&gt;1)),
IF(Import.TipoArredondamento&lt;&gt;"TransfereGOV",
ROUND(OFFSET($P684,0,AK$13),15-13*ORÇAMENTO!$AF$7)/$H684*OFFSET(ORÇAMENTO!$X$15,ROW(AK684)-ROW(AK$15),0),
ROUND(ROUND(OFFSET($P684,0,AK$13),15-13*ORÇAMENTO!$AF$7)*OFFSET(ORÇAMENTO!$W$15,ROW(AK684)-ROW(AK$15),0),15-13*ORÇAMENTO!$AF$11)),0)</f>
        <v>0</v>
      </c>
      <c r="AM684" s="181">
        <f ca="1">IF($D684&lt;&gt;"Serviço",0,IF(AND(AUTOEVENTO="Manual",$M684=1),0,IF(OFFSET(CRONOPLE!$F$14,$M684,AM$13)="",10^12,OFFSET(CRONOPLE!$F$14,$M684,AM$13))))</f>
        <v>1000000000000</v>
      </c>
      <c r="AN684" s="181">
        <f ca="1">IF($D684&lt;&gt;"Serviço",0,IF(AND(AUTOEVENTO="Manual",$M684=1),0,IF(OFFSET(CRONOPLE!$F$14,$M684,AN$13)="",10^12,OFFSET(CRONOPLE!$F$14,$M684,AN$13))))</f>
        <v>1000000000000</v>
      </c>
      <c r="AO684" s="181">
        <f ca="1">IF($D684&lt;&gt;"Serviço",0,IF(AND(AUTOEVENTO="Manual",$M684=1),0,IF(OFFSET(CRONOPLE!$F$14,$M684,AO$13)="",10^12,OFFSET(CRONOPLE!$F$14,$M684,AO$13))))</f>
        <v>1000000000000</v>
      </c>
      <c r="AP684" s="181">
        <f ca="1">IF($D684&lt;&gt;"Serviço",0,IF(AND(AUTOEVENTO="Manual",$M684=1),0,IF(OFFSET(CRONOPLE!$F$14,$M684,AP$13)="",10^12,OFFSET(CRONOPLE!$F$14,$M684,AP$13))))</f>
        <v>1000000000000</v>
      </c>
      <c r="AQ684" s="181">
        <f ca="1">IF($D684&lt;&gt;"Serviço",0,IF(AND(AUTOEVENTO="Manual",$M684=1),0,IF(OFFSET(CRONOPLE!$F$14,$M684,AQ$13)="",10^12,OFFSET(CRONOPLE!$F$14,$M684,AQ$13))))</f>
        <v>1000000000000</v>
      </c>
      <c r="AR684" s="181">
        <f ca="1">IF($D684&lt;&gt;"Serviço",0,IF(AND(AUTOEVENTO="Manual",$M684=1),0,IF(OFFSET(CRONOPLE!$F$14,$M684,AR$13)="",10^12,OFFSET(CRONOPLE!$F$14,$M684,AR$13))))</f>
        <v>1000000000000</v>
      </c>
      <c r="AS684" s="181">
        <f ca="1">IF($D684&lt;&gt;"Serviço",0,IF(AND(AUTOEVENTO="Manual",$M684=1),0,IF(OFFSET(CRONOPLE!$F$14,$M684,AS$13)="",10^12,OFFSET(CRONOPLE!$F$14,$M684,AS$13))))</f>
        <v>1000000000000</v>
      </c>
      <c r="AT684" s="181">
        <f ca="1">IF($D684&lt;&gt;"Serviço",0,IF(AND(AUTOEVENTO="Manual",$M684=1),0,IF(OFFSET(CRONOPLE!$F$14,$M684,AT$13)="",10^12,OFFSET(CRONOPLE!$F$14,$M684,AT$13))))</f>
        <v>1000000000000</v>
      </c>
      <c r="AU684" s="181">
        <f ca="1">IF($D684&lt;&gt;"Serviço",0,IF(AND(AUTOEVENTO="Manual",$M684=1),0,IF(OFFSET(CRONOPLE!$F$14,$M684,AU$13)="",10^12,OFFSET(CRONOPLE!$F$14,$M684,AU$13))))</f>
        <v>1000000000000</v>
      </c>
      <c r="AV684" s="181">
        <f ca="1">IF($D684&lt;&gt;"Serviço",0,IF(AND(AUTOEVENTO="Manual",$M684=1),0,IF(OFFSET(CRONOPLE!$F$14,$M684,AV$13)="",10^12,OFFSET(CRONOPLE!$F$14,$M684,AV$13))))</f>
        <v>1000000000000</v>
      </c>
      <c r="AX684" s="182">
        <f ca="1">IF($D684&lt;&gt;"Serviço",0,IF(OR(AND(AUTOEVENTO="Manual",$M684=1),$M684&gt;(ROW(PLE.lastrow)-ROW(PLE.firstrow))),0,IF(OFFSET(PLE!$G$14,$M684,AX$13)="",10^12,OFFSET(PLE!$G$14,$M684,AX$13))))</f>
        <v>1000000000000</v>
      </c>
      <c r="AY684" s="182">
        <f ca="1">IF($D684&lt;&gt;"Serviço",0,IF(OR(AND(AUTOEVENTO="Manual",$M684=1),$M684&gt;(ROW(PLE.lastrow)-ROW(PLE.firstrow))),0,IF(OFFSET(PLE!$G$14,$M684,AY$13)="",10^12,OFFSET(PLE!$G$14,$M684,AY$13))))</f>
        <v>1000000000000</v>
      </c>
      <c r="AZ684" s="182">
        <f ca="1">IF($D684&lt;&gt;"Serviço",0,IF(OR(AND(AUTOEVENTO="Manual",$M684=1),$M684&gt;(ROW(PLE.lastrow)-ROW(PLE.firstrow))),0,IF(OFFSET(PLE!$G$14,$M684,AZ$13)="",10^12,OFFSET(PLE!$G$14,$M684,AZ$13))))</f>
        <v>1000000000000</v>
      </c>
      <c r="BA684" s="182">
        <f ca="1">IF($D684&lt;&gt;"Serviço",0,IF(OR(AND(AUTOEVENTO="Manual",$M684=1),$M684&gt;(ROW(PLE.lastrow)-ROW(PLE.firstrow))),0,IF(OFFSET(PLE!$G$14,$M684,BA$13)="",10^12,OFFSET(PLE!$G$14,$M684,BA$13))))</f>
        <v>1000000000000</v>
      </c>
      <c r="BB684" s="182">
        <f ca="1">IF($D684&lt;&gt;"Serviço",0,IF(OR(AND(AUTOEVENTO="Manual",$M684=1),$M684&gt;(ROW(PLE.lastrow)-ROW(PLE.firstrow))),0,IF(OFFSET(PLE!$G$14,$M684,BB$13)="",10^12,OFFSET(PLE!$G$14,$M684,BB$13))))</f>
        <v>1000000000000</v>
      </c>
      <c r="BC684" s="182">
        <f ca="1">IF($D684&lt;&gt;"Serviço",0,IF(OR(AND(AUTOEVENTO="Manual",$M684=1),$M684&gt;(ROW(PLE.lastrow)-ROW(PLE.firstrow))),0,IF(OFFSET(PLE!$G$14,$M684,BC$13)="",10^12,OFFSET(PLE!$G$14,$M684,BC$13))))</f>
        <v>1000000000000</v>
      </c>
      <c r="BD684" s="182">
        <f ca="1">IF($D684&lt;&gt;"Serviço",0,IF(OR(AND(AUTOEVENTO="Manual",$M684=1),$M684&gt;(ROW(PLE.lastrow)-ROW(PLE.firstrow))),0,IF(OFFSET(PLE!$G$14,$M684,BD$13)="",10^12,OFFSET(PLE!$G$14,$M684,BD$13))))</f>
        <v>1000000000000</v>
      </c>
      <c r="BE684" s="182">
        <f ca="1">IF($D684&lt;&gt;"Serviço",0,IF(OR(AND(AUTOEVENTO="Manual",$M684=1),$M684&gt;(ROW(PLE.lastrow)-ROW(PLE.firstrow))),0,IF(OFFSET(PLE!$G$14,$M684,BE$13)="",10^12,OFFSET(PLE!$G$14,$M684,BE$13))))</f>
        <v>1000000000000</v>
      </c>
      <c r="BF684" s="182">
        <f ca="1">IF($D684&lt;&gt;"Serviço",0,IF(OR(AND(AUTOEVENTO="Manual",$M684=1),$M684&gt;(ROW(PLE.lastrow)-ROW(PLE.firstrow))),0,IF(OFFSET(PLE!$G$14,$M684,BF$13)="",10^12,OFFSET(PLE!$G$14,$M684,BF$13))))</f>
        <v>1000000000000</v>
      </c>
      <c r="BG684" s="182">
        <f ca="1">IF($D684&lt;&gt;"Serviço",0,IF(OR(AND(AUTOEVENTO="Manual",$M684=1),$M684&gt;(ROW(PLE.lastrow)-ROW(PLE.firstrow))),0,IF(OFFSET(PLE!$G$14,$M684,BG$13)="",10^12,OFFSET(PLE!$G$14,$M684,BG$13))))</f>
        <v>1000000000000</v>
      </c>
    </row>
    <row r="685" spans="1:59" ht="25.5" x14ac:dyDescent="0.2">
      <c r="A685" s="7" t="str">
        <f t="shared" ca="1" si="17"/>
        <v>667</v>
      </c>
      <c r="B685" s="7" t="str">
        <f ca="1">OFFSET(ORÇAMENTO!C$15,ROW(B685)-ROW(B$15),0)</f>
        <v>S</v>
      </c>
      <c r="C685" s="7" t="str">
        <f ca="1">OFFSET(ORÇAMENTO!L$15,ROW(C685)-ROW(C$15),0)</f>
        <v/>
      </c>
      <c r="D685" s="118" t="str">
        <f ca="1">OFFSET(ORÇAMENTO!N$15,ROW(D685)-ROW(D$15),0)</f>
        <v>Serviço</v>
      </c>
      <c r="E685" s="119" t="str">
        <f ca="1">OFFSET(ORÇAMENTO!O$15,ROW(E685)-ROW(E$15),0)</f>
        <v>-</v>
      </c>
      <c r="F685" s="172" t="str">
        <f ca="1">OFFSET(ORÇAMENTO!R$15,ROW(F685)-ROW(F$15),0)</f>
        <v>(abra o arquivo 'Referência 02-2025.xlsm)</v>
      </c>
      <c r="G685" s="173" t="str">
        <f ca="1">IF($D685&lt;&gt;"Serviço","",OFFSET(ORÇAMENTO!S$15,ROW(G685)-ROW(G$15),0))</f>
        <v>-</v>
      </c>
      <c r="H685" s="124">
        <f ca="1">IF($D685&lt;&gt;"Serviço",0,IF(ACOMPANHAMENTO="BM",ROUND(OFFSET(ORÇAMENTO!AJ$15,ROW(H685)-ROW(H$15),0),15-13*ORÇAMENTO!$AF$7),SUMPRODUCT(($Q$12:$AA$12&lt;&gt;"")*ROUND($Q685:$AA685,15-13*ORÇAMENTO!$AF$7))))</f>
        <v>2.21</v>
      </c>
      <c r="I685" s="561" t="s">
        <v>890</v>
      </c>
      <c r="K685" s="174"/>
      <c r="L685" s="175" t="s">
        <v>255</v>
      </c>
      <c r="M685" s="176">
        <f ca="1">IF($D685&lt;&gt;"Serviço","",IF(AUTOEVENTO="manual",$A685,IF(ISERROR(MATCH($A685,$A$15:OFFSET($A685,-1,0),0)),MAX($M$15:OFFSET(M685,-1,0))+1,INDEX($M$15:OFFSET(M685,-1,0),MATCH($A685,$A$15:OFFSET($A685,-1,0),0)))))</f>
        <v>24</v>
      </c>
      <c r="N685" s="177" t="str">
        <f ca="1">IF($D685&lt;&gt;"Serviço","",IF(AUTOEVENTO="Manual",IF($A685=0,"&lt;-- defina o número do agrupador",OFFSET(EVENTOS!$D$14,$A685,0)),OFFSET($F$15,$A685,0)))</f>
        <v>SERVIÇOS COMPLEMENTARES</v>
      </c>
      <c r="O685" s="178"/>
      <c r="Q685" s="178"/>
      <c r="R685" s="179"/>
      <c r="S685" s="179"/>
      <c r="T685" s="179"/>
      <c r="U685" s="179"/>
      <c r="V685" s="179"/>
      <c r="W685" s="179"/>
      <c r="X685" s="179"/>
      <c r="Y685" s="179"/>
      <c r="Z685" s="180"/>
      <c r="AB685" s="544">
        <f ca="1">IF(AND($D685="Serviço",AB$12&lt;&gt;0,$H685&gt;0,OR(AUTOEVENTO&lt;&gt;"manual",$M685&lt;&gt;1)),
IF(Import.TipoArredondamento&lt;&gt;"TransfereGOV",
ROUND(OFFSET($P685,0,AB$13),15-13*ORÇAMENTO!$AF$7)/$H685*OFFSET(ORÇAMENTO!$X$15,ROW(AB685)-ROW(AB$15),0),
ROUND(ROUND(OFFSET($P685,0,AB$13),15-13*ORÇAMENTO!$AF$7)*OFFSET(ORÇAMENTO!$W$15,ROW(AB685)-ROW(AB$15),0),15-13*ORÇAMENTO!$AF$11)),0)</f>
        <v>0</v>
      </c>
      <c r="AC685" s="545">
        <f ca="1">IF(AND($D685="Serviço",AC$12&lt;&gt;0,$H685&gt;0,OR(AUTOEVENTO&lt;&gt;"manual",$M685&lt;&gt;1)),
IF(Import.TipoArredondamento&lt;&gt;"TransfereGOV",
ROUND(OFFSET($P685,0,AC$13),15-13*ORÇAMENTO!$AF$7)/$H685*OFFSET(ORÇAMENTO!$X$15,ROW(AC685)-ROW(AC$15),0),
ROUND(ROUND(OFFSET($P685,0,AC$13),15-13*ORÇAMENTO!$AF$7)*OFFSET(ORÇAMENTO!$W$15,ROW(AC685)-ROW(AC$15),0),15-13*ORÇAMENTO!$AF$11)),0)</f>
        <v>0</v>
      </c>
      <c r="AD685" s="545">
        <f ca="1">IF(AND($D685="Serviço",AD$12&lt;&gt;0,$H685&gt;0,OR(AUTOEVENTO&lt;&gt;"manual",$M685&lt;&gt;1)),
IF(Import.TipoArredondamento&lt;&gt;"TransfereGOV",
ROUND(OFFSET($P685,0,AD$13),15-13*ORÇAMENTO!$AF$7)/$H685*OFFSET(ORÇAMENTO!$X$15,ROW(AD685)-ROW(AD$15),0),
ROUND(ROUND(OFFSET($P685,0,AD$13),15-13*ORÇAMENTO!$AF$7)*OFFSET(ORÇAMENTO!$W$15,ROW(AD685)-ROW(AD$15),0),15-13*ORÇAMENTO!$AF$11)),0)</f>
        <v>0</v>
      </c>
      <c r="AE685" s="545">
        <f ca="1">IF(AND($D685="Serviço",AE$12&lt;&gt;0,$H685&gt;0,OR(AUTOEVENTO&lt;&gt;"manual",$M685&lt;&gt;1)),
IF(Import.TipoArredondamento&lt;&gt;"TransfereGOV",
ROUND(OFFSET($P685,0,AE$13),15-13*ORÇAMENTO!$AF$7)/$H685*OFFSET(ORÇAMENTO!$X$15,ROW(AE685)-ROW(AE$15),0),
ROUND(ROUND(OFFSET($P685,0,AE$13),15-13*ORÇAMENTO!$AF$7)*OFFSET(ORÇAMENTO!$W$15,ROW(AE685)-ROW(AE$15),0),15-13*ORÇAMENTO!$AF$11)),0)</f>
        <v>0</v>
      </c>
      <c r="AF685" s="545">
        <f ca="1">IF(AND($D685="Serviço",AF$12&lt;&gt;0,$H685&gt;0,OR(AUTOEVENTO&lt;&gt;"manual",$M685&lt;&gt;1)),
IF(Import.TipoArredondamento&lt;&gt;"TransfereGOV",
ROUND(OFFSET($P685,0,AF$13),15-13*ORÇAMENTO!$AF$7)/$H685*OFFSET(ORÇAMENTO!$X$15,ROW(AF685)-ROW(AF$15),0),
ROUND(ROUND(OFFSET($P685,0,AF$13),15-13*ORÇAMENTO!$AF$7)*OFFSET(ORÇAMENTO!$W$15,ROW(AF685)-ROW(AF$15),0),15-13*ORÇAMENTO!$AF$11)),0)</f>
        <v>0</v>
      </c>
      <c r="AG685" s="545">
        <f ca="1">IF(AND($D685="Serviço",AG$12&lt;&gt;0,$H685&gt;0,OR(AUTOEVENTO&lt;&gt;"manual",$M685&lt;&gt;1)),
IF(Import.TipoArredondamento&lt;&gt;"TransfereGOV",
ROUND(OFFSET($P685,0,AG$13),15-13*ORÇAMENTO!$AF$7)/$H685*OFFSET(ORÇAMENTO!$X$15,ROW(AG685)-ROW(AG$15),0),
ROUND(ROUND(OFFSET($P685,0,AG$13),15-13*ORÇAMENTO!$AF$7)*OFFSET(ORÇAMENTO!$W$15,ROW(AG685)-ROW(AG$15),0),15-13*ORÇAMENTO!$AF$11)),0)</f>
        <v>0</v>
      </c>
      <c r="AH685" s="545">
        <f ca="1">IF(AND($D685="Serviço",AH$12&lt;&gt;0,$H685&gt;0,OR(AUTOEVENTO&lt;&gt;"manual",$M685&lt;&gt;1)),
IF(Import.TipoArredondamento&lt;&gt;"TransfereGOV",
ROUND(OFFSET($P685,0,AH$13),15-13*ORÇAMENTO!$AF$7)/$H685*OFFSET(ORÇAMENTO!$X$15,ROW(AH685)-ROW(AH$15),0),
ROUND(ROUND(OFFSET($P685,0,AH$13),15-13*ORÇAMENTO!$AF$7)*OFFSET(ORÇAMENTO!$W$15,ROW(AH685)-ROW(AH$15),0),15-13*ORÇAMENTO!$AF$11)),0)</f>
        <v>0</v>
      </c>
      <c r="AI685" s="545">
        <f ca="1">IF(AND($D685="Serviço",AI$12&lt;&gt;0,$H685&gt;0,OR(AUTOEVENTO&lt;&gt;"manual",$M685&lt;&gt;1)),
IF(Import.TipoArredondamento&lt;&gt;"TransfereGOV",
ROUND(OFFSET($P685,0,AI$13),15-13*ORÇAMENTO!$AF$7)/$H685*OFFSET(ORÇAMENTO!$X$15,ROW(AI685)-ROW(AI$15),0),
ROUND(ROUND(OFFSET($P685,0,AI$13),15-13*ORÇAMENTO!$AF$7)*OFFSET(ORÇAMENTO!$W$15,ROW(AI685)-ROW(AI$15),0),15-13*ORÇAMENTO!$AF$11)),0)</f>
        <v>0</v>
      </c>
      <c r="AJ685" s="545">
        <f ca="1">IF(AND($D685="Serviço",AJ$12&lt;&gt;0,$H685&gt;0,OR(AUTOEVENTO&lt;&gt;"manual",$M685&lt;&gt;1)),
IF(Import.TipoArredondamento&lt;&gt;"TransfereGOV",
ROUND(OFFSET($P685,0,AJ$13),15-13*ORÇAMENTO!$AF$7)/$H685*OFFSET(ORÇAMENTO!$X$15,ROW(AJ685)-ROW(AJ$15),0),
ROUND(ROUND(OFFSET($P685,0,AJ$13),15-13*ORÇAMENTO!$AF$7)*OFFSET(ORÇAMENTO!$W$15,ROW(AJ685)-ROW(AJ$15),0),15-13*ORÇAMENTO!$AF$11)),0)</f>
        <v>0</v>
      </c>
      <c r="AK685" s="546">
        <f ca="1">IF(AND($D685="Serviço",AK$12&lt;&gt;0,$H685&gt;0,OR(AUTOEVENTO&lt;&gt;"manual",$M685&lt;&gt;1)),
IF(Import.TipoArredondamento&lt;&gt;"TransfereGOV",
ROUND(OFFSET($P685,0,AK$13),15-13*ORÇAMENTO!$AF$7)/$H685*OFFSET(ORÇAMENTO!$X$15,ROW(AK685)-ROW(AK$15),0),
ROUND(ROUND(OFFSET($P685,0,AK$13),15-13*ORÇAMENTO!$AF$7)*OFFSET(ORÇAMENTO!$W$15,ROW(AK685)-ROW(AK$15),0),15-13*ORÇAMENTO!$AF$11)),0)</f>
        <v>0</v>
      </c>
      <c r="AM685" s="181">
        <f ca="1">IF($D685&lt;&gt;"Serviço",0,IF(AND(AUTOEVENTO="Manual",$M685=1),0,IF(OFFSET(CRONOPLE!$F$14,$M685,AM$13)="",10^12,OFFSET(CRONOPLE!$F$14,$M685,AM$13))))</f>
        <v>1000000000000</v>
      </c>
      <c r="AN685" s="181">
        <f ca="1">IF($D685&lt;&gt;"Serviço",0,IF(AND(AUTOEVENTO="Manual",$M685=1),0,IF(OFFSET(CRONOPLE!$F$14,$M685,AN$13)="",10^12,OFFSET(CRONOPLE!$F$14,$M685,AN$13))))</f>
        <v>1000000000000</v>
      </c>
      <c r="AO685" s="181">
        <f ca="1">IF($D685&lt;&gt;"Serviço",0,IF(AND(AUTOEVENTO="Manual",$M685=1),0,IF(OFFSET(CRONOPLE!$F$14,$M685,AO$13)="",10^12,OFFSET(CRONOPLE!$F$14,$M685,AO$13))))</f>
        <v>1000000000000</v>
      </c>
      <c r="AP685" s="181">
        <f ca="1">IF($D685&lt;&gt;"Serviço",0,IF(AND(AUTOEVENTO="Manual",$M685=1),0,IF(OFFSET(CRONOPLE!$F$14,$M685,AP$13)="",10^12,OFFSET(CRONOPLE!$F$14,$M685,AP$13))))</f>
        <v>1000000000000</v>
      </c>
      <c r="AQ685" s="181">
        <f ca="1">IF($D685&lt;&gt;"Serviço",0,IF(AND(AUTOEVENTO="Manual",$M685=1),0,IF(OFFSET(CRONOPLE!$F$14,$M685,AQ$13)="",10^12,OFFSET(CRONOPLE!$F$14,$M685,AQ$13))))</f>
        <v>1000000000000</v>
      </c>
      <c r="AR685" s="181">
        <f ca="1">IF($D685&lt;&gt;"Serviço",0,IF(AND(AUTOEVENTO="Manual",$M685=1),0,IF(OFFSET(CRONOPLE!$F$14,$M685,AR$13)="",10^12,OFFSET(CRONOPLE!$F$14,$M685,AR$13))))</f>
        <v>1000000000000</v>
      </c>
      <c r="AS685" s="181">
        <f ca="1">IF($D685&lt;&gt;"Serviço",0,IF(AND(AUTOEVENTO="Manual",$M685=1),0,IF(OFFSET(CRONOPLE!$F$14,$M685,AS$13)="",10^12,OFFSET(CRONOPLE!$F$14,$M685,AS$13))))</f>
        <v>1000000000000</v>
      </c>
      <c r="AT685" s="181">
        <f ca="1">IF($D685&lt;&gt;"Serviço",0,IF(AND(AUTOEVENTO="Manual",$M685=1),0,IF(OFFSET(CRONOPLE!$F$14,$M685,AT$13)="",10^12,OFFSET(CRONOPLE!$F$14,$M685,AT$13))))</f>
        <v>1000000000000</v>
      </c>
      <c r="AU685" s="181">
        <f ca="1">IF($D685&lt;&gt;"Serviço",0,IF(AND(AUTOEVENTO="Manual",$M685=1),0,IF(OFFSET(CRONOPLE!$F$14,$M685,AU$13)="",10^12,OFFSET(CRONOPLE!$F$14,$M685,AU$13))))</f>
        <v>1000000000000</v>
      </c>
      <c r="AV685" s="181">
        <f ca="1">IF($D685&lt;&gt;"Serviço",0,IF(AND(AUTOEVENTO="Manual",$M685=1),0,IF(OFFSET(CRONOPLE!$F$14,$M685,AV$13)="",10^12,OFFSET(CRONOPLE!$F$14,$M685,AV$13))))</f>
        <v>1000000000000</v>
      </c>
      <c r="AX685" s="182">
        <f ca="1">IF($D685&lt;&gt;"Serviço",0,IF(OR(AND(AUTOEVENTO="Manual",$M685=1),$M685&gt;(ROW(PLE.lastrow)-ROW(PLE.firstrow))),0,IF(OFFSET(PLE!$G$14,$M685,AX$13)="",10^12,OFFSET(PLE!$G$14,$M685,AX$13))))</f>
        <v>1000000000000</v>
      </c>
      <c r="AY685" s="182">
        <f ca="1">IF($D685&lt;&gt;"Serviço",0,IF(OR(AND(AUTOEVENTO="Manual",$M685=1),$M685&gt;(ROW(PLE.lastrow)-ROW(PLE.firstrow))),0,IF(OFFSET(PLE!$G$14,$M685,AY$13)="",10^12,OFFSET(PLE!$G$14,$M685,AY$13))))</f>
        <v>1000000000000</v>
      </c>
      <c r="AZ685" s="182">
        <f ca="1">IF($D685&lt;&gt;"Serviço",0,IF(OR(AND(AUTOEVENTO="Manual",$M685=1),$M685&gt;(ROW(PLE.lastrow)-ROW(PLE.firstrow))),0,IF(OFFSET(PLE!$G$14,$M685,AZ$13)="",10^12,OFFSET(PLE!$G$14,$M685,AZ$13))))</f>
        <v>1000000000000</v>
      </c>
      <c r="BA685" s="182">
        <f ca="1">IF($D685&lt;&gt;"Serviço",0,IF(OR(AND(AUTOEVENTO="Manual",$M685=1),$M685&gt;(ROW(PLE.lastrow)-ROW(PLE.firstrow))),0,IF(OFFSET(PLE!$G$14,$M685,BA$13)="",10^12,OFFSET(PLE!$G$14,$M685,BA$13))))</f>
        <v>1000000000000</v>
      </c>
      <c r="BB685" s="182">
        <f ca="1">IF($D685&lt;&gt;"Serviço",0,IF(OR(AND(AUTOEVENTO="Manual",$M685=1),$M685&gt;(ROW(PLE.lastrow)-ROW(PLE.firstrow))),0,IF(OFFSET(PLE!$G$14,$M685,BB$13)="",10^12,OFFSET(PLE!$G$14,$M685,BB$13))))</f>
        <v>1000000000000</v>
      </c>
      <c r="BC685" s="182">
        <f ca="1">IF($D685&lt;&gt;"Serviço",0,IF(OR(AND(AUTOEVENTO="Manual",$M685=1),$M685&gt;(ROW(PLE.lastrow)-ROW(PLE.firstrow))),0,IF(OFFSET(PLE!$G$14,$M685,BC$13)="",10^12,OFFSET(PLE!$G$14,$M685,BC$13))))</f>
        <v>1000000000000</v>
      </c>
      <c r="BD685" s="182">
        <f ca="1">IF($D685&lt;&gt;"Serviço",0,IF(OR(AND(AUTOEVENTO="Manual",$M685=1),$M685&gt;(ROW(PLE.lastrow)-ROW(PLE.firstrow))),0,IF(OFFSET(PLE!$G$14,$M685,BD$13)="",10^12,OFFSET(PLE!$G$14,$M685,BD$13))))</f>
        <v>1000000000000</v>
      </c>
      <c r="BE685" s="182">
        <f ca="1">IF($D685&lt;&gt;"Serviço",0,IF(OR(AND(AUTOEVENTO="Manual",$M685=1),$M685&gt;(ROW(PLE.lastrow)-ROW(PLE.firstrow))),0,IF(OFFSET(PLE!$G$14,$M685,BE$13)="",10^12,OFFSET(PLE!$G$14,$M685,BE$13))))</f>
        <v>1000000000000</v>
      </c>
      <c r="BF685" s="182">
        <f ca="1">IF($D685&lt;&gt;"Serviço",0,IF(OR(AND(AUTOEVENTO="Manual",$M685=1),$M685&gt;(ROW(PLE.lastrow)-ROW(PLE.firstrow))),0,IF(OFFSET(PLE!$G$14,$M685,BF$13)="",10^12,OFFSET(PLE!$G$14,$M685,BF$13))))</f>
        <v>1000000000000</v>
      </c>
      <c r="BG685" s="182">
        <f ca="1">IF($D685&lt;&gt;"Serviço",0,IF(OR(AND(AUTOEVENTO="Manual",$M685=1),$M685&gt;(ROW(PLE.lastrow)-ROW(PLE.firstrow))),0,IF(OFFSET(PLE!$G$14,$M685,BG$13)="",10^12,OFFSET(PLE!$G$14,$M685,BG$13))))</f>
        <v>1000000000000</v>
      </c>
    </row>
    <row r="686" spans="1:59" ht="25.5" x14ac:dyDescent="0.2">
      <c r="A686" s="7" t="str">
        <f t="shared" ca="1" si="17"/>
        <v>667</v>
      </c>
      <c r="B686" s="7" t="str">
        <f ca="1">OFFSET(ORÇAMENTO!C$15,ROW(B686)-ROW(B$15),0)</f>
        <v>S</v>
      </c>
      <c r="C686" s="7" t="str">
        <f ca="1">OFFSET(ORÇAMENTO!L$15,ROW(C686)-ROW(C$15),0)</f>
        <v/>
      </c>
      <c r="D686" s="118" t="str">
        <f ca="1">OFFSET(ORÇAMENTO!N$15,ROW(D686)-ROW(D$15),0)</f>
        <v>Serviço</v>
      </c>
      <c r="E686" s="119" t="str">
        <f ca="1">OFFSET(ORÇAMENTO!O$15,ROW(E686)-ROW(E$15),0)</f>
        <v>-</v>
      </c>
      <c r="F686" s="172" t="str">
        <f ca="1">OFFSET(ORÇAMENTO!R$15,ROW(F686)-ROW(F$15),0)</f>
        <v>(abra o arquivo 'Referência 02-2025.xlsm)</v>
      </c>
      <c r="G686" s="173" t="str">
        <f ca="1">IF($D686&lt;&gt;"Serviço","",OFFSET(ORÇAMENTO!S$15,ROW(G686)-ROW(G$15),0))</f>
        <v>-</v>
      </c>
      <c r="H686" s="124">
        <f ca="1">IF($D686&lt;&gt;"Serviço",0,IF(ACOMPANHAMENTO="BM",ROUND(OFFSET(ORÇAMENTO!AJ$15,ROW(H686)-ROW(H$15),0),15-13*ORÇAMENTO!$AF$7),SUMPRODUCT(($Q$12:$AA$12&lt;&gt;"")*ROUND($Q686:$AA686,15-13*ORÇAMENTO!$AF$7))))</f>
        <v>53.79</v>
      </c>
      <c r="I686" s="561" t="s">
        <v>890</v>
      </c>
      <c r="K686" s="174"/>
      <c r="L686" s="175" t="s">
        <v>255</v>
      </c>
      <c r="M686" s="176">
        <f ca="1">IF($D686&lt;&gt;"Serviço","",IF(AUTOEVENTO="manual",$A686,IF(ISERROR(MATCH($A686,$A$15:OFFSET($A686,-1,0),0)),MAX($M$15:OFFSET(M686,-1,0))+1,INDEX($M$15:OFFSET(M686,-1,0),MATCH($A686,$A$15:OFFSET($A686,-1,0),0)))))</f>
        <v>24</v>
      </c>
      <c r="N686" s="177" t="str">
        <f ca="1">IF($D686&lt;&gt;"Serviço","",IF(AUTOEVENTO="Manual",IF($A686=0,"&lt;-- defina o número do agrupador",OFFSET(EVENTOS!$D$14,$A686,0)),OFFSET($F$15,$A686,0)))</f>
        <v>SERVIÇOS COMPLEMENTARES</v>
      </c>
      <c r="O686" s="178"/>
      <c r="Q686" s="178"/>
      <c r="R686" s="179"/>
      <c r="S686" s="179"/>
      <c r="T686" s="179"/>
      <c r="U686" s="179"/>
      <c r="V686" s="179"/>
      <c r="W686" s="179"/>
      <c r="X686" s="179"/>
      <c r="Y686" s="179"/>
      <c r="Z686" s="180"/>
      <c r="AB686" s="544">
        <f ca="1">IF(AND($D686="Serviço",AB$12&lt;&gt;0,$H686&gt;0,OR(AUTOEVENTO&lt;&gt;"manual",$M686&lt;&gt;1)),
IF(Import.TipoArredondamento&lt;&gt;"TransfereGOV",
ROUND(OFFSET($P686,0,AB$13),15-13*ORÇAMENTO!$AF$7)/$H686*OFFSET(ORÇAMENTO!$X$15,ROW(AB686)-ROW(AB$15),0),
ROUND(ROUND(OFFSET($P686,0,AB$13),15-13*ORÇAMENTO!$AF$7)*OFFSET(ORÇAMENTO!$W$15,ROW(AB686)-ROW(AB$15),0),15-13*ORÇAMENTO!$AF$11)),0)</f>
        <v>0</v>
      </c>
      <c r="AC686" s="545">
        <f ca="1">IF(AND($D686="Serviço",AC$12&lt;&gt;0,$H686&gt;0,OR(AUTOEVENTO&lt;&gt;"manual",$M686&lt;&gt;1)),
IF(Import.TipoArredondamento&lt;&gt;"TransfereGOV",
ROUND(OFFSET($P686,0,AC$13),15-13*ORÇAMENTO!$AF$7)/$H686*OFFSET(ORÇAMENTO!$X$15,ROW(AC686)-ROW(AC$15),0),
ROUND(ROUND(OFFSET($P686,0,AC$13),15-13*ORÇAMENTO!$AF$7)*OFFSET(ORÇAMENTO!$W$15,ROW(AC686)-ROW(AC$15),0),15-13*ORÇAMENTO!$AF$11)),0)</f>
        <v>0</v>
      </c>
      <c r="AD686" s="545">
        <f ca="1">IF(AND($D686="Serviço",AD$12&lt;&gt;0,$H686&gt;0,OR(AUTOEVENTO&lt;&gt;"manual",$M686&lt;&gt;1)),
IF(Import.TipoArredondamento&lt;&gt;"TransfereGOV",
ROUND(OFFSET($P686,0,AD$13),15-13*ORÇAMENTO!$AF$7)/$H686*OFFSET(ORÇAMENTO!$X$15,ROW(AD686)-ROW(AD$15),0),
ROUND(ROUND(OFFSET($P686,0,AD$13),15-13*ORÇAMENTO!$AF$7)*OFFSET(ORÇAMENTO!$W$15,ROW(AD686)-ROW(AD$15),0),15-13*ORÇAMENTO!$AF$11)),0)</f>
        <v>0</v>
      </c>
      <c r="AE686" s="545">
        <f ca="1">IF(AND($D686="Serviço",AE$12&lt;&gt;0,$H686&gt;0,OR(AUTOEVENTO&lt;&gt;"manual",$M686&lt;&gt;1)),
IF(Import.TipoArredondamento&lt;&gt;"TransfereGOV",
ROUND(OFFSET($P686,0,AE$13),15-13*ORÇAMENTO!$AF$7)/$H686*OFFSET(ORÇAMENTO!$X$15,ROW(AE686)-ROW(AE$15),0),
ROUND(ROUND(OFFSET($P686,0,AE$13),15-13*ORÇAMENTO!$AF$7)*OFFSET(ORÇAMENTO!$W$15,ROW(AE686)-ROW(AE$15),0),15-13*ORÇAMENTO!$AF$11)),0)</f>
        <v>0</v>
      </c>
      <c r="AF686" s="545">
        <f ca="1">IF(AND($D686="Serviço",AF$12&lt;&gt;0,$H686&gt;0,OR(AUTOEVENTO&lt;&gt;"manual",$M686&lt;&gt;1)),
IF(Import.TipoArredondamento&lt;&gt;"TransfereGOV",
ROUND(OFFSET($P686,0,AF$13),15-13*ORÇAMENTO!$AF$7)/$H686*OFFSET(ORÇAMENTO!$X$15,ROW(AF686)-ROW(AF$15),0),
ROUND(ROUND(OFFSET($P686,0,AF$13),15-13*ORÇAMENTO!$AF$7)*OFFSET(ORÇAMENTO!$W$15,ROW(AF686)-ROW(AF$15),0),15-13*ORÇAMENTO!$AF$11)),0)</f>
        <v>0</v>
      </c>
      <c r="AG686" s="545">
        <f ca="1">IF(AND($D686="Serviço",AG$12&lt;&gt;0,$H686&gt;0,OR(AUTOEVENTO&lt;&gt;"manual",$M686&lt;&gt;1)),
IF(Import.TipoArredondamento&lt;&gt;"TransfereGOV",
ROUND(OFFSET($P686,0,AG$13),15-13*ORÇAMENTO!$AF$7)/$H686*OFFSET(ORÇAMENTO!$X$15,ROW(AG686)-ROW(AG$15),0),
ROUND(ROUND(OFFSET($P686,0,AG$13),15-13*ORÇAMENTO!$AF$7)*OFFSET(ORÇAMENTO!$W$15,ROW(AG686)-ROW(AG$15),0),15-13*ORÇAMENTO!$AF$11)),0)</f>
        <v>0</v>
      </c>
      <c r="AH686" s="545">
        <f ca="1">IF(AND($D686="Serviço",AH$12&lt;&gt;0,$H686&gt;0,OR(AUTOEVENTO&lt;&gt;"manual",$M686&lt;&gt;1)),
IF(Import.TipoArredondamento&lt;&gt;"TransfereGOV",
ROUND(OFFSET($P686,0,AH$13),15-13*ORÇAMENTO!$AF$7)/$H686*OFFSET(ORÇAMENTO!$X$15,ROW(AH686)-ROW(AH$15),0),
ROUND(ROUND(OFFSET($P686,0,AH$13),15-13*ORÇAMENTO!$AF$7)*OFFSET(ORÇAMENTO!$W$15,ROW(AH686)-ROW(AH$15),0),15-13*ORÇAMENTO!$AF$11)),0)</f>
        <v>0</v>
      </c>
      <c r="AI686" s="545">
        <f ca="1">IF(AND($D686="Serviço",AI$12&lt;&gt;0,$H686&gt;0,OR(AUTOEVENTO&lt;&gt;"manual",$M686&lt;&gt;1)),
IF(Import.TipoArredondamento&lt;&gt;"TransfereGOV",
ROUND(OFFSET($P686,0,AI$13),15-13*ORÇAMENTO!$AF$7)/$H686*OFFSET(ORÇAMENTO!$X$15,ROW(AI686)-ROW(AI$15),0),
ROUND(ROUND(OFFSET($P686,0,AI$13),15-13*ORÇAMENTO!$AF$7)*OFFSET(ORÇAMENTO!$W$15,ROW(AI686)-ROW(AI$15),0),15-13*ORÇAMENTO!$AF$11)),0)</f>
        <v>0</v>
      </c>
      <c r="AJ686" s="545">
        <f ca="1">IF(AND($D686="Serviço",AJ$12&lt;&gt;0,$H686&gt;0,OR(AUTOEVENTO&lt;&gt;"manual",$M686&lt;&gt;1)),
IF(Import.TipoArredondamento&lt;&gt;"TransfereGOV",
ROUND(OFFSET($P686,0,AJ$13),15-13*ORÇAMENTO!$AF$7)/$H686*OFFSET(ORÇAMENTO!$X$15,ROW(AJ686)-ROW(AJ$15),0),
ROUND(ROUND(OFFSET($P686,0,AJ$13),15-13*ORÇAMENTO!$AF$7)*OFFSET(ORÇAMENTO!$W$15,ROW(AJ686)-ROW(AJ$15),0),15-13*ORÇAMENTO!$AF$11)),0)</f>
        <v>0</v>
      </c>
      <c r="AK686" s="546">
        <f ca="1">IF(AND($D686="Serviço",AK$12&lt;&gt;0,$H686&gt;0,OR(AUTOEVENTO&lt;&gt;"manual",$M686&lt;&gt;1)),
IF(Import.TipoArredondamento&lt;&gt;"TransfereGOV",
ROUND(OFFSET($P686,0,AK$13),15-13*ORÇAMENTO!$AF$7)/$H686*OFFSET(ORÇAMENTO!$X$15,ROW(AK686)-ROW(AK$15),0),
ROUND(ROUND(OFFSET($P686,0,AK$13),15-13*ORÇAMENTO!$AF$7)*OFFSET(ORÇAMENTO!$W$15,ROW(AK686)-ROW(AK$15),0),15-13*ORÇAMENTO!$AF$11)),0)</f>
        <v>0</v>
      </c>
      <c r="AM686" s="181">
        <f ca="1">IF($D686&lt;&gt;"Serviço",0,IF(AND(AUTOEVENTO="Manual",$M686=1),0,IF(OFFSET(CRONOPLE!$F$14,$M686,AM$13)="",10^12,OFFSET(CRONOPLE!$F$14,$M686,AM$13))))</f>
        <v>1000000000000</v>
      </c>
      <c r="AN686" s="181">
        <f ca="1">IF($D686&lt;&gt;"Serviço",0,IF(AND(AUTOEVENTO="Manual",$M686=1),0,IF(OFFSET(CRONOPLE!$F$14,$M686,AN$13)="",10^12,OFFSET(CRONOPLE!$F$14,$M686,AN$13))))</f>
        <v>1000000000000</v>
      </c>
      <c r="AO686" s="181">
        <f ca="1">IF($D686&lt;&gt;"Serviço",0,IF(AND(AUTOEVENTO="Manual",$M686=1),0,IF(OFFSET(CRONOPLE!$F$14,$M686,AO$13)="",10^12,OFFSET(CRONOPLE!$F$14,$M686,AO$13))))</f>
        <v>1000000000000</v>
      </c>
      <c r="AP686" s="181">
        <f ca="1">IF($D686&lt;&gt;"Serviço",0,IF(AND(AUTOEVENTO="Manual",$M686=1),0,IF(OFFSET(CRONOPLE!$F$14,$M686,AP$13)="",10^12,OFFSET(CRONOPLE!$F$14,$M686,AP$13))))</f>
        <v>1000000000000</v>
      </c>
      <c r="AQ686" s="181">
        <f ca="1">IF($D686&lt;&gt;"Serviço",0,IF(AND(AUTOEVENTO="Manual",$M686=1),0,IF(OFFSET(CRONOPLE!$F$14,$M686,AQ$13)="",10^12,OFFSET(CRONOPLE!$F$14,$M686,AQ$13))))</f>
        <v>1000000000000</v>
      </c>
      <c r="AR686" s="181">
        <f ca="1">IF($D686&lt;&gt;"Serviço",0,IF(AND(AUTOEVENTO="Manual",$M686=1),0,IF(OFFSET(CRONOPLE!$F$14,$M686,AR$13)="",10^12,OFFSET(CRONOPLE!$F$14,$M686,AR$13))))</f>
        <v>1000000000000</v>
      </c>
      <c r="AS686" s="181">
        <f ca="1">IF($D686&lt;&gt;"Serviço",0,IF(AND(AUTOEVENTO="Manual",$M686=1),0,IF(OFFSET(CRONOPLE!$F$14,$M686,AS$13)="",10^12,OFFSET(CRONOPLE!$F$14,$M686,AS$13))))</f>
        <v>1000000000000</v>
      </c>
      <c r="AT686" s="181">
        <f ca="1">IF($D686&lt;&gt;"Serviço",0,IF(AND(AUTOEVENTO="Manual",$M686=1),0,IF(OFFSET(CRONOPLE!$F$14,$M686,AT$13)="",10^12,OFFSET(CRONOPLE!$F$14,$M686,AT$13))))</f>
        <v>1000000000000</v>
      </c>
      <c r="AU686" s="181">
        <f ca="1">IF($D686&lt;&gt;"Serviço",0,IF(AND(AUTOEVENTO="Manual",$M686=1),0,IF(OFFSET(CRONOPLE!$F$14,$M686,AU$13)="",10^12,OFFSET(CRONOPLE!$F$14,$M686,AU$13))))</f>
        <v>1000000000000</v>
      </c>
      <c r="AV686" s="181">
        <f ca="1">IF($D686&lt;&gt;"Serviço",0,IF(AND(AUTOEVENTO="Manual",$M686=1),0,IF(OFFSET(CRONOPLE!$F$14,$M686,AV$13)="",10^12,OFFSET(CRONOPLE!$F$14,$M686,AV$13))))</f>
        <v>1000000000000</v>
      </c>
      <c r="AX686" s="182">
        <f ca="1">IF($D686&lt;&gt;"Serviço",0,IF(OR(AND(AUTOEVENTO="Manual",$M686=1),$M686&gt;(ROW(PLE.lastrow)-ROW(PLE.firstrow))),0,IF(OFFSET(PLE!$G$14,$M686,AX$13)="",10^12,OFFSET(PLE!$G$14,$M686,AX$13))))</f>
        <v>1000000000000</v>
      </c>
      <c r="AY686" s="182">
        <f ca="1">IF($D686&lt;&gt;"Serviço",0,IF(OR(AND(AUTOEVENTO="Manual",$M686=1),$M686&gt;(ROW(PLE.lastrow)-ROW(PLE.firstrow))),0,IF(OFFSET(PLE!$G$14,$M686,AY$13)="",10^12,OFFSET(PLE!$G$14,$M686,AY$13))))</f>
        <v>1000000000000</v>
      </c>
      <c r="AZ686" s="182">
        <f ca="1">IF($D686&lt;&gt;"Serviço",0,IF(OR(AND(AUTOEVENTO="Manual",$M686=1),$M686&gt;(ROW(PLE.lastrow)-ROW(PLE.firstrow))),0,IF(OFFSET(PLE!$G$14,$M686,AZ$13)="",10^12,OFFSET(PLE!$G$14,$M686,AZ$13))))</f>
        <v>1000000000000</v>
      </c>
      <c r="BA686" s="182">
        <f ca="1">IF($D686&lt;&gt;"Serviço",0,IF(OR(AND(AUTOEVENTO="Manual",$M686=1),$M686&gt;(ROW(PLE.lastrow)-ROW(PLE.firstrow))),0,IF(OFFSET(PLE!$G$14,$M686,BA$13)="",10^12,OFFSET(PLE!$G$14,$M686,BA$13))))</f>
        <v>1000000000000</v>
      </c>
      <c r="BB686" s="182">
        <f ca="1">IF($D686&lt;&gt;"Serviço",0,IF(OR(AND(AUTOEVENTO="Manual",$M686=1),$M686&gt;(ROW(PLE.lastrow)-ROW(PLE.firstrow))),0,IF(OFFSET(PLE!$G$14,$M686,BB$13)="",10^12,OFFSET(PLE!$G$14,$M686,BB$13))))</f>
        <v>1000000000000</v>
      </c>
      <c r="BC686" s="182">
        <f ca="1">IF($D686&lt;&gt;"Serviço",0,IF(OR(AND(AUTOEVENTO="Manual",$M686=1),$M686&gt;(ROW(PLE.lastrow)-ROW(PLE.firstrow))),0,IF(OFFSET(PLE!$G$14,$M686,BC$13)="",10^12,OFFSET(PLE!$G$14,$M686,BC$13))))</f>
        <v>1000000000000</v>
      </c>
      <c r="BD686" s="182">
        <f ca="1">IF($D686&lt;&gt;"Serviço",0,IF(OR(AND(AUTOEVENTO="Manual",$M686=1),$M686&gt;(ROW(PLE.lastrow)-ROW(PLE.firstrow))),0,IF(OFFSET(PLE!$G$14,$M686,BD$13)="",10^12,OFFSET(PLE!$G$14,$M686,BD$13))))</f>
        <v>1000000000000</v>
      </c>
      <c r="BE686" s="182">
        <f ca="1">IF($D686&lt;&gt;"Serviço",0,IF(OR(AND(AUTOEVENTO="Manual",$M686=1),$M686&gt;(ROW(PLE.lastrow)-ROW(PLE.firstrow))),0,IF(OFFSET(PLE!$G$14,$M686,BE$13)="",10^12,OFFSET(PLE!$G$14,$M686,BE$13))))</f>
        <v>1000000000000</v>
      </c>
      <c r="BF686" s="182">
        <f ca="1">IF($D686&lt;&gt;"Serviço",0,IF(OR(AND(AUTOEVENTO="Manual",$M686=1),$M686&gt;(ROW(PLE.lastrow)-ROW(PLE.firstrow))),0,IF(OFFSET(PLE!$G$14,$M686,BF$13)="",10^12,OFFSET(PLE!$G$14,$M686,BF$13))))</f>
        <v>1000000000000</v>
      </c>
      <c r="BG686" s="182">
        <f ca="1">IF($D686&lt;&gt;"Serviço",0,IF(OR(AND(AUTOEVENTO="Manual",$M686=1),$M686&gt;(ROW(PLE.lastrow)-ROW(PLE.firstrow))),0,IF(OFFSET(PLE!$G$14,$M686,BG$13)="",10^12,OFFSET(PLE!$G$14,$M686,BG$13))))</f>
        <v>1000000000000</v>
      </c>
    </row>
    <row r="687" spans="1:59" ht="25.5" x14ac:dyDescent="0.2">
      <c r="A687" s="7" t="str">
        <f t="shared" ca="1" si="17"/>
        <v>667</v>
      </c>
      <c r="B687" s="7" t="str">
        <f ca="1">OFFSET(ORÇAMENTO!C$15,ROW(B687)-ROW(B$15),0)</f>
        <v>S</v>
      </c>
      <c r="C687" s="7" t="str">
        <f ca="1">OFFSET(ORÇAMENTO!L$15,ROW(C687)-ROW(C$15),0)</f>
        <v/>
      </c>
      <c r="D687" s="118" t="str">
        <f ca="1">OFFSET(ORÇAMENTO!N$15,ROW(D687)-ROW(D$15),0)</f>
        <v>Serviço</v>
      </c>
      <c r="E687" s="119" t="str">
        <f ca="1">OFFSET(ORÇAMENTO!O$15,ROW(E687)-ROW(E$15),0)</f>
        <v>-</v>
      </c>
      <c r="F687" s="172" t="str">
        <f ca="1">OFFSET(ORÇAMENTO!R$15,ROW(F687)-ROW(F$15),0)</f>
        <v>(abra o arquivo 'Referência 02-2025.xlsm)</v>
      </c>
      <c r="G687" s="173" t="str">
        <f ca="1">IF($D687&lt;&gt;"Serviço","",OFFSET(ORÇAMENTO!S$15,ROW(G687)-ROW(G$15),0))</f>
        <v>-</v>
      </c>
      <c r="H687" s="124">
        <f ca="1">IF($D687&lt;&gt;"Serviço",0,IF(ACOMPANHAMENTO="BM",ROUND(OFFSET(ORÇAMENTO!AJ$15,ROW(H687)-ROW(H$15),0),15-13*ORÇAMENTO!$AF$7),SUMPRODUCT(($Q$12:$AA$12&lt;&gt;"")*ROUND($Q687:$AA687,15-13*ORÇAMENTO!$AF$7))))</f>
        <v>96.67</v>
      </c>
      <c r="I687" s="561" t="s">
        <v>890</v>
      </c>
      <c r="K687" s="174"/>
      <c r="L687" s="175" t="s">
        <v>255</v>
      </c>
      <c r="M687" s="176">
        <f ca="1">IF($D687&lt;&gt;"Serviço","",IF(AUTOEVENTO="manual",$A687,IF(ISERROR(MATCH($A687,$A$15:OFFSET($A687,-1,0),0)),MAX($M$15:OFFSET(M687,-1,0))+1,INDEX($M$15:OFFSET(M687,-1,0),MATCH($A687,$A$15:OFFSET($A687,-1,0),0)))))</f>
        <v>24</v>
      </c>
      <c r="N687" s="177" t="str">
        <f ca="1">IF($D687&lt;&gt;"Serviço","",IF(AUTOEVENTO="Manual",IF($A687=0,"&lt;-- defina o número do agrupador",OFFSET(EVENTOS!$D$14,$A687,0)),OFFSET($F$15,$A687,0)))</f>
        <v>SERVIÇOS COMPLEMENTARES</v>
      </c>
      <c r="O687" s="178"/>
      <c r="Q687" s="178"/>
      <c r="R687" s="179"/>
      <c r="S687" s="179"/>
      <c r="T687" s="179"/>
      <c r="U687" s="179"/>
      <c r="V687" s="179"/>
      <c r="W687" s="179"/>
      <c r="X687" s="179"/>
      <c r="Y687" s="179"/>
      <c r="Z687" s="180"/>
      <c r="AB687" s="544">
        <f ca="1">IF(AND($D687="Serviço",AB$12&lt;&gt;0,$H687&gt;0,OR(AUTOEVENTO&lt;&gt;"manual",$M687&lt;&gt;1)),
IF(Import.TipoArredondamento&lt;&gt;"TransfereGOV",
ROUND(OFFSET($P687,0,AB$13),15-13*ORÇAMENTO!$AF$7)/$H687*OFFSET(ORÇAMENTO!$X$15,ROW(AB687)-ROW(AB$15),0),
ROUND(ROUND(OFFSET($P687,0,AB$13),15-13*ORÇAMENTO!$AF$7)*OFFSET(ORÇAMENTO!$W$15,ROW(AB687)-ROW(AB$15),0),15-13*ORÇAMENTO!$AF$11)),0)</f>
        <v>0</v>
      </c>
      <c r="AC687" s="545">
        <f ca="1">IF(AND($D687="Serviço",AC$12&lt;&gt;0,$H687&gt;0,OR(AUTOEVENTO&lt;&gt;"manual",$M687&lt;&gt;1)),
IF(Import.TipoArredondamento&lt;&gt;"TransfereGOV",
ROUND(OFFSET($P687,0,AC$13),15-13*ORÇAMENTO!$AF$7)/$H687*OFFSET(ORÇAMENTO!$X$15,ROW(AC687)-ROW(AC$15),0),
ROUND(ROUND(OFFSET($P687,0,AC$13),15-13*ORÇAMENTO!$AF$7)*OFFSET(ORÇAMENTO!$W$15,ROW(AC687)-ROW(AC$15),0),15-13*ORÇAMENTO!$AF$11)),0)</f>
        <v>0</v>
      </c>
      <c r="AD687" s="545">
        <f ca="1">IF(AND($D687="Serviço",AD$12&lt;&gt;0,$H687&gt;0,OR(AUTOEVENTO&lt;&gt;"manual",$M687&lt;&gt;1)),
IF(Import.TipoArredondamento&lt;&gt;"TransfereGOV",
ROUND(OFFSET($P687,0,AD$13),15-13*ORÇAMENTO!$AF$7)/$H687*OFFSET(ORÇAMENTO!$X$15,ROW(AD687)-ROW(AD$15),0),
ROUND(ROUND(OFFSET($P687,0,AD$13),15-13*ORÇAMENTO!$AF$7)*OFFSET(ORÇAMENTO!$W$15,ROW(AD687)-ROW(AD$15),0),15-13*ORÇAMENTO!$AF$11)),0)</f>
        <v>0</v>
      </c>
      <c r="AE687" s="545">
        <f ca="1">IF(AND($D687="Serviço",AE$12&lt;&gt;0,$H687&gt;0,OR(AUTOEVENTO&lt;&gt;"manual",$M687&lt;&gt;1)),
IF(Import.TipoArredondamento&lt;&gt;"TransfereGOV",
ROUND(OFFSET($P687,0,AE$13),15-13*ORÇAMENTO!$AF$7)/$H687*OFFSET(ORÇAMENTO!$X$15,ROW(AE687)-ROW(AE$15),0),
ROUND(ROUND(OFFSET($P687,0,AE$13),15-13*ORÇAMENTO!$AF$7)*OFFSET(ORÇAMENTO!$W$15,ROW(AE687)-ROW(AE$15),0),15-13*ORÇAMENTO!$AF$11)),0)</f>
        <v>0</v>
      </c>
      <c r="AF687" s="545">
        <f ca="1">IF(AND($D687="Serviço",AF$12&lt;&gt;0,$H687&gt;0,OR(AUTOEVENTO&lt;&gt;"manual",$M687&lt;&gt;1)),
IF(Import.TipoArredondamento&lt;&gt;"TransfereGOV",
ROUND(OFFSET($P687,0,AF$13),15-13*ORÇAMENTO!$AF$7)/$H687*OFFSET(ORÇAMENTO!$X$15,ROW(AF687)-ROW(AF$15),0),
ROUND(ROUND(OFFSET($P687,0,AF$13),15-13*ORÇAMENTO!$AF$7)*OFFSET(ORÇAMENTO!$W$15,ROW(AF687)-ROW(AF$15),0),15-13*ORÇAMENTO!$AF$11)),0)</f>
        <v>0</v>
      </c>
      <c r="AG687" s="545">
        <f ca="1">IF(AND($D687="Serviço",AG$12&lt;&gt;0,$H687&gt;0,OR(AUTOEVENTO&lt;&gt;"manual",$M687&lt;&gt;1)),
IF(Import.TipoArredondamento&lt;&gt;"TransfereGOV",
ROUND(OFFSET($P687,0,AG$13),15-13*ORÇAMENTO!$AF$7)/$H687*OFFSET(ORÇAMENTO!$X$15,ROW(AG687)-ROW(AG$15),0),
ROUND(ROUND(OFFSET($P687,0,AG$13),15-13*ORÇAMENTO!$AF$7)*OFFSET(ORÇAMENTO!$W$15,ROW(AG687)-ROW(AG$15),0),15-13*ORÇAMENTO!$AF$11)),0)</f>
        <v>0</v>
      </c>
      <c r="AH687" s="545">
        <f ca="1">IF(AND($D687="Serviço",AH$12&lt;&gt;0,$H687&gt;0,OR(AUTOEVENTO&lt;&gt;"manual",$M687&lt;&gt;1)),
IF(Import.TipoArredondamento&lt;&gt;"TransfereGOV",
ROUND(OFFSET($P687,0,AH$13),15-13*ORÇAMENTO!$AF$7)/$H687*OFFSET(ORÇAMENTO!$X$15,ROW(AH687)-ROW(AH$15),0),
ROUND(ROUND(OFFSET($P687,0,AH$13),15-13*ORÇAMENTO!$AF$7)*OFFSET(ORÇAMENTO!$W$15,ROW(AH687)-ROW(AH$15),0),15-13*ORÇAMENTO!$AF$11)),0)</f>
        <v>0</v>
      </c>
      <c r="AI687" s="545">
        <f ca="1">IF(AND($D687="Serviço",AI$12&lt;&gt;0,$H687&gt;0,OR(AUTOEVENTO&lt;&gt;"manual",$M687&lt;&gt;1)),
IF(Import.TipoArredondamento&lt;&gt;"TransfereGOV",
ROUND(OFFSET($P687,0,AI$13),15-13*ORÇAMENTO!$AF$7)/$H687*OFFSET(ORÇAMENTO!$X$15,ROW(AI687)-ROW(AI$15),0),
ROUND(ROUND(OFFSET($P687,0,AI$13),15-13*ORÇAMENTO!$AF$7)*OFFSET(ORÇAMENTO!$W$15,ROW(AI687)-ROW(AI$15),0),15-13*ORÇAMENTO!$AF$11)),0)</f>
        <v>0</v>
      </c>
      <c r="AJ687" s="545">
        <f ca="1">IF(AND($D687="Serviço",AJ$12&lt;&gt;0,$H687&gt;0,OR(AUTOEVENTO&lt;&gt;"manual",$M687&lt;&gt;1)),
IF(Import.TipoArredondamento&lt;&gt;"TransfereGOV",
ROUND(OFFSET($P687,0,AJ$13),15-13*ORÇAMENTO!$AF$7)/$H687*OFFSET(ORÇAMENTO!$X$15,ROW(AJ687)-ROW(AJ$15),0),
ROUND(ROUND(OFFSET($P687,0,AJ$13),15-13*ORÇAMENTO!$AF$7)*OFFSET(ORÇAMENTO!$W$15,ROW(AJ687)-ROW(AJ$15),0),15-13*ORÇAMENTO!$AF$11)),0)</f>
        <v>0</v>
      </c>
      <c r="AK687" s="546">
        <f ca="1">IF(AND($D687="Serviço",AK$12&lt;&gt;0,$H687&gt;0,OR(AUTOEVENTO&lt;&gt;"manual",$M687&lt;&gt;1)),
IF(Import.TipoArredondamento&lt;&gt;"TransfereGOV",
ROUND(OFFSET($P687,0,AK$13),15-13*ORÇAMENTO!$AF$7)/$H687*OFFSET(ORÇAMENTO!$X$15,ROW(AK687)-ROW(AK$15),0),
ROUND(ROUND(OFFSET($P687,0,AK$13),15-13*ORÇAMENTO!$AF$7)*OFFSET(ORÇAMENTO!$W$15,ROW(AK687)-ROW(AK$15),0),15-13*ORÇAMENTO!$AF$11)),0)</f>
        <v>0</v>
      </c>
      <c r="AM687" s="181">
        <f ca="1">IF($D687&lt;&gt;"Serviço",0,IF(AND(AUTOEVENTO="Manual",$M687=1),0,IF(OFFSET(CRONOPLE!$F$14,$M687,AM$13)="",10^12,OFFSET(CRONOPLE!$F$14,$M687,AM$13))))</f>
        <v>1000000000000</v>
      </c>
      <c r="AN687" s="181">
        <f ca="1">IF($D687&lt;&gt;"Serviço",0,IF(AND(AUTOEVENTO="Manual",$M687=1),0,IF(OFFSET(CRONOPLE!$F$14,$M687,AN$13)="",10^12,OFFSET(CRONOPLE!$F$14,$M687,AN$13))))</f>
        <v>1000000000000</v>
      </c>
      <c r="AO687" s="181">
        <f ca="1">IF($D687&lt;&gt;"Serviço",0,IF(AND(AUTOEVENTO="Manual",$M687=1),0,IF(OFFSET(CRONOPLE!$F$14,$M687,AO$13)="",10^12,OFFSET(CRONOPLE!$F$14,$M687,AO$13))))</f>
        <v>1000000000000</v>
      </c>
      <c r="AP687" s="181">
        <f ca="1">IF($D687&lt;&gt;"Serviço",0,IF(AND(AUTOEVENTO="Manual",$M687=1),0,IF(OFFSET(CRONOPLE!$F$14,$M687,AP$13)="",10^12,OFFSET(CRONOPLE!$F$14,$M687,AP$13))))</f>
        <v>1000000000000</v>
      </c>
      <c r="AQ687" s="181">
        <f ca="1">IF($D687&lt;&gt;"Serviço",0,IF(AND(AUTOEVENTO="Manual",$M687=1),0,IF(OFFSET(CRONOPLE!$F$14,$M687,AQ$13)="",10^12,OFFSET(CRONOPLE!$F$14,$M687,AQ$13))))</f>
        <v>1000000000000</v>
      </c>
      <c r="AR687" s="181">
        <f ca="1">IF($D687&lt;&gt;"Serviço",0,IF(AND(AUTOEVENTO="Manual",$M687=1),0,IF(OFFSET(CRONOPLE!$F$14,$M687,AR$13)="",10^12,OFFSET(CRONOPLE!$F$14,$M687,AR$13))))</f>
        <v>1000000000000</v>
      </c>
      <c r="AS687" s="181">
        <f ca="1">IF($D687&lt;&gt;"Serviço",0,IF(AND(AUTOEVENTO="Manual",$M687=1),0,IF(OFFSET(CRONOPLE!$F$14,$M687,AS$13)="",10^12,OFFSET(CRONOPLE!$F$14,$M687,AS$13))))</f>
        <v>1000000000000</v>
      </c>
      <c r="AT687" s="181">
        <f ca="1">IF($D687&lt;&gt;"Serviço",0,IF(AND(AUTOEVENTO="Manual",$M687=1),0,IF(OFFSET(CRONOPLE!$F$14,$M687,AT$13)="",10^12,OFFSET(CRONOPLE!$F$14,$M687,AT$13))))</f>
        <v>1000000000000</v>
      </c>
      <c r="AU687" s="181">
        <f ca="1">IF($D687&lt;&gt;"Serviço",0,IF(AND(AUTOEVENTO="Manual",$M687=1),0,IF(OFFSET(CRONOPLE!$F$14,$M687,AU$13)="",10^12,OFFSET(CRONOPLE!$F$14,$M687,AU$13))))</f>
        <v>1000000000000</v>
      </c>
      <c r="AV687" s="181">
        <f ca="1">IF($D687&lt;&gt;"Serviço",0,IF(AND(AUTOEVENTO="Manual",$M687=1),0,IF(OFFSET(CRONOPLE!$F$14,$M687,AV$13)="",10^12,OFFSET(CRONOPLE!$F$14,$M687,AV$13))))</f>
        <v>1000000000000</v>
      </c>
      <c r="AX687" s="182">
        <f ca="1">IF($D687&lt;&gt;"Serviço",0,IF(OR(AND(AUTOEVENTO="Manual",$M687=1),$M687&gt;(ROW(PLE.lastrow)-ROW(PLE.firstrow))),0,IF(OFFSET(PLE!$G$14,$M687,AX$13)="",10^12,OFFSET(PLE!$G$14,$M687,AX$13))))</f>
        <v>1000000000000</v>
      </c>
      <c r="AY687" s="182">
        <f ca="1">IF($D687&lt;&gt;"Serviço",0,IF(OR(AND(AUTOEVENTO="Manual",$M687=1),$M687&gt;(ROW(PLE.lastrow)-ROW(PLE.firstrow))),0,IF(OFFSET(PLE!$G$14,$M687,AY$13)="",10^12,OFFSET(PLE!$G$14,$M687,AY$13))))</f>
        <v>1000000000000</v>
      </c>
      <c r="AZ687" s="182">
        <f ca="1">IF($D687&lt;&gt;"Serviço",0,IF(OR(AND(AUTOEVENTO="Manual",$M687=1),$M687&gt;(ROW(PLE.lastrow)-ROW(PLE.firstrow))),0,IF(OFFSET(PLE!$G$14,$M687,AZ$13)="",10^12,OFFSET(PLE!$G$14,$M687,AZ$13))))</f>
        <v>1000000000000</v>
      </c>
      <c r="BA687" s="182">
        <f ca="1">IF($D687&lt;&gt;"Serviço",0,IF(OR(AND(AUTOEVENTO="Manual",$M687=1),$M687&gt;(ROW(PLE.lastrow)-ROW(PLE.firstrow))),0,IF(OFFSET(PLE!$G$14,$M687,BA$13)="",10^12,OFFSET(PLE!$G$14,$M687,BA$13))))</f>
        <v>1000000000000</v>
      </c>
      <c r="BB687" s="182">
        <f ca="1">IF($D687&lt;&gt;"Serviço",0,IF(OR(AND(AUTOEVENTO="Manual",$M687=1),$M687&gt;(ROW(PLE.lastrow)-ROW(PLE.firstrow))),0,IF(OFFSET(PLE!$G$14,$M687,BB$13)="",10^12,OFFSET(PLE!$G$14,$M687,BB$13))))</f>
        <v>1000000000000</v>
      </c>
      <c r="BC687" s="182">
        <f ca="1">IF($D687&lt;&gt;"Serviço",0,IF(OR(AND(AUTOEVENTO="Manual",$M687=1),$M687&gt;(ROW(PLE.lastrow)-ROW(PLE.firstrow))),0,IF(OFFSET(PLE!$G$14,$M687,BC$13)="",10^12,OFFSET(PLE!$G$14,$M687,BC$13))))</f>
        <v>1000000000000</v>
      </c>
      <c r="BD687" s="182">
        <f ca="1">IF($D687&lt;&gt;"Serviço",0,IF(OR(AND(AUTOEVENTO="Manual",$M687=1),$M687&gt;(ROW(PLE.lastrow)-ROW(PLE.firstrow))),0,IF(OFFSET(PLE!$G$14,$M687,BD$13)="",10^12,OFFSET(PLE!$G$14,$M687,BD$13))))</f>
        <v>1000000000000</v>
      </c>
      <c r="BE687" s="182">
        <f ca="1">IF($D687&lt;&gt;"Serviço",0,IF(OR(AND(AUTOEVENTO="Manual",$M687=1),$M687&gt;(ROW(PLE.lastrow)-ROW(PLE.firstrow))),0,IF(OFFSET(PLE!$G$14,$M687,BE$13)="",10^12,OFFSET(PLE!$G$14,$M687,BE$13))))</f>
        <v>1000000000000</v>
      </c>
      <c r="BF687" s="182">
        <f ca="1">IF($D687&lt;&gt;"Serviço",0,IF(OR(AND(AUTOEVENTO="Manual",$M687=1),$M687&gt;(ROW(PLE.lastrow)-ROW(PLE.firstrow))),0,IF(OFFSET(PLE!$G$14,$M687,BF$13)="",10^12,OFFSET(PLE!$G$14,$M687,BF$13))))</f>
        <v>1000000000000</v>
      </c>
      <c r="BG687" s="182">
        <f ca="1">IF($D687&lt;&gt;"Serviço",0,IF(OR(AND(AUTOEVENTO="Manual",$M687=1),$M687&gt;(ROW(PLE.lastrow)-ROW(PLE.firstrow))),0,IF(OFFSET(PLE!$G$14,$M687,BG$13)="",10^12,OFFSET(PLE!$G$14,$M687,BG$13))))</f>
        <v>1000000000000</v>
      </c>
    </row>
    <row r="688" spans="1:59" ht="25.5" x14ac:dyDescent="0.2">
      <c r="A688" s="7" t="str">
        <f t="shared" ca="1" si="17"/>
        <v>667</v>
      </c>
      <c r="B688" s="7" t="str">
        <f ca="1">OFFSET(ORÇAMENTO!C$15,ROW(B688)-ROW(B$15),0)</f>
        <v>S</v>
      </c>
      <c r="C688" s="7" t="str">
        <f ca="1">OFFSET(ORÇAMENTO!L$15,ROW(C688)-ROW(C$15),0)</f>
        <v/>
      </c>
      <c r="D688" s="118" t="str">
        <f ca="1">OFFSET(ORÇAMENTO!N$15,ROW(D688)-ROW(D$15),0)</f>
        <v>Serviço</v>
      </c>
      <c r="E688" s="119" t="str">
        <f ca="1">OFFSET(ORÇAMENTO!O$15,ROW(E688)-ROW(E$15),0)</f>
        <v>-</v>
      </c>
      <c r="F688" s="172" t="str">
        <f ca="1">OFFSET(ORÇAMENTO!R$15,ROW(F688)-ROW(F$15),0)</f>
        <v>(abra o arquivo 'Referência 02-2025.xlsm)</v>
      </c>
      <c r="G688" s="173" t="str">
        <f ca="1">IF($D688&lt;&gt;"Serviço","",OFFSET(ORÇAMENTO!S$15,ROW(G688)-ROW(G$15),0))</f>
        <v>-</v>
      </c>
      <c r="H688" s="124">
        <f ca="1">IF($D688&lt;&gt;"Serviço",0,IF(ACOMPANHAMENTO="BM",ROUND(OFFSET(ORÇAMENTO!AJ$15,ROW(H688)-ROW(H$15),0),15-13*ORÇAMENTO!$AF$7),SUMPRODUCT(($Q$12:$AA$12&lt;&gt;"")*ROUND($Q688:$AA688,15-13*ORÇAMENTO!$AF$7))))</f>
        <v>135.6</v>
      </c>
      <c r="I688" s="561" t="s">
        <v>890</v>
      </c>
      <c r="K688" s="174"/>
      <c r="L688" s="175" t="s">
        <v>255</v>
      </c>
      <c r="M688" s="176">
        <f ca="1">IF($D688&lt;&gt;"Serviço","",IF(AUTOEVENTO="manual",$A688,IF(ISERROR(MATCH($A688,$A$15:OFFSET($A688,-1,0),0)),MAX($M$15:OFFSET(M688,-1,0))+1,INDEX($M$15:OFFSET(M688,-1,0),MATCH($A688,$A$15:OFFSET($A688,-1,0),0)))))</f>
        <v>24</v>
      </c>
      <c r="N688" s="177" t="str">
        <f ca="1">IF($D688&lt;&gt;"Serviço","",IF(AUTOEVENTO="Manual",IF($A688=0,"&lt;-- defina o número do agrupador",OFFSET(EVENTOS!$D$14,$A688,0)),OFFSET($F$15,$A688,0)))</f>
        <v>SERVIÇOS COMPLEMENTARES</v>
      </c>
      <c r="O688" s="178"/>
      <c r="Q688" s="178"/>
      <c r="R688" s="179"/>
      <c r="S688" s="179"/>
      <c r="T688" s="179"/>
      <c r="U688" s="179"/>
      <c r="V688" s="179"/>
      <c r="W688" s="179"/>
      <c r="X688" s="179"/>
      <c r="Y688" s="179"/>
      <c r="Z688" s="180"/>
      <c r="AB688" s="544">
        <f ca="1">IF(AND($D688="Serviço",AB$12&lt;&gt;0,$H688&gt;0,OR(AUTOEVENTO&lt;&gt;"manual",$M688&lt;&gt;1)),
IF(Import.TipoArredondamento&lt;&gt;"TransfereGOV",
ROUND(OFFSET($P688,0,AB$13),15-13*ORÇAMENTO!$AF$7)/$H688*OFFSET(ORÇAMENTO!$X$15,ROW(AB688)-ROW(AB$15),0),
ROUND(ROUND(OFFSET($P688,0,AB$13),15-13*ORÇAMENTO!$AF$7)*OFFSET(ORÇAMENTO!$W$15,ROW(AB688)-ROW(AB$15),0),15-13*ORÇAMENTO!$AF$11)),0)</f>
        <v>0</v>
      </c>
      <c r="AC688" s="545">
        <f ca="1">IF(AND($D688="Serviço",AC$12&lt;&gt;0,$H688&gt;0,OR(AUTOEVENTO&lt;&gt;"manual",$M688&lt;&gt;1)),
IF(Import.TipoArredondamento&lt;&gt;"TransfereGOV",
ROUND(OFFSET($P688,0,AC$13),15-13*ORÇAMENTO!$AF$7)/$H688*OFFSET(ORÇAMENTO!$X$15,ROW(AC688)-ROW(AC$15),0),
ROUND(ROUND(OFFSET($P688,0,AC$13),15-13*ORÇAMENTO!$AF$7)*OFFSET(ORÇAMENTO!$W$15,ROW(AC688)-ROW(AC$15),0),15-13*ORÇAMENTO!$AF$11)),0)</f>
        <v>0</v>
      </c>
      <c r="AD688" s="545">
        <f ca="1">IF(AND($D688="Serviço",AD$12&lt;&gt;0,$H688&gt;0,OR(AUTOEVENTO&lt;&gt;"manual",$M688&lt;&gt;1)),
IF(Import.TipoArredondamento&lt;&gt;"TransfereGOV",
ROUND(OFFSET($P688,0,AD$13),15-13*ORÇAMENTO!$AF$7)/$H688*OFFSET(ORÇAMENTO!$X$15,ROW(AD688)-ROW(AD$15),0),
ROUND(ROUND(OFFSET($P688,0,AD$13),15-13*ORÇAMENTO!$AF$7)*OFFSET(ORÇAMENTO!$W$15,ROW(AD688)-ROW(AD$15),0),15-13*ORÇAMENTO!$AF$11)),0)</f>
        <v>0</v>
      </c>
      <c r="AE688" s="545">
        <f ca="1">IF(AND($D688="Serviço",AE$12&lt;&gt;0,$H688&gt;0,OR(AUTOEVENTO&lt;&gt;"manual",$M688&lt;&gt;1)),
IF(Import.TipoArredondamento&lt;&gt;"TransfereGOV",
ROUND(OFFSET($P688,0,AE$13),15-13*ORÇAMENTO!$AF$7)/$H688*OFFSET(ORÇAMENTO!$X$15,ROW(AE688)-ROW(AE$15),0),
ROUND(ROUND(OFFSET($P688,0,AE$13),15-13*ORÇAMENTO!$AF$7)*OFFSET(ORÇAMENTO!$W$15,ROW(AE688)-ROW(AE$15),0),15-13*ORÇAMENTO!$AF$11)),0)</f>
        <v>0</v>
      </c>
      <c r="AF688" s="545">
        <f ca="1">IF(AND($D688="Serviço",AF$12&lt;&gt;0,$H688&gt;0,OR(AUTOEVENTO&lt;&gt;"manual",$M688&lt;&gt;1)),
IF(Import.TipoArredondamento&lt;&gt;"TransfereGOV",
ROUND(OFFSET($P688,0,AF$13),15-13*ORÇAMENTO!$AF$7)/$H688*OFFSET(ORÇAMENTO!$X$15,ROW(AF688)-ROW(AF$15),0),
ROUND(ROUND(OFFSET($P688,0,AF$13),15-13*ORÇAMENTO!$AF$7)*OFFSET(ORÇAMENTO!$W$15,ROW(AF688)-ROW(AF$15),0),15-13*ORÇAMENTO!$AF$11)),0)</f>
        <v>0</v>
      </c>
      <c r="AG688" s="545">
        <f ca="1">IF(AND($D688="Serviço",AG$12&lt;&gt;0,$H688&gt;0,OR(AUTOEVENTO&lt;&gt;"manual",$M688&lt;&gt;1)),
IF(Import.TipoArredondamento&lt;&gt;"TransfereGOV",
ROUND(OFFSET($P688,0,AG$13),15-13*ORÇAMENTO!$AF$7)/$H688*OFFSET(ORÇAMENTO!$X$15,ROW(AG688)-ROW(AG$15),0),
ROUND(ROUND(OFFSET($P688,0,AG$13),15-13*ORÇAMENTO!$AF$7)*OFFSET(ORÇAMENTO!$W$15,ROW(AG688)-ROW(AG$15),0),15-13*ORÇAMENTO!$AF$11)),0)</f>
        <v>0</v>
      </c>
      <c r="AH688" s="545">
        <f ca="1">IF(AND($D688="Serviço",AH$12&lt;&gt;0,$H688&gt;0,OR(AUTOEVENTO&lt;&gt;"manual",$M688&lt;&gt;1)),
IF(Import.TipoArredondamento&lt;&gt;"TransfereGOV",
ROUND(OFFSET($P688,0,AH$13),15-13*ORÇAMENTO!$AF$7)/$H688*OFFSET(ORÇAMENTO!$X$15,ROW(AH688)-ROW(AH$15),0),
ROUND(ROUND(OFFSET($P688,0,AH$13),15-13*ORÇAMENTO!$AF$7)*OFFSET(ORÇAMENTO!$W$15,ROW(AH688)-ROW(AH$15),0),15-13*ORÇAMENTO!$AF$11)),0)</f>
        <v>0</v>
      </c>
      <c r="AI688" s="545">
        <f ca="1">IF(AND($D688="Serviço",AI$12&lt;&gt;0,$H688&gt;0,OR(AUTOEVENTO&lt;&gt;"manual",$M688&lt;&gt;1)),
IF(Import.TipoArredondamento&lt;&gt;"TransfereGOV",
ROUND(OFFSET($P688,0,AI$13),15-13*ORÇAMENTO!$AF$7)/$H688*OFFSET(ORÇAMENTO!$X$15,ROW(AI688)-ROW(AI$15),0),
ROUND(ROUND(OFFSET($P688,0,AI$13),15-13*ORÇAMENTO!$AF$7)*OFFSET(ORÇAMENTO!$W$15,ROW(AI688)-ROW(AI$15),0),15-13*ORÇAMENTO!$AF$11)),0)</f>
        <v>0</v>
      </c>
      <c r="AJ688" s="545">
        <f ca="1">IF(AND($D688="Serviço",AJ$12&lt;&gt;0,$H688&gt;0,OR(AUTOEVENTO&lt;&gt;"manual",$M688&lt;&gt;1)),
IF(Import.TipoArredondamento&lt;&gt;"TransfereGOV",
ROUND(OFFSET($P688,0,AJ$13),15-13*ORÇAMENTO!$AF$7)/$H688*OFFSET(ORÇAMENTO!$X$15,ROW(AJ688)-ROW(AJ$15),0),
ROUND(ROUND(OFFSET($P688,0,AJ$13),15-13*ORÇAMENTO!$AF$7)*OFFSET(ORÇAMENTO!$W$15,ROW(AJ688)-ROW(AJ$15),0),15-13*ORÇAMENTO!$AF$11)),0)</f>
        <v>0</v>
      </c>
      <c r="AK688" s="546">
        <f ca="1">IF(AND($D688="Serviço",AK$12&lt;&gt;0,$H688&gt;0,OR(AUTOEVENTO&lt;&gt;"manual",$M688&lt;&gt;1)),
IF(Import.TipoArredondamento&lt;&gt;"TransfereGOV",
ROUND(OFFSET($P688,0,AK$13),15-13*ORÇAMENTO!$AF$7)/$H688*OFFSET(ORÇAMENTO!$X$15,ROW(AK688)-ROW(AK$15),0),
ROUND(ROUND(OFFSET($P688,0,AK$13),15-13*ORÇAMENTO!$AF$7)*OFFSET(ORÇAMENTO!$W$15,ROW(AK688)-ROW(AK$15),0),15-13*ORÇAMENTO!$AF$11)),0)</f>
        <v>0</v>
      </c>
      <c r="AM688" s="181">
        <f ca="1">IF($D688&lt;&gt;"Serviço",0,IF(AND(AUTOEVENTO="Manual",$M688=1),0,IF(OFFSET(CRONOPLE!$F$14,$M688,AM$13)="",10^12,OFFSET(CRONOPLE!$F$14,$M688,AM$13))))</f>
        <v>1000000000000</v>
      </c>
      <c r="AN688" s="181">
        <f ca="1">IF($D688&lt;&gt;"Serviço",0,IF(AND(AUTOEVENTO="Manual",$M688=1),0,IF(OFFSET(CRONOPLE!$F$14,$M688,AN$13)="",10^12,OFFSET(CRONOPLE!$F$14,$M688,AN$13))))</f>
        <v>1000000000000</v>
      </c>
      <c r="AO688" s="181">
        <f ca="1">IF($D688&lt;&gt;"Serviço",0,IF(AND(AUTOEVENTO="Manual",$M688=1),0,IF(OFFSET(CRONOPLE!$F$14,$M688,AO$13)="",10^12,OFFSET(CRONOPLE!$F$14,$M688,AO$13))))</f>
        <v>1000000000000</v>
      </c>
      <c r="AP688" s="181">
        <f ca="1">IF($D688&lt;&gt;"Serviço",0,IF(AND(AUTOEVENTO="Manual",$M688=1),0,IF(OFFSET(CRONOPLE!$F$14,$M688,AP$13)="",10^12,OFFSET(CRONOPLE!$F$14,$M688,AP$13))))</f>
        <v>1000000000000</v>
      </c>
      <c r="AQ688" s="181">
        <f ca="1">IF($D688&lt;&gt;"Serviço",0,IF(AND(AUTOEVENTO="Manual",$M688=1),0,IF(OFFSET(CRONOPLE!$F$14,$M688,AQ$13)="",10^12,OFFSET(CRONOPLE!$F$14,$M688,AQ$13))))</f>
        <v>1000000000000</v>
      </c>
      <c r="AR688" s="181">
        <f ca="1">IF($D688&lt;&gt;"Serviço",0,IF(AND(AUTOEVENTO="Manual",$M688=1),0,IF(OFFSET(CRONOPLE!$F$14,$M688,AR$13)="",10^12,OFFSET(CRONOPLE!$F$14,$M688,AR$13))))</f>
        <v>1000000000000</v>
      </c>
      <c r="AS688" s="181">
        <f ca="1">IF($D688&lt;&gt;"Serviço",0,IF(AND(AUTOEVENTO="Manual",$M688=1),0,IF(OFFSET(CRONOPLE!$F$14,$M688,AS$13)="",10^12,OFFSET(CRONOPLE!$F$14,$M688,AS$13))))</f>
        <v>1000000000000</v>
      </c>
      <c r="AT688" s="181">
        <f ca="1">IF($D688&lt;&gt;"Serviço",0,IF(AND(AUTOEVENTO="Manual",$M688=1),0,IF(OFFSET(CRONOPLE!$F$14,$M688,AT$13)="",10^12,OFFSET(CRONOPLE!$F$14,$M688,AT$13))))</f>
        <v>1000000000000</v>
      </c>
      <c r="AU688" s="181">
        <f ca="1">IF($D688&lt;&gt;"Serviço",0,IF(AND(AUTOEVENTO="Manual",$M688=1),0,IF(OFFSET(CRONOPLE!$F$14,$M688,AU$13)="",10^12,OFFSET(CRONOPLE!$F$14,$M688,AU$13))))</f>
        <v>1000000000000</v>
      </c>
      <c r="AV688" s="181">
        <f ca="1">IF($D688&lt;&gt;"Serviço",0,IF(AND(AUTOEVENTO="Manual",$M688=1),0,IF(OFFSET(CRONOPLE!$F$14,$M688,AV$13)="",10^12,OFFSET(CRONOPLE!$F$14,$M688,AV$13))))</f>
        <v>1000000000000</v>
      </c>
      <c r="AX688" s="182">
        <f ca="1">IF($D688&lt;&gt;"Serviço",0,IF(OR(AND(AUTOEVENTO="Manual",$M688=1),$M688&gt;(ROW(PLE.lastrow)-ROW(PLE.firstrow))),0,IF(OFFSET(PLE!$G$14,$M688,AX$13)="",10^12,OFFSET(PLE!$G$14,$M688,AX$13))))</f>
        <v>1000000000000</v>
      </c>
      <c r="AY688" s="182">
        <f ca="1">IF($D688&lt;&gt;"Serviço",0,IF(OR(AND(AUTOEVENTO="Manual",$M688=1),$M688&gt;(ROW(PLE.lastrow)-ROW(PLE.firstrow))),0,IF(OFFSET(PLE!$G$14,$M688,AY$13)="",10^12,OFFSET(PLE!$G$14,$M688,AY$13))))</f>
        <v>1000000000000</v>
      </c>
      <c r="AZ688" s="182">
        <f ca="1">IF($D688&lt;&gt;"Serviço",0,IF(OR(AND(AUTOEVENTO="Manual",$M688=1),$M688&gt;(ROW(PLE.lastrow)-ROW(PLE.firstrow))),0,IF(OFFSET(PLE!$G$14,$M688,AZ$13)="",10^12,OFFSET(PLE!$G$14,$M688,AZ$13))))</f>
        <v>1000000000000</v>
      </c>
      <c r="BA688" s="182">
        <f ca="1">IF($D688&lt;&gt;"Serviço",0,IF(OR(AND(AUTOEVENTO="Manual",$M688=1),$M688&gt;(ROW(PLE.lastrow)-ROW(PLE.firstrow))),0,IF(OFFSET(PLE!$G$14,$M688,BA$13)="",10^12,OFFSET(PLE!$G$14,$M688,BA$13))))</f>
        <v>1000000000000</v>
      </c>
      <c r="BB688" s="182">
        <f ca="1">IF($D688&lt;&gt;"Serviço",0,IF(OR(AND(AUTOEVENTO="Manual",$M688=1),$M688&gt;(ROW(PLE.lastrow)-ROW(PLE.firstrow))),0,IF(OFFSET(PLE!$G$14,$M688,BB$13)="",10^12,OFFSET(PLE!$G$14,$M688,BB$13))))</f>
        <v>1000000000000</v>
      </c>
      <c r="BC688" s="182">
        <f ca="1">IF($D688&lt;&gt;"Serviço",0,IF(OR(AND(AUTOEVENTO="Manual",$M688=1),$M688&gt;(ROW(PLE.lastrow)-ROW(PLE.firstrow))),0,IF(OFFSET(PLE!$G$14,$M688,BC$13)="",10^12,OFFSET(PLE!$G$14,$M688,BC$13))))</f>
        <v>1000000000000</v>
      </c>
      <c r="BD688" s="182">
        <f ca="1">IF($D688&lt;&gt;"Serviço",0,IF(OR(AND(AUTOEVENTO="Manual",$M688=1),$M688&gt;(ROW(PLE.lastrow)-ROW(PLE.firstrow))),0,IF(OFFSET(PLE!$G$14,$M688,BD$13)="",10^12,OFFSET(PLE!$G$14,$M688,BD$13))))</f>
        <v>1000000000000</v>
      </c>
      <c r="BE688" s="182">
        <f ca="1">IF($D688&lt;&gt;"Serviço",0,IF(OR(AND(AUTOEVENTO="Manual",$M688=1),$M688&gt;(ROW(PLE.lastrow)-ROW(PLE.firstrow))),0,IF(OFFSET(PLE!$G$14,$M688,BE$13)="",10^12,OFFSET(PLE!$G$14,$M688,BE$13))))</f>
        <v>1000000000000</v>
      </c>
      <c r="BF688" s="182">
        <f ca="1">IF($D688&lt;&gt;"Serviço",0,IF(OR(AND(AUTOEVENTO="Manual",$M688=1),$M688&gt;(ROW(PLE.lastrow)-ROW(PLE.firstrow))),0,IF(OFFSET(PLE!$G$14,$M688,BF$13)="",10^12,OFFSET(PLE!$G$14,$M688,BF$13))))</f>
        <v>1000000000000</v>
      </c>
      <c r="BG688" s="182">
        <f ca="1">IF($D688&lt;&gt;"Serviço",0,IF(OR(AND(AUTOEVENTO="Manual",$M688=1),$M688&gt;(ROW(PLE.lastrow)-ROW(PLE.firstrow))),0,IF(OFFSET(PLE!$G$14,$M688,BG$13)="",10^12,OFFSET(PLE!$G$14,$M688,BG$13))))</f>
        <v>1000000000000</v>
      </c>
    </row>
    <row r="689" spans="1:59" ht="38.25" x14ac:dyDescent="0.2">
      <c r="A689" s="7" t="str">
        <f t="shared" ca="1" si="17"/>
        <v>667</v>
      </c>
      <c r="B689" s="7" t="str">
        <f ca="1">OFFSET(ORÇAMENTO!C$15,ROW(B689)-ROW(B$15),0)</f>
        <v>S</v>
      </c>
      <c r="C689" s="7" t="str">
        <f ca="1">OFFSET(ORÇAMENTO!L$15,ROW(C689)-ROW(C$15),0)</f>
        <v/>
      </c>
      <c r="D689" s="118" t="str">
        <f ca="1">OFFSET(ORÇAMENTO!N$15,ROW(D689)-ROW(D$15),0)</f>
        <v>Serviço</v>
      </c>
      <c r="E689" s="119" t="str">
        <f ca="1">OFFSET(ORÇAMENTO!O$15,ROW(E689)-ROW(E$15),0)</f>
        <v>-</v>
      </c>
      <c r="F689" s="172" t="str">
        <f ca="1">OFFSET(ORÇAMENTO!R$15,ROW(F689)-ROW(F$15),0)</f>
        <v>(abra o arquivo 'Referência 02-2025.xlsm)</v>
      </c>
      <c r="G689" s="173" t="str">
        <f ca="1">IF($D689&lt;&gt;"Serviço","",OFFSET(ORÇAMENTO!S$15,ROW(G689)-ROW(G$15),0))</f>
        <v>-</v>
      </c>
      <c r="H689" s="124">
        <f ca="1">IF($D689&lt;&gt;"Serviço",0,IF(ACOMPANHAMENTO="BM",ROUND(OFFSET(ORÇAMENTO!AJ$15,ROW(H689)-ROW(H$15),0),15-13*ORÇAMENTO!$AF$7),SUMPRODUCT(($Q$12:$AA$12&lt;&gt;"")*ROUND($Q689:$AA689,15-13*ORÇAMENTO!$AF$7))))</f>
        <v>8.4499999999999993</v>
      </c>
      <c r="I689" s="561" t="s">
        <v>890</v>
      </c>
      <c r="K689" s="174"/>
      <c r="L689" s="175" t="s">
        <v>255</v>
      </c>
      <c r="M689" s="176">
        <f ca="1">IF($D689&lt;&gt;"Serviço","",IF(AUTOEVENTO="manual",$A689,IF(ISERROR(MATCH($A689,$A$15:OFFSET($A689,-1,0),0)),MAX($M$15:OFFSET(M689,-1,0))+1,INDEX($M$15:OFFSET(M689,-1,0),MATCH($A689,$A$15:OFFSET($A689,-1,0),0)))))</f>
        <v>24</v>
      </c>
      <c r="N689" s="177" t="str">
        <f ca="1">IF($D689&lt;&gt;"Serviço","",IF(AUTOEVENTO="Manual",IF($A689=0,"&lt;-- defina o número do agrupador",OFFSET(EVENTOS!$D$14,$A689,0)),OFFSET($F$15,$A689,0)))</f>
        <v>SERVIÇOS COMPLEMENTARES</v>
      </c>
      <c r="O689" s="178"/>
      <c r="Q689" s="178"/>
      <c r="R689" s="179"/>
      <c r="S689" s="179"/>
      <c r="T689" s="179"/>
      <c r="U689" s="179"/>
      <c r="V689" s="179"/>
      <c r="W689" s="179"/>
      <c r="X689" s="179"/>
      <c r="Y689" s="179"/>
      <c r="Z689" s="180"/>
      <c r="AB689" s="544">
        <f ca="1">IF(AND($D689="Serviço",AB$12&lt;&gt;0,$H689&gt;0,OR(AUTOEVENTO&lt;&gt;"manual",$M689&lt;&gt;1)),
IF(Import.TipoArredondamento&lt;&gt;"TransfereGOV",
ROUND(OFFSET($P689,0,AB$13),15-13*ORÇAMENTO!$AF$7)/$H689*OFFSET(ORÇAMENTO!$X$15,ROW(AB689)-ROW(AB$15),0),
ROUND(ROUND(OFFSET($P689,0,AB$13),15-13*ORÇAMENTO!$AF$7)*OFFSET(ORÇAMENTO!$W$15,ROW(AB689)-ROW(AB$15),0),15-13*ORÇAMENTO!$AF$11)),0)</f>
        <v>0</v>
      </c>
      <c r="AC689" s="545">
        <f ca="1">IF(AND($D689="Serviço",AC$12&lt;&gt;0,$H689&gt;0,OR(AUTOEVENTO&lt;&gt;"manual",$M689&lt;&gt;1)),
IF(Import.TipoArredondamento&lt;&gt;"TransfereGOV",
ROUND(OFFSET($P689,0,AC$13),15-13*ORÇAMENTO!$AF$7)/$H689*OFFSET(ORÇAMENTO!$X$15,ROW(AC689)-ROW(AC$15),0),
ROUND(ROUND(OFFSET($P689,0,AC$13),15-13*ORÇAMENTO!$AF$7)*OFFSET(ORÇAMENTO!$W$15,ROW(AC689)-ROW(AC$15),0),15-13*ORÇAMENTO!$AF$11)),0)</f>
        <v>0</v>
      </c>
      <c r="AD689" s="545">
        <f ca="1">IF(AND($D689="Serviço",AD$12&lt;&gt;0,$H689&gt;0,OR(AUTOEVENTO&lt;&gt;"manual",$M689&lt;&gt;1)),
IF(Import.TipoArredondamento&lt;&gt;"TransfereGOV",
ROUND(OFFSET($P689,0,AD$13),15-13*ORÇAMENTO!$AF$7)/$H689*OFFSET(ORÇAMENTO!$X$15,ROW(AD689)-ROW(AD$15),0),
ROUND(ROUND(OFFSET($P689,0,AD$13),15-13*ORÇAMENTO!$AF$7)*OFFSET(ORÇAMENTO!$W$15,ROW(AD689)-ROW(AD$15),0),15-13*ORÇAMENTO!$AF$11)),0)</f>
        <v>0</v>
      </c>
      <c r="AE689" s="545">
        <f ca="1">IF(AND($D689="Serviço",AE$12&lt;&gt;0,$H689&gt;0,OR(AUTOEVENTO&lt;&gt;"manual",$M689&lt;&gt;1)),
IF(Import.TipoArredondamento&lt;&gt;"TransfereGOV",
ROUND(OFFSET($P689,0,AE$13),15-13*ORÇAMENTO!$AF$7)/$H689*OFFSET(ORÇAMENTO!$X$15,ROW(AE689)-ROW(AE$15),0),
ROUND(ROUND(OFFSET($P689,0,AE$13),15-13*ORÇAMENTO!$AF$7)*OFFSET(ORÇAMENTO!$W$15,ROW(AE689)-ROW(AE$15),0),15-13*ORÇAMENTO!$AF$11)),0)</f>
        <v>0</v>
      </c>
      <c r="AF689" s="545">
        <f ca="1">IF(AND($D689="Serviço",AF$12&lt;&gt;0,$H689&gt;0,OR(AUTOEVENTO&lt;&gt;"manual",$M689&lt;&gt;1)),
IF(Import.TipoArredondamento&lt;&gt;"TransfereGOV",
ROUND(OFFSET($P689,0,AF$13),15-13*ORÇAMENTO!$AF$7)/$H689*OFFSET(ORÇAMENTO!$X$15,ROW(AF689)-ROW(AF$15),0),
ROUND(ROUND(OFFSET($P689,0,AF$13),15-13*ORÇAMENTO!$AF$7)*OFFSET(ORÇAMENTO!$W$15,ROW(AF689)-ROW(AF$15),0),15-13*ORÇAMENTO!$AF$11)),0)</f>
        <v>0</v>
      </c>
      <c r="AG689" s="545">
        <f ca="1">IF(AND($D689="Serviço",AG$12&lt;&gt;0,$H689&gt;0,OR(AUTOEVENTO&lt;&gt;"manual",$M689&lt;&gt;1)),
IF(Import.TipoArredondamento&lt;&gt;"TransfereGOV",
ROUND(OFFSET($P689,0,AG$13),15-13*ORÇAMENTO!$AF$7)/$H689*OFFSET(ORÇAMENTO!$X$15,ROW(AG689)-ROW(AG$15),0),
ROUND(ROUND(OFFSET($P689,0,AG$13),15-13*ORÇAMENTO!$AF$7)*OFFSET(ORÇAMENTO!$W$15,ROW(AG689)-ROW(AG$15),0),15-13*ORÇAMENTO!$AF$11)),0)</f>
        <v>0</v>
      </c>
      <c r="AH689" s="545">
        <f ca="1">IF(AND($D689="Serviço",AH$12&lt;&gt;0,$H689&gt;0,OR(AUTOEVENTO&lt;&gt;"manual",$M689&lt;&gt;1)),
IF(Import.TipoArredondamento&lt;&gt;"TransfereGOV",
ROUND(OFFSET($P689,0,AH$13),15-13*ORÇAMENTO!$AF$7)/$H689*OFFSET(ORÇAMENTO!$X$15,ROW(AH689)-ROW(AH$15),0),
ROUND(ROUND(OFFSET($P689,0,AH$13),15-13*ORÇAMENTO!$AF$7)*OFFSET(ORÇAMENTO!$W$15,ROW(AH689)-ROW(AH$15),0),15-13*ORÇAMENTO!$AF$11)),0)</f>
        <v>0</v>
      </c>
      <c r="AI689" s="545">
        <f ca="1">IF(AND($D689="Serviço",AI$12&lt;&gt;0,$H689&gt;0,OR(AUTOEVENTO&lt;&gt;"manual",$M689&lt;&gt;1)),
IF(Import.TipoArredondamento&lt;&gt;"TransfereGOV",
ROUND(OFFSET($P689,0,AI$13),15-13*ORÇAMENTO!$AF$7)/$H689*OFFSET(ORÇAMENTO!$X$15,ROW(AI689)-ROW(AI$15),0),
ROUND(ROUND(OFFSET($P689,0,AI$13),15-13*ORÇAMENTO!$AF$7)*OFFSET(ORÇAMENTO!$W$15,ROW(AI689)-ROW(AI$15),0),15-13*ORÇAMENTO!$AF$11)),0)</f>
        <v>0</v>
      </c>
      <c r="AJ689" s="545">
        <f ca="1">IF(AND($D689="Serviço",AJ$12&lt;&gt;0,$H689&gt;0,OR(AUTOEVENTO&lt;&gt;"manual",$M689&lt;&gt;1)),
IF(Import.TipoArredondamento&lt;&gt;"TransfereGOV",
ROUND(OFFSET($P689,0,AJ$13),15-13*ORÇAMENTO!$AF$7)/$H689*OFFSET(ORÇAMENTO!$X$15,ROW(AJ689)-ROW(AJ$15),0),
ROUND(ROUND(OFFSET($P689,0,AJ$13),15-13*ORÇAMENTO!$AF$7)*OFFSET(ORÇAMENTO!$W$15,ROW(AJ689)-ROW(AJ$15),0),15-13*ORÇAMENTO!$AF$11)),0)</f>
        <v>0</v>
      </c>
      <c r="AK689" s="546">
        <f ca="1">IF(AND($D689="Serviço",AK$12&lt;&gt;0,$H689&gt;0,OR(AUTOEVENTO&lt;&gt;"manual",$M689&lt;&gt;1)),
IF(Import.TipoArredondamento&lt;&gt;"TransfereGOV",
ROUND(OFFSET($P689,0,AK$13),15-13*ORÇAMENTO!$AF$7)/$H689*OFFSET(ORÇAMENTO!$X$15,ROW(AK689)-ROW(AK$15),0),
ROUND(ROUND(OFFSET($P689,0,AK$13),15-13*ORÇAMENTO!$AF$7)*OFFSET(ORÇAMENTO!$W$15,ROW(AK689)-ROW(AK$15),0),15-13*ORÇAMENTO!$AF$11)),0)</f>
        <v>0</v>
      </c>
      <c r="AM689" s="181">
        <f ca="1">IF($D689&lt;&gt;"Serviço",0,IF(AND(AUTOEVENTO="Manual",$M689=1),0,IF(OFFSET(CRONOPLE!$F$14,$M689,AM$13)="",10^12,OFFSET(CRONOPLE!$F$14,$M689,AM$13))))</f>
        <v>1000000000000</v>
      </c>
      <c r="AN689" s="181">
        <f ca="1">IF($D689&lt;&gt;"Serviço",0,IF(AND(AUTOEVENTO="Manual",$M689=1),0,IF(OFFSET(CRONOPLE!$F$14,$M689,AN$13)="",10^12,OFFSET(CRONOPLE!$F$14,$M689,AN$13))))</f>
        <v>1000000000000</v>
      </c>
      <c r="AO689" s="181">
        <f ca="1">IF($D689&lt;&gt;"Serviço",0,IF(AND(AUTOEVENTO="Manual",$M689=1),0,IF(OFFSET(CRONOPLE!$F$14,$M689,AO$13)="",10^12,OFFSET(CRONOPLE!$F$14,$M689,AO$13))))</f>
        <v>1000000000000</v>
      </c>
      <c r="AP689" s="181">
        <f ca="1">IF($D689&lt;&gt;"Serviço",0,IF(AND(AUTOEVENTO="Manual",$M689=1),0,IF(OFFSET(CRONOPLE!$F$14,$M689,AP$13)="",10^12,OFFSET(CRONOPLE!$F$14,$M689,AP$13))))</f>
        <v>1000000000000</v>
      </c>
      <c r="AQ689" s="181">
        <f ca="1">IF($D689&lt;&gt;"Serviço",0,IF(AND(AUTOEVENTO="Manual",$M689=1),0,IF(OFFSET(CRONOPLE!$F$14,$M689,AQ$13)="",10^12,OFFSET(CRONOPLE!$F$14,$M689,AQ$13))))</f>
        <v>1000000000000</v>
      </c>
      <c r="AR689" s="181">
        <f ca="1">IF($D689&lt;&gt;"Serviço",0,IF(AND(AUTOEVENTO="Manual",$M689=1),0,IF(OFFSET(CRONOPLE!$F$14,$M689,AR$13)="",10^12,OFFSET(CRONOPLE!$F$14,$M689,AR$13))))</f>
        <v>1000000000000</v>
      </c>
      <c r="AS689" s="181">
        <f ca="1">IF($D689&lt;&gt;"Serviço",0,IF(AND(AUTOEVENTO="Manual",$M689=1),0,IF(OFFSET(CRONOPLE!$F$14,$M689,AS$13)="",10^12,OFFSET(CRONOPLE!$F$14,$M689,AS$13))))</f>
        <v>1000000000000</v>
      </c>
      <c r="AT689" s="181">
        <f ca="1">IF($D689&lt;&gt;"Serviço",0,IF(AND(AUTOEVENTO="Manual",$M689=1),0,IF(OFFSET(CRONOPLE!$F$14,$M689,AT$13)="",10^12,OFFSET(CRONOPLE!$F$14,$M689,AT$13))))</f>
        <v>1000000000000</v>
      </c>
      <c r="AU689" s="181">
        <f ca="1">IF($D689&lt;&gt;"Serviço",0,IF(AND(AUTOEVENTO="Manual",$M689=1),0,IF(OFFSET(CRONOPLE!$F$14,$M689,AU$13)="",10^12,OFFSET(CRONOPLE!$F$14,$M689,AU$13))))</f>
        <v>1000000000000</v>
      </c>
      <c r="AV689" s="181">
        <f ca="1">IF($D689&lt;&gt;"Serviço",0,IF(AND(AUTOEVENTO="Manual",$M689=1),0,IF(OFFSET(CRONOPLE!$F$14,$M689,AV$13)="",10^12,OFFSET(CRONOPLE!$F$14,$M689,AV$13))))</f>
        <v>1000000000000</v>
      </c>
      <c r="AX689" s="182">
        <f ca="1">IF($D689&lt;&gt;"Serviço",0,IF(OR(AND(AUTOEVENTO="Manual",$M689=1),$M689&gt;(ROW(PLE.lastrow)-ROW(PLE.firstrow))),0,IF(OFFSET(PLE!$G$14,$M689,AX$13)="",10^12,OFFSET(PLE!$G$14,$M689,AX$13))))</f>
        <v>1000000000000</v>
      </c>
      <c r="AY689" s="182">
        <f ca="1">IF($D689&lt;&gt;"Serviço",0,IF(OR(AND(AUTOEVENTO="Manual",$M689=1),$M689&gt;(ROW(PLE.lastrow)-ROW(PLE.firstrow))),0,IF(OFFSET(PLE!$G$14,$M689,AY$13)="",10^12,OFFSET(PLE!$G$14,$M689,AY$13))))</f>
        <v>1000000000000</v>
      </c>
      <c r="AZ689" s="182">
        <f ca="1">IF($D689&lt;&gt;"Serviço",0,IF(OR(AND(AUTOEVENTO="Manual",$M689=1),$M689&gt;(ROW(PLE.lastrow)-ROW(PLE.firstrow))),0,IF(OFFSET(PLE!$G$14,$M689,AZ$13)="",10^12,OFFSET(PLE!$G$14,$M689,AZ$13))))</f>
        <v>1000000000000</v>
      </c>
      <c r="BA689" s="182">
        <f ca="1">IF($D689&lt;&gt;"Serviço",0,IF(OR(AND(AUTOEVENTO="Manual",$M689=1),$M689&gt;(ROW(PLE.lastrow)-ROW(PLE.firstrow))),0,IF(OFFSET(PLE!$G$14,$M689,BA$13)="",10^12,OFFSET(PLE!$G$14,$M689,BA$13))))</f>
        <v>1000000000000</v>
      </c>
      <c r="BB689" s="182">
        <f ca="1">IF($D689&lt;&gt;"Serviço",0,IF(OR(AND(AUTOEVENTO="Manual",$M689=1),$M689&gt;(ROW(PLE.lastrow)-ROW(PLE.firstrow))),0,IF(OFFSET(PLE!$G$14,$M689,BB$13)="",10^12,OFFSET(PLE!$G$14,$M689,BB$13))))</f>
        <v>1000000000000</v>
      </c>
      <c r="BC689" s="182">
        <f ca="1">IF($D689&lt;&gt;"Serviço",0,IF(OR(AND(AUTOEVENTO="Manual",$M689=1),$M689&gt;(ROW(PLE.lastrow)-ROW(PLE.firstrow))),0,IF(OFFSET(PLE!$G$14,$M689,BC$13)="",10^12,OFFSET(PLE!$G$14,$M689,BC$13))))</f>
        <v>1000000000000</v>
      </c>
      <c r="BD689" s="182">
        <f ca="1">IF($D689&lt;&gt;"Serviço",0,IF(OR(AND(AUTOEVENTO="Manual",$M689=1),$M689&gt;(ROW(PLE.lastrow)-ROW(PLE.firstrow))),0,IF(OFFSET(PLE!$G$14,$M689,BD$13)="",10^12,OFFSET(PLE!$G$14,$M689,BD$13))))</f>
        <v>1000000000000</v>
      </c>
      <c r="BE689" s="182">
        <f ca="1">IF($D689&lt;&gt;"Serviço",0,IF(OR(AND(AUTOEVENTO="Manual",$M689=1),$M689&gt;(ROW(PLE.lastrow)-ROW(PLE.firstrow))),0,IF(OFFSET(PLE!$G$14,$M689,BE$13)="",10^12,OFFSET(PLE!$G$14,$M689,BE$13))))</f>
        <v>1000000000000</v>
      </c>
      <c r="BF689" s="182">
        <f ca="1">IF($D689&lt;&gt;"Serviço",0,IF(OR(AND(AUTOEVENTO="Manual",$M689=1),$M689&gt;(ROW(PLE.lastrow)-ROW(PLE.firstrow))),0,IF(OFFSET(PLE!$G$14,$M689,BF$13)="",10^12,OFFSET(PLE!$G$14,$M689,BF$13))))</f>
        <v>1000000000000</v>
      </c>
      <c r="BG689" s="182">
        <f ca="1">IF($D689&lt;&gt;"Serviço",0,IF(OR(AND(AUTOEVENTO="Manual",$M689=1),$M689&gt;(ROW(PLE.lastrow)-ROW(PLE.firstrow))),0,IF(OFFSET(PLE!$G$14,$M689,BG$13)="",10^12,OFFSET(PLE!$G$14,$M689,BG$13))))</f>
        <v>1000000000000</v>
      </c>
    </row>
    <row r="690" spans="1:59" ht="38.25" x14ac:dyDescent="0.2">
      <c r="A690" s="7" t="str">
        <f t="shared" ca="1" si="17"/>
        <v>667</v>
      </c>
      <c r="B690" s="7" t="str">
        <f ca="1">OFFSET(ORÇAMENTO!C$15,ROW(B690)-ROW(B$15),0)</f>
        <v>S</v>
      </c>
      <c r="C690" s="7" t="str">
        <f ca="1">OFFSET(ORÇAMENTO!L$15,ROW(C690)-ROW(C$15),0)</f>
        <v/>
      </c>
      <c r="D690" s="118" t="str">
        <f ca="1">OFFSET(ORÇAMENTO!N$15,ROW(D690)-ROW(D$15),0)</f>
        <v>Serviço</v>
      </c>
      <c r="E690" s="119" t="str">
        <f ca="1">OFFSET(ORÇAMENTO!O$15,ROW(E690)-ROW(E$15),0)</f>
        <v>-</v>
      </c>
      <c r="F690" s="172" t="str">
        <f ca="1">OFFSET(ORÇAMENTO!R$15,ROW(F690)-ROW(F$15),0)</f>
        <v>(abra o arquivo 'Referência 02-2025.xlsm)</v>
      </c>
      <c r="G690" s="173" t="str">
        <f ca="1">IF($D690&lt;&gt;"Serviço","",OFFSET(ORÇAMENTO!S$15,ROW(G690)-ROW(G$15),0))</f>
        <v>-</v>
      </c>
      <c r="H690" s="124">
        <f ca="1">IF($D690&lt;&gt;"Serviço",0,IF(ACOMPANHAMENTO="BM",ROUND(OFFSET(ORÇAMENTO!AJ$15,ROW(H690)-ROW(H$15),0),15-13*ORÇAMENTO!$AF$7),SUMPRODUCT(($Q$12:$AA$12&lt;&gt;"")*ROUND($Q690:$AA690,15-13*ORÇAMENTO!$AF$7))))</f>
        <v>301</v>
      </c>
      <c r="I690" s="561" t="s">
        <v>890</v>
      </c>
      <c r="K690" s="174"/>
      <c r="L690" s="175" t="s">
        <v>255</v>
      </c>
      <c r="M690" s="176">
        <f ca="1">IF($D690&lt;&gt;"Serviço","",IF(AUTOEVENTO="manual",$A690,IF(ISERROR(MATCH($A690,$A$15:OFFSET($A690,-1,0),0)),MAX($M$15:OFFSET(M690,-1,0))+1,INDEX($M$15:OFFSET(M690,-1,0),MATCH($A690,$A$15:OFFSET($A690,-1,0),0)))))</f>
        <v>24</v>
      </c>
      <c r="N690" s="177" t="str">
        <f ca="1">IF($D690&lt;&gt;"Serviço","",IF(AUTOEVENTO="Manual",IF($A690=0,"&lt;-- defina o número do agrupador",OFFSET(EVENTOS!$D$14,$A690,0)),OFFSET($F$15,$A690,0)))</f>
        <v>SERVIÇOS COMPLEMENTARES</v>
      </c>
      <c r="O690" s="178"/>
      <c r="Q690" s="178"/>
      <c r="R690" s="179"/>
      <c r="S690" s="179"/>
      <c r="T690" s="179"/>
      <c r="U690" s="179"/>
      <c r="V690" s="179"/>
      <c r="W690" s="179"/>
      <c r="X690" s="179"/>
      <c r="Y690" s="179"/>
      <c r="Z690" s="180"/>
      <c r="AB690" s="544">
        <f ca="1">IF(AND($D690="Serviço",AB$12&lt;&gt;0,$H690&gt;0,OR(AUTOEVENTO&lt;&gt;"manual",$M690&lt;&gt;1)),
IF(Import.TipoArredondamento&lt;&gt;"TransfereGOV",
ROUND(OFFSET($P690,0,AB$13),15-13*ORÇAMENTO!$AF$7)/$H690*OFFSET(ORÇAMENTO!$X$15,ROW(AB690)-ROW(AB$15),0),
ROUND(ROUND(OFFSET($P690,0,AB$13),15-13*ORÇAMENTO!$AF$7)*OFFSET(ORÇAMENTO!$W$15,ROW(AB690)-ROW(AB$15),0),15-13*ORÇAMENTO!$AF$11)),0)</f>
        <v>0</v>
      </c>
      <c r="AC690" s="545">
        <f ca="1">IF(AND($D690="Serviço",AC$12&lt;&gt;0,$H690&gt;0,OR(AUTOEVENTO&lt;&gt;"manual",$M690&lt;&gt;1)),
IF(Import.TipoArredondamento&lt;&gt;"TransfereGOV",
ROUND(OFFSET($P690,0,AC$13),15-13*ORÇAMENTO!$AF$7)/$H690*OFFSET(ORÇAMENTO!$X$15,ROW(AC690)-ROW(AC$15),0),
ROUND(ROUND(OFFSET($P690,0,AC$13),15-13*ORÇAMENTO!$AF$7)*OFFSET(ORÇAMENTO!$W$15,ROW(AC690)-ROW(AC$15),0),15-13*ORÇAMENTO!$AF$11)),0)</f>
        <v>0</v>
      </c>
      <c r="AD690" s="545">
        <f ca="1">IF(AND($D690="Serviço",AD$12&lt;&gt;0,$H690&gt;0,OR(AUTOEVENTO&lt;&gt;"manual",$M690&lt;&gt;1)),
IF(Import.TipoArredondamento&lt;&gt;"TransfereGOV",
ROUND(OFFSET($P690,0,AD$13),15-13*ORÇAMENTO!$AF$7)/$H690*OFFSET(ORÇAMENTO!$X$15,ROW(AD690)-ROW(AD$15),0),
ROUND(ROUND(OFFSET($P690,0,AD$13),15-13*ORÇAMENTO!$AF$7)*OFFSET(ORÇAMENTO!$W$15,ROW(AD690)-ROW(AD$15),0),15-13*ORÇAMENTO!$AF$11)),0)</f>
        <v>0</v>
      </c>
      <c r="AE690" s="545">
        <f ca="1">IF(AND($D690="Serviço",AE$12&lt;&gt;0,$H690&gt;0,OR(AUTOEVENTO&lt;&gt;"manual",$M690&lt;&gt;1)),
IF(Import.TipoArredondamento&lt;&gt;"TransfereGOV",
ROUND(OFFSET($P690,0,AE$13),15-13*ORÇAMENTO!$AF$7)/$H690*OFFSET(ORÇAMENTO!$X$15,ROW(AE690)-ROW(AE$15),0),
ROUND(ROUND(OFFSET($P690,0,AE$13),15-13*ORÇAMENTO!$AF$7)*OFFSET(ORÇAMENTO!$W$15,ROW(AE690)-ROW(AE$15),0),15-13*ORÇAMENTO!$AF$11)),0)</f>
        <v>0</v>
      </c>
      <c r="AF690" s="545">
        <f ca="1">IF(AND($D690="Serviço",AF$12&lt;&gt;0,$H690&gt;0,OR(AUTOEVENTO&lt;&gt;"manual",$M690&lt;&gt;1)),
IF(Import.TipoArredondamento&lt;&gt;"TransfereGOV",
ROUND(OFFSET($P690,0,AF$13),15-13*ORÇAMENTO!$AF$7)/$H690*OFFSET(ORÇAMENTO!$X$15,ROW(AF690)-ROW(AF$15),0),
ROUND(ROUND(OFFSET($P690,0,AF$13),15-13*ORÇAMENTO!$AF$7)*OFFSET(ORÇAMENTO!$W$15,ROW(AF690)-ROW(AF$15),0),15-13*ORÇAMENTO!$AF$11)),0)</f>
        <v>0</v>
      </c>
      <c r="AG690" s="545">
        <f ca="1">IF(AND($D690="Serviço",AG$12&lt;&gt;0,$H690&gt;0,OR(AUTOEVENTO&lt;&gt;"manual",$M690&lt;&gt;1)),
IF(Import.TipoArredondamento&lt;&gt;"TransfereGOV",
ROUND(OFFSET($P690,0,AG$13),15-13*ORÇAMENTO!$AF$7)/$H690*OFFSET(ORÇAMENTO!$X$15,ROW(AG690)-ROW(AG$15),0),
ROUND(ROUND(OFFSET($P690,0,AG$13),15-13*ORÇAMENTO!$AF$7)*OFFSET(ORÇAMENTO!$W$15,ROW(AG690)-ROW(AG$15),0),15-13*ORÇAMENTO!$AF$11)),0)</f>
        <v>0</v>
      </c>
      <c r="AH690" s="545">
        <f ca="1">IF(AND($D690="Serviço",AH$12&lt;&gt;0,$H690&gt;0,OR(AUTOEVENTO&lt;&gt;"manual",$M690&lt;&gt;1)),
IF(Import.TipoArredondamento&lt;&gt;"TransfereGOV",
ROUND(OFFSET($P690,0,AH$13),15-13*ORÇAMENTO!$AF$7)/$H690*OFFSET(ORÇAMENTO!$X$15,ROW(AH690)-ROW(AH$15),0),
ROUND(ROUND(OFFSET($P690,0,AH$13),15-13*ORÇAMENTO!$AF$7)*OFFSET(ORÇAMENTO!$W$15,ROW(AH690)-ROW(AH$15),0),15-13*ORÇAMENTO!$AF$11)),0)</f>
        <v>0</v>
      </c>
      <c r="AI690" s="545">
        <f ca="1">IF(AND($D690="Serviço",AI$12&lt;&gt;0,$H690&gt;0,OR(AUTOEVENTO&lt;&gt;"manual",$M690&lt;&gt;1)),
IF(Import.TipoArredondamento&lt;&gt;"TransfereGOV",
ROUND(OFFSET($P690,0,AI$13),15-13*ORÇAMENTO!$AF$7)/$H690*OFFSET(ORÇAMENTO!$X$15,ROW(AI690)-ROW(AI$15),0),
ROUND(ROUND(OFFSET($P690,0,AI$13),15-13*ORÇAMENTO!$AF$7)*OFFSET(ORÇAMENTO!$W$15,ROW(AI690)-ROW(AI$15),0),15-13*ORÇAMENTO!$AF$11)),0)</f>
        <v>0</v>
      </c>
      <c r="AJ690" s="545">
        <f ca="1">IF(AND($D690="Serviço",AJ$12&lt;&gt;0,$H690&gt;0,OR(AUTOEVENTO&lt;&gt;"manual",$M690&lt;&gt;1)),
IF(Import.TipoArredondamento&lt;&gt;"TransfereGOV",
ROUND(OFFSET($P690,0,AJ$13),15-13*ORÇAMENTO!$AF$7)/$H690*OFFSET(ORÇAMENTO!$X$15,ROW(AJ690)-ROW(AJ$15),0),
ROUND(ROUND(OFFSET($P690,0,AJ$13),15-13*ORÇAMENTO!$AF$7)*OFFSET(ORÇAMENTO!$W$15,ROW(AJ690)-ROW(AJ$15),0),15-13*ORÇAMENTO!$AF$11)),0)</f>
        <v>0</v>
      </c>
      <c r="AK690" s="546">
        <f ca="1">IF(AND($D690="Serviço",AK$12&lt;&gt;0,$H690&gt;0,OR(AUTOEVENTO&lt;&gt;"manual",$M690&lt;&gt;1)),
IF(Import.TipoArredondamento&lt;&gt;"TransfereGOV",
ROUND(OFFSET($P690,0,AK$13),15-13*ORÇAMENTO!$AF$7)/$H690*OFFSET(ORÇAMENTO!$X$15,ROW(AK690)-ROW(AK$15),0),
ROUND(ROUND(OFFSET($P690,0,AK$13),15-13*ORÇAMENTO!$AF$7)*OFFSET(ORÇAMENTO!$W$15,ROW(AK690)-ROW(AK$15),0),15-13*ORÇAMENTO!$AF$11)),0)</f>
        <v>0</v>
      </c>
      <c r="AM690" s="181">
        <f ca="1">IF($D690&lt;&gt;"Serviço",0,IF(AND(AUTOEVENTO="Manual",$M690=1),0,IF(OFFSET(CRONOPLE!$F$14,$M690,AM$13)="",10^12,OFFSET(CRONOPLE!$F$14,$M690,AM$13))))</f>
        <v>1000000000000</v>
      </c>
      <c r="AN690" s="181">
        <f ca="1">IF($D690&lt;&gt;"Serviço",0,IF(AND(AUTOEVENTO="Manual",$M690=1),0,IF(OFFSET(CRONOPLE!$F$14,$M690,AN$13)="",10^12,OFFSET(CRONOPLE!$F$14,$M690,AN$13))))</f>
        <v>1000000000000</v>
      </c>
      <c r="AO690" s="181">
        <f ca="1">IF($D690&lt;&gt;"Serviço",0,IF(AND(AUTOEVENTO="Manual",$M690=1),0,IF(OFFSET(CRONOPLE!$F$14,$M690,AO$13)="",10^12,OFFSET(CRONOPLE!$F$14,$M690,AO$13))))</f>
        <v>1000000000000</v>
      </c>
      <c r="AP690" s="181">
        <f ca="1">IF($D690&lt;&gt;"Serviço",0,IF(AND(AUTOEVENTO="Manual",$M690=1),0,IF(OFFSET(CRONOPLE!$F$14,$M690,AP$13)="",10^12,OFFSET(CRONOPLE!$F$14,$M690,AP$13))))</f>
        <v>1000000000000</v>
      </c>
      <c r="AQ690" s="181">
        <f ca="1">IF($D690&lt;&gt;"Serviço",0,IF(AND(AUTOEVENTO="Manual",$M690=1),0,IF(OFFSET(CRONOPLE!$F$14,$M690,AQ$13)="",10^12,OFFSET(CRONOPLE!$F$14,$M690,AQ$13))))</f>
        <v>1000000000000</v>
      </c>
      <c r="AR690" s="181">
        <f ca="1">IF($D690&lt;&gt;"Serviço",0,IF(AND(AUTOEVENTO="Manual",$M690=1),0,IF(OFFSET(CRONOPLE!$F$14,$M690,AR$13)="",10^12,OFFSET(CRONOPLE!$F$14,$M690,AR$13))))</f>
        <v>1000000000000</v>
      </c>
      <c r="AS690" s="181">
        <f ca="1">IF($D690&lt;&gt;"Serviço",0,IF(AND(AUTOEVENTO="Manual",$M690=1),0,IF(OFFSET(CRONOPLE!$F$14,$M690,AS$13)="",10^12,OFFSET(CRONOPLE!$F$14,$M690,AS$13))))</f>
        <v>1000000000000</v>
      </c>
      <c r="AT690" s="181">
        <f ca="1">IF($D690&lt;&gt;"Serviço",0,IF(AND(AUTOEVENTO="Manual",$M690=1),0,IF(OFFSET(CRONOPLE!$F$14,$M690,AT$13)="",10^12,OFFSET(CRONOPLE!$F$14,$M690,AT$13))))</f>
        <v>1000000000000</v>
      </c>
      <c r="AU690" s="181">
        <f ca="1">IF($D690&lt;&gt;"Serviço",0,IF(AND(AUTOEVENTO="Manual",$M690=1),0,IF(OFFSET(CRONOPLE!$F$14,$M690,AU$13)="",10^12,OFFSET(CRONOPLE!$F$14,$M690,AU$13))))</f>
        <v>1000000000000</v>
      </c>
      <c r="AV690" s="181">
        <f ca="1">IF($D690&lt;&gt;"Serviço",0,IF(AND(AUTOEVENTO="Manual",$M690=1),0,IF(OFFSET(CRONOPLE!$F$14,$M690,AV$13)="",10^12,OFFSET(CRONOPLE!$F$14,$M690,AV$13))))</f>
        <v>1000000000000</v>
      </c>
      <c r="AX690" s="182">
        <f ca="1">IF($D690&lt;&gt;"Serviço",0,IF(OR(AND(AUTOEVENTO="Manual",$M690=1),$M690&gt;(ROW(PLE.lastrow)-ROW(PLE.firstrow))),0,IF(OFFSET(PLE!$G$14,$M690,AX$13)="",10^12,OFFSET(PLE!$G$14,$M690,AX$13))))</f>
        <v>1000000000000</v>
      </c>
      <c r="AY690" s="182">
        <f ca="1">IF($D690&lt;&gt;"Serviço",0,IF(OR(AND(AUTOEVENTO="Manual",$M690=1),$M690&gt;(ROW(PLE.lastrow)-ROW(PLE.firstrow))),0,IF(OFFSET(PLE!$G$14,$M690,AY$13)="",10^12,OFFSET(PLE!$G$14,$M690,AY$13))))</f>
        <v>1000000000000</v>
      </c>
      <c r="AZ690" s="182">
        <f ca="1">IF($D690&lt;&gt;"Serviço",0,IF(OR(AND(AUTOEVENTO="Manual",$M690=1),$M690&gt;(ROW(PLE.lastrow)-ROW(PLE.firstrow))),0,IF(OFFSET(PLE!$G$14,$M690,AZ$13)="",10^12,OFFSET(PLE!$G$14,$M690,AZ$13))))</f>
        <v>1000000000000</v>
      </c>
      <c r="BA690" s="182">
        <f ca="1">IF($D690&lt;&gt;"Serviço",0,IF(OR(AND(AUTOEVENTO="Manual",$M690=1),$M690&gt;(ROW(PLE.lastrow)-ROW(PLE.firstrow))),0,IF(OFFSET(PLE!$G$14,$M690,BA$13)="",10^12,OFFSET(PLE!$G$14,$M690,BA$13))))</f>
        <v>1000000000000</v>
      </c>
      <c r="BB690" s="182">
        <f ca="1">IF($D690&lt;&gt;"Serviço",0,IF(OR(AND(AUTOEVENTO="Manual",$M690=1),$M690&gt;(ROW(PLE.lastrow)-ROW(PLE.firstrow))),0,IF(OFFSET(PLE!$G$14,$M690,BB$13)="",10^12,OFFSET(PLE!$G$14,$M690,BB$13))))</f>
        <v>1000000000000</v>
      </c>
      <c r="BC690" s="182">
        <f ca="1">IF($D690&lt;&gt;"Serviço",0,IF(OR(AND(AUTOEVENTO="Manual",$M690=1),$M690&gt;(ROW(PLE.lastrow)-ROW(PLE.firstrow))),0,IF(OFFSET(PLE!$G$14,$M690,BC$13)="",10^12,OFFSET(PLE!$G$14,$M690,BC$13))))</f>
        <v>1000000000000</v>
      </c>
      <c r="BD690" s="182">
        <f ca="1">IF($D690&lt;&gt;"Serviço",0,IF(OR(AND(AUTOEVENTO="Manual",$M690=1),$M690&gt;(ROW(PLE.lastrow)-ROW(PLE.firstrow))),0,IF(OFFSET(PLE!$G$14,$M690,BD$13)="",10^12,OFFSET(PLE!$G$14,$M690,BD$13))))</f>
        <v>1000000000000</v>
      </c>
      <c r="BE690" s="182">
        <f ca="1">IF($D690&lt;&gt;"Serviço",0,IF(OR(AND(AUTOEVENTO="Manual",$M690=1),$M690&gt;(ROW(PLE.lastrow)-ROW(PLE.firstrow))),0,IF(OFFSET(PLE!$G$14,$M690,BE$13)="",10^12,OFFSET(PLE!$G$14,$M690,BE$13))))</f>
        <v>1000000000000</v>
      </c>
      <c r="BF690" s="182">
        <f ca="1">IF($D690&lt;&gt;"Serviço",0,IF(OR(AND(AUTOEVENTO="Manual",$M690=1),$M690&gt;(ROW(PLE.lastrow)-ROW(PLE.firstrow))),0,IF(OFFSET(PLE!$G$14,$M690,BF$13)="",10^12,OFFSET(PLE!$G$14,$M690,BF$13))))</f>
        <v>1000000000000</v>
      </c>
      <c r="BG690" s="182">
        <f ca="1">IF($D690&lt;&gt;"Serviço",0,IF(OR(AND(AUTOEVENTO="Manual",$M690=1),$M690&gt;(ROW(PLE.lastrow)-ROW(PLE.firstrow))),0,IF(OFFSET(PLE!$G$14,$M690,BG$13)="",10^12,OFFSET(PLE!$G$14,$M690,BG$13))))</f>
        <v>1000000000000</v>
      </c>
    </row>
    <row r="691" spans="1:59" ht="25.5" x14ac:dyDescent="0.2">
      <c r="A691" s="7" t="str">
        <f t="shared" ca="1" si="17"/>
        <v>667</v>
      </c>
      <c r="B691" s="7" t="str">
        <f ca="1">OFFSET(ORÇAMENTO!C$15,ROW(B691)-ROW(B$15),0)</f>
        <v>S</v>
      </c>
      <c r="C691" s="7" t="str">
        <f ca="1">OFFSET(ORÇAMENTO!L$15,ROW(C691)-ROW(C$15),0)</f>
        <v/>
      </c>
      <c r="D691" s="118" t="str">
        <f ca="1">OFFSET(ORÇAMENTO!N$15,ROW(D691)-ROW(D$15),0)</f>
        <v>Serviço</v>
      </c>
      <c r="E691" s="119" t="str">
        <f ca="1">OFFSET(ORÇAMENTO!O$15,ROW(E691)-ROW(E$15),0)</f>
        <v>-</v>
      </c>
      <c r="F691" s="172" t="str">
        <f ca="1">OFFSET(ORÇAMENTO!R$15,ROW(F691)-ROW(F$15),0)</f>
        <v>(abra o arquivo 'Referência 02-2025.xlsm)</v>
      </c>
      <c r="G691" s="173" t="str">
        <f ca="1">IF($D691&lt;&gt;"Serviço","",OFFSET(ORÇAMENTO!S$15,ROW(G691)-ROW(G$15),0))</f>
        <v>-</v>
      </c>
      <c r="H691" s="124">
        <f ca="1">IF($D691&lt;&gt;"Serviço",0,IF(ACOMPANHAMENTO="BM",ROUND(OFFSET(ORÇAMENTO!AJ$15,ROW(H691)-ROW(H$15),0),15-13*ORÇAMENTO!$AF$7),SUMPRODUCT(($Q$12:$AA$12&lt;&gt;"")*ROUND($Q691:$AA691,15-13*ORÇAMENTO!$AF$7))))</f>
        <v>23.86</v>
      </c>
      <c r="I691" s="561" t="s">
        <v>890</v>
      </c>
      <c r="K691" s="174"/>
      <c r="L691" s="175" t="s">
        <v>255</v>
      </c>
      <c r="M691" s="176">
        <f ca="1">IF($D691&lt;&gt;"Serviço","",IF(AUTOEVENTO="manual",$A691,IF(ISERROR(MATCH($A691,$A$15:OFFSET($A691,-1,0),0)),MAX($M$15:OFFSET(M691,-1,0))+1,INDEX($M$15:OFFSET(M691,-1,0),MATCH($A691,$A$15:OFFSET($A691,-1,0),0)))))</f>
        <v>24</v>
      </c>
      <c r="N691" s="177" t="str">
        <f ca="1">IF($D691&lt;&gt;"Serviço","",IF(AUTOEVENTO="Manual",IF($A691=0,"&lt;-- defina o número do agrupador",OFFSET(EVENTOS!$D$14,$A691,0)),OFFSET($F$15,$A691,0)))</f>
        <v>SERVIÇOS COMPLEMENTARES</v>
      </c>
      <c r="O691" s="178"/>
      <c r="Q691" s="178"/>
      <c r="R691" s="179"/>
      <c r="S691" s="179"/>
      <c r="T691" s="179"/>
      <c r="U691" s="179"/>
      <c r="V691" s="179"/>
      <c r="W691" s="179"/>
      <c r="X691" s="179"/>
      <c r="Y691" s="179"/>
      <c r="Z691" s="180"/>
      <c r="AB691" s="544">
        <f ca="1">IF(AND($D691="Serviço",AB$12&lt;&gt;0,$H691&gt;0,OR(AUTOEVENTO&lt;&gt;"manual",$M691&lt;&gt;1)),
IF(Import.TipoArredondamento&lt;&gt;"TransfereGOV",
ROUND(OFFSET($P691,0,AB$13),15-13*ORÇAMENTO!$AF$7)/$H691*OFFSET(ORÇAMENTO!$X$15,ROW(AB691)-ROW(AB$15),0),
ROUND(ROUND(OFFSET($P691,0,AB$13),15-13*ORÇAMENTO!$AF$7)*OFFSET(ORÇAMENTO!$W$15,ROW(AB691)-ROW(AB$15),0),15-13*ORÇAMENTO!$AF$11)),0)</f>
        <v>0</v>
      </c>
      <c r="AC691" s="545">
        <f ca="1">IF(AND($D691="Serviço",AC$12&lt;&gt;0,$H691&gt;0,OR(AUTOEVENTO&lt;&gt;"manual",$M691&lt;&gt;1)),
IF(Import.TipoArredondamento&lt;&gt;"TransfereGOV",
ROUND(OFFSET($P691,0,AC$13),15-13*ORÇAMENTO!$AF$7)/$H691*OFFSET(ORÇAMENTO!$X$15,ROW(AC691)-ROW(AC$15),0),
ROUND(ROUND(OFFSET($P691,0,AC$13),15-13*ORÇAMENTO!$AF$7)*OFFSET(ORÇAMENTO!$W$15,ROW(AC691)-ROW(AC$15),0),15-13*ORÇAMENTO!$AF$11)),0)</f>
        <v>0</v>
      </c>
      <c r="AD691" s="545">
        <f ca="1">IF(AND($D691="Serviço",AD$12&lt;&gt;0,$H691&gt;0,OR(AUTOEVENTO&lt;&gt;"manual",$M691&lt;&gt;1)),
IF(Import.TipoArredondamento&lt;&gt;"TransfereGOV",
ROUND(OFFSET($P691,0,AD$13),15-13*ORÇAMENTO!$AF$7)/$H691*OFFSET(ORÇAMENTO!$X$15,ROW(AD691)-ROW(AD$15),0),
ROUND(ROUND(OFFSET($P691,0,AD$13),15-13*ORÇAMENTO!$AF$7)*OFFSET(ORÇAMENTO!$W$15,ROW(AD691)-ROW(AD$15),0),15-13*ORÇAMENTO!$AF$11)),0)</f>
        <v>0</v>
      </c>
      <c r="AE691" s="545">
        <f ca="1">IF(AND($D691="Serviço",AE$12&lt;&gt;0,$H691&gt;0,OR(AUTOEVENTO&lt;&gt;"manual",$M691&lt;&gt;1)),
IF(Import.TipoArredondamento&lt;&gt;"TransfereGOV",
ROUND(OFFSET($P691,0,AE$13),15-13*ORÇAMENTO!$AF$7)/$H691*OFFSET(ORÇAMENTO!$X$15,ROW(AE691)-ROW(AE$15),0),
ROUND(ROUND(OFFSET($P691,0,AE$13),15-13*ORÇAMENTO!$AF$7)*OFFSET(ORÇAMENTO!$W$15,ROW(AE691)-ROW(AE$15),0),15-13*ORÇAMENTO!$AF$11)),0)</f>
        <v>0</v>
      </c>
      <c r="AF691" s="545">
        <f ca="1">IF(AND($D691="Serviço",AF$12&lt;&gt;0,$H691&gt;0,OR(AUTOEVENTO&lt;&gt;"manual",$M691&lt;&gt;1)),
IF(Import.TipoArredondamento&lt;&gt;"TransfereGOV",
ROUND(OFFSET($P691,0,AF$13),15-13*ORÇAMENTO!$AF$7)/$H691*OFFSET(ORÇAMENTO!$X$15,ROW(AF691)-ROW(AF$15),0),
ROUND(ROUND(OFFSET($P691,0,AF$13),15-13*ORÇAMENTO!$AF$7)*OFFSET(ORÇAMENTO!$W$15,ROW(AF691)-ROW(AF$15),0),15-13*ORÇAMENTO!$AF$11)),0)</f>
        <v>0</v>
      </c>
      <c r="AG691" s="545">
        <f ca="1">IF(AND($D691="Serviço",AG$12&lt;&gt;0,$H691&gt;0,OR(AUTOEVENTO&lt;&gt;"manual",$M691&lt;&gt;1)),
IF(Import.TipoArredondamento&lt;&gt;"TransfereGOV",
ROUND(OFFSET($P691,0,AG$13),15-13*ORÇAMENTO!$AF$7)/$H691*OFFSET(ORÇAMENTO!$X$15,ROW(AG691)-ROW(AG$15),0),
ROUND(ROUND(OFFSET($P691,0,AG$13),15-13*ORÇAMENTO!$AF$7)*OFFSET(ORÇAMENTO!$W$15,ROW(AG691)-ROW(AG$15),0),15-13*ORÇAMENTO!$AF$11)),0)</f>
        <v>0</v>
      </c>
      <c r="AH691" s="545">
        <f ca="1">IF(AND($D691="Serviço",AH$12&lt;&gt;0,$H691&gt;0,OR(AUTOEVENTO&lt;&gt;"manual",$M691&lt;&gt;1)),
IF(Import.TipoArredondamento&lt;&gt;"TransfereGOV",
ROUND(OFFSET($P691,0,AH$13),15-13*ORÇAMENTO!$AF$7)/$H691*OFFSET(ORÇAMENTO!$X$15,ROW(AH691)-ROW(AH$15),0),
ROUND(ROUND(OFFSET($P691,0,AH$13),15-13*ORÇAMENTO!$AF$7)*OFFSET(ORÇAMENTO!$W$15,ROW(AH691)-ROW(AH$15),0),15-13*ORÇAMENTO!$AF$11)),0)</f>
        <v>0</v>
      </c>
      <c r="AI691" s="545">
        <f ca="1">IF(AND($D691="Serviço",AI$12&lt;&gt;0,$H691&gt;0,OR(AUTOEVENTO&lt;&gt;"manual",$M691&lt;&gt;1)),
IF(Import.TipoArredondamento&lt;&gt;"TransfereGOV",
ROUND(OFFSET($P691,0,AI$13),15-13*ORÇAMENTO!$AF$7)/$H691*OFFSET(ORÇAMENTO!$X$15,ROW(AI691)-ROW(AI$15),0),
ROUND(ROUND(OFFSET($P691,0,AI$13),15-13*ORÇAMENTO!$AF$7)*OFFSET(ORÇAMENTO!$W$15,ROW(AI691)-ROW(AI$15),0),15-13*ORÇAMENTO!$AF$11)),0)</f>
        <v>0</v>
      </c>
      <c r="AJ691" s="545">
        <f ca="1">IF(AND($D691="Serviço",AJ$12&lt;&gt;0,$H691&gt;0,OR(AUTOEVENTO&lt;&gt;"manual",$M691&lt;&gt;1)),
IF(Import.TipoArredondamento&lt;&gt;"TransfereGOV",
ROUND(OFFSET($P691,0,AJ$13),15-13*ORÇAMENTO!$AF$7)/$H691*OFFSET(ORÇAMENTO!$X$15,ROW(AJ691)-ROW(AJ$15),0),
ROUND(ROUND(OFFSET($P691,0,AJ$13),15-13*ORÇAMENTO!$AF$7)*OFFSET(ORÇAMENTO!$W$15,ROW(AJ691)-ROW(AJ$15),0),15-13*ORÇAMENTO!$AF$11)),0)</f>
        <v>0</v>
      </c>
      <c r="AK691" s="546">
        <f ca="1">IF(AND($D691="Serviço",AK$12&lt;&gt;0,$H691&gt;0,OR(AUTOEVENTO&lt;&gt;"manual",$M691&lt;&gt;1)),
IF(Import.TipoArredondamento&lt;&gt;"TransfereGOV",
ROUND(OFFSET($P691,0,AK$13),15-13*ORÇAMENTO!$AF$7)/$H691*OFFSET(ORÇAMENTO!$X$15,ROW(AK691)-ROW(AK$15),0),
ROUND(ROUND(OFFSET($P691,0,AK$13),15-13*ORÇAMENTO!$AF$7)*OFFSET(ORÇAMENTO!$W$15,ROW(AK691)-ROW(AK$15),0),15-13*ORÇAMENTO!$AF$11)),0)</f>
        <v>0</v>
      </c>
      <c r="AM691" s="181">
        <f ca="1">IF($D691&lt;&gt;"Serviço",0,IF(AND(AUTOEVENTO="Manual",$M691=1),0,IF(OFFSET(CRONOPLE!$F$14,$M691,AM$13)="",10^12,OFFSET(CRONOPLE!$F$14,$M691,AM$13))))</f>
        <v>1000000000000</v>
      </c>
      <c r="AN691" s="181">
        <f ca="1">IF($D691&lt;&gt;"Serviço",0,IF(AND(AUTOEVENTO="Manual",$M691=1),0,IF(OFFSET(CRONOPLE!$F$14,$M691,AN$13)="",10^12,OFFSET(CRONOPLE!$F$14,$M691,AN$13))))</f>
        <v>1000000000000</v>
      </c>
      <c r="AO691" s="181">
        <f ca="1">IF($D691&lt;&gt;"Serviço",0,IF(AND(AUTOEVENTO="Manual",$M691=1),0,IF(OFFSET(CRONOPLE!$F$14,$M691,AO$13)="",10^12,OFFSET(CRONOPLE!$F$14,$M691,AO$13))))</f>
        <v>1000000000000</v>
      </c>
      <c r="AP691" s="181">
        <f ca="1">IF($D691&lt;&gt;"Serviço",0,IF(AND(AUTOEVENTO="Manual",$M691=1),0,IF(OFFSET(CRONOPLE!$F$14,$M691,AP$13)="",10^12,OFFSET(CRONOPLE!$F$14,$M691,AP$13))))</f>
        <v>1000000000000</v>
      </c>
      <c r="AQ691" s="181">
        <f ca="1">IF($D691&lt;&gt;"Serviço",0,IF(AND(AUTOEVENTO="Manual",$M691=1),0,IF(OFFSET(CRONOPLE!$F$14,$M691,AQ$13)="",10^12,OFFSET(CRONOPLE!$F$14,$M691,AQ$13))))</f>
        <v>1000000000000</v>
      </c>
      <c r="AR691" s="181">
        <f ca="1">IF($D691&lt;&gt;"Serviço",0,IF(AND(AUTOEVENTO="Manual",$M691=1),0,IF(OFFSET(CRONOPLE!$F$14,$M691,AR$13)="",10^12,OFFSET(CRONOPLE!$F$14,$M691,AR$13))))</f>
        <v>1000000000000</v>
      </c>
      <c r="AS691" s="181">
        <f ca="1">IF($D691&lt;&gt;"Serviço",0,IF(AND(AUTOEVENTO="Manual",$M691=1),0,IF(OFFSET(CRONOPLE!$F$14,$M691,AS$13)="",10^12,OFFSET(CRONOPLE!$F$14,$M691,AS$13))))</f>
        <v>1000000000000</v>
      </c>
      <c r="AT691" s="181">
        <f ca="1">IF($D691&lt;&gt;"Serviço",0,IF(AND(AUTOEVENTO="Manual",$M691=1),0,IF(OFFSET(CRONOPLE!$F$14,$M691,AT$13)="",10^12,OFFSET(CRONOPLE!$F$14,$M691,AT$13))))</f>
        <v>1000000000000</v>
      </c>
      <c r="AU691" s="181">
        <f ca="1">IF($D691&lt;&gt;"Serviço",0,IF(AND(AUTOEVENTO="Manual",$M691=1),0,IF(OFFSET(CRONOPLE!$F$14,$M691,AU$13)="",10^12,OFFSET(CRONOPLE!$F$14,$M691,AU$13))))</f>
        <v>1000000000000</v>
      </c>
      <c r="AV691" s="181">
        <f ca="1">IF($D691&lt;&gt;"Serviço",0,IF(AND(AUTOEVENTO="Manual",$M691=1),0,IF(OFFSET(CRONOPLE!$F$14,$M691,AV$13)="",10^12,OFFSET(CRONOPLE!$F$14,$M691,AV$13))))</f>
        <v>1000000000000</v>
      </c>
      <c r="AX691" s="182">
        <f ca="1">IF($D691&lt;&gt;"Serviço",0,IF(OR(AND(AUTOEVENTO="Manual",$M691=1),$M691&gt;(ROW(PLE.lastrow)-ROW(PLE.firstrow))),0,IF(OFFSET(PLE!$G$14,$M691,AX$13)="",10^12,OFFSET(PLE!$G$14,$M691,AX$13))))</f>
        <v>1000000000000</v>
      </c>
      <c r="AY691" s="182">
        <f ca="1">IF($D691&lt;&gt;"Serviço",0,IF(OR(AND(AUTOEVENTO="Manual",$M691=1),$M691&gt;(ROW(PLE.lastrow)-ROW(PLE.firstrow))),0,IF(OFFSET(PLE!$G$14,$M691,AY$13)="",10^12,OFFSET(PLE!$G$14,$M691,AY$13))))</f>
        <v>1000000000000</v>
      </c>
      <c r="AZ691" s="182">
        <f ca="1">IF($D691&lt;&gt;"Serviço",0,IF(OR(AND(AUTOEVENTO="Manual",$M691=1),$M691&gt;(ROW(PLE.lastrow)-ROW(PLE.firstrow))),0,IF(OFFSET(PLE!$G$14,$M691,AZ$13)="",10^12,OFFSET(PLE!$G$14,$M691,AZ$13))))</f>
        <v>1000000000000</v>
      </c>
      <c r="BA691" s="182">
        <f ca="1">IF($D691&lt;&gt;"Serviço",0,IF(OR(AND(AUTOEVENTO="Manual",$M691=1),$M691&gt;(ROW(PLE.lastrow)-ROW(PLE.firstrow))),0,IF(OFFSET(PLE!$G$14,$M691,BA$13)="",10^12,OFFSET(PLE!$G$14,$M691,BA$13))))</f>
        <v>1000000000000</v>
      </c>
      <c r="BB691" s="182">
        <f ca="1">IF($D691&lt;&gt;"Serviço",0,IF(OR(AND(AUTOEVENTO="Manual",$M691=1),$M691&gt;(ROW(PLE.lastrow)-ROW(PLE.firstrow))),0,IF(OFFSET(PLE!$G$14,$M691,BB$13)="",10^12,OFFSET(PLE!$G$14,$M691,BB$13))))</f>
        <v>1000000000000</v>
      </c>
      <c r="BC691" s="182">
        <f ca="1">IF($D691&lt;&gt;"Serviço",0,IF(OR(AND(AUTOEVENTO="Manual",$M691=1),$M691&gt;(ROW(PLE.lastrow)-ROW(PLE.firstrow))),0,IF(OFFSET(PLE!$G$14,$M691,BC$13)="",10^12,OFFSET(PLE!$G$14,$M691,BC$13))))</f>
        <v>1000000000000</v>
      </c>
      <c r="BD691" s="182">
        <f ca="1">IF($D691&lt;&gt;"Serviço",0,IF(OR(AND(AUTOEVENTO="Manual",$M691=1),$M691&gt;(ROW(PLE.lastrow)-ROW(PLE.firstrow))),0,IF(OFFSET(PLE!$G$14,$M691,BD$13)="",10^12,OFFSET(PLE!$G$14,$M691,BD$13))))</f>
        <v>1000000000000</v>
      </c>
      <c r="BE691" s="182">
        <f ca="1">IF($D691&lt;&gt;"Serviço",0,IF(OR(AND(AUTOEVENTO="Manual",$M691=1),$M691&gt;(ROW(PLE.lastrow)-ROW(PLE.firstrow))),0,IF(OFFSET(PLE!$G$14,$M691,BE$13)="",10^12,OFFSET(PLE!$G$14,$M691,BE$13))))</f>
        <v>1000000000000</v>
      </c>
      <c r="BF691" s="182">
        <f ca="1">IF($D691&lt;&gt;"Serviço",0,IF(OR(AND(AUTOEVENTO="Manual",$M691=1),$M691&gt;(ROW(PLE.lastrow)-ROW(PLE.firstrow))),0,IF(OFFSET(PLE!$G$14,$M691,BF$13)="",10^12,OFFSET(PLE!$G$14,$M691,BF$13))))</f>
        <v>1000000000000</v>
      </c>
      <c r="BG691" s="182">
        <f ca="1">IF($D691&lt;&gt;"Serviço",0,IF(OR(AND(AUTOEVENTO="Manual",$M691=1),$M691&gt;(ROW(PLE.lastrow)-ROW(PLE.firstrow))),0,IF(OFFSET(PLE!$G$14,$M691,BG$13)="",10^12,OFFSET(PLE!$G$14,$M691,BG$13))))</f>
        <v>1000000000000</v>
      </c>
    </row>
    <row r="692" spans="1:59" ht="12.75" x14ac:dyDescent="0.2">
      <c r="A692" s="7" t="str">
        <f t="shared" ca="1" si="17"/>
        <v>667</v>
      </c>
      <c r="B692" s="7" t="str">
        <f ca="1">OFFSET(ORÇAMENTO!C$15,ROW(B692)-ROW(B$15),0)</f>
        <v>S</v>
      </c>
      <c r="C692" s="7" t="str">
        <f ca="1">OFFSET(ORÇAMENTO!L$15,ROW(C692)-ROW(C$15),0)</f>
        <v/>
      </c>
      <c r="D692" s="118" t="str">
        <f ca="1">OFFSET(ORÇAMENTO!N$15,ROW(D692)-ROW(D$15),0)</f>
        <v>Serviço</v>
      </c>
      <c r="E692" s="119" t="str">
        <f ca="1">OFFSET(ORÇAMENTO!O$15,ROW(E692)-ROW(E$15),0)</f>
        <v>-</v>
      </c>
      <c r="F692" s="172" t="str">
        <f ca="1">OFFSET(ORÇAMENTO!R$15,ROW(F692)-ROW(F$15),0)</f>
        <v>(abra o arquivo 'Referência 02-2025.xlsm)</v>
      </c>
      <c r="G692" s="173" t="str">
        <f ca="1">IF($D692&lt;&gt;"Serviço","",OFFSET(ORÇAMENTO!S$15,ROW(G692)-ROW(G$15),0))</f>
        <v>-</v>
      </c>
      <c r="H692" s="124">
        <f ca="1">IF($D692&lt;&gt;"Serviço",0,IF(ACOMPANHAMENTO="BM",ROUND(OFFSET(ORÇAMENTO!AJ$15,ROW(H692)-ROW(H$15),0),15-13*ORÇAMENTO!$AF$7),SUMPRODUCT(($Q$12:$AA$12&lt;&gt;"")*ROUND($Q692:$AA692,15-13*ORÇAMENTO!$AF$7))))</f>
        <v>5.44</v>
      </c>
      <c r="I692" s="561" t="s">
        <v>890</v>
      </c>
      <c r="K692" s="174"/>
      <c r="L692" s="175" t="s">
        <v>255</v>
      </c>
      <c r="M692" s="176">
        <f ca="1">IF($D692&lt;&gt;"Serviço","",IF(AUTOEVENTO="manual",$A692,IF(ISERROR(MATCH($A692,$A$15:OFFSET($A692,-1,0),0)),MAX($M$15:OFFSET(M692,-1,0))+1,INDEX($M$15:OFFSET(M692,-1,0),MATCH($A692,$A$15:OFFSET($A692,-1,0),0)))))</f>
        <v>24</v>
      </c>
      <c r="N692" s="177" t="str">
        <f ca="1">IF($D692&lt;&gt;"Serviço","",IF(AUTOEVENTO="Manual",IF($A692=0,"&lt;-- defina o número do agrupador",OFFSET(EVENTOS!$D$14,$A692,0)),OFFSET($F$15,$A692,0)))</f>
        <v>SERVIÇOS COMPLEMENTARES</v>
      </c>
      <c r="O692" s="178"/>
      <c r="Q692" s="178"/>
      <c r="R692" s="179"/>
      <c r="S692" s="179"/>
      <c r="T692" s="179"/>
      <c r="U692" s="179"/>
      <c r="V692" s="179"/>
      <c r="W692" s="179"/>
      <c r="X692" s="179"/>
      <c r="Y692" s="179"/>
      <c r="Z692" s="180"/>
      <c r="AB692" s="544">
        <f ca="1">IF(AND($D692="Serviço",AB$12&lt;&gt;0,$H692&gt;0,OR(AUTOEVENTO&lt;&gt;"manual",$M692&lt;&gt;1)),
IF(Import.TipoArredondamento&lt;&gt;"TransfereGOV",
ROUND(OFFSET($P692,0,AB$13),15-13*ORÇAMENTO!$AF$7)/$H692*OFFSET(ORÇAMENTO!$X$15,ROW(AB692)-ROW(AB$15),0),
ROUND(ROUND(OFFSET($P692,0,AB$13),15-13*ORÇAMENTO!$AF$7)*OFFSET(ORÇAMENTO!$W$15,ROW(AB692)-ROW(AB$15),0),15-13*ORÇAMENTO!$AF$11)),0)</f>
        <v>0</v>
      </c>
      <c r="AC692" s="545">
        <f ca="1">IF(AND($D692="Serviço",AC$12&lt;&gt;0,$H692&gt;0,OR(AUTOEVENTO&lt;&gt;"manual",$M692&lt;&gt;1)),
IF(Import.TipoArredondamento&lt;&gt;"TransfereGOV",
ROUND(OFFSET($P692,0,AC$13),15-13*ORÇAMENTO!$AF$7)/$H692*OFFSET(ORÇAMENTO!$X$15,ROW(AC692)-ROW(AC$15),0),
ROUND(ROUND(OFFSET($P692,0,AC$13),15-13*ORÇAMENTO!$AF$7)*OFFSET(ORÇAMENTO!$W$15,ROW(AC692)-ROW(AC$15),0),15-13*ORÇAMENTO!$AF$11)),0)</f>
        <v>0</v>
      </c>
      <c r="AD692" s="545">
        <f ca="1">IF(AND($D692="Serviço",AD$12&lt;&gt;0,$H692&gt;0,OR(AUTOEVENTO&lt;&gt;"manual",$M692&lt;&gt;1)),
IF(Import.TipoArredondamento&lt;&gt;"TransfereGOV",
ROUND(OFFSET($P692,0,AD$13),15-13*ORÇAMENTO!$AF$7)/$H692*OFFSET(ORÇAMENTO!$X$15,ROW(AD692)-ROW(AD$15),0),
ROUND(ROUND(OFFSET($P692,0,AD$13),15-13*ORÇAMENTO!$AF$7)*OFFSET(ORÇAMENTO!$W$15,ROW(AD692)-ROW(AD$15),0),15-13*ORÇAMENTO!$AF$11)),0)</f>
        <v>0</v>
      </c>
      <c r="AE692" s="545">
        <f ca="1">IF(AND($D692="Serviço",AE$12&lt;&gt;0,$H692&gt;0,OR(AUTOEVENTO&lt;&gt;"manual",$M692&lt;&gt;1)),
IF(Import.TipoArredondamento&lt;&gt;"TransfereGOV",
ROUND(OFFSET($P692,0,AE$13),15-13*ORÇAMENTO!$AF$7)/$H692*OFFSET(ORÇAMENTO!$X$15,ROW(AE692)-ROW(AE$15),0),
ROUND(ROUND(OFFSET($P692,0,AE$13),15-13*ORÇAMENTO!$AF$7)*OFFSET(ORÇAMENTO!$W$15,ROW(AE692)-ROW(AE$15),0),15-13*ORÇAMENTO!$AF$11)),0)</f>
        <v>0</v>
      </c>
      <c r="AF692" s="545">
        <f ca="1">IF(AND($D692="Serviço",AF$12&lt;&gt;0,$H692&gt;0,OR(AUTOEVENTO&lt;&gt;"manual",$M692&lt;&gt;1)),
IF(Import.TipoArredondamento&lt;&gt;"TransfereGOV",
ROUND(OFFSET($P692,0,AF$13),15-13*ORÇAMENTO!$AF$7)/$H692*OFFSET(ORÇAMENTO!$X$15,ROW(AF692)-ROW(AF$15),0),
ROUND(ROUND(OFFSET($P692,0,AF$13),15-13*ORÇAMENTO!$AF$7)*OFFSET(ORÇAMENTO!$W$15,ROW(AF692)-ROW(AF$15),0),15-13*ORÇAMENTO!$AF$11)),0)</f>
        <v>0</v>
      </c>
      <c r="AG692" s="545">
        <f ca="1">IF(AND($D692="Serviço",AG$12&lt;&gt;0,$H692&gt;0,OR(AUTOEVENTO&lt;&gt;"manual",$M692&lt;&gt;1)),
IF(Import.TipoArredondamento&lt;&gt;"TransfereGOV",
ROUND(OFFSET($P692,0,AG$13),15-13*ORÇAMENTO!$AF$7)/$H692*OFFSET(ORÇAMENTO!$X$15,ROW(AG692)-ROW(AG$15),0),
ROUND(ROUND(OFFSET($P692,0,AG$13),15-13*ORÇAMENTO!$AF$7)*OFFSET(ORÇAMENTO!$W$15,ROW(AG692)-ROW(AG$15),0),15-13*ORÇAMENTO!$AF$11)),0)</f>
        <v>0</v>
      </c>
      <c r="AH692" s="545">
        <f ca="1">IF(AND($D692="Serviço",AH$12&lt;&gt;0,$H692&gt;0,OR(AUTOEVENTO&lt;&gt;"manual",$M692&lt;&gt;1)),
IF(Import.TipoArredondamento&lt;&gt;"TransfereGOV",
ROUND(OFFSET($P692,0,AH$13),15-13*ORÇAMENTO!$AF$7)/$H692*OFFSET(ORÇAMENTO!$X$15,ROW(AH692)-ROW(AH$15),0),
ROUND(ROUND(OFFSET($P692,0,AH$13),15-13*ORÇAMENTO!$AF$7)*OFFSET(ORÇAMENTO!$W$15,ROW(AH692)-ROW(AH$15),0),15-13*ORÇAMENTO!$AF$11)),0)</f>
        <v>0</v>
      </c>
      <c r="AI692" s="545">
        <f ca="1">IF(AND($D692="Serviço",AI$12&lt;&gt;0,$H692&gt;0,OR(AUTOEVENTO&lt;&gt;"manual",$M692&lt;&gt;1)),
IF(Import.TipoArredondamento&lt;&gt;"TransfereGOV",
ROUND(OFFSET($P692,0,AI$13),15-13*ORÇAMENTO!$AF$7)/$H692*OFFSET(ORÇAMENTO!$X$15,ROW(AI692)-ROW(AI$15),0),
ROUND(ROUND(OFFSET($P692,0,AI$13),15-13*ORÇAMENTO!$AF$7)*OFFSET(ORÇAMENTO!$W$15,ROW(AI692)-ROW(AI$15),0),15-13*ORÇAMENTO!$AF$11)),0)</f>
        <v>0</v>
      </c>
      <c r="AJ692" s="545">
        <f ca="1">IF(AND($D692="Serviço",AJ$12&lt;&gt;0,$H692&gt;0,OR(AUTOEVENTO&lt;&gt;"manual",$M692&lt;&gt;1)),
IF(Import.TipoArredondamento&lt;&gt;"TransfereGOV",
ROUND(OFFSET($P692,0,AJ$13),15-13*ORÇAMENTO!$AF$7)/$H692*OFFSET(ORÇAMENTO!$X$15,ROW(AJ692)-ROW(AJ$15),0),
ROUND(ROUND(OFFSET($P692,0,AJ$13),15-13*ORÇAMENTO!$AF$7)*OFFSET(ORÇAMENTO!$W$15,ROW(AJ692)-ROW(AJ$15),0),15-13*ORÇAMENTO!$AF$11)),0)</f>
        <v>0</v>
      </c>
      <c r="AK692" s="546">
        <f ca="1">IF(AND($D692="Serviço",AK$12&lt;&gt;0,$H692&gt;0,OR(AUTOEVENTO&lt;&gt;"manual",$M692&lt;&gt;1)),
IF(Import.TipoArredondamento&lt;&gt;"TransfereGOV",
ROUND(OFFSET($P692,0,AK$13),15-13*ORÇAMENTO!$AF$7)/$H692*OFFSET(ORÇAMENTO!$X$15,ROW(AK692)-ROW(AK$15),0),
ROUND(ROUND(OFFSET($P692,0,AK$13),15-13*ORÇAMENTO!$AF$7)*OFFSET(ORÇAMENTO!$W$15,ROW(AK692)-ROW(AK$15),0),15-13*ORÇAMENTO!$AF$11)),0)</f>
        <v>0</v>
      </c>
      <c r="AM692" s="181">
        <f ca="1">IF($D692&lt;&gt;"Serviço",0,IF(AND(AUTOEVENTO="Manual",$M692=1),0,IF(OFFSET(CRONOPLE!$F$14,$M692,AM$13)="",10^12,OFFSET(CRONOPLE!$F$14,$M692,AM$13))))</f>
        <v>1000000000000</v>
      </c>
      <c r="AN692" s="181">
        <f ca="1">IF($D692&lt;&gt;"Serviço",0,IF(AND(AUTOEVENTO="Manual",$M692=1),0,IF(OFFSET(CRONOPLE!$F$14,$M692,AN$13)="",10^12,OFFSET(CRONOPLE!$F$14,$M692,AN$13))))</f>
        <v>1000000000000</v>
      </c>
      <c r="AO692" s="181">
        <f ca="1">IF($D692&lt;&gt;"Serviço",0,IF(AND(AUTOEVENTO="Manual",$M692=1),0,IF(OFFSET(CRONOPLE!$F$14,$M692,AO$13)="",10^12,OFFSET(CRONOPLE!$F$14,$M692,AO$13))))</f>
        <v>1000000000000</v>
      </c>
      <c r="AP692" s="181">
        <f ca="1">IF($D692&lt;&gt;"Serviço",0,IF(AND(AUTOEVENTO="Manual",$M692=1),0,IF(OFFSET(CRONOPLE!$F$14,$M692,AP$13)="",10^12,OFFSET(CRONOPLE!$F$14,$M692,AP$13))))</f>
        <v>1000000000000</v>
      </c>
      <c r="AQ692" s="181">
        <f ca="1">IF($D692&lt;&gt;"Serviço",0,IF(AND(AUTOEVENTO="Manual",$M692=1),0,IF(OFFSET(CRONOPLE!$F$14,$M692,AQ$13)="",10^12,OFFSET(CRONOPLE!$F$14,$M692,AQ$13))))</f>
        <v>1000000000000</v>
      </c>
      <c r="AR692" s="181">
        <f ca="1">IF($D692&lt;&gt;"Serviço",0,IF(AND(AUTOEVENTO="Manual",$M692=1),0,IF(OFFSET(CRONOPLE!$F$14,$M692,AR$13)="",10^12,OFFSET(CRONOPLE!$F$14,$M692,AR$13))))</f>
        <v>1000000000000</v>
      </c>
      <c r="AS692" s="181">
        <f ca="1">IF($D692&lt;&gt;"Serviço",0,IF(AND(AUTOEVENTO="Manual",$M692=1),0,IF(OFFSET(CRONOPLE!$F$14,$M692,AS$13)="",10^12,OFFSET(CRONOPLE!$F$14,$M692,AS$13))))</f>
        <v>1000000000000</v>
      </c>
      <c r="AT692" s="181">
        <f ca="1">IF($D692&lt;&gt;"Serviço",0,IF(AND(AUTOEVENTO="Manual",$M692=1),0,IF(OFFSET(CRONOPLE!$F$14,$M692,AT$13)="",10^12,OFFSET(CRONOPLE!$F$14,$M692,AT$13))))</f>
        <v>1000000000000</v>
      </c>
      <c r="AU692" s="181">
        <f ca="1">IF($D692&lt;&gt;"Serviço",0,IF(AND(AUTOEVENTO="Manual",$M692=1),0,IF(OFFSET(CRONOPLE!$F$14,$M692,AU$13)="",10^12,OFFSET(CRONOPLE!$F$14,$M692,AU$13))))</f>
        <v>1000000000000</v>
      </c>
      <c r="AV692" s="181">
        <f ca="1">IF($D692&lt;&gt;"Serviço",0,IF(AND(AUTOEVENTO="Manual",$M692=1),0,IF(OFFSET(CRONOPLE!$F$14,$M692,AV$13)="",10^12,OFFSET(CRONOPLE!$F$14,$M692,AV$13))))</f>
        <v>1000000000000</v>
      </c>
      <c r="AX692" s="182">
        <f ca="1">IF($D692&lt;&gt;"Serviço",0,IF(OR(AND(AUTOEVENTO="Manual",$M692=1),$M692&gt;(ROW(PLE.lastrow)-ROW(PLE.firstrow))),0,IF(OFFSET(PLE!$G$14,$M692,AX$13)="",10^12,OFFSET(PLE!$G$14,$M692,AX$13))))</f>
        <v>1000000000000</v>
      </c>
      <c r="AY692" s="182">
        <f ca="1">IF($D692&lt;&gt;"Serviço",0,IF(OR(AND(AUTOEVENTO="Manual",$M692=1),$M692&gt;(ROW(PLE.lastrow)-ROW(PLE.firstrow))),0,IF(OFFSET(PLE!$G$14,$M692,AY$13)="",10^12,OFFSET(PLE!$G$14,$M692,AY$13))))</f>
        <v>1000000000000</v>
      </c>
      <c r="AZ692" s="182">
        <f ca="1">IF($D692&lt;&gt;"Serviço",0,IF(OR(AND(AUTOEVENTO="Manual",$M692=1),$M692&gt;(ROW(PLE.lastrow)-ROW(PLE.firstrow))),0,IF(OFFSET(PLE!$G$14,$M692,AZ$13)="",10^12,OFFSET(PLE!$G$14,$M692,AZ$13))))</f>
        <v>1000000000000</v>
      </c>
      <c r="BA692" s="182">
        <f ca="1">IF($D692&lt;&gt;"Serviço",0,IF(OR(AND(AUTOEVENTO="Manual",$M692=1),$M692&gt;(ROW(PLE.lastrow)-ROW(PLE.firstrow))),0,IF(OFFSET(PLE!$G$14,$M692,BA$13)="",10^12,OFFSET(PLE!$G$14,$M692,BA$13))))</f>
        <v>1000000000000</v>
      </c>
      <c r="BB692" s="182">
        <f ca="1">IF($D692&lt;&gt;"Serviço",0,IF(OR(AND(AUTOEVENTO="Manual",$M692=1),$M692&gt;(ROW(PLE.lastrow)-ROW(PLE.firstrow))),0,IF(OFFSET(PLE!$G$14,$M692,BB$13)="",10^12,OFFSET(PLE!$G$14,$M692,BB$13))))</f>
        <v>1000000000000</v>
      </c>
      <c r="BC692" s="182">
        <f ca="1">IF($D692&lt;&gt;"Serviço",0,IF(OR(AND(AUTOEVENTO="Manual",$M692=1),$M692&gt;(ROW(PLE.lastrow)-ROW(PLE.firstrow))),0,IF(OFFSET(PLE!$G$14,$M692,BC$13)="",10^12,OFFSET(PLE!$G$14,$M692,BC$13))))</f>
        <v>1000000000000</v>
      </c>
      <c r="BD692" s="182">
        <f ca="1">IF($D692&lt;&gt;"Serviço",0,IF(OR(AND(AUTOEVENTO="Manual",$M692=1),$M692&gt;(ROW(PLE.lastrow)-ROW(PLE.firstrow))),0,IF(OFFSET(PLE!$G$14,$M692,BD$13)="",10^12,OFFSET(PLE!$G$14,$M692,BD$13))))</f>
        <v>1000000000000</v>
      </c>
      <c r="BE692" s="182">
        <f ca="1">IF($D692&lt;&gt;"Serviço",0,IF(OR(AND(AUTOEVENTO="Manual",$M692=1),$M692&gt;(ROW(PLE.lastrow)-ROW(PLE.firstrow))),0,IF(OFFSET(PLE!$G$14,$M692,BE$13)="",10^12,OFFSET(PLE!$G$14,$M692,BE$13))))</f>
        <v>1000000000000</v>
      </c>
      <c r="BF692" s="182">
        <f ca="1">IF($D692&lt;&gt;"Serviço",0,IF(OR(AND(AUTOEVENTO="Manual",$M692=1),$M692&gt;(ROW(PLE.lastrow)-ROW(PLE.firstrow))),0,IF(OFFSET(PLE!$G$14,$M692,BF$13)="",10^12,OFFSET(PLE!$G$14,$M692,BF$13))))</f>
        <v>1000000000000</v>
      </c>
      <c r="BG692" s="182">
        <f ca="1">IF($D692&lt;&gt;"Serviço",0,IF(OR(AND(AUTOEVENTO="Manual",$M692=1),$M692&gt;(ROW(PLE.lastrow)-ROW(PLE.firstrow))),0,IF(OFFSET(PLE!$G$14,$M692,BG$13)="",10^12,OFFSET(PLE!$G$14,$M692,BG$13))))</f>
        <v>1000000000000</v>
      </c>
    </row>
    <row r="693" spans="1:59" ht="51" x14ac:dyDescent="0.2">
      <c r="A693" s="7" t="str">
        <f t="shared" ca="1" si="17"/>
        <v>667</v>
      </c>
      <c r="B693" s="7" t="str">
        <f ca="1">OFFSET(ORÇAMENTO!C$15,ROW(B693)-ROW(B$15),0)</f>
        <v>S</v>
      </c>
      <c r="C693" s="7" t="str">
        <f ca="1">OFFSET(ORÇAMENTO!L$15,ROW(C693)-ROW(C$15),0)</f>
        <v/>
      </c>
      <c r="D693" s="118" t="str">
        <f ca="1">OFFSET(ORÇAMENTO!N$15,ROW(D693)-ROW(D$15),0)</f>
        <v>Serviço</v>
      </c>
      <c r="E693" s="119" t="str">
        <f ca="1">OFFSET(ORÇAMENTO!O$15,ROW(E693)-ROW(E$15),0)</f>
        <v>-</v>
      </c>
      <c r="F693" s="172" t="str">
        <f ca="1">OFFSET(ORÇAMENTO!R$15,ROW(F693)-ROW(F$15),0)</f>
        <v>(abra o arquivo 'Referência 02-2025.xlsm)</v>
      </c>
      <c r="G693" s="173" t="str">
        <f ca="1">IF($D693&lt;&gt;"Serviço","",OFFSET(ORÇAMENTO!S$15,ROW(G693)-ROW(G$15),0))</f>
        <v>-</v>
      </c>
      <c r="H693" s="124">
        <f ca="1">IF($D693&lt;&gt;"Serviço",0,IF(ACOMPANHAMENTO="BM",ROUND(OFFSET(ORÇAMENTO!AJ$15,ROW(H693)-ROW(H$15),0),15-13*ORÇAMENTO!$AF$7),SUMPRODUCT(($Q$12:$AA$12&lt;&gt;"")*ROUND($Q693:$AA693,15-13*ORÇAMENTO!$AF$7))))</f>
        <v>3.15</v>
      </c>
      <c r="I693" s="561" t="s">
        <v>890</v>
      </c>
      <c r="K693" s="174"/>
      <c r="L693" s="175" t="s">
        <v>255</v>
      </c>
      <c r="M693" s="176">
        <f ca="1">IF($D693&lt;&gt;"Serviço","",IF(AUTOEVENTO="manual",$A693,IF(ISERROR(MATCH($A693,$A$15:OFFSET($A693,-1,0),0)),MAX($M$15:OFFSET(M693,-1,0))+1,INDEX($M$15:OFFSET(M693,-1,0),MATCH($A693,$A$15:OFFSET($A693,-1,0),0)))))</f>
        <v>24</v>
      </c>
      <c r="N693" s="177" t="str">
        <f ca="1">IF($D693&lt;&gt;"Serviço","",IF(AUTOEVENTO="Manual",IF($A693=0,"&lt;-- defina o número do agrupador",OFFSET(EVENTOS!$D$14,$A693,0)),OFFSET($F$15,$A693,0)))</f>
        <v>SERVIÇOS COMPLEMENTARES</v>
      </c>
      <c r="O693" s="178"/>
      <c r="Q693" s="178"/>
      <c r="R693" s="179"/>
      <c r="S693" s="179"/>
      <c r="T693" s="179"/>
      <c r="U693" s="179"/>
      <c r="V693" s="179"/>
      <c r="W693" s="179"/>
      <c r="X693" s="179"/>
      <c r="Y693" s="179"/>
      <c r="Z693" s="180"/>
      <c r="AB693" s="544">
        <f ca="1">IF(AND($D693="Serviço",AB$12&lt;&gt;0,$H693&gt;0,OR(AUTOEVENTO&lt;&gt;"manual",$M693&lt;&gt;1)),
IF(Import.TipoArredondamento&lt;&gt;"TransfereGOV",
ROUND(OFFSET($P693,0,AB$13),15-13*ORÇAMENTO!$AF$7)/$H693*OFFSET(ORÇAMENTO!$X$15,ROW(AB693)-ROW(AB$15),0),
ROUND(ROUND(OFFSET($P693,0,AB$13),15-13*ORÇAMENTO!$AF$7)*OFFSET(ORÇAMENTO!$W$15,ROW(AB693)-ROW(AB$15),0),15-13*ORÇAMENTO!$AF$11)),0)</f>
        <v>0</v>
      </c>
      <c r="AC693" s="545">
        <f ca="1">IF(AND($D693="Serviço",AC$12&lt;&gt;0,$H693&gt;0,OR(AUTOEVENTO&lt;&gt;"manual",$M693&lt;&gt;1)),
IF(Import.TipoArredondamento&lt;&gt;"TransfereGOV",
ROUND(OFFSET($P693,0,AC$13),15-13*ORÇAMENTO!$AF$7)/$H693*OFFSET(ORÇAMENTO!$X$15,ROW(AC693)-ROW(AC$15),0),
ROUND(ROUND(OFFSET($P693,0,AC$13),15-13*ORÇAMENTO!$AF$7)*OFFSET(ORÇAMENTO!$W$15,ROW(AC693)-ROW(AC$15),0),15-13*ORÇAMENTO!$AF$11)),0)</f>
        <v>0</v>
      </c>
      <c r="AD693" s="545">
        <f ca="1">IF(AND($D693="Serviço",AD$12&lt;&gt;0,$H693&gt;0,OR(AUTOEVENTO&lt;&gt;"manual",$M693&lt;&gt;1)),
IF(Import.TipoArredondamento&lt;&gt;"TransfereGOV",
ROUND(OFFSET($P693,0,AD$13),15-13*ORÇAMENTO!$AF$7)/$H693*OFFSET(ORÇAMENTO!$X$15,ROW(AD693)-ROW(AD$15),0),
ROUND(ROUND(OFFSET($P693,0,AD$13),15-13*ORÇAMENTO!$AF$7)*OFFSET(ORÇAMENTO!$W$15,ROW(AD693)-ROW(AD$15),0),15-13*ORÇAMENTO!$AF$11)),0)</f>
        <v>0</v>
      </c>
      <c r="AE693" s="545">
        <f ca="1">IF(AND($D693="Serviço",AE$12&lt;&gt;0,$H693&gt;0,OR(AUTOEVENTO&lt;&gt;"manual",$M693&lt;&gt;1)),
IF(Import.TipoArredondamento&lt;&gt;"TransfereGOV",
ROUND(OFFSET($P693,0,AE$13),15-13*ORÇAMENTO!$AF$7)/$H693*OFFSET(ORÇAMENTO!$X$15,ROW(AE693)-ROW(AE$15),0),
ROUND(ROUND(OFFSET($P693,0,AE$13),15-13*ORÇAMENTO!$AF$7)*OFFSET(ORÇAMENTO!$W$15,ROW(AE693)-ROW(AE$15),0),15-13*ORÇAMENTO!$AF$11)),0)</f>
        <v>0</v>
      </c>
      <c r="AF693" s="545">
        <f ca="1">IF(AND($D693="Serviço",AF$12&lt;&gt;0,$H693&gt;0,OR(AUTOEVENTO&lt;&gt;"manual",$M693&lt;&gt;1)),
IF(Import.TipoArredondamento&lt;&gt;"TransfereGOV",
ROUND(OFFSET($P693,0,AF$13),15-13*ORÇAMENTO!$AF$7)/$H693*OFFSET(ORÇAMENTO!$X$15,ROW(AF693)-ROW(AF$15),0),
ROUND(ROUND(OFFSET($P693,0,AF$13),15-13*ORÇAMENTO!$AF$7)*OFFSET(ORÇAMENTO!$W$15,ROW(AF693)-ROW(AF$15),0),15-13*ORÇAMENTO!$AF$11)),0)</f>
        <v>0</v>
      </c>
      <c r="AG693" s="545">
        <f ca="1">IF(AND($D693="Serviço",AG$12&lt;&gt;0,$H693&gt;0,OR(AUTOEVENTO&lt;&gt;"manual",$M693&lt;&gt;1)),
IF(Import.TipoArredondamento&lt;&gt;"TransfereGOV",
ROUND(OFFSET($P693,0,AG$13),15-13*ORÇAMENTO!$AF$7)/$H693*OFFSET(ORÇAMENTO!$X$15,ROW(AG693)-ROW(AG$15),0),
ROUND(ROUND(OFFSET($P693,0,AG$13),15-13*ORÇAMENTO!$AF$7)*OFFSET(ORÇAMENTO!$W$15,ROW(AG693)-ROW(AG$15),0),15-13*ORÇAMENTO!$AF$11)),0)</f>
        <v>0</v>
      </c>
      <c r="AH693" s="545">
        <f ca="1">IF(AND($D693="Serviço",AH$12&lt;&gt;0,$H693&gt;0,OR(AUTOEVENTO&lt;&gt;"manual",$M693&lt;&gt;1)),
IF(Import.TipoArredondamento&lt;&gt;"TransfereGOV",
ROUND(OFFSET($P693,0,AH$13),15-13*ORÇAMENTO!$AF$7)/$H693*OFFSET(ORÇAMENTO!$X$15,ROW(AH693)-ROW(AH$15),0),
ROUND(ROUND(OFFSET($P693,0,AH$13),15-13*ORÇAMENTO!$AF$7)*OFFSET(ORÇAMENTO!$W$15,ROW(AH693)-ROW(AH$15),0),15-13*ORÇAMENTO!$AF$11)),0)</f>
        <v>0</v>
      </c>
      <c r="AI693" s="545">
        <f ca="1">IF(AND($D693="Serviço",AI$12&lt;&gt;0,$H693&gt;0,OR(AUTOEVENTO&lt;&gt;"manual",$M693&lt;&gt;1)),
IF(Import.TipoArredondamento&lt;&gt;"TransfereGOV",
ROUND(OFFSET($P693,0,AI$13),15-13*ORÇAMENTO!$AF$7)/$H693*OFFSET(ORÇAMENTO!$X$15,ROW(AI693)-ROW(AI$15),0),
ROUND(ROUND(OFFSET($P693,0,AI$13),15-13*ORÇAMENTO!$AF$7)*OFFSET(ORÇAMENTO!$W$15,ROW(AI693)-ROW(AI$15),0),15-13*ORÇAMENTO!$AF$11)),0)</f>
        <v>0</v>
      </c>
      <c r="AJ693" s="545">
        <f ca="1">IF(AND($D693="Serviço",AJ$12&lt;&gt;0,$H693&gt;0,OR(AUTOEVENTO&lt;&gt;"manual",$M693&lt;&gt;1)),
IF(Import.TipoArredondamento&lt;&gt;"TransfereGOV",
ROUND(OFFSET($P693,0,AJ$13),15-13*ORÇAMENTO!$AF$7)/$H693*OFFSET(ORÇAMENTO!$X$15,ROW(AJ693)-ROW(AJ$15),0),
ROUND(ROUND(OFFSET($P693,0,AJ$13),15-13*ORÇAMENTO!$AF$7)*OFFSET(ORÇAMENTO!$W$15,ROW(AJ693)-ROW(AJ$15),0),15-13*ORÇAMENTO!$AF$11)),0)</f>
        <v>0</v>
      </c>
      <c r="AK693" s="546">
        <f ca="1">IF(AND($D693="Serviço",AK$12&lt;&gt;0,$H693&gt;0,OR(AUTOEVENTO&lt;&gt;"manual",$M693&lt;&gt;1)),
IF(Import.TipoArredondamento&lt;&gt;"TransfereGOV",
ROUND(OFFSET($P693,0,AK$13),15-13*ORÇAMENTO!$AF$7)/$H693*OFFSET(ORÇAMENTO!$X$15,ROW(AK693)-ROW(AK$15),0),
ROUND(ROUND(OFFSET($P693,0,AK$13),15-13*ORÇAMENTO!$AF$7)*OFFSET(ORÇAMENTO!$W$15,ROW(AK693)-ROW(AK$15),0),15-13*ORÇAMENTO!$AF$11)),0)</f>
        <v>0</v>
      </c>
      <c r="AM693" s="181">
        <f ca="1">IF($D693&lt;&gt;"Serviço",0,IF(AND(AUTOEVENTO="Manual",$M693=1),0,IF(OFFSET(CRONOPLE!$F$14,$M693,AM$13)="",10^12,OFFSET(CRONOPLE!$F$14,$M693,AM$13))))</f>
        <v>1000000000000</v>
      </c>
      <c r="AN693" s="181">
        <f ca="1">IF($D693&lt;&gt;"Serviço",0,IF(AND(AUTOEVENTO="Manual",$M693=1),0,IF(OFFSET(CRONOPLE!$F$14,$M693,AN$13)="",10^12,OFFSET(CRONOPLE!$F$14,$M693,AN$13))))</f>
        <v>1000000000000</v>
      </c>
      <c r="AO693" s="181">
        <f ca="1">IF($D693&lt;&gt;"Serviço",0,IF(AND(AUTOEVENTO="Manual",$M693=1),0,IF(OFFSET(CRONOPLE!$F$14,$M693,AO$13)="",10^12,OFFSET(CRONOPLE!$F$14,$M693,AO$13))))</f>
        <v>1000000000000</v>
      </c>
      <c r="AP693" s="181">
        <f ca="1">IF($D693&lt;&gt;"Serviço",0,IF(AND(AUTOEVENTO="Manual",$M693=1),0,IF(OFFSET(CRONOPLE!$F$14,$M693,AP$13)="",10^12,OFFSET(CRONOPLE!$F$14,$M693,AP$13))))</f>
        <v>1000000000000</v>
      </c>
      <c r="AQ693" s="181">
        <f ca="1">IF($D693&lt;&gt;"Serviço",0,IF(AND(AUTOEVENTO="Manual",$M693=1),0,IF(OFFSET(CRONOPLE!$F$14,$M693,AQ$13)="",10^12,OFFSET(CRONOPLE!$F$14,$M693,AQ$13))))</f>
        <v>1000000000000</v>
      </c>
      <c r="AR693" s="181">
        <f ca="1">IF($D693&lt;&gt;"Serviço",0,IF(AND(AUTOEVENTO="Manual",$M693=1),0,IF(OFFSET(CRONOPLE!$F$14,$M693,AR$13)="",10^12,OFFSET(CRONOPLE!$F$14,$M693,AR$13))))</f>
        <v>1000000000000</v>
      </c>
      <c r="AS693" s="181">
        <f ca="1">IF($D693&lt;&gt;"Serviço",0,IF(AND(AUTOEVENTO="Manual",$M693=1),0,IF(OFFSET(CRONOPLE!$F$14,$M693,AS$13)="",10^12,OFFSET(CRONOPLE!$F$14,$M693,AS$13))))</f>
        <v>1000000000000</v>
      </c>
      <c r="AT693" s="181">
        <f ca="1">IF($D693&lt;&gt;"Serviço",0,IF(AND(AUTOEVENTO="Manual",$M693=1),0,IF(OFFSET(CRONOPLE!$F$14,$M693,AT$13)="",10^12,OFFSET(CRONOPLE!$F$14,$M693,AT$13))))</f>
        <v>1000000000000</v>
      </c>
      <c r="AU693" s="181">
        <f ca="1">IF($D693&lt;&gt;"Serviço",0,IF(AND(AUTOEVENTO="Manual",$M693=1),0,IF(OFFSET(CRONOPLE!$F$14,$M693,AU$13)="",10^12,OFFSET(CRONOPLE!$F$14,$M693,AU$13))))</f>
        <v>1000000000000</v>
      </c>
      <c r="AV693" s="181">
        <f ca="1">IF($D693&lt;&gt;"Serviço",0,IF(AND(AUTOEVENTO="Manual",$M693=1),0,IF(OFFSET(CRONOPLE!$F$14,$M693,AV$13)="",10^12,OFFSET(CRONOPLE!$F$14,$M693,AV$13))))</f>
        <v>1000000000000</v>
      </c>
      <c r="AX693" s="182">
        <f ca="1">IF($D693&lt;&gt;"Serviço",0,IF(OR(AND(AUTOEVENTO="Manual",$M693=1),$M693&gt;(ROW(PLE.lastrow)-ROW(PLE.firstrow))),0,IF(OFFSET(PLE!$G$14,$M693,AX$13)="",10^12,OFFSET(PLE!$G$14,$M693,AX$13))))</f>
        <v>1000000000000</v>
      </c>
      <c r="AY693" s="182">
        <f ca="1">IF($D693&lt;&gt;"Serviço",0,IF(OR(AND(AUTOEVENTO="Manual",$M693=1),$M693&gt;(ROW(PLE.lastrow)-ROW(PLE.firstrow))),0,IF(OFFSET(PLE!$G$14,$M693,AY$13)="",10^12,OFFSET(PLE!$G$14,$M693,AY$13))))</f>
        <v>1000000000000</v>
      </c>
      <c r="AZ693" s="182">
        <f ca="1">IF($D693&lt;&gt;"Serviço",0,IF(OR(AND(AUTOEVENTO="Manual",$M693=1),$M693&gt;(ROW(PLE.lastrow)-ROW(PLE.firstrow))),0,IF(OFFSET(PLE!$G$14,$M693,AZ$13)="",10^12,OFFSET(PLE!$G$14,$M693,AZ$13))))</f>
        <v>1000000000000</v>
      </c>
      <c r="BA693" s="182">
        <f ca="1">IF($D693&lt;&gt;"Serviço",0,IF(OR(AND(AUTOEVENTO="Manual",$M693=1),$M693&gt;(ROW(PLE.lastrow)-ROW(PLE.firstrow))),0,IF(OFFSET(PLE!$G$14,$M693,BA$13)="",10^12,OFFSET(PLE!$G$14,$M693,BA$13))))</f>
        <v>1000000000000</v>
      </c>
      <c r="BB693" s="182">
        <f ca="1">IF($D693&lt;&gt;"Serviço",0,IF(OR(AND(AUTOEVENTO="Manual",$M693=1),$M693&gt;(ROW(PLE.lastrow)-ROW(PLE.firstrow))),0,IF(OFFSET(PLE!$G$14,$M693,BB$13)="",10^12,OFFSET(PLE!$G$14,$M693,BB$13))))</f>
        <v>1000000000000</v>
      </c>
      <c r="BC693" s="182">
        <f ca="1">IF($D693&lt;&gt;"Serviço",0,IF(OR(AND(AUTOEVENTO="Manual",$M693=1),$M693&gt;(ROW(PLE.lastrow)-ROW(PLE.firstrow))),0,IF(OFFSET(PLE!$G$14,$M693,BC$13)="",10^12,OFFSET(PLE!$G$14,$M693,BC$13))))</f>
        <v>1000000000000</v>
      </c>
      <c r="BD693" s="182">
        <f ca="1">IF($D693&lt;&gt;"Serviço",0,IF(OR(AND(AUTOEVENTO="Manual",$M693=1),$M693&gt;(ROW(PLE.lastrow)-ROW(PLE.firstrow))),0,IF(OFFSET(PLE!$G$14,$M693,BD$13)="",10^12,OFFSET(PLE!$G$14,$M693,BD$13))))</f>
        <v>1000000000000</v>
      </c>
      <c r="BE693" s="182">
        <f ca="1">IF($D693&lt;&gt;"Serviço",0,IF(OR(AND(AUTOEVENTO="Manual",$M693=1),$M693&gt;(ROW(PLE.lastrow)-ROW(PLE.firstrow))),0,IF(OFFSET(PLE!$G$14,$M693,BE$13)="",10^12,OFFSET(PLE!$G$14,$M693,BE$13))))</f>
        <v>1000000000000</v>
      </c>
      <c r="BF693" s="182">
        <f ca="1">IF($D693&lt;&gt;"Serviço",0,IF(OR(AND(AUTOEVENTO="Manual",$M693=1),$M693&gt;(ROW(PLE.lastrow)-ROW(PLE.firstrow))),0,IF(OFFSET(PLE!$G$14,$M693,BF$13)="",10^12,OFFSET(PLE!$G$14,$M693,BF$13))))</f>
        <v>1000000000000</v>
      </c>
      <c r="BG693" s="182">
        <f ca="1">IF($D693&lt;&gt;"Serviço",0,IF(OR(AND(AUTOEVENTO="Manual",$M693=1),$M693&gt;(ROW(PLE.lastrow)-ROW(PLE.firstrow))),0,IF(OFFSET(PLE!$G$14,$M693,BG$13)="",10^12,OFFSET(PLE!$G$14,$M693,BG$13))))</f>
        <v>1000000000000</v>
      </c>
    </row>
    <row r="694" spans="1:59" ht="12.75" x14ac:dyDescent="0.2">
      <c r="A694" s="7" t="str">
        <f t="shared" ca="1" si="17"/>
        <v>679.</v>
      </c>
      <c r="B694" s="7">
        <f ca="1">OFFSET(ORÇAMENTO!C$15,ROW(B694)-ROW(B$15),0)</f>
        <v>2</v>
      </c>
      <c r="C694" s="7" t="str">
        <f ca="1">OFFSET(ORÇAMENTO!L$15,ROW(C694)-ROW(C$15),0)</f>
        <v>F</v>
      </c>
      <c r="D694" s="118" t="str">
        <f ca="1">OFFSET(ORÇAMENTO!N$15,ROW(D694)-ROW(D$15),0)</f>
        <v>Nível 2</v>
      </c>
      <c r="E694" s="119" t="str">
        <f ca="1">OFFSET(ORÇAMENTO!O$15,ROW(E694)-ROW(E$15),0)</f>
        <v>1.24.</v>
      </c>
      <c r="F694" s="172" t="str">
        <f ca="1">OFFSET(ORÇAMENTO!R$15,ROW(F694)-ROW(F$15),0)</f>
        <v>FECHAMENTO - MURO</v>
      </c>
      <c r="G694" s="173" t="str">
        <f ca="1">IF($D694&lt;&gt;"Serviço","",OFFSET(ORÇAMENTO!S$15,ROW(G694)-ROW(G$15),0))</f>
        <v/>
      </c>
      <c r="H694" s="124">
        <f ca="1">IF($D694&lt;&gt;"Serviço",0,IF(ACOMPANHAMENTO="BM",ROUND(OFFSET(ORÇAMENTO!AJ$15,ROW(H694)-ROW(H$15),0),15-13*ORÇAMENTO!$AF$7),SUMPRODUCT(($Q$12:$AA$12&lt;&gt;"")*ROUND($Q694:$AA694,15-13*ORÇAMENTO!$AF$7))))</f>
        <v>0</v>
      </c>
      <c r="I694" s="561"/>
      <c r="K694" s="174"/>
      <c r="L694" s="175" t="s">
        <v>255</v>
      </c>
      <c r="M694" s="176" t="str">
        <f ca="1">IF($D694&lt;&gt;"Serviço","",IF(AUTOEVENTO="manual",$A694,IF(ISERROR(MATCH($A694,$A$15:OFFSET($A694,-1,0),0)),MAX($M$15:OFFSET(M694,-1,0))+1,INDEX($M$15:OFFSET(M694,-1,0),MATCH($A694,$A$15:OFFSET($A694,-1,0),0)))))</f>
        <v/>
      </c>
      <c r="N694" s="177" t="str">
        <f ca="1">IF($D694&lt;&gt;"Serviço","",IF(AUTOEVENTO="Manual",IF($A694=0,"&lt;-- defina o número do agrupador",OFFSET(EVENTOS!$D$14,$A694,0)),OFFSET($F$15,$A694,0)))</f>
        <v/>
      </c>
      <c r="O694" s="178"/>
      <c r="Q694" s="178"/>
      <c r="R694" s="179"/>
      <c r="S694" s="179"/>
      <c r="T694" s="179"/>
      <c r="U694" s="179"/>
      <c r="V694" s="179"/>
      <c r="W694" s="179"/>
      <c r="X694" s="179"/>
      <c r="Y694" s="179"/>
      <c r="Z694" s="180"/>
      <c r="AB694" s="544">
        <f ca="1">IF(AND($D694="Serviço",AB$12&lt;&gt;0,$H694&gt;0,OR(AUTOEVENTO&lt;&gt;"manual",$M694&lt;&gt;1)),
IF(Import.TipoArredondamento&lt;&gt;"TransfereGOV",
ROUND(OFFSET($P694,0,AB$13),15-13*ORÇAMENTO!$AF$7)/$H694*OFFSET(ORÇAMENTO!$X$15,ROW(AB694)-ROW(AB$15),0),
ROUND(ROUND(OFFSET($P694,0,AB$13),15-13*ORÇAMENTO!$AF$7)*OFFSET(ORÇAMENTO!$W$15,ROW(AB694)-ROW(AB$15),0),15-13*ORÇAMENTO!$AF$11)),0)</f>
        <v>0</v>
      </c>
      <c r="AC694" s="545">
        <f ca="1">IF(AND($D694="Serviço",AC$12&lt;&gt;0,$H694&gt;0,OR(AUTOEVENTO&lt;&gt;"manual",$M694&lt;&gt;1)),
IF(Import.TipoArredondamento&lt;&gt;"TransfereGOV",
ROUND(OFFSET($P694,0,AC$13),15-13*ORÇAMENTO!$AF$7)/$H694*OFFSET(ORÇAMENTO!$X$15,ROW(AC694)-ROW(AC$15),0),
ROUND(ROUND(OFFSET($P694,0,AC$13),15-13*ORÇAMENTO!$AF$7)*OFFSET(ORÇAMENTO!$W$15,ROW(AC694)-ROW(AC$15),0),15-13*ORÇAMENTO!$AF$11)),0)</f>
        <v>0</v>
      </c>
      <c r="AD694" s="545">
        <f ca="1">IF(AND($D694="Serviço",AD$12&lt;&gt;0,$H694&gt;0,OR(AUTOEVENTO&lt;&gt;"manual",$M694&lt;&gt;1)),
IF(Import.TipoArredondamento&lt;&gt;"TransfereGOV",
ROUND(OFFSET($P694,0,AD$13),15-13*ORÇAMENTO!$AF$7)/$H694*OFFSET(ORÇAMENTO!$X$15,ROW(AD694)-ROW(AD$15),0),
ROUND(ROUND(OFFSET($P694,0,AD$13),15-13*ORÇAMENTO!$AF$7)*OFFSET(ORÇAMENTO!$W$15,ROW(AD694)-ROW(AD$15),0),15-13*ORÇAMENTO!$AF$11)),0)</f>
        <v>0</v>
      </c>
      <c r="AE694" s="545">
        <f ca="1">IF(AND($D694="Serviço",AE$12&lt;&gt;0,$H694&gt;0,OR(AUTOEVENTO&lt;&gt;"manual",$M694&lt;&gt;1)),
IF(Import.TipoArredondamento&lt;&gt;"TransfereGOV",
ROUND(OFFSET($P694,0,AE$13),15-13*ORÇAMENTO!$AF$7)/$H694*OFFSET(ORÇAMENTO!$X$15,ROW(AE694)-ROW(AE$15),0),
ROUND(ROUND(OFFSET($P694,0,AE$13),15-13*ORÇAMENTO!$AF$7)*OFFSET(ORÇAMENTO!$W$15,ROW(AE694)-ROW(AE$15),0),15-13*ORÇAMENTO!$AF$11)),0)</f>
        <v>0</v>
      </c>
      <c r="AF694" s="545">
        <f ca="1">IF(AND($D694="Serviço",AF$12&lt;&gt;0,$H694&gt;0,OR(AUTOEVENTO&lt;&gt;"manual",$M694&lt;&gt;1)),
IF(Import.TipoArredondamento&lt;&gt;"TransfereGOV",
ROUND(OFFSET($P694,0,AF$13),15-13*ORÇAMENTO!$AF$7)/$H694*OFFSET(ORÇAMENTO!$X$15,ROW(AF694)-ROW(AF$15),0),
ROUND(ROUND(OFFSET($P694,0,AF$13),15-13*ORÇAMENTO!$AF$7)*OFFSET(ORÇAMENTO!$W$15,ROW(AF694)-ROW(AF$15),0),15-13*ORÇAMENTO!$AF$11)),0)</f>
        <v>0</v>
      </c>
      <c r="AG694" s="545">
        <f ca="1">IF(AND($D694="Serviço",AG$12&lt;&gt;0,$H694&gt;0,OR(AUTOEVENTO&lt;&gt;"manual",$M694&lt;&gt;1)),
IF(Import.TipoArredondamento&lt;&gt;"TransfereGOV",
ROUND(OFFSET($P694,0,AG$13),15-13*ORÇAMENTO!$AF$7)/$H694*OFFSET(ORÇAMENTO!$X$15,ROW(AG694)-ROW(AG$15),0),
ROUND(ROUND(OFFSET($P694,0,AG$13),15-13*ORÇAMENTO!$AF$7)*OFFSET(ORÇAMENTO!$W$15,ROW(AG694)-ROW(AG$15),0),15-13*ORÇAMENTO!$AF$11)),0)</f>
        <v>0</v>
      </c>
      <c r="AH694" s="545">
        <f ca="1">IF(AND($D694="Serviço",AH$12&lt;&gt;0,$H694&gt;0,OR(AUTOEVENTO&lt;&gt;"manual",$M694&lt;&gt;1)),
IF(Import.TipoArredondamento&lt;&gt;"TransfereGOV",
ROUND(OFFSET($P694,0,AH$13),15-13*ORÇAMENTO!$AF$7)/$H694*OFFSET(ORÇAMENTO!$X$15,ROW(AH694)-ROW(AH$15),0),
ROUND(ROUND(OFFSET($P694,0,AH$13),15-13*ORÇAMENTO!$AF$7)*OFFSET(ORÇAMENTO!$W$15,ROW(AH694)-ROW(AH$15),0),15-13*ORÇAMENTO!$AF$11)),0)</f>
        <v>0</v>
      </c>
      <c r="AI694" s="545">
        <f ca="1">IF(AND($D694="Serviço",AI$12&lt;&gt;0,$H694&gt;0,OR(AUTOEVENTO&lt;&gt;"manual",$M694&lt;&gt;1)),
IF(Import.TipoArredondamento&lt;&gt;"TransfereGOV",
ROUND(OFFSET($P694,0,AI$13),15-13*ORÇAMENTO!$AF$7)/$H694*OFFSET(ORÇAMENTO!$X$15,ROW(AI694)-ROW(AI$15),0),
ROUND(ROUND(OFFSET($P694,0,AI$13),15-13*ORÇAMENTO!$AF$7)*OFFSET(ORÇAMENTO!$W$15,ROW(AI694)-ROW(AI$15),0),15-13*ORÇAMENTO!$AF$11)),0)</f>
        <v>0</v>
      </c>
      <c r="AJ694" s="545">
        <f ca="1">IF(AND($D694="Serviço",AJ$12&lt;&gt;0,$H694&gt;0,OR(AUTOEVENTO&lt;&gt;"manual",$M694&lt;&gt;1)),
IF(Import.TipoArredondamento&lt;&gt;"TransfereGOV",
ROUND(OFFSET($P694,0,AJ$13),15-13*ORÇAMENTO!$AF$7)/$H694*OFFSET(ORÇAMENTO!$X$15,ROW(AJ694)-ROW(AJ$15),0),
ROUND(ROUND(OFFSET($P694,0,AJ$13),15-13*ORÇAMENTO!$AF$7)*OFFSET(ORÇAMENTO!$W$15,ROW(AJ694)-ROW(AJ$15),0),15-13*ORÇAMENTO!$AF$11)),0)</f>
        <v>0</v>
      </c>
      <c r="AK694" s="546">
        <f ca="1">IF(AND($D694="Serviço",AK$12&lt;&gt;0,$H694&gt;0,OR(AUTOEVENTO&lt;&gt;"manual",$M694&lt;&gt;1)),
IF(Import.TipoArredondamento&lt;&gt;"TransfereGOV",
ROUND(OFFSET($P694,0,AK$13),15-13*ORÇAMENTO!$AF$7)/$H694*OFFSET(ORÇAMENTO!$X$15,ROW(AK694)-ROW(AK$15),0),
ROUND(ROUND(OFFSET($P694,0,AK$13),15-13*ORÇAMENTO!$AF$7)*OFFSET(ORÇAMENTO!$W$15,ROW(AK694)-ROW(AK$15),0),15-13*ORÇAMENTO!$AF$11)),0)</f>
        <v>0</v>
      </c>
      <c r="AM694" s="181">
        <f ca="1">IF($D694&lt;&gt;"Serviço",0,IF(AND(AUTOEVENTO="Manual",$M694=1),0,IF(OFFSET(CRONOPLE!$F$14,$M694,AM$13)="",10^12,OFFSET(CRONOPLE!$F$14,$M694,AM$13))))</f>
        <v>0</v>
      </c>
      <c r="AN694" s="181">
        <f ca="1">IF($D694&lt;&gt;"Serviço",0,IF(AND(AUTOEVENTO="Manual",$M694=1),0,IF(OFFSET(CRONOPLE!$F$14,$M694,AN$13)="",10^12,OFFSET(CRONOPLE!$F$14,$M694,AN$13))))</f>
        <v>0</v>
      </c>
      <c r="AO694" s="181">
        <f ca="1">IF($D694&lt;&gt;"Serviço",0,IF(AND(AUTOEVENTO="Manual",$M694=1),0,IF(OFFSET(CRONOPLE!$F$14,$M694,AO$13)="",10^12,OFFSET(CRONOPLE!$F$14,$M694,AO$13))))</f>
        <v>0</v>
      </c>
      <c r="AP694" s="181">
        <f ca="1">IF($D694&lt;&gt;"Serviço",0,IF(AND(AUTOEVENTO="Manual",$M694=1),0,IF(OFFSET(CRONOPLE!$F$14,$M694,AP$13)="",10^12,OFFSET(CRONOPLE!$F$14,$M694,AP$13))))</f>
        <v>0</v>
      </c>
      <c r="AQ694" s="181">
        <f ca="1">IF($D694&lt;&gt;"Serviço",0,IF(AND(AUTOEVENTO="Manual",$M694=1),0,IF(OFFSET(CRONOPLE!$F$14,$M694,AQ$13)="",10^12,OFFSET(CRONOPLE!$F$14,$M694,AQ$13))))</f>
        <v>0</v>
      </c>
      <c r="AR694" s="181">
        <f ca="1">IF($D694&lt;&gt;"Serviço",0,IF(AND(AUTOEVENTO="Manual",$M694=1),0,IF(OFFSET(CRONOPLE!$F$14,$M694,AR$13)="",10^12,OFFSET(CRONOPLE!$F$14,$M694,AR$13))))</f>
        <v>0</v>
      </c>
      <c r="AS694" s="181">
        <f ca="1">IF($D694&lt;&gt;"Serviço",0,IF(AND(AUTOEVENTO="Manual",$M694=1),0,IF(OFFSET(CRONOPLE!$F$14,$M694,AS$13)="",10^12,OFFSET(CRONOPLE!$F$14,$M694,AS$13))))</f>
        <v>0</v>
      </c>
      <c r="AT694" s="181">
        <f ca="1">IF($D694&lt;&gt;"Serviço",0,IF(AND(AUTOEVENTO="Manual",$M694=1),0,IF(OFFSET(CRONOPLE!$F$14,$M694,AT$13)="",10^12,OFFSET(CRONOPLE!$F$14,$M694,AT$13))))</f>
        <v>0</v>
      </c>
      <c r="AU694" s="181">
        <f ca="1">IF($D694&lt;&gt;"Serviço",0,IF(AND(AUTOEVENTO="Manual",$M694=1),0,IF(OFFSET(CRONOPLE!$F$14,$M694,AU$13)="",10^12,OFFSET(CRONOPLE!$F$14,$M694,AU$13))))</f>
        <v>0</v>
      </c>
      <c r="AV694" s="181">
        <f ca="1">IF($D694&lt;&gt;"Serviço",0,IF(AND(AUTOEVENTO="Manual",$M694=1),0,IF(OFFSET(CRONOPLE!$F$14,$M694,AV$13)="",10^12,OFFSET(CRONOPLE!$F$14,$M694,AV$13))))</f>
        <v>0</v>
      </c>
      <c r="AX694" s="182">
        <f ca="1">IF($D694&lt;&gt;"Serviço",0,IF(OR(AND(AUTOEVENTO="Manual",$M694=1),$M694&gt;(ROW(PLE.lastrow)-ROW(PLE.firstrow))),0,IF(OFFSET(PLE!$G$14,$M694,AX$13)="",10^12,OFFSET(PLE!$G$14,$M694,AX$13))))</f>
        <v>0</v>
      </c>
      <c r="AY694" s="182">
        <f ca="1">IF($D694&lt;&gt;"Serviço",0,IF(OR(AND(AUTOEVENTO="Manual",$M694=1),$M694&gt;(ROW(PLE.lastrow)-ROW(PLE.firstrow))),0,IF(OFFSET(PLE!$G$14,$M694,AY$13)="",10^12,OFFSET(PLE!$G$14,$M694,AY$13))))</f>
        <v>0</v>
      </c>
      <c r="AZ694" s="182">
        <f ca="1">IF($D694&lt;&gt;"Serviço",0,IF(OR(AND(AUTOEVENTO="Manual",$M694=1),$M694&gt;(ROW(PLE.lastrow)-ROW(PLE.firstrow))),0,IF(OFFSET(PLE!$G$14,$M694,AZ$13)="",10^12,OFFSET(PLE!$G$14,$M694,AZ$13))))</f>
        <v>0</v>
      </c>
      <c r="BA694" s="182">
        <f ca="1">IF($D694&lt;&gt;"Serviço",0,IF(OR(AND(AUTOEVENTO="Manual",$M694=1),$M694&gt;(ROW(PLE.lastrow)-ROW(PLE.firstrow))),0,IF(OFFSET(PLE!$G$14,$M694,BA$13)="",10^12,OFFSET(PLE!$G$14,$M694,BA$13))))</f>
        <v>0</v>
      </c>
      <c r="BB694" s="182">
        <f ca="1">IF($D694&lt;&gt;"Serviço",0,IF(OR(AND(AUTOEVENTO="Manual",$M694=1),$M694&gt;(ROW(PLE.lastrow)-ROW(PLE.firstrow))),0,IF(OFFSET(PLE!$G$14,$M694,BB$13)="",10^12,OFFSET(PLE!$G$14,$M694,BB$13))))</f>
        <v>0</v>
      </c>
      <c r="BC694" s="182">
        <f ca="1">IF($D694&lt;&gt;"Serviço",0,IF(OR(AND(AUTOEVENTO="Manual",$M694=1),$M694&gt;(ROW(PLE.lastrow)-ROW(PLE.firstrow))),0,IF(OFFSET(PLE!$G$14,$M694,BC$13)="",10^12,OFFSET(PLE!$G$14,$M694,BC$13))))</f>
        <v>0</v>
      </c>
      <c r="BD694" s="182">
        <f ca="1">IF($D694&lt;&gt;"Serviço",0,IF(OR(AND(AUTOEVENTO="Manual",$M694=1),$M694&gt;(ROW(PLE.lastrow)-ROW(PLE.firstrow))),0,IF(OFFSET(PLE!$G$14,$M694,BD$13)="",10^12,OFFSET(PLE!$G$14,$M694,BD$13))))</f>
        <v>0</v>
      </c>
      <c r="BE694" s="182">
        <f ca="1">IF($D694&lt;&gt;"Serviço",0,IF(OR(AND(AUTOEVENTO="Manual",$M694=1),$M694&gt;(ROW(PLE.lastrow)-ROW(PLE.firstrow))),0,IF(OFFSET(PLE!$G$14,$M694,BE$13)="",10^12,OFFSET(PLE!$G$14,$M694,BE$13))))</f>
        <v>0</v>
      </c>
      <c r="BF694" s="182">
        <f ca="1">IF($D694&lt;&gt;"Serviço",0,IF(OR(AND(AUTOEVENTO="Manual",$M694=1),$M694&gt;(ROW(PLE.lastrow)-ROW(PLE.firstrow))),0,IF(OFFSET(PLE!$G$14,$M694,BF$13)="",10^12,OFFSET(PLE!$G$14,$M694,BF$13))))</f>
        <v>0</v>
      </c>
      <c r="BG694" s="182">
        <f ca="1">IF($D694&lt;&gt;"Serviço",0,IF(OR(AND(AUTOEVENTO="Manual",$M694=1),$M694&gt;(ROW(PLE.lastrow)-ROW(PLE.firstrow))),0,IF(OFFSET(PLE!$G$14,$M694,BG$13)="",10^12,OFFSET(PLE!$G$14,$M694,BG$13))))</f>
        <v>0</v>
      </c>
    </row>
    <row r="695" spans="1:59" ht="12.75" x14ac:dyDescent="0.2">
      <c r="A695" s="7" t="str">
        <f t="shared" ca="1" si="17"/>
        <v>679.</v>
      </c>
      <c r="B695" s="7">
        <f ca="1">OFFSET(ORÇAMENTO!C$15,ROW(B695)-ROW(B$15),0)</f>
        <v>3</v>
      </c>
      <c r="C695" s="7" t="str">
        <f ca="1">OFFSET(ORÇAMENTO!L$15,ROW(C695)-ROW(C$15),0)</f>
        <v>F</v>
      </c>
      <c r="D695" s="118" t="str">
        <f ca="1">OFFSET(ORÇAMENTO!N$15,ROW(D695)-ROW(D$15),0)</f>
        <v>Nível 3</v>
      </c>
      <c r="E695" s="119" t="str">
        <f ca="1">OFFSET(ORÇAMENTO!O$15,ROW(E695)-ROW(E$15),0)</f>
        <v>1.24.1.</v>
      </c>
      <c r="F695" s="172" t="str">
        <f ca="1">OFFSET(ORÇAMENTO!R$15,ROW(F695)-ROW(F$15),0)</f>
        <v>MOVIMENTO DE TERRA PARA FUNDAÇÕES</v>
      </c>
      <c r="G695" s="173" t="str">
        <f ca="1">IF($D695&lt;&gt;"Serviço","",OFFSET(ORÇAMENTO!S$15,ROW(G695)-ROW(G$15),0))</f>
        <v/>
      </c>
      <c r="H695" s="124">
        <f ca="1">IF($D695&lt;&gt;"Serviço",0,IF(ACOMPANHAMENTO="BM",ROUND(OFFSET(ORÇAMENTO!AJ$15,ROW(H695)-ROW(H$15),0),15-13*ORÇAMENTO!$AF$7),SUMPRODUCT(($Q$12:$AA$12&lt;&gt;"")*ROUND($Q695:$AA695,15-13*ORÇAMENTO!$AF$7))))</f>
        <v>0</v>
      </c>
      <c r="I695" s="561"/>
      <c r="K695" s="174"/>
      <c r="L695" s="175" t="s">
        <v>255</v>
      </c>
      <c r="M695" s="176" t="str">
        <f ca="1">IF($D695&lt;&gt;"Serviço","",IF(AUTOEVENTO="manual",$A695,IF(ISERROR(MATCH($A695,$A$15:OFFSET($A695,-1,0),0)),MAX($M$15:OFFSET(M695,-1,0))+1,INDEX($M$15:OFFSET(M695,-1,0),MATCH($A695,$A$15:OFFSET($A695,-1,0),0)))))</f>
        <v/>
      </c>
      <c r="N695" s="177" t="str">
        <f ca="1">IF($D695&lt;&gt;"Serviço","",IF(AUTOEVENTO="Manual",IF($A695=0,"&lt;-- defina o número do agrupador",OFFSET(EVENTOS!$D$14,$A695,0)),OFFSET($F$15,$A695,0)))</f>
        <v/>
      </c>
      <c r="O695" s="178"/>
      <c r="Q695" s="178"/>
      <c r="R695" s="179"/>
      <c r="S695" s="179"/>
      <c r="T695" s="179"/>
      <c r="U695" s="179"/>
      <c r="V695" s="179"/>
      <c r="W695" s="179"/>
      <c r="X695" s="179"/>
      <c r="Y695" s="179"/>
      <c r="Z695" s="180"/>
      <c r="AB695" s="544">
        <f ca="1">IF(AND($D695="Serviço",AB$12&lt;&gt;0,$H695&gt;0,OR(AUTOEVENTO&lt;&gt;"manual",$M695&lt;&gt;1)),
IF(Import.TipoArredondamento&lt;&gt;"TransfereGOV",
ROUND(OFFSET($P695,0,AB$13),15-13*ORÇAMENTO!$AF$7)/$H695*OFFSET(ORÇAMENTO!$X$15,ROW(AB695)-ROW(AB$15),0),
ROUND(ROUND(OFFSET($P695,0,AB$13),15-13*ORÇAMENTO!$AF$7)*OFFSET(ORÇAMENTO!$W$15,ROW(AB695)-ROW(AB$15),0),15-13*ORÇAMENTO!$AF$11)),0)</f>
        <v>0</v>
      </c>
      <c r="AC695" s="545">
        <f ca="1">IF(AND($D695="Serviço",AC$12&lt;&gt;0,$H695&gt;0,OR(AUTOEVENTO&lt;&gt;"manual",$M695&lt;&gt;1)),
IF(Import.TipoArredondamento&lt;&gt;"TransfereGOV",
ROUND(OFFSET($P695,0,AC$13),15-13*ORÇAMENTO!$AF$7)/$H695*OFFSET(ORÇAMENTO!$X$15,ROW(AC695)-ROW(AC$15),0),
ROUND(ROUND(OFFSET($P695,0,AC$13),15-13*ORÇAMENTO!$AF$7)*OFFSET(ORÇAMENTO!$W$15,ROW(AC695)-ROW(AC$15),0),15-13*ORÇAMENTO!$AF$11)),0)</f>
        <v>0</v>
      </c>
      <c r="AD695" s="545">
        <f ca="1">IF(AND($D695="Serviço",AD$12&lt;&gt;0,$H695&gt;0,OR(AUTOEVENTO&lt;&gt;"manual",$M695&lt;&gt;1)),
IF(Import.TipoArredondamento&lt;&gt;"TransfereGOV",
ROUND(OFFSET($P695,0,AD$13),15-13*ORÇAMENTO!$AF$7)/$H695*OFFSET(ORÇAMENTO!$X$15,ROW(AD695)-ROW(AD$15),0),
ROUND(ROUND(OFFSET($P695,0,AD$13),15-13*ORÇAMENTO!$AF$7)*OFFSET(ORÇAMENTO!$W$15,ROW(AD695)-ROW(AD$15),0),15-13*ORÇAMENTO!$AF$11)),0)</f>
        <v>0</v>
      </c>
      <c r="AE695" s="545">
        <f ca="1">IF(AND($D695="Serviço",AE$12&lt;&gt;0,$H695&gt;0,OR(AUTOEVENTO&lt;&gt;"manual",$M695&lt;&gt;1)),
IF(Import.TipoArredondamento&lt;&gt;"TransfereGOV",
ROUND(OFFSET($P695,0,AE$13),15-13*ORÇAMENTO!$AF$7)/$H695*OFFSET(ORÇAMENTO!$X$15,ROW(AE695)-ROW(AE$15),0),
ROUND(ROUND(OFFSET($P695,0,AE$13),15-13*ORÇAMENTO!$AF$7)*OFFSET(ORÇAMENTO!$W$15,ROW(AE695)-ROW(AE$15),0),15-13*ORÇAMENTO!$AF$11)),0)</f>
        <v>0</v>
      </c>
      <c r="AF695" s="545">
        <f ca="1">IF(AND($D695="Serviço",AF$12&lt;&gt;0,$H695&gt;0,OR(AUTOEVENTO&lt;&gt;"manual",$M695&lt;&gt;1)),
IF(Import.TipoArredondamento&lt;&gt;"TransfereGOV",
ROUND(OFFSET($P695,0,AF$13),15-13*ORÇAMENTO!$AF$7)/$H695*OFFSET(ORÇAMENTO!$X$15,ROW(AF695)-ROW(AF$15),0),
ROUND(ROUND(OFFSET($P695,0,AF$13),15-13*ORÇAMENTO!$AF$7)*OFFSET(ORÇAMENTO!$W$15,ROW(AF695)-ROW(AF$15),0),15-13*ORÇAMENTO!$AF$11)),0)</f>
        <v>0</v>
      </c>
      <c r="AG695" s="545">
        <f ca="1">IF(AND($D695="Serviço",AG$12&lt;&gt;0,$H695&gt;0,OR(AUTOEVENTO&lt;&gt;"manual",$M695&lt;&gt;1)),
IF(Import.TipoArredondamento&lt;&gt;"TransfereGOV",
ROUND(OFFSET($P695,0,AG$13),15-13*ORÇAMENTO!$AF$7)/$H695*OFFSET(ORÇAMENTO!$X$15,ROW(AG695)-ROW(AG$15),0),
ROUND(ROUND(OFFSET($P695,0,AG$13),15-13*ORÇAMENTO!$AF$7)*OFFSET(ORÇAMENTO!$W$15,ROW(AG695)-ROW(AG$15),0),15-13*ORÇAMENTO!$AF$11)),0)</f>
        <v>0</v>
      </c>
      <c r="AH695" s="545">
        <f ca="1">IF(AND($D695="Serviço",AH$12&lt;&gt;0,$H695&gt;0,OR(AUTOEVENTO&lt;&gt;"manual",$M695&lt;&gt;1)),
IF(Import.TipoArredondamento&lt;&gt;"TransfereGOV",
ROUND(OFFSET($P695,0,AH$13),15-13*ORÇAMENTO!$AF$7)/$H695*OFFSET(ORÇAMENTO!$X$15,ROW(AH695)-ROW(AH$15),0),
ROUND(ROUND(OFFSET($P695,0,AH$13),15-13*ORÇAMENTO!$AF$7)*OFFSET(ORÇAMENTO!$W$15,ROW(AH695)-ROW(AH$15),0),15-13*ORÇAMENTO!$AF$11)),0)</f>
        <v>0</v>
      </c>
      <c r="AI695" s="545">
        <f ca="1">IF(AND($D695="Serviço",AI$12&lt;&gt;0,$H695&gt;0,OR(AUTOEVENTO&lt;&gt;"manual",$M695&lt;&gt;1)),
IF(Import.TipoArredondamento&lt;&gt;"TransfereGOV",
ROUND(OFFSET($P695,0,AI$13),15-13*ORÇAMENTO!$AF$7)/$H695*OFFSET(ORÇAMENTO!$X$15,ROW(AI695)-ROW(AI$15),0),
ROUND(ROUND(OFFSET($P695,0,AI$13),15-13*ORÇAMENTO!$AF$7)*OFFSET(ORÇAMENTO!$W$15,ROW(AI695)-ROW(AI$15),0),15-13*ORÇAMENTO!$AF$11)),0)</f>
        <v>0</v>
      </c>
      <c r="AJ695" s="545">
        <f ca="1">IF(AND($D695="Serviço",AJ$12&lt;&gt;0,$H695&gt;0,OR(AUTOEVENTO&lt;&gt;"manual",$M695&lt;&gt;1)),
IF(Import.TipoArredondamento&lt;&gt;"TransfereGOV",
ROUND(OFFSET($P695,0,AJ$13),15-13*ORÇAMENTO!$AF$7)/$H695*OFFSET(ORÇAMENTO!$X$15,ROW(AJ695)-ROW(AJ$15),0),
ROUND(ROUND(OFFSET($P695,0,AJ$13),15-13*ORÇAMENTO!$AF$7)*OFFSET(ORÇAMENTO!$W$15,ROW(AJ695)-ROW(AJ$15),0),15-13*ORÇAMENTO!$AF$11)),0)</f>
        <v>0</v>
      </c>
      <c r="AK695" s="546">
        <f ca="1">IF(AND($D695="Serviço",AK$12&lt;&gt;0,$H695&gt;0,OR(AUTOEVENTO&lt;&gt;"manual",$M695&lt;&gt;1)),
IF(Import.TipoArredondamento&lt;&gt;"TransfereGOV",
ROUND(OFFSET($P695,0,AK$13),15-13*ORÇAMENTO!$AF$7)/$H695*OFFSET(ORÇAMENTO!$X$15,ROW(AK695)-ROW(AK$15),0),
ROUND(ROUND(OFFSET($P695,0,AK$13),15-13*ORÇAMENTO!$AF$7)*OFFSET(ORÇAMENTO!$W$15,ROW(AK695)-ROW(AK$15),0),15-13*ORÇAMENTO!$AF$11)),0)</f>
        <v>0</v>
      </c>
      <c r="AM695" s="181">
        <f ca="1">IF($D695&lt;&gt;"Serviço",0,IF(AND(AUTOEVENTO="Manual",$M695=1),0,IF(OFFSET(CRONOPLE!$F$14,$M695,AM$13)="",10^12,OFFSET(CRONOPLE!$F$14,$M695,AM$13))))</f>
        <v>0</v>
      </c>
      <c r="AN695" s="181">
        <f ca="1">IF($D695&lt;&gt;"Serviço",0,IF(AND(AUTOEVENTO="Manual",$M695=1),0,IF(OFFSET(CRONOPLE!$F$14,$M695,AN$13)="",10^12,OFFSET(CRONOPLE!$F$14,$M695,AN$13))))</f>
        <v>0</v>
      </c>
      <c r="AO695" s="181">
        <f ca="1">IF($D695&lt;&gt;"Serviço",0,IF(AND(AUTOEVENTO="Manual",$M695=1),0,IF(OFFSET(CRONOPLE!$F$14,$M695,AO$13)="",10^12,OFFSET(CRONOPLE!$F$14,$M695,AO$13))))</f>
        <v>0</v>
      </c>
      <c r="AP695" s="181">
        <f ca="1">IF($D695&lt;&gt;"Serviço",0,IF(AND(AUTOEVENTO="Manual",$M695=1),0,IF(OFFSET(CRONOPLE!$F$14,$M695,AP$13)="",10^12,OFFSET(CRONOPLE!$F$14,$M695,AP$13))))</f>
        <v>0</v>
      </c>
      <c r="AQ695" s="181">
        <f ca="1">IF($D695&lt;&gt;"Serviço",0,IF(AND(AUTOEVENTO="Manual",$M695=1),0,IF(OFFSET(CRONOPLE!$F$14,$M695,AQ$13)="",10^12,OFFSET(CRONOPLE!$F$14,$M695,AQ$13))))</f>
        <v>0</v>
      </c>
      <c r="AR695" s="181">
        <f ca="1">IF($D695&lt;&gt;"Serviço",0,IF(AND(AUTOEVENTO="Manual",$M695=1),0,IF(OFFSET(CRONOPLE!$F$14,$M695,AR$13)="",10^12,OFFSET(CRONOPLE!$F$14,$M695,AR$13))))</f>
        <v>0</v>
      </c>
      <c r="AS695" s="181">
        <f ca="1">IF($D695&lt;&gt;"Serviço",0,IF(AND(AUTOEVENTO="Manual",$M695=1),0,IF(OFFSET(CRONOPLE!$F$14,$M695,AS$13)="",10^12,OFFSET(CRONOPLE!$F$14,$M695,AS$13))))</f>
        <v>0</v>
      </c>
      <c r="AT695" s="181">
        <f ca="1">IF($D695&lt;&gt;"Serviço",0,IF(AND(AUTOEVENTO="Manual",$M695=1),0,IF(OFFSET(CRONOPLE!$F$14,$M695,AT$13)="",10^12,OFFSET(CRONOPLE!$F$14,$M695,AT$13))))</f>
        <v>0</v>
      </c>
      <c r="AU695" s="181">
        <f ca="1">IF($D695&lt;&gt;"Serviço",0,IF(AND(AUTOEVENTO="Manual",$M695=1),0,IF(OFFSET(CRONOPLE!$F$14,$M695,AU$13)="",10^12,OFFSET(CRONOPLE!$F$14,$M695,AU$13))))</f>
        <v>0</v>
      </c>
      <c r="AV695" s="181">
        <f ca="1">IF($D695&lt;&gt;"Serviço",0,IF(AND(AUTOEVENTO="Manual",$M695=1),0,IF(OFFSET(CRONOPLE!$F$14,$M695,AV$13)="",10^12,OFFSET(CRONOPLE!$F$14,$M695,AV$13))))</f>
        <v>0</v>
      </c>
      <c r="AX695" s="182">
        <f ca="1">IF($D695&lt;&gt;"Serviço",0,IF(OR(AND(AUTOEVENTO="Manual",$M695=1),$M695&gt;(ROW(PLE.lastrow)-ROW(PLE.firstrow))),0,IF(OFFSET(PLE!$G$14,$M695,AX$13)="",10^12,OFFSET(PLE!$G$14,$M695,AX$13))))</f>
        <v>0</v>
      </c>
      <c r="AY695" s="182">
        <f ca="1">IF($D695&lt;&gt;"Serviço",0,IF(OR(AND(AUTOEVENTO="Manual",$M695=1),$M695&gt;(ROW(PLE.lastrow)-ROW(PLE.firstrow))),0,IF(OFFSET(PLE!$G$14,$M695,AY$13)="",10^12,OFFSET(PLE!$G$14,$M695,AY$13))))</f>
        <v>0</v>
      </c>
      <c r="AZ695" s="182">
        <f ca="1">IF($D695&lt;&gt;"Serviço",0,IF(OR(AND(AUTOEVENTO="Manual",$M695=1),$M695&gt;(ROW(PLE.lastrow)-ROW(PLE.firstrow))),0,IF(OFFSET(PLE!$G$14,$M695,AZ$13)="",10^12,OFFSET(PLE!$G$14,$M695,AZ$13))))</f>
        <v>0</v>
      </c>
      <c r="BA695" s="182">
        <f ca="1">IF($D695&lt;&gt;"Serviço",0,IF(OR(AND(AUTOEVENTO="Manual",$M695=1),$M695&gt;(ROW(PLE.lastrow)-ROW(PLE.firstrow))),0,IF(OFFSET(PLE!$G$14,$M695,BA$13)="",10^12,OFFSET(PLE!$G$14,$M695,BA$13))))</f>
        <v>0</v>
      </c>
      <c r="BB695" s="182">
        <f ca="1">IF($D695&lt;&gt;"Serviço",0,IF(OR(AND(AUTOEVENTO="Manual",$M695=1),$M695&gt;(ROW(PLE.lastrow)-ROW(PLE.firstrow))),0,IF(OFFSET(PLE!$G$14,$M695,BB$13)="",10^12,OFFSET(PLE!$G$14,$M695,BB$13))))</f>
        <v>0</v>
      </c>
      <c r="BC695" s="182">
        <f ca="1">IF($D695&lt;&gt;"Serviço",0,IF(OR(AND(AUTOEVENTO="Manual",$M695=1),$M695&gt;(ROW(PLE.lastrow)-ROW(PLE.firstrow))),0,IF(OFFSET(PLE!$G$14,$M695,BC$13)="",10^12,OFFSET(PLE!$G$14,$M695,BC$13))))</f>
        <v>0</v>
      </c>
      <c r="BD695" s="182">
        <f ca="1">IF($D695&lt;&gt;"Serviço",0,IF(OR(AND(AUTOEVENTO="Manual",$M695=1),$M695&gt;(ROW(PLE.lastrow)-ROW(PLE.firstrow))),0,IF(OFFSET(PLE!$G$14,$M695,BD$13)="",10^12,OFFSET(PLE!$G$14,$M695,BD$13))))</f>
        <v>0</v>
      </c>
      <c r="BE695" s="182">
        <f ca="1">IF($D695&lt;&gt;"Serviço",0,IF(OR(AND(AUTOEVENTO="Manual",$M695=1),$M695&gt;(ROW(PLE.lastrow)-ROW(PLE.firstrow))),0,IF(OFFSET(PLE!$G$14,$M695,BE$13)="",10^12,OFFSET(PLE!$G$14,$M695,BE$13))))</f>
        <v>0</v>
      </c>
      <c r="BF695" s="182">
        <f ca="1">IF($D695&lt;&gt;"Serviço",0,IF(OR(AND(AUTOEVENTO="Manual",$M695=1),$M695&gt;(ROW(PLE.lastrow)-ROW(PLE.firstrow))),0,IF(OFFSET(PLE!$G$14,$M695,BF$13)="",10^12,OFFSET(PLE!$G$14,$M695,BF$13))))</f>
        <v>0</v>
      </c>
      <c r="BG695" s="182">
        <f ca="1">IF($D695&lt;&gt;"Serviço",0,IF(OR(AND(AUTOEVENTO="Manual",$M695=1),$M695&gt;(ROW(PLE.lastrow)-ROW(PLE.firstrow))),0,IF(OFFSET(PLE!$G$14,$M695,BG$13)="",10^12,OFFSET(PLE!$G$14,$M695,BG$13))))</f>
        <v>0</v>
      </c>
    </row>
    <row r="696" spans="1:59" ht="38.25" x14ac:dyDescent="0.2">
      <c r="A696" s="7" t="str">
        <f t="shared" ca="1" si="17"/>
        <v>679</v>
      </c>
      <c r="B696" s="7" t="str">
        <f ca="1">OFFSET(ORÇAMENTO!C$15,ROW(B696)-ROW(B$15),0)</f>
        <v>S</v>
      </c>
      <c r="C696" s="7" t="str">
        <f ca="1">OFFSET(ORÇAMENTO!L$15,ROW(C696)-ROW(C$15),0)</f>
        <v/>
      </c>
      <c r="D696" s="118" t="str">
        <f ca="1">OFFSET(ORÇAMENTO!N$15,ROW(D696)-ROW(D$15),0)</f>
        <v>Serviço</v>
      </c>
      <c r="E696" s="119" t="str">
        <f ca="1">OFFSET(ORÇAMENTO!O$15,ROW(E696)-ROW(E$15),0)</f>
        <v>-</v>
      </c>
      <c r="F696" s="172" t="str">
        <f ca="1">OFFSET(ORÇAMENTO!R$15,ROW(F696)-ROW(F$15),0)</f>
        <v>(abra o arquivo 'Referência 02-2025.xlsm)</v>
      </c>
      <c r="G696" s="173" t="str">
        <f ca="1">IF($D696&lt;&gt;"Serviço","",OFFSET(ORÇAMENTO!S$15,ROW(G696)-ROW(G$15),0))</f>
        <v>-</v>
      </c>
      <c r="H696" s="124">
        <f ca="1">IF($D696&lt;&gt;"Serviço",0,IF(ACOMPANHAMENTO="BM",ROUND(OFFSET(ORÇAMENTO!AJ$15,ROW(H696)-ROW(H$15),0),15-13*ORÇAMENTO!$AF$7),SUMPRODUCT(($Q$12:$AA$12&lt;&gt;"")*ROUND($Q696:$AA696,15-13*ORÇAMENTO!$AF$7))))</f>
        <v>109.2</v>
      </c>
      <c r="I696" s="561" t="s">
        <v>890</v>
      </c>
      <c r="K696" s="174"/>
      <c r="L696" s="175" t="s">
        <v>255</v>
      </c>
      <c r="M696" s="176">
        <f ca="1">IF($D696&lt;&gt;"Serviço","",IF(AUTOEVENTO="manual",$A696,IF(ISERROR(MATCH($A696,$A$15:OFFSET($A696,-1,0),0)),MAX($M$15:OFFSET(M696,-1,0))+1,INDEX($M$15:OFFSET(M696,-1,0),MATCH($A696,$A$15:OFFSET($A696,-1,0),0)))))</f>
        <v>25</v>
      </c>
      <c r="N696" s="177" t="str">
        <f ca="1">IF($D696&lt;&gt;"Serviço","",IF(AUTOEVENTO="Manual",IF($A696=0,"&lt;-- defina o número do agrupador",OFFSET(EVENTOS!$D$14,$A696,0)),OFFSET($F$15,$A696,0)))</f>
        <v>FECHAMENTO - MURO</v>
      </c>
      <c r="O696" s="178"/>
      <c r="Q696" s="178"/>
      <c r="R696" s="179"/>
      <c r="S696" s="179"/>
      <c r="T696" s="179"/>
      <c r="U696" s="179"/>
      <c r="V696" s="179"/>
      <c r="W696" s="179"/>
      <c r="X696" s="179"/>
      <c r="Y696" s="179"/>
      <c r="Z696" s="180"/>
      <c r="AB696" s="544">
        <f ca="1">IF(AND($D696="Serviço",AB$12&lt;&gt;0,$H696&gt;0,OR(AUTOEVENTO&lt;&gt;"manual",$M696&lt;&gt;1)),
IF(Import.TipoArredondamento&lt;&gt;"TransfereGOV",
ROUND(OFFSET($P696,0,AB$13),15-13*ORÇAMENTO!$AF$7)/$H696*OFFSET(ORÇAMENTO!$X$15,ROW(AB696)-ROW(AB$15),0),
ROUND(ROUND(OFFSET($P696,0,AB$13),15-13*ORÇAMENTO!$AF$7)*OFFSET(ORÇAMENTO!$W$15,ROW(AB696)-ROW(AB$15),0),15-13*ORÇAMENTO!$AF$11)),0)</f>
        <v>0</v>
      </c>
      <c r="AC696" s="545">
        <f ca="1">IF(AND($D696="Serviço",AC$12&lt;&gt;0,$H696&gt;0,OR(AUTOEVENTO&lt;&gt;"manual",$M696&lt;&gt;1)),
IF(Import.TipoArredondamento&lt;&gt;"TransfereGOV",
ROUND(OFFSET($P696,0,AC$13),15-13*ORÇAMENTO!$AF$7)/$H696*OFFSET(ORÇAMENTO!$X$15,ROW(AC696)-ROW(AC$15),0),
ROUND(ROUND(OFFSET($P696,0,AC$13),15-13*ORÇAMENTO!$AF$7)*OFFSET(ORÇAMENTO!$W$15,ROW(AC696)-ROW(AC$15),0),15-13*ORÇAMENTO!$AF$11)),0)</f>
        <v>0</v>
      </c>
      <c r="AD696" s="545">
        <f ca="1">IF(AND($D696="Serviço",AD$12&lt;&gt;0,$H696&gt;0,OR(AUTOEVENTO&lt;&gt;"manual",$M696&lt;&gt;1)),
IF(Import.TipoArredondamento&lt;&gt;"TransfereGOV",
ROUND(OFFSET($P696,0,AD$13),15-13*ORÇAMENTO!$AF$7)/$H696*OFFSET(ORÇAMENTO!$X$15,ROW(AD696)-ROW(AD$15),0),
ROUND(ROUND(OFFSET($P696,0,AD$13),15-13*ORÇAMENTO!$AF$7)*OFFSET(ORÇAMENTO!$W$15,ROW(AD696)-ROW(AD$15),0),15-13*ORÇAMENTO!$AF$11)),0)</f>
        <v>0</v>
      </c>
      <c r="AE696" s="545">
        <f ca="1">IF(AND($D696="Serviço",AE$12&lt;&gt;0,$H696&gt;0,OR(AUTOEVENTO&lt;&gt;"manual",$M696&lt;&gt;1)),
IF(Import.TipoArredondamento&lt;&gt;"TransfereGOV",
ROUND(OFFSET($P696,0,AE$13),15-13*ORÇAMENTO!$AF$7)/$H696*OFFSET(ORÇAMENTO!$X$15,ROW(AE696)-ROW(AE$15),0),
ROUND(ROUND(OFFSET($P696,0,AE$13),15-13*ORÇAMENTO!$AF$7)*OFFSET(ORÇAMENTO!$W$15,ROW(AE696)-ROW(AE$15),0),15-13*ORÇAMENTO!$AF$11)),0)</f>
        <v>0</v>
      </c>
      <c r="AF696" s="545">
        <f ca="1">IF(AND($D696="Serviço",AF$12&lt;&gt;0,$H696&gt;0,OR(AUTOEVENTO&lt;&gt;"manual",$M696&lt;&gt;1)),
IF(Import.TipoArredondamento&lt;&gt;"TransfereGOV",
ROUND(OFFSET($P696,0,AF$13),15-13*ORÇAMENTO!$AF$7)/$H696*OFFSET(ORÇAMENTO!$X$15,ROW(AF696)-ROW(AF$15),0),
ROUND(ROUND(OFFSET($P696,0,AF$13),15-13*ORÇAMENTO!$AF$7)*OFFSET(ORÇAMENTO!$W$15,ROW(AF696)-ROW(AF$15),0),15-13*ORÇAMENTO!$AF$11)),0)</f>
        <v>0</v>
      </c>
      <c r="AG696" s="545">
        <f ca="1">IF(AND($D696="Serviço",AG$12&lt;&gt;0,$H696&gt;0,OR(AUTOEVENTO&lt;&gt;"manual",$M696&lt;&gt;1)),
IF(Import.TipoArredondamento&lt;&gt;"TransfereGOV",
ROUND(OFFSET($P696,0,AG$13),15-13*ORÇAMENTO!$AF$7)/$H696*OFFSET(ORÇAMENTO!$X$15,ROW(AG696)-ROW(AG$15),0),
ROUND(ROUND(OFFSET($P696,0,AG$13),15-13*ORÇAMENTO!$AF$7)*OFFSET(ORÇAMENTO!$W$15,ROW(AG696)-ROW(AG$15),0),15-13*ORÇAMENTO!$AF$11)),0)</f>
        <v>0</v>
      </c>
      <c r="AH696" s="545">
        <f ca="1">IF(AND($D696="Serviço",AH$12&lt;&gt;0,$H696&gt;0,OR(AUTOEVENTO&lt;&gt;"manual",$M696&lt;&gt;1)),
IF(Import.TipoArredondamento&lt;&gt;"TransfereGOV",
ROUND(OFFSET($P696,0,AH$13),15-13*ORÇAMENTO!$AF$7)/$H696*OFFSET(ORÇAMENTO!$X$15,ROW(AH696)-ROW(AH$15),0),
ROUND(ROUND(OFFSET($P696,0,AH$13),15-13*ORÇAMENTO!$AF$7)*OFFSET(ORÇAMENTO!$W$15,ROW(AH696)-ROW(AH$15),0),15-13*ORÇAMENTO!$AF$11)),0)</f>
        <v>0</v>
      </c>
      <c r="AI696" s="545">
        <f ca="1">IF(AND($D696="Serviço",AI$12&lt;&gt;0,$H696&gt;0,OR(AUTOEVENTO&lt;&gt;"manual",$M696&lt;&gt;1)),
IF(Import.TipoArredondamento&lt;&gt;"TransfereGOV",
ROUND(OFFSET($P696,0,AI$13),15-13*ORÇAMENTO!$AF$7)/$H696*OFFSET(ORÇAMENTO!$X$15,ROW(AI696)-ROW(AI$15),0),
ROUND(ROUND(OFFSET($P696,0,AI$13),15-13*ORÇAMENTO!$AF$7)*OFFSET(ORÇAMENTO!$W$15,ROW(AI696)-ROW(AI$15),0),15-13*ORÇAMENTO!$AF$11)),0)</f>
        <v>0</v>
      </c>
      <c r="AJ696" s="545">
        <f ca="1">IF(AND($D696="Serviço",AJ$12&lt;&gt;0,$H696&gt;0,OR(AUTOEVENTO&lt;&gt;"manual",$M696&lt;&gt;1)),
IF(Import.TipoArredondamento&lt;&gt;"TransfereGOV",
ROUND(OFFSET($P696,0,AJ$13),15-13*ORÇAMENTO!$AF$7)/$H696*OFFSET(ORÇAMENTO!$X$15,ROW(AJ696)-ROW(AJ$15),0),
ROUND(ROUND(OFFSET($P696,0,AJ$13),15-13*ORÇAMENTO!$AF$7)*OFFSET(ORÇAMENTO!$W$15,ROW(AJ696)-ROW(AJ$15),0),15-13*ORÇAMENTO!$AF$11)),0)</f>
        <v>0</v>
      </c>
      <c r="AK696" s="546">
        <f ca="1">IF(AND($D696="Serviço",AK$12&lt;&gt;0,$H696&gt;0,OR(AUTOEVENTO&lt;&gt;"manual",$M696&lt;&gt;1)),
IF(Import.TipoArredondamento&lt;&gt;"TransfereGOV",
ROUND(OFFSET($P696,0,AK$13),15-13*ORÇAMENTO!$AF$7)/$H696*OFFSET(ORÇAMENTO!$X$15,ROW(AK696)-ROW(AK$15),0),
ROUND(ROUND(OFFSET($P696,0,AK$13),15-13*ORÇAMENTO!$AF$7)*OFFSET(ORÇAMENTO!$W$15,ROW(AK696)-ROW(AK$15),0),15-13*ORÇAMENTO!$AF$11)),0)</f>
        <v>0</v>
      </c>
      <c r="AM696" s="181">
        <f ca="1">IF($D696&lt;&gt;"Serviço",0,IF(AND(AUTOEVENTO="Manual",$M696=1),0,IF(OFFSET(CRONOPLE!$F$14,$M696,AM$13)="",10^12,OFFSET(CRONOPLE!$F$14,$M696,AM$13))))</f>
        <v>1000000000000</v>
      </c>
      <c r="AN696" s="181">
        <f ca="1">IF($D696&lt;&gt;"Serviço",0,IF(AND(AUTOEVENTO="Manual",$M696=1),0,IF(OFFSET(CRONOPLE!$F$14,$M696,AN$13)="",10^12,OFFSET(CRONOPLE!$F$14,$M696,AN$13))))</f>
        <v>1000000000000</v>
      </c>
      <c r="AO696" s="181">
        <f ca="1">IF($D696&lt;&gt;"Serviço",0,IF(AND(AUTOEVENTO="Manual",$M696=1),0,IF(OFFSET(CRONOPLE!$F$14,$M696,AO$13)="",10^12,OFFSET(CRONOPLE!$F$14,$M696,AO$13))))</f>
        <v>1000000000000</v>
      </c>
      <c r="AP696" s="181">
        <f ca="1">IF($D696&lt;&gt;"Serviço",0,IF(AND(AUTOEVENTO="Manual",$M696=1),0,IF(OFFSET(CRONOPLE!$F$14,$M696,AP$13)="",10^12,OFFSET(CRONOPLE!$F$14,$M696,AP$13))))</f>
        <v>1000000000000</v>
      </c>
      <c r="AQ696" s="181">
        <f ca="1">IF($D696&lt;&gt;"Serviço",0,IF(AND(AUTOEVENTO="Manual",$M696=1),0,IF(OFFSET(CRONOPLE!$F$14,$M696,AQ$13)="",10^12,OFFSET(CRONOPLE!$F$14,$M696,AQ$13))))</f>
        <v>1000000000000</v>
      </c>
      <c r="AR696" s="181">
        <f ca="1">IF($D696&lt;&gt;"Serviço",0,IF(AND(AUTOEVENTO="Manual",$M696=1),0,IF(OFFSET(CRONOPLE!$F$14,$M696,AR$13)="",10^12,OFFSET(CRONOPLE!$F$14,$M696,AR$13))))</f>
        <v>1000000000000</v>
      </c>
      <c r="AS696" s="181">
        <f ca="1">IF($D696&lt;&gt;"Serviço",0,IF(AND(AUTOEVENTO="Manual",$M696=1),0,IF(OFFSET(CRONOPLE!$F$14,$M696,AS$13)="",10^12,OFFSET(CRONOPLE!$F$14,$M696,AS$13))))</f>
        <v>1000000000000</v>
      </c>
      <c r="AT696" s="181">
        <f ca="1">IF($D696&lt;&gt;"Serviço",0,IF(AND(AUTOEVENTO="Manual",$M696=1),0,IF(OFFSET(CRONOPLE!$F$14,$M696,AT$13)="",10^12,OFFSET(CRONOPLE!$F$14,$M696,AT$13))))</f>
        <v>1000000000000</v>
      </c>
      <c r="AU696" s="181">
        <f ca="1">IF($D696&lt;&gt;"Serviço",0,IF(AND(AUTOEVENTO="Manual",$M696=1),0,IF(OFFSET(CRONOPLE!$F$14,$M696,AU$13)="",10^12,OFFSET(CRONOPLE!$F$14,$M696,AU$13))))</f>
        <v>1000000000000</v>
      </c>
      <c r="AV696" s="181">
        <f ca="1">IF($D696&lt;&gt;"Serviço",0,IF(AND(AUTOEVENTO="Manual",$M696=1),0,IF(OFFSET(CRONOPLE!$F$14,$M696,AV$13)="",10^12,OFFSET(CRONOPLE!$F$14,$M696,AV$13))))</f>
        <v>1000000000000</v>
      </c>
      <c r="AX696" s="182">
        <f ca="1">IF($D696&lt;&gt;"Serviço",0,IF(OR(AND(AUTOEVENTO="Manual",$M696=1),$M696&gt;(ROW(PLE.lastrow)-ROW(PLE.firstrow))),0,IF(OFFSET(PLE!$G$14,$M696,AX$13)="",10^12,OFFSET(PLE!$G$14,$M696,AX$13))))</f>
        <v>1000000000000</v>
      </c>
      <c r="AY696" s="182">
        <f ca="1">IF($D696&lt;&gt;"Serviço",0,IF(OR(AND(AUTOEVENTO="Manual",$M696=1),$M696&gt;(ROW(PLE.lastrow)-ROW(PLE.firstrow))),0,IF(OFFSET(PLE!$G$14,$M696,AY$13)="",10^12,OFFSET(PLE!$G$14,$M696,AY$13))))</f>
        <v>1000000000000</v>
      </c>
      <c r="AZ696" s="182">
        <f ca="1">IF($D696&lt;&gt;"Serviço",0,IF(OR(AND(AUTOEVENTO="Manual",$M696=1),$M696&gt;(ROW(PLE.lastrow)-ROW(PLE.firstrow))),0,IF(OFFSET(PLE!$G$14,$M696,AZ$13)="",10^12,OFFSET(PLE!$G$14,$M696,AZ$13))))</f>
        <v>1000000000000</v>
      </c>
      <c r="BA696" s="182">
        <f ca="1">IF($D696&lt;&gt;"Serviço",0,IF(OR(AND(AUTOEVENTO="Manual",$M696=1),$M696&gt;(ROW(PLE.lastrow)-ROW(PLE.firstrow))),0,IF(OFFSET(PLE!$G$14,$M696,BA$13)="",10^12,OFFSET(PLE!$G$14,$M696,BA$13))))</f>
        <v>1000000000000</v>
      </c>
      <c r="BB696" s="182">
        <f ca="1">IF($D696&lt;&gt;"Serviço",0,IF(OR(AND(AUTOEVENTO="Manual",$M696=1),$M696&gt;(ROW(PLE.lastrow)-ROW(PLE.firstrow))),0,IF(OFFSET(PLE!$G$14,$M696,BB$13)="",10^12,OFFSET(PLE!$G$14,$M696,BB$13))))</f>
        <v>1000000000000</v>
      </c>
      <c r="BC696" s="182">
        <f ca="1">IF($D696&lt;&gt;"Serviço",0,IF(OR(AND(AUTOEVENTO="Manual",$M696=1),$M696&gt;(ROW(PLE.lastrow)-ROW(PLE.firstrow))),0,IF(OFFSET(PLE!$G$14,$M696,BC$13)="",10^12,OFFSET(PLE!$G$14,$M696,BC$13))))</f>
        <v>1000000000000</v>
      </c>
      <c r="BD696" s="182">
        <f ca="1">IF($D696&lt;&gt;"Serviço",0,IF(OR(AND(AUTOEVENTO="Manual",$M696=1),$M696&gt;(ROW(PLE.lastrow)-ROW(PLE.firstrow))),0,IF(OFFSET(PLE!$G$14,$M696,BD$13)="",10^12,OFFSET(PLE!$G$14,$M696,BD$13))))</f>
        <v>1000000000000</v>
      </c>
      <c r="BE696" s="182">
        <f ca="1">IF($D696&lt;&gt;"Serviço",0,IF(OR(AND(AUTOEVENTO="Manual",$M696=1),$M696&gt;(ROW(PLE.lastrow)-ROW(PLE.firstrow))),0,IF(OFFSET(PLE!$G$14,$M696,BE$13)="",10^12,OFFSET(PLE!$G$14,$M696,BE$13))))</f>
        <v>1000000000000</v>
      </c>
      <c r="BF696" s="182">
        <f ca="1">IF($D696&lt;&gt;"Serviço",0,IF(OR(AND(AUTOEVENTO="Manual",$M696=1),$M696&gt;(ROW(PLE.lastrow)-ROW(PLE.firstrow))),0,IF(OFFSET(PLE!$G$14,$M696,BF$13)="",10^12,OFFSET(PLE!$G$14,$M696,BF$13))))</f>
        <v>1000000000000</v>
      </c>
      <c r="BG696" s="182">
        <f ca="1">IF($D696&lt;&gt;"Serviço",0,IF(OR(AND(AUTOEVENTO="Manual",$M696=1),$M696&gt;(ROW(PLE.lastrow)-ROW(PLE.firstrow))),0,IF(OFFSET(PLE!$G$14,$M696,BG$13)="",10^12,OFFSET(PLE!$G$14,$M696,BG$13))))</f>
        <v>1000000000000</v>
      </c>
    </row>
    <row r="697" spans="1:59" ht="38.25" x14ac:dyDescent="0.2">
      <c r="A697" s="7" t="str">
        <f t="shared" ca="1" si="17"/>
        <v>679</v>
      </c>
      <c r="B697" s="7" t="str">
        <f ca="1">OFFSET(ORÇAMENTO!C$15,ROW(B697)-ROW(B$15),0)</f>
        <v>S</v>
      </c>
      <c r="C697" s="7" t="str">
        <f ca="1">OFFSET(ORÇAMENTO!L$15,ROW(C697)-ROW(C$15),0)</f>
        <v/>
      </c>
      <c r="D697" s="118" t="str">
        <f ca="1">OFFSET(ORÇAMENTO!N$15,ROW(D697)-ROW(D$15),0)</f>
        <v>Serviço</v>
      </c>
      <c r="E697" s="119" t="str">
        <f ca="1">OFFSET(ORÇAMENTO!O$15,ROW(E697)-ROW(E$15),0)</f>
        <v>-</v>
      </c>
      <c r="F697" s="172" t="str">
        <f ca="1">OFFSET(ORÇAMENTO!R$15,ROW(F697)-ROW(F$15),0)</f>
        <v>(abra o arquivo 'Referência 02-2025.xlsm)</v>
      </c>
      <c r="G697" s="173" t="str">
        <f ca="1">IF($D697&lt;&gt;"Serviço","",OFFSET(ORÇAMENTO!S$15,ROW(G697)-ROW(G$15),0))</f>
        <v>-</v>
      </c>
      <c r="H697" s="124">
        <f ca="1">IF($D697&lt;&gt;"Serviço",0,IF(ACOMPANHAMENTO="BM",ROUND(OFFSET(ORÇAMENTO!AJ$15,ROW(H697)-ROW(H$15),0),15-13*ORÇAMENTO!$AF$7),SUMPRODUCT(($Q$12:$AA$12&lt;&gt;"")*ROUND($Q697:$AA697,15-13*ORÇAMENTO!$AF$7))))</f>
        <v>48.36</v>
      </c>
      <c r="I697" s="561" t="s">
        <v>890</v>
      </c>
      <c r="K697" s="174"/>
      <c r="L697" s="175" t="s">
        <v>255</v>
      </c>
      <c r="M697" s="176">
        <f ca="1">IF($D697&lt;&gt;"Serviço","",IF(AUTOEVENTO="manual",$A697,IF(ISERROR(MATCH($A697,$A$15:OFFSET($A697,-1,0),0)),MAX($M$15:OFFSET(M697,-1,0))+1,INDEX($M$15:OFFSET(M697,-1,0),MATCH($A697,$A$15:OFFSET($A697,-1,0),0)))))</f>
        <v>25</v>
      </c>
      <c r="N697" s="177" t="str">
        <f ca="1">IF($D697&lt;&gt;"Serviço","",IF(AUTOEVENTO="Manual",IF($A697=0,"&lt;-- defina o número do agrupador",OFFSET(EVENTOS!$D$14,$A697,0)),OFFSET($F$15,$A697,0)))</f>
        <v>FECHAMENTO - MURO</v>
      </c>
      <c r="O697" s="178"/>
      <c r="Q697" s="178"/>
      <c r="R697" s="179"/>
      <c r="S697" s="179"/>
      <c r="T697" s="179"/>
      <c r="U697" s="179"/>
      <c r="V697" s="179"/>
      <c r="W697" s="179"/>
      <c r="X697" s="179"/>
      <c r="Y697" s="179"/>
      <c r="Z697" s="180"/>
      <c r="AB697" s="544">
        <f ca="1">IF(AND($D697="Serviço",AB$12&lt;&gt;0,$H697&gt;0,OR(AUTOEVENTO&lt;&gt;"manual",$M697&lt;&gt;1)),
IF(Import.TipoArredondamento&lt;&gt;"TransfereGOV",
ROUND(OFFSET($P697,0,AB$13),15-13*ORÇAMENTO!$AF$7)/$H697*OFFSET(ORÇAMENTO!$X$15,ROW(AB697)-ROW(AB$15),0),
ROUND(ROUND(OFFSET($P697,0,AB$13),15-13*ORÇAMENTO!$AF$7)*OFFSET(ORÇAMENTO!$W$15,ROW(AB697)-ROW(AB$15),0),15-13*ORÇAMENTO!$AF$11)),0)</f>
        <v>0</v>
      </c>
      <c r="AC697" s="545">
        <f ca="1">IF(AND($D697="Serviço",AC$12&lt;&gt;0,$H697&gt;0,OR(AUTOEVENTO&lt;&gt;"manual",$M697&lt;&gt;1)),
IF(Import.TipoArredondamento&lt;&gt;"TransfereGOV",
ROUND(OFFSET($P697,0,AC$13),15-13*ORÇAMENTO!$AF$7)/$H697*OFFSET(ORÇAMENTO!$X$15,ROW(AC697)-ROW(AC$15),0),
ROUND(ROUND(OFFSET($P697,0,AC$13),15-13*ORÇAMENTO!$AF$7)*OFFSET(ORÇAMENTO!$W$15,ROW(AC697)-ROW(AC$15),0),15-13*ORÇAMENTO!$AF$11)),0)</f>
        <v>0</v>
      </c>
      <c r="AD697" s="545">
        <f ca="1">IF(AND($D697="Serviço",AD$12&lt;&gt;0,$H697&gt;0,OR(AUTOEVENTO&lt;&gt;"manual",$M697&lt;&gt;1)),
IF(Import.TipoArredondamento&lt;&gt;"TransfereGOV",
ROUND(OFFSET($P697,0,AD$13),15-13*ORÇAMENTO!$AF$7)/$H697*OFFSET(ORÇAMENTO!$X$15,ROW(AD697)-ROW(AD$15),0),
ROUND(ROUND(OFFSET($P697,0,AD$13),15-13*ORÇAMENTO!$AF$7)*OFFSET(ORÇAMENTO!$W$15,ROW(AD697)-ROW(AD$15),0),15-13*ORÇAMENTO!$AF$11)),0)</f>
        <v>0</v>
      </c>
      <c r="AE697" s="545">
        <f ca="1">IF(AND($D697="Serviço",AE$12&lt;&gt;0,$H697&gt;0,OR(AUTOEVENTO&lt;&gt;"manual",$M697&lt;&gt;1)),
IF(Import.TipoArredondamento&lt;&gt;"TransfereGOV",
ROUND(OFFSET($P697,0,AE$13),15-13*ORÇAMENTO!$AF$7)/$H697*OFFSET(ORÇAMENTO!$X$15,ROW(AE697)-ROW(AE$15),0),
ROUND(ROUND(OFFSET($P697,0,AE$13),15-13*ORÇAMENTO!$AF$7)*OFFSET(ORÇAMENTO!$W$15,ROW(AE697)-ROW(AE$15),0),15-13*ORÇAMENTO!$AF$11)),0)</f>
        <v>0</v>
      </c>
      <c r="AF697" s="545">
        <f ca="1">IF(AND($D697="Serviço",AF$12&lt;&gt;0,$H697&gt;0,OR(AUTOEVENTO&lt;&gt;"manual",$M697&lt;&gt;1)),
IF(Import.TipoArredondamento&lt;&gt;"TransfereGOV",
ROUND(OFFSET($P697,0,AF$13),15-13*ORÇAMENTO!$AF$7)/$H697*OFFSET(ORÇAMENTO!$X$15,ROW(AF697)-ROW(AF$15),0),
ROUND(ROUND(OFFSET($P697,0,AF$13),15-13*ORÇAMENTO!$AF$7)*OFFSET(ORÇAMENTO!$W$15,ROW(AF697)-ROW(AF$15),0),15-13*ORÇAMENTO!$AF$11)),0)</f>
        <v>0</v>
      </c>
      <c r="AG697" s="545">
        <f ca="1">IF(AND($D697="Serviço",AG$12&lt;&gt;0,$H697&gt;0,OR(AUTOEVENTO&lt;&gt;"manual",$M697&lt;&gt;1)),
IF(Import.TipoArredondamento&lt;&gt;"TransfereGOV",
ROUND(OFFSET($P697,0,AG$13),15-13*ORÇAMENTO!$AF$7)/$H697*OFFSET(ORÇAMENTO!$X$15,ROW(AG697)-ROW(AG$15),0),
ROUND(ROUND(OFFSET($P697,0,AG$13),15-13*ORÇAMENTO!$AF$7)*OFFSET(ORÇAMENTO!$W$15,ROW(AG697)-ROW(AG$15),0),15-13*ORÇAMENTO!$AF$11)),0)</f>
        <v>0</v>
      </c>
      <c r="AH697" s="545">
        <f ca="1">IF(AND($D697="Serviço",AH$12&lt;&gt;0,$H697&gt;0,OR(AUTOEVENTO&lt;&gt;"manual",$M697&lt;&gt;1)),
IF(Import.TipoArredondamento&lt;&gt;"TransfereGOV",
ROUND(OFFSET($P697,0,AH$13),15-13*ORÇAMENTO!$AF$7)/$H697*OFFSET(ORÇAMENTO!$X$15,ROW(AH697)-ROW(AH$15),0),
ROUND(ROUND(OFFSET($P697,0,AH$13),15-13*ORÇAMENTO!$AF$7)*OFFSET(ORÇAMENTO!$W$15,ROW(AH697)-ROW(AH$15),0),15-13*ORÇAMENTO!$AF$11)),0)</f>
        <v>0</v>
      </c>
      <c r="AI697" s="545">
        <f ca="1">IF(AND($D697="Serviço",AI$12&lt;&gt;0,$H697&gt;0,OR(AUTOEVENTO&lt;&gt;"manual",$M697&lt;&gt;1)),
IF(Import.TipoArredondamento&lt;&gt;"TransfereGOV",
ROUND(OFFSET($P697,0,AI$13),15-13*ORÇAMENTO!$AF$7)/$H697*OFFSET(ORÇAMENTO!$X$15,ROW(AI697)-ROW(AI$15),0),
ROUND(ROUND(OFFSET($P697,0,AI$13),15-13*ORÇAMENTO!$AF$7)*OFFSET(ORÇAMENTO!$W$15,ROW(AI697)-ROW(AI$15),0),15-13*ORÇAMENTO!$AF$11)),0)</f>
        <v>0</v>
      </c>
      <c r="AJ697" s="545">
        <f ca="1">IF(AND($D697="Serviço",AJ$12&lt;&gt;0,$H697&gt;0,OR(AUTOEVENTO&lt;&gt;"manual",$M697&lt;&gt;1)),
IF(Import.TipoArredondamento&lt;&gt;"TransfereGOV",
ROUND(OFFSET($P697,0,AJ$13),15-13*ORÇAMENTO!$AF$7)/$H697*OFFSET(ORÇAMENTO!$X$15,ROW(AJ697)-ROW(AJ$15),0),
ROUND(ROUND(OFFSET($P697,0,AJ$13),15-13*ORÇAMENTO!$AF$7)*OFFSET(ORÇAMENTO!$W$15,ROW(AJ697)-ROW(AJ$15),0),15-13*ORÇAMENTO!$AF$11)),0)</f>
        <v>0</v>
      </c>
      <c r="AK697" s="546">
        <f ca="1">IF(AND($D697="Serviço",AK$12&lt;&gt;0,$H697&gt;0,OR(AUTOEVENTO&lt;&gt;"manual",$M697&lt;&gt;1)),
IF(Import.TipoArredondamento&lt;&gt;"TransfereGOV",
ROUND(OFFSET($P697,0,AK$13),15-13*ORÇAMENTO!$AF$7)/$H697*OFFSET(ORÇAMENTO!$X$15,ROW(AK697)-ROW(AK$15),0),
ROUND(ROUND(OFFSET($P697,0,AK$13),15-13*ORÇAMENTO!$AF$7)*OFFSET(ORÇAMENTO!$W$15,ROW(AK697)-ROW(AK$15),0),15-13*ORÇAMENTO!$AF$11)),0)</f>
        <v>0</v>
      </c>
      <c r="AM697" s="181">
        <f ca="1">IF($D697&lt;&gt;"Serviço",0,IF(AND(AUTOEVENTO="Manual",$M697=1),0,IF(OFFSET(CRONOPLE!$F$14,$M697,AM$13)="",10^12,OFFSET(CRONOPLE!$F$14,$M697,AM$13))))</f>
        <v>1000000000000</v>
      </c>
      <c r="AN697" s="181">
        <f ca="1">IF($D697&lt;&gt;"Serviço",0,IF(AND(AUTOEVENTO="Manual",$M697=1),0,IF(OFFSET(CRONOPLE!$F$14,$M697,AN$13)="",10^12,OFFSET(CRONOPLE!$F$14,$M697,AN$13))))</f>
        <v>1000000000000</v>
      </c>
      <c r="AO697" s="181">
        <f ca="1">IF($D697&lt;&gt;"Serviço",0,IF(AND(AUTOEVENTO="Manual",$M697=1),0,IF(OFFSET(CRONOPLE!$F$14,$M697,AO$13)="",10^12,OFFSET(CRONOPLE!$F$14,$M697,AO$13))))</f>
        <v>1000000000000</v>
      </c>
      <c r="AP697" s="181">
        <f ca="1">IF($D697&lt;&gt;"Serviço",0,IF(AND(AUTOEVENTO="Manual",$M697=1),0,IF(OFFSET(CRONOPLE!$F$14,$M697,AP$13)="",10^12,OFFSET(CRONOPLE!$F$14,$M697,AP$13))))</f>
        <v>1000000000000</v>
      </c>
      <c r="AQ697" s="181">
        <f ca="1">IF($D697&lt;&gt;"Serviço",0,IF(AND(AUTOEVENTO="Manual",$M697=1),0,IF(OFFSET(CRONOPLE!$F$14,$M697,AQ$13)="",10^12,OFFSET(CRONOPLE!$F$14,$M697,AQ$13))))</f>
        <v>1000000000000</v>
      </c>
      <c r="AR697" s="181">
        <f ca="1">IF($D697&lt;&gt;"Serviço",0,IF(AND(AUTOEVENTO="Manual",$M697=1),0,IF(OFFSET(CRONOPLE!$F$14,$M697,AR$13)="",10^12,OFFSET(CRONOPLE!$F$14,$M697,AR$13))))</f>
        <v>1000000000000</v>
      </c>
      <c r="AS697" s="181">
        <f ca="1">IF($D697&lt;&gt;"Serviço",0,IF(AND(AUTOEVENTO="Manual",$M697=1),0,IF(OFFSET(CRONOPLE!$F$14,$M697,AS$13)="",10^12,OFFSET(CRONOPLE!$F$14,$M697,AS$13))))</f>
        <v>1000000000000</v>
      </c>
      <c r="AT697" s="181">
        <f ca="1">IF($D697&lt;&gt;"Serviço",0,IF(AND(AUTOEVENTO="Manual",$M697=1),0,IF(OFFSET(CRONOPLE!$F$14,$M697,AT$13)="",10^12,OFFSET(CRONOPLE!$F$14,$M697,AT$13))))</f>
        <v>1000000000000</v>
      </c>
      <c r="AU697" s="181">
        <f ca="1">IF($D697&lt;&gt;"Serviço",0,IF(AND(AUTOEVENTO="Manual",$M697=1),0,IF(OFFSET(CRONOPLE!$F$14,$M697,AU$13)="",10^12,OFFSET(CRONOPLE!$F$14,$M697,AU$13))))</f>
        <v>1000000000000</v>
      </c>
      <c r="AV697" s="181">
        <f ca="1">IF($D697&lt;&gt;"Serviço",0,IF(AND(AUTOEVENTO="Manual",$M697=1),0,IF(OFFSET(CRONOPLE!$F$14,$M697,AV$13)="",10^12,OFFSET(CRONOPLE!$F$14,$M697,AV$13))))</f>
        <v>1000000000000</v>
      </c>
      <c r="AX697" s="182">
        <f ca="1">IF($D697&lt;&gt;"Serviço",0,IF(OR(AND(AUTOEVENTO="Manual",$M697=1),$M697&gt;(ROW(PLE.lastrow)-ROW(PLE.firstrow))),0,IF(OFFSET(PLE!$G$14,$M697,AX$13)="",10^12,OFFSET(PLE!$G$14,$M697,AX$13))))</f>
        <v>1000000000000</v>
      </c>
      <c r="AY697" s="182">
        <f ca="1">IF($D697&lt;&gt;"Serviço",0,IF(OR(AND(AUTOEVENTO="Manual",$M697=1),$M697&gt;(ROW(PLE.lastrow)-ROW(PLE.firstrow))),0,IF(OFFSET(PLE!$G$14,$M697,AY$13)="",10^12,OFFSET(PLE!$G$14,$M697,AY$13))))</f>
        <v>1000000000000</v>
      </c>
      <c r="AZ697" s="182">
        <f ca="1">IF($D697&lt;&gt;"Serviço",0,IF(OR(AND(AUTOEVENTO="Manual",$M697=1),$M697&gt;(ROW(PLE.lastrow)-ROW(PLE.firstrow))),0,IF(OFFSET(PLE!$G$14,$M697,AZ$13)="",10^12,OFFSET(PLE!$G$14,$M697,AZ$13))))</f>
        <v>1000000000000</v>
      </c>
      <c r="BA697" s="182">
        <f ca="1">IF($D697&lt;&gt;"Serviço",0,IF(OR(AND(AUTOEVENTO="Manual",$M697=1),$M697&gt;(ROW(PLE.lastrow)-ROW(PLE.firstrow))),0,IF(OFFSET(PLE!$G$14,$M697,BA$13)="",10^12,OFFSET(PLE!$G$14,$M697,BA$13))))</f>
        <v>1000000000000</v>
      </c>
      <c r="BB697" s="182">
        <f ca="1">IF($D697&lt;&gt;"Serviço",0,IF(OR(AND(AUTOEVENTO="Manual",$M697=1),$M697&gt;(ROW(PLE.lastrow)-ROW(PLE.firstrow))),0,IF(OFFSET(PLE!$G$14,$M697,BB$13)="",10^12,OFFSET(PLE!$G$14,$M697,BB$13))))</f>
        <v>1000000000000</v>
      </c>
      <c r="BC697" s="182">
        <f ca="1">IF($D697&lt;&gt;"Serviço",0,IF(OR(AND(AUTOEVENTO="Manual",$M697=1),$M697&gt;(ROW(PLE.lastrow)-ROW(PLE.firstrow))),0,IF(OFFSET(PLE!$G$14,$M697,BC$13)="",10^12,OFFSET(PLE!$G$14,$M697,BC$13))))</f>
        <v>1000000000000</v>
      </c>
      <c r="BD697" s="182">
        <f ca="1">IF($D697&lt;&gt;"Serviço",0,IF(OR(AND(AUTOEVENTO="Manual",$M697=1),$M697&gt;(ROW(PLE.lastrow)-ROW(PLE.firstrow))),0,IF(OFFSET(PLE!$G$14,$M697,BD$13)="",10^12,OFFSET(PLE!$G$14,$M697,BD$13))))</f>
        <v>1000000000000</v>
      </c>
      <c r="BE697" s="182">
        <f ca="1">IF($D697&lt;&gt;"Serviço",0,IF(OR(AND(AUTOEVENTO="Manual",$M697=1),$M697&gt;(ROW(PLE.lastrow)-ROW(PLE.firstrow))),0,IF(OFFSET(PLE!$G$14,$M697,BE$13)="",10^12,OFFSET(PLE!$G$14,$M697,BE$13))))</f>
        <v>1000000000000</v>
      </c>
      <c r="BF697" s="182">
        <f ca="1">IF($D697&lt;&gt;"Serviço",0,IF(OR(AND(AUTOEVENTO="Manual",$M697=1),$M697&gt;(ROW(PLE.lastrow)-ROW(PLE.firstrow))),0,IF(OFFSET(PLE!$G$14,$M697,BF$13)="",10^12,OFFSET(PLE!$G$14,$M697,BF$13))))</f>
        <v>1000000000000</v>
      </c>
      <c r="BG697" s="182">
        <f ca="1">IF($D697&lt;&gt;"Serviço",0,IF(OR(AND(AUTOEVENTO="Manual",$M697=1),$M697&gt;(ROW(PLE.lastrow)-ROW(PLE.firstrow))),0,IF(OFFSET(PLE!$G$14,$M697,BG$13)="",10^12,OFFSET(PLE!$G$14,$M697,BG$13))))</f>
        <v>1000000000000</v>
      </c>
    </row>
    <row r="698" spans="1:59" ht="25.5" x14ac:dyDescent="0.2">
      <c r="A698" s="7" t="str">
        <f t="shared" ca="1" si="17"/>
        <v>679</v>
      </c>
      <c r="B698" s="7" t="str">
        <f ca="1">OFFSET(ORÇAMENTO!C$15,ROW(B698)-ROW(B$15),0)</f>
        <v>S</v>
      </c>
      <c r="C698" s="7" t="str">
        <f ca="1">OFFSET(ORÇAMENTO!L$15,ROW(C698)-ROW(C$15),0)</f>
        <v/>
      </c>
      <c r="D698" s="118" t="str">
        <f ca="1">OFFSET(ORÇAMENTO!N$15,ROW(D698)-ROW(D$15),0)</f>
        <v>Serviço</v>
      </c>
      <c r="E698" s="119" t="str">
        <f ca="1">OFFSET(ORÇAMENTO!O$15,ROW(E698)-ROW(E$15),0)</f>
        <v>-</v>
      </c>
      <c r="F698" s="172" t="str">
        <f ca="1">OFFSET(ORÇAMENTO!R$15,ROW(F698)-ROW(F$15),0)</f>
        <v>(abra o arquivo 'Referência 02-2025.xlsm)</v>
      </c>
      <c r="G698" s="173" t="str">
        <f ca="1">IF($D698&lt;&gt;"Serviço","",OFFSET(ORÇAMENTO!S$15,ROW(G698)-ROW(G$15),0))</f>
        <v>-</v>
      </c>
      <c r="H698" s="124">
        <f ca="1">IF($D698&lt;&gt;"Serviço",0,IF(ACOMPANHAMENTO="BM",ROUND(OFFSET(ORÇAMENTO!AJ$15,ROW(H698)-ROW(H$15),0),15-13*ORÇAMENTO!$AF$7),SUMPRODUCT(($Q$12:$AA$12&lt;&gt;"")*ROUND($Q698:$AA698,15-13*ORÇAMENTO!$AF$7))))</f>
        <v>270.39</v>
      </c>
      <c r="I698" s="561" t="s">
        <v>890</v>
      </c>
      <c r="K698" s="174"/>
      <c r="L698" s="175" t="s">
        <v>255</v>
      </c>
      <c r="M698" s="176">
        <f ca="1">IF($D698&lt;&gt;"Serviço","",IF(AUTOEVENTO="manual",$A698,IF(ISERROR(MATCH($A698,$A$15:OFFSET($A698,-1,0),0)),MAX($M$15:OFFSET(M698,-1,0))+1,INDEX($M$15:OFFSET(M698,-1,0),MATCH($A698,$A$15:OFFSET($A698,-1,0),0)))))</f>
        <v>25</v>
      </c>
      <c r="N698" s="177" t="str">
        <f ca="1">IF($D698&lt;&gt;"Serviço","",IF(AUTOEVENTO="Manual",IF($A698=0,"&lt;-- defina o número do agrupador",OFFSET(EVENTOS!$D$14,$A698,0)),OFFSET($F$15,$A698,0)))</f>
        <v>FECHAMENTO - MURO</v>
      </c>
      <c r="O698" s="178"/>
      <c r="Q698" s="178"/>
      <c r="R698" s="179"/>
      <c r="S698" s="179"/>
      <c r="T698" s="179"/>
      <c r="U698" s="179"/>
      <c r="V698" s="179"/>
      <c r="W698" s="179"/>
      <c r="X698" s="179"/>
      <c r="Y698" s="179"/>
      <c r="Z698" s="180"/>
      <c r="AB698" s="544">
        <f ca="1">IF(AND($D698="Serviço",AB$12&lt;&gt;0,$H698&gt;0,OR(AUTOEVENTO&lt;&gt;"manual",$M698&lt;&gt;1)),
IF(Import.TipoArredondamento&lt;&gt;"TransfereGOV",
ROUND(OFFSET($P698,0,AB$13),15-13*ORÇAMENTO!$AF$7)/$H698*OFFSET(ORÇAMENTO!$X$15,ROW(AB698)-ROW(AB$15),0),
ROUND(ROUND(OFFSET($P698,0,AB$13),15-13*ORÇAMENTO!$AF$7)*OFFSET(ORÇAMENTO!$W$15,ROW(AB698)-ROW(AB$15),0),15-13*ORÇAMENTO!$AF$11)),0)</f>
        <v>0</v>
      </c>
      <c r="AC698" s="545">
        <f ca="1">IF(AND($D698="Serviço",AC$12&lt;&gt;0,$H698&gt;0,OR(AUTOEVENTO&lt;&gt;"manual",$M698&lt;&gt;1)),
IF(Import.TipoArredondamento&lt;&gt;"TransfereGOV",
ROUND(OFFSET($P698,0,AC$13),15-13*ORÇAMENTO!$AF$7)/$H698*OFFSET(ORÇAMENTO!$X$15,ROW(AC698)-ROW(AC$15),0),
ROUND(ROUND(OFFSET($P698,0,AC$13),15-13*ORÇAMENTO!$AF$7)*OFFSET(ORÇAMENTO!$W$15,ROW(AC698)-ROW(AC$15),0),15-13*ORÇAMENTO!$AF$11)),0)</f>
        <v>0</v>
      </c>
      <c r="AD698" s="545">
        <f ca="1">IF(AND($D698="Serviço",AD$12&lt;&gt;0,$H698&gt;0,OR(AUTOEVENTO&lt;&gt;"manual",$M698&lt;&gt;1)),
IF(Import.TipoArredondamento&lt;&gt;"TransfereGOV",
ROUND(OFFSET($P698,0,AD$13),15-13*ORÇAMENTO!$AF$7)/$H698*OFFSET(ORÇAMENTO!$X$15,ROW(AD698)-ROW(AD$15),0),
ROUND(ROUND(OFFSET($P698,0,AD$13),15-13*ORÇAMENTO!$AF$7)*OFFSET(ORÇAMENTO!$W$15,ROW(AD698)-ROW(AD$15),0),15-13*ORÇAMENTO!$AF$11)),0)</f>
        <v>0</v>
      </c>
      <c r="AE698" s="545">
        <f ca="1">IF(AND($D698="Serviço",AE$12&lt;&gt;0,$H698&gt;0,OR(AUTOEVENTO&lt;&gt;"manual",$M698&lt;&gt;1)),
IF(Import.TipoArredondamento&lt;&gt;"TransfereGOV",
ROUND(OFFSET($P698,0,AE$13),15-13*ORÇAMENTO!$AF$7)/$H698*OFFSET(ORÇAMENTO!$X$15,ROW(AE698)-ROW(AE$15),0),
ROUND(ROUND(OFFSET($P698,0,AE$13),15-13*ORÇAMENTO!$AF$7)*OFFSET(ORÇAMENTO!$W$15,ROW(AE698)-ROW(AE$15),0),15-13*ORÇAMENTO!$AF$11)),0)</f>
        <v>0</v>
      </c>
      <c r="AF698" s="545">
        <f ca="1">IF(AND($D698="Serviço",AF$12&lt;&gt;0,$H698&gt;0,OR(AUTOEVENTO&lt;&gt;"manual",$M698&lt;&gt;1)),
IF(Import.TipoArredondamento&lt;&gt;"TransfereGOV",
ROUND(OFFSET($P698,0,AF$13),15-13*ORÇAMENTO!$AF$7)/$H698*OFFSET(ORÇAMENTO!$X$15,ROW(AF698)-ROW(AF$15),0),
ROUND(ROUND(OFFSET($P698,0,AF$13),15-13*ORÇAMENTO!$AF$7)*OFFSET(ORÇAMENTO!$W$15,ROW(AF698)-ROW(AF$15),0),15-13*ORÇAMENTO!$AF$11)),0)</f>
        <v>0</v>
      </c>
      <c r="AG698" s="545">
        <f ca="1">IF(AND($D698="Serviço",AG$12&lt;&gt;0,$H698&gt;0,OR(AUTOEVENTO&lt;&gt;"manual",$M698&lt;&gt;1)),
IF(Import.TipoArredondamento&lt;&gt;"TransfereGOV",
ROUND(OFFSET($P698,0,AG$13),15-13*ORÇAMENTO!$AF$7)/$H698*OFFSET(ORÇAMENTO!$X$15,ROW(AG698)-ROW(AG$15),0),
ROUND(ROUND(OFFSET($P698,0,AG$13),15-13*ORÇAMENTO!$AF$7)*OFFSET(ORÇAMENTO!$W$15,ROW(AG698)-ROW(AG$15),0),15-13*ORÇAMENTO!$AF$11)),0)</f>
        <v>0</v>
      </c>
      <c r="AH698" s="545">
        <f ca="1">IF(AND($D698="Serviço",AH$12&lt;&gt;0,$H698&gt;0,OR(AUTOEVENTO&lt;&gt;"manual",$M698&lt;&gt;1)),
IF(Import.TipoArredondamento&lt;&gt;"TransfereGOV",
ROUND(OFFSET($P698,0,AH$13),15-13*ORÇAMENTO!$AF$7)/$H698*OFFSET(ORÇAMENTO!$X$15,ROW(AH698)-ROW(AH$15),0),
ROUND(ROUND(OFFSET($P698,0,AH$13),15-13*ORÇAMENTO!$AF$7)*OFFSET(ORÇAMENTO!$W$15,ROW(AH698)-ROW(AH$15),0),15-13*ORÇAMENTO!$AF$11)),0)</f>
        <v>0</v>
      </c>
      <c r="AI698" s="545">
        <f ca="1">IF(AND($D698="Serviço",AI$12&lt;&gt;0,$H698&gt;0,OR(AUTOEVENTO&lt;&gt;"manual",$M698&lt;&gt;1)),
IF(Import.TipoArredondamento&lt;&gt;"TransfereGOV",
ROUND(OFFSET($P698,0,AI$13),15-13*ORÇAMENTO!$AF$7)/$H698*OFFSET(ORÇAMENTO!$X$15,ROW(AI698)-ROW(AI$15),0),
ROUND(ROUND(OFFSET($P698,0,AI$13),15-13*ORÇAMENTO!$AF$7)*OFFSET(ORÇAMENTO!$W$15,ROW(AI698)-ROW(AI$15),0),15-13*ORÇAMENTO!$AF$11)),0)</f>
        <v>0</v>
      </c>
      <c r="AJ698" s="545">
        <f ca="1">IF(AND($D698="Serviço",AJ$12&lt;&gt;0,$H698&gt;0,OR(AUTOEVENTO&lt;&gt;"manual",$M698&lt;&gt;1)),
IF(Import.TipoArredondamento&lt;&gt;"TransfereGOV",
ROUND(OFFSET($P698,0,AJ$13),15-13*ORÇAMENTO!$AF$7)/$H698*OFFSET(ORÇAMENTO!$X$15,ROW(AJ698)-ROW(AJ$15),0),
ROUND(ROUND(OFFSET($P698,0,AJ$13),15-13*ORÇAMENTO!$AF$7)*OFFSET(ORÇAMENTO!$W$15,ROW(AJ698)-ROW(AJ$15),0),15-13*ORÇAMENTO!$AF$11)),0)</f>
        <v>0</v>
      </c>
      <c r="AK698" s="546">
        <f ca="1">IF(AND($D698="Serviço",AK$12&lt;&gt;0,$H698&gt;0,OR(AUTOEVENTO&lt;&gt;"manual",$M698&lt;&gt;1)),
IF(Import.TipoArredondamento&lt;&gt;"TransfereGOV",
ROUND(OFFSET($P698,0,AK$13),15-13*ORÇAMENTO!$AF$7)/$H698*OFFSET(ORÇAMENTO!$X$15,ROW(AK698)-ROW(AK$15),0),
ROUND(ROUND(OFFSET($P698,0,AK$13),15-13*ORÇAMENTO!$AF$7)*OFFSET(ORÇAMENTO!$W$15,ROW(AK698)-ROW(AK$15),0),15-13*ORÇAMENTO!$AF$11)),0)</f>
        <v>0</v>
      </c>
      <c r="AM698" s="181">
        <f ca="1">IF($D698&lt;&gt;"Serviço",0,IF(AND(AUTOEVENTO="Manual",$M698=1),0,IF(OFFSET(CRONOPLE!$F$14,$M698,AM$13)="",10^12,OFFSET(CRONOPLE!$F$14,$M698,AM$13))))</f>
        <v>1000000000000</v>
      </c>
      <c r="AN698" s="181">
        <f ca="1">IF($D698&lt;&gt;"Serviço",0,IF(AND(AUTOEVENTO="Manual",$M698=1),0,IF(OFFSET(CRONOPLE!$F$14,$M698,AN$13)="",10^12,OFFSET(CRONOPLE!$F$14,$M698,AN$13))))</f>
        <v>1000000000000</v>
      </c>
      <c r="AO698" s="181">
        <f ca="1">IF($D698&lt;&gt;"Serviço",0,IF(AND(AUTOEVENTO="Manual",$M698=1),0,IF(OFFSET(CRONOPLE!$F$14,$M698,AO$13)="",10^12,OFFSET(CRONOPLE!$F$14,$M698,AO$13))))</f>
        <v>1000000000000</v>
      </c>
      <c r="AP698" s="181">
        <f ca="1">IF($D698&lt;&gt;"Serviço",0,IF(AND(AUTOEVENTO="Manual",$M698=1),0,IF(OFFSET(CRONOPLE!$F$14,$M698,AP$13)="",10^12,OFFSET(CRONOPLE!$F$14,$M698,AP$13))))</f>
        <v>1000000000000</v>
      </c>
      <c r="AQ698" s="181">
        <f ca="1">IF($D698&lt;&gt;"Serviço",0,IF(AND(AUTOEVENTO="Manual",$M698=1),0,IF(OFFSET(CRONOPLE!$F$14,$M698,AQ$13)="",10^12,OFFSET(CRONOPLE!$F$14,$M698,AQ$13))))</f>
        <v>1000000000000</v>
      </c>
      <c r="AR698" s="181">
        <f ca="1">IF($D698&lt;&gt;"Serviço",0,IF(AND(AUTOEVENTO="Manual",$M698=1),0,IF(OFFSET(CRONOPLE!$F$14,$M698,AR$13)="",10^12,OFFSET(CRONOPLE!$F$14,$M698,AR$13))))</f>
        <v>1000000000000</v>
      </c>
      <c r="AS698" s="181">
        <f ca="1">IF($D698&lt;&gt;"Serviço",0,IF(AND(AUTOEVENTO="Manual",$M698=1),0,IF(OFFSET(CRONOPLE!$F$14,$M698,AS$13)="",10^12,OFFSET(CRONOPLE!$F$14,$M698,AS$13))))</f>
        <v>1000000000000</v>
      </c>
      <c r="AT698" s="181">
        <f ca="1">IF($D698&lt;&gt;"Serviço",0,IF(AND(AUTOEVENTO="Manual",$M698=1),0,IF(OFFSET(CRONOPLE!$F$14,$M698,AT$13)="",10^12,OFFSET(CRONOPLE!$F$14,$M698,AT$13))))</f>
        <v>1000000000000</v>
      </c>
      <c r="AU698" s="181">
        <f ca="1">IF($D698&lt;&gt;"Serviço",0,IF(AND(AUTOEVENTO="Manual",$M698=1),0,IF(OFFSET(CRONOPLE!$F$14,$M698,AU$13)="",10^12,OFFSET(CRONOPLE!$F$14,$M698,AU$13))))</f>
        <v>1000000000000</v>
      </c>
      <c r="AV698" s="181">
        <f ca="1">IF($D698&lt;&gt;"Serviço",0,IF(AND(AUTOEVENTO="Manual",$M698=1),0,IF(OFFSET(CRONOPLE!$F$14,$M698,AV$13)="",10^12,OFFSET(CRONOPLE!$F$14,$M698,AV$13))))</f>
        <v>1000000000000</v>
      </c>
      <c r="AX698" s="182">
        <f ca="1">IF($D698&lt;&gt;"Serviço",0,IF(OR(AND(AUTOEVENTO="Manual",$M698=1),$M698&gt;(ROW(PLE.lastrow)-ROW(PLE.firstrow))),0,IF(OFFSET(PLE!$G$14,$M698,AX$13)="",10^12,OFFSET(PLE!$G$14,$M698,AX$13))))</f>
        <v>1000000000000</v>
      </c>
      <c r="AY698" s="182">
        <f ca="1">IF($D698&lt;&gt;"Serviço",0,IF(OR(AND(AUTOEVENTO="Manual",$M698=1),$M698&gt;(ROW(PLE.lastrow)-ROW(PLE.firstrow))),0,IF(OFFSET(PLE!$G$14,$M698,AY$13)="",10^12,OFFSET(PLE!$G$14,$M698,AY$13))))</f>
        <v>1000000000000</v>
      </c>
      <c r="AZ698" s="182">
        <f ca="1">IF($D698&lt;&gt;"Serviço",0,IF(OR(AND(AUTOEVENTO="Manual",$M698=1),$M698&gt;(ROW(PLE.lastrow)-ROW(PLE.firstrow))),0,IF(OFFSET(PLE!$G$14,$M698,AZ$13)="",10^12,OFFSET(PLE!$G$14,$M698,AZ$13))))</f>
        <v>1000000000000</v>
      </c>
      <c r="BA698" s="182">
        <f ca="1">IF($D698&lt;&gt;"Serviço",0,IF(OR(AND(AUTOEVENTO="Manual",$M698=1),$M698&gt;(ROW(PLE.lastrow)-ROW(PLE.firstrow))),0,IF(OFFSET(PLE!$G$14,$M698,BA$13)="",10^12,OFFSET(PLE!$G$14,$M698,BA$13))))</f>
        <v>1000000000000</v>
      </c>
      <c r="BB698" s="182">
        <f ca="1">IF($D698&lt;&gt;"Serviço",0,IF(OR(AND(AUTOEVENTO="Manual",$M698=1),$M698&gt;(ROW(PLE.lastrow)-ROW(PLE.firstrow))),0,IF(OFFSET(PLE!$G$14,$M698,BB$13)="",10^12,OFFSET(PLE!$G$14,$M698,BB$13))))</f>
        <v>1000000000000</v>
      </c>
      <c r="BC698" s="182">
        <f ca="1">IF($D698&lt;&gt;"Serviço",0,IF(OR(AND(AUTOEVENTO="Manual",$M698=1),$M698&gt;(ROW(PLE.lastrow)-ROW(PLE.firstrow))),0,IF(OFFSET(PLE!$G$14,$M698,BC$13)="",10^12,OFFSET(PLE!$G$14,$M698,BC$13))))</f>
        <v>1000000000000</v>
      </c>
      <c r="BD698" s="182">
        <f ca="1">IF($D698&lt;&gt;"Serviço",0,IF(OR(AND(AUTOEVENTO="Manual",$M698=1),$M698&gt;(ROW(PLE.lastrow)-ROW(PLE.firstrow))),0,IF(OFFSET(PLE!$G$14,$M698,BD$13)="",10^12,OFFSET(PLE!$G$14,$M698,BD$13))))</f>
        <v>1000000000000</v>
      </c>
      <c r="BE698" s="182">
        <f ca="1">IF($D698&lt;&gt;"Serviço",0,IF(OR(AND(AUTOEVENTO="Manual",$M698=1),$M698&gt;(ROW(PLE.lastrow)-ROW(PLE.firstrow))),0,IF(OFFSET(PLE!$G$14,$M698,BE$13)="",10^12,OFFSET(PLE!$G$14,$M698,BE$13))))</f>
        <v>1000000000000</v>
      </c>
      <c r="BF698" s="182">
        <f ca="1">IF($D698&lt;&gt;"Serviço",0,IF(OR(AND(AUTOEVENTO="Manual",$M698=1),$M698&gt;(ROW(PLE.lastrow)-ROW(PLE.firstrow))),0,IF(OFFSET(PLE!$G$14,$M698,BF$13)="",10^12,OFFSET(PLE!$G$14,$M698,BF$13))))</f>
        <v>1000000000000</v>
      </c>
      <c r="BG698" s="182">
        <f ca="1">IF($D698&lt;&gt;"Serviço",0,IF(OR(AND(AUTOEVENTO="Manual",$M698=1),$M698&gt;(ROW(PLE.lastrow)-ROW(PLE.firstrow))),0,IF(OFFSET(PLE!$G$14,$M698,BG$13)="",10^12,OFFSET(PLE!$G$14,$M698,BG$13))))</f>
        <v>1000000000000</v>
      </c>
    </row>
    <row r="699" spans="1:59" ht="25.5" x14ac:dyDescent="0.2">
      <c r="A699" s="7" t="str">
        <f ca="1">IF(AUTOEVENTO="Manual",IF(K699&lt;&gt;"",MIN(VALUE(LEFT(K699,FIND(".",K699)-1)),COUNTA(EVENTOS.Lista)),0),IF(OR($B699&gt;AUTOEVENTO,$B699="S",$B699=0),SUBSTITUTE(OFFSET($A699,-1,0),IF($D699="Serviço",".",""),""),ROW(A699)-ROW($A$15)&amp;"."))</f>
        <v>679</v>
      </c>
      <c r="B699" s="7" t="str">
        <f ca="1">OFFSET(ORÇAMENTO!C$15,ROW(B699)-ROW(B$15),0)</f>
        <v>S</v>
      </c>
      <c r="C699" s="7" t="str">
        <f ca="1">OFFSET(ORÇAMENTO!L$15,ROW(C699)-ROW(C$15),0)</f>
        <v/>
      </c>
      <c r="D699" s="118" t="str">
        <f ca="1">OFFSET(ORÇAMENTO!N$15,ROW(D699)-ROW(D$15),0)</f>
        <v>Serviço</v>
      </c>
      <c r="E699" s="119" t="str">
        <f ca="1">OFFSET(ORÇAMENTO!O$15,ROW(E699)-ROW(E$15),0)</f>
        <v>-</v>
      </c>
      <c r="F699" s="172" t="str">
        <f ca="1">OFFSET(ORÇAMENTO!R$15,ROW(F699)-ROW(F$15),0)</f>
        <v>(abra o arquivo 'Referência 02-2025.xlsm)</v>
      </c>
      <c r="G699" s="173" t="str">
        <f ca="1">IF($D699&lt;&gt;"Serviço","",OFFSET(ORÇAMENTO!S$15,ROW(G699)-ROW(G$15),0))</f>
        <v>-</v>
      </c>
      <c r="H699" s="124">
        <f ca="1">IF($D699&lt;&gt;"Serviço",0,IF(ACOMPANHAMENTO="BM",ROUND(OFFSET(ORÇAMENTO!AJ$15,ROW(H699)-ROW(H$15),0),15-13*ORÇAMENTO!$AF$7),SUMPRODUCT(($Q$12:$AA$12&lt;&gt;"")*ROUND($Q699:$AA699,15-13*ORÇAMENTO!$AF$7))))</f>
        <v>136.37</v>
      </c>
      <c r="I699" s="561"/>
      <c r="K699" s="174"/>
      <c r="L699" s="175" t="s">
        <v>255</v>
      </c>
      <c r="M699" s="176">
        <f ca="1">IF($D699&lt;&gt;"Serviço","",IF(AUTOEVENTO="manual",$A699,IF(ISERROR(MATCH($A699,$A$15:OFFSET($A699,-1,0),0)),MAX($M$15:OFFSET(M699,-1,0))+1,INDEX($M$15:OFFSET(M699,-1,0),MATCH($A699,$A$15:OFFSET($A699,-1,0),0)))))</f>
        <v>25</v>
      </c>
      <c r="N699" s="177" t="str">
        <f ca="1">IF($D699&lt;&gt;"Serviço","",IF(AUTOEVENTO="Manual",IF($A699=0,"&lt;-- defina o número do agrupador",OFFSET(EVENTOS!$D$14,$A699,0)),OFFSET($F$15,$A699,0)))</f>
        <v>FECHAMENTO - MURO</v>
      </c>
      <c r="O699" s="178"/>
      <c r="Q699" s="178"/>
      <c r="R699" s="179"/>
      <c r="S699" s="179"/>
      <c r="T699" s="179"/>
      <c r="U699" s="179"/>
      <c r="V699" s="179"/>
      <c r="W699" s="179"/>
      <c r="X699" s="179"/>
      <c r="Y699" s="179"/>
      <c r="Z699" s="180"/>
      <c r="AB699" s="544">
        <f ca="1">IF(AND($D699="Serviço",AB$12&lt;&gt;0,$H699&gt;0,OR(AUTOEVENTO&lt;&gt;"manual",$M699&lt;&gt;1)),
IF(Import.TipoArredondamento&lt;&gt;"TransfereGOV",
ROUND(OFFSET($P699,0,AB$13),15-13*ORÇAMENTO!$AF$7)/$H699*OFFSET(ORÇAMENTO!$X$15,ROW(AB699)-ROW(AB$15),0),
ROUND(ROUND(OFFSET($P699,0,AB$13),15-13*ORÇAMENTO!$AF$7)*OFFSET(ORÇAMENTO!$W$15,ROW(AB699)-ROW(AB$15),0),15-13*ORÇAMENTO!$AF$11)),0)</f>
        <v>0</v>
      </c>
      <c r="AC699" s="545">
        <f ca="1">IF(AND($D699="Serviço",AC$12&lt;&gt;0,$H699&gt;0,OR(AUTOEVENTO&lt;&gt;"manual",$M699&lt;&gt;1)),
IF(Import.TipoArredondamento&lt;&gt;"TransfereGOV",
ROUND(OFFSET($P699,0,AC$13),15-13*ORÇAMENTO!$AF$7)/$H699*OFFSET(ORÇAMENTO!$X$15,ROW(AC699)-ROW(AC$15),0),
ROUND(ROUND(OFFSET($P699,0,AC$13),15-13*ORÇAMENTO!$AF$7)*OFFSET(ORÇAMENTO!$W$15,ROW(AC699)-ROW(AC$15),0),15-13*ORÇAMENTO!$AF$11)),0)</f>
        <v>0</v>
      </c>
      <c r="AD699" s="545">
        <f ca="1">IF(AND($D699="Serviço",AD$12&lt;&gt;0,$H699&gt;0,OR(AUTOEVENTO&lt;&gt;"manual",$M699&lt;&gt;1)),
IF(Import.TipoArredondamento&lt;&gt;"TransfereGOV",
ROUND(OFFSET($P699,0,AD$13),15-13*ORÇAMENTO!$AF$7)/$H699*OFFSET(ORÇAMENTO!$X$15,ROW(AD699)-ROW(AD$15),0),
ROUND(ROUND(OFFSET($P699,0,AD$13),15-13*ORÇAMENTO!$AF$7)*OFFSET(ORÇAMENTO!$W$15,ROW(AD699)-ROW(AD$15),0),15-13*ORÇAMENTO!$AF$11)),0)</f>
        <v>0</v>
      </c>
      <c r="AE699" s="545">
        <f ca="1">IF(AND($D699="Serviço",AE$12&lt;&gt;0,$H699&gt;0,OR(AUTOEVENTO&lt;&gt;"manual",$M699&lt;&gt;1)),
IF(Import.TipoArredondamento&lt;&gt;"TransfereGOV",
ROUND(OFFSET($P699,0,AE$13),15-13*ORÇAMENTO!$AF$7)/$H699*OFFSET(ORÇAMENTO!$X$15,ROW(AE699)-ROW(AE$15),0),
ROUND(ROUND(OFFSET($P699,0,AE$13),15-13*ORÇAMENTO!$AF$7)*OFFSET(ORÇAMENTO!$W$15,ROW(AE699)-ROW(AE$15),0),15-13*ORÇAMENTO!$AF$11)),0)</f>
        <v>0</v>
      </c>
      <c r="AF699" s="545">
        <f ca="1">IF(AND($D699="Serviço",AF$12&lt;&gt;0,$H699&gt;0,OR(AUTOEVENTO&lt;&gt;"manual",$M699&lt;&gt;1)),
IF(Import.TipoArredondamento&lt;&gt;"TransfereGOV",
ROUND(OFFSET($P699,0,AF$13),15-13*ORÇAMENTO!$AF$7)/$H699*OFFSET(ORÇAMENTO!$X$15,ROW(AF699)-ROW(AF$15),0),
ROUND(ROUND(OFFSET($P699,0,AF$13),15-13*ORÇAMENTO!$AF$7)*OFFSET(ORÇAMENTO!$W$15,ROW(AF699)-ROW(AF$15),0),15-13*ORÇAMENTO!$AF$11)),0)</f>
        <v>0</v>
      </c>
      <c r="AG699" s="545">
        <f ca="1">IF(AND($D699="Serviço",AG$12&lt;&gt;0,$H699&gt;0,OR(AUTOEVENTO&lt;&gt;"manual",$M699&lt;&gt;1)),
IF(Import.TipoArredondamento&lt;&gt;"TransfereGOV",
ROUND(OFFSET($P699,0,AG$13),15-13*ORÇAMENTO!$AF$7)/$H699*OFFSET(ORÇAMENTO!$X$15,ROW(AG699)-ROW(AG$15),0),
ROUND(ROUND(OFFSET($P699,0,AG$13),15-13*ORÇAMENTO!$AF$7)*OFFSET(ORÇAMENTO!$W$15,ROW(AG699)-ROW(AG$15),0),15-13*ORÇAMENTO!$AF$11)),0)</f>
        <v>0</v>
      </c>
      <c r="AH699" s="545">
        <f ca="1">IF(AND($D699="Serviço",AH$12&lt;&gt;0,$H699&gt;0,OR(AUTOEVENTO&lt;&gt;"manual",$M699&lt;&gt;1)),
IF(Import.TipoArredondamento&lt;&gt;"TransfereGOV",
ROUND(OFFSET($P699,0,AH$13),15-13*ORÇAMENTO!$AF$7)/$H699*OFFSET(ORÇAMENTO!$X$15,ROW(AH699)-ROW(AH$15),0),
ROUND(ROUND(OFFSET($P699,0,AH$13),15-13*ORÇAMENTO!$AF$7)*OFFSET(ORÇAMENTO!$W$15,ROW(AH699)-ROW(AH$15),0),15-13*ORÇAMENTO!$AF$11)),0)</f>
        <v>0</v>
      </c>
      <c r="AI699" s="545">
        <f ca="1">IF(AND($D699="Serviço",AI$12&lt;&gt;0,$H699&gt;0,OR(AUTOEVENTO&lt;&gt;"manual",$M699&lt;&gt;1)),
IF(Import.TipoArredondamento&lt;&gt;"TransfereGOV",
ROUND(OFFSET($P699,0,AI$13),15-13*ORÇAMENTO!$AF$7)/$H699*OFFSET(ORÇAMENTO!$X$15,ROW(AI699)-ROW(AI$15),0),
ROUND(ROUND(OFFSET($P699,0,AI$13),15-13*ORÇAMENTO!$AF$7)*OFFSET(ORÇAMENTO!$W$15,ROW(AI699)-ROW(AI$15),0),15-13*ORÇAMENTO!$AF$11)),0)</f>
        <v>0</v>
      </c>
      <c r="AJ699" s="545">
        <f ca="1">IF(AND($D699="Serviço",AJ$12&lt;&gt;0,$H699&gt;0,OR(AUTOEVENTO&lt;&gt;"manual",$M699&lt;&gt;1)),
IF(Import.TipoArredondamento&lt;&gt;"TransfereGOV",
ROUND(OFFSET($P699,0,AJ$13),15-13*ORÇAMENTO!$AF$7)/$H699*OFFSET(ORÇAMENTO!$X$15,ROW(AJ699)-ROW(AJ$15),0),
ROUND(ROUND(OFFSET($P699,0,AJ$13),15-13*ORÇAMENTO!$AF$7)*OFFSET(ORÇAMENTO!$W$15,ROW(AJ699)-ROW(AJ$15),0),15-13*ORÇAMENTO!$AF$11)),0)</f>
        <v>0</v>
      </c>
      <c r="AK699" s="546">
        <f ca="1">IF(AND($D699="Serviço",AK$12&lt;&gt;0,$H699&gt;0,OR(AUTOEVENTO&lt;&gt;"manual",$M699&lt;&gt;1)),
IF(Import.TipoArredondamento&lt;&gt;"TransfereGOV",
ROUND(OFFSET($P699,0,AK$13),15-13*ORÇAMENTO!$AF$7)/$H699*OFFSET(ORÇAMENTO!$X$15,ROW(AK699)-ROW(AK$15),0),
ROUND(ROUND(OFFSET($P699,0,AK$13),15-13*ORÇAMENTO!$AF$7)*OFFSET(ORÇAMENTO!$W$15,ROW(AK699)-ROW(AK$15),0),15-13*ORÇAMENTO!$AF$11)),0)</f>
        <v>0</v>
      </c>
      <c r="AM699" s="181">
        <f ca="1">IF($D699&lt;&gt;"Serviço",0,IF(AND(AUTOEVENTO="Manual",$M699=1),0,IF(OFFSET(CRONOPLE!$F$14,$M699,AM$13)="",10^12,OFFSET(CRONOPLE!$F$14,$M699,AM$13))))</f>
        <v>1000000000000</v>
      </c>
      <c r="AN699" s="181">
        <f ca="1">IF($D699&lt;&gt;"Serviço",0,IF(AND(AUTOEVENTO="Manual",$M699=1),0,IF(OFFSET(CRONOPLE!$F$14,$M699,AN$13)="",10^12,OFFSET(CRONOPLE!$F$14,$M699,AN$13))))</f>
        <v>1000000000000</v>
      </c>
      <c r="AO699" s="181">
        <f ca="1">IF($D699&lt;&gt;"Serviço",0,IF(AND(AUTOEVENTO="Manual",$M699=1),0,IF(OFFSET(CRONOPLE!$F$14,$M699,AO$13)="",10^12,OFFSET(CRONOPLE!$F$14,$M699,AO$13))))</f>
        <v>1000000000000</v>
      </c>
      <c r="AP699" s="181">
        <f ca="1">IF($D699&lt;&gt;"Serviço",0,IF(AND(AUTOEVENTO="Manual",$M699=1),0,IF(OFFSET(CRONOPLE!$F$14,$M699,AP$13)="",10^12,OFFSET(CRONOPLE!$F$14,$M699,AP$13))))</f>
        <v>1000000000000</v>
      </c>
      <c r="AQ699" s="181">
        <f ca="1">IF($D699&lt;&gt;"Serviço",0,IF(AND(AUTOEVENTO="Manual",$M699=1),0,IF(OFFSET(CRONOPLE!$F$14,$M699,AQ$13)="",10^12,OFFSET(CRONOPLE!$F$14,$M699,AQ$13))))</f>
        <v>1000000000000</v>
      </c>
      <c r="AR699" s="181">
        <f ca="1">IF($D699&lt;&gt;"Serviço",0,IF(AND(AUTOEVENTO="Manual",$M699=1),0,IF(OFFSET(CRONOPLE!$F$14,$M699,AR$13)="",10^12,OFFSET(CRONOPLE!$F$14,$M699,AR$13))))</f>
        <v>1000000000000</v>
      </c>
      <c r="AS699" s="181">
        <f ca="1">IF($D699&lt;&gt;"Serviço",0,IF(AND(AUTOEVENTO="Manual",$M699=1),0,IF(OFFSET(CRONOPLE!$F$14,$M699,AS$13)="",10^12,OFFSET(CRONOPLE!$F$14,$M699,AS$13))))</f>
        <v>1000000000000</v>
      </c>
      <c r="AT699" s="181">
        <f ca="1">IF($D699&lt;&gt;"Serviço",0,IF(AND(AUTOEVENTO="Manual",$M699=1),0,IF(OFFSET(CRONOPLE!$F$14,$M699,AT$13)="",10^12,OFFSET(CRONOPLE!$F$14,$M699,AT$13))))</f>
        <v>1000000000000</v>
      </c>
      <c r="AU699" s="181">
        <f ca="1">IF($D699&lt;&gt;"Serviço",0,IF(AND(AUTOEVENTO="Manual",$M699=1),0,IF(OFFSET(CRONOPLE!$F$14,$M699,AU$13)="",10^12,OFFSET(CRONOPLE!$F$14,$M699,AU$13))))</f>
        <v>1000000000000</v>
      </c>
      <c r="AV699" s="181">
        <f ca="1">IF($D699&lt;&gt;"Serviço",0,IF(AND(AUTOEVENTO="Manual",$M699=1),0,IF(OFFSET(CRONOPLE!$F$14,$M699,AV$13)="",10^12,OFFSET(CRONOPLE!$F$14,$M699,AV$13))))</f>
        <v>1000000000000</v>
      </c>
      <c r="AX699" s="182">
        <f ca="1">IF($D699&lt;&gt;"Serviço",0,IF(OR(AND(AUTOEVENTO="Manual",$M699=1),$M699&gt;(ROW(PLE.lastrow)-ROW(PLE.firstrow))),0,IF(OFFSET(PLE!$G$14,$M699,AX$13)="",10^12,OFFSET(PLE!$G$14,$M699,AX$13))))</f>
        <v>1000000000000</v>
      </c>
      <c r="AY699" s="182">
        <f ca="1">IF($D699&lt;&gt;"Serviço",0,IF(OR(AND(AUTOEVENTO="Manual",$M699=1),$M699&gt;(ROW(PLE.lastrow)-ROW(PLE.firstrow))),0,IF(OFFSET(PLE!$G$14,$M699,AY$13)="",10^12,OFFSET(PLE!$G$14,$M699,AY$13))))</f>
        <v>1000000000000</v>
      </c>
      <c r="AZ699" s="182">
        <f ca="1">IF($D699&lt;&gt;"Serviço",0,IF(OR(AND(AUTOEVENTO="Manual",$M699=1),$M699&gt;(ROW(PLE.lastrow)-ROW(PLE.firstrow))),0,IF(OFFSET(PLE!$G$14,$M699,AZ$13)="",10^12,OFFSET(PLE!$G$14,$M699,AZ$13))))</f>
        <v>1000000000000</v>
      </c>
      <c r="BA699" s="182">
        <f ca="1">IF($D699&lt;&gt;"Serviço",0,IF(OR(AND(AUTOEVENTO="Manual",$M699=1),$M699&gt;(ROW(PLE.lastrow)-ROW(PLE.firstrow))),0,IF(OFFSET(PLE!$G$14,$M699,BA$13)="",10^12,OFFSET(PLE!$G$14,$M699,BA$13))))</f>
        <v>1000000000000</v>
      </c>
      <c r="BB699" s="182">
        <f ca="1">IF($D699&lt;&gt;"Serviço",0,IF(OR(AND(AUTOEVENTO="Manual",$M699=1),$M699&gt;(ROW(PLE.lastrow)-ROW(PLE.firstrow))),0,IF(OFFSET(PLE!$G$14,$M699,BB$13)="",10^12,OFFSET(PLE!$G$14,$M699,BB$13))))</f>
        <v>1000000000000</v>
      </c>
      <c r="BC699" s="182">
        <f ca="1">IF($D699&lt;&gt;"Serviço",0,IF(OR(AND(AUTOEVENTO="Manual",$M699=1),$M699&gt;(ROW(PLE.lastrow)-ROW(PLE.firstrow))),0,IF(OFFSET(PLE!$G$14,$M699,BC$13)="",10^12,OFFSET(PLE!$G$14,$M699,BC$13))))</f>
        <v>1000000000000</v>
      </c>
      <c r="BD699" s="182">
        <f ca="1">IF($D699&lt;&gt;"Serviço",0,IF(OR(AND(AUTOEVENTO="Manual",$M699=1),$M699&gt;(ROW(PLE.lastrow)-ROW(PLE.firstrow))),0,IF(OFFSET(PLE!$G$14,$M699,BD$13)="",10^12,OFFSET(PLE!$G$14,$M699,BD$13))))</f>
        <v>1000000000000</v>
      </c>
      <c r="BE699" s="182">
        <f ca="1">IF($D699&lt;&gt;"Serviço",0,IF(OR(AND(AUTOEVENTO="Manual",$M699=1),$M699&gt;(ROW(PLE.lastrow)-ROW(PLE.firstrow))),0,IF(OFFSET(PLE!$G$14,$M699,BE$13)="",10^12,OFFSET(PLE!$G$14,$M699,BE$13))))</f>
        <v>1000000000000</v>
      </c>
      <c r="BF699" s="182">
        <f ca="1">IF($D699&lt;&gt;"Serviço",0,IF(OR(AND(AUTOEVENTO="Manual",$M699=1),$M699&gt;(ROW(PLE.lastrow)-ROW(PLE.firstrow))),0,IF(OFFSET(PLE!$G$14,$M699,BF$13)="",10^12,OFFSET(PLE!$G$14,$M699,BF$13))))</f>
        <v>1000000000000</v>
      </c>
      <c r="BG699" s="182">
        <f ca="1">IF($D699&lt;&gt;"Serviço",0,IF(OR(AND(AUTOEVENTO="Manual",$M699=1),$M699&gt;(ROW(PLE.lastrow)-ROW(PLE.firstrow))),0,IF(OFFSET(PLE!$G$14,$M699,BG$13)="",10^12,OFFSET(PLE!$G$14,$M699,BG$13))))</f>
        <v>1000000000000</v>
      </c>
    </row>
    <row r="700" spans="1:59" ht="12.75" x14ac:dyDescent="0.2">
      <c r="A700" s="7" t="str">
        <f t="shared" ca="1" si="17"/>
        <v>679</v>
      </c>
      <c r="B700" s="7">
        <f ca="1">OFFSET(ORÇAMENTO!C$15,ROW(B700)-ROW(B$15),0)</f>
        <v>3</v>
      </c>
      <c r="C700" s="7" t="str">
        <f ca="1">OFFSET(ORÇAMENTO!L$15,ROW(C700)-ROW(C$15),0)</f>
        <v>F</v>
      </c>
      <c r="D700" s="118" t="str">
        <f ca="1">OFFSET(ORÇAMENTO!N$15,ROW(D700)-ROW(D$15),0)</f>
        <v>Nível 3</v>
      </c>
      <c r="E700" s="119" t="str">
        <f ca="1">OFFSET(ORÇAMENTO!O$15,ROW(E700)-ROW(E$15),0)</f>
        <v>1.24.2.</v>
      </c>
      <c r="F700" s="172" t="str">
        <f ca="1">OFFSET(ORÇAMENTO!R$15,ROW(F700)-ROW(F$15),0)</f>
        <v>CONCRETO ARMADO PARA SAPATAS E BLOCOS</v>
      </c>
      <c r="G700" s="173" t="str">
        <f ca="1">IF($D700&lt;&gt;"Serviço","",OFFSET(ORÇAMENTO!S$15,ROW(G700)-ROW(G$15),0))</f>
        <v/>
      </c>
      <c r="H700" s="124">
        <f ca="1">IF($D700&lt;&gt;"Serviço",0,IF(ACOMPANHAMENTO="BM",ROUND(OFFSET(ORÇAMENTO!AJ$15,ROW(H700)-ROW(H$15),0),15-13*ORÇAMENTO!$AF$7),SUMPRODUCT(($Q$12:$AA$12&lt;&gt;"")*ROUND($Q700:$AA700,15-13*ORÇAMENTO!$AF$7))))</f>
        <v>0</v>
      </c>
      <c r="I700" s="561"/>
      <c r="K700" s="174"/>
      <c r="L700" s="175" t="s">
        <v>255</v>
      </c>
      <c r="M700" s="176" t="str">
        <f ca="1">IF($D700&lt;&gt;"Serviço","",IF(AUTOEVENTO="manual",$A700,IF(ISERROR(MATCH($A700,$A$15:OFFSET($A700,-1,0),0)),MAX($M$15:OFFSET(M700,-1,0))+1,INDEX($M$15:OFFSET(M700,-1,0),MATCH($A700,$A$15:OFFSET($A700,-1,0),0)))))</f>
        <v/>
      </c>
      <c r="N700" s="177" t="str">
        <f ca="1">IF($D700&lt;&gt;"Serviço","",IF(AUTOEVENTO="Manual",IF($A700=0,"&lt;-- defina o número do agrupador",OFFSET(EVENTOS!$D$14,$A700,0)),OFFSET($F$15,$A700,0)))</f>
        <v/>
      </c>
      <c r="O700" s="178"/>
      <c r="Q700" s="178"/>
      <c r="R700" s="179"/>
      <c r="S700" s="179"/>
      <c r="T700" s="179"/>
      <c r="U700" s="179"/>
      <c r="V700" s="179"/>
      <c r="W700" s="179"/>
      <c r="X700" s="179"/>
      <c r="Y700" s="179"/>
      <c r="Z700" s="180"/>
      <c r="AB700" s="544">
        <f ca="1">IF(AND($D700="Serviço",AB$12&lt;&gt;0,$H700&gt;0,OR(AUTOEVENTO&lt;&gt;"manual",$M700&lt;&gt;1)),
IF(Import.TipoArredondamento&lt;&gt;"TransfereGOV",
ROUND(OFFSET($P700,0,AB$13),15-13*ORÇAMENTO!$AF$7)/$H700*OFFSET(ORÇAMENTO!$X$15,ROW(AB700)-ROW(AB$15),0),
ROUND(ROUND(OFFSET($P700,0,AB$13),15-13*ORÇAMENTO!$AF$7)*OFFSET(ORÇAMENTO!$W$15,ROW(AB700)-ROW(AB$15),0),15-13*ORÇAMENTO!$AF$11)),0)</f>
        <v>0</v>
      </c>
      <c r="AC700" s="545">
        <f ca="1">IF(AND($D700="Serviço",AC$12&lt;&gt;0,$H700&gt;0,OR(AUTOEVENTO&lt;&gt;"manual",$M700&lt;&gt;1)),
IF(Import.TipoArredondamento&lt;&gt;"TransfereGOV",
ROUND(OFFSET($P700,0,AC$13),15-13*ORÇAMENTO!$AF$7)/$H700*OFFSET(ORÇAMENTO!$X$15,ROW(AC700)-ROW(AC$15),0),
ROUND(ROUND(OFFSET($P700,0,AC$13),15-13*ORÇAMENTO!$AF$7)*OFFSET(ORÇAMENTO!$W$15,ROW(AC700)-ROW(AC$15),0),15-13*ORÇAMENTO!$AF$11)),0)</f>
        <v>0</v>
      </c>
      <c r="AD700" s="545">
        <f ca="1">IF(AND($D700="Serviço",AD$12&lt;&gt;0,$H700&gt;0,OR(AUTOEVENTO&lt;&gt;"manual",$M700&lt;&gt;1)),
IF(Import.TipoArredondamento&lt;&gt;"TransfereGOV",
ROUND(OFFSET($P700,0,AD$13),15-13*ORÇAMENTO!$AF$7)/$H700*OFFSET(ORÇAMENTO!$X$15,ROW(AD700)-ROW(AD$15),0),
ROUND(ROUND(OFFSET($P700,0,AD$13),15-13*ORÇAMENTO!$AF$7)*OFFSET(ORÇAMENTO!$W$15,ROW(AD700)-ROW(AD$15),0),15-13*ORÇAMENTO!$AF$11)),0)</f>
        <v>0</v>
      </c>
      <c r="AE700" s="545">
        <f ca="1">IF(AND($D700="Serviço",AE$12&lt;&gt;0,$H700&gt;0,OR(AUTOEVENTO&lt;&gt;"manual",$M700&lt;&gt;1)),
IF(Import.TipoArredondamento&lt;&gt;"TransfereGOV",
ROUND(OFFSET($P700,0,AE$13),15-13*ORÇAMENTO!$AF$7)/$H700*OFFSET(ORÇAMENTO!$X$15,ROW(AE700)-ROW(AE$15),0),
ROUND(ROUND(OFFSET($P700,0,AE$13),15-13*ORÇAMENTO!$AF$7)*OFFSET(ORÇAMENTO!$W$15,ROW(AE700)-ROW(AE$15),0),15-13*ORÇAMENTO!$AF$11)),0)</f>
        <v>0</v>
      </c>
      <c r="AF700" s="545">
        <f ca="1">IF(AND($D700="Serviço",AF$12&lt;&gt;0,$H700&gt;0,OR(AUTOEVENTO&lt;&gt;"manual",$M700&lt;&gt;1)),
IF(Import.TipoArredondamento&lt;&gt;"TransfereGOV",
ROUND(OFFSET($P700,0,AF$13),15-13*ORÇAMENTO!$AF$7)/$H700*OFFSET(ORÇAMENTO!$X$15,ROW(AF700)-ROW(AF$15),0),
ROUND(ROUND(OFFSET($P700,0,AF$13),15-13*ORÇAMENTO!$AF$7)*OFFSET(ORÇAMENTO!$W$15,ROW(AF700)-ROW(AF$15),0),15-13*ORÇAMENTO!$AF$11)),0)</f>
        <v>0</v>
      </c>
      <c r="AG700" s="545">
        <f ca="1">IF(AND($D700="Serviço",AG$12&lt;&gt;0,$H700&gt;0,OR(AUTOEVENTO&lt;&gt;"manual",$M700&lt;&gt;1)),
IF(Import.TipoArredondamento&lt;&gt;"TransfereGOV",
ROUND(OFFSET($P700,0,AG$13),15-13*ORÇAMENTO!$AF$7)/$H700*OFFSET(ORÇAMENTO!$X$15,ROW(AG700)-ROW(AG$15),0),
ROUND(ROUND(OFFSET($P700,0,AG$13),15-13*ORÇAMENTO!$AF$7)*OFFSET(ORÇAMENTO!$W$15,ROW(AG700)-ROW(AG$15),0),15-13*ORÇAMENTO!$AF$11)),0)</f>
        <v>0</v>
      </c>
      <c r="AH700" s="545">
        <f ca="1">IF(AND($D700="Serviço",AH$12&lt;&gt;0,$H700&gt;0,OR(AUTOEVENTO&lt;&gt;"manual",$M700&lt;&gt;1)),
IF(Import.TipoArredondamento&lt;&gt;"TransfereGOV",
ROUND(OFFSET($P700,0,AH$13),15-13*ORÇAMENTO!$AF$7)/$H700*OFFSET(ORÇAMENTO!$X$15,ROW(AH700)-ROW(AH$15),0),
ROUND(ROUND(OFFSET($P700,0,AH$13),15-13*ORÇAMENTO!$AF$7)*OFFSET(ORÇAMENTO!$W$15,ROW(AH700)-ROW(AH$15),0),15-13*ORÇAMENTO!$AF$11)),0)</f>
        <v>0</v>
      </c>
      <c r="AI700" s="545">
        <f ca="1">IF(AND($D700="Serviço",AI$12&lt;&gt;0,$H700&gt;0,OR(AUTOEVENTO&lt;&gt;"manual",$M700&lt;&gt;1)),
IF(Import.TipoArredondamento&lt;&gt;"TransfereGOV",
ROUND(OFFSET($P700,0,AI$13),15-13*ORÇAMENTO!$AF$7)/$H700*OFFSET(ORÇAMENTO!$X$15,ROW(AI700)-ROW(AI$15),0),
ROUND(ROUND(OFFSET($P700,0,AI$13),15-13*ORÇAMENTO!$AF$7)*OFFSET(ORÇAMENTO!$W$15,ROW(AI700)-ROW(AI$15),0),15-13*ORÇAMENTO!$AF$11)),0)</f>
        <v>0</v>
      </c>
      <c r="AJ700" s="545">
        <f ca="1">IF(AND($D700="Serviço",AJ$12&lt;&gt;0,$H700&gt;0,OR(AUTOEVENTO&lt;&gt;"manual",$M700&lt;&gt;1)),
IF(Import.TipoArredondamento&lt;&gt;"TransfereGOV",
ROUND(OFFSET($P700,0,AJ$13),15-13*ORÇAMENTO!$AF$7)/$H700*OFFSET(ORÇAMENTO!$X$15,ROW(AJ700)-ROW(AJ$15),0),
ROUND(ROUND(OFFSET($P700,0,AJ$13),15-13*ORÇAMENTO!$AF$7)*OFFSET(ORÇAMENTO!$W$15,ROW(AJ700)-ROW(AJ$15),0),15-13*ORÇAMENTO!$AF$11)),0)</f>
        <v>0</v>
      </c>
      <c r="AK700" s="546">
        <f ca="1">IF(AND($D700="Serviço",AK$12&lt;&gt;0,$H700&gt;0,OR(AUTOEVENTO&lt;&gt;"manual",$M700&lt;&gt;1)),
IF(Import.TipoArredondamento&lt;&gt;"TransfereGOV",
ROUND(OFFSET($P700,0,AK$13),15-13*ORÇAMENTO!$AF$7)/$H700*OFFSET(ORÇAMENTO!$X$15,ROW(AK700)-ROW(AK$15),0),
ROUND(ROUND(OFFSET($P700,0,AK$13),15-13*ORÇAMENTO!$AF$7)*OFFSET(ORÇAMENTO!$W$15,ROW(AK700)-ROW(AK$15),0),15-13*ORÇAMENTO!$AF$11)),0)</f>
        <v>0</v>
      </c>
      <c r="AM700" s="181">
        <f ca="1">IF($D700&lt;&gt;"Serviço",0,IF(AND(AUTOEVENTO="Manual",$M700=1),0,IF(OFFSET(CRONOPLE!$F$14,$M700,AM$13)="",10^12,OFFSET(CRONOPLE!$F$14,$M700,AM$13))))</f>
        <v>0</v>
      </c>
      <c r="AN700" s="181">
        <f ca="1">IF($D700&lt;&gt;"Serviço",0,IF(AND(AUTOEVENTO="Manual",$M700=1),0,IF(OFFSET(CRONOPLE!$F$14,$M700,AN$13)="",10^12,OFFSET(CRONOPLE!$F$14,$M700,AN$13))))</f>
        <v>0</v>
      </c>
      <c r="AO700" s="181">
        <f ca="1">IF($D700&lt;&gt;"Serviço",0,IF(AND(AUTOEVENTO="Manual",$M700=1),0,IF(OFFSET(CRONOPLE!$F$14,$M700,AO$13)="",10^12,OFFSET(CRONOPLE!$F$14,$M700,AO$13))))</f>
        <v>0</v>
      </c>
      <c r="AP700" s="181">
        <f ca="1">IF($D700&lt;&gt;"Serviço",0,IF(AND(AUTOEVENTO="Manual",$M700=1),0,IF(OFFSET(CRONOPLE!$F$14,$M700,AP$13)="",10^12,OFFSET(CRONOPLE!$F$14,$M700,AP$13))))</f>
        <v>0</v>
      </c>
      <c r="AQ700" s="181">
        <f ca="1">IF($D700&lt;&gt;"Serviço",0,IF(AND(AUTOEVENTO="Manual",$M700=1),0,IF(OFFSET(CRONOPLE!$F$14,$M700,AQ$13)="",10^12,OFFSET(CRONOPLE!$F$14,$M700,AQ$13))))</f>
        <v>0</v>
      </c>
      <c r="AR700" s="181">
        <f ca="1">IF($D700&lt;&gt;"Serviço",0,IF(AND(AUTOEVENTO="Manual",$M700=1),0,IF(OFFSET(CRONOPLE!$F$14,$M700,AR$13)="",10^12,OFFSET(CRONOPLE!$F$14,$M700,AR$13))))</f>
        <v>0</v>
      </c>
      <c r="AS700" s="181">
        <f ca="1">IF($D700&lt;&gt;"Serviço",0,IF(AND(AUTOEVENTO="Manual",$M700=1),0,IF(OFFSET(CRONOPLE!$F$14,$M700,AS$13)="",10^12,OFFSET(CRONOPLE!$F$14,$M700,AS$13))))</f>
        <v>0</v>
      </c>
      <c r="AT700" s="181">
        <f ca="1">IF($D700&lt;&gt;"Serviço",0,IF(AND(AUTOEVENTO="Manual",$M700=1),0,IF(OFFSET(CRONOPLE!$F$14,$M700,AT$13)="",10^12,OFFSET(CRONOPLE!$F$14,$M700,AT$13))))</f>
        <v>0</v>
      </c>
      <c r="AU700" s="181">
        <f ca="1">IF($D700&lt;&gt;"Serviço",0,IF(AND(AUTOEVENTO="Manual",$M700=1),0,IF(OFFSET(CRONOPLE!$F$14,$M700,AU$13)="",10^12,OFFSET(CRONOPLE!$F$14,$M700,AU$13))))</f>
        <v>0</v>
      </c>
      <c r="AV700" s="181">
        <f ca="1">IF($D700&lt;&gt;"Serviço",0,IF(AND(AUTOEVENTO="Manual",$M700=1),0,IF(OFFSET(CRONOPLE!$F$14,$M700,AV$13)="",10^12,OFFSET(CRONOPLE!$F$14,$M700,AV$13))))</f>
        <v>0</v>
      </c>
      <c r="AX700" s="182">
        <f ca="1">IF($D700&lt;&gt;"Serviço",0,IF(OR(AND(AUTOEVENTO="Manual",$M700=1),$M700&gt;(ROW(PLE.lastrow)-ROW(PLE.firstrow))),0,IF(OFFSET(PLE!$G$14,$M700,AX$13)="",10^12,OFFSET(PLE!$G$14,$M700,AX$13))))</f>
        <v>0</v>
      </c>
      <c r="AY700" s="182">
        <f ca="1">IF($D700&lt;&gt;"Serviço",0,IF(OR(AND(AUTOEVENTO="Manual",$M700=1),$M700&gt;(ROW(PLE.lastrow)-ROW(PLE.firstrow))),0,IF(OFFSET(PLE!$G$14,$M700,AY$13)="",10^12,OFFSET(PLE!$G$14,$M700,AY$13))))</f>
        <v>0</v>
      </c>
      <c r="AZ700" s="182">
        <f ca="1">IF($D700&lt;&gt;"Serviço",0,IF(OR(AND(AUTOEVENTO="Manual",$M700=1),$M700&gt;(ROW(PLE.lastrow)-ROW(PLE.firstrow))),0,IF(OFFSET(PLE!$G$14,$M700,AZ$13)="",10^12,OFFSET(PLE!$G$14,$M700,AZ$13))))</f>
        <v>0</v>
      </c>
      <c r="BA700" s="182">
        <f ca="1">IF($D700&lt;&gt;"Serviço",0,IF(OR(AND(AUTOEVENTO="Manual",$M700=1),$M700&gt;(ROW(PLE.lastrow)-ROW(PLE.firstrow))),0,IF(OFFSET(PLE!$G$14,$M700,BA$13)="",10^12,OFFSET(PLE!$G$14,$M700,BA$13))))</f>
        <v>0</v>
      </c>
      <c r="BB700" s="182">
        <f ca="1">IF($D700&lt;&gt;"Serviço",0,IF(OR(AND(AUTOEVENTO="Manual",$M700=1),$M700&gt;(ROW(PLE.lastrow)-ROW(PLE.firstrow))),0,IF(OFFSET(PLE!$G$14,$M700,BB$13)="",10^12,OFFSET(PLE!$G$14,$M700,BB$13))))</f>
        <v>0</v>
      </c>
      <c r="BC700" s="182">
        <f ca="1">IF($D700&lt;&gt;"Serviço",0,IF(OR(AND(AUTOEVENTO="Manual",$M700=1),$M700&gt;(ROW(PLE.lastrow)-ROW(PLE.firstrow))),0,IF(OFFSET(PLE!$G$14,$M700,BC$13)="",10^12,OFFSET(PLE!$G$14,$M700,BC$13))))</f>
        <v>0</v>
      </c>
      <c r="BD700" s="182">
        <f ca="1">IF($D700&lt;&gt;"Serviço",0,IF(OR(AND(AUTOEVENTO="Manual",$M700=1),$M700&gt;(ROW(PLE.lastrow)-ROW(PLE.firstrow))),0,IF(OFFSET(PLE!$G$14,$M700,BD$13)="",10^12,OFFSET(PLE!$G$14,$M700,BD$13))))</f>
        <v>0</v>
      </c>
      <c r="BE700" s="182">
        <f ca="1">IF($D700&lt;&gt;"Serviço",0,IF(OR(AND(AUTOEVENTO="Manual",$M700=1),$M700&gt;(ROW(PLE.lastrow)-ROW(PLE.firstrow))),0,IF(OFFSET(PLE!$G$14,$M700,BE$13)="",10^12,OFFSET(PLE!$G$14,$M700,BE$13))))</f>
        <v>0</v>
      </c>
      <c r="BF700" s="182">
        <f ca="1">IF($D700&lt;&gt;"Serviço",0,IF(OR(AND(AUTOEVENTO="Manual",$M700=1),$M700&gt;(ROW(PLE.lastrow)-ROW(PLE.firstrow))),0,IF(OFFSET(PLE!$G$14,$M700,BF$13)="",10^12,OFFSET(PLE!$G$14,$M700,BF$13))))</f>
        <v>0</v>
      </c>
      <c r="BG700" s="182">
        <f ca="1">IF($D700&lt;&gt;"Serviço",0,IF(OR(AND(AUTOEVENTO="Manual",$M700=1),$M700&gt;(ROW(PLE.lastrow)-ROW(PLE.firstrow))),0,IF(OFFSET(PLE!$G$14,$M700,BG$13)="",10^12,OFFSET(PLE!$G$14,$M700,BG$13))))</f>
        <v>0</v>
      </c>
    </row>
    <row r="701" spans="1:59" ht="25.5" x14ac:dyDescent="0.2">
      <c r="A701" s="7" t="str">
        <f t="shared" ca="1" si="17"/>
        <v>679</v>
      </c>
      <c r="B701" s="7" t="str">
        <f ca="1">OFFSET(ORÇAMENTO!C$15,ROW(B701)-ROW(B$15),0)</f>
        <v>S</v>
      </c>
      <c r="C701" s="7" t="str">
        <f ca="1">OFFSET(ORÇAMENTO!L$15,ROW(C701)-ROW(C$15),0)</f>
        <v/>
      </c>
      <c r="D701" s="118" t="str">
        <f ca="1">OFFSET(ORÇAMENTO!N$15,ROW(D701)-ROW(D$15),0)</f>
        <v>Serviço</v>
      </c>
      <c r="E701" s="119" t="str">
        <f ca="1">OFFSET(ORÇAMENTO!O$15,ROW(E701)-ROW(E$15),0)</f>
        <v>-</v>
      </c>
      <c r="F701" s="172" t="str">
        <f ca="1">OFFSET(ORÇAMENTO!R$15,ROW(F701)-ROW(F$15),0)</f>
        <v>(abra o arquivo 'Referência 02-2025.xlsm)</v>
      </c>
      <c r="G701" s="173" t="str">
        <f ca="1">IF($D701&lt;&gt;"Serviço","",OFFSET(ORÇAMENTO!S$15,ROW(G701)-ROW(G$15),0))</f>
        <v>-</v>
      </c>
      <c r="H701" s="124">
        <f ca="1">IF($D701&lt;&gt;"Serviço",0,IF(ACOMPANHAMENTO="BM",ROUND(OFFSET(ORÇAMENTO!AJ$15,ROW(H701)-ROW(H$15),0),15-13*ORÇAMENTO!$AF$7),SUMPRODUCT(($Q$12:$AA$12&lt;&gt;"")*ROUND($Q701:$AA701,15-13*ORÇAMENTO!$AF$7))))</f>
        <v>5.46</v>
      </c>
      <c r="I701" s="561" t="s">
        <v>890</v>
      </c>
      <c r="K701" s="174"/>
      <c r="L701" s="175" t="s">
        <v>255</v>
      </c>
      <c r="M701" s="176">
        <f ca="1">IF($D701&lt;&gt;"Serviço","",IF(AUTOEVENTO="manual",$A701,IF(ISERROR(MATCH($A701,$A$15:OFFSET($A701,-1,0),0)),MAX($M$15:OFFSET(M701,-1,0))+1,INDEX($M$15:OFFSET(M701,-1,0),MATCH($A701,$A$15:OFFSET($A701,-1,0),0)))))</f>
        <v>25</v>
      </c>
      <c r="N701" s="177" t="str">
        <f ca="1">IF($D701&lt;&gt;"Serviço","",IF(AUTOEVENTO="Manual",IF($A701=0,"&lt;-- defina o número do agrupador",OFFSET(EVENTOS!$D$14,$A701,0)),OFFSET($F$15,$A701,0)))</f>
        <v>FECHAMENTO - MURO</v>
      </c>
      <c r="O701" s="178"/>
      <c r="Q701" s="178"/>
      <c r="R701" s="179"/>
      <c r="S701" s="179"/>
      <c r="T701" s="179"/>
      <c r="U701" s="179"/>
      <c r="V701" s="179"/>
      <c r="W701" s="179"/>
      <c r="X701" s="179"/>
      <c r="Y701" s="179"/>
      <c r="Z701" s="180"/>
      <c r="AB701" s="544">
        <f ca="1">IF(AND($D701="Serviço",AB$12&lt;&gt;0,$H701&gt;0,OR(AUTOEVENTO&lt;&gt;"manual",$M701&lt;&gt;1)),
IF(Import.TipoArredondamento&lt;&gt;"TransfereGOV",
ROUND(OFFSET($P701,0,AB$13),15-13*ORÇAMENTO!$AF$7)/$H701*OFFSET(ORÇAMENTO!$X$15,ROW(AB701)-ROW(AB$15),0),
ROUND(ROUND(OFFSET($P701,0,AB$13),15-13*ORÇAMENTO!$AF$7)*OFFSET(ORÇAMENTO!$W$15,ROW(AB701)-ROW(AB$15),0),15-13*ORÇAMENTO!$AF$11)),0)</f>
        <v>0</v>
      </c>
      <c r="AC701" s="545">
        <f ca="1">IF(AND($D701="Serviço",AC$12&lt;&gt;0,$H701&gt;0,OR(AUTOEVENTO&lt;&gt;"manual",$M701&lt;&gt;1)),
IF(Import.TipoArredondamento&lt;&gt;"TransfereGOV",
ROUND(OFFSET($P701,0,AC$13),15-13*ORÇAMENTO!$AF$7)/$H701*OFFSET(ORÇAMENTO!$X$15,ROW(AC701)-ROW(AC$15),0),
ROUND(ROUND(OFFSET($P701,0,AC$13),15-13*ORÇAMENTO!$AF$7)*OFFSET(ORÇAMENTO!$W$15,ROW(AC701)-ROW(AC$15),0),15-13*ORÇAMENTO!$AF$11)),0)</f>
        <v>0</v>
      </c>
      <c r="AD701" s="545">
        <f ca="1">IF(AND($D701="Serviço",AD$12&lt;&gt;0,$H701&gt;0,OR(AUTOEVENTO&lt;&gt;"manual",$M701&lt;&gt;1)),
IF(Import.TipoArredondamento&lt;&gt;"TransfereGOV",
ROUND(OFFSET($P701,0,AD$13),15-13*ORÇAMENTO!$AF$7)/$H701*OFFSET(ORÇAMENTO!$X$15,ROW(AD701)-ROW(AD$15),0),
ROUND(ROUND(OFFSET($P701,0,AD$13),15-13*ORÇAMENTO!$AF$7)*OFFSET(ORÇAMENTO!$W$15,ROW(AD701)-ROW(AD$15),0),15-13*ORÇAMENTO!$AF$11)),0)</f>
        <v>0</v>
      </c>
      <c r="AE701" s="545">
        <f ca="1">IF(AND($D701="Serviço",AE$12&lt;&gt;0,$H701&gt;0,OR(AUTOEVENTO&lt;&gt;"manual",$M701&lt;&gt;1)),
IF(Import.TipoArredondamento&lt;&gt;"TransfereGOV",
ROUND(OFFSET($P701,0,AE$13),15-13*ORÇAMENTO!$AF$7)/$H701*OFFSET(ORÇAMENTO!$X$15,ROW(AE701)-ROW(AE$15),0),
ROUND(ROUND(OFFSET($P701,0,AE$13),15-13*ORÇAMENTO!$AF$7)*OFFSET(ORÇAMENTO!$W$15,ROW(AE701)-ROW(AE$15),0),15-13*ORÇAMENTO!$AF$11)),0)</f>
        <v>0</v>
      </c>
      <c r="AF701" s="545">
        <f ca="1">IF(AND($D701="Serviço",AF$12&lt;&gt;0,$H701&gt;0,OR(AUTOEVENTO&lt;&gt;"manual",$M701&lt;&gt;1)),
IF(Import.TipoArredondamento&lt;&gt;"TransfereGOV",
ROUND(OFFSET($P701,0,AF$13),15-13*ORÇAMENTO!$AF$7)/$H701*OFFSET(ORÇAMENTO!$X$15,ROW(AF701)-ROW(AF$15),0),
ROUND(ROUND(OFFSET($P701,0,AF$13),15-13*ORÇAMENTO!$AF$7)*OFFSET(ORÇAMENTO!$W$15,ROW(AF701)-ROW(AF$15),0),15-13*ORÇAMENTO!$AF$11)),0)</f>
        <v>0</v>
      </c>
      <c r="AG701" s="545">
        <f ca="1">IF(AND($D701="Serviço",AG$12&lt;&gt;0,$H701&gt;0,OR(AUTOEVENTO&lt;&gt;"manual",$M701&lt;&gt;1)),
IF(Import.TipoArredondamento&lt;&gt;"TransfereGOV",
ROUND(OFFSET($P701,0,AG$13),15-13*ORÇAMENTO!$AF$7)/$H701*OFFSET(ORÇAMENTO!$X$15,ROW(AG701)-ROW(AG$15),0),
ROUND(ROUND(OFFSET($P701,0,AG$13),15-13*ORÇAMENTO!$AF$7)*OFFSET(ORÇAMENTO!$W$15,ROW(AG701)-ROW(AG$15),0),15-13*ORÇAMENTO!$AF$11)),0)</f>
        <v>0</v>
      </c>
      <c r="AH701" s="545">
        <f ca="1">IF(AND($D701="Serviço",AH$12&lt;&gt;0,$H701&gt;0,OR(AUTOEVENTO&lt;&gt;"manual",$M701&lt;&gt;1)),
IF(Import.TipoArredondamento&lt;&gt;"TransfereGOV",
ROUND(OFFSET($P701,0,AH$13),15-13*ORÇAMENTO!$AF$7)/$H701*OFFSET(ORÇAMENTO!$X$15,ROW(AH701)-ROW(AH$15),0),
ROUND(ROUND(OFFSET($P701,0,AH$13),15-13*ORÇAMENTO!$AF$7)*OFFSET(ORÇAMENTO!$W$15,ROW(AH701)-ROW(AH$15),0),15-13*ORÇAMENTO!$AF$11)),0)</f>
        <v>0</v>
      </c>
      <c r="AI701" s="545">
        <f ca="1">IF(AND($D701="Serviço",AI$12&lt;&gt;0,$H701&gt;0,OR(AUTOEVENTO&lt;&gt;"manual",$M701&lt;&gt;1)),
IF(Import.TipoArredondamento&lt;&gt;"TransfereGOV",
ROUND(OFFSET($P701,0,AI$13),15-13*ORÇAMENTO!$AF$7)/$H701*OFFSET(ORÇAMENTO!$X$15,ROW(AI701)-ROW(AI$15),0),
ROUND(ROUND(OFFSET($P701,0,AI$13),15-13*ORÇAMENTO!$AF$7)*OFFSET(ORÇAMENTO!$W$15,ROW(AI701)-ROW(AI$15),0),15-13*ORÇAMENTO!$AF$11)),0)</f>
        <v>0</v>
      </c>
      <c r="AJ701" s="545">
        <f ca="1">IF(AND($D701="Serviço",AJ$12&lt;&gt;0,$H701&gt;0,OR(AUTOEVENTO&lt;&gt;"manual",$M701&lt;&gt;1)),
IF(Import.TipoArredondamento&lt;&gt;"TransfereGOV",
ROUND(OFFSET($P701,0,AJ$13),15-13*ORÇAMENTO!$AF$7)/$H701*OFFSET(ORÇAMENTO!$X$15,ROW(AJ701)-ROW(AJ$15),0),
ROUND(ROUND(OFFSET($P701,0,AJ$13),15-13*ORÇAMENTO!$AF$7)*OFFSET(ORÇAMENTO!$W$15,ROW(AJ701)-ROW(AJ$15),0),15-13*ORÇAMENTO!$AF$11)),0)</f>
        <v>0</v>
      </c>
      <c r="AK701" s="546">
        <f ca="1">IF(AND($D701="Serviço",AK$12&lt;&gt;0,$H701&gt;0,OR(AUTOEVENTO&lt;&gt;"manual",$M701&lt;&gt;1)),
IF(Import.TipoArredondamento&lt;&gt;"TransfereGOV",
ROUND(OFFSET($P701,0,AK$13),15-13*ORÇAMENTO!$AF$7)/$H701*OFFSET(ORÇAMENTO!$X$15,ROW(AK701)-ROW(AK$15),0),
ROUND(ROUND(OFFSET($P701,0,AK$13),15-13*ORÇAMENTO!$AF$7)*OFFSET(ORÇAMENTO!$W$15,ROW(AK701)-ROW(AK$15),0),15-13*ORÇAMENTO!$AF$11)),0)</f>
        <v>0</v>
      </c>
      <c r="AM701" s="181">
        <f ca="1">IF($D701&lt;&gt;"Serviço",0,IF(AND(AUTOEVENTO="Manual",$M701=1),0,IF(OFFSET(CRONOPLE!$F$14,$M701,AM$13)="",10^12,OFFSET(CRONOPLE!$F$14,$M701,AM$13))))</f>
        <v>1000000000000</v>
      </c>
      <c r="AN701" s="181">
        <f ca="1">IF($D701&lt;&gt;"Serviço",0,IF(AND(AUTOEVENTO="Manual",$M701=1),0,IF(OFFSET(CRONOPLE!$F$14,$M701,AN$13)="",10^12,OFFSET(CRONOPLE!$F$14,$M701,AN$13))))</f>
        <v>1000000000000</v>
      </c>
      <c r="AO701" s="181">
        <f ca="1">IF($D701&lt;&gt;"Serviço",0,IF(AND(AUTOEVENTO="Manual",$M701=1),0,IF(OFFSET(CRONOPLE!$F$14,$M701,AO$13)="",10^12,OFFSET(CRONOPLE!$F$14,$M701,AO$13))))</f>
        <v>1000000000000</v>
      </c>
      <c r="AP701" s="181">
        <f ca="1">IF($D701&lt;&gt;"Serviço",0,IF(AND(AUTOEVENTO="Manual",$M701=1),0,IF(OFFSET(CRONOPLE!$F$14,$M701,AP$13)="",10^12,OFFSET(CRONOPLE!$F$14,$M701,AP$13))))</f>
        <v>1000000000000</v>
      </c>
      <c r="AQ701" s="181">
        <f ca="1">IF($D701&lt;&gt;"Serviço",0,IF(AND(AUTOEVENTO="Manual",$M701=1),0,IF(OFFSET(CRONOPLE!$F$14,$M701,AQ$13)="",10^12,OFFSET(CRONOPLE!$F$14,$M701,AQ$13))))</f>
        <v>1000000000000</v>
      </c>
      <c r="AR701" s="181">
        <f ca="1">IF($D701&lt;&gt;"Serviço",0,IF(AND(AUTOEVENTO="Manual",$M701=1),0,IF(OFFSET(CRONOPLE!$F$14,$M701,AR$13)="",10^12,OFFSET(CRONOPLE!$F$14,$M701,AR$13))))</f>
        <v>1000000000000</v>
      </c>
      <c r="AS701" s="181">
        <f ca="1">IF($D701&lt;&gt;"Serviço",0,IF(AND(AUTOEVENTO="Manual",$M701=1),0,IF(OFFSET(CRONOPLE!$F$14,$M701,AS$13)="",10^12,OFFSET(CRONOPLE!$F$14,$M701,AS$13))))</f>
        <v>1000000000000</v>
      </c>
      <c r="AT701" s="181">
        <f ca="1">IF($D701&lt;&gt;"Serviço",0,IF(AND(AUTOEVENTO="Manual",$M701=1),0,IF(OFFSET(CRONOPLE!$F$14,$M701,AT$13)="",10^12,OFFSET(CRONOPLE!$F$14,$M701,AT$13))))</f>
        <v>1000000000000</v>
      </c>
      <c r="AU701" s="181">
        <f ca="1">IF($D701&lt;&gt;"Serviço",0,IF(AND(AUTOEVENTO="Manual",$M701=1),0,IF(OFFSET(CRONOPLE!$F$14,$M701,AU$13)="",10^12,OFFSET(CRONOPLE!$F$14,$M701,AU$13))))</f>
        <v>1000000000000</v>
      </c>
      <c r="AV701" s="181">
        <f ca="1">IF($D701&lt;&gt;"Serviço",0,IF(AND(AUTOEVENTO="Manual",$M701=1),0,IF(OFFSET(CRONOPLE!$F$14,$M701,AV$13)="",10^12,OFFSET(CRONOPLE!$F$14,$M701,AV$13))))</f>
        <v>1000000000000</v>
      </c>
      <c r="AX701" s="182">
        <f ca="1">IF($D701&lt;&gt;"Serviço",0,IF(OR(AND(AUTOEVENTO="Manual",$M701=1),$M701&gt;(ROW(PLE.lastrow)-ROW(PLE.firstrow))),0,IF(OFFSET(PLE!$G$14,$M701,AX$13)="",10^12,OFFSET(PLE!$G$14,$M701,AX$13))))</f>
        <v>1000000000000</v>
      </c>
      <c r="AY701" s="182">
        <f ca="1">IF($D701&lt;&gt;"Serviço",0,IF(OR(AND(AUTOEVENTO="Manual",$M701=1),$M701&gt;(ROW(PLE.lastrow)-ROW(PLE.firstrow))),0,IF(OFFSET(PLE!$G$14,$M701,AY$13)="",10^12,OFFSET(PLE!$G$14,$M701,AY$13))))</f>
        <v>1000000000000</v>
      </c>
      <c r="AZ701" s="182">
        <f ca="1">IF($D701&lt;&gt;"Serviço",0,IF(OR(AND(AUTOEVENTO="Manual",$M701=1),$M701&gt;(ROW(PLE.lastrow)-ROW(PLE.firstrow))),0,IF(OFFSET(PLE!$G$14,$M701,AZ$13)="",10^12,OFFSET(PLE!$G$14,$M701,AZ$13))))</f>
        <v>1000000000000</v>
      </c>
      <c r="BA701" s="182">
        <f ca="1">IF($D701&lt;&gt;"Serviço",0,IF(OR(AND(AUTOEVENTO="Manual",$M701=1),$M701&gt;(ROW(PLE.lastrow)-ROW(PLE.firstrow))),0,IF(OFFSET(PLE!$G$14,$M701,BA$13)="",10^12,OFFSET(PLE!$G$14,$M701,BA$13))))</f>
        <v>1000000000000</v>
      </c>
      <c r="BB701" s="182">
        <f ca="1">IF($D701&lt;&gt;"Serviço",0,IF(OR(AND(AUTOEVENTO="Manual",$M701=1),$M701&gt;(ROW(PLE.lastrow)-ROW(PLE.firstrow))),0,IF(OFFSET(PLE!$G$14,$M701,BB$13)="",10^12,OFFSET(PLE!$G$14,$M701,BB$13))))</f>
        <v>1000000000000</v>
      </c>
      <c r="BC701" s="182">
        <f ca="1">IF($D701&lt;&gt;"Serviço",0,IF(OR(AND(AUTOEVENTO="Manual",$M701=1),$M701&gt;(ROW(PLE.lastrow)-ROW(PLE.firstrow))),0,IF(OFFSET(PLE!$G$14,$M701,BC$13)="",10^12,OFFSET(PLE!$G$14,$M701,BC$13))))</f>
        <v>1000000000000</v>
      </c>
      <c r="BD701" s="182">
        <f ca="1">IF($D701&lt;&gt;"Serviço",0,IF(OR(AND(AUTOEVENTO="Manual",$M701=1),$M701&gt;(ROW(PLE.lastrow)-ROW(PLE.firstrow))),0,IF(OFFSET(PLE!$G$14,$M701,BD$13)="",10^12,OFFSET(PLE!$G$14,$M701,BD$13))))</f>
        <v>1000000000000</v>
      </c>
      <c r="BE701" s="182">
        <f ca="1">IF($D701&lt;&gt;"Serviço",0,IF(OR(AND(AUTOEVENTO="Manual",$M701=1),$M701&gt;(ROW(PLE.lastrow)-ROW(PLE.firstrow))),0,IF(OFFSET(PLE!$G$14,$M701,BE$13)="",10^12,OFFSET(PLE!$G$14,$M701,BE$13))))</f>
        <v>1000000000000</v>
      </c>
      <c r="BF701" s="182">
        <f ca="1">IF($D701&lt;&gt;"Serviço",0,IF(OR(AND(AUTOEVENTO="Manual",$M701=1),$M701&gt;(ROW(PLE.lastrow)-ROW(PLE.firstrow))),0,IF(OFFSET(PLE!$G$14,$M701,BF$13)="",10^12,OFFSET(PLE!$G$14,$M701,BF$13))))</f>
        <v>1000000000000</v>
      </c>
      <c r="BG701" s="182">
        <f ca="1">IF($D701&lt;&gt;"Serviço",0,IF(OR(AND(AUTOEVENTO="Manual",$M701=1),$M701&gt;(ROW(PLE.lastrow)-ROW(PLE.firstrow))),0,IF(OFFSET(PLE!$G$14,$M701,BG$13)="",10^12,OFFSET(PLE!$G$14,$M701,BG$13))))</f>
        <v>1000000000000</v>
      </c>
    </row>
    <row r="702" spans="1:59" ht="25.5" x14ac:dyDescent="0.2">
      <c r="A702" s="7" t="str">
        <f t="shared" ca="1" si="17"/>
        <v>679</v>
      </c>
      <c r="B702" s="7" t="str">
        <f ca="1">OFFSET(ORÇAMENTO!C$15,ROW(B702)-ROW(B$15),0)</f>
        <v>S</v>
      </c>
      <c r="C702" s="7" t="str">
        <f ca="1">OFFSET(ORÇAMENTO!L$15,ROW(C702)-ROW(C$15),0)</f>
        <v/>
      </c>
      <c r="D702" s="118" t="str">
        <f ca="1">OFFSET(ORÇAMENTO!N$15,ROW(D702)-ROW(D$15),0)</f>
        <v>Serviço</v>
      </c>
      <c r="E702" s="119" t="str">
        <f ca="1">OFFSET(ORÇAMENTO!O$15,ROW(E702)-ROW(E$15),0)</f>
        <v>-</v>
      </c>
      <c r="F702" s="172" t="str">
        <f ca="1">OFFSET(ORÇAMENTO!R$15,ROW(F702)-ROW(F$15),0)</f>
        <v>(abra o arquivo 'Referência 02-2025.xlsm)</v>
      </c>
      <c r="G702" s="173" t="str">
        <f ca="1">IF($D702&lt;&gt;"Serviço","",OFFSET(ORÇAMENTO!S$15,ROW(G702)-ROW(G$15),0))</f>
        <v>-</v>
      </c>
      <c r="H702" s="124">
        <f ca="1">IF($D702&lt;&gt;"Serviço",0,IF(ACOMPANHAMENTO="BM",ROUND(OFFSET(ORÇAMENTO!AJ$15,ROW(H702)-ROW(H$15),0),15-13*ORÇAMENTO!$AF$7),SUMPRODUCT(($Q$12:$AA$12&lt;&gt;"")*ROUND($Q702:$AA702,15-13*ORÇAMENTO!$AF$7))))</f>
        <v>109.2</v>
      </c>
      <c r="I702" s="561" t="s">
        <v>890</v>
      </c>
      <c r="K702" s="174"/>
      <c r="L702" s="175" t="s">
        <v>255</v>
      </c>
      <c r="M702" s="176">
        <f ca="1">IF($D702&lt;&gt;"Serviço","",IF(AUTOEVENTO="manual",$A702,IF(ISERROR(MATCH($A702,$A$15:OFFSET($A702,-1,0),0)),MAX($M$15:OFFSET(M702,-1,0))+1,INDEX($M$15:OFFSET(M702,-1,0),MATCH($A702,$A$15:OFFSET($A702,-1,0),0)))))</f>
        <v>25</v>
      </c>
      <c r="N702" s="177" t="str">
        <f ca="1">IF($D702&lt;&gt;"Serviço","",IF(AUTOEVENTO="Manual",IF($A702=0,"&lt;-- defina o número do agrupador",OFFSET(EVENTOS!$D$14,$A702,0)),OFFSET($F$15,$A702,0)))</f>
        <v>FECHAMENTO - MURO</v>
      </c>
      <c r="O702" s="178"/>
      <c r="Q702" s="178"/>
      <c r="R702" s="179"/>
      <c r="S702" s="179"/>
      <c r="T702" s="179"/>
      <c r="U702" s="179"/>
      <c r="V702" s="179"/>
      <c r="W702" s="179"/>
      <c r="X702" s="179"/>
      <c r="Y702" s="179"/>
      <c r="Z702" s="180"/>
      <c r="AB702" s="544">
        <f ca="1">IF(AND($D702="Serviço",AB$12&lt;&gt;0,$H702&gt;0,OR(AUTOEVENTO&lt;&gt;"manual",$M702&lt;&gt;1)),
IF(Import.TipoArredondamento&lt;&gt;"TransfereGOV",
ROUND(OFFSET($P702,0,AB$13),15-13*ORÇAMENTO!$AF$7)/$H702*OFFSET(ORÇAMENTO!$X$15,ROW(AB702)-ROW(AB$15),0),
ROUND(ROUND(OFFSET($P702,0,AB$13),15-13*ORÇAMENTO!$AF$7)*OFFSET(ORÇAMENTO!$W$15,ROW(AB702)-ROW(AB$15),0),15-13*ORÇAMENTO!$AF$11)),0)</f>
        <v>0</v>
      </c>
      <c r="AC702" s="545">
        <f ca="1">IF(AND($D702="Serviço",AC$12&lt;&gt;0,$H702&gt;0,OR(AUTOEVENTO&lt;&gt;"manual",$M702&lt;&gt;1)),
IF(Import.TipoArredondamento&lt;&gt;"TransfereGOV",
ROUND(OFFSET($P702,0,AC$13),15-13*ORÇAMENTO!$AF$7)/$H702*OFFSET(ORÇAMENTO!$X$15,ROW(AC702)-ROW(AC$15),0),
ROUND(ROUND(OFFSET($P702,0,AC$13),15-13*ORÇAMENTO!$AF$7)*OFFSET(ORÇAMENTO!$W$15,ROW(AC702)-ROW(AC$15),0),15-13*ORÇAMENTO!$AF$11)),0)</f>
        <v>0</v>
      </c>
      <c r="AD702" s="545">
        <f ca="1">IF(AND($D702="Serviço",AD$12&lt;&gt;0,$H702&gt;0,OR(AUTOEVENTO&lt;&gt;"manual",$M702&lt;&gt;1)),
IF(Import.TipoArredondamento&lt;&gt;"TransfereGOV",
ROUND(OFFSET($P702,0,AD$13),15-13*ORÇAMENTO!$AF$7)/$H702*OFFSET(ORÇAMENTO!$X$15,ROW(AD702)-ROW(AD$15),0),
ROUND(ROUND(OFFSET($P702,0,AD$13),15-13*ORÇAMENTO!$AF$7)*OFFSET(ORÇAMENTO!$W$15,ROW(AD702)-ROW(AD$15),0),15-13*ORÇAMENTO!$AF$11)),0)</f>
        <v>0</v>
      </c>
      <c r="AE702" s="545">
        <f ca="1">IF(AND($D702="Serviço",AE$12&lt;&gt;0,$H702&gt;0,OR(AUTOEVENTO&lt;&gt;"manual",$M702&lt;&gt;1)),
IF(Import.TipoArredondamento&lt;&gt;"TransfereGOV",
ROUND(OFFSET($P702,0,AE$13),15-13*ORÇAMENTO!$AF$7)/$H702*OFFSET(ORÇAMENTO!$X$15,ROW(AE702)-ROW(AE$15),0),
ROUND(ROUND(OFFSET($P702,0,AE$13),15-13*ORÇAMENTO!$AF$7)*OFFSET(ORÇAMENTO!$W$15,ROW(AE702)-ROW(AE$15),0),15-13*ORÇAMENTO!$AF$11)),0)</f>
        <v>0</v>
      </c>
      <c r="AF702" s="545">
        <f ca="1">IF(AND($D702="Serviço",AF$12&lt;&gt;0,$H702&gt;0,OR(AUTOEVENTO&lt;&gt;"manual",$M702&lt;&gt;1)),
IF(Import.TipoArredondamento&lt;&gt;"TransfereGOV",
ROUND(OFFSET($P702,0,AF$13),15-13*ORÇAMENTO!$AF$7)/$H702*OFFSET(ORÇAMENTO!$X$15,ROW(AF702)-ROW(AF$15),0),
ROUND(ROUND(OFFSET($P702,0,AF$13),15-13*ORÇAMENTO!$AF$7)*OFFSET(ORÇAMENTO!$W$15,ROW(AF702)-ROW(AF$15),0),15-13*ORÇAMENTO!$AF$11)),0)</f>
        <v>0</v>
      </c>
      <c r="AG702" s="545">
        <f ca="1">IF(AND($D702="Serviço",AG$12&lt;&gt;0,$H702&gt;0,OR(AUTOEVENTO&lt;&gt;"manual",$M702&lt;&gt;1)),
IF(Import.TipoArredondamento&lt;&gt;"TransfereGOV",
ROUND(OFFSET($P702,0,AG$13),15-13*ORÇAMENTO!$AF$7)/$H702*OFFSET(ORÇAMENTO!$X$15,ROW(AG702)-ROW(AG$15),0),
ROUND(ROUND(OFFSET($P702,0,AG$13),15-13*ORÇAMENTO!$AF$7)*OFFSET(ORÇAMENTO!$W$15,ROW(AG702)-ROW(AG$15),0),15-13*ORÇAMENTO!$AF$11)),0)</f>
        <v>0</v>
      </c>
      <c r="AH702" s="545">
        <f ca="1">IF(AND($D702="Serviço",AH$12&lt;&gt;0,$H702&gt;0,OR(AUTOEVENTO&lt;&gt;"manual",$M702&lt;&gt;1)),
IF(Import.TipoArredondamento&lt;&gt;"TransfereGOV",
ROUND(OFFSET($P702,0,AH$13),15-13*ORÇAMENTO!$AF$7)/$H702*OFFSET(ORÇAMENTO!$X$15,ROW(AH702)-ROW(AH$15),0),
ROUND(ROUND(OFFSET($P702,0,AH$13),15-13*ORÇAMENTO!$AF$7)*OFFSET(ORÇAMENTO!$W$15,ROW(AH702)-ROW(AH$15),0),15-13*ORÇAMENTO!$AF$11)),0)</f>
        <v>0</v>
      </c>
      <c r="AI702" s="545">
        <f ca="1">IF(AND($D702="Serviço",AI$12&lt;&gt;0,$H702&gt;0,OR(AUTOEVENTO&lt;&gt;"manual",$M702&lt;&gt;1)),
IF(Import.TipoArredondamento&lt;&gt;"TransfereGOV",
ROUND(OFFSET($P702,0,AI$13),15-13*ORÇAMENTO!$AF$7)/$H702*OFFSET(ORÇAMENTO!$X$15,ROW(AI702)-ROW(AI$15),0),
ROUND(ROUND(OFFSET($P702,0,AI$13),15-13*ORÇAMENTO!$AF$7)*OFFSET(ORÇAMENTO!$W$15,ROW(AI702)-ROW(AI$15),0),15-13*ORÇAMENTO!$AF$11)),0)</f>
        <v>0</v>
      </c>
      <c r="AJ702" s="545">
        <f ca="1">IF(AND($D702="Serviço",AJ$12&lt;&gt;0,$H702&gt;0,OR(AUTOEVENTO&lt;&gt;"manual",$M702&lt;&gt;1)),
IF(Import.TipoArredondamento&lt;&gt;"TransfereGOV",
ROUND(OFFSET($P702,0,AJ$13),15-13*ORÇAMENTO!$AF$7)/$H702*OFFSET(ORÇAMENTO!$X$15,ROW(AJ702)-ROW(AJ$15),0),
ROUND(ROUND(OFFSET($P702,0,AJ$13),15-13*ORÇAMENTO!$AF$7)*OFFSET(ORÇAMENTO!$W$15,ROW(AJ702)-ROW(AJ$15),0),15-13*ORÇAMENTO!$AF$11)),0)</f>
        <v>0</v>
      </c>
      <c r="AK702" s="546">
        <f ca="1">IF(AND($D702="Serviço",AK$12&lt;&gt;0,$H702&gt;0,OR(AUTOEVENTO&lt;&gt;"manual",$M702&lt;&gt;1)),
IF(Import.TipoArredondamento&lt;&gt;"TransfereGOV",
ROUND(OFFSET($P702,0,AK$13),15-13*ORÇAMENTO!$AF$7)/$H702*OFFSET(ORÇAMENTO!$X$15,ROW(AK702)-ROW(AK$15),0),
ROUND(ROUND(OFFSET($P702,0,AK$13),15-13*ORÇAMENTO!$AF$7)*OFFSET(ORÇAMENTO!$W$15,ROW(AK702)-ROW(AK$15),0),15-13*ORÇAMENTO!$AF$11)),0)</f>
        <v>0</v>
      </c>
      <c r="AM702" s="181">
        <f ca="1">IF($D702&lt;&gt;"Serviço",0,IF(AND(AUTOEVENTO="Manual",$M702=1),0,IF(OFFSET(CRONOPLE!$F$14,$M702,AM$13)="",10^12,OFFSET(CRONOPLE!$F$14,$M702,AM$13))))</f>
        <v>1000000000000</v>
      </c>
      <c r="AN702" s="181">
        <f ca="1">IF($D702&lt;&gt;"Serviço",0,IF(AND(AUTOEVENTO="Manual",$M702=1),0,IF(OFFSET(CRONOPLE!$F$14,$M702,AN$13)="",10^12,OFFSET(CRONOPLE!$F$14,$M702,AN$13))))</f>
        <v>1000000000000</v>
      </c>
      <c r="AO702" s="181">
        <f ca="1">IF($D702&lt;&gt;"Serviço",0,IF(AND(AUTOEVENTO="Manual",$M702=1),0,IF(OFFSET(CRONOPLE!$F$14,$M702,AO$13)="",10^12,OFFSET(CRONOPLE!$F$14,$M702,AO$13))))</f>
        <v>1000000000000</v>
      </c>
      <c r="AP702" s="181">
        <f ca="1">IF($D702&lt;&gt;"Serviço",0,IF(AND(AUTOEVENTO="Manual",$M702=1),0,IF(OFFSET(CRONOPLE!$F$14,$M702,AP$13)="",10^12,OFFSET(CRONOPLE!$F$14,$M702,AP$13))))</f>
        <v>1000000000000</v>
      </c>
      <c r="AQ702" s="181">
        <f ca="1">IF($D702&lt;&gt;"Serviço",0,IF(AND(AUTOEVENTO="Manual",$M702=1),0,IF(OFFSET(CRONOPLE!$F$14,$M702,AQ$13)="",10^12,OFFSET(CRONOPLE!$F$14,$M702,AQ$13))))</f>
        <v>1000000000000</v>
      </c>
      <c r="AR702" s="181">
        <f ca="1">IF($D702&lt;&gt;"Serviço",0,IF(AND(AUTOEVENTO="Manual",$M702=1),0,IF(OFFSET(CRONOPLE!$F$14,$M702,AR$13)="",10^12,OFFSET(CRONOPLE!$F$14,$M702,AR$13))))</f>
        <v>1000000000000</v>
      </c>
      <c r="AS702" s="181">
        <f ca="1">IF($D702&lt;&gt;"Serviço",0,IF(AND(AUTOEVENTO="Manual",$M702=1),0,IF(OFFSET(CRONOPLE!$F$14,$M702,AS$13)="",10^12,OFFSET(CRONOPLE!$F$14,$M702,AS$13))))</f>
        <v>1000000000000</v>
      </c>
      <c r="AT702" s="181">
        <f ca="1">IF($D702&lt;&gt;"Serviço",0,IF(AND(AUTOEVENTO="Manual",$M702=1),0,IF(OFFSET(CRONOPLE!$F$14,$M702,AT$13)="",10^12,OFFSET(CRONOPLE!$F$14,$M702,AT$13))))</f>
        <v>1000000000000</v>
      </c>
      <c r="AU702" s="181">
        <f ca="1">IF($D702&lt;&gt;"Serviço",0,IF(AND(AUTOEVENTO="Manual",$M702=1),0,IF(OFFSET(CRONOPLE!$F$14,$M702,AU$13)="",10^12,OFFSET(CRONOPLE!$F$14,$M702,AU$13))))</f>
        <v>1000000000000</v>
      </c>
      <c r="AV702" s="181">
        <f ca="1">IF($D702&lt;&gt;"Serviço",0,IF(AND(AUTOEVENTO="Manual",$M702=1),0,IF(OFFSET(CRONOPLE!$F$14,$M702,AV$13)="",10^12,OFFSET(CRONOPLE!$F$14,$M702,AV$13))))</f>
        <v>1000000000000</v>
      </c>
      <c r="AX702" s="182">
        <f ca="1">IF($D702&lt;&gt;"Serviço",0,IF(OR(AND(AUTOEVENTO="Manual",$M702=1),$M702&gt;(ROW(PLE.lastrow)-ROW(PLE.firstrow))),0,IF(OFFSET(PLE!$G$14,$M702,AX$13)="",10^12,OFFSET(PLE!$G$14,$M702,AX$13))))</f>
        <v>1000000000000</v>
      </c>
      <c r="AY702" s="182">
        <f ca="1">IF($D702&lt;&gt;"Serviço",0,IF(OR(AND(AUTOEVENTO="Manual",$M702=1),$M702&gt;(ROW(PLE.lastrow)-ROW(PLE.firstrow))),0,IF(OFFSET(PLE!$G$14,$M702,AY$13)="",10^12,OFFSET(PLE!$G$14,$M702,AY$13))))</f>
        <v>1000000000000</v>
      </c>
      <c r="AZ702" s="182">
        <f ca="1">IF($D702&lt;&gt;"Serviço",0,IF(OR(AND(AUTOEVENTO="Manual",$M702=1),$M702&gt;(ROW(PLE.lastrow)-ROW(PLE.firstrow))),0,IF(OFFSET(PLE!$G$14,$M702,AZ$13)="",10^12,OFFSET(PLE!$G$14,$M702,AZ$13))))</f>
        <v>1000000000000</v>
      </c>
      <c r="BA702" s="182">
        <f ca="1">IF($D702&lt;&gt;"Serviço",0,IF(OR(AND(AUTOEVENTO="Manual",$M702=1),$M702&gt;(ROW(PLE.lastrow)-ROW(PLE.firstrow))),0,IF(OFFSET(PLE!$G$14,$M702,BA$13)="",10^12,OFFSET(PLE!$G$14,$M702,BA$13))))</f>
        <v>1000000000000</v>
      </c>
      <c r="BB702" s="182">
        <f ca="1">IF($D702&lt;&gt;"Serviço",0,IF(OR(AND(AUTOEVENTO="Manual",$M702=1),$M702&gt;(ROW(PLE.lastrow)-ROW(PLE.firstrow))),0,IF(OFFSET(PLE!$G$14,$M702,BB$13)="",10^12,OFFSET(PLE!$G$14,$M702,BB$13))))</f>
        <v>1000000000000</v>
      </c>
      <c r="BC702" s="182">
        <f ca="1">IF($D702&lt;&gt;"Serviço",0,IF(OR(AND(AUTOEVENTO="Manual",$M702=1),$M702&gt;(ROW(PLE.lastrow)-ROW(PLE.firstrow))),0,IF(OFFSET(PLE!$G$14,$M702,BC$13)="",10^12,OFFSET(PLE!$G$14,$M702,BC$13))))</f>
        <v>1000000000000</v>
      </c>
      <c r="BD702" s="182">
        <f ca="1">IF($D702&lt;&gt;"Serviço",0,IF(OR(AND(AUTOEVENTO="Manual",$M702=1),$M702&gt;(ROW(PLE.lastrow)-ROW(PLE.firstrow))),0,IF(OFFSET(PLE!$G$14,$M702,BD$13)="",10^12,OFFSET(PLE!$G$14,$M702,BD$13))))</f>
        <v>1000000000000</v>
      </c>
      <c r="BE702" s="182">
        <f ca="1">IF($D702&lt;&gt;"Serviço",0,IF(OR(AND(AUTOEVENTO="Manual",$M702=1),$M702&gt;(ROW(PLE.lastrow)-ROW(PLE.firstrow))),0,IF(OFFSET(PLE!$G$14,$M702,BE$13)="",10^12,OFFSET(PLE!$G$14,$M702,BE$13))))</f>
        <v>1000000000000</v>
      </c>
      <c r="BF702" s="182">
        <f ca="1">IF($D702&lt;&gt;"Serviço",0,IF(OR(AND(AUTOEVENTO="Manual",$M702=1),$M702&gt;(ROW(PLE.lastrow)-ROW(PLE.firstrow))),0,IF(OFFSET(PLE!$G$14,$M702,BF$13)="",10^12,OFFSET(PLE!$G$14,$M702,BF$13))))</f>
        <v>1000000000000</v>
      </c>
      <c r="BG702" s="182">
        <f ca="1">IF($D702&lt;&gt;"Serviço",0,IF(OR(AND(AUTOEVENTO="Manual",$M702=1),$M702&gt;(ROW(PLE.lastrow)-ROW(PLE.firstrow))),0,IF(OFFSET(PLE!$G$14,$M702,BG$13)="",10^12,OFFSET(PLE!$G$14,$M702,BG$13))))</f>
        <v>1000000000000</v>
      </c>
    </row>
    <row r="703" spans="1:59" ht="38.25" x14ac:dyDescent="0.2">
      <c r="A703" s="7" t="str">
        <f t="shared" ca="1" si="17"/>
        <v>679</v>
      </c>
      <c r="B703" s="7" t="str">
        <f ca="1">OFFSET(ORÇAMENTO!C$15,ROW(B703)-ROW(B$15),0)</f>
        <v>S</v>
      </c>
      <c r="C703" s="7" t="str">
        <f ca="1">OFFSET(ORÇAMENTO!L$15,ROW(C703)-ROW(C$15),0)</f>
        <v/>
      </c>
      <c r="D703" s="118" t="str">
        <f ca="1">OFFSET(ORÇAMENTO!N$15,ROW(D703)-ROW(D$15),0)</f>
        <v>Serviço</v>
      </c>
      <c r="E703" s="119" t="str">
        <f ca="1">OFFSET(ORÇAMENTO!O$15,ROW(E703)-ROW(E$15),0)</f>
        <v>-</v>
      </c>
      <c r="F703" s="172" t="str">
        <f ca="1">OFFSET(ORÇAMENTO!R$15,ROW(F703)-ROW(F$15),0)</f>
        <v>(abra o arquivo 'Referência 02-2025.xlsm)</v>
      </c>
      <c r="G703" s="173" t="str">
        <f ca="1">IF($D703&lt;&gt;"Serviço","",OFFSET(ORÇAMENTO!S$15,ROW(G703)-ROW(G$15),0))</f>
        <v>-</v>
      </c>
      <c r="H703" s="124">
        <f ca="1">IF($D703&lt;&gt;"Serviço",0,IF(ACOMPANHAMENTO="BM",ROUND(OFFSET(ORÇAMENTO!AJ$15,ROW(H703)-ROW(H$15),0),15-13*ORÇAMENTO!$AF$7),SUMPRODUCT(($Q$12:$AA$12&lt;&gt;"")*ROUND($Q703:$AA703,15-13*ORÇAMENTO!$AF$7))))</f>
        <v>83.33</v>
      </c>
      <c r="I703" s="561" t="s">
        <v>890</v>
      </c>
      <c r="K703" s="174"/>
      <c r="L703" s="175" t="s">
        <v>255</v>
      </c>
      <c r="M703" s="176">
        <f ca="1">IF($D703&lt;&gt;"Serviço","",IF(AUTOEVENTO="manual",$A703,IF(ISERROR(MATCH($A703,$A$15:OFFSET($A703,-1,0),0)),MAX($M$15:OFFSET(M703,-1,0))+1,INDEX($M$15:OFFSET(M703,-1,0),MATCH($A703,$A$15:OFFSET($A703,-1,0),0)))))</f>
        <v>25</v>
      </c>
      <c r="N703" s="177" t="str">
        <f ca="1">IF($D703&lt;&gt;"Serviço","",IF(AUTOEVENTO="Manual",IF($A703=0,"&lt;-- defina o número do agrupador",OFFSET(EVENTOS!$D$14,$A703,0)),OFFSET($F$15,$A703,0)))</f>
        <v>FECHAMENTO - MURO</v>
      </c>
      <c r="O703" s="178"/>
      <c r="Q703" s="178"/>
      <c r="R703" s="179"/>
      <c r="S703" s="179"/>
      <c r="T703" s="179"/>
      <c r="U703" s="179"/>
      <c r="V703" s="179"/>
      <c r="W703" s="179"/>
      <c r="X703" s="179"/>
      <c r="Y703" s="179"/>
      <c r="Z703" s="180"/>
      <c r="AB703" s="544">
        <f ca="1">IF(AND($D703="Serviço",AB$12&lt;&gt;0,$H703&gt;0,OR(AUTOEVENTO&lt;&gt;"manual",$M703&lt;&gt;1)),
IF(Import.TipoArredondamento&lt;&gt;"TransfereGOV",
ROUND(OFFSET($P703,0,AB$13),15-13*ORÇAMENTO!$AF$7)/$H703*OFFSET(ORÇAMENTO!$X$15,ROW(AB703)-ROW(AB$15),0),
ROUND(ROUND(OFFSET($P703,0,AB$13),15-13*ORÇAMENTO!$AF$7)*OFFSET(ORÇAMENTO!$W$15,ROW(AB703)-ROW(AB$15),0),15-13*ORÇAMENTO!$AF$11)),0)</f>
        <v>0</v>
      </c>
      <c r="AC703" s="545">
        <f ca="1">IF(AND($D703="Serviço",AC$12&lt;&gt;0,$H703&gt;0,OR(AUTOEVENTO&lt;&gt;"manual",$M703&lt;&gt;1)),
IF(Import.TipoArredondamento&lt;&gt;"TransfereGOV",
ROUND(OFFSET($P703,0,AC$13),15-13*ORÇAMENTO!$AF$7)/$H703*OFFSET(ORÇAMENTO!$X$15,ROW(AC703)-ROW(AC$15),0),
ROUND(ROUND(OFFSET($P703,0,AC$13),15-13*ORÇAMENTO!$AF$7)*OFFSET(ORÇAMENTO!$W$15,ROW(AC703)-ROW(AC$15),0),15-13*ORÇAMENTO!$AF$11)),0)</f>
        <v>0</v>
      </c>
      <c r="AD703" s="545">
        <f ca="1">IF(AND($D703="Serviço",AD$12&lt;&gt;0,$H703&gt;0,OR(AUTOEVENTO&lt;&gt;"manual",$M703&lt;&gt;1)),
IF(Import.TipoArredondamento&lt;&gt;"TransfereGOV",
ROUND(OFFSET($P703,0,AD$13),15-13*ORÇAMENTO!$AF$7)/$H703*OFFSET(ORÇAMENTO!$X$15,ROW(AD703)-ROW(AD$15),0),
ROUND(ROUND(OFFSET($P703,0,AD$13),15-13*ORÇAMENTO!$AF$7)*OFFSET(ORÇAMENTO!$W$15,ROW(AD703)-ROW(AD$15),0),15-13*ORÇAMENTO!$AF$11)),0)</f>
        <v>0</v>
      </c>
      <c r="AE703" s="545">
        <f ca="1">IF(AND($D703="Serviço",AE$12&lt;&gt;0,$H703&gt;0,OR(AUTOEVENTO&lt;&gt;"manual",$M703&lt;&gt;1)),
IF(Import.TipoArredondamento&lt;&gt;"TransfereGOV",
ROUND(OFFSET($P703,0,AE$13),15-13*ORÇAMENTO!$AF$7)/$H703*OFFSET(ORÇAMENTO!$X$15,ROW(AE703)-ROW(AE$15),0),
ROUND(ROUND(OFFSET($P703,0,AE$13),15-13*ORÇAMENTO!$AF$7)*OFFSET(ORÇAMENTO!$W$15,ROW(AE703)-ROW(AE$15),0),15-13*ORÇAMENTO!$AF$11)),0)</f>
        <v>0</v>
      </c>
      <c r="AF703" s="545">
        <f ca="1">IF(AND($D703="Serviço",AF$12&lt;&gt;0,$H703&gt;0,OR(AUTOEVENTO&lt;&gt;"manual",$M703&lt;&gt;1)),
IF(Import.TipoArredondamento&lt;&gt;"TransfereGOV",
ROUND(OFFSET($P703,0,AF$13),15-13*ORÇAMENTO!$AF$7)/$H703*OFFSET(ORÇAMENTO!$X$15,ROW(AF703)-ROW(AF$15),0),
ROUND(ROUND(OFFSET($P703,0,AF$13),15-13*ORÇAMENTO!$AF$7)*OFFSET(ORÇAMENTO!$W$15,ROW(AF703)-ROW(AF$15),0),15-13*ORÇAMENTO!$AF$11)),0)</f>
        <v>0</v>
      </c>
      <c r="AG703" s="545">
        <f ca="1">IF(AND($D703="Serviço",AG$12&lt;&gt;0,$H703&gt;0,OR(AUTOEVENTO&lt;&gt;"manual",$M703&lt;&gt;1)),
IF(Import.TipoArredondamento&lt;&gt;"TransfereGOV",
ROUND(OFFSET($P703,0,AG$13),15-13*ORÇAMENTO!$AF$7)/$H703*OFFSET(ORÇAMENTO!$X$15,ROW(AG703)-ROW(AG$15),0),
ROUND(ROUND(OFFSET($P703,0,AG$13),15-13*ORÇAMENTO!$AF$7)*OFFSET(ORÇAMENTO!$W$15,ROW(AG703)-ROW(AG$15),0),15-13*ORÇAMENTO!$AF$11)),0)</f>
        <v>0</v>
      </c>
      <c r="AH703" s="545">
        <f ca="1">IF(AND($D703="Serviço",AH$12&lt;&gt;0,$H703&gt;0,OR(AUTOEVENTO&lt;&gt;"manual",$M703&lt;&gt;1)),
IF(Import.TipoArredondamento&lt;&gt;"TransfereGOV",
ROUND(OFFSET($P703,0,AH$13),15-13*ORÇAMENTO!$AF$7)/$H703*OFFSET(ORÇAMENTO!$X$15,ROW(AH703)-ROW(AH$15),0),
ROUND(ROUND(OFFSET($P703,0,AH$13),15-13*ORÇAMENTO!$AF$7)*OFFSET(ORÇAMENTO!$W$15,ROW(AH703)-ROW(AH$15),0),15-13*ORÇAMENTO!$AF$11)),0)</f>
        <v>0</v>
      </c>
      <c r="AI703" s="545">
        <f ca="1">IF(AND($D703="Serviço",AI$12&lt;&gt;0,$H703&gt;0,OR(AUTOEVENTO&lt;&gt;"manual",$M703&lt;&gt;1)),
IF(Import.TipoArredondamento&lt;&gt;"TransfereGOV",
ROUND(OFFSET($P703,0,AI$13),15-13*ORÇAMENTO!$AF$7)/$H703*OFFSET(ORÇAMENTO!$X$15,ROW(AI703)-ROW(AI$15),0),
ROUND(ROUND(OFFSET($P703,0,AI$13),15-13*ORÇAMENTO!$AF$7)*OFFSET(ORÇAMENTO!$W$15,ROW(AI703)-ROW(AI$15),0),15-13*ORÇAMENTO!$AF$11)),0)</f>
        <v>0</v>
      </c>
      <c r="AJ703" s="545">
        <f ca="1">IF(AND($D703="Serviço",AJ$12&lt;&gt;0,$H703&gt;0,OR(AUTOEVENTO&lt;&gt;"manual",$M703&lt;&gt;1)),
IF(Import.TipoArredondamento&lt;&gt;"TransfereGOV",
ROUND(OFFSET($P703,0,AJ$13),15-13*ORÇAMENTO!$AF$7)/$H703*OFFSET(ORÇAMENTO!$X$15,ROW(AJ703)-ROW(AJ$15),0),
ROUND(ROUND(OFFSET($P703,0,AJ$13),15-13*ORÇAMENTO!$AF$7)*OFFSET(ORÇAMENTO!$W$15,ROW(AJ703)-ROW(AJ$15),0),15-13*ORÇAMENTO!$AF$11)),0)</f>
        <v>0</v>
      </c>
      <c r="AK703" s="546">
        <f ca="1">IF(AND($D703="Serviço",AK$12&lt;&gt;0,$H703&gt;0,OR(AUTOEVENTO&lt;&gt;"manual",$M703&lt;&gt;1)),
IF(Import.TipoArredondamento&lt;&gt;"TransfereGOV",
ROUND(OFFSET($P703,0,AK$13),15-13*ORÇAMENTO!$AF$7)/$H703*OFFSET(ORÇAMENTO!$X$15,ROW(AK703)-ROW(AK$15),0),
ROUND(ROUND(OFFSET($P703,0,AK$13),15-13*ORÇAMENTO!$AF$7)*OFFSET(ORÇAMENTO!$W$15,ROW(AK703)-ROW(AK$15),0),15-13*ORÇAMENTO!$AF$11)),0)</f>
        <v>0</v>
      </c>
      <c r="AM703" s="181">
        <f ca="1">IF($D703&lt;&gt;"Serviço",0,IF(AND(AUTOEVENTO="Manual",$M703=1),0,IF(OFFSET(CRONOPLE!$F$14,$M703,AM$13)="",10^12,OFFSET(CRONOPLE!$F$14,$M703,AM$13))))</f>
        <v>1000000000000</v>
      </c>
      <c r="AN703" s="181">
        <f ca="1">IF($D703&lt;&gt;"Serviço",0,IF(AND(AUTOEVENTO="Manual",$M703=1),0,IF(OFFSET(CRONOPLE!$F$14,$M703,AN$13)="",10^12,OFFSET(CRONOPLE!$F$14,$M703,AN$13))))</f>
        <v>1000000000000</v>
      </c>
      <c r="AO703" s="181">
        <f ca="1">IF($D703&lt;&gt;"Serviço",0,IF(AND(AUTOEVENTO="Manual",$M703=1),0,IF(OFFSET(CRONOPLE!$F$14,$M703,AO$13)="",10^12,OFFSET(CRONOPLE!$F$14,$M703,AO$13))))</f>
        <v>1000000000000</v>
      </c>
      <c r="AP703" s="181">
        <f ca="1">IF($D703&lt;&gt;"Serviço",0,IF(AND(AUTOEVENTO="Manual",$M703=1),0,IF(OFFSET(CRONOPLE!$F$14,$M703,AP$13)="",10^12,OFFSET(CRONOPLE!$F$14,$M703,AP$13))))</f>
        <v>1000000000000</v>
      </c>
      <c r="AQ703" s="181">
        <f ca="1">IF($D703&lt;&gt;"Serviço",0,IF(AND(AUTOEVENTO="Manual",$M703=1),0,IF(OFFSET(CRONOPLE!$F$14,$M703,AQ$13)="",10^12,OFFSET(CRONOPLE!$F$14,$M703,AQ$13))))</f>
        <v>1000000000000</v>
      </c>
      <c r="AR703" s="181">
        <f ca="1">IF($D703&lt;&gt;"Serviço",0,IF(AND(AUTOEVENTO="Manual",$M703=1),0,IF(OFFSET(CRONOPLE!$F$14,$M703,AR$13)="",10^12,OFFSET(CRONOPLE!$F$14,$M703,AR$13))))</f>
        <v>1000000000000</v>
      </c>
      <c r="AS703" s="181">
        <f ca="1">IF($D703&lt;&gt;"Serviço",0,IF(AND(AUTOEVENTO="Manual",$M703=1),0,IF(OFFSET(CRONOPLE!$F$14,$M703,AS$13)="",10^12,OFFSET(CRONOPLE!$F$14,$M703,AS$13))))</f>
        <v>1000000000000</v>
      </c>
      <c r="AT703" s="181">
        <f ca="1">IF($D703&lt;&gt;"Serviço",0,IF(AND(AUTOEVENTO="Manual",$M703=1),0,IF(OFFSET(CRONOPLE!$F$14,$M703,AT$13)="",10^12,OFFSET(CRONOPLE!$F$14,$M703,AT$13))))</f>
        <v>1000000000000</v>
      </c>
      <c r="AU703" s="181">
        <f ca="1">IF($D703&lt;&gt;"Serviço",0,IF(AND(AUTOEVENTO="Manual",$M703=1),0,IF(OFFSET(CRONOPLE!$F$14,$M703,AU$13)="",10^12,OFFSET(CRONOPLE!$F$14,$M703,AU$13))))</f>
        <v>1000000000000</v>
      </c>
      <c r="AV703" s="181">
        <f ca="1">IF($D703&lt;&gt;"Serviço",0,IF(AND(AUTOEVENTO="Manual",$M703=1),0,IF(OFFSET(CRONOPLE!$F$14,$M703,AV$13)="",10^12,OFFSET(CRONOPLE!$F$14,$M703,AV$13))))</f>
        <v>1000000000000</v>
      </c>
      <c r="AX703" s="182">
        <f ca="1">IF($D703&lt;&gt;"Serviço",0,IF(OR(AND(AUTOEVENTO="Manual",$M703=1),$M703&gt;(ROW(PLE.lastrow)-ROW(PLE.firstrow))),0,IF(OFFSET(PLE!$G$14,$M703,AX$13)="",10^12,OFFSET(PLE!$G$14,$M703,AX$13))))</f>
        <v>1000000000000</v>
      </c>
      <c r="AY703" s="182">
        <f ca="1">IF($D703&lt;&gt;"Serviço",0,IF(OR(AND(AUTOEVENTO="Manual",$M703=1),$M703&gt;(ROW(PLE.lastrow)-ROW(PLE.firstrow))),0,IF(OFFSET(PLE!$G$14,$M703,AY$13)="",10^12,OFFSET(PLE!$G$14,$M703,AY$13))))</f>
        <v>1000000000000</v>
      </c>
      <c r="AZ703" s="182">
        <f ca="1">IF($D703&lt;&gt;"Serviço",0,IF(OR(AND(AUTOEVENTO="Manual",$M703=1),$M703&gt;(ROW(PLE.lastrow)-ROW(PLE.firstrow))),0,IF(OFFSET(PLE!$G$14,$M703,AZ$13)="",10^12,OFFSET(PLE!$G$14,$M703,AZ$13))))</f>
        <v>1000000000000</v>
      </c>
      <c r="BA703" s="182">
        <f ca="1">IF($D703&lt;&gt;"Serviço",0,IF(OR(AND(AUTOEVENTO="Manual",$M703=1),$M703&gt;(ROW(PLE.lastrow)-ROW(PLE.firstrow))),0,IF(OFFSET(PLE!$G$14,$M703,BA$13)="",10^12,OFFSET(PLE!$G$14,$M703,BA$13))))</f>
        <v>1000000000000</v>
      </c>
      <c r="BB703" s="182">
        <f ca="1">IF($D703&lt;&gt;"Serviço",0,IF(OR(AND(AUTOEVENTO="Manual",$M703=1),$M703&gt;(ROW(PLE.lastrow)-ROW(PLE.firstrow))),0,IF(OFFSET(PLE!$G$14,$M703,BB$13)="",10^12,OFFSET(PLE!$G$14,$M703,BB$13))))</f>
        <v>1000000000000</v>
      </c>
      <c r="BC703" s="182">
        <f ca="1">IF($D703&lt;&gt;"Serviço",0,IF(OR(AND(AUTOEVENTO="Manual",$M703=1),$M703&gt;(ROW(PLE.lastrow)-ROW(PLE.firstrow))),0,IF(OFFSET(PLE!$G$14,$M703,BC$13)="",10^12,OFFSET(PLE!$G$14,$M703,BC$13))))</f>
        <v>1000000000000</v>
      </c>
      <c r="BD703" s="182">
        <f ca="1">IF($D703&lt;&gt;"Serviço",0,IF(OR(AND(AUTOEVENTO="Manual",$M703=1),$M703&gt;(ROW(PLE.lastrow)-ROW(PLE.firstrow))),0,IF(OFFSET(PLE!$G$14,$M703,BD$13)="",10^12,OFFSET(PLE!$G$14,$M703,BD$13))))</f>
        <v>1000000000000</v>
      </c>
      <c r="BE703" s="182">
        <f ca="1">IF($D703&lt;&gt;"Serviço",0,IF(OR(AND(AUTOEVENTO="Manual",$M703=1),$M703&gt;(ROW(PLE.lastrow)-ROW(PLE.firstrow))),0,IF(OFFSET(PLE!$G$14,$M703,BE$13)="",10^12,OFFSET(PLE!$G$14,$M703,BE$13))))</f>
        <v>1000000000000</v>
      </c>
      <c r="BF703" s="182">
        <f ca="1">IF($D703&lt;&gt;"Serviço",0,IF(OR(AND(AUTOEVENTO="Manual",$M703=1),$M703&gt;(ROW(PLE.lastrow)-ROW(PLE.firstrow))),0,IF(OFFSET(PLE!$G$14,$M703,BF$13)="",10^12,OFFSET(PLE!$G$14,$M703,BF$13))))</f>
        <v>1000000000000</v>
      </c>
      <c r="BG703" s="182">
        <f ca="1">IF($D703&lt;&gt;"Serviço",0,IF(OR(AND(AUTOEVENTO="Manual",$M703=1),$M703&gt;(ROW(PLE.lastrow)-ROW(PLE.firstrow))),0,IF(OFFSET(PLE!$G$14,$M703,BG$13)="",10^12,OFFSET(PLE!$G$14,$M703,BG$13))))</f>
        <v>1000000000000</v>
      </c>
    </row>
    <row r="704" spans="1:59" ht="25.5" x14ac:dyDescent="0.2">
      <c r="A704" s="7" t="str">
        <f t="shared" ca="1" si="17"/>
        <v>679</v>
      </c>
      <c r="B704" s="7" t="str">
        <f ca="1">OFFSET(ORÇAMENTO!C$15,ROW(B704)-ROW(B$15),0)</f>
        <v>S</v>
      </c>
      <c r="C704" s="7" t="str">
        <f ca="1">OFFSET(ORÇAMENTO!L$15,ROW(C704)-ROW(C$15),0)</f>
        <v/>
      </c>
      <c r="D704" s="118" t="str">
        <f ca="1">OFFSET(ORÇAMENTO!N$15,ROW(D704)-ROW(D$15),0)</f>
        <v>Serviço</v>
      </c>
      <c r="E704" s="119" t="str">
        <f ca="1">OFFSET(ORÇAMENTO!O$15,ROW(E704)-ROW(E$15),0)</f>
        <v>-</v>
      </c>
      <c r="F704" s="172" t="str">
        <f ca="1">OFFSET(ORÇAMENTO!R$15,ROW(F704)-ROW(F$15),0)</f>
        <v>(abra o arquivo 'Referência 02-2025.xlsm)</v>
      </c>
      <c r="G704" s="173" t="str">
        <f ca="1">IF($D704&lt;&gt;"Serviço","",OFFSET(ORÇAMENTO!S$15,ROW(G704)-ROW(G$15),0))</f>
        <v>-</v>
      </c>
      <c r="H704" s="124">
        <f ca="1">IF($D704&lt;&gt;"Serviço",0,IF(ACOMPANHAMENTO="BM",ROUND(OFFSET(ORÇAMENTO!AJ$15,ROW(H704)-ROW(H$15),0),15-13*ORÇAMENTO!$AF$7),SUMPRODUCT(($Q$12:$AA$12&lt;&gt;"")*ROUND($Q704:$AA704,15-13*ORÇAMENTO!$AF$7))))</f>
        <v>3050.79</v>
      </c>
      <c r="I704" s="561" t="s">
        <v>890</v>
      </c>
      <c r="K704" s="174"/>
      <c r="L704" s="175" t="s">
        <v>255</v>
      </c>
      <c r="M704" s="176">
        <f ca="1">IF($D704&lt;&gt;"Serviço","",IF(AUTOEVENTO="manual",$A704,IF(ISERROR(MATCH($A704,$A$15:OFFSET($A704,-1,0),0)),MAX($M$15:OFFSET(M704,-1,0))+1,INDEX($M$15:OFFSET(M704,-1,0),MATCH($A704,$A$15:OFFSET($A704,-1,0),0)))))</f>
        <v>25</v>
      </c>
      <c r="N704" s="177" t="str">
        <f ca="1">IF($D704&lt;&gt;"Serviço","",IF(AUTOEVENTO="Manual",IF($A704=0,"&lt;-- defina o número do agrupador",OFFSET(EVENTOS!$D$14,$A704,0)),OFFSET($F$15,$A704,0)))</f>
        <v>FECHAMENTO - MURO</v>
      </c>
      <c r="O704" s="178"/>
      <c r="Q704" s="178"/>
      <c r="R704" s="179"/>
      <c r="S704" s="179"/>
      <c r="T704" s="179"/>
      <c r="U704" s="179"/>
      <c r="V704" s="179"/>
      <c r="W704" s="179"/>
      <c r="X704" s="179"/>
      <c r="Y704" s="179"/>
      <c r="Z704" s="180"/>
      <c r="AB704" s="544">
        <f ca="1">IF(AND($D704="Serviço",AB$12&lt;&gt;0,$H704&gt;0,OR(AUTOEVENTO&lt;&gt;"manual",$M704&lt;&gt;1)),
IF(Import.TipoArredondamento&lt;&gt;"TransfereGOV",
ROUND(OFFSET($P704,0,AB$13),15-13*ORÇAMENTO!$AF$7)/$H704*OFFSET(ORÇAMENTO!$X$15,ROW(AB704)-ROW(AB$15),0),
ROUND(ROUND(OFFSET($P704,0,AB$13),15-13*ORÇAMENTO!$AF$7)*OFFSET(ORÇAMENTO!$W$15,ROW(AB704)-ROW(AB$15),0),15-13*ORÇAMENTO!$AF$11)),0)</f>
        <v>0</v>
      </c>
      <c r="AC704" s="545">
        <f ca="1">IF(AND($D704="Serviço",AC$12&lt;&gt;0,$H704&gt;0,OR(AUTOEVENTO&lt;&gt;"manual",$M704&lt;&gt;1)),
IF(Import.TipoArredondamento&lt;&gt;"TransfereGOV",
ROUND(OFFSET($P704,0,AC$13),15-13*ORÇAMENTO!$AF$7)/$H704*OFFSET(ORÇAMENTO!$X$15,ROW(AC704)-ROW(AC$15),0),
ROUND(ROUND(OFFSET($P704,0,AC$13),15-13*ORÇAMENTO!$AF$7)*OFFSET(ORÇAMENTO!$W$15,ROW(AC704)-ROW(AC$15),0),15-13*ORÇAMENTO!$AF$11)),0)</f>
        <v>0</v>
      </c>
      <c r="AD704" s="545">
        <f ca="1">IF(AND($D704="Serviço",AD$12&lt;&gt;0,$H704&gt;0,OR(AUTOEVENTO&lt;&gt;"manual",$M704&lt;&gt;1)),
IF(Import.TipoArredondamento&lt;&gt;"TransfereGOV",
ROUND(OFFSET($P704,0,AD$13),15-13*ORÇAMENTO!$AF$7)/$H704*OFFSET(ORÇAMENTO!$X$15,ROW(AD704)-ROW(AD$15),0),
ROUND(ROUND(OFFSET($P704,0,AD$13),15-13*ORÇAMENTO!$AF$7)*OFFSET(ORÇAMENTO!$W$15,ROW(AD704)-ROW(AD$15),0),15-13*ORÇAMENTO!$AF$11)),0)</f>
        <v>0</v>
      </c>
      <c r="AE704" s="545">
        <f ca="1">IF(AND($D704="Serviço",AE$12&lt;&gt;0,$H704&gt;0,OR(AUTOEVENTO&lt;&gt;"manual",$M704&lt;&gt;1)),
IF(Import.TipoArredondamento&lt;&gt;"TransfereGOV",
ROUND(OFFSET($P704,0,AE$13),15-13*ORÇAMENTO!$AF$7)/$H704*OFFSET(ORÇAMENTO!$X$15,ROW(AE704)-ROW(AE$15),0),
ROUND(ROUND(OFFSET($P704,0,AE$13),15-13*ORÇAMENTO!$AF$7)*OFFSET(ORÇAMENTO!$W$15,ROW(AE704)-ROW(AE$15),0),15-13*ORÇAMENTO!$AF$11)),0)</f>
        <v>0</v>
      </c>
      <c r="AF704" s="545">
        <f ca="1">IF(AND($D704="Serviço",AF$12&lt;&gt;0,$H704&gt;0,OR(AUTOEVENTO&lt;&gt;"manual",$M704&lt;&gt;1)),
IF(Import.TipoArredondamento&lt;&gt;"TransfereGOV",
ROUND(OFFSET($P704,0,AF$13),15-13*ORÇAMENTO!$AF$7)/$H704*OFFSET(ORÇAMENTO!$X$15,ROW(AF704)-ROW(AF$15),0),
ROUND(ROUND(OFFSET($P704,0,AF$13),15-13*ORÇAMENTO!$AF$7)*OFFSET(ORÇAMENTO!$W$15,ROW(AF704)-ROW(AF$15),0),15-13*ORÇAMENTO!$AF$11)),0)</f>
        <v>0</v>
      </c>
      <c r="AG704" s="545">
        <f ca="1">IF(AND($D704="Serviço",AG$12&lt;&gt;0,$H704&gt;0,OR(AUTOEVENTO&lt;&gt;"manual",$M704&lt;&gt;1)),
IF(Import.TipoArredondamento&lt;&gt;"TransfereGOV",
ROUND(OFFSET($P704,0,AG$13),15-13*ORÇAMENTO!$AF$7)/$H704*OFFSET(ORÇAMENTO!$X$15,ROW(AG704)-ROW(AG$15),0),
ROUND(ROUND(OFFSET($P704,0,AG$13),15-13*ORÇAMENTO!$AF$7)*OFFSET(ORÇAMENTO!$W$15,ROW(AG704)-ROW(AG$15),0),15-13*ORÇAMENTO!$AF$11)),0)</f>
        <v>0</v>
      </c>
      <c r="AH704" s="545">
        <f ca="1">IF(AND($D704="Serviço",AH$12&lt;&gt;0,$H704&gt;0,OR(AUTOEVENTO&lt;&gt;"manual",$M704&lt;&gt;1)),
IF(Import.TipoArredondamento&lt;&gt;"TransfereGOV",
ROUND(OFFSET($P704,0,AH$13),15-13*ORÇAMENTO!$AF$7)/$H704*OFFSET(ORÇAMENTO!$X$15,ROW(AH704)-ROW(AH$15),0),
ROUND(ROUND(OFFSET($P704,0,AH$13),15-13*ORÇAMENTO!$AF$7)*OFFSET(ORÇAMENTO!$W$15,ROW(AH704)-ROW(AH$15),0),15-13*ORÇAMENTO!$AF$11)),0)</f>
        <v>0</v>
      </c>
      <c r="AI704" s="545">
        <f ca="1">IF(AND($D704="Serviço",AI$12&lt;&gt;0,$H704&gt;0,OR(AUTOEVENTO&lt;&gt;"manual",$M704&lt;&gt;1)),
IF(Import.TipoArredondamento&lt;&gt;"TransfereGOV",
ROUND(OFFSET($P704,0,AI$13),15-13*ORÇAMENTO!$AF$7)/$H704*OFFSET(ORÇAMENTO!$X$15,ROW(AI704)-ROW(AI$15),0),
ROUND(ROUND(OFFSET($P704,0,AI$13),15-13*ORÇAMENTO!$AF$7)*OFFSET(ORÇAMENTO!$W$15,ROW(AI704)-ROW(AI$15),0),15-13*ORÇAMENTO!$AF$11)),0)</f>
        <v>0</v>
      </c>
      <c r="AJ704" s="545">
        <f ca="1">IF(AND($D704="Serviço",AJ$12&lt;&gt;0,$H704&gt;0,OR(AUTOEVENTO&lt;&gt;"manual",$M704&lt;&gt;1)),
IF(Import.TipoArredondamento&lt;&gt;"TransfereGOV",
ROUND(OFFSET($P704,0,AJ$13),15-13*ORÇAMENTO!$AF$7)/$H704*OFFSET(ORÇAMENTO!$X$15,ROW(AJ704)-ROW(AJ$15),0),
ROUND(ROUND(OFFSET($P704,0,AJ$13),15-13*ORÇAMENTO!$AF$7)*OFFSET(ORÇAMENTO!$W$15,ROW(AJ704)-ROW(AJ$15),0),15-13*ORÇAMENTO!$AF$11)),0)</f>
        <v>0</v>
      </c>
      <c r="AK704" s="546">
        <f ca="1">IF(AND($D704="Serviço",AK$12&lt;&gt;0,$H704&gt;0,OR(AUTOEVENTO&lt;&gt;"manual",$M704&lt;&gt;1)),
IF(Import.TipoArredondamento&lt;&gt;"TransfereGOV",
ROUND(OFFSET($P704,0,AK$13),15-13*ORÇAMENTO!$AF$7)/$H704*OFFSET(ORÇAMENTO!$X$15,ROW(AK704)-ROW(AK$15),0),
ROUND(ROUND(OFFSET($P704,0,AK$13),15-13*ORÇAMENTO!$AF$7)*OFFSET(ORÇAMENTO!$W$15,ROW(AK704)-ROW(AK$15),0),15-13*ORÇAMENTO!$AF$11)),0)</f>
        <v>0</v>
      </c>
      <c r="AM704" s="181">
        <f ca="1">IF($D704&lt;&gt;"Serviço",0,IF(AND(AUTOEVENTO="Manual",$M704=1),0,IF(OFFSET(CRONOPLE!$F$14,$M704,AM$13)="",10^12,OFFSET(CRONOPLE!$F$14,$M704,AM$13))))</f>
        <v>1000000000000</v>
      </c>
      <c r="AN704" s="181">
        <f ca="1">IF($D704&lt;&gt;"Serviço",0,IF(AND(AUTOEVENTO="Manual",$M704=1),0,IF(OFFSET(CRONOPLE!$F$14,$M704,AN$13)="",10^12,OFFSET(CRONOPLE!$F$14,$M704,AN$13))))</f>
        <v>1000000000000</v>
      </c>
      <c r="AO704" s="181">
        <f ca="1">IF($D704&lt;&gt;"Serviço",0,IF(AND(AUTOEVENTO="Manual",$M704=1),0,IF(OFFSET(CRONOPLE!$F$14,$M704,AO$13)="",10^12,OFFSET(CRONOPLE!$F$14,$M704,AO$13))))</f>
        <v>1000000000000</v>
      </c>
      <c r="AP704" s="181">
        <f ca="1">IF($D704&lt;&gt;"Serviço",0,IF(AND(AUTOEVENTO="Manual",$M704=1),0,IF(OFFSET(CRONOPLE!$F$14,$M704,AP$13)="",10^12,OFFSET(CRONOPLE!$F$14,$M704,AP$13))))</f>
        <v>1000000000000</v>
      </c>
      <c r="AQ704" s="181">
        <f ca="1">IF($D704&lt;&gt;"Serviço",0,IF(AND(AUTOEVENTO="Manual",$M704=1),0,IF(OFFSET(CRONOPLE!$F$14,$M704,AQ$13)="",10^12,OFFSET(CRONOPLE!$F$14,$M704,AQ$13))))</f>
        <v>1000000000000</v>
      </c>
      <c r="AR704" s="181">
        <f ca="1">IF($D704&lt;&gt;"Serviço",0,IF(AND(AUTOEVENTO="Manual",$M704=1),0,IF(OFFSET(CRONOPLE!$F$14,$M704,AR$13)="",10^12,OFFSET(CRONOPLE!$F$14,$M704,AR$13))))</f>
        <v>1000000000000</v>
      </c>
      <c r="AS704" s="181">
        <f ca="1">IF($D704&lt;&gt;"Serviço",0,IF(AND(AUTOEVENTO="Manual",$M704=1),0,IF(OFFSET(CRONOPLE!$F$14,$M704,AS$13)="",10^12,OFFSET(CRONOPLE!$F$14,$M704,AS$13))))</f>
        <v>1000000000000</v>
      </c>
      <c r="AT704" s="181">
        <f ca="1">IF($D704&lt;&gt;"Serviço",0,IF(AND(AUTOEVENTO="Manual",$M704=1),0,IF(OFFSET(CRONOPLE!$F$14,$M704,AT$13)="",10^12,OFFSET(CRONOPLE!$F$14,$M704,AT$13))))</f>
        <v>1000000000000</v>
      </c>
      <c r="AU704" s="181">
        <f ca="1">IF($D704&lt;&gt;"Serviço",0,IF(AND(AUTOEVENTO="Manual",$M704=1),0,IF(OFFSET(CRONOPLE!$F$14,$M704,AU$13)="",10^12,OFFSET(CRONOPLE!$F$14,$M704,AU$13))))</f>
        <v>1000000000000</v>
      </c>
      <c r="AV704" s="181">
        <f ca="1">IF($D704&lt;&gt;"Serviço",0,IF(AND(AUTOEVENTO="Manual",$M704=1),0,IF(OFFSET(CRONOPLE!$F$14,$M704,AV$13)="",10^12,OFFSET(CRONOPLE!$F$14,$M704,AV$13))))</f>
        <v>1000000000000</v>
      </c>
      <c r="AX704" s="182">
        <f ca="1">IF($D704&lt;&gt;"Serviço",0,IF(OR(AND(AUTOEVENTO="Manual",$M704=1),$M704&gt;(ROW(PLE.lastrow)-ROW(PLE.firstrow))),0,IF(OFFSET(PLE!$G$14,$M704,AX$13)="",10^12,OFFSET(PLE!$G$14,$M704,AX$13))))</f>
        <v>1000000000000</v>
      </c>
      <c r="AY704" s="182">
        <f ca="1">IF($D704&lt;&gt;"Serviço",0,IF(OR(AND(AUTOEVENTO="Manual",$M704=1),$M704&gt;(ROW(PLE.lastrow)-ROW(PLE.firstrow))),0,IF(OFFSET(PLE!$G$14,$M704,AY$13)="",10^12,OFFSET(PLE!$G$14,$M704,AY$13))))</f>
        <v>1000000000000</v>
      </c>
      <c r="AZ704" s="182">
        <f ca="1">IF($D704&lt;&gt;"Serviço",0,IF(OR(AND(AUTOEVENTO="Manual",$M704=1),$M704&gt;(ROW(PLE.lastrow)-ROW(PLE.firstrow))),0,IF(OFFSET(PLE!$G$14,$M704,AZ$13)="",10^12,OFFSET(PLE!$G$14,$M704,AZ$13))))</f>
        <v>1000000000000</v>
      </c>
      <c r="BA704" s="182">
        <f ca="1">IF($D704&lt;&gt;"Serviço",0,IF(OR(AND(AUTOEVENTO="Manual",$M704=1),$M704&gt;(ROW(PLE.lastrow)-ROW(PLE.firstrow))),0,IF(OFFSET(PLE!$G$14,$M704,BA$13)="",10^12,OFFSET(PLE!$G$14,$M704,BA$13))))</f>
        <v>1000000000000</v>
      </c>
      <c r="BB704" s="182">
        <f ca="1">IF($D704&lt;&gt;"Serviço",0,IF(OR(AND(AUTOEVENTO="Manual",$M704=1),$M704&gt;(ROW(PLE.lastrow)-ROW(PLE.firstrow))),0,IF(OFFSET(PLE!$G$14,$M704,BB$13)="",10^12,OFFSET(PLE!$G$14,$M704,BB$13))))</f>
        <v>1000000000000</v>
      </c>
      <c r="BC704" s="182">
        <f ca="1">IF($D704&lt;&gt;"Serviço",0,IF(OR(AND(AUTOEVENTO="Manual",$M704=1),$M704&gt;(ROW(PLE.lastrow)-ROW(PLE.firstrow))),0,IF(OFFSET(PLE!$G$14,$M704,BC$13)="",10^12,OFFSET(PLE!$G$14,$M704,BC$13))))</f>
        <v>1000000000000</v>
      </c>
      <c r="BD704" s="182">
        <f ca="1">IF($D704&lt;&gt;"Serviço",0,IF(OR(AND(AUTOEVENTO="Manual",$M704=1),$M704&gt;(ROW(PLE.lastrow)-ROW(PLE.firstrow))),0,IF(OFFSET(PLE!$G$14,$M704,BD$13)="",10^12,OFFSET(PLE!$G$14,$M704,BD$13))))</f>
        <v>1000000000000</v>
      </c>
      <c r="BE704" s="182">
        <f ca="1">IF($D704&lt;&gt;"Serviço",0,IF(OR(AND(AUTOEVENTO="Manual",$M704=1),$M704&gt;(ROW(PLE.lastrow)-ROW(PLE.firstrow))),0,IF(OFFSET(PLE!$G$14,$M704,BE$13)="",10^12,OFFSET(PLE!$G$14,$M704,BE$13))))</f>
        <v>1000000000000</v>
      </c>
      <c r="BF704" s="182">
        <f ca="1">IF($D704&lt;&gt;"Serviço",0,IF(OR(AND(AUTOEVENTO="Manual",$M704=1),$M704&gt;(ROW(PLE.lastrow)-ROW(PLE.firstrow))),0,IF(OFFSET(PLE!$G$14,$M704,BF$13)="",10^12,OFFSET(PLE!$G$14,$M704,BF$13))))</f>
        <v>1000000000000</v>
      </c>
      <c r="BG704" s="182">
        <f ca="1">IF($D704&lt;&gt;"Serviço",0,IF(OR(AND(AUTOEVENTO="Manual",$M704=1),$M704&gt;(ROW(PLE.lastrow)-ROW(PLE.firstrow))),0,IF(OFFSET(PLE!$G$14,$M704,BG$13)="",10^12,OFFSET(PLE!$G$14,$M704,BG$13))))</f>
        <v>1000000000000</v>
      </c>
    </row>
    <row r="705" spans="1:59" ht="25.5" x14ac:dyDescent="0.2">
      <c r="A705" s="7" t="str">
        <f t="shared" ca="1" si="17"/>
        <v>679</v>
      </c>
      <c r="B705" s="7" t="str">
        <f ca="1">OFFSET(ORÇAMENTO!C$15,ROW(B705)-ROW(B$15),0)</f>
        <v>S</v>
      </c>
      <c r="C705" s="7" t="str">
        <f ca="1">OFFSET(ORÇAMENTO!L$15,ROW(C705)-ROW(C$15),0)</f>
        <v/>
      </c>
      <c r="D705" s="118" t="str">
        <f ca="1">OFFSET(ORÇAMENTO!N$15,ROW(D705)-ROW(D$15),0)</f>
        <v>Serviço</v>
      </c>
      <c r="E705" s="119" t="str">
        <f ca="1">OFFSET(ORÇAMENTO!O$15,ROW(E705)-ROW(E$15),0)</f>
        <v>-</v>
      </c>
      <c r="F705" s="172" t="str">
        <f ca="1">OFFSET(ORÇAMENTO!R$15,ROW(F705)-ROW(F$15),0)</f>
        <v>(abra o arquivo 'Referência 02-2025.xlsm)</v>
      </c>
      <c r="G705" s="173" t="str">
        <f ca="1">IF($D705&lt;&gt;"Serviço","",OFFSET(ORÇAMENTO!S$15,ROW(G705)-ROW(G$15),0))</f>
        <v>-</v>
      </c>
      <c r="H705" s="124">
        <f ca="1">IF($D705&lt;&gt;"Serviço",0,IF(ACOMPANHAMENTO="BM",ROUND(OFFSET(ORÇAMENTO!AJ$15,ROW(H705)-ROW(H$15),0),15-13*ORÇAMENTO!$AF$7),SUMPRODUCT(($Q$12:$AA$12&lt;&gt;"")*ROUND($Q705:$AA705,15-13*ORÇAMENTO!$AF$7))))</f>
        <v>250.16</v>
      </c>
      <c r="I705" s="561" t="s">
        <v>890</v>
      </c>
      <c r="K705" s="174"/>
      <c r="L705" s="175" t="s">
        <v>255</v>
      </c>
      <c r="M705" s="176">
        <f ca="1">IF($D705&lt;&gt;"Serviço","",IF(AUTOEVENTO="manual",$A705,IF(ISERROR(MATCH($A705,$A$15:OFFSET($A705,-1,0),0)),MAX($M$15:OFFSET(M705,-1,0))+1,INDEX($M$15:OFFSET(M705,-1,0),MATCH($A705,$A$15:OFFSET($A705,-1,0),0)))))</f>
        <v>25</v>
      </c>
      <c r="N705" s="177" t="str">
        <f ca="1">IF($D705&lt;&gt;"Serviço","",IF(AUTOEVENTO="Manual",IF($A705=0,"&lt;-- defina o número do agrupador",OFFSET(EVENTOS!$D$14,$A705,0)),OFFSET($F$15,$A705,0)))</f>
        <v>FECHAMENTO - MURO</v>
      </c>
      <c r="O705" s="178"/>
      <c r="Q705" s="178"/>
      <c r="R705" s="179"/>
      <c r="S705" s="179"/>
      <c r="T705" s="179"/>
      <c r="U705" s="179"/>
      <c r="V705" s="179"/>
      <c r="W705" s="179"/>
      <c r="X705" s="179"/>
      <c r="Y705" s="179"/>
      <c r="Z705" s="180"/>
      <c r="AB705" s="544">
        <f ca="1">IF(AND($D705="Serviço",AB$12&lt;&gt;0,$H705&gt;0,OR(AUTOEVENTO&lt;&gt;"manual",$M705&lt;&gt;1)),
IF(Import.TipoArredondamento&lt;&gt;"TransfereGOV",
ROUND(OFFSET($P705,0,AB$13),15-13*ORÇAMENTO!$AF$7)/$H705*OFFSET(ORÇAMENTO!$X$15,ROW(AB705)-ROW(AB$15),0),
ROUND(ROUND(OFFSET($P705,0,AB$13),15-13*ORÇAMENTO!$AF$7)*OFFSET(ORÇAMENTO!$W$15,ROW(AB705)-ROW(AB$15),0),15-13*ORÇAMENTO!$AF$11)),0)</f>
        <v>0</v>
      </c>
      <c r="AC705" s="545">
        <f ca="1">IF(AND($D705="Serviço",AC$12&lt;&gt;0,$H705&gt;0,OR(AUTOEVENTO&lt;&gt;"manual",$M705&lt;&gt;1)),
IF(Import.TipoArredondamento&lt;&gt;"TransfereGOV",
ROUND(OFFSET($P705,0,AC$13),15-13*ORÇAMENTO!$AF$7)/$H705*OFFSET(ORÇAMENTO!$X$15,ROW(AC705)-ROW(AC$15),0),
ROUND(ROUND(OFFSET($P705,0,AC$13),15-13*ORÇAMENTO!$AF$7)*OFFSET(ORÇAMENTO!$W$15,ROW(AC705)-ROW(AC$15),0),15-13*ORÇAMENTO!$AF$11)),0)</f>
        <v>0</v>
      </c>
      <c r="AD705" s="545">
        <f ca="1">IF(AND($D705="Serviço",AD$12&lt;&gt;0,$H705&gt;0,OR(AUTOEVENTO&lt;&gt;"manual",$M705&lt;&gt;1)),
IF(Import.TipoArredondamento&lt;&gt;"TransfereGOV",
ROUND(OFFSET($P705,0,AD$13),15-13*ORÇAMENTO!$AF$7)/$H705*OFFSET(ORÇAMENTO!$X$15,ROW(AD705)-ROW(AD$15),0),
ROUND(ROUND(OFFSET($P705,0,AD$13),15-13*ORÇAMENTO!$AF$7)*OFFSET(ORÇAMENTO!$W$15,ROW(AD705)-ROW(AD$15),0),15-13*ORÇAMENTO!$AF$11)),0)</f>
        <v>0</v>
      </c>
      <c r="AE705" s="545">
        <f ca="1">IF(AND($D705="Serviço",AE$12&lt;&gt;0,$H705&gt;0,OR(AUTOEVENTO&lt;&gt;"manual",$M705&lt;&gt;1)),
IF(Import.TipoArredondamento&lt;&gt;"TransfereGOV",
ROUND(OFFSET($P705,0,AE$13),15-13*ORÇAMENTO!$AF$7)/$H705*OFFSET(ORÇAMENTO!$X$15,ROW(AE705)-ROW(AE$15),0),
ROUND(ROUND(OFFSET($P705,0,AE$13),15-13*ORÇAMENTO!$AF$7)*OFFSET(ORÇAMENTO!$W$15,ROW(AE705)-ROW(AE$15),0),15-13*ORÇAMENTO!$AF$11)),0)</f>
        <v>0</v>
      </c>
      <c r="AF705" s="545">
        <f ca="1">IF(AND($D705="Serviço",AF$12&lt;&gt;0,$H705&gt;0,OR(AUTOEVENTO&lt;&gt;"manual",$M705&lt;&gt;1)),
IF(Import.TipoArredondamento&lt;&gt;"TransfereGOV",
ROUND(OFFSET($P705,0,AF$13),15-13*ORÇAMENTO!$AF$7)/$H705*OFFSET(ORÇAMENTO!$X$15,ROW(AF705)-ROW(AF$15),0),
ROUND(ROUND(OFFSET($P705,0,AF$13),15-13*ORÇAMENTO!$AF$7)*OFFSET(ORÇAMENTO!$W$15,ROW(AF705)-ROW(AF$15),0),15-13*ORÇAMENTO!$AF$11)),0)</f>
        <v>0</v>
      </c>
      <c r="AG705" s="545">
        <f ca="1">IF(AND($D705="Serviço",AG$12&lt;&gt;0,$H705&gt;0,OR(AUTOEVENTO&lt;&gt;"manual",$M705&lt;&gt;1)),
IF(Import.TipoArredondamento&lt;&gt;"TransfereGOV",
ROUND(OFFSET($P705,0,AG$13),15-13*ORÇAMENTO!$AF$7)/$H705*OFFSET(ORÇAMENTO!$X$15,ROW(AG705)-ROW(AG$15),0),
ROUND(ROUND(OFFSET($P705,0,AG$13),15-13*ORÇAMENTO!$AF$7)*OFFSET(ORÇAMENTO!$W$15,ROW(AG705)-ROW(AG$15),0),15-13*ORÇAMENTO!$AF$11)),0)</f>
        <v>0</v>
      </c>
      <c r="AH705" s="545">
        <f ca="1">IF(AND($D705="Serviço",AH$12&lt;&gt;0,$H705&gt;0,OR(AUTOEVENTO&lt;&gt;"manual",$M705&lt;&gt;1)),
IF(Import.TipoArredondamento&lt;&gt;"TransfereGOV",
ROUND(OFFSET($P705,0,AH$13),15-13*ORÇAMENTO!$AF$7)/$H705*OFFSET(ORÇAMENTO!$X$15,ROW(AH705)-ROW(AH$15),0),
ROUND(ROUND(OFFSET($P705,0,AH$13),15-13*ORÇAMENTO!$AF$7)*OFFSET(ORÇAMENTO!$W$15,ROW(AH705)-ROW(AH$15),0),15-13*ORÇAMENTO!$AF$11)),0)</f>
        <v>0</v>
      </c>
      <c r="AI705" s="545">
        <f ca="1">IF(AND($D705="Serviço",AI$12&lt;&gt;0,$H705&gt;0,OR(AUTOEVENTO&lt;&gt;"manual",$M705&lt;&gt;1)),
IF(Import.TipoArredondamento&lt;&gt;"TransfereGOV",
ROUND(OFFSET($P705,0,AI$13),15-13*ORÇAMENTO!$AF$7)/$H705*OFFSET(ORÇAMENTO!$X$15,ROW(AI705)-ROW(AI$15),0),
ROUND(ROUND(OFFSET($P705,0,AI$13),15-13*ORÇAMENTO!$AF$7)*OFFSET(ORÇAMENTO!$W$15,ROW(AI705)-ROW(AI$15),0),15-13*ORÇAMENTO!$AF$11)),0)</f>
        <v>0</v>
      </c>
      <c r="AJ705" s="545">
        <f ca="1">IF(AND($D705="Serviço",AJ$12&lt;&gt;0,$H705&gt;0,OR(AUTOEVENTO&lt;&gt;"manual",$M705&lt;&gt;1)),
IF(Import.TipoArredondamento&lt;&gt;"TransfereGOV",
ROUND(OFFSET($P705,0,AJ$13),15-13*ORÇAMENTO!$AF$7)/$H705*OFFSET(ORÇAMENTO!$X$15,ROW(AJ705)-ROW(AJ$15),0),
ROUND(ROUND(OFFSET($P705,0,AJ$13),15-13*ORÇAMENTO!$AF$7)*OFFSET(ORÇAMENTO!$W$15,ROW(AJ705)-ROW(AJ$15),0),15-13*ORÇAMENTO!$AF$11)),0)</f>
        <v>0</v>
      </c>
      <c r="AK705" s="546">
        <f ca="1">IF(AND($D705="Serviço",AK$12&lt;&gt;0,$H705&gt;0,OR(AUTOEVENTO&lt;&gt;"manual",$M705&lt;&gt;1)),
IF(Import.TipoArredondamento&lt;&gt;"TransfereGOV",
ROUND(OFFSET($P705,0,AK$13),15-13*ORÇAMENTO!$AF$7)/$H705*OFFSET(ORÇAMENTO!$X$15,ROW(AK705)-ROW(AK$15),0),
ROUND(ROUND(OFFSET($P705,0,AK$13),15-13*ORÇAMENTO!$AF$7)*OFFSET(ORÇAMENTO!$W$15,ROW(AK705)-ROW(AK$15),0),15-13*ORÇAMENTO!$AF$11)),0)</f>
        <v>0</v>
      </c>
      <c r="AM705" s="181">
        <f ca="1">IF($D705&lt;&gt;"Serviço",0,IF(AND(AUTOEVENTO="Manual",$M705=1),0,IF(OFFSET(CRONOPLE!$F$14,$M705,AM$13)="",10^12,OFFSET(CRONOPLE!$F$14,$M705,AM$13))))</f>
        <v>1000000000000</v>
      </c>
      <c r="AN705" s="181">
        <f ca="1">IF($D705&lt;&gt;"Serviço",0,IF(AND(AUTOEVENTO="Manual",$M705=1),0,IF(OFFSET(CRONOPLE!$F$14,$M705,AN$13)="",10^12,OFFSET(CRONOPLE!$F$14,$M705,AN$13))))</f>
        <v>1000000000000</v>
      </c>
      <c r="AO705" s="181">
        <f ca="1">IF($D705&lt;&gt;"Serviço",0,IF(AND(AUTOEVENTO="Manual",$M705=1),0,IF(OFFSET(CRONOPLE!$F$14,$M705,AO$13)="",10^12,OFFSET(CRONOPLE!$F$14,$M705,AO$13))))</f>
        <v>1000000000000</v>
      </c>
      <c r="AP705" s="181">
        <f ca="1">IF($D705&lt;&gt;"Serviço",0,IF(AND(AUTOEVENTO="Manual",$M705=1),0,IF(OFFSET(CRONOPLE!$F$14,$M705,AP$13)="",10^12,OFFSET(CRONOPLE!$F$14,$M705,AP$13))))</f>
        <v>1000000000000</v>
      </c>
      <c r="AQ705" s="181">
        <f ca="1">IF($D705&lt;&gt;"Serviço",0,IF(AND(AUTOEVENTO="Manual",$M705=1),0,IF(OFFSET(CRONOPLE!$F$14,$M705,AQ$13)="",10^12,OFFSET(CRONOPLE!$F$14,$M705,AQ$13))))</f>
        <v>1000000000000</v>
      </c>
      <c r="AR705" s="181">
        <f ca="1">IF($D705&lt;&gt;"Serviço",0,IF(AND(AUTOEVENTO="Manual",$M705=1),0,IF(OFFSET(CRONOPLE!$F$14,$M705,AR$13)="",10^12,OFFSET(CRONOPLE!$F$14,$M705,AR$13))))</f>
        <v>1000000000000</v>
      </c>
      <c r="AS705" s="181">
        <f ca="1">IF($D705&lt;&gt;"Serviço",0,IF(AND(AUTOEVENTO="Manual",$M705=1),0,IF(OFFSET(CRONOPLE!$F$14,$M705,AS$13)="",10^12,OFFSET(CRONOPLE!$F$14,$M705,AS$13))))</f>
        <v>1000000000000</v>
      </c>
      <c r="AT705" s="181">
        <f ca="1">IF($D705&lt;&gt;"Serviço",0,IF(AND(AUTOEVENTO="Manual",$M705=1),0,IF(OFFSET(CRONOPLE!$F$14,$M705,AT$13)="",10^12,OFFSET(CRONOPLE!$F$14,$M705,AT$13))))</f>
        <v>1000000000000</v>
      </c>
      <c r="AU705" s="181">
        <f ca="1">IF($D705&lt;&gt;"Serviço",0,IF(AND(AUTOEVENTO="Manual",$M705=1),0,IF(OFFSET(CRONOPLE!$F$14,$M705,AU$13)="",10^12,OFFSET(CRONOPLE!$F$14,$M705,AU$13))))</f>
        <v>1000000000000</v>
      </c>
      <c r="AV705" s="181">
        <f ca="1">IF($D705&lt;&gt;"Serviço",0,IF(AND(AUTOEVENTO="Manual",$M705=1),0,IF(OFFSET(CRONOPLE!$F$14,$M705,AV$13)="",10^12,OFFSET(CRONOPLE!$F$14,$M705,AV$13))))</f>
        <v>1000000000000</v>
      </c>
      <c r="AX705" s="182">
        <f ca="1">IF($D705&lt;&gt;"Serviço",0,IF(OR(AND(AUTOEVENTO="Manual",$M705=1),$M705&gt;(ROW(PLE.lastrow)-ROW(PLE.firstrow))),0,IF(OFFSET(PLE!$G$14,$M705,AX$13)="",10^12,OFFSET(PLE!$G$14,$M705,AX$13))))</f>
        <v>1000000000000</v>
      </c>
      <c r="AY705" s="182">
        <f ca="1">IF($D705&lt;&gt;"Serviço",0,IF(OR(AND(AUTOEVENTO="Manual",$M705=1),$M705&gt;(ROW(PLE.lastrow)-ROW(PLE.firstrow))),0,IF(OFFSET(PLE!$G$14,$M705,AY$13)="",10^12,OFFSET(PLE!$G$14,$M705,AY$13))))</f>
        <v>1000000000000</v>
      </c>
      <c r="AZ705" s="182">
        <f ca="1">IF($D705&lt;&gt;"Serviço",0,IF(OR(AND(AUTOEVENTO="Manual",$M705=1),$M705&gt;(ROW(PLE.lastrow)-ROW(PLE.firstrow))),0,IF(OFFSET(PLE!$G$14,$M705,AZ$13)="",10^12,OFFSET(PLE!$G$14,$M705,AZ$13))))</f>
        <v>1000000000000</v>
      </c>
      <c r="BA705" s="182">
        <f ca="1">IF($D705&lt;&gt;"Serviço",0,IF(OR(AND(AUTOEVENTO="Manual",$M705=1),$M705&gt;(ROW(PLE.lastrow)-ROW(PLE.firstrow))),0,IF(OFFSET(PLE!$G$14,$M705,BA$13)="",10^12,OFFSET(PLE!$G$14,$M705,BA$13))))</f>
        <v>1000000000000</v>
      </c>
      <c r="BB705" s="182">
        <f ca="1">IF($D705&lt;&gt;"Serviço",0,IF(OR(AND(AUTOEVENTO="Manual",$M705=1),$M705&gt;(ROW(PLE.lastrow)-ROW(PLE.firstrow))),0,IF(OFFSET(PLE!$G$14,$M705,BB$13)="",10^12,OFFSET(PLE!$G$14,$M705,BB$13))))</f>
        <v>1000000000000</v>
      </c>
      <c r="BC705" s="182">
        <f ca="1">IF($D705&lt;&gt;"Serviço",0,IF(OR(AND(AUTOEVENTO="Manual",$M705=1),$M705&gt;(ROW(PLE.lastrow)-ROW(PLE.firstrow))),0,IF(OFFSET(PLE!$G$14,$M705,BC$13)="",10^12,OFFSET(PLE!$G$14,$M705,BC$13))))</f>
        <v>1000000000000</v>
      </c>
      <c r="BD705" s="182">
        <f ca="1">IF($D705&lt;&gt;"Serviço",0,IF(OR(AND(AUTOEVENTO="Manual",$M705=1),$M705&gt;(ROW(PLE.lastrow)-ROW(PLE.firstrow))),0,IF(OFFSET(PLE!$G$14,$M705,BD$13)="",10^12,OFFSET(PLE!$G$14,$M705,BD$13))))</f>
        <v>1000000000000</v>
      </c>
      <c r="BE705" s="182">
        <f ca="1">IF($D705&lt;&gt;"Serviço",0,IF(OR(AND(AUTOEVENTO="Manual",$M705=1),$M705&gt;(ROW(PLE.lastrow)-ROW(PLE.firstrow))),0,IF(OFFSET(PLE!$G$14,$M705,BE$13)="",10^12,OFFSET(PLE!$G$14,$M705,BE$13))))</f>
        <v>1000000000000</v>
      </c>
      <c r="BF705" s="182">
        <f ca="1">IF($D705&lt;&gt;"Serviço",0,IF(OR(AND(AUTOEVENTO="Manual",$M705=1),$M705&gt;(ROW(PLE.lastrow)-ROW(PLE.firstrow))),0,IF(OFFSET(PLE!$G$14,$M705,BF$13)="",10^12,OFFSET(PLE!$G$14,$M705,BF$13))))</f>
        <v>1000000000000</v>
      </c>
      <c r="BG705" s="182">
        <f ca="1">IF($D705&lt;&gt;"Serviço",0,IF(OR(AND(AUTOEVENTO="Manual",$M705=1),$M705&gt;(ROW(PLE.lastrow)-ROW(PLE.firstrow))),0,IF(OFFSET(PLE!$G$14,$M705,BG$13)="",10^12,OFFSET(PLE!$G$14,$M705,BG$13))))</f>
        <v>1000000000000</v>
      </c>
    </row>
    <row r="706" spans="1:59" ht="25.5" x14ac:dyDescent="0.2">
      <c r="A706" s="7" t="str">
        <f t="shared" ca="1" si="17"/>
        <v>679</v>
      </c>
      <c r="B706" s="7" t="str">
        <f ca="1">OFFSET(ORÇAMENTO!C$15,ROW(B706)-ROW(B$15),0)</f>
        <v>S</v>
      </c>
      <c r="C706" s="7" t="str">
        <f ca="1">OFFSET(ORÇAMENTO!L$15,ROW(C706)-ROW(C$15),0)</f>
        <v/>
      </c>
      <c r="D706" s="118" t="str">
        <f ca="1">OFFSET(ORÇAMENTO!N$15,ROW(D706)-ROW(D$15),0)</f>
        <v>Serviço</v>
      </c>
      <c r="E706" s="119" t="str">
        <f ca="1">OFFSET(ORÇAMENTO!O$15,ROW(E706)-ROW(E$15),0)</f>
        <v>-</v>
      </c>
      <c r="F706" s="172" t="str">
        <f ca="1">OFFSET(ORÇAMENTO!R$15,ROW(F706)-ROW(F$15),0)</f>
        <v>(abra o arquivo 'Referência 02-2025.xlsm)</v>
      </c>
      <c r="G706" s="173" t="str">
        <f ca="1">IF($D706&lt;&gt;"Serviço","",OFFSET(ORÇAMENTO!S$15,ROW(G706)-ROW(G$15),0))</f>
        <v>-</v>
      </c>
      <c r="H706" s="124">
        <f ca="1">IF($D706&lt;&gt;"Serviço",0,IF(ACOMPANHAMENTO="BM",ROUND(OFFSET(ORÇAMENTO!AJ$15,ROW(H706)-ROW(H$15),0),15-13*ORÇAMENTO!$AF$7),SUMPRODUCT(($Q$12:$AA$12&lt;&gt;"")*ROUND($Q706:$AA706,15-13*ORÇAMENTO!$AF$7))))</f>
        <v>64.42</v>
      </c>
      <c r="I706" s="561" t="s">
        <v>890</v>
      </c>
      <c r="K706" s="174"/>
      <c r="L706" s="175" t="s">
        <v>255</v>
      </c>
      <c r="M706" s="176">
        <f ca="1">IF($D706&lt;&gt;"Serviço","",IF(AUTOEVENTO="manual",$A706,IF(ISERROR(MATCH($A706,$A$15:OFFSET($A706,-1,0),0)),MAX($M$15:OFFSET(M706,-1,0))+1,INDEX($M$15:OFFSET(M706,-1,0),MATCH($A706,$A$15:OFFSET($A706,-1,0),0)))))</f>
        <v>25</v>
      </c>
      <c r="N706" s="177" t="str">
        <f ca="1">IF($D706&lt;&gt;"Serviço","",IF(AUTOEVENTO="Manual",IF($A706=0,"&lt;-- defina o número do agrupador",OFFSET(EVENTOS!$D$14,$A706,0)),OFFSET($F$15,$A706,0)))</f>
        <v>FECHAMENTO - MURO</v>
      </c>
      <c r="O706" s="178"/>
      <c r="Q706" s="178"/>
      <c r="R706" s="179"/>
      <c r="S706" s="179"/>
      <c r="T706" s="179"/>
      <c r="U706" s="179"/>
      <c r="V706" s="179"/>
      <c r="W706" s="179"/>
      <c r="X706" s="179"/>
      <c r="Y706" s="179"/>
      <c r="Z706" s="180"/>
      <c r="AB706" s="544">
        <f ca="1">IF(AND($D706="Serviço",AB$12&lt;&gt;0,$H706&gt;0,OR(AUTOEVENTO&lt;&gt;"manual",$M706&lt;&gt;1)),
IF(Import.TipoArredondamento&lt;&gt;"TransfereGOV",
ROUND(OFFSET($P706,0,AB$13),15-13*ORÇAMENTO!$AF$7)/$H706*OFFSET(ORÇAMENTO!$X$15,ROW(AB706)-ROW(AB$15),0),
ROUND(ROUND(OFFSET($P706,0,AB$13),15-13*ORÇAMENTO!$AF$7)*OFFSET(ORÇAMENTO!$W$15,ROW(AB706)-ROW(AB$15),0),15-13*ORÇAMENTO!$AF$11)),0)</f>
        <v>0</v>
      </c>
      <c r="AC706" s="545">
        <f ca="1">IF(AND($D706="Serviço",AC$12&lt;&gt;0,$H706&gt;0,OR(AUTOEVENTO&lt;&gt;"manual",$M706&lt;&gt;1)),
IF(Import.TipoArredondamento&lt;&gt;"TransfereGOV",
ROUND(OFFSET($P706,0,AC$13),15-13*ORÇAMENTO!$AF$7)/$H706*OFFSET(ORÇAMENTO!$X$15,ROW(AC706)-ROW(AC$15),0),
ROUND(ROUND(OFFSET($P706,0,AC$13),15-13*ORÇAMENTO!$AF$7)*OFFSET(ORÇAMENTO!$W$15,ROW(AC706)-ROW(AC$15),0),15-13*ORÇAMENTO!$AF$11)),0)</f>
        <v>0</v>
      </c>
      <c r="AD706" s="545">
        <f ca="1">IF(AND($D706="Serviço",AD$12&lt;&gt;0,$H706&gt;0,OR(AUTOEVENTO&lt;&gt;"manual",$M706&lt;&gt;1)),
IF(Import.TipoArredondamento&lt;&gt;"TransfereGOV",
ROUND(OFFSET($P706,0,AD$13),15-13*ORÇAMENTO!$AF$7)/$H706*OFFSET(ORÇAMENTO!$X$15,ROW(AD706)-ROW(AD$15),0),
ROUND(ROUND(OFFSET($P706,0,AD$13),15-13*ORÇAMENTO!$AF$7)*OFFSET(ORÇAMENTO!$W$15,ROW(AD706)-ROW(AD$15),0),15-13*ORÇAMENTO!$AF$11)),0)</f>
        <v>0</v>
      </c>
      <c r="AE706" s="545">
        <f ca="1">IF(AND($D706="Serviço",AE$12&lt;&gt;0,$H706&gt;0,OR(AUTOEVENTO&lt;&gt;"manual",$M706&lt;&gt;1)),
IF(Import.TipoArredondamento&lt;&gt;"TransfereGOV",
ROUND(OFFSET($P706,0,AE$13),15-13*ORÇAMENTO!$AF$7)/$H706*OFFSET(ORÇAMENTO!$X$15,ROW(AE706)-ROW(AE$15),0),
ROUND(ROUND(OFFSET($P706,0,AE$13),15-13*ORÇAMENTO!$AF$7)*OFFSET(ORÇAMENTO!$W$15,ROW(AE706)-ROW(AE$15),0),15-13*ORÇAMENTO!$AF$11)),0)</f>
        <v>0</v>
      </c>
      <c r="AF706" s="545">
        <f ca="1">IF(AND($D706="Serviço",AF$12&lt;&gt;0,$H706&gt;0,OR(AUTOEVENTO&lt;&gt;"manual",$M706&lt;&gt;1)),
IF(Import.TipoArredondamento&lt;&gt;"TransfereGOV",
ROUND(OFFSET($P706,0,AF$13),15-13*ORÇAMENTO!$AF$7)/$H706*OFFSET(ORÇAMENTO!$X$15,ROW(AF706)-ROW(AF$15),0),
ROUND(ROUND(OFFSET($P706,0,AF$13),15-13*ORÇAMENTO!$AF$7)*OFFSET(ORÇAMENTO!$W$15,ROW(AF706)-ROW(AF$15),0),15-13*ORÇAMENTO!$AF$11)),0)</f>
        <v>0</v>
      </c>
      <c r="AG706" s="545">
        <f ca="1">IF(AND($D706="Serviço",AG$12&lt;&gt;0,$H706&gt;0,OR(AUTOEVENTO&lt;&gt;"manual",$M706&lt;&gt;1)),
IF(Import.TipoArredondamento&lt;&gt;"TransfereGOV",
ROUND(OFFSET($P706,0,AG$13),15-13*ORÇAMENTO!$AF$7)/$H706*OFFSET(ORÇAMENTO!$X$15,ROW(AG706)-ROW(AG$15),0),
ROUND(ROUND(OFFSET($P706,0,AG$13),15-13*ORÇAMENTO!$AF$7)*OFFSET(ORÇAMENTO!$W$15,ROW(AG706)-ROW(AG$15),0),15-13*ORÇAMENTO!$AF$11)),0)</f>
        <v>0</v>
      </c>
      <c r="AH706" s="545">
        <f ca="1">IF(AND($D706="Serviço",AH$12&lt;&gt;0,$H706&gt;0,OR(AUTOEVENTO&lt;&gt;"manual",$M706&lt;&gt;1)),
IF(Import.TipoArredondamento&lt;&gt;"TransfereGOV",
ROUND(OFFSET($P706,0,AH$13),15-13*ORÇAMENTO!$AF$7)/$H706*OFFSET(ORÇAMENTO!$X$15,ROW(AH706)-ROW(AH$15),0),
ROUND(ROUND(OFFSET($P706,0,AH$13),15-13*ORÇAMENTO!$AF$7)*OFFSET(ORÇAMENTO!$W$15,ROW(AH706)-ROW(AH$15),0),15-13*ORÇAMENTO!$AF$11)),0)</f>
        <v>0</v>
      </c>
      <c r="AI706" s="545">
        <f ca="1">IF(AND($D706="Serviço",AI$12&lt;&gt;0,$H706&gt;0,OR(AUTOEVENTO&lt;&gt;"manual",$M706&lt;&gt;1)),
IF(Import.TipoArredondamento&lt;&gt;"TransfereGOV",
ROUND(OFFSET($P706,0,AI$13),15-13*ORÇAMENTO!$AF$7)/$H706*OFFSET(ORÇAMENTO!$X$15,ROW(AI706)-ROW(AI$15),0),
ROUND(ROUND(OFFSET($P706,0,AI$13),15-13*ORÇAMENTO!$AF$7)*OFFSET(ORÇAMENTO!$W$15,ROW(AI706)-ROW(AI$15),0),15-13*ORÇAMENTO!$AF$11)),0)</f>
        <v>0</v>
      </c>
      <c r="AJ706" s="545">
        <f ca="1">IF(AND($D706="Serviço",AJ$12&lt;&gt;0,$H706&gt;0,OR(AUTOEVENTO&lt;&gt;"manual",$M706&lt;&gt;1)),
IF(Import.TipoArredondamento&lt;&gt;"TransfereGOV",
ROUND(OFFSET($P706,0,AJ$13),15-13*ORÇAMENTO!$AF$7)/$H706*OFFSET(ORÇAMENTO!$X$15,ROW(AJ706)-ROW(AJ$15),0),
ROUND(ROUND(OFFSET($P706,0,AJ$13),15-13*ORÇAMENTO!$AF$7)*OFFSET(ORÇAMENTO!$W$15,ROW(AJ706)-ROW(AJ$15),0),15-13*ORÇAMENTO!$AF$11)),0)</f>
        <v>0</v>
      </c>
      <c r="AK706" s="546">
        <f ca="1">IF(AND($D706="Serviço",AK$12&lt;&gt;0,$H706&gt;0,OR(AUTOEVENTO&lt;&gt;"manual",$M706&lt;&gt;1)),
IF(Import.TipoArredondamento&lt;&gt;"TransfereGOV",
ROUND(OFFSET($P706,0,AK$13),15-13*ORÇAMENTO!$AF$7)/$H706*OFFSET(ORÇAMENTO!$X$15,ROW(AK706)-ROW(AK$15),0),
ROUND(ROUND(OFFSET($P706,0,AK$13),15-13*ORÇAMENTO!$AF$7)*OFFSET(ORÇAMENTO!$W$15,ROW(AK706)-ROW(AK$15),0),15-13*ORÇAMENTO!$AF$11)),0)</f>
        <v>0</v>
      </c>
      <c r="AM706" s="181">
        <f ca="1">IF($D706&lt;&gt;"Serviço",0,IF(AND(AUTOEVENTO="Manual",$M706=1),0,IF(OFFSET(CRONOPLE!$F$14,$M706,AM$13)="",10^12,OFFSET(CRONOPLE!$F$14,$M706,AM$13))))</f>
        <v>1000000000000</v>
      </c>
      <c r="AN706" s="181">
        <f ca="1">IF($D706&lt;&gt;"Serviço",0,IF(AND(AUTOEVENTO="Manual",$M706=1),0,IF(OFFSET(CRONOPLE!$F$14,$M706,AN$13)="",10^12,OFFSET(CRONOPLE!$F$14,$M706,AN$13))))</f>
        <v>1000000000000</v>
      </c>
      <c r="AO706" s="181">
        <f ca="1">IF($D706&lt;&gt;"Serviço",0,IF(AND(AUTOEVENTO="Manual",$M706=1),0,IF(OFFSET(CRONOPLE!$F$14,$M706,AO$13)="",10^12,OFFSET(CRONOPLE!$F$14,$M706,AO$13))))</f>
        <v>1000000000000</v>
      </c>
      <c r="AP706" s="181">
        <f ca="1">IF($D706&lt;&gt;"Serviço",0,IF(AND(AUTOEVENTO="Manual",$M706=1),0,IF(OFFSET(CRONOPLE!$F$14,$M706,AP$13)="",10^12,OFFSET(CRONOPLE!$F$14,$M706,AP$13))))</f>
        <v>1000000000000</v>
      </c>
      <c r="AQ706" s="181">
        <f ca="1">IF($D706&lt;&gt;"Serviço",0,IF(AND(AUTOEVENTO="Manual",$M706=1),0,IF(OFFSET(CRONOPLE!$F$14,$M706,AQ$13)="",10^12,OFFSET(CRONOPLE!$F$14,$M706,AQ$13))))</f>
        <v>1000000000000</v>
      </c>
      <c r="AR706" s="181">
        <f ca="1">IF($D706&lt;&gt;"Serviço",0,IF(AND(AUTOEVENTO="Manual",$M706=1),0,IF(OFFSET(CRONOPLE!$F$14,$M706,AR$13)="",10^12,OFFSET(CRONOPLE!$F$14,$M706,AR$13))))</f>
        <v>1000000000000</v>
      </c>
      <c r="AS706" s="181">
        <f ca="1">IF($D706&lt;&gt;"Serviço",0,IF(AND(AUTOEVENTO="Manual",$M706=1),0,IF(OFFSET(CRONOPLE!$F$14,$M706,AS$13)="",10^12,OFFSET(CRONOPLE!$F$14,$M706,AS$13))))</f>
        <v>1000000000000</v>
      </c>
      <c r="AT706" s="181">
        <f ca="1">IF($D706&lt;&gt;"Serviço",0,IF(AND(AUTOEVENTO="Manual",$M706=1),0,IF(OFFSET(CRONOPLE!$F$14,$M706,AT$13)="",10^12,OFFSET(CRONOPLE!$F$14,$M706,AT$13))))</f>
        <v>1000000000000</v>
      </c>
      <c r="AU706" s="181">
        <f ca="1">IF($D706&lt;&gt;"Serviço",0,IF(AND(AUTOEVENTO="Manual",$M706=1),0,IF(OFFSET(CRONOPLE!$F$14,$M706,AU$13)="",10^12,OFFSET(CRONOPLE!$F$14,$M706,AU$13))))</f>
        <v>1000000000000</v>
      </c>
      <c r="AV706" s="181">
        <f ca="1">IF($D706&lt;&gt;"Serviço",0,IF(AND(AUTOEVENTO="Manual",$M706=1),0,IF(OFFSET(CRONOPLE!$F$14,$M706,AV$13)="",10^12,OFFSET(CRONOPLE!$F$14,$M706,AV$13))))</f>
        <v>1000000000000</v>
      </c>
      <c r="AX706" s="182">
        <f ca="1">IF($D706&lt;&gt;"Serviço",0,IF(OR(AND(AUTOEVENTO="Manual",$M706=1),$M706&gt;(ROW(PLE.lastrow)-ROW(PLE.firstrow))),0,IF(OFFSET(PLE!$G$14,$M706,AX$13)="",10^12,OFFSET(PLE!$G$14,$M706,AX$13))))</f>
        <v>1000000000000</v>
      </c>
      <c r="AY706" s="182">
        <f ca="1">IF($D706&lt;&gt;"Serviço",0,IF(OR(AND(AUTOEVENTO="Manual",$M706=1),$M706&gt;(ROW(PLE.lastrow)-ROW(PLE.firstrow))),0,IF(OFFSET(PLE!$G$14,$M706,AY$13)="",10^12,OFFSET(PLE!$G$14,$M706,AY$13))))</f>
        <v>1000000000000</v>
      </c>
      <c r="AZ706" s="182">
        <f ca="1">IF($D706&lt;&gt;"Serviço",0,IF(OR(AND(AUTOEVENTO="Manual",$M706=1),$M706&gt;(ROW(PLE.lastrow)-ROW(PLE.firstrow))),0,IF(OFFSET(PLE!$G$14,$M706,AZ$13)="",10^12,OFFSET(PLE!$G$14,$M706,AZ$13))))</f>
        <v>1000000000000</v>
      </c>
      <c r="BA706" s="182">
        <f ca="1">IF($D706&lt;&gt;"Serviço",0,IF(OR(AND(AUTOEVENTO="Manual",$M706=1),$M706&gt;(ROW(PLE.lastrow)-ROW(PLE.firstrow))),0,IF(OFFSET(PLE!$G$14,$M706,BA$13)="",10^12,OFFSET(PLE!$G$14,$M706,BA$13))))</f>
        <v>1000000000000</v>
      </c>
      <c r="BB706" s="182">
        <f ca="1">IF($D706&lt;&gt;"Serviço",0,IF(OR(AND(AUTOEVENTO="Manual",$M706=1),$M706&gt;(ROW(PLE.lastrow)-ROW(PLE.firstrow))),0,IF(OFFSET(PLE!$G$14,$M706,BB$13)="",10^12,OFFSET(PLE!$G$14,$M706,BB$13))))</f>
        <v>1000000000000</v>
      </c>
      <c r="BC706" s="182">
        <f ca="1">IF($D706&lt;&gt;"Serviço",0,IF(OR(AND(AUTOEVENTO="Manual",$M706=1),$M706&gt;(ROW(PLE.lastrow)-ROW(PLE.firstrow))),0,IF(OFFSET(PLE!$G$14,$M706,BC$13)="",10^12,OFFSET(PLE!$G$14,$M706,BC$13))))</f>
        <v>1000000000000</v>
      </c>
      <c r="BD706" s="182">
        <f ca="1">IF($D706&lt;&gt;"Serviço",0,IF(OR(AND(AUTOEVENTO="Manual",$M706=1),$M706&gt;(ROW(PLE.lastrow)-ROW(PLE.firstrow))),0,IF(OFFSET(PLE!$G$14,$M706,BD$13)="",10^12,OFFSET(PLE!$G$14,$M706,BD$13))))</f>
        <v>1000000000000</v>
      </c>
      <c r="BE706" s="182">
        <f ca="1">IF($D706&lt;&gt;"Serviço",0,IF(OR(AND(AUTOEVENTO="Manual",$M706=1),$M706&gt;(ROW(PLE.lastrow)-ROW(PLE.firstrow))),0,IF(OFFSET(PLE!$G$14,$M706,BE$13)="",10^12,OFFSET(PLE!$G$14,$M706,BE$13))))</f>
        <v>1000000000000</v>
      </c>
      <c r="BF706" s="182">
        <f ca="1">IF($D706&lt;&gt;"Serviço",0,IF(OR(AND(AUTOEVENTO="Manual",$M706=1),$M706&gt;(ROW(PLE.lastrow)-ROW(PLE.firstrow))),0,IF(OFFSET(PLE!$G$14,$M706,BF$13)="",10^12,OFFSET(PLE!$G$14,$M706,BF$13))))</f>
        <v>1000000000000</v>
      </c>
      <c r="BG706" s="182">
        <f ca="1">IF($D706&lt;&gt;"Serviço",0,IF(OR(AND(AUTOEVENTO="Manual",$M706=1),$M706&gt;(ROW(PLE.lastrow)-ROW(PLE.firstrow))),0,IF(OFFSET(PLE!$G$14,$M706,BG$13)="",10^12,OFFSET(PLE!$G$14,$M706,BG$13))))</f>
        <v>1000000000000</v>
      </c>
    </row>
    <row r="707" spans="1:59" ht="25.5" x14ac:dyDescent="0.2">
      <c r="A707" s="7" t="str">
        <f t="shared" ca="1" si="17"/>
        <v>679</v>
      </c>
      <c r="B707" s="7" t="str">
        <f ca="1">OFFSET(ORÇAMENTO!C$15,ROW(B707)-ROW(B$15),0)</f>
        <v>S</v>
      </c>
      <c r="C707" s="7" t="str">
        <f ca="1">OFFSET(ORÇAMENTO!L$15,ROW(C707)-ROW(C$15),0)</f>
        <v/>
      </c>
      <c r="D707" s="118" t="str">
        <f ca="1">OFFSET(ORÇAMENTO!N$15,ROW(D707)-ROW(D$15),0)</f>
        <v>Serviço</v>
      </c>
      <c r="E707" s="119" t="str">
        <f ca="1">OFFSET(ORÇAMENTO!O$15,ROW(E707)-ROW(E$15),0)</f>
        <v>-</v>
      </c>
      <c r="F707" s="172" t="str">
        <f ca="1">OFFSET(ORÇAMENTO!R$15,ROW(F707)-ROW(F$15),0)</f>
        <v>(abra o arquivo 'Referência 02-2025.xlsm)</v>
      </c>
      <c r="G707" s="173" t="str">
        <f ca="1">IF($D707&lt;&gt;"Serviço","",OFFSET(ORÇAMENTO!S$15,ROW(G707)-ROW(G$15),0))</f>
        <v>-</v>
      </c>
      <c r="H707" s="124">
        <f ca="1">IF($D707&lt;&gt;"Serviço",0,IF(ACOMPANHAMENTO="BM",ROUND(OFFSET(ORÇAMENTO!AJ$15,ROW(H707)-ROW(H$15),0),15-13*ORÇAMENTO!$AF$7),SUMPRODUCT(($Q$12:$AA$12&lt;&gt;"")*ROUND($Q707:$AA707,15-13*ORÇAMENTO!$AF$7))))</f>
        <v>13.55</v>
      </c>
      <c r="I707" s="561" t="s">
        <v>890</v>
      </c>
      <c r="K707" s="174"/>
      <c r="L707" s="175" t="s">
        <v>255</v>
      </c>
      <c r="M707" s="176">
        <f ca="1">IF($D707&lt;&gt;"Serviço","",IF(AUTOEVENTO="manual",$A707,IF(ISERROR(MATCH($A707,$A$15:OFFSET($A707,-1,0),0)),MAX($M$15:OFFSET(M707,-1,0))+1,INDEX($M$15:OFFSET(M707,-1,0),MATCH($A707,$A$15:OFFSET($A707,-1,0),0)))))</f>
        <v>25</v>
      </c>
      <c r="N707" s="177" t="str">
        <f ca="1">IF($D707&lt;&gt;"Serviço","",IF(AUTOEVENTO="Manual",IF($A707=0,"&lt;-- defina o número do agrupador",OFFSET(EVENTOS!$D$14,$A707,0)),OFFSET($F$15,$A707,0)))</f>
        <v>FECHAMENTO - MURO</v>
      </c>
      <c r="O707" s="178"/>
      <c r="Q707" s="178"/>
      <c r="R707" s="179"/>
      <c r="S707" s="179"/>
      <c r="T707" s="179"/>
      <c r="U707" s="179"/>
      <c r="V707" s="179"/>
      <c r="W707" s="179"/>
      <c r="X707" s="179"/>
      <c r="Y707" s="179"/>
      <c r="Z707" s="180"/>
      <c r="AB707" s="544">
        <f ca="1">IF(AND($D707="Serviço",AB$12&lt;&gt;0,$H707&gt;0,OR(AUTOEVENTO&lt;&gt;"manual",$M707&lt;&gt;1)),
IF(Import.TipoArredondamento&lt;&gt;"TransfereGOV",
ROUND(OFFSET($P707,0,AB$13),15-13*ORÇAMENTO!$AF$7)/$H707*OFFSET(ORÇAMENTO!$X$15,ROW(AB707)-ROW(AB$15),0),
ROUND(ROUND(OFFSET($P707,0,AB$13),15-13*ORÇAMENTO!$AF$7)*OFFSET(ORÇAMENTO!$W$15,ROW(AB707)-ROW(AB$15),0),15-13*ORÇAMENTO!$AF$11)),0)</f>
        <v>0</v>
      </c>
      <c r="AC707" s="545">
        <f ca="1">IF(AND($D707="Serviço",AC$12&lt;&gt;0,$H707&gt;0,OR(AUTOEVENTO&lt;&gt;"manual",$M707&lt;&gt;1)),
IF(Import.TipoArredondamento&lt;&gt;"TransfereGOV",
ROUND(OFFSET($P707,0,AC$13),15-13*ORÇAMENTO!$AF$7)/$H707*OFFSET(ORÇAMENTO!$X$15,ROW(AC707)-ROW(AC$15),0),
ROUND(ROUND(OFFSET($P707,0,AC$13),15-13*ORÇAMENTO!$AF$7)*OFFSET(ORÇAMENTO!$W$15,ROW(AC707)-ROW(AC$15),0),15-13*ORÇAMENTO!$AF$11)),0)</f>
        <v>0</v>
      </c>
      <c r="AD707" s="545">
        <f ca="1">IF(AND($D707="Serviço",AD$12&lt;&gt;0,$H707&gt;0,OR(AUTOEVENTO&lt;&gt;"manual",$M707&lt;&gt;1)),
IF(Import.TipoArredondamento&lt;&gt;"TransfereGOV",
ROUND(OFFSET($P707,0,AD$13),15-13*ORÇAMENTO!$AF$7)/$H707*OFFSET(ORÇAMENTO!$X$15,ROW(AD707)-ROW(AD$15),0),
ROUND(ROUND(OFFSET($P707,0,AD$13),15-13*ORÇAMENTO!$AF$7)*OFFSET(ORÇAMENTO!$W$15,ROW(AD707)-ROW(AD$15),0),15-13*ORÇAMENTO!$AF$11)),0)</f>
        <v>0</v>
      </c>
      <c r="AE707" s="545">
        <f ca="1">IF(AND($D707="Serviço",AE$12&lt;&gt;0,$H707&gt;0,OR(AUTOEVENTO&lt;&gt;"manual",$M707&lt;&gt;1)),
IF(Import.TipoArredondamento&lt;&gt;"TransfereGOV",
ROUND(OFFSET($P707,0,AE$13),15-13*ORÇAMENTO!$AF$7)/$H707*OFFSET(ORÇAMENTO!$X$15,ROW(AE707)-ROW(AE$15),0),
ROUND(ROUND(OFFSET($P707,0,AE$13),15-13*ORÇAMENTO!$AF$7)*OFFSET(ORÇAMENTO!$W$15,ROW(AE707)-ROW(AE$15),0),15-13*ORÇAMENTO!$AF$11)),0)</f>
        <v>0</v>
      </c>
      <c r="AF707" s="545">
        <f ca="1">IF(AND($D707="Serviço",AF$12&lt;&gt;0,$H707&gt;0,OR(AUTOEVENTO&lt;&gt;"manual",$M707&lt;&gt;1)),
IF(Import.TipoArredondamento&lt;&gt;"TransfereGOV",
ROUND(OFFSET($P707,0,AF$13),15-13*ORÇAMENTO!$AF$7)/$H707*OFFSET(ORÇAMENTO!$X$15,ROW(AF707)-ROW(AF$15),0),
ROUND(ROUND(OFFSET($P707,0,AF$13),15-13*ORÇAMENTO!$AF$7)*OFFSET(ORÇAMENTO!$W$15,ROW(AF707)-ROW(AF$15),0),15-13*ORÇAMENTO!$AF$11)),0)</f>
        <v>0</v>
      </c>
      <c r="AG707" s="545">
        <f ca="1">IF(AND($D707="Serviço",AG$12&lt;&gt;0,$H707&gt;0,OR(AUTOEVENTO&lt;&gt;"manual",$M707&lt;&gt;1)),
IF(Import.TipoArredondamento&lt;&gt;"TransfereGOV",
ROUND(OFFSET($P707,0,AG$13),15-13*ORÇAMENTO!$AF$7)/$H707*OFFSET(ORÇAMENTO!$X$15,ROW(AG707)-ROW(AG$15),0),
ROUND(ROUND(OFFSET($P707,0,AG$13),15-13*ORÇAMENTO!$AF$7)*OFFSET(ORÇAMENTO!$W$15,ROW(AG707)-ROW(AG$15),0),15-13*ORÇAMENTO!$AF$11)),0)</f>
        <v>0</v>
      </c>
      <c r="AH707" s="545">
        <f ca="1">IF(AND($D707="Serviço",AH$12&lt;&gt;0,$H707&gt;0,OR(AUTOEVENTO&lt;&gt;"manual",$M707&lt;&gt;1)),
IF(Import.TipoArredondamento&lt;&gt;"TransfereGOV",
ROUND(OFFSET($P707,0,AH$13),15-13*ORÇAMENTO!$AF$7)/$H707*OFFSET(ORÇAMENTO!$X$15,ROW(AH707)-ROW(AH$15),0),
ROUND(ROUND(OFFSET($P707,0,AH$13),15-13*ORÇAMENTO!$AF$7)*OFFSET(ORÇAMENTO!$W$15,ROW(AH707)-ROW(AH$15),0),15-13*ORÇAMENTO!$AF$11)),0)</f>
        <v>0</v>
      </c>
      <c r="AI707" s="545">
        <f ca="1">IF(AND($D707="Serviço",AI$12&lt;&gt;0,$H707&gt;0,OR(AUTOEVENTO&lt;&gt;"manual",$M707&lt;&gt;1)),
IF(Import.TipoArredondamento&lt;&gt;"TransfereGOV",
ROUND(OFFSET($P707,0,AI$13),15-13*ORÇAMENTO!$AF$7)/$H707*OFFSET(ORÇAMENTO!$X$15,ROW(AI707)-ROW(AI$15),0),
ROUND(ROUND(OFFSET($P707,0,AI$13),15-13*ORÇAMENTO!$AF$7)*OFFSET(ORÇAMENTO!$W$15,ROW(AI707)-ROW(AI$15),0),15-13*ORÇAMENTO!$AF$11)),0)</f>
        <v>0</v>
      </c>
      <c r="AJ707" s="545">
        <f ca="1">IF(AND($D707="Serviço",AJ$12&lt;&gt;0,$H707&gt;0,OR(AUTOEVENTO&lt;&gt;"manual",$M707&lt;&gt;1)),
IF(Import.TipoArredondamento&lt;&gt;"TransfereGOV",
ROUND(OFFSET($P707,0,AJ$13),15-13*ORÇAMENTO!$AF$7)/$H707*OFFSET(ORÇAMENTO!$X$15,ROW(AJ707)-ROW(AJ$15),0),
ROUND(ROUND(OFFSET($P707,0,AJ$13),15-13*ORÇAMENTO!$AF$7)*OFFSET(ORÇAMENTO!$W$15,ROW(AJ707)-ROW(AJ$15),0),15-13*ORÇAMENTO!$AF$11)),0)</f>
        <v>0</v>
      </c>
      <c r="AK707" s="546">
        <f ca="1">IF(AND($D707="Serviço",AK$12&lt;&gt;0,$H707&gt;0,OR(AUTOEVENTO&lt;&gt;"manual",$M707&lt;&gt;1)),
IF(Import.TipoArredondamento&lt;&gt;"TransfereGOV",
ROUND(OFFSET($P707,0,AK$13),15-13*ORÇAMENTO!$AF$7)/$H707*OFFSET(ORÇAMENTO!$X$15,ROW(AK707)-ROW(AK$15),0),
ROUND(ROUND(OFFSET($P707,0,AK$13),15-13*ORÇAMENTO!$AF$7)*OFFSET(ORÇAMENTO!$W$15,ROW(AK707)-ROW(AK$15),0),15-13*ORÇAMENTO!$AF$11)),0)</f>
        <v>0</v>
      </c>
      <c r="AM707" s="181">
        <f ca="1">IF($D707&lt;&gt;"Serviço",0,IF(AND(AUTOEVENTO="Manual",$M707=1),0,IF(OFFSET(CRONOPLE!$F$14,$M707,AM$13)="",10^12,OFFSET(CRONOPLE!$F$14,$M707,AM$13))))</f>
        <v>1000000000000</v>
      </c>
      <c r="AN707" s="181">
        <f ca="1">IF($D707&lt;&gt;"Serviço",0,IF(AND(AUTOEVENTO="Manual",$M707=1),0,IF(OFFSET(CRONOPLE!$F$14,$M707,AN$13)="",10^12,OFFSET(CRONOPLE!$F$14,$M707,AN$13))))</f>
        <v>1000000000000</v>
      </c>
      <c r="AO707" s="181">
        <f ca="1">IF($D707&lt;&gt;"Serviço",0,IF(AND(AUTOEVENTO="Manual",$M707=1),0,IF(OFFSET(CRONOPLE!$F$14,$M707,AO$13)="",10^12,OFFSET(CRONOPLE!$F$14,$M707,AO$13))))</f>
        <v>1000000000000</v>
      </c>
      <c r="AP707" s="181">
        <f ca="1">IF($D707&lt;&gt;"Serviço",0,IF(AND(AUTOEVENTO="Manual",$M707=1),0,IF(OFFSET(CRONOPLE!$F$14,$M707,AP$13)="",10^12,OFFSET(CRONOPLE!$F$14,$M707,AP$13))))</f>
        <v>1000000000000</v>
      </c>
      <c r="AQ707" s="181">
        <f ca="1">IF($D707&lt;&gt;"Serviço",0,IF(AND(AUTOEVENTO="Manual",$M707=1),0,IF(OFFSET(CRONOPLE!$F$14,$M707,AQ$13)="",10^12,OFFSET(CRONOPLE!$F$14,$M707,AQ$13))))</f>
        <v>1000000000000</v>
      </c>
      <c r="AR707" s="181">
        <f ca="1">IF($D707&lt;&gt;"Serviço",0,IF(AND(AUTOEVENTO="Manual",$M707=1),0,IF(OFFSET(CRONOPLE!$F$14,$M707,AR$13)="",10^12,OFFSET(CRONOPLE!$F$14,$M707,AR$13))))</f>
        <v>1000000000000</v>
      </c>
      <c r="AS707" s="181">
        <f ca="1">IF($D707&lt;&gt;"Serviço",0,IF(AND(AUTOEVENTO="Manual",$M707=1),0,IF(OFFSET(CRONOPLE!$F$14,$M707,AS$13)="",10^12,OFFSET(CRONOPLE!$F$14,$M707,AS$13))))</f>
        <v>1000000000000</v>
      </c>
      <c r="AT707" s="181">
        <f ca="1">IF($D707&lt;&gt;"Serviço",0,IF(AND(AUTOEVENTO="Manual",$M707=1),0,IF(OFFSET(CRONOPLE!$F$14,$M707,AT$13)="",10^12,OFFSET(CRONOPLE!$F$14,$M707,AT$13))))</f>
        <v>1000000000000</v>
      </c>
      <c r="AU707" s="181">
        <f ca="1">IF($D707&lt;&gt;"Serviço",0,IF(AND(AUTOEVENTO="Manual",$M707=1),0,IF(OFFSET(CRONOPLE!$F$14,$M707,AU$13)="",10^12,OFFSET(CRONOPLE!$F$14,$M707,AU$13))))</f>
        <v>1000000000000</v>
      </c>
      <c r="AV707" s="181">
        <f ca="1">IF($D707&lt;&gt;"Serviço",0,IF(AND(AUTOEVENTO="Manual",$M707=1),0,IF(OFFSET(CRONOPLE!$F$14,$M707,AV$13)="",10^12,OFFSET(CRONOPLE!$F$14,$M707,AV$13))))</f>
        <v>1000000000000</v>
      </c>
      <c r="AX707" s="182">
        <f ca="1">IF($D707&lt;&gt;"Serviço",0,IF(OR(AND(AUTOEVENTO="Manual",$M707=1),$M707&gt;(ROW(PLE.lastrow)-ROW(PLE.firstrow))),0,IF(OFFSET(PLE!$G$14,$M707,AX$13)="",10^12,OFFSET(PLE!$G$14,$M707,AX$13))))</f>
        <v>1000000000000</v>
      </c>
      <c r="AY707" s="182">
        <f ca="1">IF($D707&lt;&gt;"Serviço",0,IF(OR(AND(AUTOEVENTO="Manual",$M707=1),$M707&gt;(ROW(PLE.lastrow)-ROW(PLE.firstrow))),0,IF(OFFSET(PLE!$G$14,$M707,AY$13)="",10^12,OFFSET(PLE!$G$14,$M707,AY$13))))</f>
        <v>1000000000000</v>
      </c>
      <c r="AZ707" s="182">
        <f ca="1">IF($D707&lt;&gt;"Serviço",0,IF(OR(AND(AUTOEVENTO="Manual",$M707=1),$M707&gt;(ROW(PLE.lastrow)-ROW(PLE.firstrow))),0,IF(OFFSET(PLE!$G$14,$M707,AZ$13)="",10^12,OFFSET(PLE!$G$14,$M707,AZ$13))))</f>
        <v>1000000000000</v>
      </c>
      <c r="BA707" s="182">
        <f ca="1">IF($D707&lt;&gt;"Serviço",0,IF(OR(AND(AUTOEVENTO="Manual",$M707=1),$M707&gt;(ROW(PLE.lastrow)-ROW(PLE.firstrow))),0,IF(OFFSET(PLE!$G$14,$M707,BA$13)="",10^12,OFFSET(PLE!$G$14,$M707,BA$13))))</f>
        <v>1000000000000</v>
      </c>
      <c r="BB707" s="182">
        <f ca="1">IF($D707&lt;&gt;"Serviço",0,IF(OR(AND(AUTOEVENTO="Manual",$M707=1),$M707&gt;(ROW(PLE.lastrow)-ROW(PLE.firstrow))),0,IF(OFFSET(PLE!$G$14,$M707,BB$13)="",10^12,OFFSET(PLE!$G$14,$M707,BB$13))))</f>
        <v>1000000000000</v>
      </c>
      <c r="BC707" s="182">
        <f ca="1">IF($D707&lt;&gt;"Serviço",0,IF(OR(AND(AUTOEVENTO="Manual",$M707=1),$M707&gt;(ROW(PLE.lastrow)-ROW(PLE.firstrow))),0,IF(OFFSET(PLE!$G$14,$M707,BC$13)="",10^12,OFFSET(PLE!$G$14,$M707,BC$13))))</f>
        <v>1000000000000</v>
      </c>
      <c r="BD707" s="182">
        <f ca="1">IF($D707&lt;&gt;"Serviço",0,IF(OR(AND(AUTOEVENTO="Manual",$M707=1),$M707&gt;(ROW(PLE.lastrow)-ROW(PLE.firstrow))),0,IF(OFFSET(PLE!$G$14,$M707,BD$13)="",10^12,OFFSET(PLE!$G$14,$M707,BD$13))))</f>
        <v>1000000000000</v>
      </c>
      <c r="BE707" s="182">
        <f ca="1">IF($D707&lt;&gt;"Serviço",0,IF(OR(AND(AUTOEVENTO="Manual",$M707=1),$M707&gt;(ROW(PLE.lastrow)-ROW(PLE.firstrow))),0,IF(OFFSET(PLE!$G$14,$M707,BE$13)="",10^12,OFFSET(PLE!$G$14,$M707,BE$13))))</f>
        <v>1000000000000</v>
      </c>
      <c r="BF707" s="182">
        <f ca="1">IF($D707&lt;&gt;"Serviço",0,IF(OR(AND(AUTOEVENTO="Manual",$M707=1),$M707&gt;(ROW(PLE.lastrow)-ROW(PLE.firstrow))),0,IF(OFFSET(PLE!$G$14,$M707,BF$13)="",10^12,OFFSET(PLE!$G$14,$M707,BF$13))))</f>
        <v>1000000000000</v>
      </c>
      <c r="BG707" s="182">
        <f ca="1">IF($D707&lt;&gt;"Serviço",0,IF(OR(AND(AUTOEVENTO="Manual",$M707=1),$M707&gt;(ROW(PLE.lastrow)-ROW(PLE.firstrow))),0,IF(OFFSET(PLE!$G$14,$M707,BG$13)="",10^12,OFFSET(PLE!$G$14,$M707,BG$13))))</f>
        <v>1000000000000</v>
      </c>
    </row>
    <row r="708" spans="1:59" ht="12.75" x14ac:dyDescent="0.2">
      <c r="A708" s="7" t="str">
        <f t="shared" ca="1" si="17"/>
        <v>679</v>
      </c>
      <c r="B708" s="7">
        <f ca="1">OFFSET(ORÇAMENTO!C$15,ROW(B708)-ROW(B$15),0)</f>
        <v>3</v>
      </c>
      <c r="C708" s="7" t="str">
        <f ca="1">OFFSET(ORÇAMENTO!L$15,ROW(C708)-ROW(C$15),0)</f>
        <v>F</v>
      </c>
      <c r="D708" s="118" t="str">
        <f ca="1">OFFSET(ORÇAMENTO!N$15,ROW(D708)-ROW(D$15),0)</f>
        <v>Nível 3</v>
      </c>
      <c r="E708" s="119" t="str">
        <f ca="1">OFFSET(ORÇAMENTO!O$15,ROW(E708)-ROW(E$15),0)</f>
        <v>1.24.3.</v>
      </c>
      <c r="F708" s="172" t="str">
        <f ca="1">OFFSET(ORÇAMENTO!R$15,ROW(F708)-ROW(F$15),0)</f>
        <v>SUPERESTRUTURA</v>
      </c>
      <c r="G708" s="173" t="str">
        <f ca="1">IF($D708&lt;&gt;"Serviço","",OFFSET(ORÇAMENTO!S$15,ROW(G708)-ROW(G$15),0))</f>
        <v/>
      </c>
      <c r="H708" s="124">
        <f ca="1">IF($D708&lt;&gt;"Serviço",0,IF(ACOMPANHAMENTO="BM",ROUND(OFFSET(ORÇAMENTO!AJ$15,ROW(H708)-ROW(H$15),0),15-13*ORÇAMENTO!$AF$7),SUMPRODUCT(($Q$12:$AA$12&lt;&gt;"")*ROUND($Q708:$AA708,15-13*ORÇAMENTO!$AF$7))))</f>
        <v>0</v>
      </c>
      <c r="I708" s="561"/>
      <c r="K708" s="174"/>
      <c r="L708" s="175" t="s">
        <v>255</v>
      </c>
      <c r="M708" s="176" t="str">
        <f ca="1">IF($D708&lt;&gt;"Serviço","",IF(AUTOEVENTO="manual",$A708,IF(ISERROR(MATCH($A708,$A$15:OFFSET($A708,-1,0),0)),MAX($M$15:OFFSET(M708,-1,0))+1,INDEX($M$15:OFFSET(M708,-1,0),MATCH($A708,$A$15:OFFSET($A708,-1,0),0)))))</f>
        <v/>
      </c>
      <c r="N708" s="177" t="str">
        <f ca="1">IF($D708&lt;&gt;"Serviço","",IF(AUTOEVENTO="Manual",IF($A708=0,"&lt;-- defina o número do agrupador",OFFSET(EVENTOS!$D$14,$A708,0)),OFFSET($F$15,$A708,0)))</f>
        <v/>
      </c>
      <c r="O708" s="178"/>
      <c r="Q708" s="178"/>
      <c r="R708" s="179"/>
      <c r="S708" s="179"/>
      <c r="T708" s="179"/>
      <c r="U708" s="179"/>
      <c r="V708" s="179"/>
      <c r="W708" s="179"/>
      <c r="X708" s="179"/>
      <c r="Y708" s="179"/>
      <c r="Z708" s="180"/>
      <c r="AB708" s="544">
        <f ca="1">IF(AND($D708="Serviço",AB$12&lt;&gt;0,$H708&gt;0,OR(AUTOEVENTO&lt;&gt;"manual",$M708&lt;&gt;1)),
IF(Import.TipoArredondamento&lt;&gt;"TransfereGOV",
ROUND(OFFSET($P708,0,AB$13),15-13*ORÇAMENTO!$AF$7)/$H708*OFFSET(ORÇAMENTO!$X$15,ROW(AB708)-ROW(AB$15),0),
ROUND(ROUND(OFFSET($P708,0,AB$13),15-13*ORÇAMENTO!$AF$7)*OFFSET(ORÇAMENTO!$W$15,ROW(AB708)-ROW(AB$15),0),15-13*ORÇAMENTO!$AF$11)),0)</f>
        <v>0</v>
      </c>
      <c r="AC708" s="545">
        <f ca="1">IF(AND($D708="Serviço",AC$12&lt;&gt;0,$H708&gt;0,OR(AUTOEVENTO&lt;&gt;"manual",$M708&lt;&gt;1)),
IF(Import.TipoArredondamento&lt;&gt;"TransfereGOV",
ROUND(OFFSET($P708,0,AC$13),15-13*ORÇAMENTO!$AF$7)/$H708*OFFSET(ORÇAMENTO!$X$15,ROW(AC708)-ROW(AC$15),0),
ROUND(ROUND(OFFSET($P708,0,AC$13),15-13*ORÇAMENTO!$AF$7)*OFFSET(ORÇAMENTO!$W$15,ROW(AC708)-ROW(AC$15),0),15-13*ORÇAMENTO!$AF$11)),0)</f>
        <v>0</v>
      </c>
      <c r="AD708" s="545">
        <f ca="1">IF(AND($D708="Serviço",AD$12&lt;&gt;0,$H708&gt;0,OR(AUTOEVENTO&lt;&gt;"manual",$M708&lt;&gt;1)),
IF(Import.TipoArredondamento&lt;&gt;"TransfereGOV",
ROUND(OFFSET($P708,0,AD$13),15-13*ORÇAMENTO!$AF$7)/$H708*OFFSET(ORÇAMENTO!$X$15,ROW(AD708)-ROW(AD$15),0),
ROUND(ROUND(OFFSET($P708,0,AD$13),15-13*ORÇAMENTO!$AF$7)*OFFSET(ORÇAMENTO!$W$15,ROW(AD708)-ROW(AD$15),0),15-13*ORÇAMENTO!$AF$11)),0)</f>
        <v>0</v>
      </c>
      <c r="AE708" s="545">
        <f ca="1">IF(AND($D708="Serviço",AE$12&lt;&gt;0,$H708&gt;0,OR(AUTOEVENTO&lt;&gt;"manual",$M708&lt;&gt;1)),
IF(Import.TipoArredondamento&lt;&gt;"TransfereGOV",
ROUND(OFFSET($P708,0,AE$13),15-13*ORÇAMENTO!$AF$7)/$H708*OFFSET(ORÇAMENTO!$X$15,ROW(AE708)-ROW(AE$15),0),
ROUND(ROUND(OFFSET($P708,0,AE$13),15-13*ORÇAMENTO!$AF$7)*OFFSET(ORÇAMENTO!$W$15,ROW(AE708)-ROW(AE$15),0),15-13*ORÇAMENTO!$AF$11)),0)</f>
        <v>0</v>
      </c>
      <c r="AF708" s="545">
        <f ca="1">IF(AND($D708="Serviço",AF$12&lt;&gt;0,$H708&gt;0,OR(AUTOEVENTO&lt;&gt;"manual",$M708&lt;&gt;1)),
IF(Import.TipoArredondamento&lt;&gt;"TransfereGOV",
ROUND(OFFSET($P708,0,AF$13),15-13*ORÇAMENTO!$AF$7)/$H708*OFFSET(ORÇAMENTO!$X$15,ROW(AF708)-ROW(AF$15),0),
ROUND(ROUND(OFFSET($P708,0,AF$13),15-13*ORÇAMENTO!$AF$7)*OFFSET(ORÇAMENTO!$W$15,ROW(AF708)-ROW(AF$15),0),15-13*ORÇAMENTO!$AF$11)),0)</f>
        <v>0</v>
      </c>
      <c r="AG708" s="545">
        <f ca="1">IF(AND($D708="Serviço",AG$12&lt;&gt;0,$H708&gt;0,OR(AUTOEVENTO&lt;&gt;"manual",$M708&lt;&gt;1)),
IF(Import.TipoArredondamento&lt;&gt;"TransfereGOV",
ROUND(OFFSET($P708,0,AG$13),15-13*ORÇAMENTO!$AF$7)/$H708*OFFSET(ORÇAMENTO!$X$15,ROW(AG708)-ROW(AG$15),0),
ROUND(ROUND(OFFSET($P708,0,AG$13),15-13*ORÇAMENTO!$AF$7)*OFFSET(ORÇAMENTO!$W$15,ROW(AG708)-ROW(AG$15),0),15-13*ORÇAMENTO!$AF$11)),0)</f>
        <v>0</v>
      </c>
      <c r="AH708" s="545">
        <f ca="1">IF(AND($D708="Serviço",AH$12&lt;&gt;0,$H708&gt;0,OR(AUTOEVENTO&lt;&gt;"manual",$M708&lt;&gt;1)),
IF(Import.TipoArredondamento&lt;&gt;"TransfereGOV",
ROUND(OFFSET($P708,0,AH$13),15-13*ORÇAMENTO!$AF$7)/$H708*OFFSET(ORÇAMENTO!$X$15,ROW(AH708)-ROW(AH$15),0),
ROUND(ROUND(OFFSET($P708,0,AH$13),15-13*ORÇAMENTO!$AF$7)*OFFSET(ORÇAMENTO!$W$15,ROW(AH708)-ROW(AH$15),0),15-13*ORÇAMENTO!$AF$11)),0)</f>
        <v>0</v>
      </c>
      <c r="AI708" s="545">
        <f ca="1">IF(AND($D708="Serviço",AI$12&lt;&gt;0,$H708&gt;0,OR(AUTOEVENTO&lt;&gt;"manual",$M708&lt;&gt;1)),
IF(Import.TipoArredondamento&lt;&gt;"TransfereGOV",
ROUND(OFFSET($P708,0,AI$13),15-13*ORÇAMENTO!$AF$7)/$H708*OFFSET(ORÇAMENTO!$X$15,ROW(AI708)-ROW(AI$15),0),
ROUND(ROUND(OFFSET($P708,0,AI$13),15-13*ORÇAMENTO!$AF$7)*OFFSET(ORÇAMENTO!$W$15,ROW(AI708)-ROW(AI$15),0),15-13*ORÇAMENTO!$AF$11)),0)</f>
        <v>0</v>
      </c>
      <c r="AJ708" s="545">
        <f ca="1">IF(AND($D708="Serviço",AJ$12&lt;&gt;0,$H708&gt;0,OR(AUTOEVENTO&lt;&gt;"manual",$M708&lt;&gt;1)),
IF(Import.TipoArredondamento&lt;&gt;"TransfereGOV",
ROUND(OFFSET($P708,0,AJ$13),15-13*ORÇAMENTO!$AF$7)/$H708*OFFSET(ORÇAMENTO!$X$15,ROW(AJ708)-ROW(AJ$15),0),
ROUND(ROUND(OFFSET($P708,0,AJ$13),15-13*ORÇAMENTO!$AF$7)*OFFSET(ORÇAMENTO!$W$15,ROW(AJ708)-ROW(AJ$15),0),15-13*ORÇAMENTO!$AF$11)),0)</f>
        <v>0</v>
      </c>
      <c r="AK708" s="546">
        <f ca="1">IF(AND($D708="Serviço",AK$12&lt;&gt;0,$H708&gt;0,OR(AUTOEVENTO&lt;&gt;"manual",$M708&lt;&gt;1)),
IF(Import.TipoArredondamento&lt;&gt;"TransfereGOV",
ROUND(OFFSET($P708,0,AK$13),15-13*ORÇAMENTO!$AF$7)/$H708*OFFSET(ORÇAMENTO!$X$15,ROW(AK708)-ROW(AK$15),0),
ROUND(ROUND(OFFSET($P708,0,AK$13),15-13*ORÇAMENTO!$AF$7)*OFFSET(ORÇAMENTO!$W$15,ROW(AK708)-ROW(AK$15),0),15-13*ORÇAMENTO!$AF$11)),0)</f>
        <v>0</v>
      </c>
      <c r="AM708" s="181">
        <f ca="1">IF($D708&lt;&gt;"Serviço",0,IF(AND(AUTOEVENTO="Manual",$M708=1),0,IF(OFFSET(CRONOPLE!$F$14,$M708,AM$13)="",10^12,OFFSET(CRONOPLE!$F$14,$M708,AM$13))))</f>
        <v>0</v>
      </c>
      <c r="AN708" s="181">
        <f ca="1">IF($D708&lt;&gt;"Serviço",0,IF(AND(AUTOEVENTO="Manual",$M708=1),0,IF(OFFSET(CRONOPLE!$F$14,$M708,AN$13)="",10^12,OFFSET(CRONOPLE!$F$14,$M708,AN$13))))</f>
        <v>0</v>
      </c>
      <c r="AO708" s="181">
        <f ca="1">IF($D708&lt;&gt;"Serviço",0,IF(AND(AUTOEVENTO="Manual",$M708=1),0,IF(OFFSET(CRONOPLE!$F$14,$M708,AO$13)="",10^12,OFFSET(CRONOPLE!$F$14,$M708,AO$13))))</f>
        <v>0</v>
      </c>
      <c r="AP708" s="181">
        <f ca="1">IF($D708&lt;&gt;"Serviço",0,IF(AND(AUTOEVENTO="Manual",$M708=1),0,IF(OFFSET(CRONOPLE!$F$14,$M708,AP$13)="",10^12,OFFSET(CRONOPLE!$F$14,$M708,AP$13))))</f>
        <v>0</v>
      </c>
      <c r="AQ708" s="181">
        <f ca="1">IF($D708&lt;&gt;"Serviço",0,IF(AND(AUTOEVENTO="Manual",$M708=1),0,IF(OFFSET(CRONOPLE!$F$14,$M708,AQ$13)="",10^12,OFFSET(CRONOPLE!$F$14,$M708,AQ$13))))</f>
        <v>0</v>
      </c>
      <c r="AR708" s="181">
        <f ca="1">IF($D708&lt;&gt;"Serviço",0,IF(AND(AUTOEVENTO="Manual",$M708=1),0,IF(OFFSET(CRONOPLE!$F$14,$M708,AR$13)="",10^12,OFFSET(CRONOPLE!$F$14,$M708,AR$13))))</f>
        <v>0</v>
      </c>
      <c r="AS708" s="181">
        <f ca="1">IF($D708&lt;&gt;"Serviço",0,IF(AND(AUTOEVENTO="Manual",$M708=1),0,IF(OFFSET(CRONOPLE!$F$14,$M708,AS$13)="",10^12,OFFSET(CRONOPLE!$F$14,$M708,AS$13))))</f>
        <v>0</v>
      </c>
      <c r="AT708" s="181">
        <f ca="1">IF($D708&lt;&gt;"Serviço",0,IF(AND(AUTOEVENTO="Manual",$M708=1),0,IF(OFFSET(CRONOPLE!$F$14,$M708,AT$13)="",10^12,OFFSET(CRONOPLE!$F$14,$M708,AT$13))))</f>
        <v>0</v>
      </c>
      <c r="AU708" s="181">
        <f ca="1">IF($D708&lt;&gt;"Serviço",0,IF(AND(AUTOEVENTO="Manual",$M708=1),0,IF(OFFSET(CRONOPLE!$F$14,$M708,AU$13)="",10^12,OFFSET(CRONOPLE!$F$14,$M708,AU$13))))</f>
        <v>0</v>
      </c>
      <c r="AV708" s="181">
        <f ca="1">IF($D708&lt;&gt;"Serviço",0,IF(AND(AUTOEVENTO="Manual",$M708=1),0,IF(OFFSET(CRONOPLE!$F$14,$M708,AV$13)="",10^12,OFFSET(CRONOPLE!$F$14,$M708,AV$13))))</f>
        <v>0</v>
      </c>
      <c r="AX708" s="182">
        <f ca="1">IF($D708&lt;&gt;"Serviço",0,IF(OR(AND(AUTOEVENTO="Manual",$M708=1),$M708&gt;(ROW(PLE.lastrow)-ROW(PLE.firstrow))),0,IF(OFFSET(PLE!$G$14,$M708,AX$13)="",10^12,OFFSET(PLE!$G$14,$M708,AX$13))))</f>
        <v>0</v>
      </c>
      <c r="AY708" s="182">
        <f ca="1">IF($D708&lt;&gt;"Serviço",0,IF(OR(AND(AUTOEVENTO="Manual",$M708=1),$M708&gt;(ROW(PLE.lastrow)-ROW(PLE.firstrow))),0,IF(OFFSET(PLE!$G$14,$M708,AY$13)="",10^12,OFFSET(PLE!$G$14,$M708,AY$13))))</f>
        <v>0</v>
      </c>
      <c r="AZ708" s="182">
        <f ca="1">IF($D708&lt;&gt;"Serviço",0,IF(OR(AND(AUTOEVENTO="Manual",$M708=1),$M708&gt;(ROW(PLE.lastrow)-ROW(PLE.firstrow))),0,IF(OFFSET(PLE!$G$14,$M708,AZ$13)="",10^12,OFFSET(PLE!$G$14,$M708,AZ$13))))</f>
        <v>0</v>
      </c>
      <c r="BA708" s="182">
        <f ca="1">IF($D708&lt;&gt;"Serviço",0,IF(OR(AND(AUTOEVENTO="Manual",$M708=1),$M708&gt;(ROW(PLE.lastrow)-ROW(PLE.firstrow))),0,IF(OFFSET(PLE!$G$14,$M708,BA$13)="",10^12,OFFSET(PLE!$G$14,$M708,BA$13))))</f>
        <v>0</v>
      </c>
      <c r="BB708" s="182">
        <f ca="1">IF($D708&lt;&gt;"Serviço",0,IF(OR(AND(AUTOEVENTO="Manual",$M708=1),$M708&gt;(ROW(PLE.lastrow)-ROW(PLE.firstrow))),0,IF(OFFSET(PLE!$G$14,$M708,BB$13)="",10^12,OFFSET(PLE!$G$14,$M708,BB$13))))</f>
        <v>0</v>
      </c>
      <c r="BC708" s="182">
        <f ca="1">IF($D708&lt;&gt;"Serviço",0,IF(OR(AND(AUTOEVENTO="Manual",$M708=1),$M708&gt;(ROW(PLE.lastrow)-ROW(PLE.firstrow))),0,IF(OFFSET(PLE!$G$14,$M708,BC$13)="",10^12,OFFSET(PLE!$G$14,$M708,BC$13))))</f>
        <v>0</v>
      </c>
      <c r="BD708" s="182">
        <f ca="1">IF($D708&lt;&gt;"Serviço",0,IF(OR(AND(AUTOEVENTO="Manual",$M708=1),$M708&gt;(ROW(PLE.lastrow)-ROW(PLE.firstrow))),0,IF(OFFSET(PLE!$G$14,$M708,BD$13)="",10^12,OFFSET(PLE!$G$14,$M708,BD$13))))</f>
        <v>0</v>
      </c>
      <c r="BE708" s="182">
        <f ca="1">IF($D708&lt;&gt;"Serviço",0,IF(OR(AND(AUTOEVENTO="Manual",$M708=1),$M708&gt;(ROW(PLE.lastrow)-ROW(PLE.firstrow))),0,IF(OFFSET(PLE!$G$14,$M708,BE$13)="",10^12,OFFSET(PLE!$G$14,$M708,BE$13))))</f>
        <v>0</v>
      </c>
      <c r="BF708" s="182">
        <f ca="1">IF($D708&lt;&gt;"Serviço",0,IF(OR(AND(AUTOEVENTO="Manual",$M708=1),$M708&gt;(ROW(PLE.lastrow)-ROW(PLE.firstrow))),0,IF(OFFSET(PLE!$G$14,$M708,BF$13)="",10^12,OFFSET(PLE!$G$14,$M708,BF$13))))</f>
        <v>0</v>
      </c>
      <c r="BG708" s="182">
        <f ca="1">IF($D708&lt;&gt;"Serviço",0,IF(OR(AND(AUTOEVENTO="Manual",$M708=1),$M708&gt;(ROW(PLE.lastrow)-ROW(PLE.firstrow))),0,IF(OFFSET(PLE!$G$14,$M708,BG$13)="",10^12,OFFSET(PLE!$G$14,$M708,BG$13))))</f>
        <v>0</v>
      </c>
    </row>
    <row r="709" spans="1:59" ht="12.75" x14ac:dyDescent="0.2">
      <c r="A709" s="7" t="str">
        <f t="shared" ca="1" si="17"/>
        <v>679</v>
      </c>
      <c r="B709" s="7">
        <f ca="1">OFFSET(ORÇAMENTO!C$15,ROW(B709)-ROW(B$15),0)</f>
        <v>4</v>
      </c>
      <c r="C709" s="7" t="str">
        <f ca="1">OFFSET(ORÇAMENTO!L$15,ROW(C709)-ROW(C$15),0)</f>
        <v>F</v>
      </c>
      <c r="D709" s="118" t="str">
        <f ca="1">OFFSET(ORÇAMENTO!N$15,ROW(D709)-ROW(D$15),0)</f>
        <v>Nível 4</v>
      </c>
      <c r="E709" s="119" t="str">
        <f ca="1">OFFSET(ORÇAMENTO!O$15,ROW(E709)-ROW(E$15),0)</f>
        <v>1.24.3.1.</v>
      </c>
      <c r="F709" s="172" t="str">
        <f ca="1">OFFSET(ORÇAMENTO!R$15,ROW(F709)-ROW(F$15),0)</f>
        <v>CONCRETO ARMADO - VIGAS BALDRAME</v>
      </c>
      <c r="G709" s="173" t="str">
        <f ca="1">IF($D709&lt;&gt;"Serviço","",OFFSET(ORÇAMENTO!S$15,ROW(G709)-ROW(G$15),0))</f>
        <v/>
      </c>
      <c r="H709" s="124">
        <f ca="1">IF($D709&lt;&gt;"Serviço",0,IF(ACOMPANHAMENTO="BM",ROUND(OFFSET(ORÇAMENTO!AJ$15,ROW(H709)-ROW(H$15),0),15-13*ORÇAMENTO!$AF$7),SUMPRODUCT(($Q$12:$AA$12&lt;&gt;"")*ROUND($Q709:$AA709,15-13*ORÇAMENTO!$AF$7))))</f>
        <v>0</v>
      </c>
      <c r="I709" s="561"/>
      <c r="K709" s="174"/>
      <c r="L709" s="175" t="s">
        <v>255</v>
      </c>
      <c r="M709" s="176" t="str">
        <f ca="1">IF($D709&lt;&gt;"Serviço","",IF(AUTOEVENTO="manual",$A709,IF(ISERROR(MATCH($A709,$A$15:OFFSET($A709,-1,0),0)),MAX($M$15:OFFSET(M709,-1,0))+1,INDEX($M$15:OFFSET(M709,-1,0),MATCH($A709,$A$15:OFFSET($A709,-1,0),0)))))</f>
        <v/>
      </c>
      <c r="N709" s="177" t="str">
        <f ca="1">IF($D709&lt;&gt;"Serviço","",IF(AUTOEVENTO="Manual",IF($A709=0,"&lt;-- defina o número do agrupador",OFFSET(EVENTOS!$D$14,$A709,0)),OFFSET($F$15,$A709,0)))</f>
        <v/>
      </c>
      <c r="O709" s="178"/>
      <c r="Q709" s="178"/>
      <c r="R709" s="179"/>
      <c r="S709" s="179"/>
      <c r="T709" s="179"/>
      <c r="U709" s="179"/>
      <c r="V709" s="179"/>
      <c r="W709" s="179"/>
      <c r="X709" s="179"/>
      <c r="Y709" s="179"/>
      <c r="Z709" s="180"/>
      <c r="AB709" s="544">
        <f ca="1">IF(AND($D709="Serviço",AB$12&lt;&gt;0,$H709&gt;0,OR(AUTOEVENTO&lt;&gt;"manual",$M709&lt;&gt;1)),
IF(Import.TipoArredondamento&lt;&gt;"TransfereGOV",
ROUND(OFFSET($P709,0,AB$13),15-13*ORÇAMENTO!$AF$7)/$H709*OFFSET(ORÇAMENTO!$X$15,ROW(AB709)-ROW(AB$15),0),
ROUND(ROUND(OFFSET($P709,0,AB$13),15-13*ORÇAMENTO!$AF$7)*OFFSET(ORÇAMENTO!$W$15,ROW(AB709)-ROW(AB$15),0),15-13*ORÇAMENTO!$AF$11)),0)</f>
        <v>0</v>
      </c>
      <c r="AC709" s="545">
        <f ca="1">IF(AND($D709="Serviço",AC$12&lt;&gt;0,$H709&gt;0,OR(AUTOEVENTO&lt;&gt;"manual",$M709&lt;&gt;1)),
IF(Import.TipoArredondamento&lt;&gt;"TransfereGOV",
ROUND(OFFSET($P709,0,AC$13),15-13*ORÇAMENTO!$AF$7)/$H709*OFFSET(ORÇAMENTO!$X$15,ROW(AC709)-ROW(AC$15),0),
ROUND(ROUND(OFFSET($P709,0,AC$13),15-13*ORÇAMENTO!$AF$7)*OFFSET(ORÇAMENTO!$W$15,ROW(AC709)-ROW(AC$15),0),15-13*ORÇAMENTO!$AF$11)),0)</f>
        <v>0</v>
      </c>
      <c r="AD709" s="545">
        <f ca="1">IF(AND($D709="Serviço",AD$12&lt;&gt;0,$H709&gt;0,OR(AUTOEVENTO&lt;&gt;"manual",$M709&lt;&gt;1)),
IF(Import.TipoArredondamento&lt;&gt;"TransfereGOV",
ROUND(OFFSET($P709,0,AD$13),15-13*ORÇAMENTO!$AF$7)/$H709*OFFSET(ORÇAMENTO!$X$15,ROW(AD709)-ROW(AD$15),0),
ROUND(ROUND(OFFSET($P709,0,AD$13),15-13*ORÇAMENTO!$AF$7)*OFFSET(ORÇAMENTO!$W$15,ROW(AD709)-ROW(AD$15),0),15-13*ORÇAMENTO!$AF$11)),0)</f>
        <v>0</v>
      </c>
      <c r="AE709" s="545">
        <f ca="1">IF(AND($D709="Serviço",AE$12&lt;&gt;0,$H709&gt;0,OR(AUTOEVENTO&lt;&gt;"manual",$M709&lt;&gt;1)),
IF(Import.TipoArredondamento&lt;&gt;"TransfereGOV",
ROUND(OFFSET($P709,0,AE$13),15-13*ORÇAMENTO!$AF$7)/$H709*OFFSET(ORÇAMENTO!$X$15,ROW(AE709)-ROW(AE$15),0),
ROUND(ROUND(OFFSET($P709,0,AE$13),15-13*ORÇAMENTO!$AF$7)*OFFSET(ORÇAMENTO!$W$15,ROW(AE709)-ROW(AE$15),0),15-13*ORÇAMENTO!$AF$11)),0)</f>
        <v>0</v>
      </c>
      <c r="AF709" s="545">
        <f ca="1">IF(AND($D709="Serviço",AF$12&lt;&gt;0,$H709&gt;0,OR(AUTOEVENTO&lt;&gt;"manual",$M709&lt;&gt;1)),
IF(Import.TipoArredondamento&lt;&gt;"TransfereGOV",
ROUND(OFFSET($P709,0,AF$13),15-13*ORÇAMENTO!$AF$7)/$H709*OFFSET(ORÇAMENTO!$X$15,ROW(AF709)-ROW(AF$15),0),
ROUND(ROUND(OFFSET($P709,0,AF$13),15-13*ORÇAMENTO!$AF$7)*OFFSET(ORÇAMENTO!$W$15,ROW(AF709)-ROW(AF$15),0),15-13*ORÇAMENTO!$AF$11)),0)</f>
        <v>0</v>
      </c>
      <c r="AG709" s="545">
        <f ca="1">IF(AND($D709="Serviço",AG$12&lt;&gt;0,$H709&gt;0,OR(AUTOEVENTO&lt;&gt;"manual",$M709&lt;&gt;1)),
IF(Import.TipoArredondamento&lt;&gt;"TransfereGOV",
ROUND(OFFSET($P709,0,AG$13),15-13*ORÇAMENTO!$AF$7)/$H709*OFFSET(ORÇAMENTO!$X$15,ROW(AG709)-ROW(AG$15),0),
ROUND(ROUND(OFFSET($P709,0,AG$13),15-13*ORÇAMENTO!$AF$7)*OFFSET(ORÇAMENTO!$W$15,ROW(AG709)-ROW(AG$15),0),15-13*ORÇAMENTO!$AF$11)),0)</f>
        <v>0</v>
      </c>
      <c r="AH709" s="545">
        <f ca="1">IF(AND($D709="Serviço",AH$12&lt;&gt;0,$H709&gt;0,OR(AUTOEVENTO&lt;&gt;"manual",$M709&lt;&gt;1)),
IF(Import.TipoArredondamento&lt;&gt;"TransfereGOV",
ROUND(OFFSET($P709,0,AH$13),15-13*ORÇAMENTO!$AF$7)/$H709*OFFSET(ORÇAMENTO!$X$15,ROW(AH709)-ROW(AH$15),0),
ROUND(ROUND(OFFSET($P709,0,AH$13),15-13*ORÇAMENTO!$AF$7)*OFFSET(ORÇAMENTO!$W$15,ROW(AH709)-ROW(AH$15),0),15-13*ORÇAMENTO!$AF$11)),0)</f>
        <v>0</v>
      </c>
      <c r="AI709" s="545">
        <f ca="1">IF(AND($D709="Serviço",AI$12&lt;&gt;0,$H709&gt;0,OR(AUTOEVENTO&lt;&gt;"manual",$M709&lt;&gt;1)),
IF(Import.TipoArredondamento&lt;&gt;"TransfereGOV",
ROUND(OFFSET($P709,0,AI$13),15-13*ORÇAMENTO!$AF$7)/$H709*OFFSET(ORÇAMENTO!$X$15,ROW(AI709)-ROW(AI$15),0),
ROUND(ROUND(OFFSET($P709,0,AI$13),15-13*ORÇAMENTO!$AF$7)*OFFSET(ORÇAMENTO!$W$15,ROW(AI709)-ROW(AI$15),0),15-13*ORÇAMENTO!$AF$11)),0)</f>
        <v>0</v>
      </c>
      <c r="AJ709" s="545">
        <f ca="1">IF(AND($D709="Serviço",AJ$12&lt;&gt;0,$H709&gt;0,OR(AUTOEVENTO&lt;&gt;"manual",$M709&lt;&gt;1)),
IF(Import.TipoArredondamento&lt;&gt;"TransfereGOV",
ROUND(OFFSET($P709,0,AJ$13),15-13*ORÇAMENTO!$AF$7)/$H709*OFFSET(ORÇAMENTO!$X$15,ROW(AJ709)-ROW(AJ$15),0),
ROUND(ROUND(OFFSET($P709,0,AJ$13),15-13*ORÇAMENTO!$AF$7)*OFFSET(ORÇAMENTO!$W$15,ROW(AJ709)-ROW(AJ$15),0),15-13*ORÇAMENTO!$AF$11)),0)</f>
        <v>0</v>
      </c>
      <c r="AK709" s="546">
        <f ca="1">IF(AND($D709="Serviço",AK$12&lt;&gt;0,$H709&gt;0,OR(AUTOEVENTO&lt;&gt;"manual",$M709&lt;&gt;1)),
IF(Import.TipoArredondamento&lt;&gt;"TransfereGOV",
ROUND(OFFSET($P709,0,AK$13),15-13*ORÇAMENTO!$AF$7)/$H709*OFFSET(ORÇAMENTO!$X$15,ROW(AK709)-ROW(AK$15),0),
ROUND(ROUND(OFFSET($P709,0,AK$13),15-13*ORÇAMENTO!$AF$7)*OFFSET(ORÇAMENTO!$W$15,ROW(AK709)-ROW(AK$15),0),15-13*ORÇAMENTO!$AF$11)),0)</f>
        <v>0</v>
      </c>
      <c r="AM709" s="181">
        <f ca="1">IF($D709&lt;&gt;"Serviço",0,IF(AND(AUTOEVENTO="Manual",$M709=1),0,IF(OFFSET(CRONOPLE!$F$14,$M709,AM$13)="",10^12,OFFSET(CRONOPLE!$F$14,$M709,AM$13))))</f>
        <v>0</v>
      </c>
      <c r="AN709" s="181">
        <f ca="1">IF($D709&lt;&gt;"Serviço",0,IF(AND(AUTOEVENTO="Manual",$M709=1),0,IF(OFFSET(CRONOPLE!$F$14,$M709,AN$13)="",10^12,OFFSET(CRONOPLE!$F$14,$M709,AN$13))))</f>
        <v>0</v>
      </c>
      <c r="AO709" s="181">
        <f ca="1">IF($D709&lt;&gt;"Serviço",0,IF(AND(AUTOEVENTO="Manual",$M709=1),0,IF(OFFSET(CRONOPLE!$F$14,$M709,AO$13)="",10^12,OFFSET(CRONOPLE!$F$14,$M709,AO$13))))</f>
        <v>0</v>
      </c>
      <c r="AP709" s="181">
        <f ca="1">IF($D709&lt;&gt;"Serviço",0,IF(AND(AUTOEVENTO="Manual",$M709=1),0,IF(OFFSET(CRONOPLE!$F$14,$M709,AP$13)="",10^12,OFFSET(CRONOPLE!$F$14,$M709,AP$13))))</f>
        <v>0</v>
      </c>
      <c r="AQ709" s="181">
        <f ca="1">IF($D709&lt;&gt;"Serviço",0,IF(AND(AUTOEVENTO="Manual",$M709=1),0,IF(OFFSET(CRONOPLE!$F$14,$M709,AQ$13)="",10^12,OFFSET(CRONOPLE!$F$14,$M709,AQ$13))))</f>
        <v>0</v>
      </c>
      <c r="AR709" s="181">
        <f ca="1">IF($D709&lt;&gt;"Serviço",0,IF(AND(AUTOEVENTO="Manual",$M709=1),0,IF(OFFSET(CRONOPLE!$F$14,$M709,AR$13)="",10^12,OFFSET(CRONOPLE!$F$14,$M709,AR$13))))</f>
        <v>0</v>
      </c>
      <c r="AS709" s="181">
        <f ca="1">IF($D709&lt;&gt;"Serviço",0,IF(AND(AUTOEVENTO="Manual",$M709=1),0,IF(OFFSET(CRONOPLE!$F$14,$M709,AS$13)="",10^12,OFFSET(CRONOPLE!$F$14,$M709,AS$13))))</f>
        <v>0</v>
      </c>
      <c r="AT709" s="181">
        <f ca="1">IF($D709&lt;&gt;"Serviço",0,IF(AND(AUTOEVENTO="Manual",$M709=1),0,IF(OFFSET(CRONOPLE!$F$14,$M709,AT$13)="",10^12,OFFSET(CRONOPLE!$F$14,$M709,AT$13))))</f>
        <v>0</v>
      </c>
      <c r="AU709" s="181">
        <f ca="1">IF($D709&lt;&gt;"Serviço",0,IF(AND(AUTOEVENTO="Manual",$M709=1),0,IF(OFFSET(CRONOPLE!$F$14,$M709,AU$13)="",10^12,OFFSET(CRONOPLE!$F$14,$M709,AU$13))))</f>
        <v>0</v>
      </c>
      <c r="AV709" s="181">
        <f ca="1">IF($D709&lt;&gt;"Serviço",0,IF(AND(AUTOEVENTO="Manual",$M709=1),0,IF(OFFSET(CRONOPLE!$F$14,$M709,AV$13)="",10^12,OFFSET(CRONOPLE!$F$14,$M709,AV$13))))</f>
        <v>0</v>
      </c>
      <c r="AX709" s="182">
        <f ca="1">IF($D709&lt;&gt;"Serviço",0,IF(OR(AND(AUTOEVENTO="Manual",$M709=1),$M709&gt;(ROW(PLE.lastrow)-ROW(PLE.firstrow))),0,IF(OFFSET(PLE!$G$14,$M709,AX$13)="",10^12,OFFSET(PLE!$G$14,$M709,AX$13))))</f>
        <v>0</v>
      </c>
      <c r="AY709" s="182">
        <f ca="1">IF($D709&lt;&gt;"Serviço",0,IF(OR(AND(AUTOEVENTO="Manual",$M709=1),$M709&gt;(ROW(PLE.lastrow)-ROW(PLE.firstrow))),0,IF(OFFSET(PLE!$G$14,$M709,AY$13)="",10^12,OFFSET(PLE!$G$14,$M709,AY$13))))</f>
        <v>0</v>
      </c>
      <c r="AZ709" s="182">
        <f ca="1">IF($D709&lt;&gt;"Serviço",0,IF(OR(AND(AUTOEVENTO="Manual",$M709=1),$M709&gt;(ROW(PLE.lastrow)-ROW(PLE.firstrow))),0,IF(OFFSET(PLE!$G$14,$M709,AZ$13)="",10^12,OFFSET(PLE!$G$14,$M709,AZ$13))))</f>
        <v>0</v>
      </c>
      <c r="BA709" s="182">
        <f ca="1">IF($D709&lt;&gt;"Serviço",0,IF(OR(AND(AUTOEVENTO="Manual",$M709=1),$M709&gt;(ROW(PLE.lastrow)-ROW(PLE.firstrow))),0,IF(OFFSET(PLE!$G$14,$M709,BA$13)="",10^12,OFFSET(PLE!$G$14,$M709,BA$13))))</f>
        <v>0</v>
      </c>
      <c r="BB709" s="182">
        <f ca="1">IF($D709&lt;&gt;"Serviço",0,IF(OR(AND(AUTOEVENTO="Manual",$M709=1),$M709&gt;(ROW(PLE.lastrow)-ROW(PLE.firstrow))),0,IF(OFFSET(PLE!$G$14,$M709,BB$13)="",10^12,OFFSET(PLE!$G$14,$M709,BB$13))))</f>
        <v>0</v>
      </c>
      <c r="BC709" s="182">
        <f ca="1">IF($D709&lt;&gt;"Serviço",0,IF(OR(AND(AUTOEVENTO="Manual",$M709=1),$M709&gt;(ROW(PLE.lastrow)-ROW(PLE.firstrow))),0,IF(OFFSET(PLE!$G$14,$M709,BC$13)="",10^12,OFFSET(PLE!$G$14,$M709,BC$13))))</f>
        <v>0</v>
      </c>
      <c r="BD709" s="182">
        <f ca="1">IF($D709&lt;&gt;"Serviço",0,IF(OR(AND(AUTOEVENTO="Manual",$M709=1),$M709&gt;(ROW(PLE.lastrow)-ROW(PLE.firstrow))),0,IF(OFFSET(PLE!$G$14,$M709,BD$13)="",10^12,OFFSET(PLE!$G$14,$M709,BD$13))))</f>
        <v>0</v>
      </c>
      <c r="BE709" s="182">
        <f ca="1">IF($D709&lt;&gt;"Serviço",0,IF(OR(AND(AUTOEVENTO="Manual",$M709=1),$M709&gt;(ROW(PLE.lastrow)-ROW(PLE.firstrow))),0,IF(OFFSET(PLE!$G$14,$M709,BE$13)="",10^12,OFFSET(PLE!$G$14,$M709,BE$13))))</f>
        <v>0</v>
      </c>
      <c r="BF709" s="182">
        <f ca="1">IF($D709&lt;&gt;"Serviço",0,IF(OR(AND(AUTOEVENTO="Manual",$M709=1),$M709&gt;(ROW(PLE.lastrow)-ROW(PLE.firstrow))),0,IF(OFFSET(PLE!$G$14,$M709,BF$13)="",10^12,OFFSET(PLE!$G$14,$M709,BF$13))))</f>
        <v>0</v>
      </c>
      <c r="BG709" s="182">
        <f ca="1">IF($D709&lt;&gt;"Serviço",0,IF(OR(AND(AUTOEVENTO="Manual",$M709=1),$M709&gt;(ROW(PLE.lastrow)-ROW(PLE.firstrow))),0,IF(OFFSET(PLE!$G$14,$M709,BG$13)="",10^12,OFFSET(PLE!$G$14,$M709,BG$13))))</f>
        <v>0</v>
      </c>
    </row>
    <row r="710" spans="1:59" ht="25.5" x14ac:dyDescent="0.2">
      <c r="A710" s="7" t="str">
        <f t="shared" ca="1" si="17"/>
        <v>679</v>
      </c>
      <c r="B710" s="7" t="str">
        <f ca="1">OFFSET(ORÇAMENTO!C$15,ROW(B710)-ROW(B$15),0)</f>
        <v>S</v>
      </c>
      <c r="C710" s="7" t="str">
        <f ca="1">OFFSET(ORÇAMENTO!L$15,ROW(C710)-ROW(C$15),0)</f>
        <v/>
      </c>
      <c r="D710" s="118" t="str">
        <f ca="1">OFFSET(ORÇAMENTO!N$15,ROW(D710)-ROW(D$15),0)</f>
        <v>Serviço</v>
      </c>
      <c r="E710" s="119" t="str">
        <f ca="1">OFFSET(ORÇAMENTO!O$15,ROW(E710)-ROW(E$15),0)</f>
        <v>-</v>
      </c>
      <c r="F710" s="172" t="str">
        <f ca="1">OFFSET(ORÇAMENTO!R$15,ROW(F710)-ROW(F$15),0)</f>
        <v>(abra o arquivo 'Referência 02-2025.xlsm)</v>
      </c>
      <c r="G710" s="173" t="str">
        <f ca="1">IF($D710&lt;&gt;"Serviço","",OFFSET(ORÇAMENTO!S$15,ROW(G710)-ROW(G$15),0))</f>
        <v>-</v>
      </c>
      <c r="H710" s="124">
        <f ca="1">IF($D710&lt;&gt;"Serviço",0,IF(ACOMPANHAMENTO="BM",ROUND(OFFSET(ORÇAMENTO!AJ$15,ROW(H710)-ROW(H$15),0),15-13*ORÇAMENTO!$AF$7),SUMPRODUCT(($Q$12:$AA$12&lt;&gt;"")*ROUND($Q710:$AA710,15-13*ORÇAMENTO!$AF$7))))</f>
        <v>8.06</v>
      </c>
      <c r="I710" s="561" t="s">
        <v>890</v>
      </c>
      <c r="K710" s="174"/>
      <c r="L710" s="175" t="s">
        <v>255</v>
      </c>
      <c r="M710" s="176">
        <f ca="1">IF($D710&lt;&gt;"Serviço","",IF(AUTOEVENTO="manual",$A710,IF(ISERROR(MATCH($A710,$A$15:OFFSET($A710,-1,0),0)),MAX($M$15:OFFSET(M710,-1,0))+1,INDEX($M$15:OFFSET(M710,-1,0),MATCH($A710,$A$15:OFFSET($A710,-1,0),0)))))</f>
        <v>25</v>
      </c>
      <c r="N710" s="177" t="str">
        <f ca="1">IF($D710&lt;&gt;"Serviço","",IF(AUTOEVENTO="Manual",IF($A710=0,"&lt;-- defina o número do agrupador",OFFSET(EVENTOS!$D$14,$A710,0)),OFFSET($F$15,$A710,0)))</f>
        <v>FECHAMENTO - MURO</v>
      </c>
      <c r="O710" s="178"/>
      <c r="Q710" s="178"/>
      <c r="R710" s="179"/>
      <c r="S710" s="179"/>
      <c r="T710" s="179"/>
      <c r="U710" s="179"/>
      <c r="V710" s="179"/>
      <c r="W710" s="179"/>
      <c r="X710" s="179"/>
      <c r="Y710" s="179"/>
      <c r="Z710" s="180"/>
      <c r="AB710" s="544">
        <f ca="1">IF(AND($D710="Serviço",AB$12&lt;&gt;0,$H710&gt;0,OR(AUTOEVENTO&lt;&gt;"manual",$M710&lt;&gt;1)),
IF(Import.TipoArredondamento&lt;&gt;"TransfereGOV",
ROUND(OFFSET($P710,0,AB$13),15-13*ORÇAMENTO!$AF$7)/$H710*OFFSET(ORÇAMENTO!$X$15,ROW(AB710)-ROW(AB$15),0),
ROUND(ROUND(OFFSET($P710,0,AB$13),15-13*ORÇAMENTO!$AF$7)*OFFSET(ORÇAMENTO!$W$15,ROW(AB710)-ROW(AB$15),0),15-13*ORÇAMENTO!$AF$11)),0)</f>
        <v>0</v>
      </c>
      <c r="AC710" s="545">
        <f ca="1">IF(AND($D710="Serviço",AC$12&lt;&gt;0,$H710&gt;0,OR(AUTOEVENTO&lt;&gt;"manual",$M710&lt;&gt;1)),
IF(Import.TipoArredondamento&lt;&gt;"TransfereGOV",
ROUND(OFFSET($P710,0,AC$13),15-13*ORÇAMENTO!$AF$7)/$H710*OFFSET(ORÇAMENTO!$X$15,ROW(AC710)-ROW(AC$15),0),
ROUND(ROUND(OFFSET($P710,0,AC$13),15-13*ORÇAMENTO!$AF$7)*OFFSET(ORÇAMENTO!$W$15,ROW(AC710)-ROW(AC$15),0),15-13*ORÇAMENTO!$AF$11)),0)</f>
        <v>0</v>
      </c>
      <c r="AD710" s="545">
        <f ca="1">IF(AND($D710="Serviço",AD$12&lt;&gt;0,$H710&gt;0,OR(AUTOEVENTO&lt;&gt;"manual",$M710&lt;&gt;1)),
IF(Import.TipoArredondamento&lt;&gt;"TransfereGOV",
ROUND(OFFSET($P710,0,AD$13),15-13*ORÇAMENTO!$AF$7)/$H710*OFFSET(ORÇAMENTO!$X$15,ROW(AD710)-ROW(AD$15),0),
ROUND(ROUND(OFFSET($P710,0,AD$13),15-13*ORÇAMENTO!$AF$7)*OFFSET(ORÇAMENTO!$W$15,ROW(AD710)-ROW(AD$15),0),15-13*ORÇAMENTO!$AF$11)),0)</f>
        <v>0</v>
      </c>
      <c r="AE710" s="545">
        <f ca="1">IF(AND($D710="Serviço",AE$12&lt;&gt;0,$H710&gt;0,OR(AUTOEVENTO&lt;&gt;"manual",$M710&lt;&gt;1)),
IF(Import.TipoArredondamento&lt;&gt;"TransfereGOV",
ROUND(OFFSET($P710,0,AE$13),15-13*ORÇAMENTO!$AF$7)/$H710*OFFSET(ORÇAMENTO!$X$15,ROW(AE710)-ROW(AE$15),0),
ROUND(ROUND(OFFSET($P710,0,AE$13),15-13*ORÇAMENTO!$AF$7)*OFFSET(ORÇAMENTO!$W$15,ROW(AE710)-ROW(AE$15),0),15-13*ORÇAMENTO!$AF$11)),0)</f>
        <v>0</v>
      </c>
      <c r="AF710" s="545">
        <f ca="1">IF(AND($D710="Serviço",AF$12&lt;&gt;0,$H710&gt;0,OR(AUTOEVENTO&lt;&gt;"manual",$M710&lt;&gt;1)),
IF(Import.TipoArredondamento&lt;&gt;"TransfereGOV",
ROUND(OFFSET($P710,0,AF$13),15-13*ORÇAMENTO!$AF$7)/$H710*OFFSET(ORÇAMENTO!$X$15,ROW(AF710)-ROW(AF$15),0),
ROUND(ROUND(OFFSET($P710,0,AF$13),15-13*ORÇAMENTO!$AF$7)*OFFSET(ORÇAMENTO!$W$15,ROW(AF710)-ROW(AF$15),0),15-13*ORÇAMENTO!$AF$11)),0)</f>
        <v>0</v>
      </c>
      <c r="AG710" s="545">
        <f ca="1">IF(AND($D710="Serviço",AG$12&lt;&gt;0,$H710&gt;0,OR(AUTOEVENTO&lt;&gt;"manual",$M710&lt;&gt;1)),
IF(Import.TipoArredondamento&lt;&gt;"TransfereGOV",
ROUND(OFFSET($P710,0,AG$13),15-13*ORÇAMENTO!$AF$7)/$H710*OFFSET(ORÇAMENTO!$X$15,ROW(AG710)-ROW(AG$15),0),
ROUND(ROUND(OFFSET($P710,0,AG$13),15-13*ORÇAMENTO!$AF$7)*OFFSET(ORÇAMENTO!$W$15,ROW(AG710)-ROW(AG$15),0),15-13*ORÇAMENTO!$AF$11)),0)</f>
        <v>0</v>
      </c>
      <c r="AH710" s="545">
        <f ca="1">IF(AND($D710="Serviço",AH$12&lt;&gt;0,$H710&gt;0,OR(AUTOEVENTO&lt;&gt;"manual",$M710&lt;&gt;1)),
IF(Import.TipoArredondamento&lt;&gt;"TransfereGOV",
ROUND(OFFSET($P710,0,AH$13),15-13*ORÇAMENTO!$AF$7)/$H710*OFFSET(ORÇAMENTO!$X$15,ROW(AH710)-ROW(AH$15),0),
ROUND(ROUND(OFFSET($P710,0,AH$13),15-13*ORÇAMENTO!$AF$7)*OFFSET(ORÇAMENTO!$W$15,ROW(AH710)-ROW(AH$15),0),15-13*ORÇAMENTO!$AF$11)),0)</f>
        <v>0</v>
      </c>
      <c r="AI710" s="545">
        <f ca="1">IF(AND($D710="Serviço",AI$12&lt;&gt;0,$H710&gt;0,OR(AUTOEVENTO&lt;&gt;"manual",$M710&lt;&gt;1)),
IF(Import.TipoArredondamento&lt;&gt;"TransfereGOV",
ROUND(OFFSET($P710,0,AI$13),15-13*ORÇAMENTO!$AF$7)/$H710*OFFSET(ORÇAMENTO!$X$15,ROW(AI710)-ROW(AI$15),0),
ROUND(ROUND(OFFSET($P710,0,AI$13),15-13*ORÇAMENTO!$AF$7)*OFFSET(ORÇAMENTO!$W$15,ROW(AI710)-ROW(AI$15),0),15-13*ORÇAMENTO!$AF$11)),0)</f>
        <v>0</v>
      </c>
      <c r="AJ710" s="545">
        <f ca="1">IF(AND($D710="Serviço",AJ$12&lt;&gt;0,$H710&gt;0,OR(AUTOEVENTO&lt;&gt;"manual",$M710&lt;&gt;1)),
IF(Import.TipoArredondamento&lt;&gt;"TransfereGOV",
ROUND(OFFSET($P710,0,AJ$13),15-13*ORÇAMENTO!$AF$7)/$H710*OFFSET(ORÇAMENTO!$X$15,ROW(AJ710)-ROW(AJ$15),0),
ROUND(ROUND(OFFSET($P710,0,AJ$13),15-13*ORÇAMENTO!$AF$7)*OFFSET(ORÇAMENTO!$W$15,ROW(AJ710)-ROW(AJ$15),0),15-13*ORÇAMENTO!$AF$11)),0)</f>
        <v>0</v>
      </c>
      <c r="AK710" s="546">
        <f ca="1">IF(AND($D710="Serviço",AK$12&lt;&gt;0,$H710&gt;0,OR(AUTOEVENTO&lt;&gt;"manual",$M710&lt;&gt;1)),
IF(Import.TipoArredondamento&lt;&gt;"TransfereGOV",
ROUND(OFFSET($P710,0,AK$13),15-13*ORÇAMENTO!$AF$7)/$H710*OFFSET(ORÇAMENTO!$X$15,ROW(AK710)-ROW(AK$15),0),
ROUND(ROUND(OFFSET($P710,0,AK$13),15-13*ORÇAMENTO!$AF$7)*OFFSET(ORÇAMENTO!$W$15,ROW(AK710)-ROW(AK$15),0),15-13*ORÇAMENTO!$AF$11)),0)</f>
        <v>0</v>
      </c>
      <c r="AM710" s="181">
        <f ca="1">IF($D710&lt;&gt;"Serviço",0,IF(AND(AUTOEVENTO="Manual",$M710=1),0,IF(OFFSET(CRONOPLE!$F$14,$M710,AM$13)="",10^12,OFFSET(CRONOPLE!$F$14,$M710,AM$13))))</f>
        <v>1000000000000</v>
      </c>
      <c r="AN710" s="181">
        <f ca="1">IF($D710&lt;&gt;"Serviço",0,IF(AND(AUTOEVENTO="Manual",$M710=1),0,IF(OFFSET(CRONOPLE!$F$14,$M710,AN$13)="",10^12,OFFSET(CRONOPLE!$F$14,$M710,AN$13))))</f>
        <v>1000000000000</v>
      </c>
      <c r="AO710" s="181">
        <f ca="1">IF($D710&lt;&gt;"Serviço",0,IF(AND(AUTOEVENTO="Manual",$M710=1),0,IF(OFFSET(CRONOPLE!$F$14,$M710,AO$13)="",10^12,OFFSET(CRONOPLE!$F$14,$M710,AO$13))))</f>
        <v>1000000000000</v>
      </c>
      <c r="AP710" s="181">
        <f ca="1">IF($D710&lt;&gt;"Serviço",0,IF(AND(AUTOEVENTO="Manual",$M710=1),0,IF(OFFSET(CRONOPLE!$F$14,$M710,AP$13)="",10^12,OFFSET(CRONOPLE!$F$14,$M710,AP$13))))</f>
        <v>1000000000000</v>
      </c>
      <c r="AQ710" s="181">
        <f ca="1">IF($D710&lt;&gt;"Serviço",0,IF(AND(AUTOEVENTO="Manual",$M710=1),0,IF(OFFSET(CRONOPLE!$F$14,$M710,AQ$13)="",10^12,OFFSET(CRONOPLE!$F$14,$M710,AQ$13))))</f>
        <v>1000000000000</v>
      </c>
      <c r="AR710" s="181">
        <f ca="1">IF($D710&lt;&gt;"Serviço",0,IF(AND(AUTOEVENTO="Manual",$M710=1),0,IF(OFFSET(CRONOPLE!$F$14,$M710,AR$13)="",10^12,OFFSET(CRONOPLE!$F$14,$M710,AR$13))))</f>
        <v>1000000000000</v>
      </c>
      <c r="AS710" s="181">
        <f ca="1">IF($D710&lt;&gt;"Serviço",0,IF(AND(AUTOEVENTO="Manual",$M710=1),0,IF(OFFSET(CRONOPLE!$F$14,$M710,AS$13)="",10^12,OFFSET(CRONOPLE!$F$14,$M710,AS$13))))</f>
        <v>1000000000000</v>
      </c>
      <c r="AT710" s="181">
        <f ca="1">IF($D710&lt;&gt;"Serviço",0,IF(AND(AUTOEVENTO="Manual",$M710=1),0,IF(OFFSET(CRONOPLE!$F$14,$M710,AT$13)="",10^12,OFFSET(CRONOPLE!$F$14,$M710,AT$13))))</f>
        <v>1000000000000</v>
      </c>
      <c r="AU710" s="181">
        <f ca="1">IF($D710&lt;&gt;"Serviço",0,IF(AND(AUTOEVENTO="Manual",$M710=1),0,IF(OFFSET(CRONOPLE!$F$14,$M710,AU$13)="",10^12,OFFSET(CRONOPLE!$F$14,$M710,AU$13))))</f>
        <v>1000000000000</v>
      </c>
      <c r="AV710" s="181">
        <f ca="1">IF($D710&lt;&gt;"Serviço",0,IF(AND(AUTOEVENTO="Manual",$M710=1),0,IF(OFFSET(CRONOPLE!$F$14,$M710,AV$13)="",10^12,OFFSET(CRONOPLE!$F$14,$M710,AV$13))))</f>
        <v>1000000000000</v>
      </c>
      <c r="AX710" s="182">
        <f ca="1">IF($D710&lt;&gt;"Serviço",0,IF(OR(AND(AUTOEVENTO="Manual",$M710=1),$M710&gt;(ROW(PLE.lastrow)-ROW(PLE.firstrow))),0,IF(OFFSET(PLE!$G$14,$M710,AX$13)="",10^12,OFFSET(PLE!$G$14,$M710,AX$13))))</f>
        <v>1000000000000</v>
      </c>
      <c r="AY710" s="182">
        <f ca="1">IF($D710&lt;&gt;"Serviço",0,IF(OR(AND(AUTOEVENTO="Manual",$M710=1),$M710&gt;(ROW(PLE.lastrow)-ROW(PLE.firstrow))),0,IF(OFFSET(PLE!$G$14,$M710,AY$13)="",10^12,OFFSET(PLE!$G$14,$M710,AY$13))))</f>
        <v>1000000000000</v>
      </c>
      <c r="AZ710" s="182">
        <f ca="1">IF($D710&lt;&gt;"Serviço",0,IF(OR(AND(AUTOEVENTO="Manual",$M710=1),$M710&gt;(ROW(PLE.lastrow)-ROW(PLE.firstrow))),0,IF(OFFSET(PLE!$G$14,$M710,AZ$13)="",10^12,OFFSET(PLE!$G$14,$M710,AZ$13))))</f>
        <v>1000000000000</v>
      </c>
      <c r="BA710" s="182">
        <f ca="1">IF($D710&lt;&gt;"Serviço",0,IF(OR(AND(AUTOEVENTO="Manual",$M710=1),$M710&gt;(ROW(PLE.lastrow)-ROW(PLE.firstrow))),0,IF(OFFSET(PLE!$G$14,$M710,BA$13)="",10^12,OFFSET(PLE!$G$14,$M710,BA$13))))</f>
        <v>1000000000000</v>
      </c>
      <c r="BB710" s="182">
        <f ca="1">IF($D710&lt;&gt;"Serviço",0,IF(OR(AND(AUTOEVENTO="Manual",$M710=1),$M710&gt;(ROW(PLE.lastrow)-ROW(PLE.firstrow))),0,IF(OFFSET(PLE!$G$14,$M710,BB$13)="",10^12,OFFSET(PLE!$G$14,$M710,BB$13))))</f>
        <v>1000000000000</v>
      </c>
      <c r="BC710" s="182">
        <f ca="1">IF($D710&lt;&gt;"Serviço",0,IF(OR(AND(AUTOEVENTO="Manual",$M710=1),$M710&gt;(ROW(PLE.lastrow)-ROW(PLE.firstrow))),0,IF(OFFSET(PLE!$G$14,$M710,BC$13)="",10^12,OFFSET(PLE!$G$14,$M710,BC$13))))</f>
        <v>1000000000000</v>
      </c>
      <c r="BD710" s="182">
        <f ca="1">IF($D710&lt;&gt;"Serviço",0,IF(OR(AND(AUTOEVENTO="Manual",$M710=1),$M710&gt;(ROW(PLE.lastrow)-ROW(PLE.firstrow))),0,IF(OFFSET(PLE!$G$14,$M710,BD$13)="",10^12,OFFSET(PLE!$G$14,$M710,BD$13))))</f>
        <v>1000000000000</v>
      </c>
      <c r="BE710" s="182">
        <f ca="1">IF($D710&lt;&gt;"Serviço",0,IF(OR(AND(AUTOEVENTO="Manual",$M710=1),$M710&gt;(ROW(PLE.lastrow)-ROW(PLE.firstrow))),0,IF(OFFSET(PLE!$G$14,$M710,BE$13)="",10^12,OFFSET(PLE!$G$14,$M710,BE$13))))</f>
        <v>1000000000000</v>
      </c>
      <c r="BF710" s="182">
        <f ca="1">IF($D710&lt;&gt;"Serviço",0,IF(OR(AND(AUTOEVENTO="Manual",$M710=1),$M710&gt;(ROW(PLE.lastrow)-ROW(PLE.firstrow))),0,IF(OFFSET(PLE!$G$14,$M710,BF$13)="",10^12,OFFSET(PLE!$G$14,$M710,BF$13))))</f>
        <v>1000000000000</v>
      </c>
      <c r="BG710" s="182">
        <f ca="1">IF($D710&lt;&gt;"Serviço",0,IF(OR(AND(AUTOEVENTO="Manual",$M710=1),$M710&gt;(ROW(PLE.lastrow)-ROW(PLE.firstrow))),0,IF(OFFSET(PLE!$G$14,$M710,BG$13)="",10^12,OFFSET(PLE!$G$14,$M710,BG$13))))</f>
        <v>1000000000000</v>
      </c>
    </row>
    <row r="711" spans="1:59" ht="25.5" x14ac:dyDescent="0.2">
      <c r="A711" s="7" t="str">
        <f t="shared" ca="1" si="17"/>
        <v>679</v>
      </c>
      <c r="B711" s="7" t="str">
        <f ca="1">OFFSET(ORÇAMENTO!C$15,ROW(B711)-ROW(B$15),0)</f>
        <v>S</v>
      </c>
      <c r="C711" s="7" t="str">
        <f ca="1">OFFSET(ORÇAMENTO!L$15,ROW(C711)-ROW(C$15),0)</f>
        <v/>
      </c>
      <c r="D711" s="118" t="str">
        <f ca="1">OFFSET(ORÇAMENTO!N$15,ROW(D711)-ROW(D$15),0)</f>
        <v>Serviço</v>
      </c>
      <c r="E711" s="119" t="str">
        <f ca="1">OFFSET(ORÇAMENTO!O$15,ROW(E711)-ROW(E$15),0)</f>
        <v>-</v>
      </c>
      <c r="F711" s="172" t="str">
        <f ca="1">OFFSET(ORÇAMENTO!R$15,ROW(F711)-ROW(F$15),0)</f>
        <v>(abra o arquivo 'Referência 02-2025.xlsm)</v>
      </c>
      <c r="G711" s="173" t="str">
        <f ca="1">IF($D711&lt;&gt;"Serviço","",OFFSET(ORÇAMENTO!S$15,ROW(G711)-ROW(G$15),0))</f>
        <v>-</v>
      </c>
      <c r="H711" s="124">
        <f ca="1">IF($D711&lt;&gt;"Serviço",0,IF(ACOMPANHAMENTO="BM",ROUND(OFFSET(ORÇAMENTO!AJ$15,ROW(H711)-ROW(H$15),0),15-13*ORÇAMENTO!$AF$7),SUMPRODUCT(($Q$12:$AA$12&lt;&gt;"")*ROUND($Q711:$AA711,15-13*ORÇAMENTO!$AF$7))))</f>
        <v>161.19</v>
      </c>
      <c r="I711" s="561" t="s">
        <v>890</v>
      </c>
      <c r="K711" s="174"/>
      <c r="L711" s="175" t="s">
        <v>255</v>
      </c>
      <c r="M711" s="176">
        <f ca="1">IF($D711&lt;&gt;"Serviço","",IF(AUTOEVENTO="manual",$A711,IF(ISERROR(MATCH($A711,$A$15:OFFSET($A711,-1,0),0)),MAX($M$15:OFFSET(M711,-1,0))+1,INDEX($M$15:OFFSET(M711,-1,0),MATCH($A711,$A$15:OFFSET($A711,-1,0),0)))))</f>
        <v>25</v>
      </c>
      <c r="N711" s="177" t="str">
        <f ca="1">IF($D711&lt;&gt;"Serviço","",IF(AUTOEVENTO="Manual",IF($A711=0,"&lt;-- defina o número do agrupador",OFFSET(EVENTOS!$D$14,$A711,0)),OFFSET($F$15,$A711,0)))</f>
        <v>FECHAMENTO - MURO</v>
      </c>
      <c r="O711" s="178"/>
      <c r="Q711" s="178"/>
      <c r="R711" s="179"/>
      <c r="S711" s="179"/>
      <c r="T711" s="179"/>
      <c r="U711" s="179"/>
      <c r="V711" s="179"/>
      <c r="W711" s="179"/>
      <c r="X711" s="179"/>
      <c r="Y711" s="179"/>
      <c r="Z711" s="180"/>
      <c r="AB711" s="544">
        <f ca="1">IF(AND($D711="Serviço",AB$12&lt;&gt;0,$H711&gt;0,OR(AUTOEVENTO&lt;&gt;"manual",$M711&lt;&gt;1)),
IF(Import.TipoArredondamento&lt;&gt;"TransfereGOV",
ROUND(OFFSET($P711,0,AB$13),15-13*ORÇAMENTO!$AF$7)/$H711*OFFSET(ORÇAMENTO!$X$15,ROW(AB711)-ROW(AB$15),0),
ROUND(ROUND(OFFSET($P711,0,AB$13),15-13*ORÇAMENTO!$AF$7)*OFFSET(ORÇAMENTO!$W$15,ROW(AB711)-ROW(AB$15),0),15-13*ORÇAMENTO!$AF$11)),0)</f>
        <v>0</v>
      </c>
      <c r="AC711" s="545">
        <f ca="1">IF(AND($D711="Serviço",AC$12&lt;&gt;0,$H711&gt;0,OR(AUTOEVENTO&lt;&gt;"manual",$M711&lt;&gt;1)),
IF(Import.TipoArredondamento&lt;&gt;"TransfereGOV",
ROUND(OFFSET($P711,0,AC$13),15-13*ORÇAMENTO!$AF$7)/$H711*OFFSET(ORÇAMENTO!$X$15,ROW(AC711)-ROW(AC$15),0),
ROUND(ROUND(OFFSET($P711,0,AC$13),15-13*ORÇAMENTO!$AF$7)*OFFSET(ORÇAMENTO!$W$15,ROW(AC711)-ROW(AC$15),0),15-13*ORÇAMENTO!$AF$11)),0)</f>
        <v>0</v>
      </c>
      <c r="AD711" s="545">
        <f ca="1">IF(AND($D711="Serviço",AD$12&lt;&gt;0,$H711&gt;0,OR(AUTOEVENTO&lt;&gt;"manual",$M711&lt;&gt;1)),
IF(Import.TipoArredondamento&lt;&gt;"TransfereGOV",
ROUND(OFFSET($P711,0,AD$13),15-13*ORÇAMENTO!$AF$7)/$H711*OFFSET(ORÇAMENTO!$X$15,ROW(AD711)-ROW(AD$15),0),
ROUND(ROUND(OFFSET($P711,0,AD$13),15-13*ORÇAMENTO!$AF$7)*OFFSET(ORÇAMENTO!$W$15,ROW(AD711)-ROW(AD$15),0),15-13*ORÇAMENTO!$AF$11)),0)</f>
        <v>0</v>
      </c>
      <c r="AE711" s="545">
        <f ca="1">IF(AND($D711="Serviço",AE$12&lt;&gt;0,$H711&gt;0,OR(AUTOEVENTO&lt;&gt;"manual",$M711&lt;&gt;1)),
IF(Import.TipoArredondamento&lt;&gt;"TransfereGOV",
ROUND(OFFSET($P711,0,AE$13),15-13*ORÇAMENTO!$AF$7)/$H711*OFFSET(ORÇAMENTO!$X$15,ROW(AE711)-ROW(AE$15),0),
ROUND(ROUND(OFFSET($P711,0,AE$13),15-13*ORÇAMENTO!$AF$7)*OFFSET(ORÇAMENTO!$W$15,ROW(AE711)-ROW(AE$15),0),15-13*ORÇAMENTO!$AF$11)),0)</f>
        <v>0</v>
      </c>
      <c r="AF711" s="545">
        <f ca="1">IF(AND($D711="Serviço",AF$12&lt;&gt;0,$H711&gt;0,OR(AUTOEVENTO&lt;&gt;"manual",$M711&lt;&gt;1)),
IF(Import.TipoArredondamento&lt;&gt;"TransfereGOV",
ROUND(OFFSET($P711,0,AF$13),15-13*ORÇAMENTO!$AF$7)/$H711*OFFSET(ORÇAMENTO!$X$15,ROW(AF711)-ROW(AF$15),0),
ROUND(ROUND(OFFSET($P711,0,AF$13),15-13*ORÇAMENTO!$AF$7)*OFFSET(ORÇAMENTO!$W$15,ROW(AF711)-ROW(AF$15),0),15-13*ORÇAMENTO!$AF$11)),0)</f>
        <v>0</v>
      </c>
      <c r="AG711" s="545">
        <f ca="1">IF(AND($D711="Serviço",AG$12&lt;&gt;0,$H711&gt;0,OR(AUTOEVENTO&lt;&gt;"manual",$M711&lt;&gt;1)),
IF(Import.TipoArredondamento&lt;&gt;"TransfereGOV",
ROUND(OFFSET($P711,0,AG$13),15-13*ORÇAMENTO!$AF$7)/$H711*OFFSET(ORÇAMENTO!$X$15,ROW(AG711)-ROW(AG$15),0),
ROUND(ROUND(OFFSET($P711,0,AG$13),15-13*ORÇAMENTO!$AF$7)*OFFSET(ORÇAMENTO!$W$15,ROW(AG711)-ROW(AG$15),0),15-13*ORÇAMENTO!$AF$11)),0)</f>
        <v>0</v>
      </c>
      <c r="AH711" s="545">
        <f ca="1">IF(AND($D711="Serviço",AH$12&lt;&gt;0,$H711&gt;0,OR(AUTOEVENTO&lt;&gt;"manual",$M711&lt;&gt;1)),
IF(Import.TipoArredondamento&lt;&gt;"TransfereGOV",
ROUND(OFFSET($P711,0,AH$13),15-13*ORÇAMENTO!$AF$7)/$H711*OFFSET(ORÇAMENTO!$X$15,ROW(AH711)-ROW(AH$15),0),
ROUND(ROUND(OFFSET($P711,0,AH$13),15-13*ORÇAMENTO!$AF$7)*OFFSET(ORÇAMENTO!$W$15,ROW(AH711)-ROW(AH$15),0),15-13*ORÇAMENTO!$AF$11)),0)</f>
        <v>0</v>
      </c>
      <c r="AI711" s="545">
        <f ca="1">IF(AND($D711="Serviço",AI$12&lt;&gt;0,$H711&gt;0,OR(AUTOEVENTO&lt;&gt;"manual",$M711&lt;&gt;1)),
IF(Import.TipoArredondamento&lt;&gt;"TransfereGOV",
ROUND(OFFSET($P711,0,AI$13),15-13*ORÇAMENTO!$AF$7)/$H711*OFFSET(ORÇAMENTO!$X$15,ROW(AI711)-ROW(AI$15),0),
ROUND(ROUND(OFFSET($P711,0,AI$13),15-13*ORÇAMENTO!$AF$7)*OFFSET(ORÇAMENTO!$W$15,ROW(AI711)-ROW(AI$15),0),15-13*ORÇAMENTO!$AF$11)),0)</f>
        <v>0</v>
      </c>
      <c r="AJ711" s="545">
        <f ca="1">IF(AND($D711="Serviço",AJ$12&lt;&gt;0,$H711&gt;0,OR(AUTOEVENTO&lt;&gt;"manual",$M711&lt;&gt;1)),
IF(Import.TipoArredondamento&lt;&gt;"TransfereGOV",
ROUND(OFFSET($P711,0,AJ$13),15-13*ORÇAMENTO!$AF$7)/$H711*OFFSET(ORÇAMENTO!$X$15,ROW(AJ711)-ROW(AJ$15),0),
ROUND(ROUND(OFFSET($P711,0,AJ$13),15-13*ORÇAMENTO!$AF$7)*OFFSET(ORÇAMENTO!$W$15,ROW(AJ711)-ROW(AJ$15),0),15-13*ORÇAMENTO!$AF$11)),0)</f>
        <v>0</v>
      </c>
      <c r="AK711" s="546">
        <f ca="1">IF(AND($D711="Serviço",AK$12&lt;&gt;0,$H711&gt;0,OR(AUTOEVENTO&lt;&gt;"manual",$M711&lt;&gt;1)),
IF(Import.TipoArredondamento&lt;&gt;"TransfereGOV",
ROUND(OFFSET($P711,0,AK$13),15-13*ORÇAMENTO!$AF$7)/$H711*OFFSET(ORÇAMENTO!$X$15,ROW(AK711)-ROW(AK$15),0),
ROUND(ROUND(OFFSET($P711,0,AK$13),15-13*ORÇAMENTO!$AF$7)*OFFSET(ORÇAMENTO!$W$15,ROW(AK711)-ROW(AK$15),0),15-13*ORÇAMENTO!$AF$11)),0)</f>
        <v>0</v>
      </c>
      <c r="AM711" s="181">
        <f ca="1">IF($D711&lt;&gt;"Serviço",0,IF(AND(AUTOEVENTO="Manual",$M711=1),0,IF(OFFSET(CRONOPLE!$F$14,$M711,AM$13)="",10^12,OFFSET(CRONOPLE!$F$14,$M711,AM$13))))</f>
        <v>1000000000000</v>
      </c>
      <c r="AN711" s="181">
        <f ca="1">IF($D711&lt;&gt;"Serviço",0,IF(AND(AUTOEVENTO="Manual",$M711=1),0,IF(OFFSET(CRONOPLE!$F$14,$M711,AN$13)="",10^12,OFFSET(CRONOPLE!$F$14,$M711,AN$13))))</f>
        <v>1000000000000</v>
      </c>
      <c r="AO711" s="181">
        <f ca="1">IF($D711&lt;&gt;"Serviço",0,IF(AND(AUTOEVENTO="Manual",$M711=1),0,IF(OFFSET(CRONOPLE!$F$14,$M711,AO$13)="",10^12,OFFSET(CRONOPLE!$F$14,$M711,AO$13))))</f>
        <v>1000000000000</v>
      </c>
      <c r="AP711" s="181">
        <f ca="1">IF($D711&lt;&gt;"Serviço",0,IF(AND(AUTOEVENTO="Manual",$M711=1),0,IF(OFFSET(CRONOPLE!$F$14,$M711,AP$13)="",10^12,OFFSET(CRONOPLE!$F$14,$M711,AP$13))))</f>
        <v>1000000000000</v>
      </c>
      <c r="AQ711" s="181">
        <f ca="1">IF($D711&lt;&gt;"Serviço",0,IF(AND(AUTOEVENTO="Manual",$M711=1),0,IF(OFFSET(CRONOPLE!$F$14,$M711,AQ$13)="",10^12,OFFSET(CRONOPLE!$F$14,$M711,AQ$13))))</f>
        <v>1000000000000</v>
      </c>
      <c r="AR711" s="181">
        <f ca="1">IF($D711&lt;&gt;"Serviço",0,IF(AND(AUTOEVENTO="Manual",$M711=1),0,IF(OFFSET(CRONOPLE!$F$14,$M711,AR$13)="",10^12,OFFSET(CRONOPLE!$F$14,$M711,AR$13))))</f>
        <v>1000000000000</v>
      </c>
      <c r="AS711" s="181">
        <f ca="1">IF($D711&lt;&gt;"Serviço",0,IF(AND(AUTOEVENTO="Manual",$M711=1),0,IF(OFFSET(CRONOPLE!$F$14,$M711,AS$13)="",10^12,OFFSET(CRONOPLE!$F$14,$M711,AS$13))))</f>
        <v>1000000000000</v>
      </c>
      <c r="AT711" s="181">
        <f ca="1">IF($D711&lt;&gt;"Serviço",0,IF(AND(AUTOEVENTO="Manual",$M711=1),0,IF(OFFSET(CRONOPLE!$F$14,$M711,AT$13)="",10^12,OFFSET(CRONOPLE!$F$14,$M711,AT$13))))</f>
        <v>1000000000000</v>
      </c>
      <c r="AU711" s="181">
        <f ca="1">IF($D711&lt;&gt;"Serviço",0,IF(AND(AUTOEVENTO="Manual",$M711=1),0,IF(OFFSET(CRONOPLE!$F$14,$M711,AU$13)="",10^12,OFFSET(CRONOPLE!$F$14,$M711,AU$13))))</f>
        <v>1000000000000</v>
      </c>
      <c r="AV711" s="181">
        <f ca="1">IF($D711&lt;&gt;"Serviço",0,IF(AND(AUTOEVENTO="Manual",$M711=1),0,IF(OFFSET(CRONOPLE!$F$14,$M711,AV$13)="",10^12,OFFSET(CRONOPLE!$F$14,$M711,AV$13))))</f>
        <v>1000000000000</v>
      </c>
      <c r="AX711" s="182">
        <f ca="1">IF($D711&lt;&gt;"Serviço",0,IF(OR(AND(AUTOEVENTO="Manual",$M711=1),$M711&gt;(ROW(PLE.lastrow)-ROW(PLE.firstrow))),0,IF(OFFSET(PLE!$G$14,$M711,AX$13)="",10^12,OFFSET(PLE!$G$14,$M711,AX$13))))</f>
        <v>1000000000000</v>
      </c>
      <c r="AY711" s="182">
        <f ca="1">IF($D711&lt;&gt;"Serviço",0,IF(OR(AND(AUTOEVENTO="Manual",$M711=1),$M711&gt;(ROW(PLE.lastrow)-ROW(PLE.firstrow))),0,IF(OFFSET(PLE!$G$14,$M711,AY$13)="",10^12,OFFSET(PLE!$G$14,$M711,AY$13))))</f>
        <v>1000000000000</v>
      </c>
      <c r="AZ711" s="182">
        <f ca="1">IF($D711&lt;&gt;"Serviço",0,IF(OR(AND(AUTOEVENTO="Manual",$M711=1),$M711&gt;(ROW(PLE.lastrow)-ROW(PLE.firstrow))),0,IF(OFFSET(PLE!$G$14,$M711,AZ$13)="",10^12,OFFSET(PLE!$G$14,$M711,AZ$13))))</f>
        <v>1000000000000</v>
      </c>
      <c r="BA711" s="182">
        <f ca="1">IF($D711&lt;&gt;"Serviço",0,IF(OR(AND(AUTOEVENTO="Manual",$M711=1),$M711&gt;(ROW(PLE.lastrow)-ROW(PLE.firstrow))),0,IF(OFFSET(PLE!$G$14,$M711,BA$13)="",10^12,OFFSET(PLE!$G$14,$M711,BA$13))))</f>
        <v>1000000000000</v>
      </c>
      <c r="BB711" s="182">
        <f ca="1">IF($D711&lt;&gt;"Serviço",0,IF(OR(AND(AUTOEVENTO="Manual",$M711=1),$M711&gt;(ROW(PLE.lastrow)-ROW(PLE.firstrow))),0,IF(OFFSET(PLE!$G$14,$M711,BB$13)="",10^12,OFFSET(PLE!$G$14,$M711,BB$13))))</f>
        <v>1000000000000</v>
      </c>
      <c r="BC711" s="182">
        <f ca="1">IF($D711&lt;&gt;"Serviço",0,IF(OR(AND(AUTOEVENTO="Manual",$M711=1),$M711&gt;(ROW(PLE.lastrow)-ROW(PLE.firstrow))),0,IF(OFFSET(PLE!$G$14,$M711,BC$13)="",10^12,OFFSET(PLE!$G$14,$M711,BC$13))))</f>
        <v>1000000000000</v>
      </c>
      <c r="BD711" s="182">
        <f ca="1">IF($D711&lt;&gt;"Serviço",0,IF(OR(AND(AUTOEVENTO="Manual",$M711=1),$M711&gt;(ROW(PLE.lastrow)-ROW(PLE.firstrow))),0,IF(OFFSET(PLE!$G$14,$M711,BD$13)="",10^12,OFFSET(PLE!$G$14,$M711,BD$13))))</f>
        <v>1000000000000</v>
      </c>
      <c r="BE711" s="182">
        <f ca="1">IF($D711&lt;&gt;"Serviço",0,IF(OR(AND(AUTOEVENTO="Manual",$M711=1),$M711&gt;(ROW(PLE.lastrow)-ROW(PLE.firstrow))),0,IF(OFFSET(PLE!$G$14,$M711,BE$13)="",10^12,OFFSET(PLE!$G$14,$M711,BE$13))))</f>
        <v>1000000000000</v>
      </c>
      <c r="BF711" s="182">
        <f ca="1">IF($D711&lt;&gt;"Serviço",0,IF(OR(AND(AUTOEVENTO="Manual",$M711=1),$M711&gt;(ROW(PLE.lastrow)-ROW(PLE.firstrow))),0,IF(OFFSET(PLE!$G$14,$M711,BF$13)="",10^12,OFFSET(PLE!$G$14,$M711,BF$13))))</f>
        <v>1000000000000</v>
      </c>
      <c r="BG711" s="182">
        <f ca="1">IF($D711&lt;&gt;"Serviço",0,IF(OR(AND(AUTOEVENTO="Manual",$M711=1),$M711&gt;(ROW(PLE.lastrow)-ROW(PLE.firstrow))),0,IF(OFFSET(PLE!$G$14,$M711,BG$13)="",10^12,OFFSET(PLE!$G$14,$M711,BG$13))))</f>
        <v>1000000000000</v>
      </c>
    </row>
    <row r="712" spans="1:59" ht="38.25" x14ac:dyDescent="0.2">
      <c r="A712" s="7" t="str">
        <f t="shared" ca="1" si="17"/>
        <v>679</v>
      </c>
      <c r="B712" s="7" t="str">
        <f ca="1">OFFSET(ORÇAMENTO!C$15,ROW(B712)-ROW(B$15),0)</f>
        <v>S</v>
      </c>
      <c r="C712" s="7" t="str">
        <f ca="1">OFFSET(ORÇAMENTO!L$15,ROW(C712)-ROW(C$15),0)</f>
        <v/>
      </c>
      <c r="D712" s="118" t="str">
        <f ca="1">OFFSET(ORÇAMENTO!N$15,ROW(D712)-ROW(D$15),0)</f>
        <v>Serviço</v>
      </c>
      <c r="E712" s="119" t="str">
        <f ca="1">OFFSET(ORÇAMENTO!O$15,ROW(E712)-ROW(E$15),0)</f>
        <v>-</v>
      </c>
      <c r="F712" s="172" t="str">
        <f ca="1">OFFSET(ORÇAMENTO!R$15,ROW(F712)-ROW(F$15),0)</f>
        <v>(abra o arquivo 'Referência 02-2025.xlsm)</v>
      </c>
      <c r="G712" s="173" t="str">
        <f ca="1">IF($D712&lt;&gt;"Serviço","",OFFSET(ORÇAMENTO!S$15,ROW(G712)-ROW(G$15),0))</f>
        <v>-</v>
      </c>
      <c r="H712" s="124">
        <f ca="1">IF($D712&lt;&gt;"Serviço",0,IF(ACOMPANHAMENTO="BM",ROUND(OFFSET(ORÇAMENTO!AJ$15,ROW(H712)-ROW(H$15),0),15-13*ORÇAMENTO!$AF$7),SUMPRODUCT(($Q$12:$AA$12&lt;&gt;"")*ROUND($Q712:$AA712,15-13*ORÇAMENTO!$AF$7))))</f>
        <v>101.8</v>
      </c>
      <c r="I712" s="561" t="s">
        <v>890</v>
      </c>
      <c r="K712" s="174"/>
      <c r="L712" s="175" t="s">
        <v>255</v>
      </c>
      <c r="M712" s="176">
        <f ca="1">IF($D712&lt;&gt;"Serviço","",IF(AUTOEVENTO="manual",$A712,IF(ISERROR(MATCH($A712,$A$15:OFFSET($A712,-1,0),0)),MAX($M$15:OFFSET(M712,-1,0))+1,INDEX($M$15:OFFSET(M712,-1,0),MATCH($A712,$A$15:OFFSET($A712,-1,0),0)))))</f>
        <v>25</v>
      </c>
      <c r="N712" s="177" t="str">
        <f ca="1">IF($D712&lt;&gt;"Serviço","",IF(AUTOEVENTO="Manual",IF($A712=0,"&lt;-- defina o número do agrupador",OFFSET(EVENTOS!$D$14,$A712,0)),OFFSET($F$15,$A712,0)))</f>
        <v>FECHAMENTO - MURO</v>
      </c>
      <c r="O712" s="178"/>
      <c r="Q712" s="178"/>
      <c r="R712" s="179"/>
      <c r="S712" s="179"/>
      <c r="T712" s="179"/>
      <c r="U712" s="179"/>
      <c r="V712" s="179"/>
      <c r="W712" s="179"/>
      <c r="X712" s="179"/>
      <c r="Y712" s="179"/>
      <c r="Z712" s="180"/>
      <c r="AB712" s="544">
        <f ca="1">IF(AND($D712="Serviço",AB$12&lt;&gt;0,$H712&gt;0,OR(AUTOEVENTO&lt;&gt;"manual",$M712&lt;&gt;1)),
IF(Import.TipoArredondamento&lt;&gt;"TransfereGOV",
ROUND(OFFSET($P712,0,AB$13),15-13*ORÇAMENTO!$AF$7)/$H712*OFFSET(ORÇAMENTO!$X$15,ROW(AB712)-ROW(AB$15),0),
ROUND(ROUND(OFFSET($P712,0,AB$13),15-13*ORÇAMENTO!$AF$7)*OFFSET(ORÇAMENTO!$W$15,ROW(AB712)-ROW(AB$15),0),15-13*ORÇAMENTO!$AF$11)),0)</f>
        <v>0</v>
      </c>
      <c r="AC712" s="545">
        <f ca="1">IF(AND($D712="Serviço",AC$12&lt;&gt;0,$H712&gt;0,OR(AUTOEVENTO&lt;&gt;"manual",$M712&lt;&gt;1)),
IF(Import.TipoArredondamento&lt;&gt;"TransfereGOV",
ROUND(OFFSET($P712,0,AC$13),15-13*ORÇAMENTO!$AF$7)/$H712*OFFSET(ORÇAMENTO!$X$15,ROW(AC712)-ROW(AC$15),0),
ROUND(ROUND(OFFSET($P712,0,AC$13),15-13*ORÇAMENTO!$AF$7)*OFFSET(ORÇAMENTO!$W$15,ROW(AC712)-ROW(AC$15),0),15-13*ORÇAMENTO!$AF$11)),0)</f>
        <v>0</v>
      </c>
      <c r="AD712" s="545">
        <f ca="1">IF(AND($D712="Serviço",AD$12&lt;&gt;0,$H712&gt;0,OR(AUTOEVENTO&lt;&gt;"manual",$M712&lt;&gt;1)),
IF(Import.TipoArredondamento&lt;&gt;"TransfereGOV",
ROUND(OFFSET($P712,0,AD$13),15-13*ORÇAMENTO!$AF$7)/$H712*OFFSET(ORÇAMENTO!$X$15,ROW(AD712)-ROW(AD$15),0),
ROUND(ROUND(OFFSET($P712,0,AD$13),15-13*ORÇAMENTO!$AF$7)*OFFSET(ORÇAMENTO!$W$15,ROW(AD712)-ROW(AD$15),0),15-13*ORÇAMENTO!$AF$11)),0)</f>
        <v>0</v>
      </c>
      <c r="AE712" s="545">
        <f ca="1">IF(AND($D712="Serviço",AE$12&lt;&gt;0,$H712&gt;0,OR(AUTOEVENTO&lt;&gt;"manual",$M712&lt;&gt;1)),
IF(Import.TipoArredondamento&lt;&gt;"TransfereGOV",
ROUND(OFFSET($P712,0,AE$13),15-13*ORÇAMENTO!$AF$7)/$H712*OFFSET(ORÇAMENTO!$X$15,ROW(AE712)-ROW(AE$15),0),
ROUND(ROUND(OFFSET($P712,0,AE$13),15-13*ORÇAMENTO!$AF$7)*OFFSET(ORÇAMENTO!$W$15,ROW(AE712)-ROW(AE$15),0),15-13*ORÇAMENTO!$AF$11)),0)</f>
        <v>0</v>
      </c>
      <c r="AF712" s="545">
        <f ca="1">IF(AND($D712="Serviço",AF$12&lt;&gt;0,$H712&gt;0,OR(AUTOEVENTO&lt;&gt;"manual",$M712&lt;&gt;1)),
IF(Import.TipoArredondamento&lt;&gt;"TransfereGOV",
ROUND(OFFSET($P712,0,AF$13),15-13*ORÇAMENTO!$AF$7)/$H712*OFFSET(ORÇAMENTO!$X$15,ROW(AF712)-ROW(AF$15),0),
ROUND(ROUND(OFFSET($P712,0,AF$13),15-13*ORÇAMENTO!$AF$7)*OFFSET(ORÇAMENTO!$W$15,ROW(AF712)-ROW(AF$15),0),15-13*ORÇAMENTO!$AF$11)),0)</f>
        <v>0</v>
      </c>
      <c r="AG712" s="545">
        <f ca="1">IF(AND($D712="Serviço",AG$12&lt;&gt;0,$H712&gt;0,OR(AUTOEVENTO&lt;&gt;"manual",$M712&lt;&gt;1)),
IF(Import.TipoArredondamento&lt;&gt;"TransfereGOV",
ROUND(OFFSET($P712,0,AG$13),15-13*ORÇAMENTO!$AF$7)/$H712*OFFSET(ORÇAMENTO!$X$15,ROW(AG712)-ROW(AG$15),0),
ROUND(ROUND(OFFSET($P712,0,AG$13),15-13*ORÇAMENTO!$AF$7)*OFFSET(ORÇAMENTO!$W$15,ROW(AG712)-ROW(AG$15),0),15-13*ORÇAMENTO!$AF$11)),0)</f>
        <v>0</v>
      </c>
      <c r="AH712" s="545">
        <f ca="1">IF(AND($D712="Serviço",AH$12&lt;&gt;0,$H712&gt;0,OR(AUTOEVENTO&lt;&gt;"manual",$M712&lt;&gt;1)),
IF(Import.TipoArredondamento&lt;&gt;"TransfereGOV",
ROUND(OFFSET($P712,0,AH$13),15-13*ORÇAMENTO!$AF$7)/$H712*OFFSET(ORÇAMENTO!$X$15,ROW(AH712)-ROW(AH$15),0),
ROUND(ROUND(OFFSET($P712,0,AH$13),15-13*ORÇAMENTO!$AF$7)*OFFSET(ORÇAMENTO!$W$15,ROW(AH712)-ROW(AH$15),0),15-13*ORÇAMENTO!$AF$11)),0)</f>
        <v>0</v>
      </c>
      <c r="AI712" s="545">
        <f ca="1">IF(AND($D712="Serviço",AI$12&lt;&gt;0,$H712&gt;0,OR(AUTOEVENTO&lt;&gt;"manual",$M712&lt;&gt;1)),
IF(Import.TipoArredondamento&lt;&gt;"TransfereGOV",
ROUND(OFFSET($P712,0,AI$13),15-13*ORÇAMENTO!$AF$7)/$H712*OFFSET(ORÇAMENTO!$X$15,ROW(AI712)-ROW(AI$15),0),
ROUND(ROUND(OFFSET($P712,0,AI$13),15-13*ORÇAMENTO!$AF$7)*OFFSET(ORÇAMENTO!$W$15,ROW(AI712)-ROW(AI$15),0),15-13*ORÇAMENTO!$AF$11)),0)</f>
        <v>0</v>
      </c>
      <c r="AJ712" s="545">
        <f ca="1">IF(AND($D712="Serviço",AJ$12&lt;&gt;0,$H712&gt;0,OR(AUTOEVENTO&lt;&gt;"manual",$M712&lt;&gt;1)),
IF(Import.TipoArredondamento&lt;&gt;"TransfereGOV",
ROUND(OFFSET($P712,0,AJ$13),15-13*ORÇAMENTO!$AF$7)/$H712*OFFSET(ORÇAMENTO!$X$15,ROW(AJ712)-ROW(AJ$15),0),
ROUND(ROUND(OFFSET($P712,0,AJ$13),15-13*ORÇAMENTO!$AF$7)*OFFSET(ORÇAMENTO!$W$15,ROW(AJ712)-ROW(AJ$15),0),15-13*ORÇAMENTO!$AF$11)),0)</f>
        <v>0</v>
      </c>
      <c r="AK712" s="546">
        <f ca="1">IF(AND($D712="Serviço",AK$12&lt;&gt;0,$H712&gt;0,OR(AUTOEVENTO&lt;&gt;"manual",$M712&lt;&gt;1)),
IF(Import.TipoArredondamento&lt;&gt;"TransfereGOV",
ROUND(OFFSET($P712,0,AK$13),15-13*ORÇAMENTO!$AF$7)/$H712*OFFSET(ORÇAMENTO!$X$15,ROW(AK712)-ROW(AK$15),0),
ROUND(ROUND(OFFSET($P712,0,AK$13),15-13*ORÇAMENTO!$AF$7)*OFFSET(ORÇAMENTO!$W$15,ROW(AK712)-ROW(AK$15),0),15-13*ORÇAMENTO!$AF$11)),0)</f>
        <v>0</v>
      </c>
      <c r="AM712" s="181">
        <f ca="1">IF($D712&lt;&gt;"Serviço",0,IF(AND(AUTOEVENTO="Manual",$M712=1),0,IF(OFFSET(CRONOPLE!$F$14,$M712,AM$13)="",10^12,OFFSET(CRONOPLE!$F$14,$M712,AM$13))))</f>
        <v>1000000000000</v>
      </c>
      <c r="AN712" s="181">
        <f ca="1">IF($D712&lt;&gt;"Serviço",0,IF(AND(AUTOEVENTO="Manual",$M712=1),0,IF(OFFSET(CRONOPLE!$F$14,$M712,AN$13)="",10^12,OFFSET(CRONOPLE!$F$14,$M712,AN$13))))</f>
        <v>1000000000000</v>
      </c>
      <c r="AO712" s="181">
        <f ca="1">IF($D712&lt;&gt;"Serviço",0,IF(AND(AUTOEVENTO="Manual",$M712=1),0,IF(OFFSET(CRONOPLE!$F$14,$M712,AO$13)="",10^12,OFFSET(CRONOPLE!$F$14,$M712,AO$13))))</f>
        <v>1000000000000</v>
      </c>
      <c r="AP712" s="181">
        <f ca="1">IF($D712&lt;&gt;"Serviço",0,IF(AND(AUTOEVENTO="Manual",$M712=1),0,IF(OFFSET(CRONOPLE!$F$14,$M712,AP$13)="",10^12,OFFSET(CRONOPLE!$F$14,$M712,AP$13))))</f>
        <v>1000000000000</v>
      </c>
      <c r="AQ712" s="181">
        <f ca="1">IF($D712&lt;&gt;"Serviço",0,IF(AND(AUTOEVENTO="Manual",$M712=1),0,IF(OFFSET(CRONOPLE!$F$14,$M712,AQ$13)="",10^12,OFFSET(CRONOPLE!$F$14,$M712,AQ$13))))</f>
        <v>1000000000000</v>
      </c>
      <c r="AR712" s="181">
        <f ca="1">IF($D712&lt;&gt;"Serviço",0,IF(AND(AUTOEVENTO="Manual",$M712=1),0,IF(OFFSET(CRONOPLE!$F$14,$M712,AR$13)="",10^12,OFFSET(CRONOPLE!$F$14,$M712,AR$13))))</f>
        <v>1000000000000</v>
      </c>
      <c r="AS712" s="181">
        <f ca="1">IF($D712&lt;&gt;"Serviço",0,IF(AND(AUTOEVENTO="Manual",$M712=1),0,IF(OFFSET(CRONOPLE!$F$14,$M712,AS$13)="",10^12,OFFSET(CRONOPLE!$F$14,$M712,AS$13))))</f>
        <v>1000000000000</v>
      </c>
      <c r="AT712" s="181">
        <f ca="1">IF($D712&lt;&gt;"Serviço",0,IF(AND(AUTOEVENTO="Manual",$M712=1),0,IF(OFFSET(CRONOPLE!$F$14,$M712,AT$13)="",10^12,OFFSET(CRONOPLE!$F$14,$M712,AT$13))))</f>
        <v>1000000000000</v>
      </c>
      <c r="AU712" s="181">
        <f ca="1">IF($D712&lt;&gt;"Serviço",0,IF(AND(AUTOEVENTO="Manual",$M712=1),0,IF(OFFSET(CRONOPLE!$F$14,$M712,AU$13)="",10^12,OFFSET(CRONOPLE!$F$14,$M712,AU$13))))</f>
        <v>1000000000000</v>
      </c>
      <c r="AV712" s="181">
        <f ca="1">IF($D712&lt;&gt;"Serviço",0,IF(AND(AUTOEVENTO="Manual",$M712=1),0,IF(OFFSET(CRONOPLE!$F$14,$M712,AV$13)="",10^12,OFFSET(CRONOPLE!$F$14,$M712,AV$13))))</f>
        <v>1000000000000</v>
      </c>
      <c r="AX712" s="182">
        <f ca="1">IF($D712&lt;&gt;"Serviço",0,IF(OR(AND(AUTOEVENTO="Manual",$M712=1),$M712&gt;(ROW(PLE.lastrow)-ROW(PLE.firstrow))),0,IF(OFFSET(PLE!$G$14,$M712,AX$13)="",10^12,OFFSET(PLE!$G$14,$M712,AX$13))))</f>
        <v>1000000000000</v>
      </c>
      <c r="AY712" s="182">
        <f ca="1">IF($D712&lt;&gt;"Serviço",0,IF(OR(AND(AUTOEVENTO="Manual",$M712=1),$M712&gt;(ROW(PLE.lastrow)-ROW(PLE.firstrow))),0,IF(OFFSET(PLE!$G$14,$M712,AY$13)="",10^12,OFFSET(PLE!$G$14,$M712,AY$13))))</f>
        <v>1000000000000</v>
      </c>
      <c r="AZ712" s="182">
        <f ca="1">IF($D712&lt;&gt;"Serviço",0,IF(OR(AND(AUTOEVENTO="Manual",$M712=1),$M712&gt;(ROW(PLE.lastrow)-ROW(PLE.firstrow))),0,IF(OFFSET(PLE!$G$14,$M712,AZ$13)="",10^12,OFFSET(PLE!$G$14,$M712,AZ$13))))</f>
        <v>1000000000000</v>
      </c>
      <c r="BA712" s="182">
        <f ca="1">IF($D712&lt;&gt;"Serviço",0,IF(OR(AND(AUTOEVENTO="Manual",$M712=1),$M712&gt;(ROW(PLE.lastrow)-ROW(PLE.firstrow))),0,IF(OFFSET(PLE!$G$14,$M712,BA$13)="",10^12,OFFSET(PLE!$G$14,$M712,BA$13))))</f>
        <v>1000000000000</v>
      </c>
      <c r="BB712" s="182">
        <f ca="1">IF($D712&lt;&gt;"Serviço",0,IF(OR(AND(AUTOEVENTO="Manual",$M712=1),$M712&gt;(ROW(PLE.lastrow)-ROW(PLE.firstrow))),0,IF(OFFSET(PLE!$G$14,$M712,BB$13)="",10^12,OFFSET(PLE!$G$14,$M712,BB$13))))</f>
        <v>1000000000000</v>
      </c>
      <c r="BC712" s="182">
        <f ca="1">IF($D712&lt;&gt;"Serviço",0,IF(OR(AND(AUTOEVENTO="Manual",$M712=1),$M712&gt;(ROW(PLE.lastrow)-ROW(PLE.firstrow))),0,IF(OFFSET(PLE!$G$14,$M712,BC$13)="",10^12,OFFSET(PLE!$G$14,$M712,BC$13))))</f>
        <v>1000000000000</v>
      </c>
      <c r="BD712" s="182">
        <f ca="1">IF($D712&lt;&gt;"Serviço",0,IF(OR(AND(AUTOEVENTO="Manual",$M712=1),$M712&gt;(ROW(PLE.lastrow)-ROW(PLE.firstrow))),0,IF(OFFSET(PLE!$G$14,$M712,BD$13)="",10^12,OFFSET(PLE!$G$14,$M712,BD$13))))</f>
        <v>1000000000000</v>
      </c>
      <c r="BE712" s="182">
        <f ca="1">IF($D712&lt;&gt;"Serviço",0,IF(OR(AND(AUTOEVENTO="Manual",$M712=1),$M712&gt;(ROW(PLE.lastrow)-ROW(PLE.firstrow))),0,IF(OFFSET(PLE!$G$14,$M712,BE$13)="",10^12,OFFSET(PLE!$G$14,$M712,BE$13))))</f>
        <v>1000000000000</v>
      </c>
      <c r="BF712" s="182">
        <f ca="1">IF($D712&lt;&gt;"Serviço",0,IF(OR(AND(AUTOEVENTO="Manual",$M712=1),$M712&gt;(ROW(PLE.lastrow)-ROW(PLE.firstrow))),0,IF(OFFSET(PLE!$G$14,$M712,BF$13)="",10^12,OFFSET(PLE!$G$14,$M712,BF$13))))</f>
        <v>1000000000000</v>
      </c>
      <c r="BG712" s="182">
        <f ca="1">IF($D712&lt;&gt;"Serviço",0,IF(OR(AND(AUTOEVENTO="Manual",$M712=1),$M712&gt;(ROW(PLE.lastrow)-ROW(PLE.firstrow))),0,IF(OFFSET(PLE!$G$14,$M712,BG$13)="",10^12,OFFSET(PLE!$G$14,$M712,BG$13))))</f>
        <v>1000000000000</v>
      </c>
    </row>
    <row r="713" spans="1:59" ht="25.5" x14ac:dyDescent="0.2">
      <c r="A713" s="7" t="str">
        <f t="shared" ca="1" si="17"/>
        <v>679</v>
      </c>
      <c r="B713" s="7" t="str">
        <f ca="1">OFFSET(ORÇAMENTO!C$15,ROW(B713)-ROW(B$15),0)</f>
        <v>S</v>
      </c>
      <c r="C713" s="7" t="str">
        <f ca="1">OFFSET(ORÇAMENTO!L$15,ROW(C713)-ROW(C$15),0)</f>
        <v/>
      </c>
      <c r="D713" s="118" t="str">
        <f ca="1">OFFSET(ORÇAMENTO!N$15,ROW(D713)-ROW(D$15),0)</f>
        <v>Serviço</v>
      </c>
      <c r="E713" s="119" t="str">
        <f ca="1">OFFSET(ORÇAMENTO!O$15,ROW(E713)-ROW(E$15),0)</f>
        <v>-</v>
      </c>
      <c r="F713" s="172" t="str">
        <f ca="1">OFFSET(ORÇAMENTO!R$15,ROW(F713)-ROW(F$15),0)</f>
        <v>(abra o arquivo 'Referência 02-2025.xlsm)</v>
      </c>
      <c r="G713" s="173" t="str">
        <f ca="1">IF($D713&lt;&gt;"Serviço","",OFFSET(ORÇAMENTO!S$15,ROW(G713)-ROW(G$15),0))</f>
        <v>-</v>
      </c>
      <c r="H713" s="124">
        <f ca="1">IF($D713&lt;&gt;"Serviço",0,IF(ACOMPANHAMENTO="BM",ROUND(OFFSET(ORÇAMENTO!AJ$15,ROW(H713)-ROW(H$15),0),15-13*ORÇAMENTO!$AF$7),SUMPRODUCT(($Q$12:$AA$12&lt;&gt;"")*ROUND($Q713:$AA713,15-13*ORÇAMENTO!$AF$7))))</f>
        <v>98.86</v>
      </c>
      <c r="I713" s="561" t="s">
        <v>890</v>
      </c>
      <c r="K713" s="174"/>
      <c r="L713" s="175" t="s">
        <v>255</v>
      </c>
      <c r="M713" s="176">
        <f ca="1">IF($D713&lt;&gt;"Serviço","",IF(AUTOEVENTO="manual",$A713,IF(ISERROR(MATCH($A713,$A$15:OFFSET($A713,-1,0),0)),MAX($M$15:OFFSET(M713,-1,0))+1,INDEX($M$15:OFFSET(M713,-1,0),MATCH($A713,$A$15:OFFSET($A713,-1,0),0)))))</f>
        <v>25</v>
      </c>
      <c r="N713" s="177" t="str">
        <f ca="1">IF($D713&lt;&gt;"Serviço","",IF(AUTOEVENTO="Manual",IF($A713=0,"&lt;-- defina o número do agrupador",OFFSET(EVENTOS!$D$14,$A713,0)),OFFSET($F$15,$A713,0)))</f>
        <v>FECHAMENTO - MURO</v>
      </c>
      <c r="O713" s="178"/>
      <c r="Q713" s="178"/>
      <c r="R713" s="179"/>
      <c r="S713" s="179"/>
      <c r="T713" s="179"/>
      <c r="U713" s="179"/>
      <c r="V713" s="179"/>
      <c r="W713" s="179"/>
      <c r="X713" s="179"/>
      <c r="Y713" s="179"/>
      <c r="Z713" s="180"/>
      <c r="AB713" s="544">
        <f ca="1">IF(AND($D713="Serviço",AB$12&lt;&gt;0,$H713&gt;0,OR(AUTOEVENTO&lt;&gt;"manual",$M713&lt;&gt;1)),
IF(Import.TipoArredondamento&lt;&gt;"TransfereGOV",
ROUND(OFFSET($P713,0,AB$13),15-13*ORÇAMENTO!$AF$7)/$H713*OFFSET(ORÇAMENTO!$X$15,ROW(AB713)-ROW(AB$15),0),
ROUND(ROUND(OFFSET($P713,0,AB$13),15-13*ORÇAMENTO!$AF$7)*OFFSET(ORÇAMENTO!$W$15,ROW(AB713)-ROW(AB$15),0),15-13*ORÇAMENTO!$AF$11)),0)</f>
        <v>0</v>
      </c>
      <c r="AC713" s="545">
        <f ca="1">IF(AND($D713="Serviço",AC$12&lt;&gt;0,$H713&gt;0,OR(AUTOEVENTO&lt;&gt;"manual",$M713&lt;&gt;1)),
IF(Import.TipoArredondamento&lt;&gt;"TransfereGOV",
ROUND(OFFSET($P713,0,AC$13),15-13*ORÇAMENTO!$AF$7)/$H713*OFFSET(ORÇAMENTO!$X$15,ROW(AC713)-ROW(AC$15),0),
ROUND(ROUND(OFFSET($P713,0,AC$13),15-13*ORÇAMENTO!$AF$7)*OFFSET(ORÇAMENTO!$W$15,ROW(AC713)-ROW(AC$15),0),15-13*ORÇAMENTO!$AF$11)),0)</f>
        <v>0</v>
      </c>
      <c r="AD713" s="545">
        <f ca="1">IF(AND($D713="Serviço",AD$12&lt;&gt;0,$H713&gt;0,OR(AUTOEVENTO&lt;&gt;"manual",$M713&lt;&gt;1)),
IF(Import.TipoArredondamento&lt;&gt;"TransfereGOV",
ROUND(OFFSET($P713,0,AD$13),15-13*ORÇAMENTO!$AF$7)/$H713*OFFSET(ORÇAMENTO!$X$15,ROW(AD713)-ROW(AD$15),0),
ROUND(ROUND(OFFSET($P713,0,AD$13),15-13*ORÇAMENTO!$AF$7)*OFFSET(ORÇAMENTO!$W$15,ROW(AD713)-ROW(AD$15),0),15-13*ORÇAMENTO!$AF$11)),0)</f>
        <v>0</v>
      </c>
      <c r="AE713" s="545">
        <f ca="1">IF(AND($D713="Serviço",AE$12&lt;&gt;0,$H713&gt;0,OR(AUTOEVENTO&lt;&gt;"manual",$M713&lt;&gt;1)),
IF(Import.TipoArredondamento&lt;&gt;"TransfereGOV",
ROUND(OFFSET($P713,0,AE$13),15-13*ORÇAMENTO!$AF$7)/$H713*OFFSET(ORÇAMENTO!$X$15,ROW(AE713)-ROW(AE$15),0),
ROUND(ROUND(OFFSET($P713,0,AE$13),15-13*ORÇAMENTO!$AF$7)*OFFSET(ORÇAMENTO!$W$15,ROW(AE713)-ROW(AE$15),0),15-13*ORÇAMENTO!$AF$11)),0)</f>
        <v>0</v>
      </c>
      <c r="AF713" s="545">
        <f ca="1">IF(AND($D713="Serviço",AF$12&lt;&gt;0,$H713&gt;0,OR(AUTOEVENTO&lt;&gt;"manual",$M713&lt;&gt;1)),
IF(Import.TipoArredondamento&lt;&gt;"TransfereGOV",
ROUND(OFFSET($P713,0,AF$13),15-13*ORÇAMENTO!$AF$7)/$H713*OFFSET(ORÇAMENTO!$X$15,ROW(AF713)-ROW(AF$15),0),
ROUND(ROUND(OFFSET($P713,0,AF$13),15-13*ORÇAMENTO!$AF$7)*OFFSET(ORÇAMENTO!$W$15,ROW(AF713)-ROW(AF$15),0),15-13*ORÇAMENTO!$AF$11)),0)</f>
        <v>0</v>
      </c>
      <c r="AG713" s="545">
        <f ca="1">IF(AND($D713="Serviço",AG$12&lt;&gt;0,$H713&gt;0,OR(AUTOEVENTO&lt;&gt;"manual",$M713&lt;&gt;1)),
IF(Import.TipoArredondamento&lt;&gt;"TransfereGOV",
ROUND(OFFSET($P713,0,AG$13),15-13*ORÇAMENTO!$AF$7)/$H713*OFFSET(ORÇAMENTO!$X$15,ROW(AG713)-ROW(AG$15),0),
ROUND(ROUND(OFFSET($P713,0,AG$13),15-13*ORÇAMENTO!$AF$7)*OFFSET(ORÇAMENTO!$W$15,ROW(AG713)-ROW(AG$15),0),15-13*ORÇAMENTO!$AF$11)),0)</f>
        <v>0</v>
      </c>
      <c r="AH713" s="545">
        <f ca="1">IF(AND($D713="Serviço",AH$12&lt;&gt;0,$H713&gt;0,OR(AUTOEVENTO&lt;&gt;"manual",$M713&lt;&gt;1)),
IF(Import.TipoArredondamento&lt;&gt;"TransfereGOV",
ROUND(OFFSET($P713,0,AH$13),15-13*ORÇAMENTO!$AF$7)/$H713*OFFSET(ORÇAMENTO!$X$15,ROW(AH713)-ROW(AH$15),0),
ROUND(ROUND(OFFSET($P713,0,AH$13),15-13*ORÇAMENTO!$AF$7)*OFFSET(ORÇAMENTO!$W$15,ROW(AH713)-ROW(AH$15),0),15-13*ORÇAMENTO!$AF$11)),0)</f>
        <v>0</v>
      </c>
      <c r="AI713" s="545">
        <f ca="1">IF(AND($D713="Serviço",AI$12&lt;&gt;0,$H713&gt;0,OR(AUTOEVENTO&lt;&gt;"manual",$M713&lt;&gt;1)),
IF(Import.TipoArredondamento&lt;&gt;"TransfereGOV",
ROUND(OFFSET($P713,0,AI$13),15-13*ORÇAMENTO!$AF$7)/$H713*OFFSET(ORÇAMENTO!$X$15,ROW(AI713)-ROW(AI$15),0),
ROUND(ROUND(OFFSET($P713,0,AI$13),15-13*ORÇAMENTO!$AF$7)*OFFSET(ORÇAMENTO!$W$15,ROW(AI713)-ROW(AI$15),0),15-13*ORÇAMENTO!$AF$11)),0)</f>
        <v>0</v>
      </c>
      <c r="AJ713" s="545">
        <f ca="1">IF(AND($D713="Serviço",AJ$12&lt;&gt;0,$H713&gt;0,OR(AUTOEVENTO&lt;&gt;"manual",$M713&lt;&gt;1)),
IF(Import.TipoArredondamento&lt;&gt;"TransfereGOV",
ROUND(OFFSET($P713,0,AJ$13),15-13*ORÇAMENTO!$AF$7)/$H713*OFFSET(ORÇAMENTO!$X$15,ROW(AJ713)-ROW(AJ$15),0),
ROUND(ROUND(OFFSET($P713,0,AJ$13),15-13*ORÇAMENTO!$AF$7)*OFFSET(ORÇAMENTO!$W$15,ROW(AJ713)-ROW(AJ$15),0),15-13*ORÇAMENTO!$AF$11)),0)</f>
        <v>0</v>
      </c>
      <c r="AK713" s="546">
        <f ca="1">IF(AND($D713="Serviço",AK$12&lt;&gt;0,$H713&gt;0,OR(AUTOEVENTO&lt;&gt;"manual",$M713&lt;&gt;1)),
IF(Import.TipoArredondamento&lt;&gt;"TransfereGOV",
ROUND(OFFSET($P713,0,AK$13),15-13*ORÇAMENTO!$AF$7)/$H713*OFFSET(ORÇAMENTO!$X$15,ROW(AK713)-ROW(AK$15),0),
ROUND(ROUND(OFFSET($P713,0,AK$13),15-13*ORÇAMENTO!$AF$7)*OFFSET(ORÇAMENTO!$W$15,ROW(AK713)-ROW(AK$15),0),15-13*ORÇAMENTO!$AF$11)),0)</f>
        <v>0</v>
      </c>
      <c r="AM713" s="181">
        <f ca="1">IF($D713&lt;&gt;"Serviço",0,IF(AND(AUTOEVENTO="Manual",$M713=1),0,IF(OFFSET(CRONOPLE!$F$14,$M713,AM$13)="",10^12,OFFSET(CRONOPLE!$F$14,$M713,AM$13))))</f>
        <v>1000000000000</v>
      </c>
      <c r="AN713" s="181">
        <f ca="1">IF($D713&lt;&gt;"Serviço",0,IF(AND(AUTOEVENTO="Manual",$M713=1),0,IF(OFFSET(CRONOPLE!$F$14,$M713,AN$13)="",10^12,OFFSET(CRONOPLE!$F$14,$M713,AN$13))))</f>
        <v>1000000000000</v>
      </c>
      <c r="AO713" s="181">
        <f ca="1">IF($D713&lt;&gt;"Serviço",0,IF(AND(AUTOEVENTO="Manual",$M713=1),0,IF(OFFSET(CRONOPLE!$F$14,$M713,AO$13)="",10^12,OFFSET(CRONOPLE!$F$14,$M713,AO$13))))</f>
        <v>1000000000000</v>
      </c>
      <c r="AP713" s="181">
        <f ca="1">IF($D713&lt;&gt;"Serviço",0,IF(AND(AUTOEVENTO="Manual",$M713=1),0,IF(OFFSET(CRONOPLE!$F$14,$M713,AP$13)="",10^12,OFFSET(CRONOPLE!$F$14,$M713,AP$13))))</f>
        <v>1000000000000</v>
      </c>
      <c r="AQ713" s="181">
        <f ca="1">IF($D713&lt;&gt;"Serviço",0,IF(AND(AUTOEVENTO="Manual",$M713=1),0,IF(OFFSET(CRONOPLE!$F$14,$M713,AQ$13)="",10^12,OFFSET(CRONOPLE!$F$14,$M713,AQ$13))))</f>
        <v>1000000000000</v>
      </c>
      <c r="AR713" s="181">
        <f ca="1">IF($D713&lt;&gt;"Serviço",0,IF(AND(AUTOEVENTO="Manual",$M713=1),0,IF(OFFSET(CRONOPLE!$F$14,$M713,AR$13)="",10^12,OFFSET(CRONOPLE!$F$14,$M713,AR$13))))</f>
        <v>1000000000000</v>
      </c>
      <c r="AS713" s="181">
        <f ca="1">IF($D713&lt;&gt;"Serviço",0,IF(AND(AUTOEVENTO="Manual",$M713=1),0,IF(OFFSET(CRONOPLE!$F$14,$M713,AS$13)="",10^12,OFFSET(CRONOPLE!$F$14,$M713,AS$13))))</f>
        <v>1000000000000</v>
      </c>
      <c r="AT713" s="181">
        <f ca="1">IF($D713&lt;&gt;"Serviço",0,IF(AND(AUTOEVENTO="Manual",$M713=1),0,IF(OFFSET(CRONOPLE!$F$14,$M713,AT$13)="",10^12,OFFSET(CRONOPLE!$F$14,$M713,AT$13))))</f>
        <v>1000000000000</v>
      </c>
      <c r="AU713" s="181">
        <f ca="1">IF($D713&lt;&gt;"Serviço",0,IF(AND(AUTOEVENTO="Manual",$M713=1),0,IF(OFFSET(CRONOPLE!$F$14,$M713,AU$13)="",10^12,OFFSET(CRONOPLE!$F$14,$M713,AU$13))))</f>
        <v>1000000000000</v>
      </c>
      <c r="AV713" s="181">
        <f ca="1">IF($D713&lt;&gt;"Serviço",0,IF(AND(AUTOEVENTO="Manual",$M713=1),0,IF(OFFSET(CRONOPLE!$F$14,$M713,AV$13)="",10^12,OFFSET(CRONOPLE!$F$14,$M713,AV$13))))</f>
        <v>1000000000000</v>
      </c>
      <c r="AX713" s="182">
        <f ca="1">IF($D713&lt;&gt;"Serviço",0,IF(OR(AND(AUTOEVENTO="Manual",$M713=1),$M713&gt;(ROW(PLE.lastrow)-ROW(PLE.firstrow))),0,IF(OFFSET(PLE!$G$14,$M713,AX$13)="",10^12,OFFSET(PLE!$G$14,$M713,AX$13))))</f>
        <v>1000000000000</v>
      </c>
      <c r="AY713" s="182">
        <f ca="1">IF($D713&lt;&gt;"Serviço",0,IF(OR(AND(AUTOEVENTO="Manual",$M713=1),$M713&gt;(ROW(PLE.lastrow)-ROW(PLE.firstrow))),0,IF(OFFSET(PLE!$G$14,$M713,AY$13)="",10^12,OFFSET(PLE!$G$14,$M713,AY$13))))</f>
        <v>1000000000000</v>
      </c>
      <c r="AZ713" s="182">
        <f ca="1">IF($D713&lt;&gt;"Serviço",0,IF(OR(AND(AUTOEVENTO="Manual",$M713=1),$M713&gt;(ROW(PLE.lastrow)-ROW(PLE.firstrow))),0,IF(OFFSET(PLE!$G$14,$M713,AZ$13)="",10^12,OFFSET(PLE!$G$14,$M713,AZ$13))))</f>
        <v>1000000000000</v>
      </c>
      <c r="BA713" s="182">
        <f ca="1">IF($D713&lt;&gt;"Serviço",0,IF(OR(AND(AUTOEVENTO="Manual",$M713=1),$M713&gt;(ROW(PLE.lastrow)-ROW(PLE.firstrow))),0,IF(OFFSET(PLE!$G$14,$M713,BA$13)="",10^12,OFFSET(PLE!$G$14,$M713,BA$13))))</f>
        <v>1000000000000</v>
      </c>
      <c r="BB713" s="182">
        <f ca="1">IF($D713&lt;&gt;"Serviço",0,IF(OR(AND(AUTOEVENTO="Manual",$M713=1),$M713&gt;(ROW(PLE.lastrow)-ROW(PLE.firstrow))),0,IF(OFFSET(PLE!$G$14,$M713,BB$13)="",10^12,OFFSET(PLE!$G$14,$M713,BB$13))))</f>
        <v>1000000000000</v>
      </c>
      <c r="BC713" s="182">
        <f ca="1">IF($D713&lt;&gt;"Serviço",0,IF(OR(AND(AUTOEVENTO="Manual",$M713=1),$M713&gt;(ROW(PLE.lastrow)-ROW(PLE.firstrow))),0,IF(OFFSET(PLE!$G$14,$M713,BC$13)="",10^12,OFFSET(PLE!$G$14,$M713,BC$13))))</f>
        <v>1000000000000</v>
      </c>
      <c r="BD713" s="182">
        <f ca="1">IF($D713&lt;&gt;"Serviço",0,IF(OR(AND(AUTOEVENTO="Manual",$M713=1),$M713&gt;(ROW(PLE.lastrow)-ROW(PLE.firstrow))),0,IF(OFFSET(PLE!$G$14,$M713,BD$13)="",10^12,OFFSET(PLE!$G$14,$M713,BD$13))))</f>
        <v>1000000000000</v>
      </c>
      <c r="BE713" s="182">
        <f ca="1">IF($D713&lt;&gt;"Serviço",0,IF(OR(AND(AUTOEVENTO="Manual",$M713=1),$M713&gt;(ROW(PLE.lastrow)-ROW(PLE.firstrow))),0,IF(OFFSET(PLE!$G$14,$M713,BE$13)="",10^12,OFFSET(PLE!$G$14,$M713,BE$13))))</f>
        <v>1000000000000</v>
      </c>
      <c r="BF713" s="182">
        <f ca="1">IF($D713&lt;&gt;"Serviço",0,IF(OR(AND(AUTOEVENTO="Manual",$M713=1),$M713&gt;(ROW(PLE.lastrow)-ROW(PLE.firstrow))),0,IF(OFFSET(PLE!$G$14,$M713,BF$13)="",10^12,OFFSET(PLE!$G$14,$M713,BF$13))))</f>
        <v>1000000000000</v>
      </c>
      <c r="BG713" s="182">
        <f ca="1">IF($D713&lt;&gt;"Serviço",0,IF(OR(AND(AUTOEVENTO="Manual",$M713=1),$M713&gt;(ROW(PLE.lastrow)-ROW(PLE.firstrow))),0,IF(OFFSET(PLE!$G$14,$M713,BG$13)="",10^12,OFFSET(PLE!$G$14,$M713,BG$13))))</f>
        <v>1000000000000</v>
      </c>
    </row>
    <row r="714" spans="1:59" ht="25.5" x14ac:dyDescent="0.2">
      <c r="A714" s="7" t="str">
        <f t="shared" ca="1" si="17"/>
        <v>679</v>
      </c>
      <c r="B714" s="7" t="str">
        <f ca="1">OFFSET(ORÇAMENTO!C$15,ROW(B714)-ROW(B$15),0)</f>
        <v>S</v>
      </c>
      <c r="C714" s="7" t="str">
        <f ca="1">OFFSET(ORÇAMENTO!L$15,ROW(C714)-ROW(C$15),0)</f>
        <v/>
      </c>
      <c r="D714" s="118" t="str">
        <f ca="1">OFFSET(ORÇAMENTO!N$15,ROW(D714)-ROW(D$15),0)</f>
        <v>Serviço</v>
      </c>
      <c r="E714" s="119" t="str">
        <f ca="1">OFFSET(ORÇAMENTO!O$15,ROW(E714)-ROW(E$15),0)</f>
        <v>-</v>
      </c>
      <c r="F714" s="172" t="str">
        <f ca="1">OFFSET(ORÇAMENTO!R$15,ROW(F714)-ROW(F$15),0)</f>
        <v>(abra o arquivo 'Referência 02-2025.xlsm)</v>
      </c>
      <c r="G714" s="173" t="str">
        <f ca="1">IF($D714&lt;&gt;"Serviço","",OFFSET(ORÇAMENTO!S$15,ROW(G714)-ROW(G$15),0))</f>
        <v>-</v>
      </c>
      <c r="H714" s="124">
        <f ca="1">IF($D714&lt;&gt;"Serviço",0,IF(ACOMPANHAMENTO="BM",ROUND(OFFSET(ORÇAMENTO!AJ$15,ROW(H714)-ROW(H$15),0),15-13*ORÇAMENTO!$AF$7),SUMPRODUCT(($Q$12:$AA$12&lt;&gt;"")*ROUND($Q714:$AA714,15-13*ORÇAMENTO!$AF$7))))</f>
        <v>199.64</v>
      </c>
      <c r="I714" s="561" t="s">
        <v>890</v>
      </c>
      <c r="K714" s="174"/>
      <c r="L714" s="175" t="s">
        <v>255</v>
      </c>
      <c r="M714" s="176">
        <f ca="1">IF($D714&lt;&gt;"Serviço","",IF(AUTOEVENTO="manual",$A714,IF(ISERROR(MATCH($A714,$A$15:OFFSET($A714,-1,0),0)),MAX($M$15:OFFSET(M714,-1,0))+1,INDEX($M$15:OFFSET(M714,-1,0),MATCH($A714,$A$15:OFFSET($A714,-1,0),0)))))</f>
        <v>25</v>
      </c>
      <c r="N714" s="177" t="str">
        <f ca="1">IF($D714&lt;&gt;"Serviço","",IF(AUTOEVENTO="Manual",IF($A714=0,"&lt;-- defina o número do agrupador",OFFSET(EVENTOS!$D$14,$A714,0)),OFFSET($F$15,$A714,0)))</f>
        <v>FECHAMENTO - MURO</v>
      </c>
      <c r="O714" s="178"/>
      <c r="Q714" s="178"/>
      <c r="R714" s="179"/>
      <c r="S714" s="179"/>
      <c r="T714" s="179"/>
      <c r="U714" s="179"/>
      <c r="V714" s="179"/>
      <c r="W714" s="179"/>
      <c r="X714" s="179"/>
      <c r="Y714" s="179"/>
      <c r="Z714" s="180"/>
      <c r="AB714" s="544">
        <f ca="1">IF(AND($D714="Serviço",AB$12&lt;&gt;0,$H714&gt;0,OR(AUTOEVENTO&lt;&gt;"manual",$M714&lt;&gt;1)),
IF(Import.TipoArredondamento&lt;&gt;"TransfereGOV",
ROUND(OFFSET($P714,0,AB$13),15-13*ORÇAMENTO!$AF$7)/$H714*OFFSET(ORÇAMENTO!$X$15,ROW(AB714)-ROW(AB$15),0),
ROUND(ROUND(OFFSET($P714,0,AB$13),15-13*ORÇAMENTO!$AF$7)*OFFSET(ORÇAMENTO!$W$15,ROW(AB714)-ROW(AB$15),0),15-13*ORÇAMENTO!$AF$11)),0)</f>
        <v>0</v>
      </c>
      <c r="AC714" s="545">
        <f ca="1">IF(AND($D714="Serviço",AC$12&lt;&gt;0,$H714&gt;0,OR(AUTOEVENTO&lt;&gt;"manual",$M714&lt;&gt;1)),
IF(Import.TipoArredondamento&lt;&gt;"TransfereGOV",
ROUND(OFFSET($P714,0,AC$13),15-13*ORÇAMENTO!$AF$7)/$H714*OFFSET(ORÇAMENTO!$X$15,ROW(AC714)-ROW(AC$15),0),
ROUND(ROUND(OFFSET($P714,0,AC$13),15-13*ORÇAMENTO!$AF$7)*OFFSET(ORÇAMENTO!$W$15,ROW(AC714)-ROW(AC$15),0),15-13*ORÇAMENTO!$AF$11)),0)</f>
        <v>0</v>
      </c>
      <c r="AD714" s="545">
        <f ca="1">IF(AND($D714="Serviço",AD$12&lt;&gt;0,$H714&gt;0,OR(AUTOEVENTO&lt;&gt;"manual",$M714&lt;&gt;1)),
IF(Import.TipoArredondamento&lt;&gt;"TransfereGOV",
ROUND(OFFSET($P714,0,AD$13),15-13*ORÇAMENTO!$AF$7)/$H714*OFFSET(ORÇAMENTO!$X$15,ROW(AD714)-ROW(AD$15),0),
ROUND(ROUND(OFFSET($P714,0,AD$13),15-13*ORÇAMENTO!$AF$7)*OFFSET(ORÇAMENTO!$W$15,ROW(AD714)-ROW(AD$15),0),15-13*ORÇAMENTO!$AF$11)),0)</f>
        <v>0</v>
      </c>
      <c r="AE714" s="545">
        <f ca="1">IF(AND($D714="Serviço",AE$12&lt;&gt;0,$H714&gt;0,OR(AUTOEVENTO&lt;&gt;"manual",$M714&lt;&gt;1)),
IF(Import.TipoArredondamento&lt;&gt;"TransfereGOV",
ROUND(OFFSET($P714,0,AE$13),15-13*ORÇAMENTO!$AF$7)/$H714*OFFSET(ORÇAMENTO!$X$15,ROW(AE714)-ROW(AE$15),0),
ROUND(ROUND(OFFSET($P714,0,AE$13),15-13*ORÇAMENTO!$AF$7)*OFFSET(ORÇAMENTO!$W$15,ROW(AE714)-ROW(AE$15),0),15-13*ORÇAMENTO!$AF$11)),0)</f>
        <v>0</v>
      </c>
      <c r="AF714" s="545">
        <f ca="1">IF(AND($D714="Serviço",AF$12&lt;&gt;0,$H714&gt;0,OR(AUTOEVENTO&lt;&gt;"manual",$M714&lt;&gt;1)),
IF(Import.TipoArredondamento&lt;&gt;"TransfereGOV",
ROUND(OFFSET($P714,0,AF$13),15-13*ORÇAMENTO!$AF$7)/$H714*OFFSET(ORÇAMENTO!$X$15,ROW(AF714)-ROW(AF$15),0),
ROUND(ROUND(OFFSET($P714,0,AF$13),15-13*ORÇAMENTO!$AF$7)*OFFSET(ORÇAMENTO!$W$15,ROW(AF714)-ROW(AF$15),0),15-13*ORÇAMENTO!$AF$11)),0)</f>
        <v>0</v>
      </c>
      <c r="AG714" s="545">
        <f ca="1">IF(AND($D714="Serviço",AG$12&lt;&gt;0,$H714&gt;0,OR(AUTOEVENTO&lt;&gt;"manual",$M714&lt;&gt;1)),
IF(Import.TipoArredondamento&lt;&gt;"TransfereGOV",
ROUND(OFFSET($P714,0,AG$13),15-13*ORÇAMENTO!$AF$7)/$H714*OFFSET(ORÇAMENTO!$X$15,ROW(AG714)-ROW(AG$15),0),
ROUND(ROUND(OFFSET($P714,0,AG$13),15-13*ORÇAMENTO!$AF$7)*OFFSET(ORÇAMENTO!$W$15,ROW(AG714)-ROW(AG$15),0),15-13*ORÇAMENTO!$AF$11)),0)</f>
        <v>0</v>
      </c>
      <c r="AH714" s="545">
        <f ca="1">IF(AND($D714="Serviço",AH$12&lt;&gt;0,$H714&gt;0,OR(AUTOEVENTO&lt;&gt;"manual",$M714&lt;&gt;1)),
IF(Import.TipoArredondamento&lt;&gt;"TransfereGOV",
ROUND(OFFSET($P714,0,AH$13),15-13*ORÇAMENTO!$AF$7)/$H714*OFFSET(ORÇAMENTO!$X$15,ROW(AH714)-ROW(AH$15),0),
ROUND(ROUND(OFFSET($P714,0,AH$13),15-13*ORÇAMENTO!$AF$7)*OFFSET(ORÇAMENTO!$W$15,ROW(AH714)-ROW(AH$15),0),15-13*ORÇAMENTO!$AF$11)),0)</f>
        <v>0</v>
      </c>
      <c r="AI714" s="545">
        <f ca="1">IF(AND($D714="Serviço",AI$12&lt;&gt;0,$H714&gt;0,OR(AUTOEVENTO&lt;&gt;"manual",$M714&lt;&gt;1)),
IF(Import.TipoArredondamento&lt;&gt;"TransfereGOV",
ROUND(OFFSET($P714,0,AI$13),15-13*ORÇAMENTO!$AF$7)/$H714*OFFSET(ORÇAMENTO!$X$15,ROW(AI714)-ROW(AI$15),0),
ROUND(ROUND(OFFSET($P714,0,AI$13),15-13*ORÇAMENTO!$AF$7)*OFFSET(ORÇAMENTO!$W$15,ROW(AI714)-ROW(AI$15),0),15-13*ORÇAMENTO!$AF$11)),0)</f>
        <v>0</v>
      </c>
      <c r="AJ714" s="545">
        <f ca="1">IF(AND($D714="Serviço",AJ$12&lt;&gt;0,$H714&gt;0,OR(AUTOEVENTO&lt;&gt;"manual",$M714&lt;&gt;1)),
IF(Import.TipoArredondamento&lt;&gt;"TransfereGOV",
ROUND(OFFSET($P714,0,AJ$13),15-13*ORÇAMENTO!$AF$7)/$H714*OFFSET(ORÇAMENTO!$X$15,ROW(AJ714)-ROW(AJ$15),0),
ROUND(ROUND(OFFSET($P714,0,AJ$13),15-13*ORÇAMENTO!$AF$7)*OFFSET(ORÇAMENTO!$W$15,ROW(AJ714)-ROW(AJ$15),0),15-13*ORÇAMENTO!$AF$11)),0)</f>
        <v>0</v>
      </c>
      <c r="AK714" s="546">
        <f ca="1">IF(AND($D714="Serviço",AK$12&lt;&gt;0,$H714&gt;0,OR(AUTOEVENTO&lt;&gt;"manual",$M714&lt;&gt;1)),
IF(Import.TipoArredondamento&lt;&gt;"TransfereGOV",
ROUND(OFFSET($P714,0,AK$13),15-13*ORÇAMENTO!$AF$7)/$H714*OFFSET(ORÇAMENTO!$X$15,ROW(AK714)-ROW(AK$15),0),
ROUND(ROUND(OFFSET($P714,0,AK$13),15-13*ORÇAMENTO!$AF$7)*OFFSET(ORÇAMENTO!$W$15,ROW(AK714)-ROW(AK$15),0),15-13*ORÇAMENTO!$AF$11)),0)</f>
        <v>0</v>
      </c>
      <c r="AM714" s="181">
        <f ca="1">IF($D714&lt;&gt;"Serviço",0,IF(AND(AUTOEVENTO="Manual",$M714=1),0,IF(OFFSET(CRONOPLE!$F$14,$M714,AM$13)="",10^12,OFFSET(CRONOPLE!$F$14,$M714,AM$13))))</f>
        <v>1000000000000</v>
      </c>
      <c r="AN714" s="181">
        <f ca="1">IF($D714&lt;&gt;"Serviço",0,IF(AND(AUTOEVENTO="Manual",$M714=1),0,IF(OFFSET(CRONOPLE!$F$14,$M714,AN$13)="",10^12,OFFSET(CRONOPLE!$F$14,$M714,AN$13))))</f>
        <v>1000000000000</v>
      </c>
      <c r="AO714" s="181">
        <f ca="1">IF($D714&lt;&gt;"Serviço",0,IF(AND(AUTOEVENTO="Manual",$M714=1),0,IF(OFFSET(CRONOPLE!$F$14,$M714,AO$13)="",10^12,OFFSET(CRONOPLE!$F$14,$M714,AO$13))))</f>
        <v>1000000000000</v>
      </c>
      <c r="AP714" s="181">
        <f ca="1">IF($D714&lt;&gt;"Serviço",0,IF(AND(AUTOEVENTO="Manual",$M714=1),0,IF(OFFSET(CRONOPLE!$F$14,$M714,AP$13)="",10^12,OFFSET(CRONOPLE!$F$14,$M714,AP$13))))</f>
        <v>1000000000000</v>
      </c>
      <c r="AQ714" s="181">
        <f ca="1">IF($D714&lt;&gt;"Serviço",0,IF(AND(AUTOEVENTO="Manual",$M714=1),0,IF(OFFSET(CRONOPLE!$F$14,$M714,AQ$13)="",10^12,OFFSET(CRONOPLE!$F$14,$M714,AQ$13))))</f>
        <v>1000000000000</v>
      </c>
      <c r="AR714" s="181">
        <f ca="1">IF($D714&lt;&gt;"Serviço",0,IF(AND(AUTOEVENTO="Manual",$M714=1),0,IF(OFFSET(CRONOPLE!$F$14,$M714,AR$13)="",10^12,OFFSET(CRONOPLE!$F$14,$M714,AR$13))))</f>
        <v>1000000000000</v>
      </c>
      <c r="AS714" s="181">
        <f ca="1">IF($D714&lt;&gt;"Serviço",0,IF(AND(AUTOEVENTO="Manual",$M714=1),0,IF(OFFSET(CRONOPLE!$F$14,$M714,AS$13)="",10^12,OFFSET(CRONOPLE!$F$14,$M714,AS$13))))</f>
        <v>1000000000000</v>
      </c>
      <c r="AT714" s="181">
        <f ca="1">IF($D714&lt;&gt;"Serviço",0,IF(AND(AUTOEVENTO="Manual",$M714=1),0,IF(OFFSET(CRONOPLE!$F$14,$M714,AT$13)="",10^12,OFFSET(CRONOPLE!$F$14,$M714,AT$13))))</f>
        <v>1000000000000</v>
      </c>
      <c r="AU714" s="181">
        <f ca="1">IF($D714&lt;&gt;"Serviço",0,IF(AND(AUTOEVENTO="Manual",$M714=1),0,IF(OFFSET(CRONOPLE!$F$14,$M714,AU$13)="",10^12,OFFSET(CRONOPLE!$F$14,$M714,AU$13))))</f>
        <v>1000000000000</v>
      </c>
      <c r="AV714" s="181">
        <f ca="1">IF($D714&lt;&gt;"Serviço",0,IF(AND(AUTOEVENTO="Manual",$M714=1),0,IF(OFFSET(CRONOPLE!$F$14,$M714,AV$13)="",10^12,OFFSET(CRONOPLE!$F$14,$M714,AV$13))))</f>
        <v>1000000000000</v>
      </c>
      <c r="AX714" s="182">
        <f ca="1">IF($D714&lt;&gt;"Serviço",0,IF(OR(AND(AUTOEVENTO="Manual",$M714=1),$M714&gt;(ROW(PLE.lastrow)-ROW(PLE.firstrow))),0,IF(OFFSET(PLE!$G$14,$M714,AX$13)="",10^12,OFFSET(PLE!$G$14,$M714,AX$13))))</f>
        <v>1000000000000</v>
      </c>
      <c r="AY714" s="182">
        <f ca="1">IF($D714&lt;&gt;"Serviço",0,IF(OR(AND(AUTOEVENTO="Manual",$M714=1),$M714&gt;(ROW(PLE.lastrow)-ROW(PLE.firstrow))),0,IF(OFFSET(PLE!$G$14,$M714,AY$13)="",10^12,OFFSET(PLE!$G$14,$M714,AY$13))))</f>
        <v>1000000000000</v>
      </c>
      <c r="AZ714" s="182">
        <f ca="1">IF($D714&lt;&gt;"Serviço",0,IF(OR(AND(AUTOEVENTO="Manual",$M714=1),$M714&gt;(ROW(PLE.lastrow)-ROW(PLE.firstrow))),0,IF(OFFSET(PLE!$G$14,$M714,AZ$13)="",10^12,OFFSET(PLE!$G$14,$M714,AZ$13))))</f>
        <v>1000000000000</v>
      </c>
      <c r="BA714" s="182">
        <f ca="1">IF($D714&lt;&gt;"Serviço",0,IF(OR(AND(AUTOEVENTO="Manual",$M714=1),$M714&gt;(ROW(PLE.lastrow)-ROW(PLE.firstrow))),0,IF(OFFSET(PLE!$G$14,$M714,BA$13)="",10^12,OFFSET(PLE!$G$14,$M714,BA$13))))</f>
        <v>1000000000000</v>
      </c>
      <c r="BB714" s="182">
        <f ca="1">IF($D714&lt;&gt;"Serviço",0,IF(OR(AND(AUTOEVENTO="Manual",$M714=1),$M714&gt;(ROW(PLE.lastrow)-ROW(PLE.firstrow))),0,IF(OFFSET(PLE!$G$14,$M714,BB$13)="",10^12,OFFSET(PLE!$G$14,$M714,BB$13))))</f>
        <v>1000000000000</v>
      </c>
      <c r="BC714" s="182">
        <f ca="1">IF($D714&lt;&gt;"Serviço",0,IF(OR(AND(AUTOEVENTO="Manual",$M714=1),$M714&gt;(ROW(PLE.lastrow)-ROW(PLE.firstrow))),0,IF(OFFSET(PLE!$G$14,$M714,BC$13)="",10^12,OFFSET(PLE!$G$14,$M714,BC$13))))</f>
        <v>1000000000000</v>
      </c>
      <c r="BD714" s="182">
        <f ca="1">IF($D714&lt;&gt;"Serviço",0,IF(OR(AND(AUTOEVENTO="Manual",$M714=1),$M714&gt;(ROW(PLE.lastrow)-ROW(PLE.firstrow))),0,IF(OFFSET(PLE!$G$14,$M714,BD$13)="",10^12,OFFSET(PLE!$G$14,$M714,BD$13))))</f>
        <v>1000000000000</v>
      </c>
      <c r="BE714" s="182">
        <f ca="1">IF($D714&lt;&gt;"Serviço",0,IF(OR(AND(AUTOEVENTO="Manual",$M714=1),$M714&gt;(ROW(PLE.lastrow)-ROW(PLE.firstrow))),0,IF(OFFSET(PLE!$G$14,$M714,BE$13)="",10^12,OFFSET(PLE!$G$14,$M714,BE$13))))</f>
        <v>1000000000000</v>
      </c>
      <c r="BF714" s="182">
        <f ca="1">IF($D714&lt;&gt;"Serviço",0,IF(OR(AND(AUTOEVENTO="Manual",$M714=1),$M714&gt;(ROW(PLE.lastrow)-ROW(PLE.firstrow))),0,IF(OFFSET(PLE!$G$14,$M714,BF$13)="",10^12,OFFSET(PLE!$G$14,$M714,BF$13))))</f>
        <v>1000000000000</v>
      </c>
      <c r="BG714" s="182">
        <f ca="1">IF($D714&lt;&gt;"Serviço",0,IF(OR(AND(AUTOEVENTO="Manual",$M714=1),$M714&gt;(ROW(PLE.lastrow)-ROW(PLE.firstrow))),0,IF(OFFSET(PLE!$G$14,$M714,BG$13)="",10^12,OFFSET(PLE!$G$14,$M714,BG$13))))</f>
        <v>1000000000000</v>
      </c>
    </row>
    <row r="715" spans="1:59" ht="38.25" x14ac:dyDescent="0.2">
      <c r="A715" s="7" t="str">
        <f ca="1">IF(AUTOEVENTO="Manual",IF(K715&lt;&gt;"",MIN(VALUE(LEFT(K715,FIND(".",K715)-1)),COUNTA(EVENTOS.Lista)),0),IF(OR($B715&gt;AUTOEVENTO,$B715="S",$B715=0),SUBSTITUTE(OFFSET($A715,-1,0),IF($D715="Serviço",".",""),""),ROW(A715)-ROW($A$15)&amp;"."))</f>
        <v>679</v>
      </c>
      <c r="B715" s="7" t="str">
        <f ca="1">OFFSET(ORÇAMENTO!C$15,ROW(B715)-ROW(B$15),0)</f>
        <v>S</v>
      </c>
      <c r="C715" s="7" t="str">
        <f ca="1">OFFSET(ORÇAMENTO!L$15,ROW(C715)-ROW(C$15),0)</f>
        <v/>
      </c>
      <c r="D715" s="118" t="str">
        <f ca="1">OFFSET(ORÇAMENTO!N$15,ROW(D715)-ROW(D$15),0)</f>
        <v>Serviço</v>
      </c>
      <c r="E715" s="119" t="str">
        <f ca="1">OFFSET(ORÇAMENTO!O$15,ROW(E715)-ROW(E$15),0)</f>
        <v>-</v>
      </c>
      <c r="F715" s="172" t="str">
        <f ca="1">OFFSET(ORÇAMENTO!R$15,ROW(F715)-ROW(F$15),0)</f>
        <v>(abra o arquivo 'Referência 02-2025.xlsm)</v>
      </c>
      <c r="G715" s="173" t="str">
        <f ca="1">IF($D715&lt;&gt;"Serviço","",OFFSET(ORÇAMENTO!S$15,ROW(G715)-ROW(G$15),0))</f>
        <v>-</v>
      </c>
      <c r="H715" s="124">
        <f ca="1">IF($D715&lt;&gt;"Serviço",0,IF(ACOMPANHAMENTO="BM",ROUND(OFFSET(ORÇAMENTO!AJ$15,ROW(H715)-ROW(H$15),0),15-13*ORÇAMENTO!$AF$7),SUMPRODUCT(($Q$12:$AA$12&lt;&gt;"")*ROUND($Q715:$AA715,15-13*ORÇAMENTO!$AF$7))))</f>
        <v>134.51</v>
      </c>
      <c r="I715" s="561"/>
      <c r="K715" s="174"/>
      <c r="L715" s="175" t="s">
        <v>255</v>
      </c>
      <c r="M715" s="176">
        <f ca="1">IF($D715&lt;&gt;"Serviço","",IF(AUTOEVENTO="manual",$A715,IF(ISERROR(MATCH($A715,$A$15:OFFSET($A715,-1,0),0)),MAX($M$15:OFFSET(M715,-1,0))+1,INDEX($M$15:OFFSET(M715,-1,0),MATCH($A715,$A$15:OFFSET($A715,-1,0),0)))))</f>
        <v>25</v>
      </c>
      <c r="N715" s="177" t="str">
        <f ca="1">IF($D715&lt;&gt;"Serviço","",IF(AUTOEVENTO="Manual",IF($A715=0,"&lt;-- defina o número do agrupador",OFFSET(EVENTOS!$D$14,$A715,0)),OFFSET($F$15,$A715,0)))</f>
        <v>FECHAMENTO - MURO</v>
      </c>
      <c r="O715" s="178"/>
      <c r="Q715" s="178"/>
      <c r="R715" s="179"/>
      <c r="S715" s="179"/>
      <c r="T715" s="179"/>
      <c r="U715" s="179"/>
      <c r="V715" s="179"/>
      <c r="W715" s="179"/>
      <c r="X715" s="179"/>
      <c r="Y715" s="179"/>
      <c r="Z715" s="180"/>
      <c r="AB715" s="544">
        <f ca="1">IF(AND($D715="Serviço",AB$12&lt;&gt;0,$H715&gt;0,OR(AUTOEVENTO&lt;&gt;"manual",$M715&lt;&gt;1)),
IF(Import.TipoArredondamento&lt;&gt;"TransfereGOV",
ROUND(OFFSET($P715,0,AB$13),15-13*ORÇAMENTO!$AF$7)/$H715*OFFSET(ORÇAMENTO!$X$15,ROW(AB715)-ROW(AB$15),0),
ROUND(ROUND(OFFSET($P715,0,AB$13),15-13*ORÇAMENTO!$AF$7)*OFFSET(ORÇAMENTO!$W$15,ROW(AB715)-ROW(AB$15),0),15-13*ORÇAMENTO!$AF$11)),0)</f>
        <v>0</v>
      </c>
      <c r="AC715" s="545">
        <f ca="1">IF(AND($D715="Serviço",AC$12&lt;&gt;0,$H715&gt;0,OR(AUTOEVENTO&lt;&gt;"manual",$M715&lt;&gt;1)),
IF(Import.TipoArredondamento&lt;&gt;"TransfereGOV",
ROUND(OFFSET($P715,0,AC$13),15-13*ORÇAMENTO!$AF$7)/$H715*OFFSET(ORÇAMENTO!$X$15,ROW(AC715)-ROW(AC$15),0),
ROUND(ROUND(OFFSET($P715,0,AC$13),15-13*ORÇAMENTO!$AF$7)*OFFSET(ORÇAMENTO!$W$15,ROW(AC715)-ROW(AC$15),0),15-13*ORÇAMENTO!$AF$11)),0)</f>
        <v>0</v>
      </c>
      <c r="AD715" s="545">
        <f ca="1">IF(AND($D715="Serviço",AD$12&lt;&gt;0,$H715&gt;0,OR(AUTOEVENTO&lt;&gt;"manual",$M715&lt;&gt;1)),
IF(Import.TipoArredondamento&lt;&gt;"TransfereGOV",
ROUND(OFFSET($P715,0,AD$13),15-13*ORÇAMENTO!$AF$7)/$H715*OFFSET(ORÇAMENTO!$X$15,ROW(AD715)-ROW(AD$15),0),
ROUND(ROUND(OFFSET($P715,0,AD$13),15-13*ORÇAMENTO!$AF$7)*OFFSET(ORÇAMENTO!$W$15,ROW(AD715)-ROW(AD$15),0),15-13*ORÇAMENTO!$AF$11)),0)</f>
        <v>0</v>
      </c>
      <c r="AE715" s="545">
        <f ca="1">IF(AND($D715="Serviço",AE$12&lt;&gt;0,$H715&gt;0,OR(AUTOEVENTO&lt;&gt;"manual",$M715&lt;&gt;1)),
IF(Import.TipoArredondamento&lt;&gt;"TransfereGOV",
ROUND(OFFSET($P715,0,AE$13),15-13*ORÇAMENTO!$AF$7)/$H715*OFFSET(ORÇAMENTO!$X$15,ROW(AE715)-ROW(AE$15),0),
ROUND(ROUND(OFFSET($P715,0,AE$13),15-13*ORÇAMENTO!$AF$7)*OFFSET(ORÇAMENTO!$W$15,ROW(AE715)-ROW(AE$15),0),15-13*ORÇAMENTO!$AF$11)),0)</f>
        <v>0</v>
      </c>
      <c r="AF715" s="545">
        <f ca="1">IF(AND($D715="Serviço",AF$12&lt;&gt;0,$H715&gt;0,OR(AUTOEVENTO&lt;&gt;"manual",$M715&lt;&gt;1)),
IF(Import.TipoArredondamento&lt;&gt;"TransfereGOV",
ROUND(OFFSET($P715,0,AF$13),15-13*ORÇAMENTO!$AF$7)/$H715*OFFSET(ORÇAMENTO!$X$15,ROW(AF715)-ROW(AF$15),0),
ROUND(ROUND(OFFSET($P715,0,AF$13),15-13*ORÇAMENTO!$AF$7)*OFFSET(ORÇAMENTO!$W$15,ROW(AF715)-ROW(AF$15),0),15-13*ORÇAMENTO!$AF$11)),0)</f>
        <v>0</v>
      </c>
      <c r="AG715" s="545">
        <f ca="1">IF(AND($D715="Serviço",AG$12&lt;&gt;0,$H715&gt;0,OR(AUTOEVENTO&lt;&gt;"manual",$M715&lt;&gt;1)),
IF(Import.TipoArredondamento&lt;&gt;"TransfereGOV",
ROUND(OFFSET($P715,0,AG$13),15-13*ORÇAMENTO!$AF$7)/$H715*OFFSET(ORÇAMENTO!$X$15,ROW(AG715)-ROW(AG$15),0),
ROUND(ROUND(OFFSET($P715,0,AG$13),15-13*ORÇAMENTO!$AF$7)*OFFSET(ORÇAMENTO!$W$15,ROW(AG715)-ROW(AG$15),0),15-13*ORÇAMENTO!$AF$11)),0)</f>
        <v>0</v>
      </c>
      <c r="AH715" s="545">
        <f ca="1">IF(AND($D715="Serviço",AH$12&lt;&gt;0,$H715&gt;0,OR(AUTOEVENTO&lt;&gt;"manual",$M715&lt;&gt;1)),
IF(Import.TipoArredondamento&lt;&gt;"TransfereGOV",
ROUND(OFFSET($P715,0,AH$13),15-13*ORÇAMENTO!$AF$7)/$H715*OFFSET(ORÇAMENTO!$X$15,ROW(AH715)-ROW(AH$15),0),
ROUND(ROUND(OFFSET($P715,0,AH$13),15-13*ORÇAMENTO!$AF$7)*OFFSET(ORÇAMENTO!$W$15,ROW(AH715)-ROW(AH$15),0),15-13*ORÇAMENTO!$AF$11)),0)</f>
        <v>0</v>
      </c>
      <c r="AI715" s="545">
        <f ca="1">IF(AND($D715="Serviço",AI$12&lt;&gt;0,$H715&gt;0,OR(AUTOEVENTO&lt;&gt;"manual",$M715&lt;&gt;1)),
IF(Import.TipoArredondamento&lt;&gt;"TransfereGOV",
ROUND(OFFSET($P715,0,AI$13),15-13*ORÇAMENTO!$AF$7)/$H715*OFFSET(ORÇAMENTO!$X$15,ROW(AI715)-ROW(AI$15),0),
ROUND(ROUND(OFFSET($P715,0,AI$13),15-13*ORÇAMENTO!$AF$7)*OFFSET(ORÇAMENTO!$W$15,ROW(AI715)-ROW(AI$15),0),15-13*ORÇAMENTO!$AF$11)),0)</f>
        <v>0</v>
      </c>
      <c r="AJ715" s="545">
        <f ca="1">IF(AND($D715="Serviço",AJ$12&lt;&gt;0,$H715&gt;0,OR(AUTOEVENTO&lt;&gt;"manual",$M715&lt;&gt;1)),
IF(Import.TipoArredondamento&lt;&gt;"TransfereGOV",
ROUND(OFFSET($P715,0,AJ$13),15-13*ORÇAMENTO!$AF$7)/$H715*OFFSET(ORÇAMENTO!$X$15,ROW(AJ715)-ROW(AJ$15),0),
ROUND(ROUND(OFFSET($P715,0,AJ$13),15-13*ORÇAMENTO!$AF$7)*OFFSET(ORÇAMENTO!$W$15,ROW(AJ715)-ROW(AJ$15),0),15-13*ORÇAMENTO!$AF$11)),0)</f>
        <v>0</v>
      </c>
      <c r="AK715" s="546">
        <f ca="1">IF(AND($D715="Serviço",AK$12&lt;&gt;0,$H715&gt;0,OR(AUTOEVENTO&lt;&gt;"manual",$M715&lt;&gt;1)),
IF(Import.TipoArredondamento&lt;&gt;"TransfereGOV",
ROUND(OFFSET($P715,0,AK$13),15-13*ORÇAMENTO!$AF$7)/$H715*OFFSET(ORÇAMENTO!$X$15,ROW(AK715)-ROW(AK$15),0),
ROUND(ROUND(OFFSET($P715,0,AK$13),15-13*ORÇAMENTO!$AF$7)*OFFSET(ORÇAMENTO!$W$15,ROW(AK715)-ROW(AK$15),0),15-13*ORÇAMENTO!$AF$11)),0)</f>
        <v>0</v>
      </c>
      <c r="AM715" s="181">
        <f ca="1">IF($D715&lt;&gt;"Serviço",0,IF(AND(AUTOEVENTO="Manual",$M715=1),0,IF(OFFSET(CRONOPLE!$F$14,$M715,AM$13)="",10^12,OFFSET(CRONOPLE!$F$14,$M715,AM$13))))</f>
        <v>1000000000000</v>
      </c>
      <c r="AN715" s="181">
        <f ca="1">IF($D715&lt;&gt;"Serviço",0,IF(AND(AUTOEVENTO="Manual",$M715=1),0,IF(OFFSET(CRONOPLE!$F$14,$M715,AN$13)="",10^12,OFFSET(CRONOPLE!$F$14,$M715,AN$13))))</f>
        <v>1000000000000</v>
      </c>
      <c r="AO715" s="181">
        <f ca="1">IF($D715&lt;&gt;"Serviço",0,IF(AND(AUTOEVENTO="Manual",$M715=1),0,IF(OFFSET(CRONOPLE!$F$14,$M715,AO$13)="",10^12,OFFSET(CRONOPLE!$F$14,$M715,AO$13))))</f>
        <v>1000000000000</v>
      </c>
      <c r="AP715" s="181">
        <f ca="1">IF($D715&lt;&gt;"Serviço",0,IF(AND(AUTOEVENTO="Manual",$M715=1),0,IF(OFFSET(CRONOPLE!$F$14,$M715,AP$13)="",10^12,OFFSET(CRONOPLE!$F$14,$M715,AP$13))))</f>
        <v>1000000000000</v>
      </c>
      <c r="AQ715" s="181">
        <f ca="1">IF($D715&lt;&gt;"Serviço",0,IF(AND(AUTOEVENTO="Manual",$M715=1),0,IF(OFFSET(CRONOPLE!$F$14,$M715,AQ$13)="",10^12,OFFSET(CRONOPLE!$F$14,$M715,AQ$13))))</f>
        <v>1000000000000</v>
      </c>
      <c r="AR715" s="181">
        <f ca="1">IF($D715&lt;&gt;"Serviço",0,IF(AND(AUTOEVENTO="Manual",$M715=1),0,IF(OFFSET(CRONOPLE!$F$14,$M715,AR$13)="",10^12,OFFSET(CRONOPLE!$F$14,$M715,AR$13))))</f>
        <v>1000000000000</v>
      </c>
      <c r="AS715" s="181">
        <f ca="1">IF($D715&lt;&gt;"Serviço",0,IF(AND(AUTOEVENTO="Manual",$M715=1),0,IF(OFFSET(CRONOPLE!$F$14,$M715,AS$13)="",10^12,OFFSET(CRONOPLE!$F$14,$M715,AS$13))))</f>
        <v>1000000000000</v>
      </c>
      <c r="AT715" s="181">
        <f ca="1">IF($D715&lt;&gt;"Serviço",0,IF(AND(AUTOEVENTO="Manual",$M715=1),0,IF(OFFSET(CRONOPLE!$F$14,$M715,AT$13)="",10^12,OFFSET(CRONOPLE!$F$14,$M715,AT$13))))</f>
        <v>1000000000000</v>
      </c>
      <c r="AU715" s="181">
        <f ca="1">IF($D715&lt;&gt;"Serviço",0,IF(AND(AUTOEVENTO="Manual",$M715=1),0,IF(OFFSET(CRONOPLE!$F$14,$M715,AU$13)="",10^12,OFFSET(CRONOPLE!$F$14,$M715,AU$13))))</f>
        <v>1000000000000</v>
      </c>
      <c r="AV715" s="181">
        <f ca="1">IF($D715&lt;&gt;"Serviço",0,IF(AND(AUTOEVENTO="Manual",$M715=1),0,IF(OFFSET(CRONOPLE!$F$14,$M715,AV$13)="",10^12,OFFSET(CRONOPLE!$F$14,$M715,AV$13))))</f>
        <v>1000000000000</v>
      </c>
      <c r="AX715" s="182">
        <f ca="1">IF($D715&lt;&gt;"Serviço",0,IF(OR(AND(AUTOEVENTO="Manual",$M715=1),$M715&gt;(ROW(PLE.lastrow)-ROW(PLE.firstrow))),0,IF(OFFSET(PLE!$G$14,$M715,AX$13)="",10^12,OFFSET(PLE!$G$14,$M715,AX$13))))</f>
        <v>1000000000000</v>
      </c>
      <c r="AY715" s="182">
        <f ca="1">IF($D715&lt;&gt;"Serviço",0,IF(OR(AND(AUTOEVENTO="Manual",$M715=1),$M715&gt;(ROW(PLE.lastrow)-ROW(PLE.firstrow))),0,IF(OFFSET(PLE!$G$14,$M715,AY$13)="",10^12,OFFSET(PLE!$G$14,$M715,AY$13))))</f>
        <v>1000000000000</v>
      </c>
      <c r="AZ715" s="182">
        <f ca="1">IF($D715&lt;&gt;"Serviço",0,IF(OR(AND(AUTOEVENTO="Manual",$M715=1),$M715&gt;(ROW(PLE.lastrow)-ROW(PLE.firstrow))),0,IF(OFFSET(PLE!$G$14,$M715,AZ$13)="",10^12,OFFSET(PLE!$G$14,$M715,AZ$13))))</f>
        <v>1000000000000</v>
      </c>
      <c r="BA715" s="182">
        <f ca="1">IF($D715&lt;&gt;"Serviço",0,IF(OR(AND(AUTOEVENTO="Manual",$M715=1),$M715&gt;(ROW(PLE.lastrow)-ROW(PLE.firstrow))),0,IF(OFFSET(PLE!$G$14,$M715,BA$13)="",10^12,OFFSET(PLE!$G$14,$M715,BA$13))))</f>
        <v>1000000000000</v>
      </c>
      <c r="BB715" s="182">
        <f ca="1">IF($D715&lt;&gt;"Serviço",0,IF(OR(AND(AUTOEVENTO="Manual",$M715=1),$M715&gt;(ROW(PLE.lastrow)-ROW(PLE.firstrow))),0,IF(OFFSET(PLE!$G$14,$M715,BB$13)="",10^12,OFFSET(PLE!$G$14,$M715,BB$13))))</f>
        <v>1000000000000</v>
      </c>
      <c r="BC715" s="182">
        <f ca="1">IF($D715&lt;&gt;"Serviço",0,IF(OR(AND(AUTOEVENTO="Manual",$M715=1),$M715&gt;(ROW(PLE.lastrow)-ROW(PLE.firstrow))),0,IF(OFFSET(PLE!$G$14,$M715,BC$13)="",10^12,OFFSET(PLE!$G$14,$M715,BC$13))))</f>
        <v>1000000000000</v>
      </c>
      <c r="BD715" s="182">
        <f ca="1">IF($D715&lt;&gt;"Serviço",0,IF(OR(AND(AUTOEVENTO="Manual",$M715=1),$M715&gt;(ROW(PLE.lastrow)-ROW(PLE.firstrow))),0,IF(OFFSET(PLE!$G$14,$M715,BD$13)="",10^12,OFFSET(PLE!$G$14,$M715,BD$13))))</f>
        <v>1000000000000</v>
      </c>
      <c r="BE715" s="182">
        <f ca="1">IF($D715&lt;&gt;"Serviço",0,IF(OR(AND(AUTOEVENTO="Manual",$M715=1),$M715&gt;(ROW(PLE.lastrow)-ROW(PLE.firstrow))),0,IF(OFFSET(PLE!$G$14,$M715,BE$13)="",10^12,OFFSET(PLE!$G$14,$M715,BE$13))))</f>
        <v>1000000000000</v>
      </c>
      <c r="BF715" s="182">
        <f ca="1">IF($D715&lt;&gt;"Serviço",0,IF(OR(AND(AUTOEVENTO="Manual",$M715=1),$M715&gt;(ROW(PLE.lastrow)-ROW(PLE.firstrow))),0,IF(OFFSET(PLE!$G$14,$M715,BF$13)="",10^12,OFFSET(PLE!$G$14,$M715,BF$13))))</f>
        <v>1000000000000</v>
      </c>
      <c r="BG715" s="182">
        <f ca="1">IF($D715&lt;&gt;"Serviço",0,IF(OR(AND(AUTOEVENTO="Manual",$M715=1),$M715&gt;(ROW(PLE.lastrow)-ROW(PLE.firstrow))),0,IF(OFFSET(PLE!$G$14,$M715,BG$13)="",10^12,OFFSET(PLE!$G$14,$M715,BG$13))))</f>
        <v>1000000000000</v>
      </c>
    </row>
    <row r="716" spans="1:59" ht="25.5" x14ac:dyDescent="0.2">
      <c r="A716" s="7" t="str">
        <f ca="1">IF(AUTOEVENTO="Manual",IF(K716&lt;&gt;"",MIN(VALUE(LEFT(K716,FIND(".",K716)-1)),COUNTA(EVENTOS.Lista)),0),IF(OR($B716&gt;AUTOEVENTO,$B716="S",$B716=0),SUBSTITUTE(OFFSET($A716,-1,0),IF($D716="Serviço",".",""),""),ROW(A716)-ROW($A$15)&amp;"."))</f>
        <v>679</v>
      </c>
      <c r="B716" s="7" t="str">
        <f ca="1">OFFSET(ORÇAMENTO!C$15,ROW(B716)-ROW(B$15),0)</f>
        <v>S</v>
      </c>
      <c r="C716" s="7" t="str">
        <f ca="1">OFFSET(ORÇAMENTO!L$15,ROW(C716)-ROW(C$15),0)</f>
        <v/>
      </c>
      <c r="D716" s="118" t="str">
        <f ca="1">OFFSET(ORÇAMENTO!N$15,ROW(D716)-ROW(D$15),0)</f>
        <v>Serviço</v>
      </c>
      <c r="E716" s="119" t="str">
        <f ca="1">OFFSET(ORÇAMENTO!O$15,ROW(E716)-ROW(E$15),0)</f>
        <v>-</v>
      </c>
      <c r="F716" s="172" t="str">
        <f ca="1">OFFSET(ORÇAMENTO!R$15,ROW(F716)-ROW(F$15),0)</f>
        <v>(abra o arquivo 'Referência 02-2025.xlsm)</v>
      </c>
      <c r="G716" s="173" t="str">
        <f ca="1">IF($D716&lt;&gt;"Serviço","",OFFSET(ORÇAMENTO!S$15,ROW(G716)-ROW(G$15),0))</f>
        <v>-</v>
      </c>
      <c r="H716" s="124">
        <f ca="1">IF($D716&lt;&gt;"Serviço",0,IF(ACOMPANHAMENTO="BM",ROUND(OFFSET(ORÇAMENTO!AJ$15,ROW(H716)-ROW(H$15),0),15-13*ORÇAMENTO!$AF$7),SUMPRODUCT(($Q$12:$AA$12&lt;&gt;"")*ROUND($Q716:$AA716,15-13*ORÇAMENTO!$AF$7))))</f>
        <v>210.09</v>
      </c>
      <c r="I716" s="561"/>
      <c r="K716" s="174"/>
      <c r="L716" s="175" t="s">
        <v>255</v>
      </c>
      <c r="M716" s="176">
        <f ca="1">IF($D716&lt;&gt;"Serviço","",IF(AUTOEVENTO="manual",$A716,IF(ISERROR(MATCH($A716,$A$15:OFFSET($A716,-1,0),0)),MAX($M$15:OFFSET(M716,-1,0))+1,INDEX($M$15:OFFSET(M716,-1,0),MATCH($A716,$A$15:OFFSET($A716,-1,0),0)))))</f>
        <v>25</v>
      </c>
      <c r="N716" s="177" t="str">
        <f ca="1">IF($D716&lt;&gt;"Serviço","",IF(AUTOEVENTO="Manual",IF($A716=0,"&lt;-- defina o número do agrupador",OFFSET(EVENTOS!$D$14,$A716,0)),OFFSET($F$15,$A716,0)))</f>
        <v>FECHAMENTO - MURO</v>
      </c>
      <c r="O716" s="178"/>
      <c r="Q716" s="178"/>
      <c r="R716" s="179"/>
      <c r="S716" s="179"/>
      <c r="T716" s="179"/>
      <c r="U716" s="179"/>
      <c r="V716" s="179"/>
      <c r="W716" s="179"/>
      <c r="X716" s="179"/>
      <c r="Y716" s="179"/>
      <c r="Z716" s="180"/>
      <c r="AB716" s="544">
        <f ca="1">IF(AND($D716="Serviço",AB$12&lt;&gt;0,$H716&gt;0,OR(AUTOEVENTO&lt;&gt;"manual",$M716&lt;&gt;1)),
IF(Import.TipoArredondamento&lt;&gt;"TransfereGOV",
ROUND(OFFSET($P716,0,AB$13),15-13*ORÇAMENTO!$AF$7)/$H716*OFFSET(ORÇAMENTO!$X$15,ROW(AB716)-ROW(AB$15),0),
ROUND(ROUND(OFFSET($P716,0,AB$13),15-13*ORÇAMENTO!$AF$7)*OFFSET(ORÇAMENTO!$W$15,ROW(AB716)-ROW(AB$15),0),15-13*ORÇAMENTO!$AF$11)),0)</f>
        <v>0</v>
      </c>
      <c r="AC716" s="545">
        <f ca="1">IF(AND($D716="Serviço",AC$12&lt;&gt;0,$H716&gt;0,OR(AUTOEVENTO&lt;&gt;"manual",$M716&lt;&gt;1)),
IF(Import.TipoArredondamento&lt;&gt;"TransfereGOV",
ROUND(OFFSET($P716,0,AC$13),15-13*ORÇAMENTO!$AF$7)/$H716*OFFSET(ORÇAMENTO!$X$15,ROW(AC716)-ROW(AC$15),0),
ROUND(ROUND(OFFSET($P716,0,AC$13),15-13*ORÇAMENTO!$AF$7)*OFFSET(ORÇAMENTO!$W$15,ROW(AC716)-ROW(AC$15),0),15-13*ORÇAMENTO!$AF$11)),0)</f>
        <v>0</v>
      </c>
      <c r="AD716" s="545">
        <f ca="1">IF(AND($D716="Serviço",AD$12&lt;&gt;0,$H716&gt;0,OR(AUTOEVENTO&lt;&gt;"manual",$M716&lt;&gt;1)),
IF(Import.TipoArredondamento&lt;&gt;"TransfereGOV",
ROUND(OFFSET($P716,0,AD$13),15-13*ORÇAMENTO!$AF$7)/$H716*OFFSET(ORÇAMENTO!$X$15,ROW(AD716)-ROW(AD$15),0),
ROUND(ROUND(OFFSET($P716,0,AD$13),15-13*ORÇAMENTO!$AF$7)*OFFSET(ORÇAMENTO!$W$15,ROW(AD716)-ROW(AD$15),0),15-13*ORÇAMENTO!$AF$11)),0)</f>
        <v>0</v>
      </c>
      <c r="AE716" s="545">
        <f ca="1">IF(AND($D716="Serviço",AE$12&lt;&gt;0,$H716&gt;0,OR(AUTOEVENTO&lt;&gt;"manual",$M716&lt;&gt;1)),
IF(Import.TipoArredondamento&lt;&gt;"TransfereGOV",
ROUND(OFFSET($P716,0,AE$13),15-13*ORÇAMENTO!$AF$7)/$H716*OFFSET(ORÇAMENTO!$X$15,ROW(AE716)-ROW(AE$15),0),
ROUND(ROUND(OFFSET($P716,0,AE$13),15-13*ORÇAMENTO!$AF$7)*OFFSET(ORÇAMENTO!$W$15,ROW(AE716)-ROW(AE$15),0),15-13*ORÇAMENTO!$AF$11)),0)</f>
        <v>0</v>
      </c>
      <c r="AF716" s="545">
        <f ca="1">IF(AND($D716="Serviço",AF$12&lt;&gt;0,$H716&gt;0,OR(AUTOEVENTO&lt;&gt;"manual",$M716&lt;&gt;1)),
IF(Import.TipoArredondamento&lt;&gt;"TransfereGOV",
ROUND(OFFSET($P716,0,AF$13),15-13*ORÇAMENTO!$AF$7)/$H716*OFFSET(ORÇAMENTO!$X$15,ROW(AF716)-ROW(AF$15),0),
ROUND(ROUND(OFFSET($P716,0,AF$13),15-13*ORÇAMENTO!$AF$7)*OFFSET(ORÇAMENTO!$W$15,ROW(AF716)-ROW(AF$15),0),15-13*ORÇAMENTO!$AF$11)),0)</f>
        <v>0</v>
      </c>
      <c r="AG716" s="545">
        <f ca="1">IF(AND($D716="Serviço",AG$12&lt;&gt;0,$H716&gt;0,OR(AUTOEVENTO&lt;&gt;"manual",$M716&lt;&gt;1)),
IF(Import.TipoArredondamento&lt;&gt;"TransfereGOV",
ROUND(OFFSET($P716,0,AG$13),15-13*ORÇAMENTO!$AF$7)/$H716*OFFSET(ORÇAMENTO!$X$15,ROW(AG716)-ROW(AG$15),0),
ROUND(ROUND(OFFSET($P716,0,AG$13),15-13*ORÇAMENTO!$AF$7)*OFFSET(ORÇAMENTO!$W$15,ROW(AG716)-ROW(AG$15),0),15-13*ORÇAMENTO!$AF$11)),0)</f>
        <v>0</v>
      </c>
      <c r="AH716" s="545">
        <f ca="1">IF(AND($D716="Serviço",AH$12&lt;&gt;0,$H716&gt;0,OR(AUTOEVENTO&lt;&gt;"manual",$M716&lt;&gt;1)),
IF(Import.TipoArredondamento&lt;&gt;"TransfereGOV",
ROUND(OFFSET($P716,0,AH$13),15-13*ORÇAMENTO!$AF$7)/$H716*OFFSET(ORÇAMENTO!$X$15,ROW(AH716)-ROW(AH$15),0),
ROUND(ROUND(OFFSET($P716,0,AH$13),15-13*ORÇAMENTO!$AF$7)*OFFSET(ORÇAMENTO!$W$15,ROW(AH716)-ROW(AH$15),0),15-13*ORÇAMENTO!$AF$11)),0)</f>
        <v>0</v>
      </c>
      <c r="AI716" s="545">
        <f ca="1">IF(AND($D716="Serviço",AI$12&lt;&gt;0,$H716&gt;0,OR(AUTOEVENTO&lt;&gt;"manual",$M716&lt;&gt;1)),
IF(Import.TipoArredondamento&lt;&gt;"TransfereGOV",
ROUND(OFFSET($P716,0,AI$13),15-13*ORÇAMENTO!$AF$7)/$H716*OFFSET(ORÇAMENTO!$X$15,ROW(AI716)-ROW(AI$15),0),
ROUND(ROUND(OFFSET($P716,0,AI$13),15-13*ORÇAMENTO!$AF$7)*OFFSET(ORÇAMENTO!$W$15,ROW(AI716)-ROW(AI$15),0),15-13*ORÇAMENTO!$AF$11)),0)</f>
        <v>0</v>
      </c>
      <c r="AJ716" s="545">
        <f ca="1">IF(AND($D716="Serviço",AJ$12&lt;&gt;0,$H716&gt;0,OR(AUTOEVENTO&lt;&gt;"manual",$M716&lt;&gt;1)),
IF(Import.TipoArredondamento&lt;&gt;"TransfereGOV",
ROUND(OFFSET($P716,0,AJ$13),15-13*ORÇAMENTO!$AF$7)/$H716*OFFSET(ORÇAMENTO!$X$15,ROW(AJ716)-ROW(AJ$15),0),
ROUND(ROUND(OFFSET($P716,0,AJ$13),15-13*ORÇAMENTO!$AF$7)*OFFSET(ORÇAMENTO!$W$15,ROW(AJ716)-ROW(AJ$15),0),15-13*ORÇAMENTO!$AF$11)),0)</f>
        <v>0</v>
      </c>
      <c r="AK716" s="546">
        <f ca="1">IF(AND($D716="Serviço",AK$12&lt;&gt;0,$H716&gt;0,OR(AUTOEVENTO&lt;&gt;"manual",$M716&lt;&gt;1)),
IF(Import.TipoArredondamento&lt;&gt;"TransfereGOV",
ROUND(OFFSET($P716,0,AK$13),15-13*ORÇAMENTO!$AF$7)/$H716*OFFSET(ORÇAMENTO!$X$15,ROW(AK716)-ROW(AK$15),0),
ROUND(ROUND(OFFSET($P716,0,AK$13),15-13*ORÇAMENTO!$AF$7)*OFFSET(ORÇAMENTO!$W$15,ROW(AK716)-ROW(AK$15),0),15-13*ORÇAMENTO!$AF$11)),0)</f>
        <v>0</v>
      </c>
      <c r="AM716" s="181">
        <f ca="1">IF($D716&lt;&gt;"Serviço",0,IF(AND(AUTOEVENTO="Manual",$M716=1),0,IF(OFFSET(CRONOPLE!$F$14,$M716,AM$13)="",10^12,OFFSET(CRONOPLE!$F$14,$M716,AM$13))))</f>
        <v>1000000000000</v>
      </c>
      <c r="AN716" s="181">
        <f ca="1">IF($D716&lt;&gt;"Serviço",0,IF(AND(AUTOEVENTO="Manual",$M716=1),0,IF(OFFSET(CRONOPLE!$F$14,$M716,AN$13)="",10^12,OFFSET(CRONOPLE!$F$14,$M716,AN$13))))</f>
        <v>1000000000000</v>
      </c>
      <c r="AO716" s="181">
        <f ca="1">IF($D716&lt;&gt;"Serviço",0,IF(AND(AUTOEVENTO="Manual",$M716=1),0,IF(OFFSET(CRONOPLE!$F$14,$M716,AO$13)="",10^12,OFFSET(CRONOPLE!$F$14,$M716,AO$13))))</f>
        <v>1000000000000</v>
      </c>
      <c r="AP716" s="181">
        <f ca="1">IF($D716&lt;&gt;"Serviço",0,IF(AND(AUTOEVENTO="Manual",$M716=1),0,IF(OFFSET(CRONOPLE!$F$14,$M716,AP$13)="",10^12,OFFSET(CRONOPLE!$F$14,$M716,AP$13))))</f>
        <v>1000000000000</v>
      </c>
      <c r="AQ716" s="181">
        <f ca="1">IF($D716&lt;&gt;"Serviço",0,IF(AND(AUTOEVENTO="Manual",$M716=1),0,IF(OFFSET(CRONOPLE!$F$14,$M716,AQ$13)="",10^12,OFFSET(CRONOPLE!$F$14,$M716,AQ$13))))</f>
        <v>1000000000000</v>
      </c>
      <c r="AR716" s="181">
        <f ca="1">IF($D716&lt;&gt;"Serviço",0,IF(AND(AUTOEVENTO="Manual",$M716=1),0,IF(OFFSET(CRONOPLE!$F$14,$M716,AR$13)="",10^12,OFFSET(CRONOPLE!$F$14,$M716,AR$13))))</f>
        <v>1000000000000</v>
      </c>
      <c r="AS716" s="181">
        <f ca="1">IF($D716&lt;&gt;"Serviço",0,IF(AND(AUTOEVENTO="Manual",$M716=1),0,IF(OFFSET(CRONOPLE!$F$14,$M716,AS$13)="",10^12,OFFSET(CRONOPLE!$F$14,$M716,AS$13))))</f>
        <v>1000000000000</v>
      </c>
      <c r="AT716" s="181">
        <f ca="1">IF($D716&lt;&gt;"Serviço",0,IF(AND(AUTOEVENTO="Manual",$M716=1),0,IF(OFFSET(CRONOPLE!$F$14,$M716,AT$13)="",10^12,OFFSET(CRONOPLE!$F$14,$M716,AT$13))))</f>
        <v>1000000000000</v>
      </c>
      <c r="AU716" s="181">
        <f ca="1">IF($D716&lt;&gt;"Serviço",0,IF(AND(AUTOEVENTO="Manual",$M716=1),0,IF(OFFSET(CRONOPLE!$F$14,$M716,AU$13)="",10^12,OFFSET(CRONOPLE!$F$14,$M716,AU$13))))</f>
        <v>1000000000000</v>
      </c>
      <c r="AV716" s="181">
        <f ca="1">IF($D716&lt;&gt;"Serviço",0,IF(AND(AUTOEVENTO="Manual",$M716=1),0,IF(OFFSET(CRONOPLE!$F$14,$M716,AV$13)="",10^12,OFFSET(CRONOPLE!$F$14,$M716,AV$13))))</f>
        <v>1000000000000</v>
      </c>
      <c r="AX716" s="182">
        <f ca="1">IF($D716&lt;&gt;"Serviço",0,IF(OR(AND(AUTOEVENTO="Manual",$M716=1),$M716&gt;(ROW(PLE.lastrow)-ROW(PLE.firstrow))),0,IF(OFFSET(PLE!$G$14,$M716,AX$13)="",10^12,OFFSET(PLE!$G$14,$M716,AX$13))))</f>
        <v>1000000000000</v>
      </c>
      <c r="AY716" s="182">
        <f ca="1">IF($D716&lt;&gt;"Serviço",0,IF(OR(AND(AUTOEVENTO="Manual",$M716=1),$M716&gt;(ROW(PLE.lastrow)-ROW(PLE.firstrow))),0,IF(OFFSET(PLE!$G$14,$M716,AY$13)="",10^12,OFFSET(PLE!$G$14,$M716,AY$13))))</f>
        <v>1000000000000</v>
      </c>
      <c r="AZ716" s="182">
        <f ca="1">IF($D716&lt;&gt;"Serviço",0,IF(OR(AND(AUTOEVENTO="Manual",$M716=1),$M716&gt;(ROW(PLE.lastrow)-ROW(PLE.firstrow))),0,IF(OFFSET(PLE!$G$14,$M716,AZ$13)="",10^12,OFFSET(PLE!$G$14,$M716,AZ$13))))</f>
        <v>1000000000000</v>
      </c>
      <c r="BA716" s="182">
        <f ca="1">IF($D716&lt;&gt;"Serviço",0,IF(OR(AND(AUTOEVENTO="Manual",$M716=1),$M716&gt;(ROW(PLE.lastrow)-ROW(PLE.firstrow))),0,IF(OFFSET(PLE!$G$14,$M716,BA$13)="",10^12,OFFSET(PLE!$G$14,$M716,BA$13))))</f>
        <v>1000000000000</v>
      </c>
      <c r="BB716" s="182">
        <f ca="1">IF($D716&lt;&gt;"Serviço",0,IF(OR(AND(AUTOEVENTO="Manual",$M716=1),$M716&gt;(ROW(PLE.lastrow)-ROW(PLE.firstrow))),0,IF(OFFSET(PLE!$G$14,$M716,BB$13)="",10^12,OFFSET(PLE!$G$14,$M716,BB$13))))</f>
        <v>1000000000000</v>
      </c>
      <c r="BC716" s="182">
        <f ca="1">IF($D716&lt;&gt;"Serviço",0,IF(OR(AND(AUTOEVENTO="Manual",$M716=1),$M716&gt;(ROW(PLE.lastrow)-ROW(PLE.firstrow))),0,IF(OFFSET(PLE!$G$14,$M716,BC$13)="",10^12,OFFSET(PLE!$G$14,$M716,BC$13))))</f>
        <v>1000000000000</v>
      </c>
      <c r="BD716" s="182">
        <f ca="1">IF($D716&lt;&gt;"Serviço",0,IF(OR(AND(AUTOEVENTO="Manual",$M716=1),$M716&gt;(ROW(PLE.lastrow)-ROW(PLE.firstrow))),0,IF(OFFSET(PLE!$G$14,$M716,BD$13)="",10^12,OFFSET(PLE!$G$14,$M716,BD$13))))</f>
        <v>1000000000000</v>
      </c>
      <c r="BE716" s="182">
        <f ca="1">IF($D716&lt;&gt;"Serviço",0,IF(OR(AND(AUTOEVENTO="Manual",$M716=1),$M716&gt;(ROW(PLE.lastrow)-ROW(PLE.firstrow))),0,IF(OFFSET(PLE!$G$14,$M716,BE$13)="",10^12,OFFSET(PLE!$G$14,$M716,BE$13))))</f>
        <v>1000000000000</v>
      </c>
      <c r="BF716" s="182">
        <f ca="1">IF($D716&lt;&gt;"Serviço",0,IF(OR(AND(AUTOEVENTO="Manual",$M716=1),$M716&gt;(ROW(PLE.lastrow)-ROW(PLE.firstrow))),0,IF(OFFSET(PLE!$G$14,$M716,BF$13)="",10^12,OFFSET(PLE!$G$14,$M716,BF$13))))</f>
        <v>1000000000000</v>
      </c>
      <c r="BG716" s="182">
        <f ca="1">IF($D716&lt;&gt;"Serviço",0,IF(OR(AND(AUTOEVENTO="Manual",$M716=1),$M716&gt;(ROW(PLE.lastrow)-ROW(PLE.firstrow))),0,IF(OFFSET(PLE!$G$14,$M716,BG$13)="",10^12,OFFSET(PLE!$G$14,$M716,BG$13))))</f>
        <v>1000000000000</v>
      </c>
    </row>
    <row r="717" spans="1:59" ht="38.25" x14ac:dyDescent="0.2">
      <c r="A717" s="7" t="str">
        <f ca="1">IF(AUTOEVENTO="Manual",IF(K717&lt;&gt;"",MIN(VALUE(LEFT(K717,FIND(".",K717)-1)),COUNTA(EVENTOS.Lista)),0),IF(OR($B717&gt;AUTOEVENTO,$B717="S",$B717=0),SUBSTITUTE(OFFSET($A717,-1,0),IF($D717="Serviço",".",""),""),ROW(A717)-ROW($A$15)&amp;"."))</f>
        <v>679</v>
      </c>
      <c r="B717" s="7" t="str">
        <f ca="1">OFFSET(ORÇAMENTO!C$15,ROW(B717)-ROW(B$15),0)</f>
        <v>S</v>
      </c>
      <c r="C717" s="7" t="str">
        <f ca="1">OFFSET(ORÇAMENTO!L$15,ROW(C717)-ROW(C$15),0)</f>
        <v/>
      </c>
      <c r="D717" s="118" t="str">
        <f ca="1">OFFSET(ORÇAMENTO!N$15,ROW(D717)-ROW(D$15),0)</f>
        <v>Serviço</v>
      </c>
      <c r="E717" s="119" t="str">
        <f ca="1">OFFSET(ORÇAMENTO!O$15,ROW(E717)-ROW(E$15),0)</f>
        <v>-</v>
      </c>
      <c r="F717" s="172" t="str">
        <f ca="1">OFFSET(ORÇAMENTO!R$15,ROW(F717)-ROW(F$15),0)</f>
        <v>(abra o arquivo 'Referência 02-2025.xlsm)</v>
      </c>
      <c r="G717" s="173" t="str">
        <f ca="1">IF($D717&lt;&gt;"Serviço","",OFFSET(ORÇAMENTO!S$15,ROW(G717)-ROW(G$15),0))</f>
        <v>-</v>
      </c>
      <c r="H717" s="124">
        <f ca="1">IF($D717&lt;&gt;"Serviço",0,IF(ACOMPANHAMENTO="BM",ROUND(OFFSET(ORÇAMENTO!AJ$15,ROW(H717)-ROW(H$15),0),15-13*ORÇAMENTO!$AF$7),SUMPRODUCT(($Q$12:$AA$12&lt;&gt;"")*ROUND($Q717:$AA717,15-13*ORÇAMENTO!$AF$7))))</f>
        <v>7.64</v>
      </c>
      <c r="I717" s="561"/>
      <c r="K717" s="174"/>
      <c r="L717" s="175" t="s">
        <v>255</v>
      </c>
      <c r="M717" s="176">
        <f ca="1">IF($D717&lt;&gt;"Serviço","",IF(AUTOEVENTO="manual",$A717,IF(ISERROR(MATCH($A717,$A$15:OFFSET($A717,-1,0),0)),MAX($M$15:OFFSET(M717,-1,0))+1,INDEX($M$15:OFFSET(M717,-1,0),MATCH($A717,$A$15:OFFSET($A717,-1,0),0)))))</f>
        <v>25</v>
      </c>
      <c r="N717" s="177" t="str">
        <f ca="1">IF($D717&lt;&gt;"Serviço","",IF(AUTOEVENTO="Manual",IF($A717=0,"&lt;-- defina o número do agrupador",OFFSET(EVENTOS!$D$14,$A717,0)),OFFSET($F$15,$A717,0)))</f>
        <v>FECHAMENTO - MURO</v>
      </c>
      <c r="O717" s="178"/>
      <c r="Q717" s="178"/>
      <c r="R717" s="179"/>
      <c r="S717" s="179"/>
      <c r="T717" s="179"/>
      <c r="U717" s="179"/>
      <c r="V717" s="179"/>
      <c r="W717" s="179"/>
      <c r="X717" s="179"/>
      <c r="Y717" s="179"/>
      <c r="Z717" s="180"/>
      <c r="AB717" s="544">
        <f ca="1">IF(AND($D717="Serviço",AB$12&lt;&gt;0,$H717&gt;0,OR(AUTOEVENTO&lt;&gt;"manual",$M717&lt;&gt;1)),
IF(Import.TipoArredondamento&lt;&gt;"TransfereGOV",
ROUND(OFFSET($P717,0,AB$13),15-13*ORÇAMENTO!$AF$7)/$H717*OFFSET(ORÇAMENTO!$X$15,ROW(AB717)-ROW(AB$15),0),
ROUND(ROUND(OFFSET($P717,0,AB$13),15-13*ORÇAMENTO!$AF$7)*OFFSET(ORÇAMENTO!$W$15,ROW(AB717)-ROW(AB$15),0),15-13*ORÇAMENTO!$AF$11)),0)</f>
        <v>0</v>
      </c>
      <c r="AC717" s="545">
        <f ca="1">IF(AND($D717="Serviço",AC$12&lt;&gt;0,$H717&gt;0,OR(AUTOEVENTO&lt;&gt;"manual",$M717&lt;&gt;1)),
IF(Import.TipoArredondamento&lt;&gt;"TransfereGOV",
ROUND(OFFSET($P717,0,AC$13),15-13*ORÇAMENTO!$AF$7)/$H717*OFFSET(ORÇAMENTO!$X$15,ROW(AC717)-ROW(AC$15),0),
ROUND(ROUND(OFFSET($P717,0,AC$13),15-13*ORÇAMENTO!$AF$7)*OFFSET(ORÇAMENTO!$W$15,ROW(AC717)-ROW(AC$15),0),15-13*ORÇAMENTO!$AF$11)),0)</f>
        <v>0</v>
      </c>
      <c r="AD717" s="545">
        <f ca="1">IF(AND($D717="Serviço",AD$12&lt;&gt;0,$H717&gt;0,OR(AUTOEVENTO&lt;&gt;"manual",$M717&lt;&gt;1)),
IF(Import.TipoArredondamento&lt;&gt;"TransfereGOV",
ROUND(OFFSET($P717,0,AD$13),15-13*ORÇAMENTO!$AF$7)/$H717*OFFSET(ORÇAMENTO!$X$15,ROW(AD717)-ROW(AD$15),0),
ROUND(ROUND(OFFSET($P717,0,AD$13),15-13*ORÇAMENTO!$AF$7)*OFFSET(ORÇAMENTO!$W$15,ROW(AD717)-ROW(AD$15),0),15-13*ORÇAMENTO!$AF$11)),0)</f>
        <v>0</v>
      </c>
      <c r="AE717" s="545">
        <f ca="1">IF(AND($D717="Serviço",AE$12&lt;&gt;0,$H717&gt;0,OR(AUTOEVENTO&lt;&gt;"manual",$M717&lt;&gt;1)),
IF(Import.TipoArredondamento&lt;&gt;"TransfereGOV",
ROUND(OFFSET($P717,0,AE$13),15-13*ORÇAMENTO!$AF$7)/$H717*OFFSET(ORÇAMENTO!$X$15,ROW(AE717)-ROW(AE$15),0),
ROUND(ROUND(OFFSET($P717,0,AE$13),15-13*ORÇAMENTO!$AF$7)*OFFSET(ORÇAMENTO!$W$15,ROW(AE717)-ROW(AE$15),0),15-13*ORÇAMENTO!$AF$11)),0)</f>
        <v>0</v>
      </c>
      <c r="AF717" s="545">
        <f ca="1">IF(AND($D717="Serviço",AF$12&lt;&gt;0,$H717&gt;0,OR(AUTOEVENTO&lt;&gt;"manual",$M717&lt;&gt;1)),
IF(Import.TipoArredondamento&lt;&gt;"TransfereGOV",
ROUND(OFFSET($P717,0,AF$13),15-13*ORÇAMENTO!$AF$7)/$H717*OFFSET(ORÇAMENTO!$X$15,ROW(AF717)-ROW(AF$15),0),
ROUND(ROUND(OFFSET($P717,0,AF$13),15-13*ORÇAMENTO!$AF$7)*OFFSET(ORÇAMENTO!$W$15,ROW(AF717)-ROW(AF$15),0),15-13*ORÇAMENTO!$AF$11)),0)</f>
        <v>0</v>
      </c>
      <c r="AG717" s="545">
        <f ca="1">IF(AND($D717="Serviço",AG$12&lt;&gt;0,$H717&gt;0,OR(AUTOEVENTO&lt;&gt;"manual",$M717&lt;&gt;1)),
IF(Import.TipoArredondamento&lt;&gt;"TransfereGOV",
ROUND(OFFSET($P717,0,AG$13),15-13*ORÇAMENTO!$AF$7)/$H717*OFFSET(ORÇAMENTO!$X$15,ROW(AG717)-ROW(AG$15),0),
ROUND(ROUND(OFFSET($P717,0,AG$13),15-13*ORÇAMENTO!$AF$7)*OFFSET(ORÇAMENTO!$W$15,ROW(AG717)-ROW(AG$15),0),15-13*ORÇAMENTO!$AF$11)),0)</f>
        <v>0</v>
      </c>
      <c r="AH717" s="545">
        <f ca="1">IF(AND($D717="Serviço",AH$12&lt;&gt;0,$H717&gt;0,OR(AUTOEVENTO&lt;&gt;"manual",$M717&lt;&gt;1)),
IF(Import.TipoArredondamento&lt;&gt;"TransfereGOV",
ROUND(OFFSET($P717,0,AH$13),15-13*ORÇAMENTO!$AF$7)/$H717*OFFSET(ORÇAMENTO!$X$15,ROW(AH717)-ROW(AH$15),0),
ROUND(ROUND(OFFSET($P717,0,AH$13),15-13*ORÇAMENTO!$AF$7)*OFFSET(ORÇAMENTO!$W$15,ROW(AH717)-ROW(AH$15),0),15-13*ORÇAMENTO!$AF$11)),0)</f>
        <v>0</v>
      </c>
      <c r="AI717" s="545">
        <f ca="1">IF(AND($D717="Serviço",AI$12&lt;&gt;0,$H717&gt;0,OR(AUTOEVENTO&lt;&gt;"manual",$M717&lt;&gt;1)),
IF(Import.TipoArredondamento&lt;&gt;"TransfereGOV",
ROUND(OFFSET($P717,0,AI$13),15-13*ORÇAMENTO!$AF$7)/$H717*OFFSET(ORÇAMENTO!$X$15,ROW(AI717)-ROW(AI$15),0),
ROUND(ROUND(OFFSET($P717,0,AI$13),15-13*ORÇAMENTO!$AF$7)*OFFSET(ORÇAMENTO!$W$15,ROW(AI717)-ROW(AI$15),0),15-13*ORÇAMENTO!$AF$11)),0)</f>
        <v>0</v>
      </c>
      <c r="AJ717" s="545">
        <f ca="1">IF(AND($D717="Serviço",AJ$12&lt;&gt;0,$H717&gt;0,OR(AUTOEVENTO&lt;&gt;"manual",$M717&lt;&gt;1)),
IF(Import.TipoArredondamento&lt;&gt;"TransfereGOV",
ROUND(OFFSET($P717,0,AJ$13),15-13*ORÇAMENTO!$AF$7)/$H717*OFFSET(ORÇAMENTO!$X$15,ROW(AJ717)-ROW(AJ$15),0),
ROUND(ROUND(OFFSET($P717,0,AJ$13),15-13*ORÇAMENTO!$AF$7)*OFFSET(ORÇAMENTO!$W$15,ROW(AJ717)-ROW(AJ$15),0),15-13*ORÇAMENTO!$AF$11)),0)</f>
        <v>0</v>
      </c>
      <c r="AK717" s="546">
        <f ca="1">IF(AND($D717="Serviço",AK$12&lt;&gt;0,$H717&gt;0,OR(AUTOEVENTO&lt;&gt;"manual",$M717&lt;&gt;1)),
IF(Import.TipoArredondamento&lt;&gt;"TransfereGOV",
ROUND(OFFSET($P717,0,AK$13),15-13*ORÇAMENTO!$AF$7)/$H717*OFFSET(ORÇAMENTO!$X$15,ROW(AK717)-ROW(AK$15),0),
ROUND(ROUND(OFFSET($P717,0,AK$13),15-13*ORÇAMENTO!$AF$7)*OFFSET(ORÇAMENTO!$W$15,ROW(AK717)-ROW(AK$15),0),15-13*ORÇAMENTO!$AF$11)),0)</f>
        <v>0</v>
      </c>
      <c r="AM717" s="181">
        <f ca="1">IF($D717&lt;&gt;"Serviço",0,IF(AND(AUTOEVENTO="Manual",$M717=1),0,IF(OFFSET(CRONOPLE!$F$14,$M717,AM$13)="",10^12,OFFSET(CRONOPLE!$F$14,$M717,AM$13))))</f>
        <v>1000000000000</v>
      </c>
      <c r="AN717" s="181">
        <f ca="1">IF($D717&lt;&gt;"Serviço",0,IF(AND(AUTOEVENTO="Manual",$M717=1),0,IF(OFFSET(CRONOPLE!$F$14,$M717,AN$13)="",10^12,OFFSET(CRONOPLE!$F$14,$M717,AN$13))))</f>
        <v>1000000000000</v>
      </c>
      <c r="AO717" s="181">
        <f ca="1">IF($D717&lt;&gt;"Serviço",0,IF(AND(AUTOEVENTO="Manual",$M717=1),0,IF(OFFSET(CRONOPLE!$F$14,$M717,AO$13)="",10^12,OFFSET(CRONOPLE!$F$14,$M717,AO$13))))</f>
        <v>1000000000000</v>
      </c>
      <c r="AP717" s="181">
        <f ca="1">IF($D717&lt;&gt;"Serviço",0,IF(AND(AUTOEVENTO="Manual",$M717=1),0,IF(OFFSET(CRONOPLE!$F$14,$M717,AP$13)="",10^12,OFFSET(CRONOPLE!$F$14,$M717,AP$13))))</f>
        <v>1000000000000</v>
      </c>
      <c r="AQ717" s="181">
        <f ca="1">IF($D717&lt;&gt;"Serviço",0,IF(AND(AUTOEVENTO="Manual",$M717=1),0,IF(OFFSET(CRONOPLE!$F$14,$M717,AQ$13)="",10^12,OFFSET(CRONOPLE!$F$14,$M717,AQ$13))))</f>
        <v>1000000000000</v>
      </c>
      <c r="AR717" s="181">
        <f ca="1">IF($D717&lt;&gt;"Serviço",0,IF(AND(AUTOEVENTO="Manual",$M717=1),0,IF(OFFSET(CRONOPLE!$F$14,$M717,AR$13)="",10^12,OFFSET(CRONOPLE!$F$14,$M717,AR$13))))</f>
        <v>1000000000000</v>
      </c>
      <c r="AS717" s="181">
        <f ca="1">IF($D717&lt;&gt;"Serviço",0,IF(AND(AUTOEVENTO="Manual",$M717=1),0,IF(OFFSET(CRONOPLE!$F$14,$M717,AS$13)="",10^12,OFFSET(CRONOPLE!$F$14,$M717,AS$13))))</f>
        <v>1000000000000</v>
      </c>
      <c r="AT717" s="181">
        <f ca="1">IF($D717&lt;&gt;"Serviço",0,IF(AND(AUTOEVENTO="Manual",$M717=1),0,IF(OFFSET(CRONOPLE!$F$14,$M717,AT$13)="",10^12,OFFSET(CRONOPLE!$F$14,$M717,AT$13))))</f>
        <v>1000000000000</v>
      </c>
      <c r="AU717" s="181">
        <f ca="1">IF($D717&lt;&gt;"Serviço",0,IF(AND(AUTOEVENTO="Manual",$M717=1),0,IF(OFFSET(CRONOPLE!$F$14,$M717,AU$13)="",10^12,OFFSET(CRONOPLE!$F$14,$M717,AU$13))))</f>
        <v>1000000000000</v>
      </c>
      <c r="AV717" s="181">
        <f ca="1">IF($D717&lt;&gt;"Serviço",0,IF(AND(AUTOEVENTO="Manual",$M717=1),0,IF(OFFSET(CRONOPLE!$F$14,$M717,AV$13)="",10^12,OFFSET(CRONOPLE!$F$14,$M717,AV$13))))</f>
        <v>1000000000000</v>
      </c>
      <c r="AX717" s="182">
        <f ca="1">IF($D717&lt;&gt;"Serviço",0,IF(OR(AND(AUTOEVENTO="Manual",$M717=1),$M717&gt;(ROW(PLE.lastrow)-ROW(PLE.firstrow))),0,IF(OFFSET(PLE!$G$14,$M717,AX$13)="",10^12,OFFSET(PLE!$G$14,$M717,AX$13))))</f>
        <v>1000000000000</v>
      </c>
      <c r="AY717" s="182">
        <f ca="1">IF($D717&lt;&gt;"Serviço",0,IF(OR(AND(AUTOEVENTO="Manual",$M717=1),$M717&gt;(ROW(PLE.lastrow)-ROW(PLE.firstrow))),0,IF(OFFSET(PLE!$G$14,$M717,AY$13)="",10^12,OFFSET(PLE!$G$14,$M717,AY$13))))</f>
        <v>1000000000000</v>
      </c>
      <c r="AZ717" s="182">
        <f ca="1">IF($D717&lt;&gt;"Serviço",0,IF(OR(AND(AUTOEVENTO="Manual",$M717=1),$M717&gt;(ROW(PLE.lastrow)-ROW(PLE.firstrow))),0,IF(OFFSET(PLE!$G$14,$M717,AZ$13)="",10^12,OFFSET(PLE!$G$14,$M717,AZ$13))))</f>
        <v>1000000000000</v>
      </c>
      <c r="BA717" s="182">
        <f ca="1">IF($D717&lt;&gt;"Serviço",0,IF(OR(AND(AUTOEVENTO="Manual",$M717=1),$M717&gt;(ROW(PLE.lastrow)-ROW(PLE.firstrow))),0,IF(OFFSET(PLE!$G$14,$M717,BA$13)="",10^12,OFFSET(PLE!$G$14,$M717,BA$13))))</f>
        <v>1000000000000</v>
      </c>
      <c r="BB717" s="182">
        <f ca="1">IF($D717&lt;&gt;"Serviço",0,IF(OR(AND(AUTOEVENTO="Manual",$M717=1),$M717&gt;(ROW(PLE.lastrow)-ROW(PLE.firstrow))),0,IF(OFFSET(PLE!$G$14,$M717,BB$13)="",10^12,OFFSET(PLE!$G$14,$M717,BB$13))))</f>
        <v>1000000000000</v>
      </c>
      <c r="BC717" s="182">
        <f ca="1">IF($D717&lt;&gt;"Serviço",0,IF(OR(AND(AUTOEVENTO="Manual",$M717=1),$M717&gt;(ROW(PLE.lastrow)-ROW(PLE.firstrow))),0,IF(OFFSET(PLE!$G$14,$M717,BC$13)="",10^12,OFFSET(PLE!$G$14,$M717,BC$13))))</f>
        <v>1000000000000</v>
      </c>
      <c r="BD717" s="182">
        <f ca="1">IF($D717&lt;&gt;"Serviço",0,IF(OR(AND(AUTOEVENTO="Manual",$M717=1),$M717&gt;(ROW(PLE.lastrow)-ROW(PLE.firstrow))),0,IF(OFFSET(PLE!$G$14,$M717,BD$13)="",10^12,OFFSET(PLE!$G$14,$M717,BD$13))))</f>
        <v>1000000000000</v>
      </c>
      <c r="BE717" s="182">
        <f ca="1">IF($D717&lt;&gt;"Serviço",0,IF(OR(AND(AUTOEVENTO="Manual",$M717=1),$M717&gt;(ROW(PLE.lastrow)-ROW(PLE.firstrow))),0,IF(OFFSET(PLE!$G$14,$M717,BE$13)="",10^12,OFFSET(PLE!$G$14,$M717,BE$13))))</f>
        <v>1000000000000</v>
      </c>
      <c r="BF717" s="182">
        <f ca="1">IF($D717&lt;&gt;"Serviço",0,IF(OR(AND(AUTOEVENTO="Manual",$M717=1),$M717&gt;(ROW(PLE.lastrow)-ROW(PLE.firstrow))),0,IF(OFFSET(PLE!$G$14,$M717,BF$13)="",10^12,OFFSET(PLE!$G$14,$M717,BF$13))))</f>
        <v>1000000000000</v>
      </c>
      <c r="BG717" s="182">
        <f ca="1">IF($D717&lt;&gt;"Serviço",0,IF(OR(AND(AUTOEVENTO="Manual",$M717=1),$M717&gt;(ROW(PLE.lastrow)-ROW(PLE.firstrow))),0,IF(OFFSET(PLE!$G$14,$M717,BG$13)="",10^12,OFFSET(PLE!$G$14,$M717,BG$13))))</f>
        <v>1000000000000</v>
      </c>
    </row>
    <row r="718" spans="1:59" ht="12.75" x14ac:dyDescent="0.2">
      <c r="A718" s="7" t="str">
        <f t="shared" ref="A718:A745" ca="1" si="18">IF(AUTOEVENTO="Manual",IF(K718&lt;&gt;"",MIN(VALUE(LEFT(K718,FIND(".",K718)-1)),COUNTA(EVENTOS.Lista)),0),IF(OR($B718&gt;AUTOEVENTO,$B718="S",$B718=0),SUBSTITUTE(OFFSET($A718,-1,0),IF($D718="Serviço",".",""),""),ROW(A718)-ROW($A$15)&amp;"."))</f>
        <v>679</v>
      </c>
      <c r="B718" s="7">
        <f ca="1">OFFSET(ORÇAMENTO!C$15,ROW(B718)-ROW(B$15),0)</f>
        <v>4</v>
      </c>
      <c r="C718" s="7" t="str">
        <f ca="1">OFFSET(ORÇAMENTO!L$15,ROW(C718)-ROW(C$15),0)</f>
        <v>F</v>
      </c>
      <c r="D718" s="118" t="str">
        <f ca="1">OFFSET(ORÇAMENTO!N$15,ROW(D718)-ROW(D$15),0)</f>
        <v>Nível 4</v>
      </c>
      <c r="E718" s="119" t="str">
        <f ca="1">OFFSET(ORÇAMENTO!O$15,ROW(E718)-ROW(E$15),0)</f>
        <v>1.24.3.2.</v>
      </c>
      <c r="F718" s="172" t="str">
        <f ca="1">OFFSET(ORÇAMENTO!R$15,ROW(F718)-ROW(F$15),0)</f>
        <v>CONCRETO ARMADO - PILARES</v>
      </c>
      <c r="G718" s="173" t="str">
        <f ca="1">IF($D718&lt;&gt;"Serviço","",OFFSET(ORÇAMENTO!S$15,ROW(G718)-ROW(G$15),0))</f>
        <v/>
      </c>
      <c r="H718" s="124">
        <f ca="1">IF($D718&lt;&gt;"Serviço",0,IF(ACOMPANHAMENTO="BM",ROUND(OFFSET(ORÇAMENTO!AJ$15,ROW(H718)-ROW(H$15),0),15-13*ORÇAMENTO!$AF$7),SUMPRODUCT(($Q$12:$AA$12&lt;&gt;"")*ROUND($Q718:$AA718,15-13*ORÇAMENTO!$AF$7))))</f>
        <v>0</v>
      </c>
      <c r="I718" s="561"/>
      <c r="K718" s="174"/>
      <c r="L718" s="175" t="s">
        <v>255</v>
      </c>
      <c r="M718" s="176" t="str">
        <f ca="1">IF($D718&lt;&gt;"Serviço","",IF(AUTOEVENTO="manual",$A718,IF(ISERROR(MATCH($A718,$A$15:OFFSET($A718,-1,0),0)),MAX($M$15:OFFSET(M718,-1,0))+1,INDEX($M$15:OFFSET(M718,-1,0),MATCH($A718,$A$15:OFFSET($A718,-1,0),0)))))</f>
        <v/>
      </c>
      <c r="N718" s="177" t="str">
        <f ca="1">IF($D718&lt;&gt;"Serviço","",IF(AUTOEVENTO="Manual",IF($A718=0,"&lt;-- defina o número do agrupador",OFFSET(EVENTOS!$D$14,$A718,0)),OFFSET($F$15,$A718,0)))</f>
        <v/>
      </c>
      <c r="O718" s="178"/>
      <c r="Q718" s="178"/>
      <c r="R718" s="179"/>
      <c r="S718" s="179"/>
      <c r="T718" s="179"/>
      <c r="U718" s="179"/>
      <c r="V718" s="179"/>
      <c r="W718" s="179"/>
      <c r="X718" s="179"/>
      <c r="Y718" s="179"/>
      <c r="Z718" s="180"/>
      <c r="AB718" s="544">
        <f ca="1">IF(AND($D718="Serviço",AB$12&lt;&gt;0,$H718&gt;0,OR(AUTOEVENTO&lt;&gt;"manual",$M718&lt;&gt;1)),
IF(Import.TipoArredondamento&lt;&gt;"TransfereGOV",
ROUND(OFFSET($P718,0,AB$13),15-13*ORÇAMENTO!$AF$7)/$H718*OFFSET(ORÇAMENTO!$X$15,ROW(AB718)-ROW(AB$15),0),
ROUND(ROUND(OFFSET($P718,0,AB$13),15-13*ORÇAMENTO!$AF$7)*OFFSET(ORÇAMENTO!$W$15,ROW(AB718)-ROW(AB$15),0),15-13*ORÇAMENTO!$AF$11)),0)</f>
        <v>0</v>
      </c>
      <c r="AC718" s="545">
        <f ca="1">IF(AND($D718="Serviço",AC$12&lt;&gt;0,$H718&gt;0,OR(AUTOEVENTO&lt;&gt;"manual",$M718&lt;&gt;1)),
IF(Import.TipoArredondamento&lt;&gt;"TransfereGOV",
ROUND(OFFSET($P718,0,AC$13),15-13*ORÇAMENTO!$AF$7)/$H718*OFFSET(ORÇAMENTO!$X$15,ROW(AC718)-ROW(AC$15),0),
ROUND(ROUND(OFFSET($P718,0,AC$13),15-13*ORÇAMENTO!$AF$7)*OFFSET(ORÇAMENTO!$W$15,ROW(AC718)-ROW(AC$15),0),15-13*ORÇAMENTO!$AF$11)),0)</f>
        <v>0</v>
      </c>
      <c r="AD718" s="545">
        <f ca="1">IF(AND($D718="Serviço",AD$12&lt;&gt;0,$H718&gt;0,OR(AUTOEVENTO&lt;&gt;"manual",$M718&lt;&gt;1)),
IF(Import.TipoArredondamento&lt;&gt;"TransfereGOV",
ROUND(OFFSET($P718,0,AD$13),15-13*ORÇAMENTO!$AF$7)/$H718*OFFSET(ORÇAMENTO!$X$15,ROW(AD718)-ROW(AD$15),0),
ROUND(ROUND(OFFSET($P718,0,AD$13),15-13*ORÇAMENTO!$AF$7)*OFFSET(ORÇAMENTO!$W$15,ROW(AD718)-ROW(AD$15),0),15-13*ORÇAMENTO!$AF$11)),0)</f>
        <v>0</v>
      </c>
      <c r="AE718" s="545">
        <f ca="1">IF(AND($D718="Serviço",AE$12&lt;&gt;0,$H718&gt;0,OR(AUTOEVENTO&lt;&gt;"manual",$M718&lt;&gt;1)),
IF(Import.TipoArredondamento&lt;&gt;"TransfereGOV",
ROUND(OFFSET($P718,0,AE$13),15-13*ORÇAMENTO!$AF$7)/$H718*OFFSET(ORÇAMENTO!$X$15,ROW(AE718)-ROW(AE$15),0),
ROUND(ROUND(OFFSET($P718,0,AE$13),15-13*ORÇAMENTO!$AF$7)*OFFSET(ORÇAMENTO!$W$15,ROW(AE718)-ROW(AE$15),0),15-13*ORÇAMENTO!$AF$11)),0)</f>
        <v>0</v>
      </c>
      <c r="AF718" s="545">
        <f ca="1">IF(AND($D718="Serviço",AF$12&lt;&gt;0,$H718&gt;0,OR(AUTOEVENTO&lt;&gt;"manual",$M718&lt;&gt;1)),
IF(Import.TipoArredondamento&lt;&gt;"TransfereGOV",
ROUND(OFFSET($P718,0,AF$13),15-13*ORÇAMENTO!$AF$7)/$H718*OFFSET(ORÇAMENTO!$X$15,ROW(AF718)-ROW(AF$15),0),
ROUND(ROUND(OFFSET($P718,0,AF$13),15-13*ORÇAMENTO!$AF$7)*OFFSET(ORÇAMENTO!$W$15,ROW(AF718)-ROW(AF$15),0),15-13*ORÇAMENTO!$AF$11)),0)</f>
        <v>0</v>
      </c>
      <c r="AG718" s="545">
        <f ca="1">IF(AND($D718="Serviço",AG$12&lt;&gt;0,$H718&gt;0,OR(AUTOEVENTO&lt;&gt;"manual",$M718&lt;&gt;1)),
IF(Import.TipoArredondamento&lt;&gt;"TransfereGOV",
ROUND(OFFSET($P718,0,AG$13),15-13*ORÇAMENTO!$AF$7)/$H718*OFFSET(ORÇAMENTO!$X$15,ROW(AG718)-ROW(AG$15),0),
ROUND(ROUND(OFFSET($P718,0,AG$13),15-13*ORÇAMENTO!$AF$7)*OFFSET(ORÇAMENTO!$W$15,ROW(AG718)-ROW(AG$15),0),15-13*ORÇAMENTO!$AF$11)),0)</f>
        <v>0</v>
      </c>
      <c r="AH718" s="545">
        <f ca="1">IF(AND($D718="Serviço",AH$12&lt;&gt;0,$H718&gt;0,OR(AUTOEVENTO&lt;&gt;"manual",$M718&lt;&gt;1)),
IF(Import.TipoArredondamento&lt;&gt;"TransfereGOV",
ROUND(OFFSET($P718,0,AH$13),15-13*ORÇAMENTO!$AF$7)/$H718*OFFSET(ORÇAMENTO!$X$15,ROW(AH718)-ROW(AH$15),0),
ROUND(ROUND(OFFSET($P718,0,AH$13),15-13*ORÇAMENTO!$AF$7)*OFFSET(ORÇAMENTO!$W$15,ROW(AH718)-ROW(AH$15),0),15-13*ORÇAMENTO!$AF$11)),0)</f>
        <v>0</v>
      </c>
      <c r="AI718" s="545">
        <f ca="1">IF(AND($D718="Serviço",AI$12&lt;&gt;0,$H718&gt;0,OR(AUTOEVENTO&lt;&gt;"manual",$M718&lt;&gt;1)),
IF(Import.TipoArredondamento&lt;&gt;"TransfereGOV",
ROUND(OFFSET($P718,0,AI$13),15-13*ORÇAMENTO!$AF$7)/$H718*OFFSET(ORÇAMENTO!$X$15,ROW(AI718)-ROW(AI$15),0),
ROUND(ROUND(OFFSET($P718,0,AI$13),15-13*ORÇAMENTO!$AF$7)*OFFSET(ORÇAMENTO!$W$15,ROW(AI718)-ROW(AI$15),0),15-13*ORÇAMENTO!$AF$11)),0)</f>
        <v>0</v>
      </c>
      <c r="AJ718" s="545">
        <f ca="1">IF(AND($D718="Serviço",AJ$12&lt;&gt;0,$H718&gt;0,OR(AUTOEVENTO&lt;&gt;"manual",$M718&lt;&gt;1)),
IF(Import.TipoArredondamento&lt;&gt;"TransfereGOV",
ROUND(OFFSET($P718,0,AJ$13),15-13*ORÇAMENTO!$AF$7)/$H718*OFFSET(ORÇAMENTO!$X$15,ROW(AJ718)-ROW(AJ$15),0),
ROUND(ROUND(OFFSET($P718,0,AJ$13),15-13*ORÇAMENTO!$AF$7)*OFFSET(ORÇAMENTO!$W$15,ROW(AJ718)-ROW(AJ$15),0),15-13*ORÇAMENTO!$AF$11)),0)</f>
        <v>0</v>
      </c>
      <c r="AK718" s="546">
        <f ca="1">IF(AND($D718="Serviço",AK$12&lt;&gt;0,$H718&gt;0,OR(AUTOEVENTO&lt;&gt;"manual",$M718&lt;&gt;1)),
IF(Import.TipoArredondamento&lt;&gt;"TransfereGOV",
ROUND(OFFSET($P718,0,AK$13),15-13*ORÇAMENTO!$AF$7)/$H718*OFFSET(ORÇAMENTO!$X$15,ROW(AK718)-ROW(AK$15),0),
ROUND(ROUND(OFFSET($P718,0,AK$13),15-13*ORÇAMENTO!$AF$7)*OFFSET(ORÇAMENTO!$W$15,ROW(AK718)-ROW(AK$15),0),15-13*ORÇAMENTO!$AF$11)),0)</f>
        <v>0</v>
      </c>
      <c r="AM718" s="181">
        <f ca="1">IF($D718&lt;&gt;"Serviço",0,IF(AND(AUTOEVENTO="Manual",$M718=1),0,IF(OFFSET(CRONOPLE!$F$14,$M718,AM$13)="",10^12,OFFSET(CRONOPLE!$F$14,$M718,AM$13))))</f>
        <v>0</v>
      </c>
      <c r="AN718" s="181">
        <f ca="1">IF($D718&lt;&gt;"Serviço",0,IF(AND(AUTOEVENTO="Manual",$M718=1),0,IF(OFFSET(CRONOPLE!$F$14,$M718,AN$13)="",10^12,OFFSET(CRONOPLE!$F$14,$M718,AN$13))))</f>
        <v>0</v>
      </c>
      <c r="AO718" s="181">
        <f ca="1">IF($D718&lt;&gt;"Serviço",0,IF(AND(AUTOEVENTO="Manual",$M718=1),0,IF(OFFSET(CRONOPLE!$F$14,$M718,AO$13)="",10^12,OFFSET(CRONOPLE!$F$14,$M718,AO$13))))</f>
        <v>0</v>
      </c>
      <c r="AP718" s="181">
        <f ca="1">IF($D718&lt;&gt;"Serviço",0,IF(AND(AUTOEVENTO="Manual",$M718=1),0,IF(OFFSET(CRONOPLE!$F$14,$M718,AP$13)="",10^12,OFFSET(CRONOPLE!$F$14,$M718,AP$13))))</f>
        <v>0</v>
      </c>
      <c r="AQ718" s="181">
        <f ca="1">IF($D718&lt;&gt;"Serviço",0,IF(AND(AUTOEVENTO="Manual",$M718=1),0,IF(OFFSET(CRONOPLE!$F$14,$M718,AQ$13)="",10^12,OFFSET(CRONOPLE!$F$14,$M718,AQ$13))))</f>
        <v>0</v>
      </c>
      <c r="AR718" s="181">
        <f ca="1">IF($D718&lt;&gt;"Serviço",0,IF(AND(AUTOEVENTO="Manual",$M718=1),0,IF(OFFSET(CRONOPLE!$F$14,$M718,AR$13)="",10^12,OFFSET(CRONOPLE!$F$14,$M718,AR$13))))</f>
        <v>0</v>
      </c>
      <c r="AS718" s="181">
        <f ca="1">IF($D718&lt;&gt;"Serviço",0,IF(AND(AUTOEVENTO="Manual",$M718=1),0,IF(OFFSET(CRONOPLE!$F$14,$M718,AS$13)="",10^12,OFFSET(CRONOPLE!$F$14,$M718,AS$13))))</f>
        <v>0</v>
      </c>
      <c r="AT718" s="181">
        <f ca="1">IF($D718&lt;&gt;"Serviço",0,IF(AND(AUTOEVENTO="Manual",$M718=1),0,IF(OFFSET(CRONOPLE!$F$14,$M718,AT$13)="",10^12,OFFSET(CRONOPLE!$F$14,$M718,AT$13))))</f>
        <v>0</v>
      </c>
      <c r="AU718" s="181">
        <f ca="1">IF($D718&lt;&gt;"Serviço",0,IF(AND(AUTOEVENTO="Manual",$M718=1),0,IF(OFFSET(CRONOPLE!$F$14,$M718,AU$13)="",10^12,OFFSET(CRONOPLE!$F$14,$M718,AU$13))))</f>
        <v>0</v>
      </c>
      <c r="AV718" s="181">
        <f ca="1">IF($D718&lt;&gt;"Serviço",0,IF(AND(AUTOEVENTO="Manual",$M718=1),0,IF(OFFSET(CRONOPLE!$F$14,$M718,AV$13)="",10^12,OFFSET(CRONOPLE!$F$14,$M718,AV$13))))</f>
        <v>0</v>
      </c>
      <c r="AX718" s="182">
        <f ca="1">IF($D718&lt;&gt;"Serviço",0,IF(OR(AND(AUTOEVENTO="Manual",$M718=1),$M718&gt;(ROW(PLE.lastrow)-ROW(PLE.firstrow))),0,IF(OFFSET(PLE!$G$14,$M718,AX$13)="",10^12,OFFSET(PLE!$G$14,$M718,AX$13))))</f>
        <v>0</v>
      </c>
      <c r="AY718" s="182">
        <f ca="1">IF($D718&lt;&gt;"Serviço",0,IF(OR(AND(AUTOEVENTO="Manual",$M718=1),$M718&gt;(ROW(PLE.lastrow)-ROW(PLE.firstrow))),0,IF(OFFSET(PLE!$G$14,$M718,AY$13)="",10^12,OFFSET(PLE!$G$14,$M718,AY$13))))</f>
        <v>0</v>
      </c>
      <c r="AZ718" s="182">
        <f ca="1">IF($D718&lt;&gt;"Serviço",0,IF(OR(AND(AUTOEVENTO="Manual",$M718=1),$M718&gt;(ROW(PLE.lastrow)-ROW(PLE.firstrow))),0,IF(OFFSET(PLE!$G$14,$M718,AZ$13)="",10^12,OFFSET(PLE!$G$14,$M718,AZ$13))))</f>
        <v>0</v>
      </c>
      <c r="BA718" s="182">
        <f ca="1">IF($D718&lt;&gt;"Serviço",0,IF(OR(AND(AUTOEVENTO="Manual",$M718=1),$M718&gt;(ROW(PLE.lastrow)-ROW(PLE.firstrow))),0,IF(OFFSET(PLE!$G$14,$M718,BA$13)="",10^12,OFFSET(PLE!$G$14,$M718,BA$13))))</f>
        <v>0</v>
      </c>
      <c r="BB718" s="182">
        <f ca="1">IF($D718&lt;&gt;"Serviço",0,IF(OR(AND(AUTOEVENTO="Manual",$M718=1),$M718&gt;(ROW(PLE.lastrow)-ROW(PLE.firstrow))),0,IF(OFFSET(PLE!$G$14,$M718,BB$13)="",10^12,OFFSET(PLE!$G$14,$M718,BB$13))))</f>
        <v>0</v>
      </c>
      <c r="BC718" s="182">
        <f ca="1">IF($D718&lt;&gt;"Serviço",0,IF(OR(AND(AUTOEVENTO="Manual",$M718=1),$M718&gt;(ROW(PLE.lastrow)-ROW(PLE.firstrow))),0,IF(OFFSET(PLE!$G$14,$M718,BC$13)="",10^12,OFFSET(PLE!$G$14,$M718,BC$13))))</f>
        <v>0</v>
      </c>
      <c r="BD718" s="182">
        <f ca="1">IF($D718&lt;&gt;"Serviço",0,IF(OR(AND(AUTOEVENTO="Manual",$M718=1),$M718&gt;(ROW(PLE.lastrow)-ROW(PLE.firstrow))),0,IF(OFFSET(PLE!$G$14,$M718,BD$13)="",10^12,OFFSET(PLE!$G$14,$M718,BD$13))))</f>
        <v>0</v>
      </c>
      <c r="BE718" s="182">
        <f ca="1">IF($D718&lt;&gt;"Serviço",0,IF(OR(AND(AUTOEVENTO="Manual",$M718=1),$M718&gt;(ROW(PLE.lastrow)-ROW(PLE.firstrow))),0,IF(OFFSET(PLE!$G$14,$M718,BE$13)="",10^12,OFFSET(PLE!$G$14,$M718,BE$13))))</f>
        <v>0</v>
      </c>
      <c r="BF718" s="182">
        <f ca="1">IF($D718&lt;&gt;"Serviço",0,IF(OR(AND(AUTOEVENTO="Manual",$M718=1),$M718&gt;(ROW(PLE.lastrow)-ROW(PLE.firstrow))),0,IF(OFFSET(PLE!$G$14,$M718,BF$13)="",10^12,OFFSET(PLE!$G$14,$M718,BF$13))))</f>
        <v>0</v>
      </c>
      <c r="BG718" s="182">
        <f ca="1">IF($D718&lt;&gt;"Serviço",0,IF(OR(AND(AUTOEVENTO="Manual",$M718=1),$M718&gt;(ROW(PLE.lastrow)-ROW(PLE.firstrow))),0,IF(OFFSET(PLE!$G$14,$M718,BG$13)="",10^12,OFFSET(PLE!$G$14,$M718,BG$13))))</f>
        <v>0</v>
      </c>
    </row>
    <row r="719" spans="1:59" ht="51" x14ac:dyDescent="0.2">
      <c r="A719" s="7" t="str">
        <f t="shared" ca="1" si="18"/>
        <v>679</v>
      </c>
      <c r="B719" s="7" t="str">
        <f ca="1">OFFSET(ORÇAMENTO!C$15,ROW(B719)-ROW(B$15),0)</f>
        <v>S</v>
      </c>
      <c r="C719" s="7" t="str">
        <f ca="1">OFFSET(ORÇAMENTO!L$15,ROW(C719)-ROW(C$15),0)</f>
        <v/>
      </c>
      <c r="D719" s="118" t="str">
        <f ca="1">OFFSET(ORÇAMENTO!N$15,ROW(D719)-ROW(D$15),0)</f>
        <v>Serviço</v>
      </c>
      <c r="E719" s="119" t="str">
        <f ca="1">OFFSET(ORÇAMENTO!O$15,ROW(E719)-ROW(E$15),0)</f>
        <v>-</v>
      </c>
      <c r="F719" s="172" t="str">
        <f ca="1">OFFSET(ORÇAMENTO!R$15,ROW(F719)-ROW(F$15),0)</f>
        <v>(abra o arquivo 'Referência 02-2025.xlsm)</v>
      </c>
      <c r="G719" s="173" t="str">
        <f ca="1">IF($D719&lt;&gt;"Serviço","",OFFSET(ORÇAMENTO!S$15,ROW(G719)-ROW(G$15),0))</f>
        <v>-</v>
      </c>
      <c r="H719" s="124">
        <f ca="1">IF($D719&lt;&gt;"Serviço",0,IF(ACOMPANHAMENTO="BM",ROUND(OFFSET(ORÇAMENTO!AJ$15,ROW(H719)-ROW(H$15),0),15-13*ORÇAMENTO!$AF$7),SUMPRODUCT(($Q$12:$AA$12&lt;&gt;"")*ROUND($Q719:$AA719,15-13*ORÇAMENTO!$AF$7))))</f>
        <v>94.62</v>
      </c>
      <c r="I719" s="561" t="s">
        <v>890</v>
      </c>
      <c r="K719" s="174"/>
      <c r="L719" s="175" t="s">
        <v>255</v>
      </c>
      <c r="M719" s="176">
        <f ca="1">IF($D719&lt;&gt;"Serviço","",IF(AUTOEVENTO="manual",$A719,IF(ISERROR(MATCH($A719,$A$15:OFFSET($A719,-1,0),0)),MAX($M$15:OFFSET(M719,-1,0))+1,INDEX($M$15:OFFSET(M719,-1,0),MATCH($A719,$A$15:OFFSET($A719,-1,0),0)))))</f>
        <v>25</v>
      </c>
      <c r="N719" s="177" t="str">
        <f ca="1">IF($D719&lt;&gt;"Serviço","",IF(AUTOEVENTO="Manual",IF($A719=0,"&lt;-- defina o número do agrupador",OFFSET(EVENTOS!$D$14,$A719,0)),OFFSET($F$15,$A719,0)))</f>
        <v>FECHAMENTO - MURO</v>
      </c>
      <c r="O719" s="178"/>
      <c r="Q719" s="178"/>
      <c r="R719" s="179"/>
      <c r="S719" s="179"/>
      <c r="T719" s="179"/>
      <c r="U719" s="179"/>
      <c r="V719" s="179"/>
      <c r="W719" s="179"/>
      <c r="X719" s="179"/>
      <c r="Y719" s="179"/>
      <c r="Z719" s="180"/>
      <c r="AB719" s="544">
        <f ca="1">IF(AND($D719="Serviço",AB$12&lt;&gt;0,$H719&gt;0,OR(AUTOEVENTO&lt;&gt;"manual",$M719&lt;&gt;1)),
IF(Import.TipoArredondamento&lt;&gt;"TransfereGOV",
ROUND(OFFSET($P719,0,AB$13),15-13*ORÇAMENTO!$AF$7)/$H719*OFFSET(ORÇAMENTO!$X$15,ROW(AB719)-ROW(AB$15),0),
ROUND(ROUND(OFFSET($P719,0,AB$13),15-13*ORÇAMENTO!$AF$7)*OFFSET(ORÇAMENTO!$W$15,ROW(AB719)-ROW(AB$15),0),15-13*ORÇAMENTO!$AF$11)),0)</f>
        <v>0</v>
      </c>
      <c r="AC719" s="545">
        <f ca="1">IF(AND($D719="Serviço",AC$12&lt;&gt;0,$H719&gt;0,OR(AUTOEVENTO&lt;&gt;"manual",$M719&lt;&gt;1)),
IF(Import.TipoArredondamento&lt;&gt;"TransfereGOV",
ROUND(OFFSET($P719,0,AC$13),15-13*ORÇAMENTO!$AF$7)/$H719*OFFSET(ORÇAMENTO!$X$15,ROW(AC719)-ROW(AC$15),0),
ROUND(ROUND(OFFSET($P719,0,AC$13),15-13*ORÇAMENTO!$AF$7)*OFFSET(ORÇAMENTO!$W$15,ROW(AC719)-ROW(AC$15),0),15-13*ORÇAMENTO!$AF$11)),0)</f>
        <v>0</v>
      </c>
      <c r="AD719" s="545">
        <f ca="1">IF(AND($D719="Serviço",AD$12&lt;&gt;0,$H719&gt;0,OR(AUTOEVENTO&lt;&gt;"manual",$M719&lt;&gt;1)),
IF(Import.TipoArredondamento&lt;&gt;"TransfereGOV",
ROUND(OFFSET($P719,0,AD$13),15-13*ORÇAMENTO!$AF$7)/$H719*OFFSET(ORÇAMENTO!$X$15,ROW(AD719)-ROW(AD$15),0),
ROUND(ROUND(OFFSET($P719,0,AD$13),15-13*ORÇAMENTO!$AF$7)*OFFSET(ORÇAMENTO!$W$15,ROW(AD719)-ROW(AD$15),0),15-13*ORÇAMENTO!$AF$11)),0)</f>
        <v>0</v>
      </c>
      <c r="AE719" s="545">
        <f ca="1">IF(AND($D719="Serviço",AE$12&lt;&gt;0,$H719&gt;0,OR(AUTOEVENTO&lt;&gt;"manual",$M719&lt;&gt;1)),
IF(Import.TipoArredondamento&lt;&gt;"TransfereGOV",
ROUND(OFFSET($P719,0,AE$13),15-13*ORÇAMENTO!$AF$7)/$H719*OFFSET(ORÇAMENTO!$X$15,ROW(AE719)-ROW(AE$15),0),
ROUND(ROUND(OFFSET($P719,0,AE$13),15-13*ORÇAMENTO!$AF$7)*OFFSET(ORÇAMENTO!$W$15,ROW(AE719)-ROW(AE$15),0),15-13*ORÇAMENTO!$AF$11)),0)</f>
        <v>0</v>
      </c>
      <c r="AF719" s="545">
        <f ca="1">IF(AND($D719="Serviço",AF$12&lt;&gt;0,$H719&gt;0,OR(AUTOEVENTO&lt;&gt;"manual",$M719&lt;&gt;1)),
IF(Import.TipoArredondamento&lt;&gt;"TransfereGOV",
ROUND(OFFSET($P719,0,AF$13),15-13*ORÇAMENTO!$AF$7)/$H719*OFFSET(ORÇAMENTO!$X$15,ROW(AF719)-ROW(AF$15),0),
ROUND(ROUND(OFFSET($P719,0,AF$13),15-13*ORÇAMENTO!$AF$7)*OFFSET(ORÇAMENTO!$W$15,ROW(AF719)-ROW(AF$15),0),15-13*ORÇAMENTO!$AF$11)),0)</f>
        <v>0</v>
      </c>
      <c r="AG719" s="545">
        <f ca="1">IF(AND($D719="Serviço",AG$12&lt;&gt;0,$H719&gt;0,OR(AUTOEVENTO&lt;&gt;"manual",$M719&lt;&gt;1)),
IF(Import.TipoArredondamento&lt;&gt;"TransfereGOV",
ROUND(OFFSET($P719,0,AG$13),15-13*ORÇAMENTO!$AF$7)/$H719*OFFSET(ORÇAMENTO!$X$15,ROW(AG719)-ROW(AG$15),0),
ROUND(ROUND(OFFSET($P719,0,AG$13),15-13*ORÇAMENTO!$AF$7)*OFFSET(ORÇAMENTO!$W$15,ROW(AG719)-ROW(AG$15),0),15-13*ORÇAMENTO!$AF$11)),0)</f>
        <v>0</v>
      </c>
      <c r="AH719" s="545">
        <f ca="1">IF(AND($D719="Serviço",AH$12&lt;&gt;0,$H719&gt;0,OR(AUTOEVENTO&lt;&gt;"manual",$M719&lt;&gt;1)),
IF(Import.TipoArredondamento&lt;&gt;"TransfereGOV",
ROUND(OFFSET($P719,0,AH$13),15-13*ORÇAMENTO!$AF$7)/$H719*OFFSET(ORÇAMENTO!$X$15,ROW(AH719)-ROW(AH$15),0),
ROUND(ROUND(OFFSET($P719,0,AH$13),15-13*ORÇAMENTO!$AF$7)*OFFSET(ORÇAMENTO!$W$15,ROW(AH719)-ROW(AH$15),0),15-13*ORÇAMENTO!$AF$11)),0)</f>
        <v>0</v>
      </c>
      <c r="AI719" s="545">
        <f ca="1">IF(AND($D719="Serviço",AI$12&lt;&gt;0,$H719&gt;0,OR(AUTOEVENTO&lt;&gt;"manual",$M719&lt;&gt;1)),
IF(Import.TipoArredondamento&lt;&gt;"TransfereGOV",
ROUND(OFFSET($P719,0,AI$13),15-13*ORÇAMENTO!$AF$7)/$H719*OFFSET(ORÇAMENTO!$X$15,ROW(AI719)-ROW(AI$15),0),
ROUND(ROUND(OFFSET($P719,0,AI$13),15-13*ORÇAMENTO!$AF$7)*OFFSET(ORÇAMENTO!$W$15,ROW(AI719)-ROW(AI$15),0),15-13*ORÇAMENTO!$AF$11)),0)</f>
        <v>0</v>
      </c>
      <c r="AJ719" s="545">
        <f ca="1">IF(AND($D719="Serviço",AJ$12&lt;&gt;0,$H719&gt;0,OR(AUTOEVENTO&lt;&gt;"manual",$M719&lt;&gt;1)),
IF(Import.TipoArredondamento&lt;&gt;"TransfereGOV",
ROUND(OFFSET($P719,0,AJ$13),15-13*ORÇAMENTO!$AF$7)/$H719*OFFSET(ORÇAMENTO!$X$15,ROW(AJ719)-ROW(AJ$15),0),
ROUND(ROUND(OFFSET($P719,0,AJ$13),15-13*ORÇAMENTO!$AF$7)*OFFSET(ORÇAMENTO!$W$15,ROW(AJ719)-ROW(AJ$15),0),15-13*ORÇAMENTO!$AF$11)),0)</f>
        <v>0</v>
      </c>
      <c r="AK719" s="546">
        <f ca="1">IF(AND($D719="Serviço",AK$12&lt;&gt;0,$H719&gt;0,OR(AUTOEVENTO&lt;&gt;"manual",$M719&lt;&gt;1)),
IF(Import.TipoArredondamento&lt;&gt;"TransfereGOV",
ROUND(OFFSET($P719,0,AK$13),15-13*ORÇAMENTO!$AF$7)/$H719*OFFSET(ORÇAMENTO!$X$15,ROW(AK719)-ROW(AK$15),0),
ROUND(ROUND(OFFSET($P719,0,AK$13),15-13*ORÇAMENTO!$AF$7)*OFFSET(ORÇAMENTO!$W$15,ROW(AK719)-ROW(AK$15),0),15-13*ORÇAMENTO!$AF$11)),0)</f>
        <v>0</v>
      </c>
      <c r="AM719" s="181">
        <f ca="1">IF($D719&lt;&gt;"Serviço",0,IF(AND(AUTOEVENTO="Manual",$M719=1),0,IF(OFFSET(CRONOPLE!$F$14,$M719,AM$13)="",10^12,OFFSET(CRONOPLE!$F$14,$M719,AM$13))))</f>
        <v>1000000000000</v>
      </c>
      <c r="AN719" s="181">
        <f ca="1">IF($D719&lt;&gt;"Serviço",0,IF(AND(AUTOEVENTO="Manual",$M719=1),0,IF(OFFSET(CRONOPLE!$F$14,$M719,AN$13)="",10^12,OFFSET(CRONOPLE!$F$14,$M719,AN$13))))</f>
        <v>1000000000000</v>
      </c>
      <c r="AO719" s="181">
        <f ca="1">IF($D719&lt;&gt;"Serviço",0,IF(AND(AUTOEVENTO="Manual",$M719=1),0,IF(OFFSET(CRONOPLE!$F$14,$M719,AO$13)="",10^12,OFFSET(CRONOPLE!$F$14,$M719,AO$13))))</f>
        <v>1000000000000</v>
      </c>
      <c r="AP719" s="181">
        <f ca="1">IF($D719&lt;&gt;"Serviço",0,IF(AND(AUTOEVENTO="Manual",$M719=1),0,IF(OFFSET(CRONOPLE!$F$14,$M719,AP$13)="",10^12,OFFSET(CRONOPLE!$F$14,$M719,AP$13))))</f>
        <v>1000000000000</v>
      </c>
      <c r="AQ719" s="181">
        <f ca="1">IF($D719&lt;&gt;"Serviço",0,IF(AND(AUTOEVENTO="Manual",$M719=1),0,IF(OFFSET(CRONOPLE!$F$14,$M719,AQ$13)="",10^12,OFFSET(CRONOPLE!$F$14,$M719,AQ$13))))</f>
        <v>1000000000000</v>
      </c>
      <c r="AR719" s="181">
        <f ca="1">IF($D719&lt;&gt;"Serviço",0,IF(AND(AUTOEVENTO="Manual",$M719=1),0,IF(OFFSET(CRONOPLE!$F$14,$M719,AR$13)="",10^12,OFFSET(CRONOPLE!$F$14,$M719,AR$13))))</f>
        <v>1000000000000</v>
      </c>
      <c r="AS719" s="181">
        <f ca="1">IF($D719&lt;&gt;"Serviço",0,IF(AND(AUTOEVENTO="Manual",$M719=1),0,IF(OFFSET(CRONOPLE!$F$14,$M719,AS$13)="",10^12,OFFSET(CRONOPLE!$F$14,$M719,AS$13))))</f>
        <v>1000000000000</v>
      </c>
      <c r="AT719" s="181">
        <f ca="1">IF($D719&lt;&gt;"Serviço",0,IF(AND(AUTOEVENTO="Manual",$M719=1),0,IF(OFFSET(CRONOPLE!$F$14,$M719,AT$13)="",10^12,OFFSET(CRONOPLE!$F$14,$M719,AT$13))))</f>
        <v>1000000000000</v>
      </c>
      <c r="AU719" s="181">
        <f ca="1">IF($D719&lt;&gt;"Serviço",0,IF(AND(AUTOEVENTO="Manual",$M719=1),0,IF(OFFSET(CRONOPLE!$F$14,$M719,AU$13)="",10^12,OFFSET(CRONOPLE!$F$14,$M719,AU$13))))</f>
        <v>1000000000000</v>
      </c>
      <c r="AV719" s="181">
        <f ca="1">IF($D719&lt;&gt;"Serviço",0,IF(AND(AUTOEVENTO="Manual",$M719=1),0,IF(OFFSET(CRONOPLE!$F$14,$M719,AV$13)="",10^12,OFFSET(CRONOPLE!$F$14,$M719,AV$13))))</f>
        <v>1000000000000</v>
      </c>
      <c r="AX719" s="182">
        <f ca="1">IF($D719&lt;&gt;"Serviço",0,IF(OR(AND(AUTOEVENTO="Manual",$M719=1),$M719&gt;(ROW(PLE.lastrow)-ROW(PLE.firstrow))),0,IF(OFFSET(PLE!$G$14,$M719,AX$13)="",10^12,OFFSET(PLE!$G$14,$M719,AX$13))))</f>
        <v>1000000000000</v>
      </c>
      <c r="AY719" s="182">
        <f ca="1">IF($D719&lt;&gt;"Serviço",0,IF(OR(AND(AUTOEVENTO="Manual",$M719=1),$M719&gt;(ROW(PLE.lastrow)-ROW(PLE.firstrow))),0,IF(OFFSET(PLE!$G$14,$M719,AY$13)="",10^12,OFFSET(PLE!$G$14,$M719,AY$13))))</f>
        <v>1000000000000</v>
      </c>
      <c r="AZ719" s="182">
        <f ca="1">IF($D719&lt;&gt;"Serviço",0,IF(OR(AND(AUTOEVENTO="Manual",$M719=1),$M719&gt;(ROW(PLE.lastrow)-ROW(PLE.firstrow))),0,IF(OFFSET(PLE!$G$14,$M719,AZ$13)="",10^12,OFFSET(PLE!$G$14,$M719,AZ$13))))</f>
        <v>1000000000000</v>
      </c>
      <c r="BA719" s="182">
        <f ca="1">IF($D719&lt;&gt;"Serviço",0,IF(OR(AND(AUTOEVENTO="Manual",$M719=1),$M719&gt;(ROW(PLE.lastrow)-ROW(PLE.firstrow))),0,IF(OFFSET(PLE!$G$14,$M719,BA$13)="",10^12,OFFSET(PLE!$G$14,$M719,BA$13))))</f>
        <v>1000000000000</v>
      </c>
      <c r="BB719" s="182">
        <f ca="1">IF($D719&lt;&gt;"Serviço",0,IF(OR(AND(AUTOEVENTO="Manual",$M719=1),$M719&gt;(ROW(PLE.lastrow)-ROW(PLE.firstrow))),0,IF(OFFSET(PLE!$G$14,$M719,BB$13)="",10^12,OFFSET(PLE!$G$14,$M719,BB$13))))</f>
        <v>1000000000000</v>
      </c>
      <c r="BC719" s="182">
        <f ca="1">IF($D719&lt;&gt;"Serviço",0,IF(OR(AND(AUTOEVENTO="Manual",$M719=1),$M719&gt;(ROW(PLE.lastrow)-ROW(PLE.firstrow))),0,IF(OFFSET(PLE!$G$14,$M719,BC$13)="",10^12,OFFSET(PLE!$G$14,$M719,BC$13))))</f>
        <v>1000000000000</v>
      </c>
      <c r="BD719" s="182">
        <f ca="1">IF($D719&lt;&gt;"Serviço",0,IF(OR(AND(AUTOEVENTO="Manual",$M719=1),$M719&gt;(ROW(PLE.lastrow)-ROW(PLE.firstrow))),0,IF(OFFSET(PLE!$G$14,$M719,BD$13)="",10^12,OFFSET(PLE!$G$14,$M719,BD$13))))</f>
        <v>1000000000000</v>
      </c>
      <c r="BE719" s="182">
        <f ca="1">IF($D719&lt;&gt;"Serviço",0,IF(OR(AND(AUTOEVENTO="Manual",$M719=1),$M719&gt;(ROW(PLE.lastrow)-ROW(PLE.firstrow))),0,IF(OFFSET(PLE!$G$14,$M719,BE$13)="",10^12,OFFSET(PLE!$G$14,$M719,BE$13))))</f>
        <v>1000000000000</v>
      </c>
      <c r="BF719" s="182">
        <f ca="1">IF($D719&lt;&gt;"Serviço",0,IF(OR(AND(AUTOEVENTO="Manual",$M719=1),$M719&gt;(ROW(PLE.lastrow)-ROW(PLE.firstrow))),0,IF(OFFSET(PLE!$G$14,$M719,BF$13)="",10^12,OFFSET(PLE!$G$14,$M719,BF$13))))</f>
        <v>1000000000000</v>
      </c>
      <c r="BG719" s="182">
        <f ca="1">IF($D719&lt;&gt;"Serviço",0,IF(OR(AND(AUTOEVENTO="Manual",$M719=1),$M719&gt;(ROW(PLE.lastrow)-ROW(PLE.firstrow))),0,IF(OFFSET(PLE!$G$14,$M719,BG$13)="",10^12,OFFSET(PLE!$G$14,$M719,BG$13))))</f>
        <v>1000000000000</v>
      </c>
    </row>
    <row r="720" spans="1:59" ht="38.25" x14ac:dyDescent="0.2">
      <c r="A720" s="7" t="str">
        <f t="shared" ca="1" si="18"/>
        <v>679</v>
      </c>
      <c r="B720" s="7" t="str">
        <f ca="1">OFFSET(ORÇAMENTO!C$15,ROW(B720)-ROW(B$15),0)</f>
        <v>S</v>
      </c>
      <c r="C720" s="7" t="str">
        <f ca="1">OFFSET(ORÇAMENTO!L$15,ROW(C720)-ROW(C$15),0)</f>
        <v/>
      </c>
      <c r="D720" s="118" t="str">
        <f ca="1">OFFSET(ORÇAMENTO!N$15,ROW(D720)-ROW(D$15),0)</f>
        <v>Serviço</v>
      </c>
      <c r="E720" s="119" t="str">
        <f ca="1">OFFSET(ORÇAMENTO!O$15,ROW(E720)-ROW(E$15),0)</f>
        <v>-</v>
      </c>
      <c r="F720" s="172" t="str">
        <f ca="1">OFFSET(ORÇAMENTO!R$15,ROW(F720)-ROW(F$15),0)</f>
        <v>(abra o arquivo 'Referência 02-2025.xlsm)</v>
      </c>
      <c r="G720" s="173" t="str">
        <f ca="1">IF($D720&lt;&gt;"Serviço","",OFFSET(ORÇAMENTO!S$15,ROW(G720)-ROW(G$15),0))</f>
        <v>-</v>
      </c>
      <c r="H720" s="124">
        <f ca="1">IF($D720&lt;&gt;"Serviço",0,IF(ACOMPANHAMENTO="BM",ROUND(OFFSET(ORÇAMENTO!AJ$15,ROW(H720)-ROW(H$15),0),15-13*ORÇAMENTO!$AF$7),SUMPRODUCT(($Q$12:$AA$12&lt;&gt;"")*ROUND($Q720:$AA720,15-13*ORÇAMENTO!$AF$7))))</f>
        <v>290.24</v>
      </c>
      <c r="I720" s="561" t="s">
        <v>890</v>
      </c>
      <c r="K720" s="174"/>
      <c r="L720" s="175" t="s">
        <v>255</v>
      </c>
      <c r="M720" s="176">
        <f ca="1">IF($D720&lt;&gt;"Serviço","",IF(AUTOEVENTO="manual",$A720,IF(ISERROR(MATCH($A720,$A$15:OFFSET($A720,-1,0),0)),MAX($M$15:OFFSET(M720,-1,0))+1,INDEX($M$15:OFFSET(M720,-1,0),MATCH($A720,$A$15:OFFSET($A720,-1,0),0)))))</f>
        <v>25</v>
      </c>
      <c r="N720" s="177" t="str">
        <f ca="1">IF($D720&lt;&gt;"Serviço","",IF(AUTOEVENTO="Manual",IF($A720=0,"&lt;-- defina o número do agrupador",OFFSET(EVENTOS!$D$14,$A720,0)),OFFSET($F$15,$A720,0)))</f>
        <v>FECHAMENTO - MURO</v>
      </c>
      <c r="O720" s="178"/>
      <c r="Q720" s="178"/>
      <c r="R720" s="179"/>
      <c r="S720" s="179"/>
      <c r="T720" s="179"/>
      <c r="U720" s="179"/>
      <c r="V720" s="179"/>
      <c r="W720" s="179"/>
      <c r="X720" s="179"/>
      <c r="Y720" s="179"/>
      <c r="Z720" s="180"/>
      <c r="AB720" s="544">
        <f ca="1">IF(AND($D720="Serviço",AB$12&lt;&gt;0,$H720&gt;0,OR(AUTOEVENTO&lt;&gt;"manual",$M720&lt;&gt;1)),
IF(Import.TipoArredondamento&lt;&gt;"TransfereGOV",
ROUND(OFFSET($P720,0,AB$13),15-13*ORÇAMENTO!$AF$7)/$H720*OFFSET(ORÇAMENTO!$X$15,ROW(AB720)-ROW(AB$15),0),
ROUND(ROUND(OFFSET($P720,0,AB$13),15-13*ORÇAMENTO!$AF$7)*OFFSET(ORÇAMENTO!$W$15,ROW(AB720)-ROW(AB$15),0),15-13*ORÇAMENTO!$AF$11)),0)</f>
        <v>0</v>
      </c>
      <c r="AC720" s="545">
        <f ca="1">IF(AND($D720="Serviço",AC$12&lt;&gt;0,$H720&gt;0,OR(AUTOEVENTO&lt;&gt;"manual",$M720&lt;&gt;1)),
IF(Import.TipoArredondamento&lt;&gt;"TransfereGOV",
ROUND(OFFSET($P720,0,AC$13),15-13*ORÇAMENTO!$AF$7)/$H720*OFFSET(ORÇAMENTO!$X$15,ROW(AC720)-ROW(AC$15),0),
ROUND(ROUND(OFFSET($P720,0,AC$13),15-13*ORÇAMENTO!$AF$7)*OFFSET(ORÇAMENTO!$W$15,ROW(AC720)-ROW(AC$15),0),15-13*ORÇAMENTO!$AF$11)),0)</f>
        <v>0</v>
      </c>
      <c r="AD720" s="545">
        <f ca="1">IF(AND($D720="Serviço",AD$12&lt;&gt;0,$H720&gt;0,OR(AUTOEVENTO&lt;&gt;"manual",$M720&lt;&gt;1)),
IF(Import.TipoArredondamento&lt;&gt;"TransfereGOV",
ROUND(OFFSET($P720,0,AD$13),15-13*ORÇAMENTO!$AF$7)/$H720*OFFSET(ORÇAMENTO!$X$15,ROW(AD720)-ROW(AD$15),0),
ROUND(ROUND(OFFSET($P720,0,AD$13),15-13*ORÇAMENTO!$AF$7)*OFFSET(ORÇAMENTO!$W$15,ROW(AD720)-ROW(AD$15),0),15-13*ORÇAMENTO!$AF$11)),0)</f>
        <v>0</v>
      </c>
      <c r="AE720" s="545">
        <f ca="1">IF(AND($D720="Serviço",AE$12&lt;&gt;0,$H720&gt;0,OR(AUTOEVENTO&lt;&gt;"manual",$M720&lt;&gt;1)),
IF(Import.TipoArredondamento&lt;&gt;"TransfereGOV",
ROUND(OFFSET($P720,0,AE$13),15-13*ORÇAMENTO!$AF$7)/$H720*OFFSET(ORÇAMENTO!$X$15,ROW(AE720)-ROW(AE$15),0),
ROUND(ROUND(OFFSET($P720,0,AE$13),15-13*ORÇAMENTO!$AF$7)*OFFSET(ORÇAMENTO!$W$15,ROW(AE720)-ROW(AE$15),0),15-13*ORÇAMENTO!$AF$11)),0)</f>
        <v>0</v>
      </c>
      <c r="AF720" s="545">
        <f ca="1">IF(AND($D720="Serviço",AF$12&lt;&gt;0,$H720&gt;0,OR(AUTOEVENTO&lt;&gt;"manual",$M720&lt;&gt;1)),
IF(Import.TipoArredondamento&lt;&gt;"TransfereGOV",
ROUND(OFFSET($P720,0,AF$13),15-13*ORÇAMENTO!$AF$7)/$H720*OFFSET(ORÇAMENTO!$X$15,ROW(AF720)-ROW(AF$15),0),
ROUND(ROUND(OFFSET($P720,0,AF$13),15-13*ORÇAMENTO!$AF$7)*OFFSET(ORÇAMENTO!$W$15,ROW(AF720)-ROW(AF$15),0),15-13*ORÇAMENTO!$AF$11)),0)</f>
        <v>0</v>
      </c>
      <c r="AG720" s="545">
        <f ca="1">IF(AND($D720="Serviço",AG$12&lt;&gt;0,$H720&gt;0,OR(AUTOEVENTO&lt;&gt;"manual",$M720&lt;&gt;1)),
IF(Import.TipoArredondamento&lt;&gt;"TransfereGOV",
ROUND(OFFSET($P720,0,AG$13),15-13*ORÇAMENTO!$AF$7)/$H720*OFFSET(ORÇAMENTO!$X$15,ROW(AG720)-ROW(AG$15),0),
ROUND(ROUND(OFFSET($P720,0,AG$13),15-13*ORÇAMENTO!$AF$7)*OFFSET(ORÇAMENTO!$W$15,ROW(AG720)-ROW(AG$15),0),15-13*ORÇAMENTO!$AF$11)),0)</f>
        <v>0</v>
      </c>
      <c r="AH720" s="545">
        <f ca="1">IF(AND($D720="Serviço",AH$12&lt;&gt;0,$H720&gt;0,OR(AUTOEVENTO&lt;&gt;"manual",$M720&lt;&gt;1)),
IF(Import.TipoArredondamento&lt;&gt;"TransfereGOV",
ROUND(OFFSET($P720,0,AH$13),15-13*ORÇAMENTO!$AF$7)/$H720*OFFSET(ORÇAMENTO!$X$15,ROW(AH720)-ROW(AH$15),0),
ROUND(ROUND(OFFSET($P720,0,AH$13),15-13*ORÇAMENTO!$AF$7)*OFFSET(ORÇAMENTO!$W$15,ROW(AH720)-ROW(AH$15),0),15-13*ORÇAMENTO!$AF$11)),0)</f>
        <v>0</v>
      </c>
      <c r="AI720" s="545">
        <f ca="1">IF(AND($D720="Serviço",AI$12&lt;&gt;0,$H720&gt;0,OR(AUTOEVENTO&lt;&gt;"manual",$M720&lt;&gt;1)),
IF(Import.TipoArredondamento&lt;&gt;"TransfereGOV",
ROUND(OFFSET($P720,0,AI$13),15-13*ORÇAMENTO!$AF$7)/$H720*OFFSET(ORÇAMENTO!$X$15,ROW(AI720)-ROW(AI$15),0),
ROUND(ROUND(OFFSET($P720,0,AI$13),15-13*ORÇAMENTO!$AF$7)*OFFSET(ORÇAMENTO!$W$15,ROW(AI720)-ROW(AI$15),0),15-13*ORÇAMENTO!$AF$11)),0)</f>
        <v>0</v>
      </c>
      <c r="AJ720" s="545">
        <f ca="1">IF(AND($D720="Serviço",AJ$12&lt;&gt;0,$H720&gt;0,OR(AUTOEVENTO&lt;&gt;"manual",$M720&lt;&gt;1)),
IF(Import.TipoArredondamento&lt;&gt;"TransfereGOV",
ROUND(OFFSET($P720,0,AJ$13),15-13*ORÇAMENTO!$AF$7)/$H720*OFFSET(ORÇAMENTO!$X$15,ROW(AJ720)-ROW(AJ$15),0),
ROUND(ROUND(OFFSET($P720,0,AJ$13),15-13*ORÇAMENTO!$AF$7)*OFFSET(ORÇAMENTO!$W$15,ROW(AJ720)-ROW(AJ$15),0),15-13*ORÇAMENTO!$AF$11)),0)</f>
        <v>0</v>
      </c>
      <c r="AK720" s="546">
        <f ca="1">IF(AND($D720="Serviço",AK$12&lt;&gt;0,$H720&gt;0,OR(AUTOEVENTO&lt;&gt;"manual",$M720&lt;&gt;1)),
IF(Import.TipoArredondamento&lt;&gt;"TransfereGOV",
ROUND(OFFSET($P720,0,AK$13),15-13*ORÇAMENTO!$AF$7)/$H720*OFFSET(ORÇAMENTO!$X$15,ROW(AK720)-ROW(AK$15),0),
ROUND(ROUND(OFFSET($P720,0,AK$13),15-13*ORÇAMENTO!$AF$7)*OFFSET(ORÇAMENTO!$W$15,ROW(AK720)-ROW(AK$15),0),15-13*ORÇAMENTO!$AF$11)),0)</f>
        <v>0</v>
      </c>
      <c r="AM720" s="181">
        <f ca="1">IF($D720&lt;&gt;"Serviço",0,IF(AND(AUTOEVENTO="Manual",$M720=1),0,IF(OFFSET(CRONOPLE!$F$14,$M720,AM$13)="",10^12,OFFSET(CRONOPLE!$F$14,$M720,AM$13))))</f>
        <v>1000000000000</v>
      </c>
      <c r="AN720" s="181">
        <f ca="1">IF($D720&lt;&gt;"Serviço",0,IF(AND(AUTOEVENTO="Manual",$M720=1),0,IF(OFFSET(CRONOPLE!$F$14,$M720,AN$13)="",10^12,OFFSET(CRONOPLE!$F$14,$M720,AN$13))))</f>
        <v>1000000000000</v>
      </c>
      <c r="AO720" s="181">
        <f ca="1">IF($D720&lt;&gt;"Serviço",0,IF(AND(AUTOEVENTO="Manual",$M720=1),0,IF(OFFSET(CRONOPLE!$F$14,$M720,AO$13)="",10^12,OFFSET(CRONOPLE!$F$14,$M720,AO$13))))</f>
        <v>1000000000000</v>
      </c>
      <c r="AP720" s="181">
        <f ca="1">IF($D720&lt;&gt;"Serviço",0,IF(AND(AUTOEVENTO="Manual",$M720=1),0,IF(OFFSET(CRONOPLE!$F$14,$M720,AP$13)="",10^12,OFFSET(CRONOPLE!$F$14,$M720,AP$13))))</f>
        <v>1000000000000</v>
      </c>
      <c r="AQ720" s="181">
        <f ca="1">IF($D720&lt;&gt;"Serviço",0,IF(AND(AUTOEVENTO="Manual",$M720=1),0,IF(OFFSET(CRONOPLE!$F$14,$M720,AQ$13)="",10^12,OFFSET(CRONOPLE!$F$14,$M720,AQ$13))))</f>
        <v>1000000000000</v>
      </c>
      <c r="AR720" s="181">
        <f ca="1">IF($D720&lt;&gt;"Serviço",0,IF(AND(AUTOEVENTO="Manual",$M720=1),0,IF(OFFSET(CRONOPLE!$F$14,$M720,AR$13)="",10^12,OFFSET(CRONOPLE!$F$14,$M720,AR$13))))</f>
        <v>1000000000000</v>
      </c>
      <c r="AS720" s="181">
        <f ca="1">IF($D720&lt;&gt;"Serviço",0,IF(AND(AUTOEVENTO="Manual",$M720=1),0,IF(OFFSET(CRONOPLE!$F$14,$M720,AS$13)="",10^12,OFFSET(CRONOPLE!$F$14,$M720,AS$13))))</f>
        <v>1000000000000</v>
      </c>
      <c r="AT720" s="181">
        <f ca="1">IF($D720&lt;&gt;"Serviço",0,IF(AND(AUTOEVENTO="Manual",$M720=1),0,IF(OFFSET(CRONOPLE!$F$14,$M720,AT$13)="",10^12,OFFSET(CRONOPLE!$F$14,$M720,AT$13))))</f>
        <v>1000000000000</v>
      </c>
      <c r="AU720" s="181">
        <f ca="1">IF($D720&lt;&gt;"Serviço",0,IF(AND(AUTOEVENTO="Manual",$M720=1),0,IF(OFFSET(CRONOPLE!$F$14,$M720,AU$13)="",10^12,OFFSET(CRONOPLE!$F$14,$M720,AU$13))))</f>
        <v>1000000000000</v>
      </c>
      <c r="AV720" s="181">
        <f ca="1">IF($D720&lt;&gt;"Serviço",0,IF(AND(AUTOEVENTO="Manual",$M720=1),0,IF(OFFSET(CRONOPLE!$F$14,$M720,AV$13)="",10^12,OFFSET(CRONOPLE!$F$14,$M720,AV$13))))</f>
        <v>1000000000000</v>
      </c>
      <c r="AX720" s="182">
        <f ca="1">IF($D720&lt;&gt;"Serviço",0,IF(OR(AND(AUTOEVENTO="Manual",$M720=1),$M720&gt;(ROW(PLE.lastrow)-ROW(PLE.firstrow))),0,IF(OFFSET(PLE!$G$14,$M720,AX$13)="",10^12,OFFSET(PLE!$G$14,$M720,AX$13))))</f>
        <v>1000000000000</v>
      </c>
      <c r="AY720" s="182">
        <f ca="1">IF($D720&lt;&gt;"Serviço",0,IF(OR(AND(AUTOEVENTO="Manual",$M720=1),$M720&gt;(ROW(PLE.lastrow)-ROW(PLE.firstrow))),0,IF(OFFSET(PLE!$G$14,$M720,AY$13)="",10^12,OFFSET(PLE!$G$14,$M720,AY$13))))</f>
        <v>1000000000000</v>
      </c>
      <c r="AZ720" s="182">
        <f ca="1">IF($D720&lt;&gt;"Serviço",0,IF(OR(AND(AUTOEVENTO="Manual",$M720=1),$M720&gt;(ROW(PLE.lastrow)-ROW(PLE.firstrow))),0,IF(OFFSET(PLE!$G$14,$M720,AZ$13)="",10^12,OFFSET(PLE!$G$14,$M720,AZ$13))))</f>
        <v>1000000000000</v>
      </c>
      <c r="BA720" s="182">
        <f ca="1">IF($D720&lt;&gt;"Serviço",0,IF(OR(AND(AUTOEVENTO="Manual",$M720=1),$M720&gt;(ROW(PLE.lastrow)-ROW(PLE.firstrow))),0,IF(OFFSET(PLE!$G$14,$M720,BA$13)="",10^12,OFFSET(PLE!$G$14,$M720,BA$13))))</f>
        <v>1000000000000</v>
      </c>
      <c r="BB720" s="182">
        <f ca="1">IF($D720&lt;&gt;"Serviço",0,IF(OR(AND(AUTOEVENTO="Manual",$M720=1),$M720&gt;(ROW(PLE.lastrow)-ROW(PLE.firstrow))),0,IF(OFFSET(PLE!$G$14,$M720,BB$13)="",10^12,OFFSET(PLE!$G$14,$M720,BB$13))))</f>
        <v>1000000000000</v>
      </c>
      <c r="BC720" s="182">
        <f ca="1">IF($D720&lt;&gt;"Serviço",0,IF(OR(AND(AUTOEVENTO="Manual",$M720=1),$M720&gt;(ROW(PLE.lastrow)-ROW(PLE.firstrow))),0,IF(OFFSET(PLE!$G$14,$M720,BC$13)="",10^12,OFFSET(PLE!$G$14,$M720,BC$13))))</f>
        <v>1000000000000</v>
      </c>
      <c r="BD720" s="182">
        <f ca="1">IF($D720&lt;&gt;"Serviço",0,IF(OR(AND(AUTOEVENTO="Manual",$M720=1),$M720&gt;(ROW(PLE.lastrow)-ROW(PLE.firstrow))),0,IF(OFFSET(PLE!$G$14,$M720,BD$13)="",10^12,OFFSET(PLE!$G$14,$M720,BD$13))))</f>
        <v>1000000000000</v>
      </c>
      <c r="BE720" s="182">
        <f ca="1">IF($D720&lt;&gt;"Serviço",0,IF(OR(AND(AUTOEVENTO="Manual",$M720=1),$M720&gt;(ROW(PLE.lastrow)-ROW(PLE.firstrow))),0,IF(OFFSET(PLE!$G$14,$M720,BE$13)="",10^12,OFFSET(PLE!$G$14,$M720,BE$13))))</f>
        <v>1000000000000</v>
      </c>
      <c r="BF720" s="182">
        <f ca="1">IF($D720&lt;&gt;"Serviço",0,IF(OR(AND(AUTOEVENTO="Manual",$M720=1),$M720&gt;(ROW(PLE.lastrow)-ROW(PLE.firstrow))),0,IF(OFFSET(PLE!$G$14,$M720,BF$13)="",10^12,OFFSET(PLE!$G$14,$M720,BF$13))))</f>
        <v>1000000000000</v>
      </c>
      <c r="BG720" s="182">
        <f ca="1">IF($D720&lt;&gt;"Serviço",0,IF(OR(AND(AUTOEVENTO="Manual",$M720=1),$M720&gt;(ROW(PLE.lastrow)-ROW(PLE.firstrow))),0,IF(OFFSET(PLE!$G$14,$M720,BG$13)="",10^12,OFFSET(PLE!$G$14,$M720,BG$13))))</f>
        <v>1000000000000</v>
      </c>
    </row>
    <row r="721" spans="1:59" ht="38.25" x14ac:dyDescent="0.2">
      <c r="A721" s="7" t="str">
        <f t="shared" ca="1" si="18"/>
        <v>679</v>
      </c>
      <c r="B721" s="7" t="str">
        <f ca="1">OFFSET(ORÇAMENTO!C$15,ROW(B721)-ROW(B$15),0)</f>
        <v>S</v>
      </c>
      <c r="C721" s="7" t="str">
        <f ca="1">OFFSET(ORÇAMENTO!L$15,ROW(C721)-ROW(C$15),0)</f>
        <v/>
      </c>
      <c r="D721" s="118" t="str">
        <f ca="1">OFFSET(ORÇAMENTO!N$15,ROW(D721)-ROW(D$15),0)</f>
        <v>Serviço</v>
      </c>
      <c r="E721" s="119" t="str">
        <f ca="1">OFFSET(ORÇAMENTO!O$15,ROW(E721)-ROW(E$15),0)</f>
        <v>-</v>
      </c>
      <c r="F721" s="172" t="str">
        <f ca="1">OFFSET(ORÇAMENTO!R$15,ROW(F721)-ROW(F$15),0)</f>
        <v>(abra o arquivo 'Referência 02-2025.xlsm)</v>
      </c>
      <c r="G721" s="173" t="str">
        <f ca="1">IF($D721&lt;&gt;"Serviço","",OFFSET(ORÇAMENTO!S$15,ROW(G721)-ROW(G$15),0))</f>
        <v>-</v>
      </c>
      <c r="H721" s="124">
        <f ca="1">IF($D721&lt;&gt;"Serviço",0,IF(ACOMPANHAMENTO="BM",ROUND(OFFSET(ORÇAMENTO!AJ$15,ROW(H721)-ROW(H$15),0),15-13*ORÇAMENTO!$AF$7),SUMPRODUCT(($Q$12:$AA$12&lt;&gt;"")*ROUND($Q721:$AA721,15-13*ORÇAMENTO!$AF$7))))</f>
        <v>374.9</v>
      </c>
      <c r="I721" s="561" t="s">
        <v>890</v>
      </c>
      <c r="K721" s="174"/>
      <c r="L721" s="175" t="s">
        <v>255</v>
      </c>
      <c r="M721" s="176">
        <f ca="1">IF($D721&lt;&gt;"Serviço","",IF(AUTOEVENTO="manual",$A721,IF(ISERROR(MATCH($A721,$A$15:OFFSET($A721,-1,0),0)),MAX($M$15:OFFSET(M721,-1,0))+1,INDEX($M$15:OFFSET(M721,-1,0),MATCH($A721,$A$15:OFFSET($A721,-1,0),0)))))</f>
        <v>25</v>
      </c>
      <c r="N721" s="177" t="str">
        <f ca="1">IF($D721&lt;&gt;"Serviço","",IF(AUTOEVENTO="Manual",IF($A721=0,"&lt;-- defina o número do agrupador",OFFSET(EVENTOS!$D$14,$A721,0)),OFFSET($F$15,$A721,0)))</f>
        <v>FECHAMENTO - MURO</v>
      </c>
      <c r="O721" s="178"/>
      <c r="Q721" s="178"/>
      <c r="R721" s="179"/>
      <c r="S721" s="179"/>
      <c r="T721" s="179"/>
      <c r="U721" s="179"/>
      <c r="V721" s="179"/>
      <c r="W721" s="179"/>
      <c r="X721" s="179"/>
      <c r="Y721" s="179"/>
      <c r="Z721" s="180"/>
      <c r="AB721" s="544">
        <f ca="1">IF(AND($D721="Serviço",AB$12&lt;&gt;0,$H721&gt;0,OR(AUTOEVENTO&lt;&gt;"manual",$M721&lt;&gt;1)),
IF(Import.TipoArredondamento&lt;&gt;"TransfereGOV",
ROUND(OFFSET($P721,0,AB$13),15-13*ORÇAMENTO!$AF$7)/$H721*OFFSET(ORÇAMENTO!$X$15,ROW(AB721)-ROW(AB$15),0),
ROUND(ROUND(OFFSET($P721,0,AB$13),15-13*ORÇAMENTO!$AF$7)*OFFSET(ORÇAMENTO!$W$15,ROW(AB721)-ROW(AB$15),0),15-13*ORÇAMENTO!$AF$11)),0)</f>
        <v>0</v>
      </c>
      <c r="AC721" s="545">
        <f ca="1">IF(AND($D721="Serviço",AC$12&lt;&gt;0,$H721&gt;0,OR(AUTOEVENTO&lt;&gt;"manual",$M721&lt;&gt;1)),
IF(Import.TipoArredondamento&lt;&gt;"TransfereGOV",
ROUND(OFFSET($P721,0,AC$13),15-13*ORÇAMENTO!$AF$7)/$H721*OFFSET(ORÇAMENTO!$X$15,ROW(AC721)-ROW(AC$15),0),
ROUND(ROUND(OFFSET($P721,0,AC$13),15-13*ORÇAMENTO!$AF$7)*OFFSET(ORÇAMENTO!$W$15,ROW(AC721)-ROW(AC$15),0),15-13*ORÇAMENTO!$AF$11)),0)</f>
        <v>0</v>
      </c>
      <c r="AD721" s="545">
        <f ca="1">IF(AND($D721="Serviço",AD$12&lt;&gt;0,$H721&gt;0,OR(AUTOEVENTO&lt;&gt;"manual",$M721&lt;&gt;1)),
IF(Import.TipoArredondamento&lt;&gt;"TransfereGOV",
ROUND(OFFSET($P721,0,AD$13),15-13*ORÇAMENTO!$AF$7)/$H721*OFFSET(ORÇAMENTO!$X$15,ROW(AD721)-ROW(AD$15),0),
ROUND(ROUND(OFFSET($P721,0,AD$13),15-13*ORÇAMENTO!$AF$7)*OFFSET(ORÇAMENTO!$W$15,ROW(AD721)-ROW(AD$15),0),15-13*ORÇAMENTO!$AF$11)),0)</f>
        <v>0</v>
      </c>
      <c r="AE721" s="545">
        <f ca="1">IF(AND($D721="Serviço",AE$12&lt;&gt;0,$H721&gt;0,OR(AUTOEVENTO&lt;&gt;"manual",$M721&lt;&gt;1)),
IF(Import.TipoArredondamento&lt;&gt;"TransfereGOV",
ROUND(OFFSET($P721,0,AE$13),15-13*ORÇAMENTO!$AF$7)/$H721*OFFSET(ORÇAMENTO!$X$15,ROW(AE721)-ROW(AE$15),0),
ROUND(ROUND(OFFSET($P721,0,AE$13),15-13*ORÇAMENTO!$AF$7)*OFFSET(ORÇAMENTO!$W$15,ROW(AE721)-ROW(AE$15),0),15-13*ORÇAMENTO!$AF$11)),0)</f>
        <v>0</v>
      </c>
      <c r="AF721" s="545">
        <f ca="1">IF(AND($D721="Serviço",AF$12&lt;&gt;0,$H721&gt;0,OR(AUTOEVENTO&lt;&gt;"manual",$M721&lt;&gt;1)),
IF(Import.TipoArredondamento&lt;&gt;"TransfereGOV",
ROUND(OFFSET($P721,0,AF$13),15-13*ORÇAMENTO!$AF$7)/$H721*OFFSET(ORÇAMENTO!$X$15,ROW(AF721)-ROW(AF$15),0),
ROUND(ROUND(OFFSET($P721,0,AF$13),15-13*ORÇAMENTO!$AF$7)*OFFSET(ORÇAMENTO!$W$15,ROW(AF721)-ROW(AF$15),0),15-13*ORÇAMENTO!$AF$11)),0)</f>
        <v>0</v>
      </c>
      <c r="AG721" s="545">
        <f ca="1">IF(AND($D721="Serviço",AG$12&lt;&gt;0,$H721&gt;0,OR(AUTOEVENTO&lt;&gt;"manual",$M721&lt;&gt;1)),
IF(Import.TipoArredondamento&lt;&gt;"TransfereGOV",
ROUND(OFFSET($P721,0,AG$13),15-13*ORÇAMENTO!$AF$7)/$H721*OFFSET(ORÇAMENTO!$X$15,ROW(AG721)-ROW(AG$15),0),
ROUND(ROUND(OFFSET($P721,0,AG$13),15-13*ORÇAMENTO!$AF$7)*OFFSET(ORÇAMENTO!$W$15,ROW(AG721)-ROW(AG$15),0),15-13*ORÇAMENTO!$AF$11)),0)</f>
        <v>0</v>
      </c>
      <c r="AH721" s="545">
        <f ca="1">IF(AND($D721="Serviço",AH$12&lt;&gt;0,$H721&gt;0,OR(AUTOEVENTO&lt;&gt;"manual",$M721&lt;&gt;1)),
IF(Import.TipoArredondamento&lt;&gt;"TransfereGOV",
ROUND(OFFSET($P721,0,AH$13),15-13*ORÇAMENTO!$AF$7)/$H721*OFFSET(ORÇAMENTO!$X$15,ROW(AH721)-ROW(AH$15),0),
ROUND(ROUND(OFFSET($P721,0,AH$13),15-13*ORÇAMENTO!$AF$7)*OFFSET(ORÇAMENTO!$W$15,ROW(AH721)-ROW(AH$15),0),15-13*ORÇAMENTO!$AF$11)),0)</f>
        <v>0</v>
      </c>
      <c r="AI721" s="545">
        <f ca="1">IF(AND($D721="Serviço",AI$12&lt;&gt;0,$H721&gt;0,OR(AUTOEVENTO&lt;&gt;"manual",$M721&lt;&gt;1)),
IF(Import.TipoArredondamento&lt;&gt;"TransfereGOV",
ROUND(OFFSET($P721,0,AI$13),15-13*ORÇAMENTO!$AF$7)/$H721*OFFSET(ORÇAMENTO!$X$15,ROW(AI721)-ROW(AI$15),0),
ROUND(ROUND(OFFSET($P721,0,AI$13),15-13*ORÇAMENTO!$AF$7)*OFFSET(ORÇAMENTO!$W$15,ROW(AI721)-ROW(AI$15),0),15-13*ORÇAMENTO!$AF$11)),0)</f>
        <v>0</v>
      </c>
      <c r="AJ721" s="545">
        <f ca="1">IF(AND($D721="Serviço",AJ$12&lt;&gt;0,$H721&gt;0,OR(AUTOEVENTO&lt;&gt;"manual",$M721&lt;&gt;1)),
IF(Import.TipoArredondamento&lt;&gt;"TransfereGOV",
ROUND(OFFSET($P721,0,AJ$13),15-13*ORÇAMENTO!$AF$7)/$H721*OFFSET(ORÇAMENTO!$X$15,ROW(AJ721)-ROW(AJ$15),0),
ROUND(ROUND(OFFSET($P721,0,AJ$13),15-13*ORÇAMENTO!$AF$7)*OFFSET(ORÇAMENTO!$W$15,ROW(AJ721)-ROW(AJ$15),0),15-13*ORÇAMENTO!$AF$11)),0)</f>
        <v>0</v>
      </c>
      <c r="AK721" s="546">
        <f ca="1">IF(AND($D721="Serviço",AK$12&lt;&gt;0,$H721&gt;0,OR(AUTOEVENTO&lt;&gt;"manual",$M721&lt;&gt;1)),
IF(Import.TipoArredondamento&lt;&gt;"TransfereGOV",
ROUND(OFFSET($P721,0,AK$13),15-13*ORÇAMENTO!$AF$7)/$H721*OFFSET(ORÇAMENTO!$X$15,ROW(AK721)-ROW(AK$15),0),
ROUND(ROUND(OFFSET($P721,0,AK$13),15-13*ORÇAMENTO!$AF$7)*OFFSET(ORÇAMENTO!$W$15,ROW(AK721)-ROW(AK$15),0),15-13*ORÇAMENTO!$AF$11)),0)</f>
        <v>0</v>
      </c>
      <c r="AM721" s="181">
        <f ca="1">IF($D721&lt;&gt;"Serviço",0,IF(AND(AUTOEVENTO="Manual",$M721=1),0,IF(OFFSET(CRONOPLE!$F$14,$M721,AM$13)="",10^12,OFFSET(CRONOPLE!$F$14,$M721,AM$13))))</f>
        <v>1000000000000</v>
      </c>
      <c r="AN721" s="181">
        <f ca="1">IF($D721&lt;&gt;"Serviço",0,IF(AND(AUTOEVENTO="Manual",$M721=1),0,IF(OFFSET(CRONOPLE!$F$14,$M721,AN$13)="",10^12,OFFSET(CRONOPLE!$F$14,$M721,AN$13))))</f>
        <v>1000000000000</v>
      </c>
      <c r="AO721" s="181">
        <f ca="1">IF($D721&lt;&gt;"Serviço",0,IF(AND(AUTOEVENTO="Manual",$M721=1),0,IF(OFFSET(CRONOPLE!$F$14,$M721,AO$13)="",10^12,OFFSET(CRONOPLE!$F$14,$M721,AO$13))))</f>
        <v>1000000000000</v>
      </c>
      <c r="AP721" s="181">
        <f ca="1">IF($D721&lt;&gt;"Serviço",0,IF(AND(AUTOEVENTO="Manual",$M721=1),0,IF(OFFSET(CRONOPLE!$F$14,$M721,AP$13)="",10^12,OFFSET(CRONOPLE!$F$14,$M721,AP$13))))</f>
        <v>1000000000000</v>
      </c>
      <c r="AQ721" s="181">
        <f ca="1">IF($D721&lt;&gt;"Serviço",0,IF(AND(AUTOEVENTO="Manual",$M721=1),0,IF(OFFSET(CRONOPLE!$F$14,$M721,AQ$13)="",10^12,OFFSET(CRONOPLE!$F$14,$M721,AQ$13))))</f>
        <v>1000000000000</v>
      </c>
      <c r="AR721" s="181">
        <f ca="1">IF($D721&lt;&gt;"Serviço",0,IF(AND(AUTOEVENTO="Manual",$M721=1),0,IF(OFFSET(CRONOPLE!$F$14,$M721,AR$13)="",10^12,OFFSET(CRONOPLE!$F$14,$M721,AR$13))))</f>
        <v>1000000000000</v>
      </c>
      <c r="AS721" s="181">
        <f ca="1">IF($D721&lt;&gt;"Serviço",0,IF(AND(AUTOEVENTO="Manual",$M721=1),0,IF(OFFSET(CRONOPLE!$F$14,$M721,AS$13)="",10^12,OFFSET(CRONOPLE!$F$14,$M721,AS$13))))</f>
        <v>1000000000000</v>
      </c>
      <c r="AT721" s="181">
        <f ca="1">IF($D721&lt;&gt;"Serviço",0,IF(AND(AUTOEVENTO="Manual",$M721=1),0,IF(OFFSET(CRONOPLE!$F$14,$M721,AT$13)="",10^12,OFFSET(CRONOPLE!$F$14,$M721,AT$13))))</f>
        <v>1000000000000</v>
      </c>
      <c r="AU721" s="181">
        <f ca="1">IF($D721&lt;&gt;"Serviço",0,IF(AND(AUTOEVENTO="Manual",$M721=1),0,IF(OFFSET(CRONOPLE!$F$14,$M721,AU$13)="",10^12,OFFSET(CRONOPLE!$F$14,$M721,AU$13))))</f>
        <v>1000000000000</v>
      </c>
      <c r="AV721" s="181">
        <f ca="1">IF($D721&lt;&gt;"Serviço",0,IF(AND(AUTOEVENTO="Manual",$M721=1),0,IF(OFFSET(CRONOPLE!$F$14,$M721,AV$13)="",10^12,OFFSET(CRONOPLE!$F$14,$M721,AV$13))))</f>
        <v>1000000000000</v>
      </c>
      <c r="AX721" s="182">
        <f ca="1">IF($D721&lt;&gt;"Serviço",0,IF(OR(AND(AUTOEVENTO="Manual",$M721=1),$M721&gt;(ROW(PLE.lastrow)-ROW(PLE.firstrow))),0,IF(OFFSET(PLE!$G$14,$M721,AX$13)="",10^12,OFFSET(PLE!$G$14,$M721,AX$13))))</f>
        <v>1000000000000</v>
      </c>
      <c r="AY721" s="182">
        <f ca="1">IF($D721&lt;&gt;"Serviço",0,IF(OR(AND(AUTOEVENTO="Manual",$M721=1),$M721&gt;(ROW(PLE.lastrow)-ROW(PLE.firstrow))),0,IF(OFFSET(PLE!$G$14,$M721,AY$13)="",10^12,OFFSET(PLE!$G$14,$M721,AY$13))))</f>
        <v>1000000000000</v>
      </c>
      <c r="AZ721" s="182">
        <f ca="1">IF($D721&lt;&gt;"Serviço",0,IF(OR(AND(AUTOEVENTO="Manual",$M721=1),$M721&gt;(ROW(PLE.lastrow)-ROW(PLE.firstrow))),0,IF(OFFSET(PLE!$G$14,$M721,AZ$13)="",10^12,OFFSET(PLE!$G$14,$M721,AZ$13))))</f>
        <v>1000000000000</v>
      </c>
      <c r="BA721" s="182">
        <f ca="1">IF($D721&lt;&gt;"Serviço",0,IF(OR(AND(AUTOEVENTO="Manual",$M721=1),$M721&gt;(ROW(PLE.lastrow)-ROW(PLE.firstrow))),0,IF(OFFSET(PLE!$G$14,$M721,BA$13)="",10^12,OFFSET(PLE!$G$14,$M721,BA$13))))</f>
        <v>1000000000000</v>
      </c>
      <c r="BB721" s="182">
        <f ca="1">IF($D721&lt;&gt;"Serviço",0,IF(OR(AND(AUTOEVENTO="Manual",$M721=1),$M721&gt;(ROW(PLE.lastrow)-ROW(PLE.firstrow))),0,IF(OFFSET(PLE!$G$14,$M721,BB$13)="",10^12,OFFSET(PLE!$G$14,$M721,BB$13))))</f>
        <v>1000000000000</v>
      </c>
      <c r="BC721" s="182">
        <f ca="1">IF($D721&lt;&gt;"Serviço",0,IF(OR(AND(AUTOEVENTO="Manual",$M721=1),$M721&gt;(ROW(PLE.lastrow)-ROW(PLE.firstrow))),0,IF(OFFSET(PLE!$G$14,$M721,BC$13)="",10^12,OFFSET(PLE!$G$14,$M721,BC$13))))</f>
        <v>1000000000000</v>
      </c>
      <c r="BD721" s="182">
        <f ca="1">IF($D721&lt;&gt;"Serviço",0,IF(OR(AND(AUTOEVENTO="Manual",$M721=1),$M721&gt;(ROW(PLE.lastrow)-ROW(PLE.firstrow))),0,IF(OFFSET(PLE!$G$14,$M721,BD$13)="",10^12,OFFSET(PLE!$G$14,$M721,BD$13))))</f>
        <v>1000000000000</v>
      </c>
      <c r="BE721" s="182">
        <f ca="1">IF($D721&lt;&gt;"Serviço",0,IF(OR(AND(AUTOEVENTO="Manual",$M721=1),$M721&gt;(ROW(PLE.lastrow)-ROW(PLE.firstrow))),0,IF(OFFSET(PLE!$G$14,$M721,BE$13)="",10^12,OFFSET(PLE!$G$14,$M721,BE$13))))</f>
        <v>1000000000000</v>
      </c>
      <c r="BF721" s="182">
        <f ca="1">IF($D721&lt;&gt;"Serviço",0,IF(OR(AND(AUTOEVENTO="Manual",$M721=1),$M721&gt;(ROW(PLE.lastrow)-ROW(PLE.firstrow))),0,IF(OFFSET(PLE!$G$14,$M721,BF$13)="",10^12,OFFSET(PLE!$G$14,$M721,BF$13))))</f>
        <v>1000000000000</v>
      </c>
      <c r="BG721" s="182">
        <f ca="1">IF($D721&lt;&gt;"Serviço",0,IF(OR(AND(AUTOEVENTO="Manual",$M721=1),$M721&gt;(ROW(PLE.lastrow)-ROW(PLE.firstrow))),0,IF(OFFSET(PLE!$G$14,$M721,BG$13)="",10^12,OFFSET(PLE!$G$14,$M721,BG$13))))</f>
        <v>1000000000000</v>
      </c>
    </row>
    <row r="722" spans="1:59" ht="25.5" x14ac:dyDescent="0.2">
      <c r="A722" s="7" t="str">
        <f t="shared" ca="1" si="18"/>
        <v>679</v>
      </c>
      <c r="B722" s="7" t="str">
        <f ca="1">OFFSET(ORÇAMENTO!C$15,ROW(B722)-ROW(B$15),0)</f>
        <v>S</v>
      </c>
      <c r="C722" s="7" t="str">
        <f ca="1">OFFSET(ORÇAMENTO!L$15,ROW(C722)-ROW(C$15),0)</f>
        <v/>
      </c>
      <c r="D722" s="118" t="str">
        <f ca="1">OFFSET(ORÇAMENTO!N$15,ROW(D722)-ROW(D$15),0)</f>
        <v>Serviço</v>
      </c>
      <c r="E722" s="119" t="str">
        <f ca="1">OFFSET(ORÇAMENTO!O$15,ROW(E722)-ROW(E$15),0)</f>
        <v>-</v>
      </c>
      <c r="F722" s="172" t="str">
        <f ca="1">OFFSET(ORÇAMENTO!R$15,ROW(F722)-ROW(F$15),0)</f>
        <v>(abra o arquivo 'Referência 02-2025.xlsm)</v>
      </c>
      <c r="G722" s="173" t="str">
        <f ca="1">IF($D722&lt;&gt;"Serviço","",OFFSET(ORÇAMENTO!S$15,ROW(G722)-ROW(G$15),0))</f>
        <v>-</v>
      </c>
      <c r="H722" s="124">
        <f ca="1">IF($D722&lt;&gt;"Serviço",0,IF(ACOMPANHAMENTO="BM",ROUND(OFFSET(ORÇAMENTO!AJ$15,ROW(H722)-ROW(H$15),0),15-13*ORÇAMENTO!$AF$7),SUMPRODUCT(($Q$12:$AA$12&lt;&gt;"")*ROUND($Q722:$AA722,15-13*ORÇAMENTO!$AF$7))))</f>
        <v>4.5199999999999996</v>
      </c>
      <c r="I722" s="561" t="s">
        <v>890</v>
      </c>
      <c r="K722" s="174"/>
      <c r="L722" s="175" t="s">
        <v>255</v>
      </c>
      <c r="M722" s="176">
        <f ca="1">IF($D722&lt;&gt;"Serviço","",IF(AUTOEVENTO="manual",$A722,IF(ISERROR(MATCH($A722,$A$15:OFFSET($A722,-1,0),0)),MAX($M$15:OFFSET(M722,-1,0))+1,INDEX($M$15:OFFSET(M722,-1,0),MATCH($A722,$A$15:OFFSET($A722,-1,0),0)))))</f>
        <v>25</v>
      </c>
      <c r="N722" s="177" t="str">
        <f ca="1">IF($D722&lt;&gt;"Serviço","",IF(AUTOEVENTO="Manual",IF($A722=0,"&lt;-- defina o número do agrupador",OFFSET(EVENTOS!$D$14,$A722,0)),OFFSET($F$15,$A722,0)))</f>
        <v>FECHAMENTO - MURO</v>
      </c>
      <c r="O722" s="178"/>
      <c r="Q722" s="178"/>
      <c r="R722" s="179"/>
      <c r="S722" s="179"/>
      <c r="T722" s="179"/>
      <c r="U722" s="179"/>
      <c r="V722" s="179"/>
      <c r="W722" s="179"/>
      <c r="X722" s="179"/>
      <c r="Y722" s="179"/>
      <c r="Z722" s="180"/>
      <c r="AB722" s="544">
        <f ca="1">IF(AND($D722="Serviço",AB$12&lt;&gt;0,$H722&gt;0,OR(AUTOEVENTO&lt;&gt;"manual",$M722&lt;&gt;1)),
IF(Import.TipoArredondamento&lt;&gt;"TransfereGOV",
ROUND(OFFSET($P722,0,AB$13),15-13*ORÇAMENTO!$AF$7)/$H722*OFFSET(ORÇAMENTO!$X$15,ROW(AB722)-ROW(AB$15),0),
ROUND(ROUND(OFFSET($P722,0,AB$13),15-13*ORÇAMENTO!$AF$7)*OFFSET(ORÇAMENTO!$W$15,ROW(AB722)-ROW(AB$15),0),15-13*ORÇAMENTO!$AF$11)),0)</f>
        <v>0</v>
      </c>
      <c r="AC722" s="545">
        <f ca="1">IF(AND($D722="Serviço",AC$12&lt;&gt;0,$H722&gt;0,OR(AUTOEVENTO&lt;&gt;"manual",$M722&lt;&gt;1)),
IF(Import.TipoArredondamento&lt;&gt;"TransfereGOV",
ROUND(OFFSET($P722,0,AC$13),15-13*ORÇAMENTO!$AF$7)/$H722*OFFSET(ORÇAMENTO!$X$15,ROW(AC722)-ROW(AC$15),0),
ROUND(ROUND(OFFSET($P722,0,AC$13),15-13*ORÇAMENTO!$AF$7)*OFFSET(ORÇAMENTO!$W$15,ROW(AC722)-ROW(AC$15),0),15-13*ORÇAMENTO!$AF$11)),0)</f>
        <v>0</v>
      </c>
      <c r="AD722" s="545">
        <f ca="1">IF(AND($D722="Serviço",AD$12&lt;&gt;0,$H722&gt;0,OR(AUTOEVENTO&lt;&gt;"manual",$M722&lt;&gt;1)),
IF(Import.TipoArredondamento&lt;&gt;"TransfereGOV",
ROUND(OFFSET($P722,0,AD$13),15-13*ORÇAMENTO!$AF$7)/$H722*OFFSET(ORÇAMENTO!$X$15,ROW(AD722)-ROW(AD$15),0),
ROUND(ROUND(OFFSET($P722,0,AD$13),15-13*ORÇAMENTO!$AF$7)*OFFSET(ORÇAMENTO!$W$15,ROW(AD722)-ROW(AD$15),0),15-13*ORÇAMENTO!$AF$11)),0)</f>
        <v>0</v>
      </c>
      <c r="AE722" s="545">
        <f ca="1">IF(AND($D722="Serviço",AE$12&lt;&gt;0,$H722&gt;0,OR(AUTOEVENTO&lt;&gt;"manual",$M722&lt;&gt;1)),
IF(Import.TipoArredondamento&lt;&gt;"TransfereGOV",
ROUND(OFFSET($P722,0,AE$13),15-13*ORÇAMENTO!$AF$7)/$H722*OFFSET(ORÇAMENTO!$X$15,ROW(AE722)-ROW(AE$15),0),
ROUND(ROUND(OFFSET($P722,0,AE$13),15-13*ORÇAMENTO!$AF$7)*OFFSET(ORÇAMENTO!$W$15,ROW(AE722)-ROW(AE$15),0),15-13*ORÇAMENTO!$AF$11)),0)</f>
        <v>0</v>
      </c>
      <c r="AF722" s="545">
        <f ca="1">IF(AND($D722="Serviço",AF$12&lt;&gt;0,$H722&gt;0,OR(AUTOEVENTO&lt;&gt;"manual",$M722&lt;&gt;1)),
IF(Import.TipoArredondamento&lt;&gt;"TransfereGOV",
ROUND(OFFSET($P722,0,AF$13),15-13*ORÇAMENTO!$AF$7)/$H722*OFFSET(ORÇAMENTO!$X$15,ROW(AF722)-ROW(AF$15),0),
ROUND(ROUND(OFFSET($P722,0,AF$13),15-13*ORÇAMENTO!$AF$7)*OFFSET(ORÇAMENTO!$W$15,ROW(AF722)-ROW(AF$15),0),15-13*ORÇAMENTO!$AF$11)),0)</f>
        <v>0</v>
      </c>
      <c r="AG722" s="545">
        <f ca="1">IF(AND($D722="Serviço",AG$12&lt;&gt;0,$H722&gt;0,OR(AUTOEVENTO&lt;&gt;"manual",$M722&lt;&gt;1)),
IF(Import.TipoArredondamento&lt;&gt;"TransfereGOV",
ROUND(OFFSET($P722,0,AG$13),15-13*ORÇAMENTO!$AF$7)/$H722*OFFSET(ORÇAMENTO!$X$15,ROW(AG722)-ROW(AG$15),0),
ROUND(ROUND(OFFSET($P722,0,AG$13),15-13*ORÇAMENTO!$AF$7)*OFFSET(ORÇAMENTO!$W$15,ROW(AG722)-ROW(AG$15),0),15-13*ORÇAMENTO!$AF$11)),0)</f>
        <v>0</v>
      </c>
      <c r="AH722" s="545">
        <f ca="1">IF(AND($D722="Serviço",AH$12&lt;&gt;0,$H722&gt;0,OR(AUTOEVENTO&lt;&gt;"manual",$M722&lt;&gt;1)),
IF(Import.TipoArredondamento&lt;&gt;"TransfereGOV",
ROUND(OFFSET($P722,0,AH$13),15-13*ORÇAMENTO!$AF$7)/$H722*OFFSET(ORÇAMENTO!$X$15,ROW(AH722)-ROW(AH$15),0),
ROUND(ROUND(OFFSET($P722,0,AH$13),15-13*ORÇAMENTO!$AF$7)*OFFSET(ORÇAMENTO!$W$15,ROW(AH722)-ROW(AH$15),0),15-13*ORÇAMENTO!$AF$11)),0)</f>
        <v>0</v>
      </c>
      <c r="AI722" s="545">
        <f ca="1">IF(AND($D722="Serviço",AI$12&lt;&gt;0,$H722&gt;0,OR(AUTOEVENTO&lt;&gt;"manual",$M722&lt;&gt;1)),
IF(Import.TipoArredondamento&lt;&gt;"TransfereGOV",
ROUND(OFFSET($P722,0,AI$13),15-13*ORÇAMENTO!$AF$7)/$H722*OFFSET(ORÇAMENTO!$X$15,ROW(AI722)-ROW(AI$15),0),
ROUND(ROUND(OFFSET($P722,0,AI$13),15-13*ORÇAMENTO!$AF$7)*OFFSET(ORÇAMENTO!$W$15,ROW(AI722)-ROW(AI$15),0),15-13*ORÇAMENTO!$AF$11)),0)</f>
        <v>0</v>
      </c>
      <c r="AJ722" s="545">
        <f ca="1">IF(AND($D722="Serviço",AJ$12&lt;&gt;0,$H722&gt;0,OR(AUTOEVENTO&lt;&gt;"manual",$M722&lt;&gt;1)),
IF(Import.TipoArredondamento&lt;&gt;"TransfereGOV",
ROUND(OFFSET($P722,0,AJ$13),15-13*ORÇAMENTO!$AF$7)/$H722*OFFSET(ORÇAMENTO!$X$15,ROW(AJ722)-ROW(AJ$15),0),
ROUND(ROUND(OFFSET($P722,0,AJ$13),15-13*ORÇAMENTO!$AF$7)*OFFSET(ORÇAMENTO!$W$15,ROW(AJ722)-ROW(AJ$15),0),15-13*ORÇAMENTO!$AF$11)),0)</f>
        <v>0</v>
      </c>
      <c r="AK722" s="546">
        <f ca="1">IF(AND($D722="Serviço",AK$12&lt;&gt;0,$H722&gt;0,OR(AUTOEVENTO&lt;&gt;"manual",$M722&lt;&gt;1)),
IF(Import.TipoArredondamento&lt;&gt;"TransfereGOV",
ROUND(OFFSET($P722,0,AK$13),15-13*ORÇAMENTO!$AF$7)/$H722*OFFSET(ORÇAMENTO!$X$15,ROW(AK722)-ROW(AK$15),0),
ROUND(ROUND(OFFSET($P722,0,AK$13),15-13*ORÇAMENTO!$AF$7)*OFFSET(ORÇAMENTO!$W$15,ROW(AK722)-ROW(AK$15),0),15-13*ORÇAMENTO!$AF$11)),0)</f>
        <v>0</v>
      </c>
      <c r="AM722" s="181">
        <f ca="1">IF($D722&lt;&gt;"Serviço",0,IF(AND(AUTOEVENTO="Manual",$M722=1),0,IF(OFFSET(CRONOPLE!$F$14,$M722,AM$13)="",10^12,OFFSET(CRONOPLE!$F$14,$M722,AM$13))))</f>
        <v>1000000000000</v>
      </c>
      <c r="AN722" s="181">
        <f ca="1">IF($D722&lt;&gt;"Serviço",0,IF(AND(AUTOEVENTO="Manual",$M722=1),0,IF(OFFSET(CRONOPLE!$F$14,$M722,AN$13)="",10^12,OFFSET(CRONOPLE!$F$14,$M722,AN$13))))</f>
        <v>1000000000000</v>
      </c>
      <c r="AO722" s="181">
        <f ca="1">IF($D722&lt;&gt;"Serviço",0,IF(AND(AUTOEVENTO="Manual",$M722=1),0,IF(OFFSET(CRONOPLE!$F$14,$M722,AO$13)="",10^12,OFFSET(CRONOPLE!$F$14,$M722,AO$13))))</f>
        <v>1000000000000</v>
      </c>
      <c r="AP722" s="181">
        <f ca="1">IF($D722&lt;&gt;"Serviço",0,IF(AND(AUTOEVENTO="Manual",$M722=1),0,IF(OFFSET(CRONOPLE!$F$14,$M722,AP$13)="",10^12,OFFSET(CRONOPLE!$F$14,$M722,AP$13))))</f>
        <v>1000000000000</v>
      </c>
      <c r="AQ722" s="181">
        <f ca="1">IF($D722&lt;&gt;"Serviço",0,IF(AND(AUTOEVENTO="Manual",$M722=1),0,IF(OFFSET(CRONOPLE!$F$14,$M722,AQ$13)="",10^12,OFFSET(CRONOPLE!$F$14,$M722,AQ$13))))</f>
        <v>1000000000000</v>
      </c>
      <c r="AR722" s="181">
        <f ca="1">IF($D722&lt;&gt;"Serviço",0,IF(AND(AUTOEVENTO="Manual",$M722=1),0,IF(OFFSET(CRONOPLE!$F$14,$M722,AR$13)="",10^12,OFFSET(CRONOPLE!$F$14,$M722,AR$13))))</f>
        <v>1000000000000</v>
      </c>
      <c r="AS722" s="181">
        <f ca="1">IF($D722&lt;&gt;"Serviço",0,IF(AND(AUTOEVENTO="Manual",$M722=1),0,IF(OFFSET(CRONOPLE!$F$14,$M722,AS$13)="",10^12,OFFSET(CRONOPLE!$F$14,$M722,AS$13))))</f>
        <v>1000000000000</v>
      </c>
      <c r="AT722" s="181">
        <f ca="1">IF($D722&lt;&gt;"Serviço",0,IF(AND(AUTOEVENTO="Manual",$M722=1),0,IF(OFFSET(CRONOPLE!$F$14,$M722,AT$13)="",10^12,OFFSET(CRONOPLE!$F$14,$M722,AT$13))))</f>
        <v>1000000000000</v>
      </c>
      <c r="AU722" s="181">
        <f ca="1">IF($D722&lt;&gt;"Serviço",0,IF(AND(AUTOEVENTO="Manual",$M722=1),0,IF(OFFSET(CRONOPLE!$F$14,$M722,AU$13)="",10^12,OFFSET(CRONOPLE!$F$14,$M722,AU$13))))</f>
        <v>1000000000000</v>
      </c>
      <c r="AV722" s="181">
        <f ca="1">IF($D722&lt;&gt;"Serviço",0,IF(AND(AUTOEVENTO="Manual",$M722=1),0,IF(OFFSET(CRONOPLE!$F$14,$M722,AV$13)="",10^12,OFFSET(CRONOPLE!$F$14,$M722,AV$13))))</f>
        <v>1000000000000</v>
      </c>
      <c r="AX722" s="182">
        <f ca="1">IF($D722&lt;&gt;"Serviço",0,IF(OR(AND(AUTOEVENTO="Manual",$M722=1),$M722&gt;(ROW(PLE.lastrow)-ROW(PLE.firstrow))),0,IF(OFFSET(PLE!$G$14,$M722,AX$13)="",10^12,OFFSET(PLE!$G$14,$M722,AX$13))))</f>
        <v>1000000000000</v>
      </c>
      <c r="AY722" s="182">
        <f ca="1">IF($D722&lt;&gt;"Serviço",0,IF(OR(AND(AUTOEVENTO="Manual",$M722=1),$M722&gt;(ROW(PLE.lastrow)-ROW(PLE.firstrow))),0,IF(OFFSET(PLE!$G$14,$M722,AY$13)="",10^12,OFFSET(PLE!$G$14,$M722,AY$13))))</f>
        <v>1000000000000</v>
      </c>
      <c r="AZ722" s="182">
        <f ca="1">IF($D722&lt;&gt;"Serviço",0,IF(OR(AND(AUTOEVENTO="Manual",$M722=1),$M722&gt;(ROW(PLE.lastrow)-ROW(PLE.firstrow))),0,IF(OFFSET(PLE!$G$14,$M722,AZ$13)="",10^12,OFFSET(PLE!$G$14,$M722,AZ$13))))</f>
        <v>1000000000000</v>
      </c>
      <c r="BA722" s="182">
        <f ca="1">IF($D722&lt;&gt;"Serviço",0,IF(OR(AND(AUTOEVENTO="Manual",$M722=1),$M722&gt;(ROW(PLE.lastrow)-ROW(PLE.firstrow))),0,IF(OFFSET(PLE!$G$14,$M722,BA$13)="",10^12,OFFSET(PLE!$G$14,$M722,BA$13))))</f>
        <v>1000000000000</v>
      </c>
      <c r="BB722" s="182">
        <f ca="1">IF($D722&lt;&gt;"Serviço",0,IF(OR(AND(AUTOEVENTO="Manual",$M722=1),$M722&gt;(ROW(PLE.lastrow)-ROW(PLE.firstrow))),0,IF(OFFSET(PLE!$G$14,$M722,BB$13)="",10^12,OFFSET(PLE!$G$14,$M722,BB$13))))</f>
        <v>1000000000000</v>
      </c>
      <c r="BC722" s="182">
        <f ca="1">IF($D722&lt;&gt;"Serviço",0,IF(OR(AND(AUTOEVENTO="Manual",$M722=1),$M722&gt;(ROW(PLE.lastrow)-ROW(PLE.firstrow))),0,IF(OFFSET(PLE!$G$14,$M722,BC$13)="",10^12,OFFSET(PLE!$G$14,$M722,BC$13))))</f>
        <v>1000000000000</v>
      </c>
      <c r="BD722" s="182">
        <f ca="1">IF($D722&lt;&gt;"Serviço",0,IF(OR(AND(AUTOEVENTO="Manual",$M722=1),$M722&gt;(ROW(PLE.lastrow)-ROW(PLE.firstrow))),0,IF(OFFSET(PLE!$G$14,$M722,BD$13)="",10^12,OFFSET(PLE!$G$14,$M722,BD$13))))</f>
        <v>1000000000000</v>
      </c>
      <c r="BE722" s="182">
        <f ca="1">IF($D722&lt;&gt;"Serviço",0,IF(OR(AND(AUTOEVENTO="Manual",$M722=1),$M722&gt;(ROW(PLE.lastrow)-ROW(PLE.firstrow))),0,IF(OFFSET(PLE!$G$14,$M722,BE$13)="",10^12,OFFSET(PLE!$G$14,$M722,BE$13))))</f>
        <v>1000000000000</v>
      </c>
      <c r="BF722" s="182">
        <f ca="1">IF($D722&lt;&gt;"Serviço",0,IF(OR(AND(AUTOEVENTO="Manual",$M722=1),$M722&gt;(ROW(PLE.lastrow)-ROW(PLE.firstrow))),0,IF(OFFSET(PLE!$G$14,$M722,BF$13)="",10^12,OFFSET(PLE!$G$14,$M722,BF$13))))</f>
        <v>1000000000000</v>
      </c>
      <c r="BG722" s="182">
        <f ca="1">IF($D722&lt;&gt;"Serviço",0,IF(OR(AND(AUTOEVENTO="Manual",$M722=1),$M722&gt;(ROW(PLE.lastrow)-ROW(PLE.firstrow))),0,IF(OFFSET(PLE!$G$14,$M722,BG$13)="",10^12,OFFSET(PLE!$G$14,$M722,BG$13))))</f>
        <v>1000000000000</v>
      </c>
    </row>
    <row r="723" spans="1:59" ht="12.75" x14ac:dyDescent="0.2">
      <c r="A723" s="7" t="str">
        <f t="shared" ca="1" si="18"/>
        <v>679</v>
      </c>
      <c r="B723" s="7">
        <f ca="1">OFFSET(ORÇAMENTO!C$15,ROW(B723)-ROW(B$15),0)</f>
        <v>3</v>
      </c>
      <c r="C723" s="7" t="str">
        <f ca="1">OFFSET(ORÇAMENTO!L$15,ROW(C723)-ROW(C$15),0)</f>
        <v>F</v>
      </c>
      <c r="D723" s="118" t="str">
        <f ca="1">OFFSET(ORÇAMENTO!N$15,ROW(D723)-ROW(D$15),0)</f>
        <v>Nível 3</v>
      </c>
      <c r="E723" s="119" t="str">
        <f ca="1">OFFSET(ORÇAMENTO!O$15,ROW(E723)-ROW(E$15),0)</f>
        <v>1.24.4.</v>
      </c>
      <c r="F723" s="172" t="str">
        <f ca="1">OFFSET(ORÇAMENTO!R$15,ROW(F723)-ROW(F$15),0)</f>
        <v>CONCRETO ARMADO - VIGAS</v>
      </c>
      <c r="G723" s="173" t="str">
        <f ca="1">IF($D723&lt;&gt;"Serviço","",OFFSET(ORÇAMENTO!S$15,ROW(G723)-ROW(G$15),0))</f>
        <v/>
      </c>
      <c r="H723" s="124">
        <f ca="1">IF($D723&lt;&gt;"Serviço",0,IF(ACOMPANHAMENTO="BM",ROUND(OFFSET(ORÇAMENTO!AJ$15,ROW(H723)-ROW(H$15),0),15-13*ORÇAMENTO!$AF$7),SUMPRODUCT(($Q$12:$AA$12&lt;&gt;"")*ROUND($Q723:$AA723,15-13*ORÇAMENTO!$AF$7))))</f>
        <v>0</v>
      </c>
      <c r="I723" s="561"/>
      <c r="K723" s="174"/>
      <c r="L723" s="175" t="s">
        <v>255</v>
      </c>
      <c r="M723" s="176" t="str">
        <f ca="1">IF($D723&lt;&gt;"Serviço","",IF(AUTOEVENTO="manual",$A723,IF(ISERROR(MATCH($A723,$A$15:OFFSET($A723,-1,0),0)),MAX($M$15:OFFSET(M723,-1,0))+1,INDEX($M$15:OFFSET(M723,-1,0),MATCH($A723,$A$15:OFFSET($A723,-1,0),0)))))</f>
        <v/>
      </c>
      <c r="N723" s="177" t="str">
        <f ca="1">IF($D723&lt;&gt;"Serviço","",IF(AUTOEVENTO="Manual",IF($A723=0,"&lt;-- defina o número do agrupador",OFFSET(EVENTOS!$D$14,$A723,0)),OFFSET($F$15,$A723,0)))</f>
        <v/>
      </c>
      <c r="O723" s="178"/>
      <c r="Q723" s="178"/>
      <c r="R723" s="179"/>
      <c r="S723" s="179"/>
      <c r="T723" s="179"/>
      <c r="U723" s="179"/>
      <c r="V723" s="179"/>
      <c r="W723" s="179"/>
      <c r="X723" s="179"/>
      <c r="Y723" s="179"/>
      <c r="Z723" s="180"/>
      <c r="AB723" s="544">
        <f ca="1">IF(AND($D723="Serviço",AB$12&lt;&gt;0,$H723&gt;0,OR(AUTOEVENTO&lt;&gt;"manual",$M723&lt;&gt;1)),
IF(Import.TipoArredondamento&lt;&gt;"TransfereGOV",
ROUND(OFFSET($P723,0,AB$13),15-13*ORÇAMENTO!$AF$7)/$H723*OFFSET(ORÇAMENTO!$X$15,ROW(AB723)-ROW(AB$15),0),
ROUND(ROUND(OFFSET($P723,0,AB$13),15-13*ORÇAMENTO!$AF$7)*OFFSET(ORÇAMENTO!$W$15,ROW(AB723)-ROW(AB$15),0),15-13*ORÇAMENTO!$AF$11)),0)</f>
        <v>0</v>
      </c>
      <c r="AC723" s="545">
        <f ca="1">IF(AND($D723="Serviço",AC$12&lt;&gt;0,$H723&gt;0,OR(AUTOEVENTO&lt;&gt;"manual",$M723&lt;&gt;1)),
IF(Import.TipoArredondamento&lt;&gt;"TransfereGOV",
ROUND(OFFSET($P723,0,AC$13),15-13*ORÇAMENTO!$AF$7)/$H723*OFFSET(ORÇAMENTO!$X$15,ROW(AC723)-ROW(AC$15),0),
ROUND(ROUND(OFFSET($P723,0,AC$13),15-13*ORÇAMENTO!$AF$7)*OFFSET(ORÇAMENTO!$W$15,ROW(AC723)-ROW(AC$15),0),15-13*ORÇAMENTO!$AF$11)),0)</f>
        <v>0</v>
      </c>
      <c r="AD723" s="545">
        <f ca="1">IF(AND($D723="Serviço",AD$12&lt;&gt;0,$H723&gt;0,OR(AUTOEVENTO&lt;&gt;"manual",$M723&lt;&gt;1)),
IF(Import.TipoArredondamento&lt;&gt;"TransfereGOV",
ROUND(OFFSET($P723,0,AD$13),15-13*ORÇAMENTO!$AF$7)/$H723*OFFSET(ORÇAMENTO!$X$15,ROW(AD723)-ROW(AD$15),0),
ROUND(ROUND(OFFSET($P723,0,AD$13),15-13*ORÇAMENTO!$AF$7)*OFFSET(ORÇAMENTO!$W$15,ROW(AD723)-ROW(AD$15),0),15-13*ORÇAMENTO!$AF$11)),0)</f>
        <v>0</v>
      </c>
      <c r="AE723" s="545">
        <f ca="1">IF(AND($D723="Serviço",AE$12&lt;&gt;0,$H723&gt;0,OR(AUTOEVENTO&lt;&gt;"manual",$M723&lt;&gt;1)),
IF(Import.TipoArredondamento&lt;&gt;"TransfereGOV",
ROUND(OFFSET($P723,0,AE$13),15-13*ORÇAMENTO!$AF$7)/$H723*OFFSET(ORÇAMENTO!$X$15,ROW(AE723)-ROW(AE$15),0),
ROUND(ROUND(OFFSET($P723,0,AE$13),15-13*ORÇAMENTO!$AF$7)*OFFSET(ORÇAMENTO!$W$15,ROW(AE723)-ROW(AE$15),0),15-13*ORÇAMENTO!$AF$11)),0)</f>
        <v>0</v>
      </c>
      <c r="AF723" s="545">
        <f ca="1">IF(AND($D723="Serviço",AF$12&lt;&gt;0,$H723&gt;0,OR(AUTOEVENTO&lt;&gt;"manual",$M723&lt;&gt;1)),
IF(Import.TipoArredondamento&lt;&gt;"TransfereGOV",
ROUND(OFFSET($P723,0,AF$13),15-13*ORÇAMENTO!$AF$7)/$H723*OFFSET(ORÇAMENTO!$X$15,ROW(AF723)-ROW(AF$15),0),
ROUND(ROUND(OFFSET($P723,0,AF$13),15-13*ORÇAMENTO!$AF$7)*OFFSET(ORÇAMENTO!$W$15,ROW(AF723)-ROW(AF$15),0),15-13*ORÇAMENTO!$AF$11)),0)</f>
        <v>0</v>
      </c>
      <c r="AG723" s="545">
        <f ca="1">IF(AND($D723="Serviço",AG$12&lt;&gt;0,$H723&gt;0,OR(AUTOEVENTO&lt;&gt;"manual",$M723&lt;&gt;1)),
IF(Import.TipoArredondamento&lt;&gt;"TransfereGOV",
ROUND(OFFSET($P723,0,AG$13),15-13*ORÇAMENTO!$AF$7)/$H723*OFFSET(ORÇAMENTO!$X$15,ROW(AG723)-ROW(AG$15),0),
ROUND(ROUND(OFFSET($P723,0,AG$13),15-13*ORÇAMENTO!$AF$7)*OFFSET(ORÇAMENTO!$W$15,ROW(AG723)-ROW(AG$15),0),15-13*ORÇAMENTO!$AF$11)),0)</f>
        <v>0</v>
      </c>
      <c r="AH723" s="545">
        <f ca="1">IF(AND($D723="Serviço",AH$12&lt;&gt;0,$H723&gt;0,OR(AUTOEVENTO&lt;&gt;"manual",$M723&lt;&gt;1)),
IF(Import.TipoArredondamento&lt;&gt;"TransfereGOV",
ROUND(OFFSET($P723,0,AH$13),15-13*ORÇAMENTO!$AF$7)/$H723*OFFSET(ORÇAMENTO!$X$15,ROW(AH723)-ROW(AH$15),0),
ROUND(ROUND(OFFSET($P723,0,AH$13),15-13*ORÇAMENTO!$AF$7)*OFFSET(ORÇAMENTO!$W$15,ROW(AH723)-ROW(AH$15),0),15-13*ORÇAMENTO!$AF$11)),0)</f>
        <v>0</v>
      </c>
      <c r="AI723" s="545">
        <f ca="1">IF(AND($D723="Serviço",AI$12&lt;&gt;0,$H723&gt;0,OR(AUTOEVENTO&lt;&gt;"manual",$M723&lt;&gt;1)),
IF(Import.TipoArredondamento&lt;&gt;"TransfereGOV",
ROUND(OFFSET($P723,0,AI$13),15-13*ORÇAMENTO!$AF$7)/$H723*OFFSET(ORÇAMENTO!$X$15,ROW(AI723)-ROW(AI$15),0),
ROUND(ROUND(OFFSET($P723,0,AI$13),15-13*ORÇAMENTO!$AF$7)*OFFSET(ORÇAMENTO!$W$15,ROW(AI723)-ROW(AI$15),0),15-13*ORÇAMENTO!$AF$11)),0)</f>
        <v>0</v>
      </c>
      <c r="AJ723" s="545">
        <f ca="1">IF(AND($D723="Serviço",AJ$12&lt;&gt;0,$H723&gt;0,OR(AUTOEVENTO&lt;&gt;"manual",$M723&lt;&gt;1)),
IF(Import.TipoArredondamento&lt;&gt;"TransfereGOV",
ROUND(OFFSET($P723,0,AJ$13),15-13*ORÇAMENTO!$AF$7)/$H723*OFFSET(ORÇAMENTO!$X$15,ROW(AJ723)-ROW(AJ$15),0),
ROUND(ROUND(OFFSET($P723,0,AJ$13),15-13*ORÇAMENTO!$AF$7)*OFFSET(ORÇAMENTO!$W$15,ROW(AJ723)-ROW(AJ$15),0),15-13*ORÇAMENTO!$AF$11)),0)</f>
        <v>0</v>
      </c>
      <c r="AK723" s="546">
        <f ca="1">IF(AND($D723="Serviço",AK$12&lt;&gt;0,$H723&gt;0,OR(AUTOEVENTO&lt;&gt;"manual",$M723&lt;&gt;1)),
IF(Import.TipoArredondamento&lt;&gt;"TransfereGOV",
ROUND(OFFSET($P723,0,AK$13),15-13*ORÇAMENTO!$AF$7)/$H723*OFFSET(ORÇAMENTO!$X$15,ROW(AK723)-ROW(AK$15),0),
ROUND(ROUND(OFFSET($P723,0,AK$13),15-13*ORÇAMENTO!$AF$7)*OFFSET(ORÇAMENTO!$W$15,ROW(AK723)-ROW(AK$15),0),15-13*ORÇAMENTO!$AF$11)),0)</f>
        <v>0</v>
      </c>
      <c r="AM723" s="181">
        <f ca="1">IF($D723&lt;&gt;"Serviço",0,IF(AND(AUTOEVENTO="Manual",$M723=1),0,IF(OFFSET(CRONOPLE!$F$14,$M723,AM$13)="",10^12,OFFSET(CRONOPLE!$F$14,$M723,AM$13))))</f>
        <v>0</v>
      </c>
      <c r="AN723" s="181">
        <f ca="1">IF($D723&lt;&gt;"Serviço",0,IF(AND(AUTOEVENTO="Manual",$M723=1),0,IF(OFFSET(CRONOPLE!$F$14,$M723,AN$13)="",10^12,OFFSET(CRONOPLE!$F$14,$M723,AN$13))))</f>
        <v>0</v>
      </c>
      <c r="AO723" s="181">
        <f ca="1">IF($D723&lt;&gt;"Serviço",0,IF(AND(AUTOEVENTO="Manual",$M723=1),0,IF(OFFSET(CRONOPLE!$F$14,$M723,AO$13)="",10^12,OFFSET(CRONOPLE!$F$14,$M723,AO$13))))</f>
        <v>0</v>
      </c>
      <c r="AP723" s="181">
        <f ca="1">IF($D723&lt;&gt;"Serviço",0,IF(AND(AUTOEVENTO="Manual",$M723=1),0,IF(OFFSET(CRONOPLE!$F$14,$M723,AP$13)="",10^12,OFFSET(CRONOPLE!$F$14,$M723,AP$13))))</f>
        <v>0</v>
      </c>
      <c r="AQ723" s="181">
        <f ca="1">IF($D723&lt;&gt;"Serviço",0,IF(AND(AUTOEVENTO="Manual",$M723=1),0,IF(OFFSET(CRONOPLE!$F$14,$M723,AQ$13)="",10^12,OFFSET(CRONOPLE!$F$14,$M723,AQ$13))))</f>
        <v>0</v>
      </c>
      <c r="AR723" s="181">
        <f ca="1">IF($D723&lt;&gt;"Serviço",0,IF(AND(AUTOEVENTO="Manual",$M723=1),0,IF(OFFSET(CRONOPLE!$F$14,$M723,AR$13)="",10^12,OFFSET(CRONOPLE!$F$14,$M723,AR$13))))</f>
        <v>0</v>
      </c>
      <c r="AS723" s="181">
        <f ca="1">IF($D723&lt;&gt;"Serviço",0,IF(AND(AUTOEVENTO="Manual",$M723=1),0,IF(OFFSET(CRONOPLE!$F$14,$M723,AS$13)="",10^12,OFFSET(CRONOPLE!$F$14,$M723,AS$13))))</f>
        <v>0</v>
      </c>
      <c r="AT723" s="181">
        <f ca="1">IF($D723&lt;&gt;"Serviço",0,IF(AND(AUTOEVENTO="Manual",$M723=1),0,IF(OFFSET(CRONOPLE!$F$14,$M723,AT$13)="",10^12,OFFSET(CRONOPLE!$F$14,$M723,AT$13))))</f>
        <v>0</v>
      </c>
      <c r="AU723" s="181">
        <f ca="1">IF($D723&lt;&gt;"Serviço",0,IF(AND(AUTOEVENTO="Manual",$M723=1),0,IF(OFFSET(CRONOPLE!$F$14,$M723,AU$13)="",10^12,OFFSET(CRONOPLE!$F$14,$M723,AU$13))))</f>
        <v>0</v>
      </c>
      <c r="AV723" s="181">
        <f ca="1">IF($D723&lt;&gt;"Serviço",0,IF(AND(AUTOEVENTO="Manual",$M723=1),0,IF(OFFSET(CRONOPLE!$F$14,$M723,AV$13)="",10^12,OFFSET(CRONOPLE!$F$14,$M723,AV$13))))</f>
        <v>0</v>
      </c>
      <c r="AX723" s="182">
        <f ca="1">IF($D723&lt;&gt;"Serviço",0,IF(OR(AND(AUTOEVENTO="Manual",$M723=1),$M723&gt;(ROW(PLE.lastrow)-ROW(PLE.firstrow))),0,IF(OFFSET(PLE!$G$14,$M723,AX$13)="",10^12,OFFSET(PLE!$G$14,$M723,AX$13))))</f>
        <v>0</v>
      </c>
      <c r="AY723" s="182">
        <f ca="1">IF($D723&lt;&gt;"Serviço",0,IF(OR(AND(AUTOEVENTO="Manual",$M723=1),$M723&gt;(ROW(PLE.lastrow)-ROW(PLE.firstrow))),0,IF(OFFSET(PLE!$G$14,$M723,AY$13)="",10^12,OFFSET(PLE!$G$14,$M723,AY$13))))</f>
        <v>0</v>
      </c>
      <c r="AZ723" s="182">
        <f ca="1">IF($D723&lt;&gt;"Serviço",0,IF(OR(AND(AUTOEVENTO="Manual",$M723=1),$M723&gt;(ROW(PLE.lastrow)-ROW(PLE.firstrow))),0,IF(OFFSET(PLE!$G$14,$M723,AZ$13)="",10^12,OFFSET(PLE!$G$14,$M723,AZ$13))))</f>
        <v>0</v>
      </c>
      <c r="BA723" s="182">
        <f ca="1">IF($D723&lt;&gt;"Serviço",0,IF(OR(AND(AUTOEVENTO="Manual",$M723=1),$M723&gt;(ROW(PLE.lastrow)-ROW(PLE.firstrow))),0,IF(OFFSET(PLE!$G$14,$M723,BA$13)="",10^12,OFFSET(PLE!$G$14,$M723,BA$13))))</f>
        <v>0</v>
      </c>
      <c r="BB723" s="182">
        <f ca="1">IF($D723&lt;&gt;"Serviço",0,IF(OR(AND(AUTOEVENTO="Manual",$M723=1),$M723&gt;(ROW(PLE.lastrow)-ROW(PLE.firstrow))),0,IF(OFFSET(PLE!$G$14,$M723,BB$13)="",10^12,OFFSET(PLE!$G$14,$M723,BB$13))))</f>
        <v>0</v>
      </c>
      <c r="BC723" s="182">
        <f ca="1">IF($D723&lt;&gt;"Serviço",0,IF(OR(AND(AUTOEVENTO="Manual",$M723=1),$M723&gt;(ROW(PLE.lastrow)-ROW(PLE.firstrow))),0,IF(OFFSET(PLE!$G$14,$M723,BC$13)="",10^12,OFFSET(PLE!$G$14,$M723,BC$13))))</f>
        <v>0</v>
      </c>
      <c r="BD723" s="182">
        <f ca="1">IF($D723&lt;&gt;"Serviço",0,IF(OR(AND(AUTOEVENTO="Manual",$M723=1),$M723&gt;(ROW(PLE.lastrow)-ROW(PLE.firstrow))),0,IF(OFFSET(PLE!$G$14,$M723,BD$13)="",10^12,OFFSET(PLE!$G$14,$M723,BD$13))))</f>
        <v>0</v>
      </c>
      <c r="BE723" s="182">
        <f ca="1">IF($D723&lt;&gt;"Serviço",0,IF(OR(AND(AUTOEVENTO="Manual",$M723=1),$M723&gt;(ROW(PLE.lastrow)-ROW(PLE.firstrow))),0,IF(OFFSET(PLE!$G$14,$M723,BE$13)="",10^12,OFFSET(PLE!$G$14,$M723,BE$13))))</f>
        <v>0</v>
      </c>
      <c r="BF723" s="182">
        <f ca="1">IF($D723&lt;&gt;"Serviço",0,IF(OR(AND(AUTOEVENTO="Manual",$M723=1),$M723&gt;(ROW(PLE.lastrow)-ROW(PLE.firstrow))),0,IF(OFFSET(PLE!$G$14,$M723,BF$13)="",10^12,OFFSET(PLE!$G$14,$M723,BF$13))))</f>
        <v>0</v>
      </c>
      <c r="BG723" s="182">
        <f ca="1">IF($D723&lt;&gt;"Serviço",0,IF(OR(AND(AUTOEVENTO="Manual",$M723=1),$M723&gt;(ROW(PLE.lastrow)-ROW(PLE.firstrow))),0,IF(OFFSET(PLE!$G$14,$M723,BG$13)="",10^12,OFFSET(PLE!$G$14,$M723,BG$13))))</f>
        <v>0</v>
      </c>
    </row>
    <row r="724" spans="1:59" ht="38.25" x14ac:dyDescent="0.2">
      <c r="A724" s="7" t="str">
        <f t="shared" ca="1" si="18"/>
        <v>679</v>
      </c>
      <c r="B724" s="7" t="str">
        <f ca="1">OFFSET(ORÇAMENTO!C$15,ROW(B724)-ROW(B$15),0)</f>
        <v>S</v>
      </c>
      <c r="C724" s="7" t="str">
        <f ca="1">OFFSET(ORÇAMENTO!L$15,ROW(C724)-ROW(C$15),0)</f>
        <v/>
      </c>
      <c r="D724" s="118" t="str">
        <f ca="1">OFFSET(ORÇAMENTO!N$15,ROW(D724)-ROW(D$15),0)</f>
        <v>Serviço</v>
      </c>
      <c r="E724" s="119" t="str">
        <f ca="1">OFFSET(ORÇAMENTO!O$15,ROW(E724)-ROW(E$15),0)</f>
        <v>-</v>
      </c>
      <c r="F724" s="172" t="str">
        <f ca="1">OFFSET(ORÇAMENTO!R$15,ROW(F724)-ROW(F$15),0)</f>
        <v>(abra o arquivo 'Referência 02-2025.xlsm)</v>
      </c>
      <c r="G724" s="173" t="str">
        <f ca="1">IF($D724&lt;&gt;"Serviço","",OFFSET(ORÇAMENTO!S$15,ROW(G724)-ROW(G$15),0))</f>
        <v>-</v>
      </c>
      <c r="H724" s="124">
        <f ca="1">IF($D724&lt;&gt;"Serviço",0,IF(ACOMPANHAMENTO="BM",ROUND(OFFSET(ORÇAMENTO!AJ$15,ROW(H724)-ROW(H$15),0),15-13*ORÇAMENTO!$AF$7),SUMPRODUCT(($Q$12:$AA$12&lt;&gt;"")*ROUND($Q724:$AA724,15-13*ORÇAMENTO!$AF$7))))</f>
        <v>91.62</v>
      </c>
      <c r="I724" s="561"/>
      <c r="K724" s="174"/>
      <c r="L724" s="175" t="s">
        <v>255</v>
      </c>
      <c r="M724" s="176">
        <f ca="1">IF($D724&lt;&gt;"Serviço","",IF(AUTOEVENTO="manual",$A724,IF(ISERROR(MATCH($A724,$A$15:OFFSET($A724,-1,0),0)),MAX($M$15:OFFSET(M724,-1,0))+1,INDEX($M$15:OFFSET(M724,-1,0),MATCH($A724,$A$15:OFFSET($A724,-1,0),0)))))</f>
        <v>25</v>
      </c>
      <c r="N724" s="177" t="str">
        <f ca="1">IF($D724&lt;&gt;"Serviço","",IF(AUTOEVENTO="Manual",IF($A724=0,"&lt;-- defina o número do agrupador",OFFSET(EVENTOS!$D$14,$A724,0)),OFFSET($F$15,$A724,0)))</f>
        <v>FECHAMENTO - MURO</v>
      </c>
      <c r="O724" s="178"/>
      <c r="Q724" s="178"/>
      <c r="R724" s="179"/>
      <c r="S724" s="179"/>
      <c r="T724" s="179"/>
      <c r="U724" s="179"/>
      <c r="V724" s="179"/>
      <c r="W724" s="179"/>
      <c r="X724" s="179"/>
      <c r="Y724" s="179"/>
      <c r="Z724" s="180"/>
      <c r="AB724" s="544">
        <f ca="1">IF(AND($D724="Serviço",AB$12&lt;&gt;0,$H724&gt;0,OR(AUTOEVENTO&lt;&gt;"manual",$M724&lt;&gt;1)),
IF(Import.TipoArredondamento&lt;&gt;"TransfereGOV",
ROUND(OFFSET($P724,0,AB$13),15-13*ORÇAMENTO!$AF$7)/$H724*OFFSET(ORÇAMENTO!$X$15,ROW(AB724)-ROW(AB$15),0),
ROUND(ROUND(OFFSET($P724,0,AB$13),15-13*ORÇAMENTO!$AF$7)*OFFSET(ORÇAMENTO!$W$15,ROW(AB724)-ROW(AB$15),0),15-13*ORÇAMENTO!$AF$11)),0)</f>
        <v>0</v>
      </c>
      <c r="AC724" s="545">
        <f ca="1">IF(AND($D724="Serviço",AC$12&lt;&gt;0,$H724&gt;0,OR(AUTOEVENTO&lt;&gt;"manual",$M724&lt;&gt;1)),
IF(Import.TipoArredondamento&lt;&gt;"TransfereGOV",
ROUND(OFFSET($P724,0,AC$13),15-13*ORÇAMENTO!$AF$7)/$H724*OFFSET(ORÇAMENTO!$X$15,ROW(AC724)-ROW(AC$15),0),
ROUND(ROUND(OFFSET($P724,0,AC$13),15-13*ORÇAMENTO!$AF$7)*OFFSET(ORÇAMENTO!$W$15,ROW(AC724)-ROW(AC$15),0),15-13*ORÇAMENTO!$AF$11)),0)</f>
        <v>0</v>
      </c>
      <c r="AD724" s="545">
        <f ca="1">IF(AND($D724="Serviço",AD$12&lt;&gt;0,$H724&gt;0,OR(AUTOEVENTO&lt;&gt;"manual",$M724&lt;&gt;1)),
IF(Import.TipoArredondamento&lt;&gt;"TransfereGOV",
ROUND(OFFSET($P724,0,AD$13),15-13*ORÇAMENTO!$AF$7)/$H724*OFFSET(ORÇAMENTO!$X$15,ROW(AD724)-ROW(AD$15),0),
ROUND(ROUND(OFFSET($P724,0,AD$13),15-13*ORÇAMENTO!$AF$7)*OFFSET(ORÇAMENTO!$W$15,ROW(AD724)-ROW(AD$15),0),15-13*ORÇAMENTO!$AF$11)),0)</f>
        <v>0</v>
      </c>
      <c r="AE724" s="545">
        <f ca="1">IF(AND($D724="Serviço",AE$12&lt;&gt;0,$H724&gt;0,OR(AUTOEVENTO&lt;&gt;"manual",$M724&lt;&gt;1)),
IF(Import.TipoArredondamento&lt;&gt;"TransfereGOV",
ROUND(OFFSET($P724,0,AE$13),15-13*ORÇAMENTO!$AF$7)/$H724*OFFSET(ORÇAMENTO!$X$15,ROW(AE724)-ROW(AE$15),0),
ROUND(ROUND(OFFSET($P724,0,AE$13),15-13*ORÇAMENTO!$AF$7)*OFFSET(ORÇAMENTO!$W$15,ROW(AE724)-ROW(AE$15),0),15-13*ORÇAMENTO!$AF$11)),0)</f>
        <v>0</v>
      </c>
      <c r="AF724" s="545">
        <f ca="1">IF(AND($D724="Serviço",AF$12&lt;&gt;0,$H724&gt;0,OR(AUTOEVENTO&lt;&gt;"manual",$M724&lt;&gt;1)),
IF(Import.TipoArredondamento&lt;&gt;"TransfereGOV",
ROUND(OFFSET($P724,0,AF$13),15-13*ORÇAMENTO!$AF$7)/$H724*OFFSET(ORÇAMENTO!$X$15,ROW(AF724)-ROW(AF$15),0),
ROUND(ROUND(OFFSET($P724,0,AF$13),15-13*ORÇAMENTO!$AF$7)*OFFSET(ORÇAMENTO!$W$15,ROW(AF724)-ROW(AF$15),0),15-13*ORÇAMENTO!$AF$11)),0)</f>
        <v>0</v>
      </c>
      <c r="AG724" s="545">
        <f ca="1">IF(AND($D724="Serviço",AG$12&lt;&gt;0,$H724&gt;0,OR(AUTOEVENTO&lt;&gt;"manual",$M724&lt;&gt;1)),
IF(Import.TipoArredondamento&lt;&gt;"TransfereGOV",
ROUND(OFFSET($P724,0,AG$13),15-13*ORÇAMENTO!$AF$7)/$H724*OFFSET(ORÇAMENTO!$X$15,ROW(AG724)-ROW(AG$15),0),
ROUND(ROUND(OFFSET($P724,0,AG$13),15-13*ORÇAMENTO!$AF$7)*OFFSET(ORÇAMENTO!$W$15,ROW(AG724)-ROW(AG$15),0),15-13*ORÇAMENTO!$AF$11)),0)</f>
        <v>0</v>
      </c>
      <c r="AH724" s="545">
        <f ca="1">IF(AND($D724="Serviço",AH$12&lt;&gt;0,$H724&gt;0,OR(AUTOEVENTO&lt;&gt;"manual",$M724&lt;&gt;1)),
IF(Import.TipoArredondamento&lt;&gt;"TransfereGOV",
ROUND(OFFSET($P724,0,AH$13),15-13*ORÇAMENTO!$AF$7)/$H724*OFFSET(ORÇAMENTO!$X$15,ROW(AH724)-ROW(AH$15),0),
ROUND(ROUND(OFFSET($P724,0,AH$13),15-13*ORÇAMENTO!$AF$7)*OFFSET(ORÇAMENTO!$W$15,ROW(AH724)-ROW(AH$15),0),15-13*ORÇAMENTO!$AF$11)),0)</f>
        <v>0</v>
      </c>
      <c r="AI724" s="545">
        <f ca="1">IF(AND($D724="Serviço",AI$12&lt;&gt;0,$H724&gt;0,OR(AUTOEVENTO&lt;&gt;"manual",$M724&lt;&gt;1)),
IF(Import.TipoArredondamento&lt;&gt;"TransfereGOV",
ROUND(OFFSET($P724,0,AI$13),15-13*ORÇAMENTO!$AF$7)/$H724*OFFSET(ORÇAMENTO!$X$15,ROW(AI724)-ROW(AI$15),0),
ROUND(ROUND(OFFSET($P724,0,AI$13),15-13*ORÇAMENTO!$AF$7)*OFFSET(ORÇAMENTO!$W$15,ROW(AI724)-ROW(AI$15),0),15-13*ORÇAMENTO!$AF$11)),0)</f>
        <v>0</v>
      </c>
      <c r="AJ724" s="545">
        <f ca="1">IF(AND($D724="Serviço",AJ$12&lt;&gt;0,$H724&gt;0,OR(AUTOEVENTO&lt;&gt;"manual",$M724&lt;&gt;1)),
IF(Import.TipoArredondamento&lt;&gt;"TransfereGOV",
ROUND(OFFSET($P724,0,AJ$13),15-13*ORÇAMENTO!$AF$7)/$H724*OFFSET(ORÇAMENTO!$X$15,ROW(AJ724)-ROW(AJ$15),0),
ROUND(ROUND(OFFSET($P724,0,AJ$13),15-13*ORÇAMENTO!$AF$7)*OFFSET(ORÇAMENTO!$W$15,ROW(AJ724)-ROW(AJ$15),0),15-13*ORÇAMENTO!$AF$11)),0)</f>
        <v>0</v>
      </c>
      <c r="AK724" s="546">
        <f ca="1">IF(AND($D724="Serviço",AK$12&lt;&gt;0,$H724&gt;0,OR(AUTOEVENTO&lt;&gt;"manual",$M724&lt;&gt;1)),
IF(Import.TipoArredondamento&lt;&gt;"TransfereGOV",
ROUND(OFFSET($P724,0,AK$13),15-13*ORÇAMENTO!$AF$7)/$H724*OFFSET(ORÇAMENTO!$X$15,ROW(AK724)-ROW(AK$15),0),
ROUND(ROUND(OFFSET($P724,0,AK$13),15-13*ORÇAMENTO!$AF$7)*OFFSET(ORÇAMENTO!$W$15,ROW(AK724)-ROW(AK$15),0),15-13*ORÇAMENTO!$AF$11)),0)</f>
        <v>0</v>
      </c>
      <c r="AM724" s="181">
        <f ca="1">IF($D724&lt;&gt;"Serviço",0,IF(AND(AUTOEVENTO="Manual",$M724=1),0,IF(OFFSET(CRONOPLE!$F$14,$M724,AM$13)="",10^12,OFFSET(CRONOPLE!$F$14,$M724,AM$13))))</f>
        <v>1000000000000</v>
      </c>
      <c r="AN724" s="181">
        <f ca="1">IF($D724&lt;&gt;"Serviço",0,IF(AND(AUTOEVENTO="Manual",$M724=1),0,IF(OFFSET(CRONOPLE!$F$14,$M724,AN$13)="",10^12,OFFSET(CRONOPLE!$F$14,$M724,AN$13))))</f>
        <v>1000000000000</v>
      </c>
      <c r="AO724" s="181">
        <f ca="1">IF($D724&lt;&gt;"Serviço",0,IF(AND(AUTOEVENTO="Manual",$M724=1),0,IF(OFFSET(CRONOPLE!$F$14,$M724,AO$13)="",10^12,OFFSET(CRONOPLE!$F$14,$M724,AO$13))))</f>
        <v>1000000000000</v>
      </c>
      <c r="AP724" s="181">
        <f ca="1">IF($D724&lt;&gt;"Serviço",0,IF(AND(AUTOEVENTO="Manual",$M724=1),0,IF(OFFSET(CRONOPLE!$F$14,$M724,AP$13)="",10^12,OFFSET(CRONOPLE!$F$14,$M724,AP$13))))</f>
        <v>1000000000000</v>
      </c>
      <c r="AQ724" s="181">
        <f ca="1">IF($D724&lt;&gt;"Serviço",0,IF(AND(AUTOEVENTO="Manual",$M724=1),0,IF(OFFSET(CRONOPLE!$F$14,$M724,AQ$13)="",10^12,OFFSET(CRONOPLE!$F$14,$M724,AQ$13))))</f>
        <v>1000000000000</v>
      </c>
      <c r="AR724" s="181">
        <f ca="1">IF($D724&lt;&gt;"Serviço",0,IF(AND(AUTOEVENTO="Manual",$M724=1),0,IF(OFFSET(CRONOPLE!$F$14,$M724,AR$13)="",10^12,OFFSET(CRONOPLE!$F$14,$M724,AR$13))))</f>
        <v>1000000000000</v>
      </c>
      <c r="AS724" s="181">
        <f ca="1">IF($D724&lt;&gt;"Serviço",0,IF(AND(AUTOEVENTO="Manual",$M724=1),0,IF(OFFSET(CRONOPLE!$F$14,$M724,AS$13)="",10^12,OFFSET(CRONOPLE!$F$14,$M724,AS$13))))</f>
        <v>1000000000000</v>
      </c>
      <c r="AT724" s="181">
        <f ca="1">IF($D724&lt;&gt;"Serviço",0,IF(AND(AUTOEVENTO="Manual",$M724=1),0,IF(OFFSET(CRONOPLE!$F$14,$M724,AT$13)="",10^12,OFFSET(CRONOPLE!$F$14,$M724,AT$13))))</f>
        <v>1000000000000</v>
      </c>
      <c r="AU724" s="181">
        <f ca="1">IF($D724&lt;&gt;"Serviço",0,IF(AND(AUTOEVENTO="Manual",$M724=1),0,IF(OFFSET(CRONOPLE!$F$14,$M724,AU$13)="",10^12,OFFSET(CRONOPLE!$F$14,$M724,AU$13))))</f>
        <v>1000000000000</v>
      </c>
      <c r="AV724" s="181">
        <f ca="1">IF($D724&lt;&gt;"Serviço",0,IF(AND(AUTOEVENTO="Manual",$M724=1),0,IF(OFFSET(CRONOPLE!$F$14,$M724,AV$13)="",10^12,OFFSET(CRONOPLE!$F$14,$M724,AV$13))))</f>
        <v>1000000000000</v>
      </c>
      <c r="AX724" s="182">
        <f ca="1">IF($D724&lt;&gt;"Serviço",0,IF(OR(AND(AUTOEVENTO="Manual",$M724=1),$M724&gt;(ROW(PLE.lastrow)-ROW(PLE.firstrow))),0,IF(OFFSET(PLE!$G$14,$M724,AX$13)="",10^12,OFFSET(PLE!$G$14,$M724,AX$13))))</f>
        <v>1000000000000</v>
      </c>
      <c r="AY724" s="182">
        <f ca="1">IF($D724&lt;&gt;"Serviço",0,IF(OR(AND(AUTOEVENTO="Manual",$M724=1),$M724&gt;(ROW(PLE.lastrow)-ROW(PLE.firstrow))),0,IF(OFFSET(PLE!$G$14,$M724,AY$13)="",10^12,OFFSET(PLE!$G$14,$M724,AY$13))))</f>
        <v>1000000000000</v>
      </c>
      <c r="AZ724" s="182">
        <f ca="1">IF($D724&lt;&gt;"Serviço",0,IF(OR(AND(AUTOEVENTO="Manual",$M724=1),$M724&gt;(ROW(PLE.lastrow)-ROW(PLE.firstrow))),0,IF(OFFSET(PLE!$G$14,$M724,AZ$13)="",10^12,OFFSET(PLE!$G$14,$M724,AZ$13))))</f>
        <v>1000000000000</v>
      </c>
      <c r="BA724" s="182">
        <f ca="1">IF($D724&lt;&gt;"Serviço",0,IF(OR(AND(AUTOEVENTO="Manual",$M724=1),$M724&gt;(ROW(PLE.lastrow)-ROW(PLE.firstrow))),0,IF(OFFSET(PLE!$G$14,$M724,BA$13)="",10^12,OFFSET(PLE!$G$14,$M724,BA$13))))</f>
        <v>1000000000000</v>
      </c>
      <c r="BB724" s="182">
        <f ca="1">IF($D724&lt;&gt;"Serviço",0,IF(OR(AND(AUTOEVENTO="Manual",$M724=1),$M724&gt;(ROW(PLE.lastrow)-ROW(PLE.firstrow))),0,IF(OFFSET(PLE!$G$14,$M724,BB$13)="",10^12,OFFSET(PLE!$G$14,$M724,BB$13))))</f>
        <v>1000000000000</v>
      </c>
      <c r="BC724" s="182">
        <f ca="1">IF($D724&lt;&gt;"Serviço",0,IF(OR(AND(AUTOEVENTO="Manual",$M724=1),$M724&gt;(ROW(PLE.lastrow)-ROW(PLE.firstrow))),0,IF(OFFSET(PLE!$G$14,$M724,BC$13)="",10^12,OFFSET(PLE!$G$14,$M724,BC$13))))</f>
        <v>1000000000000</v>
      </c>
      <c r="BD724" s="182">
        <f ca="1">IF($D724&lt;&gt;"Serviço",0,IF(OR(AND(AUTOEVENTO="Manual",$M724=1),$M724&gt;(ROW(PLE.lastrow)-ROW(PLE.firstrow))),0,IF(OFFSET(PLE!$G$14,$M724,BD$13)="",10^12,OFFSET(PLE!$G$14,$M724,BD$13))))</f>
        <v>1000000000000</v>
      </c>
      <c r="BE724" s="182">
        <f ca="1">IF($D724&lt;&gt;"Serviço",0,IF(OR(AND(AUTOEVENTO="Manual",$M724=1),$M724&gt;(ROW(PLE.lastrow)-ROW(PLE.firstrow))),0,IF(OFFSET(PLE!$G$14,$M724,BE$13)="",10^12,OFFSET(PLE!$G$14,$M724,BE$13))))</f>
        <v>1000000000000</v>
      </c>
      <c r="BF724" s="182">
        <f ca="1">IF($D724&lt;&gt;"Serviço",0,IF(OR(AND(AUTOEVENTO="Manual",$M724=1),$M724&gt;(ROW(PLE.lastrow)-ROW(PLE.firstrow))),0,IF(OFFSET(PLE!$G$14,$M724,BF$13)="",10^12,OFFSET(PLE!$G$14,$M724,BF$13))))</f>
        <v>1000000000000</v>
      </c>
      <c r="BG724" s="182">
        <f ca="1">IF($D724&lt;&gt;"Serviço",0,IF(OR(AND(AUTOEVENTO="Manual",$M724=1),$M724&gt;(ROW(PLE.lastrow)-ROW(PLE.firstrow))),0,IF(OFFSET(PLE!$G$14,$M724,BG$13)="",10^12,OFFSET(PLE!$G$14,$M724,BG$13))))</f>
        <v>1000000000000</v>
      </c>
    </row>
    <row r="725" spans="1:59" ht="38.25" x14ac:dyDescent="0.2">
      <c r="A725" s="7" t="str">
        <f t="shared" ca="1" si="18"/>
        <v>679</v>
      </c>
      <c r="B725" s="7" t="str">
        <f ca="1">OFFSET(ORÇAMENTO!C$15,ROW(B725)-ROW(B$15),0)</f>
        <v>S</v>
      </c>
      <c r="C725" s="7" t="str">
        <f ca="1">OFFSET(ORÇAMENTO!L$15,ROW(C725)-ROW(C$15),0)</f>
        <v/>
      </c>
      <c r="D725" s="118" t="str">
        <f ca="1">OFFSET(ORÇAMENTO!N$15,ROW(D725)-ROW(D$15),0)</f>
        <v>Serviço</v>
      </c>
      <c r="E725" s="119" t="str">
        <f ca="1">OFFSET(ORÇAMENTO!O$15,ROW(E725)-ROW(E$15),0)</f>
        <v>-</v>
      </c>
      <c r="F725" s="172" t="str">
        <f ca="1">OFFSET(ORÇAMENTO!R$15,ROW(F725)-ROW(F$15),0)</f>
        <v>(abra o arquivo 'Referência 02-2025.xlsm)</v>
      </c>
      <c r="G725" s="173" t="str">
        <f ca="1">IF($D725&lt;&gt;"Serviço","",OFFSET(ORÇAMENTO!S$15,ROW(G725)-ROW(G$15),0))</f>
        <v>-</v>
      </c>
      <c r="H725" s="124">
        <f ca="1">IF($D725&lt;&gt;"Serviço",0,IF(ACOMPANHAMENTO="BM",ROUND(OFFSET(ORÇAMENTO!AJ$15,ROW(H725)-ROW(H$15),0),15-13*ORÇAMENTO!$AF$7),SUMPRODUCT(($Q$12:$AA$12&lt;&gt;"")*ROUND($Q725:$AA725,15-13*ORÇAMENTO!$AF$7))))</f>
        <v>266.04000000000002</v>
      </c>
      <c r="I725" s="561"/>
      <c r="K725" s="174"/>
      <c r="L725" s="175" t="s">
        <v>255</v>
      </c>
      <c r="M725" s="176">
        <f ca="1">IF($D725&lt;&gt;"Serviço","",IF(AUTOEVENTO="manual",$A725,IF(ISERROR(MATCH($A725,$A$15:OFFSET($A725,-1,0),0)),MAX($M$15:OFFSET(M725,-1,0))+1,INDEX($M$15:OFFSET(M725,-1,0),MATCH($A725,$A$15:OFFSET($A725,-1,0),0)))))</f>
        <v>25</v>
      </c>
      <c r="N725" s="177" t="str">
        <f ca="1">IF($D725&lt;&gt;"Serviço","",IF(AUTOEVENTO="Manual",IF($A725=0,"&lt;-- defina o número do agrupador",OFFSET(EVENTOS!$D$14,$A725,0)),OFFSET($F$15,$A725,0)))</f>
        <v>FECHAMENTO - MURO</v>
      </c>
      <c r="O725" s="178"/>
      <c r="Q725" s="178"/>
      <c r="R725" s="179"/>
      <c r="S725" s="179"/>
      <c r="T725" s="179"/>
      <c r="U725" s="179"/>
      <c r="V725" s="179"/>
      <c r="W725" s="179"/>
      <c r="X725" s="179"/>
      <c r="Y725" s="179"/>
      <c r="Z725" s="180"/>
      <c r="AB725" s="544">
        <f ca="1">IF(AND($D725="Serviço",AB$12&lt;&gt;0,$H725&gt;0,OR(AUTOEVENTO&lt;&gt;"manual",$M725&lt;&gt;1)),
IF(Import.TipoArredondamento&lt;&gt;"TransfereGOV",
ROUND(OFFSET($P725,0,AB$13),15-13*ORÇAMENTO!$AF$7)/$H725*OFFSET(ORÇAMENTO!$X$15,ROW(AB725)-ROW(AB$15),0),
ROUND(ROUND(OFFSET($P725,0,AB$13),15-13*ORÇAMENTO!$AF$7)*OFFSET(ORÇAMENTO!$W$15,ROW(AB725)-ROW(AB$15),0),15-13*ORÇAMENTO!$AF$11)),0)</f>
        <v>0</v>
      </c>
      <c r="AC725" s="545">
        <f ca="1">IF(AND($D725="Serviço",AC$12&lt;&gt;0,$H725&gt;0,OR(AUTOEVENTO&lt;&gt;"manual",$M725&lt;&gt;1)),
IF(Import.TipoArredondamento&lt;&gt;"TransfereGOV",
ROUND(OFFSET($P725,0,AC$13),15-13*ORÇAMENTO!$AF$7)/$H725*OFFSET(ORÇAMENTO!$X$15,ROW(AC725)-ROW(AC$15),0),
ROUND(ROUND(OFFSET($P725,0,AC$13),15-13*ORÇAMENTO!$AF$7)*OFFSET(ORÇAMENTO!$W$15,ROW(AC725)-ROW(AC$15),0),15-13*ORÇAMENTO!$AF$11)),0)</f>
        <v>0</v>
      </c>
      <c r="AD725" s="545">
        <f ca="1">IF(AND($D725="Serviço",AD$12&lt;&gt;0,$H725&gt;0,OR(AUTOEVENTO&lt;&gt;"manual",$M725&lt;&gt;1)),
IF(Import.TipoArredondamento&lt;&gt;"TransfereGOV",
ROUND(OFFSET($P725,0,AD$13),15-13*ORÇAMENTO!$AF$7)/$H725*OFFSET(ORÇAMENTO!$X$15,ROW(AD725)-ROW(AD$15),0),
ROUND(ROUND(OFFSET($P725,0,AD$13),15-13*ORÇAMENTO!$AF$7)*OFFSET(ORÇAMENTO!$W$15,ROW(AD725)-ROW(AD$15),0),15-13*ORÇAMENTO!$AF$11)),0)</f>
        <v>0</v>
      </c>
      <c r="AE725" s="545">
        <f ca="1">IF(AND($D725="Serviço",AE$12&lt;&gt;0,$H725&gt;0,OR(AUTOEVENTO&lt;&gt;"manual",$M725&lt;&gt;1)),
IF(Import.TipoArredondamento&lt;&gt;"TransfereGOV",
ROUND(OFFSET($P725,0,AE$13),15-13*ORÇAMENTO!$AF$7)/$H725*OFFSET(ORÇAMENTO!$X$15,ROW(AE725)-ROW(AE$15),0),
ROUND(ROUND(OFFSET($P725,0,AE$13),15-13*ORÇAMENTO!$AF$7)*OFFSET(ORÇAMENTO!$W$15,ROW(AE725)-ROW(AE$15),0),15-13*ORÇAMENTO!$AF$11)),0)</f>
        <v>0</v>
      </c>
      <c r="AF725" s="545">
        <f ca="1">IF(AND($D725="Serviço",AF$12&lt;&gt;0,$H725&gt;0,OR(AUTOEVENTO&lt;&gt;"manual",$M725&lt;&gt;1)),
IF(Import.TipoArredondamento&lt;&gt;"TransfereGOV",
ROUND(OFFSET($P725,0,AF$13),15-13*ORÇAMENTO!$AF$7)/$H725*OFFSET(ORÇAMENTO!$X$15,ROW(AF725)-ROW(AF$15),0),
ROUND(ROUND(OFFSET($P725,0,AF$13),15-13*ORÇAMENTO!$AF$7)*OFFSET(ORÇAMENTO!$W$15,ROW(AF725)-ROW(AF$15),0),15-13*ORÇAMENTO!$AF$11)),0)</f>
        <v>0</v>
      </c>
      <c r="AG725" s="545">
        <f ca="1">IF(AND($D725="Serviço",AG$12&lt;&gt;0,$H725&gt;0,OR(AUTOEVENTO&lt;&gt;"manual",$M725&lt;&gt;1)),
IF(Import.TipoArredondamento&lt;&gt;"TransfereGOV",
ROUND(OFFSET($P725,0,AG$13),15-13*ORÇAMENTO!$AF$7)/$H725*OFFSET(ORÇAMENTO!$X$15,ROW(AG725)-ROW(AG$15),0),
ROUND(ROUND(OFFSET($P725,0,AG$13),15-13*ORÇAMENTO!$AF$7)*OFFSET(ORÇAMENTO!$W$15,ROW(AG725)-ROW(AG$15),0),15-13*ORÇAMENTO!$AF$11)),0)</f>
        <v>0</v>
      </c>
      <c r="AH725" s="545">
        <f ca="1">IF(AND($D725="Serviço",AH$12&lt;&gt;0,$H725&gt;0,OR(AUTOEVENTO&lt;&gt;"manual",$M725&lt;&gt;1)),
IF(Import.TipoArredondamento&lt;&gt;"TransfereGOV",
ROUND(OFFSET($P725,0,AH$13),15-13*ORÇAMENTO!$AF$7)/$H725*OFFSET(ORÇAMENTO!$X$15,ROW(AH725)-ROW(AH$15),0),
ROUND(ROUND(OFFSET($P725,0,AH$13),15-13*ORÇAMENTO!$AF$7)*OFFSET(ORÇAMENTO!$W$15,ROW(AH725)-ROW(AH$15),0),15-13*ORÇAMENTO!$AF$11)),0)</f>
        <v>0</v>
      </c>
      <c r="AI725" s="545">
        <f ca="1">IF(AND($D725="Serviço",AI$12&lt;&gt;0,$H725&gt;0,OR(AUTOEVENTO&lt;&gt;"manual",$M725&lt;&gt;1)),
IF(Import.TipoArredondamento&lt;&gt;"TransfereGOV",
ROUND(OFFSET($P725,0,AI$13),15-13*ORÇAMENTO!$AF$7)/$H725*OFFSET(ORÇAMENTO!$X$15,ROW(AI725)-ROW(AI$15),0),
ROUND(ROUND(OFFSET($P725,0,AI$13),15-13*ORÇAMENTO!$AF$7)*OFFSET(ORÇAMENTO!$W$15,ROW(AI725)-ROW(AI$15),0),15-13*ORÇAMENTO!$AF$11)),0)</f>
        <v>0</v>
      </c>
      <c r="AJ725" s="545">
        <f ca="1">IF(AND($D725="Serviço",AJ$12&lt;&gt;0,$H725&gt;0,OR(AUTOEVENTO&lt;&gt;"manual",$M725&lt;&gt;1)),
IF(Import.TipoArredondamento&lt;&gt;"TransfereGOV",
ROUND(OFFSET($P725,0,AJ$13),15-13*ORÇAMENTO!$AF$7)/$H725*OFFSET(ORÇAMENTO!$X$15,ROW(AJ725)-ROW(AJ$15),0),
ROUND(ROUND(OFFSET($P725,0,AJ$13),15-13*ORÇAMENTO!$AF$7)*OFFSET(ORÇAMENTO!$W$15,ROW(AJ725)-ROW(AJ$15),0),15-13*ORÇAMENTO!$AF$11)),0)</f>
        <v>0</v>
      </c>
      <c r="AK725" s="546">
        <f ca="1">IF(AND($D725="Serviço",AK$12&lt;&gt;0,$H725&gt;0,OR(AUTOEVENTO&lt;&gt;"manual",$M725&lt;&gt;1)),
IF(Import.TipoArredondamento&lt;&gt;"TransfereGOV",
ROUND(OFFSET($P725,0,AK$13),15-13*ORÇAMENTO!$AF$7)/$H725*OFFSET(ORÇAMENTO!$X$15,ROW(AK725)-ROW(AK$15),0),
ROUND(ROUND(OFFSET($P725,0,AK$13),15-13*ORÇAMENTO!$AF$7)*OFFSET(ORÇAMENTO!$W$15,ROW(AK725)-ROW(AK$15),0),15-13*ORÇAMENTO!$AF$11)),0)</f>
        <v>0</v>
      </c>
      <c r="AM725" s="181">
        <f ca="1">IF($D725&lt;&gt;"Serviço",0,IF(AND(AUTOEVENTO="Manual",$M725=1),0,IF(OFFSET(CRONOPLE!$F$14,$M725,AM$13)="",10^12,OFFSET(CRONOPLE!$F$14,$M725,AM$13))))</f>
        <v>1000000000000</v>
      </c>
      <c r="AN725" s="181">
        <f ca="1">IF($D725&lt;&gt;"Serviço",0,IF(AND(AUTOEVENTO="Manual",$M725=1),0,IF(OFFSET(CRONOPLE!$F$14,$M725,AN$13)="",10^12,OFFSET(CRONOPLE!$F$14,$M725,AN$13))))</f>
        <v>1000000000000</v>
      </c>
      <c r="AO725" s="181">
        <f ca="1">IF($D725&lt;&gt;"Serviço",0,IF(AND(AUTOEVENTO="Manual",$M725=1),0,IF(OFFSET(CRONOPLE!$F$14,$M725,AO$13)="",10^12,OFFSET(CRONOPLE!$F$14,$M725,AO$13))))</f>
        <v>1000000000000</v>
      </c>
      <c r="AP725" s="181">
        <f ca="1">IF($D725&lt;&gt;"Serviço",0,IF(AND(AUTOEVENTO="Manual",$M725=1),0,IF(OFFSET(CRONOPLE!$F$14,$M725,AP$13)="",10^12,OFFSET(CRONOPLE!$F$14,$M725,AP$13))))</f>
        <v>1000000000000</v>
      </c>
      <c r="AQ725" s="181">
        <f ca="1">IF($D725&lt;&gt;"Serviço",0,IF(AND(AUTOEVENTO="Manual",$M725=1),0,IF(OFFSET(CRONOPLE!$F$14,$M725,AQ$13)="",10^12,OFFSET(CRONOPLE!$F$14,$M725,AQ$13))))</f>
        <v>1000000000000</v>
      </c>
      <c r="AR725" s="181">
        <f ca="1">IF($D725&lt;&gt;"Serviço",0,IF(AND(AUTOEVENTO="Manual",$M725=1),0,IF(OFFSET(CRONOPLE!$F$14,$M725,AR$13)="",10^12,OFFSET(CRONOPLE!$F$14,$M725,AR$13))))</f>
        <v>1000000000000</v>
      </c>
      <c r="AS725" s="181">
        <f ca="1">IF($D725&lt;&gt;"Serviço",0,IF(AND(AUTOEVENTO="Manual",$M725=1),0,IF(OFFSET(CRONOPLE!$F$14,$M725,AS$13)="",10^12,OFFSET(CRONOPLE!$F$14,$M725,AS$13))))</f>
        <v>1000000000000</v>
      </c>
      <c r="AT725" s="181">
        <f ca="1">IF($D725&lt;&gt;"Serviço",0,IF(AND(AUTOEVENTO="Manual",$M725=1),0,IF(OFFSET(CRONOPLE!$F$14,$M725,AT$13)="",10^12,OFFSET(CRONOPLE!$F$14,$M725,AT$13))))</f>
        <v>1000000000000</v>
      </c>
      <c r="AU725" s="181">
        <f ca="1">IF($D725&lt;&gt;"Serviço",0,IF(AND(AUTOEVENTO="Manual",$M725=1),0,IF(OFFSET(CRONOPLE!$F$14,$M725,AU$13)="",10^12,OFFSET(CRONOPLE!$F$14,$M725,AU$13))))</f>
        <v>1000000000000</v>
      </c>
      <c r="AV725" s="181">
        <f ca="1">IF($D725&lt;&gt;"Serviço",0,IF(AND(AUTOEVENTO="Manual",$M725=1),0,IF(OFFSET(CRONOPLE!$F$14,$M725,AV$13)="",10^12,OFFSET(CRONOPLE!$F$14,$M725,AV$13))))</f>
        <v>1000000000000</v>
      </c>
      <c r="AX725" s="182">
        <f ca="1">IF($D725&lt;&gt;"Serviço",0,IF(OR(AND(AUTOEVENTO="Manual",$M725=1),$M725&gt;(ROW(PLE.lastrow)-ROW(PLE.firstrow))),0,IF(OFFSET(PLE!$G$14,$M725,AX$13)="",10^12,OFFSET(PLE!$G$14,$M725,AX$13))))</f>
        <v>1000000000000</v>
      </c>
      <c r="AY725" s="182">
        <f ca="1">IF($D725&lt;&gt;"Serviço",0,IF(OR(AND(AUTOEVENTO="Manual",$M725=1),$M725&gt;(ROW(PLE.lastrow)-ROW(PLE.firstrow))),0,IF(OFFSET(PLE!$G$14,$M725,AY$13)="",10^12,OFFSET(PLE!$G$14,$M725,AY$13))))</f>
        <v>1000000000000</v>
      </c>
      <c r="AZ725" s="182">
        <f ca="1">IF($D725&lt;&gt;"Serviço",0,IF(OR(AND(AUTOEVENTO="Manual",$M725=1),$M725&gt;(ROW(PLE.lastrow)-ROW(PLE.firstrow))),0,IF(OFFSET(PLE!$G$14,$M725,AZ$13)="",10^12,OFFSET(PLE!$G$14,$M725,AZ$13))))</f>
        <v>1000000000000</v>
      </c>
      <c r="BA725" s="182">
        <f ca="1">IF($D725&lt;&gt;"Serviço",0,IF(OR(AND(AUTOEVENTO="Manual",$M725=1),$M725&gt;(ROW(PLE.lastrow)-ROW(PLE.firstrow))),0,IF(OFFSET(PLE!$G$14,$M725,BA$13)="",10^12,OFFSET(PLE!$G$14,$M725,BA$13))))</f>
        <v>1000000000000</v>
      </c>
      <c r="BB725" s="182">
        <f ca="1">IF($D725&lt;&gt;"Serviço",0,IF(OR(AND(AUTOEVENTO="Manual",$M725=1),$M725&gt;(ROW(PLE.lastrow)-ROW(PLE.firstrow))),0,IF(OFFSET(PLE!$G$14,$M725,BB$13)="",10^12,OFFSET(PLE!$G$14,$M725,BB$13))))</f>
        <v>1000000000000</v>
      </c>
      <c r="BC725" s="182">
        <f ca="1">IF($D725&lt;&gt;"Serviço",0,IF(OR(AND(AUTOEVENTO="Manual",$M725=1),$M725&gt;(ROW(PLE.lastrow)-ROW(PLE.firstrow))),0,IF(OFFSET(PLE!$G$14,$M725,BC$13)="",10^12,OFFSET(PLE!$G$14,$M725,BC$13))))</f>
        <v>1000000000000</v>
      </c>
      <c r="BD725" s="182">
        <f ca="1">IF($D725&lt;&gt;"Serviço",0,IF(OR(AND(AUTOEVENTO="Manual",$M725=1),$M725&gt;(ROW(PLE.lastrow)-ROW(PLE.firstrow))),0,IF(OFFSET(PLE!$G$14,$M725,BD$13)="",10^12,OFFSET(PLE!$G$14,$M725,BD$13))))</f>
        <v>1000000000000</v>
      </c>
      <c r="BE725" s="182">
        <f ca="1">IF($D725&lt;&gt;"Serviço",0,IF(OR(AND(AUTOEVENTO="Manual",$M725=1),$M725&gt;(ROW(PLE.lastrow)-ROW(PLE.firstrow))),0,IF(OFFSET(PLE!$G$14,$M725,BE$13)="",10^12,OFFSET(PLE!$G$14,$M725,BE$13))))</f>
        <v>1000000000000</v>
      </c>
      <c r="BF725" s="182">
        <f ca="1">IF($D725&lt;&gt;"Serviço",0,IF(OR(AND(AUTOEVENTO="Manual",$M725=1),$M725&gt;(ROW(PLE.lastrow)-ROW(PLE.firstrow))),0,IF(OFFSET(PLE!$G$14,$M725,BF$13)="",10^12,OFFSET(PLE!$G$14,$M725,BF$13))))</f>
        <v>1000000000000</v>
      </c>
      <c r="BG725" s="182">
        <f ca="1">IF($D725&lt;&gt;"Serviço",0,IF(OR(AND(AUTOEVENTO="Manual",$M725=1),$M725&gt;(ROW(PLE.lastrow)-ROW(PLE.firstrow))),0,IF(OFFSET(PLE!$G$14,$M725,BG$13)="",10^12,OFFSET(PLE!$G$14,$M725,BG$13))))</f>
        <v>1000000000000</v>
      </c>
    </row>
    <row r="726" spans="1:59" ht="38.25" x14ac:dyDescent="0.2">
      <c r="A726" s="7" t="str">
        <f t="shared" ca="1" si="18"/>
        <v>679</v>
      </c>
      <c r="B726" s="7" t="str">
        <f ca="1">OFFSET(ORÇAMENTO!C$15,ROW(B726)-ROW(B$15),0)</f>
        <v>S</v>
      </c>
      <c r="C726" s="7" t="str">
        <f ca="1">OFFSET(ORÇAMENTO!L$15,ROW(C726)-ROW(C$15),0)</f>
        <v/>
      </c>
      <c r="D726" s="118" t="str">
        <f ca="1">OFFSET(ORÇAMENTO!N$15,ROW(D726)-ROW(D$15),0)</f>
        <v>Serviço</v>
      </c>
      <c r="E726" s="119" t="str">
        <f ca="1">OFFSET(ORÇAMENTO!O$15,ROW(E726)-ROW(E$15),0)</f>
        <v>-</v>
      </c>
      <c r="F726" s="172" t="str">
        <f ca="1">OFFSET(ORÇAMENTO!R$15,ROW(F726)-ROW(F$15),0)</f>
        <v>(abra o arquivo 'Referência 02-2025.xlsm)</v>
      </c>
      <c r="G726" s="173" t="str">
        <f ca="1">IF($D726&lt;&gt;"Serviço","",OFFSET(ORÇAMENTO!S$15,ROW(G726)-ROW(G$15),0))</f>
        <v>-</v>
      </c>
      <c r="H726" s="124">
        <f ca="1">IF($D726&lt;&gt;"Serviço",0,IF(ACOMPANHAMENTO="BM",ROUND(OFFSET(ORÇAMENTO!AJ$15,ROW(H726)-ROW(H$15),0),15-13*ORÇAMENTO!$AF$7),SUMPRODUCT(($Q$12:$AA$12&lt;&gt;"")*ROUND($Q726:$AA726,15-13*ORÇAMENTO!$AF$7))))</f>
        <v>28.28</v>
      </c>
      <c r="I726" s="561"/>
      <c r="K726" s="174"/>
      <c r="L726" s="175" t="s">
        <v>255</v>
      </c>
      <c r="M726" s="176">
        <f ca="1">IF($D726&lt;&gt;"Serviço","",IF(AUTOEVENTO="manual",$A726,IF(ISERROR(MATCH($A726,$A$15:OFFSET($A726,-1,0),0)),MAX($M$15:OFFSET(M726,-1,0))+1,INDEX($M$15:OFFSET(M726,-1,0),MATCH($A726,$A$15:OFFSET($A726,-1,0),0)))))</f>
        <v>25</v>
      </c>
      <c r="N726" s="177" t="str">
        <f ca="1">IF($D726&lt;&gt;"Serviço","",IF(AUTOEVENTO="Manual",IF($A726=0,"&lt;-- defina o número do agrupador",OFFSET(EVENTOS!$D$14,$A726,0)),OFFSET($F$15,$A726,0)))</f>
        <v>FECHAMENTO - MURO</v>
      </c>
      <c r="O726" s="178"/>
      <c r="Q726" s="178"/>
      <c r="R726" s="179"/>
      <c r="S726" s="179"/>
      <c r="T726" s="179"/>
      <c r="U726" s="179"/>
      <c r="V726" s="179"/>
      <c r="W726" s="179"/>
      <c r="X726" s="179"/>
      <c r="Y726" s="179"/>
      <c r="Z726" s="180"/>
      <c r="AB726" s="544">
        <f ca="1">IF(AND($D726="Serviço",AB$12&lt;&gt;0,$H726&gt;0,OR(AUTOEVENTO&lt;&gt;"manual",$M726&lt;&gt;1)),
IF(Import.TipoArredondamento&lt;&gt;"TransfereGOV",
ROUND(OFFSET($P726,0,AB$13),15-13*ORÇAMENTO!$AF$7)/$H726*OFFSET(ORÇAMENTO!$X$15,ROW(AB726)-ROW(AB$15),0),
ROUND(ROUND(OFFSET($P726,0,AB$13),15-13*ORÇAMENTO!$AF$7)*OFFSET(ORÇAMENTO!$W$15,ROW(AB726)-ROW(AB$15),0),15-13*ORÇAMENTO!$AF$11)),0)</f>
        <v>0</v>
      </c>
      <c r="AC726" s="545">
        <f ca="1">IF(AND($D726="Serviço",AC$12&lt;&gt;0,$H726&gt;0,OR(AUTOEVENTO&lt;&gt;"manual",$M726&lt;&gt;1)),
IF(Import.TipoArredondamento&lt;&gt;"TransfereGOV",
ROUND(OFFSET($P726,0,AC$13),15-13*ORÇAMENTO!$AF$7)/$H726*OFFSET(ORÇAMENTO!$X$15,ROW(AC726)-ROW(AC$15),0),
ROUND(ROUND(OFFSET($P726,0,AC$13),15-13*ORÇAMENTO!$AF$7)*OFFSET(ORÇAMENTO!$W$15,ROW(AC726)-ROW(AC$15),0),15-13*ORÇAMENTO!$AF$11)),0)</f>
        <v>0</v>
      </c>
      <c r="AD726" s="545">
        <f ca="1">IF(AND($D726="Serviço",AD$12&lt;&gt;0,$H726&gt;0,OR(AUTOEVENTO&lt;&gt;"manual",$M726&lt;&gt;1)),
IF(Import.TipoArredondamento&lt;&gt;"TransfereGOV",
ROUND(OFFSET($P726,0,AD$13),15-13*ORÇAMENTO!$AF$7)/$H726*OFFSET(ORÇAMENTO!$X$15,ROW(AD726)-ROW(AD$15),0),
ROUND(ROUND(OFFSET($P726,0,AD$13),15-13*ORÇAMENTO!$AF$7)*OFFSET(ORÇAMENTO!$W$15,ROW(AD726)-ROW(AD$15),0),15-13*ORÇAMENTO!$AF$11)),0)</f>
        <v>0</v>
      </c>
      <c r="AE726" s="545">
        <f ca="1">IF(AND($D726="Serviço",AE$12&lt;&gt;0,$H726&gt;0,OR(AUTOEVENTO&lt;&gt;"manual",$M726&lt;&gt;1)),
IF(Import.TipoArredondamento&lt;&gt;"TransfereGOV",
ROUND(OFFSET($P726,0,AE$13),15-13*ORÇAMENTO!$AF$7)/$H726*OFFSET(ORÇAMENTO!$X$15,ROW(AE726)-ROW(AE$15),0),
ROUND(ROUND(OFFSET($P726,0,AE$13),15-13*ORÇAMENTO!$AF$7)*OFFSET(ORÇAMENTO!$W$15,ROW(AE726)-ROW(AE$15),0),15-13*ORÇAMENTO!$AF$11)),0)</f>
        <v>0</v>
      </c>
      <c r="AF726" s="545">
        <f ca="1">IF(AND($D726="Serviço",AF$12&lt;&gt;0,$H726&gt;0,OR(AUTOEVENTO&lt;&gt;"manual",$M726&lt;&gt;1)),
IF(Import.TipoArredondamento&lt;&gt;"TransfereGOV",
ROUND(OFFSET($P726,0,AF$13),15-13*ORÇAMENTO!$AF$7)/$H726*OFFSET(ORÇAMENTO!$X$15,ROW(AF726)-ROW(AF$15),0),
ROUND(ROUND(OFFSET($P726,0,AF$13),15-13*ORÇAMENTO!$AF$7)*OFFSET(ORÇAMENTO!$W$15,ROW(AF726)-ROW(AF$15),0),15-13*ORÇAMENTO!$AF$11)),0)</f>
        <v>0</v>
      </c>
      <c r="AG726" s="545">
        <f ca="1">IF(AND($D726="Serviço",AG$12&lt;&gt;0,$H726&gt;0,OR(AUTOEVENTO&lt;&gt;"manual",$M726&lt;&gt;1)),
IF(Import.TipoArredondamento&lt;&gt;"TransfereGOV",
ROUND(OFFSET($P726,0,AG$13),15-13*ORÇAMENTO!$AF$7)/$H726*OFFSET(ORÇAMENTO!$X$15,ROW(AG726)-ROW(AG$15),0),
ROUND(ROUND(OFFSET($P726,0,AG$13),15-13*ORÇAMENTO!$AF$7)*OFFSET(ORÇAMENTO!$W$15,ROW(AG726)-ROW(AG$15),0),15-13*ORÇAMENTO!$AF$11)),0)</f>
        <v>0</v>
      </c>
      <c r="AH726" s="545">
        <f ca="1">IF(AND($D726="Serviço",AH$12&lt;&gt;0,$H726&gt;0,OR(AUTOEVENTO&lt;&gt;"manual",$M726&lt;&gt;1)),
IF(Import.TipoArredondamento&lt;&gt;"TransfereGOV",
ROUND(OFFSET($P726,0,AH$13),15-13*ORÇAMENTO!$AF$7)/$H726*OFFSET(ORÇAMENTO!$X$15,ROW(AH726)-ROW(AH$15),0),
ROUND(ROUND(OFFSET($P726,0,AH$13),15-13*ORÇAMENTO!$AF$7)*OFFSET(ORÇAMENTO!$W$15,ROW(AH726)-ROW(AH$15),0),15-13*ORÇAMENTO!$AF$11)),0)</f>
        <v>0</v>
      </c>
      <c r="AI726" s="545">
        <f ca="1">IF(AND($D726="Serviço",AI$12&lt;&gt;0,$H726&gt;0,OR(AUTOEVENTO&lt;&gt;"manual",$M726&lt;&gt;1)),
IF(Import.TipoArredondamento&lt;&gt;"TransfereGOV",
ROUND(OFFSET($P726,0,AI$13),15-13*ORÇAMENTO!$AF$7)/$H726*OFFSET(ORÇAMENTO!$X$15,ROW(AI726)-ROW(AI$15),0),
ROUND(ROUND(OFFSET($P726,0,AI$13),15-13*ORÇAMENTO!$AF$7)*OFFSET(ORÇAMENTO!$W$15,ROW(AI726)-ROW(AI$15),0),15-13*ORÇAMENTO!$AF$11)),0)</f>
        <v>0</v>
      </c>
      <c r="AJ726" s="545">
        <f ca="1">IF(AND($D726="Serviço",AJ$12&lt;&gt;0,$H726&gt;0,OR(AUTOEVENTO&lt;&gt;"manual",$M726&lt;&gt;1)),
IF(Import.TipoArredondamento&lt;&gt;"TransfereGOV",
ROUND(OFFSET($P726,0,AJ$13),15-13*ORÇAMENTO!$AF$7)/$H726*OFFSET(ORÇAMENTO!$X$15,ROW(AJ726)-ROW(AJ$15),0),
ROUND(ROUND(OFFSET($P726,0,AJ$13),15-13*ORÇAMENTO!$AF$7)*OFFSET(ORÇAMENTO!$W$15,ROW(AJ726)-ROW(AJ$15),0),15-13*ORÇAMENTO!$AF$11)),0)</f>
        <v>0</v>
      </c>
      <c r="AK726" s="546">
        <f ca="1">IF(AND($D726="Serviço",AK$12&lt;&gt;0,$H726&gt;0,OR(AUTOEVENTO&lt;&gt;"manual",$M726&lt;&gt;1)),
IF(Import.TipoArredondamento&lt;&gt;"TransfereGOV",
ROUND(OFFSET($P726,0,AK$13),15-13*ORÇAMENTO!$AF$7)/$H726*OFFSET(ORÇAMENTO!$X$15,ROW(AK726)-ROW(AK$15),0),
ROUND(ROUND(OFFSET($P726,0,AK$13),15-13*ORÇAMENTO!$AF$7)*OFFSET(ORÇAMENTO!$W$15,ROW(AK726)-ROW(AK$15),0),15-13*ORÇAMENTO!$AF$11)),0)</f>
        <v>0</v>
      </c>
      <c r="AM726" s="181">
        <f ca="1">IF($D726&lt;&gt;"Serviço",0,IF(AND(AUTOEVENTO="Manual",$M726=1),0,IF(OFFSET(CRONOPLE!$F$14,$M726,AM$13)="",10^12,OFFSET(CRONOPLE!$F$14,$M726,AM$13))))</f>
        <v>1000000000000</v>
      </c>
      <c r="AN726" s="181">
        <f ca="1">IF($D726&lt;&gt;"Serviço",0,IF(AND(AUTOEVENTO="Manual",$M726=1),0,IF(OFFSET(CRONOPLE!$F$14,$M726,AN$13)="",10^12,OFFSET(CRONOPLE!$F$14,$M726,AN$13))))</f>
        <v>1000000000000</v>
      </c>
      <c r="AO726" s="181">
        <f ca="1">IF($D726&lt;&gt;"Serviço",0,IF(AND(AUTOEVENTO="Manual",$M726=1),0,IF(OFFSET(CRONOPLE!$F$14,$M726,AO$13)="",10^12,OFFSET(CRONOPLE!$F$14,$M726,AO$13))))</f>
        <v>1000000000000</v>
      </c>
      <c r="AP726" s="181">
        <f ca="1">IF($D726&lt;&gt;"Serviço",0,IF(AND(AUTOEVENTO="Manual",$M726=1),0,IF(OFFSET(CRONOPLE!$F$14,$M726,AP$13)="",10^12,OFFSET(CRONOPLE!$F$14,$M726,AP$13))))</f>
        <v>1000000000000</v>
      </c>
      <c r="AQ726" s="181">
        <f ca="1">IF($D726&lt;&gt;"Serviço",0,IF(AND(AUTOEVENTO="Manual",$M726=1),0,IF(OFFSET(CRONOPLE!$F$14,$M726,AQ$13)="",10^12,OFFSET(CRONOPLE!$F$14,$M726,AQ$13))))</f>
        <v>1000000000000</v>
      </c>
      <c r="AR726" s="181">
        <f ca="1">IF($D726&lt;&gt;"Serviço",0,IF(AND(AUTOEVENTO="Manual",$M726=1),0,IF(OFFSET(CRONOPLE!$F$14,$M726,AR$13)="",10^12,OFFSET(CRONOPLE!$F$14,$M726,AR$13))))</f>
        <v>1000000000000</v>
      </c>
      <c r="AS726" s="181">
        <f ca="1">IF($D726&lt;&gt;"Serviço",0,IF(AND(AUTOEVENTO="Manual",$M726=1),0,IF(OFFSET(CRONOPLE!$F$14,$M726,AS$13)="",10^12,OFFSET(CRONOPLE!$F$14,$M726,AS$13))))</f>
        <v>1000000000000</v>
      </c>
      <c r="AT726" s="181">
        <f ca="1">IF($D726&lt;&gt;"Serviço",0,IF(AND(AUTOEVENTO="Manual",$M726=1),0,IF(OFFSET(CRONOPLE!$F$14,$M726,AT$13)="",10^12,OFFSET(CRONOPLE!$F$14,$M726,AT$13))))</f>
        <v>1000000000000</v>
      </c>
      <c r="AU726" s="181">
        <f ca="1">IF($D726&lt;&gt;"Serviço",0,IF(AND(AUTOEVENTO="Manual",$M726=1),0,IF(OFFSET(CRONOPLE!$F$14,$M726,AU$13)="",10^12,OFFSET(CRONOPLE!$F$14,$M726,AU$13))))</f>
        <v>1000000000000</v>
      </c>
      <c r="AV726" s="181">
        <f ca="1">IF($D726&lt;&gt;"Serviço",0,IF(AND(AUTOEVENTO="Manual",$M726=1),0,IF(OFFSET(CRONOPLE!$F$14,$M726,AV$13)="",10^12,OFFSET(CRONOPLE!$F$14,$M726,AV$13))))</f>
        <v>1000000000000</v>
      </c>
      <c r="AX726" s="182">
        <f ca="1">IF($D726&lt;&gt;"Serviço",0,IF(OR(AND(AUTOEVENTO="Manual",$M726=1),$M726&gt;(ROW(PLE.lastrow)-ROW(PLE.firstrow))),0,IF(OFFSET(PLE!$G$14,$M726,AX$13)="",10^12,OFFSET(PLE!$G$14,$M726,AX$13))))</f>
        <v>1000000000000</v>
      </c>
      <c r="AY726" s="182">
        <f ca="1">IF($D726&lt;&gt;"Serviço",0,IF(OR(AND(AUTOEVENTO="Manual",$M726=1),$M726&gt;(ROW(PLE.lastrow)-ROW(PLE.firstrow))),0,IF(OFFSET(PLE!$G$14,$M726,AY$13)="",10^12,OFFSET(PLE!$G$14,$M726,AY$13))))</f>
        <v>1000000000000</v>
      </c>
      <c r="AZ726" s="182">
        <f ca="1">IF($D726&lt;&gt;"Serviço",0,IF(OR(AND(AUTOEVENTO="Manual",$M726=1),$M726&gt;(ROW(PLE.lastrow)-ROW(PLE.firstrow))),0,IF(OFFSET(PLE!$G$14,$M726,AZ$13)="",10^12,OFFSET(PLE!$G$14,$M726,AZ$13))))</f>
        <v>1000000000000</v>
      </c>
      <c r="BA726" s="182">
        <f ca="1">IF($D726&lt;&gt;"Serviço",0,IF(OR(AND(AUTOEVENTO="Manual",$M726=1),$M726&gt;(ROW(PLE.lastrow)-ROW(PLE.firstrow))),0,IF(OFFSET(PLE!$G$14,$M726,BA$13)="",10^12,OFFSET(PLE!$G$14,$M726,BA$13))))</f>
        <v>1000000000000</v>
      </c>
      <c r="BB726" s="182">
        <f ca="1">IF($D726&lt;&gt;"Serviço",0,IF(OR(AND(AUTOEVENTO="Manual",$M726=1),$M726&gt;(ROW(PLE.lastrow)-ROW(PLE.firstrow))),0,IF(OFFSET(PLE!$G$14,$M726,BB$13)="",10^12,OFFSET(PLE!$G$14,$M726,BB$13))))</f>
        <v>1000000000000</v>
      </c>
      <c r="BC726" s="182">
        <f ca="1">IF($D726&lt;&gt;"Serviço",0,IF(OR(AND(AUTOEVENTO="Manual",$M726=1),$M726&gt;(ROW(PLE.lastrow)-ROW(PLE.firstrow))),0,IF(OFFSET(PLE!$G$14,$M726,BC$13)="",10^12,OFFSET(PLE!$G$14,$M726,BC$13))))</f>
        <v>1000000000000</v>
      </c>
      <c r="BD726" s="182">
        <f ca="1">IF($D726&lt;&gt;"Serviço",0,IF(OR(AND(AUTOEVENTO="Manual",$M726=1),$M726&gt;(ROW(PLE.lastrow)-ROW(PLE.firstrow))),0,IF(OFFSET(PLE!$G$14,$M726,BD$13)="",10^12,OFFSET(PLE!$G$14,$M726,BD$13))))</f>
        <v>1000000000000</v>
      </c>
      <c r="BE726" s="182">
        <f ca="1">IF($D726&lt;&gt;"Serviço",0,IF(OR(AND(AUTOEVENTO="Manual",$M726=1),$M726&gt;(ROW(PLE.lastrow)-ROW(PLE.firstrow))),0,IF(OFFSET(PLE!$G$14,$M726,BE$13)="",10^12,OFFSET(PLE!$G$14,$M726,BE$13))))</f>
        <v>1000000000000</v>
      </c>
      <c r="BF726" s="182">
        <f ca="1">IF($D726&lt;&gt;"Serviço",0,IF(OR(AND(AUTOEVENTO="Manual",$M726=1),$M726&gt;(ROW(PLE.lastrow)-ROW(PLE.firstrow))),0,IF(OFFSET(PLE!$G$14,$M726,BF$13)="",10^12,OFFSET(PLE!$G$14,$M726,BF$13))))</f>
        <v>1000000000000</v>
      </c>
      <c r="BG726" s="182">
        <f ca="1">IF($D726&lt;&gt;"Serviço",0,IF(OR(AND(AUTOEVENTO="Manual",$M726=1),$M726&gt;(ROW(PLE.lastrow)-ROW(PLE.firstrow))),0,IF(OFFSET(PLE!$G$14,$M726,BG$13)="",10^12,OFFSET(PLE!$G$14,$M726,BG$13))))</f>
        <v>1000000000000</v>
      </c>
    </row>
    <row r="727" spans="1:59" ht="38.25" x14ac:dyDescent="0.2">
      <c r="A727" s="7" t="str">
        <f t="shared" ca="1" si="18"/>
        <v>679</v>
      </c>
      <c r="B727" s="7" t="str">
        <f ca="1">OFFSET(ORÇAMENTO!C$15,ROW(B727)-ROW(B$15),0)</f>
        <v>S</v>
      </c>
      <c r="C727" s="7" t="str">
        <f ca="1">OFFSET(ORÇAMENTO!L$15,ROW(C727)-ROW(C$15),0)</f>
        <v/>
      </c>
      <c r="D727" s="118" t="str">
        <f ca="1">OFFSET(ORÇAMENTO!N$15,ROW(D727)-ROW(D$15),0)</f>
        <v>Serviço</v>
      </c>
      <c r="E727" s="119" t="str">
        <f ca="1">OFFSET(ORÇAMENTO!O$15,ROW(E727)-ROW(E$15),0)</f>
        <v>-</v>
      </c>
      <c r="F727" s="172" t="str">
        <f ca="1">OFFSET(ORÇAMENTO!R$15,ROW(F727)-ROW(F$15),0)</f>
        <v>(abra o arquivo 'Referência 02-2025.xlsm)</v>
      </c>
      <c r="G727" s="173" t="str">
        <f ca="1">IF($D727&lt;&gt;"Serviço","",OFFSET(ORÇAMENTO!S$15,ROW(G727)-ROW(G$15),0))</f>
        <v>-</v>
      </c>
      <c r="H727" s="124">
        <f ca="1">IF($D727&lt;&gt;"Serviço",0,IF(ACOMPANHAMENTO="BM",ROUND(OFFSET(ORÇAMENTO!AJ$15,ROW(H727)-ROW(H$15),0),15-13*ORÇAMENTO!$AF$7),SUMPRODUCT(($Q$12:$AA$12&lt;&gt;"")*ROUND($Q727:$AA727,15-13*ORÇAMENTO!$AF$7))))</f>
        <v>128.75</v>
      </c>
      <c r="I727" s="561"/>
      <c r="K727" s="174"/>
      <c r="L727" s="175" t="s">
        <v>255</v>
      </c>
      <c r="M727" s="176">
        <f ca="1">IF($D727&lt;&gt;"Serviço","",IF(AUTOEVENTO="manual",$A727,IF(ISERROR(MATCH($A727,$A$15:OFFSET($A727,-1,0),0)),MAX($M$15:OFFSET(M727,-1,0))+1,INDEX($M$15:OFFSET(M727,-1,0),MATCH($A727,$A$15:OFFSET($A727,-1,0),0)))))</f>
        <v>25</v>
      </c>
      <c r="N727" s="177" t="str">
        <f ca="1">IF($D727&lt;&gt;"Serviço","",IF(AUTOEVENTO="Manual",IF($A727=0,"&lt;-- defina o número do agrupador",OFFSET(EVENTOS!$D$14,$A727,0)),OFFSET($F$15,$A727,0)))</f>
        <v>FECHAMENTO - MURO</v>
      </c>
      <c r="O727" s="178"/>
      <c r="Q727" s="178"/>
      <c r="R727" s="179"/>
      <c r="S727" s="179"/>
      <c r="T727" s="179"/>
      <c r="U727" s="179"/>
      <c r="V727" s="179"/>
      <c r="W727" s="179"/>
      <c r="X727" s="179"/>
      <c r="Y727" s="179"/>
      <c r="Z727" s="180"/>
      <c r="AB727" s="544">
        <f ca="1">IF(AND($D727="Serviço",AB$12&lt;&gt;0,$H727&gt;0,OR(AUTOEVENTO&lt;&gt;"manual",$M727&lt;&gt;1)),
IF(Import.TipoArredondamento&lt;&gt;"TransfereGOV",
ROUND(OFFSET($P727,0,AB$13),15-13*ORÇAMENTO!$AF$7)/$H727*OFFSET(ORÇAMENTO!$X$15,ROW(AB727)-ROW(AB$15),0),
ROUND(ROUND(OFFSET($P727,0,AB$13),15-13*ORÇAMENTO!$AF$7)*OFFSET(ORÇAMENTO!$W$15,ROW(AB727)-ROW(AB$15),0),15-13*ORÇAMENTO!$AF$11)),0)</f>
        <v>0</v>
      </c>
      <c r="AC727" s="545">
        <f ca="1">IF(AND($D727="Serviço",AC$12&lt;&gt;0,$H727&gt;0,OR(AUTOEVENTO&lt;&gt;"manual",$M727&lt;&gt;1)),
IF(Import.TipoArredondamento&lt;&gt;"TransfereGOV",
ROUND(OFFSET($P727,0,AC$13),15-13*ORÇAMENTO!$AF$7)/$H727*OFFSET(ORÇAMENTO!$X$15,ROW(AC727)-ROW(AC$15),0),
ROUND(ROUND(OFFSET($P727,0,AC$13),15-13*ORÇAMENTO!$AF$7)*OFFSET(ORÇAMENTO!$W$15,ROW(AC727)-ROW(AC$15),0),15-13*ORÇAMENTO!$AF$11)),0)</f>
        <v>0</v>
      </c>
      <c r="AD727" s="545">
        <f ca="1">IF(AND($D727="Serviço",AD$12&lt;&gt;0,$H727&gt;0,OR(AUTOEVENTO&lt;&gt;"manual",$M727&lt;&gt;1)),
IF(Import.TipoArredondamento&lt;&gt;"TransfereGOV",
ROUND(OFFSET($P727,0,AD$13),15-13*ORÇAMENTO!$AF$7)/$H727*OFFSET(ORÇAMENTO!$X$15,ROW(AD727)-ROW(AD$15),0),
ROUND(ROUND(OFFSET($P727,0,AD$13),15-13*ORÇAMENTO!$AF$7)*OFFSET(ORÇAMENTO!$W$15,ROW(AD727)-ROW(AD$15),0),15-13*ORÇAMENTO!$AF$11)),0)</f>
        <v>0</v>
      </c>
      <c r="AE727" s="545">
        <f ca="1">IF(AND($D727="Serviço",AE$12&lt;&gt;0,$H727&gt;0,OR(AUTOEVENTO&lt;&gt;"manual",$M727&lt;&gt;1)),
IF(Import.TipoArredondamento&lt;&gt;"TransfereGOV",
ROUND(OFFSET($P727,0,AE$13),15-13*ORÇAMENTO!$AF$7)/$H727*OFFSET(ORÇAMENTO!$X$15,ROW(AE727)-ROW(AE$15),0),
ROUND(ROUND(OFFSET($P727,0,AE$13),15-13*ORÇAMENTO!$AF$7)*OFFSET(ORÇAMENTO!$W$15,ROW(AE727)-ROW(AE$15),0),15-13*ORÇAMENTO!$AF$11)),0)</f>
        <v>0</v>
      </c>
      <c r="AF727" s="545">
        <f ca="1">IF(AND($D727="Serviço",AF$12&lt;&gt;0,$H727&gt;0,OR(AUTOEVENTO&lt;&gt;"manual",$M727&lt;&gt;1)),
IF(Import.TipoArredondamento&lt;&gt;"TransfereGOV",
ROUND(OFFSET($P727,0,AF$13),15-13*ORÇAMENTO!$AF$7)/$H727*OFFSET(ORÇAMENTO!$X$15,ROW(AF727)-ROW(AF$15),0),
ROUND(ROUND(OFFSET($P727,0,AF$13),15-13*ORÇAMENTO!$AF$7)*OFFSET(ORÇAMENTO!$W$15,ROW(AF727)-ROW(AF$15),0),15-13*ORÇAMENTO!$AF$11)),0)</f>
        <v>0</v>
      </c>
      <c r="AG727" s="545">
        <f ca="1">IF(AND($D727="Serviço",AG$12&lt;&gt;0,$H727&gt;0,OR(AUTOEVENTO&lt;&gt;"manual",$M727&lt;&gt;1)),
IF(Import.TipoArredondamento&lt;&gt;"TransfereGOV",
ROUND(OFFSET($P727,0,AG$13),15-13*ORÇAMENTO!$AF$7)/$H727*OFFSET(ORÇAMENTO!$X$15,ROW(AG727)-ROW(AG$15),0),
ROUND(ROUND(OFFSET($P727,0,AG$13),15-13*ORÇAMENTO!$AF$7)*OFFSET(ORÇAMENTO!$W$15,ROW(AG727)-ROW(AG$15),0),15-13*ORÇAMENTO!$AF$11)),0)</f>
        <v>0</v>
      </c>
      <c r="AH727" s="545">
        <f ca="1">IF(AND($D727="Serviço",AH$12&lt;&gt;0,$H727&gt;0,OR(AUTOEVENTO&lt;&gt;"manual",$M727&lt;&gt;1)),
IF(Import.TipoArredondamento&lt;&gt;"TransfereGOV",
ROUND(OFFSET($P727,0,AH$13),15-13*ORÇAMENTO!$AF$7)/$H727*OFFSET(ORÇAMENTO!$X$15,ROW(AH727)-ROW(AH$15),0),
ROUND(ROUND(OFFSET($P727,0,AH$13),15-13*ORÇAMENTO!$AF$7)*OFFSET(ORÇAMENTO!$W$15,ROW(AH727)-ROW(AH$15),0),15-13*ORÇAMENTO!$AF$11)),0)</f>
        <v>0</v>
      </c>
      <c r="AI727" s="545">
        <f ca="1">IF(AND($D727="Serviço",AI$12&lt;&gt;0,$H727&gt;0,OR(AUTOEVENTO&lt;&gt;"manual",$M727&lt;&gt;1)),
IF(Import.TipoArredondamento&lt;&gt;"TransfereGOV",
ROUND(OFFSET($P727,0,AI$13),15-13*ORÇAMENTO!$AF$7)/$H727*OFFSET(ORÇAMENTO!$X$15,ROW(AI727)-ROW(AI$15),0),
ROUND(ROUND(OFFSET($P727,0,AI$13),15-13*ORÇAMENTO!$AF$7)*OFFSET(ORÇAMENTO!$W$15,ROW(AI727)-ROW(AI$15),0),15-13*ORÇAMENTO!$AF$11)),0)</f>
        <v>0</v>
      </c>
      <c r="AJ727" s="545">
        <f ca="1">IF(AND($D727="Serviço",AJ$12&lt;&gt;0,$H727&gt;0,OR(AUTOEVENTO&lt;&gt;"manual",$M727&lt;&gt;1)),
IF(Import.TipoArredondamento&lt;&gt;"TransfereGOV",
ROUND(OFFSET($P727,0,AJ$13),15-13*ORÇAMENTO!$AF$7)/$H727*OFFSET(ORÇAMENTO!$X$15,ROW(AJ727)-ROW(AJ$15),0),
ROUND(ROUND(OFFSET($P727,0,AJ$13),15-13*ORÇAMENTO!$AF$7)*OFFSET(ORÇAMENTO!$W$15,ROW(AJ727)-ROW(AJ$15),0),15-13*ORÇAMENTO!$AF$11)),0)</f>
        <v>0</v>
      </c>
      <c r="AK727" s="546">
        <f ca="1">IF(AND($D727="Serviço",AK$12&lt;&gt;0,$H727&gt;0,OR(AUTOEVENTO&lt;&gt;"manual",$M727&lt;&gt;1)),
IF(Import.TipoArredondamento&lt;&gt;"TransfereGOV",
ROUND(OFFSET($P727,0,AK$13),15-13*ORÇAMENTO!$AF$7)/$H727*OFFSET(ORÇAMENTO!$X$15,ROW(AK727)-ROW(AK$15),0),
ROUND(ROUND(OFFSET($P727,0,AK$13),15-13*ORÇAMENTO!$AF$7)*OFFSET(ORÇAMENTO!$W$15,ROW(AK727)-ROW(AK$15),0),15-13*ORÇAMENTO!$AF$11)),0)</f>
        <v>0</v>
      </c>
      <c r="AM727" s="181">
        <f ca="1">IF($D727&lt;&gt;"Serviço",0,IF(AND(AUTOEVENTO="Manual",$M727=1),0,IF(OFFSET(CRONOPLE!$F$14,$M727,AM$13)="",10^12,OFFSET(CRONOPLE!$F$14,$M727,AM$13))))</f>
        <v>1000000000000</v>
      </c>
      <c r="AN727" s="181">
        <f ca="1">IF($D727&lt;&gt;"Serviço",0,IF(AND(AUTOEVENTO="Manual",$M727=1),0,IF(OFFSET(CRONOPLE!$F$14,$M727,AN$13)="",10^12,OFFSET(CRONOPLE!$F$14,$M727,AN$13))))</f>
        <v>1000000000000</v>
      </c>
      <c r="AO727" s="181">
        <f ca="1">IF($D727&lt;&gt;"Serviço",0,IF(AND(AUTOEVENTO="Manual",$M727=1),0,IF(OFFSET(CRONOPLE!$F$14,$M727,AO$13)="",10^12,OFFSET(CRONOPLE!$F$14,$M727,AO$13))))</f>
        <v>1000000000000</v>
      </c>
      <c r="AP727" s="181">
        <f ca="1">IF($D727&lt;&gt;"Serviço",0,IF(AND(AUTOEVENTO="Manual",$M727=1),0,IF(OFFSET(CRONOPLE!$F$14,$M727,AP$13)="",10^12,OFFSET(CRONOPLE!$F$14,$M727,AP$13))))</f>
        <v>1000000000000</v>
      </c>
      <c r="AQ727" s="181">
        <f ca="1">IF($D727&lt;&gt;"Serviço",0,IF(AND(AUTOEVENTO="Manual",$M727=1),0,IF(OFFSET(CRONOPLE!$F$14,$M727,AQ$13)="",10^12,OFFSET(CRONOPLE!$F$14,$M727,AQ$13))))</f>
        <v>1000000000000</v>
      </c>
      <c r="AR727" s="181">
        <f ca="1">IF($D727&lt;&gt;"Serviço",0,IF(AND(AUTOEVENTO="Manual",$M727=1),0,IF(OFFSET(CRONOPLE!$F$14,$M727,AR$13)="",10^12,OFFSET(CRONOPLE!$F$14,$M727,AR$13))))</f>
        <v>1000000000000</v>
      </c>
      <c r="AS727" s="181">
        <f ca="1">IF($D727&lt;&gt;"Serviço",0,IF(AND(AUTOEVENTO="Manual",$M727=1),0,IF(OFFSET(CRONOPLE!$F$14,$M727,AS$13)="",10^12,OFFSET(CRONOPLE!$F$14,$M727,AS$13))))</f>
        <v>1000000000000</v>
      </c>
      <c r="AT727" s="181">
        <f ca="1">IF($D727&lt;&gt;"Serviço",0,IF(AND(AUTOEVENTO="Manual",$M727=1),0,IF(OFFSET(CRONOPLE!$F$14,$M727,AT$13)="",10^12,OFFSET(CRONOPLE!$F$14,$M727,AT$13))))</f>
        <v>1000000000000</v>
      </c>
      <c r="AU727" s="181">
        <f ca="1">IF($D727&lt;&gt;"Serviço",0,IF(AND(AUTOEVENTO="Manual",$M727=1),0,IF(OFFSET(CRONOPLE!$F$14,$M727,AU$13)="",10^12,OFFSET(CRONOPLE!$F$14,$M727,AU$13))))</f>
        <v>1000000000000</v>
      </c>
      <c r="AV727" s="181">
        <f ca="1">IF($D727&lt;&gt;"Serviço",0,IF(AND(AUTOEVENTO="Manual",$M727=1),0,IF(OFFSET(CRONOPLE!$F$14,$M727,AV$13)="",10^12,OFFSET(CRONOPLE!$F$14,$M727,AV$13))))</f>
        <v>1000000000000</v>
      </c>
      <c r="AX727" s="182">
        <f ca="1">IF($D727&lt;&gt;"Serviço",0,IF(OR(AND(AUTOEVENTO="Manual",$M727=1),$M727&gt;(ROW(PLE.lastrow)-ROW(PLE.firstrow))),0,IF(OFFSET(PLE!$G$14,$M727,AX$13)="",10^12,OFFSET(PLE!$G$14,$M727,AX$13))))</f>
        <v>1000000000000</v>
      </c>
      <c r="AY727" s="182">
        <f ca="1">IF($D727&lt;&gt;"Serviço",0,IF(OR(AND(AUTOEVENTO="Manual",$M727=1),$M727&gt;(ROW(PLE.lastrow)-ROW(PLE.firstrow))),0,IF(OFFSET(PLE!$G$14,$M727,AY$13)="",10^12,OFFSET(PLE!$G$14,$M727,AY$13))))</f>
        <v>1000000000000</v>
      </c>
      <c r="AZ727" s="182">
        <f ca="1">IF($D727&lt;&gt;"Serviço",0,IF(OR(AND(AUTOEVENTO="Manual",$M727=1),$M727&gt;(ROW(PLE.lastrow)-ROW(PLE.firstrow))),0,IF(OFFSET(PLE!$G$14,$M727,AZ$13)="",10^12,OFFSET(PLE!$G$14,$M727,AZ$13))))</f>
        <v>1000000000000</v>
      </c>
      <c r="BA727" s="182">
        <f ca="1">IF($D727&lt;&gt;"Serviço",0,IF(OR(AND(AUTOEVENTO="Manual",$M727=1),$M727&gt;(ROW(PLE.lastrow)-ROW(PLE.firstrow))),0,IF(OFFSET(PLE!$G$14,$M727,BA$13)="",10^12,OFFSET(PLE!$G$14,$M727,BA$13))))</f>
        <v>1000000000000</v>
      </c>
      <c r="BB727" s="182">
        <f ca="1">IF($D727&lt;&gt;"Serviço",0,IF(OR(AND(AUTOEVENTO="Manual",$M727=1),$M727&gt;(ROW(PLE.lastrow)-ROW(PLE.firstrow))),0,IF(OFFSET(PLE!$G$14,$M727,BB$13)="",10^12,OFFSET(PLE!$G$14,$M727,BB$13))))</f>
        <v>1000000000000</v>
      </c>
      <c r="BC727" s="182">
        <f ca="1">IF($D727&lt;&gt;"Serviço",0,IF(OR(AND(AUTOEVENTO="Manual",$M727=1),$M727&gt;(ROW(PLE.lastrow)-ROW(PLE.firstrow))),0,IF(OFFSET(PLE!$G$14,$M727,BC$13)="",10^12,OFFSET(PLE!$G$14,$M727,BC$13))))</f>
        <v>1000000000000</v>
      </c>
      <c r="BD727" s="182">
        <f ca="1">IF($D727&lt;&gt;"Serviço",0,IF(OR(AND(AUTOEVENTO="Manual",$M727=1),$M727&gt;(ROW(PLE.lastrow)-ROW(PLE.firstrow))),0,IF(OFFSET(PLE!$G$14,$M727,BD$13)="",10^12,OFFSET(PLE!$G$14,$M727,BD$13))))</f>
        <v>1000000000000</v>
      </c>
      <c r="BE727" s="182">
        <f ca="1">IF($D727&lt;&gt;"Serviço",0,IF(OR(AND(AUTOEVENTO="Manual",$M727=1),$M727&gt;(ROW(PLE.lastrow)-ROW(PLE.firstrow))),0,IF(OFFSET(PLE!$G$14,$M727,BE$13)="",10^12,OFFSET(PLE!$G$14,$M727,BE$13))))</f>
        <v>1000000000000</v>
      </c>
      <c r="BF727" s="182">
        <f ca="1">IF($D727&lt;&gt;"Serviço",0,IF(OR(AND(AUTOEVENTO="Manual",$M727=1),$M727&gt;(ROW(PLE.lastrow)-ROW(PLE.firstrow))),0,IF(OFFSET(PLE!$G$14,$M727,BF$13)="",10^12,OFFSET(PLE!$G$14,$M727,BF$13))))</f>
        <v>1000000000000</v>
      </c>
      <c r="BG727" s="182">
        <f ca="1">IF($D727&lt;&gt;"Serviço",0,IF(OR(AND(AUTOEVENTO="Manual",$M727=1),$M727&gt;(ROW(PLE.lastrow)-ROW(PLE.firstrow))),0,IF(OFFSET(PLE!$G$14,$M727,BG$13)="",10^12,OFFSET(PLE!$G$14,$M727,BG$13))))</f>
        <v>1000000000000</v>
      </c>
    </row>
    <row r="728" spans="1:59" ht="38.25" x14ac:dyDescent="0.2">
      <c r="A728" s="7" t="str">
        <f t="shared" ca="1" si="18"/>
        <v>679</v>
      </c>
      <c r="B728" s="7" t="str">
        <f ca="1">OFFSET(ORÇAMENTO!C$15,ROW(B728)-ROW(B$15),0)</f>
        <v>S</v>
      </c>
      <c r="C728" s="7" t="str">
        <f ca="1">OFFSET(ORÇAMENTO!L$15,ROW(C728)-ROW(C$15),0)</f>
        <v/>
      </c>
      <c r="D728" s="118" t="str">
        <f ca="1">OFFSET(ORÇAMENTO!N$15,ROW(D728)-ROW(D$15),0)</f>
        <v>Serviço</v>
      </c>
      <c r="E728" s="119" t="str">
        <f ca="1">OFFSET(ORÇAMENTO!O$15,ROW(E728)-ROW(E$15),0)</f>
        <v>-</v>
      </c>
      <c r="F728" s="172" t="str">
        <f ca="1">OFFSET(ORÇAMENTO!R$15,ROW(F728)-ROW(F$15),0)</f>
        <v>(abra o arquivo 'Referência 02-2025.xlsm)</v>
      </c>
      <c r="G728" s="173" t="str">
        <f ca="1">IF($D728&lt;&gt;"Serviço","",OFFSET(ORÇAMENTO!S$15,ROW(G728)-ROW(G$15),0))</f>
        <v>-</v>
      </c>
      <c r="H728" s="124">
        <f ca="1">IF($D728&lt;&gt;"Serviço",0,IF(ACOMPANHAMENTO="BM",ROUND(OFFSET(ORÇAMENTO!AJ$15,ROW(H728)-ROW(H$15),0),15-13*ORÇAMENTO!$AF$7),SUMPRODUCT(($Q$12:$AA$12&lt;&gt;"")*ROUND($Q728:$AA728,15-13*ORÇAMENTO!$AF$7))))</f>
        <v>4.75</v>
      </c>
      <c r="I728" s="561"/>
      <c r="K728" s="174"/>
      <c r="L728" s="175" t="s">
        <v>255</v>
      </c>
      <c r="M728" s="176">
        <f ca="1">IF($D728&lt;&gt;"Serviço","",IF(AUTOEVENTO="manual",$A728,IF(ISERROR(MATCH($A728,$A$15:OFFSET($A728,-1,0),0)),MAX($M$15:OFFSET(M728,-1,0))+1,INDEX($M$15:OFFSET(M728,-1,0),MATCH($A728,$A$15:OFFSET($A728,-1,0),0)))))</f>
        <v>25</v>
      </c>
      <c r="N728" s="177" t="str">
        <f ca="1">IF($D728&lt;&gt;"Serviço","",IF(AUTOEVENTO="Manual",IF($A728=0,"&lt;-- defina o número do agrupador",OFFSET(EVENTOS!$D$14,$A728,0)),OFFSET($F$15,$A728,0)))</f>
        <v>FECHAMENTO - MURO</v>
      </c>
      <c r="O728" s="178"/>
      <c r="Q728" s="178"/>
      <c r="R728" s="179"/>
      <c r="S728" s="179"/>
      <c r="T728" s="179"/>
      <c r="U728" s="179"/>
      <c r="V728" s="179"/>
      <c r="W728" s="179"/>
      <c r="X728" s="179"/>
      <c r="Y728" s="179"/>
      <c r="Z728" s="180"/>
      <c r="AB728" s="544">
        <f ca="1">IF(AND($D728="Serviço",AB$12&lt;&gt;0,$H728&gt;0,OR(AUTOEVENTO&lt;&gt;"manual",$M728&lt;&gt;1)),
IF(Import.TipoArredondamento&lt;&gt;"TransfereGOV",
ROUND(OFFSET($P728,0,AB$13),15-13*ORÇAMENTO!$AF$7)/$H728*OFFSET(ORÇAMENTO!$X$15,ROW(AB728)-ROW(AB$15),0),
ROUND(ROUND(OFFSET($P728,0,AB$13),15-13*ORÇAMENTO!$AF$7)*OFFSET(ORÇAMENTO!$W$15,ROW(AB728)-ROW(AB$15),0),15-13*ORÇAMENTO!$AF$11)),0)</f>
        <v>0</v>
      </c>
      <c r="AC728" s="545">
        <f ca="1">IF(AND($D728="Serviço",AC$12&lt;&gt;0,$H728&gt;0,OR(AUTOEVENTO&lt;&gt;"manual",$M728&lt;&gt;1)),
IF(Import.TipoArredondamento&lt;&gt;"TransfereGOV",
ROUND(OFFSET($P728,0,AC$13),15-13*ORÇAMENTO!$AF$7)/$H728*OFFSET(ORÇAMENTO!$X$15,ROW(AC728)-ROW(AC$15),0),
ROUND(ROUND(OFFSET($P728,0,AC$13),15-13*ORÇAMENTO!$AF$7)*OFFSET(ORÇAMENTO!$W$15,ROW(AC728)-ROW(AC$15),0),15-13*ORÇAMENTO!$AF$11)),0)</f>
        <v>0</v>
      </c>
      <c r="AD728" s="545">
        <f ca="1">IF(AND($D728="Serviço",AD$12&lt;&gt;0,$H728&gt;0,OR(AUTOEVENTO&lt;&gt;"manual",$M728&lt;&gt;1)),
IF(Import.TipoArredondamento&lt;&gt;"TransfereGOV",
ROUND(OFFSET($P728,0,AD$13),15-13*ORÇAMENTO!$AF$7)/$H728*OFFSET(ORÇAMENTO!$X$15,ROW(AD728)-ROW(AD$15),0),
ROUND(ROUND(OFFSET($P728,0,AD$13),15-13*ORÇAMENTO!$AF$7)*OFFSET(ORÇAMENTO!$W$15,ROW(AD728)-ROW(AD$15),0),15-13*ORÇAMENTO!$AF$11)),0)</f>
        <v>0</v>
      </c>
      <c r="AE728" s="545">
        <f ca="1">IF(AND($D728="Serviço",AE$12&lt;&gt;0,$H728&gt;0,OR(AUTOEVENTO&lt;&gt;"manual",$M728&lt;&gt;1)),
IF(Import.TipoArredondamento&lt;&gt;"TransfereGOV",
ROUND(OFFSET($P728,0,AE$13),15-13*ORÇAMENTO!$AF$7)/$H728*OFFSET(ORÇAMENTO!$X$15,ROW(AE728)-ROW(AE$15),0),
ROUND(ROUND(OFFSET($P728,0,AE$13),15-13*ORÇAMENTO!$AF$7)*OFFSET(ORÇAMENTO!$W$15,ROW(AE728)-ROW(AE$15),0),15-13*ORÇAMENTO!$AF$11)),0)</f>
        <v>0</v>
      </c>
      <c r="AF728" s="545">
        <f ca="1">IF(AND($D728="Serviço",AF$12&lt;&gt;0,$H728&gt;0,OR(AUTOEVENTO&lt;&gt;"manual",$M728&lt;&gt;1)),
IF(Import.TipoArredondamento&lt;&gt;"TransfereGOV",
ROUND(OFFSET($P728,0,AF$13),15-13*ORÇAMENTO!$AF$7)/$H728*OFFSET(ORÇAMENTO!$X$15,ROW(AF728)-ROW(AF$15),0),
ROUND(ROUND(OFFSET($P728,0,AF$13),15-13*ORÇAMENTO!$AF$7)*OFFSET(ORÇAMENTO!$W$15,ROW(AF728)-ROW(AF$15),0),15-13*ORÇAMENTO!$AF$11)),0)</f>
        <v>0</v>
      </c>
      <c r="AG728" s="545">
        <f ca="1">IF(AND($D728="Serviço",AG$12&lt;&gt;0,$H728&gt;0,OR(AUTOEVENTO&lt;&gt;"manual",$M728&lt;&gt;1)),
IF(Import.TipoArredondamento&lt;&gt;"TransfereGOV",
ROUND(OFFSET($P728,0,AG$13),15-13*ORÇAMENTO!$AF$7)/$H728*OFFSET(ORÇAMENTO!$X$15,ROW(AG728)-ROW(AG$15),0),
ROUND(ROUND(OFFSET($P728,0,AG$13),15-13*ORÇAMENTO!$AF$7)*OFFSET(ORÇAMENTO!$W$15,ROW(AG728)-ROW(AG$15),0),15-13*ORÇAMENTO!$AF$11)),0)</f>
        <v>0</v>
      </c>
      <c r="AH728" s="545">
        <f ca="1">IF(AND($D728="Serviço",AH$12&lt;&gt;0,$H728&gt;0,OR(AUTOEVENTO&lt;&gt;"manual",$M728&lt;&gt;1)),
IF(Import.TipoArredondamento&lt;&gt;"TransfereGOV",
ROUND(OFFSET($P728,0,AH$13),15-13*ORÇAMENTO!$AF$7)/$H728*OFFSET(ORÇAMENTO!$X$15,ROW(AH728)-ROW(AH$15),0),
ROUND(ROUND(OFFSET($P728,0,AH$13),15-13*ORÇAMENTO!$AF$7)*OFFSET(ORÇAMENTO!$W$15,ROW(AH728)-ROW(AH$15),0),15-13*ORÇAMENTO!$AF$11)),0)</f>
        <v>0</v>
      </c>
      <c r="AI728" s="545">
        <f ca="1">IF(AND($D728="Serviço",AI$12&lt;&gt;0,$H728&gt;0,OR(AUTOEVENTO&lt;&gt;"manual",$M728&lt;&gt;1)),
IF(Import.TipoArredondamento&lt;&gt;"TransfereGOV",
ROUND(OFFSET($P728,0,AI$13),15-13*ORÇAMENTO!$AF$7)/$H728*OFFSET(ORÇAMENTO!$X$15,ROW(AI728)-ROW(AI$15),0),
ROUND(ROUND(OFFSET($P728,0,AI$13),15-13*ORÇAMENTO!$AF$7)*OFFSET(ORÇAMENTO!$W$15,ROW(AI728)-ROW(AI$15),0),15-13*ORÇAMENTO!$AF$11)),0)</f>
        <v>0</v>
      </c>
      <c r="AJ728" s="545">
        <f ca="1">IF(AND($D728="Serviço",AJ$12&lt;&gt;0,$H728&gt;0,OR(AUTOEVENTO&lt;&gt;"manual",$M728&lt;&gt;1)),
IF(Import.TipoArredondamento&lt;&gt;"TransfereGOV",
ROUND(OFFSET($P728,0,AJ$13),15-13*ORÇAMENTO!$AF$7)/$H728*OFFSET(ORÇAMENTO!$X$15,ROW(AJ728)-ROW(AJ$15),0),
ROUND(ROUND(OFFSET($P728,0,AJ$13),15-13*ORÇAMENTO!$AF$7)*OFFSET(ORÇAMENTO!$W$15,ROW(AJ728)-ROW(AJ$15),0),15-13*ORÇAMENTO!$AF$11)),0)</f>
        <v>0</v>
      </c>
      <c r="AK728" s="546">
        <f ca="1">IF(AND($D728="Serviço",AK$12&lt;&gt;0,$H728&gt;0,OR(AUTOEVENTO&lt;&gt;"manual",$M728&lt;&gt;1)),
IF(Import.TipoArredondamento&lt;&gt;"TransfereGOV",
ROUND(OFFSET($P728,0,AK$13),15-13*ORÇAMENTO!$AF$7)/$H728*OFFSET(ORÇAMENTO!$X$15,ROW(AK728)-ROW(AK$15),0),
ROUND(ROUND(OFFSET($P728,0,AK$13),15-13*ORÇAMENTO!$AF$7)*OFFSET(ORÇAMENTO!$W$15,ROW(AK728)-ROW(AK$15),0),15-13*ORÇAMENTO!$AF$11)),0)</f>
        <v>0</v>
      </c>
      <c r="AM728" s="181">
        <f ca="1">IF($D728&lt;&gt;"Serviço",0,IF(AND(AUTOEVENTO="Manual",$M728=1),0,IF(OFFSET(CRONOPLE!$F$14,$M728,AM$13)="",10^12,OFFSET(CRONOPLE!$F$14,$M728,AM$13))))</f>
        <v>1000000000000</v>
      </c>
      <c r="AN728" s="181">
        <f ca="1">IF($D728&lt;&gt;"Serviço",0,IF(AND(AUTOEVENTO="Manual",$M728=1),0,IF(OFFSET(CRONOPLE!$F$14,$M728,AN$13)="",10^12,OFFSET(CRONOPLE!$F$14,$M728,AN$13))))</f>
        <v>1000000000000</v>
      </c>
      <c r="AO728" s="181">
        <f ca="1">IF($D728&lt;&gt;"Serviço",0,IF(AND(AUTOEVENTO="Manual",$M728=1),0,IF(OFFSET(CRONOPLE!$F$14,$M728,AO$13)="",10^12,OFFSET(CRONOPLE!$F$14,$M728,AO$13))))</f>
        <v>1000000000000</v>
      </c>
      <c r="AP728" s="181">
        <f ca="1">IF($D728&lt;&gt;"Serviço",0,IF(AND(AUTOEVENTO="Manual",$M728=1),0,IF(OFFSET(CRONOPLE!$F$14,$M728,AP$13)="",10^12,OFFSET(CRONOPLE!$F$14,$M728,AP$13))))</f>
        <v>1000000000000</v>
      </c>
      <c r="AQ728" s="181">
        <f ca="1">IF($D728&lt;&gt;"Serviço",0,IF(AND(AUTOEVENTO="Manual",$M728=1),0,IF(OFFSET(CRONOPLE!$F$14,$M728,AQ$13)="",10^12,OFFSET(CRONOPLE!$F$14,$M728,AQ$13))))</f>
        <v>1000000000000</v>
      </c>
      <c r="AR728" s="181">
        <f ca="1">IF($D728&lt;&gt;"Serviço",0,IF(AND(AUTOEVENTO="Manual",$M728=1),0,IF(OFFSET(CRONOPLE!$F$14,$M728,AR$13)="",10^12,OFFSET(CRONOPLE!$F$14,$M728,AR$13))))</f>
        <v>1000000000000</v>
      </c>
      <c r="AS728" s="181">
        <f ca="1">IF($D728&lt;&gt;"Serviço",0,IF(AND(AUTOEVENTO="Manual",$M728=1),0,IF(OFFSET(CRONOPLE!$F$14,$M728,AS$13)="",10^12,OFFSET(CRONOPLE!$F$14,$M728,AS$13))))</f>
        <v>1000000000000</v>
      </c>
      <c r="AT728" s="181">
        <f ca="1">IF($D728&lt;&gt;"Serviço",0,IF(AND(AUTOEVENTO="Manual",$M728=1),0,IF(OFFSET(CRONOPLE!$F$14,$M728,AT$13)="",10^12,OFFSET(CRONOPLE!$F$14,$M728,AT$13))))</f>
        <v>1000000000000</v>
      </c>
      <c r="AU728" s="181">
        <f ca="1">IF($D728&lt;&gt;"Serviço",0,IF(AND(AUTOEVENTO="Manual",$M728=1),0,IF(OFFSET(CRONOPLE!$F$14,$M728,AU$13)="",10^12,OFFSET(CRONOPLE!$F$14,$M728,AU$13))))</f>
        <v>1000000000000</v>
      </c>
      <c r="AV728" s="181">
        <f ca="1">IF($D728&lt;&gt;"Serviço",0,IF(AND(AUTOEVENTO="Manual",$M728=1),0,IF(OFFSET(CRONOPLE!$F$14,$M728,AV$13)="",10^12,OFFSET(CRONOPLE!$F$14,$M728,AV$13))))</f>
        <v>1000000000000</v>
      </c>
      <c r="AX728" s="182">
        <f ca="1">IF($D728&lt;&gt;"Serviço",0,IF(OR(AND(AUTOEVENTO="Manual",$M728=1),$M728&gt;(ROW(PLE.lastrow)-ROW(PLE.firstrow))),0,IF(OFFSET(PLE!$G$14,$M728,AX$13)="",10^12,OFFSET(PLE!$G$14,$M728,AX$13))))</f>
        <v>1000000000000</v>
      </c>
      <c r="AY728" s="182">
        <f ca="1">IF($D728&lt;&gt;"Serviço",0,IF(OR(AND(AUTOEVENTO="Manual",$M728=1),$M728&gt;(ROW(PLE.lastrow)-ROW(PLE.firstrow))),0,IF(OFFSET(PLE!$G$14,$M728,AY$13)="",10^12,OFFSET(PLE!$G$14,$M728,AY$13))))</f>
        <v>1000000000000</v>
      </c>
      <c r="AZ728" s="182">
        <f ca="1">IF($D728&lt;&gt;"Serviço",0,IF(OR(AND(AUTOEVENTO="Manual",$M728=1),$M728&gt;(ROW(PLE.lastrow)-ROW(PLE.firstrow))),0,IF(OFFSET(PLE!$G$14,$M728,AZ$13)="",10^12,OFFSET(PLE!$G$14,$M728,AZ$13))))</f>
        <v>1000000000000</v>
      </c>
      <c r="BA728" s="182">
        <f ca="1">IF($D728&lt;&gt;"Serviço",0,IF(OR(AND(AUTOEVENTO="Manual",$M728=1),$M728&gt;(ROW(PLE.lastrow)-ROW(PLE.firstrow))),0,IF(OFFSET(PLE!$G$14,$M728,BA$13)="",10^12,OFFSET(PLE!$G$14,$M728,BA$13))))</f>
        <v>1000000000000</v>
      </c>
      <c r="BB728" s="182">
        <f ca="1">IF($D728&lt;&gt;"Serviço",0,IF(OR(AND(AUTOEVENTO="Manual",$M728=1),$M728&gt;(ROW(PLE.lastrow)-ROW(PLE.firstrow))),0,IF(OFFSET(PLE!$G$14,$M728,BB$13)="",10^12,OFFSET(PLE!$G$14,$M728,BB$13))))</f>
        <v>1000000000000</v>
      </c>
      <c r="BC728" s="182">
        <f ca="1">IF($D728&lt;&gt;"Serviço",0,IF(OR(AND(AUTOEVENTO="Manual",$M728=1),$M728&gt;(ROW(PLE.lastrow)-ROW(PLE.firstrow))),0,IF(OFFSET(PLE!$G$14,$M728,BC$13)="",10^12,OFFSET(PLE!$G$14,$M728,BC$13))))</f>
        <v>1000000000000</v>
      </c>
      <c r="BD728" s="182">
        <f ca="1">IF($D728&lt;&gt;"Serviço",0,IF(OR(AND(AUTOEVENTO="Manual",$M728=1),$M728&gt;(ROW(PLE.lastrow)-ROW(PLE.firstrow))),0,IF(OFFSET(PLE!$G$14,$M728,BD$13)="",10^12,OFFSET(PLE!$G$14,$M728,BD$13))))</f>
        <v>1000000000000</v>
      </c>
      <c r="BE728" s="182">
        <f ca="1">IF($D728&lt;&gt;"Serviço",0,IF(OR(AND(AUTOEVENTO="Manual",$M728=1),$M728&gt;(ROW(PLE.lastrow)-ROW(PLE.firstrow))),0,IF(OFFSET(PLE!$G$14,$M728,BE$13)="",10^12,OFFSET(PLE!$G$14,$M728,BE$13))))</f>
        <v>1000000000000</v>
      </c>
      <c r="BF728" s="182">
        <f ca="1">IF($D728&lt;&gt;"Serviço",0,IF(OR(AND(AUTOEVENTO="Manual",$M728=1),$M728&gt;(ROW(PLE.lastrow)-ROW(PLE.firstrow))),0,IF(OFFSET(PLE!$G$14,$M728,BF$13)="",10^12,OFFSET(PLE!$G$14,$M728,BF$13))))</f>
        <v>1000000000000</v>
      </c>
      <c r="BG728" s="182">
        <f ca="1">IF($D728&lt;&gt;"Serviço",0,IF(OR(AND(AUTOEVENTO="Manual",$M728=1),$M728&gt;(ROW(PLE.lastrow)-ROW(PLE.firstrow))),0,IF(OFFSET(PLE!$G$14,$M728,BG$13)="",10^12,OFFSET(PLE!$G$14,$M728,BG$13))))</f>
        <v>1000000000000</v>
      </c>
    </row>
    <row r="729" spans="1:59" ht="12.75" x14ac:dyDescent="0.2">
      <c r="A729" s="7" t="str">
        <f t="shared" ca="1" si="18"/>
        <v>679</v>
      </c>
      <c r="B729" s="7">
        <f ca="1">OFFSET(ORÇAMENTO!C$15,ROW(B729)-ROW(B$15),0)</f>
        <v>3</v>
      </c>
      <c r="C729" s="7" t="str">
        <f ca="1">OFFSET(ORÇAMENTO!L$15,ROW(C729)-ROW(C$15),0)</f>
        <v>F</v>
      </c>
      <c r="D729" s="118" t="str">
        <f ca="1">OFFSET(ORÇAMENTO!N$15,ROW(D729)-ROW(D$15),0)</f>
        <v>Nível 3</v>
      </c>
      <c r="E729" s="119" t="str">
        <f ca="1">OFFSET(ORÇAMENTO!O$15,ROW(E729)-ROW(E$15),0)</f>
        <v>1.24.5.</v>
      </c>
      <c r="F729" s="172" t="str">
        <f ca="1">OFFSET(ORÇAMENTO!R$15,ROW(F729)-ROW(F$15),0)</f>
        <v>IMPERMEABILIZAÇÃO</v>
      </c>
      <c r="G729" s="173" t="str">
        <f ca="1">IF($D729&lt;&gt;"Serviço","",OFFSET(ORÇAMENTO!S$15,ROW(G729)-ROW(G$15),0))</f>
        <v/>
      </c>
      <c r="H729" s="124">
        <f ca="1">IF($D729&lt;&gt;"Serviço",0,IF(ACOMPANHAMENTO="BM",ROUND(OFFSET(ORÇAMENTO!AJ$15,ROW(H729)-ROW(H$15),0),15-13*ORÇAMENTO!$AF$7),SUMPRODUCT(($Q$12:$AA$12&lt;&gt;"")*ROUND($Q729:$AA729,15-13*ORÇAMENTO!$AF$7))))</f>
        <v>0</v>
      </c>
      <c r="I729" s="561"/>
      <c r="K729" s="174"/>
      <c r="L729" s="175" t="s">
        <v>255</v>
      </c>
      <c r="M729" s="176" t="str">
        <f ca="1">IF($D729&lt;&gt;"Serviço","",IF(AUTOEVENTO="manual",$A729,IF(ISERROR(MATCH($A729,$A$15:OFFSET($A729,-1,0),0)),MAX($M$15:OFFSET(M729,-1,0))+1,INDEX($M$15:OFFSET(M729,-1,0),MATCH($A729,$A$15:OFFSET($A729,-1,0),0)))))</f>
        <v/>
      </c>
      <c r="N729" s="177" t="str">
        <f ca="1">IF($D729&lt;&gt;"Serviço","",IF(AUTOEVENTO="Manual",IF($A729=0,"&lt;-- defina o número do agrupador",OFFSET(EVENTOS!$D$14,$A729,0)),OFFSET($F$15,$A729,0)))</f>
        <v/>
      </c>
      <c r="O729" s="178"/>
      <c r="Q729" s="178"/>
      <c r="R729" s="179"/>
      <c r="S729" s="179"/>
      <c r="T729" s="179"/>
      <c r="U729" s="179"/>
      <c r="V729" s="179"/>
      <c r="W729" s="179"/>
      <c r="X729" s="179"/>
      <c r="Y729" s="179"/>
      <c r="Z729" s="180"/>
      <c r="AB729" s="544">
        <f ca="1">IF(AND($D729="Serviço",AB$12&lt;&gt;0,$H729&gt;0,OR(AUTOEVENTO&lt;&gt;"manual",$M729&lt;&gt;1)),
IF(Import.TipoArredondamento&lt;&gt;"TransfereGOV",
ROUND(OFFSET($P729,0,AB$13),15-13*ORÇAMENTO!$AF$7)/$H729*OFFSET(ORÇAMENTO!$X$15,ROW(AB729)-ROW(AB$15),0),
ROUND(ROUND(OFFSET($P729,0,AB$13),15-13*ORÇAMENTO!$AF$7)*OFFSET(ORÇAMENTO!$W$15,ROW(AB729)-ROW(AB$15),0),15-13*ORÇAMENTO!$AF$11)),0)</f>
        <v>0</v>
      </c>
      <c r="AC729" s="545">
        <f ca="1">IF(AND($D729="Serviço",AC$12&lt;&gt;0,$H729&gt;0,OR(AUTOEVENTO&lt;&gt;"manual",$M729&lt;&gt;1)),
IF(Import.TipoArredondamento&lt;&gt;"TransfereGOV",
ROUND(OFFSET($P729,0,AC$13),15-13*ORÇAMENTO!$AF$7)/$H729*OFFSET(ORÇAMENTO!$X$15,ROW(AC729)-ROW(AC$15),0),
ROUND(ROUND(OFFSET($P729,0,AC$13),15-13*ORÇAMENTO!$AF$7)*OFFSET(ORÇAMENTO!$W$15,ROW(AC729)-ROW(AC$15),0),15-13*ORÇAMENTO!$AF$11)),0)</f>
        <v>0</v>
      </c>
      <c r="AD729" s="545">
        <f ca="1">IF(AND($D729="Serviço",AD$12&lt;&gt;0,$H729&gt;0,OR(AUTOEVENTO&lt;&gt;"manual",$M729&lt;&gt;1)),
IF(Import.TipoArredondamento&lt;&gt;"TransfereGOV",
ROUND(OFFSET($P729,0,AD$13),15-13*ORÇAMENTO!$AF$7)/$H729*OFFSET(ORÇAMENTO!$X$15,ROW(AD729)-ROW(AD$15),0),
ROUND(ROUND(OFFSET($P729,0,AD$13),15-13*ORÇAMENTO!$AF$7)*OFFSET(ORÇAMENTO!$W$15,ROW(AD729)-ROW(AD$15),0),15-13*ORÇAMENTO!$AF$11)),0)</f>
        <v>0</v>
      </c>
      <c r="AE729" s="545">
        <f ca="1">IF(AND($D729="Serviço",AE$12&lt;&gt;0,$H729&gt;0,OR(AUTOEVENTO&lt;&gt;"manual",$M729&lt;&gt;1)),
IF(Import.TipoArredondamento&lt;&gt;"TransfereGOV",
ROUND(OFFSET($P729,0,AE$13),15-13*ORÇAMENTO!$AF$7)/$H729*OFFSET(ORÇAMENTO!$X$15,ROW(AE729)-ROW(AE$15),0),
ROUND(ROUND(OFFSET($P729,0,AE$13),15-13*ORÇAMENTO!$AF$7)*OFFSET(ORÇAMENTO!$W$15,ROW(AE729)-ROW(AE$15),0),15-13*ORÇAMENTO!$AF$11)),0)</f>
        <v>0</v>
      </c>
      <c r="AF729" s="545">
        <f ca="1">IF(AND($D729="Serviço",AF$12&lt;&gt;0,$H729&gt;0,OR(AUTOEVENTO&lt;&gt;"manual",$M729&lt;&gt;1)),
IF(Import.TipoArredondamento&lt;&gt;"TransfereGOV",
ROUND(OFFSET($P729,0,AF$13),15-13*ORÇAMENTO!$AF$7)/$H729*OFFSET(ORÇAMENTO!$X$15,ROW(AF729)-ROW(AF$15),0),
ROUND(ROUND(OFFSET($P729,0,AF$13),15-13*ORÇAMENTO!$AF$7)*OFFSET(ORÇAMENTO!$W$15,ROW(AF729)-ROW(AF$15),0),15-13*ORÇAMENTO!$AF$11)),0)</f>
        <v>0</v>
      </c>
      <c r="AG729" s="545">
        <f ca="1">IF(AND($D729="Serviço",AG$12&lt;&gt;0,$H729&gt;0,OR(AUTOEVENTO&lt;&gt;"manual",$M729&lt;&gt;1)),
IF(Import.TipoArredondamento&lt;&gt;"TransfereGOV",
ROUND(OFFSET($P729,0,AG$13),15-13*ORÇAMENTO!$AF$7)/$H729*OFFSET(ORÇAMENTO!$X$15,ROW(AG729)-ROW(AG$15),0),
ROUND(ROUND(OFFSET($P729,0,AG$13),15-13*ORÇAMENTO!$AF$7)*OFFSET(ORÇAMENTO!$W$15,ROW(AG729)-ROW(AG$15),0),15-13*ORÇAMENTO!$AF$11)),0)</f>
        <v>0</v>
      </c>
      <c r="AH729" s="545">
        <f ca="1">IF(AND($D729="Serviço",AH$12&lt;&gt;0,$H729&gt;0,OR(AUTOEVENTO&lt;&gt;"manual",$M729&lt;&gt;1)),
IF(Import.TipoArredondamento&lt;&gt;"TransfereGOV",
ROUND(OFFSET($P729,0,AH$13),15-13*ORÇAMENTO!$AF$7)/$H729*OFFSET(ORÇAMENTO!$X$15,ROW(AH729)-ROW(AH$15),0),
ROUND(ROUND(OFFSET($P729,0,AH$13),15-13*ORÇAMENTO!$AF$7)*OFFSET(ORÇAMENTO!$W$15,ROW(AH729)-ROW(AH$15),0),15-13*ORÇAMENTO!$AF$11)),0)</f>
        <v>0</v>
      </c>
      <c r="AI729" s="545">
        <f ca="1">IF(AND($D729="Serviço",AI$12&lt;&gt;0,$H729&gt;0,OR(AUTOEVENTO&lt;&gt;"manual",$M729&lt;&gt;1)),
IF(Import.TipoArredondamento&lt;&gt;"TransfereGOV",
ROUND(OFFSET($P729,0,AI$13),15-13*ORÇAMENTO!$AF$7)/$H729*OFFSET(ORÇAMENTO!$X$15,ROW(AI729)-ROW(AI$15),0),
ROUND(ROUND(OFFSET($P729,0,AI$13),15-13*ORÇAMENTO!$AF$7)*OFFSET(ORÇAMENTO!$W$15,ROW(AI729)-ROW(AI$15),0),15-13*ORÇAMENTO!$AF$11)),0)</f>
        <v>0</v>
      </c>
      <c r="AJ729" s="545">
        <f ca="1">IF(AND($D729="Serviço",AJ$12&lt;&gt;0,$H729&gt;0,OR(AUTOEVENTO&lt;&gt;"manual",$M729&lt;&gt;1)),
IF(Import.TipoArredondamento&lt;&gt;"TransfereGOV",
ROUND(OFFSET($P729,0,AJ$13),15-13*ORÇAMENTO!$AF$7)/$H729*OFFSET(ORÇAMENTO!$X$15,ROW(AJ729)-ROW(AJ$15),0),
ROUND(ROUND(OFFSET($P729,0,AJ$13),15-13*ORÇAMENTO!$AF$7)*OFFSET(ORÇAMENTO!$W$15,ROW(AJ729)-ROW(AJ$15),0),15-13*ORÇAMENTO!$AF$11)),0)</f>
        <v>0</v>
      </c>
      <c r="AK729" s="546">
        <f ca="1">IF(AND($D729="Serviço",AK$12&lt;&gt;0,$H729&gt;0,OR(AUTOEVENTO&lt;&gt;"manual",$M729&lt;&gt;1)),
IF(Import.TipoArredondamento&lt;&gt;"TransfereGOV",
ROUND(OFFSET($P729,0,AK$13),15-13*ORÇAMENTO!$AF$7)/$H729*OFFSET(ORÇAMENTO!$X$15,ROW(AK729)-ROW(AK$15),0),
ROUND(ROUND(OFFSET($P729,0,AK$13),15-13*ORÇAMENTO!$AF$7)*OFFSET(ORÇAMENTO!$W$15,ROW(AK729)-ROW(AK$15),0),15-13*ORÇAMENTO!$AF$11)),0)</f>
        <v>0</v>
      </c>
      <c r="AM729" s="181">
        <f ca="1">IF($D729&lt;&gt;"Serviço",0,IF(AND(AUTOEVENTO="Manual",$M729=1),0,IF(OFFSET(CRONOPLE!$F$14,$M729,AM$13)="",10^12,OFFSET(CRONOPLE!$F$14,$M729,AM$13))))</f>
        <v>0</v>
      </c>
      <c r="AN729" s="181">
        <f ca="1">IF($D729&lt;&gt;"Serviço",0,IF(AND(AUTOEVENTO="Manual",$M729=1),0,IF(OFFSET(CRONOPLE!$F$14,$M729,AN$13)="",10^12,OFFSET(CRONOPLE!$F$14,$M729,AN$13))))</f>
        <v>0</v>
      </c>
      <c r="AO729" s="181">
        <f ca="1">IF($D729&lt;&gt;"Serviço",0,IF(AND(AUTOEVENTO="Manual",$M729=1),0,IF(OFFSET(CRONOPLE!$F$14,$M729,AO$13)="",10^12,OFFSET(CRONOPLE!$F$14,$M729,AO$13))))</f>
        <v>0</v>
      </c>
      <c r="AP729" s="181">
        <f ca="1">IF($D729&lt;&gt;"Serviço",0,IF(AND(AUTOEVENTO="Manual",$M729=1),0,IF(OFFSET(CRONOPLE!$F$14,$M729,AP$13)="",10^12,OFFSET(CRONOPLE!$F$14,$M729,AP$13))))</f>
        <v>0</v>
      </c>
      <c r="AQ729" s="181">
        <f ca="1">IF($D729&lt;&gt;"Serviço",0,IF(AND(AUTOEVENTO="Manual",$M729=1),0,IF(OFFSET(CRONOPLE!$F$14,$M729,AQ$13)="",10^12,OFFSET(CRONOPLE!$F$14,$M729,AQ$13))))</f>
        <v>0</v>
      </c>
      <c r="AR729" s="181">
        <f ca="1">IF($D729&lt;&gt;"Serviço",0,IF(AND(AUTOEVENTO="Manual",$M729=1),0,IF(OFFSET(CRONOPLE!$F$14,$M729,AR$13)="",10^12,OFFSET(CRONOPLE!$F$14,$M729,AR$13))))</f>
        <v>0</v>
      </c>
      <c r="AS729" s="181">
        <f ca="1">IF($D729&lt;&gt;"Serviço",0,IF(AND(AUTOEVENTO="Manual",$M729=1),0,IF(OFFSET(CRONOPLE!$F$14,$M729,AS$13)="",10^12,OFFSET(CRONOPLE!$F$14,$M729,AS$13))))</f>
        <v>0</v>
      </c>
      <c r="AT729" s="181">
        <f ca="1">IF($D729&lt;&gt;"Serviço",0,IF(AND(AUTOEVENTO="Manual",$M729=1),0,IF(OFFSET(CRONOPLE!$F$14,$M729,AT$13)="",10^12,OFFSET(CRONOPLE!$F$14,$M729,AT$13))))</f>
        <v>0</v>
      </c>
      <c r="AU729" s="181">
        <f ca="1">IF($D729&lt;&gt;"Serviço",0,IF(AND(AUTOEVENTO="Manual",$M729=1),0,IF(OFFSET(CRONOPLE!$F$14,$M729,AU$13)="",10^12,OFFSET(CRONOPLE!$F$14,$M729,AU$13))))</f>
        <v>0</v>
      </c>
      <c r="AV729" s="181">
        <f ca="1">IF($D729&lt;&gt;"Serviço",0,IF(AND(AUTOEVENTO="Manual",$M729=1),0,IF(OFFSET(CRONOPLE!$F$14,$M729,AV$13)="",10^12,OFFSET(CRONOPLE!$F$14,$M729,AV$13))))</f>
        <v>0</v>
      </c>
      <c r="AX729" s="182">
        <f ca="1">IF($D729&lt;&gt;"Serviço",0,IF(OR(AND(AUTOEVENTO="Manual",$M729=1),$M729&gt;(ROW(PLE.lastrow)-ROW(PLE.firstrow))),0,IF(OFFSET(PLE!$G$14,$M729,AX$13)="",10^12,OFFSET(PLE!$G$14,$M729,AX$13))))</f>
        <v>0</v>
      </c>
      <c r="AY729" s="182">
        <f ca="1">IF($D729&lt;&gt;"Serviço",0,IF(OR(AND(AUTOEVENTO="Manual",$M729=1),$M729&gt;(ROW(PLE.lastrow)-ROW(PLE.firstrow))),0,IF(OFFSET(PLE!$G$14,$M729,AY$13)="",10^12,OFFSET(PLE!$G$14,$M729,AY$13))))</f>
        <v>0</v>
      </c>
      <c r="AZ729" s="182">
        <f ca="1">IF($D729&lt;&gt;"Serviço",0,IF(OR(AND(AUTOEVENTO="Manual",$M729=1),$M729&gt;(ROW(PLE.lastrow)-ROW(PLE.firstrow))),0,IF(OFFSET(PLE!$G$14,$M729,AZ$13)="",10^12,OFFSET(PLE!$G$14,$M729,AZ$13))))</f>
        <v>0</v>
      </c>
      <c r="BA729" s="182">
        <f ca="1">IF($D729&lt;&gt;"Serviço",0,IF(OR(AND(AUTOEVENTO="Manual",$M729=1),$M729&gt;(ROW(PLE.lastrow)-ROW(PLE.firstrow))),0,IF(OFFSET(PLE!$G$14,$M729,BA$13)="",10^12,OFFSET(PLE!$G$14,$M729,BA$13))))</f>
        <v>0</v>
      </c>
      <c r="BB729" s="182">
        <f ca="1">IF($D729&lt;&gt;"Serviço",0,IF(OR(AND(AUTOEVENTO="Manual",$M729=1),$M729&gt;(ROW(PLE.lastrow)-ROW(PLE.firstrow))),0,IF(OFFSET(PLE!$G$14,$M729,BB$13)="",10^12,OFFSET(PLE!$G$14,$M729,BB$13))))</f>
        <v>0</v>
      </c>
      <c r="BC729" s="182">
        <f ca="1">IF($D729&lt;&gt;"Serviço",0,IF(OR(AND(AUTOEVENTO="Manual",$M729=1),$M729&gt;(ROW(PLE.lastrow)-ROW(PLE.firstrow))),0,IF(OFFSET(PLE!$G$14,$M729,BC$13)="",10^12,OFFSET(PLE!$G$14,$M729,BC$13))))</f>
        <v>0</v>
      </c>
      <c r="BD729" s="182">
        <f ca="1">IF($D729&lt;&gt;"Serviço",0,IF(OR(AND(AUTOEVENTO="Manual",$M729=1),$M729&gt;(ROW(PLE.lastrow)-ROW(PLE.firstrow))),0,IF(OFFSET(PLE!$G$14,$M729,BD$13)="",10^12,OFFSET(PLE!$G$14,$M729,BD$13))))</f>
        <v>0</v>
      </c>
      <c r="BE729" s="182">
        <f ca="1">IF($D729&lt;&gt;"Serviço",0,IF(OR(AND(AUTOEVENTO="Manual",$M729=1),$M729&gt;(ROW(PLE.lastrow)-ROW(PLE.firstrow))),0,IF(OFFSET(PLE!$G$14,$M729,BE$13)="",10^12,OFFSET(PLE!$G$14,$M729,BE$13))))</f>
        <v>0</v>
      </c>
      <c r="BF729" s="182">
        <f ca="1">IF($D729&lt;&gt;"Serviço",0,IF(OR(AND(AUTOEVENTO="Manual",$M729=1),$M729&gt;(ROW(PLE.lastrow)-ROW(PLE.firstrow))),0,IF(OFFSET(PLE!$G$14,$M729,BF$13)="",10^12,OFFSET(PLE!$G$14,$M729,BF$13))))</f>
        <v>0</v>
      </c>
      <c r="BG729" s="182">
        <f ca="1">IF($D729&lt;&gt;"Serviço",0,IF(OR(AND(AUTOEVENTO="Manual",$M729=1),$M729&gt;(ROW(PLE.lastrow)-ROW(PLE.firstrow))),0,IF(OFFSET(PLE!$G$14,$M729,BG$13)="",10^12,OFFSET(PLE!$G$14,$M729,BG$13))))</f>
        <v>0</v>
      </c>
    </row>
    <row r="730" spans="1:59" ht="25.5" x14ac:dyDescent="0.2">
      <c r="A730" s="7" t="str">
        <f t="shared" ca="1" si="18"/>
        <v>679</v>
      </c>
      <c r="B730" s="7" t="str">
        <f ca="1">OFFSET(ORÇAMENTO!C$15,ROW(B730)-ROW(B$15),0)</f>
        <v>S</v>
      </c>
      <c r="C730" s="7" t="str">
        <f ca="1">OFFSET(ORÇAMENTO!L$15,ROW(C730)-ROW(C$15),0)</f>
        <v/>
      </c>
      <c r="D730" s="118" t="str">
        <f ca="1">OFFSET(ORÇAMENTO!N$15,ROW(D730)-ROW(D$15),0)</f>
        <v>Serviço</v>
      </c>
      <c r="E730" s="119" t="str">
        <f ca="1">OFFSET(ORÇAMENTO!O$15,ROW(E730)-ROW(E$15),0)</f>
        <v>-</v>
      </c>
      <c r="F730" s="172" t="str">
        <f ca="1">OFFSET(ORÇAMENTO!R$15,ROW(F730)-ROW(F$15),0)</f>
        <v>(abra o arquivo 'Referência 02-2025.xlsm)</v>
      </c>
      <c r="G730" s="173" t="str">
        <f ca="1">IF($D730&lt;&gt;"Serviço","",OFFSET(ORÇAMENTO!S$15,ROW(G730)-ROW(G$15),0))</f>
        <v>-</v>
      </c>
      <c r="H730" s="124">
        <f ca="1">IF($D730&lt;&gt;"Serviço",0,IF(ACOMPANHAMENTO="BM",ROUND(OFFSET(ORÇAMENTO!AJ$15,ROW(H730)-ROW(H$15),0),15-13*ORÇAMENTO!$AF$7),SUMPRODUCT(($Q$12:$AA$12&lt;&gt;"")*ROUND($Q730:$AA730,15-13*ORÇAMENTO!$AF$7))))</f>
        <v>127.25</v>
      </c>
      <c r="I730" s="561" t="s">
        <v>890</v>
      </c>
      <c r="K730" s="174"/>
      <c r="L730" s="175" t="s">
        <v>255</v>
      </c>
      <c r="M730" s="176">
        <f ca="1">IF($D730&lt;&gt;"Serviço","",IF(AUTOEVENTO="manual",$A730,IF(ISERROR(MATCH($A730,$A$15:OFFSET($A730,-1,0),0)),MAX($M$15:OFFSET(M730,-1,0))+1,INDEX($M$15:OFFSET(M730,-1,0),MATCH($A730,$A$15:OFFSET($A730,-1,0),0)))))</f>
        <v>25</v>
      </c>
      <c r="N730" s="177" t="str">
        <f ca="1">IF($D730&lt;&gt;"Serviço","",IF(AUTOEVENTO="Manual",IF($A730=0,"&lt;-- defina o número do agrupador",OFFSET(EVENTOS!$D$14,$A730,0)),OFFSET($F$15,$A730,0)))</f>
        <v>FECHAMENTO - MURO</v>
      </c>
      <c r="O730" s="178"/>
      <c r="Q730" s="178"/>
      <c r="R730" s="179"/>
      <c r="S730" s="179"/>
      <c r="T730" s="179"/>
      <c r="U730" s="179"/>
      <c r="V730" s="179"/>
      <c r="W730" s="179"/>
      <c r="X730" s="179"/>
      <c r="Y730" s="179"/>
      <c r="Z730" s="180"/>
      <c r="AB730" s="544">
        <f ca="1">IF(AND($D730="Serviço",AB$12&lt;&gt;0,$H730&gt;0,OR(AUTOEVENTO&lt;&gt;"manual",$M730&lt;&gt;1)),
IF(Import.TipoArredondamento&lt;&gt;"TransfereGOV",
ROUND(OFFSET($P730,0,AB$13),15-13*ORÇAMENTO!$AF$7)/$H730*OFFSET(ORÇAMENTO!$X$15,ROW(AB730)-ROW(AB$15),0),
ROUND(ROUND(OFFSET($P730,0,AB$13),15-13*ORÇAMENTO!$AF$7)*OFFSET(ORÇAMENTO!$W$15,ROW(AB730)-ROW(AB$15),0),15-13*ORÇAMENTO!$AF$11)),0)</f>
        <v>0</v>
      </c>
      <c r="AC730" s="545">
        <f ca="1">IF(AND($D730="Serviço",AC$12&lt;&gt;0,$H730&gt;0,OR(AUTOEVENTO&lt;&gt;"manual",$M730&lt;&gt;1)),
IF(Import.TipoArredondamento&lt;&gt;"TransfereGOV",
ROUND(OFFSET($P730,0,AC$13),15-13*ORÇAMENTO!$AF$7)/$H730*OFFSET(ORÇAMENTO!$X$15,ROW(AC730)-ROW(AC$15),0),
ROUND(ROUND(OFFSET($P730,0,AC$13),15-13*ORÇAMENTO!$AF$7)*OFFSET(ORÇAMENTO!$W$15,ROW(AC730)-ROW(AC$15),0),15-13*ORÇAMENTO!$AF$11)),0)</f>
        <v>0</v>
      </c>
      <c r="AD730" s="545">
        <f ca="1">IF(AND($D730="Serviço",AD$12&lt;&gt;0,$H730&gt;0,OR(AUTOEVENTO&lt;&gt;"manual",$M730&lt;&gt;1)),
IF(Import.TipoArredondamento&lt;&gt;"TransfereGOV",
ROUND(OFFSET($P730,0,AD$13),15-13*ORÇAMENTO!$AF$7)/$H730*OFFSET(ORÇAMENTO!$X$15,ROW(AD730)-ROW(AD$15),0),
ROUND(ROUND(OFFSET($P730,0,AD$13),15-13*ORÇAMENTO!$AF$7)*OFFSET(ORÇAMENTO!$W$15,ROW(AD730)-ROW(AD$15),0),15-13*ORÇAMENTO!$AF$11)),0)</f>
        <v>0</v>
      </c>
      <c r="AE730" s="545">
        <f ca="1">IF(AND($D730="Serviço",AE$12&lt;&gt;0,$H730&gt;0,OR(AUTOEVENTO&lt;&gt;"manual",$M730&lt;&gt;1)),
IF(Import.TipoArredondamento&lt;&gt;"TransfereGOV",
ROUND(OFFSET($P730,0,AE$13),15-13*ORÇAMENTO!$AF$7)/$H730*OFFSET(ORÇAMENTO!$X$15,ROW(AE730)-ROW(AE$15),0),
ROUND(ROUND(OFFSET($P730,0,AE$13),15-13*ORÇAMENTO!$AF$7)*OFFSET(ORÇAMENTO!$W$15,ROW(AE730)-ROW(AE$15),0),15-13*ORÇAMENTO!$AF$11)),0)</f>
        <v>0</v>
      </c>
      <c r="AF730" s="545">
        <f ca="1">IF(AND($D730="Serviço",AF$12&lt;&gt;0,$H730&gt;0,OR(AUTOEVENTO&lt;&gt;"manual",$M730&lt;&gt;1)),
IF(Import.TipoArredondamento&lt;&gt;"TransfereGOV",
ROUND(OFFSET($P730,0,AF$13),15-13*ORÇAMENTO!$AF$7)/$H730*OFFSET(ORÇAMENTO!$X$15,ROW(AF730)-ROW(AF$15),0),
ROUND(ROUND(OFFSET($P730,0,AF$13),15-13*ORÇAMENTO!$AF$7)*OFFSET(ORÇAMENTO!$W$15,ROW(AF730)-ROW(AF$15),0),15-13*ORÇAMENTO!$AF$11)),0)</f>
        <v>0</v>
      </c>
      <c r="AG730" s="545">
        <f ca="1">IF(AND($D730="Serviço",AG$12&lt;&gt;0,$H730&gt;0,OR(AUTOEVENTO&lt;&gt;"manual",$M730&lt;&gt;1)),
IF(Import.TipoArredondamento&lt;&gt;"TransfereGOV",
ROUND(OFFSET($P730,0,AG$13),15-13*ORÇAMENTO!$AF$7)/$H730*OFFSET(ORÇAMENTO!$X$15,ROW(AG730)-ROW(AG$15),0),
ROUND(ROUND(OFFSET($P730,0,AG$13),15-13*ORÇAMENTO!$AF$7)*OFFSET(ORÇAMENTO!$W$15,ROW(AG730)-ROW(AG$15),0),15-13*ORÇAMENTO!$AF$11)),0)</f>
        <v>0</v>
      </c>
      <c r="AH730" s="545">
        <f ca="1">IF(AND($D730="Serviço",AH$12&lt;&gt;0,$H730&gt;0,OR(AUTOEVENTO&lt;&gt;"manual",$M730&lt;&gt;1)),
IF(Import.TipoArredondamento&lt;&gt;"TransfereGOV",
ROUND(OFFSET($P730,0,AH$13),15-13*ORÇAMENTO!$AF$7)/$H730*OFFSET(ORÇAMENTO!$X$15,ROW(AH730)-ROW(AH$15),0),
ROUND(ROUND(OFFSET($P730,0,AH$13),15-13*ORÇAMENTO!$AF$7)*OFFSET(ORÇAMENTO!$W$15,ROW(AH730)-ROW(AH$15),0),15-13*ORÇAMENTO!$AF$11)),0)</f>
        <v>0</v>
      </c>
      <c r="AI730" s="545">
        <f ca="1">IF(AND($D730="Serviço",AI$12&lt;&gt;0,$H730&gt;0,OR(AUTOEVENTO&lt;&gt;"manual",$M730&lt;&gt;1)),
IF(Import.TipoArredondamento&lt;&gt;"TransfereGOV",
ROUND(OFFSET($P730,0,AI$13),15-13*ORÇAMENTO!$AF$7)/$H730*OFFSET(ORÇAMENTO!$X$15,ROW(AI730)-ROW(AI$15),0),
ROUND(ROUND(OFFSET($P730,0,AI$13),15-13*ORÇAMENTO!$AF$7)*OFFSET(ORÇAMENTO!$W$15,ROW(AI730)-ROW(AI$15),0),15-13*ORÇAMENTO!$AF$11)),0)</f>
        <v>0</v>
      </c>
      <c r="AJ730" s="545">
        <f ca="1">IF(AND($D730="Serviço",AJ$12&lt;&gt;0,$H730&gt;0,OR(AUTOEVENTO&lt;&gt;"manual",$M730&lt;&gt;1)),
IF(Import.TipoArredondamento&lt;&gt;"TransfereGOV",
ROUND(OFFSET($P730,0,AJ$13),15-13*ORÇAMENTO!$AF$7)/$H730*OFFSET(ORÇAMENTO!$X$15,ROW(AJ730)-ROW(AJ$15),0),
ROUND(ROUND(OFFSET($P730,0,AJ$13),15-13*ORÇAMENTO!$AF$7)*OFFSET(ORÇAMENTO!$W$15,ROW(AJ730)-ROW(AJ$15),0),15-13*ORÇAMENTO!$AF$11)),0)</f>
        <v>0</v>
      </c>
      <c r="AK730" s="546">
        <f ca="1">IF(AND($D730="Serviço",AK$12&lt;&gt;0,$H730&gt;0,OR(AUTOEVENTO&lt;&gt;"manual",$M730&lt;&gt;1)),
IF(Import.TipoArredondamento&lt;&gt;"TransfereGOV",
ROUND(OFFSET($P730,0,AK$13),15-13*ORÇAMENTO!$AF$7)/$H730*OFFSET(ORÇAMENTO!$X$15,ROW(AK730)-ROW(AK$15),0),
ROUND(ROUND(OFFSET($P730,0,AK$13),15-13*ORÇAMENTO!$AF$7)*OFFSET(ORÇAMENTO!$W$15,ROW(AK730)-ROW(AK$15),0),15-13*ORÇAMENTO!$AF$11)),0)</f>
        <v>0</v>
      </c>
      <c r="AM730" s="181">
        <f ca="1">IF($D730&lt;&gt;"Serviço",0,IF(AND(AUTOEVENTO="Manual",$M730=1),0,IF(OFFSET(CRONOPLE!$F$14,$M730,AM$13)="",10^12,OFFSET(CRONOPLE!$F$14,$M730,AM$13))))</f>
        <v>1000000000000</v>
      </c>
      <c r="AN730" s="181">
        <f ca="1">IF($D730&lt;&gt;"Serviço",0,IF(AND(AUTOEVENTO="Manual",$M730=1),0,IF(OFFSET(CRONOPLE!$F$14,$M730,AN$13)="",10^12,OFFSET(CRONOPLE!$F$14,$M730,AN$13))))</f>
        <v>1000000000000</v>
      </c>
      <c r="AO730" s="181">
        <f ca="1">IF($D730&lt;&gt;"Serviço",0,IF(AND(AUTOEVENTO="Manual",$M730=1),0,IF(OFFSET(CRONOPLE!$F$14,$M730,AO$13)="",10^12,OFFSET(CRONOPLE!$F$14,$M730,AO$13))))</f>
        <v>1000000000000</v>
      </c>
      <c r="AP730" s="181">
        <f ca="1">IF($D730&lt;&gt;"Serviço",0,IF(AND(AUTOEVENTO="Manual",$M730=1),0,IF(OFFSET(CRONOPLE!$F$14,$M730,AP$13)="",10^12,OFFSET(CRONOPLE!$F$14,$M730,AP$13))))</f>
        <v>1000000000000</v>
      </c>
      <c r="AQ730" s="181">
        <f ca="1">IF($D730&lt;&gt;"Serviço",0,IF(AND(AUTOEVENTO="Manual",$M730=1),0,IF(OFFSET(CRONOPLE!$F$14,$M730,AQ$13)="",10^12,OFFSET(CRONOPLE!$F$14,$M730,AQ$13))))</f>
        <v>1000000000000</v>
      </c>
      <c r="AR730" s="181">
        <f ca="1">IF($D730&lt;&gt;"Serviço",0,IF(AND(AUTOEVENTO="Manual",$M730=1),0,IF(OFFSET(CRONOPLE!$F$14,$M730,AR$13)="",10^12,OFFSET(CRONOPLE!$F$14,$M730,AR$13))))</f>
        <v>1000000000000</v>
      </c>
      <c r="AS730" s="181">
        <f ca="1">IF($D730&lt;&gt;"Serviço",0,IF(AND(AUTOEVENTO="Manual",$M730=1),0,IF(OFFSET(CRONOPLE!$F$14,$M730,AS$13)="",10^12,OFFSET(CRONOPLE!$F$14,$M730,AS$13))))</f>
        <v>1000000000000</v>
      </c>
      <c r="AT730" s="181">
        <f ca="1">IF($D730&lt;&gt;"Serviço",0,IF(AND(AUTOEVENTO="Manual",$M730=1),0,IF(OFFSET(CRONOPLE!$F$14,$M730,AT$13)="",10^12,OFFSET(CRONOPLE!$F$14,$M730,AT$13))))</f>
        <v>1000000000000</v>
      </c>
      <c r="AU730" s="181">
        <f ca="1">IF($D730&lt;&gt;"Serviço",0,IF(AND(AUTOEVENTO="Manual",$M730=1),0,IF(OFFSET(CRONOPLE!$F$14,$M730,AU$13)="",10^12,OFFSET(CRONOPLE!$F$14,$M730,AU$13))))</f>
        <v>1000000000000</v>
      </c>
      <c r="AV730" s="181">
        <f ca="1">IF($D730&lt;&gt;"Serviço",0,IF(AND(AUTOEVENTO="Manual",$M730=1),0,IF(OFFSET(CRONOPLE!$F$14,$M730,AV$13)="",10^12,OFFSET(CRONOPLE!$F$14,$M730,AV$13))))</f>
        <v>1000000000000</v>
      </c>
      <c r="AX730" s="182">
        <f ca="1">IF($D730&lt;&gt;"Serviço",0,IF(OR(AND(AUTOEVENTO="Manual",$M730=1),$M730&gt;(ROW(PLE.lastrow)-ROW(PLE.firstrow))),0,IF(OFFSET(PLE!$G$14,$M730,AX$13)="",10^12,OFFSET(PLE!$G$14,$M730,AX$13))))</f>
        <v>1000000000000</v>
      </c>
      <c r="AY730" s="182">
        <f ca="1">IF($D730&lt;&gt;"Serviço",0,IF(OR(AND(AUTOEVENTO="Manual",$M730=1),$M730&gt;(ROW(PLE.lastrow)-ROW(PLE.firstrow))),0,IF(OFFSET(PLE!$G$14,$M730,AY$13)="",10^12,OFFSET(PLE!$G$14,$M730,AY$13))))</f>
        <v>1000000000000</v>
      </c>
      <c r="AZ730" s="182">
        <f ca="1">IF($D730&lt;&gt;"Serviço",0,IF(OR(AND(AUTOEVENTO="Manual",$M730=1),$M730&gt;(ROW(PLE.lastrow)-ROW(PLE.firstrow))),0,IF(OFFSET(PLE!$G$14,$M730,AZ$13)="",10^12,OFFSET(PLE!$G$14,$M730,AZ$13))))</f>
        <v>1000000000000</v>
      </c>
      <c r="BA730" s="182">
        <f ca="1">IF($D730&lt;&gt;"Serviço",0,IF(OR(AND(AUTOEVENTO="Manual",$M730=1),$M730&gt;(ROW(PLE.lastrow)-ROW(PLE.firstrow))),0,IF(OFFSET(PLE!$G$14,$M730,BA$13)="",10^12,OFFSET(PLE!$G$14,$M730,BA$13))))</f>
        <v>1000000000000</v>
      </c>
      <c r="BB730" s="182">
        <f ca="1">IF($D730&lt;&gt;"Serviço",0,IF(OR(AND(AUTOEVENTO="Manual",$M730=1),$M730&gt;(ROW(PLE.lastrow)-ROW(PLE.firstrow))),0,IF(OFFSET(PLE!$G$14,$M730,BB$13)="",10^12,OFFSET(PLE!$G$14,$M730,BB$13))))</f>
        <v>1000000000000</v>
      </c>
      <c r="BC730" s="182">
        <f ca="1">IF($D730&lt;&gt;"Serviço",0,IF(OR(AND(AUTOEVENTO="Manual",$M730=1),$M730&gt;(ROW(PLE.lastrow)-ROW(PLE.firstrow))),0,IF(OFFSET(PLE!$G$14,$M730,BC$13)="",10^12,OFFSET(PLE!$G$14,$M730,BC$13))))</f>
        <v>1000000000000</v>
      </c>
      <c r="BD730" s="182">
        <f ca="1">IF($D730&lt;&gt;"Serviço",0,IF(OR(AND(AUTOEVENTO="Manual",$M730=1),$M730&gt;(ROW(PLE.lastrow)-ROW(PLE.firstrow))),0,IF(OFFSET(PLE!$G$14,$M730,BD$13)="",10^12,OFFSET(PLE!$G$14,$M730,BD$13))))</f>
        <v>1000000000000</v>
      </c>
      <c r="BE730" s="182">
        <f ca="1">IF($D730&lt;&gt;"Serviço",0,IF(OR(AND(AUTOEVENTO="Manual",$M730=1),$M730&gt;(ROW(PLE.lastrow)-ROW(PLE.firstrow))),0,IF(OFFSET(PLE!$G$14,$M730,BE$13)="",10^12,OFFSET(PLE!$G$14,$M730,BE$13))))</f>
        <v>1000000000000</v>
      </c>
      <c r="BF730" s="182">
        <f ca="1">IF($D730&lt;&gt;"Serviço",0,IF(OR(AND(AUTOEVENTO="Manual",$M730=1),$M730&gt;(ROW(PLE.lastrow)-ROW(PLE.firstrow))),0,IF(OFFSET(PLE!$G$14,$M730,BF$13)="",10^12,OFFSET(PLE!$G$14,$M730,BF$13))))</f>
        <v>1000000000000</v>
      </c>
      <c r="BG730" s="182">
        <f ca="1">IF($D730&lt;&gt;"Serviço",0,IF(OR(AND(AUTOEVENTO="Manual",$M730=1),$M730&gt;(ROW(PLE.lastrow)-ROW(PLE.firstrow))),0,IF(OFFSET(PLE!$G$14,$M730,BG$13)="",10^12,OFFSET(PLE!$G$14,$M730,BG$13))))</f>
        <v>1000000000000</v>
      </c>
    </row>
    <row r="731" spans="1:59" ht="12.75" x14ac:dyDescent="0.2">
      <c r="A731" s="7" t="str">
        <f t="shared" ca="1" si="18"/>
        <v>679</v>
      </c>
      <c r="B731" s="7">
        <f ca="1">OFFSET(ORÇAMENTO!C$15,ROW(B731)-ROW(B$15),0)</f>
        <v>3</v>
      </c>
      <c r="C731" s="7" t="str">
        <f ca="1">OFFSET(ORÇAMENTO!L$15,ROW(C731)-ROW(C$15),0)</f>
        <v>F</v>
      </c>
      <c r="D731" s="118" t="str">
        <f ca="1">OFFSET(ORÇAMENTO!N$15,ROW(D731)-ROW(D$15),0)</f>
        <v>Nível 3</v>
      </c>
      <c r="E731" s="119" t="str">
        <f ca="1">OFFSET(ORÇAMENTO!O$15,ROW(E731)-ROW(E$15),0)</f>
        <v>1.24.6.</v>
      </c>
      <c r="F731" s="172" t="str">
        <f ca="1">OFFSET(ORÇAMENTO!R$15,ROW(F731)-ROW(F$15),0)</f>
        <v>ALVENARIA DE VEDAÇÃO - MURO</v>
      </c>
      <c r="G731" s="173" t="str">
        <f ca="1">IF($D731&lt;&gt;"Serviço","",OFFSET(ORÇAMENTO!S$15,ROW(G731)-ROW(G$15),0))</f>
        <v/>
      </c>
      <c r="H731" s="124">
        <f ca="1">IF($D731&lt;&gt;"Serviço",0,IF(ACOMPANHAMENTO="BM",ROUND(OFFSET(ORÇAMENTO!AJ$15,ROW(H731)-ROW(H$15),0),15-13*ORÇAMENTO!$AF$7),SUMPRODUCT(($Q$12:$AA$12&lt;&gt;"")*ROUND($Q731:$AA731,15-13*ORÇAMENTO!$AF$7))))</f>
        <v>0</v>
      </c>
      <c r="I731" s="561"/>
      <c r="K731" s="174"/>
      <c r="L731" s="175" t="s">
        <v>255</v>
      </c>
      <c r="M731" s="176" t="str">
        <f ca="1">IF($D731&lt;&gt;"Serviço","",IF(AUTOEVENTO="manual",$A731,IF(ISERROR(MATCH($A731,$A$15:OFFSET($A731,-1,0),0)),MAX($M$15:OFFSET(M731,-1,0))+1,INDEX($M$15:OFFSET(M731,-1,0),MATCH($A731,$A$15:OFFSET($A731,-1,0),0)))))</f>
        <v/>
      </c>
      <c r="N731" s="177" t="str">
        <f ca="1">IF($D731&lt;&gt;"Serviço","",IF(AUTOEVENTO="Manual",IF($A731=0,"&lt;-- defina o número do agrupador",OFFSET(EVENTOS!$D$14,$A731,0)),OFFSET($F$15,$A731,0)))</f>
        <v/>
      </c>
      <c r="O731" s="178"/>
      <c r="Q731" s="178"/>
      <c r="R731" s="179"/>
      <c r="S731" s="179"/>
      <c r="T731" s="179"/>
      <c r="U731" s="179"/>
      <c r="V731" s="179"/>
      <c r="W731" s="179"/>
      <c r="X731" s="179"/>
      <c r="Y731" s="179"/>
      <c r="Z731" s="180"/>
      <c r="AB731" s="544">
        <f ca="1">IF(AND($D731="Serviço",AB$12&lt;&gt;0,$H731&gt;0,OR(AUTOEVENTO&lt;&gt;"manual",$M731&lt;&gt;1)),
IF(Import.TipoArredondamento&lt;&gt;"TransfereGOV",
ROUND(OFFSET($P731,0,AB$13),15-13*ORÇAMENTO!$AF$7)/$H731*OFFSET(ORÇAMENTO!$X$15,ROW(AB731)-ROW(AB$15),0),
ROUND(ROUND(OFFSET($P731,0,AB$13),15-13*ORÇAMENTO!$AF$7)*OFFSET(ORÇAMENTO!$W$15,ROW(AB731)-ROW(AB$15),0),15-13*ORÇAMENTO!$AF$11)),0)</f>
        <v>0</v>
      </c>
      <c r="AC731" s="545">
        <f ca="1">IF(AND($D731="Serviço",AC$12&lt;&gt;0,$H731&gt;0,OR(AUTOEVENTO&lt;&gt;"manual",$M731&lt;&gt;1)),
IF(Import.TipoArredondamento&lt;&gt;"TransfereGOV",
ROUND(OFFSET($P731,0,AC$13),15-13*ORÇAMENTO!$AF$7)/$H731*OFFSET(ORÇAMENTO!$X$15,ROW(AC731)-ROW(AC$15),0),
ROUND(ROUND(OFFSET($P731,0,AC$13),15-13*ORÇAMENTO!$AF$7)*OFFSET(ORÇAMENTO!$W$15,ROW(AC731)-ROW(AC$15),0),15-13*ORÇAMENTO!$AF$11)),0)</f>
        <v>0</v>
      </c>
      <c r="AD731" s="545">
        <f ca="1">IF(AND($D731="Serviço",AD$12&lt;&gt;0,$H731&gt;0,OR(AUTOEVENTO&lt;&gt;"manual",$M731&lt;&gt;1)),
IF(Import.TipoArredondamento&lt;&gt;"TransfereGOV",
ROUND(OFFSET($P731,0,AD$13),15-13*ORÇAMENTO!$AF$7)/$H731*OFFSET(ORÇAMENTO!$X$15,ROW(AD731)-ROW(AD$15),0),
ROUND(ROUND(OFFSET($P731,0,AD$13),15-13*ORÇAMENTO!$AF$7)*OFFSET(ORÇAMENTO!$W$15,ROW(AD731)-ROW(AD$15),0),15-13*ORÇAMENTO!$AF$11)),0)</f>
        <v>0</v>
      </c>
      <c r="AE731" s="545">
        <f ca="1">IF(AND($D731="Serviço",AE$12&lt;&gt;0,$H731&gt;0,OR(AUTOEVENTO&lt;&gt;"manual",$M731&lt;&gt;1)),
IF(Import.TipoArredondamento&lt;&gt;"TransfereGOV",
ROUND(OFFSET($P731,0,AE$13),15-13*ORÇAMENTO!$AF$7)/$H731*OFFSET(ORÇAMENTO!$X$15,ROW(AE731)-ROW(AE$15),0),
ROUND(ROUND(OFFSET($P731,0,AE$13),15-13*ORÇAMENTO!$AF$7)*OFFSET(ORÇAMENTO!$W$15,ROW(AE731)-ROW(AE$15),0),15-13*ORÇAMENTO!$AF$11)),0)</f>
        <v>0</v>
      </c>
      <c r="AF731" s="545">
        <f ca="1">IF(AND($D731="Serviço",AF$12&lt;&gt;0,$H731&gt;0,OR(AUTOEVENTO&lt;&gt;"manual",$M731&lt;&gt;1)),
IF(Import.TipoArredondamento&lt;&gt;"TransfereGOV",
ROUND(OFFSET($P731,0,AF$13),15-13*ORÇAMENTO!$AF$7)/$H731*OFFSET(ORÇAMENTO!$X$15,ROW(AF731)-ROW(AF$15),0),
ROUND(ROUND(OFFSET($P731,0,AF$13),15-13*ORÇAMENTO!$AF$7)*OFFSET(ORÇAMENTO!$W$15,ROW(AF731)-ROW(AF$15),0),15-13*ORÇAMENTO!$AF$11)),0)</f>
        <v>0</v>
      </c>
      <c r="AG731" s="545">
        <f ca="1">IF(AND($D731="Serviço",AG$12&lt;&gt;0,$H731&gt;0,OR(AUTOEVENTO&lt;&gt;"manual",$M731&lt;&gt;1)),
IF(Import.TipoArredondamento&lt;&gt;"TransfereGOV",
ROUND(OFFSET($P731,0,AG$13),15-13*ORÇAMENTO!$AF$7)/$H731*OFFSET(ORÇAMENTO!$X$15,ROW(AG731)-ROW(AG$15),0),
ROUND(ROUND(OFFSET($P731,0,AG$13),15-13*ORÇAMENTO!$AF$7)*OFFSET(ORÇAMENTO!$W$15,ROW(AG731)-ROW(AG$15),0),15-13*ORÇAMENTO!$AF$11)),0)</f>
        <v>0</v>
      </c>
      <c r="AH731" s="545">
        <f ca="1">IF(AND($D731="Serviço",AH$12&lt;&gt;0,$H731&gt;0,OR(AUTOEVENTO&lt;&gt;"manual",$M731&lt;&gt;1)),
IF(Import.TipoArredondamento&lt;&gt;"TransfereGOV",
ROUND(OFFSET($P731,0,AH$13),15-13*ORÇAMENTO!$AF$7)/$H731*OFFSET(ORÇAMENTO!$X$15,ROW(AH731)-ROW(AH$15),0),
ROUND(ROUND(OFFSET($P731,0,AH$13),15-13*ORÇAMENTO!$AF$7)*OFFSET(ORÇAMENTO!$W$15,ROW(AH731)-ROW(AH$15),0),15-13*ORÇAMENTO!$AF$11)),0)</f>
        <v>0</v>
      </c>
      <c r="AI731" s="545">
        <f ca="1">IF(AND($D731="Serviço",AI$12&lt;&gt;0,$H731&gt;0,OR(AUTOEVENTO&lt;&gt;"manual",$M731&lt;&gt;1)),
IF(Import.TipoArredondamento&lt;&gt;"TransfereGOV",
ROUND(OFFSET($P731,0,AI$13),15-13*ORÇAMENTO!$AF$7)/$H731*OFFSET(ORÇAMENTO!$X$15,ROW(AI731)-ROW(AI$15),0),
ROUND(ROUND(OFFSET($P731,0,AI$13),15-13*ORÇAMENTO!$AF$7)*OFFSET(ORÇAMENTO!$W$15,ROW(AI731)-ROW(AI$15),0),15-13*ORÇAMENTO!$AF$11)),0)</f>
        <v>0</v>
      </c>
      <c r="AJ731" s="545">
        <f ca="1">IF(AND($D731="Serviço",AJ$12&lt;&gt;0,$H731&gt;0,OR(AUTOEVENTO&lt;&gt;"manual",$M731&lt;&gt;1)),
IF(Import.TipoArredondamento&lt;&gt;"TransfereGOV",
ROUND(OFFSET($P731,0,AJ$13),15-13*ORÇAMENTO!$AF$7)/$H731*OFFSET(ORÇAMENTO!$X$15,ROW(AJ731)-ROW(AJ$15),0),
ROUND(ROUND(OFFSET($P731,0,AJ$13),15-13*ORÇAMENTO!$AF$7)*OFFSET(ORÇAMENTO!$W$15,ROW(AJ731)-ROW(AJ$15),0),15-13*ORÇAMENTO!$AF$11)),0)</f>
        <v>0</v>
      </c>
      <c r="AK731" s="546">
        <f ca="1">IF(AND($D731="Serviço",AK$12&lt;&gt;0,$H731&gt;0,OR(AUTOEVENTO&lt;&gt;"manual",$M731&lt;&gt;1)),
IF(Import.TipoArredondamento&lt;&gt;"TransfereGOV",
ROUND(OFFSET($P731,0,AK$13),15-13*ORÇAMENTO!$AF$7)/$H731*OFFSET(ORÇAMENTO!$X$15,ROW(AK731)-ROW(AK$15),0),
ROUND(ROUND(OFFSET($P731,0,AK$13),15-13*ORÇAMENTO!$AF$7)*OFFSET(ORÇAMENTO!$W$15,ROW(AK731)-ROW(AK$15),0),15-13*ORÇAMENTO!$AF$11)),0)</f>
        <v>0</v>
      </c>
      <c r="AM731" s="181">
        <f ca="1">IF($D731&lt;&gt;"Serviço",0,IF(AND(AUTOEVENTO="Manual",$M731=1),0,IF(OFFSET(CRONOPLE!$F$14,$M731,AM$13)="",10^12,OFFSET(CRONOPLE!$F$14,$M731,AM$13))))</f>
        <v>0</v>
      </c>
      <c r="AN731" s="181">
        <f ca="1">IF($D731&lt;&gt;"Serviço",0,IF(AND(AUTOEVENTO="Manual",$M731=1),0,IF(OFFSET(CRONOPLE!$F$14,$M731,AN$13)="",10^12,OFFSET(CRONOPLE!$F$14,$M731,AN$13))))</f>
        <v>0</v>
      </c>
      <c r="AO731" s="181">
        <f ca="1">IF($D731&lt;&gt;"Serviço",0,IF(AND(AUTOEVENTO="Manual",$M731=1),0,IF(OFFSET(CRONOPLE!$F$14,$M731,AO$13)="",10^12,OFFSET(CRONOPLE!$F$14,$M731,AO$13))))</f>
        <v>0</v>
      </c>
      <c r="AP731" s="181">
        <f ca="1">IF($D731&lt;&gt;"Serviço",0,IF(AND(AUTOEVENTO="Manual",$M731=1),0,IF(OFFSET(CRONOPLE!$F$14,$M731,AP$13)="",10^12,OFFSET(CRONOPLE!$F$14,$M731,AP$13))))</f>
        <v>0</v>
      </c>
      <c r="AQ731" s="181">
        <f ca="1">IF($D731&lt;&gt;"Serviço",0,IF(AND(AUTOEVENTO="Manual",$M731=1),0,IF(OFFSET(CRONOPLE!$F$14,$M731,AQ$13)="",10^12,OFFSET(CRONOPLE!$F$14,$M731,AQ$13))))</f>
        <v>0</v>
      </c>
      <c r="AR731" s="181">
        <f ca="1">IF($D731&lt;&gt;"Serviço",0,IF(AND(AUTOEVENTO="Manual",$M731=1),0,IF(OFFSET(CRONOPLE!$F$14,$M731,AR$13)="",10^12,OFFSET(CRONOPLE!$F$14,$M731,AR$13))))</f>
        <v>0</v>
      </c>
      <c r="AS731" s="181">
        <f ca="1">IF($D731&lt;&gt;"Serviço",0,IF(AND(AUTOEVENTO="Manual",$M731=1),0,IF(OFFSET(CRONOPLE!$F$14,$M731,AS$13)="",10^12,OFFSET(CRONOPLE!$F$14,$M731,AS$13))))</f>
        <v>0</v>
      </c>
      <c r="AT731" s="181">
        <f ca="1">IF($D731&lt;&gt;"Serviço",0,IF(AND(AUTOEVENTO="Manual",$M731=1),0,IF(OFFSET(CRONOPLE!$F$14,$M731,AT$13)="",10^12,OFFSET(CRONOPLE!$F$14,$M731,AT$13))))</f>
        <v>0</v>
      </c>
      <c r="AU731" s="181">
        <f ca="1">IF($D731&lt;&gt;"Serviço",0,IF(AND(AUTOEVENTO="Manual",$M731=1),0,IF(OFFSET(CRONOPLE!$F$14,$M731,AU$13)="",10^12,OFFSET(CRONOPLE!$F$14,$M731,AU$13))))</f>
        <v>0</v>
      </c>
      <c r="AV731" s="181">
        <f ca="1">IF($D731&lt;&gt;"Serviço",0,IF(AND(AUTOEVENTO="Manual",$M731=1),0,IF(OFFSET(CRONOPLE!$F$14,$M731,AV$13)="",10^12,OFFSET(CRONOPLE!$F$14,$M731,AV$13))))</f>
        <v>0</v>
      </c>
      <c r="AX731" s="182">
        <f ca="1">IF($D731&lt;&gt;"Serviço",0,IF(OR(AND(AUTOEVENTO="Manual",$M731=1),$M731&gt;(ROW(PLE.lastrow)-ROW(PLE.firstrow))),0,IF(OFFSET(PLE!$G$14,$M731,AX$13)="",10^12,OFFSET(PLE!$G$14,$M731,AX$13))))</f>
        <v>0</v>
      </c>
      <c r="AY731" s="182">
        <f ca="1">IF($D731&lt;&gt;"Serviço",0,IF(OR(AND(AUTOEVENTO="Manual",$M731=1),$M731&gt;(ROW(PLE.lastrow)-ROW(PLE.firstrow))),0,IF(OFFSET(PLE!$G$14,$M731,AY$13)="",10^12,OFFSET(PLE!$G$14,$M731,AY$13))))</f>
        <v>0</v>
      </c>
      <c r="AZ731" s="182">
        <f ca="1">IF($D731&lt;&gt;"Serviço",0,IF(OR(AND(AUTOEVENTO="Manual",$M731=1),$M731&gt;(ROW(PLE.lastrow)-ROW(PLE.firstrow))),0,IF(OFFSET(PLE!$G$14,$M731,AZ$13)="",10^12,OFFSET(PLE!$G$14,$M731,AZ$13))))</f>
        <v>0</v>
      </c>
      <c r="BA731" s="182">
        <f ca="1">IF($D731&lt;&gt;"Serviço",0,IF(OR(AND(AUTOEVENTO="Manual",$M731=1),$M731&gt;(ROW(PLE.lastrow)-ROW(PLE.firstrow))),0,IF(OFFSET(PLE!$G$14,$M731,BA$13)="",10^12,OFFSET(PLE!$G$14,$M731,BA$13))))</f>
        <v>0</v>
      </c>
      <c r="BB731" s="182">
        <f ca="1">IF($D731&lt;&gt;"Serviço",0,IF(OR(AND(AUTOEVENTO="Manual",$M731=1),$M731&gt;(ROW(PLE.lastrow)-ROW(PLE.firstrow))),0,IF(OFFSET(PLE!$G$14,$M731,BB$13)="",10^12,OFFSET(PLE!$G$14,$M731,BB$13))))</f>
        <v>0</v>
      </c>
      <c r="BC731" s="182">
        <f ca="1">IF($D731&lt;&gt;"Serviço",0,IF(OR(AND(AUTOEVENTO="Manual",$M731=1),$M731&gt;(ROW(PLE.lastrow)-ROW(PLE.firstrow))),0,IF(OFFSET(PLE!$G$14,$M731,BC$13)="",10^12,OFFSET(PLE!$G$14,$M731,BC$13))))</f>
        <v>0</v>
      </c>
      <c r="BD731" s="182">
        <f ca="1">IF($D731&lt;&gt;"Serviço",0,IF(OR(AND(AUTOEVENTO="Manual",$M731=1),$M731&gt;(ROW(PLE.lastrow)-ROW(PLE.firstrow))),0,IF(OFFSET(PLE!$G$14,$M731,BD$13)="",10^12,OFFSET(PLE!$G$14,$M731,BD$13))))</f>
        <v>0</v>
      </c>
      <c r="BE731" s="182">
        <f ca="1">IF($D731&lt;&gt;"Serviço",0,IF(OR(AND(AUTOEVENTO="Manual",$M731=1),$M731&gt;(ROW(PLE.lastrow)-ROW(PLE.firstrow))),0,IF(OFFSET(PLE!$G$14,$M731,BE$13)="",10^12,OFFSET(PLE!$G$14,$M731,BE$13))))</f>
        <v>0</v>
      </c>
      <c r="BF731" s="182">
        <f ca="1">IF($D731&lt;&gt;"Serviço",0,IF(OR(AND(AUTOEVENTO="Manual",$M731=1),$M731&gt;(ROW(PLE.lastrow)-ROW(PLE.firstrow))),0,IF(OFFSET(PLE!$G$14,$M731,BF$13)="",10^12,OFFSET(PLE!$G$14,$M731,BF$13))))</f>
        <v>0</v>
      </c>
      <c r="BG731" s="182">
        <f ca="1">IF($D731&lt;&gt;"Serviço",0,IF(OR(AND(AUTOEVENTO="Manual",$M731=1),$M731&gt;(ROW(PLE.lastrow)-ROW(PLE.firstrow))),0,IF(OFFSET(PLE!$G$14,$M731,BG$13)="",10^12,OFFSET(PLE!$G$14,$M731,BG$13))))</f>
        <v>0</v>
      </c>
    </row>
    <row r="732" spans="1:59" ht="38.25" x14ac:dyDescent="0.2">
      <c r="A732" s="7" t="str">
        <f t="shared" ca="1" si="18"/>
        <v>679</v>
      </c>
      <c r="B732" s="7" t="str">
        <f ca="1">OFFSET(ORÇAMENTO!C$15,ROW(B732)-ROW(B$15),0)</f>
        <v>S</v>
      </c>
      <c r="C732" s="7" t="str">
        <f ca="1">OFFSET(ORÇAMENTO!L$15,ROW(C732)-ROW(C$15),0)</f>
        <v/>
      </c>
      <c r="D732" s="118" t="str">
        <f ca="1">OFFSET(ORÇAMENTO!N$15,ROW(D732)-ROW(D$15),0)</f>
        <v>Serviço</v>
      </c>
      <c r="E732" s="119" t="str">
        <f ca="1">OFFSET(ORÇAMENTO!O$15,ROW(E732)-ROW(E$15),0)</f>
        <v>-</v>
      </c>
      <c r="F732" s="172" t="str">
        <f ca="1">OFFSET(ORÇAMENTO!R$15,ROW(F732)-ROW(F$15),0)</f>
        <v>(abra o arquivo 'Referência 02-2025.xlsm)</v>
      </c>
      <c r="G732" s="173" t="str">
        <f ca="1">IF($D732&lt;&gt;"Serviço","",OFFSET(ORÇAMENTO!S$15,ROW(G732)-ROW(G$15),0))</f>
        <v>-</v>
      </c>
      <c r="H732" s="124">
        <f ca="1">IF($D732&lt;&gt;"Serviço",0,IF(ACOMPANHAMENTO="BM",ROUND(OFFSET(ORÇAMENTO!AJ$15,ROW(H732)-ROW(H$15),0),15-13*ORÇAMENTO!$AF$7),SUMPRODUCT(($Q$12:$AA$12&lt;&gt;"")*ROUND($Q732:$AA732,15-13*ORÇAMENTO!$AF$7))))</f>
        <v>374.87</v>
      </c>
      <c r="I732" s="561" t="s">
        <v>890</v>
      </c>
      <c r="K732" s="174"/>
      <c r="L732" s="175" t="s">
        <v>255</v>
      </c>
      <c r="M732" s="176">
        <f ca="1">IF($D732&lt;&gt;"Serviço","",IF(AUTOEVENTO="manual",$A732,IF(ISERROR(MATCH($A732,$A$15:OFFSET($A732,-1,0),0)),MAX($M$15:OFFSET(M732,-1,0))+1,INDEX($M$15:OFFSET(M732,-1,0),MATCH($A732,$A$15:OFFSET($A732,-1,0),0)))))</f>
        <v>25</v>
      </c>
      <c r="N732" s="177" t="str">
        <f ca="1">IF($D732&lt;&gt;"Serviço","",IF(AUTOEVENTO="Manual",IF($A732=0,"&lt;-- defina o número do agrupador",OFFSET(EVENTOS!$D$14,$A732,0)),OFFSET($F$15,$A732,0)))</f>
        <v>FECHAMENTO - MURO</v>
      </c>
      <c r="O732" s="178"/>
      <c r="Q732" s="178"/>
      <c r="R732" s="179"/>
      <c r="S732" s="179"/>
      <c r="T732" s="179"/>
      <c r="U732" s="179"/>
      <c r="V732" s="179"/>
      <c r="W732" s="179"/>
      <c r="X732" s="179"/>
      <c r="Y732" s="179"/>
      <c r="Z732" s="180"/>
      <c r="AB732" s="544">
        <f ca="1">IF(AND($D732="Serviço",AB$12&lt;&gt;0,$H732&gt;0,OR(AUTOEVENTO&lt;&gt;"manual",$M732&lt;&gt;1)),
IF(Import.TipoArredondamento&lt;&gt;"TransfereGOV",
ROUND(OFFSET($P732,0,AB$13),15-13*ORÇAMENTO!$AF$7)/$H732*OFFSET(ORÇAMENTO!$X$15,ROW(AB732)-ROW(AB$15),0),
ROUND(ROUND(OFFSET($P732,0,AB$13),15-13*ORÇAMENTO!$AF$7)*OFFSET(ORÇAMENTO!$W$15,ROW(AB732)-ROW(AB$15),0),15-13*ORÇAMENTO!$AF$11)),0)</f>
        <v>0</v>
      </c>
      <c r="AC732" s="545">
        <f ca="1">IF(AND($D732="Serviço",AC$12&lt;&gt;0,$H732&gt;0,OR(AUTOEVENTO&lt;&gt;"manual",$M732&lt;&gt;1)),
IF(Import.TipoArredondamento&lt;&gt;"TransfereGOV",
ROUND(OFFSET($P732,0,AC$13),15-13*ORÇAMENTO!$AF$7)/$H732*OFFSET(ORÇAMENTO!$X$15,ROW(AC732)-ROW(AC$15),0),
ROUND(ROUND(OFFSET($P732,0,AC$13),15-13*ORÇAMENTO!$AF$7)*OFFSET(ORÇAMENTO!$W$15,ROW(AC732)-ROW(AC$15),0),15-13*ORÇAMENTO!$AF$11)),0)</f>
        <v>0</v>
      </c>
      <c r="AD732" s="545">
        <f ca="1">IF(AND($D732="Serviço",AD$12&lt;&gt;0,$H732&gt;0,OR(AUTOEVENTO&lt;&gt;"manual",$M732&lt;&gt;1)),
IF(Import.TipoArredondamento&lt;&gt;"TransfereGOV",
ROUND(OFFSET($P732,0,AD$13),15-13*ORÇAMENTO!$AF$7)/$H732*OFFSET(ORÇAMENTO!$X$15,ROW(AD732)-ROW(AD$15),0),
ROUND(ROUND(OFFSET($P732,0,AD$13),15-13*ORÇAMENTO!$AF$7)*OFFSET(ORÇAMENTO!$W$15,ROW(AD732)-ROW(AD$15),0),15-13*ORÇAMENTO!$AF$11)),0)</f>
        <v>0</v>
      </c>
      <c r="AE732" s="545">
        <f ca="1">IF(AND($D732="Serviço",AE$12&lt;&gt;0,$H732&gt;0,OR(AUTOEVENTO&lt;&gt;"manual",$M732&lt;&gt;1)),
IF(Import.TipoArredondamento&lt;&gt;"TransfereGOV",
ROUND(OFFSET($P732,0,AE$13),15-13*ORÇAMENTO!$AF$7)/$H732*OFFSET(ORÇAMENTO!$X$15,ROW(AE732)-ROW(AE$15),0),
ROUND(ROUND(OFFSET($P732,0,AE$13),15-13*ORÇAMENTO!$AF$7)*OFFSET(ORÇAMENTO!$W$15,ROW(AE732)-ROW(AE$15),0),15-13*ORÇAMENTO!$AF$11)),0)</f>
        <v>0</v>
      </c>
      <c r="AF732" s="545">
        <f ca="1">IF(AND($D732="Serviço",AF$12&lt;&gt;0,$H732&gt;0,OR(AUTOEVENTO&lt;&gt;"manual",$M732&lt;&gt;1)),
IF(Import.TipoArredondamento&lt;&gt;"TransfereGOV",
ROUND(OFFSET($P732,0,AF$13),15-13*ORÇAMENTO!$AF$7)/$H732*OFFSET(ORÇAMENTO!$X$15,ROW(AF732)-ROW(AF$15),0),
ROUND(ROUND(OFFSET($P732,0,AF$13),15-13*ORÇAMENTO!$AF$7)*OFFSET(ORÇAMENTO!$W$15,ROW(AF732)-ROW(AF$15),0),15-13*ORÇAMENTO!$AF$11)),0)</f>
        <v>0</v>
      </c>
      <c r="AG732" s="545">
        <f ca="1">IF(AND($D732="Serviço",AG$12&lt;&gt;0,$H732&gt;0,OR(AUTOEVENTO&lt;&gt;"manual",$M732&lt;&gt;1)),
IF(Import.TipoArredondamento&lt;&gt;"TransfereGOV",
ROUND(OFFSET($P732,0,AG$13),15-13*ORÇAMENTO!$AF$7)/$H732*OFFSET(ORÇAMENTO!$X$15,ROW(AG732)-ROW(AG$15),0),
ROUND(ROUND(OFFSET($P732,0,AG$13),15-13*ORÇAMENTO!$AF$7)*OFFSET(ORÇAMENTO!$W$15,ROW(AG732)-ROW(AG$15),0),15-13*ORÇAMENTO!$AF$11)),0)</f>
        <v>0</v>
      </c>
      <c r="AH732" s="545">
        <f ca="1">IF(AND($D732="Serviço",AH$12&lt;&gt;0,$H732&gt;0,OR(AUTOEVENTO&lt;&gt;"manual",$M732&lt;&gt;1)),
IF(Import.TipoArredondamento&lt;&gt;"TransfereGOV",
ROUND(OFFSET($P732,0,AH$13),15-13*ORÇAMENTO!$AF$7)/$H732*OFFSET(ORÇAMENTO!$X$15,ROW(AH732)-ROW(AH$15),0),
ROUND(ROUND(OFFSET($P732,0,AH$13),15-13*ORÇAMENTO!$AF$7)*OFFSET(ORÇAMENTO!$W$15,ROW(AH732)-ROW(AH$15),0),15-13*ORÇAMENTO!$AF$11)),0)</f>
        <v>0</v>
      </c>
      <c r="AI732" s="545">
        <f ca="1">IF(AND($D732="Serviço",AI$12&lt;&gt;0,$H732&gt;0,OR(AUTOEVENTO&lt;&gt;"manual",$M732&lt;&gt;1)),
IF(Import.TipoArredondamento&lt;&gt;"TransfereGOV",
ROUND(OFFSET($P732,0,AI$13),15-13*ORÇAMENTO!$AF$7)/$H732*OFFSET(ORÇAMENTO!$X$15,ROW(AI732)-ROW(AI$15),0),
ROUND(ROUND(OFFSET($P732,0,AI$13),15-13*ORÇAMENTO!$AF$7)*OFFSET(ORÇAMENTO!$W$15,ROW(AI732)-ROW(AI$15),0),15-13*ORÇAMENTO!$AF$11)),0)</f>
        <v>0</v>
      </c>
      <c r="AJ732" s="545">
        <f ca="1">IF(AND($D732="Serviço",AJ$12&lt;&gt;0,$H732&gt;0,OR(AUTOEVENTO&lt;&gt;"manual",$M732&lt;&gt;1)),
IF(Import.TipoArredondamento&lt;&gt;"TransfereGOV",
ROUND(OFFSET($P732,0,AJ$13),15-13*ORÇAMENTO!$AF$7)/$H732*OFFSET(ORÇAMENTO!$X$15,ROW(AJ732)-ROW(AJ$15),0),
ROUND(ROUND(OFFSET($P732,0,AJ$13),15-13*ORÇAMENTO!$AF$7)*OFFSET(ORÇAMENTO!$W$15,ROW(AJ732)-ROW(AJ$15),0),15-13*ORÇAMENTO!$AF$11)),0)</f>
        <v>0</v>
      </c>
      <c r="AK732" s="546">
        <f ca="1">IF(AND($D732="Serviço",AK$12&lt;&gt;0,$H732&gt;0,OR(AUTOEVENTO&lt;&gt;"manual",$M732&lt;&gt;1)),
IF(Import.TipoArredondamento&lt;&gt;"TransfereGOV",
ROUND(OFFSET($P732,0,AK$13),15-13*ORÇAMENTO!$AF$7)/$H732*OFFSET(ORÇAMENTO!$X$15,ROW(AK732)-ROW(AK$15),0),
ROUND(ROUND(OFFSET($P732,0,AK$13),15-13*ORÇAMENTO!$AF$7)*OFFSET(ORÇAMENTO!$W$15,ROW(AK732)-ROW(AK$15),0),15-13*ORÇAMENTO!$AF$11)),0)</f>
        <v>0</v>
      </c>
      <c r="AM732" s="181">
        <f ca="1">IF($D732&lt;&gt;"Serviço",0,IF(AND(AUTOEVENTO="Manual",$M732=1),0,IF(OFFSET(CRONOPLE!$F$14,$M732,AM$13)="",10^12,OFFSET(CRONOPLE!$F$14,$M732,AM$13))))</f>
        <v>1000000000000</v>
      </c>
      <c r="AN732" s="181">
        <f ca="1">IF($D732&lt;&gt;"Serviço",0,IF(AND(AUTOEVENTO="Manual",$M732=1),0,IF(OFFSET(CRONOPLE!$F$14,$M732,AN$13)="",10^12,OFFSET(CRONOPLE!$F$14,$M732,AN$13))))</f>
        <v>1000000000000</v>
      </c>
      <c r="AO732" s="181">
        <f ca="1">IF($D732&lt;&gt;"Serviço",0,IF(AND(AUTOEVENTO="Manual",$M732=1),0,IF(OFFSET(CRONOPLE!$F$14,$M732,AO$13)="",10^12,OFFSET(CRONOPLE!$F$14,$M732,AO$13))))</f>
        <v>1000000000000</v>
      </c>
      <c r="AP732" s="181">
        <f ca="1">IF($D732&lt;&gt;"Serviço",0,IF(AND(AUTOEVENTO="Manual",$M732=1),0,IF(OFFSET(CRONOPLE!$F$14,$M732,AP$13)="",10^12,OFFSET(CRONOPLE!$F$14,$M732,AP$13))))</f>
        <v>1000000000000</v>
      </c>
      <c r="AQ732" s="181">
        <f ca="1">IF($D732&lt;&gt;"Serviço",0,IF(AND(AUTOEVENTO="Manual",$M732=1),0,IF(OFFSET(CRONOPLE!$F$14,$M732,AQ$13)="",10^12,OFFSET(CRONOPLE!$F$14,$M732,AQ$13))))</f>
        <v>1000000000000</v>
      </c>
      <c r="AR732" s="181">
        <f ca="1">IF($D732&lt;&gt;"Serviço",0,IF(AND(AUTOEVENTO="Manual",$M732=1),0,IF(OFFSET(CRONOPLE!$F$14,$M732,AR$13)="",10^12,OFFSET(CRONOPLE!$F$14,$M732,AR$13))))</f>
        <v>1000000000000</v>
      </c>
      <c r="AS732" s="181">
        <f ca="1">IF($D732&lt;&gt;"Serviço",0,IF(AND(AUTOEVENTO="Manual",$M732=1),0,IF(OFFSET(CRONOPLE!$F$14,$M732,AS$13)="",10^12,OFFSET(CRONOPLE!$F$14,$M732,AS$13))))</f>
        <v>1000000000000</v>
      </c>
      <c r="AT732" s="181">
        <f ca="1">IF($D732&lt;&gt;"Serviço",0,IF(AND(AUTOEVENTO="Manual",$M732=1),0,IF(OFFSET(CRONOPLE!$F$14,$M732,AT$13)="",10^12,OFFSET(CRONOPLE!$F$14,$M732,AT$13))))</f>
        <v>1000000000000</v>
      </c>
      <c r="AU732" s="181">
        <f ca="1">IF($D732&lt;&gt;"Serviço",0,IF(AND(AUTOEVENTO="Manual",$M732=1),0,IF(OFFSET(CRONOPLE!$F$14,$M732,AU$13)="",10^12,OFFSET(CRONOPLE!$F$14,$M732,AU$13))))</f>
        <v>1000000000000</v>
      </c>
      <c r="AV732" s="181">
        <f ca="1">IF($D732&lt;&gt;"Serviço",0,IF(AND(AUTOEVENTO="Manual",$M732=1),0,IF(OFFSET(CRONOPLE!$F$14,$M732,AV$13)="",10^12,OFFSET(CRONOPLE!$F$14,$M732,AV$13))))</f>
        <v>1000000000000</v>
      </c>
      <c r="AX732" s="182">
        <f ca="1">IF($D732&lt;&gt;"Serviço",0,IF(OR(AND(AUTOEVENTO="Manual",$M732=1),$M732&gt;(ROW(PLE.lastrow)-ROW(PLE.firstrow))),0,IF(OFFSET(PLE!$G$14,$M732,AX$13)="",10^12,OFFSET(PLE!$G$14,$M732,AX$13))))</f>
        <v>1000000000000</v>
      </c>
      <c r="AY732" s="182">
        <f ca="1">IF($D732&lt;&gt;"Serviço",0,IF(OR(AND(AUTOEVENTO="Manual",$M732=1),$M732&gt;(ROW(PLE.lastrow)-ROW(PLE.firstrow))),0,IF(OFFSET(PLE!$G$14,$M732,AY$13)="",10^12,OFFSET(PLE!$G$14,$M732,AY$13))))</f>
        <v>1000000000000</v>
      </c>
      <c r="AZ732" s="182">
        <f ca="1">IF($D732&lt;&gt;"Serviço",0,IF(OR(AND(AUTOEVENTO="Manual",$M732=1),$M732&gt;(ROW(PLE.lastrow)-ROW(PLE.firstrow))),0,IF(OFFSET(PLE!$G$14,$M732,AZ$13)="",10^12,OFFSET(PLE!$G$14,$M732,AZ$13))))</f>
        <v>1000000000000</v>
      </c>
      <c r="BA732" s="182">
        <f ca="1">IF($D732&lt;&gt;"Serviço",0,IF(OR(AND(AUTOEVENTO="Manual",$M732=1),$M732&gt;(ROW(PLE.lastrow)-ROW(PLE.firstrow))),0,IF(OFFSET(PLE!$G$14,$M732,BA$13)="",10^12,OFFSET(PLE!$G$14,$M732,BA$13))))</f>
        <v>1000000000000</v>
      </c>
      <c r="BB732" s="182">
        <f ca="1">IF($D732&lt;&gt;"Serviço",0,IF(OR(AND(AUTOEVENTO="Manual",$M732=1),$M732&gt;(ROW(PLE.lastrow)-ROW(PLE.firstrow))),0,IF(OFFSET(PLE!$G$14,$M732,BB$13)="",10^12,OFFSET(PLE!$G$14,$M732,BB$13))))</f>
        <v>1000000000000</v>
      </c>
      <c r="BC732" s="182">
        <f ca="1">IF($D732&lt;&gt;"Serviço",0,IF(OR(AND(AUTOEVENTO="Manual",$M732=1),$M732&gt;(ROW(PLE.lastrow)-ROW(PLE.firstrow))),0,IF(OFFSET(PLE!$G$14,$M732,BC$13)="",10^12,OFFSET(PLE!$G$14,$M732,BC$13))))</f>
        <v>1000000000000</v>
      </c>
      <c r="BD732" s="182">
        <f ca="1">IF($D732&lt;&gt;"Serviço",0,IF(OR(AND(AUTOEVENTO="Manual",$M732=1),$M732&gt;(ROW(PLE.lastrow)-ROW(PLE.firstrow))),0,IF(OFFSET(PLE!$G$14,$M732,BD$13)="",10^12,OFFSET(PLE!$G$14,$M732,BD$13))))</f>
        <v>1000000000000</v>
      </c>
      <c r="BE732" s="182">
        <f ca="1">IF($D732&lt;&gt;"Serviço",0,IF(OR(AND(AUTOEVENTO="Manual",$M732=1),$M732&gt;(ROW(PLE.lastrow)-ROW(PLE.firstrow))),0,IF(OFFSET(PLE!$G$14,$M732,BE$13)="",10^12,OFFSET(PLE!$G$14,$M732,BE$13))))</f>
        <v>1000000000000</v>
      </c>
      <c r="BF732" s="182">
        <f ca="1">IF($D732&lt;&gt;"Serviço",0,IF(OR(AND(AUTOEVENTO="Manual",$M732=1),$M732&gt;(ROW(PLE.lastrow)-ROW(PLE.firstrow))),0,IF(OFFSET(PLE!$G$14,$M732,BF$13)="",10^12,OFFSET(PLE!$G$14,$M732,BF$13))))</f>
        <v>1000000000000</v>
      </c>
      <c r="BG732" s="182">
        <f ca="1">IF($D732&lt;&gt;"Serviço",0,IF(OR(AND(AUTOEVENTO="Manual",$M732=1),$M732&gt;(ROW(PLE.lastrow)-ROW(PLE.firstrow))),0,IF(OFFSET(PLE!$G$14,$M732,BG$13)="",10^12,OFFSET(PLE!$G$14,$M732,BG$13))))</f>
        <v>1000000000000</v>
      </c>
    </row>
    <row r="733" spans="1:59" ht="25.5" x14ac:dyDescent="0.2">
      <c r="A733" s="7" t="str">
        <f t="shared" ca="1" si="18"/>
        <v>679</v>
      </c>
      <c r="B733" s="7" t="str">
        <f ca="1">OFFSET(ORÇAMENTO!C$15,ROW(B733)-ROW(B$15),0)</f>
        <v>S</v>
      </c>
      <c r="C733" s="7" t="str">
        <f ca="1">OFFSET(ORÇAMENTO!L$15,ROW(C733)-ROW(C$15),0)</f>
        <v/>
      </c>
      <c r="D733" s="118" t="str">
        <f ca="1">OFFSET(ORÇAMENTO!N$15,ROW(D733)-ROW(D$15),0)</f>
        <v>Serviço</v>
      </c>
      <c r="E733" s="119" t="str">
        <f ca="1">OFFSET(ORÇAMENTO!O$15,ROW(E733)-ROW(E$15),0)</f>
        <v>-</v>
      </c>
      <c r="F733" s="172" t="str">
        <f ca="1">OFFSET(ORÇAMENTO!R$15,ROW(F733)-ROW(F$15),0)</f>
        <v>(abra o arquivo 'Referência 02-2025.xlsm)</v>
      </c>
      <c r="G733" s="173" t="str">
        <f ca="1">IF($D733&lt;&gt;"Serviço","",OFFSET(ORÇAMENTO!S$15,ROW(G733)-ROW(G$15),0))</f>
        <v>-</v>
      </c>
      <c r="H733" s="124">
        <f ca="1">IF($D733&lt;&gt;"Serviço",0,IF(ACOMPANHAMENTO="BM",ROUND(OFFSET(ORÇAMENTO!AJ$15,ROW(H733)-ROW(H$15),0),15-13*ORÇAMENTO!$AF$7),SUMPRODUCT(($Q$12:$AA$12&lt;&gt;"")*ROUND($Q733:$AA733,15-13*ORÇAMENTO!$AF$7))))</f>
        <v>176.95</v>
      </c>
      <c r="I733" s="561" t="s">
        <v>890</v>
      </c>
      <c r="K733" s="174"/>
      <c r="L733" s="175" t="s">
        <v>255</v>
      </c>
      <c r="M733" s="176">
        <f ca="1">IF($D733&lt;&gt;"Serviço","",IF(AUTOEVENTO="manual",$A733,IF(ISERROR(MATCH($A733,$A$15:OFFSET($A733,-1,0),0)),MAX($M$15:OFFSET(M733,-1,0))+1,INDEX($M$15:OFFSET(M733,-1,0),MATCH($A733,$A$15:OFFSET($A733,-1,0),0)))))</f>
        <v>25</v>
      </c>
      <c r="N733" s="177" t="str">
        <f ca="1">IF($D733&lt;&gt;"Serviço","",IF(AUTOEVENTO="Manual",IF($A733=0,"&lt;-- defina o número do agrupador",OFFSET(EVENTOS!$D$14,$A733,0)),OFFSET($F$15,$A733,0)))</f>
        <v>FECHAMENTO - MURO</v>
      </c>
      <c r="O733" s="178"/>
      <c r="Q733" s="178"/>
      <c r="R733" s="179"/>
      <c r="S733" s="179"/>
      <c r="T733" s="179"/>
      <c r="U733" s="179"/>
      <c r="V733" s="179"/>
      <c r="W733" s="179"/>
      <c r="X733" s="179"/>
      <c r="Y733" s="179"/>
      <c r="Z733" s="180"/>
      <c r="AB733" s="544">
        <f ca="1">IF(AND($D733="Serviço",AB$12&lt;&gt;0,$H733&gt;0,OR(AUTOEVENTO&lt;&gt;"manual",$M733&lt;&gt;1)),
IF(Import.TipoArredondamento&lt;&gt;"TransfereGOV",
ROUND(OFFSET($P733,0,AB$13),15-13*ORÇAMENTO!$AF$7)/$H733*OFFSET(ORÇAMENTO!$X$15,ROW(AB733)-ROW(AB$15),0),
ROUND(ROUND(OFFSET($P733,0,AB$13),15-13*ORÇAMENTO!$AF$7)*OFFSET(ORÇAMENTO!$W$15,ROW(AB733)-ROW(AB$15),0),15-13*ORÇAMENTO!$AF$11)),0)</f>
        <v>0</v>
      </c>
      <c r="AC733" s="545">
        <f ca="1">IF(AND($D733="Serviço",AC$12&lt;&gt;0,$H733&gt;0,OR(AUTOEVENTO&lt;&gt;"manual",$M733&lt;&gt;1)),
IF(Import.TipoArredondamento&lt;&gt;"TransfereGOV",
ROUND(OFFSET($P733,0,AC$13),15-13*ORÇAMENTO!$AF$7)/$H733*OFFSET(ORÇAMENTO!$X$15,ROW(AC733)-ROW(AC$15),0),
ROUND(ROUND(OFFSET($P733,0,AC$13),15-13*ORÇAMENTO!$AF$7)*OFFSET(ORÇAMENTO!$W$15,ROW(AC733)-ROW(AC$15),0),15-13*ORÇAMENTO!$AF$11)),0)</f>
        <v>0</v>
      </c>
      <c r="AD733" s="545">
        <f ca="1">IF(AND($D733="Serviço",AD$12&lt;&gt;0,$H733&gt;0,OR(AUTOEVENTO&lt;&gt;"manual",$M733&lt;&gt;1)),
IF(Import.TipoArredondamento&lt;&gt;"TransfereGOV",
ROUND(OFFSET($P733,0,AD$13),15-13*ORÇAMENTO!$AF$7)/$H733*OFFSET(ORÇAMENTO!$X$15,ROW(AD733)-ROW(AD$15),0),
ROUND(ROUND(OFFSET($P733,0,AD$13),15-13*ORÇAMENTO!$AF$7)*OFFSET(ORÇAMENTO!$W$15,ROW(AD733)-ROW(AD$15),0),15-13*ORÇAMENTO!$AF$11)),0)</f>
        <v>0</v>
      </c>
      <c r="AE733" s="545">
        <f ca="1">IF(AND($D733="Serviço",AE$12&lt;&gt;0,$H733&gt;0,OR(AUTOEVENTO&lt;&gt;"manual",$M733&lt;&gt;1)),
IF(Import.TipoArredondamento&lt;&gt;"TransfereGOV",
ROUND(OFFSET($P733,0,AE$13),15-13*ORÇAMENTO!$AF$7)/$H733*OFFSET(ORÇAMENTO!$X$15,ROW(AE733)-ROW(AE$15),0),
ROUND(ROUND(OFFSET($P733,0,AE$13),15-13*ORÇAMENTO!$AF$7)*OFFSET(ORÇAMENTO!$W$15,ROW(AE733)-ROW(AE$15),0),15-13*ORÇAMENTO!$AF$11)),0)</f>
        <v>0</v>
      </c>
      <c r="AF733" s="545">
        <f ca="1">IF(AND($D733="Serviço",AF$12&lt;&gt;0,$H733&gt;0,OR(AUTOEVENTO&lt;&gt;"manual",$M733&lt;&gt;1)),
IF(Import.TipoArredondamento&lt;&gt;"TransfereGOV",
ROUND(OFFSET($P733,0,AF$13),15-13*ORÇAMENTO!$AF$7)/$H733*OFFSET(ORÇAMENTO!$X$15,ROW(AF733)-ROW(AF$15),0),
ROUND(ROUND(OFFSET($P733,0,AF$13),15-13*ORÇAMENTO!$AF$7)*OFFSET(ORÇAMENTO!$W$15,ROW(AF733)-ROW(AF$15),0),15-13*ORÇAMENTO!$AF$11)),0)</f>
        <v>0</v>
      </c>
      <c r="AG733" s="545">
        <f ca="1">IF(AND($D733="Serviço",AG$12&lt;&gt;0,$H733&gt;0,OR(AUTOEVENTO&lt;&gt;"manual",$M733&lt;&gt;1)),
IF(Import.TipoArredondamento&lt;&gt;"TransfereGOV",
ROUND(OFFSET($P733,0,AG$13),15-13*ORÇAMENTO!$AF$7)/$H733*OFFSET(ORÇAMENTO!$X$15,ROW(AG733)-ROW(AG$15),0),
ROUND(ROUND(OFFSET($P733,0,AG$13),15-13*ORÇAMENTO!$AF$7)*OFFSET(ORÇAMENTO!$W$15,ROW(AG733)-ROW(AG$15),0),15-13*ORÇAMENTO!$AF$11)),0)</f>
        <v>0</v>
      </c>
      <c r="AH733" s="545">
        <f ca="1">IF(AND($D733="Serviço",AH$12&lt;&gt;0,$H733&gt;0,OR(AUTOEVENTO&lt;&gt;"manual",$M733&lt;&gt;1)),
IF(Import.TipoArredondamento&lt;&gt;"TransfereGOV",
ROUND(OFFSET($P733,0,AH$13),15-13*ORÇAMENTO!$AF$7)/$H733*OFFSET(ORÇAMENTO!$X$15,ROW(AH733)-ROW(AH$15),0),
ROUND(ROUND(OFFSET($P733,0,AH$13),15-13*ORÇAMENTO!$AF$7)*OFFSET(ORÇAMENTO!$W$15,ROW(AH733)-ROW(AH$15),0),15-13*ORÇAMENTO!$AF$11)),0)</f>
        <v>0</v>
      </c>
      <c r="AI733" s="545">
        <f ca="1">IF(AND($D733="Serviço",AI$12&lt;&gt;0,$H733&gt;0,OR(AUTOEVENTO&lt;&gt;"manual",$M733&lt;&gt;1)),
IF(Import.TipoArredondamento&lt;&gt;"TransfereGOV",
ROUND(OFFSET($P733,0,AI$13),15-13*ORÇAMENTO!$AF$7)/$H733*OFFSET(ORÇAMENTO!$X$15,ROW(AI733)-ROW(AI$15),0),
ROUND(ROUND(OFFSET($P733,0,AI$13),15-13*ORÇAMENTO!$AF$7)*OFFSET(ORÇAMENTO!$W$15,ROW(AI733)-ROW(AI$15),0),15-13*ORÇAMENTO!$AF$11)),0)</f>
        <v>0</v>
      </c>
      <c r="AJ733" s="545">
        <f ca="1">IF(AND($D733="Serviço",AJ$12&lt;&gt;0,$H733&gt;0,OR(AUTOEVENTO&lt;&gt;"manual",$M733&lt;&gt;1)),
IF(Import.TipoArredondamento&lt;&gt;"TransfereGOV",
ROUND(OFFSET($P733,0,AJ$13),15-13*ORÇAMENTO!$AF$7)/$H733*OFFSET(ORÇAMENTO!$X$15,ROW(AJ733)-ROW(AJ$15),0),
ROUND(ROUND(OFFSET($P733,0,AJ$13),15-13*ORÇAMENTO!$AF$7)*OFFSET(ORÇAMENTO!$W$15,ROW(AJ733)-ROW(AJ$15),0),15-13*ORÇAMENTO!$AF$11)),0)</f>
        <v>0</v>
      </c>
      <c r="AK733" s="546">
        <f ca="1">IF(AND($D733="Serviço",AK$12&lt;&gt;0,$H733&gt;0,OR(AUTOEVENTO&lt;&gt;"manual",$M733&lt;&gt;1)),
IF(Import.TipoArredondamento&lt;&gt;"TransfereGOV",
ROUND(OFFSET($P733,0,AK$13),15-13*ORÇAMENTO!$AF$7)/$H733*OFFSET(ORÇAMENTO!$X$15,ROW(AK733)-ROW(AK$15),0),
ROUND(ROUND(OFFSET($P733,0,AK$13),15-13*ORÇAMENTO!$AF$7)*OFFSET(ORÇAMENTO!$W$15,ROW(AK733)-ROW(AK$15),0),15-13*ORÇAMENTO!$AF$11)),0)</f>
        <v>0</v>
      </c>
      <c r="AM733" s="181">
        <f ca="1">IF($D733&lt;&gt;"Serviço",0,IF(AND(AUTOEVENTO="Manual",$M733=1),0,IF(OFFSET(CRONOPLE!$F$14,$M733,AM$13)="",10^12,OFFSET(CRONOPLE!$F$14,$M733,AM$13))))</f>
        <v>1000000000000</v>
      </c>
      <c r="AN733" s="181">
        <f ca="1">IF($D733&lt;&gt;"Serviço",0,IF(AND(AUTOEVENTO="Manual",$M733=1),0,IF(OFFSET(CRONOPLE!$F$14,$M733,AN$13)="",10^12,OFFSET(CRONOPLE!$F$14,$M733,AN$13))))</f>
        <v>1000000000000</v>
      </c>
      <c r="AO733" s="181">
        <f ca="1">IF($D733&lt;&gt;"Serviço",0,IF(AND(AUTOEVENTO="Manual",$M733=1),0,IF(OFFSET(CRONOPLE!$F$14,$M733,AO$13)="",10^12,OFFSET(CRONOPLE!$F$14,$M733,AO$13))))</f>
        <v>1000000000000</v>
      </c>
      <c r="AP733" s="181">
        <f ca="1">IF($D733&lt;&gt;"Serviço",0,IF(AND(AUTOEVENTO="Manual",$M733=1),0,IF(OFFSET(CRONOPLE!$F$14,$M733,AP$13)="",10^12,OFFSET(CRONOPLE!$F$14,$M733,AP$13))))</f>
        <v>1000000000000</v>
      </c>
      <c r="AQ733" s="181">
        <f ca="1">IF($D733&lt;&gt;"Serviço",0,IF(AND(AUTOEVENTO="Manual",$M733=1),0,IF(OFFSET(CRONOPLE!$F$14,$M733,AQ$13)="",10^12,OFFSET(CRONOPLE!$F$14,$M733,AQ$13))))</f>
        <v>1000000000000</v>
      </c>
      <c r="AR733" s="181">
        <f ca="1">IF($D733&lt;&gt;"Serviço",0,IF(AND(AUTOEVENTO="Manual",$M733=1),0,IF(OFFSET(CRONOPLE!$F$14,$M733,AR$13)="",10^12,OFFSET(CRONOPLE!$F$14,$M733,AR$13))))</f>
        <v>1000000000000</v>
      </c>
      <c r="AS733" s="181">
        <f ca="1">IF($D733&lt;&gt;"Serviço",0,IF(AND(AUTOEVENTO="Manual",$M733=1),0,IF(OFFSET(CRONOPLE!$F$14,$M733,AS$13)="",10^12,OFFSET(CRONOPLE!$F$14,$M733,AS$13))))</f>
        <v>1000000000000</v>
      </c>
      <c r="AT733" s="181">
        <f ca="1">IF($D733&lt;&gt;"Serviço",0,IF(AND(AUTOEVENTO="Manual",$M733=1),0,IF(OFFSET(CRONOPLE!$F$14,$M733,AT$13)="",10^12,OFFSET(CRONOPLE!$F$14,$M733,AT$13))))</f>
        <v>1000000000000</v>
      </c>
      <c r="AU733" s="181">
        <f ca="1">IF($D733&lt;&gt;"Serviço",0,IF(AND(AUTOEVENTO="Manual",$M733=1),0,IF(OFFSET(CRONOPLE!$F$14,$M733,AU$13)="",10^12,OFFSET(CRONOPLE!$F$14,$M733,AU$13))))</f>
        <v>1000000000000</v>
      </c>
      <c r="AV733" s="181">
        <f ca="1">IF($D733&lt;&gt;"Serviço",0,IF(AND(AUTOEVENTO="Manual",$M733=1),0,IF(OFFSET(CRONOPLE!$F$14,$M733,AV$13)="",10^12,OFFSET(CRONOPLE!$F$14,$M733,AV$13))))</f>
        <v>1000000000000</v>
      </c>
      <c r="AX733" s="182">
        <f ca="1">IF($D733&lt;&gt;"Serviço",0,IF(OR(AND(AUTOEVENTO="Manual",$M733=1),$M733&gt;(ROW(PLE.lastrow)-ROW(PLE.firstrow))),0,IF(OFFSET(PLE!$G$14,$M733,AX$13)="",10^12,OFFSET(PLE!$G$14,$M733,AX$13))))</f>
        <v>1000000000000</v>
      </c>
      <c r="AY733" s="182">
        <f ca="1">IF($D733&lt;&gt;"Serviço",0,IF(OR(AND(AUTOEVENTO="Manual",$M733=1),$M733&gt;(ROW(PLE.lastrow)-ROW(PLE.firstrow))),0,IF(OFFSET(PLE!$G$14,$M733,AY$13)="",10^12,OFFSET(PLE!$G$14,$M733,AY$13))))</f>
        <v>1000000000000</v>
      </c>
      <c r="AZ733" s="182">
        <f ca="1">IF($D733&lt;&gt;"Serviço",0,IF(OR(AND(AUTOEVENTO="Manual",$M733=1),$M733&gt;(ROW(PLE.lastrow)-ROW(PLE.firstrow))),0,IF(OFFSET(PLE!$G$14,$M733,AZ$13)="",10^12,OFFSET(PLE!$G$14,$M733,AZ$13))))</f>
        <v>1000000000000</v>
      </c>
      <c r="BA733" s="182">
        <f ca="1">IF($D733&lt;&gt;"Serviço",0,IF(OR(AND(AUTOEVENTO="Manual",$M733=1),$M733&gt;(ROW(PLE.lastrow)-ROW(PLE.firstrow))),0,IF(OFFSET(PLE!$G$14,$M733,BA$13)="",10^12,OFFSET(PLE!$G$14,$M733,BA$13))))</f>
        <v>1000000000000</v>
      </c>
      <c r="BB733" s="182">
        <f ca="1">IF($D733&lt;&gt;"Serviço",0,IF(OR(AND(AUTOEVENTO="Manual",$M733=1),$M733&gt;(ROW(PLE.lastrow)-ROW(PLE.firstrow))),0,IF(OFFSET(PLE!$G$14,$M733,BB$13)="",10^12,OFFSET(PLE!$G$14,$M733,BB$13))))</f>
        <v>1000000000000</v>
      </c>
      <c r="BC733" s="182">
        <f ca="1">IF($D733&lt;&gt;"Serviço",0,IF(OR(AND(AUTOEVENTO="Manual",$M733=1),$M733&gt;(ROW(PLE.lastrow)-ROW(PLE.firstrow))),0,IF(OFFSET(PLE!$G$14,$M733,BC$13)="",10^12,OFFSET(PLE!$G$14,$M733,BC$13))))</f>
        <v>1000000000000</v>
      </c>
      <c r="BD733" s="182">
        <f ca="1">IF($D733&lt;&gt;"Serviço",0,IF(OR(AND(AUTOEVENTO="Manual",$M733=1),$M733&gt;(ROW(PLE.lastrow)-ROW(PLE.firstrow))),0,IF(OFFSET(PLE!$G$14,$M733,BD$13)="",10^12,OFFSET(PLE!$G$14,$M733,BD$13))))</f>
        <v>1000000000000</v>
      </c>
      <c r="BE733" s="182">
        <f ca="1">IF($D733&lt;&gt;"Serviço",0,IF(OR(AND(AUTOEVENTO="Manual",$M733=1),$M733&gt;(ROW(PLE.lastrow)-ROW(PLE.firstrow))),0,IF(OFFSET(PLE!$G$14,$M733,BE$13)="",10^12,OFFSET(PLE!$G$14,$M733,BE$13))))</f>
        <v>1000000000000</v>
      </c>
      <c r="BF733" s="182">
        <f ca="1">IF($D733&lt;&gt;"Serviço",0,IF(OR(AND(AUTOEVENTO="Manual",$M733=1),$M733&gt;(ROW(PLE.lastrow)-ROW(PLE.firstrow))),0,IF(OFFSET(PLE!$G$14,$M733,BF$13)="",10^12,OFFSET(PLE!$G$14,$M733,BF$13))))</f>
        <v>1000000000000</v>
      </c>
      <c r="BG733" s="182">
        <f ca="1">IF($D733&lt;&gt;"Serviço",0,IF(OR(AND(AUTOEVENTO="Manual",$M733=1),$M733&gt;(ROW(PLE.lastrow)-ROW(PLE.firstrow))),0,IF(OFFSET(PLE!$G$14,$M733,BG$13)="",10^12,OFFSET(PLE!$G$14,$M733,BG$13))))</f>
        <v>1000000000000</v>
      </c>
    </row>
    <row r="734" spans="1:59" ht="12.75" x14ac:dyDescent="0.2">
      <c r="A734" s="7" t="str">
        <f t="shared" ca="1" si="18"/>
        <v>679</v>
      </c>
      <c r="B734" s="7">
        <f ca="1">OFFSET(ORÇAMENTO!C$15,ROW(B734)-ROW(B$15),0)</f>
        <v>3</v>
      </c>
      <c r="C734" s="7" t="str">
        <f ca="1">OFFSET(ORÇAMENTO!L$15,ROW(C734)-ROW(C$15),0)</f>
        <v>F</v>
      </c>
      <c r="D734" s="118" t="str">
        <f ca="1">OFFSET(ORÇAMENTO!N$15,ROW(D734)-ROW(D$15),0)</f>
        <v>Nível 3</v>
      </c>
      <c r="E734" s="119" t="str">
        <f ca="1">OFFSET(ORÇAMENTO!O$15,ROW(E734)-ROW(E$15),0)</f>
        <v>1.24.7.</v>
      </c>
      <c r="F734" s="172" t="str">
        <f ca="1">OFFSET(ORÇAMENTO!R$15,ROW(F734)-ROW(F$15),0)</f>
        <v>REVESTIMENTO</v>
      </c>
      <c r="G734" s="173" t="str">
        <f ca="1">IF($D734&lt;&gt;"Serviço","",OFFSET(ORÇAMENTO!S$15,ROW(G734)-ROW(G$15),0))</f>
        <v/>
      </c>
      <c r="H734" s="124">
        <f ca="1">IF($D734&lt;&gt;"Serviço",0,IF(ACOMPANHAMENTO="BM",ROUND(OFFSET(ORÇAMENTO!AJ$15,ROW(H734)-ROW(H$15),0),15-13*ORÇAMENTO!$AF$7),SUMPRODUCT(($Q$12:$AA$12&lt;&gt;"")*ROUND($Q734:$AA734,15-13*ORÇAMENTO!$AF$7))))</f>
        <v>0</v>
      </c>
      <c r="I734" s="561"/>
      <c r="K734" s="174"/>
      <c r="L734" s="175" t="s">
        <v>255</v>
      </c>
      <c r="M734" s="176" t="str">
        <f ca="1">IF($D734&lt;&gt;"Serviço","",IF(AUTOEVENTO="manual",$A734,IF(ISERROR(MATCH($A734,$A$15:OFFSET($A734,-1,0),0)),MAX($M$15:OFFSET(M734,-1,0))+1,INDEX($M$15:OFFSET(M734,-1,0),MATCH($A734,$A$15:OFFSET($A734,-1,0),0)))))</f>
        <v/>
      </c>
      <c r="N734" s="177" t="str">
        <f ca="1">IF($D734&lt;&gt;"Serviço","",IF(AUTOEVENTO="Manual",IF($A734=0,"&lt;-- defina o número do agrupador",OFFSET(EVENTOS!$D$14,$A734,0)),OFFSET($F$15,$A734,0)))</f>
        <v/>
      </c>
      <c r="O734" s="178"/>
      <c r="Q734" s="178"/>
      <c r="R734" s="179"/>
      <c r="S734" s="179"/>
      <c r="T734" s="179"/>
      <c r="U734" s="179"/>
      <c r="V734" s="179"/>
      <c r="W734" s="179"/>
      <c r="X734" s="179"/>
      <c r="Y734" s="179"/>
      <c r="Z734" s="180"/>
      <c r="AB734" s="544">
        <f ca="1">IF(AND($D734="Serviço",AB$12&lt;&gt;0,$H734&gt;0,OR(AUTOEVENTO&lt;&gt;"manual",$M734&lt;&gt;1)),
IF(Import.TipoArredondamento&lt;&gt;"TransfereGOV",
ROUND(OFFSET($P734,0,AB$13),15-13*ORÇAMENTO!$AF$7)/$H734*OFFSET(ORÇAMENTO!$X$15,ROW(AB734)-ROW(AB$15),0),
ROUND(ROUND(OFFSET($P734,0,AB$13),15-13*ORÇAMENTO!$AF$7)*OFFSET(ORÇAMENTO!$W$15,ROW(AB734)-ROW(AB$15),0),15-13*ORÇAMENTO!$AF$11)),0)</f>
        <v>0</v>
      </c>
      <c r="AC734" s="545">
        <f ca="1">IF(AND($D734="Serviço",AC$12&lt;&gt;0,$H734&gt;0,OR(AUTOEVENTO&lt;&gt;"manual",$M734&lt;&gt;1)),
IF(Import.TipoArredondamento&lt;&gt;"TransfereGOV",
ROUND(OFFSET($P734,0,AC$13),15-13*ORÇAMENTO!$AF$7)/$H734*OFFSET(ORÇAMENTO!$X$15,ROW(AC734)-ROW(AC$15),0),
ROUND(ROUND(OFFSET($P734,0,AC$13),15-13*ORÇAMENTO!$AF$7)*OFFSET(ORÇAMENTO!$W$15,ROW(AC734)-ROW(AC$15),0),15-13*ORÇAMENTO!$AF$11)),0)</f>
        <v>0</v>
      </c>
      <c r="AD734" s="545">
        <f ca="1">IF(AND($D734="Serviço",AD$12&lt;&gt;0,$H734&gt;0,OR(AUTOEVENTO&lt;&gt;"manual",$M734&lt;&gt;1)),
IF(Import.TipoArredondamento&lt;&gt;"TransfereGOV",
ROUND(OFFSET($P734,0,AD$13),15-13*ORÇAMENTO!$AF$7)/$H734*OFFSET(ORÇAMENTO!$X$15,ROW(AD734)-ROW(AD$15),0),
ROUND(ROUND(OFFSET($P734,0,AD$13),15-13*ORÇAMENTO!$AF$7)*OFFSET(ORÇAMENTO!$W$15,ROW(AD734)-ROW(AD$15),0),15-13*ORÇAMENTO!$AF$11)),0)</f>
        <v>0</v>
      </c>
      <c r="AE734" s="545">
        <f ca="1">IF(AND($D734="Serviço",AE$12&lt;&gt;0,$H734&gt;0,OR(AUTOEVENTO&lt;&gt;"manual",$M734&lt;&gt;1)),
IF(Import.TipoArredondamento&lt;&gt;"TransfereGOV",
ROUND(OFFSET($P734,0,AE$13),15-13*ORÇAMENTO!$AF$7)/$H734*OFFSET(ORÇAMENTO!$X$15,ROW(AE734)-ROW(AE$15),0),
ROUND(ROUND(OFFSET($P734,0,AE$13),15-13*ORÇAMENTO!$AF$7)*OFFSET(ORÇAMENTO!$W$15,ROW(AE734)-ROW(AE$15),0),15-13*ORÇAMENTO!$AF$11)),0)</f>
        <v>0</v>
      </c>
      <c r="AF734" s="545">
        <f ca="1">IF(AND($D734="Serviço",AF$12&lt;&gt;0,$H734&gt;0,OR(AUTOEVENTO&lt;&gt;"manual",$M734&lt;&gt;1)),
IF(Import.TipoArredondamento&lt;&gt;"TransfereGOV",
ROUND(OFFSET($P734,0,AF$13),15-13*ORÇAMENTO!$AF$7)/$H734*OFFSET(ORÇAMENTO!$X$15,ROW(AF734)-ROW(AF$15),0),
ROUND(ROUND(OFFSET($P734,0,AF$13),15-13*ORÇAMENTO!$AF$7)*OFFSET(ORÇAMENTO!$W$15,ROW(AF734)-ROW(AF$15),0),15-13*ORÇAMENTO!$AF$11)),0)</f>
        <v>0</v>
      </c>
      <c r="AG734" s="545">
        <f ca="1">IF(AND($D734="Serviço",AG$12&lt;&gt;0,$H734&gt;0,OR(AUTOEVENTO&lt;&gt;"manual",$M734&lt;&gt;1)),
IF(Import.TipoArredondamento&lt;&gt;"TransfereGOV",
ROUND(OFFSET($P734,0,AG$13),15-13*ORÇAMENTO!$AF$7)/$H734*OFFSET(ORÇAMENTO!$X$15,ROW(AG734)-ROW(AG$15),0),
ROUND(ROUND(OFFSET($P734,0,AG$13),15-13*ORÇAMENTO!$AF$7)*OFFSET(ORÇAMENTO!$W$15,ROW(AG734)-ROW(AG$15),0),15-13*ORÇAMENTO!$AF$11)),0)</f>
        <v>0</v>
      </c>
      <c r="AH734" s="545">
        <f ca="1">IF(AND($D734="Serviço",AH$12&lt;&gt;0,$H734&gt;0,OR(AUTOEVENTO&lt;&gt;"manual",$M734&lt;&gt;1)),
IF(Import.TipoArredondamento&lt;&gt;"TransfereGOV",
ROUND(OFFSET($P734,0,AH$13),15-13*ORÇAMENTO!$AF$7)/$H734*OFFSET(ORÇAMENTO!$X$15,ROW(AH734)-ROW(AH$15),0),
ROUND(ROUND(OFFSET($P734,0,AH$13),15-13*ORÇAMENTO!$AF$7)*OFFSET(ORÇAMENTO!$W$15,ROW(AH734)-ROW(AH$15),0),15-13*ORÇAMENTO!$AF$11)),0)</f>
        <v>0</v>
      </c>
      <c r="AI734" s="545">
        <f ca="1">IF(AND($D734="Serviço",AI$12&lt;&gt;0,$H734&gt;0,OR(AUTOEVENTO&lt;&gt;"manual",$M734&lt;&gt;1)),
IF(Import.TipoArredondamento&lt;&gt;"TransfereGOV",
ROUND(OFFSET($P734,0,AI$13),15-13*ORÇAMENTO!$AF$7)/$H734*OFFSET(ORÇAMENTO!$X$15,ROW(AI734)-ROW(AI$15),0),
ROUND(ROUND(OFFSET($P734,0,AI$13),15-13*ORÇAMENTO!$AF$7)*OFFSET(ORÇAMENTO!$W$15,ROW(AI734)-ROW(AI$15),0),15-13*ORÇAMENTO!$AF$11)),0)</f>
        <v>0</v>
      </c>
      <c r="AJ734" s="545">
        <f ca="1">IF(AND($D734="Serviço",AJ$12&lt;&gt;0,$H734&gt;0,OR(AUTOEVENTO&lt;&gt;"manual",$M734&lt;&gt;1)),
IF(Import.TipoArredondamento&lt;&gt;"TransfereGOV",
ROUND(OFFSET($P734,0,AJ$13),15-13*ORÇAMENTO!$AF$7)/$H734*OFFSET(ORÇAMENTO!$X$15,ROW(AJ734)-ROW(AJ$15),0),
ROUND(ROUND(OFFSET($P734,0,AJ$13),15-13*ORÇAMENTO!$AF$7)*OFFSET(ORÇAMENTO!$W$15,ROW(AJ734)-ROW(AJ$15),0),15-13*ORÇAMENTO!$AF$11)),0)</f>
        <v>0</v>
      </c>
      <c r="AK734" s="546">
        <f ca="1">IF(AND($D734="Serviço",AK$12&lt;&gt;0,$H734&gt;0,OR(AUTOEVENTO&lt;&gt;"manual",$M734&lt;&gt;1)),
IF(Import.TipoArredondamento&lt;&gt;"TransfereGOV",
ROUND(OFFSET($P734,0,AK$13),15-13*ORÇAMENTO!$AF$7)/$H734*OFFSET(ORÇAMENTO!$X$15,ROW(AK734)-ROW(AK$15),0),
ROUND(ROUND(OFFSET($P734,0,AK$13),15-13*ORÇAMENTO!$AF$7)*OFFSET(ORÇAMENTO!$W$15,ROW(AK734)-ROW(AK$15),0),15-13*ORÇAMENTO!$AF$11)),0)</f>
        <v>0</v>
      </c>
      <c r="AM734" s="181">
        <f ca="1">IF($D734&lt;&gt;"Serviço",0,IF(AND(AUTOEVENTO="Manual",$M734=1),0,IF(OFFSET(CRONOPLE!$F$14,$M734,AM$13)="",10^12,OFFSET(CRONOPLE!$F$14,$M734,AM$13))))</f>
        <v>0</v>
      </c>
      <c r="AN734" s="181">
        <f ca="1">IF($D734&lt;&gt;"Serviço",0,IF(AND(AUTOEVENTO="Manual",$M734=1),0,IF(OFFSET(CRONOPLE!$F$14,$M734,AN$13)="",10^12,OFFSET(CRONOPLE!$F$14,$M734,AN$13))))</f>
        <v>0</v>
      </c>
      <c r="AO734" s="181">
        <f ca="1">IF($D734&lt;&gt;"Serviço",0,IF(AND(AUTOEVENTO="Manual",$M734=1),0,IF(OFFSET(CRONOPLE!$F$14,$M734,AO$13)="",10^12,OFFSET(CRONOPLE!$F$14,$M734,AO$13))))</f>
        <v>0</v>
      </c>
      <c r="AP734" s="181">
        <f ca="1">IF($D734&lt;&gt;"Serviço",0,IF(AND(AUTOEVENTO="Manual",$M734=1),0,IF(OFFSET(CRONOPLE!$F$14,$M734,AP$13)="",10^12,OFFSET(CRONOPLE!$F$14,$M734,AP$13))))</f>
        <v>0</v>
      </c>
      <c r="AQ734" s="181">
        <f ca="1">IF($D734&lt;&gt;"Serviço",0,IF(AND(AUTOEVENTO="Manual",$M734=1),0,IF(OFFSET(CRONOPLE!$F$14,$M734,AQ$13)="",10^12,OFFSET(CRONOPLE!$F$14,$M734,AQ$13))))</f>
        <v>0</v>
      </c>
      <c r="AR734" s="181">
        <f ca="1">IF($D734&lt;&gt;"Serviço",0,IF(AND(AUTOEVENTO="Manual",$M734=1),0,IF(OFFSET(CRONOPLE!$F$14,$M734,AR$13)="",10^12,OFFSET(CRONOPLE!$F$14,$M734,AR$13))))</f>
        <v>0</v>
      </c>
      <c r="AS734" s="181">
        <f ca="1">IF($D734&lt;&gt;"Serviço",0,IF(AND(AUTOEVENTO="Manual",$M734=1),0,IF(OFFSET(CRONOPLE!$F$14,$M734,AS$13)="",10^12,OFFSET(CRONOPLE!$F$14,$M734,AS$13))))</f>
        <v>0</v>
      </c>
      <c r="AT734" s="181">
        <f ca="1">IF($D734&lt;&gt;"Serviço",0,IF(AND(AUTOEVENTO="Manual",$M734=1),0,IF(OFFSET(CRONOPLE!$F$14,$M734,AT$13)="",10^12,OFFSET(CRONOPLE!$F$14,$M734,AT$13))))</f>
        <v>0</v>
      </c>
      <c r="AU734" s="181">
        <f ca="1">IF($D734&lt;&gt;"Serviço",0,IF(AND(AUTOEVENTO="Manual",$M734=1),0,IF(OFFSET(CRONOPLE!$F$14,$M734,AU$13)="",10^12,OFFSET(CRONOPLE!$F$14,$M734,AU$13))))</f>
        <v>0</v>
      </c>
      <c r="AV734" s="181">
        <f ca="1">IF($D734&lt;&gt;"Serviço",0,IF(AND(AUTOEVENTO="Manual",$M734=1),0,IF(OFFSET(CRONOPLE!$F$14,$M734,AV$13)="",10^12,OFFSET(CRONOPLE!$F$14,$M734,AV$13))))</f>
        <v>0</v>
      </c>
      <c r="AX734" s="182">
        <f ca="1">IF($D734&lt;&gt;"Serviço",0,IF(OR(AND(AUTOEVENTO="Manual",$M734=1),$M734&gt;(ROW(PLE.lastrow)-ROW(PLE.firstrow))),0,IF(OFFSET(PLE!$G$14,$M734,AX$13)="",10^12,OFFSET(PLE!$G$14,$M734,AX$13))))</f>
        <v>0</v>
      </c>
      <c r="AY734" s="182">
        <f ca="1">IF($D734&lt;&gt;"Serviço",0,IF(OR(AND(AUTOEVENTO="Manual",$M734=1),$M734&gt;(ROW(PLE.lastrow)-ROW(PLE.firstrow))),0,IF(OFFSET(PLE!$G$14,$M734,AY$13)="",10^12,OFFSET(PLE!$G$14,$M734,AY$13))))</f>
        <v>0</v>
      </c>
      <c r="AZ734" s="182">
        <f ca="1">IF($D734&lt;&gt;"Serviço",0,IF(OR(AND(AUTOEVENTO="Manual",$M734=1),$M734&gt;(ROW(PLE.lastrow)-ROW(PLE.firstrow))),0,IF(OFFSET(PLE!$G$14,$M734,AZ$13)="",10^12,OFFSET(PLE!$G$14,$M734,AZ$13))))</f>
        <v>0</v>
      </c>
      <c r="BA734" s="182">
        <f ca="1">IF($D734&lt;&gt;"Serviço",0,IF(OR(AND(AUTOEVENTO="Manual",$M734=1),$M734&gt;(ROW(PLE.lastrow)-ROW(PLE.firstrow))),0,IF(OFFSET(PLE!$G$14,$M734,BA$13)="",10^12,OFFSET(PLE!$G$14,$M734,BA$13))))</f>
        <v>0</v>
      </c>
      <c r="BB734" s="182">
        <f ca="1">IF($D734&lt;&gt;"Serviço",0,IF(OR(AND(AUTOEVENTO="Manual",$M734=1),$M734&gt;(ROW(PLE.lastrow)-ROW(PLE.firstrow))),0,IF(OFFSET(PLE!$G$14,$M734,BB$13)="",10^12,OFFSET(PLE!$G$14,$M734,BB$13))))</f>
        <v>0</v>
      </c>
      <c r="BC734" s="182">
        <f ca="1">IF($D734&lt;&gt;"Serviço",0,IF(OR(AND(AUTOEVENTO="Manual",$M734=1),$M734&gt;(ROW(PLE.lastrow)-ROW(PLE.firstrow))),0,IF(OFFSET(PLE!$G$14,$M734,BC$13)="",10^12,OFFSET(PLE!$G$14,$M734,BC$13))))</f>
        <v>0</v>
      </c>
      <c r="BD734" s="182">
        <f ca="1">IF($D734&lt;&gt;"Serviço",0,IF(OR(AND(AUTOEVENTO="Manual",$M734=1),$M734&gt;(ROW(PLE.lastrow)-ROW(PLE.firstrow))),0,IF(OFFSET(PLE!$G$14,$M734,BD$13)="",10^12,OFFSET(PLE!$G$14,$M734,BD$13))))</f>
        <v>0</v>
      </c>
      <c r="BE734" s="182">
        <f ca="1">IF($D734&lt;&gt;"Serviço",0,IF(OR(AND(AUTOEVENTO="Manual",$M734=1),$M734&gt;(ROW(PLE.lastrow)-ROW(PLE.firstrow))),0,IF(OFFSET(PLE!$G$14,$M734,BE$13)="",10^12,OFFSET(PLE!$G$14,$M734,BE$13))))</f>
        <v>0</v>
      </c>
      <c r="BF734" s="182">
        <f ca="1">IF($D734&lt;&gt;"Serviço",0,IF(OR(AND(AUTOEVENTO="Manual",$M734=1),$M734&gt;(ROW(PLE.lastrow)-ROW(PLE.firstrow))),0,IF(OFFSET(PLE!$G$14,$M734,BF$13)="",10^12,OFFSET(PLE!$G$14,$M734,BF$13))))</f>
        <v>0</v>
      </c>
      <c r="BG734" s="182">
        <f ca="1">IF($D734&lt;&gt;"Serviço",0,IF(OR(AND(AUTOEVENTO="Manual",$M734=1),$M734&gt;(ROW(PLE.lastrow)-ROW(PLE.firstrow))),0,IF(OFFSET(PLE!$G$14,$M734,BG$13)="",10^12,OFFSET(PLE!$G$14,$M734,BG$13))))</f>
        <v>0</v>
      </c>
    </row>
    <row r="735" spans="1:59" ht="38.25" x14ac:dyDescent="0.2">
      <c r="A735" s="7" t="str">
        <f t="shared" ca="1" si="18"/>
        <v>679</v>
      </c>
      <c r="B735" s="7" t="str">
        <f ca="1">OFFSET(ORÇAMENTO!C$15,ROW(B735)-ROW(B$15),0)</f>
        <v>S</v>
      </c>
      <c r="C735" s="7" t="str">
        <f ca="1">OFFSET(ORÇAMENTO!L$15,ROW(C735)-ROW(C$15),0)</f>
        <v/>
      </c>
      <c r="D735" s="118" t="str">
        <f ca="1">OFFSET(ORÇAMENTO!N$15,ROW(D735)-ROW(D$15),0)</f>
        <v>Serviço</v>
      </c>
      <c r="E735" s="119" t="str">
        <f ca="1">OFFSET(ORÇAMENTO!O$15,ROW(E735)-ROW(E$15),0)</f>
        <v>-</v>
      </c>
      <c r="F735" s="172" t="str">
        <f ca="1">OFFSET(ORÇAMENTO!R$15,ROW(F735)-ROW(F$15),0)</f>
        <v>(abra o arquivo 'Referência 02-2025.xlsm)</v>
      </c>
      <c r="G735" s="173" t="str">
        <f ca="1">IF($D735&lt;&gt;"Serviço","",OFFSET(ORÇAMENTO!S$15,ROW(G735)-ROW(G$15),0))</f>
        <v>-</v>
      </c>
      <c r="H735" s="124">
        <f ca="1">IF($D735&lt;&gt;"Serviço",0,IF(ACOMPANHAMENTO="BM",ROUND(OFFSET(ORÇAMENTO!AJ$15,ROW(H735)-ROW(H$15),0),15-13*ORÇAMENTO!$AF$7),SUMPRODUCT(($Q$12:$AA$12&lt;&gt;"")*ROUND($Q735:$AA735,15-13*ORÇAMENTO!$AF$7))))</f>
        <v>374.87</v>
      </c>
      <c r="I735" s="561" t="s">
        <v>890</v>
      </c>
      <c r="K735" s="174"/>
      <c r="L735" s="175" t="s">
        <v>255</v>
      </c>
      <c r="M735" s="176">
        <f ca="1">IF($D735&lt;&gt;"Serviço","",IF(AUTOEVENTO="manual",$A735,IF(ISERROR(MATCH($A735,$A$15:OFFSET($A735,-1,0),0)),MAX($M$15:OFFSET(M735,-1,0))+1,INDEX($M$15:OFFSET(M735,-1,0),MATCH($A735,$A$15:OFFSET($A735,-1,0),0)))))</f>
        <v>25</v>
      </c>
      <c r="N735" s="177" t="str">
        <f ca="1">IF($D735&lt;&gt;"Serviço","",IF(AUTOEVENTO="Manual",IF($A735=0,"&lt;-- defina o número do agrupador",OFFSET(EVENTOS!$D$14,$A735,0)),OFFSET($F$15,$A735,0)))</f>
        <v>FECHAMENTO - MURO</v>
      </c>
      <c r="O735" s="178"/>
      <c r="Q735" s="178"/>
      <c r="R735" s="179"/>
      <c r="S735" s="179"/>
      <c r="T735" s="179"/>
      <c r="U735" s="179"/>
      <c r="V735" s="179"/>
      <c r="W735" s="179"/>
      <c r="X735" s="179"/>
      <c r="Y735" s="179"/>
      <c r="Z735" s="180"/>
      <c r="AB735" s="544">
        <f ca="1">IF(AND($D735="Serviço",AB$12&lt;&gt;0,$H735&gt;0,OR(AUTOEVENTO&lt;&gt;"manual",$M735&lt;&gt;1)),
IF(Import.TipoArredondamento&lt;&gt;"TransfereGOV",
ROUND(OFFSET($P735,0,AB$13),15-13*ORÇAMENTO!$AF$7)/$H735*OFFSET(ORÇAMENTO!$X$15,ROW(AB735)-ROW(AB$15),0),
ROUND(ROUND(OFFSET($P735,0,AB$13),15-13*ORÇAMENTO!$AF$7)*OFFSET(ORÇAMENTO!$W$15,ROW(AB735)-ROW(AB$15),0),15-13*ORÇAMENTO!$AF$11)),0)</f>
        <v>0</v>
      </c>
      <c r="AC735" s="545">
        <f ca="1">IF(AND($D735="Serviço",AC$12&lt;&gt;0,$H735&gt;0,OR(AUTOEVENTO&lt;&gt;"manual",$M735&lt;&gt;1)),
IF(Import.TipoArredondamento&lt;&gt;"TransfereGOV",
ROUND(OFFSET($P735,0,AC$13),15-13*ORÇAMENTO!$AF$7)/$H735*OFFSET(ORÇAMENTO!$X$15,ROW(AC735)-ROW(AC$15),0),
ROUND(ROUND(OFFSET($P735,0,AC$13),15-13*ORÇAMENTO!$AF$7)*OFFSET(ORÇAMENTO!$W$15,ROW(AC735)-ROW(AC$15),0),15-13*ORÇAMENTO!$AF$11)),0)</f>
        <v>0</v>
      </c>
      <c r="AD735" s="545">
        <f ca="1">IF(AND($D735="Serviço",AD$12&lt;&gt;0,$H735&gt;0,OR(AUTOEVENTO&lt;&gt;"manual",$M735&lt;&gt;1)),
IF(Import.TipoArredondamento&lt;&gt;"TransfereGOV",
ROUND(OFFSET($P735,0,AD$13),15-13*ORÇAMENTO!$AF$7)/$H735*OFFSET(ORÇAMENTO!$X$15,ROW(AD735)-ROW(AD$15),0),
ROUND(ROUND(OFFSET($P735,0,AD$13),15-13*ORÇAMENTO!$AF$7)*OFFSET(ORÇAMENTO!$W$15,ROW(AD735)-ROW(AD$15),0),15-13*ORÇAMENTO!$AF$11)),0)</f>
        <v>0</v>
      </c>
      <c r="AE735" s="545">
        <f ca="1">IF(AND($D735="Serviço",AE$12&lt;&gt;0,$H735&gt;0,OR(AUTOEVENTO&lt;&gt;"manual",$M735&lt;&gt;1)),
IF(Import.TipoArredondamento&lt;&gt;"TransfereGOV",
ROUND(OFFSET($P735,0,AE$13),15-13*ORÇAMENTO!$AF$7)/$H735*OFFSET(ORÇAMENTO!$X$15,ROW(AE735)-ROW(AE$15),0),
ROUND(ROUND(OFFSET($P735,0,AE$13),15-13*ORÇAMENTO!$AF$7)*OFFSET(ORÇAMENTO!$W$15,ROW(AE735)-ROW(AE$15),0),15-13*ORÇAMENTO!$AF$11)),0)</f>
        <v>0</v>
      </c>
      <c r="AF735" s="545">
        <f ca="1">IF(AND($D735="Serviço",AF$12&lt;&gt;0,$H735&gt;0,OR(AUTOEVENTO&lt;&gt;"manual",$M735&lt;&gt;1)),
IF(Import.TipoArredondamento&lt;&gt;"TransfereGOV",
ROUND(OFFSET($P735,0,AF$13),15-13*ORÇAMENTO!$AF$7)/$H735*OFFSET(ORÇAMENTO!$X$15,ROW(AF735)-ROW(AF$15),0),
ROUND(ROUND(OFFSET($P735,0,AF$13),15-13*ORÇAMENTO!$AF$7)*OFFSET(ORÇAMENTO!$W$15,ROW(AF735)-ROW(AF$15),0),15-13*ORÇAMENTO!$AF$11)),0)</f>
        <v>0</v>
      </c>
      <c r="AG735" s="545">
        <f ca="1">IF(AND($D735="Serviço",AG$12&lt;&gt;0,$H735&gt;0,OR(AUTOEVENTO&lt;&gt;"manual",$M735&lt;&gt;1)),
IF(Import.TipoArredondamento&lt;&gt;"TransfereGOV",
ROUND(OFFSET($P735,0,AG$13),15-13*ORÇAMENTO!$AF$7)/$H735*OFFSET(ORÇAMENTO!$X$15,ROW(AG735)-ROW(AG$15),0),
ROUND(ROUND(OFFSET($P735,0,AG$13),15-13*ORÇAMENTO!$AF$7)*OFFSET(ORÇAMENTO!$W$15,ROW(AG735)-ROW(AG$15),0),15-13*ORÇAMENTO!$AF$11)),0)</f>
        <v>0</v>
      </c>
      <c r="AH735" s="545">
        <f ca="1">IF(AND($D735="Serviço",AH$12&lt;&gt;0,$H735&gt;0,OR(AUTOEVENTO&lt;&gt;"manual",$M735&lt;&gt;1)),
IF(Import.TipoArredondamento&lt;&gt;"TransfereGOV",
ROUND(OFFSET($P735,0,AH$13),15-13*ORÇAMENTO!$AF$7)/$H735*OFFSET(ORÇAMENTO!$X$15,ROW(AH735)-ROW(AH$15),0),
ROUND(ROUND(OFFSET($P735,0,AH$13),15-13*ORÇAMENTO!$AF$7)*OFFSET(ORÇAMENTO!$W$15,ROW(AH735)-ROW(AH$15),0),15-13*ORÇAMENTO!$AF$11)),0)</f>
        <v>0</v>
      </c>
      <c r="AI735" s="545">
        <f ca="1">IF(AND($D735="Serviço",AI$12&lt;&gt;0,$H735&gt;0,OR(AUTOEVENTO&lt;&gt;"manual",$M735&lt;&gt;1)),
IF(Import.TipoArredondamento&lt;&gt;"TransfereGOV",
ROUND(OFFSET($P735,0,AI$13),15-13*ORÇAMENTO!$AF$7)/$H735*OFFSET(ORÇAMENTO!$X$15,ROW(AI735)-ROW(AI$15),0),
ROUND(ROUND(OFFSET($P735,0,AI$13),15-13*ORÇAMENTO!$AF$7)*OFFSET(ORÇAMENTO!$W$15,ROW(AI735)-ROW(AI$15),0),15-13*ORÇAMENTO!$AF$11)),0)</f>
        <v>0</v>
      </c>
      <c r="AJ735" s="545">
        <f ca="1">IF(AND($D735="Serviço",AJ$12&lt;&gt;0,$H735&gt;0,OR(AUTOEVENTO&lt;&gt;"manual",$M735&lt;&gt;1)),
IF(Import.TipoArredondamento&lt;&gt;"TransfereGOV",
ROUND(OFFSET($P735,0,AJ$13),15-13*ORÇAMENTO!$AF$7)/$H735*OFFSET(ORÇAMENTO!$X$15,ROW(AJ735)-ROW(AJ$15),0),
ROUND(ROUND(OFFSET($P735,0,AJ$13),15-13*ORÇAMENTO!$AF$7)*OFFSET(ORÇAMENTO!$W$15,ROW(AJ735)-ROW(AJ$15),0),15-13*ORÇAMENTO!$AF$11)),0)</f>
        <v>0</v>
      </c>
      <c r="AK735" s="546">
        <f ca="1">IF(AND($D735="Serviço",AK$12&lt;&gt;0,$H735&gt;0,OR(AUTOEVENTO&lt;&gt;"manual",$M735&lt;&gt;1)),
IF(Import.TipoArredondamento&lt;&gt;"TransfereGOV",
ROUND(OFFSET($P735,0,AK$13),15-13*ORÇAMENTO!$AF$7)/$H735*OFFSET(ORÇAMENTO!$X$15,ROW(AK735)-ROW(AK$15),0),
ROUND(ROUND(OFFSET($P735,0,AK$13),15-13*ORÇAMENTO!$AF$7)*OFFSET(ORÇAMENTO!$W$15,ROW(AK735)-ROW(AK$15),0),15-13*ORÇAMENTO!$AF$11)),0)</f>
        <v>0</v>
      </c>
      <c r="AM735" s="181">
        <f ca="1">IF($D735&lt;&gt;"Serviço",0,IF(AND(AUTOEVENTO="Manual",$M735=1),0,IF(OFFSET(CRONOPLE!$F$14,$M735,AM$13)="",10^12,OFFSET(CRONOPLE!$F$14,$M735,AM$13))))</f>
        <v>1000000000000</v>
      </c>
      <c r="AN735" s="181">
        <f ca="1">IF($D735&lt;&gt;"Serviço",0,IF(AND(AUTOEVENTO="Manual",$M735=1),0,IF(OFFSET(CRONOPLE!$F$14,$M735,AN$13)="",10^12,OFFSET(CRONOPLE!$F$14,$M735,AN$13))))</f>
        <v>1000000000000</v>
      </c>
      <c r="AO735" s="181">
        <f ca="1">IF($D735&lt;&gt;"Serviço",0,IF(AND(AUTOEVENTO="Manual",$M735=1),0,IF(OFFSET(CRONOPLE!$F$14,$M735,AO$13)="",10^12,OFFSET(CRONOPLE!$F$14,$M735,AO$13))))</f>
        <v>1000000000000</v>
      </c>
      <c r="AP735" s="181">
        <f ca="1">IF($D735&lt;&gt;"Serviço",0,IF(AND(AUTOEVENTO="Manual",$M735=1),0,IF(OFFSET(CRONOPLE!$F$14,$M735,AP$13)="",10^12,OFFSET(CRONOPLE!$F$14,$M735,AP$13))))</f>
        <v>1000000000000</v>
      </c>
      <c r="AQ735" s="181">
        <f ca="1">IF($D735&lt;&gt;"Serviço",0,IF(AND(AUTOEVENTO="Manual",$M735=1),0,IF(OFFSET(CRONOPLE!$F$14,$M735,AQ$13)="",10^12,OFFSET(CRONOPLE!$F$14,$M735,AQ$13))))</f>
        <v>1000000000000</v>
      </c>
      <c r="AR735" s="181">
        <f ca="1">IF($D735&lt;&gt;"Serviço",0,IF(AND(AUTOEVENTO="Manual",$M735=1),0,IF(OFFSET(CRONOPLE!$F$14,$M735,AR$13)="",10^12,OFFSET(CRONOPLE!$F$14,$M735,AR$13))))</f>
        <v>1000000000000</v>
      </c>
      <c r="AS735" s="181">
        <f ca="1">IF($D735&lt;&gt;"Serviço",0,IF(AND(AUTOEVENTO="Manual",$M735=1),0,IF(OFFSET(CRONOPLE!$F$14,$M735,AS$13)="",10^12,OFFSET(CRONOPLE!$F$14,$M735,AS$13))))</f>
        <v>1000000000000</v>
      </c>
      <c r="AT735" s="181">
        <f ca="1">IF($D735&lt;&gt;"Serviço",0,IF(AND(AUTOEVENTO="Manual",$M735=1),0,IF(OFFSET(CRONOPLE!$F$14,$M735,AT$13)="",10^12,OFFSET(CRONOPLE!$F$14,$M735,AT$13))))</f>
        <v>1000000000000</v>
      </c>
      <c r="AU735" s="181">
        <f ca="1">IF($D735&lt;&gt;"Serviço",0,IF(AND(AUTOEVENTO="Manual",$M735=1),0,IF(OFFSET(CRONOPLE!$F$14,$M735,AU$13)="",10^12,OFFSET(CRONOPLE!$F$14,$M735,AU$13))))</f>
        <v>1000000000000</v>
      </c>
      <c r="AV735" s="181">
        <f ca="1">IF($D735&lt;&gt;"Serviço",0,IF(AND(AUTOEVENTO="Manual",$M735=1),0,IF(OFFSET(CRONOPLE!$F$14,$M735,AV$13)="",10^12,OFFSET(CRONOPLE!$F$14,$M735,AV$13))))</f>
        <v>1000000000000</v>
      </c>
      <c r="AX735" s="182">
        <f ca="1">IF($D735&lt;&gt;"Serviço",0,IF(OR(AND(AUTOEVENTO="Manual",$M735=1),$M735&gt;(ROW(PLE.lastrow)-ROW(PLE.firstrow))),0,IF(OFFSET(PLE!$G$14,$M735,AX$13)="",10^12,OFFSET(PLE!$G$14,$M735,AX$13))))</f>
        <v>1000000000000</v>
      </c>
      <c r="AY735" s="182">
        <f ca="1">IF($D735&lt;&gt;"Serviço",0,IF(OR(AND(AUTOEVENTO="Manual",$M735=1),$M735&gt;(ROW(PLE.lastrow)-ROW(PLE.firstrow))),0,IF(OFFSET(PLE!$G$14,$M735,AY$13)="",10^12,OFFSET(PLE!$G$14,$M735,AY$13))))</f>
        <v>1000000000000</v>
      </c>
      <c r="AZ735" s="182">
        <f ca="1">IF($D735&lt;&gt;"Serviço",0,IF(OR(AND(AUTOEVENTO="Manual",$M735=1),$M735&gt;(ROW(PLE.lastrow)-ROW(PLE.firstrow))),0,IF(OFFSET(PLE!$G$14,$M735,AZ$13)="",10^12,OFFSET(PLE!$G$14,$M735,AZ$13))))</f>
        <v>1000000000000</v>
      </c>
      <c r="BA735" s="182">
        <f ca="1">IF($D735&lt;&gt;"Serviço",0,IF(OR(AND(AUTOEVENTO="Manual",$M735=1),$M735&gt;(ROW(PLE.lastrow)-ROW(PLE.firstrow))),0,IF(OFFSET(PLE!$G$14,$M735,BA$13)="",10^12,OFFSET(PLE!$G$14,$M735,BA$13))))</f>
        <v>1000000000000</v>
      </c>
      <c r="BB735" s="182">
        <f ca="1">IF($D735&lt;&gt;"Serviço",0,IF(OR(AND(AUTOEVENTO="Manual",$M735=1),$M735&gt;(ROW(PLE.lastrow)-ROW(PLE.firstrow))),0,IF(OFFSET(PLE!$G$14,$M735,BB$13)="",10^12,OFFSET(PLE!$G$14,$M735,BB$13))))</f>
        <v>1000000000000</v>
      </c>
      <c r="BC735" s="182">
        <f ca="1">IF($D735&lt;&gt;"Serviço",0,IF(OR(AND(AUTOEVENTO="Manual",$M735=1),$M735&gt;(ROW(PLE.lastrow)-ROW(PLE.firstrow))),0,IF(OFFSET(PLE!$G$14,$M735,BC$13)="",10^12,OFFSET(PLE!$G$14,$M735,BC$13))))</f>
        <v>1000000000000</v>
      </c>
      <c r="BD735" s="182">
        <f ca="1">IF($D735&lt;&gt;"Serviço",0,IF(OR(AND(AUTOEVENTO="Manual",$M735=1),$M735&gt;(ROW(PLE.lastrow)-ROW(PLE.firstrow))),0,IF(OFFSET(PLE!$G$14,$M735,BD$13)="",10^12,OFFSET(PLE!$G$14,$M735,BD$13))))</f>
        <v>1000000000000</v>
      </c>
      <c r="BE735" s="182">
        <f ca="1">IF($D735&lt;&gt;"Serviço",0,IF(OR(AND(AUTOEVENTO="Manual",$M735=1),$M735&gt;(ROW(PLE.lastrow)-ROW(PLE.firstrow))),0,IF(OFFSET(PLE!$G$14,$M735,BE$13)="",10^12,OFFSET(PLE!$G$14,$M735,BE$13))))</f>
        <v>1000000000000</v>
      </c>
      <c r="BF735" s="182">
        <f ca="1">IF($D735&lt;&gt;"Serviço",0,IF(OR(AND(AUTOEVENTO="Manual",$M735=1),$M735&gt;(ROW(PLE.lastrow)-ROW(PLE.firstrow))),0,IF(OFFSET(PLE!$G$14,$M735,BF$13)="",10^12,OFFSET(PLE!$G$14,$M735,BF$13))))</f>
        <v>1000000000000</v>
      </c>
      <c r="BG735" s="182">
        <f ca="1">IF($D735&lt;&gt;"Serviço",0,IF(OR(AND(AUTOEVENTO="Manual",$M735=1),$M735&gt;(ROW(PLE.lastrow)-ROW(PLE.firstrow))),0,IF(OFFSET(PLE!$G$14,$M735,BG$13)="",10^12,OFFSET(PLE!$G$14,$M735,BG$13))))</f>
        <v>1000000000000</v>
      </c>
    </row>
    <row r="736" spans="1:59" ht="38.25" x14ac:dyDescent="0.2">
      <c r="A736" s="7" t="str">
        <f t="shared" ca="1" si="18"/>
        <v>679</v>
      </c>
      <c r="B736" s="7" t="str">
        <f ca="1">OFFSET(ORÇAMENTO!C$15,ROW(B736)-ROW(B$15),0)</f>
        <v>S</v>
      </c>
      <c r="C736" s="7" t="str">
        <f ca="1">OFFSET(ORÇAMENTO!L$15,ROW(C736)-ROW(C$15),0)</f>
        <v/>
      </c>
      <c r="D736" s="118" t="str">
        <f ca="1">OFFSET(ORÇAMENTO!N$15,ROW(D736)-ROW(D$15),0)</f>
        <v>Serviço</v>
      </c>
      <c r="E736" s="119" t="str">
        <f ca="1">OFFSET(ORÇAMENTO!O$15,ROW(E736)-ROW(E$15),0)</f>
        <v>-</v>
      </c>
      <c r="F736" s="172" t="str">
        <f ca="1">OFFSET(ORÇAMENTO!R$15,ROW(F736)-ROW(F$15),0)</f>
        <v>(abra o arquivo 'Referência 02-2025.xlsm)</v>
      </c>
      <c r="G736" s="173" t="str">
        <f ca="1">IF($D736&lt;&gt;"Serviço","",OFFSET(ORÇAMENTO!S$15,ROW(G736)-ROW(G$15),0))</f>
        <v>-</v>
      </c>
      <c r="H736" s="124">
        <f ca="1">IF($D736&lt;&gt;"Serviço",0,IF(ACOMPANHAMENTO="BM",ROUND(OFFSET(ORÇAMENTO!AJ$15,ROW(H736)-ROW(H$15),0),15-13*ORÇAMENTO!$AF$7),SUMPRODUCT(($Q$12:$AA$12&lt;&gt;"")*ROUND($Q736:$AA736,15-13*ORÇAMENTO!$AF$7))))</f>
        <v>374.87</v>
      </c>
      <c r="I736" s="561" t="s">
        <v>890</v>
      </c>
      <c r="K736" s="174"/>
      <c r="L736" s="175" t="s">
        <v>255</v>
      </c>
      <c r="M736" s="176">
        <f ca="1">IF($D736&lt;&gt;"Serviço","",IF(AUTOEVENTO="manual",$A736,IF(ISERROR(MATCH($A736,$A$15:OFFSET($A736,-1,0),0)),MAX($M$15:OFFSET(M736,-1,0))+1,INDEX($M$15:OFFSET(M736,-1,0),MATCH($A736,$A$15:OFFSET($A736,-1,0),0)))))</f>
        <v>25</v>
      </c>
      <c r="N736" s="177" t="str">
        <f ca="1">IF($D736&lt;&gt;"Serviço","",IF(AUTOEVENTO="Manual",IF($A736=0,"&lt;-- defina o número do agrupador",OFFSET(EVENTOS!$D$14,$A736,0)),OFFSET($F$15,$A736,0)))</f>
        <v>FECHAMENTO - MURO</v>
      </c>
      <c r="O736" s="178"/>
      <c r="Q736" s="178"/>
      <c r="R736" s="179"/>
      <c r="S736" s="179"/>
      <c r="T736" s="179"/>
      <c r="U736" s="179"/>
      <c r="V736" s="179"/>
      <c r="W736" s="179"/>
      <c r="X736" s="179"/>
      <c r="Y736" s="179"/>
      <c r="Z736" s="180"/>
      <c r="AB736" s="544">
        <f ca="1">IF(AND($D736="Serviço",AB$12&lt;&gt;0,$H736&gt;0,OR(AUTOEVENTO&lt;&gt;"manual",$M736&lt;&gt;1)),
IF(Import.TipoArredondamento&lt;&gt;"TransfereGOV",
ROUND(OFFSET($P736,0,AB$13),15-13*ORÇAMENTO!$AF$7)/$H736*OFFSET(ORÇAMENTO!$X$15,ROW(AB736)-ROW(AB$15),0),
ROUND(ROUND(OFFSET($P736,0,AB$13),15-13*ORÇAMENTO!$AF$7)*OFFSET(ORÇAMENTO!$W$15,ROW(AB736)-ROW(AB$15),0),15-13*ORÇAMENTO!$AF$11)),0)</f>
        <v>0</v>
      </c>
      <c r="AC736" s="545">
        <f ca="1">IF(AND($D736="Serviço",AC$12&lt;&gt;0,$H736&gt;0,OR(AUTOEVENTO&lt;&gt;"manual",$M736&lt;&gt;1)),
IF(Import.TipoArredondamento&lt;&gt;"TransfereGOV",
ROUND(OFFSET($P736,0,AC$13),15-13*ORÇAMENTO!$AF$7)/$H736*OFFSET(ORÇAMENTO!$X$15,ROW(AC736)-ROW(AC$15),0),
ROUND(ROUND(OFFSET($P736,0,AC$13),15-13*ORÇAMENTO!$AF$7)*OFFSET(ORÇAMENTO!$W$15,ROW(AC736)-ROW(AC$15),0),15-13*ORÇAMENTO!$AF$11)),0)</f>
        <v>0</v>
      </c>
      <c r="AD736" s="545">
        <f ca="1">IF(AND($D736="Serviço",AD$12&lt;&gt;0,$H736&gt;0,OR(AUTOEVENTO&lt;&gt;"manual",$M736&lt;&gt;1)),
IF(Import.TipoArredondamento&lt;&gt;"TransfereGOV",
ROUND(OFFSET($P736,0,AD$13),15-13*ORÇAMENTO!$AF$7)/$H736*OFFSET(ORÇAMENTO!$X$15,ROW(AD736)-ROW(AD$15),0),
ROUND(ROUND(OFFSET($P736,0,AD$13),15-13*ORÇAMENTO!$AF$7)*OFFSET(ORÇAMENTO!$W$15,ROW(AD736)-ROW(AD$15),0),15-13*ORÇAMENTO!$AF$11)),0)</f>
        <v>0</v>
      </c>
      <c r="AE736" s="545">
        <f ca="1">IF(AND($D736="Serviço",AE$12&lt;&gt;0,$H736&gt;0,OR(AUTOEVENTO&lt;&gt;"manual",$M736&lt;&gt;1)),
IF(Import.TipoArredondamento&lt;&gt;"TransfereGOV",
ROUND(OFFSET($P736,0,AE$13),15-13*ORÇAMENTO!$AF$7)/$H736*OFFSET(ORÇAMENTO!$X$15,ROW(AE736)-ROW(AE$15),0),
ROUND(ROUND(OFFSET($P736,0,AE$13),15-13*ORÇAMENTO!$AF$7)*OFFSET(ORÇAMENTO!$W$15,ROW(AE736)-ROW(AE$15),0),15-13*ORÇAMENTO!$AF$11)),0)</f>
        <v>0</v>
      </c>
      <c r="AF736" s="545">
        <f ca="1">IF(AND($D736="Serviço",AF$12&lt;&gt;0,$H736&gt;0,OR(AUTOEVENTO&lt;&gt;"manual",$M736&lt;&gt;1)),
IF(Import.TipoArredondamento&lt;&gt;"TransfereGOV",
ROUND(OFFSET($P736,0,AF$13),15-13*ORÇAMENTO!$AF$7)/$H736*OFFSET(ORÇAMENTO!$X$15,ROW(AF736)-ROW(AF$15),0),
ROUND(ROUND(OFFSET($P736,0,AF$13),15-13*ORÇAMENTO!$AF$7)*OFFSET(ORÇAMENTO!$W$15,ROW(AF736)-ROW(AF$15),0),15-13*ORÇAMENTO!$AF$11)),0)</f>
        <v>0</v>
      </c>
      <c r="AG736" s="545">
        <f ca="1">IF(AND($D736="Serviço",AG$12&lt;&gt;0,$H736&gt;0,OR(AUTOEVENTO&lt;&gt;"manual",$M736&lt;&gt;1)),
IF(Import.TipoArredondamento&lt;&gt;"TransfereGOV",
ROUND(OFFSET($P736,0,AG$13),15-13*ORÇAMENTO!$AF$7)/$H736*OFFSET(ORÇAMENTO!$X$15,ROW(AG736)-ROW(AG$15),0),
ROUND(ROUND(OFFSET($P736,0,AG$13),15-13*ORÇAMENTO!$AF$7)*OFFSET(ORÇAMENTO!$W$15,ROW(AG736)-ROW(AG$15),0),15-13*ORÇAMENTO!$AF$11)),0)</f>
        <v>0</v>
      </c>
      <c r="AH736" s="545">
        <f ca="1">IF(AND($D736="Serviço",AH$12&lt;&gt;0,$H736&gt;0,OR(AUTOEVENTO&lt;&gt;"manual",$M736&lt;&gt;1)),
IF(Import.TipoArredondamento&lt;&gt;"TransfereGOV",
ROUND(OFFSET($P736,0,AH$13),15-13*ORÇAMENTO!$AF$7)/$H736*OFFSET(ORÇAMENTO!$X$15,ROW(AH736)-ROW(AH$15),0),
ROUND(ROUND(OFFSET($P736,0,AH$13),15-13*ORÇAMENTO!$AF$7)*OFFSET(ORÇAMENTO!$W$15,ROW(AH736)-ROW(AH$15),0),15-13*ORÇAMENTO!$AF$11)),0)</f>
        <v>0</v>
      </c>
      <c r="AI736" s="545">
        <f ca="1">IF(AND($D736="Serviço",AI$12&lt;&gt;0,$H736&gt;0,OR(AUTOEVENTO&lt;&gt;"manual",$M736&lt;&gt;1)),
IF(Import.TipoArredondamento&lt;&gt;"TransfereGOV",
ROUND(OFFSET($P736,0,AI$13),15-13*ORÇAMENTO!$AF$7)/$H736*OFFSET(ORÇAMENTO!$X$15,ROW(AI736)-ROW(AI$15),0),
ROUND(ROUND(OFFSET($P736,0,AI$13),15-13*ORÇAMENTO!$AF$7)*OFFSET(ORÇAMENTO!$W$15,ROW(AI736)-ROW(AI$15),0),15-13*ORÇAMENTO!$AF$11)),0)</f>
        <v>0</v>
      </c>
      <c r="AJ736" s="545">
        <f ca="1">IF(AND($D736="Serviço",AJ$12&lt;&gt;0,$H736&gt;0,OR(AUTOEVENTO&lt;&gt;"manual",$M736&lt;&gt;1)),
IF(Import.TipoArredondamento&lt;&gt;"TransfereGOV",
ROUND(OFFSET($P736,0,AJ$13),15-13*ORÇAMENTO!$AF$7)/$H736*OFFSET(ORÇAMENTO!$X$15,ROW(AJ736)-ROW(AJ$15),0),
ROUND(ROUND(OFFSET($P736,0,AJ$13),15-13*ORÇAMENTO!$AF$7)*OFFSET(ORÇAMENTO!$W$15,ROW(AJ736)-ROW(AJ$15),0),15-13*ORÇAMENTO!$AF$11)),0)</f>
        <v>0</v>
      </c>
      <c r="AK736" s="546">
        <f ca="1">IF(AND($D736="Serviço",AK$12&lt;&gt;0,$H736&gt;0,OR(AUTOEVENTO&lt;&gt;"manual",$M736&lt;&gt;1)),
IF(Import.TipoArredondamento&lt;&gt;"TransfereGOV",
ROUND(OFFSET($P736,0,AK$13),15-13*ORÇAMENTO!$AF$7)/$H736*OFFSET(ORÇAMENTO!$X$15,ROW(AK736)-ROW(AK$15),0),
ROUND(ROUND(OFFSET($P736,0,AK$13),15-13*ORÇAMENTO!$AF$7)*OFFSET(ORÇAMENTO!$W$15,ROW(AK736)-ROW(AK$15),0),15-13*ORÇAMENTO!$AF$11)),0)</f>
        <v>0</v>
      </c>
      <c r="AM736" s="181">
        <f ca="1">IF($D736&lt;&gt;"Serviço",0,IF(AND(AUTOEVENTO="Manual",$M736=1),0,IF(OFFSET(CRONOPLE!$F$14,$M736,AM$13)="",10^12,OFFSET(CRONOPLE!$F$14,$M736,AM$13))))</f>
        <v>1000000000000</v>
      </c>
      <c r="AN736" s="181">
        <f ca="1">IF($D736&lt;&gt;"Serviço",0,IF(AND(AUTOEVENTO="Manual",$M736=1),0,IF(OFFSET(CRONOPLE!$F$14,$M736,AN$13)="",10^12,OFFSET(CRONOPLE!$F$14,$M736,AN$13))))</f>
        <v>1000000000000</v>
      </c>
      <c r="AO736" s="181">
        <f ca="1">IF($D736&lt;&gt;"Serviço",0,IF(AND(AUTOEVENTO="Manual",$M736=1),0,IF(OFFSET(CRONOPLE!$F$14,$M736,AO$13)="",10^12,OFFSET(CRONOPLE!$F$14,$M736,AO$13))))</f>
        <v>1000000000000</v>
      </c>
      <c r="AP736" s="181">
        <f ca="1">IF($D736&lt;&gt;"Serviço",0,IF(AND(AUTOEVENTO="Manual",$M736=1),0,IF(OFFSET(CRONOPLE!$F$14,$M736,AP$13)="",10^12,OFFSET(CRONOPLE!$F$14,$M736,AP$13))))</f>
        <v>1000000000000</v>
      </c>
      <c r="AQ736" s="181">
        <f ca="1">IF($D736&lt;&gt;"Serviço",0,IF(AND(AUTOEVENTO="Manual",$M736=1),0,IF(OFFSET(CRONOPLE!$F$14,$M736,AQ$13)="",10^12,OFFSET(CRONOPLE!$F$14,$M736,AQ$13))))</f>
        <v>1000000000000</v>
      </c>
      <c r="AR736" s="181">
        <f ca="1">IF($D736&lt;&gt;"Serviço",0,IF(AND(AUTOEVENTO="Manual",$M736=1),0,IF(OFFSET(CRONOPLE!$F$14,$M736,AR$13)="",10^12,OFFSET(CRONOPLE!$F$14,$M736,AR$13))))</f>
        <v>1000000000000</v>
      </c>
      <c r="AS736" s="181">
        <f ca="1">IF($D736&lt;&gt;"Serviço",0,IF(AND(AUTOEVENTO="Manual",$M736=1),0,IF(OFFSET(CRONOPLE!$F$14,$M736,AS$13)="",10^12,OFFSET(CRONOPLE!$F$14,$M736,AS$13))))</f>
        <v>1000000000000</v>
      </c>
      <c r="AT736" s="181">
        <f ca="1">IF($D736&lt;&gt;"Serviço",0,IF(AND(AUTOEVENTO="Manual",$M736=1),0,IF(OFFSET(CRONOPLE!$F$14,$M736,AT$13)="",10^12,OFFSET(CRONOPLE!$F$14,$M736,AT$13))))</f>
        <v>1000000000000</v>
      </c>
      <c r="AU736" s="181">
        <f ca="1">IF($D736&lt;&gt;"Serviço",0,IF(AND(AUTOEVENTO="Manual",$M736=1),0,IF(OFFSET(CRONOPLE!$F$14,$M736,AU$13)="",10^12,OFFSET(CRONOPLE!$F$14,$M736,AU$13))))</f>
        <v>1000000000000</v>
      </c>
      <c r="AV736" s="181">
        <f ca="1">IF($D736&lt;&gt;"Serviço",0,IF(AND(AUTOEVENTO="Manual",$M736=1),0,IF(OFFSET(CRONOPLE!$F$14,$M736,AV$13)="",10^12,OFFSET(CRONOPLE!$F$14,$M736,AV$13))))</f>
        <v>1000000000000</v>
      </c>
      <c r="AX736" s="182">
        <f ca="1">IF($D736&lt;&gt;"Serviço",0,IF(OR(AND(AUTOEVENTO="Manual",$M736=1),$M736&gt;(ROW(PLE.lastrow)-ROW(PLE.firstrow))),0,IF(OFFSET(PLE!$G$14,$M736,AX$13)="",10^12,OFFSET(PLE!$G$14,$M736,AX$13))))</f>
        <v>1000000000000</v>
      </c>
      <c r="AY736" s="182">
        <f ca="1">IF($D736&lt;&gt;"Serviço",0,IF(OR(AND(AUTOEVENTO="Manual",$M736=1),$M736&gt;(ROW(PLE.lastrow)-ROW(PLE.firstrow))),0,IF(OFFSET(PLE!$G$14,$M736,AY$13)="",10^12,OFFSET(PLE!$G$14,$M736,AY$13))))</f>
        <v>1000000000000</v>
      </c>
      <c r="AZ736" s="182">
        <f ca="1">IF($D736&lt;&gt;"Serviço",0,IF(OR(AND(AUTOEVENTO="Manual",$M736=1),$M736&gt;(ROW(PLE.lastrow)-ROW(PLE.firstrow))),0,IF(OFFSET(PLE!$G$14,$M736,AZ$13)="",10^12,OFFSET(PLE!$G$14,$M736,AZ$13))))</f>
        <v>1000000000000</v>
      </c>
      <c r="BA736" s="182">
        <f ca="1">IF($D736&lt;&gt;"Serviço",0,IF(OR(AND(AUTOEVENTO="Manual",$M736=1),$M736&gt;(ROW(PLE.lastrow)-ROW(PLE.firstrow))),0,IF(OFFSET(PLE!$G$14,$M736,BA$13)="",10^12,OFFSET(PLE!$G$14,$M736,BA$13))))</f>
        <v>1000000000000</v>
      </c>
      <c r="BB736" s="182">
        <f ca="1">IF($D736&lt;&gt;"Serviço",0,IF(OR(AND(AUTOEVENTO="Manual",$M736=1),$M736&gt;(ROW(PLE.lastrow)-ROW(PLE.firstrow))),0,IF(OFFSET(PLE!$G$14,$M736,BB$13)="",10^12,OFFSET(PLE!$G$14,$M736,BB$13))))</f>
        <v>1000000000000</v>
      </c>
      <c r="BC736" s="182">
        <f ca="1">IF($D736&lt;&gt;"Serviço",0,IF(OR(AND(AUTOEVENTO="Manual",$M736=1),$M736&gt;(ROW(PLE.lastrow)-ROW(PLE.firstrow))),0,IF(OFFSET(PLE!$G$14,$M736,BC$13)="",10^12,OFFSET(PLE!$G$14,$M736,BC$13))))</f>
        <v>1000000000000</v>
      </c>
      <c r="BD736" s="182">
        <f ca="1">IF($D736&lt;&gt;"Serviço",0,IF(OR(AND(AUTOEVENTO="Manual",$M736=1),$M736&gt;(ROW(PLE.lastrow)-ROW(PLE.firstrow))),0,IF(OFFSET(PLE!$G$14,$M736,BD$13)="",10^12,OFFSET(PLE!$G$14,$M736,BD$13))))</f>
        <v>1000000000000</v>
      </c>
      <c r="BE736" s="182">
        <f ca="1">IF($D736&lt;&gt;"Serviço",0,IF(OR(AND(AUTOEVENTO="Manual",$M736=1),$M736&gt;(ROW(PLE.lastrow)-ROW(PLE.firstrow))),0,IF(OFFSET(PLE!$G$14,$M736,BE$13)="",10^12,OFFSET(PLE!$G$14,$M736,BE$13))))</f>
        <v>1000000000000</v>
      </c>
      <c r="BF736" s="182">
        <f ca="1">IF($D736&lt;&gt;"Serviço",0,IF(OR(AND(AUTOEVENTO="Manual",$M736=1),$M736&gt;(ROW(PLE.lastrow)-ROW(PLE.firstrow))),0,IF(OFFSET(PLE!$G$14,$M736,BF$13)="",10^12,OFFSET(PLE!$G$14,$M736,BF$13))))</f>
        <v>1000000000000</v>
      </c>
      <c r="BG736" s="182">
        <f ca="1">IF($D736&lt;&gt;"Serviço",0,IF(OR(AND(AUTOEVENTO="Manual",$M736=1),$M736&gt;(ROW(PLE.lastrow)-ROW(PLE.firstrow))),0,IF(OFFSET(PLE!$G$14,$M736,BG$13)="",10^12,OFFSET(PLE!$G$14,$M736,BG$13))))</f>
        <v>1000000000000</v>
      </c>
    </row>
    <row r="737" spans="1:59" ht="51" x14ac:dyDescent="0.2">
      <c r="A737" s="7" t="str">
        <f t="shared" ca="1" si="18"/>
        <v>679</v>
      </c>
      <c r="B737" s="7" t="str">
        <f ca="1">OFFSET(ORÇAMENTO!C$15,ROW(B737)-ROW(B$15),0)</f>
        <v>S</v>
      </c>
      <c r="C737" s="7" t="str">
        <f ca="1">OFFSET(ORÇAMENTO!L$15,ROW(C737)-ROW(C$15),0)</f>
        <v/>
      </c>
      <c r="D737" s="118" t="str">
        <f ca="1">OFFSET(ORÇAMENTO!N$15,ROW(D737)-ROW(D$15),0)</f>
        <v>Serviço</v>
      </c>
      <c r="E737" s="119" t="str">
        <f ca="1">OFFSET(ORÇAMENTO!O$15,ROW(E737)-ROW(E$15),0)</f>
        <v>-</v>
      </c>
      <c r="F737" s="172" t="str">
        <f ca="1">OFFSET(ORÇAMENTO!R$15,ROW(F737)-ROW(F$15),0)</f>
        <v>(abra o arquivo 'Referência 02-2025.xlsm)</v>
      </c>
      <c r="G737" s="173" t="str">
        <f ca="1">IF($D737&lt;&gt;"Serviço","",OFFSET(ORÇAMENTO!S$15,ROW(G737)-ROW(G$15),0))</f>
        <v>-</v>
      </c>
      <c r="H737" s="124">
        <f ca="1">IF($D737&lt;&gt;"Serviço",0,IF(ACOMPANHAMENTO="BM",ROUND(OFFSET(ORÇAMENTO!AJ$15,ROW(H737)-ROW(H$15),0),15-13*ORÇAMENTO!$AF$7),SUMPRODUCT(($Q$12:$AA$12&lt;&gt;"")*ROUND($Q737:$AA737,15-13*ORÇAMENTO!$AF$7))))</f>
        <v>374.87</v>
      </c>
      <c r="I737" s="561" t="s">
        <v>890</v>
      </c>
      <c r="K737" s="174"/>
      <c r="L737" s="175" t="s">
        <v>255</v>
      </c>
      <c r="M737" s="176">
        <f ca="1">IF($D737&lt;&gt;"Serviço","",IF(AUTOEVENTO="manual",$A737,IF(ISERROR(MATCH($A737,$A$15:OFFSET($A737,-1,0),0)),MAX($M$15:OFFSET(M737,-1,0))+1,INDEX($M$15:OFFSET(M737,-1,0),MATCH($A737,$A$15:OFFSET($A737,-1,0),0)))))</f>
        <v>25</v>
      </c>
      <c r="N737" s="177" t="str">
        <f ca="1">IF($D737&lt;&gt;"Serviço","",IF(AUTOEVENTO="Manual",IF($A737=0,"&lt;-- defina o número do agrupador",OFFSET(EVENTOS!$D$14,$A737,0)),OFFSET($F$15,$A737,0)))</f>
        <v>FECHAMENTO - MURO</v>
      </c>
      <c r="O737" s="178"/>
      <c r="Q737" s="178"/>
      <c r="R737" s="179"/>
      <c r="S737" s="179"/>
      <c r="T737" s="179"/>
      <c r="U737" s="179"/>
      <c r="V737" s="179"/>
      <c r="W737" s="179"/>
      <c r="X737" s="179"/>
      <c r="Y737" s="179"/>
      <c r="Z737" s="180"/>
      <c r="AB737" s="544">
        <f ca="1">IF(AND($D737="Serviço",AB$12&lt;&gt;0,$H737&gt;0,OR(AUTOEVENTO&lt;&gt;"manual",$M737&lt;&gt;1)),
IF(Import.TipoArredondamento&lt;&gt;"TransfereGOV",
ROUND(OFFSET($P737,0,AB$13),15-13*ORÇAMENTO!$AF$7)/$H737*OFFSET(ORÇAMENTO!$X$15,ROW(AB737)-ROW(AB$15),0),
ROUND(ROUND(OFFSET($P737,0,AB$13),15-13*ORÇAMENTO!$AF$7)*OFFSET(ORÇAMENTO!$W$15,ROW(AB737)-ROW(AB$15),0),15-13*ORÇAMENTO!$AF$11)),0)</f>
        <v>0</v>
      </c>
      <c r="AC737" s="545">
        <f ca="1">IF(AND($D737="Serviço",AC$12&lt;&gt;0,$H737&gt;0,OR(AUTOEVENTO&lt;&gt;"manual",$M737&lt;&gt;1)),
IF(Import.TipoArredondamento&lt;&gt;"TransfereGOV",
ROUND(OFFSET($P737,0,AC$13),15-13*ORÇAMENTO!$AF$7)/$H737*OFFSET(ORÇAMENTO!$X$15,ROW(AC737)-ROW(AC$15),0),
ROUND(ROUND(OFFSET($P737,0,AC$13),15-13*ORÇAMENTO!$AF$7)*OFFSET(ORÇAMENTO!$W$15,ROW(AC737)-ROW(AC$15),0),15-13*ORÇAMENTO!$AF$11)),0)</f>
        <v>0</v>
      </c>
      <c r="AD737" s="545">
        <f ca="1">IF(AND($D737="Serviço",AD$12&lt;&gt;0,$H737&gt;0,OR(AUTOEVENTO&lt;&gt;"manual",$M737&lt;&gt;1)),
IF(Import.TipoArredondamento&lt;&gt;"TransfereGOV",
ROUND(OFFSET($P737,0,AD$13),15-13*ORÇAMENTO!$AF$7)/$H737*OFFSET(ORÇAMENTO!$X$15,ROW(AD737)-ROW(AD$15),0),
ROUND(ROUND(OFFSET($P737,0,AD$13),15-13*ORÇAMENTO!$AF$7)*OFFSET(ORÇAMENTO!$W$15,ROW(AD737)-ROW(AD$15),0),15-13*ORÇAMENTO!$AF$11)),0)</f>
        <v>0</v>
      </c>
      <c r="AE737" s="545">
        <f ca="1">IF(AND($D737="Serviço",AE$12&lt;&gt;0,$H737&gt;0,OR(AUTOEVENTO&lt;&gt;"manual",$M737&lt;&gt;1)),
IF(Import.TipoArredondamento&lt;&gt;"TransfereGOV",
ROUND(OFFSET($P737,0,AE$13),15-13*ORÇAMENTO!$AF$7)/$H737*OFFSET(ORÇAMENTO!$X$15,ROW(AE737)-ROW(AE$15),0),
ROUND(ROUND(OFFSET($P737,0,AE$13),15-13*ORÇAMENTO!$AF$7)*OFFSET(ORÇAMENTO!$W$15,ROW(AE737)-ROW(AE$15),0),15-13*ORÇAMENTO!$AF$11)),0)</f>
        <v>0</v>
      </c>
      <c r="AF737" s="545">
        <f ca="1">IF(AND($D737="Serviço",AF$12&lt;&gt;0,$H737&gt;0,OR(AUTOEVENTO&lt;&gt;"manual",$M737&lt;&gt;1)),
IF(Import.TipoArredondamento&lt;&gt;"TransfereGOV",
ROUND(OFFSET($P737,0,AF$13),15-13*ORÇAMENTO!$AF$7)/$H737*OFFSET(ORÇAMENTO!$X$15,ROW(AF737)-ROW(AF$15),0),
ROUND(ROUND(OFFSET($P737,0,AF$13),15-13*ORÇAMENTO!$AF$7)*OFFSET(ORÇAMENTO!$W$15,ROW(AF737)-ROW(AF$15),0),15-13*ORÇAMENTO!$AF$11)),0)</f>
        <v>0</v>
      </c>
      <c r="AG737" s="545">
        <f ca="1">IF(AND($D737="Serviço",AG$12&lt;&gt;0,$H737&gt;0,OR(AUTOEVENTO&lt;&gt;"manual",$M737&lt;&gt;1)),
IF(Import.TipoArredondamento&lt;&gt;"TransfereGOV",
ROUND(OFFSET($P737,0,AG$13),15-13*ORÇAMENTO!$AF$7)/$H737*OFFSET(ORÇAMENTO!$X$15,ROW(AG737)-ROW(AG$15),0),
ROUND(ROUND(OFFSET($P737,0,AG$13),15-13*ORÇAMENTO!$AF$7)*OFFSET(ORÇAMENTO!$W$15,ROW(AG737)-ROW(AG$15),0),15-13*ORÇAMENTO!$AF$11)),0)</f>
        <v>0</v>
      </c>
      <c r="AH737" s="545">
        <f ca="1">IF(AND($D737="Serviço",AH$12&lt;&gt;0,$H737&gt;0,OR(AUTOEVENTO&lt;&gt;"manual",$M737&lt;&gt;1)),
IF(Import.TipoArredondamento&lt;&gt;"TransfereGOV",
ROUND(OFFSET($P737,0,AH$13),15-13*ORÇAMENTO!$AF$7)/$H737*OFFSET(ORÇAMENTO!$X$15,ROW(AH737)-ROW(AH$15),0),
ROUND(ROUND(OFFSET($P737,0,AH$13),15-13*ORÇAMENTO!$AF$7)*OFFSET(ORÇAMENTO!$W$15,ROW(AH737)-ROW(AH$15),0),15-13*ORÇAMENTO!$AF$11)),0)</f>
        <v>0</v>
      </c>
      <c r="AI737" s="545">
        <f ca="1">IF(AND($D737="Serviço",AI$12&lt;&gt;0,$H737&gt;0,OR(AUTOEVENTO&lt;&gt;"manual",$M737&lt;&gt;1)),
IF(Import.TipoArredondamento&lt;&gt;"TransfereGOV",
ROUND(OFFSET($P737,0,AI$13),15-13*ORÇAMENTO!$AF$7)/$H737*OFFSET(ORÇAMENTO!$X$15,ROW(AI737)-ROW(AI$15),0),
ROUND(ROUND(OFFSET($P737,0,AI$13),15-13*ORÇAMENTO!$AF$7)*OFFSET(ORÇAMENTO!$W$15,ROW(AI737)-ROW(AI$15),0),15-13*ORÇAMENTO!$AF$11)),0)</f>
        <v>0</v>
      </c>
      <c r="AJ737" s="545">
        <f ca="1">IF(AND($D737="Serviço",AJ$12&lt;&gt;0,$H737&gt;0,OR(AUTOEVENTO&lt;&gt;"manual",$M737&lt;&gt;1)),
IF(Import.TipoArredondamento&lt;&gt;"TransfereGOV",
ROUND(OFFSET($P737,0,AJ$13),15-13*ORÇAMENTO!$AF$7)/$H737*OFFSET(ORÇAMENTO!$X$15,ROW(AJ737)-ROW(AJ$15),0),
ROUND(ROUND(OFFSET($P737,0,AJ$13),15-13*ORÇAMENTO!$AF$7)*OFFSET(ORÇAMENTO!$W$15,ROW(AJ737)-ROW(AJ$15),0),15-13*ORÇAMENTO!$AF$11)),0)</f>
        <v>0</v>
      </c>
      <c r="AK737" s="546">
        <f ca="1">IF(AND($D737="Serviço",AK$12&lt;&gt;0,$H737&gt;0,OR(AUTOEVENTO&lt;&gt;"manual",$M737&lt;&gt;1)),
IF(Import.TipoArredondamento&lt;&gt;"TransfereGOV",
ROUND(OFFSET($P737,0,AK$13),15-13*ORÇAMENTO!$AF$7)/$H737*OFFSET(ORÇAMENTO!$X$15,ROW(AK737)-ROW(AK$15),0),
ROUND(ROUND(OFFSET($P737,0,AK$13),15-13*ORÇAMENTO!$AF$7)*OFFSET(ORÇAMENTO!$W$15,ROW(AK737)-ROW(AK$15),0),15-13*ORÇAMENTO!$AF$11)),0)</f>
        <v>0</v>
      </c>
      <c r="AM737" s="181">
        <f ca="1">IF($D737&lt;&gt;"Serviço",0,IF(AND(AUTOEVENTO="Manual",$M737=1),0,IF(OFFSET(CRONOPLE!$F$14,$M737,AM$13)="",10^12,OFFSET(CRONOPLE!$F$14,$M737,AM$13))))</f>
        <v>1000000000000</v>
      </c>
      <c r="AN737" s="181">
        <f ca="1">IF($D737&lt;&gt;"Serviço",0,IF(AND(AUTOEVENTO="Manual",$M737=1),0,IF(OFFSET(CRONOPLE!$F$14,$M737,AN$13)="",10^12,OFFSET(CRONOPLE!$F$14,$M737,AN$13))))</f>
        <v>1000000000000</v>
      </c>
      <c r="AO737" s="181">
        <f ca="1">IF($D737&lt;&gt;"Serviço",0,IF(AND(AUTOEVENTO="Manual",$M737=1),0,IF(OFFSET(CRONOPLE!$F$14,$M737,AO$13)="",10^12,OFFSET(CRONOPLE!$F$14,$M737,AO$13))))</f>
        <v>1000000000000</v>
      </c>
      <c r="AP737" s="181">
        <f ca="1">IF($D737&lt;&gt;"Serviço",0,IF(AND(AUTOEVENTO="Manual",$M737=1),0,IF(OFFSET(CRONOPLE!$F$14,$M737,AP$13)="",10^12,OFFSET(CRONOPLE!$F$14,$M737,AP$13))))</f>
        <v>1000000000000</v>
      </c>
      <c r="AQ737" s="181">
        <f ca="1">IF($D737&lt;&gt;"Serviço",0,IF(AND(AUTOEVENTO="Manual",$M737=1),0,IF(OFFSET(CRONOPLE!$F$14,$M737,AQ$13)="",10^12,OFFSET(CRONOPLE!$F$14,$M737,AQ$13))))</f>
        <v>1000000000000</v>
      </c>
      <c r="AR737" s="181">
        <f ca="1">IF($D737&lt;&gt;"Serviço",0,IF(AND(AUTOEVENTO="Manual",$M737=1),0,IF(OFFSET(CRONOPLE!$F$14,$M737,AR$13)="",10^12,OFFSET(CRONOPLE!$F$14,$M737,AR$13))))</f>
        <v>1000000000000</v>
      </c>
      <c r="AS737" s="181">
        <f ca="1">IF($D737&lt;&gt;"Serviço",0,IF(AND(AUTOEVENTO="Manual",$M737=1),0,IF(OFFSET(CRONOPLE!$F$14,$M737,AS$13)="",10^12,OFFSET(CRONOPLE!$F$14,$M737,AS$13))))</f>
        <v>1000000000000</v>
      </c>
      <c r="AT737" s="181">
        <f ca="1">IF($D737&lt;&gt;"Serviço",0,IF(AND(AUTOEVENTO="Manual",$M737=1),0,IF(OFFSET(CRONOPLE!$F$14,$M737,AT$13)="",10^12,OFFSET(CRONOPLE!$F$14,$M737,AT$13))))</f>
        <v>1000000000000</v>
      </c>
      <c r="AU737" s="181">
        <f ca="1">IF($D737&lt;&gt;"Serviço",0,IF(AND(AUTOEVENTO="Manual",$M737=1),0,IF(OFFSET(CRONOPLE!$F$14,$M737,AU$13)="",10^12,OFFSET(CRONOPLE!$F$14,$M737,AU$13))))</f>
        <v>1000000000000</v>
      </c>
      <c r="AV737" s="181">
        <f ca="1">IF($D737&lt;&gt;"Serviço",0,IF(AND(AUTOEVENTO="Manual",$M737=1),0,IF(OFFSET(CRONOPLE!$F$14,$M737,AV$13)="",10^12,OFFSET(CRONOPLE!$F$14,$M737,AV$13))))</f>
        <v>1000000000000</v>
      </c>
      <c r="AX737" s="182">
        <f ca="1">IF($D737&lt;&gt;"Serviço",0,IF(OR(AND(AUTOEVENTO="Manual",$M737=1),$M737&gt;(ROW(PLE.lastrow)-ROW(PLE.firstrow))),0,IF(OFFSET(PLE!$G$14,$M737,AX$13)="",10^12,OFFSET(PLE!$G$14,$M737,AX$13))))</f>
        <v>1000000000000</v>
      </c>
      <c r="AY737" s="182">
        <f ca="1">IF($D737&lt;&gt;"Serviço",0,IF(OR(AND(AUTOEVENTO="Manual",$M737=1),$M737&gt;(ROW(PLE.lastrow)-ROW(PLE.firstrow))),0,IF(OFFSET(PLE!$G$14,$M737,AY$13)="",10^12,OFFSET(PLE!$G$14,$M737,AY$13))))</f>
        <v>1000000000000</v>
      </c>
      <c r="AZ737" s="182">
        <f ca="1">IF($D737&lt;&gt;"Serviço",0,IF(OR(AND(AUTOEVENTO="Manual",$M737=1),$M737&gt;(ROW(PLE.lastrow)-ROW(PLE.firstrow))),0,IF(OFFSET(PLE!$G$14,$M737,AZ$13)="",10^12,OFFSET(PLE!$G$14,$M737,AZ$13))))</f>
        <v>1000000000000</v>
      </c>
      <c r="BA737" s="182">
        <f ca="1">IF($D737&lt;&gt;"Serviço",0,IF(OR(AND(AUTOEVENTO="Manual",$M737=1),$M737&gt;(ROW(PLE.lastrow)-ROW(PLE.firstrow))),0,IF(OFFSET(PLE!$G$14,$M737,BA$13)="",10^12,OFFSET(PLE!$G$14,$M737,BA$13))))</f>
        <v>1000000000000</v>
      </c>
      <c r="BB737" s="182">
        <f ca="1">IF($D737&lt;&gt;"Serviço",0,IF(OR(AND(AUTOEVENTO="Manual",$M737=1),$M737&gt;(ROW(PLE.lastrow)-ROW(PLE.firstrow))),0,IF(OFFSET(PLE!$G$14,$M737,BB$13)="",10^12,OFFSET(PLE!$G$14,$M737,BB$13))))</f>
        <v>1000000000000</v>
      </c>
      <c r="BC737" s="182">
        <f ca="1">IF($D737&lt;&gt;"Serviço",0,IF(OR(AND(AUTOEVENTO="Manual",$M737=1),$M737&gt;(ROW(PLE.lastrow)-ROW(PLE.firstrow))),0,IF(OFFSET(PLE!$G$14,$M737,BC$13)="",10^12,OFFSET(PLE!$G$14,$M737,BC$13))))</f>
        <v>1000000000000</v>
      </c>
      <c r="BD737" s="182">
        <f ca="1">IF($D737&lt;&gt;"Serviço",0,IF(OR(AND(AUTOEVENTO="Manual",$M737=1),$M737&gt;(ROW(PLE.lastrow)-ROW(PLE.firstrow))),0,IF(OFFSET(PLE!$G$14,$M737,BD$13)="",10^12,OFFSET(PLE!$G$14,$M737,BD$13))))</f>
        <v>1000000000000</v>
      </c>
      <c r="BE737" s="182">
        <f ca="1">IF($D737&lt;&gt;"Serviço",0,IF(OR(AND(AUTOEVENTO="Manual",$M737=1),$M737&gt;(ROW(PLE.lastrow)-ROW(PLE.firstrow))),0,IF(OFFSET(PLE!$G$14,$M737,BE$13)="",10^12,OFFSET(PLE!$G$14,$M737,BE$13))))</f>
        <v>1000000000000</v>
      </c>
      <c r="BF737" s="182">
        <f ca="1">IF($D737&lt;&gt;"Serviço",0,IF(OR(AND(AUTOEVENTO="Manual",$M737=1),$M737&gt;(ROW(PLE.lastrow)-ROW(PLE.firstrow))),0,IF(OFFSET(PLE!$G$14,$M737,BF$13)="",10^12,OFFSET(PLE!$G$14,$M737,BF$13))))</f>
        <v>1000000000000</v>
      </c>
      <c r="BG737" s="182">
        <f ca="1">IF($D737&lt;&gt;"Serviço",0,IF(OR(AND(AUTOEVENTO="Manual",$M737=1),$M737&gt;(ROW(PLE.lastrow)-ROW(PLE.firstrow))),0,IF(OFFSET(PLE!$G$14,$M737,BG$13)="",10^12,OFFSET(PLE!$G$14,$M737,BG$13))))</f>
        <v>1000000000000</v>
      </c>
    </row>
    <row r="738" spans="1:59" ht="51" x14ac:dyDescent="0.2">
      <c r="A738" s="7" t="str">
        <f t="shared" ca="1" si="18"/>
        <v>679</v>
      </c>
      <c r="B738" s="7" t="str">
        <f ca="1">OFFSET(ORÇAMENTO!C$15,ROW(B738)-ROW(B$15),0)</f>
        <v>S</v>
      </c>
      <c r="C738" s="7" t="str">
        <f ca="1">OFFSET(ORÇAMENTO!L$15,ROW(C738)-ROW(C$15),0)</f>
        <v/>
      </c>
      <c r="D738" s="118" t="str">
        <f ca="1">OFFSET(ORÇAMENTO!N$15,ROW(D738)-ROW(D$15),0)</f>
        <v>Serviço</v>
      </c>
      <c r="E738" s="119" t="str">
        <f ca="1">OFFSET(ORÇAMENTO!O$15,ROW(E738)-ROW(E$15),0)</f>
        <v>-</v>
      </c>
      <c r="F738" s="172" t="str">
        <f ca="1">OFFSET(ORÇAMENTO!R$15,ROW(F738)-ROW(F$15),0)</f>
        <v>(abra o arquivo 'Referência 02-2025.xlsm)</v>
      </c>
      <c r="G738" s="173" t="str">
        <f ca="1">IF($D738&lt;&gt;"Serviço","",OFFSET(ORÇAMENTO!S$15,ROW(G738)-ROW(G$15),0))</f>
        <v>-</v>
      </c>
      <c r="H738" s="124">
        <f ca="1">IF($D738&lt;&gt;"Serviço",0,IF(ACOMPANHAMENTO="BM",ROUND(OFFSET(ORÇAMENTO!AJ$15,ROW(H738)-ROW(H$15),0),15-13*ORÇAMENTO!$AF$7),SUMPRODUCT(($Q$12:$AA$12&lt;&gt;"")*ROUND($Q738:$AA738,15-13*ORÇAMENTO!$AF$7))))</f>
        <v>374.87</v>
      </c>
      <c r="I738" s="561" t="s">
        <v>890</v>
      </c>
      <c r="K738" s="174"/>
      <c r="L738" s="175" t="s">
        <v>255</v>
      </c>
      <c r="M738" s="176">
        <f ca="1">IF($D738&lt;&gt;"Serviço","",IF(AUTOEVENTO="manual",$A738,IF(ISERROR(MATCH($A738,$A$15:OFFSET($A738,-1,0),0)),MAX($M$15:OFFSET(M738,-1,0))+1,INDEX($M$15:OFFSET(M738,-1,0),MATCH($A738,$A$15:OFFSET($A738,-1,0),0)))))</f>
        <v>25</v>
      </c>
      <c r="N738" s="177" t="str">
        <f ca="1">IF($D738&lt;&gt;"Serviço","",IF(AUTOEVENTO="Manual",IF($A738=0,"&lt;-- defina o número do agrupador",OFFSET(EVENTOS!$D$14,$A738,0)),OFFSET($F$15,$A738,0)))</f>
        <v>FECHAMENTO - MURO</v>
      </c>
      <c r="O738" s="178"/>
      <c r="Q738" s="178"/>
      <c r="R738" s="179"/>
      <c r="S738" s="179"/>
      <c r="T738" s="179"/>
      <c r="U738" s="179"/>
      <c r="V738" s="179"/>
      <c r="W738" s="179"/>
      <c r="X738" s="179"/>
      <c r="Y738" s="179"/>
      <c r="Z738" s="180"/>
      <c r="AB738" s="544">
        <f ca="1">IF(AND($D738="Serviço",AB$12&lt;&gt;0,$H738&gt;0,OR(AUTOEVENTO&lt;&gt;"manual",$M738&lt;&gt;1)),
IF(Import.TipoArredondamento&lt;&gt;"TransfereGOV",
ROUND(OFFSET($P738,0,AB$13),15-13*ORÇAMENTO!$AF$7)/$H738*OFFSET(ORÇAMENTO!$X$15,ROW(AB738)-ROW(AB$15),0),
ROUND(ROUND(OFFSET($P738,0,AB$13),15-13*ORÇAMENTO!$AF$7)*OFFSET(ORÇAMENTO!$W$15,ROW(AB738)-ROW(AB$15),0),15-13*ORÇAMENTO!$AF$11)),0)</f>
        <v>0</v>
      </c>
      <c r="AC738" s="545">
        <f ca="1">IF(AND($D738="Serviço",AC$12&lt;&gt;0,$H738&gt;0,OR(AUTOEVENTO&lt;&gt;"manual",$M738&lt;&gt;1)),
IF(Import.TipoArredondamento&lt;&gt;"TransfereGOV",
ROUND(OFFSET($P738,0,AC$13),15-13*ORÇAMENTO!$AF$7)/$H738*OFFSET(ORÇAMENTO!$X$15,ROW(AC738)-ROW(AC$15),0),
ROUND(ROUND(OFFSET($P738,0,AC$13),15-13*ORÇAMENTO!$AF$7)*OFFSET(ORÇAMENTO!$W$15,ROW(AC738)-ROW(AC$15),0),15-13*ORÇAMENTO!$AF$11)),0)</f>
        <v>0</v>
      </c>
      <c r="AD738" s="545">
        <f ca="1">IF(AND($D738="Serviço",AD$12&lt;&gt;0,$H738&gt;0,OR(AUTOEVENTO&lt;&gt;"manual",$M738&lt;&gt;1)),
IF(Import.TipoArredondamento&lt;&gt;"TransfereGOV",
ROUND(OFFSET($P738,0,AD$13),15-13*ORÇAMENTO!$AF$7)/$H738*OFFSET(ORÇAMENTO!$X$15,ROW(AD738)-ROW(AD$15),0),
ROUND(ROUND(OFFSET($P738,0,AD$13),15-13*ORÇAMENTO!$AF$7)*OFFSET(ORÇAMENTO!$W$15,ROW(AD738)-ROW(AD$15),0),15-13*ORÇAMENTO!$AF$11)),0)</f>
        <v>0</v>
      </c>
      <c r="AE738" s="545">
        <f ca="1">IF(AND($D738="Serviço",AE$12&lt;&gt;0,$H738&gt;0,OR(AUTOEVENTO&lt;&gt;"manual",$M738&lt;&gt;1)),
IF(Import.TipoArredondamento&lt;&gt;"TransfereGOV",
ROUND(OFFSET($P738,0,AE$13),15-13*ORÇAMENTO!$AF$7)/$H738*OFFSET(ORÇAMENTO!$X$15,ROW(AE738)-ROW(AE$15),0),
ROUND(ROUND(OFFSET($P738,0,AE$13),15-13*ORÇAMENTO!$AF$7)*OFFSET(ORÇAMENTO!$W$15,ROW(AE738)-ROW(AE$15),0),15-13*ORÇAMENTO!$AF$11)),0)</f>
        <v>0</v>
      </c>
      <c r="AF738" s="545">
        <f ca="1">IF(AND($D738="Serviço",AF$12&lt;&gt;0,$H738&gt;0,OR(AUTOEVENTO&lt;&gt;"manual",$M738&lt;&gt;1)),
IF(Import.TipoArredondamento&lt;&gt;"TransfereGOV",
ROUND(OFFSET($P738,0,AF$13),15-13*ORÇAMENTO!$AF$7)/$H738*OFFSET(ORÇAMENTO!$X$15,ROW(AF738)-ROW(AF$15),0),
ROUND(ROUND(OFFSET($P738,0,AF$13),15-13*ORÇAMENTO!$AF$7)*OFFSET(ORÇAMENTO!$W$15,ROW(AF738)-ROW(AF$15),0),15-13*ORÇAMENTO!$AF$11)),0)</f>
        <v>0</v>
      </c>
      <c r="AG738" s="545">
        <f ca="1">IF(AND($D738="Serviço",AG$12&lt;&gt;0,$H738&gt;0,OR(AUTOEVENTO&lt;&gt;"manual",$M738&lt;&gt;1)),
IF(Import.TipoArredondamento&lt;&gt;"TransfereGOV",
ROUND(OFFSET($P738,0,AG$13),15-13*ORÇAMENTO!$AF$7)/$H738*OFFSET(ORÇAMENTO!$X$15,ROW(AG738)-ROW(AG$15),0),
ROUND(ROUND(OFFSET($P738,0,AG$13),15-13*ORÇAMENTO!$AF$7)*OFFSET(ORÇAMENTO!$W$15,ROW(AG738)-ROW(AG$15),0),15-13*ORÇAMENTO!$AF$11)),0)</f>
        <v>0</v>
      </c>
      <c r="AH738" s="545">
        <f ca="1">IF(AND($D738="Serviço",AH$12&lt;&gt;0,$H738&gt;0,OR(AUTOEVENTO&lt;&gt;"manual",$M738&lt;&gt;1)),
IF(Import.TipoArredondamento&lt;&gt;"TransfereGOV",
ROUND(OFFSET($P738,0,AH$13),15-13*ORÇAMENTO!$AF$7)/$H738*OFFSET(ORÇAMENTO!$X$15,ROW(AH738)-ROW(AH$15),0),
ROUND(ROUND(OFFSET($P738,0,AH$13),15-13*ORÇAMENTO!$AF$7)*OFFSET(ORÇAMENTO!$W$15,ROW(AH738)-ROW(AH$15),0),15-13*ORÇAMENTO!$AF$11)),0)</f>
        <v>0</v>
      </c>
      <c r="AI738" s="545">
        <f ca="1">IF(AND($D738="Serviço",AI$12&lt;&gt;0,$H738&gt;0,OR(AUTOEVENTO&lt;&gt;"manual",$M738&lt;&gt;1)),
IF(Import.TipoArredondamento&lt;&gt;"TransfereGOV",
ROUND(OFFSET($P738,0,AI$13),15-13*ORÇAMENTO!$AF$7)/$H738*OFFSET(ORÇAMENTO!$X$15,ROW(AI738)-ROW(AI$15),0),
ROUND(ROUND(OFFSET($P738,0,AI$13),15-13*ORÇAMENTO!$AF$7)*OFFSET(ORÇAMENTO!$W$15,ROW(AI738)-ROW(AI$15),0),15-13*ORÇAMENTO!$AF$11)),0)</f>
        <v>0</v>
      </c>
      <c r="AJ738" s="545">
        <f ca="1">IF(AND($D738="Serviço",AJ$12&lt;&gt;0,$H738&gt;0,OR(AUTOEVENTO&lt;&gt;"manual",$M738&lt;&gt;1)),
IF(Import.TipoArredondamento&lt;&gt;"TransfereGOV",
ROUND(OFFSET($P738,0,AJ$13),15-13*ORÇAMENTO!$AF$7)/$H738*OFFSET(ORÇAMENTO!$X$15,ROW(AJ738)-ROW(AJ$15),0),
ROUND(ROUND(OFFSET($P738,0,AJ$13),15-13*ORÇAMENTO!$AF$7)*OFFSET(ORÇAMENTO!$W$15,ROW(AJ738)-ROW(AJ$15),0),15-13*ORÇAMENTO!$AF$11)),0)</f>
        <v>0</v>
      </c>
      <c r="AK738" s="546">
        <f ca="1">IF(AND($D738="Serviço",AK$12&lt;&gt;0,$H738&gt;0,OR(AUTOEVENTO&lt;&gt;"manual",$M738&lt;&gt;1)),
IF(Import.TipoArredondamento&lt;&gt;"TransfereGOV",
ROUND(OFFSET($P738,0,AK$13),15-13*ORÇAMENTO!$AF$7)/$H738*OFFSET(ORÇAMENTO!$X$15,ROW(AK738)-ROW(AK$15),0),
ROUND(ROUND(OFFSET($P738,0,AK$13),15-13*ORÇAMENTO!$AF$7)*OFFSET(ORÇAMENTO!$W$15,ROW(AK738)-ROW(AK$15),0),15-13*ORÇAMENTO!$AF$11)),0)</f>
        <v>0</v>
      </c>
      <c r="AM738" s="181">
        <f ca="1">IF($D738&lt;&gt;"Serviço",0,IF(AND(AUTOEVENTO="Manual",$M738=1),0,IF(OFFSET(CRONOPLE!$F$14,$M738,AM$13)="",10^12,OFFSET(CRONOPLE!$F$14,$M738,AM$13))))</f>
        <v>1000000000000</v>
      </c>
      <c r="AN738" s="181">
        <f ca="1">IF($D738&lt;&gt;"Serviço",0,IF(AND(AUTOEVENTO="Manual",$M738=1),0,IF(OFFSET(CRONOPLE!$F$14,$M738,AN$13)="",10^12,OFFSET(CRONOPLE!$F$14,$M738,AN$13))))</f>
        <v>1000000000000</v>
      </c>
      <c r="AO738" s="181">
        <f ca="1">IF($D738&lt;&gt;"Serviço",0,IF(AND(AUTOEVENTO="Manual",$M738=1),0,IF(OFFSET(CRONOPLE!$F$14,$M738,AO$13)="",10^12,OFFSET(CRONOPLE!$F$14,$M738,AO$13))))</f>
        <v>1000000000000</v>
      </c>
      <c r="AP738" s="181">
        <f ca="1">IF($D738&lt;&gt;"Serviço",0,IF(AND(AUTOEVENTO="Manual",$M738=1),0,IF(OFFSET(CRONOPLE!$F$14,$M738,AP$13)="",10^12,OFFSET(CRONOPLE!$F$14,$M738,AP$13))))</f>
        <v>1000000000000</v>
      </c>
      <c r="AQ738" s="181">
        <f ca="1">IF($D738&lt;&gt;"Serviço",0,IF(AND(AUTOEVENTO="Manual",$M738=1),0,IF(OFFSET(CRONOPLE!$F$14,$M738,AQ$13)="",10^12,OFFSET(CRONOPLE!$F$14,$M738,AQ$13))))</f>
        <v>1000000000000</v>
      </c>
      <c r="AR738" s="181">
        <f ca="1">IF($D738&lt;&gt;"Serviço",0,IF(AND(AUTOEVENTO="Manual",$M738=1),0,IF(OFFSET(CRONOPLE!$F$14,$M738,AR$13)="",10^12,OFFSET(CRONOPLE!$F$14,$M738,AR$13))))</f>
        <v>1000000000000</v>
      </c>
      <c r="AS738" s="181">
        <f ca="1">IF($D738&lt;&gt;"Serviço",0,IF(AND(AUTOEVENTO="Manual",$M738=1),0,IF(OFFSET(CRONOPLE!$F$14,$M738,AS$13)="",10^12,OFFSET(CRONOPLE!$F$14,$M738,AS$13))))</f>
        <v>1000000000000</v>
      </c>
      <c r="AT738" s="181">
        <f ca="1">IF($D738&lt;&gt;"Serviço",0,IF(AND(AUTOEVENTO="Manual",$M738=1),0,IF(OFFSET(CRONOPLE!$F$14,$M738,AT$13)="",10^12,OFFSET(CRONOPLE!$F$14,$M738,AT$13))))</f>
        <v>1000000000000</v>
      </c>
      <c r="AU738" s="181">
        <f ca="1">IF($D738&lt;&gt;"Serviço",0,IF(AND(AUTOEVENTO="Manual",$M738=1),0,IF(OFFSET(CRONOPLE!$F$14,$M738,AU$13)="",10^12,OFFSET(CRONOPLE!$F$14,$M738,AU$13))))</f>
        <v>1000000000000</v>
      </c>
      <c r="AV738" s="181">
        <f ca="1">IF($D738&lt;&gt;"Serviço",0,IF(AND(AUTOEVENTO="Manual",$M738=1),0,IF(OFFSET(CRONOPLE!$F$14,$M738,AV$13)="",10^12,OFFSET(CRONOPLE!$F$14,$M738,AV$13))))</f>
        <v>1000000000000</v>
      </c>
      <c r="AX738" s="182">
        <f ca="1">IF($D738&lt;&gt;"Serviço",0,IF(OR(AND(AUTOEVENTO="Manual",$M738=1),$M738&gt;(ROW(PLE.lastrow)-ROW(PLE.firstrow))),0,IF(OFFSET(PLE!$G$14,$M738,AX$13)="",10^12,OFFSET(PLE!$G$14,$M738,AX$13))))</f>
        <v>1000000000000</v>
      </c>
      <c r="AY738" s="182">
        <f ca="1">IF($D738&lt;&gt;"Serviço",0,IF(OR(AND(AUTOEVENTO="Manual",$M738=1),$M738&gt;(ROW(PLE.lastrow)-ROW(PLE.firstrow))),0,IF(OFFSET(PLE!$G$14,$M738,AY$13)="",10^12,OFFSET(PLE!$G$14,$M738,AY$13))))</f>
        <v>1000000000000</v>
      </c>
      <c r="AZ738" s="182">
        <f ca="1">IF($D738&lt;&gt;"Serviço",0,IF(OR(AND(AUTOEVENTO="Manual",$M738=1),$M738&gt;(ROW(PLE.lastrow)-ROW(PLE.firstrow))),0,IF(OFFSET(PLE!$G$14,$M738,AZ$13)="",10^12,OFFSET(PLE!$G$14,$M738,AZ$13))))</f>
        <v>1000000000000</v>
      </c>
      <c r="BA738" s="182">
        <f ca="1">IF($D738&lt;&gt;"Serviço",0,IF(OR(AND(AUTOEVENTO="Manual",$M738=1),$M738&gt;(ROW(PLE.lastrow)-ROW(PLE.firstrow))),0,IF(OFFSET(PLE!$G$14,$M738,BA$13)="",10^12,OFFSET(PLE!$G$14,$M738,BA$13))))</f>
        <v>1000000000000</v>
      </c>
      <c r="BB738" s="182">
        <f ca="1">IF($D738&lt;&gt;"Serviço",0,IF(OR(AND(AUTOEVENTO="Manual",$M738=1),$M738&gt;(ROW(PLE.lastrow)-ROW(PLE.firstrow))),0,IF(OFFSET(PLE!$G$14,$M738,BB$13)="",10^12,OFFSET(PLE!$G$14,$M738,BB$13))))</f>
        <v>1000000000000</v>
      </c>
      <c r="BC738" s="182">
        <f ca="1">IF($D738&lt;&gt;"Serviço",0,IF(OR(AND(AUTOEVENTO="Manual",$M738=1),$M738&gt;(ROW(PLE.lastrow)-ROW(PLE.firstrow))),0,IF(OFFSET(PLE!$G$14,$M738,BC$13)="",10^12,OFFSET(PLE!$G$14,$M738,BC$13))))</f>
        <v>1000000000000</v>
      </c>
      <c r="BD738" s="182">
        <f ca="1">IF($D738&lt;&gt;"Serviço",0,IF(OR(AND(AUTOEVENTO="Manual",$M738=1),$M738&gt;(ROW(PLE.lastrow)-ROW(PLE.firstrow))),0,IF(OFFSET(PLE!$G$14,$M738,BD$13)="",10^12,OFFSET(PLE!$G$14,$M738,BD$13))))</f>
        <v>1000000000000</v>
      </c>
      <c r="BE738" s="182">
        <f ca="1">IF($D738&lt;&gt;"Serviço",0,IF(OR(AND(AUTOEVENTO="Manual",$M738=1),$M738&gt;(ROW(PLE.lastrow)-ROW(PLE.firstrow))),0,IF(OFFSET(PLE!$G$14,$M738,BE$13)="",10^12,OFFSET(PLE!$G$14,$M738,BE$13))))</f>
        <v>1000000000000</v>
      </c>
      <c r="BF738" s="182">
        <f ca="1">IF($D738&lt;&gt;"Serviço",0,IF(OR(AND(AUTOEVENTO="Manual",$M738=1),$M738&gt;(ROW(PLE.lastrow)-ROW(PLE.firstrow))),0,IF(OFFSET(PLE!$G$14,$M738,BF$13)="",10^12,OFFSET(PLE!$G$14,$M738,BF$13))))</f>
        <v>1000000000000</v>
      </c>
      <c r="BG738" s="182">
        <f ca="1">IF($D738&lt;&gt;"Serviço",0,IF(OR(AND(AUTOEVENTO="Manual",$M738=1),$M738&gt;(ROW(PLE.lastrow)-ROW(PLE.firstrow))),0,IF(OFFSET(PLE!$G$14,$M738,BG$13)="",10^12,OFFSET(PLE!$G$14,$M738,BG$13))))</f>
        <v>1000000000000</v>
      </c>
    </row>
    <row r="739" spans="1:59" ht="12.75" x14ac:dyDescent="0.2">
      <c r="A739" s="7" t="str">
        <f t="shared" ca="1" si="18"/>
        <v>679</v>
      </c>
      <c r="B739" s="7" t="str">
        <f ca="1">OFFSET(ORÇAMENTO!C$15,ROW(B739)-ROW(B$15),0)</f>
        <v>S</v>
      </c>
      <c r="C739" s="7" t="str">
        <f ca="1">OFFSET(ORÇAMENTO!L$15,ROW(C739)-ROW(C$15),0)</f>
        <v/>
      </c>
      <c r="D739" s="118" t="str">
        <f ca="1">OFFSET(ORÇAMENTO!N$15,ROW(D739)-ROW(D$15),0)</f>
        <v>Serviço</v>
      </c>
      <c r="E739" s="119" t="str">
        <f ca="1">OFFSET(ORÇAMENTO!O$15,ROW(E739)-ROW(E$15),0)</f>
        <v>-</v>
      </c>
      <c r="F739" s="172" t="str">
        <f ca="1">OFFSET(ORÇAMENTO!R$15,ROW(F739)-ROW(F$15),0)</f>
        <v>(abra o arquivo 'Referência 02-2025.xlsm)</v>
      </c>
      <c r="G739" s="173" t="str">
        <f ca="1">IF($D739&lt;&gt;"Serviço","",OFFSET(ORÇAMENTO!S$15,ROW(G739)-ROW(G$15),0))</f>
        <v>-</v>
      </c>
      <c r="H739" s="124">
        <f ca="1">IF($D739&lt;&gt;"Serviço",0,IF(ACOMPANHAMENTO="BM",ROUND(OFFSET(ORÇAMENTO!AJ$15,ROW(H739)-ROW(H$15),0),15-13*ORÇAMENTO!$AF$7),SUMPRODUCT(($Q$12:$AA$12&lt;&gt;"")*ROUND($Q739:$AA739,15-13*ORÇAMENTO!$AF$7))))</f>
        <v>110.1</v>
      </c>
      <c r="I739" s="561" t="s">
        <v>890</v>
      </c>
      <c r="K739" s="174"/>
      <c r="L739" s="175" t="s">
        <v>255</v>
      </c>
      <c r="M739" s="176">
        <f ca="1">IF($D739&lt;&gt;"Serviço","",IF(AUTOEVENTO="manual",$A739,IF(ISERROR(MATCH($A739,$A$15:OFFSET($A739,-1,0),0)),MAX($M$15:OFFSET(M739,-1,0))+1,INDEX($M$15:OFFSET(M739,-1,0),MATCH($A739,$A$15:OFFSET($A739,-1,0),0)))))</f>
        <v>25</v>
      </c>
      <c r="N739" s="177" t="str">
        <f ca="1">IF($D739&lt;&gt;"Serviço","",IF(AUTOEVENTO="Manual",IF($A739=0,"&lt;-- defina o número do agrupador",OFFSET(EVENTOS!$D$14,$A739,0)),OFFSET($F$15,$A739,0)))</f>
        <v>FECHAMENTO - MURO</v>
      </c>
      <c r="O739" s="178"/>
      <c r="Q739" s="178"/>
      <c r="R739" s="179"/>
      <c r="S739" s="179"/>
      <c r="T739" s="179"/>
      <c r="U739" s="179"/>
      <c r="V739" s="179"/>
      <c r="W739" s="179"/>
      <c r="X739" s="179"/>
      <c r="Y739" s="179"/>
      <c r="Z739" s="180"/>
      <c r="AB739" s="544">
        <f ca="1">IF(AND($D739="Serviço",AB$12&lt;&gt;0,$H739&gt;0,OR(AUTOEVENTO&lt;&gt;"manual",$M739&lt;&gt;1)),
IF(Import.TipoArredondamento&lt;&gt;"TransfereGOV",
ROUND(OFFSET($P739,0,AB$13),15-13*ORÇAMENTO!$AF$7)/$H739*OFFSET(ORÇAMENTO!$X$15,ROW(AB739)-ROW(AB$15),0),
ROUND(ROUND(OFFSET($P739,0,AB$13),15-13*ORÇAMENTO!$AF$7)*OFFSET(ORÇAMENTO!$W$15,ROW(AB739)-ROW(AB$15),0),15-13*ORÇAMENTO!$AF$11)),0)</f>
        <v>0</v>
      </c>
      <c r="AC739" s="545">
        <f ca="1">IF(AND($D739="Serviço",AC$12&lt;&gt;0,$H739&gt;0,OR(AUTOEVENTO&lt;&gt;"manual",$M739&lt;&gt;1)),
IF(Import.TipoArredondamento&lt;&gt;"TransfereGOV",
ROUND(OFFSET($P739,0,AC$13),15-13*ORÇAMENTO!$AF$7)/$H739*OFFSET(ORÇAMENTO!$X$15,ROW(AC739)-ROW(AC$15),0),
ROUND(ROUND(OFFSET($P739,0,AC$13),15-13*ORÇAMENTO!$AF$7)*OFFSET(ORÇAMENTO!$W$15,ROW(AC739)-ROW(AC$15),0),15-13*ORÇAMENTO!$AF$11)),0)</f>
        <v>0</v>
      </c>
      <c r="AD739" s="545">
        <f ca="1">IF(AND($D739="Serviço",AD$12&lt;&gt;0,$H739&gt;0,OR(AUTOEVENTO&lt;&gt;"manual",$M739&lt;&gt;1)),
IF(Import.TipoArredondamento&lt;&gt;"TransfereGOV",
ROUND(OFFSET($P739,0,AD$13),15-13*ORÇAMENTO!$AF$7)/$H739*OFFSET(ORÇAMENTO!$X$15,ROW(AD739)-ROW(AD$15),0),
ROUND(ROUND(OFFSET($P739,0,AD$13),15-13*ORÇAMENTO!$AF$7)*OFFSET(ORÇAMENTO!$W$15,ROW(AD739)-ROW(AD$15),0),15-13*ORÇAMENTO!$AF$11)),0)</f>
        <v>0</v>
      </c>
      <c r="AE739" s="545">
        <f ca="1">IF(AND($D739="Serviço",AE$12&lt;&gt;0,$H739&gt;0,OR(AUTOEVENTO&lt;&gt;"manual",$M739&lt;&gt;1)),
IF(Import.TipoArredondamento&lt;&gt;"TransfereGOV",
ROUND(OFFSET($P739,0,AE$13),15-13*ORÇAMENTO!$AF$7)/$H739*OFFSET(ORÇAMENTO!$X$15,ROW(AE739)-ROW(AE$15),0),
ROUND(ROUND(OFFSET($P739,0,AE$13),15-13*ORÇAMENTO!$AF$7)*OFFSET(ORÇAMENTO!$W$15,ROW(AE739)-ROW(AE$15),0),15-13*ORÇAMENTO!$AF$11)),0)</f>
        <v>0</v>
      </c>
      <c r="AF739" s="545">
        <f ca="1">IF(AND($D739="Serviço",AF$12&lt;&gt;0,$H739&gt;0,OR(AUTOEVENTO&lt;&gt;"manual",$M739&lt;&gt;1)),
IF(Import.TipoArredondamento&lt;&gt;"TransfereGOV",
ROUND(OFFSET($P739,0,AF$13),15-13*ORÇAMENTO!$AF$7)/$H739*OFFSET(ORÇAMENTO!$X$15,ROW(AF739)-ROW(AF$15),0),
ROUND(ROUND(OFFSET($P739,0,AF$13),15-13*ORÇAMENTO!$AF$7)*OFFSET(ORÇAMENTO!$W$15,ROW(AF739)-ROW(AF$15),0),15-13*ORÇAMENTO!$AF$11)),0)</f>
        <v>0</v>
      </c>
      <c r="AG739" s="545">
        <f ca="1">IF(AND($D739="Serviço",AG$12&lt;&gt;0,$H739&gt;0,OR(AUTOEVENTO&lt;&gt;"manual",$M739&lt;&gt;1)),
IF(Import.TipoArredondamento&lt;&gt;"TransfereGOV",
ROUND(OFFSET($P739,0,AG$13),15-13*ORÇAMENTO!$AF$7)/$H739*OFFSET(ORÇAMENTO!$X$15,ROW(AG739)-ROW(AG$15),0),
ROUND(ROUND(OFFSET($P739,0,AG$13),15-13*ORÇAMENTO!$AF$7)*OFFSET(ORÇAMENTO!$W$15,ROW(AG739)-ROW(AG$15),0),15-13*ORÇAMENTO!$AF$11)),0)</f>
        <v>0</v>
      </c>
      <c r="AH739" s="545">
        <f ca="1">IF(AND($D739="Serviço",AH$12&lt;&gt;0,$H739&gt;0,OR(AUTOEVENTO&lt;&gt;"manual",$M739&lt;&gt;1)),
IF(Import.TipoArredondamento&lt;&gt;"TransfereGOV",
ROUND(OFFSET($P739,0,AH$13),15-13*ORÇAMENTO!$AF$7)/$H739*OFFSET(ORÇAMENTO!$X$15,ROW(AH739)-ROW(AH$15),0),
ROUND(ROUND(OFFSET($P739,0,AH$13),15-13*ORÇAMENTO!$AF$7)*OFFSET(ORÇAMENTO!$W$15,ROW(AH739)-ROW(AH$15),0),15-13*ORÇAMENTO!$AF$11)),0)</f>
        <v>0</v>
      </c>
      <c r="AI739" s="545">
        <f ca="1">IF(AND($D739="Serviço",AI$12&lt;&gt;0,$H739&gt;0,OR(AUTOEVENTO&lt;&gt;"manual",$M739&lt;&gt;1)),
IF(Import.TipoArredondamento&lt;&gt;"TransfereGOV",
ROUND(OFFSET($P739,0,AI$13),15-13*ORÇAMENTO!$AF$7)/$H739*OFFSET(ORÇAMENTO!$X$15,ROW(AI739)-ROW(AI$15),0),
ROUND(ROUND(OFFSET($P739,0,AI$13),15-13*ORÇAMENTO!$AF$7)*OFFSET(ORÇAMENTO!$W$15,ROW(AI739)-ROW(AI$15),0),15-13*ORÇAMENTO!$AF$11)),0)</f>
        <v>0</v>
      </c>
      <c r="AJ739" s="545">
        <f ca="1">IF(AND($D739="Serviço",AJ$12&lt;&gt;0,$H739&gt;0,OR(AUTOEVENTO&lt;&gt;"manual",$M739&lt;&gt;1)),
IF(Import.TipoArredondamento&lt;&gt;"TransfereGOV",
ROUND(OFFSET($P739,0,AJ$13),15-13*ORÇAMENTO!$AF$7)/$H739*OFFSET(ORÇAMENTO!$X$15,ROW(AJ739)-ROW(AJ$15),0),
ROUND(ROUND(OFFSET($P739,0,AJ$13),15-13*ORÇAMENTO!$AF$7)*OFFSET(ORÇAMENTO!$W$15,ROW(AJ739)-ROW(AJ$15),0),15-13*ORÇAMENTO!$AF$11)),0)</f>
        <v>0</v>
      </c>
      <c r="AK739" s="546">
        <f ca="1">IF(AND($D739="Serviço",AK$12&lt;&gt;0,$H739&gt;0,OR(AUTOEVENTO&lt;&gt;"manual",$M739&lt;&gt;1)),
IF(Import.TipoArredondamento&lt;&gt;"TransfereGOV",
ROUND(OFFSET($P739,0,AK$13),15-13*ORÇAMENTO!$AF$7)/$H739*OFFSET(ORÇAMENTO!$X$15,ROW(AK739)-ROW(AK$15),0),
ROUND(ROUND(OFFSET($P739,0,AK$13),15-13*ORÇAMENTO!$AF$7)*OFFSET(ORÇAMENTO!$W$15,ROW(AK739)-ROW(AK$15),0),15-13*ORÇAMENTO!$AF$11)),0)</f>
        <v>0</v>
      </c>
      <c r="AM739" s="181">
        <f ca="1">IF($D739&lt;&gt;"Serviço",0,IF(AND(AUTOEVENTO="Manual",$M739=1),0,IF(OFFSET(CRONOPLE!$F$14,$M739,AM$13)="",10^12,OFFSET(CRONOPLE!$F$14,$M739,AM$13))))</f>
        <v>1000000000000</v>
      </c>
      <c r="AN739" s="181">
        <f ca="1">IF($D739&lt;&gt;"Serviço",0,IF(AND(AUTOEVENTO="Manual",$M739=1),0,IF(OFFSET(CRONOPLE!$F$14,$M739,AN$13)="",10^12,OFFSET(CRONOPLE!$F$14,$M739,AN$13))))</f>
        <v>1000000000000</v>
      </c>
      <c r="AO739" s="181">
        <f ca="1">IF($D739&lt;&gt;"Serviço",0,IF(AND(AUTOEVENTO="Manual",$M739=1),0,IF(OFFSET(CRONOPLE!$F$14,$M739,AO$13)="",10^12,OFFSET(CRONOPLE!$F$14,$M739,AO$13))))</f>
        <v>1000000000000</v>
      </c>
      <c r="AP739" s="181">
        <f ca="1">IF($D739&lt;&gt;"Serviço",0,IF(AND(AUTOEVENTO="Manual",$M739=1),0,IF(OFFSET(CRONOPLE!$F$14,$M739,AP$13)="",10^12,OFFSET(CRONOPLE!$F$14,$M739,AP$13))))</f>
        <v>1000000000000</v>
      </c>
      <c r="AQ739" s="181">
        <f ca="1">IF($D739&lt;&gt;"Serviço",0,IF(AND(AUTOEVENTO="Manual",$M739=1),0,IF(OFFSET(CRONOPLE!$F$14,$M739,AQ$13)="",10^12,OFFSET(CRONOPLE!$F$14,$M739,AQ$13))))</f>
        <v>1000000000000</v>
      </c>
      <c r="AR739" s="181">
        <f ca="1">IF($D739&lt;&gt;"Serviço",0,IF(AND(AUTOEVENTO="Manual",$M739=1),0,IF(OFFSET(CRONOPLE!$F$14,$M739,AR$13)="",10^12,OFFSET(CRONOPLE!$F$14,$M739,AR$13))))</f>
        <v>1000000000000</v>
      </c>
      <c r="AS739" s="181">
        <f ca="1">IF($D739&lt;&gt;"Serviço",0,IF(AND(AUTOEVENTO="Manual",$M739=1),0,IF(OFFSET(CRONOPLE!$F$14,$M739,AS$13)="",10^12,OFFSET(CRONOPLE!$F$14,$M739,AS$13))))</f>
        <v>1000000000000</v>
      </c>
      <c r="AT739" s="181">
        <f ca="1">IF($D739&lt;&gt;"Serviço",0,IF(AND(AUTOEVENTO="Manual",$M739=1),0,IF(OFFSET(CRONOPLE!$F$14,$M739,AT$13)="",10^12,OFFSET(CRONOPLE!$F$14,$M739,AT$13))))</f>
        <v>1000000000000</v>
      </c>
      <c r="AU739" s="181">
        <f ca="1">IF($D739&lt;&gt;"Serviço",0,IF(AND(AUTOEVENTO="Manual",$M739=1),0,IF(OFFSET(CRONOPLE!$F$14,$M739,AU$13)="",10^12,OFFSET(CRONOPLE!$F$14,$M739,AU$13))))</f>
        <v>1000000000000</v>
      </c>
      <c r="AV739" s="181">
        <f ca="1">IF($D739&lt;&gt;"Serviço",0,IF(AND(AUTOEVENTO="Manual",$M739=1),0,IF(OFFSET(CRONOPLE!$F$14,$M739,AV$13)="",10^12,OFFSET(CRONOPLE!$F$14,$M739,AV$13))))</f>
        <v>1000000000000</v>
      </c>
      <c r="AX739" s="182">
        <f ca="1">IF($D739&lt;&gt;"Serviço",0,IF(OR(AND(AUTOEVENTO="Manual",$M739=1),$M739&gt;(ROW(PLE.lastrow)-ROW(PLE.firstrow))),0,IF(OFFSET(PLE!$G$14,$M739,AX$13)="",10^12,OFFSET(PLE!$G$14,$M739,AX$13))))</f>
        <v>1000000000000</v>
      </c>
      <c r="AY739" s="182">
        <f ca="1">IF($D739&lt;&gt;"Serviço",0,IF(OR(AND(AUTOEVENTO="Manual",$M739=1),$M739&gt;(ROW(PLE.lastrow)-ROW(PLE.firstrow))),0,IF(OFFSET(PLE!$G$14,$M739,AY$13)="",10^12,OFFSET(PLE!$G$14,$M739,AY$13))))</f>
        <v>1000000000000</v>
      </c>
      <c r="AZ739" s="182">
        <f ca="1">IF($D739&lt;&gt;"Serviço",0,IF(OR(AND(AUTOEVENTO="Manual",$M739=1),$M739&gt;(ROW(PLE.lastrow)-ROW(PLE.firstrow))),0,IF(OFFSET(PLE!$G$14,$M739,AZ$13)="",10^12,OFFSET(PLE!$G$14,$M739,AZ$13))))</f>
        <v>1000000000000</v>
      </c>
      <c r="BA739" s="182">
        <f ca="1">IF($D739&lt;&gt;"Serviço",0,IF(OR(AND(AUTOEVENTO="Manual",$M739=1),$M739&gt;(ROW(PLE.lastrow)-ROW(PLE.firstrow))),0,IF(OFFSET(PLE!$G$14,$M739,BA$13)="",10^12,OFFSET(PLE!$G$14,$M739,BA$13))))</f>
        <v>1000000000000</v>
      </c>
      <c r="BB739" s="182">
        <f ca="1">IF($D739&lt;&gt;"Serviço",0,IF(OR(AND(AUTOEVENTO="Manual",$M739=1),$M739&gt;(ROW(PLE.lastrow)-ROW(PLE.firstrow))),0,IF(OFFSET(PLE!$G$14,$M739,BB$13)="",10^12,OFFSET(PLE!$G$14,$M739,BB$13))))</f>
        <v>1000000000000</v>
      </c>
      <c r="BC739" s="182">
        <f ca="1">IF($D739&lt;&gt;"Serviço",0,IF(OR(AND(AUTOEVENTO="Manual",$M739=1),$M739&gt;(ROW(PLE.lastrow)-ROW(PLE.firstrow))),0,IF(OFFSET(PLE!$G$14,$M739,BC$13)="",10^12,OFFSET(PLE!$G$14,$M739,BC$13))))</f>
        <v>1000000000000</v>
      </c>
      <c r="BD739" s="182">
        <f ca="1">IF($D739&lt;&gt;"Serviço",0,IF(OR(AND(AUTOEVENTO="Manual",$M739=1),$M739&gt;(ROW(PLE.lastrow)-ROW(PLE.firstrow))),0,IF(OFFSET(PLE!$G$14,$M739,BD$13)="",10^12,OFFSET(PLE!$G$14,$M739,BD$13))))</f>
        <v>1000000000000</v>
      </c>
      <c r="BE739" s="182">
        <f ca="1">IF($D739&lt;&gt;"Serviço",0,IF(OR(AND(AUTOEVENTO="Manual",$M739=1),$M739&gt;(ROW(PLE.lastrow)-ROW(PLE.firstrow))),0,IF(OFFSET(PLE!$G$14,$M739,BE$13)="",10^12,OFFSET(PLE!$G$14,$M739,BE$13))))</f>
        <v>1000000000000</v>
      </c>
      <c r="BF739" s="182">
        <f ca="1">IF($D739&lt;&gt;"Serviço",0,IF(OR(AND(AUTOEVENTO="Manual",$M739=1),$M739&gt;(ROW(PLE.lastrow)-ROW(PLE.firstrow))),0,IF(OFFSET(PLE!$G$14,$M739,BF$13)="",10^12,OFFSET(PLE!$G$14,$M739,BF$13))))</f>
        <v>1000000000000</v>
      </c>
      <c r="BG739" s="182">
        <f ca="1">IF($D739&lt;&gt;"Serviço",0,IF(OR(AND(AUTOEVENTO="Manual",$M739=1),$M739&gt;(ROW(PLE.lastrow)-ROW(PLE.firstrow))),0,IF(OFFSET(PLE!$G$14,$M739,BG$13)="",10^12,OFFSET(PLE!$G$14,$M739,BG$13))))</f>
        <v>1000000000000</v>
      </c>
    </row>
    <row r="740" spans="1:59" ht="12.75" x14ac:dyDescent="0.2">
      <c r="A740" s="7" t="str">
        <f t="shared" ca="1" si="18"/>
        <v>679</v>
      </c>
      <c r="B740" s="7">
        <f ca="1">OFFSET(ORÇAMENTO!C$15,ROW(B740)-ROW(B$15),0)</f>
        <v>3</v>
      </c>
      <c r="C740" s="7" t="str">
        <f ca="1">OFFSET(ORÇAMENTO!L$15,ROW(C740)-ROW(C$15),0)</f>
        <v>F</v>
      </c>
      <c r="D740" s="118" t="str">
        <f ca="1">OFFSET(ORÇAMENTO!N$15,ROW(D740)-ROW(D$15),0)</f>
        <v>Nível 3</v>
      </c>
      <c r="E740" s="119" t="str">
        <f ca="1">OFFSET(ORÇAMENTO!O$15,ROW(E740)-ROW(E$15),0)</f>
        <v>1.24.8.</v>
      </c>
      <c r="F740" s="172" t="str">
        <f ca="1">OFFSET(ORÇAMENTO!R$15,ROW(F740)-ROW(F$15),0)</f>
        <v>PINTURA</v>
      </c>
      <c r="G740" s="173" t="str">
        <f ca="1">IF($D740&lt;&gt;"Serviço","",OFFSET(ORÇAMENTO!S$15,ROW(G740)-ROW(G$15),0))</f>
        <v/>
      </c>
      <c r="H740" s="124">
        <f ca="1">IF($D740&lt;&gt;"Serviço",0,IF(ACOMPANHAMENTO="BM",ROUND(OFFSET(ORÇAMENTO!AJ$15,ROW(H740)-ROW(H$15),0),15-13*ORÇAMENTO!$AF$7),SUMPRODUCT(($Q$12:$AA$12&lt;&gt;"")*ROUND($Q740:$AA740,15-13*ORÇAMENTO!$AF$7))))</f>
        <v>0</v>
      </c>
      <c r="I740" s="561"/>
      <c r="K740" s="174"/>
      <c r="L740" s="175" t="s">
        <v>255</v>
      </c>
      <c r="M740" s="176" t="str">
        <f ca="1">IF($D740&lt;&gt;"Serviço","",IF(AUTOEVENTO="manual",$A740,IF(ISERROR(MATCH($A740,$A$15:OFFSET($A740,-1,0),0)),MAX($M$15:OFFSET(M740,-1,0))+1,INDEX($M$15:OFFSET(M740,-1,0),MATCH($A740,$A$15:OFFSET($A740,-1,0),0)))))</f>
        <v/>
      </c>
      <c r="N740" s="177" t="str">
        <f ca="1">IF($D740&lt;&gt;"Serviço","",IF(AUTOEVENTO="Manual",IF($A740=0,"&lt;-- defina o número do agrupador",OFFSET(EVENTOS!$D$14,$A740,0)),OFFSET($F$15,$A740,0)))</f>
        <v/>
      </c>
      <c r="O740" s="178"/>
      <c r="Q740" s="178"/>
      <c r="R740" s="179"/>
      <c r="S740" s="179"/>
      <c r="T740" s="179"/>
      <c r="U740" s="179"/>
      <c r="V740" s="179"/>
      <c r="W740" s="179"/>
      <c r="X740" s="179"/>
      <c r="Y740" s="179"/>
      <c r="Z740" s="180"/>
      <c r="AB740" s="544">
        <f ca="1">IF(AND($D740="Serviço",AB$12&lt;&gt;0,$H740&gt;0,OR(AUTOEVENTO&lt;&gt;"manual",$M740&lt;&gt;1)),
IF(Import.TipoArredondamento&lt;&gt;"TransfereGOV",
ROUND(OFFSET($P740,0,AB$13),15-13*ORÇAMENTO!$AF$7)/$H740*OFFSET(ORÇAMENTO!$X$15,ROW(AB740)-ROW(AB$15),0),
ROUND(ROUND(OFFSET($P740,0,AB$13),15-13*ORÇAMENTO!$AF$7)*OFFSET(ORÇAMENTO!$W$15,ROW(AB740)-ROW(AB$15),0),15-13*ORÇAMENTO!$AF$11)),0)</f>
        <v>0</v>
      </c>
      <c r="AC740" s="545">
        <f ca="1">IF(AND($D740="Serviço",AC$12&lt;&gt;0,$H740&gt;0,OR(AUTOEVENTO&lt;&gt;"manual",$M740&lt;&gt;1)),
IF(Import.TipoArredondamento&lt;&gt;"TransfereGOV",
ROUND(OFFSET($P740,0,AC$13),15-13*ORÇAMENTO!$AF$7)/$H740*OFFSET(ORÇAMENTO!$X$15,ROW(AC740)-ROW(AC$15),0),
ROUND(ROUND(OFFSET($P740,0,AC$13),15-13*ORÇAMENTO!$AF$7)*OFFSET(ORÇAMENTO!$W$15,ROW(AC740)-ROW(AC$15),0),15-13*ORÇAMENTO!$AF$11)),0)</f>
        <v>0</v>
      </c>
      <c r="AD740" s="545">
        <f ca="1">IF(AND($D740="Serviço",AD$12&lt;&gt;0,$H740&gt;0,OR(AUTOEVENTO&lt;&gt;"manual",$M740&lt;&gt;1)),
IF(Import.TipoArredondamento&lt;&gt;"TransfereGOV",
ROUND(OFFSET($P740,0,AD$13),15-13*ORÇAMENTO!$AF$7)/$H740*OFFSET(ORÇAMENTO!$X$15,ROW(AD740)-ROW(AD$15),0),
ROUND(ROUND(OFFSET($P740,0,AD$13),15-13*ORÇAMENTO!$AF$7)*OFFSET(ORÇAMENTO!$W$15,ROW(AD740)-ROW(AD$15),0),15-13*ORÇAMENTO!$AF$11)),0)</f>
        <v>0</v>
      </c>
      <c r="AE740" s="545">
        <f ca="1">IF(AND($D740="Serviço",AE$12&lt;&gt;0,$H740&gt;0,OR(AUTOEVENTO&lt;&gt;"manual",$M740&lt;&gt;1)),
IF(Import.TipoArredondamento&lt;&gt;"TransfereGOV",
ROUND(OFFSET($P740,0,AE$13),15-13*ORÇAMENTO!$AF$7)/$H740*OFFSET(ORÇAMENTO!$X$15,ROW(AE740)-ROW(AE$15),0),
ROUND(ROUND(OFFSET($P740,0,AE$13),15-13*ORÇAMENTO!$AF$7)*OFFSET(ORÇAMENTO!$W$15,ROW(AE740)-ROW(AE$15),0),15-13*ORÇAMENTO!$AF$11)),0)</f>
        <v>0</v>
      </c>
      <c r="AF740" s="545">
        <f ca="1">IF(AND($D740="Serviço",AF$12&lt;&gt;0,$H740&gt;0,OR(AUTOEVENTO&lt;&gt;"manual",$M740&lt;&gt;1)),
IF(Import.TipoArredondamento&lt;&gt;"TransfereGOV",
ROUND(OFFSET($P740,0,AF$13),15-13*ORÇAMENTO!$AF$7)/$H740*OFFSET(ORÇAMENTO!$X$15,ROW(AF740)-ROW(AF$15),0),
ROUND(ROUND(OFFSET($P740,0,AF$13),15-13*ORÇAMENTO!$AF$7)*OFFSET(ORÇAMENTO!$W$15,ROW(AF740)-ROW(AF$15),0),15-13*ORÇAMENTO!$AF$11)),0)</f>
        <v>0</v>
      </c>
      <c r="AG740" s="545">
        <f ca="1">IF(AND($D740="Serviço",AG$12&lt;&gt;0,$H740&gt;0,OR(AUTOEVENTO&lt;&gt;"manual",$M740&lt;&gt;1)),
IF(Import.TipoArredondamento&lt;&gt;"TransfereGOV",
ROUND(OFFSET($P740,0,AG$13),15-13*ORÇAMENTO!$AF$7)/$H740*OFFSET(ORÇAMENTO!$X$15,ROW(AG740)-ROW(AG$15),0),
ROUND(ROUND(OFFSET($P740,0,AG$13),15-13*ORÇAMENTO!$AF$7)*OFFSET(ORÇAMENTO!$W$15,ROW(AG740)-ROW(AG$15),0),15-13*ORÇAMENTO!$AF$11)),0)</f>
        <v>0</v>
      </c>
      <c r="AH740" s="545">
        <f ca="1">IF(AND($D740="Serviço",AH$12&lt;&gt;0,$H740&gt;0,OR(AUTOEVENTO&lt;&gt;"manual",$M740&lt;&gt;1)),
IF(Import.TipoArredondamento&lt;&gt;"TransfereGOV",
ROUND(OFFSET($P740,0,AH$13),15-13*ORÇAMENTO!$AF$7)/$H740*OFFSET(ORÇAMENTO!$X$15,ROW(AH740)-ROW(AH$15),0),
ROUND(ROUND(OFFSET($P740,0,AH$13),15-13*ORÇAMENTO!$AF$7)*OFFSET(ORÇAMENTO!$W$15,ROW(AH740)-ROW(AH$15),0),15-13*ORÇAMENTO!$AF$11)),0)</f>
        <v>0</v>
      </c>
      <c r="AI740" s="545">
        <f ca="1">IF(AND($D740="Serviço",AI$12&lt;&gt;0,$H740&gt;0,OR(AUTOEVENTO&lt;&gt;"manual",$M740&lt;&gt;1)),
IF(Import.TipoArredondamento&lt;&gt;"TransfereGOV",
ROUND(OFFSET($P740,0,AI$13),15-13*ORÇAMENTO!$AF$7)/$H740*OFFSET(ORÇAMENTO!$X$15,ROW(AI740)-ROW(AI$15),0),
ROUND(ROUND(OFFSET($P740,0,AI$13),15-13*ORÇAMENTO!$AF$7)*OFFSET(ORÇAMENTO!$W$15,ROW(AI740)-ROW(AI$15),0),15-13*ORÇAMENTO!$AF$11)),0)</f>
        <v>0</v>
      </c>
      <c r="AJ740" s="545">
        <f ca="1">IF(AND($D740="Serviço",AJ$12&lt;&gt;0,$H740&gt;0,OR(AUTOEVENTO&lt;&gt;"manual",$M740&lt;&gt;1)),
IF(Import.TipoArredondamento&lt;&gt;"TransfereGOV",
ROUND(OFFSET($P740,0,AJ$13),15-13*ORÇAMENTO!$AF$7)/$H740*OFFSET(ORÇAMENTO!$X$15,ROW(AJ740)-ROW(AJ$15),0),
ROUND(ROUND(OFFSET($P740,0,AJ$13),15-13*ORÇAMENTO!$AF$7)*OFFSET(ORÇAMENTO!$W$15,ROW(AJ740)-ROW(AJ$15),0),15-13*ORÇAMENTO!$AF$11)),0)</f>
        <v>0</v>
      </c>
      <c r="AK740" s="546">
        <f ca="1">IF(AND($D740="Serviço",AK$12&lt;&gt;0,$H740&gt;0,OR(AUTOEVENTO&lt;&gt;"manual",$M740&lt;&gt;1)),
IF(Import.TipoArredondamento&lt;&gt;"TransfereGOV",
ROUND(OFFSET($P740,0,AK$13),15-13*ORÇAMENTO!$AF$7)/$H740*OFFSET(ORÇAMENTO!$X$15,ROW(AK740)-ROW(AK$15),0),
ROUND(ROUND(OFFSET($P740,0,AK$13),15-13*ORÇAMENTO!$AF$7)*OFFSET(ORÇAMENTO!$W$15,ROW(AK740)-ROW(AK$15),0),15-13*ORÇAMENTO!$AF$11)),0)</f>
        <v>0</v>
      </c>
      <c r="AM740" s="181">
        <f ca="1">IF($D740&lt;&gt;"Serviço",0,IF(AND(AUTOEVENTO="Manual",$M740=1),0,IF(OFFSET(CRONOPLE!$F$14,$M740,AM$13)="",10^12,OFFSET(CRONOPLE!$F$14,$M740,AM$13))))</f>
        <v>0</v>
      </c>
      <c r="AN740" s="181">
        <f ca="1">IF($D740&lt;&gt;"Serviço",0,IF(AND(AUTOEVENTO="Manual",$M740=1),0,IF(OFFSET(CRONOPLE!$F$14,$M740,AN$13)="",10^12,OFFSET(CRONOPLE!$F$14,$M740,AN$13))))</f>
        <v>0</v>
      </c>
      <c r="AO740" s="181">
        <f ca="1">IF($D740&lt;&gt;"Serviço",0,IF(AND(AUTOEVENTO="Manual",$M740=1),0,IF(OFFSET(CRONOPLE!$F$14,$M740,AO$13)="",10^12,OFFSET(CRONOPLE!$F$14,$M740,AO$13))))</f>
        <v>0</v>
      </c>
      <c r="AP740" s="181">
        <f ca="1">IF($D740&lt;&gt;"Serviço",0,IF(AND(AUTOEVENTO="Manual",$M740=1),0,IF(OFFSET(CRONOPLE!$F$14,$M740,AP$13)="",10^12,OFFSET(CRONOPLE!$F$14,$M740,AP$13))))</f>
        <v>0</v>
      </c>
      <c r="AQ740" s="181">
        <f ca="1">IF($D740&lt;&gt;"Serviço",0,IF(AND(AUTOEVENTO="Manual",$M740=1),0,IF(OFFSET(CRONOPLE!$F$14,$M740,AQ$13)="",10^12,OFFSET(CRONOPLE!$F$14,$M740,AQ$13))))</f>
        <v>0</v>
      </c>
      <c r="AR740" s="181">
        <f ca="1">IF($D740&lt;&gt;"Serviço",0,IF(AND(AUTOEVENTO="Manual",$M740=1),0,IF(OFFSET(CRONOPLE!$F$14,$M740,AR$13)="",10^12,OFFSET(CRONOPLE!$F$14,$M740,AR$13))))</f>
        <v>0</v>
      </c>
      <c r="AS740" s="181">
        <f ca="1">IF($D740&lt;&gt;"Serviço",0,IF(AND(AUTOEVENTO="Manual",$M740=1),0,IF(OFFSET(CRONOPLE!$F$14,$M740,AS$13)="",10^12,OFFSET(CRONOPLE!$F$14,$M740,AS$13))))</f>
        <v>0</v>
      </c>
      <c r="AT740" s="181">
        <f ca="1">IF($D740&lt;&gt;"Serviço",0,IF(AND(AUTOEVENTO="Manual",$M740=1),0,IF(OFFSET(CRONOPLE!$F$14,$M740,AT$13)="",10^12,OFFSET(CRONOPLE!$F$14,$M740,AT$13))))</f>
        <v>0</v>
      </c>
      <c r="AU740" s="181">
        <f ca="1">IF($D740&lt;&gt;"Serviço",0,IF(AND(AUTOEVENTO="Manual",$M740=1),0,IF(OFFSET(CRONOPLE!$F$14,$M740,AU$13)="",10^12,OFFSET(CRONOPLE!$F$14,$M740,AU$13))))</f>
        <v>0</v>
      </c>
      <c r="AV740" s="181">
        <f ca="1">IF($D740&lt;&gt;"Serviço",0,IF(AND(AUTOEVENTO="Manual",$M740=1),0,IF(OFFSET(CRONOPLE!$F$14,$M740,AV$13)="",10^12,OFFSET(CRONOPLE!$F$14,$M740,AV$13))))</f>
        <v>0</v>
      </c>
      <c r="AX740" s="182">
        <f ca="1">IF($D740&lt;&gt;"Serviço",0,IF(OR(AND(AUTOEVENTO="Manual",$M740=1),$M740&gt;(ROW(PLE.lastrow)-ROW(PLE.firstrow))),0,IF(OFFSET(PLE!$G$14,$M740,AX$13)="",10^12,OFFSET(PLE!$G$14,$M740,AX$13))))</f>
        <v>0</v>
      </c>
      <c r="AY740" s="182">
        <f ca="1">IF($D740&lt;&gt;"Serviço",0,IF(OR(AND(AUTOEVENTO="Manual",$M740=1),$M740&gt;(ROW(PLE.lastrow)-ROW(PLE.firstrow))),0,IF(OFFSET(PLE!$G$14,$M740,AY$13)="",10^12,OFFSET(PLE!$G$14,$M740,AY$13))))</f>
        <v>0</v>
      </c>
      <c r="AZ740" s="182">
        <f ca="1">IF($D740&lt;&gt;"Serviço",0,IF(OR(AND(AUTOEVENTO="Manual",$M740=1),$M740&gt;(ROW(PLE.lastrow)-ROW(PLE.firstrow))),0,IF(OFFSET(PLE!$G$14,$M740,AZ$13)="",10^12,OFFSET(PLE!$G$14,$M740,AZ$13))))</f>
        <v>0</v>
      </c>
      <c r="BA740" s="182">
        <f ca="1">IF($D740&lt;&gt;"Serviço",0,IF(OR(AND(AUTOEVENTO="Manual",$M740=1),$M740&gt;(ROW(PLE.lastrow)-ROW(PLE.firstrow))),0,IF(OFFSET(PLE!$G$14,$M740,BA$13)="",10^12,OFFSET(PLE!$G$14,$M740,BA$13))))</f>
        <v>0</v>
      </c>
      <c r="BB740" s="182">
        <f ca="1">IF($D740&lt;&gt;"Serviço",0,IF(OR(AND(AUTOEVENTO="Manual",$M740=1),$M740&gt;(ROW(PLE.lastrow)-ROW(PLE.firstrow))),0,IF(OFFSET(PLE!$G$14,$M740,BB$13)="",10^12,OFFSET(PLE!$G$14,$M740,BB$13))))</f>
        <v>0</v>
      </c>
      <c r="BC740" s="182">
        <f ca="1">IF($D740&lt;&gt;"Serviço",0,IF(OR(AND(AUTOEVENTO="Manual",$M740=1),$M740&gt;(ROW(PLE.lastrow)-ROW(PLE.firstrow))),0,IF(OFFSET(PLE!$G$14,$M740,BC$13)="",10^12,OFFSET(PLE!$G$14,$M740,BC$13))))</f>
        <v>0</v>
      </c>
      <c r="BD740" s="182">
        <f ca="1">IF($D740&lt;&gt;"Serviço",0,IF(OR(AND(AUTOEVENTO="Manual",$M740=1),$M740&gt;(ROW(PLE.lastrow)-ROW(PLE.firstrow))),0,IF(OFFSET(PLE!$G$14,$M740,BD$13)="",10^12,OFFSET(PLE!$G$14,$M740,BD$13))))</f>
        <v>0</v>
      </c>
      <c r="BE740" s="182">
        <f ca="1">IF($D740&lt;&gt;"Serviço",0,IF(OR(AND(AUTOEVENTO="Manual",$M740=1),$M740&gt;(ROW(PLE.lastrow)-ROW(PLE.firstrow))),0,IF(OFFSET(PLE!$G$14,$M740,BE$13)="",10^12,OFFSET(PLE!$G$14,$M740,BE$13))))</f>
        <v>0</v>
      </c>
      <c r="BF740" s="182">
        <f ca="1">IF($D740&lt;&gt;"Serviço",0,IF(OR(AND(AUTOEVENTO="Manual",$M740=1),$M740&gt;(ROW(PLE.lastrow)-ROW(PLE.firstrow))),0,IF(OFFSET(PLE!$G$14,$M740,BF$13)="",10^12,OFFSET(PLE!$G$14,$M740,BF$13))))</f>
        <v>0</v>
      </c>
      <c r="BG740" s="182">
        <f ca="1">IF($D740&lt;&gt;"Serviço",0,IF(OR(AND(AUTOEVENTO="Manual",$M740=1),$M740&gt;(ROW(PLE.lastrow)-ROW(PLE.firstrow))),0,IF(OFFSET(PLE!$G$14,$M740,BG$13)="",10^12,OFFSET(PLE!$G$14,$M740,BG$13))))</f>
        <v>0</v>
      </c>
    </row>
    <row r="741" spans="1:59" ht="25.5" x14ac:dyDescent="0.2">
      <c r="A741" s="7" t="str">
        <f t="shared" ca="1" si="18"/>
        <v>679</v>
      </c>
      <c r="B741" s="7" t="str">
        <f ca="1">OFFSET(ORÇAMENTO!C$15,ROW(B741)-ROW(B$15),0)</f>
        <v>S</v>
      </c>
      <c r="C741" s="7" t="str">
        <f ca="1">OFFSET(ORÇAMENTO!L$15,ROW(C741)-ROW(C$15),0)</f>
        <v/>
      </c>
      <c r="D741" s="118" t="str">
        <f ca="1">OFFSET(ORÇAMENTO!N$15,ROW(D741)-ROW(D$15),0)</f>
        <v>Serviço</v>
      </c>
      <c r="E741" s="119" t="str">
        <f ca="1">OFFSET(ORÇAMENTO!O$15,ROW(E741)-ROW(E$15),0)</f>
        <v>-</v>
      </c>
      <c r="F741" s="172" t="str">
        <f ca="1">OFFSET(ORÇAMENTO!R$15,ROW(F741)-ROW(F$15),0)</f>
        <v>(abra o arquivo 'Referência 02-2025.xlsm)</v>
      </c>
      <c r="G741" s="173" t="str">
        <f ca="1">IF($D741&lt;&gt;"Serviço","",OFFSET(ORÇAMENTO!S$15,ROW(G741)-ROW(G$15),0))</f>
        <v>-</v>
      </c>
      <c r="H741" s="124">
        <f ca="1">IF($D741&lt;&gt;"Serviço",0,IF(ACOMPANHAMENTO="BM",ROUND(OFFSET(ORÇAMENTO!AJ$15,ROW(H741)-ROW(H$15),0),15-13*ORÇAMENTO!$AF$7),SUMPRODUCT(($Q$12:$AA$12&lt;&gt;"")*ROUND($Q741:$AA741,15-13*ORÇAMENTO!$AF$7))))</f>
        <v>374.87</v>
      </c>
      <c r="I741" s="561" t="s">
        <v>890</v>
      </c>
      <c r="K741" s="174"/>
      <c r="L741" s="175" t="s">
        <v>255</v>
      </c>
      <c r="M741" s="176">
        <f ca="1">IF($D741&lt;&gt;"Serviço","",IF(AUTOEVENTO="manual",$A741,IF(ISERROR(MATCH($A741,$A$15:OFFSET($A741,-1,0),0)),MAX($M$15:OFFSET(M741,-1,0))+1,INDEX($M$15:OFFSET(M741,-1,0),MATCH($A741,$A$15:OFFSET($A741,-1,0),0)))))</f>
        <v>25</v>
      </c>
      <c r="N741" s="177" t="str">
        <f ca="1">IF($D741&lt;&gt;"Serviço","",IF(AUTOEVENTO="Manual",IF($A741=0,"&lt;-- defina o número do agrupador",OFFSET(EVENTOS!$D$14,$A741,0)),OFFSET($F$15,$A741,0)))</f>
        <v>FECHAMENTO - MURO</v>
      </c>
      <c r="O741" s="178"/>
      <c r="Q741" s="178"/>
      <c r="R741" s="179"/>
      <c r="S741" s="179"/>
      <c r="T741" s="179"/>
      <c r="U741" s="179"/>
      <c r="V741" s="179"/>
      <c r="W741" s="179"/>
      <c r="X741" s="179"/>
      <c r="Y741" s="179"/>
      <c r="Z741" s="180"/>
      <c r="AB741" s="544">
        <f ca="1">IF(AND($D741="Serviço",AB$12&lt;&gt;0,$H741&gt;0,OR(AUTOEVENTO&lt;&gt;"manual",$M741&lt;&gt;1)),
IF(Import.TipoArredondamento&lt;&gt;"TransfereGOV",
ROUND(OFFSET($P741,0,AB$13),15-13*ORÇAMENTO!$AF$7)/$H741*OFFSET(ORÇAMENTO!$X$15,ROW(AB741)-ROW(AB$15),0),
ROUND(ROUND(OFFSET($P741,0,AB$13),15-13*ORÇAMENTO!$AF$7)*OFFSET(ORÇAMENTO!$W$15,ROW(AB741)-ROW(AB$15),0),15-13*ORÇAMENTO!$AF$11)),0)</f>
        <v>0</v>
      </c>
      <c r="AC741" s="545">
        <f ca="1">IF(AND($D741="Serviço",AC$12&lt;&gt;0,$H741&gt;0,OR(AUTOEVENTO&lt;&gt;"manual",$M741&lt;&gt;1)),
IF(Import.TipoArredondamento&lt;&gt;"TransfereGOV",
ROUND(OFFSET($P741,0,AC$13),15-13*ORÇAMENTO!$AF$7)/$H741*OFFSET(ORÇAMENTO!$X$15,ROW(AC741)-ROW(AC$15),0),
ROUND(ROUND(OFFSET($P741,0,AC$13),15-13*ORÇAMENTO!$AF$7)*OFFSET(ORÇAMENTO!$W$15,ROW(AC741)-ROW(AC$15),0),15-13*ORÇAMENTO!$AF$11)),0)</f>
        <v>0</v>
      </c>
      <c r="AD741" s="545">
        <f ca="1">IF(AND($D741="Serviço",AD$12&lt;&gt;0,$H741&gt;0,OR(AUTOEVENTO&lt;&gt;"manual",$M741&lt;&gt;1)),
IF(Import.TipoArredondamento&lt;&gt;"TransfereGOV",
ROUND(OFFSET($P741,0,AD$13),15-13*ORÇAMENTO!$AF$7)/$H741*OFFSET(ORÇAMENTO!$X$15,ROW(AD741)-ROW(AD$15),0),
ROUND(ROUND(OFFSET($P741,0,AD$13),15-13*ORÇAMENTO!$AF$7)*OFFSET(ORÇAMENTO!$W$15,ROW(AD741)-ROW(AD$15),0),15-13*ORÇAMENTO!$AF$11)),0)</f>
        <v>0</v>
      </c>
      <c r="AE741" s="545">
        <f ca="1">IF(AND($D741="Serviço",AE$12&lt;&gt;0,$H741&gt;0,OR(AUTOEVENTO&lt;&gt;"manual",$M741&lt;&gt;1)),
IF(Import.TipoArredondamento&lt;&gt;"TransfereGOV",
ROUND(OFFSET($P741,0,AE$13),15-13*ORÇAMENTO!$AF$7)/$H741*OFFSET(ORÇAMENTO!$X$15,ROW(AE741)-ROW(AE$15),0),
ROUND(ROUND(OFFSET($P741,0,AE$13),15-13*ORÇAMENTO!$AF$7)*OFFSET(ORÇAMENTO!$W$15,ROW(AE741)-ROW(AE$15),0),15-13*ORÇAMENTO!$AF$11)),0)</f>
        <v>0</v>
      </c>
      <c r="AF741" s="545">
        <f ca="1">IF(AND($D741="Serviço",AF$12&lt;&gt;0,$H741&gt;0,OR(AUTOEVENTO&lt;&gt;"manual",$M741&lt;&gt;1)),
IF(Import.TipoArredondamento&lt;&gt;"TransfereGOV",
ROUND(OFFSET($P741,0,AF$13),15-13*ORÇAMENTO!$AF$7)/$H741*OFFSET(ORÇAMENTO!$X$15,ROW(AF741)-ROW(AF$15),0),
ROUND(ROUND(OFFSET($P741,0,AF$13),15-13*ORÇAMENTO!$AF$7)*OFFSET(ORÇAMENTO!$W$15,ROW(AF741)-ROW(AF$15),0),15-13*ORÇAMENTO!$AF$11)),0)</f>
        <v>0</v>
      </c>
      <c r="AG741" s="545">
        <f ca="1">IF(AND($D741="Serviço",AG$12&lt;&gt;0,$H741&gt;0,OR(AUTOEVENTO&lt;&gt;"manual",$M741&lt;&gt;1)),
IF(Import.TipoArredondamento&lt;&gt;"TransfereGOV",
ROUND(OFFSET($P741,0,AG$13),15-13*ORÇAMENTO!$AF$7)/$H741*OFFSET(ORÇAMENTO!$X$15,ROW(AG741)-ROW(AG$15),0),
ROUND(ROUND(OFFSET($P741,0,AG$13),15-13*ORÇAMENTO!$AF$7)*OFFSET(ORÇAMENTO!$W$15,ROW(AG741)-ROW(AG$15),0),15-13*ORÇAMENTO!$AF$11)),0)</f>
        <v>0</v>
      </c>
      <c r="AH741" s="545">
        <f ca="1">IF(AND($D741="Serviço",AH$12&lt;&gt;0,$H741&gt;0,OR(AUTOEVENTO&lt;&gt;"manual",$M741&lt;&gt;1)),
IF(Import.TipoArredondamento&lt;&gt;"TransfereGOV",
ROUND(OFFSET($P741,0,AH$13),15-13*ORÇAMENTO!$AF$7)/$H741*OFFSET(ORÇAMENTO!$X$15,ROW(AH741)-ROW(AH$15),0),
ROUND(ROUND(OFFSET($P741,0,AH$13),15-13*ORÇAMENTO!$AF$7)*OFFSET(ORÇAMENTO!$W$15,ROW(AH741)-ROW(AH$15),0),15-13*ORÇAMENTO!$AF$11)),0)</f>
        <v>0</v>
      </c>
      <c r="AI741" s="545">
        <f ca="1">IF(AND($D741="Serviço",AI$12&lt;&gt;0,$H741&gt;0,OR(AUTOEVENTO&lt;&gt;"manual",$M741&lt;&gt;1)),
IF(Import.TipoArredondamento&lt;&gt;"TransfereGOV",
ROUND(OFFSET($P741,0,AI$13),15-13*ORÇAMENTO!$AF$7)/$H741*OFFSET(ORÇAMENTO!$X$15,ROW(AI741)-ROW(AI$15),0),
ROUND(ROUND(OFFSET($P741,0,AI$13),15-13*ORÇAMENTO!$AF$7)*OFFSET(ORÇAMENTO!$W$15,ROW(AI741)-ROW(AI$15),0),15-13*ORÇAMENTO!$AF$11)),0)</f>
        <v>0</v>
      </c>
      <c r="AJ741" s="545">
        <f ca="1">IF(AND($D741="Serviço",AJ$12&lt;&gt;0,$H741&gt;0,OR(AUTOEVENTO&lt;&gt;"manual",$M741&lt;&gt;1)),
IF(Import.TipoArredondamento&lt;&gt;"TransfereGOV",
ROUND(OFFSET($P741,0,AJ$13),15-13*ORÇAMENTO!$AF$7)/$H741*OFFSET(ORÇAMENTO!$X$15,ROW(AJ741)-ROW(AJ$15),0),
ROUND(ROUND(OFFSET($P741,0,AJ$13),15-13*ORÇAMENTO!$AF$7)*OFFSET(ORÇAMENTO!$W$15,ROW(AJ741)-ROW(AJ$15),0),15-13*ORÇAMENTO!$AF$11)),0)</f>
        <v>0</v>
      </c>
      <c r="AK741" s="546">
        <f ca="1">IF(AND($D741="Serviço",AK$12&lt;&gt;0,$H741&gt;0,OR(AUTOEVENTO&lt;&gt;"manual",$M741&lt;&gt;1)),
IF(Import.TipoArredondamento&lt;&gt;"TransfereGOV",
ROUND(OFFSET($P741,0,AK$13),15-13*ORÇAMENTO!$AF$7)/$H741*OFFSET(ORÇAMENTO!$X$15,ROW(AK741)-ROW(AK$15),0),
ROUND(ROUND(OFFSET($P741,0,AK$13),15-13*ORÇAMENTO!$AF$7)*OFFSET(ORÇAMENTO!$W$15,ROW(AK741)-ROW(AK$15),0),15-13*ORÇAMENTO!$AF$11)),0)</f>
        <v>0</v>
      </c>
      <c r="AM741" s="181">
        <f ca="1">IF($D741&lt;&gt;"Serviço",0,IF(AND(AUTOEVENTO="Manual",$M741=1),0,IF(OFFSET(CRONOPLE!$F$14,$M741,AM$13)="",10^12,OFFSET(CRONOPLE!$F$14,$M741,AM$13))))</f>
        <v>1000000000000</v>
      </c>
      <c r="AN741" s="181">
        <f ca="1">IF($D741&lt;&gt;"Serviço",0,IF(AND(AUTOEVENTO="Manual",$M741=1),0,IF(OFFSET(CRONOPLE!$F$14,$M741,AN$13)="",10^12,OFFSET(CRONOPLE!$F$14,$M741,AN$13))))</f>
        <v>1000000000000</v>
      </c>
      <c r="AO741" s="181">
        <f ca="1">IF($D741&lt;&gt;"Serviço",0,IF(AND(AUTOEVENTO="Manual",$M741=1),0,IF(OFFSET(CRONOPLE!$F$14,$M741,AO$13)="",10^12,OFFSET(CRONOPLE!$F$14,$M741,AO$13))))</f>
        <v>1000000000000</v>
      </c>
      <c r="AP741" s="181">
        <f ca="1">IF($D741&lt;&gt;"Serviço",0,IF(AND(AUTOEVENTO="Manual",$M741=1),0,IF(OFFSET(CRONOPLE!$F$14,$M741,AP$13)="",10^12,OFFSET(CRONOPLE!$F$14,$M741,AP$13))))</f>
        <v>1000000000000</v>
      </c>
      <c r="AQ741" s="181">
        <f ca="1">IF($D741&lt;&gt;"Serviço",0,IF(AND(AUTOEVENTO="Manual",$M741=1),0,IF(OFFSET(CRONOPLE!$F$14,$M741,AQ$13)="",10^12,OFFSET(CRONOPLE!$F$14,$M741,AQ$13))))</f>
        <v>1000000000000</v>
      </c>
      <c r="AR741" s="181">
        <f ca="1">IF($D741&lt;&gt;"Serviço",0,IF(AND(AUTOEVENTO="Manual",$M741=1),0,IF(OFFSET(CRONOPLE!$F$14,$M741,AR$13)="",10^12,OFFSET(CRONOPLE!$F$14,$M741,AR$13))))</f>
        <v>1000000000000</v>
      </c>
      <c r="AS741" s="181">
        <f ca="1">IF($D741&lt;&gt;"Serviço",0,IF(AND(AUTOEVENTO="Manual",$M741=1),0,IF(OFFSET(CRONOPLE!$F$14,$M741,AS$13)="",10^12,OFFSET(CRONOPLE!$F$14,$M741,AS$13))))</f>
        <v>1000000000000</v>
      </c>
      <c r="AT741" s="181">
        <f ca="1">IF($D741&lt;&gt;"Serviço",0,IF(AND(AUTOEVENTO="Manual",$M741=1),0,IF(OFFSET(CRONOPLE!$F$14,$M741,AT$13)="",10^12,OFFSET(CRONOPLE!$F$14,$M741,AT$13))))</f>
        <v>1000000000000</v>
      </c>
      <c r="AU741" s="181">
        <f ca="1">IF($D741&lt;&gt;"Serviço",0,IF(AND(AUTOEVENTO="Manual",$M741=1),0,IF(OFFSET(CRONOPLE!$F$14,$M741,AU$13)="",10^12,OFFSET(CRONOPLE!$F$14,$M741,AU$13))))</f>
        <v>1000000000000</v>
      </c>
      <c r="AV741" s="181">
        <f ca="1">IF($D741&lt;&gt;"Serviço",0,IF(AND(AUTOEVENTO="Manual",$M741=1),0,IF(OFFSET(CRONOPLE!$F$14,$M741,AV$13)="",10^12,OFFSET(CRONOPLE!$F$14,$M741,AV$13))))</f>
        <v>1000000000000</v>
      </c>
      <c r="AX741" s="182">
        <f ca="1">IF($D741&lt;&gt;"Serviço",0,IF(OR(AND(AUTOEVENTO="Manual",$M741=1),$M741&gt;(ROW(PLE.lastrow)-ROW(PLE.firstrow))),0,IF(OFFSET(PLE!$G$14,$M741,AX$13)="",10^12,OFFSET(PLE!$G$14,$M741,AX$13))))</f>
        <v>1000000000000</v>
      </c>
      <c r="AY741" s="182">
        <f ca="1">IF($D741&lt;&gt;"Serviço",0,IF(OR(AND(AUTOEVENTO="Manual",$M741=1),$M741&gt;(ROW(PLE.lastrow)-ROW(PLE.firstrow))),0,IF(OFFSET(PLE!$G$14,$M741,AY$13)="",10^12,OFFSET(PLE!$G$14,$M741,AY$13))))</f>
        <v>1000000000000</v>
      </c>
      <c r="AZ741" s="182">
        <f ca="1">IF($D741&lt;&gt;"Serviço",0,IF(OR(AND(AUTOEVENTO="Manual",$M741=1),$M741&gt;(ROW(PLE.lastrow)-ROW(PLE.firstrow))),0,IF(OFFSET(PLE!$G$14,$M741,AZ$13)="",10^12,OFFSET(PLE!$G$14,$M741,AZ$13))))</f>
        <v>1000000000000</v>
      </c>
      <c r="BA741" s="182">
        <f ca="1">IF($D741&lt;&gt;"Serviço",0,IF(OR(AND(AUTOEVENTO="Manual",$M741=1),$M741&gt;(ROW(PLE.lastrow)-ROW(PLE.firstrow))),0,IF(OFFSET(PLE!$G$14,$M741,BA$13)="",10^12,OFFSET(PLE!$G$14,$M741,BA$13))))</f>
        <v>1000000000000</v>
      </c>
      <c r="BB741" s="182">
        <f ca="1">IF($D741&lt;&gt;"Serviço",0,IF(OR(AND(AUTOEVENTO="Manual",$M741=1),$M741&gt;(ROW(PLE.lastrow)-ROW(PLE.firstrow))),0,IF(OFFSET(PLE!$G$14,$M741,BB$13)="",10^12,OFFSET(PLE!$G$14,$M741,BB$13))))</f>
        <v>1000000000000</v>
      </c>
      <c r="BC741" s="182">
        <f ca="1">IF($D741&lt;&gt;"Serviço",0,IF(OR(AND(AUTOEVENTO="Manual",$M741=1),$M741&gt;(ROW(PLE.lastrow)-ROW(PLE.firstrow))),0,IF(OFFSET(PLE!$G$14,$M741,BC$13)="",10^12,OFFSET(PLE!$G$14,$M741,BC$13))))</f>
        <v>1000000000000</v>
      </c>
      <c r="BD741" s="182">
        <f ca="1">IF($D741&lt;&gt;"Serviço",0,IF(OR(AND(AUTOEVENTO="Manual",$M741=1),$M741&gt;(ROW(PLE.lastrow)-ROW(PLE.firstrow))),0,IF(OFFSET(PLE!$G$14,$M741,BD$13)="",10^12,OFFSET(PLE!$G$14,$M741,BD$13))))</f>
        <v>1000000000000</v>
      </c>
      <c r="BE741" s="182">
        <f ca="1">IF($D741&lt;&gt;"Serviço",0,IF(OR(AND(AUTOEVENTO="Manual",$M741=1),$M741&gt;(ROW(PLE.lastrow)-ROW(PLE.firstrow))),0,IF(OFFSET(PLE!$G$14,$M741,BE$13)="",10^12,OFFSET(PLE!$G$14,$M741,BE$13))))</f>
        <v>1000000000000</v>
      </c>
      <c r="BF741" s="182">
        <f ca="1">IF($D741&lt;&gt;"Serviço",0,IF(OR(AND(AUTOEVENTO="Manual",$M741=1),$M741&gt;(ROW(PLE.lastrow)-ROW(PLE.firstrow))),0,IF(OFFSET(PLE!$G$14,$M741,BF$13)="",10^12,OFFSET(PLE!$G$14,$M741,BF$13))))</f>
        <v>1000000000000</v>
      </c>
      <c r="BG741" s="182">
        <f ca="1">IF($D741&lt;&gt;"Serviço",0,IF(OR(AND(AUTOEVENTO="Manual",$M741=1),$M741&gt;(ROW(PLE.lastrow)-ROW(PLE.firstrow))),0,IF(OFFSET(PLE!$G$14,$M741,BG$13)="",10^12,OFFSET(PLE!$G$14,$M741,BG$13))))</f>
        <v>1000000000000</v>
      </c>
    </row>
    <row r="742" spans="1:59" ht="38.25" x14ac:dyDescent="0.2">
      <c r="A742" s="7" t="str">
        <f t="shared" ca="1" si="18"/>
        <v>679</v>
      </c>
      <c r="B742" s="7" t="str">
        <f ca="1">OFFSET(ORÇAMENTO!C$15,ROW(B742)-ROW(B$15),0)</f>
        <v>S</v>
      </c>
      <c r="C742" s="7" t="str">
        <f ca="1">OFFSET(ORÇAMENTO!L$15,ROW(C742)-ROW(C$15),0)</f>
        <v/>
      </c>
      <c r="D742" s="118" t="str">
        <f ca="1">OFFSET(ORÇAMENTO!N$15,ROW(D742)-ROW(D$15),0)</f>
        <v>Serviço</v>
      </c>
      <c r="E742" s="119" t="str">
        <f ca="1">OFFSET(ORÇAMENTO!O$15,ROW(E742)-ROW(E$15),0)</f>
        <v>-</v>
      </c>
      <c r="F742" s="172" t="str">
        <f ca="1">OFFSET(ORÇAMENTO!R$15,ROW(F742)-ROW(F$15),0)</f>
        <v>(abra o arquivo 'Referência 02-2025.xlsm)</v>
      </c>
      <c r="G742" s="173" t="str">
        <f ca="1">IF($D742&lt;&gt;"Serviço","",OFFSET(ORÇAMENTO!S$15,ROW(G742)-ROW(G$15),0))</f>
        <v>-</v>
      </c>
      <c r="H742" s="124">
        <f ca="1">IF($D742&lt;&gt;"Serviço",0,IF(ACOMPANHAMENTO="BM",ROUND(OFFSET(ORÇAMENTO!AJ$15,ROW(H742)-ROW(H$15),0),15-13*ORÇAMENTO!$AF$7),SUMPRODUCT(($Q$12:$AA$12&lt;&gt;"")*ROUND($Q742:$AA742,15-13*ORÇAMENTO!$AF$7))))</f>
        <v>374.87</v>
      </c>
      <c r="I742" s="561" t="s">
        <v>890</v>
      </c>
      <c r="K742" s="174"/>
      <c r="L742" s="175" t="s">
        <v>255</v>
      </c>
      <c r="M742" s="176">
        <f ca="1">IF($D742&lt;&gt;"Serviço","",IF(AUTOEVENTO="manual",$A742,IF(ISERROR(MATCH($A742,$A$15:OFFSET($A742,-1,0),0)),MAX($M$15:OFFSET(M742,-1,0))+1,INDEX($M$15:OFFSET(M742,-1,0),MATCH($A742,$A$15:OFFSET($A742,-1,0),0)))))</f>
        <v>25</v>
      </c>
      <c r="N742" s="177" t="str">
        <f ca="1">IF($D742&lt;&gt;"Serviço","",IF(AUTOEVENTO="Manual",IF($A742=0,"&lt;-- defina o número do agrupador",OFFSET(EVENTOS!$D$14,$A742,0)),OFFSET($F$15,$A742,0)))</f>
        <v>FECHAMENTO - MURO</v>
      </c>
      <c r="O742" s="178"/>
      <c r="Q742" s="178"/>
      <c r="R742" s="179"/>
      <c r="S742" s="179"/>
      <c r="T742" s="179"/>
      <c r="U742" s="179"/>
      <c r="V742" s="179"/>
      <c r="W742" s="179"/>
      <c r="X742" s="179"/>
      <c r="Y742" s="179"/>
      <c r="Z742" s="180"/>
      <c r="AB742" s="544">
        <f ca="1">IF(AND($D742="Serviço",AB$12&lt;&gt;0,$H742&gt;0,OR(AUTOEVENTO&lt;&gt;"manual",$M742&lt;&gt;1)),
IF(Import.TipoArredondamento&lt;&gt;"TransfereGOV",
ROUND(OFFSET($P742,0,AB$13),15-13*ORÇAMENTO!$AF$7)/$H742*OFFSET(ORÇAMENTO!$X$15,ROW(AB742)-ROW(AB$15),0),
ROUND(ROUND(OFFSET($P742,0,AB$13),15-13*ORÇAMENTO!$AF$7)*OFFSET(ORÇAMENTO!$W$15,ROW(AB742)-ROW(AB$15),0),15-13*ORÇAMENTO!$AF$11)),0)</f>
        <v>0</v>
      </c>
      <c r="AC742" s="545">
        <f ca="1">IF(AND($D742="Serviço",AC$12&lt;&gt;0,$H742&gt;0,OR(AUTOEVENTO&lt;&gt;"manual",$M742&lt;&gt;1)),
IF(Import.TipoArredondamento&lt;&gt;"TransfereGOV",
ROUND(OFFSET($P742,0,AC$13),15-13*ORÇAMENTO!$AF$7)/$H742*OFFSET(ORÇAMENTO!$X$15,ROW(AC742)-ROW(AC$15),0),
ROUND(ROUND(OFFSET($P742,0,AC$13),15-13*ORÇAMENTO!$AF$7)*OFFSET(ORÇAMENTO!$W$15,ROW(AC742)-ROW(AC$15),0),15-13*ORÇAMENTO!$AF$11)),0)</f>
        <v>0</v>
      </c>
      <c r="AD742" s="545">
        <f ca="1">IF(AND($D742="Serviço",AD$12&lt;&gt;0,$H742&gt;0,OR(AUTOEVENTO&lt;&gt;"manual",$M742&lt;&gt;1)),
IF(Import.TipoArredondamento&lt;&gt;"TransfereGOV",
ROUND(OFFSET($P742,0,AD$13),15-13*ORÇAMENTO!$AF$7)/$H742*OFFSET(ORÇAMENTO!$X$15,ROW(AD742)-ROW(AD$15),0),
ROUND(ROUND(OFFSET($P742,0,AD$13),15-13*ORÇAMENTO!$AF$7)*OFFSET(ORÇAMENTO!$W$15,ROW(AD742)-ROW(AD$15),0),15-13*ORÇAMENTO!$AF$11)),0)</f>
        <v>0</v>
      </c>
      <c r="AE742" s="545">
        <f ca="1">IF(AND($D742="Serviço",AE$12&lt;&gt;0,$H742&gt;0,OR(AUTOEVENTO&lt;&gt;"manual",$M742&lt;&gt;1)),
IF(Import.TipoArredondamento&lt;&gt;"TransfereGOV",
ROUND(OFFSET($P742,0,AE$13),15-13*ORÇAMENTO!$AF$7)/$H742*OFFSET(ORÇAMENTO!$X$15,ROW(AE742)-ROW(AE$15),0),
ROUND(ROUND(OFFSET($P742,0,AE$13),15-13*ORÇAMENTO!$AF$7)*OFFSET(ORÇAMENTO!$W$15,ROW(AE742)-ROW(AE$15),0),15-13*ORÇAMENTO!$AF$11)),0)</f>
        <v>0</v>
      </c>
      <c r="AF742" s="545">
        <f ca="1">IF(AND($D742="Serviço",AF$12&lt;&gt;0,$H742&gt;0,OR(AUTOEVENTO&lt;&gt;"manual",$M742&lt;&gt;1)),
IF(Import.TipoArredondamento&lt;&gt;"TransfereGOV",
ROUND(OFFSET($P742,0,AF$13),15-13*ORÇAMENTO!$AF$7)/$H742*OFFSET(ORÇAMENTO!$X$15,ROW(AF742)-ROW(AF$15),0),
ROUND(ROUND(OFFSET($P742,0,AF$13),15-13*ORÇAMENTO!$AF$7)*OFFSET(ORÇAMENTO!$W$15,ROW(AF742)-ROW(AF$15),0),15-13*ORÇAMENTO!$AF$11)),0)</f>
        <v>0</v>
      </c>
      <c r="AG742" s="545">
        <f ca="1">IF(AND($D742="Serviço",AG$12&lt;&gt;0,$H742&gt;0,OR(AUTOEVENTO&lt;&gt;"manual",$M742&lt;&gt;1)),
IF(Import.TipoArredondamento&lt;&gt;"TransfereGOV",
ROUND(OFFSET($P742,0,AG$13),15-13*ORÇAMENTO!$AF$7)/$H742*OFFSET(ORÇAMENTO!$X$15,ROW(AG742)-ROW(AG$15),0),
ROUND(ROUND(OFFSET($P742,0,AG$13),15-13*ORÇAMENTO!$AF$7)*OFFSET(ORÇAMENTO!$W$15,ROW(AG742)-ROW(AG$15),0),15-13*ORÇAMENTO!$AF$11)),0)</f>
        <v>0</v>
      </c>
      <c r="AH742" s="545">
        <f ca="1">IF(AND($D742="Serviço",AH$12&lt;&gt;0,$H742&gt;0,OR(AUTOEVENTO&lt;&gt;"manual",$M742&lt;&gt;1)),
IF(Import.TipoArredondamento&lt;&gt;"TransfereGOV",
ROUND(OFFSET($P742,0,AH$13),15-13*ORÇAMENTO!$AF$7)/$H742*OFFSET(ORÇAMENTO!$X$15,ROW(AH742)-ROW(AH$15),0),
ROUND(ROUND(OFFSET($P742,0,AH$13),15-13*ORÇAMENTO!$AF$7)*OFFSET(ORÇAMENTO!$W$15,ROW(AH742)-ROW(AH$15),0),15-13*ORÇAMENTO!$AF$11)),0)</f>
        <v>0</v>
      </c>
      <c r="AI742" s="545">
        <f ca="1">IF(AND($D742="Serviço",AI$12&lt;&gt;0,$H742&gt;0,OR(AUTOEVENTO&lt;&gt;"manual",$M742&lt;&gt;1)),
IF(Import.TipoArredondamento&lt;&gt;"TransfereGOV",
ROUND(OFFSET($P742,0,AI$13),15-13*ORÇAMENTO!$AF$7)/$H742*OFFSET(ORÇAMENTO!$X$15,ROW(AI742)-ROW(AI$15),0),
ROUND(ROUND(OFFSET($P742,0,AI$13),15-13*ORÇAMENTO!$AF$7)*OFFSET(ORÇAMENTO!$W$15,ROW(AI742)-ROW(AI$15),0),15-13*ORÇAMENTO!$AF$11)),0)</f>
        <v>0</v>
      </c>
      <c r="AJ742" s="545">
        <f ca="1">IF(AND($D742="Serviço",AJ$12&lt;&gt;0,$H742&gt;0,OR(AUTOEVENTO&lt;&gt;"manual",$M742&lt;&gt;1)),
IF(Import.TipoArredondamento&lt;&gt;"TransfereGOV",
ROUND(OFFSET($P742,0,AJ$13),15-13*ORÇAMENTO!$AF$7)/$H742*OFFSET(ORÇAMENTO!$X$15,ROW(AJ742)-ROW(AJ$15),0),
ROUND(ROUND(OFFSET($P742,0,AJ$13),15-13*ORÇAMENTO!$AF$7)*OFFSET(ORÇAMENTO!$W$15,ROW(AJ742)-ROW(AJ$15),0),15-13*ORÇAMENTO!$AF$11)),0)</f>
        <v>0</v>
      </c>
      <c r="AK742" s="546">
        <f ca="1">IF(AND($D742="Serviço",AK$12&lt;&gt;0,$H742&gt;0,OR(AUTOEVENTO&lt;&gt;"manual",$M742&lt;&gt;1)),
IF(Import.TipoArredondamento&lt;&gt;"TransfereGOV",
ROUND(OFFSET($P742,0,AK$13),15-13*ORÇAMENTO!$AF$7)/$H742*OFFSET(ORÇAMENTO!$X$15,ROW(AK742)-ROW(AK$15),0),
ROUND(ROUND(OFFSET($P742,0,AK$13),15-13*ORÇAMENTO!$AF$7)*OFFSET(ORÇAMENTO!$W$15,ROW(AK742)-ROW(AK$15),0),15-13*ORÇAMENTO!$AF$11)),0)</f>
        <v>0</v>
      </c>
      <c r="AM742" s="181">
        <f ca="1">IF($D742&lt;&gt;"Serviço",0,IF(AND(AUTOEVENTO="Manual",$M742=1),0,IF(OFFSET(CRONOPLE!$F$14,$M742,AM$13)="",10^12,OFFSET(CRONOPLE!$F$14,$M742,AM$13))))</f>
        <v>1000000000000</v>
      </c>
      <c r="AN742" s="181">
        <f ca="1">IF($D742&lt;&gt;"Serviço",0,IF(AND(AUTOEVENTO="Manual",$M742=1),0,IF(OFFSET(CRONOPLE!$F$14,$M742,AN$13)="",10^12,OFFSET(CRONOPLE!$F$14,$M742,AN$13))))</f>
        <v>1000000000000</v>
      </c>
      <c r="AO742" s="181">
        <f ca="1">IF($D742&lt;&gt;"Serviço",0,IF(AND(AUTOEVENTO="Manual",$M742=1),0,IF(OFFSET(CRONOPLE!$F$14,$M742,AO$13)="",10^12,OFFSET(CRONOPLE!$F$14,$M742,AO$13))))</f>
        <v>1000000000000</v>
      </c>
      <c r="AP742" s="181">
        <f ca="1">IF($D742&lt;&gt;"Serviço",0,IF(AND(AUTOEVENTO="Manual",$M742=1),0,IF(OFFSET(CRONOPLE!$F$14,$M742,AP$13)="",10^12,OFFSET(CRONOPLE!$F$14,$M742,AP$13))))</f>
        <v>1000000000000</v>
      </c>
      <c r="AQ742" s="181">
        <f ca="1">IF($D742&lt;&gt;"Serviço",0,IF(AND(AUTOEVENTO="Manual",$M742=1),0,IF(OFFSET(CRONOPLE!$F$14,$M742,AQ$13)="",10^12,OFFSET(CRONOPLE!$F$14,$M742,AQ$13))))</f>
        <v>1000000000000</v>
      </c>
      <c r="AR742" s="181">
        <f ca="1">IF($D742&lt;&gt;"Serviço",0,IF(AND(AUTOEVENTO="Manual",$M742=1),0,IF(OFFSET(CRONOPLE!$F$14,$M742,AR$13)="",10^12,OFFSET(CRONOPLE!$F$14,$M742,AR$13))))</f>
        <v>1000000000000</v>
      </c>
      <c r="AS742" s="181">
        <f ca="1">IF($D742&lt;&gt;"Serviço",0,IF(AND(AUTOEVENTO="Manual",$M742=1),0,IF(OFFSET(CRONOPLE!$F$14,$M742,AS$13)="",10^12,OFFSET(CRONOPLE!$F$14,$M742,AS$13))))</f>
        <v>1000000000000</v>
      </c>
      <c r="AT742" s="181">
        <f ca="1">IF($D742&lt;&gt;"Serviço",0,IF(AND(AUTOEVENTO="Manual",$M742=1),0,IF(OFFSET(CRONOPLE!$F$14,$M742,AT$13)="",10^12,OFFSET(CRONOPLE!$F$14,$M742,AT$13))))</f>
        <v>1000000000000</v>
      </c>
      <c r="AU742" s="181">
        <f ca="1">IF($D742&lt;&gt;"Serviço",0,IF(AND(AUTOEVENTO="Manual",$M742=1),0,IF(OFFSET(CRONOPLE!$F$14,$M742,AU$13)="",10^12,OFFSET(CRONOPLE!$F$14,$M742,AU$13))))</f>
        <v>1000000000000</v>
      </c>
      <c r="AV742" s="181">
        <f ca="1">IF($D742&lt;&gt;"Serviço",0,IF(AND(AUTOEVENTO="Manual",$M742=1),0,IF(OFFSET(CRONOPLE!$F$14,$M742,AV$13)="",10^12,OFFSET(CRONOPLE!$F$14,$M742,AV$13))))</f>
        <v>1000000000000</v>
      </c>
      <c r="AX742" s="182">
        <f ca="1">IF($D742&lt;&gt;"Serviço",0,IF(OR(AND(AUTOEVENTO="Manual",$M742=1),$M742&gt;(ROW(PLE.lastrow)-ROW(PLE.firstrow))),0,IF(OFFSET(PLE!$G$14,$M742,AX$13)="",10^12,OFFSET(PLE!$G$14,$M742,AX$13))))</f>
        <v>1000000000000</v>
      </c>
      <c r="AY742" s="182">
        <f ca="1">IF($D742&lt;&gt;"Serviço",0,IF(OR(AND(AUTOEVENTO="Manual",$M742=1),$M742&gt;(ROW(PLE.lastrow)-ROW(PLE.firstrow))),0,IF(OFFSET(PLE!$G$14,$M742,AY$13)="",10^12,OFFSET(PLE!$G$14,$M742,AY$13))))</f>
        <v>1000000000000</v>
      </c>
      <c r="AZ742" s="182">
        <f ca="1">IF($D742&lt;&gt;"Serviço",0,IF(OR(AND(AUTOEVENTO="Manual",$M742=1),$M742&gt;(ROW(PLE.lastrow)-ROW(PLE.firstrow))),0,IF(OFFSET(PLE!$G$14,$M742,AZ$13)="",10^12,OFFSET(PLE!$G$14,$M742,AZ$13))))</f>
        <v>1000000000000</v>
      </c>
      <c r="BA742" s="182">
        <f ca="1">IF($D742&lt;&gt;"Serviço",0,IF(OR(AND(AUTOEVENTO="Manual",$M742=1),$M742&gt;(ROW(PLE.lastrow)-ROW(PLE.firstrow))),0,IF(OFFSET(PLE!$G$14,$M742,BA$13)="",10^12,OFFSET(PLE!$G$14,$M742,BA$13))))</f>
        <v>1000000000000</v>
      </c>
      <c r="BB742" s="182">
        <f ca="1">IF($D742&lt;&gt;"Serviço",0,IF(OR(AND(AUTOEVENTO="Manual",$M742=1),$M742&gt;(ROW(PLE.lastrow)-ROW(PLE.firstrow))),0,IF(OFFSET(PLE!$G$14,$M742,BB$13)="",10^12,OFFSET(PLE!$G$14,$M742,BB$13))))</f>
        <v>1000000000000</v>
      </c>
      <c r="BC742" s="182">
        <f ca="1">IF($D742&lt;&gt;"Serviço",0,IF(OR(AND(AUTOEVENTO="Manual",$M742=1),$M742&gt;(ROW(PLE.lastrow)-ROW(PLE.firstrow))),0,IF(OFFSET(PLE!$G$14,$M742,BC$13)="",10^12,OFFSET(PLE!$G$14,$M742,BC$13))))</f>
        <v>1000000000000</v>
      </c>
      <c r="BD742" s="182">
        <f ca="1">IF($D742&lt;&gt;"Serviço",0,IF(OR(AND(AUTOEVENTO="Manual",$M742=1),$M742&gt;(ROW(PLE.lastrow)-ROW(PLE.firstrow))),0,IF(OFFSET(PLE!$G$14,$M742,BD$13)="",10^12,OFFSET(PLE!$G$14,$M742,BD$13))))</f>
        <v>1000000000000</v>
      </c>
      <c r="BE742" s="182">
        <f ca="1">IF($D742&lt;&gt;"Serviço",0,IF(OR(AND(AUTOEVENTO="Manual",$M742=1),$M742&gt;(ROW(PLE.lastrow)-ROW(PLE.firstrow))),0,IF(OFFSET(PLE!$G$14,$M742,BE$13)="",10^12,OFFSET(PLE!$G$14,$M742,BE$13))))</f>
        <v>1000000000000</v>
      </c>
      <c r="BF742" s="182">
        <f ca="1">IF($D742&lt;&gt;"Serviço",0,IF(OR(AND(AUTOEVENTO="Manual",$M742=1),$M742&gt;(ROW(PLE.lastrow)-ROW(PLE.firstrow))),0,IF(OFFSET(PLE!$G$14,$M742,BF$13)="",10^12,OFFSET(PLE!$G$14,$M742,BF$13))))</f>
        <v>1000000000000</v>
      </c>
      <c r="BG742" s="182">
        <f ca="1">IF($D742&lt;&gt;"Serviço",0,IF(OR(AND(AUTOEVENTO="Manual",$M742=1),$M742&gt;(ROW(PLE.lastrow)-ROW(PLE.firstrow))),0,IF(OFFSET(PLE!$G$14,$M742,BG$13)="",10^12,OFFSET(PLE!$G$14,$M742,BG$13))))</f>
        <v>1000000000000</v>
      </c>
    </row>
    <row r="743" spans="1:59" ht="12.75" x14ac:dyDescent="0.2">
      <c r="A743" s="7" t="str">
        <f t="shared" ca="1" si="18"/>
        <v>679</v>
      </c>
      <c r="B743" s="7">
        <f ca="1">OFFSET(ORÇAMENTO!C$15,ROW(B743)-ROW(B$15),0)</f>
        <v>3</v>
      </c>
      <c r="C743" s="7" t="str">
        <f ca="1">OFFSET(ORÇAMENTO!L$15,ROW(C743)-ROW(C$15),0)</f>
        <v>F</v>
      </c>
      <c r="D743" s="118" t="str">
        <f ca="1">OFFSET(ORÇAMENTO!N$15,ROW(D743)-ROW(D$15),0)</f>
        <v>Nível 3</v>
      </c>
      <c r="E743" s="119" t="str">
        <f ca="1">OFFSET(ORÇAMENTO!O$15,ROW(E743)-ROW(E$15),0)</f>
        <v>1.24.9.</v>
      </c>
      <c r="F743" s="172" t="str">
        <f ca="1">OFFSET(ORÇAMENTO!R$15,ROW(F743)-ROW(F$15),0)</f>
        <v>SERVIÇOS FINAIS</v>
      </c>
      <c r="G743" s="173" t="str">
        <f ca="1">IF($D743&lt;&gt;"Serviço","",OFFSET(ORÇAMENTO!S$15,ROW(G743)-ROW(G$15),0))</f>
        <v/>
      </c>
      <c r="H743" s="124">
        <f ca="1">IF($D743&lt;&gt;"Serviço",0,IF(ACOMPANHAMENTO="BM",ROUND(OFFSET(ORÇAMENTO!AJ$15,ROW(H743)-ROW(H$15),0),15-13*ORÇAMENTO!$AF$7),SUMPRODUCT(($Q$12:$AA$12&lt;&gt;"")*ROUND($Q743:$AA743,15-13*ORÇAMENTO!$AF$7))))</f>
        <v>0</v>
      </c>
      <c r="I743" s="561"/>
      <c r="K743" s="174"/>
      <c r="L743" s="175" t="s">
        <v>255</v>
      </c>
      <c r="M743" s="176" t="str">
        <f ca="1">IF($D743&lt;&gt;"Serviço","",IF(AUTOEVENTO="manual",$A743,IF(ISERROR(MATCH($A743,$A$15:OFFSET($A743,-1,0),0)),MAX($M$15:OFFSET(M743,-1,0))+1,INDEX($M$15:OFFSET(M743,-1,0),MATCH($A743,$A$15:OFFSET($A743,-1,0),0)))))</f>
        <v/>
      </c>
      <c r="N743" s="177" t="str">
        <f ca="1">IF($D743&lt;&gt;"Serviço","",IF(AUTOEVENTO="Manual",IF($A743=0,"&lt;-- defina o número do agrupador",OFFSET(EVENTOS!$D$14,$A743,0)),OFFSET($F$15,$A743,0)))</f>
        <v/>
      </c>
      <c r="O743" s="178"/>
      <c r="Q743" s="178"/>
      <c r="R743" s="179"/>
      <c r="S743" s="179"/>
      <c r="T743" s="179"/>
      <c r="U743" s="179"/>
      <c r="V743" s="179"/>
      <c r="W743" s="179"/>
      <c r="X743" s="179"/>
      <c r="Y743" s="179"/>
      <c r="Z743" s="180"/>
      <c r="AB743" s="544">
        <f ca="1">IF(AND($D743="Serviço",AB$12&lt;&gt;0,$H743&gt;0,OR(AUTOEVENTO&lt;&gt;"manual",$M743&lt;&gt;1)),
IF(Import.TipoArredondamento&lt;&gt;"TransfereGOV",
ROUND(OFFSET($P743,0,AB$13),15-13*ORÇAMENTO!$AF$7)/$H743*OFFSET(ORÇAMENTO!$X$15,ROW(AB743)-ROW(AB$15),0),
ROUND(ROUND(OFFSET($P743,0,AB$13),15-13*ORÇAMENTO!$AF$7)*OFFSET(ORÇAMENTO!$W$15,ROW(AB743)-ROW(AB$15),0),15-13*ORÇAMENTO!$AF$11)),0)</f>
        <v>0</v>
      </c>
      <c r="AC743" s="545">
        <f ca="1">IF(AND($D743="Serviço",AC$12&lt;&gt;0,$H743&gt;0,OR(AUTOEVENTO&lt;&gt;"manual",$M743&lt;&gt;1)),
IF(Import.TipoArredondamento&lt;&gt;"TransfereGOV",
ROUND(OFFSET($P743,0,AC$13),15-13*ORÇAMENTO!$AF$7)/$H743*OFFSET(ORÇAMENTO!$X$15,ROW(AC743)-ROW(AC$15),0),
ROUND(ROUND(OFFSET($P743,0,AC$13),15-13*ORÇAMENTO!$AF$7)*OFFSET(ORÇAMENTO!$W$15,ROW(AC743)-ROW(AC$15),0),15-13*ORÇAMENTO!$AF$11)),0)</f>
        <v>0</v>
      </c>
      <c r="AD743" s="545">
        <f ca="1">IF(AND($D743="Serviço",AD$12&lt;&gt;0,$H743&gt;0,OR(AUTOEVENTO&lt;&gt;"manual",$M743&lt;&gt;1)),
IF(Import.TipoArredondamento&lt;&gt;"TransfereGOV",
ROUND(OFFSET($P743,0,AD$13),15-13*ORÇAMENTO!$AF$7)/$H743*OFFSET(ORÇAMENTO!$X$15,ROW(AD743)-ROW(AD$15),0),
ROUND(ROUND(OFFSET($P743,0,AD$13),15-13*ORÇAMENTO!$AF$7)*OFFSET(ORÇAMENTO!$W$15,ROW(AD743)-ROW(AD$15),0),15-13*ORÇAMENTO!$AF$11)),0)</f>
        <v>0</v>
      </c>
      <c r="AE743" s="545">
        <f ca="1">IF(AND($D743="Serviço",AE$12&lt;&gt;0,$H743&gt;0,OR(AUTOEVENTO&lt;&gt;"manual",$M743&lt;&gt;1)),
IF(Import.TipoArredondamento&lt;&gt;"TransfereGOV",
ROUND(OFFSET($P743,0,AE$13),15-13*ORÇAMENTO!$AF$7)/$H743*OFFSET(ORÇAMENTO!$X$15,ROW(AE743)-ROW(AE$15),0),
ROUND(ROUND(OFFSET($P743,0,AE$13),15-13*ORÇAMENTO!$AF$7)*OFFSET(ORÇAMENTO!$W$15,ROW(AE743)-ROW(AE$15),0),15-13*ORÇAMENTO!$AF$11)),0)</f>
        <v>0</v>
      </c>
      <c r="AF743" s="545">
        <f ca="1">IF(AND($D743="Serviço",AF$12&lt;&gt;0,$H743&gt;0,OR(AUTOEVENTO&lt;&gt;"manual",$M743&lt;&gt;1)),
IF(Import.TipoArredondamento&lt;&gt;"TransfereGOV",
ROUND(OFFSET($P743,0,AF$13),15-13*ORÇAMENTO!$AF$7)/$H743*OFFSET(ORÇAMENTO!$X$15,ROW(AF743)-ROW(AF$15),0),
ROUND(ROUND(OFFSET($P743,0,AF$13),15-13*ORÇAMENTO!$AF$7)*OFFSET(ORÇAMENTO!$W$15,ROW(AF743)-ROW(AF$15),0),15-13*ORÇAMENTO!$AF$11)),0)</f>
        <v>0</v>
      </c>
      <c r="AG743" s="545">
        <f ca="1">IF(AND($D743="Serviço",AG$12&lt;&gt;0,$H743&gt;0,OR(AUTOEVENTO&lt;&gt;"manual",$M743&lt;&gt;1)),
IF(Import.TipoArredondamento&lt;&gt;"TransfereGOV",
ROUND(OFFSET($P743,0,AG$13),15-13*ORÇAMENTO!$AF$7)/$H743*OFFSET(ORÇAMENTO!$X$15,ROW(AG743)-ROW(AG$15),0),
ROUND(ROUND(OFFSET($P743,0,AG$13),15-13*ORÇAMENTO!$AF$7)*OFFSET(ORÇAMENTO!$W$15,ROW(AG743)-ROW(AG$15),0),15-13*ORÇAMENTO!$AF$11)),0)</f>
        <v>0</v>
      </c>
      <c r="AH743" s="545">
        <f ca="1">IF(AND($D743="Serviço",AH$12&lt;&gt;0,$H743&gt;0,OR(AUTOEVENTO&lt;&gt;"manual",$M743&lt;&gt;1)),
IF(Import.TipoArredondamento&lt;&gt;"TransfereGOV",
ROUND(OFFSET($P743,0,AH$13),15-13*ORÇAMENTO!$AF$7)/$H743*OFFSET(ORÇAMENTO!$X$15,ROW(AH743)-ROW(AH$15),0),
ROUND(ROUND(OFFSET($P743,0,AH$13),15-13*ORÇAMENTO!$AF$7)*OFFSET(ORÇAMENTO!$W$15,ROW(AH743)-ROW(AH$15),0),15-13*ORÇAMENTO!$AF$11)),0)</f>
        <v>0</v>
      </c>
      <c r="AI743" s="545">
        <f ca="1">IF(AND($D743="Serviço",AI$12&lt;&gt;0,$H743&gt;0,OR(AUTOEVENTO&lt;&gt;"manual",$M743&lt;&gt;1)),
IF(Import.TipoArredondamento&lt;&gt;"TransfereGOV",
ROUND(OFFSET($P743,0,AI$13),15-13*ORÇAMENTO!$AF$7)/$H743*OFFSET(ORÇAMENTO!$X$15,ROW(AI743)-ROW(AI$15),0),
ROUND(ROUND(OFFSET($P743,0,AI$13),15-13*ORÇAMENTO!$AF$7)*OFFSET(ORÇAMENTO!$W$15,ROW(AI743)-ROW(AI$15),0),15-13*ORÇAMENTO!$AF$11)),0)</f>
        <v>0</v>
      </c>
      <c r="AJ743" s="545">
        <f ca="1">IF(AND($D743="Serviço",AJ$12&lt;&gt;0,$H743&gt;0,OR(AUTOEVENTO&lt;&gt;"manual",$M743&lt;&gt;1)),
IF(Import.TipoArredondamento&lt;&gt;"TransfereGOV",
ROUND(OFFSET($P743,0,AJ$13),15-13*ORÇAMENTO!$AF$7)/$H743*OFFSET(ORÇAMENTO!$X$15,ROW(AJ743)-ROW(AJ$15),0),
ROUND(ROUND(OFFSET($P743,0,AJ$13),15-13*ORÇAMENTO!$AF$7)*OFFSET(ORÇAMENTO!$W$15,ROW(AJ743)-ROW(AJ$15),0),15-13*ORÇAMENTO!$AF$11)),0)</f>
        <v>0</v>
      </c>
      <c r="AK743" s="546">
        <f ca="1">IF(AND($D743="Serviço",AK$12&lt;&gt;0,$H743&gt;0,OR(AUTOEVENTO&lt;&gt;"manual",$M743&lt;&gt;1)),
IF(Import.TipoArredondamento&lt;&gt;"TransfereGOV",
ROUND(OFFSET($P743,0,AK$13),15-13*ORÇAMENTO!$AF$7)/$H743*OFFSET(ORÇAMENTO!$X$15,ROW(AK743)-ROW(AK$15),0),
ROUND(ROUND(OFFSET($P743,0,AK$13),15-13*ORÇAMENTO!$AF$7)*OFFSET(ORÇAMENTO!$W$15,ROW(AK743)-ROW(AK$15),0),15-13*ORÇAMENTO!$AF$11)),0)</f>
        <v>0</v>
      </c>
      <c r="AM743" s="181">
        <f ca="1">IF($D743&lt;&gt;"Serviço",0,IF(AND(AUTOEVENTO="Manual",$M743=1),0,IF(OFFSET(CRONOPLE!$F$14,$M743,AM$13)="",10^12,OFFSET(CRONOPLE!$F$14,$M743,AM$13))))</f>
        <v>0</v>
      </c>
      <c r="AN743" s="181">
        <f ca="1">IF($D743&lt;&gt;"Serviço",0,IF(AND(AUTOEVENTO="Manual",$M743=1),0,IF(OFFSET(CRONOPLE!$F$14,$M743,AN$13)="",10^12,OFFSET(CRONOPLE!$F$14,$M743,AN$13))))</f>
        <v>0</v>
      </c>
      <c r="AO743" s="181">
        <f ca="1">IF($D743&lt;&gt;"Serviço",0,IF(AND(AUTOEVENTO="Manual",$M743=1),0,IF(OFFSET(CRONOPLE!$F$14,$M743,AO$13)="",10^12,OFFSET(CRONOPLE!$F$14,$M743,AO$13))))</f>
        <v>0</v>
      </c>
      <c r="AP743" s="181">
        <f ca="1">IF($D743&lt;&gt;"Serviço",0,IF(AND(AUTOEVENTO="Manual",$M743=1),0,IF(OFFSET(CRONOPLE!$F$14,$M743,AP$13)="",10^12,OFFSET(CRONOPLE!$F$14,$M743,AP$13))))</f>
        <v>0</v>
      </c>
      <c r="AQ743" s="181">
        <f ca="1">IF($D743&lt;&gt;"Serviço",0,IF(AND(AUTOEVENTO="Manual",$M743=1),0,IF(OFFSET(CRONOPLE!$F$14,$M743,AQ$13)="",10^12,OFFSET(CRONOPLE!$F$14,$M743,AQ$13))))</f>
        <v>0</v>
      </c>
      <c r="AR743" s="181">
        <f ca="1">IF($D743&lt;&gt;"Serviço",0,IF(AND(AUTOEVENTO="Manual",$M743=1),0,IF(OFFSET(CRONOPLE!$F$14,$M743,AR$13)="",10^12,OFFSET(CRONOPLE!$F$14,$M743,AR$13))))</f>
        <v>0</v>
      </c>
      <c r="AS743" s="181">
        <f ca="1">IF($D743&lt;&gt;"Serviço",0,IF(AND(AUTOEVENTO="Manual",$M743=1),0,IF(OFFSET(CRONOPLE!$F$14,$M743,AS$13)="",10^12,OFFSET(CRONOPLE!$F$14,$M743,AS$13))))</f>
        <v>0</v>
      </c>
      <c r="AT743" s="181">
        <f ca="1">IF($D743&lt;&gt;"Serviço",0,IF(AND(AUTOEVENTO="Manual",$M743=1),0,IF(OFFSET(CRONOPLE!$F$14,$M743,AT$13)="",10^12,OFFSET(CRONOPLE!$F$14,$M743,AT$13))))</f>
        <v>0</v>
      </c>
      <c r="AU743" s="181">
        <f ca="1">IF($D743&lt;&gt;"Serviço",0,IF(AND(AUTOEVENTO="Manual",$M743=1),0,IF(OFFSET(CRONOPLE!$F$14,$M743,AU$13)="",10^12,OFFSET(CRONOPLE!$F$14,$M743,AU$13))))</f>
        <v>0</v>
      </c>
      <c r="AV743" s="181">
        <f ca="1">IF($D743&lt;&gt;"Serviço",0,IF(AND(AUTOEVENTO="Manual",$M743=1),0,IF(OFFSET(CRONOPLE!$F$14,$M743,AV$13)="",10^12,OFFSET(CRONOPLE!$F$14,$M743,AV$13))))</f>
        <v>0</v>
      </c>
      <c r="AX743" s="182">
        <f ca="1">IF($D743&lt;&gt;"Serviço",0,IF(OR(AND(AUTOEVENTO="Manual",$M743=1),$M743&gt;(ROW(PLE.lastrow)-ROW(PLE.firstrow))),0,IF(OFFSET(PLE!$G$14,$M743,AX$13)="",10^12,OFFSET(PLE!$G$14,$M743,AX$13))))</f>
        <v>0</v>
      </c>
      <c r="AY743" s="182">
        <f ca="1">IF($D743&lt;&gt;"Serviço",0,IF(OR(AND(AUTOEVENTO="Manual",$M743=1),$M743&gt;(ROW(PLE.lastrow)-ROW(PLE.firstrow))),0,IF(OFFSET(PLE!$G$14,$M743,AY$13)="",10^12,OFFSET(PLE!$G$14,$M743,AY$13))))</f>
        <v>0</v>
      </c>
      <c r="AZ743" s="182">
        <f ca="1">IF($D743&lt;&gt;"Serviço",0,IF(OR(AND(AUTOEVENTO="Manual",$M743=1),$M743&gt;(ROW(PLE.lastrow)-ROW(PLE.firstrow))),0,IF(OFFSET(PLE!$G$14,$M743,AZ$13)="",10^12,OFFSET(PLE!$G$14,$M743,AZ$13))))</f>
        <v>0</v>
      </c>
      <c r="BA743" s="182">
        <f ca="1">IF($D743&lt;&gt;"Serviço",0,IF(OR(AND(AUTOEVENTO="Manual",$M743=1),$M743&gt;(ROW(PLE.lastrow)-ROW(PLE.firstrow))),0,IF(OFFSET(PLE!$G$14,$M743,BA$13)="",10^12,OFFSET(PLE!$G$14,$M743,BA$13))))</f>
        <v>0</v>
      </c>
      <c r="BB743" s="182">
        <f ca="1">IF($D743&lt;&gt;"Serviço",0,IF(OR(AND(AUTOEVENTO="Manual",$M743=1),$M743&gt;(ROW(PLE.lastrow)-ROW(PLE.firstrow))),0,IF(OFFSET(PLE!$G$14,$M743,BB$13)="",10^12,OFFSET(PLE!$G$14,$M743,BB$13))))</f>
        <v>0</v>
      </c>
      <c r="BC743" s="182">
        <f ca="1">IF($D743&lt;&gt;"Serviço",0,IF(OR(AND(AUTOEVENTO="Manual",$M743=1),$M743&gt;(ROW(PLE.lastrow)-ROW(PLE.firstrow))),0,IF(OFFSET(PLE!$G$14,$M743,BC$13)="",10^12,OFFSET(PLE!$G$14,$M743,BC$13))))</f>
        <v>0</v>
      </c>
      <c r="BD743" s="182">
        <f ca="1">IF($D743&lt;&gt;"Serviço",0,IF(OR(AND(AUTOEVENTO="Manual",$M743=1),$M743&gt;(ROW(PLE.lastrow)-ROW(PLE.firstrow))),0,IF(OFFSET(PLE!$G$14,$M743,BD$13)="",10^12,OFFSET(PLE!$G$14,$M743,BD$13))))</f>
        <v>0</v>
      </c>
      <c r="BE743" s="182">
        <f ca="1">IF($D743&lt;&gt;"Serviço",0,IF(OR(AND(AUTOEVENTO="Manual",$M743=1),$M743&gt;(ROW(PLE.lastrow)-ROW(PLE.firstrow))),0,IF(OFFSET(PLE!$G$14,$M743,BE$13)="",10^12,OFFSET(PLE!$G$14,$M743,BE$13))))</f>
        <v>0</v>
      </c>
      <c r="BF743" s="182">
        <f ca="1">IF($D743&lt;&gt;"Serviço",0,IF(OR(AND(AUTOEVENTO="Manual",$M743=1),$M743&gt;(ROW(PLE.lastrow)-ROW(PLE.firstrow))),0,IF(OFFSET(PLE!$G$14,$M743,BF$13)="",10^12,OFFSET(PLE!$G$14,$M743,BF$13))))</f>
        <v>0</v>
      </c>
      <c r="BG743" s="182">
        <f ca="1">IF($D743&lt;&gt;"Serviço",0,IF(OR(AND(AUTOEVENTO="Manual",$M743=1),$M743&gt;(ROW(PLE.lastrow)-ROW(PLE.firstrow))),0,IF(OFFSET(PLE!$G$14,$M743,BG$13)="",10^12,OFFSET(PLE!$G$14,$M743,BG$13))))</f>
        <v>0</v>
      </c>
    </row>
    <row r="744" spans="1:59" ht="12.75" x14ac:dyDescent="0.2">
      <c r="A744" s="7" t="str">
        <f t="shared" ca="1" si="18"/>
        <v>679</v>
      </c>
      <c r="B744" s="7" t="str">
        <f ca="1">OFFSET(ORÇAMENTO!C$15,ROW(B744)-ROW(B$15),0)</f>
        <v>S</v>
      </c>
      <c r="C744" s="7" t="str">
        <f ca="1">OFFSET(ORÇAMENTO!L$15,ROW(C744)-ROW(C$15),0)</f>
        <v/>
      </c>
      <c r="D744" s="118" t="str">
        <f ca="1">OFFSET(ORÇAMENTO!N$15,ROW(D744)-ROW(D$15),0)</f>
        <v>Serviço</v>
      </c>
      <c r="E744" s="119" t="str">
        <f ca="1">OFFSET(ORÇAMENTO!O$15,ROW(E744)-ROW(E$15),0)</f>
        <v>-</v>
      </c>
      <c r="F744" s="172" t="str">
        <f ca="1">OFFSET(ORÇAMENTO!R$15,ROW(F744)-ROW(F$15),0)</f>
        <v>(abra o arquivo 'Referência 02-2025.xlsm)</v>
      </c>
      <c r="G744" s="173" t="str">
        <f ca="1">IF($D744&lt;&gt;"Serviço","",OFFSET(ORÇAMENTO!S$15,ROW(G744)-ROW(G$15),0))</f>
        <v>-</v>
      </c>
      <c r="H744" s="124">
        <f ca="1">IF($D744&lt;&gt;"Serviço",0,IF(ACOMPANHAMENTO="BM",ROUND(OFFSET(ORÇAMENTO!AJ$15,ROW(H744)-ROW(H$15),0),15-13*ORÇAMENTO!$AF$7),SUMPRODUCT(($Q$12:$AA$12&lt;&gt;"")*ROUND($Q744:$AA744,15-13*ORÇAMENTO!$AF$7))))</f>
        <v>1545.99</v>
      </c>
      <c r="I744" s="561" t="s">
        <v>890</v>
      </c>
      <c r="K744" s="174"/>
      <c r="L744" s="175" t="s">
        <v>255</v>
      </c>
      <c r="M744" s="176">
        <f ca="1">IF($D744&lt;&gt;"Serviço","",IF(AUTOEVENTO="manual",$A744,IF(ISERROR(MATCH($A744,$A$15:OFFSET($A744,-1,0),0)),MAX($M$15:OFFSET(M744,-1,0))+1,INDEX($M$15:OFFSET(M744,-1,0),MATCH($A744,$A$15:OFFSET($A744,-1,0),0)))))</f>
        <v>25</v>
      </c>
      <c r="N744" s="177" t="str">
        <f ca="1">IF($D744&lt;&gt;"Serviço","",IF(AUTOEVENTO="Manual",IF($A744=0,"&lt;-- defina o número do agrupador",OFFSET(EVENTOS!$D$14,$A744,0)),OFFSET($F$15,$A744,0)))</f>
        <v>FECHAMENTO - MURO</v>
      </c>
      <c r="O744" s="178"/>
      <c r="Q744" s="178"/>
      <c r="R744" s="179"/>
      <c r="S744" s="179"/>
      <c r="T744" s="179"/>
      <c r="U744" s="179"/>
      <c r="V744" s="179"/>
      <c r="W744" s="179"/>
      <c r="X744" s="179"/>
      <c r="Y744" s="179"/>
      <c r="Z744" s="180"/>
      <c r="AB744" s="544">
        <f ca="1">IF(AND($D744="Serviço",AB$12&lt;&gt;0,$H744&gt;0,OR(AUTOEVENTO&lt;&gt;"manual",$M744&lt;&gt;1)),
IF(Import.TipoArredondamento&lt;&gt;"TransfereGOV",
ROUND(OFFSET($P744,0,AB$13),15-13*ORÇAMENTO!$AF$7)/$H744*OFFSET(ORÇAMENTO!$X$15,ROW(AB744)-ROW(AB$15),0),
ROUND(ROUND(OFFSET($P744,0,AB$13),15-13*ORÇAMENTO!$AF$7)*OFFSET(ORÇAMENTO!$W$15,ROW(AB744)-ROW(AB$15),0),15-13*ORÇAMENTO!$AF$11)),0)</f>
        <v>0</v>
      </c>
      <c r="AC744" s="545">
        <f ca="1">IF(AND($D744="Serviço",AC$12&lt;&gt;0,$H744&gt;0,OR(AUTOEVENTO&lt;&gt;"manual",$M744&lt;&gt;1)),
IF(Import.TipoArredondamento&lt;&gt;"TransfereGOV",
ROUND(OFFSET($P744,0,AC$13),15-13*ORÇAMENTO!$AF$7)/$H744*OFFSET(ORÇAMENTO!$X$15,ROW(AC744)-ROW(AC$15),0),
ROUND(ROUND(OFFSET($P744,0,AC$13),15-13*ORÇAMENTO!$AF$7)*OFFSET(ORÇAMENTO!$W$15,ROW(AC744)-ROW(AC$15),0),15-13*ORÇAMENTO!$AF$11)),0)</f>
        <v>0</v>
      </c>
      <c r="AD744" s="545">
        <f ca="1">IF(AND($D744="Serviço",AD$12&lt;&gt;0,$H744&gt;0,OR(AUTOEVENTO&lt;&gt;"manual",$M744&lt;&gt;1)),
IF(Import.TipoArredondamento&lt;&gt;"TransfereGOV",
ROUND(OFFSET($P744,0,AD$13),15-13*ORÇAMENTO!$AF$7)/$H744*OFFSET(ORÇAMENTO!$X$15,ROW(AD744)-ROW(AD$15),0),
ROUND(ROUND(OFFSET($P744,0,AD$13),15-13*ORÇAMENTO!$AF$7)*OFFSET(ORÇAMENTO!$W$15,ROW(AD744)-ROW(AD$15),0),15-13*ORÇAMENTO!$AF$11)),0)</f>
        <v>0</v>
      </c>
      <c r="AE744" s="545">
        <f ca="1">IF(AND($D744="Serviço",AE$12&lt;&gt;0,$H744&gt;0,OR(AUTOEVENTO&lt;&gt;"manual",$M744&lt;&gt;1)),
IF(Import.TipoArredondamento&lt;&gt;"TransfereGOV",
ROUND(OFFSET($P744,0,AE$13),15-13*ORÇAMENTO!$AF$7)/$H744*OFFSET(ORÇAMENTO!$X$15,ROW(AE744)-ROW(AE$15),0),
ROUND(ROUND(OFFSET($P744,0,AE$13),15-13*ORÇAMENTO!$AF$7)*OFFSET(ORÇAMENTO!$W$15,ROW(AE744)-ROW(AE$15),0),15-13*ORÇAMENTO!$AF$11)),0)</f>
        <v>0</v>
      </c>
      <c r="AF744" s="545">
        <f ca="1">IF(AND($D744="Serviço",AF$12&lt;&gt;0,$H744&gt;0,OR(AUTOEVENTO&lt;&gt;"manual",$M744&lt;&gt;1)),
IF(Import.TipoArredondamento&lt;&gt;"TransfereGOV",
ROUND(OFFSET($P744,0,AF$13),15-13*ORÇAMENTO!$AF$7)/$H744*OFFSET(ORÇAMENTO!$X$15,ROW(AF744)-ROW(AF$15),0),
ROUND(ROUND(OFFSET($P744,0,AF$13),15-13*ORÇAMENTO!$AF$7)*OFFSET(ORÇAMENTO!$W$15,ROW(AF744)-ROW(AF$15),0),15-13*ORÇAMENTO!$AF$11)),0)</f>
        <v>0</v>
      </c>
      <c r="AG744" s="545">
        <f ca="1">IF(AND($D744="Serviço",AG$12&lt;&gt;0,$H744&gt;0,OR(AUTOEVENTO&lt;&gt;"manual",$M744&lt;&gt;1)),
IF(Import.TipoArredondamento&lt;&gt;"TransfereGOV",
ROUND(OFFSET($P744,0,AG$13),15-13*ORÇAMENTO!$AF$7)/$H744*OFFSET(ORÇAMENTO!$X$15,ROW(AG744)-ROW(AG$15),0),
ROUND(ROUND(OFFSET($P744,0,AG$13),15-13*ORÇAMENTO!$AF$7)*OFFSET(ORÇAMENTO!$W$15,ROW(AG744)-ROW(AG$15),0),15-13*ORÇAMENTO!$AF$11)),0)</f>
        <v>0</v>
      </c>
      <c r="AH744" s="545">
        <f ca="1">IF(AND($D744="Serviço",AH$12&lt;&gt;0,$H744&gt;0,OR(AUTOEVENTO&lt;&gt;"manual",$M744&lt;&gt;1)),
IF(Import.TipoArredondamento&lt;&gt;"TransfereGOV",
ROUND(OFFSET($P744,0,AH$13),15-13*ORÇAMENTO!$AF$7)/$H744*OFFSET(ORÇAMENTO!$X$15,ROW(AH744)-ROW(AH$15),0),
ROUND(ROUND(OFFSET($P744,0,AH$13),15-13*ORÇAMENTO!$AF$7)*OFFSET(ORÇAMENTO!$W$15,ROW(AH744)-ROW(AH$15),0),15-13*ORÇAMENTO!$AF$11)),0)</f>
        <v>0</v>
      </c>
      <c r="AI744" s="545">
        <f ca="1">IF(AND($D744="Serviço",AI$12&lt;&gt;0,$H744&gt;0,OR(AUTOEVENTO&lt;&gt;"manual",$M744&lt;&gt;1)),
IF(Import.TipoArredondamento&lt;&gt;"TransfereGOV",
ROUND(OFFSET($P744,0,AI$13),15-13*ORÇAMENTO!$AF$7)/$H744*OFFSET(ORÇAMENTO!$X$15,ROW(AI744)-ROW(AI$15),0),
ROUND(ROUND(OFFSET($P744,0,AI$13),15-13*ORÇAMENTO!$AF$7)*OFFSET(ORÇAMENTO!$W$15,ROW(AI744)-ROW(AI$15),0),15-13*ORÇAMENTO!$AF$11)),0)</f>
        <v>0</v>
      </c>
      <c r="AJ744" s="545">
        <f ca="1">IF(AND($D744="Serviço",AJ$12&lt;&gt;0,$H744&gt;0,OR(AUTOEVENTO&lt;&gt;"manual",$M744&lt;&gt;1)),
IF(Import.TipoArredondamento&lt;&gt;"TransfereGOV",
ROUND(OFFSET($P744,0,AJ$13),15-13*ORÇAMENTO!$AF$7)/$H744*OFFSET(ORÇAMENTO!$X$15,ROW(AJ744)-ROW(AJ$15),0),
ROUND(ROUND(OFFSET($P744,0,AJ$13),15-13*ORÇAMENTO!$AF$7)*OFFSET(ORÇAMENTO!$W$15,ROW(AJ744)-ROW(AJ$15),0),15-13*ORÇAMENTO!$AF$11)),0)</f>
        <v>0</v>
      </c>
      <c r="AK744" s="546">
        <f ca="1">IF(AND($D744="Serviço",AK$12&lt;&gt;0,$H744&gt;0,OR(AUTOEVENTO&lt;&gt;"manual",$M744&lt;&gt;1)),
IF(Import.TipoArredondamento&lt;&gt;"TransfereGOV",
ROUND(OFFSET($P744,0,AK$13),15-13*ORÇAMENTO!$AF$7)/$H744*OFFSET(ORÇAMENTO!$X$15,ROW(AK744)-ROW(AK$15),0),
ROUND(ROUND(OFFSET($P744,0,AK$13),15-13*ORÇAMENTO!$AF$7)*OFFSET(ORÇAMENTO!$W$15,ROW(AK744)-ROW(AK$15),0),15-13*ORÇAMENTO!$AF$11)),0)</f>
        <v>0</v>
      </c>
      <c r="AM744" s="181">
        <f ca="1">IF($D744&lt;&gt;"Serviço",0,IF(AND(AUTOEVENTO="Manual",$M744=1),0,IF(OFFSET(CRONOPLE!$F$14,$M744,AM$13)="",10^12,OFFSET(CRONOPLE!$F$14,$M744,AM$13))))</f>
        <v>1000000000000</v>
      </c>
      <c r="AN744" s="181">
        <f ca="1">IF($D744&lt;&gt;"Serviço",0,IF(AND(AUTOEVENTO="Manual",$M744=1),0,IF(OFFSET(CRONOPLE!$F$14,$M744,AN$13)="",10^12,OFFSET(CRONOPLE!$F$14,$M744,AN$13))))</f>
        <v>1000000000000</v>
      </c>
      <c r="AO744" s="181">
        <f ca="1">IF($D744&lt;&gt;"Serviço",0,IF(AND(AUTOEVENTO="Manual",$M744=1),0,IF(OFFSET(CRONOPLE!$F$14,$M744,AO$13)="",10^12,OFFSET(CRONOPLE!$F$14,$M744,AO$13))))</f>
        <v>1000000000000</v>
      </c>
      <c r="AP744" s="181">
        <f ca="1">IF($D744&lt;&gt;"Serviço",0,IF(AND(AUTOEVENTO="Manual",$M744=1),0,IF(OFFSET(CRONOPLE!$F$14,$M744,AP$13)="",10^12,OFFSET(CRONOPLE!$F$14,$M744,AP$13))))</f>
        <v>1000000000000</v>
      </c>
      <c r="AQ744" s="181">
        <f ca="1">IF($D744&lt;&gt;"Serviço",0,IF(AND(AUTOEVENTO="Manual",$M744=1),0,IF(OFFSET(CRONOPLE!$F$14,$M744,AQ$13)="",10^12,OFFSET(CRONOPLE!$F$14,$M744,AQ$13))))</f>
        <v>1000000000000</v>
      </c>
      <c r="AR744" s="181">
        <f ca="1">IF($D744&lt;&gt;"Serviço",0,IF(AND(AUTOEVENTO="Manual",$M744=1),0,IF(OFFSET(CRONOPLE!$F$14,$M744,AR$13)="",10^12,OFFSET(CRONOPLE!$F$14,$M744,AR$13))))</f>
        <v>1000000000000</v>
      </c>
      <c r="AS744" s="181">
        <f ca="1">IF($D744&lt;&gt;"Serviço",0,IF(AND(AUTOEVENTO="Manual",$M744=1),0,IF(OFFSET(CRONOPLE!$F$14,$M744,AS$13)="",10^12,OFFSET(CRONOPLE!$F$14,$M744,AS$13))))</f>
        <v>1000000000000</v>
      </c>
      <c r="AT744" s="181">
        <f ca="1">IF($D744&lt;&gt;"Serviço",0,IF(AND(AUTOEVENTO="Manual",$M744=1),0,IF(OFFSET(CRONOPLE!$F$14,$M744,AT$13)="",10^12,OFFSET(CRONOPLE!$F$14,$M744,AT$13))))</f>
        <v>1000000000000</v>
      </c>
      <c r="AU744" s="181">
        <f ca="1">IF($D744&lt;&gt;"Serviço",0,IF(AND(AUTOEVENTO="Manual",$M744=1),0,IF(OFFSET(CRONOPLE!$F$14,$M744,AU$13)="",10^12,OFFSET(CRONOPLE!$F$14,$M744,AU$13))))</f>
        <v>1000000000000</v>
      </c>
      <c r="AV744" s="181">
        <f ca="1">IF($D744&lt;&gt;"Serviço",0,IF(AND(AUTOEVENTO="Manual",$M744=1),0,IF(OFFSET(CRONOPLE!$F$14,$M744,AV$13)="",10^12,OFFSET(CRONOPLE!$F$14,$M744,AV$13))))</f>
        <v>1000000000000</v>
      </c>
      <c r="AX744" s="182">
        <f ca="1">IF($D744&lt;&gt;"Serviço",0,IF(OR(AND(AUTOEVENTO="Manual",$M744=1),$M744&gt;(ROW(PLE.lastrow)-ROW(PLE.firstrow))),0,IF(OFFSET(PLE!$G$14,$M744,AX$13)="",10^12,OFFSET(PLE!$G$14,$M744,AX$13))))</f>
        <v>1000000000000</v>
      </c>
      <c r="AY744" s="182">
        <f ca="1">IF($D744&lt;&gt;"Serviço",0,IF(OR(AND(AUTOEVENTO="Manual",$M744=1),$M744&gt;(ROW(PLE.lastrow)-ROW(PLE.firstrow))),0,IF(OFFSET(PLE!$G$14,$M744,AY$13)="",10^12,OFFSET(PLE!$G$14,$M744,AY$13))))</f>
        <v>1000000000000</v>
      </c>
      <c r="AZ744" s="182">
        <f ca="1">IF($D744&lt;&gt;"Serviço",0,IF(OR(AND(AUTOEVENTO="Manual",$M744=1),$M744&gt;(ROW(PLE.lastrow)-ROW(PLE.firstrow))),0,IF(OFFSET(PLE!$G$14,$M744,AZ$13)="",10^12,OFFSET(PLE!$G$14,$M744,AZ$13))))</f>
        <v>1000000000000</v>
      </c>
      <c r="BA744" s="182">
        <f ca="1">IF($D744&lt;&gt;"Serviço",0,IF(OR(AND(AUTOEVENTO="Manual",$M744=1),$M744&gt;(ROW(PLE.lastrow)-ROW(PLE.firstrow))),0,IF(OFFSET(PLE!$G$14,$M744,BA$13)="",10^12,OFFSET(PLE!$G$14,$M744,BA$13))))</f>
        <v>1000000000000</v>
      </c>
      <c r="BB744" s="182">
        <f ca="1">IF($D744&lt;&gt;"Serviço",0,IF(OR(AND(AUTOEVENTO="Manual",$M744=1),$M744&gt;(ROW(PLE.lastrow)-ROW(PLE.firstrow))),0,IF(OFFSET(PLE!$G$14,$M744,BB$13)="",10^12,OFFSET(PLE!$G$14,$M744,BB$13))))</f>
        <v>1000000000000</v>
      </c>
      <c r="BC744" s="182">
        <f ca="1">IF($D744&lt;&gt;"Serviço",0,IF(OR(AND(AUTOEVENTO="Manual",$M744=1),$M744&gt;(ROW(PLE.lastrow)-ROW(PLE.firstrow))),0,IF(OFFSET(PLE!$G$14,$M744,BC$13)="",10^12,OFFSET(PLE!$G$14,$M744,BC$13))))</f>
        <v>1000000000000</v>
      </c>
      <c r="BD744" s="182">
        <f ca="1">IF($D744&lt;&gt;"Serviço",0,IF(OR(AND(AUTOEVENTO="Manual",$M744=1),$M744&gt;(ROW(PLE.lastrow)-ROW(PLE.firstrow))),0,IF(OFFSET(PLE!$G$14,$M744,BD$13)="",10^12,OFFSET(PLE!$G$14,$M744,BD$13))))</f>
        <v>1000000000000</v>
      </c>
      <c r="BE744" s="182">
        <f ca="1">IF($D744&lt;&gt;"Serviço",0,IF(OR(AND(AUTOEVENTO="Manual",$M744=1),$M744&gt;(ROW(PLE.lastrow)-ROW(PLE.firstrow))),0,IF(OFFSET(PLE!$G$14,$M744,BE$13)="",10^12,OFFSET(PLE!$G$14,$M744,BE$13))))</f>
        <v>1000000000000</v>
      </c>
      <c r="BF744" s="182">
        <f ca="1">IF($D744&lt;&gt;"Serviço",0,IF(OR(AND(AUTOEVENTO="Manual",$M744=1),$M744&gt;(ROW(PLE.lastrow)-ROW(PLE.firstrow))),0,IF(OFFSET(PLE!$G$14,$M744,BF$13)="",10^12,OFFSET(PLE!$G$14,$M744,BF$13))))</f>
        <v>1000000000000</v>
      </c>
      <c r="BG744" s="182">
        <f ca="1">IF($D744&lt;&gt;"Serviço",0,IF(OR(AND(AUTOEVENTO="Manual",$M744=1),$M744&gt;(ROW(PLE.lastrow)-ROW(PLE.firstrow))),0,IF(OFFSET(PLE!$G$14,$M744,BG$13)="",10^12,OFFSET(PLE!$G$14,$M744,BG$13))))</f>
        <v>1000000000000</v>
      </c>
    </row>
    <row r="745" spans="1:59" ht="12.75" x14ac:dyDescent="0.2">
      <c r="A745" s="7" t="str">
        <f t="shared" ca="1" si="18"/>
        <v>679</v>
      </c>
      <c r="B745" s="7" t="str">
        <f ca="1">OFFSET(ORÇAMENTO!C$15,ROW(B745)-ROW(B$15),0)</f>
        <v>S</v>
      </c>
      <c r="C745" s="7" t="str">
        <f ca="1">OFFSET(ORÇAMENTO!L$15,ROW(C745)-ROW(C$15),0)</f>
        <v/>
      </c>
      <c r="D745" s="118" t="str">
        <f ca="1">OFFSET(ORÇAMENTO!N$15,ROW(D745)-ROW(D$15),0)</f>
        <v>Serviço</v>
      </c>
      <c r="E745" s="119" t="str">
        <f ca="1">OFFSET(ORÇAMENTO!O$15,ROW(E745)-ROW(E$15),0)</f>
        <v>-</v>
      </c>
      <c r="F745" s="172" t="str">
        <f ca="1">OFFSET(ORÇAMENTO!R$15,ROW(F745)-ROW(F$15),0)</f>
        <v>(abra o arquivo 'Referência 02-2025.xlsm)</v>
      </c>
      <c r="G745" s="173" t="str">
        <f ca="1">IF($D745&lt;&gt;"Serviço","",OFFSET(ORÇAMENTO!S$15,ROW(G745)-ROW(G$15),0))</f>
        <v>-</v>
      </c>
      <c r="H745" s="124">
        <f ca="1">IF($D745&lt;&gt;"Serviço",0,IF(ACOMPANHAMENTO="BM",ROUND(OFFSET(ORÇAMENTO!AJ$15,ROW(H745)-ROW(H$15),0),15-13*ORÇAMENTO!$AF$7),SUMPRODUCT(($Q$12:$AA$12&lt;&gt;"")*ROUND($Q745:$AA745,15-13*ORÇAMENTO!$AF$7))))</f>
        <v>1545.99</v>
      </c>
      <c r="I745" s="561" t="s">
        <v>890</v>
      </c>
      <c r="K745" s="174"/>
      <c r="L745" s="175" t="s">
        <v>255</v>
      </c>
      <c r="M745" s="176">
        <f ca="1">IF($D745&lt;&gt;"Serviço","",IF(AUTOEVENTO="manual",$A745,IF(ISERROR(MATCH($A745,$A$15:OFFSET($A745,-1,0),0)),MAX($M$15:OFFSET(M745,-1,0))+1,INDEX($M$15:OFFSET(M745,-1,0),MATCH($A745,$A$15:OFFSET($A745,-1,0),0)))))</f>
        <v>25</v>
      </c>
      <c r="N745" s="177" t="str">
        <f ca="1">IF($D745&lt;&gt;"Serviço","",IF(AUTOEVENTO="Manual",IF($A745=0,"&lt;-- defina o número do agrupador",OFFSET(EVENTOS!$D$14,$A745,0)),OFFSET($F$15,$A745,0)))</f>
        <v>FECHAMENTO - MURO</v>
      </c>
      <c r="O745" s="178"/>
      <c r="Q745" s="178"/>
      <c r="R745" s="179"/>
      <c r="S745" s="179"/>
      <c r="T745" s="179"/>
      <c r="U745" s="179"/>
      <c r="V745" s="179"/>
      <c r="W745" s="179"/>
      <c r="X745" s="179"/>
      <c r="Y745" s="179"/>
      <c r="Z745" s="180"/>
      <c r="AB745" s="544">
        <f ca="1">IF(AND($D745="Serviço",AB$12&lt;&gt;0,$H745&gt;0,OR(AUTOEVENTO&lt;&gt;"manual",$M745&lt;&gt;1)),
IF(Import.TipoArredondamento&lt;&gt;"TransfereGOV",
ROUND(OFFSET($P745,0,AB$13),15-13*ORÇAMENTO!$AF$7)/$H745*OFFSET(ORÇAMENTO!$X$15,ROW(AB745)-ROW(AB$15),0),
ROUND(ROUND(OFFSET($P745,0,AB$13),15-13*ORÇAMENTO!$AF$7)*OFFSET(ORÇAMENTO!$W$15,ROW(AB745)-ROW(AB$15),0),15-13*ORÇAMENTO!$AF$11)),0)</f>
        <v>0</v>
      </c>
      <c r="AC745" s="545">
        <f ca="1">IF(AND($D745="Serviço",AC$12&lt;&gt;0,$H745&gt;0,OR(AUTOEVENTO&lt;&gt;"manual",$M745&lt;&gt;1)),
IF(Import.TipoArredondamento&lt;&gt;"TransfereGOV",
ROUND(OFFSET($P745,0,AC$13),15-13*ORÇAMENTO!$AF$7)/$H745*OFFSET(ORÇAMENTO!$X$15,ROW(AC745)-ROW(AC$15),0),
ROUND(ROUND(OFFSET($P745,0,AC$13),15-13*ORÇAMENTO!$AF$7)*OFFSET(ORÇAMENTO!$W$15,ROW(AC745)-ROW(AC$15),0),15-13*ORÇAMENTO!$AF$11)),0)</f>
        <v>0</v>
      </c>
      <c r="AD745" s="545">
        <f ca="1">IF(AND($D745="Serviço",AD$12&lt;&gt;0,$H745&gt;0,OR(AUTOEVENTO&lt;&gt;"manual",$M745&lt;&gt;1)),
IF(Import.TipoArredondamento&lt;&gt;"TransfereGOV",
ROUND(OFFSET($P745,0,AD$13),15-13*ORÇAMENTO!$AF$7)/$H745*OFFSET(ORÇAMENTO!$X$15,ROW(AD745)-ROW(AD$15),0),
ROUND(ROUND(OFFSET($P745,0,AD$13),15-13*ORÇAMENTO!$AF$7)*OFFSET(ORÇAMENTO!$W$15,ROW(AD745)-ROW(AD$15),0),15-13*ORÇAMENTO!$AF$11)),0)</f>
        <v>0</v>
      </c>
      <c r="AE745" s="545">
        <f ca="1">IF(AND($D745="Serviço",AE$12&lt;&gt;0,$H745&gt;0,OR(AUTOEVENTO&lt;&gt;"manual",$M745&lt;&gt;1)),
IF(Import.TipoArredondamento&lt;&gt;"TransfereGOV",
ROUND(OFFSET($P745,0,AE$13),15-13*ORÇAMENTO!$AF$7)/$H745*OFFSET(ORÇAMENTO!$X$15,ROW(AE745)-ROW(AE$15),0),
ROUND(ROUND(OFFSET($P745,0,AE$13),15-13*ORÇAMENTO!$AF$7)*OFFSET(ORÇAMENTO!$W$15,ROW(AE745)-ROW(AE$15),0),15-13*ORÇAMENTO!$AF$11)),0)</f>
        <v>0</v>
      </c>
      <c r="AF745" s="545">
        <f ca="1">IF(AND($D745="Serviço",AF$12&lt;&gt;0,$H745&gt;0,OR(AUTOEVENTO&lt;&gt;"manual",$M745&lt;&gt;1)),
IF(Import.TipoArredondamento&lt;&gt;"TransfereGOV",
ROUND(OFFSET($P745,0,AF$13),15-13*ORÇAMENTO!$AF$7)/$H745*OFFSET(ORÇAMENTO!$X$15,ROW(AF745)-ROW(AF$15),0),
ROUND(ROUND(OFFSET($P745,0,AF$13),15-13*ORÇAMENTO!$AF$7)*OFFSET(ORÇAMENTO!$W$15,ROW(AF745)-ROW(AF$15),0),15-13*ORÇAMENTO!$AF$11)),0)</f>
        <v>0</v>
      </c>
      <c r="AG745" s="545">
        <f ca="1">IF(AND($D745="Serviço",AG$12&lt;&gt;0,$H745&gt;0,OR(AUTOEVENTO&lt;&gt;"manual",$M745&lt;&gt;1)),
IF(Import.TipoArredondamento&lt;&gt;"TransfereGOV",
ROUND(OFFSET($P745,0,AG$13),15-13*ORÇAMENTO!$AF$7)/$H745*OFFSET(ORÇAMENTO!$X$15,ROW(AG745)-ROW(AG$15),0),
ROUND(ROUND(OFFSET($P745,0,AG$13),15-13*ORÇAMENTO!$AF$7)*OFFSET(ORÇAMENTO!$W$15,ROW(AG745)-ROW(AG$15),0),15-13*ORÇAMENTO!$AF$11)),0)</f>
        <v>0</v>
      </c>
      <c r="AH745" s="545">
        <f ca="1">IF(AND($D745="Serviço",AH$12&lt;&gt;0,$H745&gt;0,OR(AUTOEVENTO&lt;&gt;"manual",$M745&lt;&gt;1)),
IF(Import.TipoArredondamento&lt;&gt;"TransfereGOV",
ROUND(OFFSET($P745,0,AH$13),15-13*ORÇAMENTO!$AF$7)/$H745*OFFSET(ORÇAMENTO!$X$15,ROW(AH745)-ROW(AH$15),0),
ROUND(ROUND(OFFSET($P745,0,AH$13),15-13*ORÇAMENTO!$AF$7)*OFFSET(ORÇAMENTO!$W$15,ROW(AH745)-ROW(AH$15),0),15-13*ORÇAMENTO!$AF$11)),0)</f>
        <v>0</v>
      </c>
      <c r="AI745" s="545">
        <f ca="1">IF(AND($D745="Serviço",AI$12&lt;&gt;0,$H745&gt;0,OR(AUTOEVENTO&lt;&gt;"manual",$M745&lt;&gt;1)),
IF(Import.TipoArredondamento&lt;&gt;"TransfereGOV",
ROUND(OFFSET($P745,0,AI$13),15-13*ORÇAMENTO!$AF$7)/$H745*OFFSET(ORÇAMENTO!$X$15,ROW(AI745)-ROW(AI$15),0),
ROUND(ROUND(OFFSET($P745,0,AI$13),15-13*ORÇAMENTO!$AF$7)*OFFSET(ORÇAMENTO!$W$15,ROW(AI745)-ROW(AI$15),0),15-13*ORÇAMENTO!$AF$11)),0)</f>
        <v>0</v>
      </c>
      <c r="AJ745" s="545">
        <f ca="1">IF(AND($D745="Serviço",AJ$12&lt;&gt;0,$H745&gt;0,OR(AUTOEVENTO&lt;&gt;"manual",$M745&lt;&gt;1)),
IF(Import.TipoArredondamento&lt;&gt;"TransfereGOV",
ROUND(OFFSET($P745,0,AJ$13),15-13*ORÇAMENTO!$AF$7)/$H745*OFFSET(ORÇAMENTO!$X$15,ROW(AJ745)-ROW(AJ$15),0),
ROUND(ROUND(OFFSET($P745,0,AJ$13),15-13*ORÇAMENTO!$AF$7)*OFFSET(ORÇAMENTO!$W$15,ROW(AJ745)-ROW(AJ$15),0),15-13*ORÇAMENTO!$AF$11)),0)</f>
        <v>0</v>
      </c>
      <c r="AK745" s="546">
        <f ca="1">IF(AND($D745="Serviço",AK$12&lt;&gt;0,$H745&gt;0,OR(AUTOEVENTO&lt;&gt;"manual",$M745&lt;&gt;1)),
IF(Import.TipoArredondamento&lt;&gt;"TransfereGOV",
ROUND(OFFSET($P745,0,AK$13),15-13*ORÇAMENTO!$AF$7)/$H745*OFFSET(ORÇAMENTO!$X$15,ROW(AK745)-ROW(AK$15),0),
ROUND(ROUND(OFFSET($P745,0,AK$13),15-13*ORÇAMENTO!$AF$7)*OFFSET(ORÇAMENTO!$W$15,ROW(AK745)-ROW(AK$15),0),15-13*ORÇAMENTO!$AF$11)),0)</f>
        <v>0</v>
      </c>
      <c r="AM745" s="181">
        <f ca="1">IF($D745&lt;&gt;"Serviço",0,IF(AND(AUTOEVENTO="Manual",$M745=1),0,IF(OFFSET(CRONOPLE!$F$14,$M745,AM$13)="",10^12,OFFSET(CRONOPLE!$F$14,$M745,AM$13))))</f>
        <v>1000000000000</v>
      </c>
      <c r="AN745" s="181">
        <f ca="1">IF($D745&lt;&gt;"Serviço",0,IF(AND(AUTOEVENTO="Manual",$M745=1),0,IF(OFFSET(CRONOPLE!$F$14,$M745,AN$13)="",10^12,OFFSET(CRONOPLE!$F$14,$M745,AN$13))))</f>
        <v>1000000000000</v>
      </c>
      <c r="AO745" s="181">
        <f ca="1">IF($D745&lt;&gt;"Serviço",0,IF(AND(AUTOEVENTO="Manual",$M745=1),0,IF(OFFSET(CRONOPLE!$F$14,$M745,AO$13)="",10^12,OFFSET(CRONOPLE!$F$14,$M745,AO$13))))</f>
        <v>1000000000000</v>
      </c>
      <c r="AP745" s="181">
        <f ca="1">IF($D745&lt;&gt;"Serviço",0,IF(AND(AUTOEVENTO="Manual",$M745=1),0,IF(OFFSET(CRONOPLE!$F$14,$M745,AP$13)="",10^12,OFFSET(CRONOPLE!$F$14,$M745,AP$13))))</f>
        <v>1000000000000</v>
      </c>
      <c r="AQ745" s="181">
        <f ca="1">IF($D745&lt;&gt;"Serviço",0,IF(AND(AUTOEVENTO="Manual",$M745=1),0,IF(OFFSET(CRONOPLE!$F$14,$M745,AQ$13)="",10^12,OFFSET(CRONOPLE!$F$14,$M745,AQ$13))))</f>
        <v>1000000000000</v>
      </c>
      <c r="AR745" s="181">
        <f ca="1">IF($D745&lt;&gt;"Serviço",0,IF(AND(AUTOEVENTO="Manual",$M745=1),0,IF(OFFSET(CRONOPLE!$F$14,$M745,AR$13)="",10^12,OFFSET(CRONOPLE!$F$14,$M745,AR$13))))</f>
        <v>1000000000000</v>
      </c>
      <c r="AS745" s="181">
        <f ca="1">IF($D745&lt;&gt;"Serviço",0,IF(AND(AUTOEVENTO="Manual",$M745=1),0,IF(OFFSET(CRONOPLE!$F$14,$M745,AS$13)="",10^12,OFFSET(CRONOPLE!$F$14,$M745,AS$13))))</f>
        <v>1000000000000</v>
      </c>
      <c r="AT745" s="181">
        <f ca="1">IF($D745&lt;&gt;"Serviço",0,IF(AND(AUTOEVENTO="Manual",$M745=1),0,IF(OFFSET(CRONOPLE!$F$14,$M745,AT$13)="",10^12,OFFSET(CRONOPLE!$F$14,$M745,AT$13))))</f>
        <v>1000000000000</v>
      </c>
      <c r="AU745" s="181">
        <f ca="1">IF($D745&lt;&gt;"Serviço",0,IF(AND(AUTOEVENTO="Manual",$M745=1),0,IF(OFFSET(CRONOPLE!$F$14,$M745,AU$13)="",10^12,OFFSET(CRONOPLE!$F$14,$M745,AU$13))))</f>
        <v>1000000000000</v>
      </c>
      <c r="AV745" s="181">
        <f ca="1">IF($D745&lt;&gt;"Serviço",0,IF(AND(AUTOEVENTO="Manual",$M745=1),0,IF(OFFSET(CRONOPLE!$F$14,$M745,AV$13)="",10^12,OFFSET(CRONOPLE!$F$14,$M745,AV$13))))</f>
        <v>1000000000000</v>
      </c>
      <c r="AX745" s="182">
        <f ca="1">IF($D745&lt;&gt;"Serviço",0,IF(OR(AND(AUTOEVENTO="Manual",$M745=1),$M745&gt;(ROW(PLE.lastrow)-ROW(PLE.firstrow))),0,IF(OFFSET(PLE!$G$14,$M745,AX$13)="",10^12,OFFSET(PLE!$G$14,$M745,AX$13))))</f>
        <v>1000000000000</v>
      </c>
      <c r="AY745" s="182">
        <f ca="1">IF($D745&lt;&gt;"Serviço",0,IF(OR(AND(AUTOEVENTO="Manual",$M745=1),$M745&gt;(ROW(PLE.lastrow)-ROW(PLE.firstrow))),0,IF(OFFSET(PLE!$G$14,$M745,AY$13)="",10^12,OFFSET(PLE!$G$14,$M745,AY$13))))</f>
        <v>1000000000000</v>
      </c>
      <c r="AZ745" s="182">
        <f ca="1">IF($D745&lt;&gt;"Serviço",0,IF(OR(AND(AUTOEVENTO="Manual",$M745=1),$M745&gt;(ROW(PLE.lastrow)-ROW(PLE.firstrow))),0,IF(OFFSET(PLE!$G$14,$M745,AZ$13)="",10^12,OFFSET(PLE!$G$14,$M745,AZ$13))))</f>
        <v>1000000000000</v>
      </c>
      <c r="BA745" s="182">
        <f ca="1">IF($D745&lt;&gt;"Serviço",0,IF(OR(AND(AUTOEVENTO="Manual",$M745=1),$M745&gt;(ROW(PLE.lastrow)-ROW(PLE.firstrow))),0,IF(OFFSET(PLE!$G$14,$M745,BA$13)="",10^12,OFFSET(PLE!$G$14,$M745,BA$13))))</f>
        <v>1000000000000</v>
      </c>
      <c r="BB745" s="182">
        <f ca="1">IF($D745&lt;&gt;"Serviço",0,IF(OR(AND(AUTOEVENTO="Manual",$M745=1),$M745&gt;(ROW(PLE.lastrow)-ROW(PLE.firstrow))),0,IF(OFFSET(PLE!$G$14,$M745,BB$13)="",10^12,OFFSET(PLE!$G$14,$M745,BB$13))))</f>
        <v>1000000000000</v>
      </c>
      <c r="BC745" s="182">
        <f ca="1">IF($D745&lt;&gt;"Serviço",0,IF(OR(AND(AUTOEVENTO="Manual",$M745=1),$M745&gt;(ROW(PLE.lastrow)-ROW(PLE.firstrow))),0,IF(OFFSET(PLE!$G$14,$M745,BC$13)="",10^12,OFFSET(PLE!$G$14,$M745,BC$13))))</f>
        <v>1000000000000</v>
      </c>
      <c r="BD745" s="182">
        <f ca="1">IF($D745&lt;&gt;"Serviço",0,IF(OR(AND(AUTOEVENTO="Manual",$M745=1),$M745&gt;(ROW(PLE.lastrow)-ROW(PLE.firstrow))),0,IF(OFFSET(PLE!$G$14,$M745,BD$13)="",10^12,OFFSET(PLE!$G$14,$M745,BD$13))))</f>
        <v>1000000000000</v>
      </c>
      <c r="BE745" s="182">
        <f ca="1">IF($D745&lt;&gt;"Serviço",0,IF(OR(AND(AUTOEVENTO="Manual",$M745=1),$M745&gt;(ROW(PLE.lastrow)-ROW(PLE.firstrow))),0,IF(OFFSET(PLE!$G$14,$M745,BE$13)="",10^12,OFFSET(PLE!$G$14,$M745,BE$13))))</f>
        <v>1000000000000</v>
      </c>
      <c r="BF745" s="182">
        <f ca="1">IF($D745&lt;&gt;"Serviço",0,IF(OR(AND(AUTOEVENTO="Manual",$M745=1),$M745&gt;(ROW(PLE.lastrow)-ROW(PLE.firstrow))),0,IF(OFFSET(PLE!$G$14,$M745,BF$13)="",10^12,OFFSET(PLE!$G$14,$M745,BF$13))))</f>
        <v>1000000000000</v>
      </c>
      <c r="BG745" s="182">
        <f ca="1">IF($D745&lt;&gt;"Serviço",0,IF(OR(AND(AUTOEVENTO="Manual",$M745=1),$M745&gt;(ROW(PLE.lastrow)-ROW(PLE.firstrow))),0,IF(OFFSET(PLE!$G$14,$M745,BG$13)="",10^12,OFFSET(PLE!$G$14,$M745,BG$13))))</f>
        <v>1000000000000</v>
      </c>
    </row>
    <row r="746" spans="1:59" ht="25.5" x14ac:dyDescent="0.2">
      <c r="A746" s="7" t="str">
        <f ca="1">IF(AUTOEVENTO="Manual",IF(K746&lt;&gt;"",MIN(VALUE(LEFT(K746,FIND(".",K746)-1)),COUNTA(EVENTOS.Lista)),0),IF(OR($B746&gt;AUTOEVENTO,$B746="S",$B746=0),SUBSTITUTE(OFFSET($A746,-1,0),IF($D746="Serviço",".",""),""),ROW(A746)-ROW($A$15)&amp;"."))</f>
        <v>679</v>
      </c>
      <c r="B746" s="7" t="str">
        <f ca="1">OFFSET(ORÇAMENTO!C$15,ROW(B746)-ROW(B$15),0)</f>
        <v>S</v>
      </c>
      <c r="C746" s="7" t="str">
        <f ca="1">OFFSET(ORÇAMENTO!L$15,ROW(C746)-ROW(C$15),0)</f>
        <v/>
      </c>
      <c r="D746" s="118" t="str">
        <f ca="1">OFFSET(ORÇAMENTO!N$15,ROW(D746)-ROW(D$15),0)</f>
        <v>Serviço</v>
      </c>
      <c r="E746" s="119" t="str">
        <f ca="1">OFFSET(ORÇAMENTO!O$15,ROW(E746)-ROW(E$15),0)</f>
        <v>-</v>
      </c>
      <c r="F746" s="172" t="str">
        <f ca="1">OFFSET(ORÇAMENTO!R$15,ROW(F746)-ROW(F$15),0)</f>
        <v>(abra o arquivo 'Referência 02-2025.xlsm)</v>
      </c>
      <c r="G746" s="173" t="str">
        <f ca="1">IF($D746&lt;&gt;"Serviço","",OFFSET(ORÇAMENTO!S$15,ROW(G746)-ROW(G$15),0))</f>
        <v>-</v>
      </c>
      <c r="H746" s="124">
        <f ca="1">IF($D746&lt;&gt;"Serviço",0,IF(ACOMPANHAMENTO="BM",ROUND(OFFSET(ORÇAMENTO!AJ$15,ROW(H746)-ROW(H$15),0),15-13*ORÇAMENTO!$AF$7),SUMPRODUCT(($Q$12:$AA$12&lt;&gt;"")*ROUND($Q746:$AA746,15-13*ORÇAMENTO!$AF$7))))</f>
        <v>1</v>
      </c>
      <c r="I746" s="561"/>
      <c r="K746" s="174"/>
      <c r="L746" s="175" t="s">
        <v>255</v>
      </c>
      <c r="M746" s="176">
        <f ca="1">IF($D746&lt;&gt;"Serviço","",IF(AUTOEVENTO="manual",$A746,IF(ISERROR(MATCH($A746,$A$15:OFFSET($A746,-1,0),0)),MAX($M$15:OFFSET(M746,-1,0))+1,INDEX($M$15:OFFSET(M746,-1,0),MATCH($A746,$A$15:OFFSET($A746,-1,0),0)))))</f>
        <v>25</v>
      </c>
      <c r="N746" s="177" t="str">
        <f ca="1">IF($D746&lt;&gt;"Serviço","",IF(AUTOEVENTO="Manual",IF($A746=0,"&lt;-- defina o número do agrupador",OFFSET(EVENTOS!$D$14,$A746,0)),OFFSET($F$15,$A746,0)))</f>
        <v>FECHAMENTO - MURO</v>
      </c>
      <c r="O746" s="178"/>
      <c r="Q746" s="178"/>
      <c r="R746" s="179"/>
      <c r="S746" s="179"/>
      <c r="T746" s="179"/>
      <c r="U746" s="179"/>
      <c r="V746" s="179"/>
      <c r="W746" s="179"/>
      <c r="X746" s="179"/>
      <c r="Y746" s="179"/>
      <c r="Z746" s="180"/>
      <c r="AB746" s="544">
        <f ca="1">IF(AND($D746="Serviço",AB$12&lt;&gt;0,$H746&gt;0,OR(AUTOEVENTO&lt;&gt;"manual",$M746&lt;&gt;1)),
IF(Import.TipoArredondamento&lt;&gt;"TransfereGOV",
ROUND(OFFSET($P746,0,AB$13),15-13*ORÇAMENTO!$AF$7)/$H746*OFFSET(ORÇAMENTO!$X$15,ROW(AB746)-ROW(AB$15),0),
ROUND(ROUND(OFFSET($P746,0,AB$13),15-13*ORÇAMENTO!$AF$7)*OFFSET(ORÇAMENTO!$W$15,ROW(AB746)-ROW(AB$15),0),15-13*ORÇAMENTO!$AF$11)),0)</f>
        <v>0</v>
      </c>
      <c r="AC746" s="545">
        <f ca="1">IF(AND($D746="Serviço",AC$12&lt;&gt;0,$H746&gt;0,OR(AUTOEVENTO&lt;&gt;"manual",$M746&lt;&gt;1)),
IF(Import.TipoArredondamento&lt;&gt;"TransfereGOV",
ROUND(OFFSET($P746,0,AC$13),15-13*ORÇAMENTO!$AF$7)/$H746*OFFSET(ORÇAMENTO!$X$15,ROW(AC746)-ROW(AC$15),0),
ROUND(ROUND(OFFSET($P746,0,AC$13),15-13*ORÇAMENTO!$AF$7)*OFFSET(ORÇAMENTO!$W$15,ROW(AC746)-ROW(AC$15),0),15-13*ORÇAMENTO!$AF$11)),0)</f>
        <v>0</v>
      </c>
      <c r="AD746" s="545">
        <f ca="1">IF(AND($D746="Serviço",AD$12&lt;&gt;0,$H746&gt;0,OR(AUTOEVENTO&lt;&gt;"manual",$M746&lt;&gt;1)),
IF(Import.TipoArredondamento&lt;&gt;"TransfereGOV",
ROUND(OFFSET($P746,0,AD$13),15-13*ORÇAMENTO!$AF$7)/$H746*OFFSET(ORÇAMENTO!$X$15,ROW(AD746)-ROW(AD$15),0),
ROUND(ROUND(OFFSET($P746,0,AD$13),15-13*ORÇAMENTO!$AF$7)*OFFSET(ORÇAMENTO!$W$15,ROW(AD746)-ROW(AD$15),0),15-13*ORÇAMENTO!$AF$11)),0)</f>
        <v>0</v>
      </c>
      <c r="AE746" s="545">
        <f ca="1">IF(AND($D746="Serviço",AE$12&lt;&gt;0,$H746&gt;0,OR(AUTOEVENTO&lt;&gt;"manual",$M746&lt;&gt;1)),
IF(Import.TipoArredondamento&lt;&gt;"TransfereGOV",
ROUND(OFFSET($P746,0,AE$13),15-13*ORÇAMENTO!$AF$7)/$H746*OFFSET(ORÇAMENTO!$X$15,ROW(AE746)-ROW(AE$15),0),
ROUND(ROUND(OFFSET($P746,0,AE$13),15-13*ORÇAMENTO!$AF$7)*OFFSET(ORÇAMENTO!$W$15,ROW(AE746)-ROW(AE$15),0),15-13*ORÇAMENTO!$AF$11)),0)</f>
        <v>0</v>
      </c>
      <c r="AF746" s="545">
        <f ca="1">IF(AND($D746="Serviço",AF$12&lt;&gt;0,$H746&gt;0,OR(AUTOEVENTO&lt;&gt;"manual",$M746&lt;&gt;1)),
IF(Import.TipoArredondamento&lt;&gt;"TransfereGOV",
ROUND(OFFSET($P746,0,AF$13),15-13*ORÇAMENTO!$AF$7)/$H746*OFFSET(ORÇAMENTO!$X$15,ROW(AF746)-ROW(AF$15),0),
ROUND(ROUND(OFFSET($P746,0,AF$13),15-13*ORÇAMENTO!$AF$7)*OFFSET(ORÇAMENTO!$W$15,ROW(AF746)-ROW(AF$15),0),15-13*ORÇAMENTO!$AF$11)),0)</f>
        <v>0</v>
      </c>
      <c r="AG746" s="545">
        <f ca="1">IF(AND($D746="Serviço",AG$12&lt;&gt;0,$H746&gt;0,OR(AUTOEVENTO&lt;&gt;"manual",$M746&lt;&gt;1)),
IF(Import.TipoArredondamento&lt;&gt;"TransfereGOV",
ROUND(OFFSET($P746,0,AG$13),15-13*ORÇAMENTO!$AF$7)/$H746*OFFSET(ORÇAMENTO!$X$15,ROW(AG746)-ROW(AG$15),0),
ROUND(ROUND(OFFSET($P746,0,AG$13),15-13*ORÇAMENTO!$AF$7)*OFFSET(ORÇAMENTO!$W$15,ROW(AG746)-ROW(AG$15),0),15-13*ORÇAMENTO!$AF$11)),0)</f>
        <v>0</v>
      </c>
      <c r="AH746" s="545">
        <f ca="1">IF(AND($D746="Serviço",AH$12&lt;&gt;0,$H746&gt;0,OR(AUTOEVENTO&lt;&gt;"manual",$M746&lt;&gt;1)),
IF(Import.TipoArredondamento&lt;&gt;"TransfereGOV",
ROUND(OFFSET($P746,0,AH$13),15-13*ORÇAMENTO!$AF$7)/$H746*OFFSET(ORÇAMENTO!$X$15,ROW(AH746)-ROW(AH$15),0),
ROUND(ROUND(OFFSET($P746,0,AH$13),15-13*ORÇAMENTO!$AF$7)*OFFSET(ORÇAMENTO!$W$15,ROW(AH746)-ROW(AH$15),0),15-13*ORÇAMENTO!$AF$11)),0)</f>
        <v>0</v>
      </c>
      <c r="AI746" s="545">
        <f ca="1">IF(AND($D746="Serviço",AI$12&lt;&gt;0,$H746&gt;0,OR(AUTOEVENTO&lt;&gt;"manual",$M746&lt;&gt;1)),
IF(Import.TipoArredondamento&lt;&gt;"TransfereGOV",
ROUND(OFFSET($P746,0,AI$13),15-13*ORÇAMENTO!$AF$7)/$H746*OFFSET(ORÇAMENTO!$X$15,ROW(AI746)-ROW(AI$15),0),
ROUND(ROUND(OFFSET($P746,0,AI$13),15-13*ORÇAMENTO!$AF$7)*OFFSET(ORÇAMENTO!$W$15,ROW(AI746)-ROW(AI$15),0),15-13*ORÇAMENTO!$AF$11)),0)</f>
        <v>0</v>
      </c>
      <c r="AJ746" s="545">
        <f ca="1">IF(AND($D746="Serviço",AJ$12&lt;&gt;0,$H746&gt;0,OR(AUTOEVENTO&lt;&gt;"manual",$M746&lt;&gt;1)),
IF(Import.TipoArredondamento&lt;&gt;"TransfereGOV",
ROUND(OFFSET($P746,0,AJ$13),15-13*ORÇAMENTO!$AF$7)/$H746*OFFSET(ORÇAMENTO!$X$15,ROW(AJ746)-ROW(AJ$15),0),
ROUND(ROUND(OFFSET($P746,0,AJ$13),15-13*ORÇAMENTO!$AF$7)*OFFSET(ORÇAMENTO!$W$15,ROW(AJ746)-ROW(AJ$15),0),15-13*ORÇAMENTO!$AF$11)),0)</f>
        <v>0</v>
      </c>
      <c r="AK746" s="546">
        <f ca="1">IF(AND($D746="Serviço",AK$12&lt;&gt;0,$H746&gt;0,OR(AUTOEVENTO&lt;&gt;"manual",$M746&lt;&gt;1)),
IF(Import.TipoArredondamento&lt;&gt;"TransfereGOV",
ROUND(OFFSET($P746,0,AK$13),15-13*ORÇAMENTO!$AF$7)/$H746*OFFSET(ORÇAMENTO!$X$15,ROW(AK746)-ROW(AK$15),0),
ROUND(ROUND(OFFSET($P746,0,AK$13),15-13*ORÇAMENTO!$AF$7)*OFFSET(ORÇAMENTO!$W$15,ROW(AK746)-ROW(AK$15),0),15-13*ORÇAMENTO!$AF$11)),0)</f>
        <v>0</v>
      </c>
      <c r="AM746" s="181">
        <f ca="1">IF($D746&lt;&gt;"Serviço",0,IF(AND(AUTOEVENTO="Manual",$M746=1),0,IF(OFFSET(CRONOPLE!$F$14,$M746,AM$13)="",10^12,OFFSET(CRONOPLE!$F$14,$M746,AM$13))))</f>
        <v>1000000000000</v>
      </c>
      <c r="AN746" s="181">
        <f ca="1">IF($D746&lt;&gt;"Serviço",0,IF(AND(AUTOEVENTO="Manual",$M746=1),0,IF(OFFSET(CRONOPLE!$F$14,$M746,AN$13)="",10^12,OFFSET(CRONOPLE!$F$14,$M746,AN$13))))</f>
        <v>1000000000000</v>
      </c>
      <c r="AO746" s="181">
        <f ca="1">IF($D746&lt;&gt;"Serviço",0,IF(AND(AUTOEVENTO="Manual",$M746=1),0,IF(OFFSET(CRONOPLE!$F$14,$M746,AO$13)="",10^12,OFFSET(CRONOPLE!$F$14,$M746,AO$13))))</f>
        <v>1000000000000</v>
      </c>
      <c r="AP746" s="181">
        <f ca="1">IF($D746&lt;&gt;"Serviço",0,IF(AND(AUTOEVENTO="Manual",$M746=1),0,IF(OFFSET(CRONOPLE!$F$14,$M746,AP$13)="",10^12,OFFSET(CRONOPLE!$F$14,$M746,AP$13))))</f>
        <v>1000000000000</v>
      </c>
      <c r="AQ746" s="181">
        <f ca="1">IF($D746&lt;&gt;"Serviço",0,IF(AND(AUTOEVENTO="Manual",$M746=1),0,IF(OFFSET(CRONOPLE!$F$14,$M746,AQ$13)="",10^12,OFFSET(CRONOPLE!$F$14,$M746,AQ$13))))</f>
        <v>1000000000000</v>
      </c>
      <c r="AR746" s="181">
        <f ca="1">IF($D746&lt;&gt;"Serviço",0,IF(AND(AUTOEVENTO="Manual",$M746=1),0,IF(OFFSET(CRONOPLE!$F$14,$M746,AR$13)="",10^12,OFFSET(CRONOPLE!$F$14,$M746,AR$13))))</f>
        <v>1000000000000</v>
      </c>
      <c r="AS746" s="181">
        <f ca="1">IF($D746&lt;&gt;"Serviço",0,IF(AND(AUTOEVENTO="Manual",$M746=1),0,IF(OFFSET(CRONOPLE!$F$14,$M746,AS$13)="",10^12,OFFSET(CRONOPLE!$F$14,$M746,AS$13))))</f>
        <v>1000000000000</v>
      </c>
      <c r="AT746" s="181">
        <f ca="1">IF($D746&lt;&gt;"Serviço",0,IF(AND(AUTOEVENTO="Manual",$M746=1),0,IF(OFFSET(CRONOPLE!$F$14,$M746,AT$13)="",10^12,OFFSET(CRONOPLE!$F$14,$M746,AT$13))))</f>
        <v>1000000000000</v>
      </c>
      <c r="AU746" s="181">
        <f ca="1">IF($D746&lt;&gt;"Serviço",0,IF(AND(AUTOEVENTO="Manual",$M746=1),0,IF(OFFSET(CRONOPLE!$F$14,$M746,AU$13)="",10^12,OFFSET(CRONOPLE!$F$14,$M746,AU$13))))</f>
        <v>1000000000000</v>
      </c>
      <c r="AV746" s="181">
        <f ca="1">IF($D746&lt;&gt;"Serviço",0,IF(AND(AUTOEVENTO="Manual",$M746=1),0,IF(OFFSET(CRONOPLE!$F$14,$M746,AV$13)="",10^12,OFFSET(CRONOPLE!$F$14,$M746,AV$13))))</f>
        <v>1000000000000</v>
      </c>
      <c r="AX746" s="182">
        <f ca="1">IF($D746&lt;&gt;"Serviço",0,IF(OR(AND(AUTOEVENTO="Manual",$M746=1),$M746&gt;(ROW(PLE.lastrow)-ROW(PLE.firstrow))),0,IF(OFFSET(PLE!$G$14,$M746,AX$13)="",10^12,OFFSET(PLE!$G$14,$M746,AX$13))))</f>
        <v>1000000000000</v>
      </c>
      <c r="AY746" s="182">
        <f ca="1">IF($D746&lt;&gt;"Serviço",0,IF(OR(AND(AUTOEVENTO="Manual",$M746=1),$M746&gt;(ROW(PLE.lastrow)-ROW(PLE.firstrow))),0,IF(OFFSET(PLE!$G$14,$M746,AY$13)="",10^12,OFFSET(PLE!$G$14,$M746,AY$13))))</f>
        <v>1000000000000</v>
      </c>
      <c r="AZ746" s="182">
        <f ca="1">IF($D746&lt;&gt;"Serviço",0,IF(OR(AND(AUTOEVENTO="Manual",$M746=1),$M746&gt;(ROW(PLE.lastrow)-ROW(PLE.firstrow))),0,IF(OFFSET(PLE!$G$14,$M746,AZ$13)="",10^12,OFFSET(PLE!$G$14,$M746,AZ$13))))</f>
        <v>1000000000000</v>
      </c>
      <c r="BA746" s="182">
        <f ca="1">IF($D746&lt;&gt;"Serviço",0,IF(OR(AND(AUTOEVENTO="Manual",$M746=1),$M746&gt;(ROW(PLE.lastrow)-ROW(PLE.firstrow))),0,IF(OFFSET(PLE!$G$14,$M746,BA$13)="",10^12,OFFSET(PLE!$G$14,$M746,BA$13))))</f>
        <v>1000000000000</v>
      </c>
      <c r="BB746" s="182">
        <f ca="1">IF($D746&lt;&gt;"Serviço",0,IF(OR(AND(AUTOEVENTO="Manual",$M746=1),$M746&gt;(ROW(PLE.lastrow)-ROW(PLE.firstrow))),0,IF(OFFSET(PLE!$G$14,$M746,BB$13)="",10^12,OFFSET(PLE!$G$14,$M746,BB$13))))</f>
        <v>1000000000000</v>
      </c>
      <c r="BC746" s="182">
        <f ca="1">IF($D746&lt;&gt;"Serviço",0,IF(OR(AND(AUTOEVENTO="Manual",$M746=1),$M746&gt;(ROW(PLE.lastrow)-ROW(PLE.firstrow))),0,IF(OFFSET(PLE!$G$14,$M746,BC$13)="",10^12,OFFSET(PLE!$G$14,$M746,BC$13))))</f>
        <v>1000000000000</v>
      </c>
      <c r="BD746" s="182">
        <f ca="1">IF($D746&lt;&gt;"Serviço",0,IF(OR(AND(AUTOEVENTO="Manual",$M746=1),$M746&gt;(ROW(PLE.lastrow)-ROW(PLE.firstrow))),0,IF(OFFSET(PLE!$G$14,$M746,BD$13)="",10^12,OFFSET(PLE!$G$14,$M746,BD$13))))</f>
        <v>1000000000000</v>
      </c>
      <c r="BE746" s="182">
        <f ca="1">IF($D746&lt;&gt;"Serviço",0,IF(OR(AND(AUTOEVENTO="Manual",$M746=1),$M746&gt;(ROW(PLE.lastrow)-ROW(PLE.firstrow))),0,IF(OFFSET(PLE!$G$14,$M746,BE$13)="",10^12,OFFSET(PLE!$G$14,$M746,BE$13))))</f>
        <v>1000000000000</v>
      </c>
      <c r="BF746" s="182">
        <f ca="1">IF($D746&lt;&gt;"Serviço",0,IF(OR(AND(AUTOEVENTO="Manual",$M746=1),$M746&gt;(ROW(PLE.lastrow)-ROW(PLE.firstrow))),0,IF(OFFSET(PLE!$G$14,$M746,BF$13)="",10^12,OFFSET(PLE!$G$14,$M746,BF$13))))</f>
        <v>1000000000000</v>
      </c>
      <c r="BG746" s="182">
        <f ca="1">IF($D746&lt;&gt;"Serviço",0,IF(OR(AND(AUTOEVENTO="Manual",$M746=1),$M746&gt;(ROW(PLE.lastrow)-ROW(PLE.firstrow))),0,IF(OFFSET(PLE!$G$14,$M746,BG$13)="",10^12,OFFSET(PLE!$G$14,$M746,BG$13))))</f>
        <v>1000000000000</v>
      </c>
    </row>
    <row r="747" spans="1:59" ht="5.0999999999999996" customHeight="1" x14ac:dyDescent="0.2">
      <c r="B747" s="7">
        <f ca="1">OFFSET(ORÇAMENTO!C$15,ROW(B747)-ROW(B$15),0)</f>
        <v>-1</v>
      </c>
      <c r="C747" s="7" t="str">
        <f ca="1">OFFSET(ORÇAMENTO!L$15,ROW(C747)-ROW(C$15),0)</f>
        <v>F</v>
      </c>
      <c r="D747" s="483" t="s">
        <v>194</v>
      </c>
      <c r="E747" s="484"/>
      <c r="F747" s="485"/>
      <c r="G747" s="485"/>
      <c r="H747" s="485"/>
      <c r="I747" s="486"/>
      <c r="K747" s="488"/>
      <c r="L747" s="175" t="s">
        <v>255</v>
      </c>
      <c r="M747" s="489"/>
      <c r="N747" s="487"/>
      <c r="O747" s="482"/>
      <c r="Q747" s="484"/>
      <c r="R747" s="485"/>
      <c r="S747" s="485"/>
      <c r="T747" s="485"/>
      <c r="U747" s="485"/>
      <c r="V747" s="485"/>
      <c r="W747" s="485"/>
      <c r="X747" s="485"/>
      <c r="Y747" s="485"/>
      <c r="Z747" s="486"/>
      <c r="AB747" s="138"/>
      <c r="AC747" s="192"/>
      <c r="AD747" s="192"/>
      <c r="AE747" s="192"/>
      <c r="AF747" s="192"/>
      <c r="AG747" s="192"/>
      <c r="AH747" s="192"/>
      <c r="AI747" s="192"/>
      <c r="AJ747" s="192"/>
      <c r="AK747" s="139"/>
      <c r="AM747" s="138"/>
      <c r="AN747" s="192"/>
      <c r="AO747" s="192"/>
      <c r="AP747" s="192"/>
      <c r="AQ747" s="192"/>
      <c r="AR747" s="192"/>
      <c r="AS747" s="192"/>
      <c r="AT747" s="192"/>
      <c r="AU747" s="192"/>
      <c r="AV747" s="139"/>
      <c r="AX747" s="138"/>
      <c r="AY747" s="192"/>
      <c r="AZ747" s="192"/>
      <c r="BA747" s="192"/>
      <c r="BB747" s="192"/>
      <c r="BC747" s="192"/>
      <c r="BD747" s="192"/>
      <c r="BE747" s="192"/>
      <c r="BF747" s="192"/>
      <c r="BG747" s="139"/>
    </row>
    <row r="748" spans="1:59" ht="12.75" customHeight="1" x14ac:dyDescent="0.2"/>
    <row r="749" spans="1:59" ht="12.75" customHeight="1" x14ac:dyDescent="0.2"/>
    <row r="750" spans="1:59" ht="12.75" customHeight="1" x14ac:dyDescent="0.2"/>
    <row r="751" spans="1:59" ht="15" customHeight="1" x14ac:dyDescent="0.2">
      <c r="F751" s="193" t="str">
        <f>Import.Município</f>
        <v>Pirapora/MG</v>
      </c>
      <c r="I751" s="553"/>
      <c r="J751" s="553"/>
      <c r="K751" s="553"/>
      <c r="L751" s="553"/>
      <c r="M751" s="554"/>
      <c r="N751" s="479"/>
      <c r="T751" s="145"/>
      <c r="U751" s="145"/>
      <c r="V751" s="194"/>
      <c r="W751" s="194"/>
      <c r="X751" s="194"/>
      <c r="Y751" s="194"/>
    </row>
    <row r="752" spans="1:59" ht="12.75" customHeight="1" x14ac:dyDescent="0.2">
      <c r="F752" s="10" t="s">
        <v>188</v>
      </c>
      <c r="I752" s="195" t="s">
        <v>190</v>
      </c>
      <c r="J752" s="195"/>
      <c r="K752" s="195"/>
      <c r="L752" s="195"/>
      <c r="T752" s="195" t="s">
        <v>190</v>
      </c>
      <c r="U752" s="195"/>
    </row>
    <row r="753" spans="3:21" ht="12.75" customHeight="1" x14ac:dyDescent="0.2">
      <c r="I753" s="447" t="str">
        <f t="array" aca="1" ref="I753:I755" ca="1">OFFSET(Import.RespOrçamento,0,-1) &amp; " " &amp; Import.RespOrçamento</f>
        <v>Nome: Lwan Matheus Costa Souza</v>
      </c>
      <c r="K753" s="80"/>
      <c r="L753" s="80"/>
      <c r="T753" s="447" t="str">
        <f t="array" aca="1" ref="T753:T755" ca="1">OFFSET(Import.RespOrçamento,0,-1) &amp; " " &amp; Import.RespOrçamento</f>
        <v>Nome: Lwan Matheus Costa Souza</v>
      </c>
      <c r="U753" s="79"/>
    </row>
    <row r="754" spans="3:21" ht="12.75" customHeight="1" x14ac:dyDescent="0.2">
      <c r="F754" s="552">
        <f ca="1">DADOS!$F$25</f>
        <v>45922</v>
      </c>
      <c r="I754" s="447" t="str">
        <f ca="1"/>
        <v>CREA/CAU: 255.542/D</v>
      </c>
      <c r="K754" s="80"/>
      <c r="L754" s="80"/>
      <c r="T754" s="447" t="str">
        <f ca="1"/>
        <v>CREA/CAU: 255.542/D</v>
      </c>
      <c r="U754" s="79"/>
    </row>
    <row r="755" spans="3:21" ht="12.75" customHeight="1" x14ac:dyDescent="0.2">
      <c r="F755" s="146" t="s">
        <v>189</v>
      </c>
      <c r="I755" s="447" t="str">
        <f ca="1"/>
        <v>ART/RRT: MG20253712585</v>
      </c>
      <c r="K755" s="80"/>
      <c r="L755" s="80"/>
      <c r="T755" s="447" t="str">
        <f ca="1"/>
        <v>ART/RRT: MG20253712585</v>
      </c>
      <c r="U755" s="79"/>
    </row>
    <row r="756" spans="3:21" ht="12.75" customHeight="1" x14ac:dyDescent="0.2">
      <c r="C756"/>
      <c r="M756"/>
    </row>
    <row r="757" spans="3:21" ht="12.75" customHeight="1" x14ac:dyDescent="0.2">
      <c r="C757"/>
      <c r="M757"/>
    </row>
    <row r="758" spans="3:21" ht="12.75" customHeight="1" x14ac:dyDescent="0.2">
      <c r="C758"/>
      <c r="M758"/>
    </row>
    <row r="759" spans="3:21" ht="12.75" customHeight="1" x14ac:dyDescent="0.2">
      <c r="C759"/>
      <c r="M759"/>
    </row>
    <row r="760" spans="3:21" ht="12.75" customHeight="1" x14ac:dyDescent="0.2">
      <c r="C760"/>
      <c r="M760"/>
    </row>
    <row r="761" spans="3:21" ht="12.75" customHeight="1" x14ac:dyDescent="0.2">
      <c r="C761"/>
      <c r="M761"/>
    </row>
    <row r="762" spans="3:21" ht="12.75" customHeight="1" x14ac:dyDescent="0.2">
      <c r="C762"/>
      <c r="M762"/>
    </row>
    <row r="763" spans="3:21" ht="12.75" customHeight="1" x14ac:dyDescent="0.2">
      <c r="C763"/>
      <c r="M763"/>
    </row>
    <row r="764" spans="3:21" ht="12.75" customHeight="1" x14ac:dyDescent="0.2">
      <c r="C764"/>
      <c r="M764"/>
    </row>
    <row r="765" spans="3:21" ht="12.75" customHeight="1" x14ac:dyDescent="0.2">
      <c r="C765"/>
      <c r="M765"/>
    </row>
    <row r="766" spans="3:21" ht="12.75" customHeight="1" x14ac:dyDescent="0.2">
      <c r="C766"/>
      <c r="M766"/>
    </row>
    <row r="767" spans="3:21" ht="12.75" customHeight="1" x14ac:dyDescent="0.2">
      <c r="C767"/>
      <c r="M767"/>
    </row>
    <row r="768" spans="3:21" ht="12.75" customHeight="1" x14ac:dyDescent="0.2">
      <c r="C768"/>
      <c r="M768"/>
    </row>
    <row r="769" spans="3:13" ht="12.75" customHeight="1" x14ac:dyDescent="0.2">
      <c r="C769"/>
      <c r="M769"/>
    </row>
    <row r="770" spans="3:13" ht="12.75" customHeight="1" x14ac:dyDescent="0.2">
      <c r="C770"/>
      <c r="M770"/>
    </row>
    <row r="771" spans="3:13" ht="12.75" customHeight="1" x14ac:dyDescent="0.2">
      <c r="C771"/>
      <c r="M771"/>
    </row>
    <row r="772" spans="3:13" ht="12.75" customHeight="1" x14ac:dyDescent="0.2">
      <c r="C772"/>
      <c r="M772"/>
    </row>
    <row r="773" spans="3:13" ht="12.75" customHeight="1" x14ac:dyDescent="0.2">
      <c r="C773"/>
      <c r="M773"/>
    </row>
    <row r="774" spans="3:13" ht="12.75" customHeight="1" x14ac:dyDescent="0.2">
      <c r="C774"/>
      <c r="M774"/>
    </row>
    <row r="775" spans="3:13" ht="12.75" customHeight="1" x14ac:dyDescent="0.2">
      <c r="C775"/>
      <c r="M775"/>
    </row>
    <row r="776" spans="3:13" ht="12.75" customHeight="1" x14ac:dyDescent="0.2">
      <c r="C776"/>
      <c r="M776"/>
    </row>
    <row r="777" spans="3:13" ht="12.75" customHeight="1" x14ac:dyDescent="0.2">
      <c r="C777"/>
      <c r="M777"/>
    </row>
    <row r="778" spans="3:13" ht="12.75" customHeight="1" x14ac:dyDescent="0.2">
      <c r="C778"/>
      <c r="M778"/>
    </row>
    <row r="779" spans="3:13" ht="12.75" customHeight="1" x14ac:dyDescent="0.2">
      <c r="C779"/>
      <c r="M779"/>
    </row>
    <row r="780" spans="3:13" ht="12.75" customHeight="1" x14ac:dyDescent="0.2">
      <c r="C780"/>
      <c r="M780"/>
    </row>
    <row r="781" spans="3:13" ht="12.75" customHeight="1" x14ac:dyDescent="0.2">
      <c r="C781"/>
      <c r="M781"/>
    </row>
    <row r="782" spans="3:13" ht="12.75" customHeight="1" x14ac:dyDescent="0.2">
      <c r="C782"/>
      <c r="M782"/>
    </row>
    <row r="783" spans="3:13" ht="12.75" customHeight="1" x14ac:dyDescent="0.2">
      <c r="C783"/>
      <c r="M783"/>
    </row>
    <row r="784" spans="3:13" ht="12.75" customHeight="1" x14ac:dyDescent="0.2">
      <c r="C784"/>
      <c r="M784"/>
    </row>
    <row r="785" spans="3:13" ht="12.75" customHeight="1" x14ac:dyDescent="0.2">
      <c r="C785"/>
      <c r="M785"/>
    </row>
    <row r="786" spans="3:13" ht="12.75" customHeight="1" x14ac:dyDescent="0.2">
      <c r="C786"/>
      <c r="M786"/>
    </row>
    <row r="787" spans="3:13" ht="12.75" customHeight="1" x14ac:dyDescent="0.2">
      <c r="C787"/>
      <c r="M787"/>
    </row>
    <row r="788" spans="3:13" ht="12.75" customHeight="1" x14ac:dyDescent="0.2">
      <c r="C788"/>
      <c r="M788"/>
    </row>
    <row r="789" spans="3:13" ht="12.75" customHeight="1" x14ac:dyDescent="0.2">
      <c r="C789"/>
      <c r="M789"/>
    </row>
    <row r="790" spans="3:13" ht="12.75" customHeight="1" x14ac:dyDescent="0.2">
      <c r="C790"/>
      <c r="M790"/>
    </row>
    <row r="791" spans="3:13" ht="12.75" customHeight="1" x14ac:dyDescent="0.2">
      <c r="C791"/>
      <c r="M791"/>
    </row>
    <row r="792" spans="3:13" ht="12.75" customHeight="1" x14ac:dyDescent="0.2">
      <c r="C792"/>
      <c r="M792"/>
    </row>
    <row r="793" spans="3:13" ht="12.75" customHeight="1" x14ac:dyDescent="0.2">
      <c r="C793"/>
      <c r="M793"/>
    </row>
    <row r="794" spans="3:13" ht="12.75" customHeight="1" x14ac:dyDescent="0.2">
      <c r="C794"/>
      <c r="M794"/>
    </row>
    <row r="795" spans="3:13" ht="12.75" customHeight="1" x14ac:dyDescent="0.2">
      <c r="C795"/>
      <c r="M795"/>
    </row>
    <row r="796" spans="3:13" ht="12.75" customHeight="1" x14ac:dyDescent="0.2">
      <c r="C796"/>
      <c r="M796"/>
    </row>
    <row r="797" spans="3:13" ht="12.75" customHeight="1" x14ac:dyDescent="0.2">
      <c r="C797"/>
      <c r="M797"/>
    </row>
    <row r="798" spans="3:13" ht="12.75" customHeight="1" x14ac:dyDescent="0.2">
      <c r="C798"/>
      <c r="M798"/>
    </row>
    <row r="799" spans="3:13" ht="12.75" customHeight="1" x14ac:dyDescent="0.2">
      <c r="C799"/>
      <c r="M799"/>
    </row>
    <row r="800" spans="3:13" ht="12.75" customHeight="1" x14ac:dyDescent="0.2">
      <c r="C800"/>
      <c r="M800"/>
    </row>
    <row r="801" spans="3:13" ht="12.75" customHeight="1" x14ac:dyDescent="0.2">
      <c r="C801"/>
      <c r="M801"/>
    </row>
    <row r="802" spans="3:13" ht="12.75" customHeight="1" x14ac:dyDescent="0.2">
      <c r="C802"/>
      <c r="M802"/>
    </row>
    <row r="803" spans="3:13" ht="12.75" customHeight="1" x14ac:dyDescent="0.2">
      <c r="C803"/>
      <c r="M803"/>
    </row>
    <row r="804" spans="3:13" ht="12.75" customHeight="1" x14ac:dyDescent="0.2">
      <c r="C804"/>
      <c r="M804"/>
    </row>
    <row r="805" spans="3:13" ht="12.75" customHeight="1" x14ac:dyDescent="0.2">
      <c r="C805"/>
      <c r="M805"/>
    </row>
    <row r="806" spans="3:13" ht="12.75" customHeight="1" x14ac:dyDescent="0.2">
      <c r="C806"/>
      <c r="M806"/>
    </row>
    <row r="807" spans="3:13" ht="12.75" customHeight="1" x14ac:dyDescent="0.2">
      <c r="C807"/>
      <c r="M807"/>
    </row>
    <row r="808" spans="3:13" ht="12.75" customHeight="1" x14ac:dyDescent="0.2">
      <c r="C808"/>
      <c r="M808"/>
    </row>
    <row r="809" spans="3:13" ht="12.75" customHeight="1" x14ac:dyDescent="0.2">
      <c r="C809"/>
      <c r="M809"/>
    </row>
    <row r="810" spans="3:13" ht="12.75" customHeight="1" x14ac:dyDescent="0.2">
      <c r="C810"/>
      <c r="M810"/>
    </row>
    <row r="811" spans="3:13" ht="12.75" customHeight="1" x14ac:dyDescent="0.2">
      <c r="C811"/>
      <c r="M811"/>
    </row>
    <row r="812" spans="3:13" ht="12.75" customHeight="1" x14ac:dyDescent="0.2">
      <c r="C812"/>
      <c r="M812"/>
    </row>
    <row r="813" spans="3:13" ht="12.75" customHeight="1" x14ac:dyDescent="0.2">
      <c r="C813"/>
      <c r="M813"/>
    </row>
    <row r="814" spans="3:13" ht="12.75" customHeight="1" x14ac:dyDescent="0.2">
      <c r="C814"/>
      <c r="M814"/>
    </row>
    <row r="815" spans="3:13" ht="12.75" customHeight="1" x14ac:dyDescent="0.2">
      <c r="C815"/>
      <c r="M815"/>
    </row>
    <row r="816" spans="3:13" ht="12.75" customHeight="1" x14ac:dyDescent="0.2">
      <c r="C816"/>
      <c r="M816"/>
    </row>
    <row r="817" spans="3:13" ht="12.75" customHeight="1" x14ac:dyDescent="0.2">
      <c r="C817"/>
      <c r="M817"/>
    </row>
    <row r="818" spans="3:13" ht="12.75" customHeight="1" x14ac:dyDescent="0.2">
      <c r="C818"/>
      <c r="M818"/>
    </row>
    <row r="819" spans="3:13" ht="12.75" customHeight="1" x14ac:dyDescent="0.2">
      <c r="C819"/>
      <c r="M819"/>
    </row>
    <row r="820" spans="3:13" ht="12.75" customHeight="1" x14ac:dyDescent="0.2">
      <c r="C820"/>
      <c r="M820"/>
    </row>
    <row r="821" spans="3:13" ht="12.75" customHeight="1" x14ac:dyDescent="0.2">
      <c r="C821"/>
      <c r="M821"/>
    </row>
    <row r="822" spans="3:13" ht="12.75" customHeight="1" x14ac:dyDescent="0.2">
      <c r="C822"/>
      <c r="M822"/>
    </row>
    <row r="823" spans="3:13" ht="12.75" customHeight="1" x14ac:dyDescent="0.2">
      <c r="C823"/>
      <c r="M823"/>
    </row>
    <row r="824" spans="3:13" ht="12.75" customHeight="1" x14ac:dyDescent="0.2">
      <c r="C824"/>
      <c r="M824"/>
    </row>
    <row r="825" spans="3:13" ht="12.75" customHeight="1" x14ac:dyDescent="0.2">
      <c r="C825"/>
      <c r="M825"/>
    </row>
    <row r="826" spans="3:13" ht="12.75" customHeight="1" x14ac:dyDescent="0.2">
      <c r="C826"/>
      <c r="M826"/>
    </row>
    <row r="827" spans="3:13" ht="12.75" customHeight="1" x14ac:dyDescent="0.2">
      <c r="C827"/>
      <c r="M827"/>
    </row>
    <row r="828" spans="3:13" ht="12.75" customHeight="1" x14ac:dyDescent="0.2">
      <c r="C828"/>
      <c r="M828"/>
    </row>
    <row r="829" spans="3:13" ht="12.75" customHeight="1" x14ac:dyDescent="0.2">
      <c r="C829"/>
      <c r="M829"/>
    </row>
    <row r="830" spans="3:13" ht="12.75" customHeight="1" x14ac:dyDescent="0.2">
      <c r="C830"/>
      <c r="M830"/>
    </row>
    <row r="831" spans="3:13" ht="12.75" customHeight="1" x14ac:dyDescent="0.2">
      <c r="C831"/>
      <c r="M831"/>
    </row>
    <row r="832" spans="3:13" ht="12.75" customHeight="1" x14ac:dyDescent="0.2">
      <c r="C832"/>
      <c r="M832"/>
    </row>
    <row r="833" spans="3:13" ht="12.75" customHeight="1" x14ac:dyDescent="0.2">
      <c r="C833"/>
      <c r="M833"/>
    </row>
    <row r="834" spans="3:13" ht="12.75" customHeight="1" x14ac:dyDescent="0.2">
      <c r="C834"/>
      <c r="M834"/>
    </row>
    <row r="835" spans="3:13" ht="12.75" customHeight="1" x14ac:dyDescent="0.2">
      <c r="C835"/>
      <c r="M835"/>
    </row>
    <row r="836" spans="3:13" ht="12.75" customHeight="1" x14ac:dyDescent="0.2">
      <c r="C836"/>
      <c r="M836"/>
    </row>
    <row r="837" spans="3:13" ht="12.75" customHeight="1" x14ac:dyDescent="0.2">
      <c r="C837"/>
      <c r="M837"/>
    </row>
    <row r="838" spans="3:13" ht="12.75" customHeight="1" x14ac:dyDescent="0.2">
      <c r="C838"/>
      <c r="M838"/>
    </row>
    <row r="839" spans="3:13" ht="12.75" customHeight="1" x14ac:dyDescent="0.2">
      <c r="C839"/>
      <c r="M839"/>
    </row>
    <row r="840" spans="3:13" ht="12.75" customHeight="1" x14ac:dyDescent="0.2">
      <c r="C840"/>
      <c r="M840"/>
    </row>
    <row r="841" spans="3:13" ht="12.75" customHeight="1" x14ac:dyDescent="0.2">
      <c r="C841"/>
      <c r="M841"/>
    </row>
    <row r="842" spans="3:13" ht="12.75" customHeight="1" x14ac:dyDescent="0.2">
      <c r="C842"/>
      <c r="M842"/>
    </row>
    <row r="843" spans="3:13" ht="12.75" customHeight="1" x14ac:dyDescent="0.2">
      <c r="C843"/>
      <c r="M843"/>
    </row>
    <row r="844" spans="3:13" ht="12.75" customHeight="1" x14ac:dyDescent="0.2">
      <c r="C844"/>
      <c r="M844"/>
    </row>
    <row r="845" spans="3:13" ht="12.75" customHeight="1" x14ac:dyDescent="0.2">
      <c r="C845"/>
      <c r="M845"/>
    </row>
    <row r="846" spans="3:13" ht="12.75" customHeight="1" x14ac:dyDescent="0.2">
      <c r="C846"/>
      <c r="M846"/>
    </row>
    <row r="847" spans="3:13" ht="12.75" customHeight="1" x14ac:dyDescent="0.2">
      <c r="C847"/>
      <c r="M847"/>
    </row>
    <row r="848" spans="3:13" ht="12.75" customHeight="1" x14ac:dyDescent="0.2">
      <c r="C848"/>
      <c r="M848"/>
    </row>
    <row r="849" spans="3:13" ht="12.75" customHeight="1" x14ac:dyDescent="0.2">
      <c r="C849"/>
      <c r="M849"/>
    </row>
    <row r="850" spans="3:13" ht="12.75" customHeight="1" x14ac:dyDescent="0.2">
      <c r="C850"/>
      <c r="M850"/>
    </row>
    <row r="851" spans="3:13" ht="12.75" customHeight="1" x14ac:dyDescent="0.2">
      <c r="C851"/>
      <c r="M851"/>
    </row>
    <row r="852" spans="3:13" ht="12.75" customHeight="1" x14ac:dyDescent="0.2">
      <c r="C852"/>
      <c r="M852"/>
    </row>
    <row r="853" spans="3:13" ht="12.75" customHeight="1" x14ac:dyDescent="0.2">
      <c r="C853"/>
      <c r="M853"/>
    </row>
    <row r="854" spans="3:13" ht="12.75" customHeight="1" x14ac:dyDescent="0.2">
      <c r="C854"/>
      <c r="M854"/>
    </row>
    <row r="855" spans="3:13" ht="12.75" customHeight="1" x14ac:dyDescent="0.2">
      <c r="C855"/>
      <c r="M855"/>
    </row>
    <row r="856" spans="3:13" ht="12.75" customHeight="1" x14ac:dyDescent="0.2">
      <c r="C856"/>
      <c r="M856"/>
    </row>
    <row r="857" spans="3:13" ht="12.75" customHeight="1" x14ac:dyDescent="0.2">
      <c r="C857"/>
      <c r="M857"/>
    </row>
    <row r="858" spans="3:13" ht="12.75" customHeight="1" x14ac:dyDescent="0.2">
      <c r="C858"/>
      <c r="M858"/>
    </row>
    <row r="859" spans="3:13" ht="12.75" customHeight="1" x14ac:dyDescent="0.2">
      <c r="C859"/>
      <c r="M859"/>
    </row>
    <row r="860" spans="3:13" ht="12.75" customHeight="1" x14ac:dyDescent="0.2">
      <c r="C860"/>
      <c r="M860"/>
    </row>
    <row r="861" spans="3:13" ht="12.75" customHeight="1" x14ac:dyDescent="0.2">
      <c r="C861"/>
      <c r="M861"/>
    </row>
    <row r="862" spans="3:13" ht="12.75" customHeight="1" x14ac:dyDescent="0.2">
      <c r="C862"/>
      <c r="M862"/>
    </row>
    <row r="863" spans="3:13" ht="12.75" customHeight="1" x14ac:dyDescent="0.2">
      <c r="C863"/>
      <c r="M863"/>
    </row>
    <row r="864" spans="3:13" ht="12.75" customHeight="1" x14ac:dyDescent="0.2">
      <c r="C864"/>
      <c r="M864"/>
    </row>
    <row r="865" spans="3:13" ht="12.75" customHeight="1" x14ac:dyDescent="0.2">
      <c r="C865"/>
      <c r="M865"/>
    </row>
    <row r="866" spans="3:13" ht="12.75" customHeight="1" x14ac:dyDescent="0.2">
      <c r="C866"/>
      <c r="M866"/>
    </row>
    <row r="867" spans="3:13" ht="12.75" customHeight="1" x14ac:dyDescent="0.2">
      <c r="C867"/>
      <c r="M867"/>
    </row>
    <row r="868" spans="3:13" ht="12.75" customHeight="1" x14ac:dyDescent="0.2">
      <c r="C868"/>
      <c r="M868"/>
    </row>
    <row r="869" spans="3:13" ht="12.75" customHeight="1" x14ac:dyDescent="0.2">
      <c r="C869"/>
      <c r="M869"/>
    </row>
    <row r="870" spans="3:13" ht="12.75" customHeight="1" x14ac:dyDescent="0.2">
      <c r="C870"/>
      <c r="M870"/>
    </row>
    <row r="871" spans="3:13" ht="12.75" customHeight="1" x14ac:dyDescent="0.2">
      <c r="C871"/>
      <c r="M871"/>
    </row>
    <row r="872" spans="3:13" ht="12.75" customHeight="1" x14ac:dyDescent="0.2">
      <c r="C872"/>
      <c r="M872"/>
    </row>
    <row r="873" spans="3:13" ht="12.75" customHeight="1" x14ac:dyDescent="0.2">
      <c r="C873"/>
      <c r="M873"/>
    </row>
    <row r="874" spans="3:13" ht="12.75" customHeight="1" x14ac:dyDescent="0.2">
      <c r="C874"/>
      <c r="M874"/>
    </row>
    <row r="875" spans="3:13" ht="12.75" customHeight="1" x14ac:dyDescent="0.2">
      <c r="C875"/>
      <c r="M875"/>
    </row>
    <row r="876" spans="3:13" ht="12.75" customHeight="1" x14ac:dyDescent="0.2">
      <c r="C876"/>
      <c r="M876"/>
    </row>
    <row r="877" spans="3:13" ht="12.75" customHeight="1" x14ac:dyDescent="0.2">
      <c r="C877"/>
      <c r="M877"/>
    </row>
    <row r="878" spans="3:13" ht="12.75" customHeight="1" x14ac:dyDescent="0.2">
      <c r="C878"/>
      <c r="M878"/>
    </row>
    <row r="879" spans="3:13" ht="12.75" customHeight="1" x14ac:dyDescent="0.2">
      <c r="C879"/>
      <c r="M879"/>
    </row>
    <row r="880" spans="3:13" ht="12.75" customHeight="1" x14ac:dyDescent="0.2">
      <c r="C880"/>
      <c r="M880"/>
    </row>
    <row r="881" spans="3:13" ht="12.75" customHeight="1" x14ac:dyDescent="0.2">
      <c r="C881"/>
      <c r="M881"/>
    </row>
    <row r="882" spans="3:13" ht="12.75" customHeight="1" x14ac:dyDescent="0.2">
      <c r="C882"/>
      <c r="M882"/>
    </row>
    <row r="883" spans="3:13" ht="12.75" customHeight="1" x14ac:dyDescent="0.2">
      <c r="C883"/>
      <c r="M883"/>
    </row>
    <row r="884" spans="3:13" ht="12.75" customHeight="1" x14ac:dyDescent="0.2">
      <c r="C884"/>
      <c r="M884"/>
    </row>
    <row r="885" spans="3:13" ht="12.75" customHeight="1" x14ac:dyDescent="0.2">
      <c r="C885"/>
      <c r="M885"/>
    </row>
    <row r="886" spans="3:13" ht="12.75" customHeight="1" x14ac:dyDescent="0.2">
      <c r="C886"/>
      <c r="M886"/>
    </row>
    <row r="887" spans="3:13" ht="12.75" customHeight="1" x14ac:dyDescent="0.2">
      <c r="C887"/>
      <c r="M887"/>
    </row>
    <row r="888" spans="3:13" ht="12.75" customHeight="1" x14ac:dyDescent="0.2">
      <c r="C888"/>
      <c r="M888"/>
    </row>
    <row r="889" spans="3:13" ht="12.75" customHeight="1" x14ac:dyDescent="0.2">
      <c r="C889"/>
      <c r="M889"/>
    </row>
    <row r="890" spans="3:13" ht="12.75" customHeight="1" x14ac:dyDescent="0.2">
      <c r="C890"/>
      <c r="M890"/>
    </row>
    <row r="891" spans="3:13" ht="12.75" customHeight="1" x14ac:dyDescent="0.2">
      <c r="C891"/>
      <c r="M891"/>
    </row>
    <row r="892" spans="3:13" ht="12.75" customHeight="1" x14ac:dyDescent="0.2">
      <c r="C892"/>
      <c r="M892"/>
    </row>
    <row r="893" spans="3:13" ht="12.75" customHeight="1" x14ac:dyDescent="0.2">
      <c r="C893"/>
      <c r="M893"/>
    </row>
    <row r="894" spans="3:13" ht="12.75" customHeight="1" x14ac:dyDescent="0.2">
      <c r="C894"/>
      <c r="M894"/>
    </row>
    <row r="895" spans="3:13" ht="12.75" customHeight="1" x14ac:dyDescent="0.2">
      <c r="C895"/>
      <c r="M895"/>
    </row>
    <row r="896" spans="3:13" ht="12.75" customHeight="1" x14ac:dyDescent="0.2">
      <c r="C896"/>
      <c r="M896"/>
    </row>
    <row r="897" spans="3:13" ht="12.75" customHeight="1" x14ac:dyDescent="0.2">
      <c r="C897"/>
      <c r="M897"/>
    </row>
    <row r="898" spans="3:13" ht="12.75" customHeight="1" x14ac:dyDescent="0.2">
      <c r="C898"/>
      <c r="M898"/>
    </row>
    <row r="899" spans="3:13" ht="12.75" customHeight="1" x14ac:dyDescent="0.2">
      <c r="C899"/>
      <c r="M899"/>
    </row>
    <row r="900" spans="3:13" ht="12.75" customHeight="1" x14ac:dyDescent="0.2">
      <c r="C900"/>
      <c r="M900"/>
    </row>
    <row r="901" spans="3:13" ht="12.75" customHeight="1" x14ac:dyDescent="0.2">
      <c r="C901"/>
      <c r="M901"/>
    </row>
    <row r="902" spans="3:13" ht="12.75" customHeight="1" x14ac:dyDescent="0.2">
      <c r="C902"/>
      <c r="M902"/>
    </row>
    <row r="903" spans="3:13" ht="12.75" customHeight="1" x14ac:dyDescent="0.2">
      <c r="C903"/>
      <c r="M903"/>
    </row>
    <row r="904" spans="3:13" ht="12.75" customHeight="1" x14ac:dyDescent="0.2">
      <c r="C904"/>
      <c r="M904"/>
    </row>
    <row r="905" spans="3:13" ht="12.75" customHeight="1" x14ac:dyDescent="0.2">
      <c r="C905"/>
      <c r="M905"/>
    </row>
    <row r="906" spans="3:13" ht="12.75" customHeight="1" x14ac:dyDescent="0.2">
      <c r="C906"/>
      <c r="M906"/>
    </row>
    <row r="907" spans="3:13" ht="12.75" customHeight="1" x14ac:dyDescent="0.2">
      <c r="C907"/>
      <c r="M907"/>
    </row>
    <row r="908" spans="3:13" ht="12.75" customHeight="1" x14ac:dyDescent="0.2">
      <c r="C908"/>
      <c r="M908"/>
    </row>
    <row r="909" spans="3:13" ht="12.75" customHeight="1" x14ac:dyDescent="0.2">
      <c r="C909"/>
      <c r="M909"/>
    </row>
    <row r="910" spans="3:13" ht="12.75" customHeight="1" x14ac:dyDescent="0.2">
      <c r="C910"/>
      <c r="M910"/>
    </row>
    <row r="911" spans="3:13" ht="12.75" customHeight="1" x14ac:dyDescent="0.2">
      <c r="C911"/>
      <c r="M911"/>
    </row>
    <row r="912" spans="3:13" ht="12.75" customHeight="1" x14ac:dyDescent="0.2">
      <c r="C912"/>
      <c r="M912"/>
    </row>
    <row r="913" spans="3:13" ht="12.75" customHeight="1" x14ac:dyDescent="0.2">
      <c r="C913"/>
      <c r="M913"/>
    </row>
    <row r="914" spans="3:13" ht="12.75" customHeight="1" x14ac:dyDescent="0.2">
      <c r="C914"/>
      <c r="M914"/>
    </row>
    <row r="915" spans="3:13" ht="12.75" customHeight="1" x14ac:dyDescent="0.2">
      <c r="C915"/>
      <c r="M915"/>
    </row>
    <row r="916" spans="3:13" ht="12.75" customHeight="1" x14ac:dyDescent="0.2">
      <c r="C916"/>
      <c r="M916"/>
    </row>
    <row r="917" spans="3:13" ht="12.75" customHeight="1" x14ac:dyDescent="0.2">
      <c r="C917"/>
      <c r="M917"/>
    </row>
    <row r="918" spans="3:13" ht="12.75" customHeight="1" x14ac:dyDescent="0.2">
      <c r="C918"/>
      <c r="M918"/>
    </row>
    <row r="919" spans="3:13" ht="12.75" customHeight="1" x14ac:dyDescent="0.2">
      <c r="C919"/>
      <c r="M919"/>
    </row>
    <row r="920" spans="3:13" ht="12.75" customHeight="1" x14ac:dyDescent="0.2">
      <c r="C920"/>
      <c r="M920"/>
    </row>
    <row r="921" spans="3:13" ht="12.75" customHeight="1" x14ac:dyDescent="0.2">
      <c r="C921"/>
      <c r="M921"/>
    </row>
    <row r="922" spans="3:13" ht="12.75" customHeight="1" x14ac:dyDescent="0.2">
      <c r="C922"/>
      <c r="M922"/>
    </row>
    <row r="923" spans="3:13" ht="12.75" customHeight="1" x14ac:dyDescent="0.2">
      <c r="C923"/>
      <c r="M923"/>
    </row>
    <row r="924" spans="3:13" ht="12.75" customHeight="1" x14ac:dyDescent="0.2">
      <c r="C924"/>
      <c r="M924"/>
    </row>
    <row r="925" spans="3:13" ht="12.75" customHeight="1" x14ac:dyDescent="0.2">
      <c r="C925"/>
      <c r="M925"/>
    </row>
    <row r="926" spans="3:13" ht="12.75" customHeight="1" x14ac:dyDescent="0.2">
      <c r="C926"/>
      <c r="M926"/>
    </row>
    <row r="927" spans="3:13" ht="12.75" customHeight="1" x14ac:dyDescent="0.2">
      <c r="C927"/>
      <c r="M927"/>
    </row>
    <row r="928" spans="3:13" ht="12.75" customHeight="1" x14ac:dyDescent="0.2">
      <c r="C928"/>
      <c r="M928"/>
    </row>
    <row r="929" spans="3:13" ht="12.75" customHeight="1" x14ac:dyDescent="0.2">
      <c r="C929"/>
      <c r="M929"/>
    </row>
    <row r="930" spans="3:13" ht="12.75" customHeight="1" x14ac:dyDescent="0.2">
      <c r="C930"/>
      <c r="M930"/>
    </row>
    <row r="931" spans="3:13" ht="12.75" customHeight="1" x14ac:dyDescent="0.2">
      <c r="C931"/>
      <c r="M931"/>
    </row>
    <row r="932" spans="3:13" ht="12.75" customHeight="1" x14ac:dyDescent="0.2">
      <c r="C932"/>
      <c r="M932"/>
    </row>
    <row r="933" spans="3:13" ht="12.75" customHeight="1" x14ac:dyDescent="0.2">
      <c r="C933"/>
      <c r="M933"/>
    </row>
    <row r="934" spans="3:13" ht="12.75" customHeight="1" x14ac:dyDescent="0.2">
      <c r="C934"/>
      <c r="M934"/>
    </row>
    <row r="935" spans="3:13" ht="12.75" customHeight="1" x14ac:dyDescent="0.2">
      <c r="C935"/>
      <c r="M935"/>
    </row>
    <row r="936" spans="3:13" ht="12.75" customHeight="1" x14ac:dyDescent="0.2">
      <c r="C936"/>
      <c r="M936"/>
    </row>
    <row r="937" spans="3:13" ht="12.75" customHeight="1" x14ac:dyDescent="0.2">
      <c r="C937"/>
      <c r="M937"/>
    </row>
    <row r="938" spans="3:13" ht="12.75" customHeight="1" x14ac:dyDescent="0.2">
      <c r="C938"/>
      <c r="M938"/>
    </row>
    <row r="939" spans="3:13" ht="12.75" customHeight="1" x14ac:dyDescent="0.2">
      <c r="C939"/>
      <c r="M939"/>
    </row>
    <row r="940" spans="3:13" ht="12.75" customHeight="1" x14ac:dyDescent="0.2">
      <c r="C940"/>
      <c r="M940"/>
    </row>
    <row r="941" spans="3:13" ht="12.75" customHeight="1" x14ac:dyDescent="0.2">
      <c r="C941"/>
      <c r="M941"/>
    </row>
    <row r="942" spans="3:13" ht="12.75" customHeight="1" x14ac:dyDescent="0.2">
      <c r="C942"/>
      <c r="M942"/>
    </row>
    <row r="943" spans="3:13" ht="12.75" customHeight="1" x14ac:dyDescent="0.2">
      <c r="C943"/>
      <c r="M943"/>
    </row>
    <row r="944" spans="3:13" ht="12.75" customHeight="1" x14ac:dyDescent="0.2">
      <c r="C944"/>
      <c r="M944"/>
    </row>
    <row r="945" spans="3:13" ht="12.75" customHeight="1" x14ac:dyDescent="0.2">
      <c r="C945"/>
      <c r="M945"/>
    </row>
    <row r="946" spans="3:13" ht="12.75" customHeight="1" x14ac:dyDescent="0.2">
      <c r="C946"/>
      <c r="M946"/>
    </row>
    <row r="947" spans="3:13" ht="12.75" customHeight="1" x14ac:dyDescent="0.2">
      <c r="C947"/>
      <c r="M947"/>
    </row>
    <row r="948" spans="3:13" ht="12.75" customHeight="1" x14ac:dyDescent="0.2">
      <c r="C948"/>
      <c r="M948"/>
    </row>
    <row r="949" spans="3:13" ht="12.75" customHeight="1" x14ac:dyDescent="0.2">
      <c r="C949"/>
      <c r="M949"/>
    </row>
    <row r="950" spans="3:13" ht="12.75" customHeight="1" x14ac:dyDescent="0.2">
      <c r="C950"/>
      <c r="M950"/>
    </row>
    <row r="951" spans="3:13" ht="12.75" customHeight="1" x14ac:dyDescent="0.2">
      <c r="C951"/>
      <c r="M951"/>
    </row>
    <row r="952" spans="3:13" ht="12.75" customHeight="1" x14ac:dyDescent="0.2">
      <c r="C952"/>
      <c r="M952"/>
    </row>
    <row r="953" spans="3:13" ht="12.75" customHeight="1" x14ac:dyDescent="0.2">
      <c r="C953"/>
      <c r="M953"/>
    </row>
    <row r="954" spans="3:13" ht="12.75" customHeight="1" x14ac:dyDescent="0.2">
      <c r="C954"/>
      <c r="M954"/>
    </row>
    <row r="955" spans="3:13" ht="12.75" customHeight="1" x14ac:dyDescent="0.2">
      <c r="C955"/>
      <c r="M955"/>
    </row>
    <row r="956" spans="3:13" ht="12.75" customHeight="1" x14ac:dyDescent="0.2">
      <c r="C956"/>
      <c r="M956"/>
    </row>
    <row r="957" spans="3:13" ht="12.75" customHeight="1" x14ac:dyDescent="0.2">
      <c r="C957"/>
      <c r="M957"/>
    </row>
    <row r="958" spans="3:13" ht="12.75" customHeight="1" x14ac:dyDescent="0.2">
      <c r="C958"/>
      <c r="M958"/>
    </row>
    <row r="959" spans="3:13" ht="12.75" customHeight="1" x14ac:dyDescent="0.2">
      <c r="C959"/>
      <c r="M959"/>
    </row>
    <row r="960" spans="3:13" ht="12.75" customHeight="1" x14ac:dyDescent="0.2">
      <c r="C960"/>
      <c r="M960"/>
    </row>
    <row r="961" spans="3:13" ht="12.75" customHeight="1" x14ac:dyDescent="0.2">
      <c r="C961"/>
      <c r="M961"/>
    </row>
    <row r="962" spans="3:13" ht="12.75" customHeight="1" x14ac:dyDescent="0.2">
      <c r="C962"/>
      <c r="M962"/>
    </row>
    <row r="963" spans="3:13" ht="12.75" customHeight="1" x14ac:dyDescent="0.2">
      <c r="C963"/>
      <c r="M963"/>
    </row>
    <row r="964" spans="3:13" ht="12.75" customHeight="1" x14ac:dyDescent="0.2">
      <c r="C964"/>
      <c r="M964"/>
    </row>
    <row r="965" spans="3:13" ht="12.75" customHeight="1" x14ac:dyDescent="0.2">
      <c r="C965"/>
      <c r="M965"/>
    </row>
    <row r="966" spans="3:13" ht="12.75" customHeight="1" x14ac:dyDescent="0.2">
      <c r="C966"/>
      <c r="M966"/>
    </row>
    <row r="967" spans="3:13" ht="12.75" customHeight="1" x14ac:dyDescent="0.2">
      <c r="C967"/>
      <c r="M967"/>
    </row>
    <row r="968" spans="3:13" ht="12.75" customHeight="1" x14ac:dyDescent="0.2">
      <c r="C968"/>
      <c r="M968"/>
    </row>
    <row r="969" spans="3:13" ht="12.75" customHeight="1" x14ac:dyDescent="0.2">
      <c r="C969"/>
      <c r="M969"/>
    </row>
    <row r="970" spans="3:13" ht="12.75" customHeight="1" x14ac:dyDescent="0.2">
      <c r="C970"/>
      <c r="M970"/>
    </row>
    <row r="971" spans="3:13" ht="12.75" customHeight="1" x14ac:dyDescent="0.2">
      <c r="C971"/>
      <c r="M971"/>
    </row>
    <row r="972" spans="3:13" ht="12.75" customHeight="1" x14ac:dyDescent="0.2">
      <c r="C972"/>
      <c r="M972"/>
    </row>
    <row r="973" spans="3:13" ht="12.75" customHeight="1" x14ac:dyDescent="0.2">
      <c r="C973"/>
      <c r="M973"/>
    </row>
    <row r="974" spans="3:13" ht="12.75" customHeight="1" x14ac:dyDescent="0.2">
      <c r="C974"/>
      <c r="M974"/>
    </row>
    <row r="975" spans="3:13" ht="12.75" customHeight="1" x14ac:dyDescent="0.2">
      <c r="C975"/>
      <c r="M975"/>
    </row>
    <row r="976" spans="3:13" ht="12.75" customHeight="1" x14ac:dyDescent="0.2">
      <c r="C976"/>
      <c r="M976"/>
    </row>
    <row r="977" spans="3:13" ht="12.75" customHeight="1" x14ac:dyDescent="0.2">
      <c r="C977"/>
      <c r="M977"/>
    </row>
    <row r="978" spans="3:13" ht="12.75" customHeight="1" x14ac:dyDescent="0.2">
      <c r="C978"/>
      <c r="M978"/>
    </row>
    <row r="979" spans="3:13" ht="12.75" customHeight="1" x14ac:dyDescent="0.2">
      <c r="C979"/>
      <c r="M979"/>
    </row>
    <row r="980" spans="3:13" ht="12.75" customHeight="1" x14ac:dyDescent="0.2">
      <c r="C980"/>
      <c r="M980"/>
    </row>
    <row r="981" spans="3:13" ht="12.75" customHeight="1" x14ac:dyDescent="0.2">
      <c r="C981"/>
      <c r="M981"/>
    </row>
    <row r="982" spans="3:13" ht="12.75" customHeight="1" x14ac:dyDescent="0.2">
      <c r="C982"/>
      <c r="M982"/>
    </row>
    <row r="983" spans="3:13" ht="12.75" customHeight="1" x14ac:dyDescent="0.2">
      <c r="C983"/>
      <c r="M983"/>
    </row>
    <row r="984" spans="3:13" ht="12.75" customHeight="1" x14ac:dyDescent="0.2">
      <c r="C984"/>
      <c r="M984"/>
    </row>
    <row r="985" spans="3:13" ht="12.75" customHeight="1" x14ac:dyDescent="0.2">
      <c r="C985"/>
      <c r="M985"/>
    </row>
    <row r="986" spans="3:13" ht="12.75" customHeight="1" x14ac:dyDescent="0.2">
      <c r="C986"/>
      <c r="M986"/>
    </row>
    <row r="987" spans="3:13" ht="12.75" customHeight="1" x14ac:dyDescent="0.2">
      <c r="C987"/>
      <c r="M987"/>
    </row>
    <row r="988" spans="3:13" ht="12.75" customHeight="1" x14ac:dyDescent="0.2">
      <c r="C988"/>
      <c r="M988"/>
    </row>
    <row r="989" spans="3:13" ht="12.75" customHeight="1" x14ac:dyDescent="0.2">
      <c r="C989"/>
      <c r="M989"/>
    </row>
    <row r="990" spans="3:13" ht="12.75" customHeight="1" x14ac:dyDescent="0.2">
      <c r="C990"/>
      <c r="M990"/>
    </row>
    <row r="991" spans="3:13" ht="12.75" customHeight="1" x14ac:dyDescent="0.2">
      <c r="C991"/>
      <c r="M991"/>
    </row>
    <row r="992" spans="3:13" ht="12.75" customHeight="1" x14ac:dyDescent="0.2">
      <c r="C992"/>
      <c r="M992"/>
    </row>
    <row r="993" spans="3:13" ht="12.75" customHeight="1" x14ac:dyDescent="0.2">
      <c r="C993"/>
      <c r="M993"/>
    </row>
    <row r="994" spans="3:13" ht="12.75" customHeight="1" x14ac:dyDescent="0.2">
      <c r="C994"/>
      <c r="M994"/>
    </row>
    <row r="995" spans="3:13" ht="12.75" customHeight="1" x14ac:dyDescent="0.2">
      <c r="C995"/>
      <c r="M995"/>
    </row>
    <row r="996" spans="3:13" ht="12.75" customHeight="1" x14ac:dyDescent="0.2">
      <c r="C996"/>
      <c r="M996"/>
    </row>
    <row r="997" spans="3:13" ht="12.75" customHeight="1" x14ac:dyDescent="0.2">
      <c r="C997"/>
      <c r="M997"/>
    </row>
    <row r="998" spans="3:13" ht="12.75" customHeight="1" x14ac:dyDescent="0.2">
      <c r="C998"/>
      <c r="M998"/>
    </row>
    <row r="999" spans="3:13" ht="12.75" customHeight="1" x14ac:dyDescent="0.2">
      <c r="C999"/>
      <c r="M999"/>
    </row>
    <row r="1000" spans="3:13" ht="12.75" customHeight="1" x14ac:dyDescent="0.2">
      <c r="C1000"/>
      <c r="M1000"/>
    </row>
    <row r="1001" spans="3:13" ht="12.75" customHeight="1" x14ac:dyDescent="0.2">
      <c r="C1001"/>
      <c r="M1001"/>
    </row>
    <row r="1002" spans="3:13" ht="12.75" customHeight="1" x14ac:dyDescent="0.2">
      <c r="C1002"/>
      <c r="M1002"/>
    </row>
    <row r="1003" spans="3:13" ht="12.75" customHeight="1" x14ac:dyDescent="0.2">
      <c r="C1003"/>
      <c r="M1003"/>
    </row>
    <row r="1004" spans="3:13" ht="12.75" customHeight="1" x14ac:dyDescent="0.2">
      <c r="C1004"/>
      <c r="M1004"/>
    </row>
    <row r="1005" spans="3:13" ht="12.75" customHeight="1" x14ac:dyDescent="0.2">
      <c r="C1005"/>
      <c r="M1005"/>
    </row>
    <row r="1006" spans="3:13" ht="12.75" customHeight="1" x14ac:dyDescent="0.2">
      <c r="C1006"/>
      <c r="M1006"/>
    </row>
    <row r="1007" spans="3:13" ht="12.75" customHeight="1" x14ac:dyDescent="0.2">
      <c r="C1007"/>
      <c r="M1007"/>
    </row>
    <row r="1008" spans="3:13" ht="12.75" customHeight="1" x14ac:dyDescent="0.2">
      <c r="C1008"/>
      <c r="M1008"/>
    </row>
    <row r="1009" spans="3:13" ht="12.75" customHeight="1" x14ac:dyDescent="0.2">
      <c r="C1009"/>
      <c r="M1009"/>
    </row>
    <row r="1010" spans="3:13" ht="12.75" customHeight="1" x14ac:dyDescent="0.2">
      <c r="C1010"/>
      <c r="M1010"/>
    </row>
    <row r="1011" spans="3:13" ht="12.75" customHeight="1" x14ac:dyDescent="0.2">
      <c r="C1011"/>
      <c r="M1011"/>
    </row>
    <row r="1012" spans="3:13" ht="12.75" customHeight="1" x14ac:dyDescent="0.2">
      <c r="C1012"/>
      <c r="M1012"/>
    </row>
    <row r="1013" spans="3:13" ht="12.75" customHeight="1" x14ac:dyDescent="0.2">
      <c r="C1013"/>
      <c r="M1013"/>
    </row>
    <row r="1014" spans="3:13" ht="12.75" customHeight="1" x14ac:dyDescent="0.2">
      <c r="C1014"/>
      <c r="M1014"/>
    </row>
    <row r="1015" spans="3:13" ht="12.75" customHeight="1" x14ac:dyDescent="0.2">
      <c r="C1015"/>
      <c r="M1015"/>
    </row>
    <row r="1016" spans="3:13" ht="12.75" customHeight="1" x14ac:dyDescent="0.2">
      <c r="C1016"/>
      <c r="M1016"/>
    </row>
    <row r="1017" spans="3:13" ht="12.75" customHeight="1" x14ac:dyDescent="0.2">
      <c r="C1017"/>
      <c r="M1017"/>
    </row>
    <row r="1018" spans="3:13" ht="12.75" customHeight="1" x14ac:dyDescent="0.2">
      <c r="C1018"/>
      <c r="M1018"/>
    </row>
    <row r="1019" spans="3:13" ht="12.75" customHeight="1" x14ac:dyDescent="0.2">
      <c r="C1019"/>
      <c r="M1019"/>
    </row>
    <row r="1020" spans="3:13" ht="12.75" customHeight="1" x14ac:dyDescent="0.2">
      <c r="C1020"/>
      <c r="M1020"/>
    </row>
    <row r="1021" spans="3:13" ht="12.75" customHeight="1" x14ac:dyDescent="0.2">
      <c r="C1021"/>
      <c r="M1021"/>
    </row>
    <row r="1022" spans="3:13" ht="12.75" customHeight="1" x14ac:dyDescent="0.2">
      <c r="C1022"/>
      <c r="M1022"/>
    </row>
    <row r="1023" spans="3:13" ht="12.75" customHeight="1" x14ac:dyDescent="0.2">
      <c r="C1023"/>
      <c r="M1023"/>
    </row>
    <row r="1024" spans="3:13" ht="12.75" customHeight="1" x14ac:dyDescent="0.2">
      <c r="C1024"/>
      <c r="M1024"/>
    </row>
    <row r="1025" spans="3:13" ht="12.75" customHeight="1" x14ac:dyDescent="0.2">
      <c r="C1025"/>
      <c r="M1025"/>
    </row>
    <row r="1026" spans="3:13" ht="12.75" customHeight="1" x14ac:dyDescent="0.2">
      <c r="C1026"/>
      <c r="M1026"/>
    </row>
    <row r="1027" spans="3:13" ht="12.75" customHeight="1" x14ac:dyDescent="0.2">
      <c r="C1027"/>
      <c r="M1027"/>
    </row>
    <row r="1028" spans="3:13" ht="12.75" customHeight="1" x14ac:dyDescent="0.2">
      <c r="C1028"/>
      <c r="M1028"/>
    </row>
    <row r="1029" spans="3:13" ht="12.75" customHeight="1" x14ac:dyDescent="0.2">
      <c r="C1029"/>
      <c r="M1029"/>
    </row>
    <row r="1030" spans="3:13" ht="12.75" customHeight="1" x14ac:dyDescent="0.2">
      <c r="C1030"/>
      <c r="M1030"/>
    </row>
    <row r="1031" spans="3:13" ht="12.75" customHeight="1" x14ac:dyDescent="0.2">
      <c r="C1031"/>
      <c r="M1031"/>
    </row>
    <row r="1032" spans="3:13" ht="12.75" customHeight="1" x14ac:dyDescent="0.2">
      <c r="C1032"/>
      <c r="M1032"/>
    </row>
    <row r="1033" spans="3:13" ht="12.75" customHeight="1" x14ac:dyDescent="0.2">
      <c r="C1033"/>
      <c r="M1033"/>
    </row>
    <row r="1034" spans="3:13" ht="12.75" customHeight="1" x14ac:dyDescent="0.2">
      <c r="C1034"/>
      <c r="M1034"/>
    </row>
    <row r="1035" spans="3:13" ht="12.75" customHeight="1" x14ac:dyDescent="0.2">
      <c r="C1035"/>
      <c r="M1035"/>
    </row>
    <row r="1036" spans="3:13" ht="12.75" customHeight="1" x14ac:dyDescent="0.2">
      <c r="C1036"/>
      <c r="M1036"/>
    </row>
    <row r="1037" spans="3:13" ht="12.75" customHeight="1" x14ac:dyDescent="0.2">
      <c r="C1037"/>
      <c r="M1037"/>
    </row>
    <row r="1038" spans="3:13" ht="12.75" customHeight="1" x14ac:dyDescent="0.2">
      <c r="C1038"/>
      <c r="M1038"/>
    </row>
    <row r="1039" spans="3:13" ht="12.75" customHeight="1" x14ac:dyDescent="0.2">
      <c r="C1039"/>
      <c r="M1039"/>
    </row>
    <row r="1040" spans="3:13" ht="12.75" customHeight="1" x14ac:dyDescent="0.2">
      <c r="C1040"/>
      <c r="M1040"/>
    </row>
    <row r="1041" spans="3:13" ht="12.75" customHeight="1" x14ac:dyDescent="0.2">
      <c r="C1041"/>
      <c r="M1041"/>
    </row>
    <row r="1042" spans="3:13" ht="12.75" customHeight="1" x14ac:dyDescent="0.2">
      <c r="C1042"/>
      <c r="M1042"/>
    </row>
    <row r="1043" spans="3:13" ht="12.75" customHeight="1" x14ac:dyDescent="0.2">
      <c r="C1043"/>
      <c r="M1043"/>
    </row>
    <row r="1044" spans="3:13" ht="12.75" customHeight="1" x14ac:dyDescent="0.2">
      <c r="C1044"/>
      <c r="M1044"/>
    </row>
    <row r="1045" spans="3:13" ht="12.75" customHeight="1" x14ac:dyDescent="0.2">
      <c r="C1045"/>
      <c r="M1045"/>
    </row>
    <row r="1046" spans="3:13" ht="12.75" customHeight="1" x14ac:dyDescent="0.2">
      <c r="C1046"/>
      <c r="M1046"/>
    </row>
    <row r="1047" spans="3:13" ht="12.75" customHeight="1" x14ac:dyDescent="0.2">
      <c r="C1047"/>
      <c r="M1047"/>
    </row>
    <row r="1048" spans="3:13" ht="12.75" customHeight="1" x14ac:dyDescent="0.2">
      <c r="C1048"/>
      <c r="M1048"/>
    </row>
    <row r="1049" spans="3:13" ht="12.75" customHeight="1" x14ac:dyDescent="0.2">
      <c r="C1049"/>
      <c r="M1049"/>
    </row>
    <row r="1050" spans="3:13" ht="12.75" customHeight="1" x14ac:dyDescent="0.2">
      <c r="C1050"/>
      <c r="M1050"/>
    </row>
    <row r="1051" spans="3:13" ht="12.75" customHeight="1" x14ac:dyDescent="0.2">
      <c r="C1051"/>
      <c r="M1051"/>
    </row>
    <row r="1052" spans="3:13" ht="12.75" customHeight="1" x14ac:dyDescent="0.2">
      <c r="C1052"/>
      <c r="M1052"/>
    </row>
    <row r="1053" spans="3:13" ht="12.75" customHeight="1" x14ac:dyDescent="0.2">
      <c r="C1053"/>
      <c r="M1053"/>
    </row>
    <row r="1054" spans="3:13" ht="12.75" customHeight="1" x14ac:dyDescent="0.2">
      <c r="C1054"/>
      <c r="M1054"/>
    </row>
    <row r="1055" spans="3:13" ht="12.75" customHeight="1" x14ac:dyDescent="0.2">
      <c r="C1055"/>
      <c r="M1055"/>
    </row>
    <row r="1056" spans="3:13" ht="12.75" customHeight="1" x14ac:dyDescent="0.2">
      <c r="C1056"/>
      <c r="M1056"/>
    </row>
    <row r="1057" spans="3:13" ht="12.75" customHeight="1" x14ac:dyDescent="0.2">
      <c r="C1057"/>
      <c r="M1057"/>
    </row>
    <row r="1058" spans="3:13" ht="12.75" customHeight="1" x14ac:dyDescent="0.2">
      <c r="C1058"/>
      <c r="M1058"/>
    </row>
    <row r="1059" spans="3:13" ht="12.75" customHeight="1" x14ac:dyDescent="0.2">
      <c r="C1059"/>
      <c r="M1059"/>
    </row>
    <row r="1060" spans="3:13" ht="12.75" customHeight="1" x14ac:dyDescent="0.2">
      <c r="C1060"/>
      <c r="M1060"/>
    </row>
    <row r="1061" spans="3:13" ht="12.75" customHeight="1" x14ac:dyDescent="0.2">
      <c r="C1061"/>
      <c r="M1061"/>
    </row>
    <row r="1062" spans="3:13" ht="12.75" customHeight="1" x14ac:dyDescent="0.2">
      <c r="C1062"/>
      <c r="M1062"/>
    </row>
    <row r="1063" spans="3:13" ht="12.75" customHeight="1" x14ac:dyDescent="0.2">
      <c r="C1063"/>
      <c r="M1063"/>
    </row>
    <row r="1064" spans="3:13" ht="12.75" customHeight="1" x14ac:dyDescent="0.2">
      <c r="C1064"/>
      <c r="M1064"/>
    </row>
    <row r="1065" spans="3:13" ht="12.75" customHeight="1" x14ac:dyDescent="0.2">
      <c r="C1065"/>
      <c r="M1065"/>
    </row>
    <row r="1066" spans="3:13" ht="12.75" customHeight="1" x14ac:dyDescent="0.2">
      <c r="C1066"/>
      <c r="M1066"/>
    </row>
    <row r="1067" spans="3:13" ht="12.75" customHeight="1" x14ac:dyDescent="0.2">
      <c r="C1067"/>
      <c r="M1067"/>
    </row>
    <row r="1068" spans="3:13" ht="12.75" customHeight="1" x14ac:dyDescent="0.2">
      <c r="C1068"/>
      <c r="M1068"/>
    </row>
    <row r="1069" spans="3:13" ht="12.75" customHeight="1" x14ac:dyDescent="0.2">
      <c r="C1069"/>
      <c r="M1069"/>
    </row>
    <row r="1070" spans="3:13" ht="12.75" customHeight="1" x14ac:dyDescent="0.2">
      <c r="C1070"/>
      <c r="M1070"/>
    </row>
    <row r="1071" spans="3:13" ht="12.75" customHeight="1" x14ac:dyDescent="0.2">
      <c r="C1071"/>
      <c r="M1071"/>
    </row>
    <row r="1072" spans="3:13" ht="12.75" customHeight="1" x14ac:dyDescent="0.2">
      <c r="C1072"/>
      <c r="M1072"/>
    </row>
    <row r="1073" spans="3:13" ht="12.75" customHeight="1" x14ac:dyDescent="0.2">
      <c r="C1073"/>
      <c r="M1073"/>
    </row>
    <row r="1074" spans="3:13" ht="12.75" customHeight="1" x14ac:dyDescent="0.2">
      <c r="C1074"/>
      <c r="M1074"/>
    </row>
    <row r="1075" spans="3:13" ht="12.75" customHeight="1" x14ac:dyDescent="0.2">
      <c r="C1075"/>
      <c r="M1075"/>
    </row>
    <row r="1076" spans="3:13" ht="12.75" customHeight="1" x14ac:dyDescent="0.2">
      <c r="C1076"/>
      <c r="M1076"/>
    </row>
    <row r="1077" spans="3:13" ht="12.75" customHeight="1" x14ac:dyDescent="0.2">
      <c r="C1077"/>
      <c r="M1077"/>
    </row>
    <row r="1078" spans="3:13" ht="12.75" customHeight="1" x14ac:dyDescent="0.2">
      <c r="C1078"/>
      <c r="M1078"/>
    </row>
    <row r="1079" spans="3:13" ht="12.75" customHeight="1" x14ac:dyDescent="0.2">
      <c r="C1079"/>
      <c r="M1079"/>
    </row>
    <row r="1080" spans="3:13" ht="12.75" customHeight="1" x14ac:dyDescent="0.2">
      <c r="C1080"/>
      <c r="M1080"/>
    </row>
    <row r="1081" spans="3:13" ht="12.75" customHeight="1" x14ac:dyDescent="0.2">
      <c r="C1081"/>
      <c r="M1081"/>
    </row>
    <row r="1082" spans="3:13" ht="12.75" customHeight="1" x14ac:dyDescent="0.2">
      <c r="C1082"/>
      <c r="M1082"/>
    </row>
    <row r="1083" spans="3:13" ht="12.75" customHeight="1" x14ac:dyDescent="0.2">
      <c r="C1083"/>
      <c r="M1083"/>
    </row>
    <row r="1084" spans="3:13" ht="12.75" customHeight="1" x14ac:dyDescent="0.2">
      <c r="C1084"/>
      <c r="M1084"/>
    </row>
    <row r="1085" spans="3:13" ht="12.75" customHeight="1" x14ac:dyDescent="0.2">
      <c r="C1085"/>
      <c r="M1085"/>
    </row>
    <row r="1086" spans="3:13" ht="12.75" customHeight="1" x14ac:dyDescent="0.2">
      <c r="C1086"/>
      <c r="M1086"/>
    </row>
    <row r="1087" spans="3:13" ht="12.75" customHeight="1" x14ac:dyDescent="0.2">
      <c r="C1087"/>
      <c r="M1087"/>
    </row>
    <row r="1088" spans="3:13" ht="12.75" customHeight="1" x14ac:dyDescent="0.2">
      <c r="C1088"/>
      <c r="M1088"/>
    </row>
    <row r="1089" spans="3:13" ht="12.75" customHeight="1" x14ac:dyDescent="0.2">
      <c r="C1089"/>
      <c r="M1089"/>
    </row>
    <row r="1090" spans="3:13" ht="12.75" customHeight="1" x14ac:dyDescent="0.2">
      <c r="C1090"/>
      <c r="M1090"/>
    </row>
    <row r="1091" spans="3:13" ht="12.75" customHeight="1" x14ac:dyDescent="0.2">
      <c r="C1091"/>
      <c r="M1091"/>
    </row>
    <row r="1092" spans="3:13" ht="12.75" customHeight="1" x14ac:dyDescent="0.2">
      <c r="C1092"/>
      <c r="M1092"/>
    </row>
    <row r="1093" spans="3:13" ht="12.75" customHeight="1" x14ac:dyDescent="0.2">
      <c r="C1093"/>
      <c r="M1093"/>
    </row>
    <row r="1094" spans="3:13" ht="12.75" customHeight="1" x14ac:dyDescent="0.2">
      <c r="C1094"/>
      <c r="M1094"/>
    </row>
    <row r="1095" spans="3:13" ht="12.75" customHeight="1" x14ac:dyDescent="0.2">
      <c r="C1095"/>
      <c r="M1095"/>
    </row>
    <row r="1096" spans="3:13" ht="12.75" customHeight="1" x14ac:dyDescent="0.2">
      <c r="C1096"/>
      <c r="M1096"/>
    </row>
    <row r="1097" spans="3:13" ht="12.75" customHeight="1" x14ac:dyDescent="0.2">
      <c r="C1097"/>
      <c r="M1097"/>
    </row>
    <row r="1098" spans="3:13" ht="12.75" customHeight="1" x14ac:dyDescent="0.2">
      <c r="C1098"/>
      <c r="M1098"/>
    </row>
    <row r="1099" spans="3:13" ht="12.75" customHeight="1" x14ac:dyDescent="0.2">
      <c r="C1099"/>
      <c r="M1099"/>
    </row>
    <row r="1100" spans="3:13" ht="12.75" customHeight="1" x14ac:dyDescent="0.2">
      <c r="C1100"/>
      <c r="M1100"/>
    </row>
    <row r="1101" spans="3:13" ht="12.75" customHeight="1" x14ac:dyDescent="0.2">
      <c r="C1101"/>
      <c r="M1101"/>
    </row>
    <row r="1102" spans="3:13" ht="12.75" customHeight="1" x14ac:dyDescent="0.2">
      <c r="C1102"/>
      <c r="M1102"/>
    </row>
    <row r="1103" spans="3:13" ht="12.75" customHeight="1" x14ac:dyDescent="0.2">
      <c r="C1103"/>
      <c r="M1103"/>
    </row>
    <row r="1104" spans="3:13" ht="12.75" customHeight="1" x14ac:dyDescent="0.2">
      <c r="C1104"/>
      <c r="M1104"/>
    </row>
    <row r="1105" spans="3:13" ht="12.75" customHeight="1" x14ac:dyDescent="0.2">
      <c r="C1105"/>
      <c r="M1105"/>
    </row>
    <row r="1106" spans="3:13" ht="12.75" customHeight="1" x14ac:dyDescent="0.2">
      <c r="C1106"/>
      <c r="M1106"/>
    </row>
    <row r="1107" spans="3:13" ht="12.75" customHeight="1" x14ac:dyDescent="0.2">
      <c r="C1107"/>
      <c r="M1107"/>
    </row>
    <row r="1108" spans="3:13" ht="12.75" customHeight="1" x14ac:dyDescent="0.2">
      <c r="C1108"/>
      <c r="M1108"/>
    </row>
    <row r="1109" spans="3:13" ht="12.75" customHeight="1" x14ac:dyDescent="0.2">
      <c r="C1109"/>
      <c r="M1109"/>
    </row>
    <row r="1110" spans="3:13" ht="12.75" customHeight="1" x14ac:dyDescent="0.2">
      <c r="C1110"/>
      <c r="M1110"/>
    </row>
    <row r="1111" spans="3:13" ht="12.75" customHeight="1" x14ac:dyDescent="0.2">
      <c r="C1111"/>
      <c r="M1111"/>
    </row>
    <row r="1112" spans="3:13" ht="12.75" customHeight="1" x14ac:dyDescent="0.2">
      <c r="C1112"/>
      <c r="M1112"/>
    </row>
    <row r="1113" spans="3:13" ht="12.75" customHeight="1" x14ac:dyDescent="0.2">
      <c r="C1113"/>
      <c r="M1113"/>
    </row>
    <row r="1114" spans="3:13" ht="12.75" customHeight="1" x14ac:dyDescent="0.2">
      <c r="C1114"/>
      <c r="M1114"/>
    </row>
    <row r="1115" spans="3:13" ht="12.75" customHeight="1" x14ac:dyDescent="0.2">
      <c r="C1115"/>
      <c r="M1115"/>
    </row>
    <row r="1116" spans="3:13" ht="12.75" customHeight="1" x14ac:dyDescent="0.2">
      <c r="C1116"/>
      <c r="M1116"/>
    </row>
    <row r="1117" spans="3:13" ht="12.75" customHeight="1" x14ac:dyDescent="0.2">
      <c r="C1117"/>
      <c r="M1117"/>
    </row>
    <row r="1118" spans="3:13" ht="12.75" customHeight="1" x14ac:dyDescent="0.2">
      <c r="C1118"/>
      <c r="M1118"/>
    </row>
    <row r="1119" spans="3:13" ht="12.75" customHeight="1" x14ac:dyDescent="0.2">
      <c r="C1119"/>
      <c r="M1119"/>
    </row>
    <row r="1120" spans="3:13" ht="12.75" customHeight="1" x14ac:dyDescent="0.2">
      <c r="C1120"/>
      <c r="M1120"/>
    </row>
    <row r="1121" spans="3:13" ht="12.75" customHeight="1" x14ac:dyDescent="0.2">
      <c r="C1121"/>
      <c r="M1121"/>
    </row>
    <row r="1122" spans="3:13" ht="12.75" customHeight="1" x14ac:dyDescent="0.2">
      <c r="C1122"/>
      <c r="M1122"/>
    </row>
    <row r="1123" spans="3:13" ht="12.75" customHeight="1" x14ac:dyDescent="0.2">
      <c r="C1123"/>
      <c r="M1123"/>
    </row>
    <row r="1124" spans="3:13" ht="12.75" customHeight="1" x14ac:dyDescent="0.2">
      <c r="C1124"/>
      <c r="M1124"/>
    </row>
    <row r="1125" spans="3:13" ht="12.75" customHeight="1" x14ac:dyDescent="0.2">
      <c r="C1125"/>
      <c r="M1125"/>
    </row>
    <row r="1126" spans="3:13" ht="12.75" customHeight="1" x14ac:dyDescent="0.2">
      <c r="C1126"/>
      <c r="M1126"/>
    </row>
    <row r="1127" spans="3:13" ht="12.75" customHeight="1" x14ac:dyDescent="0.2">
      <c r="C1127"/>
      <c r="M1127"/>
    </row>
    <row r="1128" spans="3:13" ht="12.75" customHeight="1" x14ac:dyDescent="0.2">
      <c r="C1128"/>
      <c r="M1128"/>
    </row>
    <row r="1129" spans="3:13" ht="12.75" customHeight="1" x14ac:dyDescent="0.2">
      <c r="C1129"/>
      <c r="M1129"/>
    </row>
    <row r="1130" spans="3:13" ht="12.75" customHeight="1" x14ac:dyDescent="0.2">
      <c r="C1130"/>
      <c r="M1130"/>
    </row>
    <row r="1131" spans="3:13" ht="12.75" customHeight="1" x14ac:dyDescent="0.2">
      <c r="C1131"/>
      <c r="M1131"/>
    </row>
    <row r="1132" spans="3:13" ht="12.75" customHeight="1" x14ac:dyDescent="0.2">
      <c r="C1132"/>
      <c r="M1132"/>
    </row>
    <row r="1133" spans="3:13" ht="12.75" customHeight="1" x14ac:dyDescent="0.2">
      <c r="C1133"/>
      <c r="M1133"/>
    </row>
    <row r="1134" spans="3:13" ht="12.75" customHeight="1" x14ac:dyDescent="0.2">
      <c r="C1134"/>
      <c r="M1134"/>
    </row>
    <row r="1135" spans="3:13" ht="12.75" customHeight="1" x14ac:dyDescent="0.2">
      <c r="C1135"/>
      <c r="M1135"/>
    </row>
    <row r="1136" spans="3:13" ht="12.75" customHeight="1" x14ac:dyDescent="0.2">
      <c r="C1136"/>
      <c r="M1136"/>
    </row>
    <row r="1137" spans="3:13" ht="12.75" customHeight="1" x14ac:dyDescent="0.2">
      <c r="C1137"/>
      <c r="M1137"/>
    </row>
    <row r="1138" spans="3:13" ht="12.75" customHeight="1" x14ac:dyDescent="0.2">
      <c r="C1138"/>
      <c r="M1138"/>
    </row>
    <row r="1139" spans="3:13" ht="12.75" customHeight="1" x14ac:dyDescent="0.2">
      <c r="C1139"/>
      <c r="M1139"/>
    </row>
    <row r="1140" spans="3:13" ht="12.75" customHeight="1" x14ac:dyDescent="0.2">
      <c r="C1140"/>
      <c r="M1140"/>
    </row>
    <row r="1141" spans="3:13" ht="12.75" customHeight="1" x14ac:dyDescent="0.2">
      <c r="C1141"/>
      <c r="M1141"/>
    </row>
    <row r="1142" spans="3:13" ht="12.75" customHeight="1" x14ac:dyDescent="0.2">
      <c r="C1142"/>
      <c r="M1142"/>
    </row>
    <row r="1143" spans="3:13" ht="12.75" customHeight="1" x14ac:dyDescent="0.2">
      <c r="C1143"/>
      <c r="M1143"/>
    </row>
    <row r="1144" spans="3:13" ht="12.75" customHeight="1" x14ac:dyDescent="0.2">
      <c r="C1144"/>
      <c r="M1144"/>
    </row>
    <row r="1145" spans="3:13" ht="12.75" customHeight="1" x14ac:dyDescent="0.2">
      <c r="C1145"/>
      <c r="M1145"/>
    </row>
    <row r="1146" spans="3:13" ht="12.75" customHeight="1" x14ac:dyDescent="0.2">
      <c r="C1146"/>
      <c r="M1146"/>
    </row>
    <row r="1147" spans="3:13" ht="12.75" customHeight="1" x14ac:dyDescent="0.2">
      <c r="C1147"/>
      <c r="M1147"/>
    </row>
    <row r="1148" spans="3:13" ht="12.75" customHeight="1" x14ac:dyDescent="0.2">
      <c r="C1148"/>
      <c r="M1148"/>
    </row>
    <row r="1149" spans="3:13" ht="12.75" customHeight="1" x14ac:dyDescent="0.2">
      <c r="C1149"/>
      <c r="M1149"/>
    </row>
    <row r="1150" spans="3:13" ht="12.75" customHeight="1" x14ac:dyDescent="0.2">
      <c r="C1150"/>
      <c r="M1150"/>
    </row>
    <row r="1151" spans="3:13" ht="12.75" customHeight="1" x14ac:dyDescent="0.2">
      <c r="C1151"/>
      <c r="M1151"/>
    </row>
    <row r="1152" spans="3:13" ht="12.75" customHeight="1" x14ac:dyDescent="0.2">
      <c r="C1152"/>
      <c r="M1152"/>
    </row>
    <row r="1153" spans="3:13" ht="12.75" customHeight="1" x14ac:dyDescent="0.2">
      <c r="C1153"/>
      <c r="M1153"/>
    </row>
    <row r="1154" spans="3:13" ht="12.75" customHeight="1" x14ac:dyDescent="0.2">
      <c r="C1154"/>
      <c r="M1154"/>
    </row>
    <row r="1155" spans="3:13" ht="12.75" customHeight="1" x14ac:dyDescent="0.2">
      <c r="C1155"/>
      <c r="M1155"/>
    </row>
    <row r="1156" spans="3:13" ht="12.75" customHeight="1" x14ac:dyDescent="0.2">
      <c r="C1156"/>
      <c r="M1156"/>
    </row>
    <row r="1157" spans="3:13" ht="12.75" customHeight="1" x14ac:dyDescent="0.2">
      <c r="C1157"/>
      <c r="M1157"/>
    </row>
    <row r="1158" spans="3:13" ht="12.75" customHeight="1" x14ac:dyDescent="0.2">
      <c r="C1158"/>
      <c r="M1158"/>
    </row>
    <row r="1159" spans="3:13" ht="12.75" customHeight="1" x14ac:dyDescent="0.2">
      <c r="C1159"/>
      <c r="M1159"/>
    </row>
    <row r="1160" spans="3:13" ht="12.75" customHeight="1" x14ac:dyDescent="0.2">
      <c r="C1160"/>
      <c r="M1160"/>
    </row>
    <row r="1161" spans="3:13" ht="12.75" customHeight="1" x14ac:dyDescent="0.2">
      <c r="C1161"/>
      <c r="M1161"/>
    </row>
    <row r="1162" spans="3:13" ht="12.75" customHeight="1" x14ac:dyDescent="0.2">
      <c r="C1162"/>
      <c r="M1162"/>
    </row>
    <row r="1163" spans="3:13" ht="12.75" customHeight="1" x14ac:dyDescent="0.2">
      <c r="C1163"/>
      <c r="M1163"/>
    </row>
    <row r="1164" spans="3:13" ht="12.75" customHeight="1" x14ac:dyDescent="0.2">
      <c r="C1164"/>
      <c r="M1164"/>
    </row>
    <row r="1165" spans="3:13" ht="12.75" customHeight="1" x14ac:dyDescent="0.2">
      <c r="C1165"/>
      <c r="M1165"/>
    </row>
    <row r="1166" spans="3:13" ht="12.75" customHeight="1" x14ac:dyDescent="0.2">
      <c r="C1166"/>
      <c r="M1166"/>
    </row>
    <row r="1167" spans="3:13" ht="12.75" customHeight="1" x14ac:dyDescent="0.2">
      <c r="C1167"/>
      <c r="M1167"/>
    </row>
    <row r="1168" spans="3:13" ht="12.75" customHeight="1" x14ac:dyDescent="0.2">
      <c r="C1168"/>
      <c r="M1168"/>
    </row>
    <row r="1169" spans="3:13" ht="12.75" customHeight="1" x14ac:dyDescent="0.2">
      <c r="C1169"/>
      <c r="M1169"/>
    </row>
    <row r="1170" spans="3:13" ht="12.75" customHeight="1" x14ac:dyDescent="0.2">
      <c r="C1170"/>
      <c r="M1170"/>
    </row>
    <row r="1171" spans="3:13" ht="12.75" customHeight="1" x14ac:dyDescent="0.2">
      <c r="C1171"/>
      <c r="M1171"/>
    </row>
    <row r="1172" spans="3:13" ht="12.75" customHeight="1" x14ac:dyDescent="0.2">
      <c r="C1172"/>
      <c r="M1172"/>
    </row>
    <row r="1173" spans="3:13" ht="12.75" customHeight="1" x14ac:dyDescent="0.2">
      <c r="C1173"/>
      <c r="M1173"/>
    </row>
    <row r="1174" spans="3:13" ht="12.75" customHeight="1" x14ac:dyDescent="0.2">
      <c r="C1174"/>
      <c r="M1174"/>
    </row>
    <row r="1175" spans="3:13" ht="12.75" customHeight="1" x14ac:dyDescent="0.2">
      <c r="C1175"/>
      <c r="M1175"/>
    </row>
    <row r="1176" spans="3:13" ht="12.75" customHeight="1" x14ac:dyDescent="0.2">
      <c r="C1176"/>
      <c r="M1176"/>
    </row>
    <row r="1177" spans="3:13" ht="12.75" customHeight="1" x14ac:dyDescent="0.2">
      <c r="C1177"/>
      <c r="M1177"/>
    </row>
    <row r="1178" spans="3:13" ht="12.75" customHeight="1" x14ac:dyDescent="0.2">
      <c r="C1178"/>
      <c r="M1178"/>
    </row>
    <row r="1179" spans="3:13" ht="12.75" customHeight="1" x14ac:dyDescent="0.2">
      <c r="C1179"/>
      <c r="M1179"/>
    </row>
    <row r="1180" spans="3:13" ht="12.75" customHeight="1" x14ac:dyDescent="0.2">
      <c r="C1180"/>
      <c r="M1180"/>
    </row>
    <row r="1181" spans="3:13" ht="12.75" customHeight="1" x14ac:dyDescent="0.2">
      <c r="C1181"/>
      <c r="M1181"/>
    </row>
    <row r="1182" spans="3:13" ht="12.75" customHeight="1" x14ac:dyDescent="0.2">
      <c r="C1182"/>
      <c r="M1182"/>
    </row>
    <row r="1183" spans="3:13" ht="12.75" customHeight="1" x14ac:dyDescent="0.2">
      <c r="C1183"/>
      <c r="M1183"/>
    </row>
    <row r="1184" spans="3:13" ht="12.75" customHeight="1" x14ac:dyDescent="0.2">
      <c r="C1184"/>
      <c r="M1184"/>
    </row>
    <row r="1185" spans="3:13" ht="12.75" customHeight="1" x14ac:dyDescent="0.2">
      <c r="C1185"/>
      <c r="M1185"/>
    </row>
    <row r="1186" spans="3:13" ht="12.75" customHeight="1" x14ac:dyDescent="0.2">
      <c r="C1186"/>
      <c r="M1186"/>
    </row>
    <row r="1187" spans="3:13" ht="12.75" customHeight="1" x14ac:dyDescent="0.2">
      <c r="C1187"/>
      <c r="M1187"/>
    </row>
    <row r="1188" spans="3:13" ht="12.75" customHeight="1" x14ac:dyDescent="0.2">
      <c r="C1188"/>
      <c r="M1188"/>
    </row>
    <row r="1189" spans="3:13" ht="12.75" customHeight="1" x14ac:dyDescent="0.2">
      <c r="C1189"/>
      <c r="M1189"/>
    </row>
    <row r="1190" spans="3:13" ht="12.75" customHeight="1" x14ac:dyDescent="0.2">
      <c r="C1190"/>
      <c r="M1190"/>
    </row>
    <row r="1191" spans="3:13" ht="12.75" customHeight="1" x14ac:dyDescent="0.2">
      <c r="C1191"/>
      <c r="M1191"/>
    </row>
    <row r="1192" spans="3:13" ht="12.75" customHeight="1" x14ac:dyDescent="0.2">
      <c r="C1192"/>
      <c r="M1192"/>
    </row>
    <row r="1193" spans="3:13" ht="12.75" customHeight="1" x14ac:dyDescent="0.2">
      <c r="C1193"/>
      <c r="M1193"/>
    </row>
    <row r="1194" spans="3:13" ht="12.75" customHeight="1" x14ac:dyDescent="0.2">
      <c r="C1194"/>
      <c r="M1194"/>
    </row>
    <row r="1195" spans="3:13" ht="12.75" customHeight="1" x14ac:dyDescent="0.2">
      <c r="C1195"/>
      <c r="M1195"/>
    </row>
    <row r="1196" spans="3:13" ht="12.75" customHeight="1" x14ac:dyDescent="0.2">
      <c r="C1196"/>
      <c r="M1196"/>
    </row>
    <row r="1197" spans="3:13" ht="12.75" customHeight="1" x14ac:dyDescent="0.2">
      <c r="C1197"/>
      <c r="M1197"/>
    </row>
    <row r="1198" spans="3:13" ht="12.75" customHeight="1" x14ac:dyDescent="0.2">
      <c r="C1198"/>
      <c r="M1198"/>
    </row>
    <row r="1199" spans="3:13" ht="12.75" customHeight="1" x14ac:dyDescent="0.2">
      <c r="C1199"/>
      <c r="M1199"/>
    </row>
    <row r="1200" spans="3:13" ht="12.75" customHeight="1" x14ac:dyDescent="0.2">
      <c r="C1200"/>
      <c r="M1200"/>
    </row>
    <row r="1201" spans="3:13" ht="12.75" customHeight="1" x14ac:dyDescent="0.2">
      <c r="C1201"/>
      <c r="M1201"/>
    </row>
    <row r="1202" spans="3:13" ht="12.75" customHeight="1" x14ac:dyDescent="0.2">
      <c r="C1202"/>
      <c r="M1202"/>
    </row>
    <row r="1203" spans="3:13" ht="12.75" customHeight="1" x14ac:dyDescent="0.2">
      <c r="C1203"/>
      <c r="M1203"/>
    </row>
    <row r="1204" spans="3:13" ht="12.75" customHeight="1" x14ac:dyDescent="0.2">
      <c r="C1204"/>
      <c r="M1204"/>
    </row>
    <row r="1205" spans="3:13" ht="12.75" customHeight="1" x14ac:dyDescent="0.2">
      <c r="C1205"/>
      <c r="M1205"/>
    </row>
    <row r="1206" spans="3:13" ht="12.75" customHeight="1" x14ac:dyDescent="0.2">
      <c r="C1206"/>
      <c r="M1206"/>
    </row>
    <row r="1207" spans="3:13" ht="12.75" customHeight="1" x14ac:dyDescent="0.2">
      <c r="C1207"/>
      <c r="M1207"/>
    </row>
    <row r="1208" spans="3:13" ht="12.75" customHeight="1" x14ac:dyDescent="0.2">
      <c r="C1208"/>
      <c r="M1208"/>
    </row>
    <row r="1209" spans="3:13" ht="12.75" customHeight="1" x14ac:dyDescent="0.2">
      <c r="C1209"/>
      <c r="M1209"/>
    </row>
    <row r="1210" spans="3:13" ht="12.75" customHeight="1" x14ac:dyDescent="0.2">
      <c r="C1210"/>
      <c r="M1210"/>
    </row>
    <row r="1211" spans="3:13" ht="12.75" customHeight="1" x14ac:dyDescent="0.2">
      <c r="C1211"/>
      <c r="M1211"/>
    </row>
    <row r="1212" spans="3:13" ht="12.75" customHeight="1" x14ac:dyDescent="0.2">
      <c r="C1212"/>
      <c r="M1212"/>
    </row>
    <row r="1213" spans="3:13" ht="12.75" customHeight="1" x14ac:dyDescent="0.2">
      <c r="C1213"/>
      <c r="M1213"/>
    </row>
    <row r="1214" spans="3:13" ht="12.75" customHeight="1" x14ac:dyDescent="0.2">
      <c r="C1214"/>
      <c r="M1214"/>
    </row>
    <row r="1215" spans="3:13" ht="12.75" customHeight="1" x14ac:dyDescent="0.2">
      <c r="C1215"/>
      <c r="M1215"/>
    </row>
    <row r="1216" spans="3:13" ht="12.75" customHeight="1" x14ac:dyDescent="0.2">
      <c r="C1216"/>
      <c r="M1216"/>
    </row>
    <row r="1217" spans="3:13" ht="12.75" customHeight="1" x14ac:dyDescent="0.2">
      <c r="C1217"/>
      <c r="M1217"/>
    </row>
    <row r="1218" spans="3:13" ht="12.75" customHeight="1" x14ac:dyDescent="0.2">
      <c r="C1218"/>
      <c r="M1218"/>
    </row>
    <row r="1219" spans="3:13" ht="12.75" customHeight="1" x14ac:dyDescent="0.2">
      <c r="C1219"/>
      <c r="M1219"/>
    </row>
    <row r="1220" spans="3:13" ht="12.75" customHeight="1" x14ac:dyDescent="0.2">
      <c r="C1220"/>
      <c r="M1220"/>
    </row>
    <row r="1221" spans="3:13" ht="12.75" customHeight="1" x14ac:dyDescent="0.2">
      <c r="C1221"/>
      <c r="M1221"/>
    </row>
    <row r="1222" spans="3:13" ht="12.75" customHeight="1" x14ac:dyDescent="0.2">
      <c r="C1222"/>
      <c r="M1222"/>
    </row>
    <row r="1223" spans="3:13" ht="12.75" customHeight="1" x14ac:dyDescent="0.2">
      <c r="C1223"/>
      <c r="M1223"/>
    </row>
    <row r="1224" spans="3:13" ht="12.75" customHeight="1" x14ac:dyDescent="0.2">
      <c r="C1224"/>
      <c r="M1224"/>
    </row>
    <row r="1225" spans="3:13" ht="12.75" customHeight="1" x14ac:dyDescent="0.2">
      <c r="C1225"/>
      <c r="M1225"/>
    </row>
    <row r="1226" spans="3:13" ht="12.75" customHeight="1" x14ac:dyDescent="0.2">
      <c r="C1226"/>
      <c r="M1226"/>
    </row>
    <row r="1227" spans="3:13" ht="12.75" customHeight="1" x14ac:dyDescent="0.2">
      <c r="C1227"/>
      <c r="M1227"/>
    </row>
    <row r="1228" spans="3:13" ht="12.75" customHeight="1" x14ac:dyDescent="0.2">
      <c r="C1228"/>
      <c r="M1228"/>
    </row>
    <row r="1229" spans="3:13" ht="12.75" customHeight="1" x14ac:dyDescent="0.2">
      <c r="C1229"/>
      <c r="M1229"/>
    </row>
    <row r="1230" spans="3:13" ht="12.75" customHeight="1" x14ac:dyDescent="0.2">
      <c r="C1230"/>
      <c r="M1230"/>
    </row>
    <row r="1231" spans="3:13" ht="12.75" customHeight="1" x14ac:dyDescent="0.2">
      <c r="C1231"/>
      <c r="M1231"/>
    </row>
    <row r="1232" spans="3:13" ht="12.75" customHeight="1" x14ac:dyDescent="0.2">
      <c r="C1232"/>
      <c r="M1232"/>
    </row>
    <row r="1233" spans="3:13" ht="12.75" customHeight="1" x14ac:dyDescent="0.2">
      <c r="C1233"/>
      <c r="M1233"/>
    </row>
    <row r="1234" spans="3:13" ht="12.75" customHeight="1" x14ac:dyDescent="0.2">
      <c r="C1234"/>
      <c r="M1234"/>
    </row>
    <row r="1235" spans="3:13" ht="12.75" customHeight="1" x14ac:dyDescent="0.2">
      <c r="C1235"/>
      <c r="M1235"/>
    </row>
    <row r="1236" spans="3:13" ht="12.75" customHeight="1" x14ac:dyDescent="0.2">
      <c r="C1236"/>
      <c r="M1236"/>
    </row>
    <row r="1237" spans="3:13" ht="12.75" customHeight="1" x14ac:dyDescent="0.2">
      <c r="C1237"/>
      <c r="M1237"/>
    </row>
    <row r="1238" spans="3:13" ht="12.75" customHeight="1" x14ac:dyDescent="0.2">
      <c r="C1238"/>
      <c r="M1238"/>
    </row>
    <row r="1239" spans="3:13" ht="12.75" customHeight="1" x14ac:dyDescent="0.2">
      <c r="C1239"/>
      <c r="M1239"/>
    </row>
    <row r="1240" spans="3:13" ht="12.75" customHeight="1" x14ac:dyDescent="0.2">
      <c r="C1240"/>
      <c r="M1240"/>
    </row>
    <row r="1241" spans="3:13" ht="12.75" customHeight="1" x14ac:dyDescent="0.2">
      <c r="C1241"/>
      <c r="M1241"/>
    </row>
    <row r="1242" spans="3:13" ht="12.75" customHeight="1" x14ac:dyDescent="0.2">
      <c r="C1242"/>
      <c r="M1242"/>
    </row>
    <row r="1243" spans="3:13" ht="12.75" customHeight="1" x14ac:dyDescent="0.2">
      <c r="C1243"/>
      <c r="M1243"/>
    </row>
    <row r="1244" spans="3:13" ht="12.75" customHeight="1" x14ac:dyDescent="0.2">
      <c r="C1244"/>
      <c r="M1244"/>
    </row>
    <row r="1245" spans="3:13" ht="12.75" customHeight="1" x14ac:dyDescent="0.2">
      <c r="C1245"/>
      <c r="M1245"/>
    </row>
    <row r="1246" spans="3:13" ht="12.75" customHeight="1" x14ac:dyDescent="0.2">
      <c r="C1246"/>
      <c r="M1246"/>
    </row>
    <row r="1247" spans="3:13" ht="12.75" customHeight="1" x14ac:dyDescent="0.2">
      <c r="C1247"/>
      <c r="M1247"/>
    </row>
    <row r="1248" spans="3:13" ht="12.75" customHeight="1" x14ac:dyDescent="0.2">
      <c r="C1248"/>
      <c r="M1248"/>
    </row>
    <row r="1249" spans="3:13" ht="12.75" customHeight="1" x14ac:dyDescent="0.2">
      <c r="C1249"/>
      <c r="M1249"/>
    </row>
    <row r="1250" spans="3:13" ht="12.75" customHeight="1" x14ac:dyDescent="0.2">
      <c r="C1250"/>
      <c r="M1250"/>
    </row>
    <row r="1251" spans="3:13" ht="12.75" customHeight="1" x14ac:dyDescent="0.2">
      <c r="C1251"/>
      <c r="M1251"/>
    </row>
    <row r="1252" spans="3:13" ht="12.75" customHeight="1" x14ac:dyDescent="0.2">
      <c r="C1252"/>
      <c r="M1252"/>
    </row>
    <row r="1253" spans="3:13" ht="12.75" customHeight="1" x14ac:dyDescent="0.2">
      <c r="C1253"/>
      <c r="M1253"/>
    </row>
    <row r="1254" spans="3:13" ht="12.75" customHeight="1" x14ac:dyDescent="0.2">
      <c r="C1254"/>
      <c r="M1254"/>
    </row>
    <row r="1255" spans="3:13" ht="12.75" customHeight="1" x14ac:dyDescent="0.2">
      <c r="C1255"/>
      <c r="M1255"/>
    </row>
    <row r="1256" spans="3:13" ht="12.75" customHeight="1" x14ac:dyDescent="0.2">
      <c r="C1256"/>
      <c r="M1256"/>
    </row>
    <row r="1257" spans="3:13" ht="12.75" customHeight="1" x14ac:dyDescent="0.2">
      <c r="C1257"/>
      <c r="M1257"/>
    </row>
    <row r="1258" spans="3:13" ht="12.75" customHeight="1" x14ac:dyDescent="0.2">
      <c r="C1258"/>
      <c r="M1258"/>
    </row>
    <row r="1259" spans="3:13" ht="12.75" customHeight="1" x14ac:dyDescent="0.2">
      <c r="C1259"/>
      <c r="M1259"/>
    </row>
    <row r="1260" spans="3:13" ht="12.75" customHeight="1" x14ac:dyDescent="0.2">
      <c r="C1260"/>
      <c r="M1260"/>
    </row>
    <row r="1261" spans="3:13" ht="12.75" customHeight="1" x14ac:dyDescent="0.2">
      <c r="C1261"/>
      <c r="M1261"/>
    </row>
    <row r="1262" spans="3:13" ht="12.75" customHeight="1" x14ac:dyDescent="0.2">
      <c r="C1262"/>
      <c r="M1262"/>
    </row>
    <row r="1263" spans="3:13" ht="12.75" customHeight="1" x14ac:dyDescent="0.2">
      <c r="C1263"/>
      <c r="M1263"/>
    </row>
    <row r="1264" spans="3:13" ht="12.75" customHeight="1" x14ac:dyDescent="0.2">
      <c r="C1264"/>
      <c r="M1264"/>
    </row>
    <row r="1265" spans="3:13" ht="12.75" customHeight="1" x14ac:dyDescent="0.2">
      <c r="C1265"/>
      <c r="M1265"/>
    </row>
    <row r="1266" spans="3:13" ht="12.75" customHeight="1" x14ac:dyDescent="0.2">
      <c r="C1266"/>
      <c r="M1266"/>
    </row>
    <row r="1267" spans="3:13" ht="12.75" customHeight="1" x14ac:dyDescent="0.2">
      <c r="C1267"/>
      <c r="M1267"/>
    </row>
    <row r="1268" spans="3:13" ht="12.75" customHeight="1" x14ac:dyDescent="0.2">
      <c r="C1268"/>
      <c r="M1268"/>
    </row>
    <row r="1269" spans="3:13" ht="12.75" customHeight="1" x14ac:dyDescent="0.2">
      <c r="C1269"/>
      <c r="M1269"/>
    </row>
    <row r="1270" spans="3:13" ht="12.75" customHeight="1" x14ac:dyDescent="0.2">
      <c r="C1270"/>
      <c r="M1270"/>
    </row>
    <row r="1271" spans="3:13" ht="12.75" customHeight="1" x14ac:dyDescent="0.2">
      <c r="C1271"/>
      <c r="M1271"/>
    </row>
    <row r="1272" spans="3:13" ht="12.75" customHeight="1" x14ac:dyDescent="0.2">
      <c r="C1272"/>
      <c r="M1272"/>
    </row>
    <row r="1273" spans="3:13" ht="12.75" customHeight="1" x14ac:dyDescent="0.2">
      <c r="C1273"/>
      <c r="M1273"/>
    </row>
    <row r="1274" spans="3:13" ht="12.75" customHeight="1" x14ac:dyDescent="0.2">
      <c r="C1274"/>
      <c r="M1274"/>
    </row>
    <row r="1275" spans="3:13" ht="12.75" customHeight="1" x14ac:dyDescent="0.2">
      <c r="C1275"/>
      <c r="M1275"/>
    </row>
    <row r="1276" spans="3:13" ht="12.75" customHeight="1" x14ac:dyDescent="0.2">
      <c r="C1276"/>
      <c r="M1276"/>
    </row>
    <row r="1277" spans="3:13" ht="12.75" customHeight="1" x14ac:dyDescent="0.2">
      <c r="C1277"/>
      <c r="M1277"/>
    </row>
    <row r="1278" spans="3:13" ht="12.75" customHeight="1" x14ac:dyDescent="0.2">
      <c r="C1278"/>
      <c r="M1278"/>
    </row>
    <row r="1279" spans="3:13" ht="12.75" customHeight="1" x14ac:dyDescent="0.2">
      <c r="C1279"/>
      <c r="M1279"/>
    </row>
    <row r="1280" spans="3:13" ht="12.75" customHeight="1" x14ac:dyDescent="0.2">
      <c r="C1280"/>
      <c r="M1280"/>
    </row>
    <row r="1281" spans="3:13" ht="12.75" customHeight="1" x14ac:dyDescent="0.2">
      <c r="C1281"/>
      <c r="M1281"/>
    </row>
    <row r="1282" spans="3:13" ht="12.75" customHeight="1" x14ac:dyDescent="0.2">
      <c r="C1282"/>
      <c r="M1282"/>
    </row>
    <row r="1283" spans="3:13" ht="12.75" customHeight="1" x14ac:dyDescent="0.2">
      <c r="C1283"/>
      <c r="M1283"/>
    </row>
    <row r="1284" spans="3:13" ht="12.75" customHeight="1" x14ac:dyDescent="0.2">
      <c r="C1284"/>
      <c r="M1284"/>
    </row>
    <row r="1285" spans="3:13" ht="12.75" customHeight="1" x14ac:dyDescent="0.2">
      <c r="C1285"/>
      <c r="M1285"/>
    </row>
    <row r="1286" spans="3:13" ht="12.75" customHeight="1" x14ac:dyDescent="0.2">
      <c r="C1286"/>
      <c r="M1286"/>
    </row>
    <row r="1287" spans="3:13" ht="12.75" customHeight="1" x14ac:dyDescent="0.2">
      <c r="C1287"/>
      <c r="M1287"/>
    </row>
    <row r="1288" spans="3:13" ht="12.75" customHeight="1" x14ac:dyDescent="0.2">
      <c r="C1288"/>
      <c r="M1288"/>
    </row>
    <row r="1289" spans="3:13" ht="12.75" customHeight="1" x14ac:dyDescent="0.2">
      <c r="C1289"/>
      <c r="M1289"/>
    </row>
    <row r="1290" spans="3:13" ht="12.75" customHeight="1" x14ac:dyDescent="0.2">
      <c r="C1290"/>
      <c r="M1290"/>
    </row>
    <row r="1291" spans="3:13" ht="12.75" customHeight="1" x14ac:dyDescent="0.2">
      <c r="C1291"/>
      <c r="M1291"/>
    </row>
    <row r="1292" spans="3:13" ht="12.75" customHeight="1" x14ac:dyDescent="0.2">
      <c r="C1292"/>
      <c r="M1292"/>
    </row>
    <row r="1293" spans="3:13" ht="12.75" customHeight="1" x14ac:dyDescent="0.2">
      <c r="C1293"/>
      <c r="M1293"/>
    </row>
    <row r="1294" spans="3:13" ht="12.75" customHeight="1" x14ac:dyDescent="0.2">
      <c r="C1294"/>
      <c r="M1294"/>
    </row>
    <row r="1295" spans="3:13" ht="12.75" customHeight="1" x14ac:dyDescent="0.2">
      <c r="C1295"/>
      <c r="M1295"/>
    </row>
    <row r="1296" spans="3:13" ht="12.75" customHeight="1" x14ac:dyDescent="0.2">
      <c r="C1296"/>
      <c r="M1296"/>
    </row>
    <row r="1297" spans="3:13" ht="12.75" customHeight="1" x14ac:dyDescent="0.2">
      <c r="C1297"/>
      <c r="M1297"/>
    </row>
    <row r="1298" spans="3:13" ht="12.75" customHeight="1" x14ac:dyDescent="0.2">
      <c r="C1298"/>
      <c r="M1298"/>
    </row>
    <row r="1299" spans="3:13" ht="12.75" customHeight="1" x14ac:dyDescent="0.2">
      <c r="C1299"/>
      <c r="M1299"/>
    </row>
    <row r="1300" spans="3:13" ht="12.75" customHeight="1" x14ac:dyDescent="0.2">
      <c r="C1300"/>
      <c r="M1300"/>
    </row>
    <row r="1301" spans="3:13" ht="12.75" customHeight="1" x14ac:dyDescent="0.2">
      <c r="C1301"/>
      <c r="M1301"/>
    </row>
    <row r="1302" spans="3:13" ht="12.75" customHeight="1" x14ac:dyDescent="0.2">
      <c r="C1302"/>
      <c r="M1302"/>
    </row>
    <row r="1303" spans="3:13" ht="12.75" customHeight="1" x14ac:dyDescent="0.2">
      <c r="C1303"/>
      <c r="M1303"/>
    </row>
    <row r="1304" spans="3:13" ht="12.75" customHeight="1" x14ac:dyDescent="0.2">
      <c r="C1304"/>
      <c r="M1304"/>
    </row>
    <row r="1305" spans="3:13" ht="12.75" customHeight="1" x14ac:dyDescent="0.2">
      <c r="C1305"/>
      <c r="M1305"/>
    </row>
    <row r="1306" spans="3:13" ht="12.75" customHeight="1" x14ac:dyDescent="0.2">
      <c r="C1306"/>
      <c r="M1306"/>
    </row>
    <row r="1307" spans="3:13" ht="12.75" customHeight="1" x14ac:dyDescent="0.2">
      <c r="C1307"/>
      <c r="M1307"/>
    </row>
    <row r="1308" spans="3:13" ht="12.75" customHeight="1" x14ac:dyDescent="0.2">
      <c r="C1308"/>
      <c r="M1308"/>
    </row>
    <row r="1309" spans="3:13" ht="12.75" customHeight="1" x14ac:dyDescent="0.2">
      <c r="C1309"/>
      <c r="M1309"/>
    </row>
    <row r="1310" spans="3:13" ht="12.75" customHeight="1" x14ac:dyDescent="0.2">
      <c r="C1310"/>
      <c r="M1310"/>
    </row>
    <row r="1311" spans="3:13" ht="12.75" customHeight="1" x14ac:dyDescent="0.2">
      <c r="C1311"/>
      <c r="M1311"/>
    </row>
    <row r="1312" spans="3:13" ht="12.75" customHeight="1" x14ac:dyDescent="0.2">
      <c r="C1312"/>
      <c r="M1312"/>
    </row>
    <row r="1313" spans="3:13" ht="12.75" customHeight="1" x14ac:dyDescent="0.2">
      <c r="C1313"/>
      <c r="M1313"/>
    </row>
    <row r="1314" spans="3:13" ht="12.75" customHeight="1" x14ac:dyDescent="0.2">
      <c r="C1314"/>
      <c r="M1314"/>
    </row>
    <row r="1315" spans="3:13" ht="12.75" customHeight="1" x14ac:dyDescent="0.2">
      <c r="C1315"/>
      <c r="M1315"/>
    </row>
    <row r="1316" spans="3:13" ht="12.75" customHeight="1" x14ac:dyDescent="0.2">
      <c r="C1316"/>
      <c r="M1316"/>
    </row>
    <row r="1317" spans="3:13" ht="12.75" customHeight="1" x14ac:dyDescent="0.2">
      <c r="C1317"/>
      <c r="M1317"/>
    </row>
    <row r="1318" spans="3:13" ht="12.75" customHeight="1" x14ac:dyDescent="0.2">
      <c r="C1318"/>
      <c r="M1318"/>
    </row>
    <row r="1319" spans="3:13" ht="12.75" customHeight="1" x14ac:dyDescent="0.2">
      <c r="C1319"/>
      <c r="M1319"/>
    </row>
    <row r="1320" spans="3:13" ht="12.75" customHeight="1" x14ac:dyDescent="0.2">
      <c r="C1320"/>
      <c r="M1320"/>
    </row>
    <row r="1321" spans="3:13" ht="12.75" customHeight="1" x14ac:dyDescent="0.2">
      <c r="C1321"/>
      <c r="M1321"/>
    </row>
    <row r="1322" spans="3:13" ht="12.75" customHeight="1" x14ac:dyDescent="0.2">
      <c r="C1322"/>
      <c r="M1322"/>
    </row>
    <row r="1323" spans="3:13" ht="12.75" customHeight="1" x14ac:dyDescent="0.2">
      <c r="C1323"/>
      <c r="M1323"/>
    </row>
    <row r="1324" spans="3:13" ht="12.75" customHeight="1" x14ac:dyDescent="0.2">
      <c r="C1324"/>
      <c r="M1324"/>
    </row>
    <row r="1325" spans="3:13" ht="12.75" customHeight="1" x14ac:dyDescent="0.2">
      <c r="C1325"/>
      <c r="M1325"/>
    </row>
    <row r="1326" spans="3:13" ht="12.75" customHeight="1" x14ac:dyDescent="0.2">
      <c r="C1326"/>
      <c r="M1326"/>
    </row>
    <row r="1327" spans="3:13" ht="12.75" customHeight="1" x14ac:dyDescent="0.2">
      <c r="C1327"/>
      <c r="M1327"/>
    </row>
    <row r="1328" spans="3:13" ht="12.75" customHeight="1" x14ac:dyDescent="0.2">
      <c r="C1328"/>
      <c r="M1328"/>
    </row>
    <row r="1329" spans="3:13" ht="12.75" customHeight="1" x14ac:dyDescent="0.2">
      <c r="C1329"/>
      <c r="M1329"/>
    </row>
    <row r="1330" spans="3:13" ht="12.75" customHeight="1" x14ac:dyDescent="0.2">
      <c r="C1330"/>
      <c r="M1330"/>
    </row>
    <row r="1331" spans="3:13" ht="12.75" customHeight="1" x14ac:dyDescent="0.2">
      <c r="C1331"/>
      <c r="M1331"/>
    </row>
    <row r="1332" spans="3:13" ht="12.75" customHeight="1" x14ac:dyDescent="0.2">
      <c r="C1332"/>
      <c r="M1332"/>
    </row>
    <row r="1333" spans="3:13" ht="12.75" customHeight="1" x14ac:dyDescent="0.2">
      <c r="C1333"/>
      <c r="M1333"/>
    </row>
    <row r="1334" spans="3:13" ht="12.75" customHeight="1" x14ac:dyDescent="0.2">
      <c r="C1334"/>
      <c r="M1334"/>
    </row>
    <row r="1335" spans="3:13" ht="12.75" customHeight="1" x14ac:dyDescent="0.2">
      <c r="C1335"/>
      <c r="M1335"/>
    </row>
    <row r="1336" spans="3:13" ht="12.75" customHeight="1" x14ac:dyDescent="0.2">
      <c r="C1336"/>
      <c r="M1336"/>
    </row>
    <row r="1337" spans="3:13" ht="12.75" customHeight="1" x14ac:dyDescent="0.2">
      <c r="C1337"/>
      <c r="M1337"/>
    </row>
    <row r="1338" spans="3:13" ht="12.75" customHeight="1" x14ac:dyDescent="0.2">
      <c r="C1338"/>
      <c r="M1338"/>
    </row>
    <row r="1339" spans="3:13" ht="12.75" customHeight="1" x14ac:dyDescent="0.2">
      <c r="C1339"/>
      <c r="M1339"/>
    </row>
    <row r="1340" spans="3:13" ht="12.75" customHeight="1" x14ac:dyDescent="0.2">
      <c r="C1340"/>
      <c r="M1340"/>
    </row>
    <row r="1341" spans="3:13" ht="12.75" customHeight="1" x14ac:dyDescent="0.2">
      <c r="C1341"/>
      <c r="M1341"/>
    </row>
    <row r="1342" spans="3:13" ht="12.75" customHeight="1" x14ac:dyDescent="0.2">
      <c r="C1342"/>
      <c r="M1342"/>
    </row>
    <row r="1343" spans="3:13" ht="12.75" customHeight="1" x14ac:dyDescent="0.2">
      <c r="C1343"/>
      <c r="M1343"/>
    </row>
    <row r="1344" spans="3:13" ht="12.75" customHeight="1" x14ac:dyDescent="0.2">
      <c r="C1344"/>
      <c r="M1344"/>
    </row>
    <row r="1345" spans="3:13" ht="12.75" customHeight="1" x14ac:dyDescent="0.2">
      <c r="C1345"/>
      <c r="M1345"/>
    </row>
    <row r="1346" spans="3:13" ht="12.75" customHeight="1" x14ac:dyDescent="0.2">
      <c r="C1346"/>
      <c r="M1346"/>
    </row>
    <row r="1347" spans="3:13" ht="12.75" customHeight="1" x14ac:dyDescent="0.2">
      <c r="C1347"/>
      <c r="M1347"/>
    </row>
    <row r="1348" spans="3:13" ht="12.75" customHeight="1" x14ac:dyDescent="0.2">
      <c r="C1348"/>
      <c r="M1348"/>
    </row>
    <row r="1349" spans="3:13" ht="12.75" customHeight="1" x14ac:dyDescent="0.2">
      <c r="C1349"/>
      <c r="M1349"/>
    </row>
    <row r="1350" spans="3:13" ht="12.75" customHeight="1" x14ac:dyDescent="0.2">
      <c r="C1350"/>
      <c r="M1350"/>
    </row>
    <row r="1351" spans="3:13" ht="12.75" customHeight="1" x14ac:dyDescent="0.2">
      <c r="C1351"/>
      <c r="M1351"/>
    </row>
    <row r="1352" spans="3:13" ht="12.75" customHeight="1" x14ac:dyDescent="0.2">
      <c r="C1352"/>
      <c r="M1352"/>
    </row>
    <row r="1353" spans="3:13" ht="12.75" customHeight="1" x14ac:dyDescent="0.2">
      <c r="C1353"/>
      <c r="M1353"/>
    </row>
    <row r="1354" spans="3:13" ht="12.75" customHeight="1" x14ac:dyDescent="0.2">
      <c r="C1354"/>
      <c r="M1354"/>
    </row>
    <row r="1355" spans="3:13" ht="12.75" customHeight="1" x14ac:dyDescent="0.2">
      <c r="C1355"/>
      <c r="M1355"/>
    </row>
    <row r="1356" spans="3:13" ht="12.75" customHeight="1" x14ac:dyDescent="0.2">
      <c r="C1356"/>
      <c r="M1356"/>
    </row>
    <row r="1357" spans="3:13" ht="12.75" customHeight="1" x14ac:dyDescent="0.2">
      <c r="C1357"/>
      <c r="M1357"/>
    </row>
    <row r="1358" spans="3:13" ht="12.75" customHeight="1" x14ac:dyDescent="0.2">
      <c r="C1358"/>
      <c r="M1358"/>
    </row>
    <row r="1359" spans="3:13" ht="12.75" customHeight="1" x14ac:dyDescent="0.2">
      <c r="C1359"/>
      <c r="M1359"/>
    </row>
    <row r="1360" spans="3:13" ht="12.75" customHeight="1" x14ac:dyDescent="0.2">
      <c r="C1360"/>
      <c r="M1360"/>
    </row>
    <row r="1361" spans="3:13" ht="12.75" customHeight="1" x14ac:dyDescent="0.2">
      <c r="C1361"/>
      <c r="M1361"/>
    </row>
    <row r="1362" spans="3:13" ht="12.75" customHeight="1" x14ac:dyDescent="0.2">
      <c r="C1362"/>
      <c r="M1362"/>
    </row>
    <row r="1363" spans="3:13" ht="12.75" customHeight="1" x14ac:dyDescent="0.2">
      <c r="C1363"/>
      <c r="M1363"/>
    </row>
    <row r="1364" spans="3:13" ht="12.75" customHeight="1" x14ac:dyDescent="0.2">
      <c r="C1364"/>
      <c r="M1364"/>
    </row>
    <row r="1365" spans="3:13" ht="12.75" customHeight="1" x14ac:dyDescent="0.2">
      <c r="C1365"/>
      <c r="M1365"/>
    </row>
    <row r="1366" spans="3:13" ht="12.75" customHeight="1" x14ac:dyDescent="0.2">
      <c r="C1366"/>
      <c r="M1366"/>
    </row>
    <row r="1367" spans="3:13" ht="12.75" customHeight="1" x14ac:dyDescent="0.2">
      <c r="C1367"/>
      <c r="M1367"/>
    </row>
    <row r="1368" spans="3:13" ht="12.75" customHeight="1" x14ac:dyDescent="0.2">
      <c r="C1368"/>
      <c r="M1368"/>
    </row>
    <row r="1369" spans="3:13" ht="12.75" customHeight="1" x14ac:dyDescent="0.2">
      <c r="C1369"/>
      <c r="M1369"/>
    </row>
    <row r="1370" spans="3:13" ht="12.75" customHeight="1" x14ac:dyDescent="0.2">
      <c r="C1370"/>
      <c r="M1370"/>
    </row>
    <row r="1371" spans="3:13" ht="12.75" customHeight="1" x14ac:dyDescent="0.2">
      <c r="C1371"/>
      <c r="M1371"/>
    </row>
    <row r="1372" spans="3:13" ht="12.75" customHeight="1" x14ac:dyDescent="0.2">
      <c r="C1372"/>
      <c r="M1372"/>
    </row>
    <row r="1373" spans="3:13" ht="12.75" customHeight="1" x14ac:dyDescent="0.2">
      <c r="C1373"/>
      <c r="M1373"/>
    </row>
    <row r="1374" spans="3:13" ht="12.75" customHeight="1" x14ac:dyDescent="0.2">
      <c r="C1374"/>
      <c r="M1374"/>
    </row>
    <row r="1375" spans="3:13" ht="12.75" customHeight="1" x14ac:dyDescent="0.2">
      <c r="C1375"/>
      <c r="M1375"/>
    </row>
    <row r="1376" spans="3:13" ht="12.75" customHeight="1" x14ac:dyDescent="0.2">
      <c r="C1376"/>
      <c r="M1376"/>
    </row>
    <row r="1377" spans="3:13" ht="12.75" customHeight="1" x14ac:dyDescent="0.2">
      <c r="C1377"/>
      <c r="M1377"/>
    </row>
    <row r="1378" spans="3:13" ht="12.75" customHeight="1" x14ac:dyDescent="0.2">
      <c r="C1378"/>
      <c r="M1378"/>
    </row>
    <row r="1379" spans="3:13" ht="12.75" customHeight="1" x14ac:dyDescent="0.2">
      <c r="C1379"/>
      <c r="M1379"/>
    </row>
    <row r="1380" spans="3:13" ht="12.75" customHeight="1" x14ac:dyDescent="0.2">
      <c r="C1380"/>
      <c r="M1380"/>
    </row>
    <row r="1381" spans="3:13" ht="12.75" customHeight="1" x14ac:dyDescent="0.2">
      <c r="C1381"/>
      <c r="M1381"/>
    </row>
    <row r="1382" spans="3:13" ht="12.75" customHeight="1" x14ac:dyDescent="0.2">
      <c r="C1382"/>
      <c r="M1382"/>
    </row>
    <row r="1383" spans="3:13" ht="12.75" customHeight="1" x14ac:dyDescent="0.2">
      <c r="C1383"/>
      <c r="M1383"/>
    </row>
    <row r="1384" spans="3:13" ht="12.75" customHeight="1" x14ac:dyDescent="0.2">
      <c r="C1384"/>
      <c r="M1384"/>
    </row>
    <row r="1385" spans="3:13" ht="12.75" customHeight="1" x14ac:dyDescent="0.2">
      <c r="C1385"/>
      <c r="M1385"/>
    </row>
    <row r="1386" spans="3:13" ht="12.75" customHeight="1" x14ac:dyDescent="0.2">
      <c r="C1386"/>
      <c r="M1386"/>
    </row>
    <row r="1387" spans="3:13" ht="12.75" customHeight="1" x14ac:dyDescent="0.2">
      <c r="C1387"/>
      <c r="M1387"/>
    </row>
    <row r="1388" spans="3:13" ht="12.75" customHeight="1" x14ac:dyDescent="0.2">
      <c r="C1388"/>
      <c r="M1388"/>
    </row>
    <row r="1389" spans="3:13" ht="12.75" customHeight="1" x14ac:dyDescent="0.2">
      <c r="C1389"/>
      <c r="M1389"/>
    </row>
    <row r="1390" spans="3:13" ht="12.75" customHeight="1" x14ac:dyDescent="0.2">
      <c r="C1390"/>
      <c r="M1390"/>
    </row>
    <row r="1391" spans="3:13" ht="12.75" customHeight="1" x14ac:dyDescent="0.2">
      <c r="C1391"/>
      <c r="M1391"/>
    </row>
    <row r="1392" spans="3:13" ht="12.75" customHeight="1" x14ac:dyDescent="0.2">
      <c r="C1392"/>
      <c r="M1392"/>
    </row>
    <row r="1393" spans="3:13" ht="12.75" customHeight="1" x14ac:dyDescent="0.2">
      <c r="C1393"/>
      <c r="M1393"/>
    </row>
    <row r="1394" spans="3:13" ht="12.75" customHeight="1" x14ac:dyDescent="0.2">
      <c r="C1394"/>
      <c r="M1394"/>
    </row>
    <row r="1395" spans="3:13" ht="12.75" customHeight="1" x14ac:dyDescent="0.2">
      <c r="C1395"/>
      <c r="M1395"/>
    </row>
    <row r="1396" spans="3:13" ht="12.75" customHeight="1" x14ac:dyDescent="0.2">
      <c r="C1396"/>
      <c r="M1396"/>
    </row>
    <row r="1397" spans="3:13" ht="12.75" customHeight="1" x14ac:dyDescent="0.2">
      <c r="C1397"/>
      <c r="M1397"/>
    </row>
    <row r="1398" spans="3:13" ht="12.75" customHeight="1" x14ac:dyDescent="0.2">
      <c r="C1398"/>
      <c r="M1398"/>
    </row>
    <row r="1399" spans="3:13" ht="12.75" customHeight="1" x14ac:dyDescent="0.2">
      <c r="C1399"/>
      <c r="M1399"/>
    </row>
    <row r="1400" spans="3:13" ht="12.75" customHeight="1" x14ac:dyDescent="0.2">
      <c r="C1400"/>
      <c r="M1400"/>
    </row>
    <row r="1401" spans="3:13" ht="12.75" customHeight="1" x14ac:dyDescent="0.2">
      <c r="C1401"/>
      <c r="M1401"/>
    </row>
    <row r="1402" spans="3:13" ht="12.75" customHeight="1" x14ac:dyDescent="0.2">
      <c r="C1402"/>
      <c r="M1402"/>
    </row>
    <row r="1403" spans="3:13" ht="12.75" customHeight="1" x14ac:dyDescent="0.2">
      <c r="C1403"/>
      <c r="M1403"/>
    </row>
    <row r="1404" spans="3:13" ht="12.75" customHeight="1" x14ac:dyDescent="0.2">
      <c r="C1404"/>
      <c r="M1404"/>
    </row>
    <row r="1405" spans="3:13" ht="12.75" customHeight="1" x14ac:dyDescent="0.2">
      <c r="C1405"/>
      <c r="M1405"/>
    </row>
    <row r="1406" spans="3:13" ht="12.75" customHeight="1" x14ac:dyDescent="0.2">
      <c r="C1406"/>
      <c r="M1406"/>
    </row>
    <row r="1407" spans="3:13" ht="12.75" customHeight="1" x14ac:dyDescent="0.2">
      <c r="C1407"/>
      <c r="M1407"/>
    </row>
    <row r="1408" spans="3:13" ht="12.75" customHeight="1" x14ac:dyDescent="0.2">
      <c r="C1408"/>
      <c r="M1408"/>
    </row>
    <row r="1409" spans="3:13" ht="12.75" customHeight="1" x14ac:dyDescent="0.2">
      <c r="C1409"/>
      <c r="M1409"/>
    </row>
    <row r="1410" spans="3:13" ht="12.75" customHeight="1" x14ac:dyDescent="0.2">
      <c r="C1410"/>
      <c r="M1410"/>
    </row>
    <row r="1411" spans="3:13" ht="12.75" customHeight="1" x14ac:dyDescent="0.2">
      <c r="C1411"/>
      <c r="M1411"/>
    </row>
    <row r="1412" spans="3:13" ht="12.75" customHeight="1" x14ac:dyDescent="0.2">
      <c r="C1412"/>
      <c r="M1412"/>
    </row>
    <row r="1413" spans="3:13" ht="12.75" customHeight="1" x14ac:dyDescent="0.2">
      <c r="C1413"/>
      <c r="M1413"/>
    </row>
    <row r="1414" spans="3:13" ht="12.75" customHeight="1" x14ac:dyDescent="0.2">
      <c r="C1414"/>
      <c r="M1414"/>
    </row>
    <row r="1415" spans="3:13" ht="12.75" customHeight="1" x14ac:dyDescent="0.2">
      <c r="C1415"/>
      <c r="M1415"/>
    </row>
    <row r="1416" spans="3:13" ht="12.75" customHeight="1" x14ac:dyDescent="0.2">
      <c r="C1416"/>
      <c r="M1416"/>
    </row>
    <row r="1417" spans="3:13" ht="12.75" customHeight="1" x14ac:dyDescent="0.2">
      <c r="C1417"/>
      <c r="M1417"/>
    </row>
    <row r="1418" spans="3:13" ht="12.75" customHeight="1" x14ac:dyDescent="0.2">
      <c r="C1418"/>
      <c r="M1418"/>
    </row>
    <row r="1419" spans="3:13" ht="12.75" customHeight="1" x14ac:dyDescent="0.2">
      <c r="C1419"/>
      <c r="M1419"/>
    </row>
    <row r="1420" spans="3:13" ht="12.75" customHeight="1" x14ac:dyDescent="0.2">
      <c r="C1420"/>
      <c r="M1420"/>
    </row>
    <row r="1421" spans="3:13" ht="12.75" customHeight="1" x14ac:dyDescent="0.2">
      <c r="C1421"/>
      <c r="M1421"/>
    </row>
    <row r="1422" spans="3:13" ht="12.75" customHeight="1" x14ac:dyDescent="0.2">
      <c r="C1422"/>
      <c r="M1422"/>
    </row>
    <row r="1423" spans="3:13" ht="12.75" customHeight="1" x14ac:dyDescent="0.2">
      <c r="C1423"/>
      <c r="M1423"/>
    </row>
    <row r="1424" spans="3:13" ht="12.75" customHeight="1" x14ac:dyDescent="0.2">
      <c r="C1424"/>
      <c r="M1424"/>
    </row>
    <row r="1425" spans="3:13" ht="12.75" customHeight="1" x14ac:dyDescent="0.2">
      <c r="C1425"/>
      <c r="M1425"/>
    </row>
    <row r="1426" spans="3:13" ht="12.75" customHeight="1" x14ac:dyDescent="0.2">
      <c r="C1426"/>
      <c r="M1426"/>
    </row>
    <row r="1427" spans="3:13" ht="12.75" customHeight="1" x14ac:dyDescent="0.2">
      <c r="C1427"/>
      <c r="M1427"/>
    </row>
    <row r="1428" spans="3:13" ht="12.75" customHeight="1" x14ac:dyDescent="0.2">
      <c r="C1428"/>
      <c r="M1428"/>
    </row>
    <row r="1429" spans="3:13" ht="12.75" customHeight="1" x14ac:dyDescent="0.2">
      <c r="C1429"/>
      <c r="M1429"/>
    </row>
    <row r="1430" spans="3:13" ht="12.75" customHeight="1" x14ac:dyDescent="0.2">
      <c r="C1430"/>
      <c r="M1430"/>
    </row>
    <row r="1431" spans="3:13" ht="12.75" customHeight="1" x14ac:dyDescent="0.2">
      <c r="C1431"/>
      <c r="M1431"/>
    </row>
    <row r="1432" spans="3:13" ht="12.75" customHeight="1" x14ac:dyDescent="0.2">
      <c r="C1432"/>
      <c r="M1432"/>
    </row>
    <row r="1433" spans="3:13" ht="12.75" customHeight="1" x14ac:dyDescent="0.2">
      <c r="C1433"/>
      <c r="M1433"/>
    </row>
    <row r="1434" spans="3:13" ht="12.75" customHeight="1" x14ac:dyDescent="0.2">
      <c r="C1434"/>
      <c r="M1434"/>
    </row>
    <row r="1435" spans="3:13" ht="12.75" customHeight="1" x14ac:dyDescent="0.2">
      <c r="C1435"/>
      <c r="M1435"/>
    </row>
    <row r="1436" spans="3:13" ht="12.75" customHeight="1" x14ac:dyDescent="0.2">
      <c r="C1436"/>
      <c r="M1436"/>
    </row>
    <row r="1437" spans="3:13" ht="12.75" customHeight="1" x14ac:dyDescent="0.2">
      <c r="C1437"/>
      <c r="M1437"/>
    </row>
    <row r="1438" spans="3:13" ht="12.75" customHeight="1" x14ac:dyDescent="0.2">
      <c r="C1438"/>
      <c r="M1438"/>
    </row>
    <row r="1439" spans="3:13" ht="12.75" customHeight="1" x14ac:dyDescent="0.2">
      <c r="C1439"/>
      <c r="M1439"/>
    </row>
    <row r="1440" spans="3:13" ht="12.75" customHeight="1" x14ac:dyDescent="0.2">
      <c r="C1440"/>
      <c r="M1440"/>
    </row>
    <row r="1441" spans="3:13" ht="12.75" customHeight="1" x14ac:dyDescent="0.2">
      <c r="C1441"/>
      <c r="M1441"/>
    </row>
    <row r="1442" spans="3:13" ht="12.75" customHeight="1" x14ac:dyDescent="0.2">
      <c r="C1442"/>
      <c r="M1442"/>
    </row>
    <row r="1443" spans="3:13" ht="12.75" customHeight="1" x14ac:dyDescent="0.2">
      <c r="C1443"/>
      <c r="M1443"/>
    </row>
    <row r="1444" spans="3:13" ht="12.75" customHeight="1" x14ac:dyDescent="0.2">
      <c r="C1444"/>
      <c r="M1444"/>
    </row>
    <row r="1445" spans="3:13" ht="12.75" customHeight="1" x14ac:dyDescent="0.2">
      <c r="C1445"/>
      <c r="M1445"/>
    </row>
    <row r="1446" spans="3:13" ht="12.75" customHeight="1" x14ac:dyDescent="0.2">
      <c r="C1446"/>
      <c r="M1446"/>
    </row>
    <row r="1447" spans="3:13" ht="12.75" customHeight="1" x14ac:dyDescent="0.2">
      <c r="C1447"/>
      <c r="M1447"/>
    </row>
    <row r="1448" spans="3:13" ht="12.75" customHeight="1" x14ac:dyDescent="0.2">
      <c r="C1448"/>
      <c r="M1448"/>
    </row>
    <row r="1449" spans="3:13" ht="12.75" customHeight="1" x14ac:dyDescent="0.2">
      <c r="C1449"/>
      <c r="M1449"/>
    </row>
    <row r="1450" spans="3:13" ht="12.75" customHeight="1" x14ac:dyDescent="0.2">
      <c r="C1450"/>
      <c r="M1450"/>
    </row>
    <row r="1451" spans="3:13" ht="12.75" customHeight="1" x14ac:dyDescent="0.2">
      <c r="C1451"/>
      <c r="M1451"/>
    </row>
    <row r="1452" spans="3:13" ht="12.75" customHeight="1" x14ac:dyDescent="0.2">
      <c r="C1452"/>
      <c r="M1452"/>
    </row>
    <row r="1453" spans="3:13" ht="12.75" customHeight="1" x14ac:dyDescent="0.2">
      <c r="C1453"/>
      <c r="M1453"/>
    </row>
    <row r="1454" spans="3:13" ht="12.75" customHeight="1" x14ac:dyDescent="0.2">
      <c r="C1454"/>
      <c r="M1454"/>
    </row>
    <row r="1455" spans="3:13" ht="12.75" customHeight="1" x14ac:dyDescent="0.2">
      <c r="C1455"/>
      <c r="M1455"/>
    </row>
    <row r="1456" spans="3:13" ht="12.75" customHeight="1" x14ac:dyDescent="0.2">
      <c r="C1456"/>
      <c r="M1456"/>
    </row>
    <row r="1457" spans="3:13" ht="12.75" customHeight="1" x14ac:dyDescent="0.2">
      <c r="C1457"/>
      <c r="M1457"/>
    </row>
    <row r="1458" spans="3:13" ht="12.75" customHeight="1" x14ac:dyDescent="0.2">
      <c r="C1458"/>
      <c r="M1458"/>
    </row>
    <row r="1459" spans="3:13" ht="12.75" customHeight="1" x14ac:dyDescent="0.2">
      <c r="C1459"/>
      <c r="M1459"/>
    </row>
    <row r="1460" spans="3:13" ht="12.75" customHeight="1" x14ac:dyDescent="0.2">
      <c r="C1460"/>
      <c r="M1460"/>
    </row>
    <row r="1461" spans="3:13" ht="12.75" customHeight="1" x14ac:dyDescent="0.2">
      <c r="C1461"/>
      <c r="M1461"/>
    </row>
    <row r="1462" spans="3:13" ht="12.75" customHeight="1" x14ac:dyDescent="0.2">
      <c r="C1462"/>
      <c r="M1462"/>
    </row>
    <row r="1463" spans="3:13" ht="12.75" customHeight="1" x14ac:dyDescent="0.2">
      <c r="C1463"/>
      <c r="M1463"/>
    </row>
    <row r="1464" spans="3:13" ht="12.75" customHeight="1" x14ac:dyDescent="0.2">
      <c r="C1464"/>
      <c r="M1464"/>
    </row>
    <row r="1465" spans="3:13" ht="12.75" customHeight="1" x14ac:dyDescent="0.2">
      <c r="C1465"/>
      <c r="M1465"/>
    </row>
    <row r="1466" spans="3:13" ht="12.75" customHeight="1" x14ac:dyDescent="0.2">
      <c r="C1466"/>
      <c r="M1466"/>
    </row>
    <row r="1467" spans="3:13" ht="12.75" customHeight="1" x14ac:dyDescent="0.2">
      <c r="C1467"/>
      <c r="M1467"/>
    </row>
    <row r="1468" spans="3:13" ht="12.75" customHeight="1" x14ac:dyDescent="0.2">
      <c r="C1468"/>
      <c r="M1468"/>
    </row>
    <row r="1469" spans="3:13" ht="12.75" customHeight="1" x14ac:dyDescent="0.2">
      <c r="C1469"/>
      <c r="M1469"/>
    </row>
    <row r="1470" spans="3:13" ht="12.75" customHeight="1" x14ac:dyDescent="0.2">
      <c r="C1470"/>
      <c r="M1470"/>
    </row>
    <row r="1471" spans="3:13" ht="12.75" customHeight="1" x14ac:dyDescent="0.2">
      <c r="C1471"/>
      <c r="M1471"/>
    </row>
    <row r="1472" spans="3:13" ht="12.75" customHeight="1" x14ac:dyDescent="0.2">
      <c r="C1472"/>
      <c r="M1472"/>
    </row>
    <row r="1473" spans="3:13" ht="12.75" customHeight="1" x14ac:dyDescent="0.2">
      <c r="C1473"/>
      <c r="M1473"/>
    </row>
    <row r="1474" spans="3:13" ht="12.75" customHeight="1" x14ac:dyDescent="0.2">
      <c r="C1474"/>
      <c r="M1474"/>
    </row>
    <row r="1475" spans="3:13" ht="12.75" customHeight="1" x14ac:dyDescent="0.2">
      <c r="C1475"/>
      <c r="M1475"/>
    </row>
    <row r="1476" spans="3:13" ht="12.75" customHeight="1" x14ac:dyDescent="0.2">
      <c r="C1476"/>
      <c r="M1476"/>
    </row>
    <row r="1477" spans="3:13" ht="12.75" customHeight="1" x14ac:dyDescent="0.2">
      <c r="C1477"/>
      <c r="M1477"/>
    </row>
    <row r="1478" spans="3:13" ht="12.75" customHeight="1" x14ac:dyDescent="0.2">
      <c r="C1478"/>
      <c r="M1478"/>
    </row>
    <row r="1479" spans="3:13" ht="12.75" customHeight="1" x14ac:dyDescent="0.2">
      <c r="C1479"/>
      <c r="M1479"/>
    </row>
    <row r="1480" spans="3:13" ht="12.75" customHeight="1" x14ac:dyDescent="0.2">
      <c r="C1480"/>
      <c r="M1480"/>
    </row>
    <row r="1481" spans="3:13" ht="12.75" customHeight="1" x14ac:dyDescent="0.2">
      <c r="C1481"/>
      <c r="M1481"/>
    </row>
    <row r="1482" spans="3:13" ht="12.75" customHeight="1" x14ac:dyDescent="0.2">
      <c r="C1482"/>
      <c r="M1482"/>
    </row>
    <row r="1483" spans="3:13" ht="12.75" customHeight="1" x14ac:dyDescent="0.2">
      <c r="C1483"/>
      <c r="M1483"/>
    </row>
    <row r="1484" spans="3:13" ht="12.75" customHeight="1" x14ac:dyDescent="0.2">
      <c r="C1484"/>
      <c r="M1484"/>
    </row>
    <row r="1485" spans="3:13" ht="12.75" customHeight="1" x14ac:dyDescent="0.2">
      <c r="C1485"/>
      <c r="M1485"/>
    </row>
    <row r="1486" spans="3:13" ht="12.75" customHeight="1" x14ac:dyDescent="0.2">
      <c r="C1486"/>
      <c r="M1486"/>
    </row>
    <row r="1487" spans="3:13" ht="12.75" customHeight="1" x14ac:dyDescent="0.2">
      <c r="C1487"/>
      <c r="M1487"/>
    </row>
    <row r="1488" spans="3:13" ht="12.75" customHeight="1" x14ac:dyDescent="0.2">
      <c r="C1488"/>
      <c r="M1488"/>
    </row>
    <row r="1489" spans="3:13" ht="12.75" customHeight="1" x14ac:dyDescent="0.2">
      <c r="C1489"/>
      <c r="M1489"/>
    </row>
    <row r="1490" spans="3:13" ht="12.75" customHeight="1" x14ac:dyDescent="0.2">
      <c r="C1490"/>
      <c r="M1490"/>
    </row>
    <row r="1491" spans="3:13" ht="12.75" customHeight="1" x14ac:dyDescent="0.2">
      <c r="C1491"/>
      <c r="M1491"/>
    </row>
    <row r="1492" spans="3:13" ht="12.75" customHeight="1" x14ac:dyDescent="0.2">
      <c r="C1492"/>
      <c r="M1492"/>
    </row>
    <row r="1493" spans="3:13" ht="12.75" customHeight="1" x14ac:dyDescent="0.2">
      <c r="C1493"/>
      <c r="M1493"/>
    </row>
    <row r="1494" spans="3:13" ht="12.75" customHeight="1" x14ac:dyDescent="0.2">
      <c r="C1494"/>
      <c r="M1494"/>
    </row>
    <row r="1495" spans="3:13" ht="12.75" customHeight="1" x14ac:dyDescent="0.2">
      <c r="C1495"/>
      <c r="M1495"/>
    </row>
    <row r="1496" spans="3:13" ht="12.75" customHeight="1" x14ac:dyDescent="0.2">
      <c r="C1496"/>
      <c r="M1496"/>
    </row>
    <row r="1497" spans="3:13" ht="12.75" customHeight="1" x14ac:dyDescent="0.2">
      <c r="C1497"/>
      <c r="M1497"/>
    </row>
    <row r="1498" spans="3:13" ht="12.75" customHeight="1" x14ac:dyDescent="0.2">
      <c r="C1498"/>
      <c r="M1498"/>
    </row>
    <row r="1499" spans="3:13" ht="12.75" customHeight="1" x14ac:dyDescent="0.2">
      <c r="C1499"/>
      <c r="M1499"/>
    </row>
    <row r="1500" spans="3:13" ht="12.75" customHeight="1" x14ac:dyDescent="0.2">
      <c r="C1500"/>
      <c r="M1500"/>
    </row>
    <row r="1501" spans="3:13" ht="12.75" customHeight="1" x14ac:dyDescent="0.2">
      <c r="C1501"/>
      <c r="M1501"/>
    </row>
    <row r="1502" spans="3:13" ht="12.75" customHeight="1" x14ac:dyDescent="0.2">
      <c r="C1502"/>
      <c r="M1502"/>
    </row>
    <row r="1503" spans="3:13" ht="12.75" customHeight="1" x14ac:dyDescent="0.2">
      <c r="C1503"/>
      <c r="M1503"/>
    </row>
    <row r="1504" spans="3:13" ht="12.75" customHeight="1" x14ac:dyDescent="0.2">
      <c r="C1504"/>
      <c r="M1504"/>
    </row>
    <row r="1505" spans="3:13" ht="12.75" customHeight="1" x14ac:dyDescent="0.2">
      <c r="C1505"/>
      <c r="M1505"/>
    </row>
    <row r="1506" spans="3:13" ht="12.75" customHeight="1" x14ac:dyDescent="0.2">
      <c r="C1506"/>
      <c r="M1506"/>
    </row>
    <row r="1507" spans="3:13" ht="12.75" customHeight="1" x14ac:dyDescent="0.2">
      <c r="C1507"/>
      <c r="M1507"/>
    </row>
    <row r="1508" spans="3:13" ht="12.75" customHeight="1" x14ac:dyDescent="0.2">
      <c r="C1508"/>
      <c r="M1508"/>
    </row>
    <row r="1509" spans="3:13" ht="12.75" customHeight="1" x14ac:dyDescent="0.2">
      <c r="C1509"/>
      <c r="M1509"/>
    </row>
    <row r="1510" spans="3:13" ht="12.75" customHeight="1" x14ac:dyDescent="0.2">
      <c r="C1510"/>
      <c r="M1510"/>
    </row>
    <row r="1511" spans="3:13" ht="12.75" customHeight="1" x14ac:dyDescent="0.2">
      <c r="C1511"/>
      <c r="M1511"/>
    </row>
    <row r="1512" spans="3:13" ht="12.75" customHeight="1" x14ac:dyDescent="0.2">
      <c r="C1512"/>
      <c r="M1512"/>
    </row>
    <row r="1513" spans="3:13" ht="12.75" customHeight="1" x14ac:dyDescent="0.2">
      <c r="C1513"/>
      <c r="M1513"/>
    </row>
    <row r="1514" spans="3:13" ht="12.75" customHeight="1" x14ac:dyDescent="0.2">
      <c r="C1514"/>
      <c r="M1514"/>
    </row>
    <row r="1515" spans="3:13" ht="12.75" customHeight="1" x14ac:dyDescent="0.2">
      <c r="C1515"/>
      <c r="M1515"/>
    </row>
    <row r="1516" spans="3:13" ht="12.75" customHeight="1" x14ac:dyDescent="0.2">
      <c r="C1516"/>
      <c r="M1516"/>
    </row>
    <row r="1517" spans="3:13" ht="12.75" customHeight="1" x14ac:dyDescent="0.2">
      <c r="C1517"/>
      <c r="M1517"/>
    </row>
    <row r="1518" spans="3:13" ht="12.75" customHeight="1" x14ac:dyDescent="0.2">
      <c r="C1518"/>
      <c r="M1518"/>
    </row>
    <row r="1519" spans="3:13" ht="12.75" customHeight="1" x14ac:dyDescent="0.2">
      <c r="C1519"/>
      <c r="M1519"/>
    </row>
    <row r="1520" spans="3:13" ht="12.75" customHeight="1" x14ac:dyDescent="0.2">
      <c r="C1520"/>
      <c r="M1520"/>
    </row>
    <row r="1521" spans="3:13" ht="12.75" customHeight="1" x14ac:dyDescent="0.2">
      <c r="C1521"/>
      <c r="M1521"/>
    </row>
    <row r="1522" spans="3:13" ht="12.75" customHeight="1" x14ac:dyDescent="0.2">
      <c r="C1522"/>
      <c r="M1522"/>
    </row>
    <row r="1523" spans="3:13" ht="12.75" customHeight="1" x14ac:dyDescent="0.2">
      <c r="C1523"/>
      <c r="M1523"/>
    </row>
    <row r="1524" spans="3:13" ht="12.75" customHeight="1" x14ac:dyDescent="0.2">
      <c r="C1524"/>
      <c r="M1524"/>
    </row>
    <row r="1525" spans="3:13" ht="12.75" customHeight="1" x14ac:dyDescent="0.2">
      <c r="C1525"/>
      <c r="M1525"/>
    </row>
    <row r="1526" spans="3:13" ht="12.75" customHeight="1" x14ac:dyDescent="0.2">
      <c r="C1526"/>
      <c r="M1526"/>
    </row>
    <row r="1527" spans="3:13" ht="12.75" customHeight="1" x14ac:dyDescent="0.2">
      <c r="C1527"/>
      <c r="M1527"/>
    </row>
    <row r="1528" spans="3:13" ht="12.75" customHeight="1" x14ac:dyDescent="0.2">
      <c r="C1528"/>
      <c r="M1528"/>
    </row>
    <row r="1529" spans="3:13" ht="12.75" customHeight="1" x14ac:dyDescent="0.2">
      <c r="C1529"/>
      <c r="M1529"/>
    </row>
    <row r="1530" spans="3:13" ht="12.75" customHeight="1" x14ac:dyDescent="0.2">
      <c r="C1530"/>
      <c r="M1530"/>
    </row>
    <row r="1531" spans="3:13" ht="12.75" customHeight="1" x14ac:dyDescent="0.2">
      <c r="C1531"/>
      <c r="M1531"/>
    </row>
    <row r="1532" spans="3:13" ht="12.75" customHeight="1" x14ac:dyDescent="0.2">
      <c r="C1532"/>
      <c r="M1532"/>
    </row>
    <row r="1533" spans="3:13" ht="12.75" customHeight="1" x14ac:dyDescent="0.2">
      <c r="C1533"/>
      <c r="M1533"/>
    </row>
    <row r="1534" spans="3:13" ht="12.75" customHeight="1" x14ac:dyDescent="0.2">
      <c r="C1534"/>
      <c r="M1534"/>
    </row>
    <row r="1535" spans="3:13" ht="12.75" customHeight="1" x14ac:dyDescent="0.2">
      <c r="C1535"/>
      <c r="M1535"/>
    </row>
    <row r="1536" spans="3:13" ht="12.75" customHeight="1" x14ac:dyDescent="0.2">
      <c r="C1536"/>
      <c r="M1536"/>
    </row>
    <row r="1537" spans="3:13" ht="12.75" customHeight="1" x14ac:dyDescent="0.2">
      <c r="C1537"/>
      <c r="M1537"/>
    </row>
    <row r="1538" spans="3:13" ht="12.75" customHeight="1" x14ac:dyDescent="0.2">
      <c r="C1538"/>
      <c r="M1538"/>
    </row>
    <row r="1539" spans="3:13" ht="12.75" customHeight="1" x14ac:dyDescent="0.2">
      <c r="C1539"/>
      <c r="M1539"/>
    </row>
    <row r="1540" spans="3:13" ht="12.75" customHeight="1" x14ac:dyDescent="0.2">
      <c r="C1540"/>
      <c r="M1540"/>
    </row>
    <row r="1541" spans="3:13" ht="12.75" customHeight="1" x14ac:dyDescent="0.2">
      <c r="C1541"/>
      <c r="M1541"/>
    </row>
    <row r="1542" spans="3:13" ht="12.75" customHeight="1" x14ac:dyDescent="0.2">
      <c r="C1542"/>
      <c r="M1542"/>
    </row>
    <row r="1543" spans="3:13" ht="12.75" customHeight="1" x14ac:dyDescent="0.2">
      <c r="C1543"/>
      <c r="M1543"/>
    </row>
    <row r="1544" spans="3:13" ht="12.75" customHeight="1" x14ac:dyDescent="0.2">
      <c r="C1544"/>
      <c r="M1544"/>
    </row>
    <row r="1545" spans="3:13" ht="12.75" customHeight="1" x14ac:dyDescent="0.2">
      <c r="C1545"/>
      <c r="M1545"/>
    </row>
    <row r="1546" spans="3:13" ht="12.75" customHeight="1" x14ac:dyDescent="0.2">
      <c r="C1546"/>
      <c r="M1546"/>
    </row>
    <row r="1547" spans="3:13" ht="12.75" customHeight="1" x14ac:dyDescent="0.2">
      <c r="C1547"/>
      <c r="M1547"/>
    </row>
    <row r="1548" spans="3:13" ht="12.75" customHeight="1" x14ac:dyDescent="0.2">
      <c r="C1548"/>
      <c r="M1548"/>
    </row>
    <row r="1549" spans="3:13" ht="12.75" customHeight="1" x14ac:dyDescent="0.2">
      <c r="C1549"/>
      <c r="M1549"/>
    </row>
    <row r="1550" spans="3:13" ht="12.75" customHeight="1" x14ac:dyDescent="0.2">
      <c r="C1550"/>
      <c r="M1550"/>
    </row>
    <row r="1551" spans="3:13" ht="12.75" customHeight="1" x14ac:dyDescent="0.2">
      <c r="C1551"/>
      <c r="M1551"/>
    </row>
    <row r="1552" spans="3:13" ht="12.75" customHeight="1" x14ac:dyDescent="0.2">
      <c r="C1552"/>
      <c r="M1552"/>
    </row>
    <row r="1553" spans="3:13" ht="12.75" customHeight="1" x14ac:dyDescent="0.2">
      <c r="C1553"/>
      <c r="M1553"/>
    </row>
    <row r="1554" spans="3:13" ht="12.75" customHeight="1" x14ac:dyDescent="0.2">
      <c r="C1554"/>
      <c r="M1554"/>
    </row>
    <row r="1555" spans="3:13" ht="12.75" customHeight="1" x14ac:dyDescent="0.2">
      <c r="C1555"/>
      <c r="M1555"/>
    </row>
    <row r="1556" spans="3:13" ht="12.75" customHeight="1" x14ac:dyDescent="0.2">
      <c r="C1556"/>
      <c r="M1556"/>
    </row>
    <row r="1557" spans="3:13" ht="12.75" customHeight="1" x14ac:dyDescent="0.2">
      <c r="C1557"/>
      <c r="M1557"/>
    </row>
    <row r="1558" spans="3:13" ht="12.75" customHeight="1" x14ac:dyDescent="0.2">
      <c r="C1558"/>
      <c r="M1558"/>
    </row>
    <row r="1559" spans="3:13" ht="12.75" customHeight="1" x14ac:dyDescent="0.2">
      <c r="C1559"/>
      <c r="M1559"/>
    </row>
    <row r="1560" spans="3:13" ht="12.75" customHeight="1" x14ac:dyDescent="0.2">
      <c r="C1560"/>
      <c r="M1560"/>
    </row>
    <row r="1561" spans="3:13" ht="12.75" customHeight="1" x14ac:dyDescent="0.2">
      <c r="C1561"/>
      <c r="M1561"/>
    </row>
    <row r="1562" spans="3:13" ht="12.75" customHeight="1" x14ac:dyDescent="0.2">
      <c r="C1562"/>
      <c r="M1562"/>
    </row>
    <row r="1563" spans="3:13" ht="12.75" customHeight="1" x14ac:dyDescent="0.2">
      <c r="C1563"/>
      <c r="M1563"/>
    </row>
    <row r="1564" spans="3:13" ht="12.75" customHeight="1" x14ac:dyDescent="0.2">
      <c r="C1564"/>
      <c r="M1564"/>
    </row>
    <row r="1565" spans="3:13" ht="12.75" customHeight="1" x14ac:dyDescent="0.2">
      <c r="C1565"/>
      <c r="M1565"/>
    </row>
    <row r="1566" spans="3:13" ht="12.75" customHeight="1" x14ac:dyDescent="0.2">
      <c r="C1566"/>
      <c r="M1566"/>
    </row>
    <row r="1567" spans="3:13" ht="12.75" customHeight="1" x14ac:dyDescent="0.2">
      <c r="C1567"/>
      <c r="M1567"/>
    </row>
    <row r="1568" spans="3:13" ht="12.75" customHeight="1" x14ac:dyDescent="0.2">
      <c r="C1568"/>
      <c r="M1568"/>
    </row>
    <row r="1569" spans="3:13" ht="12.75" customHeight="1" x14ac:dyDescent="0.2">
      <c r="C1569"/>
      <c r="M1569"/>
    </row>
    <row r="1570" spans="3:13" ht="12.75" customHeight="1" x14ac:dyDescent="0.2">
      <c r="C1570"/>
      <c r="M1570"/>
    </row>
    <row r="1571" spans="3:13" ht="12.75" customHeight="1" x14ac:dyDescent="0.2">
      <c r="C1571"/>
      <c r="M1571"/>
    </row>
    <row r="1572" spans="3:13" ht="12.75" customHeight="1" x14ac:dyDescent="0.2">
      <c r="C1572"/>
      <c r="M1572"/>
    </row>
    <row r="1573" spans="3:13" ht="12.75" customHeight="1" x14ac:dyDescent="0.2">
      <c r="C1573"/>
      <c r="M1573"/>
    </row>
    <row r="1574" spans="3:13" ht="12.75" customHeight="1" x14ac:dyDescent="0.2">
      <c r="C1574"/>
      <c r="M1574"/>
    </row>
    <row r="1575" spans="3:13" ht="12.75" customHeight="1" x14ac:dyDescent="0.2">
      <c r="C1575"/>
      <c r="M1575"/>
    </row>
    <row r="1576" spans="3:13" ht="12.75" customHeight="1" x14ac:dyDescent="0.2">
      <c r="C1576"/>
      <c r="M1576"/>
    </row>
    <row r="1577" spans="3:13" ht="12.75" customHeight="1" x14ac:dyDescent="0.2">
      <c r="C1577"/>
      <c r="M1577"/>
    </row>
    <row r="1578" spans="3:13" ht="12.75" customHeight="1" x14ac:dyDescent="0.2">
      <c r="C1578"/>
      <c r="M1578"/>
    </row>
    <row r="1579" spans="3:13" ht="12.75" customHeight="1" x14ac:dyDescent="0.2">
      <c r="C1579"/>
      <c r="M1579"/>
    </row>
    <row r="1580" spans="3:13" ht="12.75" customHeight="1" x14ac:dyDescent="0.2">
      <c r="C1580"/>
      <c r="M1580"/>
    </row>
    <row r="1581" spans="3:13" ht="12.75" customHeight="1" x14ac:dyDescent="0.2">
      <c r="C1581"/>
      <c r="M1581"/>
    </row>
    <row r="1582" spans="3:13" ht="12.75" customHeight="1" x14ac:dyDescent="0.2">
      <c r="C1582"/>
      <c r="M1582"/>
    </row>
    <row r="1583" spans="3:13" ht="12.75" customHeight="1" x14ac:dyDescent="0.2">
      <c r="C1583"/>
      <c r="M1583"/>
    </row>
    <row r="1584" spans="3:13" ht="12.75" customHeight="1" x14ac:dyDescent="0.2">
      <c r="C1584"/>
      <c r="M1584"/>
    </row>
    <row r="1585" spans="3:13" ht="12.75" customHeight="1" x14ac:dyDescent="0.2">
      <c r="C1585"/>
      <c r="M1585"/>
    </row>
    <row r="1586" spans="3:13" ht="12.75" customHeight="1" x14ac:dyDescent="0.2">
      <c r="C1586"/>
      <c r="M1586"/>
    </row>
    <row r="1587" spans="3:13" ht="12.75" customHeight="1" x14ac:dyDescent="0.2">
      <c r="C1587"/>
      <c r="M1587"/>
    </row>
    <row r="1588" spans="3:13" ht="12.75" customHeight="1" x14ac:dyDescent="0.2">
      <c r="C1588"/>
      <c r="M1588"/>
    </row>
    <row r="1589" spans="3:13" ht="12.75" customHeight="1" x14ac:dyDescent="0.2">
      <c r="C1589"/>
      <c r="M1589"/>
    </row>
    <row r="1590" spans="3:13" ht="12.75" customHeight="1" x14ac:dyDescent="0.2">
      <c r="C1590"/>
      <c r="M1590"/>
    </row>
    <row r="1591" spans="3:13" ht="12.75" customHeight="1" x14ac:dyDescent="0.2">
      <c r="C1591"/>
      <c r="M1591"/>
    </row>
    <row r="1592" spans="3:13" ht="12.75" customHeight="1" x14ac:dyDescent="0.2">
      <c r="C1592"/>
      <c r="M1592"/>
    </row>
    <row r="1593" spans="3:13" ht="12.75" customHeight="1" x14ac:dyDescent="0.2">
      <c r="C1593"/>
      <c r="M1593"/>
    </row>
    <row r="1594" spans="3:13" ht="12.75" customHeight="1" x14ac:dyDescent="0.2">
      <c r="C1594"/>
      <c r="M1594"/>
    </row>
    <row r="1595" spans="3:13" ht="12.75" customHeight="1" x14ac:dyDescent="0.2">
      <c r="C1595"/>
      <c r="M1595"/>
    </row>
    <row r="1596" spans="3:13" ht="12.75" customHeight="1" x14ac:dyDescent="0.2">
      <c r="C1596"/>
      <c r="M1596"/>
    </row>
    <row r="1597" spans="3:13" ht="12.75" customHeight="1" x14ac:dyDescent="0.2">
      <c r="C1597"/>
      <c r="M1597"/>
    </row>
    <row r="1598" spans="3:13" ht="12.75" customHeight="1" x14ac:dyDescent="0.2">
      <c r="C1598"/>
      <c r="M1598"/>
    </row>
    <row r="1599" spans="3:13" ht="12.75" customHeight="1" x14ac:dyDescent="0.2">
      <c r="C1599"/>
      <c r="M1599"/>
    </row>
    <row r="1600" spans="3:13" ht="12.75" customHeight="1" x14ac:dyDescent="0.2">
      <c r="C1600"/>
      <c r="M1600"/>
    </row>
    <row r="1601" spans="3:13" ht="12.75" customHeight="1" x14ac:dyDescent="0.2">
      <c r="C1601"/>
      <c r="M1601"/>
    </row>
    <row r="1602" spans="3:13" ht="12.75" customHeight="1" x14ac:dyDescent="0.2">
      <c r="C1602"/>
      <c r="M1602"/>
    </row>
    <row r="1603" spans="3:13" ht="12.75" customHeight="1" x14ac:dyDescent="0.2">
      <c r="C1603"/>
      <c r="M1603"/>
    </row>
    <row r="1604" spans="3:13" ht="12.75" customHeight="1" x14ac:dyDescent="0.2">
      <c r="C1604"/>
      <c r="M1604"/>
    </row>
    <row r="1605" spans="3:13" ht="12.75" customHeight="1" x14ac:dyDescent="0.2">
      <c r="C1605"/>
      <c r="M1605"/>
    </row>
    <row r="1606" spans="3:13" ht="12.75" customHeight="1" x14ac:dyDescent="0.2">
      <c r="C1606"/>
      <c r="M1606"/>
    </row>
    <row r="1607" spans="3:13" ht="12.75" customHeight="1" x14ac:dyDescent="0.2">
      <c r="C1607"/>
      <c r="M1607"/>
    </row>
    <row r="1608" spans="3:13" ht="12.75" customHeight="1" x14ac:dyDescent="0.2">
      <c r="C1608"/>
      <c r="M1608"/>
    </row>
    <row r="1609" spans="3:13" ht="12.75" customHeight="1" x14ac:dyDescent="0.2">
      <c r="C1609"/>
      <c r="M1609"/>
    </row>
    <row r="1610" spans="3:13" ht="12.75" customHeight="1" x14ac:dyDescent="0.2">
      <c r="C1610"/>
      <c r="M1610"/>
    </row>
    <row r="1611" spans="3:13" ht="12.75" customHeight="1" x14ac:dyDescent="0.2">
      <c r="C1611"/>
      <c r="M1611"/>
    </row>
    <row r="1612" spans="3:13" ht="12.75" customHeight="1" x14ac:dyDescent="0.2">
      <c r="C1612"/>
      <c r="M1612"/>
    </row>
    <row r="1613" spans="3:13" ht="12.75" customHeight="1" x14ac:dyDescent="0.2">
      <c r="C1613"/>
      <c r="M1613"/>
    </row>
    <row r="1614" spans="3:13" ht="12.75" customHeight="1" x14ac:dyDescent="0.2">
      <c r="C1614"/>
      <c r="M1614"/>
    </row>
    <row r="1615" spans="3:13" ht="12.75" customHeight="1" x14ac:dyDescent="0.2">
      <c r="C1615"/>
      <c r="M1615"/>
    </row>
    <row r="1616" spans="3:13" ht="12.75" customHeight="1" x14ac:dyDescent="0.2">
      <c r="C1616"/>
      <c r="M1616"/>
    </row>
    <row r="1617" spans="3:13" ht="12.75" customHeight="1" x14ac:dyDescent="0.2">
      <c r="C1617"/>
      <c r="M1617"/>
    </row>
    <row r="1618" spans="3:13" ht="12.75" customHeight="1" x14ac:dyDescent="0.2">
      <c r="C1618"/>
      <c r="M1618"/>
    </row>
    <row r="1619" spans="3:13" ht="12.75" customHeight="1" x14ac:dyDescent="0.2">
      <c r="C1619"/>
      <c r="M1619"/>
    </row>
    <row r="1620" spans="3:13" ht="12.75" customHeight="1" x14ac:dyDescent="0.2">
      <c r="C1620"/>
      <c r="M1620"/>
    </row>
    <row r="1621" spans="3:13" ht="12.75" customHeight="1" x14ac:dyDescent="0.2">
      <c r="C1621"/>
      <c r="M1621"/>
    </row>
    <row r="1622" spans="3:13" ht="12.75" customHeight="1" x14ac:dyDescent="0.2">
      <c r="C1622"/>
      <c r="M1622"/>
    </row>
    <row r="1623" spans="3:13" ht="12.75" customHeight="1" x14ac:dyDescent="0.2">
      <c r="C1623"/>
      <c r="M1623"/>
    </row>
    <row r="1624" spans="3:13" ht="12.75" customHeight="1" x14ac:dyDescent="0.2">
      <c r="C1624"/>
      <c r="M1624"/>
    </row>
    <row r="1625" spans="3:13" ht="12.75" customHeight="1" x14ac:dyDescent="0.2">
      <c r="C1625"/>
      <c r="M1625"/>
    </row>
    <row r="1626" spans="3:13" ht="12.75" customHeight="1" x14ac:dyDescent="0.2">
      <c r="C1626"/>
      <c r="M1626"/>
    </row>
    <row r="1627" spans="3:13" ht="12.75" customHeight="1" x14ac:dyDescent="0.2">
      <c r="C1627"/>
      <c r="M1627"/>
    </row>
    <row r="1628" spans="3:13" ht="12.75" customHeight="1" x14ac:dyDescent="0.2">
      <c r="C1628"/>
      <c r="M1628"/>
    </row>
    <row r="1629" spans="3:13" ht="12.75" customHeight="1" x14ac:dyDescent="0.2">
      <c r="C1629"/>
      <c r="M1629"/>
    </row>
    <row r="1630" spans="3:13" ht="12.75" customHeight="1" x14ac:dyDescent="0.2">
      <c r="C1630"/>
      <c r="M1630"/>
    </row>
    <row r="1631" spans="3:13" ht="12.75" customHeight="1" x14ac:dyDescent="0.2">
      <c r="C1631"/>
      <c r="M1631"/>
    </row>
    <row r="1632" spans="3:13" ht="12.75" customHeight="1" x14ac:dyDescent="0.2">
      <c r="C1632"/>
      <c r="M1632"/>
    </row>
    <row r="1633" spans="3:13" ht="12.75" customHeight="1" x14ac:dyDescent="0.2">
      <c r="C1633"/>
      <c r="M1633"/>
    </row>
    <row r="1634" spans="3:13" ht="12.75" customHeight="1" x14ac:dyDescent="0.2">
      <c r="C1634"/>
      <c r="M1634"/>
    </row>
    <row r="1635" spans="3:13" ht="12.75" customHeight="1" x14ac:dyDescent="0.2">
      <c r="C1635"/>
      <c r="M1635"/>
    </row>
    <row r="1636" spans="3:13" ht="12.75" customHeight="1" x14ac:dyDescent="0.2">
      <c r="C1636"/>
      <c r="M1636"/>
    </row>
    <row r="1637" spans="3:13" ht="12.75" customHeight="1" x14ac:dyDescent="0.2">
      <c r="C1637"/>
      <c r="M1637"/>
    </row>
    <row r="1638" spans="3:13" ht="12.75" customHeight="1" x14ac:dyDescent="0.2">
      <c r="C1638"/>
      <c r="M1638"/>
    </row>
    <row r="1639" spans="3:13" ht="12.75" customHeight="1" x14ac:dyDescent="0.2">
      <c r="C1639"/>
      <c r="M1639"/>
    </row>
    <row r="1640" spans="3:13" ht="12.75" customHeight="1" x14ac:dyDescent="0.2">
      <c r="C1640"/>
      <c r="M1640"/>
    </row>
    <row r="1641" spans="3:13" ht="12.75" customHeight="1" x14ac:dyDescent="0.2">
      <c r="C1641"/>
      <c r="M1641"/>
    </row>
    <row r="1642" spans="3:13" ht="12.75" customHeight="1" x14ac:dyDescent="0.2">
      <c r="C1642"/>
      <c r="M1642"/>
    </row>
    <row r="1643" spans="3:13" ht="12.75" customHeight="1" x14ac:dyDescent="0.2">
      <c r="C1643"/>
      <c r="M1643"/>
    </row>
    <row r="1644" spans="3:13" ht="12.75" customHeight="1" x14ac:dyDescent="0.2">
      <c r="C1644"/>
      <c r="M1644"/>
    </row>
    <row r="1645" spans="3:13" ht="12.75" customHeight="1" x14ac:dyDescent="0.2">
      <c r="C1645"/>
      <c r="M1645"/>
    </row>
    <row r="1646" spans="3:13" ht="12.75" customHeight="1" x14ac:dyDescent="0.2">
      <c r="C1646"/>
      <c r="M1646"/>
    </row>
    <row r="1647" spans="3:13" ht="12.75" customHeight="1" x14ac:dyDescent="0.2">
      <c r="C1647"/>
      <c r="M1647"/>
    </row>
    <row r="1648" spans="3:13" ht="12.75" customHeight="1" x14ac:dyDescent="0.2">
      <c r="C1648"/>
      <c r="M1648"/>
    </row>
    <row r="1649" spans="3:13" ht="12.75" customHeight="1" x14ac:dyDescent="0.2">
      <c r="C1649"/>
      <c r="M1649"/>
    </row>
    <row r="1650" spans="3:13" ht="12.75" customHeight="1" x14ac:dyDescent="0.2">
      <c r="C1650"/>
      <c r="M1650"/>
    </row>
    <row r="1651" spans="3:13" ht="12.75" customHeight="1" x14ac:dyDescent="0.2">
      <c r="C1651"/>
      <c r="M1651"/>
    </row>
    <row r="1652" spans="3:13" ht="12.75" customHeight="1" x14ac:dyDescent="0.2">
      <c r="C1652"/>
      <c r="M1652"/>
    </row>
    <row r="1653" spans="3:13" ht="12.75" customHeight="1" x14ac:dyDescent="0.2">
      <c r="C1653"/>
      <c r="M1653"/>
    </row>
    <row r="1654" spans="3:13" ht="12.75" customHeight="1" x14ac:dyDescent="0.2">
      <c r="C1654"/>
      <c r="M1654"/>
    </row>
    <row r="1655" spans="3:13" ht="12.75" customHeight="1" x14ac:dyDescent="0.2">
      <c r="C1655"/>
      <c r="M1655"/>
    </row>
    <row r="1656" spans="3:13" ht="12.75" customHeight="1" x14ac:dyDescent="0.2">
      <c r="C1656"/>
      <c r="M1656"/>
    </row>
    <row r="1657" spans="3:13" ht="12.75" customHeight="1" x14ac:dyDescent="0.2">
      <c r="C1657"/>
      <c r="M1657"/>
    </row>
    <row r="1658" spans="3:13" ht="12.75" customHeight="1" x14ac:dyDescent="0.2">
      <c r="C1658"/>
      <c r="M1658"/>
    </row>
    <row r="1659" spans="3:13" ht="12.75" customHeight="1" x14ac:dyDescent="0.2">
      <c r="C1659"/>
      <c r="M1659"/>
    </row>
    <row r="1660" spans="3:13" ht="12.75" customHeight="1" x14ac:dyDescent="0.2">
      <c r="C1660"/>
      <c r="M1660"/>
    </row>
    <row r="1661" spans="3:13" ht="12.75" customHeight="1" x14ac:dyDescent="0.2">
      <c r="C1661"/>
      <c r="M1661"/>
    </row>
    <row r="1662" spans="3:13" ht="12.75" customHeight="1" x14ac:dyDescent="0.2">
      <c r="C1662"/>
      <c r="M1662"/>
    </row>
    <row r="1663" spans="3:13" ht="12.75" customHeight="1" x14ac:dyDescent="0.2">
      <c r="C1663"/>
      <c r="M1663"/>
    </row>
    <row r="1664" spans="3:13" ht="12.75" customHeight="1" x14ac:dyDescent="0.2">
      <c r="C1664"/>
      <c r="M1664"/>
    </row>
    <row r="1665" spans="3:13" ht="12.75" customHeight="1" x14ac:dyDescent="0.2">
      <c r="C1665"/>
      <c r="M1665"/>
    </row>
    <row r="1666" spans="3:13" ht="12.75" customHeight="1" x14ac:dyDescent="0.2">
      <c r="C1666"/>
      <c r="M1666"/>
    </row>
    <row r="1667" spans="3:13" ht="12.75" customHeight="1" x14ac:dyDescent="0.2">
      <c r="C1667"/>
      <c r="M1667"/>
    </row>
    <row r="1668" spans="3:13" ht="12.75" customHeight="1" x14ac:dyDescent="0.2">
      <c r="C1668"/>
      <c r="M1668"/>
    </row>
    <row r="1669" spans="3:13" ht="12.75" customHeight="1" x14ac:dyDescent="0.2">
      <c r="C1669"/>
      <c r="M1669"/>
    </row>
    <row r="1670" spans="3:13" ht="12.75" customHeight="1" x14ac:dyDescent="0.2">
      <c r="C1670"/>
      <c r="M1670"/>
    </row>
    <row r="1671" spans="3:13" ht="12.75" customHeight="1" x14ac:dyDescent="0.2">
      <c r="C1671"/>
      <c r="M1671"/>
    </row>
    <row r="1672" spans="3:13" ht="12.75" customHeight="1" x14ac:dyDescent="0.2">
      <c r="C1672"/>
      <c r="M1672"/>
    </row>
    <row r="1673" spans="3:13" ht="12.75" customHeight="1" x14ac:dyDescent="0.2">
      <c r="C1673"/>
      <c r="M1673"/>
    </row>
    <row r="1674" spans="3:13" ht="12.75" customHeight="1" x14ac:dyDescent="0.2">
      <c r="C1674"/>
      <c r="M1674"/>
    </row>
    <row r="1675" spans="3:13" ht="12.75" customHeight="1" x14ac:dyDescent="0.2">
      <c r="C1675"/>
      <c r="M1675"/>
    </row>
    <row r="1676" spans="3:13" ht="12.75" customHeight="1" x14ac:dyDescent="0.2">
      <c r="C1676"/>
      <c r="M1676"/>
    </row>
    <row r="1677" spans="3:13" ht="12.75" customHeight="1" x14ac:dyDescent="0.2">
      <c r="C1677"/>
      <c r="M1677"/>
    </row>
    <row r="1678" spans="3:13" ht="12.75" customHeight="1" x14ac:dyDescent="0.2">
      <c r="C1678"/>
      <c r="M1678"/>
    </row>
    <row r="1679" spans="3:13" ht="12.75" customHeight="1" x14ac:dyDescent="0.2">
      <c r="C1679"/>
      <c r="M1679"/>
    </row>
    <row r="1680" spans="3:13" ht="12.75" customHeight="1" x14ac:dyDescent="0.2">
      <c r="C1680"/>
      <c r="M1680"/>
    </row>
    <row r="1681" spans="3:13" ht="12.75" customHeight="1" x14ac:dyDescent="0.2">
      <c r="C1681"/>
      <c r="M1681"/>
    </row>
    <row r="1682" spans="3:13" ht="12.75" customHeight="1" x14ac:dyDescent="0.2">
      <c r="C1682"/>
      <c r="M1682"/>
    </row>
    <row r="1683" spans="3:13" ht="12.75" customHeight="1" x14ac:dyDescent="0.2">
      <c r="C1683"/>
      <c r="M1683"/>
    </row>
    <row r="1684" spans="3:13" ht="12.75" customHeight="1" x14ac:dyDescent="0.2">
      <c r="C1684"/>
      <c r="M1684"/>
    </row>
    <row r="1685" spans="3:13" ht="12.75" customHeight="1" x14ac:dyDescent="0.2">
      <c r="C1685"/>
      <c r="M1685"/>
    </row>
    <row r="1686" spans="3:13" ht="12.75" customHeight="1" x14ac:dyDescent="0.2">
      <c r="C1686"/>
      <c r="M1686"/>
    </row>
    <row r="1687" spans="3:13" ht="12.75" customHeight="1" x14ac:dyDescent="0.2">
      <c r="C1687"/>
      <c r="M1687"/>
    </row>
    <row r="1688" spans="3:13" ht="12.75" customHeight="1" x14ac:dyDescent="0.2">
      <c r="C1688"/>
      <c r="M1688"/>
    </row>
    <row r="1689" spans="3:13" ht="12.75" customHeight="1" x14ac:dyDescent="0.2">
      <c r="C1689"/>
      <c r="M1689"/>
    </row>
    <row r="1690" spans="3:13" ht="12.75" customHeight="1" x14ac:dyDescent="0.2">
      <c r="C1690"/>
      <c r="M1690"/>
    </row>
    <row r="1691" spans="3:13" ht="12.75" customHeight="1" x14ac:dyDescent="0.2">
      <c r="C1691"/>
      <c r="M1691"/>
    </row>
    <row r="1692" spans="3:13" ht="12.75" customHeight="1" x14ac:dyDescent="0.2">
      <c r="C1692"/>
      <c r="M1692"/>
    </row>
    <row r="1693" spans="3:13" ht="12.75" customHeight="1" x14ac:dyDescent="0.2">
      <c r="C1693"/>
      <c r="M1693"/>
    </row>
    <row r="1694" spans="3:13" ht="12.75" customHeight="1" x14ac:dyDescent="0.2">
      <c r="C1694"/>
      <c r="M1694"/>
    </row>
    <row r="1695" spans="3:13" ht="12.75" customHeight="1" x14ac:dyDescent="0.2">
      <c r="C1695"/>
      <c r="M1695"/>
    </row>
    <row r="1696" spans="3:13" ht="12.75" customHeight="1" x14ac:dyDescent="0.2">
      <c r="C1696"/>
      <c r="M1696"/>
    </row>
    <row r="1697" spans="3:13" ht="12.75" customHeight="1" x14ac:dyDescent="0.2">
      <c r="C1697"/>
      <c r="M1697"/>
    </row>
    <row r="1698" spans="3:13" ht="12.75" customHeight="1" x14ac:dyDescent="0.2">
      <c r="C1698"/>
      <c r="M1698"/>
    </row>
    <row r="1699" spans="3:13" ht="12.75" customHeight="1" x14ac:dyDescent="0.2">
      <c r="C1699"/>
      <c r="M1699"/>
    </row>
    <row r="1700" spans="3:13" ht="12.75" customHeight="1" x14ac:dyDescent="0.2">
      <c r="C1700"/>
      <c r="M1700"/>
    </row>
    <row r="1701" spans="3:13" ht="12.75" customHeight="1" x14ac:dyDescent="0.2">
      <c r="C1701"/>
      <c r="M1701"/>
    </row>
    <row r="1702" spans="3:13" ht="12.75" customHeight="1" x14ac:dyDescent="0.2">
      <c r="C1702"/>
      <c r="M1702"/>
    </row>
    <row r="1703" spans="3:13" ht="12.75" customHeight="1" x14ac:dyDescent="0.2">
      <c r="C1703"/>
      <c r="M1703"/>
    </row>
    <row r="1704" spans="3:13" ht="12.75" customHeight="1" x14ac:dyDescent="0.2">
      <c r="C1704"/>
      <c r="M1704"/>
    </row>
    <row r="1705" spans="3:13" ht="12.75" customHeight="1" x14ac:dyDescent="0.2">
      <c r="C1705"/>
      <c r="M1705"/>
    </row>
    <row r="1706" spans="3:13" ht="12.75" customHeight="1" x14ac:dyDescent="0.2">
      <c r="C1706"/>
      <c r="M1706"/>
    </row>
    <row r="1707" spans="3:13" ht="12.75" customHeight="1" x14ac:dyDescent="0.2">
      <c r="C1707"/>
      <c r="M1707"/>
    </row>
    <row r="1708" spans="3:13" ht="12.75" customHeight="1" x14ac:dyDescent="0.2">
      <c r="C1708"/>
      <c r="M1708"/>
    </row>
    <row r="1709" spans="3:13" ht="12.75" customHeight="1" x14ac:dyDescent="0.2">
      <c r="C1709"/>
      <c r="M1709"/>
    </row>
    <row r="1710" spans="3:13" ht="12.75" customHeight="1" x14ac:dyDescent="0.2">
      <c r="C1710"/>
      <c r="M1710"/>
    </row>
    <row r="1711" spans="3:13" ht="12.75" customHeight="1" x14ac:dyDescent="0.2">
      <c r="C1711"/>
      <c r="M1711"/>
    </row>
    <row r="1712" spans="3:13" ht="12.75" customHeight="1" x14ac:dyDescent="0.2">
      <c r="C1712"/>
      <c r="M1712"/>
    </row>
    <row r="1713" spans="3:13" ht="12.75" customHeight="1" x14ac:dyDescent="0.2">
      <c r="C1713"/>
      <c r="M1713"/>
    </row>
    <row r="1714" spans="3:13" ht="12.75" customHeight="1" x14ac:dyDescent="0.2">
      <c r="C1714"/>
      <c r="M1714"/>
    </row>
    <row r="1715" spans="3:13" ht="12.75" customHeight="1" x14ac:dyDescent="0.2">
      <c r="C1715"/>
      <c r="M1715"/>
    </row>
    <row r="1716" spans="3:13" ht="12.75" customHeight="1" x14ac:dyDescent="0.2">
      <c r="C1716"/>
      <c r="M1716"/>
    </row>
    <row r="1717" spans="3:13" ht="12.75" customHeight="1" x14ac:dyDescent="0.2">
      <c r="C1717"/>
      <c r="M1717"/>
    </row>
    <row r="1718" spans="3:13" ht="12.75" customHeight="1" x14ac:dyDescent="0.2">
      <c r="C1718"/>
      <c r="M1718"/>
    </row>
    <row r="1719" spans="3:13" ht="12.75" customHeight="1" x14ac:dyDescent="0.2">
      <c r="C1719"/>
      <c r="M1719"/>
    </row>
    <row r="1720" spans="3:13" ht="12.75" customHeight="1" x14ac:dyDescent="0.2">
      <c r="C1720"/>
      <c r="M1720"/>
    </row>
    <row r="1721" spans="3:13" ht="12.75" customHeight="1" x14ac:dyDescent="0.2">
      <c r="C1721"/>
      <c r="M1721"/>
    </row>
    <row r="1722" spans="3:13" ht="12.75" customHeight="1" x14ac:dyDescent="0.2">
      <c r="C1722"/>
      <c r="M1722"/>
    </row>
    <row r="1723" spans="3:13" ht="12.75" customHeight="1" x14ac:dyDescent="0.2">
      <c r="C1723"/>
      <c r="M1723"/>
    </row>
    <row r="1724" spans="3:13" ht="12.75" customHeight="1" x14ac:dyDescent="0.2">
      <c r="C1724"/>
      <c r="M1724"/>
    </row>
    <row r="1725" spans="3:13" ht="12.75" customHeight="1" x14ac:dyDescent="0.2">
      <c r="C1725"/>
      <c r="M1725"/>
    </row>
    <row r="1726" spans="3:13" ht="12.75" customHeight="1" x14ac:dyDescent="0.2">
      <c r="C1726"/>
      <c r="M1726"/>
    </row>
    <row r="1727" spans="3:13" ht="12.75" customHeight="1" x14ac:dyDescent="0.2">
      <c r="C1727"/>
      <c r="M1727"/>
    </row>
    <row r="1728" spans="3:13" ht="12.75" customHeight="1" x14ac:dyDescent="0.2">
      <c r="C1728"/>
      <c r="M1728"/>
    </row>
    <row r="1729" spans="3:13" ht="12.75" customHeight="1" x14ac:dyDescent="0.2">
      <c r="C1729"/>
      <c r="M1729"/>
    </row>
    <row r="1730" spans="3:13" ht="12.75" customHeight="1" x14ac:dyDescent="0.2">
      <c r="C1730"/>
      <c r="M1730"/>
    </row>
    <row r="1731" spans="3:13" ht="12.75" customHeight="1" x14ac:dyDescent="0.2">
      <c r="C1731"/>
      <c r="M1731"/>
    </row>
    <row r="1732" spans="3:13" ht="12.75" customHeight="1" x14ac:dyDescent="0.2">
      <c r="C1732"/>
      <c r="M1732"/>
    </row>
    <row r="1733" spans="3:13" ht="12.75" customHeight="1" x14ac:dyDescent="0.2">
      <c r="C1733"/>
      <c r="M1733"/>
    </row>
    <row r="1734" spans="3:13" ht="12.75" customHeight="1" x14ac:dyDescent="0.2">
      <c r="C1734"/>
      <c r="M1734"/>
    </row>
    <row r="1735" spans="3:13" ht="12.75" customHeight="1" x14ac:dyDescent="0.2">
      <c r="C1735"/>
      <c r="M1735"/>
    </row>
    <row r="1736" spans="3:13" ht="12.75" customHeight="1" x14ac:dyDescent="0.2">
      <c r="C1736"/>
      <c r="M1736"/>
    </row>
    <row r="1737" spans="3:13" ht="12.75" customHeight="1" x14ac:dyDescent="0.2">
      <c r="C1737"/>
      <c r="M1737"/>
    </row>
    <row r="1738" spans="3:13" ht="12.75" customHeight="1" x14ac:dyDescent="0.2">
      <c r="C1738"/>
      <c r="M1738"/>
    </row>
    <row r="1739" spans="3:13" ht="12.75" customHeight="1" x14ac:dyDescent="0.2">
      <c r="C1739"/>
      <c r="M1739"/>
    </row>
    <row r="1740" spans="3:13" ht="12.75" customHeight="1" x14ac:dyDescent="0.2">
      <c r="C1740"/>
      <c r="M1740"/>
    </row>
    <row r="1741" spans="3:13" ht="12.75" customHeight="1" x14ac:dyDescent="0.2">
      <c r="C1741"/>
      <c r="M1741"/>
    </row>
    <row r="1742" spans="3:13" ht="12.75" customHeight="1" x14ac:dyDescent="0.2">
      <c r="C1742"/>
      <c r="M1742"/>
    </row>
    <row r="1743" spans="3:13" ht="12.75" customHeight="1" x14ac:dyDescent="0.2">
      <c r="C1743"/>
      <c r="M1743"/>
    </row>
    <row r="1744" spans="3:13" ht="12.75" customHeight="1" x14ac:dyDescent="0.2">
      <c r="C1744"/>
      <c r="M1744"/>
    </row>
    <row r="1745" spans="3:13" ht="12.75" customHeight="1" x14ac:dyDescent="0.2">
      <c r="C1745"/>
      <c r="M1745"/>
    </row>
    <row r="1746" spans="3:13" ht="12.75" customHeight="1" x14ac:dyDescent="0.2">
      <c r="C1746"/>
      <c r="M1746"/>
    </row>
    <row r="1747" spans="3:13" ht="12.75" customHeight="1" x14ac:dyDescent="0.2">
      <c r="C1747"/>
      <c r="M1747"/>
    </row>
    <row r="1748" spans="3:13" ht="12.75" customHeight="1" x14ac:dyDescent="0.2">
      <c r="C1748"/>
      <c r="M1748"/>
    </row>
    <row r="1749" spans="3:13" ht="12.75" customHeight="1" x14ac:dyDescent="0.2">
      <c r="C1749"/>
      <c r="M1749"/>
    </row>
    <row r="1750" spans="3:13" ht="12.75" customHeight="1" x14ac:dyDescent="0.2">
      <c r="C1750"/>
      <c r="M1750"/>
    </row>
    <row r="1751" spans="3:13" ht="12.75" customHeight="1" x14ac:dyDescent="0.2">
      <c r="C1751"/>
      <c r="M1751"/>
    </row>
    <row r="1752" spans="3:13" ht="12.75" customHeight="1" x14ac:dyDescent="0.2">
      <c r="C1752"/>
      <c r="M1752"/>
    </row>
    <row r="1753" spans="3:13" ht="12.75" customHeight="1" x14ac:dyDescent="0.2">
      <c r="C1753"/>
      <c r="M1753"/>
    </row>
    <row r="1754" spans="3:13" ht="12.75" customHeight="1" x14ac:dyDescent="0.2">
      <c r="C1754"/>
      <c r="M1754"/>
    </row>
    <row r="1755" spans="3:13" ht="12.75" customHeight="1" x14ac:dyDescent="0.2">
      <c r="C1755"/>
      <c r="M1755"/>
    </row>
    <row r="1756" spans="3:13" ht="12.75" customHeight="1" x14ac:dyDescent="0.2">
      <c r="C1756"/>
      <c r="M1756"/>
    </row>
    <row r="1757" spans="3:13" ht="12.75" customHeight="1" x14ac:dyDescent="0.2">
      <c r="C1757"/>
      <c r="M1757"/>
    </row>
    <row r="1758" spans="3:13" ht="12.75" customHeight="1" x14ac:dyDescent="0.2">
      <c r="C1758"/>
      <c r="M1758"/>
    </row>
    <row r="1759" spans="3:13" ht="12.75" customHeight="1" x14ac:dyDescent="0.2">
      <c r="C1759"/>
      <c r="M1759"/>
    </row>
    <row r="1760" spans="3:13" ht="12.75" customHeight="1" x14ac:dyDescent="0.2">
      <c r="C1760"/>
      <c r="M1760"/>
    </row>
    <row r="1761" spans="3:13" ht="12.75" customHeight="1" x14ac:dyDescent="0.2">
      <c r="C1761"/>
      <c r="M1761"/>
    </row>
    <row r="1762" spans="3:13" ht="12.75" customHeight="1" x14ac:dyDescent="0.2">
      <c r="C1762"/>
      <c r="M1762"/>
    </row>
    <row r="1763" spans="3:13" ht="12.75" customHeight="1" x14ac:dyDescent="0.2">
      <c r="C1763"/>
      <c r="M1763"/>
    </row>
    <row r="1764" spans="3:13" ht="12.75" customHeight="1" x14ac:dyDescent="0.2">
      <c r="C1764"/>
      <c r="M1764"/>
    </row>
    <row r="1765" spans="3:13" ht="12.75" customHeight="1" x14ac:dyDescent="0.2">
      <c r="C1765"/>
      <c r="M1765"/>
    </row>
    <row r="1766" spans="3:13" ht="12.75" customHeight="1" x14ac:dyDescent="0.2">
      <c r="C1766"/>
      <c r="M1766"/>
    </row>
    <row r="1767" spans="3:13" ht="12.75" customHeight="1" x14ac:dyDescent="0.2">
      <c r="C1767"/>
      <c r="M1767"/>
    </row>
    <row r="1768" spans="3:13" ht="12.75" customHeight="1" x14ac:dyDescent="0.2">
      <c r="C1768"/>
      <c r="M1768"/>
    </row>
    <row r="1769" spans="3:13" ht="12.75" customHeight="1" x14ac:dyDescent="0.2">
      <c r="C1769"/>
      <c r="M1769"/>
    </row>
    <row r="1770" spans="3:13" ht="12.75" customHeight="1" x14ac:dyDescent="0.2">
      <c r="C1770"/>
      <c r="M1770"/>
    </row>
    <row r="1771" spans="3:13" ht="12.75" customHeight="1" x14ac:dyDescent="0.2">
      <c r="C1771"/>
      <c r="M1771"/>
    </row>
    <row r="1772" spans="3:13" ht="12.75" customHeight="1" x14ac:dyDescent="0.2">
      <c r="C1772"/>
      <c r="M1772"/>
    </row>
    <row r="1773" spans="3:13" ht="12.75" customHeight="1" x14ac:dyDescent="0.2">
      <c r="C1773"/>
      <c r="M1773"/>
    </row>
    <row r="1774" spans="3:13" ht="12.75" customHeight="1" x14ac:dyDescent="0.2">
      <c r="C1774"/>
      <c r="M1774"/>
    </row>
    <row r="1775" spans="3:13" ht="12.75" customHeight="1" x14ac:dyDescent="0.2">
      <c r="C1775"/>
      <c r="M1775"/>
    </row>
    <row r="1776" spans="3:13" ht="12.75" customHeight="1" x14ac:dyDescent="0.2">
      <c r="C1776"/>
      <c r="M1776"/>
    </row>
    <row r="1777" spans="3:13" ht="12.75" customHeight="1" x14ac:dyDescent="0.2">
      <c r="C1777"/>
      <c r="M1777"/>
    </row>
    <row r="1778" spans="3:13" ht="12.75" customHeight="1" x14ac:dyDescent="0.2">
      <c r="C1778"/>
      <c r="M1778"/>
    </row>
    <row r="1779" spans="3:13" ht="12.75" customHeight="1" x14ac:dyDescent="0.2">
      <c r="C1779"/>
      <c r="M1779"/>
    </row>
    <row r="1780" spans="3:13" ht="12.75" customHeight="1" x14ac:dyDescent="0.2">
      <c r="C1780"/>
      <c r="M1780"/>
    </row>
    <row r="1781" spans="3:13" ht="12.75" customHeight="1" x14ac:dyDescent="0.2">
      <c r="C1781"/>
      <c r="M1781"/>
    </row>
    <row r="1782" spans="3:13" ht="12.75" customHeight="1" x14ac:dyDescent="0.2">
      <c r="C1782"/>
      <c r="M1782"/>
    </row>
    <row r="1783" spans="3:13" ht="12.75" customHeight="1" x14ac:dyDescent="0.2">
      <c r="C1783"/>
      <c r="M1783"/>
    </row>
    <row r="1784" spans="3:13" ht="12.75" customHeight="1" x14ac:dyDescent="0.2">
      <c r="C1784"/>
      <c r="M1784"/>
    </row>
    <row r="1785" spans="3:13" ht="12.75" customHeight="1" x14ac:dyDescent="0.2">
      <c r="C1785"/>
      <c r="M1785"/>
    </row>
    <row r="1786" spans="3:13" ht="12.75" customHeight="1" x14ac:dyDescent="0.2">
      <c r="C1786"/>
      <c r="M1786"/>
    </row>
    <row r="1787" spans="3:13" ht="12.75" customHeight="1" x14ac:dyDescent="0.2">
      <c r="C1787"/>
      <c r="M1787"/>
    </row>
    <row r="1788" spans="3:13" ht="12.75" customHeight="1" x14ac:dyDescent="0.2">
      <c r="C1788"/>
      <c r="M1788"/>
    </row>
    <row r="1789" spans="3:13" ht="12.75" customHeight="1" x14ac:dyDescent="0.2">
      <c r="C1789"/>
      <c r="M1789"/>
    </row>
    <row r="1790" spans="3:13" ht="12.75" customHeight="1" x14ac:dyDescent="0.2">
      <c r="C1790"/>
      <c r="M1790"/>
    </row>
    <row r="1791" spans="3:13" ht="12.75" customHeight="1" x14ac:dyDescent="0.2">
      <c r="C1791"/>
      <c r="M1791"/>
    </row>
    <row r="1792" spans="3:13" ht="12.75" customHeight="1" x14ac:dyDescent="0.2">
      <c r="C1792"/>
      <c r="M1792"/>
    </row>
    <row r="1793" spans="3:13" ht="12.75" customHeight="1" x14ac:dyDescent="0.2">
      <c r="C1793"/>
      <c r="M1793"/>
    </row>
    <row r="1794" spans="3:13" ht="12.75" customHeight="1" x14ac:dyDescent="0.2">
      <c r="C1794"/>
      <c r="M1794"/>
    </row>
    <row r="1795" spans="3:13" ht="12.75" customHeight="1" x14ac:dyDescent="0.2">
      <c r="C1795"/>
      <c r="M1795"/>
    </row>
    <row r="1796" spans="3:13" ht="12.75" customHeight="1" x14ac:dyDescent="0.2">
      <c r="C1796"/>
      <c r="M1796"/>
    </row>
    <row r="1797" spans="3:13" ht="12.75" customHeight="1" x14ac:dyDescent="0.2">
      <c r="C1797"/>
      <c r="M1797"/>
    </row>
    <row r="1798" spans="3:13" ht="12.75" customHeight="1" x14ac:dyDescent="0.2">
      <c r="C1798"/>
      <c r="M1798"/>
    </row>
    <row r="1799" spans="3:13" ht="12.75" customHeight="1" x14ac:dyDescent="0.2">
      <c r="C1799"/>
      <c r="M1799"/>
    </row>
    <row r="1800" spans="3:13" ht="12.75" customHeight="1" x14ac:dyDescent="0.2">
      <c r="C1800"/>
      <c r="M1800"/>
    </row>
    <row r="1801" spans="3:13" ht="12.75" customHeight="1" x14ac:dyDescent="0.2">
      <c r="C1801"/>
      <c r="M1801"/>
    </row>
    <row r="1802" spans="3:13" ht="12.75" customHeight="1" x14ac:dyDescent="0.2">
      <c r="C1802"/>
      <c r="M1802"/>
    </row>
    <row r="1803" spans="3:13" ht="12.75" customHeight="1" x14ac:dyDescent="0.2">
      <c r="C1803"/>
      <c r="M1803"/>
    </row>
    <row r="1804" spans="3:13" ht="12.75" customHeight="1" x14ac:dyDescent="0.2">
      <c r="C1804"/>
      <c r="M1804"/>
    </row>
    <row r="1805" spans="3:13" ht="12.75" customHeight="1" x14ac:dyDescent="0.2">
      <c r="C1805"/>
      <c r="M1805"/>
    </row>
    <row r="1806" spans="3:13" ht="12.75" customHeight="1" x14ac:dyDescent="0.2">
      <c r="C1806"/>
      <c r="M1806"/>
    </row>
    <row r="1807" spans="3:13" ht="12.75" customHeight="1" x14ac:dyDescent="0.2">
      <c r="C1807"/>
      <c r="M1807"/>
    </row>
    <row r="1808" spans="3:13" ht="12.75" customHeight="1" x14ac:dyDescent="0.2">
      <c r="C1808"/>
      <c r="M1808"/>
    </row>
    <row r="1809" spans="3:13" ht="12.75" customHeight="1" x14ac:dyDescent="0.2">
      <c r="C1809"/>
      <c r="M1809"/>
    </row>
    <row r="1810" spans="3:13" ht="12.75" customHeight="1" x14ac:dyDescent="0.2">
      <c r="C1810"/>
      <c r="M1810"/>
    </row>
    <row r="1811" spans="3:13" ht="12.75" customHeight="1" x14ac:dyDescent="0.2">
      <c r="C1811"/>
      <c r="M1811"/>
    </row>
    <row r="1812" spans="3:13" ht="12.75" customHeight="1" x14ac:dyDescent="0.2">
      <c r="C1812"/>
      <c r="M1812"/>
    </row>
    <row r="1813" spans="3:13" ht="12.75" customHeight="1" x14ac:dyDescent="0.2">
      <c r="C1813"/>
      <c r="M1813"/>
    </row>
    <row r="1814" spans="3:13" ht="12.75" customHeight="1" x14ac:dyDescent="0.2">
      <c r="C1814"/>
      <c r="M1814"/>
    </row>
    <row r="1815" spans="3:13" ht="12.75" customHeight="1" x14ac:dyDescent="0.2">
      <c r="C1815"/>
      <c r="M1815"/>
    </row>
    <row r="1816" spans="3:13" ht="12.75" customHeight="1" x14ac:dyDescent="0.2">
      <c r="C1816"/>
      <c r="M1816"/>
    </row>
    <row r="1817" spans="3:13" ht="12.75" customHeight="1" x14ac:dyDescent="0.2">
      <c r="C1817"/>
      <c r="M1817"/>
    </row>
    <row r="1818" spans="3:13" ht="12.75" customHeight="1" x14ac:dyDescent="0.2">
      <c r="C1818"/>
      <c r="M1818"/>
    </row>
    <row r="1819" spans="3:13" ht="12.75" customHeight="1" x14ac:dyDescent="0.2">
      <c r="C1819"/>
      <c r="M1819"/>
    </row>
    <row r="1820" spans="3:13" ht="12.75" customHeight="1" x14ac:dyDescent="0.2">
      <c r="C1820"/>
      <c r="M1820"/>
    </row>
    <row r="1821" spans="3:13" ht="12.75" customHeight="1" x14ac:dyDescent="0.2">
      <c r="C1821"/>
      <c r="M1821"/>
    </row>
    <row r="1822" spans="3:13" ht="12.75" customHeight="1" x14ac:dyDescent="0.2">
      <c r="C1822"/>
      <c r="M1822"/>
    </row>
    <row r="1823" spans="3:13" ht="12.75" customHeight="1" x14ac:dyDescent="0.2">
      <c r="C1823"/>
      <c r="M1823"/>
    </row>
    <row r="1824" spans="3:13" ht="12.75" customHeight="1" x14ac:dyDescent="0.2">
      <c r="C1824"/>
      <c r="M1824"/>
    </row>
    <row r="1825" spans="3:13" ht="12.75" customHeight="1" x14ac:dyDescent="0.2">
      <c r="C1825"/>
      <c r="M1825"/>
    </row>
    <row r="1826" spans="3:13" ht="12.75" customHeight="1" x14ac:dyDescent="0.2">
      <c r="C1826"/>
      <c r="M1826"/>
    </row>
    <row r="1827" spans="3:13" ht="12.75" customHeight="1" x14ac:dyDescent="0.2">
      <c r="C1827"/>
      <c r="M1827"/>
    </row>
    <row r="1828" spans="3:13" ht="12.75" customHeight="1" x14ac:dyDescent="0.2">
      <c r="C1828"/>
      <c r="M1828"/>
    </row>
    <row r="1829" spans="3:13" ht="12.75" customHeight="1" x14ac:dyDescent="0.2">
      <c r="C1829"/>
      <c r="M1829"/>
    </row>
    <row r="1830" spans="3:13" ht="12.75" customHeight="1" x14ac:dyDescent="0.2">
      <c r="C1830"/>
      <c r="M1830"/>
    </row>
    <row r="1831" spans="3:13" ht="12.75" customHeight="1" x14ac:dyDescent="0.2">
      <c r="C1831"/>
      <c r="M1831"/>
    </row>
    <row r="1832" spans="3:13" ht="12.75" customHeight="1" x14ac:dyDescent="0.2">
      <c r="C1832"/>
      <c r="M1832"/>
    </row>
    <row r="1833" spans="3:13" ht="12.75" customHeight="1" x14ac:dyDescent="0.2">
      <c r="C1833"/>
      <c r="M1833"/>
    </row>
    <row r="1834" spans="3:13" ht="12.75" customHeight="1" x14ac:dyDescent="0.2">
      <c r="C1834"/>
      <c r="M1834"/>
    </row>
    <row r="1835" spans="3:13" ht="12.75" customHeight="1" x14ac:dyDescent="0.2">
      <c r="C1835"/>
      <c r="M1835"/>
    </row>
    <row r="1836" spans="3:13" ht="12.75" customHeight="1" x14ac:dyDescent="0.2">
      <c r="C1836"/>
      <c r="M1836"/>
    </row>
    <row r="1837" spans="3:13" ht="12.75" customHeight="1" x14ac:dyDescent="0.2">
      <c r="C1837"/>
      <c r="M1837"/>
    </row>
    <row r="1838" spans="3:13" ht="12.75" customHeight="1" x14ac:dyDescent="0.2">
      <c r="C1838"/>
      <c r="M1838"/>
    </row>
    <row r="1839" spans="3:13" ht="12.75" customHeight="1" x14ac:dyDescent="0.2">
      <c r="C1839"/>
      <c r="M1839"/>
    </row>
    <row r="1840" spans="3:13" ht="12.75" customHeight="1" x14ac:dyDescent="0.2">
      <c r="C1840"/>
      <c r="M1840"/>
    </row>
    <row r="1841" spans="3:13" ht="12.75" customHeight="1" x14ac:dyDescent="0.2">
      <c r="C1841"/>
      <c r="M1841"/>
    </row>
    <row r="1842" spans="3:13" ht="12.75" customHeight="1" x14ac:dyDescent="0.2">
      <c r="C1842"/>
      <c r="M1842"/>
    </row>
    <row r="1843" spans="3:13" ht="12.75" customHeight="1" x14ac:dyDescent="0.2">
      <c r="C1843"/>
      <c r="M1843"/>
    </row>
    <row r="1844" spans="3:13" ht="12.75" customHeight="1" x14ac:dyDescent="0.2">
      <c r="C1844"/>
      <c r="M1844"/>
    </row>
    <row r="1845" spans="3:13" ht="12.75" customHeight="1" x14ac:dyDescent="0.2">
      <c r="C1845"/>
      <c r="M1845"/>
    </row>
    <row r="1846" spans="3:13" ht="12.75" customHeight="1" x14ac:dyDescent="0.2">
      <c r="C1846"/>
      <c r="M1846"/>
    </row>
    <row r="1847" spans="3:13" ht="12.75" customHeight="1" x14ac:dyDescent="0.2">
      <c r="C1847"/>
      <c r="M1847"/>
    </row>
    <row r="1848" spans="3:13" ht="12.75" customHeight="1" x14ac:dyDescent="0.2">
      <c r="C1848"/>
      <c r="M1848"/>
    </row>
    <row r="1849" spans="3:13" ht="12.75" customHeight="1" x14ac:dyDescent="0.2">
      <c r="C1849"/>
      <c r="M1849"/>
    </row>
    <row r="1850" spans="3:13" ht="12.75" customHeight="1" x14ac:dyDescent="0.2">
      <c r="C1850"/>
      <c r="M1850"/>
    </row>
    <row r="1851" spans="3:13" ht="12.75" customHeight="1" x14ac:dyDescent="0.2">
      <c r="C1851"/>
      <c r="M1851"/>
    </row>
    <row r="1852" spans="3:13" ht="12.75" customHeight="1" x14ac:dyDescent="0.2">
      <c r="C1852"/>
      <c r="M1852"/>
    </row>
    <row r="1853" spans="3:13" ht="12.75" customHeight="1" x14ac:dyDescent="0.2">
      <c r="C1853"/>
      <c r="M1853"/>
    </row>
    <row r="1854" spans="3:13" ht="12.75" customHeight="1" x14ac:dyDescent="0.2">
      <c r="C1854"/>
      <c r="M1854"/>
    </row>
    <row r="1855" spans="3:13" ht="12.75" customHeight="1" x14ac:dyDescent="0.2">
      <c r="C1855"/>
      <c r="M1855"/>
    </row>
    <row r="1856" spans="3:13" ht="12.75" customHeight="1" x14ac:dyDescent="0.2">
      <c r="C1856"/>
      <c r="M1856"/>
    </row>
    <row r="1857" spans="3:13" ht="12.75" customHeight="1" x14ac:dyDescent="0.2">
      <c r="C1857"/>
      <c r="M1857"/>
    </row>
    <row r="1858" spans="3:13" ht="12.75" customHeight="1" x14ac:dyDescent="0.2">
      <c r="C1858"/>
      <c r="M1858"/>
    </row>
    <row r="1859" spans="3:13" ht="12.75" customHeight="1" x14ac:dyDescent="0.2">
      <c r="C1859"/>
      <c r="M1859"/>
    </row>
    <row r="1860" spans="3:13" ht="12.75" customHeight="1" x14ac:dyDescent="0.2">
      <c r="C1860"/>
      <c r="M1860"/>
    </row>
    <row r="1861" spans="3:13" ht="12.75" customHeight="1" x14ac:dyDescent="0.2">
      <c r="C1861"/>
      <c r="M1861"/>
    </row>
    <row r="1862" spans="3:13" ht="12.75" customHeight="1" x14ac:dyDescent="0.2">
      <c r="C1862"/>
      <c r="M1862"/>
    </row>
    <row r="1863" spans="3:13" ht="12.75" customHeight="1" x14ac:dyDescent="0.2">
      <c r="C1863"/>
      <c r="M1863"/>
    </row>
    <row r="1864" spans="3:13" ht="12.75" customHeight="1" x14ac:dyDescent="0.2">
      <c r="C1864"/>
      <c r="M1864"/>
    </row>
    <row r="1865" spans="3:13" ht="12.75" customHeight="1" x14ac:dyDescent="0.2">
      <c r="C1865"/>
      <c r="M1865"/>
    </row>
    <row r="1866" spans="3:13" ht="12.75" customHeight="1" x14ac:dyDescent="0.2">
      <c r="C1866"/>
      <c r="M1866"/>
    </row>
    <row r="1867" spans="3:13" ht="12.75" customHeight="1" x14ac:dyDescent="0.2">
      <c r="C1867"/>
      <c r="M1867"/>
    </row>
    <row r="1868" spans="3:13" ht="12.75" customHeight="1" x14ac:dyDescent="0.2">
      <c r="C1868"/>
      <c r="M1868"/>
    </row>
    <row r="1869" spans="3:13" ht="12.75" customHeight="1" x14ac:dyDescent="0.2">
      <c r="C1869"/>
      <c r="M1869"/>
    </row>
    <row r="1870" spans="3:13" ht="12.75" customHeight="1" x14ac:dyDescent="0.2">
      <c r="C1870"/>
      <c r="M1870"/>
    </row>
    <row r="1871" spans="3:13" ht="12.75" customHeight="1" x14ac:dyDescent="0.2">
      <c r="C1871"/>
      <c r="M1871"/>
    </row>
    <row r="1872" spans="3:13" ht="12.75" customHeight="1" x14ac:dyDescent="0.2">
      <c r="C1872"/>
      <c r="M1872"/>
    </row>
    <row r="1873" spans="3:13" ht="12.75" customHeight="1" x14ac:dyDescent="0.2">
      <c r="C1873"/>
      <c r="M1873"/>
    </row>
    <row r="1874" spans="3:13" ht="12.75" customHeight="1" x14ac:dyDescent="0.2">
      <c r="C1874"/>
      <c r="M1874"/>
    </row>
    <row r="1875" spans="3:13" ht="12.75" customHeight="1" x14ac:dyDescent="0.2">
      <c r="C1875"/>
      <c r="M1875"/>
    </row>
    <row r="1876" spans="3:13" ht="12.75" customHeight="1" x14ac:dyDescent="0.2">
      <c r="C1876"/>
      <c r="M1876"/>
    </row>
    <row r="1877" spans="3:13" ht="12.75" customHeight="1" x14ac:dyDescent="0.2">
      <c r="C1877"/>
      <c r="M1877"/>
    </row>
    <row r="1878" spans="3:13" ht="12.75" customHeight="1" x14ac:dyDescent="0.2">
      <c r="C1878"/>
      <c r="M1878"/>
    </row>
    <row r="1879" spans="3:13" ht="12.75" customHeight="1" x14ac:dyDescent="0.2">
      <c r="C1879"/>
      <c r="M1879"/>
    </row>
    <row r="1880" spans="3:13" ht="12.75" customHeight="1" x14ac:dyDescent="0.2">
      <c r="C1880"/>
      <c r="M1880"/>
    </row>
    <row r="1881" spans="3:13" ht="12.75" customHeight="1" x14ac:dyDescent="0.2">
      <c r="C1881"/>
      <c r="M1881"/>
    </row>
    <row r="1882" spans="3:13" ht="12.75" customHeight="1" x14ac:dyDescent="0.2">
      <c r="C1882"/>
      <c r="M1882"/>
    </row>
    <row r="1883" spans="3:13" ht="12.75" customHeight="1" x14ac:dyDescent="0.2">
      <c r="C1883"/>
      <c r="M1883"/>
    </row>
    <row r="1884" spans="3:13" ht="12.75" customHeight="1" x14ac:dyDescent="0.2">
      <c r="C1884"/>
      <c r="M1884"/>
    </row>
    <row r="1885" spans="3:13" ht="12.75" customHeight="1" x14ac:dyDescent="0.2">
      <c r="C1885"/>
      <c r="M1885"/>
    </row>
    <row r="1886" spans="3:13" ht="12.75" customHeight="1" x14ac:dyDescent="0.2">
      <c r="C1886"/>
      <c r="M1886"/>
    </row>
    <row r="1887" spans="3:13" ht="12.75" customHeight="1" x14ac:dyDescent="0.2">
      <c r="C1887"/>
      <c r="M1887"/>
    </row>
    <row r="1888" spans="3:13" ht="12.75" customHeight="1" x14ac:dyDescent="0.2">
      <c r="C1888"/>
      <c r="M1888"/>
    </row>
    <row r="1889" spans="3:13" ht="12.75" customHeight="1" x14ac:dyDescent="0.2">
      <c r="C1889"/>
      <c r="M1889"/>
    </row>
    <row r="1890" spans="3:13" ht="12.75" customHeight="1" x14ac:dyDescent="0.2">
      <c r="C1890"/>
      <c r="M1890"/>
    </row>
    <row r="1891" spans="3:13" ht="12.75" customHeight="1" x14ac:dyDescent="0.2">
      <c r="C1891"/>
      <c r="M1891"/>
    </row>
    <row r="1892" spans="3:13" ht="12.75" customHeight="1" x14ac:dyDescent="0.2">
      <c r="C1892"/>
      <c r="M1892"/>
    </row>
    <row r="1893" spans="3:13" ht="12.75" customHeight="1" x14ac:dyDescent="0.2">
      <c r="C1893"/>
      <c r="M1893"/>
    </row>
    <row r="1894" spans="3:13" ht="12.75" customHeight="1" x14ac:dyDescent="0.2">
      <c r="C1894"/>
      <c r="M1894"/>
    </row>
    <row r="1895" spans="3:13" ht="12.75" customHeight="1" x14ac:dyDescent="0.2">
      <c r="C1895"/>
      <c r="M1895"/>
    </row>
    <row r="1896" spans="3:13" ht="12.75" customHeight="1" x14ac:dyDescent="0.2">
      <c r="C1896"/>
      <c r="M1896"/>
    </row>
    <row r="1897" spans="3:13" ht="12.75" customHeight="1" x14ac:dyDescent="0.2">
      <c r="C1897"/>
      <c r="M1897"/>
    </row>
    <row r="1898" spans="3:13" ht="12.75" customHeight="1" x14ac:dyDescent="0.2">
      <c r="C1898"/>
      <c r="M1898"/>
    </row>
    <row r="1899" spans="3:13" ht="12.75" customHeight="1" x14ac:dyDescent="0.2">
      <c r="C1899"/>
      <c r="M1899"/>
    </row>
    <row r="1900" spans="3:13" ht="12.75" customHeight="1" x14ac:dyDescent="0.2">
      <c r="C1900"/>
      <c r="M1900"/>
    </row>
    <row r="1901" spans="3:13" ht="12.75" customHeight="1" x14ac:dyDescent="0.2">
      <c r="C1901"/>
      <c r="M1901"/>
    </row>
    <row r="1902" spans="3:13" ht="12.75" customHeight="1" x14ac:dyDescent="0.2">
      <c r="C1902"/>
      <c r="M1902"/>
    </row>
    <row r="1903" spans="3:13" ht="12.75" customHeight="1" x14ac:dyDescent="0.2">
      <c r="C1903"/>
      <c r="M1903"/>
    </row>
    <row r="1904" spans="3:13" ht="12.75" customHeight="1" x14ac:dyDescent="0.2">
      <c r="C1904"/>
      <c r="M1904"/>
    </row>
    <row r="1905" spans="3:13" ht="12.75" customHeight="1" x14ac:dyDescent="0.2">
      <c r="C1905"/>
      <c r="M1905"/>
    </row>
    <row r="1906" spans="3:13" ht="12.75" customHeight="1" x14ac:dyDescent="0.2">
      <c r="C1906"/>
      <c r="M1906"/>
    </row>
    <row r="1907" spans="3:13" ht="12.75" customHeight="1" x14ac:dyDescent="0.2">
      <c r="C1907"/>
      <c r="M1907"/>
    </row>
    <row r="1908" spans="3:13" ht="12.75" customHeight="1" x14ac:dyDescent="0.2">
      <c r="C1908"/>
      <c r="M1908"/>
    </row>
    <row r="1909" spans="3:13" ht="12.75" customHeight="1" x14ac:dyDescent="0.2">
      <c r="C1909"/>
      <c r="M1909"/>
    </row>
    <row r="1910" spans="3:13" ht="12.75" customHeight="1" x14ac:dyDescent="0.2">
      <c r="C1910"/>
      <c r="M1910"/>
    </row>
    <row r="1911" spans="3:13" ht="12.75" customHeight="1" x14ac:dyDescent="0.2">
      <c r="C1911"/>
      <c r="M1911"/>
    </row>
    <row r="1912" spans="3:13" ht="12.75" customHeight="1" x14ac:dyDescent="0.2">
      <c r="C1912"/>
      <c r="M1912"/>
    </row>
    <row r="1913" spans="3:13" ht="12.75" customHeight="1" x14ac:dyDescent="0.2">
      <c r="C1913"/>
      <c r="M1913"/>
    </row>
    <row r="1914" spans="3:13" ht="12.75" customHeight="1" x14ac:dyDescent="0.2">
      <c r="C1914"/>
      <c r="M1914"/>
    </row>
    <row r="1915" spans="3:13" ht="12.75" customHeight="1" x14ac:dyDescent="0.2">
      <c r="C1915"/>
      <c r="M1915"/>
    </row>
    <row r="1916" spans="3:13" ht="12.75" customHeight="1" x14ac:dyDescent="0.2">
      <c r="C1916"/>
      <c r="M1916"/>
    </row>
    <row r="1917" spans="3:13" ht="12.75" customHeight="1" x14ac:dyDescent="0.2">
      <c r="C1917"/>
      <c r="M1917"/>
    </row>
    <row r="1918" spans="3:13" ht="12.75" customHeight="1" x14ac:dyDescent="0.2">
      <c r="C1918"/>
      <c r="M1918"/>
    </row>
    <row r="1919" spans="3:13" ht="12.75" customHeight="1" x14ac:dyDescent="0.2">
      <c r="C1919"/>
      <c r="M1919"/>
    </row>
    <row r="1920" spans="3:13" ht="12.75" customHeight="1" x14ac:dyDescent="0.2">
      <c r="C1920"/>
      <c r="M1920"/>
    </row>
    <row r="1921" spans="3:13" ht="12.75" customHeight="1" x14ac:dyDescent="0.2">
      <c r="C1921"/>
      <c r="M1921"/>
    </row>
    <row r="1922" spans="3:13" ht="12.75" customHeight="1" x14ac:dyDescent="0.2">
      <c r="C1922"/>
      <c r="M1922"/>
    </row>
    <row r="1923" spans="3:13" ht="12.75" customHeight="1" x14ac:dyDescent="0.2">
      <c r="C1923"/>
      <c r="M1923"/>
    </row>
    <row r="1924" spans="3:13" ht="12.75" customHeight="1" x14ac:dyDescent="0.2">
      <c r="C1924"/>
      <c r="M1924"/>
    </row>
    <row r="1925" spans="3:13" ht="12.75" customHeight="1" x14ac:dyDescent="0.2">
      <c r="C1925"/>
      <c r="M1925"/>
    </row>
    <row r="1926" spans="3:13" ht="12.75" customHeight="1" x14ac:dyDescent="0.2">
      <c r="C1926"/>
      <c r="M1926"/>
    </row>
    <row r="1927" spans="3:13" ht="12.75" customHeight="1" x14ac:dyDescent="0.2">
      <c r="C1927"/>
      <c r="M1927"/>
    </row>
    <row r="1928" spans="3:13" ht="12.75" customHeight="1" x14ac:dyDescent="0.2">
      <c r="C1928"/>
      <c r="M1928"/>
    </row>
    <row r="1929" spans="3:13" ht="12.75" customHeight="1" x14ac:dyDescent="0.2">
      <c r="C1929"/>
      <c r="M1929"/>
    </row>
    <row r="1930" spans="3:13" ht="12.75" customHeight="1" x14ac:dyDescent="0.2">
      <c r="C1930"/>
      <c r="M1930"/>
    </row>
    <row r="1931" spans="3:13" ht="12.75" customHeight="1" x14ac:dyDescent="0.2">
      <c r="C1931"/>
      <c r="M1931"/>
    </row>
    <row r="1932" spans="3:13" ht="12.75" customHeight="1" x14ac:dyDescent="0.2">
      <c r="C1932"/>
      <c r="M1932"/>
    </row>
    <row r="1933" spans="3:13" ht="12.75" customHeight="1" x14ac:dyDescent="0.2">
      <c r="C1933"/>
      <c r="M1933"/>
    </row>
    <row r="1934" spans="3:13" ht="12.75" customHeight="1" x14ac:dyDescent="0.2">
      <c r="C1934"/>
      <c r="M1934"/>
    </row>
    <row r="1935" spans="3:13" ht="12.75" customHeight="1" x14ac:dyDescent="0.2">
      <c r="C1935"/>
      <c r="M1935"/>
    </row>
    <row r="1936" spans="3:13" ht="12.75" customHeight="1" x14ac:dyDescent="0.2">
      <c r="C1936"/>
      <c r="M1936"/>
    </row>
    <row r="1937" spans="3:13" ht="12.75" customHeight="1" x14ac:dyDescent="0.2">
      <c r="C1937"/>
      <c r="M1937"/>
    </row>
    <row r="1938" spans="3:13" ht="12.75" customHeight="1" x14ac:dyDescent="0.2">
      <c r="C1938"/>
      <c r="M1938"/>
    </row>
    <row r="1939" spans="3:13" ht="12.75" customHeight="1" x14ac:dyDescent="0.2">
      <c r="C1939"/>
      <c r="M1939"/>
    </row>
    <row r="1940" spans="3:13" ht="12.75" customHeight="1" x14ac:dyDescent="0.2">
      <c r="C1940"/>
      <c r="M1940"/>
    </row>
    <row r="1941" spans="3:13" ht="12.75" customHeight="1" x14ac:dyDescent="0.2">
      <c r="C1941"/>
      <c r="M1941"/>
    </row>
    <row r="1942" spans="3:13" ht="12.75" customHeight="1" x14ac:dyDescent="0.2">
      <c r="C1942"/>
      <c r="M1942"/>
    </row>
    <row r="1943" spans="3:13" ht="12.75" customHeight="1" x14ac:dyDescent="0.2">
      <c r="C1943"/>
      <c r="M1943"/>
    </row>
    <row r="1944" spans="3:13" ht="12.75" customHeight="1" x14ac:dyDescent="0.2">
      <c r="C1944"/>
      <c r="M1944"/>
    </row>
    <row r="1945" spans="3:13" ht="12.75" customHeight="1" x14ac:dyDescent="0.2">
      <c r="C1945"/>
      <c r="M1945"/>
    </row>
    <row r="1946" spans="3:13" ht="12.75" customHeight="1" x14ac:dyDescent="0.2">
      <c r="C1946"/>
      <c r="M1946"/>
    </row>
    <row r="1947" spans="3:13" ht="12.75" customHeight="1" x14ac:dyDescent="0.2">
      <c r="C1947"/>
      <c r="M1947"/>
    </row>
    <row r="1948" spans="3:13" ht="12.75" customHeight="1" x14ac:dyDescent="0.2">
      <c r="C1948"/>
      <c r="M1948"/>
    </row>
    <row r="1949" spans="3:13" ht="12.75" customHeight="1" x14ac:dyDescent="0.2">
      <c r="C1949"/>
      <c r="M1949"/>
    </row>
    <row r="1950" spans="3:13" ht="12.75" customHeight="1" x14ac:dyDescent="0.2">
      <c r="C1950"/>
      <c r="M1950"/>
    </row>
    <row r="1951" spans="3:13" ht="12.75" customHeight="1" x14ac:dyDescent="0.2">
      <c r="C1951"/>
      <c r="M1951"/>
    </row>
    <row r="1952" spans="3:13" ht="12.75" customHeight="1" x14ac:dyDescent="0.2">
      <c r="C1952"/>
      <c r="M1952"/>
    </row>
    <row r="1953" spans="3:13" ht="12.75" customHeight="1" x14ac:dyDescent="0.2">
      <c r="C1953"/>
      <c r="M1953"/>
    </row>
    <row r="1954" spans="3:13" ht="12.75" customHeight="1" x14ac:dyDescent="0.2">
      <c r="C1954"/>
      <c r="M1954"/>
    </row>
    <row r="1955" spans="3:13" ht="12.75" customHeight="1" x14ac:dyDescent="0.2">
      <c r="C1955"/>
      <c r="M1955"/>
    </row>
    <row r="1956" spans="3:13" ht="12.75" customHeight="1" x14ac:dyDescent="0.2">
      <c r="C1956"/>
      <c r="M1956"/>
    </row>
    <row r="1957" spans="3:13" ht="12.75" customHeight="1" x14ac:dyDescent="0.2">
      <c r="C1957"/>
      <c r="M1957"/>
    </row>
    <row r="1958" spans="3:13" ht="12.75" customHeight="1" x14ac:dyDescent="0.2">
      <c r="C1958"/>
      <c r="M1958"/>
    </row>
    <row r="1959" spans="3:13" ht="12.75" customHeight="1" x14ac:dyDescent="0.2">
      <c r="C1959"/>
      <c r="M1959"/>
    </row>
    <row r="1960" spans="3:13" ht="12.75" customHeight="1" x14ac:dyDescent="0.2">
      <c r="C1960"/>
      <c r="M1960"/>
    </row>
    <row r="1961" spans="3:13" ht="12.75" customHeight="1" x14ac:dyDescent="0.2">
      <c r="C1961"/>
      <c r="M1961"/>
    </row>
    <row r="1962" spans="3:13" ht="12.75" customHeight="1" x14ac:dyDescent="0.2">
      <c r="C1962"/>
      <c r="M1962"/>
    </row>
    <row r="1963" spans="3:13" ht="12.75" customHeight="1" x14ac:dyDescent="0.2">
      <c r="C1963"/>
      <c r="M1963"/>
    </row>
    <row r="1964" spans="3:13" ht="12.75" customHeight="1" x14ac:dyDescent="0.2">
      <c r="C1964"/>
      <c r="M1964"/>
    </row>
    <row r="1965" spans="3:13" ht="12.75" customHeight="1" x14ac:dyDescent="0.2">
      <c r="C1965"/>
      <c r="M1965"/>
    </row>
    <row r="1966" spans="3:13" ht="12.75" customHeight="1" x14ac:dyDescent="0.2">
      <c r="C1966"/>
      <c r="M1966"/>
    </row>
    <row r="1967" spans="3:13" ht="12.75" customHeight="1" x14ac:dyDescent="0.2">
      <c r="C1967"/>
      <c r="M1967"/>
    </row>
    <row r="1968" spans="3:13" ht="12.75" customHeight="1" x14ac:dyDescent="0.2">
      <c r="C1968"/>
      <c r="M1968"/>
    </row>
    <row r="1969" spans="3:13" ht="12.75" customHeight="1" x14ac:dyDescent="0.2">
      <c r="C1969"/>
      <c r="M1969"/>
    </row>
    <row r="1970" spans="3:13" ht="12.75" customHeight="1" x14ac:dyDescent="0.2">
      <c r="C1970"/>
      <c r="M1970"/>
    </row>
    <row r="1971" spans="3:13" ht="12.75" customHeight="1" x14ac:dyDescent="0.2">
      <c r="C1971"/>
      <c r="M1971"/>
    </row>
    <row r="1972" spans="3:13" ht="12.75" customHeight="1" x14ac:dyDescent="0.2">
      <c r="C1972"/>
      <c r="M1972"/>
    </row>
    <row r="1973" spans="3:13" ht="12.75" customHeight="1" x14ac:dyDescent="0.2">
      <c r="C1973"/>
      <c r="M1973"/>
    </row>
    <row r="1974" spans="3:13" ht="12.75" customHeight="1" x14ac:dyDescent="0.2">
      <c r="C1974"/>
      <c r="M1974"/>
    </row>
    <row r="1975" spans="3:13" ht="12.75" customHeight="1" x14ac:dyDescent="0.2">
      <c r="C1975"/>
      <c r="M1975"/>
    </row>
    <row r="1976" spans="3:13" ht="12.75" customHeight="1" x14ac:dyDescent="0.2">
      <c r="C1976"/>
      <c r="M1976"/>
    </row>
    <row r="1977" spans="3:13" ht="12.75" customHeight="1" x14ac:dyDescent="0.2">
      <c r="C1977"/>
      <c r="M1977"/>
    </row>
    <row r="1978" spans="3:13" ht="12.75" customHeight="1" x14ac:dyDescent="0.2">
      <c r="C1978"/>
      <c r="M1978"/>
    </row>
    <row r="1979" spans="3:13" ht="12.75" customHeight="1" x14ac:dyDescent="0.2">
      <c r="C1979"/>
      <c r="M1979"/>
    </row>
    <row r="1980" spans="3:13" ht="12.75" customHeight="1" x14ac:dyDescent="0.2">
      <c r="C1980"/>
      <c r="M1980"/>
    </row>
    <row r="1981" spans="3:13" ht="12.75" customHeight="1" x14ac:dyDescent="0.2">
      <c r="C1981"/>
      <c r="M1981"/>
    </row>
    <row r="1982" spans="3:13" ht="12.75" customHeight="1" x14ac:dyDescent="0.2">
      <c r="C1982"/>
      <c r="M1982"/>
    </row>
    <row r="1983" spans="3:13" ht="12.75" customHeight="1" x14ac:dyDescent="0.2">
      <c r="C1983"/>
      <c r="M1983"/>
    </row>
    <row r="1984" spans="3:13" ht="12.75" customHeight="1" x14ac:dyDescent="0.2">
      <c r="C1984"/>
      <c r="M1984"/>
    </row>
    <row r="1985" spans="3:13" ht="12.75" customHeight="1" x14ac:dyDescent="0.2">
      <c r="C1985"/>
      <c r="M1985"/>
    </row>
    <row r="1986" spans="3:13" ht="12.75" customHeight="1" x14ac:dyDescent="0.2">
      <c r="C1986"/>
      <c r="M1986"/>
    </row>
    <row r="1987" spans="3:13" ht="12.75" customHeight="1" x14ac:dyDescent="0.2">
      <c r="C1987"/>
      <c r="M1987"/>
    </row>
    <row r="1988" spans="3:13" ht="12.75" customHeight="1" x14ac:dyDescent="0.2">
      <c r="C1988"/>
      <c r="M1988"/>
    </row>
    <row r="1989" spans="3:13" ht="12.75" customHeight="1" x14ac:dyDescent="0.2">
      <c r="C1989"/>
      <c r="M1989"/>
    </row>
    <row r="1990" spans="3:13" ht="12.75" customHeight="1" x14ac:dyDescent="0.2">
      <c r="C1990"/>
      <c r="M1990"/>
    </row>
    <row r="1991" spans="3:13" ht="12.75" customHeight="1" x14ac:dyDescent="0.2">
      <c r="C1991"/>
      <c r="M1991"/>
    </row>
    <row r="1992" spans="3:13" ht="12.75" customHeight="1" x14ac:dyDescent="0.2">
      <c r="C1992"/>
      <c r="M1992"/>
    </row>
    <row r="1993" spans="3:13" ht="12.75" customHeight="1" x14ac:dyDescent="0.2">
      <c r="C1993"/>
      <c r="M1993"/>
    </row>
    <row r="1994" spans="3:13" ht="12.75" customHeight="1" x14ac:dyDescent="0.2">
      <c r="C1994"/>
      <c r="M1994"/>
    </row>
    <row r="1995" spans="3:13" ht="12.75" customHeight="1" x14ac:dyDescent="0.2">
      <c r="C1995"/>
      <c r="M1995"/>
    </row>
    <row r="1996" spans="3:13" ht="12.75" customHeight="1" x14ac:dyDescent="0.2">
      <c r="C1996"/>
      <c r="M1996"/>
    </row>
    <row r="1997" spans="3:13" ht="12.75" customHeight="1" x14ac:dyDescent="0.2">
      <c r="C1997"/>
      <c r="M1997"/>
    </row>
    <row r="1998" spans="3:13" ht="12.75" customHeight="1" x14ac:dyDescent="0.2">
      <c r="C1998"/>
      <c r="M1998"/>
    </row>
    <row r="1999" spans="3:13" ht="12.75" customHeight="1" x14ac:dyDescent="0.2">
      <c r="C1999"/>
      <c r="M1999"/>
    </row>
    <row r="2000" spans="3:13" ht="12.75" customHeight="1" x14ac:dyDescent="0.2">
      <c r="C2000"/>
      <c r="M2000"/>
    </row>
    <row r="2001" spans="3:13" ht="12.75" customHeight="1" x14ac:dyDescent="0.2">
      <c r="C2001"/>
      <c r="M2001"/>
    </row>
    <row r="2002" spans="3:13" ht="12.75" customHeight="1" x14ac:dyDescent="0.2">
      <c r="C2002"/>
      <c r="M2002"/>
    </row>
    <row r="2003" spans="3:13" ht="12.75" customHeight="1" x14ac:dyDescent="0.2">
      <c r="C2003"/>
      <c r="M2003"/>
    </row>
    <row r="2004" spans="3:13" ht="12.75" customHeight="1" x14ac:dyDescent="0.2">
      <c r="C2004"/>
      <c r="M2004"/>
    </row>
    <row r="2005" spans="3:13" ht="12.75" customHeight="1" x14ac:dyDescent="0.2">
      <c r="C2005"/>
      <c r="M2005"/>
    </row>
    <row r="2006" spans="3:13" ht="12.75" customHeight="1" x14ac:dyDescent="0.2">
      <c r="C2006"/>
      <c r="M2006"/>
    </row>
    <row r="2007" spans="3:13" ht="12.75" customHeight="1" x14ac:dyDescent="0.2">
      <c r="C2007"/>
      <c r="M2007"/>
    </row>
    <row r="2008" spans="3:13" ht="12.75" customHeight="1" x14ac:dyDescent="0.2">
      <c r="C2008"/>
      <c r="M2008"/>
    </row>
    <row r="2009" spans="3:13" ht="12.75" customHeight="1" x14ac:dyDescent="0.2">
      <c r="C2009"/>
      <c r="M2009"/>
    </row>
    <row r="2010" spans="3:13" ht="12.75" customHeight="1" x14ac:dyDescent="0.2">
      <c r="C2010"/>
      <c r="M2010"/>
    </row>
    <row r="2011" spans="3:13" ht="12.75" customHeight="1" x14ac:dyDescent="0.2">
      <c r="C2011"/>
      <c r="M2011"/>
    </row>
    <row r="2012" spans="3:13" ht="12.75" customHeight="1" x14ac:dyDescent="0.2">
      <c r="C2012"/>
      <c r="M2012"/>
    </row>
    <row r="2013" spans="3:13" ht="12.75" customHeight="1" x14ac:dyDescent="0.2">
      <c r="C2013"/>
      <c r="M2013"/>
    </row>
    <row r="2014" spans="3:13" ht="12.75" customHeight="1" x14ac:dyDescent="0.2">
      <c r="C2014"/>
      <c r="M2014"/>
    </row>
    <row r="2015" spans="3:13" ht="12.75" customHeight="1" x14ac:dyDescent="0.2">
      <c r="C2015"/>
      <c r="M2015"/>
    </row>
    <row r="2016" spans="3:13" ht="12.75" customHeight="1" x14ac:dyDescent="0.2">
      <c r="C2016"/>
      <c r="M2016"/>
    </row>
    <row r="2017" spans="3:13" ht="12.75" customHeight="1" x14ac:dyDescent="0.2">
      <c r="C2017"/>
      <c r="M2017"/>
    </row>
    <row r="2018" spans="3:13" ht="12.75" customHeight="1" x14ac:dyDescent="0.2">
      <c r="C2018"/>
      <c r="M2018"/>
    </row>
    <row r="2019" spans="3:13" ht="12.75" customHeight="1" x14ac:dyDescent="0.2">
      <c r="C2019"/>
      <c r="M2019"/>
    </row>
    <row r="2020" spans="3:13" ht="12.75" customHeight="1" x14ac:dyDescent="0.2">
      <c r="C2020"/>
      <c r="M2020"/>
    </row>
    <row r="2021" spans="3:13" ht="12.75" customHeight="1" x14ac:dyDescent="0.2">
      <c r="C2021"/>
      <c r="M2021"/>
    </row>
    <row r="2022" spans="3:13" ht="12.75" customHeight="1" x14ac:dyDescent="0.2">
      <c r="C2022"/>
      <c r="M2022"/>
    </row>
    <row r="2023" spans="3:13" ht="12.75" customHeight="1" x14ac:dyDescent="0.2">
      <c r="C2023"/>
      <c r="M2023"/>
    </row>
    <row r="2024" spans="3:13" ht="12.75" customHeight="1" x14ac:dyDescent="0.2">
      <c r="C2024"/>
      <c r="M2024"/>
    </row>
    <row r="2025" spans="3:13" ht="12.75" customHeight="1" x14ac:dyDescent="0.2">
      <c r="C2025"/>
      <c r="M2025"/>
    </row>
    <row r="2026" spans="3:13" ht="12.75" customHeight="1" x14ac:dyDescent="0.2">
      <c r="C2026"/>
      <c r="M2026"/>
    </row>
    <row r="2027" spans="3:13" ht="12.75" customHeight="1" x14ac:dyDescent="0.2">
      <c r="C2027"/>
      <c r="M2027"/>
    </row>
    <row r="2028" spans="3:13" ht="12.75" customHeight="1" x14ac:dyDescent="0.2">
      <c r="C2028"/>
      <c r="M2028"/>
    </row>
    <row r="2029" spans="3:13" ht="12.75" customHeight="1" x14ac:dyDescent="0.2">
      <c r="C2029"/>
      <c r="M2029"/>
    </row>
    <row r="2030" spans="3:13" ht="12.75" customHeight="1" x14ac:dyDescent="0.2">
      <c r="C2030"/>
      <c r="M2030"/>
    </row>
    <row r="2031" spans="3:13" ht="12.75" customHeight="1" x14ac:dyDescent="0.2">
      <c r="C2031"/>
      <c r="M2031"/>
    </row>
    <row r="2032" spans="3:13" ht="12.75" customHeight="1" x14ac:dyDescent="0.2">
      <c r="C2032"/>
      <c r="M2032"/>
    </row>
    <row r="2033" spans="3:13" ht="12.75" customHeight="1" x14ac:dyDescent="0.2">
      <c r="C2033"/>
      <c r="M2033"/>
    </row>
    <row r="2034" spans="3:13" ht="12.75" customHeight="1" x14ac:dyDescent="0.2">
      <c r="C2034"/>
      <c r="M2034"/>
    </row>
    <row r="2035" spans="3:13" ht="12.75" customHeight="1" x14ac:dyDescent="0.2">
      <c r="C2035"/>
      <c r="M2035"/>
    </row>
    <row r="2036" spans="3:13" ht="12.75" customHeight="1" x14ac:dyDescent="0.2">
      <c r="C2036"/>
      <c r="M2036"/>
    </row>
    <row r="2037" spans="3:13" ht="12.75" customHeight="1" x14ac:dyDescent="0.2">
      <c r="C2037"/>
      <c r="M2037"/>
    </row>
    <row r="2038" spans="3:13" ht="12.75" customHeight="1" x14ac:dyDescent="0.2">
      <c r="C2038"/>
      <c r="M2038"/>
    </row>
    <row r="2039" spans="3:13" ht="12.75" customHeight="1" x14ac:dyDescent="0.2">
      <c r="C2039"/>
      <c r="M2039"/>
    </row>
    <row r="2040" spans="3:13" ht="12.75" customHeight="1" x14ac:dyDescent="0.2">
      <c r="C2040"/>
      <c r="M2040"/>
    </row>
    <row r="2041" spans="3:13" ht="12.75" customHeight="1" x14ac:dyDescent="0.2">
      <c r="C2041"/>
      <c r="M2041"/>
    </row>
    <row r="2042" spans="3:13" ht="12.75" customHeight="1" x14ac:dyDescent="0.2">
      <c r="C2042"/>
      <c r="M2042"/>
    </row>
    <row r="2043" spans="3:13" ht="12.75" customHeight="1" x14ac:dyDescent="0.2">
      <c r="C2043"/>
      <c r="M2043"/>
    </row>
    <row r="2044" spans="3:13" ht="12.75" customHeight="1" x14ac:dyDescent="0.2">
      <c r="C2044"/>
      <c r="M2044"/>
    </row>
    <row r="2045" spans="3:13" ht="12.75" customHeight="1" x14ac:dyDescent="0.2">
      <c r="C2045"/>
      <c r="M2045"/>
    </row>
    <row r="2046" spans="3:13" ht="12.75" customHeight="1" x14ac:dyDescent="0.2">
      <c r="C2046"/>
      <c r="M2046"/>
    </row>
    <row r="2047" spans="3:13" ht="12.75" customHeight="1" x14ac:dyDescent="0.2">
      <c r="C2047"/>
      <c r="M2047"/>
    </row>
    <row r="2048" spans="3:13" ht="12.75" customHeight="1" x14ac:dyDescent="0.2">
      <c r="C2048"/>
      <c r="M2048"/>
    </row>
    <row r="2049" spans="3:13" ht="12.75" customHeight="1" x14ac:dyDescent="0.2">
      <c r="C2049"/>
      <c r="M2049"/>
    </row>
    <row r="2050" spans="3:13" ht="12.75" customHeight="1" x14ac:dyDescent="0.2">
      <c r="C2050"/>
      <c r="M2050"/>
    </row>
    <row r="2051" spans="3:13" ht="12.75" customHeight="1" x14ac:dyDescent="0.2">
      <c r="C2051"/>
      <c r="M2051"/>
    </row>
    <row r="2052" spans="3:13" ht="12.75" customHeight="1" x14ac:dyDescent="0.2">
      <c r="C2052"/>
      <c r="M2052"/>
    </row>
    <row r="2053" spans="3:13" ht="12.75" customHeight="1" x14ac:dyDescent="0.2">
      <c r="C2053"/>
      <c r="M2053"/>
    </row>
    <row r="2054" spans="3:13" ht="12.75" customHeight="1" x14ac:dyDescent="0.2">
      <c r="C2054"/>
      <c r="M2054"/>
    </row>
    <row r="2055" spans="3:13" ht="12.75" customHeight="1" x14ac:dyDescent="0.2">
      <c r="C2055"/>
      <c r="M2055"/>
    </row>
    <row r="2056" spans="3:13" ht="12.75" customHeight="1" x14ac:dyDescent="0.2">
      <c r="C2056"/>
      <c r="M2056"/>
    </row>
    <row r="2057" spans="3:13" ht="12.75" customHeight="1" x14ac:dyDescent="0.2">
      <c r="C2057"/>
      <c r="M2057"/>
    </row>
    <row r="2058" spans="3:13" ht="12.75" customHeight="1" x14ac:dyDescent="0.2">
      <c r="C2058"/>
      <c r="M2058"/>
    </row>
    <row r="2059" spans="3:13" ht="12.75" customHeight="1" x14ac:dyDescent="0.2">
      <c r="C2059"/>
      <c r="M2059"/>
    </row>
    <row r="2060" spans="3:13" ht="12.75" customHeight="1" x14ac:dyDescent="0.2">
      <c r="C2060"/>
      <c r="M2060"/>
    </row>
    <row r="2061" spans="3:13" ht="12.75" customHeight="1" x14ac:dyDescent="0.2">
      <c r="C2061"/>
      <c r="M2061"/>
    </row>
    <row r="2062" spans="3:13" ht="12.75" customHeight="1" x14ac:dyDescent="0.2">
      <c r="C2062"/>
      <c r="M2062"/>
    </row>
    <row r="2063" spans="3:13" ht="12.75" customHeight="1" x14ac:dyDescent="0.2">
      <c r="C2063"/>
      <c r="M2063"/>
    </row>
    <row r="2064" spans="3:13" ht="12.75" customHeight="1" x14ac:dyDescent="0.2">
      <c r="C2064"/>
      <c r="M2064"/>
    </row>
    <row r="2065" spans="3:13" ht="12.75" customHeight="1" x14ac:dyDescent="0.2">
      <c r="C2065"/>
      <c r="M2065"/>
    </row>
    <row r="2066" spans="3:13" ht="12.75" customHeight="1" x14ac:dyDescent="0.2">
      <c r="C2066"/>
      <c r="M2066"/>
    </row>
    <row r="2067" spans="3:13" ht="12.75" customHeight="1" x14ac:dyDescent="0.2">
      <c r="C2067"/>
      <c r="M2067"/>
    </row>
    <row r="2068" spans="3:13" ht="12.75" customHeight="1" x14ac:dyDescent="0.2">
      <c r="C2068"/>
      <c r="M2068"/>
    </row>
    <row r="2069" spans="3:13" ht="12.75" customHeight="1" x14ac:dyDescent="0.2">
      <c r="C2069"/>
      <c r="M2069"/>
    </row>
    <row r="2070" spans="3:13" ht="12.75" customHeight="1" x14ac:dyDescent="0.2">
      <c r="C2070"/>
      <c r="M2070"/>
    </row>
    <row r="2071" spans="3:13" ht="12.75" customHeight="1" x14ac:dyDescent="0.2">
      <c r="C2071"/>
      <c r="M2071"/>
    </row>
    <row r="2072" spans="3:13" ht="12.75" customHeight="1" x14ac:dyDescent="0.2">
      <c r="C2072"/>
      <c r="M2072"/>
    </row>
    <row r="2073" spans="3:13" ht="12.75" customHeight="1" x14ac:dyDescent="0.2">
      <c r="C2073"/>
      <c r="M2073"/>
    </row>
    <row r="2074" spans="3:13" ht="12.75" customHeight="1" x14ac:dyDescent="0.2">
      <c r="C2074"/>
      <c r="M2074"/>
    </row>
    <row r="2075" spans="3:13" ht="12.75" customHeight="1" x14ac:dyDescent="0.2">
      <c r="C2075"/>
      <c r="M2075"/>
    </row>
    <row r="2076" spans="3:13" ht="12.75" customHeight="1" x14ac:dyDescent="0.2">
      <c r="C2076"/>
      <c r="M2076"/>
    </row>
    <row r="2077" spans="3:13" ht="12.75" customHeight="1" x14ac:dyDescent="0.2">
      <c r="C2077"/>
      <c r="M2077"/>
    </row>
    <row r="2078" spans="3:13" ht="12.75" customHeight="1" x14ac:dyDescent="0.2">
      <c r="C2078"/>
      <c r="M2078"/>
    </row>
    <row r="2079" spans="3:13" ht="12.75" customHeight="1" x14ac:dyDescent="0.2">
      <c r="C2079"/>
      <c r="M2079"/>
    </row>
    <row r="2080" spans="3:13" ht="12.75" customHeight="1" x14ac:dyDescent="0.2">
      <c r="C2080"/>
      <c r="M2080"/>
    </row>
    <row r="2081" spans="3:13" ht="12.75" customHeight="1" x14ac:dyDescent="0.2">
      <c r="C2081"/>
      <c r="M2081"/>
    </row>
    <row r="2082" spans="3:13" ht="12.75" customHeight="1" x14ac:dyDescent="0.2">
      <c r="C2082"/>
      <c r="M2082"/>
    </row>
    <row r="2083" spans="3:13" ht="12.75" customHeight="1" x14ac:dyDescent="0.2">
      <c r="C2083"/>
      <c r="M2083"/>
    </row>
    <row r="2084" spans="3:13" ht="12.75" customHeight="1" x14ac:dyDescent="0.2">
      <c r="C2084"/>
      <c r="M2084"/>
    </row>
    <row r="2085" spans="3:13" ht="12.75" customHeight="1" x14ac:dyDescent="0.2">
      <c r="C2085"/>
      <c r="M2085"/>
    </row>
    <row r="2086" spans="3:13" ht="12.75" customHeight="1" x14ac:dyDescent="0.2">
      <c r="C2086"/>
      <c r="M2086"/>
    </row>
    <row r="2087" spans="3:13" ht="12.75" customHeight="1" x14ac:dyDescent="0.2">
      <c r="C2087"/>
      <c r="M2087"/>
    </row>
    <row r="2088" spans="3:13" ht="12.75" customHeight="1" x14ac:dyDescent="0.2">
      <c r="C2088"/>
      <c r="M2088"/>
    </row>
    <row r="2089" spans="3:13" ht="12.75" customHeight="1" x14ac:dyDescent="0.2">
      <c r="C2089"/>
      <c r="M2089"/>
    </row>
    <row r="2090" spans="3:13" ht="12.75" customHeight="1" x14ac:dyDescent="0.2">
      <c r="C2090"/>
      <c r="M2090"/>
    </row>
    <row r="2091" spans="3:13" ht="12.75" customHeight="1" x14ac:dyDescent="0.2">
      <c r="C2091"/>
      <c r="M2091"/>
    </row>
    <row r="2092" spans="3:13" ht="12.75" customHeight="1" x14ac:dyDescent="0.2">
      <c r="C2092"/>
      <c r="M2092"/>
    </row>
    <row r="2093" spans="3:13" ht="12.75" customHeight="1" x14ac:dyDescent="0.2">
      <c r="C2093"/>
      <c r="M2093"/>
    </row>
    <row r="2094" spans="3:13" ht="12.75" customHeight="1" x14ac:dyDescent="0.2">
      <c r="C2094"/>
      <c r="M2094"/>
    </row>
    <row r="2095" spans="3:13" ht="12.75" customHeight="1" x14ac:dyDescent="0.2">
      <c r="C2095"/>
      <c r="M2095"/>
    </row>
    <row r="2096" spans="3:13" ht="12.75" customHeight="1" x14ac:dyDescent="0.2">
      <c r="C2096"/>
      <c r="M2096"/>
    </row>
    <row r="2097" spans="3:13" ht="12.75" customHeight="1" x14ac:dyDescent="0.2">
      <c r="C2097"/>
      <c r="M2097"/>
    </row>
    <row r="2098" spans="3:13" ht="12.75" customHeight="1" x14ac:dyDescent="0.2">
      <c r="C2098"/>
      <c r="M2098"/>
    </row>
    <row r="2099" spans="3:13" ht="12.75" customHeight="1" x14ac:dyDescent="0.2">
      <c r="C2099"/>
      <c r="M2099"/>
    </row>
    <row r="2100" spans="3:13" ht="12.75" customHeight="1" x14ac:dyDescent="0.2">
      <c r="C2100"/>
      <c r="M2100"/>
    </row>
    <row r="2101" spans="3:13" ht="12.75" customHeight="1" x14ac:dyDescent="0.2">
      <c r="C2101"/>
      <c r="M2101"/>
    </row>
    <row r="2102" spans="3:13" ht="12.75" customHeight="1" x14ac:dyDescent="0.2">
      <c r="C2102"/>
      <c r="M2102"/>
    </row>
    <row r="2103" spans="3:13" ht="12.75" customHeight="1" x14ac:dyDescent="0.2">
      <c r="C2103"/>
      <c r="M2103"/>
    </row>
    <row r="2104" spans="3:13" ht="12.75" customHeight="1" x14ac:dyDescent="0.2">
      <c r="C2104"/>
      <c r="M2104"/>
    </row>
    <row r="2105" spans="3:13" ht="12.75" customHeight="1" x14ac:dyDescent="0.2">
      <c r="C2105"/>
      <c r="M2105"/>
    </row>
    <row r="2106" spans="3:13" ht="12.75" customHeight="1" x14ac:dyDescent="0.2">
      <c r="C2106"/>
      <c r="M2106"/>
    </row>
    <row r="2107" spans="3:13" ht="12.75" customHeight="1" x14ac:dyDescent="0.2">
      <c r="C2107"/>
      <c r="M2107"/>
    </row>
    <row r="2108" spans="3:13" ht="12.75" customHeight="1" x14ac:dyDescent="0.2">
      <c r="C2108"/>
      <c r="M2108"/>
    </row>
    <row r="2109" spans="3:13" ht="12.75" customHeight="1" x14ac:dyDescent="0.2">
      <c r="C2109"/>
      <c r="M2109"/>
    </row>
    <row r="2110" spans="3:13" ht="12.75" customHeight="1" x14ac:dyDescent="0.2">
      <c r="C2110"/>
      <c r="M2110"/>
    </row>
    <row r="2111" spans="3:13" ht="12.75" customHeight="1" x14ac:dyDescent="0.2">
      <c r="C2111"/>
      <c r="M2111"/>
    </row>
    <row r="2112" spans="3:13" ht="12.75" customHeight="1" x14ac:dyDescent="0.2">
      <c r="C2112"/>
      <c r="M2112"/>
    </row>
    <row r="2113" spans="3:13" ht="12.75" customHeight="1" x14ac:dyDescent="0.2">
      <c r="C2113"/>
      <c r="M2113"/>
    </row>
    <row r="2114" spans="3:13" ht="12.75" customHeight="1" x14ac:dyDescent="0.2">
      <c r="C2114"/>
      <c r="M2114"/>
    </row>
    <row r="2115" spans="3:13" ht="12.75" customHeight="1" x14ac:dyDescent="0.2">
      <c r="C2115"/>
      <c r="M2115"/>
    </row>
    <row r="2116" spans="3:13" ht="12.75" customHeight="1" x14ac:dyDescent="0.2">
      <c r="C2116"/>
      <c r="M2116"/>
    </row>
    <row r="2117" spans="3:13" ht="12.75" customHeight="1" x14ac:dyDescent="0.2">
      <c r="C2117"/>
      <c r="M2117"/>
    </row>
    <row r="2118" spans="3:13" ht="12.75" customHeight="1" x14ac:dyDescent="0.2">
      <c r="C2118"/>
      <c r="M2118"/>
    </row>
    <row r="2119" spans="3:13" ht="12.75" customHeight="1" x14ac:dyDescent="0.2">
      <c r="C2119"/>
      <c r="M2119"/>
    </row>
    <row r="2120" spans="3:13" ht="12.75" customHeight="1" x14ac:dyDescent="0.2">
      <c r="C2120"/>
      <c r="M2120"/>
    </row>
    <row r="2121" spans="3:13" ht="12.75" customHeight="1" x14ac:dyDescent="0.2">
      <c r="C2121"/>
      <c r="M2121"/>
    </row>
    <row r="2122" spans="3:13" ht="12.75" customHeight="1" x14ac:dyDescent="0.2">
      <c r="C2122"/>
      <c r="M2122"/>
    </row>
    <row r="2123" spans="3:13" ht="12.75" customHeight="1" x14ac:dyDescent="0.2">
      <c r="C2123"/>
      <c r="M2123"/>
    </row>
    <row r="2124" spans="3:13" ht="12.75" customHeight="1" x14ac:dyDescent="0.2">
      <c r="C2124"/>
      <c r="M2124"/>
    </row>
    <row r="2125" spans="3:13" ht="12.75" customHeight="1" x14ac:dyDescent="0.2">
      <c r="C2125"/>
      <c r="M2125"/>
    </row>
    <row r="2126" spans="3:13" ht="12.75" customHeight="1" x14ac:dyDescent="0.2">
      <c r="C2126"/>
      <c r="M2126"/>
    </row>
    <row r="2127" spans="3:13" ht="12.75" customHeight="1" x14ac:dyDescent="0.2">
      <c r="C2127"/>
      <c r="M2127"/>
    </row>
    <row r="2128" spans="3:13" ht="12.75" customHeight="1" x14ac:dyDescent="0.2">
      <c r="C2128"/>
      <c r="M2128"/>
    </row>
    <row r="2129" spans="3:13" ht="12.75" customHeight="1" x14ac:dyDescent="0.2">
      <c r="C2129"/>
      <c r="M2129"/>
    </row>
    <row r="2130" spans="3:13" ht="12.75" customHeight="1" x14ac:dyDescent="0.2">
      <c r="C2130"/>
      <c r="M2130"/>
    </row>
    <row r="2131" spans="3:13" ht="12.75" customHeight="1" x14ac:dyDescent="0.2">
      <c r="C2131"/>
      <c r="M2131"/>
    </row>
    <row r="2132" spans="3:13" ht="12.75" customHeight="1" x14ac:dyDescent="0.2">
      <c r="C2132"/>
      <c r="M2132"/>
    </row>
    <row r="2133" spans="3:13" ht="12.75" customHeight="1" x14ac:dyDescent="0.2">
      <c r="C2133"/>
      <c r="M2133"/>
    </row>
    <row r="2134" spans="3:13" ht="12.75" customHeight="1" x14ac:dyDescent="0.2">
      <c r="C2134"/>
      <c r="M2134"/>
    </row>
    <row r="2135" spans="3:13" ht="12.75" customHeight="1" x14ac:dyDescent="0.2">
      <c r="C2135"/>
      <c r="M2135"/>
    </row>
    <row r="2136" spans="3:13" ht="12.75" customHeight="1" x14ac:dyDescent="0.2">
      <c r="C2136"/>
      <c r="M2136"/>
    </row>
    <row r="2137" spans="3:13" ht="12.75" customHeight="1" x14ac:dyDescent="0.2">
      <c r="C2137"/>
      <c r="M2137"/>
    </row>
    <row r="2138" spans="3:13" ht="12.75" customHeight="1" x14ac:dyDescent="0.2">
      <c r="C2138"/>
      <c r="M2138"/>
    </row>
    <row r="2139" spans="3:13" ht="12.75" customHeight="1" x14ac:dyDescent="0.2">
      <c r="C2139"/>
      <c r="M2139"/>
    </row>
    <row r="2140" spans="3:13" ht="12.75" customHeight="1" x14ac:dyDescent="0.2">
      <c r="C2140"/>
      <c r="M2140"/>
    </row>
    <row r="2141" spans="3:13" ht="12.75" customHeight="1" x14ac:dyDescent="0.2">
      <c r="C2141"/>
      <c r="M2141"/>
    </row>
    <row r="2142" spans="3:13" ht="12.75" customHeight="1" x14ac:dyDescent="0.2">
      <c r="C2142"/>
      <c r="M2142"/>
    </row>
    <row r="2143" spans="3:13" ht="12.75" customHeight="1" x14ac:dyDescent="0.2">
      <c r="C2143"/>
      <c r="M2143"/>
    </row>
    <row r="2144" spans="3:13" ht="12.75" customHeight="1" x14ac:dyDescent="0.2">
      <c r="C2144"/>
      <c r="M2144"/>
    </row>
    <row r="2145" spans="3:13" ht="12.75" customHeight="1" x14ac:dyDescent="0.2">
      <c r="C2145"/>
      <c r="M2145"/>
    </row>
    <row r="2146" spans="3:13" ht="12.75" customHeight="1" x14ac:dyDescent="0.2">
      <c r="C2146"/>
      <c r="M2146"/>
    </row>
    <row r="2147" spans="3:13" ht="12.75" customHeight="1" x14ac:dyDescent="0.2">
      <c r="C2147"/>
      <c r="M2147"/>
    </row>
    <row r="2148" spans="3:13" ht="12.75" customHeight="1" x14ac:dyDescent="0.2">
      <c r="C2148"/>
      <c r="M2148"/>
    </row>
    <row r="2149" spans="3:13" ht="12.75" customHeight="1" x14ac:dyDescent="0.2">
      <c r="C2149"/>
      <c r="M2149"/>
    </row>
    <row r="2150" spans="3:13" ht="12.75" customHeight="1" x14ac:dyDescent="0.2">
      <c r="C2150"/>
      <c r="M2150"/>
    </row>
    <row r="2151" spans="3:13" ht="12.75" customHeight="1" x14ac:dyDescent="0.2">
      <c r="C2151"/>
      <c r="M2151"/>
    </row>
    <row r="2152" spans="3:13" ht="12.75" customHeight="1" x14ac:dyDescent="0.2">
      <c r="C2152"/>
      <c r="M2152"/>
    </row>
    <row r="2153" spans="3:13" ht="12.75" customHeight="1" x14ac:dyDescent="0.2">
      <c r="C2153"/>
      <c r="M2153"/>
    </row>
    <row r="2154" spans="3:13" ht="12.75" customHeight="1" x14ac:dyDescent="0.2">
      <c r="C2154"/>
      <c r="M2154"/>
    </row>
    <row r="2155" spans="3:13" ht="12.75" customHeight="1" x14ac:dyDescent="0.2">
      <c r="C2155"/>
      <c r="M2155"/>
    </row>
    <row r="2156" spans="3:13" ht="12.75" customHeight="1" x14ac:dyDescent="0.2">
      <c r="C2156"/>
      <c r="M2156"/>
    </row>
    <row r="2157" spans="3:13" ht="12.75" customHeight="1" x14ac:dyDescent="0.2">
      <c r="C2157"/>
      <c r="M2157"/>
    </row>
    <row r="2158" spans="3:13" ht="12.75" customHeight="1" x14ac:dyDescent="0.2">
      <c r="C2158"/>
      <c r="M2158"/>
    </row>
    <row r="2159" spans="3:13" ht="12.75" customHeight="1" x14ac:dyDescent="0.2">
      <c r="C2159"/>
      <c r="M2159"/>
    </row>
    <row r="2160" spans="3:13" ht="12.75" customHeight="1" x14ac:dyDescent="0.2">
      <c r="C2160"/>
      <c r="M2160"/>
    </row>
    <row r="2161" spans="3:13" ht="12.75" customHeight="1" x14ac:dyDescent="0.2">
      <c r="C2161"/>
      <c r="M2161"/>
    </row>
    <row r="2162" spans="3:13" ht="12.75" customHeight="1" x14ac:dyDescent="0.2">
      <c r="C2162"/>
      <c r="M2162"/>
    </row>
    <row r="2163" spans="3:13" ht="12.75" customHeight="1" x14ac:dyDescent="0.2">
      <c r="C2163"/>
      <c r="M2163"/>
    </row>
    <row r="2164" spans="3:13" ht="12.75" customHeight="1" x14ac:dyDescent="0.2">
      <c r="C2164"/>
      <c r="M2164"/>
    </row>
    <row r="2165" spans="3:13" ht="12.75" customHeight="1" x14ac:dyDescent="0.2">
      <c r="C2165"/>
      <c r="M2165"/>
    </row>
    <row r="2166" spans="3:13" ht="12.75" customHeight="1" x14ac:dyDescent="0.2">
      <c r="C2166"/>
      <c r="M2166"/>
    </row>
    <row r="2167" spans="3:13" ht="12.75" customHeight="1" x14ac:dyDescent="0.2">
      <c r="C2167"/>
      <c r="M2167"/>
    </row>
    <row r="2168" spans="3:13" ht="12.75" customHeight="1" x14ac:dyDescent="0.2">
      <c r="C2168"/>
      <c r="M2168"/>
    </row>
    <row r="2169" spans="3:13" ht="12.75" customHeight="1" x14ac:dyDescent="0.2">
      <c r="C2169"/>
      <c r="M2169"/>
    </row>
    <row r="2170" spans="3:13" ht="12.75" customHeight="1" x14ac:dyDescent="0.2">
      <c r="C2170"/>
      <c r="M2170"/>
    </row>
    <row r="2171" spans="3:13" ht="12.75" customHeight="1" x14ac:dyDescent="0.2">
      <c r="C2171"/>
      <c r="M2171"/>
    </row>
    <row r="2172" spans="3:13" ht="12.75" customHeight="1" x14ac:dyDescent="0.2">
      <c r="C2172"/>
      <c r="M2172"/>
    </row>
    <row r="2173" spans="3:13" ht="12.75" customHeight="1" x14ac:dyDescent="0.2">
      <c r="C2173"/>
      <c r="M2173"/>
    </row>
    <row r="2174" spans="3:13" ht="12.75" customHeight="1" x14ac:dyDescent="0.2">
      <c r="C2174"/>
      <c r="M2174"/>
    </row>
    <row r="2175" spans="3:13" ht="12.75" customHeight="1" x14ac:dyDescent="0.2">
      <c r="C2175"/>
      <c r="M2175"/>
    </row>
    <row r="2176" spans="3:13" ht="12.75" customHeight="1" x14ac:dyDescent="0.2">
      <c r="C2176"/>
      <c r="M2176"/>
    </row>
    <row r="2177" spans="3:13" ht="12.75" customHeight="1" x14ac:dyDescent="0.2">
      <c r="C2177"/>
      <c r="M2177"/>
    </row>
    <row r="2178" spans="3:13" ht="12.75" customHeight="1" x14ac:dyDescent="0.2">
      <c r="C2178"/>
      <c r="M2178"/>
    </row>
    <row r="2179" spans="3:13" ht="12.75" customHeight="1" x14ac:dyDescent="0.2">
      <c r="C2179"/>
      <c r="M2179"/>
    </row>
    <row r="2180" spans="3:13" ht="12.75" customHeight="1" x14ac:dyDescent="0.2">
      <c r="C2180"/>
      <c r="M2180"/>
    </row>
    <row r="2181" spans="3:13" ht="12.75" customHeight="1" x14ac:dyDescent="0.2">
      <c r="C2181"/>
      <c r="M2181"/>
    </row>
    <row r="2182" spans="3:13" ht="12.75" customHeight="1" x14ac:dyDescent="0.2">
      <c r="C2182"/>
      <c r="M2182"/>
    </row>
    <row r="2183" spans="3:13" ht="12.75" customHeight="1" x14ac:dyDescent="0.2">
      <c r="C2183"/>
      <c r="M2183"/>
    </row>
    <row r="2184" spans="3:13" ht="12.75" customHeight="1" x14ac:dyDescent="0.2">
      <c r="C2184"/>
      <c r="M2184"/>
    </row>
    <row r="2185" spans="3:13" ht="12.75" customHeight="1" x14ac:dyDescent="0.2">
      <c r="C2185"/>
      <c r="M2185"/>
    </row>
    <row r="2186" spans="3:13" ht="12.75" customHeight="1" x14ac:dyDescent="0.2">
      <c r="C2186"/>
      <c r="M2186"/>
    </row>
    <row r="2187" spans="3:13" ht="12.75" customHeight="1" x14ac:dyDescent="0.2">
      <c r="C2187"/>
      <c r="M2187"/>
    </row>
    <row r="2188" spans="3:13" ht="12.75" customHeight="1" x14ac:dyDescent="0.2">
      <c r="C2188"/>
      <c r="M2188"/>
    </row>
    <row r="2189" spans="3:13" ht="12.75" customHeight="1" x14ac:dyDescent="0.2">
      <c r="C2189"/>
      <c r="M2189"/>
    </row>
    <row r="2190" spans="3:13" ht="12.75" customHeight="1" x14ac:dyDescent="0.2">
      <c r="C2190"/>
      <c r="M2190"/>
    </row>
    <row r="2191" spans="3:13" ht="12.75" customHeight="1" x14ac:dyDescent="0.2">
      <c r="C2191"/>
      <c r="M2191"/>
    </row>
    <row r="2192" spans="3:13" ht="12.75" customHeight="1" x14ac:dyDescent="0.2">
      <c r="C2192"/>
      <c r="M2192"/>
    </row>
    <row r="2193" spans="3:13" ht="12.75" customHeight="1" x14ac:dyDescent="0.2">
      <c r="C2193"/>
      <c r="M2193"/>
    </row>
    <row r="2194" spans="3:13" ht="12.75" customHeight="1" x14ac:dyDescent="0.2">
      <c r="C2194"/>
      <c r="M2194"/>
    </row>
    <row r="2195" spans="3:13" ht="12.75" customHeight="1" x14ac:dyDescent="0.2">
      <c r="C2195"/>
      <c r="M2195"/>
    </row>
    <row r="2196" spans="3:13" ht="12.75" customHeight="1" x14ac:dyDescent="0.2">
      <c r="C2196"/>
      <c r="M2196"/>
    </row>
    <row r="2197" spans="3:13" ht="12.75" customHeight="1" x14ac:dyDescent="0.2">
      <c r="C2197"/>
      <c r="M2197"/>
    </row>
    <row r="2198" spans="3:13" ht="12.75" customHeight="1" x14ac:dyDescent="0.2">
      <c r="C2198"/>
      <c r="M2198"/>
    </row>
    <row r="2199" spans="3:13" ht="12.75" customHeight="1" x14ac:dyDescent="0.2">
      <c r="C2199"/>
      <c r="M2199"/>
    </row>
    <row r="2200" spans="3:13" ht="12.75" customHeight="1" x14ac:dyDescent="0.2">
      <c r="C2200"/>
      <c r="M2200"/>
    </row>
    <row r="2201" spans="3:13" ht="12.75" customHeight="1" x14ac:dyDescent="0.2">
      <c r="C2201"/>
      <c r="M2201"/>
    </row>
    <row r="2202" spans="3:13" ht="12.75" customHeight="1" x14ac:dyDescent="0.2">
      <c r="C2202"/>
      <c r="M2202"/>
    </row>
    <row r="2203" spans="3:13" ht="12.75" customHeight="1" x14ac:dyDescent="0.2">
      <c r="C2203"/>
      <c r="M2203"/>
    </row>
    <row r="2204" spans="3:13" ht="12.75" customHeight="1" x14ac:dyDescent="0.2">
      <c r="C2204"/>
      <c r="M2204"/>
    </row>
    <row r="2205" spans="3:13" ht="12.75" customHeight="1" x14ac:dyDescent="0.2">
      <c r="C2205"/>
      <c r="M2205"/>
    </row>
    <row r="2206" spans="3:13" ht="12.75" customHeight="1" x14ac:dyDescent="0.2">
      <c r="C2206"/>
      <c r="M2206"/>
    </row>
    <row r="2207" spans="3:13" ht="12.75" customHeight="1" x14ac:dyDescent="0.2">
      <c r="C2207"/>
      <c r="M2207"/>
    </row>
    <row r="2208" spans="3:13" ht="12.75" customHeight="1" x14ac:dyDescent="0.2">
      <c r="C2208"/>
      <c r="M2208"/>
    </row>
    <row r="2209" spans="3:13" ht="12.75" customHeight="1" x14ac:dyDescent="0.2">
      <c r="C2209"/>
      <c r="M2209"/>
    </row>
    <row r="2210" spans="3:13" ht="12.75" customHeight="1" x14ac:dyDescent="0.2">
      <c r="C2210"/>
      <c r="M2210"/>
    </row>
    <row r="2211" spans="3:13" ht="12.75" customHeight="1" x14ac:dyDescent="0.2">
      <c r="C2211"/>
      <c r="M2211"/>
    </row>
    <row r="2212" spans="3:13" ht="12.75" customHeight="1" x14ac:dyDescent="0.2">
      <c r="C2212"/>
      <c r="M2212"/>
    </row>
    <row r="2213" spans="3:13" ht="12.75" customHeight="1" x14ac:dyDescent="0.2">
      <c r="C2213"/>
      <c r="M2213"/>
    </row>
    <row r="2214" spans="3:13" ht="12.75" customHeight="1" x14ac:dyDescent="0.2">
      <c r="C2214"/>
      <c r="M2214"/>
    </row>
    <row r="2215" spans="3:13" ht="12.75" customHeight="1" x14ac:dyDescent="0.2">
      <c r="C2215"/>
      <c r="M2215"/>
    </row>
    <row r="2216" spans="3:13" ht="12.75" customHeight="1" x14ac:dyDescent="0.2">
      <c r="C2216"/>
      <c r="M2216"/>
    </row>
    <row r="2217" spans="3:13" ht="12.75" customHeight="1" x14ac:dyDescent="0.2">
      <c r="C2217"/>
      <c r="M2217"/>
    </row>
    <row r="2218" spans="3:13" ht="12.75" customHeight="1" x14ac:dyDescent="0.2">
      <c r="C2218"/>
      <c r="M2218"/>
    </row>
    <row r="2219" spans="3:13" ht="12.75" customHeight="1" x14ac:dyDescent="0.2">
      <c r="C2219"/>
      <c r="M2219"/>
    </row>
    <row r="2220" spans="3:13" ht="12.75" customHeight="1" x14ac:dyDescent="0.2">
      <c r="C2220"/>
      <c r="M2220"/>
    </row>
    <row r="2221" spans="3:13" ht="12.75" customHeight="1" x14ac:dyDescent="0.2">
      <c r="C2221"/>
      <c r="M2221"/>
    </row>
    <row r="2222" spans="3:13" ht="12.75" customHeight="1" x14ac:dyDescent="0.2">
      <c r="C2222"/>
      <c r="M2222"/>
    </row>
    <row r="2223" spans="3:13" ht="12.75" customHeight="1" x14ac:dyDescent="0.2">
      <c r="C2223"/>
      <c r="M2223"/>
    </row>
    <row r="2224" spans="3:13" ht="12.75" customHeight="1" x14ac:dyDescent="0.2">
      <c r="C2224"/>
      <c r="M2224"/>
    </row>
    <row r="2225" spans="3:13" ht="12.75" customHeight="1" x14ac:dyDescent="0.2">
      <c r="C2225"/>
      <c r="M2225"/>
    </row>
    <row r="2226" spans="3:13" ht="12.75" customHeight="1" x14ac:dyDescent="0.2">
      <c r="C2226"/>
      <c r="M2226"/>
    </row>
    <row r="2227" spans="3:13" ht="12.75" customHeight="1" x14ac:dyDescent="0.2">
      <c r="C2227"/>
      <c r="M2227"/>
    </row>
    <row r="2228" spans="3:13" ht="12.75" customHeight="1" x14ac:dyDescent="0.2">
      <c r="C2228"/>
      <c r="M2228"/>
    </row>
    <row r="2229" spans="3:13" ht="12.75" customHeight="1" x14ac:dyDescent="0.2">
      <c r="C2229"/>
      <c r="M2229"/>
    </row>
    <row r="2230" spans="3:13" ht="12.75" customHeight="1" x14ac:dyDescent="0.2">
      <c r="C2230"/>
      <c r="M2230"/>
    </row>
    <row r="2231" spans="3:13" ht="12.75" customHeight="1" x14ac:dyDescent="0.2">
      <c r="C2231"/>
      <c r="M2231"/>
    </row>
    <row r="2232" spans="3:13" ht="12.75" customHeight="1" x14ac:dyDescent="0.2">
      <c r="C2232"/>
      <c r="M2232"/>
    </row>
    <row r="2233" spans="3:13" ht="12.75" customHeight="1" x14ac:dyDescent="0.2">
      <c r="C2233"/>
      <c r="M2233"/>
    </row>
    <row r="2234" spans="3:13" ht="12.75" customHeight="1" x14ac:dyDescent="0.2">
      <c r="C2234"/>
      <c r="M2234"/>
    </row>
    <row r="2235" spans="3:13" ht="12.75" customHeight="1" x14ac:dyDescent="0.2">
      <c r="C2235"/>
      <c r="M2235"/>
    </row>
    <row r="2236" spans="3:13" ht="12.75" customHeight="1" x14ac:dyDescent="0.2">
      <c r="C2236"/>
      <c r="M2236"/>
    </row>
    <row r="2237" spans="3:13" ht="12.75" customHeight="1" x14ac:dyDescent="0.2">
      <c r="C2237"/>
      <c r="M2237"/>
    </row>
    <row r="2238" spans="3:13" ht="12.75" customHeight="1" x14ac:dyDescent="0.2">
      <c r="C2238"/>
      <c r="M2238"/>
    </row>
    <row r="2239" spans="3:13" ht="12.75" customHeight="1" x14ac:dyDescent="0.2">
      <c r="C2239"/>
      <c r="M2239"/>
    </row>
    <row r="2240" spans="3:13" ht="12.75" customHeight="1" x14ac:dyDescent="0.2">
      <c r="C2240"/>
      <c r="M2240"/>
    </row>
    <row r="2241" spans="3:13" ht="12.75" customHeight="1" x14ac:dyDescent="0.2">
      <c r="C2241"/>
      <c r="M2241"/>
    </row>
    <row r="2242" spans="3:13" ht="12.75" customHeight="1" x14ac:dyDescent="0.2">
      <c r="C2242"/>
      <c r="M2242"/>
    </row>
    <row r="2243" spans="3:13" ht="12.75" customHeight="1" x14ac:dyDescent="0.2">
      <c r="C2243"/>
      <c r="M2243"/>
    </row>
    <row r="2244" spans="3:13" ht="12.75" customHeight="1" x14ac:dyDescent="0.2">
      <c r="C2244"/>
      <c r="M2244"/>
    </row>
    <row r="2245" spans="3:13" ht="12.75" customHeight="1" x14ac:dyDescent="0.2">
      <c r="C2245"/>
      <c r="M2245"/>
    </row>
    <row r="2246" spans="3:13" ht="12.75" customHeight="1" x14ac:dyDescent="0.2">
      <c r="C2246"/>
      <c r="M2246"/>
    </row>
    <row r="2247" spans="3:13" ht="12.75" customHeight="1" x14ac:dyDescent="0.2">
      <c r="C2247"/>
      <c r="M2247"/>
    </row>
    <row r="2248" spans="3:13" ht="12.75" customHeight="1" x14ac:dyDescent="0.2">
      <c r="C2248"/>
      <c r="M2248"/>
    </row>
    <row r="2249" spans="3:13" ht="12.75" customHeight="1" x14ac:dyDescent="0.2">
      <c r="C2249"/>
      <c r="M2249"/>
    </row>
    <row r="2250" spans="3:13" ht="12.75" customHeight="1" x14ac:dyDescent="0.2">
      <c r="C2250"/>
      <c r="M2250"/>
    </row>
    <row r="2251" spans="3:13" ht="12.75" customHeight="1" x14ac:dyDescent="0.2">
      <c r="C2251"/>
      <c r="M2251"/>
    </row>
    <row r="2252" spans="3:13" ht="12.75" customHeight="1" x14ac:dyDescent="0.2">
      <c r="C2252"/>
      <c r="M2252"/>
    </row>
    <row r="2253" spans="3:13" ht="12.75" customHeight="1" x14ac:dyDescent="0.2">
      <c r="C2253"/>
      <c r="M2253"/>
    </row>
    <row r="2254" spans="3:13" ht="12.75" customHeight="1" x14ac:dyDescent="0.2">
      <c r="C2254"/>
      <c r="M2254"/>
    </row>
    <row r="2255" spans="3:13" ht="12.75" customHeight="1" x14ac:dyDescent="0.2">
      <c r="C2255"/>
      <c r="M2255"/>
    </row>
    <row r="2256" spans="3:13" ht="12.75" customHeight="1" x14ac:dyDescent="0.2">
      <c r="C2256"/>
      <c r="M2256"/>
    </row>
    <row r="2257" spans="3:13" ht="12.75" customHeight="1" x14ac:dyDescent="0.2">
      <c r="C2257"/>
      <c r="M2257"/>
    </row>
    <row r="2258" spans="3:13" ht="12.75" customHeight="1" x14ac:dyDescent="0.2">
      <c r="C2258"/>
      <c r="M2258"/>
    </row>
    <row r="2259" spans="3:13" ht="12.75" customHeight="1" x14ac:dyDescent="0.2">
      <c r="C2259"/>
      <c r="M2259"/>
    </row>
    <row r="2260" spans="3:13" ht="12.75" customHeight="1" x14ac:dyDescent="0.2">
      <c r="C2260"/>
      <c r="M2260"/>
    </row>
    <row r="2261" spans="3:13" ht="12.75" customHeight="1" x14ac:dyDescent="0.2">
      <c r="C2261"/>
      <c r="M2261"/>
    </row>
    <row r="2262" spans="3:13" ht="12.75" customHeight="1" x14ac:dyDescent="0.2">
      <c r="C2262"/>
      <c r="M2262"/>
    </row>
    <row r="2263" spans="3:13" ht="12.75" customHeight="1" x14ac:dyDescent="0.2">
      <c r="C2263"/>
      <c r="M2263"/>
    </row>
    <row r="2264" spans="3:13" ht="12.75" customHeight="1" x14ac:dyDescent="0.2">
      <c r="C2264"/>
      <c r="M2264"/>
    </row>
    <row r="2265" spans="3:13" ht="12.75" customHeight="1" x14ac:dyDescent="0.2">
      <c r="C2265"/>
      <c r="M2265"/>
    </row>
    <row r="2266" spans="3:13" ht="12.75" customHeight="1" x14ac:dyDescent="0.2">
      <c r="C2266"/>
      <c r="M2266"/>
    </row>
    <row r="2267" spans="3:13" ht="12.75" customHeight="1" x14ac:dyDescent="0.2">
      <c r="C2267"/>
      <c r="M2267"/>
    </row>
    <row r="2268" spans="3:13" ht="12.75" customHeight="1" x14ac:dyDescent="0.2">
      <c r="C2268"/>
      <c r="M2268"/>
    </row>
    <row r="2269" spans="3:13" ht="12.75" customHeight="1" x14ac:dyDescent="0.2">
      <c r="C2269"/>
      <c r="M2269"/>
    </row>
    <row r="2270" spans="3:13" ht="12.75" customHeight="1" x14ac:dyDescent="0.2">
      <c r="C2270"/>
      <c r="M2270"/>
    </row>
    <row r="2271" spans="3:13" ht="12.75" customHeight="1" x14ac:dyDescent="0.2">
      <c r="C2271"/>
      <c r="M2271"/>
    </row>
    <row r="2272" spans="3:13" ht="12.75" customHeight="1" x14ac:dyDescent="0.2">
      <c r="C2272"/>
      <c r="M2272"/>
    </row>
    <row r="2273" spans="3:13" ht="12.75" customHeight="1" x14ac:dyDescent="0.2">
      <c r="C2273"/>
      <c r="M2273"/>
    </row>
    <row r="2274" spans="3:13" ht="12.75" customHeight="1" x14ac:dyDescent="0.2">
      <c r="C2274"/>
      <c r="M2274"/>
    </row>
    <row r="2275" spans="3:13" ht="12.75" customHeight="1" x14ac:dyDescent="0.2">
      <c r="C2275"/>
      <c r="M2275"/>
    </row>
    <row r="2276" spans="3:13" ht="12.75" customHeight="1" x14ac:dyDescent="0.2">
      <c r="C2276"/>
      <c r="M2276"/>
    </row>
    <row r="2277" spans="3:13" ht="12.75" customHeight="1" x14ac:dyDescent="0.2">
      <c r="C2277"/>
      <c r="M2277"/>
    </row>
    <row r="2278" spans="3:13" ht="12.75" customHeight="1" x14ac:dyDescent="0.2">
      <c r="C2278"/>
      <c r="M2278"/>
    </row>
    <row r="2279" spans="3:13" ht="12.75" customHeight="1" x14ac:dyDescent="0.2">
      <c r="C2279"/>
      <c r="M2279"/>
    </row>
    <row r="2280" spans="3:13" ht="12.75" customHeight="1" x14ac:dyDescent="0.2">
      <c r="C2280"/>
      <c r="M2280"/>
    </row>
    <row r="2281" spans="3:13" ht="12.75" customHeight="1" x14ac:dyDescent="0.2">
      <c r="C2281"/>
      <c r="M2281"/>
    </row>
    <row r="2282" spans="3:13" ht="12.75" customHeight="1" x14ac:dyDescent="0.2">
      <c r="C2282"/>
      <c r="M2282"/>
    </row>
    <row r="2283" spans="3:13" ht="12.75" customHeight="1" x14ac:dyDescent="0.2">
      <c r="C2283"/>
      <c r="M2283"/>
    </row>
    <row r="2284" spans="3:13" ht="12.75" customHeight="1" x14ac:dyDescent="0.2">
      <c r="C2284"/>
      <c r="M2284"/>
    </row>
    <row r="2285" spans="3:13" ht="12.75" customHeight="1" x14ac:dyDescent="0.2">
      <c r="C2285"/>
      <c r="M2285"/>
    </row>
    <row r="2286" spans="3:13" ht="12.75" customHeight="1" x14ac:dyDescent="0.2">
      <c r="C2286"/>
      <c r="M2286"/>
    </row>
    <row r="2287" spans="3:13" ht="12.75" customHeight="1" x14ac:dyDescent="0.2">
      <c r="C2287"/>
      <c r="M2287"/>
    </row>
    <row r="2288" spans="3:13" ht="12.75" customHeight="1" x14ac:dyDescent="0.2">
      <c r="C2288"/>
      <c r="M2288"/>
    </row>
    <row r="2289" spans="3:13" ht="12.75" customHeight="1" x14ac:dyDescent="0.2">
      <c r="C2289"/>
      <c r="M2289"/>
    </row>
    <row r="2290" spans="3:13" ht="12.75" customHeight="1" x14ac:dyDescent="0.2">
      <c r="C2290"/>
      <c r="M2290"/>
    </row>
    <row r="2291" spans="3:13" ht="12.75" customHeight="1" x14ac:dyDescent="0.2">
      <c r="C2291"/>
      <c r="M2291"/>
    </row>
    <row r="2292" spans="3:13" ht="12.75" customHeight="1" x14ac:dyDescent="0.2">
      <c r="C2292"/>
      <c r="M2292"/>
    </row>
    <row r="2293" spans="3:13" ht="12.75" customHeight="1" x14ac:dyDescent="0.2">
      <c r="C2293"/>
      <c r="M2293"/>
    </row>
    <row r="2294" spans="3:13" ht="12.75" customHeight="1" x14ac:dyDescent="0.2">
      <c r="C2294"/>
      <c r="M2294"/>
    </row>
    <row r="2295" spans="3:13" ht="12.75" customHeight="1" x14ac:dyDescent="0.2">
      <c r="C2295"/>
      <c r="M2295"/>
    </row>
    <row r="2296" spans="3:13" ht="12.75" customHeight="1" x14ac:dyDescent="0.2">
      <c r="C2296"/>
      <c r="M2296"/>
    </row>
    <row r="2297" spans="3:13" ht="12.75" customHeight="1" x14ac:dyDescent="0.2">
      <c r="C2297"/>
      <c r="M2297"/>
    </row>
    <row r="2298" spans="3:13" ht="12.75" customHeight="1" x14ac:dyDescent="0.2">
      <c r="C2298"/>
      <c r="M2298"/>
    </row>
    <row r="2299" spans="3:13" ht="12.75" customHeight="1" x14ac:dyDescent="0.2">
      <c r="C2299"/>
      <c r="M2299"/>
    </row>
    <row r="2300" spans="3:13" ht="12.75" customHeight="1" x14ac:dyDescent="0.2">
      <c r="C2300"/>
      <c r="M2300"/>
    </row>
    <row r="2301" spans="3:13" ht="12.75" customHeight="1" x14ac:dyDescent="0.2">
      <c r="C2301"/>
      <c r="M2301"/>
    </row>
    <row r="2302" spans="3:13" ht="12.75" customHeight="1" x14ac:dyDescent="0.2">
      <c r="C2302"/>
      <c r="M2302"/>
    </row>
    <row r="2303" spans="3:13" ht="12.75" customHeight="1" x14ac:dyDescent="0.2">
      <c r="C2303"/>
      <c r="M2303"/>
    </row>
    <row r="2304" spans="3:13" ht="12.75" customHeight="1" x14ac:dyDescent="0.2">
      <c r="C2304"/>
      <c r="M2304"/>
    </row>
    <row r="2305" spans="3:13" ht="12.75" customHeight="1" x14ac:dyDescent="0.2">
      <c r="C2305"/>
      <c r="M2305"/>
    </row>
    <row r="2306" spans="3:13" ht="12.75" customHeight="1" x14ac:dyDescent="0.2">
      <c r="C2306"/>
      <c r="M2306"/>
    </row>
    <row r="2307" spans="3:13" ht="12.75" customHeight="1" x14ac:dyDescent="0.2">
      <c r="C2307"/>
      <c r="M2307"/>
    </row>
    <row r="2308" spans="3:13" ht="12.75" customHeight="1" x14ac:dyDescent="0.2">
      <c r="C2308"/>
      <c r="M2308"/>
    </row>
    <row r="2309" spans="3:13" ht="12.75" customHeight="1" x14ac:dyDescent="0.2">
      <c r="C2309"/>
      <c r="M2309"/>
    </row>
    <row r="2310" spans="3:13" ht="12.75" customHeight="1" x14ac:dyDescent="0.2">
      <c r="C2310"/>
      <c r="M2310"/>
    </row>
    <row r="2311" spans="3:13" ht="12.75" customHeight="1" x14ac:dyDescent="0.2">
      <c r="C2311"/>
      <c r="M2311"/>
    </row>
    <row r="2312" spans="3:13" ht="12.75" customHeight="1" x14ac:dyDescent="0.2">
      <c r="C2312"/>
      <c r="M2312"/>
    </row>
    <row r="2313" spans="3:13" ht="12.75" customHeight="1" x14ac:dyDescent="0.2">
      <c r="C2313"/>
      <c r="M2313"/>
    </row>
    <row r="2314" spans="3:13" ht="12.75" customHeight="1" x14ac:dyDescent="0.2">
      <c r="C2314"/>
      <c r="M2314"/>
    </row>
    <row r="2315" spans="3:13" ht="12.75" customHeight="1" x14ac:dyDescent="0.2">
      <c r="C2315"/>
      <c r="M2315"/>
    </row>
    <row r="2316" spans="3:13" ht="12.75" customHeight="1" x14ac:dyDescent="0.2">
      <c r="C2316"/>
      <c r="M2316"/>
    </row>
    <row r="2317" spans="3:13" ht="12.75" customHeight="1" x14ac:dyDescent="0.2">
      <c r="C2317"/>
      <c r="M2317"/>
    </row>
    <row r="2318" spans="3:13" ht="12.75" customHeight="1" x14ac:dyDescent="0.2">
      <c r="C2318"/>
      <c r="M2318"/>
    </row>
    <row r="2319" spans="3:13" ht="12.75" customHeight="1" x14ac:dyDescent="0.2">
      <c r="C2319"/>
      <c r="M2319"/>
    </row>
    <row r="2320" spans="3:13" ht="12.75" customHeight="1" x14ac:dyDescent="0.2">
      <c r="C2320"/>
      <c r="M2320"/>
    </row>
    <row r="2321" spans="3:13" ht="12.75" customHeight="1" x14ac:dyDescent="0.2">
      <c r="C2321"/>
      <c r="M2321"/>
    </row>
    <row r="2322" spans="3:13" ht="12.75" customHeight="1" x14ac:dyDescent="0.2">
      <c r="C2322"/>
      <c r="M2322"/>
    </row>
    <row r="2323" spans="3:13" ht="12.75" customHeight="1" x14ac:dyDescent="0.2">
      <c r="C2323"/>
      <c r="M2323"/>
    </row>
    <row r="2324" spans="3:13" ht="12.75" customHeight="1" x14ac:dyDescent="0.2">
      <c r="C2324"/>
      <c r="M2324"/>
    </row>
    <row r="2325" spans="3:13" ht="12.75" customHeight="1" x14ac:dyDescent="0.2">
      <c r="C2325"/>
      <c r="M2325"/>
    </row>
    <row r="2326" spans="3:13" ht="12.75" customHeight="1" x14ac:dyDescent="0.2">
      <c r="C2326"/>
      <c r="M2326"/>
    </row>
    <row r="2327" spans="3:13" ht="12.75" customHeight="1" x14ac:dyDescent="0.2">
      <c r="C2327"/>
      <c r="M2327"/>
    </row>
    <row r="2328" spans="3:13" ht="12.75" customHeight="1" x14ac:dyDescent="0.2">
      <c r="C2328"/>
      <c r="M2328"/>
    </row>
    <row r="2329" spans="3:13" ht="12.75" customHeight="1" x14ac:dyDescent="0.2">
      <c r="C2329"/>
      <c r="M2329"/>
    </row>
    <row r="2330" spans="3:13" ht="12.75" customHeight="1" x14ac:dyDescent="0.2">
      <c r="C2330"/>
      <c r="M2330"/>
    </row>
    <row r="2331" spans="3:13" ht="12.75" customHeight="1" x14ac:dyDescent="0.2">
      <c r="C2331"/>
      <c r="M2331"/>
    </row>
    <row r="2332" spans="3:13" ht="12.75" customHeight="1" x14ac:dyDescent="0.2">
      <c r="C2332"/>
      <c r="M2332"/>
    </row>
    <row r="2333" spans="3:13" ht="12.75" customHeight="1" x14ac:dyDescent="0.2">
      <c r="C2333"/>
      <c r="M2333"/>
    </row>
    <row r="2334" spans="3:13" ht="12.75" customHeight="1" x14ac:dyDescent="0.2">
      <c r="C2334"/>
      <c r="M2334"/>
    </row>
    <row r="2335" spans="3:13" ht="12.75" customHeight="1" x14ac:dyDescent="0.2">
      <c r="C2335"/>
      <c r="M2335"/>
    </row>
    <row r="2336" spans="3:13" ht="12.75" customHeight="1" x14ac:dyDescent="0.2">
      <c r="C2336"/>
      <c r="M2336"/>
    </row>
    <row r="2337" spans="3:13" ht="12.75" customHeight="1" x14ac:dyDescent="0.2">
      <c r="C2337"/>
      <c r="M2337"/>
    </row>
    <row r="2338" spans="3:13" ht="12.75" customHeight="1" x14ac:dyDescent="0.2">
      <c r="C2338"/>
      <c r="M2338"/>
    </row>
    <row r="2339" spans="3:13" ht="12.75" customHeight="1" x14ac:dyDescent="0.2">
      <c r="C2339"/>
      <c r="M2339"/>
    </row>
    <row r="2340" spans="3:13" ht="12.75" customHeight="1" x14ac:dyDescent="0.2">
      <c r="C2340"/>
      <c r="M2340"/>
    </row>
    <row r="2341" spans="3:13" ht="12.75" customHeight="1" x14ac:dyDescent="0.2">
      <c r="C2341"/>
      <c r="M2341"/>
    </row>
    <row r="2342" spans="3:13" ht="12.75" customHeight="1" x14ac:dyDescent="0.2">
      <c r="C2342"/>
      <c r="M2342"/>
    </row>
    <row r="2343" spans="3:13" ht="12.75" customHeight="1" x14ac:dyDescent="0.2">
      <c r="C2343"/>
      <c r="M2343"/>
    </row>
    <row r="2344" spans="3:13" ht="12.75" customHeight="1" x14ac:dyDescent="0.2">
      <c r="C2344"/>
      <c r="M2344"/>
    </row>
    <row r="2345" spans="3:13" ht="12.75" customHeight="1" x14ac:dyDescent="0.2">
      <c r="C2345"/>
      <c r="M2345"/>
    </row>
    <row r="2346" spans="3:13" ht="12.75" customHeight="1" x14ac:dyDescent="0.2">
      <c r="C2346"/>
      <c r="M2346"/>
    </row>
    <row r="2347" spans="3:13" ht="12.75" customHeight="1" x14ac:dyDescent="0.2">
      <c r="C2347"/>
      <c r="M2347"/>
    </row>
    <row r="2348" spans="3:13" ht="12.75" customHeight="1" x14ac:dyDescent="0.2">
      <c r="C2348"/>
      <c r="M2348"/>
    </row>
    <row r="2349" spans="3:13" ht="12.75" customHeight="1" x14ac:dyDescent="0.2">
      <c r="C2349"/>
      <c r="M2349"/>
    </row>
    <row r="2350" spans="3:13" ht="12.75" customHeight="1" x14ac:dyDescent="0.2">
      <c r="C2350"/>
      <c r="M2350"/>
    </row>
    <row r="2351" spans="3:13" ht="12.75" customHeight="1" x14ac:dyDescent="0.2">
      <c r="C2351"/>
      <c r="M2351"/>
    </row>
    <row r="2352" spans="3:13" ht="12.75" customHeight="1" x14ac:dyDescent="0.2">
      <c r="C2352"/>
      <c r="M2352"/>
    </row>
    <row r="2353" spans="3:13" ht="12.75" customHeight="1" x14ac:dyDescent="0.2">
      <c r="C2353"/>
      <c r="M2353"/>
    </row>
    <row r="2354" spans="3:13" ht="12.75" customHeight="1" x14ac:dyDescent="0.2">
      <c r="C2354"/>
      <c r="M2354"/>
    </row>
    <row r="2355" spans="3:13" ht="12.75" customHeight="1" x14ac:dyDescent="0.2">
      <c r="C2355"/>
      <c r="M2355"/>
    </row>
    <row r="2356" spans="3:13" ht="12.75" customHeight="1" x14ac:dyDescent="0.2">
      <c r="C2356"/>
      <c r="M2356"/>
    </row>
    <row r="2357" spans="3:13" ht="12.75" customHeight="1" x14ac:dyDescent="0.2">
      <c r="C2357"/>
      <c r="M2357"/>
    </row>
    <row r="2358" spans="3:13" ht="12.75" customHeight="1" x14ac:dyDescent="0.2">
      <c r="C2358"/>
      <c r="M2358"/>
    </row>
    <row r="2359" spans="3:13" ht="12.75" customHeight="1" x14ac:dyDescent="0.2">
      <c r="C2359"/>
      <c r="M2359"/>
    </row>
    <row r="2360" spans="3:13" ht="12.75" customHeight="1" x14ac:dyDescent="0.2">
      <c r="C2360"/>
      <c r="M2360"/>
    </row>
    <row r="2361" spans="3:13" ht="12.75" customHeight="1" x14ac:dyDescent="0.2">
      <c r="C2361"/>
      <c r="M2361"/>
    </row>
    <row r="2362" spans="3:13" ht="12.75" customHeight="1" x14ac:dyDescent="0.2">
      <c r="C2362"/>
      <c r="M2362"/>
    </row>
    <row r="2363" spans="3:13" ht="12.75" customHeight="1" x14ac:dyDescent="0.2">
      <c r="C2363"/>
      <c r="M2363"/>
    </row>
    <row r="2364" spans="3:13" ht="12.75" customHeight="1" x14ac:dyDescent="0.2">
      <c r="C2364"/>
      <c r="M2364"/>
    </row>
    <row r="2365" spans="3:13" ht="12.75" customHeight="1" x14ac:dyDescent="0.2">
      <c r="C2365"/>
      <c r="M2365"/>
    </row>
    <row r="2366" spans="3:13" ht="12.75" customHeight="1" x14ac:dyDescent="0.2">
      <c r="C2366"/>
      <c r="M2366"/>
    </row>
    <row r="2367" spans="3:13" ht="12.75" customHeight="1" x14ac:dyDescent="0.2">
      <c r="C2367"/>
      <c r="M2367"/>
    </row>
    <row r="2368" spans="3:13" ht="12.75" customHeight="1" x14ac:dyDescent="0.2">
      <c r="C2368"/>
      <c r="M2368"/>
    </row>
    <row r="2369" spans="3:13" ht="12.75" customHeight="1" x14ac:dyDescent="0.2">
      <c r="C2369"/>
      <c r="M2369"/>
    </row>
    <row r="2370" spans="3:13" ht="12.75" customHeight="1" x14ac:dyDescent="0.2">
      <c r="C2370"/>
      <c r="M2370"/>
    </row>
    <row r="2371" spans="3:13" ht="12.75" customHeight="1" x14ac:dyDescent="0.2">
      <c r="C2371"/>
      <c r="M2371"/>
    </row>
    <row r="2372" spans="3:13" ht="12.75" customHeight="1" x14ac:dyDescent="0.2">
      <c r="C2372"/>
      <c r="M2372"/>
    </row>
    <row r="2373" spans="3:13" ht="12.75" customHeight="1" x14ac:dyDescent="0.2">
      <c r="C2373"/>
      <c r="M2373"/>
    </row>
    <row r="2374" spans="3:13" ht="12.75" customHeight="1" x14ac:dyDescent="0.2">
      <c r="C2374"/>
      <c r="M2374"/>
    </row>
    <row r="2375" spans="3:13" ht="12.75" customHeight="1" x14ac:dyDescent="0.2">
      <c r="C2375"/>
      <c r="M2375"/>
    </row>
    <row r="2376" spans="3:13" ht="12.75" customHeight="1" x14ac:dyDescent="0.2">
      <c r="C2376"/>
      <c r="M2376"/>
    </row>
    <row r="2377" spans="3:13" ht="12.75" customHeight="1" x14ac:dyDescent="0.2">
      <c r="C2377"/>
      <c r="M2377"/>
    </row>
    <row r="2378" spans="3:13" ht="12.75" customHeight="1" x14ac:dyDescent="0.2">
      <c r="C2378"/>
      <c r="M2378"/>
    </row>
    <row r="2379" spans="3:13" ht="12.75" customHeight="1" x14ac:dyDescent="0.2">
      <c r="C2379"/>
      <c r="M2379"/>
    </row>
    <row r="2380" spans="3:13" ht="12.75" customHeight="1" x14ac:dyDescent="0.2">
      <c r="C2380"/>
      <c r="M2380"/>
    </row>
    <row r="2381" spans="3:13" ht="12.75" customHeight="1" x14ac:dyDescent="0.2">
      <c r="C2381"/>
      <c r="M2381"/>
    </row>
    <row r="2382" spans="3:13" ht="12.75" customHeight="1" x14ac:dyDescent="0.2">
      <c r="C2382"/>
      <c r="M2382"/>
    </row>
    <row r="2383" spans="3:13" ht="12.75" customHeight="1" x14ac:dyDescent="0.2">
      <c r="C2383"/>
      <c r="M2383"/>
    </row>
    <row r="2384" spans="3:13" ht="12.75" customHeight="1" x14ac:dyDescent="0.2">
      <c r="C2384"/>
      <c r="M2384"/>
    </row>
    <row r="2385" spans="3:13" ht="12.75" customHeight="1" x14ac:dyDescent="0.2">
      <c r="C2385"/>
      <c r="M2385"/>
    </row>
    <row r="2386" spans="3:13" ht="12.75" customHeight="1" x14ac:dyDescent="0.2">
      <c r="C2386"/>
      <c r="M2386"/>
    </row>
    <row r="2387" spans="3:13" ht="12.75" customHeight="1" x14ac:dyDescent="0.2">
      <c r="C2387"/>
      <c r="M2387"/>
    </row>
    <row r="2388" spans="3:13" ht="12.75" customHeight="1" x14ac:dyDescent="0.2">
      <c r="C2388"/>
      <c r="M2388"/>
    </row>
    <row r="2389" spans="3:13" ht="12.75" customHeight="1" x14ac:dyDescent="0.2">
      <c r="C2389"/>
      <c r="M2389"/>
    </row>
    <row r="2390" spans="3:13" ht="12.75" customHeight="1" x14ac:dyDescent="0.2">
      <c r="C2390"/>
      <c r="M2390"/>
    </row>
    <row r="2391" spans="3:13" ht="12.75" customHeight="1" x14ac:dyDescent="0.2">
      <c r="C2391"/>
      <c r="M2391"/>
    </row>
    <row r="2392" spans="3:13" ht="12.75" customHeight="1" x14ac:dyDescent="0.2">
      <c r="C2392"/>
      <c r="M2392"/>
    </row>
    <row r="2393" spans="3:13" ht="12.75" customHeight="1" x14ac:dyDescent="0.2">
      <c r="C2393"/>
      <c r="M2393"/>
    </row>
    <row r="2394" spans="3:13" ht="12.75" customHeight="1" x14ac:dyDescent="0.2">
      <c r="C2394"/>
      <c r="M2394"/>
    </row>
    <row r="2395" spans="3:13" ht="12.75" customHeight="1" x14ac:dyDescent="0.2">
      <c r="C2395"/>
      <c r="M2395"/>
    </row>
    <row r="2396" spans="3:13" ht="12.75" customHeight="1" x14ac:dyDescent="0.2">
      <c r="C2396"/>
      <c r="M2396"/>
    </row>
    <row r="2397" spans="3:13" ht="12.75" customHeight="1" x14ac:dyDescent="0.2">
      <c r="C2397"/>
      <c r="M2397"/>
    </row>
    <row r="2398" spans="3:13" ht="12.75" customHeight="1" x14ac:dyDescent="0.2">
      <c r="C2398"/>
      <c r="M2398"/>
    </row>
    <row r="2399" spans="3:13" ht="12.75" customHeight="1" x14ac:dyDescent="0.2">
      <c r="C2399"/>
      <c r="M2399"/>
    </row>
    <row r="2400" spans="3:13" ht="12.75" customHeight="1" x14ac:dyDescent="0.2">
      <c r="C2400"/>
      <c r="M2400"/>
    </row>
    <row r="2401" spans="3:13" ht="12.75" customHeight="1" x14ac:dyDescent="0.2">
      <c r="C2401"/>
      <c r="M2401"/>
    </row>
    <row r="2402" spans="3:13" ht="12.75" customHeight="1" x14ac:dyDescent="0.2">
      <c r="C2402"/>
      <c r="M2402"/>
    </row>
    <row r="2403" spans="3:13" ht="12.75" customHeight="1" x14ac:dyDescent="0.2">
      <c r="C2403"/>
      <c r="M2403"/>
    </row>
    <row r="2404" spans="3:13" ht="12.75" customHeight="1" x14ac:dyDescent="0.2">
      <c r="C2404"/>
      <c r="M2404"/>
    </row>
    <row r="2405" spans="3:13" ht="12.75" customHeight="1" x14ac:dyDescent="0.2">
      <c r="C2405"/>
      <c r="M2405"/>
    </row>
    <row r="2406" spans="3:13" ht="12.75" customHeight="1" x14ac:dyDescent="0.2">
      <c r="C2406"/>
      <c r="M2406"/>
    </row>
    <row r="2407" spans="3:13" ht="12.75" customHeight="1" x14ac:dyDescent="0.2">
      <c r="C2407"/>
      <c r="M2407"/>
    </row>
    <row r="2408" spans="3:13" ht="12.75" customHeight="1" x14ac:dyDescent="0.2">
      <c r="C2408"/>
      <c r="M2408"/>
    </row>
    <row r="2409" spans="3:13" ht="12.75" customHeight="1" x14ac:dyDescent="0.2">
      <c r="C2409"/>
      <c r="M2409"/>
    </row>
    <row r="2410" spans="3:13" ht="12.75" customHeight="1" x14ac:dyDescent="0.2">
      <c r="C2410"/>
      <c r="M2410"/>
    </row>
    <row r="2411" spans="3:13" ht="12.75" customHeight="1" x14ac:dyDescent="0.2">
      <c r="C2411"/>
      <c r="M2411"/>
    </row>
    <row r="2412" spans="3:13" ht="12.75" customHeight="1" x14ac:dyDescent="0.2">
      <c r="C2412"/>
      <c r="M2412"/>
    </row>
    <row r="2413" spans="3:13" ht="12.75" customHeight="1" x14ac:dyDescent="0.2">
      <c r="C2413"/>
      <c r="M2413"/>
    </row>
    <row r="2414" spans="3:13" ht="12.75" customHeight="1" x14ac:dyDescent="0.2">
      <c r="C2414"/>
      <c r="M2414"/>
    </row>
    <row r="2415" spans="3:13" ht="12.75" customHeight="1" x14ac:dyDescent="0.2">
      <c r="C2415"/>
      <c r="M2415"/>
    </row>
    <row r="2416" spans="3:13" ht="12.75" customHeight="1" x14ac:dyDescent="0.2">
      <c r="C2416"/>
      <c r="M2416"/>
    </row>
    <row r="2417" spans="3:13" ht="12.75" customHeight="1" x14ac:dyDescent="0.2">
      <c r="C2417"/>
      <c r="M2417"/>
    </row>
    <row r="2418" spans="3:13" ht="12.75" customHeight="1" x14ac:dyDescent="0.2">
      <c r="C2418"/>
      <c r="M2418"/>
    </row>
    <row r="2419" spans="3:13" ht="12.75" customHeight="1" x14ac:dyDescent="0.2">
      <c r="C2419"/>
      <c r="M2419"/>
    </row>
    <row r="2420" spans="3:13" ht="12.75" customHeight="1" x14ac:dyDescent="0.2">
      <c r="C2420"/>
      <c r="M2420"/>
    </row>
    <row r="2421" spans="3:13" ht="12.75" customHeight="1" x14ac:dyDescent="0.2">
      <c r="C2421"/>
      <c r="M2421"/>
    </row>
    <row r="2422" spans="3:13" ht="12.75" customHeight="1" x14ac:dyDescent="0.2">
      <c r="C2422"/>
      <c r="M2422"/>
    </row>
    <row r="2423" spans="3:13" ht="12.75" customHeight="1" x14ac:dyDescent="0.2">
      <c r="C2423"/>
      <c r="M2423"/>
    </row>
    <row r="2424" spans="3:13" ht="12.75" customHeight="1" x14ac:dyDescent="0.2">
      <c r="C2424"/>
      <c r="M2424"/>
    </row>
    <row r="2425" spans="3:13" ht="12.75" customHeight="1" x14ac:dyDescent="0.2">
      <c r="C2425"/>
      <c r="M2425"/>
    </row>
    <row r="2426" spans="3:13" ht="12.75" customHeight="1" x14ac:dyDescent="0.2">
      <c r="C2426"/>
      <c r="M2426"/>
    </row>
    <row r="2427" spans="3:13" ht="12.75" customHeight="1" x14ac:dyDescent="0.2">
      <c r="C2427"/>
      <c r="M2427"/>
    </row>
    <row r="2428" spans="3:13" ht="12.75" customHeight="1" x14ac:dyDescent="0.2">
      <c r="C2428"/>
      <c r="M2428"/>
    </row>
    <row r="2429" spans="3:13" ht="12.75" customHeight="1" x14ac:dyDescent="0.2">
      <c r="C2429"/>
      <c r="M2429"/>
    </row>
    <row r="2430" spans="3:13" ht="12.75" customHeight="1" x14ac:dyDescent="0.2">
      <c r="C2430"/>
      <c r="M2430"/>
    </row>
    <row r="2431" spans="3:13" ht="12.75" customHeight="1" x14ac:dyDescent="0.2">
      <c r="C2431"/>
      <c r="M2431"/>
    </row>
    <row r="2432" spans="3:13" ht="12.75" customHeight="1" x14ac:dyDescent="0.2">
      <c r="C2432"/>
      <c r="M2432"/>
    </row>
    <row r="2433" spans="3:13" ht="12.75" customHeight="1" x14ac:dyDescent="0.2">
      <c r="C2433"/>
      <c r="M2433"/>
    </row>
    <row r="2434" spans="3:13" ht="12.75" customHeight="1" x14ac:dyDescent="0.2">
      <c r="C2434"/>
      <c r="M2434"/>
    </row>
    <row r="2435" spans="3:13" ht="12.75" customHeight="1" x14ac:dyDescent="0.2">
      <c r="C2435"/>
      <c r="M2435"/>
    </row>
    <row r="2436" spans="3:13" ht="12.75" customHeight="1" x14ac:dyDescent="0.2">
      <c r="C2436"/>
      <c r="M2436"/>
    </row>
    <row r="2437" spans="3:13" ht="12.75" customHeight="1" x14ac:dyDescent="0.2">
      <c r="C2437"/>
      <c r="M2437"/>
    </row>
    <row r="2438" spans="3:13" ht="12.75" customHeight="1" x14ac:dyDescent="0.2">
      <c r="C2438"/>
      <c r="M2438"/>
    </row>
    <row r="2439" spans="3:13" ht="12.75" customHeight="1" x14ac:dyDescent="0.2">
      <c r="C2439"/>
      <c r="M2439"/>
    </row>
    <row r="2440" spans="3:13" ht="12.75" customHeight="1" x14ac:dyDescent="0.2">
      <c r="C2440"/>
      <c r="M2440"/>
    </row>
    <row r="2441" spans="3:13" ht="12.75" customHeight="1" x14ac:dyDescent="0.2">
      <c r="C2441"/>
      <c r="M2441"/>
    </row>
    <row r="2442" spans="3:13" ht="12.75" customHeight="1" x14ac:dyDescent="0.2">
      <c r="C2442"/>
      <c r="M2442"/>
    </row>
    <row r="2443" spans="3:13" ht="12.75" customHeight="1" x14ac:dyDescent="0.2">
      <c r="C2443"/>
      <c r="M2443"/>
    </row>
    <row r="2444" spans="3:13" ht="12.75" customHeight="1" x14ac:dyDescent="0.2">
      <c r="C2444"/>
      <c r="M2444"/>
    </row>
    <row r="2445" spans="3:13" ht="12.75" customHeight="1" x14ac:dyDescent="0.2">
      <c r="C2445"/>
      <c r="M2445"/>
    </row>
    <row r="2446" spans="3:13" ht="12.75" customHeight="1" x14ac:dyDescent="0.2">
      <c r="C2446"/>
      <c r="M2446"/>
    </row>
    <row r="2447" spans="3:13" ht="12.75" customHeight="1" x14ac:dyDescent="0.2">
      <c r="C2447"/>
      <c r="M2447"/>
    </row>
    <row r="2448" spans="3:13" ht="12.75" customHeight="1" x14ac:dyDescent="0.2">
      <c r="C2448"/>
      <c r="M2448"/>
    </row>
    <row r="2449" spans="3:13" ht="12.75" customHeight="1" x14ac:dyDescent="0.2">
      <c r="C2449"/>
      <c r="M2449"/>
    </row>
    <row r="2450" spans="3:13" ht="12.75" customHeight="1" x14ac:dyDescent="0.2">
      <c r="C2450"/>
      <c r="M2450"/>
    </row>
    <row r="2451" spans="3:13" ht="12.75" customHeight="1" x14ac:dyDescent="0.2">
      <c r="C2451"/>
      <c r="M2451"/>
    </row>
    <row r="2452" spans="3:13" ht="12.75" customHeight="1" x14ac:dyDescent="0.2">
      <c r="C2452"/>
      <c r="M2452"/>
    </row>
    <row r="2453" spans="3:13" ht="12.75" customHeight="1" x14ac:dyDescent="0.2">
      <c r="C2453"/>
      <c r="M2453"/>
    </row>
    <row r="2454" spans="3:13" ht="12.75" customHeight="1" x14ac:dyDescent="0.2">
      <c r="C2454"/>
      <c r="M2454"/>
    </row>
    <row r="2455" spans="3:13" ht="12.75" customHeight="1" x14ac:dyDescent="0.2">
      <c r="C2455"/>
      <c r="M2455"/>
    </row>
    <row r="2456" spans="3:13" ht="12.75" customHeight="1" x14ac:dyDescent="0.2">
      <c r="C2456"/>
      <c r="M2456"/>
    </row>
    <row r="2457" spans="3:13" ht="12.75" customHeight="1" x14ac:dyDescent="0.2">
      <c r="C2457"/>
      <c r="M2457"/>
    </row>
    <row r="2458" spans="3:13" ht="12.75" customHeight="1" x14ac:dyDescent="0.2">
      <c r="C2458"/>
      <c r="M2458"/>
    </row>
    <row r="2459" spans="3:13" ht="12.75" customHeight="1" x14ac:dyDescent="0.2">
      <c r="C2459"/>
      <c r="M2459"/>
    </row>
    <row r="2460" spans="3:13" ht="12.75" customHeight="1" x14ac:dyDescent="0.2">
      <c r="C2460"/>
      <c r="M2460"/>
    </row>
    <row r="2461" spans="3:13" ht="12.75" customHeight="1" x14ac:dyDescent="0.2">
      <c r="C2461"/>
      <c r="M2461"/>
    </row>
    <row r="2462" spans="3:13" ht="12.75" customHeight="1" x14ac:dyDescent="0.2">
      <c r="C2462"/>
      <c r="M2462"/>
    </row>
    <row r="2463" spans="3:13" ht="12.75" customHeight="1" x14ac:dyDescent="0.2">
      <c r="C2463"/>
      <c r="M2463"/>
    </row>
    <row r="2464" spans="3:13" ht="12.75" customHeight="1" x14ac:dyDescent="0.2">
      <c r="C2464"/>
      <c r="M2464"/>
    </row>
    <row r="2465" spans="3:13" ht="12.75" customHeight="1" x14ac:dyDescent="0.2">
      <c r="C2465"/>
      <c r="M2465"/>
    </row>
    <row r="2466" spans="3:13" ht="12.75" customHeight="1" x14ac:dyDescent="0.2">
      <c r="C2466"/>
      <c r="M2466"/>
    </row>
    <row r="2467" spans="3:13" ht="12.75" customHeight="1" x14ac:dyDescent="0.2">
      <c r="C2467"/>
      <c r="M2467"/>
    </row>
    <row r="2468" spans="3:13" ht="12.75" customHeight="1" x14ac:dyDescent="0.2">
      <c r="C2468"/>
      <c r="M2468"/>
    </row>
    <row r="2469" spans="3:13" ht="12.75" customHeight="1" x14ac:dyDescent="0.2">
      <c r="C2469"/>
      <c r="M2469"/>
    </row>
    <row r="2470" spans="3:13" ht="12.75" customHeight="1" x14ac:dyDescent="0.2">
      <c r="C2470"/>
      <c r="M2470"/>
    </row>
    <row r="2471" spans="3:13" ht="12.75" customHeight="1" x14ac:dyDescent="0.2">
      <c r="C2471"/>
      <c r="M2471"/>
    </row>
    <row r="2472" spans="3:13" ht="12.75" customHeight="1" x14ac:dyDescent="0.2">
      <c r="C2472"/>
      <c r="M2472"/>
    </row>
    <row r="2473" spans="3:13" ht="12.75" customHeight="1" x14ac:dyDescent="0.2">
      <c r="C2473"/>
      <c r="M2473"/>
    </row>
    <row r="2474" spans="3:13" ht="12.75" customHeight="1" x14ac:dyDescent="0.2">
      <c r="C2474"/>
      <c r="M2474"/>
    </row>
    <row r="2475" spans="3:13" ht="12.75" customHeight="1" x14ac:dyDescent="0.2">
      <c r="C2475"/>
      <c r="M2475"/>
    </row>
    <row r="2476" spans="3:13" ht="12.75" customHeight="1" x14ac:dyDescent="0.2">
      <c r="C2476"/>
      <c r="M2476"/>
    </row>
    <row r="2477" spans="3:13" ht="12.75" customHeight="1" x14ac:dyDescent="0.2">
      <c r="C2477"/>
      <c r="M2477"/>
    </row>
    <row r="2478" spans="3:13" ht="12.75" customHeight="1" x14ac:dyDescent="0.2">
      <c r="C2478"/>
      <c r="M2478"/>
    </row>
    <row r="2479" spans="3:13" ht="12.75" customHeight="1" x14ac:dyDescent="0.2">
      <c r="C2479"/>
      <c r="M2479"/>
    </row>
    <row r="2480" spans="3:13" ht="12.75" customHeight="1" x14ac:dyDescent="0.2">
      <c r="C2480"/>
      <c r="M2480"/>
    </row>
    <row r="2481" spans="3:13" ht="12.75" customHeight="1" x14ac:dyDescent="0.2">
      <c r="C2481"/>
      <c r="M2481"/>
    </row>
    <row r="2482" spans="3:13" ht="12.75" customHeight="1" x14ac:dyDescent="0.2">
      <c r="C2482"/>
      <c r="M2482"/>
    </row>
    <row r="2483" spans="3:13" ht="12.75" customHeight="1" x14ac:dyDescent="0.2">
      <c r="C2483"/>
      <c r="M2483"/>
    </row>
    <row r="2484" spans="3:13" ht="12.75" customHeight="1" x14ac:dyDescent="0.2">
      <c r="C2484"/>
      <c r="M2484"/>
    </row>
    <row r="2485" spans="3:13" ht="12.75" customHeight="1" x14ac:dyDescent="0.2">
      <c r="C2485"/>
      <c r="M2485"/>
    </row>
    <row r="2486" spans="3:13" ht="12.75" customHeight="1" x14ac:dyDescent="0.2">
      <c r="C2486"/>
      <c r="M2486"/>
    </row>
    <row r="2487" spans="3:13" ht="12.75" customHeight="1" x14ac:dyDescent="0.2">
      <c r="C2487"/>
      <c r="M2487"/>
    </row>
    <row r="2488" spans="3:13" ht="12.75" customHeight="1" x14ac:dyDescent="0.2">
      <c r="C2488"/>
      <c r="M2488"/>
    </row>
    <row r="2489" spans="3:13" ht="12.75" customHeight="1" x14ac:dyDescent="0.2">
      <c r="C2489"/>
      <c r="M2489"/>
    </row>
    <row r="2490" spans="3:13" ht="12.75" customHeight="1" x14ac:dyDescent="0.2">
      <c r="C2490"/>
      <c r="M2490"/>
    </row>
    <row r="2491" spans="3:13" ht="12.75" customHeight="1" x14ac:dyDescent="0.2">
      <c r="C2491"/>
      <c r="M2491"/>
    </row>
    <row r="2492" spans="3:13" ht="12.75" customHeight="1" x14ac:dyDescent="0.2">
      <c r="C2492"/>
      <c r="M2492"/>
    </row>
    <row r="2493" spans="3:13" ht="12.75" customHeight="1" x14ac:dyDescent="0.2">
      <c r="C2493"/>
      <c r="M2493"/>
    </row>
    <row r="2494" spans="3:13" ht="12.75" customHeight="1" x14ac:dyDescent="0.2">
      <c r="C2494"/>
      <c r="M2494"/>
    </row>
    <row r="2495" spans="3:13" ht="12.75" customHeight="1" x14ac:dyDescent="0.2">
      <c r="C2495"/>
      <c r="M2495"/>
    </row>
    <row r="2496" spans="3:13" ht="12.75" customHeight="1" x14ac:dyDescent="0.2">
      <c r="C2496"/>
      <c r="M2496"/>
    </row>
    <row r="2497" spans="3:13" ht="12.75" customHeight="1" x14ac:dyDescent="0.2">
      <c r="C2497"/>
      <c r="M2497"/>
    </row>
    <row r="2498" spans="3:13" ht="12.75" customHeight="1" x14ac:dyDescent="0.2">
      <c r="C2498"/>
      <c r="M2498"/>
    </row>
    <row r="2499" spans="3:13" ht="12.75" customHeight="1" x14ac:dyDescent="0.2">
      <c r="C2499"/>
      <c r="M2499"/>
    </row>
    <row r="2500" spans="3:13" ht="12.75" customHeight="1" x14ac:dyDescent="0.2">
      <c r="C2500"/>
      <c r="M2500"/>
    </row>
    <row r="2501" spans="3:13" ht="12.75" customHeight="1" x14ac:dyDescent="0.2">
      <c r="C2501"/>
      <c r="M2501"/>
    </row>
    <row r="2502" spans="3:13" ht="12.75" customHeight="1" x14ac:dyDescent="0.2">
      <c r="C2502"/>
      <c r="M2502"/>
    </row>
    <row r="2503" spans="3:13" ht="12.75" customHeight="1" x14ac:dyDescent="0.2">
      <c r="C2503"/>
      <c r="M2503"/>
    </row>
    <row r="2504" spans="3:13" ht="12.75" customHeight="1" x14ac:dyDescent="0.2">
      <c r="C2504"/>
      <c r="M2504"/>
    </row>
    <row r="2505" spans="3:13" ht="12.75" customHeight="1" x14ac:dyDescent="0.2">
      <c r="C2505"/>
      <c r="M2505"/>
    </row>
    <row r="2506" spans="3:13" ht="12.75" customHeight="1" x14ac:dyDescent="0.2">
      <c r="C2506"/>
      <c r="M2506"/>
    </row>
    <row r="2507" spans="3:13" ht="12.75" customHeight="1" x14ac:dyDescent="0.2">
      <c r="C2507"/>
      <c r="M2507"/>
    </row>
    <row r="2508" spans="3:13" ht="12.75" customHeight="1" x14ac:dyDescent="0.2">
      <c r="C2508"/>
      <c r="M2508"/>
    </row>
    <row r="2509" spans="3:13" ht="12.75" customHeight="1" x14ac:dyDescent="0.2">
      <c r="C2509"/>
      <c r="M2509"/>
    </row>
    <row r="2510" spans="3:13" ht="12.75" customHeight="1" x14ac:dyDescent="0.2">
      <c r="C2510"/>
      <c r="M2510"/>
    </row>
    <row r="2511" spans="3:13" ht="12.75" customHeight="1" x14ac:dyDescent="0.2">
      <c r="C2511"/>
      <c r="M2511"/>
    </row>
    <row r="2512" spans="3:13" ht="12.75" customHeight="1" x14ac:dyDescent="0.2">
      <c r="C2512"/>
      <c r="M2512"/>
    </row>
    <row r="2513" spans="3:13" ht="12.75" customHeight="1" x14ac:dyDescent="0.2">
      <c r="C2513"/>
      <c r="M2513"/>
    </row>
    <row r="2514" spans="3:13" ht="12.75" customHeight="1" x14ac:dyDescent="0.2">
      <c r="C2514"/>
      <c r="M2514"/>
    </row>
    <row r="2515" spans="3:13" ht="12.75" customHeight="1" x14ac:dyDescent="0.2">
      <c r="C2515"/>
      <c r="M2515"/>
    </row>
    <row r="2516" spans="3:13" ht="12.75" customHeight="1" x14ac:dyDescent="0.2">
      <c r="C2516"/>
      <c r="M2516"/>
    </row>
    <row r="2517" spans="3:13" ht="12.75" customHeight="1" x14ac:dyDescent="0.2">
      <c r="C2517"/>
      <c r="M2517"/>
    </row>
    <row r="2518" spans="3:13" ht="12.75" customHeight="1" x14ac:dyDescent="0.2">
      <c r="C2518"/>
      <c r="M2518"/>
    </row>
    <row r="2519" spans="3:13" ht="12.75" customHeight="1" x14ac:dyDescent="0.2">
      <c r="C2519"/>
      <c r="M2519"/>
    </row>
    <row r="2520" spans="3:13" ht="12.75" customHeight="1" x14ac:dyDescent="0.2">
      <c r="C2520"/>
      <c r="M2520"/>
    </row>
    <row r="2521" spans="3:13" ht="12.75" customHeight="1" x14ac:dyDescent="0.2">
      <c r="C2521"/>
      <c r="M2521"/>
    </row>
    <row r="2522" spans="3:13" ht="12.75" customHeight="1" x14ac:dyDescent="0.2">
      <c r="C2522"/>
      <c r="M2522"/>
    </row>
    <row r="2523" spans="3:13" ht="12.75" customHeight="1" x14ac:dyDescent="0.2">
      <c r="C2523"/>
      <c r="M2523"/>
    </row>
    <row r="2524" spans="3:13" ht="12.75" customHeight="1" x14ac:dyDescent="0.2">
      <c r="C2524"/>
      <c r="M2524"/>
    </row>
    <row r="2525" spans="3:13" ht="12.75" customHeight="1" x14ac:dyDescent="0.2">
      <c r="C2525"/>
      <c r="M2525"/>
    </row>
    <row r="2526" spans="3:13" ht="12.75" customHeight="1" x14ac:dyDescent="0.2">
      <c r="C2526"/>
      <c r="M2526"/>
    </row>
    <row r="2527" spans="3:13" ht="12.75" customHeight="1" x14ac:dyDescent="0.2">
      <c r="C2527"/>
      <c r="M2527"/>
    </row>
    <row r="2528" spans="3:13" ht="12.75" customHeight="1" x14ac:dyDescent="0.2">
      <c r="C2528"/>
      <c r="M2528"/>
    </row>
    <row r="2529" spans="3:13" ht="12.75" customHeight="1" x14ac:dyDescent="0.2">
      <c r="C2529"/>
      <c r="M2529"/>
    </row>
    <row r="2530" spans="3:13" ht="12.75" customHeight="1" x14ac:dyDescent="0.2">
      <c r="C2530"/>
      <c r="M2530"/>
    </row>
    <row r="2531" spans="3:13" ht="12.75" customHeight="1" x14ac:dyDescent="0.2">
      <c r="C2531"/>
      <c r="M2531"/>
    </row>
    <row r="2532" spans="3:13" ht="12.75" customHeight="1" x14ac:dyDescent="0.2">
      <c r="C2532"/>
      <c r="M2532"/>
    </row>
    <row r="2533" spans="3:13" ht="12.75" customHeight="1" x14ac:dyDescent="0.2">
      <c r="C2533"/>
      <c r="M2533"/>
    </row>
    <row r="2534" spans="3:13" ht="12.75" customHeight="1" x14ac:dyDescent="0.2">
      <c r="C2534"/>
      <c r="M2534"/>
    </row>
    <row r="2535" spans="3:13" ht="12.75" customHeight="1" x14ac:dyDescent="0.2">
      <c r="C2535"/>
      <c r="M2535"/>
    </row>
    <row r="2536" spans="3:13" ht="12.75" customHeight="1" x14ac:dyDescent="0.2">
      <c r="C2536"/>
      <c r="M2536"/>
    </row>
    <row r="2537" spans="3:13" ht="12.75" customHeight="1" x14ac:dyDescent="0.2">
      <c r="C2537"/>
      <c r="M2537"/>
    </row>
    <row r="2538" spans="3:13" ht="12.75" customHeight="1" x14ac:dyDescent="0.2">
      <c r="C2538"/>
      <c r="M2538"/>
    </row>
    <row r="2539" spans="3:13" ht="12.75" customHeight="1" x14ac:dyDescent="0.2">
      <c r="C2539"/>
      <c r="M2539"/>
    </row>
    <row r="2540" spans="3:13" ht="12.75" customHeight="1" x14ac:dyDescent="0.2">
      <c r="C2540"/>
      <c r="M2540"/>
    </row>
    <row r="2541" spans="3:13" ht="12.75" customHeight="1" x14ac:dyDescent="0.2">
      <c r="C2541"/>
      <c r="M2541"/>
    </row>
    <row r="2542" spans="3:13" ht="12.75" customHeight="1" x14ac:dyDescent="0.2">
      <c r="C2542"/>
      <c r="M2542"/>
    </row>
    <row r="2543" spans="3:13" ht="12.75" customHeight="1" x14ac:dyDescent="0.2">
      <c r="C2543"/>
      <c r="M2543"/>
    </row>
    <row r="2544" spans="3:13" ht="12.75" customHeight="1" x14ac:dyDescent="0.2">
      <c r="C2544"/>
      <c r="M2544"/>
    </row>
    <row r="2545" spans="3:13" ht="12.75" customHeight="1" x14ac:dyDescent="0.2">
      <c r="C2545"/>
      <c r="M2545"/>
    </row>
    <row r="2546" spans="3:13" ht="12.75" customHeight="1" x14ac:dyDescent="0.2">
      <c r="C2546"/>
      <c r="M2546"/>
    </row>
    <row r="2547" spans="3:13" ht="12.75" customHeight="1" x14ac:dyDescent="0.2">
      <c r="C2547"/>
      <c r="M2547"/>
    </row>
    <row r="2548" spans="3:13" ht="12.75" customHeight="1" x14ac:dyDescent="0.2">
      <c r="C2548"/>
      <c r="M2548"/>
    </row>
    <row r="2549" spans="3:13" ht="12.75" customHeight="1" x14ac:dyDescent="0.2">
      <c r="C2549"/>
      <c r="M2549"/>
    </row>
    <row r="2550" spans="3:13" ht="12.75" customHeight="1" x14ac:dyDescent="0.2">
      <c r="C2550"/>
      <c r="M2550"/>
    </row>
    <row r="2551" spans="3:13" ht="12.75" customHeight="1" x14ac:dyDescent="0.2">
      <c r="C2551"/>
      <c r="M2551"/>
    </row>
    <row r="2552" spans="3:13" ht="12.75" customHeight="1" x14ac:dyDescent="0.2">
      <c r="C2552"/>
      <c r="M2552"/>
    </row>
    <row r="2553" spans="3:13" ht="12.75" customHeight="1" x14ac:dyDescent="0.2">
      <c r="C2553"/>
      <c r="M2553"/>
    </row>
    <row r="2554" spans="3:13" ht="12.75" customHeight="1" x14ac:dyDescent="0.2">
      <c r="C2554"/>
      <c r="M2554"/>
    </row>
    <row r="2555" spans="3:13" ht="12.75" customHeight="1" x14ac:dyDescent="0.2">
      <c r="C2555"/>
      <c r="M2555"/>
    </row>
    <row r="2556" spans="3:13" ht="12.75" customHeight="1" x14ac:dyDescent="0.2">
      <c r="C2556"/>
      <c r="M2556"/>
    </row>
    <row r="2557" spans="3:13" ht="12.75" customHeight="1" x14ac:dyDescent="0.2">
      <c r="C2557"/>
      <c r="M2557"/>
    </row>
    <row r="2558" spans="3:13" ht="12.75" customHeight="1" x14ac:dyDescent="0.2">
      <c r="C2558"/>
      <c r="M2558"/>
    </row>
    <row r="2559" spans="3:13" ht="12.75" customHeight="1" x14ac:dyDescent="0.2">
      <c r="C2559"/>
      <c r="M2559"/>
    </row>
    <row r="2560" spans="3:13" ht="12.75" customHeight="1" x14ac:dyDescent="0.2">
      <c r="C2560"/>
      <c r="M2560"/>
    </row>
    <row r="2561" spans="3:13" ht="12.75" customHeight="1" x14ac:dyDescent="0.2">
      <c r="C2561"/>
      <c r="M2561"/>
    </row>
    <row r="2562" spans="3:13" ht="12.75" customHeight="1" x14ac:dyDescent="0.2">
      <c r="C2562"/>
      <c r="M2562"/>
    </row>
    <row r="2563" spans="3:13" ht="12.75" customHeight="1" x14ac:dyDescent="0.2">
      <c r="C2563"/>
      <c r="M2563"/>
    </row>
    <row r="2564" spans="3:13" ht="12.75" customHeight="1" x14ac:dyDescent="0.2">
      <c r="C2564"/>
      <c r="M2564"/>
    </row>
    <row r="2565" spans="3:13" ht="12.75" customHeight="1" x14ac:dyDescent="0.2">
      <c r="C2565"/>
      <c r="M2565"/>
    </row>
    <row r="2566" spans="3:13" ht="12.75" customHeight="1" x14ac:dyDescent="0.2">
      <c r="C2566"/>
      <c r="M2566"/>
    </row>
    <row r="2567" spans="3:13" ht="12.75" customHeight="1" x14ac:dyDescent="0.2">
      <c r="C2567"/>
      <c r="M2567"/>
    </row>
    <row r="2568" spans="3:13" ht="12.75" customHeight="1" x14ac:dyDescent="0.2">
      <c r="C2568"/>
      <c r="M2568"/>
    </row>
    <row r="2569" spans="3:13" ht="12.75" customHeight="1" x14ac:dyDescent="0.2">
      <c r="C2569"/>
      <c r="M2569"/>
    </row>
    <row r="2570" spans="3:13" ht="12.75" customHeight="1" x14ac:dyDescent="0.2">
      <c r="C2570"/>
      <c r="M2570"/>
    </row>
    <row r="2571" spans="3:13" ht="12.75" customHeight="1" x14ac:dyDescent="0.2">
      <c r="C2571"/>
      <c r="M2571"/>
    </row>
    <row r="2572" spans="3:13" ht="12.75" customHeight="1" x14ac:dyDescent="0.2">
      <c r="C2572"/>
      <c r="M2572"/>
    </row>
    <row r="2573" spans="3:13" ht="12.75" customHeight="1" x14ac:dyDescent="0.2">
      <c r="C2573"/>
      <c r="M2573"/>
    </row>
    <row r="2574" spans="3:13" ht="12.75" customHeight="1" x14ac:dyDescent="0.2">
      <c r="C2574"/>
      <c r="M2574"/>
    </row>
    <row r="2575" spans="3:13" ht="12.75" customHeight="1" x14ac:dyDescent="0.2">
      <c r="C2575"/>
      <c r="M2575"/>
    </row>
    <row r="2576" spans="3:13" ht="12.75" customHeight="1" x14ac:dyDescent="0.2">
      <c r="C2576"/>
      <c r="M2576"/>
    </row>
    <row r="2577" spans="3:13" ht="12.75" customHeight="1" x14ac:dyDescent="0.2">
      <c r="C2577"/>
      <c r="M2577"/>
    </row>
    <row r="2578" spans="3:13" ht="12.75" customHeight="1" x14ac:dyDescent="0.2">
      <c r="C2578"/>
      <c r="M2578"/>
    </row>
    <row r="2579" spans="3:13" ht="12.75" customHeight="1" x14ac:dyDescent="0.2">
      <c r="C2579"/>
      <c r="M2579"/>
    </row>
    <row r="2580" spans="3:13" ht="12.75" customHeight="1" x14ac:dyDescent="0.2">
      <c r="C2580"/>
      <c r="M2580"/>
    </row>
    <row r="2581" spans="3:13" ht="12.75" customHeight="1" x14ac:dyDescent="0.2">
      <c r="C2581"/>
      <c r="M2581"/>
    </row>
    <row r="2582" spans="3:13" ht="12.75" customHeight="1" x14ac:dyDescent="0.2">
      <c r="C2582"/>
      <c r="M2582"/>
    </row>
    <row r="2583" spans="3:13" ht="12.75" customHeight="1" x14ac:dyDescent="0.2">
      <c r="C2583"/>
      <c r="M2583"/>
    </row>
    <row r="2584" spans="3:13" ht="12.75" customHeight="1" x14ac:dyDescent="0.2">
      <c r="C2584"/>
      <c r="M2584"/>
    </row>
    <row r="2585" spans="3:13" ht="12.75" customHeight="1" x14ac:dyDescent="0.2">
      <c r="C2585"/>
      <c r="M2585"/>
    </row>
    <row r="2586" spans="3:13" ht="12.75" customHeight="1" x14ac:dyDescent="0.2">
      <c r="C2586"/>
      <c r="M2586"/>
    </row>
    <row r="2587" spans="3:13" ht="12.75" customHeight="1" x14ac:dyDescent="0.2">
      <c r="C2587"/>
      <c r="M2587"/>
    </row>
    <row r="2588" spans="3:13" ht="12.75" customHeight="1" x14ac:dyDescent="0.2">
      <c r="C2588"/>
      <c r="M2588"/>
    </row>
    <row r="2589" spans="3:13" ht="12.75" customHeight="1" x14ac:dyDescent="0.2">
      <c r="C2589"/>
      <c r="M2589"/>
    </row>
    <row r="2590" spans="3:13" ht="12.75" customHeight="1" x14ac:dyDescent="0.2">
      <c r="C2590"/>
      <c r="M2590"/>
    </row>
    <row r="2591" spans="3:13" ht="12.75" customHeight="1" x14ac:dyDescent="0.2">
      <c r="C2591"/>
      <c r="M2591"/>
    </row>
    <row r="2592" spans="3:13" ht="12.75" customHeight="1" x14ac:dyDescent="0.2">
      <c r="C2592"/>
      <c r="M2592"/>
    </row>
    <row r="2593" spans="3:13" ht="12.75" customHeight="1" x14ac:dyDescent="0.2">
      <c r="C2593"/>
      <c r="M2593"/>
    </row>
    <row r="2594" spans="3:13" ht="12.75" customHeight="1" x14ac:dyDescent="0.2">
      <c r="C2594"/>
      <c r="M2594"/>
    </row>
    <row r="2595" spans="3:13" ht="12.75" customHeight="1" x14ac:dyDescent="0.2">
      <c r="C2595"/>
      <c r="M2595"/>
    </row>
    <row r="2596" spans="3:13" ht="12.75" customHeight="1" x14ac:dyDescent="0.2">
      <c r="C2596"/>
      <c r="M2596"/>
    </row>
    <row r="2597" spans="3:13" ht="12.75" customHeight="1" x14ac:dyDescent="0.2">
      <c r="C2597"/>
      <c r="M2597"/>
    </row>
    <row r="2598" spans="3:13" ht="12.75" customHeight="1" x14ac:dyDescent="0.2">
      <c r="C2598"/>
      <c r="M2598"/>
    </row>
    <row r="2599" spans="3:13" ht="12.75" customHeight="1" x14ac:dyDescent="0.2">
      <c r="C2599"/>
      <c r="M2599"/>
    </row>
    <row r="2600" spans="3:13" ht="12.75" customHeight="1" x14ac:dyDescent="0.2">
      <c r="C2600"/>
      <c r="M2600"/>
    </row>
    <row r="2601" spans="3:13" ht="12.75" customHeight="1" x14ac:dyDescent="0.2">
      <c r="C2601"/>
      <c r="M2601"/>
    </row>
    <row r="2602" spans="3:13" ht="12.75" customHeight="1" x14ac:dyDescent="0.2">
      <c r="C2602"/>
      <c r="M2602"/>
    </row>
    <row r="2603" spans="3:13" ht="12.75" customHeight="1" x14ac:dyDescent="0.2">
      <c r="C2603"/>
      <c r="M2603"/>
    </row>
    <row r="2604" spans="3:13" ht="12.75" customHeight="1" x14ac:dyDescent="0.2">
      <c r="C2604"/>
      <c r="M2604"/>
    </row>
    <row r="2605" spans="3:13" ht="12.75" customHeight="1" x14ac:dyDescent="0.2">
      <c r="C2605"/>
      <c r="M2605"/>
    </row>
    <row r="2606" spans="3:13" ht="12.75" customHeight="1" x14ac:dyDescent="0.2">
      <c r="C2606"/>
      <c r="M2606"/>
    </row>
    <row r="2607" spans="3:13" ht="12.75" customHeight="1" x14ac:dyDescent="0.2">
      <c r="C2607"/>
      <c r="M2607"/>
    </row>
    <row r="2608" spans="3:13" ht="12.75" customHeight="1" x14ac:dyDescent="0.2">
      <c r="C2608"/>
      <c r="M2608"/>
    </row>
    <row r="2609" spans="3:13" ht="12.75" customHeight="1" x14ac:dyDescent="0.2">
      <c r="C2609"/>
      <c r="M2609"/>
    </row>
    <row r="2610" spans="3:13" ht="12.75" customHeight="1" x14ac:dyDescent="0.2">
      <c r="C2610"/>
      <c r="M2610"/>
    </row>
    <row r="2611" spans="3:13" ht="12.75" customHeight="1" x14ac:dyDescent="0.2">
      <c r="C2611"/>
      <c r="M2611"/>
    </row>
    <row r="2612" spans="3:13" ht="12.75" customHeight="1" x14ac:dyDescent="0.2">
      <c r="C2612"/>
      <c r="M2612"/>
    </row>
    <row r="2613" spans="3:13" ht="12.75" customHeight="1" x14ac:dyDescent="0.2">
      <c r="C2613"/>
      <c r="M2613"/>
    </row>
    <row r="2614" spans="3:13" ht="12.75" customHeight="1" x14ac:dyDescent="0.2">
      <c r="C2614"/>
      <c r="M2614"/>
    </row>
    <row r="2615" spans="3:13" ht="12.75" customHeight="1" x14ac:dyDescent="0.2">
      <c r="C2615"/>
      <c r="M2615"/>
    </row>
    <row r="2616" spans="3:13" ht="12.75" customHeight="1" x14ac:dyDescent="0.2">
      <c r="C2616"/>
      <c r="M2616"/>
    </row>
    <row r="2617" spans="3:13" ht="12.75" customHeight="1" x14ac:dyDescent="0.2">
      <c r="C2617"/>
      <c r="M2617"/>
    </row>
    <row r="2618" spans="3:13" ht="12.75" customHeight="1" x14ac:dyDescent="0.2">
      <c r="C2618"/>
      <c r="M2618"/>
    </row>
    <row r="2619" spans="3:13" ht="12.75" customHeight="1" x14ac:dyDescent="0.2">
      <c r="C2619"/>
      <c r="M2619"/>
    </row>
    <row r="2620" spans="3:13" ht="12.75" customHeight="1" x14ac:dyDescent="0.2">
      <c r="C2620"/>
      <c r="M2620"/>
    </row>
    <row r="2621" spans="3:13" ht="12.75" customHeight="1" x14ac:dyDescent="0.2">
      <c r="C2621"/>
      <c r="M2621"/>
    </row>
    <row r="2622" spans="3:13" ht="12.75" customHeight="1" x14ac:dyDescent="0.2">
      <c r="C2622"/>
      <c r="M2622"/>
    </row>
    <row r="2623" spans="3:13" ht="12.75" customHeight="1" x14ac:dyDescent="0.2">
      <c r="C2623"/>
      <c r="M2623"/>
    </row>
    <row r="2624" spans="3:13" ht="12.75" customHeight="1" x14ac:dyDescent="0.2">
      <c r="C2624"/>
      <c r="M2624"/>
    </row>
    <row r="2625" spans="3:13" ht="12.75" customHeight="1" x14ac:dyDescent="0.2">
      <c r="C2625"/>
      <c r="M2625"/>
    </row>
    <row r="2626" spans="3:13" ht="12.75" customHeight="1" x14ac:dyDescent="0.2">
      <c r="C2626"/>
      <c r="M2626"/>
    </row>
    <row r="2627" spans="3:13" ht="12.75" customHeight="1" x14ac:dyDescent="0.2">
      <c r="C2627"/>
      <c r="M2627"/>
    </row>
    <row r="2628" spans="3:13" ht="12.75" customHeight="1" x14ac:dyDescent="0.2">
      <c r="C2628"/>
      <c r="M2628"/>
    </row>
    <row r="2629" spans="3:13" ht="12.75" customHeight="1" x14ac:dyDescent="0.2">
      <c r="C2629"/>
      <c r="M2629"/>
    </row>
    <row r="2630" spans="3:13" ht="12.75" customHeight="1" x14ac:dyDescent="0.2">
      <c r="C2630"/>
      <c r="M2630"/>
    </row>
    <row r="2631" spans="3:13" ht="12.75" customHeight="1" x14ac:dyDescent="0.2">
      <c r="C2631"/>
      <c r="M2631"/>
    </row>
    <row r="2632" spans="3:13" ht="12.75" customHeight="1" x14ac:dyDescent="0.2">
      <c r="C2632"/>
      <c r="M2632"/>
    </row>
    <row r="2633" spans="3:13" ht="12.75" customHeight="1" x14ac:dyDescent="0.2">
      <c r="C2633"/>
      <c r="M2633"/>
    </row>
    <row r="2634" spans="3:13" ht="12.75" customHeight="1" x14ac:dyDescent="0.2">
      <c r="C2634"/>
      <c r="M2634"/>
    </row>
    <row r="2635" spans="3:13" ht="12.75" customHeight="1" x14ac:dyDescent="0.2">
      <c r="C2635"/>
      <c r="M2635"/>
    </row>
    <row r="2636" spans="3:13" ht="12.75" customHeight="1" x14ac:dyDescent="0.2">
      <c r="C2636"/>
      <c r="M2636"/>
    </row>
    <row r="2637" spans="3:13" ht="12.75" customHeight="1" x14ac:dyDescent="0.2">
      <c r="C2637"/>
      <c r="M2637"/>
    </row>
    <row r="2638" spans="3:13" ht="12.75" customHeight="1" x14ac:dyDescent="0.2">
      <c r="C2638"/>
      <c r="M2638"/>
    </row>
    <row r="2639" spans="3:13" ht="12.75" customHeight="1" x14ac:dyDescent="0.2">
      <c r="C2639"/>
      <c r="M2639"/>
    </row>
    <row r="2640" spans="3:13" ht="12.75" customHeight="1" x14ac:dyDescent="0.2">
      <c r="C2640"/>
      <c r="M2640"/>
    </row>
    <row r="2641" spans="3:13" ht="12.75" customHeight="1" x14ac:dyDescent="0.2">
      <c r="C2641"/>
      <c r="M2641"/>
    </row>
    <row r="2642" spans="3:13" ht="12.75" customHeight="1" x14ac:dyDescent="0.2">
      <c r="C2642"/>
      <c r="M2642"/>
    </row>
    <row r="2643" spans="3:13" ht="12.75" customHeight="1" x14ac:dyDescent="0.2">
      <c r="C2643"/>
      <c r="M2643"/>
    </row>
    <row r="2644" spans="3:13" ht="12.75" customHeight="1" x14ac:dyDescent="0.2">
      <c r="C2644"/>
      <c r="M2644"/>
    </row>
    <row r="2645" spans="3:13" ht="12.75" customHeight="1" x14ac:dyDescent="0.2">
      <c r="C2645"/>
      <c r="M2645"/>
    </row>
    <row r="2646" spans="3:13" ht="12.75" customHeight="1" x14ac:dyDescent="0.2">
      <c r="C2646"/>
      <c r="M2646"/>
    </row>
    <row r="2647" spans="3:13" ht="12.75" customHeight="1" x14ac:dyDescent="0.2">
      <c r="C2647"/>
      <c r="M2647"/>
    </row>
    <row r="2648" spans="3:13" ht="12.75" customHeight="1" x14ac:dyDescent="0.2">
      <c r="C2648"/>
      <c r="M2648"/>
    </row>
    <row r="2649" spans="3:13" ht="12.75" customHeight="1" x14ac:dyDescent="0.2">
      <c r="C2649"/>
      <c r="M2649"/>
    </row>
    <row r="2650" spans="3:13" ht="12.75" customHeight="1" x14ac:dyDescent="0.2">
      <c r="C2650"/>
      <c r="M2650"/>
    </row>
    <row r="2651" spans="3:13" ht="12.75" customHeight="1" x14ac:dyDescent="0.2">
      <c r="C2651"/>
      <c r="M2651"/>
    </row>
    <row r="2652" spans="3:13" ht="12.75" customHeight="1" x14ac:dyDescent="0.2">
      <c r="C2652"/>
      <c r="M2652"/>
    </row>
    <row r="2653" spans="3:13" ht="12.75" customHeight="1" x14ac:dyDescent="0.2">
      <c r="C2653"/>
      <c r="M2653"/>
    </row>
    <row r="2654" spans="3:13" ht="12.75" customHeight="1" x14ac:dyDescent="0.2">
      <c r="C2654"/>
      <c r="M2654"/>
    </row>
    <row r="2655" spans="3:13" ht="12.75" customHeight="1" x14ac:dyDescent="0.2">
      <c r="C2655"/>
      <c r="M2655"/>
    </row>
    <row r="2656" spans="3:13" ht="12.75" customHeight="1" x14ac:dyDescent="0.2">
      <c r="C2656"/>
      <c r="M2656"/>
    </row>
    <row r="2657" spans="3:13" ht="12.75" customHeight="1" x14ac:dyDescent="0.2">
      <c r="C2657"/>
      <c r="M2657"/>
    </row>
    <row r="2658" spans="3:13" ht="12.75" customHeight="1" x14ac:dyDescent="0.2">
      <c r="C2658"/>
      <c r="M2658"/>
    </row>
    <row r="2659" spans="3:13" ht="12.75" customHeight="1" x14ac:dyDescent="0.2">
      <c r="C2659"/>
      <c r="M2659"/>
    </row>
    <row r="2660" spans="3:13" ht="12.75" customHeight="1" x14ac:dyDescent="0.2">
      <c r="C2660"/>
      <c r="M2660"/>
    </row>
    <row r="2661" spans="3:13" ht="12.75" customHeight="1" x14ac:dyDescent="0.2">
      <c r="C2661"/>
      <c r="M2661"/>
    </row>
    <row r="2662" spans="3:13" ht="12.75" customHeight="1" x14ac:dyDescent="0.2">
      <c r="C2662"/>
      <c r="M2662"/>
    </row>
    <row r="2663" spans="3:13" ht="12.75" customHeight="1" x14ac:dyDescent="0.2">
      <c r="C2663"/>
      <c r="M2663"/>
    </row>
    <row r="2664" spans="3:13" ht="12.75" customHeight="1" x14ac:dyDescent="0.2">
      <c r="C2664"/>
      <c r="M2664"/>
    </row>
    <row r="2665" spans="3:13" ht="12.75" customHeight="1" x14ac:dyDescent="0.2">
      <c r="C2665"/>
      <c r="M2665"/>
    </row>
    <row r="2666" spans="3:13" ht="12.75" customHeight="1" x14ac:dyDescent="0.2">
      <c r="C2666"/>
      <c r="M2666"/>
    </row>
    <row r="2667" spans="3:13" ht="12.75" customHeight="1" x14ac:dyDescent="0.2">
      <c r="C2667"/>
      <c r="M2667"/>
    </row>
    <row r="2668" spans="3:13" ht="12.75" customHeight="1" x14ac:dyDescent="0.2">
      <c r="C2668"/>
      <c r="M2668"/>
    </row>
    <row r="2669" spans="3:13" ht="12.75" customHeight="1" x14ac:dyDescent="0.2">
      <c r="C2669"/>
      <c r="M2669"/>
    </row>
    <row r="2670" spans="3:13" ht="12.75" customHeight="1" x14ac:dyDescent="0.2">
      <c r="C2670"/>
      <c r="M2670"/>
    </row>
    <row r="2671" spans="3:13" ht="12.75" customHeight="1" x14ac:dyDescent="0.2">
      <c r="C2671"/>
      <c r="M2671"/>
    </row>
    <row r="2672" spans="3:13" ht="12.75" customHeight="1" x14ac:dyDescent="0.2">
      <c r="C2672"/>
      <c r="M2672"/>
    </row>
    <row r="2673" spans="3:13" ht="12.75" customHeight="1" x14ac:dyDescent="0.2">
      <c r="C2673"/>
      <c r="M2673"/>
    </row>
    <row r="2674" spans="3:13" ht="12.75" customHeight="1" x14ac:dyDescent="0.2">
      <c r="C2674"/>
      <c r="M2674"/>
    </row>
    <row r="2675" spans="3:13" ht="12.75" customHeight="1" x14ac:dyDescent="0.2">
      <c r="C2675"/>
      <c r="M2675"/>
    </row>
    <row r="2676" spans="3:13" ht="12.75" customHeight="1" x14ac:dyDescent="0.2">
      <c r="C2676"/>
      <c r="M2676"/>
    </row>
    <row r="2677" spans="3:13" ht="12.75" customHeight="1" x14ac:dyDescent="0.2">
      <c r="C2677"/>
      <c r="M2677"/>
    </row>
    <row r="2678" spans="3:13" ht="12.75" customHeight="1" x14ac:dyDescent="0.2">
      <c r="C2678"/>
      <c r="M2678"/>
    </row>
    <row r="2679" spans="3:13" ht="12.75" customHeight="1" x14ac:dyDescent="0.2">
      <c r="C2679"/>
      <c r="M2679"/>
    </row>
    <row r="2680" spans="3:13" ht="12.75" customHeight="1" x14ac:dyDescent="0.2">
      <c r="C2680"/>
      <c r="M2680"/>
    </row>
    <row r="2681" spans="3:13" ht="12.75" customHeight="1" x14ac:dyDescent="0.2">
      <c r="C2681"/>
      <c r="M2681"/>
    </row>
    <row r="2682" spans="3:13" ht="12.75" customHeight="1" x14ac:dyDescent="0.2">
      <c r="C2682"/>
      <c r="M2682"/>
    </row>
    <row r="2683" spans="3:13" ht="12.75" customHeight="1" x14ac:dyDescent="0.2">
      <c r="C2683"/>
      <c r="M2683"/>
    </row>
    <row r="2684" spans="3:13" ht="12.75" customHeight="1" x14ac:dyDescent="0.2">
      <c r="C2684"/>
      <c r="M2684"/>
    </row>
    <row r="2685" spans="3:13" ht="12.75" customHeight="1" x14ac:dyDescent="0.2">
      <c r="C2685"/>
      <c r="M2685"/>
    </row>
    <row r="2686" spans="3:13" ht="12.75" customHeight="1" x14ac:dyDescent="0.2">
      <c r="C2686"/>
      <c r="M2686"/>
    </row>
    <row r="2687" spans="3:13" ht="12.75" customHeight="1" x14ac:dyDescent="0.2">
      <c r="C2687"/>
      <c r="M2687"/>
    </row>
    <row r="2688" spans="3:13" ht="12.75" customHeight="1" x14ac:dyDescent="0.2">
      <c r="C2688"/>
      <c r="M2688"/>
    </row>
    <row r="2689" spans="3:13" ht="12.75" customHeight="1" x14ac:dyDescent="0.2">
      <c r="C2689"/>
      <c r="M2689"/>
    </row>
    <row r="2690" spans="3:13" ht="12.75" customHeight="1" x14ac:dyDescent="0.2">
      <c r="C2690"/>
      <c r="M2690"/>
    </row>
    <row r="2691" spans="3:13" ht="12.75" customHeight="1" x14ac:dyDescent="0.2">
      <c r="C2691"/>
      <c r="M2691"/>
    </row>
    <row r="2692" spans="3:13" ht="12.75" customHeight="1" x14ac:dyDescent="0.2">
      <c r="C2692"/>
      <c r="M2692"/>
    </row>
    <row r="2693" spans="3:13" ht="12.75" customHeight="1" x14ac:dyDescent="0.2">
      <c r="C2693"/>
      <c r="M2693"/>
    </row>
    <row r="2694" spans="3:13" ht="12.75" customHeight="1" x14ac:dyDescent="0.2">
      <c r="C2694"/>
      <c r="M2694"/>
    </row>
    <row r="2695" spans="3:13" ht="12.75" customHeight="1" x14ac:dyDescent="0.2">
      <c r="C2695"/>
      <c r="M2695"/>
    </row>
    <row r="2696" spans="3:13" ht="12.75" customHeight="1" x14ac:dyDescent="0.2">
      <c r="C2696"/>
      <c r="M2696"/>
    </row>
    <row r="2697" spans="3:13" ht="12.75" customHeight="1" x14ac:dyDescent="0.2">
      <c r="C2697"/>
      <c r="M2697"/>
    </row>
    <row r="2698" spans="3:13" ht="12.75" customHeight="1" x14ac:dyDescent="0.2">
      <c r="C2698"/>
      <c r="M2698"/>
    </row>
    <row r="2699" spans="3:13" ht="12.75" customHeight="1" x14ac:dyDescent="0.2">
      <c r="C2699"/>
      <c r="M2699"/>
    </row>
    <row r="2700" spans="3:13" ht="12.75" customHeight="1" x14ac:dyDescent="0.2">
      <c r="C2700"/>
      <c r="M2700"/>
    </row>
    <row r="2701" spans="3:13" ht="12.75" customHeight="1" x14ac:dyDescent="0.2">
      <c r="C2701"/>
      <c r="M2701"/>
    </row>
    <row r="2702" spans="3:13" ht="12.75" customHeight="1" x14ac:dyDescent="0.2">
      <c r="C2702"/>
      <c r="M2702"/>
    </row>
    <row r="2703" spans="3:13" ht="12.75" customHeight="1" x14ac:dyDescent="0.2">
      <c r="C2703"/>
      <c r="M2703"/>
    </row>
    <row r="2704" spans="3:13" ht="12.75" customHeight="1" x14ac:dyDescent="0.2">
      <c r="C2704"/>
      <c r="M2704"/>
    </row>
    <row r="2705" spans="3:13" ht="12.75" customHeight="1" x14ac:dyDescent="0.2">
      <c r="C2705"/>
      <c r="M2705"/>
    </row>
    <row r="2706" spans="3:13" ht="12.75" customHeight="1" x14ac:dyDescent="0.2">
      <c r="C2706"/>
      <c r="M2706"/>
    </row>
    <row r="2707" spans="3:13" ht="12.75" customHeight="1" x14ac:dyDescent="0.2">
      <c r="C2707"/>
      <c r="M2707"/>
    </row>
    <row r="2708" spans="3:13" ht="12.75" customHeight="1" x14ac:dyDescent="0.2">
      <c r="C2708"/>
      <c r="M2708"/>
    </row>
    <row r="2709" spans="3:13" ht="12.75" customHeight="1" x14ac:dyDescent="0.2">
      <c r="C2709"/>
      <c r="M2709"/>
    </row>
    <row r="2710" spans="3:13" ht="12.75" customHeight="1" x14ac:dyDescent="0.2">
      <c r="C2710"/>
      <c r="M2710"/>
    </row>
    <row r="2711" spans="3:13" ht="12.75" customHeight="1" x14ac:dyDescent="0.2">
      <c r="C2711"/>
      <c r="M2711"/>
    </row>
    <row r="2712" spans="3:13" ht="12.75" customHeight="1" x14ac:dyDescent="0.2">
      <c r="C2712"/>
      <c r="M2712"/>
    </row>
    <row r="2713" spans="3:13" ht="12.75" customHeight="1" x14ac:dyDescent="0.2">
      <c r="C2713"/>
      <c r="M2713"/>
    </row>
    <row r="2714" spans="3:13" ht="12.75" customHeight="1" x14ac:dyDescent="0.2">
      <c r="C2714"/>
      <c r="M2714"/>
    </row>
    <row r="2715" spans="3:13" ht="12.75" customHeight="1" x14ac:dyDescent="0.2">
      <c r="C2715"/>
      <c r="M2715"/>
    </row>
    <row r="2716" spans="3:13" ht="12.75" customHeight="1" x14ac:dyDescent="0.2">
      <c r="C2716"/>
      <c r="M2716"/>
    </row>
    <row r="2717" spans="3:13" ht="12.75" customHeight="1" x14ac:dyDescent="0.2">
      <c r="C2717"/>
      <c r="M2717"/>
    </row>
    <row r="2718" spans="3:13" ht="12.75" customHeight="1" x14ac:dyDescent="0.2">
      <c r="C2718"/>
      <c r="M2718"/>
    </row>
    <row r="2719" spans="3:13" ht="12.75" customHeight="1" x14ac:dyDescent="0.2">
      <c r="C2719"/>
      <c r="M2719"/>
    </row>
    <row r="2720" spans="3:13" ht="12.75" customHeight="1" x14ac:dyDescent="0.2">
      <c r="C2720"/>
      <c r="M2720"/>
    </row>
    <row r="2721" spans="3:13" ht="12.75" customHeight="1" x14ac:dyDescent="0.2">
      <c r="C2721"/>
      <c r="M2721"/>
    </row>
    <row r="2722" spans="3:13" ht="12.75" customHeight="1" x14ac:dyDescent="0.2">
      <c r="C2722"/>
      <c r="M2722"/>
    </row>
    <row r="2723" spans="3:13" ht="12.75" customHeight="1" x14ac:dyDescent="0.2">
      <c r="C2723"/>
      <c r="M2723"/>
    </row>
    <row r="2724" spans="3:13" ht="12.75" customHeight="1" x14ac:dyDescent="0.2">
      <c r="C2724"/>
      <c r="M2724"/>
    </row>
    <row r="2725" spans="3:13" ht="12.75" customHeight="1" x14ac:dyDescent="0.2">
      <c r="C2725"/>
      <c r="M2725"/>
    </row>
    <row r="2726" spans="3:13" ht="12.75" customHeight="1" x14ac:dyDescent="0.2">
      <c r="C2726"/>
      <c r="M2726"/>
    </row>
    <row r="2727" spans="3:13" ht="12.75" customHeight="1" x14ac:dyDescent="0.2">
      <c r="C2727"/>
      <c r="M2727"/>
    </row>
    <row r="2728" spans="3:13" ht="12.75" customHeight="1" x14ac:dyDescent="0.2">
      <c r="C2728"/>
      <c r="M2728"/>
    </row>
    <row r="2729" spans="3:13" ht="12.75" customHeight="1" x14ac:dyDescent="0.2">
      <c r="C2729"/>
      <c r="M2729"/>
    </row>
    <row r="2730" spans="3:13" ht="12.75" customHeight="1" x14ac:dyDescent="0.2">
      <c r="C2730"/>
      <c r="M2730"/>
    </row>
    <row r="2731" spans="3:13" ht="12.75" customHeight="1" x14ac:dyDescent="0.2">
      <c r="C2731"/>
      <c r="M2731"/>
    </row>
    <row r="2732" spans="3:13" ht="12.75" customHeight="1" x14ac:dyDescent="0.2">
      <c r="C2732"/>
      <c r="M2732"/>
    </row>
    <row r="2733" spans="3:13" ht="12.75" customHeight="1" x14ac:dyDescent="0.2">
      <c r="C2733"/>
      <c r="M2733"/>
    </row>
    <row r="2734" spans="3:13" ht="12.75" customHeight="1" x14ac:dyDescent="0.2">
      <c r="C2734"/>
      <c r="M2734"/>
    </row>
    <row r="2735" spans="3:13" ht="12.75" customHeight="1" x14ac:dyDescent="0.2">
      <c r="C2735"/>
      <c r="M2735"/>
    </row>
    <row r="2736" spans="3:13" ht="12.75" customHeight="1" x14ac:dyDescent="0.2">
      <c r="C2736"/>
      <c r="M2736"/>
    </row>
    <row r="2737" spans="3:13" ht="12.75" customHeight="1" x14ac:dyDescent="0.2">
      <c r="C2737"/>
      <c r="M2737"/>
    </row>
    <row r="2738" spans="3:13" ht="12.75" customHeight="1" x14ac:dyDescent="0.2">
      <c r="C2738"/>
      <c r="M2738"/>
    </row>
    <row r="2739" spans="3:13" ht="12.75" customHeight="1" x14ac:dyDescent="0.2">
      <c r="C2739"/>
      <c r="M2739"/>
    </row>
    <row r="2740" spans="3:13" ht="12.75" customHeight="1" x14ac:dyDescent="0.2">
      <c r="C2740"/>
      <c r="M2740"/>
    </row>
    <row r="2741" spans="3:13" ht="12.75" customHeight="1" x14ac:dyDescent="0.2">
      <c r="C2741"/>
      <c r="M2741"/>
    </row>
    <row r="2742" spans="3:13" ht="12.75" customHeight="1" x14ac:dyDescent="0.2">
      <c r="C2742"/>
      <c r="M2742"/>
    </row>
    <row r="2743" spans="3:13" ht="12.75" customHeight="1" x14ac:dyDescent="0.2">
      <c r="C2743"/>
      <c r="M2743"/>
    </row>
    <row r="2744" spans="3:13" ht="12.75" customHeight="1" x14ac:dyDescent="0.2">
      <c r="C2744"/>
      <c r="M2744"/>
    </row>
    <row r="2745" spans="3:13" ht="12.75" customHeight="1" x14ac:dyDescent="0.2">
      <c r="C2745"/>
      <c r="M2745"/>
    </row>
    <row r="2746" spans="3:13" ht="12.75" customHeight="1" x14ac:dyDescent="0.2">
      <c r="C2746"/>
      <c r="M2746"/>
    </row>
    <row r="2747" spans="3:13" ht="12.75" customHeight="1" x14ac:dyDescent="0.2">
      <c r="C2747"/>
      <c r="M2747"/>
    </row>
    <row r="2748" spans="3:13" ht="12.75" customHeight="1" x14ac:dyDescent="0.2">
      <c r="C2748"/>
      <c r="M2748"/>
    </row>
    <row r="2749" spans="3:13" ht="12.75" customHeight="1" x14ac:dyDescent="0.2">
      <c r="C2749"/>
      <c r="M2749"/>
    </row>
    <row r="2750" spans="3:13" ht="12.75" customHeight="1" x14ac:dyDescent="0.2">
      <c r="C2750"/>
      <c r="M2750"/>
    </row>
    <row r="2751" spans="3:13" ht="12.75" customHeight="1" x14ac:dyDescent="0.2">
      <c r="C2751"/>
      <c r="M2751"/>
    </row>
    <row r="2752" spans="3:13" ht="12.75" customHeight="1" x14ac:dyDescent="0.2">
      <c r="C2752"/>
      <c r="M2752"/>
    </row>
    <row r="2753" spans="3:13" ht="12.75" customHeight="1" x14ac:dyDescent="0.2">
      <c r="C2753"/>
      <c r="M2753"/>
    </row>
    <row r="2754" spans="3:13" ht="12.75" customHeight="1" x14ac:dyDescent="0.2">
      <c r="C2754"/>
      <c r="M2754"/>
    </row>
    <row r="2755" spans="3:13" ht="12.75" customHeight="1" x14ac:dyDescent="0.2">
      <c r="C2755"/>
      <c r="M2755"/>
    </row>
    <row r="2756" spans="3:13" ht="12.75" customHeight="1" x14ac:dyDescent="0.2">
      <c r="C2756"/>
      <c r="M2756"/>
    </row>
    <row r="2757" spans="3:13" ht="12.75" customHeight="1" x14ac:dyDescent="0.2">
      <c r="C2757"/>
      <c r="M2757"/>
    </row>
    <row r="2758" spans="3:13" ht="12.75" customHeight="1" x14ac:dyDescent="0.2">
      <c r="C2758"/>
      <c r="M2758"/>
    </row>
    <row r="2759" spans="3:13" ht="12.75" customHeight="1" x14ac:dyDescent="0.2">
      <c r="C2759"/>
      <c r="M2759"/>
    </row>
    <row r="2760" spans="3:13" ht="12.75" customHeight="1" x14ac:dyDescent="0.2">
      <c r="C2760"/>
      <c r="M2760"/>
    </row>
    <row r="2761" spans="3:13" ht="12.75" customHeight="1" x14ac:dyDescent="0.2">
      <c r="C2761"/>
      <c r="M2761"/>
    </row>
    <row r="2762" spans="3:13" ht="12.75" customHeight="1" x14ac:dyDescent="0.2">
      <c r="C2762"/>
      <c r="M2762"/>
    </row>
    <row r="2763" spans="3:13" ht="12.75" customHeight="1" x14ac:dyDescent="0.2">
      <c r="C2763"/>
      <c r="M2763"/>
    </row>
    <row r="2764" spans="3:13" ht="12.75" customHeight="1" x14ac:dyDescent="0.2">
      <c r="C2764"/>
      <c r="M2764"/>
    </row>
    <row r="2765" spans="3:13" ht="12.75" customHeight="1" x14ac:dyDescent="0.2">
      <c r="C2765"/>
      <c r="M2765"/>
    </row>
    <row r="2766" spans="3:13" ht="12.75" customHeight="1" x14ac:dyDescent="0.2">
      <c r="C2766"/>
      <c r="M2766"/>
    </row>
    <row r="2767" spans="3:13" ht="12.75" customHeight="1" x14ac:dyDescent="0.2">
      <c r="C2767"/>
      <c r="M2767"/>
    </row>
    <row r="2768" spans="3:13" ht="12.75" customHeight="1" x14ac:dyDescent="0.2">
      <c r="C2768"/>
      <c r="M2768"/>
    </row>
    <row r="2769" spans="3:13" ht="12.75" customHeight="1" x14ac:dyDescent="0.2">
      <c r="C2769"/>
      <c r="M2769"/>
    </row>
    <row r="2770" spans="3:13" ht="12.75" customHeight="1" x14ac:dyDescent="0.2">
      <c r="C2770"/>
      <c r="M2770"/>
    </row>
    <row r="2771" spans="3:13" ht="12.75" customHeight="1" x14ac:dyDescent="0.2">
      <c r="C2771"/>
      <c r="M2771"/>
    </row>
    <row r="2772" spans="3:13" ht="12.75" customHeight="1" x14ac:dyDescent="0.2">
      <c r="C2772"/>
      <c r="M2772"/>
    </row>
    <row r="2773" spans="3:13" ht="12.75" customHeight="1" x14ac:dyDescent="0.2">
      <c r="C2773"/>
      <c r="M2773"/>
    </row>
    <row r="2774" spans="3:13" ht="12.75" customHeight="1" x14ac:dyDescent="0.2">
      <c r="C2774"/>
      <c r="M2774"/>
    </row>
    <row r="2775" spans="3:13" ht="12.75" customHeight="1" x14ac:dyDescent="0.2">
      <c r="C2775"/>
      <c r="M2775"/>
    </row>
    <row r="2776" spans="3:13" ht="12.75" customHeight="1" x14ac:dyDescent="0.2">
      <c r="C2776"/>
      <c r="M2776"/>
    </row>
    <row r="2777" spans="3:13" ht="12.75" customHeight="1" x14ac:dyDescent="0.2">
      <c r="C2777"/>
      <c r="M2777"/>
    </row>
    <row r="2778" spans="3:13" ht="12.75" customHeight="1" x14ac:dyDescent="0.2">
      <c r="C2778"/>
      <c r="M2778"/>
    </row>
    <row r="2779" spans="3:13" ht="12.75" customHeight="1" x14ac:dyDescent="0.2">
      <c r="C2779"/>
      <c r="M2779"/>
    </row>
    <row r="2780" spans="3:13" ht="12.75" customHeight="1" x14ac:dyDescent="0.2">
      <c r="C2780"/>
      <c r="M2780"/>
    </row>
    <row r="2781" spans="3:13" ht="12.75" customHeight="1" x14ac:dyDescent="0.2">
      <c r="C2781"/>
      <c r="M2781"/>
    </row>
    <row r="2782" spans="3:13" ht="12.75" customHeight="1" x14ac:dyDescent="0.2">
      <c r="C2782"/>
      <c r="M2782"/>
    </row>
    <row r="2783" spans="3:13" ht="12.75" customHeight="1" x14ac:dyDescent="0.2">
      <c r="C2783"/>
      <c r="M2783"/>
    </row>
    <row r="2784" spans="3:13" ht="12.75" customHeight="1" x14ac:dyDescent="0.2">
      <c r="C2784"/>
      <c r="M2784"/>
    </row>
    <row r="2785" spans="3:13" ht="12.75" customHeight="1" x14ac:dyDescent="0.2">
      <c r="C2785"/>
      <c r="M2785"/>
    </row>
    <row r="2786" spans="3:13" ht="12.75" customHeight="1" x14ac:dyDescent="0.2">
      <c r="C2786"/>
      <c r="M2786"/>
    </row>
    <row r="2787" spans="3:13" ht="12.75" customHeight="1" x14ac:dyDescent="0.2">
      <c r="C2787"/>
      <c r="M2787"/>
    </row>
    <row r="2788" spans="3:13" ht="12.75" customHeight="1" x14ac:dyDescent="0.2">
      <c r="C2788"/>
      <c r="M2788"/>
    </row>
    <row r="2789" spans="3:13" ht="12.75" customHeight="1" x14ac:dyDescent="0.2">
      <c r="C2789"/>
      <c r="M2789"/>
    </row>
    <row r="2790" spans="3:13" ht="12.75" customHeight="1" x14ac:dyDescent="0.2">
      <c r="C2790"/>
      <c r="M2790"/>
    </row>
    <row r="2791" spans="3:13" ht="12.75" customHeight="1" x14ac:dyDescent="0.2">
      <c r="C2791"/>
      <c r="M2791"/>
    </row>
    <row r="2792" spans="3:13" ht="12.75" customHeight="1" x14ac:dyDescent="0.2">
      <c r="C2792"/>
      <c r="M2792"/>
    </row>
    <row r="2793" spans="3:13" ht="12.75" customHeight="1" x14ac:dyDescent="0.2">
      <c r="C2793"/>
      <c r="M2793"/>
    </row>
    <row r="2794" spans="3:13" ht="12.75" customHeight="1" x14ac:dyDescent="0.2">
      <c r="C2794"/>
      <c r="M2794"/>
    </row>
    <row r="2795" spans="3:13" ht="12.75" customHeight="1" x14ac:dyDescent="0.2">
      <c r="C2795"/>
      <c r="M2795"/>
    </row>
    <row r="2796" spans="3:13" ht="12.75" customHeight="1" x14ac:dyDescent="0.2">
      <c r="C2796"/>
      <c r="M2796"/>
    </row>
    <row r="2797" spans="3:13" ht="12.75" customHeight="1" x14ac:dyDescent="0.2">
      <c r="C2797"/>
      <c r="M2797"/>
    </row>
    <row r="2798" spans="3:13" ht="12.75" customHeight="1" x14ac:dyDescent="0.2">
      <c r="C2798"/>
      <c r="M2798"/>
    </row>
    <row r="2799" spans="3:13" ht="12.75" customHeight="1" x14ac:dyDescent="0.2">
      <c r="C2799"/>
      <c r="M2799"/>
    </row>
    <row r="2800" spans="3:13" ht="12.75" customHeight="1" x14ac:dyDescent="0.2">
      <c r="C2800"/>
      <c r="M2800"/>
    </row>
    <row r="2801" spans="3:13" ht="12.75" customHeight="1" x14ac:dyDescent="0.2">
      <c r="C2801"/>
      <c r="M2801"/>
    </row>
    <row r="2802" spans="3:13" ht="12.75" customHeight="1" x14ac:dyDescent="0.2">
      <c r="C2802"/>
      <c r="M2802"/>
    </row>
    <row r="2803" spans="3:13" ht="12.75" customHeight="1" x14ac:dyDescent="0.2">
      <c r="C2803"/>
      <c r="M2803"/>
    </row>
    <row r="2804" spans="3:13" ht="12.75" customHeight="1" x14ac:dyDescent="0.2">
      <c r="C2804"/>
      <c r="M2804"/>
    </row>
    <row r="2805" spans="3:13" ht="12.75" customHeight="1" x14ac:dyDescent="0.2">
      <c r="C2805"/>
      <c r="M2805"/>
    </row>
    <row r="2806" spans="3:13" ht="12.75" customHeight="1" x14ac:dyDescent="0.2">
      <c r="C2806"/>
      <c r="M2806"/>
    </row>
    <row r="2807" spans="3:13" ht="12.75" customHeight="1" x14ac:dyDescent="0.2">
      <c r="C2807"/>
      <c r="M2807"/>
    </row>
    <row r="2808" spans="3:13" ht="12.75" customHeight="1" x14ac:dyDescent="0.2">
      <c r="C2808"/>
      <c r="M2808"/>
    </row>
    <row r="2809" spans="3:13" ht="12.75" customHeight="1" x14ac:dyDescent="0.2">
      <c r="C2809"/>
      <c r="M2809"/>
    </row>
    <row r="2810" spans="3:13" ht="12.75" customHeight="1" x14ac:dyDescent="0.2">
      <c r="C2810"/>
      <c r="M2810"/>
    </row>
    <row r="2811" spans="3:13" ht="12.75" customHeight="1" x14ac:dyDescent="0.2">
      <c r="C2811"/>
      <c r="M2811"/>
    </row>
    <row r="2812" spans="3:13" ht="12.75" customHeight="1" x14ac:dyDescent="0.2">
      <c r="C2812"/>
      <c r="M2812"/>
    </row>
    <row r="2813" spans="3:13" ht="12.75" customHeight="1" x14ac:dyDescent="0.2">
      <c r="C2813"/>
      <c r="M2813"/>
    </row>
    <row r="2814" spans="3:13" ht="12.75" customHeight="1" x14ac:dyDescent="0.2">
      <c r="C2814"/>
      <c r="M2814"/>
    </row>
    <row r="2815" spans="3:13" ht="12.75" customHeight="1" x14ac:dyDescent="0.2">
      <c r="C2815"/>
      <c r="M2815"/>
    </row>
    <row r="2816" spans="3:13" ht="12.75" customHeight="1" x14ac:dyDescent="0.2">
      <c r="C2816"/>
      <c r="M2816"/>
    </row>
    <row r="2817" spans="3:13" ht="12.75" customHeight="1" x14ac:dyDescent="0.2">
      <c r="C2817"/>
      <c r="M2817"/>
    </row>
    <row r="2818" spans="3:13" ht="12.75" customHeight="1" x14ac:dyDescent="0.2">
      <c r="C2818"/>
      <c r="M2818"/>
    </row>
    <row r="2819" spans="3:13" ht="12.75" customHeight="1" x14ac:dyDescent="0.2">
      <c r="C2819"/>
      <c r="M2819"/>
    </row>
    <row r="2820" spans="3:13" ht="12.75" customHeight="1" x14ac:dyDescent="0.2">
      <c r="C2820"/>
      <c r="M2820"/>
    </row>
    <row r="2821" spans="3:13" ht="12.75" customHeight="1" x14ac:dyDescent="0.2">
      <c r="C2821"/>
      <c r="M2821"/>
    </row>
    <row r="2822" spans="3:13" ht="12.75" customHeight="1" x14ac:dyDescent="0.2">
      <c r="C2822"/>
      <c r="M2822"/>
    </row>
    <row r="2823" spans="3:13" ht="12.75" customHeight="1" x14ac:dyDescent="0.2">
      <c r="C2823"/>
      <c r="M2823"/>
    </row>
    <row r="2824" spans="3:13" ht="12.75" customHeight="1" x14ac:dyDescent="0.2">
      <c r="C2824"/>
      <c r="M2824"/>
    </row>
    <row r="2825" spans="3:13" ht="12.75" customHeight="1" x14ac:dyDescent="0.2">
      <c r="C2825"/>
      <c r="M2825"/>
    </row>
    <row r="2826" spans="3:13" ht="12.75" customHeight="1" x14ac:dyDescent="0.2">
      <c r="C2826"/>
      <c r="M2826"/>
    </row>
    <row r="2827" spans="3:13" ht="12.75" customHeight="1" x14ac:dyDescent="0.2">
      <c r="C2827"/>
      <c r="M2827"/>
    </row>
    <row r="2828" spans="3:13" ht="12.75" customHeight="1" x14ac:dyDescent="0.2">
      <c r="C2828"/>
      <c r="M2828"/>
    </row>
    <row r="2829" spans="3:13" ht="12.75" customHeight="1" x14ac:dyDescent="0.2">
      <c r="C2829"/>
      <c r="M2829"/>
    </row>
    <row r="2830" spans="3:13" ht="12.75" customHeight="1" x14ac:dyDescent="0.2">
      <c r="C2830"/>
      <c r="M2830"/>
    </row>
    <row r="2831" spans="3:13" ht="12.75" customHeight="1" x14ac:dyDescent="0.2">
      <c r="C2831"/>
      <c r="M2831"/>
    </row>
    <row r="2832" spans="3:13" ht="12.75" customHeight="1" x14ac:dyDescent="0.2">
      <c r="C2832"/>
      <c r="M2832"/>
    </row>
    <row r="2833" spans="3:13" ht="12.75" customHeight="1" x14ac:dyDescent="0.2">
      <c r="C2833"/>
      <c r="M2833"/>
    </row>
    <row r="2834" spans="3:13" ht="12.75" customHeight="1" x14ac:dyDescent="0.2">
      <c r="C2834"/>
      <c r="M2834"/>
    </row>
    <row r="2835" spans="3:13" ht="12.75" customHeight="1" x14ac:dyDescent="0.2">
      <c r="C2835"/>
      <c r="M2835"/>
    </row>
    <row r="2836" spans="3:13" ht="12.75" customHeight="1" x14ac:dyDescent="0.2">
      <c r="C2836"/>
      <c r="M2836"/>
    </row>
    <row r="2837" spans="3:13" ht="12.75" customHeight="1" x14ac:dyDescent="0.2">
      <c r="C2837"/>
      <c r="M2837"/>
    </row>
    <row r="2838" spans="3:13" ht="12.75" customHeight="1" x14ac:dyDescent="0.2">
      <c r="C2838"/>
      <c r="M2838"/>
    </row>
    <row r="2839" spans="3:13" ht="12.75" customHeight="1" x14ac:dyDescent="0.2">
      <c r="C2839"/>
      <c r="M2839"/>
    </row>
    <row r="2840" spans="3:13" ht="12.75" customHeight="1" x14ac:dyDescent="0.2">
      <c r="C2840"/>
      <c r="M2840"/>
    </row>
    <row r="2841" spans="3:13" ht="12.75" customHeight="1" x14ac:dyDescent="0.2">
      <c r="C2841"/>
      <c r="M2841"/>
    </row>
    <row r="2842" spans="3:13" ht="12.75" customHeight="1" x14ac:dyDescent="0.2">
      <c r="C2842"/>
      <c r="M2842"/>
    </row>
    <row r="2843" spans="3:13" ht="12.75" customHeight="1" x14ac:dyDescent="0.2">
      <c r="C2843"/>
      <c r="M2843"/>
    </row>
    <row r="2844" spans="3:13" ht="12.75" customHeight="1" x14ac:dyDescent="0.2">
      <c r="C2844"/>
      <c r="M2844"/>
    </row>
    <row r="2845" spans="3:13" ht="12.75" customHeight="1" x14ac:dyDescent="0.2">
      <c r="C2845"/>
      <c r="M2845"/>
    </row>
    <row r="2846" spans="3:13" ht="12.75" customHeight="1" x14ac:dyDescent="0.2">
      <c r="C2846"/>
      <c r="M2846"/>
    </row>
    <row r="2847" spans="3:13" ht="12.75" customHeight="1" x14ac:dyDescent="0.2">
      <c r="C2847"/>
      <c r="M2847"/>
    </row>
    <row r="2848" spans="3:13" ht="12.75" customHeight="1" x14ac:dyDescent="0.2">
      <c r="C2848"/>
      <c r="M2848"/>
    </row>
    <row r="2849" spans="3:13" ht="12.75" customHeight="1" x14ac:dyDescent="0.2">
      <c r="C2849"/>
      <c r="M2849"/>
    </row>
    <row r="2850" spans="3:13" ht="12.75" customHeight="1" x14ac:dyDescent="0.2">
      <c r="C2850"/>
      <c r="M2850"/>
    </row>
    <row r="2851" spans="3:13" ht="12.75" customHeight="1" x14ac:dyDescent="0.2">
      <c r="C2851"/>
      <c r="M2851"/>
    </row>
    <row r="2852" spans="3:13" ht="12.75" customHeight="1" x14ac:dyDescent="0.2">
      <c r="C2852"/>
      <c r="M2852"/>
    </row>
    <row r="2853" spans="3:13" ht="12.75" customHeight="1" x14ac:dyDescent="0.2">
      <c r="C2853"/>
      <c r="M2853"/>
    </row>
    <row r="2854" spans="3:13" ht="12.75" customHeight="1" x14ac:dyDescent="0.2">
      <c r="C2854"/>
      <c r="M2854"/>
    </row>
    <row r="2855" spans="3:13" ht="12.75" customHeight="1" x14ac:dyDescent="0.2">
      <c r="C2855"/>
      <c r="M2855"/>
    </row>
    <row r="2856" spans="3:13" ht="12.75" customHeight="1" x14ac:dyDescent="0.2">
      <c r="C2856"/>
      <c r="M2856"/>
    </row>
    <row r="2857" spans="3:13" ht="12.75" customHeight="1" x14ac:dyDescent="0.2">
      <c r="C2857"/>
      <c r="M2857"/>
    </row>
    <row r="2858" spans="3:13" ht="12.75" customHeight="1" x14ac:dyDescent="0.2">
      <c r="C2858"/>
      <c r="M2858"/>
    </row>
    <row r="2859" spans="3:13" ht="12.75" customHeight="1" x14ac:dyDescent="0.2">
      <c r="C2859"/>
      <c r="M2859"/>
    </row>
    <row r="2860" spans="3:13" ht="12.75" customHeight="1" x14ac:dyDescent="0.2">
      <c r="C2860"/>
      <c r="M2860"/>
    </row>
    <row r="2861" spans="3:13" ht="12.75" customHeight="1" x14ac:dyDescent="0.2">
      <c r="C2861"/>
      <c r="M2861"/>
    </row>
    <row r="2862" spans="3:13" ht="12.75" customHeight="1" x14ac:dyDescent="0.2">
      <c r="C2862"/>
      <c r="M2862"/>
    </row>
    <row r="2863" spans="3:13" ht="12.75" customHeight="1" x14ac:dyDescent="0.2">
      <c r="C2863"/>
      <c r="M2863"/>
    </row>
    <row r="2864" spans="3:13" ht="12.75" customHeight="1" x14ac:dyDescent="0.2">
      <c r="C2864"/>
      <c r="M2864"/>
    </row>
    <row r="2865" spans="3:13" ht="12.75" customHeight="1" x14ac:dyDescent="0.2">
      <c r="C2865"/>
      <c r="M2865"/>
    </row>
    <row r="2866" spans="3:13" ht="12.75" customHeight="1" x14ac:dyDescent="0.2">
      <c r="C2866"/>
      <c r="M2866"/>
    </row>
    <row r="2867" spans="3:13" ht="12.75" customHeight="1" x14ac:dyDescent="0.2">
      <c r="C2867"/>
      <c r="M2867"/>
    </row>
    <row r="2868" spans="3:13" ht="12.75" customHeight="1" x14ac:dyDescent="0.2">
      <c r="C2868"/>
      <c r="M2868"/>
    </row>
    <row r="2869" spans="3:13" ht="12.75" customHeight="1" x14ac:dyDescent="0.2">
      <c r="C2869"/>
      <c r="M2869"/>
    </row>
    <row r="2870" spans="3:13" ht="12.75" customHeight="1" x14ac:dyDescent="0.2">
      <c r="C2870"/>
      <c r="M2870"/>
    </row>
    <row r="2871" spans="3:13" ht="12.75" customHeight="1" x14ac:dyDescent="0.2">
      <c r="C2871"/>
      <c r="M2871"/>
    </row>
    <row r="2872" spans="3:13" ht="12.75" customHeight="1" x14ac:dyDescent="0.2">
      <c r="C2872"/>
      <c r="M2872"/>
    </row>
    <row r="2873" spans="3:13" ht="12.75" customHeight="1" x14ac:dyDescent="0.2">
      <c r="C2873"/>
      <c r="M2873"/>
    </row>
    <row r="2874" spans="3:13" ht="12.75" customHeight="1" x14ac:dyDescent="0.2">
      <c r="C2874"/>
      <c r="M2874"/>
    </row>
    <row r="2875" spans="3:13" ht="12.75" customHeight="1" x14ac:dyDescent="0.2">
      <c r="C2875"/>
      <c r="M2875"/>
    </row>
    <row r="2876" spans="3:13" ht="12.75" customHeight="1" x14ac:dyDescent="0.2">
      <c r="C2876"/>
      <c r="M2876"/>
    </row>
    <row r="2877" spans="3:13" ht="12.75" customHeight="1" x14ac:dyDescent="0.2">
      <c r="C2877"/>
      <c r="M2877"/>
    </row>
    <row r="2878" spans="3:13" ht="12.75" customHeight="1" x14ac:dyDescent="0.2">
      <c r="C2878"/>
      <c r="M2878"/>
    </row>
    <row r="2879" spans="3:13" ht="12.75" customHeight="1" x14ac:dyDescent="0.2">
      <c r="C2879"/>
      <c r="M2879"/>
    </row>
    <row r="2880" spans="3:13" ht="12.75" customHeight="1" x14ac:dyDescent="0.2">
      <c r="C2880"/>
      <c r="M2880"/>
    </row>
    <row r="2881" spans="3:13" ht="12.75" customHeight="1" x14ac:dyDescent="0.2">
      <c r="C2881"/>
      <c r="M2881"/>
    </row>
    <row r="2882" spans="3:13" ht="12.75" customHeight="1" x14ac:dyDescent="0.2">
      <c r="C2882"/>
      <c r="M2882"/>
    </row>
    <row r="2883" spans="3:13" ht="12.75" customHeight="1" x14ac:dyDescent="0.2">
      <c r="C2883"/>
      <c r="M2883"/>
    </row>
    <row r="2884" spans="3:13" ht="12.75" customHeight="1" x14ac:dyDescent="0.2">
      <c r="C2884"/>
      <c r="M2884"/>
    </row>
    <row r="2885" spans="3:13" ht="12.75" customHeight="1" x14ac:dyDescent="0.2">
      <c r="C2885"/>
      <c r="M2885"/>
    </row>
    <row r="2886" spans="3:13" ht="12.75" customHeight="1" x14ac:dyDescent="0.2">
      <c r="C2886"/>
      <c r="M2886"/>
    </row>
    <row r="2887" spans="3:13" ht="12.75" customHeight="1" x14ac:dyDescent="0.2">
      <c r="C2887"/>
      <c r="M2887"/>
    </row>
    <row r="2888" spans="3:13" ht="12.75" customHeight="1" x14ac:dyDescent="0.2">
      <c r="C2888"/>
      <c r="M2888"/>
    </row>
    <row r="2889" spans="3:13" ht="12.75" customHeight="1" x14ac:dyDescent="0.2">
      <c r="C2889"/>
      <c r="M2889"/>
    </row>
    <row r="2890" spans="3:13" ht="12.75" customHeight="1" x14ac:dyDescent="0.2">
      <c r="C2890"/>
      <c r="M2890"/>
    </row>
    <row r="2891" spans="3:13" ht="12.75" customHeight="1" x14ac:dyDescent="0.2">
      <c r="C2891"/>
      <c r="M2891"/>
    </row>
    <row r="2892" spans="3:13" ht="12.75" customHeight="1" x14ac:dyDescent="0.2">
      <c r="C2892"/>
      <c r="M2892"/>
    </row>
    <row r="2893" spans="3:13" ht="12.75" customHeight="1" x14ac:dyDescent="0.2">
      <c r="C2893"/>
      <c r="M2893"/>
    </row>
    <row r="2894" spans="3:13" ht="12.75" customHeight="1" x14ac:dyDescent="0.2">
      <c r="C2894"/>
      <c r="M2894"/>
    </row>
    <row r="2895" spans="3:13" ht="12.75" customHeight="1" x14ac:dyDescent="0.2">
      <c r="C2895"/>
      <c r="M2895"/>
    </row>
    <row r="2896" spans="3:13" ht="12.75" customHeight="1" x14ac:dyDescent="0.2">
      <c r="C2896"/>
      <c r="M2896"/>
    </row>
    <row r="2897" spans="3:13" ht="12.75" customHeight="1" x14ac:dyDescent="0.2">
      <c r="C2897"/>
      <c r="M2897"/>
    </row>
    <row r="2898" spans="3:13" ht="12.75" customHeight="1" x14ac:dyDescent="0.2">
      <c r="C2898"/>
      <c r="M2898"/>
    </row>
    <row r="2899" spans="3:13" ht="12.75" customHeight="1" x14ac:dyDescent="0.2">
      <c r="C2899"/>
      <c r="M2899"/>
    </row>
    <row r="2900" spans="3:13" ht="12.75" customHeight="1" x14ac:dyDescent="0.2">
      <c r="C2900"/>
      <c r="M2900"/>
    </row>
    <row r="2901" spans="3:13" ht="12.75" customHeight="1" x14ac:dyDescent="0.2">
      <c r="C2901"/>
      <c r="M2901"/>
    </row>
    <row r="2902" spans="3:13" ht="12.75" customHeight="1" x14ac:dyDescent="0.2">
      <c r="C2902"/>
      <c r="M2902"/>
    </row>
    <row r="2903" spans="3:13" ht="12.75" customHeight="1" x14ac:dyDescent="0.2">
      <c r="C2903"/>
      <c r="M2903"/>
    </row>
    <row r="2904" spans="3:13" ht="12.75" customHeight="1" x14ac:dyDescent="0.2">
      <c r="C2904"/>
      <c r="M2904"/>
    </row>
    <row r="2905" spans="3:13" ht="12.75" customHeight="1" x14ac:dyDescent="0.2">
      <c r="C2905"/>
      <c r="M2905"/>
    </row>
    <row r="2906" spans="3:13" ht="12.75" customHeight="1" x14ac:dyDescent="0.2">
      <c r="C2906"/>
      <c r="M2906"/>
    </row>
    <row r="2907" spans="3:13" ht="12.75" customHeight="1" x14ac:dyDescent="0.2">
      <c r="C2907"/>
      <c r="M2907"/>
    </row>
    <row r="2908" spans="3:13" ht="12.75" customHeight="1" x14ac:dyDescent="0.2">
      <c r="C2908"/>
      <c r="M2908"/>
    </row>
    <row r="2909" spans="3:13" ht="12.75" customHeight="1" x14ac:dyDescent="0.2">
      <c r="C2909"/>
      <c r="M2909"/>
    </row>
    <row r="2910" spans="3:13" ht="12.75" customHeight="1" x14ac:dyDescent="0.2">
      <c r="C2910"/>
      <c r="M2910"/>
    </row>
    <row r="2911" spans="3:13" ht="12.75" customHeight="1" x14ac:dyDescent="0.2">
      <c r="C2911"/>
      <c r="M2911"/>
    </row>
    <row r="2912" spans="3:13" ht="12.75" customHeight="1" x14ac:dyDescent="0.2">
      <c r="C2912"/>
      <c r="M2912"/>
    </row>
    <row r="2913" spans="3:13" ht="12.75" customHeight="1" x14ac:dyDescent="0.2">
      <c r="C2913"/>
      <c r="M2913"/>
    </row>
    <row r="2914" spans="3:13" ht="12.75" customHeight="1" x14ac:dyDescent="0.2">
      <c r="C2914"/>
      <c r="M2914"/>
    </row>
    <row r="2915" spans="3:13" ht="12.75" customHeight="1" x14ac:dyDescent="0.2">
      <c r="C2915"/>
      <c r="M2915"/>
    </row>
    <row r="2916" spans="3:13" ht="12.75" customHeight="1" x14ac:dyDescent="0.2">
      <c r="C2916"/>
      <c r="M2916"/>
    </row>
    <row r="2917" spans="3:13" ht="12.75" customHeight="1" x14ac:dyDescent="0.2">
      <c r="C2917"/>
      <c r="M2917"/>
    </row>
    <row r="2918" spans="3:13" ht="12.75" customHeight="1" x14ac:dyDescent="0.2">
      <c r="C2918"/>
      <c r="M2918"/>
    </row>
    <row r="2919" spans="3:13" ht="12.75" customHeight="1" x14ac:dyDescent="0.2">
      <c r="C2919"/>
      <c r="M2919"/>
    </row>
    <row r="2920" spans="3:13" ht="12.75" customHeight="1" x14ac:dyDescent="0.2">
      <c r="C2920"/>
      <c r="M2920"/>
    </row>
    <row r="2921" spans="3:13" ht="12.75" customHeight="1" x14ac:dyDescent="0.2">
      <c r="C2921"/>
      <c r="M2921"/>
    </row>
    <row r="2922" spans="3:13" ht="12.75" customHeight="1" x14ac:dyDescent="0.2">
      <c r="C2922"/>
      <c r="M2922"/>
    </row>
    <row r="2923" spans="3:13" ht="12.75" customHeight="1" x14ac:dyDescent="0.2">
      <c r="C2923"/>
      <c r="M2923"/>
    </row>
    <row r="2924" spans="3:13" ht="12.75" customHeight="1" x14ac:dyDescent="0.2">
      <c r="C2924"/>
      <c r="M2924"/>
    </row>
    <row r="2925" spans="3:13" ht="12.75" customHeight="1" x14ac:dyDescent="0.2">
      <c r="C2925"/>
      <c r="M2925"/>
    </row>
    <row r="2926" spans="3:13" ht="12.75" customHeight="1" x14ac:dyDescent="0.2">
      <c r="C2926"/>
      <c r="M2926"/>
    </row>
    <row r="2927" spans="3:13" ht="12.75" customHeight="1" x14ac:dyDescent="0.2">
      <c r="C2927"/>
      <c r="M2927"/>
    </row>
    <row r="2928" spans="3:13" ht="12.75" customHeight="1" x14ac:dyDescent="0.2">
      <c r="C2928"/>
      <c r="M2928"/>
    </row>
    <row r="2929" spans="3:13" ht="12.75" customHeight="1" x14ac:dyDescent="0.2">
      <c r="C2929"/>
      <c r="M2929"/>
    </row>
    <row r="2930" spans="3:13" ht="12.75" customHeight="1" x14ac:dyDescent="0.2">
      <c r="C2930"/>
      <c r="M2930"/>
    </row>
    <row r="2931" spans="3:13" ht="12.75" customHeight="1" x14ac:dyDescent="0.2">
      <c r="C2931"/>
      <c r="M2931"/>
    </row>
    <row r="2932" spans="3:13" ht="12.75" customHeight="1" x14ac:dyDescent="0.2">
      <c r="C2932"/>
      <c r="M2932"/>
    </row>
    <row r="2933" spans="3:13" ht="12.75" customHeight="1" x14ac:dyDescent="0.2">
      <c r="C2933"/>
      <c r="M2933"/>
    </row>
    <row r="2934" spans="3:13" ht="12.75" customHeight="1" x14ac:dyDescent="0.2">
      <c r="C2934"/>
      <c r="M2934"/>
    </row>
    <row r="2935" spans="3:13" ht="12.75" customHeight="1" x14ac:dyDescent="0.2">
      <c r="C2935"/>
      <c r="M2935"/>
    </row>
    <row r="2936" spans="3:13" ht="12.75" customHeight="1" x14ac:dyDescent="0.2">
      <c r="C2936"/>
      <c r="M2936"/>
    </row>
    <row r="2937" spans="3:13" ht="12.75" customHeight="1" x14ac:dyDescent="0.2">
      <c r="C2937"/>
      <c r="M2937"/>
    </row>
    <row r="2938" spans="3:13" ht="12.75" customHeight="1" x14ac:dyDescent="0.2">
      <c r="C2938"/>
      <c r="M2938"/>
    </row>
    <row r="2939" spans="3:13" ht="12.75" customHeight="1" x14ac:dyDescent="0.2">
      <c r="C2939"/>
      <c r="M2939"/>
    </row>
    <row r="2940" spans="3:13" ht="12.75" customHeight="1" x14ac:dyDescent="0.2">
      <c r="C2940"/>
      <c r="M2940"/>
    </row>
    <row r="2941" spans="3:13" ht="12.75" customHeight="1" x14ac:dyDescent="0.2">
      <c r="C2941"/>
      <c r="M2941"/>
    </row>
    <row r="2942" spans="3:13" ht="12.75" customHeight="1" x14ac:dyDescent="0.2">
      <c r="C2942"/>
      <c r="M2942"/>
    </row>
    <row r="2943" spans="3:13" ht="12.75" customHeight="1" x14ac:dyDescent="0.2">
      <c r="C2943"/>
      <c r="M2943"/>
    </row>
    <row r="2944" spans="3:13" ht="12.75" customHeight="1" x14ac:dyDescent="0.2">
      <c r="C2944"/>
      <c r="M2944"/>
    </row>
    <row r="2945" spans="3:13" ht="12.75" customHeight="1" x14ac:dyDescent="0.2">
      <c r="C2945"/>
      <c r="M2945"/>
    </row>
    <row r="2946" spans="3:13" ht="12.75" customHeight="1" x14ac:dyDescent="0.2">
      <c r="C2946"/>
      <c r="M2946"/>
    </row>
    <row r="2947" spans="3:13" ht="12.75" customHeight="1" x14ac:dyDescent="0.2">
      <c r="C2947"/>
      <c r="M2947"/>
    </row>
    <row r="2948" spans="3:13" ht="12.75" customHeight="1" x14ac:dyDescent="0.2">
      <c r="C2948"/>
      <c r="M2948"/>
    </row>
    <row r="2949" spans="3:13" ht="12.75" customHeight="1" x14ac:dyDescent="0.2">
      <c r="C2949"/>
      <c r="M2949"/>
    </row>
    <row r="2950" spans="3:13" ht="12.75" customHeight="1" x14ac:dyDescent="0.2">
      <c r="C2950"/>
      <c r="M2950"/>
    </row>
    <row r="2951" spans="3:13" ht="12.75" customHeight="1" x14ac:dyDescent="0.2">
      <c r="C2951"/>
      <c r="M2951"/>
    </row>
    <row r="2952" spans="3:13" ht="12.75" customHeight="1" x14ac:dyDescent="0.2">
      <c r="C2952"/>
      <c r="M2952"/>
    </row>
    <row r="2953" spans="3:13" ht="12.75" customHeight="1" x14ac:dyDescent="0.2">
      <c r="C2953"/>
      <c r="M2953"/>
    </row>
    <row r="2954" spans="3:13" ht="12.75" customHeight="1" x14ac:dyDescent="0.2">
      <c r="C2954"/>
      <c r="M2954"/>
    </row>
    <row r="2955" spans="3:13" ht="12.75" customHeight="1" x14ac:dyDescent="0.2">
      <c r="C2955"/>
      <c r="M2955"/>
    </row>
    <row r="2956" spans="3:13" ht="12.75" customHeight="1" x14ac:dyDescent="0.2">
      <c r="C2956"/>
      <c r="M2956"/>
    </row>
    <row r="2957" spans="3:13" ht="12.75" customHeight="1" x14ac:dyDescent="0.2">
      <c r="C2957"/>
      <c r="M2957"/>
    </row>
    <row r="2958" spans="3:13" ht="12.75" customHeight="1" x14ac:dyDescent="0.2">
      <c r="C2958"/>
      <c r="M2958"/>
    </row>
    <row r="2959" spans="3:13" ht="12.75" customHeight="1" x14ac:dyDescent="0.2">
      <c r="C2959"/>
      <c r="M2959"/>
    </row>
    <row r="2960" spans="3:13" ht="12.75" customHeight="1" x14ac:dyDescent="0.2">
      <c r="C2960"/>
      <c r="M2960"/>
    </row>
    <row r="2961" spans="3:13" ht="12.75" customHeight="1" x14ac:dyDescent="0.2">
      <c r="C2961"/>
      <c r="M2961"/>
    </row>
    <row r="2962" spans="3:13" ht="12.75" customHeight="1" x14ac:dyDescent="0.2">
      <c r="C2962"/>
      <c r="M2962"/>
    </row>
    <row r="2963" spans="3:13" ht="12.75" customHeight="1" x14ac:dyDescent="0.2">
      <c r="C2963"/>
      <c r="M2963"/>
    </row>
    <row r="2964" spans="3:13" ht="12.75" customHeight="1" x14ac:dyDescent="0.2">
      <c r="C2964"/>
      <c r="M2964"/>
    </row>
    <row r="2965" spans="3:13" ht="12.75" customHeight="1" x14ac:dyDescent="0.2">
      <c r="C2965"/>
      <c r="M2965"/>
    </row>
    <row r="2966" spans="3:13" ht="12.75" customHeight="1" x14ac:dyDescent="0.2">
      <c r="C2966"/>
      <c r="M2966"/>
    </row>
    <row r="2967" spans="3:13" ht="12.75" customHeight="1" x14ac:dyDescent="0.2">
      <c r="C2967"/>
      <c r="M2967"/>
    </row>
    <row r="2968" spans="3:13" ht="12.75" customHeight="1" x14ac:dyDescent="0.2">
      <c r="C2968"/>
      <c r="M2968"/>
    </row>
    <row r="2969" spans="3:13" ht="12.75" customHeight="1" x14ac:dyDescent="0.2">
      <c r="C2969"/>
      <c r="M2969"/>
    </row>
    <row r="2970" spans="3:13" ht="12.75" customHeight="1" x14ac:dyDescent="0.2">
      <c r="C2970"/>
      <c r="M2970"/>
    </row>
    <row r="2971" spans="3:13" ht="12.75" customHeight="1" x14ac:dyDescent="0.2">
      <c r="C2971"/>
      <c r="M2971"/>
    </row>
    <row r="2972" spans="3:13" ht="12.75" customHeight="1" x14ac:dyDescent="0.2">
      <c r="C2972"/>
      <c r="M2972"/>
    </row>
    <row r="2973" spans="3:13" ht="12.75" customHeight="1" x14ac:dyDescent="0.2">
      <c r="C2973"/>
      <c r="M2973"/>
    </row>
    <row r="2974" spans="3:13" ht="12.75" customHeight="1" x14ac:dyDescent="0.2">
      <c r="C2974"/>
      <c r="M2974"/>
    </row>
    <row r="2975" spans="3:13" ht="12.75" customHeight="1" x14ac:dyDescent="0.2">
      <c r="C2975"/>
      <c r="M2975"/>
    </row>
    <row r="2976" spans="3:13" ht="12.75" customHeight="1" x14ac:dyDescent="0.2">
      <c r="C2976"/>
      <c r="M2976"/>
    </row>
    <row r="2977" spans="3:13" ht="12.75" customHeight="1" x14ac:dyDescent="0.2">
      <c r="C2977"/>
      <c r="M2977"/>
    </row>
    <row r="2978" spans="3:13" ht="12.75" customHeight="1" x14ac:dyDescent="0.2">
      <c r="C2978"/>
      <c r="M2978"/>
    </row>
    <row r="2979" spans="3:13" ht="12.75" customHeight="1" x14ac:dyDescent="0.2">
      <c r="C2979"/>
      <c r="M2979"/>
    </row>
    <row r="2980" spans="3:13" ht="12.75" customHeight="1" x14ac:dyDescent="0.2">
      <c r="C2980"/>
      <c r="M2980"/>
    </row>
    <row r="2981" spans="3:13" ht="12.75" customHeight="1" x14ac:dyDescent="0.2">
      <c r="C2981"/>
      <c r="M2981"/>
    </row>
    <row r="2982" spans="3:13" ht="12.75" customHeight="1" x14ac:dyDescent="0.2">
      <c r="C2982"/>
      <c r="M2982"/>
    </row>
    <row r="2983" spans="3:13" ht="12.75" customHeight="1" x14ac:dyDescent="0.2">
      <c r="C2983"/>
      <c r="M2983"/>
    </row>
    <row r="2984" spans="3:13" ht="12.75" customHeight="1" x14ac:dyDescent="0.2">
      <c r="C2984"/>
      <c r="M2984"/>
    </row>
    <row r="2985" spans="3:13" ht="12.75" customHeight="1" x14ac:dyDescent="0.2">
      <c r="C2985"/>
      <c r="M2985"/>
    </row>
    <row r="2986" spans="3:13" ht="12.75" customHeight="1" x14ac:dyDescent="0.2">
      <c r="C2986"/>
      <c r="M2986"/>
    </row>
    <row r="2987" spans="3:13" ht="12.75" customHeight="1" x14ac:dyDescent="0.2">
      <c r="C2987"/>
      <c r="M2987"/>
    </row>
    <row r="2988" spans="3:13" ht="12.75" customHeight="1" x14ac:dyDescent="0.2">
      <c r="C2988"/>
      <c r="M2988"/>
    </row>
    <row r="2989" spans="3:13" ht="12.75" customHeight="1" x14ac:dyDescent="0.2">
      <c r="C2989"/>
      <c r="M2989"/>
    </row>
    <row r="2990" spans="3:13" ht="12.75" customHeight="1" x14ac:dyDescent="0.2">
      <c r="C2990"/>
      <c r="M2990"/>
    </row>
    <row r="2991" spans="3:13" ht="12.75" customHeight="1" x14ac:dyDescent="0.2">
      <c r="C2991"/>
      <c r="M2991"/>
    </row>
    <row r="2992" spans="3:13" ht="12.75" customHeight="1" x14ac:dyDescent="0.2">
      <c r="C2992"/>
      <c r="M2992"/>
    </row>
    <row r="2993" spans="3:13" ht="12.75" customHeight="1" x14ac:dyDescent="0.2">
      <c r="C2993"/>
      <c r="M2993"/>
    </row>
    <row r="2994" spans="3:13" ht="12.75" customHeight="1" x14ac:dyDescent="0.2">
      <c r="C2994"/>
      <c r="M2994"/>
    </row>
    <row r="2995" spans="3:13" ht="12.75" customHeight="1" x14ac:dyDescent="0.2">
      <c r="C2995"/>
      <c r="M2995"/>
    </row>
    <row r="2996" spans="3:13" ht="12.75" customHeight="1" x14ac:dyDescent="0.2">
      <c r="C2996"/>
      <c r="M2996"/>
    </row>
    <row r="2997" spans="3:13" ht="12.75" customHeight="1" x14ac:dyDescent="0.2">
      <c r="C2997"/>
      <c r="M2997"/>
    </row>
    <row r="2998" spans="3:13" ht="12.75" customHeight="1" x14ac:dyDescent="0.2">
      <c r="C2998"/>
      <c r="M2998"/>
    </row>
    <row r="2999" spans="3:13" ht="12.75" customHeight="1" x14ac:dyDescent="0.2">
      <c r="C2999"/>
      <c r="M2999"/>
    </row>
    <row r="3000" spans="3:13" ht="12.75" customHeight="1" x14ac:dyDescent="0.2">
      <c r="C3000"/>
      <c r="M3000"/>
    </row>
    <row r="3001" spans="3:13" ht="12.75" customHeight="1" x14ac:dyDescent="0.2">
      <c r="C3001"/>
      <c r="M3001"/>
    </row>
    <row r="3002" spans="3:13" ht="12.75" customHeight="1" x14ac:dyDescent="0.2">
      <c r="C3002"/>
      <c r="M3002"/>
    </row>
    <row r="3003" spans="3:13" ht="12.75" customHeight="1" x14ac:dyDescent="0.2">
      <c r="C3003"/>
      <c r="M3003"/>
    </row>
    <row r="3004" spans="3:13" ht="12.75" customHeight="1" x14ac:dyDescent="0.2">
      <c r="C3004"/>
      <c r="M3004"/>
    </row>
    <row r="3005" spans="3:13" ht="12.75" customHeight="1" x14ac:dyDescent="0.2">
      <c r="C3005"/>
      <c r="M3005"/>
    </row>
    <row r="3006" spans="3:13" ht="12.75" customHeight="1" x14ac:dyDescent="0.2">
      <c r="C3006"/>
      <c r="M3006"/>
    </row>
    <row r="3007" spans="3:13" ht="12.75" customHeight="1" x14ac:dyDescent="0.2">
      <c r="C3007"/>
      <c r="M3007"/>
    </row>
    <row r="3008" spans="3:13" ht="12.75" customHeight="1" x14ac:dyDescent="0.2">
      <c r="C3008"/>
      <c r="M3008"/>
    </row>
    <row r="3009" spans="3:13" ht="12.75" customHeight="1" x14ac:dyDescent="0.2">
      <c r="C3009"/>
      <c r="M3009"/>
    </row>
    <row r="3010" spans="3:13" ht="12.75" customHeight="1" x14ac:dyDescent="0.2">
      <c r="C3010"/>
      <c r="M3010"/>
    </row>
    <row r="3011" spans="3:13" ht="12.75" customHeight="1" x14ac:dyDescent="0.2">
      <c r="C3011"/>
      <c r="M3011"/>
    </row>
    <row r="3012" spans="3:13" ht="12.75" customHeight="1" x14ac:dyDescent="0.2">
      <c r="C3012"/>
      <c r="M3012"/>
    </row>
    <row r="3013" spans="3:13" ht="12.75" customHeight="1" x14ac:dyDescent="0.2">
      <c r="C3013"/>
      <c r="M3013"/>
    </row>
    <row r="3014" spans="3:13" ht="12.75" customHeight="1" x14ac:dyDescent="0.2">
      <c r="C3014"/>
      <c r="M3014"/>
    </row>
    <row r="3015" spans="3:13" ht="12.75" customHeight="1" x14ac:dyDescent="0.2">
      <c r="C3015"/>
      <c r="M3015"/>
    </row>
    <row r="3016" spans="3:13" ht="12.75" customHeight="1" x14ac:dyDescent="0.2">
      <c r="C3016"/>
      <c r="M3016"/>
    </row>
    <row r="3017" spans="3:13" ht="12.75" customHeight="1" x14ac:dyDescent="0.2">
      <c r="C3017"/>
      <c r="M3017"/>
    </row>
    <row r="3018" spans="3:13" ht="12.75" customHeight="1" x14ac:dyDescent="0.2">
      <c r="C3018"/>
      <c r="M3018"/>
    </row>
    <row r="3019" spans="3:13" ht="12.75" customHeight="1" x14ac:dyDescent="0.2">
      <c r="C3019"/>
      <c r="M3019"/>
    </row>
    <row r="3020" spans="3:13" ht="12.75" customHeight="1" x14ac:dyDescent="0.2">
      <c r="C3020"/>
      <c r="M3020"/>
    </row>
    <row r="3021" spans="3:13" ht="12.75" customHeight="1" x14ac:dyDescent="0.2">
      <c r="C3021"/>
      <c r="M3021"/>
    </row>
    <row r="3022" spans="3:13" ht="12.75" customHeight="1" x14ac:dyDescent="0.2">
      <c r="C3022"/>
      <c r="M3022"/>
    </row>
    <row r="3023" spans="3:13" ht="12.75" customHeight="1" x14ac:dyDescent="0.2">
      <c r="C3023"/>
      <c r="M3023"/>
    </row>
    <row r="3024" spans="3:13" ht="12.75" customHeight="1" x14ac:dyDescent="0.2">
      <c r="C3024"/>
      <c r="M3024"/>
    </row>
    <row r="3025" spans="3:13" ht="12.75" customHeight="1" x14ac:dyDescent="0.2">
      <c r="C3025"/>
      <c r="M3025"/>
    </row>
    <row r="3026" spans="3:13" ht="12.75" customHeight="1" x14ac:dyDescent="0.2">
      <c r="C3026"/>
      <c r="M3026"/>
    </row>
    <row r="3027" spans="3:13" ht="12.75" customHeight="1" x14ac:dyDescent="0.2">
      <c r="C3027"/>
      <c r="M3027"/>
    </row>
    <row r="3028" spans="3:13" ht="12.75" customHeight="1" x14ac:dyDescent="0.2">
      <c r="C3028"/>
      <c r="M3028"/>
    </row>
    <row r="3029" spans="3:13" ht="12.75" customHeight="1" x14ac:dyDescent="0.2">
      <c r="C3029"/>
      <c r="M3029"/>
    </row>
    <row r="3030" spans="3:13" ht="12.75" customHeight="1" x14ac:dyDescent="0.2">
      <c r="C3030"/>
      <c r="M3030"/>
    </row>
    <row r="3031" spans="3:13" ht="12.75" customHeight="1" x14ac:dyDescent="0.2">
      <c r="C3031"/>
      <c r="M3031"/>
    </row>
    <row r="3032" spans="3:13" ht="12.75" customHeight="1" x14ac:dyDescent="0.2">
      <c r="C3032"/>
      <c r="M3032"/>
    </row>
    <row r="3033" spans="3:13" ht="12.75" customHeight="1" x14ac:dyDescent="0.2">
      <c r="C3033"/>
      <c r="M3033"/>
    </row>
    <row r="3034" spans="3:13" ht="12.75" customHeight="1" x14ac:dyDescent="0.2">
      <c r="C3034"/>
      <c r="M3034"/>
    </row>
    <row r="3035" spans="3:13" ht="12.75" customHeight="1" x14ac:dyDescent="0.2">
      <c r="C3035"/>
      <c r="M3035"/>
    </row>
    <row r="3036" spans="3:13" ht="12.75" customHeight="1" x14ac:dyDescent="0.2">
      <c r="C3036"/>
      <c r="M3036"/>
    </row>
    <row r="3037" spans="3:13" ht="12.75" customHeight="1" x14ac:dyDescent="0.2">
      <c r="C3037"/>
      <c r="M3037"/>
    </row>
    <row r="3038" spans="3:13" ht="12.75" customHeight="1" x14ac:dyDescent="0.2">
      <c r="C3038"/>
      <c r="M3038"/>
    </row>
    <row r="3039" spans="3:13" ht="12.75" customHeight="1" x14ac:dyDescent="0.2">
      <c r="C3039"/>
      <c r="M3039"/>
    </row>
    <row r="3040" spans="3:13" ht="12.75" customHeight="1" x14ac:dyDescent="0.2">
      <c r="C3040"/>
      <c r="M3040"/>
    </row>
    <row r="3041" spans="3:13" ht="12.75" customHeight="1" x14ac:dyDescent="0.2">
      <c r="C3041"/>
      <c r="M3041"/>
    </row>
    <row r="3042" spans="3:13" ht="12.75" customHeight="1" x14ac:dyDescent="0.2">
      <c r="C3042"/>
      <c r="M3042"/>
    </row>
    <row r="3043" spans="3:13" ht="12.75" customHeight="1" x14ac:dyDescent="0.2">
      <c r="C3043"/>
      <c r="M3043"/>
    </row>
    <row r="3044" spans="3:13" ht="12.75" customHeight="1" x14ac:dyDescent="0.2">
      <c r="C3044"/>
      <c r="M3044"/>
    </row>
    <row r="3045" spans="3:13" ht="12.75" customHeight="1" x14ac:dyDescent="0.2">
      <c r="C3045"/>
      <c r="M3045"/>
    </row>
    <row r="3046" spans="3:13" ht="12.75" customHeight="1" x14ac:dyDescent="0.2">
      <c r="C3046"/>
      <c r="M3046"/>
    </row>
    <row r="3047" spans="3:13" ht="12.75" customHeight="1" x14ac:dyDescent="0.2">
      <c r="C3047"/>
      <c r="M3047"/>
    </row>
    <row r="3048" spans="3:13" ht="12.75" customHeight="1" x14ac:dyDescent="0.2">
      <c r="C3048"/>
      <c r="M3048"/>
    </row>
    <row r="3049" spans="3:13" ht="12.75" customHeight="1" x14ac:dyDescent="0.2">
      <c r="C3049"/>
      <c r="M3049"/>
    </row>
    <row r="3050" spans="3:13" ht="12.75" customHeight="1" x14ac:dyDescent="0.2">
      <c r="C3050"/>
      <c r="M3050"/>
    </row>
    <row r="3051" spans="3:13" ht="12.75" customHeight="1" x14ac:dyDescent="0.2">
      <c r="C3051"/>
      <c r="M3051"/>
    </row>
    <row r="3052" spans="3:13" ht="12.75" customHeight="1" x14ac:dyDescent="0.2">
      <c r="C3052"/>
      <c r="M3052"/>
    </row>
    <row r="3053" spans="3:13" ht="12.75" customHeight="1" x14ac:dyDescent="0.2">
      <c r="C3053"/>
      <c r="M3053"/>
    </row>
    <row r="3054" spans="3:13" ht="12.75" customHeight="1" x14ac:dyDescent="0.2">
      <c r="C3054"/>
      <c r="M3054"/>
    </row>
    <row r="3055" spans="3:13" ht="12.75" customHeight="1" x14ac:dyDescent="0.2">
      <c r="C3055"/>
      <c r="M3055"/>
    </row>
    <row r="3056" spans="3:13" ht="12.75" customHeight="1" x14ac:dyDescent="0.2">
      <c r="C3056"/>
      <c r="M3056"/>
    </row>
    <row r="3057" spans="3:13" ht="12.75" customHeight="1" x14ac:dyDescent="0.2">
      <c r="C3057"/>
      <c r="M3057"/>
    </row>
    <row r="3058" spans="3:13" ht="12.75" customHeight="1" x14ac:dyDescent="0.2">
      <c r="C3058"/>
      <c r="M3058"/>
    </row>
    <row r="3059" spans="3:13" ht="12.75" customHeight="1" x14ac:dyDescent="0.2">
      <c r="C3059"/>
      <c r="M3059"/>
    </row>
    <row r="3060" spans="3:13" ht="12.75" customHeight="1" x14ac:dyDescent="0.2">
      <c r="C3060"/>
      <c r="M3060"/>
    </row>
    <row r="3061" spans="3:13" ht="12.75" customHeight="1" x14ac:dyDescent="0.2">
      <c r="C3061"/>
      <c r="M3061"/>
    </row>
    <row r="3062" spans="3:13" ht="12.75" customHeight="1" x14ac:dyDescent="0.2">
      <c r="C3062"/>
      <c r="M3062"/>
    </row>
    <row r="3063" spans="3:13" ht="12.75" customHeight="1" x14ac:dyDescent="0.2">
      <c r="C3063"/>
      <c r="M3063"/>
    </row>
    <row r="3064" spans="3:13" ht="12.75" customHeight="1" x14ac:dyDescent="0.2">
      <c r="C3064"/>
      <c r="M3064"/>
    </row>
    <row r="3065" spans="3:13" ht="12.75" customHeight="1" x14ac:dyDescent="0.2">
      <c r="C3065"/>
      <c r="M3065"/>
    </row>
    <row r="3066" spans="3:13" ht="12.75" customHeight="1" x14ac:dyDescent="0.2">
      <c r="C3066"/>
      <c r="M3066"/>
    </row>
    <row r="3067" spans="3:13" ht="12.75" customHeight="1" x14ac:dyDescent="0.2">
      <c r="C3067"/>
      <c r="M3067"/>
    </row>
    <row r="3068" spans="3:13" ht="12.75" customHeight="1" x14ac:dyDescent="0.2">
      <c r="C3068"/>
      <c r="M3068"/>
    </row>
    <row r="3069" spans="3:13" ht="12.75" customHeight="1" x14ac:dyDescent="0.2">
      <c r="C3069"/>
      <c r="M3069"/>
    </row>
    <row r="3070" spans="3:13" ht="12.75" customHeight="1" x14ac:dyDescent="0.2">
      <c r="C3070"/>
      <c r="M3070"/>
    </row>
    <row r="3071" spans="3:13" ht="12.75" customHeight="1" x14ac:dyDescent="0.2">
      <c r="C3071"/>
      <c r="M3071"/>
    </row>
    <row r="3072" spans="3:13" ht="12.75" customHeight="1" x14ac:dyDescent="0.2">
      <c r="C3072"/>
      <c r="M3072"/>
    </row>
    <row r="3073" spans="3:13" ht="12.75" customHeight="1" x14ac:dyDescent="0.2">
      <c r="C3073"/>
      <c r="M3073"/>
    </row>
    <row r="3074" spans="3:13" ht="12.75" customHeight="1" x14ac:dyDescent="0.2">
      <c r="C3074"/>
      <c r="M3074"/>
    </row>
    <row r="3075" spans="3:13" ht="12.75" customHeight="1" x14ac:dyDescent="0.2">
      <c r="C3075"/>
      <c r="M3075"/>
    </row>
    <row r="3076" spans="3:13" ht="12.75" customHeight="1" x14ac:dyDescent="0.2">
      <c r="C3076"/>
      <c r="M3076"/>
    </row>
    <row r="3077" spans="3:13" ht="12.75" customHeight="1" x14ac:dyDescent="0.2">
      <c r="C3077"/>
      <c r="M3077"/>
    </row>
    <row r="3078" spans="3:13" ht="12.75" customHeight="1" x14ac:dyDescent="0.2">
      <c r="C3078"/>
      <c r="M3078"/>
    </row>
    <row r="3079" spans="3:13" ht="12.75" customHeight="1" x14ac:dyDescent="0.2">
      <c r="C3079"/>
      <c r="M3079"/>
    </row>
    <row r="3080" spans="3:13" ht="12.75" customHeight="1" x14ac:dyDescent="0.2">
      <c r="C3080"/>
      <c r="M3080"/>
    </row>
    <row r="3081" spans="3:13" ht="12.75" customHeight="1" x14ac:dyDescent="0.2">
      <c r="C3081"/>
      <c r="M3081"/>
    </row>
    <row r="3082" spans="3:13" ht="12.75" customHeight="1" x14ac:dyDescent="0.2">
      <c r="C3082"/>
      <c r="M3082"/>
    </row>
    <row r="3083" spans="3:13" ht="12.75" customHeight="1" x14ac:dyDescent="0.2">
      <c r="C3083"/>
      <c r="M3083"/>
    </row>
    <row r="3084" spans="3:13" ht="12.75" customHeight="1" x14ac:dyDescent="0.2">
      <c r="C3084"/>
      <c r="M3084"/>
    </row>
    <row r="3085" spans="3:13" ht="12.75" customHeight="1" x14ac:dyDescent="0.2">
      <c r="C3085"/>
      <c r="M3085"/>
    </row>
    <row r="3086" spans="3:13" ht="12.75" customHeight="1" x14ac:dyDescent="0.2">
      <c r="C3086"/>
      <c r="M3086"/>
    </row>
    <row r="3087" spans="3:13" ht="12.75" customHeight="1" x14ac:dyDescent="0.2">
      <c r="C3087"/>
      <c r="M3087"/>
    </row>
    <row r="3088" spans="3:13" ht="12.75" customHeight="1" x14ac:dyDescent="0.2">
      <c r="C3088"/>
      <c r="M3088"/>
    </row>
    <row r="3089" spans="3:13" ht="12.75" customHeight="1" x14ac:dyDescent="0.2">
      <c r="C3089"/>
      <c r="M3089"/>
    </row>
    <row r="3090" spans="3:13" ht="12.75" customHeight="1" x14ac:dyDescent="0.2">
      <c r="C3090"/>
      <c r="M3090"/>
    </row>
    <row r="3091" spans="3:13" ht="12.75" customHeight="1" x14ac:dyDescent="0.2">
      <c r="C3091"/>
      <c r="M3091"/>
    </row>
    <row r="3092" spans="3:13" ht="12.75" customHeight="1" x14ac:dyDescent="0.2">
      <c r="C3092"/>
      <c r="M3092"/>
    </row>
    <row r="3093" spans="3:13" ht="12.75" customHeight="1" x14ac:dyDescent="0.2">
      <c r="C3093"/>
      <c r="M3093"/>
    </row>
    <row r="3094" spans="3:13" ht="12.75" customHeight="1" x14ac:dyDescent="0.2">
      <c r="C3094"/>
      <c r="M3094"/>
    </row>
    <row r="3095" spans="3:13" ht="12.75" customHeight="1" x14ac:dyDescent="0.2">
      <c r="C3095"/>
      <c r="M3095"/>
    </row>
    <row r="3096" spans="3:13" ht="12.75" customHeight="1" x14ac:dyDescent="0.2">
      <c r="C3096"/>
      <c r="M3096"/>
    </row>
    <row r="3097" spans="3:13" ht="12.75" customHeight="1" x14ac:dyDescent="0.2">
      <c r="C3097"/>
      <c r="M3097"/>
    </row>
    <row r="3098" spans="3:13" ht="12.75" customHeight="1" x14ac:dyDescent="0.2">
      <c r="C3098"/>
      <c r="M3098"/>
    </row>
    <row r="3099" spans="3:13" ht="12.75" customHeight="1" x14ac:dyDescent="0.2">
      <c r="C3099"/>
      <c r="M3099"/>
    </row>
    <row r="3100" spans="3:13" ht="12.75" customHeight="1" x14ac:dyDescent="0.2">
      <c r="C3100"/>
      <c r="M3100"/>
    </row>
    <row r="3101" spans="3:13" ht="12.75" customHeight="1" x14ac:dyDescent="0.2">
      <c r="C3101"/>
      <c r="M3101"/>
    </row>
    <row r="3102" spans="3:13" ht="12.75" customHeight="1" x14ac:dyDescent="0.2">
      <c r="C3102"/>
      <c r="M3102"/>
    </row>
    <row r="3103" spans="3:13" ht="12.75" customHeight="1" x14ac:dyDescent="0.2">
      <c r="C3103"/>
      <c r="M3103"/>
    </row>
    <row r="3104" spans="3:13" ht="12.75" customHeight="1" x14ac:dyDescent="0.2">
      <c r="C3104"/>
      <c r="M3104"/>
    </row>
    <row r="3105" spans="3:13" ht="12.75" customHeight="1" x14ac:dyDescent="0.2">
      <c r="C3105"/>
      <c r="M3105"/>
    </row>
    <row r="3106" spans="3:13" ht="12.75" customHeight="1" x14ac:dyDescent="0.2">
      <c r="C3106"/>
      <c r="M3106"/>
    </row>
    <row r="3107" spans="3:13" ht="12.75" customHeight="1" x14ac:dyDescent="0.2">
      <c r="C3107"/>
      <c r="M3107"/>
    </row>
    <row r="3108" spans="3:13" ht="12.75" customHeight="1" x14ac:dyDescent="0.2">
      <c r="C3108"/>
      <c r="M3108"/>
    </row>
    <row r="3109" spans="3:13" ht="12.75" customHeight="1" x14ac:dyDescent="0.2">
      <c r="C3109"/>
      <c r="M3109"/>
    </row>
    <row r="3110" spans="3:13" ht="12.75" customHeight="1" x14ac:dyDescent="0.2">
      <c r="C3110"/>
      <c r="M3110"/>
    </row>
    <row r="3111" spans="3:13" ht="12.75" customHeight="1" x14ac:dyDescent="0.2">
      <c r="C3111"/>
      <c r="M3111"/>
    </row>
    <row r="3112" spans="3:13" ht="12.75" customHeight="1" x14ac:dyDescent="0.2">
      <c r="C3112"/>
      <c r="M3112"/>
    </row>
    <row r="3113" spans="3:13" ht="12.75" customHeight="1" x14ac:dyDescent="0.2">
      <c r="C3113"/>
      <c r="M3113"/>
    </row>
    <row r="3114" spans="3:13" ht="12.75" customHeight="1" x14ac:dyDescent="0.2">
      <c r="C3114"/>
      <c r="M3114"/>
    </row>
    <row r="3115" spans="3:13" ht="12.75" customHeight="1" x14ac:dyDescent="0.2">
      <c r="C3115"/>
      <c r="M3115"/>
    </row>
    <row r="3116" spans="3:13" ht="12.75" customHeight="1" x14ac:dyDescent="0.2">
      <c r="C3116"/>
      <c r="M3116"/>
    </row>
    <row r="3117" spans="3:13" ht="12.75" customHeight="1" x14ac:dyDescent="0.2">
      <c r="C3117"/>
      <c r="M3117"/>
    </row>
    <row r="3118" spans="3:13" ht="12.75" customHeight="1" x14ac:dyDescent="0.2">
      <c r="C3118"/>
      <c r="M3118"/>
    </row>
    <row r="3119" spans="3:13" ht="12.75" customHeight="1" x14ac:dyDescent="0.2">
      <c r="C3119"/>
      <c r="M3119"/>
    </row>
    <row r="3120" spans="3:13" ht="12.75" customHeight="1" x14ac:dyDescent="0.2">
      <c r="C3120"/>
      <c r="M3120"/>
    </row>
    <row r="3121" spans="3:13" ht="12.75" customHeight="1" x14ac:dyDescent="0.2">
      <c r="C3121"/>
      <c r="M3121"/>
    </row>
    <row r="3122" spans="3:13" ht="12.75" customHeight="1" x14ac:dyDescent="0.2">
      <c r="C3122"/>
      <c r="M3122"/>
    </row>
    <row r="3123" spans="3:13" ht="12.75" customHeight="1" x14ac:dyDescent="0.2">
      <c r="C3123"/>
      <c r="M3123"/>
    </row>
    <row r="3124" spans="3:13" ht="12.75" customHeight="1" x14ac:dyDescent="0.2">
      <c r="C3124"/>
      <c r="M3124"/>
    </row>
    <row r="3125" spans="3:13" ht="12.75" customHeight="1" x14ac:dyDescent="0.2">
      <c r="C3125"/>
      <c r="M3125"/>
    </row>
    <row r="3126" spans="3:13" ht="12.75" customHeight="1" x14ac:dyDescent="0.2">
      <c r="C3126"/>
      <c r="M3126"/>
    </row>
    <row r="3127" spans="3:13" ht="12.75" customHeight="1" x14ac:dyDescent="0.2">
      <c r="C3127"/>
      <c r="M3127"/>
    </row>
    <row r="3128" spans="3:13" ht="12.75" customHeight="1" x14ac:dyDescent="0.2">
      <c r="C3128"/>
      <c r="M3128"/>
    </row>
    <row r="3129" spans="3:13" ht="12.75" customHeight="1" x14ac:dyDescent="0.2">
      <c r="C3129"/>
      <c r="M3129"/>
    </row>
    <row r="3130" spans="3:13" ht="12.75" customHeight="1" x14ac:dyDescent="0.2">
      <c r="C3130"/>
      <c r="M3130"/>
    </row>
    <row r="3131" spans="3:13" ht="12.75" customHeight="1" x14ac:dyDescent="0.2">
      <c r="C3131"/>
      <c r="M3131"/>
    </row>
    <row r="3132" spans="3:13" ht="12.75" customHeight="1" x14ac:dyDescent="0.2">
      <c r="C3132"/>
      <c r="M3132"/>
    </row>
    <row r="3133" spans="3:13" ht="12.75" customHeight="1" x14ac:dyDescent="0.2">
      <c r="C3133"/>
      <c r="M3133"/>
    </row>
    <row r="3134" spans="3:13" ht="12.75" customHeight="1" x14ac:dyDescent="0.2">
      <c r="C3134"/>
      <c r="M3134"/>
    </row>
    <row r="3135" spans="3:13" ht="12.75" customHeight="1" x14ac:dyDescent="0.2">
      <c r="C3135"/>
      <c r="M3135"/>
    </row>
    <row r="3136" spans="3:13" ht="12.75" customHeight="1" x14ac:dyDescent="0.2">
      <c r="C3136"/>
      <c r="M3136"/>
    </row>
    <row r="3137" spans="3:13" ht="12.75" customHeight="1" x14ac:dyDescent="0.2">
      <c r="C3137"/>
      <c r="M3137"/>
    </row>
    <row r="3138" spans="3:13" ht="12.75" customHeight="1" x14ac:dyDescent="0.2">
      <c r="C3138"/>
      <c r="M3138"/>
    </row>
    <row r="3139" spans="3:13" ht="12.75" customHeight="1" x14ac:dyDescent="0.2">
      <c r="C3139"/>
      <c r="M3139"/>
    </row>
    <row r="3140" spans="3:13" ht="12.75" customHeight="1" x14ac:dyDescent="0.2">
      <c r="C3140"/>
      <c r="M3140"/>
    </row>
    <row r="3141" spans="3:13" ht="12.75" customHeight="1" x14ac:dyDescent="0.2">
      <c r="C3141"/>
      <c r="M3141"/>
    </row>
    <row r="3142" spans="3:13" ht="12.75" customHeight="1" x14ac:dyDescent="0.2">
      <c r="C3142"/>
      <c r="M3142"/>
    </row>
    <row r="3143" spans="3:13" ht="12.75" customHeight="1" x14ac:dyDescent="0.2">
      <c r="C3143"/>
      <c r="M3143"/>
    </row>
    <row r="3144" spans="3:13" ht="12.75" customHeight="1" x14ac:dyDescent="0.2">
      <c r="C3144"/>
      <c r="M3144"/>
    </row>
    <row r="3145" spans="3:13" ht="12.75" customHeight="1" x14ac:dyDescent="0.2">
      <c r="C3145"/>
      <c r="M3145"/>
    </row>
    <row r="3146" spans="3:13" ht="12.75" customHeight="1" x14ac:dyDescent="0.2">
      <c r="C3146"/>
      <c r="M3146"/>
    </row>
    <row r="3147" spans="3:13" ht="12.75" customHeight="1" x14ac:dyDescent="0.2">
      <c r="C3147"/>
      <c r="M3147"/>
    </row>
    <row r="3148" spans="3:13" ht="12.75" customHeight="1" x14ac:dyDescent="0.2">
      <c r="C3148"/>
      <c r="M3148"/>
    </row>
    <row r="3149" spans="3:13" ht="12.75" customHeight="1" x14ac:dyDescent="0.2">
      <c r="C3149"/>
      <c r="M3149"/>
    </row>
    <row r="3150" spans="3:13" ht="12.75" customHeight="1" x14ac:dyDescent="0.2">
      <c r="C3150"/>
      <c r="M3150"/>
    </row>
    <row r="3151" spans="3:13" ht="12.75" customHeight="1" x14ac:dyDescent="0.2">
      <c r="C3151"/>
      <c r="M3151"/>
    </row>
    <row r="3152" spans="3:13" ht="12.75" customHeight="1" x14ac:dyDescent="0.2">
      <c r="C3152"/>
      <c r="M3152"/>
    </row>
    <row r="3153" spans="3:13" ht="12.75" customHeight="1" x14ac:dyDescent="0.2">
      <c r="C3153"/>
      <c r="M3153"/>
    </row>
    <row r="3154" spans="3:13" ht="12.75" customHeight="1" x14ac:dyDescent="0.2">
      <c r="C3154"/>
      <c r="M3154"/>
    </row>
    <row r="3155" spans="3:13" ht="12.75" customHeight="1" x14ac:dyDescent="0.2">
      <c r="C3155"/>
      <c r="M3155"/>
    </row>
    <row r="3156" spans="3:13" ht="12.75" customHeight="1" x14ac:dyDescent="0.2">
      <c r="C3156"/>
      <c r="M3156"/>
    </row>
    <row r="3157" spans="3:13" ht="12.75" customHeight="1" x14ac:dyDescent="0.2">
      <c r="C3157"/>
      <c r="M3157"/>
    </row>
    <row r="3158" spans="3:13" ht="12.75" customHeight="1" x14ac:dyDescent="0.2">
      <c r="C3158"/>
      <c r="M3158"/>
    </row>
    <row r="3159" spans="3:13" ht="12.75" customHeight="1" x14ac:dyDescent="0.2">
      <c r="C3159"/>
      <c r="M3159"/>
    </row>
    <row r="3160" spans="3:13" ht="12.75" customHeight="1" x14ac:dyDescent="0.2">
      <c r="C3160"/>
      <c r="M3160"/>
    </row>
    <row r="3161" spans="3:13" ht="12.75" customHeight="1" x14ac:dyDescent="0.2">
      <c r="C3161"/>
      <c r="M3161"/>
    </row>
    <row r="3162" spans="3:13" ht="12.75" customHeight="1" x14ac:dyDescent="0.2">
      <c r="C3162"/>
      <c r="M3162"/>
    </row>
    <row r="3163" spans="3:13" ht="12.75" customHeight="1" x14ac:dyDescent="0.2">
      <c r="C3163"/>
      <c r="M3163"/>
    </row>
    <row r="3164" spans="3:13" ht="12.75" customHeight="1" x14ac:dyDescent="0.2">
      <c r="C3164"/>
      <c r="M3164"/>
    </row>
    <row r="3165" spans="3:13" ht="12.75" customHeight="1" x14ac:dyDescent="0.2">
      <c r="C3165"/>
      <c r="M3165"/>
    </row>
    <row r="3166" spans="3:13" ht="12.75" customHeight="1" x14ac:dyDescent="0.2">
      <c r="C3166"/>
      <c r="M3166"/>
    </row>
    <row r="3167" spans="3:13" ht="12.75" customHeight="1" x14ac:dyDescent="0.2">
      <c r="C3167"/>
      <c r="M3167"/>
    </row>
    <row r="3168" spans="3:13" ht="12.75" customHeight="1" x14ac:dyDescent="0.2">
      <c r="C3168"/>
      <c r="M3168"/>
    </row>
    <row r="3169" spans="3:13" ht="12.75" customHeight="1" x14ac:dyDescent="0.2">
      <c r="C3169"/>
      <c r="M3169"/>
    </row>
    <row r="3170" spans="3:13" ht="12.75" customHeight="1" x14ac:dyDescent="0.2">
      <c r="C3170"/>
      <c r="M3170"/>
    </row>
    <row r="3171" spans="3:13" ht="12.75" customHeight="1" x14ac:dyDescent="0.2">
      <c r="C3171"/>
      <c r="M3171"/>
    </row>
    <row r="3172" spans="3:13" ht="12.75" customHeight="1" x14ac:dyDescent="0.2">
      <c r="C3172"/>
      <c r="M3172"/>
    </row>
    <row r="3173" spans="3:13" ht="12.75" customHeight="1" x14ac:dyDescent="0.2">
      <c r="C3173"/>
      <c r="M3173"/>
    </row>
    <row r="3174" spans="3:13" ht="12.75" customHeight="1" x14ac:dyDescent="0.2">
      <c r="C3174"/>
      <c r="M3174"/>
    </row>
    <row r="3175" spans="3:13" ht="12.75" customHeight="1" x14ac:dyDescent="0.2">
      <c r="C3175"/>
      <c r="M3175"/>
    </row>
    <row r="3176" spans="3:13" ht="12.75" customHeight="1" x14ac:dyDescent="0.2">
      <c r="C3176"/>
      <c r="M3176"/>
    </row>
    <row r="3177" spans="3:13" ht="12.75" customHeight="1" x14ac:dyDescent="0.2">
      <c r="C3177"/>
      <c r="M3177"/>
    </row>
    <row r="3178" spans="3:13" ht="12.75" customHeight="1" x14ac:dyDescent="0.2">
      <c r="C3178"/>
      <c r="M3178"/>
    </row>
    <row r="3179" spans="3:13" ht="12.75" customHeight="1" x14ac:dyDescent="0.2">
      <c r="C3179"/>
      <c r="M3179"/>
    </row>
    <row r="3180" spans="3:13" ht="12.75" customHeight="1" x14ac:dyDescent="0.2">
      <c r="C3180"/>
      <c r="M3180"/>
    </row>
    <row r="3181" spans="3:13" ht="12.75" customHeight="1" x14ac:dyDescent="0.2">
      <c r="C3181"/>
      <c r="M3181"/>
    </row>
    <row r="3182" spans="3:13" ht="12.75" customHeight="1" x14ac:dyDescent="0.2">
      <c r="C3182"/>
      <c r="M3182"/>
    </row>
    <row r="3183" spans="3:13" ht="12.75" customHeight="1" x14ac:dyDescent="0.2">
      <c r="C3183"/>
      <c r="M3183"/>
    </row>
    <row r="3184" spans="3:13" ht="12.75" customHeight="1" x14ac:dyDescent="0.2">
      <c r="C3184"/>
      <c r="M3184"/>
    </row>
    <row r="3185" spans="3:13" ht="12.75" customHeight="1" x14ac:dyDescent="0.2">
      <c r="C3185"/>
      <c r="M3185"/>
    </row>
    <row r="3186" spans="3:13" ht="12.75" customHeight="1" x14ac:dyDescent="0.2">
      <c r="C3186"/>
      <c r="M3186"/>
    </row>
    <row r="3187" spans="3:13" ht="12.75" customHeight="1" x14ac:dyDescent="0.2">
      <c r="C3187"/>
      <c r="M3187"/>
    </row>
    <row r="3188" spans="3:13" ht="12.75" customHeight="1" x14ac:dyDescent="0.2">
      <c r="C3188"/>
      <c r="M3188"/>
    </row>
    <row r="3189" spans="3:13" ht="12.75" customHeight="1" x14ac:dyDescent="0.2">
      <c r="C3189"/>
      <c r="M3189"/>
    </row>
    <row r="3190" spans="3:13" ht="12.75" customHeight="1" x14ac:dyDescent="0.2">
      <c r="C3190"/>
      <c r="M3190"/>
    </row>
    <row r="3191" spans="3:13" ht="12.75" customHeight="1" x14ac:dyDescent="0.2">
      <c r="C3191"/>
      <c r="M3191"/>
    </row>
    <row r="3192" spans="3:13" ht="12.75" customHeight="1" x14ac:dyDescent="0.2">
      <c r="C3192"/>
      <c r="M3192"/>
    </row>
    <row r="3193" spans="3:13" ht="12.75" customHeight="1" x14ac:dyDescent="0.2">
      <c r="C3193"/>
      <c r="M3193"/>
    </row>
    <row r="3194" spans="3:13" ht="12.75" customHeight="1" x14ac:dyDescent="0.2">
      <c r="C3194"/>
      <c r="M3194"/>
    </row>
    <row r="3195" spans="3:13" ht="12.75" customHeight="1" x14ac:dyDescent="0.2">
      <c r="C3195"/>
      <c r="M3195"/>
    </row>
    <row r="3196" spans="3:13" ht="12.75" customHeight="1" x14ac:dyDescent="0.2">
      <c r="C3196"/>
      <c r="M3196"/>
    </row>
    <row r="3197" spans="3:13" ht="12.75" customHeight="1" x14ac:dyDescent="0.2">
      <c r="C3197"/>
      <c r="M3197"/>
    </row>
    <row r="3198" spans="3:13" ht="12.75" customHeight="1" x14ac:dyDescent="0.2">
      <c r="C3198"/>
      <c r="M3198"/>
    </row>
    <row r="3199" spans="3:13" ht="12.75" customHeight="1" x14ac:dyDescent="0.2">
      <c r="C3199"/>
      <c r="M3199"/>
    </row>
    <row r="3200" spans="3:13" ht="12.75" customHeight="1" x14ac:dyDescent="0.2">
      <c r="C3200"/>
      <c r="M3200"/>
    </row>
    <row r="3201" spans="3:13" ht="12.75" customHeight="1" x14ac:dyDescent="0.2">
      <c r="C3201"/>
      <c r="M3201"/>
    </row>
    <row r="3202" spans="3:13" ht="12.75" customHeight="1" x14ac:dyDescent="0.2">
      <c r="C3202"/>
      <c r="M3202"/>
    </row>
    <row r="3203" spans="3:13" ht="12.75" customHeight="1" x14ac:dyDescent="0.2">
      <c r="C3203"/>
      <c r="M3203"/>
    </row>
    <row r="3204" spans="3:13" ht="12.75" customHeight="1" x14ac:dyDescent="0.2">
      <c r="C3204"/>
      <c r="M3204"/>
    </row>
    <row r="3205" spans="3:13" ht="12.75" customHeight="1" x14ac:dyDescent="0.2">
      <c r="C3205"/>
      <c r="M3205"/>
    </row>
    <row r="3206" spans="3:13" ht="12.75" customHeight="1" x14ac:dyDescent="0.2">
      <c r="C3206"/>
      <c r="M3206"/>
    </row>
    <row r="3207" spans="3:13" ht="12.75" customHeight="1" x14ac:dyDescent="0.2">
      <c r="C3207"/>
      <c r="M3207"/>
    </row>
    <row r="3208" spans="3:13" ht="12.75" customHeight="1" x14ac:dyDescent="0.2">
      <c r="C3208"/>
      <c r="M3208"/>
    </row>
    <row r="3209" spans="3:13" ht="12.75" customHeight="1" x14ac:dyDescent="0.2">
      <c r="C3209"/>
      <c r="M3209"/>
    </row>
    <row r="3210" spans="3:13" ht="12.75" customHeight="1" x14ac:dyDescent="0.2">
      <c r="C3210"/>
      <c r="M3210"/>
    </row>
    <row r="3211" spans="3:13" ht="12.75" customHeight="1" x14ac:dyDescent="0.2">
      <c r="C3211"/>
      <c r="M3211"/>
    </row>
    <row r="3212" spans="3:13" ht="12.75" customHeight="1" x14ac:dyDescent="0.2">
      <c r="C3212"/>
      <c r="M3212"/>
    </row>
    <row r="3213" spans="3:13" ht="12.75" customHeight="1" x14ac:dyDescent="0.2">
      <c r="C3213"/>
      <c r="M3213"/>
    </row>
    <row r="3214" spans="3:13" ht="12.75" customHeight="1" x14ac:dyDescent="0.2">
      <c r="C3214"/>
      <c r="M3214"/>
    </row>
    <row r="3215" spans="3:13" ht="12.75" customHeight="1" x14ac:dyDescent="0.2">
      <c r="C3215"/>
      <c r="M3215"/>
    </row>
    <row r="3216" spans="3:13" ht="12.75" customHeight="1" x14ac:dyDescent="0.2">
      <c r="C3216"/>
      <c r="M3216"/>
    </row>
    <row r="3217" spans="3:13" ht="12.75" customHeight="1" x14ac:dyDescent="0.2">
      <c r="C3217"/>
      <c r="M3217"/>
    </row>
    <row r="3218" spans="3:13" ht="12.75" customHeight="1" x14ac:dyDescent="0.2">
      <c r="C3218"/>
      <c r="M3218"/>
    </row>
    <row r="3219" spans="3:13" ht="12.75" customHeight="1" x14ac:dyDescent="0.2">
      <c r="C3219"/>
      <c r="M3219"/>
    </row>
    <row r="3220" spans="3:13" ht="12.75" customHeight="1" x14ac:dyDescent="0.2">
      <c r="C3220"/>
      <c r="M3220"/>
    </row>
    <row r="3221" spans="3:13" ht="12.75" customHeight="1" x14ac:dyDescent="0.2">
      <c r="C3221"/>
      <c r="M3221"/>
    </row>
    <row r="3222" spans="3:13" ht="12.75" customHeight="1" x14ac:dyDescent="0.2">
      <c r="C3222"/>
      <c r="M3222"/>
    </row>
    <row r="3223" spans="3:13" ht="12.75" customHeight="1" x14ac:dyDescent="0.2">
      <c r="C3223"/>
      <c r="M3223"/>
    </row>
    <row r="3224" spans="3:13" ht="12.75" customHeight="1" x14ac:dyDescent="0.2">
      <c r="C3224"/>
      <c r="M3224"/>
    </row>
    <row r="3225" spans="3:13" ht="12.75" customHeight="1" x14ac:dyDescent="0.2">
      <c r="C3225"/>
      <c r="M3225"/>
    </row>
    <row r="3226" spans="3:13" ht="12.75" customHeight="1" x14ac:dyDescent="0.2">
      <c r="C3226"/>
      <c r="M3226"/>
    </row>
    <row r="3227" spans="3:13" ht="12.75" customHeight="1" x14ac:dyDescent="0.2">
      <c r="C3227"/>
      <c r="M3227"/>
    </row>
    <row r="3228" spans="3:13" ht="12.75" customHeight="1" x14ac:dyDescent="0.2">
      <c r="C3228"/>
      <c r="M3228"/>
    </row>
    <row r="3229" spans="3:13" ht="12.75" customHeight="1" x14ac:dyDescent="0.2">
      <c r="C3229"/>
      <c r="M3229"/>
    </row>
    <row r="3230" spans="3:13" ht="12.75" customHeight="1" x14ac:dyDescent="0.2">
      <c r="C3230"/>
      <c r="M3230"/>
    </row>
    <row r="3231" spans="3:13" ht="12.75" customHeight="1" x14ac:dyDescent="0.2">
      <c r="C3231"/>
      <c r="M3231"/>
    </row>
    <row r="3232" spans="3:13" ht="12.75" customHeight="1" x14ac:dyDescent="0.2">
      <c r="C3232"/>
      <c r="M3232"/>
    </row>
    <row r="3233" spans="3:13" ht="12.75" customHeight="1" x14ac:dyDescent="0.2">
      <c r="C3233"/>
      <c r="M3233"/>
    </row>
    <row r="3234" spans="3:13" ht="12.75" customHeight="1" x14ac:dyDescent="0.2">
      <c r="C3234"/>
      <c r="M3234"/>
    </row>
    <row r="3235" spans="3:13" ht="12.75" customHeight="1" x14ac:dyDescent="0.2">
      <c r="C3235"/>
      <c r="M3235"/>
    </row>
    <row r="3236" spans="3:13" ht="12.75" customHeight="1" x14ac:dyDescent="0.2">
      <c r="C3236"/>
      <c r="M3236"/>
    </row>
    <row r="3237" spans="3:13" ht="12.75" customHeight="1" x14ac:dyDescent="0.2">
      <c r="C3237"/>
      <c r="M3237"/>
    </row>
    <row r="3238" spans="3:13" ht="12.75" customHeight="1" x14ac:dyDescent="0.2">
      <c r="C3238"/>
      <c r="M3238"/>
    </row>
    <row r="3239" spans="3:13" ht="12.75" customHeight="1" x14ac:dyDescent="0.2">
      <c r="C3239"/>
      <c r="M3239"/>
    </row>
    <row r="3240" spans="3:13" ht="12.75" customHeight="1" x14ac:dyDescent="0.2">
      <c r="C3240"/>
      <c r="M3240"/>
    </row>
    <row r="3241" spans="3:13" ht="12.75" customHeight="1" x14ac:dyDescent="0.2">
      <c r="C3241"/>
      <c r="M3241"/>
    </row>
    <row r="3242" spans="3:13" ht="12.75" customHeight="1" x14ac:dyDescent="0.2">
      <c r="C3242"/>
      <c r="M3242"/>
    </row>
    <row r="3243" spans="3:13" ht="12.75" customHeight="1" x14ac:dyDescent="0.2">
      <c r="C3243"/>
      <c r="M3243"/>
    </row>
    <row r="3244" spans="3:13" ht="12.75" customHeight="1" x14ac:dyDescent="0.2">
      <c r="C3244"/>
      <c r="M3244"/>
    </row>
    <row r="3245" spans="3:13" ht="12.75" customHeight="1" x14ac:dyDescent="0.2">
      <c r="C3245"/>
      <c r="M3245"/>
    </row>
    <row r="3246" spans="3:13" ht="12.75" customHeight="1" x14ac:dyDescent="0.2">
      <c r="C3246"/>
      <c r="M3246"/>
    </row>
    <row r="3247" spans="3:13" ht="12.75" customHeight="1" x14ac:dyDescent="0.2">
      <c r="C3247"/>
      <c r="M3247"/>
    </row>
    <row r="3248" spans="3:13" ht="12.75" customHeight="1" x14ac:dyDescent="0.2">
      <c r="C3248"/>
      <c r="M3248"/>
    </row>
    <row r="3249" spans="3:13" ht="12.75" customHeight="1" x14ac:dyDescent="0.2">
      <c r="C3249"/>
      <c r="M3249"/>
    </row>
    <row r="3250" spans="3:13" ht="12.75" customHeight="1" x14ac:dyDescent="0.2">
      <c r="C3250"/>
      <c r="M3250"/>
    </row>
    <row r="3251" spans="3:13" ht="12.75" customHeight="1" x14ac:dyDescent="0.2">
      <c r="C3251"/>
      <c r="M3251"/>
    </row>
    <row r="3252" spans="3:13" ht="12.75" customHeight="1" x14ac:dyDescent="0.2">
      <c r="C3252"/>
      <c r="M3252"/>
    </row>
    <row r="3253" spans="3:13" ht="12.75" customHeight="1" x14ac:dyDescent="0.2">
      <c r="C3253"/>
      <c r="M3253"/>
    </row>
    <row r="3254" spans="3:13" ht="12.75" customHeight="1" x14ac:dyDescent="0.2">
      <c r="C3254"/>
      <c r="M3254"/>
    </row>
    <row r="3255" spans="3:13" ht="12.75" customHeight="1" x14ac:dyDescent="0.2">
      <c r="C3255"/>
      <c r="M3255"/>
    </row>
    <row r="3256" spans="3:13" ht="12.75" customHeight="1" x14ac:dyDescent="0.2">
      <c r="C3256"/>
      <c r="M3256"/>
    </row>
    <row r="3257" spans="3:13" ht="12.75" customHeight="1" x14ac:dyDescent="0.2">
      <c r="C3257"/>
      <c r="M3257"/>
    </row>
    <row r="3258" spans="3:13" ht="12.75" customHeight="1" x14ac:dyDescent="0.2">
      <c r="C3258"/>
      <c r="M3258"/>
    </row>
    <row r="3259" spans="3:13" ht="12.75" customHeight="1" x14ac:dyDescent="0.2">
      <c r="C3259"/>
      <c r="M3259"/>
    </row>
    <row r="3260" spans="3:13" ht="12.75" customHeight="1" x14ac:dyDescent="0.2">
      <c r="C3260"/>
      <c r="M3260"/>
    </row>
    <row r="3261" spans="3:13" ht="12.75" customHeight="1" x14ac:dyDescent="0.2">
      <c r="C3261"/>
      <c r="M3261"/>
    </row>
    <row r="3262" spans="3:13" ht="12.75" customHeight="1" x14ac:dyDescent="0.2">
      <c r="C3262"/>
      <c r="M3262"/>
    </row>
    <row r="3263" spans="3:13" ht="12.75" customHeight="1" x14ac:dyDescent="0.2">
      <c r="C3263"/>
      <c r="M3263"/>
    </row>
    <row r="3264" spans="3:13" ht="12.75" customHeight="1" x14ac:dyDescent="0.2">
      <c r="C3264"/>
      <c r="M3264"/>
    </row>
    <row r="3265" spans="3:13" ht="12.75" customHeight="1" x14ac:dyDescent="0.2">
      <c r="C3265"/>
      <c r="M3265"/>
    </row>
    <row r="3266" spans="3:13" ht="12.75" customHeight="1" x14ac:dyDescent="0.2">
      <c r="C3266"/>
      <c r="M3266"/>
    </row>
    <row r="3267" spans="3:13" ht="12.75" customHeight="1" x14ac:dyDescent="0.2">
      <c r="C3267"/>
      <c r="M3267"/>
    </row>
    <row r="3268" spans="3:13" ht="12.75" customHeight="1" x14ac:dyDescent="0.2">
      <c r="C3268"/>
      <c r="M3268"/>
    </row>
    <row r="3269" spans="3:13" ht="12.75" customHeight="1" x14ac:dyDescent="0.2">
      <c r="C3269"/>
      <c r="M3269"/>
    </row>
    <row r="3270" spans="3:13" ht="12.75" customHeight="1" x14ac:dyDescent="0.2">
      <c r="C3270"/>
      <c r="M3270"/>
    </row>
    <row r="3271" spans="3:13" ht="12.75" customHeight="1" x14ac:dyDescent="0.2">
      <c r="C3271"/>
      <c r="M3271"/>
    </row>
    <row r="3272" spans="3:13" ht="12.75" customHeight="1" x14ac:dyDescent="0.2">
      <c r="C3272"/>
      <c r="M3272"/>
    </row>
    <row r="3273" spans="3:13" ht="12.75" customHeight="1" x14ac:dyDescent="0.2">
      <c r="C3273"/>
      <c r="M3273"/>
    </row>
    <row r="3274" spans="3:13" ht="12.75" customHeight="1" x14ac:dyDescent="0.2">
      <c r="C3274"/>
      <c r="M3274"/>
    </row>
    <row r="3275" spans="3:13" ht="12.75" customHeight="1" x14ac:dyDescent="0.2">
      <c r="C3275"/>
      <c r="M3275"/>
    </row>
    <row r="3276" spans="3:13" ht="12.75" customHeight="1" x14ac:dyDescent="0.2">
      <c r="C3276"/>
      <c r="M3276"/>
    </row>
    <row r="3277" spans="3:13" ht="12.75" customHeight="1" x14ac:dyDescent="0.2">
      <c r="C3277"/>
      <c r="M3277"/>
    </row>
    <row r="3278" spans="3:13" ht="12.75" customHeight="1" x14ac:dyDescent="0.2">
      <c r="C3278"/>
      <c r="M3278"/>
    </row>
    <row r="3279" spans="3:13" ht="12.75" customHeight="1" x14ac:dyDescent="0.2">
      <c r="C3279"/>
      <c r="M3279"/>
    </row>
    <row r="3280" spans="3:13" ht="12.75" customHeight="1" x14ac:dyDescent="0.2">
      <c r="C3280"/>
      <c r="M3280"/>
    </row>
    <row r="3281" spans="3:13" ht="12.75" customHeight="1" x14ac:dyDescent="0.2">
      <c r="C3281"/>
      <c r="M3281"/>
    </row>
    <row r="3282" spans="3:13" ht="12.75" customHeight="1" x14ac:dyDescent="0.2">
      <c r="C3282"/>
      <c r="M3282"/>
    </row>
    <row r="3283" spans="3:13" ht="12.75" customHeight="1" x14ac:dyDescent="0.2">
      <c r="C3283"/>
      <c r="M3283"/>
    </row>
    <row r="3284" spans="3:13" ht="12.75" customHeight="1" x14ac:dyDescent="0.2">
      <c r="C3284"/>
      <c r="M3284"/>
    </row>
    <row r="3285" spans="3:13" ht="12.75" customHeight="1" x14ac:dyDescent="0.2">
      <c r="C3285"/>
      <c r="M3285"/>
    </row>
    <row r="3286" spans="3:13" ht="12.75" customHeight="1" x14ac:dyDescent="0.2">
      <c r="C3286"/>
      <c r="M3286"/>
    </row>
    <row r="3287" spans="3:13" ht="12.75" customHeight="1" x14ac:dyDescent="0.2">
      <c r="C3287"/>
      <c r="M3287"/>
    </row>
    <row r="3288" spans="3:13" ht="12.75" customHeight="1" x14ac:dyDescent="0.2">
      <c r="C3288"/>
      <c r="M3288"/>
    </row>
    <row r="3289" spans="3:13" ht="12.75" customHeight="1" x14ac:dyDescent="0.2">
      <c r="C3289"/>
      <c r="M3289"/>
    </row>
    <row r="3290" spans="3:13" ht="12.75" customHeight="1" x14ac:dyDescent="0.2">
      <c r="C3290"/>
      <c r="M3290"/>
    </row>
    <row r="3291" spans="3:13" ht="12.75" customHeight="1" x14ac:dyDescent="0.2">
      <c r="C3291"/>
      <c r="M3291"/>
    </row>
    <row r="3292" spans="3:13" ht="12.75" customHeight="1" x14ac:dyDescent="0.2">
      <c r="C3292"/>
      <c r="M3292"/>
    </row>
    <row r="3293" spans="3:13" ht="12.75" customHeight="1" x14ac:dyDescent="0.2">
      <c r="C3293"/>
      <c r="M3293"/>
    </row>
    <row r="3294" spans="3:13" ht="12.75" customHeight="1" x14ac:dyDescent="0.2">
      <c r="C3294"/>
      <c r="M3294"/>
    </row>
    <row r="3295" spans="3:13" ht="12.75" customHeight="1" x14ac:dyDescent="0.2">
      <c r="C3295"/>
      <c r="M3295"/>
    </row>
    <row r="3296" spans="3:13" ht="12.75" customHeight="1" x14ac:dyDescent="0.2">
      <c r="C3296"/>
      <c r="M3296"/>
    </row>
    <row r="3297" spans="3:13" ht="12.75" customHeight="1" x14ac:dyDescent="0.2">
      <c r="C3297"/>
      <c r="M3297"/>
    </row>
    <row r="3298" spans="3:13" ht="12.75" customHeight="1" x14ac:dyDescent="0.2">
      <c r="C3298"/>
      <c r="M3298"/>
    </row>
    <row r="3299" spans="3:13" ht="12.75" customHeight="1" x14ac:dyDescent="0.2">
      <c r="C3299"/>
      <c r="M3299"/>
    </row>
    <row r="3300" spans="3:13" ht="12.75" customHeight="1" x14ac:dyDescent="0.2">
      <c r="C3300"/>
      <c r="M3300"/>
    </row>
    <row r="3301" spans="3:13" ht="12.75" customHeight="1" x14ac:dyDescent="0.2">
      <c r="C3301"/>
      <c r="M3301"/>
    </row>
    <row r="3302" spans="3:13" ht="12.75" customHeight="1" x14ac:dyDescent="0.2">
      <c r="C3302"/>
      <c r="M3302"/>
    </row>
    <row r="3303" spans="3:13" ht="12.75" customHeight="1" x14ac:dyDescent="0.2">
      <c r="C3303"/>
      <c r="M3303"/>
    </row>
    <row r="3304" spans="3:13" ht="12.75" customHeight="1" x14ac:dyDescent="0.2">
      <c r="C3304"/>
      <c r="M3304"/>
    </row>
    <row r="3305" spans="3:13" ht="12.75" customHeight="1" x14ac:dyDescent="0.2">
      <c r="C3305"/>
      <c r="M3305"/>
    </row>
    <row r="3306" spans="3:13" ht="12.75" customHeight="1" x14ac:dyDescent="0.2">
      <c r="C3306"/>
      <c r="M3306"/>
    </row>
    <row r="3307" spans="3:13" ht="12.75" customHeight="1" x14ac:dyDescent="0.2">
      <c r="C3307"/>
      <c r="M3307"/>
    </row>
    <row r="3308" spans="3:13" ht="12.75" customHeight="1" x14ac:dyDescent="0.2">
      <c r="C3308"/>
      <c r="M3308"/>
    </row>
    <row r="3309" spans="3:13" ht="12.75" customHeight="1" x14ac:dyDescent="0.2">
      <c r="C3309"/>
      <c r="M3309"/>
    </row>
    <row r="3310" spans="3:13" ht="12.75" customHeight="1" x14ac:dyDescent="0.2">
      <c r="C3310"/>
      <c r="M3310"/>
    </row>
    <row r="3311" spans="3:13" ht="12.75" customHeight="1" x14ac:dyDescent="0.2">
      <c r="C3311"/>
      <c r="M3311"/>
    </row>
    <row r="3312" spans="3:13" ht="12.75" customHeight="1" x14ac:dyDescent="0.2">
      <c r="C3312"/>
      <c r="M3312"/>
    </row>
    <row r="3313" spans="3:13" ht="12.75" customHeight="1" x14ac:dyDescent="0.2">
      <c r="C3313"/>
      <c r="M3313"/>
    </row>
    <row r="3314" spans="3:13" ht="12.75" customHeight="1" x14ac:dyDescent="0.2">
      <c r="C3314"/>
      <c r="M3314"/>
    </row>
    <row r="3315" spans="3:13" ht="12.75" customHeight="1" x14ac:dyDescent="0.2">
      <c r="C3315"/>
      <c r="M3315"/>
    </row>
    <row r="3316" spans="3:13" ht="12.75" customHeight="1" x14ac:dyDescent="0.2">
      <c r="C3316"/>
      <c r="M3316"/>
    </row>
    <row r="3317" spans="3:13" ht="12.75" customHeight="1" x14ac:dyDescent="0.2">
      <c r="C3317"/>
      <c r="M3317"/>
    </row>
    <row r="3318" spans="3:13" ht="12.75" customHeight="1" x14ac:dyDescent="0.2">
      <c r="C3318"/>
      <c r="M3318"/>
    </row>
    <row r="3319" spans="3:13" ht="12.75" customHeight="1" x14ac:dyDescent="0.2">
      <c r="C3319"/>
      <c r="M3319"/>
    </row>
    <row r="3320" spans="3:13" ht="12.75" customHeight="1" x14ac:dyDescent="0.2">
      <c r="C3320"/>
      <c r="M3320"/>
    </row>
    <row r="3321" spans="3:13" ht="12.75" customHeight="1" x14ac:dyDescent="0.2">
      <c r="C3321"/>
      <c r="M3321"/>
    </row>
    <row r="3322" spans="3:13" ht="12.75" customHeight="1" x14ac:dyDescent="0.2">
      <c r="C3322"/>
      <c r="M3322"/>
    </row>
    <row r="3323" spans="3:13" ht="12.75" customHeight="1" x14ac:dyDescent="0.2">
      <c r="C3323"/>
      <c r="M3323"/>
    </row>
    <row r="3324" spans="3:13" ht="12.75" customHeight="1" x14ac:dyDescent="0.2">
      <c r="C3324"/>
      <c r="M3324"/>
    </row>
    <row r="3325" spans="3:13" ht="12.75" customHeight="1" x14ac:dyDescent="0.2">
      <c r="C3325"/>
      <c r="M3325"/>
    </row>
    <row r="3326" spans="3:13" ht="12.75" customHeight="1" x14ac:dyDescent="0.2">
      <c r="C3326"/>
      <c r="M3326"/>
    </row>
    <row r="3327" spans="3:13" ht="12.75" customHeight="1" x14ac:dyDescent="0.2">
      <c r="C3327"/>
      <c r="M3327"/>
    </row>
    <row r="3328" spans="3:13" ht="12.75" customHeight="1" x14ac:dyDescent="0.2">
      <c r="C3328"/>
      <c r="M3328"/>
    </row>
    <row r="3329" spans="3:13" ht="12.75" customHeight="1" x14ac:dyDescent="0.2">
      <c r="C3329"/>
      <c r="M3329"/>
    </row>
    <row r="3330" spans="3:13" ht="12.75" customHeight="1" x14ac:dyDescent="0.2">
      <c r="C3330"/>
      <c r="M3330"/>
    </row>
    <row r="3331" spans="3:13" ht="12.75" customHeight="1" x14ac:dyDescent="0.2">
      <c r="C3331"/>
      <c r="M3331"/>
    </row>
    <row r="3332" spans="3:13" ht="12.75" customHeight="1" x14ac:dyDescent="0.2">
      <c r="C3332"/>
      <c r="M3332"/>
    </row>
    <row r="3333" spans="3:13" ht="12.75" customHeight="1" x14ac:dyDescent="0.2">
      <c r="C3333"/>
      <c r="M3333"/>
    </row>
    <row r="3334" spans="3:13" ht="12.75" customHeight="1" x14ac:dyDescent="0.2">
      <c r="C3334"/>
      <c r="M3334"/>
    </row>
    <row r="3335" spans="3:13" ht="12.75" customHeight="1" x14ac:dyDescent="0.2">
      <c r="C3335"/>
      <c r="M3335"/>
    </row>
    <row r="3336" spans="3:13" ht="12.75" customHeight="1" x14ac:dyDescent="0.2">
      <c r="C3336"/>
      <c r="M3336"/>
    </row>
    <row r="3337" spans="3:13" ht="12.75" customHeight="1" x14ac:dyDescent="0.2">
      <c r="C3337"/>
      <c r="M3337"/>
    </row>
    <row r="3338" spans="3:13" ht="12.75" customHeight="1" x14ac:dyDescent="0.2">
      <c r="C3338"/>
      <c r="M3338"/>
    </row>
    <row r="3339" spans="3:13" ht="12.75" customHeight="1" x14ac:dyDescent="0.2">
      <c r="C3339"/>
      <c r="M3339"/>
    </row>
    <row r="3340" spans="3:13" ht="12.75" customHeight="1" x14ac:dyDescent="0.2">
      <c r="C3340"/>
      <c r="M3340"/>
    </row>
    <row r="3341" spans="3:13" ht="12.75" customHeight="1" x14ac:dyDescent="0.2">
      <c r="C3341"/>
      <c r="M3341"/>
    </row>
    <row r="3342" spans="3:13" ht="12.75" customHeight="1" x14ac:dyDescent="0.2">
      <c r="C3342"/>
      <c r="M3342"/>
    </row>
    <row r="3343" spans="3:13" ht="12.75" customHeight="1" x14ac:dyDescent="0.2">
      <c r="C3343"/>
      <c r="M3343"/>
    </row>
    <row r="3344" spans="3:13" ht="12.75" customHeight="1" x14ac:dyDescent="0.2">
      <c r="C3344"/>
      <c r="M3344"/>
    </row>
    <row r="3345" spans="3:13" ht="12.75" customHeight="1" x14ac:dyDescent="0.2">
      <c r="C3345"/>
      <c r="M3345"/>
    </row>
    <row r="3346" spans="3:13" ht="12.75" customHeight="1" x14ac:dyDescent="0.2">
      <c r="C3346"/>
      <c r="M3346"/>
    </row>
    <row r="3347" spans="3:13" ht="12.75" customHeight="1" x14ac:dyDescent="0.2">
      <c r="C3347"/>
      <c r="M3347"/>
    </row>
    <row r="3348" spans="3:13" ht="12.75" customHeight="1" x14ac:dyDescent="0.2">
      <c r="C3348"/>
      <c r="M3348"/>
    </row>
    <row r="3349" spans="3:13" ht="12.75" customHeight="1" x14ac:dyDescent="0.2">
      <c r="C3349"/>
      <c r="M3349"/>
    </row>
    <row r="3350" spans="3:13" ht="12.75" customHeight="1" x14ac:dyDescent="0.2">
      <c r="C3350"/>
      <c r="M3350"/>
    </row>
    <row r="3351" spans="3:13" ht="12.75" customHeight="1" x14ac:dyDescent="0.2">
      <c r="C3351"/>
      <c r="M3351"/>
    </row>
    <row r="3352" spans="3:13" ht="12.75" customHeight="1" x14ac:dyDescent="0.2">
      <c r="C3352"/>
      <c r="M3352"/>
    </row>
    <row r="3353" spans="3:13" ht="12.75" customHeight="1" x14ac:dyDescent="0.2">
      <c r="C3353"/>
      <c r="M3353"/>
    </row>
    <row r="3354" spans="3:13" ht="12.75" customHeight="1" x14ac:dyDescent="0.2">
      <c r="C3354"/>
      <c r="M3354"/>
    </row>
    <row r="3355" spans="3:13" ht="12.75" customHeight="1" x14ac:dyDescent="0.2">
      <c r="C3355"/>
      <c r="M3355"/>
    </row>
    <row r="3356" spans="3:13" ht="12.75" customHeight="1" x14ac:dyDescent="0.2">
      <c r="C3356"/>
      <c r="M3356"/>
    </row>
    <row r="3357" spans="3:13" ht="12.75" customHeight="1" x14ac:dyDescent="0.2">
      <c r="C3357"/>
      <c r="M3357"/>
    </row>
    <row r="3358" spans="3:13" ht="12.75" customHeight="1" x14ac:dyDescent="0.2">
      <c r="C3358"/>
      <c r="M3358"/>
    </row>
    <row r="3359" spans="3:13" ht="12.75" customHeight="1" x14ac:dyDescent="0.2">
      <c r="C3359"/>
      <c r="M3359"/>
    </row>
    <row r="3360" spans="3:13" ht="12.75" customHeight="1" x14ac:dyDescent="0.2">
      <c r="C3360"/>
      <c r="M3360"/>
    </row>
    <row r="3361" spans="3:13" ht="12.75" customHeight="1" x14ac:dyDescent="0.2">
      <c r="C3361"/>
      <c r="M3361"/>
    </row>
    <row r="3362" spans="3:13" ht="12.75" customHeight="1" x14ac:dyDescent="0.2">
      <c r="C3362"/>
      <c r="M3362"/>
    </row>
    <row r="3363" spans="3:13" ht="12.75" customHeight="1" x14ac:dyDescent="0.2">
      <c r="C3363"/>
      <c r="M3363"/>
    </row>
    <row r="3364" spans="3:13" ht="12.75" customHeight="1" x14ac:dyDescent="0.2">
      <c r="C3364"/>
      <c r="M3364"/>
    </row>
    <row r="3365" spans="3:13" ht="12.75" customHeight="1" x14ac:dyDescent="0.2">
      <c r="C3365"/>
      <c r="M3365"/>
    </row>
    <row r="3366" spans="3:13" ht="12.75" customHeight="1" x14ac:dyDescent="0.2">
      <c r="C3366"/>
      <c r="M3366"/>
    </row>
    <row r="3367" spans="3:13" ht="12.75" customHeight="1" x14ac:dyDescent="0.2">
      <c r="C3367"/>
      <c r="M3367"/>
    </row>
    <row r="3368" spans="3:13" ht="12.75" customHeight="1" x14ac:dyDescent="0.2">
      <c r="C3368"/>
      <c r="M3368"/>
    </row>
    <row r="3369" spans="3:13" ht="12.75" customHeight="1" x14ac:dyDescent="0.2">
      <c r="C3369"/>
      <c r="M3369"/>
    </row>
    <row r="3370" spans="3:13" ht="12.75" customHeight="1" x14ac:dyDescent="0.2">
      <c r="C3370"/>
      <c r="M3370"/>
    </row>
    <row r="3371" spans="3:13" ht="12.75" customHeight="1" x14ac:dyDescent="0.2">
      <c r="C3371"/>
      <c r="M3371"/>
    </row>
    <row r="3372" spans="3:13" ht="12.75" customHeight="1" x14ac:dyDescent="0.2">
      <c r="C3372"/>
      <c r="M3372"/>
    </row>
    <row r="3373" spans="3:13" ht="12.75" customHeight="1" x14ac:dyDescent="0.2">
      <c r="C3373"/>
      <c r="M3373"/>
    </row>
    <row r="3374" spans="3:13" ht="12.75" customHeight="1" x14ac:dyDescent="0.2">
      <c r="C3374"/>
      <c r="M3374"/>
    </row>
    <row r="3375" spans="3:13" ht="12.75" customHeight="1" x14ac:dyDescent="0.2">
      <c r="C3375"/>
      <c r="M3375"/>
    </row>
    <row r="3376" spans="3:13" ht="12.75" customHeight="1" x14ac:dyDescent="0.2">
      <c r="C3376"/>
      <c r="M3376"/>
    </row>
    <row r="3377" spans="3:13" ht="12.75" customHeight="1" x14ac:dyDescent="0.2">
      <c r="C3377"/>
      <c r="M3377"/>
    </row>
    <row r="3378" spans="3:13" ht="12.75" customHeight="1" x14ac:dyDescent="0.2">
      <c r="C3378"/>
      <c r="M3378"/>
    </row>
    <row r="3379" spans="3:13" ht="12.75" customHeight="1" x14ac:dyDescent="0.2">
      <c r="C3379"/>
      <c r="M3379"/>
    </row>
    <row r="3380" spans="3:13" ht="12.75" customHeight="1" x14ac:dyDescent="0.2">
      <c r="C3380"/>
      <c r="M3380"/>
    </row>
    <row r="3381" spans="3:13" ht="12.75" customHeight="1" x14ac:dyDescent="0.2">
      <c r="C3381"/>
      <c r="M3381"/>
    </row>
    <row r="3382" spans="3:13" ht="12.75" customHeight="1" x14ac:dyDescent="0.2">
      <c r="C3382"/>
      <c r="M3382"/>
    </row>
    <row r="3383" spans="3:13" ht="12.75" customHeight="1" x14ac:dyDescent="0.2">
      <c r="C3383"/>
      <c r="M3383"/>
    </row>
    <row r="3384" spans="3:13" ht="12.75" customHeight="1" x14ac:dyDescent="0.2">
      <c r="C3384"/>
      <c r="M3384"/>
    </row>
    <row r="3385" spans="3:13" ht="12.75" customHeight="1" x14ac:dyDescent="0.2">
      <c r="C3385"/>
      <c r="M3385"/>
    </row>
    <row r="3386" spans="3:13" ht="12.75" customHeight="1" x14ac:dyDescent="0.2">
      <c r="C3386"/>
      <c r="M3386"/>
    </row>
    <row r="3387" spans="3:13" ht="12.75" customHeight="1" x14ac:dyDescent="0.2">
      <c r="C3387"/>
      <c r="M3387"/>
    </row>
    <row r="3388" spans="3:13" ht="12.75" customHeight="1" x14ac:dyDescent="0.2">
      <c r="C3388"/>
      <c r="M3388"/>
    </row>
    <row r="3389" spans="3:13" ht="12.75" customHeight="1" x14ac:dyDescent="0.2">
      <c r="C3389"/>
      <c r="M3389"/>
    </row>
    <row r="3390" spans="3:13" ht="12.75" customHeight="1" x14ac:dyDescent="0.2">
      <c r="C3390"/>
      <c r="M3390"/>
    </row>
    <row r="3391" spans="3:13" ht="12.75" customHeight="1" x14ac:dyDescent="0.2">
      <c r="C3391"/>
      <c r="M3391"/>
    </row>
    <row r="3392" spans="3:13" ht="12.75" customHeight="1" x14ac:dyDescent="0.2">
      <c r="C3392"/>
      <c r="M3392"/>
    </row>
    <row r="3393" spans="3:13" ht="12.75" customHeight="1" x14ac:dyDescent="0.2">
      <c r="C3393"/>
      <c r="M3393"/>
    </row>
    <row r="3394" spans="3:13" ht="12.75" customHeight="1" x14ac:dyDescent="0.2">
      <c r="C3394"/>
      <c r="M3394"/>
    </row>
    <row r="3395" spans="3:13" ht="12.75" customHeight="1" x14ac:dyDescent="0.2">
      <c r="C3395"/>
      <c r="M3395"/>
    </row>
    <row r="3396" spans="3:13" ht="12.75" customHeight="1" x14ac:dyDescent="0.2">
      <c r="C3396"/>
      <c r="M3396"/>
    </row>
    <row r="3397" spans="3:13" ht="12.75" customHeight="1" x14ac:dyDescent="0.2">
      <c r="C3397"/>
      <c r="M3397"/>
    </row>
    <row r="3398" spans="3:13" ht="12.75" customHeight="1" x14ac:dyDescent="0.2">
      <c r="C3398"/>
      <c r="M3398"/>
    </row>
    <row r="3399" spans="3:13" ht="12.75" customHeight="1" x14ac:dyDescent="0.2">
      <c r="C3399"/>
      <c r="M3399"/>
    </row>
    <row r="3400" spans="3:13" ht="12.75" customHeight="1" x14ac:dyDescent="0.2">
      <c r="C3400"/>
      <c r="M3400"/>
    </row>
    <row r="3401" spans="3:13" ht="12.75" customHeight="1" x14ac:dyDescent="0.2">
      <c r="C3401"/>
      <c r="M3401"/>
    </row>
    <row r="3402" spans="3:13" ht="12.75" customHeight="1" x14ac:dyDescent="0.2">
      <c r="C3402"/>
      <c r="M3402"/>
    </row>
    <row r="3403" spans="3:13" ht="12.75" customHeight="1" x14ac:dyDescent="0.2">
      <c r="C3403"/>
      <c r="M3403"/>
    </row>
    <row r="3404" spans="3:13" ht="12.75" customHeight="1" x14ac:dyDescent="0.2">
      <c r="C3404"/>
      <c r="M3404"/>
    </row>
    <row r="3405" spans="3:13" ht="12.75" customHeight="1" x14ac:dyDescent="0.2">
      <c r="C3405"/>
      <c r="M3405"/>
    </row>
    <row r="3406" spans="3:13" ht="12.75" customHeight="1" x14ac:dyDescent="0.2">
      <c r="C3406"/>
      <c r="M3406"/>
    </row>
    <row r="3407" spans="3:13" ht="12.75" customHeight="1" x14ac:dyDescent="0.2">
      <c r="C3407"/>
      <c r="M3407"/>
    </row>
    <row r="3408" spans="3:13" ht="12.75" customHeight="1" x14ac:dyDescent="0.2">
      <c r="C3408"/>
      <c r="M3408"/>
    </row>
    <row r="3409" spans="3:13" ht="12.75" customHeight="1" x14ac:dyDescent="0.2">
      <c r="C3409"/>
      <c r="M3409"/>
    </row>
    <row r="3410" spans="3:13" ht="12.75" customHeight="1" x14ac:dyDescent="0.2">
      <c r="C3410"/>
      <c r="M3410"/>
    </row>
    <row r="3411" spans="3:13" ht="12.75" customHeight="1" x14ac:dyDescent="0.2">
      <c r="C3411"/>
      <c r="M3411"/>
    </row>
    <row r="3412" spans="3:13" ht="12.75" customHeight="1" x14ac:dyDescent="0.2">
      <c r="C3412"/>
      <c r="M3412"/>
    </row>
    <row r="3413" spans="3:13" ht="12.75" customHeight="1" x14ac:dyDescent="0.2">
      <c r="C3413"/>
      <c r="M3413"/>
    </row>
    <row r="3414" spans="3:13" ht="12.75" customHeight="1" x14ac:dyDescent="0.2">
      <c r="C3414"/>
      <c r="M3414"/>
    </row>
    <row r="3415" spans="3:13" ht="12.75" customHeight="1" x14ac:dyDescent="0.2">
      <c r="C3415"/>
      <c r="M3415"/>
    </row>
    <row r="3416" spans="3:13" ht="12.75" customHeight="1" x14ac:dyDescent="0.2">
      <c r="C3416"/>
      <c r="M3416"/>
    </row>
    <row r="3417" spans="3:13" ht="12.75" customHeight="1" x14ac:dyDescent="0.2">
      <c r="C3417"/>
      <c r="M3417"/>
    </row>
    <row r="3418" spans="3:13" ht="12.75" customHeight="1" x14ac:dyDescent="0.2">
      <c r="C3418"/>
      <c r="M3418"/>
    </row>
    <row r="3419" spans="3:13" ht="12.75" customHeight="1" x14ac:dyDescent="0.2">
      <c r="C3419"/>
      <c r="M3419"/>
    </row>
    <row r="3420" spans="3:13" ht="12.75" customHeight="1" x14ac:dyDescent="0.2">
      <c r="C3420"/>
      <c r="M3420"/>
    </row>
    <row r="3421" spans="3:13" ht="12.75" customHeight="1" x14ac:dyDescent="0.2">
      <c r="C3421"/>
      <c r="M3421"/>
    </row>
    <row r="3422" spans="3:13" ht="12.75" customHeight="1" x14ac:dyDescent="0.2">
      <c r="C3422"/>
      <c r="M3422"/>
    </row>
    <row r="3423" spans="3:13" ht="12.75" customHeight="1" x14ac:dyDescent="0.2">
      <c r="C3423"/>
      <c r="M3423"/>
    </row>
    <row r="3424" spans="3:13" ht="12.75" customHeight="1" x14ac:dyDescent="0.2">
      <c r="C3424"/>
      <c r="M3424"/>
    </row>
    <row r="3425" spans="3:13" ht="12.75" customHeight="1" x14ac:dyDescent="0.2">
      <c r="C3425"/>
      <c r="M3425"/>
    </row>
    <row r="3426" spans="3:13" ht="12.75" customHeight="1" x14ac:dyDescent="0.2">
      <c r="C3426"/>
      <c r="M3426"/>
    </row>
    <row r="3427" spans="3:13" ht="12.75" customHeight="1" x14ac:dyDescent="0.2">
      <c r="C3427"/>
      <c r="M3427"/>
    </row>
    <row r="3428" spans="3:13" ht="12.75" customHeight="1" x14ac:dyDescent="0.2">
      <c r="C3428"/>
      <c r="M3428"/>
    </row>
    <row r="3429" spans="3:13" ht="12.75" customHeight="1" x14ac:dyDescent="0.2">
      <c r="C3429"/>
      <c r="M3429"/>
    </row>
    <row r="3430" spans="3:13" ht="12.75" customHeight="1" x14ac:dyDescent="0.2">
      <c r="C3430"/>
      <c r="M3430"/>
    </row>
    <row r="3431" spans="3:13" ht="12.75" customHeight="1" x14ac:dyDescent="0.2">
      <c r="C3431"/>
      <c r="M3431"/>
    </row>
    <row r="3432" spans="3:13" ht="12.75" customHeight="1" x14ac:dyDescent="0.2">
      <c r="C3432"/>
      <c r="M3432"/>
    </row>
    <row r="3433" spans="3:13" ht="12.75" customHeight="1" x14ac:dyDescent="0.2">
      <c r="C3433"/>
      <c r="M3433"/>
    </row>
    <row r="3434" spans="3:13" ht="12.75" customHeight="1" x14ac:dyDescent="0.2">
      <c r="C3434"/>
      <c r="M3434"/>
    </row>
    <row r="3435" spans="3:13" ht="12.75" customHeight="1" x14ac:dyDescent="0.2">
      <c r="C3435"/>
      <c r="M3435"/>
    </row>
    <row r="3436" spans="3:13" ht="12.75" customHeight="1" x14ac:dyDescent="0.2">
      <c r="C3436"/>
      <c r="M3436"/>
    </row>
    <row r="3437" spans="3:13" ht="12.75" customHeight="1" x14ac:dyDescent="0.2">
      <c r="C3437"/>
      <c r="M3437"/>
    </row>
    <row r="3438" spans="3:13" ht="12.75" customHeight="1" x14ac:dyDescent="0.2">
      <c r="C3438"/>
      <c r="M3438"/>
    </row>
    <row r="3439" spans="3:13" ht="12.75" customHeight="1" x14ac:dyDescent="0.2">
      <c r="C3439"/>
      <c r="M3439"/>
    </row>
    <row r="3440" spans="3:13" ht="12.75" customHeight="1" x14ac:dyDescent="0.2">
      <c r="C3440"/>
      <c r="M3440"/>
    </row>
    <row r="3441" spans="3:13" ht="12.75" customHeight="1" x14ac:dyDescent="0.2">
      <c r="C3441"/>
      <c r="M3441"/>
    </row>
    <row r="3442" spans="3:13" ht="12.75" customHeight="1" x14ac:dyDescent="0.2">
      <c r="C3442"/>
      <c r="M3442"/>
    </row>
    <row r="3443" spans="3:13" ht="12.75" customHeight="1" x14ac:dyDescent="0.2">
      <c r="C3443"/>
      <c r="M3443"/>
    </row>
    <row r="3444" spans="3:13" ht="12.75" customHeight="1" x14ac:dyDescent="0.2">
      <c r="C3444"/>
      <c r="M3444"/>
    </row>
    <row r="3445" spans="3:13" ht="12.75" customHeight="1" x14ac:dyDescent="0.2">
      <c r="C3445"/>
      <c r="M3445"/>
    </row>
    <row r="3446" spans="3:13" ht="12.75" customHeight="1" x14ac:dyDescent="0.2">
      <c r="C3446"/>
      <c r="M3446"/>
    </row>
    <row r="3447" spans="3:13" ht="12.75" customHeight="1" x14ac:dyDescent="0.2">
      <c r="C3447"/>
      <c r="M3447"/>
    </row>
    <row r="3448" spans="3:13" ht="12.75" customHeight="1" x14ac:dyDescent="0.2">
      <c r="C3448"/>
      <c r="M3448"/>
    </row>
    <row r="3449" spans="3:13" ht="12.75" customHeight="1" x14ac:dyDescent="0.2">
      <c r="C3449"/>
      <c r="M3449"/>
    </row>
    <row r="3450" spans="3:13" ht="12.75" customHeight="1" x14ac:dyDescent="0.2">
      <c r="C3450"/>
      <c r="M3450"/>
    </row>
    <row r="3451" spans="3:13" ht="12.75" customHeight="1" x14ac:dyDescent="0.2">
      <c r="C3451"/>
      <c r="M3451"/>
    </row>
    <row r="3452" spans="3:13" ht="12.75" customHeight="1" x14ac:dyDescent="0.2">
      <c r="C3452"/>
      <c r="M3452"/>
    </row>
    <row r="3453" spans="3:13" ht="12.75" customHeight="1" x14ac:dyDescent="0.2">
      <c r="C3453"/>
      <c r="M3453"/>
    </row>
    <row r="3454" spans="3:13" ht="12.75" customHeight="1" x14ac:dyDescent="0.2">
      <c r="C3454"/>
      <c r="M3454"/>
    </row>
    <row r="3455" spans="3:13" ht="12.75" customHeight="1" x14ac:dyDescent="0.2">
      <c r="C3455"/>
      <c r="M3455"/>
    </row>
    <row r="3456" spans="3:13" ht="12.75" customHeight="1" x14ac:dyDescent="0.2">
      <c r="C3456"/>
      <c r="M3456"/>
    </row>
    <row r="3457" spans="3:13" ht="12.75" customHeight="1" x14ac:dyDescent="0.2">
      <c r="C3457"/>
      <c r="M3457"/>
    </row>
    <row r="3458" spans="3:13" ht="12.75" customHeight="1" x14ac:dyDescent="0.2">
      <c r="C3458"/>
      <c r="M3458"/>
    </row>
    <row r="3459" spans="3:13" ht="12.75" customHeight="1" x14ac:dyDescent="0.2">
      <c r="C3459"/>
      <c r="M3459"/>
    </row>
    <row r="3460" spans="3:13" ht="12.75" customHeight="1" x14ac:dyDescent="0.2">
      <c r="C3460"/>
      <c r="M3460"/>
    </row>
    <row r="3461" spans="3:13" ht="12.75" customHeight="1" x14ac:dyDescent="0.2">
      <c r="C3461"/>
      <c r="M3461"/>
    </row>
    <row r="3462" spans="3:13" ht="12.75" customHeight="1" x14ac:dyDescent="0.2">
      <c r="C3462"/>
      <c r="M3462"/>
    </row>
    <row r="3463" spans="3:13" ht="12.75" customHeight="1" x14ac:dyDescent="0.2">
      <c r="C3463"/>
      <c r="M3463"/>
    </row>
    <row r="3464" spans="3:13" ht="12.75" customHeight="1" x14ac:dyDescent="0.2">
      <c r="C3464"/>
      <c r="M3464"/>
    </row>
    <row r="3465" spans="3:13" ht="12.75" customHeight="1" x14ac:dyDescent="0.2">
      <c r="C3465"/>
      <c r="M3465"/>
    </row>
    <row r="3466" spans="3:13" ht="12.75" customHeight="1" x14ac:dyDescent="0.2">
      <c r="C3466"/>
      <c r="M3466"/>
    </row>
    <row r="3467" spans="3:13" ht="12.75" customHeight="1" x14ac:dyDescent="0.2">
      <c r="C3467"/>
      <c r="M3467"/>
    </row>
    <row r="3468" spans="3:13" ht="12.75" customHeight="1" x14ac:dyDescent="0.2">
      <c r="C3468"/>
      <c r="M3468"/>
    </row>
    <row r="3469" spans="3:13" ht="12.75" customHeight="1" x14ac:dyDescent="0.2">
      <c r="C3469"/>
      <c r="M3469"/>
    </row>
    <row r="3470" spans="3:13" ht="12.75" customHeight="1" x14ac:dyDescent="0.2">
      <c r="C3470"/>
      <c r="M3470"/>
    </row>
    <row r="3471" spans="3:13" ht="12.75" customHeight="1" x14ac:dyDescent="0.2">
      <c r="C3471"/>
      <c r="M3471"/>
    </row>
    <row r="3472" spans="3:13" ht="12.75" customHeight="1" x14ac:dyDescent="0.2">
      <c r="C3472"/>
      <c r="M3472"/>
    </row>
    <row r="3473" spans="3:13" ht="12.75" customHeight="1" x14ac:dyDescent="0.2">
      <c r="C3473"/>
      <c r="M3473"/>
    </row>
    <row r="3474" spans="3:13" ht="12.75" customHeight="1" x14ac:dyDescent="0.2">
      <c r="C3474"/>
      <c r="M3474"/>
    </row>
    <row r="3475" spans="3:13" ht="12.75" customHeight="1" x14ac:dyDescent="0.2">
      <c r="C3475"/>
      <c r="M3475"/>
    </row>
    <row r="3476" spans="3:13" ht="12.75" customHeight="1" x14ac:dyDescent="0.2">
      <c r="C3476"/>
      <c r="M3476"/>
    </row>
    <row r="3477" spans="3:13" ht="12.75" customHeight="1" x14ac:dyDescent="0.2">
      <c r="C3477"/>
      <c r="M3477"/>
    </row>
    <row r="3478" spans="3:13" ht="12.75" customHeight="1" x14ac:dyDescent="0.2">
      <c r="C3478"/>
      <c r="M3478"/>
    </row>
    <row r="3479" spans="3:13" ht="12.75" customHeight="1" x14ac:dyDescent="0.2">
      <c r="C3479"/>
      <c r="M3479"/>
    </row>
    <row r="3480" spans="3:13" ht="12.75" customHeight="1" x14ac:dyDescent="0.2">
      <c r="C3480"/>
      <c r="M3480"/>
    </row>
    <row r="3481" spans="3:13" ht="12.75" customHeight="1" x14ac:dyDescent="0.2">
      <c r="C3481"/>
      <c r="M3481"/>
    </row>
    <row r="3482" spans="3:13" ht="12.75" customHeight="1" x14ac:dyDescent="0.2">
      <c r="C3482"/>
      <c r="M3482"/>
    </row>
    <row r="3483" spans="3:13" ht="12.75" customHeight="1" x14ac:dyDescent="0.2">
      <c r="C3483"/>
      <c r="M3483"/>
    </row>
    <row r="3484" spans="3:13" ht="12.75" customHeight="1" x14ac:dyDescent="0.2">
      <c r="C3484"/>
      <c r="M3484"/>
    </row>
    <row r="3485" spans="3:13" ht="12.75" customHeight="1" x14ac:dyDescent="0.2">
      <c r="C3485"/>
      <c r="M3485"/>
    </row>
    <row r="3486" spans="3:13" ht="12.75" customHeight="1" x14ac:dyDescent="0.2">
      <c r="C3486"/>
      <c r="M3486"/>
    </row>
    <row r="3487" spans="3:13" ht="12.75" customHeight="1" x14ac:dyDescent="0.2">
      <c r="C3487"/>
      <c r="M3487"/>
    </row>
    <row r="3488" spans="3:13" ht="12.75" customHeight="1" x14ac:dyDescent="0.2">
      <c r="C3488"/>
      <c r="M3488"/>
    </row>
    <row r="3489" spans="3:13" ht="12.75" customHeight="1" x14ac:dyDescent="0.2">
      <c r="C3489"/>
      <c r="M3489"/>
    </row>
    <row r="3490" spans="3:13" ht="12.75" customHeight="1" x14ac:dyDescent="0.2">
      <c r="C3490"/>
      <c r="M3490"/>
    </row>
    <row r="3491" spans="3:13" ht="12.75" customHeight="1" x14ac:dyDescent="0.2">
      <c r="C3491"/>
      <c r="M3491"/>
    </row>
    <row r="3492" spans="3:13" ht="12.75" customHeight="1" x14ac:dyDescent="0.2">
      <c r="C3492"/>
      <c r="M3492"/>
    </row>
    <row r="3493" spans="3:13" ht="12.75" customHeight="1" x14ac:dyDescent="0.2">
      <c r="C3493"/>
      <c r="M3493"/>
    </row>
    <row r="3494" spans="3:13" ht="12.75" customHeight="1" x14ac:dyDescent="0.2">
      <c r="C3494"/>
      <c r="M3494"/>
    </row>
    <row r="3495" spans="3:13" ht="12.75" customHeight="1" x14ac:dyDescent="0.2">
      <c r="C3495"/>
      <c r="M3495"/>
    </row>
    <row r="3496" spans="3:13" ht="12.75" customHeight="1" x14ac:dyDescent="0.2">
      <c r="C3496"/>
      <c r="M3496"/>
    </row>
    <row r="3497" spans="3:13" ht="12.75" customHeight="1" x14ac:dyDescent="0.2">
      <c r="C3497"/>
      <c r="M3497"/>
    </row>
    <row r="3498" spans="3:13" ht="12.75" customHeight="1" x14ac:dyDescent="0.2">
      <c r="C3498"/>
      <c r="M3498"/>
    </row>
    <row r="3499" spans="3:13" ht="12.75" customHeight="1" x14ac:dyDescent="0.2">
      <c r="C3499"/>
      <c r="M3499"/>
    </row>
    <row r="3500" spans="3:13" ht="12.75" customHeight="1" x14ac:dyDescent="0.2">
      <c r="C3500"/>
      <c r="M3500"/>
    </row>
    <row r="3501" spans="3:13" ht="12.75" customHeight="1" x14ac:dyDescent="0.2">
      <c r="C3501"/>
      <c r="M3501"/>
    </row>
    <row r="3502" spans="3:13" ht="12.75" customHeight="1" x14ac:dyDescent="0.2">
      <c r="C3502"/>
      <c r="M3502"/>
    </row>
    <row r="3503" spans="3:13" ht="12.75" customHeight="1" x14ac:dyDescent="0.2">
      <c r="C3503"/>
      <c r="M3503"/>
    </row>
    <row r="3504" spans="3:13" ht="12.75" customHeight="1" x14ac:dyDescent="0.2">
      <c r="C3504"/>
      <c r="M3504"/>
    </row>
    <row r="3505" spans="3:13" ht="12.75" customHeight="1" x14ac:dyDescent="0.2">
      <c r="C3505"/>
      <c r="M3505"/>
    </row>
    <row r="3506" spans="3:13" ht="12.75" customHeight="1" x14ac:dyDescent="0.2">
      <c r="C3506"/>
      <c r="M3506"/>
    </row>
    <row r="3507" spans="3:13" ht="12.75" customHeight="1" x14ac:dyDescent="0.2">
      <c r="C3507"/>
      <c r="M3507"/>
    </row>
    <row r="3508" spans="3:13" ht="12.75" customHeight="1" x14ac:dyDescent="0.2">
      <c r="C3508"/>
      <c r="M3508"/>
    </row>
    <row r="3509" spans="3:13" ht="12.75" customHeight="1" x14ac:dyDescent="0.2">
      <c r="C3509"/>
      <c r="M3509"/>
    </row>
    <row r="3510" spans="3:13" ht="12.75" customHeight="1" x14ac:dyDescent="0.2">
      <c r="C3510"/>
      <c r="M3510"/>
    </row>
    <row r="3511" spans="3:13" ht="12.75" customHeight="1" x14ac:dyDescent="0.2">
      <c r="C3511"/>
      <c r="M3511"/>
    </row>
    <row r="3512" spans="3:13" ht="12.75" customHeight="1" x14ac:dyDescent="0.2">
      <c r="C3512"/>
      <c r="M3512"/>
    </row>
    <row r="3513" spans="3:13" ht="12.75" customHeight="1" x14ac:dyDescent="0.2">
      <c r="C3513"/>
      <c r="M3513"/>
    </row>
    <row r="3514" spans="3:13" ht="12.75" customHeight="1" x14ac:dyDescent="0.2">
      <c r="C3514"/>
      <c r="M3514"/>
    </row>
    <row r="3515" spans="3:13" ht="12.75" customHeight="1" x14ac:dyDescent="0.2">
      <c r="C3515"/>
      <c r="M3515"/>
    </row>
    <row r="3516" spans="3:13" ht="12.75" customHeight="1" x14ac:dyDescent="0.2">
      <c r="C3516"/>
      <c r="M3516"/>
    </row>
    <row r="3517" spans="3:13" ht="12.75" customHeight="1" x14ac:dyDescent="0.2">
      <c r="C3517"/>
      <c r="M3517"/>
    </row>
    <row r="3518" spans="3:13" ht="12.75" customHeight="1" x14ac:dyDescent="0.2">
      <c r="C3518"/>
      <c r="M3518"/>
    </row>
    <row r="3519" spans="3:13" ht="12.75" customHeight="1" x14ac:dyDescent="0.2">
      <c r="C3519"/>
      <c r="M3519"/>
    </row>
    <row r="3520" spans="3:13" ht="12.75" customHeight="1" x14ac:dyDescent="0.2">
      <c r="C3520"/>
      <c r="M3520"/>
    </row>
    <row r="3521" spans="3:13" ht="12.75" customHeight="1" x14ac:dyDescent="0.2">
      <c r="C3521"/>
      <c r="M3521"/>
    </row>
    <row r="3522" spans="3:13" ht="12.75" customHeight="1" x14ac:dyDescent="0.2">
      <c r="C3522"/>
      <c r="M3522"/>
    </row>
    <row r="3523" spans="3:13" ht="12.75" customHeight="1" x14ac:dyDescent="0.2">
      <c r="C3523"/>
      <c r="M3523"/>
    </row>
    <row r="3524" spans="3:13" ht="12.75" customHeight="1" x14ac:dyDescent="0.2">
      <c r="C3524"/>
      <c r="M3524"/>
    </row>
    <row r="3525" spans="3:13" ht="12.75" customHeight="1" x14ac:dyDescent="0.2">
      <c r="C3525"/>
      <c r="M3525"/>
    </row>
    <row r="3526" spans="3:13" ht="12.75" customHeight="1" x14ac:dyDescent="0.2">
      <c r="C3526"/>
      <c r="M3526"/>
    </row>
    <row r="3527" spans="3:13" ht="12.75" customHeight="1" x14ac:dyDescent="0.2">
      <c r="C3527"/>
      <c r="M3527"/>
    </row>
    <row r="3528" spans="3:13" ht="12.75" customHeight="1" x14ac:dyDescent="0.2">
      <c r="C3528"/>
      <c r="M3528"/>
    </row>
    <row r="3529" spans="3:13" ht="12.75" customHeight="1" x14ac:dyDescent="0.2">
      <c r="C3529"/>
      <c r="M3529"/>
    </row>
    <row r="3530" spans="3:13" ht="12.75" customHeight="1" x14ac:dyDescent="0.2">
      <c r="C3530"/>
      <c r="M3530"/>
    </row>
    <row r="3531" spans="3:13" ht="12.75" customHeight="1" x14ac:dyDescent="0.2">
      <c r="C3531"/>
      <c r="M3531"/>
    </row>
    <row r="3532" spans="3:13" ht="12.75" customHeight="1" x14ac:dyDescent="0.2">
      <c r="C3532"/>
      <c r="M3532"/>
    </row>
    <row r="3533" spans="3:13" ht="12.75" customHeight="1" x14ac:dyDescent="0.2">
      <c r="C3533"/>
      <c r="M3533"/>
    </row>
    <row r="3534" spans="3:13" ht="12.75" customHeight="1" x14ac:dyDescent="0.2">
      <c r="C3534"/>
      <c r="M3534"/>
    </row>
    <row r="3535" spans="3:13" ht="12.75" customHeight="1" x14ac:dyDescent="0.2">
      <c r="C3535"/>
      <c r="M3535"/>
    </row>
    <row r="3536" spans="3:13" ht="12.75" customHeight="1" x14ac:dyDescent="0.2">
      <c r="C3536"/>
      <c r="M3536"/>
    </row>
    <row r="3537" spans="3:13" ht="12.75" customHeight="1" x14ac:dyDescent="0.2">
      <c r="C3537"/>
      <c r="M3537"/>
    </row>
    <row r="3538" spans="3:13" ht="12.75" customHeight="1" x14ac:dyDescent="0.2">
      <c r="C3538"/>
      <c r="M3538"/>
    </row>
    <row r="3539" spans="3:13" ht="12.75" customHeight="1" x14ac:dyDescent="0.2">
      <c r="C3539"/>
      <c r="M3539"/>
    </row>
    <row r="3540" spans="3:13" ht="12.75" customHeight="1" x14ac:dyDescent="0.2">
      <c r="C3540"/>
      <c r="M3540"/>
    </row>
    <row r="3541" spans="3:13" ht="12.75" customHeight="1" x14ac:dyDescent="0.2">
      <c r="C3541"/>
      <c r="M3541"/>
    </row>
    <row r="3542" spans="3:13" ht="12.75" customHeight="1" x14ac:dyDescent="0.2">
      <c r="C3542"/>
      <c r="M3542"/>
    </row>
    <row r="3543" spans="3:13" ht="12.75" customHeight="1" x14ac:dyDescent="0.2">
      <c r="C3543"/>
      <c r="M3543"/>
    </row>
    <row r="3544" spans="3:13" ht="12.75" customHeight="1" x14ac:dyDescent="0.2">
      <c r="C3544"/>
      <c r="M3544"/>
    </row>
    <row r="3545" spans="3:13" ht="12.75" customHeight="1" x14ac:dyDescent="0.2">
      <c r="C3545"/>
      <c r="M3545"/>
    </row>
    <row r="3546" spans="3:13" ht="12.75" customHeight="1" x14ac:dyDescent="0.2">
      <c r="C3546"/>
      <c r="M3546"/>
    </row>
    <row r="3547" spans="3:13" ht="12.75" customHeight="1" x14ac:dyDescent="0.2">
      <c r="C3547"/>
      <c r="M3547"/>
    </row>
    <row r="3548" spans="3:13" ht="12.75" customHeight="1" x14ac:dyDescent="0.2">
      <c r="C3548"/>
      <c r="M3548"/>
    </row>
    <row r="3549" spans="3:13" ht="12.75" customHeight="1" x14ac:dyDescent="0.2">
      <c r="C3549"/>
      <c r="M3549"/>
    </row>
    <row r="3550" spans="3:13" ht="12.75" customHeight="1" x14ac:dyDescent="0.2">
      <c r="C3550"/>
      <c r="M3550"/>
    </row>
    <row r="3551" spans="3:13" ht="12.75" customHeight="1" x14ac:dyDescent="0.2">
      <c r="C3551"/>
      <c r="M3551"/>
    </row>
    <row r="3552" spans="3:13" ht="12.75" customHeight="1" x14ac:dyDescent="0.2">
      <c r="C3552"/>
      <c r="M3552"/>
    </row>
    <row r="3553" spans="3:13" ht="12.75" customHeight="1" x14ac:dyDescent="0.2">
      <c r="C3553"/>
      <c r="M3553"/>
    </row>
    <row r="3554" spans="3:13" ht="12.75" customHeight="1" x14ac:dyDescent="0.2">
      <c r="C3554"/>
      <c r="M3554"/>
    </row>
    <row r="3555" spans="3:13" ht="12.75" customHeight="1" x14ac:dyDescent="0.2">
      <c r="C3555"/>
      <c r="M3555"/>
    </row>
    <row r="3556" spans="3:13" ht="12.75" customHeight="1" x14ac:dyDescent="0.2">
      <c r="C3556"/>
      <c r="M3556"/>
    </row>
    <row r="3557" spans="3:13" ht="12.75" customHeight="1" x14ac:dyDescent="0.2">
      <c r="C3557"/>
      <c r="M3557"/>
    </row>
    <row r="3558" spans="3:13" ht="12.75" customHeight="1" x14ac:dyDescent="0.2">
      <c r="C3558"/>
      <c r="M3558"/>
    </row>
    <row r="3559" spans="3:13" ht="12.75" customHeight="1" x14ac:dyDescent="0.2">
      <c r="C3559"/>
      <c r="M3559"/>
    </row>
    <row r="3560" spans="3:13" ht="12.75" customHeight="1" x14ac:dyDescent="0.2">
      <c r="C3560"/>
      <c r="M3560"/>
    </row>
    <row r="3561" spans="3:13" ht="12.75" customHeight="1" x14ac:dyDescent="0.2">
      <c r="C3561"/>
      <c r="M3561"/>
    </row>
    <row r="3562" spans="3:13" ht="12.75" customHeight="1" x14ac:dyDescent="0.2">
      <c r="C3562"/>
      <c r="M3562"/>
    </row>
    <row r="3563" spans="3:13" ht="12.75" customHeight="1" x14ac:dyDescent="0.2">
      <c r="C3563"/>
      <c r="M3563"/>
    </row>
    <row r="3564" spans="3:13" ht="12.75" customHeight="1" x14ac:dyDescent="0.2">
      <c r="C3564"/>
      <c r="M3564"/>
    </row>
    <row r="3565" spans="3:13" ht="12.75" customHeight="1" x14ac:dyDescent="0.2">
      <c r="C3565"/>
      <c r="M3565"/>
    </row>
    <row r="3566" spans="3:13" ht="12.75" customHeight="1" x14ac:dyDescent="0.2">
      <c r="C3566"/>
      <c r="M3566"/>
    </row>
    <row r="3567" spans="3:13" ht="12.75" customHeight="1" x14ac:dyDescent="0.2">
      <c r="C3567"/>
      <c r="M3567"/>
    </row>
    <row r="3568" spans="3:13" ht="12.75" customHeight="1" x14ac:dyDescent="0.2">
      <c r="C3568"/>
      <c r="M3568"/>
    </row>
    <row r="3569" spans="3:13" ht="12.75" customHeight="1" x14ac:dyDescent="0.2">
      <c r="C3569"/>
      <c r="M3569"/>
    </row>
    <row r="3570" spans="3:13" ht="12.75" customHeight="1" x14ac:dyDescent="0.2">
      <c r="C3570"/>
      <c r="M3570"/>
    </row>
    <row r="3571" spans="3:13" ht="12.75" customHeight="1" x14ac:dyDescent="0.2">
      <c r="C3571"/>
      <c r="M3571"/>
    </row>
    <row r="3572" spans="3:13" ht="12.75" customHeight="1" x14ac:dyDescent="0.2">
      <c r="C3572"/>
      <c r="M3572"/>
    </row>
    <row r="3573" spans="3:13" ht="12.75" customHeight="1" x14ac:dyDescent="0.2">
      <c r="C3573"/>
      <c r="M3573"/>
    </row>
    <row r="3574" spans="3:13" ht="12.75" customHeight="1" x14ac:dyDescent="0.2">
      <c r="C3574"/>
      <c r="M3574"/>
    </row>
    <row r="3575" spans="3:13" ht="12.75" customHeight="1" x14ac:dyDescent="0.2">
      <c r="C3575"/>
      <c r="M3575"/>
    </row>
    <row r="3576" spans="3:13" ht="12.75" customHeight="1" x14ac:dyDescent="0.2">
      <c r="C3576"/>
      <c r="M3576"/>
    </row>
    <row r="3577" spans="3:13" ht="12.75" customHeight="1" x14ac:dyDescent="0.2">
      <c r="C3577"/>
      <c r="M3577"/>
    </row>
    <row r="3578" spans="3:13" ht="12.75" customHeight="1" x14ac:dyDescent="0.2">
      <c r="C3578"/>
      <c r="M3578"/>
    </row>
    <row r="3579" spans="3:13" ht="12.75" customHeight="1" x14ac:dyDescent="0.2">
      <c r="C3579"/>
      <c r="M3579"/>
    </row>
    <row r="3580" spans="3:13" ht="12.75" customHeight="1" x14ac:dyDescent="0.2">
      <c r="C3580"/>
      <c r="M3580"/>
    </row>
    <row r="3581" spans="3:13" ht="12.75" customHeight="1" x14ac:dyDescent="0.2">
      <c r="C3581"/>
      <c r="M3581"/>
    </row>
    <row r="3582" spans="3:13" ht="12.75" customHeight="1" x14ac:dyDescent="0.2">
      <c r="C3582"/>
      <c r="M3582"/>
    </row>
    <row r="3583" spans="3:13" ht="12.75" customHeight="1" x14ac:dyDescent="0.2">
      <c r="C3583"/>
      <c r="M3583"/>
    </row>
    <row r="3584" spans="3:13" ht="12.75" customHeight="1" x14ac:dyDescent="0.2">
      <c r="C3584"/>
      <c r="M3584"/>
    </row>
    <row r="3585" spans="3:13" ht="12.75" customHeight="1" x14ac:dyDescent="0.2">
      <c r="C3585"/>
      <c r="M3585"/>
    </row>
    <row r="3586" spans="3:13" ht="12.75" customHeight="1" x14ac:dyDescent="0.2">
      <c r="C3586"/>
      <c r="M3586"/>
    </row>
    <row r="3587" spans="3:13" ht="12.75" customHeight="1" x14ac:dyDescent="0.2">
      <c r="C3587"/>
      <c r="M3587"/>
    </row>
    <row r="3588" spans="3:13" ht="12.75" customHeight="1" x14ac:dyDescent="0.2">
      <c r="C3588"/>
      <c r="M3588"/>
    </row>
    <row r="3589" spans="3:13" ht="12.75" customHeight="1" x14ac:dyDescent="0.2">
      <c r="C3589"/>
      <c r="M3589"/>
    </row>
    <row r="3590" spans="3:13" ht="12.75" customHeight="1" x14ac:dyDescent="0.2">
      <c r="C3590"/>
      <c r="M3590"/>
    </row>
    <row r="3591" spans="3:13" ht="12.75" customHeight="1" x14ac:dyDescent="0.2">
      <c r="C3591"/>
      <c r="M3591"/>
    </row>
    <row r="3592" spans="3:13" ht="12.75" customHeight="1" x14ac:dyDescent="0.2">
      <c r="C3592"/>
      <c r="M3592"/>
    </row>
    <row r="3593" spans="3:13" ht="12.75" customHeight="1" x14ac:dyDescent="0.2">
      <c r="C3593"/>
      <c r="M3593"/>
    </row>
    <row r="3594" spans="3:13" ht="12.75" customHeight="1" x14ac:dyDescent="0.2">
      <c r="C3594"/>
      <c r="M3594"/>
    </row>
    <row r="3595" spans="3:13" ht="12.75" customHeight="1" x14ac:dyDescent="0.2">
      <c r="C3595"/>
      <c r="M3595"/>
    </row>
    <row r="3596" spans="3:13" ht="12.75" customHeight="1" x14ac:dyDescent="0.2">
      <c r="C3596"/>
      <c r="M3596"/>
    </row>
    <row r="3597" spans="3:13" ht="12.75" customHeight="1" x14ac:dyDescent="0.2">
      <c r="C3597"/>
      <c r="M3597"/>
    </row>
    <row r="3598" spans="3:13" ht="12.75" customHeight="1" x14ac:dyDescent="0.2">
      <c r="C3598"/>
      <c r="M3598"/>
    </row>
    <row r="3599" spans="3:13" ht="12.75" customHeight="1" x14ac:dyDescent="0.2">
      <c r="C3599"/>
      <c r="M3599"/>
    </row>
    <row r="3600" spans="3:13" ht="12.75" customHeight="1" x14ac:dyDescent="0.2">
      <c r="C3600"/>
      <c r="M3600"/>
    </row>
    <row r="3601" spans="3:13" ht="12.75" customHeight="1" x14ac:dyDescent="0.2">
      <c r="C3601"/>
      <c r="M3601"/>
    </row>
    <row r="3602" spans="3:13" ht="12.75" customHeight="1" x14ac:dyDescent="0.2">
      <c r="C3602"/>
      <c r="M3602"/>
    </row>
    <row r="3603" spans="3:13" ht="12.75" customHeight="1" x14ac:dyDescent="0.2">
      <c r="C3603"/>
      <c r="M3603"/>
    </row>
    <row r="3604" spans="3:13" ht="12.75" customHeight="1" x14ac:dyDescent="0.2">
      <c r="C3604"/>
      <c r="M3604"/>
    </row>
    <row r="3605" spans="3:13" ht="12.75" customHeight="1" x14ac:dyDescent="0.2">
      <c r="C3605"/>
      <c r="M3605"/>
    </row>
    <row r="3606" spans="3:13" ht="12.75" customHeight="1" x14ac:dyDescent="0.2">
      <c r="C3606"/>
      <c r="M3606"/>
    </row>
    <row r="3607" spans="3:13" ht="12.75" customHeight="1" x14ac:dyDescent="0.2">
      <c r="C3607"/>
      <c r="M3607"/>
    </row>
    <row r="3608" spans="3:13" ht="12.75" customHeight="1" x14ac:dyDescent="0.2">
      <c r="C3608"/>
      <c r="M3608"/>
    </row>
    <row r="3609" spans="3:13" ht="12.75" customHeight="1" x14ac:dyDescent="0.2">
      <c r="C3609"/>
      <c r="M3609"/>
    </row>
    <row r="3610" spans="3:13" ht="12.75" customHeight="1" x14ac:dyDescent="0.2">
      <c r="C3610"/>
      <c r="M3610"/>
    </row>
    <row r="3611" spans="3:13" ht="12.75" customHeight="1" x14ac:dyDescent="0.2">
      <c r="C3611"/>
      <c r="M3611"/>
    </row>
    <row r="3612" spans="3:13" ht="12.75" customHeight="1" x14ac:dyDescent="0.2">
      <c r="C3612"/>
      <c r="M3612"/>
    </row>
    <row r="3613" spans="3:13" ht="12.75" customHeight="1" x14ac:dyDescent="0.2">
      <c r="C3613"/>
      <c r="M3613"/>
    </row>
    <row r="3614" spans="3:13" ht="12.75" customHeight="1" x14ac:dyDescent="0.2">
      <c r="C3614"/>
      <c r="M3614"/>
    </row>
    <row r="3615" spans="3:13" ht="12.75" customHeight="1" x14ac:dyDescent="0.2">
      <c r="C3615"/>
      <c r="M3615"/>
    </row>
    <row r="3616" spans="3:13" ht="12.75" customHeight="1" x14ac:dyDescent="0.2">
      <c r="C3616"/>
      <c r="M3616"/>
    </row>
    <row r="3617" spans="3:13" ht="12.75" customHeight="1" x14ac:dyDescent="0.2">
      <c r="C3617"/>
      <c r="M3617"/>
    </row>
    <row r="3618" spans="3:13" ht="12.75" customHeight="1" x14ac:dyDescent="0.2">
      <c r="C3618"/>
      <c r="M3618"/>
    </row>
    <row r="3619" spans="3:13" ht="12.75" customHeight="1" x14ac:dyDescent="0.2">
      <c r="C3619"/>
      <c r="M3619"/>
    </row>
    <row r="3620" spans="3:13" ht="12.75" customHeight="1" x14ac:dyDescent="0.2">
      <c r="C3620"/>
      <c r="M3620"/>
    </row>
    <row r="3621" spans="3:13" ht="12.75" customHeight="1" x14ac:dyDescent="0.2">
      <c r="C3621"/>
      <c r="M3621"/>
    </row>
    <row r="3622" spans="3:13" ht="12.75" customHeight="1" x14ac:dyDescent="0.2">
      <c r="C3622"/>
      <c r="M3622"/>
    </row>
    <row r="3623" spans="3:13" ht="12.75" customHeight="1" x14ac:dyDescent="0.2">
      <c r="C3623"/>
      <c r="M3623"/>
    </row>
    <row r="3624" spans="3:13" ht="12.75" customHeight="1" x14ac:dyDescent="0.2">
      <c r="C3624"/>
      <c r="M3624"/>
    </row>
    <row r="3625" spans="3:13" ht="12.75" customHeight="1" x14ac:dyDescent="0.2">
      <c r="C3625"/>
      <c r="M3625"/>
    </row>
    <row r="3626" spans="3:13" ht="12.75" customHeight="1" x14ac:dyDescent="0.2">
      <c r="C3626"/>
      <c r="M3626"/>
    </row>
    <row r="3627" spans="3:13" ht="12.75" customHeight="1" x14ac:dyDescent="0.2">
      <c r="C3627"/>
      <c r="M3627"/>
    </row>
    <row r="3628" spans="3:13" ht="12.75" customHeight="1" x14ac:dyDescent="0.2">
      <c r="C3628"/>
      <c r="M3628"/>
    </row>
    <row r="3629" spans="3:13" ht="12.75" customHeight="1" x14ac:dyDescent="0.2">
      <c r="C3629"/>
      <c r="M3629"/>
    </row>
    <row r="3630" spans="3:13" ht="12.75" customHeight="1" x14ac:dyDescent="0.2">
      <c r="C3630"/>
      <c r="M3630"/>
    </row>
    <row r="3631" spans="3:13" ht="12.75" customHeight="1" x14ac:dyDescent="0.2">
      <c r="C3631"/>
      <c r="M3631"/>
    </row>
    <row r="3632" spans="3:13" ht="12.75" customHeight="1" x14ac:dyDescent="0.2">
      <c r="C3632"/>
      <c r="M3632"/>
    </row>
    <row r="3633" spans="3:13" ht="12.75" customHeight="1" x14ac:dyDescent="0.2">
      <c r="C3633"/>
      <c r="M3633"/>
    </row>
    <row r="3634" spans="3:13" ht="12.75" customHeight="1" x14ac:dyDescent="0.2">
      <c r="C3634"/>
      <c r="M3634"/>
    </row>
    <row r="3635" spans="3:13" ht="12.75" customHeight="1" x14ac:dyDescent="0.2">
      <c r="C3635"/>
      <c r="M3635"/>
    </row>
    <row r="3636" spans="3:13" ht="12.75" customHeight="1" x14ac:dyDescent="0.2">
      <c r="C3636"/>
      <c r="M3636"/>
    </row>
    <row r="3637" spans="3:13" ht="12.75" customHeight="1" x14ac:dyDescent="0.2">
      <c r="C3637"/>
      <c r="M3637"/>
    </row>
    <row r="3638" spans="3:13" ht="12.75" customHeight="1" x14ac:dyDescent="0.2">
      <c r="C3638"/>
      <c r="M3638"/>
    </row>
    <row r="3639" spans="3:13" ht="12.75" customHeight="1" x14ac:dyDescent="0.2">
      <c r="C3639"/>
      <c r="M3639"/>
    </row>
    <row r="3640" spans="3:13" ht="12.75" customHeight="1" x14ac:dyDescent="0.2">
      <c r="C3640"/>
      <c r="M3640"/>
    </row>
    <row r="3641" spans="3:13" ht="12.75" customHeight="1" x14ac:dyDescent="0.2">
      <c r="C3641"/>
      <c r="M3641"/>
    </row>
    <row r="3642" spans="3:13" ht="12.75" customHeight="1" x14ac:dyDescent="0.2">
      <c r="C3642"/>
      <c r="M3642"/>
    </row>
    <row r="3643" spans="3:13" ht="12.75" customHeight="1" x14ac:dyDescent="0.2">
      <c r="C3643"/>
      <c r="M3643"/>
    </row>
    <row r="3644" spans="3:13" ht="12.75" customHeight="1" x14ac:dyDescent="0.2">
      <c r="C3644"/>
      <c r="M3644"/>
    </row>
    <row r="3645" spans="3:13" ht="12.75" customHeight="1" x14ac:dyDescent="0.2">
      <c r="C3645"/>
      <c r="M3645"/>
    </row>
    <row r="3646" spans="3:13" ht="12.75" customHeight="1" x14ac:dyDescent="0.2">
      <c r="C3646"/>
      <c r="M3646"/>
    </row>
    <row r="3647" spans="3:13" ht="12.75" customHeight="1" x14ac:dyDescent="0.2">
      <c r="C3647"/>
      <c r="M3647"/>
    </row>
    <row r="3648" spans="3:13" ht="12.75" customHeight="1" x14ac:dyDescent="0.2">
      <c r="C3648"/>
      <c r="M3648"/>
    </row>
    <row r="3649" spans="3:13" ht="12.75" customHeight="1" x14ac:dyDescent="0.2">
      <c r="C3649"/>
      <c r="M3649"/>
    </row>
    <row r="3650" spans="3:13" ht="12.75" customHeight="1" x14ac:dyDescent="0.2">
      <c r="C3650"/>
      <c r="M3650"/>
    </row>
    <row r="3651" spans="3:13" ht="12.75" customHeight="1" x14ac:dyDescent="0.2">
      <c r="C3651"/>
      <c r="M3651"/>
    </row>
    <row r="3652" spans="3:13" ht="12.75" customHeight="1" x14ac:dyDescent="0.2">
      <c r="C3652"/>
      <c r="M3652"/>
    </row>
    <row r="3653" spans="3:13" ht="12.75" customHeight="1" x14ac:dyDescent="0.2">
      <c r="C3653"/>
      <c r="M3653"/>
    </row>
    <row r="3654" spans="3:13" ht="12.75" customHeight="1" x14ac:dyDescent="0.2">
      <c r="C3654"/>
      <c r="M3654"/>
    </row>
    <row r="3655" spans="3:13" ht="12.75" customHeight="1" x14ac:dyDescent="0.2">
      <c r="C3655"/>
      <c r="M3655"/>
    </row>
    <row r="3656" spans="3:13" ht="12.75" customHeight="1" x14ac:dyDescent="0.2">
      <c r="C3656"/>
      <c r="M3656"/>
    </row>
    <row r="3657" spans="3:13" ht="12.75" customHeight="1" x14ac:dyDescent="0.2">
      <c r="C3657"/>
      <c r="M3657"/>
    </row>
    <row r="3658" spans="3:13" ht="12.75" customHeight="1" x14ac:dyDescent="0.2">
      <c r="C3658"/>
      <c r="M3658"/>
    </row>
    <row r="3659" spans="3:13" ht="12.75" customHeight="1" x14ac:dyDescent="0.2">
      <c r="C3659"/>
      <c r="M3659"/>
    </row>
    <row r="3660" spans="3:13" ht="12.75" customHeight="1" x14ac:dyDescent="0.2">
      <c r="C3660"/>
      <c r="M3660"/>
    </row>
    <row r="3661" spans="3:13" ht="12.75" customHeight="1" x14ac:dyDescent="0.2">
      <c r="C3661"/>
      <c r="M3661"/>
    </row>
    <row r="3662" spans="3:13" ht="12.75" customHeight="1" x14ac:dyDescent="0.2">
      <c r="C3662"/>
      <c r="M3662"/>
    </row>
    <row r="3663" spans="3:13" ht="12.75" customHeight="1" x14ac:dyDescent="0.2">
      <c r="C3663"/>
      <c r="M3663"/>
    </row>
    <row r="3664" spans="3:13" ht="12.75" customHeight="1" x14ac:dyDescent="0.2">
      <c r="C3664"/>
      <c r="M3664"/>
    </row>
    <row r="3665" spans="3:13" ht="12.75" customHeight="1" x14ac:dyDescent="0.2">
      <c r="C3665"/>
      <c r="M3665"/>
    </row>
    <row r="3666" spans="3:13" ht="12.75" customHeight="1" x14ac:dyDescent="0.2">
      <c r="C3666"/>
      <c r="M3666"/>
    </row>
    <row r="3667" spans="3:13" ht="12.75" customHeight="1" x14ac:dyDescent="0.2">
      <c r="C3667"/>
      <c r="M3667"/>
    </row>
    <row r="3668" spans="3:13" ht="12.75" customHeight="1" x14ac:dyDescent="0.2">
      <c r="C3668"/>
      <c r="M3668"/>
    </row>
    <row r="3669" spans="3:13" ht="12.75" customHeight="1" x14ac:dyDescent="0.2">
      <c r="C3669"/>
      <c r="M3669"/>
    </row>
    <row r="3670" spans="3:13" ht="12.75" customHeight="1" x14ac:dyDescent="0.2">
      <c r="C3670"/>
      <c r="M3670"/>
    </row>
    <row r="3671" spans="3:13" ht="12.75" customHeight="1" x14ac:dyDescent="0.2">
      <c r="C3671"/>
      <c r="M3671"/>
    </row>
    <row r="3672" spans="3:13" ht="12.75" customHeight="1" x14ac:dyDescent="0.2">
      <c r="C3672"/>
      <c r="M3672"/>
    </row>
    <row r="3673" spans="3:13" ht="12.75" customHeight="1" x14ac:dyDescent="0.2">
      <c r="C3673"/>
      <c r="M3673"/>
    </row>
    <row r="3674" spans="3:13" ht="12.75" customHeight="1" x14ac:dyDescent="0.2">
      <c r="C3674"/>
      <c r="M3674"/>
    </row>
    <row r="3675" spans="3:13" ht="12.75" customHeight="1" x14ac:dyDescent="0.2">
      <c r="C3675"/>
      <c r="M3675"/>
    </row>
    <row r="3676" spans="3:13" ht="12.75" customHeight="1" x14ac:dyDescent="0.2">
      <c r="C3676"/>
      <c r="M3676"/>
    </row>
    <row r="3677" spans="3:13" ht="12.75" customHeight="1" x14ac:dyDescent="0.2">
      <c r="C3677"/>
      <c r="M3677"/>
    </row>
    <row r="3678" spans="3:13" ht="12.75" customHeight="1" x14ac:dyDescent="0.2">
      <c r="C3678"/>
      <c r="M3678"/>
    </row>
    <row r="3679" spans="3:13" ht="12.75" customHeight="1" x14ac:dyDescent="0.2">
      <c r="C3679"/>
      <c r="M3679"/>
    </row>
    <row r="3680" spans="3:13" ht="12.75" customHeight="1" x14ac:dyDescent="0.2">
      <c r="C3680"/>
      <c r="M3680"/>
    </row>
    <row r="3681" spans="3:13" ht="12.75" customHeight="1" x14ac:dyDescent="0.2">
      <c r="C3681"/>
      <c r="M3681"/>
    </row>
    <row r="3682" spans="3:13" ht="12.75" customHeight="1" x14ac:dyDescent="0.2">
      <c r="C3682"/>
      <c r="M3682"/>
    </row>
    <row r="3683" spans="3:13" ht="12.75" customHeight="1" x14ac:dyDescent="0.2">
      <c r="C3683"/>
      <c r="M3683"/>
    </row>
    <row r="3684" spans="3:13" ht="12.75" customHeight="1" x14ac:dyDescent="0.2">
      <c r="C3684"/>
      <c r="M3684"/>
    </row>
    <row r="3685" spans="3:13" ht="12.75" customHeight="1" x14ac:dyDescent="0.2">
      <c r="C3685"/>
      <c r="M3685"/>
    </row>
    <row r="3686" spans="3:13" ht="12.75" customHeight="1" x14ac:dyDescent="0.2">
      <c r="C3686"/>
      <c r="M3686"/>
    </row>
    <row r="3687" spans="3:13" ht="12.75" customHeight="1" x14ac:dyDescent="0.2">
      <c r="C3687"/>
      <c r="M3687"/>
    </row>
    <row r="3688" spans="3:13" ht="12.75" customHeight="1" x14ac:dyDescent="0.2">
      <c r="C3688"/>
      <c r="M3688"/>
    </row>
    <row r="3689" spans="3:13" ht="12.75" customHeight="1" x14ac:dyDescent="0.2">
      <c r="C3689"/>
      <c r="M3689"/>
    </row>
    <row r="3690" spans="3:13" ht="12.75" customHeight="1" x14ac:dyDescent="0.2">
      <c r="C3690"/>
      <c r="M3690"/>
    </row>
    <row r="3691" spans="3:13" ht="12.75" customHeight="1" x14ac:dyDescent="0.2">
      <c r="C3691"/>
      <c r="M3691"/>
    </row>
    <row r="3692" spans="3:13" ht="12.75" customHeight="1" x14ac:dyDescent="0.2">
      <c r="C3692"/>
      <c r="M3692"/>
    </row>
    <row r="3693" spans="3:13" ht="12.75" customHeight="1" x14ac:dyDescent="0.2">
      <c r="C3693"/>
      <c r="M3693"/>
    </row>
    <row r="3694" spans="3:13" ht="12.75" customHeight="1" x14ac:dyDescent="0.2">
      <c r="C3694"/>
      <c r="M3694"/>
    </row>
    <row r="3695" spans="3:13" ht="12.75" customHeight="1" x14ac:dyDescent="0.2">
      <c r="C3695"/>
      <c r="M3695"/>
    </row>
    <row r="3696" spans="3:13" ht="12.75" customHeight="1" x14ac:dyDescent="0.2">
      <c r="C3696"/>
      <c r="M3696"/>
    </row>
    <row r="3697" spans="3:13" ht="12.75" customHeight="1" x14ac:dyDescent="0.2">
      <c r="C3697"/>
      <c r="M3697"/>
    </row>
    <row r="3698" spans="3:13" ht="12.75" customHeight="1" x14ac:dyDescent="0.2">
      <c r="C3698"/>
      <c r="M3698"/>
    </row>
    <row r="3699" spans="3:13" ht="12.75" customHeight="1" x14ac:dyDescent="0.2">
      <c r="C3699"/>
      <c r="M3699"/>
    </row>
    <row r="3700" spans="3:13" ht="12.75" customHeight="1" x14ac:dyDescent="0.2">
      <c r="C3700"/>
      <c r="M3700"/>
    </row>
    <row r="3701" spans="3:13" ht="12.75" customHeight="1" x14ac:dyDescent="0.2">
      <c r="C3701"/>
      <c r="M3701"/>
    </row>
    <row r="3702" spans="3:13" ht="12.75" customHeight="1" x14ac:dyDescent="0.2">
      <c r="C3702"/>
      <c r="M3702"/>
    </row>
    <row r="3703" spans="3:13" ht="12.75" customHeight="1" x14ac:dyDescent="0.2">
      <c r="C3703"/>
      <c r="M3703"/>
    </row>
    <row r="3704" spans="3:13" ht="12.75" customHeight="1" x14ac:dyDescent="0.2">
      <c r="C3704"/>
      <c r="M3704"/>
    </row>
    <row r="3705" spans="3:13" ht="12.75" customHeight="1" x14ac:dyDescent="0.2">
      <c r="C3705"/>
      <c r="M3705"/>
    </row>
    <row r="3706" spans="3:13" ht="12.75" customHeight="1" x14ac:dyDescent="0.2">
      <c r="C3706"/>
      <c r="M3706"/>
    </row>
    <row r="3707" spans="3:13" ht="12.75" customHeight="1" x14ac:dyDescent="0.2">
      <c r="C3707"/>
      <c r="M3707"/>
    </row>
    <row r="3708" spans="3:13" ht="12.75" customHeight="1" x14ac:dyDescent="0.2">
      <c r="C3708"/>
      <c r="M3708"/>
    </row>
    <row r="3709" spans="3:13" ht="12.75" customHeight="1" x14ac:dyDescent="0.2">
      <c r="C3709"/>
      <c r="M3709"/>
    </row>
    <row r="3710" spans="3:13" ht="12.75" customHeight="1" x14ac:dyDescent="0.2">
      <c r="C3710"/>
      <c r="M3710"/>
    </row>
    <row r="3711" spans="3:13" ht="12.75" customHeight="1" x14ac:dyDescent="0.2">
      <c r="C3711"/>
      <c r="M3711"/>
    </row>
    <row r="3712" spans="3:13" ht="12.75" customHeight="1" x14ac:dyDescent="0.2">
      <c r="C3712"/>
      <c r="M3712"/>
    </row>
    <row r="3713" spans="3:13" ht="12.75" customHeight="1" x14ac:dyDescent="0.2">
      <c r="C3713"/>
      <c r="M3713"/>
    </row>
    <row r="3714" spans="3:13" ht="12.75" customHeight="1" x14ac:dyDescent="0.2">
      <c r="C3714"/>
      <c r="M3714"/>
    </row>
    <row r="3715" spans="3:13" ht="12.75" customHeight="1" x14ac:dyDescent="0.2">
      <c r="C3715"/>
      <c r="M3715"/>
    </row>
    <row r="3716" spans="3:13" ht="12.75" customHeight="1" x14ac:dyDescent="0.2">
      <c r="C3716"/>
      <c r="M3716"/>
    </row>
    <row r="3717" spans="3:13" ht="12.75" customHeight="1" x14ac:dyDescent="0.2">
      <c r="C3717"/>
      <c r="M3717"/>
    </row>
    <row r="3718" spans="3:13" ht="12.75" customHeight="1" x14ac:dyDescent="0.2">
      <c r="C3718"/>
      <c r="M3718"/>
    </row>
    <row r="3719" spans="3:13" ht="12.75" customHeight="1" x14ac:dyDescent="0.2">
      <c r="C3719"/>
      <c r="M3719"/>
    </row>
    <row r="3720" spans="3:13" ht="12.75" customHeight="1" x14ac:dyDescent="0.2">
      <c r="C3720"/>
      <c r="M3720"/>
    </row>
    <row r="3721" spans="3:13" ht="12.75" customHeight="1" x14ac:dyDescent="0.2">
      <c r="C3721"/>
      <c r="M3721"/>
    </row>
    <row r="3722" spans="3:13" ht="12.75" customHeight="1" x14ac:dyDescent="0.2">
      <c r="C3722"/>
      <c r="M3722"/>
    </row>
    <row r="3723" spans="3:13" ht="12.75" customHeight="1" x14ac:dyDescent="0.2">
      <c r="C3723"/>
      <c r="M3723"/>
    </row>
    <row r="3724" spans="3:13" ht="12.75" customHeight="1" x14ac:dyDescent="0.2">
      <c r="C3724"/>
      <c r="M3724"/>
    </row>
    <row r="3725" spans="3:13" ht="12.75" customHeight="1" x14ac:dyDescent="0.2">
      <c r="C3725"/>
      <c r="M3725"/>
    </row>
    <row r="3726" spans="3:13" ht="12.75" customHeight="1" x14ac:dyDescent="0.2">
      <c r="C3726"/>
      <c r="M3726"/>
    </row>
    <row r="3727" spans="3:13" ht="12.75" customHeight="1" x14ac:dyDescent="0.2">
      <c r="C3727"/>
      <c r="M3727"/>
    </row>
    <row r="3728" spans="3:13" ht="12.75" customHeight="1" x14ac:dyDescent="0.2">
      <c r="C3728"/>
      <c r="M3728"/>
    </row>
    <row r="3729" spans="3:13" ht="12.75" customHeight="1" x14ac:dyDescent="0.2">
      <c r="C3729"/>
      <c r="M3729"/>
    </row>
    <row r="3730" spans="3:13" ht="12.75" customHeight="1" x14ac:dyDescent="0.2">
      <c r="C3730"/>
      <c r="M3730"/>
    </row>
    <row r="3731" spans="3:13" ht="12.75" customHeight="1" x14ac:dyDescent="0.2">
      <c r="C3731"/>
      <c r="M3731"/>
    </row>
    <row r="3732" spans="3:13" ht="12.75" customHeight="1" x14ac:dyDescent="0.2">
      <c r="C3732"/>
      <c r="M3732"/>
    </row>
    <row r="3733" spans="3:13" ht="12.75" customHeight="1" x14ac:dyDescent="0.2">
      <c r="C3733"/>
      <c r="M3733"/>
    </row>
    <row r="3734" spans="3:13" ht="12.75" customHeight="1" x14ac:dyDescent="0.2">
      <c r="C3734"/>
      <c r="M3734"/>
    </row>
    <row r="3735" spans="3:13" ht="12.75" customHeight="1" x14ac:dyDescent="0.2">
      <c r="C3735"/>
      <c r="M3735"/>
    </row>
    <row r="3736" spans="3:13" ht="12.75" customHeight="1" x14ac:dyDescent="0.2">
      <c r="C3736"/>
      <c r="M3736"/>
    </row>
    <row r="3737" spans="3:13" ht="12.75" customHeight="1" x14ac:dyDescent="0.2">
      <c r="C3737"/>
      <c r="M3737"/>
    </row>
    <row r="3738" spans="3:13" ht="12.75" customHeight="1" x14ac:dyDescent="0.2">
      <c r="C3738"/>
      <c r="M3738"/>
    </row>
    <row r="3739" spans="3:13" ht="12.75" customHeight="1" x14ac:dyDescent="0.2">
      <c r="C3739"/>
      <c r="M3739"/>
    </row>
    <row r="3740" spans="3:13" ht="12.75" customHeight="1" x14ac:dyDescent="0.2">
      <c r="C3740"/>
      <c r="M3740"/>
    </row>
    <row r="3741" spans="3:13" ht="12.75" customHeight="1" x14ac:dyDescent="0.2">
      <c r="C3741"/>
      <c r="M3741"/>
    </row>
    <row r="3742" spans="3:13" ht="12.75" customHeight="1" x14ac:dyDescent="0.2">
      <c r="C3742"/>
      <c r="M3742"/>
    </row>
    <row r="3743" spans="3:13" ht="12.75" customHeight="1" x14ac:dyDescent="0.2">
      <c r="C3743"/>
      <c r="M3743"/>
    </row>
    <row r="3744" spans="3:13" ht="12.75" customHeight="1" x14ac:dyDescent="0.2">
      <c r="C3744"/>
      <c r="M3744"/>
    </row>
    <row r="3745" spans="3:13" ht="12.75" customHeight="1" x14ac:dyDescent="0.2">
      <c r="C3745"/>
      <c r="M3745"/>
    </row>
    <row r="3746" spans="3:13" ht="12.75" customHeight="1" x14ac:dyDescent="0.2">
      <c r="C3746"/>
      <c r="M3746"/>
    </row>
    <row r="3747" spans="3:13" ht="12.75" customHeight="1" x14ac:dyDescent="0.2">
      <c r="C3747"/>
      <c r="M3747"/>
    </row>
    <row r="3748" spans="3:13" ht="12.75" customHeight="1" x14ac:dyDescent="0.2">
      <c r="C3748"/>
      <c r="M3748"/>
    </row>
    <row r="3749" spans="3:13" ht="12.75" customHeight="1" x14ac:dyDescent="0.2">
      <c r="C3749"/>
      <c r="M3749"/>
    </row>
    <row r="3750" spans="3:13" ht="12.75" customHeight="1" x14ac:dyDescent="0.2">
      <c r="C3750"/>
      <c r="M3750"/>
    </row>
    <row r="3751" spans="3:13" ht="12.75" customHeight="1" x14ac:dyDescent="0.2">
      <c r="C3751"/>
      <c r="M3751"/>
    </row>
    <row r="3752" spans="3:13" ht="12.75" customHeight="1" x14ac:dyDescent="0.2">
      <c r="C3752"/>
      <c r="M3752"/>
    </row>
    <row r="3753" spans="3:13" ht="12.75" customHeight="1" x14ac:dyDescent="0.2">
      <c r="C3753"/>
      <c r="M3753"/>
    </row>
    <row r="3754" spans="3:13" ht="12.75" customHeight="1" x14ac:dyDescent="0.2">
      <c r="C3754"/>
      <c r="M3754"/>
    </row>
    <row r="3755" spans="3:13" ht="12.75" customHeight="1" x14ac:dyDescent="0.2">
      <c r="C3755"/>
      <c r="M3755"/>
    </row>
    <row r="3756" spans="3:13" ht="12.75" customHeight="1" x14ac:dyDescent="0.2">
      <c r="C3756"/>
      <c r="M3756"/>
    </row>
    <row r="3757" spans="3:13" ht="12.75" customHeight="1" x14ac:dyDescent="0.2">
      <c r="C3757"/>
      <c r="M3757"/>
    </row>
    <row r="3758" spans="3:13" ht="12.75" customHeight="1" x14ac:dyDescent="0.2">
      <c r="C3758"/>
      <c r="M3758"/>
    </row>
    <row r="3759" spans="3:13" ht="12.75" customHeight="1" x14ac:dyDescent="0.2">
      <c r="C3759"/>
      <c r="M3759"/>
    </row>
    <row r="3760" spans="3:13" ht="12.75" customHeight="1" x14ac:dyDescent="0.2">
      <c r="C3760"/>
      <c r="M3760"/>
    </row>
    <row r="3761" spans="3:13" ht="12.75" customHeight="1" x14ac:dyDescent="0.2">
      <c r="C3761"/>
      <c r="M3761"/>
    </row>
    <row r="3762" spans="3:13" ht="12.75" customHeight="1" x14ac:dyDescent="0.2">
      <c r="C3762"/>
      <c r="M3762"/>
    </row>
    <row r="3763" spans="3:13" ht="12.75" customHeight="1" x14ac:dyDescent="0.2">
      <c r="C3763"/>
      <c r="M3763"/>
    </row>
    <row r="3764" spans="3:13" ht="12.75" customHeight="1" x14ac:dyDescent="0.2">
      <c r="C3764"/>
      <c r="M3764"/>
    </row>
    <row r="3765" spans="3:13" ht="12.75" customHeight="1" x14ac:dyDescent="0.2">
      <c r="C3765"/>
      <c r="M3765"/>
    </row>
    <row r="3766" spans="3:13" ht="12.75" customHeight="1" x14ac:dyDescent="0.2">
      <c r="C3766"/>
      <c r="M3766"/>
    </row>
    <row r="3767" spans="3:13" ht="12.75" customHeight="1" x14ac:dyDescent="0.2">
      <c r="C3767"/>
      <c r="M3767"/>
    </row>
    <row r="3768" spans="3:13" ht="12.75" customHeight="1" x14ac:dyDescent="0.2">
      <c r="C3768"/>
      <c r="M3768"/>
    </row>
    <row r="3769" spans="3:13" ht="12.75" customHeight="1" x14ac:dyDescent="0.2">
      <c r="C3769"/>
      <c r="M3769"/>
    </row>
    <row r="3770" spans="3:13" ht="12.75" customHeight="1" x14ac:dyDescent="0.2">
      <c r="C3770"/>
      <c r="M3770"/>
    </row>
    <row r="3771" spans="3:13" ht="12.75" customHeight="1" x14ac:dyDescent="0.2">
      <c r="C3771"/>
      <c r="M3771"/>
    </row>
    <row r="3772" spans="3:13" ht="12.75" customHeight="1" x14ac:dyDescent="0.2">
      <c r="C3772"/>
      <c r="M3772"/>
    </row>
    <row r="3773" spans="3:13" ht="12.75" customHeight="1" x14ac:dyDescent="0.2">
      <c r="C3773"/>
      <c r="M3773"/>
    </row>
    <row r="3774" spans="3:13" ht="12.75" customHeight="1" x14ac:dyDescent="0.2">
      <c r="C3774"/>
      <c r="M3774"/>
    </row>
    <row r="3775" spans="3:13" ht="12.75" customHeight="1" x14ac:dyDescent="0.2">
      <c r="C3775"/>
      <c r="M3775"/>
    </row>
    <row r="3776" spans="3:13" ht="12.75" customHeight="1" x14ac:dyDescent="0.2">
      <c r="C3776"/>
      <c r="M3776"/>
    </row>
    <row r="3777" spans="3:13" ht="12.75" customHeight="1" x14ac:dyDescent="0.2">
      <c r="C3777"/>
      <c r="M3777"/>
    </row>
    <row r="3778" spans="3:13" ht="12.75" customHeight="1" x14ac:dyDescent="0.2">
      <c r="C3778"/>
      <c r="M3778"/>
    </row>
    <row r="3779" spans="3:13" ht="12.75" customHeight="1" x14ac:dyDescent="0.2">
      <c r="C3779"/>
      <c r="M3779"/>
    </row>
    <row r="3780" spans="3:13" ht="12.75" customHeight="1" x14ac:dyDescent="0.2">
      <c r="C3780"/>
      <c r="M3780"/>
    </row>
    <row r="3781" spans="3:13" ht="12.75" customHeight="1" x14ac:dyDescent="0.2">
      <c r="C3781"/>
      <c r="M3781"/>
    </row>
    <row r="3782" spans="3:13" ht="12.75" customHeight="1" x14ac:dyDescent="0.2">
      <c r="C3782"/>
      <c r="M3782"/>
    </row>
    <row r="3783" spans="3:13" ht="12.75" customHeight="1" x14ac:dyDescent="0.2">
      <c r="C3783"/>
      <c r="M3783"/>
    </row>
    <row r="3784" spans="3:13" ht="12.75" customHeight="1" x14ac:dyDescent="0.2">
      <c r="C3784"/>
      <c r="M3784"/>
    </row>
    <row r="3785" spans="3:13" ht="12.75" customHeight="1" x14ac:dyDescent="0.2">
      <c r="C3785"/>
      <c r="M3785"/>
    </row>
    <row r="3786" spans="3:13" ht="12.75" customHeight="1" x14ac:dyDescent="0.2">
      <c r="C3786"/>
      <c r="M3786"/>
    </row>
    <row r="3787" spans="3:13" ht="12.75" customHeight="1" x14ac:dyDescent="0.2">
      <c r="C3787"/>
      <c r="M3787"/>
    </row>
    <row r="3788" spans="3:13" ht="12.75" customHeight="1" x14ac:dyDescent="0.2">
      <c r="C3788"/>
      <c r="M3788"/>
    </row>
    <row r="3789" spans="3:13" ht="12.75" customHeight="1" x14ac:dyDescent="0.2">
      <c r="C3789"/>
      <c r="M3789"/>
    </row>
    <row r="3790" spans="3:13" ht="12.75" customHeight="1" x14ac:dyDescent="0.2">
      <c r="C3790"/>
      <c r="M3790"/>
    </row>
    <row r="3791" spans="3:13" ht="12.75" customHeight="1" x14ac:dyDescent="0.2">
      <c r="C3791"/>
      <c r="M3791"/>
    </row>
    <row r="3792" spans="3:13" ht="12.75" customHeight="1" x14ac:dyDescent="0.2">
      <c r="C3792"/>
      <c r="M3792"/>
    </row>
    <row r="3793" spans="3:13" ht="12.75" customHeight="1" x14ac:dyDescent="0.2">
      <c r="C3793"/>
      <c r="M3793"/>
    </row>
    <row r="3794" spans="3:13" ht="12.75" customHeight="1" x14ac:dyDescent="0.2">
      <c r="C3794"/>
      <c r="M3794"/>
    </row>
    <row r="3795" spans="3:13" ht="12.75" customHeight="1" x14ac:dyDescent="0.2">
      <c r="C3795"/>
      <c r="M3795"/>
    </row>
    <row r="3796" spans="3:13" ht="12.75" customHeight="1" x14ac:dyDescent="0.2">
      <c r="C3796"/>
      <c r="M3796"/>
    </row>
    <row r="3797" spans="3:13" ht="12.75" customHeight="1" x14ac:dyDescent="0.2">
      <c r="C3797"/>
      <c r="M3797"/>
    </row>
    <row r="3798" spans="3:13" ht="12.75" customHeight="1" x14ac:dyDescent="0.2">
      <c r="C3798"/>
      <c r="M3798"/>
    </row>
    <row r="3799" spans="3:13" ht="12.75" customHeight="1" x14ac:dyDescent="0.2">
      <c r="C3799"/>
      <c r="M3799"/>
    </row>
    <row r="3800" spans="3:13" ht="12.75" customHeight="1" x14ac:dyDescent="0.2">
      <c r="C3800"/>
      <c r="M3800"/>
    </row>
    <row r="3801" spans="3:13" ht="12.75" customHeight="1" x14ac:dyDescent="0.2">
      <c r="C3801"/>
      <c r="M3801"/>
    </row>
    <row r="3802" spans="3:13" ht="12.75" customHeight="1" x14ac:dyDescent="0.2">
      <c r="C3802"/>
      <c r="M3802"/>
    </row>
    <row r="3803" spans="3:13" ht="12.75" customHeight="1" x14ac:dyDescent="0.2">
      <c r="C3803"/>
      <c r="M3803"/>
    </row>
    <row r="3804" spans="3:13" ht="12.75" customHeight="1" x14ac:dyDescent="0.2">
      <c r="C3804"/>
      <c r="M3804"/>
    </row>
    <row r="3805" spans="3:13" ht="12.75" customHeight="1" x14ac:dyDescent="0.2">
      <c r="C3805"/>
      <c r="M3805"/>
    </row>
    <row r="3806" spans="3:13" ht="12.75" customHeight="1" x14ac:dyDescent="0.2">
      <c r="C3806"/>
      <c r="M3806"/>
    </row>
    <row r="3807" spans="3:13" ht="12.75" customHeight="1" x14ac:dyDescent="0.2">
      <c r="C3807"/>
      <c r="M3807"/>
    </row>
    <row r="3808" spans="3:13" ht="12.75" customHeight="1" x14ac:dyDescent="0.2">
      <c r="C3808"/>
      <c r="M3808"/>
    </row>
    <row r="3809" spans="3:13" ht="12.75" customHeight="1" x14ac:dyDescent="0.2">
      <c r="C3809"/>
      <c r="M3809"/>
    </row>
    <row r="3810" spans="3:13" ht="12.75" customHeight="1" x14ac:dyDescent="0.2">
      <c r="C3810"/>
      <c r="M3810"/>
    </row>
    <row r="3811" spans="3:13" ht="12.75" customHeight="1" x14ac:dyDescent="0.2">
      <c r="C3811"/>
      <c r="M3811"/>
    </row>
    <row r="3812" spans="3:13" ht="12.75" customHeight="1" x14ac:dyDescent="0.2">
      <c r="C3812"/>
      <c r="M3812"/>
    </row>
    <row r="3813" spans="3:13" ht="12.75" customHeight="1" x14ac:dyDescent="0.2">
      <c r="C3813"/>
      <c r="M3813"/>
    </row>
    <row r="3814" spans="3:13" ht="12.75" customHeight="1" x14ac:dyDescent="0.2">
      <c r="C3814"/>
      <c r="M3814"/>
    </row>
    <row r="3815" spans="3:13" ht="12.75" customHeight="1" x14ac:dyDescent="0.2">
      <c r="C3815"/>
      <c r="M3815"/>
    </row>
    <row r="3816" spans="3:13" ht="12.75" customHeight="1" x14ac:dyDescent="0.2">
      <c r="C3816"/>
      <c r="M3816"/>
    </row>
    <row r="3817" spans="3:13" ht="12.75" customHeight="1" x14ac:dyDescent="0.2">
      <c r="C3817"/>
      <c r="M3817"/>
    </row>
    <row r="3818" spans="3:13" ht="12.75" customHeight="1" x14ac:dyDescent="0.2">
      <c r="C3818"/>
      <c r="M3818"/>
    </row>
    <row r="3819" spans="3:13" ht="12.75" customHeight="1" x14ac:dyDescent="0.2">
      <c r="C3819"/>
      <c r="M3819"/>
    </row>
    <row r="3820" spans="3:13" ht="12.75" customHeight="1" x14ac:dyDescent="0.2">
      <c r="C3820"/>
      <c r="M3820"/>
    </row>
    <row r="3821" spans="3:13" ht="12.75" customHeight="1" x14ac:dyDescent="0.2">
      <c r="C3821"/>
      <c r="M3821"/>
    </row>
    <row r="3822" spans="3:13" ht="12.75" customHeight="1" x14ac:dyDescent="0.2">
      <c r="C3822"/>
      <c r="M3822"/>
    </row>
    <row r="3823" spans="3:13" ht="12.75" customHeight="1" x14ac:dyDescent="0.2">
      <c r="C3823"/>
      <c r="M3823"/>
    </row>
    <row r="3824" spans="3:13" ht="12.75" customHeight="1" x14ac:dyDescent="0.2">
      <c r="C3824"/>
      <c r="M3824"/>
    </row>
    <row r="3825" spans="3:13" ht="12.75" customHeight="1" x14ac:dyDescent="0.2">
      <c r="C3825"/>
      <c r="M3825"/>
    </row>
    <row r="3826" spans="3:13" ht="12.75" customHeight="1" x14ac:dyDescent="0.2">
      <c r="C3826"/>
      <c r="M3826"/>
    </row>
    <row r="3827" spans="3:13" ht="12.75" customHeight="1" x14ac:dyDescent="0.2">
      <c r="C3827"/>
      <c r="M3827"/>
    </row>
    <row r="3828" spans="3:13" ht="12.75" customHeight="1" x14ac:dyDescent="0.2">
      <c r="C3828"/>
      <c r="M3828"/>
    </row>
    <row r="3829" spans="3:13" ht="12.75" customHeight="1" x14ac:dyDescent="0.2">
      <c r="C3829"/>
      <c r="M3829"/>
    </row>
    <row r="3830" spans="3:13" ht="12.75" customHeight="1" x14ac:dyDescent="0.2">
      <c r="C3830"/>
      <c r="M3830"/>
    </row>
    <row r="3831" spans="3:13" ht="12.75" customHeight="1" x14ac:dyDescent="0.2">
      <c r="C3831"/>
      <c r="M3831"/>
    </row>
    <row r="3832" spans="3:13" ht="12.75" customHeight="1" x14ac:dyDescent="0.2">
      <c r="C3832"/>
      <c r="M3832"/>
    </row>
    <row r="3833" spans="3:13" ht="12.75" customHeight="1" x14ac:dyDescent="0.2">
      <c r="C3833"/>
      <c r="M3833"/>
    </row>
    <row r="3834" spans="3:13" ht="12.75" customHeight="1" x14ac:dyDescent="0.2">
      <c r="C3834"/>
      <c r="M3834"/>
    </row>
    <row r="3835" spans="3:13" ht="12.75" customHeight="1" x14ac:dyDescent="0.2">
      <c r="C3835"/>
      <c r="M3835"/>
    </row>
    <row r="3836" spans="3:13" ht="12.75" customHeight="1" x14ac:dyDescent="0.2">
      <c r="C3836"/>
      <c r="M3836"/>
    </row>
    <row r="3837" spans="3:13" ht="12.75" customHeight="1" x14ac:dyDescent="0.2">
      <c r="C3837"/>
      <c r="M3837"/>
    </row>
    <row r="3838" spans="3:13" ht="12.75" customHeight="1" x14ac:dyDescent="0.2">
      <c r="C3838"/>
      <c r="M3838"/>
    </row>
    <row r="3839" spans="3:13" ht="12.75" customHeight="1" x14ac:dyDescent="0.2">
      <c r="C3839"/>
      <c r="M3839"/>
    </row>
    <row r="3840" spans="3:13" ht="12.75" customHeight="1" x14ac:dyDescent="0.2">
      <c r="C3840"/>
      <c r="M3840"/>
    </row>
    <row r="3841" spans="3:13" ht="12.75" customHeight="1" x14ac:dyDescent="0.2">
      <c r="C3841"/>
      <c r="M3841"/>
    </row>
    <row r="3842" spans="3:13" ht="12.75" customHeight="1" x14ac:dyDescent="0.2">
      <c r="C3842"/>
      <c r="M3842"/>
    </row>
    <row r="3843" spans="3:13" ht="12.75" customHeight="1" x14ac:dyDescent="0.2">
      <c r="C3843"/>
      <c r="M3843"/>
    </row>
    <row r="3844" spans="3:13" ht="12.75" customHeight="1" x14ac:dyDescent="0.2">
      <c r="C3844"/>
      <c r="M3844"/>
    </row>
    <row r="3845" spans="3:13" ht="12.75" customHeight="1" x14ac:dyDescent="0.2">
      <c r="C3845"/>
      <c r="M3845"/>
    </row>
    <row r="3846" spans="3:13" ht="12.75" customHeight="1" x14ac:dyDescent="0.2">
      <c r="C3846"/>
      <c r="M3846"/>
    </row>
    <row r="3847" spans="3:13" ht="12.75" customHeight="1" x14ac:dyDescent="0.2">
      <c r="C3847"/>
      <c r="M3847"/>
    </row>
    <row r="3848" spans="3:13" ht="12.75" customHeight="1" x14ac:dyDescent="0.2">
      <c r="C3848"/>
      <c r="M3848"/>
    </row>
    <row r="3849" spans="3:13" ht="12.75" customHeight="1" x14ac:dyDescent="0.2">
      <c r="C3849"/>
      <c r="M3849"/>
    </row>
    <row r="3850" spans="3:13" ht="12.75" customHeight="1" x14ac:dyDescent="0.2">
      <c r="C3850"/>
      <c r="M3850"/>
    </row>
    <row r="3851" spans="3:13" ht="12.75" customHeight="1" x14ac:dyDescent="0.2">
      <c r="C3851"/>
      <c r="M3851"/>
    </row>
    <row r="3852" spans="3:13" ht="12.75" customHeight="1" x14ac:dyDescent="0.2">
      <c r="C3852"/>
      <c r="M3852"/>
    </row>
    <row r="3853" spans="3:13" ht="12.75" customHeight="1" x14ac:dyDescent="0.2">
      <c r="C3853"/>
      <c r="M3853"/>
    </row>
    <row r="3854" spans="3:13" ht="12.75" customHeight="1" x14ac:dyDescent="0.2">
      <c r="C3854"/>
      <c r="M3854"/>
    </row>
    <row r="3855" spans="3:13" ht="12.75" customHeight="1" x14ac:dyDescent="0.2">
      <c r="C3855"/>
      <c r="M3855"/>
    </row>
    <row r="3856" spans="3:13" ht="12.75" customHeight="1" x14ac:dyDescent="0.2">
      <c r="C3856"/>
      <c r="M3856"/>
    </row>
    <row r="3857" spans="3:13" ht="12.75" customHeight="1" x14ac:dyDescent="0.2">
      <c r="C3857"/>
      <c r="M3857"/>
    </row>
    <row r="3858" spans="3:13" ht="12.75" customHeight="1" x14ac:dyDescent="0.2">
      <c r="C3858"/>
      <c r="M3858"/>
    </row>
    <row r="3859" spans="3:13" ht="12.75" customHeight="1" x14ac:dyDescent="0.2">
      <c r="C3859"/>
      <c r="M3859"/>
    </row>
    <row r="3860" spans="3:13" ht="12.75" customHeight="1" x14ac:dyDescent="0.2">
      <c r="C3860"/>
      <c r="M3860"/>
    </row>
    <row r="3861" spans="3:13" ht="12.75" customHeight="1" x14ac:dyDescent="0.2">
      <c r="C3861"/>
      <c r="M3861"/>
    </row>
    <row r="3862" spans="3:13" ht="12.75" customHeight="1" x14ac:dyDescent="0.2">
      <c r="C3862"/>
      <c r="M3862"/>
    </row>
    <row r="3863" spans="3:13" ht="12.75" customHeight="1" x14ac:dyDescent="0.2">
      <c r="C3863"/>
      <c r="M3863"/>
    </row>
    <row r="3864" spans="3:13" ht="12.75" customHeight="1" x14ac:dyDescent="0.2">
      <c r="C3864"/>
      <c r="M3864"/>
    </row>
    <row r="3865" spans="3:13" ht="12.75" customHeight="1" x14ac:dyDescent="0.2">
      <c r="C3865"/>
      <c r="M3865"/>
    </row>
    <row r="3866" spans="3:13" ht="12.75" customHeight="1" x14ac:dyDescent="0.2">
      <c r="C3866"/>
      <c r="M3866"/>
    </row>
    <row r="3867" spans="3:13" ht="12.75" customHeight="1" x14ac:dyDescent="0.2">
      <c r="C3867"/>
      <c r="M3867"/>
    </row>
    <row r="3868" spans="3:13" ht="12.75" customHeight="1" x14ac:dyDescent="0.2">
      <c r="C3868"/>
      <c r="M3868"/>
    </row>
    <row r="3869" spans="3:13" ht="12.75" customHeight="1" x14ac:dyDescent="0.2">
      <c r="C3869"/>
      <c r="M3869"/>
    </row>
    <row r="3870" spans="3:13" ht="12.75" customHeight="1" x14ac:dyDescent="0.2">
      <c r="C3870"/>
      <c r="M3870"/>
    </row>
    <row r="3871" spans="3:13" ht="12.75" customHeight="1" x14ac:dyDescent="0.2">
      <c r="C3871"/>
      <c r="M3871"/>
    </row>
    <row r="3872" spans="3:13" ht="12.75" customHeight="1" x14ac:dyDescent="0.2">
      <c r="C3872"/>
      <c r="M3872"/>
    </row>
    <row r="3873" spans="3:13" ht="12.75" customHeight="1" x14ac:dyDescent="0.2">
      <c r="C3873"/>
      <c r="M3873"/>
    </row>
    <row r="3874" spans="3:13" ht="12.75" customHeight="1" x14ac:dyDescent="0.2">
      <c r="C3874"/>
      <c r="M3874"/>
    </row>
    <row r="3875" spans="3:13" ht="12.75" customHeight="1" x14ac:dyDescent="0.2">
      <c r="C3875"/>
      <c r="M3875"/>
    </row>
    <row r="3876" spans="3:13" ht="12.75" customHeight="1" x14ac:dyDescent="0.2">
      <c r="C3876"/>
      <c r="M3876"/>
    </row>
    <row r="3877" spans="3:13" ht="12.75" customHeight="1" x14ac:dyDescent="0.2">
      <c r="C3877"/>
      <c r="M3877"/>
    </row>
    <row r="3878" spans="3:13" ht="12.75" customHeight="1" x14ac:dyDescent="0.2">
      <c r="C3878"/>
      <c r="M3878"/>
    </row>
    <row r="3879" spans="3:13" ht="12.75" customHeight="1" x14ac:dyDescent="0.2">
      <c r="C3879"/>
      <c r="M3879"/>
    </row>
    <row r="3880" spans="3:13" ht="12.75" customHeight="1" x14ac:dyDescent="0.2">
      <c r="C3880"/>
      <c r="M3880"/>
    </row>
    <row r="3881" spans="3:13" ht="12.75" customHeight="1" x14ac:dyDescent="0.2">
      <c r="C3881"/>
      <c r="M3881"/>
    </row>
    <row r="3882" spans="3:13" ht="12.75" customHeight="1" x14ac:dyDescent="0.2">
      <c r="C3882"/>
      <c r="M3882"/>
    </row>
    <row r="3883" spans="3:13" ht="12.75" customHeight="1" x14ac:dyDescent="0.2">
      <c r="C3883"/>
      <c r="M3883"/>
    </row>
    <row r="3884" spans="3:13" ht="12.75" customHeight="1" x14ac:dyDescent="0.2">
      <c r="C3884"/>
      <c r="M3884"/>
    </row>
    <row r="3885" spans="3:13" ht="12.75" customHeight="1" x14ac:dyDescent="0.2">
      <c r="C3885"/>
      <c r="M3885"/>
    </row>
    <row r="3886" spans="3:13" ht="12.75" customHeight="1" x14ac:dyDescent="0.2">
      <c r="C3886"/>
      <c r="M3886"/>
    </row>
    <row r="3887" spans="3:13" ht="12.75" customHeight="1" x14ac:dyDescent="0.2">
      <c r="C3887"/>
      <c r="M3887"/>
    </row>
    <row r="3888" spans="3:13" ht="12.75" customHeight="1" x14ac:dyDescent="0.2">
      <c r="C3888"/>
      <c r="M3888"/>
    </row>
    <row r="3889" spans="3:13" ht="12.75" customHeight="1" x14ac:dyDescent="0.2">
      <c r="C3889"/>
      <c r="M3889"/>
    </row>
    <row r="3890" spans="3:13" ht="12.75" customHeight="1" x14ac:dyDescent="0.2">
      <c r="C3890"/>
      <c r="M3890"/>
    </row>
    <row r="3891" spans="3:13" ht="12.75" customHeight="1" x14ac:dyDescent="0.2">
      <c r="C3891"/>
      <c r="M3891"/>
    </row>
    <row r="3892" spans="3:13" ht="12.75" customHeight="1" x14ac:dyDescent="0.2">
      <c r="C3892"/>
      <c r="M3892"/>
    </row>
    <row r="3893" spans="3:13" ht="12.75" customHeight="1" x14ac:dyDescent="0.2">
      <c r="C3893"/>
      <c r="M3893"/>
    </row>
    <row r="3894" spans="3:13" ht="12.75" customHeight="1" x14ac:dyDescent="0.2">
      <c r="C3894"/>
      <c r="M3894"/>
    </row>
    <row r="3895" spans="3:13" ht="12.75" customHeight="1" x14ac:dyDescent="0.2">
      <c r="C3895"/>
      <c r="M3895"/>
    </row>
    <row r="3896" spans="3:13" ht="12.75" customHeight="1" x14ac:dyDescent="0.2">
      <c r="C3896"/>
      <c r="M3896"/>
    </row>
    <row r="3897" spans="3:13" ht="12.75" customHeight="1" x14ac:dyDescent="0.2">
      <c r="C3897"/>
      <c r="M3897"/>
    </row>
    <row r="3898" spans="3:13" ht="12.75" customHeight="1" x14ac:dyDescent="0.2">
      <c r="C3898"/>
      <c r="M3898"/>
    </row>
    <row r="3899" spans="3:13" ht="12.75" customHeight="1" x14ac:dyDescent="0.2">
      <c r="C3899"/>
      <c r="M3899"/>
    </row>
    <row r="3900" spans="3:13" ht="12.75" customHeight="1" x14ac:dyDescent="0.2">
      <c r="C3900"/>
      <c r="M3900"/>
    </row>
    <row r="3901" spans="3:13" ht="12.75" customHeight="1" x14ac:dyDescent="0.2">
      <c r="C3901"/>
      <c r="M3901"/>
    </row>
    <row r="3902" spans="3:13" ht="12.75" customHeight="1" x14ac:dyDescent="0.2">
      <c r="C3902"/>
      <c r="M3902"/>
    </row>
    <row r="3903" spans="3:13" ht="12.75" customHeight="1" x14ac:dyDescent="0.2">
      <c r="C3903"/>
      <c r="M3903"/>
    </row>
    <row r="3904" spans="3:13" ht="12.75" customHeight="1" x14ac:dyDescent="0.2">
      <c r="C3904"/>
      <c r="M3904"/>
    </row>
    <row r="3905" spans="3:13" ht="12.75" customHeight="1" x14ac:dyDescent="0.2">
      <c r="C3905"/>
      <c r="M3905"/>
    </row>
    <row r="3906" spans="3:13" ht="12.75" customHeight="1" x14ac:dyDescent="0.2">
      <c r="C3906"/>
      <c r="M3906"/>
    </row>
    <row r="3907" spans="3:13" ht="12.75" customHeight="1" x14ac:dyDescent="0.2">
      <c r="C3907"/>
      <c r="M3907"/>
    </row>
    <row r="3908" spans="3:13" ht="12.75" customHeight="1" x14ac:dyDescent="0.2">
      <c r="C3908"/>
      <c r="M3908"/>
    </row>
    <row r="3909" spans="3:13" ht="12.75" customHeight="1" x14ac:dyDescent="0.2">
      <c r="C3909"/>
      <c r="M3909"/>
    </row>
    <row r="3910" spans="3:13" ht="12.75" customHeight="1" x14ac:dyDescent="0.2">
      <c r="C3910"/>
      <c r="M3910"/>
    </row>
    <row r="3911" spans="3:13" ht="12.75" customHeight="1" x14ac:dyDescent="0.2">
      <c r="C3911"/>
      <c r="M3911"/>
    </row>
    <row r="3912" spans="3:13" ht="12.75" customHeight="1" x14ac:dyDescent="0.2">
      <c r="C3912"/>
      <c r="M3912"/>
    </row>
    <row r="3913" spans="3:13" ht="12.75" customHeight="1" x14ac:dyDescent="0.2">
      <c r="C3913"/>
      <c r="M3913"/>
    </row>
    <row r="3914" spans="3:13" ht="12.75" customHeight="1" x14ac:dyDescent="0.2">
      <c r="C3914"/>
      <c r="M3914"/>
    </row>
    <row r="3915" spans="3:13" ht="12.75" customHeight="1" x14ac:dyDescent="0.2">
      <c r="C3915"/>
      <c r="M3915"/>
    </row>
    <row r="3916" spans="3:13" ht="12.75" customHeight="1" x14ac:dyDescent="0.2">
      <c r="C3916"/>
      <c r="M3916"/>
    </row>
    <row r="3917" spans="3:13" ht="12.75" customHeight="1" x14ac:dyDescent="0.2">
      <c r="C3917"/>
      <c r="M3917"/>
    </row>
    <row r="3918" spans="3:13" ht="12.75" customHeight="1" x14ac:dyDescent="0.2">
      <c r="C3918"/>
      <c r="M3918"/>
    </row>
    <row r="3919" spans="3:13" ht="12.75" customHeight="1" x14ac:dyDescent="0.2">
      <c r="C3919"/>
      <c r="M3919"/>
    </row>
    <row r="3920" spans="3:13" ht="12.75" customHeight="1" x14ac:dyDescent="0.2">
      <c r="C3920"/>
      <c r="M3920"/>
    </row>
    <row r="3921" spans="3:13" ht="12.75" customHeight="1" x14ac:dyDescent="0.2">
      <c r="C3921"/>
      <c r="M3921"/>
    </row>
    <row r="3922" spans="3:13" ht="12.75" customHeight="1" x14ac:dyDescent="0.2">
      <c r="C3922"/>
      <c r="M3922"/>
    </row>
    <row r="3923" spans="3:13" ht="12.75" customHeight="1" x14ac:dyDescent="0.2">
      <c r="C3923"/>
      <c r="M3923"/>
    </row>
    <row r="3924" spans="3:13" ht="12.75" customHeight="1" x14ac:dyDescent="0.2">
      <c r="C3924"/>
      <c r="M3924"/>
    </row>
    <row r="3925" spans="3:13" ht="12.75" customHeight="1" x14ac:dyDescent="0.2">
      <c r="C3925"/>
      <c r="M3925"/>
    </row>
    <row r="3926" spans="3:13" ht="12.75" customHeight="1" x14ac:dyDescent="0.2">
      <c r="C3926"/>
      <c r="M3926"/>
    </row>
    <row r="3927" spans="3:13" ht="12.75" customHeight="1" x14ac:dyDescent="0.2">
      <c r="C3927"/>
      <c r="M3927"/>
    </row>
    <row r="3928" spans="3:13" ht="12.75" customHeight="1" x14ac:dyDescent="0.2">
      <c r="C3928"/>
      <c r="M3928"/>
    </row>
    <row r="3929" spans="3:13" ht="12.75" customHeight="1" x14ac:dyDescent="0.2">
      <c r="C3929"/>
      <c r="M3929"/>
    </row>
    <row r="3930" spans="3:13" ht="12.75" customHeight="1" x14ac:dyDescent="0.2">
      <c r="C3930"/>
      <c r="M3930"/>
    </row>
    <row r="3931" spans="3:13" ht="12.75" customHeight="1" x14ac:dyDescent="0.2">
      <c r="C3931"/>
      <c r="M3931"/>
    </row>
    <row r="3932" spans="3:13" ht="12.75" customHeight="1" x14ac:dyDescent="0.2">
      <c r="C3932"/>
      <c r="M3932"/>
    </row>
    <row r="3933" spans="3:13" ht="12.75" customHeight="1" x14ac:dyDescent="0.2">
      <c r="C3933"/>
      <c r="M3933"/>
    </row>
    <row r="3934" spans="3:13" ht="12.75" customHeight="1" x14ac:dyDescent="0.2">
      <c r="C3934"/>
      <c r="M3934"/>
    </row>
    <row r="3935" spans="3:13" ht="12.75" customHeight="1" x14ac:dyDescent="0.2">
      <c r="C3935"/>
      <c r="M3935"/>
    </row>
    <row r="3936" spans="3:13" ht="12.75" customHeight="1" x14ac:dyDescent="0.2">
      <c r="C3936"/>
      <c r="M3936"/>
    </row>
    <row r="3937" spans="3:13" ht="12.75" customHeight="1" x14ac:dyDescent="0.2">
      <c r="C3937"/>
      <c r="M3937"/>
    </row>
    <row r="3938" spans="3:13" ht="12.75" customHeight="1" x14ac:dyDescent="0.2">
      <c r="C3938"/>
      <c r="M3938"/>
    </row>
    <row r="3939" spans="3:13" ht="12.75" customHeight="1" x14ac:dyDescent="0.2">
      <c r="C3939"/>
      <c r="M3939"/>
    </row>
    <row r="3940" spans="3:13" ht="12.75" customHeight="1" x14ac:dyDescent="0.2">
      <c r="C3940"/>
      <c r="M3940"/>
    </row>
    <row r="3941" spans="3:13" ht="12.75" customHeight="1" x14ac:dyDescent="0.2">
      <c r="C3941"/>
      <c r="M3941"/>
    </row>
    <row r="3942" spans="3:13" ht="12.75" customHeight="1" x14ac:dyDescent="0.2">
      <c r="C3942"/>
      <c r="M3942"/>
    </row>
    <row r="3943" spans="3:13" ht="12.75" customHeight="1" x14ac:dyDescent="0.2">
      <c r="C3943"/>
      <c r="M3943"/>
    </row>
    <row r="3944" spans="3:13" ht="12.75" customHeight="1" x14ac:dyDescent="0.2">
      <c r="C3944"/>
      <c r="M3944"/>
    </row>
    <row r="3945" spans="3:13" ht="12.75" customHeight="1" x14ac:dyDescent="0.2">
      <c r="C3945"/>
      <c r="M3945"/>
    </row>
    <row r="3946" spans="3:13" ht="12.75" customHeight="1" x14ac:dyDescent="0.2">
      <c r="C3946"/>
      <c r="M3946"/>
    </row>
    <row r="3947" spans="3:13" ht="12.75" customHeight="1" x14ac:dyDescent="0.2">
      <c r="C3947"/>
      <c r="M3947"/>
    </row>
    <row r="3948" spans="3:13" ht="12.75" customHeight="1" x14ac:dyDescent="0.2">
      <c r="C3948"/>
      <c r="M3948"/>
    </row>
    <row r="3949" spans="3:13" ht="12.75" customHeight="1" x14ac:dyDescent="0.2">
      <c r="C3949"/>
      <c r="M3949"/>
    </row>
    <row r="3950" spans="3:13" ht="12.75" customHeight="1" x14ac:dyDescent="0.2">
      <c r="C3950"/>
      <c r="M3950"/>
    </row>
    <row r="3951" spans="3:13" ht="12.75" customHeight="1" x14ac:dyDescent="0.2">
      <c r="C3951"/>
      <c r="M3951"/>
    </row>
    <row r="3952" spans="3:13" ht="12.75" customHeight="1" x14ac:dyDescent="0.2">
      <c r="C3952"/>
      <c r="M3952"/>
    </row>
    <row r="3953" spans="3:13" ht="12.75" customHeight="1" x14ac:dyDescent="0.2">
      <c r="C3953"/>
      <c r="M3953"/>
    </row>
    <row r="3954" spans="3:13" ht="12.75" customHeight="1" x14ac:dyDescent="0.2">
      <c r="C3954"/>
      <c r="M3954"/>
    </row>
    <row r="3955" spans="3:13" ht="12.75" customHeight="1" x14ac:dyDescent="0.2">
      <c r="C3955"/>
      <c r="M3955"/>
    </row>
    <row r="3956" spans="3:13" ht="12.75" customHeight="1" x14ac:dyDescent="0.2">
      <c r="C3956"/>
      <c r="M3956"/>
    </row>
    <row r="3957" spans="3:13" ht="12.75" customHeight="1" x14ac:dyDescent="0.2">
      <c r="C3957"/>
      <c r="M3957"/>
    </row>
    <row r="3958" spans="3:13" ht="12.75" customHeight="1" x14ac:dyDescent="0.2">
      <c r="C3958"/>
      <c r="M3958"/>
    </row>
    <row r="3959" spans="3:13" ht="12.75" customHeight="1" x14ac:dyDescent="0.2">
      <c r="C3959"/>
      <c r="M3959"/>
    </row>
    <row r="3960" spans="3:13" ht="12.75" customHeight="1" x14ac:dyDescent="0.2">
      <c r="C3960"/>
      <c r="M3960"/>
    </row>
    <row r="3961" spans="3:13" ht="12.75" customHeight="1" x14ac:dyDescent="0.2">
      <c r="C3961"/>
      <c r="M3961"/>
    </row>
    <row r="3962" spans="3:13" ht="12.75" customHeight="1" x14ac:dyDescent="0.2">
      <c r="C3962"/>
      <c r="M3962"/>
    </row>
    <row r="3963" spans="3:13" ht="12.75" customHeight="1" x14ac:dyDescent="0.2">
      <c r="C3963"/>
      <c r="M3963"/>
    </row>
    <row r="3964" spans="3:13" ht="12.75" customHeight="1" x14ac:dyDescent="0.2">
      <c r="C3964"/>
      <c r="M3964"/>
    </row>
    <row r="3965" spans="3:13" ht="12.75" customHeight="1" x14ac:dyDescent="0.2">
      <c r="C3965"/>
      <c r="M3965"/>
    </row>
    <row r="3966" spans="3:13" ht="12.75" customHeight="1" x14ac:dyDescent="0.2">
      <c r="C3966"/>
      <c r="M3966"/>
    </row>
    <row r="3967" spans="3:13" ht="12.75" customHeight="1" x14ac:dyDescent="0.2">
      <c r="C3967"/>
      <c r="M3967"/>
    </row>
    <row r="3968" spans="3:13" ht="12.75" customHeight="1" x14ac:dyDescent="0.2">
      <c r="C3968"/>
      <c r="M3968"/>
    </row>
    <row r="3969" spans="3:13" ht="12.75" customHeight="1" x14ac:dyDescent="0.2">
      <c r="C3969"/>
      <c r="M3969"/>
    </row>
    <row r="3970" spans="3:13" ht="12.75" customHeight="1" x14ac:dyDescent="0.2">
      <c r="C3970"/>
      <c r="M3970"/>
    </row>
    <row r="3971" spans="3:13" ht="12.75" customHeight="1" x14ac:dyDescent="0.2">
      <c r="C3971"/>
      <c r="M3971"/>
    </row>
    <row r="3972" spans="3:13" ht="12.75" customHeight="1" x14ac:dyDescent="0.2">
      <c r="C3972"/>
      <c r="M3972"/>
    </row>
    <row r="3973" spans="3:13" ht="12.75" customHeight="1" x14ac:dyDescent="0.2">
      <c r="C3973"/>
      <c r="M3973"/>
    </row>
    <row r="3974" spans="3:13" ht="12.75" customHeight="1" x14ac:dyDescent="0.2">
      <c r="C3974"/>
      <c r="M3974"/>
    </row>
    <row r="3975" spans="3:13" ht="12.75" customHeight="1" x14ac:dyDescent="0.2">
      <c r="C3975"/>
      <c r="M3975"/>
    </row>
    <row r="3976" spans="3:13" ht="12.75" customHeight="1" x14ac:dyDescent="0.2">
      <c r="C3976"/>
      <c r="M3976"/>
    </row>
    <row r="3977" spans="3:13" ht="12.75" customHeight="1" x14ac:dyDescent="0.2">
      <c r="C3977"/>
      <c r="M3977"/>
    </row>
    <row r="3978" spans="3:13" ht="12.75" customHeight="1" x14ac:dyDescent="0.2">
      <c r="C3978"/>
      <c r="M3978"/>
    </row>
    <row r="3979" spans="3:13" ht="12.75" customHeight="1" x14ac:dyDescent="0.2">
      <c r="C3979"/>
      <c r="M3979"/>
    </row>
    <row r="3980" spans="3:13" ht="12.75" customHeight="1" x14ac:dyDescent="0.2">
      <c r="C3980"/>
      <c r="M3980"/>
    </row>
    <row r="3981" spans="3:13" ht="12.75" customHeight="1" x14ac:dyDescent="0.2">
      <c r="C3981"/>
      <c r="M3981"/>
    </row>
    <row r="3982" spans="3:13" ht="12.75" customHeight="1" x14ac:dyDescent="0.2">
      <c r="C3982"/>
      <c r="M3982"/>
    </row>
    <row r="3983" spans="3:13" ht="12.75" customHeight="1" x14ac:dyDescent="0.2">
      <c r="C3983"/>
      <c r="M3983"/>
    </row>
    <row r="3984" spans="3:13" ht="12.75" customHeight="1" x14ac:dyDescent="0.2">
      <c r="C3984"/>
      <c r="M3984"/>
    </row>
    <row r="3985" spans="3:13" ht="12.75" customHeight="1" x14ac:dyDescent="0.2">
      <c r="C3985"/>
      <c r="M3985"/>
    </row>
    <row r="3986" spans="3:13" ht="12.75" customHeight="1" x14ac:dyDescent="0.2">
      <c r="C3986"/>
      <c r="M3986"/>
    </row>
    <row r="3987" spans="3:13" ht="12.75" customHeight="1" x14ac:dyDescent="0.2">
      <c r="C3987"/>
      <c r="M3987"/>
    </row>
    <row r="3988" spans="3:13" ht="12.75" customHeight="1" x14ac:dyDescent="0.2">
      <c r="C3988"/>
      <c r="M3988"/>
    </row>
    <row r="3989" spans="3:13" ht="12.75" customHeight="1" x14ac:dyDescent="0.2">
      <c r="C3989"/>
      <c r="M3989"/>
    </row>
    <row r="3990" spans="3:13" ht="12.75" customHeight="1" x14ac:dyDescent="0.2">
      <c r="C3990"/>
      <c r="M3990"/>
    </row>
    <row r="3991" spans="3:13" ht="12.75" customHeight="1" x14ac:dyDescent="0.2">
      <c r="C3991"/>
      <c r="M3991"/>
    </row>
    <row r="3992" spans="3:13" ht="12.75" customHeight="1" x14ac:dyDescent="0.2">
      <c r="C3992"/>
      <c r="M3992"/>
    </row>
    <row r="3993" spans="3:13" ht="12.75" customHeight="1" x14ac:dyDescent="0.2">
      <c r="C3993"/>
      <c r="M3993"/>
    </row>
    <row r="3994" spans="3:13" ht="12.75" customHeight="1" x14ac:dyDescent="0.2">
      <c r="C3994"/>
      <c r="M3994"/>
    </row>
    <row r="3995" spans="3:13" ht="12.75" customHeight="1" x14ac:dyDescent="0.2">
      <c r="C3995"/>
      <c r="M3995"/>
    </row>
    <row r="3996" spans="3:13" ht="12.75" customHeight="1" x14ac:dyDescent="0.2">
      <c r="C3996"/>
      <c r="M3996"/>
    </row>
    <row r="3997" spans="3:13" ht="12.75" customHeight="1" x14ac:dyDescent="0.2">
      <c r="C3997"/>
      <c r="M3997"/>
    </row>
    <row r="3998" spans="3:13" ht="12.75" customHeight="1" x14ac:dyDescent="0.2">
      <c r="C3998"/>
      <c r="M3998"/>
    </row>
    <row r="3999" spans="3:13" ht="12.75" customHeight="1" x14ac:dyDescent="0.2">
      <c r="C3999"/>
      <c r="M3999"/>
    </row>
    <row r="4000" spans="3:13" ht="12.75" customHeight="1" x14ac:dyDescent="0.2">
      <c r="C4000"/>
      <c r="M4000"/>
    </row>
    <row r="4001" spans="3:13" ht="12.75" customHeight="1" x14ac:dyDescent="0.2">
      <c r="C4001"/>
      <c r="M4001"/>
    </row>
    <row r="4002" spans="3:13" ht="12.75" customHeight="1" x14ac:dyDescent="0.2">
      <c r="C4002"/>
      <c r="M4002"/>
    </row>
    <row r="4003" spans="3:13" ht="12.75" customHeight="1" x14ac:dyDescent="0.2">
      <c r="C4003"/>
      <c r="M4003"/>
    </row>
    <row r="4004" spans="3:13" ht="12.75" customHeight="1" x14ac:dyDescent="0.2">
      <c r="C4004"/>
      <c r="M4004"/>
    </row>
    <row r="4005" spans="3:13" ht="12.75" customHeight="1" x14ac:dyDescent="0.2">
      <c r="C4005"/>
      <c r="M4005"/>
    </row>
    <row r="4006" spans="3:13" ht="12.75" customHeight="1" x14ac:dyDescent="0.2">
      <c r="C4006"/>
      <c r="M4006"/>
    </row>
    <row r="4007" spans="3:13" ht="12.75" customHeight="1" x14ac:dyDescent="0.2">
      <c r="C4007"/>
      <c r="M4007"/>
    </row>
    <row r="4008" spans="3:13" ht="12.75" customHeight="1" x14ac:dyDescent="0.2">
      <c r="C4008"/>
      <c r="M4008"/>
    </row>
    <row r="4009" spans="3:13" ht="12.75" customHeight="1" x14ac:dyDescent="0.2">
      <c r="C4009"/>
      <c r="M4009"/>
    </row>
    <row r="4010" spans="3:13" ht="12.75" customHeight="1" x14ac:dyDescent="0.2">
      <c r="C4010"/>
      <c r="M4010"/>
    </row>
    <row r="4011" spans="3:13" ht="12.75" customHeight="1" x14ac:dyDescent="0.2">
      <c r="C4011"/>
      <c r="M4011"/>
    </row>
    <row r="4012" spans="3:13" ht="12.75" customHeight="1" x14ac:dyDescent="0.2">
      <c r="C4012"/>
      <c r="M4012"/>
    </row>
    <row r="4013" spans="3:13" ht="12.75" customHeight="1" x14ac:dyDescent="0.2">
      <c r="C4013"/>
      <c r="M4013"/>
    </row>
    <row r="4014" spans="3:13" ht="12.75" customHeight="1" x14ac:dyDescent="0.2">
      <c r="C4014"/>
      <c r="M4014"/>
    </row>
    <row r="4015" spans="3:13" ht="12.75" customHeight="1" x14ac:dyDescent="0.2">
      <c r="C4015"/>
      <c r="M4015"/>
    </row>
    <row r="4016" spans="3:13" ht="12.75" customHeight="1" x14ac:dyDescent="0.2">
      <c r="C4016"/>
      <c r="M4016"/>
    </row>
    <row r="4017" spans="3:13" ht="12.75" customHeight="1" x14ac:dyDescent="0.2">
      <c r="C4017"/>
      <c r="M4017"/>
    </row>
    <row r="4018" spans="3:13" ht="12.75" customHeight="1" x14ac:dyDescent="0.2">
      <c r="C4018"/>
      <c r="M4018"/>
    </row>
    <row r="4019" spans="3:13" ht="12.75" customHeight="1" x14ac:dyDescent="0.2">
      <c r="C4019"/>
      <c r="M4019"/>
    </row>
    <row r="4020" spans="3:13" ht="12.75" customHeight="1" x14ac:dyDescent="0.2">
      <c r="C4020"/>
      <c r="M4020"/>
    </row>
    <row r="4021" spans="3:13" ht="12.75" customHeight="1" x14ac:dyDescent="0.2">
      <c r="C4021"/>
      <c r="M4021"/>
    </row>
    <row r="4022" spans="3:13" ht="12.75" customHeight="1" x14ac:dyDescent="0.2">
      <c r="C4022"/>
      <c r="M4022"/>
    </row>
    <row r="4023" spans="3:13" ht="12.75" customHeight="1" x14ac:dyDescent="0.2">
      <c r="C4023"/>
      <c r="M4023"/>
    </row>
    <row r="4024" spans="3:13" ht="12.75" customHeight="1" x14ac:dyDescent="0.2">
      <c r="C4024"/>
      <c r="M4024"/>
    </row>
    <row r="4025" spans="3:13" ht="12.75" customHeight="1" x14ac:dyDescent="0.2">
      <c r="C4025"/>
      <c r="M4025"/>
    </row>
    <row r="4026" spans="3:13" ht="12.75" customHeight="1" x14ac:dyDescent="0.2">
      <c r="C4026"/>
      <c r="M4026"/>
    </row>
    <row r="4027" spans="3:13" ht="12.75" customHeight="1" x14ac:dyDescent="0.2">
      <c r="C4027"/>
      <c r="M4027"/>
    </row>
    <row r="4028" spans="3:13" ht="12.75" customHeight="1" x14ac:dyDescent="0.2">
      <c r="C4028"/>
      <c r="M4028"/>
    </row>
    <row r="4029" spans="3:13" ht="12.75" customHeight="1" x14ac:dyDescent="0.2">
      <c r="C4029"/>
      <c r="M4029"/>
    </row>
    <row r="4030" spans="3:13" ht="12.75" customHeight="1" x14ac:dyDescent="0.2">
      <c r="C4030"/>
      <c r="M4030"/>
    </row>
    <row r="4031" spans="3:13" ht="12.75" customHeight="1" x14ac:dyDescent="0.2">
      <c r="C4031"/>
      <c r="M4031"/>
    </row>
    <row r="4032" spans="3:13" ht="12.75" customHeight="1" x14ac:dyDescent="0.2">
      <c r="C4032"/>
      <c r="M4032"/>
    </row>
    <row r="4033" spans="3:13" ht="12.75" customHeight="1" x14ac:dyDescent="0.2">
      <c r="C4033"/>
      <c r="M4033"/>
    </row>
    <row r="4034" spans="3:13" ht="12.75" customHeight="1" x14ac:dyDescent="0.2">
      <c r="C4034"/>
      <c r="M4034"/>
    </row>
    <row r="4035" spans="3:13" ht="12.75" customHeight="1" x14ac:dyDescent="0.2">
      <c r="C4035"/>
      <c r="M4035"/>
    </row>
    <row r="4036" spans="3:13" ht="12.75" customHeight="1" x14ac:dyDescent="0.2">
      <c r="C4036"/>
      <c r="M4036"/>
    </row>
    <row r="4037" spans="3:13" ht="12.75" customHeight="1" x14ac:dyDescent="0.2">
      <c r="C4037"/>
      <c r="M4037"/>
    </row>
    <row r="4038" spans="3:13" ht="12.75" customHeight="1" x14ac:dyDescent="0.2">
      <c r="C4038"/>
      <c r="M4038"/>
    </row>
    <row r="4039" spans="3:13" ht="12.75" customHeight="1" x14ac:dyDescent="0.2">
      <c r="C4039"/>
      <c r="M4039"/>
    </row>
    <row r="4040" spans="3:13" ht="12.75" customHeight="1" x14ac:dyDescent="0.2">
      <c r="C4040"/>
      <c r="M4040"/>
    </row>
    <row r="4041" spans="3:13" ht="12.75" customHeight="1" x14ac:dyDescent="0.2">
      <c r="C4041"/>
      <c r="M4041"/>
    </row>
    <row r="4042" spans="3:13" ht="12.75" customHeight="1" x14ac:dyDescent="0.2">
      <c r="C4042"/>
      <c r="M4042"/>
    </row>
    <row r="4043" spans="3:13" ht="12.75" customHeight="1" x14ac:dyDescent="0.2">
      <c r="C4043"/>
      <c r="M4043"/>
    </row>
    <row r="4044" spans="3:13" ht="12.75" customHeight="1" x14ac:dyDescent="0.2">
      <c r="C4044"/>
      <c r="M4044"/>
    </row>
    <row r="4045" spans="3:13" ht="12.75" customHeight="1" x14ac:dyDescent="0.2">
      <c r="C4045"/>
      <c r="M4045"/>
    </row>
    <row r="4046" spans="3:13" ht="12.75" customHeight="1" x14ac:dyDescent="0.2">
      <c r="C4046"/>
      <c r="M4046"/>
    </row>
    <row r="4047" spans="3:13" ht="12.75" customHeight="1" x14ac:dyDescent="0.2">
      <c r="C4047"/>
      <c r="M4047"/>
    </row>
    <row r="4048" spans="3:13" ht="12.75" customHeight="1" x14ac:dyDescent="0.2">
      <c r="C4048"/>
      <c r="M4048"/>
    </row>
    <row r="4049" spans="3:13" ht="12.75" customHeight="1" x14ac:dyDescent="0.2">
      <c r="C4049"/>
      <c r="M4049"/>
    </row>
    <row r="4050" spans="3:13" ht="12.75" customHeight="1" x14ac:dyDescent="0.2">
      <c r="C4050"/>
      <c r="M4050"/>
    </row>
    <row r="4051" spans="3:13" ht="12.75" customHeight="1" x14ac:dyDescent="0.2">
      <c r="C4051"/>
      <c r="M4051"/>
    </row>
    <row r="4052" spans="3:13" ht="12.75" customHeight="1" x14ac:dyDescent="0.2">
      <c r="C4052"/>
      <c r="M4052"/>
    </row>
    <row r="4053" spans="3:13" ht="12.75" customHeight="1" x14ac:dyDescent="0.2">
      <c r="C4053"/>
      <c r="M4053"/>
    </row>
    <row r="4054" spans="3:13" ht="12.75" customHeight="1" x14ac:dyDescent="0.2">
      <c r="C4054"/>
      <c r="M4054"/>
    </row>
    <row r="4055" spans="3:13" ht="12.75" customHeight="1" x14ac:dyDescent="0.2">
      <c r="C4055"/>
      <c r="M4055"/>
    </row>
    <row r="4056" spans="3:13" ht="12.75" customHeight="1" x14ac:dyDescent="0.2">
      <c r="C4056"/>
      <c r="M4056"/>
    </row>
    <row r="4057" spans="3:13" ht="12.75" customHeight="1" x14ac:dyDescent="0.2">
      <c r="C4057"/>
      <c r="M4057"/>
    </row>
    <row r="4058" spans="3:13" ht="12.75" customHeight="1" x14ac:dyDescent="0.2">
      <c r="C4058"/>
      <c r="M4058"/>
    </row>
    <row r="4059" spans="3:13" ht="12.75" customHeight="1" x14ac:dyDescent="0.2">
      <c r="C4059"/>
      <c r="M4059"/>
    </row>
    <row r="4060" spans="3:13" ht="12.75" customHeight="1" x14ac:dyDescent="0.2">
      <c r="C4060"/>
      <c r="M4060"/>
    </row>
    <row r="4061" spans="3:13" ht="12.75" customHeight="1" x14ac:dyDescent="0.2">
      <c r="C4061"/>
      <c r="M4061"/>
    </row>
    <row r="4062" spans="3:13" ht="12.75" customHeight="1" x14ac:dyDescent="0.2">
      <c r="C4062"/>
      <c r="M4062"/>
    </row>
    <row r="4063" spans="3:13" ht="12.75" customHeight="1" x14ac:dyDescent="0.2">
      <c r="C4063"/>
      <c r="M4063"/>
    </row>
    <row r="4064" spans="3:13" ht="12.75" customHeight="1" x14ac:dyDescent="0.2">
      <c r="C4064"/>
      <c r="M4064"/>
    </row>
    <row r="4065" spans="3:13" ht="12.75" customHeight="1" x14ac:dyDescent="0.2">
      <c r="C4065"/>
      <c r="M4065"/>
    </row>
    <row r="4066" spans="3:13" ht="12.75" customHeight="1" x14ac:dyDescent="0.2">
      <c r="C4066"/>
      <c r="M4066"/>
    </row>
    <row r="4067" spans="3:13" ht="12.75" customHeight="1" x14ac:dyDescent="0.2">
      <c r="C4067"/>
      <c r="M4067"/>
    </row>
    <row r="4068" spans="3:13" ht="12.75" customHeight="1" x14ac:dyDescent="0.2">
      <c r="C4068"/>
      <c r="M4068"/>
    </row>
    <row r="4069" spans="3:13" ht="12.75" customHeight="1" x14ac:dyDescent="0.2">
      <c r="C4069"/>
      <c r="M4069"/>
    </row>
    <row r="4070" spans="3:13" ht="12.75" customHeight="1" x14ac:dyDescent="0.2">
      <c r="C4070"/>
      <c r="M4070"/>
    </row>
    <row r="4071" spans="3:13" ht="12.75" customHeight="1" x14ac:dyDescent="0.2">
      <c r="C4071"/>
      <c r="M4071"/>
    </row>
    <row r="4072" spans="3:13" ht="12.75" customHeight="1" x14ac:dyDescent="0.2">
      <c r="C4072"/>
      <c r="M4072"/>
    </row>
    <row r="4073" spans="3:13" ht="12.75" customHeight="1" x14ac:dyDescent="0.2">
      <c r="C4073"/>
      <c r="M4073"/>
    </row>
    <row r="4074" spans="3:13" ht="12.75" customHeight="1" x14ac:dyDescent="0.2">
      <c r="C4074"/>
      <c r="M4074"/>
    </row>
    <row r="4075" spans="3:13" ht="12.75" customHeight="1" x14ac:dyDescent="0.2">
      <c r="C4075"/>
      <c r="M4075"/>
    </row>
    <row r="4076" spans="3:13" ht="12.75" customHeight="1" x14ac:dyDescent="0.2">
      <c r="C4076"/>
      <c r="M4076"/>
    </row>
    <row r="4077" spans="3:13" ht="12.75" customHeight="1" x14ac:dyDescent="0.2">
      <c r="C4077"/>
      <c r="M4077"/>
    </row>
    <row r="4078" spans="3:13" ht="12.75" customHeight="1" x14ac:dyDescent="0.2">
      <c r="C4078"/>
      <c r="M4078"/>
    </row>
    <row r="4079" spans="3:13" ht="12.75" customHeight="1" x14ac:dyDescent="0.2">
      <c r="C4079"/>
      <c r="M4079"/>
    </row>
    <row r="4080" spans="3:13" ht="12.75" customHeight="1" x14ac:dyDescent="0.2">
      <c r="C4080"/>
      <c r="M4080"/>
    </row>
    <row r="4081" spans="3:13" ht="12.75" customHeight="1" x14ac:dyDescent="0.2">
      <c r="C4081"/>
      <c r="M4081"/>
    </row>
    <row r="4082" spans="3:13" ht="12.75" customHeight="1" x14ac:dyDescent="0.2">
      <c r="C4082"/>
      <c r="M4082"/>
    </row>
    <row r="4083" spans="3:13" ht="12.75" customHeight="1" x14ac:dyDescent="0.2">
      <c r="C4083"/>
      <c r="M4083"/>
    </row>
    <row r="4084" spans="3:13" ht="12.75" customHeight="1" x14ac:dyDescent="0.2">
      <c r="C4084"/>
      <c r="M4084"/>
    </row>
    <row r="4085" spans="3:13" ht="12.75" customHeight="1" x14ac:dyDescent="0.2">
      <c r="C4085"/>
      <c r="M4085"/>
    </row>
    <row r="4086" spans="3:13" ht="12.75" customHeight="1" x14ac:dyDescent="0.2">
      <c r="C4086"/>
      <c r="M4086"/>
    </row>
    <row r="4087" spans="3:13" ht="12.75" customHeight="1" x14ac:dyDescent="0.2">
      <c r="C4087"/>
      <c r="M4087"/>
    </row>
    <row r="4088" spans="3:13" ht="12.75" customHeight="1" x14ac:dyDescent="0.2">
      <c r="C4088"/>
      <c r="M4088"/>
    </row>
    <row r="4089" spans="3:13" ht="12.75" customHeight="1" x14ac:dyDescent="0.2">
      <c r="C4089"/>
      <c r="M4089"/>
    </row>
    <row r="4090" spans="3:13" ht="12.75" customHeight="1" x14ac:dyDescent="0.2">
      <c r="C4090"/>
      <c r="M4090"/>
    </row>
    <row r="4091" spans="3:13" ht="12.75" customHeight="1" x14ac:dyDescent="0.2">
      <c r="C4091"/>
      <c r="M4091"/>
    </row>
    <row r="4092" spans="3:13" ht="12.75" customHeight="1" x14ac:dyDescent="0.2">
      <c r="C4092"/>
      <c r="M4092"/>
    </row>
    <row r="4093" spans="3:13" ht="12.75" customHeight="1" x14ac:dyDescent="0.2">
      <c r="C4093"/>
      <c r="M4093"/>
    </row>
    <row r="4094" spans="3:13" ht="12.75" customHeight="1" x14ac:dyDescent="0.2">
      <c r="C4094"/>
      <c r="M4094"/>
    </row>
    <row r="4095" spans="3:13" ht="12.75" customHeight="1" x14ac:dyDescent="0.2">
      <c r="C4095"/>
      <c r="M4095"/>
    </row>
    <row r="4096" spans="3:13" ht="12.75" customHeight="1" x14ac:dyDescent="0.2">
      <c r="C4096"/>
      <c r="M4096"/>
    </row>
    <row r="4097" spans="3:13" ht="12.75" customHeight="1" x14ac:dyDescent="0.2">
      <c r="C4097"/>
      <c r="M4097"/>
    </row>
    <row r="4098" spans="3:13" ht="12.75" customHeight="1" x14ac:dyDescent="0.2">
      <c r="C4098"/>
      <c r="M4098"/>
    </row>
    <row r="4099" spans="3:13" ht="12.75" customHeight="1" x14ac:dyDescent="0.2">
      <c r="C4099"/>
      <c r="M4099"/>
    </row>
    <row r="4100" spans="3:13" ht="12.75" customHeight="1" x14ac:dyDescent="0.2">
      <c r="C4100"/>
      <c r="M4100"/>
    </row>
    <row r="4101" spans="3:13" ht="12.75" customHeight="1" x14ac:dyDescent="0.2">
      <c r="C4101"/>
      <c r="M4101"/>
    </row>
    <row r="4102" spans="3:13" ht="12.75" customHeight="1" x14ac:dyDescent="0.2">
      <c r="C4102"/>
      <c r="M4102"/>
    </row>
    <row r="4103" spans="3:13" ht="12.75" customHeight="1" x14ac:dyDescent="0.2">
      <c r="C4103"/>
      <c r="M4103"/>
    </row>
    <row r="4104" spans="3:13" ht="12.75" customHeight="1" x14ac:dyDescent="0.2">
      <c r="C4104"/>
      <c r="M4104"/>
    </row>
    <row r="4105" spans="3:13" ht="12.75" customHeight="1" x14ac:dyDescent="0.2">
      <c r="C4105"/>
      <c r="M4105"/>
    </row>
    <row r="4106" spans="3:13" ht="12.75" customHeight="1" x14ac:dyDescent="0.2">
      <c r="C4106"/>
      <c r="M4106"/>
    </row>
    <row r="4107" spans="3:13" ht="12.75" customHeight="1" x14ac:dyDescent="0.2">
      <c r="C4107"/>
      <c r="M4107"/>
    </row>
    <row r="4108" spans="3:13" ht="12.75" customHeight="1" x14ac:dyDescent="0.2">
      <c r="C4108"/>
      <c r="M4108"/>
    </row>
    <row r="4109" spans="3:13" ht="12.75" customHeight="1" x14ac:dyDescent="0.2">
      <c r="C4109"/>
      <c r="M4109"/>
    </row>
    <row r="4110" spans="3:13" ht="12.75" customHeight="1" x14ac:dyDescent="0.2">
      <c r="C4110"/>
      <c r="M4110"/>
    </row>
    <row r="4111" spans="3:13" ht="12.75" customHeight="1" x14ac:dyDescent="0.2">
      <c r="C4111"/>
      <c r="M4111"/>
    </row>
    <row r="4112" spans="3:13" ht="12.75" customHeight="1" x14ac:dyDescent="0.2">
      <c r="C4112"/>
      <c r="M4112"/>
    </row>
    <row r="4113" spans="3:13" ht="12.75" customHeight="1" x14ac:dyDescent="0.2">
      <c r="C4113"/>
      <c r="M4113"/>
    </row>
    <row r="4114" spans="3:13" ht="12.75" customHeight="1" x14ac:dyDescent="0.2">
      <c r="C4114"/>
      <c r="M4114"/>
    </row>
    <row r="4115" spans="3:13" ht="12.75" customHeight="1" x14ac:dyDescent="0.2">
      <c r="C4115"/>
      <c r="M4115"/>
    </row>
    <row r="4116" spans="3:13" ht="12.75" customHeight="1" x14ac:dyDescent="0.2">
      <c r="C4116"/>
      <c r="M4116"/>
    </row>
    <row r="4117" spans="3:13" ht="12.75" customHeight="1" x14ac:dyDescent="0.2">
      <c r="C4117"/>
      <c r="M4117"/>
    </row>
    <row r="4118" spans="3:13" ht="12.75" customHeight="1" x14ac:dyDescent="0.2">
      <c r="C4118"/>
      <c r="M4118"/>
    </row>
    <row r="4119" spans="3:13" ht="12.75" customHeight="1" x14ac:dyDescent="0.2">
      <c r="C4119"/>
      <c r="M4119"/>
    </row>
    <row r="4120" spans="3:13" ht="12.75" customHeight="1" x14ac:dyDescent="0.2">
      <c r="C4120"/>
      <c r="M4120"/>
    </row>
    <row r="4121" spans="3:13" ht="12.75" customHeight="1" x14ac:dyDescent="0.2">
      <c r="C4121"/>
      <c r="M4121"/>
    </row>
    <row r="4122" spans="3:13" ht="12.75" customHeight="1" x14ac:dyDescent="0.2">
      <c r="C4122"/>
      <c r="M4122"/>
    </row>
    <row r="4123" spans="3:13" ht="12.75" customHeight="1" x14ac:dyDescent="0.2">
      <c r="C4123"/>
      <c r="M4123"/>
    </row>
    <row r="4124" spans="3:13" ht="12.75" customHeight="1" x14ac:dyDescent="0.2">
      <c r="C4124"/>
      <c r="M4124"/>
    </row>
    <row r="4125" spans="3:13" ht="12.75" customHeight="1" x14ac:dyDescent="0.2">
      <c r="C4125"/>
      <c r="M4125"/>
    </row>
    <row r="4126" spans="3:13" ht="12.75" customHeight="1" x14ac:dyDescent="0.2">
      <c r="C4126"/>
      <c r="M4126"/>
    </row>
    <row r="4127" spans="3:13" ht="12.75" customHeight="1" x14ac:dyDescent="0.2">
      <c r="C4127"/>
      <c r="M4127"/>
    </row>
    <row r="4128" spans="3:13" ht="12.75" customHeight="1" x14ac:dyDescent="0.2">
      <c r="C4128"/>
      <c r="M4128"/>
    </row>
    <row r="4129" spans="3:13" ht="12.75" customHeight="1" x14ac:dyDescent="0.2">
      <c r="C4129"/>
      <c r="M4129"/>
    </row>
    <row r="4130" spans="3:13" ht="12.75" customHeight="1" x14ac:dyDescent="0.2">
      <c r="C4130"/>
      <c r="M4130"/>
    </row>
    <row r="4131" spans="3:13" ht="12.75" customHeight="1" x14ac:dyDescent="0.2">
      <c r="C4131"/>
      <c r="M4131"/>
    </row>
    <row r="4132" spans="3:13" ht="12.75" customHeight="1" x14ac:dyDescent="0.2">
      <c r="C4132"/>
      <c r="M4132"/>
    </row>
    <row r="4133" spans="3:13" ht="12.75" customHeight="1" x14ac:dyDescent="0.2">
      <c r="C4133"/>
      <c r="M4133"/>
    </row>
    <row r="4134" spans="3:13" ht="12.75" customHeight="1" x14ac:dyDescent="0.2">
      <c r="C4134"/>
      <c r="M4134"/>
    </row>
    <row r="4135" spans="3:13" ht="12.75" customHeight="1" x14ac:dyDescent="0.2">
      <c r="C4135"/>
      <c r="M4135"/>
    </row>
    <row r="4136" spans="3:13" ht="12.75" customHeight="1" x14ac:dyDescent="0.2">
      <c r="C4136"/>
      <c r="M4136"/>
    </row>
    <row r="4137" spans="3:13" ht="12.75" customHeight="1" x14ac:dyDescent="0.2">
      <c r="C4137"/>
      <c r="M4137"/>
    </row>
    <row r="4138" spans="3:13" ht="12.75" customHeight="1" x14ac:dyDescent="0.2">
      <c r="C4138"/>
      <c r="M4138"/>
    </row>
    <row r="4139" spans="3:13" ht="12.75" customHeight="1" x14ac:dyDescent="0.2">
      <c r="C4139"/>
      <c r="M4139"/>
    </row>
    <row r="4140" spans="3:13" ht="12.75" customHeight="1" x14ac:dyDescent="0.2">
      <c r="C4140"/>
      <c r="M4140"/>
    </row>
    <row r="4141" spans="3:13" ht="12.75" customHeight="1" x14ac:dyDescent="0.2">
      <c r="C4141"/>
      <c r="M4141"/>
    </row>
    <row r="4142" spans="3:13" ht="12.75" customHeight="1" x14ac:dyDescent="0.2">
      <c r="C4142"/>
      <c r="M4142"/>
    </row>
    <row r="4143" spans="3:13" ht="12.75" customHeight="1" x14ac:dyDescent="0.2">
      <c r="C4143"/>
      <c r="M4143"/>
    </row>
    <row r="4144" spans="3:13" ht="12.75" customHeight="1" x14ac:dyDescent="0.2">
      <c r="C4144"/>
      <c r="M4144"/>
    </row>
    <row r="4145" spans="3:13" ht="12.75" customHeight="1" x14ac:dyDescent="0.2">
      <c r="C4145"/>
      <c r="M4145"/>
    </row>
    <row r="4146" spans="3:13" ht="12.75" customHeight="1" x14ac:dyDescent="0.2">
      <c r="C4146"/>
      <c r="M4146"/>
    </row>
    <row r="4147" spans="3:13" ht="12.75" customHeight="1" x14ac:dyDescent="0.2">
      <c r="C4147"/>
      <c r="M4147"/>
    </row>
    <row r="4148" spans="3:13" ht="12.75" customHeight="1" x14ac:dyDescent="0.2">
      <c r="C4148"/>
      <c r="M4148"/>
    </row>
    <row r="4149" spans="3:13" ht="12.75" customHeight="1" x14ac:dyDescent="0.2">
      <c r="C4149"/>
      <c r="M4149"/>
    </row>
    <row r="4150" spans="3:13" ht="12.75" customHeight="1" x14ac:dyDescent="0.2">
      <c r="C4150"/>
      <c r="M4150"/>
    </row>
    <row r="4151" spans="3:13" ht="12.75" customHeight="1" x14ac:dyDescent="0.2">
      <c r="C4151"/>
      <c r="M4151"/>
    </row>
    <row r="4152" spans="3:13" ht="12.75" customHeight="1" x14ac:dyDescent="0.2">
      <c r="C4152"/>
      <c r="M4152"/>
    </row>
    <row r="4153" spans="3:13" ht="12.75" customHeight="1" x14ac:dyDescent="0.2">
      <c r="C4153"/>
      <c r="M4153"/>
    </row>
    <row r="4154" spans="3:13" ht="12.75" customHeight="1" x14ac:dyDescent="0.2">
      <c r="C4154"/>
      <c r="M4154"/>
    </row>
    <row r="4155" spans="3:13" ht="12.75" customHeight="1" x14ac:dyDescent="0.2">
      <c r="C4155"/>
      <c r="M4155"/>
    </row>
    <row r="4156" spans="3:13" ht="12.75" customHeight="1" x14ac:dyDescent="0.2">
      <c r="C4156"/>
      <c r="M4156"/>
    </row>
    <row r="4157" spans="3:13" ht="12.75" customHeight="1" x14ac:dyDescent="0.2">
      <c r="C4157"/>
      <c r="M4157"/>
    </row>
    <row r="4158" spans="3:13" ht="12.75" customHeight="1" x14ac:dyDescent="0.2">
      <c r="C4158"/>
      <c r="M4158"/>
    </row>
    <row r="4159" spans="3:13" ht="12.75" customHeight="1" x14ac:dyDescent="0.2">
      <c r="C4159"/>
      <c r="M4159"/>
    </row>
    <row r="4160" spans="3:13" ht="12.75" customHeight="1" x14ac:dyDescent="0.2">
      <c r="C4160"/>
      <c r="M4160"/>
    </row>
    <row r="4161" spans="3:13" ht="12.75" customHeight="1" x14ac:dyDescent="0.2">
      <c r="C4161"/>
      <c r="M4161"/>
    </row>
    <row r="4162" spans="3:13" ht="12.75" customHeight="1" x14ac:dyDescent="0.2">
      <c r="C4162"/>
      <c r="M4162"/>
    </row>
    <row r="4163" spans="3:13" ht="12.75" customHeight="1" x14ac:dyDescent="0.2">
      <c r="C4163"/>
      <c r="M4163"/>
    </row>
    <row r="4164" spans="3:13" ht="12.75" customHeight="1" x14ac:dyDescent="0.2">
      <c r="C4164"/>
      <c r="M4164"/>
    </row>
    <row r="4165" spans="3:13" ht="12.75" customHeight="1" x14ac:dyDescent="0.2">
      <c r="C4165"/>
      <c r="M4165"/>
    </row>
    <row r="4166" spans="3:13" ht="12.75" customHeight="1" x14ac:dyDescent="0.2">
      <c r="C4166"/>
      <c r="M4166"/>
    </row>
    <row r="4167" spans="3:13" ht="12.75" customHeight="1" x14ac:dyDescent="0.2">
      <c r="C4167"/>
      <c r="M4167"/>
    </row>
    <row r="4168" spans="3:13" ht="12.75" customHeight="1" x14ac:dyDescent="0.2">
      <c r="C4168"/>
      <c r="M4168"/>
    </row>
    <row r="4169" spans="3:13" ht="12.75" customHeight="1" x14ac:dyDescent="0.2">
      <c r="C4169"/>
      <c r="M4169"/>
    </row>
    <row r="4170" spans="3:13" ht="12.75" customHeight="1" x14ac:dyDescent="0.2">
      <c r="C4170"/>
      <c r="M4170"/>
    </row>
    <row r="4171" spans="3:13" ht="12.75" customHeight="1" x14ac:dyDescent="0.2">
      <c r="C4171"/>
      <c r="M4171"/>
    </row>
    <row r="4172" spans="3:13" ht="12.75" customHeight="1" x14ac:dyDescent="0.2">
      <c r="C4172"/>
      <c r="M4172"/>
    </row>
    <row r="4173" spans="3:13" ht="12.75" customHeight="1" x14ac:dyDescent="0.2">
      <c r="C4173"/>
      <c r="M4173"/>
    </row>
    <row r="4174" spans="3:13" ht="12.75" customHeight="1" x14ac:dyDescent="0.2">
      <c r="C4174"/>
      <c r="M4174"/>
    </row>
    <row r="4175" spans="3:13" ht="12.75" customHeight="1" x14ac:dyDescent="0.2">
      <c r="C4175"/>
      <c r="M4175"/>
    </row>
    <row r="4176" spans="3:13" ht="12.75" customHeight="1" x14ac:dyDescent="0.2">
      <c r="C4176"/>
      <c r="M4176"/>
    </row>
    <row r="4177" spans="3:13" ht="12.75" customHeight="1" x14ac:dyDescent="0.2">
      <c r="C4177"/>
      <c r="M4177"/>
    </row>
    <row r="4178" spans="3:13" ht="12.75" customHeight="1" x14ac:dyDescent="0.2">
      <c r="C4178"/>
      <c r="M4178"/>
    </row>
    <row r="4179" spans="3:13" ht="12.75" customHeight="1" x14ac:dyDescent="0.2">
      <c r="C4179"/>
      <c r="M4179"/>
    </row>
    <row r="4180" spans="3:13" ht="12.75" customHeight="1" x14ac:dyDescent="0.2">
      <c r="C4180"/>
      <c r="M4180"/>
    </row>
    <row r="4181" spans="3:13" ht="12.75" customHeight="1" x14ac:dyDescent="0.2">
      <c r="C4181"/>
      <c r="M4181"/>
    </row>
    <row r="4182" spans="3:13" ht="12.75" customHeight="1" x14ac:dyDescent="0.2">
      <c r="C4182"/>
      <c r="M4182"/>
    </row>
    <row r="4183" spans="3:13" ht="12.75" customHeight="1" x14ac:dyDescent="0.2">
      <c r="C4183"/>
      <c r="M4183"/>
    </row>
    <row r="4184" spans="3:13" ht="12.75" customHeight="1" x14ac:dyDescent="0.2">
      <c r="C4184"/>
      <c r="M4184"/>
    </row>
    <row r="4185" spans="3:13" ht="12.75" customHeight="1" x14ac:dyDescent="0.2">
      <c r="C4185"/>
      <c r="M4185"/>
    </row>
    <row r="4186" spans="3:13" ht="12.75" customHeight="1" x14ac:dyDescent="0.2">
      <c r="C4186"/>
      <c r="M4186"/>
    </row>
    <row r="4187" spans="3:13" ht="12.75" customHeight="1" x14ac:dyDescent="0.2">
      <c r="C4187"/>
      <c r="M4187"/>
    </row>
    <row r="4188" spans="3:13" ht="12.75" customHeight="1" x14ac:dyDescent="0.2">
      <c r="C4188"/>
      <c r="M4188"/>
    </row>
    <row r="4189" spans="3:13" ht="12.75" customHeight="1" x14ac:dyDescent="0.2">
      <c r="C4189"/>
      <c r="M4189"/>
    </row>
    <row r="4190" spans="3:13" ht="12.75" customHeight="1" x14ac:dyDescent="0.2">
      <c r="C4190"/>
      <c r="M4190"/>
    </row>
    <row r="4191" spans="3:13" ht="12.75" customHeight="1" x14ac:dyDescent="0.2">
      <c r="C4191"/>
      <c r="M4191"/>
    </row>
    <row r="4192" spans="3:13" ht="12.75" customHeight="1" x14ac:dyDescent="0.2">
      <c r="C4192"/>
      <c r="M4192"/>
    </row>
    <row r="4193" spans="3:13" ht="12.75" customHeight="1" x14ac:dyDescent="0.2">
      <c r="C4193"/>
      <c r="M4193"/>
    </row>
    <row r="4194" spans="3:13" ht="12.75" customHeight="1" x14ac:dyDescent="0.2">
      <c r="C4194"/>
      <c r="M4194"/>
    </row>
    <row r="4195" spans="3:13" ht="12.75" customHeight="1" x14ac:dyDescent="0.2">
      <c r="C4195"/>
      <c r="M4195"/>
    </row>
    <row r="4196" spans="3:13" ht="12.75" customHeight="1" x14ac:dyDescent="0.2">
      <c r="C4196"/>
      <c r="M4196"/>
    </row>
    <row r="4197" spans="3:13" ht="12.75" customHeight="1" x14ac:dyDescent="0.2">
      <c r="C4197"/>
      <c r="M4197"/>
    </row>
    <row r="4198" spans="3:13" ht="12.75" customHeight="1" x14ac:dyDescent="0.2">
      <c r="C4198"/>
      <c r="M4198"/>
    </row>
    <row r="4199" spans="3:13" ht="12.75" customHeight="1" x14ac:dyDescent="0.2">
      <c r="C4199"/>
      <c r="M4199"/>
    </row>
    <row r="4200" spans="3:13" ht="12.75" customHeight="1" x14ac:dyDescent="0.2">
      <c r="C4200"/>
      <c r="M4200"/>
    </row>
    <row r="4201" spans="3:13" ht="12.75" customHeight="1" x14ac:dyDescent="0.2">
      <c r="C4201"/>
      <c r="M4201"/>
    </row>
    <row r="4202" spans="3:13" ht="12.75" customHeight="1" x14ac:dyDescent="0.2">
      <c r="C4202"/>
      <c r="M4202"/>
    </row>
    <row r="4203" spans="3:13" ht="12.75" customHeight="1" x14ac:dyDescent="0.2">
      <c r="C4203"/>
      <c r="M4203"/>
    </row>
    <row r="4204" spans="3:13" ht="12.75" customHeight="1" x14ac:dyDescent="0.2">
      <c r="C4204"/>
      <c r="M4204"/>
    </row>
    <row r="4205" spans="3:13" ht="12.75" customHeight="1" x14ac:dyDescent="0.2">
      <c r="C4205"/>
      <c r="M4205"/>
    </row>
    <row r="4206" spans="3:13" ht="12.75" customHeight="1" x14ac:dyDescent="0.2">
      <c r="C4206"/>
      <c r="M4206"/>
    </row>
    <row r="4207" spans="3:13" ht="12.75" customHeight="1" x14ac:dyDescent="0.2">
      <c r="C4207"/>
      <c r="M4207"/>
    </row>
    <row r="4208" spans="3:13" ht="12.75" customHeight="1" x14ac:dyDescent="0.2">
      <c r="C4208"/>
      <c r="M4208"/>
    </row>
    <row r="4209" spans="3:13" ht="12.75" customHeight="1" x14ac:dyDescent="0.2">
      <c r="C4209"/>
      <c r="M4209"/>
    </row>
    <row r="4210" spans="3:13" ht="12.75" customHeight="1" x14ac:dyDescent="0.2">
      <c r="C4210"/>
      <c r="M4210"/>
    </row>
    <row r="4211" spans="3:13" ht="12.75" customHeight="1" x14ac:dyDescent="0.2">
      <c r="C4211"/>
      <c r="M4211"/>
    </row>
    <row r="4212" spans="3:13" ht="12.75" customHeight="1" x14ac:dyDescent="0.2">
      <c r="C4212"/>
      <c r="M4212"/>
    </row>
    <row r="4213" spans="3:13" ht="12.75" customHeight="1" x14ac:dyDescent="0.2">
      <c r="C4213"/>
      <c r="M4213"/>
    </row>
    <row r="4214" spans="3:13" ht="12.75" customHeight="1" x14ac:dyDescent="0.2">
      <c r="C4214"/>
      <c r="M4214"/>
    </row>
    <row r="4215" spans="3:13" ht="12.75" customHeight="1" x14ac:dyDescent="0.2">
      <c r="C4215"/>
      <c r="M4215"/>
    </row>
    <row r="4216" spans="3:13" ht="12.75" customHeight="1" x14ac:dyDescent="0.2">
      <c r="C4216"/>
      <c r="M4216"/>
    </row>
    <row r="4217" spans="3:13" ht="12.75" customHeight="1" x14ac:dyDescent="0.2">
      <c r="C4217"/>
      <c r="M4217"/>
    </row>
    <row r="4218" spans="3:13" ht="12.75" customHeight="1" x14ac:dyDescent="0.2">
      <c r="C4218"/>
      <c r="M4218"/>
    </row>
    <row r="4219" spans="3:13" ht="12.75" customHeight="1" x14ac:dyDescent="0.2">
      <c r="C4219"/>
      <c r="M4219"/>
    </row>
    <row r="4220" spans="3:13" ht="12.75" customHeight="1" x14ac:dyDescent="0.2">
      <c r="C4220"/>
      <c r="M4220"/>
    </row>
    <row r="4221" spans="3:13" ht="12.75" customHeight="1" x14ac:dyDescent="0.2">
      <c r="C4221"/>
      <c r="M4221"/>
    </row>
    <row r="4222" spans="3:13" ht="12.75" customHeight="1" x14ac:dyDescent="0.2">
      <c r="C4222"/>
      <c r="M4222"/>
    </row>
    <row r="4223" spans="3:13" ht="12.75" customHeight="1" x14ac:dyDescent="0.2">
      <c r="C4223"/>
      <c r="M4223"/>
    </row>
    <row r="4224" spans="3:13" ht="12.75" customHeight="1" x14ac:dyDescent="0.2">
      <c r="C4224"/>
      <c r="M4224"/>
    </row>
    <row r="4225" spans="3:13" ht="12.75" customHeight="1" x14ac:dyDescent="0.2">
      <c r="C4225"/>
      <c r="M4225"/>
    </row>
    <row r="4226" spans="3:13" ht="12.75" customHeight="1" x14ac:dyDescent="0.2">
      <c r="C4226"/>
      <c r="M4226"/>
    </row>
    <row r="4227" spans="3:13" ht="12.75" customHeight="1" x14ac:dyDescent="0.2">
      <c r="C4227"/>
      <c r="M4227"/>
    </row>
    <row r="4228" spans="3:13" ht="12.75" customHeight="1" x14ac:dyDescent="0.2">
      <c r="C4228"/>
      <c r="M4228"/>
    </row>
    <row r="4229" spans="3:13" ht="12.75" customHeight="1" x14ac:dyDescent="0.2">
      <c r="C4229"/>
      <c r="M4229"/>
    </row>
    <row r="4230" spans="3:13" ht="12.75" customHeight="1" x14ac:dyDescent="0.2">
      <c r="C4230"/>
      <c r="M4230"/>
    </row>
    <row r="4231" spans="3:13" ht="12.75" customHeight="1" x14ac:dyDescent="0.2">
      <c r="C4231"/>
      <c r="M4231"/>
    </row>
    <row r="4232" spans="3:13" ht="12.75" customHeight="1" x14ac:dyDescent="0.2">
      <c r="C4232"/>
      <c r="M4232"/>
    </row>
    <row r="4233" spans="3:13" ht="12.75" customHeight="1" x14ac:dyDescent="0.2">
      <c r="C4233"/>
      <c r="M4233"/>
    </row>
    <row r="4234" spans="3:13" ht="12.75" customHeight="1" x14ac:dyDescent="0.2">
      <c r="C4234"/>
      <c r="M4234"/>
    </row>
    <row r="4235" spans="3:13" ht="12.75" customHeight="1" x14ac:dyDescent="0.2">
      <c r="C4235"/>
      <c r="M4235"/>
    </row>
    <row r="4236" spans="3:13" ht="12.75" customHeight="1" x14ac:dyDescent="0.2">
      <c r="C4236"/>
      <c r="M4236"/>
    </row>
    <row r="4237" spans="3:13" ht="12.75" customHeight="1" x14ac:dyDescent="0.2">
      <c r="C4237"/>
      <c r="M4237"/>
    </row>
    <row r="4238" spans="3:13" ht="12.75" customHeight="1" x14ac:dyDescent="0.2">
      <c r="C4238"/>
      <c r="M4238"/>
    </row>
    <row r="4239" spans="3:13" ht="12.75" customHeight="1" x14ac:dyDescent="0.2">
      <c r="C4239"/>
      <c r="M4239"/>
    </row>
    <row r="4240" spans="3:13" ht="12.75" customHeight="1" x14ac:dyDescent="0.2">
      <c r="C4240"/>
      <c r="M4240"/>
    </row>
    <row r="4241" spans="3:13" ht="12.75" customHeight="1" x14ac:dyDescent="0.2">
      <c r="C4241"/>
      <c r="M4241"/>
    </row>
    <row r="4242" spans="3:13" ht="12.75" customHeight="1" x14ac:dyDescent="0.2">
      <c r="C4242"/>
      <c r="M4242"/>
    </row>
    <row r="4243" spans="3:13" ht="12.75" customHeight="1" x14ac:dyDescent="0.2">
      <c r="C4243"/>
      <c r="M4243"/>
    </row>
    <row r="4244" spans="3:13" ht="12.75" customHeight="1" x14ac:dyDescent="0.2">
      <c r="C4244"/>
      <c r="M4244"/>
    </row>
    <row r="4245" spans="3:13" ht="12.75" customHeight="1" x14ac:dyDescent="0.2">
      <c r="C4245"/>
      <c r="M4245"/>
    </row>
    <row r="4246" spans="3:13" ht="12.75" customHeight="1" x14ac:dyDescent="0.2">
      <c r="C4246"/>
      <c r="M4246"/>
    </row>
    <row r="4247" spans="3:13" ht="12.75" customHeight="1" x14ac:dyDescent="0.2">
      <c r="C4247"/>
      <c r="M4247"/>
    </row>
    <row r="4248" spans="3:13" ht="12.75" customHeight="1" x14ac:dyDescent="0.2">
      <c r="C4248"/>
      <c r="M4248"/>
    </row>
    <row r="4249" spans="3:13" ht="12.75" customHeight="1" x14ac:dyDescent="0.2">
      <c r="C4249"/>
      <c r="M4249"/>
    </row>
    <row r="4250" spans="3:13" ht="12.75" customHeight="1" x14ac:dyDescent="0.2">
      <c r="C4250"/>
      <c r="M4250"/>
    </row>
    <row r="4251" spans="3:13" ht="12.75" customHeight="1" x14ac:dyDescent="0.2">
      <c r="C4251"/>
      <c r="M4251"/>
    </row>
    <row r="4252" spans="3:13" ht="12.75" customHeight="1" x14ac:dyDescent="0.2">
      <c r="C4252"/>
      <c r="M4252"/>
    </row>
    <row r="4253" spans="3:13" ht="12.75" customHeight="1" x14ac:dyDescent="0.2">
      <c r="C4253"/>
      <c r="M4253"/>
    </row>
    <row r="4254" spans="3:13" ht="12.75" customHeight="1" x14ac:dyDescent="0.2">
      <c r="C4254"/>
      <c r="M4254"/>
    </row>
    <row r="4255" spans="3:13" ht="12.75" customHeight="1" x14ac:dyDescent="0.2">
      <c r="C4255"/>
      <c r="M4255"/>
    </row>
    <row r="4256" spans="3:13" ht="12.75" customHeight="1" x14ac:dyDescent="0.2">
      <c r="C4256"/>
      <c r="M4256"/>
    </row>
    <row r="4257" spans="3:13" ht="12.75" customHeight="1" x14ac:dyDescent="0.2">
      <c r="C4257"/>
      <c r="M4257"/>
    </row>
    <row r="4258" spans="3:13" ht="12.75" customHeight="1" x14ac:dyDescent="0.2">
      <c r="C4258"/>
      <c r="M4258"/>
    </row>
    <row r="4259" spans="3:13" ht="12.75" customHeight="1" x14ac:dyDescent="0.2">
      <c r="C4259"/>
      <c r="M4259"/>
    </row>
    <row r="4260" spans="3:13" ht="12.75" customHeight="1" x14ac:dyDescent="0.2">
      <c r="C4260"/>
      <c r="M4260"/>
    </row>
    <row r="4261" spans="3:13" ht="12.75" customHeight="1" x14ac:dyDescent="0.2">
      <c r="C4261"/>
      <c r="M4261"/>
    </row>
    <row r="4262" spans="3:13" ht="12.75" customHeight="1" x14ac:dyDescent="0.2">
      <c r="C4262"/>
      <c r="M4262"/>
    </row>
    <row r="4263" spans="3:13" ht="12.75" customHeight="1" x14ac:dyDescent="0.2">
      <c r="C4263"/>
      <c r="M4263"/>
    </row>
    <row r="4264" spans="3:13" ht="12.75" customHeight="1" x14ac:dyDescent="0.2">
      <c r="C4264"/>
      <c r="M4264"/>
    </row>
    <row r="4265" spans="3:13" ht="12.75" customHeight="1" x14ac:dyDescent="0.2">
      <c r="C4265"/>
      <c r="M4265"/>
    </row>
    <row r="4266" spans="3:13" ht="12.75" customHeight="1" x14ac:dyDescent="0.2">
      <c r="C4266"/>
      <c r="M4266"/>
    </row>
    <row r="4267" spans="3:13" ht="12.75" customHeight="1" x14ac:dyDescent="0.2">
      <c r="C4267"/>
      <c r="M4267"/>
    </row>
    <row r="4268" spans="3:13" ht="12.75" customHeight="1" x14ac:dyDescent="0.2">
      <c r="C4268"/>
      <c r="M4268"/>
    </row>
    <row r="4269" spans="3:13" ht="12.75" customHeight="1" x14ac:dyDescent="0.2">
      <c r="C4269"/>
      <c r="M4269"/>
    </row>
    <row r="4270" spans="3:13" ht="12.75" customHeight="1" x14ac:dyDescent="0.2">
      <c r="C4270"/>
      <c r="M4270"/>
    </row>
    <row r="4271" spans="3:13" ht="12.75" customHeight="1" x14ac:dyDescent="0.2">
      <c r="C4271"/>
      <c r="M4271"/>
    </row>
    <row r="4272" spans="3:13" ht="12.75" customHeight="1" x14ac:dyDescent="0.2">
      <c r="C4272"/>
      <c r="M4272"/>
    </row>
    <row r="4273" spans="3:13" ht="12.75" customHeight="1" x14ac:dyDescent="0.2">
      <c r="C4273"/>
      <c r="M4273"/>
    </row>
    <row r="4274" spans="3:13" ht="12.75" customHeight="1" x14ac:dyDescent="0.2">
      <c r="C4274"/>
      <c r="M4274"/>
    </row>
    <row r="4275" spans="3:13" ht="12.75" customHeight="1" x14ac:dyDescent="0.2">
      <c r="C4275"/>
      <c r="M4275"/>
    </row>
    <row r="4276" spans="3:13" ht="12.75" customHeight="1" x14ac:dyDescent="0.2">
      <c r="C4276"/>
      <c r="M4276"/>
    </row>
    <row r="4277" spans="3:13" ht="12.75" customHeight="1" x14ac:dyDescent="0.2">
      <c r="C4277"/>
      <c r="M4277"/>
    </row>
    <row r="4278" spans="3:13" ht="12.75" customHeight="1" x14ac:dyDescent="0.2">
      <c r="C4278"/>
      <c r="M4278"/>
    </row>
    <row r="4279" spans="3:13" ht="12.75" customHeight="1" x14ac:dyDescent="0.2">
      <c r="C4279"/>
      <c r="M4279"/>
    </row>
    <row r="4280" spans="3:13" ht="12.75" customHeight="1" x14ac:dyDescent="0.2">
      <c r="C4280"/>
      <c r="M4280"/>
    </row>
    <row r="4281" spans="3:13" ht="12.75" customHeight="1" x14ac:dyDescent="0.2">
      <c r="C4281"/>
      <c r="M4281"/>
    </row>
    <row r="4282" spans="3:13" ht="12.75" customHeight="1" x14ac:dyDescent="0.2">
      <c r="C4282"/>
      <c r="M4282"/>
    </row>
    <row r="4283" spans="3:13" ht="12.75" customHeight="1" x14ac:dyDescent="0.2">
      <c r="C4283"/>
      <c r="M4283"/>
    </row>
    <row r="4284" spans="3:13" ht="12.75" customHeight="1" x14ac:dyDescent="0.2">
      <c r="C4284"/>
      <c r="M4284"/>
    </row>
    <row r="4285" spans="3:13" ht="12.75" customHeight="1" x14ac:dyDescent="0.2">
      <c r="C4285"/>
      <c r="M4285"/>
    </row>
    <row r="4286" spans="3:13" ht="12.75" customHeight="1" x14ac:dyDescent="0.2">
      <c r="C4286"/>
      <c r="M4286"/>
    </row>
    <row r="4287" spans="3:13" ht="12.75" customHeight="1" x14ac:dyDescent="0.2">
      <c r="C4287"/>
      <c r="M4287"/>
    </row>
    <row r="4288" spans="3:13" ht="12.75" customHeight="1" x14ac:dyDescent="0.2">
      <c r="C4288"/>
      <c r="M4288"/>
    </row>
    <row r="4289" spans="3:13" ht="12.75" customHeight="1" x14ac:dyDescent="0.2">
      <c r="C4289"/>
      <c r="M4289"/>
    </row>
    <row r="4290" spans="3:13" ht="12.75" customHeight="1" x14ac:dyDescent="0.2">
      <c r="C4290"/>
      <c r="M4290"/>
    </row>
    <row r="4291" spans="3:13" ht="12.75" customHeight="1" x14ac:dyDescent="0.2">
      <c r="C4291"/>
      <c r="M4291"/>
    </row>
    <row r="4292" spans="3:13" ht="12.75" customHeight="1" x14ac:dyDescent="0.2">
      <c r="C4292"/>
      <c r="M4292"/>
    </row>
    <row r="4293" spans="3:13" ht="12.75" customHeight="1" x14ac:dyDescent="0.2">
      <c r="C4293"/>
      <c r="M4293"/>
    </row>
    <row r="4294" spans="3:13" ht="12.75" customHeight="1" x14ac:dyDescent="0.2">
      <c r="C4294"/>
      <c r="M4294"/>
    </row>
    <row r="4295" spans="3:13" ht="12.75" customHeight="1" x14ac:dyDescent="0.2">
      <c r="C4295"/>
      <c r="M4295"/>
    </row>
    <row r="4296" spans="3:13" ht="12.75" customHeight="1" x14ac:dyDescent="0.2">
      <c r="C4296"/>
      <c r="M4296"/>
    </row>
    <row r="4297" spans="3:13" ht="12.75" customHeight="1" x14ac:dyDescent="0.2">
      <c r="C4297"/>
      <c r="M4297"/>
    </row>
    <row r="4298" spans="3:13" ht="12.75" customHeight="1" x14ac:dyDescent="0.2">
      <c r="C4298"/>
      <c r="M4298"/>
    </row>
    <row r="4299" spans="3:13" ht="12.75" customHeight="1" x14ac:dyDescent="0.2">
      <c r="C4299"/>
      <c r="M4299"/>
    </row>
    <row r="4300" spans="3:13" ht="12.75" customHeight="1" x14ac:dyDescent="0.2">
      <c r="C4300"/>
      <c r="M4300"/>
    </row>
    <row r="4301" spans="3:13" ht="12.75" customHeight="1" x14ac:dyDescent="0.2">
      <c r="C4301"/>
      <c r="M4301"/>
    </row>
    <row r="4302" spans="3:13" ht="12.75" customHeight="1" x14ac:dyDescent="0.2">
      <c r="C4302"/>
      <c r="M4302"/>
    </row>
    <row r="4303" spans="3:13" ht="12.75" customHeight="1" x14ac:dyDescent="0.2">
      <c r="C4303"/>
      <c r="M4303"/>
    </row>
    <row r="4304" spans="3:13" ht="12.75" customHeight="1" x14ac:dyDescent="0.2">
      <c r="C4304"/>
      <c r="M4304"/>
    </row>
    <row r="4305" spans="3:13" ht="12.75" customHeight="1" x14ac:dyDescent="0.2">
      <c r="C4305"/>
      <c r="M4305"/>
    </row>
    <row r="4306" spans="3:13" ht="12.75" customHeight="1" x14ac:dyDescent="0.2">
      <c r="C4306"/>
      <c r="M4306"/>
    </row>
    <row r="4307" spans="3:13" ht="12.75" customHeight="1" x14ac:dyDescent="0.2">
      <c r="C4307"/>
      <c r="M4307"/>
    </row>
    <row r="4308" spans="3:13" ht="12.75" customHeight="1" x14ac:dyDescent="0.2">
      <c r="C4308"/>
      <c r="M4308"/>
    </row>
    <row r="4309" spans="3:13" ht="12.75" customHeight="1" x14ac:dyDescent="0.2">
      <c r="C4309"/>
      <c r="M4309"/>
    </row>
    <row r="4310" spans="3:13" ht="12.75" customHeight="1" x14ac:dyDescent="0.2">
      <c r="C4310"/>
      <c r="M4310"/>
    </row>
    <row r="4311" spans="3:13" ht="12.75" customHeight="1" x14ac:dyDescent="0.2">
      <c r="C4311"/>
      <c r="M4311"/>
    </row>
    <row r="4312" spans="3:13" ht="12.75" customHeight="1" x14ac:dyDescent="0.2">
      <c r="C4312"/>
      <c r="M4312"/>
    </row>
    <row r="4313" spans="3:13" ht="12.75" customHeight="1" x14ac:dyDescent="0.2">
      <c r="C4313"/>
      <c r="M4313"/>
    </row>
    <row r="4314" spans="3:13" ht="12.75" customHeight="1" x14ac:dyDescent="0.2">
      <c r="C4314"/>
      <c r="M4314"/>
    </row>
    <row r="4315" spans="3:13" ht="12.75" customHeight="1" x14ac:dyDescent="0.2">
      <c r="C4315"/>
      <c r="M4315"/>
    </row>
    <row r="4316" spans="3:13" ht="12.75" customHeight="1" x14ac:dyDescent="0.2">
      <c r="C4316"/>
      <c r="M4316"/>
    </row>
    <row r="4317" spans="3:13" ht="12.75" customHeight="1" x14ac:dyDescent="0.2">
      <c r="C4317"/>
      <c r="M4317"/>
    </row>
    <row r="4318" spans="3:13" ht="12.75" customHeight="1" x14ac:dyDescent="0.2">
      <c r="C4318"/>
      <c r="M4318"/>
    </row>
    <row r="4319" spans="3:13" ht="12.75" customHeight="1" x14ac:dyDescent="0.2">
      <c r="C4319"/>
      <c r="M4319"/>
    </row>
    <row r="4320" spans="3:13" ht="12.75" customHeight="1" x14ac:dyDescent="0.2">
      <c r="C4320"/>
      <c r="M4320"/>
    </row>
    <row r="4321" spans="3:13" ht="12.75" customHeight="1" x14ac:dyDescent="0.2">
      <c r="C4321"/>
      <c r="M4321"/>
    </row>
    <row r="4322" spans="3:13" ht="12.75" customHeight="1" x14ac:dyDescent="0.2">
      <c r="C4322"/>
      <c r="M4322"/>
    </row>
    <row r="4323" spans="3:13" ht="12.75" customHeight="1" x14ac:dyDescent="0.2">
      <c r="C4323"/>
      <c r="M4323"/>
    </row>
    <row r="4324" spans="3:13" ht="12.75" customHeight="1" x14ac:dyDescent="0.2">
      <c r="C4324"/>
      <c r="M4324"/>
    </row>
    <row r="4325" spans="3:13" ht="12.75" customHeight="1" x14ac:dyDescent="0.2">
      <c r="C4325"/>
      <c r="M4325"/>
    </row>
    <row r="4326" spans="3:13" ht="12.75" customHeight="1" x14ac:dyDescent="0.2">
      <c r="C4326"/>
      <c r="M4326"/>
    </row>
    <row r="4327" spans="3:13" ht="12.75" customHeight="1" x14ac:dyDescent="0.2">
      <c r="C4327"/>
      <c r="M4327"/>
    </row>
    <row r="4328" spans="3:13" ht="12.75" customHeight="1" x14ac:dyDescent="0.2">
      <c r="C4328"/>
      <c r="M4328"/>
    </row>
    <row r="4329" spans="3:13" ht="12.75" customHeight="1" x14ac:dyDescent="0.2">
      <c r="C4329"/>
      <c r="M4329"/>
    </row>
    <row r="4330" spans="3:13" ht="12.75" customHeight="1" x14ac:dyDescent="0.2">
      <c r="C4330"/>
      <c r="M4330"/>
    </row>
    <row r="4331" spans="3:13" ht="12.75" customHeight="1" x14ac:dyDescent="0.2">
      <c r="C4331"/>
      <c r="M4331"/>
    </row>
    <row r="4332" spans="3:13" ht="12.75" customHeight="1" x14ac:dyDescent="0.2">
      <c r="C4332"/>
      <c r="M4332"/>
    </row>
    <row r="4333" spans="3:13" ht="12.75" customHeight="1" x14ac:dyDescent="0.2">
      <c r="C4333"/>
      <c r="M4333"/>
    </row>
    <row r="4334" spans="3:13" ht="12.75" customHeight="1" x14ac:dyDescent="0.2">
      <c r="C4334"/>
      <c r="M4334"/>
    </row>
    <row r="4335" spans="3:13" ht="12.75" customHeight="1" x14ac:dyDescent="0.2">
      <c r="C4335"/>
      <c r="M4335"/>
    </row>
    <row r="4336" spans="3:13" ht="12.75" customHeight="1" x14ac:dyDescent="0.2">
      <c r="C4336"/>
      <c r="M4336"/>
    </row>
    <row r="4337" spans="3:13" ht="12.75" customHeight="1" x14ac:dyDescent="0.2">
      <c r="C4337"/>
      <c r="M4337"/>
    </row>
    <row r="4338" spans="3:13" ht="12.75" customHeight="1" x14ac:dyDescent="0.2">
      <c r="C4338"/>
      <c r="M4338"/>
    </row>
    <row r="4339" spans="3:13" ht="12.75" customHeight="1" x14ac:dyDescent="0.2">
      <c r="C4339"/>
      <c r="M4339"/>
    </row>
    <row r="4340" spans="3:13" ht="12.75" customHeight="1" x14ac:dyDescent="0.2">
      <c r="C4340"/>
      <c r="M4340"/>
    </row>
    <row r="4341" spans="3:13" ht="12.75" customHeight="1" x14ac:dyDescent="0.2">
      <c r="C4341"/>
      <c r="M4341"/>
    </row>
    <row r="4342" spans="3:13" ht="12.75" customHeight="1" x14ac:dyDescent="0.2">
      <c r="C4342"/>
      <c r="M4342"/>
    </row>
    <row r="4343" spans="3:13" ht="12.75" customHeight="1" x14ac:dyDescent="0.2">
      <c r="C4343"/>
      <c r="M4343"/>
    </row>
    <row r="4344" spans="3:13" ht="12.75" customHeight="1" x14ac:dyDescent="0.2">
      <c r="C4344"/>
      <c r="M4344"/>
    </row>
    <row r="4345" spans="3:13" ht="12.75" customHeight="1" x14ac:dyDescent="0.2">
      <c r="C4345"/>
      <c r="M4345"/>
    </row>
    <row r="4346" spans="3:13" ht="12.75" customHeight="1" x14ac:dyDescent="0.2">
      <c r="C4346"/>
      <c r="M4346"/>
    </row>
    <row r="4347" spans="3:13" ht="12.75" customHeight="1" x14ac:dyDescent="0.2">
      <c r="C4347"/>
      <c r="M4347"/>
    </row>
    <row r="4348" spans="3:13" ht="12.75" customHeight="1" x14ac:dyDescent="0.2">
      <c r="C4348"/>
      <c r="M4348"/>
    </row>
    <row r="4349" spans="3:13" ht="12.75" customHeight="1" x14ac:dyDescent="0.2">
      <c r="C4349"/>
      <c r="M4349"/>
    </row>
    <row r="4350" spans="3:13" ht="12.75" customHeight="1" x14ac:dyDescent="0.2">
      <c r="C4350"/>
      <c r="M4350"/>
    </row>
    <row r="4351" spans="3:13" ht="12.75" customHeight="1" x14ac:dyDescent="0.2">
      <c r="C4351"/>
      <c r="M4351"/>
    </row>
    <row r="4352" spans="3:13" ht="12.75" customHeight="1" x14ac:dyDescent="0.2">
      <c r="C4352"/>
      <c r="M4352"/>
    </row>
    <row r="4353" spans="3:13" ht="12.75" customHeight="1" x14ac:dyDescent="0.2">
      <c r="C4353"/>
      <c r="M4353"/>
    </row>
    <row r="4354" spans="3:13" ht="12.75" customHeight="1" x14ac:dyDescent="0.2">
      <c r="C4354"/>
      <c r="M4354"/>
    </row>
    <row r="4355" spans="3:13" ht="12.75" customHeight="1" x14ac:dyDescent="0.2">
      <c r="C4355"/>
      <c r="M4355"/>
    </row>
    <row r="4356" spans="3:13" ht="12.75" customHeight="1" x14ac:dyDescent="0.2">
      <c r="C4356"/>
      <c r="M4356"/>
    </row>
    <row r="4357" spans="3:13" ht="12.75" customHeight="1" x14ac:dyDescent="0.2">
      <c r="C4357"/>
      <c r="M4357"/>
    </row>
    <row r="4358" spans="3:13" ht="12.75" customHeight="1" x14ac:dyDescent="0.2">
      <c r="C4358"/>
      <c r="M4358"/>
    </row>
    <row r="4359" spans="3:13" ht="12.75" customHeight="1" x14ac:dyDescent="0.2">
      <c r="C4359"/>
      <c r="M4359"/>
    </row>
    <row r="4360" spans="3:13" ht="12.75" customHeight="1" x14ac:dyDescent="0.2">
      <c r="C4360"/>
      <c r="M4360"/>
    </row>
    <row r="4361" spans="3:13" ht="12.75" customHeight="1" x14ac:dyDescent="0.2">
      <c r="C4361"/>
      <c r="M4361"/>
    </row>
    <row r="4362" spans="3:13" ht="12.75" customHeight="1" x14ac:dyDescent="0.2">
      <c r="C4362"/>
      <c r="M4362"/>
    </row>
    <row r="4363" spans="3:13" ht="12.75" customHeight="1" x14ac:dyDescent="0.2">
      <c r="C4363"/>
      <c r="M4363"/>
    </row>
    <row r="4364" spans="3:13" ht="12.75" customHeight="1" x14ac:dyDescent="0.2">
      <c r="C4364"/>
      <c r="M4364"/>
    </row>
    <row r="4365" spans="3:13" ht="12.75" customHeight="1" x14ac:dyDescent="0.2">
      <c r="C4365"/>
      <c r="M4365"/>
    </row>
    <row r="4366" spans="3:13" ht="12.75" customHeight="1" x14ac:dyDescent="0.2">
      <c r="C4366"/>
      <c r="M4366"/>
    </row>
    <row r="4367" spans="3:13" ht="12.75" customHeight="1" x14ac:dyDescent="0.2">
      <c r="C4367"/>
      <c r="M4367"/>
    </row>
    <row r="4368" spans="3:13" ht="12.75" customHeight="1" x14ac:dyDescent="0.2">
      <c r="C4368"/>
      <c r="M4368"/>
    </row>
    <row r="4369" spans="3:13" ht="12.75" customHeight="1" x14ac:dyDescent="0.2">
      <c r="C4369"/>
      <c r="M4369"/>
    </row>
    <row r="4370" spans="3:13" ht="12.75" customHeight="1" x14ac:dyDescent="0.2">
      <c r="C4370"/>
      <c r="M4370"/>
    </row>
    <row r="4371" spans="3:13" ht="12.75" customHeight="1" x14ac:dyDescent="0.2">
      <c r="C4371"/>
      <c r="M4371"/>
    </row>
    <row r="4372" spans="3:13" ht="12.75" customHeight="1" x14ac:dyDescent="0.2">
      <c r="C4372"/>
      <c r="M4372"/>
    </row>
    <row r="4373" spans="3:13" ht="12.75" customHeight="1" x14ac:dyDescent="0.2">
      <c r="C4373"/>
      <c r="M4373"/>
    </row>
    <row r="4374" spans="3:13" ht="12.75" customHeight="1" x14ac:dyDescent="0.2">
      <c r="C4374"/>
      <c r="M4374"/>
    </row>
    <row r="4375" spans="3:13" ht="12.75" customHeight="1" x14ac:dyDescent="0.2">
      <c r="C4375"/>
      <c r="M4375"/>
    </row>
    <row r="4376" spans="3:13" ht="12.75" customHeight="1" x14ac:dyDescent="0.2">
      <c r="C4376"/>
      <c r="M4376"/>
    </row>
    <row r="4377" spans="3:13" ht="12.75" customHeight="1" x14ac:dyDescent="0.2">
      <c r="C4377"/>
      <c r="M4377"/>
    </row>
    <row r="4378" spans="3:13" ht="12.75" customHeight="1" x14ac:dyDescent="0.2">
      <c r="C4378"/>
      <c r="M4378"/>
    </row>
    <row r="4379" spans="3:13" ht="12.75" customHeight="1" x14ac:dyDescent="0.2">
      <c r="C4379"/>
      <c r="M4379"/>
    </row>
    <row r="4380" spans="3:13" ht="12.75" customHeight="1" x14ac:dyDescent="0.2">
      <c r="C4380"/>
      <c r="M4380"/>
    </row>
    <row r="4381" spans="3:13" ht="12.75" customHeight="1" x14ac:dyDescent="0.2">
      <c r="C4381"/>
      <c r="M4381"/>
    </row>
    <row r="4382" spans="3:13" ht="12.75" customHeight="1" x14ac:dyDescent="0.2">
      <c r="C4382"/>
      <c r="M4382"/>
    </row>
    <row r="4383" spans="3:13" ht="12.75" customHeight="1" x14ac:dyDescent="0.2">
      <c r="C4383"/>
      <c r="M4383"/>
    </row>
    <row r="4384" spans="3:13" ht="12.75" customHeight="1" x14ac:dyDescent="0.2">
      <c r="C4384"/>
      <c r="M4384"/>
    </row>
    <row r="4385" spans="3:13" ht="12.75" customHeight="1" x14ac:dyDescent="0.2">
      <c r="C4385"/>
      <c r="M4385"/>
    </row>
    <row r="4386" spans="3:13" ht="12.75" customHeight="1" x14ac:dyDescent="0.2">
      <c r="C4386"/>
      <c r="M4386"/>
    </row>
    <row r="4387" spans="3:13" ht="12.75" customHeight="1" x14ac:dyDescent="0.2">
      <c r="C4387"/>
      <c r="M4387"/>
    </row>
    <row r="4388" spans="3:13" ht="12.75" customHeight="1" x14ac:dyDescent="0.2">
      <c r="C4388"/>
      <c r="M4388"/>
    </row>
    <row r="4389" spans="3:13" ht="12.75" customHeight="1" x14ac:dyDescent="0.2">
      <c r="C4389"/>
      <c r="M4389"/>
    </row>
    <row r="4390" spans="3:13" ht="12.75" customHeight="1" x14ac:dyDescent="0.2">
      <c r="C4390"/>
      <c r="M4390"/>
    </row>
    <row r="4391" spans="3:13" ht="12.75" customHeight="1" x14ac:dyDescent="0.2">
      <c r="C4391"/>
      <c r="M4391"/>
    </row>
    <row r="4392" spans="3:13" ht="12.75" customHeight="1" x14ac:dyDescent="0.2">
      <c r="C4392"/>
      <c r="M4392"/>
    </row>
    <row r="4393" spans="3:13" ht="12.75" customHeight="1" x14ac:dyDescent="0.2">
      <c r="C4393"/>
      <c r="M4393"/>
    </row>
    <row r="4394" spans="3:13" ht="12.75" customHeight="1" x14ac:dyDescent="0.2">
      <c r="C4394"/>
      <c r="M4394"/>
    </row>
    <row r="4395" spans="3:13" ht="12.75" customHeight="1" x14ac:dyDescent="0.2">
      <c r="C4395"/>
      <c r="M4395"/>
    </row>
    <row r="4396" spans="3:13" ht="12.75" customHeight="1" x14ac:dyDescent="0.2">
      <c r="C4396"/>
      <c r="M4396"/>
    </row>
    <row r="4397" spans="3:13" ht="12.75" customHeight="1" x14ac:dyDescent="0.2">
      <c r="C4397"/>
      <c r="M4397"/>
    </row>
    <row r="4398" spans="3:13" ht="12.75" customHeight="1" x14ac:dyDescent="0.2">
      <c r="C4398"/>
      <c r="M4398"/>
    </row>
    <row r="4399" spans="3:13" ht="12.75" customHeight="1" x14ac:dyDescent="0.2">
      <c r="C4399"/>
      <c r="M4399"/>
    </row>
    <row r="4400" spans="3:13" ht="12.75" customHeight="1" x14ac:dyDescent="0.2">
      <c r="C4400"/>
      <c r="M4400"/>
    </row>
    <row r="4401" spans="3:13" ht="12.75" customHeight="1" x14ac:dyDescent="0.2">
      <c r="C4401"/>
      <c r="M4401"/>
    </row>
    <row r="4402" spans="3:13" ht="12.75" customHeight="1" x14ac:dyDescent="0.2">
      <c r="C4402"/>
      <c r="M4402"/>
    </row>
    <row r="4403" spans="3:13" ht="12.75" customHeight="1" x14ac:dyDescent="0.2">
      <c r="C4403"/>
      <c r="M4403"/>
    </row>
    <row r="4404" spans="3:13" ht="12.75" customHeight="1" x14ac:dyDescent="0.2">
      <c r="C4404"/>
      <c r="M4404"/>
    </row>
    <row r="4405" spans="3:13" ht="12.75" customHeight="1" x14ac:dyDescent="0.2">
      <c r="C4405"/>
      <c r="M4405"/>
    </row>
    <row r="4406" spans="3:13" ht="12.75" customHeight="1" x14ac:dyDescent="0.2">
      <c r="C4406"/>
      <c r="M4406"/>
    </row>
    <row r="4407" spans="3:13" ht="12.75" customHeight="1" x14ac:dyDescent="0.2">
      <c r="C4407"/>
      <c r="M4407"/>
    </row>
    <row r="4408" spans="3:13" ht="12.75" customHeight="1" x14ac:dyDescent="0.2">
      <c r="C4408"/>
      <c r="M4408"/>
    </row>
    <row r="4409" spans="3:13" ht="12.75" customHeight="1" x14ac:dyDescent="0.2">
      <c r="C4409"/>
      <c r="M4409"/>
    </row>
    <row r="4410" spans="3:13" ht="12.75" customHeight="1" x14ac:dyDescent="0.2">
      <c r="C4410"/>
      <c r="M4410"/>
    </row>
    <row r="4411" spans="3:13" ht="12.75" customHeight="1" x14ac:dyDescent="0.2">
      <c r="C4411"/>
      <c r="M4411"/>
    </row>
    <row r="4412" spans="3:13" ht="12.75" customHeight="1" x14ac:dyDescent="0.2">
      <c r="C4412"/>
      <c r="M4412"/>
    </row>
    <row r="4413" spans="3:13" ht="12.75" customHeight="1" x14ac:dyDescent="0.2">
      <c r="C4413"/>
      <c r="M4413"/>
    </row>
    <row r="4414" spans="3:13" ht="12.75" customHeight="1" x14ac:dyDescent="0.2">
      <c r="C4414"/>
      <c r="M4414"/>
    </row>
    <row r="4415" spans="3:13" ht="12.75" customHeight="1" x14ac:dyDescent="0.2">
      <c r="C4415"/>
      <c r="M4415"/>
    </row>
    <row r="4416" spans="3:13" ht="12.75" customHeight="1" x14ac:dyDescent="0.2">
      <c r="C4416"/>
      <c r="M4416"/>
    </row>
    <row r="4417" spans="3:13" ht="12.75" customHeight="1" x14ac:dyDescent="0.2">
      <c r="C4417"/>
      <c r="M4417"/>
    </row>
    <row r="4418" spans="3:13" ht="12.75" customHeight="1" x14ac:dyDescent="0.2">
      <c r="C4418"/>
      <c r="M4418"/>
    </row>
    <row r="4419" spans="3:13" ht="12.75" customHeight="1" x14ac:dyDescent="0.2">
      <c r="C4419"/>
      <c r="M4419"/>
    </row>
    <row r="4420" spans="3:13" ht="12.75" customHeight="1" x14ac:dyDescent="0.2">
      <c r="C4420"/>
      <c r="M4420"/>
    </row>
    <row r="4421" spans="3:13" ht="12.75" customHeight="1" x14ac:dyDescent="0.2">
      <c r="C4421"/>
      <c r="M4421"/>
    </row>
    <row r="4422" spans="3:13" ht="12.75" customHeight="1" x14ac:dyDescent="0.2">
      <c r="C4422"/>
      <c r="M4422"/>
    </row>
    <row r="4423" spans="3:13" ht="12.75" customHeight="1" x14ac:dyDescent="0.2">
      <c r="C4423"/>
      <c r="M4423"/>
    </row>
    <row r="4424" spans="3:13" ht="12.75" customHeight="1" x14ac:dyDescent="0.2">
      <c r="C4424"/>
      <c r="M4424"/>
    </row>
    <row r="4425" spans="3:13" ht="12.75" customHeight="1" x14ac:dyDescent="0.2">
      <c r="C4425"/>
      <c r="M4425"/>
    </row>
    <row r="4426" spans="3:13" ht="12.75" customHeight="1" x14ac:dyDescent="0.2">
      <c r="C4426"/>
      <c r="M4426"/>
    </row>
    <row r="4427" spans="3:13" ht="12.75" customHeight="1" x14ac:dyDescent="0.2">
      <c r="C4427"/>
      <c r="M4427"/>
    </row>
    <row r="4428" spans="3:13" ht="12.75" customHeight="1" x14ac:dyDescent="0.2">
      <c r="C4428"/>
      <c r="M4428"/>
    </row>
    <row r="4429" spans="3:13" ht="12.75" customHeight="1" x14ac:dyDescent="0.2">
      <c r="C4429"/>
      <c r="M4429"/>
    </row>
    <row r="4430" spans="3:13" ht="12.75" customHeight="1" x14ac:dyDescent="0.2">
      <c r="C4430"/>
      <c r="M4430"/>
    </row>
    <row r="4431" spans="3:13" ht="12.75" customHeight="1" x14ac:dyDescent="0.2">
      <c r="C4431"/>
      <c r="M4431"/>
    </row>
    <row r="4432" spans="3:13" ht="12.75" customHeight="1" x14ac:dyDescent="0.2">
      <c r="C4432"/>
      <c r="M4432"/>
    </row>
    <row r="4433" spans="3:13" ht="12.75" customHeight="1" x14ac:dyDescent="0.2">
      <c r="C4433"/>
      <c r="M4433"/>
    </row>
    <row r="4434" spans="3:13" ht="12.75" customHeight="1" x14ac:dyDescent="0.2">
      <c r="C4434"/>
      <c r="M4434"/>
    </row>
    <row r="4435" spans="3:13" ht="12.75" customHeight="1" x14ac:dyDescent="0.2">
      <c r="C4435"/>
      <c r="M4435"/>
    </row>
    <row r="4436" spans="3:13" ht="12.75" customHeight="1" x14ac:dyDescent="0.2">
      <c r="C4436"/>
      <c r="M4436"/>
    </row>
    <row r="4437" spans="3:13" ht="12.75" customHeight="1" x14ac:dyDescent="0.2">
      <c r="C4437"/>
      <c r="M4437"/>
    </row>
    <row r="4438" spans="3:13" ht="12.75" customHeight="1" x14ac:dyDescent="0.2">
      <c r="C4438"/>
      <c r="M4438"/>
    </row>
    <row r="4439" spans="3:13" ht="12.75" customHeight="1" x14ac:dyDescent="0.2">
      <c r="C4439"/>
      <c r="M4439"/>
    </row>
    <row r="4440" spans="3:13" ht="12.75" customHeight="1" x14ac:dyDescent="0.2">
      <c r="C4440"/>
      <c r="M4440"/>
    </row>
    <row r="4441" spans="3:13" ht="12.75" customHeight="1" x14ac:dyDescent="0.2">
      <c r="C4441"/>
      <c r="M4441"/>
    </row>
    <row r="4442" spans="3:13" ht="12.75" customHeight="1" x14ac:dyDescent="0.2">
      <c r="C4442"/>
      <c r="M4442"/>
    </row>
    <row r="4443" spans="3:13" ht="12.75" customHeight="1" x14ac:dyDescent="0.2">
      <c r="C4443"/>
      <c r="M4443"/>
    </row>
    <row r="4444" spans="3:13" ht="12.75" customHeight="1" x14ac:dyDescent="0.2">
      <c r="C4444"/>
      <c r="M4444"/>
    </row>
    <row r="4445" spans="3:13" ht="12.75" customHeight="1" x14ac:dyDescent="0.2">
      <c r="C4445"/>
      <c r="M4445"/>
    </row>
    <row r="4446" spans="3:13" ht="12.75" customHeight="1" x14ac:dyDescent="0.2">
      <c r="C4446"/>
      <c r="M4446"/>
    </row>
    <row r="4447" spans="3:13" ht="12.75" customHeight="1" x14ac:dyDescent="0.2">
      <c r="C4447"/>
      <c r="M4447"/>
    </row>
    <row r="4448" spans="3:13" ht="12.75" customHeight="1" x14ac:dyDescent="0.2">
      <c r="C4448"/>
      <c r="M4448"/>
    </row>
    <row r="4449" spans="3:13" ht="12.75" customHeight="1" x14ac:dyDescent="0.2">
      <c r="C4449"/>
      <c r="M4449"/>
    </row>
    <row r="4450" spans="3:13" ht="12.75" customHeight="1" x14ac:dyDescent="0.2">
      <c r="C4450"/>
      <c r="M4450"/>
    </row>
    <row r="4451" spans="3:13" ht="12.75" customHeight="1" x14ac:dyDescent="0.2">
      <c r="C4451"/>
      <c r="M4451"/>
    </row>
    <row r="4452" spans="3:13" ht="12.75" customHeight="1" x14ac:dyDescent="0.2">
      <c r="C4452"/>
      <c r="M4452"/>
    </row>
    <row r="4453" spans="3:13" ht="12.75" customHeight="1" x14ac:dyDescent="0.2">
      <c r="C4453"/>
      <c r="M4453"/>
    </row>
    <row r="4454" spans="3:13" ht="12.75" customHeight="1" x14ac:dyDescent="0.2">
      <c r="C4454"/>
      <c r="M4454"/>
    </row>
    <row r="4455" spans="3:13" ht="12.75" customHeight="1" x14ac:dyDescent="0.2">
      <c r="C4455"/>
      <c r="M4455"/>
    </row>
    <row r="4456" spans="3:13" ht="12.75" customHeight="1" x14ac:dyDescent="0.2">
      <c r="C4456"/>
      <c r="M4456"/>
    </row>
    <row r="4457" spans="3:13" ht="12.75" customHeight="1" x14ac:dyDescent="0.2">
      <c r="C4457"/>
      <c r="M4457"/>
    </row>
    <row r="4458" spans="3:13" ht="12.75" customHeight="1" x14ac:dyDescent="0.2">
      <c r="C4458"/>
      <c r="M4458"/>
    </row>
    <row r="4459" spans="3:13" ht="12.75" customHeight="1" x14ac:dyDescent="0.2">
      <c r="C4459"/>
      <c r="M4459"/>
    </row>
    <row r="4460" spans="3:13" ht="12.75" customHeight="1" x14ac:dyDescent="0.2">
      <c r="C4460"/>
      <c r="M4460"/>
    </row>
    <row r="4461" spans="3:13" ht="12.75" customHeight="1" x14ac:dyDescent="0.2">
      <c r="C4461"/>
      <c r="M4461"/>
    </row>
    <row r="4462" spans="3:13" ht="12.75" customHeight="1" x14ac:dyDescent="0.2">
      <c r="C4462"/>
      <c r="M4462"/>
    </row>
    <row r="4463" spans="3:13" ht="12.75" customHeight="1" x14ac:dyDescent="0.2">
      <c r="C4463"/>
      <c r="M4463"/>
    </row>
    <row r="4464" spans="3:13" ht="12.75" customHeight="1" x14ac:dyDescent="0.2">
      <c r="C4464"/>
      <c r="M4464"/>
    </row>
    <row r="4465" spans="3:13" ht="12.75" customHeight="1" x14ac:dyDescent="0.2">
      <c r="C4465"/>
      <c r="M4465"/>
    </row>
    <row r="4466" spans="3:13" ht="12.75" customHeight="1" x14ac:dyDescent="0.2">
      <c r="C4466"/>
      <c r="M4466"/>
    </row>
    <row r="4467" spans="3:13" ht="12.75" customHeight="1" x14ac:dyDescent="0.2">
      <c r="C4467"/>
      <c r="M4467"/>
    </row>
    <row r="4468" spans="3:13" ht="12.75" customHeight="1" x14ac:dyDescent="0.2">
      <c r="C4468"/>
      <c r="M4468"/>
    </row>
    <row r="4469" spans="3:13" ht="12.75" customHeight="1" x14ac:dyDescent="0.2">
      <c r="C4469"/>
      <c r="M4469"/>
    </row>
    <row r="4470" spans="3:13" ht="12.75" customHeight="1" x14ac:dyDescent="0.2">
      <c r="C4470"/>
      <c r="M4470"/>
    </row>
    <row r="4471" spans="3:13" ht="12.75" customHeight="1" x14ac:dyDescent="0.2">
      <c r="C4471"/>
      <c r="M4471"/>
    </row>
    <row r="4472" spans="3:13" ht="12.75" customHeight="1" x14ac:dyDescent="0.2">
      <c r="C4472"/>
      <c r="M4472"/>
    </row>
    <row r="4473" spans="3:13" ht="12.75" customHeight="1" x14ac:dyDescent="0.2">
      <c r="C4473"/>
      <c r="M4473"/>
    </row>
    <row r="4474" spans="3:13" ht="12.75" customHeight="1" x14ac:dyDescent="0.2">
      <c r="C4474"/>
      <c r="M4474"/>
    </row>
    <row r="4475" spans="3:13" ht="12.75" customHeight="1" x14ac:dyDescent="0.2">
      <c r="C4475"/>
      <c r="M4475"/>
    </row>
    <row r="4476" spans="3:13" ht="12.75" customHeight="1" x14ac:dyDescent="0.2">
      <c r="C4476"/>
      <c r="M4476"/>
    </row>
    <row r="4477" spans="3:13" ht="12.75" customHeight="1" x14ac:dyDescent="0.2">
      <c r="C4477"/>
      <c r="M4477"/>
    </row>
    <row r="4478" spans="3:13" ht="12.75" customHeight="1" x14ac:dyDescent="0.2">
      <c r="C4478"/>
      <c r="M4478"/>
    </row>
    <row r="4479" spans="3:13" ht="12.75" customHeight="1" x14ac:dyDescent="0.2">
      <c r="C4479"/>
      <c r="M4479"/>
    </row>
    <row r="4480" spans="3:13" ht="12.75" customHeight="1" x14ac:dyDescent="0.2">
      <c r="C4480"/>
      <c r="M4480"/>
    </row>
    <row r="4481" spans="3:13" ht="12.75" customHeight="1" x14ac:dyDescent="0.2">
      <c r="C4481"/>
      <c r="M4481"/>
    </row>
    <row r="4482" spans="3:13" ht="12.75" customHeight="1" x14ac:dyDescent="0.2">
      <c r="C4482"/>
      <c r="M4482"/>
    </row>
    <row r="4483" spans="3:13" ht="12.75" customHeight="1" x14ac:dyDescent="0.2">
      <c r="C4483"/>
      <c r="M4483"/>
    </row>
    <row r="4484" spans="3:13" ht="12.75" customHeight="1" x14ac:dyDescent="0.2">
      <c r="C4484"/>
      <c r="M4484"/>
    </row>
    <row r="4485" spans="3:13" ht="12.75" customHeight="1" x14ac:dyDescent="0.2">
      <c r="C4485"/>
      <c r="M4485"/>
    </row>
    <row r="4486" spans="3:13" ht="12.75" customHeight="1" x14ac:dyDescent="0.2">
      <c r="C4486"/>
      <c r="M4486"/>
    </row>
    <row r="4487" spans="3:13" ht="12.75" customHeight="1" x14ac:dyDescent="0.2">
      <c r="C4487"/>
      <c r="M4487"/>
    </row>
    <row r="4488" spans="3:13" ht="12.75" customHeight="1" x14ac:dyDescent="0.2">
      <c r="C4488"/>
      <c r="M4488"/>
    </row>
    <row r="4489" spans="3:13" ht="12.75" customHeight="1" x14ac:dyDescent="0.2">
      <c r="C4489"/>
      <c r="M4489"/>
    </row>
    <row r="4490" spans="3:13" ht="12.75" customHeight="1" x14ac:dyDescent="0.2">
      <c r="C4490"/>
      <c r="M4490"/>
    </row>
    <row r="4491" spans="3:13" ht="12.75" customHeight="1" x14ac:dyDescent="0.2">
      <c r="C4491"/>
      <c r="M4491"/>
    </row>
    <row r="4492" spans="3:13" ht="12.75" customHeight="1" x14ac:dyDescent="0.2">
      <c r="C4492"/>
      <c r="M4492"/>
    </row>
    <row r="4493" spans="3:13" ht="12.75" customHeight="1" x14ac:dyDescent="0.2">
      <c r="C4493"/>
      <c r="M4493"/>
    </row>
    <row r="4494" spans="3:13" ht="12.75" customHeight="1" x14ac:dyDescent="0.2">
      <c r="C4494"/>
      <c r="M4494"/>
    </row>
    <row r="4495" spans="3:13" ht="12.75" customHeight="1" x14ac:dyDescent="0.2">
      <c r="C4495"/>
      <c r="M4495"/>
    </row>
    <row r="4496" spans="3:13" ht="12.75" customHeight="1" x14ac:dyDescent="0.2">
      <c r="C4496"/>
      <c r="M4496"/>
    </row>
    <row r="4497" spans="3:13" ht="12.75" customHeight="1" x14ac:dyDescent="0.2">
      <c r="C4497"/>
      <c r="M4497"/>
    </row>
    <row r="4498" spans="3:13" ht="12.75" customHeight="1" x14ac:dyDescent="0.2">
      <c r="C4498"/>
      <c r="M4498"/>
    </row>
    <row r="4499" spans="3:13" ht="12.75" customHeight="1" x14ac:dyDescent="0.2">
      <c r="C4499"/>
      <c r="M4499"/>
    </row>
    <row r="4500" spans="3:13" ht="12.75" customHeight="1" x14ac:dyDescent="0.2">
      <c r="C4500"/>
      <c r="M4500"/>
    </row>
    <row r="4501" spans="3:13" ht="12.75" customHeight="1" x14ac:dyDescent="0.2">
      <c r="C4501"/>
      <c r="M4501"/>
    </row>
    <row r="4502" spans="3:13" ht="12.75" customHeight="1" x14ac:dyDescent="0.2">
      <c r="C4502"/>
      <c r="M4502"/>
    </row>
    <row r="4503" spans="3:13" ht="12.75" customHeight="1" x14ac:dyDescent="0.2">
      <c r="C4503"/>
      <c r="M4503"/>
    </row>
    <row r="4504" spans="3:13" ht="12.75" customHeight="1" x14ac:dyDescent="0.2">
      <c r="C4504"/>
      <c r="M4504"/>
    </row>
    <row r="4505" spans="3:13" ht="12.75" customHeight="1" x14ac:dyDescent="0.2">
      <c r="C4505"/>
      <c r="M4505"/>
    </row>
    <row r="4506" spans="3:13" ht="12.75" customHeight="1" x14ac:dyDescent="0.2">
      <c r="C4506"/>
      <c r="M4506"/>
    </row>
    <row r="4507" spans="3:13" ht="12.75" customHeight="1" x14ac:dyDescent="0.2">
      <c r="C4507"/>
      <c r="M4507"/>
    </row>
    <row r="4508" spans="3:13" ht="12.75" customHeight="1" x14ac:dyDescent="0.2">
      <c r="C4508"/>
      <c r="M4508"/>
    </row>
    <row r="4509" spans="3:13" ht="12.75" customHeight="1" x14ac:dyDescent="0.2">
      <c r="C4509"/>
      <c r="M4509"/>
    </row>
    <row r="4510" spans="3:13" ht="12.75" customHeight="1" x14ac:dyDescent="0.2">
      <c r="C4510"/>
      <c r="M4510"/>
    </row>
    <row r="4511" spans="3:13" ht="12.75" customHeight="1" x14ac:dyDescent="0.2">
      <c r="C4511"/>
      <c r="M4511"/>
    </row>
    <row r="4512" spans="3:13" ht="12.75" customHeight="1" x14ac:dyDescent="0.2">
      <c r="C4512"/>
      <c r="M4512"/>
    </row>
    <row r="4513" spans="3:13" ht="12.75" customHeight="1" x14ac:dyDescent="0.2">
      <c r="C4513"/>
      <c r="M4513"/>
    </row>
    <row r="4514" spans="3:13" ht="12.75" customHeight="1" x14ac:dyDescent="0.2">
      <c r="C4514"/>
      <c r="M4514"/>
    </row>
    <row r="4515" spans="3:13" ht="12.75" customHeight="1" x14ac:dyDescent="0.2">
      <c r="C4515"/>
      <c r="M4515"/>
    </row>
    <row r="4516" spans="3:13" ht="12.75" customHeight="1" x14ac:dyDescent="0.2">
      <c r="C4516"/>
      <c r="M4516"/>
    </row>
    <row r="4517" spans="3:13" ht="12.75" customHeight="1" x14ac:dyDescent="0.2">
      <c r="C4517"/>
      <c r="M4517"/>
    </row>
    <row r="4518" spans="3:13" ht="12.75" customHeight="1" x14ac:dyDescent="0.2">
      <c r="C4518"/>
      <c r="M4518"/>
    </row>
    <row r="4519" spans="3:13" ht="12.75" customHeight="1" x14ac:dyDescent="0.2">
      <c r="C4519"/>
      <c r="M4519"/>
    </row>
    <row r="4520" spans="3:13" ht="12.75" customHeight="1" x14ac:dyDescent="0.2">
      <c r="C4520"/>
      <c r="M4520"/>
    </row>
    <row r="4521" spans="3:13" ht="12.75" customHeight="1" x14ac:dyDescent="0.2">
      <c r="C4521"/>
      <c r="M4521"/>
    </row>
    <row r="4522" spans="3:13" ht="12.75" customHeight="1" x14ac:dyDescent="0.2">
      <c r="C4522"/>
      <c r="M4522"/>
    </row>
    <row r="4523" spans="3:13" ht="12.75" customHeight="1" x14ac:dyDescent="0.2">
      <c r="C4523"/>
      <c r="M4523"/>
    </row>
    <row r="4524" spans="3:13" ht="12.75" customHeight="1" x14ac:dyDescent="0.2">
      <c r="C4524"/>
      <c r="M4524"/>
    </row>
    <row r="4525" spans="3:13" ht="12.75" customHeight="1" x14ac:dyDescent="0.2">
      <c r="C4525"/>
      <c r="M4525"/>
    </row>
    <row r="4526" spans="3:13" ht="12.75" customHeight="1" x14ac:dyDescent="0.2">
      <c r="C4526"/>
      <c r="M4526"/>
    </row>
    <row r="4527" spans="3:13" ht="12.75" customHeight="1" x14ac:dyDescent="0.2">
      <c r="C4527"/>
      <c r="M4527"/>
    </row>
    <row r="4528" spans="3:13" ht="12.75" customHeight="1" x14ac:dyDescent="0.2">
      <c r="C4528"/>
      <c r="M4528"/>
    </row>
    <row r="4529" spans="3:13" ht="12.75" customHeight="1" x14ac:dyDescent="0.2">
      <c r="C4529"/>
      <c r="M4529"/>
    </row>
    <row r="4530" spans="3:13" ht="12.75" customHeight="1" x14ac:dyDescent="0.2">
      <c r="C4530"/>
      <c r="M4530"/>
    </row>
    <row r="4531" spans="3:13" ht="12.75" customHeight="1" x14ac:dyDescent="0.2">
      <c r="C4531"/>
      <c r="M4531"/>
    </row>
    <row r="4532" spans="3:13" ht="12.75" customHeight="1" x14ac:dyDescent="0.2">
      <c r="C4532"/>
      <c r="M4532"/>
    </row>
    <row r="4533" spans="3:13" ht="12.75" customHeight="1" x14ac:dyDescent="0.2">
      <c r="C4533"/>
      <c r="M4533"/>
    </row>
    <row r="4534" spans="3:13" ht="12.75" customHeight="1" x14ac:dyDescent="0.2">
      <c r="C4534"/>
      <c r="M4534"/>
    </row>
    <row r="4535" spans="3:13" ht="12.75" customHeight="1" x14ac:dyDescent="0.2">
      <c r="C4535"/>
      <c r="M4535"/>
    </row>
    <row r="4536" spans="3:13" ht="12.75" customHeight="1" x14ac:dyDescent="0.2">
      <c r="C4536"/>
      <c r="M4536"/>
    </row>
    <row r="4537" spans="3:13" ht="12.75" customHeight="1" x14ac:dyDescent="0.2">
      <c r="C4537"/>
      <c r="M4537"/>
    </row>
    <row r="4538" spans="3:13" ht="12.75" customHeight="1" x14ac:dyDescent="0.2">
      <c r="C4538"/>
      <c r="M4538"/>
    </row>
    <row r="4539" spans="3:13" ht="12.75" customHeight="1" x14ac:dyDescent="0.2">
      <c r="C4539"/>
      <c r="M4539"/>
    </row>
    <row r="4540" spans="3:13" ht="12.75" customHeight="1" x14ac:dyDescent="0.2">
      <c r="C4540"/>
      <c r="M4540"/>
    </row>
    <row r="4541" spans="3:13" ht="12.75" customHeight="1" x14ac:dyDescent="0.2">
      <c r="C4541"/>
      <c r="M4541"/>
    </row>
    <row r="4542" spans="3:13" ht="12.75" customHeight="1" x14ac:dyDescent="0.2">
      <c r="C4542"/>
      <c r="M4542"/>
    </row>
    <row r="4543" spans="3:13" ht="12.75" customHeight="1" x14ac:dyDescent="0.2">
      <c r="C4543"/>
      <c r="M4543"/>
    </row>
    <row r="4544" spans="3:13" ht="12.75" customHeight="1" x14ac:dyDescent="0.2">
      <c r="C4544"/>
      <c r="M4544"/>
    </row>
    <row r="4545" spans="3:13" ht="12.75" customHeight="1" x14ac:dyDescent="0.2">
      <c r="C4545"/>
      <c r="M4545"/>
    </row>
    <row r="4546" spans="3:13" ht="12.75" customHeight="1" x14ac:dyDescent="0.2">
      <c r="C4546"/>
      <c r="M4546"/>
    </row>
    <row r="4547" spans="3:13" ht="12.75" customHeight="1" x14ac:dyDescent="0.2">
      <c r="C4547"/>
      <c r="M4547"/>
    </row>
    <row r="4548" spans="3:13" ht="12.75" customHeight="1" x14ac:dyDescent="0.2">
      <c r="C4548"/>
      <c r="M4548"/>
    </row>
    <row r="4549" spans="3:13" ht="12.75" customHeight="1" x14ac:dyDescent="0.2">
      <c r="C4549"/>
      <c r="M4549"/>
    </row>
    <row r="4550" spans="3:13" ht="12.75" customHeight="1" x14ac:dyDescent="0.2">
      <c r="C4550"/>
      <c r="M4550"/>
    </row>
    <row r="4551" spans="3:13" ht="12.75" customHeight="1" x14ac:dyDescent="0.2">
      <c r="C4551"/>
      <c r="M4551"/>
    </row>
    <row r="4552" spans="3:13" ht="12.75" customHeight="1" x14ac:dyDescent="0.2">
      <c r="C4552"/>
      <c r="M4552"/>
    </row>
    <row r="4553" spans="3:13" ht="12.75" customHeight="1" x14ac:dyDescent="0.2">
      <c r="C4553"/>
      <c r="M4553"/>
    </row>
    <row r="4554" spans="3:13" ht="12.75" customHeight="1" x14ac:dyDescent="0.2">
      <c r="C4554"/>
      <c r="M4554"/>
    </row>
    <row r="4555" spans="3:13" ht="12.75" customHeight="1" x14ac:dyDescent="0.2">
      <c r="C4555"/>
      <c r="M4555"/>
    </row>
    <row r="4556" spans="3:13" ht="12.75" customHeight="1" x14ac:dyDescent="0.2">
      <c r="C4556"/>
      <c r="M4556"/>
    </row>
    <row r="4557" spans="3:13" ht="12.75" customHeight="1" x14ac:dyDescent="0.2">
      <c r="C4557"/>
      <c r="M4557"/>
    </row>
    <row r="4558" spans="3:13" ht="12.75" customHeight="1" x14ac:dyDescent="0.2">
      <c r="C4558"/>
      <c r="M4558"/>
    </row>
    <row r="4559" spans="3:13" ht="12.75" customHeight="1" x14ac:dyDescent="0.2">
      <c r="C4559"/>
      <c r="M4559"/>
    </row>
    <row r="4560" spans="3:13" ht="12.75" customHeight="1" x14ac:dyDescent="0.2">
      <c r="C4560"/>
      <c r="M4560"/>
    </row>
    <row r="4561" spans="3:13" ht="12.75" customHeight="1" x14ac:dyDescent="0.2">
      <c r="C4561"/>
      <c r="M4561"/>
    </row>
    <row r="4562" spans="3:13" ht="12.75" customHeight="1" x14ac:dyDescent="0.2">
      <c r="C4562"/>
      <c r="M4562"/>
    </row>
    <row r="4563" spans="3:13" ht="12.75" customHeight="1" x14ac:dyDescent="0.2">
      <c r="C4563"/>
      <c r="M4563"/>
    </row>
    <row r="4564" spans="3:13" ht="12.75" customHeight="1" x14ac:dyDescent="0.2">
      <c r="C4564"/>
      <c r="M4564"/>
    </row>
    <row r="4565" spans="3:13" ht="12.75" customHeight="1" x14ac:dyDescent="0.2">
      <c r="C4565"/>
      <c r="M4565"/>
    </row>
    <row r="4566" spans="3:13" ht="12.75" customHeight="1" x14ac:dyDescent="0.2">
      <c r="C4566"/>
      <c r="M4566"/>
    </row>
    <row r="4567" spans="3:13" ht="12.75" customHeight="1" x14ac:dyDescent="0.2">
      <c r="C4567"/>
      <c r="M4567"/>
    </row>
    <row r="4568" spans="3:13" ht="12.75" customHeight="1" x14ac:dyDescent="0.2">
      <c r="C4568"/>
      <c r="M4568"/>
    </row>
    <row r="4569" spans="3:13" ht="12.75" customHeight="1" x14ac:dyDescent="0.2">
      <c r="C4569"/>
      <c r="M4569"/>
    </row>
    <row r="4570" spans="3:13" ht="12.75" customHeight="1" x14ac:dyDescent="0.2">
      <c r="C4570"/>
      <c r="M4570"/>
    </row>
    <row r="4571" spans="3:13" ht="12.75" customHeight="1" x14ac:dyDescent="0.2">
      <c r="C4571"/>
      <c r="M4571"/>
    </row>
    <row r="4572" spans="3:13" ht="12.75" customHeight="1" x14ac:dyDescent="0.2">
      <c r="C4572"/>
      <c r="M4572"/>
    </row>
    <row r="4573" spans="3:13" ht="12.75" customHeight="1" x14ac:dyDescent="0.2">
      <c r="C4573"/>
      <c r="M4573"/>
    </row>
    <row r="4574" spans="3:13" ht="12.75" customHeight="1" x14ac:dyDescent="0.2">
      <c r="C4574"/>
      <c r="M4574"/>
    </row>
    <row r="4575" spans="3:13" ht="12.75" customHeight="1" x14ac:dyDescent="0.2">
      <c r="C4575"/>
      <c r="M4575"/>
    </row>
    <row r="4576" spans="3:13" ht="12.75" customHeight="1" x14ac:dyDescent="0.2">
      <c r="C4576"/>
      <c r="M4576"/>
    </row>
    <row r="4577" spans="3:13" ht="12.75" customHeight="1" x14ac:dyDescent="0.2">
      <c r="C4577"/>
      <c r="M4577"/>
    </row>
    <row r="4578" spans="3:13" ht="12.75" customHeight="1" x14ac:dyDescent="0.2">
      <c r="C4578"/>
      <c r="M4578"/>
    </row>
    <row r="4579" spans="3:13" ht="12.75" customHeight="1" x14ac:dyDescent="0.2">
      <c r="C4579"/>
      <c r="M4579"/>
    </row>
    <row r="4580" spans="3:13" ht="12.75" customHeight="1" x14ac:dyDescent="0.2">
      <c r="C4580"/>
      <c r="M4580"/>
    </row>
    <row r="4581" spans="3:13" ht="12.75" customHeight="1" x14ac:dyDescent="0.2">
      <c r="C4581"/>
      <c r="M4581"/>
    </row>
    <row r="4582" spans="3:13" ht="12.75" customHeight="1" x14ac:dyDescent="0.2">
      <c r="C4582"/>
      <c r="M4582"/>
    </row>
    <row r="4583" spans="3:13" ht="12.75" customHeight="1" x14ac:dyDescent="0.2">
      <c r="C4583"/>
      <c r="M4583"/>
    </row>
    <row r="4584" spans="3:13" ht="12.75" customHeight="1" x14ac:dyDescent="0.2">
      <c r="C4584"/>
      <c r="M4584"/>
    </row>
    <row r="4585" spans="3:13" ht="12.75" customHeight="1" x14ac:dyDescent="0.2">
      <c r="C4585"/>
      <c r="M4585"/>
    </row>
    <row r="4586" spans="3:13" ht="12.75" customHeight="1" x14ac:dyDescent="0.2">
      <c r="C4586"/>
      <c r="M4586"/>
    </row>
    <row r="4587" spans="3:13" ht="12.75" customHeight="1" x14ac:dyDescent="0.2">
      <c r="C4587"/>
      <c r="M4587"/>
    </row>
    <row r="4588" spans="3:13" ht="12.75" customHeight="1" x14ac:dyDescent="0.2">
      <c r="C4588"/>
      <c r="M4588"/>
    </row>
    <row r="4589" spans="3:13" ht="12.75" customHeight="1" x14ac:dyDescent="0.2">
      <c r="C4589"/>
      <c r="M4589"/>
    </row>
    <row r="4590" spans="3:13" ht="12.75" customHeight="1" x14ac:dyDescent="0.2">
      <c r="C4590"/>
      <c r="M4590"/>
    </row>
    <row r="4591" spans="3:13" ht="12.75" customHeight="1" x14ac:dyDescent="0.2">
      <c r="C4591"/>
      <c r="M4591"/>
    </row>
    <row r="4592" spans="3:13" ht="12.75" customHeight="1" x14ac:dyDescent="0.2">
      <c r="C4592"/>
      <c r="M4592"/>
    </row>
    <row r="4593" spans="3:13" ht="12.75" customHeight="1" x14ac:dyDescent="0.2">
      <c r="C4593"/>
      <c r="M4593"/>
    </row>
    <row r="4594" spans="3:13" ht="12.75" customHeight="1" x14ac:dyDescent="0.2">
      <c r="C4594"/>
      <c r="M4594"/>
    </row>
    <row r="4595" spans="3:13" ht="12.75" customHeight="1" x14ac:dyDescent="0.2">
      <c r="C4595"/>
      <c r="M4595"/>
    </row>
    <row r="4596" spans="3:13" ht="12.75" customHeight="1" x14ac:dyDescent="0.2">
      <c r="C4596"/>
      <c r="M4596"/>
    </row>
    <row r="4597" spans="3:13" ht="12.75" customHeight="1" x14ac:dyDescent="0.2">
      <c r="C4597"/>
      <c r="M4597"/>
    </row>
    <row r="4598" spans="3:13" ht="12.75" customHeight="1" x14ac:dyDescent="0.2">
      <c r="C4598"/>
      <c r="M4598"/>
    </row>
    <row r="4599" spans="3:13" ht="12.75" customHeight="1" x14ac:dyDescent="0.2">
      <c r="C4599"/>
      <c r="M4599"/>
    </row>
    <row r="4600" spans="3:13" ht="12.75" customHeight="1" x14ac:dyDescent="0.2">
      <c r="C4600"/>
      <c r="M4600"/>
    </row>
    <row r="4601" spans="3:13" ht="12.75" customHeight="1" x14ac:dyDescent="0.2">
      <c r="C4601"/>
      <c r="M4601"/>
    </row>
    <row r="4602" spans="3:13" ht="12.75" customHeight="1" x14ac:dyDescent="0.2">
      <c r="C4602"/>
      <c r="M4602"/>
    </row>
    <row r="4603" spans="3:13" ht="12.75" customHeight="1" x14ac:dyDescent="0.2">
      <c r="C4603"/>
      <c r="M4603"/>
    </row>
    <row r="4604" spans="3:13" ht="12.75" customHeight="1" x14ac:dyDescent="0.2">
      <c r="C4604"/>
      <c r="M4604"/>
    </row>
    <row r="4605" spans="3:13" ht="12.75" customHeight="1" x14ac:dyDescent="0.2">
      <c r="C4605"/>
      <c r="M4605"/>
    </row>
    <row r="4606" spans="3:13" ht="12.75" customHeight="1" x14ac:dyDescent="0.2">
      <c r="C4606"/>
      <c r="M4606"/>
    </row>
    <row r="4607" spans="3:13" ht="12.75" customHeight="1" x14ac:dyDescent="0.2">
      <c r="C4607"/>
      <c r="M4607"/>
    </row>
    <row r="4608" spans="3:13" ht="12.75" customHeight="1" x14ac:dyDescent="0.2">
      <c r="C4608"/>
      <c r="M4608"/>
    </row>
    <row r="4609" spans="3:13" ht="12.75" customHeight="1" x14ac:dyDescent="0.2">
      <c r="C4609"/>
      <c r="M4609"/>
    </row>
    <row r="4610" spans="3:13" ht="12.75" customHeight="1" x14ac:dyDescent="0.2">
      <c r="C4610"/>
      <c r="M4610"/>
    </row>
    <row r="4611" spans="3:13" ht="12.75" customHeight="1" x14ac:dyDescent="0.2">
      <c r="C4611"/>
      <c r="M4611"/>
    </row>
    <row r="4612" spans="3:13" ht="12.75" customHeight="1" x14ac:dyDescent="0.2">
      <c r="C4612"/>
      <c r="M4612"/>
    </row>
    <row r="4613" spans="3:13" ht="12.75" customHeight="1" x14ac:dyDescent="0.2">
      <c r="C4613"/>
      <c r="M4613"/>
    </row>
    <row r="4614" spans="3:13" ht="12.75" customHeight="1" x14ac:dyDescent="0.2">
      <c r="C4614"/>
      <c r="M4614"/>
    </row>
    <row r="4615" spans="3:13" ht="12.75" customHeight="1" x14ac:dyDescent="0.2">
      <c r="C4615"/>
      <c r="M4615"/>
    </row>
    <row r="4616" spans="3:13" ht="12.75" customHeight="1" x14ac:dyDescent="0.2">
      <c r="C4616"/>
      <c r="M4616"/>
    </row>
    <row r="4617" spans="3:13" ht="12.75" customHeight="1" x14ac:dyDescent="0.2">
      <c r="C4617"/>
      <c r="M4617"/>
    </row>
    <row r="4618" spans="3:13" ht="12.75" customHeight="1" x14ac:dyDescent="0.2">
      <c r="C4618"/>
      <c r="M4618"/>
    </row>
    <row r="4619" spans="3:13" ht="12.75" customHeight="1" x14ac:dyDescent="0.2">
      <c r="C4619"/>
      <c r="M4619"/>
    </row>
    <row r="4620" spans="3:13" ht="12.75" customHeight="1" x14ac:dyDescent="0.2">
      <c r="C4620"/>
      <c r="M4620"/>
    </row>
    <row r="4621" spans="3:13" ht="12.75" customHeight="1" x14ac:dyDescent="0.2">
      <c r="C4621"/>
      <c r="M4621"/>
    </row>
    <row r="4622" spans="3:13" ht="12.75" customHeight="1" x14ac:dyDescent="0.2">
      <c r="C4622"/>
      <c r="M4622"/>
    </row>
    <row r="4623" spans="3:13" ht="12.75" customHeight="1" x14ac:dyDescent="0.2">
      <c r="C4623"/>
      <c r="M4623"/>
    </row>
    <row r="4624" spans="3:13" ht="12.75" customHeight="1" x14ac:dyDescent="0.2">
      <c r="C4624"/>
      <c r="M4624"/>
    </row>
    <row r="4625" spans="3:13" ht="12.75" customHeight="1" x14ac:dyDescent="0.2">
      <c r="C4625"/>
      <c r="M4625"/>
    </row>
    <row r="4626" spans="3:13" ht="12.75" customHeight="1" x14ac:dyDescent="0.2">
      <c r="C4626"/>
      <c r="M4626"/>
    </row>
    <row r="4627" spans="3:13" ht="12.75" customHeight="1" x14ac:dyDescent="0.2">
      <c r="C4627"/>
      <c r="M4627"/>
    </row>
    <row r="4628" spans="3:13" ht="12.75" customHeight="1" x14ac:dyDescent="0.2">
      <c r="C4628"/>
      <c r="M4628"/>
    </row>
    <row r="4629" spans="3:13" ht="12.75" customHeight="1" x14ac:dyDescent="0.2">
      <c r="C4629"/>
      <c r="M4629"/>
    </row>
    <row r="4630" spans="3:13" ht="12.75" customHeight="1" x14ac:dyDescent="0.2">
      <c r="C4630"/>
      <c r="M4630"/>
    </row>
    <row r="4631" spans="3:13" ht="12.75" customHeight="1" x14ac:dyDescent="0.2">
      <c r="C4631"/>
      <c r="M4631"/>
    </row>
    <row r="4632" spans="3:13" ht="12.75" customHeight="1" x14ac:dyDescent="0.2">
      <c r="C4632"/>
      <c r="M4632"/>
    </row>
    <row r="4633" spans="3:13" ht="12.75" customHeight="1" x14ac:dyDescent="0.2">
      <c r="C4633"/>
      <c r="M4633"/>
    </row>
    <row r="4634" spans="3:13" ht="12.75" customHeight="1" x14ac:dyDescent="0.2">
      <c r="C4634"/>
      <c r="M4634"/>
    </row>
    <row r="4635" spans="3:13" ht="12.75" customHeight="1" x14ac:dyDescent="0.2">
      <c r="C4635"/>
      <c r="M4635"/>
    </row>
    <row r="4636" spans="3:13" ht="12.75" customHeight="1" x14ac:dyDescent="0.2">
      <c r="C4636"/>
      <c r="M4636"/>
    </row>
    <row r="4637" spans="3:13" ht="12.75" customHeight="1" x14ac:dyDescent="0.2">
      <c r="C4637"/>
      <c r="M4637"/>
    </row>
    <row r="4638" spans="3:13" ht="12.75" customHeight="1" x14ac:dyDescent="0.2">
      <c r="C4638"/>
      <c r="M4638"/>
    </row>
    <row r="4639" spans="3:13" ht="12.75" customHeight="1" x14ac:dyDescent="0.2">
      <c r="C4639"/>
      <c r="M4639"/>
    </row>
    <row r="4640" spans="3:13" ht="12.75" customHeight="1" x14ac:dyDescent="0.2">
      <c r="C4640"/>
      <c r="M4640"/>
    </row>
    <row r="4641" spans="3:13" ht="12.75" customHeight="1" x14ac:dyDescent="0.2">
      <c r="C4641"/>
      <c r="M4641"/>
    </row>
    <row r="4642" spans="3:13" ht="12.75" customHeight="1" x14ac:dyDescent="0.2">
      <c r="C4642"/>
      <c r="M4642"/>
    </row>
    <row r="4643" spans="3:13" ht="12.75" customHeight="1" x14ac:dyDescent="0.2">
      <c r="C4643"/>
      <c r="M4643"/>
    </row>
    <row r="4644" spans="3:13" ht="12.75" customHeight="1" x14ac:dyDescent="0.2">
      <c r="C4644"/>
      <c r="M4644"/>
    </row>
    <row r="4645" spans="3:13" ht="12.75" customHeight="1" x14ac:dyDescent="0.2">
      <c r="C4645"/>
      <c r="M4645"/>
    </row>
    <row r="4646" spans="3:13" ht="12.75" customHeight="1" x14ac:dyDescent="0.2">
      <c r="C4646"/>
      <c r="M4646"/>
    </row>
    <row r="4647" spans="3:13" ht="12.75" customHeight="1" x14ac:dyDescent="0.2">
      <c r="C4647"/>
      <c r="M4647"/>
    </row>
    <row r="4648" spans="3:13" ht="12.75" customHeight="1" x14ac:dyDescent="0.2">
      <c r="C4648"/>
      <c r="M4648"/>
    </row>
    <row r="4649" spans="3:13" ht="12.75" customHeight="1" x14ac:dyDescent="0.2">
      <c r="C4649"/>
      <c r="M4649"/>
    </row>
    <row r="4650" spans="3:13" ht="12.75" customHeight="1" x14ac:dyDescent="0.2">
      <c r="C4650"/>
      <c r="M4650"/>
    </row>
    <row r="4651" spans="3:13" ht="12.75" customHeight="1" x14ac:dyDescent="0.2">
      <c r="C4651"/>
      <c r="M4651"/>
    </row>
    <row r="4652" spans="3:13" ht="12.75" customHeight="1" x14ac:dyDescent="0.2">
      <c r="C4652"/>
      <c r="M4652"/>
    </row>
    <row r="4653" spans="3:13" ht="12.75" customHeight="1" x14ac:dyDescent="0.2">
      <c r="C4653"/>
      <c r="M4653"/>
    </row>
    <row r="4654" spans="3:13" ht="12.75" customHeight="1" x14ac:dyDescent="0.2">
      <c r="C4654"/>
      <c r="M4654"/>
    </row>
    <row r="4655" spans="3:13" ht="12.75" customHeight="1" x14ac:dyDescent="0.2">
      <c r="C4655"/>
      <c r="M4655"/>
    </row>
    <row r="4656" spans="3:13" ht="12.75" customHeight="1" x14ac:dyDescent="0.2">
      <c r="C4656"/>
      <c r="M4656"/>
    </row>
    <row r="4657" spans="3:13" ht="12.75" customHeight="1" x14ac:dyDescent="0.2">
      <c r="C4657"/>
      <c r="M4657"/>
    </row>
    <row r="4658" spans="3:13" ht="12.75" customHeight="1" x14ac:dyDescent="0.2">
      <c r="C4658"/>
      <c r="M4658"/>
    </row>
    <row r="4659" spans="3:13" ht="12.75" customHeight="1" x14ac:dyDescent="0.2">
      <c r="C4659"/>
      <c r="M4659"/>
    </row>
    <row r="4660" spans="3:13" ht="12.75" customHeight="1" x14ac:dyDescent="0.2">
      <c r="C4660"/>
      <c r="M4660"/>
    </row>
    <row r="4661" spans="3:13" ht="12.75" customHeight="1" x14ac:dyDescent="0.2">
      <c r="C4661"/>
      <c r="M4661"/>
    </row>
    <row r="4662" spans="3:13" ht="12.75" customHeight="1" x14ac:dyDescent="0.2">
      <c r="C4662"/>
      <c r="M4662"/>
    </row>
    <row r="4663" spans="3:13" ht="12.75" customHeight="1" x14ac:dyDescent="0.2">
      <c r="C4663"/>
      <c r="M4663"/>
    </row>
    <row r="4664" spans="3:13" ht="12.75" customHeight="1" x14ac:dyDescent="0.2">
      <c r="C4664"/>
      <c r="M4664"/>
    </row>
    <row r="4665" spans="3:13" ht="12.75" customHeight="1" x14ac:dyDescent="0.2">
      <c r="C4665"/>
      <c r="M4665"/>
    </row>
    <row r="4666" spans="3:13" ht="12.75" customHeight="1" x14ac:dyDescent="0.2">
      <c r="C4666"/>
      <c r="M4666"/>
    </row>
    <row r="4667" spans="3:13" ht="12.75" customHeight="1" x14ac:dyDescent="0.2">
      <c r="C4667"/>
      <c r="M4667"/>
    </row>
    <row r="4668" spans="3:13" ht="12.75" customHeight="1" x14ac:dyDescent="0.2">
      <c r="C4668"/>
      <c r="M4668"/>
    </row>
    <row r="4669" spans="3:13" ht="12.75" customHeight="1" x14ac:dyDescent="0.2">
      <c r="C4669"/>
      <c r="M4669"/>
    </row>
    <row r="4670" spans="3:13" ht="12.75" customHeight="1" x14ac:dyDescent="0.2">
      <c r="C4670"/>
      <c r="M4670"/>
    </row>
    <row r="4671" spans="3:13" ht="12.75" customHeight="1" x14ac:dyDescent="0.2">
      <c r="C4671"/>
      <c r="M4671"/>
    </row>
    <row r="4672" spans="3:13" ht="12.75" customHeight="1" x14ac:dyDescent="0.2">
      <c r="C4672"/>
      <c r="M4672"/>
    </row>
    <row r="4673" spans="3:13" ht="12.75" customHeight="1" x14ac:dyDescent="0.2">
      <c r="C4673"/>
      <c r="M4673"/>
    </row>
    <row r="4674" spans="3:13" ht="12.75" customHeight="1" x14ac:dyDescent="0.2">
      <c r="C4674"/>
      <c r="M4674"/>
    </row>
    <row r="4675" spans="3:13" ht="12.75" customHeight="1" x14ac:dyDescent="0.2">
      <c r="C4675"/>
      <c r="M4675"/>
    </row>
    <row r="4676" spans="3:13" ht="12.75" customHeight="1" x14ac:dyDescent="0.2">
      <c r="C4676"/>
      <c r="M4676"/>
    </row>
    <row r="4677" spans="3:13" ht="12.75" customHeight="1" x14ac:dyDescent="0.2">
      <c r="C4677"/>
      <c r="M4677"/>
    </row>
    <row r="4678" spans="3:13" ht="12.75" customHeight="1" x14ac:dyDescent="0.2">
      <c r="C4678"/>
      <c r="M4678"/>
    </row>
    <row r="4679" spans="3:13" ht="12.75" customHeight="1" x14ac:dyDescent="0.2">
      <c r="C4679"/>
      <c r="M4679"/>
    </row>
    <row r="4680" spans="3:13" ht="12.75" customHeight="1" x14ac:dyDescent="0.2">
      <c r="C4680"/>
      <c r="M4680"/>
    </row>
    <row r="4681" spans="3:13" ht="12.75" customHeight="1" x14ac:dyDescent="0.2">
      <c r="C4681"/>
      <c r="M4681"/>
    </row>
    <row r="4682" spans="3:13" ht="12.75" customHeight="1" x14ac:dyDescent="0.2">
      <c r="C4682"/>
      <c r="M4682"/>
    </row>
    <row r="4683" spans="3:13" ht="12.75" customHeight="1" x14ac:dyDescent="0.2">
      <c r="C4683"/>
      <c r="M4683"/>
    </row>
    <row r="4684" spans="3:13" ht="12.75" customHeight="1" x14ac:dyDescent="0.2">
      <c r="C4684"/>
      <c r="M4684"/>
    </row>
    <row r="4685" spans="3:13" ht="12.75" customHeight="1" x14ac:dyDescent="0.2">
      <c r="C4685"/>
      <c r="M4685"/>
    </row>
    <row r="4686" spans="3:13" ht="12.75" customHeight="1" x14ac:dyDescent="0.2">
      <c r="C4686"/>
      <c r="M4686"/>
    </row>
    <row r="4687" spans="3:13" ht="12.75" customHeight="1" x14ac:dyDescent="0.2">
      <c r="C4687"/>
      <c r="M4687"/>
    </row>
    <row r="4688" spans="3:13" ht="12.75" customHeight="1" x14ac:dyDescent="0.2">
      <c r="C4688"/>
      <c r="M4688"/>
    </row>
    <row r="4689" spans="3:13" ht="12.75" customHeight="1" x14ac:dyDescent="0.2">
      <c r="C4689"/>
      <c r="M4689"/>
    </row>
    <row r="4690" spans="3:13" ht="12.75" customHeight="1" x14ac:dyDescent="0.2">
      <c r="C4690"/>
      <c r="M4690"/>
    </row>
    <row r="4691" spans="3:13" ht="12.75" customHeight="1" x14ac:dyDescent="0.2">
      <c r="C4691"/>
      <c r="M4691"/>
    </row>
    <row r="4692" spans="3:13" ht="12.75" customHeight="1" x14ac:dyDescent="0.2">
      <c r="C4692"/>
      <c r="M4692"/>
    </row>
    <row r="4693" spans="3:13" ht="12.75" customHeight="1" x14ac:dyDescent="0.2">
      <c r="C4693"/>
      <c r="M4693"/>
    </row>
    <row r="4694" spans="3:13" ht="12.75" customHeight="1" x14ac:dyDescent="0.2">
      <c r="C4694"/>
      <c r="M4694"/>
    </row>
    <row r="4695" spans="3:13" ht="12.75" customHeight="1" x14ac:dyDescent="0.2">
      <c r="C4695"/>
      <c r="M4695"/>
    </row>
    <row r="4696" spans="3:13" ht="12.75" customHeight="1" x14ac:dyDescent="0.2">
      <c r="C4696"/>
      <c r="M4696"/>
    </row>
    <row r="4697" spans="3:13" ht="12.75" customHeight="1" x14ac:dyDescent="0.2">
      <c r="C4697"/>
      <c r="M4697"/>
    </row>
    <row r="4698" spans="3:13" ht="12.75" customHeight="1" x14ac:dyDescent="0.2">
      <c r="C4698"/>
      <c r="M4698"/>
    </row>
    <row r="4699" spans="3:13" ht="12.75" customHeight="1" x14ac:dyDescent="0.2">
      <c r="C4699"/>
      <c r="M4699"/>
    </row>
    <row r="4700" spans="3:13" ht="12.75" customHeight="1" x14ac:dyDescent="0.2">
      <c r="C4700"/>
      <c r="M4700"/>
    </row>
    <row r="4701" spans="3:13" ht="12.75" customHeight="1" x14ac:dyDescent="0.2">
      <c r="C4701"/>
      <c r="M4701"/>
    </row>
    <row r="4702" spans="3:13" ht="12.75" customHeight="1" x14ac:dyDescent="0.2">
      <c r="C4702"/>
      <c r="M4702"/>
    </row>
    <row r="4703" spans="3:13" ht="12.75" customHeight="1" x14ac:dyDescent="0.2">
      <c r="C4703"/>
      <c r="M4703"/>
    </row>
    <row r="4704" spans="3:13" ht="12.75" customHeight="1" x14ac:dyDescent="0.2">
      <c r="C4704"/>
      <c r="M4704"/>
    </row>
    <row r="4705" spans="3:13" ht="12.75" customHeight="1" x14ac:dyDescent="0.2">
      <c r="C4705"/>
      <c r="M4705"/>
    </row>
    <row r="4706" spans="3:13" ht="12.75" customHeight="1" x14ac:dyDescent="0.2">
      <c r="C4706"/>
      <c r="M4706"/>
    </row>
    <row r="4707" spans="3:13" ht="12.75" customHeight="1" x14ac:dyDescent="0.2">
      <c r="C4707"/>
      <c r="M4707"/>
    </row>
    <row r="4708" spans="3:13" ht="12.75" customHeight="1" x14ac:dyDescent="0.2">
      <c r="C4708"/>
      <c r="M4708"/>
    </row>
    <row r="4709" spans="3:13" ht="12.75" customHeight="1" x14ac:dyDescent="0.2">
      <c r="C4709"/>
      <c r="M4709"/>
    </row>
    <row r="4710" spans="3:13" ht="12.75" customHeight="1" x14ac:dyDescent="0.2">
      <c r="C4710"/>
      <c r="M4710"/>
    </row>
    <row r="4711" spans="3:13" ht="12.75" customHeight="1" x14ac:dyDescent="0.2">
      <c r="C4711"/>
      <c r="M4711"/>
    </row>
    <row r="4712" spans="3:13" ht="12.75" customHeight="1" x14ac:dyDescent="0.2">
      <c r="C4712"/>
      <c r="M4712"/>
    </row>
    <row r="4713" spans="3:13" ht="12.75" customHeight="1" x14ac:dyDescent="0.2">
      <c r="C4713"/>
      <c r="M4713"/>
    </row>
    <row r="4714" spans="3:13" ht="12.75" customHeight="1" x14ac:dyDescent="0.2">
      <c r="C4714"/>
      <c r="M4714"/>
    </row>
    <row r="4715" spans="3:13" ht="12.75" customHeight="1" x14ac:dyDescent="0.2">
      <c r="C4715"/>
      <c r="M4715"/>
    </row>
    <row r="4716" spans="3:13" ht="12.75" customHeight="1" x14ac:dyDescent="0.2">
      <c r="C4716"/>
      <c r="M4716"/>
    </row>
    <row r="4717" spans="3:13" ht="12.75" customHeight="1" x14ac:dyDescent="0.2">
      <c r="C4717"/>
      <c r="M4717"/>
    </row>
    <row r="4718" spans="3:13" ht="12.75" customHeight="1" x14ac:dyDescent="0.2">
      <c r="C4718"/>
      <c r="M4718"/>
    </row>
    <row r="4719" spans="3:13" ht="12.75" customHeight="1" x14ac:dyDescent="0.2">
      <c r="C4719"/>
      <c r="M4719"/>
    </row>
    <row r="4720" spans="3:13" ht="12.75" customHeight="1" x14ac:dyDescent="0.2">
      <c r="C4720"/>
      <c r="M4720"/>
    </row>
    <row r="4721" spans="3:13" ht="12.75" customHeight="1" x14ac:dyDescent="0.2">
      <c r="C4721"/>
      <c r="M4721"/>
    </row>
    <row r="4722" spans="3:13" ht="12.75" customHeight="1" x14ac:dyDescent="0.2">
      <c r="C4722"/>
      <c r="M4722"/>
    </row>
    <row r="4723" spans="3:13" ht="12.75" customHeight="1" x14ac:dyDescent="0.2">
      <c r="C4723"/>
      <c r="M4723"/>
    </row>
    <row r="4724" spans="3:13" ht="12.75" customHeight="1" x14ac:dyDescent="0.2">
      <c r="C4724"/>
      <c r="M4724"/>
    </row>
    <row r="4725" spans="3:13" ht="12.75" customHeight="1" x14ac:dyDescent="0.2">
      <c r="C4725"/>
      <c r="M4725"/>
    </row>
    <row r="4726" spans="3:13" ht="12.75" customHeight="1" x14ac:dyDescent="0.2">
      <c r="C4726"/>
      <c r="M4726"/>
    </row>
    <row r="4727" spans="3:13" ht="12.75" customHeight="1" x14ac:dyDescent="0.2">
      <c r="C4727"/>
      <c r="M4727"/>
    </row>
    <row r="4728" spans="3:13" ht="12.75" customHeight="1" x14ac:dyDescent="0.2">
      <c r="C4728"/>
      <c r="M4728"/>
    </row>
    <row r="4729" spans="3:13" ht="12.75" customHeight="1" x14ac:dyDescent="0.2">
      <c r="C4729"/>
      <c r="M4729"/>
    </row>
    <row r="4730" spans="3:13" ht="12.75" customHeight="1" x14ac:dyDescent="0.2">
      <c r="C4730"/>
      <c r="M4730"/>
    </row>
    <row r="4731" spans="3:13" ht="12.75" customHeight="1" x14ac:dyDescent="0.2">
      <c r="C4731"/>
      <c r="M4731"/>
    </row>
    <row r="4732" spans="3:13" ht="12.75" customHeight="1" x14ac:dyDescent="0.2">
      <c r="C4732"/>
      <c r="M4732"/>
    </row>
    <row r="4733" spans="3:13" ht="12.75" customHeight="1" x14ac:dyDescent="0.2">
      <c r="C4733"/>
      <c r="M4733"/>
    </row>
    <row r="4734" spans="3:13" ht="12.75" customHeight="1" x14ac:dyDescent="0.2">
      <c r="C4734"/>
      <c r="M4734"/>
    </row>
    <row r="4735" spans="3:13" ht="12.75" customHeight="1" x14ac:dyDescent="0.2">
      <c r="C4735"/>
      <c r="M4735"/>
    </row>
    <row r="4736" spans="3:13" ht="12.75" customHeight="1" x14ac:dyDescent="0.2">
      <c r="C4736"/>
      <c r="M4736"/>
    </row>
    <row r="4737" spans="3:13" ht="12.75" customHeight="1" x14ac:dyDescent="0.2">
      <c r="C4737"/>
      <c r="M4737"/>
    </row>
    <row r="4738" spans="3:13" ht="12.75" customHeight="1" x14ac:dyDescent="0.2">
      <c r="C4738"/>
      <c r="M4738"/>
    </row>
    <row r="4739" spans="3:13" ht="12.75" customHeight="1" x14ac:dyDescent="0.2">
      <c r="C4739"/>
      <c r="M4739"/>
    </row>
    <row r="4740" spans="3:13" ht="12.75" customHeight="1" x14ac:dyDescent="0.2">
      <c r="C4740"/>
      <c r="M4740"/>
    </row>
    <row r="4741" spans="3:13" ht="12.75" customHeight="1" x14ac:dyDescent="0.2">
      <c r="C4741"/>
      <c r="M4741"/>
    </row>
    <row r="4742" spans="3:13" ht="12.75" customHeight="1" x14ac:dyDescent="0.2">
      <c r="C4742"/>
      <c r="M4742"/>
    </row>
    <row r="4743" spans="3:13" ht="12.75" customHeight="1" x14ac:dyDescent="0.2">
      <c r="C4743"/>
      <c r="M4743"/>
    </row>
    <row r="4744" spans="3:13" ht="12.75" customHeight="1" x14ac:dyDescent="0.2">
      <c r="C4744"/>
      <c r="M4744"/>
    </row>
    <row r="4745" spans="3:13" ht="12.75" customHeight="1" x14ac:dyDescent="0.2">
      <c r="C4745"/>
      <c r="M4745"/>
    </row>
    <row r="4746" spans="3:13" ht="12.75" customHeight="1" x14ac:dyDescent="0.2">
      <c r="C4746"/>
      <c r="M4746"/>
    </row>
    <row r="4747" spans="3:13" ht="12.75" customHeight="1" x14ac:dyDescent="0.2">
      <c r="C4747"/>
      <c r="M4747"/>
    </row>
    <row r="4748" spans="3:13" ht="12.75" customHeight="1" x14ac:dyDescent="0.2">
      <c r="C4748"/>
      <c r="M4748"/>
    </row>
    <row r="4749" spans="3:13" ht="12.75" customHeight="1" x14ac:dyDescent="0.2">
      <c r="C4749"/>
      <c r="M4749"/>
    </row>
    <row r="4750" spans="3:13" ht="12.75" customHeight="1" x14ac:dyDescent="0.2">
      <c r="C4750"/>
      <c r="M4750"/>
    </row>
    <row r="4751" spans="3:13" ht="12.75" customHeight="1" x14ac:dyDescent="0.2">
      <c r="C4751"/>
      <c r="M4751"/>
    </row>
    <row r="4752" spans="3:13" ht="12.75" customHeight="1" x14ac:dyDescent="0.2">
      <c r="C4752"/>
      <c r="M4752"/>
    </row>
    <row r="4753" spans="3:13" ht="12.75" customHeight="1" x14ac:dyDescent="0.2">
      <c r="C4753"/>
      <c r="M4753"/>
    </row>
    <row r="4754" spans="3:13" ht="12.75" customHeight="1" x14ac:dyDescent="0.2">
      <c r="C4754"/>
      <c r="M4754"/>
    </row>
    <row r="4755" spans="3:13" ht="12.75" customHeight="1" x14ac:dyDescent="0.2">
      <c r="C4755"/>
      <c r="M4755"/>
    </row>
    <row r="4756" spans="3:13" ht="12.75" customHeight="1" x14ac:dyDescent="0.2">
      <c r="C4756"/>
      <c r="M4756"/>
    </row>
    <row r="4757" spans="3:13" ht="12.75" customHeight="1" x14ac:dyDescent="0.2">
      <c r="C4757"/>
      <c r="M4757"/>
    </row>
    <row r="4758" spans="3:13" ht="12.75" customHeight="1" x14ac:dyDescent="0.2">
      <c r="C4758"/>
      <c r="M4758"/>
    </row>
    <row r="4759" spans="3:13" ht="12.75" customHeight="1" x14ac:dyDescent="0.2">
      <c r="C4759"/>
      <c r="M4759"/>
    </row>
    <row r="4760" spans="3:13" ht="12.75" customHeight="1" x14ac:dyDescent="0.2">
      <c r="C4760"/>
      <c r="M4760"/>
    </row>
    <row r="4761" spans="3:13" ht="12.75" customHeight="1" x14ac:dyDescent="0.2">
      <c r="C4761"/>
      <c r="M4761"/>
    </row>
    <row r="4762" spans="3:13" ht="12.75" customHeight="1" x14ac:dyDescent="0.2">
      <c r="C4762"/>
      <c r="M4762"/>
    </row>
    <row r="4763" spans="3:13" ht="12.75" customHeight="1" x14ac:dyDescent="0.2">
      <c r="C4763"/>
      <c r="M4763"/>
    </row>
    <row r="4764" spans="3:13" ht="12.75" customHeight="1" x14ac:dyDescent="0.2">
      <c r="C4764"/>
      <c r="M4764"/>
    </row>
    <row r="4765" spans="3:13" ht="12.75" customHeight="1" x14ac:dyDescent="0.2">
      <c r="C4765"/>
      <c r="M4765"/>
    </row>
    <row r="4766" spans="3:13" ht="12.75" customHeight="1" x14ac:dyDescent="0.2">
      <c r="C4766"/>
      <c r="M4766"/>
    </row>
    <row r="4767" spans="3:13" ht="12.75" customHeight="1" x14ac:dyDescent="0.2">
      <c r="C4767"/>
      <c r="M4767"/>
    </row>
    <row r="4768" spans="3:13" ht="12.75" customHeight="1" x14ac:dyDescent="0.2">
      <c r="C4768"/>
      <c r="M4768"/>
    </row>
    <row r="4769" spans="3:13" ht="12.75" customHeight="1" x14ac:dyDescent="0.2">
      <c r="C4769"/>
      <c r="M4769"/>
    </row>
    <row r="4770" spans="3:13" ht="12.75" customHeight="1" x14ac:dyDescent="0.2">
      <c r="C4770"/>
      <c r="M4770"/>
    </row>
    <row r="4771" spans="3:13" ht="12.75" customHeight="1" x14ac:dyDescent="0.2">
      <c r="C4771"/>
      <c r="M4771"/>
    </row>
    <row r="4772" spans="3:13" ht="12.75" customHeight="1" x14ac:dyDescent="0.2">
      <c r="C4772"/>
      <c r="M4772"/>
    </row>
    <row r="4773" spans="3:13" ht="12.75" customHeight="1" x14ac:dyDescent="0.2">
      <c r="C4773"/>
      <c r="M4773"/>
    </row>
    <row r="4774" spans="3:13" ht="12.75" customHeight="1" x14ac:dyDescent="0.2">
      <c r="C4774"/>
      <c r="M4774"/>
    </row>
    <row r="4775" spans="3:13" ht="12.75" customHeight="1" x14ac:dyDescent="0.2">
      <c r="C4775"/>
      <c r="M4775"/>
    </row>
    <row r="4776" spans="3:13" ht="12.75" customHeight="1" x14ac:dyDescent="0.2">
      <c r="C4776"/>
      <c r="M4776"/>
    </row>
    <row r="4777" spans="3:13" ht="12.75" customHeight="1" x14ac:dyDescent="0.2">
      <c r="C4777"/>
      <c r="M4777"/>
    </row>
    <row r="4778" spans="3:13" ht="12.75" customHeight="1" x14ac:dyDescent="0.2">
      <c r="C4778"/>
      <c r="M4778"/>
    </row>
    <row r="4779" spans="3:13" ht="12.75" customHeight="1" x14ac:dyDescent="0.2">
      <c r="C4779"/>
      <c r="M4779"/>
    </row>
    <row r="4780" spans="3:13" ht="12.75" customHeight="1" x14ac:dyDescent="0.2">
      <c r="C4780"/>
      <c r="M4780"/>
    </row>
    <row r="4781" spans="3:13" ht="12.75" customHeight="1" x14ac:dyDescent="0.2">
      <c r="C4781"/>
      <c r="M4781"/>
    </row>
    <row r="4782" spans="3:13" ht="12.75" customHeight="1" x14ac:dyDescent="0.2">
      <c r="C4782"/>
      <c r="M4782"/>
    </row>
    <row r="4783" spans="3:13" ht="12.75" customHeight="1" x14ac:dyDescent="0.2">
      <c r="C4783"/>
      <c r="M4783"/>
    </row>
    <row r="4784" spans="3:13" ht="12.75" customHeight="1" x14ac:dyDescent="0.2">
      <c r="C4784"/>
      <c r="M4784"/>
    </row>
    <row r="4785" spans="3:13" ht="12.75" customHeight="1" x14ac:dyDescent="0.2">
      <c r="C4785"/>
      <c r="M4785"/>
    </row>
    <row r="4786" spans="3:13" ht="12.75" customHeight="1" x14ac:dyDescent="0.2">
      <c r="C4786"/>
      <c r="M4786"/>
    </row>
    <row r="4787" spans="3:13" ht="12.75" customHeight="1" x14ac:dyDescent="0.2">
      <c r="C4787"/>
      <c r="M4787"/>
    </row>
    <row r="4788" spans="3:13" ht="12.75" customHeight="1" x14ac:dyDescent="0.2">
      <c r="C4788"/>
      <c r="M4788"/>
    </row>
    <row r="4789" spans="3:13" ht="12.75" customHeight="1" x14ac:dyDescent="0.2">
      <c r="C4789"/>
      <c r="M4789"/>
    </row>
    <row r="4790" spans="3:13" ht="12.75" customHeight="1" x14ac:dyDescent="0.2">
      <c r="C4790"/>
      <c r="M4790"/>
    </row>
    <row r="4791" spans="3:13" ht="12.75" customHeight="1" x14ac:dyDescent="0.2">
      <c r="C4791"/>
      <c r="M4791"/>
    </row>
    <row r="4792" spans="3:13" ht="12.75" customHeight="1" x14ac:dyDescent="0.2">
      <c r="C4792"/>
      <c r="M4792"/>
    </row>
    <row r="4793" spans="3:13" ht="12.75" customHeight="1" x14ac:dyDescent="0.2">
      <c r="C4793"/>
      <c r="M4793"/>
    </row>
    <row r="4794" spans="3:13" ht="12.75" customHeight="1" x14ac:dyDescent="0.2">
      <c r="C4794"/>
      <c r="M4794"/>
    </row>
    <row r="4795" spans="3:13" ht="12.75" customHeight="1" x14ac:dyDescent="0.2">
      <c r="C4795"/>
      <c r="M4795"/>
    </row>
    <row r="4796" spans="3:13" ht="12.75" customHeight="1" x14ac:dyDescent="0.2">
      <c r="C4796"/>
      <c r="M4796"/>
    </row>
    <row r="4797" spans="3:13" ht="12.75" customHeight="1" x14ac:dyDescent="0.2">
      <c r="C4797"/>
      <c r="M4797"/>
    </row>
    <row r="4798" spans="3:13" ht="12.75" customHeight="1" x14ac:dyDescent="0.2">
      <c r="C4798"/>
      <c r="M4798"/>
    </row>
    <row r="4799" spans="3:13" ht="12.75" customHeight="1" x14ac:dyDescent="0.2">
      <c r="C4799"/>
      <c r="M4799"/>
    </row>
    <row r="4800" spans="3:13" ht="12.75" customHeight="1" x14ac:dyDescent="0.2">
      <c r="C4800"/>
      <c r="M4800"/>
    </row>
    <row r="4801" spans="3:13" ht="12.75" customHeight="1" x14ac:dyDescent="0.2">
      <c r="C4801"/>
      <c r="M4801"/>
    </row>
    <row r="4802" spans="3:13" ht="12.75" customHeight="1" x14ac:dyDescent="0.2">
      <c r="C4802"/>
      <c r="M4802"/>
    </row>
    <row r="4803" spans="3:13" ht="12.75" customHeight="1" x14ac:dyDescent="0.2">
      <c r="C4803"/>
      <c r="M4803"/>
    </row>
    <row r="4804" spans="3:13" ht="12.75" customHeight="1" x14ac:dyDescent="0.2">
      <c r="C4804"/>
      <c r="M4804"/>
    </row>
    <row r="4805" spans="3:13" ht="12.75" customHeight="1" x14ac:dyDescent="0.2">
      <c r="C4805"/>
      <c r="M4805"/>
    </row>
    <row r="4806" spans="3:13" ht="12.75" customHeight="1" x14ac:dyDescent="0.2">
      <c r="C4806"/>
      <c r="M4806"/>
    </row>
    <row r="4807" spans="3:13" ht="12.75" customHeight="1" x14ac:dyDescent="0.2">
      <c r="C4807"/>
      <c r="M4807"/>
    </row>
    <row r="4808" spans="3:13" ht="12.75" customHeight="1" x14ac:dyDescent="0.2">
      <c r="C4808"/>
      <c r="M4808"/>
    </row>
    <row r="4809" spans="3:13" ht="12.75" customHeight="1" x14ac:dyDescent="0.2">
      <c r="C4809"/>
      <c r="M4809"/>
    </row>
    <row r="4810" spans="3:13" ht="12.75" customHeight="1" x14ac:dyDescent="0.2">
      <c r="C4810"/>
      <c r="M4810"/>
    </row>
    <row r="4811" spans="3:13" ht="12.75" customHeight="1" x14ac:dyDescent="0.2">
      <c r="C4811"/>
      <c r="M4811"/>
    </row>
    <row r="4812" spans="3:13" ht="12.75" customHeight="1" x14ac:dyDescent="0.2">
      <c r="C4812"/>
      <c r="M4812"/>
    </row>
    <row r="4813" spans="3:13" ht="12.75" customHeight="1" x14ac:dyDescent="0.2">
      <c r="C4813"/>
      <c r="M4813"/>
    </row>
    <row r="4814" spans="3:13" ht="12.75" customHeight="1" x14ac:dyDescent="0.2">
      <c r="C4814"/>
      <c r="M4814"/>
    </row>
    <row r="4815" spans="3:13" ht="12.75" customHeight="1" x14ac:dyDescent="0.2">
      <c r="C4815"/>
      <c r="M4815"/>
    </row>
    <row r="4816" spans="3:13" ht="12.75" customHeight="1" x14ac:dyDescent="0.2">
      <c r="C4816"/>
      <c r="M4816"/>
    </row>
    <row r="4817" spans="3:13" ht="12.75" customHeight="1" x14ac:dyDescent="0.2">
      <c r="C4817"/>
      <c r="M4817"/>
    </row>
    <row r="4818" spans="3:13" ht="12.75" customHeight="1" x14ac:dyDescent="0.2">
      <c r="C4818"/>
      <c r="M4818"/>
    </row>
    <row r="4819" spans="3:13" ht="12.75" customHeight="1" x14ac:dyDescent="0.2">
      <c r="C4819"/>
      <c r="M4819"/>
    </row>
    <row r="4820" spans="3:13" ht="12.75" customHeight="1" x14ac:dyDescent="0.2">
      <c r="C4820"/>
      <c r="M4820"/>
    </row>
    <row r="4821" spans="3:13" ht="12.75" customHeight="1" x14ac:dyDescent="0.2">
      <c r="C4821"/>
      <c r="M4821"/>
    </row>
    <row r="4822" spans="3:13" ht="12.75" customHeight="1" x14ac:dyDescent="0.2">
      <c r="C4822"/>
      <c r="M4822"/>
    </row>
    <row r="4823" spans="3:13" ht="12.75" customHeight="1" x14ac:dyDescent="0.2">
      <c r="C4823"/>
      <c r="M4823"/>
    </row>
    <row r="4824" spans="3:13" ht="12.75" customHeight="1" x14ac:dyDescent="0.2">
      <c r="C4824"/>
      <c r="M4824"/>
    </row>
    <row r="4825" spans="3:13" ht="12.75" customHeight="1" x14ac:dyDescent="0.2">
      <c r="C4825"/>
      <c r="M4825"/>
    </row>
    <row r="4826" spans="3:13" ht="12.75" customHeight="1" x14ac:dyDescent="0.2">
      <c r="C4826"/>
      <c r="M4826"/>
    </row>
    <row r="4827" spans="3:13" ht="12.75" customHeight="1" x14ac:dyDescent="0.2">
      <c r="C4827"/>
      <c r="M4827"/>
    </row>
    <row r="4828" spans="3:13" ht="12.75" customHeight="1" x14ac:dyDescent="0.2">
      <c r="C4828"/>
      <c r="M4828"/>
    </row>
    <row r="4829" spans="3:13" ht="12.75" customHeight="1" x14ac:dyDescent="0.2">
      <c r="C4829"/>
      <c r="M4829"/>
    </row>
    <row r="4830" spans="3:13" ht="12.75" customHeight="1" x14ac:dyDescent="0.2">
      <c r="C4830"/>
      <c r="M4830"/>
    </row>
    <row r="4831" spans="3:13" ht="12.75" customHeight="1" x14ac:dyDescent="0.2">
      <c r="C4831"/>
      <c r="M4831"/>
    </row>
    <row r="4832" spans="3:13" ht="12.75" customHeight="1" x14ac:dyDescent="0.2">
      <c r="C4832"/>
      <c r="M4832"/>
    </row>
    <row r="4833" spans="3:13" ht="12.75" customHeight="1" x14ac:dyDescent="0.2">
      <c r="C4833"/>
      <c r="M4833"/>
    </row>
    <row r="4834" spans="3:13" ht="12.75" customHeight="1" x14ac:dyDescent="0.2">
      <c r="C4834"/>
      <c r="M4834"/>
    </row>
    <row r="4835" spans="3:13" ht="12.75" customHeight="1" x14ac:dyDescent="0.2">
      <c r="C4835"/>
      <c r="M4835"/>
    </row>
    <row r="4836" spans="3:13" ht="12.75" customHeight="1" x14ac:dyDescent="0.2">
      <c r="C4836"/>
      <c r="M4836"/>
    </row>
    <row r="4837" spans="3:13" ht="12.75" customHeight="1" x14ac:dyDescent="0.2">
      <c r="C4837"/>
      <c r="M4837"/>
    </row>
    <row r="4838" spans="3:13" ht="12.75" customHeight="1" x14ac:dyDescent="0.2">
      <c r="C4838"/>
      <c r="M4838"/>
    </row>
    <row r="4839" spans="3:13" ht="12.75" customHeight="1" x14ac:dyDescent="0.2">
      <c r="C4839"/>
      <c r="M4839"/>
    </row>
    <row r="4840" spans="3:13" ht="12.75" customHeight="1" x14ac:dyDescent="0.2">
      <c r="C4840"/>
      <c r="M4840"/>
    </row>
    <row r="4841" spans="3:13" ht="12.75" customHeight="1" x14ac:dyDescent="0.2">
      <c r="C4841"/>
      <c r="M4841"/>
    </row>
    <row r="4842" spans="3:13" ht="12.75" customHeight="1" x14ac:dyDescent="0.2">
      <c r="C4842"/>
      <c r="M4842"/>
    </row>
    <row r="4843" spans="3:13" ht="12.75" customHeight="1" x14ac:dyDescent="0.2">
      <c r="C4843"/>
      <c r="M4843"/>
    </row>
    <row r="4844" spans="3:13" ht="12.75" customHeight="1" x14ac:dyDescent="0.2">
      <c r="C4844"/>
      <c r="M4844"/>
    </row>
    <row r="4845" spans="3:13" ht="12.75" customHeight="1" x14ac:dyDescent="0.2">
      <c r="C4845"/>
      <c r="M4845"/>
    </row>
    <row r="4846" spans="3:13" ht="12.75" customHeight="1" x14ac:dyDescent="0.2">
      <c r="C4846"/>
      <c r="M4846"/>
    </row>
    <row r="4847" spans="3:13" ht="12.75" customHeight="1" x14ac:dyDescent="0.2">
      <c r="C4847"/>
      <c r="M4847"/>
    </row>
    <row r="4848" spans="3:13" ht="12.75" customHeight="1" x14ac:dyDescent="0.2">
      <c r="C4848"/>
      <c r="M4848"/>
    </row>
    <row r="4849" spans="3:13" ht="12.75" customHeight="1" x14ac:dyDescent="0.2">
      <c r="C4849"/>
      <c r="M4849"/>
    </row>
    <row r="4850" spans="3:13" ht="12.75" customHeight="1" x14ac:dyDescent="0.2">
      <c r="C4850"/>
      <c r="M4850"/>
    </row>
    <row r="4851" spans="3:13" ht="12.75" customHeight="1" x14ac:dyDescent="0.2">
      <c r="C4851"/>
      <c r="M4851"/>
    </row>
    <row r="4852" spans="3:13" ht="12.75" customHeight="1" x14ac:dyDescent="0.2">
      <c r="C4852"/>
      <c r="M4852"/>
    </row>
    <row r="4853" spans="3:13" ht="12.75" customHeight="1" x14ac:dyDescent="0.2">
      <c r="C4853"/>
      <c r="M4853"/>
    </row>
    <row r="4854" spans="3:13" ht="12.75" customHeight="1" x14ac:dyDescent="0.2">
      <c r="C4854"/>
      <c r="M4854"/>
    </row>
    <row r="4855" spans="3:13" ht="12.75" customHeight="1" x14ac:dyDescent="0.2">
      <c r="C4855"/>
      <c r="M4855"/>
    </row>
    <row r="4856" spans="3:13" ht="12.75" customHeight="1" x14ac:dyDescent="0.2">
      <c r="C4856"/>
      <c r="M4856"/>
    </row>
    <row r="4857" spans="3:13" ht="12.75" customHeight="1" x14ac:dyDescent="0.2">
      <c r="C4857"/>
      <c r="M4857"/>
    </row>
    <row r="4858" spans="3:13" ht="12.75" customHeight="1" x14ac:dyDescent="0.2">
      <c r="C4858"/>
      <c r="M4858"/>
    </row>
    <row r="4859" spans="3:13" ht="12.75" customHeight="1" x14ac:dyDescent="0.2">
      <c r="C4859"/>
      <c r="M4859"/>
    </row>
    <row r="4860" spans="3:13" ht="12.75" customHeight="1" x14ac:dyDescent="0.2">
      <c r="C4860"/>
      <c r="M4860"/>
    </row>
    <row r="4861" spans="3:13" ht="12.75" customHeight="1" x14ac:dyDescent="0.2">
      <c r="C4861"/>
      <c r="M4861"/>
    </row>
    <row r="4862" spans="3:13" ht="12.75" customHeight="1" x14ac:dyDescent="0.2">
      <c r="C4862"/>
      <c r="M4862"/>
    </row>
    <row r="4863" spans="3:13" ht="12.75" customHeight="1" x14ac:dyDescent="0.2">
      <c r="C4863"/>
      <c r="M4863"/>
    </row>
    <row r="4864" spans="3:13" ht="12.75" customHeight="1" x14ac:dyDescent="0.2">
      <c r="C4864"/>
      <c r="M4864"/>
    </row>
    <row r="4865" spans="3:13" ht="12.75" customHeight="1" x14ac:dyDescent="0.2">
      <c r="C4865"/>
      <c r="M4865"/>
    </row>
    <row r="4866" spans="3:13" ht="12.75" customHeight="1" x14ac:dyDescent="0.2">
      <c r="C4866"/>
      <c r="M4866"/>
    </row>
    <row r="4867" spans="3:13" ht="12.75" customHeight="1" x14ac:dyDescent="0.2">
      <c r="C4867"/>
      <c r="M4867"/>
    </row>
    <row r="4868" spans="3:13" ht="12.75" customHeight="1" x14ac:dyDescent="0.2">
      <c r="C4868"/>
      <c r="M4868"/>
    </row>
    <row r="4869" spans="3:13" ht="12.75" customHeight="1" x14ac:dyDescent="0.2">
      <c r="C4869"/>
      <c r="M4869"/>
    </row>
    <row r="4870" spans="3:13" ht="12.75" customHeight="1" x14ac:dyDescent="0.2">
      <c r="C4870"/>
      <c r="M4870"/>
    </row>
    <row r="4871" spans="3:13" ht="12.75" customHeight="1" x14ac:dyDescent="0.2">
      <c r="C4871"/>
      <c r="M4871"/>
    </row>
    <row r="4872" spans="3:13" ht="12.75" customHeight="1" x14ac:dyDescent="0.2">
      <c r="C4872"/>
      <c r="M4872"/>
    </row>
    <row r="4873" spans="3:13" ht="12.75" customHeight="1" x14ac:dyDescent="0.2">
      <c r="C4873"/>
      <c r="M4873"/>
    </row>
    <row r="4874" spans="3:13" ht="12.75" customHeight="1" x14ac:dyDescent="0.2">
      <c r="C4874"/>
      <c r="M4874"/>
    </row>
    <row r="4875" spans="3:13" ht="12.75" customHeight="1" x14ac:dyDescent="0.2">
      <c r="C4875"/>
      <c r="M4875"/>
    </row>
    <row r="4876" spans="3:13" ht="12.75" customHeight="1" x14ac:dyDescent="0.2">
      <c r="C4876"/>
      <c r="M4876"/>
    </row>
    <row r="4877" spans="3:13" ht="12.75" customHeight="1" x14ac:dyDescent="0.2">
      <c r="C4877"/>
      <c r="M4877"/>
    </row>
    <row r="4878" spans="3:13" ht="12.75" customHeight="1" x14ac:dyDescent="0.2">
      <c r="C4878"/>
      <c r="M4878"/>
    </row>
    <row r="4879" spans="3:13" ht="12.75" customHeight="1" x14ac:dyDescent="0.2">
      <c r="C4879"/>
      <c r="M4879"/>
    </row>
    <row r="4880" spans="3:13" ht="12.75" customHeight="1" x14ac:dyDescent="0.2">
      <c r="C4880"/>
      <c r="M4880"/>
    </row>
    <row r="4881" spans="3:13" ht="12.75" customHeight="1" x14ac:dyDescent="0.2">
      <c r="C4881"/>
      <c r="M4881"/>
    </row>
    <row r="4882" spans="3:13" ht="12.75" customHeight="1" x14ac:dyDescent="0.2">
      <c r="C4882"/>
      <c r="M4882"/>
    </row>
    <row r="4883" spans="3:13" ht="12.75" customHeight="1" x14ac:dyDescent="0.2">
      <c r="C4883"/>
      <c r="M4883"/>
    </row>
    <row r="4884" spans="3:13" ht="12.75" customHeight="1" x14ac:dyDescent="0.2">
      <c r="C4884"/>
      <c r="M4884"/>
    </row>
    <row r="4885" spans="3:13" ht="12.75" customHeight="1" x14ac:dyDescent="0.2">
      <c r="C4885"/>
      <c r="M4885"/>
    </row>
    <row r="4886" spans="3:13" ht="12.75" customHeight="1" x14ac:dyDescent="0.2">
      <c r="C4886"/>
      <c r="M4886"/>
    </row>
    <row r="4887" spans="3:13" ht="12.75" customHeight="1" x14ac:dyDescent="0.2">
      <c r="C4887"/>
      <c r="M4887"/>
    </row>
    <row r="4888" spans="3:13" ht="12.75" customHeight="1" x14ac:dyDescent="0.2">
      <c r="C4888"/>
      <c r="M4888"/>
    </row>
    <row r="4889" spans="3:13" ht="12.75" customHeight="1" x14ac:dyDescent="0.2">
      <c r="C4889"/>
      <c r="M4889"/>
    </row>
    <row r="4890" spans="3:13" ht="12.75" customHeight="1" x14ac:dyDescent="0.2">
      <c r="C4890"/>
      <c r="M4890"/>
    </row>
    <row r="4891" spans="3:13" ht="12.75" customHeight="1" x14ac:dyDescent="0.2">
      <c r="C4891"/>
      <c r="M4891"/>
    </row>
    <row r="4892" spans="3:13" ht="12.75" customHeight="1" x14ac:dyDescent="0.2">
      <c r="C4892"/>
      <c r="M4892"/>
    </row>
    <row r="4893" spans="3:13" ht="12.75" customHeight="1" x14ac:dyDescent="0.2">
      <c r="C4893"/>
      <c r="M4893"/>
    </row>
    <row r="4894" spans="3:13" ht="12.75" customHeight="1" x14ac:dyDescent="0.2">
      <c r="C4894"/>
      <c r="M4894"/>
    </row>
    <row r="4895" spans="3:13" ht="12.75" customHeight="1" x14ac:dyDescent="0.2">
      <c r="C4895"/>
      <c r="M4895"/>
    </row>
    <row r="4896" spans="3:13" ht="12.75" customHeight="1" x14ac:dyDescent="0.2">
      <c r="C4896"/>
      <c r="M4896"/>
    </row>
    <row r="4897" spans="3:13" ht="12.75" customHeight="1" x14ac:dyDescent="0.2">
      <c r="C4897"/>
      <c r="M4897"/>
    </row>
    <row r="4898" spans="3:13" ht="12.75" customHeight="1" x14ac:dyDescent="0.2">
      <c r="C4898"/>
      <c r="M4898"/>
    </row>
    <row r="4899" spans="3:13" ht="12.75" customHeight="1" x14ac:dyDescent="0.2">
      <c r="C4899"/>
      <c r="M4899"/>
    </row>
    <row r="4900" spans="3:13" ht="12.75" customHeight="1" x14ac:dyDescent="0.2">
      <c r="C4900"/>
      <c r="M4900"/>
    </row>
    <row r="4901" spans="3:13" ht="12.75" customHeight="1" x14ac:dyDescent="0.2">
      <c r="C4901"/>
      <c r="M4901"/>
    </row>
    <row r="4902" spans="3:13" ht="12.75" customHeight="1" x14ac:dyDescent="0.2">
      <c r="C4902"/>
      <c r="M4902"/>
    </row>
    <row r="4903" spans="3:13" ht="12.75" customHeight="1" x14ac:dyDescent="0.2">
      <c r="C4903"/>
      <c r="M4903"/>
    </row>
    <row r="4904" spans="3:13" ht="12.75" customHeight="1" x14ac:dyDescent="0.2">
      <c r="C4904"/>
      <c r="M4904"/>
    </row>
    <row r="4905" spans="3:13" ht="12.75" customHeight="1" x14ac:dyDescent="0.2">
      <c r="C4905"/>
      <c r="M4905"/>
    </row>
    <row r="4906" spans="3:13" ht="12.75" customHeight="1" x14ac:dyDescent="0.2">
      <c r="C4906"/>
      <c r="M4906"/>
    </row>
    <row r="4907" spans="3:13" ht="12.75" customHeight="1" x14ac:dyDescent="0.2">
      <c r="C4907"/>
      <c r="M4907"/>
    </row>
    <row r="4908" spans="3:13" ht="12.75" customHeight="1" x14ac:dyDescent="0.2">
      <c r="C4908"/>
      <c r="M4908"/>
    </row>
    <row r="4909" spans="3:13" ht="12.75" customHeight="1" x14ac:dyDescent="0.2">
      <c r="C4909"/>
      <c r="M4909"/>
    </row>
    <row r="4910" spans="3:13" ht="12.75" customHeight="1" x14ac:dyDescent="0.2">
      <c r="C4910"/>
      <c r="M4910"/>
    </row>
    <row r="4911" spans="3:13" ht="12.75" customHeight="1" x14ac:dyDescent="0.2">
      <c r="C4911"/>
      <c r="M4911"/>
    </row>
    <row r="4912" spans="3:13" ht="12.75" customHeight="1" x14ac:dyDescent="0.2">
      <c r="C4912"/>
      <c r="M4912"/>
    </row>
    <row r="4913" spans="3:13" ht="12.75" customHeight="1" x14ac:dyDescent="0.2">
      <c r="C4913"/>
      <c r="M4913"/>
    </row>
    <row r="4914" spans="3:13" ht="12.75" customHeight="1" x14ac:dyDescent="0.2">
      <c r="C4914"/>
      <c r="M4914"/>
    </row>
    <row r="4915" spans="3:13" ht="12.75" customHeight="1" x14ac:dyDescent="0.2">
      <c r="C4915"/>
      <c r="M4915"/>
    </row>
    <row r="4916" spans="3:13" ht="12.75" customHeight="1" x14ac:dyDescent="0.2">
      <c r="C4916"/>
      <c r="M4916"/>
    </row>
    <row r="4917" spans="3:13" ht="12.75" customHeight="1" x14ac:dyDescent="0.2">
      <c r="C4917"/>
      <c r="M4917"/>
    </row>
    <row r="4918" spans="3:13" ht="12.75" customHeight="1" x14ac:dyDescent="0.2">
      <c r="C4918"/>
      <c r="M4918"/>
    </row>
    <row r="4919" spans="3:13" ht="12.75" customHeight="1" x14ac:dyDescent="0.2">
      <c r="C4919"/>
      <c r="M4919"/>
    </row>
    <row r="4920" spans="3:13" ht="12.75" customHeight="1" x14ac:dyDescent="0.2">
      <c r="C4920"/>
      <c r="M4920"/>
    </row>
    <row r="4921" spans="3:13" ht="12.75" customHeight="1" x14ac:dyDescent="0.2">
      <c r="C4921"/>
      <c r="M4921"/>
    </row>
    <row r="4922" spans="3:13" ht="12.75" customHeight="1" x14ac:dyDescent="0.2">
      <c r="C4922"/>
      <c r="M4922"/>
    </row>
    <row r="4923" spans="3:13" ht="12.75" customHeight="1" x14ac:dyDescent="0.2">
      <c r="C4923"/>
      <c r="M4923"/>
    </row>
    <row r="4924" spans="3:13" ht="12.75" customHeight="1" x14ac:dyDescent="0.2">
      <c r="C4924"/>
      <c r="M4924"/>
    </row>
    <row r="4925" spans="3:13" ht="12.75" customHeight="1" x14ac:dyDescent="0.2">
      <c r="C4925"/>
      <c r="M4925"/>
    </row>
    <row r="4926" spans="3:13" ht="12.75" customHeight="1" x14ac:dyDescent="0.2">
      <c r="C4926"/>
      <c r="M4926"/>
    </row>
    <row r="4927" spans="3:13" ht="12.75" customHeight="1" x14ac:dyDescent="0.2">
      <c r="C4927"/>
      <c r="M4927"/>
    </row>
    <row r="4928" spans="3:13" ht="12.75" customHeight="1" x14ac:dyDescent="0.2">
      <c r="C4928"/>
      <c r="M4928"/>
    </row>
    <row r="4929" spans="3:13" ht="12.75" customHeight="1" x14ac:dyDescent="0.2">
      <c r="C4929"/>
      <c r="M4929"/>
    </row>
    <row r="4930" spans="3:13" ht="12.75" customHeight="1" x14ac:dyDescent="0.2">
      <c r="C4930"/>
      <c r="M4930"/>
    </row>
    <row r="4931" spans="3:13" ht="12.75" customHeight="1" x14ac:dyDescent="0.2">
      <c r="C4931"/>
      <c r="M4931"/>
    </row>
    <row r="4932" spans="3:13" ht="12.75" customHeight="1" x14ac:dyDescent="0.2">
      <c r="C4932"/>
      <c r="M4932"/>
    </row>
    <row r="4933" spans="3:13" ht="12.75" customHeight="1" x14ac:dyDescent="0.2">
      <c r="C4933"/>
      <c r="M4933"/>
    </row>
    <row r="4934" spans="3:13" ht="12.75" customHeight="1" x14ac:dyDescent="0.2">
      <c r="C4934"/>
      <c r="M4934"/>
    </row>
    <row r="4935" spans="3:13" ht="12.75" customHeight="1" x14ac:dyDescent="0.2">
      <c r="C4935"/>
      <c r="M4935"/>
    </row>
    <row r="4936" spans="3:13" ht="12.75" customHeight="1" x14ac:dyDescent="0.2">
      <c r="C4936"/>
      <c r="M4936"/>
    </row>
    <row r="4937" spans="3:13" ht="12.75" customHeight="1" x14ac:dyDescent="0.2">
      <c r="C4937"/>
      <c r="M4937"/>
    </row>
    <row r="4938" spans="3:13" ht="12.75" customHeight="1" x14ac:dyDescent="0.2">
      <c r="C4938"/>
      <c r="M4938"/>
    </row>
    <row r="4939" spans="3:13" ht="12.75" customHeight="1" x14ac:dyDescent="0.2">
      <c r="C4939"/>
      <c r="M4939"/>
    </row>
    <row r="4940" spans="3:13" ht="12.75" customHeight="1" x14ac:dyDescent="0.2">
      <c r="C4940"/>
      <c r="M4940"/>
    </row>
    <row r="4941" spans="3:13" ht="12.75" customHeight="1" x14ac:dyDescent="0.2">
      <c r="C4941"/>
      <c r="M4941"/>
    </row>
    <row r="4942" spans="3:13" ht="12.75" customHeight="1" x14ac:dyDescent="0.2">
      <c r="C4942"/>
      <c r="M4942"/>
    </row>
    <row r="4943" spans="3:13" ht="12.75" customHeight="1" x14ac:dyDescent="0.2">
      <c r="C4943"/>
      <c r="M4943"/>
    </row>
    <row r="4944" spans="3:13" ht="12.75" customHeight="1" x14ac:dyDescent="0.2">
      <c r="C4944"/>
      <c r="M4944"/>
    </row>
    <row r="4945" spans="3:13" ht="12.75" customHeight="1" x14ac:dyDescent="0.2">
      <c r="C4945"/>
      <c r="M4945"/>
    </row>
    <row r="4946" spans="3:13" ht="12.75" customHeight="1" x14ac:dyDescent="0.2">
      <c r="C4946"/>
      <c r="M4946"/>
    </row>
    <row r="4947" spans="3:13" ht="12.75" customHeight="1" x14ac:dyDescent="0.2">
      <c r="C4947"/>
      <c r="M4947"/>
    </row>
    <row r="4948" spans="3:13" ht="12.75" customHeight="1" x14ac:dyDescent="0.2">
      <c r="C4948"/>
      <c r="M4948"/>
    </row>
    <row r="4949" spans="3:13" ht="12.75" customHeight="1" x14ac:dyDescent="0.2">
      <c r="C4949"/>
      <c r="M4949"/>
    </row>
    <row r="4950" spans="3:13" ht="12.75" customHeight="1" x14ac:dyDescent="0.2">
      <c r="C4950"/>
      <c r="M4950"/>
    </row>
    <row r="4951" spans="3:13" ht="12.75" customHeight="1" x14ac:dyDescent="0.2">
      <c r="C4951"/>
      <c r="M4951"/>
    </row>
    <row r="4952" spans="3:13" ht="12.75" customHeight="1" x14ac:dyDescent="0.2">
      <c r="C4952"/>
      <c r="M4952"/>
    </row>
    <row r="4953" spans="3:13" ht="12.75" customHeight="1" x14ac:dyDescent="0.2">
      <c r="C4953"/>
      <c r="M4953"/>
    </row>
    <row r="4954" spans="3:13" ht="12.75" customHeight="1" x14ac:dyDescent="0.2">
      <c r="C4954"/>
      <c r="M4954"/>
    </row>
    <row r="4955" spans="3:13" ht="12.75" customHeight="1" x14ac:dyDescent="0.2">
      <c r="C4955"/>
      <c r="M4955"/>
    </row>
    <row r="4956" spans="3:13" ht="12.75" customHeight="1" x14ac:dyDescent="0.2">
      <c r="C4956"/>
      <c r="M4956"/>
    </row>
    <row r="4957" spans="3:13" ht="12.75" customHeight="1" x14ac:dyDescent="0.2">
      <c r="C4957"/>
      <c r="M4957"/>
    </row>
    <row r="4958" spans="3:13" ht="12.75" customHeight="1" x14ac:dyDescent="0.2">
      <c r="C4958"/>
      <c r="M4958"/>
    </row>
    <row r="4959" spans="3:13" ht="12.75" customHeight="1" x14ac:dyDescent="0.2">
      <c r="C4959"/>
      <c r="M4959"/>
    </row>
    <row r="4960" spans="3:13" ht="12.75" customHeight="1" x14ac:dyDescent="0.2">
      <c r="C4960"/>
      <c r="M4960"/>
    </row>
    <row r="4961" spans="3:13" ht="12.75" customHeight="1" x14ac:dyDescent="0.2">
      <c r="C4961"/>
      <c r="M4961"/>
    </row>
    <row r="4962" spans="3:13" ht="12.75" customHeight="1" x14ac:dyDescent="0.2">
      <c r="C4962"/>
      <c r="M4962"/>
    </row>
    <row r="4963" spans="3:13" ht="12.75" customHeight="1" x14ac:dyDescent="0.2">
      <c r="C4963"/>
      <c r="M4963"/>
    </row>
    <row r="4964" spans="3:13" ht="12.75" customHeight="1" x14ac:dyDescent="0.2">
      <c r="C4964"/>
      <c r="M4964"/>
    </row>
    <row r="4965" spans="3:13" ht="12.75" customHeight="1" x14ac:dyDescent="0.2">
      <c r="C4965"/>
      <c r="M4965"/>
    </row>
    <row r="4966" spans="3:13" ht="12.75" customHeight="1" x14ac:dyDescent="0.2">
      <c r="C4966"/>
      <c r="M4966"/>
    </row>
    <row r="4967" spans="3:13" ht="12.75" customHeight="1" x14ac:dyDescent="0.2">
      <c r="C4967"/>
      <c r="M4967"/>
    </row>
    <row r="4968" spans="3:13" ht="12.75" customHeight="1" x14ac:dyDescent="0.2">
      <c r="C4968"/>
      <c r="M4968"/>
    </row>
    <row r="4969" spans="3:13" ht="12.75" customHeight="1" x14ac:dyDescent="0.2">
      <c r="C4969"/>
      <c r="M4969"/>
    </row>
    <row r="4970" spans="3:13" ht="12.75" customHeight="1" x14ac:dyDescent="0.2">
      <c r="C4970"/>
      <c r="M4970"/>
    </row>
    <row r="4971" spans="3:13" ht="12.75" customHeight="1" x14ac:dyDescent="0.2">
      <c r="C4971"/>
      <c r="M4971"/>
    </row>
    <row r="4972" spans="3:13" ht="12.75" customHeight="1" x14ac:dyDescent="0.2">
      <c r="C4972"/>
      <c r="M4972"/>
    </row>
    <row r="4973" spans="3:13" ht="12.75" customHeight="1" x14ac:dyDescent="0.2">
      <c r="C4973"/>
      <c r="M4973"/>
    </row>
    <row r="4974" spans="3:13" ht="12.75" customHeight="1" x14ac:dyDescent="0.2">
      <c r="C4974"/>
      <c r="M4974"/>
    </row>
    <row r="4975" spans="3:13" ht="12.75" customHeight="1" x14ac:dyDescent="0.2">
      <c r="C4975"/>
      <c r="M4975"/>
    </row>
    <row r="4976" spans="3:13" ht="12.75" customHeight="1" x14ac:dyDescent="0.2">
      <c r="C4976"/>
      <c r="M4976"/>
    </row>
    <row r="4977" spans="3:13" ht="12.75" customHeight="1" x14ac:dyDescent="0.2">
      <c r="C4977"/>
      <c r="M4977"/>
    </row>
    <row r="4978" spans="3:13" ht="12.75" customHeight="1" x14ac:dyDescent="0.2">
      <c r="C4978"/>
      <c r="M4978"/>
    </row>
    <row r="4979" spans="3:13" ht="12.75" customHeight="1" x14ac:dyDescent="0.2">
      <c r="C4979"/>
      <c r="M4979"/>
    </row>
    <row r="4980" spans="3:13" ht="12.75" customHeight="1" x14ac:dyDescent="0.2">
      <c r="C4980"/>
      <c r="M4980"/>
    </row>
    <row r="4981" spans="3:13" ht="12.75" customHeight="1" x14ac:dyDescent="0.2">
      <c r="C4981"/>
      <c r="M4981"/>
    </row>
    <row r="4982" spans="3:13" ht="12.75" customHeight="1" x14ac:dyDescent="0.2">
      <c r="C4982"/>
      <c r="M4982"/>
    </row>
    <row r="4983" spans="3:13" ht="12.75" customHeight="1" x14ac:dyDescent="0.2">
      <c r="C4983"/>
      <c r="M4983"/>
    </row>
    <row r="4984" spans="3:13" ht="12.75" customHeight="1" x14ac:dyDescent="0.2">
      <c r="C4984"/>
      <c r="M4984"/>
    </row>
    <row r="4985" spans="3:13" ht="12.75" customHeight="1" x14ac:dyDescent="0.2">
      <c r="C4985"/>
      <c r="M4985"/>
    </row>
    <row r="4986" spans="3:13" ht="12.75" customHeight="1" x14ac:dyDescent="0.2">
      <c r="C4986"/>
      <c r="M4986"/>
    </row>
    <row r="4987" spans="3:13" ht="12.75" customHeight="1" x14ac:dyDescent="0.2">
      <c r="C4987"/>
      <c r="M4987"/>
    </row>
    <row r="4988" spans="3:13" ht="12.75" customHeight="1" x14ac:dyDescent="0.2">
      <c r="C4988"/>
      <c r="M4988"/>
    </row>
    <row r="4998" spans="3:13" ht="12.75" customHeight="1" x14ac:dyDescent="0.2">
      <c r="C4998"/>
      <c r="M4998"/>
    </row>
    <row r="4999" spans="3:13" ht="12.75" customHeight="1" x14ac:dyDescent="0.2">
      <c r="C4999"/>
      <c r="M4999"/>
    </row>
    <row r="5000" spans="3:13" ht="12.75" customHeight="1" x14ac:dyDescent="0.2">
      <c r="C5000"/>
      <c r="M5000"/>
    </row>
    <row r="5001" spans="3:13" ht="12.75" customHeight="1" x14ac:dyDescent="0.2">
      <c r="C5001"/>
      <c r="M5001"/>
    </row>
    <row r="61659" spans="3:13" ht="12.75" customHeight="1" x14ac:dyDescent="0.2">
      <c r="C61659"/>
      <c r="M61659"/>
    </row>
    <row r="61675" spans="3:13" ht="12.75" customHeight="1" x14ac:dyDescent="0.2">
      <c r="C61675"/>
      <c r="M61675"/>
    </row>
    <row r="61691" spans="3:13" ht="12.75" customHeight="1" x14ac:dyDescent="0.2">
      <c r="C61691"/>
      <c r="M61691"/>
    </row>
    <row r="61707" spans="3:13" ht="12.75" customHeight="1" x14ac:dyDescent="0.2">
      <c r="C61707"/>
      <c r="M61707"/>
    </row>
    <row r="61720" spans="3:13" ht="12.75" customHeight="1" x14ac:dyDescent="0.2">
      <c r="C61720"/>
      <c r="M61720"/>
    </row>
    <row r="61721" spans="3:13" ht="12.75" customHeight="1" x14ac:dyDescent="0.2">
      <c r="C61721"/>
      <c r="M61721"/>
    </row>
    <row r="61723" spans="3:13" ht="12.75" customHeight="1" x14ac:dyDescent="0.2">
      <c r="C61723"/>
      <c r="M61723"/>
    </row>
    <row r="61734" spans="3:13" ht="12.75" customHeight="1" x14ac:dyDescent="0.2">
      <c r="C61734"/>
      <c r="M61734"/>
    </row>
    <row r="61735" spans="3:13" ht="12.75" customHeight="1" x14ac:dyDescent="0.2">
      <c r="C61735"/>
      <c r="M61735"/>
    </row>
    <row r="61736" spans="3:13" ht="12.75" customHeight="1" x14ac:dyDescent="0.2">
      <c r="C61736"/>
      <c r="M61736"/>
    </row>
    <row r="61737" spans="3:13" ht="12.75" customHeight="1" x14ac:dyDescent="0.2">
      <c r="C61737"/>
      <c r="M61737"/>
    </row>
    <row r="61739" spans="3:13" ht="12.75" customHeight="1" x14ac:dyDescent="0.2">
      <c r="C61739"/>
      <c r="M61739"/>
    </row>
    <row r="61750" spans="3:13" ht="12.75" customHeight="1" x14ac:dyDescent="0.2">
      <c r="C61750"/>
      <c r="M61750"/>
    </row>
    <row r="61751" spans="3:13" ht="12.75" customHeight="1" x14ac:dyDescent="0.2">
      <c r="C61751"/>
      <c r="M61751"/>
    </row>
    <row r="61752" spans="3:13" ht="12.75" customHeight="1" x14ac:dyDescent="0.2">
      <c r="C61752"/>
      <c r="M61752"/>
    </row>
    <row r="61753" spans="3:13" ht="12.75" customHeight="1" x14ac:dyDescent="0.2">
      <c r="C61753"/>
      <c r="M61753"/>
    </row>
    <row r="61755" spans="3:13" ht="12.75" customHeight="1" x14ac:dyDescent="0.2">
      <c r="C61755"/>
      <c r="M61755"/>
    </row>
    <row r="61766" spans="3:13" ht="12.75" customHeight="1" x14ac:dyDescent="0.2">
      <c r="C61766"/>
      <c r="M61766"/>
    </row>
    <row r="61767" spans="3:13" ht="12.75" customHeight="1" x14ac:dyDescent="0.2">
      <c r="C61767"/>
      <c r="M61767"/>
    </row>
    <row r="61768" spans="3:13" ht="12.75" customHeight="1" x14ac:dyDescent="0.2">
      <c r="C61768"/>
      <c r="M61768"/>
    </row>
    <row r="61769" spans="3:13" ht="12.75" customHeight="1" x14ac:dyDescent="0.2">
      <c r="C61769"/>
      <c r="M61769"/>
    </row>
    <row r="61771" spans="3:13" ht="12.75" customHeight="1" x14ac:dyDescent="0.2">
      <c r="C61771"/>
      <c r="M61771"/>
    </row>
    <row r="61782" spans="3:13" ht="12.75" customHeight="1" x14ac:dyDescent="0.2">
      <c r="C61782"/>
      <c r="M61782"/>
    </row>
    <row r="61783" spans="3:13" ht="12.75" customHeight="1" x14ac:dyDescent="0.2">
      <c r="C61783"/>
      <c r="M61783"/>
    </row>
    <row r="61784" spans="3:13" ht="12.75" customHeight="1" x14ac:dyDescent="0.2">
      <c r="C61784"/>
      <c r="M61784"/>
    </row>
    <row r="61785" spans="3:13" ht="12.75" customHeight="1" x14ac:dyDescent="0.2">
      <c r="C61785"/>
      <c r="M61785"/>
    </row>
    <row r="61787" spans="3:13" ht="12.75" customHeight="1" x14ac:dyDescent="0.2">
      <c r="C61787"/>
      <c r="M61787"/>
    </row>
    <row r="61798" spans="3:13" ht="12.75" customHeight="1" x14ac:dyDescent="0.2">
      <c r="C61798"/>
      <c r="M61798"/>
    </row>
    <row r="61799" spans="3:13" ht="12.75" customHeight="1" x14ac:dyDescent="0.2">
      <c r="C61799"/>
      <c r="M61799"/>
    </row>
    <row r="61800" spans="3:13" ht="12.75" customHeight="1" x14ac:dyDescent="0.2">
      <c r="C61800"/>
      <c r="M61800"/>
    </row>
    <row r="61801" spans="3:13" ht="12.75" customHeight="1" x14ac:dyDescent="0.2">
      <c r="C61801"/>
      <c r="M61801"/>
    </row>
    <row r="61803" spans="3:13" ht="12.75" customHeight="1" x14ac:dyDescent="0.2">
      <c r="C61803"/>
      <c r="M61803"/>
    </row>
    <row r="61814" spans="3:13" ht="12.75" customHeight="1" x14ac:dyDescent="0.2">
      <c r="C61814"/>
      <c r="M61814"/>
    </row>
    <row r="61815" spans="3:13" ht="12.75" customHeight="1" x14ac:dyDescent="0.2">
      <c r="C61815"/>
      <c r="M61815"/>
    </row>
    <row r="61816" spans="3:13" ht="12.75" customHeight="1" x14ac:dyDescent="0.2">
      <c r="C61816"/>
      <c r="M61816"/>
    </row>
    <row r="61817" spans="3:13" ht="12.75" customHeight="1" x14ac:dyDescent="0.2">
      <c r="C61817"/>
      <c r="M61817"/>
    </row>
    <row r="61819" spans="3:13" ht="12.75" customHeight="1" x14ac:dyDescent="0.2">
      <c r="C61819"/>
      <c r="M61819"/>
    </row>
    <row r="61830" spans="3:13" ht="12.75" customHeight="1" x14ac:dyDescent="0.2">
      <c r="C61830"/>
      <c r="M61830"/>
    </row>
    <row r="61831" spans="3:13" ht="12.75" customHeight="1" x14ac:dyDescent="0.2">
      <c r="C61831"/>
      <c r="M61831"/>
    </row>
    <row r="61832" spans="3:13" ht="12.75" customHeight="1" x14ac:dyDescent="0.2">
      <c r="C61832"/>
      <c r="M61832"/>
    </row>
    <row r="61833" spans="3:13" ht="12.75" customHeight="1" x14ac:dyDescent="0.2">
      <c r="C61833"/>
      <c r="M61833"/>
    </row>
    <row r="61835" spans="3:13" ht="12.75" customHeight="1" x14ac:dyDescent="0.2">
      <c r="C61835"/>
      <c r="M61835"/>
    </row>
    <row r="61846" spans="3:13" ht="12.75" customHeight="1" x14ac:dyDescent="0.2">
      <c r="C61846"/>
      <c r="M61846"/>
    </row>
    <row r="61847" spans="3:13" ht="12.75" customHeight="1" x14ac:dyDescent="0.2">
      <c r="C61847"/>
      <c r="M61847"/>
    </row>
    <row r="61848" spans="3:13" ht="12.75" customHeight="1" x14ac:dyDescent="0.2">
      <c r="C61848"/>
      <c r="M61848"/>
    </row>
    <row r="61849" spans="3:13" ht="12.75" customHeight="1" x14ac:dyDescent="0.2">
      <c r="C61849"/>
      <c r="M61849"/>
    </row>
    <row r="61851" spans="3:13" ht="12.75" customHeight="1" x14ac:dyDescent="0.2">
      <c r="C61851"/>
      <c r="M61851"/>
    </row>
    <row r="61859" spans="3:13" ht="12.75" customHeight="1" x14ac:dyDescent="0.2">
      <c r="C61859"/>
      <c r="M61859"/>
    </row>
    <row r="61862" spans="3:13" ht="12.75" customHeight="1" x14ac:dyDescent="0.2">
      <c r="C61862"/>
      <c r="M61862"/>
    </row>
    <row r="61863" spans="3:13" ht="12.75" customHeight="1" x14ac:dyDescent="0.2">
      <c r="C61863"/>
      <c r="M61863"/>
    </row>
    <row r="61864" spans="3:13" ht="12.75" customHeight="1" x14ac:dyDescent="0.2">
      <c r="C61864"/>
      <c r="M61864"/>
    </row>
    <row r="61865" spans="3:13" ht="12.75" customHeight="1" x14ac:dyDescent="0.2">
      <c r="C61865"/>
      <c r="M61865"/>
    </row>
    <row r="61867" spans="3:13" ht="12.75" customHeight="1" x14ac:dyDescent="0.2">
      <c r="C61867"/>
      <c r="M61867"/>
    </row>
    <row r="61875" spans="3:13" ht="12.75" customHeight="1" x14ac:dyDescent="0.2">
      <c r="C61875"/>
      <c r="M61875"/>
    </row>
    <row r="61878" spans="3:13" ht="12.75" customHeight="1" x14ac:dyDescent="0.2">
      <c r="C61878"/>
      <c r="M61878"/>
    </row>
    <row r="61879" spans="3:13" ht="12.75" customHeight="1" x14ac:dyDescent="0.2">
      <c r="C61879"/>
      <c r="M61879"/>
    </row>
    <row r="61880" spans="3:13" ht="12.75" customHeight="1" x14ac:dyDescent="0.2">
      <c r="C61880"/>
      <c r="M61880"/>
    </row>
    <row r="61881" spans="3:13" ht="12.75" customHeight="1" x14ac:dyDescent="0.2">
      <c r="C61881"/>
      <c r="M61881"/>
    </row>
    <row r="61883" spans="3:13" ht="12.75" customHeight="1" x14ac:dyDescent="0.2">
      <c r="C61883"/>
      <c r="M61883"/>
    </row>
    <row r="61891" spans="3:13" ht="12.75" customHeight="1" x14ac:dyDescent="0.2">
      <c r="C61891"/>
      <c r="M61891"/>
    </row>
    <row r="61892" spans="3:13" ht="12.75" customHeight="1" x14ac:dyDescent="0.2">
      <c r="C61892"/>
      <c r="M61892"/>
    </row>
    <row r="61894" spans="3:13" ht="12.75" customHeight="1" x14ac:dyDescent="0.2">
      <c r="C61894"/>
      <c r="M61894"/>
    </row>
    <row r="61895" spans="3:13" ht="12.75" customHeight="1" x14ac:dyDescent="0.2">
      <c r="C61895"/>
      <c r="M61895"/>
    </row>
    <row r="61896" spans="3:13" ht="12.75" customHeight="1" x14ac:dyDescent="0.2">
      <c r="C61896"/>
      <c r="M61896"/>
    </row>
    <row r="61897" spans="3:13" ht="12.75" customHeight="1" x14ac:dyDescent="0.2">
      <c r="C61897"/>
      <c r="M61897"/>
    </row>
    <row r="61899" spans="3:13" ht="12.75" customHeight="1" x14ac:dyDescent="0.2">
      <c r="C61899"/>
      <c r="M61899"/>
    </row>
    <row r="61907" spans="3:13" ht="12.75" customHeight="1" x14ac:dyDescent="0.2">
      <c r="C61907"/>
      <c r="M61907"/>
    </row>
    <row r="61908" spans="3:13" ht="12.75" customHeight="1" x14ac:dyDescent="0.2">
      <c r="C61908"/>
      <c r="M61908"/>
    </row>
    <row r="61909" spans="3:13" ht="12.75" customHeight="1" x14ac:dyDescent="0.2">
      <c r="C61909"/>
      <c r="M61909"/>
    </row>
    <row r="61910" spans="3:13" ht="12.75" customHeight="1" x14ac:dyDescent="0.2">
      <c r="C61910"/>
      <c r="M61910"/>
    </row>
    <row r="61911" spans="3:13" ht="12.75" customHeight="1" x14ac:dyDescent="0.2">
      <c r="C61911"/>
      <c r="M61911"/>
    </row>
    <row r="61912" spans="3:13" ht="12.75" customHeight="1" x14ac:dyDescent="0.2">
      <c r="C61912"/>
      <c r="M61912"/>
    </row>
    <row r="61913" spans="3:13" ht="12.75" customHeight="1" x14ac:dyDescent="0.2">
      <c r="C61913"/>
      <c r="M61913"/>
    </row>
    <row r="61915" spans="3:13" ht="12.75" customHeight="1" x14ac:dyDescent="0.2">
      <c r="C61915"/>
      <c r="M61915"/>
    </row>
    <row r="61923" spans="3:13" ht="12.75" customHeight="1" x14ac:dyDescent="0.2">
      <c r="C61923"/>
      <c r="M61923"/>
    </row>
    <row r="61924" spans="3:13" ht="12.75" customHeight="1" x14ac:dyDescent="0.2">
      <c r="C61924"/>
      <c r="M61924"/>
    </row>
    <row r="61925" spans="3:13" ht="12.75" customHeight="1" x14ac:dyDescent="0.2">
      <c r="C61925"/>
      <c r="M61925"/>
    </row>
    <row r="61926" spans="3:13" ht="12.75" customHeight="1" x14ac:dyDescent="0.2">
      <c r="C61926"/>
      <c r="M61926"/>
    </row>
    <row r="61927" spans="3:13" ht="12.75" customHeight="1" x14ac:dyDescent="0.2">
      <c r="C61927"/>
      <c r="M61927"/>
    </row>
    <row r="61928" spans="3:13" ht="12.75" customHeight="1" x14ac:dyDescent="0.2">
      <c r="C61928"/>
      <c r="M61928"/>
    </row>
    <row r="61929" spans="3:13" ht="12.75" customHeight="1" x14ac:dyDescent="0.2">
      <c r="C61929"/>
      <c r="M61929"/>
    </row>
    <row r="61931" spans="3:13" ht="12.75" customHeight="1" x14ac:dyDescent="0.2">
      <c r="C61931"/>
      <c r="M61931"/>
    </row>
    <row r="61937" spans="3:13" ht="12.75" customHeight="1" x14ac:dyDescent="0.2">
      <c r="C61937"/>
      <c r="M61937"/>
    </row>
    <row r="61938" spans="3:13" ht="12.75" customHeight="1" x14ac:dyDescent="0.2">
      <c r="C61938"/>
      <c r="M61938"/>
    </row>
    <row r="61939" spans="3:13" ht="12.75" customHeight="1" x14ac:dyDescent="0.2">
      <c r="C61939"/>
      <c r="M61939"/>
    </row>
    <row r="61940" spans="3:13" ht="12.75" customHeight="1" x14ac:dyDescent="0.2">
      <c r="C61940"/>
      <c r="M61940"/>
    </row>
    <row r="61941" spans="3:13" ht="12.75" customHeight="1" x14ac:dyDescent="0.2">
      <c r="C61941"/>
      <c r="M61941"/>
    </row>
    <row r="61942" spans="3:13" ht="12.75" customHeight="1" x14ac:dyDescent="0.2">
      <c r="C61942"/>
      <c r="M61942"/>
    </row>
    <row r="61943" spans="3:13" ht="12.75" customHeight="1" x14ac:dyDescent="0.2">
      <c r="C61943"/>
      <c r="M61943"/>
    </row>
    <row r="61944" spans="3:13" ht="12.75" customHeight="1" x14ac:dyDescent="0.2">
      <c r="C61944"/>
      <c r="M61944"/>
    </row>
    <row r="61945" spans="3:13" ht="12.75" customHeight="1" x14ac:dyDescent="0.2">
      <c r="C61945"/>
      <c r="M61945"/>
    </row>
    <row r="61946" spans="3:13" ht="12.75" customHeight="1" x14ac:dyDescent="0.2">
      <c r="C61946"/>
      <c r="M61946"/>
    </row>
    <row r="61947" spans="3:13" ht="12.75" customHeight="1" x14ac:dyDescent="0.2">
      <c r="C61947"/>
      <c r="M61947"/>
    </row>
    <row r="61948" spans="3:13" ht="12.75" customHeight="1" x14ac:dyDescent="0.2">
      <c r="C61948"/>
      <c r="M61948"/>
    </row>
    <row r="61953" spans="3:13" ht="12.75" customHeight="1" x14ac:dyDescent="0.2">
      <c r="C61953"/>
      <c r="M61953"/>
    </row>
    <row r="61954" spans="3:13" ht="12.75" customHeight="1" x14ac:dyDescent="0.2">
      <c r="C61954"/>
      <c r="M61954"/>
    </row>
    <row r="61955" spans="3:13" ht="12.75" customHeight="1" x14ac:dyDescent="0.2">
      <c r="C61955"/>
      <c r="M61955"/>
    </row>
    <row r="61956" spans="3:13" ht="12.75" customHeight="1" x14ac:dyDescent="0.2">
      <c r="C61956"/>
      <c r="M61956"/>
    </row>
    <row r="61957" spans="3:13" ht="12.75" customHeight="1" x14ac:dyDescent="0.2">
      <c r="C61957"/>
      <c r="M61957"/>
    </row>
    <row r="61958" spans="3:13" ht="12.75" customHeight="1" x14ac:dyDescent="0.2">
      <c r="C61958"/>
      <c r="M61958"/>
    </row>
    <row r="61959" spans="3:13" ht="12.75" customHeight="1" x14ac:dyDescent="0.2">
      <c r="C61959"/>
      <c r="M61959"/>
    </row>
    <row r="61960" spans="3:13" ht="12.75" customHeight="1" x14ac:dyDescent="0.2">
      <c r="C61960"/>
      <c r="M61960"/>
    </row>
    <row r="61961" spans="3:13" ht="12.75" customHeight="1" x14ac:dyDescent="0.2">
      <c r="C61961"/>
      <c r="M61961"/>
    </row>
    <row r="61962" spans="3:13" ht="12.75" customHeight="1" x14ac:dyDescent="0.2">
      <c r="C61962"/>
      <c r="M61962"/>
    </row>
    <row r="61963" spans="3:13" ht="12.75" customHeight="1" x14ac:dyDescent="0.2">
      <c r="C61963"/>
      <c r="M61963"/>
    </row>
    <row r="61964" spans="3:13" ht="12.75" customHeight="1" x14ac:dyDescent="0.2">
      <c r="C61964"/>
      <c r="M61964"/>
    </row>
    <row r="61969" spans="3:13" ht="12.75" customHeight="1" x14ac:dyDescent="0.2">
      <c r="C61969"/>
      <c r="M61969"/>
    </row>
    <row r="61970" spans="3:13" ht="12.75" customHeight="1" x14ac:dyDescent="0.2">
      <c r="C61970"/>
      <c r="M61970"/>
    </row>
    <row r="61971" spans="3:13" ht="12.75" customHeight="1" x14ac:dyDescent="0.2">
      <c r="C61971"/>
      <c r="M61971"/>
    </row>
    <row r="61972" spans="3:13" ht="12.75" customHeight="1" x14ac:dyDescent="0.2">
      <c r="C61972"/>
      <c r="M61972"/>
    </row>
    <row r="61973" spans="3:13" ht="12.75" customHeight="1" x14ac:dyDescent="0.2">
      <c r="C61973"/>
      <c r="M61973"/>
    </row>
    <row r="61974" spans="3:13" ht="12.75" customHeight="1" x14ac:dyDescent="0.2">
      <c r="C61974"/>
      <c r="M61974"/>
    </row>
    <row r="61975" spans="3:13" ht="12.75" customHeight="1" x14ac:dyDescent="0.2">
      <c r="C61975"/>
      <c r="M61975"/>
    </row>
    <row r="61976" spans="3:13" ht="12.75" customHeight="1" x14ac:dyDescent="0.2">
      <c r="C61976"/>
      <c r="M61976"/>
    </row>
    <row r="61977" spans="3:13" ht="12.75" customHeight="1" x14ac:dyDescent="0.2">
      <c r="C61977"/>
      <c r="M61977"/>
    </row>
    <row r="61978" spans="3:13" ht="12.75" customHeight="1" x14ac:dyDescent="0.2">
      <c r="C61978"/>
      <c r="M61978"/>
    </row>
    <row r="61979" spans="3:13" ht="12.75" customHeight="1" x14ac:dyDescent="0.2">
      <c r="C61979"/>
      <c r="M61979"/>
    </row>
    <row r="61980" spans="3:13" ht="12.75" customHeight="1" x14ac:dyDescent="0.2">
      <c r="C61980"/>
      <c r="M61980"/>
    </row>
    <row r="61985" spans="3:13" ht="12.75" customHeight="1" x14ac:dyDescent="0.2">
      <c r="C61985"/>
      <c r="M61985"/>
    </row>
    <row r="61986" spans="3:13" ht="12.75" customHeight="1" x14ac:dyDescent="0.2">
      <c r="C61986"/>
      <c r="M61986"/>
    </row>
    <row r="61987" spans="3:13" ht="12.75" customHeight="1" x14ac:dyDescent="0.2">
      <c r="C61987"/>
      <c r="M61987"/>
    </row>
    <row r="61988" spans="3:13" ht="12.75" customHeight="1" x14ac:dyDescent="0.2">
      <c r="C61988"/>
      <c r="M61988"/>
    </row>
    <row r="61989" spans="3:13" ht="12.75" customHeight="1" x14ac:dyDescent="0.2">
      <c r="C61989"/>
      <c r="M61989"/>
    </row>
    <row r="61990" spans="3:13" ht="12.75" customHeight="1" x14ac:dyDescent="0.2">
      <c r="C61990"/>
      <c r="M61990"/>
    </row>
    <row r="61991" spans="3:13" ht="12.75" customHeight="1" x14ac:dyDescent="0.2">
      <c r="C61991"/>
      <c r="M61991"/>
    </row>
    <row r="61992" spans="3:13" ht="12.75" customHeight="1" x14ac:dyDescent="0.2">
      <c r="C61992"/>
      <c r="M61992"/>
    </row>
    <row r="61993" spans="3:13" ht="12.75" customHeight="1" x14ac:dyDescent="0.2">
      <c r="C61993"/>
      <c r="M61993"/>
    </row>
    <row r="61994" spans="3:13" ht="12.75" customHeight="1" x14ac:dyDescent="0.2">
      <c r="C61994"/>
      <c r="M61994"/>
    </row>
    <row r="61995" spans="3:13" ht="12.75" customHeight="1" x14ac:dyDescent="0.2">
      <c r="C61995"/>
      <c r="M61995"/>
    </row>
    <row r="61996" spans="3:13" ht="12.75" customHeight="1" x14ac:dyDescent="0.2">
      <c r="C61996"/>
      <c r="M61996"/>
    </row>
    <row r="62000" spans="3:13" ht="12.75" customHeight="1" x14ac:dyDescent="0.2">
      <c r="C62000"/>
      <c r="M62000"/>
    </row>
    <row r="62001" spans="3:13" ht="12.75" customHeight="1" x14ac:dyDescent="0.2">
      <c r="C62001"/>
      <c r="M62001"/>
    </row>
    <row r="62002" spans="3:13" ht="12.75" customHeight="1" x14ac:dyDescent="0.2">
      <c r="C62002"/>
      <c r="M62002"/>
    </row>
    <row r="62003" spans="3:13" ht="12.75" customHeight="1" x14ac:dyDescent="0.2">
      <c r="C62003"/>
      <c r="M62003"/>
    </row>
    <row r="62004" spans="3:13" ht="12.75" customHeight="1" x14ac:dyDescent="0.2">
      <c r="C62004"/>
      <c r="M62004"/>
    </row>
    <row r="62005" spans="3:13" ht="12.75" customHeight="1" x14ac:dyDescent="0.2">
      <c r="C62005"/>
      <c r="M62005"/>
    </row>
    <row r="62006" spans="3:13" ht="12.75" customHeight="1" x14ac:dyDescent="0.2">
      <c r="C62006"/>
      <c r="M62006"/>
    </row>
    <row r="62007" spans="3:13" ht="12.75" customHeight="1" x14ac:dyDescent="0.2">
      <c r="C62007"/>
      <c r="M62007"/>
    </row>
    <row r="62008" spans="3:13" ht="12.75" customHeight="1" x14ac:dyDescent="0.2">
      <c r="C62008"/>
      <c r="M62008"/>
    </row>
    <row r="62009" spans="3:13" ht="12.75" customHeight="1" x14ac:dyDescent="0.2">
      <c r="C62009"/>
      <c r="M62009"/>
    </row>
    <row r="62010" spans="3:13" ht="12.75" customHeight="1" x14ac:dyDescent="0.2">
      <c r="C62010"/>
      <c r="M62010"/>
    </row>
    <row r="62011" spans="3:13" ht="12.75" customHeight="1" x14ac:dyDescent="0.2">
      <c r="C62011"/>
      <c r="M62011"/>
    </row>
    <row r="62012" spans="3:13" ht="12.75" customHeight="1" x14ac:dyDescent="0.2">
      <c r="C62012"/>
      <c r="M62012"/>
    </row>
    <row r="62016" spans="3:13" ht="12.75" customHeight="1" x14ac:dyDescent="0.2">
      <c r="C62016"/>
      <c r="M62016"/>
    </row>
    <row r="62017" spans="3:13" ht="12.75" customHeight="1" x14ac:dyDescent="0.2">
      <c r="C62017"/>
      <c r="M62017"/>
    </row>
    <row r="62018" spans="3:13" ht="12.75" customHeight="1" x14ac:dyDescent="0.2">
      <c r="C62018"/>
      <c r="M62018"/>
    </row>
    <row r="62019" spans="3:13" ht="12.75" customHeight="1" x14ac:dyDescent="0.2">
      <c r="C62019"/>
      <c r="M62019"/>
    </row>
    <row r="62020" spans="3:13" ht="12.75" customHeight="1" x14ac:dyDescent="0.2">
      <c r="C62020"/>
      <c r="M62020"/>
    </row>
    <row r="62021" spans="3:13" ht="12.75" customHeight="1" x14ac:dyDescent="0.2">
      <c r="C62021"/>
      <c r="M62021"/>
    </row>
    <row r="62022" spans="3:13" ht="12.75" customHeight="1" x14ac:dyDescent="0.2">
      <c r="C62022"/>
      <c r="M62022"/>
    </row>
    <row r="62023" spans="3:13" ht="12.75" customHeight="1" x14ac:dyDescent="0.2">
      <c r="C62023"/>
      <c r="M62023"/>
    </row>
    <row r="62024" spans="3:13" ht="12.75" customHeight="1" x14ac:dyDescent="0.2">
      <c r="C62024"/>
      <c r="M62024"/>
    </row>
    <row r="62025" spans="3:13" ht="12.75" customHeight="1" x14ac:dyDescent="0.2">
      <c r="C62025"/>
      <c r="M62025"/>
    </row>
    <row r="62026" spans="3:13" ht="12.75" customHeight="1" x14ac:dyDescent="0.2">
      <c r="C62026"/>
      <c r="M62026"/>
    </row>
    <row r="62027" spans="3:13" ht="12.75" customHeight="1" x14ac:dyDescent="0.2">
      <c r="C62027"/>
      <c r="M62027"/>
    </row>
    <row r="62028" spans="3:13" ht="12.75" customHeight="1" x14ac:dyDescent="0.2">
      <c r="C62028"/>
      <c r="M62028"/>
    </row>
    <row r="62032" spans="3:13" ht="12.75" customHeight="1" x14ac:dyDescent="0.2">
      <c r="C62032"/>
      <c r="M62032"/>
    </row>
    <row r="62033" spans="3:13" ht="12.75" customHeight="1" x14ac:dyDescent="0.2">
      <c r="C62033"/>
      <c r="M62033"/>
    </row>
    <row r="62034" spans="3:13" ht="12.75" customHeight="1" x14ac:dyDescent="0.2">
      <c r="C62034"/>
      <c r="M62034"/>
    </row>
    <row r="62035" spans="3:13" ht="12.75" customHeight="1" x14ac:dyDescent="0.2">
      <c r="C62035"/>
      <c r="M62035"/>
    </row>
    <row r="62036" spans="3:13" ht="12.75" customHeight="1" x14ac:dyDescent="0.2">
      <c r="C62036"/>
      <c r="M62036"/>
    </row>
    <row r="62037" spans="3:13" ht="12.75" customHeight="1" x14ac:dyDescent="0.2">
      <c r="C62037"/>
      <c r="M62037"/>
    </row>
    <row r="62038" spans="3:13" ht="12.75" customHeight="1" x14ac:dyDescent="0.2">
      <c r="C62038"/>
      <c r="M62038"/>
    </row>
    <row r="62039" spans="3:13" ht="12.75" customHeight="1" x14ac:dyDescent="0.2">
      <c r="C62039"/>
      <c r="M62039"/>
    </row>
    <row r="62040" spans="3:13" ht="12.75" customHeight="1" x14ac:dyDescent="0.2">
      <c r="C62040"/>
      <c r="M62040"/>
    </row>
    <row r="62041" spans="3:13" ht="12.75" customHeight="1" x14ac:dyDescent="0.2">
      <c r="C62041"/>
      <c r="M62041"/>
    </row>
    <row r="62042" spans="3:13" ht="12.75" customHeight="1" x14ac:dyDescent="0.2">
      <c r="C62042"/>
      <c r="M62042"/>
    </row>
    <row r="62043" spans="3:13" ht="12.75" customHeight="1" x14ac:dyDescent="0.2">
      <c r="C62043"/>
      <c r="M62043"/>
    </row>
    <row r="62044" spans="3:13" ht="12.75" customHeight="1" x14ac:dyDescent="0.2">
      <c r="C62044"/>
      <c r="M62044"/>
    </row>
    <row r="62048" spans="3:13" ht="12.75" customHeight="1" x14ac:dyDescent="0.2">
      <c r="C62048"/>
      <c r="M62048"/>
    </row>
    <row r="62049" spans="3:13" ht="12.75" customHeight="1" x14ac:dyDescent="0.2">
      <c r="C62049"/>
      <c r="M62049"/>
    </row>
    <row r="62050" spans="3:13" ht="12.75" customHeight="1" x14ac:dyDescent="0.2">
      <c r="C62050"/>
      <c r="M62050"/>
    </row>
    <row r="62051" spans="3:13" ht="12.75" customHeight="1" x14ac:dyDescent="0.2">
      <c r="C62051"/>
      <c r="M62051"/>
    </row>
    <row r="62052" spans="3:13" ht="12.75" customHeight="1" x14ac:dyDescent="0.2">
      <c r="C62052"/>
      <c r="M62052"/>
    </row>
    <row r="62053" spans="3:13" ht="12.75" customHeight="1" x14ac:dyDescent="0.2">
      <c r="C62053"/>
      <c r="M62053"/>
    </row>
    <row r="62054" spans="3:13" ht="12.75" customHeight="1" x14ac:dyDescent="0.2">
      <c r="C62054"/>
      <c r="M62054"/>
    </row>
    <row r="62055" spans="3:13" ht="12.75" customHeight="1" x14ac:dyDescent="0.2">
      <c r="C62055"/>
      <c r="M62055"/>
    </row>
    <row r="62056" spans="3:13" ht="12.75" customHeight="1" x14ac:dyDescent="0.2">
      <c r="C62056"/>
      <c r="M62056"/>
    </row>
    <row r="62057" spans="3:13" ht="12.75" customHeight="1" x14ac:dyDescent="0.2">
      <c r="C62057"/>
      <c r="M62057"/>
    </row>
    <row r="62058" spans="3:13" ht="12.75" customHeight="1" x14ac:dyDescent="0.2">
      <c r="C62058"/>
      <c r="M62058"/>
    </row>
    <row r="62059" spans="3:13" ht="12.75" customHeight="1" x14ac:dyDescent="0.2">
      <c r="C62059"/>
      <c r="M62059"/>
    </row>
    <row r="62060" spans="3:13" ht="12.75" customHeight="1" x14ac:dyDescent="0.2">
      <c r="C62060"/>
      <c r="M62060"/>
    </row>
    <row r="62064" spans="3:13" ht="12.75" customHeight="1" x14ac:dyDescent="0.2">
      <c r="C62064"/>
      <c r="M62064"/>
    </row>
    <row r="62065" spans="3:13" ht="12.75" customHeight="1" x14ac:dyDescent="0.2">
      <c r="C62065"/>
      <c r="M62065"/>
    </row>
    <row r="62066" spans="3:13" ht="12.75" customHeight="1" x14ac:dyDescent="0.2">
      <c r="C62066"/>
      <c r="M62066"/>
    </row>
    <row r="62067" spans="3:13" ht="12.75" customHeight="1" x14ac:dyDescent="0.2">
      <c r="C62067"/>
      <c r="M62067"/>
    </row>
    <row r="62068" spans="3:13" ht="12.75" customHeight="1" x14ac:dyDescent="0.2">
      <c r="C62068"/>
      <c r="M62068"/>
    </row>
    <row r="62069" spans="3:13" ht="12.75" customHeight="1" x14ac:dyDescent="0.2">
      <c r="C62069"/>
      <c r="M62069"/>
    </row>
    <row r="62070" spans="3:13" ht="12.75" customHeight="1" x14ac:dyDescent="0.2">
      <c r="C62070"/>
      <c r="M62070"/>
    </row>
    <row r="62071" spans="3:13" ht="12.75" customHeight="1" x14ac:dyDescent="0.2">
      <c r="C62071"/>
      <c r="M62071"/>
    </row>
    <row r="62072" spans="3:13" ht="12.75" customHeight="1" x14ac:dyDescent="0.2">
      <c r="C62072"/>
      <c r="M62072"/>
    </row>
    <row r="62073" spans="3:13" ht="12.75" customHeight="1" x14ac:dyDescent="0.2">
      <c r="C62073"/>
      <c r="M62073"/>
    </row>
    <row r="62074" spans="3:13" ht="12.75" customHeight="1" x14ac:dyDescent="0.2">
      <c r="C62074"/>
      <c r="M62074"/>
    </row>
    <row r="62075" spans="3:13" ht="12.75" customHeight="1" x14ac:dyDescent="0.2">
      <c r="C62075"/>
      <c r="M62075"/>
    </row>
    <row r="62076" spans="3:13" ht="12.75" customHeight="1" x14ac:dyDescent="0.2">
      <c r="C62076"/>
      <c r="M62076"/>
    </row>
    <row r="62080" spans="3:13" ht="12.75" customHeight="1" x14ac:dyDescent="0.2">
      <c r="C62080"/>
      <c r="M62080"/>
    </row>
    <row r="62081" spans="3:13" ht="12.75" customHeight="1" x14ac:dyDescent="0.2">
      <c r="C62081"/>
      <c r="M62081"/>
    </row>
    <row r="62082" spans="3:13" ht="12.75" customHeight="1" x14ac:dyDescent="0.2">
      <c r="C62082"/>
      <c r="M62082"/>
    </row>
    <row r="62083" spans="3:13" ht="12.75" customHeight="1" x14ac:dyDescent="0.2">
      <c r="C62083"/>
      <c r="M62083"/>
    </row>
    <row r="62084" spans="3:13" ht="12.75" customHeight="1" x14ac:dyDescent="0.2">
      <c r="C62084"/>
      <c r="M62084"/>
    </row>
    <row r="62085" spans="3:13" ht="12.75" customHeight="1" x14ac:dyDescent="0.2">
      <c r="C62085"/>
      <c r="M62085"/>
    </row>
    <row r="62086" spans="3:13" ht="12.75" customHeight="1" x14ac:dyDescent="0.2">
      <c r="C62086"/>
      <c r="M62086"/>
    </row>
    <row r="62087" spans="3:13" ht="12.75" customHeight="1" x14ac:dyDescent="0.2">
      <c r="C62087"/>
      <c r="M62087"/>
    </row>
    <row r="62088" spans="3:13" ht="12.75" customHeight="1" x14ac:dyDescent="0.2">
      <c r="C62088"/>
      <c r="M62088"/>
    </row>
    <row r="62089" spans="3:13" ht="12.75" customHeight="1" x14ac:dyDescent="0.2">
      <c r="C62089"/>
      <c r="M62089"/>
    </row>
    <row r="62090" spans="3:13" ht="12.75" customHeight="1" x14ac:dyDescent="0.2">
      <c r="C62090"/>
      <c r="M62090"/>
    </row>
    <row r="62091" spans="3:13" ht="12.75" customHeight="1" x14ac:dyDescent="0.2">
      <c r="C62091"/>
      <c r="M62091"/>
    </row>
    <row r="62092" spans="3:13" ht="12.75" customHeight="1" x14ac:dyDescent="0.2">
      <c r="C62092"/>
      <c r="M62092"/>
    </row>
    <row r="62096" spans="3:13" ht="12.75" customHeight="1" x14ac:dyDescent="0.2">
      <c r="C62096"/>
      <c r="M62096"/>
    </row>
    <row r="62097" spans="3:13" ht="12.75" customHeight="1" x14ac:dyDescent="0.2">
      <c r="C62097"/>
      <c r="M62097"/>
    </row>
    <row r="62098" spans="3:13" ht="12.75" customHeight="1" x14ac:dyDescent="0.2">
      <c r="C62098"/>
      <c r="M62098"/>
    </row>
    <row r="62099" spans="3:13" ht="12.75" customHeight="1" x14ac:dyDescent="0.2">
      <c r="C62099"/>
      <c r="M62099"/>
    </row>
    <row r="62100" spans="3:13" ht="12.75" customHeight="1" x14ac:dyDescent="0.2">
      <c r="C62100"/>
      <c r="M62100"/>
    </row>
    <row r="62101" spans="3:13" ht="12.75" customHeight="1" x14ac:dyDescent="0.2">
      <c r="C62101"/>
      <c r="M62101"/>
    </row>
    <row r="62102" spans="3:13" ht="12.75" customHeight="1" x14ac:dyDescent="0.2">
      <c r="C62102"/>
      <c r="M62102"/>
    </row>
    <row r="62103" spans="3:13" ht="12.75" customHeight="1" x14ac:dyDescent="0.2">
      <c r="C62103"/>
      <c r="M62103"/>
    </row>
    <row r="62104" spans="3:13" ht="12.75" customHeight="1" x14ac:dyDescent="0.2">
      <c r="C62104"/>
      <c r="M62104"/>
    </row>
    <row r="62105" spans="3:13" ht="12.75" customHeight="1" x14ac:dyDescent="0.2">
      <c r="C62105"/>
      <c r="M62105"/>
    </row>
    <row r="62106" spans="3:13" ht="12.75" customHeight="1" x14ac:dyDescent="0.2">
      <c r="C62106"/>
      <c r="M62106"/>
    </row>
    <row r="62107" spans="3:13" ht="12.75" customHeight="1" x14ac:dyDescent="0.2">
      <c r="C62107"/>
      <c r="M62107"/>
    </row>
    <row r="62108" spans="3:13" ht="12.75" customHeight="1" x14ac:dyDescent="0.2">
      <c r="C62108"/>
      <c r="M62108"/>
    </row>
    <row r="62112" spans="3:13" ht="12.75" customHeight="1" x14ac:dyDescent="0.2">
      <c r="C62112"/>
      <c r="M62112"/>
    </row>
    <row r="62113" spans="3:13" ht="12.75" customHeight="1" x14ac:dyDescent="0.2">
      <c r="C62113"/>
      <c r="M62113"/>
    </row>
    <row r="62114" spans="3:13" ht="12.75" customHeight="1" x14ac:dyDescent="0.2">
      <c r="C62114"/>
      <c r="M62114"/>
    </row>
    <row r="62115" spans="3:13" ht="12.75" customHeight="1" x14ac:dyDescent="0.2">
      <c r="C62115"/>
      <c r="M62115"/>
    </row>
    <row r="62116" spans="3:13" ht="12.75" customHeight="1" x14ac:dyDescent="0.2">
      <c r="C62116"/>
      <c r="M62116"/>
    </row>
    <row r="62117" spans="3:13" ht="12.75" customHeight="1" x14ac:dyDescent="0.2">
      <c r="C62117"/>
      <c r="M62117"/>
    </row>
    <row r="62118" spans="3:13" ht="12.75" customHeight="1" x14ac:dyDescent="0.2">
      <c r="C62118"/>
      <c r="M62118"/>
    </row>
    <row r="62119" spans="3:13" ht="12.75" customHeight="1" x14ac:dyDescent="0.2">
      <c r="C62119"/>
      <c r="M62119"/>
    </row>
    <row r="62120" spans="3:13" ht="12.75" customHeight="1" x14ac:dyDescent="0.2">
      <c r="C62120"/>
      <c r="M62120"/>
    </row>
    <row r="62121" spans="3:13" ht="12.75" customHeight="1" x14ac:dyDescent="0.2">
      <c r="C62121"/>
      <c r="M62121"/>
    </row>
    <row r="62122" spans="3:13" ht="12.75" customHeight="1" x14ac:dyDescent="0.2">
      <c r="C62122"/>
      <c r="M62122"/>
    </row>
    <row r="62123" spans="3:13" ht="12.75" customHeight="1" x14ac:dyDescent="0.2">
      <c r="C62123"/>
      <c r="M62123"/>
    </row>
    <row r="62124" spans="3:13" ht="12.75" customHeight="1" x14ac:dyDescent="0.2">
      <c r="C62124"/>
      <c r="M62124"/>
    </row>
    <row r="62125" spans="3:13" ht="12.75" customHeight="1" x14ac:dyDescent="0.2">
      <c r="C62125"/>
      <c r="M62125"/>
    </row>
    <row r="62128" spans="3:13" ht="12.75" customHeight="1" x14ac:dyDescent="0.2">
      <c r="C62128"/>
      <c r="M62128"/>
    </row>
    <row r="62129" spans="3:13" ht="12.75" customHeight="1" x14ac:dyDescent="0.2">
      <c r="C62129"/>
      <c r="M62129"/>
    </row>
    <row r="62130" spans="3:13" ht="12.75" customHeight="1" x14ac:dyDescent="0.2">
      <c r="C62130"/>
      <c r="M62130"/>
    </row>
    <row r="62131" spans="3:13" ht="12.75" customHeight="1" x14ac:dyDescent="0.2">
      <c r="C62131"/>
      <c r="M62131"/>
    </row>
    <row r="62132" spans="3:13" ht="12.75" customHeight="1" x14ac:dyDescent="0.2">
      <c r="C62132"/>
      <c r="M62132"/>
    </row>
    <row r="62133" spans="3:13" ht="12.75" customHeight="1" x14ac:dyDescent="0.2">
      <c r="C62133"/>
      <c r="M62133"/>
    </row>
    <row r="62134" spans="3:13" ht="12.75" customHeight="1" x14ac:dyDescent="0.2">
      <c r="C62134"/>
      <c r="M62134"/>
    </row>
    <row r="62135" spans="3:13" ht="12.75" customHeight="1" x14ac:dyDescent="0.2">
      <c r="C62135"/>
      <c r="M62135"/>
    </row>
    <row r="62136" spans="3:13" ht="12.75" customHeight="1" x14ac:dyDescent="0.2">
      <c r="C62136"/>
      <c r="M62136"/>
    </row>
    <row r="62137" spans="3:13" ht="12.75" customHeight="1" x14ac:dyDescent="0.2">
      <c r="C62137"/>
      <c r="M62137"/>
    </row>
    <row r="62138" spans="3:13" ht="12.75" customHeight="1" x14ac:dyDescent="0.2">
      <c r="C62138"/>
      <c r="M62138"/>
    </row>
    <row r="62139" spans="3:13" ht="12.75" customHeight="1" x14ac:dyDescent="0.2">
      <c r="C62139"/>
      <c r="M62139"/>
    </row>
    <row r="62140" spans="3:13" ht="12.75" customHeight="1" x14ac:dyDescent="0.2">
      <c r="C62140"/>
      <c r="M62140"/>
    </row>
    <row r="62141" spans="3:13" ht="12.75" customHeight="1" x14ac:dyDescent="0.2">
      <c r="C62141"/>
      <c r="M62141"/>
    </row>
    <row r="62144" spans="3:13" ht="12.75" customHeight="1" x14ac:dyDescent="0.2">
      <c r="C62144"/>
      <c r="M62144"/>
    </row>
    <row r="62145" spans="3:13" ht="12.75" customHeight="1" x14ac:dyDescent="0.2">
      <c r="C62145"/>
      <c r="M62145"/>
    </row>
    <row r="62146" spans="3:13" ht="12.75" customHeight="1" x14ac:dyDescent="0.2">
      <c r="C62146"/>
      <c r="M62146"/>
    </row>
    <row r="62147" spans="3:13" ht="12.75" customHeight="1" x14ac:dyDescent="0.2">
      <c r="C62147"/>
      <c r="M62147"/>
    </row>
    <row r="62148" spans="3:13" ht="12.75" customHeight="1" x14ac:dyDescent="0.2">
      <c r="C62148"/>
      <c r="M62148"/>
    </row>
    <row r="62149" spans="3:13" ht="12.75" customHeight="1" x14ac:dyDescent="0.2">
      <c r="C62149"/>
      <c r="M62149"/>
    </row>
    <row r="62150" spans="3:13" ht="12.75" customHeight="1" x14ac:dyDescent="0.2">
      <c r="C62150"/>
      <c r="M62150"/>
    </row>
    <row r="62151" spans="3:13" ht="12.75" customHeight="1" x14ac:dyDescent="0.2">
      <c r="C62151"/>
      <c r="M62151"/>
    </row>
    <row r="62152" spans="3:13" ht="12.75" customHeight="1" x14ac:dyDescent="0.2">
      <c r="C62152"/>
      <c r="M62152"/>
    </row>
    <row r="62153" spans="3:13" ht="12.75" customHeight="1" x14ac:dyDescent="0.2">
      <c r="C62153"/>
      <c r="M62153"/>
    </row>
    <row r="62154" spans="3:13" ht="12.75" customHeight="1" x14ac:dyDescent="0.2">
      <c r="C62154"/>
      <c r="M62154"/>
    </row>
    <row r="62155" spans="3:13" ht="12.75" customHeight="1" x14ac:dyDescent="0.2">
      <c r="C62155"/>
      <c r="M62155"/>
    </row>
    <row r="62156" spans="3:13" ht="12.75" customHeight="1" x14ac:dyDescent="0.2">
      <c r="C62156"/>
      <c r="M62156"/>
    </row>
    <row r="62157" spans="3:13" ht="12.75" customHeight="1" x14ac:dyDescent="0.2">
      <c r="C62157"/>
      <c r="M62157"/>
    </row>
    <row r="62158" spans="3:13" ht="12.75" customHeight="1" x14ac:dyDescent="0.2">
      <c r="C62158"/>
      <c r="M62158"/>
    </row>
    <row r="62160" spans="3:13" ht="12.75" customHeight="1" x14ac:dyDescent="0.2">
      <c r="C62160"/>
      <c r="M62160"/>
    </row>
    <row r="62161" spans="3:13" ht="12.75" customHeight="1" x14ac:dyDescent="0.2">
      <c r="C62161"/>
      <c r="M62161"/>
    </row>
    <row r="62162" spans="3:13" ht="12.75" customHeight="1" x14ac:dyDescent="0.2">
      <c r="C62162"/>
      <c r="M62162"/>
    </row>
    <row r="62163" spans="3:13" ht="12.75" customHeight="1" x14ac:dyDescent="0.2">
      <c r="C62163"/>
      <c r="M62163"/>
    </row>
    <row r="62164" spans="3:13" ht="12.75" customHeight="1" x14ac:dyDescent="0.2">
      <c r="C62164"/>
      <c r="M62164"/>
    </row>
    <row r="62165" spans="3:13" ht="12.75" customHeight="1" x14ac:dyDescent="0.2">
      <c r="C62165"/>
      <c r="M62165"/>
    </row>
    <row r="62166" spans="3:13" ht="12.75" customHeight="1" x14ac:dyDescent="0.2">
      <c r="C62166"/>
      <c r="M62166"/>
    </row>
    <row r="62167" spans="3:13" ht="12.75" customHeight="1" x14ac:dyDescent="0.2">
      <c r="C62167"/>
      <c r="M62167"/>
    </row>
    <row r="62168" spans="3:13" ht="12.75" customHeight="1" x14ac:dyDescent="0.2">
      <c r="C62168"/>
      <c r="M62168"/>
    </row>
    <row r="62169" spans="3:13" ht="12.75" customHeight="1" x14ac:dyDescent="0.2">
      <c r="C62169"/>
      <c r="M62169"/>
    </row>
    <row r="62170" spans="3:13" ht="12.75" customHeight="1" x14ac:dyDescent="0.2">
      <c r="C62170"/>
      <c r="M62170"/>
    </row>
    <row r="62171" spans="3:13" ht="12.75" customHeight="1" x14ac:dyDescent="0.2">
      <c r="C62171"/>
      <c r="M62171"/>
    </row>
    <row r="62172" spans="3:13" ht="12.75" customHeight="1" x14ac:dyDescent="0.2">
      <c r="C62172"/>
      <c r="M62172"/>
    </row>
    <row r="62173" spans="3:13" ht="12.75" customHeight="1" x14ac:dyDescent="0.2">
      <c r="C62173"/>
      <c r="M62173"/>
    </row>
    <row r="62174" spans="3:13" ht="12.75" customHeight="1" x14ac:dyDescent="0.2">
      <c r="C62174"/>
      <c r="M62174"/>
    </row>
    <row r="62175" spans="3:13" ht="12.75" customHeight="1" x14ac:dyDescent="0.2">
      <c r="C62175"/>
      <c r="M62175"/>
    </row>
    <row r="62176" spans="3:13" ht="12.75" customHeight="1" x14ac:dyDescent="0.2">
      <c r="C62176"/>
      <c r="M62176"/>
    </row>
    <row r="62177" spans="3:13" ht="12.75" customHeight="1" x14ac:dyDescent="0.2">
      <c r="C62177"/>
      <c r="M62177"/>
    </row>
    <row r="62178" spans="3:13" ht="12.75" customHeight="1" x14ac:dyDescent="0.2">
      <c r="C62178"/>
      <c r="M62178"/>
    </row>
    <row r="62179" spans="3:13" ht="12.75" customHeight="1" x14ac:dyDescent="0.2">
      <c r="C62179"/>
      <c r="M62179"/>
    </row>
    <row r="62180" spans="3:13" ht="12.75" customHeight="1" x14ac:dyDescent="0.2">
      <c r="C62180"/>
      <c r="M62180"/>
    </row>
    <row r="62181" spans="3:13" ht="12.75" customHeight="1" x14ac:dyDescent="0.2">
      <c r="C62181"/>
      <c r="M62181"/>
    </row>
    <row r="62182" spans="3:13" ht="12.75" customHeight="1" x14ac:dyDescent="0.2">
      <c r="C62182"/>
      <c r="M62182"/>
    </row>
    <row r="62183" spans="3:13" ht="12.75" customHeight="1" x14ac:dyDescent="0.2">
      <c r="C62183"/>
      <c r="M62183"/>
    </row>
    <row r="62184" spans="3:13" ht="12.75" customHeight="1" x14ac:dyDescent="0.2">
      <c r="C62184"/>
      <c r="M62184"/>
    </row>
    <row r="62185" spans="3:13" ht="12.75" customHeight="1" x14ac:dyDescent="0.2">
      <c r="C62185"/>
      <c r="M62185"/>
    </row>
    <row r="62186" spans="3:13" ht="12.75" customHeight="1" x14ac:dyDescent="0.2">
      <c r="C62186"/>
      <c r="M62186"/>
    </row>
    <row r="62187" spans="3:13" ht="12.75" customHeight="1" x14ac:dyDescent="0.2">
      <c r="C62187"/>
      <c r="M62187"/>
    </row>
    <row r="62188" spans="3:13" ht="12.75" customHeight="1" x14ac:dyDescent="0.2">
      <c r="C62188"/>
      <c r="M62188"/>
    </row>
    <row r="62189" spans="3:13" ht="12.75" customHeight="1" x14ac:dyDescent="0.2">
      <c r="C62189"/>
      <c r="M62189"/>
    </row>
    <row r="62190" spans="3:13" ht="12.75" customHeight="1" x14ac:dyDescent="0.2">
      <c r="C62190"/>
      <c r="M62190"/>
    </row>
    <row r="62191" spans="3:13" ht="12.75" customHeight="1" x14ac:dyDescent="0.2">
      <c r="C62191"/>
      <c r="M62191"/>
    </row>
    <row r="62192" spans="3:13" ht="12.75" customHeight="1" x14ac:dyDescent="0.2">
      <c r="C62192"/>
      <c r="M62192"/>
    </row>
    <row r="62193" spans="3:13" ht="12.75" customHeight="1" x14ac:dyDescent="0.2">
      <c r="C62193"/>
      <c r="M62193"/>
    </row>
    <row r="62194" spans="3:13" ht="12.75" customHeight="1" x14ac:dyDescent="0.2">
      <c r="C62194"/>
      <c r="M62194"/>
    </row>
    <row r="62195" spans="3:13" ht="12.75" customHeight="1" x14ac:dyDescent="0.2">
      <c r="C62195"/>
      <c r="M62195"/>
    </row>
    <row r="62196" spans="3:13" ht="12.75" customHeight="1" x14ac:dyDescent="0.2">
      <c r="C62196"/>
      <c r="M62196"/>
    </row>
    <row r="62197" spans="3:13" ht="12.75" customHeight="1" x14ac:dyDescent="0.2">
      <c r="C62197"/>
      <c r="M62197"/>
    </row>
    <row r="62198" spans="3:13" ht="12.75" customHeight="1" x14ac:dyDescent="0.2">
      <c r="C62198"/>
      <c r="M62198"/>
    </row>
    <row r="62199" spans="3:13" ht="12.75" customHeight="1" x14ac:dyDescent="0.2">
      <c r="C62199"/>
      <c r="M62199"/>
    </row>
    <row r="62200" spans="3:13" ht="12.75" customHeight="1" x14ac:dyDescent="0.2">
      <c r="C62200"/>
      <c r="M62200"/>
    </row>
    <row r="62201" spans="3:13" ht="12.75" customHeight="1" x14ac:dyDescent="0.2">
      <c r="C62201"/>
      <c r="M62201"/>
    </row>
    <row r="62202" spans="3:13" ht="12.75" customHeight="1" x14ac:dyDescent="0.2">
      <c r="C62202"/>
      <c r="M62202"/>
    </row>
    <row r="62203" spans="3:13" ht="12.75" customHeight="1" x14ac:dyDescent="0.2">
      <c r="C62203"/>
      <c r="M62203"/>
    </row>
    <row r="62204" spans="3:13" ht="12.75" customHeight="1" x14ac:dyDescent="0.2">
      <c r="C62204"/>
      <c r="M62204"/>
    </row>
    <row r="62205" spans="3:13" ht="12.75" customHeight="1" x14ac:dyDescent="0.2">
      <c r="C62205"/>
      <c r="M62205"/>
    </row>
    <row r="62206" spans="3:13" ht="12.75" customHeight="1" x14ac:dyDescent="0.2">
      <c r="C62206"/>
      <c r="M62206"/>
    </row>
    <row r="62207" spans="3:13" ht="12.75" customHeight="1" x14ac:dyDescent="0.2">
      <c r="C62207"/>
      <c r="M62207"/>
    </row>
    <row r="62208" spans="3:13" ht="12.75" customHeight="1" x14ac:dyDescent="0.2">
      <c r="C62208"/>
      <c r="M62208"/>
    </row>
    <row r="62209" spans="3:13" ht="12.75" customHeight="1" x14ac:dyDescent="0.2">
      <c r="C62209"/>
      <c r="M62209"/>
    </row>
    <row r="62210" spans="3:13" ht="12.75" customHeight="1" x14ac:dyDescent="0.2">
      <c r="C62210"/>
      <c r="M62210"/>
    </row>
    <row r="62211" spans="3:13" ht="12.75" customHeight="1" x14ac:dyDescent="0.2">
      <c r="C62211"/>
      <c r="M62211"/>
    </row>
    <row r="62212" spans="3:13" ht="12.75" customHeight="1" x14ac:dyDescent="0.2">
      <c r="C62212"/>
      <c r="M62212"/>
    </row>
    <row r="62213" spans="3:13" ht="12.75" customHeight="1" x14ac:dyDescent="0.2">
      <c r="C62213"/>
      <c r="M62213"/>
    </row>
    <row r="62214" spans="3:13" ht="12.75" customHeight="1" x14ac:dyDescent="0.2">
      <c r="C62214"/>
      <c r="M62214"/>
    </row>
    <row r="62215" spans="3:13" ht="12.75" customHeight="1" x14ac:dyDescent="0.2">
      <c r="C62215"/>
      <c r="M62215"/>
    </row>
    <row r="62216" spans="3:13" ht="12.75" customHeight="1" x14ac:dyDescent="0.2">
      <c r="C62216"/>
      <c r="M62216"/>
    </row>
    <row r="62217" spans="3:13" ht="12.75" customHeight="1" x14ac:dyDescent="0.2">
      <c r="C62217"/>
      <c r="M62217"/>
    </row>
    <row r="62218" spans="3:13" ht="12.75" customHeight="1" x14ac:dyDescent="0.2">
      <c r="C62218"/>
      <c r="M62218"/>
    </row>
    <row r="62219" spans="3:13" ht="12.75" customHeight="1" x14ac:dyDescent="0.2">
      <c r="C62219"/>
      <c r="M62219"/>
    </row>
    <row r="62220" spans="3:13" ht="12.75" customHeight="1" x14ac:dyDescent="0.2">
      <c r="C62220"/>
      <c r="M62220"/>
    </row>
    <row r="62221" spans="3:13" ht="12.75" customHeight="1" x14ac:dyDescent="0.2">
      <c r="C62221"/>
      <c r="M62221"/>
    </row>
    <row r="62222" spans="3:13" ht="12.75" customHeight="1" x14ac:dyDescent="0.2">
      <c r="C62222"/>
      <c r="M62222"/>
    </row>
    <row r="62223" spans="3:13" ht="12.75" customHeight="1" x14ac:dyDescent="0.2">
      <c r="C62223"/>
      <c r="M62223"/>
    </row>
    <row r="62224" spans="3:13" ht="12.75" customHeight="1" x14ac:dyDescent="0.2">
      <c r="C62224"/>
      <c r="M62224"/>
    </row>
    <row r="62225" spans="3:13" ht="12.75" customHeight="1" x14ac:dyDescent="0.2">
      <c r="C62225"/>
      <c r="M62225"/>
    </row>
    <row r="62226" spans="3:13" ht="12.75" customHeight="1" x14ac:dyDescent="0.2">
      <c r="C62226"/>
      <c r="M62226"/>
    </row>
    <row r="62227" spans="3:13" ht="12.75" customHeight="1" x14ac:dyDescent="0.2">
      <c r="C62227"/>
      <c r="M62227"/>
    </row>
    <row r="62228" spans="3:13" ht="12.75" customHeight="1" x14ac:dyDescent="0.2">
      <c r="C62228"/>
      <c r="M62228"/>
    </row>
    <row r="62229" spans="3:13" ht="12.75" customHeight="1" x14ac:dyDescent="0.2">
      <c r="C62229"/>
      <c r="M62229"/>
    </row>
    <row r="62230" spans="3:13" ht="12.75" customHeight="1" x14ac:dyDescent="0.2">
      <c r="C62230"/>
      <c r="M62230"/>
    </row>
    <row r="62231" spans="3:13" ht="12.75" customHeight="1" x14ac:dyDescent="0.2">
      <c r="C62231"/>
      <c r="M62231"/>
    </row>
    <row r="62232" spans="3:13" ht="12.75" customHeight="1" x14ac:dyDescent="0.2">
      <c r="C62232"/>
      <c r="M62232"/>
    </row>
    <row r="62233" spans="3:13" ht="12.75" customHeight="1" x14ac:dyDescent="0.2">
      <c r="C62233"/>
      <c r="M62233"/>
    </row>
    <row r="62234" spans="3:13" ht="12.75" customHeight="1" x14ac:dyDescent="0.2">
      <c r="C62234"/>
      <c r="M62234"/>
    </row>
    <row r="62235" spans="3:13" ht="12.75" customHeight="1" x14ac:dyDescent="0.2">
      <c r="C62235"/>
      <c r="M62235"/>
    </row>
    <row r="62236" spans="3:13" ht="12.75" customHeight="1" x14ac:dyDescent="0.2">
      <c r="C62236"/>
      <c r="M62236"/>
    </row>
    <row r="62237" spans="3:13" ht="12.75" customHeight="1" x14ac:dyDescent="0.2">
      <c r="C62237"/>
      <c r="M62237"/>
    </row>
    <row r="62238" spans="3:13" ht="12.75" customHeight="1" x14ac:dyDescent="0.2">
      <c r="C62238"/>
      <c r="M62238"/>
    </row>
    <row r="62239" spans="3:13" ht="12.75" customHeight="1" x14ac:dyDescent="0.2">
      <c r="C62239"/>
      <c r="M62239"/>
    </row>
    <row r="62240" spans="3:13" ht="12.75" customHeight="1" x14ac:dyDescent="0.2">
      <c r="C62240"/>
      <c r="M62240"/>
    </row>
    <row r="62241" spans="3:13" ht="12.75" customHeight="1" x14ac:dyDescent="0.2">
      <c r="C62241"/>
      <c r="M62241"/>
    </row>
    <row r="62242" spans="3:13" ht="12.75" customHeight="1" x14ac:dyDescent="0.2">
      <c r="C62242"/>
      <c r="M62242"/>
    </row>
    <row r="62243" spans="3:13" ht="12.75" customHeight="1" x14ac:dyDescent="0.2">
      <c r="C62243"/>
      <c r="M62243"/>
    </row>
    <row r="62244" spans="3:13" ht="12.75" customHeight="1" x14ac:dyDescent="0.2">
      <c r="C62244"/>
      <c r="M62244"/>
    </row>
    <row r="62245" spans="3:13" ht="12.75" customHeight="1" x14ac:dyDescent="0.2">
      <c r="C62245"/>
      <c r="M62245"/>
    </row>
    <row r="62246" spans="3:13" ht="12.75" customHeight="1" x14ac:dyDescent="0.2">
      <c r="C62246"/>
      <c r="M62246"/>
    </row>
    <row r="62247" spans="3:13" ht="12.75" customHeight="1" x14ac:dyDescent="0.2">
      <c r="C62247"/>
      <c r="M62247"/>
    </row>
    <row r="62248" spans="3:13" ht="12.75" customHeight="1" x14ac:dyDescent="0.2">
      <c r="C62248"/>
      <c r="M62248"/>
    </row>
    <row r="62249" spans="3:13" ht="12.75" customHeight="1" x14ac:dyDescent="0.2">
      <c r="C62249"/>
      <c r="M62249"/>
    </row>
    <row r="62250" spans="3:13" ht="12.75" customHeight="1" x14ac:dyDescent="0.2">
      <c r="C62250"/>
      <c r="M62250"/>
    </row>
    <row r="62251" spans="3:13" ht="12.75" customHeight="1" x14ac:dyDescent="0.2">
      <c r="C62251"/>
      <c r="M62251"/>
    </row>
    <row r="62252" spans="3:13" ht="12.75" customHeight="1" x14ac:dyDescent="0.2">
      <c r="C62252"/>
      <c r="M62252"/>
    </row>
    <row r="62253" spans="3:13" ht="12.75" customHeight="1" x14ac:dyDescent="0.2">
      <c r="C62253"/>
      <c r="M62253"/>
    </row>
    <row r="62254" spans="3:13" ht="12.75" customHeight="1" x14ac:dyDescent="0.2">
      <c r="C62254"/>
      <c r="M62254"/>
    </row>
    <row r="62255" spans="3:13" ht="12.75" customHeight="1" x14ac:dyDescent="0.2">
      <c r="C62255"/>
      <c r="M62255"/>
    </row>
    <row r="62256" spans="3:13" ht="12.75" customHeight="1" x14ac:dyDescent="0.2">
      <c r="C62256"/>
      <c r="M62256"/>
    </row>
    <row r="62257" spans="3:13" ht="12.75" customHeight="1" x14ac:dyDescent="0.2">
      <c r="C62257"/>
      <c r="M62257"/>
    </row>
    <row r="62258" spans="3:13" ht="12.75" customHeight="1" x14ac:dyDescent="0.2">
      <c r="C62258"/>
      <c r="M62258"/>
    </row>
    <row r="62259" spans="3:13" ht="12.75" customHeight="1" x14ac:dyDescent="0.2">
      <c r="C62259"/>
      <c r="M62259"/>
    </row>
    <row r="62260" spans="3:13" ht="12.75" customHeight="1" x14ac:dyDescent="0.2">
      <c r="C62260"/>
      <c r="M62260"/>
    </row>
    <row r="62261" spans="3:13" ht="12.75" customHeight="1" x14ac:dyDescent="0.2">
      <c r="C62261"/>
      <c r="M62261"/>
    </row>
    <row r="62262" spans="3:13" ht="12.75" customHeight="1" x14ac:dyDescent="0.2">
      <c r="C62262"/>
      <c r="M62262"/>
    </row>
    <row r="62263" spans="3:13" ht="12.75" customHeight="1" x14ac:dyDescent="0.2">
      <c r="C62263"/>
      <c r="M62263"/>
    </row>
    <row r="62264" spans="3:13" ht="12.75" customHeight="1" x14ac:dyDescent="0.2">
      <c r="C62264"/>
      <c r="M62264"/>
    </row>
    <row r="62265" spans="3:13" ht="12.75" customHeight="1" x14ac:dyDescent="0.2">
      <c r="C62265"/>
      <c r="M62265"/>
    </row>
    <row r="62266" spans="3:13" ht="12.75" customHeight="1" x14ac:dyDescent="0.2">
      <c r="C62266"/>
      <c r="M62266"/>
    </row>
    <row r="62267" spans="3:13" ht="12.75" customHeight="1" x14ac:dyDescent="0.2">
      <c r="C62267"/>
      <c r="M62267"/>
    </row>
    <row r="62268" spans="3:13" ht="12.75" customHeight="1" x14ac:dyDescent="0.2">
      <c r="C62268"/>
      <c r="M62268"/>
    </row>
    <row r="62269" spans="3:13" ht="12.75" customHeight="1" x14ac:dyDescent="0.2">
      <c r="C62269"/>
      <c r="M62269"/>
    </row>
    <row r="62270" spans="3:13" ht="12.75" customHeight="1" x14ac:dyDescent="0.2">
      <c r="C62270"/>
      <c r="M62270"/>
    </row>
    <row r="62271" spans="3:13" ht="12.75" customHeight="1" x14ac:dyDescent="0.2">
      <c r="C62271"/>
      <c r="M62271"/>
    </row>
    <row r="62272" spans="3:13" ht="12.75" customHeight="1" x14ac:dyDescent="0.2">
      <c r="C62272"/>
      <c r="M62272"/>
    </row>
    <row r="62273" spans="3:13" ht="12.75" customHeight="1" x14ac:dyDescent="0.2">
      <c r="C62273"/>
      <c r="M62273"/>
    </row>
    <row r="62274" spans="3:13" ht="12.75" customHeight="1" x14ac:dyDescent="0.2">
      <c r="C62274"/>
      <c r="M62274"/>
    </row>
    <row r="62275" spans="3:13" ht="12.75" customHeight="1" x14ac:dyDescent="0.2">
      <c r="C62275"/>
      <c r="M62275"/>
    </row>
    <row r="62276" spans="3:13" ht="12.75" customHeight="1" x14ac:dyDescent="0.2">
      <c r="C62276"/>
      <c r="M62276"/>
    </row>
    <row r="62277" spans="3:13" ht="12.75" customHeight="1" x14ac:dyDescent="0.2">
      <c r="C62277"/>
      <c r="M62277"/>
    </row>
    <row r="62278" spans="3:13" ht="12.75" customHeight="1" x14ac:dyDescent="0.2">
      <c r="C62278"/>
      <c r="M62278"/>
    </row>
    <row r="62279" spans="3:13" ht="12.75" customHeight="1" x14ac:dyDescent="0.2">
      <c r="C62279"/>
      <c r="M62279"/>
    </row>
    <row r="62280" spans="3:13" ht="12.75" customHeight="1" x14ac:dyDescent="0.2">
      <c r="C62280"/>
      <c r="M62280"/>
    </row>
    <row r="62281" spans="3:13" ht="12.75" customHeight="1" x14ac:dyDescent="0.2">
      <c r="C62281"/>
      <c r="M62281"/>
    </row>
    <row r="62282" spans="3:13" ht="12.75" customHeight="1" x14ac:dyDescent="0.2">
      <c r="C62282"/>
      <c r="M62282"/>
    </row>
    <row r="62283" spans="3:13" ht="12.75" customHeight="1" x14ac:dyDescent="0.2">
      <c r="C62283"/>
      <c r="M62283"/>
    </row>
    <row r="62284" spans="3:13" ht="12.75" customHeight="1" x14ac:dyDescent="0.2">
      <c r="C62284"/>
      <c r="M62284"/>
    </row>
    <row r="62285" spans="3:13" ht="12.75" customHeight="1" x14ac:dyDescent="0.2">
      <c r="C62285"/>
      <c r="M62285"/>
    </row>
    <row r="62286" spans="3:13" ht="12.75" customHeight="1" x14ac:dyDescent="0.2">
      <c r="C62286"/>
      <c r="M62286"/>
    </row>
    <row r="62287" spans="3:13" ht="12.75" customHeight="1" x14ac:dyDescent="0.2">
      <c r="C62287"/>
      <c r="M62287"/>
    </row>
    <row r="62288" spans="3:13" ht="12.75" customHeight="1" x14ac:dyDescent="0.2">
      <c r="C62288"/>
      <c r="M62288"/>
    </row>
    <row r="62289" spans="3:13" ht="12.75" customHeight="1" x14ac:dyDescent="0.2">
      <c r="C62289"/>
      <c r="M62289"/>
    </row>
    <row r="62290" spans="3:13" ht="12.75" customHeight="1" x14ac:dyDescent="0.2">
      <c r="C62290"/>
      <c r="M62290"/>
    </row>
    <row r="62291" spans="3:13" ht="12.75" customHeight="1" x14ac:dyDescent="0.2">
      <c r="C62291"/>
      <c r="M62291"/>
    </row>
    <row r="62292" spans="3:13" ht="12.75" customHeight="1" x14ac:dyDescent="0.2">
      <c r="C62292"/>
      <c r="M62292"/>
    </row>
    <row r="62293" spans="3:13" ht="12.75" customHeight="1" x14ac:dyDescent="0.2">
      <c r="C62293"/>
      <c r="M62293"/>
    </row>
    <row r="62294" spans="3:13" ht="12.75" customHeight="1" x14ac:dyDescent="0.2">
      <c r="C62294"/>
      <c r="M62294"/>
    </row>
    <row r="62295" spans="3:13" ht="12.75" customHeight="1" x14ac:dyDescent="0.2">
      <c r="C62295"/>
      <c r="M62295"/>
    </row>
    <row r="62296" spans="3:13" ht="12.75" customHeight="1" x14ac:dyDescent="0.2">
      <c r="C62296"/>
      <c r="M62296"/>
    </row>
    <row r="62297" spans="3:13" ht="12.75" customHeight="1" x14ac:dyDescent="0.2">
      <c r="C62297"/>
      <c r="M62297"/>
    </row>
    <row r="62298" spans="3:13" ht="12.75" customHeight="1" x14ac:dyDescent="0.2">
      <c r="C62298"/>
      <c r="M62298"/>
    </row>
    <row r="62299" spans="3:13" ht="12.75" customHeight="1" x14ac:dyDescent="0.2">
      <c r="C62299"/>
      <c r="M62299"/>
    </row>
    <row r="62300" spans="3:13" ht="12.75" customHeight="1" x14ac:dyDescent="0.2">
      <c r="C62300"/>
      <c r="M62300"/>
    </row>
    <row r="62301" spans="3:13" ht="12.75" customHeight="1" x14ac:dyDescent="0.2">
      <c r="C62301"/>
      <c r="M62301"/>
    </row>
    <row r="62302" spans="3:13" ht="12.75" customHeight="1" x14ac:dyDescent="0.2">
      <c r="C62302"/>
      <c r="M62302"/>
    </row>
    <row r="62303" spans="3:13" ht="12.75" customHeight="1" x14ac:dyDescent="0.2">
      <c r="C62303"/>
      <c r="M62303"/>
    </row>
    <row r="62304" spans="3:13" ht="12.75" customHeight="1" x14ac:dyDescent="0.2">
      <c r="C62304"/>
      <c r="M62304"/>
    </row>
    <row r="62305" spans="3:13" ht="12.75" customHeight="1" x14ac:dyDescent="0.2">
      <c r="C62305"/>
      <c r="M62305"/>
    </row>
    <row r="62306" spans="3:13" ht="12.75" customHeight="1" x14ac:dyDescent="0.2">
      <c r="C62306"/>
      <c r="M62306"/>
    </row>
    <row r="62307" spans="3:13" ht="12.75" customHeight="1" x14ac:dyDescent="0.2">
      <c r="C62307"/>
      <c r="M62307"/>
    </row>
    <row r="62308" spans="3:13" ht="12.75" customHeight="1" x14ac:dyDescent="0.2">
      <c r="C62308"/>
      <c r="M62308"/>
    </row>
    <row r="62309" spans="3:13" ht="12.75" customHeight="1" x14ac:dyDescent="0.2">
      <c r="C62309"/>
      <c r="M62309"/>
    </row>
    <row r="62310" spans="3:13" ht="12.75" customHeight="1" x14ac:dyDescent="0.2">
      <c r="C62310"/>
      <c r="M62310"/>
    </row>
    <row r="62311" spans="3:13" ht="12.75" customHeight="1" x14ac:dyDescent="0.2">
      <c r="C62311"/>
      <c r="M62311"/>
    </row>
    <row r="62312" spans="3:13" ht="12.75" customHeight="1" x14ac:dyDescent="0.2">
      <c r="C62312"/>
      <c r="M62312"/>
    </row>
    <row r="62313" spans="3:13" ht="12.75" customHeight="1" x14ac:dyDescent="0.2">
      <c r="C62313"/>
      <c r="M62313"/>
    </row>
    <row r="62314" spans="3:13" ht="12.75" customHeight="1" x14ac:dyDescent="0.2">
      <c r="C62314"/>
      <c r="M62314"/>
    </row>
    <row r="62315" spans="3:13" ht="12.75" customHeight="1" x14ac:dyDescent="0.2">
      <c r="C62315"/>
      <c r="M62315"/>
    </row>
    <row r="62316" spans="3:13" ht="12.75" customHeight="1" x14ac:dyDescent="0.2">
      <c r="C62316"/>
      <c r="M62316"/>
    </row>
    <row r="62317" spans="3:13" ht="12.75" customHeight="1" x14ac:dyDescent="0.2">
      <c r="C62317"/>
      <c r="M62317"/>
    </row>
    <row r="62318" spans="3:13" ht="12.75" customHeight="1" x14ac:dyDescent="0.2">
      <c r="C62318"/>
      <c r="M62318"/>
    </row>
    <row r="62319" spans="3:13" ht="12.75" customHeight="1" x14ac:dyDescent="0.2">
      <c r="C62319"/>
      <c r="M62319"/>
    </row>
    <row r="62320" spans="3:13" ht="12.75" customHeight="1" x14ac:dyDescent="0.2">
      <c r="C62320"/>
      <c r="M62320"/>
    </row>
    <row r="62321" spans="3:13" ht="12.75" customHeight="1" x14ac:dyDescent="0.2">
      <c r="C62321"/>
      <c r="M62321"/>
    </row>
    <row r="62322" spans="3:13" ht="12.75" customHeight="1" x14ac:dyDescent="0.2">
      <c r="C62322"/>
      <c r="M62322"/>
    </row>
    <row r="62323" spans="3:13" ht="12.75" customHeight="1" x14ac:dyDescent="0.2">
      <c r="C62323"/>
      <c r="M62323"/>
    </row>
    <row r="62324" spans="3:13" ht="12.75" customHeight="1" x14ac:dyDescent="0.2">
      <c r="C62324"/>
      <c r="M62324"/>
    </row>
    <row r="62325" spans="3:13" ht="12.75" customHeight="1" x14ac:dyDescent="0.2">
      <c r="C62325"/>
      <c r="M62325"/>
    </row>
    <row r="62326" spans="3:13" ht="12.75" customHeight="1" x14ac:dyDescent="0.2">
      <c r="C62326"/>
      <c r="M62326"/>
    </row>
    <row r="62327" spans="3:13" ht="12.75" customHeight="1" x14ac:dyDescent="0.2">
      <c r="C62327"/>
      <c r="M62327"/>
    </row>
    <row r="62328" spans="3:13" ht="12.75" customHeight="1" x14ac:dyDescent="0.2">
      <c r="C62328"/>
      <c r="M62328"/>
    </row>
    <row r="62329" spans="3:13" ht="12.75" customHeight="1" x14ac:dyDescent="0.2">
      <c r="C62329"/>
      <c r="M62329"/>
    </row>
    <row r="62330" spans="3:13" ht="12.75" customHeight="1" x14ac:dyDescent="0.2">
      <c r="C62330"/>
      <c r="M62330"/>
    </row>
    <row r="62331" spans="3:13" ht="12.75" customHeight="1" x14ac:dyDescent="0.2">
      <c r="C62331"/>
      <c r="M62331"/>
    </row>
    <row r="62332" spans="3:13" ht="12.75" customHeight="1" x14ac:dyDescent="0.2">
      <c r="C62332"/>
      <c r="M62332"/>
    </row>
    <row r="62333" spans="3:13" ht="12.75" customHeight="1" x14ac:dyDescent="0.2">
      <c r="C62333"/>
      <c r="M62333"/>
    </row>
    <row r="62334" spans="3:13" ht="12.75" customHeight="1" x14ac:dyDescent="0.2">
      <c r="C62334"/>
      <c r="M62334"/>
    </row>
    <row r="62335" spans="3:13" ht="12.75" customHeight="1" x14ac:dyDescent="0.2">
      <c r="C62335"/>
      <c r="M62335"/>
    </row>
    <row r="62336" spans="3:13" ht="12.75" customHeight="1" x14ac:dyDescent="0.2">
      <c r="C62336"/>
      <c r="M62336"/>
    </row>
    <row r="62337" spans="3:13" ht="12.75" customHeight="1" x14ac:dyDescent="0.2">
      <c r="C62337"/>
      <c r="M62337"/>
    </row>
    <row r="62338" spans="3:13" ht="12.75" customHeight="1" x14ac:dyDescent="0.2">
      <c r="C62338"/>
      <c r="M62338"/>
    </row>
    <row r="62339" spans="3:13" ht="12.75" customHeight="1" x14ac:dyDescent="0.2">
      <c r="C62339"/>
      <c r="M62339"/>
    </row>
    <row r="62340" spans="3:13" ht="12.75" customHeight="1" x14ac:dyDescent="0.2">
      <c r="C62340"/>
      <c r="M62340"/>
    </row>
    <row r="62341" spans="3:13" ht="12.75" customHeight="1" x14ac:dyDescent="0.2">
      <c r="C62341"/>
      <c r="M62341"/>
    </row>
    <row r="62342" spans="3:13" ht="12.75" customHeight="1" x14ac:dyDescent="0.2">
      <c r="C62342"/>
      <c r="M62342"/>
    </row>
    <row r="62343" spans="3:13" ht="12.75" customHeight="1" x14ac:dyDescent="0.2">
      <c r="C62343"/>
      <c r="M62343"/>
    </row>
    <row r="62344" spans="3:13" ht="12.75" customHeight="1" x14ac:dyDescent="0.2">
      <c r="C62344"/>
      <c r="M62344"/>
    </row>
    <row r="62345" spans="3:13" ht="12.75" customHeight="1" x14ac:dyDescent="0.2">
      <c r="C62345"/>
      <c r="M62345"/>
    </row>
    <row r="62346" spans="3:13" ht="12.75" customHeight="1" x14ac:dyDescent="0.2">
      <c r="C62346"/>
      <c r="M62346"/>
    </row>
    <row r="62347" spans="3:13" ht="12.75" customHeight="1" x14ac:dyDescent="0.2">
      <c r="C62347"/>
      <c r="M62347"/>
    </row>
    <row r="62348" spans="3:13" ht="12.75" customHeight="1" x14ac:dyDescent="0.2">
      <c r="C62348"/>
      <c r="M62348"/>
    </row>
    <row r="62349" spans="3:13" ht="12.75" customHeight="1" x14ac:dyDescent="0.2">
      <c r="C62349"/>
      <c r="M62349"/>
    </row>
    <row r="62350" spans="3:13" ht="12.75" customHeight="1" x14ac:dyDescent="0.2">
      <c r="C62350"/>
      <c r="M62350"/>
    </row>
    <row r="62351" spans="3:13" ht="12.75" customHeight="1" x14ac:dyDescent="0.2">
      <c r="C62351"/>
      <c r="M62351"/>
    </row>
    <row r="62352" spans="3:13" ht="12.75" customHeight="1" x14ac:dyDescent="0.2">
      <c r="C62352"/>
      <c r="M62352"/>
    </row>
    <row r="62353" spans="3:13" ht="12.75" customHeight="1" x14ac:dyDescent="0.2">
      <c r="C62353"/>
      <c r="M62353"/>
    </row>
    <row r="62354" spans="3:13" ht="12.75" customHeight="1" x14ac:dyDescent="0.2">
      <c r="C62354"/>
      <c r="M62354"/>
    </row>
    <row r="62355" spans="3:13" ht="12.75" customHeight="1" x14ac:dyDescent="0.2">
      <c r="C62355"/>
      <c r="M62355"/>
    </row>
    <row r="62356" spans="3:13" ht="12.75" customHeight="1" x14ac:dyDescent="0.2">
      <c r="C62356"/>
      <c r="M62356"/>
    </row>
    <row r="62357" spans="3:13" ht="12.75" customHeight="1" x14ac:dyDescent="0.2">
      <c r="C62357"/>
      <c r="M62357"/>
    </row>
    <row r="62358" spans="3:13" ht="12.75" customHeight="1" x14ac:dyDescent="0.2">
      <c r="C62358"/>
      <c r="M62358"/>
    </row>
    <row r="62359" spans="3:13" ht="12.75" customHeight="1" x14ac:dyDescent="0.2">
      <c r="C62359"/>
      <c r="M62359"/>
    </row>
    <row r="62360" spans="3:13" ht="12.75" customHeight="1" x14ac:dyDescent="0.2">
      <c r="C62360"/>
      <c r="M62360"/>
    </row>
    <row r="62361" spans="3:13" ht="12.75" customHeight="1" x14ac:dyDescent="0.2">
      <c r="C62361"/>
      <c r="M62361"/>
    </row>
    <row r="62362" spans="3:13" ht="12.75" customHeight="1" x14ac:dyDescent="0.2">
      <c r="C62362"/>
      <c r="M62362"/>
    </row>
    <row r="62363" spans="3:13" ht="12.75" customHeight="1" x14ac:dyDescent="0.2">
      <c r="C62363"/>
      <c r="M62363"/>
    </row>
    <row r="62364" spans="3:13" ht="12.75" customHeight="1" x14ac:dyDescent="0.2">
      <c r="C62364"/>
      <c r="M62364"/>
    </row>
    <row r="62365" spans="3:13" ht="12.75" customHeight="1" x14ac:dyDescent="0.2">
      <c r="C62365"/>
      <c r="M62365"/>
    </row>
    <row r="62366" spans="3:13" ht="12.75" customHeight="1" x14ac:dyDescent="0.2">
      <c r="C62366"/>
      <c r="M62366"/>
    </row>
    <row r="62367" spans="3:13" ht="12.75" customHeight="1" x14ac:dyDescent="0.2">
      <c r="C62367"/>
      <c r="M62367"/>
    </row>
    <row r="62368" spans="3:13" ht="12.75" customHeight="1" x14ac:dyDescent="0.2">
      <c r="C62368"/>
      <c r="M62368"/>
    </row>
    <row r="62369" spans="3:13" ht="12.75" customHeight="1" x14ac:dyDescent="0.2">
      <c r="C62369"/>
      <c r="M62369"/>
    </row>
    <row r="62370" spans="3:13" ht="12.75" customHeight="1" x14ac:dyDescent="0.2">
      <c r="C62370"/>
      <c r="M62370"/>
    </row>
    <row r="62371" spans="3:13" ht="12.75" customHeight="1" x14ac:dyDescent="0.2">
      <c r="C62371"/>
      <c r="M62371"/>
    </row>
    <row r="62372" spans="3:13" ht="12.75" customHeight="1" x14ac:dyDescent="0.2">
      <c r="C62372"/>
      <c r="M62372"/>
    </row>
    <row r="62373" spans="3:13" ht="12.75" customHeight="1" x14ac:dyDescent="0.2">
      <c r="C62373"/>
      <c r="M62373"/>
    </row>
    <row r="62374" spans="3:13" ht="12.75" customHeight="1" x14ac:dyDescent="0.2">
      <c r="C62374"/>
      <c r="M62374"/>
    </row>
    <row r="62375" spans="3:13" ht="12.75" customHeight="1" x14ac:dyDescent="0.2">
      <c r="C62375"/>
      <c r="M62375"/>
    </row>
    <row r="62376" spans="3:13" ht="12.75" customHeight="1" x14ac:dyDescent="0.2">
      <c r="C62376"/>
      <c r="M62376"/>
    </row>
    <row r="62377" spans="3:13" ht="12.75" customHeight="1" x14ac:dyDescent="0.2">
      <c r="C62377"/>
      <c r="M62377"/>
    </row>
    <row r="62378" spans="3:13" ht="12.75" customHeight="1" x14ac:dyDescent="0.2">
      <c r="C62378"/>
      <c r="M62378"/>
    </row>
    <row r="62379" spans="3:13" ht="12.75" customHeight="1" x14ac:dyDescent="0.2">
      <c r="C62379"/>
      <c r="M62379"/>
    </row>
    <row r="62380" spans="3:13" ht="12.75" customHeight="1" x14ac:dyDescent="0.2">
      <c r="C62380"/>
      <c r="M62380"/>
    </row>
    <row r="62381" spans="3:13" ht="12.75" customHeight="1" x14ac:dyDescent="0.2">
      <c r="C62381"/>
      <c r="M62381"/>
    </row>
    <row r="62382" spans="3:13" ht="12.75" customHeight="1" x14ac:dyDescent="0.2">
      <c r="C62382"/>
      <c r="M62382"/>
    </row>
    <row r="62383" spans="3:13" ht="12.75" customHeight="1" x14ac:dyDescent="0.2">
      <c r="C62383"/>
      <c r="M62383"/>
    </row>
    <row r="62384" spans="3:13" ht="12.75" customHeight="1" x14ac:dyDescent="0.2">
      <c r="C62384"/>
      <c r="M62384"/>
    </row>
    <row r="62385" spans="3:13" ht="12.75" customHeight="1" x14ac:dyDescent="0.2">
      <c r="C62385"/>
      <c r="M62385"/>
    </row>
    <row r="62386" spans="3:13" ht="12.75" customHeight="1" x14ac:dyDescent="0.2">
      <c r="C62386"/>
      <c r="M62386"/>
    </row>
    <row r="62387" spans="3:13" ht="12.75" customHeight="1" x14ac:dyDescent="0.2">
      <c r="C62387"/>
      <c r="M62387"/>
    </row>
    <row r="62388" spans="3:13" ht="12.75" customHeight="1" x14ac:dyDescent="0.2">
      <c r="C62388"/>
      <c r="M62388"/>
    </row>
    <row r="62389" spans="3:13" ht="12.75" customHeight="1" x14ac:dyDescent="0.2">
      <c r="C62389"/>
      <c r="M62389"/>
    </row>
    <row r="62390" spans="3:13" ht="12.75" customHeight="1" x14ac:dyDescent="0.2">
      <c r="C62390"/>
      <c r="M62390"/>
    </row>
    <row r="62391" spans="3:13" ht="12.75" customHeight="1" x14ac:dyDescent="0.2">
      <c r="C62391"/>
      <c r="M62391"/>
    </row>
    <row r="62392" spans="3:13" ht="12.75" customHeight="1" x14ac:dyDescent="0.2">
      <c r="C62392"/>
      <c r="M62392"/>
    </row>
    <row r="62393" spans="3:13" ht="12.75" customHeight="1" x14ac:dyDescent="0.2">
      <c r="C62393"/>
      <c r="M62393"/>
    </row>
    <row r="62394" spans="3:13" ht="12.75" customHeight="1" x14ac:dyDescent="0.2">
      <c r="C62394"/>
      <c r="M62394"/>
    </row>
    <row r="62395" spans="3:13" ht="12.75" customHeight="1" x14ac:dyDescent="0.2">
      <c r="C62395"/>
      <c r="M62395"/>
    </row>
    <row r="62396" spans="3:13" ht="12.75" customHeight="1" x14ac:dyDescent="0.2">
      <c r="C62396"/>
      <c r="M62396"/>
    </row>
    <row r="62397" spans="3:13" ht="12.75" customHeight="1" x14ac:dyDescent="0.2">
      <c r="C62397"/>
      <c r="M62397"/>
    </row>
    <row r="62398" spans="3:13" ht="12.75" customHeight="1" x14ac:dyDescent="0.2">
      <c r="C62398"/>
      <c r="M62398"/>
    </row>
    <row r="62399" spans="3:13" ht="12.75" customHeight="1" x14ac:dyDescent="0.2">
      <c r="C62399"/>
      <c r="M62399"/>
    </row>
    <row r="62400" spans="3:13" ht="12.75" customHeight="1" x14ac:dyDescent="0.2">
      <c r="C62400"/>
      <c r="M62400"/>
    </row>
    <row r="62401" spans="3:13" ht="12.75" customHeight="1" x14ac:dyDescent="0.2">
      <c r="C62401"/>
      <c r="M62401"/>
    </row>
    <row r="62402" spans="3:13" ht="12.75" customHeight="1" x14ac:dyDescent="0.2">
      <c r="C62402"/>
      <c r="M62402"/>
    </row>
    <row r="62403" spans="3:13" ht="12.75" customHeight="1" x14ac:dyDescent="0.2">
      <c r="C62403"/>
      <c r="M62403"/>
    </row>
    <row r="62404" spans="3:13" ht="12.75" customHeight="1" x14ac:dyDescent="0.2">
      <c r="C62404"/>
      <c r="M62404"/>
    </row>
    <row r="62405" spans="3:13" ht="12.75" customHeight="1" x14ac:dyDescent="0.2">
      <c r="C62405"/>
      <c r="M62405"/>
    </row>
    <row r="62406" spans="3:13" ht="12.75" customHeight="1" x14ac:dyDescent="0.2">
      <c r="C62406"/>
      <c r="M62406"/>
    </row>
    <row r="62407" spans="3:13" ht="12.75" customHeight="1" x14ac:dyDescent="0.2">
      <c r="C62407"/>
      <c r="M62407"/>
    </row>
    <row r="62408" spans="3:13" ht="12.75" customHeight="1" x14ac:dyDescent="0.2">
      <c r="C62408"/>
      <c r="M62408"/>
    </row>
    <row r="62409" spans="3:13" ht="12.75" customHeight="1" x14ac:dyDescent="0.2">
      <c r="C62409"/>
      <c r="M62409"/>
    </row>
    <row r="62410" spans="3:13" ht="12.75" customHeight="1" x14ac:dyDescent="0.2">
      <c r="C62410"/>
      <c r="M62410"/>
    </row>
    <row r="62411" spans="3:13" ht="12.75" customHeight="1" x14ac:dyDescent="0.2">
      <c r="C62411"/>
      <c r="M62411"/>
    </row>
    <row r="62412" spans="3:13" ht="12.75" customHeight="1" x14ac:dyDescent="0.2">
      <c r="C62412"/>
      <c r="M62412"/>
    </row>
    <row r="62413" spans="3:13" ht="12.75" customHeight="1" x14ac:dyDescent="0.2">
      <c r="C62413"/>
      <c r="M62413"/>
    </row>
    <row r="62414" spans="3:13" ht="12.75" customHeight="1" x14ac:dyDescent="0.2">
      <c r="C62414"/>
      <c r="M62414"/>
    </row>
    <row r="62415" spans="3:13" ht="12.75" customHeight="1" x14ac:dyDescent="0.2">
      <c r="C62415"/>
      <c r="M62415"/>
    </row>
    <row r="62416" spans="3:13" ht="12.75" customHeight="1" x14ac:dyDescent="0.2">
      <c r="C62416"/>
      <c r="M62416"/>
    </row>
    <row r="62417" spans="3:13" ht="12.75" customHeight="1" x14ac:dyDescent="0.2">
      <c r="C62417"/>
      <c r="M62417"/>
    </row>
    <row r="62418" spans="3:13" ht="12.75" customHeight="1" x14ac:dyDescent="0.2">
      <c r="C62418"/>
      <c r="M62418"/>
    </row>
    <row r="62419" spans="3:13" ht="12.75" customHeight="1" x14ac:dyDescent="0.2">
      <c r="C62419"/>
      <c r="M62419"/>
    </row>
    <row r="62420" spans="3:13" ht="12.75" customHeight="1" x14ac:dyDescent="0.2">
      <c r="C62420"/>
      <c r="M62420"/>
    </row>
    <row r="62421" spans="3:13" ht="12.75" customHeight="1" x14ac:dyDescent="0.2">
      <c r="C62421"/>
      <c r="M62421"/>
    </row>
    <row r="62422" spans="3:13" ht="12.75" customHeight="1" x14ac:dyDescent="0.2">
      <c r="C62422"/>
      <c r="M62422"/>
    </row>
    <row r="62423" spans="3:13" ht="12.75" customHeight="1" x14ac:dyDescent="0.2">
      <c r="C62423"/>
      <c r="M62423"/>
    </row>
    <row r="62424" spans="3:13" ht="12.75" customHeight="1" x14ac:dyDescent="0.2">
      <c r="C62424"/>
      <c r="M62424"/>
    </row>
    <row r="62425" spans="3:13" ht="12.75" customHeight="1" x14ac:dyDescent="0.2">
      <c r="C62425"/>
      <c r="M62425"/>
    </row>
    <row r="62426" spans="3:13" ht="12.75" customHeight="1" x14ac:dyDescent="0.2">
      <c r="C62426"/>
      <c r="M62426"/>
    </row>
    <row r="62427" spans="3:13" ht="12.75" customHeight="1" x14ac:dyDescent="0.2">
      <c r="C62427"/>
      <c r="M62427"/>
    </row>
    <row r="62428" spans="3:13" ht="12.75" customHeight="1" x14ac:dyDescent="0.2">
      <c r="C62428"/>
      <c r="M62428"/>
    </row>
    <row r="62429" spans="3:13" ht="12.75" customHeight="1" x14ac:dyDescent="0.2">
      <c r="C62429"/>
      <c r="M62429"/>
    </row>
    <row r="62430" spans="3:13" ht="12.75" customHeight="1" x14ac:dyDescent="0.2">
      <c r="C62430"/>
      <c r="M62430"/>
    </row>
    <row r="62431" spans="3:13" ht="12.75" customHeight="1" x14ac:dyDescent="0.2">
      <c r="C62431"/>
      <c r="M62431"/>
    </row>
    <row r="62432" spans="3:13" ht="12.75" customHeight="1" x14ac:dyDescent="0.2">
      <c r="C62432"/>
      <c r="M62432"/>
    </row>
    <row r="62433" spans="3:13" ht="12.75" customHeight="1" x14ac:dyDescent="0.2">
      <c r="C62433"/>
      <c r="M62433"/>
    </row>
    <row r="62434" spans="3:13" ht="12.75" customHeight="1" x14ac:dyDescent="0.2">
      <c r="C62434"/>
      <c r="M62434"/>
    </row>
    <row r="62435" spans="3:13" ht="12.75" customHeight="1" x14ac:dyDescent="0.2">
      <c r="C62435"/>
      <c r="M62435"/>
    </row>
    <row r="62436" spans="3:13" ht="12.75" customHeight="1" x14ac:dyDescent="0.2">
      <c r="C62436"/>
      <c r="M62436"/>
    </row>
    <row r="62437" spans="3:13" ht="12.75" customHeight="1" x14ac:dyDescent="0.2">
      <c r="C62437"/>
      <c r="M62437"/>
    </row>
    <row r="62438" spans="3:13" ht="12.75" customHeight="1" x14ac:dyDescent="0.2">
      <c r="C62438"/>
      <c r="M62438"/>
    </row>
    <row r="62439" spans="3:13" ht="12.75" customHeight="1" x14ac:dyDescent="0.2">
      <c r="C62439"/>
      <c r="M62439"/>
    </row>
    <row r="62440" spans="3:13" ht="12.75" customHeight="1" x14ac:dyDescent="0.2">
      <c r="C62440"/>
      <c r="M62440"/>
    </row>
    <row r="62441" spans="3:13" ht="12.75" customHeight="1" x14ac:dyDescent="0.2">
      <c r="C62441"/>
      <c r="M62441"/>
    </row>
    <row r="62442" spans="3:13" ht="12.75" customHeight="1" x14ac:dyDescent="0.2">
      <c r="C62442"/>
      <c r="M62442"/>
    </row>
    <row r="62443" spans="3:13" ht="12.75" customHeight="1" x14ac:dyDescent="0.2">
      <c r="C62443"/>
      <c r="M62443"/>
    </row>
    <row r="62444" spans="3:13" ht="12.75" customHeight="1" x14ac:dyDescent="0.2">
      <c r="C62444"/>
      <c r="M62444"/>
    </row>
    <row r="62445" spans="3:13" ht="12.75" customHeight="1" x14ac:dyDescent="0.2">
      <c r="C62445"/>
      <c r="M62445"/>
    </row>
    <row r="62446" spans="3:13" ht="12.75" customHeight="1" x14ac:dyDescent="0.2">
      <c r="C62446"/>
      <c r="M62446"/>
    </row>
    <row r="62447" spans="3:13" ht="12.75" customHeight="1" x14ac:dyDescent="0.2">
      <c r="C62447"/>
      <c r="M62447"/>
    </row>
    <row r="62448" spans="3:13" ht="12.75" customHeight="1" x14ac:dyDescent="0.2">
      <c r="C62448"/>
      <c r="M62448"/>
    </row>
    <row r="62449" spans="3:13" ht="12.75" customHeight="1" x14ac:dyDescent="0.2">
      <c r="C62449"/>
      <c r="M62449"/>
    </row>
    <row r="62450" spans="3:13" ht="12.75" customHeight="1" x14ac:dyDescent="0.2">
      <c r="C62450"/>
      <c r="M62450"/>
    </row>
    <row r="62451" spans="3:13" ht="12.75" customHeight="1" x14ac:dyDescent="0.2">
      <c r="C62451"/>
      <c r="M62451"/>
    </row>
    <row r="62452" spans="3:13" ht="12.75" customHeight="1" x14ac:dyDescent="0.2">
      <c r="C62452"/>
      <c r="M62452"/>
    </row>
    <row r="62453" spans="3:13" ht="12.75" customHeight="1" x14ac:dyDescent="0.2">
      <c r="C62453"/>
      <c r="M62453"/>
    </row>
    <row r="62454" spans="3:13" ht="12.75" customHeight="1" x14ac:dyDescent="0.2">
      <c r="C62454"/>
      <c r="M62454"/>
    </row>
    <row r="62455" spans="3:13" ht="12.75" customHeight="1" x14ac:dyDescent="0.2">
      <c r="C62455"/>
      <c r="M62455"/>
    </row>
    <row r="62456" spans="3:13" ht="12.75" customHeight="1" x14ac:dyDescent="0.2">
      <c r="C62456"/>
      <c r="M62456"/>
    </row>
    <row r="62457" spans="3:13" ht="12.75" customHeight="1" x14ac:dyDescent="0.2">
      <c r="C62457"/>
      <c r="M62457"/>
    </row>
    <row r="62458" spans="3:13" ht="12.75" customHeight="1" x14ac:dyDescent="0.2">
      <c r="C62458"/>
      <c r="M62458"/>
    </row>
    <row r="62459" spans="3:13" ht="12.75" customHeight="1" x14ac:dyDescent="0.2">
      <c r="C62459"/>
      <c r="M62459"/>
    </row>
    <row r="62460" spans="3:13" ht="12.75" customHeight="1" x14ac:dyDescent="0.2">
      <c r="C62460"/>
      <c r="M62460"/>
    </row>
    <row r="62461" spans="3:13" ht="12.75" customHeight="1" x14ac:dyDescent="0.2">
      <c r="C62461"/>
      <c r="M62461"/>
    </row>
    <row r="62462" spans="3:13" ht="12.75" customHeight="1" x14ac:dyDescent="0.2">
      <c r="C62462"/>
      <c r="M62462"/>
    </row>
    <row r="62463" spans="3:13" ht="12.75" customHeight="1" x14ac:dyDescent="0.2">
      <c r="C62463"/>
      <c r="M62463"/>
    </row>
    <row r="62464" spans="3:13" ht="12.75" customHeight="1" x14ac:dyDescent="0.2">
      <c r="C62464"/>
      <c r="M62464"/>
    </row>
    <row r="62465" spans="3:13" ht="12.75" customHeight="1" x14ac:dyDescent="0.2">
      <c r="C62465"/>
      <c r="M62465"/>
    </row>
    <row r="62466" spans="3:13" ht="12.75" customHeight="1" x14ac:dyDescent="0.2">
      <c r="C62466"/>
      <c r="M62466"/>
    </row>
    <row r="62467" spans="3:13" ht="12.75" customHeight="1" x14ac:dyDescent="0.2">
      <c r="C62467"/>
      <c r="M62467"/>
    </row>
    <row r="62468" spans="3:13" ht="12.75" customHeight="1" x14ac:dyDescent="0.2">
      <c r="C62468"/>
      <c r="M62468"/>
    </row>
    <row r="62469" spans="3:13" ht="12.75" customHeight="1" x14ac:dyDescent="0.2">
      <c r="C62469"/>
      <c r="M62469"/>
    </row>
    <row r="62470" spans="3:13" ht="12.75" customHeight="1" x14ac:dyDescent="0.2">
      <c r="C62470"/>
      <c r="M62470"/>
    </row>
    <row r="62471" spans="3:13" ht="12.75" customHeight="1" x14ac:dyDescent="0.2">
      <c r="C62471"/>
      <c r="M62471"/>
    </row>
    <row r="62472" spans="3:13" ht="12.75" customHeight="1" x14ac:dyDescent="0.2">
      <c r="C62472"/>
      <c r="M62472"/>
    </row>
    <row r="62473" spans="3:13" ht="12.75" customHeight="1" x14ac:dyDescent="0.2">
      <c r="C62473"/>
      <c r="M62473"/>
    </row>
    <row r="62474" spans="3:13" ht="12.75" customHeight="1" x14ac:dyDescent="0.2">
      <c r="C62474"/>
      <c r="M62474"/>
    </row>
    <row r="62475" spans="3:13" ht="12.75" customHeight="1" x14ac:dyDescent="0.2">
      <c r="C62475"/>
      <c r="M62475"/>
    </row>
    <row r="62476" spans="3:13" ht="12.75" customHeight="1" x14ac:dyDescent="0.2">
      <c r="C62476"/>
      <c r="M62476"/>
    </row>
    <row r="62477" spans="3:13" ht="12.75" customHeight="1" x14ac:dyDescent="0.2">
      <c r="C62477"/>
      <c r="M62477"/>
    </row>
    <row r="62478" spans="3:13" ht="12.75" customHeight="1" x14ac:dyDescent="0.2">
      <c r="C62478"/>
      <c r="M62478"/>
    </row>
    <row r="62479" spans="3:13" ht="12.75" customHeight="1" x14ac:dyDescent="0.2">
      <c r="C62479"/>
      <c r="M62479"/>
    </row>
    <row r="62480" spans="3:13" ht="12.75" customHeight="1" x14ac:dyDescent="0.2">
      <c r="C62480"/>
      <c r="M62480"/>
    </row>
    <row r="62481" spans="3:13" ht="12.75" customHeight="1" x14ac:dyDescent="0.2">
      <c r="C62481"/>
      <c r="M62481"/>
    </row>
    <row r="62482" spans="3:13" ht="12.75" customHeight="1" x14ac:dyDescent="0.2">
      <c r="C62482"/>
      <c r="M62482"/>
    </row>
    <row r="62483" spans="3:13" ht="12.75" customHeight="1" x14ac:dyDescent="0.2">
      <c r="C62483"/>
      <c r="M62483"/>
    </row>
    <row r="62484" spans="3:13" ht="12.75" customHeight="1" x14ac:dyDescent="0.2">
      <c r="C62484"/>
      <c r="M62484"/>
    </row>
    <row r="62485" spans="3:13" ht="12.75" customHeight="1" x14ac:dyDescent="0.2">
      <c r="C62485"/>
      <c r="M62485"/>
    </row>
    <row r="62486" spans="3:13" ht="12.75" customHeight="1" x14ac:dyDescent="0.2">
      <c r="C62486"/>
      <c r="M62486"/>
    </row>
    <row r="62487" spans="3:13" ht="12.75" customHeight="1" x14ac:dyDescent="0.2">
      <c r="C62487"/>
      <c r="M62487"/>
    </row>
    <row r="62488" spans="3:13" ht="12.75" customHeight="1" x14ac:dyDescent="0.2">
      <c r="C62488"/>
      <c r="M62488"/>
    </row>
    <row r="62489" spans="3:13" ht="12.75" customHeight="1" x14ac:dyDescent="0.2">
      <c r="C62489"/>
      <c r="M62489"/>
    </row>
    <row r="62490" spans="3:13" ht="12.75" customHeight="1" x14ac:dyDescent="0.2">
      <c r="C62490"/>
      <c r="M62490"/>
    </row>
    <row r="62491" spans="3:13" ht="12.75" customHeight="1" x14ac:dyDescent="0.2">
      <c r="C62491"/>
      <c r="M62491"/>
    </row>
    <row r="62492" spans="3:13" ht="12.75" customHeight="1" x14ac:dyDescent="0.2">
      <c r="C62492"/>
      <c r="M62492"/>
    </row>
    <row r="62493" spans="3:13" ht="12.75" customHeight="1" x14ac:dyDescent="0.2">
      <c r="C62493"/>
      <c r="M62493"/>
    </row>
    <row r="62494" spans="3:13" ht="12.75" customHeight="1" x14ac:dyDescent="0.2">
      <c r="C62494"/>
      <c r="M62494"/>
    </row>
    <row r="62495" spans="3:13" ht="12.75" customHeight="1" x14ac:dyDescent="0.2">
      <c r="C62495"/>
      <c r="M62495"/>
    </row>
    <row r="62496" spans="3:13" ht="12.75" customHeight="1" x14ac:dyDescent="0.2">
      <c r="C62496"/>
      <c r="M62496"/>
    </row>
    <row r="62497" spans="3:13" ht="12.75" customHeight="1" x14ac:dyDescent="0.2">
      <c r="C62497"/>
      <c r="M62497"/>
    </row>
    <row r="62498" spans="3:13" ht="12.75" customHeight="1" x14ac:dyDescent="0.2">
      <c r="C62498"/>
      <c r="M62498"/>
    </row>
    <row r="62499" spans="3:13" ht="12.75" customHeight="1" x14ac:dyDescent="0.2">
      <c r="C62499"/>
      <c r="M62499"/>
    </row>
    <row r="62500" spans="3:13" ht="12.75" customHeight="1" x14ac:dyDescent="0.2">
      <c r="C62500"/>
      <c r="M62500"/>
    </row>
    <row r="62501" spans="3:13" ht="12.75" customHeight="1" x14ac:dyDescent="0.2">
      <c r="C62501"/>
      <c r="M62501"/>
    </row>
    <row r="62502" spans="3:13" ht="12.75" customHeight="1" x14ac:dyDescent="0.2">
      <c r="C62502"/>
      <c r="M62502"/>
    </row>
    <row r="62503" spans="3:13" ht="12.75" customHeight="1" x14ac:dyDescent="0.2">
      <c r="C62503"/>
      <c r="M62503"/>
    </row>
    <row r="62504" spans="3:13" ht="12.75" customHeight="1" x14ac:dyDescent="0.2">
      <c r="C62504"/>
      <c r="M62504"/>
    </row>
    <row r="62505" spans="3:13" ht="12.75" customHeight="1" x14ac:dyDescent="0.2">
      <c r="C62505"/>
      <c r="M62505"/>
    </row>
    <row r="62506" spans="3:13" ht="12.75" customHeight="1" x14ac:dyDescent="0.2">
      <c r="C62506"/>
      <c r="M62506"/>
    </row>
    <row r="62507" spans="3:13" ht="12.75" customHeight="1" x14ac:dyDescent="0.2">
      <c r="C62507"/>
      <c r="M62507"/>
    </row>
    <row r="62508" spans="3:13" ht="12.75" customHeight="1" x14ac:dyDescent="0.2">
      <c r="C62508"/>
      <c r="M62508"/>
    </row>
    <row r="62509" spans="3:13" ht="12.75" customHeight="1" x14ac:dyDescent="0.2">
      <c r="C62509"/>
      <c r="M62509"/>
    </row>
    <row r="62510" spans="3:13" ht="12.75" customHeight="1" x14ac:dyDescent="0.2">
      <c r="C62510"/>
      <c r="M62510"/>
    </row>
    <row r="62511" spans="3:13" ht="12.75" customHeight="1" x14ac:dyDescent="0.2">
      <c r="C62511"/>
      <c r="M62511"/>
    </row>
    <row r="62512" spans="3:13" ht="12.75" customHeight="1" x14ac:dyDescent="0.2">
      <c r="C62512"/>
      <c r="M62512"/>
    </row>
    <row r="62513" spans="3:13" ht="12.75" customHeight="1" x14ac:dyDescent="0.2">
      <c r="C62513"/>
      <c r="M62513"/>
    </row>
    <row r="62514" spans="3:13" ht="12.75" customHeight="1" x14ac:dyDescent="0.2">
      <c r="C62514"/>
      <c r="M62514"/>
    </row>
    <row r="62515" spans="3:13" ht="12.75" customHeight="1" x14ac:dyDescent="0.2">
      <c r="C62515"/>
      <c r="M62515"/>
    </row>
    <row r="62516" spans="3:13" ht="12.75" customHeight="1" x14ac:dyDescent="0.2">
      <c r="C62516"/>
      <c r="M62516"/>
    </row>
    <row r="62517" spans="3:13" ht="12.75" customHeight="1" x14ac:dyDescent="0.2">
      <c r="C62517"/>
      <c r="M62517"/>
    </row>
    <row r="62518" spans="3:13" ht="12.75" customHeight="1" x14ac:dyDescent="0.2">
      <c r="C62518"/>
      <c r="M62518"/>
    </row>
    <row r="62519" spans="3:13" ht="12.75" customHeight="1" x14ac:dyDescent="0.2">
      <c r="C62519"/>
      <c r="M62519"/>
    </row>
    <row r="62520" spans="3:13" ht="12.75" customHeight="1" x14ac:dyDescent="0.2">
      <c r="C62520"/>
      <c r="M62520"/>
    </row>
    <row r="62521" spans="3:13" ht="12.75" customHeight="1" x14ac:dyDescent="0.2">
      <c r="C62521"/>
      <c r="M62521"/>
    </row>
    <row r="62522" spans="3:13" ht="12.75" customHeight="1" x14ac:dyDescent="0.2">
      <c r="C62522"/>
      <c r="M62522"/>
    </row>
    <row r="62523" spans="3:13" ht="12.75" customHeight="1" x14ac:dyDescent="0.2">
      <c r="C62523"/>
      <c r="M62523"/>
    </row>
    <row r="62524" spans="3:13" ht="12.75" customHeight="1" x14ac:dyDescent="0.2">
      <c r="C62524"/>
      <c r="M62524"/>
    </row>
    <row r="62525" spans="3:13" ht="12.75" customHeight="1" x14ac:dyDescent="0.2">
      <c r="C62525"/>
      <c r="M62525"/>
    </row>
    <row r="62526" spans="3:13" ht="12.75" customHeight="1" x14ac:dyDescent="0.2">
      <c r="C62526"/>
      <c r="M62526"/>
    </row>
    <row r="62527" spans="3:13" ht="12.75" customHeight="1" x14ac:dyDescent="0.2">
      <c r="C62527"/>
      <c r="M62527"/>
    </row>
    <row r="62528" spans="3:13" ht="12.75" customHeight="1" x14ac:dyDescent="0.2">
      <c r="C62528"/>
      <c r="M62528"/>
    </row>
    <row r="62529" spans="3:13" ht="12.75" customHeight="1" x14ac:dyDescent="0.2">
      <c r="C62529"/>
      <c r="M62529"/>
    </row>
    <row r="62530" spans="3:13" ht="12.75" customHeight="1" x14ac:dyDescent="0.2">
      <c r="C62530"/>
      <c r="M62530"/>
    </row>
    <row r="62531" spans="3:13" ht="12.75" customHeight="1" x14ac:dyDescent="0.2">
      <c r="C62531"/>
      <c r="M62531"/>
    </row>
    <row r="62532" spans="3:13" ht="12.75" customHeight="1" x14ac:dyDescent="0.2">
      <c r="C62532"/>
      <c r="M62532"/>
    </row>
    <row r="62533" spans="3:13" ht="12.75" customHeight="1" x14ac:dyDescent="0.2">
      <c r="C62533"/>
      <c r="M62533"/>
    </row>
    <row r="62534" spans="3:13" ht="12.75" customHeight="1" x14ac:dyDescent="0.2">
      <c r="C62534"/>
      <c r="M62534"/>
    </row>
    <row r="62535" spans="3:13" ht="12.75" customHeight="1" x14ac:dyDescent="0.2">
      <c r="C62535"/>
      <c r="M62535"/>
    </row>
    <row r="62536" spans="3:13" ht="12.75" customHeight="1" x14ac:dyDescent="0.2">
      <c r="C62536"/>
      <c r="M62536"/>
    </row>
    <row r="62537" spans="3:13" ht="12.75" customHeight="1" x14ac:dyDescent="0.2">
      <c r="C62537"/>
      <c r="M62537"/>
    </row>
    <row r="62538" spans="3:13" ht="12.75" customHeight="1" x14ac:dyDescent="0.2">
      <c r="C62538"/>
      <c r="M62538"/>
    </row>
    <row r="62539" spans="3:13" ht="12.75" customHeight="1" x14ac:dyDescent="0.2">
      <c r="C62539"/>
      <c r="M62539"/>
    </row>
    <row r="62540" spans="3:13" ht="12.75" customHeight="1" x14ac:dyDescent="0.2">
      <c r="C62540"/>
      <c r="M62540"/>
    </row>
    <row r="62541" spans="3:13" ht="12.75" customHeight="1" x14ac:dyDescent="0.2">
      <c r="C62541"/>
      <c r="M62541"/>
    </row>
    <row r="62542" spans="3:13" ht="12.75" customHeight="1" x14ac:dyDescent="0.2">
      <c r="C62542"/>
      <c r="M62542"/>
    </row>
    <row r="62543" spans="3:13" ht="12.75" customHeight="1" x14ac:dyDescent="0.2">
      <c r="C62543"/>
      <c r="M62543"/>
    </row>
    <row r="62544" spans="3:13" ht="12.75" customHeight="1" x14ac:dyDescent="0.2">
      <c r="C62544"/>
      <c r="M62544"/>
    </row>
    <row r="62545" spans="3:13" ht="12.75" customHeight="1" x14ac:dyDescent="0.2">
      <c r="C62545"/>
      <c r="M62545"/>
    </row>
    <row r="62546" spans="3:13" ht="12.75" customHeight="1" x14ac:dyDescent="0.2">
      <c r="C62546"/>
      <c r="M62546"/>
    </row>
    <row r="62547" spans="3:13" ht="12.75" customHeight="1" x14ac:dyDescent="0.2">
      <c r="C62547"/>
      <c r="M62547"/>
    </row>
    <row r="62548" spans="3:13" ht="12.75" customHeight="1" x14ac:dyDescent="0.2">
      <c r="C62548"/>
      <c r="M62548"/>
    </row>
    <row r="62549" spans="3:13" ht="12.75" customHeight="1" x14ac:dyDescent="0.2">
      <c r="C62549"/>
      <c r="M62549"/>
    </row>
    <row r="62550" spans="3:13" ht="12.75" customHeight="1" x14ac:dyDescent="0.2">
      <c r="C62550"/>
      <c r="M62550"/>
    </row>
    <row r="62551" spans="3:13" ht="12.75" customHeight="1" x14ac:dyDescent="0.2">
      <c r="C62551"/>
      <c r="M62551"/>
    </row>
    <row r="62552" spans="3:13" ht="12.75" customHeight="1" x14ac:dyDescent="0.2">
      <c r="C62552"/>
      <c r="M62552"/>
    </row>
    <row r="62553" spans="3:13" ht="12.75" customHeight="1" x14ac:dyDescent="0.2">
      <c r="C62553"/>
      <c r="M62553"/>
    </row>
    <row r="62554" spans="3:13" ht="12.75" customHeight="1" x14ac:dyDescent="0.2">
      <c r="C62554"/>
      <c r="M62554"/>
    </row>
    <row r="62555" spans="3:13" ht="12.75" customHeight="1" x14ac:dyDescent="0.2">
      <c r="C62555"/>
      <c r="M62555"/>
    </row>
    <row r="62556" spans="3:13" ht="12.75" customHeight="1" x14ac:dyDescent="0.2">
      <c r="C62556"/>
      <c r="M62556"/>
    </row>
    <row r="62557" spans="3:13" ht="12.75" customHeight="1" x14ac:dyDescent="0.2">
      <c r="C62557"/>
      <c r="M62557"/>
    </row>
    <row r="62558" spans="3:13" ht="12.75" customHeight="1" x14ac:dyDescent="0.2">
      <c r="C62558"/>
      <c r="M62558"/>
    </row>
    <row r="62559" spans="3:13" ht="12.75" customHeight="1" x14ac:dyDescent="0.2">
      <c r="C62559"/>
      <c r="M62559"/>
    </row>
    <row r="62560" spans="3:13" ht="12.75" customHeight="1" x14ac:dyDescent="0.2">
      <c r="C62560"/>
      <c r="M62560"/>
    </row>
    <row r="62561" spans="3:13" ht="12.75" customHeight="1" x14ac:dyDescent="0.2">
      <c r="C62561"/>
      <c r="M62561"/>
    </row>
    <row r="62562" spans="3:13" ht="12.75" customHeight="1" x14ac:dyDescent="0.2">
      <c r="C62562"/>
      <c r="M62562"/>
    </row>
    <row r="62563" spans="3:13" ht="12.75" customHeight="1" x14ac:dyDescent="0.2">
      <c r="C62563"/>
      <c r="M62563"/>
    </row>
    <row r="62564" spans="3:13" ht="12.75" customHeight="1" x14ac:dyDescent="0.2">
      <c r="C62564"/>
      <c r="M62564"/>
    </row>
    <row r="62565" spans="3:13" ht="12.75" customHeight="1" x14ac:dyDescent="0.2">
      <c r="C62565"/>
      <c r="M62565"/>
    </row>
    <row r="62566" spans="3:13" ht="12.75" customHeight="1" x14ac:dyDescent="0.2">
      <c r="C62566"/>
      <c r="M62566"/>
    </row>
    <row r="62567" spans="3:13" ht="12.75" customHeight="1" x14ac:dyDescent="0.2">
      <c r="C62567"/>
      <c r="M62567"/>
    </row>
    <row r="62568" spans="3:13" ht="12.75" customHeight="1" x14ac:dyDescent="0.2">
      <c r="C62568"/>
      <c r="M62568"/>
    </row>
    <row r="62569" spans="3:13" ht="12.75" customHeight="1" x14ac:dyDescent="0.2">
      <c r="C62569"/>
      <c r="M62569"/>
    </row>
    <row r="62570" spans="3:13" ht="12.75" customHeight="1" x14ac:dyDescent="0.2">
      <c r="C62570"/>
      <c r="M62570"/>
    </row>
    <row r="62571" spans="3:13" ht="12.75" customHeight="1" x14ac:dyDescent="0.2">
      <c r="C62571"/>
      <c r="M62571"/>
    </row>
    <row r="62572" spans="3:13" ht="12.75" customHeight="1" x14ac:dyDescent="0.2">
      <c r="C62572"/>
      <c r="M62572"/>
    </row>
    <row r="62573" spans="3:13" ht="12.75" customHeight="1" x14ac:dyDescent="0.2">
      <c r="C62573"/>
      <c r="M62573"/>
    </row>
    <row r="62574" spans="3:13" ht="12.75" customHeight="1" x14ac:dyDescent="0.2">
      <c r="C62574"/>
      <c r="M62574"/>
    </row>
    <row r="62575" spans="3:13" ht="12.75" customHeight="1" x14ac:dyDescent="0.2">
      <c r="C62575"/>
      <c r="M62575"/>
    </row>
    <row r="62576" spans="3:13" ht="12.75" customHeight="1" x14ac:dyDescent="0.2">
      <c r="C62576"/>
      <c r="M62576"/>
    </row>
    <row r="62577" spans="3:13" ht="12.75" customHeight="1" x14ac:dyDescent="0.2">
      <c r="C62577"/>
      <c r="M62577"/>
    </row>
    <row r="62578" spans="3:13" ht="12.75" customHeight="1" x14ac:dyDescent="0.2">
      <c r="C62578"/>
      <c r="M62578"/>
    </row>
    <row r="62579" spans="3:13" ht="12.75" customHeight="1" x14ac:dyDescent="0.2">
      <c r="C62579"/>
      <c r="M62579"/>
    </row>
    <row r="62580" spans="3:13" ht="12.75" customHeight="1" x14ac:dyDescent="0.2">
      <c r="C62580"/>
      <c r="M62580"/>
    </row>
    <row r="62581" spans="3:13" ht="12.75" customHeight="1" x14ac:dyDescent="0.2">
      <c r="C62581"/>
      <c r="M62581"/>
    </row>
    <row r="62582" spans="3:13" ht="12.75" customHeight="1" x14ac:dyDescent="0.2">
      <c r="C62582"/>
      <c r="M62582"/>
    </row>
    <row r="62583" spans="3:13" ht="12.75" customHeight="1" x14ac:dyDescent="0.2">
      <c r="C62583"/>
      <c r="M62583"/>
    </row>
    <row r="62584" spans="3:13" ht="12.75" customHeight="1" x14ac:dyDescent="0.2">
      <c r="C62584"/>
      <c r="M62584"/>
    </row>
    <row r="62585" spans="3:13" ht="12.75" customHeight="1" x14ac:dyDescent="0.2">
      <c r="C62585"/>
      <c r="M62585"/>
    </row>
    <row r="62586" spans="3:13" ht="12.75" customHeight="1" x14ac:dyDescent="0.2">
      <c r="C62586"/>
      <c r="M62586"/>
    </row>
    <row r="62587" spans="3:13" ht="12.75" customHeight="1" x14ac:dyDescent="0.2">
      <c r="C62587"/>
      <c r="M62587"/>
    </row>
    <row r="62588" spans="3:13" ht="12.75" customHeight="1" x14ac:dyDescent="0.2">
      <c r="C62588"/>
      <c r="M62588"/>
    </row>
    <row r="62589" spans="3:13" ht="12.75" customHeight="1" x14ac:dyDescent="0.2">
      <c r="C62589"/>
      <c r="M62589"/>
    </row>
    <row r="62590" spans="3:13" ht="12.75" customHeight="1" x14ac:dyDescent="0.2">
      <c r="C62590"/>
      <c r="M62590"/>
    </row>
    <row r="62591" spans="3:13" ht="12.75" customHeight="1" x14ac:dyDescent="0.2">
      <c r="C62591"/>
      <c r="M62591"/>
    </row>
    <row r="62592" spans="3:13" ht="12.75" customHeight="1" x14ac:dyDescent="0.2">
      <c r="C62592"/>
      <c r="M62592"/>
    </row>
    <row r="62593" spans="3:13" ht="12.75" customHeight="1" x14ac:dyDescent="0.2">
      <c r="C62593"/>
      <c r="M62593"/>
    </row>
    <row r="62594" spans="3:13" ht="12.75" customHeight="1" x14ac:dyDescent="0.2">
      <c r="C62594"/>
      <c r="M62594"/>
    </row>
    <row r="62595" spans="3:13" ht="12.75" customHeight="1" x14ac:dyDescent="0.2">
      <c r="C62595"/>
      <c r="M62595"/>
    </row>
    <row r="62596" spans="3:13" ht="12.75" customHeight="1" x14ac:dyDescent="0.2">
      <c r="C62596"/>
      <c r="M62596"/>
    </row>
    <row r="62597" spans="3:13" ht="12.75" customHeight="1" x14ac:dyDescent="0.2">
      <c r="C62597"/>
      <c r="M62597"/>
    </row>
    <row r="62598" spans="3:13" ht="12.75" customHeight="1" x14ac:dyDescent="0.2">
      <c r="C62598"/>
      <c r="M62598"/>
    </row>
    <row r="62599" spans="3:13" ht="12.75" customHeight="1" x14ac:dyDescent="0.2">
      <c r="C62599"/>
      <c r="M62599"/>
    </row>
    <row r="62600" spans="3:13" ht="12.75" customHeight="1" x14ac:dyDescent="0.2">
      <c r="C62600"/>
      <c r="M62600"/>
    </row>
    <row r="62601" spans="3:13" ht="12.75" customHeight="1" x14ac:dyDescent="0.2">
      <c r="C62601"/>
      <c r="M62601"/>
    </row>
    <row r="62602" spans="3:13" ht="12.75" customHeight="1" x14ac:dyDescent="0.2">
      <c r="C62602"/>
      <c r="M62602"/>
    </row>
    <row r="62603" spans="3:13" ht="12.75" customHeight="1" x14ac:dyDescent="0.2">
      <c r="C62603"/>
      <c r="M62603"/>
    </row>
    <row r="62604" spans="3:13" ht="12.75" customHeight="1" x14ac:dyDescent="0.2">
      <c r="C62604"/>
      <c r="M62604"/>
    </row>
    <row r="62605" spans="3:13" ht="12.75" customHeight="1" x14ac:dyDescent="0.2">
      <c r="C62605"/>
      <c r="M62605"/>
    </row>
    <row r="62606" spans="3:13" ht="12.75" customHeight="1" x14ac:dyDescent="0.2">
      <c r="C62606"/>
      <c r="M62606"/>
    </row>
    <row r="62607" spans="3:13" ht="12.75" customHeight="1" x14ac:dyDescent="0.2">
      <c r="C62607"/>
      <c r="M62607"/>
    </row>
    <row r="62608" spans="3:13" ht="12.75" customHeight="1" x14ac:dyDescent="0.2">
      <c r="C62608"/>
      <c r="M62608"/>
    </row>
    <row r="62609" spans="3:13" ht="12.75" customHeight="1" x14ac:dyDescent="0.2">
      <c r="C62609"/>
      <c r="M62609"/>
    </row>
    <row r="62610" spans="3:13" ht="12.75" customHeight="1" x14ac:dyDescent="0.2">
      <c r="C62610"/>
      <c r="M62610"/>
    </row>
    <row r="62611" spans="3:13" ht="12.75" customHeight="1" x14ac:dyDescent="0.2">
      <c r="C62611"/>
      <c r="M62611"/>
    </row>
    <row r="62612" spans="3:13" ht="12.75" customHeight="1" x14ac:dyDescent="0.2">
      <c r="C62612"/>
      <c r="M62612"/>
    </row>
    <row r="62613" spans="3:13" ht="12.75" customHeight="1" x14ac:dyDescent="0.2">
      <c r="C62613"/>
      <c r="M62613"/>
    </row>
    <row r="62614" spans="3:13" ht="12.75" customHeight="1" x14ac:dyDescent="0.2">
      <c r="C62614"/>
      <c r="M62614"/>
    </row>
    <row r="62615" spans="3:13" ht="12.75" customHeight="1" x14ac:dyDescent="0.2">
      <c r="C62615"/>
      <c r="M62615"/>
    </row>
    <row r="62616" spans="3:13" ht="12.75" customHeight="1" x14ac:dyDescent="0.2">
      <c r="C62616"/>
      <c r="M62616"/>
    </row>
    <row r="62617" spans="3:13" ht="12.75" customHeight="1" x14ac:dyDescent="0.2">
      <c r="C62617"/>
      <c r="M62617"/>
    </row>
    <row r="62618" spans="3:13" ht="12.75" customHeight="1" x14ac:dyDescent="0.2">
      <c r="C62618"/>
      <c r="M62618"/>
    </row>
    <row r="62619" spans="3:13" ht="12.75" customHeight="1" x14ac:dyDescent="0.2">
      <c r="C62619"/>
      <c r="M62619"/>
    </row>
    <row r="62620" spans="3:13" ht="12.75" customHeight="1" x14ac:dyDescent="0.2">
      <c r="C62620"/>
      <c r="M62620"/>
    </row>
    <row r="62621" spans="3:13" ht="12.75" customHeight="1" x14ac:dyDescent="0.2">
      <c r="C62621"/>
      <c r="M62621"/>
    </row>
    <row r="62622" spans="3:13" ht="12.75" customHeight="1" x14ac:dyDescent="0.2">
      <c r="C62622"/>
      <c r="M62622"/>
    </row>
    <row r="62623" spans="3:13" ht="12.75" customHeight="1" x14ac:dyDescent="0.2">
      <c r="C62623"/>
      <c r="M62623"/>
    </row>
    <row r="62624" spans="3:13" ht="12.75" customHeight="1" x14ac:dyDescent="0.2">
      <c r="C62624"/>
      <c r="M62624"/>
    </row>
    <row r="62625" spans="3:13" ht="12.75" customHeight="1" x14ac:dyDescent="0.2">
      <c r="C62625"/>
      <c r="M62625"/>
    </row>
    <row r="62626" spans="3:13" ht="12.75" customHeight="1" x14ac:dyDescent="0.2">
      <c r="C62626"/>
      <c r="M62626"/>
    </row>
    <row r="62627" spans="3:13" ht="12.75" customHeight="1" x14ac:dyDescent="0.2">
      <c r="C62627"/>
      <c r="M62627"/>
    </row>
    <row r="62628" spans="3:13" ht="12.75" customHeight="1" x14ac:dyDescent="0.2">
      <c r="C62628"/>
      <c r="M62628"/>
    </row>
    <row r="62629" spans="3:13" ht="12.75" customHeight="1" x14ac:dyDescent="0.2">
      <c r="C62629"/>
      <c r="M62629"/>
    </row>
    <row r="62630" spans="3:13" ht="12.75" customHeight="1" x14ac:dyDescent="0.2">
      <c r="C62630"/>
      <c r="M62630"/>
    </row>
    <row r="62631" spans="3:13" ht="12.75" customHeight="1" x14ac:dyDescent="0.2">
      <c r="C62631"/>
      <c r="M62631"/>
    </row>
    <row r="62632" spans="3:13" ht="12.75" customHeight="1" x14ac:dyDescent="0.2">
      <c r="C62632"/>
      <c r="M62632"/>
    </row>
    <row r="62633" spans="3:13" ht="12.75" customHeight="1" x14ac:dyDescent="0.2">
      <c r="C62633"/>
      <c r="M62633"/>
    </row>
    <row r="62634" spans="3:13" ht="12.75" customHeight="1" x14ac:dyDescent="0.2">
      <c r="C62634"/>
      <c r="M62634"/>
    </row>
    <row r="62635" spans="3:13" ht="12.75" customHeight="1" x14ac:dyDescent="0.2">
      <c r="C62635"/>
      <c r="M62635"/>
    </row>
    <row r="62636" spans="3:13" ht="12.75" customHeight="1" x14ac:dyDescent="0.2">
      <c r="C62636"/>
      <c r="M62636"/>
    </row>
    <row r="62637" spans="3:13" ht="12.75" customHeight="1" x14ac:dyDescent="0.2">
      <c r="C62637"/>
      <c r="M62637"/>
    </row>
    <row r="62638" spans="3:13" ht="12.75" customHeight="1" x14ac:dyDescent="0.2">
      <c r="C62638"/>
      <c r="M62638"/>
    </row>
    <row r="62639" spans="3:13" ht="12.75" customHeight="1" x14ac:dyDescent="0.2">
      <c r="C62639"/>
      <c r="M62639"/>
    </row>
    <row r="62640" spans="3:13" ht="12.75" customHeight="1" x14ac:dyDescent="0.2">
      <c r="C62640"/>
      <c r="M62640"/>
    </row>
    <row r="62641" spans="3:13" ht="12.75" customHeight="1" x14ac:dyDescent="0.2">
      <c r="C62641"/>
      <c r="M62641"/>
    </row>
    <row r="62642" spans="3:13" ht="12.75" customHeight="1" x14ac:dyDescent="0.2">
      <c r="C62642"/>
      <c r="M62642"/>
    </row>
    <row r="62643" spans="3:13" ht="12.75" customHeight="1" x14ac:dyDescent="0.2">
      <c r="C62643"/>
      <c r="M62643"/>
    </row>
    <row r="62644" spans="3:13" ht="12.75" customHeight="1" x14ac:dyDescent="0.2">
      <c r="C62644"/>
      <c r="M62644"/>
    </row>
    <row r="62645" spans="3:13" ht="12.75" customHeight="1" x14ac:dyDescent="0.2">
      <c r="C62645"/>
      <c r="M62645"/>
    </row>
    <row r="62646" spans="3:13" ht="12.75" customHeight="1" x14ac:dyDescent="0.2">
      <c r="C62646"/>
      <c r="M62646"/>
    </row>
    <row r="62647" spans="3:13" ht="12.75" customHeight="1" x14ac:dyDescent="0.2">
      <c r="C62647"/>
      <c r="M62647"/>
    </row>
    <row r="62648" spans="3:13" ht="12.75" customHeight="1" x14ac:dyDescent="0.2">
      <c r="C62648"/>
      <c r="M62648"/>
    </row>
    <row r="62649" spans="3:13" ht="12.75" customHeight="1" x14ac:dyDescent="0.2">
      <c r="C62649"/>
      <c r="M62649"/>
    </row>
    <row r="62650" spans="3:13" ht="12.75" customHeight="1" x14ac:dyDescent="0.2">
      <c r="C62650"/>
      <c r="M62650"/>
    </row>
    <row r="62651" spans="3:13" ht="12.75" customHeight="1" x14ac:dyDescent="0.2">
      <c r="C62651"/>
      <c r="M62651"/>
    </row>
    <row r="62652" spans="3:13" ht="12.75" customHeight="1" x14ac:dyDescent="0.2">
      <c r="C62652"/>
      <c r="M62652"/>
    </row>
    <row r="62653" spans="3:13" ht="12.75" customHeight="1" x14ac:dyDescent="0.2">
      <c r="C62653"/>
      <c r="M62653"/>
    </row>
    <row r="62654" spans="3:13" ht="12.75" customHeight="1" x14ac:dyDescent="0.2">
      <c r="C62654"/>
      <c r="M62654"/>
    </row>
    <row r="62655" spans="3:13" ht="12.75" customHeight="1" x14ac:dyDescent="0.2">
      <c r="C62655"/>
      <c r="M62655"/>
    </row>
    <row r="62656" spans="3:13" ht="12.75" customHeight="1" x14ac:dyDescent="0.2">
      <c r="C62656"/>
      <c r="M62656"/>
    </row>
    <row r="62657" spans="3:13" ht="12.75" customHeight="1" x14ac:dyDescent="0.2">
      <c r="C62657"/>
      <c r="M62657"/>
    </row>
    <row r="62658" spans="3:13" ht="12.75" customHeight="1" x14ac:dyDescent="0.2">
      <c r="C62658"/>
      <c r="M62658"/>
    </row>
    <row r="62659" spans="3:13" ht="12.75" customHeight="1" x14ac:dyDescent="0.2">
      <c r="C62659"/>
      <c r="M62659"/>
    </row>
    <row r="62660" spans="3:13" ht="12.75" customHeight="1" x14ac:dyDescent="0.2">
      <c r="C62660"/>
      <c r="M62660"/>
    </row>
    <row r="62661" spans="3:13" ht="12.75" customHeight="1" x14ac:dyDescent="0.2">
      <c r="C62661"/>
      <c r="M62661"/>
    </row>
    <row r="62662" spans="3:13" ht="12.75" customHeight="1" x14ac:dyDescent="0.2">
      <c r="C62662"/>
      <c r="M62662"/>
    </row>
    <row r="62663" spans="3:13" ht="12.75" customHeight="1" x14ac:dyDescent="0.2">
      <c r="C62663"/>
      <c r="M62663"/>
    </row>
    <row r="62664" spans="3:13" ht="12.75" customHeight="1" x14ac:dyDescent="0.2">
      <c r="C62664"/>
      <c r="M62664"/>
    </row>
    <row r="62665" spans="3:13" ht="12.75" customHeight="1" x14ac:dyDescent="0.2">
      <c r="C62665"/>
      <c r="M62665"/>
    </row>
    <row r="62666" spans="3:13" ht="12.75" customHeight="1" x14ac:dyDescent="0.2">
      <c r="C62666"/>
      <c r="M62666"/>
    </row>
    <row r="62667" spans="3:13" ht="12.75" customHeight="1" x14ac:dyDescent="0.2">
      <c r="C62667"/>
      <c r="M62667"/>
    </row>
    <row r="62668" spans="3:13" ht="12.75" customHeight="1" x14ac:dyDescent="0.2">
      <c r="C62668"/>
      <c r="M62668"/>
    </row>
    <row r="62669" spans="3:13" ht="12.75" customHeight="1" x14ac:dyDescent="0.2">
      <c r="C62669"/>
      <c r="M62669"/>
    </row>
    <row r="62670" spans="3:13" ht="12.75" customHeight="1" x14ac:dyDescent="0.2">
      <c r="C62670"/>
      <c r="M62670"/>
    </row>
    <row r="62671" spans="3:13" ht="12.75" customHeight="1" x14ac:dyDescent="0.2">
      <c r="C62671"/>
      <c r="M62671"/>
    </row>
    <row r="62672" spans="3:13" ht="12.75" customHeight="1" x14ac:dyDescent="0.2">
      <c r="C62672"/>
      <c r="M62672"/>
    </row>
    <row r="62673" spans="3:13" ht="12.75" customHeight="1" x14ac:dyDescent="0.2">
      <c r="C62673"/>
      <c r="M62673"/>
    </row>
    <row r="62674" spans="3:13" ht="12.75" customHeight="1" x14ac:dyDescent="0.2">
      <c r="C62674"/>
      <c r="M62674"/>
    </row>
    <row r="62675" spans="3:13" ht="12.75" customHeight="1" x14ac:dyDescent="0.2">
      <c r="C62675"/>
      <c r="M62675"/>
    </row>
    <row r="62676" spans="3:13" ht="12.75" customHeight="1" x14ac:dyDescent="0.2">
      <c r="C62676"/>
      <c r="M62676"/>
    </row>
    <row r="62677" spans="3:13" ht="12.75" customHeight="1" x14ac:dyDescent="0.2">
      <c r="C62677"/>
      <c r="M62677"/>
    </row>
    <row r="62678" spans="3:13" ht="12.75" customHeight="1" x14ac:dyDescent="0.2">
      <c r="C62678"/>
      <c r="M62678"/>
    </row>
    <row r="62679" spans="3:13" ht="12.75" customHeight="1" x14ac:dyDescent="0.2">
      <c r="C62679"/>
      <c r="M62679"/>
    </row>
    <row r="62680" spans="3:13" ht="12.75" customHeight="1" x14ac:dyDescent="0.2">
      <c r="C62680"/>
      <c r="M62680"/>
    </row>
    <row r="62681" spans="3:13" ht="12.75" customHeight="1" x14ac:dyDescent="0.2">
      <c r="C62681"/>
      <c r="M62681"/>
    </row>
    <row r="62682" spans="3:13" ht="12.75" customHeight="1" x14ac:dyDescent="0.2">
      <c r="C62682"/>
      <c r="M62682"/>
    </row>
    <row r="62683" spans="3:13" ht="12.75" customHeight="1" x14ac:dyDescent="0.2">
      <c r="C62683"/>
      <c r="M62683"/>
    </row>
    <row r="62684" spans="3:13" ht="12.75" customHeight="1" x14ac:dyDescent="0.2">
      <c r="C62684"/>
      <c r="M62684"/>
    </row>
    <row r="62685" spans="3:13" ht="12.75" customHeight="1" x14ac:dyDescent="0.2">
      <c r="C62685"/>
      <c r="M62685"/>
    </row>
    <row r="62686" spans="3:13" ht="12.75" customHeight="1" x14ac:dyDescent="0.2">
      <c r="C62686"/>
      <c r="M62686"/>
    </row>
    <row r="62687" spans="3:13" ht="12.75" customHeight="1" x14ac:dyDescent="0.2">
      <c r="C62687"/>
      <c r="M62687"/>
    </row>
    <row r="62688" spans="3:13" ht="12.75" customHeight="1" x14ac:dyDescent="0.2">
      <c r="C62688"/>
      <c r="M62688"/>
    </row>
    <row r="62689" spans="3:13" ht="12.75" customHeight="1" x14ac:dyDescent="0.2">
      <c r="C62689"/>
      <c r="M62689"/>
    </row>
    <row r="62690" spans="3:13" ht="12.75" customHeight="1" x14ac:dyDescent="0.2">
      <c r="C62690"/>
      <c r="M62690"/>
    </row>
    <row r="62691" spans="3:13" ht="12.75" customHeight="1" x14ac:dyDescent="0.2">
      <c r="C62691"/>
      <c r="M62691"/>
    </row>
    <row r="62692" spans="3:13" ht="12.75" customHeight="1" x14ac:dyDescent="0.2">
      <c r="C62692"/>
      <c r="M62692"/>
    </row>
    <row r="62693" spans="3:13" ht="12.75" customHeight="1" x14ac:dyDescent="0.2">
      <c r="C62693"/>
      <c r="M62693"/>
    </row>
    <row r="62694" spans="3:13" ht="12.75" customHeight="1" x14ac:dyDescent="0.2">
      <c r="C62694"/>
      <c r="M62694"/>
    </row>
    <row r="62695" spans="3:13" ht="12.75" customHeight="1" x14ac:dyDescent="0.2">
      <c r="C62695"/>
      <c r="M62695"/>
    </row>
    <row r="62696" spans="3:13" ht="12.75" customHeight="1" x14ac:dyDescent="0.2">
      <c r="C62696"/>
      <c r="M62696"/>
    </row>
    <row r="62697" spans="3:13" ht="12.75" customHeight="1" x14ac:dyDescent="0.2">
      <c r="C62697"/>
      <c r="M62697"/>
    </row>
    <row r="62698" spans="3:13" ht="12.75" customHeight="1" x14ac:dyDescent="0.2">
      <c r="C62698"/>
      <c r="M62698"/>
    </row>
    <row r="62699" spans="3:13" ht="12.75" customHeight="1" x14ac:dyDescent="0.2">
      <c r="C62699"/>
      <c r="M62699"/>
    </row>
    <row r="62700" spans="3:13" ht="12.75" customHeight="1" x14ac:dyDescent="0.2">
      <c r="C62700"/>
      <c r="M62700"/>
    </row>
    <row r="62701" spans="3:13" ht="12.75" customHeight="1" x14ac:dyDescent="0.2">
      <c r="C62701"/>
      <c r="M62701"/>
    </row>
    <row r="62702" spans="3:13" ht="12.75" customHeight="1" x14ac:dyDescent="0.2">
      <c r="C62702"/>
      <c r="M62702"/>
    </row>
    <row r="62703" spans="3:13" ht="12.75" customHeight="1" x14ac:dyDescent="0.2">
      <c r="C62703"/>
      <c r="M62703"/>
    </row>
    <row r="62704" spans="3:13" ht="12.75" customHeight="1" x14ac:dyDescent="0.2">
      <c r="C62704"/>
      <c r="M62704"/>
    </row>
    <row r="62705" spans="3:13" ht="12.75" customHeight="1" x14ac:dyDescent="0.2">
      <c r="C62705"/>
      <c r="M62705"/>
    </row>
    <row r="62706" spans="3:13" ht="12.75" customHeight="1" x14ac:dyDescent="0.2">
      <c r="C62706"/>
      <c r="M62706"/>
    </row>
    <row r="62707" spans="3:13" ht="12.75" customHeight="1" x14ac:dyDescent="0.2">
      <c r="C62707"/>
      <c r="M62707"/>
    </row>
    <row r="62708" spans="3:13" ht="12.75" customHeight="1" x14ac:dyDescent="0.2">
      <c r="C62708"/>
      <c r="M62708"/>
    </row>
    <row r="62709" spans="3:13" ht="12.75" customHeight="1" x14ac:dyDescent="0.2">
      <c r="C62709"/>
      <c r="M62709"/>
    </row>
    <row r="62710" spans="3:13" ht="12.75" customHeight="1" x14ac:dyDescent="0.2">
      <c r="C62710"/>
      <c r="M62710"/>
    </row>
    <row r="62711" spans="3:13" ht="12.75" customHeight="1" x14ac:dyDescent="0.2">
      <c r="C62711"/>
      <c r="M62711"/>
    </row>
    <row r="62712" spans="3:13" ht="12.75" customHeight="1" x14ac:dyDescent="0.2">
      <c r="C62712"/>
      <c r="M62712"/>
    </row>
    <row r="62713" spans="3:13" ht="12.75" customHeight="1" x14ac:dyDescent="0.2">
      <c r="C62713"/>
      <c r="M62713"/>
    </row>
    <row r="62714" spans="3:13" ht="12.75" customHeight="1" x14ac:dyDescent="0.2">
      <c r="C62714"/>
      <c r="M62714"/>
    </row>
    <row r="62715" spans="3:13" ht="12.75" customHeight="1" x14ac:dyDescent="0.2">
      <c r="C62715"/>
      <c r="M62715"/>
    </row>
    <row r="62716" spans="3:13" ht="12.75" customHeight="1" x14ac:dyDescent="0.2">
      <c r="C62716"/>
      <c r="M62716"/>
    </row>
    <row r="62717" spans="3:13" ht="12.75" customHeight="1" x14ac:dyDescent="0.2">
      <c r="C62717"/>
      <c r="M62717"/>
    </row>
    <row r="62718" spans="3:13" ht="12.75" customHeight="1" x14ac:dyDescent="0.2">
      <c r="C62718"/>
      <c r="M62718"/>
    </row>
    <row r="62719" spans="3:13" ht="12.75" customHeight="1" x14ac:dyDescent="0.2">
      <c r="C62719"/>
      <c r="M62719"/>
    </row>
    <row r="62720" spans="3:13" ht="12.75" customHeight="1" x14ac:dyDescent="0.2">
      <c r="C62720"/>
      <c r="M62720"/>
    </row>
    <row r="62721" spans="3:13" ht="12.75" customHeight="1" x14ac:dyDescent="0.2">
      <c r="C62721"/>
      <c r="M62721"/>
    </row>
    <row r="62722" spans="3:13" ht="12.75" customHeight="1" x14ac:dyDescent="0.2">
      <c r="C62722"/>
      <c r="M62722"/>
    </row>
    <row r="62723" spans="3:13" ht="12.75" customHeight="1" x14ac:dyDescent="0.2">
      <c r="C62723"/>
      <c r="M62723"/>
    </row>
    <row r="62724" spans="3:13" ht="12.75" customHeight="1" x14ac:dyDescent="0.2">
      <c r="C62724"/>
      <c r="M62724"/>
    </row>
    <row r="62725" spans="3:13" ht="12.75" customHeight="1" x14ac:dyDescent="0.2">
      <c r="C62725"/>
      <c r="M62725"/>
    </row>
    <row r="62726" spans="3:13" ht="12.75" customHeight="1" x14ac:dyDescent="0.2">
      <c r="C62726"/>
      <c r="M62726"/>
    </row>
    <row r="62727" spans="3:13" ht="12.75" customHeight="1" x14ac:dyDescent="0.2">
      <c r="C62727"/>
      <c r="M62727"/>
    </row>
    <row r="62728" spans="3:13" ht="12.75" customHeight="1" x14ac:dyDescent="0.2">
      <c r="C62728"/>
      <c r="M62728"/>
    </row>
    <row r="62729" spans="3:13" ht="12.75" customHeight="1" x14ac:dyDescent="0.2">
      <c r="C62729"/>
      <c r="M62729"/>
    </row>
    <row r="62730" spans="3:13" ht="12.75" customHeight="1" x14ac:dyDescent="0.2">
      <c r="C62730"/>
      <c r="M62730"/>
    </row>
    <row r="62731" spans="3:13" ht="12.75" customHeight="1" x14ac:dyDescent="0.2">
      <c r="C62731"/>
      <c r="M62731"/>
    </row>
    <row r="62732" spans="3:13" ht="12.75" customHeight="1" x14ac:dyDescent="0.2">
      <c r="C62732"/>
      <c r="M62732"/>
    </row>
    <row r="62733" spans="3:13" ht="12.75" customHeight="1" x14ac:dyDescent="0.2">
      <c r="C62733"/>
      <c r="M62733"/>
    </row>
    <row r="62734" spans="3:13" ht="12.75" customHeight="1" x14ac:dyDescent="0.2">
      <c r="C62734"/>
      <c r="M62734"/>
    </row>
    <row r="62735" spans="3:13" ht="12.75" customHeight="1" x14ac:dyDescent="0.2">
      <c r="C62735"/>
      <c r="M62735"/>
    </row>
    <row r="62736" spans="3:13" ht="12.75" customHeight="1" x14ac:dyDescent="0.2">
      <c r="C62736"/>
      <c r="M62736"/>
    </row>
    <row r="62737" spans="3:13" ht="12.75" customHeight="1" x14ac:dyDescent="0.2">
      <c r="C62737"/>
      <c r="M62737"/>
    </row>
    <row r="62738" spans="3:13" ht="12.75" customHeight="1" x14ac:dyDescent="0.2">
      <c r="C62738"/>
      <c r="M62738"/>
    </row>
    <row r="62739" spans="3:13" ht="12.75" customHeight="1" x14ac:dyDescent="0.2">
      <c r="C62739"/>
      <c r="M62739"/>
    </row>
    <row r="62740" spans="3:13" ht="12.75" customHeight="1" x14ac:dyDescent="0.2">
      <c r="C62740"/>
      <c r="M62740"/>
    </row>
    <row r="62741" spans="3:13" ht="12.75" customHeight="1" x14ac:dyDescent="0.2">
      <c r="C62741"/>
      <c r="M62741"/>
    </row>
    <row r="62742" spans="3:13" ht="12.75" customHeight="1" x14ac:dyDescent="0.2">
      <c r="C62742"/>
      <c r="M62742"/>
    </row>
    <row r="62743" spans="3:13" ht="12.75" customHeight="1" x14ac:dyDescent="0.2">
      <c r="C62743"/>
      <c r="M62743"/>
    </row>
    <row r="62744" spans="3:13" ht="12.75" customHeight="1" x14ac:dyDescent="0.2">
      <c r="C62744"/>
      <c r="M62744"/>
    </row>
    <row r="62745" spans="3:13" ht="12.75" customHeight="1" x14ac:dyDescent="0.2">
      <c r="C62745"/>
      <c r="M62745"/>
    </row>
    <row r="62746" spans="3:13" ht="12.75" customHeight="1" x14ac:dyDescent="0.2">
      <c r="C62746"/>
      <c r="M62746"/>
    </row>
    <row r="62747" spans="3:13" ht="12.75" customHeight="1" x14ac:dyDescent="0.2">
      <c r="C62747"/>
      <c r="M62747"/>
    </row>
    <row r="62748" spans="3:13" ht="12.75" customHeight="1" x14ac:dyDescent="0.2">
      <c r="C62748"/>
      <c r="M62748"/>
    </row>
    <row r="62749" spans="3:13" ht="12.75" customHeight="1" x14ac:dyDescent="0.2">
      <c r="C62749"/>
      <c r="M62749"/>
    </row>
    <row r="62750" spans="3:13" ht="12.75" customHeight="1" x14ac:dyDescent="0.2">
      <c r="C62750"/>
      <c r="M62750"/>
    </row>
    <row r="62751" spans="3:13" ht="12.75" customHeight="1" x14ac:dyDescent="0.2">
      <c r="C62751"/>
      <c r="M62751"/>
    </row>
    <row r="62752" spans="3:13" ht="12.75" customHeight="1" x14ac:dyDescent="0.2">
      <c r="C62752"/>
      <c r="M62752"/>
    </row>
    <row r="62753" spans="3:13" ht="12.75" customHeight="1" x14ac:dyDescent="0.2">
      <c r="C62753"/>
      <c r="M62753"/>
    </row>
    <row r="62754" spans="3:13" ht="12.75" customHeight="1" x14ac:dyDescent="0.2">
      <c r="C62754"/>
      <c r="M62754"/>
    </row>
    <row r="62755" spans="3:13" ht="12.75" customHeight="1" x14ac:dyDescent="0.2">
      <c r="C62755"/>
      <c r="M62755"/>
    </row>
    <row r="62756" spans="3:13" ht="12.75" customHeight="1" x14ac:dyDescent="0.2">
      <c r="C62756"/>
      <c r="M62756"/>
    </row>
    <row r="62757" spans="3:13" ht="12.75" customHeight="1" x14ac:dyDescent="0.2">
      <c r="C62757"/>
      <c r="M62757"/>
    </row>
    <row r="62758" spans="3:13" ht="12.75" customHeight="1" x14ac:dyDescent="0.2">
      <c r="C62758"/>
      <c r="M62758"/>
    </row>
    <row r="62759" spans="3:13" ht="12.75" customHeight="1" x14ac:dyDescent="0.2">
      <c r="C62759"/>
      <c r="M62759"/>
    </row>
    <row r="62760" spans="3:13" ht="12.75" customHeight="1" x14ac:dyDescent="0.2">
      <c r="C62760"/>
      <c r="M62760"/>
    </row>
    <row r="62761" spans="3:13" ht="12.75" customHeight="1" x14ac:dyDescent="0.2">
      <c r="C62761"/>
      <c r="M62761"/>
    </row>
    <row r="62762" spans="3:13" ht="12.75" customHeight="1" x14ac:dyDescent="0.2">
      <c r="C62762"/>
      <c r="M62762"/>
    </row>
    <row r="62763" spans="3:13" ht="12.75" customHeight="1" x14ac:dyDescent="0.2">
      <c r="C62763"/>
      <c r="M62763"/>
    </row>
    <row r="62764" spans="3:13" ht="12.75" customHeight="1" x14ac:dyDescent="0.2">
      <c r="C62764"/>
      <c r="M62764"/>
    </row>
    <row r="62765" spans="3:13" ht="12.75" customHeight="1" x14ac:dyDescent="0.2">
      <c r="C62765"/>
      <c r="M62765"/>
    </row>
    <row r="62766" spans="3:13" ht="12.75" customHeight="1" x14ac:dyDescent="0.2">
      <c r="C62766"/>
      <c r="M62766"/>
    </row>
    <row r="62767" spans="3:13" ht="12.75" customHeight="1" x14ac:dyDescent="0.2">
      <c r="C62767"/>
      <c r="M62767"/>
    </row>
    <row r="62768" spans="3:13" ht="12.75" customHeight="1" x14ac:dyDescent="0.2">
      <c r="C62768"/>
      <c r="M62768"/>
    </row>
    <row r="62769" spans="3:13" ht="12.75" customHeight="1" x14ac:dyDescent="0.2">
      <c r="C62769"/>
      <c r="M62769"/>
    </row>
    <row r="62770" spans="3:13" ht="12.75" customHeight="1" x14ac:dyDescent="0.2">
      <c r="C62770"/>
      <c r="M62770"/>
    </row>
    <row r="62771" spans="3:13" ht="12.75" customHeight="1" x14ac:dyDescent="0.2">
      <c r="C62771"/>
      <c r="M62771"/>
    </row>
    <row r="62772" spans="3:13" ht="12.75" customHeight="1" x14ac:dyDescent="0.2">
      <c r="C62772"/>
      <c r="M62772"/>
    </row>
    <row r="62773" spans="3:13" ht="12.75" customHeight="1" x14ac:dyDescent="0.2">
      <c r="C62773"/>
      <c r="M62773"/>
    </row>
    <row r="62774" spans="3:13" ht="12.75" customHeight="1" x14ac:dyDescent="0.2">
      <c r="C62774"/>
      <c r="M62774"/>
    </row>
    <row r="62775" spans="3:13" ht="12.75" customHeight="1" x14ac:dyDescent="0.2">
      <c r="C62775"/>
      <c r="M62775"/>
    </row>
    <row r="62776" spans="3:13" ht="12.75" customHeight="1" x14ac:dyDescent="0.2">
      <c r="C62776"/>
      <c r="M62776"/>
    </row>
    <row r="62777" spans="3:13" ht="12.75" customHeight="1" x14ac:dyDescent="0.2">
      <c r="C62777"/>
      <c r="M62777"/>
    </row>
    <row r="62778" spans="3:13" ht="12.75" customHeight="1" x14ac:dyDescent="0.2">
      <c r="C62778"/>
      <c r="M62778"/>
    </row>
    <row r="62779" spans="3:13" ht="12.75" customHeight="1" x14ac:dyDescent="0.2">
      <c r="C62779"/>
      <c r="M62779"/>
    </row>
    <row r="62780" spans="3:13" ht="12.75" customHeight="1" x14ac:dyDescent="0.2">
      <c r="C62780"/>
      <c r="M62780"/>
    </row>
    <row r="62781" spans="3:13" ht="12.75" customHeight="1" x14ac:dyDescent="0.2">
      <c r="C62781"/>
      <c r="M62781"/>
    </row>
    <row r="62782" spans="3:13" ht="12.75" customHeight="1" x14ac:dyDescent="0.2">
      <c r="C62782"/>
      <c r="M62782"/>
    </row>
    <row r="62783" spans="3:13" ht="12.75" customHeight="1" x14ac:dyDescent="0.2">
      <c r="C62783"/>
      <c r="M62783"/>
    </row>
    <row r="62784" spans="3:13" ht="12.75" customHeight="1" x14ac:dyDescent="0.2">
      <c r="C62784"/>
      <c r="M62784"/>
    </row>
    <row r="62785" spans="3:13" ht="12.75" customHeight="1" x14ac:dyDescent="0.2">
      <c r="C62785"/>
      <c r="M62785"/>
    </row>
    <row r="62786" spans="3:13" ht="12.75" customHeight="1" x14ac:dyDescent="0.2">
      <c r="C62786"/>
      <c r="M62786"/>
    </row>
    <row r="62787" spans="3:13" ht="12.75" customHeight="1" x14ac:dyDescent="0.2">
      <c r="C62787"/>
      <c r="M62787"/>
    </row>
    <row r="62788" spans="3:13" ht="12.75" customHeight="1" x14ac:dyDescent="0.2">
      <c r="C62788"/>
      <c r="M62788"/>
    </row>
    <row r="62789" spans="3:13" ht="12.75" customHeight="1" x14ac:dyDescent="0.2">
      <c r="C62789"/>
      <c r="M62789"/>
    </row>
    <row r="62790" spans="3:13" ht="12.75" customHeight="1" x14ac:dyDescent="0.2">
      <c r="C62790"/>
      <c r="M62790"/>
    </row>
    <row r="62791" spans="3:13" ht="12.75" customHeight="1" x14ac:dyDescent="0.2">
      <c r="C62791"/>
      <c r="M62791"/>
    </row>
    <row r="62792" spans="3:13" ht="12.75" customHeight="1" x14ac:dyDescent="0.2">
      <c r="C62792"/>
      <c r="M62792"/>
    </row>
    <row r="62793" spans="3:13" ht="12.75" customHeight="1" x14ac:dyDescent="0.2">
      <c r="C62793"/>
      <c r="M62793"/>
    </row>
    <row r="62794" spans="3:13" ht="12.75" customHeight="1" x14ac:dyDescent="0.2">
      <c r="C62794"/>
      <c r="M62794"/>
    </row>
    <row r="62795" spans="3:13" ht="12.75" customHeight="1" x14ac:dyDescent="0.2">
      <c r="C62795"/>
      <c r="M62795"/>
    </row>
    <row r="62796" spans="3:13" ht="12.75" customHeight="1" x14ac:dyDescent="0.2">
      <c r="C62796"/>
      <c r="M62796"/>
    </row>
    <row r="62797" spans="3:13" ht="12.75" customHeight="1" x14ac:dyDescent="0.2">
      <c r="C62797"/>
      <c r="M62797"/>
    </row>
    <row r="62798" spans="3:13" ht="12.75" customHeight="1" x14ac:dyDescent="0.2">
      <c r="C62798"/>
      <c r="M62798"/>
    </row>
    <row r="62799" spans="3:13" ht="12.75" customHeight="1" x14ac:dyDescent="0.2">
      <c r="C62799"/>
      <c r="M62799"/>
    </row>
    <row r="62800" spans="3:13" ht="12.75" customHeight="1" x14ac:dyDescent="0.2">
      <c r="C62800"/>
      <c r="M62800"/>
    </row>
    <row r="62801" spans="3:13" ht="12.75" customHeight="1" x14ac:dyDescent="0.2">
      <c r="C62801"/>
      <c r="M62801"/>
    </row>
    <row r="62802" spans="3:13" ht="12.75" customHeight="1" x14ac:dyDescent="0.2">
      <c r="C62802"/>
      <c r="M62802"/>
    </row>
    <row r="62803" spans="3:13" ht="12.75" customHeight="1" x14ac:dyDescent="0.2">
      <c r="C62803"/>
      <c r="M62803"/>
    </row>
    <row r="62804" spans="3:13" ht="12.75" customHeight="1" x14ac:dyDescent="0.2">
      <c r="C62804"/>
      <c r="M62804"/>
    </row>
    <row r="62805" spans="3:13" ht="12.75" customHeight="1" x14ac:dyDescent="0.2">
      <c r="C62805"/>
      <c r="M62805"/>
    </row>
    <row r="62806" spans="3:13" ht="12.75" customHeight="1" x14ac:dyDescent="0.2">
      <c r="C62806"/>
      <c r="M62806"/>
    </row>
    <row r="62807" spans="3:13" ht="12.75" customHeight="1" x14ac:dyDescent="0.2">
      <c r="C62807"/>
      <c r="M62807"/>
    </row>
    <row r="62808" spans="3:13" ht="12.75" customHeight="1" x14ac:dyDescent="0.2">
      <c r="C62808"/>
      <c r="M62808"/>
    </row>
    <row r="62809" spans="3:13" ht="12.75" customHeight="1" x14ac:dyDescent="0.2">
      <c r="C62809"/>
      <c r="M62809"/>
    </row>
    <row r="62810" spans="3:13" ht="12.75" customHeight="1" x14ac:dyDescent="0.2">
      <c r="C62810"/>
      <c r="M62810"/>
    </row>
    <row r="62811" spans="3:13" ht="12.75" customHeight="1" x14ac:dyDescent="0.2">
      <c r="C62811"/>
      <c r="M62811"/>
    </row>
    <row r="62812" spans="3:13" ht="12.75" customHeight="1" x14ac:dyDescent="0.2">
      <c r="C62812"/>
      <c r="M62812"/>
    </row>
    <row r="62813" spans="3:13" ht="12.75" customHeight="1" x14ac:dyDescent="0.2">
      <c r="C62813"/>
      <c r="M62813"/>
    </row>
    <row r="62814" spans="3:13" ht="12.75" customHeight="1" x14ac:dyDescent="0.2">
      <c r="C62814"/>
      <c r="M62814"/>
    </row>
    <row r="62815" spans="3:13" ht="12.75" customHeight="1" x14ac:dyDescent="0.2">
      <c r="C62815"/>
      <c r="M62815"/>
    </row>
    <row r="62816" spans="3:13" ht="12.75" customHeight="1" x14ac:dyDescent="0.2">
      <c r="C62816"/>
      <c r="M62816"/>
    </row>
    <row r="62817" spans="3:13" ht="12.75" customHeight="1" x14ac:dyDescent="0.2">
      <c r="C62817"/>
      <c r="M62817"/>
    </row>
    <row r="62818" spans="3:13" ht="12.75" customHeight="1" x14ac:dyDescent="0.2">
      <c r="C62818"/>
      <c r="M62818"/>
    </row>
    <row r="62819" spans="3:13" ht="12.75" customHeight="1" x14ac:dyDescent="0.2">
      <c r="C62819"/>
      <c r="M62819"/>
    </row>
    <row r="62820" spans="3:13" ht="12.75" customHeight="1" x14ac:dyDescent="0.2">
      <c r="C62820"/>
      <c r="M62820"/>
    </row>
    <row r="62821" spans="3:13" ht="12.75" customHeight="1" x14ac:dyDescent="0.2">
      <c r="C62821"/>
      <c r="M62821"/>
    </row>
    <row r="62822" spans="3:13" ht="12.75" customHeight="1" x14ac:dyDescent="0.2">
      <c r="C62822"/>
      <c r="M62822"/>
    </row>
    <row r="62823" spans="3:13" ht="12.75" customHeight="1" x14ac:dyDescent="0.2">
      <c r="C62823"/>
      <c r="M62823"/>
    </row>
    <row r="62824" spans="3:13" ht="12.75" customHeight="1" x14ac:dyDescent="0.2">
      <c r="C62824"/>
      <c r="M62824"/>
    </row>
    <row r="62825" spans="3:13" ht="12.75" customHeight="1" x14ac:dyDescent="0.2">
      <c r="C62825"/>
      <c r="M62825"/>
    </row>
    <row r="62826" spans="3:13" ht="12.75" customHeight="1" x14ac:dyDescent="0.2">
      <c r="C62826"/>
      <c r="M62826"/>
    </row>
    <row r="62827" spans="3:13" ht="12.75" customHeight="1" x14ac:dyDescent="0.2">
      <c r="C62827"/>
      <c r="M62827"/>
    </row>
    <row r="62828" spans="3:13" ht="12.75" customHeight="1" x14ac:dyDescent="0.2">
      <c r="C62828"/>
      <c r="M62828"/>
    </row>
    <row r="62829" spans="3:13" ht="12.75" customHeight="1" x14ac:dyDescent="0.2">
      <c r="C62829"/>
      <c r="M62829"/>
    </row>
    <row r="62830" spans="3:13" ht="12.75" customHeight="1" x14ac:dyDescent="0.2">
      <c r="C62830"/>
      <c r="M62830"/>
    </row>
    <row r="62831" spans="3:13" ht="12.75" customHeight="1" x14ac:dyDescent="0.2">
      <c r="C62831"/>
      <c r="M62831"/>
    </row>
    <row r="62832" spans="3:13" ht="12.75" customHeight="1" x14ac:dyDescent="0.2">
      <c r="C62832"/>
      <c r="M62832"/>
    </row>
    <row r="62833" spans="3:13" ht="12.75" customHeight="1" x14ac:dyDescent="0.2">
      <c r="C62833"/>
      <c r="M62833"/>
    </row>
    <row r="62834" spans="3:13" ht="12.75" customHeight="1" x14ac:dyDescent="0.2">
      <c r="C62834"/>
      <c r="M62834"/>
    </row>
    <row r="62835" spans="3:13" ht="12.75" customHeight="1" x14ac:dyDescent="0.2">
      <c r="C62835"/>
      <c r="M62835"/>
    </row>
    <row r="62836" spans="3:13" ht="12.75" customHeight="1" x14ac:dyDescent="0.2">
      <c r="C62836"/>
      <c r="M62836"/>
    </row>
    <row r="62837" spans="3:13" ht="12.75" customHeight="1" x14ac:dyDescent="0.2">
      <c r="C62837"/>
      <c r="M62837"/>
    </row>
    <row r="62838" spans="3:13" ht="12.75" customHeight="1" x14ac:dyDescent="0.2">
      <c r="C62838"/>
      <c r="M62838"/>
    </row>
    <row r="62839" spans="3:13" ht="12.75" customHeight="1" x14ac:dyDescent="0.2">
      <c r="C62839"/>
      <c r="M62839"/>
    </row>
    <row r="62840" spans="3:13" ht="12.75" customHeight="1" x14ac:dyDescent="0.2">
      <c r="C62840"/>
      <c r="M62840"/>
    </row>
    <row r="62841" spans="3:13" ht="12.75" customHeight="1" x14ac:dyDescent="0.2">
      <c r="C62841"/>
      <c r="M62841"/>
    </row>
    <row r="62842" spans="3:13" ht="12.75" customHeight="1" x14ac:dyDescent="0.2">
      <c r="C62842"/>
      <c r="M62842"/>
    </row>
    <row r="62843" spans="3:13" ht="12.75" customHeight="1" x14ac:dyDescent="0.2">
      <c r="C62843"/>
      <c r="M62843"/>
    </row>
    <row r="62844" spans="3:13" ht="12.75" customHeight="1" x14ac:dyDescent="0.2">
      <c r="C62844"/>
      <c r="M62844"/>
    </row>
    <row r="62845" spans="3:13" ht="12.75" customHeight="1" x14ac:dyDescent="0.2">
      <c r="C62845"/>
      <c r="M62845"/>
    </row>
    <row r="62846" spans="3:13" ht="12.75" customHeight="1" x14ac:dyDescent="0.2">
      <c r="C62846"/>
      <c r="M62846"/>
    </row>
    <row r="62847" spans="3:13" ht="12.75" customHeight="1" x14ac:dyDescent="0.2">
      <c r="C62847"/>
      <c r="M62847"/>
    </row>
    <row r="62848" spans="3:13" ht="12.75" customHeight="1" x14ac:dyDescent="0.2">
      <c r="C62848"/>
      <c r="M62848"/>
    </row>
    <row r="62849" spans="3:13" ht="12.75" customHeight="1" x14ac:dyDescent="0.2">
      <c r="C62849"/>
      <c r="M62849"/>
    </row>
    <row r="62850" spans="3:13" ht="12.75" customHeight="1" x14ac:dyDescent="0.2">
      <c r="C62850"/>
      <c r="M62850"/>
    </row>
    <row r="62851" spans="3:13" ht="12.75" customHeight="1" x14ac:dyDescent="0.2">
      <c r="C62851"/>
      <c r="M62851"/>
    </row>
    <row r="62852" spans="3:13" ht="12.75" customHeight="1" x14ac:dyDescent="0.2">
      <c r="C62852"/>
      <c r="M62852"/>
    </row>
    <row r="62853" spans="3:13" ht="12.75" customHeight="1" x14ac:dyDescent="0.2">
      <c r="C62853"/>
      <c r="M62853"/>
    </row>
    <row r="62854" spans="3:13" ht="12.75" customHeight="1" x14ac:dyDescent="0.2">
      <c r="C62854"/>
      <c r="M62854"/>
    </row>
    <row r="62855" spans="3:13" ht="12.75" customHeight="1" x14ac:dyDescent="0.2">
      <c r="C62855"/>
      <c r="M62855"/>
    </row>
    <row r="62856" spans="3:13" ht="12.75" customHeight="1" x14ac:dyDescent="0.2">
      <c r="C62856"/>
      <c r="M62856"/>
    </row>
    <row r="62857" spans="3:13" ht="12.75" customHeight="1" x14ac:dyDescent="0.2">
      <c r="C62857"/>
      <c r="M62857"/>
    </row>
    <row r="62858" spans="3:13" ht="12.75" customHeight="1" x14ac:dyDescent="0.2">
      <c r="C62858"/>
      <c r="M62858"/>
    </row>
    <row r="62859" spans="3:13" ht="12.75" customHeight="1" x14ac:dyDescent="0.2">
      <c r="C62859"/>
      <c r="M62859"/>
    </row>
    <row r="62860" spans="3:13" ht="12.75" customHeight="1" x14ac:dyDescent="0.2">
      <c r="C62860"/>
      <c r="M62860"/>
    </row>
    <row r="62861" spans="3:13" ht="12.75" customHeight="1" x14ac:dyDescent="0.2">
      <c r="C62861"/>
      <c r="M62861"/>
    </row>
    <row r="62862" spans="3:13" ht="12.75" customHeight="1" x14ac:dyDescent="0.2">
      <c r="C62862"/>
      <c r="M62862"/>
    </row>
    <row r="62863" spans="3:13" ht="12.75" customHeight="1" x14ac:dyDescent="0.2">
      <c r="C62863"/>
      <c r="M62863"/>
    </row>
    <row r="62864" spans="3:13" ht="12.75" customHeight="1" x14ac:dyDescent="0.2">
      <c r="C62864"/>
      <c r="M62864"/>
    </row>
    <row r="62865" spans="3:13" ht="12.75" customHeight="1" x14ac:dyDescent="0.2">
      <c r="C62865"/>
      <c r="M62865"/>
    </row>
    <row r="62866" spans="3:13" ht="12.75" customHeight="1" x14ac:dyDescent="0.2">
      <c r="C62866"/>
      <c r="M62866"/>
    </row>
    <row r="62867" spans="3:13" ht="12.75" customHeight="1" x14ac:dyDescent="0.2">
      <c r="C62867"/>
      <c r="M62867"/>
    </row>
    <row r="62868" spans="3:13" ht="12.75" customHeight="1" x14ac:dyDescent="0.2">
      <c r="C62868"/>
      <c r="M62868"/>
    </row>
    <row r="62869" spans="3:13" ht="12.75" customHeight="1" x14ac:dyDescent="0.2">
      <c r="C62869"/>
      <c r="M62869"/>
    </row>
    <row r="62870" spans="3:13" ht="12.75" customHeight="1" x14ac:dyDescent="0.2">
      <c r="C62870"/>
      <c r="M62870"/>
    </row>
    <row r="62871" spans="3:13" ht="12.75" customHeight="1" x14ac:dyDescent="0.2">
      <c r="C62871"/>
      <c r="M62871"/>
    </row>
    <row r="62872" spans="3:13" ht="12.75" customHeight="1" x14ac:dyDescent="0.2">
      <c r="C62872"/>
      <c r="M62872"/>
    </row>
    <row r="62873" spans="3:13" ht="12.75" customHeight="1" x14ac:dyDescent="0.2">
      <c r="C62873"/>
      <c r="M62873"/>
    </row>
    <row r="62874" spans="3:13" ht="12.75" customHeight="1" x14ac:dyDescent="0.2">
      <c r="C62874"/>
      <c r="M62874"/>
    </row>
    <row r="62875" spans="3:13" ht="12.75" customHeight="1" x14ac:dyDescent="0.2">
      <c r="C62875"/>
      <c r="M62875"/>
    </row>
    <row r="62876" spans="3:13" ht="12.75" customHeight="1" x14ac:dyDescent="0.2">
      <c r="C62876"/>
      <c r="M62876"/>
    </row>
    <row r="62877" spans="3:13" ht="12.75" customHeight="1" x14ac:dyDescent="0.2">
      <c r="C62877"/>
      <c r="M62877"/>
    </row>
    <row r="62878" spans="3:13" ht="12.75" customHeight="1" x14ac:dyDescent="0.2">
      <c r="C62878"/>
      <c r="M62878"/>
    </row>
    <row r="62879" spans="3:13" ht="12.75" customHeight="1" x14ac:dyDescent="0.2">
      <c r="C62879"/>
      <c r="M62879"/>
    </row>
    <row r="62880" spans="3:13" ht="12.75" customHeight="1" x14ac:dyDescent="0.2">
      <c r="C62880"/>
      <c r="M62880"/>
    </row>
    <row r="62881" spans="3:13" ht="12.75" customHeight="1" x14ac:dyDescent="0.2">
      <c r="C62881"/>
      <c r="M62881"/>
    </row>
    <row r="62882" spans="3:13" ht="12.75" customHeight="1" x14ac:dyDescent="0.2">
      <c r="C62882"/>
      <c r="M62882"/>
    </row>
    <row r="62883" spans="3:13" ht="12.75" customHeight="1" x14ac:dyDescent="0.2">
      <c r="C62883"/>
      <c r="M62883"/>
    </row>
    <row r="62884" spans="3:13" ht="12.75" customHeight="1" x14ac:dyDescent="0.2">
      <c r="C62884"/>
      <c r="M62884"/>
    </row>
    <row r="62885" spans="3:13" ht="12.75" customHeight="1" x14ac:dyDescent="0.2">
      <c r="C62885"/>
      <c r="M62885"/>
    </row>
    <row r="62886" spans="3:13" ht="12.75" customHeight="1" x14ac:dyDescent="0.2">
      <c r="C62886"/>
      <c r="M62886"/>
    </row>
    <row r="62887" spans="3:13" ht="12.75" customHeight="1" x14ac:dyDescent="0.2">
      <c r="C62887"/>
      <c r="M62887"/>
    </row>
    <row r="62888" spans="3:13" ht="12.75" customHeight="1" x14ac:dyDescent="0.2">
      <c r="C62888"/>
      <c r="M62888"/>
    </row>
    <row r="62889" spans="3:13" ht="12.75" customHeight="1" x14ac:dyDescent="0.2">
      <c r="C62889"/>
      <c r="M62889"/>
    </row>
    <row r="62890" spans="3:13" ht="12.75" customHeight="1" x14ac:dyDescent="0.2">
      <c r="C62890"/>
      <c r="M62890"/>
    </row>
    <row r="62891" spans="3:13" ht="12.75" customHeight="1" x14ac:dyDescent="0.2">
      <c r="C62891"/>
      <c r="M62891"/>
    </row>
    <row r="62892" spans="3:13" ht="12.75" customHeight="1" x14ac:dyDescent="0.2">
      <c r="C62892"/>
      <c r="M62892"/>
    </row>
    <row r="62893" spans="3:13" ht="12.75" customHeight="1" x14ac:dyDescent="0.2">
      <c r="C62893"/>
      <c r="M62893"/>
    </row>
    <row r="62894" spans="3:13" ht="12.75" customHeight="1" x14ac:dyDescent="0.2">
      <c r="C62894"/>
      <c r="M62894"/>
    </row>
    <row r="62895" spans="3:13" ht="12.75" customHeight="1" x14ac:dyDescent="0.2">
      <c r="C62895"/>
      <c r="M62895"/>
    </row>
    <row r="62896" spans="3:13" ht="12.75" customHeight="1" x14ac:dyDescent="0.2">
      <c r="C62896"/>
      <c r="M62896"/>
    </row>
    <row r="62897" spans="3:13" ht="12.75" customHeight="1" x14ac:dyDescent="0.2">
      <c r="C62897"/>
      <c r="M62897"/>
    </row>
    <row r="62898" spans="3:13" ht="12.75" customHeight="1" x14ac:dyDescent="0.2">
      <c r="C62898"/>
      <c r="M62898"/>
    </row>
    <row r="62899" spans="3:13" ht="12.75" customHeight="1" x14ac:dyDescent="0.2">
      <c r="C62899"/>
      <c r="M62899"/>
    </row>
    <row r="62900" spans="3:13" ht="12.75" customHeight="1" x14ac:dyDescent="0.2">
      <c r="C62900"/>
      <c r="M62900"/>
    </row>
    <row r="62901" spans="3:13" ht="12.75" customHeight="1" x14ac:dyDescent="0.2">
      <c r="C62901"/>
      <c r="M62901"/>
    </row>
    <row r="62902" spans="3:13" ht="12.75" customHeight="1" x14ac:dyDescent="0.2">
      <c r="C62902"/>
      <c r="M62902"/>
    </row>
    <row r="62903" spans="3:13" ht="12.75" customHeight="1" x14ac:dyDescent="0.2">
      <c r="C62903"/>
      <c r="M62903"/>
    </row>
    <row r="62904" spans="3:13" ht="12.75" customHeight="1" x14ac:dyDescent="0.2">
      <c r="C62904"/>
      <c r="M62904"/>
    </row>
    <row r="62905" spans="3:13" ht="12.75" customHeight="1" x14ac:dyDescent="0.2">
      <c r="C62905"/>
      <c r="M62905"/>
    </row>
    <row r="62906" spans="3:13" ht="12.75" customHeight="1" x14ac:dyDescent="0.2">
      <c r="C62906"/>
      <c r="M62906"/>
    </row>
    <row r="62907" spans="3:13" ht="12.75" customHeight="1" x14ac:dyDescent="0.2">
      <c r="C62907"/>
      <c r="M62907"/>
    </row>
    <row r="62908" spans="3:13" ht="12.75" customHeight="1" x14ac:dyDescent="0.2">
      <c r="C62908"/>
      <c r="M62908"/>
    </row>
    <row r="62909" spans="3:13" ht="12.75" customHeight="1" x14ac:dyDescent="0.2">
      <c r="C62909"/>
      <c r="M62909"/>
    </row>
    <row r="62910" spans="3:13" ht="12.75" customHeight="1" x14ac:dyDescent="0.2">
      <c r="C62910"/>
      <c r="M62910"/>
    </row>
    <row r="62911" spans="3:13" ht="12.75" customHeight="1" x14ac:dyDescent="0.2">
      <c r="C62911"/>
      <c r="M62911"/>
    </row>
    <row r="62912" spans="3:13" ht="12.75" customHeight="1" x14ac:dyDescent="0.2">
      <c r="C62912"/>
      <c r="M62912"/>
    </row>
    <row r="62913" spans="3:13" ht="12.75" customHeight="1" x14ac:dyDescent="0.2">
      <c r="C62913"/>
      <c r="M62913"/>
    </row>
    <row r="62914" spans="3:13" ht="12.75" customHeight="1" x14ac:dyDescent="0.2">
      <c r="C62914"/>
      <c r="M62914"/>
    </row>
    <row r="62915" spans="3:13" ht="12.75" customHeight="1" x14ac:dyDescent="0.2">
      <c r="C62915"/>
      <c r="M62915"/>
    </row>
    <row r="62916" spans="3:13" ht="12.75" customHeight="1" x14ac:dyDescent="0.2">
      <c r="C62916"/>
      <c r="M62916"/>
    </row>
    <row r="62917" spans="3:13" ht="12.75" customHeight="1" x14ac:dyDescent="0.2">
      <c r="C62917"/>
      <c r="M62917"/>
    </row>
    <row r="62918" spans="3:13" ht="12.75" customHeight="1" x14ac:dyDescent="0.2">
      <c r="C62918"/>
      <c r="M62918"/>
    </row>
    <row r="62919" spans="3:13" ht="12.75" customHeight="1" x14ac:dyDescent="0.2">
      <c r="C62919"/>
      <c r="M62919"/>
    </row>
    <row r="62920" spans="3:13" ht="12.75" customHeight="1" x14ac:dyDescent="0.2">
      <c r="C62920"/>
      <c r="M62920"/>
    </row>
    <row r="62921" spans="3:13" ht="12.75" customHeight="1" x14ac:dyDescent="0.2">
      <c r="C62921"/>
      <c r="M62921"/>
    </row>
    <row r="62922" spans="3:13" ht="12.75" customHeight="1" x14ac:dyDescent="0.2">
      <c r="C62922"/>
      <c r="M62922"/>
    </row>
    <row r="62923" spans="3:13" ht="12.75" customHeight="1" x14ac:dyDescent="0.2">
      <c r="C62923"/>
      <c r="M62923"/>
    </row>
    <row r="62924" spans="3:13" ht="12.75" customHeight="1" x14ac:dyDescent="0.2">
      <c r="C62924"/>
      <c r="M62924"/>
    </row>
    <row r="62925" spans="3:13" ht="12.75" customHeight="1" x14ac:dyDescent="0.2">
      <c r="C62925"/>
      <c r="M62925"/>
    </row>
    <row r="62926" spans="3:13" ht="12.75" customHeight="1" x14ac:dyDescent="0.2">
      <c r="C62926"/>
      <c r="M62926"/>
    </row>
    <row r="62927" spans="3:13" ht="12.75" customHeight="1" x14ac:dyDescent="0.2">
      <c r="C62927"/>
      <c r="M62927"/>
    </row>
    <row r="62928" spans="3:13" ht="12.75" customHeight="1" x14ac:dyDescent="0.2">
      <c r="C62928"/>
      <c r="M62928"/>
    </row>
    <row r="62929" spans="3:13" ht="12.75" customHeight="1" x14ac:dyDescent="0.2">
      <c r="C62929"/>
      <c r="M62929"/>
    </row>
    <row r="62930" spans="3:13" ht="12.75" customHeight="1" x14ac:dyDescent="0.2">
      <c r="C62930"/>
      <c r="M62930"/>
    </row>
    <row r="62931" spans="3:13" ht="12.75" customHeight="1" x14ac:dyDescent="0.2">
      <c r="C62931"/>
      <c r="M62931"/>
    </row>
    <row r="62932" spans="3:13" ht="12.75" customHeight="1" x14ac:dyDescent="0.2">
      <c r="C62932"/>
      <c r="M62932"/>
    </row>
    <row r="62933" spans="3:13" ht="12.75" customHeight="1" x14ac:dyDescent="0.2">
      <c r="C62933"/>
      <c r="M62933"/>
    </row>
    <row r="62934" spans="3:13" ht="12.75" customHeight="1" x14ac:dyDescent="0.2">
      <c r="C62934"/>
      <c r="M62934"/>
    </row>
    <row r="62935" spans="3:13" ht="12.75" customHeight="1" x14ac:dyDescent="0.2">
      <c r="C62935"/>
      <c r="M62935"/>
    </row>
    <row r="62936" spans="3:13" ht="12.75" customHeight="1" x14ac:dyDescent="0.2">
      <c r="C62936"/>
      <c r="M62936"/>
    </row>
    <row r="62937" spans="3:13" ht="12.75" customHeight="1" x14ac:dyDescent="0.2">
      <c r="C62937"/>
      <c r="M62937"/>
    </row>
    <row r="62938" spans="3:13" ht="12.75" customHeight="1" x14ac:dyDescent="0.2">
      <c r="C62938"/>
      <c r="M62938"/>
    </row>
    <row r="62939" spans="3:13" ht="12.75" customHeight="1" x14ac:dyDescent="0.2">
      <c r="C62939"/>
      <c r="M62939"/>
    </row>
    <row r="62940" spans="3:13" ht="12.75" customHeight="1" x14ac:dyDescent="0.2">
      <c r="C62940"/>
      <c r="M62940"/>
    </row>
    <row r="62941" spans="3:13" ht="12.75" customHeight="1" x14ac:dyDescent="0.2">
      <c r="C62941"/>
      <c r="M62941"/>
    </row>
    <row r="62942" spans="3:13" ht="12.75" customHeight="1" x14ac:dyDescent="0.2">
      <c r="C62942"/>
      <c r="M62942"/>
    </row>
    <row r="62943" spans="3:13" ht="12.75" customHeight="1" x14ac:dyDescent="0.2">
      <c r="C62943"/>
      <c r="M62943"/>
    </row>
    <row r="62944" spans="3:13" ht="12.75" customHeight="1" x14ac:dyDescent="0.2">
      <c r="C62944"/>
      <c r="M62944"/>
    </row>
    <row r="62945" spans="3:13" ht="12.75" customHeight="1" x14ac:dyDescent="0.2">
      <c r="C62945"/>
      <c r="M62945"/>
    </row>
    <row r="62946" spans="3:13" ht="12.75" customHeight="1" x14ac:dyDescent="0.2">
      <c r="C62946"/>
      <c r="M62946"/>
    </row>
    <row r="62947" spans="3:13" ht="12.75" customHeight="1" x14ac:dyDescent="0.2">
      <c r="C62947"/>
      <c r="M62947"/>
    </row>
    <row r="62948" spans="3:13" ht="12.75" customHeight="1" x14ac:dyDescent="0.2">
      <c r="C62948"/>
      <c r="M62948"/>
    </row>
    <row r="62949" spans="3:13" ht="12.75" customHeight="1" x14ac:dyDescent="0.2">
      <c r="C62949"/>
      <c r="M62949"/>
    </row>
    <row r="62950" spans="3:13" ht="12.75" customHeight="1" x14ac:dyDescent="0.2">
      <c r="C62950"/>
      <c r="M62950"/>
    </row>
    <row r="62951" spans="3:13" ht="12.75" customHeight="1" x14ac:dyDescent="0.2">
      <c r="C62951"/>
      <c r="M62951"/>
    </row>
    <row r="62952" spans="3:13" ht="12.75" customHeight="1" x14ac:dyDescent="0.2">
      <c r="C62952"/>
      <c r="M62952"/>
    </row>
    <row r="62953" spans="3:13" ht="12.75" customHeight="1" x14ac:dyDescent="0.2">
      <c r="C62953"/>
      <c r="M62953"/>
    </row>
    <row r="62954" spans="3:13" ht="12.75" customHeight="1" x14ac:dyDescent="0.2">
      <c r="C62954"/>
      <c r="M62954"/>
    </row>
    <row r="62955" spans="3:13" ht="12.75" customHeight="1" x14ac:dyDescent="0.2">
      <c r="C62955"/>
      <c r="M62955"/>
    </row>
    <row r="62956" spans="3:13" ht="12.75" customHeight="1" x14ac:dyDescent="0.2">
      <c r="C62956"/>
      <c r="M62956"/>
    </row>
    <row r="62957" spans="3:13" ht="12.75" customHeight="1" x14ac:dyDescent="0.2">
      <c r="C62957"/>
      <c r="M62957"/>
    </row>
    <row r="62958" spans="3:13" ht="12.75" customHeight="1" x14ac:dyDescent="0.2">
      <c r="C62958"/>
      <c r="M62958"/>
    </row>
    <row r="62959" spans="3:13" ht="12.75" customHeight="1" x14ac:dyDescent="0.2">
      <c r="C62959"/>
      <c r="M62959"/>
    </row>
    <row r="62960" spans="3:13" ht="12.75" customHeight="1" x14ac:dyDescent="0.2">
      <c r="C62960"/>
      <c r="M62960"/>
    </row>
    <row r="62961" spans="3:13" ht="12.75" customHeight="1" x14ac:dyDescent="0.2">
      <c r="C62961"/>
      <c r="M62961"/>
    </row>
    <row r="62962" spans="3:13" ht="12.75" customHeight="1" x14ac:dyDescent="0.2">
      <c r="C62962"/>
      <c r="M62962"/>
    </row>
    <row r="62963" spans="3:13" ht="12.75" customHeight="1" x14ac:dyDescent="0.2">
      <c r="C62963"/>
      <c r="M62963"/>
    </row>
    <row r="62964" spans="3:13" ht="12.75" customHeight="1" x14ac:dyDescent="0.2">
      <c r="C62964"/>
      <c r="M62964"/>
    </row>
    <row r="62965" spans="3:13" ht="12.75" customHeight="1" x14ac:dyDescent="0.2">
      <c r="C62965"/>
      <c r="M62965"/>
    </row>
    <row r="62966" spans="3:13" ht="12.75" customHeight="1" x14ac:dyDescent="0.2">
      <c r="C62966"/>
      <c r="M62966"/>
    </row>
    <row r="62967" spans="3:13" ht="12.75" customHeight="1" x14ac:dyDescent="0.2">
      <c r="C62967"/>
      <c r="M62967"/>
    </row>
    <row r="62968" spans="3:13" ht="12.75" customHeight="1" x14ac:dyDescent="0.2">
      <c r="C62968"/>
      <c r="M62968"/>
    </row>
    <row r="62969" spans="3:13" ht="12.75" customHeight="1" x14ac:dyDescent="0.2">
      <c r="C62969"/>
      <c r="M62969"/>
    </row>
    <row r="62970" spans="3:13" ht="12.75" customHeight="1" x14ac:dyDescent="0.2">
      <c r="C62970"/>
      <c r="M62970"/>
    </row>
    <row r="62971" spans="3:13" ht="12.75" customHeight="1" x14ac:dyDescent="0.2">
      <c r="C62971"/>
      <c r="M62971"/>
    </row>
    <row r="62972" spans="3:13" ht="12.75" customHeight="1" x14ac:dyDescent="0.2">
      <c r="C62972"/>
      <c r="M62972"/>
    </row>
    <row r="62973" spans="3:13" ht="12.75" customHeight="1" x14ac:dyDescent="0.2">
      <c r="C62973"/>
      <c r="M62973"/>
    </row>
    <row r="62974" spans="3:13" ht="12.75" customHeight="1" x14ac:dyDescent="0.2">
      <c r="C62974"/>
      <c r="M62974"/>
    </row>
    <row r="62975" spans="3:13" ht="12.75" customHeight="1" x14ac:dyDescent="0.2">
      <c r="C62975"/>
      <c r="M62975"/>
    </row>
    <row r="62976" spans="3:13" ht="12.75" customHeight="1" x14ac:dyDescent="0.2">
      <c r="C62976"/>
      <c r="M62976"/>
    </row>
    <row r="62977" spans="3:13" ht="12.75" customHeight="1" x14ac:dyDescent="0.2">
      <c r="C62977"/>
      <c r="M62977"/>
    </row>
    <row r="62978" spans="3:13" ht="12.75" customHeight="1" x14ac:dyDescent="0.2">
      <c r="C62978"/>
      <c r="M62978"/>
    </row>
    <row r="62979" spans="3:13" ht="12.75" customHeight="1" x14ac:dyDescent="0.2">
      <c r="C62979"/>
      <c r="M62979"/>
    </row>
    <row r="62980" spans="3:13" ht="12.75" customHeight="1" x14ac:dyDescent="0.2">
      <c r="C62980"/>
      <c r="M62980"/>
    </row>
    <row r="62981" spans="3:13" ht="12.75" customHeight="1" x14ac:dyDescent="0.2">
      <c r="C62981"/>
      <c r="M62981"/>
    </row>
    <row r="62982" spans="3:13" ht="12.75" customHeight="1" x14ac:dyDescent="0.2">
      <c r="C62982"/>
      <c r="M62982"/>
    </row>
    <row r="62983" spans="3:13" ht="12.75" customHeight="1" x14ac:dyDescent="0.2">
      <c r="C62983"/>
      <c r="M62983"/>
    </row>
    <row r="62984" spans="3:13" ht="12.75" customHeight="1" x14ac:dyDescent="0.2">
      <c r="C62984"/>
      <c r="M62984"/>
    </row>
    <row r="62985" spans="3:13" ht="12.75" customHeight="1" x14ac:dyDescent="0.2">
      <c r="C62985"/>
      <c r="M62985"/>
    </row>
    <row r="62986" spans="3:13" ht="12.75" customHeight="1" x14ac:dyDescent="0.2">
      <c r="C62986"/>
      <c r="M62986"/>
    </row>
    <row r="62987" spans="3:13" ht="12.75" customHeight="1" x14ac:dyDescent="0.2">
      <c r="C62987"/>
      <c r="M62987"/>
    </row>
    <row r="62988" spans="3:13" ht="12.75" customHeight="1" x14ac:dyDescent="0.2">
      <c r="C62988"/>
      <c r="M62988"/>
    </row>
    <row r="62989" spans="3:13" ht="12.75" customHeight="1" x14ac:dyDescent="0.2">
      <c r="C62989"/>
      <c r="M62989"/>
    </row>
    <row r="62990" spans="3:13" ht="12.75" customHeight="1" x14ac:dyDescent="0.2">
      <c r="C62990"/>
      <c r="M62990"/>
    </row>
    <row r="62991" spans="3:13" ht="12.75" customHeight="1" x14ac:dyDescent="0.2">
      <c r="C62991"/>
      <c r="M62991"/>
    </row>
    <row r="62992" spans="3:13" ht="12.75" customHeight="1" x14ac:dyDescent="0.2">
      <c r="C62992"/>
      <c r="M62992"/>
    </row>
    <row r="62993" spans="3:13" ht="12.75" customHeight="1" x14ac:dyDescent="0.2">
      <c r="C62993"/>
      <c r="M62993"/>
    </row>
    <row r="62994" spans="3:13" ht="12.75" customHeight="1" x14ac:dyDescent="0.2">
      <c r="C62994"/>
      <c r="M62994"/>
    </row>
    <row r="62995" spans="3:13" ht="12.75" customHeight="1" x14ac:dyDescent="0.2">
      <c r="C62995"/>
      <c r="M62995"/>
    </row>
    <row r="62996" spans="3:13" ht="12.75" customHeight="1" x14ac:dyDescent="0.2">
      <c r="C62996"/>
      <c r="M62996"/>
    </row>
    <row r="62997" spans="3:13" ht="12.75" customHeight="1" x14ac:dyDescent="0.2">
      <c r="C62997"/>
      <c r="M62997"/>
    </row>
    <row r="62998" spans="3:13" ht="12.75" customHeight="1" x14ac:dyDescent="0.2">
      <c r="C62998"/>
      <c r="M62998"/>
    </row>
    <row r="62999" spans="3:13" ht="12.75" customHeight="1" x14ac:dyDescent="0.2">
      <c r="C62999"/>
      <c r="M62999"/>
    </row>
    <row r="63000" spans="3:13" ht="12.75" customHeight="1" x14ac:dyDescent="0.2">
      <c r="C63000"/>
      <c r="M63000"/>
    </row>
    <row r="63001" spans="3:13" ht="12.75" customHeight="1" x14ac:dyDescent="0.2">
      <c r="C63001"/>
      <c r="M63001"/>
    </row>
    <row r="63002" spans="3:13" ht="12.75" customHeight="1" x14ac:dyDescent="0.2">
      <c r="C63002"/>
      <c r="M63002"/>
    </row>
    <row r="63003" spans="3:13" ht="12.75" customHeight="1" x14ac:dyDescent="0.2">
      <c r="C63003"/>
      <c r="M63003"/>
    </row>
    <row r="63004" spans="3:13" ht="12.75" customHeight="1" x14ac:dyDescent="0.2">
      <c r="C63004"/>
      <c r="M63004"/>
    </row>
    <row r="63005" spans="3:13" ht="12.75" customHeight="1" x14ac:dyDescent="0.2">
      <c r="C63005"/>
      <c r="M63005"/>
    </row>
    <row r="63006" spans="3:13" ht="12.75" customHeight="1" x14ac:dyDescent="0.2">
      <c r="C63006"/>
      <c r="M63006"/>
    </row>
    <row r="63007" spans="3:13" ht="12.75" customHeight="1" x14ac:dyDescent="0.2">
      <c r="C63007"/>
      <c r="M63007"/>
    </row>
    <row r="63008" spans="3:13" ht="12.75" customHeight="1" x14ac:dyDescent="0.2">
      <c r="C63008"/>
      <c r="M63008"/>
    </row>
    <row r="63009" spans="3:13" ht="12.75" customHeight="1" x14ac:dyDescent="0.2">
      <c r="C63009"/>
      <c r="M63009"/>
    </row>
    <row r="63010" spans="3:13" ht="12.75" customHeight="1" x14ac:dyDescent="0.2">
      <c r="C63010"/>
      <c r="M63010"/>
    </row>
    <row r="63011" spans="3:13" ht="12.75" customHeight="1" x14ac:dyDescent="0.2">
      <c r="C63011"/>
      <c r="M63011"/>
    </row>
    <row r="63012" spans="3:13" ht="12.75" customHeight="1" x14ac:dyDescent="0.2">
      <c r="C63012"/>
      <c r="M63012"/>
    </row>
    <row r="63013" spans="3:13" ht="12.75" customHeight="1" x14ac:dyDescent="0.2">
      <c r="C63013"/>
      <c r="M63013"/>
    </row>
    <row r="63014" spans="3:13" ht="12.75" customHeight="1" x14ac:dyDescent="0.2">
      <c r="C63014"/>
      <c r="M63014"/>
    </row>
    <row r="63015" spans="3:13" ht="12.75" customHeight="1" x14ac:dyDescent="0.2">
      <c r="C63015"/>
      <c r="M63015"/>
    </row>
    <row r="63016" spans="3:13" ht="12.75" customHeight="1" x14ac:dyDescent="0.2">
      <c r="C63016"/>
      <c r="M63016"/>
    </row>
    <row r="63017" spans="3:13" ht="12.75" customHeight="1" x14ac:dyDescent="0.2">
      <c r="C63017"/>
      <c r="M63017"/>
    </row>
    <row r="63018" spans="3:13" ht="12.75" customHeight="1" x14ac:dyDescent="0.2">
      <c r="C63018"/>
      <c r="M63018"/>
    </row>
    <row r="63019" spans="3:13" ht="12.75" customHeight="1" x14ac:dyDescent="0.2">
      <c r="C63019"/>
      <c r="M63019"/>
    </row>
    <row r="63020" spans="3:13" ht="12.75" customHeight="1" x14ac:dyDescent="0.2">
      <c r="C63020"/>
      <c r="M63020"/>
    </row>
    <row r="63021" spans="3:13" ht="12.75" customHeight="1" x14ac:dyDescent="0.2">
      <c r="C63021"/>
      <c r="M63021"/>
    </row>
    <row r="63022" spans="3:13" ht="12.75" customHeight="1" x14ac:dyDescent="0.2">
      <c r="C63022"/>
      <c r="M63022"/>
    </row>
    <row r="63023" spans="3:13" ht="12.75" customHeight="1" x14ac:dyDescent="0.2">
      <c r="C63023"/>
      <c r="M63023"/>
    </row>
    <row r="63024" spans="3:13" ht="12.75" customHeight="1" x14ac:dyDescent="0.2">
      <c r="C63024"/>
      <c r="M63024"/>
    </row>
    <row r="63025" spans="3:13" ht="12.75" customHeight="1" x14ac:dyDescent="0.2">
      <c r="C63025"/>
      <c r="M63025"/>
    </row>
    <row r="63026" spans="3:13" ht="12.75" customHeight="1" x14ac:dyDescent="0.2">
      <c r="C63026"/>
      <c r="M63026"/>
    </row>
    <row r="63027" spans="3:13" ht="12.75" customHeight="1" x14ac:dyDescent="0.2">
      <c r="C63027"/>
      <c r="M63027"/>
    </row>
    <row r="63028" spans="3:13" ht="12.75" customHeight="1" x14ac:dyDescent="0.2">
      <c r="C63028"/>
      <c r="M63028"/>
    </row>
    <row r="63029" spans="3:13" ht="12.75" customHeight="1" x14ac:dyDescent="0.2">
      <c r="C63029"/>
      <c r="M63029"/>
    </row>
    <row r="63030" spans="3:13" ht="12.75" customHeight="1" x14ac:dyDescent="0.2">
      <c r="C63030"/>
      <c r="M63030"/>
    </row>
    <row r="63031" spans="3:13" ht="12.75" customHeight="1" x14ac:dyDescent="0.2">
      <c r="C63031"/>
      <c r="M63031"/>
    </row>
    <row r="63032" spans="3:13" ht="12.75" customHeight="1" x14ac:dyDescent="0.2">
      <c r="C63032"/>
      <c r="M63032"/>
    </row>
    <row r="63033" spans="3:13" ht="12.75" customHeight="1" x14ac:dyDescent="0.2">
      <c r="C63033"/>
      <c r="M63033"/>
    </row>
    <row r="63034" spans="3:13" ht="12.75" customHeight="1" x14ac:dyDescent="0.2">
      <c r="C63034"/>
      <c r="M63034"/>
    </row>
    <row r="63035" spans="3:13" ht="12.75" customHeight="1" x14ac:dyDescent="0.2">
      <c r="C63035"/>
      <c r="M63035"/>
    </row>
    <row r="63036" spans="3:13" ht="12.75" customHeight="1" x14ac:dyDescent="0.2">
      <c r="C63036"/>
      <c r="M63036"/>
    </row>
    <row r="63037" spans="3:13" ht="12.75" customHeight="1" x14ac:dyDescent="0.2">
      <c r="C63037"/>
      <c r="M63037"/>
    </row>
    <row r="63038" spans="3:13" ht="12.75" customHeight="1" x14ac:dyDescent="0.2">
      <c r="C63038"/>
      <c r="M63038"/>
    </row>
    <row r="63039" spans="3:13" ht="12.75" customHeight="1" x14ac:dyDescent="0.2">
      <c r="C63039"/>
      <c r="M63039"/>
    </row>
    <row r="63040" spans="3:13" ht="12.75" customHeight="1" x14ac:dyDescent="0.2">
      <c r="C63040"/>
      <c r="M63040"/>
    </row>
    <row r="63041" spans="3:13" ht="12.75" customHeight="1" x14ac:dyDescent="0.2">
      <c r="C63041"/>
      <c r="M63041"/>
    </row>
    <row r="63042" spans="3:13" ht="12.75" customHeight="1" x14ac:dyDescent="0.2">
      <c r="C63042"/>
      <c r="M63042"/>
    </row>
    <row r="63043" spans="3:13" ht="12.75" customHeight="1" x14ac:dyDescent="0.2">
      <c r="C63043"/>
      <c r="M63043"/>
    </row>
    <row r="63044" spans="3:13" ht="12.75" customHeight="1" x14ac:dyDescent="0.2">
      <c r="C63044"/>
      <c r="M63044"/>
    </row>
    <row r="63045" spans="3:13" ht="12.75" customHeight="1" x14ac:dyDescent="0.2">
      <c r="C63045"/>
      <c r="M63045"/>
    </row>
    <row r="63046" spans="3:13" ht="12.75" customHeight="1" x14ac:dyDescent="0.2">
      <c r="C63046"/>
      <c r="M63046"/>
    </row>
    <row r="63047" spans="3:13" ht="12.75" customHeight="1" x14ac:dyDescent="0.2">
      <c r="C63047"/>
      <c r="M63047"/>
    </row>
    <row r="63048" spans="3:13" ht="12.75" customHeight="1" x14ac:dyDescent="0.2">
      <c r="C63048"/>
      <c r="M63048"/>
    </row>
    <row r="63049" spans="3:13" ht="12.75" customHeight="1" x14ac:dyDescent="0.2">
      <c r="C63049"/>
      <c r="M63049"/>
    </row>
    <row r="63050" spans="3:13" ht="12.75" customHeight="1" x14ac:dyDescent="0.2">
      <c r="C63050"/>
      <c r="M63050"/>
    </row>
    <row r="63051" spans="3:13" ht="12.75" customHeight="1" x14ac:dyDescent="0.2">
      <c r="C63051"/>
      <c r="M63051"/>
    </row>
    <row r="63052" spans="3:13" ht="12.75" customHeight="1" x14ac:dyDescent="0.2">
      <c r="C63052"/>
      <c r="M63052"/>
    </row>
    <row r="63053" spans="3:13" ht="12.75" customHeight="1" x14ac:dyDescent="0.2">
      <c r="C63053"/>
      <c r="M63053"/>
    </row>
    <row r="63054" spans="3:13" ht="12.75" customHeight="1" x14ac:dyDescent="0.2">
      <c r="C63054"/>
      <c r="M63054"/>
    </row>
    <row r="63055" spans="3:13" ht="12.75" customHeight="1" x14ac:dyDescent="0.2">
      <c r="C63055"/>
      <c r="M63055"/>
    </row>
    <row r="63056" spans="3:13" ht="12.75" customHeight="1" x14ac:dyDescent="0.2">
      <c r="C63056"/>
      <c r="M63056"/>
    </row>
    <row r="63057" spans="3:13" ht="12.75" customHeight="1" x14ac:dyDescent="0.2">
      <c r="C63057"/>
      <c r="M63057"/>
    </row>
    <row r="63058" spans="3:13" ht="12.75" customHeight="1" x14ac:dyDescent="0.2">
      <c r="C63058"/>
      <c r="M63058"/>
    </row>
    <row r="63059" spans="3:13" ht="12.75" customHeight="1" x14ac:dyDescent="0.2">
      <c r="C63059"/>
      <c r="M63059"/>
    </row>
    <row r="63060" spans="3:13" ht="12.75" customHeight="1" x14ac:dyDescent="0.2">
      <c r="C63060"/>
      <c r="M63060"/>
    </row>
    <row r="63061" spans="3:13" ht="12.75" customHeight="1" x14ac:dyDescent="0.2">
      <c r="C63061"/>
      <c r="M63061"/>
    </row>
    <row r="63062" spans="3:13" ht="12.75" customHeight="1" x14ac:dyDescent="0.2">
      <c r="C63062"/>
      <c r="M63062"/>
    </row>
    <row r="63063" spans="3:13" ht="12.75" customHeight="1" x14ac:dyDescent="0.2">
      <c r="C63063"/>
      <c r="M63063"/>
    </row>
    <row r="63064" spans="3:13" ht="12.75" customHeight="1" x14ac:dyDescent="0.2">
      <c r="C63064"/>
      <c r="M63064"/>
    </row>
    <row r="63065" spans="3:13" ht="12.75" customHeight="1" x14ac:dyDescent="0.2">
      <c r="C63065"/>
      <c r="M63065"/>
    </row>
    <row r="63066" spans="3:13" ht="12.75" customHeight="1" x14ac:dyDescent="0.2">
      <c r="C63066"/>
      <c r="M63066"/>
    </row>
    <row r="63067" spans="3:13" ht="12.75" customHeight="1" x14ac:dyDescent="0.2">
      <c r="C63067"/>
      <c r="M63067"/>
    </row>
    <row r="63068" spans="3:13" ht="12.75" customHeight="1" x14ac:dyDescent="0.2">
      <c r="C63068"/>
      <c r="M63068"/>
    </row>
    <row r="63069" spans="3:13" ht="12.75" customHeight="1" x14ac:dyDescent="0.2">
      <c r="C63069"/>
      <c r="M63069"/>
    </row>
    <row r="63070" spans="3:13" ht="12.75" customHeight="1" x14ac:dyDescent="0.2">
      <c r="C63070"/>
      <c r="M63070"/>
    </row>
    <row r="63071" spans="3:13" ht="12.75" customHeight="1" x14ac:dyDescent="0.2">
      <c r="C63071"/>
      <c r="M63071"/>
    </row>
    <row r="63072" spans="3:13" ht="12.75" customHeight="1" x14ac:dyDescent="0.2">
      <c r="C63072"/>
      <c r="M63072"/>
    </row>
    <row r="63073" spans="3:13" ht="12.75" customHeight="1" x14ac:dyDescent="0.2">
      <c r="C63073"/>
      <c r="M63073"/>
    </row>
    <row r="63074" spans="3:13" ht="12.75" customHeight="1" x14ac:dyDescent="0.2">
      <c r="C63074"/>
      <c r="M63074"/>
    </row>
    <row r="63075" spans="3:13" ht="12.75" customHeight="1" x14ac:dyDescent="0.2">
      <c r="C63075"/>
      <c r="M63075"/>
    </row>
    <row r="63076" spans="3:13" ht="12.75" customHeight="1" x14ac:dyDescent="0.2">
      <c r="C63076"/>
      <c r="M63076"/>
    </row>
    <row r="63077" spans="3:13" ht="12.75" customHeight="1" x14ac:dyDescent="0.2">
      <c r="C63077"/>
      <c r="M63077"/>
    </row>
    <row r="63078" spans="3:13" ht="12.75" customHeight="1" x14ac:dyDescent="0.2">
      <c r="C63078"/>
      <c r="M63078"/>
    </row>
    <row r="63079" spans="3:13" ht="12.75" customHeight="1" x14ac:dyDescent="0.2">
      <c r="C63079"/>
      <c r="M63079"/>
    </row>
    <row r="63080" spans="3:13" ht="12.75" customHeight="1" x14ac:dyDescent="0.2">
      <c r="C63080"/>
      <c r="M63080"/>
    </row>
    <row r="63081" spans="3:13" ht="12.75" customHeight="1" x14ac:dyDescent="0.2">
      <c r="C63081"/>
      <c r="M63081"/>
    </row>
    <row r="63082" spans="3:13" ht="12.75" customHeight="1" x14ac:dyDescent="0.2">
      <c r="C63082"/>
      <c r="M63082"/>
    </row>
    <row r="63083" spans="3:13" ht="12.75" customHeight="1" x14ac:dyDescent="0.2">
      <c r="C63083"/>
      <c r="M63083"/>
    </row>
    <row r="63084" spans="3:13" ht="12.75" customHeight="1" x14ac:dyDescent="0.2">
      <c r="C63084"/>
      <c r="M63084"/>
    </row>
    <row r="63085" spans="3:13" ht="12.75" customHeight="1" x14ac:dyDescent="0.2">
      <c r="C63085"/>
      <c r="M63085"/>
    </row>
    <row r="63086" spans="3:13" ht="12.75" customHeight="1" x14ac:dyDescent="0.2">
      <c r="C63086"/>
      <c r="M63086"/>
    </row>
    <row r="63087" spans="3:13" ht="12.75" customHeight="1" x14ac:dyDescent="0.2">
      <c r="C63087"/>
      <c r="M63087"/>
    </row>
    <row r="63088" spans="3:13" ht="12.75" customHeight="1" x14ac:dyDescent="0.2">
      <c r="C63088"/>
      <c r="M63088"/>
    </row>
    <row r="63089" spans="3:13" ht="12.75" customHeight="1" x14ac:dyDescent="0.2">
      <c r="C63089"/>
      <c r="M63089"/>
    </row>
    <row r="63090" spans="3:13" ht="12.75" customHeight="1" x14ac:dyDescent="0.2">
      <c r="C63090"/>
      <c r="M63090"/>
    </row>
    <row r="63091" spans="3:13" ht="12.75" customHeight="1" x14ac:dyDescent="0.2">
      <c r="C63091"/>
      <c r="M63091"/>
    </row>
    <row r="63092" spans="3:13" ht="12.75" customHeight="1" x14ac:dyDescent="0.2">
      <c r="C63092"/>
      <c r="M63092"/>
    </row>
    <row r="63093" spans="3:13" ht="12.75" customHeight="1" x14ac:dyDescent="0.2">
      <c r="C63093"/>
      <c r="M63093"/>
    </row>
    <row r="63094" spans="3:13" ht="12.75" customHeight="1" x14ac:dyDescent="0.2">
      <c r="C63094"/>
      <c r="M63094"/>
    </row>
    <row r="63095" spans="3:13" ht="12.75" customHeight="1" x14ac:dyDescent="0.2">
      <c r="C63095"/>
      <c r="M63095"/>
    </row>
    <row r="63096" spans="3:13" ht="12.75" customHeight="1" x14ac:dyDescent="0.2">
      <c r="C63096"/>
      <c r="M63096"/>
    </row>
    <row r="63097" spans="3:13" ht="12.75" customHeight="1" x14ac:dyDescent="0.2">
      <c r="C63097"/>
      <c r="M63097"/>
    </row>
    <row r="63098" spans="3:13" ht="12.75" customHeight="1" x14ac:dyDescent="0.2">
      <c r="C63098"/>
      <c r="M63098"/>
    </row>
    <row r="63099" spans="3:13" ht="12.75" customHeight="1" x14ac:dyDescent="0.2">
      <c r="C63099"/>
      <c r="M63099"/>
    </row>
    <row r="63100" spans="3:13" ht="12.75" customHeight="1" x14ac:dyDescent="0.2">
      <c r="C63100"/>
      <c r="M63100"/>
    </row>
    <row r="63101" spans="3:13" ht="12.75" customHeight="1" x14ac:dyDescent="0.2">
      <c r="C63101"/>
      <c r="M63101"/>
    </row>
    <row r="63102" spans="3:13" ht="12.75" customHeight="1" x14ac:dyDescent="0.2">
      <c r="C63102"/>
      <c r="M63102"/>
    </row>
    <row r="63103" spans="3:13" ht="12.75" customHeight="1" x14ac:dyDescent="0.2">
      <c r="C63103"/>
      <c r="M63103"/>
    </row>
    <row r="63104" spans="3:13" ht="12.75" customHeight="1" x14ac:dyDescent="0.2">
      <c r="C63104"/>
      <c r="M63104"/>
    </row>
    <row r="63105" spans="3:13" ht="12.75" customHeight="1" x14ac:dyDescent="0.2">
      <c r="C63105"/>
      <c r="M63105"/>
    </row>
    <row r="63106" spans="3:13" ht="12.75" customHeight="1" x14ac:dyDescent="0.2">
      <c r="C63106"/>
      <c r="M63106"/>
    </row>
    <row r="63107" spans="3:13" ht="12.75" customHeight="1" x14ac:dyDescent="0.2">
      <c r="C63107"/>
      <c r="M63107"/>
    </row>
    <row r="63108" spans="3:13" ht="12.75" customHeight="1" x14ac:dyDescent="0.2">
      <c r="C63108"/>
      <c r="M63108"/>
    </row>
    <row r="63109" spans="3:13" ht="12.75" customHeight="1" x14ac:dyDescent="0.2">
      <c r="C63109"/>
      <c r="M63109"/>
    </row>
    <row r="63110" spans="3:13" ht="12.75" customHeight="1" x14ac:dyDescent="0.2">
      <c r="C63110"/>
      <c r="M63110"/>
    </row>
    <row r="63111" spans="3:13" ht="12.75" customHeight="1" x14ac:dyDescent="0.2">
      <c r="C63111"/>
      <c r="M63111"/>
    </row>
    <row r="63112" spans="3:13" ht="12.75" customHeight="1" x14ac:dyDescent="0.2">
      <c r="C63112"/>
      <c r="M63112"/>
    </row>
    <row r="63113" spans="3:13" ht="12.75" customHeight="1" x14ac:dyDescent="0.2">
      <c r="C63113"/>
      <c r="M63113"/>
    </row>
    <row r="63114" spans="3:13" ht="12.75" customHeight="1" x14ac:dyDescent="0.2">
      <c r="C63114"/>
      <c r="M63114"/>
    </row>
    <row r="63115" spans="3:13" ht="12.75" customHeight="1" x14ac:dyDescent="0.2">
      <c r="C63115"/>
      <c r="M63115"/>
    </row>
    <row r="63116" spans="3:13" ht="12.75" customHeight="1" x14ac:dyDescent="0.2">
      <c r="C63116"/>
      <c r="M63116"/>
    </row>
    <row r="63117" spans="3:13" ht="12.75" customHeight="1" x14ac:dyDescent="0.2">
      <c r="C63117"/>
      <c r="M63117"/>
    </row>
    <row r="63118" spans="3:13" ht="12.75" customHeight="1" x14ac:dyDescent="0.2">
      <c r="C63118"/>
      <c r="M63118"/>
    </row>
    <row r="63119" spans="3:13" ht="12.75" customHeight="1" x14ac:dyDescent="0.2">
      <c r="C63119"/>
      <c r="M63119"/>
    </row>
    <row r="63120" spans="3:13" ht="12.75" customHeight="1" x14ac:dyDescent="0.2">
      <c r="C63120"/>
      <c r="M63120"/>
    </row>
    <row r="63121" spans="3:13" ht="12.75" customHeight="1" x14ac:dyDescent="0.2">
      <c r="C63121"/>
      <c r="M63121"/>
    </row>
    <row r="63122" spans="3:13" ht="12.75" customHeight="1" x14ac:dyDescent="0.2">
      <c r="C63122"/>
      <c r="M63122"/>
    </row>
    <row r="63123" spans="3:13" ht="12.75" customHeight="1" x14ac:dyDescent="0.2">
      <c r="C63123"/>
      <c r="M63123"/>
    </row>
    <row r="63124" spans="3:13" ht="12.75" customHeight="1" x14ac:dyDescent="0.2">
      <c r="C63124"/>
      <c r="M63124"/>
    </row>
    <row r="63125" spans="3:13" ht="12.75" customHeight="1" x14ac:dyDescent="0.2">
      <c r="C63125"/>
      <c r="M63125"/>
    </row>
    <row r="63126" spans="3:13" ht="12.75" customHeight="1" x14ac:dyDescent="0.2">
      <c r="C63126"/>
      <c r="M63126"/>
    </row>
    <row r="63127" spans="3:13" ht="12.75" customHeight="1" x14ac:dyDescent="0.2">
      <c r="C63127"/>
      <c r="M63127"/>
    </row>
    <row r="63128" spans="3:13" ht="12.75" customHeight="1" x14ac:dyDescent="0.2">
      <c r="C63128"/>
      <c r="M63128"/>
    </row>
    <row r="63129" spans="3:13" ht="12.75" customHeight="1" x14ac:dyDescent="0.2">
      <c r="C63129"/>
      <c r="M63129"/>
    </row>
    <row r="63130" spans="3:13" ht="12.75" customHeight="1" x14ac:dyDescent="0.2">
      <c r="C63130"/>
      <c r="M63130"/>
    </row>
    <row r="63131" spans="3:13" ht="12.75" customHeight="1" x14ac:dyDescent="0.2">
      <c r="C63131"/>
      <c r="M63131"/>
    </row>
    <row r="63132" spans="3:13" ht="12.75" customHeight="1" x14ac:dyDescent="0.2">
      <c r="C63132"/>
      <c r="M63132"/>
    </row>
    <row r="63133" spans="3:13" ht="12.75" customHeight="1" x14ac:dyDescent="0.2">
      <c r="C63133"/>
      <c r="M63133"/>
    </row>
    <row r="63134" spans="3:13" ht="12.75" customHeight="1" x14ac:dyDescent="0.2">
      <c r="C63134"/>
      <c r="M63134"/>
    </row>
    <row r="63135" spans="3:13" ht="12.75" customHeight="1" x14ac:dyDescent="0.2">
      <c r="C63135"/>
      <c r="M63135"/>
    </row>
    <row r="63136" spans="3:13" ht="12.75" customHeight="1" x14ac:dyDescent="0.2">
      <c r="C63136"/>
      <c r="M63136"/>
    </row>
    <row r="63137" spans="3:13" ht="12.75" customHeight="1" x14ac:dyDescent="0.2">
      <c r="C63137"/>
      <c r="M63137"/>
    </row>
    <row r="63138" spans="3:13" ht="12.75" customHeight="1" x14ac:dyDescent="0.2">
      <c r="C63138"/>
      <c r="M63138"/>
    </row>
    <row r="63139" spans="3:13" ht="12.75" customHeight="1" x14ac:dyDescent="0.2">
      <c r="C63139"/>
      <c r="M63139"/>
    </row>
    <row r="63140" spans="3:13" ht="12.75" customHeight="1" x14ac:dyDescent="0.2">
      <c r="C63140"/>
      <c r="M63140"/>
    </row>
    <row r="63141" spans="3:13" ht="12.75" customHeight="1" x14ac:dyDescent="0.2">
      <c r="C63141"/>
      <c r="M63141"/>
    </row>
    <row r="63142" spans="3:13" ht="12.75" customHeight="1" x14ac:dyDescent="0.2">
      <c r="C63142"/>
      <c r="M63142"/>
    </row>
    <row r="63143" spans="3:13" ht="12.75" customHeight="1" x14ac:dyDescent="0.2">
      <c r="C63143"/>
      <c r="M63143"/>
    </row>
    <row r="63144" spans="3:13" ht="12.75" customHeight="1" x14ac:dyDescent="0.2">
      <c r="C63144"/>
      <c r="M63144"/>
    </row>
    <row r="63145" spans="3:13" ht="12.75" customHeight="1" x14ac:dyDescent="0.2">
      <c r="C63145"/>
      <c r="M63145"/>
    </row>
    <row r="63146" spans="3:13" ht="12.75" customHeight="1" x14ac:dyDescent="0.2">
      <c r="C63146"/>
      <c r="M63146"/>
    </row>
    <row r="63147" spans="3:13" ht="12.75" customHeight="1" x14ac:dyDescent="0.2">
      <c r="C63147"/>
      <c r="M63147"/>
    </row>
    <row r="63148" spans="3:13" ht="12.75" customHeight="1" x14ac:dyDescent="0.2">
      <c r="C63148"/>
      <c r="M63148"/>
    </row>
    <row r="63149" spans="3:13" ht="12.75" customHeight="1" x14ac:dyDescent="0.2">
      <c r="C63149"/>
      <c r="M63149"/>
    </row>
    <row r="63150" spans="3:13" ht="12.75" customHeight="1" x14ac:dyDescent="0.2">
      <c r="C63150"/>
      <c r="M63150"/>
    </row>
    <row r="63151" spans="3:13" ht="12.75" customHeight="1" x14ac:dyDescent="0.2">
      <c r="C63151"/>
      <c r="M63151"/>
    </row>
    <row r="63152" spans="3:13" ht="12.75" customHeight="1" x14ac:dyDescent="0.2">
      <c r="C63152"/>
      <c r="M63152"/>
    </row>
    <row r="63153" spans="3:13" ht="12.75" customHeight="1" x14ac:dyDescent="0.2">
      <c r="C63153"/>
      <c r="M63153"/>
    </row>
    <row r="63154" spans="3:13" ht="12.75" customHeight="1" x14ac:dyDescent="0.2">
      <c r="C63154"/>
      <c r="M63154"/>
    </row>
    <row r="63155" spans="3:13" ht="12.75" customHeight="1" x14ac:dyDescent="0.2">
      <c r="C63155"/>
      <c r="M63155"/>
    </row>
    <row r="63156" spans="3:13" ht="12.75" customHeight="1" x14ac:dyDescent="0.2">
      <c r="C63156"/>
      <c r="M63156"/>
    </row>
    <row r="63157" spans="3:13" ht="12.75" customHeight="1" x14ac:dyDescent="0.2">
      <c r="C63157"/>
      <c r="M63157"/>
    </row>
    <row r="63158" spans="3:13" ht="12.75" customHeight="1" x14ac:dyDescent="0.2">
      <c r="C63158"/>
      <c r="M63158"/>
    </row>
    <row r="63159" spans="3:13" ht="12.75" customHeight="1" x14ac:dyDescent="0.2">
      <c r="C63159"/>
      <c r="M63159"/>
    </row>
    <row r="63160" spans="3:13" ht="12.75" customHeight="1" x14ac:dyDescent="0.2">
      <c r="C63160"/>
      <c r="M63160"/>
    </row>
    <row r="63161" spans="3:13" ht="12.75" customHeight="1" x14ac:dyDescent="0.2">
      <c r="C63161"/>
      <c r="M63161"/>
    </row>
    <row r="63162" spans="3:13" ht="12.75" customHeight="1" x14ac:dyDescent="0.2">
      <c r="C63162"/>
      <c r="M63162"/>
    </row>
    <row r="63163" spans="3:13" ht="12.75" customHeight="1" x14ac:dyDescent="0.2">
      <c r="C63163"/>
      <c r="M63163"/>
    </row>
    <row r="63164" spans="3:13" ht="12.75" customHeight="1" x14ac:dyDescent="0.2">
      <c r="C63164"/>
      <c r="M63164"/>
    </row>
    <row r="63165" spans="3:13" ht="12.75" customHeight="1" x14ac:dyDescent="0.2">
      <c r="C63165"/>
      <c r="M63165"/>
    </row>
    <row r="63166" spans="3:13" ht="12.75" customHeight="1" x14ac:dyDescent="0.2">
      <c r="C63166"/>
      <c r="M63166"/>
    </row>
    <row r="63167" spans="3:13" ht="12.75" customHeight="1" x14ac:dyDescent="0.2">
      <c r="C63167"/>
      <c r="M63167"/>
    </row>
    <row r="63168" spans="3:13" ht="12.75" customHeight="1" x14ac:dyDescent="0.2">
      <c r="C63168"/>
      <c r="M63168"/>
    </row>
    <row r="63169" spans="3:13" ht="12.75" customHeight="1" x14ac:dyDescent="0.2">
      <c r="C63169"/>
      <c r="M63169"/>
    </row>
    <row r="63170" spans="3:13" ht="12.75" customHeight="1" x14ac:dyDescent="0.2">
      <c r="C63170"/>
      <c r="M63170"/>
    </row>
    <row r="63171" spans="3:13" ht="12.75" customHeight="1" x14ac:dyDescent="0.2">
      <c r="C63171"/>
      <c r="M63171"/>
    </row>
    <row r="63172" spans="3:13" ht="12.75" customHeight="1" x14ac:dyDescent="0.2">
      <c r="C63172"/>
      <c r="M63172"/>
    </row>
    <row r="63173" spans="3:13" ht="12.75" customHeight="1" x14ac:dyDescent="0.2">
      <c r="C63173"/>
      <c r="M63173"/>
    </row>
    <row r="63174" spans="3:13" ht="12.75" customHeight="1" x14ac:dyDescent="0.2">
      <c r="C63174"/>
      <c r="M63174"/>
    </row>
    <row r="63175" spans="3:13" ht="12.75" customHeight="1" x14ac:dyDescent="0.2">
      <c r="C63175"/>
      <c r="M63175"/>
    </row>
    <row r="63176" spans="3:13" ht="12.75" customHeight="1" x14ac:dyDescent="0.2">
      <c r="C63176"/>
      <c r="M63176"/>
    </row>
    <row r="63177" spans="3:13" ht="12.75" customHeight="1" x14ac:dyDescent="0.2">
      <c r="C63177"/>
      <c r="M63177"/>
    </row>
    <row r="63178" spans="3:13" ht="12.75" customHeight="1" x14ac:dyDescent="0.2">
      <c r="C63178"/>
      <c r="M63178"/>
    </row>
    <row r="63179" spans="3:13" ht="12.75" customHeight="1" x14ac:dyDescent="0.2">
      <c r="C63179"/>
      <c r="M63179"/>
    </row>
    <row r="63180" spans="3:13" ht="12.75" customHeight="1" x14ac:dyDescent="0.2">
      <c r="C63180"/>
      <c r="M63180"/>
    </row>
    <row r="63181" spans="3:13" ht="12.75" customHeight="1" x14ac:dyDescent="0.2">
      <c r="C63181"/>
      <c r="M63181"/>
    </row>
    <row r="63182" spans="3:13" ht="12.75" customHeight="1" x14ac:dyDescent="0.2">
      <c r="C63182"/>
      <c r="M63182"/>
    </row>
    <row r="63183" spans="3:13" ht="12.75" customHeight="1" x14ac:dyDescent="0.2">
      <c r="C63183"/>
      <c r="M63183"/>
    </row>
    <row r="63184" spans="3:13" ht="12.75" customHeight="1" x14ac:dyDescent="0.2">
      <c r="C63184"/>
      <c r="M63184"/>
    </row>
    <row r="63185" spans="3:13" ht="12.75" customHeight="1" x14ac:dyDescent="0.2">
      <c r="C63185"/>
      <c r="M63185"/>
    </row>
    <row r="63186" spans="3:13" ht="12.75" customHeight="1" x14ac:dyDescent="0.2">
      <c r="C63186"/>
      <c r="M63186"/>
    </row>
    <row r="63187" spans="3:13" ht="12.75" customHeight="1" x14ac:dyDescent="0.2">
      <c r="C63187"/>
      <c r="M63187"/>
    </row>
    <row r="63188" spans="3:13" ht="12.75" customHeight="1" x14ac:dyDescent="0.2">
      <c r="C63188"/>
      <c r="M63188"/>
    </row>
    <row r="63189" spans="3:13" ht="12.75" customHeight="1" x14ac:dyDescent="0.2">
      <c r="C63189"/>
      <c r="M63189"/>
    </row>
    <row r="63190" spans="3:13" ht="12.75" customHeight="1" x14ac:dyDescent="0.2">
      <c r="C63190"/>
      <c r="M63190"/>
    </row>
    <row r="63191" spans="3:13" ht="12.75" customHeight="1" x14ac:dyDescent="0.2">
      <c r="C63191"/>
      <c r="M63191"/>
    </row>
    <row r="63192" spans="3:13" ht="12.75" customHeight="1" x14ac:dyDescent="0.2">
      <c r="C63192"/>
      <c r="M63192"/>
    </row>
    <row r="63193" spans="3:13" ht="12.75" customHeight="1" x14ac:dyDescent="0.2">
      <c r="C63193"/>
      <c r="M63193"/>
    </row>
    <row r="63194" spans="3:13" ht="12.75" customHeight="1" x14ac:dyDescent="0.2">
      <c r="C63194"/>
      <c r="M63194"/>
    </row>
    <row r="63195" spans="3:13" ht="12.75" customHeight="1" x14ac:dyDescent="0.2">
      <c r="C63195"/>
      <c r="M63195"/>
    </row>
    <row r="63196" spans="3:13" ht="12.75" customHeight="1" x14ac:dyDescent="0.2">
      <c r="C63196"/>
      <c r="M63196"/>
    </row>
    <row r="63197" spans="3:13" ht="12.75" customHeight="1" x14ac:dyDescent="0.2">
      <c r="C63197"/>
      <c r="M63197"/>
    </row>
    <row r="63198" spans="3:13" ht="12.75" customHeight="1" x14ac:dyDescent="0.2">
      <c r="C63198"/>
      <c r="M63198"/>
    </row>
    <row r="63199" spans="3:13" ht="12.75" customHeight="1" x14ac:dyDescent="0.2">
      <c r="C63199"/>
      <c r="M63199"/>
    </row>
    <row r="63200" spans="3:13" ht="12.75" customHeight="1" x14ac:dyDescent="0.2">
      <c r="C63200"/>
      <c r="M63200"/>
    </row>
    <row r="63201" spans="3:13" ht="12.75" customHeight="1" x14ac:dyDescent="0.2">
      <c r="C63201"/>
      <c r="M63201"/>
    </row>
    <row r="63202" spans="3:13" ht="12.75" customHeight="1" x14ac:dyDescent="0.2">
      <c r="C63202"/>
      <c r="M63202"/>
    </row>
    <row r="63203" spans="3:13" ht="12.75" customHeight="1" x14ac:dyDescent="0.2">
      <c r="C63203"/>
      <c r="M63203"/>
    </row>
    <row r="63204" spans="3:13" ht="12.75" customHeight="1" x14ac:dyDescent="0.2">
      <c r="C63204"/>
      <c r="M63204"/>
    </row>
    <row r="63205" spans="3:13" ht="12.75" customHeight="1" x14ac:dyDescent="0.2">
      <c r="C63205"/>
      <c r="M63205"/>
    </row>
    <row r="63206" spans="3:13" ht="12.75" customHeight="1" x14ac:dyDescent="0.2">
      <c r="C63206"/>
      <c r="M63206"/>
    </row>
    <row r="63207" spans="3:13" ht="12.75" customHeight="1" x14ac:dyDescent="0.2">
      <c r="C63207"/>
      <c r="M63207"/>
    </row>
    <row r="63208" spans="3:13" ht="12.75" customHeight="1" x14ac:dyDescent="0.2">
      <c r="C63208"/>
      <c r="M63208"/>
    </row>
    <row r="63209" spans="3:13" ht="12.75" customHeight="1" x14ac:dyDescent="0.2">
      <c r="C63209"/>
      <c r="M63209"/>
    </row>
    <row r="63210" spans="3:13" ht="12.75" customHeight="1" x14ac:dyDescent="0.2">
      <c r="C63210"/>
      <c r="M63210"/>
    </row>
    <row r="63211" spans="3:13" ht="12.75" customHeight="1" x14ac:dyDescent="0.2">
      <c r="C63211"/>
      <c r="M63211"/>
    </row>
    <row r="63212" spans="3:13" ht="12.75" customHeight="1" x14ac:dyDescent="0.2">
      <c r="C63212"/>
      <c r="M63212"/>
    </row>
    <row r="63213" spans="3:13" ht="12.75" customHeight="1" x14ac:dyDescent="0.2">
      <c r="C63213"/>
      <c r="M63213"/>
    </row>
    <row r="63214" spans="3:13" ht="12.75" customHeight="1" x14ac:dyDescent="0.2">
      <c r="C63214"/>
      <c r="M63214"/>
    </row>
    <row r="63215" spans="3:13" ht="12.75" customHeight="1" x14ac:dyDescent="0.2">
      <c r="C63215"/>
      <c r="M63215"/>
    </row>
    <row r="63216" spans="3:13" ht="12.75" customHeight="1" x14ac:dyDescent="0.2">
      <c r="C63216"/>
      <c r="M63216"/>
    </row>
    <row r="63217" spans="3:13" ht="12.75" customHeight="1" x14ac:dyDescent="0.2">
      <c r="C63217"/>
      <c r="M63217"/>
    </row>
    <row r="63218" spans="3:13" ht="12.75" customHeight="1" x14ac:dyDescent="0.2">
      <c r="C63218"/>
      <c r="M63218"/>
    </row>
    <row r="63219" spans="3:13" ht="12.75" customHeight="1" x14ac:dyDescent="0.2">
      <c r="C63219"/>
      <c r="M63219"/>
    </row>
    <row r="63220" spans="3:13" ht="12.75" customHeight="1" x14ac:dyDescent="0.2">
      <c r="C63220"/>
      <c r="M63220"/>
    </row>
    <row r="63221" spans="3:13" ht="12.75" customHeight="1" x14ac:dyDescent="0.2">
      <c r="C63221"/>
      <c r="M63221"/>
    </row>
    <row r="63222" spans="3:13" ht="12.75" customHeight="1" x14ac:dyDescent="0.2">
      <c r="C63222"/>
      <c r="M63222"/>
    </row>
    <row r="63223" spans="3:13" ht="12.75" customHeight="1" x14ac:dyDescent="0.2">
      <c r="C63223"/>
      <c r="M63223"/>
    </row>
    <row r="63224" spans="3:13" ht="12.75" customHeight="1" x14ac:dyDescent="0.2">
      <c r="C63224"/>
      <c r="M63224"/>
    </row>
    <row r="63225" spans="3:13" ht="12.75" customHeight="1" x14ac:dyDescent="0.2">
      <c r="C63225"/>
      <c r="M63225"/>
    </row>
    <row r="63226" spans="3:13" ht="12.75" customHeight="1" x14ac:dyDescent="0.2">
      <c r="C63226"/>
      <c r="M63226"/>
    </row>
    <row r="63227" spans="3:13" ht="12.75" customHeight="1" x14ac:dyDescent="0.2">
      <c r="C63227"/>
      <c r="M63227"/>
    </row>
    <row r="63228" spans="3:13" ht="12.75" customHeight="1" x14ac:dyDescent="0.2">
      <c r="C63228"/>
      <c r="M63228"/>
    </row>
    <row r="63229" spans="3:13" ht="12.75" customHeight="1" x14ac:dyDescent="0.2">
      <c r="C63229"/>
      <c r="M63229"/>
    </row>
    <row r="63230" spans="3:13" ht="12.75" customHeight="1" x14ac:dyDescent="0.2">
      <c r="C63230"/>
      <c r="M63230"/>
    </row>
    <row r="63231" spans="3:13" ht="12.75" customHeight="1" x14ac:dyDescent="0.2">
      <c r="C63231"/>
      <c r="M63231"/>
    </row>
    <row r="63232" spans="3:13" ht="12.75" customHeight="1" x14ac:dyDescent="0.2">
      <c r="C63232"/>
      <c r="M63232"/>
    </row>
    <row r="63233" spans="3:13" ht="12.75" customHeight="1" x14ac:dyDescent="0.2">
      <c r="C63233"/>
      <c r="M63233"/>
    </row>
    <row r="63234" spans="3:13" ht="12.75" customHeight="1" x14ac:dyDescent="0.2">
      <c r="C63234"/>
      <c r="M63234"/>
    </row>
    <row r="63235" spans="3:13" ht="12.75" customHeight="1" x14ac:dyDescent="0.2">
      <c r="C63235"/>
      <c r="M63235"/>
    </row>
    <row r="63236" spans="3:13" ht="12.75" customHeight="1" x14ac:dyDescent="0.2">
      <c r="C63236"/>
      <c r="M63236"/>
    </row>
    <row r="63237" spans="3:13" ht="12.75" customHeight="1" x14ac:dyDescent="0.2">
      <c r="C63237"/>
      <c r="M63237"/>
    </row>
    <row r="63238" spans="3:13" ht="12.75" customHeight="1" x14ac:dyDescent="0.2">
      <c r="C63238"/>
      <c r="M63238"/>
    </row>
    <row r="63239" spans="3:13" ht="12.75" customHeight="1" x14ac:dyDescent="0.2">
      <c r="C63239"/>
      <c r="M63239"/>
    </row>
    <row r="63240" spans="3:13" ht="12.75" customHeight="1" x14ac:dyDescent="0.2">
      <c r="C63240"/>
      <c r="M63240"/>
    </row>
    <row r="63241" spans="3:13" ht="12.75" customHeight="1" x14ac:dyDescent="0.2">
      <c r="C63241"/>
      <c r="M63241"/>
    </row>
    <row r="63242" spans="3:13" ht="12.75" customHeight="1" x14ac:dyDescent="0.2">
      <c r="C63242"/>
      <c r="M63242"/>
    </row>
    <row r="63243" spans="3:13" ht="12.75" customHeight="1" x14ac:dyDescent="0.2">
      <c r="C63243"/>
      <c r="M63243"/>
    </row>
    <row r="63244" spans="3:13" ht="12.75" customHeight="1" x14ac:dyDescent="0.2">
      <c r="C63244"/>
      <c r="M63244"/>
    </row>
    <row r="63245" spans="3:13" ht="12.75" customHeight="1" x14ac:dyDescent="0.2">
      <c r="C63245"/>
      <c r="M63245"/>
    </row>
    <row r="63246" spans="3:13" ht="12.75" customHeight="1" x14ac:dyDescent="0.2">
      <c r="C63246"/>
      <c r="M63246"/>
    </row>
    <row r="63247" spans="3:13" ht="12.75" customHeight="1" x14ac:dyDescent="0.2">
      <c r="C63247"/>
      <c r="M63247"/>
    </row>
    <row r="63248" spans="3:13" ht="12.75" customHeight="1" x14ac:dyDescent="0.2">
      <c r="C63248"/>
      <c r="M63248"/>
    </row>
    <row r="63249" spans="3:13" ht="12.75" customHeight="1" x14ac:dyDescent="0.2">
      <c r="C63249"/>
      <c r="M63249"/>
    </row>
    <row r="63250" spans="3:13" ht="12.75" customHeight="1" x14ac:dyDescent="0.2">
      <c r="C63250"/>
      <c r="M63250"/>
    </row>
    <row r="63251" spans="3:13" ht="12.75" customHeight="1" x14ac:dyDescent="0.2">
      <c r="C63251"/>
      <c r="M63251"/>
    </row>
    <row r="63252" spans="3:13" ht="12.75" customHeight="1" x14ac:dyDescent="0.2">
      <c r="C63252"/>
      <c r="M63252"/>
    </row>
    <row r="63253" spans="3:13" ht="12.75" customHeight="1" x14ac:dyDescent="0.2">
      <c r="C63253"/>
      <c r="M63253"/>
    </row>
    <row r="63254" spans="3:13" ht="12.75" customHeight="1" x14ac:dyDescent="0.2">
      <c r="C63254"/>
      <c r="M63254"/>
    </row>
    <row r="63255" spans="3:13" ht="12.75" customHeight="1" x14ac:dyDescent="0.2">
      <c r="C63255"/>
      <c r="M63255"/>
    </row>
    <row r="63256" spans="3:13" ht="12.75" customHeight="1" x14ac:dyDescent="0.2">
      <c r="C63256"/>
      <c r="M63256"/>
    </row>
    <row r="63257" spans="3:13" ht="12.75" customHeight="1" x14ac:dyDescent="0.2">
      <c r="C63257"/>
      <c r="M63257"/>
    </row>
    <row r="63258" spans="3:13" ht="12.75" customHeight="1" x14ac:dyDescent="0.2">
      <c r="C63258"/>
      <c r="M63258"/>
    </row>
    <row r="63259" spans="3:13" ht="12.75" customHeight="1" x14ac:dyDescent="0.2">
      <c r="C63259"/>
      <c r="M63259"/>
    </row>
    <row r="63260" spans="3:13" ht="12.75" customHeight="1" x14ac:dyDescent="0.2">
      <c r="C63260"/>
      <c r="M63260"/>
    </row>
    <row r="63261" spans="3:13" ht="12.75" customHeight="1" x14ac:dyDescent="0.2">
      <c r="C63261"/>
      <c r="M63261"/>
    </row>
    <row r="63262" spans="3:13" ht="12.75" customHeight="1" x14ac:dyDescent="0.2">
      <c r="C63262"/>
      <c r="M63262"/>
    </row>
    <row r="63263" spans="3:13" ht="12.75" customHeight="1" x14ac:dyDescent="0.2">
      <c r="C63263"/>
      <c r="M63263"/>
    </row>
    <row r="63264" spans="3:13" ht="12.75" customHeight="1" x14ac:dyDescent="0.2">
      <c r="C63264"/>
      <c r="M63264"/>
    </row>
    <row r="63265" spans="3:13" ht="12.75" customHeight="1" x14ac:dyDescent="0.2">
      <c r="C63265"/>
      <c r="M63265"/>
    </row>
    <row r="63266" spans="3:13" ht="12.75" customHeight="1" x14ac:dyDescent="0.2">
      <c r="C63266"/>
      <c r="M63266"/>
    </row>
    <row r="63267" spans="3:13" ht="12.75" customHeight="1" x14ac:dyDescent="0.2">
      <c r="C63267"/>
      <c r="M63267"/>
    </row>
    <row r="63268" spans="3:13" ht="12.75" customHeight="1" x14ac:dyDescent="0.2">
      <c r="C63268"/>
      <c r="M63268"/>
    </row>
    <row r="63269" spans="3:13" ht="12.75" customHeight="1" x14ac:dyDescent="0.2">
      <c r="C63269"/>
      <c r="M63269"/>
    </row>
    <row r="63270" spans="3:13" ht="12.75" customHeight="1" x14ac:dyDescent="0.2">
      <c r="C63270"/>
      <c r="M63270"/>
    </row>
    <row r="63271" spans="3:13" ht="12.75" customHeight="1" x14ac:dyDescent="0.2">
      <c r="C63271"/>
      <c r="M63271"/>
    </row>
    <row r="63272" spans="3:13" ht="12.75" customHeight="1" x14ac:dyDescent="0.2">
      <c r="C63272"/>
      <c r="M63272"/>
    </row>
    <row r="63273" spans="3:13" ht="12.75" customHeight="1" x14ac:dyDescent="0.2">
      <c r="C63273"/>
      <c r="M63273"/>
    </row>
    <row r="63274" spans="3:13" ht="12.75" customHeight="1" x14ac:dyDescent="0.2">
      <c r="C63274"/>
      <c r="M63274"/>
    </row>
    <row r="63275" spans="3:13" ht="12.75" customHeight="1" x14ac:dyDescent="0.2">
      <c r="C63275"/>
      <c r="M63275"/>
    </row>
    <row r="63276" spans="3:13" ht="12.75" customHeight="1" x14ac:dyDescent="0.2">
      <c r="C63276"/>
      <c r="M63276"/>
    </row>
    <row r="63277" spans="3:13" ht="12.75" customHeight="1" x14ac:dyDescent="0.2">
      <c r="C63277"/>
      <c r="M63277"/>
    </row>
    <row r="63278" spans="3:13" ht="12.75" customHeight="1" x14ac:dyDescent="0.2">
      <c r="C63278"/>
      <c r="M63278"/>
    </row>
    <row r="63279" spans="3:13" ht="12.75" customHeight="1" x14ac:dyDescent="0.2">
      <c r="C63279"/>
      <c r="M63279"/>
    </row>
    <row r="63280" spans="3:13" ht="12.75" customHeight="1" x14ac:dyDescent="0.2">
      <c r="C63280"/>
      <c r="M63280"/>
    </row>
    <row r="63281" spans="3:13" ht="12.75" customHeight="1" x14ac:dyDescent="0.2">
      <c r="C63281"/>
      <c r="M63281"/>
    </row>
    <row r="63282" spans="3:13" ht="12.75" customHeight="1" x14ac:dyDescent="0.2">
      <c r="C63282"/>
      <c r="M63282"/>
    </row>
    <row r="63283" spans="3:13" ht="12.75" customHeight="1" x14ac:dyDescent="0.2">
      <c r="C63283"/>
      <c r="M63283"/>
    </row>
    <row r="63284" spans="3:13" ht="12.75" customHeight="1" x14ac:dyDescent="0.2">
      <c r="C63284"/>
      <c r="M63284"/>
    </row>
    <row r="63285" spans="3:13" ht="12.75" customHeight="1" x14ac:dyDescent="0.2">
      <c r="C63285"/>
      <c r="M63285"/>
    </row>
    <row r="63286" spans="3:13" ht="12.75" customHeight="1" x14ac:dyDescent="0.2">
      <c r="C63286"/>
      <c r="M63286"/>
    </row>
    <row r="63287" spans="3:13" ht="12.75" customHeight="1" x14ac:dyDescent="0.2">
      <c r="C63287"/>
      <c r="M63287"/>
    </row>
    <row r="63288" spans="3:13" ht="12.75" customHeight="1" x14ac:dyDescent="0.2">
      <c r="C63288"/>
      <c r="M63288"/>
    </row>
    <row r="63289" spans="3:13" ht="12.75" customHeight="1" x14ac:dyDescent="0.2">
      <c r="C63289"/>
      <c r="M63289"/>
    </row>
    <row r="63290" spans="3:13" ht="12.75" customHeight="1" x14ac:dyDescent="0.2">
      <c r="C63290"/>
      <c r="M63290"/>
    </row>
    <row r="63291" spans="3:13" ht="12.75" customHeight="1" x14ac:dyDescent="0.2">
      <c r="C63291"/>
      <c r="M63291"/>
    </row>
    <row r="63292" spans="3:13" ht="12.75" customHeight="1" x14ac:dyDescent="0.2">
      <c r="C63292"/>
      <c r="M63292"/>
    </row>
    <row r="63293" spans="3:13" ht="12.75" customHeight="1" x14ac:dyDescent="0.2">
      <c r="C63293"/>
      <c r="M63293"/>
    </row>
    <row r="63294" spans="3:13" ht="12.75" customHeight="1" x14ac:dyDescent="0.2">
      <c r="C63294"/>
      <c r="M63294"/>
    </row>
    <row r="63295" spans="3:13" ht="12.75" customHeight="1" x14ac:dyDescent="0.2">
      <c r="C63295"/>
      <c r="M63295"/>
    </row>
    <row r="63296" spans="3:13" ht="12.75" customHeight="1" x14ac:dyDescent="0.2">
      <c r="C63296"/>
      <c r="M63296"/>
    </row>
    <row r="63297" spans="3:13" ht="12.75" customHeight="1" x14ac:dyDescent="0.2">
      <c r="C63297"/>
      <c r="M63297"/>
    </row>
    <row r="63298" spans="3:13" ht="12.75" customHeight="1" x14ac:dyDescent="0.2">
      <c r="C63298"/>
      <c r="M63298"/>
    </row>
    <row r="63299" spans="3:13" ht="12.75" customHeight="1" x14ac:dyDescent="0.2">
      <c r="C63299"/>
      <c r="M63299"/>
    </row>
    <row r="63300" spans="3:13" ht="12.75" customHeight="1" x14ac:dyDescent="0.2">
      <c r="C63300"/>
      <c r="M63300"/>
    </row>
    <row r="63301" spans="3:13" ht="12.75" customHeight="1" x14ac:dyDescent="0.2">
      <c r="C63301"/>
      <c r="M63301"/>
    </row>
    <row r="63302" spans="3:13" ht="12.75" customHeight="1" x14ac:dyDescent="0.2">
      <c r="C63302"/>
      <c r="M63302"/>
    </row>
    <row r="63303" spans="3:13" ht="12.75" customHeight="1" x14ac:dyDescent="0.2">
      <c r="C63303"/>
      <c r="M63303"/>
    </row>
    <row r="63304" spans="3:13" ht="12.75" customHeight="1" x14ac:dyDescent="0.2">
      <c r="C63304"/>
      <c r="M63304"/>
    </row>
    <row r="63305" spans="3:13" ht="12.75" customHeight="1" x14ac:dyDescent="0.2">
      <c r="C63305"/>
      <c r="M63305"/>
    </row>
    <row r="63306" spans="3:13" ht="12.75" customHeight="1" x14ac:dyDescent="0.2">
      <c r="C63306"/>
      <c r="M63306"/>
    </row>
    <row r="63307" spans="3:13" ht="12.75" customHeight="1" x14ac:dyDescent="0.2">
      <c r="C63307"/>
      <c r="M63307"/>
    </row>
    <row r="63308" spans="3:13" ht="12.75" customHeight="1" x14ac:dyDescent="0.2">
      <c r="C63308"/>
      <c r="M63308"/>
    </row>
    <row r="63309" spans="3:13" ht="12.75" customHeight="1" x14ac:dyDescent="0.2">
      <c r="C63309"/>
      <c r="M63309"/>
    </row>
    <row r="63310" spans="3:13" ht="12.75" customHeight="1" x14ac:dyDescent="0.2">
      <c r="C63310"/>
      <c r="M63310"/>
    </row>
    <row r="63311" spans="3:13" ht="12.75" customHeight="1" x14ac:dyDescent="0.2">
      <c r="C63311"/>
      <c r="M63311"/>
    </row>
    <row r="63312" spans="3:13" ht="12.75" customHeight="1" x14ac:dyDescent="0.2">
      <c r="C63312"/>
      <c r="M63312"/>
    </row>
    <row r="63313" spans="3:13" ht="12.75" customHeight="1" x14ac:dyDescent="0.2">
      <c r="C63313"/>
      <c r="M63313"/>
    </row>
    <row r="63314" spans="3:13" ht="12.75" customHeight="1" x14ac:dyDescent="0.2">
      <c r="C63314"/>
      <c r="M63314"/>
    </row>
    <row r="63315" spans="3:13" ht="12.75" customHeight="1" x14ac:dyDescent="0.2">
      <c r="C63315"/>
      <c r="M63315"/>
    </row>
    <row r="63316" spans="3:13" ht="12.75" customHeight="1" x14ac:dyDescent="0.2">
      <c r="C63316"/>
      <c r="M63316"/>
    </row>
    <row r="63317" spans="3:13" ht="12.75" customHeight="1" x14ac:dyDescent="0.2">
      <c r="C63317"/>
      <c r="M63317"/>
    </row>
    <row r="63318" spans="3:13" ht="12.75" customHeight="1" x14ac:dyDescent="0.2">
      <c r="C63318"/>
      <c r="M63318"/>
    </row>
    <row r="63319" spans="3:13" ht="12.75" customHeight="1" x14ac:dyDescent="0.2">
      <c r="C63319"/>
      <c r="M63319"/>
    </row>
    <row r="63320" spans="3:13" ht="12.75" customHeight="1" x14ac:dyDescent="0.2">
      <c r="C63320"/>
      <c r="M63320"/>
    </row>
    <row r="63321" spans="3:13" ht="12.75" customHeight="1" x14ac:dyDescent="0.2">
      <c r="C63321"/>
      <c r="M63321"/>
    </row>
    <row r="63322" spans="3:13" ht="12.75" customHeight="1" x14ac:dyDescent="0.2">
      <c r="C63322"/>
      <c r="M63322"/>
    </row>
    <row r="63323" spans="3:13" ht="12.75" customHeight="1" x14ac:dyDescent="0.2">
      <c r="C63323"/>
      <c r="M63323"/>
    </row>
    <row r="63324" spans="3:13" ht="12.75" customHeight="1" x14ac:dyDescent="0.2">
      <c r="C63324"/>
      <c r="M63324"/>
    </row>
    <row r="63325" spans="3:13" ht="12.75" customHeight="1" x14ac:dyDescent="0.2">
      <c r="C63325"/>
      <c r="M63325"/>
    </row>
    <row r="63326" spans="3:13" ht="12.75" customHeight="1" x14ac:dyDescent="0.2">
      <c r="C63326"/>
      <c r="M63326"/>
    </row>
    <row r="63327" spans="3:13" ht="12.75" customHeight="1" x14ac:dyDescent="0.2">
      <c r="C63327"/>
      <c r="M63327"/>
    </row>
    <row r="63328" spans="3:13" ht="12.75" customHeight="1" x14ac:dyDescent="0.2">
      <c r="C63328"/>
      <c r="M63328"/>
    </row>
    <row r="63329" spans="3:13" ht="12.75" customHeight="1" x14ac:dyDescent="0.2">
      <c r="C63329"/>
      <c r="M63329"/>
    </row>
    <row r="63330" spans="3:13" ht="12.75" customHeight="1" x14ac:dyDescent="0.2">
      <c r="C63330"/>
      <c r="M63330"/>
    </row>
    <row r="63331" spans="3:13" ht="12.75" customHeight="1" x14ac:dyDescent="0.2">
      <c r="C63331"/>
      <c r="M63331"/>
    </row>
    <row r="63332" spans="3:13" ht="12.75" customHeight="1" x14ac:dyDescent="0.2">
      <c r="C63332"/>
      <c r="M63332"/>
    </row>
    <row r="63333" spans="3:13" ht="12.75" customHeight="1" x14ac:dyDescent="0.2">
      <c r="C63333"/>
      <c r="M63333"/>
    </row>
    <row r="63334" spans="3:13" ht="12.75" customHeight="1" x14ac:dyDescent="0.2">
      <c r="C63334"/>
      <c r="M63334"/>
    </row>
    <row r="63335" spans="3:13" ht="12.75" customHeight="1" x14ac:dyDescent="0.2">
      <c r="C63335"/>
      <c r="M63335"/>
    </row>
    <row r="63336" spans="3:13" ht="12.75" customHeight="1" x14ac:dyDescent="0.2">
      <c r="C63336"/>
      <c r="M63336"/>
    </row>
    <row r="63337" spans="3:13" ht="12.75" customHeight="1" x14ac:dyDescent="0.2">
      <c r="C63337"/>
      <c r="M63337"/>
    </row>
    <row r="63338" spans="3:13" ht="12.75" customHeight="1" x14ac:dyDescent="0.2">
      <c r="C63338"/>
      <c r="M63338"/>
    </row>
    <row r="63339" spans="3:13" ht="12.75" customHeight="1" x14ac:dyDescent="0.2">
      <c r="C63339"/>
      <c r="M63339"/>
    </row>
    <row r="63340" spans="3:13" ht="12.75" customHeight="1" x14ac:dyDescent="0.2">
      <c r="C63340"/>
      <c r="M63340"/>
    </row>
    <row r="63341" spans="3:13" ht="12.75" customHeight="1" x14ac:dyDescent="0.2">
      <c r="C63341"/>
      <c r="M63341"/>
    </row>
    <row r="63342" spans="3:13" ht="12.75" customHeight="1" x14ac:dyDescent="0.2">
      <c r="C63342"/>
      <c r="M63342"/>
    </row>
    <row r="63343" spans="3:13" ht="12.75" customHeight="1" x14ac:dyDescent="0.2">
      <c r="C63343"/>
      <c r="M63343"/>
    </row>
    <row r="63344" spans="3:13" ht="12.75" customHeight="1" x14ac:dyDescent="0.2">
      <c r="C63344"/>
      <c r="M63344"/>
    </row>
    <row r="63345" spans="3:13" ht="12.75" customHeight="1" x14ac:dyDescent="0.2">
      <c r="C63345"/>
      <c r="M63345"/>
    </row>
    <row r="63346" spans="3:13" ht="12.75" customHeight="1" x14ac:dyDescent="0.2">
      <c r="C63346"/>
      <c r="M63346"/>
    </row>
    <row r="63347" spans="3:13" ht="12.75" customHeight="1" x14ac:dyDescent="0.2">
      <c r="C63347"/>
      <c r="M63347"/>
    </row>
    <row r="63348" spans="3:13" ht="12.75" customHeight="1" x14ac:dyDescent="0.2">
      <c r="C63348"/>
      <c r="M63348"/>
    </row>
    <row r="63349" spans="3:13" ht="12.75" customHeight="1" x14ac:dyDescent="0.2">
      <c r="C63349"/>
      <c r="M63349"/>
    </row>
    <row r="63350" spans="3:13" ht="12.75" customHeight="1" x14ac:dyDescent="0.2">
      <c r="C63350"/>
      <c r="M63350"/>
    </row>
    <row r="63351" spans="3:13" ht="12.75" customHeight="1" x14ac:dyDescent="0.2">
      <c r="C63351"/>
      <c r="M63351"/>
    </row>
    <row r="63352" spans="3:13" ht="12.75" customHeight="1" x14ac:dyDescent="0.2">
      <c r="C63352"/>
      <c r="M63352"/>
    </row>
    <row r="63353" spans="3:13" ht="12.75" customHeight="1" x14ac:dyDescent="0.2">
      <c r="C63353"/>
      <c r="M63353"/>
    </row>
    <row r="63354" spans="3:13" ht="12.75" customHeight="1" x14ac:dyDescent="0.2">
      <c r="C63354"/>
      <c r="M63354"/>
    </row>
    <row r="63355" spans="3:13" ht="12.75" customHeight="1" x14ac:dyDescent="0.2">
      <c r="C63355"/>
      <c r="M63355"/>
    </row>
    <row r="63356" spans="3:13" ht="12.75" customHeight="1" x14ac:dyDescent="0.2">
      <c r="C63356"/>
      <c r="M63356"/>
    </row>
    <row r="63357" spans="3:13" ht="12.75" customHeight="1" x14ac:dyDescent="0.2">
      <c r="C63357"/>
      <c r="M63357"/>
    </row>
    <row r="63358" spans="3:13" ht="12.75" customHeight="1" x14ac:dyDescent="0.2">
      <c r="C63358"/>
      <c r="M63358"/>
    </row>
    <row r="63359" spans="3:13" ht="12.75" customHeight="1" x14ac:dyDescent="0.2">
      <c r="C63359"/>
      <c r="M63359"/>
    </row>
    <row r="63360" spans="3:13" ht="12.75" customHeight="1" x14ac:dyDescent="0.2">
      <c r="C63360"/>
      <c r="M63360"/>
    </row>
    <row r="63361" spans="3:13" ht="12.75" customHeight="1" x14ac:dyDescent="0.2">
      <c r="C63361"/>
      <c r="M63361"/>
    </row>
    <row r="63362" spans="3:13" ht="12.75" customHeight="1" x14ac:dyDescent="0.2">
      <c r="C63362"/>
      <c r="M63362"/>
    </row>
    <row r="63363" spans="3:13" ht="12.75" customHeight="1" x14ac:dyDescent="0.2">
      <c r="C63363"/>
      <c r="M63363"/>
    </row>
    <row r="63364" spans="3:13" ht="12.75" customHeight="1" x14ac:dyDescent="0.2">
      <c r="C63364"/>
      <c r="M63364"/>
    </row>
    <row r="63365" spans="3:13" ht="12.75" customHeight="1" x14ac:dyDescent="0.2">
      <c r="C63365"/>
      <c r="M63365"/>
    </row>
    <row r="63366" spans="3:13" ht="12.75" customHeight="1" x14ac:dyDescent="0.2">
      <c r="C63366"/>
      <c r="M63366"/>
    </row>
    <row r="63367" spans="3:13" ht="12.75" customHeight="1" x14ac:dyDescent="0.2">
      <c r="C63367"/>
      <c r="M63367"/>
    </row>
    <row r="63368" spans="3:13" ht="12.75" customHeight="1" x14ac:dyDescent="0.2">
      <c r="C63368"/>
      <c r="M63368"/>
    </row>
    <row r="63369" spans="3:13" ht="12.75" customHeight="1" x14ac:dyDescent="0.2">
      <c r="C63369"/>
      <c r="M63369"/>
    </row>
    <row r="63370" spans="3:13" ht="12.75" customHeight="1" x14ac:dyDescent="0.2">
      <c r="C63370"/>
      <c r="M63370"/>
    </row>
    <row r="63371" spans="3:13" ht="12.75" customHeight="1" x14ac:dyDescent="0.2">
      <c r="C63371"/>
      <c r="M63371"/>
    </row>
    <row r="63372" spans="3:13" ht="12.75" customHeight="1" x14ac:dyDescent="0.2">
      <c r="C63372"/>
      <c r="M63372"/>
    </row>
    <row r="63373" spans="3:13" ht="12.75" customHeight="1" x14ac:dyDescent="0.2">
      <c r="C63373"/>
      <c r="M63373"/>
    </row>
    <row r="63374" spans="3:13" ht="12.75" customHeight="1" x14ac:dyDescent="0.2">
      <c r="C63374"/>
      <c r="M63374"/>
    </row>
    <row r="63375" spans="3:13" ht="12.75" customHeight="1" x14ac:dyDescent="0.2">
      <c r="C63375"/>
      <c r="M63375"/>
    </row>
    <row r="63376" spans="3:13" ht="12.75" customHeight="1" x14ac:dyDescent="0.2">
      <c r="C63376"/>
      <c r="M63376"/>
    </row>
    <row r="63377" spans="3:13" ht="12.75" customHeight="1" x14ac:dyDescent="0.2">
      <c r="C63377"/>
      <c r="M63377"/>
    </row>
    <row r="63378" spans="3:13" ht="12.75" customHeight="1" x14ac:dyDescent="0.2">
      <c r="C63378"/>
      <c r="M63378"/>
    </row>
    <row r="63379" spans="3:13" ht="12.75" customHeight="1" x14ac:dyDescent="0.2">
      <c r="C63379"/>
      <c r="M63379"/>
    </row>
    <row r="63380" spans="3:13" ht="12.75" customHeight="1" x14ac:dyDescent="0.2">
      <c r="C63380"/>
      <c r="M63380"/>
    </row>
    <row r="63381" spans="3:13" ht="12.75" customHeight="1" x14ac:dyDescent="0.2">
      <c r="C63381"/>
      <c r="M63381"/>
    </row>
    <row r="63382" spans="3:13" ht="12.75" customHeight="1" x14ac:dyDescent="0.2">
      <c r="C63382"/>
      <c r="M63382"/>
    </row>
    <row r="63383" spans="3:13" ht="12.75" customHeight="1" x14ac:dyDescent="0.2">
      <c r="C63383"/>
      <c r="M63383"/>
    </row>
    <row r="63384" spans="3:13" ht="12.75" customHeight="1" x14ac:dyDescent="0.2">
      <c r="C63384"/>
      <c r="M63384"/>
    </row>
    <row r="63385" spans="3:13" ht="12.75" customHeight="1" x14ac:dyDescent="0.2">
      <c r="C63385"/>
      <c r="M63385"/>
    </row>
    <row r="63386" spans="3:13" ht="12.75" customHeight="1" x14ac:dyDescent="0.2">
      <c r="C63386"/>
      <c r="M63386"/>
    </row>
    <row r="63387" spans="3:13" ht="12.75" customHeight="1" x14ac:dyDescent="0.2">
      <c r="C63387"/>
      <c r="M63387"/>
    </row>
    <row r="63388" spans="3:13" ht="12.75" customHeight="1" x14ac:dyDescent="0.2">
      <c r="C63388"/>
      <c r="M63388"/>
    </row>
    <row r="63389" spans="3:13" ht="12.75" customHeight="1" x14ac:dyDescent="0.2">
      <c r="C63389"/>
      <c r="M63389"/>
    </row>
    <row r="63390" spans="3:13" ht="12.75" customHeight="1" x14ac:dyDescent="0.2">
      <c r="C63390"/>
      <c r="M63390"/>
    </row>
    <row r="63391" spans="3:13" ht="12.75" customHeight="1" x14ac:dyDescent="0.2">
      <c r="C63391"/>
      <c r="M63391"/>
    </row>
    <row r="63392" spans="3:13" ht="12.75" customHeight="1" x14ac:dyDescent="0.2">
      <c r="C63392"/>
      <c r="M63392"/>
    </row>
    <row r="63393" spans="3:13" ht="12.75" customHeight="1" x14ac:dyDescent="0.2">
      <c r="C63393"/>
      <c r="M63393"/>
    </row>
    <row r="63394" spans="3:13" ht="12.75" customHeight="1" x14ac:dyDescent="0.2">
      <c r="C63394"/>
      <c r="M63394"/>
    </row>
    <row r="63395" spans="3:13" ht="12.75" customHeight="1" x14ac:dyDescent="0.2">
      <c r="C63395"/>
      <c r="M63395"/>
    </row>
    <row r="63396" spans="3:13" ht="12.75" customHeight="1" x14ac:dyDescent="0.2">
      <c r="C63396"/>
      <c r="M63396"/>
    </row>
    <row r="63397" spans="3:13" ht="12.75" customHeight="1" x14ac:dyDescent="0.2">
      <c r="C63397"/>
      <c r="M63397"/>
    </row>
    <row r="63398" spans="3:13" ht="12.75" customHeight="1" x14ac:dyDescent="0.2">
      <c r="C63398"/>
      <c r="M63398"/>
    </row>
    <row r="63399" spans="3:13" ht="12.75" customHeight="1" x14ac:dyDescent="0.2">
      <c r="C63399"/>
      <c r="M63399"/>
    </row>
    <row r="63400" spans="3:13" ht="12.75" customHeight="1" x14ac:dyDescent="0.2">
      <c r="C63400"/>
      <c r="M63400"/>
    </row>
    <row r="63401" spans="3:13" ht="12.75" customHeight="1" x14ac:dyDescent="0.2">
      <c r="C63401"/>
      <c r="M63401"/>
    </row>
    <row r="63402" spans="3:13" ht="12.75" customHeight="1" x14ac:dyDescent="0.2">
      <c r="C63402"/>
      <c r="M63402"/>
    </row>
    <row r="63403" spans="3:13" ht="12.75" customHeight="1" x14ac:dyDescent="0.2">
      <c r="C63403"/>
      <c r="M63403"/>
    </row>
    <row r="63404" spans="3:13" ht="12.75" customHeight="1" x14ac:dyDescent="0.2">
      <c r="C63404"/>
      <c r="M63404"/>
    </row>
    <row r="63405" spans="3:13" ht="12.75" customHeight="1" x14ac:dyDescent="0.2">
      <c r="C63405"/>
      <c r="M63405"/>
    </row>
    <row r="63406" spans="3:13" ht="12.75" customHeight="1" x14ac:dyDescent="0.2">
      <c r="C63406"/>
      <c r="M63406"/>
    </row>
    <row r="63407" spans="3:13" ht="12.75" customHeight="1" x14ac:dyDescent="0.2">
      <c r="C63407"/>
      <c r="M63407"/>
    </row>
    <row r="63408" spans="3:13" ht="12.75" customHeight="1" x14ac:dyDescent="0.2">
      <c r="C63408"/>
      <c r="M63408"/>
    </row>
    <row r="63409" spans="3:13" ht="12.75" customHeight="1" x14ac:dyDescent="0.2">
      <c r="C63409"/>
      <c r="M63409"/>
    </row>
    <row r="63410" spans="3:13" ht="12.75" customHeight="1" x14ac:dyDescent="0.2">
      <c r="C63410"/>
      <c r="M63410"/>
    </row>
    <row r="63411" spans="3:13" ht="12.75" customHeight="1" x14ac:dyDescent="0.2">
      <c r="C63411"/>
      <c r="M63411"/>
    </row>
    <row r="63412" spans="3:13" ht="12.75" customHeight="1" x14ac:dyDescent="0.2">
      <c r="C63412"/>
      <c r="M63412"/>
    </row>
    <row r="63413" spans="3:13" ht="12.75" customHeight="1" x14ac:dyDescent="0.2">
      <c r="C63413"/>
      <c r="M63413"/>
    </row>
    <row r="63414" spans="3:13" ht="12.75" customHeight="1" x14ac:dyDescent="0.2">
      <c r="C63414"/>
      <c r="M63414"/>
    </row>
    <row r="63415" spans="3:13" ht="12.75" customHeight="1" x14ac:dyDescent="0.2">
      <c r="C63415"/>
      <c r="M63415"/>
    </row>
    <row r="63416" spans="3:13" ht="12.75" customHeight="1" x14ac:dyDescent="0.2">
      <c r="C63416"/>
      <c r="M63416"/>
    </row>
    <row r="63417" spans="3:13" ht="12.75" customHeight="1" x14ac:dyDescent="0.2">
      <c r="C63417"/>
      <c r="M63417"/>
    </row>
    <row r="63418" spans="3:13" ht="12.75" customHeight="1" x14ac:dyDescent="0.2">
      <c r="C63418"/>
      <c r="M63418"/>
    </row>
    <row r="63419" spans="3:13" ht="12.75" customHeight="1" x14ac:dyDescent="0.2">
      <c r="C63419"/>
      <c r="M63419"/>
    </row>
    <row r="63420" spans="3:13" ht="12.75" customHeight="1" x14ac:dyDescent="0.2">
      <c r="C63420"/>
      <c r="M63420"/>
    </row>
    <row r="63421" spans="3:13" ht="12.75" customHeight="1" x14ac:dyDescent="0.2">
      <c r="C63421"/>
      <c r="M63421"/>
    </row>
    <row r="63422" spans="3:13" ht="12.75" customHeight="1" x14ac:dyDescent="0.2">
      <c r="C63422"/>
      <c r="M63422"/>
    </row>
    <row r="63423" spans="3:13" ht="12.75" customHeight="1" x14ac:dyDescent="0.2">
      <c r="C63423"/>
      <c r="M63423"/>
    </row>
    <row r="63424" spans="3:13" ht="12.75" customHeight="1" x14ac:dyDescent="0.2">
      <c r="C63424"/>
      <c r="M63424"/>
    </row>
    <row r="63425" spans="3:13" ht="12.75" customHeight="1" x14ac:dyDescent="0.2">
      <c r="C63425"/>
      <c r="M63425"/>
    </row>
    <row r="63426" spans="3:13" ht="12.75" customHeight="1" x14ac:dyDescent="0.2">
      <c r="C63426"/>
      <c r="M63426"/>
    </row>
    <row r="63427" spans="3:13" ht="12.75" customHeight="1" x14ac:dyDescent="0.2">
      <c r="C63427"/>
      <c r="M63427"/>
    </row>
    <row r="63428" spans="3:13" ht="12.75" customHeight="1" x14ac:dyDescent="0.2">
      <c r="C63428"/>
      <c r="M63428"/>
    </row>
    <row r="63429" spans="3:13" ht="12.75" customHeight="1" x14ac:dyDescent="0.2">
      <c r="C63429"/>
      <c r="M63429"/>
    </row>
    <row r="63430" spans="3:13" ht="12.75" customHeight="1" x14ac:dyDescent="0.2">
      <c r="C63430"/>
      <c r="M63430"/>
    </row>
    <row r="63431" spans="3:13" ht="12.75" customHeight="1" x14ac:dyDescent="0.2">
      <c r="C63431"/>
      <c r="M63431"/>
    </row>
    <row r="63432" spans="3:13" ht="12.75" customHeight="1" x14ac:dyDescent="0.2">
      <c r="C63432"/>
      <c r="M63432"/>
    </row>
    <row r="63433" spans="3:13" ht="12.75" customHeight="1" x14ac:dyDescent="0.2">
      <c r="C63433"/>
      <c r="M63433"/>
    </row>
    <row r="63434" spans="3:13" ht="12.75" customHeight="1" x14ac:dyDescent="0.2">
      <c r="C63434"/>
      <c r="M63434"/>
    </row>
    <row r="63435" spans="3:13" ht="12.75" customHeight="1" x14ac:dyDescent="0.2">
      <c r="C63435"/>
      <c r="M63435"/>
    </row>
    <row r="63436" spans="3:13" ht="12.75" customHeight="1" x14ac:dyDescent="0.2">
      <c r="C63436"/>
      <c r="M63436"/>
    </row>
    <row r="63437" spans="3:13" ht="12.75" customHeight="1" x14ac:dyDescent="0.2">
      <c r="C63437"/>
      <c r="M63437"/>
    </row>
    <row r="63438" spans="3:13" ht="12.75" customHeight="1" x14ac:dyDescent="0.2">
      <c r="C63438"/>
      <c r="M63438"/>
    </row>
    <row r="63439" spans="3:13" ht="12.75" customHeight="1" x14ac:dyDescent="0.2">
      <c r="C63439"/>
      <c r="M63439"/>
    </row>
    <row r="63440" spans="3:13" ht="12.75" customHeight="1" x14ac:dyDescent="0.2">
      <c r="C63440"/>
      <c r="M63440"/>
    </row>
    <row r="63441" spans="3:13" ht="12.75" customHeight="1" x14ac:dyDescent="0.2">
      <c r="C63441"/>
      <c r="M63441"/>
    </row>
    <row r="63442" spans="3:13" ht="12.75" customHeight="1" x14ac:dyDescent="0.2">
      <c r="C63442"/>
      <c r="M63442"/>
    </row>
    <row r="63443" spans="3:13" ht="12.75" customHeight="1" x14ac:dyDescent="0.2">
      <c r="C63443"/>
      <c r="M63443"/>
    </row>
    <row r="63444" spans="3:13" ht="12.75" customHeight="1" x14ac:dyDescent="0.2">
      <c r="C63444"/>
      <c r="M63444"/>
    </row>
    <row r="63445" spans="3:13" ht="12.75" customHeight="1" x14ac:dyDescent="0.2">
      <c r="C63445"/>
      <c r="M63445"/>
    </row>
    <row r="63446" spans="3:13" ht="12.75" customHeight="1" x14ac:dyDescent="0.2">
      <c r="C63446"/>
      <c r="M63446"/>
    </row>
    <row r="63447" spans="3:13" ht="12.75" customHeight="1" x14ac:dyDescent="0.2">
      <c r="C63447"/>
      <c r="M63447"/>
    </row>
    <row r="63448" spans="3:13" ht="12.75" customHeight="1" x14ac:dyDescent="0.2">
      <c r="C63448"/>
      <c r="M63448"/>
    </row>
    <row r="63449" spans="3:13" ht="12.75" customHeight="1" x14ac:dyDescent="0.2">
      <c r="C63449"/>
      <c r="M63449"/>
    </row>
    <row r="63450" spans="3:13" ht="12.75" customHeight="1" x14ac:dyDescent="0.2">
      <c r="C63450"/>
      <c r="M63450"/>
    </row>
    <row r="63451" spans="3:13" ht="12.75" customHeight="1" x14ac:dyDescent="0.2">
      <c r="C63451"/>
      <c r="M63451"/>
    </row>
    <row r="63452" spans="3:13" ht="12.75" customHeight="1" x14ac:dyDescent="0.2">
      <c r="C63452"/>
      <c r="M63452"/>
    </row>
    <row r="63453" spans="3:13" ht="12.75" customHeight="1" x14ac:dyDescent="0.2">
      <c r="C63453"/>
      <c r="M63453"/>
    </row>
    <row r="63454" spans="3:13" ht="12.75" customHeight="1" x14ac:dyDescent="0.2">
      <c r="C63454"/>
      <c r="M63454"/>
    </row>
    <row r="63455" spans="3:13" ht="12.75" customHeight="1" x14ac:dyDescent="0.2">
      <c r="C63455"/>
      <c r="M63455"/>
    </row>
    <row r="63456" spans="3:13" ht="12.75" customHeight="1" x14ac:dyDescent="0.2">
      <c r="C63456"/>
      <c r="M63456"/>
    </row>
    <row r="63457" spans="3:13" ht="12.75" customHeight="1" x14ac:dyDescent="0.2">
      <c r="C63457"/>
      <c r="M63457"/>
    </row>
    <row r="63458" spans="3:13" ht="12.75" customHeight="1" x14ac:dyDescent="0.2">
      <c r="C63458"/>
      <c r="M63458"/>
    </row>
    <row r="63459" spans="3:13" ht="12.75" customHeight="1" x14ac:dyDescent="0.2">
      <c r="C63459"/>
      <c r="M63459"/>
    </row>
    <row r="63460" spans="3:13" ht="12.75" customHeight="1" x14ac:dyDescent="0.2">
      <c r="C63460"/>
      <c r="M63460"/>
    </row>
    <row r="63461" spans="3:13" ht="12.75" customHeight="1" x14ac:dyDescent="0.2">
      <c r="C63461"/>
      <c r="M63461"/>
    </row>
    <row r="63462" spans="3:13" ht="12.75" customHeight="1" x14ac:dyDescent="0.2">
      <c r="C63462"/>
      <c r="M63462"/>
    </row>
    <row r="63463" spans="3:13" ht="12.75" customHeight="1" x14ac:dyDescent="0.2">
      <c r="C63463"/>
      <c r="M63463"/>
    </row>
    <row r="63464" spans="3:13" ht="12.75" customHeight="1" x14ac:dyDescent="0.2">
      <c r="C63464"/>
      <c r="M63464"/>
    </row>
    <row r="63465" spans="3:13" ht="12.75" customHeight="1" x14ac:dyDescent="0.2">
      <c r="C63465"/>
      <c r="M63465"/>
    </row>
    <row r="63466" spans="3:13" ht="12.75" customHeight="1" x14ac:dyDescent="0.2">
      <c r="C63466"/>
      <c r="M63466"/>
    </row>
    <row r="63467" spans="3:13" ht="12.75" customHeight="1" x14ac:dyDescent="0.2">
      <c r="C63467"/>
      <c r="M63467"/>
    </row>
    <row r="63468" spans="3:13" ht="12.75" customHeight="1" x14ac:dyDescent="0.2">
      <c r="C63468"/>
      <c r="M63468"/>
    </row>
    <row r="63469" spans="3:13" ht="12.75" customHeight="1" x14ac:dyDescent="0.2">
      <c r="C63469"/>
      <c r="M63469"/>
    </row>
    <row r="63470" spans="3:13" ht="12.75" customHeight="1" x14ac:dyDescent="0.2">
      <c r="C63470"/>
      <c r="M63470"/>
    </row>
    <row r="63471" spans="3:13" ht="12.75" customHeight="1" x14ac:dyDescent="0.2">
      <c r="C63471"/>
      <c r="M63471"/>
    </row>
    <row r="63472" spans="3:13" ht="12.75" customHeight="1" x14ac:dyDescent="0.2">
      <c r="C63472"/>
      <c r="M63472"/>
    </row>
    <row r="63473" spans="3:13" ht="12.75" customHeight="1" x14ac:dyDescent="0.2">
      <c r="C63473"/>
      <c r="M63473"/>
    </row>
    <row r="63474" spans="3:13" ht="12.75" customHeight="1" x14ac:dyDescent="0.2">
      <c r="C63474"/>
      <c r="M63474"/>
    </row>
    <row r="63475" spans="3:13" ht="12.75" customHeight="1" x14ac:dyDescent="0.2">
      <c r="C63475"/>
      <c r="M63475"/>
    </row>
    <row r="63476" spans="3:13" ht="12.75" customHeight="1" x14ac:dyDescent="0.2">
      <c r="C63476"/>
      <c r="M63476"/>
    </row>
    <row r="63477" spans="3:13" ht="12.75" customHeight="1" x14ac:dyDescent="0.2">
      <c r="C63477"/>
      <c r="M63477"/>
    </row>
    <row r="63478" spans="3:13" ht="12.75" customHeight="1" x14ac:dyDescent="0.2">
      <c r="C63478"/>
      <c r="M63478"/>
    </row>
    <row r="63479" spans="3:13" ht="12.75" customHeight="1" x14ac:dyDescent="0.2">
      <c r="C63479"/>
      <c r="M63479"/>
    </row>
    <row r="63480" spans="3:13" ht="12.75" customHeight="1" x14ac:dyDescent="0.2">
      <c r="C63480"/>
      <c r="M63480"/>
    </row>
    <row r="63481" spans="3:13" ht="12.75" customHeight="1" x14ac:dyDescent="0.2">
      <c r="C63481"/>
      <c r="M63481"/>
    </row>
    <row r="63482" spans="3:13" ht="12.75" customHeight="1" x14ac:dyDescent="0.2">
      <c r="C63482"/>
      <c r="M63482"/>
    </row>
    <row r="63483" spans="3:13" ht="12.75" customHeight="1" x14ac:dyDescent="0.2">
      <c r="C63483"/>
      <c r="M63483"/>
    </row>
    <row r="63484" spans="3:13" ht="12.75" customHeight="1" x14ac:dyDescent="0.2">
      <c r="C63484"/>
      <c r="M63484"/>
    </row>
    <row r="63485" spans="3:13" ht="12.75" customHeight="1" x14ac:dyDescent="0.2">
      <c r="C63485"/>
      <c r="M63485"/>
    </row>
    <row r="63486" spans="3:13" ht="12.75" customHeight="1" x14ac:dyDescent="0.2">
      <c r="C63486"/>
      <c r="M63486"/>
    </row>
    <row r="63487" spans="3:13" ht="12.75" customHeight="1" x14ac:dyDescent="0.2">
      <c r="C63487"/>
      <c r="M63487"/>
    </row>
    <row r="63488" spans="3:13" ht="12.75" customHeight="1" x14ac:dyDescent="0.2">
      <c r="C63488"/>
      <c r="M63488"/>
    </row>
    <row r="63489" spans="3:13" ht="12.75" customHeight="1" x14ac:dyDescent="0.2">
      <c r="C63489"/>
      <c r="M63489"/>
    </row>
    <row r="63490" spans="3:13" ht="12.75" customHeight="1" x14ac:dyDescent="0.2">
      <c r="C63490"/>
      <c r="M63490"/>
    </row>
    <row r="63491" spans="3:13" ht="12.75" customHeight="1" x14ac:dyDescent="0.2">
      <c r="C63491"/>
      <c r="M63491"/>
    </row>
    <row r="63492" spans="3:13" ht="12.75" customHeight="1" x14ac:dyDescent="0.2">
      <c r="C63492"/>
      <c r="M63492"/>
    </row>
    <row r="63493" spans="3:13" ht="12.75" customHeight="1" x14ac:dyDescent="0.2">
      <c r="C63493"/>
      <c r="M63493"/>
    </row>
    <row r="63494" spans="3:13" ht="12.75" customHeight="1" x14ac:dyDescent="0.2">
      <c r="C63494"/>
      <c r="M63494"/>
    </row>
    <row r="63495" spans="3:13" ht="12.75" customHeight="1" x14ac:dyDescent="0.2">
      <c r="C63495"/>
      <c r="M63495"/>
    </row>
    <row r="63496" spans="3:13" ht="12.75" customHeight="1" x14ac:dyDescent="0.2">
      <c r="C63496"/>
      <c r="M63496"/>
    </row>
    <row r="63497" spans="3:13" ht="12.75" customHeight="1" x14ac:dyDescent="0.2">
      <c r="C63497"/>
      <c r="M63497"/>
    </row>
    <row r="63498" spans="3:13" ht="12.75" customHeight="1" x14ac:dyDescent="0.2">
      <c r="C63498"/>
      <c r="M63498"/>
    </row>
    <row r="63499" spans="3:13" ht="12.75" customHeight="1" x14ac:dyDescent="0.2">
      <c r="C63499"/>
      <c r="M63499"/>
    </row>
    <row r="63500" spans="3:13" ht="12.75" customHeight="1" x14ac:dyDescent="0.2">
      <c r="C63500"/>
      <c r="M63500"/>
    </row>
    <row r="63501" spans="3:13" ht="12.75" customHeight="1" x14ac:dyDescent="0.2">
      <c r="C63501"/>
      <c r="M63501"/>
    </row>
    <row r="63502" spans="3:13" ht="12.75" customHeight="1" x14ac:dyDescent="0.2">
      <c r="C63502"/>
      <c r="M63502"/>
    </row>
    <row r="63503" spans="3:13" ht="12.75" customHeight="1" x14ac:dyDescent="0.2">
      <c r="C63503"/>
      <c r="M63503"/>
    </row>
    <row r="63504" spans="3:13" ht="12.75" customHeight="1" x14ac:dyDescent="0.2">
      <c r="C63504"/>
      <c r="M63504"/>
    </row>
    <row r="63505" spans="3:13" ht="12.75" customHeight="1" x14ac:dyDescent="0.2">
      <c r="C63505"/>
      <c r="M63505"/>
    </row>
    <row r="63506" spans="3:13" ht="12.75" customHeight="1" x14ac:dyDescent="0.2">
      <c r="C63506"/>
      <c r="M63506"/>
    </row>
    <row r="63507" spans="3:13" ht="12.75" customHeight="1" x14ac:dyDescent="0.2">
      <c r="C63507"/>
      <c r="M63507"/>
    </row>
    <row r="63508" spans="3:13" ht="12.75" customHeight="1" x14ac:dyDescent="0.2">
      <c r="C63508"/>
      <c r="M63508"/>
    </row>
    <row r="63509" spans="3:13" ht="12.75" customHeight="1" x14ac:dyDescent="0.2">
      <c r="C63509"/>
      <c r="M63509"/>
    </row>
    <row r="63510" spans="3:13" ht="12.75" customHeight="1" x14ac:dyDescent="0.2">
      <c r="C63510"/>
      <c r="M63510"/>
    </row>
    <row r="63511" spans="3:13" ht="12.75" customHeight="1" x14ac:dyDescent="0.2">
      <c r="C63511"/>
      <c r="M63511"/>
    </row>
    <row r="63512" spans="3:13" ht="12.75" customHeight="1" x14ac:dyDescent="0.2">
      <c r="C63512"/>
      <c r="M63512"/>
    </row>
    <row r="63513" spans="3:13" ht="12.75" customHeight="1" x14ac:dyDescent="0.2">
      <c r="C63513"/>
      <c r="M63513"/>
    </row>
    <row r="63514" spans="3:13" ht="12.75" customHeight="1" x14ac:dyDescent="0.2">
      <c r="C63514"/>
      <c r="M63514"/>
    </row>
    <row r="63515" spans="3:13" ht="12.75" customHeight="1" x14ac:dyDescent="0.2">
      <c r="C63515"/>
      <c r="M63515"/>
    </row>
    <row r="63516" spans="3:13" ht="12.75" customHeight="1" x14ac:dyDescent="0.2">
      <c r="C63516"/>
      <c r="M63516"/>
    </row>
    <row r="63517" spans="3:13" ht="12.75" customHeight="1" x14ac:dyDescent="0.2">
      <c r="C63517"/>
      <c r="M63517"/>
    </row>
    <row r="63518" spans="3:13" ht="12.75" customHeight="1" x14ac:dyDescent="0.2">
      <c r="C63518"/>
      <c r="M63518"/>
    </row>
    <row r="63519" spans="3:13" ht="12.75" customHeight="1" x14ac:dyDescent="0.2">
      <c r="C63519"/>
      <c r="M63519"/>
    </row>
    <row r="63520" spans="3:13" ht="12.75" customHeight="1" x14ac:dyDescent="0.2">
      <c r="C63520"/>
      <c r="M63520"/>
    </row>
    <row r="63521" spans="3:13" ht="12.75" customHeight="1" x14ac:dyDescent="0.2">
      <c r="C63521"/>
      <c r="M63521"/>
    </row>
    <row r="63522" spans="3:13" ht="12.75" customHeight="1" x14ac:dyDescent="0.2">
      <c r="C63522"/>
      <c r="M63522"/>
    </row>
    <row r="63523" spans="3:13" ht="12.75" customHeight="1" x14ac:dyDescent="0.2">
      <c r="C63523"/>
      <c r="M63523"/>
    </row>
    <row r="63524" spans="3:13" ht="12.75" customHeight="1" x14ac:dyDescent="0.2">
      <c r="C63524"/>
      <c r="M63524"/>
    </row>
    <row r="63525" spans="3:13" ht="12.75" customHeight="1" x14ac:dyDescent="0.2">
      <c r="C63525"/>
      <c r="M63525"/>
    </row>
    <row r="63526" spans="3:13" ht="12.75" customHeight="1" x14ac:dyDescent="0.2">
      <c r="C63526"/>
      <c r="M63526"/>
    </row>
    <row r="63527" spans="3:13" ht="12.75" customHeight="1" x14ac:dyDescent="0.2">
      <c r="C63527"/>
      <c r="M63527"/>
    </row>
    <row r="63528" spans="3:13" ht="12.75" customHeight="1" x14ac:dyDescent="0.2">
      <c r="C63528"/>
      <c r="M63528"/>
    </row>
    <row r="63529" spans="3:13" ht="12.75" customHeight="1" x14ac:dyDescent="0.2">
      <c r="C63529"/>
      <c r="M63529"/>
    </row>
    <row r="63530" spans="3:13" ht="12.75" customHeight="1" x14ac:dyDescent="0.2">
      <c r="C63530"/>
      <c r="M63530"/>
    </row>
    <row r="63531" spans="3:13" ht="12.75" customHeight="1" x14ac:dyDescent="0.2">
      <c r="C63531"/>
      <c r="M63531"/>
    </row>
    <row r="63532" spans="3:13" ht="12.75" customHeight="1" x14ac:dyDescent="0.2">
      <c r="C63532"/>
      <c r="M63532"/>
    </row>
    <row r="63533" spans="3:13" ht="12.75" customHeight="1" x14ac:dyDescent="0.2">
      <c r="C63533"/>
      <c r="M63533"/>
    </row>
    <row r="63534" spans="3:13" ht="12.75" customHeight="1" x14ac:dyDescent="0.2">
      <c r="C63534"/>
      <c r="M63534"/>
    </row>
    <row r="63535" spans="3:13" ht="12.75" customHeight="1" x14ac:dyDescent="0.2">
      <c r="C63535"/>
      <c r="M63535"/>
    </row>
    <row r="63536" spans="3:13" ht="12.75" customHeight="1" x14ac:dyDescent="0.2">
      <c r="C63536"/>
      <c r="M63536"/>
    </row>
    <row r="63537" spans="3:13" ht="12.75" customHeight="1" x14ac:dyDescent="0.2">
      <c r="C63537"/>
      <c r="M63537"/>
    </row>
    <row r="63538" spans="3:13" ht="12.75" customHeight="1" x14ac:dyDescent="0.2">
      <c r="C63538"/>
      <c r="M63538"/>
    </row>
    <row r="63539" spans="3:13" ht="12.75" customHeight="1" x14ac:dyDescent="0.2">
      <c r="C63539"/>
      <c r="M63539"/>
    </row>
    <row r="63540" spans="3:13" ht="12.75" customHeight="1" x14ac:dyDescent="0.2">
      <c r="C63540"/>
      <c r="M63540"/>
    </row>
    <row r="63541" spans="3:13" ht="12.75" customHeight="1" x14ac:dyDescent="0.2">
      <c r="C63541"/>
      <c r="M63541"/>
    </row>
    <row r="63542" spans="3:13" ht="12.75" customHeight="1" x14ac:dyDescent="0.2">
      <c r="C63542"/>
      <c r="M63542"/>
    </row>
    <row r="63543" spans="3:13" ht="12.75" customHeight="1" x14ac:dyDescent="0.2">
      <c r="C63543"/>
      <c r="M63543"/>
    </row>
    <row r="63544" spans="3:13" ht="12.75" customHeight="1" x14ac:dyDescent="0.2">
      <c r="C63544"/>
      <c r="M63544"/>
    </row>
    <row r="63545" spans="3:13" ht="12.75" customHeight="1" x14ac:dyDescent="0.2">
      <c r="C63545"/>
      <c r="M63545"/>
    </row>
    <row r="63546" spans="3:13" ht="12.75" customHeight="1" x14ac:dyDescent="0.2">
      <c r="C63546"/>
      <c r="M63546"/>
    </row>
    <row r="63547" spans="3:13" ht="12.75" customHeight="1" x14ac:dyDescent="0.2">
      <c r="C63547"/>
      <c r="M63547"/>
    </row>
    <row r="63548" spans="3:13" ht="12.75" customHeight="1" x14ac:dyDescent="0.2">
      <c r="C63548"/>
      <c r="M63548"/>
    </row>
    <row r="63549" spans="3:13" ht="12.75" customHeight="1" x14ac:dyDescent="0.2">
      <c r="C63549"/>
      <c r="M63549"/>
    </row>
    <row r="63550" spans="3:13" ht="12.75" customHeight="1" x14ac:dyDescent="0.2">
      <c r="C63550"/>
      <c r="M63550"/>
    </row>
    <row r="63551" spans="3:13" ht="12.75" customHeight="1" x14ac:dyDescent="0.2">
      <c r="C63551"/>
      <c r="M63551"/>
    </row>
    <row r="63552" spans="3:13" ht="12.75" customHeight="1" x14ac:dyDescent="0.2">
      <c r="C63552"/>
      <c r="M63552"/>
    </row>
    <row r="63553" spans="3:13" ht="12.75" customHeight="1" x14ac:dyDescent="0.2">
      <c r="C63553"/>
      <c r="M63553"/>
    </row>
    <row r="63554" spans="3:13" ht="12.75" customHeight="1" x14ac:dyDescent="0.2">
      <c r="C63554"/>
      <c r="M63554"/>
    </row>
    <row r="63555" spans="3:13" ht="12.75" customHeight="1" x14ac:dyDescent="0.2">
      <c r="C63555"/>
      <c r="M63555"/>
    </row>
    <row r="63556" spans="3:13" ht="12.75" customHeight="1" x14ac:dyDescent="0.2">
      <c r="C63556"/>
      <c r="M63556"/>
    </row>
    <row r="63557" spans="3:13" ht="12.75" customHeight="1" x14ac:dyDescent="0.2">
      <c r="C63557"/>
      <c r="M63557"/>
    </row>
    <row r="63558" spans="3:13" ht="12.75" customHeight="1" x14ac:dyDescent="0.2">
      <c r="C63558"/>
      <c r="M63558"/>
    </row>
    <row r="63559" spans="3:13" ht="12.75" customHeight="1" x14ac:dyDescent="0.2">
      <c r="C63559"/>
      <c r="M63559"/>
    </row>
    <row r="63560" spans="3:13" ht="12.75" customHeight="1" x14ac:dyDescent="0.2">
      <c r="C63560"/>
      <c r="M63560"/>
    </row>
    <row r="63561" spans="3:13" ht="12.75" customHeight="1" x14ac:dyDescent="0.2">
      <c r="C63561"/>
      <c r="M63561"/>
    </row>
    <row r="63562" spans="3:13" ht="12.75" customHeight="1" x14ac:dyDescent="0.2">
      <c r="C63562"/>
      <c r="M63562"/>
    </row>
    <row r="63563" spans="3:13" ht="12.75" customHeight="1" x14ac:dyDescent="0.2">
      <c r="C63563"/>
      <c r="M63563"/>
    </row>
    <row r="63564" spans="3:13" ht="12.75" customHeight="1" x14ac:dyDescent="0.2">
      <c r="C63564"/>
      <c r="M63564"/>
    </row>
    <row r="63565" spans="3:13" ht="12.75" customHeight="1" x14ac:dyDescent="0.2">
      <c r="C63565"/>
      <c r="M63565"/>
    </row>
    <row r="63566" spans="3:13" ht="12.75" customHeight="1" x14ac:dyDescent="0.2">
      <c r="C63566"/>
      <c r="M63566"/>
    </row>
    <row r="63567" spans="3:13" ht="12.75" customHeight="1" x14ac:dyDescent="0.2">
      <c r="C63567"/>
      <c r="M63567"/>
    </row>
    <row r="63568" spans="3:13" ht="12.75" customHeight="1" x14ac:dyDescent="0.2">
      <c r="C63568"/>
      <c r="M63568"/>
    </row>
    <row r="63569" spans="3:13" ht="12.75" customHeight="1" x14ac:dyDescent="0.2">
      <c r="C63569"/>
      <c r="M63569"/>
    </row>
    <row r="63570" spans="3:13" ht="12.75" customHeight="1" x14ac:dyDescent="0.2">
      <c r="C63570"/>
      <c r="M63570"/>
    </row>
    <row r="63571" spans="3:13" ht="12.75" customHeight="1" x14ac:dyDescent="0.2">
      <c r="C63571"/>
      <c r="M63571"/>
    </row>
    <row r="63572" spans="3:13" ht="12.75" customHeight="1" x14ac:dyDescent="0.2">
      <c r="C63572"/>
      <c r="M63572"/>
    </row>
    <row r="63573" spans="3:13" ht="12.75" customHeight="1" x14ac:dyDescent="0.2">
      <c r="C63573"/>
      <c r="M63573"/>
    </row>
    <row r="63574" spans="3:13" ht="12.75" customHeight="1" x14ac:dyDescent="0.2">
      <c r="C63574"/>
      <c r="M63574"/>
    </row>
    <row r="63575" spans="3:13" ht="12.75" customHeight="1" x14ac:dyDescent="0.2">
      <c r="C63575"/>
      <c r="M63575"/>
    </row>
    <row r="63576" spans="3:13" ht="12.75" customHeight="1" x14ac:dyDescent="0.2">
      <c r="C63576"/>
      <c r="M63576"/>
    </row>
    <row r="63577" spans="3:13" ht="12.75" customHeight="1" x14ac:dyDescent="0.2">
      <c r="C63577"/>
      <c r="M63577"/>
    </row>
    <row r="63578" spans="3:13" ht="12.75" customHeight="1" x14ac:dyDescent="0.2">
      <c r="C63578"/>
      <c r="M63578"/>
    </row>
    <row r="63579" spans="3:13" ht="12.75" customHeight="1" x14ac:dyDescent="0.2">
      <c r="C63579"/>
      <c r="M63579"/>
    </row>
    <row r="63580" spans="3:13" ht="12.75" customHeight="1" x14ac:dyDescent="0.2">
      <c r="C63580"/>
      <c r="M63580"/>
    </row>
    <row r="63581" spans="3:13" ht="12.75" customHeight="1" x14ac:dyDescent="0.2">
      <c r="C63581"/>
      <c r="M63581"/>
    </row>
    <row r="63582" spans="3:13" ht="12.75" customHeight="1" x14ac:dyDescent="0.2">
      <c r="C63582"/>
      <c r="M63582"/>
    </row>
    <row r="63583" spans="3:13" ht="12.75" customHeight="1" x14ac:dyDescent="0.2">
      <c r="C63583"/>
      <c r="M63583"/>
    </row>
    <row r="63584" spans="3:13" ht="12.75" customHeight="1" x14ac:dyDescent="0.2">
      <c r="C63584"/>
      <c r="M63584"/>
    </row>
    <row r="63585" spans="3:13" ht="12.75" customHeight="1" x14ac:dyDescent="0.2">
      <c r="C63585"/>
      <c r="M63585"/>
    </row>
    <row r="63586" spans="3:13" ht="12.75" customHeight="1" x14ac:dyDescent="0.2">
      <c r="C63586"/>
      <c r="M63586"/>
    </row>
    <row r="63587" spans="3:13" ht="12.75" customHeight="1" x14ac:dyDescent="0.2">
      <c r="C63587"/>
      <c r="M63587"/>
    </row>
    <row r="63588" spans="3:13" ht="12.75" customHeight="1" x14ac:dyDescent="0.2">
      <c r="C63588"/>
      <c r="M63588"/>
    </row>
    <row r="63589" spans="3:13" ht="12.75" customHeight="1" x14ac:dyDescent="0.2">
      <c r="C63589"/>
      <c r="M63589"/>
    </row>
    <row r="63590" spans="3:13" ht="12.75" customHeight="1" x14ac:dyDescent="0.2">
      <c r="C63590"/>
      <c r="M63590"/>
    </row>
    <row r="63591" spans="3:13" ht="12.75" customHeight="1" x14ac:dyDescent="0.2">
      <c r="C63591"/>
      <c r="M63591"/>
    </row>
    <row r="63592" spans="3:13" ht="12.75" customHeight="1" x14ac:dyDescent="0.2">
      <c r="C63592"/>
      <c r="M63592"/>
    </row>
    <row r="63593" spans="3:13" ht="12.75" customHeight="1" x14ac:dyDescent="0.2">
      <c r="C63593"/>
      <c r="M63593"/>
    </row>
    <row r="63594" spans="3:13" ht="12.75" customHeight="1" x14ac:dyDescent="0.2">
      <c r="C63594"/>
      <c r="M63594"/>
    </row>
    <row r="63595" spans="3:13" ht="12.75" customHeight="1" x14ac:dyDescent="0.2">
      <c r="C63595"/>
      <c r="M63595"/>
    </row>
    <row r="63596" spans="3:13" ht="12.75" customHeight="1" x14ac:dyDescent="0.2">
      <c r="C63596"/>
      <c r="M63596"/>
    </row>
    <row r="63597" spans="3:13" ht="12.75" customHeight="1" x14ac:dyDescent="0.2">
      <c r="C63597"/>
      <c r="M63597"/>
    </row>
    <row r="63598" spans="3:13" ht="12.75" customHeight="1" x14ac:dyDescent="0.2">
      <c r="C63598"/>
      <c r="M63598"/>
    </row>
    <row r="63599" spans="3:13" ht="12.75" customHeight="1" x14ac:dyDescent="0.2">
      <c r="C63599"/>
      <c r="M63599"/>
    </row>
    <row r="63600" spans="3:13" ht="12.75" customHeight="1" x14ac:dyDescent="0.2">
      <c r="C63600"/>
      <c r="M63600"/>
    </row>
    <row r="63601" spans="3:13" ht="12.75" customHeight="1" x14ac:dyDescent="0.2">
      <c r="C63601"/>
      <c r="M63601"/>
    </row>
    <row r="63602" spans="3:13" ht="12.75" customHeight="1" x14ac:dyDescent="0.2">
      <c r="C63602"/>
      <c r="M63602"/>
    </row>
    <row r="63603" spans="3:13" ht="12.75" customHeight="1" x14ac:dyDescent="0.2">
      <c r="C63603"/>
      <c r="M63603"/>
    </row>
    <row r="63604" spans="3:13" ht="12.75" customHeight="1" x14ac:dyDescent="0.2">
      <c r="C63604"/>
      <c r="M63604"/>
    </row>
    <row r="63605" spans="3:13" ht="12.75" customHeight="1" x14ac:dyDescent="0.2">
      <c r="C63605"/>
      <c r="M63605"/>
    </row>
    <row r="63606" spans="3:13" ht="12.75" customHeight="1" x14ac:dyDescent="0.2">
      <c r="C63606"/>
      <c r="M63606"/>
    </row>
    <row r="63607" spans="3:13" ht="12.75" customHeight="1" x14ac:dyDescent="0.2">
      <c r="C63607"/>
      <c r="M63607"/>
    </row>
    <row r="63608" spans="3:13" ht="12.75" customHeight="1" x14ac:dyDescent="0.2">
      <c r="C63608"/>
      <c r="M63608"/>
    </row>
    <row r="63609" spans="3:13" ht="12.75" customHeight="1" x14ac:dyDescent="0.2">
      <c r="C63609"/>
      <c r="M63609"/>
    </row>
    <row r="63610" spans="3:13" ht="12.75" customHeight="1" x14ac:dyDescent="0.2">
      <c r="C63610"/>
      <c r="M63610"/>
    </row>
    <row r="63611" spans="3:13" ht="12.75" customHeight="1" x14ac:dyDescent="0.2">
      <c r="C63611"/>
      <c r="M63611"/>
    </row>
    <row r="63612" spans="3:13" ht="12.75" customHeight="1" x14ac:dyDescent="0.2">
      <c r="C63612"/>
      <c r="M63612"/>
    </row>
    <row r="63613" spans="3:13" ht="12.75" customHeight="1" x14ac:dyDescent="0.2">
      <c r="C63613"/>
      <c r="M63613"/>
    </row>
    <row r="63614" spans="3:13" ht="12.75" customHeight="1" x14ac:dyDescent="0.2">
      <c r="C63614"/>
      <c r="M63614"/>
    </row>
    <row r="63615" spans="3:13" ht="12.75" customHeight="1" x14ac:dyDescent="0.2">
      <c r="C63615"/>
      <c r="M63615"/>
    </row>
    <row r="63616" spans="3:13" ht="12.75" customHeight="1" x14ac:dyDescent="0.2">
      <c r="C63616"/>
      <c r="M63616"/>
    </row>
    <row r="63617" spans="3:13" ht="12.75" customHeight="1" x14ac:dyDescent="0.2">
      <c r="C63617"/>
      <c r="M63617"/>
    </row>
    <row r="63618" spans="3:13" ht="12.75" customHeight="1" x14ac:dyDescent="0.2">
      <c r="C63618"/>
      <c r="M63618"/>
    </row>
    <row r="63619" spans="3:13" ht="12.75" customHeight="1" x14ac:dyDescent="0.2">
      <c r="C63619"/>
      <c r="M63619"/>
    </row>
    <row r="63620" spans="3:13" ht="12.75" customHeight="1" x14ac:dyDescent="0.2">
      <c r="C63620"/>
      <c r="M63620"/>
    </row>
    <row r="63621" spans="3:13" ht="12.75" customHeight="1" x14ac:dyDescent="0.2">
      <c r="C63621"/>
      <c r="M63621"/>
    </row>
    <row r="63622" spans="3:13" ht="12.75" customHeight="1" x14ac:dyDescent="0.2">
      <c r="C63622"/>
      <c r="M63622"/>
    </row>
    <row r="63623" spans="3:13" ht="12.75" customHeight="1" x14ac:dyDescent="0.2">
      <c r="C63623"/>
      <c r="M63623"/>
    </row>
    <row r="63624" spans="3:13" ht="12.75" customHeight="1" x14ac:dyDescent="0.2">
      <c r="C63624"/>
      <c r="M63624"/>
    </row>
    <row r="63625" spans="3:13" ht="12.75" customHeight="1" x14ac:dyDescent="0.2">
      <c r="C63625"/>
      <c r="M63625"/>
    </row>
    <row r="63626" spans="3:13" ht="12.75" customHeight="1" x14ac:dyDescent="0.2">
      <c r="C63626"/>
      <c r="M63626"/>
    </row>
    <row r="63627" spans="3:13" ht="12.75" customHeight="1" x14ac:dyDescent="0.2">
      <c r="C63627"/>
      <c r="M63627"/>
    </row>
    <row r="63628" spans="3:13" ht="12.75" customHeight="1" x14ac:dyDescent="0.2">
      <c r="C63628"/>
      <c r="M63628"/>
    </row>
    <row r="63629" spans="3:13" ht="12.75" customHeight="1" x14ac:dyDescent="0.2">
      <c r="C63629"/>
      <c r="M63629"/>
    </row>
    <row r="63630" spans="3:13" ht="12.75" customHeight="1" x14ac:dyDescent="0.2">
      <c r="C63630"/>
      <c r="M63630"/>
    </row>
    <row r="63631" spans="3:13" ht="12.75" customHeight="1" x14ac:dyDescent="0.2">
      <c r="C63631"/>
      <c r="M63631"/>
    </row>
    <row r="63632" spans="3:13" ht="12.75" customHeight="1" x14ac:dyDescent="0.2">
      <c r="C63632"/>
      <c r="M63632"/>
    </row>
    <row r="63633" spans="3:13" ht="12.75" customHeight="1" x14ac:dyDescent="0.2">
      <c r="C63633"/>
      <c r="M63633"/>
    </row>
    <row r="63634" spans="3:13" ht="12.75" customHeight="1" x14ac:dyDescent="0.2">
      <c r="C63634"/>
      <c r="M63634"/>
    </row>
    <row r="63635" spans="3:13" ht="12.75" customHeight="1" x14ac:dyDescent="0.2">
      <c r="C63635"/>
      <c r="M63635"/>
    </row>
    <row r="63636" spans="3:13" ht="12.75" customHeight="1" x14ac:dyDescent="0.2">
      <c r="C63636"/>
      <c r="M63636"/>
    </row>
    <row r="63637" spans="3:13" ht="12.75" customHeight="1" x14ac:dyDescent="0.2">
      <c r="C63637"/>
      <c r="M63637"/>
    </row>
    <row r="63638" spans="3:13" ht="12.75" customHeight="1" x14ac:dyDescent="0.2">
      <c r="C63638"/>
      <c r="M63638"/>
    </row>
    <row r="63639" spans="3:13" ht="12.75" customHeight="1" x14ac:dyDescent="0.2">
      <c r="C63639"/>
      <c r="M63639"/>
    </row>
    <row r="63640" spans="3:13" ht="12.75" customHeight="1" x14ac:dyDescent="0.2">
      <c r="C63640"/>
      <c r="M63640"/>
    </row>
    <row r="63641" spans="3:13" ht="12.75" customHeight="1" x14ac:dyDescent="0.2">
      <c r="C63641"/>
      <c r="M63641"/>
    </row>
    <row r="63642" spans="3:13" ht="12.75" customHeight="1" x14ac:dyDescent="0.2">
      <c r="C63642"/>
      <c r="M63642"/>
    </row>
    <row r="63643" spans="3:13" ht="12.75" customHeight="1" x14ac:dyDescent="0.2">
      <c r="C63643"/>
      <c r="M63643"/>
    </row>
    <row r="63644" spans="3:13" ht="12.75" customHeight="1" x14ac:dyDescent="0.2">
      <c r="C63644"/>
      <c r="M63644"/>
    </row>
    <row r="63645" spans="3:13" ht="12.75" customHeight="1" x14ac:dyDescent="0.2">
      <c r="C63645"/>
      <c r="M63645"/>
    </row>
    <row r="63646" spans="3:13" ht="12.75" customHeight="1" x14ac:dyDescent="0.2">
      <c r="C63646"/>
      <c r="M63646"/>
    </row>
    <row r="63647" spans="3:13" ht="12.75" customHeight="1" x14ac:dyDescent="0.2">
      <c r="C63647"/>
      <c r="M63647"/>
    </row>
    <row r="63648" spans="3:13" ht="12.75" customHeight="1" x14ac:dyDescent="0.2">
      <c r="C63648"/>
      <c r="M63648"/>
    </row>
    <row r="63649" spans="3:13" ht="12.75" customHeight="1" x14ac:dyDescent="0.2">
      <c r="C63649"/>
      <c r="M63649"/>
    </row>
    <row r="63650" spans="3:13" ht="12.75" customHeight="1" x14ac:dyDescent="0.2">
      <c r="C63650"/>
      <c r="M63650"/>
    </row>
    <row r="63651" spans="3:13" ht="12.75" customHeight="1" x14ac:dyDescent="0.2">
      <c r="C63651"/>
      <c r="M63651"/>
    </row>
    <row r="63652" spans="3:13" ht="12.75" customHeight="1" x14ac:dyDescent="0.2">
      <c r="C63652"/>
      <c r="M63652"/>
    </row>
    <row r="63653" spans="3:13" ht="12.75" customHeight="1" x14ac:dyDescent="0.2">
      <c r="C63653"/>
      <c r="M63653"/>
    </row>
    <row r="63654" spans="3:13" ht="12.75" customHeight="1" x14ac:dyDescent="0.2">
      <c r="C63654"/>
      <c r="M63654"/>
    </row>
    <row r="63655" spans="3:13" ht="12.75" customHeight="1" x14ac:dyDescent="0.2">
      <c r="C63655"/>
      <c r="M63655"/>
    </row>
    <row r="63656" spans="3:13" ht="12.75" customHeight="1" x14ac:dyDescent="0.2">
      <c r="C63656"/>
      <c r="M63656"/>
    </row>
    <row r="63657" spans="3:13" ht="12.75" customHeight="1" x14ac:dyDescent="0.2">
      <c r="C63657"/>
      <c r="M63657"/>
    </row>
    <row r="63658" spans="3:13" ht="12.75" customHeight="1" x14ac:dyDescent="0.2">
      <c r="C63658"/>
      <c r="M63658"/>
    </row>
    <row r="63659" spans="3:13" ht="12.75" customHeight="1" x14ac:dyDescent="0.2">
      <c r="C63659"/>
      <c r="M63659"/>
    </row>
    <row r="63660" spans="3:13" ht="12.75" customHeight="1" x14ac:dyDescent="0.2">
      <c r="C63660"/>
      <c r="M63660"/>
    </row>
    <row r="63661" spans="3:13" ht="12.75" customHeight="1" x14ac:dyDescent="0.2">
      <c r="C63661"/>
      <c r="M63661"/>
    </row>
    <row r="63662" spans="3:13" ht="12.75" customHeight="1" x14ac:dyDescent="0.2">
      <c r="C63662"/>
      <c r="M63662"/>
    </row>
    <row r="63663" spans="3:13" ht="12.75" customHeight="1" x14ac:dyDescent="0.2">
      <c r="C63663"/>
      <c r="M63663"/>
    </row>
    <row r="63664" spans="3:13" ht="12.75" customHeight="1" x14ac:dyDescent="0.2">
      <c r="C63664"/>
      <c r="M63664"/>
    </row>
    <row r="63665" spans="3:13" ht="12.75" customHeight="1" x14ac:dyDescent="0.2">
      <c r="C63665"/>
      <c r="M63665"/>
    </row>
    <row r="63666" spans="3:13" ht="12.75" customHeight="1" x14ac:dyDescent="0.2">
      <c r="C63666"/>
      <c r="M63666"/>
    </row>
    <row r="63667" spans="3:13" ht="12.75" customHeight="1" x14ac:dyDescent="0.2">
      <c r="C63667"/>
      <c r="M63667"/>
    </row>
    <row r="63668" spans="3:13" ht="12.75" customHeight="1" x14ac:dyDescent="0.2">
      <c r="C63668"/>
      <c r="M63668"/>
    </row>
    <row r="63669" spans="3:13" ht="12.75" customHeight="1" x14ac:dyDescent="0.2">
      <c r="C63669"/>
      <c r="M63669"/>
    </row>
    <row r="63670" spans="3:13" ht="12.75" customHeight="1" x14ac:dyDescent="0.2">
      <c r="C63670"/>
      <c r="M63670"/>
    </row>
    <row r="63671" spans="3:13" ht="12.75" customHeight="1" x14ac:dyDescent="0.2">
      <c r="C63671"/>
      <c r="M63671"/>
    </row>
    <row r="63672" spans="3:13" ht="12.75" customHeight="1" x14ac:dyDescent="0.2">
      <c r="C63672"/>
      <c r="M63672"/>
    </row>
    <row r="63673" spans="3:13" ht="12.75" customHeight="1" x14ac:dyDescent="0.2">
      <c r="C63673"/>
      <c r="M63673"/>
    </row>
    <row r="63674" spans="3:13" ht="12.75" customHeight="1" x14ac:dyDescent="0.2">
      <c r="C63674"/>
      <c r="M63674"/>
    </row>
    <row r="63675" spans="3:13" ht="12.75" customHeight="1" x14ac:dyDescent="0.2">
      <c r="C63675"/>
      <c r="M63675"/>
    </row>
    <row r="63676" spans="3:13" ht="12.75" customHeight="1" x14ac:dyDescent="0.2">
      <c r="C63676"/>
      <c r="M63676"/>
    </row>
    <row r="63677" spans="3:13" ht="12.75" customHeight="1" x14ac:dyDescent="0.2">
      <c r="C63677"/>
      <c r="M63677"/>
    </row>
    <row r="63678" spans="3:13" ht="12.75" customHeight="1" x14ac:dyDescent="0.2">
      <c r="C63678"/>
      <c r="M63678"/>
    </row>
    <row r="63679" spans="3:13" ht="12.75" customHeight="1" x14ac:dyDescent="0.2">
      <c r="C63679"/>
      <c r="M63679"/>
    </row>
    <row r="63680" spans="3:13" ht="12.75" customHeight="1" x14ac:dyDescent="0.2">
      <c r="C63680"/>
      <c r="M63680"/>
    </row>
    <row r="63681" spans="3:13" ht="12.75" customHeight="1" x14ac:dyDescent="0.2">
      <c r="C63681"/>
      <c r="M63681"/>
    </row>
    <row r="63682" spans="3:13" ht="12.75" customHeight="1" x14ac:dyDescent="0.2">
      <c r="C63682"/>
      <c r="M63682"/>
    </row>
    <row r="63683" spans="3:13" ht="12.75" customHeight="1" x14ac:dyDescent="0.2">
      <c r="C63683"/>
      <c r="M63683"/>
    </row>
    <row r="63684" spans="3:13" ht="12.75" customHeight="1" x14ac:dyDescent="0.2">
      <c r="C63684"/>
      <c r="M63684"/>
    </row>
    <row r="63685" spans="3:13" ht="12.75" customHeight="1" x14ac:dyDescent="0.2">
      <c r="C63685"/>
      <c r="M63685"/>
    </row>
    <row r="63686" spans="3:13" ht="12.75" customHeight="1" x14ac:dyDescent="0.2">
      <c r="C63686"/>
      <c r="M63686"/>
    </row>
    <row r="63687" spans="3:13" ht="12.75" customHeight="1" x14ac:dyDescent="0.2">
      <c r="C63687"/>
      <c r="M63687"/>
    </row>
    <row r="63688" spans="3:13" ht="12.75" customHeight="1" x14ac:dyDescent="0.2">
      <c r="C63688"/>
      <c r="M63688"/>
    </row>
    <row r="63689" spans="3:13" ht="12.75" customHeight="1" x14ac:dyDescent="0.2">
      <c r="C63689"/>
      <c r="M63689"/>
    </row>
    <row r="63690" spans="3:13" ht="12.75" customHeight="1" x14ac:dyDescent="0.2">
      <c r="C63690"/>
      <c r="M63690"/>
    </row>
    <row r="63691" spans="3:13" ht="12.75" customHeight="1" x14ac:dyDescent="0.2">
      <c r="C63691"/>
      <c r="M63691"/>
    </row>
    <row r="63692" spans="3:13" ht="12.75" customHeight="1" x14ac:dyDescent="0.2">
      <c r="C63692"/>
      <c r="M63692"/>
    </row>
    <row r="63693" spans="3:13" ht="12.75" customHeight="1" x14ac:dyDescent="0.2">
      <c r="C63693"/>
      <c r="M63693"/>
    </row>
    <row r="63694" spans="3:13" ht="12.75" customHeight="1" x14ac:dyDescent="0.2">
      <c r="C63694"/>
      <c r="M63694"/>
    </row>
    <row r="63695" spans="3:13" ht="12.75" customHeight="1" x14ac:dyDescent="0.2">
      <c r="C63695"/>
      <c r="M63695"/>
    </row>
    <row r="63696" spans="3:13" ht="12.75" customHeight="1" x14ac:dyDescent="0.2">
      <c r="C63696"/>
      <c r="M63696"/>
    </row>
    <row r="63697" spans="3:13" ht="12.75" customHeight="1" x14ac:dyDescent="0.2">
      <c r="C63697"/>
      <c r="M63697"/>
    </row>
    <row r="63698" spans="3:13" ht="12.75" customHeight="1" x14ac:dyDescent="0.2">
      <c r="C63698"/>
      <c r="M63698"/>
    </row>
    <row r="63699" spans="3:13" ht="12.75" customHeight="1" x14ac:dyDescent="0.2">
      <c r="C63699"/>
      <c r="M63699"/>
    </row>
    <row r="63700" spans="3:13" ht="12.75" customHeight="1" x14ac:dyDescent="0.2">
      <c r="C63700"/>
      <c r="M63700"/>
    </row>
    <row r="63701" spans="3:13" ht="12.75" customHeight="1" x14ac:dyDescent="0.2">
      <c r="C63701"/>
      <c r="M63701"/>
    </row>
    <row r="63702" spans="3:13" ht="12.75" customHeight="1" x14ac:dyDescent="0.2">
      <c r="C63702"/>
      <c r="M63702"/>
    </row>
    <row r="63703" spans="3:13" ht="12.75" customHeight="1" x14ac:dyDescent="0.2">
      <c r="C63703"/>
      <c r="M63703"/>
    </row>
    <row r="63704" spans="3:13" ht="12.75" customHeight="1" x14ac:dyDescent="0.2">
      <c r="C63704"/>
      <c r="M63704"/>
    </row>
    <row r="63705" spans="3:13" ht="12.75" customHeight="1" x14ac:dyDescent="0.2">
      <c r="C63705"/>
      <c r="M63705"/>
    </row>
    <row r="63706" spans="3:13" ht="12.75" customHeight="1" x14ac:dyDescent="0.2">
      <c r="C63706"/>
      <c r="M63706"/>
    </row>
    <row r="63707" spans="3:13" ht="12.75" customHeight="1" x14ac:dyDescent="0.2">
      <c r="C63707"/>
      <c r="M63707"/>
    </row>
    <row r="63708" spans="3:13" ht="12.75" customHeight="1" x14ac:dyDescent="0.2">
      <c r="C63708"/>
      <c r="M63708"/>
    </row>
    <row r="63709" spans="3:13" ht="12.75" customHeight="1" x14ac:dyDescent="0.2">
      <c r="C63709"/>
      <c r="M63709"/>
    </row>
    <row r="63710" spans="3:13" ht="12.75" customHeight="1" x14ac:dyDescent="0.2">
      <c r="C63710"/>
      <c r="M63710"/>
    </row>
    <row r="63711" spans="3:13" ht="12.75" customHeight="1" x14ac:dyDescent="0.2">
      <c r="C63711"/>
      <c r="M63711"/>
    </row>
    <row r="63712" spans="3:13" ht="12.75" customHeight="1" x14ac:dyDescent="0.2">
      <c r="C63712"/>
      <c r="M63712"/>
    </row>
    <row r="63713" spans="3:13" ht="12.75" customHeight="1" x14ac:dyDescent="0.2">
      <c r="C63713"/>
      <c r="M63713"/>
    </row>
    <row r="63714" spans="3:13" ht="12.75" customHeight="1" x14ac:dyDescent="0.2">
      <c r="C63714"/>
      <c r="M63714"/>
    </row>
    <row r="63715" spans="3:13" ht="12.75" customHeight="1" x14ac:dyDescent="0.2">
      <c r="C63715"/>
      <c r="M63715"/>
    </row>
    <row r="63716" spans="3:13" ht="12.75" customHeight="1" x14ac:dyDescent="0.2">
      <c r="C63716"/>
      <c r="M63716"/>
    </row>
    <row r="63717" spans="3:13" ht="12.75" customHeight="1" x14ac:dyDescent="0.2">
      <c r="C63717"/>
      <c r="M63717"/>
    </row>
    <row r="63718" spans="3:13" ht="12.75" customHeight="1" x14ac:dyDescent="0.2">
      <c r="C63718"/>
      <c r="M63718"/>
    </row>
    <row r="63719" spans="3:13" ht="12.75" customHeight="1" x14ac:dyDescent="0.2">
      <c r="C63719"/>
      <c r="M63719"/>
    </row>
    <row r="63720" spans="3:13" ht="12.75" customHeight="1" x14ac:dyDescent="0.2">
      <c r="C63720"/>
      <c r="M63720"/>
    </row>
    <row r="63721" spans="3:13" ht="12.75" customHeight="1" x14ac:dyDescent="0.2">
      <c r="C63721"/>
      <c r="M63721"/>
    </row>
    <row r="63722" spans="3:13" ht="12.75" customHeight="1" x14ac:dyDescent="0.2">
      <c r="C63722"/>
      <c r="M63722"/>
    </row>
    <row r="63723" spans="3:13" ht="12.75" customHeight="1" x14ac:dyDescent="0.2">
      <c r="C63723"/>
      <c r="M63723"/>
    </row>
    <row r="63724" spans="3:13" ht="12.75" customHeight="1" x14ac:dyDescent="0.2">
      <c r="C63724"/>
      <c r="M63724"/>
    </row>
    <row r="63725" spans="3:13" ht="12.75" customHeight="1" x14ac:dyDescent="0.2">
      <c r="C63725"/>
      <c r="M63725"/>
    </row>
    <row r="63726" spans="3:13" ht="12.75" customHeight="1" x14ac:dyDescent="0.2">
      <c r="C63726"/>
      <c r="M63726"/>
    </row>
    <row r="63727" spans="3:13" ht="12.75" customHeight="1" x14ac:dyDescent="0.2">
      <c r="C63727"/>
      <c r="M63727"/>
    </row>
    <row r="63728" spans="3:13" ht="12.75" customHeight="1" x14ac:dyDescent="0.2">
      <c r="C63728"/>
      <c r="M63728"/>
    </row>
    <row r="63729" spans="3:13" ht="12.75" customHeight="1" x14ac:dyDescent="0.2">
      <c r="C63729"/>
      <c r="M63729"/>
    </row>
    <row r="63730" spans="3:13" ht="12.75" customHeight="1" x14ac:dyDescent="0.2">
      <c r="C63730"/>
      <c r="M63730"/>
    </row>
    <row r="63731" spans="3:13" ht="12.75" customHeight="1" x14ac:dyDescent="0.2">
      <c r="C63731"/>
      <c r="M63731"/>
    </row>
    <row r="63732" spans="3:13" ht="12.75" customHeight="1" x14ac:dyDescent="0.2">
      <c r="C63732"/>
      <c r="M63732"/>
    </row>
    <row r="63733" spans="3:13" ht="12.75" customHeight="1" x14ac:dyDescent="0.2">
      <c r="C63733"/>
      <c r="M63733"/>
    </row>
    <row r="63734" spans="3:13" ht="12.75" customHeight="1" x14ac:dyDescent="0.2">
      <c r="C63734"/>
      <c r="M63734"/>
    </row>
    <row r="63735" spans="3:13" ht="12.75" customHeight="1" x14ac:dyDescent="0.2">
      <c r="C63735"/>
      <c r="M63735"/>
    </row>
    <row r="63736" spans="3:13" ht="12.75" customHeight="1" x14ac:dyDescent="0.2">
      <c r="C63736"/>
      <c r="M63736"/>
    </row>
    <row r="63737" spans="3:13" ht="12.75" customHeight="1" x14ac:dyDescent="0.2">
      <c r="C63737"/>
      <c r="M63737"/>
    </row>
    <row r="63738" spans="3:13" ht="12.75" customHeight="1" x14ac:dyDescent="0.2">
      <c r="C63738"/>
      <c r="M63738"/>
    </row>
    <row r="63739" spans="3:13" ht="12.75" customHeight="1" x14ac:dyDescent="0.2">
      <c r="C63739"/>
      <c r="M63739"/>
    </row>
    <row r="63740" spans="3:13" ht="12.75" customHeight="1" x14ac:dyDescent="0.2">
      <c r="C63740"/>
      <c r="M63740"/>
    </row>
    <row r="63741" spans="3:13" ht="12.75" customHeight="1" x14ac:dyDescent="0.2">
      <c r="C63741"/>
      <c r="M63741"/>
    </row>
    <row r="63742" spans="3:13" ht="12.75" customHeight="1" x14ac:dyDescent="0.2">
      <c r="C63742"/>
      <c r="M63742"/>
    </row>
    <row r="63743" spans="3:13" ht="12.75" customHeight="1" x14ac:dyDescent="0.2">
      <c r="C63743"/>
      <c r="M63743"/>
    </row>
    <row r="63744" spans="3:13" ht="12.75" customHeight="1" x14ac:dyDescent="0.2">
      <c r="C63744"/>
      <c r="M63744"/>
    </row>
    <row r="63745" spans="3:13" ht="12.75" customHeight="1" x14ac:dyDescent="0.2">
      <c r="C63745"/>
      <c r="M63745"/>
    </row>
    <row r="63746" spans="3:13" ht="12.75" customHeight="1" x14ac:dyDescent="0.2">
      <c r="C63746"/>
      <c r="M63746"/>
    </row>
    <row r="63747" spans="3:13" ht="12.75" customHeight="1" x14ac:dyDescent="0.2">
      <c r="C63747"/>
      <c r="M63747"/>
    </row>
    <row r="63748" spans="3:13" ht="12.75" customHeight="1" x14ac:dyDescent="0.2">
      <c r="C63748"/>
      <c r="M63748"/>
    </row>
    <row r="63749" spans="3:13" ht="12.75" customHeight="1" x14ac:dyDescent="0.2">
      <c r="C63749"/>
      <c r="M63749"/>
    </row>
    <row r="63750" spans="3:13" ht="12.75" customHeight="1" x14ac:dyDescent="0.2">
      <c r="C63750"/>
      <c r="M63750"/>
    </row>
    <row r="63751" spans="3:13" ht="12.75" customHeight="1" x14ac:dyDescent="0.2">
      <c r="C63751"/>
      <c r="M63751"/>
    </row>
    <row r="63752" spans="3:13" ht="12.75" customHeight="1" x14ac:dyDescent="0.2">
      <c r="C63752"/>
      <c r="M63752"/>
    </row>
    <row r="63753" spans="3:13" ht="12.75" customHeight="1" x14ac:dyDescent="0.2">
      <c r="C63753"/>
      <c r="M63753"/>
    </row>
    <row r="63754" spans="3:13" ht="12.75" customHeight="1" x14ac:dyDescent="0.2">
      <c r="C63754"/>
      <c r="M63754"/>
    </row>
    <row r="63755" spans="3:13" ht="12.75" customHeight="1" x14ac:dyDescent="0.2">
      <c r="C63755"/>
      <c r="M63755"/>
    </row>
    <row r="63756" spans="3:13" ht="12.75" customHeight="1" x14ac:dyDescent="0.2">
      <c r="C63756"/>
      <c r="M63756"/>
    </row>
    <row r="63757" spans="3:13" ht="12.75" customHeight="1" x14ac:dyDescent="0.2">
      <c r="C63757"/>
      <c r="M63757"/>
    </row>
    <row r="63758" spans="3:13" ht="12.75" customHeight="1" x14ac:dyDescent="0.2">
      <c r="C63758"/>
      <c r="M63758"/>
    </row>
    <row r="63759" spans="3:13" ht="12.75" customHeight="1" x14ac:dyDescent="0.2">
      <c r="C63759"/>
      <c r="M63759"/>
    </row>
    <row r="63760" spans="3:13" ht="12.75" customHeight="1" x14ac:dyDescent="0.2">
      <c r="C63760"/>
      <c r="M63760"/>
    </row>
    <row r="63761" spans="3:13" ht="12.75" customHeight="1" x14ac:dyDescent="0.2">
      <c r="C63761"/>
      <c r="M63761"/>
    </row>
    <row r="63762" spans="3:13" ht="12.75" customHeight="1" x14ac:dyDescent="0.2">
      <c r="C63762"/>
      <c r="M63762"/>
    </row>
    <row r="63763" spans="3:13" ht="12.75" customHeight="1" x14ac:dyDescent="0.2">
      <c r="C63763"/>
      <c r="M63763"/>
    </row>
    <row r="63764" spans="3:13" ht="12.75" customHeight="1" x14ac:dyDescent="0.2">
      <c r="C63764"/>
      <c r="M63764"/>
    </row>
    <row r="63765" spans="3:13" ht="12.75" customHeight="1" x14ac:dyDescent="0.2">
      <c r="C63765"/>
      <c r="M63765"/>
    </row>
    <row r="63766" spans="3:13" ht="12.75" customHeight="1" x14ac:dyDescent="0.2">
      <c r="C63766"/>
      <c r="M63766"/>
    </row>
    <row r="63767" spans="3:13" ht="12.75" customHeight="1" x14ac:dyDescent="0.2">
      <c r="C63767"/>
      <c r="M63767"/>
    </row>
    <row r="63768" spans="3:13" ht="12.75" customHeight="1" x14ac:dyDescent="0.2">
      <c r="C63768"/>
      <c r="M63768"/>
    </row>
    <row r="63769" spans="3:13" ht="12.75" customHeight="1" x14ac:dyDescent="0.2">
      <c r="C63769"/>
      <c r="M63769"/>
    </row>
    <row r="63770" spans="3:13" ht="12.75" customHeight="1" x14ac:dyDescent="0.2">
      <c r="C63770"/>
      <c r="M63770"/>
    </row>
    <row r="63771" spans="3:13" ht="12.75" customHeight="1" x14ac:dyDescent="0.2">
      <c r="C63771"/>
      <c r="M63771"/>
    </row>
    <row r="63772" spans="3:13" ht="12.75" customHeight="1" x14ac:dyDescent="0.2">
      <c r="C63772"/>
      <c r="M63772"/>
    </row>
    <row r="63773" spans="3:13" ht="12.75" customHeight="1" x14ac:dyDescent="0.2">
      <c r="C63773"/>
      <c r="M63773"/>
    </row>
    <row r="63774" spans="3:13" ht="12.75" customHeight="1" x14ac:dyDescent="0.2">
      <c r="C63774"/>
      <c r="M63774"/>
    </row>
    <row r="63775" spans="3:13" ht="12.75" customHeight="1" x14ac:dyDescent="0.2">
      <c r="C63775"/>
      <c r="M63775"/>
    </row>
    <row r="63776" spans="3:13" ht="12.75" customHeight="1" x14ac:dyDescent="0.2">
      <c r="C63776"/>
      <c r="M63776"/>
    </row>
    <row r="63777" spans="3:13" ht="12.75" customHeight="1" x14ac:dyDescent="0.2">
      <c r="C63777"/>
      <c r="M63777"/>
    </row>
    <row r="63778" spans="3:13" ht="12.75" customHeight="1" x14ac:dyDescent="0.2">
      <c r="C63778"/>
      <c r="M63778"/>
    </row>
    <row r="63779" spans="3:13" ht="12.75" customHeight="1" x14ac:dyDescent="0.2">
      <c r="C63779"/>
      <c r="M63779"/>
    </row>
    <row r="63780" spans="3:13" ht="12.75" customHeight="1" x14ac:dyDescent="0.2">
      <c r="C63780"/>
      <c r="M63780"/>
    </row>
    <row r="63781" spans="3:13" ht="12.75" customHeight="1" x14ac:dyDescent="0.2">
      <c r="C63781"/>
      <c r="M63781"/>
    </row>
    <row r="63782" spans="3:13" ht="12.75" customHeight="1" x14ac:dyDescent="0.2">
      <c r="C63782"/>
      <c r="M63782"/>
    </row>
    <row r="63783" spans="3:13" ht="12.75" customHeight="1" x14ac:dyDescent="0.2">
      <c r="C63783"/>
      <c r="M63783"/>
    </row>
    <row r="63784" spans="3:13" ht="12.75" customHeight="1" x14ac:dyDescent="0.2">
      <c r="C63784"/>
      <c r="M63784"/>
    </row>
    <row r="63785" spans="3:13" ht="12.75" customHeight="1" x14ac:dyDescent="0.2">
      <c r="C63785"/>
      <c r="M63785"/>
    </row>
    <row r="63786" spans="3:13" ht="12.75" customHeight="1" x14ac:dyDescent="0.2">
      <c r="C63786"/>
      <c r="M63786"/>
    </row>
    <row r="63787" spans="3:13" ht="12.75" customHeight="1" x14ac:dyDescent="0.2">
      <c r="C63787"/>
      <c r="M63787"/>
    </row>
    <row r="63788" spans="3:13" ht="12.75" customHeight="1" x14ac:dyDescent="0.2">
      <c r="C63788"/>
      <c r="M63788"/>
    </row>
    <row r="63789" spans="3:13" ht="12.75" customHeight="1" x14ac:dyDescent="0.2">
      <c r="C63789"/>
      <c r="M63789"/>
    </row>
    <row r="63790" spans="3:13" ht="12.75" customHeight="1" x14ac:dyDescent="0.2">
      <c r="C63790"/>
      <c r="M63790"/>
    </row>
    <row r="63791" spans="3:13" ht="12.75" customHeight="1" x14ac:dyDescent="0.2">
      <c r="C63791"/>
      <c r="M63791"/>
    </row>
    <row r="63792" spans="3:13" ht="12.75" customHeight="1" x14ac:dyDescent="0.2">
      <c r="C63792"/>
      <c r="M63792"/>
    </row>
    <row r="63793" spans="3:13" ht="12.75" customHeight="1" x14ac:dyDescent="0.2">
      <c r="C63793"/>
      <c r="M63793"/>
    </row>
    <row r="63794" spans="3:13" ht="12.75" customHeight="1" x14ac:dyDescent="0.2">
      <c r="C63794"/>
      <c r="M63794"/>
    </row>
    <row r="63795" spans="3:13" ht="12.75" customHeight="1" x14ac:dyDescent="0.2">
      <c r="C63795"/>
      <c r="M63795"/>
    </row>
    <row r="63796" spans="3:13" ht="12.75" customHeight="1" x14ac:dyDescent="0.2">
      <c r="C63796"/>
      <c r="M63796"/>
    </row>
    <row r="63797" spans="3:13" ht="12.75" customHeight="1" x14ac:dyDescent="0.2">
      <c r="C63797"/>
      <c r="M63797"/>
    </row>
    <row r="63798" spans="3:13" ht="12.75" customHeight="1" x14ac:dyDescent="0.2">
      <c r="C63798"/>
      <c r="M63798"/>
    </row>
    <row r="63799" spans="3:13" ht="12.75" customHeight="1" x14ac:dyDescent="0.2">
      <c r="C63799"/>
      <c r="M63799"/>
    </row>
    <row r="63800" spans="3:13" ht="12.75" customHeight="1" x14ac:dyDescent="0.2">
      <c r="C63800"/>
      <c r="M63800"/>
    </row>
    <row r="63801" spans="3:13" ht="12.75" customHeight="1" x14ac:dyDescent="0.2">
      <c r="C63801"/>
      <c r="M63801"/>
    </row>
    <row r="63802" spans="3:13" ht="12.75" customHeight="1" x14ac:dyDescent="0.2">
      <c r="C63802"/>
      <c r="M63802"/>
    </row>
    <row r="63803" spans="3:13" ht="12.75" customHeight="1" x14ac:dyDescent="0.2">
      <c r="C63803"/>
      <c r="M63803"/>
    </row>
    <row r="63804" spans="3:13" ht="12.75" customHeight="1" x14ac:dyDescent="0.2">
      <c r="C63804"/>
      <c r="M63804"/>
    </row>
    <row r="63805" spans="3:13" ht="12.75" customHeight="1" x14ac:dyDescent="0.2">
      <c r="C63805"/>
      <c r="M63805"/>
    </row>
    <row r="63806" spans="3:13" ht="12.75" customHeight="1" x14ac:dyDescent="0.2">
      <c r="C63806"/>
      <c r="M63806"/>
    </row>
    <row r="63807" spans="3:13" ht="12.75" customHeight="1" x14ac:dyDescent="0.2">
      <c r="C63807"/>
      <c r="M63807"/>
    </row>
    <row r="63808" spans="3:13" ht="12.75" customHeight="1" x14ac:dyDescent="0.2">
      <c r="C63808"/>
      <c r="M63808"/>
    </row>
    <row r="63809" spans="3:13" ht="12.75" customHeight="1" x14ac:dyDescent="0.2">
      <c r="C63809"/>
      <c r="M63809"/>
    </row>
    <row r="63810" spans="3:13" ht="12.75" customHeight="1" x14ac:dyDescent="0.2">
      <c r="C63810"/>
      <c r="M63810"/>
    </row>
    <row r="63811" spans="3:13" ht="12.75" customHeight="1" x14ac:dyDescent="0.2">
      <c r="C63811"/>
      <c r="M63811"/>
    </row>
    <row r="63812" spans="3:13" ht="12.75" customHeight="1" x14ac:dyDescent="0.2">
      <c r="C63812"/>
      <c r="M63812"/>
    </row>
    <row r="63813" spans="3:13" ht="12.75" customHeight="1" x14ac:dyDescent="0.2">
      <c r="C63813"/>
      <c r="M63813"/>
    </row>
    <row r="63814" spans="3:13" ht="12.75" customHeight="1" x14ac:dyDescent="0.2">
      <c r="C63814"/>
      <c r="M63814"/>
    </row>
    <row r="63815" spans="3:13" ht="12.75" customHeight="1" x14ac:dyDescent="0.2">
      <c r="C63815"/>
      <c r="M63815"/>
    </row>
    <row r="63816" spans="3:13" ht="12.75" customHeight="1" x14ac:dyDescent="0.2">
      <c r="C63816"/>
      <c r="M63816"/>
    </row>
    <row r="63817" spans="3:13" ht="12.75" customHeight="1" x14ac:dyDescent="0.2">
      <c r="C63817"/>
      <c r="M63817"/>
    </row>
    <row r="63818" spans="3:13" ht="12.75" customHeight="1" x14ac:dyDescent="0.2">
      <c r="C63818"/>
      <c r="M63818"/>
    </row>
    <row r="63819" spans="3:13" ht="12.75" customHeight="1" x14ac:dyDescent="0.2">
      <c r="C63819"/>
      <c r="M63819"/>
    </row>
    <row r="63820" spans="3:13" ht="12.75" customHeight="1" x14ac:dyDescent="0.2">
      <c r="C63820"/>
      <c r="M63820"/>
    </row>
    <row r="63821" spans="3:13" ht="12.75" customHeight="1" x14ac:dyDescent="0.2">
      <c r="C63821"/>
      <c r="M63821"/>
    </row>
    <row r="63822" spans="3:13" ht="12.75" customHeight="1" x14ac:dyDescent="0.2">
      <c r="C63822"/>
      <c r="M63822"/>
    </row>
    <row r="63823" spans="3:13" ht="12.75" customHeight="1" x14ac:dyDescent="0.2">
      <c r="C63823"/>
      <c r="M63823"/>
    </row>
    <row r="63824" spans="3:13" ht="12.75" customHeight="1" x14ac:dyDescent="0.2">
      <c r="C63824"/>
      <c r="M63824"/>
    </row>
    <row r="63825" spans="3:13" ht="12.75" customHeight="1" x14ac:dyDescent="0.2">
      <c r="C63825"/>
      <c r="M63825"/>
    </row>
    <row r="63826" spans="3:13" ht="12.75" customHeight="1" x14ac:dyDescent="0.2">
      <c r="C63826"/>
      <c r="M63826"/>
    </row>
    <row r="63827" spans="3:13" ht="12.75" customHeight="1" x14ac:dyDescent="0.2">
      <c r="C63827"/>
      <c r="M63827"/>
    </row>
    <row r="63828" spans="3:13" ht="12.75" customHeight="1" x14ac:dyDescent="0.2">
      <c r="C63828"/>
      <c r="M63828"/>
    </row>
    <row r="63829" spans="3:13" ht="12.75" customHeight="1" x14ac:dyDescent="0.2">
      <c r="C63829"/>
      <c r="M63829"/>
    </row>
    <row r="63830" spans="3:13" ht="12.75" customHeight="1" x14ac:dyDescent="0.2">
      <c r="C63830"/>
      <c r="M63830"/>
    </row>
    <row r="63831" spans="3:13" ht="12.75" customHeight="1" x14ac:dyDescent="0.2">
      <c r="C63831"/>
      <c r="M63831"/>
    </row>
    <row r="63832" spans="3:13" ht="12.75" customHeight="1" x14ac:dyDescent="0.2">
      <c r="C63832"/>
      <c r="M63832"/>
    </row>
    <row r="63833" spans="3:13" ht="12.75" customHeight="1" x14ac:dyDescent="0.2">
      <c r="C63833"/>
      <c r="M63833"/>
    </row>
    <row r="63834" spans="3:13" ht="12.75" customHeight="1" x14ac:dyDescent="0.2">
      <c r="C63834"/>
      <c r="M63834"/>
    </row>
    <row r="63835" spans="3:13" ht="12.75" customHeight="1" x14ac:dyDescent="0.2">
      <c r="C63835"/>
      <c r="M63835"/>
    </row>
    <row r="63836" spans="3:13" ht="12.75" customHeight="1" x14ac:dyDescent="0.2">
      <c r="C63836"/>
      <c r="M63836"/>
    </row>
    <row r="63837" spans="3:13" ht="12.75" customHeight="1" x14ac:dyDescent="0.2">
      <c r="C63837"/>
      <c r="M63837"/>
    </row>
    <row r="63838" spans="3:13" ht="12.75" customHeight="1" x14ac:dyDescent="0.2">
      <c r="C63838"/>
      <c r="M63838"/>
    </row>
    <row r="63839" spans="3:13" ht="12.75" customHeight="1" x14ac:dyDescent="0.2">
      <c r="C63839"/>
      <c r="M63839"/>
    </row>
    <row r="63840" spans="3:13" ht="12.75" customHeight="1" x14ac:dyDescent="0.2">
      <c r="C63840"/>
      <c r="M63840"/>
    </row>
    <row r="63841" spans="3:13" ht="12.75" customHeight="1" x14ac:dyDescent="0.2">
      <c r="C63841"/>
      <c r="M63841"/>
    </row>
    <row r="63842" spans="3:13" ht="12.75" customHeight="1" x14ac:dyDescent="0.2">
      <c r="C63842"/>
      <c r="M63842"/>
    </row>
    <row r="63843" spans="3:13" ht="12.75" customHeight="1" x14ac:dyDescent="0.2">
      <c r="C63843"/>
      <c r="M63843"/>
    </row>
    <row r="63844" spans="3:13" ht="12.75" customHeight="1" x14ac:dyDescent="0.2">
      <c r="C63844"/>
      <c r="M63844"/>
    </row>
    <row r="63845" spans="3:13" ht="12.75" customHeight="1" x14ac:dyDescent="0.2">
      <c r="C63845"/>
      <c r="M63845"/>
    </row>
    <row r="63846" spans="3:13" ht="12.75" customHeight="1" x14ac:dyDescent="0.2">
      <c r="C63846"/>
      <c r="M63846"/>
    </row>
    <row r="63847" spans="3:13" ht="12.75" customHeight="1" x14ac:dyDescent="0.2">
      <c r="C63847"/>
      <c r="M63847"/>
    </row>
    <row r="63848" spans="3:13" ht="12.75" customHeight="1" x14ac:dyDescent="0.2">
      <c r="C63848"/>
      <c r="M63848"/>
    </row>
    <row r="63849" spans="3:13" ht="12.75" customHeight="1" x14ac:dyDescent="0.2">
      <c r="C63849"/>
      <c r="M63849"/>
    </row>
    <row r="63850" spans="3:13" ht="12.75" customHeight="1" x14ac:dyDescent="0.2">
      <c r="C63850"/>
      <c r="M63850"/>
    </row>
    <row r="63851" spans="3:13" ht="12.75" customHeight="1" x14ac:dyDescent="0.2">
      <c r="C63851"/>
      <c r="M63851"/>
    </row>
    <row r="63852" spans="3:13" ht="12.75" customHeight="1" x14ac:dyDescent="0.2">
      <c r="C63852"/>
      <c r="M63852"/>
    </row>
    <row r="63853" spans="3:13" ht="12.75" customHeight="1" x14ac:dyDescent="0.2">
      <c r="C63853"/>
      <c r="M63853"/>
    </row>
    <row r="63854" spans="3:13" ht="12.75" customHeight="1" x14ac:dyDescent="0.2">
      <c r="C63854"/>
      <c r="M63854"/>
    </row>
    <row r="63855" spans="3:13" ht="12.75" customHeight="1" x14ac:dyDescent="0.2">
      <c r="C63855"/>
      <c r="M63855"/>
    </row>
    <row r="63856" spans="3:13" ht="12.75" customHeight="1" x14ac:dyDescent="0.2">
      <c r="C63856"/>
      <c r="M63856"/>
    </row>
    <row r="63857" spans="3:13" ht="12.75" customHeight="1" x14ac:dyDescent="0.2">
      <c r="C63857"/>
      <c r="M63857"/>
    </row>
    <row r="63858" spans="3:13" ht="12.75" customHeight="1" x14ac:dyDescent="0.2">
      <c r="C63858"/>
      <c r="M63858"/>
    </row>
    <row r="63859" spans="3:13" ht="12.75" customHeight="1" x14ac:dyDescent="0.2">
      <c r="C63859"/>
      <c r="M63859"/>
    </row>
    <row r="63860" spans="3:13" ht="12.75" customHeight="1" x14ac:dyDescent="0.2">
      <c r="C63860"/>
      <c r="M63860"/>
    </row>
    <row r="63861" spans="3:13" ht="12.75" customHeight="1" x14ac:dyDescent="0.2">
      <c r="C63861"/>
      <c r="M63861"/>
    </row>
    <row r="63862" spans="3:13" ht="12.75" customHeight="1" x14ac:dyDescent="0.2">
      <c r="C63862"/>
      <c r="M63862"/>
    </row>
    <row r="63863" spans="3:13" ht="12.75" customHeight="1" x14ac:dyDescent="0.2">
      <c r="C63863"/>
      <c r="M63863"/>
    </row>
    <row r="63864" spans="3:13" ht="12.75" customHeight="1" x14ac:dyDescent="0.2">
      <c r="C63864"/>
      <c r="M63864"/>
    </row>
    <row r="63865" spans="3:13" ht="12.75" customHeight="1" x14ac:dyDescent="0.2">
      <c r="C63865"/>
      <c r="M63865"/>
    </row>
    <row r="63866" spans="3:13" ht="12.75" customHeight="1" x14ac:dyDescent="0.2">
      <c r="C63866"/>
      <c r="M63866"/>
    </row>
    <row r="63867" spans="3:13" ht="12.75" customHeight="1" x14ac:dyDescent="0.2">
      <c r="C63867"/>
      <c r="M63867"/>
    </row>
    <row r="63868" spans="3:13" ht="12.75" customHeight="1" x14ac:dyDescent="0.2">
      <c r="C63868"/>
      <c r="M63868"/>
    </row>
    <row r="63869" spans="3:13" ht="12.75" customHeight="1" x14ac:dyDescent="0.2">
      <c r="C63869"/>
      <c r="M63869"/>
    </row>
    <row r="63870" spans="3:13" ht="12.75" customHeight="1" x14ac:dyDescent="0.2">
      <c r="C63870"/>
      <c r="M63870"/>
    </row>
    <row r="63871" spans="3:13" ht="12.75" customHeight="1" x14ac:dyDescent="0.2">
      <c r="C63871"/>
      <c r="M63871"/>
    </row>
    <row r="63872" spans="3:13" ht="12.75" customHeight="1" x14ac:dyDescent="0.2">
      <c r="C63872"/>
      <c r="M63872"/>
    </row>
    <row r="63873" spans="3:13" ht="12.75" customHeight="1" x14ac:dyDescent="0.2">
      <c r="C63873"/>
      <c r="M63873"/>
    </row>
    <row r="63874" spans="3:13" ht="12.75" customHeight="1" x14ac:dyDescent="0.2">
      <c r="C63874"/>
      <c r="M63874"/>
    </row>
    <row r="63875" spans="3:13" ht="12.75" customHeight="1" x14ac:dyDescent="0.2">
      <c r="C63875"/>
      <c r="M63875"/>
    </row>
    <row r="63876" spans="3:13" ht="12.75" customHeight="1" x14ac:dyDescent="0.2">
      <c r="C63876"/>
      <c r="M63876"/>
    </row>
    <row r="63877" spans="3:13" ht="12.75" customHeight="1" x14ac:dyDescent="0.2">
      <c r="C63877"/>
      <c r="M63877"/>
    </row>
    <row r="63878" spans="3:13" ht="12.75" customHeight="1" x14ac:dyDescent="0.2">
      <c r="C63878"/>
      <c r="M63878"/>
    </row>
    <row r="63879" spans="3:13" ht="12.75" customHeight="1" x14ac:dyDescent="0.2">
      <c r="C63879"/>
      <c r="M63879"/>
    </row>
    <row r="63880" spans="3:13" ht="12.75" customHeight="1" x14ac:dyDescent="0.2">
      <c r="C63880"/>
      <c r="M63880"/>
    </row>
    <row r="63881" spans="3:13" ht="12.75" customHeight="1" x14ac:dyDescent="0.2">
      <c r="C63881"/>
      <c r="M63881"/>
    </row>
    <row r="63882" spans="3:13" ht="12.75" customHeight="1" x14ac:dyDescent="0.2">
      <c r="C63882"/>
      <c r="M63882"/>
    </row>
    <row r="63883" spans="3:13" ht="12.75" customHeight="1" x14ac:dyDescent="0.2">
      <c r="C63883"/>
      <c r="M63883"/>
    </row>
    <row r="63884" spans="3:13" ht="12.75" customHeight="1" x14ac:dyDescent="0.2">
      <c r="C63884"/>
      <c r="M63884"/>
    </row>
    <row r="63885" spans="3:13" ht="12.75" customHeight="1" x14ac:dyDescent="0.2">
      <c r="C63885"/>
      <c r="M63885"/>
    </row>
    <row r="63886" spans="3:13" ht="12.75" customHeight="1" x14ac:dyDescent="0.2">
      <c r="C63886"/>
      <c r="M63886"/>
    </row>
    <row r="63887" spans="3:13" ht="12.75" customHeight="1" x14ac:dyDescent="0.2">
      <c r="C63887"/>
      <c r="M63887"/>
    </row>
    <row r="63888" spans="3:13" ht="12.75" customHeight="1" x14ac:dyDescent="0.2">
      <c r="C63888"/>
      <c r="M63888"/>
    </row>
    <row r="63889" spans="3:13" ht="12.75" customHeight="1" x14ac:dyDescent="0.2">
      <c r="C63889"/>
      <c r="M63889"/>
    </row>
    <row r="63890" spans="3:13" ht="12.75" customHeight="1" x14ac:dyDescent="0.2">
      <c r="C63890"/>
      <c r="M63890"/>
    </row>
    <row r="63891" spans="3:13" ht="12.75" customHeight="1" x14ac:dyDescent="0.2">
      <c r="C63891"/>
      <c r="M63891"/>
    </row>
    <row r="63892" spans="3:13" ht="12.75" customHeight="1" x14ac:dyDescent="0.2">
      <c r="C63892"/>
      <c r="M63892"/>
    </row>
    <row r="63893" spans="3:13" ht="12.75" customHeight="1" x14ac:dyDescent="0.2">
      <c r="C63893"/>
      <c r="M63893"/>
    </row>
    <row r="63894" spans="3:13" ht="12.75" customHeight="1" x14ac:dyDescent="0.2">
      <c r="C63894"/>
      <c r="M63894"/>
    </row>
    <row r="63895" spans="3:13" ht="12.75" customHeight="1" x14ac:dyDescent="0.2">
      <c r="C63895"/>
      <c r="M63895"/>
    </row>
    <row r="63896" spans="3:13" ht="12.75" customHeight="1" x14ac:dyDescent="0.2">
      <c r="C63896"/>
      <c r="M63896"/>
    </row>
    <row r="63897" spans="3:13" ht="12.75" customHeight="1" x14ac:dyDescent="0.2">
      <c r="C63897"/>
      <c r="M63897"/>
    </row>
    <row r="63898" spans="3:13" ht="12.75" customHeight="1" x14ac:dyDescent="0.2">
      <c r="C63898"/>
      <c r="M63898"/>
    </row>
    <row r="63899" spans="3:13" ht="12.75" customHeight="1" x14ac:dyDescent="0.2">
      <c r="C63899"/>
      <c r="M63899"/>
    </row>
    <row r="63900" spans="3:13" ht="12.75" customHeight="1" x14ac:dyDescent="0.2">
      <c r="C63900"/>
      <c r="M63900"/>
    </row>
    <row r="63901" spans="3:13" ht="12.75" customHeight="1" x14ac:dyDescent="0.2">
      <c r="C63901"/>
      <c r="M63901"/>
    </row>
    <row r="63902" spans="3:13" ht="12.75" customHeight="1" x14ac:dyDescent="0.2">
      <c r="C63902"/>
      <c r="M63902"/>
    </row>
    <row r="63903" spans="3:13" ht="12.75" customHeight="1" x14ac:dyDescent="0.2">
      <c r="C63903"/>
      <c r="M63903"/>
    </row>
    <row r="63904" spans="3:13" ht="12.75" customHeight="1" x14ac:dyDescent="0.2">
      <c r="C63904"/>
      <c r="M63904"/>
    </row>
    <row r="63905" spans="3:13" ht="12.75" customHeight="1" x14ac:dyDescent="0.2">
      <c r="C63905"/>
      <c r="M63905"/>
    </row>
    <row r="63906" spans="3:13" ht="12.75" customHeight="1" x14ac:dyDescent="0.2">
      <c r="C63906"/>
      <c r="M63906"/>
    </row>
    <row r="63907" spans="3:13" ht="12.75" customHeight="1" x14ac:dyDescent="0.2">
      <c r="C63907"/>
      <c r="M63907"/>
    </row>
    <row r="63908" spans="3:13" ht="12.75" customHeight="1" x14ac:dyDescent="0.2">
      <c r="C63908"/>
      <c r="M63908"/>
    </row>
    <row r="63909" spans="3:13" ht="12.75" customHeight="1" x14ac:dyDescent="0.2">
      <c r="C63909"/>
      <c r="M63909"/>
    </row>
    <row r="63910" spans="3:13" ht="12.75" customHeight="1" x14ac:dyDescent="0.2">
      <c r="C63910"/>
      <c r="M63910"/>
    </row>
    <row r="63911" spans="3:13" ht="12.75" customHeight="1" x14ac:dyDescent="0.2">
      <c r="C63911"/>
      <c r="M63911"/>
    </row>
    <row r="63912" spans="3:13" ht="12.75" customHeight="1" x14ac:dyDescent="0.2">
      <c r="C63912"/>
      <c r="M63912"/>
    </row>
    <row r="63913" spans="3:13" ht="12.75" customHeight="1" x14ac:dyDescent="0.2">
      <c r="C63913"/>
      <c r="M63913"/>
    </row>
    <row r="63914" spans="3:13" ht="12.75" customHeight="1" x14ac:dyDescent="0.2">
      <c r="C63914"/>
      <c r="M63914"/>
    </row>
    <row r="63915" spans="3:13" ht="12.75" customHeight="1" x14ac:dyDescent="0.2">
      <c r="C63915"/>
      <c r="M63915"/>
    </row>
    <row r="63916" spans="3:13" ht="12.75" customHeight="1" x14ac:dyDescent="0.2">
      <c r="C63916"/>
      <c r="M63916"/>
    </row>
    <row r="63917" spans="3:13" ht="12.75" customHeight="1" x14ac:dyDescent="0.2">
      <c r="C63917"/>
      <c r="M63917"/>
    </row>
    <row r="63918" spans="3:13" ht="12.75" customHeight="1" x14ac:dyDescent="0.2">
      <c r="C63918"/>
      <c r="M63918"/>
    </row>
    <row r="63919" spans="3:13" ht="12.75" customHeight="1" x14ac:dyDescent="0.2">
      <c r="C63919"/>
      <c r="M63919"/>
    </row>
    <row r="63920" spans="3:13" ht="12.75" customHeight="1" x14ac:dyDescent="0.2">
      <c r="C63920"/>
      <c r="M63920"/>
    </row>
    <row r="63921" spans="3:13" ht="12.75" customHeight="1" x14ac:dyDescent="0.2">
      <c r="C63921"/>
      <c r="M63921"/>
    </row>
    <row r="63922" spans="3:13" ht="12.75" customHeight="1" x14ac:dyDescent="0.2">
      <c r="C63922"/>
      <c r="M63922"/>
    </row>
    <row r="63923" spans="3:13" ht="12.75" customHeight="1" x14ac:dyDescent="0.2">
      <c r="C63923"/>
      <c r="M63923"/>
    </row>
    <row r="63924" spans="3:13" ht="12.75" customHeight="1" x14ac:dyDescent="0.2">
      <c r="C63924"/>
      <c r="M63924"/>
    </row>
    <row r="63925" spans="3:13" ht="12.75" customHeight="1" x14ac:dyDescent="0.2">
      <c r="C63925"/>
      <c r="M63925"/>
    </row>
    <row r="63926" spans="3:13" ht="12.75" customHeight="1" x14ac:dyDescent="0.2">
      <c r="C63926"/>
      <c r="M63926"/>
    </row>
    <row r="63927" spans="3:13" ht="12.75" customHeight="1" x14ac:dyDescent="0.2">
      <c r="C63927"/>
      <c r="M63927"/>
    </row>
    <row r="63928" spans="3:13" ht="12.75" customHeight="1" x14ac:dyDescent="0.2">
      <c r="C63928"/>
      <c r="M63928"/>
    </row>
    <row r="63929" spans="3:13" ht="12.75" customHeight="1" x14ac:dyDescent="0.2">
      <c r="C63929"/>
      <c r="M63929"/>
    </row>
    <row r="63930" spans="3:13" ht="12.75" customHeight="1" x14ac:dyDescent="0.2">
      <c r="C63930"/>
      <c r="M63930"/>
    </row>
    <row r="63931" spans="3:13" ht="12.75" customHeight="1" x14ac:dyDescent="0.2">
      <c r="C63931"/>
      <c r="M63931"/>
    </row>
    <row r="63932" spans="3:13" ht="12.75" customHeight="1" x14ac:dyDescent="0.2">
      <c r="C63932"/>
      <c r="M63932"/>
    </row>
    <row r="63933" spans="3:13" ht="12.75" customHeight="1" x14ac:dyDescent="0.2">
      <c r="C63933"/>
      <c r="M63933"/>
    </row>
    <row r="63934" spans="3:13" ht="12.75" customHeight="1" x14ac:dyDescent="0.2">
      <c r="C63934"/>
      <c r="M63934"/>
    </row>
    <row r="63935" spans="3:13" ht="12.75" customHeight="1" x14ac:dyDescent="0.2">
      <c r="C63935"/>
      <c r="M63935"/>
    </row>
    <row r="63936" spans="3:13" ht="12.75" customHeight="1" x14ac:dyDescent="0.2">
      <c r="C63936"/>
      <c r="M63936"/>
    </row>
    <row r="63937" spans="3:13" ht="12.75" customHeight="1" x14ac:dyDescent="0.2">
      <c r="C63937"/>
      <c r="M63937"/>
    </row>
    <row r="63938" spans="3:13" ht="12.75" customHeight="1" x14ac:dyDescent="0.2">
      <c r="C63938"/>
      <c r="M63938"/>
    </row>
    <row r="63939" spans="3:13" ht="12.75" customHeight="1" x14ac:dyDescent="0.2">
      <c r="C63939"/>
      <c r="M63939"/>
    </row>
    <row r="63940" spans="3:13" ht="12.75" customHeight="1" x14ac:dyDescent="0.2">
      <c r="C63940"/>
      <c r="M63940"/>
    </row>
    <row r="63941" spans="3:13" ht="12.75" customHeight="1" x14ac:dyDescent="0.2">
      <c r="C63941"/>
      <c r="M63941"/>
    </row>
    <row r="63942" spans="3:13" ht="12.75" customHeight="1" x14ac:dyDescent="0.2">
      <c r="C63942"/>
      <c r="M63942"/>
    </row>
    <row r="63943" spans="3:13" ht="12.75" customHeight="1" x14ac:dyDescent="0.2">
      <c r="C63943"/>
      <c r="M63943"/>
    </row>
    <row r="63944" spans="3:13" ht="12.75" customHeight="1" x14ac:dyDescent="0.2">
      <c r="C63944"/>
      <c r="M63944"/>
    </row>
    <row r="63945" spans="3:13" ht="12.75" customHeight="1" x14ac:dyDescent="0.2">
      <c r="C63945"/>
      <c r="M63945"/>
    </row>
    <row r="63946" spans="3:13" ht="12.75" customHeight="1" x14ac:dyDescent="0.2">
      <c r="C63946"/>
      <c r="M63946"/>
    </row>
    <row r="63947" spans="3:13" ht="12.75" customHeight="1" x14ac:dyDescent="0.2">
      <c r="C63947"/>
      <c r="M63947"/>
    </row>
    <row r="63948" spans="3:13" ht="12.75" customHeight="1" x14ac:dyDescent="0.2">
      <c r="C63948"/>
      <c r="M63948"/>
    </row>
    <row r="63949" spans="3:13" ht="12.75" customHeight="1" x14ac:dyDescent="0.2">
      <c r="C63949"/>
      <c r="M63949"/>
    </row>
    <row r="63950" spans="3:13" ht="12.75" customHeight="1" x14ac:dyDescent="0.2">
      <c r="C63950"/>
      <c r="M63950"/>
    </row>
    <row r="63951" spans="3:13" ht="12.75" customHeight="1" x14ac:dyDescent="0.2">
      <c r="C63951"/>
      <c r="M63951"/>
    </row>
    <row r="63952" spans="3:13" ht="12.75" customHeight="1" x14ac:dyDescent="0.2">
      <c r="C63952"/>
      <c r="M63952"/>
    </row>
    <row r="63953" spans="3:13" ht="12.75" customHeight="1" x14ac:dyDescent="0.2">
      <c r="C63953"/>
      <c r="M63953"/>
    </row>
    <row r="63954" spans="3:13" ht="12.75" customHeight="1" x14ac:dyDescent="0.2">
      <c r="C63954"/>
      <c r="M63954"/>
    </row>
    <row r="63955" spans="3:13" ht="12.75" customHeight="1" x14ac:dyDescent="0.2">
      <c r="C63955"/>
      <c r="M63955"/>
    </row>
    <row r="63956" spans="3:13" ht="12.75" customHeight="1" x14ac:dyDescent="0.2">
      <c r="C63956"/>
      <c r="M63956"/>
    </row>
    <row r="63957" spans="3:13" ht="12.75" customHeight="1" x14ac:dyDescent="0.2">
      <c r="C63957"/>
      <c r="M63957"/>
    </row>
    <row r="63958" spans="3:13" ht="12.75" customHeight="1" x14ac:dyDescent="0.2">
      <c r="C63958"/>
      <c r="M63958"/>
    </row>
    <row r="63959" spans="3:13" ht="12.75" customHeight="1" x14ac:dyDescent="0.2">
      <c r="C63959"/>
      <c r="M63959"/>
    </row>
    <row r="63960" spans="3:13" ht="12.75" customHeight="1" x14ac:dyDescent="0.2">
      <c r="C63960"/>
      <c r="M63960"/>
    </row>
    <row r="63961" spans="3:13" ht="12.75" customHeight="1" x14ac:dyDescent="0.2">
      <c r="C63961"/>
      <c r="M63961"/>
    </row>
    <row r="63962" spans="3:13" ht="12.75" customHeight="1" x14ac:dyDescent="0.2">
      <c r="C63962"/>
      <c r="M63962"/>
    </row>
    <row r="63963" spans="3:13" ht="12.75" customHeight="1" x14ac:dyDescent="0.2">
      <c r="C63963"/>
      <c r="M63963"/>
    </row>
    <row r="63964" spans="3:13" ht="12.75" customHeight="1" x14ac:dyDescent="0.2">
      <c r="C63964"/>
      <c r="M63964"/>
    </row>
    <row r="63965" spans="3:13" ht="12.75" customHeight="1" x14ac:dyDescent="0.2">
      <c r="C63965"/>
      <c r="M63965"/>
    </row>
    <row r="63966" spans="3:13" ht="12.75" customHeight="1" x14ac:dyDescent="0.2">
      <c r="C63966"/>
      <c r="M63966"/>
    </row>
    <row r="63967" spans="3:13" ht="12.75" customHeight="1" x14ac:dyDescent="0.2">
      <c r="C63967"/>
      <c r="M63967"/>
    </row>
    <row r="63968" spans="3:13" ht="12.75" customHeight="1" x14ac:dyDescent="0.2">
      <c r="C63968"/>
      <c r="M63968"/>
    </row>
    <row r="63969" spans="3:13" ht="12.75" customHeight="1" x14ac:dyDescent="0.2">
      <c r="C63969"/>
      <c r="M63969"/>
    </row>
    <row r="63970" spans="3:13" ht="12.75" customHeight="1" x14ac:dyDescent="0.2">
      <c r="C63970"/>
      <c r="M63970"/>
    </row>
    <row r="63971" spans="3:13" ht="12.75" customHeight="1" x14ac:dyDescent="0.2">
      <c r="C63971"/>
      <c r="M63971"/>
    </row>
    <row r="63972" spans="3:13" ht="12.75" customHeight="1" x14ac:dyDescent="0.2">
      <c r="C63972"/>
      <c r="M63972"/>
    </row>
    <row r="63973" spans="3:13" ht="12.75" customHeight="1" x14ac:dyDescent="0.2">
      <c r="C63973"/>
      <c r="M63973"/>
    </row>
    <row r="63974" spans="3:13" ht="12.75" customHeight="1" x14ac:dyDescent="0.2">
      <c r="C63974"/>
      <c r="M63974"/>
    </row>
    <row r="63975" spans="3:13" ht="12.75" customHeight="1" x14ac:dyDescent="0.2">
      <c r="C63975"/>
      <c r="M63975"/>
    </row>
    <row r="63976" spans="3:13" ht="12.75" customHeight="1" x14ac:dyDescent="0.2">
      <c r="C63976"/>
      <c r="M63976"/>
    </row>
    <row r="63977" spans="3:13" ht="12.75" customHeight="1" x14ac:dyDescent="0.2">
      <c r="C63977"/>
      <c r="M63977"/>
    </row>
    <row r="63978" spans="3:13" ht="12.75" customHeight="1" x14ac:dyDescent="0.2">
      <c r="C63978"/>
      <c r="M63978"/>
    </row>
    <row r="63979" spans="3:13" ht="12.75" customHeight="1" x14ac:dyDescent="0.2">
      <c r="C63979"/>
      <c r="M63979"/>
    </row>
    <row r="63980" spans="3:13" ht="12.75" customHeight="1" x14ac:dyDescent="0.2">
      <c r="C63980"/>
      <c r="M63980"/>
    </row>
    <row r="63981" spans="3:13" ht="12.75" customHeight="1" x14ac:dyDescent="0.2">
      <c r="C63981"/>
      <c r="M63981"/>
    </row>
    <row r="63982" spans="3:13" ht="12.75" customHeight="1" x14ac:dyDescent="0.2">
      <c r="C63982"/>
      <c r="M63982"/>
    </row>
    <row r="63983" spans="3:13" ht="12.75" customHeight="1" x14ac:dyDescent="0.2">
      <c r="C63983"/>
      <c r="M63983"/>
    </row>
    <row r="63984" spans="3:13" ht="12.75" customHeight="1" x14ac:dyDescent="0.2">
      <c r="C63984"/>
      <c r="M63984"/>
    </row>
    <row r="63985" spans="3:13" ht="12.75" customHeight="1" x14ac:dyDescent="0.2">
      <c r="C63985"/>
      <c r="M63985"/>
    </row>
    <row r="63986" spans="3:13" ht="12.75" customHeight="1" x14ac:dyDescent="0.2">
      <c r="C63986"/>
      <c r="M63986"/>
    </row>
    <row r="63987" spans="3:13" ht="12.75" customHeight="1" x14ac:dyDescent="0.2">
      <c r="C63987"/>
      <c r="M63987"/>
    </row>
    <row r="63988" spans="3:13" ht="12.75" customHeight="1" x14ac:dyDescent="0.2">
      <c r="C63988"/>
      <c r="M63988"/>
    </row>
    <row r="63989" spans="3:13" ht="12.75" customHeight="1" x14ac:dyDescent="0.2">
      <c r="C63989"/>
      <c r="M63989"/>
    </row>
    <row r="63990" spans="3:13" ht="12.75" customHeight="1" x14ac:dyDescent="0.2">
      <c r="C63990"/>
      <c r="M63990"/>
    </row>
    <row r="63991" spans="3:13" ht="12.75" customHeight="1" x14ac:dyDescent="0.2">
      <c r="C63991"/>
      <c r="M63991"/>
    </row>
    <row r="63992" spans="3:13" ht="12.75" customHeight="1" x14ac:dyDescent="0.2">
      <c r="C63992"/>
      <c r="M63992"/>
    </row>
    <row r="63993" spans="3:13" ht="12.75" customHeight="1" x14ac:dyDescent="0.2">
      <c r="C63993"/>
      <c r="M63993"/>
    </row>
    <row r="63994" spans="3:13" ht="12.75" customHeight="1" x14ac:dyDescent="0.2">
      <c r="C63994"/>
      <c r="M63994"/>
    </row>
    <row r="63995" spans="3:13" ht="12.75" customHeight="1" x14ac:dyDescent="0.2">
      <c r="C63995"/>
      <c r="M63995"/>
    </row>
    <row r="63996" spans="3:13" ht="12.75" customHeight="1" x14ac:dyDescent="0.2">
      <c r="C63996"/>
      <c r="M63996"/>
    </row>
    <row r="63997" spans="3:13" ht="12.75" customHeight="1" x14ac:dyDescent="0.2">
      <c r="C63997"/>
      <c r="M63997"/>
    </row>
    <row r="63998" spans="3:13" ht="12.75" customHeight="1" x14ac:dyDescent="0.2">
      <c r="C63998"/>
      <c r="M63998"/>
    </row>
    <row r="63999" spans="3:13" ht="12.75" customHeight="1" x14ac:dyDescent="0.2">
      <c r="C63999"/>
      <c r="M63999"/>
    </row>
    <row r="64000" spans="3:13" ht="12.75" customHeight="1" x14ac:dyDescent="0.2">
      <c r="C64000"/>
      <c r="M64000"/>
    </row>
    <row r="64001" spans="3:13" ht="12.75" customHeight="1" x14ac:dyDescent="0.2">
      <c r="C64001"/>
      <c r="M64001"/>
    </row>
    <row r="64002" spans="3:13" ht="12.75" customHeight="1" x14ac:dyDescent="0.2">
      <c r="C64002"/>
      <c r="M64002"/>
    </row>
    <row r="64003" spans="3:13" ht="12.75" customHeight="1" x14ac:dyDescent="0.2">
      <c r="C64003"/>
      <c r="M64003"/>
    </row>
    <row r="64004" spans="3:13" ht="12.75" customHeight="1" x14ac:dyDescent="0.2">
      <c r="C64004"/>
      <c r="M64004"/>
    </row>
    <row r="64005" spans="3:13" ht="12.75" customHeight="1" x14ac:dyDescent="0.2">
      <c r="C64005"/>
      <c r="M64005"/>
    </row>
    <row r="64006" spans="3:13" ht="12.75" customHeight="1" x14ac:dyDescent="0.2">
      <c r="C64006"/>
      <c r="M64006"/>
    </row>
    <row r="64007" spans="3:13" ht="12.75" customHeight="1" x14ac:dyDescent="0.2">
      <c r="C64007"/>
      <c r="M64007"/>
    </row>
    <row r="64008" spans="3:13" ht="12.75" customHeight="1" x14ac:dyDescent="0.2">
      <c r="C64008"/>
      <c r="M64008"/>
    </row>
    <row r="64009" spans="3:13" ht="12.75" customHeight="1" x14ac:dyDescent="0.2">
      <c r="C64009"/>
      <c r="M64009"/>
    </row>
    <row r="64010" spans="3:13" ht="12.75" customHeight="1" x14ac:dyDescent="0.2">
      <c r="C64010"/>
      <c r="M64010"/>
    </row>
    <row r="64011" spans="3:13" ht="12.75" customHeight="1" x14ac:dyDescent="0.2">
      <c r="C64011"/>
      <c r="M64011"/>
    </row>
    <row r="64012" spans="3:13" ht="12.75" customHeight="1" x14ac:dyDescent="0.2">
      <c r="C64012"/>
      <c r="M64012"/>
    </row>
    <row r="64013" spans="3:13" ht="12.75" customHeight="1" x14ac:dyDescent="0.2">
      <c r="C64013"/>
      <c r="M64013"/>
    </row>
    <row r="64014" spans="3:13" ht="12.75" customHeight="1" x14ac:dyDescent="0.2">
      <c r="C64014"/>
      <c r="M64014"/>
    </row>
    <row r="64015" spans="3:13" ht="12.75" customHeight="1" x14ac:dyDescent="0.2">
      <c r="C64015"/>
      <c r="M64015"/>
    </row>
    <row r="64016" spans="3:13" ht="12.75" customHeight="1" x14ac:dyDescent="0.2">
      <c r="C64016"/>
      <c r="M64016"/>
    </row>
    <row r="64017" spans="3:13" ht="12.75" customHeight="1" x14ac:dyDescent="0.2">
      <c r="C64017"/>
      <c r="M64017"/>
    </row>
    <row r="64018" spans="3:13" ht="12.75" customHeight="1" x14ac:dyDescent="0.2">
      <c r="C64018"/>
      <c r="M64018"/>
    </row>
    <row r="64019" spans="3:13" ht="12.75" customHeight="1" x14ac:dyDescent="0.2">
      <c r="C64019"/>
      <c r="M64019"/>
    </row>
    <row r="64020" spans="3:13" ht="12.75" customHeight="1" x14ac:dyDescent="0.2">
      <c r="C64020"/>
      <c r="M64020"/>
    </row>
    <row r="64021" spans="3:13" ht="12.75" customHeight="1" x14ac:dyDescent="0.2">
      <c r="C64021"/>
      <c r="M64021"/>
    </row>
    <row r="64022" spans="3:13" ht="12.75" customHeight="1" x14ac:dyDescent="0.2">
      <c r="C64022"/>
      <c r="M64022"/>
    </row>
    <row r="64023" spans="3:13" ht="12.75" customHeight="1" x14ac:dyDescent="0.2">
      <c r="C64023"/>
      <c r="M64023"/>
    </row>
    <row r="64024" spans="3:13" ht="12.75" customHeight="1" x14ac:dyDescent="0.2">
      <c r="C64024"/>
      <c r="M64024"/>
    </row>
    <row r="64025" spans="3:13" ht="12.75" customHeight="1" x14ac:dyDescent="0.2">
      <c r="C64025"/>
      <c r="M64025"/>
    </row>
    <row r="64026" spans="3:13" ht="12.75" customHeight="1" x14ac:dyDescent="0.2">
      <c r="C64026"/>
      <c r="M64026"/>
    </row>
    <row r="64027" spans="3:13" ht="12.75" customHeight="1" x14ac:dyDescent="0.2">
      <c r="C64027"/>
      <c r="M64027"/>
    </row>
    <row r="64028" spans="3:13" ht="12.75" customHeight="1" x14ac:dyDescent="0.2">
      <c r="C64028"/>
      <c r="M64028"/>
    </row>
    <row r="64029" spans="3:13" ht="12.75" customHeight="1" x14ac:dyDescent="0.2">
      <c r="C64029"/>
      <c r="M64029"/>
    </row>
    <row r="64030" spans="3:13" ht="12.75" customHeight="1" x14ac:dyDescent="0.2">
      <c r="C64030"/>
      <c r="M64030"/>
    </row>
    <row r="64031" spans="3:13" ht="12.75" customHeight="1" x14ac:dyDescent="0.2">
      <c r="C64031"/>
      <c r="M64031"/>
    </row>
    <row r="64032" spans="3:13" ht="12.75" customHeight="1" x14ac:dyDescent="0.2">
      <c r="C64032"/>
      <c r="M64032"/>
    </row>
    <row r="64033" spans="3:13" ht="12.75" customHeight="1" x14ac:dyDescent="0.2">
      <c r="C64033"/>
      <c r="M64033"/>
    </row>
    <row r="64034" spans="3:13" ht="12.75" customHeight="1" x14ac:dyDescent="0.2">
      <c r="C64034"/>
      <c r="M64034"/>
    </row>
    <row r="64035" spans="3:13" ht="12.75" customHeight="1" x14ac:dyDescent="0.2">
      <c r="C64035"/>
      <c r="M64035"/>
    </row>
    <row r="64036" spans="3:13" ht="12.75" customHeight="1" x14ac:dyDescent="0.2">
      <c r="C64036"/>
      <c r="M64036"/>
    </row>
    <row r="64037" spans="3:13" ht="12.75" customHeight="1" x14ac:dyDescent="0.2">
      <c r="C64037"/>
      <c r="M64037"/>
    </row>
    <row r="64038" spans="3:13" ht="12.75" customHeight="1" x14ac:dyDescent="0.2">
      <c r="C64038"/>
      <c r="M64038"/>
    </row>
    <row r="64039" spans="3:13" ht="12.75" customHeight="1" x14ac:dyDescent="0.2">
      <c r="C64039"/>
      <c r="M64039"/>
    </row>
    <row r="64040" spans="3:13" ht="12.75" customHeight="1" x14ac:dyDescent="0.2">
      <c r="C64040"/>
      <c r="M64040"/>
    </row>
    <row r="64041" spans="3:13" ht="12.75" customHeight="1" x14ac:dyDescent="0.2">
      <c r="C64041"/>
      <c r="M64041"/>
    </row>
    <row r="64042" spans="3:13" ht="12.75" customHeight="1" x14ac:dyDescent="0.2">
      <c r="C64042"/>
      <c r="M64042"/>
    </row>
    <row r="64043" spans="3:13" ht="12.75" customHeight="1" x14ac:dyDescent="0.2">
      <c r="C64043"/>
      <c r="M64043"/>
    </row>
    <row r="64044" spans="3:13" ht="12.75" customHeight="1" x14ac:dyDescent="0.2">
      <c r="C64044"/>
      <c r="M64044"/>
    </row>
    <row r="64045" spans="3:13" ht="12.75" customHeight="1" x14ac:dyDescent="0.2">
      <c r="C64045"/>
      <c r="M64045"/>
    </row>
    <row r="64046" spans="3:13" ht="12.75" customHeight="1" x14ac:dyDescent="0.2">
      <c r="C64046"/>
      <c r="M64046"/>
    </row>
    <row r="64047" spans="3:13" ht="12.75" customHeight="1" x14ac:dyDescent="0.2">
      <c r="C64047"/>
      <c r="M64047"/>
    </row>
    <row r="64048" spans="3:13" ht="12.75" customHeight="1" x14ac:dyDescent="0.2">
      <c r="C64048"/>
      <c r="M64048"/>
    </row>
    <row r="64049" spans="3:13" ht="12.75" customHeight="1" x14ac:dyDescent="0.2">
      <c r="C64049"/>
      <c r="M64049"/>
    </row>
    <row r="64050" spans="3:13" ht="12.75" customHeight="1" x14ac:dyDescent="0.2">
      <c r="C64050"/>
      <c r="M64050"/>
    </row>
    <row r="64051" spans="3:13" ht="12.75" customHeight="1" x14ac:dyDescent="0.2">
      <c r="C64051"/>
      <c r="M64051"/>
    </row>
    <row r="64052" spans="3:13" ht="12.75" customHeight="1" x14ac:dyDescent="0.2">
      <c r="C64052"/>
      <c r="M64052"/>
    </row>
    <row r="64053" spans="3:13" ht="12.75" customHeight="1" x14ac:dyDescent="0.2">
      <c r="C64053"/>
      <c r="M64053"/>
    </row>
    <row r="64054" spans="3:13" ht="12.75" customHeight="1" x14ac:dyDescent="0.2">
      <c r="C64054"/>
      <c r="M64054"/>
    </row>
    <row r="64055" spans="3:13" ht="12.75" customHeight="1" x14ac:dyDescent="0.2">
      <c r="C64055"/>
      <c r="M64055"/>
    </row>
    <row r="64056" spans="3:13" ht="12.75" customHeight="1" x14ac:dyDescent="0.2">
      <c r="C64056"/>
      <c r="M64056"/>
    </row>
    <row r="64057" spans="3:13" ht="12.75" customHeight="1" x14ac:dyDescent="0.2">
      <c r="C64057"/>
      <c r="M64057"/>
    </row>
    <row r="64058" spans="3:13" ht="12.75" customHeight="1" x14ac:dyDescent="0.2">
      <c r="C64058"/>
      <c r="M64058"/>
    </row>
    <row r="64059" spans="3:13" ht="12.75" customHeight="1" x14ac:dyDescent="0.2">
      <c r="C64059"/>
      <c r="M64059"/>
    </row>
    <row r="64060" spans="3:13" ht="12.75" customHeight="1" x14ac:dyDescent="0.2">
      <c r="C64060"/>
      <c r="M64060"/>
    </row>
    <row r="64061" spans="3:13" ht="12.75" customHeight="1" x14ac:dyDescent="0.2">
      <c r="C64061"/>
      <c r="M64061"/>
    </row>
    <row r="64062" spans="3:13" ht="12.75" customHeight="1" x14ac:dyDescent="0.2">
      <c r="C64062"/>
      <c r="M64062"/>
    </row>
    <row r="64063" spans="3:13" ht="12.75" customHeight="1" x14ac:dyDescent="0.2">
      <c r="C64063"/>
      <c r="M64063"/>
    </row>
    <row r="64064" spans="3:13" ht="12.75" customHeight="1" x14ac:dyDescent="0.2">
      <c r="C64064"/>
      <c r="M64064"/>
    </row>
    <row r="64065" spans="3:13" ht="12.75" customHeight="1" x14ac:dyDescent="0.2">
      <c r="C64065"/>
      <c r="M64065"/>
    </row>
    <row r="64066" spans="3:13" ht="12.75" customHeight="1" x14ac:dyDescent="0.2">
      <c r="C64066"/>
      <c r="M64066"/>
    </row>
    <row r="64067" spans="3:13" ht="12.75" customHeight="1" x14ac:dyDescent="0.2">
      <c r="C64067"/>
      <c r="M64067"/>
    </row>
    <row r="64068" spans="3:13" ht="12.75" customHeight="1" x14ac:dyDescent="0.2">
      <c r="C64068"/>
      <c r="M64068"/>
    </row>
    <row r="64069" spans="3:13" ht="12.75" customHeight="1" x14ac:dyDescent="0.2">
      <c r="C64069"/>
      <c r="M64069"/>
    </row>
    <row r="64070" spans="3:13" ht="12.75" customHeight="1" x14ac:dyDescent="0.2">
      <c r="C64070"/>
      <c r="M64070"/>
    </row>
    <row r="64071" spans="3:13" ht="12.75" customHeight="1" x14ac:dyDescent="0.2">
      <c r="C64071"/>
      <c r="M64071"/>
    </row>
    <row r="64072" spans="3:13" ht="12.75" customHeight="1" x14ac:dyDescent="0.2">
      <c r="C64072"/>
      <c r="M64072"/>
    </row>
    <row r="64073" spans="3:13" ht="12.75" customHeight="1" x14ac:dyDescent="0.2">
      <c r="C64073"/>
      <c r="M64073"/>
    </row>
    <row r="64074" spans="3:13" ht="12.75" customHeight="1" x14ac:dyDescent="0.2">
      <c r="C64074"/>
      <c r="M64074"/>
    </row>
    <row r="64075" spans="3:13" ht="12.75" customHeight="1" x14ac:dyDescent="0.2">
      <c r="C64075"/>
      <c r="M64075"/>
    </row>
    <row r="64076" spans="3:13" ht="12.75" customHeight="1" x14ac:dyDescent="0.2">
      <c r="C64076"/>
      <c r="M64076"/>
    </row>
    <row r="64077" spans="3:13" ht="12.75" customHeight="1" x14ac:dyDescent="0.2">
      <c r="C64077"/>
      <c r="M64077"/>
    </row>
    <row r="64078" spans="3:13" ht="12.75" customHeight="1" x14ac:dyDescent="0.2">
      <c r="C64078"/>
      <c r="M64078"/>
    </row>
    <row r="64079" spans="3:13" ht="12.75" customHeight="1" x14ac:dyDescent="0.2">
      <c r="C64079"/>
      <c r="M64079"/>
    </row>
    <row r="64080" spans="3:13" ht="12.75" customHeight="1" x14ac:dyDescent="0.2">
      <c r="C64080"/>
      <c r="M64080"/>
    </row>
    <row r="64081" spans="3:13" ht="12.75" customHeight="1" x14ac:dyDescent="0.2">
      <c r="C64081"/>
      <c r="M64081"/>
    </row>
    <row r="64082" spans="3:13" ht="12.75" customHeight="1" x14ac:dyDescent="0.2">
      <c r="C64082"/>
      <c r="M64082"/>
    </row>
    <row r="64083" spans="3:13" ht="12.75" customHeight="1" x14ac:dyDescent="0.2">
      <c r="C64083"/>
      <c r="M64083"/>
    </row>
    <row r="64084" spans="3:13" ht="12.75" customHeight="1" x14ac:dyDescent="0.2">
      <c r="C64084"/>
      <c r="M64084"/>
    </row>
    <row r="64085" spans="3:13" ht="12.75" customHeight="1" x14ac:dyDescent="0.2">
      <c r="C64085"/>
      <c r="M64085"/>
    </row>
    <row r="64086" spans="3:13" ht="12.75" customHeight="1" x14ac:dyDescent="0.2">
      <c r="C64086"/>
      <c r="M64086"/>
    </row>
    <row r="64087" spans="3:13" ht="12.75" customHeight="1" x14ac:dyDescent="0.2">
      <c r="C64087"/>
      <c r="M64087"/>
    </row>
    <row r="64088" spans="3:13" ht="12.75" customHeight="1" x14ac:dyDescent="0.2">
      <c r="C64088"/>
      <c r="M64088"/>
    </row>
    <row r="64089" spans="3:13" ht="12.75" customHeight="1" x14ac:dyDescent="0.2">
      <c r="C64089"/>
      <c r="M64089"/>
    </row>
    <row r="64090" spans="3:13" ht="12.75" customHeight="1" x14ac:dyDescent="0.2">
      <c r="C64090"/>
      <c r="M64090"/>
    </row>
    <row r="64091" spans="3:13" ht="12.75" customHeight="1" x14ac:dyDescent="0.2">
      <c r="C64091"/>
      <c r="M64091"/>
    </row>
    <row r="64092" spans="3:13" ht="12.75" customHeight="1" x14ac:dyDescent="0.2">
      <c r="C64092"/>
      <c r="M64092"/>
    </row>
    <row r="64093" spans="3:13" ht="12.75" customHeight="1" x14ac:dyDescent="0.2">
      <c r="C64093"/>
      <c r="M64093"/>
    </row>
    <row r="64094" spans="3:13" ht="12.75" customHeight="1" x14ac:dyDescent="0.2">
      <c r="C64094"/>
      <c r="M64094"/>
    </row>
    <row r="64095" spans="3:13" ht="12.75" customHeight="1" x14ac:dyDescent="0.2">
      <c r="C64095"/>
      <c r="M64095"/>
    </row>
    <row r="64096" spans="3:13" ht="12.75" customHeight="1" x14ac:dyDescent="0.2">
      <c r="C64096"/>
      <c r="M64096"/>
    </row>
    <row r="64097" spans="3:13" ht="12.75" customHeight="1" x14ac:dyDescent="0.2">
      <c r="C64097"/>
      <c r="M64097"/>
    </row>
    <row r="64098" spans="3:13" ht="12.75" customHeight="1" x14ac:dyDescent="0.2">
      <c r="C64098"/>
      <c r="M64098"/>
    </row>
    <row r="64099" spans="3:13" ht="12.75" customHeight="1" x14ac:dyDescent="0.2">
      <c r="C64099"/>
      <c r="M64099"/>
    </row>
    <row r="64100" spans="3:13" ht="12.75" customHeight="1" x14ac:dyDescent="0.2">
      <c r="C64100"/>
      <c r="M64100"/>
    </row>
    <row r="64101" spans="3:13" ht="12.75" customHeight="1" x14ac:dyDescent="0.2">
      <c r="C64101"/>
      <c r="M64101"/>
    </row>
    <row r="64102" spans="3:13" ht="12.75" customHeight="1" x14ac:dyDescent="0.2">
      <c r="C64102"/>
      <c r="M64102"/>
    </row>
    <row r="64103" spans="3:13" ht="12.75" customHeight="1" x14ac:dyDescent="0.2">
      <c r="C64103"/>
      <c r="M64103"/>
    </row>
    <row r="64104" spans="3:13" ht="12.75" customHeight="1" x14ac:dyDescent="0.2">
      <c r="C64104"/>
      <c r="M64104"/>
    </row>
    <row r="64105" spans="3:13" ht="12.75" customHeight="1" x14ac:dyDescent="0.2">
      <c r="C64105"/>
      <c r="M64105"/>
    </row>
    <row r="64106" spans="3:13" ht="12.75" customHeight="1" x14ac:dyDescent="0.2">
      <c r="C64106"/>
      <c r="M64106"/>
    </row>
    <row r="64107" spans="3:13" ht="12.75" customHeight="1" x14ac:dyDescent="0.2">
      <c r="C64107"/>
      <c r="M64107"/>
    </row>
    <row r="64108" spans="3:13" ht="12.75" customHeight="1" x14ac:dyDescent="0.2">
      <c r="C64108"/>
      <c r="M64108"/>
    </row>
    <row r="64109" spans="3:13" ht="12.75" customHeight="1" x14ac:dyDescent="0.2">
      <c r="C64109"/>
      <c r="M64109"/>
    </row>
    <row r="64110" spans="3:13" ht="12.75" customHeight="1" x14ac:dyDescent="0.2">
      <c r="C64110"/>
      <c r="M64110"/>
    </row>
    <row r="64111" spans="3:13" ht="12.75" customHeight="1" x14ac:dyDescent="0.2">
      <c r="C64111"/>
      <c r="M64111"/>
    </row>
    <row r="64112" spans="3:13" ht="12.75" customHeight="1" x14ac:dyDescent="0.2">
      <c r="C64112"/>
      <c r="M64112"/>
    </row>
    <row r="64113" spans="3:13" ht="12.75" customHeight="1" x14ac:dyDescent="0.2">
      <c r="C64113"/>
      <c r="M64113"/>
    </row>
    <row r="64114" spans="3:13" ht="12.75" customHeight="1" x14ac:dyDescent="0.2">
      <c r="C64114"/>
      <c r="M64114"/>
    </row>
    <row r="64115" spans="3:13" ht="12.75" customHeight="1" x14ac:dyDescent="0.2">
      <c r="C64115"/>
      <c r="M64115"/>
    </row>
    <row r="64116" spans="3:13" ht="12.75" customHeight="1" x14ac:dyDescent="0.2">
      <c r="C64116"/>
      <c r="M64116"/>
    </row>
    <row r="64117" spans="3:13" ht="12.75" customHeight="1" x14ac:dyDescent="0.2">
      <c r="C64117"/>
      <c r="M64117"/>
    </row>
    <row r="64118" spans="3:13" ht="12.75" customHeight="1" x14ac:dyDescent="0.2">
      <c r="C64118"/>
      <c r="M64118"/>
    </row>
    <row r="64119" spans="3:13" ht="12.75" customHeight="1" x14ac:dyDescent="0.2">
      <c r="C64119"/>
      <c r="M64119"/>
    </row>
    <row r="64120" spans="3:13" ht="12.75" customHeight="1" x14ac:dyDescent="0.2">
      <c r="C64120"/>
      <c r="M64120"/>
    </row>
    <row r="64121" spans="3:13" ht="12.75" customHeight="1" x14ac:dyDescent="0.2">
      <c r="C64121"/>
      <c r="M64121"/>
    </row>
    <row r="64122" spans="3:13" ht="12.75" customHeight="1" x14ac:dyDescent="0.2">
      <c r="C64122"/>
      <c r="M64122"/>
    </row>
    <row r="64123" spans="3:13" ht="12.75" customHeight="1" x14ac:dyDescent="0.2">
      <c r="C64123"/>
      <c r="M64123"/>
    </row>
    <row r="64124" spans="3:13" ht="12.75" customHeight="1" x14ac:dyDescent="0.2">
      <c r="C64124"/>
      <c r="M64124"/>
    </row>
    <row r="64125" spans="3:13" ht="12.75" customHeight="1" x14ac:dyDescent="0.2">
      <c r="C64125"/>
      <c r="M64125"/>
    </row>
    <row r="64126" spans="3:13" ht="12.75" customHeight="1" x14ac:dyDescent="0.2">
      <c r="C64126"/>
      <c r="M64126"/>
    </row>
    <row r="64127" spans="3:13" ht="12.75" customHeight="1" x14ac:dyDescent="0.2">
      <c r="C64127"/>
      <c r="M64127"/>
    </row>
    <row r="64128" spans="3:13" ht="12.75" customHeight="1" x14ac:dyDescent="0.2">
      <c r="C64128"/>
      <c r="M64128"/>
    </row>
    <row r="64129" spans="3:13" ht="12.75" customHeight="1" x14ac:dyDescent="0.2">
      <c r="C64129"/>
      <c r="M64129"/>
    </row>
    <row r="64130" spans="3:13" ht="12.75" customHeight="1" x14ac:dyDescent="0.2">
      <c r="C64130"/>
      <c r="M64130"/>
    </row>
    <row r="64131" spans="3:13" ht="12.75" customHeight="1" x14ac:dyDescent="0.2">
      <c r="C64131"/>
      <c r="M64131"/>
    </row>
    <row r="64132" spans="3:13" ht="12.75" customHeight="1" x14ac:dyDescent="0.2">
      <c r="C64132"/>
      <c r="M64132"/>
    </row>
    <row r="64133" spans="3:13" ht="12.75" customHeight="1" x14ac:dyDescent="0.2">
      <c r="C64133"/>
      <c r="M64133"/>
    </row>
    <row r="64134" spans="3:13" ht="12.75" customHeight="1" x14ac:dyDescent="0.2">
      <c r="C64134"/>
      <c r="M64134"/>
    </row>
    <row r="64135" spans="3:13" ht="12.75" customHeight="1" x14ac:dyDescent="0.2">
      <c r="C64135"/>
      <c r="M64135"/>
    </row>
    <row r="64136" spans="3:13" ht="12.75" customHeight="1" x14ac:dyDescent="0.2">
      <c r="C64136"/>
      <c r="M64136"/>
    </row>
    <row r="64137" spans="3:13" ht="12.75" customHeight="1" x14ac:dyDescent="0.2">
      <c r="C64137"/>
      <c r="M64137"/>
    </row>
    <row r="64138" spans="3:13" ht="12.75" customHeight="1" x14ac:dyDescent="0.2">
      <c r="C64138"/>
      <c r="M64138"/>
    </row>
    <row r="64139" spans="3:13" ht="12.75" customHeight="1" x14ac:dyDescent="0.2">
      <c r="C64139"/>
      <c r="M64139"/>
    </row>
    <row r="64140" spans="3:13" ht="12.75" customHeight="1" x14ac:dyDescent="0.2">
      <c r="C64140"/>
      <c r="M64140"/>
    </row>
    <row r="64141" spans="3:13" ht="12.75" customHeight="1" x14ac:dyDescent="0.2">
      <c r="C64141"/>
      <c r="M64141"/>
    </row>
    <row r="64142" spans="3:13" ht="12.75" customHeight="1" x14ac:dyDescent="0.2">
      <c r="C64142"/>
      <c r="M64142"/>
    </row>
    <row r="64143" spans="3:13" ht="12.75" customHeight="1" x14ac:dyDescent="0.2">
      <c r="C64143"/>
      <c r="M64143"/>
    </row>
    <row r="64144" spans="3:13" ht="12.75" customHeight="1" x14ac:dyDescent="0.2">
      <c r="C64144"/>
      <c r="M64144"/>
    </row>
    <row r="64145" spans="3:13" ht="12.75" customHeight="1" x14ac:dyDescent="0.2">
      <c r="C64145"/>
      <c r="M64145"/>
    </row>
    <row r="64146" spans="3:13" ht="12.75" customHeight="1" x14ac:dyDescent="0.2">
      <c r="C64146"/>
      <c r="M64146"/>
    </row>
    <row r="64147" spans="3:13" ht="12.75" customHeight="1" x14ac:dyDescent="0.2">
      <c r="C64147"/>
      <c r="M64147"/>
    </row>
    <row r="64148" spans="3:13" ht="12.75" customHeight="1" x14ac:dyDescent="0.2">
      <c r="C64148"/>
      <c r="M64148"/>
    </row>
    <row r="64149" spans="3:13" ht="12.75" customHeight="1" x14ac:dyDescent="0.2">
      <c r="C64149"/>
      <c r="M64149"/>
    </row>
    <row r="64150" spans="3:13" ht="12.75" customHeight="1" x14ac:dyDescent="0.2">
      <c r="C64150"/>
      <c r="M64150"/>
    </row>
    <row r="64151" spans="3:13" ht="12.75" customHeight="1" x14ac:dyDescent="0.2">
      <c r="C64151"/>
      <c r="M64151"/>
    </row>
    <row r="64152" spans="3:13" ht="12.75" customHeight="1" x14ac:dyDescent="0.2">
      <c r="C64152"/>
      <c r="M64152"/>
    </row>
    <row r="64153" spans="3:13" ht="12.75" customHeight="1" x14ac:dyDescent="0.2">
      <c r="C64153"/>
      <c r="M64153"/>
    </row>
    <row r="64154" spans="3:13" ht="12.75" customHeight="1" x14ac:dyDescent="0.2">
      <c r="C64154"/>
      <c r="M64154"/>
    </row>
    <row r="64155" spans="3:13" ht="12.75" customHeight="1" x14ac:dyDescent="0.2">
      <c r="C64155"/>
      <c r="M64155"/>
    </row>
    <row r="64156" spans="3:13" ht="12.75" customHeight="1" x14ac:dyDescent="0.2">
      <c r="C64156"/>
      <c r="M64156"/>
    </row>
    <row r="64157" spans="3:13" ht="12.75" customHeight="1" x14ac:dyDescent="0.2">
      <c r="C64157"/>
      <c r="M64157"/>
    </row>
    <row r="64158" spans="3:13" ht="12.75" customHeight="1" x14ac:dyDescent="0.2">
      <c r="C64158"/>
      <c r="M64158"/>
    </row>
    <row r="64159" spans="3:13" ht="12.75" customHeight="1" x14ac:dyDescent="0.2">
      <c r="C64159"/>
      <c r="M64159"/>
    </row>
    <row r="64160" spans="3:13" ht="12.75" customHeight="1" x14ac:dyDescent="0.2">
      <c r="C64160"/>
      <c r="M64160"/>
    </row>
    <row r="64161" spans="3:13" ht="12.75" customHeight="1" x14ac:dyDescent="0.2">
      <c r="C64161"/>
      <c r="M64161"/>
    </row>
    <row r="64162" spans="3:13" ht="12.75" customHeight="1" x14ac:dyDescent="0.2">
      <c r="C64162"/>
      <c r="M64162"/>
    </row>
    <row r="64163" spans="3:13" ht="12.75" customHeight="1" x14ac:dyDescent="0.2">
      <c r="C64163"/>
      <c r="M64163"/>
    </row>
    <row r="64164" spans="3:13" ht="12.75" customHeight="1" x14ac:dyDescent="0.2">
      <c r="C64164"/>
      <c r="M64164"/>
    </row>
    <row r="64165" spans="3:13" ht="12.75" customHeight="1" x14ac:dyDescent="0.2">
      <c r="C64165"/>
      <c r="M64165"/>
    </row>
    <row r="64166" spans="3:13" ht="12.75" customHeight="1" x14ac:dyDescent="0.2">
      <c r="C64166"/>
      <c r="M64166"/>
    </row>
    <row r="64167" spans="3:13" ht="12.75" customHeight="1" x14ac:dyDescent="0.2">
      <c r="C64167"/>
      <c r="M64167"/>
    </row>
    <row r="64168" spans="3:13" ht="12.75" customHeight="1" x14ac:dyDescent="0.2">
      <c r="C64168"/>
      <c r="M64168"/>
    </row>
    <row r="64169" spans="3:13" ht="12.75" customHeight="1" x14ac:dyDescent="0.2">
      <c r="C64169"/>
      <c r="M64169"/>
    </row>
    <row r="64170" spans="3:13" ht="12.75" customHeight="1" x14ac:dyDescent="0.2">
      <c r="C64170"/>
      <c r="M64170"/>
    </row>
    <row r="64171" spans="3:13" ht="12.75" customHeight="1" x14ac:dyDescent="0.2">
      <c r="C64171"/>
      <c r="M64171"/>
    </row>
    <row r="64172" spans="3:13" ht="12.75" customHeight="1" x14ac:dyDescent="0.2">
      <c r="C64172"/>
      <c r="M64172"/>
    </row>
    <row r="64173" spans="3:13" ht="12.75" customHeight="1" x14ac:dyDescent="0.2">
      <c r="C64173"/>
      <c r="M64173"/>
    </row>
    <row r="64174" spans="3:13" ht="12.75" customHeight="1" x14ac:dyDescent="0.2">
      <c r="C64174"/>
      <c r="M64174"/>
    </row>
    <row r="64175" spans="3:13" ht="12.75" customHeight="1" x14ac:dyDescent="0.2">
      <c r="C64175"/>
      <c r="M64175"/>
    </row>
    <row r="64176" spans="3:13" ht="12.75" customHeight="1" x14ac:dyDescent="0.2">
      <c r="C64176"/>
      <c r="M64176"/>
    </row>
    <row r="64177" spans="3:13" ht="12.75" customHeight="1" x14ac:dyDescent="0.2">
      <c r="C64177"/>
      <c r="M64177"/>
    </row>
    <row r="64178" spans="3:13" ht="12.75" customHeight="1" x14ac:dyDescent="0.2">
      <c r="C64178"/>
      <c r="M64178"/>
    </row>
    <row r="64179" spans="3:13" ht="12.75" customHeight="1" x14ac:dyDescent="0.2">
      <c r="C64179"/>
      <c r="M64179"/>
    </row>
    <row r="64180" spans="3:13" ht="12.75" customHeight="1" x14ac:dyDescent="0.2">
      <c r="C64180"/>
      <c r="M64180"/>
    </row>
    <row r="64181" spans="3:13" ht="12.75" customHeight="1" x14ac:dyDescent="0.2">
      <c r="C64181"/>
      <c r="M64181"/>
    </row>
    <row r="64182" spans="3:13" ht="12.75" customHeight="1" x14ac:dyDescent="0.2">
      <c r="C64182"/>
      <c r="M64182"/>
    </row>
    <row r="64183" spans="3:13" ht="12.75" customHeight="1" x14ac:dyDescent="0.2">
      <c r="C64183"/>
      <c r="M64183"/>
    </row>
    <row r="64184" spans="3:13" ht="12.75" customHeight="1" x14ac:dyDescent="0.2">
      <c r="C64184"/>
      <c r="M64184"/>
    </row>
    <row r="64185" spans="3:13" ht="12.75" customHeight="1" x14ac:dyDescent="0.2">
      <c r="C64185"/>
      <c r="M64185"/>
    </row>
    <row r="64186" spans="3:13" ht="12.75" customHeight="1" x14ac:dyDescent="0.2">
      <c r="C64186"/>
      <c r="M64186"/>
    </row>
    <row r="64187" spans="3:13" ht="12.75" customHeight="1" x14ac:dyDescent="0.2">
      <c r="C64187"/>
      <c r="M64187"/>
    </row>
    <row r="64188" spans="3:13" ht="12.75" customHeight="1" x14ac:dyDescent="0.2">
      <c r="C64188"/>
      <c r="M64188"/>
    </row>
    <row r="64189" spans="3:13" ht="12.75" customHeight="1" x14ac:dyDescent="0.2">
      <c r="C64189"/>
      <c r="M64189"/>
    </row>
    <row r="64190" spans="3:13" ht="12.75" customHeight="1" x14ac:dyDescent="0.2">
      <c r="C64190"/>
      <c r="M64190"/>
    </row>
    <row r="64191" spans="3:13" ht="12.75" customHeight="1" x14ac:dyDescent="0.2">
      <c r="C64191"/>
      <c r="M64191"/>
    </row>
    <row r="64192" spans="3:13" ht="12.75" customHeight="1" x14ac:dyDescent="0.2">
      <c r="C64192"/>
      <c r="M64192"/>
    </row>
    <row r="64193" spans="3:13" ht="12.75" customHeight="1" x14ac:dyDescent="0.2">
      <c r="C64193"/>
      <c r="M64193"/>
    </row>
    <row r="64194" spans="3:13" ht="12.75" customHeight="1" x14ac:dyDescent="0.2">
      <c r="C64194"/>
      <c r="M64194"/>
    </row>
    <row r="64195" spans="3:13" ht="12.75" customHeight="1" x14ac:dyDescent="0.2">
      <c r="C64195"/>
      <c r="M64195"/>
    </row>
    <row r="64196" spans="3:13" ht="12.75" customHeight="1" x14ac:dyDescent="0.2">
      <c r="C64196"/>
      <c r="M64196"/>
    </row>
    <row r="64197" spans="3:13" ht="12.75" customHeight="1" x14ac:dyDescent="0.2">
      <c r="C64197"/>
      <c r="M64197"/>
    </row>
    <row r="64198" spans="3:13" ht="12.75" customHeight="1" x14ac:dyDescent="0.2">
      <c r="C64198"/>
      <c r="M64198"/>
    </row>
    <row r="64199" spans="3:13" ht="12.75" customHeight="1" x14ac:dyDescent="0.2">
      <c r="C64199"/>
      <c r="M64199"/>
    </row>
    <row r="64200" spans="3:13" ht="12.75" customHeight="1" x14ac:dyDescent="0.2">
      <c r="C64200"/>
      <c r="M64200"/>
    </row>
    <row r="64201" spans="3:13" ht="12.75" customHeight="1" x14ac:dyDescent="0.2">
      <c r="C64201"/>
      <c r="M64201"/>
    </row>
    <row r="64202" spans="3:13" ht="12.75" customHeight="1" x14ac:dyDescent="0.2">
      <c r="C64202"/>
      <c r="M64202"/>
    </row>
    <row r="64203" spans="3:13" ht="12.75" customHeight="1" x14ac:dyDescent="0.2">
      <c r="C64203"/>
      <c r="M64203"/>
    </row>
    <row r="64204" spans="3:13" ht="12.75" customHeight="1" x14ac:dyDescent="0.2">
      <c r="C64204"/>
      <c r="M64204"/>
    </row>
    <row r="64205" spans="3:13" ht="12.75" customHeight="1" x14ac:dyDescent="0.2">
      <c r="C64205"/>
      <c r="M64205"/>
    </row>
    <row r="64206" spans="3:13" ht="12.75" customHeight="1" x14ac:dyDescent="0.2">
      <c r="C64206"/>
      <c r="M64206"/>
    </row>
    <row r="64207" spans="3:13" ht="12.75" customHeight="1" x14ac:dyDescent="0.2">
      <c r="C64207"/>
      <c r="M64207"/>
    </row>
    <row r="64208" spans="3:13" ht="12.75" customHeight="1" x14ac:dyDescent="0.2">
      <c r="C64208"/>
      <c r="M64208"/>
    </row>
    <row r="64209" spans="3:13" ht="12.75" customHeight="1" x14ac:dyDescent="0.2">
      <c r="C64209"/>
      <c r="M64209"/>
    </row>
    <row r="64210" spans="3:13" ht="12.75" customHeight="1" x14ac:dyDescent="0.2">
      <c r="C64210"/>
      <c r="M64210"/>
    </row>
    <row r="64211" spans="3:13" ht="12.75" customHeight="1" x14ac:dyDescent="0.2">
      <c r="C64211"/>
      <c r="M64211"/>
    </row>
    <row r="64212" spans="3:13" ht="12.75" customHeight="1" x14ac:dyDescent="0.2">
      <c r="C64212"/>
      <c r="M64212"/>
    </row>
    <row r="64213" spans="3:13" ht="12.75" customHeight="1" x14ac:dyDescent="0.2">
      <c r="C64213"/>
      <c r="M64213"/>
    </row>
    <row r="64214" spans="3:13" ht="12.75" customHeight="1" x14ac:dyDescent="0.2">
      <c r="C64214"/>
      <c r="M64214"/>
    </row>
    <row r="64215" spans="3:13" ht="12.75" customHeight="1" x14ac:dyDescent="0.2">
      <c r="C64215"/>
      <c r="M64215"/>
    </row>
    <row r="64216" spans="3:13" ht="12.75" customHeight="1" x14ac:dyDescent="0.2">
      <c r="C64216"/>
      <c r="M64216"/>
    </row>
    <row r="64217" spans="3:13" ht="12.75" customHeight="1" x14ac:dyDescent="0.2">
      <c r="C64217"/>
      <c r="M64217"/>
    </row>
    <row r="64218" spans="3:13" ht="12.75" customHeight="1" x14ac:dyDescent="0.2">
      <c r="C64218"/>
      <c r="M64218"/>
    </row>
    <row r="64219" spans="3:13" ht="12.75" customHeight="1" x14ac:dyDescent="0.2">
      <c r="C64219"/>
      <c r="M64219"/>
    </row>
    <row r="64220" spans="3:13" ht="12.75" customHeight="1" x14ac:dyDescent="0.2">
      <c r="C64220"/>
      <c r="M64220"/>
    </row>
    <row r="64221" spans="3:13" ht="12.75" customHeight="1" x14ac:dyDescent="0.2">
      <c r="C64221"/>
      <c r="M64221"/>
    </row>
    <row r="64222" spans="3:13" ht="12.75" customHeight="1" x14ac:dyDescent="0.2">
      <c r="C64222"/>
      <c r="M64222"/>
    </row>
    <row r="64223" spans="3:13" ht="12.75" customHeight="1" x14ac:dyDescent="0.2">
      <c r="C64223"/>
      <c r="M64223"/>
    </row>
    <row r="64224" spans="3:13" ht="12.75" customHeight="1" x14ac:dyDescent="0.2">
      <c r="C64224"/>
      <c r="M64224"/>
    </row>
    <row r="64225" spans="3:13" ht="12.75" customHeight="1" x14ac:dyDescent="0.2">
      <c r="C64225"/>
      <c r="M64225"/>
    </row>
    <row r="64226" spans="3:13" ht="12.75" customHeight="1" x14ac:dyDescent="0.2">
      <c r="C64226"/>
      <c r="M64226"/>
    </row>
    <row r="64227" spans="3:13" ht="12.75" customHeight="1" x14ac:dyDescent="0.2">
      <c r="C64227"/>
      <c r="M64227"/>
    </row>
    <row r="64228" spans="3:13" ht="12.75" customHeight="1" x14ac:dyDescent="0.2">
      <c r="C64228"/>
      <c r="M64228"/>
    </row>
    <row r="64229" spans="3:13" ht="12.75" customHeight="1" x14ac:dyDescent="0.2">
      <c r="C64229"/>
      <c r="M64229"/>
    </row>
    <row r="64230" spans="3:13" ht="12.75" customHeight="1" x14ac:dyDescent="0.2">
      <c r="C64230"/>
      <c r="M64230"/>
    </row>
    <row r="64231" spans="3:13" ht="12.75" customHeight="1" x14ac:dyDescent="0.2">
      <c r="C64231"/>
      <c r="M64231"/>
    </row>
    <row r="64232" spans="3:13" ht="12.75" customHeight="1" x14ac:dyDescent="0.2">
      <c r="C64232"/>
      <c r="M64232"/>
    </row>
    <row r="64233" spans="3:13" ht="12.75" customHeight="1" x14ac:dyDescent="0.2">
      <c r="C64233"/>
      <c r="M64233"/>
    </row>
    <row r="64234" spans="3:13" ht="12.75" customHeight="1" x14ac:dyDescent="0.2">
      <c r="C64234"/>
      <c r="M64234"/>
    </row>
    <row r="64235" spans="3:13" ht="12.75" customHeight="1" x14ac:dyDescent="0.2">
      <c r="C64235"/>
      <c r="M64235"/>
    </row>
    <row r="64236" spans="3:13" ht="12.75" customHeight="1" x14ac:dyDescent="0.2">
      <c r="C64236"/>
      <c r="M64236"/>
    </row>
    <row r="64237" spans="3:13" ht="12.75" customHeight="1" x14ac:dyDescent="0.2">
      <c r="C64237"/>
      <c r="M64237"/>
    </row>
    <row r="64238" spans="3:13" ht="12.75" customHeight="1" x14ac:dyDescent="0.2">
      <c r="C64238"/>
      <c r="M64238"/>
    </row>
    <row r="64239" spans="3:13" ht="12.75" customHeight="1" x14ac:dyDescent="0.2">
      <c r="C64239"/>
      <c r="M64239"/>
    </row>
    <row r="64240" spans="3:13" ht="12.75" customHeight="1" x14ac:dyDescent="0.2">
      <c r="C64240"/>
      <c r="M64240"/>
    </row>
    <row r="64241" spans="3:13" ht="12.75" customHeight="1" x14ac:dyDescent="0.2">
      <c r="C64241"/>
      <c r="M64241"/>
    </row>
    <row r="64242" spans="3:13" ht="12.75" customHeight="1" x14ac:dyDescent="0.2">
      <c r="C64242"/>
      <c r="M64242"/>
    </row>
    <row r="64243" spans="3:13" ht="12.75" customHeight="1" x14ac:dyDescent="0.2">
      <c r="C64243"/>
      <c r="M64243"/>
    </row>
    <row r="64244" spans="3:13" ht="12.75" customHeight="1" x14ac:dyDescent="0.2">
      <c r="C64244"/>
      <c r="M64244"/>
    </row>
    <row r="64245" spans="3:13" ht="12.75" customHeight="1" x14ac:dyDescent="0.2">
      <c r="C64245"/>
      <c r="M64245"/>
    </row>
    <row r="64246" spans="3:13" ht="12.75" customHeight="1" x14ac:dyDescent="0.2">
      <c r="C64246"/>
      <c r="M64246"/>
    </row>
    <row r="64247" spans="3:13" ht="12.75" customHeight="1" x14ac:dyDescent="0.2">
      <c r="C64247"/>
      <c r="M64247"/>
    </row>
    <row r="64248" spans="3:13" ht="12.75" customHeight="1" x14ac:dyDescent="0.2">
      <c r="C64248"/>
      <c r="M64248"/>
    </row>
    <row r="64249" spans="3:13" ht="12.75" customHeight="1" x14ac:dyDescent="0.2">
      <c r="C64249"/>
      <c r="M64249"/>
    </row>
    <row r="64250" spans="3:13" ht="12.75" customHeight="1" x14ac:dyDescent="0.2">
      <c r="C64250"/>
      <c r="M64250"/>
    </row>
    <row r="64251" spans="3:13" ht="12.75" customHeight="1" x14ac:dyDescent="0.2">
      <c r="C64251"/>
      <c r="M64251"/>
    </row>
    <row r="64252" spans="3:13" ht="12.75" customHeight="1" x14ac:dyDescent="0.2">
      <c r="C64252"/>
      <c r="M64252"/>
    </row>
    <row r="64253" spans="3:13" ht="12.75" customHeight="1" x14ac:dyDescent="0.2">
      <c r="C64253"/>
      <c r="M64253"/>
    </row>
    <row r="64254" spans="3:13" ht="12.75" customHeight="1" x14ac:dyDescent="0.2">
      <c r="C64254"/>
      <c r="M64254"/>
    </row>
    <row r="64255" spans="3:13" ht="12.75" customHeight="1" x14ac:dyDescent="0.2">
      <c r="C64255"/>
      <c r="M64255"/>
    </row>
    <row r="64256" spans="3:13" ht="12.75" customHeight="1" x14ac:dyDescent="0.2">
      <c r="C64256"/>
      <c r="M64256"/>
    </row>
    <row r="64257" spans="3:13" ht="12.75" customHeight="1" x14ac:dyDescent="0.2">
      <c r="C64257"/>
      <c r="M64257"/>
    </row>
    <row r="64258" spans="3:13" ht="12.75" customHeight="1" x14ac:dyDescent="0.2">
      <c r="C64258"/>
      <c r="M64258"/>
    </row>
    <row r="64259" spans="3:13" ht="12.75" customHeight="1" x14ac:dyDescent="0.2">
      <c r="C64259"/>
      <c r="M64259"/>
    </row>
    <row r="64260" spans="3:13" ht="12.75" customHeight="1" x14ac:dyDescent="0.2">
      <c r="C64260"/>
      <c r="M64260"/>
    </row>
    <row r="64261" spans="3:13" ht="12.75" customHeight="1" x14ac:dyDescent="0.2">
      <c r="C64261"/>
      <c r="M64261"/>
    </row>
    <row r="64262" spans="3:13" ht="12.75" customHeight="1" x14ac:dyDescent="0.2">
      <c r="C64262"/>
      <c r="M64262"/>
    </row>
    <row r="64263" spans="3:13" ht="12.75" customHeight="1" x14ac:dyDescent="0.2">
      <c r="C64263"/>
      <c r="M64263"/>
    </row>
    <row r="64264" spans="3:13" ht="12.75" customHeight="1" x14ac:dyDescent="0.2">
      <c r="C64264"/>
      <c r="M64264"/>
    </row>
    <row r="64265" spans="3:13" ht="12.75" customHeight="1" x14ac:dyDescent="0.2">
      <c r="C64265"/>
      <c r="M64265"/>
    </row>
    <row r="64266" spans="3:13" ht="12.75" customHeight="1" x14ac:dyDescent="0.2">
      <c r="C64266"/>
      <c r="M64266"/>
    </row>
    <row r="64267" spans="3:13" ht="12.75" customHeight="1" x14ac:dyDescent="0.2">
      <c r="C64267"/>
      <c r="M64267"/>
    </row>
    <row r="64268" spans="3:13" ht="12.75" customHeight="1" x14ac:dyDescent="0.2">
      <c r="C64268"/>
      <c r="M64268"/>
    </row>
    <row r="64269" spans="3:13" ht="12.75" customHeight="1" x14ac:dyDescent="0.2">
      <c r="C64269"/>
      <c r="M64269"/>
    </row>
    <row r="64270" spans="3:13" ht="12.75" customHeight="1" x14ac:dyDescent="0.2">
      <c r="C64270"/>
      <c r="M64270"/>
    </row>
    <row r="64271" spans="3:13" ht="12.75" customHeight="1" x14ac:dyDescent="0.2">
      <c r="C64271"/>
      <c r="M64271"/>
    </row>
    <row r="64272" spans="3:13" ht="12.75" customHeight="1" x14ac:dyDescent="0.2">
      <c r="C64272"/>
      <c r="M64272"/>
    </row>
    <row r="64273" spans="3:13" ht="12.75" customHeight="1" x14ac:dyDescent="0.2">
      <c r="C64273"/>
      <c r="M64273"/>
    </row>
    <row r="64274" spans="3:13" ht="12.75" customHeight="1" x14ac:dyDescent="0.2">
      <c r="C64274"/>
      <c r="M64274"/>
    </row>
    <row r="64275" spans="3:13" ht="12.75" customHeight="1" x14ac:dyDescent="0.2">
      <c r="C64275"/>
      <c r="M64275"/>
    </row>
    <row r="64276" spans="3:13" ht="12.75" customHeight="1" x14ac:dyDescent="0.2">
      <c r="C64276"/>
      <c r="M64276"/>
    </row>
    <row r="64277" spans="3:13" ht="12.75" customHeight="1" x14ac:dyDescent="0.2">
      <c r="C64277"/>
      <c r="M64277"/>
    </row>
    <row r="64278" spans="3:13" ht="12.75" customHeight="1" x14ac:dyDescent="0.2">
      <c r="C64278"/>
      <c r="M64278"/>
    </row>
    <row r="64279" spans="3:13" ht="12.75" customHeight="1" x14ac:dyDescent="0.2">
      <c r="C64279"/>
      <c r="M64279"/>
    </row>
    <row r="64280" spans="3:13" ht="12.75" customHeight="1" x14ac:dyDescent="0.2">
      <c r="C64280"/>
      <c r="M64280"/>
    </row>
    <row r="64281" spans="3:13" ht="12.75" customHeight="1" x14ac:dyDescent="0.2">
      <c r="C64281"/>
      <c r="M64281"/>
    </row>
    <row r="64282" spans="3:13" ht="12.75" customHeight="1" x14ac:dyDescent="0.2">
      <c r="C64282"/>
      <c r="M64282"/>
    </row>
    <row r="64283" spans="3:13" ht="12.75" customHeight="1" x14ac:dyDescent="0.2">
      <c r="C64283"/>
      <c r="M64283"/>
    </row>
    <row r="64284" spans="3:13" ht="12.75" customHeight="1" x14ac:dyDescent="0.2">
      <c r="C64284"/>
      <c r="M64284"/>
    </row>
    <row r="64285" spans="3:13" ht="12.75" customHeight="1" x14ac:dyDescent="0.2">
      <c r="C64285"/>
      <c r="M64285"/>
    </row>
    <row r="64286" spans="3:13" ht="12.75" customHeight="1" x14ac:dyDescent="0.2">
      <c r="C64286"/>
      <c r="M64286"/>
    </row>
    <row r="64287" spans="3:13" ht="12.75" customHeight="1" x14ac:dyDescent="0.2">
      <c r="C64287"/>
      <c r="M64287"/>
    </row>
    <row r="64288" spans="3:13" ht="12.75" customHeight="1" x14ac:dyDescent="0.2">
      <c r="C64288"/>
      <c r="M64288"/>
    </row>
    <row r="64289" spans="3:13" ht="12.75" customHeight="1" x14ac:dyDescent="0.2">
      <c r="C64289"/>
      <c r="M64289"/>
    </row>
    <row r="64290" spans="3:13" ht="12.75" customHeight="1" x14ac:dyDescent="0.2">
      <c r="C64290"/>
      <c r="M64290"/>
    </row>
    <row r="64291" spans="3:13" ht="12.75" customHeight="1" x14ac:dyDescent="0.2">
      <c r="C64291"/>
      <c r="M64291"/>
    </row>
    <row r="64292" spans="3:13" ht="12.75" customHeight="1" x14ac:dyDescent="0.2">
      <c r="C64292"/>
      <c r="M64292"/>
    </row>
    <row r="64293" spans="3:13" ht="12.75" customHeight="1" x14ac:dyDescent="0.2">
      <c r="C64293"/>
      <c r="M64293"/>
    </row>
    <row r="64294" spans="3:13" ht="12.75" customHeight="1" x14ac:dyDescent="0.2">
      <c r="C64294"/>
      <c r="M64294"/>
    </row>
    <row r="64295" spans="3:13" ht="12.75" customHeight="1" x14ac:dyDescent="0.2">
      <c r="C64295"/>
      <c r="M64295"/>
    </row>
    <row r="64296" spans="3:13" ht="12.75" customHeight="1" x14ac:dyDescent="0.2">
      <c r="C64296"/>
      <c r="M64296"/>
    </row>
    <row r="64297" spans="3:13" ht="12.75" customHeight="1" x14ac:dyDescent="0.2">
      <c r="C64297"/>
      <c r="M64297"/>
    </row>
    <row r="64298" spans="3:13" ht="12.75" customHeight="1" x14ac:dyDescent="0.2">
      <c r="C64298"/>
      <c r="M64298"/>
    </row>
    <row r="64299" spans="3:13" ht="12.75" customHeight="1" x14ac:dyDescent="0.2">
      <c r="C64299"/>
      <c r="M64299"/>
    </row>
    <row r="64300" spans="3:13" ht="12.75" customHeight="1" x14ac:dyDescent="0.2">
      <c r="C64300"/>
      <c r="M64300"/>
    </row>
    <row r="64301" spans="3:13" ht="12.75" customHeight="1" x14ac:dyDescent="0.2">
      <c r="C64301"/>
      <c r="M64301"/>
    </row>
    <row r="64302" spans="3:13" ht="12.75" customHeight="1" x14ac:dyDescent="0.2">
      <c r="C64302"/>
      <c r="M64302"/>
    </row>
    <row r="64303" spans="3:13" ht="12.75" customHeight="1" x14ac:dyDescent="0.2">
      <c r="C64303"/>
      <c r="M64303"/>
    </row>
    <row r="64304" spans="3:13" ht="12.75" customHeight="1" x14ac:dyDescent="0.2">
      <c r="C64304"/>
      <c r="M64304"/>
    </row>
    <row r="64305" spans="3:13" ht="12.75" customHeight="1" x14ac:dyDescent="0.2">
      <c r="C64305"/>
      <c r="M64305"/>
    </row>
    <row r="64306" spans="3:13" ht="12.75" customHeight="1" x14ac:dyDescent="0.2">
      <c r="C64306"/>
      <c r="M64306"/>
    </row>
    <row r="64307" spans="3:13" ht="12.75" customHeight="1" x14ac:dyDescent="0.2">
      <c r="C64307"/>
      <c r="M64307"/>
    </row>
    <row r="64308" spans="3:13" ht="12.75" customHeight="1" x14ac:dyDescent="0.2">
      <c r="C64308"/>
      <c r="M64308"/>
    </row>
    <row r="64309" spans="3:13" ht="12.75" customHeight="1" x14ac:dyDescent="0.2">
      <c r="C64309"/>
      <c r="M64309"/>
    </row>
    <row r="64310" spans="3:13" ht="12.75" customHeight="1" x14ac:dyDescent="0.2">
      <c r="C64310"/>
      <c r="M64310"/>
    </row>
    <row r="64311" spans="3:13" ht="12.75" customHeight="1" x14ac:dyDescent="0.2">
      <c r="C64311"/>
      <c r="M64311"/>
    </row>
    <row r="64312" spans="3:13" ht="12.75" customHeight="1" x14ac:dyDescent="0.2">
      <c r="C64312"/>
      <c r="M64312"/>
    </row>
    <row r="64313" spans="3:13" ht="12.75" customHeight="1" x14ac:dyDescent="0.2">
      <c r="C64313"/>
      <c r="M64313"/>
    </row>
    <row r="64314" spans="3:13" ht="12.75" customHeight="1" x14ac:dyDescent="0.2">
      <c r="C64314"/>
      <c r="M64314"/>
    </row>
    <row r="64315" spans="3:13" ht="12.75" customHeight="1" x14ac:dyDescent="0.2">
      <c r="C64315"/>
      <c r="M64315"/>
    </row>
    <row r="64316" spans="3:13" ht="12.75" customHeight="1" x14ac:dyDescent="0.2">
      <c r="C64316"/>
      <c r="M64316"/>
    </row>
    <row r="64317" spans="3:13" ht="12.75" customHeight="1" x14ac:dyDescent="0.2">
      <c r="C64317"/>
      <c r="M64317"/>
    </row>
    <row r="64318" spans="3:13" ht="12.75" customHeight="1" x14ac:dyDescent="0.2">
      <c r="C64318"/>
      <c r="M64318"/>
    </row>
    <row r="64319" spans="3:13" ht="12.75" customHeight="1" x14ac:dyDescent="0.2">
      <c r="C64319"/>
      <c r="M64319"/>
    </row>
    <row r="64320" spans="3:13" ht="12.75" customHeight="1" x14ac:dyDescent="0.2">
      <c r="C64320"/>
      <c r="M64320"/>
    </row>
    <row r="64321" spans="3:13" ht="12.75" customHeight="1" x14ac:dyDescent="0.2">
      <c r="C64321"/>
      <c r="M64321"/>
    </row>
    <row r="64322" spans="3:13" ht="12.75" customHeight="1" x14ac:dyDescent="0.2">
      <c r="C64322"/>
      <c r="M64322"/>
    </row>
    <row r="64323" spans="3:13" ht="12.75" customHeight="1" x14ac:dyDescent="0.2">
      <c r="C64323"/>
      <c r="M64323"/>
    </row>
    <row r="64324" spans="3:13" ht="12.75" customHeight="1" x14ac:dyDescent="0.2">
      <c r="C64324"/>
      <c r="M64324"/>
    </row>
    <row r="64325" spans="3:13" ht="12.75" customHeight="1" x14ac:dyDescent="0.2">
      <c r="C64325"/>
      <c r="M64325"/>
    </row>
    <row r="64326" spans="3:13" ht="12.75" customHeight="1" x14ac:dyDescent="0.2">
      <c r="C64326"/>
      <c r="M64326"/>
    </row>
    <row r="64327" spans="3:13" ht="12.75" customHeight="1" x14ac:dyDescent="0.2">
      <c r="C64327"/>
      <c r="M64327"/>
    </row>
    <row r="64328" spans="3:13" ht="12.75" customHeight="1" x14ac:dyDescent="0.2">
      <c r="C64328"/>
      <c r="M64328"/>
    </row>
    <row r="64329" spans="3:13" ht="12.75" customHeight="1" x14ac:dyDescent="0.2">
      <c r="C64329"/>
      <c r="M64329"/>
    </row>
    <row r="64330" spans="3:13" ht="12.75" customHeight="1" x14ac:dyDescent="0.2">
      <c r="C64330"/>
      <c r="M64330"/>
    </row>
    <row r="64331" spans="3:13" ht="12.75" customHeight="1" x14ac:dyDescent="0.2">
      <c r="C64331"/>
      <c r="M64331"/>
    </row>
    <row r="64332" spans="3:13" ht="12.75" customHeight="1" x14ac:dyDescent="0.2">
      <c r="C64332"/>
      <c r="M64332"/>
    </row>
    <row r="64333" spans="3:13" ht="12.75" customHeight="1" x14ac:dyDescent="0.2">
      <c r="C64333"/>
      <c r="M64333"/>
    </row>
    <row r="64334" spans="3:13" ht="12.75" customHeight="1" x14ac:dyDescent="0.2">
      <c r="C64334"/>
      <c r="M64334"/>
    </row>
    <row r="64335" spans="3:13" ht="12.75" customHeight="1" x14ac:dyDescent="0.2">
      <c r="C64335"/>
      <c r="M64335"/>
    </row>
    <row r="64336" spans="3:13" ht="12.75" customHeight="1" x14ac:dyDescent="0.2">
      <c r="C64336"/>
      <c r="M64336"/>
    </row>
    <row r="64337" spans="3:13" ht="12.75" customHeight="1" x14ac:dyDescent="0.2">
      <c r="C64337"/>
      <c r="M64337"/>
    </row>
    <row r="64338" spans="3:13" ht="12.75" customHeight="1" x14ac:dyDescent="0.2">
      <c r="C64338"/>
      <c r="M64338"/>
    </row>
    <row r="64339" spans="3:13" ht="12.75" customHeight="1" x14ac:dyDescent="0.2">
      <c r="C64339"/>
      <c r="M64339"/>
    </row>
    <row r="64340" spans="3:13" ht="12.75" customHeight="1" x14ac:dyDescent="0.2">
      <c r="C64340"/>
      <c r="M64340"/>
    </row>
    <row r="64341" spans="3:13" ht="12.75" customHeight="1" x14ac:dyDescent="0.2">
      <c r="C64341"/>
      <c r="M64341"/>
    </row>
    <row r="64342" spans="3:13" ht="12.75" customHeight="1" x14ac:dyDescent="0.2">
      <c r="C64342"/>
      <c r="M64342"/>
    </row>
    <row r="64343" spans="3:13" ht="12.75" customHeight="1" x14ac:dyDescent="0.2">
      <c r="C64343"/>
      <c r="M64343"/>
    </row>
    <row r="64344" spans="3:13" ht="12.75" customHeight="1" x14ac:dyDescent="0.2">
      <c r="C64344"/>
      <c r="M64344"/>
    </row>
    <row r="64345" spans="3:13" ht="12.75" customHeight="1" x14ac:dyDescent="0.2">
      <c r="C64345"/>
      <c r="M64345"/>
    </row>
    <row r="64346" spans="3:13" ht="12.75" customHeight="1" x14ac:dyDescent="0.2">
      <c r="C64346"/>
      <c r="M64346"/>
    </row>
    <row r="64347" spans="3:13" ht="12.75" customHeight="1" x14ac:dyDescent="0.2">
      <c r="C64347"/>
      <c r="M64347"/>
    </row>
    <row r="64348" spans="3:13" ht="12.75" customHeight="1" x14ac:dyDescent="0.2">
      <c r="C64348"/>
      <c r="M64348"/>
    </row>
    <row r="64349" spans="3:13" ht="12.75" customHeight="1" x14ac:dyDescent="0.2">
      <c r="C64349"/>
      <c r="M64349"/>
    </row>
    <row r="64350" spans="3:13" ht="12.75" customHeight="1" x14ac:dyDescent="0.2">
      <c r="C64350"/>
      <c r="M64350"/>
    </row>
    <row r="64351" spans="3:13" ht="12.75" customHeight="1" x14ac:dyDescent="0.2">
      <c r="C64351"/>
      <c r="M64351"/>
    </row>
    <row r="64352" spans="3:13" ht="12.75" customHeight="1" x14ac:dyDescent="0.2">
      <c r="C64352"/>
      <c r="M64352"/>
    </row>
    <row r="64353" spans="3:13" ht="12.75" customHeight="1" x14ac:dyDescent="0.2">
      <c r="C64353"/>
      <c r="M64353"/>
    </row>
    <row r="64354" spans="3:13" ht="12.75" customHeight="1" x14ac:dyDescent="0.2">
      <c r="C64354"/>
      <c r="M64354"/>
    </row>
    <row r="64355" spans="3:13" ht="12.75" customHeight="1" x14ac:dyDescent="0.2">
      <c r="C64355"/>
      <c r="M64355"/>
    </row>
    <row r="64356" spans="3:13" ht="12.75" customHeight="1" x14ac:dyDescent="0.2">
      <c r="C64356"/>
      <c r="M64356"/>
    </row>
    <row r="64357" spans="3:13" ht="12.75" customHeight="1" x14ac:dyDescent="0.2">
      <c r="C64357"/>
      <c r="M64357"/>
    </row>
    <row r="64358" spans="3:13" ht="12.75" customHeight="1" x14ac:dyDescent="0.2">
      <c r="C64358"/>
      <c r="M64358"/>
    </row>
    <row r="64359" spans="3:13" ht="12.75" customHeight="1" x14ac:dyDescent="0.2">
      <c r="C64359"/>
      <c r="M64359"/>
    </row>
    <row r="64360" spans="3:13" ht="12.75" customHeight="1" x14ac:dyDescent="0.2">
      <c r="C64360"/>
      <c r="M64360"/>
    </row>
    <row r="64361" spans="3:13" ht="12.75" customHeight="1" x14ac:dyDescent="0.2">
      <c r="C64361"/>
      <c r="M64361"/>
    </row>
    <row r="64362" spans="3:13" ht="12.75" customHeight="1" x14ac:dyDescent="0.2">
      <c r="C64362"/>
      <c r="M64362"/>
    </row>
    <row r="64363" spans="3:13" ht="12.75" customHeight="1" x14ac:dyDescent="0.2">
      <c r="C64363"/>
      <c r="M64363"/>
    </row>
    <row r="64364" spans="3:13" ht="12.75" customHeight="1" x14ac:dyDescent="0.2">
      <c r="C64364"/>
      <c r="M64364"/>
    </row>
    <row r="64365" spans="3:13" ht="12.75" customHeight="1" x14ac:dyDescent="0.2">
      <c r="C64365"/>
      <c r="M64365"/>
    </row>
    <row r="64366" spans="3:13" ht="12.75" customHeight="1" x14ac:dyDescent="0.2">
      <c r="C64366"/>
      <c r="M64366"/>
    </row>
    <row r="64367" spans="3:13" ht="12.75" customHeight="1" x14ac:dyDescent="0.2">
      <c r="C64367"/>
      <c r="M64367"/>
    </row>
    <row r="64368" spans="3:13" ht="12.75" customHeight="1" x14ac:dyDescent="0.2">
      <c r="C64368"/>
      <c r="M64368"/>
    </row>
    <row r="64369" spans="3:13" ht="12.75" customHeight="1" x14ac:dyDescent="0.2">
      <c r="C64369"/>
      <c r="M64369"/>
    </row>
    <row r="64370" spans="3:13" ht="12.75" customHeight="1" x14ac:dyDescent="0.2">
      <c r="C64370"/>
      <c r="M64370"/>
    </row>
    <row r="64371" spans="3:13" ht="12.75" customHeight="1" x14ac:dyDescent="0.2">
      <c r="C64371"/>
      <c r="M64371"/>
    </row>
    <row r="64372" spans="3:13" ht="12.75" customHeight="1" x14ac:dyDescent="0.2">
      <c r="C64372"/>
      <c r="M64372"/>
    </row>
    <row r="64373" spans="3:13" ht="12.75" customHeight="1" x14ac:dyDescent="0.2">
      <c r="C64373"/>
      <c r="M64373"/>
    </row>
    <row r="64374" spans="3:13" ht="12.75" customHeight="1" x14ac:dyDescent="0.2">
      <c r="C64374"/>
      <c r="M64374"/>
    </row>
    <row r="64375" spans="3:13" ht="12.75" customHeight="1" x14ac:dyDescent="0.2">
      <c r="C64375"/>
      <c r="M64375"/>
    </row>
    <row r="64376" spans="3:13" ht="12.75" customHeight="1" x14ac:dyDescent="0.2">
      <c r="C64376"/>
      <c r="M64376"/>
    </row>
    <row r="64377" spans="3:13" ht="12.75" customHeight="1" x14ac:dyDescent="0.2">
      <c r="C64377"/>
      <c r="M64377"/>
    </row>
    <row r="64378" spans="3:13" ht="12.75" customHeight="1" x14ac:dyDescent="0.2">
      <c r="C64378"/>
      <c r="M64378"/>
    </row>
    <row r="64379" spans="3:13" ht="12.75" customHeight="1" x14ac:dyDescent="0.2">
      <c r="C64379"/>
      <c r="M64379"/>
    </row>
    <row r="64380" spans="3:13" ht="12.75" customHeight="1" x14ac:dyDescent="0.2">
      <c r="C64380"/>
      <c r="M64380"/>
    </row>
    <row r="64381" spans="3:13" ht="12.75" customHeight="1" x14ac:dyDescent="0.2">
      <c r="C64381"/>
      <c r="M64381"/>
    </row>
    <row r="64382" spans="3:13" ht="12.75" customHeight="1" x14ac:dyDescent="0.2">
      <c r="C64382"/>
      <c r="M64382"/>
    </row>
    <row r="64383" spans="3:13" ht="12.75" customHeight="1" x14ac:dyDescent="0.2">
      <c r="C64383"/>
      <c r="M64383"/>
    </row>
    <row r="64384" spans="3:13" ht="12.75" customHeight="1" x14ac:dyDescent="0.2">
      <c r="C64384"/>
      <c r="M64384"/>
    </row>
    <row r="64385" spans="3:13" ht="12.75" customHeight="1" x14ac:dyDescent="0.2">
      <c r="C64385"/>
      <c r="M64385"/>
    </row>
    <row r="64386" spans="3:13" ht="12.75" customHeight="1" x14ac:dyDescent="0.2">
      <c r="C64386"/>
      <c r="M64386"/>
    </row>
    <row r="64387" spans="3:13" ht="12.75" customHeight="1" x14ac:dyDescent="0.2">
      <c r="C64387"/>
      <c r="M64387"/>
    </row>
    <row r="64388" spans="3:13" ht="12.75" customHeight="1" x14ac:dyDescent="0.2">
      <c r="C64388"/>
      <c r="M64388"/>
    </row>
    <row r="64389" spans="3:13" ht="12.75" customHeight="1" x14ac:dyDescent="0.2">
      <c r="C64389"/>
      <c r="M64389"/>
    </row>
    <row r="64390" spans="3:13" ht="12.75" customHeight="1" x14ac:dyDescent="0.2">
      <c r="C64390"/>
      <c r="M64390"/>
    </row>
    <row r="64391" spans="3:13" ht="12.75" customHeight="1" x14ac:dyDescent="0.2">
      <c r="C64391"/>
      <c r="M64391"/>
    </row>
    <row r="64392" spans="3:13" ht="12.75" customHeight="1" x14ac:dyDescent="0.2">
      <c r="C64392"/>
      <c r="M64392"/>
    </row>
    <row r="64393" spans="3:13" ht="12.75" customHeight="1" x14ac:dyDescent="0.2">
      <c r="C64393"/>
      <c r="M64393"/>
    </row>
    <row r="64394" spans="3:13" ht="12.75" customHeight="1" x14ac:dyDescent="0.2">
      <c r="C64394"/>
      <c r="M64394"/>
    </row>
    <row r="64395" spans="3:13" ht="12.75" customHeight="1" x14ac:dyDescent="0.2">
      <c r="C64395"/>
      <c r="M64395"/>
    </row>
    <row r="64396" spans="3:13" ht="12.75" customHeight="1" x14ac:dyDescent="0.2">
      <c r="C64396"/>
      <c r="M64396"/>
    </row>
    <row r="64397" spans="3:13" ht="12.75" customHeight="1" x14ac:dyDescent="0.2">
      <c r="C64397"/>
      <c r="M64397"/>
    </row>
    <row r="64398" spans="3:13" ht="12.75" customHeight="1" x14ac:dyDescent="0.2">
      <c r="C64398"/>
      <c r="M64398"/>
    </row>
    <row r="64399" spans="3:13" ht="12.75" customHeight="1" x14ac:dyDescent="0.2">
      <c r="C64399"/>
      <c r="M64399"/>
    </row>
    <row r="64400" spans="3:13" ht="12.75" customHeight="1" x14ac:dyDescent="0.2">
      <c r="C64400"/>
      <c r="M64400"/>
    </row>
    <row r="64401" spans="3:13" ht="12.75" customHeight="1" x14ac:dyDescent="0.2">
      <c r="C64401"/>
      <c r="M64401"/>
    </row>
    <row r="64402" spans="3:13" ht="12.75" customHeight="1" x14ac:dyDescent="0.2">
      <c r="C64402"/>
      <c r="M64402"/>
    </row>
    <row r="64403" spans="3:13" ht="12.75" customHeight="1" x14ac:dyDescent="0.2">
      <c r="C64403"/>
      <c r="M64403"/>
    </row>
    <row r="64404" spans="3:13" ht="12.75" customHeight="1" x14ac:dyDescent="0.2">
      <c r="C64404"/>
      <c r="M64404"/>
    </row>
    <row r="64405" spans="3:13" ht="12.75" customHeight="1" x14ac:dyDescent="0.2">
      <c r="C64405"/>
      <c r="M64405"/>
    </row>
    <row r="64406" spans="3:13" ht="12.75" customHeight="1" x14ac:dyDescent="0.2">
      <c r="C64406"/>
      <c r="M64406"/>
    </row>
    <row r="64407" spans="3:13" ht="12.75" customHeight="1" x14ac:dyDescent="0.2">
      <c r="C64407"/>
      <c r="M64407"/>
    </row>
    <row r="64408" spans="3:13" ht="12.75" customHeight="1" x14ac:dyDescent="0.2">
      <c r="C64408"/>
      <c r="M64408"/>
    </row>
    <row r="64409" spans="3:13" ht="12.75" customHeight="1" x14ac:dyDescent="0.2">
      <c r="C64409"/>
      <c r="M64409"/>
    </row>
    <row r="64410" spans="3:13" ht="12.75" customHeight="1" x14ac:dyDescent="0.2">
      <c r="C64410"/>
      <c r="M64410"/>
    </row>
    <row r="64411" spans="3:13" ht="12.75" customHeight="1" x14ac:dyDescent="0.2">
      <c r="C64411"/>
      <c r="M64411"/>
    </row>
    <row r="64412" spans="3:13" ht="12.75" customHeight="1" x14ac:dyDescent="0.2">
      <c r="C64412"/>
      <c r="M64412"/>
    </row>
    <row r="64413" spans="3:13" ht="12.75" customHeight="1" x14ac:dyDescent="0.2">
      <c r="C64413"/>
      <c r="M64413"/>
    </row>
    <row r="64414" spans="3:13" ht="12.75" customHeight="1" x14ac:dyDescent="0.2">
      <c r="C64414"/>
      <c r="M64414"/>
    </row>
    <row r="64415" spans="3:13" ht="12.75" customHeight="1" x14ac:dyDescent="0.2">
      <c r="C64415"/>
      <c r="M64415"/>
    </row>
    <row r="64416" spans="3:13" ht="12.75" customHeight="1" x14ac:dyDescent="0.2">
      <c r="C64416"/>
      <c r="M64416"/>
    </row>
    <row r="64417" spans="3:13" ht="12.75" customHeight="1" x14ac:dyDescent="0.2">
      <c r="C64417"/>
      <c r="M64417"/>
    </row>
    <row r="64418" spans="3:13" ht="12.75" customHeight="1" x14ac:dyDescent="0.2">
      <c r="C64418"/>
      <c r="M64418"/>
    </row>
    <row r="64419" spans="3:13" ht="12.75" customHeight="1" x14ac:dyDescent="0.2">
      <c r="C64419"/>
      <c r="M64419"/>
    </row>
    <row r="64420" spans="3:13" ht="12.75" customHeight="1" x14ac:dyDescent="0.2">
      <c r="C64420"/>
      <c r="M64420"/>
    </row>
    <row r="64421" spans="3:13" ht="12.75" customHeight="1" x14ac:dyDescent="0.2">
      <c r="C64421"/>
      <c r="M64421"/>
    </row>
    <row r="64422" spans="3:13" ht="12.75" customHeight="1" x14ac:dyDescent="0.2">
      <c r="C64422"/>
      <c r="M64422"/>
    </row>
    <row r="64423" spans="3:13" ht="12.75" customHeight="1" x14ac:dyDescent="0.2">
      <c r="C64423"/>
      <c r="M64423"/>
    </row>
    <row r="64424" spans="3:13" ht="12.75" customHeight="1" x14ac:dyDescent="0.2">
      <c r="C64424"/>
      <c r="M64424"/>
    </row>
    <row r="64425" spans="3:13" ht="12.75" customHeight="1" x14ac:dyDescent="0.2">
      <c r="C64425"/>
      <c r="M64425"/>
    </row>
    <row r="64426" spans="3:13" ht="12.75" customHeight="1" x14ac:dyDescent="0.2">
      <c r="C64426"/>
      <c r="M64426"/>
    </row>
    <row r="64427" spans="3:13" ht="12.75" customHeight="1" x14ac:dyDescent="0.2">
      <c r="C64427"/>
      <c r="M64427"/>
    </row>
    <row r="64428" spans="3:13" ht="12.75" customHeight="1" x14ac:dyDescent="0.2">
      <c r="C64428"/>
      <c r="M64428"/>
    </row>
    <row r="64429" spans="3:13" ht="12.75" customHeight="1" x14ac:dyDescent="0.2">
      <c r="C64429"/>
      <c r="M64429"/>
    </row>
    <row r="64430" spans="3:13" ht="12.75" customHeight="1" x14ac:dyDescent="0.2">
      <c r="C64430"/>
      <c r="M64430"/>
    </row>
    <row r="64431" spans="3:13" ht="12.75" customHeight="1" x14ac:dyDescent="0.2">
      <c r="C64431"/>
      <c r="M64431"/>
    </row>
    <row r="64432" spans="3:13" ht="12.75" customHeight="1" x14ac:dyDescent="0.2">
      <c r="C64432"/>
      <c r="M64432"/>
    </row>
    <row r="64433" spans="3:13" ht="12.75" customHeight="1" x14ac:dyDescent="0.2">
      <c r="C64433"/>
      <c r="M64433"/>
    </row>
    <row r="64434" spans="3:13" ht="12.75" customHeight="1" x14ac:dyDescent="0.2">
      <c r="C64434"/>
      <c r="M64434"/>
    </row>
    <row r="64435" spans="3:13" ht="12.75" customHeight="1" x14ac:dyDescent="0.2">
      <c r="C64435"/>
      <c r="M64435"/>
    </row>
    <row r="64436" spans="3:13" ht="12.75" customHeight="1" x14ac:dyDescent="0.2">
      <c r="C64436"/>
      <c r="M64436"/>
    </row>
    <row r="64437" spans="3:13" ht="12.75" customHeight="1" x14ac:dyDescent="0.2">
      <c r="C64437"/>
      <c r="M64437"/>
    </row>
    <row r="64438" spans="3:13" ht="12.75" customHeight="1" x14ac:dyDescent="0.2">
      <c r="C64438"/>
      <c r="M64438"/>
    </row>
    <row r="64439" spans="3:13" ht="12.75" customHeight="1" x14ac:dyDescent="0.2">
      <c r="C64439"/>
      <c r="M64439"/>
    </row>
    <row r="64440" spans="3:13" ht="12.75" customHeight="1" x14ac:dyDescent="0.2">
      <c r="C64440"/>
      <c r="M64440"/>
    </row>
    <row r="64441" spans="3:13" ht="12.75" customHeight="1" x14ac:dyDescent="0.2">
      <c r="C64441"/>
      <c r="M64441"/>
    </row>
    <row r="64442" spans="3:13" ht="12.75" customHeight="1" x14ac:dyDescent="0.2">
      <c r="C64442"/>
      <c r="M64442"/>
    </row>
    <row r="64443" spans="3:13" ht="12.75" customHeight="1" x14ac:dyDescent="0.2">
      <c r="C64443"/>
      <c r="M64443"/>
    </row>
    <row r="64444" spans="3:13" ht="12.75" customHeight="1" x14ac:dyDescent="0.2">
      <c r="C64444"/>
      <c r="M64444"/>
    </row>
    <row r="64445" spans="3:13" ht="12.75" customHeight="1" x14ac:dyDescent="0.2">
      <c r="C64445"/>
      <c r="M64445"/>
    </row>
    <row r="64446" spans="3:13" ht="12.75" customHeight="1" x14ac:dyDescent="0.2">
      <c r="C64446"/>
      <c r="M64446"/>
    </row>
    <row r="64447" spans="3:13" ht="12.75" customHeight="1" x14ac:dyDescent="0.2">
      <c r="C64447"/>
      <c r="M64447"/>
    </row>
    <row r="64448" spans="3:13" ht="12.75" customHeight="1" x14ac:dyDescent="0.2">
      <c r="C64448"/>
      <c r="M64448"/>
    </row>
    <row r="64449" spans="3:13" ht="12.75" customHeight="1" x14ac:dyDescent="0.2">
      <c r="C64449"/>
      <c r="M64449"/>
    </row>
    <row r="64450" spans="3:13" ht="12.75" customHeight="1" x14ac:dyDescent="0.2">
      <c r="C64450"/>
      <c r="M64450"/>
    </row>
    <row r="64451" spans="3:13" ht="12.75" customHeight="1" x14ac:dyDescent="0.2">
      <c r="C64451"/>
      <c r="M64451"/>
    </row>
    <row r="64452" spans="3:13" ht="12.75" customHeight="1" x14ac:dyDescent="0.2">
      <c r="C64452"/>
      <c r="M64452"/>
    </row>
    <row r="64453" spans="3:13" ht="12.75" customHeight="1" x14ac:dyDescent="0.2">
      <c r="C64453"/>
      <c r="M64453"/>
    </row>
    <row r="64454" spans="3:13" ht="12.75" customHeight="1" x14ac:dyDescent="0.2">
      <c r="C64454"/>
      <c r="M64454"/>
    </row>
    <row r="64455" spans="3:13" ht="12.75" customHeight="1" x14ac:dyDescent="0.2">
      <c r="C64455"/>
      <c r="M64455"/>
    </row>
    <row r="64456" spans="3:13" ht="12.75" customHeight="1" x14ac:dyDescent="0.2">
      <c r="C64456"/>
      <c r="M64456"/>
    </row>
    <row r="64457" spans="3:13" ht="12.75" customHeight="1" x14ac:dyDescent="0.2">
      <c r="C64457"/>
      <c r="M64457"/>
    </row>
    <row r="64458" spans="3:13" ht="12.75" customHeight="1" x14ac:dyDescent="0.2">
      <c r="C64458"/>
      <c r="M64458"/>
    </row>
    <row r="64459" spans="3:13" ht="12.75" customHeight="1" x14ac:dyDescent="0.2">
      <c r="C64459"/>
      <c r="M64459"/>
    </row>
    <row r="64460" spans="3:13" ht="12.75" customHeight="1" x14ac:dyDescent="0.2">
      <c r="C64460"/>
      <c r="M64460"/>
    </row>
    <row r="64461" spans="3:13" ht="12.75" customHeight="1" x14ac:dyDescent="0.2">
      <c r="C64461"/>
      <c r="M64461"/>
    </row>
    <row r="64462" spans="3:13" ht="12.75" customHeight="1" x14ac:dyDescent="0.2">
      <c r="C64462"/>
      <c r="M64462"/>
    </row>
    <row r="64463" spans="3:13" ht="12.75" customHeight="1" x14ac:dyDescent="0.2">
      <c r="C64463"/>
      <c r="M64463"/>
    </row>
    <row r="64464" spans="3:13" ht="12.75" customHeight="1" x14ac:dyDescent="0.2">
      <c r="C64464"/>
      <c r="M64464"/>
    </row>
    <row r="64465" spans="3:13" ht="12.75" customHeight="1" x14ac:dyDescent="0.2">
      <c r="C64465"/>
      <c r="M64465"/>
    </row>
    <row r="64466" spans="3:13" ht="12.75" customHeight="1" x14ac:dyDescent="0.2">
      <c r="C64466"/>
      <c r="M64466"/>
    </row>
    <row r="64467" spans="3:13" ht="12.75" customHeight="1" x14ac:dyDescent="0.2">
      <c r="C64467"/>
      <c r="M64467"/>
    </row>
    <row r="64468" spans="3:13" ht="12.75" customHeight="1" x14ac:dyDescent="0.2">
      <c r="C64468"/>
      <c r="M64468"/>
    </row>
    <row r="64469" spans="3:13" ht="12.75" customHeight="1" x14ac:dyDescent="0.2">
      <c r="C64469"/>
      <c r="M64469"/>
    </row>
    <row r="64470" spans="3:13" ht="12.75" customHeight="1" x14ac:dyDescent="0.2">
      <c r="C64470"/>
      <c r="M64470"/>
    </row>
    <row r="64471" spans="3:13" ht="12.75" customHeight="1" x14ac:dyDescent="0.2">
      <c r="C64471"/>
      <c r="M64471"/>
    </row>
    <row r="64472" spans="3:13" ht="12.75" customHeight="1" x14ac:dyDescent="0.2">
      <c r="C64472"/>
      <c r="M64472"/>
    </row>
    <row r="64473" spans="3:13" ht="12.75" customHeight="1" x14ac:dyDescent="0.2">
      <c r="C64473"/>
      <c r="M64473"/>
    </row>
    <row r="64474" spans="3:13" ht="12.75" customHeight="1" x14ac:dyDescent="0.2">
      <c r="C64474"/>
      <c r="M64474"/>
    </row>
    <row r="64475" spans="3:13" ht="12.75" customHeight="1" x14ac:dyDescent="0.2">
      <c r="C64475"/>
      <c r="M64475"/>
    </row>
    <row r="64476" spans="3:13" ht="12.75" customHeight="1" x14ac:dyDescent="0.2">
      <c r="C64476"/>
      <c r="M64476"/>
    </row>
    <row r="64477" spans="3:13" ht="12.75" customHeight="1" x14ac:dyDescent="0.2">
      <c r="C64477"/>
      <c r="M64477"/>
    </row>
    <row r="64478" spans="3:13" ht="12.75" customHeight="1" x14ac:dyDescent="0.2">
      <c r="C64478"/>
      <c r="M64478"/>
    </row>
    <row r="64479" spans="3:13" ht="12.75" customHeight="1" x14ac:dyDescent="0.2">
      <c r="C64479"/>
      <c r="M64479"/>
    </row>
    <row r="64480" spans="3:13" ht="12.75" customHeight="1" x14ac:dyDescent="0.2">
      <c r="C64480"/>
      <c r="M64480"/>
    </row>
    <row r="64481" spans="3:13" ht="12.75" customHeight="1" x14ac:dyDescent="0.2">
      <c r="C64481"/>
      <c r="M64481"/>
    </row>
    <row r="64482" spans="3:13" ht="12.75" customHeight="1" x14ac:dyDescent="0.2">
      <c r="C64482"/>
      <c r="M64482"/>
    </row>
    <row r="64483" spans="3:13" ht="12.75" customHeight="1" x14ac:dyDescent="0.2">
      <c r="C64483"/>
      <c r="M64483"/>
    </row>
    <row r="64484" spans="3:13" ht="12.75" customHeight="1" x14ac:dyDescent="0.2">
      <c r="C64484"/>
      <c r="M64484"/>
    </row>
    <row r="64485" spans="3:13" ht="12.75" customHeight="1" x14ac:dyDescent="0.2">
      <c r="C64485"/>
      <c r="M64485"/>
    </row>
    <row r="64486" spans="3:13" ht="12.75" customHeight="1" x14ac:dyDescent="0.2">
      <c r="C64486"/>
      <c r="M64486"/>
    </row>
    <row r="64487" spans="3:13" ht="12.75" customHeight="1" x14ac:dyDescent="0.2">
      <c r="C64487"/>
      <c r="M64487"/>
    </row>
    <row r="64488" spans="3:13" ht="12.75" customHeight="1" x14ac:dyDescent="0.2">
      <c r="C64488"/>
      <c r="M64488"/>
    </row>
    <row r="64489" spans="3:13" ht="12.75" customHeight="1" x14ac:dyDescent="0.2">
      <c r="C64489"/>
      <c r="M64489"/>
    </row>
    <row r="64490" spans="3:13" ht="12.75" customHeight="1" x14ac:dyDescent="0.2">
      <c r="C64490"/>
      <c r="M64490"/>
    </row>
    <row r="64491" spans="3:13" ht="12.75" customHeight="1" x14ac:dyDescent="0.2">
      <c r="C64491"/>
      <c r="M64491"/>
    </row>
    <row r="64492" spans="3:13" ht="12.75" customHeight="1" x14ac:dyDescent="0.2">
      <c r="C64492"/>
      <c r="M64492"/>
    </row>
    <row r="64493" spans="3:13" ht="12.75" customHeight="1" x14ac:dyDescent="0.2">
      <c r="C64493"/>
      <c r="M64493"/>
    </row>
    <row r="64494" spans="3:13" ht="12.75" customHeight="1" x14ac:dyDescent="0.2">
      <c r="C64494"/>
      <c r="M64494"/>
    </row>
    <row r="64495" spans="3:13" ht="12.75" customHeight="1" x14ac:dyDescent="0.2">
      <c r="C64495"/>
      <c r="M64495"/>
    </row>
    <row r="64496" spans="3:13" ht="12.75" customHeight="1" x14ac:dyDescent="0.2">
      <c r="C64496"/>
      <c r="M64496"/>
    </row>
    <row r="64497" spans="3:13" ht="12.75" customHeight="1" x14ac:dyDescent="0.2">
      <c r="C64497"/>
      <c r="M64497"/>
    </row>
    <row r="64498" spans="3:13" ht="12.75" customHeight="1" x14ac:dyDescent="0.2">
      <c r="C64498"/>
      <c r="M64498"/>
    </row>
    <row r="64499" spans="3:13" ht="12.75" customHeight="1" x14ac:dyDescent="0.2">
      <c r="C64499"/>
      <c r="M64499"/>
    </row>
    <row r="64500" spans="3:13" ht="12.75" customHeight="1" x14ac:dyDescent="0.2">
      <c r="C64500"/>
      <c r="M64500"/>
    </row>
    <row r="64501" spans="3:13" ht="12.75" customHeight="1" x14ac:dyDescent="0.2">
      <c r="C64501"/>
      <c r="M64501"/>
    </row>
    <row r="64502" spans="3:13" ht="12.75" customHeight="1" x14ac:dyDescent="0.2">
      <c r="C64502"/>
      <c r="M64502"/>
    </row>
    <row r="64503" spans="3:13" ht="12.75" customHeight="1" x14ac:dyDescent="0.2">
      <c r="C64503"/>
      <c r="M64503"/>
    </row>
    <row r="64504" spans="3:13" ht="12.75" customHeight="1" x14ac:dyDescent="0.2">
      <c r="C64504"/>
      <c r="M64504"/>
    </row>
    <row r="64505" spans="3:13" ht="12.75" customHeight="1" x14ac:dyDescent="0.2">
      <c r="C64505"/>
      <c r="M64505"/>
    </row>
    <row r="64506" spans="3:13" ht="12.75" customHeight="1" x14ac:dyDescent="0.2">
      <c r="C64506"/>
      <c r="M64506"/>
    </row>
    <row r="64507" spans="3:13" ht="12.75" customHeight="1" x14ac:dyDescent="0.2">
      <c r="C64507"/>
      <c r="M64507"/>
    </row>
    <row r="64508" spans="3:13" ht="12.75" customHeight="1" x14ac:dyDescent="0.2">
      <c r="C64508"/>
      <c r="M64508"/>
    </row>
    <row r="64509" spans="3:13" ht="12.75" customHeight="1" x14ac:dyDescent="0.2">
      <c r="C64509"/>
      <c r="M64509"/>
    </row>
    <row r="64510" spans="3:13" ht="12.75" customHeight="1" x14ac:dyDescent="0.2">
      <c r="C64510"/>
      <c r="M64510"/>
    </row>
    <row r="64511" spans="3:13" ht="12.75" customHeight="1" x14ac:dyDescent="0.2">
      <c r="C64511"/>
      <c r="M64511"/>
    </row>
    <row r="64512" spans="3:13" ht="12.75" customHeight="1" x14ac:dyDescent="0.2">
      <c r="C64512"/>
      <c r="M64512"/>
    </row>
    <row r="64513" spans="3:13" ht="12.75" customHeight="1" x14ac:dyDescent="0.2">
      <c r="C64513"/>
      <c r="M64513"/>
    </row>
    <row r="64514" spans="3:13" ht="12.75" customHeight="1" x14ac:dyDescent="0.2">
      <c r="C64514"/>
      <c r="M64514"/>
    </row>
    <row r="64515" spans="3:13" ht="12.75" customHeight="1" x14ac:dyDescent="0.2">
      <c r="C64515"/>
      <c r="M64515"/>
    </row>
    <row r="64516" spans="3:13" ht="12.75" customHeight="1" x14ac:dyDescent="0.2">
      <c r="C64516"/>
      <c r="M64516"/>
    </row>
    <row r="64517" spans="3:13" ht="12.75" customHeight="1" x14ac:dyDescent="0.2">
      <c r="C64517"/>
      <c r="M64517"/>
    </row>
    <row r="64518" spans="3:13" ht="12.75" customHeight="1" x14ac:dyDescent="0.2">
      <c r="C64518"/>
      <c r="M64518"/>
    </row>
    <row r="64519" spans="3:13" ht="12.75" customHeight="1" x14ac:dyDescent="0.2">
      <c r="C64519"/>
      <c r="M64519"/>
    </row>
    <row r="64520" spans="3:13" ht="12.75" customHeight="1" x14ac:dyDescent="0.2">
      <c r="C64520"/>
      <c r="M64520"/>
    </row>
    <row r="64521" spans="3:13" ht="12.75" customHeight="1" x14ac:dyDescent="0.2">
      <c r="C64521"/>
      <c r="M64521"/>
    </row>
    <row r="64522" spans="3:13" ht="12.75" customHeight="1" x14ac:dyDescent="0.2">
      <c r="C64522"/>
      <c r="M64522"/>
    </row>
    <row r="64523" spans="3:13" ht="12.75" customHeight="1" x14ac:dyDescent="0.2">
      <c r="C64523"/>
      <c r="M64523"/>
    </row>
    <row r="64524" spans="3:13" ht="12.75" customHeight="1" x14ac:dyDescent="0.2">
      <c r="C64524"/>
      <c r="M64524"/>
    </row>
    <row r="64525" spans="3:13" ht="12.75" customHeight="1" x14ac:dyDescent="0.2">
      <c r="C64525"/>
      <c r="M64525"/>
    </row>
    <row r="64526" spans="3:13" ht="12.75" customHeight="1" x14ac:dyDescent="0.2">
      <c r="C64526"/>
      <c r="M64526"/>
    </row>
    <row r="64527" spans="3:13" ht="12.75" customHeight="1" x14ac:dyDescent="0.2">
      <c r="C64527"/>
      <c r="M64527"/>
    </row>
    <row r="64528" spans="3:13" ht="12.75" customHeight="1" x14ac:dyDescent="0.2">
      <c r="C64528"/>
      <c r="M64528"/>
    </row>
    <row r="64529" spans="3:13" ht="12.75" customHeight="1" x14ac:dyDescent="0.2">
      <c r="C64529"/>
      <c r="M64529"/>
    </row>
    <row r="64530" spans="3:13" ht="12.75" customHeight="1" x14ac:dyDescent="0.2">
      <c r="C64530"/>
      <c r="M64530"/>
    </row>
    <row r="64531" spans="3:13" ht="12.75" customHeight="1" x14ac:dyDescent="0.2">
      <c r="C64531"/>
      <c r="M64531"/>
    </row>
    <row r="64532" spans="3:13" ht="12.75" customHeight="1" x14ac:dyDescent="0.2">
      <c r="C64532"/>
      <c r="M64532"/>
    </row>
    <row r="64533" spans="3:13" ht="12.75" customHeight="1" x14ac:dyDescent="0.2">
      <c r="C64533"/>
      <c r="M64533"/>
    </row>
    <row r="64534" spans="3:13" ht="12.75" customHeight="1" x14ac:dyDescent="0.2">
      <c r="C64534"/>
      <c r="M64534"/>
    </row>
    <row r="64535" spans="3:13" ht="12.75" customHeight="1" x14ac:dyDescent="0.2">
      <c r="C64535"/>
      <c r="M64535"/>
    </row>
    <row r="64536" spans="3:13" ht="12.75" customHeight="1" x14ac:dyDescent="0.2">
      <c r="C64536"/>
      <c r="M64536"/>
    </row>
    <row r="64537" spans="3:13" ht="12.75" customHeight="1" x14ac:dyDescent="0.2">
      <c r="C64537"/>
      <c r="M64537"/>
    </row>
    <row r="64538" spans="3:13" ht="12.75" customHeight="1" x14ac:dyDescent="0.2">
      <c r="C64538"/>
      <c r="M64538"/>
    </row>
    <row r="64539" spans="3:13" ht="12.75" customHeight="1" x14ac:dyDescent="0.2">
      <c r="C64539"/>
      <c r="M64539"/>
    </row>
    <row r="64540" spans="3:13" ht="12.75" customHeight="1" x14ac:dyDescent="0.2">
      <c r="C64540"/>
      <c r="M64540"/>
    </row>
    <row r="64541" spans="3:13" ht="12.75" customHeight="1" x14ac:dyDescent="0.2">
      <c r="C64541"/>
      <c r="M64541"/>
    </row>
    <row r="64542" spans="3:13" ht="12.75" customHeight="1" x14ac:dyDescent="0.2">
      <c r="C64542"/>
      <c r="M64542"/>
    </row>
    <row r="64543" spans="3:13" ht="12.75" customHeight="1" x14ac:dyDescent="0.2">
      <c r="C64543"/>
      <c r="M64543"/>
    </row>
    <row r="64544" spans="3:13" ht="12.75" customHeight="1" x14ac:dyDescent="0.2">
      <c r="C64544"/>
      <c r="M64544"/>
    </row>
    <row r="64545" spans="3:13" ht="12.75" customHeight="1" x14ac:dyDescent="0.2">
      <c r="C64545"/>
      <c r="M64545"/>
    </row>
    <row r="64546" spans="3:13" ht="12.75" customHeight="1" x14ac:dyDescent="0.2">
      <c r="C64546"/>
      <c r="M64546"/>
    </row>
    <row r="64547" spans="3:13" ht="12.75" customHeight="1" x14ac:dyDescent="0.2">
      <c r="C64547"/>
      <c r="M64547"/>
    </row>
    <row r="64548" spans="3:13" ht="12.75" customHeight="1" x14ac:dyDescent="0.2">
      <c r="C64548"/>
      <c r="M64548"/>
    </row>
    <row r="64549" spans="3:13" ht="12.75" customHeight="1" x14ac:dyDescent="0.2">
      <c r="C64549"/>
      <c r="M64549"/>
    </row>
    <row r="64550" spans="3:13" ht="12.75" customHeight="1" x14ac:dyDescent="0.2">
      <c r="C64550"/>
      <c r="M64550"/>
    </row>
    <row r="64551" spans="3:13" ht="12.75" customHeight="1" x14ac:dyDescent="0.2">
      <c r="C64551"/>
      <c r="M64551"/>
    </row>
    <row r="64552" spans="3:13" ht="12.75" customHeight="1" x14ac:dyDescent="0.2">
      <c r="C64552"/>
      <c r="M64552"/>
    </row>
    <row r="64553" spans="3:13" ht="12.75" customHeight="1" x14ac:dyDescent="0.2">
      <c r="C64553"/>
      <c r="M64553"/>
    </row>
    <row r="64554" spans="3:13" ht="12.75" customHeight="1" x14ac:dyDescent="0.2">
      <c r="C64554"/>
      <c r="M64554"/>
    </row>
    <row r="64555" spans="3:13" ht="12.75" customHeight="1" x14ac:dyDescent="0.2">
      <c r="C64555"/>
      <c r="M64555"/>
    </row>
    <row r="64556" spans="3:13" ht="12.75" customHeight="1" x14ac:dyDescent="0.2">
      <c r="C64556"/>
      <c r="M64556"/>
    </row>
    <row r="64557" spans="3:13" ht="12.75" customHeight="1" x14ac:dyDescent="0.2">
      <c r="C64557"/>
      <c r="M64557"/>
    </row>
    <row r="64558" spans="3:13" ht="12.75" customHeight="1" x14ac:dyDescent="0.2">
      <c r="C64558"/>
      <c r="M64558"/>
    </row>
    <row r="64559" spans="3:13" ht="12.75" customHeight="1" x14ac:dyDescent="0.2">
      <c r="C64559"/>
      <c r="M64559"/>
    </row>
    <row r="64560" spans="3:13" ht="12.75" customHeight="1" x14ac:dyDescent="0.2">
      <c r="C64560"/>
      <c r="M64560"/>
    </row>
    <row r="64561" spans="3:13" ht="12.75" customHeight="1" x14ac:dyDescent="0.2">
      <c r="C64561"/>
      <c r="M64561"/>
    </row>
    <row r="64562" spans="3:13" ht="12.75" customHeight="1" x14ac:dyDescent="0.2">
      <c r="C64562"/>
      <c r="M64562"/>
    </row>
    <row r="64563" spans="3:13" ht="12.75" customHeight="1" x14ac:dyDescent="0.2">
      <c r="C64563"/>
      <c r="M64563"/>
    </row>
    <row r="64564" spans="3:13" ht="12.75" customHeight="1" x14ac:dyDescent="0.2">
      <c r="C64564"/>
      <c r="M64564"/>
    </row>
    <row r="64565" spans="3:13" ht="12.75" customHeight="1" x14ac:dyDescent="0.2">
      <c r="C64565"/>
      <c r="M64565"/>
    </row>
    <row r="64566" spans="3:13" ht="12.75" customHeight="1" x14ac:dyDescent="0.2">
      <c r="C64566"/>
      <c r="M64566"/>
    </row>
    <row r="64567" spans="3:13" ht="12.75" customHeight="1" x14ac:dyDescent="0.2">
      <c r="C64567"/>
      <c r="M64567"/>
    </row>
    <row r="64568" spans="3:13" ht="12.75" customHeight="1" x14ac:dyDescent="0.2">
      <c r="C64568"/>
      <c r="M64568"/>
    </row>
    <row r="64569" spans="3:13" ht="12.75" customHeight="1" x14ac:dyDescent="0.2">
      <c r="C64569"/>
      <c r="M64569"/>
    </row>
    <row r="64570" spans="3:13" ht="12.75" customHeight="1" x14ac:dyDescent="0.2">
      <c r="C64570"/>
      <c r="M64570"/>
    </row>
    <row r="64571" spans="3:13" ht="12.75" customHeight="1" x14ac:dyDescent="0.2">
      <c r="C64571"/>
      <c r="M64571"/>
    </row>
    <row r="64572" spans="3:13" ht="12.75" customHeight="1" x14ac:dyDescent="0.2">
      <c r="C64572"/>
      <c r="M64572"/>
    </row>
    <row r="64573" spans="3:13" ht="12.75" customHeight="1" x14ac:dyDescent="0.2">
      <c r="C64573"/>
      <c r="M64573"/>
    </row>
    <row r="64574" spans="3:13" ht="12.75" customHeight="1" x14ac:dyDescent="0.2">
      <c r="C64574"/>
      <c r="M64574"/>
    </row>
    <row r="64575" spans="3:13" ht="12.75" customHeight="1" x14ac:dyDescent="0.2">
      <c r="C64575"/>
      <c r="M64575"/>
    </row>
    <row r="64576" spans="3:13" ht="12.75" customHeight="1" x14ac:dyDescent="0.2">
      <c r="C64576"/>
      <c r="M64576"/>
    </row>
    <row r="64577" spans="3:13" ht="12.75" customHeight="1" x14ac:dyDescent="0.2">
      <c r="C64577"/>
      <c r="M64577"/>
    </row>
    <row r="64578" spans="3:13" ht="12.75" customHeight="1" x14ac:dyDescent="0.2">
      <c r="C64578"/>
      <c r="M64578"/>
    </row>
    <row r="64579" spans="3:13" ht="12.75" customHeight="1" x14ac:dyDescent="0.2">
      <c r="C64579"/>
      <c r="M64579"/>
    </row>
    <row r="64580" spans="3:13" ht="12.75" customHeight="1" x14ac:dyDescent="0.2">
      <c r="C64580"/>
      <c r="M64580"/>
    </row>
    <row r="64581" spans="3:13" ht="12.75" customHeight="1" x14ac:dyDescent="0.2">
      <c r="C64581"/>
      <c r="M64581"/>
    </row>
    <row r="64582" spans="3:13" ht="12.75" customHeight="1" x14ac:dyDescent="0.2">
      <c r="C64582"/>
      <c r="M64582"/>
    </row>
    <row r="64583" spans="3:13" ht="12.75" customHeight="1" x14ac:dyDescent="0.2">
      <c r="C64583"/>
      <c r="M64583"/>
    </row>
    <row r="64584" spans="3:13" ht="12.75" customHeight="1" x14ac:dyDescent="0.2">
      <c r="C64584"/>
      <c r="M64584"/>
    </row>
    <row r="64585" spans="3:13" ht="12.75" customHeight="1" x14ac:dyDescent="0.2">
      <c r="C64585"/>
      <c r="M64585"/>
    </row>
    <row r="64586" spans="3:13" ht="12.75" customHeight="1" x14ac:dyDescent="0.2">
      <c r="C64586"/>
      <c r="M64586"/>
    </row>
    <row r="64587" spans="3:13" ht="12.75" customHeight="1" x14ac:dyDescent="0.2">
      <c r="C64587"/>
      <c r="M64587"/>
    </row>
    <row r="64588" spans="3:13" ht="12.75" customHeight="1" x14ac:dyDescent="0.2">
      <c r="C64588"/>
      <c r="M64588"/>
    </row>
    <row r="64589" spans="3:13" ht="12.75" customHeight="1" x14ac:dyDescent="0.2">
      <c r="C64589"/>
      <c r="M64589"/>
    </row>
    <row r="64590" spans="3:13" ht="12.75" customHeight="1" x14ac:dyDescent="0.2">
      <c r="C64590"/>
      <c r="M64590"/>
    </row>
    <row r="64591" spans="3:13" ht="12.75" customHeight="1" x14ac:dyDescent="0.2">
      <c r="C64591"/>
      <c r="M64591"/>
    </row>
    <row r="64592" spans="3:13" ht="12.75" customHeight="1" x14ac:dyDescent="0.2">
      <c r="C64592"/>
      <c r="M64592"/>
    </row>
    <row r="64593" spans="3:13" ht="12.75" customHeight="1" x14ac:dyDescent="0.2">
      <c r="C64593"/>
      <c r="M64593"/>
    </row>
    <row r="64594" spans="3:13" ht="12.75" customHeight="1" x14ac:dyDescent="0.2">
      <c r="C64594"/>
      <c r="M64594"/>
    </row>
    <row r="64595" spans="3:13" ht="12.75" customHeight="1" x14ac:dyDescent="0.2">
      <c r="C64595"/>
      <c r="M64595"/>
    </row>
    <row r="64596" spans="3:13" ht="12.75" customHeight="1" x14ac:dyDescent="0.2">
      <c r="C64596"/>
      <c r="M64596"/>
    </row>
    <row r="64597" spans="3:13" ht="12.75" customHeight="1" x14ac:dyDescent="0.2">
      <c r="C64597"/>
      <c r="M64597"/>
    </row>
    <row r="64598" spans="3:13" ht="12.75" customHeight="1" x14ac:dyDescent="0.2">
      <c r="C64598"/>
      <c r="M64598"/>
    </row>
    <row r="64599" spans="3:13" ht="12.75" customHeight="1" x14ac:dyDescent="0.2">
      <c r="C64599"/>
      <c r="M64599"/>
    </row>
    <row r="64600" spans="3:13" ht="12.75" customHeight="1" x14ac:dyDescent="0.2">
      <c r="C64600"/>
      <c r="M64600"/>
    </row>
    <row r="64601" spans="3:13" ht="12.75" customHeight="1" x14ac:dyDescent="0.2">
      <c r="C64601"/>
      <c r="M64601"/>
    </row>
    <row r="64602" spans="3:13" ht="12.75" customHeight="1" x14ac:dyDescent="0.2">
      <c r="C64602"/>
      <c r="M64602"/>
    </row>
    <row r="64603" spans="3:13" ht="12.75" customHeight="1" x14ac:dyDescent="0.2">
      <c r="C64603"/>
      <c r="M64603"/>
    </row>
    <row r="64604" spans="3:13" ht="12.75" customHeight="1" x14ac:dyDescent="0.2">
      <c r="C64604"/>
      <c r="M64604"/>
    </row>
    <row r="64605" spans="3:13" ht="12.75" customHeight="1" x14ac:dyDescent="0.2">
      <c r="C64605"/>
      <c r="M64605"/>
    </row>
    <row r="64606" spans="3:13" ht="12.75" customHeight="1" x14ac:dyDescent="0.2">
      <c r="C64606"/>
      <c r="M64606"/>
    </row>
    <row r="64607" spans="3:13" ht="12.75" customHeight="1" x14ac:dyDescent="0.2">
      <c r="C64607"/>
      <c r="M64607"/>
    </row>
    <row r="64608" spans="3:13" ht="12.75" customHeight="1" x14ac:dyDescent="0.2">
      <c r="C64608"/>
      <c r="M64608"/>
    </row>
    <row r="64609" spans="3:13" ht="12.75" customHeight="1" x14ac:dyDescent="0.2">
      <c r="C64609"/>
      <c r="M64609"/>
    </row>
    <row r="64610" spans="3:13" ht="12.75" customHeight="1" x14ac:dyDescent="0.2">
      <c r="C64610"/>
      <c r="M64610"/>
    </row>
    <row r="64611" spans="3:13" ht="12.75" customHeight="1" x14ac:dyDescent="0.2">
      <c r="C64611"/>
      <c r="M64611"/>
    </row>
    <row r="64612" spans="3:13" ht="12.75" customHeight="1" x14ac:dyDescent="0.2">
      <c r="C64612"/>
      <c r="M64612"/>
    </row>
    <row r="64613" spans="3:13" ht="12.75" customHeight="1" x14ac:dyDescent="0.2">
      <c r="C64613"/>
      <c r="M64613"/>
    </row>
    <row r="64614" spans="3:13" ht="12.75" customHeight="1" x14ac:dyDescent="0.2">
      <c r="C64614"/>
      <c r="M64614"/>
    </row>
    <row r="64615" spans="3:13" ht="12.75" customHeight="1" x14ac:dyDescent="0.2">
      <c r="C64615"/>
      <c r="M64615"/>
    </row>
    <row r="64616" spans="3:13" ht="12.75" customHeight="1" x14ac:dyDescent="0.2">
      <c r="C64616"/>
      <c r="M64616"/>
    </row>
    <row r="64617" spans="3:13" ht="12.75" customHeight="1" x14ac:dyDescent="0.2">
      <c r="C64617"/>
      <c r="M64617"/>
    </row>
    <row r="64618" spans="3:13" ht="12.75" customHeight="1" x14ac:dyDescent="0.2">
      <c r="C64618"/>
      <c r="M64618"/>
    </row>
    <row r="64619" spans="3:13" ht="12.75" customHeight="1" x14ac:dyDescent="0.2">
      <c r="C64619"/>
      <c r="M64619"/>
    </row>
    <row r="64620" spans="3:13" ht="12.75" customHeight="1" x14ac:dyDescent="0.2">
      <c r="C64620"/>
      <c r="M64620"/>
    </row>
    <row r="64621" spans="3:13" ht="12.75" customHeight="1" x14ac:dyDescent="0.2">
      <c r="C64621"/>
      <c r="M64621"/>
    </row>
    <row r="64622" spans="3:13" ht="12.75" customHeight="1" x14ac:dyDescent="0.2">
      <c r="C64622"/>
      <c r="M64622"/>
    </row>
    <row r="64623" spans="3:13" ht="12.75" customHeight="1" x14ac:dyDescent="0.2">
      <c r="C64623"/>
      <c r="M64623"/>
    </row>
    <row r="64624" spans="3:13" ht="12.75" customHeight="1" x14ac:dyDescent="0.2">
      <c r="C64624"/>
      <c r="M64624"/>
    </row>
    <row r="64625" spans="3:13" ht="12.75" customHeight="1" x14ac:dyDescent="0.2">
      <c r="C64625"/>
      <c r="M64625"/>
    </row>
    <row r="64626" spans="3:13" ht="12.75" customHeight="1" x14ac:dyDescent="0.2">
      <c r="C64626"/>
      <c r="M64626"/>
    </row>
    <row r="64627" spans="3:13" ht="12.75" customHeight="1" x14ac:dyDescent="0.2">
      <c r="C64627"/>
      <c r="M64627"/>
    </row>
    <row r="64628" spans="3:13" ht="12.75" customHeight="1" x14ac:dyDescent="0.2">
      <c r="C64628"/>
      <c r="M64628"/>
    </row>
    <row r="64629" spans="3:13" ht="12.75" customHeight="1" x14ac:dyDescent="0.2">
      <c r="C64629"/>
      <c r="M64629"/>
    </row>
    <row r="64630" spans="3:13" ht="12.75" customHeight="1" x14ac:dyDescent="0.2">
      <c r="C64630"/>
      <c r="M64630"/>
    </row>
    <row r="64631" spans="3:13" ht="12.75" customHeight="1" x14ac:dyDescent="0.2">
      <c r="C64631"/>
      <c r="M64631"/>
    </row>
    <row r="64632" spans="3:13" ht="12.75" customHeight="1" x14ac:dyDescent="0.2">
      <c r="C64632"/>
      <c r="M64632"/>
    </row>
    <row r="64633" spans="3:13" ht="12.75" customHeight="1" x14ac:dyDescent="0.2">
      <c r="C64633"/>
      <c r="M64633"/>
    </row>
    <row r="64634" spans="3:13" ht="12.75" customHeight="1" x14ac:dyDescent="0.2">
      <c r="C64634"/>
      <c r="M64634"/>
    </row>
    <row r="64635" spans="3:13" ht="12.75" customHeight="1" x14ac:dyDescent="0.2">
      <c r="C64635"/>
      <c r="M64635"/>
    </row>
    <row r="64636" spans="3:13" ht="12.75" customHeight="1" x14ac:dyDescent="0.2">
      <c r="C64636"/>
      <c r="M64636"/>
    </row>
    <row r="64637" spans="3:13" ht="12.75" customHeight="1" x14ac:dyDescent="0.2">
      <c r="C64637"/>
      <c r="M64637"/>
    </row>
    <row r="64638" spans="3:13" ht="12.75" customHeight="1" x14ac:dyDescent="0.2">
      <c r="C64638"/>
      <c r="M64638"/>
    </row>
    <row r="64639" spans="3:13" ht="12.75" customHeight="1" x14ac:dyDescent="0.2">
      <c r="C64639"/>
      <c r="M64639"/>
    </row>
    <row r="64640" spans="3:13" ht="12.75" customHeight="1" x14ac:dyDescent="0.2">
      <c r="C64640"/>
      <c r="M64640"/>
    </row>
    <row r="64641" spans="3:13" ht="12.75" customHeight="1" x14ac:dyDescent="0.2">
      <c r="C64641"/>
      <c r="M64641"/>
    </row>
    <row r="64642" spans="3:13" ht="12.75" customHeight="1" x14ac:dyDescent="0.2">
      <c r="C64642"/>
      <c r="M64642"/>
    </row>
    <row r="64643" spans="3:13" ht="12.75" customHeight="1" x14ac:dyDescent="0.2">
      <c r="C64643"/>
      <c r="M64643"/>
    </row>
    <row r="64644" spans="3:13" ht="12.75" customHeight="1" x14ac:dyDescent="0.2">
      <c r="C64644"/>
      <c r="M64644"/>
    </row>
    <row r="64645" spans="3:13" ht="12.75" customHeight="1" x14ac:dyDescent="0.2">
      <c r="C64645"/>
      <c r="M64645"/>
    </row>
    <row r="64646" spans="3:13" ht="12.75" customHeight="1" x14ac:dyDescent="0.2">
      <c r="C64646"/>
      <c r="M64646"/>
    </row>
    <row r="64647" spans="3:13" ht="12.75" customHeight="1" x14ac:dyDescent="0.2">
      <c r="C64647"/>
      <c r="M64647"/>
    </row>
    <row r="64648" spans="3:13" ht="12.75" customHeight="1" x14ac:dyDescent="0.2">
      <c r="C64648"/>
      <c r="M64648"/>
    </row>
    <row r="64649" spans="3:13" ht="12.75" customHeight="1" x14ac:dyDescent="0.2">
      <c r="C64649"/>
      <c r="M64649"/>
    </row>
    <row r="64650" spans="3:13" ht="12.75" customHeight="1" x14ac:dyDescent="0.2">
      <c r="C64650"/>
      <c r="M64650"/>
    </row>
    <row r="64651" spans="3:13" ht="12.75" customHeight="1" x14ac:dyDescent="0.2">
      <c r="C64651"/>
      <c r="M64651"/>
    </row>
    <row r="64652" spans="3:13" ht="12.75" customHeight="1" x14ac:dyDescent="0.2">
      <c r="C64652"/>
      <c r="M64652"/>
    </row>
    <row r="64653" spans="3:13" ht="12.75" customHeight="1" x14ac:dyDescent="0.2">
      <c r="C64653"/>
      <c r="M64653"/>
    </row>
    <row r="64654" spans="3:13" ht="12.75" customHeight="1" x14ac:dyDescent="0.2">
      <c r="C64654"/>
      <c r="M64654"/>
    </row>
    <row r="64655" spans="3:13" ht="12.75" customHeight="1" x14ac:dyDescent="0.2">
      <c r="C64655"/>
      <c r="M64655"/>
    </row>
    <row r="64656" spans="3:13" ht="12.75" customHeight="1" x14ac:dyDescent="0.2">
      <c r="C64656"/>
      <c r="M64656"/>
    </row>
    <row r="64657" spans="3:13" ht="12.75" customHeight="1" x14ac:dyDescent="0.2">
      <c r="C64657"/>
      <c r="M64657"/>
    </row>
    <row r="64658" spans="3:13" ht="12.75" customHeight="1" x14ac:dyDescent="0.2">
      <c r="C64658"/>
      <c r="M64658"/>
    </row>
    <row r="64659" spans="3:13" ht="12.75" customHeight="1" x14ac:dyDescent="0.2">
      <c r="C64659"/>
      <c r="M64659"/>
    </row>
    <row r="64660" spans="3:13" ht="12.75" customHeight="1" x14ac:dyDescent="0.2">
      <c r="C64660"/>
      <c r="M64660"/>
    </row>
    <row r="64661" spans="3:13" ht="12.75" customHeight="1" x14ac:dyDescent="0.2">
      <c r="C64661"/>
      <c r="M64661"/>
    </row>
    <row r="64662" spans="3:13" ht="12.75" customHeight="1" x14ac:dyDescent="0.2">
      <c r="C64662"/>
      <c r="M64662"/>
    </row>
    <row r="64663" spans="3:13" ht="12.75" customHeight="1" x14ac:dyDescent="0.2">
      <c r="C64663"/>
      <c r="M64663"/>
    </row>
    <row r="64664" spans="3:13" ht="12.75" customHeight="1" x14ac:dyDescent="0.2">
      <c r="C64664"/>
      <c r="M64664"/>
    </row>
    <row r="64665" spans="3:13" ht="12.75" customHeight="1" x14ac:dyDescent="0.2">
      <c r="C64665"/>
      <c r="M64665"/>
    </row>
    <row r="64666" spans="3:13" ht="12.75" customHeight="1" x14ac:dyDescent="0.2">
      <c r="C64666"/>
      <c r="M64666"/>
    </row>
    <row r="64667" spans="3:13" ht="12.75" customHeight="1" x14ac:dyDescent="0.2">
      <c r="C64667"/>
      <c r="M64667"/>
    </row>
    <row r="64668" spans="3:13" ht="12.75" customHeight="1" x14ac:dyDescent="0.2">
      <c r="C64668"/>
      <c r="M64668"/>
    </row>
    <row r="64669" spans="3:13" ht="12.75" customHeight="1" x14ac:dyDescent="0.2">
      <c r="C64669"/>
      <c r="M64669"/>
    </row>
    <row r="64670" spans="3:13" ht="12.75" customHeight="1" x14ac:dyDescent="0.2">
      <c r="C64670"/>
      <c r="M64670"/>
    </row>
    <row r="64671" spans="3:13" ht="12.75" customHeight="1" x14ac:dyDescent="0.2">
      <c r="C64671"/>
      <c r="M64671"/>
    </row>
    <row r="64672" spans="3:13" ht="12.75" customHeight="1" x14ac:dyDescent="0.2">
      <c r="C64672"/>
      <c r="M64672"/>
    </row>
    <row r="64673" spans="3:13" ht="12.75" customHeight="1" x14ac:dyDescent="0.2">
      <c r="C64673"/>
      <c r="M64673"/>
    </row>
    <row r="64674" spans="3:13" ht="12.75" customHeight="1" x14ac:dyDescent="0.2">
      <c r="C64674"/>
      <c r="M64674"/>
    </row>
    <row r="64675" spans="3:13" ht="12.75" customHeight="1" x14ac:dyDescent="0.2">
      <c r="C64675"/>
      <c r="M64675"/>
    </row>
    <row r="64676" spans="3:13" ht="12.75" customHeight="1" x14ac:dyDescent="0.2">
      <c r="C64676"/>
      <c r="M64676"/>
    </row>
    <row r="64677" spans="3:13" ht="12.75" customHeight="1" x14ac:dyDescent="0.2">
      <c r="C64677"/>
      <c r="M64677"/>
    </row>
    <row r="64678" spans="3:13" ht="12.75" customHeight="1" x14ac:dyDescent="0.2">
      <c r="C64678"/>
      <c r="M64678"/>
    </row>
    <row r="64679" spans="3:13" ht="12.75" customHeight="1" x14ac:dyDescent="0.2">
      <c r="C64679"/>
      <c r="M64679"/>
    </row>
    <row r="64680" spans="3:13" ht="12.75" customHeight="1" x14ac:dyDescent="0.2">
      <c r="C64680"/>
      <c r="M64680"/>
    </row>
    <row r="64681" spans="3:13" ht="12.75" customHeight="1" x14ac:dyDescent="0.2">
      <c r="C64681"/>
      <c r="M64681"/>
    </row>
    <row r="64682" spans="3:13" ht="12.75" customHeight="1" x14ac:dyDescent="0.2">
      <c r="C64682"/>
      <c r="M64682"/>
    </row>
    <row r="64683" spans="3:13" ht="12.75" customHeight="1" x14ac:dyDescent="0.2">
      <c r="C64683"/>
      <c r="M64683"/>
    </row>
    <row r="64684" spans="3:13" ht="12.75" customHeight="1" x14ac:dyDescent="0.2">
      <c r="C64684"/>
      <c r="M64684"/>
    </row>
    <row r="64685" spans="3:13" ht="12.75" customHeight="1" x14ac:dyDescent="0.2">
      <c r="C64685"/>
      <c r="M64685"/>
    </row>
    <row r="64686" spans="3:13" ht="12.75" customHeight="1" x14ac:dyDescent="0.2">
      <c r="C64686"/>
      <c r="M64686"/>
    </row>
    <row r="64687" spans="3:13" ht="12.75" customHeight="1" x14ac:dyDescent="0.2">
      <c r="C64687"/>
      <c r="M64687"/>
    </row>
    <row r="64688" spans="3:13" ht="12.75" customHeight="1" x14ac:dyDescent="0.2">
      <c r="C64688"/>
      <c r="M64688"/>
    </row>
    <row r="64689" spans="3:13" ht="12.75" customHeight="1" x14ac:dyDescent="0.2">
      <c r="C64689"/>
      <c r="M64689"/>
    </row>
    <row r="64690" spans="3:13" ht="12.75" customHeight="1" x14ac:dyDescent="0.2">
      <c r="C64690"/>
      <c r="M64690"/>
    </row>
    <row r="64691" spans="3:13" ht="12.75" customHeight="1" x14ac:dyDescent="0.2">
      <c r="C64691"/>
      <c r="M64691"/>
    </row>
    <row r="64692" spans="3:13" ht="12.75" customHeight="1" x14ac:dyDescent="0.2">
      <c r="C64692"/>
      <c r="M64692"/>
    </row>
    <row r="64693" spans="3:13" ht="12.75" customHeight="1" x14ac:dyDescent="0.2">
      <c r="C64693"/>
      <c r="M64693"/>
    </row>
    <row r="64694" spans="3:13" ht="12.75" customHeight="1" x14ac:dyDescent="0.2">
      <c r="C64694"/>
      <c r="M64694"/>
    </row>
    <row r="64695" spans="3:13" ht="12.75" customHeight="1" x14ac:dyDescent="0.2">
      <c r="C64695"/>
      <c r="M64695"/>
    </row>
    <row r="64696" spans="3:13" ht="12.75" customHeight="1" x14ac:dyDescent="0.2">
      <c r="C64696"/>
      <c r="M64696"/>
    </row>
    <row r="64697" spans="3:13" ht="12.75" customHeight="1" x14ac:dyDescent="0.2">
      <c r="C64697"/>
      <c r="M64697"/>
    </row>
    <row r="64698" spans="3:13" ht="12.75" customHeight="1" x14ac:dyDescent="0.2">
      <c r="C64698"/>
      <c r="M64698"/>
    </row>
    <row r="64699" spans="3:13" ht="12.75" customHeight="1" x14ac:dyDescent="0.2">
      <c r="C64699"/>
      <c r="M64699"/>
    </row>
    <row r="64700" spans="3:13" ht="12.75" customHeight="1" x14ac:dyDescent="0.2">
      <c r="C64700"/>
      <c r="M64700"/>
    </row>
    <row r="64701" spans="3:13" ht="12.75" customHeight="1" x14ac:dyDescent="0.2">
      <c r="C64701"/>
      <c r="M64701"/>
    </row>
    <row r="64702" spans="3:13" ht="12.75" customHeight="1" x14ac:dyDescent="0.2">
      <c r="C64702"/>
      <c r="M64702"/>
    </row>
    <row r="64703" spans="3:13" ht="12.75" customHeight="1" x14ac:dyDescent="0.2">
      <c r="C64703"/>
      <c r="M64703"/>
    </row>
    <row r="64704" spans="3:13" ht="12.75" customHeight="1" x14ac:dyDescent="0.2">
      <c r="C64704"/>
      <c r="M64704"/>
    </row>
    <row r="64705" spans="3:13" ht="12.75" customHeight="1" x14ac:dyDescent="0.2">
      <c r="C64705"/>
      <c r="M64705"/>
    </row>
    <row r="64706" spans="3:13" ht="12.75" customHeight="1" x14ac:dyDescent="0.2">
      <c r="C64706"/>
      <c r="M64706"/>
    </row>
    <row r="64707" spans="3:13" ht="12.75" customHeight="1" x14ac:dyDescent="0.2">
      <c r="C64707"/>
      <c r="M64707"/>
    </row>
    <row r="64708" spans="3:13" ht="12.75" customHeight="1" x14ac:dyDescent="0.2">
      <c r="C64708"/>
      <c r="M64708"/>
    </row>
    <row r="64709" spans="3:13" ht="12.75" customHeight="1" x14ac:dyDescent="0.2">
      <c r="C64709"/>
      <c r="M64709"/>
    </row>
    <row r="64710" spans="3:13" ht="12.75" customHeight="1" x14ac:dyDescent="0.2">
      <c r="C64710"/>
      <c r="M64710"/>
    </row>
    <row r="64711" spans="3:13" ht="12.75" customHeight="1" x14ac:dyDescent="0.2">
      <c r="C64711"/>
      <c r="M64711"/>
    </row>
    <row r="64712" spans="3:13" ht="12.75" customHeight="1" x14ac:dyDescent="0.2">
      <c r="C64712"/>
      <c r="M64712"/>
    </row>
    <row r="64713" spans="3:13" ht="12.75" customHeight="1" x14ac:dyDescent="0.2">
      <c r="C64713"/>
      <c r="M64713"/>
    </row>
    <row r="64714" spans="3:13" ht="12.75" customHeight="1" x14ac:dyDescent="0.2">
      <c r="C64714"/>
      <c r="M64714"/>
    </row>
    <row r="64715" spans="3:13" ht="12.75" customHeight="1" x14ac:dyDescent="0.2">
      <c r="C64715"/>
      <c r="M64715"/>
    </row>
    <row r="64716" spans="3:13" ht="12.75" customHeight="1" x14ac:dyDescent="0.2">
      <c r="C64716"/>
      <c r="M64716"/>
    </row>
    <row r="64717" spans="3:13" ht="12.75" customHeight="1" x14ac:dyDescent="0.2">
      <c r="C64717"/>
      <c r="M64717"/>
    </row>
    <row r="64718" spans="3:13" ht="12.75" customHeight="1" x14ac:dyDescent="0.2">
      <c r="C64718"/>
      <c r="M64718"/>
    </row>
    <row r="64719" spans="3:13" ht="12.75" customHeight="1" x14ac:dyDescent="0.2">
      <c r="C64719"/>
      <c r="M64719"/>
    </row>
    <row r="64720" spans="3:13" ht="12.75" customHeight="1" x14ac:dyDescent="0.2">
      <c r="C64720"/>
      <c r="M64720"/>
    </row>
    <row r="64721" spans="3:13" ht="12.75" customHeight="1" x14ac:dyDescent="0.2">
      <c r="C64721"/>
      <c r="M64721"/>
    </row>
    <row r="64722" spans="3:13" ht="12.75" customHeight="1" x14ac:dyDescent="0.2">
      <c r="C64722"/>
      <c r="M64722"/>
    </row>
    <row r="64723" spans="3:13" ht="12.75" customHeight="1" x14ac:dyDescent="0.2">
      <c r="C64723"/>
      <c r="M64723"/>
    </row>
    <row r="64724" spans="3:13" ht="12.75" customHeight="1" x14ac:dyDescent="0.2">
      <c r="C64724"/>
      <c r="M64724"/>
    </row>
    <row r="64725" spans="3:13" ht="12.75" customHeight="1" x14ac:dyDescent="0.2">
      <c r="C64725"/>
      <c r="M64725"/>
    </row>
    <row r="64726" spans="3:13" ht="12.75" customHeight="1" x14ac:dyDescent="0.2">
      <c r="C64726"/>
      <c r="M64726"/>
    </row>
    <row r="64727" spans="3:13" ht="12.75" customHeight="1" x14ac:dyDescent="0.2">
      <c r="C64727"/>
      <c r="M64727"/>
    </row>
    <row r="64728" spans="3:13" ht="12.75" customHeight="1" x14ac:dyDescent="0.2">
      <c r="C64728"/>
      <c r="M64728"/>
    </row>
    <row r="64729" spans="3:13" ht="12.75" customHeight="1" x14ac:dyDescent="0.2">
      <c r="C64729"/>
      <c r="M64729"/>
    </row>
    <row r="64730" spans="3:13" ht="12.75" customHeight="1" x14ac:dyDescent="0.2">
      <c r="C64730"/>
      <c r="M64730"/>
    </row>
    <row r="64731" spans="3:13" ht="12.75" customHeight="1" x14ac:dyDescent="0.2">
      <c r="C64731"/>
      <c r="M64731"/>
    </row>
    <row r="64732" spans="3:13" ht="12.75" customHeight="1" x14ac:dyDescent="0.2">
      <c r="C64732"/>
      <c r="M64732"/>
    </row>
    <row r="64733" spans="3:13" ht="12.75" customHeight="1" x14ac:dyDescent="0.2">
      <c r="C64733"/>
      <c r="M64733"/>
    </row>
    <row r="64734" spans="3:13" ht="12.75" customHeight="1" x14ac:dyDescent="0.2">
      <c r="C64734"/>
      <c r="M64734"/>
    </row>
    <row r="64735" spans="3:13" ht="12.75" customHeight="1" x14ac:dyDescent="0.2">
      <c r="C64735"/>
      <c r="M64735"/>
    </row>
    <row r="64736" spans="3:13" ht="12.75" customHeight="1" x14ac:dyDescent="0.2">
      <c r="C64736"/>
      <c r="M64736"/>
    </row>
    <row r="64737" spans="3:13" ht="12.75" customHeight="1" x14ac:dyDescent="0.2">
      <c r="C64737"/>
      <c r="M64737"/>
    </row>
    <row r="64738" spans="3:13" ht="12.75" customHeight="1" x14ac:dyDescent="0.2">
      <c r="C64738"/>
      <c r="M64738"/>
    </row>
    <row r="64739" spans="3:13" ht="12.75" customHeight="1" x14ac:dyDescent="0.2">
      <c r="C64739"/>
      <c r="M64739"/>
    </row>
    <row r="64740" spans="3:13" ht="12.75" customHeight="1" x14ac:dyDescent="0.2">
      <c r="C64740"/>
      <c r="M64740"/>
    </row>
    <row r="64741" spans="3:13" ht="12.75" customHeight="1" x14ac:dyDescent="0.2">
      <c r="C64741"/>
      <c r="M64741"/>
    </row>
    <row r="64742" spans="3:13" ht="12.75" customHeight="1" x14ac:dyDescent="0.2">
      <c r="C64742"/>
      <c r="M64742"/>
    </row>
    <row r="64743" spans="3:13" ht="12.75" customHeight="1" x14ac:dyDescent="0.2">
      <c r="C64743"/>
      <c r="M64743"/>
    </row>
    <row r="64744" spans="3:13" ht="12.75" customHeight="1" x14ac:dyDescent="0.2">
      <c r="C64744"/>
      <c r="M64744"/>
    </row>
    <row r="64745" spans="3:13" ht="12.75" customHeight="1" x14ac:dyDescent="0.2">
      <c r="C64745"/>
      <c r="M64745"/>
    </row>
    <row r="64746" spans="3:13" ht="12.75" customHeight="1" x14ac:dyDescent="0.2">
      <c r="C64746"/>
      <c r="M64746"/>
    </row>
    <row r="64747" spans="3:13" ht="12.75" customHeight="1" x14ac:dyDescent="0.2">
      <c r="C64747"/>
      <c r="M64747"/>
    </row>
    <row r="64748" spans="3:13" ht="12.75" customHeight="1" x14ac:dyDescent="0.2">
      <c r="C64748"/>
      <c r="M64748"/>
    </row>
    <row r="64749" spans="3:13" ht="12.75" customHeight="1" x14ac:dyDescent="0.2">
      <c r="C64749"/>
      <c r="M64749"/>
    </row>
    <row r="64750" spans="3:13" ht="12.75" customHeight="1" x14ac:dyDescent="0.2">
      <c r="C64750"/>
      <c r="M64750"/>
    </row>
    <row r="64751" spans="3:13" ht="12.75" customHeight="1" x14ac:dyDescent="0.2">
      <c r="C64751"/>
      <c r="M64751"/>
    </row>
    <row r="64752" spans="3:13" ht="12.75" customHeight="1" x14ac:dyDescent="0.2">
      <c r="C64752"/>
      <c r="M64752"/>
    </row>
    <row r="64753" spans="3:13" ht="12.75" customHeight="1" x14ac:dyDescent="0.2">
      <c r="C64753"/>
      <c r="M64753"/>
    </row>
    <row r="64754" spans="3:13" ht="12.75" customHeight="1" x14ac:dyDescent="0.2">
      <c r="C64754"/>
      <c r="M64754"/>
    </row>
    <row r="64755" spans="3:13" ht="12.75" customHeight="1" x14ac:dyDescent="0.2">
      <c r="C64755"/>
      <c r="M64755"/>
    </row>
    <row r="64756" spans="3:13" ht="12.75" customHeight="1" x14ac:dyDescent="0.2">
      <c r="C64756"/>
      <c r="M64756"/>
    </row>
    <row r="64757" spans="3:13" ht="12.75" customHeight="1" x14ac:dyDescent="0.2">
      <c r="C64757"/>
      <c r="M64757"/>
    </row>
    <row r="64758" spans="3:13" ht="12.75" customHeight="1" x14ac:dyDescent="0.2">
      <c r="C64758"/>
      <c r="M64758"/>
    </row>
    <row r="64759" spans="3:13" ht="12.75" customHeight="1" x14ac:dyDescent="0.2">
      <c r="C64759"/>
      <c r="M64759"/>
    </row>
    <row r="64760" spans="3:13" ht="12.75" customHeight="1" x14ac:dyDescent="0.2">
      <c r="C64760"/>
      <c r="M64760"/>
    </row>
    <row r="64761" spans="3:13" ht="12.75" customHeight="1" x14ac:dyDescent="0.2">
      <c r="C64761"/>
      <c r="M64761"/>
    </row>
    <row r="64762" spans="3:13" ht="12.75" customHeight="1" x14ac:dyDescent="0.2">
      <c r="C64762"/>
      <c r="M64762"/>
    </row>
    <row r="64763" spans="3:13" ht="12.75" customHeight="1" x14ac:dyDescent="0.2">
      <c r="C64763"/>
      <c r="M64763"/>
    </row>
    <row r="64764" spans="3:13" ht="12.75" customHeight="1" x14ac:dyDescent="0.2">
      <c r="C64764"/>
      <c r="M64764"/>
    </row>
    <row r="64765" spans="3:13" ht="12.75" customHeight="1" x14ac:dyDescent="0.2">
      <c r="C64765"/>
      <c r="M64765"/>
    </row>
    <row r="64766" spans="3:13" ht="12.75" customHeight="1" x14ac:dyDescent="0.2">
      <c r="C64766"/>
      <c r="M64766"/>
    </row>
    <row r="64767" spans="3:13" ht="12.75" customHeight="1" x14ac:dyDescent="0.2">
      <c r="C64767"/>
      <c r="M64767"/>
    </row>
    <row r="64768" spans="3:13" ht="12.75" customHeight="1" x14ac:dyDescent="0.2">
      <c r="C64768"/>
      <c r="M64768"/>
    </row>
    <row r="64769" spans="3:13" ht="12.75" customHeight="1" x14ac:dyDescent="0.2">
      <c r="C64769"/>
      <c r="M64769"/>
    </row>
    <row r="64770" spans="3:13" ht="12.75" customHeight="1" x14ac:dyDescent="0.2">
      <c r="C64770"/>
      <c r="M64770"/>
    </row>
    <row r="64771" spans="3:13" ht="12.75" customHeight="1" x14ac:dyDescent="0.2">
      <c r="C64771"/>
      <c r="M64771"/>
    </row>
    <row r="64772" spans="3:13" ht="12.75" customHeight="1" x14ac:dyDescent="0.2">
      <c r="C64772"/>
      <c r="M64772"/>
    </row>
    <row r="64773" spans="3:13" ht="12.75" customHeight="1" x14ac:dyDescent="0.2">
      <c r="C64773"/>
      <c r="M64773"/>
    </row>
    <row r="64774" spans="3:13" ht="12.75" customHeight="1" x14ac:dyDescent="0.2">
      <c r="C64774"/>
      <c r="M64774"/>
    </row>
    <row r="64775" spans="3:13" ht="12.75" customHeight="1" x14ac:dyDescent="0.2">
      <c r="C64775"/>
      <c r="M64775"/>
    </row>
    <row r="64776" spans="3:13" ht="12.75" customHeight="1" x14ac:dyDescent="0.2">
      <c r="C64776"/>
      <c r="M64776"/>
    </row>
    <row r="64777" spans="3:13" ht="12.75" customHeight="1" x14ac:dyDescent="0.2">
      <c r="C64777"/>
      <c r="M64777"/>
    </row>
    <row r="64778" spans="3:13" ht="12.75" customHeight="1" x14ac:dyDescent="0.2">
      <c r="C64778"/>
      <c r="M64778"/>
    </row>
    <row r="64779" spans="3:13" ht="12.75" customHeight="1" x14ac:dyDescent="0.2">
      <c r="C64779"/>
      <c r="M64779"/>
    </row>
    <row r="64780" spans="3:13" ht="12.75" customHeight="1" x14ac:dyDescent="0.2">
      <c r="C64780"/>
      <c r="M64780"/>
    </row>
    <row r="64781" spans="3:13" ht="12.75" customHeight="1" x14ac:dyDescent="0.2">
      <c r="C64781"/>
      <c r="M64781"/>
    </row>
    <row r="64782" spans="3:13" ht="12.75" customHeight="1" x14ac:dyDescent="0.2">
      <c r="C64782"/>
      <c r="M64782"/>
    </row>
    <row r="64783" spans="3:13" ht="12.75" customHeight="1" x14ac:dyDescent="0.2">
      <c r="C64783"/>
      <c r="M64783"/>
    </row>
    <row r="64784" spans="3:13" ht="12.75" customHeight="1" x14ac:dyDescent="0.2">
      <c r="C64784"/>
      <c r="M64784"/>
    </row>
    <row r="64785" spans="3:13" ht="12.75" customHeight="1" x14ac:dyDescent="0.2">
      <c r="C64785"/>
      <c r="M64785"/>
    </row>
    <row r="64786" spans="3:13" ht="12.75" customHeight="1" x14ac:dyDescent="0.2">
      <c r="C64786"/>
      <c r="M64786"/>
    </row>
    <row r="64787" spans="3:13" ht="12.75" customHeight="1" x14ac:dyDescent="0.2">
      <c r="C64787"/>
      <c r="M64787"/>
    </row>
    <row r="64788" spans="3:13" ht="12.75" customHeight="1" x14ac:dyDescent="0.2">
      <c r="C64788"/>
      <c r="M64788"/>
    </row>
    <row r="64789" spans="3:13" ht="12.75" customHeight="1" x14ac:dyDescent="0.2">
      <c r="C64789"/>
      <c r="M64789"/>
    </row>
    <row r="64790" spans="3:13" ht="12.75" customHeight="1" x14ac:dyDescent="0.2">
      <c r="C64790"/>
      <c r="M64790"/>
    </row>
    <row r="64791" spans="3:13" ht="12.75" customHeight="1" x14ac:dyDescent="0.2">
      <c r="C64791"/>
      <c r="M64791"/>
    </row>
    <row r="64792" spans="3:13" ht="12.75" customHeight="1" x14ac:dyDescent="0.2">
      <c r="C64792"/>
      <c r="M64792"/>
    </row>
    <row r="64793" spans="3:13" ht="12.75" customHeight="1" x14ac:dyDescent="0.2">
      <c r="C64793"/>
      <c r="M64793"/>
    </row>
    <row r="64794" spans="3:13" ht="12.75" customHeight="1" x14ac:dyDescent="0.2">
      <c r="C64794"/>
      <c r="M64794"/>
    </row>
    <row r="64795" spans="3:13" ht="12.75" customHeight="1" x14ac:dyDescent="0.2">
      <c r="C64795"/>
      <c r="M64795"/>
    </row>
    <row r="64796" spans="3:13" ht="12.75" customHeight="1" x14ac:dyDescent="0.2">
      <c r="C64796"/>
      <c r="M64796"/>
    </row>
    <row r="64797" spans="3:13" ht="12.75" customHeight="1" x14ac:dyDescent="0.2">
      <c r="C64797"/>
      <c r="M64797"/>
    </row>
    <row r="64798" spans="3:13" ht="12.75" customHeight="1" x14ac:dyDescent="0.2">
      <c r="C64798"/>
      <c r="M64798"/>
    </row>
    <row r="64799" spans="3:13" ht="12.75" customHeight="1" x14ac:dyDescent="0.2">
      <c r="C64799"/>
      <c r="M64799"/>
    </row>
    <row r="64800" spans="3:13" ht="12.75" customHeight="1" x14ac:dyDescent="0.2">
      <c r="C64800"/>
      <c r="M64800"/>
    </row>
    <row r="64801" spans="3:13" ht="12.75" customHeight="1" x14ac:dyDescent="0.2">
      <c r="C64801"/>
      <c r="M64801"/>
    </row>
    <row r="64802" spans="3:13" ht="12.75" customHeight="1" x14ac:dyDescent="0.2">
      <c r="C64802"/>
      <c r="M64802"/>
    </row>
    <row r="64803" spans="3:13" ht="12.75" customHeight="1" x14ac:dyDescent="0.2">
      <c r="C64803"/>
      <c r="M64803"/>
    </row>
    <row r="64804" spans="3:13" ht="12.75" customHeight="1" x14ac:dyDescent="0.2">
      <c r="C64804"/>
      <c r="M64804"/>
    </row>
    <row r="64805" spans="3:13" ht="12.75" customHeight="1" x14ac:dyDescent="0.2">
      <c r="C64805"/>
      <c r="M64805"/>
    </row>
    <row r="64806" spans="3:13" ht="12.75" customHeight="1" x14ac:dyDescent="0.2">
      <c r="C64806"/>
      <c r="M64806"/>
    </row>
    <row r="64807" spans="3:13" ht="12.75" customHeight="1" x14ac:dyDescent="0.2">
      <c r="C64807"/>
      <c r="M64807"/>
    </row>
    <row r="64808" spans="3:13" ht="12.75" customHeight="1" x14ac:dyDescent="0.2">
      <c r="C64808"/>
      <c r="M64808"/>
    </row>
    <row r="64809" spans="3:13" ht="12.75" customHeight="1" x14ac:dyDescent="0.2">
      <c r="C64809"/>
      <c r="M64809"/>
    </row>
    <row r="64810" spans="3:13" ht="12.75" customHeight="1" x14ac:dyDescent="0.2">
      <c r="C64810"/>
      <c r="M64810"/>
    </row>
    <row r="64811" spans="3:13" ht="12.75" customHeight="1" x14ac:dyDescent="0.2">
      <c r="C64811"/>
      <c r="M64811"/>
    </row>
    <row r="64812" spans="3:13" ht="12.75" customHeight="1" x14ac:dyDescent="0.2">
      <c r="C64812"/>
      <c r="M64812"/>
    </row>
    <row r="64813" spans="3:13" ht="12.75" customHeight="1" x14ac:dyDescent="0.2">
      <c r="C64813"/>
      <c r="M64813"/>
    </row>
    <row r="64814" spans="3:13" ht="12.75" customHeight="1" x14ac:dyDescent="0.2">
      <c r="C64814"/>
      <c r="M64814"/>
    </row>
    <row r="64815" spans="3:13" ht="12.75" customHeight="1" x14ac:dyDescent="0.2">
      <c r="C64815"/>
      <c r="M64815"/>
    </row>
    <row r="64816" spans="3:13" ht="12.75" customHeight="1" x14ac:dyDescent="0.2">
      <c r="C64816"/>
      <c r="M64816"/>
    </row>
    <row r="64817" spans="3:13" ht="12.75" customHeight="1" x14ac:dyDescent="0.2">
      <c r="C64817"/>
      <c r="M64817"/>
    </row>
    <row r="64818" spans="3:13" ht="12.75" customHeight="1" x14ac:dyDescent="0.2">
      <c r="C64818"/>
      <c r="M64818"/>
    </row>
    <row r="64819" spans="3:13" ht="12.75" customHeight="1" x14ac:dyDescent="0.2">
      <c r="C64819"/>
      <c r="M64819"/>
    </row>
    <row r="64820" spans="3:13" ht="12.75" customHeight="1" x14ac:dyDescent="0.2">
      <c r="C64820"/>
      <c r="M64820"/>
    </row>
    <row r="64821" spans="3:13" ht="12.75" customHeight="1" x14ac:dyDescent="0.2">
      <c r="C64821"/>
      <c r="M64821"/>
    </row>
    <row r="64822" spans="3:13" ht="12.75" customHeight="1" x14ac:dyDescent="0.2">
      <c r="C64822"/>
      <c r="M64822"/>
    </row>
    <row r="64823" spans="3:13" ht="12.75" customHeight="1" x14ac:dyDescent="0.2">
      <c r="C64823"/>
      <c r="M64823"/>
    </row>
    <row r="64824" spans="3:13" ht="12.75" customHeight="1" x14ac:dyDescent="0.2">
      <c r="C64824"/>
      <c r="M64824"/>
    </row>
    <row r="64825" spans="3:13" ht="12.75" customHeight="1" x14ac:dyDescent="0.2">
      <c r="C64825"/>
      <c r="M64825"/>
    </row>
    <row r="64826" spans="3:13" ht="12.75" customHeight="1" x14ac:dyDescent="0.2">
      <c r="C64826"/>
      <c r="M64826"/>
    </row>
    <row r="64827" spans="3:13" ht="12.75" customHeight="1" x14ac:dyDescent="0.2">
      <c r="C64827"/>
      <c r="M64827"/>
    </row>
    <row r="64828" spans="3:13" ht="12.75" customHeight="1" x14ac:dyDescent="0.2">
      <c r="C64828"/>
      <c r="M64828"/>
    </row>
    <row r="64829" spans="3:13" ht="12.75" customHeight="1" x14ac:dyDescent="0.2">
      <c r="C64829"/>
      <c r="M64829"/>
    </row>
    <row r="64830" spans="3:13" ht="12.75" customHeight="1" x14ac:dyDescent="0.2">
      <c r="C64830"/>
      <c r="M64830"/>
    </row>
    <row r="64831" spans="3:13" ht="12.75" customHeight="1" x14ac:dyDescent="0.2">
      <c r="C64831"/>
      <c r="M64831"/>
    </row>
    <row r="64832" spans="3:13" ht="12.75" customHeight="1" x14ac:dyDescent="0.2">
      <c r="C64832"/>
      <c r="M64832"/>
    </row>
    <row r="64833" spans="3:13" ht="12.75" customHeight="1" x14ac:dyDescent="0.2">
      <c r="C64833"/>
      <c r="M64833"/>
    </row>
    <row r="64834" spans="3:13" ht="12.75" customHeight="1" x14ac:dyDescent="0.2">
      <c r="C64834"/>
      <c r="M64834"/>
    </row>
    <row r="64835" spans="3:13" ht="12.75" customHeight="1" x14ac:dyDescent="0.2">
      <c r="C64835"/>
      <c r="M64835"/>
    </row>
    <row r="64836" spans="3:13" ht="12.75" customHeight="1" x14ac:dyDescent="0.2">
      <c r="C64836"/>
      <c r="M64836"/>
    </row>
    <row r="64837" spans="3:13" ht="12.75" customHeight="1" x14ac:dyDescent="0.2">
      <c r="C64837"/>
      <c r="M64837"/>
    </row>
    <row r="64838" spans="3:13" ht="12.75" customHeight="1" x14ac:dyDescent="0.2">
      <c r="C64838"/>
      <c r="M64838"/>
    </row>
    <row r="64839" spans="3:13" ht="12.75" customHeight="1" x14ac:dyDescent="0.2">
      <c r="C64839"/>
      <c r="M64839"/>
    </row>
    <row r="64840" spans="3:13" ht="12.75" customHeight="1" x14ac:dyDescent="0.2">
      <c r="C64840"/>
      <c r="M64840"/>
    </row>
    <row r="64841" spans="3:13" ht="12.75" customHeight="1" x14ac:dyDescent="0.2">
      <c r="C64841"/>
      <c r="M64841"/>
    </row>
    <row r="64842" spans="3:13" ht="12.75" customHeight="1" x14ac:dyDescent="0.2">
      <c r="C64842"/>
      <c r="M64842"/>
    </row>
    <row r="64843" spans="3:13" ht="12.75" customHeight="1" x14ac:dyDescent="0.2">
      <c r="C64843"/>
      <c r="M64843"/>
    </row>
    <row r="64844" spans="3:13" ht="12.75" customHeight="1" x14ac:dyDescent="0.2">
      <c r="C64844"/>
      <c r="M64844"/>
    </row>
    <row r="64845" spans="3:13" ht="12.75" customHeight="1" x14ac:dyDescent="0.2">
      <c r="C64845"/>
      <c r="M64845"/>
    </row>
    <row r="64846" spans="3:13" ht="12.75" customHeight="1" x14ac:dyDescent="0.2">
      <c r="C64846"/>
      <c r="M64846"/>
    </row>
    <row r="64847" spans="3:13" ht="12.75" customHeight="1" x14ac:dyDescent="0.2">
      <c r="C64847"/>
      <c r="M64847"/>
    </row>
    <row r="64848" spans="3:13" ht="12.75" customHeight="1" x14ac:dyDescent="0.2">
      <c r="C64848"/>
      <c r="M64848"/>
    </row>
    <row r="64849" spans="3:13" ht="12.75" customHeight="1" x14ac:dyDescent="0.2">
      <c r="C64849"/>
      <c r="M64849"/>
    </row>
    <row r="64850" spans="3:13" ht="12.75" customHeight="1" x14ac:dyDescent="0.2">
      <c r="C64850"/>
      <c r="M64850"/>
    </row>
    <row r="64851" spans="3:13" ht="12.75" customHeight="1" x14ac:dyDescent="0.2">
      <c r="C64851"/>
      <c r="M64851"/>
    </row>
    <row r="64852" spans="3:13" ht="12.75" customHeight="1" x14ac:dyDescent="0.2">
      <c r="C64852"/>
      <c r="M64852"/>
    </row>
    <row r="64853" spans="3:13" ht="12.75" customHeight="1" x14ac:dyDescent="0.2">
      <c r="C64853"/>
      <c r="M64853"/>
    </row>
    <row r="64854" spans="3:13" ht="12.75" customHeight="1" x14ac:dyDescent="0.2">
      <c r="C64854"/>
      <c r="M64854"/>
    </row>
    <row r="64855" spans="3:13" ht="12.75" customHeight="1" x14ac:dyDescent="0.2">
      <c r="C64855"/>
      <c r="M64855"/>
    </row>
    <row r="64856" spans="3:13" ht="12.75" customHeight="1" x14ac:dyDescent="0.2">
      <c r="C64856"/>
      <c r="M64856"/>
    </row>
    <row r="64857" spans="3:13" ht="12.75" customHeight="1" x14ac:dyDescent="0.2">
      <c r="C64857"/>
      <c r="M64857"/>
    </row>
    <row r="64858" spans="3:13" ht="12.75" customHeight="1" x14ac:dyDescent="0.2">
      <c r="C64858"/>
      <c r="M64858"/>
    </row>
    <row r="64859" spans="3:13" ht="12.75" customHeight="1" x14ac:dyDescent="0.2">
      <c r="C64859"/>
      <c r="M64859"/>
    </row>
    <row r="64860" spans="3:13" ht="12.75" customHeight="1" x14ac:dyDescent="0.2">
      <c r="C64860"/>
      <c r="M64860"/>
    </row>
    <row r="64861" spans="3:13" ht="12.75" customHeight="1" x14ac:dyDescent="0.2">
      <c r="C64861"/>
      <c r="M64861"/>
    </row>
    <row r="64862" spans="3:13" ht="12.75" customHeight="1" x14ac:dyDescent="0.2">
      <c r="C64862"/>
      <c r="M64862"/>
    </row>
    <row r="64863" spans="3:13" ht="12.75" customHeight="1" x14ac:dyDescent="0.2">
      <c r="C64863"/>
      <c r="M64863"/>
    </row>
    <row r="64864" spans="3:13" ht="12.75" customHeight="1" x14ac:dyDescent="0.2">
      <c r="C64864"/>
      <c r="M64864"/>
    </row>
    <row r="64865" spans="3:13" ht="12.75" customHeight="1" x14ac:dyDescent="0.2">
      <c r="C64865"/>
      <c r="M64865"/>
    </row>
    <row r="64866" spans="3:13" ht="12.75" customHeight="1" x14ac:dyDescent="0.2">
      <c r="C64866"/>
      <c r="M64866"/>
    </row>
    <row r="64867" spans="3:13" ht="12.75" customHeight="1" x14ac:dyDescent="0.2">
      <c r="C64867"/>
      <c r="M64867"/>
    </row>
    <row r="64868" spans="3:13" ht="12.75" customHeight="1" x14ac:dyDescent="0.2">
      <c r="C64868"/>
      <c r="M64868"/>
    </row>
    <row r="64869" spans="3:13" ht="12.75" customHeight="1" x14ac:dyDescent="0.2">
      <c r="C64869"/>
      <c r="M64869"/>
    </row>
    <row r="64870" spans="3:13" ht="12.75" customHeight="1" x14ac:dyDescent="0.2">
      <c r="C64870"/>
      <c r="M64870"/>
    </row>
    <row r="64871" spans="3:13" ht="12.75" customHeight="1" x14ac:dyDescent="0.2">
      <c r="C64871"/>
      <c r="M64871"/>
    </row>
    <row r="64872" spans="3:13" ht="12.75" customHeight="1" x14ac:dyDescent="0.2">
      <c r="C64872"/>
      <c r="M64872"/>
    </row>
    <row r="64873" spans="3:13" ht="12.75" customHeight="1" x14ac:dyDescent="0.2">
      <c r="C64873"/>
      <c r="M64873"/>
    </row>
    <row r="64874" spans="3:13" ht="12.75" customHeight="1" x14ac:dyDescent="0.2">
      <c r="C64874"/>
      <c r="M64874"/>
    </row>
    <row r="64875" spans="3:13" ht="12.75" customHeight="1" x14ac:dyDescent="0.2">
      <c r="C64875"/>
      <c r="M64875"/>
    </row>
    <row r="64876" spans="3:13" ht="12.75" customHeight="1" x14ac:dyDescent="0.2">
      <c r="C64876"/>
      <c r="M64876"/>
    </row>
    <row r="64877" spans="3:13" ht="12.75" customHeight="1" x14ac:dyDescent="0.2">
      <c r="C64877"/>
      <c r="M64877"/>
    </row>
    <row r="64878" spans="3:13" ht="12.75" customHeight="1" x14ac:dyDescent="0.2">
      <c r="C64878"/>
      <c r="M64878"/>
    </row>
    <row r="64879" spans="3:13" ht="12.75" customHeight="1" x14ac:dyDescent="0.2">
      <c r="C64879"/>
      <c r="M64879"/>
    </row>
    <row r="64880" spans="3:13" ht="12.75" customHeight="1" x14ac:dyDescent="0.2">
      <c r="C64880"/>
      <c r="M64880"/>
    </row>
    <row r="64881" spans="3:13" ht="12.75" customHeight="1" x14ac:dyDescent="0.2">
      <c r="C64881"/>
      <c r="M64881"/>
    </row>
    <row r="64882" spans="3:13" ht="12.75" customHeight="1" x14ac:dyDescent="0.2">
      <c r="C64882"/>
      <c r="M64882"/>
    </row>
    <row r="64883" spans="3:13" ht="12.75" customHeight="1" x14ac:dyDescent="0.2">
      <c r="C64883"/>
      <c r="M64883"/>
    </row>
    <row r="64884" spans="3:13" ht="12.75" customHeight="1" x14ac:dyDescent="0.2">
      <c r="C64884"/>
      <c r="M64884"/>
    </row>
    <row r="64885" spans="3:13" ht="12.75" customHeight="1" x14ac:dyDescent="0.2">
      <c r="C64885"/>
      <c r="M64885"/>
    </row>
    <row r="64886" spans="3:13" ht="12.75" customHeight="1" x14ac:dyDescent="0.2">
      <c r="C64886"/>
      <c r="M64886"/>
    </row>
    <row r="64887" spans="3:13" ht="12.75" customHeight="1" x14ac:dyDescent="0.2">
      <c r="C64887"/>
      <c r="M64887"/>
    </row>
    <row r="64888" spans="3:13" ht="12.75" customHeight="1" x14ac:dyDescent="0.2">
      <c r="C64888"/>
      <c r="M64888"/>
    </row>
    <row r="64889" spans="3:13" ht="12.75" customHeight="1" x14ac:dyDescent="0.2">
      <c r="C64889"/>
      <c r="M64889"/>
    </row>
    <row r="64890" spans="3:13" ht="12.75" customHeight="1" x14ac:dyDescent="0.2">
      <c r="C64890"/>
      <c r="M64890"/>
    </row>
    <row r="64891" spans="3:13" ht="12.75" customHeight="1" x14ac:dyDescent="0.2">
      <c r="C64891"/>
      <c r="M64891"/>
    </row>
    <row r="64892" spans="3:13" ht="12.75" customHeight="1" x14ac:dyDescent="0.2">
      <c r="C64892"/>
      <c r="M64892"/>
    </row>
    <row r="64893" spans="3:13" ht="12.75" customHeight="1" x14ac:dyDescent="0.2">
      <c r="C64893"/>
      <c r="M64893"/>
    </row>
    <row r="64894" spans="3:13" ht="12.75" customHeight="1" x14ac:dyDescent="0.2">
      <c r="C64894"/>
      <c r="M64894"/>
    </row>
    <row r="64895" spans="3:13" ht="12.75" customHeight="1" x14ac:dyDescent="0.2">
      <c r="C64895"/>
      <c r="M64895"/>
    </row>
    <row r="64896" spans="3:13" ht="12.75" customHeight="1" x14ac:dyDescent="0.2">
      <c r="C64896"/>
      <c r="M64896"/>
    </row>
    <row r="64897" spans="3:13" ht="12.75" customHeight="1" x14ac:dyDescent="0.2">
      <c r="C64897"/>
      <c r="M64897"/>
    </row>
    <row r="64898" spans="3:13" ht="12.75" customHeight="1" x14ac:dyDescent="0.2">
      <c r="C64898"/>
      <c r="M64898"/>
    </row>
    <row r="64899" spans="3:13" ht="12.75" customHeight="1" x14ac:dyDescent="0.2">
      <c r="C64899"/>
      <c r="M64899"/>
    </row>
    <row r="64900" spans="3:13" ht="12.75" customHeight="1" x14ac:dyDescent="0.2">
      <c r="C64900"/>
      <c r="M64900"/>
    </row>
    <row r="64901" spans="3:13" ht="12.75" customHeight="1" x14ac:dyDescent="0.2">
      <c r="C64901"/>
      <c r="M64901"/>
    </row>
    <row r="64902" spans="3:13" ht="12.75" customHeight="1" x14ac:dyDescent="0.2">
      <c r="C64902"/>
      <c r="M64902"/>
    </row>
    <row r="64903" spans="3:13" ht="12.75" customHeight="1" x14ac:dyDescent="0.2">
      <c r="C64903"/>
      <c r="M64903"/>
    </row>
    <row r="64904" spans="3:13" ht="12.75" customHeight="1" x14ac:dyDescent="0.2">
      <c r="C64904"/>
      <c r="M64904"/>
    </row>
    <row r="64905" spans="3:13" ht="12.75" customHeight="1" x14ac:dyDescent="0.2">
      <c r="C64905"/>
      <c r="M64905"/>
    </row>
    <row r="64906" spans="3:13" ht="12.75" customHeight="1" x14ac:dyDescent="0.2">
      <c r="C64906"/>
      <c r="M64906"/>
    </row>
    <row r="64907" spans="3:13" ht="12.75" customHeight="1" x14ac:dyDescent="0.2">
      <c r="C64907"/>
      <c r="M64907"/>
    </row>
    <row r="64908" spans="3:13" ht="12.75" customHeight="1" x14ac:dyDescent="0.2">
      <c r="C64908"/>
      <c r="M64908"/>
    </row>
    <row r="64909" spans="3:13" ht="12.75" customHeight="1" x14ac:dyDescent="0.2">
      <c r="C64909"/>
      <c r="M64909"/>
    </row>
    <row r="64910" spans="3:13" ht="12.75" customHeight="1" x14ac:dyDescent="0.2">
      <c r="C64910"/>
      <c r="M64910"/>
    </row>
    <row r="64911" spans="3:13" ht="12.75" customHeight="1" x14ac:dyDescent="0.2">
      <c r="C64911"/>
      <c r="M64911"/>
    </row>
    <row r="64912" spans="3:13" ht="12.75" customHeight="1" x14ac:dyDescent="0.2">
      <c r="C64912"/>
      <c r="M64912"/>
    </row>
    <row r="64913" spans="3:13" ht="12.75" customHeight="1" x14ac:dyDescent="0.2">
      <c r="C64913"/>
      <c r="M64913"/>
    </row>
    <row r="64914" spans="3:13" ht="12.75" customHeight="1" x14ac:dyDescent="0.2">
      <c r="C64914"/>
      <c r="M64914"/>
    </row>
    <row r="64915" spans="3:13" ht="12.75" customHeight="1" x14ac:dyDescent="0.2">
      <c r="C64915"/>
      <c r="M64915"/>
    </row>
    <row r="64916" spans="3:13" ht="12.75" customHeight="1" x14ac:dyDescent="0.2">
      <c r="C64916"/>
      <c r="M64916"/>
    </row>
    <row r="64917" spans="3:13" ht="12.75" customHeight="1" x14ac:dyDescent="0.2">
      <c r="C64917"/>
      <c r="M64917"/>
    </row>
    <row r="64918" spans="3:13" ht="12.75" customHeight="1" x14ac:dyDescent="0.2">
      <c r="C64918"/>
      <c r="M64918"/>
    </row>
    <row r="64919" spans="3:13" ht="12.75" customHeight="1" x14ac:dyDescent="0.2">
      <c r="C64919"/>
      <c r="M64919"/>
    </row>
    <row r="64920" spans="3:13" ht="12.75" customHeight="1" x14ac:dyDescent="0.2">
      <c r="C64920"/>
      <c r="M64920"/>
    </row>
    <row r="64921" spans="3:13" ht="12.75" customHeight="1" x14ac:dyDescent="0.2">
      <c r="C64921"/>
      <c r="M64921"/>
    </row>
    <row r="64922" spans="3:13" ht="12.75" customHeight="1" x14ac:dyDescent="0.2">
      <c r="C64922"/>
      <c r="M64922"/>
    </row>
    <row r="64923" spans="3:13" ht="12.75" customHeight="1" x14ac:dyDescent="0.2">
      <c r="C64923"/>
      <c r="M64923"/>
    </row>
    <row r="64924" spans="3:13" ht="12.75" customHeight="1" x14ac:dyDescent="0.2">
      <c r="C64924"/>
      <c r="M64924"/>
    </row>
    <row r="64925" spans="3:13" ht="12.75" customHeight="1" x14ac:dyDescent="0.2">
      <c r="C64925"/>
      <c r="M64925"/>
    </row>
    <row r="64926" spans="3:13" ht="12.75" customHeight="1" x14ac:dyDescent="0.2">
      <c r="C64926"/>
      <c r="M64926"/>
    </row>
    <row r="64927" spans="3:13" ht="12.75" customHeight="1" x14ac:dyDescent="0.2">
      <c r="C64927"/>
      <c r="M64927"/>
    </row>
    <row r="64928" spans="3:13" ht="12.75" customHeight="1" x14ac:dyDescent="0.2">
      <c r="C64928"/>
      <c r="M64928"/>
    </row>
    <row r="64929" spans="3:13" ht="12.75" customHeight="1" x14ac:dyDescent="0.2">
      <c r="C64929"/>
      <c r="M64929"/>
    </row>
    <row r="64930" spans="3:13" ht="12.75" customHeight="1" x14ac:dyDescent="0.2">
      <c r="C64930"/>
      <c r="M64930"/>
    </row>
    <row r="64931" spans="3:13" ht="12.75" customHeight="1" x14ac:dyDescent="0.2">
      <c r="C64931"/>
      <c r="M64931"/>
    </row>
    <row r="64932" spans="3:13" ht="12.75" customHeight="1" x14ac:dyDescent="0.2">
      <c r="C64932"/>
      <c r="M64932"/>
    </row>
    <row r="64933" spans="3:13" ht="12.75" customHeight="1" x14ac:dyDescent="0.2">
      <c r="C64933"/>
      <c r="M64933"/>
    </row>
    <row r="64934" spans="3:13" ht="12.75" customHeight="1" x14ac:dyDescent="0.2">
      <c r="C64934"/>
      <c r="M64934"/>
    </row>
    <row r="64935" spans="3:13" ht="12.75" customHeight="1" x14ac:dyDescent="0.2">
      <c r="C64935"/>
      <c r="M64935"/>
    </row>
    <row r="64936" spans="3:13" ht="12.75" customHeight="1" x14ac:dyDescent="0.2">
      <c r="C64936"/>
      <c r="M64936"/>
    </row>
    <row r="64937" spans="3:13" ht="12.75" customHeight="1" x14ac:dyDescent="0.2">
      <c r="C64937"/>
      <c r="M64937"/>
    </row>
    <row r="64938" spans="3:13" ht="12.75" customHeight="1" x14ac:dyDescent="0.2">
      <c r="C64938"/>
      <c r="M64938"/>
    </row>
    <row r="64939" spans="3:13" ht="12.75" customHeight="1" x14ac:dyDescent="0.2">
      <c r="C64939"/>
      <c r="M64939"/>
    </row>
    <row r="64940" spans="3:13" ht="12.75" customHeight="1" x14ac:dyDescent="0.2">
      <c r="C64940"/>
      <c r="M64940"/>
    </row>
    <row r="64941" spans="3:13" ht="12.75" customHeight="1" x14ac:dyDescent="0.2">
      <c r="C64941"/>
      <c r="M64941"/>
    </row>
    <row r="64942" spans="3:13" ht="12.75" customHeight="1" x14ac:dyDescent="0.2">
      <c r="C64942"/>
      <c r="M64942"/>
    </row>
    <row r="64943" spans="3:13" ht="12.75" customHeight="1" x14ac:dyDescent="0.2">
      <c r="C64943"/>
      <c r="M64943"/>
    </row>
    <row r="64944" spans="3:13" ht="12.75" customHeight="1" x14ac:dyDescent="0.2">
      <c r="C64944"/>
      <c r="M64944"/>
    </row>
    <row r="64945" spans="3:13" ht="12.75" customHeight="1" x14ac:dyDescent="0.2">
      <c r="C64945"/>
      <c r="M64945"/>
    </row>
    <row r="64946" spans="3:13" ht="12.75" customHeight="1" x14ac:dyDescent="0.2">
      <c r="C64946"/>
      <c r="M64946"/>
    </row>
    <row r="64947" spans="3:13" ht="12.75" customHeight="1" x14ac:dyDescent="0.2">
      <c r="C64947"/>
      <c r="M64947"/>
    </row>
    <row r="64948" spans="3:13" ht="12.75" customHeight="1" x14ac:dyDescent="0.2">
      <c r="C64948"/>
      <c r="M64948"/>
    </row>
    <row r="64949" spans="3:13" ht="12.75" customHeight="1" x14ac:dyDescent="0.2">
      <c r="C64949"/>
      <c r="M64949"/>
    </row>
    <row r="64950" spans="3:13" ht="12.75" customHeight="1" x14ac:dyDescent="0.2">
      <c r="C64950"/>
      <c r="M64950"/>
    </row>
    <row r="64951" spans="3:13" ht="12.75" customHeight="1" x14ac:dyDescent="0.2">
      <c r="C64951"/>
      <c r="M64951"/>
    </row>
    <row r="64952" spans="3:13" ht="12.75" customHeight="1" x14ac:dyDescent="0.2">
      <c r="C64952"/>
      <c r="M64952"/>
    </row>
    <row r="64953" spans="3:13" ht="12.75" customHeight="1" x14ac:dyDescent="0.2">
      <c r="C64953"/>
      <c r="M64953"/>
    </row>
    <row r="64954" spans="3:13" ht="12.75" customHeight="1" x14ac:dyDescent="0.2">
      <c r="C64954"/>
      <c r="M64954"/>
    </row>
    <row r="64955" spans="3:13" ht="12.75" customHeight="1" x14ac:dyDescent="0.2">
      <c r="C64955"/>
      <c r="M64955"/>
    </row>
    <row r="64956" spans="3:13" ht="12.75" customHeight="1" x14ac:dyDescent="0.2">
      <c r="C64956"/>
      <c r="M64956"/>
    </row>
    <row r="64957" spans="3:13" ht="12.75" customHeight="1" x14ac:dyDescent="0.2">
      <c r="C64957"/>
      <c r="M64957"/>
    </row>
    <row r="64958" spans="3:13" ht="12.75" customHeight="1" x14ac:dyDescent="0.2">
      <c r="C64958"/>
      <c r="M64958"/>
    </row>
    <row r="64959" spans="3:13" ht="12.75" customHeight="1" x14ac:dyDescent="0.2">
      <c r="C64959"/>
      <c r="M64959"/>
    </row>
    <row r="64960" spans="3:13" ht="12.75" customHeight="1" x14ac:dyDescent="0.2">
      <c r="C64960"/>
      <c r="M64960"/>
    </row>
    <row r="64961" spans="3:13" ht="12.75" customHeight="1" x14ac:dyDescent="0.2">
      <c r="C64961"/>
      <c r="M64961"/>
    </row>
    <row r="64962" spans="3:13" ht="12.75" customHeight="1" x14ac:dyDescent="0.2">
      <c r="C64962"/>
      <c r="M64962"/>
    </row>
    <row r="64963" spans="3:13" ht="12.75" customHeight="1" x14ac:dyDescent="0.2">
      <c r="C64963"/>
      <c r="M64963"/>
    </row>
    <row r="64964" spans="3:13" ht="12.75" customHeight="1" x14ac:dyDescent="0.2">
      <c r="C64964"/>
      <c r="M64964"/>
    </row>
    <row r="64965" spans="3:13" ht="12.75" customHeight="1" x14ac:dyDescent="0.2">
      <c r="C64965"/>
      <c r="M64965"/>
    </row>
    <row r="64966" spans="3:13" ht="12.75" customHeight="1" x14ac:dyDescent="0.2">
      <c r="C64966"/>
      <c r="M64966"/>
    </row>
    <row r="64967" spans="3:13" ht="12.75" customHeight="1" x14ac:dyDescent="0.2">
      <c r="C64967"/>
      <c r="M64967"/>
    </row>
    <row r="64968" spans="3:13" ht="12.75" customHeight="1" x14ac:dyDescent="0.2">
      <c r="C64968"/>
      <c r="M64968"/>
    </row>
    <row r="64969" spans="3:13" ht="12.75" customHeight="1" x14ac:dyDescent="0.2">
      <c r="C64969"/>
      <c r="M64969"/>
    </row>
    <row r="64970" spans="3:13" ht="12.75" customHeight="1" x14ac:dyDescent="0.2">
      <c r="C64970"/>
      <c r="M64970"/>
    </row>
    <row r="64971" spans="3:13" ht="12.75" customHeight="1" x14ac:dyDescent="0.2">
      <c r="C64971"/>
      <c r="M64971"/>
    </row>
    <row r="64972" spans="3:13" ht="12.75" customHeight="1" x14ac:dyDescent="0.2">
      <c r="C64972"/>
      <c r="M64972"/>
    </row>
    <row r="64973" spans="3:13" ht="12.75" customHeight="1" x14ac:dyDescent="0.2">
      <c r="C64973"/>
      <c r="M64973"/>
    </row>
    <row r="64974" spans="3:13" ht="12.75" customHeight="1" x14ac:dyDescent="0.2">
      <c r="C64974"/>
      <c r="M64974"/>
    </row>
    <row r="64975" spans="3:13" ht="12.75" customHeight="1" x14ac:dyDescent="0.2">
      <c r="C64975"/>
      <c r="M64975"/>
    </row>
    <row r="64976" spans="3:13" ht="12.75" customHeight="1" x14ac:dyDescent="0.2">
      <c r="C64976"/>
      <c r="M64976"/>
    </row>
    <row r="64977" spans="3:13" ht="12.75" customHeight="1" x14ac:dyDescent="0.2">
      <c r="C64977"/>
      <c r="M64977"/>
    </row>
    <row r="64978" spans="3:13" ht="12.75" customHeight="1" x14ac:dyDescent="0.2">
      <c r="C64978"/>
      <c r="M64978"/>
    </row>
    <row r="64979" spans="3:13" ht="12.75" customHeight="1" x14ac:dyDescent="0.2">
      <c r="C64979"/>
      <c r="M64979"/>
    </row>
    <row r="64980" spans="3:13" ht="12.75" customHeight="1" x14ac:dyDescent="0.2">
      <c r="C64980"/>
      <c r="M64980"/>
    </row>
    <row r="64981" spans="3:13" ht="12.75" customHeight="1" x14ac:dyDescent="0.2">
      <c r="C64981"/>
      <c r="M64981"/>
    </row>
    <row r="64982" spans="3:13" ht="12.75" customHeight="1" x14ac:dyDescent="0.2">
      <c r="C64982"/>
      <c r="M64982"/>
    </row>
    <row r="64983" spans="3:13" ht="12.75" customHeight="1" x14ac:dyDescent="0.2">
      <c r="C64983"/>
      <c r="M64983"/>
    </row>
    <row r="64984" spans="3:13" ht="12.75" customHeight="1" x14ac:dyDescent="0.2">
      <c r="C64984"/>
      <c r="M64984"/>
    </row>
    <row r="64985" spans="3:13" ht="12.75" customHeight="1" x14ac:dyDescent="0.2">
      <c r="C64985"/>
      <c r="M64985"/>
    </row>
    <row r="64986" spans="3:13" ht="12.75" customHeight="1" x14ac:dyDescent="0.2">
      <c r="C64986"/>
      <c r="M64986"/>
    </row>
    <row r="64987" spans="3:13" ht="12.75" customHeight="1" x14ac:dyDescent="0.2">
      <c r="C64987"/>
      <c r="M64987"/>
    </row>
    <row r="64988" spans="3:13" ht="12.75" customHeight="1" x14ac:dyDescent="0.2">
      <c r="C64988"/>
      <c r="M64988"/>
    </row>
    <row r="64989" spans="3:13" ht="12.75" customHeight="1" x14ac:dyDescent="0.2">
      <c r="C64989"/>
      <c r="M64989"/>
    </row>
    <row r="64990" spans="3:13" ht="12.75" customHeight="1" x14ac:dyDescent="0.2">
      <c r="C64990"/>
      <c r="M64990"/>
    </row>
    <row r="64991" spans="3:13" ht="12.75" customHeight="1" x14ac:dyDescent="0.2">
      <c r="C64991"/>
      <c r="M64991"/>
    </row>
    <row r="64992" spans="3:13" ht="12.75" customHeight="1" x14ac:dyDescent="0.2">
      <c r="C64992"/>
      <c r="M64992"/>
    </row>
    <row r="64993" spans="3:13" ht="12.75" customHeight="1" x14ac:dyDescent="0.2">
      <c r="C64993"/>
      <c r="M64993"/>
    </row>
    <row r="64994" spans="3:13" ht="12.75" customHeight="1" x14ac:dyDescent="0.2">
      <c r="C64994"/>
      <c r="M64994"/>
    </row>
    <row r="64995" spans="3:13" ht="12.75" customHeight="1" x14ac:dyDescent="0.2">
      <c r="C64995"/>
      <c r="M64995"/>
    </row>
    <row r="64996" spans="3:13" ht="12.75" customHeight="1" x14ac:dyDescent="0.2">
      <c r="C64996"/>
      <c r="M64996"/>
    </row>
    <row r="64997" spans="3:13" ht="12.75" customHeight="1" x14ac:dyDescent="0.2">
      <c r="C64997"/>
      <c r="M64997"/>
    </row>
    <row r="64998" spans="3:13" ht="12.75" customHeight="1" x14ac:dyDescent="0.2">
      <c r="C64998"/>
      <c r="M64998"/>
    </row>
    <row r="64999" spans="3:13" ht="12.75" customHeight="1" x14ac:dyDescent="0.2">
      <c r="C64999"/>
      <c r="M64999"/>
    </row>
    <row r="65000" spans="3:13" ht="12.75" customHeight="1" x14ac:dyDescent="0.2">
      <c r="C65000"/>
      <c r="M65000"/>
    </row>
    <row r="65001" spans="3:13" ht="12.75" customHeight="1" x14ac:dyDescent="0.2">
      <c r="C65001"/>
      <c r="M65001"/>
    </row>
    <row r="65002" spans="3:13" ht="12.75" customHeight="1" x14ac:dyDescent="0.2">
      <c r="C65002"/>
      <c r="M65002"/>
    </row>
    <row r="65003" spans="3:13" ht="12.75" customHeight="1" x14ac:dyDescent="0.2">
      <c r="C65003"/>
      <c r="M65003"/>
    </row>
    <row r="65004" spans="3:13" ht="12.75" customHeight="1" x14ac:dyDescent="0.2">
      <c r="C65004"/>
      <c r="M65004"/>
    </row>
    <row r="65005" spans="3:13" ht="12.75" customHeight="1" x14ac:dyDescent="0.2">
      <c r="C65005"/>
      <c r="M65005"/>
    </row>
    <row r="65006" spans="3:13" ht="12.75" customHeight="1" x14ac:dyDescent="0.2">
      <c r="C65006"/>
      <c r="M65006"/>
    </row>
    <row r="65007" spans="3:13" ht="12.75" customHeight="1" x14ac:dyDescent="0.2">
      <c r="C65007"/>
      <c r="M65007"/>
    </row>
    <row r="65008" spans="3:13" ht="12.75" customHeight="1" x14ac:dyDescent="0.2">
      <c r="C65008"/>
      <c r="M65008"/>
    </row>
    <row r="65009" spans="3:13" ht="12.75" customHeight="1" x14ac:dyDescent="0.2">
      <c r="C65009"/>
      <c r="M65009"/>
    </row>
    <row r="65010" spans="3:13" ht="12.75" customHeight="1" x14ac:dyDescent="0.2">
      <c r="C65010"/>
      <c r="M65010"/>
    </row>
    <row r="65011" spans="3:13" ht="12.75" customHeight="1" x14ac:dyDescent="0.2">
      <c r="C65011"/>
      <c r="M65011"/>
    </row>
    <row r="65012" spans="3:13" ht="12.75" customHeight="1" x14ac:dyDescent="0.2">
      <c r="C65012"/>
      <c r="M65012"/>
    </row>
    <row r="65013" spans="3:13" ht="12.75" customHeight="1" x14ac:dyDescent="0.2">
      <c r="C65013"/>
      <c r="M65013"/>
    </row>
    <row r="65014" spans="3:13" ht="12.75" customHeight="1" x14ac:dyDescent="0.2">
      <c r="C65014"/>
      <c r="M65014"/>
    </row>
    <row r="65015" spans="3:13" ht="12.75" customHeight="1" x14ac:dyDescent="0.2">
      <c r="C65015"/>
      <c r="M65015"/>
    </row>
    <row r="65016" spans="3:13" ht="12.75" customHeight="1" x14ac:dyDescent="0.2">
      <c r="C65016"/>
      <c r="M65016"/>
    </row>
    <row r="65017" spans="3:13" ht="12.75" customHeight="1" x14ac:dyDescent="0.2">
      <c r="C65017"/>
      <c r="M65017"/>
    </row>
    <row r="65018" spans="3:13" ht="12.75" customHeight="1" x14ac:dyDescent="0.2">
      <c r="C65018"/>
      <c r="M65018"/>
    </row>
    <row r="65019" spans="3:13" ht="12.75" customHeight="1" x14ac:dyDescent="0.2">
      <c r="C65019"/>
      <c r="M65019"/>
    </row>
    <row r="65020" spans="3:13" ht="12.75" customHeight="1" x14ac:dyDescent="0.2">
      <c r="C65020"/>
      <c r="M65020"/>
    </row>
    <row r="65021" spans="3:13" ht="12.75" customHeight="1" x14ac:dyDescent="0.2">
      <c r="C65021"/>
      <c r="M65021"/>
    </row>
    <row r="65022" spans="3:13" ht="12.75" customHeight="1" x14ac:dyDescent="0.2">
      <c r="C65022"/>
      <c r="M65022"/>
    </row>
    <row r="65023" spans="3:13" ht="12.75" customHeight="1" x14ac:dyDescent="0.2">
      <c r="C65023"/>
      <c r="M65023"/>
    </row>
    <row r="65024" spans="3:13" ht="12.75" customHeight="1" x14ac:dyDescent="0.2">
      <c r="C65024"/>
      <c r="M65024"/>
    </row>
    <row r="65025" spans="3:13" ht="12.75" customHeight="1" x14ac:dyDescent="0.2">
      <c r="C65025"/>
      <c r="M65025"/>
    </row>
    <row r="65026" spans="3:13" ht="12.75" customHeight="1" x14ac:dyDescent="0.2">
      <c r="C65026"/>
      <c r="M65026"/>
    </row>
    <row r="65027" spans="3:13" ht="12.75" customHeight="1" x14ac:dyDescent="0.2">
      <c r="C65027"/>
      <c r="M65027"/>
    </row>
    <row r="65028" spans="3:13" ht="12.75" customHeight="1" x14ac:dyDescent="0.2">
      <c r="C65028"/>
      <c r="M65028"/>
    </row>
    <row r="65029" spans="3:13" ht="12.75" customHeight="1" x14ac:dyDescent="0.2">
      <c r="C65029"/>
      <c r="M65029"/>
    </row>
    <row r="65030" spans="3:13" ht="12.75" customHeight="1" x14ac:dyDescent="0.2">
      <c r="C65030"/>
      <c r="M65030"/>
    </row>
    <row r="65031" spans="3:13" ht="12.75" customHeight="1" x14ac:dyDescent="0.2">
      <c r="C65031"/>
      <c r="M65031"/>
    </row>
    <row r="65032" spans="3:13" ht="12.75" customHeight="1" x14ac:dyDescent="0.2">
      <c r="C65032"/>
      <c r="M65032"/>
    </row>
    <row r="65033" spans="3:13" ht="12.75" customHeight="1" x14ac:dyDescent="0.2">
      <c r="C65033"/>
      <c r="M65033"/>
    </row>
    <row r="65034" spans="3:13" ht="12.75" customHeight="1" x14ac:dyDescent="0.2">
      <c r="C65034"/>
      <c r="M65034"/>
    </row>
    <row r="65035" spans="3:13" ht="12.75" customHeight="1" x14ac:dyDescent="0.2">
      <c r="C65035"/>
      <c r="M65035"/>
    </row>
    <row r="65036" spans="3:13" ht="12.75" customHeight="1" x14ac:dyDescent="0.2">
      <c r="C65036"/>
      <c r="M65036"/>
    </row>
    <row r="65037" spans="3:13" ht="12.75" customHeight="1" x14ac:dyDescent="0.2">
      <c r="C65037"/>
      <c r="M65037"/>
    </row>
    <row r="65038" spans="3:13" ht="12.75" customHeight="1" x14ac:dyDescent="0.2">
      <c r="C65038"/>
      <c r="M65038"/>
    </row>
    <row r="65039" spans="3:13" ht="12.75" customHeight="1" x14ac:dyDescent="0.2">
      <c r="C65039"/>
      <c r="M65039"/>
    </row>
    <row r="65040" spans="3:13" ht="12.75" customHeight="1" x14ac:dyDescent="0.2">
      <c r="C65040"/>
      <c r="M65040"/>
    </row>
    <row r="65041" spans="3:13" ht="12.75" customHeight="1" x14ac:dyDescent="0.2">
      <c r="C65041"/>
      <c r="M65041"/>
    </row>
    <row r="65042" spans="3:13" ht="12.75" customHeight="1" x14ac:dyDescent="0.2">
      <c r="C65042"/>
      <c r="M65042"/>
    </row>
    <row r="65043" spans="3:13" ht="12.75" customHeight="1" x14ac:dyDescent="0.2">
      <c r="C65043"/>
      <c r="M65043"/>
    </row>
    <row r="65044" spans="3:13" ht="12.75" customHeight="1" x14ac:dyDescent="0.2">
      <c r="C65044"/>
      <c r="M65044"/>
    </row>
    <row r="65045" spans="3:13" ht="12.75" customHeight="1" x14ac:dyDescent="0.2">
      <c r="C65045"/>
      <c r="M65045"/>
    </row>
    <row r="65046" spans="3:13" ht="12.75" customHeight="1" x14ac:dyDescent="0.2">
      <c r="C65046"/>
      <c r="M65046"/>
    </row>
    <row r="65047" spans="3:13" ht="12.75" customHeight="1" x14ac:dyDescent="0.2">
      <c r="C65047"/>
      <c r="M65047"/>
    </row>
    <row r="65048" spans="3:13" ht="12.75" customHeight="1" x14ac:dyDescent="0.2">
      <c r="C65048"/>
      <c r="M65048"/>
    </row>
    <row r="65049" spans="3:13" ht="12.75" customHeight="1" x14ac:dyDescent="0.2">
      <c r="C65049"/>
      <c r="M65049"/>
    </row>
    <row r="65050" spans="3:13" ht="12.75" customHeight="1" x14ac:dyDescent="0.2">
      <c r="C65050"/>
      <c r="M65050"/>
    </row>
    <row r="65051" spans="3:13" ht="12.75" customHeight="1" x14ac:dyDescent="0.2">
      <c r="C65051"/>
      <c r="M65051"/>
    </row>
    <row r="65052" spans="3:13" ht="12.75" customHeight="1" x14ac:dyDescent="0.2">
      <c r="C65052"/>
      <c r="M65052"/>
    </row>
    <row r="65053" spans="3:13" ht="12.75" customHeight="1" x14ac:dyDescent="0.2">
      <c r="C65053"/>
      <c r="M65053"/>
    </row>
    <row r="65054" spans="3:13" ht="12.75" customHeight="1" x14ac:dyDescent="0.2">
      <c r="C65054"/>
      <c r="M65054"/>
    </row>
    <row r="65055" spans="3:13" ht="12.75" customHeight="1" x14ac:dyDescent="0.2">
      <c r="C65055"/>
      <c r="M65055"/>
    </row>
    <row r="65056" spans="3:13" ht="12.75" customHeight="1" x14ac:dyDescent="0.2">
      <c r="C65056"/>
      <c r="M65056"/>
    </row>
    <row r="65057" spans="3:13" ht="12.75" customHeight="1" x14ac:dyDescent="0.2">
      <c r="C65057"/>
      <c r="M65057"/>
    </row>
    <row r="65058" spans="3:13" ht="12.75" customHeight="1" x14ac:dyDescent="0.2">
      <c r="C65058"/>
      <c r="M65058"/>
    </row>
    <row r="65059" spans="3:13" ht="12.75" customHeight="1" x14ac:dyDescent="0.2">
      <c r="C65059"/>
      <c r="M65059"/>
    </row>
    <row r="65060" spans="3:13" ht="12.75" customHeight="1" x14ac:dyDescent="0.2">
      <c r="C65060"/>
      <c r="M65060"/>
    </row>
    <row r="65061" spans="3:13" ht="12.75" customHeight="1" x14ac:dyDescent="0.2">
      <c r="C65061"/>
      <c r="M65061"/>
    </row>
    <row r="65062" spans="3:13" ht="12.75" customHeight="1" x14ac:dyDescent="0.2">
      <c r="C65062"/>
      <c r="M65062"/>
    </row>
    <row r="65063" spans="3:13" ht="12.75" customHeight="1" x14ac:dyDescent="0.2">
      <c r="C65063"/>
      <c r="M65063"/>
    </row>
    <row r="65064" spans="3:13" ht="12.75" customHeight="1" x14ac:dyDescent="0.2">
      <c r="C65064"/>
      <c r="M65064"/>
    </row>
    <row r="65065" spans="3:13" ht="12.75" customHeight="1" x14ac:dyDescent="0.2">
      <c r="C65065"/>
      <c r="M65065"/>
    </row>
    <row r="65066" spans="3:13" ht="12.75" customHeight="1" x14ac:dyDescent="0.2">
      <c r="C65066"/>
      <c r="M65066"/>
    </row>
    <row r="65067" spans="3:13" ht="12.75" customHeight="1" x14ac:dyDescent="0.2">
      <c r="C65067"/>
      <c r="M65067"/>
    </row>
    <row r="65068" spans="3:13" ht="12.75" customHeight="1" x14ac:dyDescent="0.2">
      <c r="C65068"/>
      <c r="M65068"/>
    </row>
    <row r="65069" spans="3:13" ht="12.75" customHeight="1" x14ac:dyDescent="0.2">
      <c r="C65069"/>
      <c r="M65069"/>
    </row>
    <row r="65070" spans="3:13" ht="12.75" customHeight="1" x14ac:dyDescent="0.2">
      <c r="C65070"/>
      <c r="M65070"/>
    </row>
    <row r="65071" spans="3:13" ht="12.75" customHeight="1" x14ac:dyDescent="0.2">
      <c r="C65071"/>
      <c r="M65071"/>
    </row>
    <row r="65072" spans="3:13" ht="12.75" customHeight="1" x14ac:dyDescent="0.2">
      <c r="C65072"/>
      <c r="M65072"/>
    </row>
    <row r="65073" spans="3:13" ht="12.75" customHeight="1" x14ac:dyDescent="0.2">
      <c r="C65073"/>
      <c r="M65073"/>
    </row>
    <row r="65074" spans="3:13" ht="12.75" customHeight="1" x14ac:dyDescent="0.2">
      <c r="C65074"/>
      <c r="M65074"/>
    </row>
    <row r="65075" spans="3:13" ht="12.75" customHeight="1" x14ac:dyDescent="0.2">
      <c r="C65075"/>
      <c r="M65075"/>
    </row>
    <row r="65076" spans="3:13" ht="12.75" customHeight="1" x14ac:dyDescent="0.2">
      <c r="C65076"/>
      <c r="M65076"/>
    </row>
    <row r="65077" spans="3:13" ht="12.75" customHeight="1" x14ac:dyDescent="0.2">
      <c r="C65077"/>
      <c r="M65077"/>
    </row>
    <row r="65078" spans="3:13" ht="12.75" customHeight="1" x14ac:dyDescent="0.2">
      <c r="C65078"/>
      <c r="M65078"/>
    </row>
    <row r="65079" spans="3:13" ht="12.75" customHeight="1" x14ac:dyDescent="0.2">
      <c r="C65079"/>
      <c r="M65079"/>
    </row>
    <row r="65080" spans="3:13" ht="12.75" customHeight="1" x14ac:dyDescent="0.2">
      <c r="C65080"/>
      <c r="M65080"/>
    </row>
    <row r="65081" spans="3:13" ht="12.75" customHeight="1" x14ac:dyDescent="0.2">
      <c r="C65081"/>
      <c r="M65081"/>
    </row>
    <row r="65082" spans="3:13" ht="12.75" customHeight="1" x14ac:dyDescent="0.2">
      <c r="C65082"/>
      <c r="M65082"/>
    </row>
    <row r="65083" spans="3:13" ht="12.75" customHeight="1" x14ac:dyDescent="0.2">
      <c r="C65083"/>
      <c r="M65083"/>
    </row>
    <row r="65084" spans="3:13" ht="12.75" customHeight="1" x14ac:dyDescent="0.2">
      <c r="C65084"/>
      <c r="M65084"/>
    </row>
    <row r="65085" spans="3:13" ht="12.75" customHeight="1" x14ac:dyDescent="0.2">
      <c r="C65085"/>
      <c r="M65085"/>
    </row>
    <row r="65086" spans="3:13" ht="12.75" customHeight="1" x14ac:dyDescent="0.2">
      <c r="C65086"/>
      <c r="M65086"/>
    </row>
    <row r="65087" spans="3:13" ht="12.75" customHeight="1" x14ac:dyDescent="0.2">
      <c r="C65087"/>
      <c r="M65087"/>
    </row>
    <row r="65088" spans="3:13" ht="12.75" customHeight="1" x14ac:dyDescent="0.2">
      <c r="C65088"/>
      <c r="M65088"/>
    </row>
    <row r="65089" spans="3:13" ht="12.75" customHeight="1" x14ac:dyDescent="0.2">
      <c r="C65089"/>
      <c r="M65089"/>
    </row>
    <row r="65090" spans="3:13" ht="12.75" customHeight="1" x14ac:dyDescent="0.2">
      <c r="C65090"/>
      <c r="M65090"/>
    </row>
    <row r="65091" spans="3:13" ht="12.75" customHeight="1" x14ac:dyDescent="0.2">
      <c r="C65091"/>
      <c r="M65091"/>
    </row>
    <row r="65092" spans="3:13" ht="12.75" customHeight="1" x14ac:dyDescent="0.2">
      <c r="C65092"/>
      <c r="M65092"/>
    </row>
    <row r="65093" spans="3:13" ht="12.75" customHeight="1" x14ac:dyDescent="0.2">
      <c r="C65093"/>
      <c r="M65093"/>
    </row>
    <row r="65094" spans="3:13" ht="12.75" customHeight="1" x14ac:dyDescent="0.2">
      <c r="C65094"/>
      <c r="M65094"/>
    </row>
    <row r="65095" spans="3:13" ht="12.75" customHeight="1" x14ac:dyDescent="0.2">
      <c r="C65095"/>
      <c r="M65095"/>
    </row>
    <row r="65096" spans="3:13" ht="12.75" customHeight="1" x14ac:dyDescent="0.2">
      <c r="C65096"/>
      <c r="M65096"/>
    </row>
    <row r="65097" spans="3:13" ht="12.75" customHeight="1" x14ac:dyDescent="0.2">
      <c r="C65097"/>
      <c r="M65097"/>
    </row>
    <row r="65098" spans="3:13" ht="12.75" customHeight="1" x14ac:dyDescent="0.2">
      <c r="C65098"/>
      <c r="M65098"/>
    </row>
    <row r="65099" spans="3:13" ht="12.75" customHeight="1" x14ac:dyDescent="0.2">
      <c r="C65099"/>
      <c r="M65099"/>
    </row>
    <row r="65100" spans="3:13" ht="12.75" customHeight="1" x14ac:dyDescent="0.2">
      <c r="C65100"/>
      <c r="M65100"/>
    </row>
    <row r="65101" spans="3:13" ht="12.75" customHeight="1" x14ac:dyDescent="0.2">
      <c r="C65101"/>
      <c r="M65101"/>
    </row>
    <row r="65102" spans="3:13" ht="12.75" customHeight="1" x14ac:dyDescent="0.2">
      <c r="C65102"/>
      <c r="M65102"/>
    </row>
    <row r="65103" spans="3:13" ht="12.75" customHeight="1" x14ac:dyDescent="0.2">
      <c r="C65103"/>
      <c r="M65103"/>
    </row>
    <row r="65104" spans="3:13" ht="12.75" customHeight="1" x14ac:dyDescent="0.2">
      <c r="C65104"/>
      <c r="M65104"/>
    </row>
    <row r="65105" spans="3:13" ht="12.75" customHeight="1" x14ac:dyDescent="0.2">
      <c r="C65105"/>
      <c r="M65105"/>
    </row>
    <row r="65106" spans="3:13" ht="12.75" customHeight="1" x14ac:dyDescent="0.2">
      <c r="C65106"/>
      <c r="M65106"/>
    </row>
    <row r="65107" spans="3:13" ht="12.75" customHeight="1" x14ac:dyDescent="0.2">
      <c r="C65107"/>
      <c r="M65107"/>
    </row>
    <row r="65108" spans="3:13" ht="12.75" customHeight="1" x14ac:dyDescent="0.2">
      <c r="C65108"/>
      <c r="M65108"/>
    </row>
    <row r="65109" spans="3:13" ht="12.75" customHeight="1" x14ac:dyDescent="0.2">
      <c r="C65109"/>
      <c r="M65109"/>
    </row>
    <row r="65110" spans="3:13" ht="12.75" customHeight="1" x14ac:dyDescent="0.2">
      <c r="C65110"/>
      <c r="M65110"/>
    </row>
    <row r="65111" spans="3:13" ht="12.75" customHeight="1" x14ac:dyDescent="0.2">
      <c r="C65111"/>
      <c r="M65111"/>
    </row>
    <row r="65112" spans="3:13" ht="12.75" customHeight="1" x14ac:dyDescent="0.2">
      <c r="C65112"/>
      <c r="M65112"/>
    </row>
    <row r="65113" spans="3:13" ht="12.75" customHeight="1" x14ac:dyDescent="0.2">
      <c r="C65113"/>
      <c r="M65113"/>
    </row>
    <row r="65114" spans="3:13" ht="12.75" customHeight="1" x14ac:dyDescent="0.2">
      <c r="C65114"/>
      <c r="M65114"/>
    </row>
    <row r="65115" spans="3:13" ht="12.75" customHeight="1" x14ac:dyDescent="0.2">
      <c r="C65115"/>
      <c r="M65115"/>
    </row>
    <row r="65116" spans="3:13" ht="12.75" customHeight="1" x14ac:dyDescent="0.2">
      <c r="C65116"/>
      <c r="M65116"/>
    </row>
    <row r="65117" spans="3:13" ht="12.75" customHeight="1" x14ac:dyDescent="0.2">
      <c r="C65117"/>
      <c r="M65117"/>
    </row>
    <row r="65118" spans="3:13" ht="12.75" customHeight="1" x14ac:dyDescent="0.2">
      <c r="C65118"/>
      <c r="M65118"/>
    </row>
    <row r="65119" spans="3:13" ht="12.75" customHeight="1" x14ac:dyDescent="0.2">
      <c r="C65119"/>
      <c r="M65119"/>
    </row>
    <row r="65120" spans="3:13" ht="12.75" customHeight="1" x14ac:dyDescent="0.2">
      <c r="C65120"/>
      <c r="M65120"/>
    </row>
    <row r="65121" spans="3:13" ht="12.75" customHeight="1" x14ac:dyDescent="0.2">
      <c r="C65121"/>
      <c r="M65121"/>
    </row>
    <row r="65122" spans="3:13" ht="12.75" customHeight="1" x14ac:dyDescent="0.2">
      <c r="C65122"/>
      <c r="M65122"/>
    </row>
    <row r="65123" spans="3:13" ht="12.75" customHeight="1" x14ac:dyDescent="0.2">
      <c r="C65123"/>
      <c r="M65123"/>
    </row>
    <row r="65124" spans="3:13" ht="12.75" customHeight="1" x14ac:dyDescent="0.2">
      <c r="C65124"/>
      <c r="M65124"/>
    </row>
    <row r="65125" spans="3:13" ht="12.75" customHeight="1" x14ac:dyDescent="0.2">
      <c r="C65125"/>
      <c r="M65125"/>
    </row>
    <row r="65126" spans="3:13" ht="12.75" customHeight="1" x14ac:dyDescent="0.2">
      <c r="C65126"/>
      <c r="M65126"/>
    </row>
    <row r="65127" spans="3:13" ht="12.75" customHeight="1" x14ac:dyDescent="0.2">
      <c r="C65127"/>
      <c r="M65127"/>
    </row>
    <row r="65128" spans="3:13" ht="12.75" customHeight="1" x14ac:dyDescent="0.2">
      <c r="C65128"/>
      <c r="M65128"/>
    </row>
    <row r="65129" spans="3:13" ht="12.75" customHeight="1" x14ac:dyDescent="0.2">
      <c r="C65129"/>
      <c r="M65129"/>
    </row>
    <row r="65130" spans="3:13" ht="12.75" customHeight="1" x14ac:dyDescent="0.2">
      <c r="C65130"/>
      <c r="M65130"/>
    </row>
    <row r="65131" spans="3:13" ht="12.75" customHeight="1" x14ac:dyDescent="0.2">
      <c r="C65131"/>
      <c r="M65131"/>
    </row>
    <row r="65132" spans="3:13" ht="12.75" customHeight="1" x14ac:dyDescent="0.2">
      <c r="C65132"/>
      <c r="M65132"/>
    </row>
    <row r="65133" spans="3:13" ht="12.75" customHeight="1" x14ac:dyDescent="0.2">
      <c r="C65133"/>
      <c r="M65133"/>
    </row>
    <row r="65134" spans="3:13" ht="12.75" customHeight="1" x14ac:dyDescent="0.2">
      <c r="C65134"/>
      <c r="M65134"/>
    </row>
    <row r="65135" spans="3:13" ht="12.75" customHeight="1" x14ac:dyDescent="0.2">
      <c r="C65135"/>
      <c r="M65135"/>
    </row>
    <row r="65136" spans="3:13" ht="12.75" customHeight="1" x14ac:dyDescent="0.2">
      <c r="C65136"/>
      <c r="M65136"/>
    </row>
    <row r="65137" spans="3:13" ht="12.75" customHeight="1" x14ac:dyDescent="0.2">
      <c r="C65137"/>
      <c r="M65137"/>
    </row>
    <row r="65138" spans="3:13" ht="12.75" customHeight="1" x14ac:dyDescent="0.2">
      <c r="C65138"/>
      <c r="M65138"/>
    </row>
    <row r="65139" spans="3:13" ht="12.75" customHeight="1" x14ac:dyDescent="0.2">
      <c r="C65139"/>
      <c r="M65139"/>
    </row>
    <row r="65140" spans="3:13" ht="12.75" customHeight="1" x14ac:dyDescent="0.2">
      <c r="C65140"/>
      <c r="M65140"/>
    </row>
    <row r="65141" spans="3:13" ht="12.75" customHeight="1" x14ac:dyDescent="0.2">
      <c r="C65141"/>
      <c r="M65141"/>
    </row>
    <row r="65142" spans="3:13" ht="12.75" customHeight="1" x14ac:dyDescent="0.2">
      <c r="C65142"/>
      <c r="M65142"/>
    </row>
    <row r="65143" spans="3:13" ht="12.75" customHeight="1" x14ac:dyDescent="0.2">
      <c r="C65143"/>
      <c r="M65143"/>
    </row>
    <row r="65144" spans="3:13" ht="12.75" customHeight="1" x14ac:dyDescent="0.2">
      <c r="C65144"/>
      <c r="M65144"/>
    </row>
    <row r="65145" spans="3:13" ht="12.75" customHeight="1" x14ac:dyDescent="0.2">
      <c r="C65145"/>
      <c r="M65145"/>
    </row>
    <row r="65146" spans="3:13" ht="12.75" customHeight="1" x14ac:dyDescent="0.2">
      <c r="C65146"/>
      <c r="M65146"/>
    </row>
    <row r="65147" spans="3:13" ht="12.75" customHeight="1" x14ac:dyDescent="0.2">
      <c r="C65147"/>
      <c r="M65147"/>
    </row>
    <row r="65148" spans="3:13" ht="12.75" customHeight="1" x14ac:dyDescent="0.2">
      <c r="C65148"/>
      <c r="M65148"/>
    </row>
    <row r="65149" spans="3:13" ht="12.75" customHeight="1" x14ac:dyDescent="0.2">
      <c r="C65149"/>
      <c r="M65149"/>
    </row>
    <row r="65150" spans="3:13" ht="12.75" customHeight="1" x14ac:dyDescent="0.2">
      <c r="C65150"/>
      <c r="M65150"/>
    </row>
    <row r="65151" spans="3:13" ht="12.75" customHeight="1" x14ac:dyDescent="0.2">
      <c r="C65151"/>
      <c r="M65151"/>
    </row>
    <row r="65152" spans="3:13" ht="12.75" customHeight="1" x14ac:dyDescent="0.2">
      <c r="C65152"/>
      <c r="M65152"/>
    </row>
    <row r="65153" spans="3:13" ht="12.75" customHeight="1" x14ac:dyDescent="0.2">
      <c r="C65153"/>
      <c r="M65153"/>
    </row>
    <row r="65154" spans="3:13" ht="12.75" customHeight="1" x14ac:dyDescent="0.2">
      <c r="C65154"/>
      <c r="M65154"/>
    </row>
    <row r="65155" spans="3:13" ht="12.75" customHeight="1" x14ac:dyDescent="0.2">
      <c r="C65155"/>
      <c r="M65155"/>
    </row>
    <row r="65156" spans="3:13" ht="12.75" customHeight="1" x14ac:dyDescent="0.2">
      <c r="C65156"/>
      <c r="M65156"/>
    </row>
    <row r="65157" spans="3:13" ht="12.75" customHeight="1" x14ac:dyDescent="0.2">
      <c r="C65157"/>
      <c r="M65157"/>
    </row>
    <row r="65158" spans="3:13" ht="12.75" customHeight="1" x14ac:dyDescent="0.2">
      <c r="C65158"/>
      <c r="M65158"/>
    </row>
    <row r="65159" spans="3:13" ht="12.75" customHeight="1" x14ac:dyDescent="0.2">
      <c r="C65159"/>
      <c r="M65159"/>
    </row>
    <row r="65160" spans="3:13" ht="12.75" customHeight="1" x14ac:dyDescent="0.2">
      <c r="C65160"/>
      <c r="M65160"/>
    </row>
    <row r="65161" spans="3:13" ht="12.75" customHeight="1" x14ac:dyDescent="0.2">
      <c r="C65161"/>
      <c r="M65161"/>
    </row>
    <row r="65162" spans="3:13" ht="12.75" customHeight="1" x14ac:dyDescent="0.2">
      <c r="C65162"/>
      <c r="M65162"/>
    </row>
    <row r="65163" spans="3:13" ht="12.75" customHeight="1" x14ac:dyDescent="0.2">
      <c r="C65163"/>
      <c r="M65163"/>
    </row>
    <row r="65164" spans="3:13" ht="12.75" customHeight="1" x14ac:dyDescent="0.2">
      <c r="C65164"/>
      <c r="M65164"/>
    </row>
    <row r="65165" spans="3:13" ht="12.75" customHeight="1" x14ac:dyDescent="0.2">
      <c r="C65165"/>
      <c r="M65165"/>
    </row>
    <row r="65166" spans="3:13" ht="12.75" customHeight="1" x14ac:dyDescent="0.2">
      <c r="C65166"/>
      <c r="M65166"/>
    </row>
    <row r="65167" spans="3:13" ht="12.75" customHeight="1" x14ac:dyDescent="0.2">
      <c r="C65167"/>
      <c r="M65167"/>
    </row>
    <row r="65168" spans="3:13" ht="12.75" customHeight="1" x14ac:dyDescent="0.2">
      <c r="C65168"/>
      <c r="M65168"/>
    </row>
    <row r="65169" spans="3:13" ht="12.75" customHeight="1" x14ac:dyDescent="0.2">
      <c r="C65169"/>
      <c r="M65169"/>
    </row>
    <row r="65170" spans="3:13" ht="12.75" customHeight="1" x14ac:dyDescent="0.2">
      <c r="C65170"/>
      <c r="M65170"/>
    </row>
    <row r="65171" spans="3:13" ht="12.75" customHeight="1" x14ac:dyDescent="0.2">
      <c r="C65171"/>
      <c r="M65171"/>
    </row>
    <row r="65172" spans="3:13" ht="12.75" customHeight="1" x14ac:dyDescent="0.2">
      <c r="C65172"/>
      <c r="M65172"/>
    </row>
    <row r="65173" spans="3:13" ht="12.75" customHeight="1" x14ac:dyDescent="0.2">
      <c r="C65173"/>
      <c r="M65173"/>
    </row>
    <row r="65174" spans="3:13" ht="12.75" customHeight="1" x14ac:dyDescent="0.2">
      <c r="C65174"/>
      <c r="M65174"/>
    </row>
    <row r="65175" spans="3:13" ht="12.75" customHeight="1" x14ac:dyDescent="0.2">
      <c r="C65175"/>
      <c r="M65175"/>
    </row>
    <row r="65176" spans="3:13" ht="12.75" customHeight="1" x14ac:dyDescent="0.2">
      <c r="C65176"/>
      <c r="M65176"/>
    </row>
    <row r="65177" spans="3:13" ht="12.75" customHeight="1" x14ac:dyDescent="0.2">
      <c r="C65177"/>
      <c r="M65177"/>
    </row>
    <row r="65178" spans="3:13" ht="12.75" customHeight="1" x14ac:dyDescent="0.2">
      <c r="C65178"/>
      <c r="M65178"/>
    </row>
    <row r="65179" spans="3:13" ht="12.75" customHeight="1" x14ac:dyDescent="0.2">
      <c r="C65179"/>
      <c r="M65179"/>
    </row>
    <row r="65180" spans="3:13" ht="12.75" customHeight="1" x14ac:dyDescent="0.2">
      <c r="C65180"/>
      <c r="M65180"/>
    </row>
    <row r="65181" spans="3:13" ht="12.75" customHeight="1" x14ac:dyDescent="0.2">
      <c r="C65181"/>
      <c r="M65181"/>
    </row>
    <row r="65182" spans="3:13" ht="12.75" customHeight="1" x14ac:dyDescent="0.2">
      <c r="C65182"/>
      <c r="M65182"/>
    </row>
    <row r="65183" spans="3:13" ht="12.75" customHeight="1" x14ac:dyDescent="0.2">
      <c r="C65183"/>
      <c r="M65183"/>
    </row>
    <row r="65184" spans="3:13" ht="12.75" customHeight="1" x14ac:dyDescent="0.2">
      <c r="C65184"/>
      <c r="M65184"/>
    </row>
    <row r="65185" spans="3:13" ht="12.75" customHeight="1" x14ac:dyDescent="0.2">
      <c r="C65185"/>
      <c r="M65185"/>
    </row>
    <row r="65186" spans="3:13" ht="12.75" customHeight="1" x14ac:dyDescent="0.2">
      <c r="C65186"/>
      <c r="M65186"/>
    </row>
    <row r="65187" spans="3:13" ht="12.75" customHeight="1" x14ac:dyDescent="0.2">
      <c r="C65187"/>
      <c r="M65187"/>
    </row>
    <row r="65188" spans="3:13" ht="12.75" customHeight="1" x14ac:dyDescent="0.2">
      <c r="C65188"/>
      <c r="M65188"/>
    </row>
    <row r="65189" spans="3:13" ht="12.75" customHeight="1" x14ac:dyDescent="0.2">
      <c r="C65189"/>
      <c r="M65189"/>
    </row>
    <row r="65190" spans="3:13" ht="12.75" customHeight="1" x14ac:dyDescent="0.2">
      <c r="C65190"/>
      <c r="M65190"/>
    </row>
    <row r="65191" spans="3:13" ht="12.75" customHeight="1" x14ac:dyDescent="0.2">
      <c r="C65191"/>
      <c r="M65191"/>
    </row>
    <row r="65192" spans="3:13" ht="12.75" customHeight="1" x14ac:dyDescent="0.2">
      <c r="C65192"/>
      <c r="M65192"/>
    </row>
    <row r="65193" spans="3:13" ht="12.75" customHeight="1" x14ac:dyDescent="0.2">
      <c r="C65193"/>
      <c r="M65193"/>
    </row>
    <row r="65194" spans="3:13" ht="12.75" customHeight="1" x14ac:dyDescent="0.2">
      <c r="C65194"/>
      <c r="M65194"/>
    </row>
    <row r="65195" spans="3:13" ht="12.75" customHeight="1" x14ac:dyDescent="0.2">
      <c r="C65195"/>
      <c r="M65195"/>
    </row>
    <row r="65196" spans="3:13" ht="12.75" customHeight="1" x14ac:dyDescent="0.2">
      <c r="C65196"/>
      <c r="M65196"/>
    </row>
    <row r="65197" spans="3:13" ht="12.75" customHeight="1" x14ac:dyDescent="0.2">
      <c r="C65197"/>
      <c r="M65197"/>
    </row>
    <row r="65198" spans="3:13" ht="12.75" customHeight="1" x14ac:dyDescent="0.2">
      <c r="C65198"/>
      <c r="M65198"/>
    </row>
    <row r="65199" spans="3:13" ht="12.75" customHeight="1" x14ac:dyDescent="0.2">
      <c r="C65199"/>
      <c r="M65199"/>
    </row>
    <row r="65200" spans="3:13" ht="12.75" customHeight="1" x14ac:dyDescent="0.2">
      <c r="C65200"/>
      <c r="M65200"/>
    </row>
    <row r="65201" spans="3:13" ht="12.75" customHeight="1" x14ac:dyDescent="0.2">
      <c r="C65201"/>
      <c r="M65201"/>
    </row>
    <row r="65202" spans="3:13" ht="12.75" customHeight="1" x14ac:dyDescent="0.2">
      <c r="C65202"/>
      <c r="M65202"/>
    </row>
    <row r="65203" spans="3:13" ht="12.75" customHeight="1" x14ac:dyDescent="0.2">
      <c r="C65203"/>
      <c r="M65203"/>
    </row>
    <row r="65204" spans="3:13" ht="12.75" customHeight="1" x14ac:dyDescent="0.2">
      <c r="C65204"/>
      <c r="M65204"/>
    </row>
    <row r="65205" spans="3:13" ht="12.75" customHeight="1" x14ac:dyDescent="0.2">
      <c r="C65205"/>
      <c r="M65205"/>
    </row>
    <row r="65206" spans="3:13" ht="12.75" customHeight="1" x14ac:dyDescent="0.2">
      <c r="C65206"/>
      <c r="M65206"/>
    </row>
    <row r="65207" spans="3:13" ht="12.75" customHeight="1" x14ac:dyDescent="0.2">
      <c r="C65207"/>
      <c r="M65207"/>
    </row>
    <row r="65208" spans="3:13" ht="12.75" customHeight="1" x14ac:dyDescent="0.2">
      <c r="C65208"/>
      <c r="M65208"/>
    </row>
    <row r="65209" spans="3:13" ht="12.75" customHeight="1" x14ac:dyDescent="0.2">
      <c r="C65209"/>
      <c r="M65209"/>
    </row>
    <row r="65210" spans="3:13" ht="12.75" customHeight="1" x14ac:dyDescent="0.2">
      <c r="C65210"/>
      <c r="M65210"/>
    </row>
    <row r="65211" spans="3:13" ht="12.75" customHeight="1" x14ac:dyDescent="0.2">
      <c r="C65211"/>
      <c r="M65211"/>
    </row>
    <row r="65212" spans="3:13" ht="12.75" customHeight="1" x14ac:dyDescent="0.2">
      <c r="C65212"/>
      <c r="M65212"/>
    </row>
    <row r="65213" spans="3:13" ht="12.75" customHeight="1" x14ac:dyDescent="0.2">
      <c r="C65213"/>
      <c r="M65213"/>
    </row>
    <row r="65214" spans="3:13" ht="12.75" customHeight="1" x14ac:dyDescent="0.2">
      <c r="C65214"/>
      <c r="M65214"/>
    </row>
    <row r="65215" spans="3:13" ht="12.75" customHeight="1" x14ac:dyDescent="0.2">
      <c r="C65215"/>
      <c r="M65215"/>
    </row>
    <row r="65216" spans="3:13" ht="12.75" customHeight="1" x14ac:dyDescent="0.2">
      <c r="C65216"/>
      <c r="M65216"/>
    </row>
    <row r="65217" spans="3:13" ht="12.75" customHeight="1" x14ac:dyDescent="0.2">
      <c r="C65217"/>
      <c r="M65217"/>
    </row>
    <row r="65218" spans="3:13" ht="12.75" customHeight="1" x14ac:dyDescent="0.2">
      <c r="C65218"/>
      <c r="M65218"/>
    </row>
    <row r="65219" spans="3:13" ht="12.75" customHeight="1" x14ac:dyDescent="0.2">
      <c r="C65219"/>
      <c r="M65219"/>
    </row>
    <row r="65220" spans="3:13" ht="12.75" customHeight="1" x14ac:dyDescent="0.2">
      <c r="C65220"/>
      <c r="M65220"/>
    </row>
    <row r="65221" spans="3:13" ht="12.75" customHeight="1" x14ac:dyDescent="0.2">
      <c r="C65221"/>
      <c r="M65221"/>
    </row>
    <row r="65222" spans="3:13" ht="12.75" customHeight="1" x14ac:dyDescent="0.2">
      <c r="C65222"/>
      <c r="M65222"/>
    </row>
    <row r="65223" spans="3:13" ht="12.75" customHeight="1" x14ac:dyDescent="0.2">
      <c r="C65223"/>
      <c r="M65223"/>
    </row>
    <row r="65224" spans="3:13" ht="12.75" customHeight="1" x14ac:dyDescent="0.2">
      <c r="C65224"/>
      <c r="M65224"/>
    </row>
    <row r="65225" spans="3:13" ht="12.75" customHeight="1" x14ac:dyDescent="0.2">
      <c r="C65225"/>
      <c r="M65225"/>
    </row>
    <row r="65226" spans="3:13" ht="12.75" customHeight="1" x14ac:dyDescent="0.2">
      <c r="C65226"/>
      <c r="M65226"/>
    </row>
    <row r="65227" spans="3:13" ht="12.75" customHeight="1" x14ac:dyDescent="0.2">
      <c r="C65227"/>
      <c r="M65227"/>
    </row>
    <row r="65228" spans="3:13" ht="12.75" customHeight="1" x14ac:dyDescent="0.2">
      <c r="C65228"/>
      <c r="M65228"/>
    </row>
    <row r="65229" spans="3:13" ht="12.75" customHeight="1" x14ac:dyDescent="0.2">
      <c r="C65229"/>
      <c r="M65229"/>
    </row>
    <row r="65230" spans="3:13" ht="12.75" customHeight="1" x14ac:dyDescent="0.2">
      <c r="C65230"/>
      <c r="M65230"/>
    </row>
    <row r="65231" spans="3:13" ht="12.75" customHeight="1" x14ac:dyDescent="0.2">
      <c r="C65231"/>
      <c r="M65231"/>
    </row>
    <row r="65232" spans="3:13" ht="12.75" customHeight="1" x14ac:dyDescent="0.2">
      <c r="C65232"/>
      <c r="M65232"/>
    </row>
    <row r="65233" spans="3:13" ht="12.75" customHeight="1" x14ac:dyDescent="0.2">
      <c r="C65233"/>
      <c r="M65233"/>
    </row>
    <row r="65234" spans="3:13" ht="12.75" customHeight="1" x14ac:dyDescent="0.2">
      <c r="C65234"/>
      <c r="M65234"/>
    </row>
    <row r="65235" spans="3:13" ht="12.75" customHeight="1" x14ac:dyDescent="0.2">
      <c r="C65235"/>
      <c r="M65235"/>
    </row>
    <row r="65236" spans="3:13" ht="12.75" customHeight="1" x14ac:dyDescent="0.2">
      <c r="C65236"/>
      <c r="M65236"/>
    </row>
    <row r="65237" spans="3:13" ht="12.75" customHeight="1" x14ac:dyDescent="0.2">
      <c r="C65237"/>
      <c r="M65237"/>
    </row>
    <row r="65238" spans="3:13" ht="12.75" customHeight="1" x14ac:dyDescent="0.2">
      <c r="C65238"/>
      <c r="M65238"/>
    </row>
    <row r="65239" spans="3:13" ht="12.75" customHeight="1" x14ac:dyDescent="0.2">
      <c r="C65239"/>
      <c r="M65239"/>
    </row>
    <row r="65240" spans="3:13" ht="12.75" customHeight="1" x14ac:dyDescent="0.2">
      <c r="C65240"/>
      <c r="M65240"/>
    </row>
    <row r="65241" spans="3:13" ht="12.75" customHeight="1" x14ac:dyDescent="0.2">
      <c r="C65241"/>
      <c r="M65241"/>
    </row>
    <row r="65242" spans="3:13" ht="12.75" customHeight="1" x14ac:dyDescent="0.2">
      <c r="C65242"/>
      <c r="M65242"/>
    </row>
    <row r="65243" spans="3:13" ht="12.75" customHeight="1" x14ac:dyDescent="0.2">
      <c r="C65243"/>
      <c r="M65243"/>
    </row>
    <row r="65244" spans="3:13" ht="12.75" customHeight="1" x14ac:dyDescent="0.2">
      <c r="C65244"/>
      <c r="M65244"/>
    </row>
    <row r="65245" spans="3:13" ht="12.75" customHeight="1" x14ac:dyDescent="0.2">
      <c r="C65245"/>
      <c r="M65245"/>
    </row>
    <row r="65246" spans="3:13" ht="12.75" customHeight="1" x14ac:dyDescent="0.2">
      <c r="C65246"/>
      <c r="M65246"/>
    </row>
    <row r="65247" spans="3:13" ht="12.75" customHeight="1" x14ac:dyDescent="0.2">
      <c r="C65247"/>
      <c r="M65247"/>
    </row>
    <row r="65248" spans="3:13" ht="12.75" customHeight="1" x14ac:dyDescent="0.2">
      <c r="C65248"/>
      <c r="M65248"/>
    </row>
    <row r="65249" spans="3:13" ht="12.75" customHeight="1" x14ac:dyDescent="0.2">
      <c r="C65249"/>
      <c r="M65249"/>
    </row>
    <row r="65250" spans="3:13" ht="12.75" customHeight="1" x14ac:dyDescent="0.2">
      <c r="C65250"/>
      <c r="M65250"/>
    </row>
    <row r="65251" spans="3:13" ht="12.75" customHeight="1" x14ac:dyDescent="0.2">
      <c r="C65251"/>
      <c r="M65251"/>
    </row>
    <row r="65252" spans="3:13" ht="12.75" customHeight="1" x14ac:dyDescent="0.2">
      <c r="C65252"/>
      <c r="M65252"/>
    </row>
    <row r="65253" spans="3:13" ht="12.75" customHeight="1" x14ac:dyDescent="0.2">
      <c r="C65253"/>
      <c r="M65253"/>
    </row>
    <row r="65254" spans="3:13" ht="12.75" customHeight="1" x14ac:dyDescent="0.2">
      <c r="C65254"/>
      <c r="M65254"/>
    </row>
    <row r="65255" spans="3:13" ht="12.75" customHeight="1" x14ac:dyDescent="0.2">
      <c r="C65255"/>
      <c r="M65255"/>
    </row>
    <row r="65256" spans="3:13" ht="12.75" customHeight="1" x14ac:dyDescent="0.2">
      <c r="C65256"/>
      <c r="M65256"/>
    </row>
    <row r="65257" spans="3:13" ht="12.75" customHeight="1" x14ac:dyDescent="0.2">
      <c r="C65257"/>
      <c r="M65257"/>
    </row>
    <row r="65258" spans="3:13" ht="12.75" customHeight="1" x14ac:dyDescent="0.2">
      <c r="C65258"/>
      <c r="M65258"/>
    </row>
    <row r="65259" spans="3:13" ht="12.75" customHeight="1" x14ac:dyDescent="0.2">
      <c r="C65259"/>
      <c r="M65259"/>
    </row>
    <row r="65260" spans="3:13" ht="12.75" customHeight="1" x14ac:dyDescent="0.2">
      <c r="C65260"/>
      <c r="M65260"/>
    </row>
    <row r="65261" spans="3:13" ht="12.75" customHeight="1" x14ac:dyDescent="0.2">
      <c r="C65261"/>
      <c r="M65261"/>
    </row>
    <row r="65262" spans="3:13" ht="12.75" customHeight="1" x14ac:dyDescent="0.2">
      <c r="C65262"/>
      <c r="M65262"/>
    </row>
    <row r="65263" spans="3:13" ht="12.75" customHeight="1" x14ac:dyDescent="0.2">
      <c r="C65263"/>
      <c r="M65263"/>
    </row>
    <row r="65264" spans="3:13" ht="12.75" customHeight="1" x14ac:dyDescent="0.2">
      <c r="C65264"/>
      <c r="M65264"/>
    </row>
    <row r="65265" spans="3:13" ht="12.75" customHeight="1" x14ac:dyDescent="0.2">
      <c r="C65265"/>
      <c r="M65265"/>
    </row>
    <row r="65266" spans="3:13" ht="12.75" customHeight="1" x14ac:dyDescent="0.2">
      <c r="C65266"/>
      <c r="M65266"/>
    </row>
    <row r="65267" spans="3:13" ht="12.75" customHeight="1" x14ac:dyDescent="0.2">
      <c r="C65267"/>
      <c r="M65267"/>
    </row>
    <row r="65268" spans="3:13" ht="12.75" customHeight="1" x14ac:dyDescent="0.2">
      <c r="C65268"/>
      <c r="M65268"/>
    </row>
    <row r="65269" spans="3:13" ht="12.75" customHeight="1" x14ac:dyDescent="0.2">
      <c r="C65269"/>
      <c r="M65269"/>
    </row>
    <row r="65270" spans="3:13" ht="12.75" customHeight="1" x14ac:dyDescent="0.2">
      <c r="C65270"/>
      <c r="M65270"/>
    </row>
    <row r="65271" spans="3:13" ht="12.75" customHeight="1" x14ac:dyDescent="0.2">
      <c r="C65271"/>
      <c r="M65271"/>
    </row>
    <row r="65272" spans="3:13" ht="12.75" customHeight="1" x14ac:dyDescent="0.2">
      <c r="C65272"/>
      <c r="M65272"/>
    </row>
    <row r="65273" spans="3:13" ht="12.75" customHeight="1" x14ac:dyDescent="0.2">
      <c r="C65273"/>
      <c r="M65273"/>
    </row>
    <row r="65274" spans="3:13" ht="12.75" customHeight="1" x14ac:dyDescent="0.2">
      <c r="C65274"/>
      <c r="M65274"/>
    </row>
    <row r="65275" spans="3:13" ht="12.75" customHeight="1" x14ac:dyDescent="0.2">
      <c r="C65275"/>
      <c r="M65275"/>
    </row>
    <row r="65276" spans="3:13" ht="12.75" customHeight="1" x14ac:dyDescent="0.2">
      <c r="C65276"/>
      <c r="M65276"/>
    </row>
    <row r="65277" spans="3:13" ht="12.75" customHeight="1" x14ac:dyDescent="0.2">
      <c r="C65277"/>
      <c r="M65277"/>
    </row>
    <row r="65278" spans="3:13" ht="12.75" customHeight="1" x14ac:dyDescent="0.2">
      <c r="C65278"/>
      <c r="M65278"/>
    </row>
    <row r="65279" spans="3:13" ht="12.75" customHeight="1" x14ac:dyDescent="0.2">
      <c r="C65279"/>
      <c r="M65279"/>
    </row>
    <row r="65280" spans="3:13" ht="12.75" customHeight="1" x14ac:dyDescent="0.2">
      <c r="C65280"/>
      <c r="M65280"/>
    </row>
    <row r="65281" spans="3:13" ht="12.75" customHeight="1" x14ac:dyDescent="0.2">
      <c r="C65281"/>
      <c r="M65281"/>
    </row>
    <row r="65282" spans="3:13" ht="12.75" customHeight="1" x14ac:dyDescent="0.2">
      <c r="C65282"/>
      <c r="M65282"/>
    </row>
    <row r="65283" spans="3:13" ht="12.75" customHeight="1" x14ac:dyDescent="0.2">
      <c r="C65283"/>
      <c r="M65283"/>
    </row>
    <row r="65284" spans="3:13" ht="12.75" customHeight="1" x14ac:dyDescent="0.2">
      <c r="C65284"/>
      <c r="M65284"/>
    </row>
    <row r="65285" spans="3:13" ht="12.75" customHeight="1" x14ac:dyDescent="0.2">
      <c r="C65285"/>
      <c r="M65285"/>
    </row>
    <row r="65286" spans="3:13" ht="12.75" customHeight="1" x14ac:dyDescent="0.2">
      <c r="C65286"/>
      <c r="M65286"/>
    </row>
    <row r="65287" spans="3:13" ht="12.75" customHeight="1" x14ac:dyDescent="0.2">
      <c r="C65287"/>
      <c r="M65287"/>
    </row>
    <row r="65288" spans="3:13" ht="12.75" customHeight="1" x14ac:dyDescent="0.2">
      <c r="C65288"/>
      <c r="M65288"/>
    </row>
    <row r="65289" spans="3:13" ht="12.75" customHeight="1" x14ac:dyDescent="0.2">
      <c r="C65289"/>
      <c r="M65289"/>
    </row>
    <row r="65290" spans="3:13" ht="12.75" customHeight="1" x14ac:dyDescent="0.2">
      <c r="C65290"/>
      <c r="M65290"/>
    </row>
    <row r="65291" spans="3:13" ht="12.75" customHeight="1" x14ac:dyDescent="0.2">
      <c r="C65291"/>
      <c r="M65291"/>
    </row>
    <row r="65292" spans="3:13" ht="12.75" customHeight="1" x14ac:dyDescent="0.2">
      <c r="C65292"/>
      <c r="M65292"/>
    </row>
    <row r="65293" spans="3:13" ht="12.75" customHeight="1" x14ac:dyDescent="0.2">
      <c r="C65293"/>
      <c r="M65293"/>
    </row>
    <row r="65294" spans="3:13" ht="12.75" customHeight="1" x14ac:dyDescent="0.2">
      <c r="C65294"/>
      <c r="M65294"/>
    </row>
    <row r="65295" spans="3:13" ht="12.75" customHeight="1" x14ac:dyDescent="0.2">
      <c r="C65295"/>
      <c r="M65295"/>
    </row>
    <row r="65296" spans="3:13" ht="12.75" customHeight="1" x14ac:dyDescent="0.2">
      <c r="C65296"/>
      <c r="M65296"/>
    </row>
    <row r="65297" spans="3:13" ht="12.75" customHeight="1" x14ac:dyDescent="0.2">
      <c r="C65297"/>
      <c r="M65297"/>
    </row>
    <row r="65298" spans="3:13" ht="12.75" customHeight="1" x14ac:dyDescent="0.2">
      <c r="C65298"/>
      <c r="M65298"/>
    </row>
    <row r="65299" spans="3:13" ht="12.75" customHeight="1" x14ac:dyDescent="0.2">
      <c r="C65299"/>
      <c r="M65299"/>
    </row>
    <row r="65300" spans="3:13" ht="12.75" customHeight="1" x14ac:dyDescent="0.2">
      <c r="C65300"/>
      <c r="M65300"/>
    </row>
    <row r="65301" spans="3:13" ht="12.75" customHeight="1" x14ac:dyDescent="0.2">
      <c r="C65301"/>
      <c r="M65301"/>
    </row>
    <row r="65302" spans="3:13" ht="12.75" customHeight="1" x14ac:dyDescent="0.2">
      <c r="C65302"/>
      <c r="M65302"/>
    </row>
    <row r="65303" spans="3:13" ht="12.75" customHeight="1" x14ac:dyDescent="0.2">
      <c r="C65303"/>
      <c r="M65303"/>
    </row>
    <row r="65304" spans="3:13" ht="12.75" customHeight="1" x14ac:dyDescent="0.2">
      <c r="C65304"/>
      <c r="M65304"/>
    </row>
    <row r="65305" spans="3:13" ht="12.75" customHeight="1" x14ac:dyDescent="0.2">
      <c r="C65305"/>
      <c r="M65305"/>
    </row>
    <row r="65306" spans="3:13" ht="12.75" customHeight="1" x14ac:dyDescent="0.2">
      <c r="C65306"/>
      <c r="M65306"/>
    </row>
    <row r="65307" spans="3:13" ht="12.75" customHeight="1" x14ac:dyDescent="0.2">
      <c r="C65307"/>
      <c r="M65307"/>
    </row>
    <row r="65308" spans="3:13" ht="12.75" customHeight="1" x14ac:dyDescent="0.2">
      <c r="C65308"/>
      <c r="M65308"/>
    </row>
    <row r="65309" spans="3:13" ht="12.75" customHeight="1" x14ac:dyDescent="0.2">
      <c r="C65309"/>
      <c r="M65309"/>
    </row>
    <row r="65310" spans="3:13" ht="12.75" customHeight="1" x14ac:dyDescent="0.2">
      <c r="C65310"/>
      <c r="M65310"/>
    </row>
    <row r="65311" spans="3:13" ht="12.75" customHeight="1" x14ac:dyDescent="0.2">
      <c r="C65311"/>
      <c r="M65311"/>
    </row>
    <row r="65312" spans="3:13" ht="12.75" customHeight="1" x14ac:dyDescent="0.2">
      <c r="C65312"/>
      <c r="M65312"/>
    </row>
    <row r="65313" spans="3:13" ht="12.75" customHeight="1" x14ac:dyDescent="0.2">
      <c r="C65313"/>
      <c r="M65313"/>
    </row>
    <row r="65314" spans="3:13" ht="12.75" customHeight="1" x14ac:dyDescent="0.2">
      <c r="C65314"/>
      <c r="M65314"/>
    </row>
    <row r="65315" spans="3:13" ht="12.75" customHeight="1" x14ac:dyDescent="0.2">
      <c r="C65315"/>
      <c r="M65315"/>
    </row>
    <row r="65316" spans="3:13" ht="12.75" customHeight="1" x14ac:dyDescent="0.2">
      <c r="C65316"/>
      <c r="M65316"/>
    </row>
    <row r="65317" spans="3:13" ht="12.75" customHeight="1" x14ac:dyDescent="0.2">
      <c r="C65317"/>
      <c r="M65317"/>
    </row>
    <row r="65318" spans="3:13" ht="12.75" customHeight="1" x14ac:dyDescent="0.2">
      <c r="C65318"/>
      <c r="M65318"/>
    </row>
    <row r="65319" spans="3:13" ht="12.75" customHeight="1" x14ac:dyDescent="0.2">
      <c r="C65319"/>
      <c r="M65319"/>
    </row>
    <row r="65320" spans="3:13" ht="12.75" customHeight="1" x14ac:dyDescent="0.2">
      <c r="C65320"/>
      <c r="M65320"/>
    </row>
    <row r="65321" spans="3:13" ht="12.75" customHeight="1" x14ac:dyDescent="0.2">
      <c r="C65321"/>
      <c r="M65321"/>
    </row>
    <row r="65322" spans="3:13" ht="12.75" customHeight="1" x14ac:dyDescent="0.2">
      <c r="C65322"/>
      <c r="M65322"/>
    </row>
    <row r="65323" spans="3:13" ht="12.75" customHeight="1" x14ac:dyDescent="0.2">
      <c r="C65323"/>
      <c r="M65323"/>
    </row>
    <row r="65324" spans="3:13" ht="12.75" customHeight="1" x14ac:dyDescent="0.2">
      <c r="C65324"/>
      <c r="M65324"/>
    </row>
    <row r="65325" spans="3:13" ht="12.75" customHeight="1" x14ac:dyDescent="0.2">
      <c r="C65325"/>
      <c r="M65325"/>
    </row>
    <row r="65326" spans="3:13" ht="12.75" customHeight="1" x14ac:dyDescent="0.2">
      <c r="C65326"/>
      <c r="M65326"/>
    </row>
    <row r="65327" spans="3:13" ht="12.75" customHeight="1" x14ac:dyDescent="0.2">
      <c r="C65327"/>
      <c r="M65327"/>
    </row>
    <row r="65328" spans="3:13" ht="12.75" customHeight="1" x14ac:dyDescent="0.2">
      <c r="C65328"/>
      <c r="M65328"/>
    </row>
    <row r="65329" spans="3:13" ht="12.75" customHeight="1" x14ac:dyDescent="0.2">
      <c r="C65329"/>
      <c r="M65329"/>
    </row>
    <row r="65330" spans="3:13" ht="12.75" customHeight="1" x14ac:dyDescent="0.2">
      <c r="C65330"/>
      <c r="M65330"/>
    </row>
    <row r="65331" spans="3:13" ht="12.75" customHeight="1" x14ac:dyDescent="0.2">
      <c r="C65331"/>
      <c r="M65331"/>
    </row>
    <row r="65332" spans="3:13" ht="12.75" customHeight="1" x14ac:dyDescent="0.2">
      <c r="C65332"/>
      <c r="M65332"/>
    </row>
    <row r="65333" spans="3:13" ht="12.75" customHeight="1" x14ac:dyDescent="0.2">
      <c r="C65333"/>
      <c r="M65333"/>
    </row>
    <row r="65334" spans="3:13" ht="12.75" customHeight="1" x14ac:dyDescent="0.2">
      <c r="C65334"/>
      <c r="M65334"/>
    </row>
    <row r="65335" spans="3:13" ht="12.75" customHeight="1" x14ac:dyDescent="0.2">
      <c r="C65335"/>
      <c r="M65335"/>
    </row>
    <row r="65336" spans="3:13" ht="12.75" customHeight="1" x14ac:dyDescent="0.2">
      <c r="C65336"/>
      <c r="M65336"/>
    </row>
    <row r="65337" spans="3:13" ht="12.75" customHeight="1" x14ac:dyDescent="0.2">
      <c r="C65337"/>
      <c r="M65337"/>
    </row>
    <row r="65338" spans="3:13" ht="12.75" customHeight="1" x14ac:dyDescent="0.2">
      <c r="C65338"/>
      <c r="M65338"/>
    </row>
    <row r="65339" spans="3:13" ht="12.75" customHeight="1" x14ac:dyDescent="0.2">
      <c r="C65339"/>
      <c r="M65339"/>
    </row>
    <row r="65340" spans="3:13" ht="12.75" customHeight="1" x14ac:dyDescent="0.2">
      <c r="C65340"/>
      <c r="M65340"/>
    </row>
    <row r="65341" spans="3:13" ht="12.75" customHeight="1" x14ac:dyDescent="0.2">
      <c r="C65341"/>
      <c r="M65341"/>
    </row>
    <row r="65342" spans="3:13" ht="12.75" customHeight="1" x14ac:dyDescent="0.2">
      <c r="C65342"/>
      <c r="M65342"/>
    </row>
    <row r="65343" spans="3:13" ht="12.75" customHeight="1" x14ac:dyDescent="0.2">
      <c r="C65343"/>
      <c r="M65343"/>
    </row>
    <row r="65344" spans="3:13" ht="12.75" customHeight="1" x14ac:dyDescent="0.2">
      <c r="C65344"/>
      <c r="M65344"/>
    </row>
    <row r="65345" spans="3:13" ht="12.75" customHeight="1" x14ac:dyDescent="0.2">
      <c r="C65345"/>
      <c r="M65345"/>
    </row>
    <row r="65346" spans="3:13" ht="12.75" customHeight="1" x14ac:dyDescent="0.2">
      <c r="C65346"/>
      <c r="M65346"/>
    </row>
    <row r="65347" spans="3:13" ht="12.75" customHeight="1" x14ac:dyDescent="0.2">
      <c r="C65347"/>
      <c r="M65347"/>
    </row>
    <row r="65348" spans="3:13" ht="12.75" customHeight="1" x14ac:dyDescent="0.2">
      <c r="C65348"/>
      <c r="M65348"/>
    </row>
    <row r="65349" spans="3:13" ht="12.75" customHeight="1" x14ac:dyDescent="0.2">
      <c r="C65349"/>
      <c r="M65349"/>
    </row>
    <row r="65350" spans="3:13" ht="12.75" customHeight="1" x14ac:dyDescent="0.2">
      <c r="C65350"/>
      <c r="M65350"/>
    </row>
    <row r="65351" spans="3:13" ht="12.75" customHeight="1" x14ac:dyDescent="0.2">
      <c r="C65351"/>
      <c r="M65351"/>
    </row>
    <row r="65352" spans="3:13" ht="12.75" customHeight="1" x14ac:dyDescent="0.2">
      <c r="C65352"/>
      <c r="M65352"/>
    </row>
    <row r="65353" spans="3:13" ht="12.75" customHeight="1" x14ac:dyDescent="0.2">
      <c r="C65353"/>
      <c r="M65353"/>
    </row>
    <row r="65354" spans="3:13" ht="12.75" customHeight="1" x14ac:dyDescent="0.2">
      <c r="C65354"/>
      <c r="M65354"/>
    </row>
    <row r="65355" spans="3:13" ht="12.75" customHeight="1" x14ac:dyDescent="0.2">
      <c r="C65355"/>
      <c r="M65355"/>
    </row>
    <row r="65356" spans="3:13" ht="12.75" customHeight="1" x14ac:dyDescent="0.2">
      <c r="C65356"/>
      <c r="M65356"/>
    </row>
    <row r="65357" spans="3:13" ht="12.75" customHeight="1" x14ac:dyDescent="0.2">
      <c r="C65357"/>
      <c r="M65357"/>
    </row>
    <row r="65358" spans="3:13" ht="12.75" customHeight="1" x14ac:dyDescent="0.2">
      <c r="C65358"/>
      <c r="M65358"/>
    </row>
    <row r="65359" spans="3:13" ht="12.75" customHeight="1" x14ac:dyDescent="0.2">
      <c r="C65359"/>
      <c r="M65359"/>
    </row>
    <row r="65360" spans="3:13" ht="12.75" customHeight="1" x14ac:dyDescent="0.2">
      <c r="C65360"/>
      <c r="M65360"/>
    </row>
    <row r="65361" spans="3:13" ht="12.75" customHeight="1" x14ac:dyDescent="0.2">
      <c r="C65361"/>
      <c r="M65361"/>
    </row>
    <row r="65362" spans="3:13" ht="12.75" customHeight="1" x14ac:dyDescent="0.2">
      <c r="C65362"/>
      <c r="M65362"/>
    </row>
    <row r="65363" spans="3:13" ht="12.75" customHeight="1" x14ac:dyDescent="0.2">
      <c r="C65363"/>
      <c r="M65363"/>
    </row>
    <row r="65364" spans="3:13" ht="12.75" customHeight="1" x14ac:dyDescent="0.2">
      <c r="C65364"/>
      <c r="M65364"/>
    </row>
    <row r="65365" spans="3:13" ht="12.75" customHeight="1" x14ac:dyDescent="0.2">
      <c r="C65365"/>
      <c r="M65365"/>
    </row>
    <row r="65366" spans="3:13" ht="12.75" customHeight="1" x14ac:dyDescent="0.2">
      <c r="C65366"/>
      <c r="M65366"/>
    </row>
    <row r="65367" spans="3:13" ht="12.75" customHeight="1" x14ac:dyDescent="0.2">
      <c r="C65367"/>
      <c r="M65367"/>
    </row>
    <row r="65368" spans="3:13" ht="12.75" customHeight="1" x14ac:dyDescent="0.2">
      <c r="C65368"/>
      <c r="M65368"/>
    </row>
    <row r="65369" spans="3:13" ht="12.75" customHeight="1" x14ac:dyDescent="0.2">
      <c r="C65369"/>
      <c r="M65369"/>
    </row>
    <row r="65370" spans="3:13" ht="12.75" customHeight="1" x14ac:dyDescent="0.2">
      <c r="C65370"/>
      <c r="M65370"/>
    </row>
    <row r="65371" spans="3:13" ht="12.75" customHeight="1" x14ac:dyDescent="0.2">
      <c r="C65371"/>
      <c r="M65371"/>
    </row>
    <row r="65372" spans="3:13" ht="12.75" customHeight="1" x14ac:dyDescent="0.2">
      <c r="C65372"/>
      <c r="M65372"/>
    </row>
    <row r="65373" spans="3:13" ht="12.75" customHeight="1" x14ac:dyDescent="0.2">
      <c r="C65373"/>
      <c r="M65373"/>
    </row>
    <row r="65374" spans="3:13" ht="12.75" customHeight="1" x14ac:dyDescent="0.2">
      <c r="C65374"/>
      <c r="M65374"/>
    </row>
    <row r="65375" spans="3:13" ht="12.75" customHeight="1" x14ac:dyDescent="0.2">
      <c r="C65375"/>
      <c r="M65375"/>
    </row>
    <row r="65376" spans="3:13" ht="12.75" customHeight="1" x14ac:dyDescent="0.2">
      <c r="C65376"/>
      <c r="M65376"/>
    </row>
    <row r="65377" spans="3:13" ht="12.75" customHeight="1" x14ac:dyDescent="0.2">
      <c r="C65377"/>
      <c r="M65377"/>
    </row>
    <row r="65378" spans="3:13" ht="12.75" customHeight="1" x14ac:dyDescent="0.2">
      <c r="C65378"/>
      <c r="M65378"/>
    </row>
    <row r="65379" spans="3:13" ht="12.75" customHeight="1" x14ac:dyDescent="0.2">
      <c r="C65379"/>
      <c r="M65379"/>
    </row>
    <row r="65380" spans="3:13" ht="12.75" customHeight="1" x14ac:dyDescent="0.2">
      <c r="C65380"/>
      <c r="M65380"/>
    </row>
    <row r="65381" spans="3:13" ht="12.75" customHeight="1" x14ac:dyDescent="0.2">
      <c r="C65381"/>
      <c r="M65381"/>
    </row>
    <row r="65382" spans="3:13" ht="12.75" customHeight="1" x14ac:dyDescent="0.2">
      <c r="C65382"/>
      <c r="M65382"/>
    </row>
    <row r="65383" spans="3:13" ht="12.75" customHeight="1" x14ac:dyDescent="0.2">
      <c r="C65383"/>
      <c r="M65383"/>
    </row>
    <row r="65384" spans="3:13" ht="12.75" customHeight="1" x14ac:dyDescent="0.2">
      <c r="C65384"/>
      <c r="M65384"/>
    </row>
    <row r="65385" spans="3:13" ht="12.75" customHeight="1" x14ac:dyDescent="0.2">
      <c r="C65385"/>
      <c r="M65385"/>
    </row>
    <row r="65386" spans="3:13" ht="12.75" customHeight="1" x14ac:dyDescent="0.2">
      <c r="C65386"/>
      <c r="M65386"/>
    </row>
    <row r="65387" spans="3:13" ht="12.75" customHeight="1" x14ac:dyDescent="0.2">
      <c r="C65387"/>
      <c r="M65387"/>
    </row>
    <row r="65388" spans="3:13" ht="12.75" customHeight="1" x14ac:dyDescent="0.2">
      <c r="C65388"/>
      <c r="M65388"/>
    </row>
    <row r="65389" spans="3:13" ht="12.75" customHeight="1" x14ac:dyDescent="0.2">
      <c r="C65389"/>
      <c r="M65389"/>
    </row>
    <row r="65390" spans="3:13" ht="12.75" customHeight="1" x14ac:dyDescent="0.2">
      <c r="C65390"/>
      <c r="M65390"/>
    </row>
    <row r="65391" spans="3:13" ht="12.75" customHeight="1" x14ac:dyDescent="0.2">
      <c r="C65391"/>
      <c r="M65391"/>
    </row>
    <row r="65392" spans="3:13" ht="12.75" customHeight="1" x14ac:dyDescent="0.2">
      <c r="C65392"/>
      <c r="M65392"/>
    </row>
    <row r="65393" spans="3:13" ht="12.75" customHeight="1" x14ac:dyDescent="0.2">
      <c r="C65393"/>
      <c r="M65393"/>
    </row>
    <row r="65394" spans="3:13" ht="12.75" customHeight="1" x14ac:dyDescent="0.2">
      <c r="C65394"/>
      <c r="M65394"/>
    </row>
    <row r="65395" spans="3:13" ht="12.75" customHeight="1" x14ac:dyDescent="0.2">
      <c r="C65395"/>
      <c r="M65395"/>
    </row>
    <row r="65396" spans="3:13" ht="12.75" customHeight="1" x14ac:dyDescent="0.2">
      <c r="C65396"/>
      <c r="M65396"/>
    </row>
    <row r="65397" spans="3:13" ht="12.75" customHeight="1" x14ac:dyDescent="0.2">
      <c r="C65397"/>
      <c r="M65397"/>
    </row>
    <row r="65398" spans="3:13" ht="12.75" customHeight="1" x14ac:dyDescent="0.2">
      <c r="C65398"/>
      <c r="M65398"/>
    </row>
    <row r="65399" spans="3:13" ht="12.75" customHeight="1" x14ac:dyDescent="0.2">
      <c r="C65399"/>
      <c r="M65399"/>
    </row>
    <row r="65400" spans="3:13" ht="12.75" customHeight="1" x14ac:dyDescent="0.2">
      <c r="C65400"/>
      <c r="M65400"/>
    </row>
    <row r="65401" spans="3:13" ht="12.75" customHeight="1" x14ac:dyDescent="0.2">
      <c r="C65401"/>
      <c r="M65401"/>
    </row>
    <row r="65402" spans="3:13" ht="12.75" customHeight="1" x14ac:dyDescent="0.2">
      <c r="C65402"/>
      <c r="M65402"/>
    </row>
    <row r="65403" spans="3:13" ht="12.75" customHeight="1" x14ac:dyDescent="0.2">
      <c r="C65403"/>
      <c r="M65403"/>
    </row>
    <row r="65404" spans="3:13" ht="12.75" customHeight="1" x14ac:dyDescent="0.2">
      <c r="C65404"/>
      <c r="M65404"/>
    </row>
    <row r="65405" spans="3:13" ht="12.75" customHeight="1" x14ac:dyDescent="0.2">
      <c r="C65405"/>
      <c r="M65405"/>
    </row>
    <row r="65406" spans="3:13" ht="12.75" customHeight="1" x14ac:dyDescent="0.2">
      <c r="C65406"/>
      <c r="M65406"/>
    </row>
    <row r="65407" spans="3:13" ht="12.75" customHeight="1" x14ac:dyDescent="0.2">
      <c r="C65407"/>
      <c r="M65407"/>
    </row>
    <row r="65408" spans="3:13" ht="12.75" customHeight="1" x14ac:dyDescent="0.2">
      <c r="C65408"/>
      <c r="M65408"/>
    </row>
    <row r="65409" spans="3:13" ht="12.75" customHeight="1" x14ac:dyDescent="0.2">
      <c r="C65409"/>
      <c r="M65409"/>
    </row>
    <row r="65410" spans="3:13" ht="12.75" customHeight="1" x14ac:dyDescent="0.2">
      <c r="C65410"/>
      <c r="M65410"/>
    </row>
    <row r="65411" spans="3:13" ht="12.75" customHeight="1" x14ac:dyDescent="0.2">
      <c r="C65411"/>
      <c r="M65411"/>
    </row>
    <row r="65412" spans="3:13" ht="12.75" customHeight="1" x14ac:dyDescent="0.2">
      <c r="C65412"/>
      <c r="M65412"/>
    </row>
    <row r="65413" spans="3:13" ht="12.75" customHeight="1" x14ac:dyDescent="0.2">
      <c r="C65413"/>
      <c r="M65413"/>
    </row>
    <row r="65414" spans="3:13" ht="12.75" customHeight="1" x14ac:dyDescent="0.2">
      <c r="C65414"/>
      <c r="M65414"/>
    </row>
    <row r="65415" spans="3:13" ht="12.75" customHeight="1" x14ac:dyDescent="0.2">
      <c r="C65415"/>
      <c r="M65415"/>
    </row>
    <row r="65416" spans="3:13" ht="12.75" customHeight="1" x14ac:dyDescent="0.2">
      <c r="C65416"/>
      <c r="M65416"/>
    </row>
    <row r="65417" spans="3:13" ht="12.75" customHeight="1" x14ac:dyDescent="0.2">
      <c r="C65417"/>
      <c r="M65417"/>
    </row>
    <row r="65418" spans="3:13" ht="12.75" customHeight="1" x14ac:dyDescent="0.2">
      <c r="C65418"/>
      <c r="M65418"/>
    </row>
    <row r="65419" spans="3:13" ht="12.75" customHeight="1" x14ac:dyDescent="0.2">
      <c r="C65419"/>
      <c r="M65419"/>
    </row>
    <row r="65420" spans="3:13" ht="12.75" customHeight="1" x14ac:dyDescent="0.2">
      <c r="C65420"/>
      <c r="M65420"/>
    </row>
    <row r="65421" spans="3:13" ht="12.75" customHeight="1" x14ac:dyDescent="0.2">
      <c r="C65421"/>
      <c r="M65421"/>
    </row>
    <row r="65422" spans="3:13" ht="12.75" customHeight="1" x14ac:dyDescent="0.2">
      <c r="C65422"/>
      <c r="M65422"/>
    </row>
    <row r="65423" spans="3:13" ht="12.75" customHeight="1" x14ac:dyDescent="0.2">
      <c r="C65423"/>
      <c r="M65423"/>
    </row>
    <row r="65424" spans="3:13" ht="12.75" customHeight="1" x14ac:dyDescent="0.2">
      <c r="C65424"/>
      <c r="M65424"/>
    </row>
    <row r="65425" spans="3:13" ht="12.75" customHeight="1" x14ac:dyDescent="0.2">
      <c r="C65425"/>
      <c r="M65425"/>
    </row>
    <row r="65426" spans="3:13" ht="12.75" customHeight="1" x14ac:dyDescent="0.2">
      <c r="C65426"/>
      <c r="M65426"/>
    </row>
    <row r="65427" spans="3:13" ht="12.75" customHeight="1" x14ac:dyDescent="0.2">
      <c r="C65427"/>
      <c r="M65427"/>
    </row>
    <row r="65428" spans="3:13" ht="12.75" customHeight="1" x14ac:dyDescent="0.2">
      <c r="C65428"/>
      <c r="M65428"/>
    </row>
    <row r="65429" spans="3:13" ht="12.75" customHeight="1" x14ac:dyDescent="0.2">
      <c r="C65429"/>
      <c r="M65429"/>
    </row>
    <row r="65430" spans="3:13" ht="12.75" customHeight="1" x14ac:dyDescent="0.2">
      <c r="C65430"/>
      <c r="M65430"/>
    </row>
    <row r="65431" spans="3:13" ht="12.75" customHeight="1" x14ac:dyDescent="0.2">
      <c r="C65431"/>
      <c r="M65431"/>
    </row>
    <row r="65432" spans="3:13" ht="12.75" customHeight="1" x14ac:dyDescent="0.2">
      <c r="C65432"/>
      <c r="M65432"/>
    </row>
    <row r="65433" spans="3:13" ht="12.75" customHeight="1" x14ac:dyDescent="0.2">
      <c r="C65433"/>
      <c r="M65433"/>
    </row>
    <row r="65434" spans="3:13" ht="12.75" customHeight="1" x14ac:dyDescent="0.2">
      <c r="C65434"/>
      <c r="M65434"/>
    </row>
    <row r="65435" spans="3:13" ht="12.75" customHeight="1" x14ac:dyDescent="0.2">
      <c r="C65435"/>
      <c r="M65435"/>
    </row>
    <row r="65436" spans="3:13" ht="12.75" customHeight="1" x14ac:dyDescent="0.2">
      <c r="C65436"/>
      <c r="M65436"/>
    </row>
    <row r="65437" spans="3:13" ht="12.75" customHeight="1" x14ac:dyDescent="0.2">
      <c r="C65437"/>
      <c r="M65437"/>
    </row>
    <row r="65438" spans="3:13" ht="12.75" customHeight="1" x14ac:dyDescent="0.2">
      <c r="C65438"/>
      <c r="M65438"/>
    </row>
    <row r="65439" spans="3:13" ht="12.75" customHeight="1" x14ac:dyDescent="0.2">
      <c r="C65439"/>
      <c r="M65439"/>
    </row>
    <row r="65440" spans="3:13" ht="12.75" customHeight="1" x14ac:dyDescent="0.2">
      <c r="C65440"/>
      <c r="M65440"/>
    </row>
    <row r="65441" spans="3:13" ht="12.75" customHeight="1" x14ac:dyDescent="0.2">
      <c r="C65441"/>
      <c r="M65441"/>
    </row>
    <row r="65442" spans="3:13" ht="12.75" customHeight="1" x14ac:dyDescent="0.2">
      <c r="C65442"/>
      <c r="M65442"/>
    </row>
    <row r="65443" spans="3:13" ht="12.75" customHeight="1" x14ac:dyDescent="0.2">
      <c r="C65443"/>
      <c r="M65443"/>
    </row>
    <row r="65444" spans="3:13" ht="12.75" customHeight="1" x14ac:dyDescent="0.2">
      <c r="C65444"/>
      <c r="M65444"/>
    </row>
    <row r="65445" spans="3:13" ht="12.75" customHeight="1" x14ac:dyDescent="0.2">
      <c r="C65445"/>
      <c r="M65445"/>
    </row>
    <row r="65446" spans="3:13" ht="12.75" customHeight="1" x14ac:dyDescent="0.2">
      <c r="C65446"/>
      <c r="M65446"/>
    </row>
    <row r="65447" spans="3:13" ht="12.75" customHeight="1" x14ac:dyDescent="0.2">
      <c r="C65447"/>
      <c r="M65447"/>
    </row>
    <row r="65448" spans="3:13" ht="12.75" customHeight="1" x14ac:dyDescent="0.2">
      <c r="C65448"/>
      <c r="M65448"/>
    </row>
    <row r="65449" spans="3:13" ht="12.75" customHeight="1" x14ac:dyDescent="0.2">
      <c r="C65449"/>
      <c r="M65449"/>
    </row>
    <row r="65450" spans="3:13" ht="12.75" customHeight="1" x14ac:dyDescent="0.2">
      <c r="C65450"/>
      <c r="M65450"/>
    </row>
    <row r="65451" spans="3:13" ht="12.75" customHeight="1" x14ac:dyDescent="0.2">
      <c r="C65451"/>
      <c r="M65451"/>
    </row>
    <row r="65452" spans="3:13" ht="12.75" customHeight="1" x14ac:dyDescent="0.2">
      <c r="C65452"/>
      <c r="M65452"/>
    </row>
    <row r="65453" spans="3:13" ht="12.75" customHeight="1" x14ac:dyDescent="0.2">
      <c r="C65453"/>
      <c r="M65453"/>
    </row>
    <row r="65454" spans="3:13" ht="12.75" customHeight="1" x14ac:dyDescent="0.2">
      <c r="C65454"/>
      <c r="M65454"/>
    </row>
    <row r="65455" spans="3:13" ht="12.75" customHeight="1" x14ac:dyDescent="0.2">
      <c r="C65455"/>
      <c r="M65455"/>
    </row>
    <row r="65456" spans="3:13" ht="12.75" customHeight="1" x14ac:dyDescent="0.2">
      <c r="C65456"/>
      <c r="M65456"/>
    </row>
    <row r="65457" spans="3:13" ht="12.75" customHeight="1" x14ac:dyDescent="0.2">
      <c r="C65457"/>
      <c r="M65457"/>
    </row>
    <row r="65458" spans="3:13" ht="12.75" customHeight="1" x14ac:dyDescent="0.2">
      <c r="C65458"/>
      <c r="M65458"/>
    </row>
    <row r="65459" spans="3:13" ht="12.75" customHeight="1" x14ac:dyDescent="0.2">
      <c r="C65459"/>
      <c r="M65459"/>
    </row>
    <row r="65460" spans="3:13" ht="12.75" customHeight="1" x14ac:dyDescent="0.2">
      <c r="C65460"/>
      <c r="M65460"/>
    </row>
    <row r="65461" spans="3:13" ht="12.75" customHeight="1" x14ac:dyDescent="0.2">
      <c r="C65461"/>
      <c r="M65461"/>
    </row>
    <row r="65462" spans="3:13" ht="12.75" customHeight="1" x14ac:dyDescent="0.2">
      <c r="C65462"/>
      <c r="M65462"/>
    </row>
    <row r="65463" spans="3:13" ht="12.75" customHeight="1" x14ac:dyDescent="0.2">
      <c r="C65463"/>
      <c r="M65463"/>
    </row>
    <row r="65464" spans="3:13" ht="12.75" customHeight="1" x14ac:dyDescent="0.2">
      <c r="C65464"/>
      <c r="M65464"/>
    </row>
    <row r="65465" spans="3:13" ht="12.75" customHeight="1" x14ac:dyDescent="0.2">
      <c r="C65465"/>
      <c r="M65465"/>
    </row>
    <row r="65466" spans="3:13" ht="12.75" customHeight="1" x14ac:dyDescent="0.2">
      <c r="C65466"/>
      <c r="M65466"/>
    </row>
    <row r="65467" spans="3:13" ht="12.75" customHeight="1" x14ac:dyDescent="0.2">
      <c r="C65467"/>
      <c r="M65467"/>
    </row>
    <row r="65468" spans="3:13" ht="12.75" customHeight="1" x14ac:dyDescent="0.2">
      <c r="C65468"/>
      <c r="M65468"/>
    </row>
    <row r="65469" spans="3:13" ht="12.75" customHeight="1" x14ac:dyDescent="0.2">
      <c r="C65469"/>
      <c r="M65469"/>
    </row>
    <row r="65470" spans="3:13" ht="12.75" customHeight="1" x14ac:dyDescent="0.2">
      <c r="C65470"/>
      <c r="M65470"/>
    </row>
    <row r="65471" spans="3:13" ht="12.75" customHeight="1" x14ac:dyDescent="0.2">
      <c r="C65471"/>
      <c r="M65471"/>
    </row>
    <row r="65472" spans="3:13" ht="12.75" customHeight="1" x14ac:dyDescent="0.2">
      <c r="C65472"/>
      <c r="M65472"/>
    </row>
    <row r="65473" spans="3:13" ht="12.75" customHeight="1" x14ac:dyDescent="0.2">
      <c r="C65473"/>
      <c r="M65473"/>
    </row>
    <row r="65474" spans="3:13" ht="12.75" customHeight="1" x14ac:dyDescent="0.2">
      <c r="C65474"/>
      <c r="M65474"/>
    </row>
    <row r="65475" spans="3:13" ht="12.75" customHeight="1" x14ac:dyDescent="0.2">
      <c r="C65475"/>
      <c r="M65475"/>
    </row>
    <row r="65476" spans="3:13" ht="12.75" customHeight="1" x14ac:dyDescent="0.2">
      <c r="C65476"/>
      <c r="M65476"/>
    </row>
    <row r="65477" spans="3:13" ht="12.75" customHeight="1" x14ac:dyDescent="0.2">
      <c r="C65477"/>
      <c r="M65477"/>
    </row>
    <row r="65478" spans="3:13" ht="12.75" customHeight="1" x14ac:dyDescent="0.2">
      <c r="C65478"/>
      <c r="M65478"/>
    </row>
    <row r="65479" spans="3:13" ht="12.75" customHeight="1" x14ac:dyDescent="0.2">
      <c r="C65479"/>
      <c r="M65479"/>
    </row>
    <row r="65480" spans="3:13" ht="12.75" customHeight="1" x14ac:dyDescent="0.2">
      <c r="C65480"/>
      <c r="M65480"/>
    </row>
    <row r="65481" spans="3:13" ht="12.75" customHeight="1" x14ac:dyDescent="0.2">
      <c r="C65481"/>
      <c r="M65481"/>
    </row>
    <row r="65482" spans="3:13" ht="12.75" customHeight="1" x14ac:dyDescent="0.2">
      <c r="C65482"/>
      <c r="M65482"/>
    </row>
    <row r="65483" spans="3:13" ht="12.75" customHeight="1" x14ac:dyDescent="0.2">
      <c r="C65483"/>
      <c r="M65483"/>
    </row>
    <row r="65484" spans="3:13" ht="12.75" customHeight="1" x14ac:dyDescent="0.2">
      <c r="C65484"/>
      <c r="M65484"/>
    </row>
    <row r="65485" spans="3:13" ht="12.75" customHeight="1" x14ac:dyDescent="0.2">
      <c r="C65485"/>
      <c r="M65485"/>
    </row>
    <row r="65486" spans="3:13" ht="12.75" customHeight="1" x14ac:dyDescent="0.2">
      <c r="C65486"/>
      <c r="M65486"/>
    </row>
    <row r="65487" spans="3:13" ht="12.75" customHeight="1" x14ac:dyDescent="0.2">
      <c r="C65487"/>
      <c r="M65487"/>
    </row>
    <row r="65488" spans="3:13" ht="12.75" customHeight="1" x14ac:dyDescent="0.2">
      <c r="C65488"/>
      <c r="M65488"/>
    </row>
    <row r="65489" spans="3:13" ht="12.75" customHeight="1" x14ac:dyDescent="0.2">
      <c r="C65489"/>
      <c r="M65489"/>
    </row>
    <row r="65490" spans="3:13" ht="12.75" customHeight="1" x14ac:dyDescent="0.2">
      <c r="C65490"/>
      <c r="M65490"/>
    </row>
    <row r="65491" spans="3:13" ht="12.75" customHeight="1" x14ac:dyDescent="0.2">
      <c r="C65491"/>
      <c r="M65491"/>
    </row>
    <row r="65492" spans="3:13" ht="12.75" customHeight="1" x14ac:dyDescent="0.2">
      <c r="C65492"/>
      <c r="M65492"/>
    </row>
    <row r="65493" spans="3:13" ht="12.75" customHeight="1" x14ac:dyDescent="0.2">
      <c r="C65493"/>
      <c r="M65493"/>
    </row>
    <row r="65494" spans="3:13" ht="12.75" customHeight="1" x14ac:dyDescent="0.2">
      <c r="C65494"/>
      <c r="M65494"/>
    </row>
    <row r="65495" spans="3:13" ht="12.75" customHeight="1" x14ac:dyDescent="0.2">
      <c r="C65495"/>
      <c r="M65495"/>
    </row>
    <row r="65496" spans="3:13" ht="12.75" customHeight="1" x14ac:dyDescent="0.2">
      <c r="C65496"/>
      <c r="M65496"/>
    </row>
    <row r="65497" spans="3:13" ht="12.75" customHeight="1" x14ac:dyDescent="0.2">
      <c r="C65497"/>
      <c r="M65497"/>
    </row>
    <row r="65498" spans="3:13" ht="12.75" customHeight="1" x14ac:dyDescent="0.2">
      <c r="C65498"/>
      <c r="M65498"/>
    </row>
    <row r="65499" spans="3:13" ht="12.75" customHeight="1" x14ac:dyDescent="0.2">
      <c r="C65499"/>
      <c r="M65499"/>
    </row>
    <row r="65500" spans="3:13" ht="12.75" customHeight="1" x14ac:dyDescent="0.2">
      <c r="C65500"/>
      <c r="M65500"/>
    </row>
    <row r="65501" spans="3:13" ht="12.75" customHeight="1" x14ac:dyDescent="0.2">
      <c r="C65501"/>
      <c r="M65501"/>
    </row>
    <row r="65502" spans="3:13" ht="12.75" customHeight="1" x14ac:dyDescent="0.2">
      <c r="C65502"/>
      <c r="M65502"/>
    </row>
    <row r="65503" spans="3:13" ht="12.75" customHeight="1" x14ac:dyDescent="0.2">
      <c r="C65503"/>
      <c r="M65503"/>
    </row>
    <row r="65504" spans="3:13" ht="12.75" customHeight="1" x14ac:dyDescent="0.2">
      <c r="C65504"/>
      <c r="M65504"/>
    </row>
    <row r="65505" spans="3:13" ht="12.75" customHeight="1" x14ac:dyDescent="0.2">
      <c r="C65505"/>
      <c r="M65505"/>
    </row>
    <row r="65506" spans="3:13" ht="12.75" customHeight="1" x14ac:dyDescent="0.2">
      <c r="C65506"/>
      <c r="M65506"/>
    </row>
    <row r="65507" spans="3:13" ht="12.75" customHeight="1" x14ac:dyDescent="0.2">
      <c r="C65507"/>
      <c r="M65507"/>
    </row>
    <row r="65508" spans="3:13" ht="12.75" customHeight="1" x14ac:dyDescent="0.2">
      <c r="C65508"/>
      <c r="M65508"/>
    </row>
    <row r="65509" spans="3:13" ht="12.75" customHeight="1" x14ac:dyDescent="0.2">
      <c r="C65509"/>
      <c r="M65509"/>
    </row>
    <row r="65510" spans="3:13" ht="12.75" customHeight="1" x14ac:dyDescent="0.2">
      <c r="C65510"/>
      <c r="M65510"/>
    </row>
    <row r="65511" spans="3:13" ht="12.75" customHeight="1" x14ac:dyDescent="0.2">
      <c r="C65511"/>
      <c r="M65511"/>
    </row>
    <row r="65512" spans="3:13" ht="12.75" customHeight="1" x14ac:dyDescent="0.2">
      <c r="C65512"/>
      <c r="M65512"/>
    </row>
    <row r="65513" spans="3:13" ht="12.75" customHeight="1" x14ac:dyDescent="0.2">
      <c r="C65513"/>
      <c r="M65513"/>
    </row>
    <row r="65514" spans="3:13" ht="12.75" customHeight="1" x14ac:dyDescent="0.2">
      <c r="C65514"/>
      <c r="M65514"/>
    </row>
    <row r="65515" spans="3:13" ht="12.75" customHeight="1" x14ac:dyDescent="0.2">
      <c r="C65515"/>
      <c r="M65515"/>
    </row>
    <row r="65516" spans="3:13" ht="12.75" customHeight="1" x14ac:dyDescent="0.2">
      <c r="C65516"/>
      <c r="M65516"/>
    </row>
    <row r="65517" spans="3:13" ht="12.75" customHeight="1" x14ac:dyDescent="0.2">
      <c r="C65517"/>
      <c r="M65517"/>
    </row>
    <row r="65518" spans="3:13" ht="12.75" customHeight="1" x14ac:dyDescent="0.2">
      <c r="C65518"/>
      <c r="M65518"/>
    </row>
    <row r="65519" spans="3:13" ht="12.75" customHeight="1" x14ac:dyDescent="0.2">
      <c r="C65519"/>
      <c r="M65519"/>
    </row>
    <row r="65520" spans="3:13" ht="12.75" customHeight="1" x14ac:dyDescent="0.2">
      <c r="C65520"/>
      <c r="M65520"/>
    </row>
    <row r="65521" spans="3:13" ht="12.75" customHeight="1" x14ac:dyDescent="0.2">
      <c r="C65521"/>
      <c r="M65521"/>
    </row>
    <row r="65522" spans="3:13" ht="12.75" customHeight="1" x14ac:dyDescent="0.2">
      <c r="C65522"/>
      <c r="M65522"/>
    </row>
    <row r="65523" spans="3:13" ht="12.75" customHeight="1" x14ac:dyDescent="0.2">
      <c r="C65523"/>
      <c r="M65523"/>
    </row>
    <row r="65524" spans="3:13" ht="12.75" customHeight="1" x14ac:dyDescent="0.2">
      <c r="C65524"/>
      <c r="M65524"/>
    </row>
    <row r="65525" spans="3:13" ht="12.75" customHeight="1" x14ac:dyDescent="0.2">
      <c r="C65525"/>
      <c r="M65525"/>
    </row>
    <row r="65526" spans="3:13" ht="12.75" customHeight="1" x14ac:dyDescent="0.2">
      <c r="C65526"/>
      <c r="M65526"/>
    </row>
    <row r="65527" spans="3:13" ht="12.75" customHeight="1" x14ac:dyDescent="0.2">
      <c r="C65527"/>
      <c r="M65527"/>
    </row>
    <row r="65528" spans="3:13" ht="12.75" customHeight="1" x14ac:dyDescent="0.2">
      <c r="C65528"/>
      <c r="M65528"/>
    </row>
    <row r="65529" spans="3:13" ht="12.75" customHeight="1" x14ac:dyDescent="0.2">
      <c r="C65529"/>
      <c r="M65529"/>
    </row>
    <row r="65530" spans="3:13" ht="12.75" customHeight="1" x14ac:dyDescent="0.2">
      <c r="C65530"/>
      <c r="M65530"/>
    </row>
    <row r="65531" spans="3:13" ht="12.75" customHeight="1" x14ac:dyDescent="0.2">
      <c r="C65531"/>
      <c r="M65531"/>
    </row>
    <row r="65532" spans="3:13" ht="12.75" customHeight="1" x14ac:dyDescent="0.2">
      <c r="C65532"/>
      <c r="M65532"/>
    </row>
    <row r="65533" spans="3:13" ht="12.75" customHeight="1" x14ac:dyDescent="0.2">
      <c r="C65533"/>
      <c r="M65533"/>
    </row>
    <row r="65534" spans="3:13" ht="12.75" customHeight="1" x14ac:dyDescent="0.2">
      <c r="C65534"/>
      <c r="M65534"/>
    </row>
    <row r="65535" spans="3:13" ht="12.75" customHeight="1" x14ac:dyDescent="0.2">
      <c r="C65535"/>
      <c r="M65535"/>
    </row>
    <row r="65536" spans="3:13" ht="12.75" customHeight="1" x14ac:dyDescent="0.2">
      <c r="C65536"/>
      <c r="M65536"/>
    </row>
    <row r="65537" spans="3:13" ht="12.75" customHeight="1" x14ac:dyDescent="0.2">
      <c r="C65537"/>
      <c r="M65537"/>
    </row>
    <row r="65538" spans="3:13" ht="12.75" customHeight="1" x14ac:dyDescent="0.2">
      <c r="C65538"/>
      <c r="M65538"/>
    </row>
    <row r="65539" spans="3:13" ht="12.75" customHeight="1" x14ac:dyDescent="0.2">
      <c r="C65539"/>
      <c r="M65539"/>
    </row>
    <row r="65540" spans="3:13" ht="12.75" customHeight="1" x14ac:dyDescent="0.2">
      <c r="C65540"/>
      <c r="M65540"/>
    </row>
    <row r="65541" spans="3:13" ht="12.75" customHeight="1" x14ac:dyDescent="0.2">
      <c r="C65541"/>
      <c r="M65541"/>
    </row>
    <row r="65542" spans="3:13" ht="12.75" customHeight="1" x14ac:dyDescent="0.2">
      <c r="C65542"/>
      <c r="M65542"/>
    </row>
    <row r="65543" spans="3:13" ht="12.75" customHeight="1" x14ac:dyDescent="0.2">
      <c r="C65543"/>
      <c r="M65543"/>
    </row>
    <row r="65544" spans="3:13" ht="12.75" customHeight="1" x14ac:dyDescent="0.2">
      <c r="C65544"/>
      <c r="M65544"/>
    </row>
    <row r="65545" spans="3:13" ht="12.75" customHeight="1" x14ac:dyDescent="0.2">
      <c r="C65545"/>
      <c r="M65545"/>
    </row>
    <row r="65546" spans="3:13" ht="12.75" customHeight="1" x14ac:dyDescent="0.2">
      <c r="C65546"/>
      <c r="M65546"/>
    </row>
    <row r="65547" spans="3:13" ht="12.75" customHeight="1" x14ac:dyDescent="0.2">
      <c r="C65547"/>
      <c r="M65547"/>
    </row>
    <row r="65548" spans="3:13" ht="12.75" customHeight="1" x14ac:dyDescent="0.2">
      <c r="C65548"/>
      <c r="M65548"/>
    </row>
    <row r="65549" spans="3:13" ht="12.75" customHeight="1" x14ac:dyDescent="0.2">
      <c r="C65549"/>
      <c r="M65549"/>
    </row>
    <row r="65550" spans="3:13" ht="12.75" customHeight="1" x14ac:dyDescent="0.2">
      <c r="C65550"/>
      <c r="M65550"/>
    </row>
    <row r="65551" spans="3:13" ht="12.75" customHeight="1" x14ac:dyDescent="0.2">
      <c r="C65551"/>
      <c r="M65551"/>
    </row>
    <row r="65552" spans="3:13" ht="12.75" customHeight="1" x14ac:dyDescent="0.2">
      <c r="C65552"/>
      <c r="M65552"/>
    </row>
    <row r="65553" spans="3:13" ht="12.75" customHeight="1" x14ac:dyDescent="0.2">
      <c r="C65553"/>
      <c r="M65553"/>
    </row>
    <row r="65554" spans="3:13" ht="12.75" customHeight="1" x14ac:dyDescent="0.2">
      <c r="C65554"/>
      <c r="M65554"/>
    </row>
    <row r="65555" spans="3:13" ht="12.75" customHeight="1" x14ac:dyDescent="0.2">
      <c r="C65555"/>
      <c r="M65555"/>
    </row>
    <row r="65556" spans="3:13" ht="12.75" customHeight="1" x14ac:dyDescent="0.2">
      <c r="C65556"/>
      <c r="M65556"/>
    </row>
    <row r="65557" spans="3:13" ht="12.75" customHeight="1" x14ac:dyDescent="0.2">
      <c r="C65557"/>
      <c r="M65557"/>
    </row>
    <row r="65558" spans="3:13" ht="12.75" customHeight="1" x14ac:dyDescent="0.2">
      <c r="C65558"/>
      <c r="M65558"/>
    </row>
    <row r="65559" spans="3:13" ht="12.75" customHeight="1" x14ac:dyDescent="0.2">
      <c r="C65559"/>
      <c r="M65559"/>
    </row>
    <row r="65560" spans="3:13" ht="12.75" customHeight="1" x14ac:dyDescent="0.2">
      <c r="C65560"/>
      <c r="M65560"/>
    </row>
    <row r="65561" spans="3:13" ht="12.75" customHeight="1" x14ac:dyDescent="0.2">
      <c r="C65561"/>
      <c r="M65561"/>
    </row>
    <row r="65562" spans="3:13" ht="12.75" customHeight="1" x14ac:dyDescent="0.2">
      <c r="C65562"/>
      <c r="M65562"/>
    </row>
    <row r="65563" spans="3:13" ht="12.75" customHeight="1" x14ac:dyDescent="0.2">
      <c r="C65563"/>
      <c r="M65563"/>
    </row>
    <row r="65564" spans="3:13" ht="12.75" customHeight="1" x14ac:dyDescent="0.2">
      <c r="C65564"/>
      <c r="M65564"/>
    </row>
    <row r="65565" spans="3:13" ht="12.75" customHeight="1" x14ac:dyDescent="0.2">
      <c r="C65565"/>
      <c r="M65565"/>
    </row>
    <row r="65566" spans="3:13" ht="12.75" customHeight="1" x14ac:dyDescent="0.2">
      <c r="C65566"/>
      <c r="M65566"/>
    </row>
    <row r="65567" spans="3:13" ht="12.75" customHeight="1" x14ac:dyDescent="0.2">
      <c r="C65567"/>
      <c r="M65567"/>
    </row>
    <row r="65568" spans="3:13" ht="12.75" customHeight="1" x14ac:dyDescent="0.2">
      <c r="C65568"/>
      <c r="M65568"/>
    </row>
    <row r="65569" spans="3:13" ht="12.75" customHeight="1" x14ac:dyDescent="0.2">
      <c r="C65569"/>
      <c r="M65569"/>
    </row>
    <row r="65570" spans="3:13" ht="12.75" customHeight="1" x14ac:dyDescent="0.2">
      <c r="C65570"/>
      <c r="M65570"/>
    </row>
    <row r="65571" spans="3:13" ht="12.75" customHeight="1" x14ac:dyDescent="0.2">
      <c r="C65571"/>
      <c r="M65571"/>
    </row>
    <row r="65572" spans="3:13" ht="12.75" customHeight="1" x14ac:dyDescent="0.2">
      <c r="C65572"/>
      <c r="M65572"/>
    </row>
    <row r="65573" spans="3:13" ht="12.75" customHeight="1" x14ac:dyDescent="0.2">
      <c r="C65573"/>
      <c r="M65573"/>
    </row>
    <row r="65574" spans="3:13" ht="12.75" customHeight="1" x14ac:dyDescent="0.2">
      <c r="C65574"/>
      <c r="M65574"/>
    </row>
    <row r="65575" spans="3:13" ht="12.75" customHeight="1" x14ac:dyDescent="0.2">
      <c r="C65575"/>
      <c r="M65575"/>
    </row>
    <row r="65576" spans="3:13" ht="12.75" customHeight="1" x14ac:dyDescent="0.2">
      <c r="C65576"/>
      <c r="M65576"/>
    </row>
    <row r="65577" spans="3:13" ht="12.75" customHeight="1" x14ac:dyDescent="0.2">
      <c r="C65577"/>
      <c r="M65577"/>
    </row>
    <row r="65578" spans="3:13" ht="12.75" customHeight="1" x14ac:dyDescent="0.2">
      <c r="C65578"/>
      <c r="M65578"/>
    </row>
    <row r="65579" spans="3:13" ht="12.75" customHeight="1" x14ac:dyDescent="0.2">
      <c r="C65579"/>
      <c r="M65579"/>
    </row>
    <row r="65580" spans="3:13" ht="12.75" customHeight="1" x14ac:dyDescent="0.2">
      <c r="C65580"/>
      <c r="M65580"/>
    </row>
    <row r="65581" spans="3:13" ht="12.75" customHeight="1" x14ac:dyDescent="0.2">
      <c r="C65581"/>
      <c r="M65581"/>
    </row>
    <row r="65582" spans="3:13" ht="12.75" customHeight="1" x14ac:dyDescent="0.2">
      <c r="C65582"/>
      <c r="M65582"/>
    </row>
    <row r="65583" spans="3:13" ht="12.75" customHeight="1" x14ac:dyDescent="0.2">
      <c r="C65583"/>
      <c r="M65583"/>
    </row>
    <row r="65584" spans="3:13" ht="12.75" customHeight="1" x14ac:dyDescent="0.2">
      <c r="C65584"/>
      <c r="M65584"/>
    </row>
    <row r="65585" spans="3:13" ht="12.75" customHeight="1" x14ac:dyDescent="0.2">
      <c r="C65585"/>
      <c r="M65585"/>
    </row>
    <row r="65586" spans="3:13" ht="12.75" customHeight="1" x14ac:dyDescent="0.2">
      <c r="C65586"/>
      <c r="M65586"/>
    </row>
    <row r="65587" spans="3:13" ht="12.75" customHeight="1" x14ac:dyDescent="0.2">
      <c r="C65587"/>
      <c r="M65587"/>
    </row>
    <row r="65588" spans="3:13" ht="12.75" customHeight="1" x14ac:dyDescent="0.2">
      <c r="C65588"/>
      <c r="M65588"/>
    </row>
    <row r="65589" spans="3:13" ht="12.75" customHeight="1" x14ac:dyDescent="0.2">
      <c r="C65589"/>
      <c r="M65589"/>
    </row>
    <row r="65590" spans="3:13" ht="12.75" customHeight="1" x14ac:dyDescent="0.2">
      <c r="C65590"/>
      <c r="M65590"/>
    </row>
    <row r="65591" spans="3:13" ht="12.75" customHeight="1" x14ac:dyDescent="0.2">
      <c r="C65591"/>
      <c r="M65591"/>
    </row>
    <row r="65592" spans="3:13" ht="12.75" customHeight="1" x14ac:dyDescent="0.2">
      <c r="C65592"/>
      <c r="M65592"/>
    </row>
    <row r="65593" spans="3:13" ht="12.75" customHeight="1" x14ac:dyDescent="0.2">
      <c r="C65593"/>
      <c r="M65593"/>
    </row>
    <row r="65594" spans="3:13" ht="12.75" customHeight="1" x14ac:dyDescent="0.2">
      <c r="C65594"/>
      <c r="M65594"/>
    </row>
    <row r="65595" spans="3:13" ht="12.75" customHeight="1" x14ac:dyDescent="0.2">
      <c r="C65595"/>
      <c r="M65595"/>
    </row>
    <row r="65596" spans="3:13" ht="12.75" customHeight="1" x14ac:dyDescent="0.2">
      <c r="C65596"/>
      <c r="M65596"/>
    </row>
    <row r="65597" spans="3:13" ht="12.75" customHeight="1" x14ac:dyDescent="0.2">
      <c r="C65597"/>
      <c r="M65597"/>
    </row>
    <row r="65598" spans="3:13" ht="12.75" customHeight="1" x14ac:dyDescent="0.2">
      <c r="C65598"/>
      <c r="M65598"/>
    </row>
    <row r="65599" spans="3:13" ht="12.75" customHeight="1" x14ac:dyDescent="0.2">
      <c r="C65599"/>
      <c r="M65599"/>
    </row>
    <row r="65600" spans="3:13" ht="12.75" customHeight="1" x14ac:dyDescent="0.2">
      <c r="C65600"/>
      <c r="M65600"/>
    </row>
    <row r="65601" spans="3:13" ht="12.75" customHeight="1" x14ac:dyDescent="0.2">
      <c r="C65601"/>
      <c r="M65601"/>
    </row>
    <row r="65602" spans="3:13" ht="12.75" customHeight="1" x14ac:dyDescent="0.2">
      <c r="C65602"/>
      <c r="M65602"/>
    </row>
    <row r="65603" spans="3:13" ht="12.75" customHeight="1" x14ac:dyDescent="0.2">
      <c r="C65603"/>
      <c r="M65603"/>
    </row>
    <row r="65604" spans="3:13" ht="12.75" customHeight="1" x14ac:dyDescent="0.2">
      <c r="C65604"/>
      <c r="M65604"/>
    </row>
    <row r="65605" spans="3:13" ht="12.75" customHeight="1" x14ac:dyDescent="0.2">
      <c r="C65605"/>
      <c r="M65605"/>
    </row>
    <row r="65606" spans="3:13" ht="12.75" customHeight="1" x14ac:dyDescent="0.2">
      <c r="C65606"/>
      <c r="M65606"/>
    </row>
    <row r="65607" spans="3:13" ht="12.75" customHeight="1" x14ac:dyDescent="0.2">
      <c r="C65607"/>
      <c r="M65607"/>
    </row>
    <row r="65608" spans="3:13" ht="12.75" customHeight="1" x14ac:dyDescent="0.2">
      <c r="C65608"/>
      <c r="M65608"/>
    </row>
    <row r="65609" spans="3:13" ht="12.75" customHeight="1" x14ac:dyDescent="0.2">
      <c r="C65609"/>
      <c r="M65609"/>
    </row>
    <row r="65610" spans="3:13" ht="12.75" customHeight="1" x14ac:dyDescent="0.2">
      <c r="C65610"/>
      <c r="M65610"/>
    </row>
    <row r="65611" spans="3:13" ht="12.75" customHeight="1" x14ac:dyDescent="0.2">
      <c r="C65611"/>
      <c r="M65611"/>
    </row>
    <row r="65612" spans="3:13" ht="12.75" customHeight="1" x14ac:dyDescent="0.2">
      <c r="C65612"/>
      <c r="M65612"/>
    </row>
    <row r="65613" spans="3:13" ht="12.75" customHeight="1" x14ac:dyDescent="0.2">
      <c r="C65613"/>
      <c r="M65613"/>
    </row>
    <row r="65614" spans="3:13" ht="12.75" customHeight="1" x14ac:dyDescent="0.2">
      <c r="C65614"/>
      <c r="M65614"/>
    </row>
    <row r="65615" spans="3:13" ht="12.75" customHeight="1" x14ac:dyDescent="0.2">
      <c r="C65615"/>
      <c r="M65615"/>
    </row>
    <row r="65616" spans="3:13" ht="12.75" customHeight="1" x14ac:dyDescent="0.2">
      <c r="C65616"/>
      <c r="M65616"/>
    </row>
    <row r="65617" spans="3:13" ht="12.75" customHeight="1" x14ac:dyDescent="0.2">
      <c r="C65617"/>
      <c r="M65617"/>
    </row>
    <row r="65618" spans="3:13" ht="12.75" customHeight="1" x14ac:dyDescent="0.2">
      <c r="C65618"/>
      <c r="M65618"/>
    </row>
    <row r="65619" spans="3:13" ht="12.75" customHeight="1" x14ac:dyDescent="0.2">
      <c r="C65619"/>
      <c r="M65619"/>
    </row>
    <row r="65620" spans="3:13" ht="12.75" customHeight="1" x14ac:dyDescent="0.2">
      <c r="C65620"/>
      <c r="M65620"/>
    </row>
    <row r="65621" spans="3:13" ht="12.75" customHeight="1" x14ac:dyDescent="0.2">
      <c r="C65621"/>
      <c r="M65621"/>
    </row>
    <row r="65622" spans="3:13" ht="12.75" customHeight="1" x14ac:dyDescent="0.2">
      <c r="C65622"/>
      <c r="M65622"/>
    </row>
    <row r="65623" spans="3:13" ht="12.75" customHeight="1" x14ac:dyDescent="0.2">
      <c r="C65623"/>
      <c r="M65623"/>
    </row>
    <row r="65624" spans="3:13" ht="12.75" customHeight="1" x14ac:dyDescent="0.2">
      <c r="C65624"/>
      <c r="M65624"/>
    </row>
    <row r="65625" spans="3:13" ht="12.75" customHeight="1" x14ac:dyDescent="0.2">
      <c r="C65625"/>
      <c r="M65625"/>
    </row>
    <row r="65626" spans="3:13" ht="12.75" customHeight="1" x14ac:dyDescent="0.2">
      <c r="C65626"/>
      <c r="M65626"/>
    </row>
    <row r="65627" spans="3:13" ht="12.75" customHeight="1" x14ac:dyDescent="0.2">
      <c r="C65627"/>
      <c r="M65627"/>
    </row>
    <row r="65628" spans="3:13" ht="12.75" customHeight="1" x14ac:dyDescent="0.2">
      <c r="C65628"/>
      <c r="M65628"/>
    </row>
    <row r="65629" spans="3:13" ht="12.75" customHeight="1" x14ac:dyDescent="0.2">
      <c r="C65629"/>
      <c r="M65629"/>
    </row>
    <row r="65630" spans="3:13" ht="12.75" customHeight="1" x14ac:dyDescent="0.2">
      <c r="C65630"/>
      <c r="M65630"/>
    </row>
    <row r="65631" spans="3:13" ht="12.75" customHeight="1" x14ac:dyDescent="0.2">
      <c r="C65631"/>
      <c r="M65631"/>
    </row>
    <row r="65632" spans="3:13" ht="12.75" customHeight="1" x14ac:dyDescent="0.2">
      <c r="C65632"/>
      <c r="M65632"/>
    </row>
    <row r="65633" spans="3:13" ht="12.75" customHeight="1" x14ac:dyDescent="0.2">
      <c r="C65633"/>
      <c r="M65633"/>
    </row>
    <row r="65634" spans="3:13" ht="12.75" customHeight="1" x14ac:dyDescent="0.2">
      <c r="C65634"/>
      <c r="M65634"/>
    </row>
    <row r="65635" spans="3:13" ht="12.75" customHeight="1" x14ac:dyDescent="0.2">
      <c r="C65635"/>
      <c r="M65635"/>
    </row>
    <row r="65636" spans="3:13" ht="12.75" customHeight="1" x14ac:dyDescent="0.2">
      <c r="C65636"/>
      <c r="M65636"/>
    </row>
    <row r="65637" spans="3:13" ht="12.75" customHeight="1" x14ac:dyDescent="0.2">
      <c r="C65637"/>
      <c r="M65637"/>
    </row>
    <row r="65638" spans="3:13" ht="12.75" customHeight="1" x14ac:dyDescent="0.2">
      <c r="C65638"/>
      <c r="M65638"/>
    </row>
    <row r="65639" spans="3:13" ht="12.75" customHeight="1" x14ac:dyDescent="0.2">
      <c r="C65639"/>
      <c r="M65639"/>
    </row>
    <row r="65640" spans="3:13" ht="12.75" customHeight="1" x14ac:dyDescent="0.2">
      <c r="C65640"/>
      <c r="M65640"/>
    </row>
    <row r="65641" spans="3:13" ht="12.75" customHeight="1" x14ac:dyDescent="0.2">
      <c r="C65641"/>
      <c r="M65641"/>
    </row>
    <row r="65642" spans="3:13" ht="12.75" customHeight="1" x14ac:dyDescent="0.2">
      <c r="C65642"/>
      <c r="M65642"/>
    </row>
    <row r="65643" spans="3:13" ht="12.75" customHeight="1" x14ac:dyDescent="0.2">
      <c r="C65643"/>
      <c r="M65643"/>
    </row>
    <row r="65644" spans="3:13" ht="12.75" customHeight="1" x14ac:dyDescent="0.2">
      <c r="C65644"/>
      <c r="M65644"/>
    </row>
    <row r="65645" spans="3:13" ht="12.75" customHeight="1" x14ac:dyDescent="0.2">
      <c r="C65645"/>
      <c r="M65645"/>
    </row>
    <row r="65646" spans="3:13" ht="12.75" customHeight="1" x14ac:dyDescent="0.2">
      <c r="C65646"/>
      <c r="M65646"/>
    </row>
    <row r="65647" spans="3:13" ht="12.75" customHeight="1" x14ac:dyDescent="0.2">
      <c r="C65647"/>
      <c r="M65647"/>
    </row>
    <row r="65648" spans="3:13" ht="12.75" customHeight="1" x14ac:dyDescent="0.2">
      <c r="C65648"/>
      <c r="M65648"/>
    </row>
    <row r="65649" spans="3:13" ht="12.75" customHeight="1" x14ac:dyDescent="0.2">
      <c r="C65649"/>
      <c r="M65649"/>
    </row>
    <row r="65650" spans="3:13" ht="12.75" customHeight="1" x14ac:dyDescent="0.2">
      <c r="C65650"/>
      <c r="M65650"/>
    </row>
    <row r="65651" spans="3:13" ht="12.75" customHeight="1" x14ac:dyDescent="0.2">
      <c r="C65651"/>
      <c r="M65651"/>
    </row>
    <row r="65652" spans="3:13" ht="12.75" customHeight="1" x14ac:dyDescent="0.2">
      <c r="C65652"/>
      <c r="M65652"/>
    </row>
    <row r="65653" spans="3:13" ht="12.75" customHeight="1" x14ac:dyDescent="0.2">
      <c r="C65653"/>
      <c r="M65653"/>
    </row>
    <row r="65654" spans="3:13" ht="12.75" customHeight="1" x14ac:dyDescent="0.2">
      <c r="C65654"/>
      <c r="M65654"/>
    </row>
    <row r="65655" spans="3:13" ht="12.75" customHeight="1" x14ac:dyDescent="0.2">
      <c r="C65655"/>
      <c r="M65655"/>
    </row>
    <row r="65656" spans="3:13" ht="12.75" customHeight="1" x14ac:dyDescent="0.2">
      <c r="C65656"/>
      <c r="M65656"/>
    </row>
    <row r="65657" spans="3:13" ht="12.75" customHeight="1" x14ac:dyDescent="0.2">
      <c r="C65657"/>
      <c r="M65657"/>
    </row>
    <row r="65658" spans="3:13" ht="12.75" customHeight="1" x14ac:dyDescent="0.2">
      <c r="C65658"/>
      <c r="M65658"/>
    </row>
    <row r="65659" spans="3:13" ht="12.75" customHeight="1" x14ac:dyDescent="0.2">
      <c r="C65659"/>
      <c r="M65659"/>
    </row>
    <row r="65660" spans="3:13" ht="12.75" customHeight="1" x14ac:dyDescent="0.2">
      <c r="C65660"/>
      <c r="M65660"/>
    </row>
    <row r="65661" spans="3:13" ht="12.75" customHeight="1" x14ac:dyDescent="0.2">
      <c r="C65661"/>
      <c r="M65661"/>
    </row>
    <row r="65662" spans="3:13" ht="12.75" customHeight="1" x14ac:dyDescent="0.2">
      <c r="C65662"/>
      <c r="M65662"/>
    </row>
    <row r="65663" spans="3:13" ht="12.75" customHeight="1" x14ac:dyDescent="0.2">
      <c r="C65663"/>
      <c r="M65663"/>
    </row>
    <row r="65664" spans="3:13" ht="12.75" customHeight="1" x14ac:dyDescent="0.2">
      <c r="C65664"/>
      <c r="M65664"/>
    </row>
    <row r="65665" spans="3:13" ht="12.75" customHeight="1" x14ac:dyDescent="0.2">
      <c r="C65665"/>
      <c r="M65665"/>
    </row>
    <row r="65666" spans="3:13" ht="12.75" customHeight="1" x14ac:dyDescent="0.2">
      <c r="C65666"/>
      <c r="M65666"/>
    </row>
    <row r="65667" spans="3:13" ht="12.75" customHeight="1" x14ac:dyDescent="0.2">
      <c r="C65667"/>
      <c r="M65667"/>
    </row>
    <row r="65668" spans="3:13" ht="12.75" customHeight="1" x14ac:dyDescent="0.2">
      <c r="C65668"/>
      <c r="M65668"/>
    </row>
    <row r="65669" spans="3:13" ht="12.75" customHeight="1" x14ac:dyDescent="0.2">
      <c r="C65669"/>
      <c r="M65669"/>
    </row>
    <row r="65670" spans="3:13" ht="12.75" customHeight="1" x14ac:dyDescent="0.2">
      <c r="C65670"/>
      <c r="M65670"/>
    </row>
    <row r="65671" spans="3:13" ht="12.75" customHeight="1" x14ac:dyDescent="0.2">
      <c r="C65671"/>
      <c r="M65671"/>
    </row>
    <row r="65672" spans="3:13" ht="12.75" customHeight="1" x14ac:dyDescent="0.2">
      <c r="C65672"/>
      <c r="M65672"/>
    </row>
    <row r="65673" spans="3:13" ht="12.75" customHeight="1" x14ac:dyDescent="0.2">
      <c r="C65673"/>
      <c r="M65673"/>
    </row>
    <row r="65674" spans="3:13" ht="12.75" customHeight="1" x14ac:dyDescent="0.2">
      <c r="C65674"/>
      <c r="M65674"/>
    </row>
    <row r="65675" spans="3:13" ht="12.75" customHeight="1" x14ac:dyDescent="0.2">
      <c r="C65675"/>
      <c r="M65675"/>
    </row>
    <row r="65676" spans="3:13" ht="12.75" customHeight="1" x14ac:dyDescent="0.2">
      <c r="C65676"/>
      <c r="M65676"/>
    </row>
    <row r="65677" spans="3:13" ht="12.75" customHeight="1" x14ac:dyDescent="0.2">
      <c r="C65677"/>
      <c r="M65677"/>
    </row>
    <row r="65678" spans="3:13" ht="12.75" customHeight="1" x14ac:dyDescent="0.2">
      <c r="C65678"/>
      <c r="M65678"/>
    </row>
    <row r="65679" spans="3:13" ht="12.75" customHeight="1" x14ac:dyDescent="0.2">
      <c r="C65679"/>
      <c r="M65679"/>
    </row>
    <row r="65680" spans="3:13" ht="12.75" customHeight="1" x14ac:dyDescent="0.2">
      <c r="C65680"/>
      <c r="M65680"/>
    </row>
    <row r="65681" spans="3:13" ht="12.75" customHeight="1" x14ac:dyDescent="0.2">
      <c r="C65681"/>
      <c r="M65681"/>
    </row>
    <row r="65682" spans="3:13" ht="12.75" customHeight="1" x14ac:dyDescent="0.2">
      <c r="C65682"/>
      <c r="M65682"/>
    </row>
    <row r="65683" spans="3:13" ht="12.75" customHeight="1" x14ac:dyDescent="0.2">
      <c r="C65683"/>
      <c r="M65683"/>
    </row>
    <row r="65684" spans="3:13" ht="12.75" customHeight="1" x14ac:dyDescent="0.2">
      <c r="C65684"/>
      <c r="M65684"/>
    </row>
    <row r="65685" spans="3:13" ht="12.75" customHeight="1" x14ac:dyDescent="0.2">
      <c r="C65685"/>
      <c r="M65685"/>
    </row>
    <row r="65686" spans="3:13" ht="12.75" customHeight="1" x14ac:dyDescent="0.2">
      <c r="C65686"/>
      <c r="M65686"/>
    </row>
    <row r="65687" spans="3:13" ht="12.75" customHeight="1" x14ac:dyDescent="0.2">
      <c r="C65687"/>
      <c r="M65687"/>
    </row>
    <row r="65688" spans="3:13" ht="12.75" customHeight="1" x14ac:dyDescent="0.2">
      <c r="C65688"/>
      <c r="M65688"/>
    </row>
    <row r="65689" spans="3:13" ht="12.75" customHeight="1" x14ac:dyDescent="0.2">
      <c r="C65689"/>
      <c r="M65689"/>
    </row>
    <row r="65690" spans="3:13" ht="12.75" customHeight="1" x14ac:dyDescent="0.2">
      <c r="C65690"/>
      <c r="M65690"/>
    </row>
    <row r="65691" spans="3:13" ht="12.75" customHeight="1" x14ac:dyDescent="0.2">
      <c r="C65691"/>
      <c r="M65691"/>
    </row>
    <row r="65692" spans="3:13" ht="12.75" customHeight="1" x14ac:dyDescent="0.2">
      <c r="C65692"/>
      <c r="M65692"/>
    </row>
    <row r="65693" spans="3:13" ht="12.75" customHeight="1" x14ac:dyDescent="0.2">
      <c r="C65693"/>
      <c r="M65693"/>
    </row>
    <row r="65694" spans="3:13" ht="12.75" customHeight="1" x14ac:dyDescent="0.2">
      <c r="C65694"/>
      <c r="M65694"/>
    </row>
    <row r="65695" spans="3:13" ht="12.75" customHeight="1" x14ac:dyDescent="0.2">
      <c r="C65695"/>
      <c r="M65695"/>
    </row>
    <row r="65696" spans="3:13" ht="12.75" customHeight="1" x14ac:dyDescent="0.2">
      <c r="C65696"/>
      <c r="M65696"/>
    </row>
    <row r="65697" spans="3:13" ht="12.75" customHeight="1" x14ac:dyDescent="0.2">
      <c r="C65697"/>
      <c r="M65697"/>
    </row>
    <row r="65698" spans="3:13" ht="12.75" customHeight="1" x14ac:dyDescent="0.2">
      <c r="C65698"/>
      <c r="M65698"/>
    </row>
    <row r="65699" spans="3:13" ht="12.75" customHeight="1" x14ac:dyDescent="0.2">
      <c r="C65699"/>
      <c r="M65699"/>
    </row>
    <row r="65700" spans="3:13" ht="12.75" customHeight="1" x14ac:dyDescent="0.2">
      <c r="C65700"/>
      <c r="M65700"/>
    </row>
    <row r="65701" spans="3:13" ht="12.75" customHeight="1" x14ac:dyDescent="0.2">
      <c r="C65701"/>
      <c r="M65701"/>
    </row>
    <row r="65702" spans="3:13" ht="12.75" customHeight="1" x14ac:dyDescent="0.2">
      <c r="C65702"/>
      <c r="M65702"/>
    </row>
    <row r="65703" spans="3:13" ht="12.75" customHeight="1" x14ac:dyDescent="0.2">
      <c r="C65703"/>
      <c r="M65703"/>
    </row>
    <row r="65704" spans="3:13" ht="12.75" customHeight="1" x14ac:dyDescent="0.2">
      <c r="C65704"/>
      <c r="M65704"/>
    </row>
    <row r="65705" spans="3:13" ht="12.75" customHeight="1" x14ac:dyDescent="0.2">
      <c r="C65705"/>
      <c r="M65705"/>
    </row>
    <row r="65706" spans="3:13" ht="12.75" customHeight="1" x14ac:dyDescent="0.2">
      <c r="C65706"/>
      <c r="M65706"/>
    </row>
    <row r="65707" spans="3:13" ht="12.75" customHeight="1" x14ac:dyDescent="0.2">
      <c r="C65707"/>
      <c r="M65707"/>
    </row>
    <row r="65708" spans="3:13" ht="12.75" customHeight="1" x14ac:dyDescent="0.2">
      <c r="C65708"/>
      <c r="M65708"/>
    </row>
    <row r="65709" spans="3:13" ht="12.75" customHeight="1" x14ac:dyDescent="0.2">
      <c r="C65709"/>
      <c r="M65709"/>
    </row>
    <row r="65710" spans="3:13" ht="12.75" customHeight="1" x14ac:dyDescent="0.2">
      <c r="C65710"/>
      <c r="M65710"/>
    </row>
    <row r="65711" spans="3:13" ht="12.75" customHeight="1" x14ac:dyDescent="0.2">
      <c r="C65711"/>
      <c r="M65711"/>
    </row>
    <row r="65712" spans="3:13" ht="12.75" customHeight="1" x14ac:dyDescent="0.2">
      <c r="C65712"/>
      <c r="M65712"/>
    </row>
    <row r="65713" spans="3:13" ht="12.75" customHeight="1" x14ac:dyDescent="0.2">
      <c r="C65713"/>
      <c r="M65713"/>
    </row>
    <row r="65714" spans="3:13" ht="12.75" customHeight="1" x14ac:dyDescent="0.2">
      <c r="C65714"/>
      <c r="M65714"/>
    </row>
    <row r="65715" spans="3:13" ht="12.75" customHeight="1" x14ac:dyDescent="0.2">
      <c r="C65715"/>
      <c r="M65715"/>
    </row>
    <row r="65716" spans="3:13" ht="12.75" customHeight="1" x14ac:dyDescent="0.2">
      <c r="C65716"/>
      <c r="M65716"/>
    </row>
    <row r="65717" spans="3:13" ht="12.75" customHeight="1" x14ac:dyDescent="0.2">
      <c r="C65717"/>
      <c r="M65717"/>
    </row>
    <row r="65718" spans="3:13" ht="12.75" customHeight="1" x14ac:dyDescent="0.2">
      <c r="C65718"/>
      <c r="M65718"/>
    </row>
    <row r="65719" spans="3:13" ht="12.75" customHeight="1" x14ac:dyDescent="0.2">
      <c r="C65719"/>
      <c r="M65719"/>
    </row>
    <row r="65720" spans="3:13" ht="12.75" customHeight="1" x14ac:dyDescent="0.2">
      <c r="C65720"/>
      <c r="M65720"/>
    </row>
    <row r="65721" spans="3:13" ht="12.75" customHeight="1" x14ac:dyDescent="0.2">
      <c r="C65721"/>
      <c r="M65721"/>
    </row>
    <row r="65722" spans="3:13" ht="12.75" customHeight="1" x14ac:dyDescent="0.2">
      <c r="C65722"/>
      <c r="M65722"/>
    </row>
    <row r="65723" spans="3:13" ht="12.75" customHeight="1" x14ac:dyDescent="0.2">
      <c r="C65723"/>
      <c r="M65723"/>
    </row>
    <row r="65724" spans="3:13" ht="12.75" customHeight="1" x14ac:dyDescent="0.2">
      <c r="C65724"/>
      <c r="M65724"/>
    </row>
    <row r="65725" spans="3:13" ht="12.75" customHeight="1" x14ac:dyDescent="0.2">
      <c r="C65725"/>
      <c r="M65725"/>
    </row>
    <row r="65726" spans="3:13" ht="12.75" customHeight="1" x14ac:dyDescent="0.2">
      <c r="C65726"/>
      <c r="M65726"/>
    </row>
    <row r="65727" spans="3:13" ht="12.75" customHeight="1" x14ac:dyDescent="0.2">
      <c r="C65727"/>
      <c r="M65727"/>
    </row>
    <row r="65728" spans="3:13" ht="12.75" customHeight="1" x14ac:dyDescent="0.2">
      <c r="C65728"/>
      <c r="M65728"/>
    </row>
    <row r="65729" spans="3:13" ht="12.75" customHeight="1" x14ac:dyDescent="0.2">
      <c r="C65729"/>
      <c r="M65729"/>
    </row>
    <row r="65730" spans="3:13" ht="12.75" customHeight="1" x14ac:dyDescent="0.2">
      <c r="C65730"/>
      <c r="M65730"/>
    </row>
    <row r="65731" spans="3:13" ht="12.75" customHeight="1" x14ac:dyDescent="0.2">
      <c r="C65731"/>
      <c r="M65731"/>
    </row>
    <row r="65732" spans="3:13" ht="12.75" customHeight="1" x14ac:dyDescent="0.2">
      <c r="C65732"/>
      <c r="M65732"/>
    </row>
    <row r="65733" spans="3:13" ht="12.75" customHeight="1" x14ac:dyDescent="0.2">
      <c r="C65733"/>
      <c r="M65733"/>
    </row>
    <row r="65734" spans="3:13" ht="12.75" customHeight="1" x14ac:dyDescent="0.2">
      <c r="C65734"/>
      <c r="M65734"/>
    </row>
    <row r="65735" spans="3:13" ht="12.75" customHeight="1" x14ac:dyDescent="0.2">
      <c r="C65735"/>
      <c r="M65735"/>
    </row>
    <row r="65736" spans="3:13" ht="12.75" customHeight="1" x14ac:dyDescent="0.2">
      <c r="C65736"/>
      <c r="M65736"/>
    </row>
    <row r="65737" spans="3:13" ht="12.75" customHeight="1" x14ac:dyDescent="0.2">
      <c r="C65737"/>
      <c r="M65737"/>
    </row>
    <row r="65738" spans="3:13" ht="12.75" customHeight="1" x14ac:dyDescent="0.2">
      <c r="C65738"/>
      <c r="M65738"/>
    </row>
    <row r="65739" spans="3:13" ht="12.75" customHeight="1" x14ac:dyDescent="0.2">
      <c r="C65739"/>
      <c r="M65739"/>
    </row>
    <row r="65740" spans="3:13" ht="12.75" customHeight="1" x14ac:dyDescent="0.2">
      <c r="C65740"/>
      <c r="M65740"/>
    </row>
    <row r="65741" spans="3:13" ht="12.75" customHeight="1" x14ac:dyDescent="0.2">
      <c r="C65741"/>
      <c r="M65741"/>
    </row>
    <row r="65742" spans="3:13" ht="12.75" customHeight="1" x14ac:dyDescent="0.2">
      <c r="C65742"/>
      <c r="M65742"/>
    </row>
    <row r="65743" spans="3:13" ht="12.75" customHeight="1" x14ac:dyDescent="0.2">
      <c r="C65743"/>
      <c r="M65743"/>
    </row>
    <row r="65744" spans="3:13" ht="12.75" customHeight="1" x14ac:dyDescent="0.2">
      <c r="C65744"/>
      <c r="M65744"/>
    </row>
    <row r="65745" spans="3:13" ht="12.75" customHeight="1" x14ac:dyDescent="0.2">
      <c r="C65745"/>
      <c r="M65745"/>
    </row>
    <row r="65746" spans="3:13" ht="12.75" customHeight="1" x14ac:dyDescent="0.2">
      <c r="C65746"/>
      <c r="M65746"/>
    </row>
    <row r="65747" spans="3:13" ht="12.75" customHeight="1" x14ac:dyDescent="0.2">
      <c r="C65747"/>
      <c r="M65747"/>
    </row>
    <row r="65748" spans="3:13" ht="12.75" customHeight="1" x14ac:dyDescent="0.2">
      <c r="C65748"/>
      <c r="M65748"/>
    </row>
    <row r="65749" spans="3:13" ht="12.75" customHeight="1" x14ac:dyDescent="0.2">
      <c r="C65749"/>
      <c r="M65749"/>
    </row>
    <row r="65750" spans="3:13" ht="12.75" customHeight="1" x14ac:dyDescent="0.2">
      <c r="C65750"/>
      <c r="M65750"/>
    </row>
    <row r="65751" spans="3:13" ht="12.75" customHeight="1" x14ac:dyDescent="0.2">
      <c r="C65751"/>
      <c r="M65751"/>
    </row>
    <row r="65752" spans="3:13" ht="12.75" customHeight="1" x14ac:dyDescent="0.2">
      <c r="C65752"/>
      <c r="M65752"/>
    </row>
    <row r="65753" spans="3:13" ht="12.75" customHeight="1" x14ac:dyDescent="0.2">
      <c r="C65753"/>
      <c r="M65753"/>
    </row>
    <row r="65754" spans="3:13" ht="12.75" customHeight="1" x14ac:dyDescent="0.2">
      <c r="C65754"/>
      <c r="M65754"/>
    </row>
    <row r="65755" spans="3:13" ht="12.75" customHeight="1" x14ac:dyDescent="0.2">
      <c r="C65755"/>
      <c r="M65755"/>
    </row>
    <row r="65756" spans="3:13" ht="12.75" customHeight="1" x14ac:dyDescent="0.2">
      <c r="C65756"/>
      <c r="M65756"/>
    </row>
    <row r="65757" spans="3:13" ht="12.75" customHeight="1" x14ac:dyDescent="0.2">
      <c r="C65757"/>
      <c r="M65757"/>
    </row>
    <row r="65758" spans="3:13" ht="12.75" customHeight="1" x14ac:dyDescent="0.2">
      <c r="C65758"/>
      <c r="M65758"/>
    </row>
    <row r="65759" spans="3:13" ht="12.75" customHeight="1" x14ac:dyDescent="0.2">
      <c r="C65759"/>
      <c r="M65759"/>
    </row>
    <row r="65760" spans="3:13" ht="12.75" customHeight="1" x14ac:dyDescent="0.2">
      <c r="C65760"/>
      <c r="M65760"/>
    </row>
    <row r="65761" spans="3:13" ht="12.75" customHeight="1" x14ac:dyDescent="0.2">
      <c r="C65761"/>
      <c r="M65761"/>
    </row>
    <row r="65762" spans="3:13" ht="12.75" customHeight="1" x14ac:dyDescent="0.2">
      <c r="C65762"/>
      <c r="M65762"/>
    </row>
    <row r="65763" spans="3:13" ht="12.75" customHeight="1" x14ac:dyDescent="0.2">
      <c r="C65763"/>
      <c r="M65763"/>
    </row>
    <row r="65764" spans="3:13" ht="12.75" customHeight="1" x14ac:dyDescent="0.2">
      <c r="C65764"/>
      <c r="M65764"/>
    </row>
    <row r="65765" spans="3:13" ht="12.75" customHeight="1" x14ac:dyDescent="0.2">
      <c r="C65765"/>
      <c r="M65765"/>
    </row>
    <row r="65766" spans="3:13" ht="12.75" customHeight="1" x14ac:dyDescent="0.2">
      <c r="C65766"/>
      <c r="M65766"/>
    </row>
    <row r="65767" spans="3:13" ht="12.75" customHeight="1" x14ac:dyDescent="0.2">
      <c r="C65767"/>
      <c r="M65767"/>
    </row>
    <row r="65768" spans="3:13" ht="12.75" customHeight="1" x14ac:dyDescent="0.2">
      <c r="C65768"/>
      <c r="M65768"/>
    </row>
    <row r="65769" spans="3:13" ht="12.75" customHeight="1" x14ac:dyDescent="0.2">
      <c r="C65769"/>
      <c r="M65769"/>
    </row>
    <row r="65770" spans="3:13" ht="12.75" customHeight="1" x14ac:dyDescent="0.2">
      <c r="C65770"/>
      <c r="M65770"/>
    </row>
    <row r="65771" spans="3:13" ht="12.75" customHeight="1" x14ac:dyDescent="0.2">
      <c r="C65771"/>
      <c r="M65771"/>
    </row>
    <row r="65772" spans="3:13" ht="12.75" customHeight="1" x14ac:dyDescent="0.2">
      <c r="C65772"/>
      <c r="M65772"/>
    </row>
    <row r="65773" spans="3:13" ht="12.75" customHeight="1" x14ac:dyDescent="0.2">
      <c r="C65773"/>
      <c r="M65773"/>
    </row>
    <row r="65774" spans="3:13" ht="12.75" customHeight="1" x14ac:dyDescent="0.2">
      <c r="C65774"/>
      <c r="M65774"/>
    </row>
    <row r="65775" spans="3:13" ht="12.75" customHeight="1" x14ac:dyDescent="0.2">
      <c r="C65775"/>
      <c r="M65775"/>
    </row>
    <row r="65776" spans="3:13" ht="12.75" customHeight="1" x14ac:dyDescent="0.2">
      <c r="C65776"/>
      <c r="M65776"/>
    </row>
    <row r="65777" spans="3:13" ht="12.75" customHeight="1" x14ac:dyDescent="0.2">
      <c r="C65777"/>
      <c r="M65777"/>
    </row>
    <row r="65778" spans="3:13" ht="12.75" customHeight="1" x14ac:dyDescent="0.2">
      <c r="C65778"/>
      <c r="M65778"/>
    </row>
    <row r="65779" spans="3:13" ht="12.75" customHeight="1" x14ac:dyDescent="0.2">
      <c r="C65779"/>
      <c r="M65779"/>
    </row>
    <row r="65780" spans="3:13" ht="12.75" customHeight="1" x14ac:dyDescent="0.2">
      <c r="C65780"/>
      <c r="M65780"/>
    </row>
    <row r="65781" spans="3:13" ht="12.75" customHeight="1" x14ac:dyDescent="0.2">
      <c r="C65781"/>
      <c r="M65781"/>
    </row>
    <row r="65782" spans="3:13" ht="12.75" customHeight="1" x14ac:dyDescent="0.2">
      <c r="C65782"/>
      <c r="M65782"/>
    </row>
    <row r="65783" spans="3:13" ht="12.75" customHeight="1" x14ac:dyDescent="0.2">
      <c r="C65783"/>
      <c r="M65783"/>
    </row>
    <row r="65784" spans="3:13" ht="12.75" customHeight="1" x14ac:dyDescent="0.2">
      <c r="C65784"/>
      <c r="M65784"/>
    </row>
    <row r="65785" spans="3:13" ht="12.75" customHeight="1" x14ac:dyDescent="0.2">
      <c r="C65785"/>
      <c r="M65785"/>
    </row>
    <row r="65786" spans="3:13" ht="12.75" customHeight="1" x14ac:dyDescent="0.2">
      <c r="C65786"/>
      <c r="M65786"/>
    </row>
    <row r="65787" spans="3:13" ht="12.75" customHeight="1" x14ac:dyDescent="0.2">
      <c r="C65787"/>
      <c r="M65787"/>
    </row>
    <row r="65788" spans="3:13" ht="12.75" customHeight="1" x14ac:dyDescent="0.2">
      <c r="C65788"/>
      <c r="M65788"/>
    </row>
    <row r="65789" spans="3:13" ht="12.75" customHeight="1" x14ac:dyDescent="0.2">
      <c r="C65789"/>
      <c r="M65789"/>
    </row>
    <row r="65790" spans="3:13" ht="12.75" customHeight="1" x14ac:dyDescent="0.2">
      <c r="C65790"/>
      <c r="M65790"/>
    </row>
    <row r="65791" spans="3:13" ht="12.75" customHeight="1" x14ac:dyDescent="0.2">
      <c r="C65791"/>
      <c r="M65791"/>
    </row>
    <row r="65792" spans="3:13" ht="12.75" customHeight="1" x14ac:dyDescent="0.2">
      <c r="C65792"/>
      <c r="M65792"/>
    </row>
    <row r="65793" spans="3:13" ht="12.75" customHeight="1" x14ac:dyDescent="0.2">
      <c r="C65793"/>
      <c r="M65793"/>
    </row>
    <row r="65794" spans="3:13" ht="12.75" customHeight="1" x14ac:dyDescent="0.2">
      <c r="C65794"/>
      <c r="M65794"/>
    </row>
    <row r="65795" spans="3:13" ht="12.75" customHeight="1" x14ac:dyDescent="0.2">
      <c r="C65795"/>
      <c r="M65795"/>
    </row>
    <row r="65796" spans="3:13" ht="12.75" customHeight="1" x14ac:dyDescent="0.2">
      <c r="C65796"/>
      <c r="M65796"/>
    </row>
    <row r="65797" spans="3:13" ht="12.75" customHeight="1" x14ac:dyDescent="0.2">
      <c r="C65797"/>
      <c r="M65797"/>
    </row>
    <row r="65798" spans="3:13" ht="12.75" customHeight="1" x14ac:dyDescent="0.2">
      <c r="C65798"/>
      <c r="M65798"/>
    </row>
    <row r="65799" spans="3:13" ht="12.75" customHeight="1" x14ac:dyDescent="0.2">
      <c r="C65799"/>
      <c r="M65799"/>
    </row>
    <row r="65800" spans="3:13" ht="12.75" customHeight="1" x14ac:dyDescent="0.2">
      <c r="C65800"/>
      <c r="M65800"/>
    </row>
    <row r="65801" spans="3:13" ht="12.75" customHeight="1" x14ac:dyDescent="0.2">
      <c r="C65801"/>
      <c r="M65801"/>
    </row>
    <row r="65802" spans="3:13" ht="12.75" customHeight="1" x14ac:dyDescent="0.2">
      <c r="C65802"/>
      <c r="M65802"/>
    </row>
    <row r="65803" spans="3:13" ht="12.75" customHeight="1" x14ac:dyDescent="0.2">
      <c r="C65803"/>
      <c r="M65803"/>
    </row>
    <row r="65804" spans="3:13" ht="12.75" customHeight="1" x14ac:dyDescent="0.2">
      <c r="C65804"/>
      <c r="M65804"/>
    </row>
    <row r="65805" spans="3:13" ht="12.75" customHeight="1" x14ac:dyDescent="0.2">
      <c r="C65805"/>
      <c r="M65805"/>
    </row>
    <row r="65806" spans="3:13" ht="12.75" customHeight="1" x14ac:dyDescent="0.2">
      <c r="C65806"/>
      <c r="M65806"/>
    </row>
    <row r="65807" spans="3:13" ht="12.75" customHeight="1" x14ac:dyDescent="0.2">
      <c r="C65807"/>
      <c r="M65807"/>
    </row>
    <row r="65808" spans="3:13" ht="12.75" customHeight="1" x14ac:dyDescent="0.2">
      <c r="C65808"/>
      <c r="M65808"/>
    </row>
    <row r="65809" spans="3:13" ht="12.75" customHeight="1" x14ac:dyDescent="0.2">
      <c r="C65809"/>
      <c r="M65809"/>
    </row>
    <row r="65810" spans="3:13" ht="12.75" customHeight="1" x14ac:dyDescent="0.2">
      <c r="C65810"/>
      <c r="M65810"/>
    </row>
    <row r="65811" spans="3:13" ht="12.75" customHeight="1" x14ac:dyDescent="0.2">
      <c r="C65811"/>
      <c r="M65811"/>
    </row>
    <row r="65812" spans="3:13" ht="12.75" customHeight="1" x14ac:dyDescent="0.2">
      <c r="C65812"/>
      <c r="M65812"/>
    </row>
    <row r="65813" spans="3:13" ht="12.75" customHeight="1" x14ac:dyDescent="0.2">
      <c r="C65813"/>
      <c r="M65813"/>
    </row>
    <row r="65814" spans="3:13" ht="12.75" customHeight="1" x14ac:dyDescent="0.2">
      <c r="C65814"/>
      <c r="M65814"/>
    </row>
    <row r="65815" spans="3:13" ht="12.75" customHeight="1" x14ac:dyDescent="0.2">
      <c r="C65815"/>
      <c r="M65815"/>
    </row>
    <row r="65816" spans="3:13" ht="12.75" customHeight="1" x14ac:dyDescent="0.2">
      <c r="C65816"/>
      <c r="M65816"/>
    </row>
    <row r="65817" spans="3:13" ht="12.75" customHeight="1" x14ac:dyDescent="0.2">
      <c r="C65817"/>
      <c r="M65817"/>
    </row>
    <row r="65818" spans="3:13" ht="12.75" customHeight="1" x14ac:dyDescent="0.2">
      <c r="C65818"/>
      <c r="M65818"/>
    </row>
    <row r="65819" spans="3:13" ht="12.75" customHeight="1" x14ac:dyDescent="0.2">
      <c r="C65819"/>
      <c r="M65819"/>
    </row>
    <row r="65820" spans="3:13" ht="12.75" customHeight="1" x14ac:dyDescent="0.2">
      <c r="C65820"/>
      <c r="M65820"/>
    </row>
    <row r="65821" spans="3:13" ht="12.75" customHeight="1" x14ac:dyDescent="0.2">
      <c r="C65821"/>
      <c r="M65821"/>
    </row>
    <row r="65822" spans="3:13" ht="12.75" customHeight="1" x14ac:dyDescent="0.2">
      <c r="C65822"/>
      <c r="M65822"/>
    </row>
    <row r="65823" spans="3:13" ht="12.75" customHeight="1" x14ac:dyDescent="0.2">
      <c r="C65823"/>
      <c r="M65823"/>
    </row>
    <row r="65824" spans="3:13" ht="12.75" customHeight="1" x14ac:dyDescent="0.2">
      <c r="C65824"/>
      <c r="M65824"/>
    </row>
    <row r="65825" spans="3:13" ht="12.75" customHeight="1" x14ac:dyDescent="0.2">
      <c r="C65825"/>
      <c r="M65825"/>
    </row>
    <row r="65826" spans="3:13" ht="12.75" customHeight="1" x14ac:dyDescent="0.2">
      <c r="C65826"/>
      <c r="M65826"/>
    </row>
    <row r="65827" spans="3:13" ht="12.75" customHeight="1" x14ac:dyDescent="0.2">
      <c r="C65827"/>
      <c r="M65827"/>
    </row>
    <row r="65828" spans="3:13" ht="12.75" customHeight="1" x14ac:dyDescent="0.2">
      <c r="C65828"/>
      <c r="M65828"/>
    </row>
    <row r="65829" spans="3:13" ht="12.75" customHeight="1" x14ac:dyDescent="0.2">
      <c r="C65829"/>
      <c r="M65829"/>
    </row>
    <row r="65830" spans="3:13" ht="12.75" customHeight="1" x14ac:dyDescent="0.2">
      <c r="C65830"/>
      <c r="M65830"/>
    </row>
    <row r="65831" spans="3:13" ht="12.75" customHeight="1" x14ac:dyDescent="0.2">
      <c r="C65831"/>
      <c r="M65831"/>
    </row>
    <row r="65832" spans="3:13" ht="12.75" customHeight="1" x14ac:dyDescent="0.2">
      <c r="C65832"/>
      <c r="M65832"/>
    </row>
    <row r="65833" spans="3:13" ht="12.75" customHeight="1" x14ac:dyDescent="0.2">
      <c r="C65833"/>
      <c r="M65833"/>
    </row>
    <row r="65834" spans="3:13" ht="12.75" customHeight="1" x14ac:dyDescent="0.2">
      <c r="C65834"/>
      <c r="M65834"/>
    </row>
    <row r="65835" spans="3:13" ht="12.75" customHeight="1" x14ac:dyDescent="0.2">
      <c r="C65835"/>
      <c r="M65835"/>
    </row>
    <row r="65836" spans="3:13" ht="12.75" customHeight="1" x14ac:dyDescent="0.2">
      <c r="C65836"/>
      <c r="M65836"/>
    </row>
    <row r="65837" spans="3:13" ht="12.75" customHeight="1" x14ac:dyDescent="0.2">
      <c r="C65837"/>
      <c r="M65837"/>
    </row>
    <row r="65838" spans="3:13" ht="12.75" customHeight="1" x14ac:dyDescent="0.2">
      <c r="C65838"/>
      <c r="M65838"/>
    </row>
    <row r="65839" spans="3:13" ht="12.75" customHeight="1" x14ac:dyDescent="0.2">
      <c r="C65839"/>
      <c r="M65839"/>
    </row>
    <row r="65840" spans="3:13" ht="12.75" customHeight="1" x14ac:dyDescent="0.2">
      <c r="C65840"/>
      <c r="M65840"/>
    </row>
    <row r="65841" spans="3:13" ht="12.75" customHeight="1" x14ac:dyDescent="0.2">
      <c r="C65841"/>
      <c r="M65841"/>
    </row>
    <row r="65842" spans="3:13" ht="12.75" customHeight="1" x14ac:dyDescent="0.2">
      <c r="C65842"/>
      <c r="M65842"/>
    </row>
    <row r="65843" spans="3:13" ht="12.75" customHeight="1" x14ac:dyDescent="0.2">
      <c r="C65843"/>
      <c r="M65843"/>
    </row>
    <row r="65844" spans="3:13" ht="12.75" customHeight="1" x14ac:dyDescent="0.2">
      <c r="C65844"/>
      <c r="M65844"/>
    </row>
    <row r="65845" spans="3:13" ht="12.75" customHeight="1" x14ac:dyDescent="0.2">
      <c r="C65845"/>
      <c r="M65845"/>
    </row>
    <row r="65846" spans="3:13" ht="12.75" customHeight="1" x14ac:dyDescent="0.2">
      <c r="C65846"/>
      <c r="M65846"/>
    </row>
    <row r="65847" spans="3:13" ht="12.75" customHeight="1" x14ac:dyDescent="0.2">
      <c r="C65847"/>
      <c r="M65847"/>
    </row>
    <row r="65848" spans="3:13" ht="12.75" customHeight="1" x14ac:dyDescent="0.2">
      <c r="C65848"/>
      <c r="M65848"/>
    </row>
    <row r="65849" spans="3:13" ht="12.75" customHeight="1" x14ac:dyDescent="0.2">
      <c r="C65849"/>
      <c r="M65849"/>
    </row>
    <row r="65850" spans="3:13" ht="12.75" customHeight="1" x14ac:dyDescent="0.2">
      <c r="C65850"/>
      <c r="M65850"/>
    </row>
    <row r="65851" spans="3:13" ht="12.75" customHeight="1" x14ac:dyDescent="0.2">
      <c r="C65851"/>
      <c r="M65851"/>
    </row>
    <row r="65852" spans="3:13" ht="12.75" customHeight="1" x14ac:dyDescent="0.2">
      <c r="C65852"/>
      <c r="M65852"/>
    </row>
    <row r="65853" spans="3:13" ht="12.75" customHeight="1" x14ac:dyDescent="0.2">
      <c r="C65853"/>
      <c r="M65853"/>
    </row>
    <row r="65854" spans="3:13" ht="12.75" customHeight="1" x14ac:dyDescent="0.2">
      <c r="C65854"/>
      <c r="M65854"/>
    </row>
    <row r="65855" spans="3:13" ht="12.75" customHeight="1" x14ac:dyDescent="0.2">
      <c r="C65855"/>
      <c r="M65855"/>
    </row>
    <row r="65856" spans="3:13" ht="12.75" customHeight="1" x14ac:dyDescent="0.2">
      <c r="C65856"/>
      <c r="M65856"/>
    </row>
    <row r="65857" spans="3:13" ht="12.75" customHeight="1" x14ac:dyDescent="0.2">
      <c r="C65857"/>
      <c r="M65857"/>
    </row>
    <row r="65858" spans="3:13" ht="12.75" customHeight="1" x14ac:dyDescent="0.2">
      <c r="C65858"/>
      <c r="M65858"/>
    </row>
    <row r="65859" spans="3:13" ht="12.75" customHeight="1" x14ac:dyDescent="0.2">
      <c r="C65859"/>
      <c r="M65859"/>
    </row>
    <row r="65860" spans="3:13" ht="12.75" customHeight="1" x14ac:dyDescent="0.2">
      <c r="C65860"/>
      <c r="M65860"/>
    </row>
    <row r="65861" spans="3:13" ht="12.75" customHeight="1" x14ac:dyDescent="0.2">
      <c r="C65861"/>
      <c r="M65861"/>
    </row>
    <row r="65862" spans="3:13" ht="12.75" customHeight="1" x14ac:dyDescent="0.2">
      <c r="C65862"/>
      <c r="M65862"/>
    </row>
    <row r="65863" spans="3:13" ht="12.75" customHeight="1" x14ac:dyDescent="0.2">
      <c r="C65863"/>
      <c r="M65863"/>
    </row>
    <row r="65864" spans="3:13" ht="12.75" customHeight="1" x14ac:dyDescent="0.2">
      <c r="C65864"/>
      <c r="M65864"/>
    </row>
    <row r="65865" spans="3:13" ht="12.75" customHeight="1" x14ac:dyDescent="0.2">
      <c r="C65865"/>
      <c r="M65865"/>
    </row>
    <row r="65866" spans="3:13" ht="12.75" customHeight="1" x14ac:dyDescent="0.2">
      <c r="C65866"/>
      <c r="M65866"/>
    </row>
    <row r="65867" spans="3:13" ht="12.75" customHeight="1" x14ac:dyDescent="0.2">
      <c r="C65867"/>
      <c r="M65867"/>
    </row>
    <row r="65868" spans="3:13" ht="12.75" customHeight="1" x14ac:dyDescent="0.2">
      <c r="C65868"/>
      <c r="M65868"/>
    </row>
    <row r="65869" spans="3:13" ht="12.75" customHeight="1" x14ac:dyDescent="0.2">
      <c r="C65869"/>
      <c r="M65869"/>
    </row>
    <row r="65870" spans="3:13" ht="12.75" customHeight="1" x14ac:dyDescent="0.2">
      <c r="C65870"/>
      <c r="M65870"/>
    </row>
    <row r="65871" spans="3:13" ht="12.75" customHeight="1" x14ac:dyDescent="0.2">
      <c r="C65871"/>
      <c r="M65871"/>
    </row>
    <row r="65872" spans="3:13" ht="12.75" customHeight="1" x14ac:dyDescent="0.2">
      <c r="C65872"/>
      <c r="M65872"/>
    </row>
    <row r="65873" spans="3:13" ht="12.75" customHeight="1" x14ac:dyDescent="0.2">
      <c r="C65873"/>
      <c r="M65873"/>
    </row>
    <row r="65874" spans="3:13" ht="12.75" customHeight="1" x14ac:dyDescent="0.2">
      <c r="C65874"/>
      <c r="M65874"/>
    </row>
    <row r="65875" spans="3:13" ht="12.75" customHeight="1" x14ac:dyDescent="0.2">
      <c r="C65875"/>
      <c r="M65875"/>
    </row>
    <row r="65876" spans="3:13" ht="12.75" customHeight="1" x14ac:dyDescent="0.2">
      <c r="C65876"/>
      <c r="M65876"/>
    </row>
    <row r="65877" spans="3:13" ht="12.75" customHeight="1" x14ac:dyDescent="0.2">
      <c r="C65877"/>
      <c r="M65877"/>
    </row>
    <row r="65878" spans="3:13" ht="12.75" customHeight="1" x14ac:dyDescent="0.2">
      <c r="C65878"/>
      <c r="M65878"/>
    </row>
    <row r="65879" spans="3:13" ht="12.75" customHeight="1" x14ac:dyDescent="0.2">
      <c r="C65879"/>
      <c r="M65879"/>
    </row>
    <row r="65880" spans="3:13" ht="12.75" customHeight="1" x14ac:dyDescent="0.2">
      <c r="C65880"/>
      <c r="M65880"/>
    </row>
    <row r="65881" spans="3:13" ht="12.75" customHeight="1" x14ac:dyDescent="0.2">
      <c r="C65881"/>
      <c r="M65881"/>
    </row>
    <row r="65882" spans="3:13" ht="12.75" customHeight="1" x14ac:dyDescent="0.2">
      <c r="C65882"/>
      <c r="M65882"/>
    </row>
    <row r="65883" spans="3:13" ht="12.75" customHeight="1" x14ac:dyDescent="0.2">
      <c r="C65883"/>
      <c r="M65883"/>
    </row>
    <row r="65884" spans="3:13" ht="12.75" customHeight="1" x14ac:dyDescent="0.2">
      <c r="C65884"/>
      <c r="M65884"/>
    </row>
    <row r="65885" spans="3:13" ht="12.75" customHeight="1" x14ac:dyDescent="0.2">
      <c r="C65885"/>
      <c r="M65885"/>
    </row>
    <row r="65886" spans="3:13" ht="12.75" customHeight="1" x14ac:dyDescent="0.2">
      <c r="C65886"/>
      <c r="M65886"/>
    </row>
    <row r="65887" spans="3:13" ht="12.75" customHeight="1" x14ac:dyDescent="0.2">
      <c r="C65887"/>
      <c r="M65887"/>
    </row>
    <row r="65888" spans="3:13" ht="12.75" customHeight="1" x14ac:dyDescent="0.2">
      <c r="C65888"/>
      <c r="M65888"/>
    </row>
    <row r="65889" spans="3:13" ht="12.75" customHeight="1" x14ac:dyDescent="0.2">
      <c r="C65889"/>
      <c r="M65889"/>
    </row>
    <row r="65890" spans="3:13" ht="12.75" customHeight="1" x14ac:dyDescent="0.2">
      <c r="C65890"/>
      <c r="M65890"/>
    </row>
    <row r="65891" spans="3:13" ht="12.75" customHeight="1" x14ac:dyDescent="0.2">
      <c r="C65891"/>
      <c r="M65891"/>
    </row>
    <row r="65892" spans="3:13" ht="12.75" customHeight="1" x14ac:dyDescent="0.2">
      <c r="C65892"/>
      <c r="M65892"/>
    </row>
    <row r="65893" spans="3:13" ht="12.75" customHeight="1" x14ac:dyDescent="0.2">
      <c r="C65893"/>
      <c r="M65893"/>
    </row>
    <row r="65894" spans="3:13" ht="12.75" customHeight="1" x14ac:dyDescent="0.2">
      <c r="C65894"/>
      <c r="M65894"/>
    </row>
    <row r="65895" spans="3:13" ht="12.75" customHeight="1" x14ac:dyDescent="0.2">
      <c r="C65895"/>
      <c r="M65895"/>
    </row>
    <row r="65896" spans="3:13" ht="12.75" customHeight="1" x14ac:dyDescent="0.2">
      <c r="C65896"/>
      <c r="M65896"/>
    </row>
    <row r="65897" spans="3:13" ht="12.75" customHeight="1" x14ac:dyDescent="0.2">
      <c r="C65897"/>
      <c r="M65897"/>
    </row>
    <row r="65898" spans="3:13" ht="12.75" customHeight="1" x14ac:dyDescent="0.2">
      <c r="C65898"/>
      <c r="M65898"/>
    </row>
    <row r="65899" spans="3:13" ht="12.75" customHeight="1" x14ac:dyDescent="0.2">
      <c r="C65899"/>
      <c r="M65899"/>
    </row>
    <row r="65900" spans="3:13" ht="12.75" customHeight="1" x14ac:dyDescent="0.2">
      <c r="C65900"/>
      <c r="M65900"/>
    </row>
    <row r="65901" spans="3:13" ht="12.75" customHeight="1" x14ac:dyDescent="0.2">
      <c r="C65901"/>
      <c r="M65901"/>
    </row>
    <row r="65902" spans="3:13" ht="12.75" customHeight="1" x14ac:dyDescent="0.2">
      <c r="C65902"/>
      <c r="M65902"/>
    </row>
    <row r="65903" spans="3:13" ht="12.75" customHeight="1" x14ac:dyDescent="0.2">
      <c r="C65903"/>
      <c r="M65903"/>
    </row>
    <row r="65904" spans="3:13" ht="12.75" customHeight="1" x14ac:dyDescent="0.2">
      <c r="C65904"/>
      <c r="M65904"/>
    </row>
    <row r="65905" spans="3:13" ht="12.75" customHeight="1" x14ac:dyDescent="0.2">
      <c r="C65905"/>
      <c r="M65905"/>
    </row>
    <row r="65906" spans="3:13" ht="12.75" customHeight="1" x14ac:dyDescent="0.2">
      <c r="C65906"/>
      <c r="M65906"/>
    </row>
    <row r="65907" spans="3:13" ht="12.75" customHeight="1" x14ac:dyDescent="0.2">
      <c r="C65907"/>
      <c r="M65907"/>
    </row>
    <row r="65908" spans="3:13" ht="12.75" customHeight="1" x14ac:dyDescent="0.2">
      <c r="C65908"/>
      <c r="M65908"/>
    </row>
    <row r="65909" spans="3:13" ht="12.75" customHeight="1" x14ac:dyDescent="0.2">
      <c r="C65909"/>
      <c r="M65909"/>
    </row>
    <row r="65910" spans="3:13" ht="12.75" customHeight="1" x14ac:dyDescent="0.2">
      <c r="C65910"/>
      <c r="M65910"/>
    </row>
    <row r="65911" spans="3:13" ht="12.75" customHeight="1" x14ac:dyDescent="0.2">
      <c r="C65911"/>
      <c r="M65911"/>
    </row>
    <row r="65912" spans="3:13" ht="12.75" customHeight="1" x14ac:dyDescent="0.2">
      <c r="C65912"/>
      <c r="M65912"/>
    </row>
    <row r="65913" spans="3:13" ht="12.75" customHeight="1" x14ac:dyDescent="0.2">
      <c r="C65913"/>
      <c r="M65913"/>
    </row>
    <row r="65914" spans="3:13" ht="12.75" customHeight="1" x14ac:dyDescent="0.2">
      <c r="C65914"/>
      <c r="M65914"/>
    </row>
    <row r="65915" spans="3:13" ht="12.75" customHeight="1" x14ac:dyDescent="0.2">
      <c r="C65915"/>
      <c r="M65915"/>
    </row>
    <row r="65916" spans="3:13" ht="12.75" customHeight="1" x14ac:dyDescent="0.2">
      <c r="C65916"/>
      <c r="M65916"/>
    </row>
    <row r="65917" spans="3:13" ht="12.75" customHeight="1" x14ac:dyDescent="0.2">
      <c r="C65917"/>
      <c r="M65917"/>
    </row>
    <row r="65918" spans="3:13" ht="12.75" customHeight="1" x14ac:dyDescent="0.2">
      <c r="C65918"/>
      <c r="M65918"/>
    </row>
    <row r="65919" spans="3:13" ht="12.75" customHeight="1" x14ac:dyDescent="0.2">
      <c r="C65919"/>
      <c r="M65919"/>
    </row>
    <row r="65920" spans="3:13" ht="12.75" customHeight="1" x14ac:dyDescent="0.2">
      <c r="C65920"/>
      <c r="M65920"/>
    </row>
    <row r="65921" spans="3:13" ht="12.75" customHeight="1" x14ac:dyDescent="0.2">
      <c r="C65921"/>
      <c r="M65921"/>
    </row>
    <row r="65922" spans="3:13" ht="12.75" customHeight="1" x14ac:dyDescent="0.2">
      <c r="C65922"/>
      <c r="M65922"/>
    </row>
    <row r="65923" spans="3:13" ht="12.75" customHeight="1" x14ac:dyDescent="0.2">
      <c r="C65923"/>
      <c r="M65923"/>
    </row>
    <row r="65924" spans="3:13" ht="12.75" customHeight="1" x14ac:dyDescent="0.2">
      <c r="C65924"/>
      <c r="M65924"/>
    </row>
    <row r="65925" spans="3:13" ht="12.75" customHeight="1" x14ac:dyDescent="0.2">
      <c r="C65925"/>
      <c r="M65925"/>
    </row>
    <row r="65926" spans="3:13" ht="12.75" customHeight="1" x14ac:dyDescent="0.2">
      <c r="C65926"/>
      <c r="M65926"/>
    </row>
    <row r="65927" spans="3:13" ht="12.75" customHeight="1" x14ac:dyDescent="0.2">
      <c r="C65927"/>
      <c r="M65927"/>
    </row>
    <row r="65928" spans="3:13" ht="12.75" customHeight="1" x14ac:dyDescent="0.2">
      <c r="C65928"/>
      <c r="M65928"/>
    </row>
    <row r="65929" spans="3:13" ht="12.75" customHeight="1" x14ac:dyDescent="0.2">
      <c r="C65929"/>
      <c r="M65929"/>
    </row>
    <row r="65930" spans="3:13" ht="12.75" customHeight="1" x14ac:dyDescent="0.2">
      <c r="C65930"/>
      <c r="M65930"/>
    </row>
    <row r="65931" spans="3:13" ht="12.75" customHeight="1" x14ac:dyDescent="0.2">
      <c r="C65931"/>
      <c r="M65931"/>
    </row>
    <row r="65932" spans="3:13" ht="12.75" customHeight="1" x14ac:dyDescent="0.2">
      <c r="C65932"/>
      <c r="M65932"/>
    </row>
    <row r="65933" spans="3:13" ht="12.75" customHeight="1" x14ac:dyDescent="0.2">
      <c r="C65933"/>
      <c r="M65933"/>
    </row>
    <row r="65934" spans="3:13" ht="12.75" customHeight="1" x14ac:dyDescent="0.2">
      <c r="C65934"/>
      <c r="M65934"/>
    </row>
    <row r="65935" spans="3:13" ht="12.75" customHeight="1" x14ac:dyDescent="0.2">
      <c r="C65935"/>
      <c r="M65935"/>
    </row>
    <row r="65936" spans="3:13" ht="12.75" customHeight="1" x14ac:dyDescent="0.2">
      <c r="C65936"/>
      <c r="M65936"/>
    </row>
    <row r="65937" spans="3:13" ht="12.75" customHeight="1" x14ac:dyDescent="0.2">
      <c r="C65937"/>
      <c r="M65937"/>
    </row>
    <row r="65938" spans="3:13" ht="12.75" customHeight="1" x14ac:dyDescent="0.2">
      <c r="C65938"/>
      <c r="M65938"/>
    </row>
    <row r="65939" spans="3:13" ht="12.75" customHeight="1" x14ac:dyDescent="0.2">
      <c r="C65939"/>
      <c r="M65939"/>
    </row>
    <row r="65940" spans="3:13" ht="12.75" customHeight="1" x14ac:dyDescent="0.2">
      <c r="C65940"/>
      <c r="M65940"/>
    </row>
    <row r="65941" spans="3:13" ht="12.75" customHeight="1" x14ac:dyDescent="0.2">
      <c r="C65941"/>
      <c r="M65941"/>
    </row>
    <row r="65942" spans="3:13" ht="12.75" customHeight="1" x14ac:dyDescent="0.2">
      <c r="C65942"/>
      <c r="M65942"/>
    </row>
    <row r="65943" spans="3:13" ht="12.75" customHeight="1" x14ac:dyDescent="0.2">
      <c r="C65943"/>
      <c r="M65943"/>
    </row>
    <row r="65944" spans="3:13" ht="12.75" customHeight="1" x14ac:dyDescent="0.2">
      <c r="C65944"/>
      <c r="M65944"/>
    </row>
    <row r="65945" spans="3:13" ht="12.75" customHeight="1" x14ac:dyDescent="0.2">
      <c r="C65945"/>
      <c r="M65945"/>
    </row>
    <row r="65946" spans="3:13" ht="12.75" customHeight="1" x14ac:dyDescent="0.2">
      <c r="C65946"/>
      <c r="M65946"/>
    </row>
    <row r="65947" spans="3:13" ht="12.75" customHeight="1" x14ac:dyDescent="0.2">
      <c r="C65947"/>
      <c r="M65947"/>
    </row>
    <row r="65948" spans="3:13" ht="12.75" customHeight="1" x14ac:dyDescent="0.2">
      <c r="C65948"/>
      <c r="M65948"/>
    </row>
    <row r="65949" spans="3:13" ht="12.75" customHeight="1" x14ac:dyDescent="0.2">
      <c r="C65949"/>
      <c r="M65949"/>
    </row>
    <row r="65950" spans="3:13" ht="12.75" customHeight="1" x14ac:dyDescent="0.2">
      <c r="C65950"/>
      <c r="M65950"/>
    </row>
    <row r="65951" spans="3:13" ht="12.75" customHeight="1" x14ac:dyDescent="0.2">
      <c r="C65951"/>
      <c r="M65951"/>
    </row>
    <row r="65952" spans="3:13" ht="12.75" customHeight="1" x14ac:dyDescent="0.2">
      <c r="C65952"/>
      <c r="M65952"/>
    </row>
    <row r="65953" spans="3:13" ht="12.75" customHeight="1" x14ac:dyDescent="0.2">
      <c r="C65953"/>
      <c r="M65953"/>
    </row>
    <row r="65954" spans="3:13" ht="12.75" customHeight="1" x14ac:dyDescent="0.2">
      <c r="C65954"/>
      <c r="M65954"/>
    </row>
    <row r="65955" spans="3:13" ht="12.75" customHeight="1" x14ac:dyDescent="0.2">
      <c r="C65955"/>
      <c r="M65955"/>
    </row>
    <row r="65956" spans="3:13" ht="12.75" customHeight="1" x14ac:dyDescent="0.2">
      <c r="C65956"/>
      <c r="M65956"/>
    </row>
    <row r="65957" spans="3:13" ht="12.75" customHeight="1" x14ac:dyDescent="0.2">
      <c r="C65957"/>
      <c r="M65957"/>
    </row>
    <row r="65958" spans="3:13" ht="12.75" customHeight="1" x14ac:dyDescent="0.2">
      <c r="C65958"/>
      <c r="M65958"/>
    </row>
    <row r="65959" spans="3:13" ht="12.75" customHeight="1" x14ac:dyDescent="0.2">
      <c r="C65959"/>
      <c r="M65959"/>
    </row>
    <row r="65960" spans="3:13" ht="12.75" customHeight="1" x14ac:dyDescent="0.2">
      <c r="C65960"/>
      <c r="M65960"/>
    </row>
    <row r="65961" spans="3:13" ht="12.75" customHeight="1" x14ac:dyDescent="0.2">
      <c r="C65961"/>
      <c r="M65961"/>
    </row>
    <row r="65962" spans="3:13" ht="12.75" customHeight="1" x14ac:dyDescent="0.2">
      <c r="C65962"/>
      <c r="M65962"/>
    </row>
    <row r="65963" spans="3:13" ht="12.75" customHeight="1" x14ac:dyDescent="0.2">
      <c r="C65963"/>
      <c r="M65963"/>
    </row>
    <row r="65964" spans="3:13" ht="12.75" customHeight="1" x14ac:dyDescent="0.2">
      <c r="C65964"/>
      <c r="M65964"/>
    </row>
    <row r="65965" spans="3:13" ht="12.75" customHeight="1" x14ac:dyDescent="0.2">
      <c r="C65965"/>
      <c r="M65965"/>
    </row>
    <row r="65966" spans="3:13" ht="12.75" customHeight="1" x14ac:dyDescent="0.2">
      <c r="C65966"/>
      <c r="M65966"/>
    </row>
    <row r="65967" spans="3:13" ht="12.75" customHeight="1" x14ac:dyDescent="0.2">
      <c r="C65967"/>
      <c r="M65967"/>
    </row>
    <row r="65968" spans="3:13" ht="12.75" customHeight="1" x14ac:dyDescent="0.2">
      <c r="C65968"/>
      <c r="M65968"/>
    </row>
    <row r="65969" spans="3:13" ht="12.75" customHeight="1" x14ac:dyDescent="0.2">
      <c r="C65969"/>
      <c r="M65969"/>
    </row>
    <row r="65970" spans="3:13" ht="12.75" customHeight="1" x14ac:dyDescent="0.2">
      <c r="C65970"/>
      <c r="M65970"/>
    </row>
    <row r="65971" spans="3:13" ht="12.75" customHeight="1" x14ac:dyDescent="0.2">
      <c r="C65971"/>
      <c r="M65971"/>
    </row>
    <row r="65972" spans="3:13" ht="12.75" customHeight="1" x14ac:dyDescent="0.2">
      <c r="C65972"/>
      <c r="M65972"/>
    </row>
    <row r="65973" spans="3:13" ht="12.75" customHeight="1" x14ac:dyDescent="0.2">
      <c r="C65973"/>
      <c r="M65973"/>
    </row>
    <row r="65974" spans="3:13" ht="12.75" customHeight="1" x14ac:dyDescent="0.2">
      <c r="C65974"/>
      <c r="M65974"/>
    </row>
    <row r="65975" spans="3:13" ht="12.75" customHeight="1" x14ac:dyDescent="0.2">
      <c r="C65975"/>
      <c r="M65975"/>
    </row>
    <row r="65976" spans="3:13" ht="12.75" customHeight="1" x14ac:dyDescent="0.2">
      <c r="C65976"/>
      <c r="M65976"/>
    </row>
    <row r="65977" spans="3:13" ht="12.75" customHeight="1" x14ac:dyDescent="0.2">
      <c r="C65977"/>
      <c r="M65977"/>
    </row>
    <row r="65978" spans="3:13" ht="12.75" customHeight="1" x14ac:dyDescent="0.2">
      <c r="C65978"/>
      <c r="M65978"/>
    </row>
    <row r="65979" spans="3:13" ht="12.75" customHeight="1" x14ac:dyDescent="0.2">
      <c r="C65979"/>
      <c r="M65979"/>
    </row>
    <row r="65980" spans="3:13" ht="12.75" customHeight="1" x14ac:dyDescent="0.2">
      <c r="C65980"/>
      <c r="M65980"/>
    </row>
    <row r="65981" spans="3:13" ht="12.75" customHeight="1" x14ac:dyDescent="0.2">
      <c r="C65981"/>
      <c r="M65981"/>
    </row>
    <row r="65982" spans="3:13" ht="12.75" customHeight="1" x14ac:dyDescent="0.2">
      <c r="C65982"/>
      <c r="M65982"/>
    </row>
    <row r="65983" spans="3:13" ht="12.75" customHeight="1" x14ac:dyDescent="0.2">
      <c r="C65983"/>
      <c r="M65983"/>
    </row>
    <row r="65984" spans="3:13" ht="12.75" customHeight="1" x14ac:dyDescent="0.2">
      <c r="C65984"/>
      <c r="M65984"/>
    </row>
    <row r="65985" spans="3:13" ht="12.75" customHeight="1" x14ac:dyDescent="0.2">
      <c r="C65985"/>
      <c r="M65985"/>
    </row>
    <row r="65986" spans="3:13" ht="12.75" customHeight="1" x14ac:dyDescent="0.2">
      <c r="C65986"/>
      <c r="M65986"/>
    </row>
    <row r="65987" spans="3:13" ht="12.75" customHeight="1" x14ac:dyDescent="0.2">
      <c r="C65987"/>
      <c r="M65987"/>
    </row>
    <row r="65988" spans="3:13" ht="12.75" customHeight="1" x14ac:dyDescent="0.2">
      <c r="C65988"/>
      <c r="M65988"/>
    </row>
    <row r="65989" spans="3:13" ht="12.75" customHeight="1" x14ac:dyDescent="0.2">
      <c r="C65989"/>
      <c r="M65989"/>
    </row>
    <row r="65990" spans="3:13" ht="12.75" customHeight="1" x14ac:dyDescent="0.2">
      <c r="C65990"/>
      <c r="M65990"/>
    </row>
    <row r="65991" spans="3:13" ht="12.75" customHeight="1" x14ac:dyDescent="0.2">
      <c r="C65991"/>
      <c r="M65991"/>
    </row>
    <row r="65992" spans="3:13" ht="12.75" customHeight="1" x14ac:dyDescent="0.2">
      <c r="C65992"/>
      <c r="M65992"/>
    </row>
    <row r="65993" spans="3:13" ht="12.75" customHeight="1" x14ac:dyDescent="0.2">
      <c r="C65993"/>
      <c r="M65993"/>
    </row>
    <row r="65994" spans="3:13" ht="12.75" customHeight="1" x14ac:dyDescent="0.2">
      <c r="C65994"/>
      <c r="M65994"/>
    </row>
    <row r="65995" spans="3:13" ht="12.75" customHeight="1" x14ac:dyDescent="0.2">
      <c r="C65995"/>
      <c r="M65995"/>
    </row>
    <row r="65996" spans="3:13" ht="12.75" customHeight="1" x14ac:dyDescent="0.2">
      <c r="C65996"/>
      <c r="M65996"/>
    </row>
    <row r="65997" spans="3:13" ht="12.75" customHeight="1" x14ac:dyDescent="0.2">
      <c r="C65997"/>
      <c r="M65997"/>
    </row>
    <row r="65998" spans="3:13" ht="12.75" customHeight="1" x14ac:dyDescent="0.2">
      <c r="C65998"/>
      <c r="M65998"/>
    </row>
    <row r="65999" spans="3:13" ht="12.75" customHeight="1" x14ac:dyDescent="0.2">
      <c r="C65999"/>
      <c r="M65999"/>
    </row>
    <row r="66000" spans="3:13" ht="12.75" customHeight="1" x14ac:dyDescent="0.2">
      <c r="C66000"/>
      <c r="M66000"/>
    </row>
    <row r="66001" spans="3:13" ht="12.75" customHeight="1" x14ac:dyDescent="0.2">
      <c r="C66001"/>
      <c r="M66001"/>
    </row>
    <row r="66002" spans="3:13" ht="12.75" customHeight="1" x14ac:dyDescent="0.2">
      <c r="C66002"/>
      <c r="M66002"/>
    </row>
    <row r="66003" spans="3:13" ht="12.75" customHeight="1" x14ac:dyDescent="0.2">
      <c r="C66003"/>
      <c r="M66003"/>
    </row>
    <row r="66004" spans="3:13" ht="12.75" customHeight="1" x14ac:dyDescent="0.2">
      <c r="C66004"/>
      <c r="M66004"/>
    </row>
    <row r="66005" spans="3:13" ht="12.75" customHeight="1" x14ac:dyDescent="0.2">
      <c r="C66005"/>
      <c r="M66005"/>
    </row>
    <row r="66006" spans="3:13" ht="12.75" customHeight="1" x14ac:dyDescent="0.2">
      <c r="C66006"/>
      <c r="M66006"/>
    </row>
    <row r="66007" spans="3:13" ht="12.75" customHeight="1" x14ac:dyDescent="0.2">
      <c r="C66007"/>
      <c r="M66007"/>
    </row>
    <row r="66008" spans="3:13" ht="12.75" customHeight="1" x14ac:dyDescent="0.2">
      <c r="C66008"/>
      <c r="M66008"/>
    </row>
    <row r="66009" spans="3:13" ht="12.75" customHeight="1" x14ac:dyDescent="0.2">
      <c r="C66009"/>
      <c r="M66009"/>
    </row>
    <row r="66010" spans="3:13" ht="12.75" customHeight="1" x14ac:dyDescent="0.2">
      <c r="C66010"/>
      <c r="M66010"/>
    </row>
    <row r="66011" spans="3:13" ht="12.75" customHeight="1" x14ac:dyDescent="0.2">
      <c r="C66011"/>
      <c r="M66011"/>
    </row>
    <row r="66012" spans="3:13" ht="12.75" customHeight="1" x14ac:dyDescent="0.2">
      <c r="C66012"/>
      <c r="M66012"/>
    </row>
    <row r="66013" spans="3:13" ht="12.75" customHeight="1" x14ac:dyDescent="0.2">
      <c r="C66013"/>
      <c r="M66013"/>
    </row>
    <row r="66014" spans="3:13" ht="12.75" customHeight="1" x14ac:dyDescent="0.2">
      <c r="C66014"/>
      <c r="M66014"/>
    </row>
    <row r="66015" spans="3:13" ht="12.75" customHeight="1" x14ac:dyDescent="0.2">
      <c r="C66015"/>
      <c r="M66015"/>
    </row>
  </sheetData>
  <sheetProtection algorithmName="SHA-512" hashValue="xGEkv7+wNAQJ/DI3POcOmyhN5A5LxjAmLs3J5RCXzAZrwLWiV9ofnc+rZFG1BeL7chu2IEyFnmCkjOyVcONKCg==" saltValue="ku8VlnA+Poyh4a64x17SSg==" spinCount="100000" sheet="1" objects="1" scenarios="1" autoFilter="0"/>
  <autoFilter ref="C15:C747"/>
  <mergeCells count="15">
    <mergeCell ref="F1:H1"/>
    <mergeCell ref="Q1:R1"/>
    <mergeCell ref="Y1:Z1"/>
    <mergeCell ref="F2:H2"/>
    <mergeCell ref="Q2:R2"/>
    <mergeCell ref="Y2:Z2"/>
    <mergeCell ref="E15:H15"/>
    <mergeCell ref="E4:F4"/>
    <mergeCell ref="G4:H4"/>
    <mergeCell ref="S4:T4"/>
    <mergeCell ref="U4:Z4"/>
    <mergeCell ref="E5:F5"/>
    <mergeCell ref="G5:H5"/>
    <mergeCell ref="S5:T5"/>
    <mergeCell ref="U5:Z5"/>
  </mergeCells>
  <phoneticPr fontId="40" type="noConversion"/>
  <conditionalFormatting sqref="D14:I14 D77:I82 D105:I121 D176:I190 D315:I322 D418:I427 D478:I483 D495:I500 D533:I540 D573:I586 D590:I593 D603:I619 D639:I681 D690:I696 D708:I718 D720:I728 D743:I746 D367:I379 D266:I269">
    <cfRule type="expression" dxfId="1132" priority="6236" stopIfTrue="1">
      <formula>$B14=1</formula>
    </cfRule>
    <cfRule type="expression" dxfId="1131" priority="6237" stopIfTrue="1">
      <formula>OR($B14=0,$B14=2,$B14=3,$B14=4)</formula>
    </cfRule>
  </conditionalFormatting>
  <conditionalFormatting sqref="M12:N15 M77:N82 M105:N121 M176:N190 M315:N322 M418:N427 M478:N483 M495:N500 M533:N540 M573:N586 M590:N593 M603:N619 M639:N681 M690:N696 M708:N718 M720:N728 M743:N747 M367:N379 M266:N269">
    <cfRule type="expression" dxfId="1130" priority="6238" stopIfTrue="1">
      <formula>ACOMPANHAMENTO="BM"</formula>
    </cfRule>
    <cfRule type="expression" dxfId="1129" priority="6239" stopIfTrue="1">
      <formula>OR($B12=0,$B12=2,$B12=3,$B12=4)</formula>
    </cfRule>
    <cfRule type="expression" dxfId="1128" priority="6240" stopIfTrue="1">
      <formula>$B12=1</formula>
    </cfRule>
  </conditionalFormatting>
  <conditionalFormatting sqref="K12:K15 K77:K747">
    <cfRule type="expression" dxfId="1127" priority="6241" stopIfTrue="1">
      <formula>OR(ACOMPANHAMENTO="BM",$A$12&lt;&gt;"Manual")</formula>
    </cfRule>
    <cfRule type="expression" dxfId="1126" priority="6242" stopIfTrue="1">
      <formula>$B12=1</formula>
    </cfRule>
    <cfRule type="expression" dxfId="1125" priority="6243" stopIfTrue="1">
      <formula>OR($B12=2,$B12=3,$B12=4,$B12=0)</formula>
    </cfRule>
  </conditionalFormatting>
  <conditionalFormatting sqref="O12:AA15 O77:AA747">
    <cfRule type="expression" dxfId="1124" priority="6244" stopIfTrue="1">
      <formula>ACOMPANHAMENTO="BM"</formula>
    </cfRule>
    <cfRule type="expression" dxfId="1123" priority="6245" stopIfTrue="1">
      <formula>AND(O$12&lt;&gt;".",OR($B12=0,$B12=2,$B12=3,$B12=4,AND(O$12="",$B12&lt;&gt;"Empty"),OFFSET(O$12,0,-1)=""))</formula>
    </cfRule>
    <cfRule type="expression" dxfId="1122" priority="6246" stopIfTrue="1">
      <formula>AND($B12=1,O$12&lt;&gt;".")</formula>
    </cfRule>
  </conditionalFormatting>
  <conditionalFormatting sqref="D16:I24">
    <cfRule type="expression" dxfId="1121" priority="1220" stopIfTrue="1">
      <formula>$B16=1</formula>
    </cfRule>
    <cfRule type="expression" dxfId="1120" priority="1221" stopIfTrue="1">
      <formula>OR($B16=0,$B16=2,$B16=3,$B16=4)</formula>
    </cfRule>
  </conditionalFormatting>
  <conditionalFormatting sqref="M16:N24">
    <cfRule type="expression" dxfId="1119" priority="1222" stopIfTrue="1">
      <formula>ACOMPANHAMENTO="BM"</formula>
    </cfRule>
    <cfRule type="expression" dxfId="1118" priority="1223" stopIfTrue="1">
      <formula>OR($B16=0,$B16=2,$B16=3,$B16=4)</formula>
    </cfRule>
    <cfRule type="expression" dxfId="1117" priority="1224" stopIfTrue="1">
      <formula>$B16=1</formula>
    </cfRule>
  </conditionalFormatting>
  <conditionalFormatting sqref="K16:K24">
    <cfRule type="expression" dxfId="1116" priority="1225" stopIfTrue="1">
      <formula>OR(ACOMPANHAMENTO="BM",$A$12&lt;&gt;"Manual")</formula>
    </cfRule>
    <cfRule type="expression" dxfId="1115" priority="1226" stopIfTrue="1">
      <formula>$B16=1</formula>
    </cfRule>
    <cfRule type="expression" dxfId="1114" priority="1227" stopIfTrue="1">
      <formula>OR($B16=2,$B16=3,$B16=4,$B16=0)</formula>
    </cfRule>
  </conditionalFormatting>
  <conditionalFormatting sqref="O16:AA24">
    <cfRule type="expression" dxfId="1113" priority="1228" stopIfTrue="1">
      <formula>ACOMPANHAMENTO="BM"</formula>
    </cfRule>
    <cfRule type="expression" dxfId="1112" priority="1229" stopIfTrue="1">
      <formula>AND(O$12&lt;&gt;".",OR($B16=0,$B16=2,$B16=3,$B16=4,AND(O$12="",$B16&lt;&gt;"Empty"),OFFSET(O$12,0,-1)=""))</formula>
    </cfRule>
    <cfRule type="expression" dxfId="1111" priority="1230" stopIfTrue="1">
      <formula>AND($B16=1,O$12&lt;&gt;".")</formula>
    </cfRule>
  </conditionalFormatting>
  <conditionalFormatting sqref="D25:I33">
    <cfRule type="expression" dxfId="1110" priority="1209" stopIfTrue="1">
      <formula>$B25=1</formula>
    </cfRule>
    <cfRule type="expression" dxfId="1109" priority="1210" stopIfTrue="1">
      <formula>OR($B25=0,$B25=2,$B25=3,$B25=4)</formula>
    </cfRule>
  </conditionalFormatting>
  <conditionalFormatting sqref="M25:N33">
    <cfRule type="expression" dxfId="1108" priority="1211" stopIfTrue="1">
      <formula>ACOMPANHAMENTO="BM"</formula>
    </cfRule>
    <cfRule type="expression" dxfId="1107" priority="1212" stopIfTrue="1">
      <formula>OR($B25=0,$B25=2,$B25=3,$B25=4)</formula>
    </cfRule>
    <cfRule type="expression" dxfId="1106" priority="1213" stopIfTrue="1">
      <formula>$B25=1</formula>
    </cfRule>
  </conditionalFormatting>
  <conditionalFormatting sqref="K25:K33">
    <cfRule type="expression" dxfId="1105" priority="1214" stopIfTrue="1">
      <formula>OR(ACOMPANHAMENTO="BM",$A$12&lt;&gt;"Manual")</formula>
    </cfRule>
    <cfRule type="expression" dxfId="1104" priority="1215" stopIfTrue="1">
      <formula>$B25=1</formula>
    </cfRule>
    <cfRule type="expression" dxfId="1103" priority="1216" stopIfTrue="1">
      <formula>OR($B25=2,$B25=3,$B25=4,$B25=0)</formula>
    </cfRule>
  </conditionalFormatting>
  <conditionalFormatting sqref="O25:AA33">
    <cfRule type="expression" dxfId="1102" priority="1217" stopIfTrue="1">
      <formula>ACOMPANHAMENTO="BM"</formula>
    </cfRule>
    <cfRule type="expression" dxfId="1101" priority="1218" stopIfTrue="1">
      <formula>AND(O$12&lt;&gt;".",OR($B25=0,$B25=2,$B25=3,$B25=4,AND(O$12="",$B25&lt;&gt;"Empty"),OFFSET(O$12,0,-1)=""))</formula>
    </cfRule>
    <cfRule type="expression" dxfId="1100" priority="1219" stopIfTrue="1">
      <formula>AND($B25=1,O$12&lt;&gt;".")</formula>
    </cfRule>
  </conditionalFormatting>
  <conditionalFormatting sqref="D34:I38 D40:I43">
    <cfRule type="expression" dxfId="1099" priority="1198" stopIfTrue="1">
      <formula>$B34=1</formula>
    </cfRule>
    <cfRule type="expression" dxfId="1098" priority="1199" stopIfTrue="1">
      <formula>OR($B34=0,$B34=2,$B34=3,$B34=4)</formula>
    </cfRule>
  </conditionalFormatting>
  <conditionalFormatting sqref="M34:N38 M40:N43">
    <cfRule type="expression" dxfId="1097" priority="1200" stopIfTrue="1">
      <formula>ACOMPANHAMENTO="BM"</formula>
    </cfRule>
    <cfRule type="expression" dxfId="1096" priority="1201" stopIfTrue="1">
      <formula>OR($B34=0,$B34=2,$B34=3,$B34=4)</formula>
    </cfRule>
    <cfRule type="expression" dxfId="1095" priority="1202" stopIfTrue="1">
      <formula>$B34=1</formula>
    </cfRule>
  </conditionalFormatting>
  <conditionalFormatting sqref="K34:K38 K40:K43">
    <cfRule type="expression" dxfId="1094" priority="1203" stopIfTrue="1">
      <formula>OR(ACOMPANHAMENTO="BM",$A$12&lt;&gt;"Manual")</formula>
    </cfRule>
    <cfRule type="expression" dxfId="1093" priority="1204" stopIfTrue="1">
      <formula>$B34=1</formula>
    </cfRule>
    <cfRule type="expression" dxfId="1092" priority="1205" stopIfTrue="1">
      <formula>OR($B34=2,$B34=3,$B34=4,$B34=0)</formula>
    </cfRule>
  </conditionalFormatting>
  <conditionalFormatting sqref="O34:AA38 O40:AA43">
    <cfRule type="expression" dxfId="1091" priority="1206" stopIfTrue="1">
      <formula>ACOMPANHAMENTO="BM"</formula>
    </cfRule>
    <cfRule type="expression" dxfId="1090" priority="1207" stopIfTrue="1">
      <formula>AND(O$12&lt;&gt;".",OR($B34=0,$B34=2,$B34=3,$B34=4,AND(O$12="",$B34&lt;&gt;"Empty"),OFFSET(O$12,0,-1)=""))</formula>
    </cfRule>
    <cfRule type="expression" dxfId="1089" priority="1208" stopIfTrue="1">
      <formula>AND($B34=1,O$12&lt;&gt;".")</formula>
    </cfRule>
  </conditionalFormatting>
  <conditionalFormatting sqref="D44:I46 D48:I53">
    <cfRule type="expression" dxfId="1088" priority="1187" stopIfTrue="1">
      <formula>$B44=1</formula>
    </cfRule>
    <cfRule type="expression" dxfId="1087" priority="1188" stopIfTrue="1">
      <formula>OR($B44=0,$B44=2,$B44=3,$B44=4)</formula>
    </cfRule>
  </conditionalFormatting>
  <conditionalFormatting sqref="M44:N46 M48:N53">
    <cfRule type="expression" dxfId="1086" priority="1189" stopIfTrue="1">
      <formula>ACOMPANHAMENTO="BM"</formula>
    </cfRule>
    <cfRule type="expression" dxfId="1085" priority="1190" stopIfTrue="1">
      <formula>OR($B44=0,$B44=2,$B44=3,$B44=4)</formula>
    </cfRule>
    <cfRule type="expression" dxfId="1084" priority="1191" stopIfTrue="1">
      <formula>$B44=1</formula>
    </cfRule>
  </conditionalFormatting>
  <conditionalFormatting sqref="K44:K46 K48:K53">
    <cfRule type="expression" dxfId="1083" priority="1192" stopIfTrue="1">
      <formula>OR(ACOMPANHAMENTO="BM",$A$12&lt;&gt;"Manual")</formula>
    </cfRule>
    <cfRule type="expression" dxfId="1082" priority="1193" stopIfTrue="1">
      <formula>$B44=1</formula>
    </cfRule>
    <cfRule type="expression" dxfId="1081" priority="1194" stopIfTrue="1">
      <formula>OR($B44=2,$B44=3,$B44=4,$B44=0)</formula>
    </cfRule>
  </conditionalFormatting>
  <conditionalFormatting sqref="O44:AA46 O48:AA53">
    <cfRule type="expression" dxfId="1080" priority="1195" stopIfTrue="1">
      <formula>ACOMPANHAMENTO="BM"</formula>
    </cfRule>
    <cfRule type="expression" dxfId="1079" priority="1196" stopIfTrue="1">
      <formula>AND(O$12&lt;&gt;".",OR($B44=0,$B44=2,$B44=3,$B44=4,AND(O$12="",$B44&lt;&gt;"Empty"),OFFSET(O$12,0,-1)=""))</formula>
    </cfRule>
    <cfRule type="expression" dxfId="1078" priority="1197" stopIfTrue="1">
      <formula>AND($B44=1,O$12&lt;&gt;".")</formula>
    </cfRule>
  </conditionalFormatting>
  <conditionalFormatting sqref="D54:I57 D59:I61 D75:I76">
    <cfRule type="expression" dxfId="1077" priority="1176" stopIfTrue="1">
      <formula>$B54=1</formula>
    </cfRule>
    <cfRule type="expression" dxfId="1076" priority="1177" stopIfTrue="1">
      <formula>OR($B54=0,$B54=2,$B54=3,$B54=4)</formula>
    </cfRule>
  </conditionalFormatting>
  <conditionalFormatting sqref="M54:N57 M59:N61 M75:N76">
    <cfRule type="expression" dxfId="1075" priority="1178" stopIfTrue="1">
      <formula>ACOMPANHAMENTO="BM"</formula>
    </cfRule>
    <cfRule type="expression" dxfId="1074" priority="1179" stopIfTrue="1">
      <formula>OR($B54=0,$B54=2,$B54=3,$B54=4)</formula>
    </cfRule>
    <cfRule type="expression" dxfId="1073" priority="1180" stopIfTrue="1">
      <formula>$B54=1</formula>
    </cfRule>
  </conditionalFormatting>
  <conditionalFormatting sqref="K54:K57 K59:K61 K75:K76">
    <cfRule type="expression" dxfId="1072" priority="1181" stopIfTrue="1">
      <formula>OR(ACOMPANHAMENTO="BM",$A$12&lt;&gt;"Manual")</formula>
    </cfRule>
    <cfRule type="expression" dxfId="1071" priority="1182" stopIfTrue="1">
      <formula>$B54=1</formula>
    </cfRule>
    <cfRule type="expression" dxfId="1070" priority="1183" stopIfTrue="1">
      <formula>OR($B54=2,$B54=3,$B54=4,$B54=0)</formula>
    </cfRule>
  </conditionalFormatting>
  <conditionalFormatting sqref="O54:AA57 O59:AA61 O75:AA76">
    <cfRule type="expression" dxfId="1069" priority="1184" stopIfTrue="1">
      <formula>ACOMPANHAMENTO="BM"</formula>
    </cfRule>
    <cfRule type="expression" dxfId="1068" priority="1185" stopIfTrue="1">
      <formula>AND(O$12&lt;&gt;".",OR($B54=0,$B54=2,$B54=3,$B54=4,AND(O$12="",$B54&lt;&gt;"Empty"),OFFSET(O$12,0,-1)=""))</formula>
    </cfRule>
    <cfRule type="expression" dxfId="1067" priority="1186" stopIfTrue="1">
      <formula>AND($B54=1,O$12&lt;&gt;".")</formula>
    </cfRule>
  </conditionalFormatting>
  <conditionalFormatting sqref="D83:I84 D88:I93 D86:I86">
    <cfRule type="expression" dxfId="1066" priority="1143" stopIfTrue="1">
      <formula>$B83=1</formula>
    </cfRule>
    <cfRule type="expression" dxfId="1065" priority="1144" stopIfTrue="1">
      <formula>OR($B83=0,$B83=2,$B83=3,$B83=4)</formula>
    </cfRule>
  </conditionalFormatting>
  <conditionalFormatting sqref="M83:N84 M88:N93 M86:N86">
    <cfRule type="expression" dxfId="1064" priority="1145" stopIfTrue="1">
      <formula>ACOMPANHAMENTO="BM"</formula>
    </cfRule>
    <cfRule type="expression" dxfId="1063" priority="1146" stopIfTrue="1">
      <formula>OR($B83=0,$B83=2,$B83=3,$B83=4)</formula>
    </cfRule>
    <cfRule type="expression" dxfId="1062" priority="1147" stopIfTrue="1">
      <formula>$B83=1</formula>
    </cfRule>
  </conditionalFormatting>
  <conditionalFormatting sqref="D94:I94 D100:I101">
    <cfRule type="expression" dxfId="1061" priority="1132" stopIfTrue="1">
      <formula>$B94=1</formula>
    </cfRule>
    <cfRule type="expression" dxfId="1060" priority="1133" stopIfTrue="1">
      <formula>OR($B94=0,$B94=2,$B94=3,$B94=4)</formula>
    </cfRule>
  </conditionalFormatting>
  <conditionalFormatting sqref="M94:N94 M100:N101">
    <cfRule type="expression" dxfId="1059" priority="1134" stopIfTrue="1">
      <formula>ACOMPANHAMENTO="BM"</formula>
    </cfRule>
    <cfRule type="expression" dxfId="1058" priority="1135" stopIfTrue="1">
      <formula>OR($B94=0,$B94=2,$B94=3,$B94=4)</formula>
    </cfRule>
    <cfRule type="expression" dxfId="1057" priority="1136" stopIfTrue="1">
      <formula>$B94=1</formula>
    </cfRule>
  </conditionalFormatting>
  <conditionalFormatting sqref="D122:I130">
    <cfRule type="expression" dxfId="1056" priority="1099" stopIfTrue="1">
      <formula>$B122=1</formula>
    </cfRule>
    <cfRule type="expression" dxfId="1055" priority="1100" stopIfTrue="1">
      <formula>OR($B122=0,$B122=2,$B122=3,$B122=4)</formula>
    </cfRule>
  </conditionalFormatting>
  <conditionalFormatting sqref="M122:N130">
    <cfRule type="expression" dxfId="1054" priority="1101" stopIfTrue="1">
      <formula>ACOMPANHAMENTO="BM"</formula>
    </cfRule>
    <cfRule type="expression" dxfId="1053" priority="1102" stopIfTrue="1">
      <formula>OR($B122=0,$B122=2,$B122=3,$B122=4)</formula>
    </cfRule>
    <cfRule type="expression" dxfId="1052" priority="1103" stopIfTrue="1">
      <formula>$B122=1</formula>
    </cfRule>
  </conditionalFormatting>
  <conditionalFormatting sqref="D131:I139">
    <cfRule type="expression" dxfId="1051" priority="1088" stopIfTrue="1">
      <formula>$B131=1</formula>
    </cfRule>
    <cfRule type="expression" dxfId="1050" priority="1089" stopIfTrue="1">
      <formula>OR($B131=0,$B131=2,$B131=3,$B131=4)</formula>
    </cfRule>
  </conditionalFormatting>
  <conditionalFormatting sqref="M131:N139">
    <cfRule type="expression" dxfId="1049" priority="1090" stopIfTrue="1">
      <formula>ACOMPANHAMENTO="BM"</formula>
    </cfRule>
    <cfRule type="expression" dxfId="1048" priority="1091" stopIfTrue="1">
      <formula>OR($B131=0,$B131=2,$B131=3,$B131=4)</formula>
    </cfRule>
    <cfRule type="expression" dxfId="1047" priority="1092" stopIfTrue="1">
      <formula>$B131=1</formula>
    </cfRule>
  </conditionalFormatting>
  <conditionalFormatting sqref="D140:I148">
    <cfRule type="expression" dxfId="1046" priority="1077" stopIfTrue="1">
      <formula>$B140=1</formula>
    </cfRule>
    <cfRule type="expression" dxfId="1045" priority="1078" stopIfTrue="1">
      <formula>OR($B140=0,$B140=2,$B140=3,$B140=4)</formula>
    </cfRule>
  </conditionalFormatting>
  <conditionalFormatting sqref="M140:N148">
    <cfRule type="expression" dxfId="1044" priority="1079" stopIfTrue="1">
      <formula>ACOMPANHAMENTO="BM"</formula>
    </cfRule>
    <cfRule type="expression" dxfId="1043" priority="1080" stopIfTrue="1">
      <formula>OR($B140=0,$B140=2,$B140=3,$B140=4)</formula>
    </cfRule>
    <cfRule type="expression" dxfId="1042" priority="1081" stopIfTrue="1">
      <formula>$B140=1</formula>
    </cfRule>
  </conditionalFormatting>
  <conditionalFormatting sqref="D149:I157">
    <cfRule type="expression" dxfId="1041" priority="1066" stopIfTrue="1">
      <formula>$B149=1</formula>
    </cfRule>
    <cfRule type="expression" dxfId="1040" priority="1067" stopIfTrue="1">
      <formula>OR($B149=0,$B149=2,$B149=3,$B149=4)</formula>
    </cfRule>
  </conditionalFormatting>
  <conditionalFormatting sqref="M149:N157">
    <cfRule type="expression" dxfId="1039" priority="1068" stopIfTrue="1">
      <formula>ACOMPANHAMENTO="BM"</formula>
    </cfRule>
    <cfRule type="expression" dxfId="1038" priority="1069" stopIfTrue="1">
      <formula>OR($B149=0,$B149=2,$B149=3,$B149=4)</formula>
    </cfRule>
    <cfRule type="expression" dxfId="1037" priority="1070" stopIfTrue="1">
      <formula>$B149=1</formula>
    </cfRule>
  </conditionalFormatting>
  <conditionalFormatting sqref="D158:I166">
    <cfRule type="expression" dxfId="1036" priority="1055" stopIfTrue="1">
      <formula>$B158=1</formula>
    </cfRule>
    <cfRule type="expression" dxfId="1035" priority="1056" stopIfTrue="1">
      <formula>OR($B158=0,$B158=2,$B158=3,$B158=4)</formula>
    </cfRule>
  </conditionalFormatting>
  <conditionalFormatting sqref="M158:N166">
    <cfRule type="expression" dxfId="1034" priority="1057" stopIfTrue="1">
      <formula>ACOMPANHAMENTO="BM"</formula>
    </cfRule>
    <cfRule type="expression" dxfId="1033" priority="1058" stopIfTrue="1">
      <formula>OR($B158=0,$B158=2,$B158=3,$B158=4)</formula>
    </cfRule>
    <cfRule type="expression" dxfId="1032" priority="1059" stopIfTrue="1">
      <formula>$B158=1</formula>
    </cfRule>
  </conditionalFormatting>
  <conditionalFormatting sqref="D167:I175">
    <cfRule type="expression" dxfId="1031" priority="1044" stopIfTrue="1">
      <formula>$B167=1</formula>
    </cfRule>
    <cfRule type="expression" dxfId="1030" priority="1045" stopIfTrue="1">
      <formula>OR($B167=0,$B167=2,$B167=3,$B167=4)</formula>
    </cfRule>
  </conditionalFormatting>
  <conditionalFormatting sqref="M167:N175">
    <cfRule type="expression" dxfId="1029" priority="1046" stopIfTrue="1">
      <formula>ACOMPANHAMENTO="BM"</formula>
    </cfRule>
    <cfRule type="expression" dxfId="1028" priority="1047" stopIfTrue="1">
      <formula>OR($B167=0,$B167=2,$B167=3,$B167=4)</formula>
    </cfRule>
    <cfRule type="expression" dxfId="1027" priority="1048" stopIfTrue="1">
      <formula>$B167=1</formula>
    </cfRule>
  </conditionalFormatting>
  <conditionalFormatting sqref="D191:I199">
    <cfRule type="expression" dxfId="1026" priority="1011" stopIfTrue="1">
      <formula>$B191=1</formula>
    </cfRule>
    <cfRule type="expression" dxfId="1025" priority="1012" stopIfTrue="1">
      <formula>OR($B191=0,$B191=2,$B191=3,$B191=4)</formula>
    </cfRule>
  </conditionalFormatting>
  <conditionalFormatting sqref="M191:N199">
    <cfRule type="expression" dxfId="1024" priority="1013" stopIfTrue="1">
      <formula>ACOMPANHAMENTO="BM"</formula>
    </cfRule>
    <cfRule type="expression" dxfId="1023" priority="1014" stopIfTrue="1">
      <formula>OR($B191=0,$B191=2,$B191=3,$B191=4)</formula>
    </cfRule>
    <cfRule type="expression" dxfId="1022" priority="1015" stopIfTrue="1">
      <formula>$B191=1</formula>
    </cfRule>
  </conditionalFormatting>
  <conditionalFormatting sqref="D200:I206 D213:I214">
    <cfRule type="expression" dxfId="1021" priority="1000" stopIfTrue="1">
      <formula>$B200=1</formula>
    </cfRule>
    <cfRule type="expression" dxfId="1020" priority="1001" stopIfTrue="1">
      <formula>OR($B200=0,$B200=2,$B200=3,$B200=4)</formula>
    </cfRule>
  </conditionalFormatting>
  <conditionalFormatting sqref="M200:N206 M213:N214">
    <cfRule type="expression" dxfId="1019" priority="1002" stopIfTrue="1">
      <formula>ACOMPANHAMENTO="BM"</formula>
    </cfRule>
    <cfRule type="expression" dxfId="1018" priority="1003" stopIfTrue="1">
      <formula>OR($B200=0,$B200=2,$B200=3,$B200=4)</formula>
    </cfRule>
    <cfRule type="expression" dxfId="1017" priority="1004" stopIfTrue="1">
      <formula>$B200=1</formula>
    </cfRule>
  </conditionalFormatting>
  <conditionalFormatting sqref="D215:I223">
    <cfRule type="expression" dxfId="1016" priority="989" stopIfTrue="1">
      <formula>$B215=1</formula>
    </cfRule>
    <cfRule type="expression" dxfId="1015" priority="990" stopIfTrue="1">
      <formula>OR($B215=0,$B215=2,$B215=3,$B215=4)</formula>
    </cfRule>
  </conditionalFormatting>
  <conditionalFormatting sqref="M215:N223">
    <cfRule type="expression" dxfId="1014" priority="991" stopIfTrue="1">
      <formula>ACOMPANHAMENTO="BM"</formula>
    </cfRule>
    <cfRule type="expression" dxfId="1013" priority="992" stopIfTrue="1">
      <formula>OR($B215=0,$B215=2,$B215=3,$B215=4)</formula>
    </cfRule>
    <cfRule type="expression" dxfId="1012" priority="993" stopIfTrue="1">
      <formula>$B215=1</formula>
    </cfRule>
  </conditionalFormatting>
  <conditionalFormatting sqref="D224:I225 D227:I233">
    <cfRule type="expression" dxfId="1011" priority="978" stopIfTrue="1">
      <formula>$B224=1</formula>
    </cfRule>
    <cfRule type="expression" dxfId="1010" priority="979" stopIfTrue="1">
      <formula>OR($B224=0,$B224=2,$B224=3,$B224=4)</formula>
    </cfRule>
  </conditionalFormatting>
  <conditionalFormatting sqref="M224:N225 M227:N233">
    <cfRule type="expression" dxfId="1009" priority="980" stopIfTrue="1">
      <formula>ACOMPANHAMENTO="BM"</formula>
    </cfRule>
    <cfRule type="expression" dxfId="1008" priority="981" stopIfTrue="1">
      <formula>OR($B224=0,$B224=2,$B224=3,$B224=4)</formula>
    </cfRule>
    <cfRule type="expression" dxfId="1007" priority="982" stopIfTrue="1">
      <formula>$B224=1</formula>
    </cfRule>
  </conditionalFormatting>
  <conditionalFormatting sqref="D234:I235 D240:I246">
    <cfRule type="expression" dxfId="1006" priority="967" stopIfTrue="1">
      <formula>$B234=1</formula>
    </cfRule>
    <cfRule type="expression" dxfId="1005" priority="968" stopIfTrue="1">
      <formula>OR($B234=0,$B234=2,$B234=3,$B234=4)</formula>
    </cfRule>
  </conditionalFormatting>
  <conditionalFormatting sqref="M234:N235 M240:N246">
    <cfRule type="expression" dxfId="1004" priority="969" stopIfTrue="1">
      <formula>ACOMPANHAMENTO="BM"</formula>
    </cfRule>
    <cfRule type="expression" dxfId="1003" priority="970" stopIfTrue="1">
      <formula>OR($B234=0,$B234=2,$B234=3,$B234=4)</formula>
    </cfRule>
    <cfRule type="expression" dxfId="1002" priority="971" stopIfTrue="1">
      <formula>$B234=1</formula>
    </cfRule>
  </conditionalFormatting>
  <conditionalFormatting sqref="D247:I249 D251:I256">
    <cfRule type="expression" dxfId="1001" priority="956" stopIfTrue="1">
      <formula>$B247=1</formula>
    </cfRule>
    <cfRule type="expression" dxfId="1000" priority="957" stopIfTrue="1">
      <formula>OR($B247=0,$B247=2,$B247=3,$B247=4)</formula>
    </cfRule>
  </conditionalFormatting>
  <conditionalFormatting sqref="M247:N249 M251:N256">
    <cfRule type="expression" dxfId="999" priority="958" stopIfTrue="1">
      <formula>ACOMPANHAMENTO="BM"</formula>
    </cfRule>
    <cfRule type="expression" dxfId="998" priority="959" stopIfTrue="1">
      <formula>OR($B247=0,$B247=2,$B247=3,$B247=4)</formula>
    </cfRule>
    <cfRule type="expression" dxfId="997" priority="960" stopIfTrue="1">
      <formula>$B247=1</formula>
    </cfRule>
  </conditionalFormatting>
  <conditionalFormatting sqref="D257:I265">
    <cfRule type="expression" dxfId="996" priority="945" stopIfTrue="1">
      <formula>$B257=1</formula>
    </cfRule>
    <cfRule type="expression" dxfId="995" priority="946" stopIfTrue="1">
      <formula>OR($B257=0,$B257=2,$B257=3,$B257=4)</formula>
    </cfRule>
  </conditionalFormatting>
  <conditionalFormatting sqref="M257:N265">
    <cfRule type="expression" dxfId="994" priority="947" stopIfTrue="1">
      <formula>ACOMPANHAMENTO="BM"</formula>
    </cfRule>
    <cfRule type="expression" dxfId="993" priority="948" stopIfTrue="1">
      <formula>OR($B257=0,$B257=2,$B257=3,$B257=4)</formula>
    </cfRule>
    <cfRule type="expression" dxfId="992" priority="949" stopIfTrue="1">
      <formula>$B257=1</formula>
    </cfRule>
  </conditionalFormatting>
  <conditionalFormatting sqref="D290:I291">
    <cfRule type="expression" dxfId="991" priority="934" stopIfTrue="1">
      <formula>$B290=1</formula>
    </cfRule>
    <cfRule type="expression" dxfId="990" priority="935" stopIfTrue="1">
      <formula>OR($B290=0,$B290=2,$B290=3,$B290=4)</formula>
    </cfRule>
  </conditionalFormatting>
  <conditionalFormatting sqref="M290:N291">
    <cfRule type="expression" dxfId="989" priority="936" stopIfTrue="1">
      <formula>ACOMPANHAMENTO="BM"</formula>
    </cfRule>
    <cfRule type="expression" dxfId="988" priority="937" stopIfTrue="1">
      <formula>OR($B290=0,$B290=2,$B290=3,$B290=4)</formula>
    </cfRule>
    <cfRule type="expression" dxfId="987" priority="938" stopIfTrue="1">
      <formula>$B290=1</formula>
    </cfRule>
  </conditionalFormatting>
  <conditionalFormatting sqref="D292:I292">
    <cfRule type="expression" dxfId="986" priority="923" stopIfTrue="1">
      <formula>$B292=1</formula>
    </cfRule>
    <cfRule type="expression" dxfId="985" priority="924" stopIfTrue="1">
      <formula>OR($B292=0,$B292=2,$B292=3,$B292=4)</formula>
    </cfRule>
  </conditionalFormatting>
  <conditionalFormatting sqref="M292:N292">
    <cfRule type="expression" dxfId="984" priority="925" stopIfTrue="1">
      <formula>ACOMPANHAMENTO="BM"</formula>
    </cfRule>
    <cfRule type="expression" dxfId="983" priority="926" stopIfTrue="1">
      <formula>OR($B292=0,$B292=2,$B292=3,$B292=4)</formula>
    </cfRule>
    <cfRule type="expression" dxfId="982" priority="927" stopIfTrue="1">
      <formula>$B292=1</formula>
    </cfRule>
  </conditionalFormatting>
  <conditionalFormatting sqref="D293:I301">
    <cfRule type="expression" dxfId="981" priority="912" stopIfTrue="1">
      <formula>$B293=1</formula>
    </cfRule>
    <cfRule type="expression" dxfId="980" priority="913" stopIfTrue="1">
      <formula>OR($B293=0,$B293=2,$B293=3,$B293=4)</formula>
    </cfRule>
  </conditionalFormatting>
  <conditionalFormatting sqref="M293:N301">
    <cfRule type="expression" dxfId="979" priority="914" stopIfTrue="1">
      <formula>ACOMPANHAMENTO="BM"</formula>
    </cfRule>
    <cfRule type="expression" dxfId="978" priority="915" stopIfTrue="1">
      <formula>OR($B293=0,$B293=2,$B293=3,$B293=4)</formula>
    </cfRule>
    <cfRule type="expression" dxfId="977" priority="916" stopIfTrue="1">
      <formula>$B293=1</formula>
    </cfRule>
  </conditionalFormatting>
  <conditionalFormatting sqref="D302:I304 D306:I311">
    <cfRule type="expression" dxfId="976" priority="901" stopIfTrue="1">
      <formula>$B302=1</formula>
    </cfRule>
    <cfRule type="expression" dxfId="975" priority="902" stopIfTrue="1">
      <formula>OR($B302=0,$B302=2,$B302=3,$B302=4)</formula>
    </cfRule>
  </conditionalFormatting>
  <conditionalFormatting sqref="M302:N304 M306:N311">
    <cfRule type="expression" dxfId="974" priority="903" stopIfTrue="1">
      <formula>ACOMPANHAMENTO="BM"</formula>
    </cfRule>
    <cfRule type="expression" dxfId="973" priority="904" stopIfTrue="1">
      <formula>OR($B302=0,$B302=2,$B302=3,$B302=4)</formula>
    </cfRule>
    <cfRule type="expression" dxfId="972" priority="905" stopIfTrue="1">
      <formula>$B302=1</formula>
    </cfRule>
  </conditionalFormatting>
  <conditionalFormatting sqref="D312:I313">
    <cfRule type="expression" dxfId="971" priority="890" stopIfTrue="1">
      <formula>$B312=1</formula>
    </cfRule>
    <cfRule type="expression" dxfId="970" priority="891" stopIfTrue="1">
      <formula>OR($B312=0,$B312=2,$B312=3,$B312=4)</formula>
    </cfRule>
  </conditionalFormatting>
  <conditionalFormatting sqref="M312:N313">
    <cfRule type="expression" dxfId="969" priority="892" stopIfTrue="1">
      <formula>ACOMPANHAMENTO="BM"</formula>
    </cfRule>
    <cfRule type="expression" dxfId="968" priority="893" stopIfTrue="1">
      <formula>OR($B312=0,$B312=2,$B312=3,$B312=4)</formula>
    </cfRule>
    <cfRule type="expression" dxfId="967" priority="894" stopIfTrue="1">
      <formula>$B312=1</formula>
    </cfRule>
  </conditionalFormatting>
  <conditionalFormatting sqref="D270:I278">
    <cfRule type="expression" dxfId="966" priority="879" stopIfTrue="1">
      <formula>$B270=1</formula>
    </cfRule>
    <cfRule type="expression" dxfId="965" priority="880" stopIfTrue="1">
      <formula>OR($B270=0,$B270=2,$B270=3,$B270=4)</formula>
    </cfRule>
  </conditionalFormatting>
  <conditionalFormatting sqref="M270:N278">
    <cfRule type="expression" dxfId="964" priority="881" stopIfTrue="1">
      <formula>ACOMPANHAMENTO="BM"</formula>
    </cfRule>
    <cfRule type="expression" dxfId="963" priority="882" stopIfTrue="1">
      <formula>OR($B270=0,$B270=2,$B270=3,$B270=4)</formula>
    </cfRule>
    <cfRule type="expression" dxfId="962" priority="883" stopIfTrue="1">
      <formula>$B270=1</formula>
    </cfRule>
  </conditionalFormatting>
  <conditionalFormatting sqref="D279:I287">
    <cfRule type="expression" dxfId="961" priority="868" stopIfTrue="1">
      <formula>$B279=1</formula>
    </cfRule>
    <cfRule type="expression" dxfId="960" priority="869" stopIfTrue="1">
      <formula>OR($B279=0,$B279=2,$B279=3,$B279=4)</formula>
    </cfRule>
  </conditionalFormatting>
  <conditionalFormatting sqref="M279:N287">
    <cfRule type="expression" dxfId="959" priority="870" stopIfTrue="1">
      <formula>ACOMPANHAMENTO="BM"</formula>
    </cfRule>
    <cfRule type="expression" dxfId="958" priority="871" stopIfTrue="1">
      <formula>OR($B279=0,$B279=2,$B279=3,$B279=4)</formula>
    </cfRule>
    <cfRule type="expression" dxfId="957" priority="872" stopIfTrue="1">
      <formula>$B279=1</formula>
    </cfRule>
  </conditionalFormatting>
  <conditionalFormatting sqref="D288:I289">
    <cfRule type="expression" dxfId="956" priority="857" stopIfTrue="1">
      <formula>$B288=1</formula>
    </cfRule>
    <cfRule type="expression" dxfId="955" priority="858" stopIfTrue="1">
      <formula>OR($B288=0,$B288=2,$B288=3,$B288=4)</formula>
    </cfRule>
  </conditionalFormatting>
  <conditionalFormatting sqref="M288:N289">
    <cfRule type="expression" dxfId="954" priority="859" stopIfTrue="1">
      <formula>ACOMPANHAMENTO="BM"</formula>
    </cfRule>
    <cfRule type="expression" dxfId="953" priority="860" stopIfTrue="1">
      <formula>OR($B288=0,$B288=2,$B288=3,$B288=4)</formula>
    </cfRule>
    <cfRule type="expression" dxfId="952" priority="861" stopIfTrue="1">
      <formula>$B288=1</formula>
    </cfRule>
  </conditionalFormatting>
  <conditionalFormatting sqref="D334:I336 D361:I364 D340:I340">
    <cfRule type="expression" dxfId="951" priority="846" stopIfTrue="1">
      <formula>$B334=1</formula>
    </cfRule>
    <cfRule type="expression" dxfId="950" priority="847" stopIfTrue="1">
      <formula>OR($B334=0,$B334=2,$B334=3,$B334=4)</formula>
    </cfRule>
  </conditionalFormatting>
  <conditionalFormatting sqref="M334:N336 M361:N364 M340:N340">
    <cfRule type="expression" dxfId="949" priority="848" stopIfTrue="1">
      <formula>ACOMPANHAMENTO="BM"</formula>
    </cfRule>
    <cfRule type="expression" dxfId="948" priority="849" stopIfTrue="1">
      <formula>OR($B334=0,$B334=2,$B334=3,$B334=4)</formula>
    </cfRule>
    <cfRule type="expression" dxfId="947" priority="850" stopIfTrue="1">
      <formula>$B334=1</formula>
    </cfRule>
  </conditionalFormatting>
  <conditionalFormatting sqref="D512:I520">
    <cfRule type="expression" dxfId="946" priority="835" stopIfTrue="1">
      <formula>$B512=1</formula>
    </cfRule>
    <cfRule type="expression" dxfId="945" priority="836" stopIfTrue="1">
      <formula>OR($B512=0,$B512=2,$B512=3,$B512=4)</formula>
    </cfRule>
  </conditionalFormatting>
  <conditionalFormatting sqref="M512:N520">
    <cfRule type="expression" dxfId="944" priority="837" stopIfTrue="1">
      <formula>ACOMPANHAMENTO="BM"</formula>
    </cfRule>
    <cfRule type="expression" dxfId="943" priority="838" stopIfTrue="1">
      <formula>OR($B512=0,$B512=2,$B512=3,$B512=4)</formula>
    </cfRule>
    <cfRule type="expression" dxfId="942" priority="839" stopIfTrue="1">
      <formula>$B512=1</formula>
    </cfRule>
  </conditionalFormatting>
  <conditionalFormatting sqref="D521:I522">
    <cfRule type="expression" dxfId="941" priority="824" stopIfTrue="1">
      <formula>$B521=1</formula>
    </cfRule>
    <cfRule type="expression" dxfId="940" priority="825" stopIfTrue="1">
      <formula>OR($B521=0,$B521=2,$B521=3,$B521=4)</formula>
    </cfRule>
  </conditionalFormatting>
  <conditionalFormatting sqref="M521:N522">
    <cfRule type="expression" dxfId="939" priority="826" stopIfTrue="1">
      <formula>ACOMPANHAMENTO="BM"</formula>
    </cfRule>
    <cfRule type="expression" dxfId="938" priority="827" stopIfTrue="1">
      <formula>OR($B521=0,$B521=2,$B521=3,$B521=4)</formula>
    </cfRule>
    <cfRule type="expression" dxfId="937" priority="828" stopIfTrue="1">
      <formula>$B521=1</formula>
    </cfRule>
  </conditionalFormatting>
  <conditionalFormatting sqref="D323:I331">
    <cfRule type="expression" dxfId="936" priority="802" stopIfTrue="1">
      <formula>$B323=1</formula>
    </cfRule>
    <cfRule type="expression" dxfId="935" priority="803" stopIfTrue="1">
      <formula>OR($B323=0,$B323=2,$B323=3,$B323=4)</formula>
    </cfRule>
  </conditionalFormatting>
  <conditionalFormatting sqref="M323:N331">
    <cfRule type="expression" dxfId="934" priority="804" stopIfTrue="1">
      <formula>ACOMPANHAMENTO="BM"</formula>
    </cfRule>
    <cfRule type="expression" dxfId="933" priority="805" stopIfTrue="1">
      <formula>OR($B323=0,$B323=2,$B323=3,$B323=4)</formula>
    </cfRule>
    <cfRule type="expression" dxfId="932" priority="806" stopIfTrue="1">
      <formula>$B323=1</formula>
    </cfRule>
  </conditionalFormatting>
  <conditionalFormatting sqref="D332:I333">
    <cfRule type="expression" dxfId="931" priority="791" stopIfTrue="1">
      <formula>$B332=1</formula>
    </cfRule>
    <cfRule type="expression" dxfId="930" priority="792" stopIfTrue="1">
      <formula>OR($B332=0,$B332=2,$B332=3,$B332=4)</formula>
    </cfRule>
  </conditionalFormatting>
  <conditionalFormatting sqref="M332:N333">
    <cfRule type="expression" dxfId="929" priority="793" stopIfTrue="1">
      <formula>ACOMPANHAMENTO="BM"</formula>
    </cfRule>
    <cfRule type="expression" dxfId="928" priority="794" stopIfTrue="1">
      <formula>OR($B332=0,$B332=2,$B332=3,$B332=4)</formula>
    </cfRule>
    <cfRule type="expression" dxfId="927" priority="795" stopIfTrue="1">
      <formula>$B332=1</formula>
    </cfRule>
  </conditionalFormatting>
  <conditionalFormatting sqref="D341:I349">
    <cfRule type="expression" dxfId="926" priority="780" stopIfTrue="1">
      <formula>$B341=1</formula>
    </cfRule>
    <cfRule type="expression" dxfId="925" priority="781" stopIfTrue="1">
      <formula>OR($B341=0,$B341=2,$B341=3,$B341=4)</formula>
    </cfRule>
  </conditionalFormatting>
  <conditionalFormatting sqref="M341:N349">
    <cfRule type="expression" dxfId="924" priority="782" stopIfTrue="1">
      <formula>ACOMPANHAMENTO="BM"</formula>
    </cfRule>
    <cfRule type="expression" dxfId="923" priority="783" stopIfTrue="1">
      <formula>OR($B341=0,$B341=2,$B341=3,$B341=4)</formula>
    </cfRule>
    <cfRule type="expression" dxfId="922" priority="784" stopIfTrue="1">
      <formula>$B341=1</formula>
    </cfRule>
  </conditionalFormatting>
  <conditionalFormatting sqref="D350:I358">
    <cfRule type="expression" dxfId="921" priority="769" stopIfTrue="1">
      <formula>$B350=1</formula>
    </cfRule>
    <cfRule type="expression" dxfId="920" priority="770" stopIfTrue="1">
      <formula>OR($B350=0,$B350=2,$B350=3,$B350=4)</formula>
    </cfRule>
  </conditionalFormatting>
  <conditionalFormatting sqref="M350:N358">
    <cfRule type="expression" dxfId="919" priority="771" stopIfTrue="1">
      <formula>ACOMPANHAMENTO="BM"</formula>
    </cfRule>
    <cfRule type="expression" dxfId="918" priority="772" stopIfTrue="1">
      <formula>OR($B350=0,$B350=2,$B350=3,$B350=4)</formula>
    </cfRule>
    <cfRule type="expression" dxfId="917" priority="773" stopIfTrue="1">
      <formula>$B350=1</formula>
    </cfRule>
  </conditionalFormatting>
  <conditionalFormatting sqref="D359:I360">
    <cfRule type="expression" dxfId="916" priority="758" stopIfTrue="1">
      <formula>$B359=1</formula>
    </cfRule>
    <cfRule type="expression" dxfId="915" priority="759" stopIfTrue="1">
      <formula>OR($B359=0,$B359=2,$B359=3,$B359=4)</formula>
    </cfRule>
  </conditionalFormatting>
  <conditionalFormatting sqref="M359:N360">
    <cfRule type="expression" dxfId="914" priority="760" stopIfTrue="1">
      <formula>ACOMPANHAMENTO="BM"</formula>
    </cfRule>
    <cfRule type="expression" dxfId="913" priority="761" stopIfTrue="1">
      <formula>OR($B359=0,$B359=2,$B359=3,$B359=4)</formula>
    </cfRule>
    <cfRule type="expression" dxfId="912" priority="762" stopIfTrue="1">
      <formula>$B359=1</formula>
    </cfRule>
  </conditionalFormatting>
  <conditionalFormatting sqref="D365:I365 D410:I417">
    <cfRule type="expression" dxfId="911" priority="747" stopIfTrue="1">
      <formula>$B365=1</formula>
    </cfRule>
    <cfRule type="expression" dxfId="910" priority="748" stopIfTrue="1">
      <formula>OR($B365=0,$B365=2,$B365=3,$B365=4)</formula>
    </cfRule>
  </conditionalFormatting>
  <conditionalFormatting sqref="M365:N365 M410:N417">
    <cfRule type="expression" dxfId="909" priority="749" stopIfTrue="1">
      <formula>ACOMPANHAMENTO="BM"</formula>
    </cfRule>
    <cfRule type="expression" dxfId="908" priority="750" stopIfTrue="1">
      <formula>OR($B365=0,$B365=2,$B365=3,$B365=4)</formula>
    </cfRule>
    <cfRule type="expression" dxfId="907" priority="751" stopIfTrue="1">
      <formula>$B365=1</formula>
    </cfRule>
  </conditionalFormatting>
  <conditionalFormatting sqref="D366:I366 D391:I398">
    <cfRule type="expression" dxfId="906" priority="714" stopIfTrue="1">
      <formula>$B366=1</formula>
    </cfRule>
    <cfRule type="expression" dxfId="905" priority="715" stopIfTrue="1">
      <formula>OR($B366=0,$B366=2,$B366=3,$B366=4)</formula>
    </cfRule>
  </conditionalFormatting>
  <conditionalFormatting sqref="M366:N366 M391:N398">
    <cfRule type="expression" dxfId="904" priority="716" stopIfTrue="1">
      <formula>ACOMPANHAMENTO="BM"</formula>
    </cfRule>
    <cfRule type="expression" dxfId="903" priority="717" stopIfTrue="1">
      <formula>OR($B366=0,$B366=2,$B366=3,$B366=4)</formula>
    </cfRule>
    <cfRule type="expression" dxfId="902" priority="718" stopIfTrue="1">
      <formula>$B366=1</formula>
    </cfRule>
  </conditionalFormatting>
  <conditionalFormatting sqref="D399:I407">
    <cfRule type="expression" dxfId="901" priority="703" stopIfTrue="1">
      <formula>$B399=1</formula>
    </cfRule>
    <cfRule type="expression" dxfId="900" priority="704" stopIfTrue="1">
      <formula>OR($B399=0,$B399=2,$B399=3,$B399=4)</formula>
    </cfRule>
  </conditionalFormatting>
  <conditionalFormatting sqref="M399:N407">
    <cfRule type="expression" dxfId="899" priority="705" stopIfTrue="1">
      <formula>ACOMPANHAMENTO="BM"</formula>
    </cfRule>
    <cfRule type="expression" dxfId="898" priority="706" stopIfTrue="1">
      <formula>OR($B399=0,$B399=2,$B399=3,$B399=4)</formula>
    </cfRule>
    <cfRule type="expression" dxfId="897" priority="707" stopIfTrue="1">
      <formula>$B399=1</formula>
    </cfRule>
  </conditionalFormatting>
  <conditionalFormatting sqref="D408:I409">
    <cfRule type="expression" dxfId="896" priority="692" stopIfTrue="1">
      <formula>$B408=1</formula>
    </cfRule>
    <cfRule type="expression" dxfId="895" priority="693" stopIfTrue="1">
      <formula>OR($B408=0,$B408=2,$B408=3,$B408=4)</formula>
    </cfRule>
  </conditionalFormatting>
  <conditionalFormatting sqref="M408:N409">
    <cfRule type="expression" dxfId="894" priority="694" stopIfTrue="1">
      <formula>ACOMPANHAMENTO="BM"</formula>
    </cfRule>
    <cfRule type="expression" dxfId="893" priority="695" stopIfTrue="1">
      <formula>OR($B408=0,$B408=2,$B408=3,$B408=4)</formula>
    </cfRule>
    <cfRule type="expression" dxfId="892" priority="696" stopIfTrue="1">
      <formula>$B408=1</formula>
    </cfRule>
  </conditionalFormatting>
  <conditionalFormatting sqref="D380:I388">
    <cfRule type="expression" dxfId="891" priority="670" stopIfTrue="1">
      <formula>$B380=1</formula>
    </cfRule>
    <cfRule type="expression" dxfId="890" priority="671" stopIfTrue="1">
      <formula>OR($B380=0,$B380=2,$B380=3,$B380=4)</formula>
    </cfRule>
  </conditionalFormatting>
  <conditionalFormatting sqref="M380:N388">
    <cfRule type="expression" dxfId="889" priority="672" stopIfTrue="1">
      <formula>ACOMPANHAMENTO="BM"</formula>
    </cfRule>
    <cfRule type="expression" dxfId="888" priority="673" stopIfTrue="1">
      <formula>OR($B380=0,$B380=2,$B380=3,$B380=4)</formula>
    </cfRule>
    <cfRule type="expression" dxfId="887" priority="674" stopIfTrue="1">
      <formula>$B380=1</formula>
    </cfRule>
  </conditionalFormatting>
  <conditionalFormatting sqref="D389:I390">
    <cfRule type="expression" dxfId="886" priority="659" stopIfTrue="1">
      <formula>$B389=1</formula>
    </cfRule>
    <cfRule type="expression" dxfId="885" priority="660" stopIfTrue="1">
      <formula>OR($B389=0,$B389=2,$B389=3,$B389=4)</formula>
    </cfRule>
  </conditionalFormatting>
  <conditionalFormatting sqref="M389:N390">
    <cfRule type="expression" dxfId="884" priority="661" stopIfTrue="1">
      <formula>ACOMPANHAMENTO="BM"</formula>
    </cfRule>
    <cfRule type="expression" dxfId="883" priority="662" stopIfTrue="1">
      <formula>OR($B389=0,$B389=2,$B389=3,$B389=4)</formula>
    </cfRule>
    <cfRule type="expression" dxfId="882" priority="663" stopIfTrue="1">
      <formula>$B389=1</formula>
    </cfRule>
  </conditionalFormatting>
  <conditionalFormatting sqref="D501:I509">
    <cfRule type="expression" dxfId="881" priority="637" stopIfTrue="1">
      <formula>$B501=1</formula>
    </cfRule>
    <cfRule type="expression" dxfId="880" priority="638" stopIfTrue="1">
      <formula>OR($B501=0,$B501=2,$B501=3,$B501=4)</formula>
    </cfRule>
  </conditionalFormatting>
  <conditionalFormatting sqref="M501:N509">
    <cfRule type="expression" dxfId="879" priority="639" stopIfTrue="1">
      <formula>ACOMPANHAMENTO="BM"</formula>
    </cfRule>
    <cfRule type="expression" dxfId="878" priority="640" stopIfTrue="1">
      <formula>OR($B501=0,$B501=2,$B501=3,$B501=4)</formula>
    </cfRule>
    <cfRule type="expression" dxfId="877" priority="641" stopIfTrue="1">
      <formula>$B501=1</formula>
    </cfRule>
  </conditionalFormatting>
  <conditionalFormatting sqref="D510:I511">
    <cfRule type="expression" dxfId="876" priority="626" stopIfTrue="1">
      <formula>$B510=1</formula>
    </cfRule>
    <cfRule type="expression" dxfId="875" priority="627" stopIfTrue="1">
      <formula>OR($B510=0,$B510=2,$B510=3,$B510=4)</formula>
    </cfRule>
  </conditionalFormatting>
  <conditionalFormatting sqref="M510:N511">
    <cfRule type="expression" dxfId="874" priority="628" stopIfTrue="1">
      <formula>ACOMPANHAMENTO="BM"</formula>
    </cfRule>
    <cfRule type="expression" dxfId="873" priority="629" stopIfTrue="1">
      <formula>OR($B510=0,$B510=2,$B510=3,$B510=4)</formula>
    </cfRule>
    <cfRule type="expression" dxfId="872" priority="630" stopIfTrue="1">
      <formula>$B510=1</formula>
    </cfRule>
  </conditionalFormatting>
  <conditionalFormatting sqref="D484:I492">
    <cfRule type="expression" dxfId="871" priority="604" stopIfTrue="1">
      <formula>$B484=1</formula>
    </cfRule>
    <cfRule type="expression" dxfId="870" priority="605" stopIfTrue="1">
      <formula>OR($B484=0,$B484=2,$B484=3,$B484=4)</formula>
    </cfRule>
  </conditionalFormatting>
  <conditionalFormatting sqref="M484:N492">
    <cfRule type="expression" dxfId="869" priority="606" stopIfTrue="1">
      <formula>ACOMPANHAMENTO="BM"</formula>
    </cfRule>
    <cfRule type="expression" dxfId="868" priority="607" stopIfTrue="1">
      <formula>OR($B484=0,$B484=2,$B484=3,$B484=4)</formula>
    </cfRule>
    <cfRule type="expression" dxfId="867" priority="608" stopIfTrue="1">
      <formula>$B484=1</formula>
    </cfRule>
  </conditionalFormatting>
  <conditionalFormatting sqref="D493:I494">
    <cfRule type="expression" dxfId="866" priority="593" stopIfTrue="1">
      <formula>$B493=1</formula>
    </cfRule>
    <cfRule type="expression" dxfId="865" priority="594" stopIfTrue="1">
      <formula>OR($B493=0,$B493=2,$B493=3,$B493=4)</formula>
    </cfRule>
  </conditionalFormatting>
  <conditionalFormatting sqref="M493:N494">
    <cfRule type="expression" dxfId="864" priority="595" stopIfTrue="1">
      <formula>ACOMPANHAMENTO="BM"</formula>
    </cfRule>
    <cfRule type="expression" dxfId="863" priority="596" stopIfTrue="1">
      <formula>OR($B493=0,$B493=2,$B493=3,$B493=4)</formula>
    </cfRule>
    <cfRule type="expression" dxfId="862" priority="597" stopIfTrue="1">
      <formula>$B493=1</formula>
    </cfRule>
  </conditionalFormatting>
  <conditionalFormatting sqref="D459:I466">
    <cfRule type="expression" dxfId="861" priority="582" stopIfTrue="1">
      <formula>$B459=1</formula>
    </cfRule>
    <cfRule type="expression" dxfId="860" priority="583" stopIfTrue="1">
      <formula>OR($B459=0,$B459=2,$B459=3,$B459=4)</formula>
    </cfRule>
  </conditionalFormatting>
  <conditionalFormatting sqref="M459:N466">
    <cfRule type="expression" dxfId="859" priority="584" stopIfTrue="1">
      <formula>ACOMPANHAMENTO="BM"</formula>
    </cfRule>
    <cfRule type="expression" dxfId="858" priority="585" stopIfTrue="1">
      <formula>OR($B459=0,$B459=2,$B459=3,$B459=4)</formula>
    </cfRule>
    <cfRule type="expression" dxfId="857" priority="586" stopIfTrue="1">
      <formula>$B459=1</formula>
    </cfRule>
  </conditionalFormatting>
  <conditionalFormatting sqref="D467:I475">
    <cfRule type="expression" dxfId="856" priority="571" stopIfTrue="1">
      <formula>$B467=1</formula>
    </cfRule>
    <cfRule type="expression" dxfId="855" priority="572" stopIfTrue="1">
      <formula>OR($B467=0,$B467=2,$B467=3,$B467=4)</formula>
    </cfRule>
  </conditionalFormatting>
  <conditionalFormatting sqref="M467:N475">
    <cfRule type="expression" dxfId="854" priority="573" stopIfTrue="1">
      <formula>ACOMPANHAMENTO="BM"</formula>
    </cfRule>
    <cfRule type="expression" dxfId="853" priority="574" stopIfTrue="1">
      <formula>OR($B467=0,$B467=2,$B467=3,$B467=4)</formula>
    </cfRule>
    <cfRule type="expression" dxfId="852" priority="575" stopIfTrue="1">
      <formula>$B467=1</formula>
    </cfRule>
  </conditionalFormatting>
  <conditionalFormatting sqref="D476:I477">
    <cfRule type="expression" dxfId="851" priority="560" stopIfTrue="1">
      <formula>$B476=1</formula>
    </cfRule>
    <cfRule type="expression" dxfId="850" priority="561" stopIfTrue="1">
      <formula>OR($B476=0,$B476=2,$B476=3,$B476=4)</formula>
    </cfRule>
  </conditionalFormatting>
  <conditionalFormatting sqref="M476:N477">
    <cfRule type="expression" dxfId="849" priority="562" stopIfTrue="1">
      <formula>ACOMPANHAMENTO="BM"</formula>
    </cfRule>
    <cfRule type="expression" dxfId="848" priority="563" stopIfTrue="1">
      <formula>OR($B476=0,$B476=2,$B476=3,$B476=4)</formula>
    </cfRule>
    <cfRule type="expression" dxfId="847" priority="564" stopIfTrue="1">
      <formula>$B476=1</formula>
    </cfRule>
  </conditionalFormatting>
  <conditionalFormatting sqref="D439:I446">
    <cfRule type="expression" dxfId="846" priority="549" stopIfTrue="1">
      <formula>$B439=1</formula>
    </cfRule>
    <cfRule type="expression" dxfId="845" priority="550" stopIfTrue="1">
      <formula>OR($B439=0,$B439=2,$B439=3,$B439=4)</formula>
    </cfRule>
  </conditionalFormatting>
  <conditionalFormatting sqref="M439:N446">
    <cfRule type="expression" dxfId="844" priority="551" stopIfTrue="1">
      <formula>ACOMPANHAMENTO="BM"</formula>
    </cfRule>
    <cfRule type="expression" dxfId="843" priority="552" stopIfTrue="1">
      <formula>OR($B439=0,$B439=2,$B439=3,$B439=4)</formula>
    </cfRule>
    <cfRule type="expression" dxfId="842" priority="553" stopIfTrue="1">
      <formula>$B439=1</formula>
    </cfRule>
  </conditionalFormatting>
  <conditionalFormatting sqref="D447:I447 D449:I456">
    <cfRule type="expression" dxfId="841" priority="538" stopIfTrue="1">
      <formula>$B447=1</formula>
    </cfRule>
    <cfRule type="expression" dxfId="840" priority="539" stopIfTrue="1">
      <formula>OR($B447=0,$B447=2,$B447=3,$B447=4)</formula>
    </cfRule>
  </conditionalFormatting>
  <conditionalFormatting sqref="M447:N447 M449:N456">
    <cfRule type="expression" dxfId="839" priority="540" stopIfTrue="1">
      <formula>ACOMPANHAMENTO="BM"</formula>
    </cfRule>
    <cfRule type="expression" dxfId="838" priority="541" stopIfTrue="1">
      <formula>OR($B447=0,$B447=2,$B447=3,$B447=4)</formula>
    </cfRule>
    <cfRule type="expression" dxfId="837" priority="542" stopIfTrue="1">
      <formula>$B447=1</formula>
    </cfRule>
  </conditionalFormatting>
  <conditionalFormatting sqref="D457:I458">
    <cfRule type="expression" dxfId="836" priority="527" stopIfTrue="1">
      <formula>$B457=1</formula>
    </cfRule>
    <cfRule type="expression" dxfId="835" priority="528" stopIfTrue="1">
      <formula>OR($B457=0,$B457=2,$B457=3,$B457=4)</formula>
    </cfRule>
  </conditionalFormatting>
  <conditionalFormatting sqref="M457:N458">
    <cfRule type="expression" dxfId="834" priority="529" stopIfTrue="1">
      <formula>ACOMPANHAMENTO="BM"</formula>
    </cfRule>
    <cfRule type="expression" dxfId="833" priority="530" stopIfTrue="1">
      <formula>OR($B457=0,$B457=2,$B457=3,$B457=4)</formula>
    </cfRule>
    <cfRule type="expression" dxfId="832" priority="531" stopIfTrue="1">
      <formula>$B457=1</formula>
    </cfRule>
  </conditionalFormatting>
  <conditionalFormatting sqref="D428:I436">
    <cfRule type="expression" dxfId="831" priority="505" stopIfTrue="1">
      <formula>$B428=1</formula>
    </cfRule>
    <cfRule type="expression" dxfId="830" priority="506" stopIfTrue="1">
      <formula>OR($B428=0,$B428=2,$B428=3,$B428=4)</formula>
    </cfRule>
  </conditionalFormatting>
  <conditionalFormatting sqref="M428:N436">
    <cfRule type="expression" dxfId="829" priority="507" stopIfTrue="1">
      <formula>ACOMPANHAMENTO="BM"</formula>
    </cfRule>
    <cfRule type="expression" dxfId="828" priority="508" stopIfTrue="1">
      <formula>OR($B428=0,$B428=2,$B428=3,$B428=4)</formula>
    </cfRule>
    <cfRule type="expression" dxfId="827" priority="509" stopIfTrue="1">
      <formula>$B428=1</formula>
    </cfRule>
  </conditionalFormatting>
  <conditionalFormatting sqref="D437:I438">
    <cfRule type="expression" dxfId="826" priority="494" stopIfTrue="1">
      <formula>$B437=1</formula>
    </cfRule>
    <cfRule type="expression" dxfId="825" priority="495" stopIfTrue="1">
      <formula>OR($B437=0,$B437=2,$B437=3,$B437=4)</formula>
    </cfRule>
  </conditionalFormatting>
  <conditionalFormatting sqref="M437:N438">
    <cfRule type="expression" dxfId="824" priority="496" stopIfTrue="1">
      <formula>ACOMPANHAMENTO="BM"</formula>
    </cfRule>
    <cfRule type="expression" dxfId="823" priority="497" stopIfTrue="1">
      <formula>OR($B437=0,$B437=2,$B437=3,$B437=4)</formula>
    </cfRule>
    <cfRule type="expression" dxfId="822" priority="498" stopIfTrue="1">
      <formula>$B437=1</formula>
    </cfRule>
  </conditionalFormatting>
  <conditionalFormatting sqref="D523:I523 D543:I550">
    <cfRule type="expression" dxfId="821" priority="483" stopIfTrue="1">
      <formula>$B523=1</formula>
    </cfRule>
    <cfRule type="expression" dxfId="820" priority="484" stopIfTrue="1">
      <formula>OR($B523=0,$B523=2,$B523=3,$B523=4)</formula>
    </cfRule>
  </conditionalFormatting>
  <conditionalFormatting sqref="M523:N523 M543:N550">
    <cfRule type="expression" dxfId="819" priority="485" stopIfTrue="1">
      <formula>ACOMPANHAMENTO="BM"</formula>
    </cfRule>
    <cfRule type="expression" dxfId="818" priority="486" stopIfTrue="1">
      <formula>OR($B523=0,$B523=2,$B523=3,$B523=4)</formula>
    </cfRule>
    <cfRule type="expression" dxfId="817" priority="487" stopIfTrue="1">
      <formula>$B523=1</formula>
    </cfRule>
  </conditionalFormatting>
  <conditionalFormatting sqref="D551:I553 D589:I589">
    <cfRule type="expression" dxfId="816" priority="472" stopIfTrue="1">
      <formula>$B551=1</formula>
    </cfRule>
    <cfRule type="expression" dxfId="815" priority="473" stopIfTrue="1">
      <formula>OR($B551=0,$B551=2,$B551=3,$B551=4)</formula>
    </cfRule>
  </conditionalFormatting>
  <conditionalFormatting sqref="M551:N553 M589:N589">
    <cfRule type="expression" dxfId="814" priority="474" stopIfTrue="1">
      <formula>ACOMPANHAMENTO="BM"</formula>
    </cfRule>
    <cfRule type="expression" dxfId="813" priority="475" stopIfTrue="1">
      <formula>OR($B551=0,$B551=2,$B551=3,$B551=4)</formula>
    </cfRule>
    <cfRule type="expression" dxfId="812" priority="476" stopIfTrue="1">
      <formula>$B551=1</formula>
    </cfRule>
  </conditionalFormatting>
  <conditionalFormatting sqref="D524:I532">
    <cfRule type="expression" dxfId="811" priority="450" stopIfTrue="1">
      <formula>$B524=1</formula>
    </cfRule>
    <cfRule type="expression" dxfId="810" priority="451" stopIfTrue="1">
      <formula>OR($B524=0,$B524=2,$B524=3,$B524=4)</formula>
    </cfRule>
  </conditionalFormatting>
  <conditionalFormatting sqref="M524:N532">
    <cfRule type="expression" dxfId="809" priority="452" stopIfTrue="1">
      <formula>ACOMPANHAMENTO="BM"</formula>
    </cfRule>
    <cfRule type="expression" dxfId="808" priority="453" stopIfTrue="1">
      <formula>OR($B524=0,$B524=2,$B524=3,$B524=4)</formula>
    </cfRule>
    <cfRule type="expression" dxfId="807" priority="454" stopIfTrue="1">
      <formula>$B524=1</formula>
    </cfRule>
  </conditionalFormatting>
  <conditionalFormatting sqref="D541:I542">
    <cfRule type="expression" dxfId="806" priority="428" stopIfTrue="1">
      <formula>$B541=1</formula>
    </cfRule>
    <cfRule type="expression" dxfId="805" priority="429" stopIfTrue="1">
      <formula>OR($B541=0,$B541=2,$B541=3,$B541=4)</formula>
    </cfRule>
  </conditionalFormatting>
  <conditionalFormatting sqref="M541:N542">
    <cfRule type="expression" dxfId="804" priority="430" stopIfTrue="1">
      <formula>ACOMPANHAMENTO="BM"</formula>
    </cfRule>
    <cfRule type="expression" dxfId="803" priority="431" stopIfTrue="1">
      <formula>OR($B541=0,$B541=2,$B541=3,$B541=4)</formula>
    </cfRule>
    <cfRule type="expression" dxfId="802" priority="432" stopIfTrue="1">
      <formula>$B541=1</formula>
    </cfRule>
  </conditionalFormatting>
  <conditionalFormatting sqref="D554:I554">
    <cfRule type="expression" dxfId="801" priority="417" stopIfTrue="1">
      <formula>$B554=1</formula>
    </cfRule>
    <cfRule type="expression" dxfId="800" priority="418" stopIfTrue="1">
      <formula>OR($B554=0,$B554=2,$B554=3,$B554=4)</formula>
    </cfRule>
  </conditionalFormatting>
  <conditionalFormatting sqref="M554:N554">
    <cfRule type="expression" dxfId="799" priority="419" stopIfTrue="1">
      <formula>ACOMPANHAMENTO="BM"</formula>
    </cfRule>
    <cfRule type="expression" dxfId="798" priority="420" stopIfTrue="1">
      <formula>OR($B554=0,$B554=2,$B554=3,$B554=4)</formula>
    </cfRule>
    <cfRule type="expression" dxfId="797" priority="421" stopIfTrue="1">
      <formula>$B554=1</formula>
    </cfRule>
  </conditionalFormatting>
  <conditionalFormatting sqref="D587:I588">
    <cfRule type="expression" dxfId="796" priority="395" stopIfTrue="1">
      <formula>$B587=1</formula>
    </cfRule>
    <cfRule type="expression" dxfId="795" priority="396" stopIfTrue="1">
      <formula>OR($B587=0,$B587=2,$B587=3,$B587=4)</formula>
    </cfRule>
  </conditionalFormatting>
  <conditionalFormatting sqref="M587:N588">
    <cfRule type="expression" dxfId="794" priority="397" stopIfTrue="1">
      <formula>ACOMPANHAMENTO="BM"</formula>
    </cfRule>
    <cfRule type="expression" dxfId="793" priority="398" stopIfTrue="1">
      <formula>OR($B587=0,$B587=2,$B587=3,$B587=4)</formula>
    </cfRule>
    <cfRule type="expression" dxfId="792" priority="399" stopIfTrue="1">
      <formula>$B587=1</formula>
    </cfRule>
  </conditionalFormatting>
  <conditionalFormatting sqref="D555:I563">
    <cfRule type="expression" dxfId="791" priority="384" stopIfTrue="1">
      <formula>$B555=1</formula>
    </cfRule>
    <cfRule type="expression" dxfId="790" priority="385" stopIfTrue="1">
      <formula>OR($B555=0,$B555=2,$B555=3,$B555=4)</formula>
    </cfRule>
  </conditionalFormatting>
  <conditionalFormatting sqref="M555:N563">
    <cfRule type="expression" dxfId="789" priority="386" stopIfTrue="1">
      <formula>ACOMPANHAMENTO="BM"</formula>
    </cfRule>
    <cfRule type="expression" dxfId="788" priority="387" stopIfTrue="1">
      <formula>OR($B555=0,$B555=2,$B555=3,$B555=4)</formula>
    </cfRule>
    <cfRule type="expression" dxfId="787" priority="388" stopIfTrue="1">
      <formula>$B555=1</formula>
    </cfRule>
  </conditionalFormatting>
  <conditionalFormatting sqref="D564:I572">
    <cfRule type="expression" dxfId="786" priority="373" stopIfTrue="1">
      <formula>$B564=1</formula>
    </cfRule>
    <cfRule type="expression" dxfId="785" priority="374" stopIfTrue="1">
      <formula>OR($B564=0,$B564=2,$B564=3,$B564=4)</formula>
    </cfRule>
  </conditionalFormatting>
  <conditionalFormatting sqref="M564:N572">
    <cfRule type="expression" dxfId="784" priority="375" stopIfTrue="1">
      <formula>ACOMPANHAMENTO="BM"</formula>
    </cfRule>
    <cfRule type="expression" dxfId="783" priority="376" stopIfTrue="1">
      <formula>OR($B564=0,$B564=2,$B564=3,$B564=4)</formula>
    </cfRule>
    <cfRule type="expression" dxfId="782" priority="377" stopIfTrue="1">
      <formula>$B564=1</formula>
    </cfRule>
  </conditionalFormatting>
  <conditionalFormatting sqref="D729:I731">
    <cfRule type="expression" dxfId="781" priority="351" stopIfTrue="1">
      <formula>$B729=1</formula>
    </cfRule>
    <cfRule type="expression" dxfId="780" priority="352" stopIfTrue="1">
      <formula>OR($B729=0,$B729=2,$B729=3,$B729=4)</formula>
    </cfRule>
  </conditionalFormatting>
  <conditionalFormatting sqref="M729:N731">
    <cfRule type="expression" dxfId="779" priority="353" stopIfTrue="1">
      <formula>ACOMPANHAMENTO="BM"</formula>
    </cfRule>
    <cfRule type="expression" dxfId="778" priority="354" stopIfTrue="1">
      <formula>OR($B729=0,$B729=2,$B729=3,$B729=4)</formula>
    </cfRule>
    <cfRule type="expression" dxfId="777" priority="355" stopIfTrue="1">
      <formula>$B729=1</formula>
    </cfRule>
  </conditionalFormatting>
  <conditionalFormatting sqref="D732:I740">
    <cfRule type="expression" dxfId="776" priority="340" stopIfTrue="1">
      <formula>$B732=1</formula>
    </cfRule>
    <cfRule type="expression" dxfId="775" priority="341" stopIfTrue="1">
      <formula>OR($B732=0,$B732=2,$B732=3,$B732=4)</formula>
    </cfRule>
  </conditionalFormatting>
  <conditionalFormatting sqref="M732:N740">
    <cfRule type="expression" dxfId="774" priority="342" stopIfTrue="1">
      <formula>ACOMPANHAMENTO="BM"</formula>
    </cfRule>
    <cfRule type="expression" dxfId="773" priority="343" stopIfTrue="1">
      <formula>OR($B732=0,$B732=2,$B732=3,$B732=4)</formula>
    </cfRule>
    <cfRule type="expression" dxfId="772" priority="344" stopIfTrue="1">
      <formula>$B732=1</formula>
    </cfRule>
  </conditionalFormatting>
  <conditionalFormatting sqref="D741:I742">
    <cfRule type="expression" dxfId="771" priority="329" stopIfTrue="1">
      <formula>$B741=1</formula>
    </cfRule>
    <cfRule type="expression" dxfId="770" priority="330" stopIfTrue="1">
      <formula>OR($B741=0,$B741=2,$B741=3,$B741=4)</formula>
    </cfRule>
  </conditionalFormatting>
  <conditionalFormatting sqref="M741:N742">
    <cfRule type="expression" dxfId="769" priority="331" stopIfTrue="1">
      <formula>ACOMPANHAMENTO="BM"</formula>
    </cfRule>
    <cfRule type="expression" dxfId="768" priority="332" stopIfTrue="1">
      <formula>OR($B741=0,$B741=2,$B741=3,$B741=4)</formula>
    </cfRule>
    <cfRule type="expression" dxfId="767" priority="333" stopIfTrue="1">
      <formula>$B741=1</formula>
    </cfRule>
  </conditionalFormatting>
  <conditionalFormatting sqref="D594:I602">
    <cfRule type="expression" dxfId="766" priority="318" stopIfTrue="1">
      <formula>$B594=1</formula>
    </cfRule>
    <cfRule type="expression" dxfId="765" priority="319" stopIfTrue="1">
      <formula>OR($B594=0,$B594=2,$B594=3,$B594=4)</formula>
    </cfRule>
  </conditionalFormatting>
  <conditionalFormatting sqref="M594:N602">
    <cfRule type="expression" dxfId="764" priority="320" stopIfTrue="1">
      <formula>ACOMPANHAMENTO="BM"</formula>
    </cfRule>
    <cfRule type="expression" dxfId="763" priority="321" stopIfTrue="1">
      <formula>OR($B594=0,$B594=2,$B594=3,$B594=4)</formula>
    </cfRule>
    <cfRule type="expression" dxfId="762" priority="322" stopIfTrue="1">
      <formula>$B594=1</formula>
    </cfRule>
  </conditionalFormatting>
  <conditionalFormatting sqref="D700:I707">
    <cfRule type="expression" dxfId="761" priority="285" stopIfTrue="1">
      <formula>$B700=1</formula>
    </cfRule>
    <cfRule type="expression" dxfId="760" priority="286" stopIfTrue="1">
      <formula>OR($B700=0,$B700=2,$B700=3,$B700=4)</formula>
    </cfRule>
  </conditionalFormatting>
  <conditionalFormatting sqref="M700:N707">
    <cfRule type="expression" dxfId="759" priority="287" stopIfTrue="1">
      <formula>ACOMPANHAMENTO="BM"</formula>
    </cfRule>
    <cfRule type="expression" dxfId="758" priority="288" stopIfTrue="1">
      <formula>OR($B700=0,$B700=2,$B700=3,$B700=4)</formula>
    </cfRule>
    <cfRule type="expression" dxfId="757" priority="289" stopIfTrue="1">
      <formula>$B700=1</formula>
    </cfRule>
  </conditionalFormatting>
  <conditionalFormatting sqref="D719:I719">
    <cfRule type="expression" dxfId="756" priority="263" stopIfTrue="1">
      <formula>$B719=1</formula>
    </cfRule>
    <cfRule type="expression" dxfId="755" priority="264" stopIfTrue="1">
      <formula>OR($B719=0,$B719=2,$B719=3,$B719=4)</formula>
    </cfRule>
  </conditionalFormatting>
  <conditionalFormatting sqref="M719:N719">
    <cfRule type="expression" dxfId="754" priority="265" stopIfTrue="1">
      <formula>ACOMPANHAMENTO="BM"</formula>
    </cfRule>
    <cfRule type="expression" dxfId="753" priority="266" stopIfTrue="1">
      <formula>OR($B719=0,$B719=2,$B719=3,$B719=4)</formula>
    </cfRule>
    <cfRule type="expression" dxfId="752" priority="267" stopIfTrue="1">
      <formula>$B719=1</formula>
    </cfRule>
  </conditionalFormatting>
  <conditionalFormatting sqref="D682:I689">
    <cfRule type="expression" dxfId="751" priority="252" stopIfTrue="1">
      <formula>$B682=1</formula>
    </cfRule>
    <cfRule type="expression" dxfId="750" priority="253" stopIfTrue="1">
      <formula>OR($B682=0,$B682=2,$B682=3,$B682=4)</formula>
    </cfRule>
  </conditionalFormatting>
  <conditionalFormatting sqref="M682:N689">
    <cfRule type="expression" dxfId="749" priority="254" stopIfTrue="1">
      <formula>ACOMPANHAMENTO="BM"</formula>
    </cfRule>
    <cfRule type="expression" dxfId="748" priority="255" stopIfTrue="1">
      <formula>OR($B682=0,$B682=2,$B682=3,$B682=4)</formula>
    </cfRule>
    <cfRule type="expression" dxfId="747" priority="256" stopIfTrue="1">
      <formula>$B682=1</formula>
    </cfRule>
  </conditionalFormatting>
  <conditionalFormatting sqref="D697:I698">
    <cfRule type="expression" dxfId="746" priority="230" stopIfTrue="1">
      <formula>$B697=1</formula>
    </cfRule>
    <cfRule type="expression" dxfId="745" priority="231" stopIfTrue="1">
      <formula>OR($B697=0,$B697=2,$B697=3,$B697=4)</formula>
    </cfRule>
  </conditionalFormatting>
  <conditionalFormatting sqref="M697:N698">
    <cfRule type="expression" dxfId="744" priority="232" stopIfTrue="1">
      <formula>ACOMPANHAMENTO="BM"</formula>
    </cfRule>
    <cfRule type="expression" dxfId="743" priority="233" stopIfTrue="1">
      <formula>OR($B697=0,$B697=2,$B697=3,$B697=4)</formula>
    </cfRule>
    <cfRule type="expression" dxfId="742" priority="234" stopIfTrue="1">
      <formula>$B697=1</formula>
    </cfRule>
  </conditionalFormatting>
  <conditionalFormatting sqref="D620:I627">
    <cfRule type="expression" dxfId="741" priority="186" stopIfTrue="1">
      <formula>$B620=1</formula>
    </cfRule>
    <cfRule type="expression" dxfId="740" priority="187" stopIfTrue="1">
      <formula>OR($B620=0,$B620=2,$B620=3,$B620=4)</formula>
    </cfRule>
  </conditionalFormatting>
  <conditionalFormatting sqref="M620:N627">
    <cfRule type="expression" dxfId="739" priority="188" stopIfTrue="1">
      <formula>ACOMPANHAMENTO="BM"</formula>
    </cfRule>
    <cfRule type="expression" dxfId="738" priority="189" stopIfTrue="1">
      <formula>OR($B620=0,$B620=2,$B620=3,$B620=4)</formula>
    </cfRule>
    <cfRule type="expression" dxfId="737" priority="190" stopIfTrue="1">
      <formula>$B620=1</formula>
    </cfRule>
  </conditionalFormatting>
  <conditionalFormatting sqref="D628:I636">
    <cfRule type="expression" dxfId="736" priority="175" stopIfTrue="1">
      <formula>$B628=1</formula>
    </cfRule>
    <cfRule type="expression" dxfId="735" priority="176" stopIfTrue="1">
      <formula>OR($B628=0,$B628=2,$B628=3,$B628=4)</formula>
    </cfRule>
  </conditionalFormatting>
  <conditionalFormatting sqref="M628:N636">
    <cfRule type="expression" dxfId="734" priority="177" stopIfTrue="1">
      <formula>ACOMPANHAMENTO="BM"</formula>
    </cfRule>
    <cfRule type="expression" dxfId="733" priority="178" stopIfTrue="1">
      <formula>OR($B628=0,$B628=2,$B628=3,$B628=4)</formula>
    </cfRule>
    <cfRule type="expression" dxfId="732" priority="179" stopIfTrue="1">
      <formula>$B628=1</formula>
    </cfRule>
  </conditionalFormatting>
  <conditionalFormatting sqref="D637:I638">
    <cfRule type="expression" dxfId="731" priority="164" stopIfTrue="1">
      <formula>$B637=1</formula>
    </cfRule>
    <cfRule type="expression" dxfId="730" priority="165" stopIfTrue="1">
      <formula>OR($B637=0,$B637=2,$B637=3,$B637=4)</formula>
    </cfRule>
  </conditionalFormatting>
  <conditionalFormatting sqref="M637:N638">
    <cfRule type="expression" dxfId="729" priority="166" stopIfTrue="1">
      <formula>ACOMPANHAMENTO="BM"</formula>
    </cfRule>
    <cfRule type="expression" dxfId="728" priority="167" stopIfTrue="1">
      <formula>OR($B637=0,$B637=2,$B637=3,$B637=4)</formula>
    </cfRule>
    <cfRule type="expression" dxfId="727" priority="168" stopIfTrue="1">
      <formula>$B637=1</formula>
    </cfRule>
  </conditionalFormatting>
  <conditionalFormatting sqref="D39:I39">
    <cfRule type="expression" dxfId="726" priority="120" stopIfTrue="1">
      <formula>$B39=1</formula>
    </cfRule>
    <cfRule type="expression" dxfId="725" priority="121" stopIfTrue="1">
      <formula>OR($B39=0,$B39=2,$B39=3,$B39=4)</formula>
    </cfRule>
  </conditionalFormatting>
  <conditionalFormatting sqref="M39:N39">
    <cfRule type="expression" dxfId="724" priority="122" stopIfTrue="1">
      <formula>ACOMPANHAMENTO="BM"</formula>
    </cfRule>
    <cfRule type="expression" dxfId="723" priority="123" stopIfTrue="1">
      <formula>OR($B39=0,$B39=2,$B39=3,$B39=4)</formula>
    </cfRule>
    <cfRule type="expression" dxfId="722" priority="124" stopIfTrue="1">
      <formula>$B39=1</formula>
    </cfRule>
  </conditionalFormatting>
  <conditionalFormatting sqref="K39">
    <cfRule type="expression" dxfId="721" priority="125" stopIfTrue="1">
      <formula>OR(ACOMPANHAMENTO="BM",$A$12&lt;&gt;"Manual")</formula>
    </cfRule>
    <cfRule type="expression" dxfId="720" priority="126" stopIfTrue="1">
      <formula>$B39=1</formula>
    </cfRule>
    <cfRule type="expression" dxfId="719" priority="127" stopIfTrue="1">
      <formula>OR($B39=2,$B39=3,$B39=4,$B39=0)</formula>
    </cfRule>
  </conditionalFormatting>
  <conditionalFormatting sqref="O39:AA39">
    <cfRule type="expression" dxfId="718" priority="128" stopIfTrue="1">
      <formula>ACOMPANHAMENTO="BM"</formula>
    </cfRule>
    <cfRule type="expression" dxfId="717" priority="129" stopIfTrue="1">
      <formula>AND(O$12&lt;&gt;".",OR($B39=0,$B39=2,$B39=3,$B39=4,AND(O$12="",$B39&lt;&gt;"Empty"),OFFSET(O$12,0,-1)=""))</formula>
    </cfRule>
    <cfRule type="expression" dxfId="716" priority="130" stopIfTrue="1">
      <formula>AND($B39=1,O$12&lt;&gt;".")</formula>
    </cfRule>
  </conditionalFormatting>
  <conditionalFormatting sqref="D47:I47">
    <cfRule type="expression" dxfId="715" priority="109" stopIfTrue="1">
      <formula>$B47=1</formula>
    </cfRule>
    <cfRule type="expression" dxfId="714" priority="110" stopIfTrue="1">
      <formula>OR($B47=0,$B47=2,$B47=3,$B47=4)</formula>
    </cfRule>
  </conditionalFormatting>
  <conditionalFormatting sqref="M47:N47">
    <cfRule type="expression" dxfId="713" priority="111" stopIfTrue="1">
      <formula>ACOMPANHAMENTO="BM"</formula>
    </cfRule>
    <cfRule type="expression" dxfId="712" priority="112" stopIfTrue="1">
      <formula>OR($B47=0,$B47=2,$B47=3,$B47=4)</formula>
    </cfRule>
    <cfRule type="expression" dxfId="711" priority="113" stopIfTrue="1">
      <formula>$B47=1</formula>
    </cfRule>
  </conditionalFormatting>
  <conditionalFormatting sqref="K47">
    <cfRule type="expression" dxfId="710" priority="114" stopIfTrue="1">
      <formula>OR(ACOMPANHAMENTO="BM",$A$12&lt;&gt;"Manual")</formula>
    </cfRule>
    <cfRule type="expression" dxfId="709" priority="115" stopIfTrue="1">
      <formula>$B47=1</formula>
    </cfRule>
    <cfRule type="expression" dxfId="708" priority="116" stopIfTrue="1">
      <formula>OR($B47=2,$B47=3,$B47=4,$B47=0)</formula>
    </cfRule>
  </conditionalFormatting>
  <conditionalFormatting sqref="O47:AA47">
    <cfRule type="expression" dxfId="707" priority="117" stopIfTrue="1">
      <formula>ACOMPANHAMENTO="BM"</formula>
    </cfRule>
    <cfRule type="expression" dxfId="706" priority="118" stopIfTrue="1">
      <formula>AND(O$12&lt;&gt;".",OR($B47=0,$B47=2,$B47=3,$B47=4,AND(O$12="",$B47&lt;&gt;"Empty"),OFFSET(O$12,0,-1)=""))</formula>
    </cfRule>
    <cfRule type="expression" dxfId="705" priority="119" stopIfTrue="1">
      <formula>AND($B47=1,O$12&lt;&gt;".")</formula>
    </cfRule>
  </conditionalFormatting>
  <conditionalFormatting sqref="D58:I58">
    <cfRule type="expression" dxfId="704" priority="98" stopIfTrue="1">
      <formula>$B58=1</formula>
    </cfRule>
    <cfRule type="expression" dxfId="703" priority="99" stopIfTrue="1">
      <formula>OR($B58=0,$B58=2,$B58=3,$B58=4)</formula>
    </cfRule>
  </conditionalFormatting>
  <conditionalFormatting sqref="M58:N58">
    <cfRule type="expression" dxfId="702" priority="100" stopIfTrue="1">
      <formula>ACOMPANHAMENTO="BM"</formula>
    </cfRule>
    <cfRule type="expression" dxfId="701" priority="101" stopIfTrue="1">
      <formula>OR($B58=0,$B58=2,$B58=3,$B58=4)</formula>
    </cfRule>
    <cfRule type="expression" dxfId="700" priority="102" stopIfTrue="1">
      <formula>$B58=1</formula>
    </cfRule>
  </conditionalFormatting>
  <conditionalFormatting sqref="K58">
    <cfRule type="expression" dxfId="699" priority="103" stopIfTrue="1">
      <formula>OR(ACOMPANHAMENTO="BM",$A$12&lt;&gt;"Manual")</formula>
    </cfRule>
    <cfRule type="expression" dxfId="698" priority="104" stopIfTrue="1">
      <formula>$B58=1</formula>
    </cfRule>
    <cfRule type="expression" dxfId="697" priority="105" stopIfTrue="1">
      <formula>OR($B58=2,$B58=3,$B58=4,$B58=0)</formula>
    </cfRule>
  </conditionalFormatting>
  <conditionalFormatting sqref="O58:AA58">
    <cfRule type="expression" dxfId="696" priority="106" stopIfTrue="1">
      <formula>ACOMPANHAMENTO="BM"</formula>
    </cfRule>
    <cfRule type="expression" dxfId="695" priority="107" stopIfTrue="1">
      <formula>AND(O$12&lt;&gt;".",OR($B58=0,$B58=2,$B58=3,$B58=4,AND(O$12="",$B58&lt;&gt;"Empty"),OFFSET(O$12,0,-1)=""))</formula>
    </cfRule>
    <cfRule type="expression" dxfId="694" priority="108" stopIfTrue="1">
      <formula>AND($B58=1,O$12&lt;&gt;".")</formula>
    </cfRule>
  </conditionalFormatting>
  <conditionalFormatting sqref="D67:I74">
    <cfRule type="expression" dxfId="693" priority="87" stopIfTrue="1">
      <formula>$B67=1</formula>
    </cfRule>
    <cfRule type="expression" dxfId="692" priority="88" stopIfTrue="1">
      <formula>OR($B67=0,$B67=2,$B67=3,$B67=4)</formula>
    </cfRule>
  </conditionalFormatting>
  <conditionalFormatting sqref="M67:N74">
    <cfRule type="expression" dxfId="691" priority="89" stopIfTrue="1">
      <formula>ACOMPANHAMENTO="BM"</formula>
    </cfRule>
    <cfRule type="expression" dxfId="690" priority="90" stopIfTrue="1">
      <formula>OR($B67=0,$B67=2,$B67=3,$B67=4)</formula>
    </cfRule>
    <cfRule type="expression" dxfId="689" priority="91" stopIfTrue="1">
      <formula>$B67=1</formula>
    </cfRule>
  </conditionalFormatting>
  <conditionalFormatting sqref="K67:K74">
    <cfRule type="expression" dxfId="688" priority="92" stopIfTrue="1">
      <formula>OR(ACOMPANHAMENTO="BM",$A$12&lt;&gt;"Manual")</formula>
    </cfRule>
    <cfRule type="expression" dxfId="687" priority="93" stopIfTrue="1">
      <formula>$B67=1</formula>
    </cfRule>
    <cfRule type="expression" dxfId="686" priority="94" stopIfTrue="1">
      <formula>OR($B67=2,$B67=3,$B67=4,$B67=0)</formula>
    </cfRule>
  </conditionalFormatting>
  <conditionalFormatting sqref="O67:AA74">
    <cfRule type="expression" dxfId="685" priority="95" stopIfTrue="1">
      <formula>ACOMPANHAMENTO="BM"</formula>
    </cfRule>
    <cfRule type="expression" dxfId="684" priority="96" stopIfTrue="1">
      <formula>AND(O$12&lt;&gt;".",OR($B67=0,$B67=2,$B67=3,$B67=4,AND(O$12="",$B67&lt;&gt;"Empty"),OFFSET(O$12,0,-1)=""))</formula>
    </cfRule>
    <cfRule type="expression" dxfId="683" priority="97" stopIfTrue="1">
      <formula>AND($B67=1,O$12&lt;&gt;".")</formula>
    </cfRule>
  </conditionalFormatting>
  <conditionalFormatting sqref="D62:I66">
    <cfRule type="expression" dxfId="682" priority="76" stopIfTrue="1">
      <formula>$B62=1</formula>
    </cfRule>
    <cfRule type="expression" dxfId="681" priority="77" stopIfTrue="1">
      <formula>OR($B62=0,$B62=2,$B62=3,$B62=4)</formula>
    </cfRule>
  </conditionalFormatting>
  <conditionalFormatting sqref="M62:N66">
    <cfRule type="expression" dxfId="680" priority="78" stopIfTrue="1">
      <formula>ACOMPANHAMENTO="BM"</formula>
    </cfRule>
    <cfRule type="expression" dxfId="679" priority="79" stopIfTrue="1">
      <formula>OR($B62=0,$B62=2,$B62=3,$B62=4)</formula>
    </cfRule>
    <cfRule type="expression" dxfId="678" priority="80" stopIfTrue="1">
      <formula>$B62=1</formula>
    </cfRule>
  </conditionalFormatting>
  <conditionalFormatting sqref="K62:K66">
    <cfRule type="expression" dxfId="677" priority="81" stopIfTrue="1">
      <formula>OR(ACOMPANHAMENTO="BM",$A$12&lt;&gt;"Manual")</formula>
    </cfRule>
    <cfRule type="expression" dxfId="676" priority="82" stopIfTrue="1">
      <formula>$B62=1</formula>
    </cfRule>
    <cfRule type="expression" dxfId="675" priority="83" stopIfTrue="1">
      <formula>OR($B62=2,$B62=3,$B62=4,$B62=0)</formula>
    </cfRule>
  </conditionalFormatting>
  <conditionalFormatting sqref="O62:AA66">
    <cfRule type="expression" dxfId="674" priority="84" stopIfTrue="1">
      <formula>ACOMPANHAMENTO="BM"</formula>
    </cfRule>
    <cfRule type="expression" dxfId="673" priority="85" stopIfTrue="1">
      <formula>AND(O$12&lt;&gt;".",OR($B62=0,$B62=2,$B62=3,$B62=4,AND(O$12="",$B62&lt;&gt;"Empty"),OFFSET(O$12,0,-1)=""))</formula>
    </cfRule>
    <cfRule type="expression" dxfId="672" priority="86" stopIfTrue="1">
      <formula>AND($B62=1,O$12&lt;&gt;".")</formula>
    </cfRule>
  </conditionalFormatting>
  <conditionalFormatting sqref="D87:I87">
    <cfRule type="expression" dxfId="671" priority="71" stopIfTrue="1">
      <formula>$B87=1</formula>
    </cfRule>
    <cfRule type="expression" dxfId="670" priority="72" stopIfTrue="1">
      <formula>OR($B87=0,$B87=2,$B87=3,$B87=4)</formula>
    </cfRule>
  </conditionalFormatting>
  <conditionalFormatting sqref="M87:N87">
    <cfRule type="expression" dxfId="669" priority="73" stopIfTrue="1">
      <formula>ACOMPANHAMENTO="BM"</formula>
    </cfRule>
    <cfRule type="expression" dxfId="668" priority="74" stopIfTrue="1">
      <formula>OR($B87=0,$B87=2,$B87=3,$B87=4)</formula>
    </cfRule>
    <cfRule type="expression" dxfId="667" priority="75" stopIfTrue="1">
      <formula>$B87=1</formula>
    </cfRule>
  </conditionalFormatting>
  <conditionalFormatting sqref="D85:I85">
    <cfRule type="expression" dxfId="666" priority="66" stopIfTrue="1">
      <formula>$B85=1</formula>
    </cfRule>
    <cfRule type="expression" dxfId="665" priority="67" stopIfTrue="1">
      <formula>OR($B85=0,$B85=2,$B85=3,$B85=4)</formula>
    </cfRule>
  </conditionalFormatting>
  <conditionalFormatting sqref="M85:N85">
    <cfRule type="expression" dxfId="664" priority="68" stopIfTrue="1">
      <formula>ACOMPANHAMENTO="BM"</formula>
    </cfRule>
    <cfRule type="expression" dxfId="663" priority="69" stopIfTrue="1">
      <formula>OR($B85=0,$B85=2,$B85=3,$B85=4)</formula>
    </cfRule>
    <cfRule type="expression" dxfId="662" priority="70" stopIfTrue="1">
      <formula>$B85=1</formula>
    </cfRule>
  </conditionalFormatting>
  <conditionalFormatting sqref="D95:I99">
    <cfRule type="expression" dxfId="661" priority="61" stopIfTrue="1">
      <formula>$B95=1</formula>
    </cfRule>
    <cfRule type="expression" dxfId="660" priority="62" stopIfTrue="1">
      <formula>OR($B95=0,$B95=2,$B95=3,$B95=4)</formula>
    </cfRule>
  </conditionalFormatting>
  <conditionalFormatting sqref="M95:N99">
    <cfRule type="expression" dxfId="659" priority="63" stopIfTrue="1">
      <formula>ACOMPANHAMENTO="BM"</formula>
    </cfRule>
    <cfRule type="expression" dxfId="658" priority="64" stopIfTrue="1">
      <formula>OR($B95=0,$B95=2,$B95=3,$B95=4)</formula>
    </cfRule>
    <cfRule type="expression" dxfId="657" priority="65" stopIfTrue="1">
      <formula>$B95=1</formula>
    </cfRule>
  </conditionalFormatting>
  <conditionalFormatting sqref="D102:I104">
    <cfRule type="expression" dxfId="656" priority="56" stopIfTrue="1">
      <formula>$B102=1</formula>
    </cfRule>
    <cfRule type="expression" dxfId="655" priority="57" stopIfTrue="1">
      <formula>OR($B102=0,$B102=2,$B102=3,$B102=4)</formula>
    </cfRule>
  </conditionalFormatting>
  <conditionalFormatting sqref="M102:N104">
    <cfRule type="expression" dxfId="654" priority="58" stopIfTrue="1">
      <formula>ACOMPANHAMENTO="BM"</formula>
    </cfRule>
    <cfRule type="expression" dxfId="653" priority="59" stopIfTrue="1">
      <formula>OR($B102=0,$B102=2,$B102=3,$B102=4)</formula>
    </cfRule>
    <cfRule type="expression" dxfId="652" priority="60" stopIfTrue="1">
      <formula>$B102=1</formula>
    </cfRule>
  </conditionalFormatting>
  <conditionalFormatting sqref="D207:I212">
    <cfRule type="expression" dxfId="651" priority="41" stopIfTrue="1">
      <formula>$B207=1</formula>
    </cfRule>
    <cfRule type="expression" dxfId="650" priority="42" stopIfTrue="1">
      <formula>OR($B207=0,$B207=2,$B207=3,$B207=4)</formula>
    </cfRule>
  </conditionalFormatting>
  <conditionalFormatting sqref="M207:N212">
    <cfRule type="expression" dxfId="649" priority="43" stopIfTrue="1">
      <formula>ACOMPANHAMENTO="BM"</formula>
    </cfRule>
    <cfRule type="expression" dxfId="648" priority="44" stopIfTrue="1">
      <formula>OR($B207=0,$B207=2,$B207=3,$B207=4)</formula>
    </cfRule>
    <cfRule type="expression" dxfId="647" priority="45" stopIfTrue="1">
      <formula>$B207=1</formula>
    </cfRule>
  </conditionalFormatting>
  <conditionalFormatting sqref="D226:I226">
    <cfRule type="expression" dxfId="646" priority="36" stopIfTrue="1">
      <formula>$B226=1</formula>
    </cfRule>
    <cfRule type="expression" dxfId="645" priority="37" stopIfTrue="1">
      <formula>OR($B226=0,$B226=2,$B226=3,$B226=4)</formula>
    </cfRule>
  </conditionalFormatting>
  <conditionalFormatting sqref="M226:N226">
    <cfRule type="expression" dxfId="644" priority="38" stopIfTrue="1">
      <formula>ACOMPANHAMENTO="BM"</formula>
    </cfRule>
    <cfRule type="expression" dxfId="643" priority="39" stopIfTrue="1">
      <formula>OR($B226=0,$B226=2,$B226=3,$B226=4)</formula>
    </cfRule>
    <cfRule type="expression" dxfId="642" priority="40" stopIfTrue="1">
      <formula>$B226=1</formula>
    </cfRule>
  </conditionalFormatting>
  <conditionalFormatting sqref="D236:I239">
    <cfRule type="expression" dxfId="641" priority="31" stopIfTrue="1">
      <formula>$B236=1</formula>
    </cfRule>
    <cfRule type="expression" dxfId="640" priority="32" stopIfTrue="1">
      <formula>OR($B236=0,$B236=2,$B236=3,$B236=4)</formula>
    </cfRule>
  </conditionalFormatting>
  <conditionalFormatting sqref="M236:N239">
    <cfRule type="expression" dxfId="639" priority="33" stopIfTrue="1">
      <formula>ACOMPANHAMENTO="BM"</formula>
    </cfRule>
    <cfRule type="expression" dxfId="638" priority="34" stopIfTrue="1">
      <formula>OR($B236=0,$B236=2,$B236=3,$B236=4)</formula>
    </cfRule>
    <cfRule type="expression" dxfId="637" priority="35" stopIfTrue="1">
      <formula>$B236=1</formula>
    </cfRule>
  </conditionalFormatting>
  <conditionalFormatting sqref="D250:I250">
    <cfRule type="expression" dxfId="636" priority="26" stopIfTrue="1">
      <formula>$B250=1</formula>
    </cfRule>
    <cfRule type="expression" dxfId="635" priority="27" stopIfTrue="1">
      <formula>OR($B250=0,$B250=2,$B250=3,$B250=4)</formula>
    </cfRule>
  </conditionalFormatting>
  <conditionalFormatting sqref="M250:N250">
    <cfRule type="expression" dxfId="634" priority="28" stopIfTrue="1">
      <formula>ACOMPANHAMENTO="BM"</formula>
    </cfRule>
    <cfRule type="expression" dxfId="633" priority="29" stopIfTrue="1">
      <formula>OR($B250=0,$B250=2,$B250=3,$B250=4)</formula>
    </cfRule>
    <cfRule type="expression" dxfId="632" priority="30" stopIfTrue="1">
      <formula>$B250=1</formula>
    </cfRule>
  </conditionalFormatting>
  <conditionalFormatting sqref="D305:I305">
    <cfRule type="expression" dxfId="631" priority="21" stopIfTrue="1">
      <formula>$B305=1</formula>
    </cfRule>
    <cfRule type="expression" dxfId="630" priority="22" stopIfTrue="1">
      <formula>OR($B305=0,$B305=2,$B305=3,$B305=4)</formula>
    </cfRule>
  </conditionalFormatting>
  <conditionalFormatting sqref="M305:N305">
    <cfRule type="expression" dxfId="629" priority="23" stopIfTrue="1">
      <formula>ACOMPANHAMENTO="BM"</formula>
    </cfRule>
    <cfRule type="expression" dxfId="628" priority="24" stopIfTrue="1">
      <formula>OR($B305=0,$B305=2,$B305=3,$B305=4)</formula>
    </cfRule>
    <cfRule type="expression" dxfId="627" priority="25" stopIfTrue="1">
      <formula>$B305=1</formula>
    </cfRule>
  </conditionalFormatting>
  <conditionalFormatting sqref="D314:I314">
    <cfRule type="expression" dxfId="626" priority="16" stopIfTrue="1">
      <formula>$B314=1</formula>
    </cfRule>
    <cfRule type="expression" dxfId="625" priority="17" stopIfTrue="1">
      <formula>OR($B314=0,$B314=2,$B314=3,$B314=4)</formula>
    </cfRule>
  </conditionalFormatting>
  <conditionalFormatting sqref="M314:N314">
    <cfRule type="expression" dxfId="624" priority="18" stopIfTrue="1">
      <formula>ACOMPANHAMENTO="BM"</formula>
    </cfRule>
    <cfRule type="expression" dxfId="623" priority="19" stopIfTrue="1">
      <formula>OR($B314=0,$B314=2,$B314=3,$B314=4)</formula>
    </cfRule>
    <cfRule type="expression" dxfId="622" priority="20" stopIfTrue="1">
      <formula>$B314=1</formula>
    </cfRule>
  </conditionalFormatting>
  <conditionalFormatting sqref="D337:I339">
    <cfRule type="expression" dxfId="621" priority="11" stopIfTrue="1">
      <formula>$B337=1</formula>
    </cfRule>
    <cfRule type="expression" dxfId="620" priority="12" stopIfTrue="1">
      <formula>OR($B337=0,$B337=2,$B337=3,$B337=4)</formula>
    </cfRule>
  </conditionalFormatting>
  <conditionalFormatting sqref="M337:N339">
    <cfRule type="expression" dxfId="619" priority="13" stopIfTrue="1">
      <formula>ACOMPANHAMENTO="BM"</formula>
    </cfRule>
    <cfRule type="expression" dxfId="618" priority="14" stopIfTrue="1">
      <formula>OR($B337=0,$B337=2,$B337=3,$B337=4)</formula>
    </cfRule>
    <cfRule type="expression" dxfId="617" priority="15" stopIfTrue="1">
      <formula>$B337=1</formula>
    </cfRule>
  </conditionalFormatting>
  <conditionalFormatting sqref="D448:I448">
    <cfRule type="expression" dxfId="616" priority="6" stopIfTrue="1">
      <formula>$B448=1</formula>
    </cfRule>
    <cfRule type="expression" dxfId="615" priority="7" stopIfTrue="1">
      <formula>OR($B448=0,$B448=2,$B448=3,$B448=4)</formula>
    </cfRule>
  </conditionalFormatting>
  <conditionalFormatting sqref="M448:N448">
    <cfRule type="expression" dxfId="614" priority="8" stopIfTrue="1">
      <formula>ACOMPANHAMENTO="BM"</formula>
    </cfRule>
    <cfRule type="expression" dxfId="613" priority="9" stopIfTrue="1">
      <formula>OR($B448=0,$B448=2,$B448=3,$B448=4)</formula>
    </cfRule>
    <cfRule type="expression" dxfId="612" priority="10" stopIfTrue="1">
      <formula>$B448=1</formula>
    </cfRule>
  </conditionalFormatting>
  <conditionalFormatting sqref="D699:I699">
    <cfRule type="expression" dxfId="611" priority="1" stopIfTrue="1">
      <formula>$B699=1</formula>
    </cfRule>
    <cfRule type="expression" dxfId="610" priority="2" stopIfTrue="1">
      <formula>OR($B699=0,$B699=2,$B699=3,$B699=4)</formula>
    </cfRule>
  </conditionalFormatting>
  <conditionalFormatting sqref="M699:N699">
    <cfRule type="expression" dxfId="609" priority="3" stopIfTrue="1">
      <formula>ACOMPANHAMENTO="BM"</formula>
    </cfRule>
    <cfRule type="expression" dxfId="608" priority="4" stopIfTrue="1">
      <formula>OR($B699=0,$B699=2,$B699=3,$B699=4)</formula>
    </cfRule>
    <cfRule type="expression" dxfId="607" priority="5" stopIfTrue="1">
      <formula>$B699=1</formula>
    </cfRule>
  </conditionalFormatting>
  <dataValidations count="4">
    <dataValidation type="decimal" operator="greaterThan" allowBlank="1" showErrorMessage="1" error="Apenas números decimais maiores que zero." sqref="O14 Q14:Z14 Q16:Z746 O16:O746">
      <formula1>0</formula1>
      <formula2>0</formula2>
    </dataValidation>
    <dataValidation type="list" allowBlank="1" showErrorMessage="1" sqref="K14 K16:K746">
      <formula1>EVENTOS.ListaValidacao</formula1>
      <formula2>0</formula2>
    </dataValidation>
    <dataValidation allowBlank="1" showInputMessage="1" showErrorMessage="1" prompt="A quantidade é digitada nas colunas Q em diante, após preencher o nome das frentes de obra na célula Q12 em diante" sqref="H14 H16:H746"/>
    <dataValidation allowBlank="1" showInputMessage="1" showErrorMessage="1" prompt="A frente de obra é uma porção física da obra. Exemplos: Única; Rua A; Rua B; Trecho 01; Trecho 02; 1º Andar; 2º Andar; Copa; Banheiro" sqref="Q12"/>
  </dataValidations>
  <pageMargins left="0.78740157480314998" right="0.78740157480314998" top="0.78740157480314998" bottom="0.78740157480314998" header="0.59055118110236204" footer="0.59055118110236204"/>
  <pageSetup paperSize="9" firstPageNumber="0" orientation="landscape" r:id="rId1"/>
  <headerFooter alignWithMargins="0">
    <oddHeader>&amp;C&amp;14I</oddHeader>
    <oddFooter>&amp;LPMv3.0.6&amp;R&amp;P / &amp;N</oddFooter>
  </headerFooter>
  <colBreaks count="1" manualBreakCount="1">
    <brk id="27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8">
    <pageSetUpPr fitToPage="1"/>
  </sheetPr>
  <dimension ref="B2:F65"/>
  <sheetViews>
    <sheetView showGridLines="0" zoomScale="90" zoomScaleNormal="90" workbookViewId="0">
      <pane ySplit="14" topLeftCell="A15" activePane="bottomLeft" state="frozen"/>
      <selection pane="bottomLeft"/>
    </sheetView>
  </sheetViews>
  <sheetFormatPr defaultRowHeight="12.75" x14ac:dyDescent="0.2"/>
  <cols>
    <col min="2" max="2" width="0" hidden="1" customWidth="1"/>
    <col min="3" max="3" width="12.7109375" customWidth="1"/>
    <col min="4" max="4" width="30.7109375" customWidth="1"/>
    <col min="6" max="6" width="25.7109375" customWidth="1"/>
  </cols>
  <sheetData>
    <row r="2" spans="2:6" ht="15.75" x14ac:dyDescent="0.2">
      <c r="C2" s="83" t="s">
        <v>264</v>
      </c>
    </row>
    <row r="4" spans="2:6" x14ac:dyDescent="0.2">
      <c r="C4" t="s">
        <v>265</v>
      </c>
    </row>
    <row r="6" spans="2:6" x14ac:dyDescent="0.2">
      <c r="C6" s="628" t="s">
        <v>408</v>
      </c>
      <c r="D6" s="628"/>
      <c r="E6" s="628"/>
      <c r="F6" s="628"/>
    </row>
    <row r="8" spans="2:6" ht="33.75" customHeight="1" x14ac:dyDescent="0.2"/>
    <row r="9" spans="2:6" ht="12" customHeight="1" x14ac:dyDescent="0.2">
      <c r="C9" s="629" t="str">
        <f>IF(ACOMPANHAMENTO="BM","Foi selecionado na aba 'MENU' o acompanhamento por BM. Não há necessidade de definição de Eventos.","")</f>
        <v>Foi selecionado na aba 'MENU' o acompanhamento por BM. Não há necessidade de definição de Eventos.</v>
      </c>
      <c r="D9" s="629"/>
      <c r="E9" s="629"/>
      <c r="F9" s="629"/>
    </row>
    <row r="10" spans="2:6" ht="12" customHeight="1" x14ac:dyDescent="0.2">
      <c r="C10" s="629"/>
      <c r="D10" s="629"/>
      <c r="E10" s="629"/>
      <c r="F10" s="629"/>
    </row>
    <row r="11" spans="2:6" ht="12" customHeight="1" x14ac:dyDescent="0.2">
      <c r="C11" s="629"/>
      <c r="D11" s="629"/>
      <c r="E11" s="629"/>
      <c r="F11" s="629"/>
    </row>
    <row r="12" spans="2:6" ht="12" customHeight="1" x14ac:dyDescent="0.2"/>
    <row r="13" spans="2:6" ht="15" x14ac:dyDescent="0.25">
      <c r="C13" s="196" t="s">
        <v>266</v>
      </c>
      <c r="D13" s="630" t="s">
        <v>267</v>
      </c>
      <c r="E13" s="630"/>
      <c r="F13" s="197" t="s">
        <v>268</v>
      </c>
    </row>
    <row r="14" spans="2:6" hidden="1" x14ac:dyDescent="0.2">
      <c r="B14" t="e">
        <f ca="1">CONCATENATE(C14,".",D14)</f>
        <v>#VALUE!</v>
      </c>
      <c r="C14" s="198" t="e">
        <f ca="1">OFFSET(C14,-1,0)+1</f>
        <v>#VALUE!</v>
      </c>
      <c r="D14" s="627"/>
      <c r="E14" s="627"/>
      <c r="F14" s="199">
        <f ca="1">IF(AUTOEVENTO="Manual",ROUND(SUMPRODUCT((CÁLCULO!$M$15:$M$747=EVENTOS!$C14)*(OFFSET(CÁLCULO!$AA$15,0,1):OFFSET(CÁLCULO!$AL$747,0,-1))),2),0)</f>
        <v>0</v>
      </c>
    </row>
    <row r="15" spans="2:6" x14ac:dyDescent="0.2">
      <c r="B15" t="str">
        <f>CONCATENATE(C15,".",D15)</f>
        <v>1.Administração Local</v>
      </c>
      <c r="C15" s="200">
        <v>1</v>
      </c>
      <c r="D15" s="631" t="s">
        <v>269</v>
      </c>
      <c r="E15" s="631"/>
      <c r="F15" s="201">
        <f ca="1">IF(AUTOEVENTO="Manual",ROUND(SUMIF(CÁLCULO!$M$15:$M$747,1,ORÇAMENTO!$X$15:$X$747),2),0)</f>
        <v>0</v>
      </c>
    </row>
    <row r="16" spans="2:6" x14ac:dyDescent="0.2">
      <c r="B16" t="str">
        <f t="shared" ref="B16:B64" ca="1" si="0">CONCATENATE(C16,".",D16)</f>
        <v>2.</v>
      </c>
      <c r="C16" s="198">
        <f t="shared" ref="C16:C64" ca="1" si="1">OFFSET(C16,-1,0)+1</f>
        <v>2</v>
      </c>
      <c r="D16" s="627"/>
      <c r="E16" s="627"/>
      <c r="F16" s="199">
        <f ca="1">IF(AUTOEVENTO="Manual",ROUND(SUMPRODUCT((CÁLCULO!$M$15:$M$747=EVENTOS!$C16)*(OFFSET(CÁLCULO!$AA$15,0,1):OFFSET(CÁLCULO!$AL$747,0,-1))),2),0)</f>
        <v>0</v>
      </c>
    </row>
    <row r="17" spans="2:6" x14ac:dyDescent="0.2">
      <c r="B17" t="str">
        <f t="shared" ca="1" si="0"/>
        <v>3.</v>
      </c>
      <c r="C17" s="198">
        <f t="shared" ca="1" si="1"/>
        <v>3</v>
      </c>
      <c r="D17" s="627"/>
      <c r="E17" s="627"/>
      <c r="F17" s="199">
        <f ca="1">IF(AUTOEVENTO="Manual",ROUND(SUMPRODUCT((CÁLCULO!$M$15:$M$747=EVENTOS!$C17)*(OFFSET(CÁLCULO!$AA$15,0,1):OFFSET(CÁLCULO!$AL$747,0,-1))),2),0)</f>
        <v>0</v>
      </c>
    </row>
    <row r="18" spans="2:6" x14ac:dyDescent="0.2">
      <c r="B18" t="str">
        <f t="shared" ca="1" si="0"/>
        <v>4.</v>
      </c>
      <c r="C18" s="198">
        <f t="shared" ca="1" si="1"/>
        <v>4</v>
      </c>
      <c r="D18" s="627"/>
      <c r="E18" s="627"/>
      <c r="F18" s="199">
        <f ca="1">IF(AUTOEVENTO="Manual",ROUND(SUMPRODUCT((CÁLCULO!$M$15:$M$747=EVENTOS!$C18)*(OFFSET(CÁLCULO!$AA$15,0,1):OFFSET(CÁLCULO!$AL$747,0,-1))),2),0)</f>
        <v>0</v>
      </c>
    </row>
    <row r="19" spans="2:6" x14ac:dyDescent="0.2">
      <c r="B19" t="str">
        <f t="shared" ca="1" si="0"/>
        <v>5.</v>
      </c>
      <c r="C19" s="198">
        <f t="shared" ca="1" si="1"/>
        <v>5</v>
      </c>
      <c r="D19" s="627"/>
      <c r="E19" s="627"/>
      <c r="F19" s="199">
        <f ca="1">IF(AUTOEVENTO="Manual",ROUND(SUMPRODUCT((CÁLCULO!$M$15:$M$747=EVENTOS!$C19)*(OFFSET(CÁLCULO!$AA$15,0,1):OFFSET(CÁLCULO!$AL$747,0,-1))),2),0)</f>
        <v>0</v>
      </c>
    </row>
    <row r="20" spans="2:6" x14ac:dyDescent="0.2">
      <c r="B20" t="str">
        <f t="shared" ca="1" si="0"/>
        <v>6.</v>
      </c>
      <c r="C20" s="198">
        <f t="shared" ca="1" si="1"/>
        <v>6</v>
      </c>
      <c r="D20" s="627"/>
      <c r="E20" s="627"/>
      <c r="F20" s="199">
        <f ca="1">IF(AUTOEVENTO="Manual",ROUND(SUMPRODUCT((CÁLCULO!$M$15:$M$747=EVENTOS!$C20)*(OFFSET(CÁLCULO!$AA$15,0,1):OFFSET(CÁLCULO!$AL$747,0,-1))),2),0)</f>
        <v>0</v>
      </c>
    </row>
    <row r="21" spans="2:6" x14ac:dyDescent="0.2">
      <c r="B21" t="str">
        <f t="shared" ca="1" si="0"/>
        <v>7.</v>
      </c>
      <c r="C21" s="198">
        <f t="shared" ca="1" si="1"/>
        <v>7</v>
      </c>
      <c r="D21" s="627"/>
      <c r="E21" s="627"/>
      <c r="F21" s="199">
        <f ca="1">IF(AUTOEVENTO="Manual",ROUND(SUMPRODUCT((CÁLCULO!$M$15:$M$747=EVENTOS!$C21)*(OFFSET(CÁLCULO!$AA$15,0,1):OFFSET(CÁLCULO!$AL$747,0,-1))),2),0)</f>
        <v>0</v>
      </c>
    </row>
    <row r="22" spans="2:6" x14ac:dyDescent="0.2">
      <c r="B22" t="str">
        <f t="shared" ca="1" si="0"/>
        <v>8.</v>
      </c>
      <c r="C22" s="198">
        <f t="shared" ca="1" si="1"/>
        <v>8</v>
      </c>
      <c r="D22" s="627"/>
      <c r="E22" s="627"/>
      <c r="F22" s="199">
        <f ca="1">IF(AUTOEVENTO="Manual",ROUND(SUMPRODUCT((CÁLCULO!$M$15:$M$747=EVENTOS!$C22)*(OFFSET(CÁLCULO!$AA$15,0,1):OFFSET(CÁLCULO!$AL$747,0,-1))),2),0)</f>
        <v>0</v>
      </c>
    </row>
    <row r="23" spans="2:6" x14ac:dyDescent="0.2">
      <c r="B23" t="str">
        <f t="shared" ca="1" si="0"/>
        <v>9.</v>
      </c>
      <c r="C23" s="198">
        <f t="shared" ca="1" si="1"/>
        <v>9</v>
      </c>
      <c r="D23" s="627"/>
      <c r="E23" s="627"/>
      <c r="F23" s="199">
        <f ca="1">IF(AUTOEVENTO="Manual",ROUND(SUMPRODUCT((CÁLCULO!$M$15:$M$747=EVENTOS!$C23)*(OFFSET(CÁLCULO!$AA$15,0,1):OFFSET(CÁLCULO!$AL$747,0,-1))),2),0)</f>
        <v>0</v>
      </c>
    </row>
    <row r="24" spans="2:6" x14ac:dyDescent="0.2">
      <c r="B24" t="str">
        <f t="shared" ca="1" si="0"/>
        <v>10.</v>
      </c>
      <c r="C24" s="198">
        <f t="shared" ca="1" si="1"/>
        <v>10</v>
      </c>
      <c r="D24" s="627"/>
      <c r="E24" s="627"/>
      <c r="F24" s="199">
        <f ca="1">IF(AUTOEVENTO="Manual",ROUND(SUMPRODUCT((CÁLCULO!$M$15:$M$747=EVENTOS!$C24)*(OFFSET(CÁLCULO!$AA$15,0,1):OFFSET(CÁLCULO!$AL$747,0,-1))),2),0)</f>
        <v>0</v>
      </c>
    </row>
    <row r="25" spans="2:6" x14ac:dyDescent="0.2">
      <c r="B25" t="str">
        <f t="shared" ca="1" si="0"/>
        <v>11.</v>
      </c>
      <c r="C25" s="198">
        <f t="shared" ca="1" si="1"/>
        <v>11</v>
      </c>
      <c r="D25" s="627"/>
      <c r="E25" s="627"/>
      <c r="F25" s="199">
        <f ca="1">IF(AUTOEVENTO="Manual",ROUND(SUMPRODUCT((CÁLCULO!$M$15:$M$747=EVENTOS!$C25)*(OFFSET(CÁLCULO!$AA$15,0,1):OFFSET(CÁLCULO!$AL$747,0,-1))),2),0)</f>
        <v>0</v>
      </c>
    </row>
    <row r="26" spans="2:6" x14ac:dyDescent="0.2">
      <c r="B26" t="str">
        <f t="shared" ca="1" si="0"/>
        <v>12.</v>
      </c>
      <c r="C26" s="198">
        <f t="shared" ca="1" si="1"/>
        <v>12</v>
      </c>
      <c r="D26" s="627"/>
      <c r="E26" s="627"/>
      <c r="F26" s="199">
        <f ca="1">IF(AUTOEVENTO="Manual",ROUND(SUMPRODUCT((CÁLCULO!$M$15:$M$747=EVENTOS!$C26)*(OFFSET(CÁLCULO!$AA$15,0,1):OFFSET(CÁLCULO!$AL$747,0,-1))),2),0)</f>
        <v>0</v>
      </c>
    </row>
    <row r="27" spans="2:6" x14ac:dyDescent="0.2">
      <c r="B27" t="str">
        <f t="shared" ca="1" si="0"/>
        <v>13.</v>
      </c>
      <c r="C27" s="198">
        <f t="shared" ca="1" si="1"/>
        <v>13</v>
      </c>
      <c r="D27" s="627"/>
      <c r="E27" s="627"/>
      <c r="F27" s="199">
        <f ca="1">IF(AUTOEVENTO="Manual",ROUND(SUMPRODUCT((CÁLCULO!$M$15:$M$747=EVENTOS!$C27)*(OFFSET(CÁLCULO!$AA$15,0,1):OFFSET(CÁLCULO!$AL$747,0,-1))),2),0)</f>
        <v>0</v>
      </c>
    </row>
    <row r="28" spans="2:6" x14ac:dyDescent="0.2">
      <c r="B28" t="str">
        <f t="shared" ca="1" si="0"/>
        <v>14.</v>
      </c>
      <c r="C28" s="198">
        <f t="shared" ca="1" si="1"/>
        <v>14</v>
      </c>
      <c r="D28" s="627"/>
      <c r="E28" s="627"/>
      <c r="F28" s="199">
        <f ca="1">IF(AUTOEVENTO="Manual",ROUND(SUMPRODUCT((CÁLCULO!$M$15:$M$747=EVENTOS!$C28)*(OFFSET(CÁLCULO!$AA$15,0,1):OFFSET(CÁLCULO!$AL$747,0,-1))),2),0)</f>
        <v>0</v>
      </c>
    </row>
    <row r="29" spans="2:6" x14ac:dyDescent="0.2">
      <c r="B29" t="str">
        <f t="shared" ca="1" si="0"/>
        <v>15.</v>
      </c>
      <c r="C29" s="198">
        <f t="shared" ca="1" si="1"/>
        <v>15</v>
      </c>
      <c r="D29" s="627"/>
      <c r="E29" s="627"/>
      <c r="F29" s="199">
        <f ca="1">IF(AUTOEVENTO="Manual",ROUND(SUMPRODUCT((CÁLCULO!$M$15:$M$747=EVENTOS!$C29)*(OFFSET(CÁLCULO!$AA$15,0,1):OFFSET(CÁLCULO!$AL$747,0,-1))),2),0)</f>
        <v>0</v>
      </c>
    </row>
    <row r="30" spans="2:6" x14ac:dyDescent="0.2">
      <c r="B30" t="str">
        <f t="shared" ca="1" si="0"/>
        <v>16.</v>
      </c>
      <c r="C30" s="198">
        <f t="shared" ca="1" si="1"/>
        <v>16</v>
      </c>
      <c r="D30" s="627"/>
      <c r="E30" s="627"/>
      <c r="F30" s="199">
        <f ca="1">IF(AUTOEVENTO="Manual",ROUND(SUMPRODUCT((CÁLCULO!$M$15:$M$747=EVENTOS!$C30)*(OFFSET(CÁLCULO!$AA$15,0,1):OFFSET(CÁLCULO!$AL$747,0,-1))),2),0)</f>
        <v>0</v>
      </c>
    </row>
    <row r="31" spans="2:6" x14ac:dyDescent="0.2">
      <c r="B31" t="str">
        <f t="shared" ca="1" si="0"/>
        <v>17.</v>
      </c>
      <c r="C31" s="198">
        <f t="shared" ca="1" si="1"/>
        <v>17</v>
      </c>
      <c r="D31" s="627"/>
      <c r="E31" s="627"/>
      <c r="F31" s="199">
        <f ca="1">IF(AUTOEVENTO="Manual",ROUND(SUMPRODUCT((CÁLCULO!$M$15:$M$747=EVENTOS!$C31)*(OFFSET(CÁLCULO!$AA$15,0,1):OFFSET(CÁLCULO!$AL$747,0,-1))),2),0)</f>
        <v>0</v>
      </c>
    </row>
    <row r="32" spans="2:6" x14ac:dyDescent="0.2">
      <c r="B32" t="str">
        <f t="shared" ca="1" si="0"/>
        <v>18.</v>
      </c>
      <c r="C32" s="198">
        <f t="shared" ca="1" si="1"/>
        <v>18</v>
      </c>
      <c r="D32" s="627"/>
      <c r="E32" s="627"/>
      <c r="F32" s="199">
        <f ca="1">IF(AUTOEVENTO="Manual",ROUND(SUMPRODUCT((CÁLCULO!$M$15:$M$747=EVENTOS!$C32)*(OFFSET(CÁLCULO!$AA$15,0,1):OFFSET(CÁLCULO!$AL$747,0,-1))),2),0)</f>
        <v>0</v>
      </c>
    </row>
    <row r="33" spans="2:6" x14ac:dyDescent="0.2">
      <c r="B33" t="str">
        <f t="shared" ca="1" si="0"/>
        <v>19.</v>
      </c>
      <c r="C33" s="198">
        <f t="shared" ca="1" si="1"/>
        <v>19</v>
      </c>
      <c r="D33" s="627"/>
      <c r="E33" s="627"/>
      <c r="F33" s="199">
        <f ca="1">IF(AUTOEVENTO="Manual",ROUND(SUMPRODUCT((CÁLCULO!$M$15:$M$747=EVENTOS!$C33)*(OFFSET(CÁLCULO!$AA$15,0,1):OFFSET(CÁLCULO!$AL$747,0,-1))),2),0)</f>
        <v>0</v>
      </c>
    </row>
    <row r="34" spans="2:6" x14ac:dyDescent="0.2">
      <c r="B34" t="str">
        <f t="shared" ca="1" si="0"/>
        <v>20.</v>
      </c>
      <c r="C34" s="198">
        <f t="shared" ca="1" si="1"/>
        <v>20</v>
      </c>
      <c r="D34" s="627"/>
      <c r="E34" s="627"/>
      <c r="F34" s="199">
        <f ca="1">IF(AUTOEVENTO="Manual",ROUND(SUMPRODUCT((CÁLCULO!$M$15:$M$747=EVENTOS!$C34)*(OFFSET(CÁLCULO!$AA$15,0,1):OFFSET(CÁLCULO!$AL$747,0,-1))),2),0)</f>
        <v>0</v>
      </c>
    </row>
    <row r="35" spans="2:6" x14ac:dyDescent="0.2">
      <c r="B35" t="str">
        <f t="shared" ca="1" si="0"/>
        <v>21.</v>
      </c>
      <c r="C35" s="198">
        <f t="shared" ca="1" si="1"/>
        <v>21</v>
      </c>
      <c r="D35" s="627"/>
      <c r="E35" s="627"/>
      <c r="F35" s="199">
        <f ca="1">IF(AUTOEVENTO="Manual",ROUND(SUMPRODUCT((CÁLCULO!$M$15:$M$747=EVENTOS!$C35)*(OFFSET(CÁLCULO!$AA$15,0,1):OFFSET(CÁLCULO!$AL$747,0,-1))),2),0)</f>
        <v>0</v>
      </c>
    </row>
    <row r="36" spans="2:6" x14ac:dyDescent="0.2">
      <c r="B36" t="str">
        <f t="shared" ca="1" si="0"/>
        <v>22.</v>
      </c>
      <c r="C36" s="198">
        <f t="shared" ca="1" si="1"/>
        <v>22</v>
      </c>
      <c r="D36" s="627"/>
      <c r="E36" s="627"/>
      <c r="F36" s="199">
        <f ca="1">IF(AUTOEVENTO="Manual",ROUND(SUMPRODUCT((CÁLCULO!$M$15:$M$747=EVENTOS!$C36)*(OFFSET(CÁLCULO!$AA$15,0,1):OFFSET(CÁLCULO!$AL$747,0,-1))),2),0)</f>
        <v>0</v>
      </c>
    </row>
    <row r="37" spans="2:6" x14ac:dyDescent="0.2">
      <c r="B37" t="str">
        <f t="shared" ca="1" si="0"/>
        <v>23.</v>
      </c>
      <c r="C37" s="198">
        <f t="shared" ca="1" si="1"/>
        <v>23</v>
      </c>
      <c r="D37" s="627"/>
      <c r="E37" s="627"/>
      <c r="F37" s="199">
        <f ca="1">IF(AUTOEVENTO="Manual",ROUND(SUMPRODUCT((CÁLCULO!$M$15:$M$747=EVENTOS!$C37)*(OFFSET(CÁLCULO!$AA$15,0,1):OFFSET(CÁLCULO!$AL$747,0,-1))),2),0)</f>
        <v>0</v>
      </c>
    </row>
    <row r="38" spans="2:6" x14ac:dyDescent="0.2">
      <c r="B38" t="str">
        <f t="shared" ca="1" si="0"/>
        <v>24.</v>
      </c>
      <c r="C38" s="198">
        <f t="shared" ca="1" si="1"/>
        <v>24</v>
      </c>
      <c r="D38" s="627"/>
      <c r="E38" s="627"/>
      <c r="F38" s="199">
        <f ca="1">IF(AUTOEVENTO="Manual",ROUND(SUMPRODUCT((CÁLCULO!$M$15:$M$747=EVENTOS!$C38)*(OFFSET(CÁLCULO!$AA$15,0,1):OFFSET(CÁLCULO!$AL$747,0,-1))),2),0)</f>
        <v>0</v>
      </c>
    </row>
    <row r="39" spans="2:6" x14ac:dyDescent="0.2">
      <c r="B39" t="str">
        <f t="shared" ca="1" si="0"/>
        <v>25.</v>
      </c>
      <c r="C39" s="198">
        <f t="shared" ca="1" si="1"/>
        <v>25</v>
      </c>
      <c r="D39" s="627"/>
      <c r="E39" s="627"/>
      <c r="F39" s="199">
        <f ca="1">IF(AUTOEVENTO="Manual",ROUND(SUMPRODUCT((CÁLCULO!$M$15:$M$747=EVENTOS!$C39)*(OFFSET(CÁLCULO!$AA$15,0,1):OFFSET(CÁLCULO!$AL$747,0,-1))),2),0)</f>
        <v>0</v>
      </c>
    </row>
    <row r="40" spans="2:6" x14ac:dyDescent="0.2">
      <c r="B40" t="str">
        <f t="shared" ca="1" si="0"/>
        <v>26.</v>
      </c>
      <c r="C40" s="198">
        <f t="shared" ca="1" si="1"/>
        <v>26</v>
      </c>
      <c r="D40" s="627"/>
      <c r="E40" s="627"/>
      <c r="F40" s="199">
        <f ca="1">IF(AUTOEVENTO="Manual",ROUND(SUMPRODUCT((CÁLCULO!$M$15:$M$747=EVENTOS!$C40)*(OFFSET(CÁLCULO!$AA$15,0,1):OFFSET(CÁLCULO!$AL$747,0,-1))),2),0)</f>
        <v>0</v>
      </c>
    </row>
    <row r="41" spans="2:6" x14ac:dyDescent="0.2">
      <c r="B41" t="str">
        <f t="shared" ca="1" si="0"/>
        <v>27.</v>
      </c>
      <c r="C41" s="198">
        <f t="shared" ca="1" si="1"/>
        <v>27</v>
      </c>
      <c r="D41" s="627"/>
      <c r="E41" s="627"/>
      <c r="F41" s="199">
        <f ca="1">IF(AUTOEVENTO="Manual",ROUND(SUMPRODUCT((CÁLCULO!$M$15:$M$747=EVENTOS!$C41)*(OFFSET(CÁLCULO!$AA$15,0,1):OFFSET(CÁLCULO!$AL$747,0,-1))),2),0)</f>
        <v>0</v>
      </c>
    </row>
    <row r="42" spans="2:6" x14ac:dyDescent="0.2">
      <c r="B42" t="str">
        <f t="shared" ca="1" si="0"/>
        <v>28.</v>
      </c>
      <c r="C42" s="198">
        <f t="shared" ca="1" si="1"/>
        <v>28</v>
      </c>
      <c r="D42" s="627"/>
      <c r="E42" s="627"/>
      <c r="F42" s="199">
        <f ca="1">IF(AUTOEVENTO="Manual",ROUND(SUMPRODUCT((CÁLCULO!$M$15:$M$747=EVENTOS!$C42)*(OFFSET(CÁLCULO!$AA$15,0,1):OFFSET(CÁLCULO!$AL$747,0,-1))),2),0)</f>
        <v>0</v>
      </c>
    </row>
    <row r="43" spans="2:6" x14ac:dyDescent="0.2">
      <c r="B43" t="str">
        <f t="shared" ca="1" si="0"/>
        <v>29.</v>
      </c>
      <c r="C43" s="198">
        <f t="shared" ca="1" si="1"/>
        <v>29</v>
      </c>
      <c r="D43" s="627"/>
      <c r="E43" s="627"/>
      <c r="F43" s="199">
        <f ca="1">IF(AUTOEVENTO="Manual",ROUND(SUMPRODUCT((CÁLCULO!$M$15:$M$747=EVENTOS!$C43)*(OFFSET(CÁLCULO!$AA$15,0,1):OFFSET(CÁLCULO!$AL$747,0,-1))),2),0)</f>
        <v>0</v>
      </c>
    </row>
    <row r="44" spans="2:6" x14ac:dyDescent="0.2">
      <c r="B44" t="str">
        <f t="shared" ca="1" si="0"/>
        <v>30.</v>
      </c>
      <c r="C44" s="198">
        <f t="shared" ca="1" si="1"/>
        <v>30</v>
      </c>
      <c r="D44" s="627"/>
      <c r="E44" s="627"/>
      <c r="F44" s="199">
        <f ca="1">IF(AUTOEVENTO="Manual",ROUND(SUMPRODUCT((CÁLCULO!$M$15:$M$747=EVENTOS!$C44)*(OFFSET(CÁLCULO!$AA$15,0,1):OFFSET(CÁLCULO!$AL$747,0,-1))),2),0)</f>
        <v>0</v>
      </c>
    </row>
    <row r="45" spans="2:6" x14ac:dyDescent="0.2">
      <c r="B45" t="str">
        <f t="shared" ca="1" si="0"/>
        <v>31.</v>
      </c>
      <c r="C45" s="198">
        <f t="shared" ca="1" si="1"/>
        <v>31</v>
      </c>
      <c r="D45" s="627"/>
      <c r="E45" s="627"/>
      <c r="F45" s="199">
        <f ca="1">IF(AUTOEVENTO="Manual",ROUND(SUMPRODUCT((CÁLCULO!$M$15:$M$747=EVENTOS!$C45)*(OFFSET(CÁLCULO!$AA$15,0,1):OFFSET(CÁLCULO!$AL$747,0,-1))),2),0)</f>
        <v>0</v>
      </c>
    </row>
    <row r="46" spans="2:6" x14ac:dyDescent="0.2">
      <c r="B46" t="str">
        <f t="shared" ca="1" si="0"/>
        <v>32.</v>
      </c>
      <c r="C46" s="198">
        <f t="shared" ca="1" si="1"/>
        <v>32</v>
      </c>
      <c r="D46" s="627"/>
      <c r="E46" s="627"/>
      <c r="F46" s="199">
        <f ca="1">IF(AUTOEVENTO="Manual",ROUND(SUMPRODUCT((CÁLCULO!$M$15:$M$747=EVENTOS!$C46)*(OFFSET(CÁLCULO!$AA$15,0,1):OFFSET(CÁLCULO!$AL$747,0,-1))),2),0)</f>
        <v>0</v>
      </c>
    </row>
    <row r="47" spans="2:6" x14ac:dyDescent="0.2">
      <c r="B47" t="str">
        <f t="shared" ca="1" si="0"/>
        <v>33.</v>
      </c>
      <c r="C47" s="198">
        <f t="shared" ca="1" si="1"/>
        <v>33</v>
      </c>
      <c r="D47" s="627"/>
      <c r="E47" s="627"/>
      <c r="F47" s="199">
        <f ca="1">IF(AUTOEVENTO="Manual",ROUND(SUMPRODUCT((CÁLCULO!$M$15:$M$747=EVENTOS!$C47)*(OFFSET(CÁLCULO!$AA$15,0,1):OFFSET(CÁLCULO!$AL$747,0,-1))),2),0)</f>
        <v>0</v>
      </c>
    </row>
    <row r="48" spans="2:6" x14ac:dyDescent="0.2">
      <c r="B48" t="str">
        <f t="shared" ca="1" si="0"/>
        <v>34.</v>
      </c>
      <c r="C48" s="198">
        <f t="shared" ca="1" si="1"/>
        <v>34</v>
      </c>
      <c r="D48" s="627"/>
      <c r="E48" s="627"/>
      <c r="F48" s="199">
        <f ca="1">IF(AUTOEVENTO="Manual",ROUND(SUMPRODUCT((CÁLCULO!$M$15:$M$747=EVENTOS!$C48)*(OFFSET(CÁLCULO!$AA$15,0,1):OFFSET(CÁLCULO!$AL$747,0,-1))),2),0)</f>
        <v>0</v>
      </c>
    </row>
    <row r="49" spans="2:6" x14ac:dyDescent="0.2">
      <c r="B49" t="str">
        <f t="shared" ca="1" si="0"/>
        <v>35.</v>
      </c>
      <c r="C49" s="198">
        <f t="shared" ca="1" si="1"/>
        <v>35</v>
      </c>
      <c r="D49" s="627"/>
      <c r="E49" s="627"/>
      <c r="F49" s="199">
        <f ca="1">IF(AUTOEVENTO="Manual",ROUND(SUMPRODUCT((CÁLCULO!$M$15:$M$747=EVENTOS!$C49)*(OFFSET(CÁLCULO!$AA$15,0,1):OFFSET(CÁLCULO!$AL$747,0,-1))),2),0)</f>
        <v>0</v>
      </c>
    </row>
    <row r="50" spans="2:6" x14ac:dyDescent="0.2">
      <c r="B50" t="str">
        <f t="shared" ca="1" si="0"/>
        <v>36.</v>
      </c>
      <c r="C50" s="198">
        <f t="shared" ca="1" si="1"/>
        <v>36</v>
      </c>
      <c r="D50" s="627"/>
      <c r="E50" s="627"/>
      <c r="F50" s="199">
        <f ca="1">IF(AUTOEVENTO="Manual",ROUND(SUMPRODUCT((CÁLCULO!$M$15:$M$747=EVENTOS!$C50)*(OFFSET(CÁLCULO!$AA$15,0,1):OFFSET(CÁLCULO!$AL$747,0,-1))),2),0)</f>
        <v>0</v>
      </c>
    </row>
    <row r="51" spans="2:6" x14ac:dyDescent="0.2">
      <c r="B51" t="str">
        <f t="shared" ca="1" si="0"/>
        <v>37.</v>
      </c>
      <c r="C51" s="198">
        <f t="shared" ca="1" si="1"/>
        <v>37</v>
      </c>
      <c r="D51" s="627"/>
      <c r="E51" s="627"/>
      <c r="F51" s="199">
        <f ca="1">IF(AUTOEVENTO="Manual",ROUND(SUMPRODUCT((CÁLCULO!$M$15:$M$747=EVENTOS!$C51)*(OFFSET(CÁLCULO!$AA$15,0,1):OFFSET(CÁLCULO!$AL$747,0,-1))),2),0)</f>
        <v>0</v>
      </c>
    </row>
    <row r="52" spans="2:6" x14ac:dyDescent="0.2">
      <c r="B52" t="str">
        <f t="shared" ca="1" si="0"/>
        <v>38.</v>
      </c>
      <c r="C52" s="198">
        <f t="shared" ca="1" si="1"/>
        <v>38</v>
      </c>
      <c r="D52" s="627"/>
      <c r="E52" s="627"/>
      <c r="F52" s="199">
        <f ca="1">IF(AUTOEVENTO="Manual",ROUND(SUMPRODUCT((CÁLCULO!$M$15:$M$747=EVENTOS!$C52)*(OFFSET(CÁLCULO!$AA$15,0,1):OFFSET(CÁLCULO!$AL$747,0,-1))),2),0)</f>
        <v>0</v>
      </c>
    </row>
    <row r="53" spans="2:6" x14ac:dyDescent="0.2">
      <c r="B53" t="str">
        <f t="shared" ca="1" si="0"/>
        <v>39.</v>
      </c>
      <c r="C53" s="198">
        <f t="shared" ca="1" si="1"/>
        <v>39</v>
      </c>
      <c r="D53" s="627"/>
      <c r="E53" s="627"/>
      <c r="F53" s="199">
        <f ca="1">IF(AUTOEVENTO="Manual",ROUND(SUMPRODUCT((CÁLCULO!$M$15:$M$747=EVENTOS!$C53)*(OFFSET(CÁLCULO!$AA$15,0,1):OFFSET(CÁLCULO!$AL$747,0,-1))),2),0)</f>
        <v>0</v>
      </c>
    </row>
    <row r="54" spans="2:6" x14ac:dyDescent="0.2">
      <c r="B54" t="str">
        <f t="shared" ca="1" si="0"/>
        <v>40.</v>
      </c>
      <c r="C54" s="198">
        <f t="shared" ca="1" si="1"/>
        <v>40</v>
      </c>
      <c r="D54" s="627"/>
      <c r="E54" s="627"/>
      <c r="F54" s="199">
        <f ca="1">IF(AUTOEVENTO="Manual",ROUND(SUMPRODUCT((CÁLCULO!$M$15:$M$747=EVENTOS!$C54)*(OFFSET(CÁLCULO!$AA$15,0,1):OFFSET(CÁLCULO!$AL$747,0,-1))),2),0)</f>
        <v>0</v>
      </c>
    </row>
    <row r="55" spans="2:6" x14ac:dyDescent="0.2">
      <c r="B55" t="str">
        <f t="shared" ca="1" si="0"/>
        <v>41.</v>
      </c>
      <c r="C55" s="198">
        <f t="shared" ca="1" si="1"/>
        <v>41</v>
      </c>
      <c r="D55" s="627"/>
      <c r="E55" s="627"/>
      <c r="F55" s="199">
        <f ca="1">IF(AUTOEVENTO="Manual",ROUND(SUMPRODUCT((CÁLCULO!$M$15:$M$747=EVENTOS!$C55)*(OFFSET(CÁLCULO!$AA$15,0,1):OFFSET(CÁLCULO!$AL$747,0,-1))),2),0)</f>
        <v>0</v>
      </c>
    </row>
    <row r="56" spans="2:6" x14ac:dyDescent="0.2">
      <c r="B56" t="str">
        <f t="shared" ca="1" si="0"/>
        <v>42.</v>
      </c>
      <c r="C56" s="198">
        <f t="shared" ca="1" si="1"/>
        <v>42</v>
      </c>
      <c r="D56" s="627"/>
      <c r="E56" s="627"/>
      <c r="F56" s="199">
        <f ca="1">IF(AUTOEVENTO="Manual",ROUND(SUMPRODUCT((CÁLCULO!$M$15:$M$747=EVENTOS!$C56)*(OFFSET(CÁLCULO!$AA$15,0,1):OFFSET(CÁLCULO!$AL$747,0,-1))),2),0)</f>
        <v>0</v>
      </c>
    </row>
    <row r="57" spans="2:6" x14ac:dyDescent="0.2">
      <c r="B57" t="str">
        <f t="shared" ca="1" si="0"/>
        <v>43.</v>
      </c>
      <c r="C57" s="198">
        <f t="shared" ca="1" si="1"/>
        <v>43</v>
      </c>
      <c r="D57" s="627"/>
      <c r="E57" s="627"/>
      <c r="F57" s="199">
        <f ca="1">IF(AUTOEVENTO="Manual",ROUND(SUMPRODUCT((CÁLCULO!$M$15:$M$747=EVENTOS!$C57)*(OFFSET(CÁLCULO!$AA$15,0,1):OFFSET(CÁLCULO!$AL$747,0,-1))),2),0)</f>
        <v>0</v>
      </c>
    </row>
    <row r="58" spans="2:6" x14ac:dyDescent="0.2">
      <c r="B58" t="str">
        <f t="shared" ca="1" si="0"/>
        <v>44.</v>
      </c>
      <c r="C58" s="198">
        <f t="shared" ca="1" si="1"/>
        <v>44</v>
      </c>
      <c r="D58" s="627"/>
      <c r="E58" s="627"/>
      <c r="F58" s="199">
        <f ca="1">IF(AUTOEVENTO="Manual",ROUND(SUMPRODUCT((CÁLCULO!$M$15:$M$747=EVENTOS!$C58)*(OFFSET(CÁLCULO!$AA$15,0,1):OFFSET(CÁLCULO!$AL$747,0,-1))),2),0)</f>
        <v>0</v>
      </c>
    </row>
    <row r="59" spans="2:6" x14ac:dyDescent="0.2">
      <c r="B59" t="str">
        <f t="shared" ca="1" si="0"/>
        <v>45.</v>
      </c>
      <c r="C59" s="198">
        <f t="shared" ca="1" si="1"/>
        <v>45</v>
      </c>
      <c r="D59" s="627"/>
      <c r="E59" s="627"/>
      <c r="F59" s="199">
        <f ca="1">IF(AUTOEVENTO="Manual",ROUND(SUMPRODUCT((CÁLCULO!$M$15:$M$747=EVENTOS!$C59)*(OFFSET(CÁLCULO!$AA$15,0,1):OFFSET(CÁLCULO!$AL$747,0,-1))),2),0)</f>
        <v>0</v>
      </c>
    </row>
    <row r="60" spans="2:6" x14ac:dyDescent="0.2">
      <c r="B60" t="str">
        <f t="shared" ca="1" si="0"/>
        <v>46.</v>
      </c>
      <c r="C60" s="198">
        <f t="shared" ca="1" si="1"/>
        <v>46</v>
      </c>
      <c r="D60" s="627"/>
      <c r="E60" s="627"/>
      <c r="F60" s="199">
        <f ca="1">IF(AUTOEVENTO="Manual",ROUND(SUMPRODUCT((CÁLCULO!$M$15:$M$747=EVENTOS!$C60)*(OFFSET(CÁLCULO!$AA$15,0,1):OFFSET(CÁLCULO!$AL$747,0,-1))),2),0)</f>
        <v>0</v>
      </c>
    </row>
    <row r="61" spans="2:6" x14ac:dyDescent="0.2">
      <c r="B61" t="str">
        <f t="shared" ca="1" si="0"/>
        <v>47.</v>
      </c>
      <c r="C61" s="198">
        <f t="shared" ca="1" si="1"/>
        <v>47</v>
      </c>
      <c r="D61" s="627"/>
      <c r="E61" s="627"/>
      <c r="F61" s="199">
        <f ca="1">IF(AUTOEVENTO="Manual",ROUND(SUMPRODUCT((CÁLCULO!$M$15:$M$747=EVENTOS!$C61)*(OFFSET(CÁLCULO!$AA$15,0,1):OFFSET(CÁLCULO!$AL$747,0,-1))),2),0)</f>
        <v>0</v>
      </c>
    </row>
    <row r="62" spans="2:6" x14ac:dyDescent="0.2">
      <c r="B62" t="str">
        <f t="shared" ca="1" si="0"/>
        <v>48.</v>
      </c>
      <c r="C62" s="198">
        <f t="shared" ca="1" si="1"/>
        <v>48</v>
      </c>
      <c r="D62" s="627"/>
      <c r="E62" s="627"/>
      <c r="F62" s="199">
        <f ca="1">IF(AUTOEVENTO="Manual",ROUND(SUMPRODUCT((CÁLCULO!$M$15:$M$747=EVENTOS!$C62)*(OFFSET(CÁLCULO!$AA$15,0,1):OFFSET(CÁLCULO!$AL$747,0,-1))),2),0)</f>
        <v>0</v>
      </c>
    </row>
    <row r="63" spans="2:6" x14ac:dyDescent="0.2">
      <c r="B63" t="str">
        <f t="shared" ca="1" si="0"/>
        <v>49.</v>
      </c>
      <c r="C63" s="198">
        <f t="shared" ca="1" si="1"/>
        <v>49</v>
      </c>
      <c r="D63" s="627"/>
      <c r="E63" s="627"/>
      <c r="F63" s="199">
        <f ca="1">IF(AUTOEVENTO="Manual",ROUND(SUMPRODUCT((CÁLCULO!$M$15:$M$747=EVENTOS!$C63)*(OFFSET(CÁLCULO!$AA$15,0,1):OFFSET(CÁLCULO!$AL$747,0,-1))),2),0)</f>
        <v>0</v>
      </c>
    </row>
    <row r="64" spans="2:6" x14ac:dyDescent="0.2">
      <c r="B64" t="str">
        <f t="shared" ca="1" si="0"/>
        <v>50.</v>
      </c>
      <c r="C64" s="198">
        <f t="shared" ca="1" si="1"/>
        <v>50</v>
      </c>
      <c r="D64" s="627"/>
      <c r="E64" s="627"/>
      <c r="F64" s="199">
        <f ca="1">IF(AUTOEVENTO="Manual",ROUND(SUMPRODUCT((CÁLCULO!$M$15:$M$747=EVENTOS!$C64)*(OFFSET(CÁLCULO!$AA$15,0,1):OFFSET(CÁLCULO!$AL$747,0,-1))),2),0)</f>
        <v>0</v>
      </c>
    </row>
    <row r="65" spans="3:6" ht="5.0999999999999996" customHeight="1" x14ac:dyDescent="0.2">
      <c r="C65" s="191"/>
      <c r="D65" s="202"/>
      <c r="E65" s="202"/>
      <c r="F65" s="203"/>
    </row>
  </sheetData>
  <sheetProtection algorithmName="SHA-512" hashValue="ZgL7kARA2cJOGv+gJe6Z3EZ6JMUHTovamIojrPBuKEXng10SJVTzgW5TPK1KuMxzAcLzEC+yEIEfD7K9ZKWyDA==" saltValue="eaUCOfEWXc9dL0JA29s+EQ==" spinCount="100000" sheet="1" objects="1" scenarios="1" autoFilter="0"/>
  <mergeCells count="54">
    <mergeCell ref="D40:E40"/>
    <mergeCell ref="D61:E61"/>
    <mergeCell ref="D52:E52"/>
    <mergeCell ref="D53:E53"/>
    <mergeCell ref="D54:E54"/>
    <mergeCell ref="D55:E55"/>
    <mergeCell ref="D60:E60"/>
    <mergeCell ref="D41:E41"/>
    <mergeCell ref="D43:E43"/>
    <mergeCell ref="D34:E34"/>
    <mergeCell ref="D47:E47"/>
    <mergeCell ref="D42:E42"/>
    <mergeCell ref="D20:E20"/>
    <mergeCell ref="D23:E23"/>
    <mergeCell ref="D24:E24"/>
    <mergeCell ref="D25:E25"/>
    <mergeCell ref="D28:E28"/>
    <mergeCell ref="D29:E29"/>
    <mergeCell ref="D31:E31"/>
    <mergeCell ref="D32:E32"/>
    <mergeCell ref="D35:E35"/>
    <mergeCell ref="D36:E36"/>
    <mergeCell ref="D37:E37"/>
    <mergeCell ref="D38:E38"/>
    <mergeCell ref="D39:E39"/>
    <mergeCell ref="D26:E26"/>
    <mergeCell ref="D27:E27"/>
    <mergeCell ref="D30:E30"/>
    <mergeCell ref="D33:E33"/>
    <mergeCell ref="D21:E21"/>
    <mergeCell ref="D22:E22"/>
    <mergeCell ref="C6:F6"/>
    <mergeCell ref="C9:F11"/>
    <mergeCell ref="D13:E13"/>
    <mergeCell ref="D14:E14"/>
    <mergeCell ref="D19:E19"/>
    <mergeCell ref="D15:E15"/>
    <mergeCell ref="D16:E16"/>
    <mergeCell ref="D17:E17"/>
    <mergeCell ref="D18:E18"/>
    <mergeCell ref="D62:E62"/>
    <mergeCell ref="D63:E63"/>
    <mergeCell ref="D64:E64"/>
    <mergeCell ref="D44:E44"/>
    <mergeCell ref="D45:E45"/>
    <mergeCell ref="D46:E46"/>
    <mergeCell ref="D56:E56"/>
    <mergeCell ref="D57:E57"/>
    <mergeCell ref="D58:E58"/>
    <mergeCell ref="D59:E59"/>
    <mergeCell ref="D51:E51"/>
    <mergeCell ref="D49:E49"/>
    <mergeCell ref="D50:E50"/>
    <mergeCell ref="D48:E48"/>
  </mergeCells>
  <phoneticPr fontId="40" type="noConversion"/>
  <conditionalFormatting sqref="C13:F15 C65:F65">
    <cfRule type="expression" dxfId="606" priority="112" stopIfTrue="1">
      <formula>OR(AUTOEVENTO&lt;&gt;"Manual",ACOMPANHAMENTO="BM")</formula>
    </cfRule>
  </conditionalFormatting>
  <conditionalFormatting sqref="C16:F24">
    <cfRule type="expression" dxfId="605" priority="6" stopIfTrue="1">
      <formula>OR(AUTOEVENTO&lt;&gt;"Manual",ACOMPANHAMENTO="BM")</formula>
    </cfRule>
  </conditionalFormatting>
  <conditionalFormatting sqref="C25:F33">
    <cfRule type="expression" dxfId="604" priority="5" stopIfTrue="1">
      <formula>OR(AUTOEVENTO&lt;&gt;"Manual",ACOMPANHAMENTO="BM")</formula>
    </cfRule>
  </conditionalFormatting>
  <conditionalFormatting sqref="C34:F42">
    <cfRule type="expression" dxfId="603" priority="4" stopIfTrue="1">
      <formula>OR(AUTOEVENTO&lt;&gt;"Manual",ACOMPANHAMENTO="BM")</formula>
    </cfRule>
  </conditionalFormatting>
  <conditionalFormatting sqref="C43:F51">
    <cfRule type="expression" dxfId="602" priority="3" stopIfTrue="1">
      <formula>OR(AUTOEVENTO&lt;&gt;"Manual",ACOMPANHAMENTO="BM")</formula>
    </cfRule>
  </conditionalFormatting>
  <conditionalFormatting sqref="C52:F60">
    <cfRule type="expression" dxfId="601" priority="2" stopIfTrue="1">
      <formula>OR(AUTOEVENTO&lt;&gt;"Manual",ACOMPANHAMENTO="BM")</formula>
    </cfRule>
  </conditionalFormatting>
  <conditionalFormatting sqref="C61:F64">
    <cfRule type="expression" dxfId="600" priority="1" stopIfTrue="1">
      <formula>OR(AUTOEVENTO&lt;&gt;"Manual",ACOMPANHAMENTO="BM")</formula>
    </cfRule>
  </conditionalFormatting>
  <dataValidations count="1">
    <dataValidation type="list" allowBlank="1" showErrorMessage="1" sqref="C6">
      <formula1>"Automática, conforme os agrupadores Nível 2 do Orçamento;Automática, conforme os agrupadores Nível 3 do Orçamento;Automática, conforme os agrupadores Nível 4 do Orçamento;Definir Manualmente"</formula1>
      <formula2>0</formula2>
    </dataValidation>
  </dataValidations>
  <pageMargins left="0.78740157480314998" right="0.78740157480314998" top="0.78740157480314998" bottom="0.78740157480314998" header="5.7086614173228396" footer="0.59055118110236204"/>
  <pageSetup paperSize="9" scale="90" firstPageNumber="0" orientation="portrait" horizontalDpi="300" verticalDpi="300" r:id="rId1"/>
  <headerFooter alignWithMargins="0">
    <oddHeader>&amp;L_</oddHeader>
    <oddFooter>&amp;LPMv3.0.6&amp;R&amp;P / &amp;N</oddFooter>
  </headerFooter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9" filterMode="1"/>
  <dimension ref="A1:AF105"/>
  <sheetViews>
    <sheetView showGridLines="0" view="pageBreakPreview" zoomScale="90" zoomScaleNormal="90" zoomScaleSheetLayoutView="90" workbookViewId="0">
      <pane xSplit="19" ySplit="13" topLeftCell="T14" activePane="bottomRight" state="frozen"/>
      <selection activeCell="F4" sqref="F4"/>
      <selection pane="topRight" activeCell="T4" sqref="T4"/>
      <selection pane="bottomLeft" activeCell="F14" sqref="F14"/>
      <selection pane="bottomRight" activeCell="V48" sqref="V48"/>
    </sheetView>
  </sheetViews>
  <sheetFormatPr defaultColWidth="9.140625" defaultRowHeight="12.75" x14ac:dyDescent="0.2"/>
  <cols>
    <col min="1" max="3" width="9.140625" style="204" hidden="1" customWidth="1"/>
    <col min="4" max="4" width="11" style="205" hidden="1" customWidth="1"/>
    <col min="5" max="5" width="19" style="204" hidden="1" customWidth="1"/>
    <col min="6" max="6" width="3.7109375" style="205" customWidth="1"/>
    <col min="7" max="7" width="12.7109375" style="204" customWidth="1"/>
    <col min="8" max="8" width="7.140625" style="205" customWidth="1"/>
    <col min="9" max="9" width="14.5703125" style="205" customWidth="1"/>
    <col min="10" max="10" width="12" style="205" customWidth="1"/>
    <col min="11" max="11" width="11" style="205" customWidth="1"/>
    <col min="12" max="17" width="0" style="204" hidden="1" customWidth="1"/>
    <col min="18" max="18" width="11.42578125" style="206" customWidth="1"/>
    <col min="19" max="19" width="10.7109375" style="206" customWidth="1"/>
    <col min="20" max="31" width="11" style="205" customWidth="1"/>
    <col min="32" max="32" width="0.140625" style="205" customWidth="1"/>
    <col min="33" max="16384" width="9.140625" style="205"/>
  </cols>
  <sheetData>
    <row r="1" spans="1:32" hidden="1" x14ac:dyDescent="0.2">
      <c r="A1" s="204" t="e">
        <f ca="1">OFFSET(A1,-3,0)+1</f>
        <v>#REF!</v>
      </c>
      <c r="B1" s="204" t="e">
        <f ca="1">IF($Q1&lt;&gt;2,0,IF($R1=0,1,IF(E2&gt;0,OFFSET(QCI!$M$13,SUBSTITUTE(E2,".",""),0),OFFSET(ORÇAMENTO!$AA$15,CRONO!$E1,0))/$R1))</f>
        <v>#REF!</v>
      </c>
      <c r="C1" s="204" t="e">
        <f ca="1">IF($Q1&lt;&gt;2,0,IF($R1=0,1,IF(E2&gt;0,OFFSET(QCI!$N$13,SUBSTITUTE(E2,".",""),0),OFFSET(ORÇAMENTO!$AB$15,CRONO!$E1,0))/$R1))</f>
        <v>#REF!</v>
      </c>
      <c r="D1" s="207" t="e">
        <f ca="1">IF(AND($Q1=2,ACOMPANHAMENTO="BM"),D2,D3/$R1)</f>
        <v>#REF!</v>
      </c>
      <c r="E1" s="204" t="e">
        <f ca="1">IF(A1&lt;=ORÇAMENTO.MáximoListaCrono,MATCH(A1,ORÇAMENTO.ListaCrono,0),NA())</f>
        <v>#REF!</v>
      </c>
      <c r="F1" s="204" t="e">
        <f ca="1">IF(AND($E2&lt;&gt;-1,$R1&gt;0),"F","")</f>
        <v>#REF!</v>
      </c>
      <c r="G1" s="208" t="e">
        <f ca="1">IF(OR(R1=0,R1=""),"Linha",IF(AND(OR(ACOMPANHAMENTO="PLE",$Q1&lt;&gt;2),$E2=0),"Linha",1-SUM(T1:AF1)))</f>
        <v>#REF!</v>
      </c>
      <c r="H1" s="209" t="e">
        <f ca="1">IF($E2=0,OFFSET(ORÇAMENTO!O$15,$E1,0),IF($E2&lt;&gt;-1,OFFSET(QCI!$D$13,$E2,0),""))</f>
        <v>#REF!</v>
      </c>
      <c r="I1" s="210" t="e">
        <f ca="1">IF($E2=0,OFFSET(ORÇAMENTO!R$15,$E1,0),IF($E2&lt;&gt;-1,OFFSET(QCI!$G$13,$E2,0),""))</f>
        <v>#REF!</v>
      </c>
      <c r="J1" s="210"/>
      <c r="K1" s="210"/>
      <c r="L1" s="211" t="e">
        <f ca="1">IF($E2=0,OFFSET(ORÇAMENTO!C$15,$E1,0),1)</f>
        <v>#REF!</v>
      </c>
      <c r="M1" s="212" t="e">
        <f ca="1">IF($E2=-1,0,IF(M$13&lt;=$L1,IF(ISERROR(MATCH(M$13,OFFSET($L1,1,0,ROW($L$89)-ROW($L1)-1),0)),ROW($L$89)-ROW($L1)-1,MATCH(M$13,OFFSET($L1,1,0,ROW($L$89)-ROW($L1)-1),0)-1),0))</f>
        <v>#REF!</v>
      </c>
      <c r="N1" s="212" t="e">
        <f ca="1">IF($E2=-1,0,IF(N$13&lt;=$L1,IF(ISERROR(MATCH(N$13,OFFSET($L1,1,0,ROW($L$89)-ROW($L1)-1),0)),ROW($L$89)-ROW($L1)-1,MATCH(N$13,OFFSET($L1,1,0,ROW($L$89)-ROW($L1)-1),0)-1),0))</f>
        <v>#REF!</v>
      </c>
      <c r="O1" s="212" t="e">
        <f ca="1">IF($E2=-1,0,IF(O$13&lt;=$L1,IF(ISERROR(MATCH(O$13,OFFSET($L1,1,0,ROW($L$89)-ROW($L1)-1),0)),ROW($L$89)-ROW($L1)-1,MATCH(O$13,OFFSET($L1,1,0,ROW($L$89)-ROW($L1)-1),0)-1),0))</f>
        <v>#REF!</v>
      </c>
      <c r="P1" s="212" t="e">
        <f ca="1">IF($E2=-1,0,IF(P$13&lt;=$L1,IF(ISERROR(MATCH(P$13,OFFSET($L1,1,0,ROW($L$89)-ROW($L1)-1),0)),ROW($L$89)-ROW($L1)-1,MATCH(P$13,OFFSET($L1,1,0,ROW($L$89)-ROW($L1)-1),0)-1),0))</f>
        <v>#REF!</v>
      </c>
      <c r="Q1" s="212" t="e">
        <f ca="1">MIN(OFFSET(L1,0,1,,L1))</f>
        <v>#REF!</v>
      </c>
      <c r="R1" s="213" t="e">
        <f ca="1">IF($E2=0,OFFSET(ORÇAMENTO!X$15,$E1,0),IF($E2&lt;&gt;-1,OFFSET(QCI!$O$13,$E2,0),""))</f>
        <v>#REF!</v>
      </c>
      <c r="S1" s="214" t="s">
        <v>270</v>
      </c>
      <c r="T1" s="215" t="e">
        <f t="shared" ref="T1:AE1" ca="1" si="0">IF(AND($Q1=2,ACOMPANHAMENTO="BM"),T2,T3/$R1)</f>
        <v>#REF!</v>
      </c>
      <c r="U1" s="207" t="e">
        <f t="shared" ca="1" si="0"/>
        <v>#REF!</v>
      </c>
      <c r="V1" s="207" t="e">
        <f t="shared" ca="1" si="0"/>
        <v>#REF!</v>
      </c>
      <c r="W1" s="207" t="e">
        <f t="shared" ca="1" si="0"/>
        <v>#REF!</v>
      </c>
      <c r="X1" s="207" t="e">
        <f t="shared" ca="1" si="0"/>
        <v>#REF!</v>
      </c>
      <c r="Y1" s="207" t="e">
        <f t="shared" ca="1" si="0"/>
        <v>#REF!</v>
      </c>
      <c r="Z1" s="207" t="e">
        <f t="shared" ca="1" si="0"/>
        <v>#REF!</v>
      </c>
      <c r="AA1" s="207" t="e">
        <f t="shared" ca="1" si="0"/>
        <v>#REF!</v>
      </c>
      <c r="AB1" s="207" t="e">
        <f t="shared" ca="1" si="0"/>
        <v>#REF!</v>
      </c>
      <c r="AC1" s="207" t="e">
        <f t="shared" ca="1" si="0"/>
        <v>#REF!</v>
      </c>
      <c r="AD1" s="207" t="e">
        <f t="shared" ca="1" si="0"/>
        <v>#REF!</v>
      </c>
      <c r="AE1" s="216" t="e">
        <f t="shared" ca="1" si="0"/>
        <v>#REF!</v>
      </c>
    </row>
    <row r="2" spans="1:32" ht="12.75" hidden="1" customHeight="1" x14ac:dyDescent="0.2">
      <c r="D2" s="569"/>
      <c r="E2" s="204" t="e">
        <f ca="1">IF(ISERROR(E1),IF(1+COUNTIF($L$13:OFFSET(L1,-1,0),1)&lt;=MAX(QCI!$D$13:$D$24),1+COUNTIF($L$13:OFFSET(L1,-1,0),1),-1),0)</f>
        <v>#REF!</v>
      </c>
      <c r="F2" s="204" t="e">
        <f ca="1">IF(AND($E2&lt;&gt;-1,$R1&gt;0),"F","")</f>
        <v>#REF!</v>
      </c>
      <c r="G2" s="217" t="e">
        <f ca="1">IF(OR(R1=0,R1=""),"vazia",IF(AND(OR(ACOMPANHAMENTO="PLE",$Q1&lt;&gt;2),$E2=0),"calculada","--&gt;"))</f>
        <v>#REF!</v>
      </c>
      <c r="H2" s="218"/>
      <c r="I2" s="219" t="e">
        <f ca="1">IF(AND(G1&lt;&gt;0,ISNUMBER(G1)),"PREENCHA ESTA LINHA --&gt;","")</f>
        <v>#REF!</v>
      </c>
      <c r="J2" s="219"/>
      <c r="K2" s="219"/>
      <c r="L2" s="220"/>
      <c r="M2" s="220"/>
      <c r="N2" s="220"/>
      <c r="O2" s="220"/>
      <c r="P2" s="220"/>
      <c r="Q2" s="220"/>
      <c r="R2" s="221"/>
      <c r="S2" s="222"/>
      <c r="T2" s="570"/>
      <c r="U2" s="569"/>
      <c r="V2" s="569"/>
      <c r="W2" s="569"/>
      <c r="X2" s="569"/>
      <c r="Y2" s="569"/>
      <c r="Z2" s="569"/>
      <c r="AA2" s="569"/>
      <c r="AB2" s="569"/>
      <c r="AC2" s="569"/>
      <c r="AD2" s="569"/>
      <c r="AE2" s="571"/>
      <c r="AF2" s="533"/>
    </row>
    <row r="3" spans="1:32" ht="0.2" hidden="1" customHeight="1" x14ac:dyDescent="0.2">
      <c r="D3" s="223" t="e">
        <f ca="1">IF($Q1=2,IF(AND(ACOMPANHAMENTO="PLE",ISNUMBER($E1)),SUMIF((OFFSET(CÁLCULO!$AM$15:$AW$15,$E1,0,OFFSET(ORÇAMENTO!$D$15,CRONO!$E1,0))),"="&amp;CRONO!D$12,OFFSET(CÁLCULO!$AB$15:$AL$15,$E1,0,OFFSET(ORÇAMENTO!$D$15,CRONO!$E1,0)))+IF(AND($E3&lt;&gt;"",$E3&lt;&gt;0),SUMIF(CÁLCULO!$AM$15:$AW$747,"="&amp;CRONO!D$12,CÁLCULO!$AB$15:$AL$747)/(ORÇAMENTO!$X$15-CÁLCULO.TotalAdmLocal)*CRONO!$E3,0),D2*$R1),SUMIF(OFFSET($R3,1,0,$Q1-2),($L1+1)&amp;"$",OFFSET(D3,1,0,$Q1-2)))</f>
        <v>#REF!</v>
      </c>
      <c r="E3" s="204" t="e">
        <f ca="1">IF(OR($Q1&lt;&gt;2,AUTOEVENTO&lt;&gt;"manual",$E2&gt;0),"",SUMIF(OFFSET(CÁLCULO!$M$15,CRONO!$E1,0,OFFSET(ORÇAMENTO!$D$15,CRONO!$E1,0)),1,OFFSET(ORÇAMENTO!$X$15,CRONO!$E1,0,OFFSET(ORÇAMENTO!$D$15,CRONO!$E1,0))))</f>
        <v>#REF!</v>
      </c>
      <c r="G3" s="224"/>
      <c r="R3" s="225" t="e">
        <f ca="1">L1&amp;"$"</f>
        <v>#REF!</v>
      </c>
      <c r="S3" s="226"/>
      <c r="T3" s="227" t="e">
        <f ca="1">IF($Q1=2,IF(AND(ACOMPANHAMENTO="PLE",ISNUMBER($E1)),SUMIF((OFFSET(CÁLCULO!$AM$15:$AW$15,$E1,0,OFFSET(ORÇAMENTO!$D$15,CRONO!$E1,0))),"&lt;="&amp;CRONO!T$12,OFFSET(CÁLCULO!$AB$15:$AL$15,$E1,0,OFFSET(ORÇAMENTO!$D$15,CRONO!$E1,0)))+IF(AND($E3&lt;&gt;"",$E3&lt;&gt;0),SUMIF(CÁLCULO!$AM$15:$AW$747,"&lt;="&amp;CRONO!T$12,CÁLCULO!$AB$15:$AL$747)/(ORÇAMENTO!$X$15-CÁLCULO.TotalAdmLocal)*CRONO!$E3,0),T2*$R1),SUMIF(OFFSET($R3,1,0,$Q1-2),($L1+1)&amp;"$",OFFSET(T3,1,0,$Q1-2)))</f>
        <v>#REF!</v>
      </c>
      <c r="U3" s="223" t="e">
        <f ca="1">IF($Q1=2,IF(AND(ACOMPANHAMENTO="PLE",ISNUMBER($E1)),SUMIF((OFFSET(CÁLCULO!$AM$15:$AW$15,$E1,0,OFFSET(ORÇAMENTO!$D$15,CRONO!$E1,0))),"="&amp;CRONO!U$12,OFFSET(CÁLCULO!$AB$15:$AL$15,$E1,0,OFFSET(ORÇAMENTO!$D$15,CRONO!$E1,0)))+IF(AND($E3&lt;&gt;"",$E3&lt;&gt;0),SUMIF(CÁLCULO!$AM$15:$AW$747,"="&amp;CRONO!U$12,CÁLCULO!$AB$15:$AL$747)/(ORÇAMENTO!$X$15-CÁLCULO.TotalAdmLocal)*CRONO!$E3,0),U2*$R1),SUMIF(OFFSET($R3,1,0,$Q1-2),($L1+1)&amp;"$",OFFSET(U3,1,0,$Q1-2)))</f>
        <v>#REF!</v>
      </c>
      <c r="V3" s="223" t="e">
        <f ca="1">IF($Q1=2,IF(AND(ACOMPANHAMENTO="PLE",ISNUMBER($E1)),SUMIF((OFFSET(CÁLCULO!$AM$15:$AW$15,$E1,0,OFFSET(ORÇAMENTO!$D$15,CRONO!$E1,0))),"="&amp;CRONO!V$12,OFFSET(CÁLCULO!$AB$15:$AL$15,$E1,0,OFFSET(ORÇAMENTO!$D$15,CRONO!$E1,0)))+IF(AND($E3&lt;&gt;"",$E3&lt;&gt;0),SUMIF(CÁLCULO!$AM$15:$AW$747,"="&amp;CRONO!V$12,CÁLCULO!$AB$15:$AL$747)/(ORÇAMENTO!$X$15-CÁLCULO.TotalAdmLocal)*CRONO!$E3,0),V2*$R1),SUMIF(OFFSET($R3,1,0,$Q1-2),($L1+1)&amp;"$",OFFSET(V3,1,0,$Q1-2)))</f>
        <v>#REF!</v>
      </c>
      <c r="W3" s="223" t="e">
        <f ca="1">IF($Q1=2,IF(AND(ACOMPANHAMENTO="PLE",ISNUMBER($E1)),SUMIF((OFFSET(CÁLCULO!$AM$15:$AW$15,$E1,0,OFFSET(ORÇAMENTO!$D$15,CRONO!$E1,0))),"="&amp;CRONO!W$12,OFFSET(CÁLCULO!$AB$15:$AL$15,$E1,0,OFFSET(ORÇAMENTO!$D$15,CRONO!$E1,0)))+IF(AND($E3&lt;&gt;"",$E3&lt;&gt;0),SUMIF(CÁLCULO!$AM$15:$AW$747,"="&amp;CRONO!W$12,CÁLCULO!$AB$15:$AL$747)/(ORÇAMENTO!$X$15-CÁLCULO.TotalAdmLocal)*CRONO!$E3,0),W2*$R1),SUMIF(OFFSET($R3,1,0,$Q1-2),($L1+1)&amp;"$",OFFSET(W3,1,0,$Q1-2)))</f>
        <v>#REF!</v>
      </c>
      <c r="X3" s="223" t="e">
        <f ca="1">IF($Q1=2,IF(AND(ACOMPANHAMENTO="PLE",ISNUMBER($E1)),SUMIF((OFFSET(CÁLCULO!$AM$15:$AW$15,$E1,0,OFFSET(ORÇAMENTO!$D$15,CRONO!$E1,0))),"="&amp;CRONO!X$12,OFFSET(CÁLCULO!$AB$15:$AL$15,$E1,0,OFFSET(ORÇAMENTO!$D$15,CRONO!$E1,0)))+IF(AND($E3&lt;&gt;"",$E3&lt;&gt;0),SUMIF(CÁLCULO!$AM$15:$AW$747,"="&amp;CRONO!X$12,CÁLCULO!$AB$15:$AL$747)/(ORÇAMENTO!$X$15-CÁLCULO.TotalAdmLocal)*CRONO!$E3,0),X2*$R1),SUMIF(OFFSET($R3,1,0,$Q1-2),($L1+1)&amp;"$",OFFSET(X3,1,0,$Q1-2)))</f>
        <v>#REF!</v>
      </c>
      <c r="Y3" s="223" t="e">
        <f ca="1">IF($Q1=2,IF(AND(ACOMPANHAMENTO="PLE",ISNUMBER($E1)),SUMIF((OFFSET(CÁLCULO!$AM$15:$AW$15,$E1,0,OFFSET(ORÇAMENTO!$D$15,CRONO!$E1,0))),"="&amp;CRONO!Y$12,OFFSET(CÁLCULO!$AB$15:$AL$15,$E1,0,OFFSET(ORÇAMENTO!$D$15,CRONO!$E1,0)))+IF(AND($E3&lt;&gt;"",$E3&lt;&gt;0),SUMIF(CÁLCULO!$AM$15:$AW$747,"="&amp;CRONO!Y$12,CÁLCULO!$AB$15:$AL$747)/(ORÇAMENTO!$X$15-CÁLCULO.TotalAdmLocal)*CRONO!$E3,0),Y2*$R1),SUMIF(OFFSET($R3,1,0,$Q1-2),($L1+1)&amp;"$",OFFSET(Y3,1,0,$Q1-2)))</f>
        <v>#REF!</v>
      </c>
      <c r="Z3" s="223" t="e">
        <f ca="1">IF($Q1=2,IF(AND(ACOMPANHAMENTO="PLE",ISNUMBER($E1)),SUMIF((OFFSET(CÁLCULO!$AM$15:$AW$15,$E1,0,OFFSET(ORÇAMENTO!$D$15,CRONO!$E1,0))),"="&amp;CRONO!Z$12,OFFSET(CÁLCULO!$AB$15:$AL$15,$E1,0,OFFSET(ORÇAMENTO!$D$15,CRONO!$E1,0)))+IF(AND($E3&lt;&gt;"",$E3&lt;&gt;0),SUMIF(CÁLCULO!$AM$15:$AW$747,"="&amp;CRONO!Z$12,CÁLCULO!$AB$15:$AL$747)/(ORÇAMENTO!$X$15-CÁLCULO.TotalAdmLocal)*CRONO!$E3,0),Z2*$R1),SUMIF(OFFSET($R3,1,0,$Q1-2),($L1+1)&amp;"$",OFFSET(Z3,1,0,$Q1-2)))</f>
        <v>#REF!</v>
      </c>
      <c r="AA3" s="223" t="e">
        <f ca="1">IF($Q1=2,IF(AND(ACOMPANHAMENTO="PLE",ISNUMBER($E1)),SUMIF((OFFSET(CÁLCULO!$AM$15:$AW$15,$E1,0,OFFSET(ORÇAMENTO!$D$15,CRONO!$E1,0))),"="&amp;CRONO!AA$12,OFFSET(CÁLCULO!$AB$15:$AL$15,$E1,0,OFFSET(ORÇAMENTO!$D$15,CRONO!$E1,0)))+IF(AND($E3&lt;&gt;"",$E3&lt;&gt;0),SUMIF(CÁLCULO!$AM$15:$AW$747,"="&amp;CRONO!AA$12,CÁLCULO!$AB$15:$AL$747)/(ORÇAMENTO!$X$15-CÁLCULO.TotalAdmLocal)*CRONO!$E3,0),AA2*$R1),SUMIF(OFFSET($R3,1,0,$Q1-2),($L1+1)&amp;"$",OFFSET(AA3,1,0,$Q1-2)))</f>
        <v>#REF!</v>
      </c>
      <c r="AB3" s="223" t="e">
        <f ca="1">IF($Q1=2,IF(AND(ACOMPANHAMENTO="PLE",ISNUMBER($E1)),SUMIF((OFFSET(CÁLCULO!$AM$15:$AW$15,$E1,0,OFFSET(ORÇAMENTO!$D$15,CRONO!$E1,0))),"="&amp;CRONO!AB$12,OFFSET(CÁLCULO!$AB$15:$AL$15,$E1,0,OFFSET(ORÇAMENTO!$D$15,CRONO!$E1,0)))+IF(AND($E3&lt;&gt;"",$E3&lt;&gt;0),SUMIF(CÁLCULO!$AM$15:$AW$747,"="&amp;CRONO!AB$12,CÁLCULO!$AB$15:$AL$747)/(ORÇAMENTO!$X$15-CÁLCULO.TotalAdmLocal)*CRONO!$E3,0),AB2*$R1),SUMIF(OFFSET($R3,1,0,$Q1-2),($L1+1)&amp;"$",OFFSET(AB3,1,0,$Q1-2)))</f>
        <v>#REF!</v>
      </c>
      <c r="AC3" s="223" t="e">
        <f ca="1">IF($Q1=2,IF(AND(ACOMPANHAMENTO="PLE",ISNUMBER($E1)),SUMIF((OFFSET(CÁLCULO!$AM$15:$AW$15,$E1,0,OFFSET(ORÇAMENTO!$D$15,CRONO!$E1,0))),"="&amp;CRONO!AC$12,OFFSET(CÁLCULO!$AB$15:$AL$15,$E1,0,OFFSET(ORÇAMENTO!$D$15,CRONO!$E1,0)))+IF(AND($E3&lt;&gt;"",$E3&lt;&gt;0),SUMIF(CÁLCULO!$AM$15:$AW$747,"="&amp;CRONO!AC$12,CÁLCULO!$AB$15:$AL$747)/(ORÇAMENTO!$X$15-CÁLCULO.TotalAdmLocal)*CRONO!$E3,0),AC2*$R1),SUMIF(OFFSET($R3,1,0,$Q1-2),($L1+1)&amp;"$",OFFSET(AC3,1,0,$Q1-2)))</f>
        <v>#REF!</v>
      </c>
      <c r="AD3" s="223" t="e">
        <f ca="1">IF($Q1=2,IF(AND(ACOMPANHAMENTO="PLE",ISNUMBER($E1)),SUMIF((OFFSET(CÁLCULO!$AM$15:$AW$15,$E1,0,OFFSET(ORÇAMENTO!$D$15,CRONO!$E1,0))),"="&amp;CRONO!AD$12,OFFSET(CÁLCULO!$AB$15:$AL$15,$E1,0,OFFSET(ORÇAMENTO!$D$15,CRONO!$E1,0)))+IF(AND($E3&lt;&gt;"",$E3&lt;&gt;0),SUMIF(CÁLCULO!$AM$15:$AW$747,"="&amp;CRONO!AD$12,CÁLCULO!$AB$15:$AL$747)/(ORÇAMENTO!$X$15-CÁLCULO.TotalAdmLocal)*CRONO!$E3,0),AD2*$R1),SUMIF(OFFSET($R3,1,0,$Q1-2),($L1+1)&amp;"$",OFFSET(AD3,1,0,$Q1-2)))</f>
        <v>#REF!</v>
      </c>
      <c r="AE3" s="228" t="e">
        <f ca="1">IF($Q1=2,IF(AND(ACOMPANHAMENTO="PLE",ISNUMBER($E1)),SUMIF((OFFSET(CÁLCULO!$AM$15:$AW$15,$E1,0,OFFSET(ORÇAMENTO!$D$15,CRONO!$E1,0))),"="&amp;CRONO!AE$12,OFFSET(CÁLCULO!$AB$15:$AL$15,$E1,0,OFFSET(ORÇAMENTO!$D$15,CRONO!$E1,0)))+IF(AND($E3&lt;&gt;"",$E3&lt;&gt;0),SUMIF(CÁLCULO!$AM$15:$AW$747,"="&amp;CRONO!AE$12,CÁLCULO!$AB$15:$AL$747)/(ORÇAMENTO!$X$15-CÁLCULO.TotalAdmLocal)*CRONO!$E3,0),AE2*$R1),SUMIF(OFFSET($R3,1,0,$Q1-2),($L1+1)&amp;"$",OFFSET(AE3,1,0,$Q1-2)))</f>
        <v>#REF!</v>
      </c>
    </row>
    <row r="4" spans="1:32" ht="15" customHeight="1" x14ac:dyDescent="0.25">
      <c r="R4" s="229" t="str">
        <f>IF(TIPOORCAMENTO="licitado","CRONOGRAMA FÍSICO-FINANCEIRO LICITADO","CRONOGRAMA FÍSICO-FINANCEIRO")</f>
        <v>CRONOGRAMA FÍSICO-FINANCEIRO</v>
      </c>
      <c r="AD4" s="604" t="s">
        <v>140</v>
      </c>
      <c r="AE4" s="604"/>
    </row>
    <row r="5" spans="1:32" ht="15" x14ac:dyDescent="0.2">
      <c r="R5" s="84" t="str">
        <f>import.recurso</f>
        <v>(SELECIONAR)</v>
      </c>
      <c r="AD5" s="605" t="s">
        <v>143</v>
      </c>
      <c r="AE5" s="605"/>
    </row>
    <row r="6" spans="1:32" ht="12.75" customHeight="1" x14ac:dyDescent="0.2"/>
    <row r="7" spans="1:32" ht="12.75" customHeight="1" x14ac:dyDescent="0.2">
      <c r="E7" s="230"/>
      <c r="G7" s="639" t="s">
        <v>271</v>
      </c>
      <c r="H7" s="231" t="s">
        <v>146</v>
      </c>
      <c r="I7" s="232"/>
      <c r="J7" s="233" t="s">
        <v>447</v>
      </c>
      <c r="K7" s="234" t="s">
        <v>272</v>
      </c>
      <c r="L7" s="205"/>
      <c r="M7" s="205"/>
      <c r="N7" s="205"/>
      <c r="S7" s="235"/>
      <c r="T7" s="231" t="s">
        <v>273</v>
      </c>
      <c r="X7" s="232"/>
      <c r="Y7" s="231" t="str">
        <f>IF(TIPOORCAMENTO="Licitado","NOME DA EMPRESA","DESCRIÇÃO DO LOTE")</f>
        <v>DESCRIÇÃO DO LOTE</v>
      </c>
      <c r="AE7" s="236" t="str">
        <f>IF(TIPOORCAMENTO="Licitado","Nº CTEF","")</f>
        <v/>
      </c>
    </row>
    <row r="8" spans="1:32" x14ac:dyDescent="0.2">
      <c r="D8" s="204"/>
      <c r="E8" s="116"/>
      <c r="F8" s="593" t="s">
        <v>209</v>
      </c>
      <c r="G8" s="639"/>
      <c r="H8" s="637" t="str">
        <f>Import.CR</f>
        <v>1094391-68</v>
      </c>
      <c r="I8" s="637"/>
      <c r="J8" s="237" t="str">
        <f>Import.TransfereGOV</f>
        <v xml:space="preserve">960797/2024 </v>
      </c>
      <c r="K8" s="636" t="str">
        <f>Import.Proponente</f>
        <v>Prefeitura Municipal de Pirapora</v>
      </c>
      <c r="L8" s="636"/>
      <c r="M8" s="636"/>
      <c r="N8" s="636"/>
      <c r="O8" s="636"/>
      <c r="P8" s="636"/>
      <c r="Q8" s="636"/>
      <c r="R8" s="636"/>
      <c r="S8" s="636"/>
      <c r="T8" s="637" t="str">
        <f>Import.Apelido</f>
        <v>CEMEI Santa Mariana Pirapora/MG. Projeto Padrão FNDE- Creche e Pré Escola Tipo I.</v>
      </c>
      <c r="U8" s="637"/>
      <c r="V8" s="637"/>
      <c r="W8" s="637"/>
      <c r="X8" s="637"/>
      <c r="Y8" s="633" t="str">
        <f>IF(TIPOORCAMENTO="Licitado",Import.empresa,Import.DescLote)</f>
        <v>Centro Municipal de Educação Infantil - CEMEI Santa Mariana Pirapora/MG. Projeto Padrão FNDE- Creche e Pré escola Tipo I.</v>
      </c>
      <c r="Z8" s="633"/>
      <c r="AA8" s="633"/>
      <c r="AB8" s="633"/>
      <c r="AC8" s="633"/>
      <c r="AD8" s="633"/>
      <c r="AE8" s="224" t="str">
        <f>IF(TIPOORCAMENTO="Licitado",Import.CTEF,"")</f>
        <v/>
      </c>
    </row>
    <row r="9" spans="1:32" x14ac:dyDescent="0.2">
      <c r="E9" s="116"/>
      <c r="F9" s="593"/>
      <c r="G9" s="639"/>
    </row>
    <row r="10" spans="1:32" x14ac:dyDescent="0.2">
      <c r="E10" s="230"/>
      <c r="F10" s="593"/>
      <c r="G10" s="238">
        <v>2</v>
      </c>
      <c r="J10" s="638" t="str">
        <f ca="1">IF(MAX($A$13:$A$89)&lt;CRONO.LinhasNecessarias,"ERRO: NÚMERO DE LINHAS DO CRONOGRAMA INSUFICIENTE. CLIQUE EM ATUALIZAR LINHAS.",IF(AND(ACOMPANHAMENTO="PLE",ROUND(OFFSET($AF$99,0,-1),2)=0),"CRONOGRAMA DEVE SER PREENCHIDO POR EVENTOS",IF(ROUND(OFFSET($AF$99,0,-1),2)&lt;&gt;$Q$90,"ERRO: CRONOGRAMA NÃO FECHA 100%","")))</f>
        <v/>
      </c>
      <c r="K10" s="638"/>
      <c r="L10" s="638"/>
      <c r="M10" s="638"/>
      <c r="N10" s="638"/>
      <c r="O10" s="638"/>
      <c r="P10" s="638"/>
      <c r="Q10" s="638"/>
      <c r="R10" s="638"/>
      <c r="S10" s="638"/>
    </row>
    <row r="11" spans="1:32" ht="12.75" customHeight="1" x14ac:dyDescent="0.2">
      <c r="F11" s="593"/>
      <c r="H11" s="239"/>
      <c r="I11" s="239"/>
      <c r="J11" s="638"/>
      <c r="K11" s="638"/>
      <c r="L11" s="638"/>
      <c r="M11" s="638"/>
      <c r="N11" s="638"/>
      <c r="O11" s="638"/>
      <c r="P11" s="638"/>
      <c r="Q11" s="638"/>
      <c r="R11" s="638"/>
      <c r="S11" s="638"/>
    </row>
    <row r="12" spans="1:32" ht="12.75" customHeight="1" x14ac:dyDescent="0.2">
      <c r="D12" s="240">
        <f ca="1">OFFSET(D12,0,-1)+1</f>
        <v>1</v>
      </c>
      <c r="F12" s="108" t="s">
        <v>217</v>
      </c>
      <c r="G12" s="641" t="s">
        <v>274</v>
      </c>
      <c r="H12" s="642" t="s">
        <v>231</v>
      </c>
      <c r="I12" s="643" t="s">
        <v>234</v>
      </c>
      <c r="J12" s="241"/>
      <c r="K12" s="241"/>
      <c r="L12" s="242"/>
      <c r="M12" s="242"/>
      <c r="N12" s="242"/>
      <c r="O12" s="242"/>
      <c r="P12" s="242"/>
      <c r="Q12" s="242"/>
      <c r="R12" s="634" t="s">
        <v>275</v>
      </c>
      <c r="S12" s="635" t="s">
        <v>276</v>
      </c>
      <c r="T12" s="243">
        <v>1</v>
      </c>
      <c r="U12" s="240">
        <f ca="1">OFFSET(U12,0,-1)+1</f>
        <v>2</v>
      </c>
      <c r="V12" s="240">
        <f t="shared" ref="V12:AE12" ca="1" si="1">OFFSET(V12,0,-1)+1</f>
        <v>3</v>
      </c>
      <c r="W12" s="240">
        <f t="shared" ca="1" si="1"/>
        <v>4</v>
      </c>
      <c r="X12" s="240">
        <f t="shared" ca="1" si="1"/>
        <v>5</v>
      </c>
      <c r="Y12" s="240">
        <f t="shared" ca="1" si="1"/>
        <v>6</v>
      </c>
      <c r="Z12" s="240">
        <f t="shared" ca="1" si="1"/>
        <v>7</v>
      </c>
      <c r="AA12" s="240">
        <f t="shared" ca="1" si="1"/>
        <v>8</v>
      </c>
      <c r="AB12" s="240">
        <f t="shared" ca="1" si="1"/>
        <v>9</v>
      </c>
      <c r="AC12" s="240">
        <f t="shared" ca="1" si="1"/>
        <v>10</v>
      </c>
      <c r="AD12" s="240">
        <f t="shared" ca="1" si="1"/>
        <v>11</v>
      </c>
      <c r="AE12" s="244">
        <f t="shared" ca="1" si="1"/>
        <v>12</v>
      </c>
    </row>
    <row r="13" spans="1:32" ht="24.95" customHeight="1" x14ac:dyDescent="0.2">
      <c r="A13" s="245" t="s">
        <v>277</v>
      </c>
      <c r="B13" s="245" t="s">
        <v>169</v>
      </c>
      <c r="C13" s="245" t="s">
        <v>278</v>
      </c>
      <c r="D13" s="246" t="e">
        <f ca="1">OFFSET(D13,0,-1)+41-DAY(OFFSET(D13,0,-1)+40)</f>
        <v>#VALUE!</v>
      </c>
      <c r="E13" s="245" t="s">
        <v>279</v>
      </c>
      <c r="G13" s="641"/>
      <c r="H13" s="642"/>
      <c r="I13" s="643"/>
      <c r="J13" s="247"/>
      <c r="K13" s="247"/>
      <c r="L13" s="248" t="s">
        <v>229</v>
      </c>
      <c r="M13" s="248">
        <v>1</v>
      </c>
      <c r="N13" s="248">
        <v>2</v>
      </c>
      <c r="O13" s="248">
        <v>3</v>
      </c>
      <c r="P13" s="248">
        <v>4</v>
      </c>
      <c r="Q13" s="249" t="s">
        <v>280</v>
      </c>
      <c r="R13" s="634"/>
      <c r="S13" s="635"/>
      <c r="T13" s="250">
        <v>45778</v>
      </c>
      <c r="U13" s="246">
        <f ca="1">OFFSET(U13,0,-1)+41-DAY(OFFSET(U13,0,-1)+40)</f>
        <v>45809</v>
      </c>
      <c r="V13" s="246">
        <f ca="1">OFFSET(V13,0,-1)+41-DAY(OFFSET(V13,0,-1)+40)</f>
        <v>45839</v>
      </c>
      <c r="W13" s="246">
        <f t="shared" ref="W13:AE13" ca="1" si="2">OFFSET(W13,0,-1)+41-DAY(OFFSET(W13,0,-1)+40)</f>
        <v>45870</v>
      </c>
      <c r="X13" s="246">
        <f t="shared" ca="1" si="2"/>
        <v>45901</v>
      </c>
      <c r="Y13" s="246">
        <f t="shared" ca="1" si="2"/>
        <v>45931</v>
      </c>
      <c r="Z13" s="246">
        <f t="shared" ca="1" si="2"/>
        <v>45962</v>
      </c>
      <c r="AA13" s="246">
        <f t="shared" ca="1" si="2"/>
        <v>45992</v>
      </c>
      <c r="AB13" s="246">
        <f t="shared" ca="1" si="2"/>
        <v>46023</v>
      </c>
      <c r="AC13" s="246">
        <f t="shared" ca="1" si="2"/>
        <v>46054</v>
      </c>
      <c r="AD13" s="246">
        <f t="shared" ca="1" si="2"/>
        <v>46082</v>
      </c>
      <c r="AE13" s="251">
        <f t="shared" ca="1" si="2"/>
        <v>46113</v>
      </c>
    </row>
    <row r="14" spans="1:32" x14ac:dyDescent="0.2">
      <c r="A14" s="204">
        <f t="shared" ref="A14" ca="1" si="3">OFFSET(A14,-3,0)+1</f>
        <v>1</v>
      </c>
      <c r="B14" s="204">
        <f ca="1">IF($Q14&lt;&gt;2,0,IF($R14=0,1,IF(E15&gt;0,OFFSET(QCI!$M$13,SUBSTITUTE(E15,".",""),0),OFFSET(ORÇAMENTO!$AA$15,CRONO!$E14,0))/$R14))</f>
        <v>0</v>
      </c>
      <c r="C14" s="204">
        <f ca="1">IF($Q14&lt;&gt;2,0,IF($R14=0,1,IF(E15&gt;0,OFFSET(QCI!$N$13,SUBSTITUTE(E15,".",""),0),OFFSET(ORÇAMENTO!$AB$15,CRONO!$E14,0))/$R14))</f>
        <v>0</v>
      </c>
      <c r="D14" s="207" t="e">
        <f ca="1">IF(AND($Q14=2,ACOMPANHAMENTO="BM"),D15,D16/$R14)</f>
        <v>#DIV/0!</v>
      </c>
      <c r="E14" s="204">
        <f ca="1">IF(A14&lt;=ORÇAMENTO.MáximoListaCrono,MATCH(A14,ORÇAMENTO.ListaCrono,0),NA())</f>
        <v>1</v>
      </c>
      <c r="F14" s="204" t="str">
        <f t="shared" ref="F14" ca="1" si="4">IF(AND($E15&lt;&gt;-1,$R14&gt;0),"F","")</f>
        <v/>
      </c>
      <c r="G14" s="208" t="str">
        <f ca="1">IF(OR(R14=0,R14=""),"Linha",IF(AND(OR(ACOMPANHAMENTO="PLE",$Q14&lt;&gt;2),$E15=0),"Linha",1-SUM(T14:AF14)))</f>
        <v>Linha</v>
      </c>
      <c r="H14" s="209" t="str">
        <f ca="1">IF($E15=0,OFFSET(ORÇAMENTO!O$15,$E14,0),IF($E15&lt;&gt;-1,OFFSET(QCI!$D$13,$E15,0),""))</f>
        <v>1.</v>
      </c>
      <c r="I14" s="210" t="str">
        <f ca="1">IF($E15=0,OFFSET(ORÇAMENTO!R$15,$E14,0),IF($E15&lt;&gt;-1,OFFSET(QCI!$G$13,$E15,0),""))</f>
        <v>CEMEI Santa Mariana Pirapora/MG. Projeto Padrão FNDE- Creche e Pré Escola Tipo I.</v>
      </c>
      <c r="J14" s="210"/>
      <c r="K14" s="210"/>
      <c r="L14" s="211">
        <f ca="1">IF($E15=0,OFFSET(ORÇAMENTO!C$15,$E14,0),1)</f>
        <v>1</v>
      </c>
      <c r="M14" s="212">
        <f ca="1">IF($E15=-1,0,IF(M$13&lt;=$L14,IF(ISERROR(MATCH(M$13,OFFSET($L14,1,0,ROW($L$89)-ROW($L14)-1),0)),ROW($L$89)-ROW($L14)-1,MATCH(M$13,OFFSET($L14,1,0,ROW($L$89)-ROW($L14)-1),0)-1),0))</f>
        <v>74</v>
      </c>
      <c r="N14" s="212">
        <f ca="1">IF($E15=-1,0,IF(N$13&lt;=$L14,IF(ISERROR(MATCH(N$13,OFFSET($L14,1,0,ROW($L$89)-ROW($L14)-1),0)),ROW($L$89)-ROW($L14)-1,MATCH(N$13,OFFSET($L14,1,0,ROW($L$89)-ROW($L14)-1),0)-1),0))</f>
        <v>0</v>
      </c>
      <c r="O14" s="212">
        <f ca="1">IF($E15=-1,0,IF(O$13&lt;=$L14,IF(ISERROR(MATCH(O$13,OFFSET($L14,1,0,ROW($L$89)-ROW($L14)-1),0)),ROW($L$89)-ROW($L14)-1,MATCH(O$13,OFFSET($L14,1,0,ROW($L$89)-ROW($L14)-1),0)-1),0))</f>
        <v>0</v>
      </c>
      <c r="P14" s="212">
        <f ca="1">IF($E15=-1,0,IF(P$13&lt;=$L14,IF(ISERROR(MATCH(P$13,OFFSET($L14,1,0,ROW($L$89)-ROW($L14)-1),0)),ROW($L$89)-ROW($L14)-1,MATCH(P$13,OFFSET($L14,1,0,ROW($L$89)-ROW($L14)-1),0)-1),0))</f>
        <v>0</v>
      </c>
      <c r="Q14" s="212">
        <f t="shared" ref="Q14" ca="1" si="5">MIN(OFFSET(L14,0,1,,L14))</f>
        <v>74</v>
      </c>
      <c r="R14" s="213">
        <f ca="1">IF($E15=0,OFFSET(ORÇAMENTO!X$15,$E14,0),IF($E15&lt;&gt;-1,OFFSET(QCI!$O$13,$E15,0),""))</f>
        <v>0</v>
      </c>
      <c r="S14" s="214" t="s">
        <v>270</v>
      </c>
      <c r="T14" s="215" t="e">
        <f t="shared" ref="T14:AE14" ca="1" si="6">IF(AND($Q14=2,ACOMPANHAMENTO="BM"),T15,T16/$R14)</f>
        <v>#DIV/0!</v>
      </c>
      <c r="U14" s="207" t="e">
        <f t="shared" ca="1" si="6"/>
        <v>#DIV/0!</v>
      </c>
      <c r="V14" s="207" t="e">
        <f t="shared" ca="1" si="6"/>
        <v>#DIV/0!</v>
      </c>
      <c r="W14" s="207" t="e">
        <f t="shared" ca="1" si="6"/>
        <v>#DIV/0!</v>
      </c>
      <c r="X14" s="207" t="e">
        <f t="shared" ca="1" si="6"/>
        <v>#DIV/0!</v>
      </c>
      <c r="Y14" s="207" t="e">
        <f t="shared" ca="1" si="6"/>
        <v>#DIV/0!</v>
      </c>
      <c r="Z14" s="207" t="e">
        <f t="shared" ca="1" si="6"/>
        <v>#DIV/0!</v>
      </c>
      <c r="AA14" s="207" t="e">
        <f t="shared" ca="1" si="6"/>
        <v>#DIV/0!</v>
      </c>
      <c r="AB14" s="207" t="e">
        <f t="shared" ca="1" si="6"/>
        <v>#DIV/0!</v>
      </c>
      <c r="AC14" s="207" t="e">
        <f t="shared" ca="1" si="6"/>
        <v>#DIV/0!</v>
      </c>
      <c r="AD14" s="207" t="e">
        <f t="shared" ca="1" si="6"/>
        <v>#DIV/0!</v>
      </c>
      <c r="AE14" s="216" t="e">
        <f t="shared" ca="1" si="6"/>
        <v>#DIV/0!</v>
      </c>
    </row>
    <row r="15" spans="1:32" ht="12.75" customHeight="1" x14ac:dyDescent="0.2">
      <c r="D15" s="569"/>
      <c r="E15" s="204">
        <f ca="1">IF(ISERROR(E14),IF(1+COUNTIF($L$13:OFFSET(L14,-1,0),1)&lt;=MAX(QCI!$D$13:$D$24),1+COUNTIF($L$13:OFFSET(L14,-1,0),1),-1),0)</f>
        <v>0</v>
      </c>
      <c r="F15" s="204" t="str">
        <f t="shared" ref="F15" ca="1" si="7">IF(AND($E15&lt;&gt;-1,$R14&gt;0),"F","")</f>
        <v/>
      </c>
      <c r="G15" s="217" t="str">
        <f ca="1">IF(OR(R14=0,R14=""),"vazia",IF(AND(OR(ACOMPANHAMENTO="PLE",$Q14&lt;&gt;2),$E15=0),"calculada","--&gt;"))</f>
        <v>vazia</v>
      </c>
      <c r="H15" s="218"/>
      <c r="I15" s="219" t="str">
        <f t="shared" ref="I15" ca="1" si="8">IF(AND(G14&lt;&gt;0,ISNUMBER(G14)),"PREENCHA ESTA LINHA --&gt;","")</f>
        <v/>
      </c>
      <c r="J15" s="219"/>
      <c r="K15" s="219"/>
      <c r="L15" s="220"/>
      <c r="M15" s="220"/>
      <c r="N15" s="220"/>
      <c r="O15" s="220"/>
      <c r="P15" s="220"/>
      <c r="Q15" s="220"/>
      <c r="R15" s="221"/>
      <c r="S15" s="222"/>
      <c r="T15" s="570"/>
      <c r="U15" s="569"/>
      <c r="V15" s="569"/>
      <c r="W15" s="569"/>
      <c r="X15" s="569"/>
      <c r="Y15" s="569"/>
      <c r="Z15" s="569"/>
      <c r="AA15" s="569"/>
      <c r="AB15" s="569"/>
      <c r="AC15" s="569"/>
      <c r="AD15" s="569"/>
      <c r="AE15" s="571"/>
      <c r="AF15" s="533"/>
    </row>
    <row r="16" spans="1:32" ht="0.2" hidden="1" customHeight="1" x14ac:dyDescent="0.2">
      <c r="D16" s="223">
        <f ca="1">IF($Q14=2,IF(AND(ACOMPANHAMENTO="PLE",ISNUMBER($E14)),SUMIF((OFFSET(CÁLCULO!$AM$15:$AW$15,$E14,0,OFFSET(ORÇAMENTO!$D$15,CRONO!$E14,0))),"="&amp;CRONO!D$12,OFFSET(CÁLCULO!$AB$15:$AL$15,$E14,0,OFFSET(ORÇAMENTO!$D$15,CRONO!$E14,0)))+IF(AND($E16&lt;&gt;"",$E16&lt;&gt;0),SUMIF(CÁLCULO!$AM$15:$AW$747,"="&amp;CRONO!D$12,CÁLCULO!$AB$15:$AL$747)/(ORÇAMENTO!$X$15-CÁLCULO.TotalAdmLocal)*CRONO!$E16,0),D15*$R14),SUMIF(OFFSET($R16,1,0,$Q14-2),($L14+1)&amp;"$",OFFSET(D16,1,0,$Q14-2)))</f>
        <v>0</v>
      </c>
      <c r="E16" s="204" t="str">
        <f ca="1">IF(OR($Q14&lt;&gt;2,AUTOEVENTO&lt;&gt;"manual",$E15&gt;0),"",SUMIF(OFFSET(CÁLCULO!$M$15,CRONO!$E14,0,OFFSET(ORÇAMENTO!$D$15,CRONO!$E14,0)),1,OFFSET(ORÇAMENTO!$X$15,CRONO!$E14,0,OFFSET(ORÇAMENTO!$D$15,CRONO!$E14,0))))</f>
        <v/>
      </c>
      <c r="G16" s="224"/>
      <c r="R16" s="225" t="str">
        <f t="shared" ref="R16" ca="1" si="9">L14&amp;"$"</f>
        <v>1$</v>
      </c>
      <c r="S16" s="226"/>
      <c r="T16" s="227">
        <f ca="1">IF($Q14=2,IF(AND(ACOMPANHAMENTO="PLE",ISNUMBER($E14)),SUMIF((OFFSET(CÁLCULO!$AM$15:$AW$15,$E14,0,OFFSET(ORÇAMENTO!$D$15,CRONO!$E14,0))),"&lt;="&amp;CRONO!T$12,OFFSET(CÁLCULO!$AB$15:$AL$15,$E14,0,OFFSET(ORÇAMENTO!$D$15,CRONO!$E14,0)))+IF(AND($E16&lt;&gt;"",$E16&lt;&gt;0),SUMIF(CÁLCULO!$AM$15:$AW$747,"&lt;="&amp;CRONO!T$12,CÁLCULO!$AB$15:$AL$747)/(ORÇAMENTO!$X$15-CÁLCULO.TotalAdmLocal)*CRONO!$E16,0),T15*$R14),SUMIF(OFFSET($R16,1,0,$Q14-2),($L14+1)&amp;"$",OFFSET(T16,1,0,$Q14-2)))</f>
        <v>0</v>
      </c>
      <c r="U16" s="223">
        <f ca="1">IF($Q14=2,IF(AND(ACOMPANHAMENTO="PLE",ISNUMBER($E14)),SUMIF((OFFSET(CÁLCULO!$AM$15:$AW$15,$E14,0,OFFSET(ORÇAMENTO!$D$15,CRONO!$E14,0))),"="&amp;CRONO!U$12,OFFSET(CÁLCULO!$AB$15:$AL$15,$E14,0,OFFSET(ORÇAMENTO!$D$15,CRONO!$E14,0)))+IF(AND($E16&lt;&gt;"",$E16&lt;&gt;0),SUMIF(CÁLCULO!$AM$15:$AW$747,"="&amp;CRONO!U$12,CÁLCULO!$AB$15:$AL$747)/(ORÇAMENTO!$X$15-CÁLCULO.TotalAdmLocal)*CRONO!$E16,0),U15*$R14),SUMIF(OFFSET($R16,1,0,$Q14-2),($L14+1)&amp;"$",OFFSET(U16,1,0,$Q14-2)))</f>
        <v>0</v>
      </c>
      <c r="V16" s="223">
        <f ca="1">IF($Q14=2,IF(AND(ACOMPANHAMENTO="PLE",ISNUMBER($E14)),SUMIF((OFFSET(CÁLCULO!$AM$15:$AW$15,$E14,0,OFFSET(ORÇAMENTO!$D$15,CRONO!$E14,0))),"="&amp;CRONO!V$12,OFFSET(CÁLCULO!$AB$15:$AL$15,$E14,0,OFFSET(ORÇAMENTO!$D$15,CRONO!$E14,0)))+IF(AND($E16&lt;&gt;"",$E16&lt;&gt;0),SUMIF(CÁLCULO!$AM$15:$AW$747,"="&amp;CRONO!V$12,CÁLCULO!$AB$15:$AL$747)/(ORÇAMENTO!$X$15-CÁLCULO.TotalAdmLocal)*CRONO!$E16,0),V15*$R14),SUMIF(OFFSET($R16,1,0,$Q14-2),($L14+1)&amp;"$",OFFSET(V16,1,0,$Q14-2)))</f>
        <v>0</v>
      </c>
      <c r="W16" s="223">
        <f ca="1">IF($Q14=2,IF(AND(ACOMPANHAMENTO="PLE",ISNUMBER($E14)),SUMIF((OFFSET(CÁLCULO!$AM$15:$AW$15,$E14,0,OFFSET(ORÇAMENTO!$D$15,CRONO!$E14,0))),"="&amp;CRONO!W$12,OFFSET(CÁLCULO!$AB$15:$AL$15,$E14,0,OFFSET(ORÇAMENTO!$D$15,CRONO!$E14,0)))+IF(AND($E16&lt;&gt;"",$E16&lt;&gt;0),SUMIF(CÁLCULO!$AM$15:$AW$747,"="&amp;CRONO!W$12,CÁLCULO!$AB$15:$AL$747)/(ORÇAMENTO!$X$15-CÁLCULO.TotalAdmLocal)*CRONO!$E16,0),W15*$R14),SUMIF(OFFSET($R16,1,0,$Q14-2),($L14+1)&amp;"$",OFFSET(W16,1,0,$Q14-2)))</f>
        <v>0</v>
      </c>
      <c r="X16" s="223">
        <f ca="1">IF($Q14=2,IF(AND(ACOMPANHAMENTO="PLE",ISNUMBER($E14)),SUMIF((OFFSET(CÁLCULO!$AM$15:$AW$15,$E14,0,OFFSET(ORÇAMENTO!$D$15,CRONO!$E14,0))),"="&amp;CRONO!X$12,OFFSET(CÁLCULO!$AB$15:$AL$15,$E14,0,OFFSET(ORÇAMENTO!$D$15,CRONO!$E14,0)))+IF(AND($E16&lt;&gt;"",$E16&lt;&gt;0),SUMIF(CÁLCULO!$AM$15:$AW$747,"="&amp;CRONO!X$12,CÁLCULO!$AB$15:$AL$747)/(ORÇAMENTO!$X$15-CÁLCULO.TotalAdmLocal)*CRONO!$E16,0),X15*$R14),SUMIF(OFFSET($R16,1,0,$Q14-2),($L14+1)&amp;"$",OFFSET(X16,1,0,$Q14-2)))</f>
        <v>0</v>
      </c>
      <c r="Y16" s="223">
        <f ca="1">IF($Q14=2,IF(AND(ACOMPANHAMENTO="PLE",ISNUMBER($E14)),SUMIF((OFFSET(CÁLCULO!$AM$15:$AW$15,$E14,0,OFFSET(ORÇAMENTO!$D$15,CRONO!$E14,0))),"="&amp;CRONO!Y$12,OFFSET(CÁLCULO!$AB$15:$AL$15,$E14,0,OFFSET(ORÇAMENTO!$D$15,CRONO!$E14,0)))+IF(AND($E16&lt;&gt;"",$E16&lt;&gt;0),SUMIF(CÁLCULO!$AM$15:$AW$747,"="&amp;CRONO!Y$12,CÁLCULO!$AB$15:$AL$747)/(ORÇAMENTO!$X$15-CÁLCULO.TotalAdmLocal)*CRONO!$E16,0),Y15*$R14),SUMIF(OFFSET($R16,1,0,$Q14-2),($L14+1)&amp;"$",OFFSET(Y16,1,0,$Q14-2)))</f>
        <v>0</v>
      </c>
      <c r="Z16" s="223">
        <f ca="1">IF($Q14=2,IF(AND(ACOMPANHAMENTO="PLE",ISNUMBER($E14)),SUMIF((OFFSET(CÁLCULO!$AM$15:$AW$15,$E14,0,OFFSET(ORÇAMENTO!$D$15,CRONO!$E14,0))),"="&amp;CRONO!Z$12,OFFSET(CÁLCULO!$AB$15:$AL$15,$E14,0,OFFSET(ORÇAMENTO!$D$15,CRONO!$E14,0)))+IF(AND($E16&lt;&gt;"",$E16&lt;&gt;0),SUMIF(CÁLCULO!$AM$15:$AW$747,"="&amp;CRONO!Z$12,CÁLCULO!$AB$15:$AL$747)/(ORÇAMENTO!$X$15-CÁLCULO.TotalAdmLocal)*CRONO!$E16,0),Z15*$R14),SUMIF(OFFSET($R16,1,0,$Q14-2),($L14+1)&amp;"$",OFFSET(Z16,1,0,$Q14-2)))</f>
        <v>0</v>
      </c>
      <c r="AA16" s="223">
        <f ca="1">IF($Q14=2,IF(AND(ACOMPANHAMENTO="PLE",ISNUMBER($E14)),SUMIF((OFFSET(CÁLCULO!$AM$15:$AW$15,$E14,0,OFFSET(ORÇAMENTO!$D$15,CRONO!$E14,0))),"="&amp;CRONO!AA$12,OFFSET(CÁLCULO!$AB$15:$AL$15,$E14,0,OFFSET(ORÇAMENTO!$D$15,CRONO!$E14,0)))+IF(AND($E16&lt;&gt;"",$E16&lt;&gt;0),SUMIF(CÁLCULO!$AM$15:$AW$747,"="&amp;CRONO!AA$12,CÁLCULO!$AB$15:$AL$747)/(ORÇAMENTO!$X$15-CÁLCULO.TotalAdmLocal)*CRONO!$E16,0),AA15*$R14),SUMIF(OFFSET($R16,1,0,$Q14-2),($L14+1)&amp;"$",OFFSET(AA16,1,0,$Q14-2)))</f>
        <v>0</v>
      </c>
      <c r="AB16" s="223">
        <f ca="1">IF($Q14=2,IF(AND(ACOMPANHAMENTO="PLE",ISNUMBER($E14)),SUMIF((OFFSET(CÁLCULO!$AM$15:$AW$15,$E14,0,OFFSET(ORÇAMENTO!$D$15,CRONO!$E14,0))),"="&amp;CRONO!AB$12,OFFSET(CÁLCULO!$AB$15:$AL$15,$E14,0,OFFSET(ORÇAMENTO!$D$15,CRONO!$E14,0)))+IF(AND($E16&lt;&gt;"",$E16&lt;&gt;0),SUMIF(CÁLCULO!$AM$15:$AW$747,"="&amp;CRONO!AB$12,CÁLCULO!$AB$15:$AL$747)/(ORÇAMENTO!$X$15-CÁLCULO.TotalAdmLocal)*CRONO!$E16,0),AB15*$R14),SUMIF(OFFSET($R16,1,0,$Q14-2),($L14+1)&amp;"$",OFFSET(AB16,1,0,$Q14-2)))</f>
        <v>0</v>
      </c>
      <c r="AC16" s="223">
        <f ca="1">IF($Q14=2,IF(AND(ACOMPANHAMENTO="PLE",ISNUMBER($E14)),SUMIF((OFFSET(CÁLCULO!$AM$15:$AW$15,$E14,0,OFFSET(ORÇAMENTO!$D$15,CRONO!$E14,0))),"="&amp;CRONO!AC$12,OFFSET(CÁLCULO!$AB$15:$AL$15,$E14,0,OFFSET(ORÇAMENTO!$D$15,CRONO!$E14,0)))+IF(AND($E16&lt;&gt;"",$E16&lt;&gt;0),SUMIF(CÁLCULO!$AM$15:$AW$747,"="&amp;CRONO!AC$12,CÁLCULO!$AB$15:$AL$747)/(ORÇAMENTO!$X$15-CÁLCULO.TotalAdmLocal)*CRONO!$E16,0),AC15*$R14),SUMIF(OFFSET($R16,1,0,$Q14-2),($L14+1)&amp;"$",OFFSET(AC16,1,0,$Q14-2)))</f>
        <v>0</v>
      </c>
      <c r="AD16" s="223">
        <f ca="1">IF($Q14=2,IF(AND(ACOMPANHAMENTO="PLE",ISNUMBER($E14)),SUMIF((OFFSET(CÁLCULO!$AM$15:$AW$15,$E14,0,OFFSET(ORÇAMENTO!$D$15,CRONO!$E14,0))),"="&amp;CRONO!AD$12,OFFSET(CÁLCULO!$AB$15:$AL$15,$E14,0,OFFSET(ORÇAMENTO!$D$15,CRONO!$E14,0)))+IF(AND($E16&lt;&gt;"",$E16&lt;&gt;0),SUMIF(CÁLCULO!$AM$15:$AW$747,"="&amp;CRONO!AD$12,CÁLCULO!$AB$15:$AL$747)/(ORÇAMENTO!$X$15-CÁLCULO.TotalAdmLocal)*CRONO!$E16,0),AD15*$R14),SUMIF(OFFSET($R16,1,0,$Q14-2),($L14+1)&amp;"$",OFFSET(AD16,1,0,$Q14-2)))</f>
        <v>0</v>
      </c>
      <c r="AE16" s="228">
        <f ca="1">IF($Q14=2,IF(AND(ACOMPANHAMENTO="PLE",ISNUMBER($E14)),SUMIF((OFFSET(CÁLCULO!$AM$15:$AW$15,$E14,0,OFFSET(ORÇAMENTO!$D$15,CRONO!$E14,0))),"="&amp;CRONO!AE$12,OFFSET(CÁLCULO!$AB$15:$AL$15,$E14,0,OFFSET(ORÇAMENTO!$D$15,CRONO!$E14,0)))+IF(AND($E16&lt;&gt;"",$E16&lt;&gt;0),SUMIF(CÁLCULO!$AM$15:$AW$747,"="&amp;CRONO!AE$12,CÁLCULO!$AB$15:$AL$747)/(ORÇAMENTO!$X$15-CÁLCULO.TotalAdmLocal)*CRONO!$E16,0),AE15*$R14),SUMIF(OFFSET($R16,1,0,$Q14-2),($L14+1)&amp;"$",OFFSET(AE16,1,0,$Q14-2)))</f>
        <v>0</v>
      </c>
    </row>
    <row r="17" spans="1:32" x14ac:dyDescent="0.2">
      <c r="A17" s="204">
        <f t="shared" ref="A17" ca="1" si="10">OFFSET(A17,-3,0)+1</f>
        <v>2</v>
      </c>
      <c r="B17" s="204">
        <f ca="1">IF($Q17&lt;&gt;2,0,IF($R17=0,1,IF(E18&gt;0,OFFSET(QCI!$M$13,SUBSTITUTE(E18,".",""),0),OFFSET(ORÇAMENTO!$AA$15,CRONO!$E17,0))/$R17))</f>
        <v>1</v>
      </c>
      <c r="C17" s="204">
        <f ca="1">IF($Q17&lt;&gt;2,0,IF($R17=0,1,IF(E18&gt;0,OFFSET(QCI!$N$13,SUBSTITUTE(E18,".",""),0),OFFSET(ORÇAMENTO!$AB$15,CRONO!$E17,0))/$R17))</f>
        <v>1</v>
      </c>
      <c r="D17" s="207">
        <f ca="1">IF(AND($Q17=2,ACOMPANHAMENTO="BM"),D18,D19/$R17)</f>
        <v>0</v>
      </c>
      <c r="E17" s="204">
        <f ca="1">IF(A17&lt;=ORÇAMENTO.MáximoListaCrono,MATCH(A17,ORÇAMENTO.ListaCrono,0),NA())</f>
        <v>2</v>
      </c>
      <c r="F17" s="204" t="str">
        <f t="shared" ref="F17" ca="1" si="11">IF(AND($E18&lt;&gt;-1,$R17&gt;0),"F","")</f>
        <v/>
      </c>
      <c r="G17" s="208" t="str">
        <f ca="1">IF(OR(R17=0,R17=""),"Linha",IF(AND(OR(ACOMPANHAMENTO="PLE",$Q17&lt;&gt;2),$E18=0),"Linha",1-SUM(T17:AF17)))</f>
        <v>Linha</v>
      </c>
      <c r="H17" s="209" t="str">
        <f ca="1">IF($E18=0,OFFSET(ORÇAMENTO!O$15,$E17,0),IF($E18&lt;&gt;-1,OFFSET(QCI!$D$13,$E18,0),""))</f>
        <v>1.1.</v>
      </c>
      <c r="I17" s="210" t="str">
        <f ca="1">IF($E18=0,OFFSET(ORÇAMENTO!R$15,$E17,0),IF($E18&lt;&gt;-1,OFFSET(QCI!$G$13,$E18,0),""))</f>
        <v>SERVIÇOS PRELIMINARES</v>
      </c>
      <c r="J17" s="210"/>
      <c r="K17" s="210"/>
      <c r="L17" s="211">
        <f ca="1">IF($E18=0,OFFSET(ORÇAMENTO!C$15,$E17,0),1)</f>
        <v>2</v>
      </c>
      <c r="M17" s="212">
        <f ca="1">IF($E18=-1,0,IF(M$13&lt;=$L17,IF(ISERROR(MATCH(M$13,OFFSET($L17,1,0,ROW($L$89)-ROW($L17)-1),0)),ROW($L$89)-ROW($L17)-1,MATCH(M$13,OFFSET($L17,1,0,ROW($L$89)-ROW($L17)-1),0)-1),0))</f>
        <v>71</v>
      </c>
      <c r="N17" s="212">
        <f ca="1">IF($E18=-1,0,IF(N$13&lt;=$L17,IF(ISERROR(MATCH(N$13,OFFSET($L17,1,0,ROW($L$89)-ROW($L17)-1),0)),ROW($L$89)-ROW($L17)-1,MATCH(N$13,OFFSET($L17,1,0,ROW($L$89)-ROW($L17)-1),0)-1),0))</f>
        <v>2</v>
      </c>
      <c r="O17" s="212">
        <f ca="1">IF($E18=-1,0,IF(O$13&lt;=$L17,IF(ISERROR(MATCH(O$13,OFFSET($L17,1,0,ROW($L$89)-ROW($L17)-1),0)),ROW($L$89)-ROW($L17)-1,MATCH(O$13,OFFSET($L17,1,0,ROW($L$89)-ROW($L17)-1),0)-1),0))</f>
        <v>0</v>
      </c>
      <c r="P17" s="212">
        <f ca="1">IF($E18=-1,0,IF(P$13&lt;=$L17,IF(ISERROR(MATCH(P$13,OFFSET($L17,1,0,ROW($L$89)-ROW($L17)-1),0)),ROW($L$89)-ROW($L17)-1,MATCH(P$13,OFFSET($L17,1,0,ROW($L$89)-ROW($L17)-1),0)-1),0))</f>
        <v>0</v>
      </c>
      <c r="Q17" s="212">
        <f t="shared" ref="Q17" ca="1" si="12">MIN(OFFSET(L17,0,1,,L17))</f>
        <v>2</v>
      </c>
      <c r="R17" s="213">
        <f ca="1">IF($E18=0,OFFSET(ORÇAMENTO!X$15,$E17,0),IF($E18&lt;&gt;-1,OFFSET(QCI!$O$13,$E18,0),""))</f>
        <v>0</v>
      </c>
      <c r="S17" s="214" t="s">
        <v>270</v>
      </c>
      <c r="T17" s="215">
        <f t="shared" ref="T17:AE17" ca="1" si="13">IF(AND($Q17=2,ACOMPANHAMENTO="BM"),T18,T19/$R17)</f>
        <v>0.25</v>
      </c>
      <c r="U17" s="207">
        <f t="shared" ca="1" si="13"/>
        <v>0.1</v>
      </c>
      <c r="V17" s="207">
        <f t="shared" ca="1" si="13"/>
        <v>0.1</v>
      </c>
      <c r="W17" s="207">
        <f t="shared" ca="1" si="13"/>
        <v>0.1</v>
      </c>
      <c r="X17" s="207">
        <f t="shared" ca="1" si="13"/>
        <v>0.1</v>
      </c>
      <c r="Y17" s="207">
        <f t="shared" ca="1" si="13"/>
        <v>0.1</v>
      </c>
      <c r="Z17" s="207">
        <f t="shared" ca="1" si="13"/>
        <v>0.1</v>
      </c>
      <c r="AA17" s="207">
        <f t="shared" ca="1" si="13"/>
        <v>0.05</v>
      </c>
      <c r="AB17" s="207">
        <f t="shared" ca="1" si="13"/>
        <v>0.05</v>
      </c>
      <c r="AC17" s="207">
        <f t="shared" ca="1" si="13"/>
        <v>0.05</v>
      </c>
      <c r="AD17" s="207">
        <f t="shared" ca="1" si="13"/>
        <v>0</v>
      </c>
      <c r="AE17" s="216">
        <f t="shared" ca="1" si="13"/>
        <v>0</v>
      </c>
    </row>
    <row r="18" spans="1:32" ht="12.75" customHeight="1" x14ac:dyDescent="0.2">
      <c r="D18" s="569"/>
      <c r="E18" s="204">
        <f ca="1">IF(ISERROR(E17),IF(1+COUNTIF($L$13:OFFSET(L17,-1,0),1)&lt;=MAX(QCI!$D$13:$D$24),1+COUNTIF($L$13:OFFSET(L17,-1,0),1),-1),0)</f>
        <v>0</v>
      </c>
      <c r="F18" s="204" t="str">
        <f t="shared" ref="F18" ca="1" si="14">IF(AND($E18&lt;&gt;-1,$R17&gt;0),"F","")</f>
        <v/>
      </c>
      <c r="G18" s="217" t="str">
        <f ca="1">IF(OR(R17=0,R17=""),"vazia",IF(AND(OR(ACOMPANHAMENTO="PLE",$Q17&lt;&gt;2),$E18=0),"calculada","--&gt;"))</f>
        <v>vazia</v>
      </c>
      <c r="H18" s="218"/>
      <c r="I18" s="219" t="str">
        <f t="shared" ref="I18" ca="1" si="15">IF(AND(G17&lt;&gt;0,ISNUMBER(G17)),"PREENCHA ESTA LINHA --&gt;","")</f>
        <v/>
      </c>
      <c r="J18" s="219"/>
      <c r="K18" s="219"/>
      <c r="L18" s="220"/>
      <c r="M18" s="220"/>
      <c r="N18" s="220"/>
      <c r="O18" s="220"/>
      <c r="P18" s="220"/>
      <c r="Q18" s="220"/>
      <c r="R18" s="221"/>
      <c r="S18" s="222"/>
      <c r="T18" s="570">
        <v>0.25</v>
      </c>
      <c r="U18" s="569">
        <v>0.1</v>
      </c>
      <c r="V18" s="569">
        <v>0.1</v>
      </c>
      <c r="W18" s="569">
        <v>0.1</v>
      </c>
      <c r="X18" s="569">
        <v>0.1</v>
      </c>
      <c r="Y18" s="569">
        <v>0.1</v>
      </c>
      <c r="Z18" s="569">
        <v>0.1</v>
      </c>
      <c r="AA18" s="569">
        <v>0.05</v>
      </c>
      <c r="AB18" s="569">
        <v>0.05</v>
      </c>
      <c r="AC18" s="569">
        <v>0.05</v>
      </c>
      <c r="AD18" s="569"/>
      <c r="AE18" s="571"/>
      <c r="AF18" s="533">
        <v>0.217</v>
      </c>
    </row>
    <row r="19" spans="1:32" ht="0.2" hidden="1" customHeight="1" x14ac:dyDescent="0.2">
      <c r="D19" s="223">
        <f ca="1">IF($Q17=2,IF(AND(ACOMPANHAMENTO="PLE",ISNUMBER($E17)),SUMIF((OFFSET(CÁLCULO!$AM$15:$AW$15,$E17,0,OFFSET(ORÇAMENTO!$D$15,CRONO!$E17,0))),"="&amp;CRONO!D$12,OFFSET(CÁLCULO!$AB$15:$AL$15,$E17,0,OFFSET(ORÇAMENTO!$D$15,CRONO!$E17,0)))+IF(AND($E19&lt;&gt;"",$E19&lt;&gt;0),SUMIF(CÁLCULO!$AM$15:$AW$747,"="&amp;CRONO!D$12,CÁLCULO!$AB$15:$AL$747)/(ORÇAMENTO!$X$15-CÁLCULO.TotalAdmLocal)*CRONO!$E19,0),D18*$R17),SUMIF(OFFSET($R19,1,0,$Q17-2),($L17+1)&amp;"$",OFFSET(D19,1,0,$Q17-2)))</f>
        <v>0</v>
      </c>
      <c r="E19" s="204" t="str">
        <f ca="1">IF(OR($Q17&lt;&gt;2,AUTOEVENTO&lt;&gt;"manual",$E18&gt;0),"",SUMIF(OFFSET(CÁLCULO!$M$15,CRONO!$E17,0,OFFSET(ORÇAMENTO!$D$15,CRONO!$E17,0)),1,OFFSET(ORÇAMENTO!$X$15,CRONO!$E17,0,OFFSET(ORÇAMENTO!$D$15,CRONO!$E17,0))))</f>
        <v/>
      </c>
      <c r="G19" s="224"/>
      <c r="R19" s="225" t="str">
        <f t="shared" ref="R19" ca="1" si="16">L17&amp;"$"</f>
        <v>2$</v>
      </c>
      <c r="S19" s="226"/>
      <c r="T19" s="227">
        <f ca="1">IF($Q17=2,IF(AND(ACOMPANHAMENTO="PLE",ISNUMBER($E17)),SUMIF((OFFSET(CÁLCULO!$AM$15:$AW$15,$E17,0,OFFSET(ORÇAMENTO!$D$15,CRONO!$E17,0))),"&lt;="&amp;CRONO!T$12,OFFSET(CÁLCULO!$AB$15:$AL$15,$E17,0,OFFSET(ORÇAMENTO!$D$15,CRONO!$E17,0)))+IF(AND($E19&lt;&gt;"",$E19&lt;&gt;0),SUMIF(CÁLCULO!$AM$15:$AW$747,"&lt;="&amp;CRONO!T$12,CÁLCULO!$AB$15:$AL$747)/(ORÇAMENTO!$X$15-CÁLCULO.TotalAdmLocal)*CRONO!$E19,0),T18*$R17),SUMIF(OFFSET($R19,1,0,$Q17-2),($L17+1)&amp;"$",OFFSET(T19,1,0,$Q17-2)))</f>
        <v>0</v>
      </c>
      <c r="U19" s="223">
        <f ca="1">IF($Q17=2,IF(AND(ACOMPANHAMENTO="PLE",ISNUMBER($E17)),SUMIF((OFFSET(CÁLCULO!$AM$15:$AW$15,$E17,0,OFFSET(ORÇAMENTO!$D$15,CRONO!$E17,0))),"="&amp;CRONO!U$12,OFFSET(CÁLCULO!$AB$15:$AL$15,$E17,0,OFFSET(ORÇAMENTO!$D$15,CRONO!$E17,0)))+IF(AND($E19&lt;&gt;"",$E19&lt;&gt;0),SUMIF(CÁLCULO!$AM$15:$AW$747,"="&amp;CRONO!U$12,CÁLCULO!$AB$15:$AL$747)/(ORÇAMENTO!$X$15-CÁLCULO.TotalAdmLocal)*CRONO!$E19,0),U18*$R17),SUMIF(OFFSET($R19,1,0,$Q17-2),($L17+1)&amp;"$",OFFSET(U19,1,0,$Q17-2)))</f>
        <v>0</v>
      </c>
      <c r="V19" s="223">
        <f ca="1">IF($Q17=2,IF(AND(ACOMPANHAMENTO="PLE",ISNUMBER($E17)),SUMIF((OFFSET(CÁLCULO!$AM$15:$AW$15,$E17,0,OFFSET(ORÇAMENTO!$D$15,CRONO!$E17,0))),"="&amp;CRONO!V$12,OFFSET(CÁLCULO!$AB$15:$AL$15,$E17,0,OFFSET(ORÇAMENTO!$D$15,CRONO!$E17,0)))+IF(AND($E19&lt;&gt;"",$E19&lt;&gt;0),SUMIF(CÁLCULO!$AM$15:$AW$747,"="&amp;CRONO!V$12,CÁLCULO!$AB$15:$AL$747)/(ORÇAMENTO!$X$15-CÁLCULO.TotalAdmLocal)*CRONO!$E19,0),V18*$R17),SUMIF(OFFSET($R19,1,0,$Q17-2),($L17+1)&amp;"$",OFFSET(V19,1,0,$Q17-2)))</f>
        <v>0</v>
      </c>
      <c r="W19" s="223">
        <f ca="1">IF($Q17=2,IF(AND(ACOMPANHAMENTO="PLE",ISNUMBER($E17)),SUMIF((OFFSET(CÁLCULO!$AM$15:$AW$15,$E17,0,OFFSET(ORÇAMENTO!$D$15,CRONO!$E17,0))),"="&amp;CRONO!W$12,OFFSET(CÁLCULO!$AB$15:$AL$15,$E17,0,OFFSET(ORÇAMENTO!$D$15,CRONO!$E17,0)))+IF(AND($E19&lt;&gt;"",$E19&lt;&gt;0),SUMIF(CÁLCULO!$AM$15:$AW$747,"="&amp;CRONO!W$12,CÁLCULO!$AB$15:$AL$747)/(ORÇAMENTO!$X$15-CÁLCULO.TotalAdmLocal)*CRONO!$E19,0),W18*$R17),SUMIF(OFFSET($R19,1,0,$Q17-2),($L17+1)&amp;"$",OFFSET(W19,1,0,$Q17-2)))</f>
        <v>0</v>
      </c>
      <c r="X19" s="223">
        <f ca="1">IF($Q17=2,IF(AND(ACOMPANHAMENTO="PLE",ISNUMBER($E17)),SUMIF((OFFSET(CÁLCULO!$AM$15:$AW$15,$E17,0,OFFSET(ORÇAMENTO!$D$15,CRONO!$E17,0))),"="&amp;CRONO!X$12,OFFSET(CÁLCULO!$AB$15:$AL$15,$E17,0,OFFSET(ORÇAMENTO!$D$15,CRONO!$E17,0)))+IF(AND($E19&lt;&gt;"",$E19&lt;&gt;0),SUMIF(CÁLCULO!$AM$15:$AW$747,"="&amp;CRONO!X$12,CÁLCULO!$AB$15:$AL$747)/(ORÇAMENTO!$X$15-CÁLCULO.TotalAdmLocal)*CRONO!$E19,0),X18*$R17),SUMIF(OFFSET($R19,1,0,$Q17-2),($L17+1)&amp;"$",OFFSET(X19,1,0,$Q17-2)))</f>
        <v>0</v>
      </c>
      <c r="Y19" s="223">
        <f ca="1">IF($Q17=2,IF(AND(ACOMPANHAMENTO="PLE",ISNUMBER($E17)),SUMIF((OFFSET(CÁLCULO!$AM$15:$AW$15,$E17,0,OFFSET(ORÇAMENTO!$D$15,CRONO!$E17,0))),"="&amp;CRONO!Y$12,OFFSET(CÁLCULO!$AB$15:$AL$15,$E17,0,OFFSET(ORÇAMENTO!$D$15,CRONO!$E17,0)))+IF(AND($E19&lt;&gt;"",$E19&lt;&gt;0),SUMIF(CÁLCULO!$AM$15:$AW$747,"="&amp;CRONO!Y$12,CÁLCULO!$AB$15:$AL$747)/(ORÇAMENTO!$X$15-CÁLCULO.TotalAdmLocal)*CRONO!$E19,0),Y18*$R17),SUMIF(OFFSET($R19,1,0,$Q17-2),($L17+1)&amp;"$",OFFSET(Y19,1,0,$Q17-2)))</f>
        <v>0</v>
      </c>
      <c r="Z19" s="223">
        <f ca="1">IF($Q17=2,IF(AND(ACOMPANHAMENTO="PLE",ISNUMBER($E17)),SUMIF((OFFSET(CÁLCULO!$AM$15:$AW$15,$E17,0,OFFSET(ORÇAMENTO!$D$15,CRONO!$E17,0))),"="&amp;CRONO!Z$12,OFFSET(CÁLCULO!$AB$15:$AL$15,$E17,0,OFFSET(ORÇAMENTO!$D$15,CRONO!$E17,0)))+IF(AND($E19&lt;&gt;"",$E19&lt;&gt;0),SUMIF(CÁLCULO!$AM$15:$AW$747,"="&amp;CRONO!Z$12,CÁLCULO!$AB$15:$AL$747)/(ORÇAMENTO!$X$15-CÁLCULO.TotalAdmLocal)*CRONO!$E19,0),Z18*$R17),SUMIF(OFFSET($R19,1,0,$Q17-2),($L17+1)&amp;"$",OFFSET(Z19,1,0,$Q17-2)))</f>
        <v>0</v>
      </c>
      <c r="AA19" s="223">
        <f ca="1">IF($Q17=2,IF(AND(ACOMPANHAMENTO="PLE",ISNUMBER($E17)),SUMIF((OFFSET(CÁLCULO!$AM$15:$AW$15,$E17,0,OFFSET(ORÇAMENTO!$D$15,CRONO!$E17,0))),"="&amp;CRONO!AA$12,OFFSET(CÁLCULO!$AB$15:$AL$15,$E17,0,OFFSET(ORÇAMENTO!$D$15,CRONO!$E17,0)))+IF(AND($E19&lt;&gt;"",$E19&lt;&gt;0),SUMIF(CÁLCULO!$AM$15:$AW$747,"="&amp;CRONO!AA$12,CÁLCULO!$AB$15:$AL$747)/(ORÇAMENTO!$X$15-CÁLCULO.TotalAdmLocal)*CRONO!$E19,0),AA18*$R17),SUMIF(OFFSET($R19,1,0,$Q17-2),($L17+1)&amp;"$",OFFSET(AA19,1,0,$Q17-2)))</f>
        <v>0</v>
      </c>
      <c r="AB19" s="223">
        <f ca="1">IF($Q17=2,IF(AND(ACOMPANHAMENTO="PLE",ISNUMBER($E17)),SUMIF((OFFSET(CÁLCULO!$AM$15:$AW$15,$E17,0,OFFSET(ORÇAMENTO!$D$15,CRONO!$E17,0))),"="&amp;CRONO!AB$12,OFFSET(CÁLCULO!$AB$15:$AL$15,$E17,0,OFFSET(ORÇAMENTO!$D$15,CRONO!$E17,0)))+IF(AND($E19&lt;&gt;"",$E19&lt;&gt;0),SUMIF(CÁLCULO!$AM$15:$AW$747,"="&amp;CRONO!AB$12,CÁLCULO!$AB$15:$AL$747)/(ORÇAMENTO!$X$15-CÁLCULO.TotalAdmLocal)*CRONO!$E19,0),AB18*$R17),SUMIF(OFFSET($R19,1,0,$Q17-2),($L17+1)&amp;"$",OFFSET(AB19,1,0,$Q17-2)))</f>
        <v>0</v>
      </c>
      <c r="AC19" s="223">
        <f ca="1">IF($Q17=2,IF(AND(ACOMPANHAMENTO="PLE",ISNUMBER($E17)),SUMIF((OFFSET(CÁLCULO!$AM$15:$AW$15,$E17,0,OFFSET(ORÇAMENTO!$D$15,CRONO!$E17,0))),"="&amp;CRONO!AC$12,OFFSET(CÁLCULO!$AB$15:$AL$15,$E17,0,OFFSET(ORÇAMENTO!$D$15,CRONO!$E17,0)))+IF(AND($E19&lt;&gt;"",$E19&lt;&gt;0),SUMIF(CÁLCULO!$AM$15:$AW$747,"="&amp;CRONO!AC$12,CÁLCULO!$AB$15:$AL$747)/(ORÇAMENTO!$X$15-CÁLCULO.TotalAdmLocal)*CRONO!$E19,0),AC18*$R17),SUMIF(OFFSET($R19,1,0,$Q17-2),($L17+1)&amp;"$",OFFSET(AC19,1,0,$Q17-2)))</f>
        <v>0</v>
      </c>
      <c r="AD19" s="223">
        <f ca="1">IF($Q17=2,IF(AND(ACOMPANHAMENTO="PLE",ISNUMBER($E17)),SUMIF((OFFSET(CÁLCULO!$AM$15:$AW$15,$E17,0,OFFSET(ORÇAMENTO!$D$15,CRONO!$E17,0))),"="&amp;CRONO!AD$12,OFFSET(CÁLCULO!$AB$15:$AL$15,$E17,0,OFFSET(ORÇAMENTO!$D$15,CRONO!$E17,0)))+IF(AND($E19&lt;&gt;"",$E19&lt;&gt;0),SUMIF(CÁLCULO!$AM$15:$AW$747,"="&amp;CRONO!AD$12,CÁLCULO!$AB$15:$AL$747)/(ORÇAMENTO!$X$15-CÁLCULO.TotalAdmLocal)*CRONO!$E19,0),AD18*$R17),SUMIF(OFFSET($R19,1,0,$Q17-2),($L17+1)&amp;"$",OFFSET(AD19,1,0,$Q17-2)))</f>
        <v>0</v>
      </c>
      <c r="AE19" s="228">
        <f ca="1">IF($Q17=2,IF(AND(ACOMPANHAMENTO="PLE",ISNUMBER($E17)),SUMIF((OFFSET(CÁLCULO!$AM$15:$AW$15,$E17,0,OFFSET(ORÇAMENTO!$D$15,CRONO!$E17,0))),"="&amp;CRONO!AE$12,OFFSET(CÁLCULO!$AB$15:$AL$15,$E17,0,OFFSET(ORÇAMENTO!$D$15,CRONO!$E17,0)))+IF(AND($E19&lt;&gt;"",$E19&lt;&gt;0),SUMIF(CÁLCULO!$AM$15:$AW$747,"="&amp;CRONO!AE$12,CÁLCULO!$AB$15:$AL$747)/(ORÇAMENTO!$X$15-CÁLCULO.TotalAdmLocal)*CRONO!$E19,0),AE18*$R17),SUMIF(OFFSET($R19,1,0,$Q17-2),($L17+1)&amp;"$",OFFSET(AE19,1,0,$Q17-2)))</f>
        <v>0</v>
      </c>
    </row>
    <row r="20" spans="1:32" x14ac:dyDescent="0.2">
      <c r="A20" s="204">
        <f t="shared" ref="A20" ca="1" si="17">OFFSET(A20,-3,0)+1</f>
        <v>3</v>
      </c>
      <c r="B20" s="204">
        <f ca="1">IF($Q20&lt;&gt;2,0,IF($R20=0,1,IF(E21&gt;0,OFFSET(QCI!$M$13,SUBSTITUTE(E21,".",""),0),OFFSET(ORÇAMENTO!$AA$15,CRONO!$E20,0))/$R20))</f>
        <v>1</v>
      </c>
      <c r="C20" s="204">
        <f ca="1">IF($Q20&lt;&gt;2,0,IF($R20=0,1,IF(E21&gt;0,OFFSET(QCI!$N$13,SUBSTITUTE(E21,".",""),0),OFFSET(ORÇAMENTO!$AB$15,CRONO!$E20,0))/$R20))</f>
        <v>1</v>
      </c>
      <c r="D20" s="207">
        <f ca="1">IF(AND($Q20=2,ACOMPANHAMENTO="BM"),D21,D22/$R20)</f>
        <v>0</v>
      </c>
      <c r="E20" s="204">
        <f ca="1">IF(A20&lt;=ORÇAMENTO.MáximoListaCrono,MATCH(A20,ORÇAMENTO.ListaCrono,0),NA())</f>
        <v>12</v>
      </c>
      <c r="F20" s="204" t="str">
        <f t="shared" ref="F20" ca="1" si="18">IF(AND($E21&lt;&gt;-1,$R20&gt;0),"F","")</f>
        <v/>
      </c>
      <c r="G20" s="208" t="str">
        <f ca="1">IF(OR(R20=0,R20=""),"Linha",IF(AND(OR(ACOMPANHAMENTO="PLE",$Q20&lt;&gt;2),$E21=0),"Linha",1-SUM(T20:AF20)))</f>
        <v>Linha</v>
      </c>
      <c r="H20" s="209" t="str">
        <f ca="1">IF($E21=0,OFFSET(ORÇAMENTO!O$15,$E20,0),IF($E21&lt;&gt;-1,OFFSET(QCI!$D$13,$E21,0),""))</f>
        <v>1.2.</v>
      </c>
      <c r="I20" s="210" t="str">
        <f ca="1">IF($E21=0,OFFSET(ORÇAMENTO!R$15,$E20,0),IF($E21&lt;&gt;-1,OFFSET(QCI!$G$13,$E21,0),""))</f>
        <v>MOVIMENTO DE TERRA PARA FUNDAÇÕES</v>
      </c>
      <c r="J20" s="210"/>
      <c r="K20" s="210"/>
      <c r="L20" s="211">
        <f ca="1">IF($E21=0,OFFSET(ORÇAMENTO!C$15,$E20,0),1)</f>
        <v>2</v>
      </c>
      <c r="M20" s="212">
        <f ca="1">IF($E21=-1,0,IF(M$13&lt;=$L20,IF(ISERROR(MATCH(M$13,OFFSET($L20,1,0,ROW($L$89)-ROW($L20)-1),0)),ROW($L$89)-ROW($L20)-1,MATCH(M$13,OFFSET($L20,1,0,ROW($L$89)-ROW($L20)-1),0)-1),0))</f>
        <v>68</v>
      </c>
      <c r="N20" s="212">
        <f ca="1">IF($E21=-1,0,IF(N$13&lt;=$L20,IF(ISERROR(MATCH(N$13,OFFSET($L20,1,0,ROW($L$89)-ROW($L20)-1),0)),ROW($L$89)-ROW($L20)-1,MATCH(N$13,OFFSET($L20,1,0,ROW($L$89)-ROW($L20)-1),0)-1),0))</f>
        <v>2</v>
      </c>
      <c r="O20" s="212">
        <f ca="1">IF($E21=-1,0,IF(O$13&lt;=$L20,IF(ISERROR(MATCH(O$13,OFFSET($L20,1,0,ROW($L$89)-ROW($L20)-1),0)),ROW($L$89)-ROW($L20)-1,MATCH(O$13,OFFSET($L20,1,0,ROW($L$89)-ROW($L20)-1),0)-1),0))</f>
        <v>0</v>
      </c>
      <c r="P20" s="212">
        <f ca="1">IF($E21=-1,0,IF(P$13&lt;=$L20,IF(ISERROR(MATCH(P$13,OFFSET($L20,1,0,ROW($L$89)-ROW($L20)-1),0)),ROW($L$89)-ROW($L20)-1,MATCH(P$13,OFFSET($L20,1,0,ROW($L$89)-ROW($L20)-1),0)-1),0))</f>
        <v>0</v>
      </c>
      <c r="Q20" s="212">
        <f t="shared" ref="Q20" ca="1" si="19">MIN(OFFSET(L20,0,1,,L20))</f>
        <v>2</v>
      </c>
      <c r="R20" s="213">
        <f ca="1">IF($E21=0,OFFSET(ORÇAMENTO!X$15,$E20,0),IF($E21&lt;&gt;-1,OFFSET(QCI!$O$13,$E21,0),""))</f>
        <v>0</v>
      </c>
      <c r="S20" s="214" t="s">
        <v>270</v>
      </c>
      <c r="T20" s="215">
        <f t="shared" ref="T20:AE20" ca="1" si="20">IF(AND($Q20=2,ACOMPANHAMENTO="BM"),T21,T22/$R20)</f>
        <v>0.15</v>
      </c>
      <c r="U20" s="207">
        <f t="shared" ca="1" si="20"/>
        <v>0.85</v>
      </c>
      <c r="V20" s="207">
        <f t="shared" ca="1" si="20"/>
        <v>0</v>
      </c>
      <c r="W20" s="207">
        <f t="shared" ca="1" si="20"/>
        <v>0</v>
      </c>
      <c r="X20" s="207">
        <f t="shared" ca="1" si="20"/>
        <v>0</v>
      </c>
      <c r="Y20" s="207">
        <f t="shared" ca="1" si="20"/>
        <v>0</v>
      </c>
      <c r="Z20" s="207">
        <f t="shared" ca="1" si="20"/>
        <v>0</v>
      </c>
      <c r="AA20" s="207">
        <f t="shared" ca="1" si="20"/>
        <v>0</v>
      </c>
      <c r="AB20" s="207">
        <f t="shared" ca="1" si="20"/>
        <v>0</v>
      </c>
      <c r="AC20" s="207">
        <f t="shared" ca="1" si="20"/>
        <v>0</v>
      </c>
      <c r="AD20" s="207">
        <f t="shared" ca="1" si="20"/>
        <v>0</v>
      </c>
      <c r="AE20" s="216">
        <f t="shared" ca="1" si="20"/>
        <v>0</v>
      </c>
    </row>
    <row r="21" spans="1:32" ht="12.75" customHeight="1" x14ac:dyDescent="0.2">
      <c r="D21" s="569"/>
      <c r="E21" s="204">
        <f ca="1">IF(ISERROR(E20),IF(1+COUNTIF($L$13:OFFSET(L20,-1,0),1)&lt;=MAX(QCI!$D$13:$D$24),1+COUNTIF($L$13:OFFSET(L20,-1,0),1),-1),0)</f>
        <v>0</v>
      </c>
      <c r="F21" s="204" t="str">
        <f t="shared" ref="F21" ca="1" si="21">IF(AND($E21&lt;&gt;-1,$R20&gt;0),"F","")</f>
        <v/>
      </c>
      <c r="G21" s="217" t="str">
        <f ca="1">IF(OR(R20=0,R20=""),"vazia",IF(AND(OR(ACOMPANHAMENTO="PLE",$Q20&lt;&gt;2),$E21=0),"calculada","--&gt;"))</f>
        <v>vazia</v>
      </c>
      <c r="H21" s="218"/>
      <c r="I21" s="219" t="str">
        <f t="shared" ref="I21" ca="1" si="22">IF(AND(G20&lt;&gt;0,ISNUMBER(G20)),"PREENCHA ESTA LINHA --&gt;","")</f>
        <v/>
      </c>
      <c r="J21" s="219"/>
      <c r="K21" s="219"/>
      <c r="L21" s="220"/>
      <c r="M21" s="220"/>
      <c r="N21" s="220"/>
      <c r="O21" s="220"/>
      <c r="P21" s="220"/>
      <c r="Q21" s="220"/>
      <c r="R21" s="221"/>
      <c r="S21" s="222"/>
      <c r="T21" s="570">
        <v>0.15</v>
      </c>
      <c r="U21" s="569">
        <v>0.85</v>
      </c>
      <c r="V21" s="569"/>
      <c r="W21" s="569"/>
      <c r="X21" s="569"/>
      <c r="Y21" s="569"/>
      <c r="Z21" s="569"/>
      <c r="AA21" s="569"/>
      <c r="AB21" s="569"/>
      <c r="AC21" s="569"/>
      <c r="AD21" s="569"/>
      <c r="AE21" s="571"/>
      <c r="AF21" s="533"/>
    </row>
    <row r="22" spans="1:32" ht="0.2" hidden="1" customHeight="1" x14ac:dyDescent="0.2">
      <c r="D22" s="223">
        <f ca="1">IF($Q20=2,IF(AND(ACOMPANHAMENTO="PLE",ISNUMBER($E20)),SUMIF((OFFSET(CÁLCULO!$AM$15:$AW$15,$E20,0,OFFSET(ORÇAMENTO!$D$15,CRONO!$E20,0))),"="&amp;CRONO!D$12,OFFSET(CÁLCULO!$AB$15:$AL$15,$E20,0,OFFSET(ORÇAMENTO!$D$15,CRONO!$E20,0)))+IF(AND($E22&lt;&gt;"",$E22&lt;&gt;0),SUMIF(CÁLCULO!$AM$15:$AW$747,"="&amp;CRONO!D$12,CÁLCULO!$AB$15:$AL$747)/(ORÇAMENTO!$X$15-CÁLCULO.TotalAdmLocal)*CRONO!$E22,0),D21*$R20),SUMIF(OFFSET($R22,1,0,$Q20-2),($L20+1)&amp;"$",OFFSET(D22,1,0,$Q20-2)))</f>
        <v>0</v>
      </c>
      <c r="E22" s="204" t="str">
        <f ca="1">IF(OR($Q20&lt;&gt;2,AUTOEVENTO&lt;&gt;"manual",$E21&gt;0),"",SUMIF(OFFSET(CÁLCULO!$M$15,CRONO!$E20,0,OFFSET(ORÇAMENTO!$D$15,CRONO!$E20,0)),1,OFFSET(ORÇAMENTO!$X$15,CRONO!$E20,0,OFFSET(ORÇAMENTO!$D$15,CRONO!$E20,0))))</f>
        <v/>
      </c>
      <c r="G22" s="224"/>
      <c r="R22" s="225" t="str">
        <f t="shared" ref="R22" ca="1" si="23">L20&amp;"$"</f>
        <v>2$</v>
      </c>
      <c r="S22" s="226"/>
      <c r="T22" s="227">
        <f ca="1">IF($Q20=2,IF(AND(ACOMPANHAMENTO="PLE",ISNUMBER($E20)),SUMIF((OFFSET(CÁLCULO!$AM$15:$AW$15,$E20,0,OFFSET(ORÇAMENTO!$D$15,CRONO!$E20,0))),"&lt;="&amp;CRONO!T$12,OFFSET(CÁLCULO!$AB$15:$AL$15,$E20,0,OFFSET(ORÇAMENTO!$D$15,CRONO!$E20,0)))+IF(AND($E22&lt;&gt;"",$E22&lt;&gt;0),SUMIF(CÁLCULO!$AM$15:$AW$747,"&lt;="&amp;CRONO!T$12,CÁLCULO!$AB$15:$AL$747)/(ORÇAMENTO!$X$15-CÁLCULO.TotalAdmLocal)*CRONO!$E22,0),T21*$R20),SUMIF(OFFSET($R22,1,0,$Q20-2),($L20+1)&amp;"$",OFFSET(T22,1,0,$Q20-2)))</f>
        <v>0</v>
      </c>
      <c r="U22" s="223">
        <f ca="1">IF($Q20=2,IF(AND(ACOMPANHAMENTO="PLE",ISNUMBER($E20)),SUMIF((OFFSET(CÁLCULO!$AM$15:$AW$15,$E20,0,OFFSET(ORÇAMENTO!$D$15,CRONO!$E20,0))),"="&amp;CRONO!U$12,OFFSET(CÁLCULO!$AB$15:$AL$15,$E20,0,OFFSET(ORÇAMENTO!$D$15,CRONO!$E20,0)))+IF(AND($E22&lt;&gt;"",$E22&lt;&gt;0),SUMIF(CÁLCULO!$AM$15:$AW$747,"="&amp;CRONO!U$12,CÁLCULO!$AB$15:$AL$747)/(ORÇAMENTO!$X$15-CÁLCULO.TotalAdmLocal)*CRONO!$E22,0),U21*$R20),SUMIF(OFFSET($R22,1,0,$Q20-2),($L20+1)&amp;"$",OFFSET(U22,1,0,$Q20-2)))</f>
        <v>0</v>
      </c>
      <c r="V22" s="223">
        <f ca="1">IF($Q20=2,IF(AND(ACOMPANHAMENTO="PLE",ISNUMBER($E20)),SUMIF((OFFSET(CÁLCULO!$AM$15:$AW$15,$E20,0,OFFSET(ORÇAMENTO!$D$15,CRONO!$E20,0))),"="&amp;CRONO!V$12,OFFSET(CÁLCULO!$AB$15:$AL$15,$E20,0,OFFSET(ORÇAMENTO!$D$15,CRONO!$E20,0)))+IF(AND($E22&lt;&gt;"",$E22&lt;&gt;0),SUMIF(CÁLCULO!$AM$15:$AW$747,"="&amp;CRONO!V$12,CÁLCULO!$AB$15:$AL$747)/(ORÇAMENTO!$X$15-CÁLCULO.TotalAdmLocal)*CRONO!$E22,0),V21*$R20),SUMIF(OFFSET($R22,1,0,$Q20-2),($L20+1)&amp;"$",OFFSET(V22,1,0,$Q20-2)))</f>
        <v>0</v>
      </c>
      <c r="W22" s="223">
        <f ca="1">IF($Q20=2,IF(AND(ACOMPANHAMENTO="PLE",ISNUMBER($E20)),SUMIF((OFFSET(CÁLCULO!$AM$15:$AW$15,$E20,0,OFFSET(ORÇAMENTO!$D$15,CRONO!$E20,0))),"="&amp;CRONO!W$12,OFFSET(CÁLCULO!$AB$15:$AL$15,$E20,0,OFFSET(ORÇAMENTO!$D$15,CRONO!$E20,0)))+IF(AND($E22&lt;&gt;"",$E22&lt;&gt;0),SUMIF(CÁLCULO!$AM$15:$AW$747,"="&amp;CRONO!W$12,CÁLCULO!$AB$15:$AL$747)/(ORÇAMENTO!$X$15-CÁLCULO.TotalAdmLocal)*CRONO!$E22,0),W21*$R20),SUMIF(OFFSET($R22,1,0,$Q20-2),($L20+1)&amp;"$",OFFSET(W22,1,0,$Q20-2)))</f>
        <v>0</v>
      </c>
      <c r="X22" s="223">
        <f ca="1">IF($Q20=2,IF(AND(ACOMPANHAMENTO="PLE",ISNUMBER($E20)),SUMIF((OFFSET(CÁLCULO!$AM$15:$AW$15,$E20,0,OFFSET(ORÇAMENTO!$D$15,CRONO!$E20,0))),"="&amp;CRONO!X$12,OFFSET(CÁLCULO!$AB$15:$AL$15,$E20,0,OFFSET(ORÇAMENTO!$D$15,CRONO!$E20,0)))+IF(AND($E22&lt;&gt;"",$E22&lt;&gt;0),SUMIF(CÁLCULO!$AM$15:$AW$747,"="&amp;CRONO!X$12,CÁLCULO!$AB$15:$AL$747)/(ORÇAMENTO!$X$15-CÁLCULO.TotalAdmLocal)*CRONO!$E22,0),X21*$R20),SUMIF(OFFSET($R22,1,0,$Q20-2),($L20+1)&amp;"$",OFFSET(X22,1,0,$Q20-2)))</f>
        <v>0</v>
      </c>
      <c r="Y22" s="223">
        <f ca="1">IF($Q20=2,IF(AND(ACOMPANHAMENTO="PLE",ISNUMBER($E20)),SUMIF((OFFSET(CÁLCULO!$AM$15:$AW$15,$E20,0,OFFSET(ORÇAMENTO!$D$15,CRONO!$E20,0))),"="&amp;CRONO!Y$12,OFFSET(CÁLCULO!$AB$15:$AL$15,$E20,0,OFFSET(ORÇAMENTO!$D$15,CRONO!$E20,0)))+IF(AND($E22&lt;&gt;"",$E22&lt;&gt;0),SUMIF(CÁLCULO!$AM$15:$AW$747,"="&amp;CRONO!Y$12,CÁLCULO!$AB$15:$AL$747)/(ORÇAMENTO!$X$15-CÁLCULO.TotalAdmLocal)*CRONO!$E22,0),Y21*$R20),SUMIF(OFFSET($R22,1,0,$Q20-2),($L20+1)&amp;"$",OFFSET(Y22,1,0,$Q20-2)))</f>
        <v>0</v>
      </c>
      <c r="Z22" s="223">
        <f ca="1">IF($Q20=2,IF(AND(ACOMPANHAMENTO="PLE",ISNUMBER($E20)),SUMIF((OFFSET(CÁLCULO!$AM$15:$AW$15,$E20,0,OFFSET(ORÇAMENTO!$D$15,CRONO!$E20,0))),"="&amp;CRONO!Z$12,OFFSET(CÁLCULO!$AB$15:$AL$15,$E20,0,OFFSET(ORÇAMENTO!$D$15,CRONO!$E20,0)))+IF(AND($E22&lt;&gt;"",$E22&lt;&gt;0),SUMIF(CÁLCULO!$AM$15:$AW$747,"="&amp;CRONO!Z$12,CÁLCULO!$AB$15:$AL$747)/(ORÇAMENTO!$X$15-CÁLCULO.TotalAdmLocal)*CRONO!$E22,0),Z21*$R20),SUMIF(OFFSET($R22,1,0,$Q20-2),($L20+1)&amp;"$",OFFSET(Z22,1,0,$Q20-2)))</f>
        <v>0</v>
      </c>
      <c r="AA22" s="223">
        <f ca="1">IF($Q20=2,IF(AND(ACOMPANHAMENTO="PLE",ISNUMBER($E20)),SUMIF((OFFSET(CÁLCULO!$AM$15:$AW$15,$E20,0,OFFSET(ORÇAMENTO!$D$15,CRONO!$E20,0))),"="&amp;CRONO!AA$12,OFFSET(CÁLCULO!$AB$15:$AL$15,$E20,0,OFFSET(ORÇAMENTO!$D$15,CRONO!$E20,0)))+IF(AND($E22&lt;&gt;"",$E22&lt;&gt;0),SUMIF(CÁLCULO!$AM$15:$AW$747,"="&amp;CRONO!AA$12,CÁLCULO!$AB$15:$AL$747)/(ORÇAMENTO!$X$15-CÁLCULO.TotalAdmLocal)*CRONO!$E22,0),AA21*$R20),SUMIF(OFFSET($R22,1,0,$Q20-2),($L20+1)&amp;"$",OFFSET(AA22,1,0,$Q20-2)))</f>
        <v>0</v>
      </c>
      <c r="AB22" s="223">
        <f ca="1">IF($Q20=2,IF(AND(ACOMPANHAMENTO="PLE",ISNUMBER($E20)),SUMIF((OFFSET(CÁLCULO!$AM$15:$AW$15,$E20,0,OFFSET(ORÇAMENTO!$D$15,CRONO!$E20,0))),"="&amp;CRONO!AB$12,OFFSET(CÁLCULO!$AB$15:$AL$15,$E20,0,OFFSET(ORÇAMENTO!$D$15,CRONO!$E20,0)))+IF(AND($E22&lt;&gt;"",$E22&lt;&gt;0),SUMIF(CÁLCULO!$AM$15:$AW$747,"="&amp;CRONO!AB$12,CÁLCULO!$AB$15:$AL$747)/(ORÇAMENTO!$X$15-CÁLCULO.TotalAdmLocal)*CRONO!$E22,0),AB21*$R20),SUMIF(OFFSET($R22,1,0,$Q20-2),($L20+1)&amp;"$",OFFSET(AB22,1,0,$Q20-2)))</f>
        <v>0</v>
      </c>
      <c r="AC22" s="223">
        <f ca="1">IF($Q20=2,IF(AND(ACOMPANHAMENTO="PLE",ISNUMBER($E20)),SUMIF((OFFSET(CÁLCULO!$AM$15:$AW$15,$E20,0,OFFSET(ORÇAMENTO!$D$15,CRONO!$E20,0))),"="&amp;CRONO!AC$12,OFFSET(CÁLCULO!$AB$15:$AL$15,$E20,0,OFFSET(ORÇAMENTO!$D$15,CRONO!$E20,0)))+IF(AND($E22&lt;&gt;"",$E22&lt;&gt;0),SUMIF(CÁLCULO!$AM$15:$AW$747,"="&amp;CRONO!AC$12,CÁLCULO!$AB$15:$AL$747)/(ORÇAMENTO!$X$15-CÁLCULO.TotalAdmLocal)*CRONO!$E22,0),AC21*$R20),SUMIF(OFFSET($R22,1,0,$Q20-2),($L20+1)&amp;"$",OFFSET(AC22,1,0,$Q20-2)))</f>
        <v>0</v>
      </c>
      <c r="AD22" s="223">
        <f ca="1">IF($Q20=2,IF(AND(ACOMPANHAMENTO="PLE",ISNUMBER($E20)),SUMIF((OFFSET(CÁLCULO!$AM$15:$AW$15,$E20,0,OFFSET(ORÇAMENTO!$D$15,CRONO!$E20,0))),"="&amp;CRONO!AD$12,OFFSET(CÁLCULO!$AB$15:$AL$15,$E20,0,OFFSET(ORÇAMENTO!$D$15,CRONO!$E20,0)))+IF(AND($E22&lt;&gt;"",$E22&lt;&gt;0),SUMIF(CÁLCULO!$AM$15:$AW$747,"="&amp;CRONO!AD$12,CÁLCULO!$AB$15:$AL$747)/(ORÇAMENTO!$X$15-CÁLCULO.TotalAdmLocal)*CRONO!$E22,0),AD21*$R20),SUMIF(OFFSET($R22,1,0,$Q20-2),($L20+1)&amp;"$",OFFSET(AD22,1,0,$Q20-2)))</f>
        <v>0</v>
      </c>
      <c r="AE22" s="228">
        <f ca="1">IF($Q20=2,IF(AND(ACOMPANHAMENTO="PLE",ISNUMBER($E20)),SUMIF((OFFSET(CÁLCULO!$AM$15:$AW$15,$E20,0,OFFSET(ORÇAMENTO!$D$15,CRONO!$E20,0))),"="&amp;CRONO!AE$12,OFFSET(CÁLCULO!$AB$15:$AL$15,$E20,0,OFFSET(ORÇAMENTO!$D$15,CRONO!$E20,0)))+IF(AND($E22&lt;&gt;"",$E22&lt;&gt;0),SUMIF(CÁLCULO!$AM$15:$AW$747,"="&amp;CRONO!AE$12,CÁLCULO!$AB$15:$AL$747)/(ORÇAMENTO!$X$15-CÁLCULO.TotalAdmLocal)*CRONO!$E22,0),AE21*$R20),SUMIF(OFFSET($R22,1,0,$Q20-2),($L20+1)&amp;"$",OFFSET(AE22,1,0,$Q20-2)))</f>
        <v>0</v>
      </c>
    </row>
    <row r="23" spans="1:32" x14ac:dyDescent="0.2">
      <c r="A23" s="204">
        <f t="shared" ref="A23" ca="1" si="24">OFFSET(A23,-3,0)+1</f>
        <v>4</v>
      </c>
      <c r="B23" s="204">
        <f ca="1">IF($Q23&lt;&gt;2,0,IF($R23=0,1,IF(E24&gt;0,OFFSET(QCI!$M$13,SUBSTITUTE(E24,".",""),0),OFFSET(ORÇAMENTO!$AA$15,CRONO!$E23,0))/$R23))</f>
        <v>1</v>
      </c>
      <c r="C23" s="204">
        <f ca="1">IF($Q23&lt;&gt;2,0,IF($R23=0,1,IF(E24&gt;0,OFFSET(QCI!$N$13,SUBSTITUTE(E24,".",""),0),OFFSET(ORÇAMENTO!$AB$15,CRONO!$E23,0))/$R23))</f>
        <v>1</v>
      </c>
      <c r="D23" s="207">
        <f ca="1">IF(AND($Q23=2,ACOMPANHAMENTO="BM"),D24,D25/$R23)</f>
        <v>0</v>
      </c>
      <c r="E23" s="204">
        <f ca="1">IF(A23&lt;=ORÇAMENTO.MáximoListaCrono,MATCH(A23,ORÇAMENTO.ListaCrono,0),NA())</f>
        <v>20</v>
      </c>
      <c r="F23" s="204" t="str">
        <f t="shared" ref="F23" ca="1" si="25">IF(AND($E24&lt;&gt;-1,$R23&gt;0),"F","")</f>
        <v/>
      </c>
      <c r="G23" s="208" t="str">
        <f ca="1">IF(OR(R23=0,R23=""),"Linha",IF(AND(OR(ACOMPANHAMENTO="PLE",$Q23&lt;&gt;2),$E24=0),"Linha",1-SUM(T23:AF23)))</f>
        <v>Linha</v>
      </c>
      <c r="H23" s="209" t="str">
        <f ca="1">IF($E24=0,OFFSET(ORÇAMENTO!O$15,$E23,0),IF($E24&lt;&gt;-1,OFFSET(QCI!$D$13,$E24,0),""))</f>
        <v>1.3.</v>
      </c>
      <c r="I23" s="210" t="str">
        <f ca="1">IF($E24=0,OFFSET(ORÇAMENTO!R$15,$E23,0),IF($E24&lt;&gt;-1,OFFSET(QCI!$G$13,$E24,0),""))</f>
        <v>FUNDAÇÕES</v>
      </c>
      <c r="J23" s="210"/>
      <c r="K23" s="210"/>
      <c r="L23" s="211">
        <f ca="1">IF($E24=0,OFFSET(ORÇAMENTO!C$15,$E23,0),1)</f>
        <v>2</v>
      </c>
      <c r="M23" s="212">
        <f ca="1">IF($E24=-1,0,IF(M$13&lt;=$L23,IF(ISERROR(MATCH(M$13,OFFSET($L23,1,0,ROW($L$89)-ROW($L23)-1),0)),ROW($L$89)-ROW($L23)-1,MATCH(M$13,OFFSET($L23,1,0,ROW($L$89)-ROW($L23)-1),0)-1),0))</f>
        <v>65</v>
      </c>
      <c r="N23" s="212">
        <f ca="1">IF($E24=-1,0,IF(N$13&lt;=$L23,IF(ISERROR(MATCH(N$13,OFFSET($L23,1,0,ROW($L$89)-ROW($L23)-1),0)),ROW($L$89)-ROW($L23)-1,MATCH(N$13,OFFSET($L23,1,0,ROW($L$89)-ROW($L23)-1),0)-1),0))</f>
        <v>2</v>
      </c>
      <c r="O23" s="212">
        <f ca="1">IF($E24=-1,0,IF(O$13&lt;=$L23,IF(ISERROR(MATCH(O$13,OFFSET($L23,1,0,ROW($L$89)-ROW($L23)-1),0)),ROW($L$89)-ROW($L23)-1,MATCH(O$13,OFFSET($L23,1,0,ROW($L$89)-ROW($L23)-1),0)-1),0))</f>
        <v>0</v>
      </c>
      <c r="P23" s="212">
        <f ca="1">IF($E24=-1,0,IF(P$13&lt;=$L23,IF(ISERROR(MATCH(P$13,OFFSET($L23,1,0,ROW($L$89)-ROW($L23)-1),0)),ROW($L$89)-ROW($L23)-1,MATCH(P$13,OFFSET($L23,1,0,ROW($L$89)-ROW($L23)-1),0)-1),0))</f>
        <v>0</v>
      </c>
      <c r="Q23" s="212">
        <f t="shared" ref="Q23" ca="1" si="26">MIN(OFFSET(L23,0,1,,L23))</f>
        <v>2</v>
      </c>
      <c r="R23" s="213">
        <f ca="1">IF($E24=0,OFFSET(ORÇAMENTO!X$15,$E23,0),IF($E24&lt;&gt;-1,OFFSET(QCI!$O$13,$E24,0),""))</f>
        <v>0</v>
      </c>
      <c r="S23" s="214" t="s">
        <v>270</v>
      </c>
      <c r="T23" s="215">
        <f t="shared" ref="T23:AE23" ca="1" si="27">IF(AND($Q23=2,ACOMPANHAMENTO="BM"),T24,T25/$R23)</f>
        <v>0</v>
      </c>
      <c r="U23" s="207">
        <f t="shared" ca="1" si="27"/>
        <v>0.7</v>
      </c>
      <c r="V23" s="207">
        <f t="shared" ca="1" si="27"/>
        <v>0.3</v>
      </c>
      <c r="W23" s="207">
        <f t="shared" ca="1" si="27"/>
        <v>0</v>
      </c>
      <c r="X23" s="207">
        <f t="shared" ca="1" si="27"/>
        <v>0</v>
      </c>
      <c r="Y23" s="207">
        <f t="shared" ca="1" si="27"/>
        <v>0</v>
      </c>
      <c r="Z23" s="207">
        <f t="shared" ca="1" si="27"/>
        <v>0</v>
      </c>
      <c r="AA23" s="207">
        <f t="shared" ca="1" si="27"/>
        <v>0</v>
      </c>
      <c r="AB23" s="207">
        <f t="shared" ca="1" si="27"/>
        <v>0</v>
      </c>
      <c r="AC23" s="207">
        <f t="shared" ca="1" si="27"/>
        <v>0</v>
      </c>
      <c r="AD23" s="207">
        <f t="shared" ca="1" si="27"/>
        <v>0</v>
      </c>
      <c r="AE23" s="216">
        <f t="shared" ca="1" si="27"/>
        <v>0</v>
      </c>
    </row>
    <row r="24" spans="1:32" ht="12.75" customHeight="1" x14ac:dyDescent="0.2">
      <c r="D24" s="569"/>
      <c r="E24" s="204">
        <f ca="1">IF(ISERROR(E23),IF(1+COUNTIF($L$13:OFFSET(L23,-1,0),1)&lt;=MAX(QCI!$D$13:$D$24),1+COUNTIF($L$13:OFFSET(L23,-1,0),1),-1),0)</f>
        <v>0</v>
      </c>
      <c r="F24" s="204" t="str">
        <f t="shared" ref="F24" ca="1" si="28">IF(AND($E24&lt;&gt;-1,$R23&gt;0),"F","")</f>
        <v/>
      </c>
      <c r="G24" s="217" t="str">
        <f ca="1">IF(OR(R23=0,R23=""),"vazia",IF(AND(OR(ACOMPANHAMENTO="PLE",$Q23&lt;&gt;2),$E24=0),"calculada","--&gt;"))</f>
        <v>vazia</v>
      </c>
      <c r="H24" s="218"/>
      <c r="I24" s="219" t="str">
        <f t="shared" ref="I24" ca="1" si="29">IF(AND(G23&lt;&gt;0,ISNUMBER(G23)),"PREENCHA ESTA LINHA --&gt;","")</f>
        <v/>
      </c>
      <c r="J24" s="219"/>
      <c r="K24" s="219"/>
      <c r="L24" s="220"/>
      <c r="M24" s="220"/>
      <c r="N24" s="220"/>
      <c r="O24" s="220"/>
      <c r="P24" s="220"/>
      <c r="Q24" s="220"/>
      <c r="R24" s="221"/>
      <c r="S24" s="222"/>
      <c r="T24" s="570"/>
      <c r="U24" s="569">
        <v>0.7</v>
      </c>
      <c r="V24" s="569">
        <v>0.3</v>
      </c>
      <c r="W24" s="569"/>
      <c r="X24" s="569"/>
      <c r="Y24" s="569"/>
      <c r="Z24" s="569"/>
      <c r="AA24" s="569"/>
      <c r="AB24" s="569"/>
      <c r="AC24" s="569"/>
      <c r="AD24" s="569"/>
      <c r="AE24" s="571"/>
      <c r="AF24" s="533"/>
    </row>
    <row r="25" spans="1:32" ht="0.2" hidden="1" customHeight="1" x14ac:dyDescent="0.2">
      <c r="D25" s="223">
        <f ca="1">IF($Q23=2,IF(AND(ACOMPANHAMENTO="PLE",ISNUMBER($E23)),SUMIF((OFFSET(CÁLCULO!$AM$15:$AW$15,$E23,0,OFFSET(ORÇAMENTO!$D$15,CRONO!$E23,0))),"="&amp;CRONO!D$12,OFFSET(CÁLCULO!$AB$15:$AL$15,$E23,0,OFFSET(ORÇAMENTO!$D$15,CRONO!$E23,0)))+IF(AND($E25&lt;&gt;"",$E25&lt;&gt;0),SUMIF(CÁLCULO!$AM$15:$AW$747,"="&amp;CRONO!D$12,CÁLCULO!$AB$15:$AL$747)/(ORÇAMENTO!$X$15-CÁLCULO.TotalAdmLocal)*CRONO!$E25,0),D24*$R23),SUMIF(OFFSET($R25,1,0,$Q23-2),($L23+1)&amp;"$",OFFSET(D25,1,0,$Q23-2)))</f>
        <v>0</v>
      </c>
      <c r="E25" s="204" t="str">
        <f ca="1">IF(OR($Q23&lt;&gt;2,AUTOEVENTO&lt;&gt;"manual",$E24&gt;0),"",SUMIF(OFFSET(CÁLCULO!$M$15,CRONO!$E23,0,OFFSET(ORÇAMENTO!$D$15,CRONO!$E23,0)),1,OFFSET(ORÇAMENTO!$X$15,CRONO!$E23,0,OFFSET(ORÇAMENTO!$D$15,CRONO!$E23,0))))</f>
        <v/>
      </c>
      <c r="G25" s="224"/>
      <c r="R25" s="225" t="str">
        <f t="shared" ref="R25" ca="1" si="30">L23&amp;"$"</f>
        <v>2$</v>
      </c>
      <c r="S25" s="226"/>
      <c r="T25" s="227">
        <f ca="1">IF($Q23=2,IF(AND(ACOMPANHAMENTO="PLE",ISNUMBER($E23)),SUMIF((OFFSET(CÁLCULO!$AM$15:$AW$15,$E23,0,OFFSET(ORÇAMENTO!$D$15,CRONO!$E23,0))),"&lt;="&amp;CRONO!T$12,OFFSET(CÁLCULO!$AB$15:$AL$15,$E23,0,OFFSET(ORÇAMENTO!$D$15,CRONO!$E23,0)))+IF(AND($E25&lt;&gt;"",$E25&lt;&gt;0),SUMIF(CÁLCULO!$AM$15:$AW$747,"&lt;="&amp;CRONO!T$12,CÁLCULO!$AB$15:$AL$747)/(ORÇAMENTO!$X$15-CÁLCULO.TotalAdmLocal)*CRONO!$E25,0),T24*$R23),SUMIF(OFFSET($R25,1,0,$Q23-2),($L23+1)&amp;"$",OFFSET(T25,1,0,$Q23-2)))</f>
        <v>0</v>
      </c>
      <c r="U25" s="223">
        <f ca="1">IF($Q23=2,IF(AND(ACOMPANHAMENTO="PLE",ISNUMBER($E23)),SUMIF((OFFSET(CÁLCULO!$AM$15:$AW$15,$E23,0,OFFSET(ORÇAMENTO!$D$15,CRONO!$E23,0))),"="&amp;CRONO!U$12,OFFSET(CÁLCULO!$AB$15:$AL$15,$E23,0,OFFSET(ORÇAMENTO!$D$15,CRONO!$E23,0)))+IF(AND($E25&lt;&gt;"",$E25&lt;&gt;0),SUMIF(CÁLCULO!$AM$15:$AW$747,"="&amp;CRONO!U$12,CÁLCULO!$AB$15:$AL$747)/(ORÇAMENTO!$X$15-CÁLCULO.TotalAdmLocal)*CRONO!$E25,0),U24*$R23),SUMIF(OFFSET($R25,1,0,$Q23-2),($L23+1)&amp;"$",OFFSET(U25,1,0,$Q23-2)))</f>
        <v>0</v>
      </c>
      <c r="V25" s="223">
        <f ca="1">IF($Q23=2,IF(AND(ACOMPANHAMENTO="PLE",ISNUMBER($E23)),SUMIF((OFFSET(CÁLCULO!$AM$15:$AW$15,$E23,0,OFFSET(ORÇAMENTO!$D$15,CRONO!$E23,0))),"="&amp;CRONO!V$12,OFFSET(CÁLCULO!$AB$15:$AL$15,$E23,0,OFFSET(ORÇAMENTO!$D$15,CRONO!$E23,0)))+IF(AND($E25&lt;&gt;"",$E25&lt;&gt;0),SUMIF(CÁLCULO!$AM$15:$AW$747,"="&amp;CRONO!V$12,CÁLCULO!$AB$15:$AL$747)/(ORÇAMENTO!$X$15-CÁLCULO.TotalAdmLocal)*CRONO!$E25,0),V24*$R23),SUMIF(OFFSET($R25,1,0,$Q23-2),($L23+1)&amp;"$",OFFSET(V25,1,0,$Q23-2)))</f>
        <v>0</v>
      </c>
      <c r="W25" s="223">
        <f ca="1">IF($Q23=2,IF(AND(ACOMPANHAMENTO="PLE",ISNUMBER($E23)),SUMIF((OFFSET(CÁLCULO!$AM$15:$AW$15,$E23,0,OFFSET(ORÇAMENTO!$D$15,CRONO!$E23,0))),"="&amp;CRONO!W$12,OFFSET(CÁLCULO!$AB$15:$AL$15,$E23,0,OFFSET(ORÇAMENTO!$D$15,CRONO!$E23,0)))+IF(AND($E25&lt;&gt;"",$E25&lt;&gt;0),SUMIF(CÁLCULO!$AM$15:$AW$747,"="&amp;CRONO!W$12,CÁLCULO!$AB$15:$AL$747)/(ORÇAMENTO!$X$15-CÁLCULO.TotalAdmLocal)*CRONO!$E25,0),W24*$R23),SUMIF(OFFSET($R25,1,0,$Q23-2),($L23+1)&amp;"$",OFFSET(W25,1,0,$Q23-2)))</f>
        <v>0</v>
      </c>
      <c r="X25" s="223">
        <f ca="1">IF($Q23=2,IF(AND(ACOMPANHAMENTO="PLE",ISNUMBER($E23)),SUMIF((OFFSET(CÁLCULO!$AM$15:$AW$15,$E23,0,OFFSET(ORÇAMENTO!$D$15,CRONO!$E23,0))),"="&amp;CRONO!X$12,OFFSET(CÁLCULO!$AB$15:$AL$15,$E23,0,OFFSET(ORÇAMENTO!$D$15,CRONO!$E23,0)))+IF(AND($E25&lt;&gt;"",$E25&lt;&gt;0),SUMIF(CÁLCULO!$AM$15:$AW$747,"="&amp;CRONO!X$12,CÁLCULO!$AB$15:$AL$747)/(ORÇAMENTO!$X$15-CÁLCULO.TotalAdmLocal)*CRONO!$E25,0),X24*$R23),SUMIF(OFFSET($R25,1,0,$Q23-2),($L23+1)&amp;"$",OFFSET(X25,1,0,$Q23-2)))</f>
        <v>0</v>
      </c>
      <c r="Y25" s="223">
        <f ca="1">IF($Q23=2,IF(AND(ACOMPANHAMENTO="PLE",ISNUMBER($E23)),SUMIF((OFFSET(CÁLCULO!$AM$15:$AW$15,$E23,0,OFFSET(ORÇAMENTO!$D$15,CRONO!$E23,0))),"="&amp;CRONO!Y$12,OFFSET(CÁLCULO!$AB$15:$AL$15,$E23,0,OFFSET(ORÇAMENTO!$D$15,CRONO!$E23,0)))+IF(AND($E25&lt;&gt;"",$E25&lt;&gt;0),SUMIF(CÁLCULO!$AM$15:$AW$747,"="&amp;CRONO!Y$12,CÁLCULO!$AB$15:$AL$747)/(ORÇAMENTO!$X$15-CÁLCULO.TotalAdmLocal)*CRONO!$E25,0),Y24*$R23),SUMIF(OFFSET($R25,1,0,$Q23-2),($L23+1)&amp;"$",OFFSET(Y25,1,0,$Q23-2)))</f>
        <v>0</v>
      </c>
      <c r="Z25" s="223">
        <f ca="1">IF($Q23=2,IF(AND(ACOMPANHAMENTO="PLE",ISNUMBER($E23)),SUMIF((OFFSET(CÁLCULO!$AM$15:$AW$15,$E23,0,OFFSET(ORÇAMENTO!$D$15,CRONO!$E23,0))),"="&amp;CRONO!Z$12,OFFSET(CÁLCULO!$AB$15:$AL$15,$E23,0,OFFSET(ORÇAMENTO!$D$15,CRONO!$E23,0)))+IF(AND($E25&lt;&gt;"",$E25&lt;&gt;0),SUMIF(CÁLCULO!$AM$15:$AW$747,"="&amp;CRONO!Z$12,CÁLCULO!$AB$15:$AL$747)/(ORÇAMENTO!$X$15-CÁLCULO.TotalAdmLocal)*CRONO!$E25,0),Z24*$R23),SUMIF(OFFSET($R25,1,0,$Q23-2),($L23+1)&amp;"$",OFFSET(Z25,1,0,$Q23-2)))</f>
        <v>0</v>
      </c>
      <c r="AA25" s="223">
        <f ca="1">IF($Q23=2,IF(AND(ACOMPANHAMENTO="PLE",ISNUMBER($E23)),SUMIF((OFFSET(CÁLCULO!$AM$15:$AW$15,$E23,0,OFFSET(ORÇAMENTO!$D$15,CRONO!$E23,0))),"="&amp;CRONO!AA$12,OFFSET(CÁLCULO!$AB$15:$AL$15,$E23,0,OFFSET(ORÇAMENTO!$D$15,CRONO!$E23,0)))+IF(AND($E25&lt;&gt;"",$E25&lt;&gt;0),SUMIF(CÁLCULO!$AM$15:$AW$747,"="&amp;CRONO!AA$12,CÁLCULO!$AB$15:$AL$747)/(ORÇAMENTO!$X$15-CÁLCULO.TotalAdmLocal)*CRONO!$E25,0),AA24*$R23),SUMIF(OFFSET($R25,1,0,$Q23-2),($L23+1)&amp;"$",OFFSET(AA25,1,0,$Q23-2)))</f>
        <v>0</v>
      </c>
      <c r="AB25" s="223">
        <f ca="1">IF($Q23=2,IF(AND(ACOMPANHAMENTO="PLE",ISNUMBER($E23)),SUMIF((OFFSET(CÁLCULO!$AM$15:$AW$15,$E23,0,OFFSET(ORÇAMENTO!$D$15,CRONO!$E23,0))),"="&amp;CRONO!AB$12,OFFSET(CÁLCULO!$AB$15:$AL$15,$E23,0,OFFSET(ORÇAMENTO!$D$15,CRONO!$E23,0)))+IF(AND($E25&lt;&gt;"",$E25&lt;&gt;0),SUMIF(CÁLCULO!$AM$15:$AW$747,"="&amp;CRONO!AB$12,CÁLCULO!$AB$15:$AL$747)/(ORÇAMENTO!$X$15-CÁLCULO.TotalAdmLocal)*CRONO!$E25,0),AB24*$R23),SUMIF(OFFSET($R25,1,0,$Q23-2),($L23+1)&amp;"$",OFFSET(AB25,1,0,$Q23-2)))</f>
        <v>0</v>
      </c>
      <c r="AC25" s="223">
        <f ca="1">IF($Q23=2,IF(AND(ACOMPANHAMENTO="PLE",ISNUMBER($E23)),SUMIF((OFFSET(CÁLCULO!$AM$15:$AW$15,$E23,0,OFFSET(ORÇAMENTO!$D$15,CRONO!$E23,0))),"="&amp;CRONO!AC$12,OFFSET(CÁLCULO!$AB$15:$AL$15,$E23,0,OFFSET(ORÇAMENTO!$D$15,CRONO!$E23,0)))+IF(AND($E25&lt;&gt;"",$E25&lt;&gt;0),SUMIF(CÁLCULO!$AM$15:$AW$747,"="&amp;CRONO!AC$12,CÁLCULO!$AB$15:$AL$747)/(ORÇAMENTO!$X$15-CÁLCULO.TotalAdmLocal)*CRONO!$E25,0),AC24*$R23),SUMIF(OFFSET($R25,1,0,$Q23-2),($L23+1)&amp;"$",OFFSET(AC25,1,0,$Q23-2)))</f>
        <v>0</v>
      </c>
      <c r="AD25" s="223">
        <f ca="1">IF($Q23=2,IF(AND(ACOMPANHAMENTO="PLE",ISNUMBER($E23)),SUMIF((OFFSET(CÁLCULO!$AM$15:$AW$15,$E23,0,OFFSET(ORÇAMENTO!$D$15,CRONO!$E23,0))),"="&amp;CRONO!AD$12,OFFSET(CÁLCULO!$AB$15:$AL$15,$E23,0,OFFSET(ORÇAMENTO!$D$15,CRONO!$E23,0)))+IF(AND($E25&lt;&gt;"",$E25&lt;&gt;0),SUMIF(CÁLCULO!$AM$15:$AW$747,"="&amp;CRONO!AD$12,CÁLCULO!$AB$15:$AL$747)/(ORÇAMENTO!$X$15-CÁLCULO.TotalAdmLocal)*CRONO!$E25,0),AD24*$R23),SUMIF(OFFSET($R25,1,0,$Q23-2),($L23+1)&amp;"$",OFFSET(AD25,1,0,$Q23-2)))</f>
        <v>0</v>
      </c>
      <c r="AE25" s="228">
        <f ca="1">IF($Q23=2,IF(AND(ACOMPANHAMENTO="PLE",ISNUMBER($E23)),SUMIF((OFFSET(CÁLCULO!$AM$15:$AW$15,$E23,0,OFFSET(ORÇAMENTO!$D$15,CRONO!$E23,0))),"="&amp;CRONO!AE$12,OFFSET(CÁLCULO!$AB$15:$AL$15,$E23,0,OFFSET(ORÇAMENTO!$D$15,CRONO!$E23,0)))+IF(AND($E25&lt;&gt;"",$E25&lt;&gt;0),SUMIF(CÁLCULO!$AM$15:$AW$747,"="&amp;CRONO!AE$12,CÁLCULO!$AB$15:$AL$747)/(ORÇAMENTO!$X$15-CÁLCULO.TotalAdmLocal)*CRONO!$E25,0),AE24*$R23),SUMIF(OFFSET($R25,1,0,$Q23-2),($L23+1)&amp;"$",OFFSET(AE25,1,0,$Q23-2)))</f>
        <v>0</v>
      </c>
    </row>
    <row r="26" spans="1:32" x14ac:dyDescent="0.2">
      <c r="A26" s="204">
        <f t="shared" ref="A26" ca="1" si="31">OFFSET(A26,-3,0)+1</f>
        <v>5</v>
      </c>
      <c r="B26" s="204">
        <f ca="1">IF($Q26&lt;&gt;2,0,IF($R26=0,1,IF(E27&gt;0,OFFSET(QCI!$M$13,SUBSTITUTE(E27,".",""),0),OFFSET(ORÇAMENTO!$AA$15,CRONO!$E26,0))/$R26))</f>
        <v>1</v>
      </c>
      <c r="C26" s="204">
        <f ca="1">IF($Q26&lt;&gt;2,0,IF($R26=0,1,IF(E27&gt;0,OFFSET(QCI!$N$13,SUBSTITUTE(E27,".",""),0),OFFSET(ORÇAMENTO!$AB$15,CRONO!$E26,0))/$R26))</f>
        <v>1</v>
      </c>
      <c r="D26" s="207">
        <f ca="1">IF(AND($Q26=2,ACOMPANHAMENTO="BM"),D27,D28/$R26)</f>
        <v>0</v>
      </c>
      <c r="E26" s="204">
        <f ca="1">IF(A26&lt;=ORÇAMENTO.MáximoListaCrono,MATCH(A26,ORÇAMENTO.ListaCrono,0),NA())</f>
        <v>44</v>
      </c>
      <c r="F26" s="204" t="str">
        <f t="shared" ref="F26" ca="1" si="32">IF(AND($E27&lt;&gt;-1,$R26&gt;0),"F","")</f>
        <v/>
      </c>
      <c r="G26" s="208" t="str">
        <f ca="1">IF(OR(R26=0,R26=""),"Linha",IF(AND(OR(ACOMPANHAMENTO="PLE",$Q26&lt;&gt;2),$E27=0),"Linha",1-SUM(T26:AF26)))</f>
        <v>Linha</v>
      </c>
      <c r="H26" s="209" t="str">
        <f ca="1">IF($E27=0,OFFSET(ORÇAMENTO!O$15,$E26,0),IF($E27&lt;&gt;-1,OFFSET(QCI!$D$13,$E27,0),""))</f>
        <v>1.4.</v>
      </c>
      <c r="I26" s="210" t="str">
        <f ca="1">IF($E27=0,OFFSET(ORÇAMENTO!R$15,$E26,0),IF($E27&lt;&gt;-1,OFFSET(QCI!$G$13,$E27,0),""))</f>
        <v>SUPERESTRUTURA</v>
      </c>
      <c r="J26" s="210"/>
      <c r="K26" s="210"/>
      <c r="L26" s="211">
        <f ca="1">IF($E27=0,OFFSET(ORÇAMENTO!C$15,$E26,0),1)</f>
        <v>2</v>
      </c>
      <c r="M26" s="212">
        <f ca="1">IF($E27=-1,0,IF(M$13&lt;=$L26,IF(ISERROR(MATCH(M$13,OFFSET($L26,1,0,ROW($L$89)-ROW($L26)-1),0)),ROW($L$89)-ROW($L26)-1,MATCH(M$13,OFFSET($L26,1,0,ROW($L$89)-ROW($L26)-1),0)-1),0))</f>
        <v>62</v>
      </c>
      <c r="N26" s="212">
        <f ca="1">IF($E27=-1,0,IF(N$13&lt;=$L26,IF(ISERROR(MATCH(N$13,OFFSET($L26,1,0,ROW($L$89)-ROW($L26)-1),0)),ROW($L$89)-ROW($L26)-1,MATCH(N$13,OFFSET($L26,1,0,ROW($L$89)-ROW($L26)-1),0)-1),0))</f>
        <v>2</v>
      </c>
      <c r="O26" s="212">
        <f ca="1">IF($E27=-1,0,IF(O$13&lt;=$L26,IF(ISERROR(MATCH(O$13,OFFSET($L26,1,0,ROW($L$89)-ROW($L26)-1),0)),ROW($L$89)-ROW($L26)-1,MATCH(O$13,OFFSET($L26,1,0,ROW($L$89)-ROW($L26)-1),0)-1),0))</f>
        <v>0</v>
      </c>
      <c r="P26" s="212">
        <f ca="1">IF($E27=-1,0,IF(P$13&lt;=$L26,IF(ISERROR(MATCH(P$13,OFFSET($L26,1,0,ROW($L$89)-ROW($L26)-1),0)),ROW($L$89)-ROW($L26)-1,MATCH(P$13,OFFSET($L26,1,0,ROW($L$89)-ROW($L26)-1),0)-1),0))</f>
        <v>0</v>
      </c>
      <c r="Q26" s="212">
        <f t="shared" ref="Q26" ca="1" si="33">MIN(OFFSET(L26,0,1,,L26))</f>
        <v>2</v>
      </c>
      <c r="R26" s="213">
        <f ca="1">IF($E27=0,OFFSET(ORÇAMENTO!X$15,$E26,0),IF($E27&lt;&gt;-1,OFFSET(QCI!$O$13,$E27,0),""))</f>
        <v>0</v>
      </c>
      <c r="S26" s="214" t="s">
        <v>270</v>
      </c>
      <c r="T26" s="215">
        <f t="shared" ref="T26:AE26" ca="1" si="34">IF(AND($Q26=2,ACOMPANHAMENTO="BM"),T27,T28/$R26)</f>
        <v>0</v>
      </c>
      <c r="U26" s="207">
        <f t="shared" ca="1" si="34"/>
        <v>0.1</v>
      </c>
      <c r="V26" s="207">
        <f t="shared" ca="1" si="34"/>
        <v>0.7</v>
      </c>
      <c r="W26" s="207">
        <f t="shared" ca="1" si="34"/>
        <v>0.2</v>
      </c>
      <c r="X26" s="207">
        <f t="shared" ca="1" si="34"/>
        <v>0</v>
      </c>
      <c r="Y26" s="207">
        <f t="shared" ca="1" si="34"/>
        <v>0</v>
      </c>
      <c r="Z26" s="207">
        <f t="shared" ca="1" si="34"/>
        <v>0</v>
      </c>
      <c r="AA26" s="207">
        <f t="shared" ca="1" si="34"/>
        <v>0</v>
      </c>
      <c r="AB26" s="207">
        <f t="shared" ca="1" si="34"/>
        <v>0</v>
      </c>
      <c r="AC26" s="207">
        <f t="shared" ca="1" si="34"/>
        <v>0</v>
      </c>
      <c r="AD26" s="207">
        <f t="shared" ca="1" si="34"/>
        <v>0</v>
      </c>
      <c r="AE26" s="216">
        <f t="shared" ca="1" si="34"/>
        <v>0</v>
      </c>
    </row>
    <row r="27" spans="1:32" ht="12.75" customHeight="1" x14ac:dyDescent="0.2">
      <c r="D27" s="569"/>
      <c r="E27" s="204">
        <f ca="1">IF(ISERROR(E26),IF(1+COUNTIF($L$13:OFFSET(L26,-1,0),1)&lt;=MAX(QCI!$D$13:$D$24),1+COUNTIF($L$13:OFFSET(L26,-1,0),1),-1),0)</f>
        <v>0</v>
      </c>
      <c r="F27" s="204" t="str">
        <f t="shared" ref="F27" ca="1" si="35">IF(AND($E27&lt;&gt;-1,$R26&gt;0),"F","")</f>
        <v/>
      </c>
      <c r="G27" s="217" t="str">
        <f ca="1">IF(OR(R26=0,R26=""),"vazia",IF(AND(OR(ACOMPANHAMENTO="PLE",$Q26&lt;&gt;2),$E27=0),"calculada","--&gt;"))</f>
        <v>vazia</v>
      </c>
      <c r="H27" s="218"/>
      <c r="I27" s="219" t="str">
        <f t="shared" ref="I27" ca="1" si="36">IF(AND(G26&lt;&gt;0,ISNUMBER(G26)),"PREENCHA ESTA LINHA --&gt;","")</f>
        <v/>
      </c>
      <c r="J27" s="219"/>
      <c r="K27" s="219"/>
      <c r="L27" s="220"/>
      <c r="M27" s="220"/>
      <c r="N27" s="220"/>
      <c r="O27" s="220"/>
      <c r="P27" s="220"/>
      <c r="Q27" s="220"/>
      <c r="R27" s="221"/>
      <c r="S27" s="222"/>
      <c r="T27" s="570"/>
      <c r="U27" s="569">
        <v>0.1</v>
      </c>
      <c r="V27" s="569">
        <v>0.7</v>
      </c>
      <c r="W27" s="569">
        <v>0.2</v>
      </c>
      <c r="X27" s="569"/>
      <c r="Y27" s="569"/>
      <c r="Z27" s="569"/>
      <c r="AA27" s="569"/>
      <c r="AB27" s="569"/>
      <c r="AC27" s="569"/>
      <c r="AD27" s="569"/>
      <c r="AE27" s="571"/>
      <c r="AF27" s="533"/>
    </row>
    <row r="28" spans="1:32" ht="0.2" hidden="1" customHeight="1" x14ac:dyDescent="0.2">
      <c r="D28" s="223">
        <f ca="1">IF($Q26=2,IF(AND(ACOMPANHAMENTO="PLE",ISNUMBER($E26)),SUMIF((OFFSET(CÁLCULO!$AM$15:$AW$15,$E26,0,OFFSET(ORÇAMENTO!$D$15,CRONO!$E26,0))),"="&amp;CRONO!D$12,OFFSET(CÁLCULO!$AB$15:$AL$15,$E26,0,OFFSET(ORÇAMENTO!$D$15,CRONO!$E26,0)))+IF(AND($E28&lt;&gt;"",$E28&lt;&gt;0),SUMIF(CÁLCULO!$AM$15:$AW$747,"="&amp;CRONO!D$12,CÁLCULO!$AB$15:$AL$747)/(ORÇAMENTO!$X$15-CÁLCULO.TotalAdmLocal)*CRONO!$E28,0),D27*$R26),SUMIF(OFFSET($R28,1,0,$Q26-2),($L26+1)&amp;"$",OFFSET(D28,1,0,$Q26-2)))</f>
        <v>0</v>
      </c>
      <c r="E28" s="204" t="str">
        <f ca="1">IF(OR($Q26&lt;&gt;2,AUTOEVENTO&lt;&gt;"manual",$E27&gt;0),"",SUMIF(OFFSET(CÁLCULO!$M$15,CRONO!$E26,0,OFFSET(ORÇAMENTO!$D$15,CRONO!$E26,0)),1,OFFSET(ORÇAMENTO!$X$15,CRONO!$E26,0,OFFSET(ORÇAMENTO!$D$15,CRONO!$E26,0))))</f>
        <v/>
      </c>
      <c r="G28" s="224"/>
      <c r="R28" s="225" t="str">
        <f t="shared" ref="R28" ca="1" si="37">L26&amp;"$"</f>
        <v>2$</v>
      </c>
      <c r="S28" s="226"/>
      <c r="T28" s="227">
        <f ca="1">IF($Q26=2,IF(AND(ACOMPANHAMENTO="PLE",ISNUMBER($E26)),SUMIF((OFFSET(CÁLCULO!$AM$15:$AW$15,$E26,0,OFFSET(ORÇAMENTO!$D$15,CRONO!$E26,0))),"&lt;="&amp;CRONO!T$12,OFFSET(CÁLCULO!$AB$15:$AL$15,$E26,0,OFFSET(ORÇAMENTO!$D$15,CRONO!$E26,0)))+IF(AND($E28&lt;&gt;"",$E28&lt;&gt;0),SUMIF(CÁLCULO!$AM$15:$AW$747,"&lt;="&amp;CRONO!T$12,CÁLCULO!$AB$15:$AL$747)/(ORÇAMENTO!$X$15-CÁLCULO.TotalAdmLocal)*CRONO!$E28,0),T27*$R26),SUMIF(OFFSET($R28,1,0,$Q26-2),($L26+1)&amp;"$",OFFSET(T28,1,0,$Q26-2)))</f>
        <v>0</v>
      </c>
      <c r="U28" s="223">
        <f ca="1">IF($Q26=2,IF(AND(ACOMPANHAMENTO="PLE",ISNUMBER($E26)),SUMIF((OFFSET(CÁLCULO!$AM$15:$AW$15,$E26,0,OFFSET(ORÇAMENTO!$D$15,CRONO!$E26,0))),"="&amp;CRONO!U$12,OFFSET(CÁLCULO!$AB$15:$AL$15,$E26,0,OFFSET(ORÇAMENTO!$D$15,CRONO!$E26,0)))+IF(AND($E28&lt;&gt;"",$E28&lt;&gt;0),SUMIF(CÁLCULO!$AM$15:$AW$747,"="&amp;CRONO!U$12,CÁLCULO!$AB$15:$AL$747)/(ORÇAMENTO!$X$15-CÁLCULO.TotalAdmLocal)*CRONO!$E28,0),U27*$R26),SUMIF(OFFSET($R28,1,0,$Q26-2),($L26+1)&amp;"$",OFFSET(U28,1,0,$Q26-2)))</f>
        <v>0</v>
      </c>
      <c r="V28" s="223">
        <f ca="1">IF($Q26=2,IF(AND(ACOMPANHAMENTO="PLE",ISNUMBER($E26)),SUMIF((OFFSET(CÁLCULO!$AM$15:$AW$15,$E26,0,OFFSET(ORÇAMENTO!$D$15,CRONO!$E26,0))),"="&amp;CRONO!V$12,OFFSET(CÁLCULO!$AB$15:$AL$15,$E26,0,OFFSET(ORÇAMENTO!$D$15,CRONO!$E26,0)))+IF(AND($E28&lt;&gt;"",$E28&lt;&gt;0),SUMIF(CÁLCULO!$AM$15:$AW$747,"="&amp;CRONO!V$12,CÁLCULO!$AB$15:$AL$747)/(ORÇAMENTO!$X$15-CÁLCULO.TotalAdmLocal)*CRONO!$E28,0),V27*$R26),SUMIF(OFFSET($R28,1,0,$Q26-2),($L26+1)&amp;"$",OFFSET(V28,1,0,$Q26-2)))</f>
        <v>0</v>
      </c>
      <c r="W28" s="223">
        <f ca="1">IF($Q26=2,IF(AND(ACOMPANHAMENTO="PLE",ISNUMBER($E26)),SUMIF((OFFSET(CÁLCULO!$AM$15:$AW$15,$E26,0,OFFSET(ORÇAMENTO!$D$15,CRONO!$E26,0))),"="&amp;CRONO!W$12,OFFSET(CÁLCULO!$AB$15:$AL$15,$E26,0,OFFSET(ORÇAMENTO!$D$15,CRONO!$E26,0)))+IF(AND($E28&lt;&gt;"",$E28&lt;&gt;0),SUMIF(CÁLCULO!$AM$15:$AW$747,"="&amp;CRONO!W$12,CÁLCULO!$AB$15:$AL$747)/(ORÇAMENTO!$X$15-CÁLCULO.TotalAdmLocal)*CRONO!$E28,0),W27*$R26),SUMIF(OFFSET($R28,1,0,$Q26-2),($L26+1)&amp;"$",OFFSET(W28,1,0,$Q26-2)))</f>
        <v>0</v>
      </c>
      <c r="X28" s="223">
        <f ca="1">IF($Q26=2,IF(AND(ACOMPANHAMENTO="PLE",ISNUMBER($E26)),SUMIF((OFFSET(CÁLCULO!$AM$15:$AW$15,$E26,0,OFFSET(ORÇAMENTO!$D$15,CRONO!$E26,0))),"="&amp;CRONO!X$12,OFFSET(CÁLCULO!$AB$15:$AL$15,$E26,0,OFFSET(ORÇAMENTO!$D$15,CRONO!$E26,0)))+IF(AND($E28&lt;&gt;"",$E28&lt;&gt;0),SUMIF(CÁLCULO!$AM$15:$AW$747,"="&amp;CRONO!X$12,CÁLCULO!$AB$15:$AL$747)/(ORÇAMENTO!$X$15-CÁLCULO.TotalAdmLocal)*CRONO!$E28,0),X27*$R26),SUMIF(OFFSET($R28,1,0,$Q26-2),($L26+1)&amp;"$",OFFSET(X28,1,0,$Q26-2)))</f>
        <v>0</v>
      </c>
      <c r="Y28" s="223">
        <f ca="1">IF($Q26=2,IF(AND(ACOMPANHAMENTO="PLE",ISNUMBER($E26)),SUMIF((OFFSET(CÁLCULO!$AM$15:$AW$15,$E26,0,OFFSET(ORÇAMENTO!$D$15,CRONO!$E26,0))),"="&amp;CRONO!Y$12,OFFSET(CÁLCULO!$AB$15:$AL$15,$E26,0,OFFSET(ORÇAMENTO!$D$15,CRONO!$E26,0)))+IF(AND($E28&lt;&gt;"",$E28&lt;&gt;0),SUMIF(CÁLCULO!$AM$15:$AW$747,"="&amp;CRONO!Y$12,CÁLCULO!$AB$15:$AL$747)/(ORÇAMENTO!$X$15-CÁLCULO.TotalAdmLocal)*CRONO!$E28,0),Y27*$R26),SUMIF(OFFSET($R28,1,0,$Q26-2),($L26+1)&amp;"$",OFFSET(Y28,1,0,$Q26-2)))</f>
        <v>0</v>
      </c>
      <c r="Z28" s="223">
        <f ca="1">IF($Q26=2,IF(AND(ACOMPANHAMENTO="PLE",ISNUMBER($E26)),SUMIF((OFFSET(CÁLCULO!$AM$15:$AW$15,$E26,0,OFFSET(ORÇAMENTO!$D$15,CRONO!$E26,0))),"="&amp;CRONO!Z$12,OFFSET(CÁLCULO!$AB$15:$AL$15,$E26,0,OFFSET(ORÇAMENTO!$D$15,CRONO!$E26,0)))+IF(AND($E28&lt;&gt;"",$E28&lt;&gt;0),SUMIF(CÁLCULO!$AM$15:$AW$747,"="&amp;CRONO!Z$12,CÁLCULO!$AB$15:$AL$747)/(ORÇAMENTO!$X$15-CÁLCULO.TotalAdmLocal)*CRONO!$E28,0),Z27*$R26),SUMIF(OFFSET($R28,1,0,$Q26-2),($L26+1)&amp;"$",OFFSET(Z28,1,0,$Q26-2)))</f>
        <v>0</v>
      </c>
      <c r="AA28" s="223">
        <f ca="1">IF($Q26=2,IF(AND(ACOMPANHAMENTO="PLE",ISNUMBER($E26)),SUMIF((OFFSET(CÁLCULO!$AM$15:$AW$15,$E26,0,OFFSET(ORÇAMENTO!$D$15,CRONO!$E26,0))),"="&amp;CRONO!AA$12,OFFSET(CÁLCULO!$AB$15:$AL$15,$E26,0,OFFSET(ORÇAMENTO!$D$15,CRONO!$E26,0)))+IF(AND($E28&lt;&gt;"",$E28&lt;&gt;0),SUMIF(CÁLCULO!$AM$15:$AW$747,"="&amp;CRONO!AA$12,CÁLCULO!$AB$15:$AL$747)/(ORÇAMENTO!$X$15-CÁLCULO.TotalAdmLocal)*CRONO!$E28,0),AA27*$R26),SUMIF(OFFSET($R28,1,0,$Q26-2),($L26+1)&amp;"$",OFFSET(AA28,1,0,$Q26-2)))</f>
        <v>0</v>
      </c>
      <c r="AB28" s="223">
        <f ca="1">IF($Q26=2,IF(AND(ACOMPANHAMENTO="PLE",ISNUMBER($E26)),SUMIF((OFFSET(CÁLCULO!$AM$15:$AW$15,$E26,0,OFFSET(ORÇAMENTO!$D$15,CRONO!$E26,0))),"="&amp;CRONO!AB$12,OFFSET(CÁLCULO!$AB$15:$AL$15,$E26,0,OFFSET(ORÇAMENTO!$D$15,CRONO!$E26,0)))+IF(AND($E28&lt;&gt;"",$E28&lt;&gt;0),SUMIF(CÁLCULO!$AM$15:$AW$747,"="&amp;CRONO!AB$12,CÁLCULO!$AB$15:$AL$747)/(ORÇAMENTO!$X$15-CÁLCULO.TotalAdmLocal)*CRONO!$E28,0),AB27*$R26),SUMIF(OFFSET($R28,1,0,$Q26-2),($L26+1)&amp;"$",OFFSET(AB28,1,0,$Q26-2)))</f>
        <v>0</v>
      </c>
      <c r="AC28" s="223">
        <f ca="1">IF($Q26=2,IF(AND(ACOMPANHAMENTO="PLE",ISNUMBER($E26)),SUMIF((OFFSET(CÁLCULO!$AM$15:$AW$15,$E26,0,OFFSET(ORÇAMENTO!$D$15,CRONO!$E26,0))),"="&amp;CRONO!AC$12,OFFSET(CÁLCULO!$AB$15:$AL$15,$E26,0,OFFSET(ORÇAMENTO!$D$15,CRONO!$E26,0)))+IF(AND($E28&lt;&gt;"",$E28&lt;&gt;0),SUMIF(CÁLCULO!$AM$15:$AW$747,"="&amp;CRONO!AC$12,CÁLCULO!$AB$15:$AL$747)/(ORÇAMENTO!$X$15-CÁLCULO.TotalAdmLocal)*CRONO!$E28,0),AC27*$R26),SUMIF(OFFSET($R28,1,0,$Q26-2),($L26+1)&amp;"$",OFFSET(AC28,1,0,$Q26-2)))</f>
        <v>0</v>
      </c>
      <c r="AD28" s="223">
        <f ca="1">IF($Q26=2,IF(AND(ACOMPANHAMENTO="PLE",ISNUMBER($E26)),SUMIF((OFFSET(CÁLCULO!$AM$15:$AW$15,$E26,0,OFFSET(ORÇAMENTO!$D$15,CRONO!$E26,0))),"="&amp;CRONO!AD$12,OFFSET(CÁLCULO!$AB$15:$AL$15,$E26,0,OFFSET(ORÇAMENTO!$D$15,CRONO!$E26,0)))+IF(AND($E28&lt;&gt;"",$E28&lt;&gt;0),SUMIF(CÁLCULO!$AM$15:$AW$747,"="&amp;CRONO!AD$12,CÁLCULO!$AB$15:$AL$747)/(ORÇAMENTO!$X$15-CÁLCULO.TotalAdmLocal)*CRONO!$E28,0),AD27*$R26),SUMIF(OFFSET($R28,1,0,$Q26-2),($L26+1)&amp;"$",OFFSET(AD28,1,0,$Q26-2)))</f>
        <v>0</v>
      </c>
      <c r="AE28" s="228">
        <f ca="1">IF($Q26=2,IF(AND(ACOMPANHAMENTO="PLE",ISNUMBER($E26)),SUMIF((OFFSET(CÁLCULO!$AM$15:$AW$15,$E26,0,OFFSET(ORÇAMENTO!$D$15,CRONO!$E26,0))),"="&amp;CRONO!AE$12,OFFSET(CÁLCULO!$AB$15:$AL$15,$E26,0,OFFSET(ORÇAMENTO!$D$15,CRONO!$E26,0)))+IF(AND($E28&lt;&gt;"",$E28&lt;&gt;0),SUMIF(CÁLCULO!$AM$15:$AW$747,"="&amp;CRONO!AE$12,CÁLCULO!$AB$15:$AL$747)/(ORÇAMENTO!$X$15-CÁLCULO.TotalAdmLocal)*CRONO!$E28,0),AE27*$R26),SUMIF(OFFSET($R28,1,0,$Q26-2),($L26+1)&amp;"$",OFFSET(AE28,1,0,$Q26-2)))</f>
        <v>0</v>
      </c>
    </row>
    <row r="29" spans="1:32" x14ac:dyDescent="0.2">
      <c r="A29" s="204">
        <f t="shared" ref="A29" ca="1" si="38">OFFSET(A29,-3,0)+1</f>
        <v>6</v>
      </c>
      <c r="B29" s="204">
        <f ca="1">IF($Q29&lt;&gt;2,0,IF($R29=0,1,IF(E30&gt;0,OFFSET(QCI!$M$13,SUBSTITUTE(E30,".",""),0),OFFSET(ORÇAMENTO!$AA$15,CRONO!$E29,0))/$R29))</f>
        <v>1</v>
      </c>
      <c r="C29" s="204">
        <f ca="1">IF($Q29&lt;&gt;2,0,IF($R29=0,1,IF(E30&gt;0,OFFSET(QCI!$N$13,SUBSTITUTE(E30,".",""),0),OFFSET(ORÇAMENTO!$AB$15,CRONO!$E29,0))/$R29))</f>
        <v>1</v>
      </c>
      <c r="D29" s="207">
        <f ca="1">IF(AND($Q29=2,ACOMPANHAMENTO="BM"),D30,D31/$R29)</f>
        <v>0</v>
      </c>
      <c r="E29" s="204">
        <f ca="1">IF(A29&lt;=ORÇAMENTO.MáximoListaCrono,MATCH(A29,ORÇAMENTO.ListaCrono,0),NA())</f>
        <v>90</v>
      </c>
      <c r="F29" s="204" t="str">
        <f t="shared" ref="F29" ca="1" si="39">IF(AND($E30&lt;&gt;-1,$R29&gt;0),"F","")</f>
        <v/>
      </c>
      <c r="G29" s="208" t="str">
        <f ca="1">IF(OR(R29=0,R29=""),"Linha",IF(AND(OR(ACOMPANHAMENTO="PLE",$Q29&lt;&gt;2),$E30=0),"Linha",1-SUM(T29:AF29)))</f>
        <v>Linha</v>
      </c>
      <c r="H29" s="209" t="str">
        <f ca="1">IF($E30=0,OFFSET(ORÇAMENTO!O$15,$E29,0),IF($E30&lt;&gt;-1,OFFSET(QCI!$D$13,$E30,0),""))</f>
        <v>1.5.</v>
      </c>
      <c r="I29" s="210" t="str">
        <f ca="1">IF($E30=0,OFFSET(ORÇAMENTO!R$15,$E29,0),IF($E30&lt;&gt;-1,OFFSET(QCI!$G$13,$E30,0),""))</f>
        <v>SISTEMA DE VEDAÇÃO VERTICAL</v>
      </c>
      <c r="J29" s="210"/>
      <c r="K29" s="210"/>
      <c r="L29" s="211">
        <f ca="1">IF($E30=0,OFFSET(ORÇAMENTO!C$15,$E29,0),1)</f>
        <v>2</v>
      </c>
      <c r="M29" s="212">
        <f ca="1">IF($E30=-1,0,IF(M$13&lt;=$L29,IF(ISERROR(MATCH(M$13,OFFSET($L29,1,0,ROW($L$89)-ROW($L29)-1),0)),ROW($L$89)-ROW($L29)-1,MATCH(M$13,OFFSET($L29,1,0,ROW($L$89)-ROW($L29)-1),0)-1),0))</f>
        <v>59</v>
      </c>
      <c r="N29" s="212">
        <f ca="1">IF($E30=-1,0,IF(N$13&lt;=$L29,IF(ISERROR(MATCH(N$13,OFFSET($L29,1,0,ROW($L$89)-ROW($L29)-1),0)),ROW($L$89)-ROW($L29)-1,MATCH(N$13,OFFSET($L29,1,0,ROW($L$89)-ROW($L29)-1),0)-1),0))</f>
        <v>2</v>
      </c>
      <c r="O29" s="212">
        <f ca="1">IF($E30=-1,0,IF(O$13&lt;=$L29,IF(ISERROR(MATCH(O$13,OFFSET($L29,1,0,ROW($L$89)-ROW($L29)-1),0)),ROW($L$89)-ROW($L29)-1,MATCH(O$13,OFFSET($L29,1,0,ROW($L$89)-ROW($L29)-1),0)-1),0))</f>
        <v>0</v>
      </c>
      <c r="P29" s="212">
        <f ca="1">IF($E30=-1,0,IF(P$13&lt;=$L29,IF(ISERROR(MATCH(P$13,OFFSET($L29,1,0,ROW($L$89)-ROW($L29)-1),0)),ROW($L$89)-ROW($L29)-1,MATCH(P$13,OFFSET($L29,1,0,ROW($L$89)-ROW($L29)-1),0)-1),0))</f>
        <v>0</v>
      </c>
      <c r="Q29" s="212">
        <f t="shared" ref="Q29" ca="1" si="40">MIN(OFFSET(L29,0,1,,L29))</f>
        <v>2</v>
      </c>
      <c r="R29" s="213">
        <f ca="1">IF($E30=0,OFFSET(ORÇAMENTO!X$15,$E29,0),IF($E30&lt;&gt;-1,OFFSET(QCI!$O$13,$E30,0),""))</f>
        <v>0</v>
      </c>
      <c r="S29" s="214" t="s">
        <v>270</v>
      </c>
      <c r="T29" s="215">
        <f t="shared" ref="T29:AE29" ca="1" si="41">IF(AND($Q29=2,ACOMPANHAMENTO="BM"),T30,T31/$R29)</f>
        <v>0</v>
      </c>
      <c r="U29" s="207">
        <f t="shared" ca="1" si="41"/>
        <v>0</v>
      </c>
      <c r="V29" s="207">
        <f t="shared" ca="1" si="41"/>
        <v>0.15</v>
      </c>
      <c r="W29" s="207">
        <f t="shared" ca="1" si="41"/>
        <v>0.4</v>
      </c>
      <c r="X29" s="207">
        <f t="shared" ca="1" si="41"/>
        <v>0.45</v>
      </c>
      <c r="Y29" s="207">
        <f t="shared" ca="1" si="41"/>
        <v>0</v>
      </c>
      <c r="Z29" s="207">
        <f t="shared" ca="1" si="41"/>
        <v>0</v>
      </c>
      <c r="AA29" s="207">
        <f t="shared" ca="1" si="41"/>
        <v>0</v>
      </c>
      <c r="AB29" s="207">
        <f t="shared" ca="1" si="41"/>
        <v>0</v>
      </c>
      <c r="AC29" s="207">
        <f t="shared" ca="1" si="41"/>
        <v>0</v>
      </c>
      <c r="AD29" s="207">
        <f t="shared" ca="1" si="41"/>
        <v>0</v>
      </c>
      <c r="AE29" s="216">
        <f t="shared" ca="1" si="41"/>
        <v>0</v>
      </c>
    </row>
    <row r="30" spans="1:32" ht="12.75" customHeight="1" x14ac:dyDescent="0.2">
      <c r="D30" s="569"/>
      <c r="E30" s="204">
        <f ca="1">IF(ISERROR(E29),IF(1+COUNTIF($L$13:OFFSET(L29,-1,0),1)&lt;=MAX(QCI!$D$13:$D$24),1+COUNTIF($L$13:OFFSET(L29,-1,0),1),-1),0)</f>
        <v>0</v>
      </c>
      <c r="F30" s="204" t="str">
        <f t="shared" ref="F30" ca="1" si="42">IF(AND($E30&lt;&gt;-1,$R29&gt;0),"F","")</f>
        <v/>
      </c>
      <c r="G30" s="217" t="str">
        <f ca="1">IF(OR(R29=0,R29=""),"vazia",IF(AND(OR(ACOMPANHAMENTO="PLE",$Q29&lt;&gt;2),$E30=0),"calculada","--&gt;"))</f>
        <v>vazia</v>
      </c>
      <c r="H30" s="218"/>
      <c r="I30" s="219" t="str">
        <f t="shared" ref="I30" ca="1" si="43">IF(AND(G29&lt;&gt;0,ISNUMBER(G29)),"PREENCHA ESTA LINHA --&gt;","")</f>
        <v/>
      </c>
      <c r="J30" s="219"/>
      <c r="K30" s="219"/>
      <c r="L30" s="220"/>
      <c r="M30" s="220"/>
      <c r="N30" s="220"/>
      <c r="O30" s="220"/>
      <c r="P30" s="220"/>
      <c r="Q30" s="220"/>
      <c r="R30" s="221"/>
      <c r="S30" s="222"/>
      <c r="T30" s="570"/>
      <c r="U30" s="569"/>
      <c r="V30" s="569">
        <v>0.15</v>
      </c>
      <c r="W30" s="569">
        <v>0.4</v>
      </c>
      <c r="X30" s="569">
        <v>0.45</v>
      </c>
      <c r="Y30" s="569"/>
      <c r="Z30" s="569"/>
      <c r="AA30" s="569"/>
      <c r="AB30" s="569"/>
      <c r="AC30" s="569"/>
      <c r="AD30" s="569"/>
      <c r="AE30" s="571"/>
      <c r="AF30" s="533"/>
    </row>
    <row r="31" spans="1:32" ht="0.2" hidden="1" customHeight="1" x14ac:dyDescent="0.2">
      <c r="D31" s="223">
        <f ca="1">IF($Q29=2,IF(AND(ACOMPANHAMENTO="PLE",ISNUMBER($E29)),SUMIF((OFFSET(CÁLCULO!$AM$15:$AW$15,$E29,0,OFFSET(ORÇAMENTO!$D$15,CRONO!$E29,0))),"="&amp;CRONO!D$12,OFFSET(CÁLCULO!$AB$15:$AL$15,$E29,0,OFFSET(ORÇAMENTO!$D$15,CRONO!$E29,0)))+IF(AND($E31&lt;&gt;"",$E31&lt;&gt;0),SUMIF(CÁLCULO!$AM$15:$AW$747,"="&amp;CRONO!D$12,CÁLCULO!$AB$15:$AL$747)/(ORÇAMENTO!$X$15-CÁLCULO.TotalAdmLocal)*CRONO!$E31,0),D30*$R29),SUMIF(OFFSET($R31,1,0,$Q29-2),($L29+1)&amp;"$",OFFSET(D31,1,0,$Q29-2)))</f>
        <v>0</v>
      </c>
      <c r="E31" s="204" t="str">
        <f ca="1">IF(OR($Q29&lt;&gt;2,AUTOEVENTO&lt;&gt;"manual",$E30&gt;0),"",SUMIF(OFFSET(CÁLCULO!$M$15,CRONO!$E29,0,OFFSET(ORÇAMENTO!$D$15,CRONO!$E29,0)),1,OFFSET(ORÇAMENTO!$X$15,CRONO!$E29,0,OFFSET(ORÇAMENTO!$D$15,CRONO!$E29,0))))</f>
        <v/>
      </c>
      <c r="G31" s="224"/>
      <c r="R31" s="225" t="str">
        <f t="shared" ref="R31" ca="1" si="44">L29&amp;"$"</f>
        <v>2$</v>
      </c>
      <c r="S31" s="226"/>
      <c r="T31" s="227">
        <f ca="1">IF($Q29=2,IF(AND(ACOMPANHAMENTO="PLE",ISNUMBER($E29)),SUMIF((OFFSET(CÁLCULO!$AM$15:$AW$15,$E29,0,OFFSET(ORÇAMENTO!$D$15,CRONO!$E29,0))),"&lt;="&amp;CRONO!T$12,OFFSET(CÁLCULO!$AB$15:$AL$15,$E29,0,OFFSET(ORÇAMENTO!$D$15,CRONO!$E29,0)))+IF(AND($E31&lt;&gt;"",$E31&lt;&gt;0),SUMIF(CÁLCULO!$AM$15:$AW$747,"&lt;="&amp;CRONO!T$12,CÁLCULO!$AB$15:$AL$747)/(ORÇAMENTO!$X$15-CÁLCULO.TotalAdmLocal)*CRONO!$E31,0),T30*$R29),SUMIF(OFFSET($R31,1,0,$Q29-2),($L29+1)&amp;"$",OFFSET(T31,1,0,$Q29-2)))</f>
        <v>0</v>
      </c>
      <c r="U31" s="223">
        <f ca="1">IF($Q29=2,IF(AND(ACOMPANHAMENTO="PLE",ISNUMBER($E29)),SUMIF((OFFSET(CÁLCULO!$AM$15:$AW$15,$E29,0,OFFSET(ORÇAMENTO!$D$15,CRONO!$E29,0))),"="&amp;CRONO!U$12,OFFSET(CÁLCULO!$AB$15:$AL$15,$E29,0,OFFSET(ORÇAMENTO!$D$15,CRONO!$E29,0)))+IF(AND($E31&lt;&gt;"",$E31&lt;&gt;0),SUMIF(CÁLCULO!$AM$15:$AW$747,"="&amp;CRONO!U$12,CÁLCULO!$AB$15:$AL$747)/(ORÇAMENTO!$X$15-CÁLCULO.TotalAdmLocal)*CRONO!$E31,0),U30*$R29),SUMIF(OFFSET($R31,1,0,$Q29-2),($L29+1)&amp;"$",OFFSET(U31,1,0,$Q29-2)))</f>
        <v>0</v>
      </c>
      <c r="V31" s="223">
        <f ca="1">IF($Q29=2,IF(AND(ACOMPANHAMENTO="PLE",ISNUMBER($E29)),SUMIF((OFFSET(CÁLCULO!$AM$15:$AW$15,$E29,0,OFFSET(ORÇAMENTO!$D$15,CRONO!$E29,0))),"="&amp;CRONO!V$12,OFFSET(CÁLCULO!$AB$15:$AL$15,$E29,0,OFFSET(ORÇAMENTO!$D$15,CRONO!$E29,0)))+IF(AND($E31&lt;&gt;"",$E31&lt;&gt;0),SUMIF(CÁLCULO!$AM$15:$AW$747,"="&amp;CRONO!V$12,CÁLCULO!$AB$15:$AL$747)/(ORÇAMENTO!$X$15-CÁLCULO.TotalAdmLocal)*CRONO!$E31,0),V30*$R29),SUMIF(OFFSET($R31,1,0,$Q29-2),($L29+1)&amp;"$",OFFSET(V31,1,0,$Q29-2)))</f>
        <v>0</v>
      </c>
      <c r="W31" s="223">
        <f ca="1">IF($Q29=2,IF(AND(ACOMPANHAMENTO="PLE",ISNUMBER($E29)),SUMIF((OFFSET(CÁLCULO!$AM$15:$AW$15,$E29,0,OFFSET(ORÇAMENTO!$D$15,CRONO!$E29,0))),"="&amp;CRONO!W$12,OFFSET(CÁLCULO!$AB$15:$AL$15,$E29,0,OFFSET(ORÇAMENTO!$D$15,CRONO!$E29,0)))+IF(AND($E31&lt;&gt;"",$E31&lt;&gt;0),SUMIF(CÁLCULO!$AM$15:$AW$747,"="&amp;CRONO!W$12,CÁLCULO!$AB$15:$AL$747)/(ORÇAMENTO!$X$15-CÁLCULO.TotalAdmLocal)*CRONO!$E31,0),W30*$R29),SUMIF(OFFSET($R31,1,0,$Q29-2),($L29+1)&amp;"$",OFFSET(W31,1,0,$Q29-2)))</f>
        <v>0</v>
      </c>
      <c r="X31" s="223">
        <f ca="1">IF($Q29=2,IF(AND(ACOMPANHAMENTO="PLE",ISNUMBER($E29)),SUMIF((OFFSET(CÁLCULO!$AM$15:$AW$15,$E29,0,OFFSET(ORÇAMENTO!$D$15,CRONO!$E29,0))),"="&amp;CRONO!X$12,OFFSET(CÁLCULO!$AB$15:$AL$15,$E29,0,OFFSET(ORÇAMENTO!$D$15,CRONO!$E29,0)))+IF(AND($E31&lt;&gt;"",$E31&lt;&gt;0),SUMIF(CÁLCULO!$AM$15:$AW$747,"="&amp;CRONO!X$12,CÁLCULO!$AB$15:$AL$747)/(ORÇAMENTO!$X$15-CÁLCULO.TotalAdmLocal)*CRONO!$E31,0),X30*$R29),SUMIF(OFFSET($R31,1,0,$Q29-2),($L29+1)&amp;"$",OFFSET(X31,1,0,$Q29-2)))</f>
        <v>0</v>
      </c>
      <c r="Y31" s="223">
        <f ca="1">IF($Q29=2,IF(AND(ACOMPANHAMENTO="PLE",ISNUMBER($E29)),SUMIF((OFFSET(CÁLCULO!$AM$15:$AW$15,$E29,0,OFFSET(ORÇAMENTO!$D$15,CRONO!$E29,0))),"="&amp;CRONO!Y$12,OFFSET(CÁLCULO!$AB$15:$AL$15,$E29,0,OFFSET(ORÇAMENTO!$D$15,CRONO!$E29,0)))+IF(AND($E31&lt;&gt;"",$E31&lt;&gt;0),SUMIF(CÁLCULO!$AM$15:$AW$747,"="&amp;CRONO!Y$12,CÁLCULO!$AB$15:$AL$747)/(ORÇAMENTO!$X$15-CÁLCULO.TotalAdmLocal)*CRONO!$E31,0),Y30*$R29),SUMIF(OFFSET($R31,1,0,$Q29-2),($L29+1)&amp;"$",OFFSET(Y31,1,0,$Q29-2)))</f>
        <v>0</v>
      </c>
      <c r="Z31" s="223">
        <f ca="1">IF($Q29=2,IF(AND(ACOMPANHAMENTO="PLE",ISNUMBER($E29)),SUMIF((OFFSET(CÁLCULO!$AM$15:$AW$15,$E29,0,OFFSET(ORÇAMENTO!$D$15,CRONO!$E29,0))),"="&amp;CRONO!Z$12,OFFSET(CÁLCULO!$AB$15:$AL$15,$E29,0,OFFSET(ORÇAMENTO!$D$15,CRONO!$E29,0)))+IF(AND($E31&lt;&gt;"",$E31&lt;&gt;0),SUMIF(CÁLCULO!$AM$15:$AW$747,"="&amp;CRONO!Z$12,CÁLCULO!$AB$15:$AL$747)/(ORÇAMENTO!$X$15-CÁLCULO.TotalAdmLocal)*CRONO!$E31,0),Z30*$R29),SUMIF(OFFSET($R31,1,0,$Q29-2),($L29+1)&amp;"$",OFFSET(Z31,1,0,$Q29-2)))</f>
        <v>0</v>
      </c>
      <c r="AA31" s="223">
        <f ca="1">IF($Q29=2,IF(AND(ACOMPANHAMENTO="PLE",ISNUMBER($E29)),SUMIF((OFFSET(CÁLCULO!$AM$15:$AW$15,$E29,0,OFFSET(ORÇAMENTO!$D$15,CRONO!$E29,0))),"="&amp;CRONO!AA$12,OFFSET(CÁLCULO!$AB$15:$AL$15,$E29,0,OFFSET(ORÇAMENTO!$D$15,CRONO!$E29,0)))+IF(AND($E31&lt;&gt;"",$E31&lt;&gt;0),SUMIF(CÁLCULO!$AM$15:$AW$747,"="&amp;CRONO!AA$12,CÁLCULO!$AB$15:$AL$747)/(ORÇAMENTO!$X$15-CÁLCULO.TotalAdmLocal)*CRONO!$E31,0),AA30*$R29),SUMIF(OFFSET($R31,1,0,$Q29-2),($L29+1)&amp;"$",OFFSET(AA31,1,0,$Q29-2)))</f>
        <v>0</v>
      </c>
      <c r="AB31" s="223">
        <f ca="1">IF($Q29=2,IF(AND(ACOMPANHAMENTO="PLE",ISNUMBER($E29)),SUMIF((OFFSET(CÁLCULO!$AM$15:$AW$15,$E29,0,OFFSET(ORÇAMENTO!$D$15,CRONO!$E29,0))),"="&amp;CRONO!AB$12,OFFSET(CÁLCULO!$AB$15:$AL$15,$E29,0,OFFSET(ORÇAMENTO!$D$15,CRONO!$E29,0)))+IF(AND($E31&lt;&gt;"",$E31&lt;&gt;0),SUMIF(CÁLCULO!$AM$15:$AW$747,"="&amp;CRONO!AB$12,CÁLCULO!$AB$15:$AL$747)/(ORÇAMENTO!$X$15-CÁLCULO.TotalAdmLocal)*CRONO!$E31,0),AB30*$R29),SUMIF(OFFSET($R31,1,0,$Q29-2),($L29+1)&amp;"$",OFFSET(AB31,1,0,$Q29-2)))</f>
        <v>0</v>
      </c>
      <c r="AC31" s="223">
        <f ca="1">IF($Q29=2,IF(AND(ACOMPANHAMENTO="PLE",ISNUMBER($E29)),SUMIF((OFFSET(CÁLCULO!$AM$15:$AW$15,$E29,0,OFFSET(ORÇAMENTO!$D$15,CRONO!$E29,0))),"="&amp;CRONO!AC$12,OFFSET(CÁLCULO!$AB$15:$AL$15,$E29,0,OFFSET(ORÇAMENTO!$D$15,CRONO!$E29,0)))+IF(AND($E31&lt;&gt;"",$E31&lt;&gt;0),SUMIF(CÁLCULO!$AM$15:$AW$747,"="&amp;CRONO!AC$12,CÁLCULO!$AB$15:$AL$747)/(ORÇAMENTO!$X$15-CÁLCULO.TotalAdmLocal)*CRONO!$E31,0),AC30*$R29),SUMIF(OFFSET($R31,1,0,$Q29-2),($L29+1)&amp;"$",OFFSET(AC31,1,0,$Q29-2)))</f>
        <v>0</v>
      </c>
      <c r="AD31" s="223">
        <f ca="1">IF($Q29=2,IF(AND(ACOMPANHAMENTO="PLE",ISNUMBER($E29)),SUMIF((OFFSET(CÁLCULO!$AM$15:$AW$15,$E29,0,OFFSET(ORÇAMENTO!$D$15,CRONO!$E29,0))),"="&amp;CRONO!AD$12,OFFSET(CÁLCULO!$AB$15:$AL$15,$E29,0,OFFSET(ORÇAMENTO!$D$15,CRONO!$E29,0)))+IF(AND($E31&lt;&gt;"",$E31&lt;&gt;0),SUMIF(CÁLCULO!$AM$15:$AW$747,"="&amp;CRONO!AD$12,CÁLCULO!$AB$15:$AL$747)/(ORÇAMENTO!$X$15-CÁLCULO.TotalAdmLocal)*CRONO!$E31,0),AD30*$R29),SUMIF(OFFSET($R31,1,0,$Q29-2),($L29+1)&amp;"$",OFFSET(AD31,1,0,$Q29-2)))</f>
        <v>0</v>
      </c>
      <c r="AE31" s="228">
        <f ca="1">IF($Q29=2,IF(AND(ACOMPANHAMENTO="PLE",ISNUMBER($E29)),SUMIF((OFFSET(CÁLCULO!$AM$15:$AW$15,$E29,0,OFFSET(ORÇAMENTO!$D$15,CRONO!$E29,0))),"="&amp;CRONO!AE$12,OFFSET(CÁLCULO!$AB$15:$AL$15,$E29,0,OFFSET(ORÇAMENTO!$D$15,CRONO!$E29,0)))+IF(AND($E31&lt;&gt;"",$E31&lt;&gt;0),SUMIF(CÁLCULO!$AM$15:$AW$747,"="&amp;CRONO!AE$12,CÁLCULO!$AB$15:$AL$747)/(ORÇAMENTO!$X$15-CÁLCULO.TotalAdmLocal)*CRONO!$E31,0),AE30*$R29),SUMIF(OFFSET($R31,1,0,$Q29-2),($L29+1)&amp;"$",OFFSET(AE31,1,0,$Q29-2)))</f>
        <v>0</v>
      </c>
    </row>
    <row r="32" spans="1:32" x14ac:dyDescent="0.2">
      <c r="A32" s="204">
        <f t="shared" ref="A32" ca="1" si="45">OFFSET(A32,-3,0)+1</f>
        <v>7</v>
      </c>
      <c r="B32" s="204">
        <f ca="1">IF($Q32&lt;&gt;2,0,IF($R32=0,1,IF(E33&gt;0,OFFSET(QCI!$M$13,SUBSTITUTE(E33,".",""),0),OFFSET(ORÇAMENTO!$AA$15,CRONO!$E32,0))/$R32))</f>
        <v>1</v>
      </c>
      <c r="C32" s="204">
        <f ca="1">IF($Q32&lt;&gt;2,0,IF($R32=0,1,IF(E33&gt;0,OFFSET(QCI!$N$13,SUBSTITUTE(E33,".",""),0),OFFSET(ORÇAMENTO!$AB$15,CRONO!$E32,0))/$R32))</f>
        <v>1</v>
      </c>
      <c r="D32" s="207">
        <f ca="1">IF(AND($Q32=2,ACOMPANHAMENTO="BM"),D33,D34/$R32)</f>
        <v>0</v>
      </c>
      <c r="E32" s="204">
        <f ca="1">IF(A32&lt;=ORÇAMENTO.MáximoListaCrono,MATCH(A32,ORÇAMENTO.ListaCrono,0),NA())</f>
        <v>108</v>
      </c>
      <c r="F32" s="204" t="str">
        <f t="shared" ref="F32" ca="1" si="46">IF(AND($E33&lt;&gt;-1,$R32&gt;0),"F","")</f>
        <v/>
      </c>
      <c r="G32" s="208" t="str">
        <f ca="1">IF(OR(R32=0,R32=""),"Linha",IF(AND(OR(ACOMPANHAMENTO="PLE",$Q32&lt;&gt;2),$E33=0),"Linha",1-SUM(T32:AF32)))</f>
        <v>Linha</v>
      </c>
      <c r="H32" s="209" t="str">
        <f ca="1">IF($E33=0,OFFSET(ORÇAMENTO!O$15,$E32,0),IF($E33&lt;&gt;-1,OFFSET(QCI!$D$13,$E33,0),""))</f>
        <v>1.6.</v>
      </c>
      <c r="I32" s="210" t="str">
        <f ca="1">IF($E33=0,OFFSET(ORÇAMENTO!R$15,$E32,0),IF($E33&lt;&gt;-1,OFFSET(QCI!$G$13,$E33,0),""))</f>
        <v>ESQUADRIAS</v>
      </c>
      <c r="J32" s="210"/>
      <c r="K32" s="210"/>
      <c r="L32" s="211">
        <f ca="1">IF($E33=0,OFFSET(ORÇAMENTO!C$15,$E32,0),1)</f>
        <v>2</v>
      </c>
      <c r="M32" s="212">
        <f ca="1">IF($E33=-1,0,IF(M$13&lt;=$L32,IF(ISERROR(MATCH(M$13,OFFSET($L32,1,0,ROW($L$89)-ROW($L32)-1),0)),ROW($L$89)-ROW($L32)-1,MATCH(M$13,OFFSET($L32,1,0,ROW($L$89)-ROW($L32)-1),0)-1),0))</f>
        <v>56</v>
      </c>
      <c r="N32" s="212">
        <f ca="1">IF($E33=-1,0,IF(N$13&lt;=$L32,IF(ISERROR(MATCH(N$13,OFFSET($L32,1,0,ROW($L$89)-ROW($L32)-1),0)),ROW($L$89)-ROW($L32)-1,MATCH(N$13,OFFSET($L32,1,0,ROW($L$89)-ROW($L32)-1),0)-1),0))</f>
        <v>2</v>
      </c>
      <c r="O32" s="212">
        <f ca="1">IF($E33=-1,0,IF(O$13&lt;=$L32,IF(ISERROR(MATCH(O$13,OFFSET($L32,1,0,ROW($L$89)-ROW($L32)-1),0)),ROW($L$89)-ROW($L32)-1,MATCH(O$13,OFFSET($L32,1,0,ROW($L$89)-ROW($L32)-1),0)-1),0))</f>
        <v>0</v>
      </c>
      <c r="P32" s="212">
        <f ca="1">IF($E33=-1,0,IF(P$13&lt;=$L32,IF(ISERROR(MATCH(P$13,OFFSET($L32,1,0,ROW($L$89)-ROW($L32)-1),0)),ROW($L$89)-ROW($L32)-1,MATCH(P$13,OFFSET($L32,1,0,ROW($L$89)-ROW($L32)-1),0)-1),0))</f>
        <v>0</v>
      </c>
      <c r="Q32" s="212">
        <f t="shared" ref="Q32" ca="1" si="47">MIN(OFFSET(L32,0,1,,L32))</f>
        <v>2</v>
      </c>
      <c r="R32" s="213">
        <f ca="1">IF($E33=0,OFFSET(ORÇAMENTO!X$15,$E32,0),IF($E33&lt;&gt;-1,OFFSET(QCI!$O$13,$E33,0),""))</f>
        <v>0</v>
      </c>
      <c r="S32" s="214" t="s">
        <v>270</v>
      </c>
      <c r="T32" s="215">
        <f t="shared" ref="T32:AE32" ca="1" si="48">IF(AND($Q32=2,ACOMPANHAMENTO="BM"),T33,T34/$R32)</f>
        <v>0</v>
      </c>
      <c r="U32" s="207">
        <f t="shared" ca="1" si="48"/>
        <v>0</v>
      </c>
      <c r="V32" s="207">
        <f t="shared" ca="1" si="48"/>
        <v>0</v>
      </c>
      <c r="W32" s="207">
        <f t="shared" ca="1" si="48"/>
        <v>0</v>
      </c>
      <c r="X32" s="207">
        <f t="shared" ca="1" si="48"/>
        <v>0.1</v>
      </c>
      <c r="Y32" s="207">
        <f t="shared" ca="1" si="48"/>
        <v>0.4</v>
      </c>
      <c r="Z32" s="207">
        <f t="shared" ca="1" si="48"/>
        <v>0.3</v>
      </c>
      <c r="AA32" s="207">
        <f t="shared" ca="1" si="48"/>
        <v>0.2</v>
      </c>
      <c r="AB32" s="207">
        <f t="shared" ca="1" si="48"/>
        <v>0</v>
      </c>
      <c r="AC32" s="207">
        <f t="shared" ca="1" si="48"/>
        <v>0</v>
      </c>
      <c r="AD32" s="207">
        <f t="shared" ca="1" si="48"/>
        <v>0</v>
      </c>
      <c r="AE32" s="216">
        <f t="shared" ca="1" si="48"/>
        <v>0</v>
      </c>
    </row>
    <row r="33" spans="1:32" ht="12.75" customHeight="1" x14ac:dyDescent="0.2">
      <c r="D33" s="569"/>
      <c r="E33" s="204">
        <f ca="1">IF(ISERROR(E32),IF(1+COUNTIF($L$13:OFFSET(L32,-1,0),1)&lt;=MAX(QCI!$D$13:$D$24),1+COUNTIF($L$13:OFFSET(L32,-1,0),1),-1),0)</f>
        <v>0</v>
      </c>
      <c r="F33" s="204" t="str">
        <f t="shared" ref="F33" ca="1" si="49">IF(AND($E33&lt;&gt;-1,$R32&gt;0),"F","")</f>
        <v/>
      </c>
      <c r="G33" s="217" t="str">
        <f ca="1">IF(OR(R32=0,R32=""),"vazia",IF(AND(OR(ACOMPANHAMENTO="PLE",$Q32&lt;&gt;2),$E33=0),"calculada","--&gt;"))</f>
        <v>vazia</v>
      </c>
      <c r="H33" s="218"/>
      <c r="I33" s="219" t="str">
        <f t="shared" ref="I33" ca="1" si="50">IF(AND(G32&lt;&gt;0,ISNUMBER(G32)),"PREENCHA ESTA LINHA --&gt;","")</f>
        <v/>
      </c>
      <c r="J33" s="219"/>
      <c r="K33" s="219"/>
      <c r="L33" s="220"/>
      <c r="M33" s="220"/>
      <c r="N33" s="220"/>
      <c r="O33" s="220"/>
      <c r="P33" s="220"/>
      <c r="Q33" s="220"/>
      <c r="R33" s="221"/>
      <c r="S33" s="222"/>
      <c r="T33" s="570"/>
      <c r="U33" s="569"/>
      <c r="V33" s="569"/>
      <c r="W33" s="569"/>
      <c r="X33" s="569">
        <v>0.1</v>
      </c>
      <c r="Y33" s="569">
        <v>0.4</v>
      </c>
      <c r="Z33" s="569">
        <v>0.3</v>
      </c>
      <c r="AA33" s="569">
        <v>0.2</v>
      </c>
      <c r="AB33" s="569"/>
      <c r="AC33" s="569"/>
      <c r="AD33" s="569"/>
      <c r="AE33" s="571"/>
      <c r="AF33" s="533"/>
    </row>
    <row r="34" spans="1:32" ht="0.2" hidden="1" customHeight="1" x14ac:dyDescent="0.2">
      <c r="D34" s="223">
        <f ca="1">IF($Q32=2,IF(AND(ACOMPANHAMENTO="PLE",ISNUMBER($E32)),SUMIF((OFFSET(CÁLCULO!$AM$15:$AW$15,$E32,0,OFFSET(ORÇAMENTO!$D$15,CRONO!$E32,0))),"="&amp;CRONO!D$12,OFFSET(CÁLCULO!$AB$15:$AL$15,$E32,0,OFFSET(ORÇAMENTO!$D$15,CRONO!$E32,0)))+IF(AND($E34&lt;&gt;"",$E34&lt;&gt;0),SUMIF(CÁLCULO!$AM$15:$AW$747,"="&amp;CRONO!D$12,CÁLCULO!$AB$15:$AL$747)/(ORÇAMENTO!$X$15-CÁLCULO.TotalAdmLocal)*CRONO!$E34,0),D33*$R32),SUMIF(OFFSET($R34,1,0,$Q32-2),($L32+1)&amp;"$",OFFSET(D34,1,0,$Q32-2)))</f>
        <v>0</v>
      </c>
      <c r="E34" s="204" t="str">
        <f ca="1">IF(OR($Q32&lt;&gt;2,AUTOEVENTO&lt;&gt;"manual",$E33&gt;0),"",SUMIF(OFFSET(CÁLCULO!$M$15,CRONO!$E32,0,OFFSET(ORÇAMENTO!$D$15,CRONO!$E32,0)),1,OFFSET(ORÇAMENTO!$X$15,CRONO!$E32,0,OFFSET(ORÇAMENTO!$D$15,CRONO!$E32,0))))</f>
        <v/>
      </c>
      <c r="G34" s="224"/>
      <c r="R34" s="225" t="str">
        <f t="shared" ref="R34" ca="1" si="51">L32&amp;"$"</f>
        <v>2$</v>
      </c>
      <c r="S34" s="226"/>
      <c r="T34" s="227">
        <f ca="1">IF($Q32=2,IF(AND(ACOMPANHAMENTO="PLE",ISNUMBER($E32)),SUMIF((OFFSET(CÁLCULO!$AM$15:$AW$15,$E32,0,OFFSET(ORÇAMENTO!$D$15,CRONO!$E32,0))),"&lt;="&amp;CRONO!T$12,OFFSET(CÁLCULO!$AB$15:$AL$15,$E32,0,OFFSET(ORÇAMENTO!$D$15,CRONO!$E32,0)))+IF(AND($E34&lt;&gt;"",$E34&lt;&gt;0),SUMIF(CÁLCULO!$AM$15:$AW$747,"&lt;="&amp;CRONO!T$12,CÁLCULO!$AB$15:$AL$747)/(ORÇAMENTO!$X$15-CÁLCULO.TotalAdmLocal)*CRONO!$E34,0),T33*$R32),SUMIF(OFFSET($R34,1,0,$Q32-2),($L32+1)&amp;"$",OFFSET(T34,1,0,$Q32-2)))</f>
        <v>0</v>
      </c>
      <c r="U34" s="223">
        <f ca="1">IF($Q32=2,IF(AND(ACOMPANHAMENTO="PLE",ISNUMBER($E32)),SUMIF((OFFSET(CÁLCULO!$AM$15:$AW$15,$E32,0,OFFSET(ORÇAMENTO!$D$15,CRONO!$E32,0))),"="&amp;CRONO!U$12,OFFSET(CÁLCULO!$AB$15:$AL$15,$E32,0,OFFSET(ORÇAMENTO!$D$15,CRONO!$E32,0)))+IF(AND($E34&lt;&gt;"",$E34&lt;&gt;0),SUMIF(CÁLCULO!$AM$15:$AW$747,"="&amp;CRONO!U$12,CÁLCULO!$AB$15:$AL$747)/(ORÇAMENTO!$X$15-CÁLCULO.TotalAdmLocal)*CRONO!$E34,0),U33*$R32),SUMIF(OFFSET($R34,1,0,$Q32-2),($L32+1)&amp;"$",OFFSET(U34,1,0,$Q32-2)))</f>
        <v>0</v>
      </c>
      <c r="V34" s="223">
        <f ca="1">IF($Q32=2,IF(AND(ACOMPANHAMENTO="PLE",ISNUMBER($E32)),SUMIF((OFFSET(CÁLCULO!$AM$15:$AW$15,$E32,0,OFFSET(ORÇAMENTO!$D$15,CRONO!$E32,0))),"="&amp;CRONO!V$12,OFFSET(CÁLCULO!$AB$15:$AL$15,$E32,0,OFFSET(ORÇAMENTO!$D$15,CRONO!$E32,0)))+IF(AND($E34&lt;&gt;"",$E34&lt;&gt;0),SUMIF(CÁLCULO!$AM$15:$AW$747,"="&amp;CRONO!V$12,CÁLCULO!$AB$15:$AL$747)/(ORÇAMENTO!$X$15-CÁLCULO.TotalAdmLocal)*CRONO!$E34,0),V33*$R32),SUMIF(OFFSET($R34,1,0,$Q32-2),($L32+1)&amp;"$",OFFSET(V34,1,0,$Q32-2)))</f>
        <v>0</v>
      </c>
      <c r="W34" s="223">
        <f ca="1">IF($Q32=2,IF(AND(ACOMPANHAMENTO="PLE",ISNUMBER($E32)),SUMIF((OFFSET(CÁLCULO!$AM$15:$AW$15,$E32,0,OFFSET(ORÇAMENTO!$D$15,CRONO!$E32,0))),"="&amp;CRONO!W$12,OFFSET(CÁLCULO!$AB$15:$AL$15,$E32,0,OFFSET(ORÇAMENTO!$D$15,CRONO!$E32,0)))+IF(AND($E34&lt;&gt;"",$E34&lt;&gt;0),SUMIF(CÁLCULO!$AM$15:$AW$747,"="&amp;CRONO!W$12,CÁLCULO!$AB$15:$AL$747)/(ORÇAMENTO!$X$15-CÁLCULO.TotalAdmLocal)*CRONO!$E34,0),W33*$R32),SUMIF(OFFSET($R34,1,0,$Q32-2),($L32+1)&amp;"$",OFFSET(W34,1,0,$Q32-2)))</f>
        <v>0</v>
      </c>
      <c r="X34" s="223">
        <f ca="1">IF($Q32=2,IF(AND(ACOMPANHAMENTO="PLE",ISNUMBER($E32)),SUMIF((OFFSET(CÁLCULO!$AM$15:$AW$15,$E32,0,OFFSET(ORÇAMENTO!$D$15,CRONO!$E32,0))),"="&amp;CRONO!X$12,OFFSET(CÁLCULO!$AB$15:$AL$15,$E32,0,OFFSET(ORÇAMENTO!$D$15,CRONO!$E32,0)))+IF(AND($E34&lt;&gt;"",$E34&lt;&gt;0),SUMIF(CÁLCULO!$AM$15:$AW$747,"="&amp;CRONO!X$12,CÁLCULO!$AB$15:$AL$747)/(ORÇAMENTO!$X$15-CÁLCULO.TotalAdmLocal)*CRONO!$E34,0),X33*$R32),SUMIF(OFFSET($R34,1,0,$Q32-2),($L32+1)&amp;"$",OFFSET(X34,1,0,$Q32-2)))</f>
        <v>0</v>
      </c>
      <c r="Y34" s="223">
        <f ca="1">IF($Q32=2,IF(AND(ACOMPANHAMENTO="PLE",ISNUMBER($E32)),SUMIF((OFFSET(CÁLCULO!$AM$15:$AW$15,$E32,0,OFFSET(ORÇAMENTO!$D$15,CRONO!$E32,0))),"="&amp;CRONO!Y$12,OFFSET(CÁLCULO!$AB$15:$AL$15,$E32,0,OFFSET(ORÇAMENTO!$D$15,CRONO!$E32,0)))+IF(AND($E34&lt;&gt;"",$E34&lt;&gt;0),SUMIF(CÁLCULO!$AM$15:$AW$747,"="&amp;CRONO!Y$12,CÁLCULO!$AB$15:$AL$747)/(ORÇAMENTO!$X$15-CÁLCULO.TotalAdmLocal)*CRONO!$E34,0),Y33*$R32),SUMIF(OFFSET($R34,1,0,$Q32-2),($L32+1)&amp;"$",OFFSET(Y34,1,0,$Q32-2)))</f>
        <v>0</v>
      </c>
      <c r="Z34" s="223">
        <f ca="1">IF($Q32=2,IF(AND(ACOMPANHAMENTO="PLE",ISNUMBER($E32)),SUMIF((OFFSET(CÁLCULO!$AM$15:$AW$15,$E32,0,OFFSET(ORÇAMENTO!$D$15,CRONO!$E32,0))),"="&amp;CRONO!Z$12,OFFSET(CÁLCULO!$AB$15:$AL$15,$E32,0,OFFSET(ORÇAMENTO!$D$15,CRONO!$E32,0)))+IF(AND($E34&lt;&gt;"",$E34&lt;&gt;0),SUMIF(CÁLCULO!$AM$15:$AW$747,"="&amp;CRONO!Z$12,CÁLCULO!$AB$15:$AL$747)/(ORÇAMENTO!$X$15-CÁLCULO.TotalAdmLocal)*CRONO!$E34,0),Z33*$R32),SUMIF(OFFSET($R34,1,0,$Q32-2),($L32+1)&amp;"$",OFFSET(Z34,1,0,$Q32-2)))</f>
        <v>0</v>
      </c>
      <c r="AA34" s="223">
        <f ca="1">IF($Q32=2,IF(AND(ACOMPANHAMENTO="PLE",ISNUMBER($E32)),SUMIF((OFFSET(CÁLCULO!$AM$15:$AW$15,$E32,0,OFFSET(ORÇAMENTO!$D$15,CRONO!$E32,0))),"="&amp;CRONO!AA$12,OFFSET(CÁLCULO!$AB$15:$AL$15,$E32,0,OFFSET(ORÇAMENTO!$D$15,CRONO!$E32,0)))+IF(AND($E34&lt;&gt;"",$E34&lt;&gt;0),SUMIF(CÁLCULO!$AM$15:$AW$747,"="&amp;CRONO!AA$12,CÁLCULO!$AB$15:$AL$747)/(ORÇAMENTO!$X$15-CÁLCULO.TotalAdmLocal)*CRONO!$E34,0),AA33*$R32),SUMIF(OFFSET($R34,1,0,$Q32-2),($L32+1)&amp;"$",OFFSET(AA34,1,0,$Q32-2)))</f>
        <v>0</v>
      </c>
      <c r="AB34" s="223">
        <f ca="1">IF($Q32=2,IF(AND(ACOMPANHAMENTO="PLE",ISNUMBER($E32)),SUMIF((OFFSET(CÁLCULO!$AM$15:$AW$15,$E32,0,OFFSET(ORÇAMENTO!$D$15,CRONO!$E32,0))),"="&amp;CRONO!AB$12,OFFSET(CÁLCULO!$AB$15:$AL$15,$E32,0,OFFSET(ORÇAMENTO!$D$15,CRONO!$E32,0)))+IF(AND($E34&lt;&gt;"",$E34&lt;&gt;0),SUMIF(CÁLCULO!$AM$15:$AW$747,"="&amp;CRONO!AB$12,CÁLCULO!$AB$15:$AL$747)/(ORÇAMENTO!$X$15-CÁLCULO.TotalAdmLocal)*CRONO!$E34,0),AB33*$R32),SUMIF(OFFSET($R34,1,0,$Q32-2),($L32+1)&amp;"$",OFFSET(AB34,1,0,$Q32-2)))</f>
        <v>0</v>
      </c>
      <c r="AC34" s="223">
        <f ca="1">IF($Q32=2,IF(AND(ACOMPANHAMENTO="PLE",ISNUMBER($E32)),SUMIF((OFFSET(CÁLCULO!$AM$15:$AW$15,$E32,0,OFFSET(ORÇAMENTO!$D$15,CRONO!$E32,0))),"="&amp;CRONO!AC$12,OFFSET(CÁLCULO!$AB$15:$AL$15,$E32,0,OFFSET(ORÇAMENTO!$D$15,CRONO!$E32,0)))+IF(AND($E34&lt;&gt;"",$E34&lt;&gt;0),SUMIF(CÁLCULO!$AM$15:$AW$747,"="&amp;CRONO!AC$12,CÁLCULO!$AB$15:$AL$747)/(ORÇAMENTO!$X$15-CÁLCULO.TotalAdmLocal)*CRONO!$E34,0),AC33*$R32),SUMIF(OFFSET($R34,1,0,$Q32-2),($L32+1)&amp;"$",OFFSET(AC34,1,0,$Q32-2)))</f>
        <v>0</v>
      </c>
      <c r="AD34" s="223">
        <f ca="1">IF($Q32=2,IF(AND(ACOMPANHAMENTO="PLE",ISNUMBER($E32)),SUMIF((OFFSET(CÁLCULO!$AM$15:$AW$15,$E32,0,OFFSET(ORÇAMENTO!$D$15,CRONO!$E32,0))),"="&amp;CRONO!AD$12,OFFSET(CÁLCULO!$AB$15:$AL$15,$E32,0,OFFSET(ORÇAMENTO!$D$15,CRONO!$E32,0)))+IF(AND($E34&lt;&gt;"",$E34&lt;&gt;0),SUMIF(CÁLCULO!$AM$15:$AW$747,"="&amp;CRONO!AD$12,CÁLCULO!$AB$15:$AL$747)/(ORÇAMENTO!$X$15-CÁLCULO.TotalAdmLocal)*CRONO!$E34,0),AD33*$R32),SUMIF(OFFSET($R34,1,0,$Q32-2),($L32+1)&amp;"$",OFFSET(AD34,1,0,$Q32-2)))</f>
        <v>0</v>
      </c>
      <c r="AE34" s="228">
        <f ca="1">IF($Q32=2,IF(AND(ACOMPANHAMENTO="PLE",ISNUMBER($E32)),SUMIF((OFFSET(CÁLCULO!$AM$15:$AW$15,$E32,0,OFFSET(ORÇAMENTO!$D$15,CRONO!$E32,0))),"="&amp;CRONO!AE$12,OFFSET(CÁLCULO!$AB$15:$AL$15,$E32,0,OFFSET(ORÇAMENTO!$D$15,CRONO!$E32,0)))+IF(AND($E34&lt;&gt;"",$E34&lt;&gt;0),SUMIF(CÁLCULO!$AM$15:$AW$747,"="&amp;CRONO!AE$12,CÁLCULO!$AB$15:$AL$747)/(ORÇAMENTO!$X$15-CÁLCULO.TotalAdmLocal)*CRONO!$E34,0),AE33*$R32),SUMIF(OFFSET($R34,1,0,$Q32-2),($L32+1)&amp;"$",OFFSET(AE34,1,0,$Q32-2)))</f>
        <v>0</v>
      </c>
    </row>
    <row r="35" spans="1:32" x14ac:dyDescent="0.2">
      <c r="A35" s="204">
        <f t="shared" ref="A35" ca="1" si="52">OFFSET(A35,-3,0)+1</f>
        <v>8</v>
      </c>
      <c r="B35" s="204">
        <f ca="1">IF($Q35&lt;&gt;2,0,IF($R35=0,1,IF(E36&gt;0,OFFSET(QCI!$M$13,SUBSTITUTE(E36,".",""),0),OFFSET(ORÇAMENTO!$AA$15,CRONO!$E35,0))/$R35))</f>
        <v>1</v>
      </c>
      <c r="C35" s="204">
        <f ca="1">IF($Q35&lt;&gt;2,0,IF($R35=0,1,IF(E36&gt;0,OFFSET(QCI!$N$13,SUBSTITUTE(E36,".",""),0),OFFSET(ORÇAMENTO!$AB$15,CRONO!$E35,0))/$R35))</f>
        <v>1</v>
      </c>
      <c r="D35" s="207">
        <f ca="1">IF(AND($Q35=2,ACOMPANHAMENTO="BM"),D36,D37/$R35)</f>
        <v>0</v>
      </c>
      <c r="E35" s="204">
        <f ca="1">IF(A35&lt;=ORÇAMENTO.MáximoListaCrono,MATCH(A35,ORÇAMENTO.ListaCrono,0),NA())</f>
        <v>162</v>
      </c>
      <c r="F35" s="204" t="str">
        <f t="shared" ref="F35" ca="1" si="53">IF(AND($E36&lt;&gt;-1,$R35&gt;0),"F","")</f>
        <v/>
      </c>
      <c r="G35" s="208" t="str">
        <f ca="1">IF(OR(R35=0,R35=""),"Linha",IF(AND(OR(ACOMPANHAMENTO="PLE",$Q35&lt;&gt;2),$E36=0),"Linha",1-SUM(T35:AF35)))</f>
        <v>Linha</v>
      </c>
      <c r="H35" s="209" t="str">
        <f ca="1">IF($E36=0,OFFSET(ORÇAMENTO!O$15,$E35,0),IF($E36&lt;&gt;-1,OFFSET(QCI!$D$13,$E36,0),""))</f>
        <v>1.7.</v>
      </c>
      <c r="I35" s="210" t="str">
        <f ca="1">IF($E36=0,OFFSET(ORÇAMENTO!R$15,$E35,0),IF($E36&lt;&gt;-1,OFFSET(QCI!$G$13,$E36,0),""))</f>
        <v>SISTEMAS DE COBERTURA</v>
      </c>
      <c r="J35" s="210"/>
      <c r="K35" s="210"/>
      <c r="L35" s="211">
        <f ca="1">IF($E36=0,OFFSET(ORÇAMENTO!C$15,$E35,0),1)</f>
        <v>2</v>
      </c>
      <c r="M35" s="212">
        <f ca="1">IF($E36=-1,0,IF(M$13&lt;=$L35,IF(ISERROR(MATCH(M$13,OFFSET($L35,1,0,ROW($L$89)-ROW($L35)-1),0)),ROW($L$89)-ROW($L35)-1,MATCH(M$13,OFFSET($L35,1,0,ROW($L$89)-ROW($L35)-1),0)-1),0))</f>
        <v>53</v>
      </c>
      <c r="N35" s="212">
        <f ca="1">IF($E36=-1,0,IF(N$13&lt;=$L35,IF(ISERROR(MATCH(N$13,OFFSET($L35,1,0,ROW($L$89)-ROW($L35)-1),0)),ROW($L$89)-ROW($L35)-1,MATCH(N$13,OFFSET($L35,1,0,ROW($L$89)-ROW($L35)-1),0)-1),0))</f>
        <v>2</v>
      </c>
      <c r="O35" s="212">
        <f ca="1">IF($E36=-1,0,IF(O$13&lt;=$L35,IF(ISERROR(MATCH(O$13,OFFSET($L35,1,0,ROW($L$89)-ROW($L35)-1),0)),ROW($L$89)-ROW($L35)-1,MATCH(O$13,OFFSET($L35,1,0,ROW($L$89)-ROW($L35)-1),0)-1),0))</f>
        <v>0</v>
      </c>
      <c r="P35" s="212">
        <f ca="1">IF($E36=-1,0,IF(P$13&lt;=$L35,IF(ISERROR(MATCH(P$13,OFFSET($L35,1,0,ROW($L$89)-ROW($L35)-1),0)),ROW($L$89)-ROW($L35)-1,MATCH(P$13,OFFSET($L35,1,0,ROW($L$89)-ROW($L35)-1),0)-1),0))</f>
        <v>0</v>
      </c>
      <c r="Q35" s="212">
        <f t="shared" ref="Q35" ca="1" si="54">MIN(OFFSET(L35,0,1,,L35))</f>
        <v>2</v>
      </c>
      <c r="R35" s="213">
        <f ca="1">IF($E36=0,OFFSET(ORÇAMENTO!X$15,$E35,0),IF($E36&lt;&gt;-1,OFFSET(QCI!$O$13,$E36,0),""))</f>
        <v>0</v>
      </c>
      <c r="S35" s="214" t="s">
        <v>270</v>
      </c>
      <c r="T35" s="215">
        <f t="shared" ref="T35:AE35" ca="1" si="55">IF(AND($Q35=2,ACOMPANHAMENTO="BM"),T36,T37/$R35)</f>
        <v>0</v>
      </c>
      <c r="U35" s="207">
        <f t="shared" ca="1" si="55"/>
        <v>0</v>
      </c>
      <c r="V35" s="207">
        <f t="shared" ca="1" si="55"/>
        <v>0.25</v>
      </c>
      <c r="W35" s="207">
        <f t="shared" ca="1" si="55"/>
        <v>0.35</v>
      </c>
      <c r="X35" s="207">
        <f t="shared" ca="1" si="55"/>
        <v>0.25</v>
      </c>
      <c r="Y35" s="207">
        <f t="shared" ca="1" si="55"/>
        <v>0.15</v>
      </c>
      <c r="Z35" s="207">
        <f t="shared" ca="1" si="55"/>
        <v>0</v>
      </c>
      <c r="AA35" s="207">
        <f t="shared" ca="1" si="55"/>
        <v>0</v>
      </c>
      <c r="AB35" s="207">
        <f t="shared" ca="1" si="55"/>
        <v>0</v>
      </c>
      <c r="AC35" s="207">
        <f t="shared" ca="1" si="55"/>
        <v>0</v>
      </c>
      <c r="AD35" s="207">
        <f t="shared" ca="1" si="55"/>
        <v>0</v>
      </c>
      <c r="AE35" s="216">
        <f t="shared" ca="1" si="55"/>
        <v>0</v>
      </c>
    </row>
    <row r="36" spans="1:32" ht="12.75" customHeight="1" x14ac:dyDescent="0.2">
      <c r="D36" s="569"/>
      <c r="E36" s="204">
        <f ca="1">IF(ISERROR(E35),IF(1+COUNTIF($L$13:OFFSET(L35,-1,0),1)&lt;=MAX(QCI!$D$13:$D$24),1+COUNTIF($L$13:OFFSET(L35,-1,0),1),-1),0)</f>
        <v>0</v>
      </c>
      <c r="F36" s="204" t="str">
        <f t="shared" ref="F36" ca="1" si="56">IF(AND($E36&lt;&gt;-1,$R35&gt;0),"F","")</f>
        <v/>
      </c>
      <c r="G36" s="217" t="str">
        <f ca="1">IF(OR(R35=0,R35=""),"vazia",IF(AND(OR(ACOMPANHAMENTO="PLE",$Q35&lt;&gt;2),$E36=0),"calculada","--&gt;"))</f>
        <v>vazia</v>
      </c>
      <c r="H36" s="218"/>
      <c r="I36" s="219" t="str">
        <f t="shared" ref="I36" ca="1" si="57">IF(AND(G35&lt;&gt;0,ISNUMBER(G35)),"PREENCHA ESTA LINHA --&gt;","")</f>
        <v/>
      </c>
      <c r="J36" s="219"/>
      <c r="K36" s="219"/>
      <c r="L36" s="220"/>
      <c r="M36" s="220"/>
      <c r="N36" s="220"/>
      <c r="O36" s="220"/>
      <c r="P36" s="220"/>
      <c r="Q36" s="220"/>
      <c r="R36" s="221"/>
      <c r="S36" s="222"/>
      <c r="T36" s="570"/>
      <c r="U36" s="569"/>
      <c r="V36" s="569">
        <v>0.25</v>
      </c>
      <c r="W36" s="569">
        <v>0.35</v>
      </c>
      <c r="X36" s="569">
        <v>0.25</v>
      </c>
      <c r="Y36" s="569">
        <v>0.15</v>
      </c>
      <c r="Z36" s="569"/>
      <c r="AA36" s="569"/>
      <c r="AB36" s="569"/>
      <c r="AC36" s="569"/>
      <c r="AD36" s="569"/>
      <c r="AE36" s="571"/>
      <c r="AF36" s="533"/>
    </row>
    <row r="37" spans="1:32" ht="0.2" hidden="1" customHeight="1" x14ac:dyDescent="0.2">
      <c r="D37" s="223">
        <f ca="1">IF($Q35=2,IF(AND(ACOMPANHAMENTO="PLE",ISNUMBER($E35)),SUMIF((OFFSET(CÁLCULO!$AM$15:$AW$15,$E35,0,OFFSET(ORÇAMENTO!$D$15,CRONO!$E35,0))),"="&amp;CRONO!D$12,OFFSET(CÁLCULO!$AB$15:$AL$15,$E35,0,OFFSET(ORÇAMENTO!$D$15,CRONO!$E35,0)))+IF(AND($E37&lt;&gt;"",$E37&lt;&gt;0),SUMIF(CÁLCULO!$AM$15:$AW$747,"="&amp;CRONO!D$12,CÁLCULO!$AB$15:$AL$747)/(ORÇAMENTO!$X$15-CÁLCULO.TotalAdmLocal)*CRONO!$E37,0),D36*$R35),SUMIF(OFFSET($R37,1,0,$Q35-2),($L35+1)&amp;"$",OFFSET(D37,1,0,$Q35-2)))</f>
        <v>0</v>
      </c>
      <c r="E37" s="204" t="str">
        <f ca="1">IF(OR($Q35&lt;&gt;2,AUTOEVENTO&lt;&gt;"manual",$E36&gt;0),"",SUMIF(OFFSET(CÁLCULO!$M$15,CRONO!$E35,0,OFFSET(ORÇAMENTO!$D$15,CRONO!$E35,0)),1,OFFSET(ORÇAMENTO!$X$15,CRONO!$E35,0,OFFSET(ORÇAMENTO!$D$15,CRONO!$E35,0))))</f>
        <v/>
      </c>
      <c r="G37" s="224"/>
      <c r="R37" s="225" t="str">
        <f t="shared" ref="R37" ca="1" si="58">L35&amp;"$"</f>
        <v>2$</v>
      </c>
      <c r="S37" s="226"/>
      <c r="T37" s="227">
        <f ca="1">IF($Q35=2,IF(AND(ACOMPANHAMENTO="PLE",ISNUMBER($E35)),SUMIF((OFFSET(CÁLCULO!$AM$15:$AW$15,$E35,0,OFFSET(ORÇAMENTO!$D$15,CRONO!$E35,0))),"&lt;="&amp;CRONO!T$12,OFFSET(CÁLCULO!$AB$15:$AL$15,$E35,0,OFFSET(ORÇAMENTO!$D$15,CRONO!$E35,0)))+IF(AND($E37&lt;&gt;"",$E37&lt;&gt;0),SUMIF(CÁLCULO!$AM$15:$AW$747,"&lt;="&amp;CRONO!T$12,CÁLCULO!$AB$15:$AL$747)/(ORÇAMENTO!$X$15-CÁLCULO.TotalAdmLocal)*CRONO!$E37,0),T36*$R35),SUMIF(OFFSET($R37,1,0,$Q35-2),($L35+1)&amp;"$",OFFSET(T37,1,0,$Q35-2)))</f>
        <v>0</v>
      </c>
      <c r="U37" s="223">
        <f ca="1">IF($Q35=2,IF(AND(ACOMPANHAMENTO="PLE",ISNUMBER($E35)),SUMIF((OFFSET(CÁLCULO!$AM$15:$AW$15,$E35,0,OFFSET(ORÇAMENTO!$D$15,CRONO!$E35,0))),"="&amp;CRONO!U$12,OFFSET(CÁLCULO!$AB$15:$AL$15,$E35,0,OFFSET(ORÇAMENTO!$D$15,CRONO!$E35,0)))+IF(AND($E37&lt;&gt;"",$E37&lt;&gt;0),SUMIF(CÁLCULO!$AM$15:$AW$747,"="&amp;CRONO!U$12,CÁLCULO!$AB$15:$AL$747)/(ORÇAMENTO!$X$15-CÁLCULO.TotalAdmLocal)*CRONO!$E37,0),U36*$R35),SUMIF(OFFSET($R37,1,0,$Q35-2),($L35+1)&amp;"$",OFFSET(U37,1,0,$Q35-2)))</f>
        <v>0</v>
      </c>
      <c r="V37" s="223">
        <f ca="1">IF($Q35=2,IF(AND(ACOMPANHAMENTO="PLE",ISNUMBER($E35)),SUMIF((OFFSET(CÁLCULO!$AM$15:$AW$15,$E35,0,OFFSET(ORÇAMENTO!$D$15,CRONO!$E35,0))),"="&amp;CRONO!V$12,OFFSET(CÁLCULO!$AB$15:$AL$15,$E35,0,OFFSET(ORÇAMENTO!$D$15,CRONO!$E35,0)))+IF(AND($E37&lt;&gt;"",$E37&lt;&gt;0),SUMIF(CÁLCULO!$AM$15:$AW$747,"="&amp;CRONO!V$12,CÁLCULO!$AB$15:$AL$747)/(ORÇAMENTO!$X$15-CÁLCULO.TotalAdmLocal)*CRONO!$E37,0),V36*$R35),SUMIF(OFFSET($R37,1,0,$Q35-2),($L35+1)&amp;"$",OFFSET(V37,1,0,$Q35-2)))</f>
        <v>0</v>
      </c>
      <c r="W37" s="223">
        <f ca="1">IF($Q35=2,IF(AND(ACOMPANHAMENTO="PLE",ISNUMBER($E35)),SUMIF((OFFSET(CÁLCULO!$AM$15:$AW$15,$E35,0,OFFSET(ORÇAMENTO!$D$15,CRONO!$E35,0))),"="&amp;CRONO!W$12,OFFSET(CÁLCULO!$AB$15:$AL$15,$E35,0,OFFSET(ORÇAMENTO!$D$15,CRONO!$E35,0)))+IF(AND($E37&lt;&gt;"",$E37&lt;&gt;0),SUMIF(CÁLCULO!$AM$15:$AW$747,"="&amp;CRONO!W$12,CÁLCULO!$AB$15:$AL$747)/(ORÇAMENTO!$X$15-CÁLCULO.TotalAdmLocal)*CRONO!$E37,0),W36*$R35),SUMIF(OFFSET($R37,1,0,$Q35-2),($L35+1)&amp;"$",OFFSET(W37,1,0,$Q35-2)))</f>
        <v>0</v>
      </c>
      <c r="X37" s="223">
        <f ca="1">IF($Q35=2,IF(AND(ACOMPANHAMENTO="PLE",ISNUMBER($E35)),SUMIF((OFFSET(CÁLCULO!$AM$15:$AW$15,$E35,0,OFFSET(ORÇAMENTO!$D$15,CRONO!$E35,0))),"="&amp;CRONO!X$12,OFFSET(CÁLCULO!$AB$15:$AL$15,$E35,0,OFFSET(ORÇAMENTO!$D$15,CRONO!$E35,0)))+IF(AND($E37&lt;&gt;"",$E37&lt;&gt;0),SUMIF(CÁLCULO!$AM$15:$AW$747,"="&amp;CRONO!X$12,CÁLCULO!$AB$15:$AL$747)/(ORÇAMENTO!$X$15-CÁLCULO.TotalAdmLocal)*CRONO!$E37,0),X36*$R35),SUMIF(OFFSET($R37,1,0,$Q35-2),($L35+1)&amp;"$",OFFSET(X37,1,0,$Q35-2)))</f>
        <v>0</v>
      </c>
      <c r="Y37" s="223">
        <f ca="1">IF($Q35=2,IF(AND(ACOMPANHAMENTO="PLE",ISNUMBER($E35)),SUMIF((OFFSET(CÁLCULO!$AM$15:$AW$15,$E35,0,OFFSET(ORÇAMENTO!$D$15,CRONO!$E35,0))),"="&amp;CRONO!Y$12,OFFSET(CÁLCULO!$AB$15:$AL$15,$E35,0,OFFSET(ORÇAMENTO!$D$15,CRONO!$E35,0)))+IF(AND($E37&lt;&gt;"",$E37&lt;&gt;0),SUMIF(CÁLCULO!$AM$15:$AW$747,"="&amp;CRONO!Y$12,CÁLCULO!$AB$15:$AL$747)/(ORÇAMENTO!$X$15-CÁLCULO.TotalAdmLocal)*CRONO!$E37,0),Y36*$R35),SUMIF(OFFSET($R37,1,0,$Q35-2),($L35+1)&amp;"$",OFFSET(Y37,1,0,$Q35-2)))</f>
        <v>0</v>
      </c>
      <c r="Z37" s="223">
        <f ca="1">IF($Q35=2,IF(AND(ACOMPANHAMENTO="PLE",ISNUMBER($E35)),SUMIF((OFFSET(CÁLCULO!$AM$15:$AW$15,$E35,0,OFFSET(ORÇAMENTO!$D$15,CRONO!$E35,0))),"="&amp;CRONO!Z$12,OFFSET(CÁLCULO!$AB$15:$AL$15,$E35,0,OFFSET(ORÇAMENTO!$D$15,CRONO!$E35,0)))+IF(AND($E37&lt;&gt;"",$E37&lt;&gt;0),SUMIF(CÁLCULO!$AM$15:$AW$747,"="&amp;CRONO!Z$12,CÁLCULO!$AB$15:$AL$747)/(ORÇAMENTO!$X$15-CÁLCULO.TotalAdmLocal)*CRONO!$E37,0),Z36*$R35),SUMIF(OFFSET($R37,1,0,$Q35-2),($L35+1)&amp;"$",OFFSET(Z37,1,0,$Q35-2)))</f>
        <v>0</v>
      </c>
      <c r="AA37" s="223">
        <f ca="1">IF($Q35=2,IF(AND(ACOMPANHAMENTO="PLE",ISNUMBER($E35)),SUMIF((OFFSET(CÁLCULO!$AM$15:$AW$15,$E35,0,OFFSET(ORÇAMENTO!$D$15,CRONO!$E35,0))),"="&amp;CRONO!AA$12,OFFSET(CÁLCULO!$AB$15:$AL$15,$E35,0,OFFSET(ORÇAMENTO!$D$15,CRONO!$E35,0)))+IF(AND($E37&lt;&gt;"",$E37&lt;&gt;0),SUMIF(CÁLCULO!$AM$15:$AW$747,"="&amp;CRONO!AA$12,CÁLCULO!$AB$15:$AL$747)/(ORÇAMENTO!$X$15-CÁLCULO.TotalAdmLocal)*CRONO!$E37,0),AA36*$R35),SUMIF(OFFSET($R37,1,0,$Q35-2),($L35+1)&amp;"$",OFFSET(AA37,1,0,$Q35-2)))</f>
        <v>0</v>
      </c>
      <c r="AB37" s="223">
        <f ca="1">IF($Q35=2,IF(AND(ACOMPANHAMENTO="PLE",ISNUMBER($E35)),SUMIF((OFFSET(CÁLCULO!$AM$15:$AW$15,$E35,0,OFFSET(ORÇAMENTO!$D$15,CRONO!$E35,0))),"="&amp;CRONO!AB$12,OFFSET(CÁLCULO!$AB$15:$AL$15,$E35,0,OFFSET(ORÇAMENTO!$D$15,CRONO!$E35,0)))+IF(AND($E37&lt;&gt;"",$E37&lt;&gt;0),SUMIF(CÁLCULO!$AM$15:$AW$747,"="&amp;CRONO!AB$12,CÁLCULO!$AB$15:$AL$747)/(ORÇAMENTO!$X$15-CÁLCULO.TotalAdmLocal)*CRONO!$E37,0),AB36*$R35),SUMIF(OFFSET($R37,1,0,$Q35-2),($L35+1)&amp;"$",OFFSET(AB37,1,0,$Q35-2)))</f>
        <v>0</v>
      </c>
      <c r="AC37" s="223">
        <f ca="1">IF($Q35=2,IF(AND(ACOMPANHAMENTO="PLE",ISNUMBER($E35)),SUMIF((OFFSET(CÁLCULO!$AM$15:$AW$15,$E35,0,OFFSET(ORÇAMENTO!$D$15,CRONO!$E35,0))),"="&amp;CRONO!AC$12,OFFSET(CÁLCULO!$AB$15:$AL$15,$E35,0,OFFSET(ORÇAMENTO!$D$15,CRONO!$E35,0)))+IF(AND($E37&lt;&gt;"",$E37&lt;&gt;0),SUMIF(CÁLCULO!$AM$15:$AW$747,"="&amp;CRONO!AC$12,CÁLCULO!$AB$15:$AL$747)/(ORÇAMENTO!$X$15-CÁLCULO.TotalAdmLocal)*CRONO!$E37,0),AC36*$R35),SUMIF(OFFSET($R37,1,0,$Q35-2),($L35+1)&amp;"$",OFFSET(AC37,1,0,$Q35-2)))</f>
        <v>0</v>
      </c>
      <c r="AD37" s="223">
        <f ca="1">IF($Q35=2,IF(AND(ACOMPANHAMENTO="PLE",ISNUMBER($E35)),SUMIF((OFFSET(CÁLCULO!$AM$15:$AW$15,$E35,0,OFFSET(ORÇAMENTO!$D$15,CRONO!$E35,0))),"="&amp;CRONO!AD$12,OFFSET(CÁLCULO!$AB$15:$AL$15,$E35,0,OFFSET(ORÇAMENTO!$D$15,CRONO!$E35,0)))+IF(AND($E37&lt;&gt;"",$E37&lt;&gt;0),SUMIF(CÁLCULO!$AM$15:$AW$747,"="&amp;CRONO!AD$12,CÁLCULO!$AB$15:$AL$747)/(ORÇAMENTO!$X$15-CÁLCULO.TotalAdmLocal)*CRONO!$E37,0),AD36*$R35),SUMIF(OFFSET($R37,1,0,$Q35-2),($L35+1)&amp;"$",OFFSET(AD37,1,0,$Q35-2)))</f>
        <v>0</v>
      </c>
      <c r="AE37" s="228">
        <f ca="1">IF($Q35=2,IF(AND(ACOMPANHAMENTO="PLE",ISNUMBER($E35)),SUMIF((OFFSET(CÁLCULO!$AM$15:$AW$15,$E35,0,OFFSET(ORÇAMENTO!$D$15,CRONO!$E35,0))),"="&amp;CRONO!AE$12,OFFSET(CÁLCULO!$AB$15:$AL$15,$E35,0,OFFSET(ORÇAMENTO!$D$15,CRONO!$E35,0)))+IF(AND($E37&lt;&gt;"",$E37&lt;&gt;0),SUMIF(CÁLCULO!$AM$15:$AW$747,"="&amp;CRONO!AE$12,CÁLCULO!$AB$15:$AL$747)/(ORÇAMENTO!$X$15-CÁLCULO.TotalAdmLocal)*CRONO!$E37,0),AE36*$R35),SUMIF(OFFSET($R37,1,0,$Q35-2),($L35+1)&amp;"$",OFFSET(AE37,1,0,$Q35-2)))</f>
        <v>0</v>
      </c>
    </row>
    <row r="38" spans="1:32" x14ac:dyDescent="0.2">
      <c r="A38" s="204">
        <f t="shared" ref="A38" ca="1" si="59">OFFSET(A38,-3,0)+1</f>
        <v>9</v>
      </c>
      <c r="B38" s="204">
        <f ca="1">IF($Q38&lt;&gt;2,0,IF($R38=0,1,IF(E39&gt;0,OFFSET(QCI!$M$13,SUBSTITUTE(E39,".",""),0),OFFSET(ORÇAMENTO!$AA$15,CRONO!$E38,0))/$R38))</f>
        <v>1</v>
      </c>
      <c r="C38" s="204">
        <f ca="1">IF($Q38&lt;&gt;2,0,IF($R38=0,1,IF(E39&gt;0,OFFSET(QCI!$N$13,SUBSTITUTE(E39,".",""),0),OFFSET(ORÇAMENTO!$AB$15,CRONO!$E38,0))/$R38))</f>
        <v>1</v>
      </c>
      <c r="D38" s="207">
        <f ca="1">IF(AND($Q38=2,ACOMPANHAMENTO="BM"),D39,D40/$R38)</f>
        <v>0</v>
      </c>
      <c r="E38" s="204">
        <f ca="1">IF(A38&lt;=ORÇAMENTO.MáximoListaCrono,MATCH(A38,ORÇAMENTO.ListaCrono,0),NA())</f>
        <v>169</v>
      </c>
      <c r="F38" s="204" t="str">
        <f t="shared" ref="F38" ca="1" si="60">IF(AND($E39&lt;&gt;-1,$R38&gt;0),"F","")</f>
        <v/>
      </c>
      <c r="G38" s="208" t="str">
        <f ca="1">IF(OR(R38=0,R38=""),"Linha",IF(AND(OR(ACOMPANHAMENTO="PLE",$Q38&lt;&gt;2),$E39=0),"Linha",1-SUM(T38:AF38)))</f>
        <v>Linha</v>
      </c>
      <c r="H38" s="209" t="str">
        <f ca="1">IF($E39=0,OFFSET(ORÇAMENTO!O$15,$E38,0),IF($E39&lt;&gt;-1,OFFSET(QCI!$D$13,$E39,0),""))</f>
        <v>1.8.</v>
      </c>
      <c r="I38" s="210" t="str">
        <f ca="1">IF($E39=0,OFFSET(ORÇAMENTO!R$15,$E38,0),IF($E39&lt;&gt;-1,OFFSET(QCI!$G$13,$E39,0),""))</f>
        <v>IMPERMEABILIZAÇÃO</v>
      </c>
      <c r="J38" s="210"/>
      <c r="K38" s="210"/>
      <c r="L38" s="211">
        <f ca="1">IF($E39=0,OFFSET(ORÇAMENTO!C$15,$E38,0),1)</f>
        <v>2</v>
      </c>
      <c r="M38" s="212">
        <f ca="1">IF($E39=-1,0,IF(M$13&lt;=$L38,IF(ISERROR(MATCH(M$13,OFFSET($L38,1,0,ROW($L$89)-ROW($L38)-1),0)),ROW($L$89)-ROW($L38)-1,MATCH(M$13,OFFSET($L38,1,0,ROW($L$89)-ROW($L38)-1),0)-1),0))</f>
        <v>50</v>
      </c>
      <c r="N38" s="212">
        <f ca="1">IF($E39=-1,0,IF(N$13&lt;=$L38,IF(ISERROR(MATCH(N$13,OFFSET($L38,1,0,ROW($L$89)-ROW($L38)-1),0)),ROW($L$89)-ROW($L38)-1,MATCH(N$13,OFFSET($L38,1,0,ROW($L$89)-ROW($L38)-1),0)-1),0))</f>
        <v>2</v>
      </c>
      <c r="O38" s="212">
        <f ca="1">IF($E39=-1,0,IF(O$13&lt;=$L38,IF(ISERROR(MATCH(O$13,OFFSET($L38,1,0,ROW($L$89)-ROW($L38)-1),0)),ROW($L$89)-ROW($L38)-1,MATCH(O$13,OFFSET($L38,1,0,ROW($L$89)-ROW($L38)-1),0)-1),0))</f>
        <v>0</v>
      </c>
      <c r="P38" s="212">
        <f ca="1">IF($E39=-1,0,IF(P$13&lt;=$L38,IF(ISERROR(MATCH(P$13,OFFSET($L38,1,0,ROW($L$89)-ROW($L38)-1),0)),ROW($L$89)-ROW($L38)-1,MATCH(P$13,OFFSET($L38,1,0,ROW($L$89)-ROW($L38)-1),0)-1),0))</f>
        <v>0</v>
      </c>
      <c r="Q38" s="212">
        <f t="shared" ref="Q38" ca="1" si="61">MIN(OFFSET(L38,0,1,,L38))</f>
        <v>2</v>
      </c>
      <c r="R38" s="213">
        <f ca="1">IF($E39=0,OFFSET(ORÇAMENTO!X$15,$E38,0),IF($E39&lt;&gt;-1,OFFSET(QCI!$O$13,$E39,0),""))</f>
        <v>0</v>
      </c>
      <c r="S38" s="214" t="s">
        <v>270</v>
      </c>
      <c r="T38" s="215">
        <f t="shared" ref="T38:AE38" ca="1" si="62">IF(AND($Q38=2,ACOMPANHAMENTO="BM"),T39,T40/$R38)</f>
        <v>0</v>
      </c>
      <c r="U38" s="207">
        <f t="shared" ca="1" si="62"/>
        <v>0</v>
      </c>
      <c r="V38" s="207">
        <f t="shared" ca="1" si="62"/>
        <v>1</v>
      </c>
      <c r="W38" s="207">
        <f t="shared" ca="1" si="62"/>
        <v>0</v>
      </c>
      <c r="X38" s="207">
        <f t="shared" ca="1" si="62"/>
        <v>0</v>
      </c>
      <c r="Y38" s="207">
        <f t="shared" ca="1" si="62"/>
        <v>0</v>
      </c>
      <c r="Z38" s="207">
        <f t="shared" ca="1" si="62"/>
        <v>0</v>
      </c>
      <c r="AA38" s="207">
        <f t="shared" ca="1" si="62"/>
        <v>0</v>
      </c>
      <c r="AB38" s="207">
        <f t="shared" ca="1" si="62"/>
        <v>0</v>
      </c>
      <c r="AC38" s="207">
        <f t="shared" ca="1" si="62"/>
        <v>0</v>
      </c>
      <c r="AD38" s="207">
        <f t="shared" ca="1" si="62"/>
        <v>0</v>
      </c>
      <c r="AE38" s="216">
        <f t="shared" ca="1" si="62"/>
        <v>0</v>
      </c>
    </row>
    <row r="39" spans="1:32" ht="12.75" customHeight="1" x14ac:dyDescent="0.2">
      <c r="D39" s="569"/>
      <c r="E39" s="204">
        <f ca="1">IF(ISERROR(E38),IF(1+COUNTIF($L$13:OFFSET(L38,-1,0),1)&lt;=MAX(QCI!$D$13:$D$24),1+COUNTIF($L$13:OFFSET(L38,-1,0),1),-1),0)</f>
        <v>0</v>
      </c>
      <c r="F39" s="204" t="str">
        <f t="shared" ref="F39" ca="1" si="63">IF(AND($E39&lt;&gt;-1,$R38&gt;0),"F","")</f>
        <v/>
      </c>
      <c r="G39" s="217" t="str">
        <f ca="1">IF(OR(R38=0,R38=""),"vazia",IF(AND(OR(ACOMPANHAMENTO="PLE",$Q38&lt;&gt;2),$E39=0),"calculada","--&gt;"))</f>
        <v>vazia</v>
      </c>
      <c r="H39" s="218"/>
      <c r="I39" s="219" t="str">
        <f t="shared" ref="I39" ca="1" si="64">IF(AND(G38&lt;&gt;0,ISNUMBER(G38)),"PREENCHA ESTA LINHA --&gt;","")</f>
        <v/>
      </c>
      <c r="J39" s="219"/>
      <c r="K39" s="219"/>
      <c r="L39" s="220"/>
      <c r="M39" s="220"/>
      <c r="N39" s="220"/>
      <c r="O39" s="220"/>
      <c r="P39" s="220"/>
      <c r="Q39" s="220"/>
      <c r="R39" s="221"/>
      <c r="S39" s="222"/>
      <c r="T39" s="570"/>
      <c r="U39" s="569"/>
      <c r="V39" s="569">
        <v>1</v>
      </c>
      <c r="W39" s="569"/>
      <c r="X39" s="569"/>
      <c r="Y39" s="569"/>
      <c r="Z39" s="569"/>
      <c r="AA39" s="569"/>
      <c r="AB39" s="569"/>
      <c r="AC39" s="569"/>
      <c r="AD39" s="569"/>
      <c r="AE39" s="571"/>
      <c r="AF39" s="533"/>
    </row>
    <row r="40" spans="1:32" ht="0.2" hidden="1" customHeight="1" x14ac:dyDescent="0.2">
      <c r="D40" s="223">
        <f ca="1">IF($Q38=2,IF(AND(ACOMPANHAMENTO="PLE",ISNUMBER($E38)),SUMIF((OFFSET(CÁLCULO!$AM$15:$AW$15,$E38,0,OFFSET(ORÇAMENTO!$D$15,CRONO!$E38,0))),"="&amp;CRONO!D$12,OFFSET(CÁLCULO!$AB$15:$AL$15,$E38,0,OFFSET(ORÇAMENTO!$D$15,CRONO!$E38,0)))+IF(AND($E40&lt;&gt;"",$E40&lt;&gt;0),SUMIF(CÁLCULO!$AM$15:$AW$747,"="&amp;CRONO!D$12,CÁLCULO!$AB$15:$AL$747)/(ORÇAMENTO!$X$15-CÁLCULO.TotalAdmLocal)*CRONO!$E40,0),D39*$R38),SUMIF(OFFSET($R40,1,0,$Q38-2),($L38+1)&amp;"$",OFFSET(D40,1,0,$Q38-2)))</f>
        <v>0</v>
      </c>
      <c r="E40" s="204" t="str">
        <f ca="1">IF(OR($Q38&lt;&gt;2,AUTOEVENTO&lt;&gt;"manual",$E39&gt;0),"",SUMIF(OFFSET(CÁLCULO!$M$15,CRONO!$E38,0,OFFSET(ORÇAMENTO!$D$15,CRONO!$E38,0)),1,OFFSET(ORÇAMENTO!$X$15,CRONO!$E38,0,OFFSET(ORÇAMENTO!$D$15,CRONO!$E38,0))))</f>
        <v/>
      </c>
      <c r="G40" s="224"/>
      <c r="R40" s="225" t="str">
        <f t="shared" ref="R40" ca="1" si="65">L38&amp;"$"</f>
        <v>2$</v>
      </c>
      <c r="S40" s="226"/>
      <c r="T40" s="227">
        <f ca="1">IF($Q38=2,IF(AND(ACOMPANHAMENTO="PLE",ISNUMBER($E38)),SUMIF((OFFSET(CÁLCULO!$AM$15:$AW$15,$E38,0,OFFSET(ORÇAMENTO!$D$15,CRONO!$E38,0))),"&lt;="&amp;CRONO!T$12,OFFSET(CÁLCULO!$AB$15:$AL$15,$E38,0,OFFSET(ORÇAMENTO!$D$15,CRONO!$E38,0)))+IF(AND($E40&lt;&gt;"",$E40&lt;&gt;0),SUMIF(CÁLCULO!$AM$15:$AW$747,"&lt;="&amp;CRONO!T$12,CÁLCULO!$AB$15:$AL$747)/(ORÇAMENTO!$X$15-CÁLCULO.TotalAdmLocal)*CRONO!$E40,0),T39*$R38),SUMIF(OFFSET($R40,1,0,$Q38-2),($L38+1)&amp;"$",OFFSET(T40,1,0,$Q38-2)))</f>
        <v>0</v>
      </c>
      <c r="U40" s="223">
        <f ca="1">IF($Q38=2,IF(AND(ACOMPANHAMENTO="PLE",ISNUMBER($E38)),SUMIF((OFFSET(CÁLCULO!$AM$15:$AW$15,$E38,0,OFFSET(ORÇAMENTO!$D$15,CRONO!$E38,0))),"="&amp;CRONO!U$12,OFFSET(CÁLCULO!$AB$15:$AL$15,$E38,0,OFFSET(ORÇAMENTO!$D$15,CRONO!$E38,0)))+IF(AND($E40&lt;&gt;"",$E40&lt;&gt;0),SUMIF(CÁLCULO!$AM$15:$AW$747,"="&amp;CRONO!U$12,CÁLCULO!$AB$15:$AL$747)/(ORÇAMENTO!$X$15-CÁLCULO.TotalAdmLocal)*CRONO!$E40,0),U39*$R38),SUMIF(OFFSET($R40,1,0,$Q38-2),($L38+1)&amp;"$",OFFSET(U40,1,0,$Q38-2)))</f>
        <v>0</v>
      </c>
      <c r="V40" s="223">
        <f ca="1">IF($Q38=2,IF(AND(ACOMPANHAMENTO="PLE",ISNUMBER($E38)),SUMIF((OFFSET(CÁLCULO!$AM$15:$AW$15,$E38,0,OFFSET(ORÇAMENTO!$D$15,CRONO!$E38,0))),"="&amp;CRONO!V$12,OFFSET(CÁLCULO!$AB$15:$AL$15,$E38,0,OFFSET(ORÇAMENTO!$D$15,CRONO!$E38,0)))+IF(AND($E40&lt;&gt;"",$E40&lt;&gt;0),SUMIF(CÁLCULO!$AM$15:$AW$747,"="&amp;CRONO!V$12,CÁLCULO!$AB$15:$AL$747)/(ORÇAMENTO!$X$15-CÁLCULO.TotalAdmLocal)*CRONO!$E40,0),V39*$R38),SUMIF(OFFSET($R40,1,0,$Q38-2),($L38+1)&amp;"$",OFFSET(V40,1,0,$Q38-2)))</f>
        <v>0</v>
      </c>
      <c r="W40" s="223">
        <f ca="1">IF($Q38=2,IF(AND(ACOMPANHAMENTO="PLE",ISNUMBER($E38)),SUMIF((OFFSET(CÁLCULO!$AM$15:$AW$15,$E38,0,OFFSET(ORÇAMENTO!$D$15,CRONO!$E38,0))),"="&amp;CRONO!W$12,OFFSET(CÁLCULO!$AB$15:$AL$15,$E38,0,OFFSET(ORÇAMENTO!$D$15,CRONO!$E38,0)))+IF(AND($E40&lt;&gt;"",$E40&lt;&gt;0),SUMIF(CÁLCULO!$AM$15:$AW$747,"="&amp;CRONO!W$12,CÁLCULO!$AB$15:$AL$747)/(ORÇAMENTO!$X$15-CÁLCULO.TotalAdmLocal)*CRONO!$E40,0),W39*$R38),SUMIF(OFFSET($R40,1,0,$Q38-2),($L38+1)&amp;"$",OFFSET(W40,1,0,$Q38-2)))</f>
        <v>0</v>
      </c>
      <c r="X40" s="223">
        <f ca="1">IF($Q38=2,IF(AND(ACOMPANHAMENTO="PLE",ISNUMBER($E38)),SUMIF((OFFSET(CÁLCULO!$AM$15:$AW$15,$E38,0,OFFSET(ORÇAMENTO!$D$15,CRONO!$E38,0))),"="&amp;CRONO!X$12,OFFSET(CÁLCULO!$AB$15:$AL$15,$E38,0,OFFSET(ORÇAMENTO!$D$15,CRONO!$E38,0)))+IF(AND($E40&lt;&gt;"",$E40&lt;&gt;0),SUMIF(CÁLCULO!$AM$15:$AW$747,"="&amp;CRONO!X$12,CÁLCULO!$AB$15:$AL$747)/(ORÇAMENTO!$X$15-CÁLCULO.TotalAdmLocal)*CRONO!$E40,0),X39*$R38),SUMIF(OFFSET($R40,1,0,$Q38-2),($L38+1)&amp;"$",OFFSET(X40,1,0,$Q38-2)))</f>
        <v>0</v>
      </c>
      <c r="Y40" s="223">
        <f ca="1">IF($Q38=2,IF(AND(ACOMPANHAMENTO="PLE",ISNUMBER($E38)),SUMIF((OFFSET(CÁLCULO!$AM$15:$AW$15,$E38,0,OFFSET(ORÇAMENTO!$D$15,CRONO!$E38,0))),"="&amp;CRONO!Y$12,OFFSET(CÁLCULO!$AB$15:$AL$15,$E38,0,OFFSET(ORÇAMENTO!$D$15,CRONO!$E38,0)))+IF(AND($E40&lt;&gt;"",$E40&lt;&gt;0),SUMIF(CÁLCULO!$AM$15:$AW$747,"="&amp;CRONO!Y$12,CÁLCULO!$AB$15:$AL$747)/(ORÇAMENTO!$X$15-CÁLCULO.TotalAdmLocal)*CRONO!$E40,0),Y39*$R38),SUMIF(OFFSET($R40,1,0,$Q38-2),($L38+1)&amp;"$",OFFSET(Y40,1,0,$Q38-2)))</f>
        <v>0</v>
      </c>
      <c r="Z40" s="223">
        <f ca="1">IF($Q38=2,IF(AND(ACOMPANHAMENTO="PLE",ISNUMBER($E38)),SUMIF((OFFSET(CÁLCULO!$AM$15:$AW$15,$E38,0,OFFSET(ORÇAMENTO!$D$15,CRONO!$E38,0))),"="&amp;CRONO!Z$12,OFFSET(CÁLCULO!$AB$15:$AL$15,$E38,0,OFFSET(ORÇAMENTO!$D$15,CRONO!$E38,0)))+IF(AND($E40&lt;&gt;"",$E40&lt;&gt;0),SUMIF(CÁLCULO!$AM$15:$AW$747,"="&amp;CRONO!Z$12,CÁLCULO!$AB$15:$AL$747)/(ORÇAMENTO!$X$15-CÁLCULO.TotalAdmLocal)*CRONO!$E40,0),Z39*$R38),SUMIF(OFFSET($R40,1,0,$Q38-2),($L38+1)&amp;"$",OFFSET(Z40,1,0,$Q38-2)))</f>
        <v>0</v>
      </c>
      <c r="AA40" s="223">
        <f ca="1">IF($Q38=2,IF(AND(ACOMPANHAMENTO="PLE",ISNUMBER($E38)),SUMIF((OFFSET(CÁLCULO!$AM$15:$AW$15,$E38,0,OFFSET(ORÇAMENTO!$D$15,CRONO!$E38,0))),"="&amp;CRONO!AA$12,OFFSET(CÁLCULO!$AB$15:$AL$15,$E38,0,OFFSET(ORÇAMENTO!$D$15,CRONO!$E38,0)))+IF(AND($E40&lt;&gt;"",$E40&lt;&gt;0),SUMIF(CÁLCULO!$AM$15:$AW$747,"="&amp;CRONO!AA$12,CÁLCULO!$AB$15:$AL$747)/(ORÇAMENTO!$X$15-CÁLCULO.TotalAdmLocal)*CRONO!$E40,0),AA39*$R38),SUMIF(OFFSET($R40,1,0,$Q38-2),($L38+1)&amp;"$",OFFSET(AA40,1,0,$Q38-2)))</f>
        <v>0</v>
      </c>
      <c r="AB40" s="223">
        <f ca="1">IF($Q38=2,IF(AND(ACOMPANHAMENTO="PLE",ISNUMBER($E38)),SUMIF((OFFSET(CÁLCULO!$AM$15:$AW$15,$E38,0,OFFSET(ORÇAMENTO!$D$15,CRONO!$E38,0))),"="&amp;CRONO!AB$12,OFFSET(CÁLCULO!$AB$15:$AL$15,$E38,0,OFFSET(ORÇAMENTO!$D$15,CRONO!$E38,0)))+IF(AND($E40&lt;&gt;"",$E40&lt;&gt;0),SUMIF(CÁLCULO!$AM$15:$AW$747,"="&amp;CRONO!AB$12,CÁLCULO!$AB$15:$AL$747)/(ORÇAMENTO!$X$15-CÁLCULO.TotalAdmLocal)*CRONO!$E40,0),AB39*$R38),SUMIF(OFFSET($R40,1,0,$Q38-2),($L38+1)&amp;"$",OFFSET(AB40,1,0,$Q38-2)))</f>
        <v>0</v>
      </c>
      <c r="AC40" s="223">
        <f ca="1">IF($Q38=2,IF(AND(ACOMPANHAMENTO="PLE",ISNUMBER($E38)),SUMIF((OFFSET(CÁLCULO!$AM$15:$AW$15,$E38,0,OFFSET(ORÇAMENTO!$D$15,CRONO!$E38,0))),"="&amp;CRONO!AC$12,OFFSET(CÁLCULO!$AB$15:$AL$15,$E38,0,OFFSET(ORÇAMENTO!$D$15,CRONO!$E38,0)))+IF(AND($E40&lt;&gt;"",$E40&lt;&gt;0),SUMIF(CÁLCULO!$AM$15:$AW$747,"="&amp;CRONO!AC$12,CÁLCULO!$AB$15:$AL$747)/(ORÇAMENTO!$X$15-CÁLCULO.TotalAdmLocal)*CRONO!$E40,0),AC39*$R38),SUMIF(OFFSET($R40,1,0,$Q38-2),($L38+1)&amp;"$",OFFSET(AC40,1,0,$Q38-2)))</f>
        <v>0</v>
      </c>
      <c r="AD40" s="223">
        <f ca="1">IF($Q38=2,IF(AND(ACOMPANHAMENTO="PLE",ISNUMBER($E38)),SUMIF((OFFSET(CÁLCULO!$AM$15:$AW$15,$E38,0,OFFSET(ORÇAMENTO!$D$15,CRONO!$E38,0))),"="&amp;CRONO!AD$12,OFFSET(CÁLCULO!$AB$15:$AL$15,$E38,0,OFFSET(ORÇAMENTO!$D$15,CRONO!$E38,0)))+IF(AND($E40&lt;&gt;"",$E40&lt;&gt;0),SUMIF(CÁLCULO!$AM$15:$AW$747,"="&amp;CRONO!AD$12,CÁLCULO!$AB$15:$AL$747)/(ORÇAMENTO!$X$15-CÁLCULO.TotalAdmLocal)*CRONO!$E40,0),AD39*$R38),SUMIF(OFFSET($R40,1,0,$Q38-2),($L38+1)&amp;"$",OFFSET(AD40,1,0,$Q38-2)))</f>
        <v>0</v>
      </c>
      <c r="AE40" s="228">
        <f ca="1">IF($Q38=2,IF(AND(ACOMPANHAMENTO="PLE",ISNUMBER($E38)),SUMIF((OFFSET(CÁLCULO!$AM$15:$AW$15,$E38,0,OFFSET(ORÇAMENTO!$D$15,CRONO!$E38,0))),"="&amp;CRONO!AE$12,OFFSET(CÁLCULO!$AB$15:$AL$15,$E38,0,OFFSET(ORÇAMENTO!$D$15,CRONO!$E38,0)))+IF(AND($E40&lt;&gt;"",$E40&lt;&gt;0),SUMIF(CÁLCULO!$AM$15:$AW$747,"="&amp;CRONO!AE$12,CÁLCULO!$AB$15:$AL$747)/(ORÇAMENTO!$X$15-CÁLCULO.TotalAdmLocal)*CRONO!$E40,0),AE39*$R38),SUMIF(OFFSET($R40,1,0,$Q38-2),($L38+1)&amp;"$",OFFSET(AE40,1,0,$Q38-2)))</f>
        <v>0</v>
      </c>
    </row>
    <row r="41" spans="1:32" x14ac:dyDescent="0.2">
      <c r="A41" s="204">
        <f t="shared" ref="A41" ca="1" si="66">OFFSET(A41,-3,0)+1</f>
        <v>10</v>
      </c>
      <c r="B41" s="204">
        <f ca="1">IF($Q41&lt;&gt;2,0,IF($R41=0,1,IF(E42&gt;0,OFFSET(QCI!$M$13,SUBSTITUTE(E42,".",""),0),OFFSET(ORÇAMENTO!$AA$15,CRONO!$E41,0))/$R41))</f>
        <v>1</v>
      </c>
      <c r="C41" s="204">
        <f ca="1">IF($Q41&lt;&gt;2,0,IF($R41=0,1,IF(E42&gt;0,OFFSET(QCI!$N$13,SUBSTITUTE(E42,".",""),0),OFFSET(ORÇAMENTO!$AB$15,CRONO!$E41,0))/$R41))</f>
        <v>1</v>
      </c>
      <c r="D41" s="207">
        <f ca="1">IF(AND($Q41=2,ACOMPANHAMENTO="BM"),D42,D43/$R41)</f>
        <v>0</v>
      </c>
      <c r="E41" s="204">
        <f ca="1">IF(A41&lt;=ORÇAMENTO.MáximoListaCrono,MATCH(A41,ORÇAMENTO.ListaCrono,0),NA())</f>
        <v>175</v>
      </c>
      <c r="F41" s="204" t="str">
        <f t="shared" ref="F41" ca="1" si="67">IF(AND($E42&lt;&gt;-1,$R41&gt;0),"F","")</f>
        <v/>
      </c>
      <c r="G41" s="208" t="str">
        <f ca="1">IF(OR(R41=0,R41=""),"Linha",IF(AND(OR(ACOMPANHAMENTO="PLE",$Q41&lt;&gt;2),$E42=0),"Linha",1-SUM(T41:AF41)))</f>
        <v>Linha</v>
      </c>
      <c r="H41" s="209" t="str">
        <f ca="1">IF($E42=0,OFFSET(ORÇAMENTO!O$15,$E41,0),IF($E42&lt;&gt;-1,OFFSET(QCI!$D$13,$E42,0),""))</f>
        <v>1.9.</v>
      </c>
      <c r="I41" s="210" t="str">
        <f ca="1">IF($E42=0,OFFSET(ORÇAMENTO!R$15,$E41,0),IF($E42&lt;&gt;-1,OFFSET(QCI!$G$13,$E42,0),""))</f>
        <v>REVESTIMENTOS INTERNO E EXTERNO</v>
      </c>
      <c r="J41" s="210"/>
      <c r="K41" s="210"/>
      <c r="L41" s="211">
        <f ca="1">IF($E42=0,OFFSET(ORÇAMENTO!C$15,$E41,0),1)</f>
        <v>2</v>
      </c>
      <c r="M41" s="212">
        <f ca="1">IF($E42=-1,0,IF(M$13&lt;=$L41,IF(ISERROR(MATCH(M$13,OFFSET($L41,1,0,ROW($L$89)-ROW($L41)-1),0)),ROW($L$89)-ROW($L41)-1,MATCH(M$13,OFFSET($L41,1,0,ROW($L$89)-ROW($L41)-1),0)-1),0))</f>
        <v>47</v>
      </c>
      <c r="N41" s="212">
        <f ca="1">IF($E42=-1,0,IF(N$13&lt;=$L41,IF(ISERROR(MATCH(N$13,OFFSET($L41,1,0,ROW($L$89)-ROW($L41)-1),0)),ROW($L$89)-ROW($L41)-1,MATCH(N$13,OFFSET($L41,1,0,ROW($L$89)-ROW($L41)-1),0)-1),0))</f>
        <v>2</v>
      </c>
      <c r="O41" s="212">
        <f ca="1">IF($E42=-1,0,IF(O$13&lt;=$L41,IF(ISERROR(MATCH(O$13,OFFSET($L41,1,0,ROW($L$89)-ROW($L41)-1),0)),ROW($L$89)-ROW($L41)-1,MATCH(O$13,OFFSET($L41,1,0,ROW($L$89)-ROW($L41)-1),0)-1),0))</f>
        <v>0</v>
      </c>
      <c r="P41" s="212">
        <f ca="1">IF($E42=-1,0,IF(P$13&lt;=$L41,IF(ISERROR(MATCH(P$13,OFFSET($L41,1,0,ROW($L$89)-ROW($L41)-1),0)),ROW($L$89)-ROW($L41)-1,MATCH(P$13,OFFSET($L41,1,0,ROW($L$89)-ROW($L41)-1),0)-1),0))</f>
        <v>0</v>
      </c>
      <c r="Q41" s="212">
        <f t="shared" ref="Q41" ca="1" si="68">MIN(OFFSET(L41,0,1,,L41))</f>
        <v>2</v>
      </c>
      <c r="R41" s="213">
        <f ca="1">IF($E42=0,OFFSET(ORÇAMENTO!X$15,$E41,0),IF($E42&lt;&gt;-1,OFFSET(QCI!$O$13,$E42,0),""))</f>
        <v>0</v>
      </c>
      <c r="S41" s="214" t="s">
        <v>270</v>
      </c>
      <c r="T41" s="215">
        <f t="shared" ref="T41:AE41" ca="1" si="69">IF(AND($Q41=2,ACOMPANHAMENTO="BM"),T42,T43/$R41)</f>
        <v>0</v>
      </c>
      <c r="U41" s="207">
        <f t="shared" ca="1" si="69"/>
        <v>0</v>
      </c>
      <c r="V41" s="207">
        <f t="shared" ca="1" si="69"/>
        <v>0</v>
      </c>
      <c r="W41" s="207">
        <f t="shared" ca="1" si="69"/>
        <v>0.15</v>
      </c>
      <c r="X41" s="207">
        <f t="shared" ca="1" si="69"/>
        <v>0.2</v>
      </c>
      <c r="Y41" s="207">
        <f t="shared" ca="1" si="69"/>
        <v>0.2</v>
      </c>
      <c r="Z41" s="207">
        <f t="shared" ca="1" si="69"/>
        <v>0.2</v>
      </c>
      <c r="AA41" s="207">
        <f t="shared" ca="1" si="69"/>
        <v>0.2</v>
      </c>
      <c r="AB41" s="207">
        <f t="shared" ca="1" si="69"/>
        <v>0.05</v>
      </c>
      <c r="AC41" s="207">
        <f t="shared" ca="1" si="69"/>
        <v>0</v>
      </c>
      <c r="AD41" s="207">
        <f t="shared" ca="1" si="69"/>
        <v>0</v>
      </c>
      <c r="AE41" s="216">
        <f t="shared" ca="1" si="69"/>
        <v>0</v>
      </c>
    </row>
    <row r="42" spans="1:32" ht="12.75" customHeight="1" x14ac:dyDescent="0.2">
      <c r="D42" s="569"/>
      <c r="E42" s="204">
        <f ca="1">IF(ISERROR(E41),IF(1+COUNTIF($L$13:OFFSET(L41,-1,0),1)&lt;=MAX(QCI!$D$13:$D$24),1+COUNTIF($L$13:OFFSET(L41,-1,0),1),-1),0)</f>
        <v>0</v>
      </c>
      <c r="F42" s="204" t="str">
        <f t="shared" ref="F42" ca="1" si="70">IF(AND($E42&lt;&gt;-1,$R41&gt;0),"F","")</f>
        <v/>
      </c>
      <c r="G42" s="217" t="str">
        <f ca="1">IF(OR(R41=0,R41=""),"vazia",IF(AND(OR(ACOMPANHAMENTO="PLE",$Q41&lt;&gt;2),$E42=0),"calculada","--&gt;"))</f>
        <v>vazia</v>
      </c>
      <c r="H42" s="218"/>
      <c r="I42" s="219" t="str">
        <f t="shared" ref="I42" ca="1" si="71">IF(AND(G41&lt;&gt;0,ISNUMBER(G41)),"PREENCHA ESTA LINHA --&gt;","")</f>
        <v/>
      </c>
      <c r="J42" s="219"/>
      <c r="K42" s="219"/>
      <c r="L42" s="220"/>
      <c r="M42" s="220"/>
      <c r="N42" s="220"/>
      <c r="O42" s="220"/>
      <c r="P42" s="220"/>
      <c r="Q42" s="220"/>
      <c r="R42" s="221"/>
      <c r="S42" s="222"/>
      <c r="T42" s="570"/>
      <c r="U42" s="569"/>
      <c r="V42" s="569"/>
      <c r="W42" s="569">
        <v>0.15</v>
      </c>
      <c r="X42" s="569">
        <v>0.2</v>
      </c>
      <c r="Y42" s="569">
        <v>0.2</v>
      </c>
      <c r="Z42" s="569">
        <v>0.2</v>
      </c>
      <c r="AA42" s="569">
        <v>0.2</v>
      </c>
      <c r="AB42" s="569">
        <v>0.05</v>
      </c>
      <c r="AC42" s="569"/>
      <c r="AD42" s="569"/>
      <c r="AE42" s="571"/>
      <c r="AF42" s="533"/>
    </row>
    <row r="43" spans="1:32" ht="0.2" hidden="1" customHeight="1" x14ac:dyDescent="0.2">
      <c r="D43" s="223">
        <f ca="1">IF($Q41=2,IF(AND(ACOMPANHAMENTO="PLE",ISNUMBER($E41)),SUMIF((OFFSET(CÁLCULO!$AM$15:$AW$15,$E41,0,OFFSET(ORÇAMENTO!$D$15,CRONO!$E41,0))),"="&amp;CRONO!D$12,OFFSET(CÁLCULO!$AB$15:$AL$15,$E41,0,OFFSET(ORÇAMENTO!$D$15,CRONO!$E41,0)))+IF(AND($E43&lt;&gt;"",$E43&lt;&gt;0),SUMIF(CÁLCULO!$AM$15:$AW$747,"="&amp;CRONO!D$12,CÁLCULO!$AB$15:$AL$747)/(ORÇAMENTO!$X$15-CÁLCULO.TotalAdmLocal)*CRONO!$E43,0),D42*$R41),SUMIF(OFFSET($R43,1,0,$Q41-2),($L41+1)&amp;"$",OFFSET(D43,1,0,$Q41-2)))</f>
        <v>0</v>
      </c>
      <c r="E43" s="204" t="str">
        <f ca="1">IF(OR($Q41&lt;&gt;2,AUTOEVENTO&lt;&gt;"manual",$E42&gt;0),"",SUMIF(OFFSET(CÁLCULO!$M$15,CRONO!$E41,0,OFFSET(ORÇAMENTO!$D$15,CRONO!$E41,0)),1,OFFSET(ORÇAMENTO!$X$15,CRONO!$E41,0,OFFSET(ORÇAMENTO!$D$15,CRONO!$E41,0))))</f>
        <v/>
      </c>
      <c r="G43" s="224"/>
      <c r="R43" s="225" t="str">
        <f t="shared" ref="R43" ca="1" si="72">L41&amp;"$"</f>
        <v>2$</v>
      </c>
      <c r="S43" s="226"/>
      <c r="T43" s="227">
        <f ca="1">IF($Q41=2,IF(AND(ACOMPANHAMENTO="PLE",ISNUMBER($E41)),SUMIF((OFFSET(CÁLCULO!$AM$15:$AW$15,$E41,0,OFFSET(ORÇAMENTO!$D$15,CRONO!$E41,0))),"&lt;="&amp;CRONO!T$12,OFFSET(CÁLCULO!$AB$15:$AL$15,$E41,0,OFFSET(ORÇAMENTO!$D$15,CRONO!$E41,0)))+IF(AND($E43&lt;&gt;"",$E43&lt;&gt;0),SUMIF(CÁLCULO!$AM$15:$AW$747,"&lt;="&amp;CRONO!T$12,CÁLCULO!$AB$15:$AL$747)/(ORÇAMENTO!$X$15-CÁLCULO.TotalAdmLocal)*CRONO!$E43,0),T42*$R41),SUMIF(OFFSET($R43,1,0,$Q41-2),($L41+1)&amp;"$",OFFSET(T43,1,0,$Q41-2)))</f>
        <v>0</v>
      </c>
      <c r="U43" s="223">
        <f ca="1">IF($Q41=2,IF(AND(ACOMPANHAMENTO="PLE",ISNUMBER($E41)),SUMIF((OFFSET(CÁLCULO!$AM$15:$AW$15,$E41,0,OFFSET(ORÇAMENTO!$D$15,CRONO!$E41,0))),"="&amp;CRONO!U$12,OFFSET(CÁLCULO!$AB$15:$AL$15,$E41,0,OFFSET(ORÇAMENTO!$D$15,CRONO!$E41,0)))+IF(AND($E43&lt;&gt;"",$E43&lt;&gt;0),SUMIF(CÁLCULO!$AM$15:$AW$747,"="&amp;CRONO!U$12,CÁLCULO!$AB$15:$AL$747)/(ORÇAMENTO!$X$15-CÁLCULO.TotalAdmLocal)*CRONO!$E43,0),U42*$R41),SUMIF(OFFSET($R43,1,0,$Q41-2),($L41+1)&amp;"$",OFFSET(U43,1,0,$Q41-2)))</f>
        <v>0</v>
      </c>
      <c r="V43" s="223">
        <f ca="1">IF($Q41=2,IF(AND(ACOMPANHAMENTO="PLE",ISNUMBER($E41)),SUMIF((OFFSET(CÁLCULO!$AM$15:$AW$15,$E41,0,OFFSET(ORÇAMENTO!$D$15,CRONO!$E41,0))),"="&amp;CRONO!V$12,OFFSET(CÁLCULO!$AB$15:$AL$15,$E41,0,OFFSET(ORÇAMENTO!$D$15,CRONO!$E41,0)))+IF(AND($E43&lt;&gt;"",$E43&lt;&gt;0),SUMIF(CÁLCULO!$AM$15:$AW$747,"="&amp;CRONO!V$12,CÁLCULO!$AB$15:$AL$747)/(ORÇAMENTO!$X$15-CÁLCULO.TotalAdmLocal)*CRONO!$E43,0),V42*$R41),SUMIF(OFFSET($R43,1,0,$Q41-2),($L41+1)&amp;"$",OFFSET(V43,1,0,$Q41-2)))</f>
        <v>0</v>
      </c>
      <c r="W43" s="223">
        <f ca="1">IF($Q41=2,IF(AND(ACOMPANHAMENTO="PLE",ISNUMBER($E41)),SUMIF((OFFSET(CÁLCULO!$AM$15:$AW$15,$E41,0,OFFSET(ORÇAMENTO!$D$15,CRONO!$E41,0))),"="&amp;CRONO!W$12,OFFSET(CÁLCULO!$AB$15:$AL$15,$E41,0,OFFSET(ORÇAMENTO!$D$15,CRONO!$E41,0)))+IF(AND($E43&lt;&gt;"",$E43&lt;&gt;0),SUMIF(CÁLCULO!$AM$15:$AW$747,"="&amp;CRONO!W$12,CÁLCULO!$AB$15:$AL$747)/(ORÇAMENTO!$X$15-CÁLCULO.TotalAdmLocal)*CRONO!$E43,0),W42*$R41),SUMIF(OFFSET($R43,1,0,$Q41-2),($L41+1)&amp;"$",OFFSET(W43,1,0,$Q41-2)))</f>
        <v>0</v>
      </c>
      <c r="X43" s="223">
        <f ca="1">IF($Q41=2,IF(AND(ACOMPANHAMENTO="PLE",ISNUMBER($E41)),SUMIF((OFFSET(CÁLCULO!$AM$15:$AW$15,$E41,0,OFFSET(ORÇAMENTO!$D$15,CRONO!$E41,0))),"="&amp;CRONO!X$12,OFFSET(CÁLCULO!$AB$15:$AL$15,$E41,0,OFFSET(ORÇAMENTO!$D$15,CRONO!$E41,0)))+IF(AND($E43&lt;&gt;"",$E43&lt;&gt;0),SUMIF(CÁLCULO!$AM$15:$AW$747,"="&amp;CRONO!X$12,CÁLCULO!$AB$15:$AL$747)/(ORÇAMENTO!$X$15-CÁLCULO.TotalAdmLocal)*CRONO!$E43,0),X42*$R41),SUMIF(OFFSET($R43,1,0,$Q41-2),($L41+1)&amp;"$",OFFSET(X43,1,0,$Q41-2)))</f>
        <v>0</v>
      </c>
      <c r="Y43" s="223">
        <f ca="1">IF($Q41=2,IF(AND(ACOMPANHAMENTO="PLE",ISNUMBER($E41)),SUMIF((OFFSET(CÁLCULO!$AM$15:$AW$15,$E41,0,OFFSET(ORÇAMENTO!$D$15,CRONO!$E41,0))),"="&amp;CRONO!Y$12,OFFSET(CÁLCULO!$AB$15:$AL$15,$E41,0,OFFSET(ORÇAMENTO!$D$15,CRONO!$E41,0)))+IF(AND($E43&lt;&gt;"",$E43&lt;&gt;0),SUMIF(CÁLCULO!$AM$15:$AW$747,"="&amp;CRONO!Y$12,CÁLCULO!$AB$15:$AL$747)/(ORÇAMENTO!$X$15-CÁLCULO.TotalAdmLocal)*CRONO!$E43,0),Y42*$R41),SUMIF(OFFSET($R43,1,0,$Q41-2),($L41+1)&amp;"$",OFFSET(Y43,1,0,$Q41-2)))</f>
        <v>0</v>
      </c>
      <c r="Z43" s="223">
        <f ca="1">IF($Q41=2,IF(AND(ACOMPANHAMENTO="PLE",ISNUMBER($E41)),SUMIF((OFFSET(CÁLCULO!$AM$15:$AW$15,$E41,0,OFFSET(ORÇAMENTO!$D$15,CRONO!$E41,0))),"="&amp;CRONO!Z$12,OFFSET(CÁLCULO!$AB$15:$AL$15,$E41,0,OFFSET(ORÇAMENTO!$D$15,CRONO!$E41,0)))+IF(AND($E43&lt;&gt;"",$E43&lt;&gt;0),SUMIF(CÁLCULO!$AM$15:$AW$747,"="&amp;CRONO!Z$12,CÁLCULO!$AB$15:$AL$747)/(ORÇAMENTO!$X$15-CÁLCULO.TotalAdmLocal)*CRONO!$E43,0),Z42*$R41),SUMIF(OFFSET($R43,1,0,$Q41-2),($L41+1)&amp;"$",OFFSET(Z43,1,0,$Q41-2)))</f>
        <v>0</v>
      </c>
      <c r="AA43" s="223">
        <f ca="1">IF($Q41=2,IF(AND(ACOMPANHAMENTO="PLE",ISNUMBER($E41)),SUMIF((OFFSET(CÁLCULO!$AM$15:$AW$15,$E41,0,OFFSET(ORÇAMENTO!$D$15,CRONO!$E41,0))),"="&amp;CRONO!AA$12,OFFSET(CÁLCULO!$AB$15:$AL$15,$E41,0,OFFSET(ORÇAMENTO!$D$15,CRONO!$E41,0)))+IF(AND($E43&lt;&gt;"",$E43&lt;&gt;0),SUMIF(CÁLCULO!$AM$15:$AW$747,"="&amp;CRONO!AA$12,CÁLCULO!$AB$15:$AL$747)/(ORÇAMENTO!$X$15-CÁLCULO.TotalAdmLocal)*CRONO!$E43,0),AA42*$R41),SUMIF(OFFSET($R43,1,0,$Q41-2),($L41+1)&amp;"$",OFFSET(AA43,1,0,$Q41-2)))</f>
        <v>0</v>
      </c>
      <c r="AB43" s="223">
        <f ca="1">IF($Q41=2,IF(AND(ACOMPANHAMENTO="PLE",ISNUMBER($E41)),SUMIF((OFFSET(CÁLCULO!$AM$15:$AW$15,$E41,0,OFFSET(ORÇAMENTO!$D$15,CRONO!$E41,0))),"="&amp;CRONO!AB$12,OFFSET(CÁLCULO!$AB$15:$AL$15,$E41,0,OFFSET(ORÇAMENTO!$D$15,CRONO!$E41,0)))+IF(AND($E43&lt;&gt;"",$E43&lt;&gt;0),SUMIF(CÁLCULO!$AM$15:$AW$747,"="&amp;CRONO!AB$12,CÁLCULO!$AB$15:$AL$747)/(ORÇAMENTO!$X$15-CÁLCULO.TotalAdmLocal)*CRONO!$E43,0),AB42*$R41),SUMIF(OFFSET($R43,1,0,$Q41-2),($L41+1)&amp;"$",OFFSET(AB43,1,0,$Q41-2)))</f>
        <v>0</v>
      </c>
      <c r="AC43" s="223">
        <f ca="1">IF($Q41=2,IF(AND(ACOMPANHAMENTO="PLE",ISNUMBER($E41)),SUMIF((OFFSET(CÁLCULO!$AM$15:$AW$15,$E41,0,OFFSET(ORÇAMENTO!$D$15,CRONO!$E41,0))),"="&amp;CRONO!AC$12,OFFSET(CÁLCULO!$AB$15:$AL$15,$E41,0,OFFSET(ORÇAMENTO!$D$15,CRONO!$E41,0)))+IF(AND($E43&lt;&gt;"",$E43&lt;&gt;0),SUMIF(CÁLCULO!$AM$15:$AW$747,"="&amp;CRONO!AC$12,CÁLCULO!$AB$15:$AL$747)/(ORÇAMENTO!$X$15-CÁLCULO.TotalAdmLocal)*CRONO!$E43,0),AC42*$R41),SUMIF(OFFSET($R43,1,0,$Q41-2),($L41+1)&amp;"$",OFFSET(AC43,1,0,$Q41-2)))</f>
        <v>0</v>
      </c>
      <c r="AD43" s="223">
        <f ca="1">IF($Q41=2,IF(AND(ACOMPANHAMENTO="PLE",ISNUMBER($E41)),SUMIF((OFFSET(CÁLCULO!$AM$15:$AW$15,$E41,0,OFFSET(ORÇAMENTO!$D$15,CRONO!$E41,0))),"="&amp;CRONO!AD$12,OFFSET(CÁLCULO!$AB$15:$AL$15,$E41,0,OFFSET(ORÇAMENTO!$D$15,CRONO!$E41,0)))+IF(AND($E43&lt;&gt;"",$E43&lt;&gt;0),SUMIF(CÁLCULO!$AM$15:$AW$747,"="&amp;CRONO!AD$12,CÁLCULO!$AB$15:$AL$747)/(ORÇAMENTO!$X$15-CÁLCULO.TotalAdmLocal)*CRONO!$E43,0),AD42*$R41),SUMIF(OFFSET($R43,1,0,$Q41-2),($L41+1)&amp;"$",OFFSET(AD43,1,0,$Q41-2)))</f>
        <v>0</v>
      </c>
      <c r="AE43" s="228">
        <f ca="1">IF($Q41=2,IF(AND(ACOMPANHAMENTO="PLE",ISNUMBER($E41)),SUMIF((OFFSET(CÁLCULO!$AM$15:$AW$15,$E41,0,OFFSET(ORÇAMENTO!$D$15,CRONO!$E41,0))),"="&amp;CRONO!AE$12,OFFSET(CÁLCULO!$AB$15:$AL$15,$E41,0,OFFSET(ORÇAMENTO!$D$15,CRONO!$E41,0)))+IF(AND($E43&lt;&gt;"",$E43&lt;&gt;0),SUMIF(CÁLCULO!$AM$15:$AW$747,"="&amp;CRONO!AE$12,CÁLCULO!$AB$15:$AL$747)/(ORÇAMENTO!$X$15-CÁLCULO.TotalAdmLocal)*CRONO!$E43,0),AE42*$R41),SUMIF(OFFSET($R43,1,0,$Q41-2),($L41+1)&amp;"$",OFFSET(AE43,1,0,$Q41-2)))</f>
        <v>0</v>
      </c>
    </row>
    <row r="44" spans="1:32" x14ac:dyDescent="0.2">
      <c r="A44" s="204">
        <f t="shared" ref="A44" ca="1" si="73">OFFSET(A44,-3,0)+1</f>
        <v>11</v>
      </c>
      <c r="B44" s="204">
        <f ca="1">IF($Q44&lt;&gt;2,0,IF($R44=0,1,IF(E45&gt;0,OFFSET(QCI!$M$13,SUBSTITUTE(E45,".",""),0),OFFSET(ORÇAMENTO!$AA$15,CRONO!$E44,0))/$R44))</f>
        <v>1</v>
      </c>
      <c r="C44" s="204">
        <f ca="1">IF($Q44&lt;&gt;2,0,IF($R44=0,1,IF(E45&gt;0,OFFSET(QCI!$N$13,SUBSTITUTE(E45,".",""),0),OFFSET(ORÇAMENTO!$AB$15,CRONO!$E44,0))/$R44))</f>
        <v>1</v>
      </c>
      <c r="D44" s="207">
        <f ca="1">IF(AND($Q44=2,ACOMPANHAMENTO="BM"),D45,D46/$R44)</f>
        <v>0</v>
      </c>
      <c r="E44" s="204">
        <f ca="1">IF(A44&lt;=ORÇAMENTO.MáximoListaCrono,MATCH(A44,ORÇAMENTO.ListaCrono,0),NA())</f>
        <v>191</v>
      </c>
      <c r="F44" s="204" t="str">
        <f t="shared" ref="F44" ca="1" si="74">IF(AND($E45&lt;&gt;-1,$R44&gt;0),"F","")</f>
        <v/>
      </c>
      <c r="G44" s="208" t="str">
        <f ca="1">IF(OR(R44=0,R44=""),"Linha",IF(AND(OR(ACOMPANHAMENTO="PLE",$Q44&lt;&gt;2),$E45=0),"Linha",1-SUM(T44:AF44)))</f>
        <v>Linha</v>
      </c>
      <c r="H44" s="209" t="str">
        <f ca="1">IF($E45=0,OFFSET(ORÇAMENTO!O$15,$E44,0),IF($E45&lt;&gt;-1,OFFSET(QCI!$D$13,$E45,0),""))</f>
        <v>1.10.</v>
      </c>
      <c r="I44" s="210" t="str">
        <f ca="1">IF($E45=0,OFFSET(ORÇAMENTO!R$15,$E44,0),IF($E45&lt;&gt;-1,OFFSET(QCI!$G$13,$E45,0),""))</f>
        <v>SISTEMAS DE PISOS</v>
      </c>
      <c r="J44" s="210"/>
      <c r="K44" s="210"/>
      <c r="L44" s="211">
        <f ca="1">IF($E45=0,OFFSET(ORÇAMENTO!C$15,$E44,0),1)</f>
        <v>2</v>
      </c>
      <c r="M44" s="212">
        <f ca="1">IF($E45=-1,0,IF(M$13&lt;=$L44,IF(ISERROR(MATCH(M$13,OFFSET($L44,1,0,ROW($L$89)-ROW($L44)-1),0)),ROW($L$89)-ROW($L44)-1,MATCH(M$13,OFFSET($L44,1,0,ROW($L$89)-ROW($L44)-1),0)-1),0))</f>
        <v>44</v>
      </c>
      <c r="N44" s="212">
        <f ca="1">IF($E45=-1,0,IF(N$13&lt;=$L44,IF(ISERROR(MATCH(N$13,OFFSET($L44,1,0,ROW($L$89)-ROW($L44)-1),0)),ROW($L$89)-ROW($L44)-1,MATCH(N$13,OFFSET($L44,1,0,ROW($L$89)-ROW($L44)-1),0)-1),0))</f>
        <v>2</v>
      </c>
      <c r="O44" s="212">
        <f ca="1">IF($E45=-1,0,IF(O$13&lt;=$L44,IF(ISERROR(MATCH(O$13,OFFSET($L44,1,0,ROW($L$89)-ROW($L44)-1),0)),ROW($L$89)-ROW($L44)-1,MATCH(O$13,OFFSET($L44,1,0,ROW($L$89)-ROW($L44)-1),0)-1),0))</f>
        <v>0</v>
      </c>
      <c r="P44" s="212">
        <f ca="1">IF($E45=-1,0,IF(P$13&lt;=$L44,IF(ISERROR(MATCH(P$13,OFFSET($L44,1,0,ROW($L$89)-ROW($L44)-1),0)),ROW($L$89)-ROW($L44)-1,MATCH(P$13,OFFSET($L44,1,0,ROW($L$89)-ROW($L44)-1),0)-1),0))</f>
        <v>0</v>
      </c>
      <c r="Q44" s="212">
        <f t="shared" ref="Q44" ca="1" si="75">MIN(OFFSET(L44,0,1,,L44))</f>
        <v>2</v>
      </c>
      <c r="R44" s="213">
        <f ca="1">IF($E45=0,OFFSET(ORÇAMENTO!X$15,$E44,0),IF($E45&lt;&gt;-1,OFFSET(QCI!$O$13,$E45,0),""))</f>
        <v>0</v>
      </c>
      <c r="S44" s="214" t="s">
        <v>270</v>
      </c>
      <c r="T44" s="215">
        <f t="shared" ref="T44:AE44" ca="1" si="76">IF(AND($Q44=2,ACOMPANHAMENTO="BM"),T45,T46/$R44)</f>
        <v>0</v>
      </c>
      <c r="U44" s="207">
        <f t="shared" ca="1" si="76"/>
        <v>0</v>
      </c>
      <c r="V44" s="207">
        <f t="shared" ca="1" si="76"/>
        <v>0</v>
      </c>
      <c r="W44" s="207">
        <f t="shared" ca="1" si="76"/>
        <v>0.15</v>
      </c>
      <c r="X44" s="207">
        <f t="shared" ca="1" si="76"/>
        <v>0.15</v>
      </c>
      <c r="Y44" s="207">
        <f t="shared" ca="1" si="76"/>
        <v>0.25</v>
      </c>
      <c r="Z44" s="207">
        <f t="shared" ca="1" si="76"/>
        <v>0.2</v>
      </c>
      <c r="AA44" s="207">
        <f t="shared" ca="1" si="76"/>
        <v>0.25</v>
      </c>
      <c r="AB44" s="207">
        <f t="shared" ca="1" si="76"/>
        <v>0</v>
      </c>
      <c r="AC44" s="207">
        <f t="shared" ca="1" si="76"/>
        <v>0</v>
      </c>
      <c r="AD44" s="207">
        <f t="shared" ca="1" si="76"/>
        <v>0</v>
      </c>
      <c r="AE44" s="216">
        <f t="shared" ca="1" si="76"/>
        <v>0</v>
      </c>
    </row>
    <row r="45" spans="1:32" ht="12.75" customHeight="1" x14ac:dyDescent="0.2">
      <c r="D45" s="569"/>
      <c r="E45" s="204">
        <f ca="1">IF(ISERROR(E44),IF(1+COUNTIF($L$13:OFFSET(L44,-1,0),1)&lt;=MAX(QCI!$D$13:$D$24),1+COUNTIF($L$13:OFFSET(L44,-1,0),1),-1),0)</f>
        <v>0</v>
      </c>
      <c r="F45" s="204" t="str">
        <f t="shared" ref="F45" ca="1" si="77">IF(AND($E45&lt;&gt;-1,$R44&gt;0),"F","")</f>
        <v/>
      </c>
      <c r="G45" s="217" t="str">
        <f ca="1">IF(OR(R44=0,R44=""),"vazia",IF(AND(OR(ACOMPANHAMENTO="PLE",$Q44&lt;&gt;2),$E45=0),"calculada","--&gt;"))</f>
        <v>vazia</v>
      </c>
      <c r="H45" s="218"/>
      <c r="I45" s="219" t="str">
        <f t="shared" ref="I45" ca="1" si="78">IF(AND(G44&lt;&gt;0,ISNUMBER(G44)),"PREENCHA ESTA LINHA --&gt;","")</f>
        <v/>
      </c>
      <c r="J45" s="219"/>
      <c r="K45" s="219"/>
      <c r="L45" s="220"/>
      <c r="M45" s="220"/>
      <c r="N45" s="220"/>
      <c r="O45" s="220"/>
      <c r="P45" s="220"/>
      <c r="Q45" s="220"/>
      <c r="R45" s="221"/>
      <c r="S45" s="222"/>
      <c r="T45" s="570"/>
      <c r="U45" s="569"/>
      <c r="V45" s="569"/>
      <c r="W45" s="569">
        <v>0.15</v>
      </c>
      <c r="X45" s="569">
        <v>0.15</v>
      </c>
      <c r="Y45" s="569">
        <v>0.25</v>
      </c>
      <c r="Z45" s="569">
        <v>0.2</v>
      </c>
      <c r="AA45" s="569">
        <v>0.25</v>
      </c>
      <c r="AB45" s="569"/>
      <c r="AC45" s="569"/>
      <c r="AD45" s="569"/>
      <c r="AE45" s="571"/>
      <c r="AF45" s="533"/>
    </row>
    <row r="46" spans="1:32" ht="0.2" hidden="1" customHeight="1" x14ac:dyDescent="0.2">
      <c r="D46" s="223">
        <f ca="1">IF($Q44=2,IF(AND(ACOMPANHAMENTO="PLE",ISNUMBER($E44)),SUMIF((OFFSET(CÁLCULO!$AM$15:$AW$15,$E44,0,OFFSET(ORÇAMENTO!$D$15,CRONO!$E44,0))),"="&amp;CRONO!D$12,OFFSET(CÁLCULO!$AB$15:$AL$15,$E44,0,OFFSET(ORÇAMENTO!$D$15,CRONO!$E44,0)))+IF(AND($E46&lt;&gt;"",$E46&lt;&gt;0),SUMIF(CÁLCULO!$AM$15:$AW$747,"="&amp;CRONO!D$12,CÁLCULO!$AB$15:$AL$747)/(ORÇAMENTO!$X$15-CÁLCULO.TotalAdmLocal)*CRONO!$E46,0),D45*$R44),SUMIF(OFFSET($R46,1,0,$Q44-2),($L44+1)&amp;"$",OFFSET(D46,1,0,$Q44-2)))</f>
        <v>0</v>
      </c>
      <c r="E46" s="204" t="str">
        <f ca="1">IF(OR($Q44&lt;&gt;2,AUTOEVENTO&lt;&gt;"manual",$E45&gt;0),"",SUMIF(OFFSET(CÁLCULO!$M$15,CRONO!$E44,0,OFFSET(ORÇAMENTO!$D$15,CRONO!$E44,0)),1,OFFSET(ORÇAMENTO!$X$15,CRONO!$E44,0,OFFSET(ORÇAMENTO!$D$15,CRONO!$E44,0))))</f>
        <v/>
      </c>
      <c r="G46" s="224"/>
      <c r="R46" s="225" t="str">
        <f t="shared" ref="R46" ca="1" si="79">L44&amp;"$"</f>
        <v>2$</v>
      </c>
      <c r="S46" s="226"/>
      <c r="T46" s="227">
        <f ca="1">IF($Q44=2,IF(AND(ACOMPANHAMENTO="PLE",ISNUMBER($E44)),SUMIF((OFFSET(CÁLCULO!$AM$15:$AW$15,$E44,0,OFFSET(ORÇAMENTO!$D$15,CRONO!$E44,0))),"&lt;="&amp;CRONO!T$12,OFFSET(CÁLCULO!$AB$15:$AL$15,$E44,0,OFFSET(ORÇAMENTO!$D$15,CRONO!$E44,0)))+IF(AND($E46&lt;&gt;"",$E46&lt;&gt;0),SUMIF(CÁLCULO!$AM$15:$AW$747,"&lt;="&amp;CRONO!T$12,CÁLCULO!$AB$15:$AL$747)/(ORÇAMENTO!$X$15-CÁLCULO.TotalAdmLocal)*CRONO!$E46,0),T45*$R44),SUMIF(OFFSET($R46,1,0,$Q44-2),($L44+1)&amp;"$",OFFSET(T46,1,0,$Q44-2)))</f>
        <v>0</v>
      </c>
      <c r="U46" s="223">
        <f ca="1">IF($Q44=2,IF(AND(ACOMPANHAMENTO="PLE",ISNUMBER($E44)),SUMIF((OFFSET(CÁLCULO!$AM$15:$AW$15,$E44,0,OFFSET(ORÇAMENTO!$D$15,CRONO!$E44,0))),"="&amp;CRONO!U$12,OFFSET(CÁLCULO!$AB$15:$AL$15,$E44,0,OFFSET(ORÇAMENTO!$D$15,CRONO!$E44,0)))+IF(AND($E46&lt;&gt;"",$E46&lt;&gt;0),SUMIF(CÁLCULO!$AM$15:$AW$747,"="&amp;CRONO!U$12,CÁLCULO!$AB$15:$AL$747)/(ORÇAMENTO!$X$15-CÁLCULO.TotalAdmLocal)*CRONO!$E46,0),U45*$R44),SUMIF(OFFSET($R46,1,0,$Q44-2),($L44+1)&amp;"$",OFFSET(U46,1,0,$Q44-2)))</f>
        <v>0</v>
      </c>
      <c r="V46" s="223">
        <f ca="1">IF($Q44=2,IF(AND(ACOMPANHAMENTO="PLE",ISNUMBER($E44)),SUMIF((OFFSET(CÁLCULO!$AM$15:$AW$15,$E44,0,OFFSET(ORÇAMENTO!$D$15,CRONO!$E44,0))),"="&amp;CRONO!V$12,OFFSET(CÁLCULO!$AB$15:$AL$15,$E44,0,OFFSET(ORÇAMENTO!$D$15,CRONO!$E44,0)))+IF(AND($E46&lt;&gt;"",$E46&lt;&gt;0),SUMIF(CÁLCULO!$AM$15:$AW$747,"="&amp;CRONO!V$12,CÁLCULO!$AB$15:$AL$747)/(ORÇAMENTO!$X$15-CÁLCULO.TotalAdmLocal)*CRONO!$E46,0),V45*$R44),SUMIF(OFFSET($R46,1,0,$Q44-2),($L44+1)&amp;"$",OFFSET(V46,1,0,$Q44-2)))</f>
        <v>0</v>
      </c>
      <c r="W46" s="223">
        <f ca="1">IF($Q44=2,IF(AND(ACOMPANHAMENTO="PLE",ISNUMBER($E44)),SUMIF((OFFSET(CÁLCULO!$AM$15:$AW$15,$E44,0,OFFSET(ORÇAMENTO!$D$15,CRONO!$E44,0))),"="&amp;CRONO!W$12,OFFSET(CÁLCULO!$AB$15:$AL$15,$E44,0,OFFSET(ORÇAMENTO!$D$15,CRONO!$E44,0)))+IF(AND($E46&lt;&gt;"",$E46&lt;&gt;0),SUMIF(CÁLCULO!$AM$15:$AW$747,"="&amp;CRONO!W$12,CÁLCULO!$AB$15:$AL$747)/(ORÇAMENTO!$X$15-CÁLCULO.TotalAdmLocal)*CRONO!$E46,0),W45*$R44),SUMIF(OFFSET($R46,1,0,$Q44-2),($L44+1)&amp;"$",OFFSET(W46,1,0,$Q44-2)))</f>
        <v>0</v>
      </c>
      <c r="X46" s="223">
        <f ca="1">IF($Q44=2,IF(AND(ACOMPANHAMENTO="PLE",ISNUMBER($E44)),SUMIF((OFFSET(CÁLCULO!$AM$15:$AW$15,$E44,0,OFFSET(ORÇAMENTO!$D$15,CRONO!$E44,0))),"="&amp;CRONO!X$12,OFFSET(CÁLCULO!$AB$15:$AL$15,$E44,0,OFFSET(ORÇAMENTO!$D$15,CRONO!$E44,0)))+IF(AND($E46&lt;&gt;"",$E46&lt;&gt;0),SUMIF(CÁLCULO!$AM$15:$AW$747,"="&amp;CRONO!X$12,CÁLCULO!$AB$15:$AL$747)/(ORÇAMENTO!$X$15-CÁLCULO.TotalAdmLocal)*CRONO!$E46,0),X45*$R44),SUMIF(OFFSET($R46,1,0,$Q44-2),($L44+1)&amp;"$",OFFSET(X46,1,0,$Q44-2)))</f>
        <v>0</v>
      </c>
      <c r="Y46" s="223">
        <f ca="1">IF($Q44=2,IF(AND(ACOMPANHAMENTO="PLE",ISNUMBER($E44)),SUMIF((OFFSET(CÁLCULO!$AM$15:$AW$15,$E44,0,OFFSET(ORÇAMENTO!$D$15,CRONO!$E44,0))),"="&amp;CRONO!Y$12,OFFSET(CÁLCULO!$AB$15:$AL$15,$E44,0,OFFSET(ORÇAMENTO!$D$15,CRONO!$E44,0)))+IF(AND($E46&lt;&gt;"",$E46&lt;&gt;0),SUMIF(CÁLCULO!$AM$15:$AW$747,"="&amp;CRONO!Y$12,CÁLCULO!$AB$15:$AL$747)/(ORÇAMENTO!$X$15-CÁLCULO.TotalAdmLocal)*CRONO!$E46,0),Y45*$R44),SUMIF(OFFSET($R46,1,0,$Q44-2),($L44+1)&amp;"$",OFFSET(Y46,1,0,$Q44-2)))</f>
        <v>0</v>
      </c>
      <c r="Z46" s="223">
        <f ca="1">IF($Q44=2,IF(AND(ACOMPANHAMENTO="PLE",ISNUMBER($E44)),SUMIF((OFFSET(CÁLCULO!$AM$15:$AW$15,$E44,0,OFFSET(ORÇAMENTO!$D$15,CRONO!$E44,0))),"="&amp;CRONO!Z$12,OFFSET(CÁLCULO!$AB$15:$AL$15,$E44,0,OFFSET(ORÇAMENTO!$D$15,CRONO!$E44,0)))+IF(AND($E46&lt;&gt;"",$E46&lt;&gt;0),SUMIF(CÁLCULO!$AM$15:$AW$747,"="&amp;CRONO!Z$12,CÁLCULO!$AB$15:$AL$747)/(ORÇAMENTO!$X$15-CÁLCULO.TotalAdmLocal)*CRONO!$E46,0),Z45*$R44),SUMIF(OFFSET($R46,1,0,$Q44-2),($L44+1)&amp;"$",OFFSET(Z46,1,0,$Q44-2)))</f>
        <v>0</v>
      </c>
      <c r="AA46" s="223">
        <f ca="1">IF($Q44=2,IF(AND(ACOMPANHAMENTO="PLE",ISNUMBER($E44)),SUMIF((OFFSET(CÁLCULO!$AM$15:$AW$15,$E44,0,OFFSET(ORÇAMENTO!$D$15,CRONO!$E44,0))),"="&amp;CRONO!AA$12,OFFSET(CÁLCULO!$AB$15:$AL$15,$E44,0,OFFSET(ORÇAMENTO!$D$15,CRONO!$E44,0)))+IF(AND($E46&lt;&gt;"",$E46&lt;&gt;0),SUMIF(CÁLCULO!$AM$15:$AW$747,"="&amp;CRONO!AA$12,CÁLCULO!$AB$15:$AL$747)/(ORÇAMENTO!$X$15-CÁLCULO.TotalAdmLocal)*CRONO!$E46,0),AA45*$R44),SUMIF(OFFSET($R46,1,0,$Q44-2),($L44+1)&amp;"$",OFFSET(AA46,1,0,$Q44-2)))</f>
        <v>0</v>
      </c>
      <c r="AB46" s="223">
        <f ca="1">IF($Q44=2,IF(AND(ACOMPANHAMENTO="PLE",ISNUMBER($E44)),SUMIF((OFFSET(CÁLCULO!$AM$15:$AW$15,$E44,0,OFFSET(ORÇAMENTO!$D$15,CRONO!$E44,0))),"="&amp;CRONO!AB$12,OFFSET(CÁLCULO!$AB$15:$AL$15,$E44,0,OFFSET(ORÇAMENTO!$D$15,CRONO!$E44,0)))+IF(AND($E46&lt;&gt;"",$E46&lt;&gt;0),SUMIF(CÁLCULO!$AM$15:$AW$747,"="&amp;CRONO!AB$12,CÁLCULO!$AB$15:$AL$747)/(ORÇAMENTO!$X$15-CÁLCULO.TotalAdmLocal)*CRONO!$E46,0),AB45*$R44),SUMIF(OFFSET($R46,1,0,$Q44-2),($L44+1)&amp;"$",OFFSET(AB46,1,0,$Q44-2)))</f>
        <v>0</v>
      </c>
      <c r="AC46" s="223">
        <f ca="1">IF($Q44=2,IF(AND(ACOMPANHAMENTO="PLE",ISNUMBER($E44)),SUMIF((OFFSET(CÁLCULO!$AM$15:$AW$15,$E44,0,OFFSET(ORÇAMENTO!$D$15,CRONO!$E44,0))),"="&amp;CRONO!AC$12,OFFSET(CÁLCULO!$AB$15:$AL$15,$E44,0,OFFSET(ORÇAMENTO!$D$15,CRONO!$E44,0)))+IF(AND($E46&lt;&gt;"",$E46&lt;&gt;0),SUMIF(CÁLCULO!$AM$15:$AW$747,"="&amp;CRONO!AC$12,CÁLCULO!$AB$15:$AL$747)/(ORÇAMENTO!$X$15-CÁLCULO.TotalAdmLocal)*CRONO!$E46,0),AC45*$R44),SUMIF(OFFSET($R46,1,0,$Q44-2),($L44+1)&amp;"$",OFFSET(AC46,1,0,$Q44-2)))</f>
        <v>0</v>
      </c>
      <c r="AD46" s="223">
        <f ca="1">IF($Q44=2,IF(AND(ACOMPANHAMENTO="PLE",ISNUMBER($E44)),SUMIF((OFFSET(CÁLCULO!$AM$15:$AW$15,$E44,0,OFFSET(ORÇAMENTO!$D$15,CRONO!$E44,0))),"="&amp;CRONO!AD$12,OFFSET(CÁLCULO!$AB$15:$AL$15,$E44,0,OFFSET(ORÇAMENTO!$D$15,CRONO!$E44,0)))+IF(AND($E46&lt;&gt;"",$E46&lt;&gt;0),SUMIF(CÁLCULO!$AM$15:$AW$747,"="&amp;CRONO!AD$12,CÁLCULO!$AB$15:$AL$747)/(ORÇAMENTO!$X$15-CÁLCULO.TotalAdmLocal)*CRONO!$E46,0),AD45*$R44),SUMIF(OFFSET($R46,1,0,$Q44-2),($L44+1)&amp;"$",OFFSET(AD46,1,0,$Q44-2)))</f>
        <v>0</v>
      </c>
      <c r="AE46" s="228">
        <f ca="1">IF($Q44=2,IF(AND(ACOMPANHAMENTO="PLE",ISNUMBER($E44)),SUMIF((OFFSET(CÁLCULO!$AM$15:$AW$15,$E44,0,OFFSET(ORÇAMENTO!$D$15,CRONO!$E44,0))),"="&amp;CRONO!AE$12,OFFSET(CÁLCULO!$AB$15:$AL$15,$E44,0,OFFSET(ORÇAMENTO!$D$15,CRONO!$E44,0)))+IF(AND($E46&lt;&gt;"",$E46&lt;&gt;0),SUMIF(CÁLCULO!$AM$15:$AW$747,"="&amp;CRONO!AE$12,CÁLCULO!$AB$15:$AL$747)/(ORÇAMENTO!$X$15-CÁLCULO.TotalAdmLocal)*CRONO!$E46,0),AE45*$R44),SUMIF(OFFSET($R46,1,0,$Q44-2),($L44+1)&amp;"$",OFFSET(AE46,1,0,$Q44-2)))</f>
        <v>0</v>
      </c>
    </row>
    <row r="47" spans="1:32" x14ac:dyDescent="0.2">
      <c r="A47" s="204">
        <f t="shared" ref="A47" ca="1" si="80">OFFSET(A47,-3,0)+1</f>
        <v>12</v>
      </c>
      <c r="B47" s="204">
        <f ca="1">IF($Q47&lt;&gt;2,0,IF($R47=0,1,IF(E48&gt;0,OFFSET(QCI!$M$13,SUBSTITUTE(E48,".",""),0),OFFSET(ORÇAMENTO!$AA$15,CRONO!$E47,0))/$R47))</f>
        <v>1</v>
      </c>
      <c r="C47" s="204">
        <f ca="1">IF($Q47&lt;&gt;2,0,IF($R47=0,1,IF(E48&gt;0,OFFSET(QCI!$N$13,SUBSTITUTE(E48,".",""),0),OFFSET(ORÇAMENTO!$AB$15,CRONO!$E47,0))/$R47))</f>
        <v>1</v>
      </c>
      <c r="D47" s="207">
        <f ca="1">IF(AND($Q47=2,ACOMPANHAMENTO="BM"),D48,D49/$R47)</f>
        <v>0</v>
      </c>
      <c r="E47" s="204">
        <f ca="1">IF(A47&lt;=ORÇAMENTO.MáximoListaCrono,MATCH(A47,ORÇAMENTO.ListaCrono,0),NA())</f>
        <v>225</v>
      </c>
      <c r="F47" s="204" t="str">
        <f t="shared" ref="F47" ca="1" si="81">IF(AND($E48&lt;&gt;-1,$R47&gt;0),"F","")</f>
        <v/>
      </c>
      <c r="G47" s="208" t="str">
        <f ca="1">IF(OR(R47=0,R47=""),"Linha",IF(AND(OR(ACOMPANHAMENTO="PLE",$Q47&lt;&gt;2),$E48=0),"Linha",1-SUM(T47:AF47)))</f>
        <v>Linha</v>
      </c>
      <c r="H47" s="209" t="str">
        <f ca="1">IF($E48=0,OFFSET(ORÇAMENTO!O$15,$E47,0),IF($E48&lt;&gt;-1,OFFSET(QCI!$D$13,$E48,0),""))</f>
        <v>1.11.</v>
      </c>
      <c r="I47" s="210" t="str">
        <f ca="1">IF($E48=0,OFFSET(ORÇAMENTO!R$15,$E47,0),IF($E48&lt;&gt;-1,OFFSET(QCI!$G$13,$E48,0),""))</f>
        <v>PINTURAS E ACABAMENTOS</v>
      </c>
      <c r="J47" s="210"/>
      <c r="K47" s="210"/>
      <c r="L47" s="211">
        <f ca="1">IF($E48=0,OFFSET(ORÇAMENTO!C$15,$E47,0),1)</f>
        <v>2</v>
      </c>
      <c r="M47" s="212">
        <f ca="1">IF($E48=-1,0,IF(M$13&lt;=$L47,IF(ISERROR(MATCH(M$13,OFFSET($L47,1,0,ROW($L$89)-ROW($L47)-1),0)),ROW($L$89)-ROW($L47)-1,MATCH(M$13,OFFSET($L47,1,0,ROW($L$89)-ROW($L47)-1),0)-1),0))</f>
        <v>41</v>
      </c>
      <c r="N47" s="212">
        <f ca="1">IF($E48=-1,0,IF(N$13&lt;=$L47,IF(ISERROR(MATCH(N$13,OFFSET($L47,1,0,ROW($L$89)-ROW($L47)-1),0)),ROW($L$89)-ROW($L47)-1,MATCH(N$13,OFFSET($L47,1,0,ROW($L$89)-ROW($L47)-1),0)-1),0))</f>
        <v>2</v>
      </c>
      <c r="O47" s="212">
        <f ca="1">IF($E48=-1,0,IF(O$13&lt;=$L47,IF(ISERROR(MATCH(O$13,OFFSET($L47,1,0,ROW($L$89)-ROW($L47)-1),0)),ROW($L$89)-ROW($L47)-1,MATCH(O$13,OFFSET($L47,1,0,ROW($L$89)-ROW($L47)-1),0)-1),0))</f>
        <v>0</v>
      </c>
      <c r="P47" s="212">
        <f ca="1">IF($E48=-1,0,IF(P$13&lt;=$L47,IF(ISERROR(MATCH(P$13,OFFSET($L47,1,0,ROW($L$89)-ROW($L47)-1),0)),ROW($L$89)-ROW($L47)-1,MATCH(P$13,OFFSET($L47,1,0,ROW($L$89)-ROW($L47)-1),0)-1),0))</f>
        <v>0</v>
      </c>
      <c r="Q47" s="212">
        <f t="shared" ref="Q47" ca="1" si="82">MIN(OFFSET(L47,0,1,,L47))</f>
        <v>2</v>
      </c>
      <c r="R47" s="213">
        <f ca="1">IF($E48=0,OFFSET(ORÇAMENTO!X$15,$E47,0),IF($E48&lt;&gt;-1,OFFSET(QCI!$O$13,$E48,0),""))</f>
        <v>0</v>
      </c>
      <c r="S47" s="214" t="s">
        <v>270</v>
      </c>
      <c r="T47" s="215">
        <f t="shared" ref="T47:AE47" ca="1" si="83">IF(AND($Q47=2,ACOMPANHAMENTO="BM"),T48,T49/$R47)</f>
        <v>0</v>
      </c>
      <c r="U47" s="207">
        <f t="shared" ca="1" si="83"/>
        <v>0</v>
      </c>
      <c r="V47" s="207">
        <f t="shared" ca="1" si="83"/>
        <v>0</v>
      </c>
      <c r="W47" s="207">
        <f t="shared" ca="1" si="83"/>
        <v>0</v>
      </c>
      <c r="X47" s="207">
        <f t="shared" ca="1" si="83"/>
        <v>0</v>
      </c>
      <c r="Y47" s="207">
        <f t="shared" ca="1" si="83"/>
        <v>0</v>
      </c>
      <c r="Z47" s="207">
        <f t="shared" ca="1" si="83"/>
        <v>0.3</v>
      </c>
      <c r="AA47" s="207">
        <f t="shared" ca="1" si="83"/>
        <v>0.25</v>
      </c>
      <c r="AB47" s="207">
        <f t="shared" ca="1" si="83"/>
        <v>0.4</v>
      </c>
      <c r="AC47" s="207">
        <f t="shared" ca="1" si="83"/>
        <v>0.05</v>
      </c>
      <c r="AD47" s="207">
        <f t="shared" ca="1" si="83"/>
        <v>0</v>
      </c>
      <c r="AE47" s="216">
        <f t="shared" ca="1" si="83"/>
        <v>0</v>
      </c>
    </row>
    <row r="48" spans="1:32" ht="12.75" customHeight="1" x14ac:dyDescent="0.2">
      <c r="D48" s="569"/>
      <c r="E48" s="204">
        <f ca="1">IF(ISERROR(E47),IF(1+COUNTIF($L$13:OFFSET(L47,-1,0),1)&lt;=MAX(QCI!$D$13:$D$24),1+COUNTIF($L$13:OFFSET(L47,-1,0),1),-1),0)</f>
        <v>0</v>
      </c>
      <c r="F48" s="204" t="str">
        <f t="shared" ref="F48" ca="1" si="84">IF(AND($E48&lt;&gt;-1,$R47&gt;0),"F","")</f>
        <v/>
      </c>
      <c r="G48" s="217" t="str">
        <f ca="1">IF(OR(R47=0,R47=""),"vazia",IF(AND(OR(ACOMPANHAMENTO="PLE",$Q47&lt;&gt;2),$E48=0),"calculada","--&gt;"))</f>
        <v>vazia</v>
      </c>
      <c r="H48" s="218"/>
      <c r="I48" s="219" t="str">
        <f t="shared" ref="I48" ca="1" si="85">IF(AND(G47&lt;&gt;0,ISNUMBER(G47)),"PREENCHA ESTA LINHA --&gt;","")</f>
        <v/>
      </c>
      <c r="J48" s="219"/>
      <c r="K48" s="219"/>
      <c r="L48" s="220"/>
      <c r="M48" s="220"/>
      <c r="N48" s="220"/>
      <c r="O48" s="220"/>
      <c r="P48" s="220"/>
      <c r="Q48" s="220"/>
      <c r="R48" s="221"/>
      <c r="S48" s="222"/>
      <c r="T48" s="570"/>
      <c r="U48" s="569"/>
      <c r="V48" s="569"/>
      <c r="W48" s="569"/>
      <c r="X48" s="569"/>
      <c r="Y48" s="569"/>
      <c r="Z48" s="569">
        <v>0.3</v>
      </c>
      <c r="AA48" s="569">
        <v>0.25</v>
      </c>
      <c r="AB48" s="569">
        <v>0.4</v>
      </c>
      <c r="AC48" s="569">
        <v>0.05</v>
      </c>
      <c r="AD48" s="569"/>
      <c r="AE48" s="571"/>
      <c r="AF48" s="533"/>
    </row>
    <row r="49" spans="1:32" ht="0.2" hidden="1" customHeight="1" x14ac:dyDescent="0.2">
      <c r="D49" s="223">
        <f ca="1">IF($Q47=2,IF(AND(ACOMPANHAMENTO="PLE",ISNUMBER($E47)),SUMIF((OFFSET(CÁLCULO!$AM$15:$AW$15,$E47,0,OFFSET(ORÇAMENTO!$D$15,CRONO!$E47,0))),"="&amp;CRONO!D$12,OFFSET(CÁLCULO!$AB$15:$AL$15,$E47,0,OFFSET(ORÇAMENTO!$D$15,CRONO!$E47,0)))+IF(AND($E49&lt;&gt;"",$E49&lt;&gt;0),SUMIF(CÁLCULO!$AM$15:$AW$747,"="&amp;CRONO!D$12,CÁLCULO!$AB$15:$AL$747)/(ORÇAMENTO!$X$15-CÁLCULO.TotalAdmLocal)*CRONO!$E49,0),D48*$R47),SUMIF(OFFSET($R49,1,0,$Q47-2),($L47+1)&amp;"$",OFFSET(D49,1,0,$Q47-2)))</f>
        <v>0</v>
      </c>
      <c r="E49" s="204" t="str">
        <f ca="1">IF(OR($Q47&lt;&gt;2,AUTOEVENTO&lt;&gt;"manual",$E48&gt;0),"",SUMIF(OFFSET(CÁLCULO!$M$15,CRONO!$E47,0,OFFSET(ORÇAMENTO!$D$15,CRONO!$E47,0)),1,OFFSET(ORÇAMENTO!$X$15,CRONO!$E47,0,OFFSET(ORÇAMENTO!$D$15,CRONO!$E47,0))))</f>
        <v/>
      </c>
      <c r="G49" s="224"/>
      <c r="R49" s="225" t="str">
        <f t="shared" ref="R49" ca="1" si="86">L47&amp;"$"</f>
        <v>2$</v>
      </c>
      <c r="S49" s="226"/>
      <c r="T49" s="227">
        <f ca="1">IF($Q47=2,IF(AND(ACOMPANHAMENTO="PLE",ISNUMBER($E47)),SUMIF((OFFSET(CÁLCULO!$AM$15:$AW$15,$E47,0,OFFSET(ORÇAMENTO!$D$15,CRONO!$E47,0))),"&lt;="&amp;CRONO!T$12,OFFSET(CÁLCULO!$AB$15:$AL$15,$E47,0,OFFSET(ORÇAMENTO!$D$15,CRONO!$E47,0)))+IF(AND($E49&lt;&gt;"",$E49&lt;&gt;0),SUMIF(CÁLCULO!$AM$15:$AW$747,"&lt;="&amp;CRONO!T$12,CÁLCULO!$AB$15:$AL$747)/(ORÇAMENTO!$X$15-CÁLCULO.TotalAdmLocal)*CRONO!$E49,0),T48*$R47),SUMIF(OFFSET($R49,1,0,$Q47-2),($L47+1)&amp;"$",OFFSET(T49,1,0,$Q47-2)))</f>
        <v>0</v>
      </c>
      <c r="U49" s="223">
        <f ca="1">IF($Q47=2,IF(AND(ACOMPANHAMENTO="PLE",ISNUMBER($E47)),SUMIF((OFFSET(CÁLCULO!$AM$15:$AW$15,$E47,0,OFFSET(ORÇAMENTO!$D$15,CRONO!$E47,0))),"="&amp;CRONO!U$12,OFFSET(CÁLCULO!$AB$15:$AL$15,$E47,0,OFFSET(ORÇAMENTO!$D$15,CRONO!$E47,0)))+IF(AND($E49&lt;&gt;"",$E49&lt;&gt;0),SUMIF(CÁLCULO!$AM$15:$AW$747,"="&amp;CRONO!U$12,CÁLCULO!$AB$15:$AL$747)/(ORÇAMENTO!$X$15-CÁLCULO.TotalAdmLocal)*CRONO!$E49,0),U48*$R47),SUMIF(OFFSET($R49,1,0,$Q47-2),($L47+1)&amp;"$",OFFSET(U49,1,0,$Q47-2)))</f>
        <v>0</v>
      </c>
      <c r="V49" s="223">
        <f ca="1">IF($Q47=2,IF(AND(ACOMPANHAMENTO="PLE",ISNUMBER($E47)),SUMIF((OFFSET(CÁLCULO!$AM$15:$AW$15,$E47,0,OFFSET(ORÇAMENTO!$D$15,CRONO!$E47,0))),"="&amp;CRONO!V$12,OFFSET(CÁLCULO!$AB$15:$AL$15,$E47,0,OFFSET(ORÇAMENTO!$D$15,CRONO!$E47,0)))+IF(AND($E49&lt;&gt;"",$E49&lt;&gt;0),SUMIF(CÁLCULO!$AM$15:$AW$747,"="&amp;CRONO!V$12,CÁLCULO!$AB$15:$AL$747)/(ORÇAMENTO!$X$15-CÁLCULO.TotalAdmLocal)*CRONO!$E49,0),V48*$R47),SUMIF(OFFSET($R49,1,0,$Q47-2),($L47+1)&amp;"$",OFFSET(V49,1,0,$Q47-2)))</f>
        <v>0</v>
      </c>
      <c r="W49" s="223">
        <f ca="1">IF($Q47=2,IF(AND(ACOMPANHAMENTO="PLE",ISNUMBER($E47)),SUMIF((OFFSET(CÁLCULO!$AM$15:$AW$15,$E47,0,OFFSET(ORÇAMENTO!$D$15,CRONO!$E47,0))),"="&amp;CRONO!W$12,OFFSET(CÁLCULO!$AB$15:$AL$15,$E47,0,OFFSET(ORÇAMENTO!$D$15,CRONO!$E47,0)))+IF(AND($E49&lt;&gt;"",$E49&lt;&gt;0),SUMIF(CÁLCULO!$AM$15:$AW$747,"="&amp;CRONO!W$12,CÁLCULO!$AB$15:$AL$747)/(ORÇAMENTO!$X$15-CÁLCULO.TotalAdmLocal)*CRONO!$E49,0),W48*$R47),SUMIF(OFFSET($R49,1,0,$Q47-2),($L47+1)&amp;"$",OFFSET(W49,1,0,$Q47-2)))</f>
        <v>0</v>
      </c>
      <c r="X49" s="223">
        <f ca="1">IF($Q47=2,IF(AND(ACOMPANHAMENTO="PLE",ISNUMBER($E47)),SUMIF((OFFSET(CÁLCULO!$AM$15:$AW$15,$E47,0,OFFSET(ORÇAMENTO!$D$15,CRONO!$E47,0))),"="&amp;CRONO!X$12,OFFSET(CÁLCULO!$AB$15:$AL$15,$E47,0,OFFSET(ORÇAMENTO!$D$15,CRONO!$E47,0)))+IF(AND($E49&lt;&gt;"",$E49&lt;&gt;0),SUMIF(CÁLCULO!$AM$15:$AW$747,"="&amp;CRONO!X$12,CÁLCULO!$AB$15:$AL$747)/(ORÇAMENTO!$X$15-CÁLCULO.TotalAdmLocal)*CRONO!$E49,0),X48*$R47),SUMIF(OFFSET($R49,1,0,$Q47-2),($L47+1)&amp;"$",OFFSET(X49,1,0,$Q47-2)))</f>
        <v>0</v>
      </c>
      <c r="Y49" s="223">
        <f ca="1">IF($Q47=2,IF(AND(ACOMPANHAMENTO="PLE",ISNUMBER($E47)),SUMIF((OFFSET(CÁLCULO!$AM$15:$AW$15,$E47,0,OFFSET(ORÇAMENTO!$D$15,CRONO!$E47,0))),"="&amp;CRONO!Y$12,OFFSET(CÁLCULO!$AB$15:$AL$15,$E47,0,OFFSET(ORÇAMENTO!$D$15,CRONO!$E47,0)))+IF(AND($E49&lt;&gt;"",$E49&lt;&gt;0),SUMIF(CÁLCULO!$AM$15:$AW$747,"="&amp;CRONO!Y$12,CÁLCULO!$AB$15:$AL$747)/(ORÇAMENTO!$X$15-CÁLCULO.TotalAdmLocal)*CRONO!$E49,0),Y48*$R47),SUMIF(OFFSET($R49,1,0,$Q47-2),($L47+1)&amp;"$",OFFSET(Y49,1,0,$Q47-2)))</f>
        <v>0</v>
      </c>
      <c r="Z49" s="223">
        <f ca="1">IF($Q47=2,IF(AND(ACOMPANHAMENTO="PLE",ISNUMBER($E47)),SUMIF((OFFSET(CÁLCULO!$AM$15:$AW$15,$E47,0,OFFSET(ORÇAMENTO!$D$15,CRONO!$E47,0))),"="&amp;CRONO!Z$12,OFFSET(CÁLCULO!$AB$15:$AL$15,$E47,0,OFFSET(ORÇAMENTO!$D$15,CRONO!$E47,0)))+IF(AND($E49&lt;&gt;"",$E49&lt;&gt;0),SUMIF(CÁLCULO!$AM$15:$AW$747,"="&amp;CRONO!Z$12,CÁLCULO!$AB$15:$AL$747)/(ORÇAMENTO!$X$15-CÁLCULO.TotalAdmLocal)*CRONO!$E49,0),Z48*$R47),SUMIF(OFFSET($R49,1,0,$Q47-2),($L47+1)&amp;"$",OFFSET(Z49,1,0,$Q47-2)))</f>
        <v>0</v>
      </c>
      <c r="AA49" s="223">
        <f ca="1">IF($Q47=2,IF(AND(ACOMPANHAMENTO="PLE",ISNUMBER($E47)),SUMIF((OFFSET(CÁLCULO!$AM$15:$AW$15,$E47,0,OFFSET(ORÇAMENTO!$D$15,CRONO!$E47,0))),"="&amp;CRONO!AA$12,OFFSET(CÁLCULO!$AB$15:$AL$15,$E47,0,OFFSET(ORÇAMENTO!$D$15,CRONO!$E47,0)))+IF(AND($E49&lt;&gt;"",$E49&lt;&gt;0),SUMIF(CÁLCULO!$AM$15:$AW$747,"="&amp;CRONO!AA$12,CÁLCULO!$AB$15:$AL$747)/(ORÇAMENTO!$X$15-CÁLCULO.TotalAdmLocal)*CRONO!$E49,0),AA48*$R47),SUMIF(OFFSET($R49,1,0,$Q47-2),($L47+1)&amp;"$",OFFSET(AA49,1,0,$Q47-2)))</f>
        <v>0</v>
      </c>
      <c r="AB49" s="223">
        <f ca="1">IF($Q47=2,IF(AND(ACOMPANHAMENTO="PLE",ISNUMBER($E47)),SUMIF((OFFSET(CÁLCULO!$AM$15:$AW$15,$E47,0,OFFSET(ORÇAMENTO!$D$15,CRONO!$E47,0))),"="&amp;CRONO!AB$12,OFFSET(CÁLCULO!$AB$15:$AL$15,$E47,0,OFFSET(ORÇAMENTO!$D$15,CRONO!$E47,0)))+IF(AND($E49&lt;&gt;"",$E49&lt;&gt;0),SUMIF(CÁLCULO!$AM$15:$AW$747,"="&amp;CRONO!AB$12,CÁLCULO!$AB$15:$AL$747)/(ORÇAMENTO!$X$15-CÁLCULO.TotalAdmLocal)*CRONO!$E49,0),AB48*$R47),SUMIF(OFFSET($R49,1,0,$Q47-2),($L47+1)&amp;"$",OFFSET(AB49,1,0,$Q47-2)))</f>
        <v>0</v>
      </c>
      <c r="AC49" s="223">
        <f ca="1">IF($Q47=2,IF(AND(ACOMPANHAMENTO="PLE",ISNUMBER($E47)),SUMIF((OFFSET(CÁLCULO!$AM$15:$AW$15,$E47,0,OFFSET(ORÇAMENTO!$D$15,CRONO!$E47,0))),"="&amp;CRONO!AC$12,OFFSET(CÁLCULO!$AB$15:$AL$15,$E47,0,OFFSET(ORÇAMENTO!$D$15,CRONO!$E47,0)))+IF(AND($E49&lt;&gt;"",$E49&lt;&gt;0),SUMIF(CÁLCULO!$AM$15:$AW$747,"="&amp;CRONO!AC$12,CÁLCULO!$AB$15:$AL$747)/(ORÇAMENTO!$X$15-CÁLCULO.TotalAdmLocal)*CRONO!$E49,0),AC48*$R47),SUMIF(OFFSET($R49,1,0,$Q47-2),($L47+1)&amp;"$",OFFSET(AC49,1,0,$Q47-2)))</f>
        <v>0</v>
      </c>
      <c r="AD49" s="223">
        <f ca="1">IF($Q47=2,IF(AND(ACOMPANHAMENTO="PLE",ISNUMBER($E47)),SUMIF((OFFSET(CÁLCULO!$AM$15:$AW$15,$E47,0,OFFSET(ORÇAMENTO!$D$15,CRONO!$E47,0))),"="&amp;CRONO!AD$12,OFFSET(CÁLCULO!$AB$15:$AL$15,$E47,0,OFFSET(ORÇAMENTO!$D$15,CRONO!$E47,0)))+IF(AND($E49&lt;&gt;"",$E49&lt;&gt;0),SUMIF(CÁLCULO!$AM$15:$AW$747,"="&amp;CRONO!AD$12,CÁLCULO!$AB$15:$AL$747)/(ORÇAMENTO!$X$15-CÁLCULO.TotalAdmLocal)*CRONO!$E49,0),AD48*$R47),SUMIF(OFFSET($R49,1,0,$Q47-2),($L47+1)&amp;"$",OFFSET(AD49,1,0,$Q47-2)))</f>
        <v>0</v>
      </c>
      <c r="AE49" s="228">
        <f ca="1">IF($Q47=2,IF(AND(ACOMPANHAMENTO="PLE",ISNUMBER($E47)),SUMIF((OFFSET(CÁLCULO!$AM$15:$AW$15,$E47,0,OFFSET(ORÇAMENTO!$D$15,CRONO!$E47,0))),"="&amp;CRONO!AE$12,OFFSET(CÁLCULO!$AB$15:$AL$15,$E47,0,OFFSET(ORÇAMENTO!$D$15,CRONO!$E47,0)))+IF(AND($E49&lt;&gt;"",$E49&lt;&gt;0),SUMIF(CÁLCULO!$AM$15:$AW$747,"="&amp;CRONO!AE$12,CÁLCULO!$AB$15:$AL$747)/(ORÇAMENTO!$X$15-CÁLCULO.TotalAdmLocal)*CRONO!$E49,0),AE48*$R47),SUMIF(OFFSET($R49,1,0,$Q47-2),($L47+1)&amp;"$",OFFSET(AE49,1,0,$Q47-2)))</f>
        <v>0</v>
      </c>
    </row>
    <row r="50" spans="1:32" x14ac:dyDescent="0.2">
      <c r="A50" s="204">
        <f t="shared" ref="A50" ca="1" si="87">OFFSET(A50,-3,0)+1</f>
        <v>13</v>
      </c>
      <c r="B50" s="204">
        <f ca="1">IF($Q50&lt;&gt;2,0,IF($R50=0,1,IF(E51&gt;0,OFFSET(QCI!$M$13,SUBSTITUTE(E51,".",""),0),OFFSET(ORÇAMENTO!$AA$15,CRONO!$E50,0))/$R50))</f>
        <v>1</v>
      </c>
      <c r="C50" s="204">
        <f ca="1">IF($Q50&lt;&gt;2,0,IF($R50=0,1,IF(E51&gt;0,OFFSET(QCI!$N$13,SUBSTITUTE(E51,".",""),0),OFFSET(ORÇAMENTO!$AB$15,CRONO!$E50,0))/$R50))</f>
        <v>1</v>
      </c>
      <c r="D50" s="207">
        <f ca="1">IF(AND($Q50=2,ACOMPANHAMENTO="BM"),D51,D52/$R50)</f>
        <v>0</v>
      </c>
      <c r="E50" s="204">
        <f ca="1">IF(A50&lt;=ORÇAMENTO.MáximoListaCrono,MATCH(A50,ORÇAMENTO.ListaCrono,0),NA())</f>
        <v>251</v>
      </c>
      <c r="F50" s="204" t="str">
        <f t="shared" ref="F50" ca="1" si="88">IF(AND($E51&lt;&gt;-1,$R50&gt;0),"F","")</f>
        <v/>
      </c>
      <c r="G50" s="208" t="str">
        <f ca="1">IF(OR(R50=0,R50=""),"Linha",IF(AND(OR(ACOMPANHAMENTO="PLE",$Q50&lt;&gt;2),$E51=0),"Linha",1-SUM(T50:AF50)))</f>
        <v>Linha</v>
      </c>
      <c r="H50" s="209" t="str">
        <f ca="1">IF($E51=0,OFFSET(ORÇAMENTO!O$15,$E50,0),IF($E51&lt;&gt;-1,OFFSET(QCI!$D$13,$E51,0),""))</f>
        <v>1.12.</v>
      </c>
      <c r="I50" s="210" t="str">
        <f ca="1">IF($E51=0,OFFSET(ORÇAMENTO!R$15,$E50,0),IF($E51&lt;&gt;-1,OFFSET(QCI!$G$13,$E51,0),""))</f>
        <v>INSTALAÇÃO HIDRÁULICA</v>
      </c>
      <c r="J50" s="210"/>
      <c r="K50" s="210"/>
      <c r="L50" s="211">
        <f ca="1">IF($E51=0,OFFSET(ORÇAMENTO!C$15,$E50,0),1)</f>
        <v>2</v>
      </c>
      <c r="M50" s="212">
        <f ca="1">IF($E51=-1,0,IF(M$13&lt;=$L50,IF(ISERROR(MATCH(M$13,OFFSET($L50,1,0,ROW($L$89)-ROW($L50)-1),0)),ROW($L$89)-ROW($L50)-1,MATCH(M$13,OFFSET($L50,1,0,ROW($L$89)-ROW($L50)-1),0)-1),0))</f>
        <v>38</v>
      </c>
      <c r="N50" s="212">
        <f ca="1">IF($E51=-1,0,IF(N$13&lt;=$L50,IF(ISERROR(MATCH(N$13,OFFSET($L50,1,0,ROW($L$89)-ROW($L50)-1),0)),ROW($L$89)-ROW($L50)-1,MATCH(N$13,OFFSET($L50,1,0,ROW($L$89)-ROW($L50)-1),0)-1),0))</f>
        <v>2</v>
      </c>
      <c r="O50" s="212">
        <f ca="1">IF($E51=-1,0,IF(O$13&lt;=$L50,IF(ISERROR(MATCH(O$13,OFFSET($L50,1,0,ROW($L$89)-ROW($L50)-1),0)),ROW($L$89)-ROW($L50)-1,MATCH(O$13,OFFSET($L50,1,0,ROW($L$89)-ROW($L50)-1),0)-1),0))</f>
        <v>0</v>
      </c>
      <c r="P50" s="212">
        <f ca="1">IF($E51=-1,0,IF(P$13&lt;=$L50,IF(ISERROR(MATCH(P$13,OFFSET($L50,1,0,ROW($L$89)-ROW($L50)-1),0)),ROW($L$89)-ROW($L50)-1,MATCH(P$13,OFFSET($L50,1,0,ROW($L$89)-ROW($L50)-1),0)-1),0))</f>
        <v>0</v>
      </c>
      <c r="Q50" s="212">
        <f t="shared" ref="Q50" ca="1" si="89">MIN(OFFSET(L50,0,1,,L50))</f>
        <v>2</v>
      </c>
      <c r="R50" s="213">
        <f ca="1">IF($E51=0,OFFSET(ORÇAMENTO!X$15,$E50,0),IF($E51&lt;&gt;-1,OFFSET(QCI!$O$13,$E51,0),""))</f>
        <v>0</v>
      </c>
      <c r="S50" s="214" t="s">
        <v>270</v>
      </c>
      <c r="T50" s="215">
        <f t="shared" ref="T50:AE50" ca="1" si="90">IF(AND($Q50=2,ACOMPANHAMENTO="BM"),T51,T52/$R50)</f>
        <v>0</v>
      </c>
      <c r="U50" s="207">
        <f t="shared" ca="1" si="90"/>
        <v>0</v>
      </c>
      <c r="V50" s="207">
        <f t="shared" ca="1" si="90"/>
        <v>0</v>
      </c>
      <c r="W50" s="207">
        <f t="shared" ca="1" si="90"/>
        <v>0.1</v>
      </c>
      <c r="X50" s="207">
        <f t="shared" ca="1" si="90"/>
        <v>0.2</v>
      </c>
      <c r="Y50" s="207">
        <f t="shared" ca="1" si="90"/>
        <v>0.3</v>
      </c>
      <c r="Z50" s="207">
        <f t="shared" ca="1" si="90"/>
        <v>0.2</v>
      </c>
      <c r="AA50" s="207">
        <f t="shared" ca="1" si="90"/>
        <v>0.1</v>
      </c>
      <c r="AB50" s="207">
        <f t="shared" ca="1" si="90"/>
        <v>0.1</v>
      </c>
      <c r="AC50" s="207">
        <f t="shared" ca="1" si="90"/>
        <v>0</v>
      </c>
      <c r="AD50" s="207">
        <f t="shared" ca="1" si="90"/>
        <v>0</v>
      </c>
      <c r="AE50" s="216">
        <f t="shared" ca="1" si="90"/>
        <v>0</v>
      </c>
    </row>
    <row r="51" spans="1:32" ht="12.75" customHeight="1" x14ac:dyDescent="0.2">
      <c r="D51" s="569"/>
      <c r="E51" s="204">
        <f ca="1">IF(ISERROR(E50),IF(1+COUNTIF($L$13:OFFSET(L50,-1,0),1)&lt;=MAX(QCI!$D$13:$D$24),1+COUNTIF($L$13:OFFSET(L50,-1,0),1),-1),0)</f>
        <v>0</v>
      </c>
      <c r="F51" s="204" t="str">
        <f t="shared" ref="F51" ca="1" si="91">IF(AND($E51&lt;&gt;-1,$R50&gt;0),"F","")</f>
        <v/>
      </c>
      <c r="G51" s="217" t="str">
        <f ca="1">IF(OR(R50=0,R50=""),"vazia",IF(AND(OR(ACOMPANHAMENTO="PLE",$Q50&lt;&gt;2),$E51=0),"calculada","--&gt;"))</f>
        <v>vazia</v>
      </c>
      <c r="H51" s="218"/>
      <c r="I51" s="219" t="str">
        <f t="shared" ref="I51" ca="1" si="92">IF(AND(G50&lt;&gt;0,ISNUMBER(G50)),"PREENCHA ESTA LINHA --&gt;","")</f>
        <v/>
      </c>
      <c r="J51" s="219"/>
      <c r="K51" s="219"/>
      <c r="L51" s="220"/>
      <c r="M51" s="220"/>
      <c r="N51" s="220"/>
      <c r="O51" s="220"/>
      <c r="P51" s="220"/>
      <c r="Q51" s="220"/>
      <c r="R51" s="221"/>
      <c r="S51" s="222"/>
      <c r="T51" s="570"/>
      <c r="U51" s="569"/>
      <c r="V51" s="569"/>
      <c r="W51" s="569">
        <v>0.1</v>
      </c>
      <c r="X51" s="569">
        <v>0.2</v>
      </c>
      <c r="Y51" s="569">
        <v>0.3</v>
      </c>
      <c r="Z51" s="569">
        <v>0.2</v>
      </c>
      <c r="AA51" s="569">
        <v>0.1</v>
      </c>
      <c r="AB51" s="569">
        <v>0.1</v>
      </c>
      <c r="AC51" s="569"/>
      <c r="AD51" s="569"/>
      <c r="AE51" s="571"/>
      <c r="AF51" s="533"/>
    </row>
    <row r="52" spans="1:32" ht="0.2" hidden="1" customHeight="1" x14ac:dyDescent="0.2">
      <c r="D52" s="223">
        <f ca="1">IF($Q50=2,IF(AND(ACOMPANHAMENTO="PLE",ISNUMBER($E50)),SUMIF((OFFSET(CÁLCULO!$AM$15:$AW$15,$E50,0,OFFSET(ORÇAMENTO!$D$15,CRONO!$E50,0))),"="&amp;CRONO!D$12,OFFSET(CÁLCULO!$AB$15:$AL$15,$E50,0,OFFSET(ORÇAMENTO!$D$15,CRONO!$E50,0)))+IF(AND($E52&lt;&gt;"",$E52&lt;&gt;0),SUMIF(CÁLCULO!$AM$15:$AW$747,"="&amp;CRONO!D$12,CÁLCULO!$AB$15:$AL$747)/(ORÇAMENTO!$X$15-CÁLCULO.TotalAdmLocal)*CRONO!$E52,0),D51*$R50),SUMIF(OFFSET($R52,1,0,$Q50-2),($L50+1)&amp;"$",OFFSET(D52,1,0,$Q50-2)))</f>
        <v>0</v>
      </c>
      <c r="E52" s="204" t="str">
        <f ca="1">IF(OR($Q50&lt;&gt;2,AUTOEVENTO&lt;&gt;"manual",$E51&gt;0),"",SUMIF(OFFSET(CÁLCULO!$M$15,CRONO!$E50,0,OFFSET(ORÇAMENTO!$D$15,CRONO!$E50,0)),1,OFFSET(ORÇAMENTO!$X$15,CRONO!$E50,0,OFFSET(ORÇAMENTO!$D$15,CRONO!$E50,0))))</f>
        <v/>
      </c>
      <c r="G52" s="224"/>
      <c r="R52" s="225" t="str">
        <f t="shared" ref="R52" ca="1" si="93">L50&amp;"$"</f>
        <v>2$</v>
      </c>
      <c r="S52" s="226"/>
      <c r="T52" s="227">
        <f ca="1">IF($Q50=2,IF(AND(ACOMPANHAMENTO="PLE",ISNUMBER($E50)),SUMIF((OFFSET(CÁLCULO!$AM$15:$AW$15,$E50,0,OFFSET(ORÇAMENTO!$D$15,CRONO!$E50,0))),"&lt;="&amp;CRONO!T$12,OFFSET(CÁLCULO!$AB$15:$AL$15,$E50,0,OFFSET(ORÇAMENTO!$D$15,CRONO!$E50,0)))+IF(AND($E52&lt;&gt;"",$E52&lt;&gt;0),SUMIF(CÁLCULO!$AM$15:$AW$747,"&lt;="&amp;CRONO!T$12,CÁLCULO!$AB$15:$AL$747)/(ORÇAMENTO!$X$15-CÁLCULO.TotalAdmLocal)*CRONO!$E52,0),T51*$R50),SUMIF(OFFSET($R52,1,0,$Q50-2),($L50+1)&amp;"$",OFFSET(T52,1,0,$Q50-2)))</f>
        <v>0</v>
      </c>
      <c r="U52" s="223">
        <f ca="1">IF($Q50=2,IF(AND(ACOMPANHAMENTO="PLE",ISNUMBER($E50)),SUMIF((OFFSET(CÁLCULO!$AM$15:$AW$15,$E50,0,OFFSET(ORÇAMENTO!$D$15,CRONO!$E50,0))),"="&amp;CRONO!U$12,OFFSET(CÁLCULO!$AB$15:$AL$15,$E50,0,OFFSET(ORÇAMENTO!$D$15,CRONO!$E50,0)))+IF(AND($E52&lt;&gt;"",$E52&lt;&gt;0),SUMIF(CÁLCULO!$AM$15:$AW$747,"="&amp;CRONO!U$12,CÁLCULO!$AB$15:$AL$747)/(ORÇAMENTO!$X$15-CÁLCULO.TotalAdmLocal)*CRONO!$E52,0),U51*$R50),SUMIF(OFFSET($R52,1,0,$Q50-2),($L50+1)&amp;"$",OFFSET(U52,1,0,$Q50-2)))</f>
        <v>0</v>
      </c>
      <c r="V52" s="223">
        <f ca="1">IF($Q50=2,IF(AND(ACOMPANHAMENTO="PLE",ISNUMBER($E50)),SUMIF((OFFSET(CÁLCULO!$AM$15:$AW$15,$E50,0,OFFSET(ORÇAMENTO!$D$15,CRONO!$E50,0))),"="&amp;CRONO!V$12,OFFSET(CÁLCULO!$AB$15:$AL$15,$E50,0,OFFSET(ORÇAMENTO!$D$15,CRONO!$E50,0)))+IF(AND($E52&lt;&gt;"",$E52&lt;&gt;0),SUMIF(CÁLCULO!$AM$15:$AW$747,"="&amp;CRONO!V$12,CÁLCULO!$AB$15:$AL$747)/(ORÇAMENTO!$X$15-CÁLCULO.TotalAdmLocal)*CRONO!$E52,0),V51*$R50),SUMIF(OFFSET($R52,1,0,$Q50-2),($L50+1)&amp;"$",OFFSET(V52,1,0,$Q50-2)))</f>
        <v>0</v>
      </c>
      <c r="W52" s="223">
        <f ca="1">IF($Q50=2,IF(AND(ACOMPANHAMENTO="PLE",ISNUMBER($E50)),SUMIF((OFFSET(CÁLCULO!$AM$15:$AW$15,$E50,0,OFFSET(ORÇAMENTO!$D$15,CRONO!$E50,0))),"="&amp;CRONO!W$12,OFFSET(CÁLCULO!$AB$15:$AL$15,$E50,0,OFFSET(ORÇAMENTO!$D$15,CRONO!$E50,0)))+IF(AND($E52&lt;&gt;"",$E52&lt;&gt;0),SUMIF(CÁLCULO!$AM$15:$AW$747,"="&amp;CRONO!W$12,CÁLCULO!$AB$15:$AL$747)/(ORÇAMENTO!$X$15-CÁLCULO.TotalAdmLocal)*CRONO!$E52,0),W51*$R50),SUMIF(OFFSET($R52,1,0,$Q50-2),($L50+1)&amp;"$",OFFSET(W52,1,0,$Q50-2)))</f>
        <v>0</v>
      </c>
      <c r="X52" s="223">
        <f ca="1">IF($Q50=2,IF(AND(ACOMPANHAMENTO="PLE",ISNUMBER($E50)),SUMIF((OFFSET(CÁLCULO!$AM$15:$AW$15,$E50,0,OFFSET(ORÇAMENTO!$D$15,CRONO!$E50,0))),"="&amp;CRONO!X$12,OFFSET(CÁLCULO!$AB$15:$AL$15,$E50,0,OFFSET(ORÇAMENTO!$D$15,CRONO!$E50,0)))+IF(AND($E52&lt;&gt;"",$E52&lt;&gt;0),SUMIF(CÁLCULO!$AM$15:$AW$747,"="&amp;CRONO!X$12,CÁLCULO!$AB$15:$AL$747)/(ORÇAMENTO!$X$15-CÁLCULO.TotalAdmLocal)*CRONO!$E52,0),X51*$R50),SUMIF(OFFSET($R52,1,0,$Q50-2),($L50+1)&amp;"$",OFFSET(X52,1,0,$Q50-2)))</f>
        <v>0</v>
      </c>
      <c r="Y52" s="223">
        <f ca="1">IF($Q50=2,IF(AND(ACOMPANHAMENTO="PLE",ISNUMBER($E50)),SUMIF((OFFSET(CÁLCULO!$AM$15:$AW$15,$E50,0,OFFSET(ORÇAMENTO!$D$15,CRONO!$E50,0))),"="&amp;CRONO!Y$12,OFFSET(CÁLCULO!$AB$15:$AL$15,$E50,0,OFFSET(ORÇAMENTO!$D$15,CRONO!$E50,0)))+IF(AND($E52&lt;&gt;"",$E52&lt;&gt;0),SUMIF(CÁLCULO!$AM$15:$AW$747,"="&amp;CRONO!Y$12,CÁLCULO!$AB$15:$AL$747)/(ORÇAMENTO!$X$15-CÁLCULO.TotalAdmLocal)*CRONO!$E52,0),Y51*$R50),SUMIF(OFFSET($R52,1,0,$Q50-2),($L50+1)&amp;"$",OFFSET(Y52,1,0,$Q50-2)))</f>
        <v>0</v>
      </c>
      <c r="Z52" s="223">
        <f ca="1">IF($Q50=2,IF(AND(ACOMPANHAMENTO="PLE",ISNUMBER($E50)),SUMIF((OFFSET(CÁLCULO!$AM$15:$AW$15,$E50,0,OFFSET(ORÇAMENTO!$D$15,CRONO!$E50,0))),"="&amp;CRONO!Z$12,OFFSET(CÁLCULO!$AB$15:$AL$15,$E50,0,OFFSET(ORÇAMENTO!$D$15,CRONO!$E50,0)))+IF(AND($E52&lt;&gt;"",$E52&lt;&gt;0),SUMIF(CÁLCULO!$AM$15:$AW$747,"="&amp;CRONO!Z$12,CÁLCULO!$AB$15:$AL$747)/(ORÇAMENTO!$X$15-CÁLCULO.TotalAdmLocal)*CRONO!$E52,0),Z51*$R50),SUMIF(OFFSET($R52,1,0,$Q50-2),($L50+1)&amp;"$",OFFSET(Z52,1,0,$Q50-2)))</f>
        <v>0</v>
      </c>
      <c r="AA52" s="223">
        <f ca="1">IF($Q50=2,IF(AND(ACOMPANHAMENTO="PLE",ISNUMBER($E50)),SUMIF((OFFSET(CÁLCULO!$AM$15:$AW$15,$E50,0,OFFSET(ORÇAMENTO!$D$15,CRONO!$E50,0))),"="&amp;CRONO!AA$12,OFFSET(CÁLCULO!$AB$15:$AL$15,$E50,0,OFFSET(ORÇAMENTO!$D$15,CRONO!$E50,0)))+IF(AND($E52&lt;&gt;"",$E52&lt;&gt;0),SUMIF(CÁLCULO!$AM$15:$AW$747,"="&amp;CRONO!AA$12,CÁLCULO!$AB$15:$AL$747)/(ORÇAMENTO!$X$15-CÁLCULO.TotalAdmLocal)*CRONO!$E52,0),AA51*$R50),SUMIF(OFFSET($R52,1,0,$Q50-2),($L50+1)&amp;"$",OFFSET(AA52,1,0,$Q50-2)))</f>
        <v>0</v>
      </c>
      <c r="AB52" s="223">
        <f ca="1">IF($Q50=2,IF(AND(ACOMPANHAMENTO="PLE",ISNUMBER($E50)),SUMIF((OFFSET(CÁLCULO!$AM$15:$AW$15,$E50,0,OFFSET(ORÇAMENTO!$D$15,CRONO!$E50,0))),"="&amp;CRONO!AB$12,OFFSET(CÁLCULO!$AB$15:$AL$15,$E50,0,OFFSET(ORÇAMENTO!$D$15,CRONO!$E50,0)))+IF(AND($E52&lt;&gt;"",$E52&lt;&gt;0),SUMIF(CÁLCULO!$AM$15:$AW$747,"="&amp;CRONO!AB$12,CÁLCULO!$AB$15:$AL$747)/(ORÇAMENTO!$X$15-CÁLCULO.TotalAdmLocal)*CRONO!$E52,0),AB51*$R50),SUMIF(OFFSET($R52,1,0,$Q50-2),($L50+1)&amp;"$",OFFSET(AB52,1,0,$Q50-2)))</f>
        <v>0</v>
      </c>
      <c r="AC52" s="223">
        <f ca="1">IF($Q50=2,IF(AND(ACOMPANHAMENTO="PLE",ISNUMBER($E50)),SUMIF((OFFSET(CÁLCULO!$AM$15:$AW$15,$E50,0,OFFSET(ORÇAMENTO!$D$15,CRONO!$E50,0))),"="&amp;CRONO!AC$12,OFFSET(CÁLCULO!$AB$15:$AL$15,$E50,0,OFFSET(ORÇAMENTO!$D$15,CRONO!$E50,0)))+IF(AND($E52&lt;&gt;"",$E52&lt;&gt;0),SUMIF(CÁLCULO!$AM$15:$AW$747,"="&amp;CRONO!AC$12,CÁLCULO!$AB$15:$AL$747)/(ORÇAMENTO!$X$15-CÁLCULO.TotalAdmLocal)*CRONO!$E52,0),AC51*$R50),SUMIF(OFFSET($R52,1,0,$Q50-2),($L50+1)&amp;"$",OFFSET(AC52,1,0,$Q50-2)))</f>
        <v>0</v>
      </c>
      <c r="AD52" s="223">
        <f ca="1">IF($Q50=2,IF(AND(ACOMPANHAMENTO="PLE",ISNUMBER($E50)),SUMIF((OFFSET(CÁLCULO!$AM$15:$AW$15,$E50,0,OFFSET(ORÇAMENTO!$D$15,CRONO!$E50,0))),"="&amp;CRONO!AD$12,OFFSET(CÁLCULO!$AB$15:$AL$15,$E50,0,OFFSET(ORÇAMENTO!$D$15,CRONO!$E50,0)))+IF(AND($E52&lt;&gt;"",$E52&lt;&gt;0),SUMIF(CÁLCULO!$AM$15:$AW$747,"="&amp;CRONO!AD$12,CÁLCULO!$AB$15:$AL$747)/(ORÇAMENTO!$X$15-CÁLCULO.TotalAdmLocal)*CRONO!$E52,0),AD51*$R50),SUMIF(OFFSET($R52,1,0,$Q50-2),($L50+1)&amp;"$",OFFSET(AD52,1,0,$Q50-2)))</f>
        <v>0</v>
      </c>
      <c r="AE52" s="228">
        <f ca="1">IF($Q50=2,IF(AND(ACOMPANHAMENTO="PLE",ISNUMBER($E50)),SUMIF((OFFSET(CÁLCULO!$AM$15:$AW$15,$E50,0,OFFSET(ORÇAMENTO!$D$15,CRONO!$E50,0))),"="&amp;CRONO!AE$12,OFFSET(CÁLCULO!$AB$15:$AL$15,$E50,0,OFFSET(ORÇAMENTO!$D$15,CRONO!$E50,0)))+IF(AND($E52&lt;&gt;"",$E52&lt;&gt;0),SUMIF(CÁLCULO!$AM$15:$AW$747,"="&amp;CRONO!AE$12,CÁLCULO!$AB$15:$AL$747)/(ORÇAMENTO!$X$15-CÁLCULO.TotalAdmLocal)*CRONO!$E52,0),AE51*$R50),SUMIF(OFFSET($R52,1,0,$Q50-2),($L50+1)&amp;"$",OFFSET(AE52,1,0,$Q50-2)))</f>
        <v>0</v>
      </c>
    </row>
    <row r="53" spans="1:32" x14ac:dyDescent="0.2">
      <c r="A53" s="204">
        <f t="shared" ref="A53" ca="1" si="94">OFFSET(A53,-3,0)+1</f>
        <v>14</v>
      </c>
      <c r="B53" s="204">
        <f ca="1">IF($Q53&lt;&gt;2,0,IF($R53=0,1,IF(E54&gt;0,OFFSET(QCI!$M$13,SUBSTITUTE(E54,".",""),0),OFFSET(ORÇAMENTO!$AA$15,CRONO!$E53,0))/$R53))</f>
        <v>1</v>
      </c>
      <c r="C53" s="204">
        <f ca="1">IF($Q53&lt;&gt;2,0,IF($R53=0,1,IF(E54&gt;0,OFFSET(QCI!$N$13,SUBSTITUTE(E54,".",""),0),OFFSET(ORÇAMENTO!$AB$15,CRONO!$E53,0))/$R53))</f>
        <v>1</v>
      </c>
      <c r="D53" s="207">
        <f ca="1">IF(AND($Q53=2,ACOMPANHAMENTO="BM"),D54,D55/$R53)</f>
        <v>0</v>
      </c>
      <c r="E53" s="204">
        <f ca="1">IF(A53&lt;=ORÇAMENTO.MáximoListaCrono,MATCH(A53,ORÇAMENTO.ListaCrono,0),NA())</f>
        <v>302</v>
      </c>
      <c r="F53" s="204" t="str">
        <f t="shared" ref="F53" ca="1" si="95">IF(AND($E54&lt;&gt;-1,$R53&gt;0),"F","")</f>
        <v/>
      </c>
      <c r="G53" s="208" t="str">
        <f ca="1">IF(OR(R53=0,R53=""),"Linha",IF(AND(OR(ACOMPANHAMENTO="PLE",$Q53&lt;&gt;2),$E54=0),"Linha",1-SUM(T53:AF53)))</f>
        <v>Linha</v>
      </c>
      <c r="H53" s="209" t="str">
        <f ca="1">IF($E54=0,OFFSET(ORÇAMENTO!O$15,$E53,0),IF($E54&lt;&gt;-1,OFFSET(QCI!$D$13,$E54,0),""))</f>
        <v>1.13.</v>
      </c>
      <c r="I53" s="210" t="str">
        <f ca="1">IF($E54=0,OFFSET(ORÇAMENTO!R$15,$E53,0),IF($E54&lt;&gt;-1,OFFSET(QCI!$G$13,$E54,0),""))</f>
        <v>DRENAGEM DE ÁGUAS PLUVIAIS</v>
      </c>
      <c r="J53" s="210"/>
      <c r="K53" s="210"/>
      <c r="L53" s="211">
        <f ca="1">IF($E54=0,OFFSET(ORÇAMENTO!C$15,$E53,0),1)</f>
        <v>2</v>
      </c>
      <c r="M53" s="212">
        <f ca="1">IF($E54=-1,0,IF(M$13&lt;=$L53,IF(ISERROR(MATCH(M$13,OFFSET($L53,1,0,ROW($L$89)-ROW($L53)-1),0)),ROW($L$89)-ROW($L53)-1,MATCH(M$13,OFFSET($L53,1,0,ROW($L$89)-ROW($L53)-1),0)-1),0))</f>
        <v>35</v>
      </c>
      <c r="N53" s="212">
        <f ca="1">IF($E54=-1,0,IF(N$13&lt;=$L53,IF(ISERROR(MATCH(N$13,OFFSET($L53,1,0,ROW($L$89)-ROW($L53)-1),0)),ROW($L$89)-ROW($L53)-1,MATCH(N$13,OFFSET($L53,1,0,ROW($L$89)-ROW($L53)-1),0)-1),0))</f>
        <v>2</v>
      </c>
      <c r="O53" s="212">
        <f ca="1">IF($E54=-1,0,IF(O$13&lt;=$L53,IF(ISERROR(MATCH(O$13,OFFSET($L53,1,0,ROW($L$89)-ROW($L53)-1),0)),ROW($L$89)-ROW($L53)-1,MATCH(O$13,OFFSET($L53,1,0,ROW($L$89)-ROW($L53)-1),0)-1),0))</f>
        <v>0</v>
      </c>
      <c r="P53" s="212">
        <f ca="1">IF($E54=-1,0,IF(P$13&lt;=$L53,IF(ISERROR(MATCH(P$13,OFFSET($L53,1,0,ROW($L$89)-ROW($L53)-1),0)),ROW($L$89)-ROW($L53)-1,MATCH(P$13,OFFSET($L53,1,0,ROW($L$89)-ROW($L53)-1),0)-1),0))</f>
        <v>0</v>
      </c>
      <c r="Q53" s="212">
        <f t="shared" ref="Q53" ca="1" si="96">MIN(OFFSET(L53,0,1,,L53))</f>
        <v>2</v>
      </c>
      <c r="R53" s="213">
        <f ca="1">IF($E54=0,OFFSET(ORÇAMENTO!X$15,$E53,0),IF($E54&lt;&gt;-1,OFFSET(QCI!$O$13,$E54,0),""))</f>
        <v>0</v>
      </c>
      <c r="S53" s="214" t="s">
        <v>270</v>
      </c>
      <c r="T53" s="215">
        <f t="shared" ref="T53:AE53" ca="1" si="97">IF(AND($Q53=2,ACOMPANHAMENTO="BM"),T54,T55/$R53)</f>
        <v>0</v>
      </c>
      <c r="U53" s="207">
        <f t="shared" ca="1" si="97"/>
        <v>0</v>
      </c>
      <c r="V53" s="207">
        <f t="shared" ca="1" si="97"/>
        <v>0</v>
      </c>
      <c r="W53" s="207">
        <f t="shared" ca="1" si="97"/>
        <v>0</v>
      </c>
      <c r="X53" s="207">
        <f t="shared" ca="1" si="97"/>
        <v>0.2</v>
      </c>
      <c r="Y53" s="207">
        <f t="shared" ca="1" si="97"/>
        <v>0.2</v>
      </c>
      <c r="Z53" s="207">
        <f t="shared" ca="1" si="97"/>
        <v>0.3</v>
      </c>
      <c r="AA53" s="207">
        <f t="shared" ca="1" si="97"/>
        <v>0.25</v>
      </c>
      <c r="AB53" s="207">
        <f t="shared" ca="1" si="97"/>
        <v>0.05</v>
      </c>
      <c r="AC53" s="207">
        <f t="shared" ca="1" si="97"/>
        <v>0</v>
      </c>
      <c r="AD53" s="207">
        <f t="shared" ca="1" si="97"/>
        <v>0</v>
      </c>
      <c r="AE53" s="216">
        <f t="shared" ca="1" si="97"/>
        <v>0</v>
      </c>
    </row>
    <row r="54" spans="1:32" ht="12.75" customHeight="1" x14ac:dyDescent="0.2">
      <c r="D54" s="569"/>
      <c r="E54" s="204">
        <f ca="1">IF(ISERROR(E53),IF(1+COUNTIF($L$13:OFFSET(L53,-1,0),1)&lt;=MAX(QCI!$D$13:$D$24),1+COUNTIF($L$13:OFFSET(L53,-1,0),1),-1),0)</f>
        <v>0</v>
      </c>
      <c r="F54" s="204" t="str">
        <f t="shared" ref="F54" ca="1" si="98">IF(AND($E54&lt;&gt;-1,$R53&gt;0),"F","")</f>
        <v/>
      </c>
      <c r="G54" s="217" t="str">
        <f ca="1">IF(OR(R53=0,R53=""),"vazia",IF(AND(OR(ACOMPANHAMENTO="PLE",$Q53&lt;&gt;2),$E54=0),"calculada","--&gt;"))</f>
        <v>vazia</v>
      </c>
      <c r="H54" s="218"/>
      <c r="I54" s="219" t="str">
        <f t="shared" ref="I54" ca="1" si="99">IF(AND(G53&lt;&gt;0,ISNUMBER(G53)),"PREENCHA ESTA LINHA --&gt;","")</f>
        <v/>
      </c>
      <c r="J54" s="219"/>
      <c r="K54" s="219"/>
      <c r="L54" s="220"/>
      <c r="M54" s="220"/>
      <c r="N54" s="220"/>
      <c r="O54" s="220"/>
      <c r="P54" s="220"/>
      <c r="Q54" s="220"/>
      <c r="R54" s="221"/>
      <c r="S54" s="222"/>
      <c r="T54" s="570"/>
      <c r="U54" s="569"/>
      <c r="V54" s="569"/>
      <c r="W54" s="569"/>
      <c r="X54" s="569">
        <v>0.2</v>
      </c>
      <c r="Y54" s="569">
        <v>0.2</v>
      </c>
      <c r="Z54" s="569">
        <v>0.3</v>
      </c>
      <c r="AA54" s="569">
        <v>0.25</v>
      </c>
      <c r="AB54" s="569">
        <v>0.05</v>
      </c>
      <c r="AC54" s="569"/>
      <c r="AD54" s="569"/>
      <c r="AE54" s="571"/>
      <c r="AF54" s="533"/>
    </row>
    <row r="55" spans="1:32" ht="0.2" hidden="1" customHeight="1" x14ac:dyDescent="0.2">
      <c r="D55" s="223">
        <f ca="1">IF($Q53=2,IF(AND(ACOMPANHAMENTO="PLE",ISNUMBER($E53)),SUMIF((OFFSET(CÁLCULO!$AM$15:$AW$15,$E53,0,OFFSET(ORÇAMENTO!$D$15,CRONO!$E53,0))),"="&amp;CRONO!D$12,OFFSET(CÁLCULO!$AB$15:$AL$15,$E53,0,OFFSET(ORÇAMENTO!$D$15,CRONO!$E53,0)))+IF(AND($E55&lt;&gt;"",$E55&lt;&gt;0),SUMIF(CÁLCULO!$AM$15:$AW$747,"="&amp;CRONO!D$12,CÁLCULO!$AB$15:$AL$747)/(ORÇAMENTO!$X$15-CÁLCULO.TotalAdmLocal)*CRONO!$E55,0),D54*$R53),SUMIF(OFFSET($R55,1,0,$Q53-2),($L53+1)&amp;"$",OFFSET(D55,1,0,$Q53-2)))</f>
        <v>0</v>
      </c>
      <c r="E55" s="204" t="str">
        <f ca="1">IF(OR($Q53&lt;&gt;2,AUTOEVENTO&lt;&gt;"manual",$E54&gt;0),"",SUMIF(OFFSET(CÁLCULO!$M$15,CRONO!$E53,0,OFFSET(ORÇAMENTO!$D$15,CRONO!$E53,0)),1,OFFSET(ORÇAMENTO!$X$15,CRONO!$E53,0,OFFSET(ORÇAMENTO!$D$15,CRONO!$E53,0))))</f>
        <v/>
      </c>
      <c r="G55" s="224"/>
      <c r="R55" s="225" t="str">
        <f t="shared" ref="R55" ca="1" si="100">L53&amp;"$"</f>
        <v>2$</v>
      </c>
      <c r="S55" s="226"/>
      <c r="T55" s="227">
        <f ca="1">IF($Q53=2,IF(AND(ACOMPANHAMENTO="PLE",ISNUMBER($E53)),SUMIF((OFFSET(CÁLCULO!$AM$15:$AW$15,$E53,0,OFFSET(ORÇAMENTO!$D$15,CRONO!$E53,0))),"&lt;="&amp;CRONO!T$12,OFFSET(CÁLCULO!$AB$15:$AL$15,$E53,0,OFFSET(ORÇAMENTO!$D$15,CRONO!$E53,0)))+IF(AND($E55&lt;&gt;"",$E55&lt;&gt;0),SUMIF(CÁLCULO!$AM$15:$AW$747,"&lt;="&amp;CRONO!T$12,CÁLCULO!$AB$15:$AL$747)/(ORÇAMENTO!$X$15-CÁLCULO.TotalAdmLocal)*CRONO!$E55,0),T54*$R53),SUMIF(OFFSET($R55,1,0,$Q53-2),($L53+1)&amp;"$",OFFSET(T55,1,0,$Q53-2)))</f>
        <v>0</v>
      </c>
      <c r="U55" s="223">
        <f ca="1">IF($Q53=2,IF(AND(ACOMPANHAMENTO="PLE",ISNUMBER($E53)),SUMIF((OFFSET(CÁLCULO!$AM$15:$AW$15,$E53,0,OFFSET(ORÇAMENTO!$D$15,CRONO!$E53,0))),"="&amp;CRONO!U$12,OFFSET(CÁLCULO!$AB$15:$AL$15,$E53,0,OFFSET(ORÇAMENTO!$D$15,CRONO!$E53,0)))+IF(AND($E55&lt;&gt;"",$E55&lt;&gt;0),SUMIF(CÁLCULO!$AM$15:$AW$747,"="&amp;CRONO!U$12,CÁLCULO!$AB$15:$AL$747)/(ORÇAMENTO!$X$15-CÁLCULO.TotalAdmLocal)*CRONO!$E55,0),U54*$R53),SUMIF(OFFSET($R55,1,0,$Q53-2),($L53+1)&amp;"$",OFFSET(U55,1,0,$Q53-2)))</f>
        <v>0</v>
      </c>
      <c r="V55" s="223">
        <f ca="1">IF($Q53=2,IF(AND(ACOMPANHAMENTO="PLE",ISNUMBER($E53)),SUMIF((OFFSET(CÁLCULO!$AM$15:$AW$15,$E53,0,OFFSET(ORÇAMENTO!$D$15,CRONO!$E53,0))),"="&amp;CRONO!V$12,OFFSET(CÁLCULO!$AB$15:$AL$15,$E53,0,OFFSET(ORÇAMENTO!$D$15,CRONO!$E53,0)))+IF(AND($E55&lt;&gt;"",$E55&lt;&gt;0),SUMIF(CÁLCULO!$AM$15:$AW$747,"="&amp;CRONO!V$12,CÁLCULO!$AB$15:$AL$747)/(ORÇAMENTO!$X$15-CÁLCULO.TotalAdmLocal)*CRONO!$E55,0),V54*$R53),SUMIF(OFFSET($R55,1,0,$Q53-2),($L53+1)&amp;"$",OFFSET(V55,1,0,$Q53-2)))</f>
        <v>0</v>
      </c>
      <c r="W55" s="223">
        <f ca="1">IF($Q53=2,IF(AND(ACOMPANHAMENTO="PLE",ISNUMBER($E53)),SUMIF((OFFSET(CÁLCULO!$AM$15:$AW$15,$E53,0,OFFSET(ORÇAMENTO!$D$15,CRONO!$E53,0))),"="&amp;CRONO!W$12,OFFSET(CÁLCULO!$AB$15:$AL$15,$E53,0,OFFSET(ORÇAMENTO!$D$15,CRONO!$E53,0)))+IF(AND($E55&lt;&gt;"",$E55&lt;&gt;0),SUMIF(CÁLCULO!$AM$15:$AW$747,"="&amp;CRONO!W$12,CÁLCULO!$AB$15:$AL$747)/(ORÇAMENTO!$X$15-CÁLCULO.TotalAdmLocal)*CRONO!$E55,0),W54*$R53),SUMIF(OFFSET($R55,1,0,$Q53-2),($L53+1)&amp;"$",OFFSET(W55,1,0,$Q53-2)))</f>
        <v>0</v>
      </c>
      <c r="X55" s="223">
        <f ca="1">IF($Q53=2,IF(AND(ACOMPANHAMENTO="PLE",ISNUMBER($E53)),SUMIF((OFFSET(CÁLCULO!$AM$15:$AW$15,$E53,0,OFFSET(ORÇAMENTO!$D$15,CRONO!$E53,0))),"="&amp;CRONO!X$12,OFFSET(CÁLCULO!$AB$15:$AL$15,$E53,0,OFFSET(ORÇAMENTO!$D$15,CRONO!$E53,0)))+IF(AND($E55&lt;&gt;"",$E55&lt;&gt;0),SUMIF(CÁLCULO!$AM$15:$AW$747,"="&amp;CRONO!X$12,CÁLCULO!$AB$15:$AL$747)/(ORÇAMENTO!$X$15-CÁLCULO.TotalAdmLocal)*CRONO!$E55,0),X54*$R53),SUMIF(OFFSET($R55,1,0,$Q53-2),($L53+1)&amp;"$",OFFSET(X55,1,0,$Q53-2)))</f>
        <v>0</v>
      </c>
      <c r="Y55" s="223">
        <f ca="1">IF($Q53=2,IF(AND(ACOMPANHAMENTO="PLE",ISNUMBER($E53)),SUMIF((OFFSET(CÁLCULO!$AM$15:$AW$15,$E53,0,OFFSET(ORÇAMENTO!$D$15,CRONO!$E53,0))),"="&amp;CRONO!Y$12,OFFSET(CÁLCULO!$AB$15:$AL$15,$E53,0,OFFSET(ORÇAMENTO!$D$15,CRONO!$E53,0)))+IF(AND($E55&lt;&gt;"",$E55&lt;&gt;0),SUMIF(CÁLCULO!$AM$15:$AW$747,"="&amp;CRONO!Y$12,CÁLCULO!$AB$15:$AL$747)/(ORÇAMENTO!$X$15-CÁLCULO.TotalAdmLocal)*CRONO!$E55,0),Y54*$R53),SUMIF(OFFSET($R55,1,0,$Q53-2),($L53+1)&amp;"$",OFFSET(Y55,1,0,$Q53-2)))</f>
        <v>0</v>
      </c>
      <c r="Z55" s="223">
        <f ca="1">IF($Q53=2,IF(AND(ACOMPANHAMENTO="PLE",ISNUMBER($E53)),SUMIF((OFFSET(CÁLCULO!$AM$15:$AW$15,$E53,0,OFFSET(ORÇAMENTO!$D$15,CRONO!$E53,0))),"="&amp;CRONO!Z$12,OFFSET(CÁLCULO!$AB$15:$AL$15,$E53,0,OFFSET(ORÇAMENTO!$D$15,CRONO!$E53,0)))+IF(AND($E55&lt;&gt;"",$E55&lt;&gt;0),SUMIF(CÁLCULO!$AM$15:$AW$747,"="&amp;CRONO!Z$12,CÁLCULO!$AB$15:$AL$747)/(ORÇAMENTO!$X$15-CÁLCULO.TotalAdmLocal)*CRONO!$E55,0),Z54*$R53),SUMIF(OFFSET($R55,1,0,$Q53-2),($L53+1)&amp;"$",OFFSET(Z55,1,0,$Q53-2)))</f>
        <v>0</v>
      </c>
      <c r="AA55" s="223">
        <f ca="1">IF($Q53=2,IF(AND(ACOMPANHAMENTO="PLE",ISNUMBER($E53)),SUMIF((OFFSET(CÁLCULO!$AM$15:$AW$15,$E53,0,OFFSET(ORÇAMENTO!$D$15,CRONO!$E53,0))),"="&amp;CRONO!AA$12,OFFSET(CÁLCULO!$AB$15:$AL$15,$E53,0,OFFSET(ORÇAMENTO!$D$15,CRONO!$E53,0)))+IF(AND($E55&lt;&gt;"",$E55&lt;&gt;0),SUMIF(CÁLCULO!$AM$15:$AW$747,"="&amp;CRONO!AA$12,CÁLCULO!$AB$15:$AL$747)/(ORÇAMENTO!$X$15-CÁLCULO.TotalAdmLocal)*CRONO!$E55,0),AA54*$R53),SUMIF(OFFSET($R55,1,0,$Q53-2),($L53+1)&amp;"$",OFFSET(AA55,1,0,$Q53-2)))</f>
        <v>0</v>
      </c>
      <c r="AB55" s="223">
        <f ca="1">IF($Q53=2,IF(AND(ACOMPANHAMENTO="PLE",ISNUMBER($E53)),SUMIF((OFFSET(CÁLCULO!$AM$15:$AW$15,$E53,0,OFFSET(ORÇAMENTO!$D$15,CRONO!$E53,0))),"="&amp;CRONO!AB$12,OFFSET(CÁLCULO!$AB$15:$AL$15,$E53,0,OFFSET(ORÇAMENTO!$D$15,CRONO!$E53,0)))+IF(AND($E55&lt;&gt;"",$E55&lt;&gt;0),SUMIF(CÁLCULO!$AM$15:$AW$747,"="&amp;CRONO!AB$12,CÁLCULO!$AB$15:$AL$747)/(ORÇAMENTO!$X$15-CÁLCULO.TotalAdmLocal)*CRONO!$E55,0),AB54*$R53),SUMIF(OFFSET($R55,1,0,$Q53-2),($L53+1)&amp;"$",OFFSET(AB55,1,0,$Q53-2)))</f>
        <v>0</v>
      </c>
      <c r="AC55" s="223">
        <f ca="1">IF($Q53=2,IF(AND(ACOMPANHAMENTO="PLE",ISNUMBER($E53)),SUMIF((OFFSET(CÁLCULO!$AM$15:$AW$15,$E53,0,OFFSET(ORÇAMENTO!$D$15,CRONO!$E53,0))),"="&amp;CRONO!AC$12,OFFSET(CÁLCULO!$AB$15:$AL$15,$E53,0,OFFSET(ORÇAMENTO!$D$15,CRONO!$E53,0)))+IF(AND($E55&lt;&gt;"",$E55&lt;&gt;0),SUMIF(CÁLCULO!$AM$15:$AW$747,"="&amp;CRONO!AC$12,CÁLCULO!$AB$15:$AL$747)/(ORÇAMENTO!$X$15-CÁLCULO.TotalAdmLocal)*CRONO!$E55,0),AC54*$R53),SUMIF(OFFSET($R55,1,0,$Q53-2),($L53+1)&amp;"$",OFFSET(AC55,1,0,$Q53-2)))</f>
        <v>0</v>
      </c>
      <c r="AD55" s="223">
        <f ca="1">IF($Q53=2,IF(AND(ACOMPANHAMENTO="PLE",ISNUMBER($E53)),SUMIF((OFFSET(CÁLCULO!$AM$15:$AW$15,$E53,0,OFFSET(ORÇAMENTO!$D$15,CRONO!$E53,0))),"="&amp;CRONO!AD$12,OFFSET(CÁLCULO!$AB$15:$AL$15,$E53,0,OFFSET(ORÇAMENTO!$D$15,CRONO!$E53,0)))+IF(AND($E55&lt;&gt;"",$E55&lt;&gt;0),SUMIF(CÁLCULO!$AM$15:$AW$747,"="&amp;CRONO!AD$12,CÁLCULO!$AB$15:$AL$747)/(ORÇAMENTO!$X$15-CÁLCULO.TotalAdmLocal)*CRONO!$E55,0),AD54*$R53),SUMIF(OFFSET($R55,1,0,$Q53-2),($L53+1)&amp;"$",OFFSET(AD55,1,0,$Q53-2)))</f>
        <v>0</v>
      </c>
      <c r="AE55" s="228">
        <f ca="1">IF($Q53=2,IF(AND(ACOMPANHAMENTO="PLE",ISNUMBER($E53)),SUMIF((OFFSET(CÁLCULO!$AM$15:$AW$15,$E53,0,OFFSET(ORÇAMENTO!$D$15,CRONO!$E53,0))),"="&amp;CRONO!AE$12,OFFSET(CÁLCULO!$AB$15:$AL$15,$E53,0,OFFSET(ORÇAMENTO!$D$15,CRONO!$E53,0)))+IF(AND($E55&lt;&gt;"",$E55&lt;&gt;0),SUMIF(CÁLCULO!$AM$15:$AW$747,"="&amp;CRONO!AE$12,CÁLCULO!$AB$15:$AL$747)/(ORÇAMENTO!$X$15-CÁLCULO.TotalAdmLocal)*CRONO!$E55,0),AE54*$R53),SUMIF(OFFSET($R55,1,0,$Q53-2),($L53+1)&amp;"$",OFFSET(AE55,1,0,$Q53-2)))</f>
        <v>0</v>
      </c>
    </row>
    <row r="56" spans="1:32" x14ac:dyDescent="0.2">
      <c r="A56" s="204">
        <f t="shared" ref="A56" ca="1" si="101">OFFSET(A56,-3,0)+1</f>
        <v>15</v>
      </c>
      <c r="B56" s="204">
        <f ca="1">IF($Q56&lt;&gt;2,0,IF($R56=0,1,IF(E57&gt;0,OFFSET(QCI!$M$13,SUBSTITUTE(E57,".",""),0),OFFSET(ORÇAMENTO!$AA$15,CRONO!$E56,0))/$R56))</f>
        <v>1</v>
      </c>
      <c r="C56" s="204">
        <f ca="1">IF($Q56&lt;&gt;2,0,IF($R56=0,1,IF(E57&gt;0,OFFSET(QCI!$N$13,SUBSTITUTE(E57,".",""),0),OFFSET(ORÇAMENTO!$AB$15,CRONO!$E56,0))/$R56))</f>
        <v>1</v>
      </c>
      <c r="D56" s="207">
        <f ca="1">IF(AND($Q56=2,ACOMPANHAMENTO="BM"),D57,D58/$R56)</f>
        <v>0</v>
      </c>
      <c r="E56" s="204">
        <f ca="1">IF(A56&lt;=ORÇAMENTO.MáximoListaCrono,MATCH(A56,ORÇAMENTO.ListaCrono,0),NA())</f>
        <v>325</v>
      </c>
      <c r="F56" s="204" t="str">
        <f t="shared" ref="F56" ca="1" si="102">IF(AND($E57&lt;&gt;-1,$R56&gt;0),"F","")</f>
        <v/>
      </c>
      <c r="G56" s="208" t="str">
        <f ca="1">IF(OR(R56=0,R56=""),"Linha",IF(AND(OR(ACOMPANHAMENTO="PLE",$Q56&lt;&gt;2),$E57=0),"Linha",1-SUM(T56:AF56)))</f>
        <v>Linha</v>
      </c>
      <c r="H56" s="209" t="str">
        <f ca="1">IF($E57=0,OFFSET(ORÇAMENTO!O$15,$E56,0),IF($E57&lt;&gt;-1,OFFSET(QCI!$D$13,$E57,0),""))</f>
        <v>1.14.</v>
      </c>
      <c r="I56" s="210" t="str">
        <f ca="1">IF($E57=0,OFFSET(ORÇAMENTO!R$15,$E56,0),IF($E57&lt;&gt;-1,OFFSET(QCI!$G$13,$E57,0),""))</f>
        <v>INSTALAÇÕES DE ESGOTO SANITÁRIO</v>
      </c>
      <c r="J56" s="210"/>
      <c r="K56" s="210"/>
      <c r="L56" s="211">
        <f ca="1">IF($E57=0,OFFSET(ORÇAMENTO!C$15,$E56,0),1)</f>
        <v>2</v>
      </c>
      <c r="M56" s="212">
        <f ca="1">IF($E57=-1,0,IF(M$13&lt;=$L56,IF(ISERROR(MATCH(M$13,OFFSET($L56,1,0,ROW($L$89)-ROW($L56)-1),0)),ROW($L$89)-ROW($L56)-1,MATCH(M$13,OFFSET($L56,1,0,ROW($L$89)-ROW($L56)-1),0)-1),0))</f>
        <v>32</v>
      </c>
      <c r="N56" s="212">
        <f ca="1">IF($E57=-1,0,IF(N$13&lt;=$L56,IF(ISERROR(MATCH(N$13,OFFSET($L56,1,0,ROW($L$89)-ROW($L56)-1),0)),ROW($L$89)-ROW($L56)-1,MATCH(N$13,OFFSET($L56,1,0,ROW($L$89)-ROW($L56)-1),0)-1),0))</f>
        <v>2</v>
      </c>
      <c r="O56" s="212">
        <f ca="1">IF($E57=-1,0,IF(O$13&lt;=$L56,IF(ISERROR(MATCH(O$13,OFFSET($L56,1,0,ROW($L$89)-ROW($L56)-1),0)),ROW($L$89)-ROW($L56)-1,MATCH(O$13,OFFSET($L56,1,0,ROW($L$89)-ROW($L56)-1),0)-1),0))</f>
        <v>0</v>
      </c>
      <c r="P56" s="212">
        <f ca="1">IF($E57=-1,0,IF(P$13&lt;=$L56,IF(ISERROR(MATCH(P$13,OFFSET($L56,1,0,ROW($L$89)-ROW($L56)-1),0)),ROW($L$89)-ROW($L56)-1,MATCH(P$13,OFFSET($L56,1,0,ROW($L$89)-ROW($L56)-1),0)-1),0))</f>
        <v>0</v>
      </c>
      <c r="Q56" s="212">
        <f t="shared" ref="Q56" ca="1" si="103">MIN(OFFSET(L56,0,1,,L56))</f>
        <v>2</v>
      </c>
      <c r="R56" s="213">
        <f ca="1">IF($E57=0,OFFSET(ORÇAMENTO!X$15,$E56,0),IF($E57&lt;&gt;-1,OFFSET(QCI!$O$13,$E57,0),""))</f>
        <v>0</v>
      </c>
      <c r="S56" s="214" t="s">
        <v>270</v>
      </c>
      <c r="T56" s="215">
        <f t="shared" ref="T56:AE56" ca="1" si="104">IF(AND($Q56=2,ACOMPANHAMENTO="BM"),T57,T58/$R56)</f>
        <v>0</v>
      </c>
      <c r="U56" s="207">
        <f t="shared" ca="1" si="104"/>
        <v>0</v>
      </c>
      <c r="V56" s="207">
        <f t="shared" ca="1" si="104"/>
        <v>0</v>
      </c>
      <c r="W56" s="207">
        <f t="shared" ca="1" si="104"/>
        <v>0.2</v>
      </c>
      <c r="X56" s="207">
        <f t="shared" ca="1" si="104"/>
        <v>0.2</v>
      </c>
      <c r="Y56" s="207">
        <f t="shared" ca="1" si="104"/>
        <v>0.2</v>
      </c>
      <c r="Z56" s="207">
        <f t="shared" ca="1" si="104"/>
        <v>0.2</v>
      </c>
      <c r="AA56" s="207">
        <f t="shared" ca="1" si="104"/>
        <v>0.2</v>
      </c>
      <c r="AB56" s="207">
        <f t="shared" ca="1" si="104"/>
        <v>0</v>
      </c>
      <c r="AC56" s="207">
        <f t="shared" ca="1" si="104"/>
        <v>0</v>
      </c>
      <c r="AD56" s="207">
        <f t="shared" ca="1" si="104"/>
        <v>0</v>
      </c>
      <c r="AE56" s="216">
        <f t="shared" ca="1" si="104"/>
        <v>0</v>
      </c>
    </row>
    <row r="57" spans="1:32" ht="12.75" customHeight="1" x14ac:dyDescent="0.2">
      <c r="D57" s="569"/>
      <c r="E57" s="204">
        <f ca="1">IF(ISERROR(E56),IF(1+COUNTIF($L$13:OFFSET(L56,-1,0),1)&lt;=MAX(QCI!$D$13:$D$24),1+COUNTIF($L$13:OFFSET(L56,-1,0),1),-1),0)</f>
        <v>0</v>
      </c>
      <c r="F57" s="204" t="str">
        <f t="shared" ref="F57" ca="1" si="105">IF(AND($E57&lt;&gt;-1,$R56&gt;0),"F","")</f>
        <v/>
      </c>
      <c r="G57" s="217" t="str">
        <f ca="1">IF(OR(R56=0,R56=""),"vazia",IF(AND(OR(ACOMPANHAMENTO="PLE",$Q56&lt;&gt;2),$E57=0),"calculada","--&gt;"))</f>
        <v>vazia</v>
      </c>
      <c r="H57" s="218"/>
      <c r="I57" s="219" t="str">
        <f t="shared" ref="I57" ca="1" si="106">IF(AND(G56&lt;&gt;0,ISNUMBER(G56)),"PREENCHA ESTA LINHA --&gt;","")</f>
        <v/>
      </c>
      <c r="J57" s="219"/>
      <c r="K57" s="219"/>
      <c r="L57" s="220"/>
      <c r="M57" s="220"/>
      <c r="N57" s="220"/>
      <c r="O57" s="220"/>
      <c r="P57" s="220"/>
      <c r="Q57" s="220"/>
      <c r="R57" s="221"/>
      <c r="S57" s="222"/>
      <c r="T57" s="570"/>
      <c r="U57" s="569"/>
      <c r="V57" s="569"/>
      <c r="W57" s="569">
        <v>0.2</v>
      </c>
      <c r="X57" s="569">
        <v>0.2</v>
      </c>
      <c r="Y57" s="569">
        <v>0.2</v>
      </c>
      <c r="Z57" s="569">
        <v>0.2</v>
      </c>
      <c r="AA57" s="569">
        <v>0.2</v>
      </c>
      <c r="AB57" s="569"/>
      <c r="AC57" s="569"/>
      <c r="AD57" s="569"/>
      <c r="AE57" s="571"/>
      <c r="AF57" s="533"/>
    </row>
    <row r="58" spans="1:32" ht="0.2" hidden="1" customHeight="1" x14ac:dyDescent="0.2">
      <c r="D58" s="223">
        <f ca="1">IF($Q56=2,IF(AND(ACOMPANHAMENTO="PLE",ISNUMBER($E56)),SUMIF((OFFSET(CÁLCULO!$AM$15:$AW$15,$E56,0,OFFSET(ORÇAMENTO!$D$15,CRONO!$E56,0))),"="&amp;CRONO!D$12,OFFSET(CÁLCULO!$AB$15:$AL$15,$E56,0,OFFSET(ORÇAMENTO!$D$15,CRONO!$E56,0)))+IF(AND($E58&lt;&gt;"",$E58&lt;&gt;0),SUMIF(CÁLCULO!$AM$15:$AW$747,"="&amp;CRONO!D$12,CÁLCULO!$AB$15:$AL$747)/(ORÇAMENTO!$X$15-CÁLCULO.TotalAdmLocal)*CRONO!$E58,0),D57*$R56),SUMIF(OFFSET($R58,1,0,$Q56-2),($L56+1)&amp;"$",OFFSET(D58,1,0,$Q56-2)))</f>
        <v>0</v>
      </c>
      <c r="E58" s="204" t="str">
        <f ca="1">IF(OR($Q56&lt;&gt;2,AUTOEVENTO&lt;&gt;"manual",$E57&gt;0),"",SUMIF(OFFSET(CÁLCULO!$M$15,CRONO!$E56,0,OFFSET(ORÇAMENTO!$D$15,CRONO!$E56,0)),1,OFFSET(ORÇAMENTO!$X$15,CRONO!$E56,0,OFFSET(ORÇAMENTO!$D$15,CRONO!$E56,0))))</f>
        <v/>
      </c>
      <c r="G58" s="224"/>
      <c r="R58" s="225" t="str">
        <f t="shared" ref="R58" ca="1" si="107">L56&amp;"$"</f>
        <v>2$</v>
      </c>
      <c r="S58" s="226"/>
      <c r="T58" s="227">
        <f ca="1">IF($Q56=2,IF(AND(ACOMPANHAMENTO="PLE",ISNUMBER($E56)),SUMIF((OFFSET(CÁLCULO!$AM$15:$AW$15,$E56,0,OFFSET(ORÇAMENTO!$D$15,CRONO!$E56,0))),"&lt;="&amp;CRONO!T$12,OFFSET(CÁLCULO!$AB$15:$AL$15,$E56,0,OFFSET(ORÇAMENTO!$D$15,CRONO!$E56,0)))+IF(AND($E58&lt;&gt;"",$E58&lt;&gt;0),SUMIF(CÁLCULO!$AM$15:$AW$747,"&lt;="&amp;CRONO!T$12,CÁLCULO!$AB$15:$AL$747)/(ORÇAMENTO!$X$15-CÁLCULO.TotalAdmLocal)*CRONO!$E58,0),T57*$R56),SUMIF(OFFSET($R58,1,0,$Q56-2),($L56+1)&amp;"$",OFFSET(T58,1,0,$Q56-2)))</f>
        <v>0</v>
      </c>
      <c r="U58" s="223">
        <f ca="1">IF($Q56=2,IF(AND(ACOMPANHAMENTO="PLE",ISNUMBER($E56)),SUMIF((OFFSET(CÁLCULO!$AM$15:$AW$15,$E56,0,OFFSET(ORÇAMENTO!$D$15,CRONO!$E56,0))),"="&amp;CRONO!U$12,OFFSET(CÁLCULO!$AB$15:$AL$15,$E56,0,OFFSET(ORÇAMENTO!$D$15,CRONO!$E56,0)))+IF(AND($E58&lt;&gt;"",$E58&lt;&gt;0),SUMIF(CÁLCULO!$AM$15:$AW$747,"="&amp;CRONO!U$12,CÁLCULO!$AB$15:$AL$747)/(ORÇAMENTO!$X$15-CÁLCULO.TotalAdmLocal)*CRONO!$E58,0),U57*$R56),SUMIF(OFFSET($R58,1,0,$Q56-2),($L56+1)&amp;"$",OFFSET(U58,1,0,$Q56-2)))</f>
        <v>0</v>
      </c>
      <c r="V58" s="223">
        <f ca="1">IF($Q56=2,IF(AND(ACOMPANHAMENTO="PLE",ISNUMBER($E56)),SUMIF((OFFSET(CÁLCULO!$AM$15:$AW$15,$E56,0,OFFSET(ORÇAMENTO!$D$15,CRONO!$E56,0))),"="&amp;CRONO!V$12,OFFSET(CÁLCULO!$AB$15:$AL$15,$E56,0,OFFSET(ORÇAMENTO!$D$15,CRONO!$E56,0)))+IF(AND($E58&lt;&gt;"",$E58&lt;&gt;0),SUMIF(CÁLCULO!$AM$15:$AW$747,"="&amp;CRONO!V$12,CÁLCULO!$AB$15:$AL$747)/(ORÇAMENTO!$X$15-CÁLCULO.TotalAdmLocal)*CRONO!$E58,0),V57*$R56),SUMIF(OFFSET($R58,1,0,$Q56-2),($L56+1)&amp;"$",OFFSET(V58,1,0,$Q56-2)))</f>
        <v>0</v>
      </c>
      <c r="W58" s="223">
        <f ca="1">IF($Q56=2,IF(AND(ACOMPANHAMENTO="PLE",ISNUMBER($E56)),SUMIF((OFFSET(CÁLCULO!$AM$15:$AW$15,$E56,0,OFFSET(ORÇAMENTO!$D$15,CRONO!$E56,0))),"="&amp;CRONO!W$12,OFFSET(CÁLCULO!$AB$15:$AL$15,$E56,0,OFFSET(ORÇAMENTO!$D$15,CRONO!$E56,0)))+IF(AND($E58&lt;&gt;"",$E58&lt;&gt;0),SUMIF(CÁLCULO!$AM$15:$AW$747,"="&amp;CRONO!W$12,CÁLCULO!$AB$15:$AL$747)/(ORÇAMENTO!$X$15-CÁLCULO.TotalAdmLocal)*CRONO!$E58,0),W57*$R56),SUMIF(OFFSET($R58,1,0,$Q56-2),($L56+1)&amp;"$",OFFSET(W58,1,0,$Q56-2)))</f>
        <v>0</v>
      </c>
      <c r="X58" s="223">
        <f ca="1">IF($Q56=2,IF(AND(ACOMPANHAMENTO="PLE",ISNUMBER($E56)),SUMIF((OFFSET(CÁLCULO!$AM$15:$AW$15,$E56,0,OFFSET(ORÇAMENTO!$D$15,CRONO!$E56,0))),"="&amp;CRONO!X$12,OFFSET(CÁLCULO!$AB$15:$AL$15,$E56,0,OFFSET(ORÇAMENTO!$D$15,CRONO!$E56,0)))+IF(AND($E58&lt;&gt;"",$E58&lt;&gt;0),SUMIF(CÁLCULO!$AM$15:$AW$747,"="&amp;CRONO!X$12,CÁLCULO!$AB$15:$AL$747)/(ORÇAMENTO!$X$15-CÁLCULO.TotalAdmLocal)*CRONO!$E58,0),X57*$R56),SUMIF(OFFSET($R58,1,0,$Q56-2),($L56+1)&amp;"$",OFFSET(X58,1,0,$Q56-2)))</f>
        <v>0</v>
      </c>
      <c r="Y58" s="223">
        <f ca="1">IF($Q56=2,IF(AND(ACOMPANHAMENTO="PLE",ISNUMBER($E56)),SUMIF((OFFSET(CÁLCULO!$AM$15:$AW$15,$E56,0,OFFSET(ORÇAMENTO!$D$15,CRONO!$E56,0))),"="&amp;CRONO!Y$12,OFFSET(CÁLCULO!$AB$15:$AL$15,$E56,0,OFFSET(ORÇAMENTO!$D$15,CRONO!$E56,0)))+IF(AND($E58&lt;&gt;"",$E58&lt;&gt;0),SUMIF(CÁLCULO!$AM$15:$AW$747,"="&amp;CRONO!Y$12,CÁLCULO!$AB$15:$AL$747)/(ORÇAMENTO!$X$15-CÁLCULO.TotalAdmLocal)*CRONO!$E58,0),Y57*$R56),SUMIF(OFFSET($R58,1,0,$Q56-2),($L56+1)&amp;"$",OFFSET(Y58,1,0,$Q56-2)))</f>
        <v>0</v>
      </c>
      <c r="Z58" s="223">
        <f ca="1">IF($Q56=2,IF(AND(ACOMPANHAMENTO="PLE",ISNUMBER($E56)),SUMIF((OFFSET(CÁLCULO!$AM$15:$AW$15,$E56,0,OFFSET(ORÇAMENTO!$D$15,CRONO!$E56,0))),"="&amp;CRONO!Z$12,OFFSET(CÁLCULO!$AB$15:$AL$15,$E56,0,OFFSET(ORÇAMENTO!$D$15,CRONO!$E56,0)))+IF(AND($E58&lt;&gt;"",$E58&lt;&gt;0),SUMIF(CÁLCULO!$AM$15:$AW$747,"="&amp;CRONO!Z$12,CÁLCULO!$AB$15:$AL$747)/(ORÇAMENTO!$X$15-CÁLCULO.TotalAdmLocal)*CRONO!$E58,0),Z57*$R56),SUMIF(OFFSET($R58,1,0,$Q56-2),($L56+1)&amp;"$",OFFSET(Z58,1,0,$Q56-2)))</f>
        <v>0</v>
      </c>
      <c r="AA58" s="223">
        <f ca="1">IF($Q56=2,IF(AND(ACOMPANHAMENTO="PLE",ISNUMBER($E56)),SUMIF((OFFSET(CÁLCULO!$AM$15:$AW$15,$E56,0,OFFSET(ORÇAMENTO!$D$15,CRONO!$E56,0))),"="&amp;CRONO!AA$12,OFFSET(CÁLCULO!$AB$15:$AL$15,$E56,0,OFFSET(ORÇAMENTO!$D$15,CRONO!$E56,0)))+IF(AND($E58&lt;&gt;"",$E58&lt;&gt;0),SUMIF(CÁLCULO!$AM$15:$AW$747,"="&amp;CRONO!AA$12,CÁLCULO!$AB$15:$AL$747)/(ORÇAMENTO!$X$15-CÁLCULO.TotalAdmLocal)*CRONO!$E58,0),AA57*$R56),SUMIF(OFFSET($R58,1,0,$Q56-2),($L56+1)&amp;"$",OFFSET(AA58,1,0,$Q56-2)))</f>
        <v>0</v>
      </c>
      <c r="AB58" s="223">
        <f ca="1">IF($Q56=2,IF(AND(ACOMPANHAMENTO="PLE",ISNUMBER($E56)),SUMIF((OFFSET(CÁLCULO!$AM$15:$AW$15,$E56,0,OFFSET(ORÇAMENTO!$D$15,CRONO!$E56,0))),"="&amp;CRONO!AB$12,OFFSET(CÁLCULO!$AB$15:$AL$15,$E56,0,OFFSET(ORÇAMENTO!$D$15,CRONO!$E56,0)))+IF(AND($E58&lt;&gt;"",$E58&lt;&gt;0),SUMIF(CÁLCULO!$AM$15:$AW$747,"="&amp;CRONO!AB$12,CÁLCULO!$AB$15:$AL$747)/(ORÇAMENTO!$X$15-CÁLCULO.TotalAdmLocal)*CRONO!$E58,0),AB57*$R56),SUMIF(OFFSET($R58,1,0,$Q56-2),($L56+1)&amp;"$",OFFSET(AB58,1,0,$Q56-2)))</f>
        <v>0</v>
      </c>
      <c r="AC58" s="223">
        <f ca="1">IF($Q56=2,IF(AND(ACOMPANHAMENTO="PLE",ISNUMBER($E56)),SUMIF((OFFSET(CÁLCULO!$AM$15:$AW$15,$E56,0,OFFSET(ORÇAMENTO!$D$15,CRONO!$E56,0))),"="&amp;CRONO!AC$12,OFFSET(CÁLCULO!$AB$15:$AL$15,$E56,0,OFFSET(ORÇAMENTO!$D$15,CRONO!$E56,0)))+IF(AND($E58&lt;&gt;"",$E58&lt;&gt;0),SUMIF(CÁLCULO!$AM$15:$AW$747,"="&amp;CRONO!AC$12,CÁLCULO!$AB$15:$AL$747)/(ORÇAMENTO!$X$15-CÁLCULO.TotalAdmLocal)*CRONO!$E58,0),AC57*$R56),SUMIF(OFFSET($R58,1,0,$Q56-2),($L56+1)&amp;"$",OFFSET(AC58,1,0,$Q56-2)))</f>
        <v>0</v>
      </c>
      <c r="AD58" s="223">
        <f ca="1">IF($Q56=2,IF(AND(ACOMPANHAMENTO="PLE",ISNUMBER($E56)),SUMIF((OFFSET(CÁLCULO!$AM$15:$AW$15,$E56,0,OFFSET(ORÇAMENTO!$D$15,CRONO!$E56,0))),"="&amp;CRONO!AD$12,OFFSET(CÁLCULO!$AB$15:$AL$15,$E56,0,OFFSET(ORÇAMENTO!$D$15,CRONO!$E56,0)))+IF(AND($E58&lt;&gt;"",$E58&lt;&gt;0),SUMIF(CÁLCULO!$AM$15:$AW$747,"="&amp;CRONO!AD$12,CÁLCULO!$AB$15:$AL$747)/(ORÇAMENTO!$X$15-CÁLCULO.TotalAdmLocal)*CRONO!$E58,0),AD57*$R56),SUMIF(OFFSET($R58,1,0,$Q56-2),($L56+1)&amp;"$",OFFSET(AD58,1,0,$Q56-2)))</f>
        <v>0</v>
      </c>
      <c r="AE58" s="228">
        <f ca="1">IF($Q56=2,IF(AND(ACOMPANHAMENTO="PLE",ISNUMBER($E56)),SUMIF((OFFSET(CÁLCULO!$AM$15:$AW$15,$E56,0,OFFSET(ORÇAMENTO!$D$15,CRONO!$E56,0))),"="&amp;CRONO!AE$12,OFFSET(CÁLCULO!$AB$15:$AL$15,$E56,0,OFFSET(ORÇAMENTO!$D$15,CRONO!$E56,0)))+IF(AND($E58&lt;&gt;"",$E58&lt;&gt;0),SUMIF(CÁLCULO!$AM$15:$AW$747,"="&amp;CRONO!AE$12,CÁLCULO!$AB$15:$AL$747)/(ORÇAMENTO!$X$15-CÁLCULO.TotalAdmLocal)*CRONO!$E58,0),AE57*$R56),SUMIF(OFFSET($R58,1,0,$Q56-2),($L56+1)&amp;"$",OFFSET(AE58,1,0,$Q56-2)))</f>
        <v>0</v>
      </c>
    </row>
    <row r="59" spans="1:32" x14ac:dyDescent="0.2">
      <c r="A59" s="204">
        <f t="shared" ref="A59" ca="1" si="108">OFFSET(A59,-3,0)+1</f>
        <v>16</v>
      </c>
      <c r="B59" s="204">
        <f ca="1">IF($Q59&lt;&gt;2,0,IF($R59=0,1,IF(E60&gt;0,OFFSET(QCI!$M$13,SUBSTITUTE(E60,".",""),0),OFFSET(ORÇAMENTO!$AA$15,CRONO!$E59,0))/$R59))</f>
        <v>1</v>
      </c>
      <c r="C59" s="204">
        <f ca="1">IF($Q59&lt;&gt;2,0,IF($R59=0,1,IF(E60&gt;0,OFFSET(QCI!$N$13,SUBSTITUTE(E60,".",""),0),OFFSET(ORÇAMENTO!$AB$15,CRONO!$E59,0))/$R59))</f>
        <v>1</v>
      </c>
      <c r="D59" s="207">
        <f ca="1">IF(AND($Q59=2,ACOMPANHAMENTO="BM"),D60,D61/$R59)</f>
        <v>0</v>
      </c>
      <c r="E59" s="204">
        <f ca="1">IF(A59&lt;=ORÇAMENTO.MáximoListaCrono,MATCH(A59,ORÇAMENTO.ListaCrono,0),NA())</f>
        <v>376</v>
      </c>
      <c r="F59" s="204" t="str">
        <f t="shared" ref="F59" ca="1" si="109">IF(AND($E60&lt;&gt;-1,$R59&gt;0),"F","")</f>
        <v/>
      </c>
      <c r="G59" s="208" t="str">
        <f ca="1">IF(OR(R59=0,R59=""),"Linha",IF(AND(OR(ACOMPANHAMENTO="PLE",$Q59&lt;&gt;2),$E60=0),"Linha",1-SUM(T59:AF59)))</f>
        <v>Linha</v>
      </c>
      <c r="H59" s="209" t="str">
        <f ca="1">IF($E60=0,OFFSET(ORÇAMENTO!O$15,$E59,0),IF($E60&lt;&gt;-1,OFFSET(QCI!$D$13,$E60,0),""))</f>
        <v>1.15.</v>
      </c>
      <c r="I59" s="210" t="str">
        <f ca="1">IF($E60=0,OFFSET(ORÇAMENTO!R$15,$E59,0),IF($E60&lt;&gt;-1,OFFSET(QCI!$G$13,$E60,0),""))</f>
        <v>LOUÇAS, ACESSÓRIOS E METAIS</v>
      </c>
      <c r="J59" s="210"/>
      <c r="K59" s="210"/>
      <c r="L59" s="211">
        <f ca="1">IF($E60=0,OFFSET(ORÇAMENTO!C$15,$E59,0),1)</f>
        <v>2</v>
      </c>
      <c r="M59" s="212">
        <f ca="1">IF($E60=-1,0,IF(M$13&lt;=$L59,IF(ISERROR(MATCH(M$13,OFFSET($L59,1,0,ROW($L$89)-ROW($L59)-1),0)),ROW($L$89)-ROW($L59)-1,MATCH(M$13,OFFSET($L59,1,0,ROW($L$89)-ROW($L59)-1),0)-1),0))</f>
        <v>29</v>
      </c>
      <c r="N59" s="212">
        <f ca="1">IF($E60=-1,0,IF(N$13&lt;=$L59,IF(ISERROR(MATCH(N$13,OFFSET($L59,1,0,ROW($L$89)-ROW($L59)-1),0)),ROW($L$89)-ROW($L59)-1,MATCH(N$13,OFFSET($L59,1,0,ROW($L$89)-ROW($L59)-1),0)-1),0))</f>
        <v>2</v>
      </c>
      <c r="O59" s="212">
        <f ca="1">IF($E60=-1,0,IF(O$13&lt;=$L59,IF(ISERROR(MATCH(O$13,OFFSET($L59,1,0,ROW($L$89)-ROW($L59)-1),0)),ROW($L$89)-ROW($L59)-1,MATCH(O$13,OFFSET($L59,1,0,ROW($L$89)-ROW($L59)-1),0)-1),0))</f>
        <v>0</v>
      </c>
      <c r="P59" s="212">
        <f ca="1">IF($E60=-1,0,IF(P$13&lt;=$L59,IF(ISERROR(MATCH(P$13,OFFSET($L59,1,0,ROW($L$89)-ROW($L59)-1),0)),ROW($L$89)-ROW($L59)-1,MATCH(P$13,OFFSET($L59,1,0,ROW($L$89)-ROW($L59)-1),0)-1),0))</f>
        <v>0</v>
      </c>
      <c r="Q59" s="212">
        <f t="shared" ref="Q59" ca="1" si="110">MIN(OFFSET(L59,0,1,,L59))</f>
        <v>2</v>
      </c>
      <c r="R59" s="213">
        <f ca="1">IF($E60=0,OFFSET(ORÇAMENTO!X$15,$E59,0),IF($E60&lt;&gt;-1,OFFSET(QCI!$O$13,$E60,0),""))</f>
        <v>0</v>
      </c>
      <c r="S59" s="214" t="s">
        <v>270</v>
      </c>
      <c r="T59" s="215">
        <f t="shared" ref="T59:AE59" ca="1" si="111">IF(AND($Q59=2,ACOMPANHAMENTO="BM"),T60,T61/$R59)</f>
        <v>0</v>
      </c>
      <c r="U59" s="207">
        <f t="shared" ca="1" si="111"/>
        <v>0</v>
      </c>
      <c r="V59" s="207">
        <f t="shared" ca="1" si="111"/>
        <v>0</v>
      </c>
      <c r="W59" s="207">
        <f t="shared" ca="1" si="111"/>
        <v>0</v>
      </c>
      <c r="X59" s="207">
        <f t="shared" ca="1" si="111"/>
        <v>0</v>
      </c>
      <c r="Y59" s="207">
        <f t="shared" ca="1" si="111"/>
        <v>0.1</v>
      </c>
      <c r="Z59" s="207">
        <f t="shared" ca="1" si="111"/>
        <v>0.2</v>
      </c>
      <c r="AA59" s="207">
        <f t="shared" ca="1" si="111"/>
        <v>0.3</v>
      </c>
      <c r="AB59" s="207">
        <f t="shared" ca="1" si="111"/>
        <v>0.4</v>
      </c>
      <c r="AC59" s="207">
        <f t="shared" ca="1" si="111"/>
        <v>0</v>
      </c>
      <c r="AD59" s="207">
        <f t="shared" ca="1" si="111"/>
        <v>0</v>
      </c>
      <c r="AE59" s="216">
        <f t="shared" ca="1" si="111"/>
        <v>0</v>
      </c>
    </row>
    <row r="60" spans="1:32" ht="12.75" customHeight="1" x14ac:dyDescent="0.2">
      <c r="D60" s="569"/>
      <c r="E60" s="204">
        <f ca="1">IF(ISERROR(E59),IF(1+COUNTIF($L$13:OFFSET(L59,-1,0),1)&lt;=MAX(QCI!$D$13:$D$24),1+COUNTIF($L$13:OFFSET(L59,-1,0),1),-1),0)</f>
        <v>0</v>
      </c>
      <c r="F60" s="204" t="str">
        <f t="shared" ref="F60" ca="1" si="112">IF(AND($E60&lt;&gt;-1,$R59&gt;0),"F","")</f>
        <v/>
      </c>
      <c r="G60" s="217" t="str">
        <f ca="1">IF(OR(R59=0,R59=""),"vazia",IF(AND(OR(ACOMPANHAMENTO="PLE",$Q59&lt;&gt;2),$E60=0),"calculada","--&gt;"))</f>
        <v>vazia</v>
      </c>
      <c r="H60" s="218"/>
      <c r="I60" s="219" t="str">
        <f t="shared" ref="I60" ca="1" si="113">IF(AND(G59&lt;&gt;0,ISNUMBER(G59)),"PREENCHA ESTA LINHA --&gt;","")</f>
        <v/>
      </c>
      <c r="J60" s="219"/>
      <c r="K60" s="219"/>
      <c r="L60" s="220"/>
      <c r="M60" s="220"/>
      <c r="N60" s="220"/>
      <c r="O60" s="220"/>
      <c r="P60" s="220"/>
      <c r="Q60" s="220"/>
      <c r="R60" s="221"/>
      <c r="S60" s="222"/>
      <c r="T60" s="570"/>
      <c r="U60" s="569"/>
      <c r="V60" s="569"/>
      <c r="W60" s="569"/>
      <c r="X60" s="569"/>
      <c r="Y60" s="569">
        <v>0.1</v>
      </c>
      <c r="Z60" s="569">
        <v>0.2</v>
      </c>
      <c r="AA60" s="569">
        <v>0.3</v>
      </c>
      <c r="AB60" s="569">
        <v>0.4</v>
      </c>
      <c r="AC60" s="569"/>
      <c r="AD60" s="569"/>
      <c r="AE60" s="571"/>
      <c r="AF60" s="533"/>
    </row>
    <row r="61" spans="1:32" ht="0.2" hidden="1" customHeight="1" x14ac:dyDescent="0.2">
      <c r="D61" s="223">
        <f ca="1">IF($Q59=2,IF(AND(ACOMPANHAMENTO="PLE",ISNUMBER($E59)),SUMIF((OFFSET(CÁLCULO!$AM$15:$AW$15,$E59,0,OFFSET(ORÇAMENTO!$D$15,CRONO!$E59,0))),"="&amp;CRONO!D$12,OFFSET(CÁLCULO!$AB$15:$AL$15,$E59,0,OFFSET(ORÇAMENTO!$D$15,CRONO!$E59,0)))+IF(AND($E61&lt;&gt;"",$E61&lt;&gt;0),SUMIF(CÁLCULO!$AM$15:$AW$747,"="&amp;CRONO!D$12,CÁLCULO!$AB$15:$AL$747)/(ORÇAMENTO!$X$15-CÁLCULO.TotalAdmLocal)*CRONO!$E61,0),D60*$R59),SUMIF(OFFSET($R61,1,0,$Q59-2),($L59+1)&amp;"$",OFFSET(D61,1,0,$Q59-2)))</f>
        <v>0</v>
      </c>
      <c r="E61" s="204" t="str">
        <f ca="1">IF(OR($Q59&lt;&gt;2,AUTOEVENTO&lt;&gt;"manual",$E60&gt;0),"",SUMIF(OFFSET(CÁLCULO!$M$15,CRONO!$E59,0,OFFSET(ORÇAMENTO!$D$15,CRONO!$E59,0)),1,OFFSET(ORÇAMENTO!$X$15,CRONO!$E59,0,OFFSET(ORÇAMENTO!$D$15,CRONO!$E59,0))))</f>
        <v/>
      </c>
      <c r="G61" s="224"/>
      <c r="R61" s="225" t="str">
        <f t="shared" ref="R61" ca="1" si="114">L59&amp;"$"</f>
        <v>2$</v>
      </c>
      <c r="S61" s="226"/>
      <c r="T61" s="227">
        <f ca="1">IF($Q59=2,IF(AND(ACOMPANHAMENTO="PLE",ISNUMBER($E59)),SUMIF((OFFSET(CÁLCULO!$AM$15:$AW$15,$E59,0,OFFSET(ORÇAMENTO!$D$15,CRONO!$E59,0))),"&lt;="&amp;CRONO!T$12,OFFSET(CÁLCULO!$AB$15:$AL$15,$E59,0,OFFSET(ORÇAMENTO!$D$15,CRONO!$E59,0)))+IF(AND($E61&lt;&gt;"",$E61&lt;&gt;0),SUMIF(CÁLCULO!$AM$15:$AW$747,"&lt;="&amp;CRONO!T$12,CÁLCULO!$AB$15:$AL$747)/(ORÇAMENTO!$X$15-CÁLCULO.TotalAdmLocal)*CRONO!$E61,0),T60*$R59),SUMIF(OFFSET($R61,1,0,$Q59-2),($L59+1)&amp;"$",OFFSET(T61,1,0,$Q59-2)))</f>
        <v>0</v>
      </c>
      <c r="U61" s="223">
        <f ca="1">IF($Q59=2,IF(AND(ACOMPANHAMENTO="PLE",ISNUMBER($E59)),SUMIF((OFFSET(CÁLCULO!$AM$15:$AW$15,$E59,0,OFFSET(ORÇAMENTO!$D$15,CRONO!$E59,0))),"="&amp;CRONO!U$12,OFFSET(CÁLCULO!$AB$15:$AL$15,$E59,0,OFFSET(ORÇAMENTO!$D$15,CRONO!$E59,0)))+IF(AND($E61&lt;&gt;"",$E61&lt;&gt;0),SUMIF(CÁLCULO!$AM$15:$AW$747,"="&amp;CRONO!U$12,CÁLCULO!$AB$15:$AL$747)/(ORÇAMENTO!$X$15-CÁLCULO.TotalAdmLocal)*CRONO!$E61,0),U60*$R59),SUMIF(OFFSET($R61,1,0,$Q59-2),($L59+1)&amp;"$",OFFSET(U61,1,0,$Q59-2)))</f>
        <v>0</v>
      </c>
      <c r="V61" s="223">
        <f ca="1">IF($Q59=2,IF(AND(ACOMPANHAMENTO="PLE",ISNUMBER($E59)),SUMIF((OFFSET(CÁLCULO!$AM$15:$AW$15,$E59,0,OFFSET(ORÇAMENTO!$D$15,CRONO!$E59,0))),"="&amp;CRONO!V$12,OFFSET(CÁLCULO!$AB$15:$AL$15,$E59,0,OFFSET(ORÇAMENTO!$D$15,CRONO!$E59,0)))+IF(AND($E61&lt;&gt;"",$E61&lt;&gt;0),SUMIF(CÁLCULO!$AM$15:$AW$747,"="&amp;CRONO!V$12,CÁLCULO!$AB$15:$AL$747)/(ORÇAMENTO!$X$15-CÁLCULO.TotalAdmLocal)*CRONO!$E61,0),V60*$R59),SUMIF(OFFSET($R61,1,0,$Q59-2),($L59+1)&amp;"$",OFFSET(V61,1,0,$Q59-2)))</f>
        <v>0</v>
      </c>
      <c r="W61" s="223">
        <f ca="1">IF($Q59=2,IF(AND(ACOMPANHAMENTO="PLE",ISNUMBER($E59)),SUMIF((OFFSET(CÁLCULO!$AM$15:$AW$15,$E59,0,OFFSET(ORÇAMENTO!$D$15,CRONO!$E59,0))),"="&amp;CRONO!W$12,OFFSET(CÁLCULO!$AB$15:$AL$15,$E59,0,OFFSET(ORÇAMENTO!$D$15,CRONO!$E59,0)))+IF(AND($E61&lt;&gt;"",$E61&lt;&gt;0),SUMIF(CÁLCULO!$AM$15:$AW$747,"="&amp;CRONO!W$12,CÁLCULO!$AB$15:$AL$747)/(ORÇAMENTO!$X$15-CÁLCULO.TotalAdmLocal)*CRONO!$E61,0),W60*$R59),SUMIF(OFFSET($R61,1,0,$Q59-2),($L59+1)&amp;"$",OFFSET(W61,1,0,$Q59-2)))</f>
        <v>0</v>
      </c>
      <c r="X61" s="223">
        <f ca="1">IF($Q59=2,IF(AND(ACOMPANHAMENTO="PLE",ISNUMBER($E59)),SUMIF((OFFSET(CÁLCULO!$AM$15:$AW$15,$E59,0,OFFSET(ORÇAMENTO!$D$15,CRONO!$E59,0))),"="&amp;CRONO!X$12,OFFSET(CÁLCULO!$AB$15:$AL$15,$E59,0,OFFSET(ORÇAMENTO!$D$15,CRONO!$E59,0)))+IF(AND($E61&lt;&gt;"",$E61&lt;&gt;0),SUMIF(CÁLCULO!$AM$15:$AW$747,"="&amp;CRONO!X$12,CÁLCULO!$AB$15:$AL$747)/(ORÇAMENTO!$X$15-CÁLCULO.TotalAdmLocal)*CRONO!$E61,0),X60*$R59),SUMIF(OFFSET($R61,1,0,$Q59-2),($L59+1)&amp;"$",OFFSET(X61,1,0,$Q59-2)))</f>
        <v>0</v>
      </c>
      <c r="Y61" s="223">
        <f ca="1">IF($Q59=2,IF(AND(ACOMPANHAMENTO="PLE",ISNUMBER($E59)),SUMIF((OFFSET(CÁLCULO!$AM$15:$AW$15,$E59,0,OFFSET(ORÇAMENTO!$D$15,CRONO!$E59,0))),"="&amp;CRONO!Y$12,OFFSET(CÁLCULO!$AB$15:$AL$15,$E59,0,OFFSET(ORÇAMENTO!$D$15,CRONO!$E59,0)))+IF(AND($E61&lt;&gt;"",$E61&lt;&gt;0),SUMIF(CÁLCULO!$AM$15:$AW$747,"="&amp;CRONO!Y$12,CÁLCULO!$AB$15:$AL$747)/(ORÇAMENTO!$X$15-CÁLCULO.TotalAdmLocal)*CRONO!$E61,0),Y60*$R59),SUMIF(OFFSET($R61,1,0,$Q59-2),($L59+1)&amp;"$",OFFSET(Y61,1,0,$Q59-2)))</f>
        <v>0</v>
      </c>
      <c r="Z61" s="223">
        <f ca="1">IF($Q59=2,IF(AND(ACOMPANHAMENTO="PLE",ISNUMBER($E59)),SUMIF((OFFSET(CÁLCULO!$AM$15:$AW$15,$E59,0,OFFSET(ORÇAMENTO!$D$15,CRONO!$E59,0))),"="&amp;CRONO!Z$12,OFFSET(CÁLCULO!$AB$15:$AL$15,$E59,0,OFFSET(ORÇAMENTO!$D$15,CRONO!$E59,0)))+IF(AND($E61&lt;&gt;"",$E61&lt;&gt;0),SUMIF(CÁLCULO!$AM$15:$AW$747,"="&amp;CRONO!Z$12,CÁLCULO!$AB$15:$AL$747)/(ORÇAMENTO!$X$15-CÁLCULO.TotalAdmLocal)*CRONO!$E61,0),Z60*$R59),SUMIF(OFFSET($R61,1,0,$Q59-2),($L59+1)&amp;"$",OFFSET(Z61,1,0,$Q59-2)))</f>
        <v>0</v>
      </c>
      <c r="AA61" s="223">
        <f ca="1">IF($Q59=2,IF(AND(ACOMPANHAMENTO="PLE",ISNUMBER($E59)),SUMIF((OFFSET(CÁLCULO!$AM$15:$AW$15,$E59,0,OFFSET(ORÇAMENTO!$D$15,CRONO!$E59,0))),"="&amp;CRONO!AA$12,OFFSET(CÁLCULO!$AB$15:$AL$15,$E59,0,OFFSET(ORÇAMENTO!$D$15,CRONO!$E59,0)))+IF(AND($E61&lt;&gt;"",$E61&lt;&gt;0),SUMIF(CÁLCULO!$AM$15:$AW$747,"="&amp;CRONO!AA$12,CÁLCULO!$AB$15:$AL$747)/(ORÇAMENTO!$X$15-CÁLCULO.TotalAdmLocal)*CRONO!$E61,0),AA60*$R59),SUMIF(OFFSET($R61,1,0,$Q59-2),($L59+1)&amp;"$",OFFSET(AA61,1,0,$Q59-2)))</f>
        <v>0</v>
      </c>
      <c r="AB61" s="223">
        <f ca="1">IF($Q59=2,IF(AND(ACOMPANHAMENTO="PLE",ISNUMBER($E59)),SUMIF((OFFSET(CÁLCULO!$AM$15:$AW$15,$E59,0,OFFSET(ORÇAMENTO!$D$15,CRONO!$E59,0))),"="&amp;CRONO!AB$12,OFFSET(CÁLCULO!$AB$15:$AL$15,$E59,0,OFFSET(ORÇAMENTO!$D$15,CRONO!$E59,0)))+IF(AND($E61&lt;&gt;"",$E61&lt;&gt;0),SUMIF(CÁLCULO!$AM$15:$AW$747,"="&amp;CRONO!AB$12,CÁLCULO!$AB$15:$AL$747)/(ORÇAMENTO!$X$15-CÁLCULO.TotalAdmLocal)*CRONO!$E61,0),AB60*$R59),SUMIF(OFFSET($R61,1,0,$Q59-2),($L59+1)&amp;"$",OFFSET(AB61,1,0,$Q59-2)))</f>
        <v>0</v>
      </c>
      <c r="AC61" s="223">
        <f ca="1">IF($Q59=2,IF(AND(ACOMPANHAMENTO="PLE",ISNUMBER($E59)),SUMIF((OFFSET(CÁLCULO!$AM$15:$AW$15,$E59,0,OFFSET(ORÇAMENTO!$D$15,CRONO!$E59,0))),"="&amp;CRONO!AC$12,OFFSET(CÁLCULO!$AB$15:$AL$15,$E59,0,OFFSET(ORÇAMENTO!$D$15,CRONO!$E59,0)))+IF(AND($E61&lt;&gt;"",$E61&lt;&gt;0),SUMIF(CÁLCULO!$AM$15:$AW$747,"="&amp;CRONO!AC$12,CÁLCULO!$AB$15:$AL$747)/(ORÇAMENTO!$X$15-CÁLCULO.TotalAdmLocal)*CRONO!$E61,0),AC60*$R59),SUMIF(OFFSET($R61,1,0,$Q59-2),($L59+1)&amp;"$",OFFSET(AC61,1,0,$Q59-2)))</f>
        <v>0</v>
      </c>
      <c r="AD61" s="223">
        <f ca="1">IF($Q59=2,IF(AND(ACOMPANHAMENTO="PLE",ISNUMBER($E59)),SUMIF((OFFSET(CÁLCULO!$AM$15:$AW$15,$E59,0,OFFSET(ORÇAMENTO!$D$15,CRONO!$E59,0))),"="&amp;CRONO!AD$12,OFFSET(CÁLCULO!$AB$15:$AL$15,$E59,0,OFFSET(ORÇAMENTO!$D$15,CRONO!$E59,0)))+IF(AND($E61&lt;&gt;"",$E61&lt;&gt;0),SUMIF(CÁLCULO!$AM$15:$AW$747,"="&amp;CRONO!AD$12,CÁLCULO!$AB$15:$AL$747)/(ORÇAMENTO!$X$15-CÁLCULO.TotalAdmLocal)*CRONO!$E61,0),AD60*$R59),SUMIF(OFFSET($R61,1,0,$Q59-2),($L59+1)&amp;"$",OFFSET(AD61,1,0,$Q59-2)))</f>
        <v>0</v>
      </c>
      <c r="AE61" s="228">
        <f ca="1">IF($Q59=2,IF(AND(ACOMPANHAMENTO="PLE",ISNUMBER($E59)),SUMIF((OFFSET(CÁLCULO!$AM$15:$AW$15,$E59,0,OFFSET(ORÇAMENTO!$D$15,CRONO!$E59,0))),"="&amp;CRONO!AE$12,OFFSET(CÁLCULO!$AB$15:$AL$15,$E59,0,OFFSET(ORÇAMENTO!$D$15,CRONO!$E59,0)))+IF(AND($E61&lt;&gt;"",$E61&lt;&gt;0),SUMIF(CÁLCULO!$AM$15:$AW$747,"="&amp;CRONO!AE$12,CÁLCULO!$AB$15:$AL$747)/(ORÇAMENTO!$X$15-CÁLCULO.TotalAdmLocal)*CRONO!$E61,0),AE60*$R59),SUMIF(OFFSET($R61,1,0,$Q59-2),($L59+1)&amp;"$",OFFSET(AE61,1,0,$Q59-2)))</f>
        <v>0</v>
      </c>
    </row>
    <row r="62" spans="1:32" x14ac:dyDescent="0.2">
      <c r="A62" s="204">
        <f t="shared" ref="A62" ca="1" si="115">OFFSET(A62,-3,0)+1</f>
        <v>17</v>
      </c>
      <c r="B62" s="204">
        <f ca="1">IF($Q62&lt;&gt;2,0,IF($R62=0,1,IF(E63&gt;0,OFFSET(QCI!$M$13,SUBSTITUTE(E63,".",""),0),OFFSET(ORÇAMENTO!$AA$15,CRONO!$E62,0))/$R62))</f>
        <v>1</v>
      </c>
      <c r="C62" s="204">
        <f ca="1">IF($Q62&lt;&gt;2,0,IF($R62=0,1,IF(E63&gt;0,OFFSET(QCI!$N$13,SUBSTITUTE(E63,".",""),0),OFFSET(ORÇAMENTO!$AB$15,CRONO!$E62,0))/$R62))</f>
        <v>1</v>
      </c>
      <c r="D62" s="207">
        <f ca="1">IF(AND($Q62=2,ACOMPANHAMENTO="BM"),D63,D64/$R62)</f>
        <v>0</v>
      </c>
      <c r="E62" s="204">
        <f ca="1">IF(A62&lt;=ORÇAMENTO.MáximoListaCrono,MATCH(A62,ORÇAMENTO.ListaCrono,0),NA())</f>
        <v>411</v>
      </c>
      <c r="F62" s="204" t="str">
        <f t="shared" ref="F62" ca="1" si="116">IF(AND($E63&lt;&gt;-1,$R62&gt;0),"F","")</f>
        <v/>
      </c>
      <c r="G62" s="208" t="str">
        <f ca="1">IF(OR(R62=0,R62=""),"Linha",IF(AND(OR(ACOMPANHAMENTO="PLE",$Q62&lt;&gt;2),$E63=0),"Linha",1-SUM(T62:AF62)))</f>
        <v>Linha</v>
      </c>
      <c r="H62" s="209" t="str">
        <f ca="1">IF($E63=0,OFFSET(ORÇAMENTO!O$15,$E62,0),IF($E63&lt;&gt;-1,OFFSET(QCI!$D$13,$E63,0),""))</f>
        <v>1.16.</v>
      </c>
      <c r="I62" s="210" t="str">
        <f ca="1">IF($E63=0,OFFSET(ORÇAMENTO!R$15,$E62,0),IF($E63&lt;&gt;-1,OFFSET(QCI!$G$13,$E63,0),""))</f>
        <v>SISTEMA DE PROTEÇÃO CONTRA INCÊNDIO</v>
      </c>
      <c r="J62" s="210"/>
      <c r="K62" s="210"/>
      <c r="L62" s="211">
        <f ca="1">IF($E63=0,OFFSET(ORÇAMENTO!C$15,$E62,0),1)</f>
        <v>2</v>
      </c>
      <c r="M62" s="212">
        <f ca="1">IF($E63=-1,0,IF(M$13&lt;=$L62,IF(ISERROR(MATCH(M$13,OFFSET($L62,1,0,ROW($L$89)-ROW($L62)-1),0)),ROW($L$89)-ROW($L62)-1,MATCH(M$13,OFFSET($L62,1,0,ROW($L$89)-ROW($L62)-1),0)-1),0))</f>
        <v>26</v>
      </c>
      <c r="N62" s="212">
        <f ca="1">IF($E63=-1,0,IF(N$13&lt;=$L62,IF(ISERROR(MATCH(N$13,OFFSET($L62,1,0,ROW($L$89)-ROW($L62)-1),0)),ROW($L$89)-ROW($L62)-1,MATCH(N$13,OFFSET($L62,1,0,ROW($L$89)-ROW($L62)-1),0)-1),0))</f>
        <v>2</v>
      </c>
      <c r="O62" s="212">
        <f ca="1">IF($E63=-1,0,IF(O$13&lt;=$L62,IF(ISERROR(MATCH(O$13,OFFSET($L62,1,0,ROW($L$89)-ROW($L62)-1),0)),ROW($L$89)-ROW($L62)-1,MATCH(O$13,OFFSET($L62,1,0,ROW($L$89)-ROW($L62)-1),0)-1),0))</f>
        <v>0</v>
      </c>
      <c r="P62" s="212">
        <f ca="1">IF($E63=-1,0,IF(P$13&lt;=$L62,IF(ISERROR(MATCH(P$13,OFFSET($L62,1,0,ROW($L$89)-ROW($L62)-1),0)),ROW($L$89)-ROW($L62)-1,MATCH(P$13,OFFSET($L62,1,0,ROW($L$89)-ROW($L62)-1),0)-1),0))</f>
        <v>0</v>
      </c>
      <c r="Q62" s="212">
        <f t="shared" ref="Q62" ca="1" si="117">MIN(OFFSET(L62,0,1,,L62))</f>
        <v>2</v>
      </c>
      <c r="R62" s="213">
        <f ca="1">IF($E63=0,OFFSET(ORÇAMENTO!X$15,$E62,0),IF($E63&lt;&gt;-1,OFFSET(QCI!$O$13,$E63,0),""))</f>
        <v>0</v>
      </c>
      <c r="S62" s="214" t="s">
        <v>270</v>
      </c>
      <c r="T62" s="215">
        <f t="shared" ref="T62:AE62" ca="1" si="118">IF(AND($Q62=2,ACOMPANHAMENTO="BM"),T63,T64/$R62)</f>
        <v>0</v>
      </c>
      <c r="U62" s="207">
        <f t="shared" ca="1" si="118"/>
        <v>0</v>
      </c>
      <c r="V62" s="207">
        <f t="shared" ca="1" si="118"/>
        <v>0</v>
      </c>
      <c r="W62" s="207">
        <f t="shared" ca="1" si="118"/>
        <v>0.3</v>
      </c>
      <c r="X62" s="207">
        <f t="shared" ca="1" si="118"/>
        <v>0.3</v>
      </c>
      <c r="Y62" s="207">
        <f t="shared" ca="1" si="118"/>
        <v>0</v>
      </c>
      <c r="Z62" s="207">
        <f t="shared" ca="1" si="118"/>
        <v>0</v>
      </c>
      <c r="AA62" s="207">
        <f t="shared" ca="1" si="118"/>
        <v>0.2</v>
      </c>
      <c r="AB62" s="207">
        <f t="shared" ca="1" si="118"/>
        <v>0.2</v>
      </c>
      <c r="AC62" s="207">
        <f t="shared" ca="1" si="118"/>
        <v>0</v>
      </c>
      <c r="AD62" s="207">
        <f t="shared" ca="1" si="118"/>
        <v>0</v>
      </c>
      <c r="AE62" s="216">
        <f t="shared" ca="1" si="118"/>
        <v>0</v>
      </c>
    </row>
    <row r="63" spans="1:32" ht="12.75" customHeight="1" x14ac:dyDescent="0.2">
      <c r="D63" s="569"/>
      <c r="E63" s="204">
        <f ca="1">IF(ISERROR(E62),IF(1+COUNTIF($L$13:OFFSET(L62,-1,0),1)&lt;=MAX(QCI!$D$13:$D$24),1+COUNTIF($L$13:OFFSET(L62,-1,0),1),-1),0)</f>
        <v>0</v>
      </c>
      <c r="F63" s="204" t="str">
        <f t="shared" ref="F63" ca="1" si="119">IF(AND($E63&lt;&gt;-1,$R62&gt;0),"F","")</f>
        <v/>
      </c>
      <c r="G63" s="217" t="str">
        <f ca="1">IF(OR(R62=0,R62=""),"vazia",IF(AND(OR(ACOMPANHAMENTO="PLE",$Q62&lt;&gt;2),$E63=0),"calculada","--&gt;"))</f>
        <v>vazia</v>
      </c>
      <c r="H63" s="218"/>
      <c r="I63" s="219" t="str">
        <f t="shared" ref="I63" ca="1" si="120">IF(AND(G62&lt;&gt;0,ISNUMBER(G62)),"PREENCHA ESTA LINHA --&gt;","")</f>
        <v/>
      </c>
      <c r="J63" s="219"/>
      <c r="K63" s="219"/>
      <c r="L63" s="220"/>
      <c r="M63" s="220"/>
      <c r="N63" s="220"/>
      <c r="O63" s="220"/>
      <c r="P63" s="220"/>
      <c r="Q63" s="220"/>
      <c r="R63" s="221"/>
      <c r="S63" s="222"/>
      <c r="T63" s="570"/>
      <c r="U63" s="569"/>
      <c r="V63" s="569"/>
      <c r="W63" s="569">
        <v>0.3</v>
      </c>
      <c r="X63" s="569">
        <v>0.3</v>
      </c>
      <c r="Y63" s="569"/>
      <c r="Z63" s="569"/>
      <c r="AA63" s="569">
        <v>0.2</v>
      </c>
      <c r="AB63" s="569">
        <v>0.2</v>
      </c>
      <c r="AC63" s="569"/>
      <c r="AD63" s="569"/>
      <c r="AE63" s="571"/>
      <c r="AF63" s="533"/>
    </row>
    <row r="64" spans="1:32" ht="0.2" hidden="1" customHeight="1" x14ac:dyDescent="0.2">
      <c r="D64" s="223">
        <f ca="1">IF($Q62=2,IF(AND(ACOMPANHAMENTO="PLE",ISNUMBER($E62)),SUMIF((OFFSET(CÁLCULO!$AM$15:$AW$15,$E62,0,OFFSET(ORÇAMENTO!$D$15,CRONO!$E62,0))),"="&amp;CRONO!D$12,OFFSET(CÁLCULO!$AB$15:$AL$15,$E62,0,OFFSET(ORÇAMENTO!$D$15,CRONO!$E62,0)))+IF(AND($E64&lt;&gt;"",$E64&lt;&gt;0),SUMIF(CÁLCULO!$AM$15:$AW$747,"="&amp;CRONO!D$12,CÁLCULO!$AB$15:$AL$747)/(ORÇAMENTO!$X$15-CÁLCULO.TotalAdmLocal)*CRONO!$E64,0),D63*$R62),SUMIF(OFFSET($R64,1,0,$Q62-2),($L62+1)&amp;"$",OFFSET(D64,1,0,$Q62-2)))</f>
        <v>0</v>
      </c>
      <c r="E64" s="204" t="str">
        <f ca="1">IF(OR($Q62&lt;&gt;2,AUTOEVENTO&lt;&gt;"manual",$E63&gt;0),"",SUMIF(OFFSET(CÁLCULO!$M$15,CRONO!$E62,0,OFFSET(ORÇAMENTO!$D$15,CRONO!$E62,0)),1,OFFSET(ORÇAMENTO!$X$15,CRONO!$E62,0,OFFSET(ORÇAMENTO!$D$15,CRONO!$E62,0))))</f>
        <v/>
      </c>
      <c r="G64" s="224"/>
      <c r="R64" s="225" t="str">
        <f t="shared" ref="R64" ca="1" si="121">L62&amp;"$"</f>
        <v>2$</v>
      </c>
      <c r="S64" s="226"/>
      <c r="T64" s="227">
        <f ca="1">IF($Q62=2,IF(AND(ACOMPANHAMENTO="PLE",ISNUMBER($E62)),SUMIF((OFFSET(CÁLCULO!$AM$15:$AW$15,$E62,0,OFFSET(ORÇAMENTO!$D$15,CRONO!$E62,0))),"&lt;="&amp;CRONO!T$12,OFFSET(CÁLCULO!$AB$15:$AL$15,$E62,0,OFFSET(ORÇAMENTO!$D$15,CRONO!$E62,0)))+IF(AND($E64&lt;&gt;"",$E64&lt;&gt;0),SUMIF(CÁLCULO!$AM$15:$AW$747,"&lt;="&amp;CRONO!T$12,CÁLCULO!$AB$15:$AL$747)/(ORÇAMENTO!$X$15-CÁLCULO.TotalAdmLocal)*CRONO!$E64,0),T63*$R62),SUMIF(OFFSET($R64,1,0,$Q62-2),($L62+1)&amp;"$",OFFSET(T64,1,0,$Q62-2)))</f>
        <v>0</v>
      </c>
      <c r="U64" s="223">
        <f ca="1">IF($Q62=2,IF(AND(ACOMPANHAMENTO="PLE",ISNUMBER($E62)),SUMIF((OFFSET(CÁLCULO!$AM$15:$AW$15,$E62,0,OFFSET(ORÇAMENTO!$D$15,CRONO!$E62,0))),"="&amp;CRONO!U$12,OFFSET(CÁLCULO!$AB$15:$AL$15,$E62,0,OFFSET(ORÇAMENTO!$D$15,CRONO!$E62,0)))+IF(AND($E64&lt;&gt;"",$E64&lt;&gt;0),SUMIF(CÁLCULO!$AM$15:$AW$747,"="&amp;CRONO!U$12,CÁLCULO!$AB$15:$AL$747)/(ORÇAMENTO!$X$15-CÁLCULO.TotalAdmLocal)*CRONO!$E64,0),U63*$R62),SUMIF(OFFSET($R64,1,0,$Q62-2),($L62+1)&amp;"$",OFFSET(U64,1,0,$Q62-2)))</f>
        <v>0</v>
      </c>
      <c r="V64" s="223">
        <f ca="1">IF($Q62=2,IF(AND(ACOMPANHAMENTO="PLE",ISNUMBER($E62)),SUMIF((OFFSET(CÁLCULO!$AM$15:$AW$15,$E62,0,OFFSET(ORÇAMENTO!$D$15,CRONO!$E62,0))),"="&amp;CRONO!V$12,OFFSET(CÁLCULO!$AB$15:$AL$15,$E62,0,OFFSET(ORÇAMENTO!$D$15,CRONO!$E62,0)))+IF(AND($E64&lt;&gt;"",$E64&lt;&gt;0),SUMIF(CÁLCULO!$AM$15:$AW$747,"="&amp;CRONO!V$12,CÁLCULO!$AB$15:$AL$747)/(ORÇAMENTO!$X$15-CÁLCULO.TotalAdmLocal)*CRONO!$E64,0),V63*$R62),SUMIF(OFFSET($R64,1,0,$Q62-2),($L62+1)&amp;"$",OFFSET(V64,1,0,$Q62-2)))</f>
        <v>0</v>
      </c>
      <c r="W64" s="223">
        <f ca="1">IF($Q62=2,IF(AND(ACOMPANHAMENTO="PLE",ISNUMBER($E62)),SUMIF((OFFSET(CÁLCULO!$AM$15:$AW$15,$E62,0,OFFSET(ORÇAMENTO!$D$15,CRONO!$E62,0))),"="&amp;CRONO!W$12,OFFSET(CÁLCULO!$AB$15:$AL$15,$E62,0,OFFSET(ORÇAMENTO!$D$15,CRONO!$E62,0)))+IF(AND($E64&lt;&gt;"",$E64&lt;&gt;0),SUMIF(CÁLCULO!$AM$15:$AW$747,"="&amp;CRONO!W$12,CÁLCULO!$AB$15:$AL$747)/(ORÇAMENTO!$X$15-CÁLCULO.TotalAdmLocal)*CRONO!$E64,0),W63*$R62),SUMIF(OFFSET($R64,1,0,$Q62-2),($L62+1)&amp;"$",OFFSET(W64,1,0,$Q62-2)))</f>
        <v>0</v>
      </c>
      <c r="X64" s="223">
        <f ca="1">IF($Q62=2,IF(AND(ACOMPANHAMENTO="PLE",ISNUMBER($E62)),SUMIF((OFFSET(CÁLCULO!$AM$15:$AW$15,$E62,0,OFFSET(ORÇAMENTO!$D$15,CRONO!$E62,0))),"="&amp;CRONO!X$12,OFFSET(CÁLCULO!$AB$15:$AL$15,$E62,0,OFFSET(ORÇAMENTO!$D$15,CRONO!$E62,0)))+IF(AND($E64&lt;&gt;"",$E64&lt;&gt;0),SUMIF(CÁLCULO!$AM$15:$AW$747,"="&amp;CRONO!X$12,CÁLCULO!$AB$15:$AL$747)/(ORÇAMENTO!$X$15-CÁLCULO.TotalAdmLocal)*CRONO!$E64,0),X63*$R62),SUMIF(OFFSET($R64,1,0,$Q62-2),($L62+1)&amp;"$",OFFSET(X64,1,0,$Q62-2)))</f>
        <v>0</v>
      </c>
      <c r="Y64" s="223">
        <f ca="1">IF($Q62=2,IF(AND(ACOMPANHAMENTO="PLE",ISNUMBER($E62)),SUMIF((OFFSET(CÁLCULO!$AM$15:$AW$15,$E62,0,OFFSET(ORÇAMENTO!$D$15,CRONO!$E62,0))),"="&amp;CRONO!Y$12,OFFSET(CÁLCULO!$AB$15:$AL$15,$E62,0,OFFSET(ORÇAMENTO!$D$15,CRONO!$E62,0)))+IF(AND($E64&lt;&gt;"",$E64&lt;&gt;0),SUMIF(CÁLCULO!$AM$15:$AW$747,"="&amp;CRONO!Y$12,CÁLCULO!$AB$15:$AL$747)/(ORÇAMENTO!$X$15-CÁLCULO.TotalAdmLocal)*CRONO!$E64,0),Y63*$R62),SUMIF(OFFSET($R64,1,0,$Q62-2),($L62+1)&amp;"$",OFFSET(Y64,1,0,$Q62-2)))</f>
        <v>0</v>
      </c>
      <c r="Z64" s="223">
        <f ca="1">IF($Q62=2,IF(AND(ACOMPANHAMENTO="PLE",ISNUMBER($E62)),SUMIF((OFFSET(CÁLCULO!$AM$15:$AW$15,$E62,0,OFFSET(ORÇAMENTO!$D$15,CRONO!$E62,0))),"="&amp;CRONO!Z$12,OFFSET(CÁLCULO!$AB$15:$AL$15,$E62,0,OFFSET(ORÇAMENTO!$D$15,CRONO!$E62,0)))+IF(AND($E64&lt;&gt;"",$E64&lt;&gt;0),SUMIF(CÁLCULO!$AM$15:$AW$747,"="&amp;CRONO!Z$12,CÁLCULO!$AB$15:$AL$747)/(ORÇAMENTO!$X$15-CÁLCULO.TotalAdmLocal)*CRONO!$E64,0),Z63*$R62),SUMIF(OFFSET($R64,1,0,$Q62-2),($L62+1)&amp;"$",OFFSET(Z64,1,0,$Q62-2)))</f>
        <v>0</v>
      </c>
      <c r="AA64" s="223">
        <f ca="1">IF($Q62=2,IF(AND(ACOMPANHAMENTO="PLE",ISNUMBER($E62)),SUMIF((OFFSET(CÁLCULO!$AM$15:$AW$15,$E62,0,OFFSET(ORÇAMENTO!$D$15,CRONO!$E62,0))),"="&amp;CRONO!AA$12,OFFSET(CÁLCULO!$AB$15:$AL$15,$E62,0,OFFSET(ORÇAMENTO!$D$15,CRONO!$E62,0)))+IF(AND($E64&lt;&gt;"",$E64&lt;&gt;0),SUMIF(CÁLCULO!$AM$15:$AW$747,"="&amp;CRONO!AA$12,CÁLCULO!$AB$15:$AL$747)/(ORÇAMENTO!$X$15-CÁLCULO.TotalAdmLocal)*CRONO!$E64,0),AA63*$R62),SUMIF(OFFSET($R64,1,0,$Q62-2),($L62+1)&amp;"$",OFFSET(AA64,1,0,$Q62-2)))</f>
        <v>0</v>
      </c>
      <c r="AB64" s="223">
        <f ca="1">IF($Q62=2,IF(AND(ACOMPANHAMENTO="PLE",ISNUMBER($E62)),SUMIF((OFFSET(CÁLCULO!$AM$15:$AW$15,$E62,0,OFFSET(ORÇAMENTO!$D$15,CRONO!$E62,0))),"="&amp;CRONO!AB$12,OFFSET(CÁLCULO!$AB$15:$AL$15,$E62,0,OFFSET(ORÇAMENTO!$D$15,CRONO!$E62,0)))+IF(AND($E64&lt;&gt;"",$E64&lt;&gt;0),SUMIF(CÁLCULO!$AM$15:$AW$747,"="&amp;CRONO!AB$12,CÁLCULO!$AB$15:$AL$747)/(ORÇAMENTO!$X$15-CÁLCULO.TotalAdmLocal)*CRONO!$E64,0),AB63*$R62),SUMIF(OFFSET($R64,1,0,$Q62-2),($L62+1)&amp;"$",OFFSET(AB64,1,0,$Q62-2)))</f>
        <v>0</v>
      </c>
      <c r="AC64" s="223">
        <f ca="1">IF($Q62=2,IF(AND(ACOMPANHAMENTO="PLE",ISNUMBER($E62)),SUMIF((OFFSET(CÁLCULO!$AM$15:$AW$15,$E62,0,OFFSET(ORÇAMENTO!$D$15,CRONO!$E62,0))),"="&amp;CRONO!AC$12,OFFSET(CÁLCULO!$AB$15:$AL$15,$E62,0,OFFSET(ORÇAMENTO!$D$15,CRONO!$E62,0)))+IF(AND($E64&lt;&gt;"",$E64&lt;&gt;0),SUMIF(CÁLCULO!$AM$15:$AW$747,"="&amp;CRONO!AC$12,CÁLCULO!$AB$15:$AL$747)/(ORÇAMENTO!$X$15-CÁLCULO.TotalAdmLocal)*CRONO!$E64,0),AC63*$R62),SUMIF(OFFSET($R64,1,0,$Q62-2),($L62+1)&amp;"$",OFFSET(AC64,1,0,$Q62-2)))</f>
        <v>0</v>
      </c>
      <c r="AD64" s="223">
        <f ca="1">IF($Q62=2,IF(AND(ACOMPANHAMENTO="PLE",ISNUMBER($E62)),SUMIF((OFFSET(CÁLCULO!$AM$15:$AW$15,$E62,0,OFFSET(ORÇAMENTO!$D$15,CRONO!$E62,0))),"="&amp;CRONO!AD$12,OFFSET(CÁLCULO!$AB$15:$AL$15,$E62,0,OFFSET(ORÇAMENTO!$D$15,CRONO!$E62,0)))+IF(AND($E64&lt;&gt;"",$E64&lt;&gt;0),SUMIF(CÁLCULO!$AM$15:$AW$747,"="&amp;CRONO!AD$12,CÁLCULO!$AB$15:$AL$747)/(ORÇAMENTO!$X$15-CÁLCULO.TotalAdmLocal)*CRONO!$E64,0),AD63*$R62),SUMIF(OFFSET($R64,1,0,$Q62-2),($L62+1)&amp;"$",OFFSET(AD64,1,0,$Q62-2)))</f>
        <v>0</v>
      </c>
      <c r="AE64" s="228">
        <f ca="1">IF($Q62=2,IF(AND(ACOMPANHAMENTO="PLE",ISNUMBER($E62)),SUMIF((OFFSET(CÁLCULO!$AM$15:$AW$15,$E62,0,OFFSET(ORÇAMENTO!$D$15,CRONO!$E62,0))),"="&amp;CRONO!AE$12,OFFSET(CÁLCULO!$AB$15:$AL$15,$E62,0,OFFSET(ORÇAMENTO!$D$15,CRONO!$E62,0)))+IF(AND($E64&lt;&gt;"",$E64&lt;&gt;0),SUMIF(CÁLCULO!$AM$15:$AW$747,"="&amp;CRONO!AE$12,CÁLCULO!$AB$15:$AL$747)/(ORÇAMENTO!$X$15-CÁLCULO.TotalAdmLocal)*CRONO!$E64,0),AE63*$R62),SUMIF(OFFSET($R64,1,0,$Q62-2),($L62+1)&amp;"$",OFFSET(AE64,1,0,$Q62-2)))</f>
        <v>0</v>
      </c>
    </row>
    <row r="65" spans="1:32" x14ac:dyDescent="0.2">
      <c r="A65" s="204">
        <f t="shared" ref="A65" ca="1" si="122">OFFSET(A65,-3,0)+1</f>
        <v>18</v>
      </c>
      <c r="B65" s="204">
        <f ca="1">IF($Q65&lt;&gt;2,0,IF($R65=0,1,IF(E66&gt;0,OFFSET(QCI!$M$13,SUBSTITUTE(E66,".",""),0),OFFSET(ORÇAMENTO!$AA$15,CRONO!$E65,0))/$R65))</f>
        <v>1</v>
      </c>
      <c r="C65" s="204">
        <f ca="1">IF($Q65&lt;&gt;2,0,IF($R65=0,1,IF(E66&gt;0,OFFSET(QCI!$N$13,SUBSTITUTE(E66,".",""),0),OFFSET(ORÇAMENTO!$AB$15,CRONO!$E65,0))/$R65))</f>
        <v>1</v>
      </c>
      <c r="D65" s="207">
        <f ca="1">IF(AND($Q65=2,ACOMPANHAMENTO="BM"),D66,D67/$R65)</f>
        <v>0</v>
      </c>
      <c r="E65" s="204">
        <f ca="1">IF(A65&lt;=ORÇAMENTO.MáximoListaCrono,MATCH(A65,ORÇAMENTO.ListaCrono,0),NA())</f>
        <v>472</v>
      </c>
      <c r="F65" s="204" t="str">
        <f t="shared" ref="F65" ca="1" si="123">IF(AND($E66&lt;&gt;-1,$R65&gt;0),"F","")</f>
        <v/>
      </c>
      <c r="G65" s="208" t="str">
        <f ca="1">IF(OR(R65=0,R65=""),"Linha",IF(AND(OR(ACOMPANHAMENTO="PLE",$Q65&lt;&gt;2),$E66=0),"Linha",1-SUM(T65:AF65)))</f>
        <v>Linha</v>
      </c>
      <c r="H65" s="209" t="str">
        <f ca="1">IF($E66=0,OFFSET(ORÇAMENTO!O$15,$E65,0),IF($E66&lt;&gt;-1,OFFSET(QCI!$D$13,$E66,0),""))</f>
        <v>1.17.</v>
      </c>
      <c r="I65" s="210" t="str">
        <f ca="1">IF($E66=0,OFFSET(ORÇAMENTO!R$15,$E65,0),IF($E66&lt;&gt;-1,OFFSET(QCI!$G$13,$E66,0),""))</f>
        <v>INSTALAÇÕES ELÉTRICAS - 220V</v>
      </c>
      <c r="J65" s="210"/>
      <c r="K65" s="210"/>
      <c r="L65" s="211">
        <f ca="1">IF($E66=0,OFFSET(ORÇAMENTO!C$15,$E65,0),1)</f>
        <v>2</v>
      </c>
      <c r="M65" s="212">
        <f ca="1">IF($E66=-1,0,IF(M$13&lt;=$L65,IF(ISERROR(MATCH(M$13,OFFSET($L65,1,0,ROW($L$89)-ROW($L65)-1),0)),ROW($L$89)-ROW($L65)-1,MATCH(M$13,OFFSET($L65,1,0,ROW($L$89)-ROW($L65)-1),0)-1),0))</f>
        <v>23</v>
      </c>
      <c r="N65" s="212">
        <f ca="1">IF($E66=-1,0,IF(N$13&lt;=$L65,IF(ISERROR(MATCH(N$13,OFFSET($L65,1,0,ROW($L$89)-ROW($L65)-1),0)),ROW($L$89)-ROW($L65)-1,MATCH(N$13,OFFSET($L65,1,0,ROW($L$89)-ROW($L65)-1),0)-1),0))</f>
        <v>2</v>
      </c>
      <c r="O65" s="212">
        <f ca="1">IF($E66=-1,0,IF(O$13&lt;=$L65,IF(ISERROR(MATCH(O$13,OFFSET($L65,1,0,ROW($L$89)-ROW($L65)-1),0)),ROW($L$89)-ROW($L65)-1,MATCH(O$13,OFFSET($L65,1,0,ROW($L$89)-ROW($L65)-1),0)-1),0))</f>
        <v>0</v>
      </c>
      <c r="P65" s="212">
        <f ca="1">IF($E66=-1,0,IF(P$13&lt;=$L65,IF(ISERROR(MATCH(P$13,OFFSET($L65,1,0,ROW($L$89)-ROW($L65)-1),0)),ROW($L$89)-ROW($L65)-1,MATCH(P$13,OFFSET($L65,1,0,ROW($L$89)-ROW($L65)-1),0)-1),0))</f>
        <v>0</v>
      </c>
      <c r="Q65" s="212">
        <f t="shared" ref="Q65" ca="1" si="124">MIN(OFFSET(L65,0,1,,L65))</f>
        <v>2</v>
      </c>
      <c r="R65" s="213">
        <f ca="1">IF($E66=0,OFFSET(ORÇAMENTO!X$15,$E65,0),IF($E66&lt;&gt;-1,OFFSET(QCI!$O$13,$E66,0),""))</f>
        <v>0</v>
      </c>
      <c r="S65" s="214" t="s">
        <v>270</v>
      </c>
      <c r="T65" s="215">
        <f t="shared" ref="T65:AE65" ca="1" si="125">IF(AND($Q65=2,ACOMPANHAMENTO="BM"),T66,T67/$R65)</f>
        <v>0</v>
      </c>
      <c r="U65" s="207">
        <f t="shared" ca="1" si="125"/>
        <v>0</v>
      </c>
      <c r="V65" s="207">
        <f t="shared" ca="1" si="125"/>
        <v>0</v>
      </c>
      <c r="W65" s="207">
        <f t="shared" ca="1" si="125"/>
        <v>0.05</v>
      </c>
      <c r="X65" s="207">
        <f t="shared" ca="1" si="125"/>
        <v>0.1</v>
      </c>
      <c r="Y65" s="207">
        <f t="shared" ca="1" si="125"/>
        <v>0.1</v>
      </c>
      <c r="Z65" s="207">
        <f t="shared" ca="1" si="125"/>
        <v>0.2</v>
      </c>
      <c r="AA65" s="207">
        <f t="shared" ca="1" si="125"/>
        <v>0.3</v>
      </c>
      <c r="AB65" s="207">
        <f t="shared" ca="1" si="125"/>
        <v>0.25</v>
      </c>
      <c r="AC65" s="207">
        <f t="shared" ca="1" si="125"/>
        <v>0</v>
      </c>
      <c r="AD65" s="207">
        <f t="shared" ca="1" si="125"/>
        <v>0</v>
      </c>
      <c r="AE65" s="216">
        <f t="shared" ca="1" si="125"/>
        <v>0</v>
      </c>
    </row>
    <row r="66" spans="1:32" ht="12.75" customHeight="1" x14ac:dyDescent="0.2">
      <c r="D66" s="569"/>
      <c r="E66" s="204">
        <f ca="1">IF(ISERROR(E65),IF(1+COUNTIF($L$13:OFFSET(L65,-1,0),1)&lt;=MAX(QCI!$D$13:$D$24),1+COUNTIF($L$13:OFFSET(L65,-1,0),1),-1),0)</f>
        <v>0</v>
      </c>
      <c r="F66" s="204" t="str">
        <f t="shared" ref="F66" ca="1" si="126">IF(AND($E66&lt;&gt;-1,$R65&gt;0),"F","")</f>
        <v/>
      </c>
      <c r="G66" s="217" t="str">
        <f ca="1">IF(OR(R65=0,R65=""),"vazia",IF(AND(OR(ACOMPANHAMENTO="PLE",$Q65&lt;&gt;2),$E66=0),"calculada","--&gt;"))</f>
        <v>vazia</v>
      </c>
      <c r="H66" s="218"/>
      <c r="I66" s="219" t="str">
        <f t="shared" ref="I66" ca="1" si="127">IF(AND(G65&lt;&gt;0,ISNUMBER(G65)),"PREENCHA ESTA LINHA --&gt;","")</f>
        <v/>
      </c>
      <c r="J66" s="219"/>
      <c r="K66" s="219"/>
      <c r="L66" s="220"/>
      <c r="M66" s="220"/>
      <c r="N66" s="220"/>
      <c r="O66" s="220"/>
      <c r="P66" s="220"/>
      <c r="Q66" s="220"/>
      <c r="R66" s="221"/>
      <c r="S66" s="222"/>
      <c r="T66" s="570"/>
      <c r="U66" s="569"/>
      <c r="V66" s="569"/>
      <c r="W66" s="569">
        <v>0.05</v>
      </c>
      <c r="X66" s="569">
        <v>0.1</v>
      </c>
      <c r="Y66" s="569">
        <v>0.1</v>
      </c>
      <c r="Z66" s="569">
        <v>0.2</v>
      </c>
      <c r="AA66" s="569">
        <v>0.3</v>
      </c>
      <c r="AB66" s="569">
        <v>0.25</v>
      </c>
      <c r="AC66" s="569"/>
      <c r="AD66" s="569"/>
      <c r="AE66" s="571"/>
      <c r="AF66" s="533"/>
    </row>
    <row r="67" spans="1:32" ht="0.2" hidden="1" customHeight="1" x14ac:dyDescent="0.2">
      <c r="D67" s="223">
        <f ca="1">IF($Q65=2,IF(AND(ACOMPANHAMENTO="PLE",ISNUMBER($E65)),SUMIF((OFFSET(CÁLCULO!$AM$15:$AW$15,$E65,0,OFFSET(ORÇAMENTO!$D$15,CRONO!$E65,0))),"="&amp;CRONO!D$12,OFFSET(CÁLCULO!$AB$15:$AL$15,$E65,0,OFFSET(ORÇAMENTO!$D$15,CRONO!$E65,0)))+IF(AND($E67&lt;&gt;"",$E67&lt;&gt;0),SUMIF(CÁLCULO!$AM$15:$AW$747,"="&amp;CRONO!D$12,CÁLCULO!$AB$15:$AL$747)/(ORÇAMENTO!$X$15-CÁLCULO.TotalAdmLocal)*CRONO!$E67,0),D66*$R65),SUMIF(OFFSET($R67,1,0,$Q65-2),($L65+1)&amp;"$",OFFSET(D67,1,0,$Q65-2)))</f>
        <v>0</v>
      </c>
      <c r="E67" s="204" t="str">
        <f ca="1">IF(OR($Q65&lt;&gt;2,AUTOEVENTO&lt;&gt;"manual",$E66&gt;0),"",SUMIF(OFFSET(CÁLCULO!$M$15,CRONO!$E65,0,OFFSET(ORÇAMENTO!$D$15,CRONO!$E65,0)),1,OFFSET(ORÇAMENTO!$X$15,CRONO!$E65,0,OFFSET(ORÇAMENTO!$D$15,CRONO!$E65,0))))</f>
        <v/>
      </c>
      <c r="G67" s="224"/>
      <c r="R67" s="225" t="str">
        <f t="shared" ref="R67" ca="1" si="128">L65&amp;"$"</f>
        <v>2$</v>
      </c>
      <c r="S67" s="226"/>
      <c r="T67" s="227">
        <f ca="1">IF($Q65=2,IF(AND(ACOMPANHAMENTO="PLE",ISNUMBER($E65)),SUMIF((OFFSET(CÁLCULO!$AM$15:$AW$15,$E65,0,OFFSET(ORÇAMENTO!$D$15,CRONO!$E65,0))),"&lt;="&amp;CRONO!T$12,OFFSET(CÁLCULO!$AB$15:$AL$15,$E65,0,OFFSET(ORÇAMENTO!$D$15,CRONO!$E65,0)))+IF(AND($E67&lt;&gt;"",$E67&lt;&gt;0),SUMIF(CÁLCULO!$AM$15:$AW$747,"&lt;="&amp;CRONO!T$12,CÁLCULO!$AB$15:$AL$747)/(ORÇAMENTO!$X$15-CÁLCULO.TotalAdmLocal)*CRONO!$E67,0),T66*$R65),SUMIF(OFFSET($R67,1,0,$Q65-2),($L65+1)&amp;"$",OFFSET(T67,1,0,$Q65-2)))</f>
        <v>0</v>
      </c>
      <c r="U67" s="223">
        <f ca="1">IF($Q65=2,IF(AND(ACOMPANHAMENTO="PLE",ISNUMBER($E65)),SUMIF((OFFSET(CÁLCULO!$AM$15:$AW$15,$E65,0,OFFSET(ORÇAMENTO!$D$15,CRONO!$E65,0))),"="&amp;CRONO!U$12,OFFSET(CÁLCULO!$AB$15:$AL$15,$E65,0,OFFSET(ORÇAMENTO!$D$15,CRONO!$E65,0)))+IF(AND($E67&lt;&gt;"",$E67&lt;&gt;0),SUMIF(CÁLCULO!$AM$15:$AW$747,"="&amp;CRONO!U$12,CÁLCULO!$AB$15:$AL$747)/(ORÇAMENTO!$X$15-CÁLCULO.TotalAdmLocal)*CRONO!$E67,0),U66*$R65),SUMIF(OFFSET($R67,1,0,$Q65-2),($L65+1)&amp;"$",OFFSET(U67,1,0,$Q65-2)))</f>
        <v>0</v>
      </c>
      <c r="V67" s="223">
        <f ca="1">IF($Q65=2,IF(AND(ACOMPANHAMENTO="PLE",ISNUMBER($E65)),SUMIF((OFFSET(CÁLCULO!$AM$15:$AW$15,$E65,0,OFFSET(ORÇAMENTO!$D$15,CRONO!$E65,0))),"="&amp;CRONO!V$12,OFFSET(CÁLCULO!$AB$15:$AL$15,$E65,0,OFFSET(ORÇAMENTO!$D$15,CRONO!$E65,0)))+IF(AND($E67&lt;&gt;"",$E67&lt;&gt;0),SUMIF(CÁLCULO!$AM$15:$AW$747,"="&amp;CRONO!V$12,CÁLCULO!$AB$15:$AL$747)/(ORÇAMENTO!$X$15-CÁLCULO.TotalAdmLocal)*CRONO!$E67,0),V66*$R65),SUMIF(OFFSET($R67,1,0,$Q65-2),($L65+1)&amp;"$",OFFSET(V67,1,0,$Q65-2)))</f>
        <v>0</v>
      </c>
      <c r="W67" s="223">
        <f ca="1">IF($Q65=2,IF(AND(ACOMPANHAMENTO="PLE",ISNUMBER($E65)),SUMIF((OFFSET(CÁLCULO!$AM$15:$AW$15,$E65,0,OFFSET(ORÇAMENTO!$D$15,CRONO!$E65,0))),"="&amp;CRONO!W$12,OFFSET(CÁLCULO!$AB$15:$AL$15,$E65,0,OFFSET(ORÇAMENTO!$D$15,CRONO!$E65,0)))+IF(AND($E67&lt;&gt;"",$E67&lt;&gt;0),SUMIF(CÁLCULO!$AM$15:$AW$747,"="&amp;CRONO!W$12,CÁLCULO!$AB$15:$AL$747)/(ORÇAMENTO!$X$15-CÁLCULO.TotalAdmLocal)*CRONO!$E67,0),W66*$R65),SUMIF(OFFSET($R67,1,0,$Q65-2),($L65+1)&amp;"$",OFFSET(W67,1,0,$Q65-2)))</f>
        <v>0</v>
      </c>
      <c r="X67" s="223">
        <f ca="1">IF($Q65=2,IF(AND(ACOMPANHAMENTO="PLE",ISNUMBER($E65)),SUMIF((OFFSET(CÁLCULO!$AM$15:$AW$15,$E65,0,OFFSET(ORÇAMENTO!$D$15,CRONO!$E65,0))),"="&amp;CRONO!X$12,OFFSET(CÁLCULO!$AB$15:$AL$15,$E65,0,OFFSET(ORÇAMENTO!$D$15,CRONO!$E65,0)))+IF(AND($E67&lt;&gt;"",$E67&lt;&gt;0),SUMIF(CÁLCULO!$AM$15:$AW$747,"="&amp;CRONO!X$12,CÁLCULO!$AB$15:$AL$747)/(ORÇAMENTO!$X$15-CÁLCULO.TotalAdmLocal)*CRONO!$E67,0),X66*$R65),SUMIF(OFFSET($R67,1,0,$Q65-2),($L65+1)&amp;"$",OFFSET(X67,1,0,$Q65-2)))</f>
        <v>0</v>
      </c>
      <c r="Y67" s="223">
        <f ca="1">IF($Q65=2,IF(AND(ACOMPANHAMENTO="PLE",ISNUMBER($E65)),SUMIF((OFFSET(CÁLCULO!$AM$15:$AW$15,$E65,0,OFFSET(ORÇAMENTO!$D$15,CRONO!$E65,0))),"="&amp;CRONO!Y$12,OFFSET(CÁLCULO!$AB$15:$AL$15,$E65,0,OFFSET(ORÇAMENTO!$D$15,CRONO!$E65,0)))+IF(AND($E67&lt;&gt;"",$E67&lt;&gt;0),SUMIF(CÁLCULO!$AM$15:$AW$747,"="&amp;CRONO!Y$12,CÁLCULO!$AB$15:$AL$747)/(ORÇAMENTO!$X$15-CÁLCULO.TotalAdmLocal)*CRONO!$E67,0),Y66*$R65),SUMIF(OFFSET($R67,1,0,$Q65-2),($L65+1)&amp;"$",OFFSET(Y67,1,0,$Q65-2)))</f>
        <v>0</v>
      </c>
      <c r="Z67" s="223">
        <f ca="1">IF($Q65=2,IF(AND(ACOMPANHAMENTO="PLE",ISNUMBER($E65)),SUMIF((OFFSET(CÁLCULO!$AM$15:$AW$15,$E65,0,OFFSET(ORÇAMENTO!$D$15,CRONO!$E65,0))),"="&amp;CRONO!Z$12,OFFSET(CÁLCULO!$AB$15:$AL$15,$E65,0,OFFSET(ORÇAMENTO!$D$15,CRONO!$E65,0)))+IF(AND($E67&lt;&gt;"",$E67&lt;&gt;0),SUMIF(CÁLCULO!$AM$15:$AW$747,"="&amp;CRONO!Z$12,CÁLCULO!$AB$15:$AL$747)/(ORÇAMENTO!$X$15-CÁLCULO.TotalAdmLocal)*CRONO!$E67,0),Z66*$R65),SUMIF(OFFSET($R67,1,0,$Q65-2),($L65+1)&amp;"$",OFFSET(Z67,1,0,$Q65-2)))</f>
        <v>0</v>
      </c>
      <c r="AA67" s="223">
        <f ca="1">IF($Q65=2,IF(AND(ACOMPANHAMENTO="PLE",ISNUMBER($E65)),SUMIF((OFFSET(CÁLCULO!$AM$15:$AW$15,$E65,0,OFFSET(ORÇAMENTO!$D$15,CRONO!$E65,0))),"="&amp;CRONO!AA$12,OFFSET(CÁLCULO!$AB$15:$AL$15,$E65,0,OFFSET(ORÇAMENTO!$D$15,CRONO!$E65,0)))+IF(AND($E67&lt;&gt;"",$E67&lt;&gt;0),SUMIF(CÁLCULO!$AM$15:$AW$747,"="&amp;CRONO!AA$12,CÁLCULO!$AB$15:$AL$747)/(ORÇAMENTO!$X$15-CÁLCULO.TotalAdmLocal)*CRONO!$E67,0),AA66*$R65),SUMIF(OFFSET($R67,1,0,$Q65-2),($L65+1)&amp;"$",OFFSET(AA67,1,0,$Q65-2)))</f>
        <v>0</v>
      </c>
      <c r="AB67" s="223">
        <f ca="1">IF($Q65=2,IF(AND(ACOMPANHAMENTO="PLE",ISNUMBER($E65)),SUMIF((OFFSET(CÁLCULO!$AM$15:$AW$15,$E65,0,OFFSET(ORÇAMENTO!$D$15,CRONO!$E65,0))),"="&amp;CRONO!AB$12,OFFSET(CÁLCULO!$AB$15:$AL$15,$E65,0,OFFSET(ORÇAMENTO!$D$15,CRONO!$E65,0)))+IF(AND($E67&lt;&gt;"",$E67&lt;&gt;0),SUMIF(CÁLCULO!$AM$15:$AW$747,"="&amp;CRONO!AB$12,CÁLCULO!$AB$15:$AL$747)/(ORÇAMENTO!$X$15-CÁLCULO.TotalAdmLocal)*CRONO!$E67,0),AB66*$R65),SUMIF(OFFSET($R67,1,0,$Q65-2),($L65+1)&amp;"$",OFFSET(AB67,1,0,$Q65-2)))</f>
        <v>0</v>
      </c>
      <c r="AC67" s="223">
        <f ca="1">IF($Q65=2,IF(AND(ACOMPANHAMENTO="PLE",ISNUMBER($E65)),SUMIF((OFFSET(CÁLCULO!$AM$15:$AW$15,$E65,0,OFFSET(ORÇAMENTO!$D$15,CRONO!$E65,0))),"="&amp;CRONO!AC$12,OFFSET(CÁLCULO!$AB$15:$AL$15,$E65,0,OFFSET(ORÇAMENTO!$D$15,CRONO!$E65,0)))+IF(AND($E67&lt;&gt;"",$E67&lt;&gt;0),SUMIF(CÁLCULO!$AM$15:$AW$747,"="&amp;CRONO!AC$12,CÁLCULO!$AB$15:$AL$747)/(ORÇAMENTO!$X$15-CÁLCULO.TotalAdmLocal)*CRONO!$E67,0),AC66*$R65),SUMIF(OFFSET($R67,1,0,$Q65-2),($L65+1)&amp;"$",OFFSET(AC67,1,0,$Q65-2)))</f>
        <v>0</v>
      </c>
      <c r="AD67" s="223">
        <f ca="1">IF($Q65=2,IF(AND(ACOMPANHAMENTO="PLE",ISNUMBER($E65)),SUMIF((OFFSET(CÁLCULO!$AM$15:$AW$15,$E65,0,OFFSET(ORÇAMENTO!$D$15,CRONO!$E65,0))),"="&amp;CRONO!AD$12,OFFSET(CÁLCULO!$AB$15:$AL$15,$E65,0,OFFSET(ORÇAMENTO!$D$15,CRONO!$E65,0)))+IF(AND($E67&lt;&gt;"",$E67&lt;&gt;0),SUMIF(CÁLCULO!$AM$15:$AW$747,"="&amp;CRONO!AD$12,CÁLCULO!$AB$15:$AL$747)/(ORÇAMENTO!$X$15-CÁLCULO.TotalAdmLocal)*CRONO!$E67,0),AD66*$R65),SUMIF(OFFSET($R67,1,0,$Q65-2),($L65+1)&amp;"$",OFFSET(AD67,1,0,$Q65-2)))</f>
        <v>0</v>
      </c>
      <c r="AE67" s="228">
        <f ca="1">IF($Q65=2,IF(AND(ACOMPANHAMENTO="PLE",ISNUMBER($E65)),SUMIF((OFFSET(CÁLCULO!$AM$15:$AW$15,$E65,0,OFFSET(ORÇAMENTO!$D$15,CRONO!$E65,0))),"="&amp;CRONO!AE$12,OFFSET(CÁLCULO!$AB$15:$AL$15,$E65,0,OFFSET(ORÇAMENTO!$D$15,CRONO!$E65,0)))+IF(AND($E67&lt;&gt;"",$E67&lt;&gt;0),SUMIF(CÁLCULO!$AM$15:$AW$747,"="&amp;CRONO!AE$12,CÁLCULO!$AB$15:$AL$747)/(ORÇAMENTO!$X$15-CÁLCULO.TotalAdmLocal)*CRONO!$E67,0),AE66*$R65),SUMIF(OFFSET($R67,1,0,$Q65-2),($L65+1)&amp;"$",OFFSET(AE67,1,0,$Q65-2)))</f>
        <v>0</v>
      </c>
    </row>
    <row r="68" spans="1:32" x14ac:dyDescent="0.2">
      <c r="A68" s="204">
        <f t="shared" ref="A68" ca="1" si="129">OFFSET(A68,-3,0)+1</f>
        <v>19</v>
      </c>
      <c r="B68" s="204">
        <f ca="1">IF($Q68&lt;&gt;2,0,IF($R68=0,1,IF(E69&gt;0,OFFSET(QCI!$M$13,SUBSTITUTE(E69,".",""),0),OFFSET(ORÇAMENTO!$AA$15,CRONO!$E68,0))/$R68))</f>
        <v>1</v>
      </c>
      <c r="C68" s="204">
        <f ca="1">IF($Q68&lt;&gt;2,0,IF($R68=0,1,IF(E69&gt;0,OFFSET(QCI!$N$13,SUBSTITUTE(E69,".",""),0),OFFSET(ORÇAMENTO!$AB$15,CRONO!$E68,0))/$R68))</f>
        <v>1</v>
      </c>
      <c r="D68" s="207">
        <f ca="1">IF(AND($Q68=2,ACOMPANHAMENTO="BM"),D69,D70/$R68)</f>
        <v>0</v>
      </c>
      <c r="E68" s="204">
        <f ca="1">IF(A68&lt;=ORÇAMENTO.MáximoListaCrono,MATCH(A68,ORÇAMENTO.ListaCrono,0),NA())</f>
        <v>593</v>
      </c>
      <c r="F68" s="204" t="str">
        <f t="shared" ref="F68" ca="1" si="130">IF(AND($E69&lt;&gt;-1,$R68&gt;0),"F","")</f>
        <v/>
      </c>
      <c r="G68" s="208" t="str">
        <f ca="1">IF(OR(R68=0,R68=""),"Linha",IF(AND(OR(ACOMPANHAMENTO="PLE",$Q68&lt;&gt;2),$E69=0),"Linha",1-SUM(T68:AF68)))</f>
        <v>Linha</v>
      </c>
      <c r="H68" s="209" t="str">
        <f ca="1">IF($E69=0,OFFSET(ORÇAMENTO!O$15,$E68,0),IF($E69&lt;&gt;-1,OFFSET(QCI!$D$13,$E69,0),""))</f>
        <v>1.18.</v>
      </c>
      <c r="I68" s="210" t="str">
        <f ca="1">IF($E69=0,OFFSET(ORÇAMENTO!R$15,$E68,0),IF($E69&lt;&gt;-1,OFFSET(QCI!$G$13,$E69,0),""))</f>
        <v>INSTALAÇÕES DE CABEAMENTO ESTRUTURADO</v>
      </c>
      <c r="J68" s="210"/>
      <c r="K68" s="210"/>
      <c r="L68" s="211">
        <f ca="1">IF($E69=0,OFFSET(ORÇAMENTO!C$15,$E68,0),1)</f>
        <v>2</v>
      </c>
      <c r="M68" s="212">
        <f ca="1">IF($E69=-1,0,IF(M$13&lt;=$L68,IF(ISERROR(MATCH(M$13,OFFSET($L68,1,0,ROW($L$89)-ROW($L68)-1),0)),ROW($L$89)-ROW($L68)-1,MATCH(M$13,OFFSET($L68,1,0,ROW($L$89)-ROW($L68)-1),0)-1),0))</f>
        <v>20</v>
      </c>
      <c r="N68" s="212">
        <f ca="1">IF($E69=-1,0,IF(N$13&lt;=$L68,IF(ISERROR(MATCH(N$13,OFFSET($L68,1,0,ROW($L$89)-ROW($L68)-1),0)),ROW($L$89)-ROW($L68)-1,MATCH(N$13,OFFSET($L68,1,0,ROW($L$89)-ROW($L68)-1),0)-1),0))</f>
        <v>2</v>
      </c>
      <c r="O68" s="212">
        <f ca="1">IF($E69=-1,0,IF(O$13&lt;=$L68,IF(ISERROR(MATCH(O$13,OFFSET($L68,1,0,ROW($L$89)-ROW($L68)-1),0)),ROW($L$89)-ROW($L68)-1,MATCH(O$13,OFFSET($L68,1,0,ROW($L$89)-ROW($L68)-1),0)-1),0))</f>
        <v>0</v>
      </c>
      <c r="P68" s="212">
        <f ca="1">IF($E69=-1,0,IF(P$13&lt;=$L68,IF(ISERROR(MATCH(P$13,OFFSET($L68,1,0,ROW($L$89)-ROW($L68)-1),0)),ROW($L$89)-ROW($L68)-1,MATCH(P$13,OFFSET($L68,1,0,ROW($L$89)-ROW($L68)-1),0)-1),0))</f>
        <v>0</v>
      </c>
      <c r="Q68" s="212">
        <f t="shared" ref="Q68" ca="1" si="131">MIN(OFFSET(L68,0,1,,L68))</f>
        <v>2</v>
      </c>
      <c r="R68" s="213">
        <f ca="1">IF($E69=0,OFFSET(ORÇAMENTO!X$15,$E68,0),IF($E69&lt;&gt;-1,OFFSET(QCI!$O$13,$E69,0),""))</f>
        <v>0</v>
      </c>
      <c r="S68" s="214" t="s">
        <v>270</v>
      </c>
      <c r="T68" s="215">
        <f t="shared" ref="T68:AE68" ca="1" si="132">IF(AND($Q68=2,ACOMPANHAMENTO="BM"),T69,T70/$R68)</f>
        <v>0</v>
      </c>
      <c r="U68" s="207">
        <f t="shared" ca="1" si="132"/>
        <v>0</v>
      </c>
      <c r="V68" s="207">
        <f t="shared" ca="1" si="132"/>
        <v>0</v>
      </c>
      <c r="W68" s="207">
        <f t="shared" ca="1" si="132"/>
        <v>0.05</v>
      </c>
      <c r="X68" s="207">
        <f t="shared" ca="1" si="132"/>
        <v>0.05</v>
      </c>
      <c r="Y68" s="207">
        <f t="shared" ca="1" si="132"/>
        <v>0.1</v>
      </c>
      <c r="Z68" s="207">
        <f t="shared" ca="1" si="132"/>
        <v>0.2</v>
      </c>
      <c r="AA68" s="207">
        <f t="shared" ca="1" si="132"/>
        <v>0.25</v>
      </c>
      <c r="AB68" s="207">
        <f t="shared" ca="1" si="132"/>
        <v>0.25</v>
      </c>
      <c r="AC68" s="207">
        <f t="shared" ca="1" si="132"/>
        <v>0.1</v>
      </c>
      <c r="AD68" s="207">
        <f t="shared" ca="1" si="132"/>
        <v>0</v>
      </c>
      <c r="AE68" s="216">
        <f t="shared" ca="1" si="132"/>
        <v>0</v>
      </c>
    </row>
    <row r="69" spans="1:32" ht="12.75" customHeight="1" x14ac:dyDescent="0.2">
      <c r="D69" s="569"/>
      <c r="E69" s="204">
        <f ca="1">IF(ISERROR(E68),IF(1+COUNTIF($L$13:OFFSET(L68,-1,0),1)&lt;=MAX(QCI!$D$13:$D$24),1+COUNTIF($L$13:OFFSET(L68,-1,0),1),-1),0)</f>
        <v>0</v>
      </c>
      <c r="F69" s="204" t="str">
        <f t="shared" ref="F69" ca="1" si="133">IF(AND($E69&lt;&gt;-1,$R68&gt;0),"F","")</f>
        <v/>
      </c>
      <c r="G69" s="217" t="str">
        <f ca="1">IF(OR(R68=0,R68=""),"vazia",IF(AND(OR(ACOMPANHAMENTO="PLE",$Q68&lt;&gt;2),$E69=0),"calculada","--&gt;"))</f>
        <v>vazia</v>
      </c>
      <c r="H69" s="218"/>
      <c r="I69" s="219" t="str">
        <f t="shared" ref="I69" ca="1" si="134">IF(AND(G68&lt;&gt;0,ISNUMBER(G68)),"PREENCHA ESTA LINHA --&gt;","")</f>
        <v/>
      </c>
      <c r="J69" s="219"/>
      <c r="K69" s="219"/>
      <c r="L69" s="220"/>
      <c r="M69" s="220"/>
      <c r="N69" s="220"/>
      <c r="O69" s="220"/>
      <c r="P69" s="220"/>
      <c r="Q69" s="220"/>
      <c r="R69" s="221"/>
      <c r="S69" s="222"/>
      <c r="T69" s="570"/>
      <c r="U69" s="569"/>
      <c r="V69" s="569"/>
      <c r="W69" s="569">
        <v>0.05</v>
      </c>
      <c r="X69" s="569">
        <v>0.05</v>
      </c>
      <c r="Y69" s="569">
        <v>0.1</v>
      </c>
      <c r="Z69" s="569">
        <v>0.2</v>
      </c>
      <c r="AA69" s="569">
        <v>0.25</v>
      </c>
      <c r="AB69" s="569">
        <v>0.25</v>
      </c>
      <c r="AC69" s="569">
        <v>0.1</v>
      </c>
      <c r="AD69" s="569"/>
      <c r="AE69" s="571"/>
      <c r="AF69" s="533"/>
    </row>
    <row r="70" spans="1:32" ht="0.2" hidden="1" customHeight="1" x14ac:dyDescent="0.2">
      <c r="D70" s="223">
        <f ca="1">IF($Q68=2,IF(AND(ACOMPANHAMENTO="PLE",ISNUMBER($E68)),SUMIF((OFFSET(CÁLCULO!$AM$15:$AW$15,$E68,0,OFFSET(ORÇAMENTO!$D$15,CRONO!$E68,0))),"="&amp;CRONO!D$12,OFFSET(CÁLCULO!$AB$15:$AL$15,$E68,0,OFFSET(ORÇAMENTO!$D$15,CRONO!$E68,0)))+IF(AND($E70&lt;&gt;"",$E70&lt;&gt;0),SUMIF(CÁLCULO!$AM$15:$AW$747,"="&amp;CRONO!D$12,CÁLCULO!$AB$15:$AL$747)/(ORÇAMENTO!$X$15-CÁLCULO.TotalAdmLocal)*CRONO!$E70,0),D69*$R68),SUMIF(OFFSET($R70,1,0,$Q68-2),($L68+1)&amp;"$",OFFSET(D70,1,0,$Q68-2)))</f>
        <v>0</v>
      </c>
      <c r="E70" s="204" t="str">
        <f ca="1">IF(OR($Q68&lt;&gt;2,AUTOEVENTO&lt;&gt;"manual",$E69&gt;0),"",SUMIF(OFFSET(CÁLCULO!$M$15,CRONO!$E68,0,OFFSET(ORÇAMENTO!$D$15,CRONO!$E68,0)),1,OFFSET(ORÇAMENTO!$X$15,CRONO!$E68,0,OFFSET(ORÇAMENTO!$D$15,CRONO!$E68,0))))</f>
        <v/>
      </c>
      <c r="G70" s="224"/>
      <c r="R70" s="225" t="str">
        <f t="shared" ref="R70" ca="1" si="135">L68&amp;"$"</f>
        <v>2$</v>
      </c>
      <c r="S70" s="226"/>
      <c r="T70" s="227">
        <f ca="1">IF($Q68=2,IF(AND(ACOMPANHAMENTO="PLE",ISNUMBER($E68)),SUMIF((OFFSET(CÁLCULO!$AM$15:$AW$15,$E68,0,OFFSET(ORÇAMENTO!$D$15,CRONO!$E68,0))),"&lt;="&amp;CRONO!T$12,OFFSET(CÁLCULO!$AB$15:$AL$15,$E68,0,OFFSET(ORÇAMENTO!$D$15,CRONO!$E68,0)))+IF(AND($E70&lt;&gt;"",$E70&lt;&gt;0),SUMIF(CÁLCULO!$AM$15:$AW$747,"&lt;="&amp;CRONO!T$12,CÁLCULO!$AB$15:$AL$747)/(ORÇAMENTO!$X$15-CÁLCULO.TotalAdmLocal)*CRONO!$E70,0),T69*$R68),SUMIF(OFFSET($R70,1,0,$Q68-2),($L68+1)&amp;"$",OFFSET(T70,1,0,$Q68-2)))</f>
        <v>0</v>
      </c>
      <c r="U70" s="223">
        <f ca="1">IF($Q68=2,IF(AND(ACOMPANHAMENTO="PLE",ISNUMBER($E68)),SUMIF((OFFSET(CÁLCULO!$AM$15:$AW$15,$E68,0,OFFSET(ORÇAMENTO!$D$15,CRONO!$E68,0))),"="&amp;CRONO!U$12,OFFSET(CÁLCULO!$AB$15:$AL$15,$E68,0,OFFSET(ORÇAMENTO!$D$15,CRONO!$E68,0)))+IF(AND($E70&lt;&gt;"",$E70&lt;&gt;0),SUMIF(CÁLCULO!$AM$15:$AW$747,"="&amp;CRONO!U$12,CÁLCULO!$AB$15:$AL$747)/(ORÇAMENTO!$X$15-CÁLCULO.TotalAdmLocal)*CRONO!$E70,0),U69*$R68),SUMIF(OFFSET($R70,1,0,$Q68-2),($L68+1)&amp;"$",OFFSET(U70,1,0,$Q68-2)))</f>
        <v>0</v>
      </c>
      <c r="V70" s="223">
        <f ca="1">IF($Q68=2,IF(AND(ACOMPANHAMENTO="PLE",ISNUMBER($E68)),SUMIF((OFFSET(CÁLCULO!$AM$15:$AW$15,$E68,0,OFFSET(ORÇAMENTO!$D$15,CRONO!$E68,0))),"="&amp;CRONO!V$12,OFFSET(CÁLCULO!$AB$15:$AL$15,$E68,0,OFFSET(ORÇAMENTO!$D$15,CRONO!$E68,0)))+IF(AND($E70&lt;&gt;"",$E70&lt;&gt;0),SUMIF(CÁLCULO!$AM$15:$AW$747,"="&amp;CRONO!V$12,CÁLCULO!$AB$15:$AL$747)/(ORÇAMENTO!$X$15-CÁLCULO.TotalAdmLocal)*CRONO!$E70,0),V69*$R68),SUMIF(OFFSET($R70,1,0,$Q68-2),($L68+1)&amp;"$",OFFSET(V70,1,0,$Q68-2)))</f>
        <v>0</v>
      </c>
      <c r="W70" s="223">
        <f ca="1">IF($Q68=2,IF(AND(ACOMPANHAMENTO="PLE",ISNUMBER($E68)),SUMIF((OFFSET(CÁLCULO!$AM$15:$AW$15,$E68,0,OFFSET(ORÇAMENTO!$D$15,CRONO!$E68,0))),"="&amp;CRONO!W$12,OFFSET(CÁLCULO!$AB$15:$AL$15,$E68,0,OFFSET(ORÇAMENTO!$D$15,CRONO!$E68,0)))+IF(AND($E70&lt;&gt;"",$E70&lt;&gt;0),SUMIF(CÁLCULO!$AM$15:$AW$747,"="&amp;CRONO!W$12,CÁLCULO!$AB$15:$AL$747)/(ORÇAMENTO!$X$15-CÁLCULO.TotalAdmLocal)*CRONO!$E70,0),W69*$R68),SUMIF(OFFSET($R70,1,0,$Q68-2),($L68+1)&amp;"$",OFFSET(W70,1,0,$Q68-2)))</f>
        <v>0</v>
      </c>
      <c r="X70" s="223">
        <f ca="1">IF($Q68=2,IF(AND(ACOMPANHAMENTO="PLE",ISNUMBER($E68)),SUMIF((OFFSET(CÁLCULO!$AM$15:$AW$15,$E68,0,OFFSET(ORÇAMENTO!$D$15,CRONO!$E68,0))),"="&amp;CRONO!X$12,OFFSET(CÁLCULO!$AB$15:$AL$15,$E68,0,OFFSET(ORÇAMENTO!$D$15,CRONO!$E68,0)))+IF(AND($E70&lt;&gt;"",$E70&lt;&gt;0),SUMIF(CÁLCULO!$AM$15:$AW$747,"="&amp;CRONO!X$12,CÁLCULO!$AB$15:$AL$747)/(ORÇAMENTO!$X$15-CÁLCULO.TotalAdmLocal)*CRONO!$E70,0),X69*$R68),SUMIF(OFFSET($R70,1,0,$Q68-2),($L68+1)&amp;"$",OFFSET(X70,1,0,$Q68-2)))</f>
        <v>0</v>
      </c>
      <c r="Y70" s="223">
        <f ca="1">IF($Q68=2,IF(AND(ACOMPANHAMENTO="PLE",ISNUMBER($E68)),SUMIF((OFFSET(CÁLCULO!$AM$15:$AW$15,$E68,0,OFFSET(ORÇAMENTO!$D$15,CRONO!$E68,0))),"="&amp;CRONO!Y$12,OFFSET(CÁLCULO!$AB$15:$AL$15,$E68,0,OFFSET(ORÇAMENTO!$D$15,CRONO!$E68,0)))+IF(AND($E70&lt;&gt;"",$E70&lt;&gt;0),SUMIF(CÁLCULO!$AM$15:$AW$747,"="&amp;CRONO!Y$12,CÁLCULO!$AB$15:$AL$747)/(ORÇAMENTO!$X$15-CÁLCULO.TotalAdmLocal)*CRONO!$E70,0),Y69*$R68),SUMIF(OFFSET($R70,1,0,$Q68-2),($L68+1)&amp;"$",OFFSET(Y70,1,0,$Q68-2)))</f>
        <v>0</v>
      </c>
      <c r="Z70" s="223">
        <f ca="1">IF($Q68=2,IF(AND(ACOMPANHAMENTO="PLE",ISNUMBER($E68)),SUMIF((OFFSET(CÁLCULO!$AM$15:$AW$15,$E68,0,OFFSET(ORÇAMENTO!$D$15,CRONO!$E68,0))),"="&amp;CRONO!Z$12,OFFSET(CÁLCULO!$AB$15:$AL$15,$E68,0,OFFSET(ORÇAMENTO!$D$15,CRONO!$E68,0)))+IF(AND($E70&lt;&gt;"",$E70&lt;&gt;0),SUMIF(CÁLCULO!$AM$15:$AW$747,"="&amp;CRONO!Z$12,CÁLCULO!$AB$15:$AL$747)/(ORÇAMENTO!$X$15-CÁLCULO.TotalAdmLocal)*CRONO!$E70,0),Z69*$R68),SUMIF(OFFSET($R70,1,0,$Q68-2),($L68+1)&amp;"$",OFFSET(Z70,1,0,$Q68-2)))</f>
        <v>0</v>
      </c>
      <c r="AA70" s="223">
        <f ca="1">IF($Q68=2,IF(AND(ACOMPANHAMENTO="PLE",ISNUMBER($E68)),SUMIF((OFFSET(CÁLCULO!$AM$15:$AW$15,$E68,0,OFFSET(ORÇAMENTO!$D$15,CRONO!$E68,0))),"="&amp;CRONO!AA$12,OFFSET(CÁLCULO!$AB$15:$AL$15,$E68,0,OFFSET(ORÇAMENTO!$D$15,CRONO!$E68,0)))+IF(AND($E70&lt;&gt;"",$E70&lt;&gt;0),SUMIF(CÁLCULO!$AM$15:$AW$747,"="&amp;CRONO!AA$12,CÁLCULO!$AB$15:$AL$747)/(ORÇAMENTO!$X$15-CÁLCULO.TotalAdmLocal)*CRONO!$E70,0),AA69*$R68),SUMIF(OFFSET($R70,1,0,$Q68-2),($L68+1)&amp;"$",OFFSET(AA70,1,0,$Q68-2)))</f>
        <v>0</v>
      </c>
      <c r="AB70" s="223">
        <f ca="1">IF($Q68=2,IF(AND(ACOMPANHAMENTO="PLE",ISNUMBER($E68)),SUMIF((OFFSET(CÁLCULO!$AM$15:$AW$15,$E68,0,OFFSET(ORÇAMENTO!$D$15,CRONO!$E68,0))),"="&amp;CRONO!AB$12,OFFSET(CÁLCULO!$AB$15:$AL$15,$E68,0,OFFSET(ORÇAMENTO!$D$15,CRONO!$E68,0)))+IF(AND($E70&lt;&gt;"",$E70&lt;&gt;0),SUMIF(CÁLCULO!$AM$15:$AW$747,"="&amp;CRONO!AB$12,CÁLCULO!$AB$15:$AL$747)/(ORÇAMENTO!$X$15-CÁLCULO.TotalAdmLocal)*CRONO!$E70,0),AB69*$R68),SUMIF(OFFSET($R70,1,0,$Q68-2),($L68+1)&amp;"$",OFFSET(AB70,1,0,$Q68-2)))</f>
        <v>0</v>
      </c>
      <c r="AC70" s="223">
        <f ca="1">IF($Q68=2,IF(AND(ACOMPANHAMENTO="PLE",ISNUMBER($E68)),SUMIF((OFFSET(CÁLCULO!$AM$15:$AW$15,$E68,0,OFFSET(ORÇAMENTO!$D$15,CRONO!$E68,0))),"="&amp;CRONO!AC$12,OFFSET(CÁLCULO!$AB$15:$AL$15,$E68,0,OFFSET(ORÇAMENTO!$D$15,CRONO!$E68,0)))+IF(AND($E70&lt;&gt;"",$E70&lt;&gt;0),SUMIF(CÁLCULO!$AM$15:$AW$747,"="&amp;CRONO!AC$12,CÁLCULO!$AB$15:$AL$747)/(ORÇAMENTO!$X$15-CÁLCULO.TotalAdmLocal)*CRONO!$E70,0),AC69*$R68),SUMIF(OFFSET($R70,1,0,$Q68-2),($L68+1)&amp;"$",OFFSET(AC70,1,0,$Q68-2)))</f>
        <v>0</v>
      </c>
      <c r="AD70" s="223">
        <f ca="1">IF($Q68=2,IF(AND(ACOMPANHAMENTO="PLE",ISNUMBER($E68)),SUMIF((OFFSET(CÁLCULO!$AM$15:$AW$15,$E68,0,OFFSET(ORÇAMENTO!$D$15,CRONO!$E68,0))),"="&amp;CRONO!AD$12,OFFSET(CÁLCULO!$AB$15:$AL$15,$E68,0,OFFSET(ORÇAMENTO!$D$15,CRONO!$E68,0)))+IF(AND($E70&lt;&gt;"",$E70&lt;&gt;0),SUMIF(CÁLCULO!$AM$15:$AW$747,"="&amp;CRONO!AD$12,CÁLCULO!$AB$15:$AL$747)/(ORÇAMENTO!$X$15-CÁLCULO.TotalAdmLocal)*CRONO!$E70,0),AD69*$R68),SUMIF(OFFSET($R70,1,0,$Q68-2),($L68+1)&amp;"$",OFFSET(AD70,1,0,$Q68-2)))</f>
        <v>0</v>
      </c>
      <c r="AE70" s="228">
        <f ca="1">IF($Q68=2,IF(AND(ACOMPANHAMENTO="PLE",ISNUMBER($E68)),SUMIF((OFFSET(CÁLCULO!$AM$15:$AW$15,$E68,0,OFFSET(ORÇAMENTO!$D$15,CRONO!$E68,0))),"="&amp;CRONO!AE$12,OFFSET(CÁLCULO!$AB$15:$AL$15,$E68,0,OFFSET(ORÇAMENTO!$D$15,CRONO!$E68,0)))+IF(AND($E70&lt;&gt;"",$E70&lt;&gt;0),SUMIF(CÁLCULO!$AM$15:$AW$747,"="&amp;CRONO!AE$12,CÁLCULO!$AB$15:$AL$747)/(ORÇAMENTO!$X$15-CÁLCULO.TotalAdmLocal)*CRONO!$E70,0),AE69*$R68),SUMIF(OFFSET($R70,1,0,$Q68-2),($L68+1)&amp;"$",OFFSET(AE70,1,0,$Q68-2)))</f>
        <v>0</v>
      </c>
    </row>
    <row r="71" spans="1:32" x14ac:dyDescent="0.2">
      <c r="A71" s="204">
        <f t="shared" ref="A71" ca="1" si="136">OFFSET(A71,-3,0)+1</f>
        <v>20</v>
      </c>
      <c r="B71" s="204">
        <f ca="1">IF($Q71&lt;&gt;2,0,IF($R71=0,1,IF(E72&gt;0,OFFSET(QCI!$M$13,SUBSTITUTE(E72,".",""),0),OFFSET(ORÇAMENTO!$AA$15,CRONO!$E71,0))/$R71))</f>
        <v>1</v>
      </c>
      <c r="C71" s="204">
        <f ca="1">IF($Q71&lt;&gt;2,0,IF($R71=0,1,IF(E72&gt;0,OFFSET(QCI!$N$13,SUBSTITUTE(E72,".",""),0),OFFSET(ORÇAMENTO!$AB$15,CRONO!$E71,0))/$R71))</f>
        <v>1</v>
      </c>
      <c r="D71" s="207">
        <f ca="1">IF(AND($Q71=2,ACOMPANHAMENTO="BM"),D72,D73/$R71)</f>
        <v>0</v>
      </c>
      <c r="E71" s="204">
        <f ca="1">IF(A71&lt;=ORÇAMENTO.MáximoListaCrono,MATCH(A71,ORÇAMENTO.ListaCrono,0),NA())</f>
        <v>631</v>
      </c>
      <c r="F71" s="204" t="str">
        <f t="shared" ref="F71" ca="1" si="137">IF(AND($E72&lt;&gt;-1,$R71&gt;0),"F","")</f>
        <v/>
      </c>
      <c r="G71" s="208" t="str">
        <f ca="1">IF(OR(R71=0,R71=""),"Linha",IF(AND(OR(ACOMPANHAMENTO="PLE",$Q71&lt;&gt;2),$E72=0),"Linha",1-SUM(T71:AF71)))</f>
        <v>Linha</v>
      </c>
      <c r="H71" s="209" t="str">
        <f ca="1">IF($E72=0,OFFSET(ORÇAMENTO!O$15,$E71,0),IF($E72&lt;&gt;-1,OFFSET(QCI!$D$13,$E72,0),""))</f>
        <v>1.19.</v>
      </c>
      <c r="I71" s="210" t="str">
        <f ca="1">IF($E72=0,OFFSET(ORÇAMENTO!R$15,$E71,0),IF($E72&lt;&gt;-1,OFFSET(QCI!$G$13,$E72,0),""))</f>
        <v>SISTEMA DE PROTEÇÃO CONTRA DESCARGAS ATMOSFÉRICAS (SPDA)</v>
      </c>
      <c r="J71" s="210"/>
      <c r="K71" s="210"/>
      <c r="L71" s="211">
        <f ca="1">IF($E72=0,OFFSET(ORÇAMENTO!C$15,$E71,0),1)</f>
        <v>2</v>
      </c>
      <c r="M71" s="212">
        <f ca="1">IF($E72=-1,0,IF(M$13&lt;=$L71,IF(ISERROR(MATCH(M$13,OFFSET($L71,1,0,ROW($L$89)-ROW($L71)-1),0)),ROW($L$89)-ROW($L71)-1,MATCH(M$13,OFFSET($L71,1,0,ROW($L$89)-ROW($L71)-1),0)-1),0))</f>
        <v>17</v>
      </c>
      <c r="N71" s="212">
        <f ca="1">IF($E72=-1,0,IF(N$13&lt;=$L71,IF(ISERROR(MATCH(N$13,OFFSET($L71,1,0,ROW($L$89)-ROW($L71)-1),0)),ROW($L$89)-ROW($L71)-1,MATCH(N$13,OFFSET($L71,1,0,ROW($L$89)-ROW($L71)-1),0)-1),0))</f>
        <v>2</v>
      </c>
      <c r="O71" s="212">
        <f ca="1">IF($E72=-1,0,IF(O$13&lt;=$L71,IF(ISERROR(MATCH(O$13,OFFSET($L71,1,0,ROW($L$89)-ROW($L71)-1),0)),ROW($L$89)-ROW($L71)-1,MATCH(O$13,OFFSET($L71,1,0,ROW($L$89)-ROW($L71)-1),0)-1),0))</f>
        <v>0</v>
      </c>
      <c r="P71" s="212">
        <f ca="1">IF($E72=-1,0,IF(P$13&lt;=$L71,IF(ISERROR(MATCH(P$13,OFFSET($L71,1,0,ROW($L$89)-ROW($L71)-1),0)),ROW($L$89)-ROW($L71)-1,MATCH(P$13,OFFSET($L71,1,0,ROW($L$89)-ROW($L71)-1),0)-1),0))</f>
        <v>0</v>
      </c>
      <c r="Q71" s="212">
        <f t="shared" ref="Q71" ca="1" si="138">MIN(OFFSET(L71,0,1,,L71))</f>
        <v>2</v>
      </c>
      <c r="R71" s="213">
        <f ca="1">IF($E72=0,OFFSET(ORÇAMENTO!X$15,$E71,0),IF($E72&lt;&gt;-1,OFFSET(QCI!$O$13,$E72,0),""))</f>
        <v>0</v>
      </c>
      <c r="S71" s="214" t="s">
        <v>270</v>
      </c>
      <c r="T71" s="215">
        <f t="shared" ref="T71:AE71" ca="1" si="139">IF(AND($Q71=2,ACOMPANHAMENTO="BM"),T72,T73/$R71)</f>
        <v>0</v>
      </c>
      <c r="U71" s="207">
        <f t="shared" ca="1" si="139"/>
        <v>0</v>
      </c>
      <c r="V71" s="207">
        <f t="shared" ca="1" si="139"/>
        <v>0</v>
      </c>
      <c r="W71" s="207">
        <f t="shared" ca="1" si="139"/>
        <v>0</v>
      </c>
      <c r="X71" s="207">
        <f t="shared" ca="1" si="139"/>
        <v>0.2</v>
      </c>
      <c r="Y71" s="207">
        <f t="shared" ca="1" si="139"/>
        <v>0</v>
      </c>
      <c r="Z71" s="207">
        <f t="shared" ca="1" si="139"/>
        <v>0</v>
      </c>
      <c r="AA71" s="207">
        <f t="shared" ca="1" si="139"/>
        <v>0</v>
      </c>
      <c r="AB71" s="207">
        <f t="shared" ca="1" si="139"/>
        <v>0.8</v>
      </c>
      <c r="AC71" s="207">
        <f t="shared" ca="1" si="139"/>
        <v>0</v>
      </c>
      <c r="AD71" s="207">
        <f t="shared" ca="1" si="139"/>
        <v>0</v>
      </c>
      <c r="AE71" s="216">
        <f t="shared" ca="1" si="139"/>
        <v>0</v>
      </c>
    </row>
    <row r="72" spans="1:32" ht="12.75" customHeight="1" x14ac:dyDescent="0.2">
      <c r="D72" s="569"/>
      <c r="E72" s="204">
        <f ca="1">IF(ISERROR(E71),IF(1+COUNTIF($L$13:OFFSET(L71,-1,0),1)&lt;=MAX(QCI!$D$13:$D$24),1+COUNTIF($L$13:OFFSET(L71,-1,0),1),-1),0)</f>
        <v>0</v>
      </c>
      <c r="F72" s="204" t="str">
        <f t="shared" ref="F72" ca="1" si="140">IF(AND($E72&lt;&gt;-1,$R71&gt;0),"F","")</f>
        <v/>
      </c>
      <c r="G72" s="217" t="str">
        <f ca="1">IF(OR(R71=0,R71=""),"vazia",IF(AND(OR(ACOMPANHAMENTO="PLE",$Q71&lt;&gt;2),$E72=0),"calculada","--&gt;"))</f>
        <v>vazia</v>
      </c>
      <c r="H72" s="218"/>
      <c r="I72" s="219" t="str">
        <f t="shared" ref="I72" ca="1" si="141">IF(AND(G71&lt;&gt;0,ISNUMBER(G71)),"PREENCHA ESTA LINHA --&gt;","")</f>
        <v/>
      </c>
      <c r="J72" s="219"/>
      <c r="K72" s="219"/>
      <c r="L72" s="220"/>
      <c r="M72" s="220"/>
      <c r="N72" s="220"/>
      <c r="O72" s="220"/>
      <c r="P72" s="220"/>
      <c r="Q72" s="220"/>
      <c r="R72" s="221"/>
      <c r="S72" s="222"/>
      <c r="T72" s="570"/>
      <c r="U72" s="569"/>
      <c r="V72" s="569"/>
      <c r="W72" s="569"/>
      <c r="X72" s="569">
        <v>0.2</v>
      </c>
      <c r="Y72" s="569"/>
      <c r="Z72" s="569"/>
      <c r="AA72" s="569"/>
      <c r="AB72" s="569">
        <v>0.8</v>
      </c>
      <c r="AC72" s="569"/>
      <c r="AD72" s="569"/>
      <c r="AE72" s="571"/>
      <c r="AF72" s="533"/>
    </row>
    <row r="73" spans="1:32" ht="0.2" hidden="1" customHeight="1" x14ac:dyDescent="0.2">
      <c r="D73" s="223">
        <f ca="1">IF($Q71=2,IF(AND(ACOMPANHAMENTO="PLE",ISNUMBER($E71)),SUMIF((OFFSET(CÁLCULO!$AM$15:$AW$15,$E71,0,OFFSET(ORÇAMENTO!$D$15,CRONO!$E71,0))),"="&amp;CRONO!D$12,OFFSET(CÁLCULO!$AB$15:$AL$15,$E71,0,OFFSET(ORÇAMENTO!$D$15,CRONO!$E71,0)))+IF(AND($E73&lt;&gt;"",$E73&lt;&gt;0),SUMIF(CÁLCULO!$AM$15:$AW$747,"="&amp;CRONO!D$12,CÁLCULO!$AB$15:$AL$747)/(ORÇAMENTO!$X$15-CÁLCULO.TotalAdmLocal)*CRONO!$E73,0),D72*$R71),SUMIF(OFFSET($R73,1,0,$Q71-2),($L71+1)&amp;"$",OFFSET(D73,1,0,$Q71-2)))</f>
        <v>0</v>
      </c>
      <c r="E73" s="204" t="str">
        <f ca="1">IF(OR($Q71&lt;&gt;2,AUTOEVENTO&lt;&gt;"manual",$E72&gt;0),"",SUMIF(OFFSET(CÁLCULO!$M$15,CRONO!$E71,0,OFFSET(ORÇAMENTO!$D$15,CRONO!$E71,0)),1,OFFSET(ORÇAMENTO!$X$15,CRONO!$E71,0,OFFSET(ORÇAMENTO!$D$15,CRONO!$E71,0))))</f>
        <v/>
      </c>
      <c r="G73" s="224"/>
      <c r="R73" s="225" t="str">
        <f t="shared" ref="R73" ca="1" si="142">L71&amp;"$"</f>
        <v>2$</v>
      </c>
      <c r="S73" s="226"/>
      <c r="T73" s="227">
        <f ca="1">IF($Q71=2,IF(AND(ACOMPANHAMENTO="PLE",ISNUMBER($E71)),SUMIF((OFFSET(CÁLCULO!$AM$15:$AW$15,$E71,0,OFFSET(ORÇAMENTO!$D$15,CRONO!$E71,0))),"&lt;="&amp;CRONO!T$12,OFFSET(CÁLCULO!$AB$15:$AL$15,$E71,0,OFFSET(ORÇAMENTO!$D$15,CRONO!$E71,0)))+IF(AND($E73&lt;&gt;"",$E73&lt;&gt;0),SUMIF(CÁLCULO!$AM$15:$AW$747,"&lt;="&amp;CRONO!T$12,CÁLCULO!$AB$15:$AL$747)/(ORÇAMENTO!$X$15-CÁLCULO.TotalAdmLocal)*CRONO!$E73,0),T72*$R71),SUMIF(OFFSET($R73,1,0,$Q71-2),($L71+1)&amp;"$",OFFSET(T73,1,0,$Q71-2)))</f>
        <v>0</v>
      </c>
      <c r="U73" s="223">
        <f ca="1">IF($Q71=2,IF(AND(ACOMPANHAMENTO="PLE",ISNUMBER($E71)),SUMIF((OFFSET(CÁLCULO!$AM$15:$AW$15,$E71,0,OFFSET(ORÇAMENTO!$D$15,CRONO!$E71,0))),"="&amp;CRONO!U$12,OFFSET(CÁLCULO!$AB$15:$AL$15,$E71,0,OFFSET(ORÇAMENTO!$D$15,CRONO!$E71,0)))+IF(AND($E73&lt;&gt;"",$E73&lt;&gt;0),SUMIF(CÁLCULO!$AM$15:$AW$747,"="&amp;CRONO!U$12,CÁLCULO!$AB$15:$AL$747)/(ORÇAMENTO!$X$15-CÁLCULO.TotalAdmLocal)*CRONO!$E73,0),U72*$R71),SUMIF(OFFSET($R73,1,0,$Q71-2),($L71+1)&amp;"$",OFFSET(U73,1,0,$Q71-2)))</f>
        <v>0</v>
      </c>
      <c r="V73" s="223">
        <f ca="1">IF($Q71=2,IF(AND(ACOMPANHAMENTO="PLE",ISNUMBER($E71)),SUMIF((OFFSET(CÁLCULO!$AM$15:$AW$15,$E71,0,OFFSET(ORÇAMENTO!$D$15,CRONO!$E71,0))),"="&amp;CRONO!V$12,OFFSET(CÁLCULO!$AB$15:$AL$15,$E71,0,OFFSET(ORÇAMENTO!$D$15,CRONO!$E71,0)))+IF(AND($E73&lt;&gt;"",$E73&lt;&gt;0),SUMIF(CÁLCULO!$AM$15:$AW$747,"="&amp;CRONO!V$12,CÁLCULO!$AB$15:$AL$747)/(ORÇAMENTO!$X$15-CÁLCULO.TotalAdmLocal)*CRONO!$E73,0),V72*$R71),SUMIF(OFFSET($R73,1,0,$Q71-2),($L71+1)&amp;"$",OFFSET(V73,1,0,$Q71-2)))</f>
        <v>0</v>
      </c>
      <c r="W73" s="223">
        <f ca="1">IF($Q71=2,IF(AND(ACOMPANHAMENTO="PLE",ISNUMBER($E71)),SUMIF((OFFSET(CÁLCULO!$AM$15:$AW$15,$E71,0,OFFSET(ORÇAMENTO!$D$15,CRONO!$E71,0))),"="&amp;CRONO!W$12,OFFSET(CÁLCULO!$AB$15:$AL$15,$E71,0,OFFSET(ORÇAMENTO!$D$15,CRONO!$E71,0)))+IF(AND($E73&lt;&gt;"",$E73&lt;&gt;0),SUMIF(CÁLCULO!$AM$15:$AW$747,"="&amp;CRONO!W$12,CÁLCULO!$AB$15:$AL$747)/(ORÇAMENTO!$X$15-CÁLCULO.TotalAdmLocal)*CRONO!$E73,0),W72*$R71),SUMIF(OFFSET($R73,1,0,$Q71-2),($L71+1)&amp;"$",OFFSET(W73,1,0,$Q71-2)))</f>
        <v>0</v>
      </c>
      <c r="X73" s="223">
        <f ca="1">IF($Q71=2,IF(AND(ACOMPANHAMENTO="PLE",ISNUMBER($E71)),SUMIF((OFFSET(CÁLCULO!$AM$15:$AW$15,$E71,0,OFFSET(ORÇAMENTO!$D$15,CRONO!$E71,0))),"="&amp;CRONO!X$12,OFFSET(CÁLCULO!$AB$15:$AL$15,$E71,0,OFFSET(ORÇAMENTO!$D$15,CRONO!$E71,0)))+IF(AND($E73&lt;&gt;"",$E73&lt;&gt;0),SUMIF(CÁLCULO!$AM$15:$AW$747,"="&amp;CRONO!X$12,CÁLCULO!$AB$15:$AL$747)/(ORÇAMENTO!$X$15-CÁLCULO.TotalAdmLocal)*CRONO!$E73,0),X72*$R71),SUMIF(OFFSET($R73,1,0,$Q71-2),($L71+1)&amp;"$",OFFSET(X73,1,0,$Q71-2)))</f>
        <v>0</v>
      </c>
      <c r="Y73" s="223">
        <f ca="1">IF($Q71=2,IF(AND(ACOMPANHAMENTO="PLE",ISNUMBER($E71)),SUMIF((OFFSET(CÁLCULO!$AM$15:$AW$15,$E71,0,OFFSET(ORÇAMENTO!$D$15,CRONO!$E71,0))),"="&amp;CRONO!Y$12,OFFSET(CÁLCULO!$AB$15:$AL$15,$E71,0,OFFSET(ORÇAMENTO!$D$15,CRONO!$E71,0)))+IF(AND($E73&lt;&gt;"",$E73&lt;&gt;0),SUMIF(CÁLCULO!$AM$15:$AW$747,"="&amp;CRONO!Y$12,CÁLCULO!$AB$15:$AL$747)/(ORÇAMENTO!$X$15-CÁLCULO.TotalAdmLocal)*CRONO!$E73,0),Y72*$R71),SUMIF(OFFSET($R73,1,0,$Q71-2),($L71+1)&amp;"$",OFFSET(Y73,1,0,$Q71-2)))</f>
        <v>0</v>
      </c>
      <c r="Z73" s="223">
        <f ca="1">IF($Q71=2,IF(AND(ACOMPANHAMENTO="PLE",ISNUMBER($E71)),SUMIF((OFFSET(CÁLCULO!$AM$15:$AW$15,$E71,0,OFFSET(ORÇAMENTO!$D$15,CRONO!$E71,0))),"="&amp;CRONO!Z$12,OFFSET(CÁLCULO!$AB$15:$AL$15,$E71,0,OFFSET(ORÇAMENTO!$D$15,CRONO!$E71,0)))+IF(AND($E73&lt;&gt;"",$E73&lt;&gt;0),SUMIF(CÁLCULO!$AM$15:$AW$747,"="&amp;CRONO!Z$12,CÁLCULO!$AB$15:$AL$747)/(ORÇAMENTO!$X$15-CÁLCULO.TotalAdmLocal)*CRONO!$E73,0),Z72*$R71),SUMIF(OFFSET($R73,1,0,$Q71-2),($L71+1)&amp;"$",OFFSET(Z73,1,0,$Q71-2)))</f>
        <v>0</v>
      </c>
      <c r="AA73" s="223">
        <f ca="1">IF($Q71=2,IF(AND(ACOMPANHAMENTO="PLE",ISNUMBER($E71)),SUMIF((OFFSET(CÁLCULO!$AM$15:$AW$15,$E71,0,OFFSET(ORÇAMENTO!$D$15,CRONO!$E71,0))),"="&amp;CRONO!AA$12,OFFSET(CÁLCULO!$AB$15:$AL$15,$E71,0,OFFSET(ORÇAMENTO!$D$15,CRONO!$E71,0)))+IF(AND($E73&lt;&gt;"",$E73&lt;&gt;0),SUMIF(CÁLCULO!$AM$15:$AW$747,"="&amp;CRONO!AA$12,CÁLCULO!$AB$15:$AL$747)/(ORÇAMENTO!$X$15-CÁLCULO.TotalAdmLocal)*CRONO!$E73,0),AA72*$R71),SUMIF(OFFSET($R73,1,0,$Q71-2),($L71+1)&amp;"$",OFFSET(AA73,1,0,$Q71-2)))</f>
        <v>0</v>
      </c>
      <c r="AB73" s="223">
        <f ca="1">IF($Q71=2,IF(AND(ACOMPANHAMENTO="PLE",ISNUMBER($E71)),SUMIF((OFFSET(CÁLCULO!$AM$15:$AW$15,$E71,0,OFFSET(ORÇAMENTO!$D$15,CRONO!$E71,0))),"="&amp;CRONO!AB$12,OFFSET(CÁLCULO!$AB$15:$AL$15,$E71,0,OFFSET(ORÇAMENTO!$D$15,CRONO!$E71,0)))+IF(AND($E73&lt;&gt;"",$E73&lt;&gt;0),SUMIF(CÁLCULO!$AM$15:$AW$747,"="&amp;CRONO!AB$12,CÁLCULO!$AB$15:$AL$747)/(ORÇAMENTO!$X$15-CÁLCULO.TotalAdmLocal)*CRONO!$E73,0),AB72*$R71),SUMIF(OFFSET($R73,1,0,$Q71-2),($L71+1)&amp;"$",OFFSET(AB73,1,0,$Q71-2)))</f>
        <v>0</v>
      </c>
      <c r="AC73" s="223">
        <f ca="1">IF($Q71=2,IF(AND(ACOMPANHAMENTO="PLE",ISNUMBER($E71)),SUMIF((OFFSET(CÁLCULO!$AM$15:$AW$15,$E71,0,OFFSET(ORÇAMENTO!$D$15,CRONO!$E71,0))),"="&amp;CRONO!AC$12,OFFSET(CÁLCULO!$AB$15:$AL$15,$E71,0,OFFSET(ORÇAMENTO!$D$15,CRONO!$E71,0)))+IF(AND($E73&lt;&gt;"",$E73&lt;&gt;0),SUMIF(CÁLCULO!$AM$15:$AW$747,"="&amp;CRONO!AC$12,CÁLCULO!$AB$15:$AL$747)/(ORÇAMENTO!$X$15-CÁLCULO.TotalAdmLocal)*CRONO!$E73,0),AC72*$R71),SUMIF(OFFSET($R73,1,0,$Q71-2),($L71+1)&amp;"$",OFFSET(AC73,1,0,$Q71-2)))</f>
        <v>0</v>
      </c>
      <c r="AD73" s="223">
        <f ca="1">IF($Q71=2,IF(AND(ACOMPANHAMENTO="PLE",ISNUMBER($E71)),SUMIF((OFFSET(CÁLCULO!$AM$15:$AW$15,$E71,0,OFFSET(ORÇAMENTO!$D$15,CRONO!$E71,0))),"="&amp;CRONO!AD$12,OFFSET(CÁLCULO!$AB$15:$AL$15,$E71,0,OFFSET(ORÇAMENTO!$D$15,CRONO!$E71,0)))+IF(AND($E73&lt;&gt;"",$E73&lt;&gt;0),SUMIF(CÁLCULO!$AM$15:$AW$747,"="&amp;CRONO!AD$12,CÁLCULO!$AB$15:$AL$747)/(ORÇAMENTO!$X$15-CÁLCULO.TotalAdmLocal)*CRONO!$E73,0),AD72*$R71),SUMIF(OFFSET($R73,1,0,$Q71-2),($L71+1)&amp;"$",OFFSET(AD73,1,0,$Q71-2)))</f>
        <v>0</v>
      </c>
      <c r="AE73" s="228">
        <f ca="1">IF($Q71=2,IF(AND(ACOMPANHAMENTO="PLE",ISNUMBER($E71)),SUMIF((OFFSET(CÁLCULO!$AM$15:$AW$15,$E71,0,OFFSET(ORÇAMENTO!$D$15,CRONO!$E71,0))),"="&amp;CRONO!AE$12,OFFSET(CÁLCULO!$AB$15:$AL$15,$E71,0,OFFSET(ORÇAMENTO!$D$15,CRONO!$E71,0)))+IF(AND($E73&lt;&gt;"",$E73&lt;&gt;0),SUMIF(CÁLCULO!$AM$15:$AW$747,"="&amp;CRONO!AE$12,CÁLCULO!$AB$15:$AL$747)/(ORÇAMENTO!$X$15-CÁLCULO.TotalAdmLocal)*CRONO!$E73,0),AE72*$R71),SUMIF(OFFSET($R73,1,0,$Q71-2),($L71+1)&amp;"$",OFFSET(AE73,1,0,$Q71-2)))</f>
        <v>0</v>
      </c>
    </row>
    <row r="74" spans="1:32" x14ac:dyDescent="0.2">
      <c r="A74" s="204">
        <f t="shared" ref="A74" ca="1" si="143">OFFSET(A74,-3,0)+1</f>
        <v>21</v>
      </c>
      <c r="B74" s="204">
        <f ca="1">IF($Q74&lt;&gt;2,0,IF($R74=0,1,IF(E75&gt;0,OFFSET(QCI!$M$13,SUBSTITUTE(E75,".",""),0),OFFSET(ORÇAMENTO!$AA$15,CRONO!$E74,0))/$R74))</f>
        <v>1</v>
      </c>
      <c r="C74" s="204">
        <f ca="1">IF($Q74&lt;&gt;2,0,IF($R74=0,1,IF(E75&gt;0,OFFSET(QCI!$N$13,SUBSTITUTE(E75,".",""),0),OFFSET(ORÇAMENTO!$AB$15,CRONO!$E74,0))/$R74))</f>
        <v>1</v>
      </c>
      <c r="D74" s="207">
        <f ca="1">IF(AND($Q74=2,ACOMPANHAMENTO="BM"),D75,D76/$R74)</f>
        <v>0</v>
      </c>
      <c r="E74" s="204">
        <f ca="1">IF(A74&lt;=ORÇAMENTO.MáximoListaCrono,MATCH(A74,ORÇAMENTO.ListaCrono,0),NA())</f>
        <v>638</v>
      </c>
      <c r="F74" s="204" t="str">
        <f t="shared" ref="F74" ca="1" si="144">IF(AND($E75&lt;&gt;-1,$R74&gt;0),"F","")</f>
        <v/>
      </c>
      <c r="G74" s="208" t="str">
        <f ca="1">IF(OR(R74=0,R74=""),"Linha",IF(AND(OR(ACOMPANHAMENTO="PLE",$Q74&lt;&gt;2),$E75=0),"Linha",1-SUM(T74:AF74)))</f>
        <v>Linha</v>
      </c>
      <c r="H74" s="209" t="str">
        <f ca="1">IF($E75=0,OFFSET(ORÇAMENTO!O$15,$E74,0),IF($E75&lt;&gt;-1,OFFSET(QCI!$D$13,$E75,0),""))</f>
        <v>1.20.</v>
      </c>
      <c r="I74" s="210" t="str">
        <f ca="1">IF($E75=0,OFFSET(ORÇAMENTO!R$15,$E74,0),IF($E75&lt;&gt;-1,OFFSET(QCI!$G$13,$E75,0),""))</f>
        <v>INSTALAÇÕES DE CLIMATIZAÇÃO</v>
      </c>
      <c r="J74" s="210"/>
      <c r="K74" s="210"/>
      <c r="L74" s="211">
        <f ca="1">IF($E75=0,OFFSET(ORÇAMENTO!C$15,$E74,0),1)</f>
        <v>2</v>
      </c>
      <c r="M74" s="212">
        <f ca="1">IF($E75=-1,0,IF(M$13&lt;=$L74,IF(ISERROR(MATCH(M$13,OFFSET($L74,1,0,ROW($L$89)-ROW($L74)-1),0)),ROW($L$89)-ROW($L74)-1,MATCH(M$13,OFFSET($L74,1,0,ROW($L$89)-ROW($L74)-1),0)-1),0))</f>
        <v>14</v>
      </c>
      <c r="N74" s="212">
        <f ca="1">IF($E75=-1,0,IF(N$13&lt;=$L74,IF(ISERROR(MATCH(N$13,OFFSET($L74,1,0,ROW($L$89)-ROW($L74)-1),0)),ROW($L$89)-ROW($L74)-1,MATCH(N$13,OFFSET($L74,1,0,ROW($L$89)-ROW($L74)-1),0)-1),0))</f>
        <v>2</v>
      </c>
      <c r="O74" s="212">
        <f ca="1">IF($E75=-1,0,IF(O$13&lt;=$L74,IF(ISERROR(MATCH(O$13,OFFSET($L74,1,0,ROW($L$89)-ROW($L74)-1),0)),ROW($L$89)-ROW($L74)-1,MATCH(O$13,OFFSET($L74,1,0,ROW($L$89)-ROW($L74)-1),0)-1),0))</f>
        <v>0</v>
      </c>
      <c r="P74" s="212">
        <f ca="1">IF($E75=-1,0,IF(P$13&lt;=$L74,IF(ISERROR(MATCH(P$13,OFFSET($L74,1,0,ROW($L$89)-ROW($L74)-1),0)),ROW($L$89)-ROW($L74)-1,MATCH(P$13,OFFSET($L74,1,0,ROW($L$89)-ROW($L74)-1),0)-1),0))</f>
        <v>0</v>
      </c>
      <c r="Q74" s="212">
        <f t="shared" ref="Q74" ca="1" si="145">MIN(OFFSET(L74,0,1,,L74))</f>
        <v>2</v>
      </c>
      <c r="R74" s="213">
        <f ca="1">IF($E75=0,OFFSET(ORÇAMENTO!X$15,$E74,0),IF($E75&lt;&gt;-1,OFFSET(QCI!$O$13,$E75,0),""))</f>
        <v>0</v>
      </c>
      <c r="S74" s="214" t="s">
        <v>270</v>
      </c>
      <c r="T74" s="215">
        <f t="shared" ref="T74:AE74" ca="1" si="146">IF(AND($Q74=2,ACOMPANHAMENTO="BM"),T75,T76/$R74)</f>
        <v>0</v>
      </c>
      <c r="U74" s="207">
        <f t="shared" ca="1" si="146"/>
        <v>0</v>
      </c>
      <c r="V74" s="207">
        <f t="shared" ca="1" si="146"/>
        <v>0</v>
      </c>
      <c r="W74" s="207">
        <f t="shared" ca="1" si="146"/>
        <v>0</v>
      </c>
      <c r="X74" s="207">
        <f t="shared" ca="1" si="146"/>
        <v>0</v>
      </c>
      <c r="Y74" s="207">
        <f t="shared" ca="1" si="146"/>
        <v>0</v>
      </c>
      <c r="Z74" s="207">
        <f t="shared" ca="1" si="146"/>
        <v>0.2</v>
      </c>
      <c r="AA74" s="207">
        <f t="shared" ca="1" si="146"/>
        <v>0.3</v>
      </c>
      <c r="AB74" s="207">
        <f t="shared" ca="1" si="146"/>
        <v>0.3</v>
      </c>
      <c r="AC74" s="207">
        <f t="shared" ca="1" si="146"/>
        <v>0.2</v>
      </c>
      <c r="AD74" s="207">
        <f t="shared" ca="1" si="146"/>
        <v>0</v>
      </c>
      <c r="AE74" s="216">
        <f t="shared" ca="1" si="146"/>
        <v>0</v>
      </c>
    </row>
    <row r="75" spans="1:32" ht="12.75" customHeight="1" x14ac:dyDescent="0.2">
      <c r="D75" s="569"/>
      <c r="E75" s="204">
        <f ca="1">IF(ISERROR(E74),IF(1+COUNTIF($L$13:OFFSET(L74,-1,0),1)&lt;=MAX(QCI!$D$13:$D$24),1+COUNTIF($L$13:OFFSET(L74,-1,0),1),-1),0)</f>
        <v>0</v>
      </c>
      <c r="F75" s="204" t="str">
        <f t="shared" ref="F75" ca="1" si="147">IF(AND($E75&lt;&gt;-1,$R74&gt;0),"F","")</f>
        <v/>
      </c>
      <c r="G75" s="217" t="str">
        <f ca="1">IF(OR(R74=0,R74=""),"vazia",IF(AND(OR(ACOMPANHAMENTO="PLE",$Q74&lt;&gt;2),$E75=0),"calculada","--&gt;"))</f>
        <v>vazia</v>
      </c>
      <c r="H75" s="218"/>
      <c r="I75" s="219" t="str">
        <f t="shared" ref="I75" ca="1" si="148">IF(AND(G74&lt;&gt;0,ISNUMBER(G74)),"PREENCHA ESTA LINHA --&gt;","")</f>
        <v/>
      </c>
      <c r="J75" s="219"/>
      <c r="K75" s="219"/>
      <c r="L75" s="220"/>
      <c r="M75" s="220"/>
      <c r="N75" s="220"/>
      <c r="O75" s="220"/>
      <c r="P75" s="220"/>
      <c r="Q75" s="220"/>
      <c r="R75" s="221"/>
      <c r="S75" s="222"/>
      <c r="T75" s="570"/>
      <c r="U75" s="569"/>
      <c r="V75" s="569"/>
      <c r="W75" s="569"/>
      <c r="X75" s="569"/>
      <c r="Y75" s="569"/>
      <c r="Z75" s="569">
        <v>0.2</v>
      </c>
      <c r="AA75" s="569">
        <v>0.3</v>
      </c>
      <c r="AB75" s="569">
        <v>0.3</v>
      </c>
      <c r="AC75" s="569">
        <v>0.2</v>
      </c>
      <c r="AD75" s="569"/>
      <c r="AE75" s="571"/>
      <c r="AF75" s="533"/>
    </row>
    <row r="76" spans="1:32" ht="0.2" hidden="1" customHeight="1" x14ac:dyDescent="0.2">
      <c r="D76" s="223">
        <f ca="1">IF($Q74=2,IF(AND(ACOMPANHAMENTO="PLE",ISNUMBER($E74)),SUMIF((OFFSET(CÁLCULO!$AM$15:$AW$15,$E74,0,OFFSET(ORÇAMENTO!$D$15,CRONO!$E74,0))),"="&amp;CRONO!D$12,OFFSET(CÁLCULO!$AB$15:$AL$15,$E74,0,OFFSET(ORÇAMENTO!$D$15,CRONO!$E74,0)))+IF(AND($E76&lt;&gt;"",$E76&lt;&gt;0),SUMIF(CÁLCULO!$AM$15:$AW$747,"="&amp;CRONO!D$12,CÁLCULO!$AB$15:$AL$747)/(ORÇAMENTO!$X$15-CÁLCULO.TotalAdmLocal)*CRONO!$E76,0),D75*$R74),SUMIF(OFFSET($R76,1,0,$Q74-2),($L74+1)&amp;"$",OFFSET(D76,1,0,$Q74-2)))</f>
        <v>0</v>
      </c>
      <c r="E76" s="204" t="str">
        <f ca="1">IF(OR($Q74&lt;&gt;2,AUTOEVENTO&lt;&gt;"manual",$E75&gt;0),"",SUMIF(OFFSET(CÁLCULO!$M$15,CRONO!$E74,0,OFFSET(ORÇAMENTO!$D$15,CRONO!$E74,0)),1,OFFSET(ORÇAMENTO!$X$15,CRONO!$E74,0,OFFSET(ORÇAMENTO!$D$15,CRONO!$E74,0))))</f>
        <v/>
      </c>
      <c r="G76" s="224"/>
      <c r="R76" s="225" t="str">
        <f t="shared" ref="R76" ca="1" si="149">L74&amp;"$"</f>
        <v>2$</v>
      </c>
      <c r="S76" s="226"/>
      <c r="T76" s="227">
        <f ca="1">IF($Q74=2,IF(AND(ACOMPANHAMENTO="PLE",ISNUMBER($E74)),SUMIF((OFFSET(CÁLCULO!$AM$15:$AW$15,$E74,0,OFFSET(ORÇAMENTO!$D$15,CRONO!$E74,0))),"&lt;="&amp;CRONO!T$12,OFFSET(CÁLCULO!$AB$15:$AL$15,$E74,0,OFFSET(ORÇAMENTO!$D$15,CRONO!$E74,0)))+IF(AND($E76&lt;&gt;"",$E76&lt;&gt;0),SUMIF(CÁLCULO!$AM$15:$AW$747,"&lt;="&amp;CRONO!T$12,CÁLCULO!$AB$15:$AL$747)/(ORÇAMENTO!$X$15-CÁLCULO.TotalAdmLocal)*CRONO!$E76,0),T75*$R74),SUMIF(OFFSET($R76,1,0,$Q74-2),($L74+1)&amp;"$",OFFSET(T76,1,0,$Q74-2)))</f>
        <v>0</v>
      </c>
      <c r="U76" s="223">
        <f ca="1">IF($Q74=2,IF(AND(ACOMPANHAMENTO="PLE",ISNUMBER($E74)),SUMIF((OFFSET(CÁLCULO!$AM$15:$AW$15,$E74,0,OFFSET(ORÇAMENTO!$D$15,CRONO!$E74,0))),"="&amp;CRONO!U$12,OFFSET(CÁLCULO!$AB$15:$AL$15,$E74,0,OFFSET(ORÇAMENTO!$D$15,CRONO!$E74,0)))+IF(AND($E76&lt;&gt;"",$E76&lt;&gt;0),SUMIF(CÁLCULO!$AM$15:$AW$747,"="&amp;CRONO!U$12,CÁLCULO!$AB$15:$AL$747)/(ORÇAMENTO!$X$15-CÁLCULO.TotalAdmLocal)*CRONO!$E76,0),U75*$R74),SUMIF(OFFSET($R76,1,0,$Q74-2),($L74+1)&amp;"$",OFFSET(U76,1,0,$Q74-2)))</f>
        <v>0</v>
      </c>
      <c r="V76" s="223">
        <f ca="1">IF($Q74=2,IF(AND(ACOMPANHAMENTO="PLE",ISNUMBER($E74)),SUMIF((OFFSET(CÁLCULO!$AM$15:$AW$15,$E74,0,OFFSET(ORÇAMENTO!$D$15,CRONO!$E74,0))),"="&amp;CRONO!V$12,OFFSET(CÁLCULO!$AB$15:$AL$15,$E74,0,OFFSET(ORÇAMENTO!$D$15,CRONO!$E74,0)))+IF(AND($E76&lt;&gt;"",$E76&lt;&gt;0),SUMIF(CÁLCULO!$AM$15:$AW$747,"="&amp;CRONO!V$12,CÁLCULO!$AB$15:$AL$747)/(ORÇAMENTO!$X$15-CÁLCULO.TotalAdmLocal)*CRONO!$E76,0),V75*$R74),SUMIF(OFFSET($R76,1,0,$Q74-2),($L74+1)&amp;"$",OFFSET(V76,1,0,$Q74-2)))</f>
        <v>0</v>
      </c>
      <c r="W76" s="223">
        <f ca="1">IF($Q74=2,IF(AND(ACOMPANHAMENTO="PLE",ISNUMBER($E74)),SUMIF((OFFSET(CÁLCULO!$AM$15:$AW$15,$E74,0,OFFSET(ORÇAMENTO!$D$15,CRONO!$E74,0))),"="&amp;CRONO!W$12,OFFSET(CÁLCULO!$AB$15:$AL$15,$E74,0,OFFSET(ORÇAMENTO!$D$15,CRONO!$E74,0)))+IF(AND($E76&lt;&gt;"",$E76&lt;&gt;0),SUMIF(CÁLCULO!$AM$15:$AW$747,"="&amp;CRONO!W$12,CÁLCULO!$AB$15:$AL$747)/(ORÇAMENTO!$X$15-CÁLCULO.TotalAdmLocal)*CRONO!$E76,0),W75*$R74),SUMIF(OFFSET($R76,1,0,$Q74-2),($L74+1)&amp;"$",OFFSET(W76,1,0,$Q74-2)))</f>
        <v>0</v>
      </c>
      <c r="X76" s="223">
        <f ca="1">IF($Q74=2,IF(AND(ACOMPANHAMENTO="PLE",ISNUMBER($E74)),SUMIF((OFFSET(CÁLCULO!$AM$15:$AW$15,$E74,0,OFFSET(ORÇAMENTO!$D$15,CRONO!$E74,0))),"="&amp;CRONO!X$12,OFFSET(CÁLCULO!$AB$15:$AL$15,$E74,0,OFFSET(ORÇAMENTO!$D$15,CRONO!$E74,0)))+IF(AND($E76&lt;&gt;"",$E76&lt;&gt;0),SUMIF(CÁLCULO!$AM$15:$AW$747,"="&amp;CRONO!X$12,CÁLCULO!$AB$15:$AL$747)/(ORÇAMENTO!$X$15-CÁLCULO.TotalAdmLocal)*CRONO!$E76,0),X75*$R74),SUMIF(OFFSET($R76,1,0,$Q74-2),($L74+1)&amp;"$",OFFSET(X76,1,0,$Q74-2)))</f>
        <v>0</v>
      </c>
      <c r="Y76" s="223">
        <f ca="1">IF($Q74=2,IF(AND(ACOMPANHAMENTO="PLE",ISNUMBER($E74)),SUMIF((OFFSET(CÁLCULO!$AM$15:$AW$15,$E74,0,OFFSET(ORÇAMENTO!$D$15,CRONO!$E74,0))),"="&amp;CRONO!Y$12,OFFSET(CÁLCULO!$AB$15:$AL$15,$E74,0,OFFSET(ORÇAMENTO!$D$15,CRONO!$E74,0)))+IF(AND($E76&lt;&gt;"",$E76&lt;&gt;0),SUMIF(CÁLCULO!$AM$15:$AW$747,"="&amp;CRONO!Y$12,CÁLCULO!$AB$15:$AL$747)/(ORÇAMENTO!$X$15-CÁLCULO.TotalAdmLocal)*CRONO!$E76,0),Y75*$R74),SUMIF(OFFSET($R76,1,0,$Q74-2),($L74+1)&amp;"$",OFFSET(Y76,1,0,$Q74-2)))</f>
        <v>0</v>
      </c>
      <c r="Z76" s="223">
        <f ca="1">IF($Q74=2,IF(AND(ACOMPANHAMENTO="PLE",ISNUMBER($E74)),SUMIF((OFFSET(CÁLCULO!$AM$15:$AW$15,$E74,0,OFFSET(ORÇAMENTO!$D$15,CRONO!$E74,0))),"="&amp;CRONO!Z$12,OFFSET(CÁLCULO!$AB$15:$AL$15,$E74,0,OFFSET(ORÇAMENTO!$D$15,CRONO!$E74,0)))+IF(AND($E76&lt;&gt;"",$E76&lt;&gt;0),SUMIF(CÁLCULO!$AM$15:$AW$747,"="&amp;CRONO!Z$12,CÁLCULO!$AB$15:$AL$747)/(ORÇAMENTO!$X$15-CÁLCULO.TotalAdmLocal)*CRONO!$E76,0),Z75*$R74),SUMIF(OFFSET($R76,1,0,$Q74-2),($L74+1)&amp;"$",OFFSET(Z76,1,0,$Q74-2)))</f>
        <v>0</v>
      </c>
      <c r="AA76" s="223">
        <f ca="1">IF($Q74=2,IF(AND(ACOMPANHAMENTO="PLE",ISNUMBER($E74)),SUMIF((OFFSET(CÁLCULO!$AM$15:$AW$15,$E74,0,OFFSET(ORÇAMENTO!$D$15,CRONO!$E74,0))),"="&amp;CRONO!AA$12,OFFSET(CÁLCULO!$AB$15:$AL$15,$E74,0,OFFSET(ORÇAMENTO!$D$15,CRONO!$E74,0)))+IF(AND($E76&lt;&gt;"",$E76&lt;&gt;0),SUMIF(CÁLCULO!$AM$15:$AW$747,"="&amp;CRONO!AA$12,CÁLCULO!$AB$15:$AL$747)/(ORÇAMENTO!$X$15-CÁLCULO.TotalAdmLocal)*CRONO!$E76,0),AA75*$R74),SUMIF(OFFSET($R76,1,0,$Q74-2),($L74+1)&amp;"$",OFFSET(AA76,1,0,$Q74-2)))</f>
        <v>0</v>
      </c>
      <c r="AB76" s="223">
        <f ca="1">IF($Q74=2,IF(AND(ACOMPANHAMENTO="PLE",ISNUMBER($E74)),SUMIF((OFFSET(CÁLCULO!$AM$15:$AW$15,$E74,0,OFFSET(ORÇAMENTO!$D$15,CRONO!$E74,0))),"="&amp;CRONO!AB$12,OFFSET(CÁLCULO!$AB$15:$AL$15,$E74,0,OFFSET(ORÇAMENTO!$D$15,CRONO!$E74,0)))+IF(AND($E76&lt;&gt;"",$E76&lt;&gt;0),SUMIF(CÁLCULO!$AM$15:$AW$747,"="&amp;CRONO!AB$12,CÁLCULO!$AB$15:$AL$747)/(ORÇAMENTO!$X$15-CÁLCULO.TotalAdmLocal)*CRONO!$E76,0),AB75*$R74),SUMIF(OFFSET($R76,1,0,$Q74-2),($L74+1)&amp;"$",OFFSET(AB76,1,0,$Q74-2)))</f>
        <v>0</v>
      </c>
      <c r="AC76" s="223">
        <f ca="1">IF($Q74=2,IF(AND(ACOMPANHAMENTO="PLE",ISNUMBER($E74)),SUMIF((OFFSET(CÁLCULO!$AM$15:$AW$15,$E74,0,OFFSET(ORÇAMENTO!$D$15,CRONO!$E74,0))),"="&amp;CRONO!AC$12,OFFSET(CÁLCULO!$AB$15:$AL$15,$E74,0,OFFSET(ORÇAMENTO!$D$15,CRONO!$E74,0)))+IF(AND($E76&lt;&gt;"",$E76&lt;&gt;0),SUMIF(CÁLCULO!$AM$15:$AW$747,"="&amp;CRONO!AC$12,CÁLCULO!$AB$15:$AL$747)/(ORÇAMENTO!$X$15-CÁLCULO.TotalAdmLocal)*CRONO!$E76,0),AC75*$R74),SUMIF(OFFSET($R76,1,0,$Q74-2),($L74+1)&amp;"$",OFFSET(AC76,1,0,$Q74-2)))</f>
        <v>0</v>
      </c>
      <c r="AD76" s="223">
        <f ca="1">IF($Q74=2,IF(AND(ACOMPANHAMENTO="PLE",ISNUMBER($E74)),SUMIF((OFFSET(CÁLCULO!$AM$15:$AW$15,$E74,0,OFFSET(ORÇAMENTO!$D$15,CRONO!$E74,0))),"="&amp;CRONO!AD$12,OFFSET(CÁLCULO!$AB$15:$AL$15,$E74,0,OFFSET(ORÇAMENTO!$D$15,CRONO!$E74,0)))+IF(AND($E76&lt;&gt;"",$E76&lt;&gt;0),SUMIF(CÁLCULO!$AM$15:$AW$747,"="&amp;CRONO!AD$12,CÁLCULO!$AB$15:$AL$747)/(ORÇAMENTO!$X$15-CÁLCULO.TotalAdmLocal)*CRONO!$E76,0),AD75*$R74),SUMIF(OFFSET($R76,1,0,$Q74-2),($L74+1)&amp;"$",OFFSET(AD76,1,0,$Q74-2)))</f>
        <v>0</v>
      </c>
      <c r="AE76" s="228">
        <f ca="1">IF($Q74=2,IF(AND(ACOMPANHAMENTO="PLE",ISNUMBER($E74)),SUMIF((OFFSET(CÁLCULO!$AM$15:$AW$15,$E74,0,OFFSET(ORÇAMENTO!$D$15,CRONO!$E74,0))),"="&amp;CRONO!AE$12,OFFSET(CÁLCULO!$AB$15:$AL$15,$E74,0,OFFSET(ORÇAMENTO!$D$15,CRONO!$E74,0)))+IF(AND($E76&lt;&gt;"",$E76&lt;&gt;0),SUMIF(CÁLCULO!$AM$15:$AW$747,"="&amp;CRONO!AE$12,CÁLCULO!$AB$15:$AL$747)/(ORÇAMENTO!$X$15-CÁLCULO.TotalAdmLocal)*CRONO!$E76,0),AE75*$R74),SUMIF(OFFSET($R76,1,0,$Q74-2),($L74+1)&amp;"$",OFFSET(AE76,1,0,$Q74-2)))</f>
        <v>0</v>
      </c>
    </row>
    <row r="77" spans="1:32" x14ac:dyDescent="0.2">
      <c r="A77" s="204">
        <f t="shared" ref="A77" ca="1" si="150">OFFSET(A77,-3,0)+1</f>
        <v>22</v>
      </c>
      <c r="B77" s="204">
        <f ca="1">IF($Q77&lt;&gt;2,0,IF($R77=0,1,IF(E78&gt;0,OFFSET(QCI!$M$13,SUBSTITUTE(E78,".",""),0),OFFSET(ORÇAMENTO!$AA$15,CRONO!$E77,0))/$R77))</f>
        <v>1</v>
      </c>
      <c r="C77" s="204">
        <f ca="1">IF($Q77&lt;&gt;2,0,IF($R77=0,1,IF(E78&gt;0,OFFSET(QCI!$N$13,SUBSTITUTE(E78,".",""),0),OFFSET(ORÇAMENTO!$AB$15,CRONO!$E77,0))/$R77))</f>
        <v>1</v>
      </c>
      <c r="D77" s="207">
        <f ca="1">IF(AND($Q77=2,ACOMPANHAMENTO="BM"),D78,D79/$R77)</f>
        <v>0</v>
      </c>
      <c r="E77" s="204">
        <f ca="1">IF(A77&lt;=ORÇAMENTO.MáximoListaCrono,MATCH(A77,ORÇAMENTO.ListaCrono,0),NA())</f>
        <v>650</v>
      </c>
      <c r="F77" s="204" t="str">
        <f t="shared" ref="F77" ca="1" si="151">IF(AND($E78&lt;&gt;-1,$R77&gt;0),"F","")</f>
        <v/>
      </c>
      <c r="G77" s="208" t="str">
        <f ca="1">IF(OR(R77=0,R77=""),"Linha",IF(AND(OR(ACOMPANHAMENTO="PLE",$Q77&lt;&gt;2),$E78=0),"Linha",1-SUM(T77:AF77)))</f>
        <v>Linha</v>
      </c>
      <c r="H77" s="209" t="str">
        <f ca="1">IF($E78=0,OFFSET(ORÇAMENTO!O$15,$E77,0),IF($E78&lt;&gt;-1,OFFSET(QCI!$D$13,$E78,0),""))</f>
        <v>1.21.</v>
      </c>
      <c r="I77" s="210" t="str">
        <f ca="1">IF($E78=0,OFFSET(ORÇAMENTO!R$15,$E77,0),IF($E78&lt;&gt;-1,OFFSET(QCI!$G$13,$E78,0),""))</f>
        <v>INSTALAÇÕES DE EXAUSTÃO MECÂNICA</v>
      </c>
      <c r="J77" s="210"/>
      <c r="K77" s="210"/>
      <c r="L77" s="211">
        <f ca="1">IF($E78=0,OFFSET(ORÇAMENTO!C$15,$E77,0),1)</f>
        <v>2</v>
      </c>
      <c r="M77" s="212">
        <f ca="1">IF($E78=-1,0,IF(M$13&lt;=$L77,IF(ISERROR(MATCH(M$13,OFFSET($L77,1,0,ROW($L$89)-ROW($L77)-1),0)),ROW($L$89)-ROW($L77)-1,MATCH(M$13,OFFSET($L77,1,0,ROW($L$89)-ROW($L77)-1),0)-1),0))</f>
        <v>11</v>
      </c>
      <c r="N77" s="212">
        <f ca="1">IF($E78=-1,0,IF(N$13&lt;=$L77,IF(ISERROR(MATCH(N$13,OFFSET($L77,1,0,ROW($L$89)-ROW($L77)-1),0)),ROW($L$89)-ROW($L77)-1,MATCH(N$13,OFFSET($L77,1,0,ROW($L$89)-ROW($L77)-1),0)-1),0))</f>
        <v>2</v>
      </c>
      <c r="O77" s="212">
        <f ca="1">IF($E78=-1,0,IF(O$13&lt;=$L77,IF(ISERROR(MATCH(O$13,OFFSET($L77,1,0,ROW($L$89)-ROW($L77)-1),0)),ROW($L$89)-ROW($L77)-1,MATCH(O$13,OFFSET($L77,1,0,ROW($L$89)-ROW($L77)-1),0)-1),0))</f>
        <v>0</v>
      </c>
      <c r="P77" s="212">
        <f ca="1">IF($E78=-1,0,IF(P$13&lt;=$L77,IF(ISERROR(MATCH(P$13,OFFSET($L77,1,0,ROW($L$89)-ROW($L77)-1),0)),ROW($L$89)-ROW($L77)-1,MATCH(P$13,OFFSET($L77,1,0,ROW($L$89)-ROW($L77)-1),0)-1),0))</f>
        <v>0</v>
      </c>
      <c r="Q77" s="212">
        <f t="shared" ref="Q77" ca="1" si="152">MIN(OFFSET(L77,0,1,,L77))</f>
        <v>2</v>
      </c>
      <c r="R77" s="213">
        <f ca="1">IF($E78=0,OFFSET(ORÇAMENTO!X$15,$E77,0),IF($E78&lt;&gt;-1,OFFSET(QCI!$O$13,$E78,0),""))</f>
        <v>0</v>
      </c>
      <c r="S77" s="214" t="s">
        <v>270</v>
      </c>
      <c r="T77" s="215">
        <f t="shared" ref="T77:AE77" ca="1" si="153">IF(AND($Q77=2,ACOMPANHAMENTO="BM"),T78,T79/$R77)</f>
        <v>0</v>
      </c>
      <c r="U77" s="207">
        <f t="shared" ca="1" si="153"/>
        <v>0</v>
      </c>
      <c r="V77" s="207">
        <f t="shared" ca="1" si="153"/>
        <v>0</v>
      </c>
      <c r="W77" s="207">
        <f t="shared" ca="1" si="153"/>
        <v>0</v>
      </c>
      <c r="X77" s="207">
        <f t="shared" ca="1" si="153"/>
        <v>0</v>
      </c>
      <c r="Y77" s="207">
        <f t="shared" ca="1" si="153"/>
        <v>0</v>
      </c>
      <c r="Z77" s="207">
        <f t="shared" ca="1" si="153"/>
        <v>0</v>
      </c>
      <c r="AA77" s="207">
        <f t="shared" ca="1" si="153"/>
        <v>0</v>
      </c>
      <c r="AB77" s="207">
        <f t="shared" ca="1" si="153"/>
        <v>0</v>
      </c>
      <c r="AC77" s="207">
        <f t="shared" ca="1" si="153"/>
        <v>1</v>
      </c>
      <c r="AD77" s="207">
        <f t="shared" ca="1" si="153"/>
        <v>0</v>
      </c>
      <c r="AE77" s="216">
        <f t="shared" ca="1" si="153"/>
        <v>0</v>
      </c>
    </row>
    <row r="78" spans="1:32" ht="12.75" customHeight="1" x14ac:dyDescent="0.2">
      <c r="D78" s="569"/>
      <c r="E78" s="204">
        <f ca="1">IF(ISERROR(E77),IF(1+COUNTIF($L$13:OFFSET(L77,-1,0),1)&lt;=MAX(QCI!$D$13:$D$24),1+COUNTIF($L$13:OFFSET(L77,-1,0),1),-1),0)</f>
        <v>0</v>
      </c>
      <c r="F78" s="204" t="str">
        <f t="shared" ref="F78" ca="1" si="154">IF(AND($E78&lt;&gt;-1,$R77&gt;0),"F","")</f>
        <v/>
      </c>
      <c r="G78" s="217" t="str">
        <f ca="1">IF(OR(R77=0,R77=""),"vazia",IF(AND(OR(ACOMPANHAMENTO="PLE",$Q77&lt;&gt;2),$E78=0),"calculada","--&gt;"))</f>
        <v>vazia</v>
      </c>
      <c r="H78" s="218"/>
      <c r="I78" s="219" t="str">
        <f t="shared" ref="I78" ca="1" si="155">IF(AND(G77&lt;&gt;0,ISNUMBER(G77)),"PREENCHA ESTA LINHA --&gt;","")</f>
        <v/>
      </c>
      <c r="J78" s="219"/>
      <c r="K78" s="219"/>
      <c r="L78" s="220"/>
      <c r="M78" s="220"/>
      <c r="N78" s="220"/>
      <c r="O78" s="220"/>
      <c r="P78" s="220"/>
      <c r="Q78" s="220"/>
      <c r="R78" s="221"/>
      <c r="S78" s="222"/>
      <c r="T78" s="570"/>
      <c r="U78" s="569"/>
      <c r="V78" s="569"/>
      <c r="W78" s="569"/>
      <c r="X78" s="569"/>
      <c r="Y78" s="569"/>
      <c r="Z78" s="569"/>
      <c r="AA78" s="569"/>
      <c r="AB78" s="569"/>
      <c r="AC78" s="569">
        <v>1</v>
      </c>
      <c r="AD78" s="569"/>
      <c r="AE78" s="571"/>
      <c r="AF78" s="533"/>
    </row>
    <row r="79" spans="1:32" ht="0.2" hidden="1" customHeight="1" x14ac:dyDescent="0.2">
      <c r="D79" s="223">
        <f ca="1">IF($Q77=2,IF(AND(ACOMPANHAMENTO="PLE",ISNUMBER($E77)),SUMIF((OFFSET(CÁLCULO!$AM$15:$AW$15,$E77,0,OFFSET(ORÇAMENTO!$D$15,CRONO!$E77,0))),"="&amp;CRONO!D$12,OFFSET(CÁLCULO!$AB$15:$AL$15,$E77,0,OFFSET(ORÇAMENTO!$D$15,CRONO!$E77,0)))+IF(AND($E79&lt;&gt;"",$E79&lt;&gt;0),SUMIF(CÁLCULO!$AM$15:$AW$747,"="&amp;CRONO!D$12,CÁLCULO!$AB$15:$AL$747)/(ORÇAMENTO!$X$15-CÁLCULO.TotalAdmLocal)*CRONO!$E79,0),D78*$R77),SUMIF(OFFSET($R79,1,0,$Q77-2),($L77+1)&amp;"$",OFFSET(D79,1,0,$Q77-2)))</f>
        <v>0</v>
      </c>
      <c r="E79" s="204" t="str">
        <f ca="1">IF(OR($Q77&lt;&gt;2,AUTOEVENTO&lt;&gt;"manual",$E78&gt;0),"",SUMIF(OFFSET(CÁLCULO!$M$15,CRONO!$E77,0,OFFSET(ORÇAMENTO!$D$15,CRONO!$E77,0)),1,OFFSET(ORÇAMENTO!$X$15,CRONO!$E77,0,OFFSET(ORÇAMENTO!$D$15,CRONO!$E77,0))))</f>
        <v/>
      </c>
      <c r="G79" s="224"/>
      <c r="R79" s="225" t="str">
        <f t="shared" ref="R79" ca="1" si="156">L77&amp;"$"</f>
        <v>2$</v>
      </c>
      <c r="S79" s="226"/>
      <c r="T79" s="227">
        <f ca="1">IF($Q77=2,IF(AND(ACOMPANHAMENTO="PLE",ISNUMBER($E77)),SUMIF((OFFSET(CÁLCULO!$AM$15:$AW$15,$E77,0,OFFSET(ORÇAMENTO!$D$15,CRONO!$E77,0))),"&lt;="&amp;CRONO!T$12,OFFSET(CÁLCULO!$AB$15:$AL$15,$E77,0,OFFSET(ORÇAMENTO!$D$15,CRONO!$E77,0)))+IF(AND($E79&lt;&gt;"",$E79&lt;&gt;0),SUMIF(CÁLCULO!$AM$15:$AW$747,"&lt;="&amp;CRONO!T$12,CÁLCULO!$AB$15:$AL$747)/(ORÇAMENTO!$X$15-CÁLCULO.TotalAdmLocal)*CRONO!$E79,0),T78*$R77),SUMIF(OFFSET($R79,1,0,$Q77-2),($L77+1)&amp;"$",OFFSET(T79,1,0,$Q77-2)))</f>
        <v>0</v>
      </c>
      <c r="U79" s="223">
        <f ca="1">IF($Q77=2,IF(AND(ACOMPANHAMENTO="PLE",ISNUMBER($E77)),SUMIF((OFFSET(CÁLCULO!$AM$15:$AW$15,$E77,0,OFFSET(ORÇAMENTO!$D$15,CRONO!$E77,0))),"="&amp;CRONO!U$12,OFFSET(CÁLCULO!$AB$15:$AL$15,$E77,0,OFFSET(ORÇAMENTO!$D$15,CRONO!$E77,0)))+IF(AND($E79&lt;&gt;"",$E79&lt;&gt;0),SUMIF(CÁLCULO!$AM$15:$AW$747,"="&amp;CRONO!U$12,CÁLCULO!$AB$15:$AL$747)/(ORÇAMENTO!$X$15-CÁLCULO.TotalAdmLocal)*CRONO!$E79,0),U78*$R77),SUMIF(OFFSET($R79,1,0,$Q77-2),($L77+1)&amp;"$",OFFSET(U79,1,0,$Q77-2)))</f>
        <v>0</v>
      </c>
      <c r="V79" s="223">
        <f ca="1">IF($Q77=2,IF(AND(ACOMPANHAMENTO="PLE",ISNUMBER($E77)),SUMIF((OFFSET(CÁLCULO!$AM$15:$AW$15,$E77,0,OFFSET(ORÇAMENTO!$D$15,CRONO!$E77,0))),"="&amp;CRONO!V$12,OFFSET(CÁLCULO!$AB$15:$AL$15,$E77,0,OFFSET(ORÇAMENTO!$D$15,CRONO!$E77,0)))+IF(AND($E79&lt;&gt;"",$E79&lt;&gt;0),SUMIF(CÁLCULO!$AM$15:$AW$747,"="&amp;CRONO!V$12,CÁLCULO!$AB$15:$AL$747)/(ORÇAMENTO!$X$15-CÁLCULO.TotalAdmLocal)*CRONO!$E79,0),V78*$R77),SUMIF(OFFSET($R79,1,0,$Q77-2),($L77+1)&amp;"$",OFFSET(V79,1,0,$Q77-2)))</f>
        <v>0</v>
      </c>
      <c r="W79" s="223">
        <f ca="1">IF($Q77=2,IF(AND(ACOMPANHAMENTO="PLE",ISNUMBER($E77)),SUMIF((OFFSET(CÁLCULO!$AM$15:$AW$15,$E77,0,OFFSET(ORÇAMENTO!$D$15,CRONO!$E77,0))),"="&amp;CRONO!W$12,OFFSET(CÁLCULO!$AB$15:$AL$15,$E77,0,OFFSET(ORÇAMENTO!$D$15,CRONO!$E77,0)))+IF(AND($E79&lt;&gt;"",$E79&lt;&gt;0),SUMIF(CÁLCULO!$AM$15:$AW$747,"="&amp;CRONO!W$12,CÁLCULO!$AB$15:$AL$747)/(ORÇAMENTO!$X$15-CÁLCULO.TotalAdmLocal)*CRONO!$E79,0),W78*$R77),SUMIF(OFFSET($R79,1,0,$Q77-2),($L77+1)&amp;"$",OFFSET(W79,1,0,$Q77-2)))</f>
        <v>0</v>
      </c>
      <c r="X79" s="223">
        <f ca="1">IF($Q77=2,IF(AND(ACOMPANHAMENTO="PLE",ISNUMBER($E77)),SUMIF((OFFSET(CÁLCULO!$AM$15:$AW$15,$E77,0,OFFSET(ORÇAMENTO!$D$15,CRONO!$E77,0))),"="&amp;CRONO!X$12,OFFSET(CÁLCULO!$AB$15:$AL$15,$E77,0,OFFSET(ORÇAMENTO!$D$15,CRONO!$E77,0)))+IF(AND($E79&lt;&gt;"",$E79&lt;&gt;0),SUMIF(CÁLCULO!$AM$15:$AW$747,"="&amp;CRONO!X$12,CÁLCULO!$AB$15:$AL$747)/(ORÇAMENTO!$X$15-CÁLCULO.TotalAdmLocal)*CRONO!$E79,0),X78*$R77),SUMIF(OFFSET($R79,1,0,$Q77-2),($L77+1)&amp;"$",OFFSET(X79,1,0,$Q77-2)))</f>
        <v>0</v>
      </c>
      <c r="Y79" s="223">
        <f ca="1">IF($Q77=2,IF(AND(ACOMPANHAMENTO="PLE",ISNUMBER($E77)),SUMIF((OFFSET(CÁLCULO!$AM$15:$AW$15,$E77,0,OFFSET(ORÇAMENTO!$D$15,CRONO!$E77,0))),"="&amp;CRONO!Y$12,OFFSET(CÁLCULO!$AB$15:$AL$15,$E77,0,OFFSET(ORÇAMENTO!$D$15,CRONO!$E77,0)))+IF(AND($E79&lt;&gt;"",$E79&lt;&gt;0),SUMIF(CÁLCULO!$AM$15:$AW$747,"="&amp;CRONO!Y$12,CÁLCULO!$AB$15:$AL$747)/(ORÇAMENTO!$X$15-CÁLCULO.TotalAdmLocal)*CRONO!$E79,0),Y78*$R77),SUMIF(OFFSET($R79,1,0,$Q77-2),($L77+1)&amp;"$",OFFSET(Y79,1,0,$Q77-2)))</f>
        <v>0</v>
      </c>
      <c r="Z79" s="223">
        <f ca="1">IF($Q77=2,IF(AND(ACOMPANHAMENTO="PLE",ISNUMBER($E77)),SUMIF((OFFSET(CÁLCULO!$AM$15:$AW$15,$E77,0,OFFSET(ORÇAMENTO!$D$15,CRONO!$E77,0))),"="&amp;CRONO!Z$12,OFFSET(CÁLCULO!$AB$15:$AL$15,$E77,0,OFFSET(ORÇAMENTO!$D$15,CRONO!$E77,0)))+IF(AND($E79&lt;&gt;"",$E79&lt;&gt;0),SUMIF(CÁLCULO!$AM$15:$AW$747,"="&amp;CRONO!Z$12,CÁLCULO!$AB$15:$AL$747)/(ORÇAMENTO!$X$15-CÁLCULO.TotalAdmLocal)*CRONO!$E79,0),Z78*$R77),SUMIF(OFFSET($R79,1,0,$Q77-2),($L77+1)&amp;"$",OFFSET(Z79,1,0,$Q77-2)))</f>
        <v>0</v>
      </c>
      <c r="AA79" s="223">
        <f ca="1">IF($Q77=2,IF(AND(ACOMPANHAMENTO="PLE",ISNUMBER($E77)),SUMIF((OFFSET(CÁLCULO!$AM$15:$AW$15,$E77,0,OFFSET(ORÇAMENTO!$D$15,CRONO!$E77,0))),"="&amp;CRONO!AA$12,OFFSET(CÁLCULO!$AB$15:$AL$15,$E77,0,OFFSET(ORÇAMENTO!$D$15,CRONO!$E77,0)))+IF(AND($E79&lt;&gt;"",$E79&lt;&gt;0),SUMIF(CÁLCULO!$AM$15:$AW$747,"="&amp;CRONO!AA$12,CÁLCULO!$AB$15:$AL$747)/(ORÇAMENTO!$X$15-CÁLCULO.TotalAdmLocal)*CRONO!$E79,0),AA78*$R77),SUMIF(OFFSET($R79,1,0,$Q77-2),($L77+1)&amp;"$",OFFSET(AA79,1,0,$Q77-2)))</f>
        <v>0</v>
      </c>
      <c r="AB79" s="223">
        <f ca="1">IF($Q77=2,IF(AND(ACOMPANHAMENTO="PLE",ISNUMBER($E77)),SUMIF((OFFSET(CÁLCULO!$AM$15:$AW$15,$E77,0,OFFSET(ORÇAMENTO!$D$15,CRONO!$E77,0))),"="&amp;CRONO!AB$12,OFFSET(CÁLCULO!$AB$15:$AL$15,$E77,0,OFFSET(ORÇAMENTO!$D$15,CRONO!$E77,0)))+IF(AND($E79&lt;&gt;"",$E79&lt;&gt;0),SUMIF(CÁLCULO!$AM$15:$AW$747,"="&amp;CRONO!AB$12,CÁLCULO!$AB$15:$AL$747)/(ORÇAMENTO!$X$15-CÁLCULO.TotalAdmLocal)*CRONO!$E79,0),AB78*$R77),SUMIF(OFFSET($R79,1,0,$Q77-2),($L77+1)&amp;"$",OFFSET(AB79,1,0,$Q77-2)))</f>
        <v>0</v>
      </c>
      <c r="AC79" s="223">
        <f ca="1">IF($Q77=2,IF(AND(ACOMPANHAMENTO="PLE",ISNUMBER($E77)),SUMIF((OFFSET(CÁLCULO!$AM$15:$AW$15,$E77,0,OFFSET(ORÇAMENTO!$D$15,CRONO!$E77,0))),"="&amp;CRONO!AC$12,OFFSET(CÁLCULO!$AB$15:$AL$15,$E77,0,OFFSET(ORÇAMENTO!$D$15,CRONO!$E77,0)))+IF(AND($E79&lt;&gt;"",$E79&lt;&gt;0),SUMIF(CÁLCULO!$AM$15:$AW$747,"="&amp;CRONO!AC$12,CÁLCULO!$AB$15:$AL$747)/(ORÇAMENTO!$X$15-CÁLCULO.TotalAdmLocal)*CRONO!$E79,0),AC78*$R77),SUMIF(OFFSET($R79,1,0,$Q77-2),($L77+1)&amp;"$",OFFSET(AC79,1,0,$Q77-2)))</f>
        <v>0</v>
      </c>
      <c r="AD79" s="223">
        <f ca="1">IF($Q77=2,IF(AND(ACOMPANHAMENTO="PLE",ISNUMBER($E77)),SUMIF((OFFSET(CÁLCULO!$AM$15:$AW$15,$E77,0,OFFSET(ORÇAMENTO!$D$15,CRONO!$E77,0))),"="&amp;CRONO!AD$12,OFFSET(CÁLCULO!$AB$15:$AL$15,$E77,0,OFFSET(ORÇAMENTO!$D$15,CRONO!$E77,0)))+IF(AND($E79&lt;&gt;"",$E79&lt;&gt;0),SUMIF(CÁLCULO!$AM$15:$AW$747,"="&amp;CRONO!AD$12,CÁLCULO!$AB$15:$AL$747)/(ORÇAMENTO!$X$15-CÁLCULO.TotalAdmLocal)*CRONO!$E79,0),AD78*$R77),SUMIF(OFFSET($R79,1,0,$Q77-2),($L77+1)&amp;"$",OFFSET(AD79,1,0,$Q77-2)))</f>
        <v>0</v>
      </c>
      <c r="AE79" s="228">
        <f ca="1">IF($Q77=2,IF(AND(ACOMPANHAMENTO="PLE",ISNUMBER($E77)),SUMIF((OFFSET(CÁLCULO!$AM$15:$AW$15,$E77,0,OFFSET(ORÇAMENTO!$D$15,CRONO!$E77,0))),"="&amp;CRONO!AE$12,OFFSET(CÁLCULO!$AB$15:$AL$15,$E77,0,OFFSET(ORÇAMENTO!$D$15,CRONO!$E77,0)))+IF(AND($E79&lt;&gt;"",$E79&lt;&gt;0),SUMIF(CÁLCULO!$AM$15:$AW$747,"="&amp;CRONO!AE$12,CÁLCULO!$AB$15:$AL$747)/(ORÇAMENTO!$X$15-CÁLCULO.TotalAdmLocal)*CRONO!$E79,0),AE78*$R77),SUMIF(OFFSET($R79,1,0,$Q77-2),($L77+1)&amp;"$",OFFSET(AE79,1,0,$Q77-2)))</f>
        <v>0</v>
      </c>
    </row>
    <row r="80" spans="1:32" x14ac:dyDescent="0.2">
      <c r="A80" s="204">
        <f t="shared" ref="A80" ca="1" si="157">OFFSET(A80,-3,0)+1</f>
        <v>23</v>
      </c>
      <c r="B80" s="204">
        <f ca="1">IF($Q80&lt;&gt;2,0,IF($R80=0,1,IF(E81&gt;0,OFFSET(QCI!$M$13,SUBSTITUTE(E81,".",""),0),OFFSET(ORÇAMENTO!$AA$15,CRONO!$E80,0))/$R80))</f>
        <v>1</v>
      </c>
      <c r="C80" s="204">
        <f ca="1">IF($Q80&lt;&gt;2,0,IF($R80=0,1,IF(E81&gt;0,OFFSET(QCI!$N$13,SUBSTITUTE(E81,".",""),0),OFFSET(ORÇAMENTO!$AB$15,CRONO!$E80,0))/$R80))</f>
        <v>1</v>
      </c>
      <c r="D80" s="207">
        <f ca="1">IF(AND($Q80=2,ACOMPANHAMENTO="BM"),D81,D82/$R80)</f>
        <v>0</v>
      </c>
      <c r="E80" s="204">
        <f ca="1">IF(A80&lt;=ORÇAMENTO.MáximoListaCrono,MATCH(A80,ORÇAMENTO.ListaCrono,0),NA())</f>
        <v>654</v>
      </c>
      <c r="F80" s="204" t="str">
        <f t="shared" ref="F80" ca="1" si="158">IF(AND($E81&lt;&gt;-1,$R80&gt;0),"F","")</f>
        <v/>
      </c>
      <c r="G80" s="208" t="str">
        <f ca="1">IF(OR(R80=0,R80=""),"Linha",IF(AND(OR(ACOMPANHAMENTO="PLE",$Q80&lt;&gt;2),$E81=0),"Linha",1-SUM(T80:AF80)))</f>
        <v>Linha</v>
      </c>
      <c r="H80" s="209" t="str">
        <f ca="1">IF($E81=0,OFFSET(ORÇAMENTO!O$15,$E80,0),IF($E81&lt;&gt;-1,OFFSET(QCI!$D$13,$E81,0),""))</f>
        <v>1.22.</v>
      </c>
      <c r="I80" s="210" t="str">
        <f ca="1">IF($E81=0,OFFSET(ORÇAMENTO!R$15,$E80,0),IF($E81&lt;&gt;-1,OFFSET(QCI!$G$13,$E81,0),""))</f>
        <v>INSTALAÇÕES DE GÁS COMBUSTÍVEL</v>
      </c>
      <c r="J80" s="210"/>
      <c r="K80" s="210"/>
      <c r="L80" s="211">
        <f ca="1">IF($E81=0,OFFSET(ORÇAMENTO!C$15,$E80,0),1)</f>
        <v>2</v>
      </c>
      <c r="M80" s="212">
        <f ca="1">IF($E81=-1,0,IF(M$13&lt;=$L80,IF(ISERROR(MATCH(M$13,OFFSET($L80,1,0,ROW($L$89)-ROW($L80)-1),0)),ROW($L$89)-ROW($L80)-1,MATCH(M$13,OFFSET($L80,1,0,ROW($L$89)-ROW($L80)-1),0)-1),0))</f>
        <v>8</v>
      </c>
      <c r="N80" s="212">
        <f ca="1">IF($E81=-1,0,IF(N$13&lt;=$L80,IF(ISERROR(MATCH(N$13,OFFSET($L80,1,0,ROW($L$89)-ROW($L80)-1),0)),ROW($L$89)-ROW($L80)-1,MATCH(N$13,OFFSET($L80,1,0,ROW($L$89)-ROW($L80)-1),0)-1),0))</f>
        <v>2</v>
      </c>
      <c r="O80" s="212">
        <f ca="1">IF($E81=-1,0,IF(O$13&lt;=$L80,IF(ISERROR(MATCH(O$13,OFFSET($L80,1,0,ROW($L$89)-ROW($L80)-1),0)),ROW($L$89)-ROW($L80)-1,MATCH(O$13,OFFSET($L80,1,0,ROW($L$89)-ROW($L80)-1),0)-1),0))</f>
        <v>0</v>
      </c>
      <c r="P80" s="212">
        <f ca="1">IF($E81=-1,0,IF(P$13&lt;=$L80,IF(ISERROR(MATCH(P$13,OFFSET($L80,1,0,ROW($L$89)-ROW($L80)-1),0)),ROW($L$89)-ROW($L80)-1,MATCH(P$13,OFFSET($L80,1,0,ROW($L$89)-ROW($L80)-1),0)-1),0))</f>
        <v>0</v>
      </c>
      <c r="Q80" s="212">
        <f t="shared" ref="Q80" ca="1" si="159">MIN(OFFSET(L80,0,1,,L80))</f>
        <v>2</v>
      </c>
      <c r="R80" s="213">
        <f ca="1">IF($E81=0,OFFSET(ORÇAMENTO!X$15,$E80,0),IF($E81&lt;&gt;-1,OFFSET(QCI!$O$13,$E81,0),""))</f>
        <v>0</v>
      </c>
      <c r="S80" s="214" t="s">
        <v>270</v>
      </c>
      <c r="T80" s="215">
        <f t="shared" ref="T80:AE80" ca="1" si="160">IF(AND($Q80=2,ACOMPANHAMENTO="BM"),T81,T82/$R80)</f>
        <v>0</v>
      </c>
      <c r="U80" s="207">
        <f t="shared" ca="1" si="160"/>
        <v>0.15</v>
      </c>
      <c r="V80" s="207">
        <f t="shared" ca="1" si="160"/>
        <v>0.1</v>
      </c>
      <c r="W80" s="207">
        <f t="shared" ca="1" si="160"/>
        <v>0</v>
      </c>
      <c r="X80" s="207">
        <f t="shared" ca="1" si="160"/>
        <v>0</v>
      </c>
      <c r="Y80" s="207">
        <f t="shared" ca="1" si="160"/>
        <v>0</v>
      </c>
      <c r="Z80" s="207">
        <f t="shared" ca="1" si="160"/>
        <v>0.3</v>
      </c>
      <c r="AA80" s="207">
        <f t="shared" ca="1" si="160"/>
        <v>0.2</v>
      </c>
      <c r="AB80" s="207">
        <f t="shared" ca="1" si="160"/>
        <v>0.15</v>
      </c>
      <c r="AC80" s="207">
        <f t="shared" ca="1" si="160"/>
        <v>0.1</v>
      </c>
      <c r="AD80" s="207">
        <f t="shared" ca="1" si="160"/>
        <v>0</v>
      </c>
      <c r="AE80" s="216">
        <f t="shared" ca="1" si="160"/>
        <v>0</v>
      </c>
    </row>
    <row r="81" spans="1:32" ht="12.75" customHeight="1" x14ac:dyDescent="0.2">
      <c r="D81" s="569"/>
      <c r="E81" s="204">
        <f ca="1">IF(ISERROR(E80),IF(1+COUNTIF($L$13:OFFSET(L80,-1,0),1)&lt;=MAX(QCI!$D$13:$D$24),1+COUNTIF($L$13:OFFSET(L80,-1,0),1),-1),0)</f>
        <v>0</v>
      </c>
      <c r="F81" s="204" t="str">
        <f t="shared" ref="F81" ca="1" si="161">IF(AND($E81&lt;&gt;-1,$R80&gt;0),"F","")</f>
        <v/>
      </c>
      <c r="G81" s="217" t="str">
        <f ca="1">IF(OR(R80=0,R80=""),"vazia",IF(AND(OR(ACOMPANHAMENTO="PLE",$Q80&lt;&gt;2),$E81=0),"calculada","--&gt;"))</f>
        <v>vazia</v>
      </c>
      <c r="H81" s="218"/>
      <c r="I81" s="219" t="str">
        <f t="shared" ref="I81" ca="1" si="162">IF(AND(G80&lt;&gt;0,ISNUMBER(G80)),"PREENCHA ESTA LINHA --&gt;","")</f>
        <v/>
      </c>
      <c r="J81" s="219"/>
      <c r="K81" s="219"/>
      <c r="L81" s="220"/>
      <c r="M81" s="220"/>
      <c r="N81" s="220"/>
      <c r="O81" s="220"/>
      <c r="P81" s="220"/>
      <c r="Q81" s="220"/>
      <c r="R81" s="221"/>
      <c r="S81" s="222"/>
      <c r="T81" s="570"/>
      <c r="U81" s="569">
        <v>0.15</v>
      </c>
      <c r="V81" s="569">
        <v>0.1</v>
      </c>
      <c r="W81" s="569"/>
      <c r="X81" s="569"/>
      <c r="Y81" s="569"/>
      <c r="Z81" s="569">
        <v>0.3</v>
      </c>
      <c r="AA81" s="569">
        <v>0.2</v>
      </c>
      <c r="AB81" s="569">
        <v>0.15</v>
      </c>
      <c r="AC81" s="569">
        <v>0.1</v>
      </c>
      <c r="AD81" s="569"/>
      <c r="AE81" s="571"/>
      <c r="AF81" s="533"/>
    </row>
    <row r="82" spans="1:32" ht="0.2" hidden="1" customHeight="1" x14ac:dyDescent="0.2">
      <c r="D82" s="223">
        <f ca="1">IF($Q80=2,IF(AND(ACOMPANHAMENTO="PLE",ISNUMBER($E80)),SUMIF((OFFSET(CÁLCULO!$AM$15:$AW$15,$E80,0,OFFSET(ORÇAMENTO!$D$15,CRONO!$E80,0))),"="&amp;CRONO!D$12,OFFSET(CÁLCULO!$AB$15:$AL$15,$E80,0,OFFSET(ORÇAMENTO!$D$15,CRONO!$E80,0)))+IF(AND($E82&lt;&gt;"",$E82&lt;&gt;0),SUMIF(CÁLCULO!$AM$15:$AW$747,"="&amp;CRONO!D$12,CÁLCULO!$AB$15:$AL$747)/(ORÇAMENTO!$X$15-CÁLCULO.TotalAdmLocal)*CRONO!$E82,0),D81*$R80),SUMIF(OFFSET($R82,1,0,$Q80-2),($L80+1)&amp;"$",OFFSET(D82,1,0,$Q80-2)))</f>
        <v>0</v>
      </c>
      <c r="E82" s="204" t="str">
        <f ca="1">IF(OR($Q80&lt;&gt;2,AUTOEVENTO&lt;&gt;"manual",$E81&gt;0),"",SUMIF(OFFSET(CÁLCULO!$M$15,CRONO!$E80,0,OFFSET(ORÇAMENTO!$D$15,CRONO!$E80,0)),1,OFFSET(ORÇAMENTO!$X$15,CRONO!$E80,0,OFFSET(ORÇAMENTO!$D$15,CRONO!$E80,0))))</f>
        <v/>
      </c>
      <c r="G82" s="224"/>
      <c r="R82" s="225" t="str">
        <f t="shared" ref="R82" ca="1" si="163">L80&amp;"$"</f>
        <v>2$</v>
      </c>
      <c r="S82" s="226"/>
      <c r="T82" s="227">
        <f ca="1">IF($Q80=2,IF(AND(ACOMPANHAMENTO="PLE",ISNUMBER($E80)),SUMIF((OFFSET(CÁLCULO!$AM$15:$AW$15,$E80,0,OFFSET(ORÇAMENTO!$D$15,CRONO!$E80,0))),"&lt;="&amp;CRONO!T$12,OFFSET(CÁLCULO!$AB$15:$AL$15,$E80,0,OFFSET(ORÇAMENTO!$D$15,CRONO!$E80,0)))+IF(AND($E82&lt;&gt;"",$E82&lt;&gt;0),SUMIF(CÁLCULO!$AM$15:$AW$747,"&lt;="&amp;CRONO!T$12,CÁLCULO!$AB$15:$AL$747)/(ORÇAMENTO!$X$15-CÁLCULO.TotalAdmLocal)*CRONO!$E82,0),T81*$R80),SUMIF(OFFSET($R82,1,0,$Q80-2),($L80+1)&amp;"$",OFFSET(T82,1,0,$Q80-2)))</f>
        <v>0</v>
      </c>
      <c r="U82" s="223">
        <f ca="1">IF($Q80=2,IF(AND(ACOMPANHAMENTO="PLE",ISNUMBER($E80)),SUMIF((OFFSET(CÁLCULO!$AM$15:$AW$15,$E80,0,OFFSET(ORÇAMENTO!$D$15,CRONO!$E80,0))),"="&amp;CRONO!U$12,OFFSET(CÁLCULO!$AB$15:$AL$15,$E80,0,OFFSET(ORÇAMENTO!$D$15,CRONO!$E80,0)))+IF(AND($E82&lt;&gt;"",$E82&lt;&gt;0),SUMIF(CÁLCULO!$AM$15:$AW$747,"="&amp;CRONO!U$12,CÁLCULO!$AB$15:$AL$747)/(ORÇAMENTO!$X$15-CÁLCULO.TotalAdmLocal)*CRONO!$E82,0),U81*$R80),SUMIF(OFFSET($R82,1,0,$Q80-2),($L80+1)&amp;"$",OFFSET(U82,1,0,$Q80-2)))</f>
        <v>0</v>
      </c>
      <c r="V82" s="223">
        <f ca="1">IF($Q80=2,IF(AND(ACOMPANHAMENTO="PLE",ISNUMBER($E80)),SUMIF((OFFSET(CÁLCULO!$AM$15:$AW$15,$E80,0,OFFSET(ORÇAMENTO!$D$15,CRONO!$E80,0))),"="&amp;CRONO!V$12,OFFSET(CÁLCULO!$AB$15:$AL$15,$E80,0,OFFSET(ORÇAMENTO!$D$15,CRONO!$E80,0)))+IF(AND($E82&lt;&gt;"",$E82&lt;&gt;0),SUMIF(CÁLCULO!$AM$15:$AW$747,"="&amp;CRONO!V$12,CÁLCULO!$AB$15:$AL$747)/(ORÇAMENTO!$X$15-CÁLCULO.TotalAdmLocal)*CRONO!$E82,0),V81*$R80),SUMIF(OFFSET($R82,1,0,$Q80-2),($L80+1)&amp;"$",OFFSET(V82,1,0,$Q80-2)))</f>
        <v>0</v>
      </c>
      <c r="W82" s="223">
        <f ca="1">IF($Q80=2,IF(AND(ACOMPANHAMENTO="PLE",ISNUMBER($E80)),SUMIF((OFFSET(CÁLCULO!$AM$15:$AW$15,$E80,0,OFFSET(ORÇAMENTO!$D$15,CRONO!$E80,0))),"="&amp;CRONO!W$12,OFFSET(CÁLCULO!$AB$15:$AL$15,$E80,0,OFFSET(ORÇAMENTO!$D$15,CRONO!$E80,0)))+IF(AND($E82&lt;&gt;"",$E82&lt;&gt;0),SUMIF(CÁLCULO!$AM$15:$AW$747,"="&amp;CRONO!W$12,CÁLCULO!$AB$15:$AL$747)/(ORÇAMENTO!$X$15-CÁLCULO.TotalAdmLocal)*CRONO!$E82,0),W81*$R80),SUMIF(OFFSET($R82,1,0,$Q80-2),($L80+1)&amp;"$",OFFSET(W82,1,0,$Q80-2)))</f>
        <v>0</v>
      </c>
      <c r="X82" s="223">
        <f ca="1">IF($Q80=2,IF(AND(ACOMPANHAMENTO="PLE",ISNUMBER($E80)),SUMIF((OFFSET(CÁLCULO!$AM$15:$AW$15,$E80,0,OFFSET(ORÇAMENTO!$D$15,CRONO!$E80,0))),"="&amp;CRONO!X$12,OFFSET(CÁLCULO!$AB$15:$AL$15,$E80,0,OFFSET(ORÇAMENTO!$D$15,CRONO!$E80,0)))+IF(AND($E82&lt;&gt;"",$E82&lt;&gt;0),SUMIF(CÁLCULO!$AM$15:$AW$747,"="&amp;CRONO!X$12,CÁLCULO!$AB$15:$AL$747)/(ORÇAMENTO!$X$15-CÁLCULO.TotalAdmLocal)*CRONO!$E82,0),X81*$R80),SUMIF(OFFSET($R82,1,0,$Q80-2),($L80+1)&amp;"$",OFFSET(X82,1,0,$Q80-2)))</f>
        <v>0</v>
      </c>
      <c r="Y82" s="223">
        <f ca="1">IF($Q80=2,IF(AND(ACOMPANHAMENTO="PLE",ISNUMBER($E80)),SUMIF((OFFSET(CÁLCULO!$AM$15:$AW$15,$E80,0,OFFSET(ORÇAMENTO!$D$15,CRONO!$E80,0))),"="&amp;CRONO!Y$12,OFFSET(CÁLCULO!$AB$15:$AL$15,$E80,0,OFFSET(ORÇAMENTO!$D$15,CRONO!$E80,0)))+IF(AND($E82&lt;&gt;"",$E82&lt;&gt;0),SUMIF(CÁLCULO!$AM$15:$AW$747,"="&amp;CRONO!Y$12,CÁLCULO!$AB$15:$AL$747)/(ORÇAMENTO!$X$15-CÁLCULO.TotalAdmLocal)*CRONO!$E82,0),Y81*$R80),SUMIF(OFFSET($R82,1,0,$Q80-2),($L80+1)&amp;"$",OFFSET(Y82,1,0,$Q80-2)))</f>
        <v>0</v>
      </c>
      <c r="Z82" s="223">
        <f ca="1">IF($Q80=2,IF(AND(ACOMPANHAMENTO="PLE",ISNUMBER($E80)),SUMIF((OFFSET(CÁLCULO!$AM$15:$AW$15,$E80,0,OFFSET(ORÇAMENTO!$D$15,CRONO!$E80,0))),"="&amp;CRONO!Z$12,OFFSET(CÁLCULO!$AB$15:$AL$15,$E80,0,OFFSET(ORÇAMENTO!$D$15,CRONO!$E80,0)))+IF(AND($E82&lt;&gt;"",$E82&lt;&gt;0),SUMIF(CÁLCULO!$AM$15:$AW$747,"="&amp;CRONO!Z$12,CÁLCULO!$AB$15:$AL$747)/(ORÇAMENTO!$X$15-CÁLCULO.TotalAdmLocal)*CRONO!$E82,0),Z81*$R80),SUMIF(OFFSET($R82,1,0,$Q80-2),($L80+1)&amp;"$",OFFSET(Z82,1,0,$Q80-2)))</f>
        <v>0</v>
      </c>
      <c r="AA82" s="223">
        <f ca="1">IF($Q80=2,IF(AND(ACOMPANHAMENTO="PLE",ISNUMBER($E80)),SUMIF((OFFSET(CÁLCULO!$AM$15:$AW$15,$E80,0,OFFSET(ORÇAMENTO!$D$15,CRONO!$E80,0))),"="&amp;CRONO!AA$12,OFFSET(CÁLCULO!$AB$15:$AL$15,$E80,0,OFFSET(ORÇAMENTO!$D$15,CRONO!$E80,0)))+IF(AND($E82&lt;&gt;"",$E82&lt;&gt;0),SUMIF(CÁLCULO!$AM$15:$AW$747,"="&amp;CRONO!AA$12,CÁLCULO!$AB$15:$AL$747)/(ORÇAMENTO!$X$15-CÁLCULO.TotalAdmLocal)*CRONO!$E82,0),AA81*$R80),SUMIF(OFFSET($R82,1,0,$Q80-2),($L80+1)&amp;"$",OFFSET(AA82,1,0,$Q80-2)))</f>
        <v>0</v>
      </c>
      <c r="AB82" s="223">
        <f ca="1">IF($Q80=2,IF(AND(ACOMPANHAMENTO="PLE",ISNUMBER($E80)),SUMIF((OFFSET(CÁLCULO!$AM$15:$AW$15,$E80,0,OFFSET(ORÇAMENTO!$D$15,CRONO!$E80,0))),"="&amp;CRONO!AB$12,OFFSET(CÁLCULO!$AB$15:$AL$15,$E80,0,OFFSET(ORÇAMENTO!$D$15,CRONO!$E80,0)))+IF(AND($E82&lt;&gt;"",$E82&lt;&gt;0),SUMIF(CÁLCULO!$AM$15:$AW$747,"="&amp;CRONO!AB$12,CÁLCULO!$AB$15:$AL$747)/(ORÇAMENTO!$X$15-CÁLCULO.TotalAdmLocal)*CRONO!$E82,0),AB81*$R80),SUMIF(OFFSET($R82,1,0,$Q80-2),($L80+1)&amp;"$",OFFSET(AB82,1,0,$Q80-2)))</f>
        <v>0</v>
      </c>
      <c r="AC82" s="223">
        <f ca="1">IF($Q80=2,IF(AND(ACOMPANHAMENTO="PLE",ISNUMBER($E80)),SUMIF((OFFSET(CÁLCULO!$AM$15:$AW$15,$E80,0,OFFSET(ORÇAMENTO!$D$15,CRONO!$E80,0))),"="&amp;CRONO!AC$12,OFFSET(CÁLCULO!$AB$15:$AL$15,$E80,0,OFFSET(ORÇAMENTO!$D$15,CRONO!$E80,0)))+IF(AND($E82&lt;&gt;"",$E82&lt;&gt;0),SUMIF(CÁLCULO!$AM$15:$AW$747,"="&amp;CRONO!AC$12,CÁLCULO!$AB$15:$AL$747)/(ORÇAMENTO!$X$15-CÁLCULO.TotalAdmLocal)*CRONO!$E82,0),AC81*$R80),SUMIF(OFFSET($R82,1,0,$Q80-2),($L80+1)&amp;"$",OFFSET(AC82,1,0,$Q80-2)))</f>
        <v>0</v>
      </c>
      <c r="AD82" s="223">
        <f ca="1">IF($Q80=2,IF(AND(ACOMPANHAMENTO="PLE",ISNUMBER($E80)),SUMIF((OFFSET(CÁLCULO!$AM$15:$AW$15,$E80,0,OFFSET(ORÇAMENTO!$D$15,CRONO!$E80,0))),"="&amp;CRONO!AD$12,OFFSET(CÁLCULO!$AB$15:$AL$15,$E80,0,OFFSET(ORÇAMENTO!$D$15,CRONO!$E80,0)))+IF(AND($E82&lt;&gt;"",$E82&lt;&gt;0),SUMIF(CÁLCULO!$AM$15:$AW$747,"="&amp;CRONO!AD$12,CÁLCULO!$AB$15:$AL$747)/(ORÇAMENTO!$X$15-CÁLCULO.TotalAdmLocal)*CRONO!$E82,0),AD81*$R80),SUMIF(OFFSET($R82,1,0,$Q80-2),($L80+1)&amp;"$",OFFSET(AD82,1,0,$Q80-2)))</f>
        <v>0</v>
      </c>
      <c r="AE82" s="228">
        <f ca="1">IF($Q80=2,IF(AND(ACOMPANHAMENTO="PLE",ISNUMBER($E80)),SUMIF((OFFSET(CÁLCULO!$AM$15:$AW$15,$E80,0,OFFSET(ORÇAMENTO!$D$15,CRONO!$E80,0))),"="&amp;CRONO!AE$12,OFFSET(CÁLCULO!$AB$15:$AL$15,$E80,0,OFFSET(ORÇAMENTO!$D$15,CRONO!$E80,0)))+IF(AND($E82&lt;&gt;"",$E82&lt;&gt;0),SUMIF(CÁLCULO!$AM$15:$AW$747,"="&amp;CRONO!AE$12,CÁLCULO!$AB$15:$AL$747)/(ORÇAMENTO!$X$15-CÁLCULO.TotalAdmLocal)*CRONO!$E82,0),AE81*$R80),SUMIF(OFFSET($R82,1,0,$Q80-2),($L80+1)&amp;"$",OFFSET(AE82,1,0,$Q80-2)))</f>
        <v>0</v>
      </c>
    </row>
    <row r="83" spans="1:32" x14ac:dyDescent="0.2">
      <c r="A83" s="204">
        <f t="shared" ref="A83" ca="1" si="164">OFFSET(A83,-3,0)+1</f>
        <v>24</v>
      </c>
      <c r="B83" s="204">
        <f ca="1">IF($Q83&lt;&gt;2,0,IF($R83=0,1,IF(E84&gt;0,OFFSET(QCI!$M$13,SUBSTITUTE(E84,".",""),0),OFFSET(ORÇAMENTO!$AA$15,CRONO!$E83,0))/$R83))</f>
        <v>1</v>
      </c>
      <c r="C83" s="204">
        <f ca="1">IF($Q83&lt;&gt;2,0,IF($R83=0,1,IF(E84&gt;0,OFFSET(QCI!$N$13,SUBSTITUTE(E84,".",""),0),OFFSET(ORÇAMENTO!$AB$15,CRONO!$E83,0))/$R83))</f>
        <v>1</v>
      </c>
      <c r="D83" s="207">
        <f ca="1">IF(AND($Q83=2,ACOMPANHAMENTO="BM"),D84,D85/$R83)</f>
        <v>0</v>
      </c>
      <c r="E83" s="204">
        <f ca="1">IF(A83&lt;=ORÇAMENTO.MáximoListaCrono,MATCH(A83,ORÇAMENTO.ListaCrono,0),NA())</f>
        <v>667</v>
      </c>
      <c r="F83" s="204" t="str">
        <f t="shared" ref="F83" ca="1" si="165">IF(AND($E84&lt;&gt;-1,$R83&gt;0),"F","")</f>
        <v/>
      </c>
      <c r="G83" s="208" t="str">
        <f ca="1">IF(OR(R83=0,R83=""),"Linha",IF(AND(OR(ACOMPANHAMENTO="PLE",$Q83&lt;&gt;2),$E84=0),"Linha",1-SUM(T83:AF83)))</f>
        <v>Linha</v>
      </c>
      <c r="H83" s="209" t="str">
        <f ca="1">IF($E84=0,OFFSET(ORÇAMENTO!O$15,$E83,0),IF($E84&lt;&gt;-1,OFFSET(QCI!$D$13,$E84,0),""))</f>
        <v>1.23.</v>
      </c>
      <c r="I83" s="210" t="str">
        <f ca="1">IF($E84=0,OFFSET(ORÇAMENTO!R$15,$E83,0),IF($E84&lt;&gt;-1,OFFSET(QCI!$G$13,$E84,0),""))</f>
        <v>SERVIÇOS COMPLEMENTARES</v>
      </c>
      <c r="J83" s="210"/>
      <c r="K83" s="210"/>
      <c r="L83" s="211">
        <f ca="1">IF($E84=0,OFFSET(ORÇAMENTO!C$15,$E83,0),1)</f>
        <v>2</v>
      </c>
      <c r="M83" s="212">
        <f ca="1">IF($E84=-1,0,IF(M$13&lt;=$L83,IF(ISERROR(MATCH(M$13,OFFSET($L83,1,0,ROW($L$89)-ROW($L83)-1),0)),ROW($L$89)-ROW($L83)-1,MATCH(M$13,OFFSET($L83,1,0,ROW($L$89)-ROW($L83)-1),0)-1),0))</f>
        <v>5</v>
      </c>
      <c r="N83" s="212">
        <f ca="1">IF($E84=-1,0,IF(N$13&lt;=$L83,IF(ISERROR(MATCH(N$13,OFFSET($L83,1,0,ROW($L$89)-ROW($L83)-1),0)),ROW($L$89)-ROW($L83)-1,MATCH(N$13,OFFSET($L83,1,0,ROW($L$89)-ROW($L83)-1),0)-1),0))</f>
        <v>2</v>
      </c>
      <c r="O83" s="212">
        <f ca="1">IF($E84=-1,0,IF(O$13&lt;=$L83,IF(ISERROR(MATCH(O$13,OFFSET($L83,1,0,ROW($L$89)-ROW($L83)-1),0)),ROW($L$89)-ROW($L83)-1,MATCH(O$13,OFFSET($L83,1,0,ROW($L$89)-ROW($L83)-1),0)-1),0))</f>
        <v>0</v>
      </c>
      <c r="P83" s="212">
        <f ca="1">IF($E84=-1,0,IF(P$13&lt;=$L83,IF(ISERROR(MATCH(P$13,OFFSET($L83,1,0,ROW($L$89)-ROW($L83)-1),0)),ROW($L$89)-ROW($L83)-1,MATCH(P$13,OFFSET($L83,1,0,ROW($L$89)-ROW($L83)-1),0)-1),0))</f>
        <v>0</v>
      </c>
      <c r="Q83" s="212">
        <f t="shared" ref="Q83" ca="1" si="166">MIN(OFFSET(L83,0,1,,L83))</f>
        <v>2</v>
      </c>
      <c r="R83" s="213">
        <f ca="1">IF($E84=0,OFFSET(ORÇAMENTO!X$15,$E83,0),IF($E84&lt;&gt;-1,OFFSET(QCI!$O$13,$E84,0),""))</f>
        <v>0</v>
      </c>
      <c r="S83" s="214" t="s">
        <v>270</v>
      </c>
      <c r="T83" s="215">
        <f t="shared" ref="T83:AE83" ca="1" si="167">IF(AND($Q83=2,ACOMPANHAMENTO="BM"),T84,T85/$R83)</f>
        <v>0.15</v>
      </c>
      <c r="U83" s="207">
        <f t="shared" ca="1" si="167"/>
        <v>0.25</v>
      </c>
      <c r="V83" s="207">
        <f t="shared" ca="1" si="167"/>
        <v>0</v>
      </c>
      <c r="W83" s="207">
        <f t="shared" ca="1" si="167"/>
        <v>0</v>
      </c>
      <c r="X83" s="207">
        <f t="shared" ca="1" si="167"/>
        <v>0</v>
      </c>
      <c r="Y83" s="207">
        <f t="shared" ca="1" si="167"/>
        <v>0</v>
      </c>
      <c r="Z83" s="207">
        <f t="shared" ca="1" si="167"/>
        <v>0</v>
      </c>
      <c r="AA83" s="207">
        <f t="shared" ca="1" si="167"/>
        <v>0.15</v>
      </c>
      <c r="AB83" s="207">
        <f t="shared" ca="1" si="167"/>
        <v>0.3</v>
      </c>
      <c r="AC83" s="207">
        <f t="shared" ca="1" si="167"/>
        <v>0.15</v>
      </c>
      <c r="AD83" s="207">
        <f t="shared" ca="1" si="167"/>
        <v>0</v>
      </c>
      <c r="AE83" s="216">
        <f t="shared" ca="1" si="167"/>
        <v>0</v>
      </c>
    </row>
    <row r="84" spans="1:32" ht="12.75" customHeight="1" x14ac:dyDescent="0.2">
      <c r="D84" s="569"/>
      <c r="E84" s="204">
        <f ca="1">IF(ISERROR(E83),IF(1+COUNTIF($L$13:OFFSET(L83,-1,0),1)&lt;=MAX(QCI!$D$13:$D$24),1+COUNTIF($L$13:OFFSET(L83,-1,0),1),-1),0)</f>
        <v>0</v>
      </c>
      <c r="F84" s="204" t="str">
        <f t="shared" ref="F84" ca="1" si="168">IF(AND($E84&lt;&gt;-1,$R83&gt;0),"F","")</f>
        <v/>
      </c>
      <c r="G84" s="217" t="str">
        <f ca="1">IF(OR(R83=0,R83=""),"vazia",IF(AND(OR(ACOMPANHAMENTO="PLE",$Q83&lt;&gt;2),$E84=0),"calculada","--&gt;"))</f>
        <v>vazia</v>
      </c>
      <c r="H84" s="218"/>
      <c r="I84" s="219" t="str">
        <f t="shared" ref="I84" ca="1" si="169">IF(AND(G83&lt;&gt;0,ISNUMBER(G83)),"PREENCHA ESTA LINHA --&gt;","")</f>
        <v/>
      </c>
      <c r="J84" s="219"/>
      <c r="K84" s="219"/>
      <c r="L84" s="220"/>
      <c r="M84" s="220"/>
      <c r="N84" s="220"/>
      <c r="O84" s="220"/>
      <c r="P84" s="220"/>
      <c r="Q84" s="220"/>
      <c r="R84" s="221"/>
      <c r="S84" s="222"/>
      <c r="T84" s="570">
        <v>0.15</v>
      </c>
      <c r="U84" s="569">
        <v>0.25</v>
      </c>
      <c r="V84" s="569"/>
      <c r="W84" s="569"/>
      <c r="X84" s="569"/>
      <c r="Y84" s="569"/>
      <c r="Z84" s="569"/>
      <c r="AA84" s="569">
        <v>0.15</v>
      </c>
      <c r="AB84" s="569">
        <v>0.3</v>
      </c>
      <c r="AC84" s="569">
        <v>0.15</v>
      </c>
      <c r="AD84" s="569"/>
      <c r="AE84" s="571"/>
      <c r="AF84" s="533"/>
    </row>
    <row r="85" spans="1:32" ht="0.2" hidden="1" customHeight="1" x14ac:dyDescent="0.2">
      <c r="D85" s="223">
        <f ca="1">IF($Q83=2,IF(AND(ACOMPANHAMENTO="PLE",ISNUMBER($E83)),SUMIF((OFFSET(CÁLCULO!$AM$15:$AW$15,$E83,0,OFFSET(ORÇAMENTO!$D$15,CRONO!$E83,0))),"="&amp;CRONO!D$12,OFFSET(CÁLCULO!$AB$15:$AL$15,$E83,0,OFFSET(ORÇAMENTO!$D$15,CRONO!$E83,0)))+IF(AND($E85&lt;&gt;"",$E85&lt;&gt;0),SUMIF(CÁLCULO!$AM$15:$AW$747,"="&amp;CRONO!D$12,CÁLCULO!$AB$15:$AL$747)/(ORÇAMENTO!$X$15-CÁLCULO.TotalAdmLocal)*CRONO!$E85,0),D84*$R83),SUMIF(OFFSET($R85,1,0,$Q83-2),($L83+1)&amp;"$",OFFSET(D85,1,0,$Q83-2)))</f>
        <v>0</v>
      </c>
      <c r="E85" s="204" t="str">
        <f ca="1">IF(OR($Q83&lt;&gt;2,AUTOEVENTO&lt;&gt;"manual",$E84&gt;0),"",SUMIF(OFFSET(CÁLCULO!$M$15,CRONO!$E83,0,OFFSET(ORÇAMENTO!$D$15,CRONO!$E83,0)),1,OFFSET(ORÇAMENTO!$X$15,CRONO!$E83,0,OFFSET(ORÇAMENTO!$D$15,CRONO!$E83,0))))</f>
        <v/>
      </c>
      <c r="G85" s="224"/>
      <c r="R85" s="225" t="str">
        <f t="shared" ref="R85" ca="1" si="170">L83&amp;"$"</f>
        <v>2$</v>
      </c>
      <c r="S85" s="226"/>
      <c r="T85" s="227">
        <f ca="1">IF($Q83=2,IF(AND(ACOMPANHAMENTO="PLE",ISNUMBER($E83)),SUMIF((OFFSET(CÁLCULO!$AM$15:$AW$15,$E83,0,OFFSET(ORÇAMENTO!$D$15,CRONO!$E83,0))),"&lt;="&amp;CRONO!T$12,OFFSET(CÁLCULO!$AB$15:$AL$15,$E83,0,OFFSET(ORÇAMENTO!$D$15,CRONO!$E83,0)))+IF(AND($E85&lt;&gt;"",$E85&lt;&gt;0),SUMIF(CÁLCULO!$AM$15:$AW$747,"&lt;="&amp;CRONO!T$12,CÁLCULO!$AB$15:$AL$747)/(ORÇAMENTO!$X$15-CÁLCULO.TotalAdmLocal)*CRONO!$E85,0),T84*$R83),SUMIF(OFFSET($R85,1,0,$Q83-2),($L83+1)&amp;"$",OFFSET(T85,1,0,$Q83-2)))</f>
        <v>0</v>
      </c>
      <c r="U85" s="223">
        <f ca="1">IF($Q83=2,IF(AND(ACOMPANHAMENTO="PLE",ISNUMBER($E83)),SUMIF((OFFSET(CÁLCULO!$AM$15:$AW$15,$E83,0,OFFSET(ORÇAMENTO!$D$15,CRONO!$E83,0))),"="&amp;CRONO!U$12,OFFSET(CÁLCULO!$AB$15:$AL$15,$E83,0,OFFSET(ORÇAMENTO!$D$15,CRONO!$E83,0)))+IF(AND($E85&lt;&gt;"",$E85&lt;&gt;0),SUMIF(CÁLCULO!$AM$15:$AW$747,"="&amp;CRONO!U$12,CÁLCULO!$AB$15:$AL$747)/(ORÇAMENTO!$X$15-CÁLCULO.TotalAdmLocal)*CRONO!$E85,0),U84*$R83),SUMIF(OFFSET($R85,1,0,$Q83-2),($L83+1)&amp;"$",OFFSET(U85,1,0,$Q83-2)))</f>
        <v>0</v>
      </c>
      <c r="V85" s="223">
        <f ca="1">IF($Q83=2,IF(AND(ACOMPANHAMENTO="PLE",ISNUMBER($E83)),SUMIF((OFFSET(CÁLCULO!$AM$15:$AW$15,$E83,0,OFFSET(ORÇAMENTO!$D$15,CRONO!$E83,0))),"="&amp;CRONO!V$12,OFFSET(CÁLCULO!$AB$15:$AL$15,$E83,0,OFFSET(ORÇAMENTO!$D$15,CRONO!$E83,0)))+IF(AND($E85&lt;&gt;"",$E85&lt;&gt;0),SUMIF(CÁLCULO!$AM$15:$AW$747,"="&amp;CRONO!V$12,CÁLCULO!$AB$15:$AL$747)/(ORÇAMENTO!$X$15-CÁLCULO.TotalAdmLocal)*CRONO!$E85,0),V84*$R83),SUMIF(OFFSET($R85,1,0,$Q83-2),($L83+1)&amp;"$",OFFSET(V85,1,0,$Q83-2)))</f>
        <v>0</v>
      </c>
      <c r="W85" s="223">
        <f ca="1">IF($Q83=2,IF(AND(ACOMPANHAMENTO="PLE",ISNUMBER($E83)),SUMIF((OFFSET(CÁLCULO!$AM$15:$AW$15,$E83,0,OFFSET(ORÇAMENTO!$D$15,CRONO!$E83,0))),"="&amp;CRONO!W$12,OFFSET(CÁLCULO!$AB$15:$AL$15,$E83,0,OFFSET(ORÇAMENTO!$D$15,CRONO!$E83,0)))+IF(AND($E85&lt;&gt;"",$E85&lt;&gt;0),SUMIF(CÁLCULO!$AM$15:$AW$747,"="&amp;CRONO!W$12,CÁLCULO!$AB$15:$AL$747)/(ORÇAMENTO!$X$15-CÁLCULO.TotalAdmLocal)*CRONO!$E85,0),W84*$R83),SUMIF(OFFSET($R85,1,0,$Q83-2),($L83+1)&amp;"$",OFFSET(W85,1,0,$Q83-2)))</f>
        <v>0</v>
      </c>
      <c r="X85" s="223">
        <f ca="1">IF($Q83=2,IF(AND(ACOMPANHAMENTO="PLE",ISNUMBER($E83)),SUMIF((OFFSET(CÁLCULO!$AM$15:$AW$15,$E83,0,OFFSET(ORÇAMENTO!$D$15,CRONO!$E83,0))),"="&amp;CRONO!X$12,OFFSET(CÁLCULO!$AB$15:$AL$15,$E83,0,OFFSET(ORÇAMENTO!$D$15,CRONO!$E83,0)))+IF(AND($E85&lt;&gt;"",$E85&lt;&gt;0),SUMIF(CÁLCULO!$AM$15:$AW$747,"="&amp;CRONO!X$12,CÁLCULO!$AB$15:$AL$747)/(ORÇAMENTO!$X$15-CÁLCULO.TotalAdmLocal)*CRONO!$E85,0),X84*$R83),SUMIF(OFFSET($R85,1,0,$Q83-2),($L83+1)&amp;"$",OFFSET(X85,1,0,$Q83-2)))</f>
        <v>0</v>
      </c>
      <c r="Y85" s="223">
        <f ca="1">IF($Q83=2,IF(AND(ACOMPANHAMENTO="PLE",ISNUMBER($E83)),SUMIF((OFFSET(CÁLCULO!$AM$15:$AW$15,$E83,0,OFFSET(ORÇAMENTO!$D$15,CRONO!$E83,0))),"="&amp;CRONO!Y$12,OFFSET(CÁLCULO!$AB$15:$AL$15,$E83,0,OFFSET(ORÇAMENTO!$D$15,CRONO!$E83,0)))+IF(AND($E85&lt;&gt;"",$E85&lt;&gt;0),SUMIF(CÁLCULO!$AM$15:$AW$747,"="&amp;CRONO!Y$12,CÁLCULO!$AB$15:$AL$747)/(ORÇAMENTO!$X$15-CÁLCULO.TotalAdmLocal)*CRONO!$E85,0),Y84*$R83),SUMIF(OFFSET($R85,1,0,$Q83-2),($L83+1)&amp;"$",OFFSET(Y85,1,0,$Q83-2)))</f>
        <v>0</v>
      </c>
      <c r="Z85" s="223">
        <f ca="1">IF($Q83=2,IF(AND(ACOMPANHAMENTO="PLE",ISNUMBER($E83)),SUMIF((OFFSET(CÁLCULO!$AM$15:$AW$15,$E83,0,OFFSET(ORÇAMENTO!$D$15,CRONO!$E83,0))),"="&amp;CRONO!Z$12,OFFSET(CÁLCULO!$AB$15:$AL$15,$E83,0,OFFSET(ORÇAMENTO!$D$15,CRONO!$E83,0)))+IF(AND($E85&lt;&gt;"",$E85&lt;&gt;0),SUMIF(CÁLCULO!$AM$15:$AW$747,"="&amp;CRONO!Z$12,CÁLCULO!$AB$15:$AL$747)/(ORÇAMENTO!$X$15-CÁLCULO.TotalAdmLocal)*CRONO!$E85,0),Z84*$R83),SUMIF(OFFSET($R85,1,0,$Q83-2),($L83+1)&amp;"$",OFFSET(Z85,1,0,$Q83-2)))</f>
        <v>0</v>
      </c>
      <c r="AA85" s="223">
        <f ca="1">IF($Q83=2,IF(AND(ACOMPANHAMENTO="PLE",ISNUMBER($E83)),SUMIF((OFFSET(CÁLCULO!$AM$15:$AW$15,$E83,0,OFFSET(ORÇAMENTO!$D$15,CRONO!$E83,0))),"="&amp;CRONO!AA$12,OFFSET(CÁLCULO!$AB$15:$AL$15,$E83,0,OFFSET(ORÇAMENTO!$D$15,CRONO!$E83,0)))+IF(AND($E85&lt;&gt;"",$E85&lt;&gt;0),SUMIF(CÁLCULO!$AM$15:$AW$747,"="&amp;CRONO!AA$12,CÁLCULO!$AB$15:$AL$747)/(ORÇAMENTO!$X$15-CÁLCULO.TotalAdmLocal)*CRONO!$E85,0),AA84*$R83),SUMIF(OFFSET($R85,1,0,$Q83-2),($L83+1)&amp;"$",OFFSET(AA85,1,0,$Q83-2)))</f>
        <v>0</v>
      </c>
      <c r="AB85" s="223">
        <f ca="1">IF($Q83=2,IF(AND(ACOMPANHAMENTO="PLE",ISNUMBER($E83)),SUMIF((OFFSET(CÁLCULO!$AM$15:$AW$15,$E83,0,OFFSET(ORÇAMENTO!$D$15,CRONO!$E83,0))),"="&amp;CRONO!AB$12,OFFSET(CÁLCULO!$AB$15:$AL$15,$E83,0,OFFSET(ORÇAMENTO!$D$15,CRONO!$E83,0)))+IF(AND($E85&lt;&gt;"",$E85&lt;&gt;0),SUMIF(CÁLCULO!$AM$15:$AW$747,"="&amp;CRONO!AB$12,CÁLCULO!$AB$15:$AL$747)/(ORÇAMENTO!$X$15-CÁLCULO.TotalAdmLocal)*CRONO!$E85,0),AB84*$R83),SUMIF(OFFSET($R85,1,0,$Q83-2),($L83+1)&amp;"$",OFFSET(AB85,1,0,$Q83-2)))</f>
        <v>0</v>
      </c>
      <c r="AC85" s="223">
        <f ca="1">IF($Q83=2,IF(AND(ACOMPANHAMENTO="PLE",ISNUMBER($E83)),SUMIF((OFFSET(CÁLCULO!$AM$15:$AW$15,$E83,0,OFFSET(ORÇAMENTO!$D$15,CRONO!$E83,0))),"="&amp;CRONO!AC$12,OFFSET(CÁLCULO!$AB$15:$AL$15,$E83,0,OFFSET(ORÇAMENTO!$D$15,CRONO!$E83,0)))+IF(AND($E85&lt;&gt;"",$E85&lt;&gt;0),SUMIF(CÁLCULO!$AM$15:$AW$747,"="&amp;CRONO!AC$12,CÁLCULO!$AB$15:$AL$747)/(ORÇAMENTO!$X$15-CÁLCULO.TotalAdmLocal)*CRONO!$E85,0),AC84*$R83),SUMIF(OFFSET($R85,1,0,$Q83-2),($L83+1)&amp;"$",OFFSET(AC85,1,0,$Q83-2)))</f>
        <v>0</v>
      </c>
      <c r="AD85" s="223">
        <f ca="1">IF($Q83=2,IF(AND(ACOMPANHAMENTO="PLE",ISNUMBER($E83)),SUMIF((OFFSET(CÁLCULO!$AM$15:$AW$15,$E83,0,OFFSET(ORÇAMENTO!$D$15,CRONO!$E83,0))),"="&amp;CRONO!AD$12,OFFSET(CÁLCULO!$AB$15:$AL$15,$E83,0,OFFSET(ORÇAMENTO!$D$15,CRONO!$E83,0)))+IF(AND($E85&lt;&gt;"",$E85&lt;&gt;0),SUMIF(CÁLCULO!$AM$15:$AW$747,"="&amp;CRONO!AD$12,CÁLCULO!$AB$15:$AL$747)/(ORÇAMENTO!$X$15-CÁLCULO.TotalAdmLocal)*CRONO!$E85,0),AD84*$R83),SUMIF(OFFSET($R85,1,0,$Q83-2),($L83+1)&amp;"$",OFFSET(AD85,1,0,$Q83-2)))</f>
        <v>0</v>
      </c>
      <c r="AE85" s="228">
        <f ca="1">IF($Q83=2,IF(AND(ACOMPANHAMENTO="PLE",ISNUMBER($E83)),SUMIF((OFFSET(CÁLCULO!$AM$15:$AW$15,$E83,0,OFFSET(ORÇAMENTO!$D$15,CRONO!$E83,0))),"="&amp;CRONO!AE$12,OFFSET(CÁLCULO!$AB$15:$AL$15,$E83,0,OFFSET(ORÇAMENTO!$D$15,CRONO!$E83,0)))+IF(AND($E85&lt;&gt;"",$E85&lt;&gt;0),SUMIF(CÁLCULO!$AM$15:$AW$747,"="&amp;CRONO!AE$12,CÁLCULO!$AB$15:$AL$747)/(ORÇAMENTO!$X$15-CÁLCULO.TotalAdmLocal)*CRONO!$E85,0),AE84*$R83),SUMIF(OFFSET($R85,1,0,$Q83-2),($L83+1)&amp;"$",OFFSET(AE85,1,0,$Q83-2)))</f>
        <v>0</v>
      </c>
    </row>
    <row r="86" spans="1:32" x14ac:dyDescent="0.2">
      <c r="A86" s="204">
        <f t="shared" ref="A86" ca="1" si="171">OFFSET(A86,-3,0)+1</f>
        <v>25</v>
      </c>
      <c r="B86" s="204">
        <f ca="1">IF($Q86&lt;&gt;2,0,IF($R86=0,1,IF(E87&gt;0,OFFSET(QCI!$M$13,SUBSTITUTE(E87,".",""),0),OFFSET(ORÇAMENTO!$AA$15,CRONO!$E86,0))/$R86))</f>
        <v>1</v>
      </c>
      <c r="C86" s="204">
        <f ca="1">IF($Q86&lt;&gt;2,0,IF($R86=0,1,IF(E87&gt;0,OFFSET(QCI!$N$13,SUBSTITUTE(E87,".",""),0),OFFSET(ORÇAMENTO!$AB$15,CRONO!$E86,0))/$R86))</f>
        <v>1</v>
      </c>
      <c r="D86" s="207">
        <f ca="1">IF(AND($Q86=2,ACOMPANHAMENTO="BM"),D87,D88/$R86)</f>
        <v>0</v>
      </c>
      <c r="E86" s="204">
        <f ca="1">IF(A86&lt;=ORÇAMENTO.MáximoListaCrono,MATCH(A86,ORÇAMENTO.ListaCrono,0),NA())</f>
        <v>679</v>
      </c>
      <c r="F86" s="204" t="str">
        <f t="shared" ref="F86" ca="1" si="172">IF(AND($E87&lt;&gt;-1,$R86&gt;0),"F","")</f>
        <v/>
      </c>
      <c r="G86" s="208" t="str">
        <f ca="1">IF(OR(R86=0,R86=""),"Linha",IF(AND(OR(ACOMPANHAMENTO="PLE",$Q86&lt;&gt;2),$E87=0),"Linha",1-SUM(T86:AF86)))</f>
        <v>Linha</v>
      </c>
      <c r="H86" s="209" t="str">
        <f ca="1">IF($E87=0,OFFSET(ORÇAMENTO!O$15,$E86,0),IF($E87&lt;&gt;-1,OFFSET(QCI!$D$13,$E87,0),""))</f>
        <v>1.24.</v>
      </c>
      <c r="I86" s="210" t="str">
        <f ca="1">IF($E87=0,OFFSET(ORÇAMENTO!R$15,$E86,0),IF($E87&lt;&gt;-1,OFFSET(QCI!$G$13,$E87,0),""))</f>
        <v>FECHAMENTO - MURO</v>
      </c>
      <c r="J86" s="210"/>
      <c r="K86" s="210"/>
      <c r="L86" s="211">
        <f ca="1">IF($E87=0,OFFSET(ORÇAMENTO!C$15,$E86,0),1)</f>
        <v>2</v>
      </c>
      <c r="M86" s="212">
        <f ca="1">IF($E87=-1,0,IF(M$13&lt;=$L86,IF(ISERROR(MATCH(M$13,OFFSET($L86,1,0,ROW($L$89)-ROW($L86)-1),0)),ROW($L$89)-ROW($L86)-1,MATCH(M$13,OFFSET($L86,1,0,ROW($L$89)-ROW($L86)-1),0)-1),0))</f>
        <v>2</v>
      </c>
      <c r="N86" s="212">
        <f ca="1">IF($E87=-1,0,IF(N$13&lt;=$L86,IF(ISERROR(MATCH(N$13,OFFSET($L86,1,0,ROW($L$89)-ROW($L86)-1),0)),ROW($L$89)-ROW($L86)-1,MATCH(N$13,OFFSET($L86,1,0,ROW($L$89)-ROW($L86)-1),0)-1),0))</f>
        <v>2</v>
      </c>
      <c r="O86" s="212">
        <f ca="1">IF($E87=-1,0,IF(O$13&lt;=$L86,IF(ISERROR(MATCH(O$13,OFFSET($L86,1,0,ROW($L$89)-ROW($L86)-1),0)),ROW($L$89)-ROW($L86)-1,MATCH(O$13,OFFSET($L86,1,0,ROW($L$89)-ROW($L86)-1),0)-1),0))</f>
        <v>0</v>
      </c>
      <c r="P86" s="212">
        <f ca="1">IF($E87=-1,0,IF(P$13&lt;=$L86,IF(ISERROR(MATCH(P$13,OFFSET($L86,1,0,ROW($L$89)-ROW($L86)-1),0)),ROW($L$89)-ROW($L86)-1,MATCH(P$13,OFFSET($L86,1,0,ROW($L$89)-ROW($L86)-1),0)-1),0))</f>
        <v>0</v>
      </c>
      <c r="Q86" s="212">
        <f t="shared" ref="Q86" ca="1" si="173">MIN(OFFSET(L86,0,1,,L86))</f>
        <v>2</v>
      </c>
      <c r="R86" s="213">
        <f ca="1">IF($E87=0,OFFSET(ORÇAMENTO!X$15,$E86,0),IF($E87&lt;&gt;-1,OFFSET(QCI!$O$13,$E87,0),""))</f>
        <v>0</v>
      </c>
      <c r="S86" s="214" t="s">
        <v>270</v>
      </c>
      <c r="T86" s="215">
        <f t="shared" ref="T86:AE86" ca="1" si="174">IF(AND($Q86=2,ACOMPANHAMENTO="BM"),T87,T88/$R86)</f>
        <v>0</v>
      </c>
      <c r="U86" s="207">
        <f t="shared" ca="1" si="174"/>
        <v>0</v>
      </c>
      <c r="V86" s="207">
        <f t="shared" ca="1" si="174"/>
        <v>0</v>
      </c>
      <c r="W86" s="207">
        <f t="shared" ca="1" si="174"/>
        <v>0</v>
      </c>
      <c r="X86" s="207">
        <f t="shared" ca="1" si="174"/>
        <v>0</v>
      </c>
      <c r="Y86" s="207">
        <f t="shared" ca="1" si="174"/>
        <v>0</v>
      </c>
      <c r="Z86" s="207">
        <f t="shared" ca="1" si="174"/>
        <v>0</v>
      </c>
      <c r="AA86" s="207">
        <f t="shared" ca="1" si="174"/>
        <v>0</v>
      </c>
      <c r="AB86" s="207">
        <f t="shared" ca="1" si="174"/>
        <v>0.4</v>
      </c>
      <c r="AC86" s="207">
        <f t="shared" ca="1" si="174"/>
        <v>0.6</v>
      </c>
      <c r="AD86" s="207">
        <f t="shared" ca="1" si="174"/>
        <v>0</v>
      </c>
      <c r="AE86" s="216">
        <f t="shared" ca="1" si="174"/>
        <v>0</v>
      </c>
    </row>
    <row r="87" spans="1:32" ht="12.75" customHeight="1" x14ac:dyDescent="0.2">
      <c r="D87" s="569"/>
      <c r="E87" s="204">
        <f ca="1">IF(ISERROR(E86),IF(1+COUNTIF($L$13:OFFSET(L86,-1,0),1)&lt;=MAX(QCI!$D$13:$D$24),1+COUNTIF($L$13:OFFSET(L86,-1,0),1),-1),0)</f>
        <v>0</v>
      </c>
      <c r="F87" s="204" t="str">
        <f t="shared" ref="F87" ca="1" si="175">IF(AND($E87&lt;&gt;-1,$R86&gt;0),"F","")</f>
        <v/>
      </c>
      <c r="G87" s="217" t="str">
        <f ca="1">IF(OR(R86=0,R86=""),"vazia",IF(AND(OR(ACOMPANHAMENTO="PLE",$Q86&lt;&gt;2),$E87=0),"calculada","--&gt;"))</f>
        <v>vazia</v>
      </c>
      <c r="H87" s="218"/>
      <c r="I87" s="219" t="str">
        <f t="shared" ref="I87" ca="1" si="176">IF(AND(G86&lt;&gt;0,ISNUMBER(G86)),"PREENCHA ESTA LINHA --&gt;","")</f>
        <v/>
      </c>
      <c r="J87" s="219"/>
      <c r="K87" s="219"/>
      <c r="L87" s="220"/>
      <c r="M87" s="220"/>
      <c r="N87" s="220"/>
      <c r="O87" s="220"/>
      <c r="P87" s="220"/>
      <c r="Q87" s="220"/>
      <c r="R87" s="221"/>
      <c r="S87" s="222"/>
      <c r="T87" s="570"/>
      <c r="U87" s="569"/>
      <c r="V87" s="569"/>
      <c r="W87" s="569"/>
      <c r="X87" s="569"/>
      <c r="Y87" s="569"/>
      <c r="Z87" s="569"/>
      <c r="AA87" s="569"/>
      <c r="AB87" s="569">
        <v>0.4</v>
      </c>
      <c r="AC87" s="569">
        <v>0.6</v>
      </c>
      <c r="AD87" s="569"/>
      <c r="AE87" s="571"/>
      <c r="AF87" s="533"/>
    </row>
    <row r="88" spans="1:32" ht="0.2" hidden="1" customHeight="1" x14ac:dyDescent="0.2">
      <c r="D88" s="223">
        <f ca="1">IF($Q86=2,IF(AND(ACOMPANHAMENTO="PLE",ISNUMBER($E86)),SUMIF((OFFSET(CÁLCULO!$AM$15:$AW$15,$E86,0,OFFSET(ORÇAMENTO!$D$15,CRONO!$E86,0))),"="&amp;CRONO!D$12,OFFSET(CÁLCULO!$AB$15:$AL$15,$E86,0,OFFSET(ORÇAMENTO!$D$15,CRONO!$E86,0)))+IF(AND($E88&lt;&gt;"",$E88&lt;&gt;0),SUMIF(CÁLCULO!$AM$15:$AW$747,"="&amp;CRONO!D$12,CÁLCULO!$AB$15:$AL$747)/(ORÇAMENTO!$X$15-CÁLCULO.TotalAdmLocal)*CRONO!$E88,0),D87*$R86),SUMIF(OFFSET($R88,1,0,$Q86-2),($L86+1)&amp;"$",OFFSET(D88,1,0,$Q86-2)))</f>
        <v>0</v>
      </c>
      <c r="E88" s="204" t="str">
        <f ca="1">IF(OR($Q86&lt;&gt;2,AUTOEVENTO&lt;&gt;"manual",$E87&gt;0),"",SUMIF(OFFSET(CÁLCULO!$M$15,CRONO!$E86,0,OFFSET(ORÇAMENTO!$D$15,CRONO!$E86,0)),1,OFFSET(ORÇAMENTO!$X$15,CRONO!$E86,0,OFFSET(ORÇAMENTO!$D$15,CRONO!$E86,0))))</f>
        <v/>
      </c>
      <c r="G88" s="224"/>
      <c r="R88" s="225" t="str">
        <f t="shared" ref="R88" ca="1" si="177">L86&amp;"$"</f>
        <v>2$</v>
      </c>
      <c r="S88" s="226"/>
      <c r="T88" s="227">
        <f ca="1">IF($Q86=2,IF(AND(ACOMPANHAMENTO="PLE",ISNUMBER($E86)),SUMIF((OFFSET(CÁLCULO!$AM$15:$AW$15,$E86,0,OFFSET(ORÇAMENTO!$D$15,CRONO!$E86,0))),"&lt;="&amp;CRONO!T$12,OFFSET(CÁLCULO!$AB$15:$AL$15,$E86,0,OFFSET(ORÇAMENTO!$D$15,CRONO!$E86,0)))+IF(AND($E88&lt;&gt;"",$E88&lt;&gt;0),SUMIF(CÁLCULO!$AM$15:$AW$747,"&lt;="&amp;CRONO!T$12,CÁLCULO!$AB$15:$AL$747)/(ORÇAMENTO!$X$15-CÁLCULO.TotalAdmLocal)*CRONO!$E88,0),T87*$R86),SUMIF(OFFSET($R88,1,0,$Q86-2),($L86+1)&amp;"$",OFFSET(T88,1,0,$Q86-2)))</f>
        <v>0</v>
      </c>
      <c r="U88" s="223">
        <f ca="1">IF($Q86=2,IF(AND(ACOMPANHAMENTO="PLE",ISNUMBER($E86)),SUMIF((OFFSET(CÁLCULO!$AM$15:$AW$15,$E86,0,OFFSET(ORÇAMENTO!$D$15,CRONO!$E86,0))),"="&amp;CRONO!U$12,OFFSET(CÁLCULO!$AB$15:$AL$15,$E86,0,OFFSET(ORÇAMENTO!$D$15,CRONO!$E86,0)))+IF(AND($E88&lt;&gt;"",$E88&lt;&gt;0),SUMIF(CÁLCULO!$AM$15:$AW$747,"="&amp;CRONO!U$12,CÁLCULO!$AB$15:$AL$747)/(ORÇAMENTO!$X$15-CÁLCULO.TotalAdmLocal)*CRONO!$E88,0),U87*$R86),SUMIF(OFFSET($R88,1,0,$Q86-2),($L86+1)&amp;"$",OFFSET(U88,1,0,$Q86-2)))</f>
        <v>0</v>
      </c>
      <c r="V88" s="223">
        <f ca="1">IF($Q86=2,IF(AND(ACOMPANHAMENTO="PLE",ISNUMBER($E86)),SUMIF((OFFSET(CÁLCULO!$AM$15:$AW$15,$E86,0,OFFSET(ORÇAMENTO!$D$15,CRONO!$E86,0))),"="&amp;CRONO!V$12,OFFSET(CÁLCULO!$AB$15:$AL$15,$E86,0,OFFSET(ORÇAMENTO!$D$15,CRONO!$E86,0)))+IF(AND($E88&lt;&gt;"",$E88&lt;&gt;0),SUMIF(CÁLCULO!$AM$15:$AW$747,"="&amp;CRONO!V$12,CÁLCULO!$AB$15:$AL$747)/(ORÇAMENTO!$X$15-CÁLCULO.TotalAdmLocal)*CRONO!$E88,0),V87*$R86),SUMIF(OFFSET($R88,1,0,$Q86-2),($L86+1)&amp;"$",OFFSET(V88,1,0,$Q86-2)))</f>
        <v>0</v>
      </c>
      <c r="W88" s="223">
        <f ca="1">IF($Q86=2,IF(AND(ACOMPANHAMENTO="PLE",ISNUMBER($E86)),SUMIF((OFFSET(CÁLCULO!$AM$15:$AW$15,$E86,0,OFFSET(ORÇAMENTO!$D$15,CRONO!$E86,0))),"="&amp;CRONO!W$12,OFFSET(CÁLCULO!$AB$15:$AL$15,$E86,0,OFFSET(ORÇAMENTO!$D$15,CRONO!$E86,0)))+IF(AND($E88&lt;&gt;"",$E88&lt;&gt;0),SUMIF(CÁLCULO!$AM$15:$AW$747,"="&amp;CRONO!W$12,CÁLCULO!$AB$15:$AL$747)/(ORÇAMENTO!$X$15-CÁLCULO.TotalAdmLocal)*CRONO!$E88,0),W87*$R86),SUMIF(OFFSET($R88,1,0,$Q86-2),($L86+1)&amp;"$",OFFSET(W88,1,0,$Q86-2)))</f>
        <v>0</v>
      </c>
      <c r="X88" s="223">
        <f ca="1">IF($Q86=2,IF(AND(ACOMPANHAMENTO="PLE",ISNUMBER($E86)),SUMIF((OFFSET(CÁLCULO!$AM$15:$AW$15,$E86,0,OFFSET(ORÇAMENTO!$D$15,CRONO!$E86,0))),"="&amp;CRONO!X$12,OFFSET(CÁLCULO!$AB$15:$AL$15,$E86,0,OFFSET(ORÇAMENTO!$D$15,CRONO!$E86,0)))+IF(AND($E88&lt;&gt;"",$E88&lt;&gt;0),SUMIF(CÁLCULO!$AM$15:$AW$747,"="&amp;CRONO!X$12,CÁLCULO!$AB$15:$AL$747)/(ORÇAMENTO!$X$15-CÁLCULO.TotalAdmLocal)*CRONO!$E88,0),X87*$R86),SUMIF(OFFSET($R88,1,0,$Q86-2),($L86+1)&amp;"$",OFFSET(X88,1,0,$Q86-2)))</f>
        <v>0</v>
      </c>
      <c r="Y88" s="223">
        <f ca="1">IF($Q86=2,IF(AND(ACOMPANHAMENTO="PLE",ISNUMBER($E86)),SUMIF((OFFSET(CÁLCULO!$AM$15:$AW$15,$E86,0,OFFSET(ORÇAMENTO!$D$15,CRONO!$E86,0))),"="&amp;CRONO!Y$12,OFFSET(CÁLCULO!$AB$15:$AL$15,$E86,0,OFFSET(ORÇAMENTO!$D$15,CRONO!$E86,0)))+IF(AND($E88&lt;&gt;"",$E88&lt;&gt;0),SUMIF(CÁLCULO!$AM$15:$AW$747,"="&amp;CRONO!Y$12,CÁLCULO!$AB$15:$AL$747)/(ORÇAMENTO!$X$15-CÁLCULO.TotalAdmLocal)*CRONO!$E88,0),Y87*$R86),SUMIF(OFFSET($R88,1,0,$Q86-2),($L86+1)&amp;"$",OFFSET(Y88,1,0,$Q86-2)))</f>
        <v>0</v>
      </c>
      <c r="Z88" s="223">
        <f ca="1">IF($Q86=2,IF(AND(ACOMPANHAMENTO="PLE",ISNUMBER($E86)),SUMIF((OFFSET(CÁLCULO!$AM$15:$AW$15,$E86,0,OFFSET(ORÇAMENTO!$D$15,CRONO!$E86,0))),"="&amp;CRONO!Z$12,OFFSET(CÁLCULO!$AB$15:$AL$15,$E86,0,OFFSET(ORÇAMENTO!$D$15,CRONO!$E86,0)))+IF(AND($E88&lt;&gt;"",$E88&lt;&gt;0),SUMIF(CÁLCULO!$AM$15:$AW$747,"="&amp;CRONO!Z$12,CÁLCULO!$AB$15:$AL$747)/(ORÇAMENTO!$X$15-CÁLCULO.TotalAdmLocal)*CRONO!$E88,0),Z87*$R86),SUMIF(OFFSET($R88,1,0,$Q86-2),($L86+1)&amp;"$",OFFSET(Z88,1,0,$Q86-2)))</f>
        <v>0</v>
      </c>
      <c r="AA88" s="223">
        <f ca="1">IF($Q86=2,IF(AND(ACOMPANHAMENTO="PLE",ISNUMBER($E86)),SUMIF((OFFSET(CÁLCULO!$AM$15:$AW$15,$E86,0,OFFSET(ORÇAMENTO!$D$15,CRONO!$E86,0))),"="&amp;CRONO!AA$12,OFFSET(CÁLCULO!$AB$15:$AL$15,$E86,0,OFFSET(ORÇAMENTO!$D$15,CRONO!$E86,0)))+IF(AND($E88&lt;&gt;"",$E88&lt;&gt;0),SUMIF(CÁLCULO!$AM$15:$AW$747,"="&amp;CRONO!AA$12,CÁLCULO!$AB$15:$AL$747)/(ORÇAMENTO!$X$15-CÁLCULO.TotalAdmLocal)*CRONO!$E88,0),AA87*$R86),SUMIF(OFFSET($R88,1,0,$Q86-2),($L86+1)&amp;"$",OFFSET(AA88,1,0,$Q86-2)))</f>
        <v>0</v>
      </c>
      <c r="AB88" s="223">
        <f ca="1">IF($Q86=2,IF(AND(ACOMPANHAMENTO="PLE",ISNUMBER($E86)),SUMIF((OFFSET(CÁLCULO!$AM$15:$AW$15,$E86,0,OFFSET(ORÇAMENTO!$D$15,CRONO!$E86,0))),"="&amp;CRONO!AB$12,OFFSET(CÁLCULO!$AB$15:$AL$15,$E86,0,OFFSET(ORÇAMENTO!$D$15,CRONO!$E86,0)))+IF(AND($E88&lt;&gt;"",$E88&lt;&gt;0),SUMIF(CÁLCULO!$AM$15:$AW$747,"="&amp;CRONO!AB$12,CÁLCULO!$AB$15:$AL$747)/(ORÇAMENTO!$X$15-CÁLCULO.TotalAdmLocal)*CRONO!$E88,0),AB87*$R86),SUMIF(OFFSET($R88,1,0,$Q86-2),($L86+1)&amp;"$",OFFSET(AB88,1,0,$Q86-2)))</f>
        <v>0</v>
      </c>
      <c r="AC88" s="223">
        <f ca="1">IF($Q86=2,IF(AND(ACOMPANHAMENTO="PLE",ISNUMBER($E86)),SUMIF((OFFSET(CÁLCULO!$AM$15:$AW$15,$E86,0,OFFSET(ORÇAMENTO!$D$15,CRONO!$E86,0))),"="&amp;CRONO!AC$12,OFFSET(CÁLCULO!$AB$15:$AL$15,$E86,0,OFFSET(ORÇAMENTO!$D$15,CRONO!$E86,0)))+IF(AND($E88&lt;&gt;"",$E88&lt;&gt;0),SUMIF(CÁLCULO!$AM$15:$AW$747,"="&amp;CRONO!AC$12,CÁLCULO!$AB$15:$AL$747)/(ORÇAMENTO!$X$15-CÁLCULO.TotalAdmLocal)*CRONO!$E88,0),AC87*$R86),SUMIF(OFFSET($R88,1,0,$Q86-2),($L86+1)&amp;"$",OFFSET(AC88,1,0,$Q86-2)))</f>
        <v>0</v>
      </c>
      <c r="AD88" s="223">
        <f ca="1">IF($Q86=2,IF(AND(ACOMPANHAMENTO="PLE",ISNUMBER($E86)),SUMIF((OFFSET(CÁLCULO!$AM$15:$AW$15,$E86,0,OFFSET(ORÇAMENTO!$D$15,CRONO!$E86,0))),"="&amp;CRONO!AD$12,OFFSET(CÁLCULO!$AB$15:$AL$15,$E86,0,OFFSET(ORÇAMENTO!$D$15,CRONO!$E86,0)))+IF(AND($E88&lt;&gt;"",$E88&lt;&gt;0),SUMIF(CÁLCULO!$AM$15:$AW$747,"="&amp;CRONO!AD$12,CÁLCULO!$AB$15:$AL$747)/(ORÇAMENTO!$X$15-CÁLCULO.TotalAdmLocal)*CRONO!$E88,0),AD87*$R86),SUMIF(OFFSET($R88,1,0,$Q86-2),($L86+1)&amp;"$",OFFSET(AD88,1,0,$Q86-2)))</f>
        <v>0</v>
      </c>
      <c r="AE88" s="228">
        <f ca="1">IF($Q86=2,IF(AND(ACOMPANHAMENTO="PLE",ISNUMBER($E86)),SUMIF((OFFSET(CÁLCULO!$AM$15:$AW$15,$E86,0,OFFSET(ORÇAMENTO!$D$15,CRONO!$E86,0))),"="&amp;CRONO!AE$12,OFFSET(CÁLCULO!$AB$15:$AL$15,$E86,0,OFFSET(ORÇAMENTO!$D$15,CRONO!$E86,0)))+IF(AND($E88&lt;&gt;"",$E88&lt;&gt;0),SUMIF(CÁLCULO!$AM$15:$AW$747,"="&amp;CRONO!AE$12,CÁLCULO!$AB$15:$AL$747)/(ORÇAMENTO!$X$15-CÁLCULO.TotalAdmLocal)*CRONO!$E88,0),AE87*$R86),SUMIF(OFFSET($R88,1,0,$Q86-2),($L86+1)&amp;"$",OFFSET(AE88,1,0,$Q86-2)))</f>
        <v>0</v>
      </c>
    </row>
    <row r="89" spans="1:32" ht="5.0999999999999996" customHeight="1" x14ac:dyDescent="0.2">
      <c r="D89" s="502"/>
      <c r="F89" s="204" t="s">
        <v>246</v>
      </c>
      <c r="G89" s="504"/>
      <c r="H89" s="505"/>
      <c r="I89" s="506"/>
      <c r="J89" s="506"/>
      <c r="K89" s="506"/>
      <c r="L89" s="507" t="s">
        <v>281</v>
      </c>
      <c r="M89" s="507"/>
      <c r="N89" s="507"/>
      <c r="O89" s="507"/>
      <c r="P89" s="507"/>
      <c r="Q89" s="507"/>
      <c r="R89" s="508"/>
      <c r="S89" s="508"/>
      <c r="T89" s="506"/>
      <c r="U89" s="506"/>
      <c r="V89" s="506"/>
      <c r="W89" s="506"/>
      <c r="X89" s="506"/>
      <c r="Y89" s="506"/>
      <c r="Z89" s="506"/>
      <c r="AA89" s="506"/>
      <c r="AB89" s="506"/>
      <c r="AC89" s="506"/>
      <c r="AD89" s="506"/>
      <c r="AE89" s="509"/>
      <c r="AF89" s="503"/>
    </row>
    <row r="90" spans="1:32" ht="12.75" customHeight="1" x14ac:dyDescent="0.2">
      <c r="D90" s="252" t="e">
        <f ca="1">D94/$Q$90</f>
        <v>#DIV/0!</v>
      </c>
      <c r="F90" s="204" t="s">
        <v>246</v>
      </c>
      <c r="H90" s="640" t="str">
        <f ca="1">"Total:    R$ "&amp;TEXT(Q90,"#.##0,00")</f>
        <v>Total:    R$ 0,00</v>
      </c>
      <c r="I90" s="640"/>
      <c r="J90" s="640"/>
      <c r="K90" s="253"/>
      <c r="Q90" s="254">
        <f ca="1">SUMIF(L12:L89,1,R12:R89)</f>
        <v>0</v>
      </c>
      <c r="R90" s="255"/>
      <c r="S90" s="256" t="s">
        <v>282</v>
      </c>
      <c r="T90" s="257" t="e">
        <f t="shared" ref="T90:AE90" ca="1" si="178">ROUND(T94,2)/$Q$90</f>
        <v>#DIV/0!</v>
      </c>
      <c r="U90" s="258" t="e">
        <f t="shared" ca="1" si="178"/>
        <v>#DIV/0!</v>
      </c>
      <c r="V90" s="258" t="e">
        <f t="shared" ca="1" si="178"/>
        <v>#DIV/0!</v>
      </c>
      <c r="W90" s="258" t="e">
        <f t="shared" ca="1" si="178"/>
        <v>#DIV/0!</v>
      </c>
      <c r="X90" s="258" t="e">
        <f t="shared" ca="1" si="178"/>
        <v>#DIV/0!</v>
      </c>
      <c r="Y90" s="258" t="e">
        <f t="shared" ca="1" si="178"/>
        <v>#DIV/0!</v>
      </c>
      <c r="Z90" s="258" t="e">
        <f t="shared" ca="1" si="178"/>
        <v>#DIV/0!</v>
      </c>
      <c r="AA90" s="258" t="e">
        <f t="shared" ca="1" si="178"/>
        <v>#DIV/0!</v>
      </c>
      <c r="AB90" s="258" t="e">
        <f t="shared" ca="1" si="178"/>
        <v>#DIV/0!</v>
      </c>
      <c r="AC90" s="258" t="e">
        <f t="shared" ca="1" si="178"/>
        <v>#DIV/0!</v>
      </c>
      <c r="AD90" s="258" t="e">
        <f t="shared" ca="1" si="178"/>
        <v>#DIV/0!</v>
      </c>
      <c r="AE90" s="259" t="e">
        <f t="shared" ca="1" si="178"/>
        <v>#DIV/0!</v>
      </c>
    </row>
    <row r="91" spans="1:32" ht="15" customHeight="1" x14ac:dyDescent="0.2">
      <c r="D91" s="260">
        <f ca="1">ROUND(D96,2)-ROUND(C96,2)</f>
        <v>0</v>
      </c>
      <c r="F91" s="204" t="s">
        <v>246</v>
      </c>
      <c r="H91" s="640"/>
      <c r="I91" s="640"/>
      <c r="J91" s="640"/>
      <c r="K91" s="261"/>
      <c r="Q91" s="254"/>
      <c r="R91" s="262"/>
      <c r="S91" s="263" t="str">
        <f>IF(import.recurso="FGTS","Financiamento:","Repasse:")</f>
        <v>Repasse:</v>
      </c>
      <c r="T91" s="264">
        <f ca="1">ROUND(T96,2)</f>
        <v>0</v>
      </c>
      <c r="U91" s="260">
        <f t="shared" ref="U91:AE91" ca="1" si="179">ROUND(U96,2)-ROUND(T96,2)</f>
        <v>0</v>
      </c>
      <c r="V91" s="260">
        <f t="shared" ca="1" si="179"/>
        <v>0</v>
      </c>
      <c r="W91" s="260">
        <f t="shared" ca="1" si="179"/>
        <v>0</v>
      </c>
      <c r="X91" s="260">
        <f t="shared" ca="1" si="179"/>
        <v>0</v>
      </c>
      <c r="Y91" s="260">
        <f t="shared" ca="1" si="179"/>
        <v>0</v>
      </c>
      <c r="Z91" s="260">
        <f t="shared" ca="1" si="179"/>
        <v>0</v>
      </c>
      <c r="AA91" s="260">
        <f t="shared" ca="1" si="179"/>
        <v>0</v>
      </c>
      <c r="AB91" s="260">
        <f t="shared" ca="1" si="179"/>
        <v>0</v>
      </c>
      <c r="AC91" s="260">
        <f t="shared" ca="1" si="179"/>
        <v>0</v>
      </c>
      <c r="AD91" s="260">
        <f t="shared" ca="1" si="179"/>
        <v>0</v>
      </c>
      <c r="AE91" s="265">
        <f t="shared" ca="1" si="179"/>
        <v>0</v>
      </c>
    </row>
    <row r="92" spans="1:32" ht="12.75" customHeight="1" x14ac:dyDescent="0.2">
      <c r="D92" s="260">
        <f ca="1">ROUND(D97,2)-ROUND(C97,2)</f>
        <v>0</v>
      </c>
      <c r="F92" s="204" t="s">
        <v>246</v>
      </c>
      <c r="H92" s="266"/>
      <c r="K92" s="267" t="s">
        <v>283</v>
      </c>
      <c r="Q92" s="254"/>
      <c r="R92" s="268"/>
      <c r="S92" s="269" t="s">
        <v>284</v>
      </c>
      <c r="T92" s="270">
        <f ca="1">ROUND(T97,2)</f>
        <v>0</v>
      </c>
      <c r="U92" s="271">
        <f t="shared" ref="U92:AE92" ca="1" si="180">ROUND(U97,2)-ROUND(T97,2)</f>
        <v>0</v>
      </c>
      <c r="V92" s="271">
        <f t="shared" ca="1" si="180"/>
        <v>0</v>
      </c>
      <c r="W92" s="271">
        <f t="shared" ca="1" si="180"/>
        <v>0</v>
      </c>
      <c r="X92" s="271">
        <f t="shared" ca="1" si="180"/>
        <v>0</v>
      </c>
      <c r="Y92" s="271">
        <f t="shared" ca="1" si="180"/>
        <v>0</v>
      </c>
      <c r="Z92" s="271">
        <f t="shared" ca="1" si="180"/>
        <v>0</v>
      </c>
      <c r="AA92" s="271">
        <f t="shared" ca="1" si="180"/>
        <v>0</v>
      </c>
      <c r="AB92" s="271">
        <f t="shared" ca="1" si="180"/>
        <v>0</v>
      </c>
      <c r="AC92" s="271">
        <f t="shared" ca="1" si="180"/>
        <v>0</v>
      </c>
      <c r="AD92" s="271">
        <f t="shared" ca="1" si="180"/>
        <v>0</v>
      </c>
      <c r="AE92" s="272">
        <f t="shared" ca="1" si="180"/>
        <v>0</v>
      </c>
    </row>
    <row r="93" spans="1:32" x14ac:dyDescent="0.2">
      <c r="D93" s="273">
        <f ca="1">ROUND(D98,2)-ROUND(C98,2)</f>
        <v>0</v>
      </c>
      <c r="F93" s="204" t="s">
        <v>246</v>
      </c>
      <c r="H93" s="266"/>
      <c r="K93" s="267"/>
      <c r="Q93" s="254"/>
      <c r="R93" s="274"/>
      <c r="S93" s="275" t="s">
        <v>285</v>
      </c>
      <c r="T93" s="276">
        <f ca="1">ROUND(T98,2)</f>
        <v>0</v>
      </c>
      <c r="U93" s="273">
        <f t="shared" ref="U93:AE93" ca="1" si="181">ROUND(U98,2)-ROUND(T98,2)</f>
        <v>0</v>
      </c>
      <c r="V93" s="273">
        <f t="shared" ca="1" si="181"/>
        <v>0</v>
      </c>
      <c r="W93" s="273">
        <f t="shared" ca="1" si="181"/>
        <v>0</v>
      </c>
      <c r="X93" s="273">
        <f t="shared" ca="1" si="181"/>
        <v>0</v>
      </c>
      <c r="Y93" s="273">
        <f t="shared" ca="1" si="181"/>
        <v>0</v>
      </c>
      <c r="Z93" s="273">
        <f t="shared" ca="1" si="181"/>
        <v>0</v>
      </c>
      <c r="AA93" s="273">
        <f t="shared" ca="1" si="181"/>
        <v>0</v>
      </c>
      <c r="AB93" s="273">
        <f t="shared" ca="1" si="181"/>
        <v>0</v>
      </c>
      <c r="AC93" s="273">
        <f t="shared" ca="1" si="181"/>
        <v>0</v>
      </c>
      <c r="AD93" s="273">
        <f t="shared" ca="1" si="181"/>
        <v>0</v>
      </c>
      <c r="AE93" s="277">
        <f t="shared" ca="1" si="181"/>
        <v>0</v>
      </c>
    </row>
    <row r="94" spans="1:32" x14ac:dyDescent="0.2">
      <c r="D94" s="278">
        <f ca="1">ROUND(D99,2)-ROUND(C99,2)</f>
        <v>0</v>
      </c>
      <c r="F94" s="204" t="s">
        <v>246</v>
      </c>
      <c r="K94" s="279"/>
      <c r="R94" s="280"/>
      <c r="S94" s="281" t="s">
        <v>286</v>
      </c>
      <c r="T94" s="282">
        <f ca="1">ROUND(T99,2)</f>
        <v>0</v>
      </c>
      <c r="U94" s="283">
        <f t="shared" ref="U94:AE94" ca="1" si="182">ROUND(U99,2)-ROUND(T99,2)</f>
        <v>0</v>
      </c>
      <c r="V94" s="283">
        <f t="shared" ca="1" si="182"/>
        <v>0</v>
      </c>
      <c r="W94" s="283">
        <f t="shared" ca="1" si="182"/>
        <v>0</v>
      </c>
      <c r="X94" s="283">
        <f t="shared" ca="1" si="182"/>
        <v>0</v>
      </c>
      <c r="Y94" s="283">
        <f t="shared" ca="1" si="182"/>
        <v>0</v>
      </c>
      <c r="Z94" s="283">
        <f t="shared" ca="1" si="182"/>
        <v>0</v>
      </c>
      <c r="AA94" s="283">
        <f t="shared" ca="1" si="182"/>
        <v>0</v>
      </c>
      <c r="AB94" s="283">
        <f t="shared" ca="1" si="182"/>
        <v>0</v>
      </c>
      <c r="AC94" s="283">
        <f t="shared" ca="1" si="182"/>
        <v>0</v>
      </c>
      <c r="AD94" s="283">
        <f t="shared" ca="1" si="182"/>
        <v>0</v>
      </c>
      <c r="AE94" s="284">
        <f t="shared" ca="1" si="182"/>
        <v>0</v>
      </c>
    </row>
    <row r="95" spans="1:32" x14ac:dyDescent="0.2">
      <c r="D95" s="252" t="e">
        <f ca="1">D99/$Q$90</f>
        <v>#DIV/0!</v>
      </c>
      <c r="F95" s="204" t="s">
        <v>246</v>
      </c>
      <c r="K95" s="253"/>
      <c r="R95" s="255"/>
      <c r="S95" s="256" t="s">
        <v>282</v>
      </c>
      <c r="T95" s="257" t="e">
        <f ca="1">ROUND(T99,2)/$Q$90</f>
        <v>#DIV/0!</v>
      </c>
      <c r="U95" s="258" t="e">
        <f t="shared" ref="U95:AE95" ca="1" si="183">ROUND(U99,2)/$Q$90</f>
        <v>#DIV/0!</v>
      </c>
      <c r="V95" s="258" t="e">
        <f t="shared" ca="1" si="183"/>
        <v>#DIV/0!</v>
      </c>
      <c r="W95" s="258" t="e">
        <f t="shared" ca="1" si="183"/>
        <v>#DIV/0!</v>
      </c>
      <c r="X95" s="258" t="e">
        <f t="shared" ca="1" si="183"/>
        <v>#DIV/0!</v>
      </c>
      <c r="Y95" s="258" t="e">
        <f t="shared" ca="1" si="183"/>
        <v>#DIV/0!</v>
      </c>
      <c r="Z95" s="258" t="e">
        <f t="shared" ca="1" si="183"/>
        <v>#DIV/0!</v>
      </c>
      <c r="AA95" s="258" t="e">
        <f t="shared" ca="1" si="183"/>
        <v>#DIV/0!</v>
      </c>
      <c r="AB95" s="258" t="e">
        <f t="shared" ca="1" si="183"/>
        <v>#DIV/0!</v>
      </c>
      <c r="AC95" s="258" t="e">
        <f t="shared" ca="1" si="183"/>
        <v>#DIV/0!</v>
      </c>
      <c r="AD95" s="258" t="e">
        <f t="shared" ca="1" si="183"/>
        <v>#DIV/0!</v>
      </c>
      <c r="AE95" s="259" t="e">
        <f t="shared" ca="1" si="183"/>
        <v>#DIV/0!</v>
      </c>
    </row>
    <row r="96" spans="1:32" x14ac:dyDescent="0.2">
      <c r="D96" s="260">
        <f ca="1">ROUND(D99-D98-D97,2)</f>
        <v>0</v>
      </c>
      <c r="F96" s="204" t="s">
        <v>246</v>
      </c>
      <c r="K96" s="261"/>
      <c r="R96" s="262"/>
      <c r="S96" s="263" t="str">
        <f>IF(import.recurso="FGTS","Financiamento:","Repasse:")</f>
        <v>Repasse:</v>
      </c>
      <c r="T96" s="264">
        <f ca="1">ROUND(T99-T98-T97,2)</f>
        <v>0</v>
      </c>
      <c r="U96" s="260">
        <f t="shared" ref="U96:AE96" ca="1" si="184">ROUND(U99-U98-U97,2)</f>
        <v>0</v>
      </c>
      <c r="V96" s="260">
        <f t="shared" ca="1" si="184"/>
        <v>0</v>
      </c>
      <c r="W96" s="260">
        <f t="shared" ca="1" si="184"/>
        <v>0</v>
      </c>
      <c r="X96" s="260">
        <f t="shared" ca="1" si="184"/>
        <v>0</v>
      </c>
      <c r="Y96" s="260">
        <f t="shared" ca="1" si="184"/>
        <v>0</v>
      </c>
      <c r="Z96" s="260">
        <f t="shared" ca="1" si="184"/>
        <v>0</v>
      </c>
      <c r="AA96" s="260">
        <f t="shared" ca="1" si="184"/>
        <v>0</v>
      </c>
      <c r="AB96" s="260">
        <f t="shared" ca="1" si="184"/>
        <v>0</v>
      </c>
      <c r="AC96" s="260">
        <f t="shared" ca="1" si="184"/>
        <v>0</v>
      </c>
      <c r="AD96" s="260">
        <f t="shared" ca="1" si="184"/>
        <v>0</v>
      </c>
      <c r="AE96" s="265">
        <f t="shared" ca="1" si="184"/>
        <v>0</v>
      </c>
      <c r="AF96" s="205">
        <f ca="1">AE96+SUMPRODUCT((OFFSET($B$13,1,0):OFFSET($B$89,-3,0))*IF(ISNUMBER(OFFSET(AF$11,5,0):OFFSET(AF$89,-1,0)),OFFSET(AF$11,5,0):OFFSET(AF$89,-1,0),0))</f>
        <v>0</v>
      </c>
    </row>
    <row r="97" spans="4:32" x14ac:dyDescent="0.2">
      <c r="D97" s="260">
        <f t="array" aca="1" ref="D97" ca="1">C97+SUM((OFFSET($B$13,1,0):OFFSET($B$89,-3,0))*IF(ISNUMBER(OFFSET(D$11,5,0):OFFSET(D$89,-1,0)),OFFSET(D$11,5,0):OFFSET(D$89,-1,0),0))</f>
        <v>0</v>
      </c>
      <c r="F97" s="204" t="s">
        <v>246</v>
      </c>
      <c r="K97" s="267" t="s">
        <v>287</v>
      </c>
      <c r="R97" s="268"/>
      <c r="S97" s="269" t="s">
        <v>284</v>
      </c>
      <c r="T97" s="270">
        <f t="array" aca="1" ref="T97" ca="1">SUM((OFFSET($B$13,1,0):OFFSET($B$89,-3,0))*IF(ISNUMBER(OFFSET(T$11,5,0):OFFSET(T$89,-1,0)),OFFSET(T$11,5,0):OFFSET(T$89,-1,0),0))</f>
        <v>0</v>
      </c>
      <c r="U97" s="271">
        <f t="array" aca="1" ref="U97" ca="1">T97+SUM((OFFSET($B$13,1,0):OFFSET($B$89,-3,0))*IF(ISNUMBER(OFFSET(U$11,5,0):OFFSET(U$89,-1,0)),OFFSET(U$11,5,0):OFFSET(U$89,-1,0),0))</f>
        <v>0</v>
      </c>
      <c r="V97" s="271">
        <f t="array" aca="1" ref="V97" ca="1">U97+SUM((OFFSET($B$13,1,0):OFFSET($B$89,-3,0))*IF(ISNUMBER(OFFSET(V$11,5,0):OFFSET(V$89,-1,0)),OFFSET(V$11,5,0):OFFSET(V$89,-1,0),0))</f>
        <v>0</v>
      </c>
      <c r="W97" s="271">
        <f t="array" aca="1" ref="W97" ca="1">V97+SUM((OFFSET($B$13,1,0):OFFSET($B$89,-3,0))*IF(ISNUMBER(OFFSET(W$11,5,0):OFFSET(W$89,-1,0)),OFFSET(W$11,5,0):OFFSET(W$89,-1,0),0))</f>
        <v>0</v>
      </c>
      <c r="X97" s="271">
        <f t="array" aca="1" ref="X97" ca="1">W97+SUM((OFFSET($B$13,1,0):OFFSET($B$89,-3,0))*IF(ISNUMBER(OFFSET(X$11,5,0):OFFSET(X$89,-1,0)),OFFSET(X$11,5,0):OFFSET(X$89,-1,0),0))</f>
        <v>0</v>
      </c>
      <c r="Y97" s="271">
        <f t="array" aca="1" ref="Y97" ca="1">X97+SUM((OFFSET($B$13,1,0):OFFSET($B$89,-3,0))*IF(ISNUMBER(OFFSET(Y$11,5,0):OFFSET(Y$89,-1,0)),OFFSET(Y$11,5,0):OFFSET(Y$89,-1,0),0))</f>
        <v>0</v>
      </c>
      <c r="Z97" s="271">
        <f t="array" aca="1" ref="Z97" ca="1">Y97+SUM((OFFSET($B$13,1,0):OFFSET($B$89,-3,0))*IF(ISNUMBER(OFFSET(Z$11,5,0):OFFSET(Z$89,-1,0)),OFFSET(Z$11,5,0):OFFSET(Z$89,-1,0),0))</f>
        <v>0</v>
      </c>
      <c r="AA97" s="271">
        <f t="array" aca="1" ref="AA97" ca="1">Z97+SUM((OFFSET($B$13,1,0):OFFSET($B$89,-3,0))*IF(ISNUMBER(OFFSET(AA$11,5,0):OFFSET(AA$89,-1,0)),OFFSET(AA$11,5,0):OFFSET(AA$89,-1,0),0))</f>
        <v>0</v>
      </c>
      <c r="AB97" s="271">
        <f t="array" aca="1" ref="AB97" ca="1">AA97+SUM((OFFSET($B$13,1,0):OFFSET($B$89,-3,0))*IF(ISNUMBER(OFFSET(AB$11,5,0):OFFSET(AB$89,-1,0)),OFFSET(AB$11,5,0):OFFSET(AB$89,-1,0),0))</f>
        <v>0</v>
      </c>
      <c r="AC97" s="271">
        <f t="array" aca="1" ref="AC97" ca="1">AB97+SUM((OFFSET($B$13,1,0):OFFSET($B$89,-3,0))*IF(ISNUMBER(OFFSET(AC$11,5,0):OFFSET(AC$89,-1,0)),OFFSET(AC$11,5,0):OFFSET(AC$89,-1,0),0))</f>
        <v>0</v>
      </c>
      <c r="AD97" s="271">
        <f t="array" aca="1" ref="AD97" ca="1">AC97+SUM((OFFSET($B$13,1,0):OFFSET($B$89,-3,0))*IF(ISNUMBER(OFFSET(AD$11,5,0):OFFSET(AD$89,-1,0)),OFFSET(AD$11,5,0):OFFSET(AD$89,-1,0),0))</f>
        <v>0</v>
      </c>
      <c r="AE97" s="272">
        <f t="array" aca="1" ref="AE97" ca="1">AD97+SUM((OFFSET($B$13,1,0):OFFSET($B$89,-3,0))*IF(ISNUMBER(OFFSET(AE$11,5,0):OFFSET(AE$89,-1,0)),OFFSET(AE$11,5,0):OFFSET(AE$89,-1,0),0))</f>
        <v>0</v>
      </c>
      <c r="AF97" s="205">
        <f ca="1">AE97+SUMPRODUCT((OFFSET($C$13,1,0):OFFSET($C$89,-3,0))*IF(ISNUMBER(OFFSET(AF$11,5,0):OFFSET(AF$89,-1,0)),OFFSET(AF$11,5,0):OFFSET(AF$89,-1,0),0))</f>
        <v>0</v>
      </c>
    </row>
    <row r="98" spans="4:32" x14ac:dyDescent="0.2">
      <c r="D98" s="273">
        <f t="array" aca="1" ref="D98" ca="1">C98+SUM((OFFSET($C$13,1,0):OFFSET($C$89,-3,0))*IF(ISNUMBER(OFFSET(D$11,5,0):OFFSET(D$89,-1,0)),OFFSET(D$11,5,0):OFFSET(D$89,-1,0),0))</f>
        <v>0</v>
      </c>
      <c r="F98" s="204" t="s">
        <v>246</v>
      </c>
      <c r="K98" s="267"/>
      <c r="R98" s="274"/>
      <c r="S98" s="275" t="s">
        <v>285</v>
      </c>
      <c r="T98" s="276">
        <f t="array" aca="1" ref="T98" ca="1">SUM((OFFSET($C$13,1,0):OFFSET($C$89,-3,0))*IF(ISNUMBER(OFFSET(T$11,5,0):OFFSET(T$89,-1,0)),OFFSET(T$11,5,0):OFFSET(T$89,-1,0),0))</f>
        <v>0</v>
      </c>
      <c r="U98" s="273">
        <f t="array" aca="1" ref="U98" ca="1">T98+SUM((OFFSET($C$13,1,0):OFFSET($C$89,-3,0))*IF(ISNUMBER(OFFSET(U$11,5,0):OFFSET(U$89,-1,0)),OFFSET(U$11,5,0):OFFSET(U$89,-1,0),0))</f>
        <v>0</v>
      </c>
      <c r="V98" s="273">
        <f t="array" aca="1" ref="V98" ca="1">U98+SUM((OFFSET($C$13,1,0):OFFSET($C$89,-3,0))*IF(ISNUMBER(OFFSET(V$11,5,0):OFFSET(V$89,-1,0)),OFFSET(V$11,5,0):OFFSET(V$89,-1,0),0))</f>
        <v>0</v>
      </c>
      <c r="W98" s="273">
        <f t="array" aca="1" ref="W98" ca="1">V98+SUM((OFFSET($C$13,1,0):OFFSET($C$89,-3,0))*IF(ISNUMBER(OFFSET(W$11,5,0):OFFSET(W$89,-1,0)),OFFSET(W$11,5,0):OFFSET(W$89,-1,0),0))</f>
        <v>0</v>
      </c>
      <c r="X98" s="273">
        <f t="array" aca="1" ref="X98" ca="1">W98+SUM((OFFSET($C$13,1,0):OFFSET($C$89,-3,0))*IF(ISNUMBER(OFFSET(X$11,5,0):OFFSET(X$89,-1,0)),OFFSET(X$11,5,0):OFFSET(X$89,-1,0),0))</f>
        <v>0</v>
      </c>
      <c r="Y98" s="273">
        <f t="array" aca="1" ref="Y98" ca="1">X98+SUM((OFFSET($C$13,1,0):OFFSET($C$89,-3,0))*IF(ISNUMBER(OFFSET(Y$11,5,0):OFFSET(Y$89,-1,0)),OFFSET(Y$11,5,0):OFFSET(Y$89,-1,0),0))</f>
        <v>0</v>
      </c>
      <c r="Z98" s="273">
        <f t="array" aca="1" ref="Z98" ca="1">Y98+SUM((OFFSET($C$13,1,0):OFFSET($C$89,-3,0))*IF(ISNUMBER(OFFSET(Z$11,5,0):OFFSET(Z$89,-1,0)),OFFSET(Z$11,5,0):OFFSET(Z$89,-1,0),0))</f>
        <v>0</v>
      </c>
      <c r="AA98" s="273">
        <f t="array" aca="1" ref="AA98" ca="1">Z98+SUM((OFFSET($C$13,1,0):OFFSET($C$89,-3,0))*IF(ISNUMBER(OFFSET(AA$11,5,0):OFFSET(AA$89,-1,0)),OFFSET(AA$11,5,0):OFFSET(AA$89,-1,0),0))</f>
        <v>0</v>
      </c>
      <c r="AB98" s="273">
        <f t="array" aca="1" ref="AB98" ca="1">AA98+SUM((OFFSET($C$13,1,0):OFFSET($C$89,-3,0))*IF(ISNUMBER(OFFSET(AB$11,5,0):OFFSET(AB$89,-1,0)),OFFSET(AB$11,5,0):OFFSET(AB$89,-1,0),0))</f>
        <v>0</v>
      </c>
      <c r="AC98" s="273">
        <f t="array" aca="1" ref="AC98" ca="1">AB98+SUM((OFFSET($C$13,1,0):OFFSET($C$89,-3,0))*IF(ISNUMBER(OFFSET(AC$11,5,0):OFFSET(AC$89,-1,0)),OFFSET(AC$11,5,0):OFFSET(AC$89,-1,0),0))</f>
        <v>0</v>
      </c>
      <c r="AD98" s="273">
        <f t="array" aca="1" ref="AD98" ca="1">AC98+SUM((OFFSET($C$13,1,0):OFFSET($C$89,-3,0))*IF(ISNUMBER(OFFSET(AD$11,5,0):OFFSET(AD$89,-1,0)),OFFSET(AD$11,5,0):OFFSET(AD$89,-1,0),0))</f>
        <v>0</v>
      </c>
      <c r="AE98" s="277">
        <f t="array" aca="1" ref="AE98" ca="1">AD98+SUM((OFFSET($C$13,1,0):OFFSET($C$89,-3,0))*IF(ISNUMBER(OFFSET(AE$11,5,0):OFFSET(AE$89,-1,0)),OFFSET(AE$11,5,0):OFFSET(AE$89,-1,0),0))</f>
        <v>0</v>
      </c>
      <c r="AF98" s="205">
        <f ca="1">ROUND(AF99-AF96-AF97,2)</f>
        <v>0</v>
      </c>
    </row>
    <row r="99" spans="4:32" x14ac:dyDescent="0.2">
      <c r="D99" s="278">
        <f ca="1">C99+SUMIF($R$12:$R$89,"1$",D12:D89)</f>
        <v>0</v>
      </c>
      <c r="F99" s="204" t="s">
        <v>246</v>
      </c>
      <c r="K99" s="279"/>
      <c r="R99" s="280"/>
      <c r="S99" s="281" t="s">
        <v>286</v>
      </c>
      <c r="T99" s="282">
        <f ca="1">SUMIF($R$12:$R$89,"1$",T12:T89)</f>
        <v>0</v>
      </c>
      <c r="U99" s="283">
        <f t="shared" ref="U99:AF99" ca="1" si="185">T99+SUMIF($R$12:$R$89,"1$",U12:U89)</f>
        <v>0</v>
      </c>
      <c r="V99" s="283">
        <f t="shared" ca="1" si="185"/>
        <v>0</v>
      </c>
      <c r="W99" s="283">
        <f t="shared" ca="1" si="185"/>
        <v>0</v>
      </c>
      <c r="X99" s="283">
        <f t="shared" ca="1" si="185"/>
        <v>0</v>
      </c>
      <c r="Y99" s="283">
        <f t="shared" ca="1" si="185"/>
        <v>0</v>
      </c>
      <c r="Z99" s="283">
        <f t="shared" ca="1" si="185"/>
        <v>0</v>
      </c>
      <c r="AA99" s="283">
        <f t="shared" ca="1" si="185"/>
        <v>0</v>
      </c>
      <c r="AB99" s="283">
        <f t="shared" ca="1" si="185"/>
        <v>0</v>
      </c>
      <c r="AC99" s="283">
        <f t="shared" ca="1" si="185"/>
        <v>0</v>
      </c>
      <c r="AD99" s="283">
        <f t="shared" ca="1" si="185"/>
        <v>0</v>
      </c>
      <c r="AE99" s="284">
        <f t="shared" ca="1" si="185"/>
        <v>0</v>
      </c>
      <c r="AF99" s="205">
        <f t="shared" ca="1" si="185"/>
        <v>0</v>
      </c>
    </row>
    <row r="100" spans="4:32" x14ac:dyDescent="0.2">
      <c r="F100" s="204" t="s">
        <v>246</v>
      </c>
    </row>
    <row r="101" spans="4:32" ht="32.25" customHeight="1" x14ac:dyDescent="0.2">
      <c r="F101" s="204" t="s">
        <v>246</v>
      </c>
      <c r="H101" s="622" t="str">
        <f>Import.Município</f>
        <v>Pirapora/MG</v>
      </c>
      <c r="I101" s="622"/>
      <c r="J101" s="622"/>
      <c r="K101" s="622"/>
      <c r="L101" s="622"/>
      <c r="M101" s="622"/>
      <c r="N101" s="622"/>
      <c r="O101" s="622"/>
      <c r="P101" s="622"/>
      <c r="Q101" s="622"/>
      <c r="R101" s="622"/>
      <c r="Z101" s="553"/>
      <c r="AA101" s="553"/>
      <c r="AB101" s="553"/>
      <c r="AC101" s="553"/>
      <c r="AD101" s="555"/>
      <c r="AE101" s="555"/>
    </row>
    <row r="102" spans="4:32" x14ac:dyDescent="0.2">
      <c r="F102" s="204" t="s">
        <v>246</v>
      </c>
      <c r="H102" s="10" t="s">
        <v>188</v>
      </c>
      <c r="I102"/>
      <c r="J102"/>
      <c r="K102"/>
      <c r="Z102" s="195" t="s">
        <v>190</v>
      </c>
      <c r="AA102" s="195"/>
      <c r="AB102" s="195"/>
      <c r="AC102" s="195"/>
      <c r="AD102" s="204"/>
      <c r="AE102" s="204"/>
    </row>
    <row r="103" spans="4:32" x14ac:dyDescent="0.2">
      <c r="F103" s="204" t="s">
        <v>246</v>
      </c>
      <c r="H103"/>
      <c r="I103"/>
      <c r="J103"/>
      <c r="K103"/>
      <c r="Z103" s="447" t="str">
        <f t="array" aca="1" ref="Z103:Z105" ca="1">OFFSET(Import.RespOrçamento,0,-1) &amp; " " &amp; Import.RespOrçamento</f>
        <v>Nome: Lwan Matheus Costa Souza</v>
      </c>
      <c r="AB103"/>
      <c r="AC103" s="80"/>
      <c r="AD103" s="204"/>
      <c r="AE103" s="204"/>
    </row>
    <row r="104" spans="4:32" x14ac:dyDescent="0.2">
      <c r="F104" s="204" t="s">
        <v>246</v>
      </c>
      <c r="H104" s="632">
        <f ca="1">DADOS!$F$25</f>
        <v>45922</v>
      </c>
      <c r="I104" s="632"/>
      <c r="J104" s="632"/>
      <c r="K104" s="194"/>
      <c r="L104" s="285"/>
      <c r="M104" s="285"/>
      <c r="N104" s="285"/>
      <c r="O104" s="285"/>
      <c r="P104" s="285"/>
      <c r="Q104" s="285"/>
      <c r="R104" s="286"/>
      <c r="Z104" s="447" t="str">
        <f ca="1"/>
        <v>CREA/CAU: 255.542/D</v>
      </c>
      <c r="AB104" s="80"/>
      <c r="AC104" s="80"/>
      <c r="AD104" s="204"/>
      <c r="AE104" s="204"/>
    </row>
    <row r="105" spans="4:32" x14ac:dyDescent="0.2">
      <c r="F105" s="204" t="s">
        <v>246</v>
      </c>
      <c r="H105" s="10" t="s">
        <v>189</v>
      </c>
      <c r="I105"/>
      <c r="J105"/>
      <c r="K105"/>
      <c r="Z105" s="447" t="str">
        <f ca="1"/>
        <v>ART/RRT: MG20253712585</v>
      </c>
      <c r="AB105" s="80"/>
      <c r="AC105" s="80"/>
      <c r="AD105" s="204"/>
      <c r="AE105" s="204"/>
    </row>
  </sheetData>
  <sheetProtection algorithmName="SHA-512" hashValue="uoH+coPSaCnmOj6dcG0gxXxkJzeZ9cnlE6bdF3ewCiJfdX6c6zOqi492mQCVQ+pYaSUM+gXR7lJQ75r8tZVodQ==" saltValue="OeMyKG4djFTP40E7GpLZQw==" spinCount="100000" sheet="1" objects="1" scenarios="1" autoFilter="0"/>
  <autoFilter ref="F13:F105">
    <filterColumn colId="0">
      <filters>
        <filter val="F"/>
      </filters>
    </filterColumn>
  </autoFilter>
  <mergeCells count="17">
    <mergeCell ref="F8:F11"/>
    <mergeCell ref="H8:I8"/>
    <mergeCell ref="G7:G9"/>
    <mergeCell ref="H90:J91"/>
    <mergeCell ref="G12:G13"/>
    <mergeCell ref="H12:H13"/>
    <mergeCell ref="I12:I13"/>
    <mergeCell ref="H104:J104"/>
    <mergeCell ref="AD4:AE4"/>
    <mergeCell ref="AD5:AE5"/>
    <mergeCell ref="Y8:AD8"/>
    <mergeCell ref="R12:R13"/>
    <mergeCell ref="S12:S13"/>
    <mergeCell ref="K8:S8"/>
    <mergeCell ref="T8:X8"/>
    <mergeCell ref="J10:S11"/>
    <mergeCell ref="H101:R101"/>
  </mergeCells>
  <phoneticPr fontId="40" type="noConversion"/>
  <conditionalFormatting sqref="T12:T13">
    <cfRule type="expression" dxfId="599" priority="1937" stopIfTrue="1">
      <formula>NOT(ISNUMBER(S$12))</formula>
    </cfRule>
  </conditionalFormatting>
  <conditionalFormatting sqref="D2 T2:AF2">
    <cfRule type="expression" dxfId="598" priority="1938" stopIfTrue="1">
      <formula>AND(ISNUMBER($G1),$G1&lt;&gt;0)</formula>
    </cfRule>
  </conditionalFormatting>
  <conditionalFormatting sqref="H2:R2">
    <cfRule type="expression" dxfId="597" priority="1939" stopIfTrue="1">
      <formula>$L1=2</formula>
    </cfRule>
    <cfRule type="expression" dxfId="596" priority="1940" stopIfTrue="1">
      <formula>AND($L1=1,$R1&lt;&gt;"")</formula>
    </cfRule>
  </conditionalFormatting>
  <conditionalFormatting sqref="H1:R1">
    <cfRule type="expression" dxfId="595" priority="1941" stopIfTrue="1">
      <formula>$L1=2</formula>
    </cfRule>
    <cfRule type="expression" dxfId="594" priority="1942" stopIfTrue="1">
      <formula>AND($L1=1,$R1&lt;&gt;"")</formula>
    </cfRule>
  </conditionalFormatting>
  <conditionalFormatting sqref="D90:D94 T91:AE91 T93:AE93">
    <cfRule type="expression" dxfId="593" priority="1943" stopIfTrue="1">
      <formula>D$90=0</formula>
    </cfRule>
  </conditionalFormatting>
  <conditionalFormatting sqref="D95:D99">
    <cfRule type="expression" dxfId="592" priority="1944" stopIfTrue="1">
      <formula>C$95=1</formula>
    </cfRule>
  </conditionalFormatting>
  <conditionalFormatting sqref="U95:AE95 U97:AE97 U99:AE99">
    <cfRule type="expression" dxfId="591" priority="1945" stopIfTrue="1">
      <formula>OFFSET(U$95,0,-1)&gt;=1</formula>
    </cfRule>
  </conditionalFormatting>
  <conditionalFormatting sqref="U96:AE96 U98:AE98">
    <cfRule type="expression" dxfId="590" priority="1946" stopIfTrue="1">
      <formula>OFFSET(U$95,0,-1)&gt;=1</formula>
    </cfRule>
  </conditionalFormatting>
  <conditionalFormatting sqref="T90:AE90 T92:AE92 T94:AE94">
    <cfRule type="expression" dxfId="589" priority="1947" stopIfTrue="1">
      <formula>T$90=0</formula>
    </cfRule>
  </conditionalFormatting>
  <conditionalFormatting sqref="AE7:AE8">
    <cfRule type="expression" dxfId="588" priority="1948" stopIfTrue="1">
      <formula>OR(TIPOORCAMENTO&lt;&gt;"Licitado",QCI.ExisteManual)</formula>
    </cfRule>
  </conditionalFormatting>
  <conditionalFormatting sqref="D1 T1:AE1">
    <cfRule type="expression" dxfId="587" priority="1949" stopIfTrue="1">
      <formula>D1&lt;&gt;0</formula>
    </cfRule>
  </conditionalFormatting>
  <conditionalFormatting sqref="Y7:AD8">
    <cfRule type="expression" dxfId="586" priority="1936" stopIfTrue="1">
      <formula>QCI.ExisteManual</formula>
    </cfRule>
  </conditionalFormatting>
  <conditionalFormatting sqref="D15 D18 D21 T15:AF15 T18:AF18 T21:AF21">
    <cfRule type="expression" dxfId="585" priority="97" stopIfTrue="1">
      <formula>AND(ISNUMBER($G14),$G14&lt;&gt;0)</formula>
    </cfRule>
  </conditionalFormatting>
  <conditionalFormatting sqref="H15:R15 H18:R18 H21:R21">
    <cfRule type="expression" dxfId="584" priority="98" stopIfTrue="1">
      <formula>$L14=2</formula>
    </cfRule>
    <cfRule type="expression" dxfId="583" priority="99" stopIfTrue="1">
      <formula>AND($L14=1,$R14&lt;&gt;"")</formula>
    </cfRule>
  </conditionalFormatting>
  <conditionalFormatting sqref="H14:R14 H17:R17 H20:R20">
    <cfRule type="expression" dxfId="582" priority="100" stopIfTrue="1">
      <formula>$L14=2</formula>
    </cfRule>
    <cfRule type="expression" dxfId="581" priority="101" stopIfTrue="1">
      <formula>AND($L14=1,$R14&lt;&gt;"")</formula>
    </cfRule>
  </conditionalFormatting>
  <conditionalFormatting sqref="D14 D17 D20 T14:AE14 T17:AE17 T20:AE20">
    <cfRule type="expression" dxfId="580" priority="102" stopIfTrue="1">
      <formula>D14&lt;&gt;0</formula>
    </cfRule>
  </conditionalFormatting>
  <conditionalFormatting sqref="D24 D27 D30 T24:AF24 T27:AF27 T30:AF30">
    <cfRule type="expression" dxfId="579" priority="91" stopIfTrue="1">
      <formula>AND(ISNUMBER($G23),$G23&lt;&gt;0)</formula>
    </cfRule>
  </conditionalFormatting>
  <conditionalFormatting sqref="H24:R24 H27:R27 H30:R30">
    <cfRule type="expression" dxfId="578" priority="92" stopIfTrue="1">
      <formula>$L23=2</formula>
    </cfRule>
    <cfRule type="expression" dxfId="577" priority="93" stopIfTrue="1">
      <formula>AND($L23=1,$R23&lt;&gt;"")</formula>
    </cfRule>
  </conditionalFormatting>
  <conditionalFormatting sqref="H23:R23 H26:R26 H29:R29">
    <cfRule type="expression" dxfId="576" priority="94" stopIfTrue="1">
      <formula>$L23=2</formula>
    </cfRule>
    <cfRule type="expression" dxfId="575" priority="95" stopIfTrue="1">
      <formula>AND($L23=1,$R23&lt;&gt;"")</formula>
    </cfRule>
  </conditionalFormatting>
  <conditionalFormatting sqref="D23 D26 D29 T23:AE23 T26:AE26 T29:AE29">
    <cfRule type="expression" dxfId="574" priority="96" stopIfTrue="1">
      <formula>D23&lt;&gt;0</formula>
    </cfRule>
  </conditionalFormatting>
  <conditionalFormatting sqref="D33 D36 D39 T33:AF33 T36:AF36 T39:AF39">
    <cfRule type="expression" dxfId="573" priority="85" stopIfTrue="1">
      <formula>AND(ISNUMBER($G32),$G32&lt;&gt;0)</formula>
    </cfRule>
  </conditionalFormatting>
  <conditionalFormatting sqref="H33:R33 H36:R36 H39:R39">
    <cfRule type="expression" dxfId="572" priority="86" stopIfTrue="1">
      <formula>$L32=2</formula>
    </cfRule>
    <cfRule type="expression" dxfId="571" priority="87" stopIfTrue="1">
      <formula>AND($L32=1,$R32&lt;&gt;"")</formula>
    </cfRule>
  </conditionalFormatting>
  <conditionalFormatting sqref="H32:R32 H35:R35 H38:R38">
    <cfRule type="expression" dxfId="570" priority="88" stopIfTrue="1">
      <formula>$L32=2</formula>
    </cfRule>
    <cfRule type="expression" dxfId="569" priority="89" stopIfTrue="1">
      <formula>AND($L32=1,$R32&lt;&gt;"")</formula>
    </cfRule>
  </conditionalFormatting>
  <conditionalFormatting sqref="D32 D35 D38 T32:AE32 T35:AE35 T38:AE38">
    <cfRule type="expression" dxfId="568" priority="90" stopIfTrue="1">
      <formula>D32&lt;&gt;0</formula>
    </cfRule>
  </conditionalFormatting>
  <conditionalFormatting sqref="D42 D45 D48 T42:AF42 T45:AF45 T48:AF48">
    <cfRule type="expression" dxfId="567" priority="79" stopIfTrue="1">
      <formula>AND(ISNUMBER($G41),$G41&lt;&gt;0)</formula>
    </cfRule>
  </conditionalFormatting>
  <conditionalFormatting sqref="H42:R42 H45:R45 H48:R48">
    <cfRule type="expression" dxfId="566" priority="80" stopIfTrue="1">
      <formula>$L41=2</formula>
    </cfRule>
    <cfRule type="expression" dxfId="565" priority="81" stopIfTrue="1">
      <formula>AND($L41=1,$R41&lt;&gt;"")</formula>
    </cfRule>
  </conditionalFormatting>
  <conditionalFormatting sqref="H41:R41 H44:R44 H47:R47">
    <cfRule type="expression" dxfId="564" priority="82" stopIfTrue="1">
      <formula>$L41=2</formula>
    </cfRule>
    <cfRule type="expression" dxfId="563" priority="83" stopIfTrue="1">
      <formula>AND($L41=1,$R41&lt;&gt;"")</formula>
    </cfRule>
  </conditionalFormatting>
  <conditionalFormatting sqref="D41 D44 D47 T41:AE41 T44:AE44 T47:AE47">
    <cfRule type="expression" dxfId="562" priority="84" stopIfTrue="1">
      <formula>D41&lt;&gt;0</formula>
    </cfRule>
  </conditionalFormatting>
  <conditionalFormatting sqref="D51 D54 D57 T51:AF51 T54:AF54 T57:AF57">
    <cfRule type="expression" dxfId="561" priority="73" stopIfTrue="1">
      <formula>AND(ISNUMBER($G50),$G50&lt;&gt;0)</formula>
    </cfRule>
  </conditionalFormatting>
  <conditionalFormatting sqref="H51:R51 H54:R54 H57:R57">
    <cfRule type="expression" dxfId="560" priority="74" stopIfTrue="1">
      <formula>$L50=2</formula>
    </cfRule>
    <cfRule type="expression" dxfId="559" priority="75" stopIfTrue="1">
      <formula>AND($L50=1,$R50&lt;&gt;"")</formula>
    </cfRule>
  </conditionalFormatting>
  <conditionalFormatting sqref="H50:R50 H53:R53 H56:R56">
    <cfRule type="expression" dxfId="558" priority="76" stopIfTrue="1">
      <formula>$L50=2</formula>
    </cfRule>
    <cfRule type="expression" dxfId="557" priority="77" stopIfTrue="1">
      <formula>AND($L50=1,$R50&lt;&gt;"")</formula>
    </cfRule>
  </conditionalFormatting>
  <conditionalFormatting sqref="D50 D53 D56 T50:AE50 T53:AE53 T56:AE56">
    <cfRule type="expression" dxfId="556" priority="78" stopIfTrue="1">
      <formula>D50&lt;&gt;0</formula>
    </cfRule>
  </conditionalFormatting>
  <conditionalFormatting sqref="D60 D63 D66 T60:AF60 T63:AF63 T66:AF66">
    <cfRule type="expression" dxfId="555" priority="67" stopIfTrue="1">
      <formula>AND(ISNUMBER($G59),$G59&lt;&gt;0)</formula>
    </cfRule>
  </conditionalFormatting>
  <conditionalFormatting sqref="H60:R60 H63:R63 H66:R66">
    <cfRule type="expression" dxfId="554" priority="68" stopIfTrue="1">
      <formula>$L59=2</formula>
    </cfRule>
    <cfRule type="expression" dxfId="553" priority="69" stopIfTrue="1">
      <formula>AND($L59=1,$R59&lt;&gt;"")</formula>
    </cfRule>
  </conditionalFormatting>
  <conditionalFormatting sqref="H59:R59 H62:R62 H65:R65">
    <cfRule type="expression" dxfId="552" priority="70" stopIfTrue="1">
      <formula>$L59=2</formula>
    </cfRule>
    <cfRule type="expression" dxfId="551" priority="71" stopIfTrue="1">
      <formula>AND($L59=1,$R59&lt;&gt;"")</formula>
    </cfRule>
  </conditionalFormatting>
  <conditionalFormatting sqref="D59 D62 D65 T59:AE59 T62:AE62 T65:AE65">
    <cfRule type="expression" dxfId="550" priority="72" stopIfTrue="1">
      <formula>D59&lt;&gt;0</formula>
    </cfRule>
  </conditionalFormatting>
  <conditionalFormatting sqref="D69 D72 D75 T69:AF69 T72:AF72 T75:AF75">
    <cfRule type="expression" dxfId="549" priority="61" stopIfTrue="1">
      <formula>AND(ISNUMBER($G68),$G68&lt;&gt;0)</formula>
    </cfRule>
  </conditionalFormatting>
  <conditionalFormatting sqref="H69:R69 H72:R72 H75:R75">
    <cfRule type="expression" dxfId="548" priority="62" stopIfTrue="1">
      <formula>$L68=2</formula>
    </cfRule>
    <cfRule type="expression" dxfId="547" priority="63" stopIfTrue="1">
      <formula>AND($L68=1,$R68&lt;&gt;"")</formula>
    </cfRule>
  </conditionalFormatting>
  <conditionalFormatting sqref="H68:R68 H71:R71 H74:R74">
    <cfRule type="expression" dxfId="546" priority="64" stopIfTrue="1">
      <formula>$L68=2</formula>
    </cfRule>
    <cfRule type="expression" dxfId="545" priority="65" stopIfTrue="1">
      <formula>AND($L68=1,$R68&lt;&gt;"")</formula>
    </cfRule>
  </conditionalFormatting>
  <conditionalFormatting sqref="D68 D71 D74 T68:AE68 T71:AE71 T74:AE74">
    <cfRule type="expression" dxfId="544" priority="66" stopIfTrue="1">
      <formula>D68&lt;&gt;0</formula>
    </cfRule>
  </conditionalFormatting>
  <conditionalFormatting sqref="D78 D81 D84 T78:AF78 T81:AF81 T84:AF84">
    <cfRule type="expression" dxfId="543" priority="55" stopIfTrue="1">
      <formula>AND(ISNUMBER($G77),$G77&lt;&gt;0)</formula>
    </cfRule>
  </conditionalFormatting>
  <conditionalFormatting sqref="H78:R78 H81:R81 H84:R84">
    <cfRule type="expression" dxfId="542" priority="56" stopIfTrue="1">
      <formula>$L77=2</formula>
    </cfRule>
    <cfRule type="expression" dxfId="541" priority="57" stopIfTrue="1">
      <formula>AND($L77=1,$R77&lt;&gt;"")</formula>
    </cfRule>
  </conditionalFormatting>
  <conditionalFormatting sqref="H77:R77 H80:R80 H83:R83">
    <cfRule type="expression" dxfId="540" priority="58" stopIfTrue="1">
      <formula>$L77=2</formula>
    </cfRule>
    <cfRule type="expression" dxfId="539" priority="59" stopIfTrue="1">
      <formula>AND($L77=1,$R77&lt;&gt;"")</formula>
    </cfRule>
  </conditionalFormatting>
  <conditionalFormatting sqref="D77 D80 D83 T77:AE77 T80:AE80 T83:AE83">
    <cfRule type="expression" dxfId="538" priority="60" stopIfTrue="1">
      <formula>D77&lt;&gt;0</formula>
    </cfRule>
  </conditionalFormatting>
  <conditionalFormatting sqref="D87 T87:AF87">
    <cfRule type="expression" dxfId="537" priority="49" stopIfTrue="1">
      <formula>AND(ISNUMBER($G86),$G86&lt;&gt;0)</formula>
    </cfRule>
  </conditionalFormatting>
  <conditionalFormatting sqref="H87:R87">
    <cfRule type="expression" dxfId="536" priority="50" stopIfTrue="1">
      <formula>$L86=2</formula>
    </cfRule>
    <cfRule type="expression" dxfId="535" priority="51" stopIfTrue="1">
      <formula>AND($L86=1,$R86&lt;&gt;"")</formula>
    </cfRule>
  </conditionalFormatting>
  <conditionalFormatting sqref="H86:R86">
    <cfRule type="expression" dxfId="534" priority="52" stopIfTrue="1">
      <formula>$L86=2</formula>
    </cfRule>
    <cfRule type="expression" dxfId="533" priority="53" stopIfTrue="1">
      <formula>AND($L86=1,$R86&lt;&gt;"")</formula>
    </cfRule>
  </conditionalFormatting>
  <conditionalFormatting sqref="D86 T86:AE86">
    <cfRule type="expression" dxfId="532" priority="54" stopIfTrue="1">
      <formula>D86&lt;&gt;0</formula>
    </cfRule>
  </conditionalFormatting>
  <dataValidations xWindow="586" yWindow="736" count="5">
    <dataValidation type="list" allowBlank="1" showErrorMessage="1" sqref="G10">
      <formula1>"1,2,3,4"</formula1>
      <formula2>0</formula2>
    </dataValidation>
    <dataValidation allowBlank="1" showInputMessage="1" showErrorMessage="1" prompt="Preencha na célula de baixo. Se o acompanhamento for PLE, preencha no botão PREENCHIMENTO POR EVENTOS, acima." sqref="D1 T1:AE1 D14 D17 D20 T14:AE14 T17:AE17 T20:AE20 D23 D26 D29 T23:AE23 T26:AE26 T29:AE29 D32 D35 D38 T32:AE32 T35:AE35 T38:AE38 D41 D44 D47 T41:AE41 T44:AE44 T47:AE47 D50 D53 D56 T50:AE50 T53:AE53 T56:AE56 D59 D62 D65 T59:AE59 T62:AE62 T65:AE65 D68 D71 D74 T68:AE68 T71:AE71 T74:AE74 D77 D80 D83 T77:AE77 T80:AE80 T83:AE83 D86 T86:AE86"/>
    <dataValidation type="whole" operator="greaterThan" allowBlank="1" showErrorMessage="1" sqref="T12">
      <formula1>0</formula1>
      <formula2>0</formula2>
    </dataValidation>
    <dataValidation type="decimal" allowBlank="1" showErrorMessage="1" error="Porcentagem Acumulada &gt; 100%." sqref="D2 T2:AF2 D15 D18 D21 T15:AF15 T18:AF18 T21:AF21 D24 D27 D30 T24:AF24 T27:AF27 T30:AF30 D33 D36 D39 T33:AF33 T36:AF36 T39:AF39 D42 D45 D48 T42:AF42 T45:AF45 T48:AF48 D51 D54 D57 T51:AF51 T54:AF54 T57:AF57 D60 D63 D66 T60:AF60 T63:AF63 T66:AF66 D69 D72 D75 T69:AF69 T72:AF72 T75:AF75 D78 D81 D84 T78:AF78 T81:AF81 T84:AF84 D87 T87:AF87">
      <formula1>0</formula1>
      <formula2>CRONO.MaxParc</formula2>
    </dataValidation>
    <dataValidation type="date" operator="greaterThan" allowBlank="1" showInputMessage="1" showErrorMessage="1" errorTitle="Erro" error="Digite somente datas." sqref="T13">
      <formula1>36526</formula1>
    </dataValidation>
  </dataValidations>
  <pageMargins left="0.78740157480314965" right="0.78740157480314965" top="0.78740157480314965" bottom="0.78740157480314965" header="0.59055118110236227" footer="0.59055118110236227"/>
  <pageSetup paperSize="9" scale="63" firstPageNumber="0" orientation="landscape" r:id="rId1"/>
  <headerFooter alignWithMargins="0">
    <oddHeader>&amp;C&amp;14I</oddHeader>
    <oddFooter>&amp;LPMv3.0.6&amp;R&amp;P /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0">
    <pageSetUpPr fitToPage="1"/>
  </sheetPr>
  <dimension ref="A1:AE65"/>
  <sheetViews>
    <sheetView showGridLines="0" zoomScale="90" zoomScaleNormal="90" workbookViewId="0">
      <pane xSplit="3" ySplit="13" topLeftCell="D14" activePane="bottomRight" state="frozen"/>
      <selection activeCell="A3" sqref="A3"/>
      <selection pane="topRight" activeCell="D3" sqref="D3"/>
      <selection pane="bottomLeft" activeCell="A13" sqref="A13"/>
      <selection pane="bottomRight"/>
    </sheetView>
  </sheetViews>
  <sheetFormatPr defaultRowHeight="12.75" x14ac:dyDescent="0.2"/>
  <cols>
    <col min="1" max="1" width="3.85546875" customWidth="1"/>
    <col min="2" max="2" width="8.140625" customWidth="1"/>
    <col min="3" max="3" width="36.85546875" customWidth="1"/>
    <col min="4" max="4" width="1.42578125" customWidth="1"/>
    <col min="5" max="6" width="0" hidden="1" customWidth="1"/>
    <col min="7" max="31" width="5.7109375" customWidth="1"/>
    <col min="32" max="32" width="2.140625" customWidth="1"/>
  </cols>
  <sheetData>
    <row r="1" spans="1:31" hidden="1" x14ac:dyDescent="0.2">
      <c r="A1" s="7" t="e">
        <f ca="1">IF(AUTOEVENTO="Manual",IF(OFFSET(EVENTOS!$F$14,CRONOPLE!$B1,0)&gt;0,"F",""),IF(CRONOPLE!B1&lt;=MAX(CÁLCULO!$M$15:$M$747),"F",""))</f>
        <v>#REF!</v>
      </c>
      <c r="B1" s="287" t="e">
        <f ca="1">OFFSET(B1,-1,0)+1</f>
        <v>#REF!</v>
      </c>
      <c r="C1" s="288" t="e">
        <f ca="1">IF(AUTOEVENTO="Manual",IF($B1&lt;&gt;1,OFFSET(EVENTOS!$D$14,$B1,0),0),IF(B1&lt;=MAX(CÁLCULO!$M$15:$M$747),VLOOKUP($B1,CÁLCULO!$M$15:$N$747,2,FALSE),0))</f>
        <v>#REF!</v>
      </c>
      <c r="E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  <c r="AA1" s="289"/>
      <c r="AB1" s="289"/>
      <c r="AC1" s="289"/>
      <c r="AD1" s="289"/>
      <c r="AE1" s="289"/>
    </row>
    <row r="2" spans="1:31" hidden="1" x14ac:dyDescent="0.2"/>
    <row r="3" spans="1:31" hidden="1" x14ac:dyDescent="0.2"/>
    <row r="4" spans="1:31" hidden="1" x14ac:dyDescent="0.2"/>
    <row r="5" spans="1:31" ht="15.75" x14ac:dyDescent="0.2">
      <c r="B5" s="83" t="s">
        <v>288</v>
      </c>
    </row>
    <row r="7" spans="1:31" x14ac:dyDescent="0.2">
      <c r="B7" t="s">
        <v>289</v>
      </c>
    </row>
    <row r="9" spans="1:31" ht="15" x14ac:dyDescent="0.25">
      <c r="B9" s="290" t="str">
        <f ca="1">IF(ACOMPANHAMENTO="BM","NO ACOMPANHAMENTO POR BM, UTILIZE A ABA CRONO",IF(MAX($B$14:$B$65)&lt;MAX(CÁLCULO!$M$15:$M$747),"ERRO: NÚMERO DE EVENTOS INSUFICIENTE, CLIQUE EM ATUALIZAR LINHAS",IF(ROUND(OFFSET(CRONO!$AF$99,0,-1),2)&lt;&gt;CRONO!$Q$90,"ERRO: CRONOGRAMA NÃO FECHA 100%","")))</f>
        <v>NO ACOMPANHAMENTO POR BM, UTILIZE A ABA CRONO</v>
      </c>
    </row>
    <row r="11" spans="1:31" ht="65.25" customHeight="1" x14ac:dyDescent="0.2">
      <c r="A11" s="291"/>
      <c r="C11" s="292"/>
      <c r="E11" s="293">
        <f ca="1">IF(E$12&gt;CÁLCULO.NúmeroDeFrentes,"",OFFSET(CÁLCULO!$P$12,0,E$12))</f>
        <v>0</v>
      </c>
      <c r="G11" s="293">
        <f ca="1">IF(G$12&gt;CÁLCULO.NúmeroDeFrentes,"",OFFSET(CÁLCULO!$P$12,0,G$12))</f>
        <v>0</v>
      </c>
      <c r="H11" s="293">
        <f ca="1">IF(H$12&gt;CÁLCULO.NúmeroDeFrentes,"",OFFSET(CÁLCULO!$P$12,0,H$12))</f>
        <v>0</v>
      </c>
      <c r="I11" s="293">
        <f ca="1">IF(I$12&gt;CÁLCULO.NúmeroDeFrentes,"",OFFSET(CÁLCULO!$P$12,0,I$12))</f>
        <v>0</v>
      </c>
      <c r="J11" s="293">
        <f ca="1">IF(J$12&gt;CÁLCULO.NúmeroDeFrentes,"",OFFSET(CÁLCULO!$P$12,0,J$12))</f>
        <v>0</v>
      </c>
      <c r="K11" s="293">
        <f ca="1">IF(K$12&gt;CÁLCULO.NúmeroDeFrentes,"",OFFSET(CÁLCULO!$P$12,0,K$12))</f>
        <v>0</v>
      </c>
      <c r="L11" s="293">
        <f ca="1">IF(L$12&gt;CÁLCULO.NúmeroDeFrentes,"",OFFSET(CÁLCULO!$P$12,0,L$12))</f>
        <v>0</v>
      </c>
      <c r="M11" s="293">
        <f ca="1">IF(M$12&gt;CÁLCULO.NúmeroDeFrentes,"",OFFSET(CÁLCULO!$P$12,0,M$12))</f>
        <v>0</v>
      </c>
      <c r="N11" s="293">
        <f ca="1">IF(N$12&gt;CÁLCULO.NúmeroDeFrentes,"",OFFSET(CÁLCULO!$P$12,0,N$12))</f>
        <v>0</v>
      </c>
      <c r="O11" s="293">
        <f ca="1">IF(O$12&gt;CÁLCULO.NúmeroDeFrentes,"",OFFSET(CÁLCULO!$P$12,0,O$12))</f>
        <v>0</v>
      </c>
      <c r="P11" s="293">
        <f ca="1">IF(P$12&gt;CÁLCULO.NúmeroDeFrentes,"",OFFSET(CÁLCULO!$P$12,0,P$12))</f>
        <v>0</v>
      </c>
      <c r="Q11" s="293" t="str">
        <f ca="1">IF(Q$12&gt;CÁLCULO.NúmeroDeFrentes,"",OFFSET(CÁLCULO!$P$12,0,Q$12))</f>
        <v/>
      </c>
      <c r="R11" s="293" t="str">
        <f ca="1">IF(R$12&gt;CÁLCULO.NúmeroDeFrentes,"",OFFSET(CÁLCULO!$P$12,0,R$12))</f>
        <v/>
      </c>
      <c r="S11" s="293" t="str">
        <f ca="1">IF(S$12&gt;CÁLCULO.NúmeroDeFrentes,"",OFFSET(CÁLCULO!$P$12,0,S$12))</f>
        <v/>
      </c>
      <c r="T11" s="293" t="str">
        <f ca="1">IF(T$12&gt;CÁLCULO.NúmeroDeFrentes,"",OFFSET(CÁLCULO!$P$12,0,T$12))</f>
        <v/>
      </c>
      <c r="U11" s="293" t="str">
        <f ca="1">IF(U$12&gt;CÁLCULO.NúmeroDeFrentes,"",OFFSET(CÁLCULO!$P$12,0,U$12))</f>
        <v/>
      </c>
      <c r="V11" s="293" t="str">
        <f ca="1">IF(V$12&gt;CÁLCULO.NúmeroDeFrentes,"",OFFSET(CÁLCULO!$P$12,0,V$12))</f>
        <v/>
      </c>
      <c r="W11" s="293" t="str">
        <f ca="1">IF(W$12&gt;CÁLCULO.NúmeroDeFrentes,"",OFFSET(CÁLCULO!$P$12,0,W$12))</f>
        <v/>
      </c>
      <c r="X11" s="293" t="str">
        <f ca="1">IF(X$12&gt;CÁLCULO.NúmeroDeFrentes,"",OFFSET(CÁLCULO!$P$12,0,X$12))</f>
        <v/>
      </c>
      <c r="Y11" s="293" t="str">
        <f ca="1">IF(Y$12&gt;CÁLCULO.NúmeroDeFrentes,"",OFFSET(CÁLCULO!$P$12,0,Y$12))</f>
        <v/>
      </c>
      <c r="Z11" s="293" t="str">
        <f ca="1">IF(Z$12&gt;CÁLCULO.NúmeroDeFrentes,"",OFFSET(CÁLCULO!$P$12,0,Z$12))</f>
        <v/>
      </c>
      <c r="AA11" s="293" t="str">
        <f ca="1">IF(AA$12&gt;CÁLCULO.NúmeroDeFrentes,"",OFFSET(CÁLCULO!$P$12,0,AA$12))</f>
        <v/>
      </c>
      <c r="AB11" s="293" t="str">
        <f ca="1">IF(AB$12&gt;CÁLCULO.NúmeroDeFrentes,"",OFFSET(CÁLCULO!$P$12,0,AB$12))</f>
        <v/>
      </c>
      <c r="AC11" s="293" t="str">
        <f ca="1">IF(AC$12&gt;CÁLCULO.NúmeroDeFrentes,"",OFFSET(CÁLCULO!$P$12,0,AC$12))</f>
        <v/>
      </c>
      <c r="AD11" s="293" t="str">
        <f ca="1">IF(AD$12&gt;CÁLCULO.NúmeroDeFrentes,"",OFFSET(CÁLCULO!$P$12,0,AD$12))</f>
        <v/>
      </c>
      <c r="AE11" s="293" t="str">
        <f ca="1">IF(AE$12&gt;CÁLCULO.NúmeroDeFrentes,"",OFFSET(CÁLCULO!$P$12,0,AE$12))</f>
        <v/>
      </c>
    </row>
    <row r="12" spans="1:31" ht="12.75" customHeight="1" x14ac:dyDescent="0.2">
      <c r="A12" s="108"/>
      <c r="B12" s="644" t="s">
        <v>266</v>
      </c>
      <c r="C12" s="644" t="s">
        <v>291</v>
      </c>
      <c r="E12" s="294">
        <f ca="1">OFFSET(E12,0,-1)+1</f>
        <v>1</v>
      </c>
      <c r="G12" s="294">
        <f ca="1">OFFSET(G12,0,-1)+1</f>
        <v>1</v>
      </c>
      <c r="H12" s="294">
        <f ca="1">OFFSET(H12,0,-1)+1</f>
        <v>2</v>
      </c>
      <c r="I12" s="294">
        <f t="shared" ref="I12:AE12" ca="1" si="0">OFFSET(I12,0,-1)+1</f>
        <v>3</v>
      </c>
      <c r="J12" s="294">
        <f t="shared" ca="1" si="0"/>
        <v>4</v>
      </c>
      <c r="K12" s="294">
        <f t="shared" ca="1" si="0"/>
        <v>5</v>
      </c>
      <c r="L12" s="294">
        <f t="shared" ca="1" si="0"/>
        <v>6</v>
      </c>
      <c r="M12" s="294">
        <f t="shared" ca="1" si="0"/>
        <v>7</v>
      </c>
      <c r="N12" s="294">
        <f t="shared" ca="1" si="0"/>
        <v>8</v>
      </c>
      <c r="O12" s="294">
        <f t="shared" ca="1" si="0"/>
        <v>9</v>
      </c>
      <c r="P12" s="294">
        <f t="shared" ca="1" si="0"/>
        <v>10</v>
      </c>
      <c r="Q12" s="294">
        <f t="shared" ca="1" si="0"/>
        <v>11</v>
      </c>
      <c r="R12" s="294">
        <f t="shared" ca="1" si="0"/>
        <v>12</v>
      </c>
      <c r="S12" s="294">
        <f t="shared" ca="1" si="0"/>
        <v>13</v>
      </c>
      <c r="T12" s="294">
        <f t="shared" ca="1" si="0"/>
        <v>14</v>
      </c>
      <c r="U12" s="294">
        <f t="shared" ca="1" si="0"/>
        <v>15</v>
      </c>
      <c r="V12" s="294">
        <f t="shared" ca="1" si="0"/>
        <v>16</v>
      </c>
      <c r="W12" s="294">
        <f t="shared" ca="1" si="0"/>
        <v>17</v>
      </c>
      <c r="X12" s="294">
        <f t="shared" ca="1" si="0"/>
        <v>18</v>
      </c>
      <c r="Y12" s="294">
        <f t="shared" ca="1" si="0"/>
        <v>19</v>
      </c>
      <c r="Z12" s="294">
        <f t="shared" ca="1" si="0"/>
        <v>20</v>
      </c>
      <c r="AA12" s="294">
        <f t="shared" ca="1" si="0"/>
        <v>21</v>
      </c>
      <c r="AB12" s="294">
        <f t="shared" ca="1" si="0"/>
        <v>22</v>
      </c>
      <c r="AC12" s="294">
        <f t="shared" ca="1" si="0"/>
        <v>23</v>
      </c>
      <c r="AD12" s="294">
        <f t="shared" ca="1" si="0"/>
        <v>24</v>
      </c>
      <c r="AE12" s="294">
        <f t="shared" ca="1" si="0"/>
        <v>25</v>
      </c>
    </row>
    <row r="13" spans="1:31" x14ac:dyDescent="0.2">
      <c r="B13" s="644"/>
      <c r="C13" s="644"/>
      <c r="E13" s="295"/>
      <c r="G13" s="296"/>
      <c r="H13" s="295"/>
      <c r="I13" s="295"/>
      <c r="J13" s="295"/>
      <c r="K13" s="295"/>
      <c r="L13" s="295"/>
      <c r="M13" s="295" t="s">
        <v>292</v>
      </c>
      <c r="N13" s="295"/>
      <c r="O13" s="295"/>
      <c r="P13" s="295"/>
      <c r="Q13" s="295"/>
      <c r="R13" s="295"/>
      <c r="S13" s="295"/>
      <c r="T13" s="295"/>
      <c r="U13" s="295"/>
      <c r="V13" s="295"/>
      <c r="W13" s="295"/>
      <c r="X13" s="295"/>
      <c r="Y13" s="295"/>
      <c r="Z13" s="295"/>
      <c r="AA13" s="295"/>
      <c r="AB13" s="295"/>
      <c r="AC13" s="295"/>
      <c r="AD13" s="295"/>
      <c r="AE13" s="297"/>
    </row>
    <row r="14" spans="1:31" ht="7.5" customHeight="1" x14ac:dyDescent="0.2">
      <c r="A14" s="7"/>
    </row>
    <row r="15" spans="1:31" x14ac:dyDescent="0.2">
      <c r="A15" s="7"/>
      <c r="B15" s="298">
        <v>1</v>
      </c>
      <c r="C15" s="299" t="s">
        <v>269</v>
      </c>
      <c r="E15" s="300"/>
      <c r="G15" s="301" t="str">
        <f ca="1">IF(AUTOEVENTO="MANUAL","A administração local será proporcional a execução dos demais eventos, independente de frentes de obra.","Para aplicação de Adm. Local é necessário definir os eventos manualmente.")</f>
        <v>Para aplicação de Adm. Local é necessário definir os eventos manualmente.</v>
      </c>
      <c r="H15" s="300"/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  <c r="T15" s="300"/>
      <c r="U15" s="300"/>
      <c r="V15" s="300"/>
      <c r="W15" s="300"/>
      <c r="X15" s="300"/>
      <c r="Y15" s="300"/>
      <c r="Z15" s="300"/>
      <c r="AA15" s="300"/>
      <c r="AB15" s="300"/>
      <c r="AC15" s="300"/>
      <c r="AD15" s="300"/>
      <c r="AE15" s="302"/>
    </row>
    <row r="16" spans="1:31" x14ac:dyDescent="0.2">
      <c r="A16" s="7" t="str">
        <f ca="1">IF(AUTOEVENTO="Manual",IF(OFFSET(EVENTOS!$F$14,CRONOPLE!$B16,0)&gt;0,"F",""),IF(CRONOPLE!B16&lt;=MAX(CÁLCULO!$M$15:$M$747),"F",""))</f>
        <v>F</v>
      </c>
      <c r="B16" s="287">
        <f t="shared" ref="B16:B64" ca="1" si="1">OFFSET(B16,-1,0)+1</f>
        <v>2</v>
      </c>
      <c r="C16" s="288" t="str">
        <f ca="1">IF(AUTOEVENTO="Manual",IF($B16&lt;&gt;1,OFFSET(EVENTOS!$D$14,$B16,0),0),IF(B16&lt;=MAX(CÁLCULO!$M$15:$M$747),VLOOKUP($B16,CÁLCULO!$M$15:$N$747,2,FALSE),0))</f>
        <v>SERVIÇOS PRELIMINARES</v>
      </c>
      <c r="E16" s="289"/>
      <c r="G16" s="289"/>
      <c r="H16" s="289"/>
      <c r="I16" s="289"/>
      <c r="J16" s="289"/>
      <c r="K16" s="289"/>
      <c r="L16" s="289"/>
      <c r="M16" s="289"/>
      <c r="N16" s="289"/>
      <c r="O16" s="289"/>
      <c r="P16" s="289"/>
      <c r="Q16" s="289"/>
      <c r="R16" s="289"/>
      <c r="S16" s="289"/>
      <c r="T16" s="289"/>
      <c r="U16" s="289"/>
      <c r="V16" s="289"/>
      <c r="W16" s="289"/>
      <c r="X16" s="289"/>
      <c r="Y16" s="289"/>
      <c r="Z16" s="289"/>
      <c r="AA16" s="289"/>
      <c r="AB16" s="289"/>
      <c r="AC16" s="289"/>
      <c r="AD16" s="289"/>
      <c r="AE16" s="289"/>
    </row>
    <row r="17" spans="1:31" x14ac:dyDescent="0.2">
      <c r="A17" s="7" t="str">
        <f ca="1">IF(AUTOEVENTO="Manual",IF(OFFSET(EVENTOS!$F$14,CRONOPLE!$B17,0)&gt;0,"F",""),IF(CRONOPLE!B17&lt;=MAX(CÁLCULO!$M$15:$M$747),"F",""))</f>
        <v>F</v>
      </c>
      <c r="B17" s="287">
        <f t="shared" ca="1" si="1"/>
        <v>3</v>
      </c>
      <c r="C17" s="288" t="str">
        <f ca="1">IF(AUTOEVENTO="Manual",IF($B17&lt;&gt;1,OFFSET(EVENTOS!$D$14,$B17,0),0),IF(B17&lt;=MAX(CÁLCULO!$M$15:$M$747),VLOOKUP($B17,CÁLCULO!$M$15:$N$747,2,FALSE),0))</f>
        <v>MOVIMENTO DE TERRA PARA FUNDAÇÕES</v>
      </c>
      <c r="E17" s="289"/>
      <c r="G17" s="289"/>
      <c r="H17" s="289"/>
      <c r="I17" s="289"/>
      <c r="J17" s="289"/>
      <c r="K17" s="289"/>
      <c r="L17" s="289"/>
      <c r="M17" s="289"/>
      <c r="N17" s="289"/>
      <c r="O17" s="289"/>
      <c r="P17" s="289"/>
      <c r="Q17" s="289"/>
      <c r="R17" s="289"/>
      <c r="S17" s="289"/>
      <c r="T17" s="289"/>
      <c r="U17" s="289"/>
      <c r="V17" s="289"/>
      <c r="W17" s="289"/>
      <c r="X17" s="289"/>
      <c r="Y17" s="289"/>
      <c r="Z17" s="289"/>
      <c r="AA17" s="289"/>
      <c r="AB17" s="289"/>
      <c r="AC17" s="289"/>
      <c r="AD17" s="289"/>
      <c r="AE17" s="289"/>
    </row>
    <row r="18" spans="1:31" x14ac:dyDescent="0.2">
      <c r="A18" s="7" t="str">
        <f ca="1">IF(AUTOEVENTO="Manual",IF(OFFSET(EVENTOS!$F$14,CRONOPLE!$B18,0)&gt;0,"F",""),IF(CRONOPLE!B18&lt;=MAX(CÁLCULO!$M$15:$M$747),"F",""))</f>
        <v>F</v>
      </c>
      <c r="B18" s="287">
        <f t="shared" ca="1" si="1"/>
        <v>4</v>
      </c>
      <c r="C18" s="288" t="str">
        <f ca="1">IF(AUTOEVENTO="Manual",IF($B18&lt;&gt;1,OFFSET(EVENTOS!$D$14,$B18,0),0),IF(B18&lt;=MAX(CÁLCULO!$M$15:$M$747),VLOOKUP($B18,CÁLCULO!$M$15:$N$747,2,FALSE),0))</f>
        <v>FUNDAÇÕES</v>
      </c>
      <c r="E18" s="289"/>
      <c r="G18" s="289"/>
      <c r="H18" s="289"/>
      <c r="I18" s="289"/>
      <c r="J18" s="289"/>
      <c r="K18" s="289"/>
      <c r="L18" s="289"/>
      <c r="M18" s="289"/>
      <c r="N18" s="289"/>
      <c r="O18" s="289"/>
      <c r="P18" s="289"/>
      <c r="Q18" s="289"/>
      <c r="R18" s="289"/>
      <c r="S18" s="289"/>
      <c r="T18" s="289"/>
      <c r="U18" s="289"/>
      <c r="V18" s="289"/>
      <c r="W18" s="289"/>
      <c r="X18" s="289"/>
      <c r="Y18" s="289"/>
      <c r="Z18" s="289"/>
      <c r="AA18" s="289"/>
      <c r="AB18" s="289"/>
      <c r="AC18" s="289"/>
      <c r="AD18" s="289"/>
      <c r="AE18" s="289"/>
    </row>
    <row r="19" spans="1:31" x14ac:dyDescent="0.2">
      <c r="A19" s="7" t="str">
        <f ca="1">IF(AUTOEVENTO="Manual",IF(OFFSET(EVENTOS!$F$14,CRONOPLE!$B19,0)&gt;0,"F",""),IF(CRONOPLE!B19&lt;=MAX(CÁLCULO!$M$15:$M$747),"F",""))</f>
        <v>F</v>
      </c>
      <c r="B19" s="287">
        <f t="shared" ca="1" si="1"/>
        <v>5</v>
      </c>
      <c r="C19" s="288" t="str">
        <f ca="1">IF(AUTOEVENTO="Manual",IF($B19&lt;&gt;1,OFFSET(EVENTOS!$D$14,$B19,0),0),IF(B19&lt;=MAX(CÁLCULO!$M$15:$M$747),VLOOKUP($B19,CÁLCULO!$M$15:$N$747,2,FALSE),0))</f>
        <v>SUPERESTRUTURA</v>
      </c>
      <c r="E19" s="289"/>
      <c r="G19" s="289"/>
      <c r="H19" s="289"/>
      <c r="I19" s="289"/>
      <c r="J19" s="289"/>
      <c r="K19" s="289"/>
      <c r="L19" s="289"/>
      <c r="M19" s="289"/>
      <c r="N19" s="289"/>
      <c r="O19" s="289"/>
      <c r="P19" s="289"/>
      <c r="Q19" s="289"/>
      <c r="R19" s="289"/>
      <c r="S19" s="289"/>
      <c r="T19" s="289"/>
      <c r="U19" s="289"/>
      <c r="V19" s="289"/>
      <c r="W19" s="289"/>
      <c r="X19" s="289"/>
      <c r="Y19" s="289"/>
      <c r="Z19" s="289"/>
      <c r="AA19" s="289"/>
      <c r="AB19" s="289"/>
      <c r="AC19" s="289"/>
      <c r="AD19" s="289"/>
      <c r="AE19" s="289"/>
    </row>
    <row r="20" spans="1:31" x14ac:dyDescent="0.2">
      <c r="A20" s="7" t="str">
        <f ca="1">IF(AUTOEVENTO="Manual",IF(OFFSET(EVENTOS!$F$14,CRONOPLE!$B20,0)&gt;0,"F",""),IF(CRONOPLE!B20&lt;=MAX(CÁLCULO!$M$15:$M$747),"F",""))</f>
        <v>F</v>
      </c>
      <c r="B20" s="287">
        <f t="shared" ca="1" si="1"/>
        <v>6</v>
      </c>
      <c r="C20" s="288" t="str">
        <f ca="1">IF(AUTOEVENTO="Manual",IF($B20&lt;&gt;1,OFFSET(EVENTOS!$D$14,$B20,0),0),IF(B20&lt;=MAX(CÁLCULO!$M$15:$M$747),VLOOKUP($B20,CÁLCULO!$M$15:$N$747,2,FALSE),0))</f>
        <v>SISTEMA DE VEDAÇÃO VERTICAL</v>
      </c>
      <c r="E20" s="289"/>
      <c r="G20" s="289"/>
      <c r="H20" s="289"/>
      <c r="I20" s="289"/>
      <c r="J20" s="289"/>
      <c r="K20" s="289"/>
      <c r="L20" s="289"/>
      <c r="M20" s="289"/>
      <c r="N20" s="289"/>
      <c r="O20" s="289"/>
      <c r="P20" s="289"/>
      <c r="Q20" s="289"/>
      <c r="R20" s="289"/>
      <c r="S20" s="289"/>
      <c r="T20" s="289"/>
      <c r="U20" s="289"/>
      <c r="V20" s="289"/>
      <c r="W20" s="289"/>
      <c r="X20" s="289"/>
      <c r="Y20" s="289"/>
      <c r="Z20" s="289"/>
      <c r="AA20" s="289"/>
      <c r="AB20" s="289"/>
      <c r="AC20" s="289"/>
      <c r="AD20" s="289"/>
      <c r="AE20" s="289"/>
    </row>
    <row r="21" spans="1:31" x14ac:dyDescent="0.2">
      <c r="A21" s="7" t="str">
        <f ca="1">IF(AUTOEVENTO="Manual",IF(OFFSET(EVENTOS!$F$14,CRONOPLE!$B21,0)&gt;0,"F",""),IF(CRONOPLE!B21&lt;=MAX(CÁLCULO!$M$15:$M$747),"F",""))</f>
        <v>F</v>
      </c>
      <c r="B21" s="287">
        <f t="shared" ca="1" si="1"/>
        <v>7</v>
      </c>
      <c r="C21" s="288" t="str">
        <f ca="1">IF(AUTOEVENTO="Manual",IF($B21&lt;&gt;1,OFFSET(EVENTOS!$D$14,$B21,0),0),IF(B21&lt;=MAX(CÁLCULO!$M$15:$M$747),VLOOKUP($B21,CÁLCULO!$M$15:$N$747,2,FALSE),0))</f>
        <v>ESQUADRIAS</v>
      </c>
      <c r="E21" s="289"/>
      <c r="G21" s="289"/>
      <c r="H21" s="289"/>
      <c r="I21" s="289"/>
      <c r="J21" s="289"/>
      <c r="K21" s="289"/>
      <c r="L21" s="289"/>
      <c r="M21" s="289"/>
      <c r="N21" s="289"/>
      <c r="O21" s="289"/>
      <c r="P21" s="289"/>
      <c r="Q21" s="289"/>
      <c r="R21" s="289"/>
      <c r="S21" s="289"/>
      <c r="T21" s="289"/>
      <c r="U21" s="289"/>
      <c r="V21" s="289"/>
      <c r="W21" s="289"/>
      <c r="X21" s="289"/>
      <c r="Y21" s="289"/>
      <c r="Z21" s="289"/>
      <c r="AA21" s="289"/>
      <c r="AB21" s="289"/>
      <c r="AC21" s="289"/>
      <c r="AD21" s="289"/>
      <c r="AE21" s="289"/>
    </row>
    <row r="22" spans="1:31" x14ac:dyDescent="0.2">
      <c r="A22" s="7" t="str">
        <f ca="1">IF(AUTOEVENTO="Manual",IF(OFFSET(EVENTOS!$F$14,CRONOPLE!$B22,0)&gt;0,"F",""),IF(CRONOPLE!B22&lt;=MAX(CÁLCULO!$M$15:$M$747),"F",""))</f>
        <v>F</v>
      </c>
      <c r="B22" s="287">
        <f t="shared" ca="1" si="1"/>
        <v>8</v>
      </c>
      <c r="C22" s="288" t="str">
        <f ca="1">IF(AUTOEVENTO="Manual",IF($B22&lt;&gt;1,OFFSET(EVENTOS!$D$14,$B22,0),0),IF(B22&lt;=MAX(CÁLCULO!$M$15:$M$747),VLOOKUP($B22,CÁLCULO!$M$15:$N$747,2,FALSE),0))</f>
        <v>SISTEMAS DE COBERTURA</v>
      </c>
      <c r="E22" s="289"/>
      <c r="G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  <c r="W22" s="289"/>
      <c r="X22" s="289"/>
      <c r="Y22" s="289"/>
      <c r="Z22" s="289"/>
      <c r="AA22" s="289"/>
      <c r="AB22" s="289"/>
      <c r="AC22" s="289"/>
      <c r="AD22" s="289"/>
      <c r="AE22" s="289"/>
    </row>
    <row r="23" spans="1:31" x14ac:dyDescent="0.2">
      <c r="A23" s="7" t="str">
        <f ca="1">IF(AUTOEVENTO="Manual",IF(OFFSET(EVENTOS!$F$14,CRONOPLE!$B23,0)&gt;0,"F",""),IF(CRONOPLE!B23&lt;=MAX(CÁLCULO!$M$15:$M$747),"F",""))</f>
        <v>F</v>
      </c>
      <c r="B23" s="287">
        <f t="shared" ca="1" si="1"/>
        <v>9</v>
      </c>
      <c r="C23" s="288" t="str">
        <f ca="1">IF(AUTOEVENTO="Manual",IF($B23&lt;&gt;1,OFFSET(EVENTOS!$D$14,$B23,0),0),IF(B23&lt;=MAX(CÁLCULO!$M$15:$M$747),VLOOKUP($B23,CÁLCULO!$M$15:$N$747,2,FALSE),0))</f>
        <v>IMPERMEABILIZAÇÃO</v>
      </c>
      <c r="E23" s="289"/>
      <c r="G23" s="289"/>
      <c r="H23" s="289"/>
      <c r="I23" s="289"/>
      <c r="J23" s="289"/>
      <c r="K23" s="289"/>
      <c r="L23" s="289"/>
      <c r="M23" s="289"/>
      <c r="N23" s="289"/>
      <c r="O23" s="289"/>
      <c r="P23" s="289"/>
      <c r="Q23" s="289"/>
      <c r="R23" s="289"/>
      <c r="S23" s="289"/>
      <c r="T23" s="289"/>
      <c r="U23" s="289"/>
      <c r="V23" s="289"/>
      <c r="W23" s="289"/>
      <c r="X23" s="289"/>
      <c r="Y23" s="289"/>
      <c r="Z23" s="289"/>
      <c r="AA23" s="289"/>
      <c r="AB23" s="289"/>
      <c r="AC23" s="289"/>
      <c r="AD23" s="289"/>
      <c r="AE23" s="289"/>
    </row>
    <row r="24" spans="1:31" x14ac:dyDescent="0.2">
      <c r="A24" s="7" t="str">
        <f ca="1">IF(AUTOEVENTO="Manual",IF(OFFSET(EVENTOS!$F$14,CRONOPLE!$B24,0)&gt;0,"F",""),IF(CRONOPLE!B24&lt;=MAX(CÁLCULO!$M$15:$M$747),"F",""))</f>
        <v>F</v>
      </c>
      <c r="B24" s="287">
        <f t="shared" ca="1" si="1"/>
        <v>10</v>
      </c>
      <c r="C24" s="288" t="str">
        <f ca="1">IF(AUTOEVENTO="Manual",IF($B24&lt;&gt;1,OFFSET(EVENTOS!$D$14,$B24,0),0),IF(B24&lt;=MAX(CÁLCULO!$M$15:$M$747),VLOOKUP($B24,CÁLCULO!$M$15:$N$747,2,FALSE),0))</f>
        <v>REVESTIMENTOS INTERNO E EXTERNO</v>
      </c>
      <c r="E24" s="289"/>
      <c r="G24" s="289"/>
      <c r="H24" s="289"/>
      <c r="I24" s="289"/>
      <c r="J24" s="289"/>
      <c r="K24" s="289"/>
      <c r="L24" s="289"/>
      <c r="M24" s="289"/>
      <c r="N24" s="289"/>
      <c r="O24" s="289"/>
      <c r="P24" s="289"/>
      <c r="Q24" s="289"/>
      <c r="R24" s="289"/>
      <c r="S24" s="289"/>
      <c r="T24" s="289"/>
      <c r="U24" s="289"/>
      <c r="V24" s="289"/>
      <c r="W24" s="289"/>
      <c r="X24" s="289"/>
      <c r="Y24" s="289"/>
      <c r="Z24" s="289"/>
      <c r="AA24" s="289"/>
      <c r="AB24" s="289"/>
      <c r="AC24" s="289"/>
      <c r="AD24" s="289"/>
      <c r="AE24" s="289"/>
    </row>
    <row r="25" spans="1:31" x14ac:dyDescent="0.2">
      <c r="A25" s="7" t="str">
        <f ca="1">IF(AUTOEVENTO="Manual",IF(OFFSET(EVENTOS!$F$14,CRONOPLE!$B25,0)&gt;0,"F",""),IF(CRONOPLE!B25&lt;=MAX(CÁLCULO!$M$15:$M$747),"F",""))</f>
        <v>F</v>
      </c>
      <c r="B25" s="287">
        <f t="shared" ca="1" si="1"/>
        <v>11</v>
      </c>
      <c r="C25" s="288" t="str">
        <f ca="1">IF(AUTOEVENTO="Manual",IF($B25&lt;&gt;1,OFFSET(EVENTOS!$D$14,$B25,0),0),IF(B25&lt;=MAX(CÁLCULO!$M$15:$M$747),VLOOKUP($B25,CÁLCULO!$M$15:$N$747,2,FALSE),0))</f>
        <v>SISTEMAS DE PISOS</v>
      </c>
      <c r="E25" s="289"/>
      <c r="G25" s="289"/>
      <c r="H25" s="289"/>
      <c r="I25" s="289"/>
      <c r="J25" s="289"/>
      <c r="K25" s="289"/>
      <c r="L25" s="289"/>
      <c r="M25" s="289"/>
      <c r="N25" s="289"/>
      <c r="O25" s="289"/>
      <c r="P25" s="289"/>
      <c r="Q25" s="289"/>
      <c r="R25" s="289"/>
      <c r="S25" s="289"/>
      <c r="T25" s="289"/>
      <c r="U25" s="289"/>
      <c r="V25" s="289"/>
      <c r="W25" s="289"/>
      <c r="X25" s="289"/>
      <c r="Y25" s="289"/>
      <c r="Z25" s="289"/>
      <c r="AA25" s="289"/>
      <c r="AB25" s="289"/>
      <c r="AC25" s="289"/>
      <c r="AD25" s="289"/>
      <c r="AE25" s="289"/>
    </row>
    <row r="26" spans="1:31" x14ac:dyDescent="0.2">
      <c r="A26" s="7" t="str">
        <f ca="1">IF(AUTOEVENTO="Manual",IF(OFFSET(EVENTOS!$F$14,CRONOPLE!$B26,0)&gt;0,"F",""),IF(CRONOPLE!B26&lt;=MAX(CÁLCULO!$M$15:$M$747),"F",""))</f>
        <v>F</v>
      </c>
      <c r="B26" s="287">
        <f t="shared" ca="1" si="1"/>
        <v>12</v>
      </c>
      <c r="C26" s="288" t="str">
        <f ca="1">IF(AUTOEVENTO="Manual",IF($B26&lt;&gt;1,OFFSET(EVENTOS!$D$14,$B26,0),0),IF(B26&lt;=MAX(CÁLCULO!$M$15:$M$747),VLOOKUP($B26,CÁLCULO!$M$15:$N$747,2,FALSE),0))</f>
        <v>PINTURAS E ACABAMENTOS</v>
      </c>
      <c r="E26" s="289"/>
      <c r="G26" s="289"/>
      <c r="H26" s="289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  <c r="Z26" s="289"/>
      <c r="AA26" s="289"/>
      <c r="AB26" s="289"/>
      <c r="AC26" s="289"/>
      <c r="AD26" s="289"/>
      <c r="AE26" s="289"/>
    </row>
    <row r="27" spans="1:31" x14ac:dyDescent="0.2">
      <c r="A27" s="7" t="str">
        <f ca="1">IF(AUTOEVENTO="Manual",IF(OFFSET(EVENTOS!$F$14,CRONOPLE!$B27,0)&gt;0,"F",""),IF(CRONOPLE!B27&lt;=MAX(CÁLCULO!$M$15:$M$747),"F",""))</f>
        <v>F</v>
      </c>
      <c r="B27" s="287">
        <f t="shared" ca="1" si="1"/>
        <v>13</v>
      </c>
      <c r="C27" s="288" t="str">
        <f ca="1">IF(AUTOEVENTO="Manual",IF($B27&lt;&gt;1,OFFSET(EVENTOS!$D$14,$B27,0),0),IF(B27&lt;=MAX(CÁLCULO!$M$15:$M$747),VLOOKUP($B27,CÁLCULO!$M$15:$N$747,2,FALSE),0))</f>
        <v>INSTALAÇÃO HIDRÁULICA</v>
      </c>
      <c r="E27" s="289"/>
      <c r="G27" s="289"/>
      <c r="H27" s="289"/>
      <c r="I27" s="289"/>
      <c r="J27" s="289"/>
      <c r="K27" s="289"/>
      <c r="L27" s="289"/>
      <c r="M27" s="289"/>
      <c r="N27" s="289"/>
      <c r="O27" s="289"/>
      <c r="P27" s="289"/>
      <c r="Q27" s="289"/>
      <c r="R27" s="289"/>
      <c r="S27" s="289"/>
      <c r="T27" s="289"/>
      <c r="U27" s="289"/>
      <c r="V27" s="289"/>
      <c r="W27" s="289"/>
      <c r="X27" s="289"/>
      <c r="Y27" s="289"/>
      <c r="Z27" s="289"/>
      <c r="AA27" s="289"/>
      <c r="AB27" s="289"/>
      <c r="AC27" s="289"/>
      <c r="AD27" s="289"/>
      <c r="AE27" s="289"/>
    </row>
    <row r="28" spans="1:31" x14ac:dyDescent="0.2">
      <c r="A28" s="7" t="str">
        <f ca="1">IF(AUTOEVENTO="Manual",IF(OFFSET(EVENTOS!$F$14,CRONOPLE!$B28,0)&gt;0,"F",""),IF(CRONOPLE!B28&lt;=MAX(CÁLCULO!$M$15:$M$747),"F",""))</f>
        <v>F</v>
      </c>
      <c r="B28" s="287">
        <f t="shared" ca="1" si="1"/>
        <v>14</v>
      </c>
      <c r="C28" s="288" t="str">
        <f ca="1">IF(AUTOEVENTO="Manual",IF($B28&lt;&gt;1,OFFSET(EVENTOS!$D$14,$B28,0),0),IF(B28&lt;=MAX(CÁLCULO!$M$15:$M$747),VLOOKUP($B28,CÁLCULO!$M$15:$N$747,2,FALSE),0))</f>
        <v>DRENAGEM DE ÁGUAS PLUVIAIS</v>
      </c>
      <c r="E28" s="289"/>
      <c r="G28" s="289"/>
      <c r="H28" s="289"/>
      <c r="I28" s="289"/>
      <c r="J28" s="289"/>
      <c r="K28" s="289"/>
      <c r="L28" s="289"/>
      <c r="M28" s="289"/>
      <c r="N28" s="289"/>
      <c r="O28" s="289"/>
      <c r="P28" s="289"/>
      <c r="Q28" s="289"/>
      <c r="R28" s="289"/>
      <c r="S28" s="289"/>
      <c r="T28" s="289"/>
      <c r="U28" s="289"/>
      <c r="V28" s="289"/>
      <c r="W28" s="289"/>
      <c r="X28" s="289"/>
      <c r="Y28" s="289"/>
      <c r="Z28" s="289"/>
      <c r="AA28" s="289"/>
      <c r="AB28" s="289"/>
      <c r="AC28" s="289"/>
      <c r="AD28" s="289"/>
      <c r="AE28" s="289"/>
    </row>
    <row r="29" spans="1:31" x14ac:dyDescent="0.2">
      <c r="A29" s="7" t="str">
        <f ca="1">IF(AUTOEVENTO="Manual",IF(OFFSET(EVENTOS!$F$14,CRONOPLE!$B29,0)&gt;0,"F",""),IF(CRONOPLE!B29&lt;=MAX(CÁLCULO!$M$15:$M$747),"F",""))</f>
        <v>F</v>
      </c>
      <c r="B29" s="287">
        <f t="shared" ca="1" si="1"/>
        <v>15</v>
      </c>
      <c r="C29" s="288" t="str">
        <f ca="1">IF(AUTOEVENTO="Manual",IF($B29&lt;&gt;1,OFFSET(EVENTOS!$D$14,$B29,0),0),IF(B29&lt;=MAX(CÁLCULO!$M$15:$M$747),VLOOKUP($B29,CÁLCULO!$M$15:$N$747,2,FALSE),0))</f>
        <v>INSTALAÇÕES DE ESGOTO SANITÁRIO</v>
      </c>
      <c r="E29" s="289"/>
      <c r="G29" s="289"/>
      <c r="H29" s="289"/>
      <c r="I29" s="289"/>
      <c r="J29" s="289"/>
      <c r="K29" s="289"/>
      <c r="L29" s="289"/>
      <c r="M29" s="289"/>
      <c r="N29" s="289"/>
      <c r="O29" s="289"/>
      <c r="P29" s="289"/>
      <c r="Q29" s="289"/>
      <c r="R29" s="289"/>
      <c r="S29" s="289"/>
      <c r="T29" s="289"/>
      <c r="U29" s="289"/>
      <c r="V29" s="289"/>
      <c r="W29" s="289"/>
      <c r="X29" s="289"/>
      <c r="Y29" s="289"/>
      <c r="Z29" s="289"/>
      <c r="AA29" s="289"/>
      <c r="AB29" s="289"/>
      <c r="AC29" s="289"/>
      <c r="AD29" s="289"/>
      <c r="AE29" s="289"/>
    </row>
    <row r="30" spans="1:31" x14ac:dyDescent="0.2">
      <c r="A30" s="7" t="str">
        <f ca="1">IF(AUTOEVENTO="Manual",IF(OFFSET(EVENTOS!$F$14,CRONOPLE!$B30,0)&gt;0,"F",""),IF(CRONOPLE!B30&lt;=MAX(CÁLCULO!$M$15:$M$747),"F",""))</f>
        <v>F</v>
      </c>
      <c r="B30" s="287">
        <f t="shared" ca="1" si="1"/>
        <v>16</v>
      </c>
      <c r="C30" s="288" t="str">
        <f ca="1">IF(AUTOEVENTO="Manual",IF($B30&lt;&gt;1,OFFSET(EVENTOS!$D$14,$B30,0),0),IF(B30&lt;=MAX(CÁLCULO!$M$15:$M$747),VLOOKUP($B30,CÁLCULO!$M$15:$N$747,2,FALSE),0))</f>
        <v>LOUÇAS, ACESSÓRIOS E METAIS</v>
      </c>
      <c r="E30" s="289"/>
      <c r="G30" s="289"/>
      <c r="H30" s="289"/>
      <c r="I30" s="289"/>
      <c r="J30" s="289"/>
      <c r="K30" s="289"/>
      <c r="L30" s="289"/>
      <c r="M30" s="289"/>
      <c r="N30" s="289"/>
      <c r="O30" s="289"/>
      <c r="P30" s="289"/>
      <c r="Q30" s="289"/>
      <c r="R30" s="289"/>
      <c r="S30" s="289"/>
      <c r="T30" s="289"/>
      <c r="U30" s="289"/>
      <c r="V30" s="289"/>
      <c r="W30" s="289"/>
      <c r="X30" s="289"/>
      <c r="Y30" s="289"/>
      <c r="Z30" s="289"/>
      <c r="AA30" s="289"/>
      <c r="AB30" s="289"/>
      <c r="AC30" s="289"/>
      <c r="AD30" s="289"/>
      <c r="AE30" s="289"/>
    </row>
    <row r="31" spans="1:31" x14ac:dyDescent="0.2">
      <c r="A31" s="7" t="str">
        <f ca="1">IF(AUTOEVENTO="Manual",IF(OFFSET(EVENTOS!$F$14,CRONOPLE!$B31,0)&gt;0,"F",""),IF(CRONOPLE!B31&lt;=MAX(CÁLCULO!$M$15:$M$747),"F",""))</f>
        <v>F</v>
      </c>
      <c r="B31" s="287">
        <f t="shared" ca="1" si="1"/>
        <v>17</v>
      </c>
      <c r="C31" s="288" t="str">
        <f ca="1">IF(AUTOEVENTO="Manual",IF($B31&lt;&gt;1,OFFSET(EVENTOS!$D$14,$B31,0),0),IF(B31&lt;=MAX(CÁLCULO!$M$15:$M$747),VLOOKUP($B31,CÁLCULO!$M$15:$N$747,2,FALSE),0))</f>
        <v>SISTEMA DE PROTEÇÃO CONTRA INCÊNDIO</v>
      </c>
      <c r="E31" s="289"/>
      <c r="G31" s="289"/>
      <c r="H31" s="289"/>
      <c r="I31" s="289"/>
      <c r="J31" s="289"/>
      <c r="K31" s="289"/>
      <c r="L31" s="289"/>
      <c r="M31" s="289"/>
      <c r="N31" s="289"/>
      <c r="O31" s="289"/>
      <c r="P31" s="289"/>
      <c r="Q31" s="289"/>
      <c r="R31" s="289"/>
      <c r="S31" s="289"/>
      <c r="T31" s="289"/>
      <c r="U31" s="289"/>
      <c r="V31" s="289"/>
      <c r="W31" s="289"/>
      <c r="X31" s="289"/>
      <c r="Y31" s="289"/>
      <c r="Z31" s="289"/>
      <c r="AA31" s="289"/>
      <c r="AB31" s="289"/>
      <c r="AC31" s="289"/>
      <c r="AD31" s="289"/>
      <c r="AE31" s="289"/>
    </row>
    <row r="32" spans="1:31" x14ac:dyDescent="0.2">
      <c r="A32" s="7" t="str">
        <f ca="1">IF(AUTOEVENTO="Manual",IF(OFFSET(EVENTOS!$F$14,CRONOPLE!$B32,0)&gt;0,"F",""),IF(CRONOPLE!B32&lt;=MAX(CÁLCULO!$M$15:$M$747),"F",""))</f>
        <v>F</v>
      </c>
      <c r="B32" s="287">
        <f t="shared" ca="1" si="1"/>
        <v>18</v>
      </c>
      <c r="C32" s="288" t="str">
        <f ca="1">IF(AUTOEVENTO="Manual",IF($B32&lt;&gt;1,OFFSET(EVENTOS!$D$14,$B32,0),0),IF(B32&lt;=MAX(CÁLCULO!$M$15:$M$747),VLOOKUP($B32,CÁLCULO!$M$15:$N$747,2,FALSE),0))</f>
        <v>INSTALAÇÕES ELÉTRICAS - 220V</v>
      </c>
      <c r="E32" s="289"/>
      <c r="G32" s="289"/>
      <c r="H32" s="289"/>
      <c r="I32" s="289"/>
      <c r="J32" s="289"/>
      <c r="K32" s="289"/>
      <c r="L32" s="289"/>
      <c r="M32" s="289"/>
      <c r="N32" s="289"/>
      <c r="O32" s="289"/>
      <c r="P32" s="289"/>
      <c r="Q32" s="289"/>
      <c r="R32" s="289"/>
      <c r="S32" s="289"/>
      <c r="T32" s="289"/>
      <c r="U32" s="289"/>
      <c r="V32" s="289"/>
      <c r="W32" s="289"/>
      <c r="X32" s="289"/>
      <c r="Y32" s="289"/>
      <c r="Z32" s="289"/>
      <c r="AA32" s="289"/>
      <c r="AB32" s="289"/>
      <c r="AC32" s="289"/>
      <c r="AD32" s="289"/>
      <c r="AE32" s="289"/>
    </row>
    <row r="33" spans="1:31" x14ac:dyDescent="0.2">
      <c r="A33" s="7" t="str">
        <f ca="1">IF(AUTOEVENTO="Manual",IF(OFFSET(EVENTOS!$F$14,CRONOPLE!$B33,0)&gt;0,"F",""),IF(CRONOPLE!B33&lt;=MAX(CÁLCULO!$M$15:$M$747),"F",""))</f>
        <v>F</v>
      </c>
      <c r="B33" s="287">
        <f t="shared" ca="1" si="1"/>
        <v>19</v>
      </c>
      <c r="C33" s="288" t="str">
        <f ca="1">IF(AUTOEVENTO="Manual",IF($B33&lt;&gt;1,OFFSET(EVENTOS!$D$14,$B33,0),0),IF(B33&lt;=MAX(CÁLCULO!$M$15:$M$747),VLOOKUP($B33,CÁLCULO!$M$15:$N$747,2,FALSE),0))</f>
        <v>INSTALAÇÕES DE CABEAMENTO ESTRUTURADO</v>
      </c>
      <c r="E33" s="289"/>
      <c r="G33" s="289"/>
      <c r="H33" s="289"/>
      <c r="I33" s="289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  <c r="V33" s="289"/>
      <c r="W33" s="289"/>
      <c r="X33" s="289"/>
      <c r="Y33" s="289"/>
      <c r="Z33" s="289"/>
      <c r="AA33" s="289"/>
      <c r="AB33" s="289"/>
      <c r="AC33" s="289"/>
      <c r="AD33" s="289"/>
      <c r="AE33" s="289"/>
    </row>
    <row r="34" spans="1:31" x14ac:dyDescent="0.2">
      <c r="A34" s="7" t="str">
        <f ca="1">IF(AUTOEVENTO="Manual",IF(OFFSET(EVENTOS!$F$14,CRONOPLE!$B34,0)&gt;0,"F",""),IF(CRONOPLE!B34&lt;=MAX(CÁLCULO!$M$15:$M$747),"F",""))</f>
        <v>F</v>
      </c>
      <c r="B34" s="287">
        <f t="shared" ca="1" si="1"/>
        <v>20</v>
      </c>
      <c r="C34" s="288" t="str">
        <f ca="1">IF(AUTOEVENTO="Manual",IF($B34&lt;&gt;1,OFFSET(EVENTOS!$D$14,$B34,0),0),IF(B34&lt;=MAX(CÁLCULO!$M$15:$M$747),VLOOKUP($B34,CÁLCULO!$M$15:$N$747,2,FALSE),0))</f>
        <v>SISTEMA DE PROTEÇÃO CONTRA DESCARGAS ATMOSFÉRICAS (SPDA)</v>
      </c>
      <c r="E34" s="289"/>
      <c r="G34" s="289"/>
      <c r="H34" s="289"/>
      <c r="I34" s="289"/>
      <c r="J34" s="289"/>
      <c r="K34" s="289"/>
      <c r="L34" s="289"/>
      <c r="M34" s="289"/>
      <c r="N34" s="289"/>
      <c r="O34" s="289"/>
      <c r="P34" s="289"/>
      <c r="Q34" s="289"/>
      <c r="R34" s="289"/>
      <c r="S34" s="289"/>
      <c r="T34" s="289"/>
      <c r="U34" s="289"/>
      <c r="V34" s="289"/>
      <c r="W34" s="289"/>
      <c r="X34" s="289"/>
      <c r="Y34" s="289"/>
      <c r="Z34" s="289"/>
      <c r="AA34" s="289"/>
      <c r="AB34" s="289"/>
      <c r="AC34" s="289"/>
      <c r="AD34" s="289"/>
      <c r="AE34" s="289"/>
    </row>
    <row r="35" spans="1:31" x14ac:dyDescent="0.2">
      <c r="A35" s="7" t="str">
        <f ca="1">IF(AUTOEVENTO="Manual",IF(OFFSET(EVENTOS!$F$14,CRONOPLE!$B35,0)&gt;0,"F",""),IF(CRONOPLE!B35&lt;=MAX(CÁLCULO!$M$15:$M$747),"F",""))</f>
        <v>F</v>
      </c>
      <c r="B35" s="287">
        <f t="shared" ca="1" si="1"/>
        <v>21</v>
      </c>
      <c r="C35" s="288" t="str">
        <f ca="1">IF(AUTOEVENTO="Manual",IF($B35&lt;&gt;1,OFFSET(EVENTOS!$D$14,$B35,0),0),IF(B35&lt;=MAX(CÁLCULO!$M$15:$M$747),VLOOKUP($B35,CÁLCULO!$M$15:$N$747,2,FALSE),0))</f>
        <v>INSTALAÇÕES DE CLIMATIZAÇÃO</v>
      </c>
      <c r="E35" s="289"/>
      <c r="G35" s="289"/>
      <c r="H35" s="289"/>
      <c r="I35" s="289"/>
      <c r="J35" s="289"/>
      <c r="K35" s="289"/>
      <c r="L35" s="289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89"/>
      <c r="Y35" s="289"/>
      <c r="Z35" s="289"/>
      <c r="AA35" s="289"/>
      <c r="AB35" s="289"/>
      <c r="AC35" s="289"/>
      <c r="AD35" s="289"/>
      <c r="AE35" s="289"/>
    </row>
    <row r="36" spans="1:31" x14ac:dyDescent="0.2">
      <c r="A36" s="7" t="str">
        <f ca="1">IF(AUTOEVENTO="Manual",IF(OFFSET(EVENTOS!$F$14,CRONOPLE!$B36,0)&gt;0,"F",""),IF(CRONOPLE!B36&lt;=MAX(CÁLCULO!$M$15:$M$747),"F",""))</f>
        <v>F</v>
      </c>
      <c r="B36" s="287">
        <f t="shared" ca="1" si="1"/>
        <v>22</v>
      </c>
      <c r="C36" s="288" t="str">
        <f ca="1">IF(AUTOEVENTO="Manual",IF($B36&lt;&gt;1,OFFSET(EVENTOS!$D$14,$B36,0),0),IF(B36&lt;=MAX(CÁLCULO!$M$15:$M$747),VLOOKUP($B36,CÁLCULO!$M$15:$N$747,2,FALSE),0))</f>
        <v>INSTALAÇÕES DE EXAUSTÃO MECÂNICA</v>
      </c>
      <c r="E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89"/>
    </row>
    <row r="37" spans="1:31" x14ac:dyDescent="0.2">
      <c r="A37" s="7" t="str">
        <f ca="1">IF(AUTOEVENTO="Manual",IF(OFFSET(EVENTOS!$F$14,CRONOPLE!$B37,0)&gt;0,"F",""),IF(CRONOPLE!B37&lt;=MAX(CÁLCULO!$M$15:$M$747),"F",""))</f>
        <v>F</v>
      </c>
      <c r="B37" s="287">
        <f t="shared" ca="1" si="1"/>
        <v>23</v>
      </c>
      <c r="C37" s="288" t="str">
        <f ca="1">IF(AUTOEVENTO="Manual",IF($B37&lt;&gt;1,OFFSET(EVENTOS!$D$14,$B37,0),0),IF(B37&lt;=MAX(CÁLCULO!$M$15:$M$747),VLOOKUP($B37,CÁLCULO!$M$15:$N$747,2,FALSE),0))</f>
        <v>INSTALAÇÕES DE GÁS COMBUSTÍVEL</v>
      </c>
      <c r="E37" s="289"/>
      <c r="G37" s="289"/>
      <c r="H37" s="289"/>
      <c r="I37" s="289"/>
      <c r="J37" s="289"/>
      <c r="K37" s="289"/>
      <c r="L37" s="289"/>
      <c r="M37" s="289"/>
      <c r="N37" s="289"/>
      <c r="O37" s="289"/>
      <c r="P37" s="289"/>
      <c r="Q37" s="289"/>
      <c r="R37" s="289"/>
      <c r="S37" s="289"/>
      <c r="T37" s="289"/>
      <c r="U37" s="289"/>
      <c r="V37" s="289"/>
      <c r="W37" s="289"/>
      <c r="X37" s="289"/>
      <c r="Y37" s="289"/>
      <c r="Z37" s="289"/>
      <c r="AA37" s="289"/>
      <c r="AB37" s="289"/>
      <c r="AC37" s="289"/>
      <c r="AD37" s="289"/>
      <c r="AE37" s="289"/>
    </row>
    <row r="38" spans="1:31" x14ac:dyDescent="0.2">
      <c r="A38" s="7" t="str">
        <f ca="1">IF(AUTOEVENTO="Manual",IF(OFFSET(EVENTOS!$F$14,CRONOPLE!$B38,0)&gt;0,"F",""),IF(CRONOPLE!B38&lt;=MAX(CÁLCULO!$M$15:$M$747),"F",""))</f>
        <v>F</v>
      </c>
      <c r="B38" s="287">
        <f t="shared" ca="1" si="1"/>
        <v>24</v>
      </c>
      <c r="C38" s="288" t="str">
        <f ca="1">IF(AUTOEVENTO="Manual",IF($B38&lt;&gt;1,OFFSET(EVENTOS!$D$14,$B38,0),0),IF(B38&lt;=MAX(CÁLCULO!$M$15:$M$747),VLOOKUP($B38,CÁLCULO!$M$15:$N$747,2,FALSE),0))</f>
        <v>SERVIÇOS COMPLEMENTARES</v>
      </c>
      <c r="E38" s="289"/>
      <c r="G38" s="289"/>
      <c r="H38" s="289"/>
      <c r="I38" s="289"/>
      <c r="J38" s="289"/>
      <c r="K38" s="289"/>
      <c r="L38" s="289"/>
      <c r="M38" s="289"/>
      <c r="N38" s="289"/>
      <c r="O38" s="289"/>
      <c r="P38" s="289"/>
      <c r="Q38" s="289"/>
      <c r="R38" s="289"/>
      <c r="S38" s="289"/>
      <c r="T38" s="289"/>
      <c r="U38" s="289"/>
      <c r="V38" s="289"/>
      <c r="W38" s="289"/>
      <c r="X38" s="289"/>
      <c r="Y38" s="289"/>
      <c r="Z38" s="289"/>
      <c r="AA38" s="289"/>
      <c r="AB38" s="289"/>
      <c r="AC38" s="289"/>
      <c r="AD38" s="289"/>
      <c r="AE38" s="289"/>
    </row>
    <row r="39" spans="1:31" x14ac:dyDescent="0.2">
      <c r="A39" s="7" t="str">
        <f ca="1">IF(AUTOEVENTO="Manual",IF(OFFSET(EVENTOS!$F$14,CRONOPLE!$B39,0)&gt;0,"F",""),IF(CRONOPLE!B39&lt;=MAX(CÁLCULO!$M$15:$M$747),"F",""))</f>
        <v>F</v>
      </c>
      <c r="B39" s="287">
        <f t="shared" ca="1" si="1"/>
        <v>25</v>
      </c>
      <c r="C39" s="288" t="str">
        <f ca="1">IF(AUTOEVENTO="Manual",IF($B39&lt;&gt;1,OFFSET(EVENTOS!$D$14,$B39,0),0),IF(B39&lt;=MAX(CÁLCULO!$M$15:$M$747),VLOOKUP($B39,CÁLCULO!$M$15:$N$747,2,FALSE),0))</f>
        <v>FECHAMENTO - MURO</v>
      </c>
      <c r="E39" s="289"/>
      <c r="G39" s="289"/>
      <c r="H39" s="289"/>
      <c r="I39" s="289"/>
      <c r="J39" s="289"/>
      <c r="K39" s="289"/>
      <c r="L39" s="289"/>
      <c r="M39" s="289"/>
      <c r="N39" s="289"/>
      <c r="O39" s="289"/>
      <c r="P39" s="289"/>
      <c r="Q39" s="289"/>
      <c r="R39" s="289"/>
      <c r="S39" s="289"/>
      <c r="T39" s="289"/>
      <c r="U39" s="289"/>
      <c r="V39" s="289"/>
      <c r="W39" s="289"/>
      <c r="X39" s="289"/>
      <c r="Y39" s="289"/>
      <c r="Z39" s="289"/>
      <c r="AA39" s="289"/>
      <c r="AB39" s="289"/>
      <c r="AC39" s="289"/>
      <c r="AD39" s="289"/>
      <c r="AE39" s="289"/>
    </row>
    <row r="40" spans="1:31" x14ac:dyDescent="0.2">
      <c r="A40" s="7" t="str">
        <f ca="1">IF(AUTOEVENTO="Manual",IF(OFFSET(EVENTOS!$F$14,CRONOPLE!$B40,0)&gt;0,"F",""),IF(CRONOPLE!B40&lt;=MAX(CÁLCULO!$M$15:$M$747),"F",""))</f>
        <v/>
      </c>
      <c r="B40" s="287">
        <f t="shared" ca="1" si="1"/>
        <v>26</v>
      </c>
      <c r="C40" s="288">
        <f ca="1">IF(AUTOEVENTO="Manual",IF($B40&lt;&gt;1,OFFSET(EVENTOS!$D$14,$B40,0),0),IF(B40&lt;=MAX(CÁLCULO!$M$15:$M$747),VLOOKUP($B40,CÁLCULO!$M$15:$N$747,2,FALSE),0))</f>
        <v>0</v>
      </c>
      <c r="E40" s="289"/>
      <c r="G40" s="289"/>
      <c r="H40" s="289"/>
      <c r="I40" s="289"/>
      <c r="J40" s="289"/>
      <c r="K40" s="289"/>
      <c r="L40" s="289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289"/>
      <c r="Z40" s="289"/>
      <c r="AA40" s="289"/>
      <c r="AB40" s="289"/>
      <c r="AC40" s="289"/>
      <c r="AD40" s="289"/>
      <c r="AE40" s="289"/>
    </row>
    <row r="41" spans="1:31" x14ac:dyDescent="0.2">
      <c r="A41" s="7" t="str">
        <f ca="1">IF(AUTOEVENTO="Manual",IF(OFFSET(EVENTOS!$F$14,CRONOPLE!$B41,0)&gt;0,"F",""),IF(CRONOPLE!B41&lt;=MAX(CÁLCULO!$M$15:$M$747),"F",""))</f>
        <v/>
      </c>
      <c r="B41" s="287">
        <f t="shared" ca="1" si="1"/>
        <v>27</v>
      </c>
      <c r="C41" s="288">
        <f ca="1">IF(AUTOEVENTO="Manual",IF($B41&lt;&gt;1,OFFSET(EVENTOS!$D$14,$B41,0),0),IF(B41&lt;=MAX(CÁLCULO!$M$15:$M$747),VLOOKUP($B41,CÁLCULO!$M$15:$N$747,2,FALSE),0))</f>
        <v>0</v>
      </c>
      <c r="E41" s="289"/>
      <c r="G41" s="289"/>
      <c r="H41" s="289"/>
      <c r="I41" s="289"/>
      <c r="J41" s="289"/>
      <c r="K41" s="289"/>
      <c r="L41" s="289"/>
      <c r="M41" s="289"/>
      <c r="N41" s="289"/>
      <c r="O41" s="289"/>
      <c r="P41" s="289"/>
      <c r="Q41" s="289"/>
      <c r="R41" s="289"/>
      <c r="S41" s="289"/>
      <c r="T41" s="289"/>
      <c r="U41" s="289"/>
      <c r="V41" s="289"/>
      <c r="W41" s="289"/>
      <c r="X41" s="289"/>
      <c r="Y41" s="289"/>
      <c r="Z41" s="289"/>
      <c r="AA41" s="289"/>
      <c r="AB41" s="289"/>
      <c r="AC41" s="289"/>
      <c r="AD41" s="289"/>
      <c r="AE41" s="289"/>
    </row>
    <row r="42" spans="1:31" x14ac:dyDescent="0.2">
      <c r="A42" s="7" t="str">
        <f ca="1">IF(AUTOEVENTO="Manual",IF(OFFSET(EVENTOS!$F$14,CRONOPLE!$B42,0)&gt;0,"F",""),IF(CRONOPLE!B42&lt;=MAX(CÁLCULO!$M$15:$M$747),"F",""))</f>
        <v/>
      </c>
      <c r="B42" s="287">
        <f t="shared" ca="1" si="1"/>
        <v>28</v>
      </c>
      <c r="C42" s="288">
        <f ca="1">IF(AUTOEVENTO="Manual",IF($B42&lt;&gt;1,OFFSET(EVENTOS!$D$14,$B42,0),0),IF(B42&lt;=MAX(CÁLCULO!$M$15:$M$747),VLOOKUP($B42,CÁLCULO!$M$15:$N$747,2,FALSE),0))</f>
        <v>0</v>
      </c>
      <c r="E42" s="289"/>
      <c r="G42" s="289"/>
      <c r="H42" s="289"/>
      <c r="I42" s="289"/>
      <c r="J42" s="289"/>
      <c r="K42" s="289"/>
      <c r="L42" s="289"/>
      <c r="M42" s="289"/>
      <c r="N42" s="289"/>
      <c r="O42" s="289"/>
      <c r="P42" s="289"/>
      <c r="Q42" s="289"/>
      <c r="R42" s="289"/>
      <c r="S42" s="289"/>
      <c r="T42" s="289"/>
      <c r="U42" s="289"/>
      <c r="V42" s="289"/>
      <c r="W42" s="289"/>
      <c r="X42" s="289"/>
      <c r="Y42" s="289"/>
      <c r="Z42" s="289"/>
      <c r="AA42" s="289"/>
      <c r="AB42" s="289"/>
      <c r="AC42" s="289"/>
      <c r="AD42" s="289"/>
      <c r="AE42" s="289"/>
    </row>
    <row r="43" spans="1:31" x14ac:dyDescent="0.2">
      <c r="A43" s="7" t="str">
        <f ca="1">IF(AUTOEVENTO="Manual",IF(OFFSET(EVENTOS!$F$14,CRONOPLE!$B43,0)&gt;0,"F",""),IF(CRONOPLE!B43&lt;=MAX(CÁLCULO!$M$15:$M$747),"F",""))</f>
        <v/>
      </c>
      <c r="B43" s="287">
        <f t="shared" ca="1" si="1"/>
        <v>29</v>
      </c>
      <c r="C43" s="288">
        <f ca="1">IF(AUTOEVENTO="Manual",IF($B43&lt;&gt;1,OFFSET(EVENTOS!$D$14,$B43,0),0),IF(B43&lt;=MAX(CÁLCULO!$M$15:$M$747),VLOOKUP($B43,CÁLCULO!$M$15:$N$747,2,FALSE),0))</f>
        <v>0</v>
      </c>
      <c r="E43" s="289"/>
      <c r="G43" s="289"/>
      <c r="H43" s="289"/>
      <c r="I43" s="289"/>
      <c r="J43" s="289"/>
      <c r="K43" s="289"/>
      <c r="L43" s="289"/>
      <c r="M43" s="289"/>
      <c r="N43" s="289"/>
      <c r="O43" s="289"/>
      <c r="P43" s="289"/>
      <c r="Q43" s="289"/>
      <c r="R43" s="289"/>
      <c r="S43" s="289"/>
      <c r="T43" s="289"/>
      <c r="U43" s="289"/>
      <c r="V43" s="289"/>
      <c r="W43" s="289"/>
      <c r="X43" s="289"/>
      <c r="Y43" s="289"/>
      <c r="Z43" s="289"/>
      <c r="AA43" s="289"/>
      <c r="AB43" s="289"/>
      <c r="AC43" s="289"/>
      <c r="AD43" s="289"/>
      <c r="AE43" s="289"/>
    </row>
    <row r="44" spans="1:31" x14ac:dyDescent="0.2">
      <c r="A44" s="7" t="str">
        <f ca="1">IF(AUTOEVENTO="Manual",IF(OFFSET(EVENTOS!$F$14,CRONOPLE!$B44,0)&gt;0,"F",""),IF(CRONOPLE!B44&lt;=MAX(CÁLCULO!$M$15:$M$747),"F",""))</f>
        <v/>
      </c>
      <c r="B44" s="287">
        <f t="shared" ca="1" si="1"/>
        <v>30</v>
      </c>
      <c r="C44" s="288">
        <f ca="1">IF(AUTOEVENTO="Manual",IF($B44&lt;&gt;1,OFFSET(EVENTOS!$D$14,$B44,0),0),IF(B44&lt;=MAX(CÁLCULO!$M$15:$M$747),VLOOKUP($B44,CÁLCULO!$M$15:$N$747,2,FALSE),0))</f>
        <v>0</v>
      </c>
      <c r="E44" s="289"/>
      <c r="G44" s="289"/>
      <c r="H44" s="289"/>
      <c r="I44" s="289"/>
      <c r="J44" s="289"/>
      <c r="K44" s="289"/>
      <c r="L44" s="289"/>
      <c r="M44" s="289"/>
      <c r="N44" s="289"/>
      <c r="O44" s="289"/>
      <c r="P44" s="289"/>
      <c r="Q44" s="289"/>
      <c r="R44" s="289"/>
      <c r="S44" s="289"/>
      <c r="T44" s="289"/>
      <c r="U44" s="289"/>
      <c r="V44" s="289"/>
      <c r="W44" s="289"/>
      <c r="X44" s="289"/>
      <c r="Y44" s="289"/>
      <c r="Z44" s="289"/>
      <c r="AA44" s="289"/>
      <c r="AB44" s="289"/>
      <c r="AC44" s="289"/>
      <c r="AD44" s="289"/>
      <c r="AE44" s="289"/>
    </row>
    <row r="45" spans="1:31" x14ac:dyDescent="0.2">
      <c r="A45" s="7" t="str">
        <f ca="1">IF(AUTOEVENTO="Manual",IF(OFFSET(EVENTOS!$F$14,CRONOPLE!$B45,0)&gt;0,"F",""),IF(CRONOPLE!B45&lt;=MAX(CÁLCULO!$M$15:$M$747),"F",""))</f>
        <v/>
      </c>
      <c r="B45" s="287">
        <f t="shared" ca="1" si="1"/>
        <v>31</v>
      </c>
      <c r="C45" s="288">
        <f ca="1">IF(AUTOEVENTO="Manual",IF($B45&lt;&gt;1,OFFSET(EVENTOS!$D$14,$B45,0),0),IF(B45&lt;=MAX(CÁLCULO!$M$15:$M$747),VLOOKUP($B45,CÁLCULO!$M$15:$N$747,2,FALSE),0))</f>
        <v>0</v>
      </c>
      <c r="E45" s="289"/>
      <c r="G45" s="289"/>
      <c r="H45" s="289"/>
      <c r="I45" s="289"/>
      <c r="J45" s="289"/>
      <c r="K45" s="289"/>
      <c r="L45" s="289"/>
      <c r="M45" s="289"/>
      <c r="N45" s="289"/>
      <c r="O45" s="289"/>
      <c r="P45" s="289"/>
      <c r="Q45" s="289"/>
      <c r="R45" s="289"/>
      <c r="S45" s="289"/>
      <c r="T45" s="289"/>
      <c r="U45" s="289"/>
      <c r="V45" s="289"/>
      <c r="W45" s="289"/>
      <c r="X45" s="289"/>
      <c r="Y45" s="289"/>
      <c r="Z45" s="289"/>
      <c r="AA45" s="289"/>
      <c r="AB45" s="289"/>
      <c r="AC45" s="289"/>
      <c r="AD45" s="289"/>
      <c r="AE45" s="289"/>
    </row>
    <row r="46" spans="1:31" x14ac:dyDescent="0.2">
      <c r="A46" s="7" t="str">
        <f ca="1">IF(AUTOEVENTO="Manual",IF(OFFSET(EVENTOS!$F$14,CRONOPLE!$B46,0)&gt;0,"F",""),IF(CRONOPLE!B46&lt;=MAX(CÁLCULO!$M$15:$M$747),"F",""))</f>
        <v/>
      </c>
      <c r="B46" s="287">
        <f t="shared" ca="1" si="1"/>
        <v>32</v>
      </c>
      <c r="C46" s="288">
        <f ca="1">IF(AUTOEVENTO="Manual",IF($B46&lt;&gt;1,OFFSET(EVENTOS!$D$14,$B46,0),0),IF(B46&lt;=MAX(CÁLCULO!$M$15:$M$747),VLOOKUP($B46,CÁLCULO!$M$15:$N$747,2,FALSE),0))</f>
        <v>0</v>
      </c>
      <c r="E46" s="289"/>
      <c r="G46" s="289"/>
      <c r="H46" s="289"/>
      <c r="I46" s="289"/>
      <c r="J46" s="289"/>
      <c r="K46" s="289"/>
      <c r="L46" s="289"/>
      <c r="M46" s="289"/>
      <c r="N46" s="289"/>
      <c r="O46" s="289"/>
      <c r="P46" s="289"/>
      <c r="Q46" s="289"/>
      <c r="R46" s="289"/>
      <c r="S46" s="289"/>
      <c r="T46" s="289"/>
      <c r="U46" s="289"/>
      <c r="V46" s="289"/>
      <c r="W46" s="289"/>
      <c r="X46" s="289"/>
      <c r="Y46" s="289"/>
      <c r="Z46" s="289"/>
      <c r="AA46" s="289"/>
      <c r="AB46" s="289"/>
      <c r="AC46" s="289"/>
      <c r="AD46" s="289"/>
      <c r="AE46" s="289"/>
    </row>
    <row r="47" spans="1:31" x14ac:dyDescent="0.2">
      <c r="A47" s="7" t="str">
        <f ca="1">IF(AUTOEVENTO="Manual",IF(OFFSET(EVENTOS!$F$14,CRONOPLE!$B47,0)&gt;0,"F",""),IF(CRONOPLE!B47&lt;=MAX(CÁLCULO!$M$15:$M$747),"F",""))</f>
        <v/>
      </c>
      <c r="B47" s="287">
        <f t="shared" ca="1" si="1"/>
        <v>33</v>
      </c>
      <c r="C47" s="288">
        <f ca="1">IF(AUTOEVENTO="Manual",IF($B47&lt;&gt;1,OFFSET(EVENTOS!$D$14,$B47,0),0),IF(B47&lt;=MAX(CÁLCULO!$M$15:$M$747),VLOOKUP($B47,CÁLCULO!$M$15:$N$747,2,FALSE),0))</f>
        <v>0</v>
      </c>
      <c r="E47" s="289"/>
      <c r="G47" s="289"/>
      <c r="H47" s="289"/>
      <c r="I47" s="289"/>
      <c r="J47" s="289"/>
      <c r="K47" s="289"/>
      <c r="L47" s="289"/>
      <c r="M47" s="289"/>
      <c r="N47" s="289"/>
      <c r="O47" s="289"/>
      <c r="P47" s="289"/>
      <c r="Q47" s="289"/>
      <c r="R47" s="289"/>
      <c r="S47" s="289"/>
      <c r="T47" s="289"/>
      <c r="U47" s="289"/>
      <c r="V47" s="289"/>
      <c r="W47" s="289"/>
      <c r="X47" s="289"/>
      <c r="Y47" s="289"/>
      <c r="Z47" s="289"/>
      <c r="AA47" s="289"/>
      <c r="AB47" s="289"/>
      <c r="AC47" s="289"/>
      <c r="AD47" s="289"/>
      <c r="AE47" s="289"/>
    </row>
    <row r="48" spans="1:31" x14ac:dyDescent="0.2">
      <c r="A48" s="7" t="str">
        <f ca="1">IF(AUTOEVENTO="Manual",IF(OFFSET(EVENTOS!$F$14,CRONOPLE!$B48,0)&gt;0,"F",""),IF(CRONOPLE!B48&lt;=MAX(CÁLCULO!$M$15:$M$747),"F",""))</f>
        <v/>
      </c>
      <c r="B48" s="287">
        <f t="shared" ca="1" si="1"/>
        <v>34</v>
      </c>
      <c r="C48" s="288">
        <f ca="1">IF(AUTOEVENTO="Manual",IF($B48&lt;&gt;1,OFFSET(EVENTOS!$D$14,$B48,0),0),IF(B48&lt;=MAX(CÁLCULO!$M$15:$M$747),VLOOKUP($B48,CÁLCULO!$M$15:$N$747,2,FALSE),0))</f>
        <v>0</v>
      </c>
      <c r="E48" s="289"/>
      <c r="G48" s="289"/>
      <c r="H48" s="289"/>
      <c r="I48" s="289"/>
      <c r="J48" s="289"/>
      <c r="K48" s="289"/>
      <c r="L48" s="289"/>
      <c r="M48" s="289"/>
      <c r="N48" s="289"/>
      <c r="O48" s="289"/>
      <c r="P48" s="289"/>
      <c r="Q48" s="289"/>
      <c r="R48" s="289"/>
      <c r="S48" s="289"/>
      <c r="T48" s="289"/>
      <c r="U48" s="289"/>
      <c r="V48" s="289"/>
      <c r="W48" s="289"/>
      <c r="X48" s="289"/>
      <c r="Y48" s="289"/>
      <c r="Z48" s="289"/>
      <c r="AA48" s="289"/>
      <c r="AB48" s="289"/>
      <c r="AC48" s="289"/>
      <c r="AD48" s="289"/>
      <c r="AE48" s="289"/>
    </row>
    <row r="49" spans="1:31" x14ac:dyDescent="0.2">
      <c r="A49" s="7" t="str">
        <f ca="1">IF(AUTOEVENTO="Manual",IF(OFFSET(EVENTOS!$F$14,CRONOPLE!$B49,0)&gt;0,"F",""),IF(CRONOPLE!B49&lt;=MAX(CÁLCULO!$M$15:$M$747),"F",""))</f>
        <v/>
      </c>
      <c r="B49" s="287">
        <f t="shared" ca="1" si="1"/>
        <v>35</v>
      </c>
      <c r="C49" s="288">
        <f ca="1">IF(AUTOEVENTO="Manual",IF($B49&lt;&gt;1,OFFSET(EVENTOS!$D$14,$B49,0),0),IF(B49&lt;=MAX(CÁLCULO!$M$15:$M$747),VLOOKUP($B49,CÁLCULO!$M$15:$N$747,2,FALSE),0))</f>
        <v>0</v>
      </c>
      <c r="E49" s="289"/>
      <c r="G49" s="289"/>
      <c r="H49" s="289"/>
      <c r="I49" s="289"/>
      <c r="J49" s="289"/>
      <c r="K49" s="289"/>
      <c r="L49" s="289"/>
      <c r="M49" s="289"/>
      <c r="N49" s="289"/>
      <c r="O49" s="289"/>
      <c r="P49" s="289"/>
      <c r="Q49" s="289"/>
      <c r="R49" s="289"/>
      <c r="S49" s="289"/>
      <c r="T49" s="289"/>
      <c r="U49" s="289"/>
      <c r="V49" s="289"/>
      <c r="W49" s="289"/>
      <c r="X49" s="289"/>
      <c r="Y49" s="289"/>
      <c r="Z49" s="289"/>
      <c r="AA49" s="289"/>
      <c r="AB49" s="289"/>
      <c r="AC49" s="289"/>
      <c r="AD49" s="289"/>
      <c r="AE49" s="289"/>
    </row>
    <row r="50" spans="1:31" x14ac:dyDescent="0.2">
      <c r="A50" s="7" t="str">
        <f ca="1">IF(AUTOEVENTO="Manual",IF(OFFSET(EVENTOS!$F$14,CRONOPLE!$B50,0)&gt;0,"F",""),IF(CRONOPLE!B50&lt;=MAX(CÁLCULO!$M$15:$M$747),"F",""))</f>
        <v/>
      </c>
      <c r="B50" s="287">
        <f t="shared" ca="1" si="1"/>
        <v>36</v>
      </c>
      <c r="C50" s="288">
        <f ca="1">IF(AUTOEVENTO="Manual",IF($B50&lt;&gt;1,OFFSET(EVENTOS!$D$14,$B50,0),0),IF(B50&lt;=MAX(CÁLCULO!$M$15:$M$747),VLOOKUP($B50,CÁLCULO!$M$15:$N$747,2,FALSE),0))</f>
        <v>0</v>
      </c>
      <c r="E50" s="289"/>
      <c r="G50" s="289"/>
      <c r="H50" s="289"/>
      <c r="I50" s="289"/>
      <c r="J50" s="289"/>
      <c r="K50" s="289"/>
      <c r="L50" s="289"/>
      <c r="M50" s="289"/>
      <c r="N50" s="289"/>
      <c r="O50" s="289"/>
      <c r="P50" s="289"/>
      <c r="Q50" s="289"/>
      <c r="R50" s="289"/>
      <c r="S50" s="289"/>
      <c r="T50" s="289"/>
      <c r="U50" s="289"/>
      <c r="V50" s="289"/>
      <c r="W50" s="289"/>
      <c r="X50" s="289"/>
      <c r="Y50" s="289"/>
      <c r="Z50" s="289"/>
      <c r="AA50" s="289"/>
      <c r="AB50" s="289"/>
      <c r="AC50" s="289"/>
      <c r="AD50" s="289"/>
      <c r="AE50" s="289"/>
    </row>
    <row r="51" spans="1:31" x14ac:dyDescent="0.2">
      <c r="A51" s="7" t="str">
        <f ca="1">IF(AUTOEVENTO="Manual",IF(OFFSET(EVENTOS!$F$14,CRONOPLE!$B51,0)&gt;0,"F",""),IF(CRONOPLE!B51&lt;=MAX(CÁLCULO!$M$15:$M$747),"F",""))</f>
        <v/>
      </c>
      <c r="B51" s="287">
        <f t="shared" ca="1" si="1"/>
        <v>37</v>
      </c>
      <c r="C51" s="288">
        <f ca="1">IF(AUTOEVENTO="Manual",IF($B51&lt;&gt;1,OFFSET(EVENTOS!$D$14,$B51,0),0),IF(B51&lt;=MAX(CÁLCULO!$M$15:$M$747),VLOOKUP($B51,CÁLCULO!$M$15:$N$747,2,FALSE),0))</f>
        <v>0</v>
      </c>
      <c r="E51" s="289"/>
      <c r="G51" s="289"/>
      <c r="H51" s="289"/>
      <c r="I51" s="289"/>
      <c r="J51" s="289"/>
      <c r="K51" s="289"/>
      <c r="L51" s="289"/>
      <c r="M51" s="289"/>
      <c r="N51" s="289"/>
      <c r="O51" s="289"/>
      <c r="P51" s="289"/>
      <c r="Q51" s="289"/>
      <c r="R51" s="289"/>
      <c r="S51" s="289"/>
      <c r="T51" s="289"/>
      <c r="U51" s="289"/>
      <c r="V51" s="289"/>
      <c r="W51" s="289"/>
      <c r="X51" s="289"/>
      <c r="Y51" s="289"/>
      <c r="Z51" s="289"/>
      <c r="AA51" s="289"/>
      <c r="AB51" s="289"/>
      <c r="AC51" s="289"/>
      <c r="AD51" s="289"/>
      <c r="AE51" s="289"/>
    </row>
    <row r="52" spans="1:31" x14ac:dyDescent="0.2">
      <c r="A52" s="7" t="str">
        <f ca="1">IF(AUTOEVENTO="Manual",IF(OFFSET(EVENTOS!$F$14,CRONOPLE!$B52,0)&gt;0,"F",""),IF(CRONOPLE!B52&lt;=MAX(CÁLCULO!$M$15:$M$747),"F",""))</f>
        <v/>
      </c>
      <c r="B52" s="287">
        <f t="shared" ca="1" si="1"/>
        <v>38</v>
      </c>
      <c r="C52" s="288">
        <f ca="1">IF(AUTOEVENTO="Manual",IF($B52&lt;&gt;1,OFFSET(EVENTOS!$D$14,$B52,0),0),IF(B52&lt;=MAX(CÁLCULO!$M$15:$M$747),VLOOKUP($B52,CÁLCULO!$M$15:$N$747,2,FALSE),0))</f>
        <v>0</v>
      </c>
      <c r="E52" s="289"/>
      <c r="G52" s="289"/>
      <c r="H52" s="289"/>
      <c r="I52" s="289"/>
      <c r="J52" s="289"/>
      <c r="K52" s="289"/>
      <c r="L52" s="289"/>
      <c r="M52" s="289"/>
      <c r="N52" s="289"/>
      <c r="O52" s="289"/>
      <c r="P52" s="289"/>
      <c r="Q52" s="289"/>
      <c r="R52" s="289"/>
      <c r="S52" s="289"/>
      <c r="T52" s="289"/>
      <c r="U52" s="289"/>
      <c r="V52" s="289"/>
      <c r="W52" s="289"/>
      <c r="X52" s="289"/>
      <c r="Y52" s="289"/>
      <c r="Z52" s="289"/>
      <c r="AA52" s="289"/>
      <c r="AB52" s="289"/>
      <c r="AC52" s="289"/>
      <c r="AD52" s="289"/>
      <c r="AE52" s="289"/>
    </row>
    <row r="53" spans="1:31" x14ac:dyDescent="0.2">
      <c r="A53" s="7" t="str">
        <f ca="1">IF(AUTOEVENTO="Manual",IF(OFFSET(EVENTOS!$F$14,CRONOPLE!$B53,0)&gt;0,"F",""),IF(CRONOPLE!B53&lt;=MAX(CÁLCULO!$M$15:$M$747),"F",""))</f>
        <v/>
      </c>
      <c r="B53" s="287">
        <f t="shared" ca="1" si="1"/>
        <v>39</v>
      </c>
      <c r="C53" s="288">
        <f ca="1">IF(AUTOEVENTO="Manual",IF($B53&lt;&gt;1,OFFSET(EVENTOS!$D$14,$B53,0),0),IF(B53&lt;=MAX(CÁLCULO!$M$15:$M$747),VLOOKUP($B53,CÁLCULO!$M$15:$N$747,2,FALSE),0))</f>
        <v>0</v>
      </c>
      <c r="E53" s="289"/>
      <c r="G53" s="289"/>
      <c r="H53" s="289"/>
      <c r="I53" s="289"/>
      <c r="J53" s="289"/>
      <c r="K53" s="289"/>
      <c r="L53" s="289"/>
      <c r="M53" s="289"/>
      <c r="N53" s="289"/>
      <c r="O53" s="289"/>
      <c r="P53" s="289"/>
      <c r="Q53" s="289"/>
      <c r="R53" s="289"/>
      <c r="S53" s="289"/>
      <c r="T53" s="289"/>
      <c r="U53" s="289"/>
      <c r="V53" s="289"/>
      <c r="W53" s="289"/>
      <c r="X53" s="289"/>
      <c r="Y53" s="289"/>
      <c r="Z53" s="289"/>
      <c r="AA53" s="289"/>
      <c r="AB53" s="289"/>
      <c r="AC53" s="289"/>
      <c r="AD53" s="289"/>
      <c r="AE53" s="289"/>
    </row>
    <row r="54" spans="1:31" x14ac:dyDescent="0.2">
      <c r="A54" s="7" t="str">
        <f ca="1">IF(AUTOEVENTO="Manual",IF(OFFSET(EVENTOS!$F$14,CRONOPLE!$B54,0)&gt;0,"F",""),IF(CRONOPLE!B54&lt;=MAX(CÁLCULO!$M$15:$M$747),"F",""))</f>
        <v/>
      </c>
      <c r="B54" s="287">
        <f t="shared" ca="1" si="1"/>
        <v>40</v>
      </c>
      <c r="C54" s="288">
        <f ca="1">IF(AUTOEVENTO="Manual",IF($B54&lt;&gt;1,OFFSET(EVENTOS!$D$14,$B54,0),0),IF(B54&lt;=MAX(CÁLCULO!$M$15:$M$747),VLOOKUP($B54,CÁLCULO!$M$15:$N$747,2,FALSE),0))</f>
        <v>0</v>
      </c>
      <c r="E54" s="289"/>
      <c r="G54" s="289"/>
      <c r="H54" s="289"/>
      <c r="I54" s="289"/>
      <c r="J54" s="289"/>
      <c r="K54" s="289"/>
      <c r="L54" s="289"/>
      <c r="M54" s="289"/>
      <c r="N54" s="289"/>
      <c r="O54" s="289"/>
      <c r="P54" s="289"/>
      <c r="Q54" s="289"/>
      <c r="R54" s="289"/>
      <c r="S54" s="289"/>
      <c r="T54" s="289"/>
      <c r="U54" s="289"/>
      <c r="V54" s="289"/>
      <c r="W54" s="289"/>
      <c r="X54" s="289"/>
      <c r="Y54" s="289"/>
      <c r="Z54" s="289"/>
      <c r="AA54" s="289"/>
      <c r="AB54" s="289"/>
      <c r="AC54" s="289"/>
      <c r="AD54" s="289"/>
      <c r="AE54" s="289"/>
    </row>
    <row r="55" spans="1:31" x14ac:dyDescent="0.2">
      <c r="A55" s="7" t="str">
        <f ca="1">IF(AUTOEVENTO="Manual",IF(OFFSET(EVENTOS!$F$14,CRONOPLE!$B55,0)&gt;0,"F",""),IF(CRONOPLE!B55&lt;=MAX(CÁLCULO!$M$15:$M$747),"F",""))</f>
        <v/>
      </c>
      <c r="B55" s="287">
        <f t="shared" ca="1" si="1"/>
        <v>41</v>
      </c>
      <c r="C55" s="288">
        <f ca="1">IF(AUTOEVENTO="Manual",IF($B55&lt;&gt;1,OFFSET(EVENTOS!$D$14,$B55,0),0),IF(B55&lt;=MAX(CÁLCULO!$M$15:$M$747),VLOOKUP($B55,CÁLCULO!$M$15:$N$747,2,FALSE),0))</f>
        <v>0</v>
      </c>
      <c r="E55" s="289"/>
      <c r="G55" s="289"/>
      <c r="H55" s="289"/>
      <c r="I55" s="289"/>
      <c r="J55" s="289"/>
      <c r="K55" s="289"/>
      <c r="L55" s="289"/>
      <c r="M55" s="289"/>
      <c r="N55" s="289"/>
      <c r="O55" s="289"/>
      <c r="P55" s="289"/>
      <c r="Q55" s="289"/>
      <c r="R55" s="289"/>
      <c r="S55" s="289"/>
      <c r="T55" s="289"/>
      <c r="U55" s="289"/>
      <c r="V55" s="289"/>
      <c r="W55" s="289"/>
      <c r="X55" s="289"/>
      <c r="Y55" s="289"/>
      <c r="Z55" s="289"/>
      <c r="AA55" s="289"/>
      <c r="AB55" s="289"/>
      <c r="AC55" s="289"/>
      <c r="AD55" s="289"/>
      <c r="AE55" s="289"/>
    </row>
    <row r="56" spans="1:31" x14ac:dyDescent="0.2">
      <c r="A56" s="7" t="str">
        <f ca="1">IF(AUTOEVENTO="Manual",IF(OFFSET(EVENTOS!$F$14,CRONOPLE!$B56,0)&gt;0,"F",""),IF(CRONOPLE!B56&lt;=MAX(CÁLCULO!$M$15:$M$747),"F",""))</f>
        <v/>
      </c>
      <c r="B56" s="287">
        <f t="shared" ca="1" si="1"/>
        <v>42</v>
      </c>
      <c r="C56" s="288">
        <f ca="1">IF(AUTOEVENTO="Manual",IF($B56&lt;&gt;1,OFFSET(EVENTOS!$D$14,$B56,0),0),IF(B56&lt;=MAX(CÁLCULO!$M$15:$M$747),VLOOKUP($B56,CÁLCULO!$M$15:$N$747,2,FALSE),0))</f>
        <v>0</v>
      </c>
      <c r="E56" s="289"/>
      <c r="G56" s="289"/>
      <c r="H56" s="289"/>
      <c r="I56" s="289"/>
      <c r="J56" s="289"/>
      <c r="K56" s="289"/>
      <c r="L56" s="289"/>
      <c r="M56" s="289"/>
      <c r="N56" s="289"/>
      <c r="O56" s="289"/>
      <c r="P56" s="289"/>
      <c r="Q56" s="289"/>
      <c r="R56" s="289"/>
      <c r="S56" s="289"/>
      <c r="T56" s="289"/>
      <c r="U56" s="289"/>
      <c r="V56" s="289"/>
      <c r="W56" s="289"/>
      <c r="X56" s="289"/>
      <c r="Y56" s="289"/>
      <c r="Z56" s="289"/>
      <c r="AA56" s="289"/>
      <c r="AB56" s="289"/>
      <c r="AC56" s="289"/>
      <c r="AD56" s="289"/>
      <c r="AE56" s="289"/>
    </row>
    <row r="57" spans="1:31" x14ac:dyDescent="0.2">
      <c r="A57" s="7" t="str">
        <f ca="1">IF(AUTOEVENTO="Manual",IF(OFFSET(EVENTOS!$F$14,CRONOPLE!$B57,0)&gt;0,"F",""),IF(CRONOPLE!B57&lt;=MAX(CÁLCULO!$M$15:$M$747),"F",""))</f>
        <v/>
      </c>
      <c r="B57" s="287">
        <f t="shared" ca="1" si="1"/>
        <v>43</v>
      </c>
      <c r="C57" s="288">
        <f ca="1">IF(AUTOEVENTO="Manual",IF($B57&lt;&gt;1,OFFSET(EVENTOS!$D$14,$B57,0),0),IF(B57&lt;=MAX(CÁLCULO!$M$15:$M$747),VLOOKUP($B57,CÁLCULO!$M$15:$N$747,2,FALSE),0))</f>
        <v>0</v>
      </c>
      <c r="E57" s="289"/>
      <c r="G57" s="289"/>
      <c r="H57" s="289"/>
      <c r="I57" s="289"/>
      <c r="J57" s="289"/>
      <c r="K57" s="289"/>
      <c r="L57" s="289"/>
      <c r="M57" s="289"/>
      <c r="N57" s="289"/>
      <c r="O57" s="289"/>
      <c r="P57" s="289"/>
      <c r="Q57" s="289"/>
      <c r="R57" s="289"/>
      <c r="S57" s="289"/>
      <c r="T57" s="289"/>
      <c r="U57" s="289"/>
      <c r="V57" s="289"/>
      <c r="W57" s="289"/>
      <c r="X57" s="289"/>
      <c r="Y57" s="289"/>
      <c r="Z57" s="289"/>
      <c r="AA57" s="289"/>
      <c r="AB57" s="289"/>
      <c r="AC57" s="289"/>
      <c r="AD57" s="289"/>
      <c r="AE57" s="289"/>
    </row>
    <row r="58" spans="1:31" x14ac:dyDescent="0.2">
      <c r="A58" s="7" t="str">
        <f ca="1">IF(AUTOEVENTO="Manual",IF(OFFSET(EVENTOS!$F$14,CRONOPLE!$B58,0)&gt;0,"F",""),IF(CRONOPLE!B58&lt;=MAX(CÁLCULO!$M$15:$M$747),"F",""))</f>
        <v/>
      </c>
      <c r="B58" s="287">
        <f t="shared" ca="1" si="1"/>
        <v>44</v>
      </c>
      <c r="C58" s="288">
        <f ca="1">IF(AUTOEVENTO="Manual",IF($B58&lt;&gt;1,OFFSET(EVENTOS!$D$14,$B58,0),0),IF(B58&lt;=MAX(CÁLCULO!$M$15:$M$747),VLOOKUP($B58,CÁLCULO!$M$15:$N$747,2,FALSE),0))</f>
        <v>0</v>
      </c>
      <c r="E58" s="289"/>
      <c r="G58" s="289"/>
      <c r="H58" s="289"/>
      <c r="I58" s="289"/>
      <c r="J58" s="289"/>
      <c r="K58" s="289"/>
      <c r="L58" s="289"/>
      <c r="M58" s="289"/>
      <c r="N58" s="289"/>
      <c r="O58" s="289"/>
      <c r="P58" s="289"/>
      <c r="Q58" s="289"/>
      <c r="R58" s="289"/>
      <c r="S58" s="289"/>
      <c r="T58" s="289"/>
      <c r="U58" s="289"/>
      <c r="V58" s="289"/>
      <c r="W58" s="289"/>
      <c r="X58" s="289"/>
      <c r="Y58" s="289"/>
      <c r="Z58" s="289"/>
      <c r="AA58" s="289"/>
      <c r="AB58" s="289"/>
      <c r="AC58" s="289"/>
      <c r="AD58" s="289"/>
      <c r="AE58" s="289"/>
    </row>
    <row r="59" spans="1:31" x14ac:dyDescent="0.2">
      <c r="A59" s="7" t="str">
        <f ca="1">IF(AUTOEVENTO="Manual",IF(OFFSET(EVENTOS!$F$14,CRONOPLE!$B59,0)&gt;0,"F",""),IF(CRONOPLE!B59&lt;=MAX(CÁLCULO!$M$15:$M$747),"F",""))</f>
        <v/>
      </c>
      <c r="B59" s="287">
        <f t="shared" ca="1" si="1"/>
        <v>45</v>
      </c>
      <c r="C59" s="288">
        <f ca="1">IF(AUTOEVENTO="Manual",IF($B59&lt;&gt;1,OFFSET(EVENTOS!$D$14,$B59,0),0),IF(B59&lt;=MAX(CÁLCULO!$M$15:$M$747),VLOOKUP($B59,CÁLCULO!$M$15:$N$747,2,FALSE),0))</f>
        <v>0</v>
      </c>
      <c r="E59" s="289"/>
      <c r="G59" s="289"/>
      <c r="H59" s="289"/>
      <c r="I59" s="289"/>
      <c r="J59" s="289"/>
      <c r="K59" s="289"/>
      <c r="L59" s="289"/>
      <c r="M59" s="289"/>
      <c r="N59" s="289"/>
      <c r="O59" s="289"/>
      <c r="P59" s="289"/>
      <c r="Q59" s="289"/>
      <c r="R59" s="289"/>
      <c r="S59" s="289"/>
      <c r="T59" s="289"/>
      <c r="U59" s="289"/>
      <c r="V59" s="289"/>
      <c r="W59" s="289"/>
      <c r="X59" s="289"/>
      <c r="Y59" s="289"/>
      <c r="Z59" s="289"/>
      <c r="AA59" s="289"/>
      <c r="AB59" s="289"/>
      <c r="AC59" s="289"/>
      <c r="AD59" s="289"/>
      <c r="AE59" s="289"/>
    </row>
    <row r="60" spans="1:31" x14ac:dyDescent="0.2">
      <c r="A60" s="7" t="str">
        <f ca="1">IF(AUTOEVENTO="Manual",IF(OFFSET(EVENTOS!$F$14,CRONOPLE!$B60,0)&gt;0,"F",""),IF(CRONOPLE!B60&lt;=MAX(CÁLCULO!$M$15:$M$747),"F",""))</f>
        <v/>
      </c>
      <c r="B60" s="287">
        <f t="shared" ca="1" si="1"/>
        <v>46</v>
      </c>
      <c r="C60" s="288">
        <f ca="1">IF(AUTOEVENTO="Manual",IF($B60&lt;&gt;1,OFFSET(EVENTOS!$D$14,$B60,0),0),IF(B60&lt;=MAX(CÁLCULO!$M$15:$M$747),VLOOKUP($B60,CÁLCULO!$M$15:$N$747,2,FALSE),0))</f>
        <v>0</v>
      </c>
      <c r="E60" s="289"/>
      <c r="G60" s="289"/>
      <c r="H60" s="289"/>
      <c r="I60" s="289"/>
      <c r="J60" s="289"/>
      <c r="K60" s="289"/>
      <c r="L60" s="289"/>
      <c r="M60" s="289"/>
      <c r="N60" s="289"/>
      <c r="O60" s="289"/>
      <c r="P60" s="289"/>
      <c r="Q60" s="289"/>
      <c r="R60" s="289"/>
      <c r="S60" s="289"/>
      <c r="T60" s="289"/>
      <c r="U60" s="289"/>
      <c r="V60" s="289"/>
      <c r="W60" s="289"/>
      <c r="X60" s="289"/>
      <c r="Y60" s="289"/>
      <c r="Z60" s="289"/>
      <c r="AA60" s="289"/>
      <c r="AB60" s="289"/>
      <c r="AC60" s="289"/>
      <c r="AD60" s="289"/>
      <c r="AE60" s="289"/>
    </row>
    <row r="61" spans="1:31" x14ac:dyDescent="0.2">
      <c r="A61" s="7" t="str">
        <f ca="1">IF(AUTOEVENTO="Manual",IF(OFFSET(EVENTOS!$F$14,CRONOPLE!$B61,0)&gt;0,"F",""),IF(CRONOPLE!B61&lt;=MAX(CÁLCULO!$M$15:$M$747),"F",""))</f>
        <v/>
      </c>
      <c r="B61" s="287">
        <f t="shared" ca="1" si="1"/>
        <v>47</v>
      </c>
      <c r="C61" s="288">
        <f ca="1">IF(AUTOEVENTO="Manual",IF($B61&lt;&gt;1,OFFSET(EVENTOS!$D$14,$B61,0),0),IF(B61&lt;=MAX(CÁLCULO!$M$15:$M$747),VLOOKUP($B61,CÁLCULO!$M$15:$N$747,2,FALSE),0))</f>
        <v>0</v>
      </c>
      <c r="E61" s="289"/>
      <c r="G61" s="289"/>
      <c r="H61" s="289"/>
      <c r="I61" s="289"/>
      <c r="J61" s="289"/>
      <c r="K61" s="289"/>
      <c r="L61" s="289"/>
      <c r="M61" s="289"/>
      <c r="N61" s="289"/>
      <c r="O61" s="289"/>
      <c r="P61" s="289"/>
      <c r="Q61" s="289"/>
      <c r="R61" s="289"/>
      <c r="S61" s="289"/>
      <c r="T61" s="289"/>
      <c r="U61" s="289"/>
      <c r="V61" s="289"/>
      <c r="W61" s="289"/>
      <c r="X61" s="289"/>
      <c r="Y61" s="289"/>
      <c r="Z61" s="289"/>
      <c r="AA61" s="289"/>
      <c r="AB61" s="289"/>
      <c r="AC61" s="289"/>
      <c r="AD61" s="289"/>
      <c r="AE61" s="289"/>
    </row>
    <row r="62" spans="1:31" x14ac:dyDescent="0.2">
      <c r="A62" s="7" t="str">
        <f ca="1">IF(AUTOEVENTO="Manual",IF(OFFSET(EVENTOS!$F$14,CRONOPLE!$B62,0)&gt;0,"F",""),IF(CRONOPLE!B62&lt;=MAX(CÁLCULO!$M$15:$M$747),"F",""))</f>
        <v/>
      </c>
      <c r="B62" s="287">
        <f t="shared" ca="1" si="1"/>
        <v>48</v>
      </c>
      <c r="C62" s="288">
        <f ca="1">IF(AUTOEVENTO="Manual",IF($B62&lt;&gt;1,OFFSET(EVENTOS!$D$14,$B62,0),0),IF(B62&lt;=MAX(CÁLCULO!$M$15:$M$747),VLOOKUP($B62,CÁLCULO!$M$15:$N$747,2,FALSE),0))</f>
        <v>0</v>
      </c>
      <c r="E62" s="289"/>
      <c r="G62" s="289"/>
      <c r="H62" s="289"/>
      <c r="I62" s="289"/>
      <c r="J62" s="289"/>
      <c r="K62" s="289"/>
      <c r="L62" s="289"/>
      <c r="M62" s="289"/>
      <c r="N62" s="289"/>
      <c r="O62" s="289"/>
      <c r="P62" s="289"/>
      <c r="Q62" s="289"/>
      <c r="R62" s="289"/>
      <c r="S62" s="289"/>
      <c r="T62" s="289"/>
      <c r="U62" s="289"/>
      <c r="V62" s="289"/>
      <c r="W62" s="289"/>
      <c r="X62" s="289"/>
      <c r="Y62" s="289"/>
      <c r="Z62" s="289"/>
      <c r="AA62" s="289"/>
      <c r="AB62" s="289"/>
      <c r="AC62" s="289"/>
      <c r="AD62" s="289"/>
      <c r="AE62" s="289"/>
    </row>
    <row r="63" spans="1:31" x14ac:dyDescent="0.2">
      <c r="A63" s="7" t="str">
        <f ca="1">IF(AUTOEVENTO="Manual",IF(OFFSET(EVENTOS!$F$14,CRONOPLE!$B63,0)&gt;0,"F",""),IF(CRONOPLE!B63&lt;=MAX(CÁLCULO!$M$15:$M$747),"F",""))</f>
        <v/>
      </c>
      <c r="B63" s="287">
        <f t="shared" ca="1" si="1"/>
        <v>49</v>
      </c>
      <c r="C63" s="288">
        <f ca="1">IF(AUTOEVENTO="Manual",IF($B63&lt;&gt;1,OFFSET(EVENTOS!$D$14,$B63,0),0),IF(B63&lt;=MAX(CÁLCULO!$M$15:$M$747),VLOOKUP($B63,CÁLCULO!$M$15:$N$747,2,FALSE),0))</f>
        <v>0</v>
      </c>
      <c r="E63" s="289"/>
      <c r="G63" s="289"/>
      <c r="H63" s="289"/>
      <c r="I63" s="289"/>
      <c r="J63" s="289"/>
      <c r="K63" s="289"/>
      <c r="L63" s="289"/>
      <c r="M63" s="289"/>
      <c r="N63" s="289"/>
      <c r="O63" s="289"/>
      <c r="P63" s="289"/>
      <c r="Q63" s="289"/>
      <c r="R63" s="289"/>
      <c r="S63" s="289"/>
      <c r="T63" s="289"/>
      <c r="U63" s="289"/>
      <c r="V63" s="289"/>
      <c r="W63" s="289"/>
      <c r="X63" s="289"/>
      <c r="Y63" s="289"/>
      <c r="Z63" s="289"/>
      <c r="AA63" s="289"/>
      <c r="AB63" s="289"/>
      <c r="AC63" s="289"/>
      <c r="AD63" s="289"/>
      <c r="AE63" s="289"/>
    </row>
    <row r="64" spans="1:31" x14ac:dyDescent="0.2">
      <c r="A64" s="7" t="str">
        <f ca="1">IF(AUTOEVENTO="Manual",IF(OFFSET(EVENTOS!$F$14,CRONOPLE!$B64,0)&gt;0,"F",""),IF(CRONOPLE!B64&lt;=MAX(CÁLCULO!$M$15:$M$747),"F",""))</f>
        <v/>
      </c>
      <c r="B64" s="287">
        <f t="shared" ca="1" si="1"/>
        <v>50</v>
      </c>
      <c r="C64" s="288">
        <f ca="1">IF(AUTOEVENTO="Manual",IF($B64&lt;&gt;1,OFFSET(EVENTOS!$D$14,$B64,0),0),IF(B64&lt;=MAX(CÁLCULO!$M$15:$M$747),VLOOKUP($B64,CÁLCULO!$M$15:$N$747,2,FALSE),0))</f>
        <v>0</v>
      </c>
      <c r="E64" s="289"/>
      <c r="G64" s="289"/>
      <c r="H64" s="289"/>
      <c r="I64" s="289"/>
      <c r="J64" s="289"/>
      <c r="K64" s="289"/>
      <c r="L64" s="289"/>
      <c r="M64" s="289"/>
      <c r="N64" s="289"/>
      <c r="O64" s="289"/>
      <c r="P64" s="289"/>
      <c r="Q64" s="289"/>
      <c r="R64" s="289"/>
      <c r="S64" s="289"/>
      <c r="T64" s="289"/>
      <c r="U64" s="289"/>
      <c r="V64" s="289"/>
      <c r="W64" s="289"/>
      <c r="X64" s="289"/>
      <c r="Y64" s="289"/>
      <c r="Z64" s="289"/>
      <c r="AA64" s="289"/>
      <c r="AB64" s="289"/>
      <c r="AC64" s="289"/>
      <c r="AD64" s="289"/>
      <c r="AE64" s="289"/>
    </row>
    <row r="65" spans="2:31" ht="5.0999999999999996" customHeight="1" x14ac:dyDescent="0.2">
      <c r="B65" s="510"/>
      <c r="C65" s="511"/>
      <c r="E65" s="303"/>
      <c r="F65" s="303"/>
      <c r="G65" s="510"/>
      <c r="H65" s="512"/>
      <c r="I65" s="512"/>
      <c r="J65" s="512"/>
      <c r="K65" s="512"/>
      <c r="L65" s="512"/>
      <c r="M65" s="512"/>
      <c r="N65" s="512"/>
      <c r="O65" s="512"/>
      <c r="P65" s="512"/>
      <c r="Q65" s="512"/>
      <c r="R65" s="512"/>
      <c r="S65" s="512"/>
      <c r="T65" s="512"/>
      <c r="U65" s="512"/>
      <c r="V65" s="512"/>
      <c r="W65" s="512"/>
      <c r="X65" s="512"/>
      <c r="Y65" s="512"/>
      <c r="Z65" s="512"/>
      <c r="AA65" s="512"/>
      <c r="AB65" s="512"/>
      <c r="AC65" s="512"/>
      <c r="AD65" s="512"/>
      <c r="AE65" s="511"/>
    </row>
  </sheetData>
  <sheetProtection algorithmName="SHA-512" hashValue="r/feeOtj9+b5ixri/hKWOOPk25dBUKP1jNyNgN1PFCdGDn2I41Asp7YPv9uyqwy2RzZrkJUV04sfq64bPOJimQ==" saltValue="Pf6b1M27ZyWxjKec5+9fNw==" spinCount="100000" sheet="1" objects="1" scenarios="1" autoFilter="0"/>
  <mergeCells count="2">
    <mergeCell ref="B12:B13"/>
    <mergeCell ref="C12:C13"/>
  </mergeCells>
  <phoneticPr fontId="40" type="noConversion"/>
  <conditionalFormatting sqref="E1 G1:AE1">
    <cfRule type="expression" dxfId="531" priority="109" stopIfTrue="1">
      <formula>IF(OR(E$12&gt;CÁLCULO.NúmeroDeFrentes,ACOMPANHAMENTO="BM"),TRUE,CRONOPLE.ValorDoEvento=0)</formula>
    </cfRule>
  </conditionalFormatting>
  <conditionalFormatting sqref="E16:E24 G16:AE24">
    <cfRule type="expression" dxfId="530" priority="6" stopIfTrue="1">
      <formula>IF(OR(E$12&gt;CÁLCULO.NúmeroDeFrentes,ACOMPANHAMENTO="BM"),TRUE,CRONOPLE.ValorDoEvento=0)</formula>
    </cfRule>
  </conditionalFormatting>
  <conditionalFormatting sqref="E25:E33 G25:AE33">
    <cfRule type="expression" dxfId="529" priority="5" stopIfTrue="1">
      <formula>IF(OR(E$12&gt;CÁLCULO.NúmeroDeFrentes,ACOMPANHAMENTO="BM"),TRUE,CRONOPLE.ValorDoEvento=0)</formula>
    </cfRule>
  </conditionalFormatting>
  <conditionalFormatting sqref="E34:E42 G34:AE42">
    <cfRule type="expression" dxfId="528" priority="4" stopIfTrue="1">
      <formula>IF(OR(E$12&gt;CÁLCULO.NúmeroDeFrentes,ACOMPANHAMENTO="BM"),TRUE,CRONOPLE.ValorDoEvento=0)</formula>
    </cfRule>
  </conditionalFormatting>
  <conditionalFormatting sqref="E43:E51 G43:AE51">
    <cfRule type="expression" dxfId="527" priority="3" stopIfTrue="1">
      <formula>IF(OR(E$12&gt;CÁLCULO.NúmeroDeFrentes,ACOMPANHAMENTO="BM"),TRUE,CRONOPLE.ValorDoEvento=0)</formula>
    </cfRule>
  </conditionalFormatting>
  <conditionalFormatting sqref="E52:E60 G52:AE60">
    <cfRule type="expression" dxfId="526" priority="2" stopIfTrue="1">
      <formula>IF(OR(E$12&gt;CÁLCULO.NúmeroDeFrentes,ACOMPANHAMENTO="BM"),TRUE,CRONOPLE.ValorDoEvento=0)</formula>
    </cfRule>
  </conditionalFormatting>
  <conditionalFormatting sqref="E61:E64 G61:AE64">
    <cfRule type="expression" dxfId="525" priority="1" stopIfTrue="1">
      <formula>IF(OR(E$12&gt;CÁLCULO.NúmeroDeFrentes,ACOMPANHAMENTO="BM"),TRUE,CRONOPLE.ValorDoEvento=0)</formula>
    </cfRule>
  </conditionalFormatting>
  <dataValidations count="1">
    <dataValidation type="whole" operator="greaterThan" allowBlank="1" showErrorMessage="1" sqref="E1:E5 G1:AE5 G16:AE64 E16:E64">
      <formula1>0</formula1>
      <formula2>0</formula2>
    </dataValidation>
  </dataValidations>
  <pageMargins left="0.78740157480314998" right="0.78740157480314998" top="0.78740157480314998" bottom="0.78740157480314998" header="0.59055118110236204" footer="0.59055118110236204"/>
  <pageSetup paperSize="9" scale="60" firstPageNumber="0" orientation="landscape" horizontalDpi="300" verticalDpi="300" r:id="rId1"/>
  <headerFooter alignWithMargins="0">
    <oddHeader>&amp;L_&amp;C&amp;14I</oddHeader>
    <oddFooter>&amp;LPMv3.0.6&amp;R&amp;P / 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1"/>
  <dimension ref="A1:AG80"/>
  <sheetViews>
    <sheetView showGridLines="0" zoomScale="90" zoomScaleNormal="90" zoomScaleSheetLayoutView="100" workbookViewId="0">
      <pane xSplit="4" ySplit="13" topLeftCell="E14" activePane="bottomRight" state="frozen"/>
      <selection pane="topRight" activeCell="E1" sqref="E1"/>
      <selection pane="bottomLeft" activeCell="A13" sqref="A13"/>
      <selection pane="bottomRight"/>
    </sheetView>
  </sheetViews>
  <sheetFormatPr defaultRowHeight="12.75" x14ac:dyDescent="0.2"/>
  <cols>
    <col min="1" max="1" width="3.85546875" customWidth="1"/>
    <col min="2" max="2" width="8.140625" customWidth="1"/>
    <col min="3" max="3" width="17" customWidth="1"/>
    <col min="4" max="4" width="19.85546875" customWidth="1"/>
    <col min="5" max="5" width="1.42578125" customWidth="1"/>
    <col min="6" max="7" width="0" hidden="1" customWidth="1"/>
    <col min="8" max="32" width="5.7109375" customWidth="1"/>
    <col min="33" max="33" width="0.140625" customWidth="1"/>
  </cols>
  <sheetData>
    <row r="1" spans="1:33" hidden="1" x14ac:dyDescent="0.2">
      <c r="A1" s="7" t="e">
        <f ca="1">IF(AUTOEVENTO="Manual",IF(OFFSET(EVENTOS!$F$14,PLE!$B1,0)&gt;0,"F",""),IF(PLE!B1&lt;=MAX(CÁLCULO!$M$15:$M$747),"F",""))</f>
        <v>#REF!</v>
      </c>
      <c r="B1" s="287" t="e">
        <f ca="1">OFFSET(B1,-1,0)+1</f>
        <v>#REF!</v>
      </c>
      <c r="C1" s="649" t="e">
        <f ca="1">IF(AUTOEVENTO="Manual",IF($B1&lt;&gt;1,OFFSET(EVENTOS!$D$14,$B1,0),0),IF(B1&lt;=MAX(CÁLCULO!$M$15:$M$747),VLOOKUP($B1,CÁLCULO!$M$15:$N$747,2,FALSE),0))</f>
        <v>#REF!</v>
      </c>
      <c r="D1" s="649"/>
      <c r="F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U1" s="289"/>
      <c r="V1" s="289"/>
      <c r="W1" s="289"/>
      <c r="X1" s="289"/>
      <c r="Y1" s="289"/>
      <c r="Z1" s="289"/>
      <c r="AA1" s="289"/>
      <c r="AB1" s="289"/>
      <c r="AC1" s="289"/>
      <c r="AD1" s="289"/>
      <c r="AE1" s="289"/>
      <c r="AF1" s="289"/>
    </row>
    <row r="2" spans="1:33" hidden="1" x14ac:dyDescent="0.2">
      <c r="A2" s="7"/>
      <c r="B2" s="7"/>
      <c r="C2" s="13"/>
      <c r="D2" s="13"/>
      <c r="F2" s="526"/>
    </row>
    <row r="3" spans="1:33" ht="15.75" x14ac:dyDescent="0.25">
      <c r="H3" s="229" t="s">
        <v>293</v>
      </c>
      <c r="AD3" s="604" t="s">
        <v>140</v>
      </c>
      <c r="AE3" s="604"/>
      <c r="AF3" s="604"/>
    </row>
    <row r="4" spans="1:33" ht="15.75" x14ac:dyDescent="0.2">
      <c r="B4" s="83"/>
      <c r="C4" s="83"/>
      <c r="H4" s="84" t="str">
        <f>import.recurso</f>
        <v>(SELECIONAR)</v>
      </c>
      <c r="AD4" s="605" t="s">
        <v>143</v>
      </c>
      <c r="AE4" s="605"/>
      <c r="AF4" s="605"/>
    </row>
    <row r="6" spans="1:33" x14ac:dyDescent="0.2">
      <c r="B6" s="231" t="s">
        <v>146</v>
      </c>
      <c r="C6" s="304"/>
      <c r="D6" s="233" t="s">
        <v>443</v>
      </c>
      <c r="E6" s="4"/>
      <c r="H6" s="234" t="s">
        <v>272</v>
      </c>
      <c r="I6" s="205"/>
      <c r="J6" s="205"/>
      <c r="K6" s="205"/>
      <c r="L6" s="204"/>
      <c r="M6" s="204"/>
      <c r="N6" s="305"/>
      <c r="O6" s="231" t="s">
        <v>273</v>
      </c>
      <c r="P6" s="235"/>
      <c r="R6" s="205"/>
      <c r="S6" s="205"/>
      <c r="T6" s="205"/>
      <c r="U6" s="232"/>
      <c r="V6" s="231" t="str">
        <f>IF(TIPOORCAMENTO="Licitado","NOME DA EMPRESA","DESCRIÇÃO DO LOTE")</f>
        <v>DESCRIÇÃO DO LOTE</v>
      </c>
      <c r="W6" s="205"/>
      <c r="X6" s="205"/>
      <c r="Y6" s="205"/>
      <c r="AD6" s="4"/>
      <c r="AE6" s="662" t="str">
        <f>IF(TIPOORCAMENTO="Licitado","Nº CTEF","")</f>
        <v/>
      </c>
      <c r="AF6" s="662"/>
    </row>
    <row r="7" spans="1:33" x14ac:dyDescent="0.2">
      <c r="B7" s="637" t="str">
        <f>Import.CR</f>
        <v>1094391-68</v>
      </c>
      <c r="C7" s="637"/>
      <c r="D7" s="237" t="str">
        <f>Import.TransfereGOV</f>
        <v xml:space="preserve">960797/2024 </v>
      </c>
      <c r="E7" s="43"/>
      <c r="H7" s="636" t="str">
        <f>Import.Proponente</f>
        <v>Prefeitura Municipal de Pirapora</v>
      </c>
      <c r="I7" s="636"/>
      <c r="J7" s="636"/>
      <c r="K7" s="636"/>
      <c r="L7" s="636"/>
      <c r="M7" s="636"/>
      <c r="N7" s="636"/>
      <c r="O7" s="637" t="str">
        <f>Import.Apelido</f>
        <v>CEMEI Santa Mariana Pirapora/MG. Projeto Padrão FNDE- Creche e Pré Escola Tipo I.</v>
      </c>
      <c r="P7" s="637"/>
      <c r="Q7" s="637"/>
      <c r="R7" s="637"/>
      <c r="S7" s="637"/>
      <c r="T7" s="637"/>
      <c r="U7" s="637"/>
      <c r="V7" s="637" t="str">
        <f>IF(TIPOORCAMENTO="Licitado",Import.empresa,Import.DescLote)</f>
        <v>Centro Municipal de Educação Infantil - CEMEI Santa Mariana Pirapora/MG. Projeto Padrão FNDE- Creche e Pré escola Tipo I.</v>
      </c>
      <c r="W7" s="637"/>
      <c r="X7" s="637"/>
      <c r="Y7" s="637"/>
      <c r="Z7" s="637"/>
      <c r="AA7" s="637"/>
      <c r="AB7" s="637"/>
      <c r="AC7" s="637"/>
      <c r="AD7" s="637"/>
      <c r="AE7" s="666" t="str">
        <f>IF(TIPOORCAMENTO="Licitado",Import.CTEF,"")</f>
        <v/>
      </c>
      <c r="AF7" s="666"/>
      <c r="AG7" s="306"/>
    </row>
    <row r="9" spans="1:33" ht="15.75" x14ac:dyDescent="0.25">
      <c r="A9" s="453">
        <v>0</v>
      </c>
      <c r="B9" s="307"/>
      <c r="C9" s="307"/>
      <c r="I9" s="308" t="s">
        <v>294</v>
      </c>
      <c r="J9" s="664">
        <v>1</v>
      </c>
      <c r="K9" s="664"/>
      <c r="M9" s="308" t="s">
        <v>283</v>
      </c>
      <c r="N9" s="665" t="str">
        <f ca="1">TEXT(IF(PLE.Medicao=1,Import.DataInicioObra,OFFSET($H$68,0,1+(PLE.Medicao-$I$69)*2-2)+1),"dd/mm/aaaa")&amp;" a "&amp;TEXT(OFFSET($H$68,0,1+(PLE.Medicao-$I$69)*2),"dd/mm/aaaa")</f>
        <v>00/01/1900 a 00/01/1900</v>
      </c>
      <c r="O9" s="665"/>
      <c r="P9" s="665"/>
      <c r="Q9" s="665"/>
      <c r="R9" s="665"/>
      <c r="S9" s="665"/>
      <c r="T9" s="665"/>
      <c r="U9" s="309"/>
      <c r="X9" s="308" t="s">
        <v>295</v>
      </c>
      <c r="Y9" s="667" t="e">
        <f ca="1">OFFSET($I$69,1+8*(ROUNDUP(($J$9-0)/((COLUMN($AG$14)-COLUMN($G$14)-1)/25*12),0)-1),ROUNDDOWN((($J$9-0)-OFFSET($I$69,8*(ROUNDUP(($J$9-0)/((COLUMN($AG$14)-COLUMN($G$14)-1)/25*12),0)-1),0))*(2+1/12),0))</f>
        <v>#DIV/0!</v>
      </c>
      <c r="Z9" s="667"/>
      <c r="AD9" s="308" t="s">
        <v>296</v>
      </c>
      <c r="AE9" s="667" t="e">
        <f ca="1">OFFSET($I$69,3+8*(ROUNDUP(($J$9-0)/((COLUMN($AG$14)-COLUMN($G$14)-1)/25*12),0)-1),ROUNDDOWN((($J$9-0)-OFFSET($I$69,8*(ROUNDUP(($J$9-0)/((COLUMN($AG$14)-COLUMN($G$14)-1)/25*12),0)-1),0))*(2+1/12),0))</f>
        <v>#DIV/0!</v>
      </c>
      <c r="AF9" s="667"/>
    </row>
    <row r="11" spans="1:33" ht="65.25" customHeight="1" x14ac:dyDescent="0.2">
      <c r="A11" s="291" t="s">
        <v>290</v>
      </c>
      <c r="C11" s="663" t="str">
        <f>IF(TIPOORCAMENTO="proposto","ALTERE O TIPO DE ORÇAMENTO NA ABA 'MENU' PARA LICITADO.",IF(ACOMPANHAMENTO="BM","FOI SELECIONADO NA ABA 'MENU' O ACOMPANHAMENTO POR BM.",""))</f>
        <v>ALTERE O TIPO DE ORÇAMENTO NA ABA 'MENU' PARA LICITADO.</v>
      </c>
      <c r="D11" s="663"/>
      <c r="F11" s="293">
        <f ca="1">IF(F$12&gt;CÁLCULO.NúmeroDeFrentes,"",OFFSET(CÁLCULO!$P$12,0,F$12))</f>
        <v>0</v>
      </c>
      <c r="H11" s="293">
        <f ca="1">IF(H$12&gt;CÁLCULO.NúmeroDeFrentes,"",OFFSET(CÁLCULO!$P$12,0,H$12))</f>
        <v>0</v>
      </c>
      <c r="I11" s="293">
        <f ca="1">IF(I$12&gt;CÁLCULO.NúmeroDeFrentes,"",OFFSET(CÁLCULO!$P$12,0,I$12))</f>
        <v>0</v>
      </c>
      <c r="J11" s="293">
        <f ca="1">IF(J$12&gt;CÁLCULO.NúmeroDeFrentes,"",OFFSET(CÁLCULO!$P$12,0,J$12))</f>
        <v>0</v>
      </c>
      <c r="K11" s="293">
        <f ca="1">IF(K$12&gt;CÁLCULO.NúmeroDeFrentes,"",OFFSET(CÁLCULO!$P$12,0,K$12))</f>
        <v>0</v>
      </c>
      <c r="L11" s="293">
        <f ca="1">IF(L$12&gt;CÁLCULO.NúmeroDeFrentes,"",OFFSET(CÁLCULO!$P$12,0,L$12))</f>
        <v>0</v>
      </c>
      <c r="M11" s="293">
        <f ca="1">IF(M$12&gt;CÁLCULO.NúmeroDeFrentes,"",OFFSET(CÁLCULO!$P$12,0,M$12))</f>
        <v>0</v>
      </c>
      <c r="N11" s="293">
        <f ca="1">IF(N$12&gt;CÁLCULO.NúmeroDeFrentes,"",OFFSET(CÁLCULO!$P$12,0,N$12))</f>
        <v>0</v>
      </c>
      <c r="O11" s="293">
        <f ca="1">IF(O$12&gt;CÁLCULO.NúmeroDeFrentes,"",OFFSET(CÁLCULO!$P$12,0,O$12))</f>
        <v>0</v>
      </c>
      <c r="P11" s="293">
        <f ca="1">IF(P$12&gt;CÁLCULO.NúmeroDeFrentes,"",OFFSET(CÁLCULO!$P$12,0,P$12))</f>
        <v>0</v>
      </c>
      <c r="Q11" s="293">
        <f ca="1">IF(Q$12&gt;CÁLCULO.NúmeroDeFrentes,"",OFFSET(CÁLCULO!$P$12,0,Q$12))</f>
        <v>0</v>
      </c>
      <c r="R11" s="293" t="str">
        <f ca="1">IF(R$12&gt;CÁLCULO.NúmeroDeFrentes,"",OFFSET(CÁLCULO!$P$12,0,R$12))</f>
        <v/>
      </c>
      <c r="S11" s="293" t="str">
        <f ca="1">IF(S$12&gt;CÁLCULO.NúmeroDeFrentes,"",OFFSET(CÁLCULO!$P$12,0,S$12))</f>
        <v/>
      </c>
      <c r="T11" s="293" t="str">
        <f ca="1">IF(T$12&gt;CÁLCULO.NúmeroDeFrentes,"",OFFSET(CÁLCULO!$P$12,0,T$12))</f>
        <v/>
      </c>
      <c r="U11" s="293" t="str">
        <f ca="1">IF(U$12&gt;CÁLCULO.NúmeroDeFrentes,"",OFFSET(CÁLCULO!$P$12,0,U$12))</f>
        <v/>
      </c>
      <c r="V11" s="293" t="str">
        <f ca="1">IF(V$12&gt;CÁLCULO.NúmeroDeFrentes,"",OFFSET(CÁLCULO!$P$12,0,V$12))</f>
        <v/>
      </c>
      <c r="W11" s="293" t="str">
        <f ca="1">IF(W$12&gt;CÁLCULO.NúmeroDeFrentes,"",OFFSET(CÁLCULO!$P$12,0,W$12))</f>
        <v/>
      </c>
      <c r="X11" s="293" t="str">
        <f ca="1">IF(X$12&gt;CÁLCULO.NúmeroDeFrentes,"",OFFSET(CÁLCULO!$P$12,0,X$12))</f>
        <v/>
      </c>
      <c r="Y11" s="293" t="str">
        <f ca="1">IF(Y$12&gt;CÁLCULO.NúmeroDeFrentes,"",OFFSET(CÁLCULO!$P$12,0,Y$12))</f>
        <v/>
      </c>
      <c r="Z11" s="293" t="str">
        <f ca="1">IF(Z$12&gt;CÁLCULO.NúmeroDeFrentes,"",OFFSET(CÁLCULO!$P$12,0,Z$12))</f>
        <v/>
      </c>
      <c r="AA11" s="293" t="str">
        <f ca="1">IF(AA$12&gt;CÁLCULO.NúmeroDeFrentes,"",OFFSET(CÁLCULO!$P$12,0,AA$12))</f>
        <v/>
      </c>
      <c r="AB11" s="293" t="str">
        <f ca="1">IF(AB$12&gt;CÁLCULO.NúmeroDeFrentes,"",OFFSET(CÁLCULO!$P$12,0,AB$12))</f>
        <v/>
      </c>
      <c r="AC11" s="293" t="str">
        <f ca="1">IF(AC$12&gt;CÁLCULO.NúmeroDeFrentes,"",OFFSET(CÁLCULO!$P$12,0,AC$12))</f>
        <v/>
      </c>
      <c r="AD11" s="293" t="str">
        <f ca="1">IF(AD$12&gt;CÁLCULO.NúmeroDeFrentes,"",OFFSET(CÁLCULO!$P$12,0,AD$12))</f>
        <v/>
      </c>
      <c r="AE11" s="293" t="str">
        <f ca="1">IF(AE$12&gt;CÁLCULO.NúmeroDeFrentes,"",OFFSET(CÁLCULO!$P$12,0,AE$12))</f>
        <v/>
      </c>
      <c r="AF11" s="293" t="str">
        <f ca="1">IF(AF$12&gt;CÁLCULO.NúmeroDeFrentes,"",OFFSET(CÁLCULO!$P$12,0,AF$12))</f>
        <v/>
      </c>
    </row>
    <row r="12" spans="1:33" ht="12.75" customHeight="1" x14ac:dyDescent="0.2">
      <c r="A12" s="108" t="s">
        <v>217</v>
      </c>
      <c r="B12" s="644" t="s">
        <v>266</v>
      </c>
      <c r="C12" s="644" t="s">
        <v>291</v>
      </c>
      <c r="D12" s="644"/>
      <c r="F12" s="294">
        <f ca="1">OFFSET(F12,0,-1)+1</f>
        <v>1</v>
      </c>
      <c r="H12" s="294">
        <f ca="1">OFFSET(H12,0,-1)+1</f>
        <v>1</v>
      </c>
      <c r="I12" s="294">
        <f ca="1">OFFSET(I12,0,-1)+1</f>
        <v>2</v>
      </c>
      <c r="J12" s="294">
        <f t="shared" ref="J12:AF12" ca="1" si="0">OFFSET(J12,0,-1)+1</f>
        <v>3</v>
      </c>
      <c r="K12" s="294">
        <f t="shared" ca="1" si="0"/>
        <v>4</v>
      </c>
      <c r="L12" s="294">
        <f t="shared" ca="1" si="0"/>
        <v>5</v>
      </c>
      <c r="M12" s="294">
        <f t="shared" ca="1" si="0"/>
        <v>6</v>
      </c>
      <c r="N12" s="294">
        <f t="shared" ca="1" si="0"/>
        <v>7</v>
      </c>
      <c r="O12" s="294">
        <f t="shared" ca="1" si="0"/>
        <v>8</v>
      </c>
      <c r="P12" s="294">
        <f t="shared" ca="1" si="0"/>
        <v>9</v>
      </c>
      <c r="Q12" s="294">
        <f t="shared" ca="1" si="0"/>
        <v>10</v>
      </c>
      <c r="R12" s="294">
        <f t="shared" ca="1" si="0"/>
        <v>11</v>
      </c>
      <c r="S12" s="294">
        <f t="shared" ca="1" si="0"/>
        <v>12</v>
      </c>
      <c r="T12" s="294">
        <f t="shared" ca="1" si="0"/>
        <v>13</v>
      </c>
      <c r="U12" s="294">
        <f t="shared" ca="1" si="0"/>
        <v>14</v>
      </c>
      <c r="V12" s="294">
        <f t="shared" ca="1" si="0"/>
        <v>15</v>
      </c>
      <c r="W12" s="294">
        <f t="shared" ca="1" si="0"/>
        <v>16</v>
      </c>
      <c r="X12" s="294">
        <f t="shared" ca="1" si="0"/>
        <v>17</v>
      </c>
      <c r="Y12" s="294">
        <f t="shared" ca="1" si="0"/>
        <v>18</v>
      </c>
      <c r="Z12" s="294">
        <f t="shared" ca="1" si="0"/>
        <v>19</v>
      </c>
      <c r="AA12" s="294">
        <f t="shared" ca="1" si="0"/>
        <v>20</v>
      </c>
      <c r="AB12" s="294">
        <f t="shared" ca="1" si="0"/>
        <v>21</v>
      </c>
      <c r="AC12" s="294">
        <f t="shared" ca="1" si="0"/>
        <v>22</v>
      </c>
      <c r="AD12" s="294">
        <f t="shared" ca="1" si="0"/>
        <v>23</v>
      </c>
      <c r="AE12" s="294">
        <f t="shared" ca="1" si="0"/>
        <v>24</v>
      </c>
      <c r="AF12" s="294">
        <f t="shared" ca="1" si="0"/>
        <v>25</v>
      </c>
    </row>
    <row r="13" spans="1:33" x14ac:dyDescent="0.2">
      <c r="B13" s="644"/>
      <c r="C13" s="644"/>
      <c r="D13" s="644"/>
      <c r="F13" s="296"/>
      <c r="H13" s="296"/>
      <c r="I13" s="295"/>
      <c r="J13" s="295"/>
      <c r="K13" s="295"/>
      <c r="L13" s="295"/>
      <c r="M13" s="295"/>
      <c r="N13" s="295" t="s">
        <v>297</v>
      </c>
      <c r="O13" s="295"/>
      <c r="P13" s="295"/>
      <c r="Q13" s="295"/>
      <c r="R13" s="295"/>
      <c r="S13" s="295"/>
      <c r="T13" s="295"/>
      <c r="U13" s="295"/>
      <c r="V13" s="295"/>
      <c r="W13" s="295"/>
      <c r="X13" s="295"/>
      <c r="Y13" s="295"/>
      <c r="Z13" s="295"/>
      <c r="AA13" s="295"/>
      <c r="AB13" s="295"/>
      <c r="AC13" s="295"/>
      <c r="AD13" s="295"/>
      <c r="AE13" s="295"/>
      <c r="AF13" s="297"/>
    </row>
    <row r="14" spans="1:33" ht="7.5" customHeight="1" x14ac:dyDescent="0.2">
      <c r="A14" s="7" t="s">
        <v>246</v>
      </c>
    </row>
    <row r="15" spans="1:33" x14ac:dyDescent="0.2">
      <c r="A15" s="7" t="str">
        <f ca="1">IF(AND(AUTOEVENTO="Manual",OFFSET(EVENTOS!$F$14,1,0)&gt;0),"F","")</f>
        <v/>
      </c>
      <c r="B15" s="298">
        <v>1</v>
      </c>
      <c r="C15" s="661" t="s">
        <v>269</v>
      </c>
      <c r="D15" s="661"/>
      <c r="F15" s="301"/>
      <c r="H15" s="301" t="str">
        <f ca="1">IF(AUTOEVENTO="MANUAL","A administração local será proporcional a execução dos demais eventos, independente de frentes de obra.","Para aplicação de Adm. Local é necessário definir os eventos manualmente.")</f>
        <v>Para aplicação de Adm. Local é necessário definir os eventos manualmente.</v>
      </c>
      <c r="I15" s="300"/>
      <c r="J15" s="300"/>
      <c r="K15" s="300"/>
      <c r="L15" s="300"/>
      <c r="M15" s="300"/>
      <c r="N15" s="300"/>
      <c r="O15" s="300"/>
      <c r="P15" s="300"/>
      <c r="Q15" s="300"/>
      <c r="R15" s="300"/>
      <c r="S15" s="300"/>
      <c r="T15" s="300"/>
      <c r="U15" s="300"/>
      <c r="V15" s="300"/>
      <c r="W15" s="300"/>
      <c r="X15" s="300"/>
      <c r="Y15" s="300"/>
      <c r="Z15" s="300"/>
      <c r="AA15" s="300"/>
      <c r="AB15" s="300"/>
      <c r="AC15" s="300"/>
      <c r="AD15" s="300"/>
      <c r="AE15" s="300"/>
      <c r="AF15" s="302"/>
    </row>
    <row r="16" spans="1:33" x14ac:dyDescent="0.2">
      <c r="A16" s="7" t="str">
        <f ca="1">IF(AUTOEVENTO="Manual",IF(OFFSET(EVENTOS!$F$14,PLE!$B16,0)&gt;0,"F",""),IF(PLE!B16&lt;=MAX(CÁLCULO!$M$15:$M$747),"F",""))</f>
        <v>F</v>
      </c>
      <c r="B16" s="287">
        <f t="shared" ref="B16:B64" ca="1" si="1">OFFSET(B16,-1,0)+1</f>
        <v>2</v>
      </c>
      <c r="C16" s="649" t="str">
        <f ca="1">IF(AUTOEVENTO="Manual",IF($B16&lt;&gt;1,OFFSET(EVENTOS!$D$14,$B16,0),0),IF(B16&lt;=MAX(CÁLCULO!$M$15:$M$747),VLOOKUP($B16,CÁLCULO!$M$15:$N$747,2,FALSE),0))</f>
        <v>SERVIÇOS PRELIMINARES</v>
      </c>
      <c r="D16" s="649"/>
      <c r="F16" s="289"/>
      <c r="H16" s="289"/>
      <c r="I16" s="289"/>
      <c r="J16" s="289"/>
      <c r="K16" s="289"/>
      <c r="L16" s="289"/>
      <c r="M16" s="289"/>
      <c r="N16" s="289"/>
      <c r="O16" s="289"/>
      <c r="P16" s="289"/>
      <c r="Q16" s="289"/>
      <c r="R16" s="289"/>
      <c r="S16" s="289"/>
      <c r="T16" s="289"/>
      <c r="U16" s="289"/>
      <c r="V16" s="289"/>
      <c r="W16" s="289"/>
      <c r="X16" s="289"/>
      <c r="Y16" s="289"/>
      <c r="Z16" s="289"/>
      <c r="AA16" s="289"/>
      <c r="AB16" s="289"/>
      <c r="AC16" s="289"/>
      <c r="AD16" s="289"/>
      <c r="AE16" s="289"/>
      <c r="AF16" s="289"/>
    </row>
    <row r="17" spans="1:32" x14ac:dyDescent="0.2">
      <c r="A17" s="7" t="str">
        <f ca="1">IF(AUTOEVENTO="Manual",IF(OFFSET(EVENTOS!$F$14,PLE!$B17,0)&gt;0,"F",""),IF(PLE!B17&lt;=MAX(CÁLCULO!$M$15:$M$747),"F",""))</f>
        <v>F</v>
      </c>
      <c r="B17" s="287">
        <f t="shared" ca="1" si="1"/>
        <v>3</v>
      </c>
      <c r="C17" s="649" t="str">
        <f ca="1">IF(AUTOEVENTO="Manual",IF($B17&lt;&gt;1,OFFSET(EVENTOS!$D$14,$B17,0),0),IF(B17&lt;=MAX(CÁLCULO!$M$15:$M$747),VLOOKUP($B17,CÁLCULO!$M$15:$N$747,2,FALSE),0))</f>
        <v>MOVIMENTO DE TERRA PARA FUNDAÇÕES</v>
      </c>
      <c r="D17" s="649"/>
      <c r="F17" s="289"/>
      <c r="H17" s="289"/>
      <c r="I17" s="289"/>
      <c r="J17" s="289"/>
      <c r="K17" s="289"/>
      <c r="L17" s="289"/>
      <c r="M17" s="289"/>
      <c r="N17" s="289"/>
      <c r="O17" s="289"/>
      <c r="P17" s="289"/>
      <c r="Q17" s="289"/>
      <c r="R17" s="289"/>
      <c r="S17" s="289"/>
      <c r="T17" s="289"/>
      <c r="U17" s="289"/>
      <c r="V17" s="289"/>
      <c r="W17" s="289"/>
      <c r="X17" s="289"/>
      <c r="Y17" s="289"/>
      <c r="Z17" s="289"/>
      <c r="AA17" s="289"/>
      <c r="AB17" s="289"/>
      <c r="AC17" s="289"/>
      <c r="AD17" s="289"/>
      <c r="AE17" s="289"/>
      <c r="AF17" s="289"/>
    </row>
    <row r="18" spans="1:32" x14ac:dyDescent="0.2">
      <c r="A18" s="7" t="str">
        <f ca="1">IF(AUTOEVENTO="Manual",IF(OFFSET(EVENTOS!$F$14,PLE!$B18,0)&gt;0,"F",""),IF(PLE!B18&lt;=MAX(CÁLCULO!$M$15:$M$747),"F",""))</f>
        <v>F</v>
      </c>
      <c r="B18" s="287">
        <f t="shared" ca="1" si="1"/>
        <v>4</v>
      </c>
      <c r="C18" s="649" t="str">
        <f ca="1">IF(AUTOEVENTO="Manual",IF($B18&lt;&gt;1,OFFSET(EVENTOS!$D$14,$B18,0),0),IF(B18&lt;=MAX(CÁLCULO!$M$15:$M$747),VLOOKUP($B18,CÁLCULO!$M$15:$N$747,2,FALSE),0))</f>
        <v>FUNDAÇÕES</v>
      </c>
      <c r="D18" s="649"/>
      <c r="F18" s="289"/>
      <c r="H18" s="289"/>
      <c r="I18" s="289"/>
      <c r="J18" s="289"/>
      <c r="K18" s="289"/>
      <c r="L18" s="289"/>
      <c r="M18" s="289"/>
      <c r="N18" s="289"/>
      <c r="O18" s="289"/>
      <c r="P18" s="289"/>
      <c r="Q18" s="289"/>
      <c r="R18" s="289"/>
      <c r="S18" s="289"/>
      <c r="T18" s="289"/>
      <c r="U18" s="289"/>
      <c r="V18" s="289"/>
      <c r="W18" s="289"/>
      <c r="X18" s="289"/>
      <c r="Y18" s="289"/>
      <c r="Z18" s="289"/>
      <c r="AA18" s="289"/>
      <c r="AB18" s="289"/>
      <c r="AC18" s="289"/>
      <c r="AD18" s="289"/>
      <c r="AE18" s="289"/>
      <c r="AF18" s="289"/>
    </row>
    <row r="19" spans="1:32" x14ac:dyDescent="0.2">
      <c r="A19" s="7" t="str">
        <f ca="1">IF(AUTOEVENTO="Manual",IF(OFFSET(EVENTOS!$F$14,PLE!$B19,0)&gt;0,"F",""),IF(PLE!B19&lt;=MAX(CÁLCULO!$M$15:$M$747),"F",""))</f>
        <v>F</v>
      </c>
      <c r="B19" s="287">
        <f t="shared" ca="1" si="1"/>
        <v>5</v>
      </c>
      <c r="C19" s="649" t="str">
        <f ca="1">IF(AUTOEVENTO="Manual",IF($B19&lt;&gt;1,OFFSET(EVENTOS!$D$14,$B19,0),0),IF(B19&lt;=MAX(CÁLCULO!$M$15:$M$747),VLOOKUP($B19,CÁLCULO!$M$15:$N$747,2,FALSE),0))</f>
        <v>SUPERESTRUTURA</v>
      </c>
      <c r="D19" s="649"/>
      <c r="F19" s="289"/>
      <c r="H19" s="289"/>
      <c r="I19" s="289"/>
      <c r="J19" s="289"/>
      <c r="K19" s="289"/>
      <c r="L19" s="289"/>
      <c r="M19" s="289"/>
      <c r="N19" s="289"/>
      <c r="O19" s="289"/>
      <c r="P19" s="289"/>
      <c r="Q19" s="289"/>
      <c r="R19" s="289"/>
      <c r="S19" s="289"/>
      <c r="T19" s="289"/>
      <c r="U19" s="289"/>
      <c r="V19" s="289"/>
      <c r="W19" s="289"/>
      <c r="X19" s="289"/>
      <c r="Y19" s="289"/>
      <c r="Z19" s="289"/>
      <c r="AA19" s="289"/>
      <c r="AB19" s="289"/>
      <c r="AC19" s="289"/>
      <c r="AD19" s="289"/>
      <c r="AE19" s="289"/>
      <c r="AF19" s="289"/>
    </row>
    <row r="20" spans="1:32" x14ac:dyDescent="0.2">
      <c r="A20" s="7" t="str">
        <f ca="1">IF(AUTOEVENTO="Manual",IF(OFFSET(EVENTOS!$F$14,PLE!$B20,0)&gt;0,"F",""),IF(PLE!B20&lt;=MAX(CÁLCULO!$M$15:$M$747),"F",""))</f>
        <v>F</v>
      </c>
      <c r="B20" s="287">
        <f t="shared" ca="1" si="1"/>
        <v>6</v>
      </c>
      <c r="C20" s="649" t="str">
        <f ca="1">IF(AUTOEVENTO="Manual",IF($B20&lt;&gt;1,OFFSET(EVENTOS!$D$14,$B20,0),0),IF(B20&lt;=MAX(CÁLCULO!$M$15:$M$747),VLOOKUP($B20,CÁLCULO!$M$15:$N$747,2,FALSE),0))</f>
        <v>SISTEMA DE VEDAÇÃO VERTICAL</v>
      </c>
      <c r="D20" s="649"/>
      <c r="F20" s="289"/>
      <c r="H20" s="289"/>
      <c r="I20" s="289"/>
      <c r="J20" s="289"/>
      <c r="K20" s="289"/>
      <c r="L20" s="289"/>
      <c r="M20" s="289"/>
      <c r="N20" s="289"/>
      <c r="O20" s="289"/>
      <c r="P20" s="289"/>
      <c r="Q20" s="289"/>
      <c r="R20" s="289"/>
      <c r="S20" s="289"/>
      <c r="T20" s="289"/>
      <c r="U20" s="289"/>
      <c r="V20" s="289"/>
      <c r="W20" s="289"/>
      <c r="X20" s="289"/>
      <c r="Y20" s="289"/>
      <c r="Z20" s="289"/>
      <c r="AA20" s="289"/>
      <c r="AB20" s="289"/>
      <c r="AC20" s="289"/>
      <c r="AD20" s="289"/>
      <c r="AE20" s="289"/>
      <c r="AF20" s="289"/>
    </row>
    <row r="21" spans="1:32" x14ac:dyDescent="0.2">
      <c r="A21" s="7" t="str">
        <f ca="1">IF(AUTOEVENTO="Manual",IF(OFFSET(EVENTOS!$F$14,PLE!$B21,0)&gt;0,"F",""),IF(PLE!B21&lt;=MAX(CÁLCULO!$M$15:$M$747),"F",""))</f>
        <v>F</v>
      </c>
      <c r="B21" s="287">
        <f t="shared" ca="1" si="1"/>
        <v>7</v>
      </c>
      <c r="C21" s="649" t="str">
        <f ca="1">IF(AUTOEVENTO="Manual",IF($B21&lt;&gt;1,OFFSET(EVENTOS!$D$14,$B21,0),0),IF(B21&lt;=MAX(CÁLCULO!$M$15:$M$747),VLOOKUP($B21,CÁLCULO!$M$15:$N$747,2,FALSE),0))</f>
        <v>ESQUADRIAS</v>
      </c>
      <c r="D21" s="649"/>
      <c r="F21" s="289"/>
      <c r="H21" s="289"/>
      <c r="I21" s="289"/>
      <c r="J21" s="289"/>
      <c r="K21" s="289"/>
      <c r="L21" s="289"/>
      <c r="M21" s="289"/>
      <c r="N21" s="289"/>
      <c r="O21" s="289"/>
      <c r="P21" s="289"/>
      <c r="Q21" s="289"/>
      <c r="R21" s="289"/>
      <c r="S21" s="289"/>
      <c r="T21" s="289"/>
      <c r="U21" s="289"/>
      <c r="V21" s="289"/>
      <c r="W21" s="289"/>
      <c r="X21" s="289"/>
      <c r="Y21" s="289"/>
      <c r="Z21" s="289"/>
      <c r="AA21" s="289"/>
      <c r="AB21" s="289"/>
      <c r="AC21" s="289"/>
      <c r="AD21" s="289"/>
      <c r="AE21" s="289"/>
      <c r="AF21" s="289"/>
    </row>
    <row r="22" spans="1:32" x14ac:dyDescent="0.2">
      <c r="A22" s="7" t="str">
        <f ca="1">IF(AUTOEVENTO="Manual",IF(OFFSET(EVENTOS!$F$14,PLE!$B22,0)&gt;0,"F",""),IF(PLE!B22&lt;=MAX(CÁLCULO!$M$15:$M$747),"F",""))</f>
        <v>F</v>
      </c>
      <c r="B22" s="287">
        <f t="shared" ca="1" si="1"/>
        <v>8</v>
      </c>
      <c r="C22" s="649" t="str">
        <f ca="1">IF(AUTOEVENTO="Manual",IF($B22&lt;&gt;1,OFFSET(EVENTOS!$D$14,$B22,0),0),IF(B22&lt;=MAX(CÁLCULO!$M$15:$M$747),VLOOKUP($B22,CÁLCULO!$M$15:$N$747,2,FALSE),0))</f>
        <v>SISTEMAS DE COBERTURA</v>
      </c>
      <c r="D22" s="649"/>
      <c r="F22" s="289"/>
      <c r="H22" s="289"/>
      <c r="I22" s="289"/>
      <c r="J22" s="289"/>
      <c r="K22" s="289"/>
      <c r="L22" s="289"/>
      <c r="M22" s="289"/>
      <c r="N22" s="289"/>
      <c r="O22" s="289"/>
      <c r="P22" s="289"/>
      <c r="Q22" s="289"/>
      <c r="R22" s="289"/>
      <c r="S22" s="289"/>
      <c r="T22" s="289"/>
      <c r="U22" s="289"/>
      <c r="V22" s="289"/>
      <c r="W22" s="289"/>
      <c r="X22" s="289"/>
      <c r="Y22" s="289"/>
      <c r="Z22" s="289"/>
      <c r="AA22" s="289"/>
      <c r="AB22" s="289"/>
      <c r="AC22" s="289"/>
      <c r="AD22" s="289"/>
      <c r="AE22" s="289"/>
      <c r="AF22" s="289"/>
    </row>
    <row r="23" spans="1:32" x14ac:dyDescent="0.2">
      <c r="A23" s="7" t="str">
        <f ca="1">IF(AUTOEVENTO="Manual",IF(OFFSET(EVENTOS!$F$14,PLE!$B23,0)&gt;0,"F",""),IF(PLE!B23&lt;=MAX(CÁLCULO!$M$15:$M$747),"F",""))</f>
        <v>F</v>
      </c>
      <c r="B23" s="287">
        <f t="shared" ca="1" si="1"/>
        <v>9</v>
      </c>
      <c r="C23" s="649" t="str">
        <f ca="1">IF(AUTOEVENTO="Manual",IF($B23&lt;&gt;1,OFFSET(EVENTOS!$D$14,$B23,0),0),IF(B23&lt;=MAX(CÁLCULO!$M$15:$M$747),VLOOKUP($B23,CÁLCULO!$M$15:$N$747,2,FALSE),0))</f>
        <v>IMPERMEABILIZAÇÃO</v>
      </c>
      <c r="D23" s="649"/>
      <c r="F23" s="289"/>
      <c r="H23" s="289"/>
      <c r="I23" s="289"/>
      <c r="J23" s="289"/>
      <c r="K23" s="289"/>
      <c r="L23" s="289"/>
      <c r="M23" s="289"/>
      <c r="N23" s="289"/>
      <c r="O23" s="289"/>
      <c r="P23" s="289"/>
      <c r="Q23" s="289"/>
      <c r="R23" s="289"/>
      <c r="S23" s="289"/>
      <c r="T23" s="289"/>
      <c r="U23" s="289"/>
      <c r="V23" s="289"/>
      <c r="W23" s="289"/>
      <c r="X23" s="289"/>
      <c r="Y23" s="289"/>
      <c r="Z23" s="289"/>
      <c r="AA23" s="289"/>
      <c r="AB23" s="289"/>
      <c r="AC23" s="289"/>
      <c r="AD23" s="289"/>
      <c r="AE23" s="289"/>
      <c r="AF23" s="289"/>
    </row>
    <row r="24" spans="1:32" x14ac:dyDescent="0.2">
      <c r="A24" s="7" t="str">
        <f ca="1">IF(AUTOEVENTO="Manual",IF(OFFSET(EVENTOS!$F$14,PLE!$B24,0)&gt;0,"F",""),IF(PLE!B24&lt;=MAX(CÁLCULO!$M$15:$M$747),"F",""))</f>
        <v>F</v>
      </c>
      <c r="B24" s="287">
        <f t="shared" ca="1" si="1"/>
        <v>10</v>
      </c>
      <c r="C24" s="649" t="str">
        <f ca="1">IF(AUTOEVENTO="Manual",IF($B24&lt;&gt;1,OFFSET(EVENTOS!$D$14,$B24,0),0),IF(B24&lt;=MAX(CÁLCULO!$M$15:$M$747),VLOOKUP($B24,CÁLCULO!$M$15:$N$747,2,FALSE),0))</f>
        <v>REVESTIMENTOS INTERNO E EXTERNO</v>
      </c>
      <c r="D24" s="649"/>
      <c r="F24" s="289"/>
      <c r="H24" s="289"/>
      <c r="I24" s="289"/>
      <c r="J24" s="289"/>
      <c r="K24" s="289"/>
      <c r="L24" s="289"/>
      <c r="M24" s="289"/>
      <c r="N24" s="289"/>
      <c r="O24" s="289"/>
      <c r="P24" s="289"/>
      <c r="Q24" s="289"/>
      <c r="R24" s="289"/>
      <c r="S24" s="289"/>
      <c r="T24" s="289"/>
      <c r="U24" s="289"/>
      <c r="V24" s="289"/>
      <c r="W24" s="289"/>
      <c r="X24" s="289"/>
      <c r="Y24" s="289"/>
      <c r="Z24" s="289"/>
      <c r="AA24" s="289"/>
      <c r="AB24" s="289"/>
      <c r="AC24" s="289"/>
      <c r="AD24" s="289"/>
      <c r="AE24" s="289"/>
      <c r="AF24" s="289"/>
    </row>
    <row r="25" spans="1:32" x14ac:dyDescent="0.2">
      <c r="A25" s="7" t="str">
        <f ca="1">IF(AUTOEVENTO="Manual",IF(OFFSET(EVENTOS!$F$14,PLE!$B25,0)&gt;0,"F",""),IF(PLE!B25&lt;=MAX(CÁLCULO!$M$15:$M$747),"F",""))</f>
        <v>F</v>
      </c>
      <c r="B25" s="287">
        <f t="shared" ca="1" si="1"/>
        <v>11</v>
      </c>
      <c r="C25" s="649" t="str">
        <f ca="1">IF(AUTOEVENTO="Manual",IF($B25&lt;&gt;1,OFFSET(EVENTOS!$D$14,$B25,0),0),IF(B25&lt;=MAX(CÁLCULO!$M$15:$M$747),VLOOKUP($B25,CÁLCULO!$M$15:$N$747,2,FALSE),0))</f>
        <v>SISTEMAS DE PISOS</v>
      </c>
      <c r="D25" s="649"/>
      <c r="F25" s="289"/>
      <c r="H25" s="289"/>
      <c r="I25" s="289"/>
      <c r="J25" s="289"/>
      <c r="K25" s="289"/>
      <c r="L25" s="289"/>
      <c r="M25" s="289"/>
      <c r="N25" s="289"/>
      <c r="O25" s="289"/>
      <c r="P25" s="289"/>
      <c r="Q25" s="289"/>
      <c r="R25" s="289"/>
      <c r="S25" s="289"/>
      <c r="T25" s="289"/>
      <c r="U25" s="289"/>
      <c r="V25" s="289"/>
      <c r="W25" s="289"/>
      <c r="X25" s="289"/>
      <c r="Y25" s="289"/>
      <c r="Z25" s="289"/>
      <c r="AA25" s="289"/>
      <c r="AB25" s="289"/>
      <c r="AC25" s="289"/>
      <c r="AD25" s="289"/>
      <c r="AE25" s="289"/>
      <c r="AF25" s="289"/>
    </row>
    <row r="26" spans="1:32" x14ac:dyDescent="0.2">
      <c r="A26" s="7" t="str">
        <f ca="1">IF(AUTOEVENTO="Manual",IF(OFFSET(EVENTOS!$F$14,PLE!$B26,0)&gt;0,"F",""),IF(PLE!B26&lt;=MAX(CÁLCULO!$M$15:$M$747),"F",""))</f>
        <v>F</v>
      </c>
      <c r="B26" s="287">
        <f t="shared" ca="1" si="1"/>
        <v>12</v>
      </c>
      <c r="C26" s="649" t="str">
        <f ca="1">IF(AUTOEVENTO="Manual",IF($B26&lt;&gt;1,OFFSET(EVENTOS!$D$14,$B26,0),0),IF(B26&lt;=MAX(CÁLCULO!$M$15:$M$747),VLOOKUP($B26,CÁLCULO!$M$15:$N$747,2,FALSE),0))</f>
        <v>PINTURAS E ACABAMENTOS</v>
      </c>
      <c r="D26" s="649"/>
      <c r="F26" s="289"/>
      <c r="H26" s="289"/>
      <c r="I26" s="289"/>
      <c r="J26" s="289"/>
      <c r="K26" s="289"/>
      <c r="L26" s="289"/>
      <c r="M26" s="289"/>
      <c r="N26" s="289"/>
      <c r="O26" s="289"/>
      <c r="P26" s="289"/>
      <c r="Q26" s="289"/>
      <c r="R26" s="289"/>
      <c r="S26" s="289"/>
      <c r="T26" s="289"/>
      <c r="U26" s="289"/>
      <c r="V26" s="289"/>
      <c r="W26" s="289"/>
      <c r="X26" s="289"/>
      <c r="Y26" s="289"/>
      <c r="Z26" s="289"/>
      <c r="AA26" s="289"/>
      <c r="AB26" s="289"/>
      <c r="AC26" s="289"/>
      <c r="AD26" s="289"/>
      <c r="AE26" s="289"/>
      <c r="AF26" s="289"/>
    </row>
    <row r="27" spans="1:32" x14ac:dyDescent="0.2">
      <c r="A27" s="7" t="str">
        <f ca="1">IF(AUTOEVENTO="Manual",IF(OFFSET(EVENTOS!$F$14,PLE!$B27,0)&gt;0,"F",""),IF(PLE!B27&lt;=MAX(CÁLCULO!$M$15:$M$747),"F",""))</f>
        <v>F</v>
      </c>
      <c r="B27" s="287">
        <f t="shared" ca="1" si="1"/>
        <v>13</v>
      </c>
      <c r="C27" s="649" t="str">
        <f ca="1">IF(AUTOEVENTO="Manual",IF($B27&lt;&gt;1,OFFSET(EVENTOS!$D$14,$B27,0),0),IF(B27&lt;=MAX(CÁLCULO!$M$15:$M$747),VLOOKUP($B27,CÁLCULO!$M$15:$N$747,2,FALSE),0))</f>
        <v>INSTALAÇÃO HIDRÁULICA</v>
      </c>
      <c r="D27" s="649"/>
      <c r="F27" s="289"/>
      <c r="H27" s="289"/>
      <c r="I27" s="289"/>
      <c r="J27" s="289"/>
      <c r="K27" s="289"/>
      <c r="L27" s="289"/>
      <c r="M27" s="289"/>
      <c r="N27" s="289"/>
      <c r="O27" s="289"/>
      <c r="P27" s="289"/>
      <c r="Q27" s="289"/>
      <c r="R27" s="289"/>
      <c r="S27" s="289"/>
      <c r="T27" s="289"/>
      <c r="U27" s="289"/>
      <c r="V27" s="289"/>
      <c r="W27" s="289"/>
      <c r="X27" s="289"/>
      <c r="Y27" s="289"/>
      <c r="Z27" s="289"/>
      <c r="AA27" s="289"/>
      <c r="AB27" s="289"/>
      <c r="AC27" s="289"/>
      <c r="AD27" s="289"/>
      <c r="AE27" s="289"/>
      <c r="AF27" s="289"/>
    </row>
    <row r="28" spans="1:32" x14ac:dyDescent="0.2">
      <c r="A28" s="7" t="str">
        <f ca="1">IF(AUTOEVENTO="Manual",IF(OFFSET(EVENTOS!$F$14,PLE!$B28,0)&gt;0,"F",""),IF(PLE!B28&lt;=MAX(CÁLCULO!$M$15:$M$747),"F",""))</f>
        <v>F</v>
      </c>
      <c r="B28" s="287">
        <f t="shared" ca="1" si="1"/>
        <v>14</v>
      </c>
      <c r="C28" s="649" t="str">
        <f ca="1">IF(AUTOEVENTO="Manual",IF($B28&lt;&gt;1,OFFSET(EVENTOS!$D$14,$B28,0),0),IF(B28&lt;=MAX(CÁLCULO!$M$15:$M$747),VLOOKUP($B28,CÁLCULO!$M$15:$N$747,2,FALSE),0))</f>
        <v>DRENAGEM DE ÁGUAS PLUVIAIS</v>
      </c>
      <c r="D28" s="649"/>
      <c r="F28" s="289"/>
      <c r="H28" s="289"/>
      <c r="I28" s="289"/>
      <c r="J28" s="289"/>
      <c r="K28" s="289"/>
      <c r="L28" s="289"/>
      <c r="M28" s="289"/>
      <c r="N28" s="289"/>
      <c r="O28" s="289"/>
      <c r="P28" s="289"/>
      <c r="Q28" s="289"/>
      <c r="R28" s="289"/>
      <c r="S28" s="289"/>
      <c r="T28" s="289"/>
      <c r="U28" s="289"/>
      <c r="V28" s="289"/>
      <c r="W28" s="289"/>
      <c r="X28" s="289"/>
      <c r="Y28" s="289"/>
      <c r="Z28" s="289"/>
      <c r="AA28" s="289"/>
      <c r="AB28" s="289"/>
      <c r="AC28" s="289"/>
      <c r="AD28" s="289"/>
      <c r="AE28" s="289"/>
      <c r="AF28" s="289"/>
    </row>
    <row r="29" spans="1:32" x14ac:dyDescent="0.2">
      <c r="A29" s="7" t="str">
        <f ca="1">IF(AUTOEVENTO="Manual",IF(OFFSET(EVENTOS!$F$14,PLE!$B29,0)&gt;0,"F",""),IF(PLE!B29&lt;=MAX(CÁLCULO!$M$15:$M$747),"F",""))</f>
        <v>F</v>
      </c>
      <c r="B29" s="287">
        <f t="shared" ca="1" si="1"/>
        <v>15</v>
      </c>
      <c r="C29" s="649" t="str">
        <f ca="1">IF(AUTOEVENTO="Manual",IF($B29&lt;&gt;1,OFFSET(EVENTOS!$D$14,$B29,0),0),IF(B29&lt;=MAX(CÁLCULO!$M$15:$M$747),VLOOKUP($B29,CÁLCULO!$M$15:$N$747,2,FALSE),0))</f>
        <v>INSTALAÇÕES DE ESGOTO SANITÁRIO</v>
      </c>
      <c r="D29" s="649"/>
      <c r="F29" s="289"/>
      <c r="H29" s="289"/>
      <c r="I29" s="289"/>
      <c r="J29" s="289"/>
      <c r="K29" s="289"/>
      <c r="L29" s="289"/>
      <c r="M29" s="289"/>
      <c r="N29" s="289"/>
      <c r="O29" s="289"/>
      <c r="P29" s="289"/>
      <c r="Q29" s="289"/>
      <c r="R29" s="289"/>
      <c r="S29" s="289"/>
      <c r="T29" s="289"/>
      <c r="U29" s="289"/>
      <c r="V29" s="289"/>
      <c r="W29" s="289"/>
      <c r="X29" s="289"/>
      <c r="Y29" s="289"/>
      <c r="Z29" s="289"/>
      <c r="AA29" s="289"/>
      <c r="AB29" s="289"/>
      <c r="AC29" s="289"/>
      <c r="AD29" s="289"/>
      <c r="AE29" s="289"/>
      <c r="AF29" s="289"/>
    </row>
    <row r="30" spans="1:32" x14ac:dyDescent="0.2">
      <c r="A30" s="7" t="str">
        <f ca="1">IF(AUTOEVENTO="Manual",IF(OFFSET(EVENTOS!$F$14,PLE!$B30,0)&gt;0,"F",""),IF(PLE!B30&lt;=MAX(CÁLCULO!$M$15:$M$747),"F",""))</f>
        <v>F</v>
      </c>
      <c r="B30" s="287">
        <f t="shared" ca="1" si="1"/>
        <v>16</v>
      </c>
      <c r="C30" s="649" t="str">
        <f ca="1">IF(AUTOEVENTO="Manual",IF($B30&lt;&gt;1,OFFSET(EVENTOS!$D$14,$B30,0),0),IF(B30&lt;=MAX(CÁLCULO!$M$15:$M$747),VLOOKUP($B30,CÁLCULO!$M$15:$N$747,2,FALSE),0))</f>
        <v>LOUÇAS, ACESSÓRIOS E METAIS</v>
      </c>
      <c r="D30" s="649"/>
      <c r="F30" s="289"/>
      <c r="H30" s="289"/>
      <c r="I30" s="289"/>
      <c r="J30" s="289"/>
      <c r="K30" s="289"/>
      <c r="L30" s="289"/>
      <c r="M30" s="289"/>
      <c r="N30" s="289"/>
      <c r="O30" s="289"/>
      <c r="P30" s="289"/>
      <c r="Q30" s="289"/>
      <c r="R30" s="289"/>
      <c r="S30" s="289"/>
      <c r="T30" s="289"/>
      <c r="U30" s="289"/>
      <c r="V30" s="289"/>
      <c r="W30" s="289"/>
      <c r="X30" s="289"/>
      <c r="Y30" s="289"/>
      <c r="Z30" s="289"/>
      <c r="AA30" s="289"/>
      <c r="AB30" s="289"/>
      <c r="AC30" s="289"/>
      <c r="AD30" s="289"/>
      <c r="AE30" s="289"/>
      <c r="AF30" s="289"/>
    </row>
    <row r="31" spans="1:32" x14ac:dyDescent="0.2">
      <c r="A31" s="7" t="str">
        <f ca="1">IF(AUTOEVENTO="Manual",IF(OFFSET(EVENTOS!$F$14,PLE!$B31,0)&gt;0,"F",""),IF(PLE!B31&lt;=MAX(CÁLCULO!$M$15:$M$747),"F",""))</f>
        <v>F</v>
      </c>
      <c r="B31" s="287">
        <f t="shared" ca="1" si="1"/>
        <v>17</v>
      </c>
      <c r="C31" s="649" t="str">
        <f ca="1">IF(AUTOEVENTO="Manual",IF($B31&lt;&gt;1,OFFSET(EVENTOS!$D$14,$B31,0),0),IF(B31&lt;=MAX(CÁLCULO!$M$15:$M$747),VLOOKUP($B31,CÁLCULO!$M$15:$N$747,2,FALSE),0))</f>
        <v>SISTEMA DE PROTEÇÃO CONTRA INCÊNDIO</v>
      </c>
      <c r="D31" s="649"/>
      <c r="F31" s="289"/>
      <c r="H31" s="289"/>
      <c r="I31" s="289"/>
      <c r="J31" s="289"/>
      <c r="K31" s="289"/>
      <c r="L31" s="289"/>
      <c r="M31" s="289"/>
      <c r="N31" s="289"/>
      <c r="O31" s="289"/>
      <c r="P31" s="289"/>
      <c r="Q31" s="289"/>
      <c r="R31" s="289"/>
      <c r="S31" s="289"/>
      <c r="T31" s="289"/>
      <c r="U31" s="289"/>
      <c r="V31" s="289"/>
      <c r="W31" s="289"/>
      <c r="X31" s="289"/>
      <c r="Y31" s="289"/>
      <c r="Z31" s="289"/>
      <c r="AA31" s="289"/>
      <c r="AB31" s="289"/>
      <c r="AC31" s="289"/>
      <c r="AD31" s="289"/>
      <c r="AE31" s="289"/>
      <c r="AF31" s="289"/>
    </row>
    <row r="32" spans="1:32" x14ac:dyDescent="0.2">
      <c r="A32" s="7" t="str">
        <f ca="1">IF(AUTOEVENTO="Manual",IF(OFFSET(EVENTOS!$F$14,PLE!$B32,0)&gt;0,"F",""),IF(PLE!B32&lt;=MAX(CÁLCULO!$M$15:$M$747),"F",""))</f>
        <v>F</v>
      </c>
      <c r="B32" s="287">
        <f t="shared" ca="1" si="1"/>
        <v>18</v>
      </c>
      <c r="C32" s="649" t="str">
        <f ca="1">IF(AUTOEVENTO="Manual",IF($B32&lt;&gt;1,OFFSET(EVENTOS!$D$14,$B32,0),0),IF(B32&lt;=MAX(CÁLCULO!$M$15:$M$747),VLOOKUP($B32,CÁLCULO!$M$15:$N$747,2,FALSE),0))</f>
        <v>INSTALAÇÕES ELÉTRICAS - 220V</v>
      </c>
      <c r="D32" s="649"/>
      <c r="F32" s="289"/>
      <c r="H32" s="289"/>
      <c r="I32" s="289"/>
      <c r="J32" s="289"/>
      <c r="K32" s="289"/>
      <c r="L32" s="289"/>
      <c r="M32" s="289"/>
      <c r="N32" s="289"/>
      <c r="O32" s="289"/>
      <c r="P32" s="289"/>
      <c r="Q32" s="289"/>
      <c r="R32" s="289"/>
      <c r="S32" s="289"/>
      <c r="T32" s="289"/>
      <c r="U32" s="289"/>
      <c r="V32" s="289"/>
      <c r="W32" s="289"/>
      <c r="X32" s="289"/>
      <c r="Y32" s="289"/>
      <c r="Z32" s="289"/>
      <c r="AA32" s="289"/>
      <c r="AB32" s="289"/>
      <c r="AC32" s="289"/>
      <c r="AD32" s="289"/>
      <c r="AE32" s="289"/>
      <c r="AF32" s="289"/>
    </row>
    <row r="33" spans="1:32" x14ac:dyDescent="0.2">
      <c r="A33" s="7" t="str">
        <f ca="1">IF(AUTOEVENTO="Manual",IF(OFFSET(EVENTOS!$F$14,PLE!$B33,0)&gt;0,"F",""),IF(PLE!B33&lt;=MAX(CÁLCULO!$M$15:$M$747),"F",""))</f>
        <v>F</v>
      </c>
      <c r="B33" s="287">
        <f t="shared" ca="1" si="1"/>
        <v>19</v>
      </c>
      <c r="C33" s="649" t="str">
        <f ca="1">IF(AUTOEVENTO="Manual",IF($B33&lt;&gt;1,OFFSET(EVENTOS!$D$14,$B33,0),0),IF(B33&lt;=MAX(CÁLCULO!$M$15:$M$747),VLOOKUP($B33,CÁLCULO!$M$15:$N$747,2,FALSE),0))</f>
        <v>INSTALAÇÕES DE CABEAMENTO ESTRUTURADO</v>
      </c>
      <c r="D33" s="649"/>
      <c r="F33" s="289"/>
      <c r="H33" s="289"/>
      <c r="I33" s="289"/>
      <c r="J33" s="289"/>
      <c r="K33" s="289"/>
      <c r="L33" s="289"/>
      <c r="M33" s="289"/>
      <c r="N33" s="289"/>
      <c r="O33" s="289"/>
      <c r="P33" s="289"/>
      <c r="Q33" s="289"/>
      <c r="R33" s="289"/>
      <c r="S33" s="289"/>
      <c r="T33" s="289"/>
      <c r="U33" s="289"/>
      <c r="V33" s="289"/>
      <c r="W33" s="289"/>
      <c r="X33" s="289"/>
      <c r="Y33" s="289"/>
      <c r="Z33" s="289"/>
      <c r="AA33" s="289"/>
      <c r="AB33" s="289"/>
      <c r="AC33" s="289"/>
      <c r="AD33" s="289"/>
      <c r="AE33" s="289"/>
      <c r="AF33" s="289"/>
    </row>
    <row r="34" spans="1:32" x14ac:dyDescent="0.2">
      <c r="A34" s="7" t="str">
        <f ca="1">IF(AUTOEVENTO="Manual",IF(OFFSET(EVENTOS!$F$14,PLE!$B34,0)&gt;0,"F",""),IF(PLE!B34&lt;=MAX(CÁLCULO!$M$15:$M$747),"F",""))</f>
        <v>F</v>
      </c>
      <c r="B34" s="287">
        <f t="shared" ca="1" si="1"/>
        <v>20</v>
      </c>
      <c r="C34" s="649" t="str">
        <f ca="1">IF(AUTOEVENTO="Manual",IF($B34&lt;&gt;1,OFFSET(EVENTOS!$D$14,$B34,0),0),IF(B34&lt;=MAX(CÁLCULO!$M$15:$M$747),VLOOKUP($B34,CÁLCULO!$M$15:$N$747,2,FALSE),0))</f>
        <v>SISTEMA DE PROTEÇÃO CONTRA DESCARGAS ATMOSFÉRICAS (SPDA)</v>
      </c>
      <c r="D34" s="649"/>
      <c r="F34" s="289"/>
      <c r="H34" s="289"/>
      <c r="I34" s="289"/>
      <c r="J34" s="289"/>
      <c r="K34" s="289"/>
      <c r="L34" s="289"/>
      <c r="M34" s="289"/>
      <c r="N34" s="289"/>
      <c r="O34" s="289"/>
      <c r="P34" s="289"/>
      <c r="Q34" s="289"/>
      <c r="R34" s="289"/>
      <c r="S34" s="289"/>
      <c r="T34" s="289"/>
      <c r="U34" s="289"/>
      <c r="V34" s="289"/>
      <c r="W34" s="289"/>
      <c r="X34" s="289"/>
      <c r="Y34" s="289"/>
      <c r="Z34" s="289"/>
      <c r="AA34" s="289"/>
      <c r="AB34" s="289"/>
      <c r="AC34" s="289"/>
      <c r="AD34" s="289"/>
      <c r="AE34" s="289"/>
      <c r="AF34" s="289"/>
    </row>
    <row r="35" spans="1:32" x14ac:dyDescent="0.2">
      <c r="A35" s="7" t="str">
        <f ca="1">IF(AUTOEVENTO="Manual",IF(OFFSET(EVENTOS!$F$14,PLE!$B35,0)&gt;0,"F",""),IF(PLE!B35&lt;=MAX(CÁLCULO!$M$15:$M$747),"F",""))</f>
        <v>F</v>
      </c>
      <c r="B35" s="287">
        <f t="shared" ca="1" si="1"/>
        <v>21</v>
      </c>
      <c r="C35" s="649" t="str">
        <f ca="1">IF(AUTOEVENTO="Manual",IF($B35&lt;&gt;1,OFFSET(EVENTOS!$D$14,$B35,0),0),IF(B35&lt;=MAX(CÁLCULO!$M$15:$M$747),VLOOKUP($B35,CÁLCULO!$M$15:$N$747,2,FALSE),0))</f>
        <v>INSTALAÇÕES DE CLIMATIZAÇÃO</v>
      </c>
      <c r="D35" s="649"/>
      <c r="F35" s="289"/>
      <c r="H35" s="289"/>
      <c r="I35" s="289"/>
      <c r="J35" s="289"/>
      <c r="K35" s="289"/>
      <c r="L35" s="289"/>
      <c r="M35" s="289"/>
      <c r="N35" s="289"/>
      <c r="O35" s="289"/>
      <c r="P35" s="289"/>
      <c r="Q35" s="289"/>
      <c r="R35" s="289"/>
      <c r="S35" s="289"/>
      <c r="T35" s="289"/>
      <c r="U35" s="289"/>
      <c r="V35" s="289"/>
      <c r="W35" s="289"/>
      <c r="X35" s="289"/>
      <c r="Y35" s="289"/>
      <c r="Z35" s="289"/>
      <c r="AA35" s="289"/>
      <c r="AB35" s="289"/>
      <c r="AC35" s="289"/>
      <c r="AD35" s="289"/>
      <c r="AE35" s="289"/>
      <c r="AF35" s="289"/>
    </row>
    <row r="36" spans="1:32" x14ac:dyDescent="0.2">
      <c r="A36" s="7" t="str">
        <f ca="1">IF(AUTOEVENTO="Manual",IF(OFFSET(EVENTOS!$F$14,PLE!$B36,0)&gt;0,"F",""),IF(PLE!B36&lt;=MAX(CÁLCULO!$M$15:$M$747),"F",""))</f>
        <v>F</v>
      </c>
      <c r="B36" s="287">
        <f t="shared" ca="1" si="1"/>
        <v>22</v>
      </c>
      <c r="C36" s="649" t="str">
        <f ca="1">IF(AUTOEVENTO="Manual",IF($B36&lt;&gt;1,OFFSET(EVENTOS!$D$14,$B36,0),0),IF(B36&lt;=MAX(CÁLCULO!$M$15:$M$747),VLOOKUP($B36,CÁLCULO!$M$15:$N$747,2,FALSE),0))</f>
        <v>INSTALAÇÕES DE EXAUSTÃO MECÂNICA</v>
      </c>
      <c r="D36" s="649"/>
      <c r="F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89"/>
      <c r="AF36" s="289"/>
    </row>
    <row r="37" spans="1:32" x14ac:dyDescent="0.2">
      <c r="A37" s="7" t="str">
        <f ca="1">IF(AUTOEVENTO="Manual",IF(OFFSET(EVENTOS!$F$14,PLE!$B37,0)&gt;0,"F",""),IF(PLE!B37&lt;=MAX(CÁLCULO!$M$15:$M$747),"F",""))</f>
        <v>F</v>
      </c>
      <c r="B37" s="287">
        <f t="shared" ca="1" si="1"/>
        <v>23</v>
      </c>
      <c r="C37" s="649" t="str">
        <f ca="1">IF(AUTOEVENTO="Manual",IF($B37&lt;&gt;1,OFFSET(EVENTOS!$D$14,$B37,0),0),IF(B37&lt;=MAX(CÁLCULO!$M$15:$M$747),VLOOKUP($B37,CÁLCULO!$M$15:$N$747,2,FALSE),0))</f>
        <v>INSTALAÇÕES DE GÁS COMBUSTÍVEL</v>
      </c>
      <c r="D37" s="649"/>
      <c r="F37" s="289"/>
      <c r="H37" s="289"/>
      <c r="I37" s="289"/>
      <c r="J37" s="289"/>
      <c r="K37" s="289"/>
      <c r="L37" s="289"/>
      <c r="M37" s="289"/>
      <c r="N37" s="289"/>
      <c r="O37" s="289"/>
      <c r="P37" s="289"/>
      <c r="Q37" s="289"/>
      <c r="R37" s="289"/>
      <c r="S37" s="289"/>
      <c r="T37" s="289"/>
      <c r="U37" s="289"/>
      <c r="V37" s="289"/>
      <c r="W37" s="289"/>
      <c r="X37" s="289"/>
      <c r="Y37" s="289"/>
      <c r="Z37" s="289"/>
      <c r="AA37" s="289"/>
      <c r="AB37" s="289"/>
      <c r="AC37" s="289"/>
      <c r="AD37" s="289"/>
      <c r="AE37" s="289"/>
      <c r="AF37" s="289"/>
    </row>
    <row r="38" spans="1:32" x14ac:dyDescent="0.2">
      <c r="A38" s="7" t="str">
        <f ca="1">IF(AUTOEVENTO="Manual",IF(OFFSET(EVENTOS!$F$14,PLE!$B38,0)&gt;0,"F",""),IF(PLE!B38&lt;=MAX(CÁLCULO!$M$15:$M$747),"F",""))</f>
        <v>F</v>
      </c>
      <c r="B38" s="287">
        <f t="shared" ca="1" si="1"/>
        <v>24</v>
      </c>
      <c r="C38" s="649" t="str">
        <f ca="1">IF(AUTOEVENTO="Manual",IF($B38&lt;&gt;1,OFFSET(EVENTOS!$D$14,$B38,0),0),IF(B38&lt;=MAX(CÁLCULO!$M$15:$M$747),VLOOKUP($B38,CÁLCULO!$M$15:$N$747,2,FALSE),0))</f>
        <v>SERVIÇOS COMPLEMENTARES</v>
      </c>
      <c r="D38" s="649"/>
      <c r="F38" s="289"/>
      <c r="H38" s="289"/>
      <c r="I38" s="289"/>
      <c r="J38" s="289"/>
      <c r="K38" s="289"/>
      <c r="L38" s="289"/>
      <c r="M38" s="289"/>
      <c r="N38" s="289"/>
      <c r="O38" s="289"/>
      <c r="P38" s="289"/>
      <c r="Q38" s="289"/>
      <c r="R38" s="289"/>
      <c r="S38" s="289"/>
      <c r="T38" s="289"/>
      <c r="U38" s="289"/>
      <c r="V38" s="289"/>
      <c r="W38" s="289"/>
      <c r="X38" s="289"/>
      <c r="Y38" s="289"/>
      <c r="Z38" s="289"/>
      <c r="AA38" s="289"/>
      <c r="AB38" s="289"/>
      <c r="AC38" s="289"/>
      <c r="AD38" s="289"/>
      <c r="AE38" s="289"/>
      <c r="AF38" s="289"/>
    </row>
    <row r="39" spans="1:32" x14ac:dyDescent="0.2">
      <c r="A39" s="7" t="str">
        <f ca="1">IF(AUTOEVENTO="Manual",IF(OFFSET(EVENTOS!$F$14,PLE!$B39,0)&gt;0,"F",""),IF(PLE!B39&lt;=MAX(CÁLCULO!$M$15:$M$747),"F",""))</f>
        <v>F</v>
      </c>
      <c r="B39" s="287">
        <f t="shared" ca="1" si="1"/>
        <v>25</v>
      </c>
      <c r="C39" s="649" t="str">
        <f ca="1">IF(AUTOEVENTO="Manual",IF($B39&lt;&gt;1,OFFSET(EVENTOS!$D$14,$B39,0),0),IF(B39&lt;=MAX(CÁLCULO!$M$15:$M$747),VLOOKUP($B39,CÁLCULO!$M$15:$N$747,2,FALSE),0))</f>
        <v>FECHAMENTO - MURO</v>
      </c>
      <c r="D39" s="649"/>
      <c r="F39" s="289"/>
      <c r="H39" s="289"/>
      <c r="I39" s="289"/>
      <c r="J39" s="289"/>
      <c r="K39" s="289"/>
      <c r="L39" s="289"/>
      <c r="M39" s="289"/>
      <c r="N39" s="289"/>
      <c r="O39" s="289"/>
      <c r="P39" s="289"/>
      <c r="Q39" s="289"/>
      <c r="R39" s="289"/>
      <c r="S39" s="289"/>
      <c r="T39" s="289"/>
      <c r="U39" s="289"/>
      <c r="V39" s="289"/>
      <c r="W39" s="289"/>
      <c r="X39" s="289"/>
      <c r="Y39" s="289"/>
      <c r="Z39" s="289"/>
      <c r="AA39" s="289"/>
      <c r="AB39" s="289"/>
      <c r="AC39" s="289"/>
      <c r="AD39" s="289"/>
      <c r="AE39" s="289"/>
      <c r="AF39" s="289"/>
    </row>
    <row r="40" spans="1:32" x14ac:dyDescent="0.2">
      <c r="A40" s="7" t="str">
        <f ca="1">IF(AUTOEVENTO="Manual",IF(OFFSET(EVENTOS!$F$14,PLE!$B40,0)&gt;0,"F",""),IF(PLE!B40&lt;=MAX(CÁLCULO!$M$15:$M$747),"F",""))</f>
        <v/>
      </c>
      <c r="B40" s="287">
        <f t="shared" ca="1" si="1"/>
        <v>26</v>
      </c>
      <c r="C40" s="649">
        <f ca="1">IF(AUTOEVENTO="Manual",IF($B40&lt;&gt;1,OFFSET(EVENTOS!$D$14,$B40,0),0),IF(B40&lt;=MAX(CÁLCULO!$M$15:$M$747),VLOOKUP($B40,CÁLCULO!$M$15:$N$747,2,FALSE),0))</f>
        <v>0</v>
      </c>
      <c r="D40" s="649"/>
      <c r="F40" s="289"/>
      <c r="H40" s="289"/>
      <c r="I40" s="289"/>
      <c r="J40" s="289"/>
      <c r="K40" s="289"/>
      <c r="L40" s="289"/>
      <c r="M40" s="289"/>
      <c r="N40" s="289"/>
      <c r="O40" s="289"/>
      <c r="P40" s="289"/>
      <c r="Q40" s="289"/>
      <c r="R40" s="289"/>
      <c r="S40" s="289"/>
      <c r="T40" s="289"/>
      <c r="U40" s="289"/>
      <c r="V40" s="289"/>
      <c r="W40" s="289"/>
      <c r="X40" s="289"/>
      <c r="Y40" s="289"/>
      <c r="Z40" s="289"/>
      <c r="AA40" s="289"/>
      <c r="AB40" s="289"/>
      <c r="AC40" s="289"/>
      <c r="AD40" s="289"/>
      <c r="AE40" s="289"/>
      <c r="AF40" s="289"/>
    </row>
    <row r="41" spans="1:32" x14ac:dyDescent="0.2">
      <c r="A41" s="7" t="str">
        <f ca="1">IF(AUTOEVENTO="Manual",IF(OFFSET(EVENTOS!$F$14,PLE!$B41,0)&gt;0,"F",""),IF(PLE!B41&lt;=MAX(CÁLCULO!$M$15:$M$747),"F",""))</f>
        <v/>
      </c>
      <c r="B41" s="287">
        <f t="shared" ca="1" si="1"/>
        <v>27</v>
      </c>
      <c r="C41" s="649">
        <f ca="1">IF(AUTOEVENTO="Manual",IF($B41&lt;&gt;1,OFFSET(EVENTOS!$D$14,$B41,0),0),IF(B41&lt;=MAX(CÁLCULO!$M$15:$M$747),VLOOKUP($B41,CÁLCULO!$M$15:$N$747,2,FALSE),0))</f>
        <v>0</v>
      </c>
      <c r="D41" s="649"/>
      <c r="F41" s="289"/>
      <c r="H41" s="289"/>
      <c r="I41" s="289"/>
      <c r="J41" s="289"/>
      <c r="K41" s="289"/>
      <c r="L41" s="289"/>
      <c r="M41" s="289"/>
      <c r="N41" s="289"/>
      <c r="O41" s="289"/>
      <c r="P41" s="289"/>
      <c r="Q41" s="289"/>
      <c r="R41" s="289"/>
      <c r="S41" s="289"/>
      <c r="T41" s="289"/>
      <c r="U41" s="289"/>
      <c r="V41" s="289"/>
      <c r="W41" s="289"/>
      <c r="X41" s="289"/>
      <c r="Y41" s="289"/>
      <c r="Z41" s="289"/>
      <c r="AA41" s="289"/>
      <c r="AB41" s="289"/>
      <c r="AC41" s="289"/>
      <c r="AD41" s="289"/>
      <c r="AE41" s="289"/>
      <c r="AF41" s="289"/>
    </row>
    <row r="42" spans="1:32" x14ac:dyDescent="0.2">
      <c r="A42" s="7" t="str">
        <f ca="1">IF(AUTOEVENTO="Manual",IF(OFFSET(EVENTOS!$F$14,PLE!$B42,0)&gt;0,"F",""),IF(PLE!B42&lt;=MAX(CÁLCULO!$M$15:$M$747),"F",""))</f>
        <v/>
      </c>
      <c r="B42" s="287">
        <f t="shared" ca="1" si="1"/>
        <v>28</v>
      </c>
      <c r="C42" s="649">
        <f ca="1">IF(AUTOEVENTO="Manual",IF($B42&lt;&gt;1,OFFSET(EVENTOS!$D$14,$B42,0),0),IF(B42&lt;=MAX(CÁLCULO!$M$15:$M$747),VLOOKUP($B42,CÁLCULO!$M$15:$N$747,2,FALSE),0))</f>
        <v>0</v>
      </c>
      <c r="D42" s="649"/>
      <c r="F42" s="289"/>
      <c r="H42" s="289"/>
      <c r="I42" s="289"/>
      <c r="J42" s="289"/>
      <c r="K42" s="289"/>
      <c r="L42" s="289"/>
      <c r="M42" s="289"/>
      <c r="N42" s="289"/>
      <c r="O42" s="289"/>
      <c r="P42" s="289"/>
      <c r="Q42" s="289"/>
      <c r="R42" s="289"/>
      <c r="S42" s="289"/>
      <c r="T42" s="289"/>
      <c r="U42" s="289"/>
      <c r="V42" s="289"/>
      <c r="W42" s="289"/>
      <c r="X42" s="289"/>
      <c r="Y42" s="289"/>
      <c r="Z42" s="289"/>
      <c r="AA42" s="289"/>
      <c r="AB42" s="289"/>
      <c r="AC42" s="289"/>
      <c r="AD42" s="289"/>
      <c r="AE42" s="289"/>
      <c r="AF42" s="289"/>
    </row>
    <row r="43" spans="1:32" x14ac:dyDescent="0.2">
      <c r="A43" s="7" t="str">
        <f ca="1">IF(AUTOEVENTO="Manual",IF(OFFSET(EVENTOS!$F$14,PLE!$B43,0)&gt;0,"F",""),IF(PLE!B43&lt;=MAX(CÁLCULO!$M$15:$M$747),"F",""))</f>
        <v/>
      </c>
      <c r="B43" s="287">
        <f t="shared" ca="1" si="1"/>
        <v>29</v>
      </c>
      <c r="C43" s="649">
        <f ca="1">IF(AUTOEVENTO="Manual",IF($B43&lt;&gt;1,OFFSET(EVENTOS!$D$14,$B43,0),0),IF(B43&lt;=MAX(CÁLCULO!$M$15:$M$747),VLOOKUP($B43,CÁLCULO!$M$15:$N$747,2,FALSE),0))</f>
        <v>0</v>
      </c>
      <c r="D43" s="649"/>
      <c r="F43" s="289"/>
      <c r="H43" s="289"/>
      <c r="I43" s="289"/>
      <c r="J43" s="289"/>
      <c r="K43" s="289"/>
      <c r="L43" s="289"/>
      <c r="M43" s="289"/>
      <c r="N43" s="289"/>
      <c r="O43" s="289"/>
      <c r="P43" s="289"/>
      <c r="Q43" s="289"/>
      <c r="R43" s="289"/>
      <c r="S43" s="289"/>
      <c r="T43" s="289"/>
      <c r="U43" s="289"/>
      <c r="V43" s="289"/>
      <c r="W43" s="289"/>
      <c r="X43" s="289"/>
      <c r="Y43" s="289"/>
      <c r="Z43" s="289"/>
      <c r="AA43" s="289"/>
      <c r="AB43" s="289"/>
      <c r="AC43" s="289"/>
      <c r="AD43" s="289"/>
      <c r="AE43" s="289"/>
      <c r="AF43" s="289"/>
    </row>
    <row r="44" spans="1:32" x14ac:dyDescent="0.2">
      <c r="A44" s="7" t="str">
        <f ca="1">IF(AUTOEVENTO="Manual",IF(OFFSET(EVENTOS!$F$14,PLE!$B44,0)&gt;0,"F",""),IF(PLE!B44&lt;=MAX(CÁLCULO!$M$15:$M$747),"F",""))</f>
        <v/>
      </c>
      <c r="B44" s="287">
        <f t="shared" ca="1" si="1"/>
        <v>30</v>
      </c>
      <c r="C44" s="649">
        <f ca="1">IF(AUTOEVENTO="Manual",IF($B44&lt;&gt;1,OFFSET(EVENTOS!$D$14,$B44,0),0),IF(B44&lt;=MAX(CÁLCULO!$M$15:$M$747),VLOOKUP($B44,CÁLCULO!$M$15:$N$747,2,FALSE),0))</f>
        <v>0</v>
      </c>
      <c r="D44" s="649"/>
      <c r="F44" s="289"/>
      <c r="H44" s="289"/>
      <c r="I44" s="289"/>
      <c r="J44" s="289"/>
      <c r="K44" s="289"/>
      <c r="L44" s="289"/>
      <c r="M44" s="289"/>
      <c r="N44" s="289"/>
      <c r="O44" s="289"/>
      <c r="P44" s="289"/>
      <c r="Q44" s="289"/>
      <c r="R44" s="289"/>
      <c r="S44" s="289"/>
      <c r="T44" s="289"/>
      <c r="U44" s="289"/>
      <c r="V44" s="289"/>
      <c r="W44" s="289"/>
      <c r="X44" s="289"/>
      <c r="Y44" s="289"/>
      <c r="Z44" s="289"/>
      <c r="AA44" s="289"/>
      <c r="AB44" s="289"/>
      <c r="AC44" s="289"/>
      <c r="AD44" s="289"/>
      <c r="AE44" s="289"/>
      <c r="AF44" s="289"/>
    </row>
    <row r="45" spans="1:32" x14ac:dyDescent="0.2">
      <c r="A45" s="7" t="str">
        <f ca="1">IF(AUTOEVENTO="Manual",IF(OFFSET(EVENTOS!$F$14,PLE!$B45,0)&gt;0,"F",""),IF(PLE!B45&lt;=MAX(CÁLCULO!$M$15:$M$747),"F",""))</f>
        <v/>
      </c>
      <c r="B45" s="287">
        <f t="shared" ca="1" si="1"/>
        <v>31</v>
      </c>
      <c r="C45" s="649">
        <f ca="1">IF(AUTOEVENTO="Manual",IF($B45&lt;&gt;1,OFFSET(EVENTOS!$D$14,$B45,0),0),IF(B45&lt;=MAX(CÁLCULO!$M$15:$M$747),VLOOKUP($B45,CÁLCULO!$M$15:$N$747,2,FALSE),0))</f>
        <v>0</v>
      </c>
      <c r="D45" s="649"/>
      <c r="F45" s="289"/>
      <c r="H45" s="289"/>
      <c r="I45" s="289"/>
      <c r="J45" s="289"/>
      <c r="K45" s="289"/>
      <c r="L45" s="289"/>
      <c r="M45" s="289"/>
      <c r="N45" s="289"/>
      <c r="O45" s="289"/>
      <c r="P45" s="289"/>
      <c r="Q45" s="289"/>
      <c r="R45" s="289"/>
      <c r="S45" s="289"/>
      <c r="T45" s="289"/>
      <c r="U45" s="289"/>
      <c r="V45" s="289"/>
      <c r="W45" s="289"/>
      <c r="X45" s="289"/>
      <c r="Y45" s="289"/>
      <c r="Z45" s="289"/>
      <c r="AA45" s="289"/>
      <c r="AB45" s="289"/>
      <c r="AC45" s="289"/>
      <c r="AD45" s="289"/>
      <c r="AE45" s="289"/>
      <c r="AF45" s="289"/>
    </row>
    <row r="46" spans="1:32" x14ac:dyDescent="0.2">
      <c r="A46" s="7" t="str">
        <f ca="1">IF(AUTOEVENTO="Manual",IF(OFFSET(EVENTOS!$F$14,PLE!$B46,0)&gt;0,"F",""),IF(PLE!B46&lt;=MAX(CÁLCULO!$M$15:$M$747),"F",""))</f>
        <v/>
      </c>
      <c r="B46" s="287">
        <f t="shared" ca="1" si="1"/>
        <v>32</v>
      </c>
      <c r="C46" s="649">
        <f ca="1">IF(AUTOEVENTO="Manual",IF($B46&lt;&gt;1,OFFSET(EVENTOS!$D$14,$B46,0),0),IF(B46&lt;=MAX(CÁLCULO!$M$15:$M$747),VLOOKUP($B46,CÁLCULO!$M$15:$N$747,2,FALSE),0))</f>
        <v>0</v>
      </c>
      <c r="D46" s="649"/>
      <c r="F46" s="289"/>
      <c r="H46" s="289"/>
      <c r="I46" s="289"/>
      <c r="J46" s="289"/>
      <c r="K46" s="289"/>
      <c r="L46" s="289"/>
      <c r="M46" s="289"/>
      <c r="N46" s="289"/>
      <c r="O46" s="289"/>
      <c r="P46" s="289"/>
      <c r="Q46" s="289"/>
      <c r="R46" s="289"/>
      <c r="S46" s="289"/>
      <c r="T46" s="289"/>
      <c r="U46" s="289"/>
      <c r="V46" s="289"/>
      <c r="W46" s="289"/>
      <c r="X46" s="289"/>
      <c r="Y46" s="289"/>
      <c r="Z46" s="289"/>
      <c r="AA46" s="289"/>
      <c r="AB46" s="289"/>
      <c r="AC46" s="289"/>
      <c r="AD46" s="289"/>
      <c r="AE46" s="289"/>
      <c r="AF46" s="289"/>
    </row>
    <row r="47" spans="1:32" x14ac:dyDescent="0.2">
      <c r="A47" s="7" t="str">
        <f ca="1">IF(AUTOEVENTO="Manual",IF(OFFSET(EVENTOS!$F$14,PLE!$B47,0)&gt;0,"F",""),IF(PLE!B47&lt;=MAX(CÁLCULO!$M$15:$M$747),"F",""))</f>
        <v/>
      </c>
      <c r="B47" s="287">
        <f t="shared" ca="1" si="1"/>
        <v>33</v>
      </c>
      <c r="C47" s="649">
        <f ca="1">IF(AUTOEVENTO="Manual",IF($B47&lt;&gt;1,OFFSET(EVENTOS!$D$14,$B47,0),0),IF(B47&lt;=MAX(CÁLCULO!$M$15:$M$747),VLOOKUP($B47,CÁLCULO!$M$15:$N$747,2,FALSE),0))</f>
        <v>0</v>
      </c>
      <c r="D47" s="649"/>
      <c r="F47" s="289"/>
      <c r="H47" s="289"/>
      <c r="I47" s="289"/>
      <c r="J47" s="289"/>
      <c r="K47" s="289"/>
      <c r="L47" s="289"/>
      <c r="M47" s="289"/>
      <c r="N47" s="289"/>
      <c r="O47" s="289"/>
      <c r="P47" s="289"/>
      <c r="Q47" s="289"/>
      <c r="R47" s="289"/>
      <c r="S47" s="289"/>
      <c r="T47" s="289"/>
      <c r="U47" s="289"/>
      <c r="V47" s="289"/>
      <c r="W47" s="289"/>
      <c r="X47" s="289"/>
      <c r="Y47" s="289"/>
      <c r="Z47" s="289"/>
      <c r="AA47" s="289"/>
      <c r="AB47" s="289"/>
      <c r="AC47" s="289"/>
      <c r="AD47" s="289"/>
      <c r="AE47" s="289"/>
      <c r="AF47" s="289"/>
    </row>
    <row r="48" spans="1:32" x14ac:dyDescent="0.2">
      <c r="A48" s="7" t="str">
        <f ca="1">IF(AUTOEVENTO="Manual",IF(OFFSET(EVENTOS!$F$14,PLE!$B48,0)&gt;0,"F",""),IF(PLE!B48&lt;=MAX(CÁLCULO!$M$15:$M$747),"F",""))</f>
        <v/>
      </c>
      <c r="B48" s="287">
        <f t="shared" ca="1" si="1"/>
        <v>34</v>
      </c>
      <c r="C48" s="649">
        <f ca="1">IF(AUTOEVENTO="Manual",IF($B48&lt;&gt;1,OFFSET(EVENTOS!$D$14,$B48,0),0),IF(B48&lt;=MAX(CÁLCULO!$M$15:$M$747),VLOOKUP($B48,CÁLCULO!$M$15:$N$747,2,FALSE),0))</f>
        <v>0</v>
      </c>
      <c r="D48" s="649"/>
      <c r="F48" s="289"/>
      <c r="H48" s="289"/>
      <c r="I48" s="289"/>
      <c r="J48" s="289"/>
      <c r="K48" s="289"/>
      <c r="L48" s="289"/>
      <c r="M48" s="289"/>
      <c r="N48" s="289"/>
      <c r="O48" s="289"/>
      <c r="P48" s="289"/>
      <c r="Q48" s="289"/>
      <c r="R48" s="289"/>
      <c r="S48" s="289"/>
      <c r="T48" s="289"/>
      <c r="U48" s="289"/>
      <c r="V48" s="289"/>
      <c r="W48" s="289"/>
      <c r="X48" s="289"/>
      <c r="Y48" s="289"/>
      <c r="Z48" s="289"/>
      <c r="AA48" s="289"/>
      <c r="AB48" s="289"/>
      <c r="AC48" s="289"/>
      <c r="AD48" s="289"/>
      <c r="AE48" s="289"/>
      <c r="AF48" s="289"/>
    </row>
    <row r="49" spans="1:32" x14ac:dyDescent="0.2">
      <c r="A49" s="7" t="str">
        <f ca="1">IF(AUTOEVENTO="Manual",IF(OFFSET(EVENTOS!$F$14,PLE!$B49,0)&gt;0,"F",""),IF(PLE!B49&lt;=MAX(CÁLCULO!$M$15:$M$747),"F",""))</f>
        <v/>
      </c>
      <c r="B49" s="287">
        <f t="shared" ca="1" si="1"/>
        <v>35</v>
      </c>
      <c r="C49" s="649">
        <f ca="1">IF(AUTOEVENTO="Manual",IF($B49&lt;&gt;1,OFFSET(EVENTOS!$D$14,$B49,0),0),IF(B49&lt;=MAX(CÁLCULO!$M$15:$M$747),VLOOKUP($B49,CÁLCULO!$M$15:$N$747,2,FALSE),0))</f>
        <v>0</v>
      </c>
      <c r="D49" s="649"/>
      <c r="F49" s="289"/>
      <c r="H49" s="289"/>
      <c r="I49" s="289"/>
      <c r="J49" s="289"/>
      <c r="K49" s="289"/>
      <c r="L49" s="289"/>
      <c r="M49" s="289"/>
      <c r="N49" s="289"/>
      <c r="O49" s="289"/>
      <c r="P49" s="289"/>
      <c r="Q49" s="289"/>
      <c r="R49" s="289"/>
      <c r="S49" s="289"/>
      <c r="T49" s="289"/>
      <c r="U49" s="289"/>
      <c r="V49" s="289"/>
      <c r="W49" s="289"/>
      <c r="X49" s="289"/>
      <c r="Y49" s="289"/>
      <c r="Z49" s="289"/>
      <c r="AA49" s="289"/>
      <c r="AB49" s="289"/>
      <c r="AC49" s="289"/>
      <c r="AD49" s="289"/>
      <c r="AE49" s="289"/>
      <c r="AF49" s="289"/>
    </row>
    <row r="50" spans="1:32" x14ac:dyDescent="0.2">
      <c r="A50" s="7" t="str">
        <f ca="1">IF(AUTOEVENTO="Manual",IF(OFFSET(EVENTOS!$F$14,PLE!$B50,0)&gt;0,"F",""),IF(PLE!B50&lt;=MAX(CÁLCULO!$M$15:$M$747),"F",""))</f>
        <v/>
      </c>
      <c r="B50" s="287">
        <f t="shared" ca="1" si="1"/>
        <v>36</v>
      </c>
      <c r="C50" s="649">
        <f ca="1">IF(AUTOEVENTO="Manual",IF($B50&lt;&gt;1,OFFSET(EVENTOS!$D$14,$B50,0),0),IF(B50&lt;=MAX(CÁLCULO!$M$15:$M$747),VLOOKUP($B50,CÁLCULO!$M$15:$N$747,2,FALSE),0))</f>
        <v>0</v>
      </c>
      <c r="D50" s="649"/>
      <c r="F50" s="289"/>
      <c r="H50" s="289"/>
      <c r="I50" s="289"/>
      <c r="J50" s="289"/>
      <c r="K50" s="289"/>
      <c r="L50" s="289"/>
      <c r="M50" s="289"/>
      <c r="N50" s="289"/>
      <c r="O50" s="289"/>
      <c r="P50" s="289"/>
      <c r="Q50" s="289"/>
      <c r="R50" s="289"/>
      <c r="S50" s="289"/>
      <c r="T50" s="289"/>
      <c r="U50" s="289"/>
      <c r="V50" s="289"/>
      <c r="W50" s="289"/>
      <c r="X50" s="289"/>
      <c r="Y50" s="289"/>
      <c r="Z50" s="289"/>
      <c r="AA50" s="289"/>
      <c r="AB50" s="289"/>
      <c r="AC50" s="289"/>
      <c r="AD50" s="289"/>
      <c r="AE50" s="289"/>
      <c r="AF50" s="289"/>
    </row>
    <row r="51" spans="1:32" x14ac:dyDescent="0.2">
      <c r="A51" s="7" t="str">
        <f ca="1">IF(AUTOEVENTO="Manual",IF(OFFSET(EVENTOS!$F$14,PLE!$B51,0)&gt;0,"F",""),IF(PLE!B51&lt;=MAX(CÁLCULO!$M$15:$M$747),"F",""))</f>
        <v/>
      </c>
      <c r="B51" s="287">
        <f t="shared" ca="1" si="1"/>
        <v>37</v>
      </c>
      <c r="C51" s="649">
        <f ca="1">IF(AUTOEVENTO="Manual",IF($B51&lt;&gt;1,OFFSET(EVENTOS!$D$14,$B51,0),0),IF(B51&lt;=MAX(CÁLCULO!$M$15:$M$747),VLOOKUP($B51,CÁLCULO!$M$15:$N$747,2,FALSE),0))</f>
        <v>0</v>
      </c>
      <c r="D51" s="649"/>
      <c r="F51" s="289"/>
      <c r="H51" s="289"/>
      <c r="I51" s="289"/>
      <c r="J51" s="289"/>
      <c r="K51" s="289"/>
      <c r="L51" s="289"/>
      <c r="M51" s="289"/>
      <c r="N51" s="289"/>
      <c r="O51" s="289"/>
      <c r="P51" s="289"/>
      <c r="Q51" s="289"/>
      <c r="R51" s="289"/>
      <c r="S51" s="289"/>
      <c r="T51" s="289"/>
      <c r="U51" s="289"/>
      <c r="V51" s="289"/>
      <c r="W51" s="289"/>
      <c r="X51" s="289"/>
      <c r="Y51" s="289"/>
      <c r="Z51" s="289"/>
      <c r="AA51" s="289"/>
      <c r="AB51" s="289"/>
      <c r="AC51" s="289"/>
      <c r="AD51" s="289"/>
      <c r="AE51" s="289"/>
      <c r="AF51" s="289"/>
    </row>
    <row r="52" spans="1:32" x14ac:dyDescent="0.2">
      <c r="A52" s="7" t="str">
        <f ca="1">IF(AUTOEVENTO="Manual",IF(OFFSET(EVENTOS!$F$14,PLE!$B52,0)&gt;0,"F",""),IF(PLE!B52&lt;=MAX(CÁLCULO!$M$15:$M$747),"F",""))</f>
        <v/>
      </c>
      <c r="B52" s="287">
        <f t="shared" ca="1" si="1"/>
        <v>38</v>
      </c>
      <c r="C52" s="649">
        <f ca="1">IF(AUTOEVENTO="Manual",IF($B52&lt;&gt;1,OFFSET(EVENTOS!$D$14,$B52,0),0),IF(B52&lt;=MAX(CÁLCULO!$M$15:$M$747),VLOOKUP($B52,CÁLCULO!$M$15:$N$747,2,FALSE),0))</f>
        <v>0</v>
      </c>
      <c r="D52" s="649"/>
      <c r="F52" s="289"/>
      <c r="H52" s="289"/>
      <c r="I52" s="289"/>
      <c r="J52" s="289"/>
      <c r="K52" s="289"/>
      <c r="L52" s="289"/>
      <c r="M52" s="289"/>
      <c r="N52" s="289"/>
      <c r="O52" s="289"/>
      <c r="P52" s="289"/>
      <c r="Q52" s="289"/>
      <c r="R52" s="289"/>
      <c r="S52" s="289"/>
      <c r="T52" s="289"/>
      <c r="U52" s="289"/>
      <c r="V52" s="289"/>
      <c r="W52" s="289"/>
      <c r="X52" s="289"/>
      <c r="Y52" s="289"/>
      <c r="Z52" s="289"/>
      <c r="AA52" s="289"/>
      <c r="AB52" s="289"/>
      <c r="AC52" s="289"/>
      <c r="AD52" s="289"/>
      <c r="AE52" s="289"/>
      <c r="AF52" s="289"/>
    </row>
    <row r="53" spans="1:32" x14ac:dyDescent="0.2">
      <c r="A53" s="7" t="str">
        <f ca="1">IF(AUTOEVENTO="Manual",IF(OFFSET(EVENTOS!$F$14,PLE!$B53,0)&gt;0,"F",""),IF(PLE!B53&lt;=MAX(CÁLCULO!$M$15:$M$747),"F",""))</f>
        <v/>
      </c>
      <c r="B53" s="287">
        <f t="shared" ca="1" si="1"/>
        <v>39</v>
      </c>
      <c r="C53" s="649">
        <f ca="1">IF(AUTOEVENTO="Manual",IF($B53&lt;&gt;1,OFFSET(EVENTOS!$D$14,$B53,0),0),IF(B53&lt;=MAX(CÁLCULO!$M$15:$M$747),VLOOKUP($B53,CÁLCULO!$M$15:$N$747,2,FALSE),0))</f>
        <v>0</v>
      </c>
      <c r="D53" s="649"/>
      <c r="F53" s="289"/>
      <c r="H53" s="289"/>
      <c r="I53" s="289"/>
      <c r="J53" s="289"/>
      <c r="K53" s="289"/>
      <c r="L53" s="289"/>
      <c r="M53" s="289"/>
      <c r="N53" s="289"/>
      <c r="O53" s="289"/>
      <c r="P53" s="289"/>
      <c r="Q53" s="289"/>
      <c r="R53" s="289"/>
      <c r="S53" s="289"/>
      <c r="T53" s="289"/>
      <c r="U53" s="289"/>
      <c r="V53" s="289"/>
      <c r="W53" s="289"/>
      <c r="X53" s="289"/>
      <c r="Y53" s="289"/>
      <c r="Z53" s="289"/>
      <c r="AA53" s="289"/>
      <c r="AB53" s="289"/>
      <c r="AC53" s="289"/>
      <c r="AD53" s="289"/>
      <c r="AE53" s="289"/>
      <c r="AF53" s="289"/>
    </row>
    <row r="54" spans="1:32" x14ac:dyDescent="0.2">
      <c r="A54" s="7" t="str">
        <f ca="1">IF(AUTOEVENTO="Manual",IF(OFFSET(EVENTOS!$F$14,PLE!$B54,0)&gt;0,"F",""),IF(PLE!B54&lt;=MAX(CÁLCULO!$M$15:$M$747),"F",""))</f>
        <v/>
      </c>
      <c r="B54" s="287">
        <f t="shared" ca="1" si="1"/>
        <v>40</v>
      </c>
      <c r="C54" s="649">
        <f ca="1">IF(AUTOEVENTO="Manual",IF($B54&lt;&gt;1,OFFSET(EVENTOS!$D$14,$B54,0),0),IF(B54&lt;=MAX(CÁLCULO!$M$15:$M$747),VLOOKUP($B54,CÁLCULO!$M$15:$N$747,2,FALSE),0))</f>
        <v>0</v>
      </c>
      <c r="D54" s="649"/>
      <c r="F54" s="289"/>
      <c r="H54" s="289"/>
      <c r="I54" s="289"/>
      <c r="J54" s="289"/>
      <c r="K54" s="289"/>
      <c r="L54" s="289"/>
      <c r="M54" s="289"/>
      <c r="N54" s="289"/>
      <c r="O54" s="289"/>
      <c r="P54" s="289"/>
      <c r="Q54" s="289"/>
      <c r="R54" s="289"/>
      <c r="S54" s="289"/>
      <c r="T54" s="289"/>
      <c r="U54" s="289"/>
      <c r="V54" s="289"/>
      <c r="W54" s="289"/>
      <c r="X54" s="289"/>
      <c r="Y54" s="289"/>
      <c r="Z54" s="289"/>
      <c r="AA54" s="289"/>
      <c r="AB54" s="289"/>
      <c r="AC54" s="289"/>
      <c r="AD54" s="289"/>
      <c r="AE54" s="289"/>
      <c r="AF54" s="289"/>
    </row>
    <row r="55" spans="1:32" x14ac:dyDescent="0.2">
      <c r="A55" s="7" t="str">
        <f ca="1">IF(AUTOEVENTO="Manual",IF(OFFSET(EVENTOS!$F$14,PLE!$B55,0)&gt;0,"F",""),IF(PLE!B55&lt;=MAX(CÁLCULO!$M$15:$M$747),"F",""))</f>
        <v/>
      </c>
      <c r="B55" s="287">
        <f t="shared" ca="1" si="1"/>
        <v>41</v>
      </c>
      <c r="C55" s="649">
        <f ca="1">IF(AUTOEVENTO="Manual",IF($B55&lt;&gt;1,OFFSET(EVENTOS!$D$14,$B55,0),0),IF(B55&lt;=MAX(CÁLCULO!$M$15:$M$747),VLOOKUP($B55,CÁLCULO!$M$15:$N$747,2,FALSE),0))</f>
        <v>0</v>
      </c>
      <c r="D55" s="649"/>
      <c r="F55" s="289"/>
      <c r="H55" s="289"/>
      <c r="I55" s="289"/>
      <c r="J55" s="289"/>
      <c r="K55" s="289"/>
      <c r="L55" s="289"/>
      <c r="M55" s="289"/>
      <c r="N55" s="289"/>
      <c r="O55" s="289"/>
      <c r="P55" s="289"/>
      <c r="Q55" s="289"/>
      <c r="R55" s="289"/>
      <c r="S55" s="289"/>
      <c r="T55" s="289"/>
      <c r="U55" s="289"/>
      <c r="V55" s="289"/>
      <c r="W55" s="289"/>
      <c r="X55" s="289"/>
      <c r="Y55" s="289"/>
      <c r="Z55" s="289"/>
      <c r="AA55" s="289"/>
      <c r="AB55" s="289"/>
      <c r="AC55" s="289"/>
      <c r="AD55" s="289"/>
      <c r="AE55" s="289"/>
      <c r="AF55" s="289"/>
    </row>
    <row r="56" spans="1:32" x14ac:dyDescent="0.2">
      <c r="A56" s="7" t="str">
        <f ca="1">IF(AUTOEVENTO="Manual",IF(OFFSET(EVENTOS!$F$14,PLE!$B56,0)&gt;0,"F",""),IF(PLE!B56&lt;=MAX(CÁLCULO!$M$15:$M$747),"F",""))</f>
        <v/>
      </c>
      <c r="B56" s="287">
        <f t="shared" ca="1" si="1"/>
        <v>42</v>
      </c>
      <c r="C56" s="649">
        <f ca="1">IF(AUTOEVENTO="Manual",IF($B56&lt;&gt;1,OFFSET(EVENTOS!$D$14,$B56,0),0),IF(B56&lt;=MAX(CÁLCULO!$M$15:$M$747),VLOOKUP($B56,CÁLCULO!$M$15:$N$747,2,FALSE),0))</f>
        <v>0</v>
      </c>
      <c r="D56" s="649"/>
      <c r="F56" s="289"/>
      <c r="H56" s="289"/>
      <c r="I56" s="289"/>
      <c r="J56" s="289"/>
      <c r="K56" s="289"/>
      <c r="L56" s="289"/>
      <c r="M56" s="289"/>
      <c r="N56" s="289"/>
      <c r="O56" s="289"/>
      <c r="P56" s="289"/>
      <c r="Q56" s="289"/>
      <c r="R56" s="289"/>
      <c r="S56" s="289"/>
      <c r="T56" s="289"/>
      <c r="U56" s="289"/>
      <c r="V56" s="289"/>
      <c r="W56" s="289"/>
      <c r="X56" s="289"/>
      <c r="Y56" s="289"/>
      <c r="Z56" s="289"/>
      <c r="AA56" s="289"/>
      <c r="AB56" s="289"/>
      <c r="AC56" s="289"/>
      <c r="AD56" s="289"/>
      <c r="AE56" s="289"/>
      <c r="AF56" s="289"/>
    </row>
    <row r="57" spans="1:32" x14ac:dyDescent="0.2">
      <c r="A57" s="7" t="str">
        <f ca="1">IF(AUTOEVENTO="Manual",IF(OFFSET(EVENTOS!$F$14,PLE!$B57,0)&gt;0,"F",""),IF(PLE!B57&lt;=MAX(CÁLCULO!$M$15:$M$747),"F",""))</f>
        <v/>
      </c>
      <c r="B57" s="287">
        <f t="shared" ca="1" si="1"/>
        <v>43</v>
      </c>
      <c r="C57" s="649">
        <f ca="1">IF(AUTOEVENTO="Manual",IF($B57&lt;&gt;1,OFFSET(EVENTOS!$D$14,$B57,0),0),IF(B57&lt;=MAX(CÁLCULO!$M$15:$M$747),VLOOKUP($B57,CÁLCULO!$M$15:$N$747,2,FALSE),0))</f>
        <v>0</v>
      </c>
      <c r="D57" s="649"/>
      <c r="F57" s="289"/>
      <c r="H57" s="289"/>
      <c r="I57" s="289"/>
      <c r="J57" s="289"/>
      <c r="K57" s="289"/>
      <c r="L57" s="289"/>
      <c r="M57" s="289"/>
      <c r="N57" s="289"/>
      <c r="O57" s="289"/>
      <c r="P57" s="289"/>
      <c r="Q57" s="289"/>
      <c r="R57" s="289"/>
      <c r="S57" s="289"/>
      <c r="T57" s="289"/>
      <c r="U57" s="289"/>
      <c r="V57" s="289"/>
      <c r="W57" s="289"/>
      <c r="X57" s="289"/>
      <c r="Y57" s="289"/>
      <c r="Z57" s="289"/>
      <c r="AA57" s="289"/>
      <c r="AB57" s="289"/>
      <c r="AC57" s="289"/>
      <c r="AD57" s="289"/>
      <c r="AE57" s="289"/>
      <c r="AF57" s="289"/>
    </row>
    <row r="58" spans="1:32" x14ac:dyDescent="0.2">
      <c r="A58" s="7" t="str">
        <f ca="1">IF(AUTOEVENTO="Manual",IF(OFFSET(EVENTOS!$F$14,PLE!$B58,0)&gt;0,"F",""),IF(PLE!B58&lt;=MAX(CÁLCULO!$M$15:$M$747),"F",""))</f>
        <v/>
      </c>
      <c r="B58" s="287">
        <f t="shared" ca="1" si="1"/>
        <v>44</v>
      </c>
      <c r="C58" s="649">
        <f ca="1">IF(AUTOEVENTO="Manual",IF($B58&lt;&gt;1,OFFSET(EVENTOS!$D$14,$B58,0),0),IF(B58&lt;=MAX(CÁLCULO!$M$15:$M$747),VLOOKUP($B58,CÁLCULO!$M$15:$N$747,2,FALSE),0))</f>
        <v>0</v>
      </c>
      <c r="D58" s="649"/>
      <c r="F58" s="289"/>
      <c r="H58" s="289"/>
      <c r="I58" s="289"/>
      <c r="J58" s="289"/>
      <c r="K58" s="289"/>
      <c r="L58" s="289"/>
      <c r="M58" s="289"/>
      <c r="N58" s="289"/>
      <c r="O58" s="289"/>
      <c r="P58" s="289"/>
      <c r="Q58" s="289"/>
      <c r="R58" s="289"/>
      <c r="S58" s="289"/>
      <c r="T58" s="289"/>
      <c r="U58" s="289"/>
      <c r="V58" s="289"/>
      <c r="W58" s="289"/>
      <c r="X58" s="289"/>
      <c r="Y58" s="289"/>
      <c r="Z58" s="289"/>
      <c r="AA58" s="289"/>
      <c r="AB58" s="289"/>
      <c r="AC58" s="289"/>
      <c r="AD58" s="289"/>
      <c r="AE58" s="289"/>
      <c r="AF58" s="289"/>
    </row>
    <row r="59" spans="1:32" x14ac:dyDescent="0.2">
      <c r="A59" s="7" t="str">
        <f ca="1">IF(AUTOEVENTO="Manual",IF(OFFSET(EVENTOS!$F$14,PLE!$B59,0)&gt;0,"F",""),IF(PLE!B59&lt;=MAX(CÁLCULO!$M$15:$M$747),"F",""))</f>
        <v/>
      </c>
      <c r="B59" s="287">
        <f t="shared" ca="1" si="1"/>
        <v>45</v>
      </c>
      <c r="C59" s="649">
        <f ca="1">IF(AUTOEVENTO="Manual",IF($B59&lt;&gt;1,OFFSET(EVENTOS!$D$14,$B59,0),0),IF(B59&lt;=MAX(CÁLCULO!$M$15:$M$747),VLOOKUP($B59,CÁLCULO!$M$15:$N$747,2,FALSE),0))</f>
        <v>0</v>
      </c>
      <c r="D59" s="649"/>
      <c r="F59" s="289"/>
      <c r="H59" s="289"/>
      <c r="I59" s="289"/>
      <c r="J59" s="289"/>
      <c r="K59" s="289"/>
      <c r="L59" s="289"/>
      <c r="M59" s="289"/>
      <c r="N59" s="289"/>
      <c r="O59" s="289"/>
      <c r="P59" s="289"/>
      <c r="Q59" s="289"/>
      <c r="R59" s="289"/>
      <c r="S59" s="289"/>
      <c r="T59" s="289"/>
      <c r="U59" s="289"/>
      <c r="V59" s="289"/>
      <c r="W59" s="289"/>
      <c r="X59" s="289"/>
      <c r="Y59" s="289"/>
      <c r="Z59" s="289"/>
      <c r="AA59" s="289"/>
      <c r="AB59" s="289"/>
      <c r="AC59" s="289"/>
      <c r="AD59" s="289"/>
      <c r="AE59" s="289"/>
      <c r="AF59" s="289"/>
    </row>
    <row r="60" spans="1:32" x14ac:dyDescent="0.2">
      <c r="A60" s="7" t="str">
        <f ca="1">IF(AUTOEVENTO="Manual",IF(OFFSET(EVENTOS!$F$14,PLE!$B60,0)&gt;0,"F",""),IF(PLE!B60&lt;=MAX(CÁLCULO!$M$15:$M$747),"F",""))</f>
        <v/>
      </c>
      <c r="B60" s="287">
        <f t="shared" ca="1" si="1"/>
        <v>46</v>
      </c>
      <c r="C60" s="649">
        <f ca="1">IF(AUTOEVENTO="Manual",IF($B60&lt;&gt;1,OFFSET(EVENTOS!$D$14,$B60,0),0),IF(B60&lt;=MAX(CÁLCULO!$M$15:$M$747),VLOOKUP($B60,CÁLCULO!$M$15:$N$747,2,FALSE),0))</f>
        <v>0</v>
      </c>
      <c r="D60" s="649"/>
      <c r="F60" s="289"/>
      <c r="H60" s="289"/>
      <c r="I60" s="289"/>
      <c r="J60" s="289"/>
      <c r="K60" s="289"/>
      <c r="L60" s="289"/>
      <c r="M60" s="289"/>
      <c r="N60" s="289"/>
      <c r="O60" s="289"/>
      <c r="P60" s="289"/>
      <c r="Q60" s="289"/>
      <c r="R60" s="289"/>
      <c r="S60" s="289"/>
      <c r="T60" s="289"/>
      <c r="U60" s="289"/>
      <c r="V60" s="289"/>
      <c r="W60" s="289"/>
      <c r="X60" s="289"/>
      <c r="Y60" s="289"/>
      <c r="Z60" s="289"/>
      <c r="AA60" s="289"/>
      <c r="AB60" s="289"/>
      <c r="AC60" s="289"/>
      <c r="AD60" s="289"/>
      <c r="AE60" s="289"/>
      <c r="AF60" s="289"/>
    </row>
    <row r="61" spans="1:32" x14ac:dyDescent="0.2">
      <c r="A61" s="7" t="str">
        <f ca="1">IF(AUTOEVENTO="Manual",IF(OFFSET(EVENTOS!$F$14,PLE!$B61,0)&gt;0,"F",""),IF(PLE!B61&lt;=MAX(CÁLCULO!$M$15:$M$747),"F",""))</f>
        <v/>
      </c>
      <c r="B61" s="287">
        <f t="shared" ca="1" si="1"/>
        <v>47</v>
      </c>
      <c r="C61" s="649">
        <f ca="1">IF(AUTOEVENTO="Manual",IF($B61&lt;&gt;1,OFFSET(EVENTOS!$D$14,$B61,0),0),IF(B61&lt;=MAX(CÁLCULO!$M$15:$M$747),VLOOKUP($B61,CÁLCULO!$M$15:$N$747,2,FALSE),0))</f>
        <v>0</v>
      </c>
      <c r="D61" s="649"/>
      <c r="F61" s="289"/>
      <c r="H61" s="289"/>
      <c r="I61" s="289"/>
      <c r="J61" s="289"/>
      <c r="K61" s="289"/>
      <c r="L61" s="289"/>
      <c r="M61" s="289"/>
      <c r="N61" s="289"/>
      <c r="O61" s="289"/>
      <c r="P61" s="289"/>
      <c r="Q61" s="289"/>
      <c r="R61" s="289"/>
      <c r="S61" s="289"/>
      <c r="T61" s="289"/>
      <c r="U61" s="289"/>
      <c r="V61" s="289"/>
      <c r="W61" s="289"/>
      <c r="X61" s="289"/>
      <c r="Y61" s="289"/>
      <c r="Z61" s="289"/>
      <c r="AA61" s="289"/>
      <c r="AB61" s="289"/>
      <c r="AC61" s="289"/>
      <c r="AD61" s="289"/>
      <c r="AE61" s="289"/>
      <c r="AF61" s="289"/>
    </row>
    <row r="62" spans="1:32" x14ac:dyDescent="0.2">
      <c r="A62" s="7" t="str">
        <f ca="1">IF(AUTOEVENTO="Manual",IF(OFFSET(EVENTOS!$F$14,PLE!$B62,0)&gt;0,"F",""),IF(PLE!B62&lt;=MAX(CÁLCULO!$M$15:$M$747),"F",""))</f>
        <v/>
      </c>
      <c r="B62" s="287">
        <f t="shared" ca="1" si="1"/>
        <v>48</v>
      </c>
      <c r="C62" s="649">
        <f ca="1">IF(AUTOEVENTO="Manual",IF($B62&lt;&gt;1,OFFSET(EVENTOS!$D$14,$B62,0),0),IF(B62&lt;=MAX(CÁLCULO!$M$15:$M$747),VLOOKUP($B62,CÁLCULO!$M$15:$N$747,2,FALSE),0))</f>
        <v>0</v>
      </c>
      <c r="D62" s="649"/>
      <c r="F62" s="289"/>
      <c r="H62" s="289"/>
      <c r="I62" s="289"/>
      <c r="J62" s="289"/>
      <c r="K62" s="289"/>
      <c r="L62" s="289"/>
      <c r="M62" s="289"/>
      <c r="N62" s="289"/>
      <c r="O62" s="289"/>
      <c r="P62" s="289"/>
      <c r="Q62" s="289"/>
      <c r="R62" s="289"/>
      <c r="S62" s="289"/>
      <c r="T62" s="289"/>
      <c r="U62" s="289"/>
      <c r="V62" s="289"/>
      <c r="W62" s="289"/>
      <c r="X62" s="289"/>
      <c r="Y62" s="289"/>
      <c r="Z62" s="289"/>
      <c r="AA62" s="289"/>
      <c r="AB62" s="289"/>
      <c r="AC62" s="289"/>
      <c r="AD62" s="289"/>
      <c r="AE62" s="289"/>
      <c r="AF62" s="289"/>
    </row>
    <row r="63" spans="1:32" x14ac:dyDescent="0.2">
      <c r="A63" s="7" t="str">
        <f ca="1">IF(AUTOEVENTO="Manual",IF(OFFSET(EVENTOS!$F$14,PLE!$B63,0)&gt;0,"F",""),IF(PLE!B63&lt;=MAX(CÁLCULO!$M$15:$M$747),"F",""))</f>
        <v/>
      </c>
      <c r="B63" s="287">
        <f t="shared" ca="1" si="1"/>
        <v>49</v>
      </c>
      <c r="C63" s="649">
        <f ca="1">IF(AUTOEVENTO="Manual",IF($B63&lt;&gt;1,OFFSET(EVENTOS!$D$14,$B63,0),0),IF(B63&lt;=MAX(CÁLCULO!$M$15:$M$747),VLOOKUP($B63,CÁLCULO!$M$15:$N$747,2,FALSE),0))</f>
        <v>0</v>
      </c>
      <c r="D63" s="649"/>
      <c r="F63" s="289"/>
      <c r="H63" s="289"/>
      <c r="I63" s="289"/>
      <c r="J63" s="289"/>
      <c r="K63" s="289"/>
      <c r="L63" s="289"/>
      <c r="M63" s="289"/>
      <c r="N63" s="289"/>
      <c r="O63" s="289"/>
      <c r="P63" s="289"/>
      <c r="Q63" s="289"/>
      <c r="R63" s="289"/>
      <c r="S63" s="289"/>
      <c r="T63" s="289"/>
      <c r="U63" s="289"/>
      <c r="V63" s="289"/>
      <c r="W63" s="289"/>
      <c r="X63" s="289"/>
      <c r="Y63" s="289"/>
      <c r="Z63" s="289"/>
      <c r="AA63" s="289"/>
      <c r="AB63" s="289"/>
      <c r="AC63" s="289"/>
      <c r="AD63" s="289"/>
      <c r="AE63" s="289"/>
      <c r="AF63" s="289"/>
    </row>
    <row r="64" spans="1:32" x14ac:dyDescent="0.2">
      <c r="A64" s="7" t="str">
        <f ca="1">IF(AUTOEVENTO="Manual",IF(OFFSET(EVENTOS!$F$14,PLE!$B64,0)&gt;0,"F",""),IF(PLE!B64&lt;=MAX(CÁLCULO!$M$15:$M$747),"F",""))</f>
        <v/>
      </c>
      <c r="B64" s="287">
        <f t="shared" ca="1" si="1"/>
        <v>50</v>
      </c>
      <c r="C64" s="649">
        <f ca="1">IF(AUTOEVENTO="Manual",IF($B64&lt;&gt;1,OFFSET(EVENTOS!$D$14,$B64,0),0),IF(B64&lt;=MAX(CÁLCULO!$M$15:$M$747),VLOOKUP($B64,CÁLCULO!$M$15:$N$747,2,FALSE),0))</f>
        <v>0</v>
      </c>
      <c r="D64" s="649"/>
      <c r="F64" s="289"/>
      <c r="H64" s="289"/>
      <c r="I64" s="289"/>
      <c r="J64" s="289"/>
      <c r="K64" s="289"/>
      <c r="L64" s="289"/>
      <c r="M64" s="289"/>
      <c r="N64" s="289"/>
      <c r="O64" s="289"/>
      <c r="P64" s="289"/>
      <c r="Q64" s="289"/>
      <c r="R64" s="289"/>
      <c r="S64" s="289"/>
      <c r="T64" s="289"/>
      <c r="U64" s="289"/>
      <c r="V64" s="289"/>
      <c r="W64" s="289"/>
      <c r="X64" s="289"/>
      <c r="Y64" s="289"/>
      <c r="Z64" s="289"/>
      <c r="AA64" s="289"/>
      <c r="AB64" s="289"/>
      <c r="AC64" s="289"/>
      <c r="AD64" s="289"/>
      <c r="AE64" s="289"/>
      <c r="AF64" s="289"/>
    </row>
    <row r="65" spans="1:32" ht="4.5" customHeight="1" x14ac:dyDescent="0.2">
      <c r="A65" s="7" t="s">
        <v>246</v>
      </c>
      <c r="B65" s="484"/>
      <c r="C65" s="485"/>
      <c r="D65" s="486"/>
      <c r="F65" s="138"/>
      <c r="H65" s="484"/>
      <c r="I65" s="485"/>
      <c r="J65" s="485"/>
      <c r="K65" s="485"/>
      <c r="L65" s="485"/>
      <c r="M65" s="485"/>
      <c r="N65" s="485"/>
      <c r="O65" s="485"/>
      <c r="P65" s="485"/>
      <c r="Q65" s="485"/>
      <c r="R65" s="485"/>
      <c r="S65" s="485"/>
      <c r="T65" s="485"/>
      <c r="U65" s="485"/>
      <c r="V65" s="485"/>
      <c r="W65" s="485"/>
      <c r="X65" s="485"/>
      <c r="Y65" s="485"/>
      <c r="Z65" s="485"/>
      <c r="AA65" s="485"/>
      <c r="AB65" s="485"/>
      <c r="AC65" s="485"/>
      <c r="AD65" s="485"/>
      <c r="AE65" s="485"/>
      <c r="AF65" s="486"/>
    </row>
    <row r="66" spans="1:32" x14ac:dyDescent="0.2">
      <c r="A66" s="7" t="s">
        <v>246</v>
      </c>
    </row>
    <row r="67" spans="1:32" x14ac:dyDescent="0.2">
      <c r="A67" s="7" t="s">
        <v>246</v>
      </c>
      <c r="I67" s="660" t="s">
        <v>298</v>
      </c>
      <c r="J67" s="660"/>
      <c r="K67" s="660"/>
      <c r="L67" s="660"/>
      <c r="M67" s="660"/>
      <c r="N67" s="660"/>
      <c r="O67" s="660"/>
      <c r="P67" s="660"/>
      <c r="Q67" s="660"/>
      <c r="R67" s="660"/>
      <c r="S67" s="660"/>
      <c r="T67" s="660"/>
      <c r="U67" s="660"/>
      <c r="V67" s="660"/>
      <c r="W67" s="660"/>
      <c r="X67" s="660"/>
      <c r="Y67" s="660"/>
      <c r="Z67" s="660"/>
      <c r="AA67" s="660"/>
      <c r="AB67" s="660"/>
      <c r="AC67" s="660"/>
      <c r="AD67" s="660"/>
      <c r="AE67" s="660"/>
      <c r="AF67" s="660"/>
    </row>
    <row r="68" spans="1:32" x14ac:dyDescent="0.2">
      <c r="A68" s="7" t="s">
        <v>246</v>
      </c>
      <c r="I68" s="647"/>
      <c r="J68" s="648"/>
      <c r="K68" s="648"/>
      <c r="L68" s="648"/>
      <c r="M68" s="648"/>
      <c r="N68" s="648"/>
      <c r="O68" s="648"/>
      <c r="P68" s="648"/>
      <c r="Q68" s="648"/>
      <c r="R68" s="648"/>
      <c r="S68" s="648"/>
      <c r="T68" s="648"/>
      <c r="U68" s="648"/>
      <c r="V68" s="648"/>
      <c r="W68" s="648"/>
      <c r="X68" s="648"/>
      <c r="Y68" s="648"/>
      <c r="Z68" s="648"/>
      <c r="AA68" s="648"/>
      <c r="AB68" s="648"/>
      <c r="AC68" s="648"/>
      <c r="AD68" s="648"/>
      <c r="AE68" s="648"/>
      <c r="AF68" s="659"/>
    </row>
    <row r="69" spans="1:32" x14ac:dyDescent="0.2">
      <c r="A69" s="7" t="s">
        <v>246</v>
      </c>
      <c r="D69" s="310" t="s">
        <v>299</v>
      </c>
      <c r="I69" s="645">
        <f>IF(PLE.Medicao&lt;=12,1,TRUNC((PLE.Medicao - 2)/11,0) * 11 + 1)</f>
        <v>1</v>
      </c>
      <c r="J69" s="645"/>
      <c r="K69" s="645">
        <f>I69+1</f>
        <v>2</v>
      </c>
      <c r="L69" s="645"/>
      <c r="M69" s="645">
        <f>K69+1</f>
        <v>3</v>
      </c>
      <c r="N69" s="645"/>
      <c r="O69" s="645">
        <f>M69+1</f>
        <v>4</v>
      </c>
      <c r="P69" s="645"/>
      <c r="Q69" s="645">
        <f>O69+1</f>
        <v>5</v>
      </c>
      <c r="R69" s="645"/>
      <c r="S69" s="645">
        <f>Q69+1</f>
        <v>6</v>
      </c>
      <c r="T69" s="645"/>
      <c r="U69" s="645">
        <f>S69+1</f>
        <v>7</v>
      </c>
      <c r="V69" s="645"/>
      <c r="W69" s="645">
        <f>U69+1</f>
        <v>8</v>
      </c>
      <c r="X69" s="645"/>
      <c r="Y69" s="645">
        <f>W69+1</f>
        <v>9</v>
      </c>
      <c r="Z69" s="645"/>
      <c r="AA69" s="645">
        <f>Y69+1</f>
        <v>10</v>
      </c>
      <c r="AB69" s="645"/>
      <c r="AC69" s="645">
        <f>AA69+1</f>
        <v>11</v>
      </c>
      <c r="AD69" s="645"/>
      <c r="AE69" s="645">
        <f>AC69+1</f>
        <v>12</v>
      </c>
      <c r="AF69" s="645"/>
    </row>
    <row r="70" spans="1:32" x14ac:dyDescent="0.2">
      <c r="A70" s="7" t="s">
        <v>246</v>
      </c>
      <c r="D70" s="650" t="s">
        <v>283</v>
      </c>
      <c r="H70" s="311" t="s">
        <v>300</v>
      </c>
      <c r="I70" s="646" t="e">
        <f ca="1">ROUND(I71,2)/ORÇAMENTO!$X$15</f>
        <v>#DIV/0!</v>
      </c>
      <c r="J70" s="646"/>
      <c r="K70" s="653" t="e">
        <f ca="1">ROUND(K71,2)/ORÇAMENTO!$X$15</f>
        <v>#DIV/0!</v>
      </c>
      <c r="L70" s="653"/>
      <c r="M70" s="654" t="e">
        <f ca="1">ROUND(M71,2)/ORÇAMENTO!$X$15</f>
        <v>#DIV/0!</v>
      </c>
      <c r="N70" s="654"/>
      <c r="O70" s="653" t="e">
        <f ca="1">ROUND(O71,2)/ORÇAMENTO!$X$15</f>
        <v>#DIV/0!</v>
      </c>
      <c r="P70" s="653"/>
      <c r="Q70" s="654" t="e">
        <f ca="1">ROUND(Q71,2)/ORÇAMENTO!$X$15</f>
        <v>#DIV/0!</v>
      </c>
      <c r="R70" s="654"/>
      <c r="S70" s="653" t="e">
        <f ca="1">ROUND(S71,2)/ORÇAMENTO!$X$15</f>
        <v>#DIV/0!</v>
      </c>
      <c r="T70" s="653"/>
      <c r="U70" s="654" t="e">
        <f ca="1">ROUND(U71,2)/ORÇAMENTO!$X$15</f>
        <v>#DIV/0!</v>
      </c>
      <c r="V70" s="654"/>
      <c r="W70" s="653" t="e">
        <f ca="1">ROUND(W71,2)/ORÇAMENTO!$X$15</f>
        <v>#DIV/0!</v>
      </c>
      <c r="X70" s="653"/>
      <c r="Y70" s="654" t="e">
        <f ca="1">ROUND(Y71,2)/ORÇAMENTO!$X$15</f>
        <v>#DIV/0!</v>
      </c>
      <c r="Z70" s="654"/>
      <c r="AA70" s="653" t="e">
        <f ca="1">ROUND(AA71,2)/ORÇAMENTO!$X$15</f>
        <v>#DIV/0!</v>
      </c>
      <c r="AB70" s="653"/>
      <c r="AC70" s="654" t="e">
        <f ca="1">ROUND(AC71,2)/ORÇAMENTO!$X$15</f>
        <v>#DIV/0!</v>
      </c>
      <c r="AD70" s="654"/>
      <c r="AE70" s="653" t="e">
        <f ca="1">ROUND(AE71,2)/ORÇAMENTO!$X$15</f>
        <v>#DIV/0!</v>
      </c>
      <c r="AF70" s="653"/>
    </row>
    <row r="71" spans="1:32" x14ac:dyDescent="0.2">
      <c r="A71" s="7" t="s">
        <v>246</v>
      </c>
      <c r="D71" s="650"/>
      <c r="H71" s="12" t="s">
        <v>301</v>
      </c>
      <c r="I71" s="652" t="e">
        <f ca="1">IF(I69=1,I73,ROUND(I73,2)-ROUND(SUMIF(CÁLCULO!$AX$15:$BH$747,"&lt;="&amp;PLE!I69-1,CÁLCULO!$AB$15:$AL$747)*(1+CÁLCULO.TotalAdmLocal/(ORÇAMENTO!$X$15-CÁLCULO.TotalAdmLocal)),2))</f>
        <v>#DIV/0!</v>
      </c>
      <c r="J71" s="652"/>
      <c r="K71" s="652" t="e">
        <f ca="1">ROUND(K73,2)-ROUND(I73,2)</f>
        <v>#DIV/0!</v>
      </c>
      <c r="L71" s="652"/>
      <c r="M71" s="651" t="e">
        <f ca="1">ROUND(M73,2)-ROUND(K73,2)</f>
        <v>#DIV/0!</v>
      </c>
      <c r="N71" s="651"/>
      <c r="O71" s="652" t="e">
        <f ca="1">ROUND(O73,2)-ROUND(M73,2)</f>
        <v>#DIV/0!</v>
      </c>
      <c r="P71" s="652"/>
      <c r="Q71" s="651" t="e">
        <f ca="1">ROUND(Q73,2)-ROUND(O73,2)</f>
        <v>#DIV/0!</v>
      </c>
      <c r="R71" s="651"/>
      <c r="S71" s="652" t="e">
        <f ca="1">ROUND(S73,2)-ROUND(Q73,2)</f>
        <v>#DIV/0!</v>
      </c>
      <c r="T71" s="652"/>
      <c r="U71" s="651" t="e">
        <f ca="1">ROUND(U73,2)-ROUND(S73,2)</f>
        <v>#DIV/0!</v>
      </c>
      <c r="V71" s="651"/>
      <c r="W71" s="652" t="e">
        <f ca="1">ROUND(W73,2)-ROUND(U73,2)</f>
        <v>#DIV/0!</v>
      </c>
      <c r="X71" s="652"/>
      <c r="Y71" s="651" t="e">
        <f ca="1">ROUND(Y73,2)-ROUND(W73,2)</f>
        <v>#DIV/0!</v>
      </c>
      <c r="Z71" s="651"/>
      <c r="AA71" s="652" t="e">
        <f ca="1">ROUND(AA73,2)-ROUND(Y73,2)</f>
        <v>#DIV/0!</v>
      </c>
      <c r="AB71" s="652"/>
      <c r="AC71" s="651" t="e">
        <f ca="1">ROUND(AC73,2)-ROUND(AA73,2)</f>
        <v>#DIV/0!</v>
      </c>
      <c r="AD71" s="651"/>
      <c r="AE71" s="652" t="e">
        <f ca="1">ROUND(AE73,2)-ROUND(AC73,2)</f>
        <v>#DIV/0!</v>
      </c>
      <c r="AF71" s="652"/>
    </row>
    <row r="72" spans="1:32" x14ac:dyDescent="0.2">
      <c r="A72" s="7" t="s">
        <v>246</v>
      </c>
      <c r="D72" s="650" t="s">
        <v>287</v>
      </c>
      <c r="H72" s="311" t="s">
        <v>300</v>
      </c>
      <c r="I72" s="657" t="e">
        <f ca="1">ROUND(I73,2)/ORÇAMENTO!$X$15</f>
        <v>#DIV/0!</v>
      </c>
      <c r="J72" s="657"/>
      <c r="K72" s="655" t="e">
        <f ca="1">ROUND(K73,2)/ORÇAMENTO!$X$15</f>
        <v>#DIV/0!</v>
      </c>
      <c r="L72" s="655"/>
      <c r="M72" s="656" t="e">
        <f ca="1">ROUND(M73,2)/ORÇAMENTO!$X$15</f>
        <v>#DIV/0!</v>
      </c>
      <c r="N72" s="656"/>
      <c r="O72" s="655" t="e">
        <f ca="1">ROUND(O73,2)/ORÇAMENTO!$X$15</f>
        <v>#DIV/0!</v>
      </c>
      <c r="P72" s="655"/>
      <c r="Q72" s="656" t="e">
        <f ca="1">ROUND(Q73,2)/ORÇAMENTO!$X$15</f>
        <v>#DIV/0!</v>
      </c>
      <c r="R72" s="656"/>
      <c r="S72" s="655" t="e">
        <f ca="1">ROUND(S73,2)/ORÇAMENTO!$X$15</f>
        <v>#DIV/0!</v>
      </c>
      <c r="T72" s="655"/>
      <c r="U72" s="656" t="e">
        <f ca="1">ROUND(U73,2)/ORÇAMENTO!$X$15</f>
        <v>#DIV/0!</v>
      </c>
      <c r="V72" s="656"/>
      <c r="W72" s="655" t="e">
        <f ca="1">ROUND(W73,2)/ORÇAMENTO!$X$15</f>
        <v>#DIV/0!</v>
      </c>
      <c r="X72" s="655"/>
      <c r="Y72" s="656" t="e">
        <f ca="1">ROUND(Y73,2)/ORÇAMENTO!$X$15</f>
        <v>#DIV/0!</v>
      </c>
      <c r="Z72" s="656"/>
      <c r="AA72" s="655" t="e">
        <f ca="1">ROUND(AA73,2)/ORÇAMENTO!$X$15</f>
        <v>#DIV/0!</v>
      </c>
      <c r="AB72" s="655"/>
      <c r="AC72" s="656" t="e">
        <f ca="1">ROUND(AC73,2)/ORÇAMENTO!$X$15</f>
        <v>#DIV/0!</v>
      </c>
      <c r="AD72" s="656"/>
      <c r="AE72" s="655" t="e">
        <f ca="1">ROUND(AE73,2)/ORÇAMENTO!$X$15</f>
        <v>#DIV/0!</v>
      </c>
      <c r="AF72" s="655"/>
    </row>
    <row r="73" spans="1:32" x14ac:dyDescent="0.2">
      <c r="A73" s="7" t="s">
        <v>246</v>
      </c>
      <c r="D73" s="650"/>
      <c r="H73" s="12" t="s">
        <v>301</v>
      </c>
      <c r="I73" s="658" t="e">
        <f ca="1">SUMIF(CÁLCULO!$AX$15:$BH$747,"&lt;="&amp;PLE!I69,CÁLCULO!$AB$15:$AL$747)*(1+CÁLCULO.TotalAdmLocal/(ORÇAMENTO!$X$15-CÁLCULO.TotalAdmLocal))</f>
        <v>#DIV/0!</v>
      </c>
      <c r="J73" s="658"/>
      <c r="K73" s="652" t="e">
        <f ca="1">SUMIF(CÁLCULO!$AX$15:$BH$747,"&lt;="&amp;PLE!K69,CÁLCULO!$AB$15:$AL$747)*(1+CÁLCULO.TotalAdmLocal/(ORÇAMENTO!$X$15-CÁLCULO.TotalAdmLocal))</f>
        <v>#DIV/0!</v>
      </c>
      <c r="L73" s="652"/>
      <c r="M73" s="651" t="e">
        <f ca="1">SUMIF(CÁLCULO!$AX$15:$BH$747,"&lt;="&amp;PLE!M69,CÁLCULO!$AB$15:$AL$747)*(1+CÁLCULO.TotalAdmLocal/(ORÇAMENTO!$X$15-CÁLCULO.TotalAdmLocal))</f>
        <v>#DIV/0!</v>
      </c>
      <c r="N73" s="651"/>
      <c r="O73" s="652" t="e">
        <f ca="1">SUMIF(CÁLCULO!$AX$15:$BH$747,"&lt;="&amp;PLE!O69,CÁLCULO!$AB$15:$AL$747)*(1+CÁLCULO.TotalAdmLocal/(ORÇAMENTO!$X$15-CÁLCULO.TotalAdmLocal))</f>
        <v>#DIV/0!</v>
      </c>
      <c r="P73" s="652"/>
      <c r="Q73" s="651" t="e">
        <f ca="1">SUMIF(CÁLCULO!$AX$15:$BH$747,"&lt;="&amp;PLE!Q69,CÁLCULO!$AB$15:$AL$747)*(1+CÁLCULO.TotalAdmLocal/(ORÇAMENTO!$X$15-CÁLCULO.TotalAdmLocal))</f>
        <v>#DIV/0!</v>
      </c>
      <c r="R73" s="651"/>
      <c r="S73" s="652" t="e">
        <f ca="1">SUMIF(CÁLCULO!$AX$15:$BH$747,"&lt;="&amp;PLE!S69,CÁLCULO!$AB$15:$AL$747)*(1+CÁLCULO.TotalAdmLocal/(ORÇAMENTO!$X$15-CÁLCULO.TotalAdmLocal))</f>
        <v>#DIV/0!</v>
      </c>
      <c r="T73" s="652"/>
      <c r="U73" s="651" t="e">
        <f ca="1">SUMIF(CÁLCULO!$AX$15:$BH$747,"&lt;="&amp;PLE!U69,CÁLCULO!$AB$15:$AL$747)*(1+CÁLCULO.TotalAdmLocal/(ORÇAMENTO!$X$15-CÁLCULO.TotalAdmLocal))</f>
        <v>#DIV/0!</v>
      </c>
      <c r="V73" s="651"/>
      <c r="W73" s="652" t="e">
        <f ca="1">SUMIF(CÁLCULO!$AX$15:$BH$747,"&lt;="&amp;PLE!W69,CÁLCULO!$AB$15:$AL$747)*(1+CÁLCULO.TotalAdmLocal/(ORÇAMENTO!$X$15-CÁLCULO.TotalAdmLocal))</f>
        <v>#DIV/0!</v>
      </c>
      <c r="X73" s="652"/>
      <c r="Y73" s="651" t="e">
        <f ca="1">SUMIF(CÁLCULO!$AX$15:$BH$747,"&lt;="&amp;PLE!Y69,CÁLCULO!$AB$15:$AL$747)*(1+CÁLCULO.TotalAdmLocal/(ORÇAMENTO!$X$15-CÁLCULO.TotalAdmLocal))</f>
        <v>#DIV/0!</v>
      </c>
      <c r="Z73" s="651"/>
      <c r="AA73" s="652" t="e">
        <f ca="1">SUMIF(CÁLCULO!$AX$15:$BH$747,"&lt;="&amp;PLE!AA69,CÁLCULO!$AB$15:$AL$747)*(1+CÁLCULO.TotalAdmLocal/(ORÇAMENTO!$X$15-CÁLCULO.TotalAdmLocal))</f>
        <v>#DIV/0!</v>
      </c>
      <c r="AB73" s="652"/>
      <c r="AC73" s="651" t="e">
        <f ca="1">SUMIF(CÁLCULO!$AX$15:$BH$747,"&lt;="&amp;PLE!AC69,CÁLCULO!$AB$15:$AL$747)*(1+CÁLCULO.TotalAdmLocal/(ORÇAMENTO!$X$15-CÁLCULO.TotalAdmLocal))</f>
        <v>#DIV/0!</v>
      </c>
      <c r="AD73" s="651"/>
      <c r="AE73" s="652" t="e">
        <f ca="1">SUMIF(CÁLCULO!$AX$15:$BH$747,"&lt;="&amp;PLE!AE69,CÁLCULO!$AB$15:$AL$747)*(1+CÁLCULO.TotalAdmLocal/(ORÇAMENTO!$X$15-CÁLCULO.TotalAdmLocal))</f>
        <v>#DIV/0!</v>
      </c>
      <c r="AF73" s="652"/>
    </row>
    <row r="74" spans="1:32" ht="20.25" customHeight="1" x14ac:dyDescent="0.2">
      <c r="A74" s="7" t="s">
        <v>246</v>
      </c>
    </row>
    <row r="75" spans="1:32" ht="15" x14ac:dyDescent="0.2">
      <c r="A75" s="7" t="s">
        <v>246</v>
      </c>
      <c r="B75" s="622" t="str">
        <f>Import.Município</f>
        <v>Pirapora/MG</v>
      </c>
      <c r="C75" s="622"/>
      <c r="D75" s="622"/>
      <c r="U75" s="145"/>
      <c r="V75" s="145"/>
      <c r="W75" s="145"/>
      <c r="X75" s="145"/>
      <c r="Y75" s="194"/>
      <c r="Z75" s="194"/>
      <c r="AA75" s="194"/>
      <c r="AB75" s="194"/>
      <c r="AC75" s="194"/>
      <c r="AD75" s="194"/>
    </row>
    <row r="76" spans="1:32" x14ac:dyDescent="0.2">
      <c r="A76" s="7" t="s">
        <v>246</v>
      </c>
      <c r="B76" s="10" t="s">
        <v>188</v>
      </c>
      <c r="U76" s="195" t="s">
        <v>302</v>
      </c>
    </row>
    <row r="77" spans="1:32" x14ac:dyDescent="0.2">
      <c r="A77" s="7" t="s">
        <v>246</v>
      </c>
      <c r="I77" s="80"/>
      <c r="U77" s="78" t="s">
        <v>108</v>
      </c>
      <c r="W77" s="312">
        <f t="array" ref="W77:W80">Import.RespFiscalização</f>
        <v>0</v>
      </c>
    </row>
    <row r="78" spans="1:32" x14ac:dyDescent="0.2">
      <c r="A78" s="7" t="s">
        <v>246</v>
      </c>
      <c r="B78" s="617">
        <f ca="1">DADOS!$F$48</f>
        <v>45922</v>
      </c>
      <c r="C78" s="617"/>
      <c r="D78" s="617"/>
      <c r="I78" s="80"/>
      <c r="U78" s="78" t="s">
        <v>127</v>
      </c>
      <c r="W78" s="312">
        <v>0</v>
      </c>
    </row>
    <row r="79" spans="1:32" x14ac:dyDescent="0.2">
      <c r="A79" s="7" t="s">
        <v>246</v>
      </c>
      <c r="B79" s="146" t="s">
        <v>189</v>
      </c>
      <c r="C79" s="1"/>
      <c r="D79" s="1"/>
      <c r="I79" s="80"/>
      <c r="U79" s="78" t="s">
        <v>109</v>
      </c>
      <c r="W79" s="312">
        <v>0</v>
      </c>
    </row>
    <row r="80" spans="1:32" x14ac:dyDescent="0.2">
      <c r="U80" s="78" t="s">
        <v>110</v>
      </c>
      <c r="W80" s="13">
        <v>0</v>
      </c>
    </row>
  </sheetData>
  <sheetProtection algorithmName="SHA-512" hashValue="+AhcW0MRNa7aACeXBSxtQ+zvCTd3cVaUDFEvJv9OiaD4uqtDRzi/TCxQWAyJTisZKBq6OUJ0X+L853bBEsb5aw==" saltValue="k61BN55TWt6v7HSzNdzYtg==" spinCount="100000" sheet="1" objects="1" scenarios="1" autoFilter="0"/>
  <autoFilter ref="A13:A79"/>
  <mergeCells count="143">
    <mergeCell ref="C26:D26"/>
    <mergeCell ref="C27:D27"/>
    <mergeCell ref="C28:D28"/>
    <mergeCell ref="C29:D29"/>
    <mergeCell ref="C35:D35"/>
    <mergeCell ref="C49:D49"/>
    <mergeCell ref="C44:D44"/>
    <mergeCell ref="C45:D45"/>
    <mergeCell ref="C46:D46"/>
    <mergeCell ref="C47:D47"/>
    <mergeCell ref="C48:D48"/>
    <mergeCell ref="C38:D38"/>
    <mergeCell ref="C40:D40"/>
    <mergeCell ref="C43:D43"/>
    <mergeCell ref="C1:D1"/>
    <mergeCell ref="AD3:AF3"/>
    <mergeCell ref="AD4:AF4"/>
    <mergeCell ref="AE6:AF6"/>
    <mergeCell ref="H7:N7"/>
    <mergeCell ref="O7:U7"/>
    <mergeCell ref="C11:D11"/>
    <mergeCell ref="C12:D13"/>
    <mergeCell ref="J9:K9"/>
    <mergeCell ref="N9:T9"/>
    <mergeCell ref="B7:C7"/>
    <mergeCell ref="AE7:AF7"/>
    <mergeCell ref="V7:AD7"/>
    <mergeCell ref="Y9:Z9"/>
    <mergeCell ref="AE9:AF9"/>
    <mergeCell ref="C24:D24"/>
    <mergeCell ref="C34:D34"/>
    <mergeCell ref="I67:AF67"/>
    <mergeCell ref="B12:B13"/>
    <mergeCell ref="O68:P68"/>
    <mergeCell ref="C15:D15"/>
    <mergeCell ref="C39:D39"/>
    <mergeCell ref="C41:D41"/>
    <mergeCell ref="C42:D42"/>
    <mergeCell ref="C16:D16"/>
    <mergeCell ref="C17:D17"/>
    <mergeCell ref="C20:D20"/>
    <mergeCell ref="C18:D18"/>
    <mergeCell ref="C19:D19"/>
    <mergeCell ref="C21:D21"/>
    <mergeCell ref="C22:D22"/>
    <mergeCell ref="C23:D23"/>
    <mergeCell ref="C36:D36"/>
    <mergeCell ref="C37:D37"/>
    <mergeCell ref="C52:D52"/>
    <mergeCell ref="C53:D53"/>
    <mergeCell ref="C54:D54"/>
    <mergeCell ref="C55:D55"/>
    <mergeCell ref="C25:D25"/>
    <mergeCell ref="AC70:AD70"/>
    <mergeCell ref="AE70:AF70"/>
    <mergeCell ref="AA68:AB68"/>
    <mergeCell ref="Y68:Z68"/>
    <mergeCell ref="AE69:AF69"/>
    <mergeCell ref="AC69:AD69"/>
    <mergeCell ref="AA69:AB69"/>
    <mergeCell ref="U69:V69"/>
    <mergeCell ref="Q69:R69"/>
    <mergeCell ref="S69:T69"/>
    <mergeCell ref="U68:V68"/>
    <mergeCell ref="AE68:AF68"/>
    <mergeCell ref="AC68:AD68"/>
    <mergeCell ref="W68:X68"/>
    <mergeCell ref="Y69:Z69"/>
    <mergeCell ref="Q68:R68"/>
    <mergeCell ref="S68:T68"/>
    <mergeCell ref="K73:L73"/>
    <mergeCell ref="K72:L72"/>
    <mergeCell ref="I72:J72"/>
    <mergeCell ref="K71:L71"/>
    <mergeCell ref="I71:J71"/>
    <mergeCell ref="O73:P73"/>
    <mergeCell ref="S72:T72"/>
    <mergeCell ref="B78:D78"/>
    <mergeCell ref="B75:D75"/>
    <mergeCell ref="D72:D73"/>
    <mergeCell ref="M72:N72"/>
    <mergeCell ref="M73:N73"/>
    <mergeCell ref="I73:J73"/>
    <mergeCell ref="O72:P72"/>
    <mergeCell ref="AE71:AF71"/>
    <mergeCell ref="AE73:AF73"/>
    <mergeCell ref="Q73:R73"/>
    <mergeCell ref="Y73:Z73"/>
    <mergeCell ref="AA73:AB73"/>
    <mergeCell ref="O71:P71"/>
    <mergeCell ref="Q71:R71"/>
    <mergeCell ref="AE72:AF72"/>
    <mergeCell ref="Q72:R72"/>
    <mergeCell ref="W71:X71"/>
    <mergeCell ref="S73:T73"/>
    <mergeCell ref="Y71:Z71"/>
    <mergeCell ref="U71:V71"/>
    <mergeCell ref="W73:X73"/>
    <mergeCell ref="W72:X72"/>
    <mergeCell ref="U72:V72"/>
    <mergeCell ref="Y72:Z72"/>
    <mergeCell ref="U73:V73"/>
    <mergeCell ref="AC73:AD73"/>
    <mergeCell ref="AC71:AD71"/>
    <mergeCell ref="AC72:AD72"/>
    <mergeCell ref="AA72:AB72"/>
    <mergeCell ref="K69:L69"/>
    <mergeCell ref="M69:N69"/>
    <mergeCell ref="O69:P69"/>
    <mergeCell ref="W69:X69"/>
    <mergeCell ref="M71:N71"/>
    <mergeCell ref="AA71:AB71"/>
    <mergeCell ref="S71:T71"/>
    <mergeCell ref="O70:P70"/>
    <mergeCell ref="K68:L68"/>
    <mergeCell ref="K70:L70"/>
    <mergeCell ref="AA70:AB70"/>
    <mergeCell ref="M70:N70"/>
    <mergeCell ref="Y70:Z70"/>
    <mergeCell ref="W70:X70"/>
    <mergeCell ref="U70:V70"/>
    <mergeCell ref="Q70:R70"/>
    <mergeCell ref="S70:T70"/>
    <mergeCell ref="M68:N68"/>
    <mergeCell ref="I69:J69"/>
    <mergeCell ref="I70:J70"/>
    <mergeCell ref="I68:J68"/>
    <mergeCell ref="C31:D31"/>
    <mergeCell ref="C32:D32"/>
    <mergeCell ref="C30:D30"/>
    <mergeCell ref="C33:D33"/>
    <mergeCell ref="C50:D50"/>
    <mergeCell ref="C51:D51"/>
    <mergeCell ref="D70:D71"/>
    <mergeCell ref="C62:D62"/>
    <mergeCell ref="C63:D63"/>
    <mergeCell ref="C64:D64"/>
    <mergeCell ref="C56:D56"/>
    <mergeCell ref="C57:D57"/>
    <mergeCell ref="C58:D58"/>
    <mergeCell ref="C59:D59"/>
    <mergeCell ref="C60:D60"/>
    <mergeCell ref="C61:D61"/>
  </mergeCells>
  <phoneticPr fontId="40" type="noConversion"/>
  <conditionalFormatting sqref="F1:F2">
    <cfRule type="expression" dxfId="524" priority="439" stopIfTrue="1">
      <formula>IF(OR(ACOMPANHAMENTO="BM",F$12&gt;CÁLCULO.NúmeroDeFrentes),TRUE,PLE.ValorDoEvento=0)</formula>
    </cfRule>
    <cfRule type="cellIs" dxfId="523" priority="440" stopIfTrue="1" operator="equal">
      <formula>$J$9</formula>
    </cfRule>
  </conditionalFormatting>
  <conditionalFormatting sqref="I70:AF70">
    <cfRule type="expression" dxfId="522" priority="441" stopIfTrue="1">
      <formula>I69=$J$9</formula>
    </cfRule>
  </conditionalFormatting>
  <conditionalFormatting sqref="I71:AF71">
    <cfRule type="expression" dxfId="521" priority="442" stopIfTrue="1">
      <formula>I69=$J$9</formula>
    </cfRule>
  </conditionalFormatting>
  <conditionalFormatting sqref="I72:AF72">
    <cfRule type="expression" dxfId="520" priority="443" stopIfTrue="1">
      <formula>I69=$J$9</formula>
    </cfRule>
  </conditionalFormatting>
  <conditionalFormatting sqref="I73:AF73">
    <cfRule type="expression" dxfId="519" priority="444" stopIfTrue="1">
      <formula>I69=$J$9</formula>
    </cfRule>
  </conditionalFormatting>
  <conditionalFormatting sqref="I69:J69">
    <cfRule type="cellIs" dxfId="518" priority="438" stopIfTrue="1" operator="notEqual">
      <formula>1</formula>
    </cfRule>
  </conditionalFormatting>
  <conditionalFormatting sqref="H1:AF1">
    <cfRule type="expression" dxfId="517" priority="456" stopIfTrue="1">
      <formula>IF(OR(ACOMPANHAMENTO="BM",TIPOORCAMENTO="Proposto",H$12&gt;CÁLCULO.NúmeroDeFrentes),TRUE,PLE.ValorDoEvento=0)</formula>
    </cfRule>
    <cfRule type="cellIs" dxfId="516" priority="457" stopIfTrue="1" operator="equal">
      <formula>$J$9</formula>
    </cfRule>
  </conditionalFormatting>
  <conditionalFormatting sqref="AE6:AE7">
    <cfRule type="expression" dxfId="515" priority="445" stopIfTrue="1">
      <formula>TIPOORCAMENTO&lt;&gt;"Licitado"</formula>
    </cfRule>
  </conditionalFormatting>
  <conditionalFormatting sqref="N9:T9">
    <cfRule type="expression" dxfId="514" priority="446" stopIfTrue="1">
      <formula>COLUMN(N9)&gt;COLUMN($AF$12)</formula>
    </cfRule>
    <cfRule type="expression" dxfId="513" priority="447" stopIfTrue="1">
      <formula>$N$9="DIGITE A DATA DA MEDIÇÃO"</formula>
    </cfRule>
  </conditionalFormatting>
  <conditionalFormatting sqref="I9:M9 U9:AF9">
    <cfRule type="expression" dxfId="512" priority="448" stopIfTrue="1">
      <formula>COLUMN(I9)&gt;COLUMN($AF$12)</formula>
    </cfRule>
  </conditionalFormatting>
  <conditionalFormatting sqref="F16:F24">
    <cfRule type="expression" dxfId="511" priority="21" stopIfTrue="1">
      <formula>IF(OR(ACOMPANHAMENTO="BM",F$12&gt;CÁLCULO.NúmeroDeFrentes),TRUE,PLE.ValorDoEvento=0)</formula>
    </cfRule>
    <cfRule type="cellIs" dxfId="510" priority="22" stopIfTrue="1" operator="equal">
      <formula>$J$9</formula>
    </cfRule>
  </conditionalFormatting>
  <conditionalFormatting sqref="H16:AF24">
    <cfRule type="expression" dxfId="509" priority="23" stopIfTrue="1">
      <formula>IF(OR(ACOMPANHAMENTO="BM",TIPOORCAMENTO="Proposto",H$12&gt;CÁLCULO.NúmeroDeFrentes),TRUE,PLE.ValorDoEvento=0)</formula>
    </cfRule>
    <cfRule type="cellIs" dxfId="508" priority="24" stopIfTrue="1" operator="equal">
      <formula>$J$9</formula>
    </cfRule>
  </conditionalFormatting>
  <conditionalFormatting sqref="F25:F33">
    <cfRule type="expression" dxfId="507" priority="17" stopIfTrue="1">
      <formula>IF(OR(ACOMPANHAMENTO="BM",F$12&gt;CÁLCULO.NúmeroDeFrentes),TRUE,PLE.ValorDoEvento=0)</formula>
    </cfRule>
    <cfRule type="cellIs" dxfId="506" priority="18" stopIfTrue="1" operator="equal">
      <formula>$J$9</formula>
    </cfRule>
  </conditionalFormatting>
  <conditionalFormatting sqref="H25:AF33">
    <cfRule type="expression" dxfId="505" priority="19" stopIfTrue="1">
      <formula>IF(OR(ACOMPANHAMENTO="BM",TIPOORCAMENTO="Proposto",H$12&gt;CÁLCULO.NúmeroDeFrentes),TRUE,PLE.ValorDoEvento=0)</formula>
    </cfRule>
    <cfRule type="cellIs" dxfId="504" priority="20" stopIfTrue="1" operator="equal">
      <formula>$J$9</formula>
    </cfRule>
  </conditionalFormatting>
  <conditionalFormatting sqref="F34:F42">
    <cfRule type="expression" dxfId="503" priority="13" stopIfTrue="1">
      <formula>IF(OR(ACOMPANHAMENTO="BM",F$12&gt;CÁLCULO.NúmeroDeFrentes),TRUE,PLE.ValorDoEvento=0)</formula>
    </cfRule>
    <cfRule type="cellIs" dxfId="502" priority="14" stopIfTrue="1" operator="equal">
      <formula>$J$9</formula>
    </cfRule>
  </conditionalFormatting>
  <conditionalFormatting sqref="H34:AF42">
    <cfRule type="expression" dxfId="501" priority="15" stopIfTrue="1">
      <formula>IF(OR(ACOMPANHAMENTO="BM",TIPOORCAMENTO="Proposto",H$12&gt;CÁLCULO.NúmeroDeFrentes),TRUE,PLE.ValorDoEvento=0)</formula>
    </cfRule>
    <cfRule type="cellIs" dxfId="500" priority="16" stopIfTrue="1" operator="equal">
      <formula>$J$9</formula>
    </cfRule>
  </conditionalFormatting>
  <conditionalFormatting sqref="F43:F51">
    <cfRule type="expression" dxfId="499" priority="9" stopIfTrue="1">
      <formula>IF(OR(ACOMPANHAMENTO="BM",F$12&gt;CÁLCULO.NúmeroDeFrentes),TRUE,PLE.ValorDoEvento=0)</formula>
    </cfRule>
    <cfRule type="cellIs" dxfId="498" priority="10" stopIfTrue="1" operator="equal">
      <formula>$J$9</formula>
    </cfRule>
  </conditionalFormatting>
  <conditionalFormatting sqref="H43:AF51">
    <cfRule type="expression" dxfId="497" priority="11" stopIfTrue="1">
      <formula>IF(OR(ACOMPANHAMENTO="BM",TIPOORCAMENTO="Proposto",H$12&gt;CÁLCULO.NúmeroDeFrentes),TRUE,PLE.ValorDoEvento=0)</formula>
    </cfRule>
    <cfRule type="cellIs" dxfId="496" priority="12" stopIfTrue="1" operator="equal">
      <formula>$J$9</formula>
    </cfRule>
  </conditionalFormatting>
  <conditionalFormatting sqref="F52:F60">
    <cfRule type="expression" dxfId="495" priority="5" stopIfTrue="1">
      <formula>IF(OR(ACOMPANHAMENTO="BM",F$12&gt;CÁLCULO.NúmeroDeFrentes),TRUE,PLE.ValorDoEvento=0)</formula>
    </cfRule>
    <cfRule type="cellIs" dxfId="494" priority="6" stopIfTrue="1" operator="equal">
      <formula>$J$9</formula>
    </cfRule>
  </conditionalFormatting>
  <conditionalFormatting sqref="H52:AF60">
    <cfRule type="expression" dxfId="493" priority="7" stopIfTrue="1">
      <formula>IF(OR(ACOMPANHAMENTO="BM",TIPOORCAMENTO="Proposto",H$12&gt;CÁLCULO.NúmeroDeFrentes),TRUE,PLE.ValorDoEvento=0)</formula>
    </cfRule>
    <cfRule type="cellIs" dxfId="492" priority="8" stopIfTrue="1" operator="equal">
      <formula>$J$9</formula>
    </cfRule>
  </conditionalFormatting>
  <conditionalFormatting sqref="F61:F64">
    <cfRule type="expression" dxfId="491" priority="1" stopIfTrue="1">
      <formula>IF(OR(ACOMPANHAMENTO="BM",F$12&gt;CÁLCULO.NúmeroDeFrentes),TRUE,PLE.ValorDoEvento=0)</formula>
    </cfRule>
    <cfRule type="cellIs" dxfId="490" priority="2" stopIfTrue="1" operator="equal">
      <formula>$J$9</formula>
    </cfRule>
  </conditionalFormatting>
  <conditionalFormatting sqref="H61:AF64">
    <cfRule type="expression" dxfId="489" priority="3" stopIfTrue="1">
      <formula>IF(OR(ACOMPANHAMENTO="BM",TIPOORCAMENTO="Proposto",H$12&gt;CÁLCULO.NúmeroDeFrentes),TRUE,PLE.ValorDoEvento=0)</formula>
    </cfRule>
    <cfRule type="cellIs" dxfId="488" priority="4" stopIfTrue="1" operator="equal">
      <formula>$J$9</formula>
    </cfRule>
  </conditionalFormatting>
  <dataValidations count="3">
    <dataValidation type="whole" operator="greaterThan" allowBlank="1" showErrorMessage="1" sqref="F1:F4 I3:AC4 J9:K9 F16:F64">
      <formula1>0</formula1>
      <formula2>0</formula2>
    </dataValidation>
    <dataValidation allowBlank="1" showInputMessage="1" showErrorMessage="1" prompt="Digite a data de medição abaixo dos eventos." sqref="N9:T9">
      <formula1>0</formula1>
      <formula2>0</formula2>
    </dataValidation>
    <dataValidation type="whole" operator="equal" allowBlank="1" showErrorMessage="1" errorTitle="Errp de entrada" error="Preencha somente com o número da medição atual." sqref="H1:AF1 H16:AF64">
      <formula1>PLE.Medicao</formula1>
    </dataValidation>
  </dataValidations>
  <printOptions horizontalCentered="1"/>
  <pageMargins left="0.78740157480314998" right="0.78740157480314998" top="0.78740157480314998" bottom="0.78740157480314998" header="0.59055118110236204" footer="0.59055118110236204"/>
  <pageSetup paperSize="9" scale="69" firstPageNumber="0" orientation="landscape" r:id="rId1"/>
  <headerFooter alignWithMargins="0">
    <oddHeader>&amp;C&amp;14I</oddHeader>
    <oddFooter>&amp;LPMv3.0.6&amp;R&amp;P /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6" r:id="rId4" name="Botão de rotação 275">
              <controlPr defaultSize="0" print="0" autoFill="0" autoLine="0" autoPict="0">
                <anchor moveWithCells="1" sizeWithCells="1">
                  <from>
                    <xdr:col>11</xdr:col>
                    <xdr:colOff>0</xdr:colOff>
                    <xdr:row>8</xdr:row>
                    <xdr:rowOff>9525</xdr:rowOff>
                  </from>
                  <to>
                    <xdr:col>11</xdr:col>
                    <xdr:colOff>209550</xdr:colOff>
                    <xdr:row>9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7">
    <pageSetUpPr fitToPage="1"/>
  </sheetPr>
  <dimension ref="A1:AE37"/>
  <sheetViews>
    <sheetView showGridLines="0" topLeftCell="C1" zoomScale="90" zoomScaleNormal="90" zoomScaleSheetLayoutView="90" workbookViewId="0">
      <pane xSplit="5" ySplit="13" topLeftCell="H14" activePane="bottomRight" state="frozen"/>
      <selection activeCell="C1" sqref="C1"/>
      <selection pane="topRight" activeCell="H1" sqref="H1"/>
      <selection pane="bottomLeft" activeCell="C14" sqref="C14"/>
      <selection pane="bottomRight" activeCell="N35" sqref="N35"/>
    </sheetView>
  </sheetViews>
  <sheetFormatPr defaultRowHeight="12.75" x14ac:dyDescent="0.2"/>
  <cols>
    <col min="1" max="1" width="15.85546875" hidden="1" customWidth="1"/>
    <col min="2" max="2" width="10.42578125" hidden="1" customWidth="1"/>
    <col min="3" max="3" width="3.7109375" customWidth="1"/>
    <col min="4" max="4" width="6.7109375" customWidth="1"/>
    <col min="5" max="5" width="18.7109375" customWidth="1"/>
    <col min="6" max="6" width="28.7109375" customWidth="1"/>
    <col min="7" max="7" width="35.7109375" customWidth="1"/>
    <col min="8" max="8" width="15.7109375" customWidth="1"/>
    <col min="9" max="9" width="12.7109375" customWidth="1"/>
    <col min="10" max="10" width="7.7109375" customWidth="1"/>
    <col min="11" max="15" width="16.7109375" customWidth="1"/>
    <col min="16" max="17" width="5.7109375" customWidth="1"/>
    <col min="18" max="18" width="35.7109375" customWidth="1"/>
    <col min="19" max="19" width="1.7109375" customWidth="1"/>
    <col min="20" max="21" width="16.7109375" customWidth="1"/>
    <col min="22" max="22" width="13.7109375" customWidth="1"/>
    <col min="23" max="24" width="16.7109375" customWidth="1"/>
    <col min="25" max="25" width="1.7109375" customWidth="1"/>
    <col min="26" max="28" width="9.140625" hidden="1" customWidth="1"/>
    <col min="29" max="29" width="3.7109375" hidden="1" customWidth="1"/>
    <col min="30" max="30" width="13.42578125" hidden="1" customWidth="1"/>
    <col min="31" max="31" width="9.140625" hidden="1" customWidth="1"/>
  </cols>
  <sheetData>
    <row r="1" spans="1:31" ht="30" customHeight="1" x14ac:dyDescent="0.2">
      <c r="F1" s="313" t="s">
        <v>303</v>
      </c>
      <c r="I1" s="8"/>
      <c r="J1" s="8"/>
    </row>
    <row r="2" spans="1:31" x14ac:dyDescent="0.2">
      <c r="Z2" t="s">
        <v>304</v>
      </c>
      <c r="AA2" s="90" t="s">
        <v>305</v>
      </c>
      <c r="AB2" s="78"/>
    </row>
    <row r="3" spans="1:31" x14ac:dyDescent="0.2">
      <c r="D3" s="600" t="s">
        <v>146</v>
      </c>
      <c r="E3" s="600"/>
      <c r="F3" s="89" t="s">
        <v>443</v>
      </c>
      <c r="G3" s="600" t="s">
        <v>147</v>
      </c>
      <c r="H3" s="600"/>
      <c r="I3" s="600"/>
      <c r="J3" s="673" t="s">
        <v>306</v>
      </c>
      <c r="K3" s="673"/>
      <c r="L3" s="673"/>
      <c r="M3" s="674" t="s">
        <v>307</v>
      </c>
      <c r="N3" s="674"/>
      <c r="O3" s="674"/>
      <c r="Z3" s="104">
        <f ca="1">MAX(Z7:AB7)</f>
        <v>1E-3</v>
      </c>
      <c r="AA3" s="314">
        <f ca="1">IF(OR($O$24=ORÇAMENTO.SumINVMANUAL+QCI.SumINVMANUAL,$O$24=0),0,MIN(MAX(0,($Z$3*$O$24-ORÇAMENTO.SumCPMANUAL-QCI.SumCPMANUAL)/($O$24-ORÇAMENTO.SumINVMANUAL-QCI.SumINVMANUAL)),1))</f>
        <v>0</v>
      </c>
      <c r="AB3" s="94"/>
    </row>
    <row r="4" spans="1:31" x14ac:dyDescent="0.2">
      <c r="D4" s="603" t="str">
        <f>Import.CR</f>
        <v>1094391-68</v>
      </c>
      <c r="E4" s="603"/>
      <c r="F4" s="57" t="str">
        <f>Import.TransfereGOV</f>
        <v xml:space="preserve">960797/2024 </v>
      </c>
      <c r="G4" s="603" t="str">
        <f>Import.Proponente</f>
        <v>Prefeitura Municipal de Pirapora</v>
      </c>
      <c r="H4" s="603"/>
      <c r="I4" s="603"/>
      <c r="J4" s="675" t="str">
        <f>Import.Município</f>
        <v>Pirapora/MG</v>
      </c>
      <c r="K4" s="675"/>
      <c r="L4" s="675"/>
      <c r="M4" s="674"/>
      <c r="N4" s="674"/>
      <c r="O4" s="674"/>
      <c r="R4" s="131"/>
      <c r="Z4" s="94"/>
      <c r="AA4" s="94"/>
      <c r="AB4" s="94"/>
    </row>
    <row r="5" spans="1:31" ht="5.0999999999999996" customHeight="1" x14ac:dyDescent="0.2">
      <c r="M5" s="306"/>
      <c r="O5" s="4"/>
    </row>
    <row r="6" spans="1:31" x14ac:dyDescent="0.2">
      <c r="D6" s="600" t="s">
        <v>202</v>
      </c>
      <c r="E6" s="600"/>
      <c r="F6" s="600"/>
      <c r="G6" s="600"/>
      <c r="H6" s="600"/>
      <c r="I6" s="600"/>
      <c r="J6" s="600"/>
      <c r="K6" s="600"/>
      <c r="L6" s="315" t="s">
        <v>210</v>
      </c>
      <c r="M6" s="89" t="str">
        <f>IF(import.recurso="FGTS","FINANCIAMENTO","REPASSE")</f>
        <v>REPASSE</v>
      </c>
      <c r="N6" s="89" t="s">
        <v>308</v>
      </c>
      <c r="O6" s="89" t="s">
        <v>309</v>
      </c>
      <c r="Z6" t="s">
        <v>310</v>
      </c>
      <c r="AA6" t="s">
        <v>311</v>
      </c>
      <c r="AB6" t="s">
        <v>312</v>
      </c>
    </row>
    <row r="7" spans="1:31" ht="12.75" customHeight="1" x14ac:dyDescent="0.2">
      <c r="C7" s="593" t="s">
        <v>209</v>
      </c>
      <c r="D7" s="603" t="str">
        <f>Import.Apelido</f>
        <v>CEMEI Santa Mariana Pirapora/MG. Projeto Padrão FNDE- Creche e Pré Escola Tipo I.</v>
      </c>
      <c r="E7" s="603"/>
      <c r="F7" s="603"/>
      <c r="G7" s="603"/>
      <c r="H7" s="603"/>
      <c r="I7" s="603"/>
      <c r="J7" s="603"/>
      <c r="K7" s="603"/>
      <c r="L7" s="316" t="str">
        <f>import.recurso</f>
        <v>(SELECIONAR)</v>
      </c>
      <c r="M7" s="317">
        <f>Import.Repasse</f>
        <v>5370972.0300000003</v>
      </c>
      <c r="N7" s="317">
        <f>Import.Contrapartida</f>
        <v>112471.6</v>
      </c>
      <c r="O7" s="317">
        <f>M7+N7</f>
        <v>5483443.6299999999</v>
      </c>
      <c r="Z7" s="104">
        <f>ROUND(Import.CPMinPerc,4)</f>
        <v>1E-3</v>
      </c>
      <c r="AA7" s="104">
        <f ca="1">IF($O$24=0,0,Import.CPMinAbsoluta/$O$24)</f>
        <v>0</v>
      </c>
      <c r="AB7" s="104">
        <f ca="1">IF($O$24=0,0,($O$24-$AB$24-Import.Repasse)/($O$24))</f>
        <v>0</v>
      </c>
    </row>
    <row r="8" spans="1:31" x14ac:dyDescent="0.2">
      <c r="C8" s="593"/>
      <c r="D8" s="94"/>
      <c r="E8" s="94"/>
      <c r="F8" s="318"/>
      <c r="G8" s="94"/>
      <c r="H8" s="94"/>
      <c r="I8" s="94"/>
      <c r="J8" s="94"/>
      <c r="K8" s="94"/>
      <c r="L8" s="94"/>
      <c r="M8" s="94"/>
      <c r="N8" s="94"/>
      <c r="O8" s="94"/>
    </row>
    <row r="9" spans="1:31" ht="12.75" customHeight="1" x14ac:dyDescent="0.2">
      <c r="C9" s="593"/>
      <c r="G9" s="671" t="str">
        <f ca="1">CHOOSE(1+LOG(1+2*(AND($O$24&gt;0,$M$25&gt;Import.CPMaxPerc,Import.CPMaxPerc&gt;0))+4*(OR(AND($O$24&gt;0,$M$25&lt;QCI!$Z$7),$M$24&lt;ROUND(Import.CPMinAbsoluta,2)))+8*(OR($L$10&lt;0,$M$10&lt;0))+16*(COUNTIF($L$13:$L$24,"&lt;0")&gt;0)+32*(OFFSET($A$24,-1,0)&lt;OFFSET(ORÇAMENTO!$E$747,-1,0)),2),"","ERRO: CONTRAPARTIDA MAIOR QUE A MÁXIMA","ERRO: CONTRAPARTIDA MENOR QUE A MÍNIMA","ERRO: SALDO NEGATIVO","ERRO: VALORES DE REPASSE NEGATIVOS","ERRO: NÚMERO DE LINHAS DO QCI INSUFICIENTE. CLIQUE NO BOTÃO ADICIONAR LINHAS")</f>
        <v/>
      </c>
      <c r="H9" s="671"/>
      <c r="I9" s="671"/>
      <c r="J9" s="671"/>
      <c r="K9" s="672" t="s">
        <v>313</v>
      </c>
      <c r="L9" s="319" t="str">
        <f>$L$13</f>
        <v>Repasse (R$)</v>
      </c>
      <c r="M9" s="319" t="s">
        <v>238</v>
      </c>
      <c r="AD9" s="669"/>
      <c r="AE9" s="669"/>
    </row>
    <row r="10" spans="1:31" ht="12.75" customHeight="1" x14ac:dyDescent="0.2">
      <c r="A10" s="668" t="s">
        <v>314</v>
      </c>
      <c r="C10" s="593"/>
      <c r="G10" s="671"/>
      <c r="H10" s="671"/>
      <c r="I10" s="671"/>
      <c r="J10" s="671"/>
      <c r="K10" s="672"/>
      <c r="L10" s="320">
        <f ca="1">Import.Repasse-L24</f>
        <v>5370972.0300000003</v>
      </c>
      <c r="M10" s="321">
        <f ca="1">Import.Contrapartida-M24</f>
        <v>112471.6</v>
      </c>
      <c r="Z10" s="613" t="s">
        <v>216</v>
      </c>
      <c r="AA10" s="613"/>
      <c r="AB10" s="613"/>
      <c r="AD10" s="669" t="s">
        <v>315</v>
      </c>
      <c r="AE10" s="669"/>
    </row>
    <row r="11" spans="1:31" ht="20.100000000000001" customHeight="1" x14ac:dyDescent="0.2">
      <c r="A11" s="668"/>
      <c r="C11" s="593"/>
      <c r="Z11" s="112" t="s">
        <v>316</v>
      </c>
      <c r="AA11" s="112" t="s">
        <v>238</v>
      </c>
      <c r="AB11" s="113" t="s">
        <v>239</v>
      </c>
    </row>
    <row r="12" spans="1:31" hidden="1" x14ac:dyDescent="0.2">
      <c r="A12">
        <f ca="1">IF(NOT(ISBLANK(QCI.DescManual)),OFFSET(A12,-1,0),D12)</f>
        <v>-1</v>
      </c>
      <c r="B12" t="str">
        <f ca="1">IF(NOT(ISBLANK(QCI.DescManual)),IF(QCI.Divisao="Calculado","Manual","SemiAuto"),IF(ISERROR(MATCH($A12,ORÇAMENTO!$E$15:$E$747,0)),"Branco","Automático"))</f>
        <v>Branco</v>
      </c>
      <c r="C12" t="str">
        <f ca="1">IF(O12&gt;0,"F","")</f>
        <v/>
      </c>
      <c r="D12" s="322">
        <f>ROW()-ROW($D$13)</f>
        <v>-1</v>
      </c>
      <c r="E12" s="120"/>
      <c r="F12" s="120"/>
      <c r="G12" s="172" t="str">
        <f ca="1">IF(OR($B12="Manual",$B12="SemiAuto"),QCI.DescManual,IF($B12="Automático",INDEX(ORÇAMENTO!$R$15:$R$747,MATCH($A12,ORÇAMENTO!$E$15:$E$747,0)),""))</f>
        <v/>
      </c>
      <c r="H12" s="120"/>
      <c r="I12" s="557"/>
      <c r="J12" s="323" t="str">
        <f ca="1">IF(AND(ISBLANK(E12),ISBLANK(F12)),"",VLOOKUP($F12,OFFSET(DADOS!$A$2,1,MATCH(QCI!$E12,DADOS!$2:$2,0)-1,100,50),2,FALSE))</f>
        <v/>
      </c>
      <c r="K12" s="556" t="str">
        <f ca="1">IF(OR($B12="Manual",$B12="SemiAuto"),QCI.LoteManual,IF($B12="Automático",IF(TIPOORCAMENTO="Licitado",Import.CTEF,"LOTE 1"),""))</f>
        <v/>
      </c>
      <c r="L12" s="324">
        <f ca="1">ROUND($O12,2)-ROUND($M12,2)-ROUND($N12,2)</f>
        <v>0</v>
      </c>
      <c r="M12" s="325">
        <f ca="1">ROUND($AA12,2)-ROUND($AE12,2)</f>
        <v>0</v>
      </c>
      <c r="N12" s="326">
        <f ca="1">ROUND($AB12,2)</f>
        <v>0</v>
      </c>
      <c r="O12" s="327">
        <f ca="1">IF($B12="Branco",0,IF(OR($B12="Manual",$B12="SemiAuto"),QCI.InvManual,INDEX(ORÇAMENTO!X$15:X$747,MATCH($A12,ORÇAMENTO!$E$15:$E$747,0))))</f>
        <v>0</v>
      </c>
      <c r="P12" s="532"/>
      <c r="R12" s="558"/>
      <c r="T12" s="559"/>
      <c r="U12" s="329"/>
      <c r="V12" s="560" t="s">
        <v>317</v>
      </c>
      <c r="W12" s="330">
        <f ca="1">$O12</f>
        <v>0</v>
      </c>
      <c r="X12" s="331">
        <v>0</v>
      </c>
      <c r="Z12">
        <f ca="1">$O12-$AA12-$AB12</f>
        <v>0</v>
      </c>
      <c r="AA12">
        <f ca="1">IF($B12="Branco",0,IF($B12="Manual",QCI.CPManual,IF($B12="SemiAuto",ROUND(QCI!$AA$3*QCI.InvManual,2),INDEX(ORÇAMENTO!$AA$15:$AA$747,MATCH($A12,ORÇAMENTO!$E$15:$E$747,0)))))</f>
        <v>0</v>
      </c>
      <c r="AB12">
        <f ca="1">IF($B12="Branco",0,IF($B12="Manual",QCI.OutrosManual,IF($B12="SemiAuto",0,INDEX(ORÇAMENTO!$AB$15:$AB$747,MATCH($A12,ORÇAMENTO!$E$15:$E$747,0)))))</f>
        <v>0</v>
      </c>
      <c r="AD12" s="332" t="b">
        <f ca="1">AND($AA$3&gt;0,$AA$3&lt;1,$O12&gt;0,OR($B12="Automático",$B12="SemiAuto"),OR(QCI!$Z$3=QCI!$Z$7,QCI!$Z$3=QCI!$AA$7,QCI!$Z$3=QCI!$AB$7))</f>
        <v>0</v>
      </c>
      <c r="AE12" s="332">
        <f ca="1">IF(AND($AD12,$O12&gt;0,COUNTIF(OFFSET($AD12,1,0):$AD$24,TRUE)=0),CHOOSE(1+LOG(1+2*(QCI!$Z$3=QCI!$Z$7)+4*(QCI!$Z$3=QCI!$AA$7)+8*(QCI!$Z$3=QCI!$AB$7),2),0,$AA$24-ROUND(Import.CPMinPerc*$O$24,2),$AA$24-Import.CPMinAbsoluta,Import.Repasse-$Z$24),0)</f>
        <v>0</v>
      </c>
    </row>
    <row r="13" spans="1:31" ht="25.5" customHeight="1" x14ac:dyDescent="0.2">
      <c r="A13" s="87">
        <v>0</v>
      </c>
      <c r="B13" s="333" t="s">
        <v>318</v>
      </c>
      <c r="C13" s="108" t="s">
        <v>217</v>
      </c>
      <c r="D13" s="109" t="s">
        <v>195</v>
      </c>
      <c r="E13" s="109" t="s">
        <v>319</v>
      </c>
      <c r="F13" s="109" t="s">
        <v>320</v>
      </c>
      <c r="G13" s="109" t="s">
        <v>321</v>
      </c>
      <c r="H13" s="109" t="s">
        <v>161</v>
      </c>
      <c r="I13" s="109" t="s">
        <v>203</v>
      </c>
      <c r="J13" s="109" t="s">
        <v>322</v>
      </c>
      <c r="K13" s="109" t="s">
        <v>323</v>
      </c>
      <c r="L13" s="334" t="str">
        <f>IF(import.recurso="FGTS","Financiamento (R$)","Repasse (R$)")</f>
        <v>Repasse (R$)</v>
      </c>
      <c r="M13" s="335" t="s">
        <v>324</v>
      </c>
      <c r="N13" s="336" t="s">
        <v>239</v>
      </c>
      <c r="O13" s="109" t="s">
        <v>325</v>
      </c>
      <c r="R13" s="337" t="s">
        <v>321</v>
      </c>
      <c r="T13" s="337" t="s">
        <v>323</v>
      </c>
      <c r="U13" s="168" t="s">
        <v>325</v>
      </c>
      <c r="V13" s="338" t="s">
        <v>326</v>
      </c>
      <c r="W13" s="167" t="s">
        <v>324</v>
      </c>
      <c r="X13" s="169" t="s">
        <v>239</v>
      </c>
    </row>
    <row r="14" spans="1:31" ht="38.25" x14ac:dyDescent="0.2">
      <c r="A14">
        <f t="shared" ref="A14:A23" ca="1" si="0">IF(NOT(ISBLANK(QCI.DescManual)),OFFSET(A14,-1,0),D14)</f>
        <v>1</v>
      </c>
      <c r="B14" t="str">
        <f ca="1">IF(NOT(ISBLANK(QCI.DescManual)),IF(QCI.Divisao="Calculado","Manual","SemiAuto"),IF(ISERROR(MATCH($A14,ORÇAMENTO!$E$15:$E$747,0)),"Branco","Automático"))</f>
        <v>Automático</v>
      </c>
      <c r="C14" t="str">
        <f t="shared" ref="C14:C22" ca="1" si="1">IF(O14&gt;0,"F","")</f>
        <v/>
      </c>
      <c r="D14" s="322">
        <f t="shared" ref="D14:D22" si="2">ROW()-ROW($D$13)</f>
        <v>1</v>
      </c>
      <c r="E14" s="120" t="s">
        <v>9</v>
      </c>
      <c r="F14" s="120" t="s">
        <v>46</v>
      </c>
      <c r="G14" s="172" t="str">
        <f ca="1">IF(OR($B14="Manual",$B14="SemiAuto"),QCI.DescManual,IF($B14="Automático",INDEX(ORÇAMENTO!$R$15:$R$747,MATCH($A14,ORÇAMENTO!$E$15:$E$747,0)),""))</f>
        <v>CEMEI Santa Mariana Pirapora/MG. Projeto Padrão FNDE- Creche e Pré Escola Tipo I.</v>
      </c>
      <c r="H14" s="120" t="s">
        <v>891</v>
      </c>
      <c r="I14" s="557">
        <v>1324.27</v>
      </c>
      <c r="J14" s="323" t="str">
        <f ca="1">IF(AND(ISBLANK(E14),ISBLANK(F14)),"",VLOOKUP($F14,OFFSET(DADOS!$A$2,1,MATCH(QCI!$E14,DADOS!$2:$2,0)-1,100,50),2,FALSE))</f>
        <v>m²</v>
      </c>
      <c r="K14" s="556" t="str">
        <f ca="1">IF(OR($B14="Manual",$B14="SemiAuto"),QCI.LoteManual,IF($B14="Automático",IF(TIPOORCAMENTO="Licitado",Import.CTEF,"LOTE 1"),""))</f>
        <v>LOTE 1</v>
      </c>
      <c r="L14" s="324">
        <f t="shared" ref="L14:L22" ca="1" si="3">ROUND($O14,2)-ROUND($M14,2)-ROUND($N14,2)</f>
        <v>0</v>
      </c>
      <c r="M14" s="325">
        <f t="shared" ref="M14:M22" ca="1" si="4">ROUND($AA14,2)-ROUND($AE14,2)</f>
        <v>0</v>
      </c>
      <c r="N14" s="326">
        <f t="shared" ref="N14:N22" ca="1" si="5">ROUND($AB14,2)</f>
        <v>0</v>
      </c>
      <c r="O14" s="327">
        <f ca="1">IF($B14="Branco",0,IF(OR($B14="Manual",$B14="SemiAuto"),QCI.InvManual,INDEX(ORÇAMENTO!X$15:X$747,MATCH($A14,ORÇAMENTO!$E$15:$E$747,0))))</f>
        <v>0</v>
      </c>
      <c r="P14" s="532"/>
      <c r="R14" s="558"/>
      <c r="T14" s="559"/>
      <c r="U14" s="329"/>
      <c r="V14" s="560" t="s">
        <v>317</v>
      </c>
      <c r="W14" s="330">
        <f t="shared" ref="W14:W22" ca="1" si="6">$O14</f>
        <v>0</v>
      </c>
      <c r="X14" s="331">
        <v>0</v>
      </c>
      <c r="Z14">
        <f t="shared" ref="Z14:Z22" ca="1" si="7">$O14-$AA14-$AB14</f>
        <v>0</v>
      </c>
      <c r="AA14">
        <f ca="1">IF($B14="Branco",0,IF($B14="Manual",QCI.CPManual,IF($B14="SemiAuto",ROUND(QCI!$AA$3*QCI.InvManual,2),INDEX(ORÇAMENTO!$AA$15:$AA$747,MATCH($A14,ORÇAMENTO!$E$15:$E$747,0)))))</f>
        <v>0</v>
      </c>
      <c r="AB14">
        <f ca="1">IF($B14="Branco",0,IF($B14="Manual",QCI.OutrosManual,IF($B14="SemiAuto",0,INDEX(ORÇAMENTO!$AB$15:$AB$747,MATCH($A14,ORÇAMENTO!$E$15:$E$747,0)))))</f>
        <v>0</v>
      </c>
      <c r="AD14" s="332" t="b">
        <f ca="1">AND($AA$3&gt;0,$AA$3&lt;1,$O14&gt;0,OR($B14="Automático",$B14="SemiAuto"),OR(QCI!$Z$3=QCI!$Z$7,QCI!$Z$3=QCI!$AA$7,QCI!$Z$3=QCI!$AB$7))</f>
        <v>0</v>
      </c>
      <c r="AE14" s="332">
        <f ca="1">IF(AND($AD14,$O14&gt;0,COUNTIF(OFFSET($AD14,1,0):$AD$24,TRUE)=0),CHOOSE(1+LOG(1+2*(QCI!$Z$3=QCI!$Z$7)+4*(QCI!$Z$3=QCI!$AA$7)+8*(QCI!$Z$3=QCI!$AB$7),2),0,$AA$24-ROUND(Import.CPMinPerc*$O$24,2),$AA$24-Import.CPMinAbsoluta,Import.Repasse-$Z$24),0)</f>
        <v>0</v>
      </c>
    </row>
    <row r="15" spans="1:31" x14ac:dyDescent="0.2">
      <c r="A15">
        <f t="shared" ca="1" si="0"/>
        <v>2</v>
      </c>
      <c r="B15" t="str">
        <f ca="1">IF(NOT(ISBLANK(QCI.DescManual)),IF(QCI.Divisao="Calculado","Manual","SemiAuto"),IF(ISERROR(MATCH($A15,ORÇAMENTO!$E$15:$E$747,0)),"Branco","Automático"))</f>
        <v>Branco</v>
      </c>
      <c r="C15" t="str">
        <f t="shared" ca="1" si="1"/>
        <v/>
      </c>
      <c r="D15" s="322">
        <f t="shared" si="2"/>
        <v>2</v>
      </c>
      <c r="E15" s="120"/>
      <c r="F15" s="120"/>
      <c r="G15" s="172" t="str">
        <f ca="1">IF(OR($B15="Manual",$B15="SemiAuto"),QCI.DescManual,IF($B15="Automático",INDEX(ORÇAMENTO!$R$15:$R$747,MATCH($A15,ORÇAMENTO!$E$15:$E$747,0)),""))</f>
        <v/>
      </c>
      <c r="H15" s="120"/>
      <c r="I15" s="557"/>
      <c r="J15" s="323" t="str">
        <f ca="1">IF(AND(ISBLANK(E15),ISBLANK(F15)),"",VLOOKUP($F15,OFFSET(DADOS!$A$2,1,MATCH(QCI!$E15,DADOS!$2:$2,0)-1,100,50),2,FALSE))</f>
        <v/>
      </c>
      <c r="K15" s="556" t="str">
        <f ca="1">IF(OR($B15="Manual",$B15="SemiAuto"),QCI.LoteManual,IF($B15="Automático",IF(TIPOORCAMENTO="Licitado",Import.CTEF,"LOTE 1"),""))</f>
        <v/>
      </c>
      <c r="L15" s="324">
        <f t="shared" ca="1" si="3"/>
        <v>0</v>
      </c>
      <c r="M15" s="325">
        <f t="shared" ca="1" si="4"/>
        <v>0</v>
      </c>
      <c r="N15" s="326">
        <f t="shared" ca="1" si="5"/>
        <v>0</v>
      </c>
      <c r="O15" s="327">
        <f ca="1">IF($B15="Branco",0,IF(OR($B15="Manual",$B15="SemiAuto"),QCI.InvManual,INDEX(ORÇAMENTO!X$15:X$747,MATCH($A15,ORÇAMENTO!$E$15:$E$747,0))))</f>
        <v>0</v>
      </c>
      <c r="P15" s="532"/>
      <c r="R15" s="558"/>
      <c r="T15" s="559"/>
      <c r="U15" s="329"/>
      <c r="V15" s="560" t="s">
        <v>317</v>
      </c>
      <c r="W15" s="330">
        <f t="shared" ca="1" si="6"/>
        <v>0</v>
      </c>
      <c r="X15" s="331">
        <v>0</v>
      </c>
      <c r="Z15">
        <f t="shared" ca="1" si="7"/>
        <v>0</v>
      </c>
      <c r="AA15">
        <f ca="1">IF($B15="Branco",0,IF($B15="Manual",QCI.CPManual,IF($B15="SemiAuto",ROUND(QCI!$AA$3*QCI.InvManual,2),INDEX(ORÇAMENTO!$AA$15:$AA$747,MATCH($A15,ORÇAMENTO!$E$15:$E$747,0)))))</f>
        <v>0</v>
      </c>
      <c r="AB15">
        <f ca="1">IF($B15="Branco",0,IF($B15="Manual",QCI.OutrosManual,IF($B15="SemiAuto",0,INDEX(ORÇAMENTO!$AB$15:$AB$747,MATCH($A15,ORÇAMENTO!$E$15:$E$747,0)))))</f>
        <v>0</v>
      </c>
      <c r="AD15" s="332" t="b">
        <f ca="1">AND($AA$3&gt;0,$AA$3&lt;1,$O15&gt;0,OR($B15="Automático",$B15="SemiAuto"),OR(QCI!$Z$3=QCI!$Z$7,QCI!$Z$3=QCI!$AA$7,QCI!$Z$3=QCI!$AB$7))</f>
        <v>0</v>
      </c>
      <c r="AE15" s="332">
        <f ca="1">IF(AND($AD15,$O15&gt;0,COUNTIF(OFFSET($AD15,1,0):$AD$24,TRUE)=0),CHOOSE(1+LOG(1+2*(QCI!$Z$3=QCI!$Z$7)+4*(QCI!$Z$3=QCI!$AA$7)+8*(QCI!$Z$3=QCI!$AB$7),2),0,$AA$24-ROUND(Import.CPMinPerc*$O$24,2),$AA$24-Import.CPMinAbsoluta,Import.Repasse-$Z$24),0)</f>
        <v>0</v>
      </c>
    </row>
    <row r="16" spans="1:31" x14ac:dyDescent="0.2">
      <c r="A16">
        <f t="shared" ca="1" si="0"/>
        <v>3</v>
      </c>
      <c r="B16" t="str">
        <f ca="1">IF(NOT(ISBLANK(QCI.DescManual)),IF(QCI.Divisao="Calculado","Manual","SemiAuto"),IF(ISERROR(MATCH($A16,ORÇAMENTO!$E$15:$E$747,0)),"Branco","Automático"))</f>
        <v>Branco</v>
      </c>
      <c r="C16" t="str">
        <f t="shared" ca="1" si="1"/>
        <v/>
      </c>
      <c r="D16" s="322">
        <f t="shared" si="2"/>
        <v>3</v>
      </c>
      <c r="E16" s="120"/>
      <c r="F16" s="120"/>
      <c r="G16" s="172" t="str">
        <f ca="1">IF(OR($B16="Manual",$B16="SemiAuto"),QCI.DescManual,IF($B16="Automático",INDEX(ORÇAMENTO!$R$15:$R$747,MATCH($A16,ORÇAMENTO!$E$15:$E$747,0)),""))</f>
        <v/>
      </c>
      <c r="H16" s="120"/>
      <c r="I16" s="557"/>
      <c r="J16" s="323" t="str">
        <f ca="1">IF(AND(ISBLANK(E16),ISBLANK(F16)),"",VLOOKUP($F16,OFFSET(DADOS!$A$2,1,MATCH(QCI!$E16,DADOS!$2:$2,0)-1,100,50),2,FALSE))</f>
        <v/>
      </c>
      <c r="K16" s="556" t="str">
        <f ca="1">IF(OR($B16="Manual",$B16="SemiAuto"),QCI.LoteManual,IF($B16="Automático",IF(TIPOORCAMENTO="Licitado",Import.CTEF,"LOTE 1"),""))</f>
        <v/>
      </c>
      <c r="L16" s="324">
        <f t="shared" ca="1" si="3"/>
        <v>0</v>
      </c>
      <c r="M16" s="325">
        <f t="shared" ca="1" si="4"/>
        <v>0</v>
      </c>
      <c r="N16" s="326">
        <f t="shared" ca="1" si="5"/>
        <v>0</v>
      </c>
      <c r="O16" s="327">
        <f ca="1">IF($B16="Branco",0,IF(OR($B16="Manual",$B16="SemiAuto"),QCI.InvManual,INDEX(ORÇAMENTO!X$15:X$747,MATCH($A16,ORÇAMENTO!$E$15:$E$747,0))))</f>
        <v>0</v>
      </c>
      <c r="P16" s="532"/>
      <c r="R16" s="558"/>
      <c r="T16" s="559"/>
      <c r="U16" s="329"/>
      <c r="V16" s="560" t="s">
        <v>317</v>
      </c>
      <c r="W16" s="330">
        <f t="shared" ca="1" si="6"/>
        <v>0</v>
      </c>
      <c r="X16" s="331">
        <v>0</v>
      </c>
      <c r="Z16">
        <f t="shared" ca="1" si="7"/>
        <v>0</v>
      </c>
      <c r="AA16">
        <f ca="1">IF($B16="Branco",0,IF($B16="Manual",QCI.CPManual,IF($B16="SemiAuto",ROUND(QCI!$AA$3*QCI.InvManual,2),INDEX(ORÇAMENTO!$AA$15:$AA$747,MATCH($A16,ORÇAMENTO!$E$15:$E$747,0)))))</f>
        <v>0</v>
      </c>
      <c r="AB16">
        <f ca="1">IF($B16="Branco",0,IF($B16="Manual",QCI.OutrosManual,IF($B16="SemiAuto",0,INDEX(ORÇAMENTO!$AB$15:$AB$747,MATCH($A16,ORÇAMENTO!$E$15:$E$747,0)))))</f>
        <v>0</v>
      </c>
      <c r="AD16" s="332" t="b">
        <f ca="1">AND($AA$3&gt;0,$AA$3&lt;1,$O16&gt;0,OR($B16="Automático",$B16="SemiAuto"),OR(QCI!$Z$3=QCI!$Z$7,QCI!$Z$3=QCI!$AA$7,QCI!$Z$3=QCI!$AB$7))</f>
        <v>0</v>
      </c>
      <c r="AE16" s="332">
        <f ca="1">IF(AND($AD16,$O16&gt;0,COUNTIF(OFFSET($AD16,1,0):$AD$24,TRUE)=0),CHOOSE(1+LOG(1+2*(QCI!$Z$3=QCI!$Z$7)+4*(QCI!$Z$3=QCI!$AA$7)+8*(QCI!$Z$3=QCI!$AB$7),2),0,$AA$24-ROUND(Import.CPMinPerc*$O$24,2),$AA$24-Import.CPMinAbsoluta,Import.Repasse-$Z$24),0)</f>
        <v>0</v>
      </c>
    </row>
    <row r="17" spans="1:31" x14ac:dyDescent="0.2">
      <c r="A17">
        <f t="shared" ca="1" si="0"/>
        <v>4</v>
      </c>
      <c r="B17" t="str">
        <f ca="1">IF(NOT(ISBLANK(QCI.DescManual)),IF(QCI.Divisao="Calculado","Manual","SemiAuto"),IF(ISERROR(MATCH($A17,ORÇAMENTO!$E$15:$E$747,0)),"Branco","Automático"))</f>
        <v>Branco</v>
      </c>
      <c r="C17" t="str">
        <f t="shared" ca="1" si="1"/>
        <v/>
      </c>
      <c r="D17" s="322">
        <f t="shared" si="2"/>
        <v>4</v>
      </c>
      <c r="E17" s="120"/>
      <c r="F17" s="120"/>
      <c r="G17" s="172" t="str">
        <f ca="1">IF(OR($B17="Manual",$B17="SemiAuto"),QCI.DescManual,IF($B17="Automático",INDEX(ORÇAMENTO!$R$15:$R$747,MATCH($A17,ORÇAMENTO!$E$15:$E$747,0)),""))</f>
        <v/>
      </c>
      <c r="H17" s="120"/>
      <c r="I17" s="557"/>
      <c r="J17" s="323" t="str">
        <f ca="1">IF(AND(ISBLANK(E17),ISBLANK(F17)),"",VLOOKUP($F17,OFFSET(DADOS!$A$2,1,MATCH(QCI!$E17,DADOS!$2:$2,0)-1,100,50),2,FALSE))</f>
        <v/>
      </c>
      <c r="K17" s="556" t="str">
        <f ca="1">IF(OR($B17="Manual",$B17="SemiAuto"),QCI.LoteManual,IF($B17="Automático",IF(TIPOORCAMENTO="Licitado",Import.CTEF,"LOTE 1"),""))</f>
        <v/>
      </c>
      <c r="L17" s="324">
        <f t="shared" ca="1" si="3"/>
        <v>0</v>
      </c>
      <c r="M17" s="325">
        <f t="shared" ca="1" si="4"/>
        <v>0</v>
      </c>
      <c r="N17" s="326">
        <f t="shared" ca="1" si="5"/>
        <v>0</v>
      </c>
      <c r="O17" s="327">
        <f ca="1">IF($B17="Branco",0,IF(OR($B17="Manual",$B17="SemiAuto"),QCI.InvManual,INDEX(ORÇAMENTO!X$15:X$747,MATCH($A17,ORÇAMENTO!$E$15:$E$747,0))))</f>
        <v>0</v>
      </c>
      <c r="P17" s="532"/>
      <c r="R17" s="558"/>
      <c r="T17" s="559"/>
      <c r="U17" s="329"/>
      <c r="V17" s="560" t="s">
        <v>317</v>
      </c>
      <c r="W17" s="330">
        <f t="shared" ca="1" si="6"/>
        <v>0</v>
      </c>
      <c r="X17" s="331">
        <v>0</v>
      </c>
      <c r="Z17">
        <f t="shared" ca="1" si="7"/>
        <v>0</v>
      </c>
      <c r="AA17">
        <f ca="1">IF($B17="Branco",0,IF($B17="Manual",QCI.CPManual,IF($B17="SemiAuto",ROUND(QCI!$AA$3*QCI.InvManual,2),INDEX(ORÇAMENTO!$AA$15:$AA$747,MATCH($A17,ORÇAMENTO!$E$15:$E$747,0)))))</f>
        <v>0</v>
      </c>
      <c r="AB17">
        <f ca="1">IF($B17="Branco",0,IF($B17="Manual",QCI.OutrosManual,IF($B17="SemiAuto",0,INDEX(ORÇAMENTO!$AB$15:$AB$747,MATCH($A17,ORÇAMENTO!$E$15:$E$747,0)))))</f>
        <v>0</v>
      </c>
      <c r="AD17" s="332" t="b">
        <f ca="1">AND($AA$3&gt;0,$AA$3&lt;1,$O17&gt;0,OR($B17="Automático",$B17="SemiAuto"),OR(QCI!$Z$3=QCI!$Z$7,QCI!$Z$3=QCI!$AA$7,QCI!$Z$3=QCI!$AB$7))</f>
        <v>0</v>
      </c>
      <c r="AE17" s="332">
        <f ca="1">IF(AND($AD17,$O17&gt;0,COUNTIF(OFFSET($AD17,1,0):$AD$24,TRUE)=0),CHOOSE(1+LOG(1+2*(QCI!$Z$3=QCI!$Z$7)+4*(QCI!$Z$3=QCI!$AA$7)+8*(QCI!$Z$3=QCI!$AB$7),2),0,$AA$24-ROUND(Import.CPMinPerc*$O$24,2),$AA$24-Import.CPMinAbsoluta,Import.Repasse-$Z$24),0)</f>
        <v>0</v>
      </c>
    </row>
    <row r="18" spans="1:31" x14ac:dyDescent="0.2">
      <c r="A18">
        <f t="shared" ca="1" si="0"/>
        <v>5</v>
      </c>
      <c r="B18" t="str">
        <f ca="1">IF(NOT(ISBLANK(QCI.DescManual)),IF(QCI.Divisao="Calculado","Manual","SemiAuto"),IF(ISERROR(MATCH($A18,ORÇAMENTO!$E$15:$E$747,0)),"Branco","Automático"))</f>
        <v>Branco</v>
      </c>
      <c r="C18" t="str">
        <f t="shared" ca="1" si="1"/>
        <v/>
      </c>
      <c r="D18" s="322">
        <f t="shared" si="2"/>
        <v>5</v>
      </c>
      <c r="E18" s="120"/>
      <c r="F18" s="120"/>
      <c r="G18" s="172" t="str">
        <f ca="1">IF(OR($B18="Manual",$B18="SemiAuto"),QCI.DescManual,IF($B18="Automático",INDEX(ORÇAMENTO!$R$15:$R$747,MATCH($A18,ORÇAMENTO!$E$15:$E$747,0)),""))</f>
        <v/>
      </c>
      <c r="H18" s="120"/>
      <c r="I18" s="557"/>
      <c r="J18" s="323" t="str">
        <f ca="1">IF(AND(ISBLANK(E18),ISBLANK(F18)),"",VLOOKUP($F18,OFFSET(DADOS!$A$2,1,MATCH(QCI!$E18,DADOS!$2:$2,0)-1,100,50),2,FALSE))</f>
        <v/>
      </c>
      <c r="K18" s="556" t="str">
        <f ca="1">IF(OR($B18="Manual",$B18="SemiAuto"),QCI.LoteManual,IF($B18="Automático",IF(TIPOORCAMENTO="Licitado",Import.CTEF,"LOTE 1"),""))</f>
        <v/>
      </c>
      <c r="L18" s="324">
        <f t="shared" ca="1" si="3"/>
        <v>0</v>
      </c>
      <c r="M18" s="325">
        <f t="shared" ca="1" si="4"/>
        <v>0</v>
      </c>
      <c r="N18" s="326">
        <f t="shared" ca="1" si="5"/>
        <v>0</v>
      </c>
      <c r="O18" s="327">
        <f ca="1">IF($B18="Branco",0,IF(OR($B18="Manual",$B18="SemiAuto"),QCI.InvManual,INDEX(ORÇAMENTO!X$15:X$747,MATCH($A18,ORÇAMENTO!$E$15:$E$747,0))))</f>
        <v>0</v>
      </c>
      <c r="P18" s="532"/>
      <c r="R18" s="558"/>
      <c r="T18" s="559"/>
      <c r="U18" s="329"/>
      <c r="V18" s="560" t="s">
        <v>317</v>
      </c>
      <c r="W18" s="330">
        <f t="shared" ca="1" si="6"/>
        <v>0</v>
      </c>
      <c r="X18" s="331">
        <v>0</v>
      </c>
      <c r="Z18">
        <f t="shared" ca="1" si="7"/>
        <v>0</v>
      </c>
      <c r="AA18">
        <f ca="1">IF($B18="Branco",0,IF($B18="Manual",QCI.CPManual,IF($B18="SemiAuto",ROUND(QCI!$AA$3*QCI.InvManual,2),INDEX(ORÇAMENTO!$AA$15:$AA$747,MATCH($A18,ORÇAMENTO!$E$15:$E$747,0)))))</f>
        <v>0</v>
      </c>
      <c r="AB18">
        <f ca="1">IF($B18="Branco",0,IF($B18="Manual",QCI.OutrosManual,IF($B18="SemiAuto",0,INDEX(ORÇAMENTO!$AB$15:$AB$747,MATCH($A18,ORÇAMENTO!$E$15:$E$747,0)))))</f>
        <v>0</v>
      </c>
      <c r="AD18" s="332" t="b">
        <f ca="1">AND($AA$3&gt;0,$AA$3&lt;1,$O18&gt;0,OR($B18="Automático",$B18="SemiAuto"),OR(QCI!$Z$3=QCI!$Z$7,QCI!$Z$3=QCI!$AA$7,QCI!$Z$3=QCI!$AB$7))</f>
        <v>0</v>
      </c>
      <c r="AE18" s="332">
        <f ca="1">IF(AND($AD18,$O18&gt;0,COUNTIF(OFFSET($AD18,1,0):$AD$24,TRUE)=0),CHOOSE(1+LOG(1+2*(QCI!$Z$3=QCI!$Z$7)+4*(QCI!$Z$3=QCI!$AA$7)+8*(QCI!$Z$3=QCI!$AB$7),2),0,$AA$24-ROUND(Import.CPMinPerc*$O$24,2),$AA$24-Import.CPMinAbsoluta,Import.Repasse-$Z$24),0)</f>
        <v>0</v>
      </c>
    </row>
    <row r="19" spans="1:31" x14ac:dyDescent="0.2">
      <c r="A19">
        <f t="shared" ca="1" si="0"/>
        <v>6</v>
      </c>
      <c r="B19" t="str">
        <f ca="1">IF(NOT(ISBLANK(QCI.DescManual)),IF(QCI.Divisao="Calculado","Manual","SemiAuto"),IF(ISERROR(MATCH($A19,ORÇAMENTO!$E$15:$E$747,0)),"Branco","Automático"))</f>
        <v>Branco</v>
      </c>
      <c r="C19" t="str">
        <f t="shared" ca="1" si="1"/>
        <v/>
      </c>
      <c r="D19" s="322">
        <f t="shared" si="2"/>
        <v>6</v>
      </c>
      <c r="E19" s="120"/>
      <c r="F19" s="120"/>
      <c r="G19" s="172" t="str">
        <f ca="1">IF(OR($B19="Manual",$B19="SemiAuto"),QCI.DescManual,IF($B19="Automático",INDEX(ORÇAMENTO!$R$15:$R$747,MATCH($A19,ORÇAMENTO!$E$15:$E$747,0)),""))</f>
        <v/>
      </c>
      <c r="H19" s="120"/>
      <c r="I19" s="557"/>
      <c r="J19" s="323" t="str">
        <f ca="1">IF(AND(ISBLANK(E19),ISBLANK(F19)),"",VLOOKUP($F19,OFFSET(DADOS!$A$2,1,MATCH(QCI!$E19,DADOS!$2:$2,0)-1,100,50),2,FALSE))</f>
        <v/>
      </c>
      <c r="K19" s="556" t="str">
        <f ca="1">IF(OR($B19="Manual",$B19="SemiAuto"),QCI.LoteManual,IF($B19="Automático",IF(TIPOORCAMENTO="Licitado",Import.CTEF,"LOTE 1"),""))</f>
        <v/>
      </c>
      <c r="L19" s="324">
        <f t="shared" ca="1" si="3"/>
        <v>0</v>
      </c>
      <c r="M19" s="325">
        <f t="shared" ca="1" si="4"/>
        <v>0</v>
      </c>
      <c r="N19" s="326">
        <f t="shared" ca="1" si="5"/>
        <v>0</v>
      </c>
      <c r="O19" s="327">
        <f ca="1">IF($B19="Branco",0,IF(OR($B19="Manual",$B19="SemiAuto"),QCI.InvManual,INDEX(ORÇAMENTO!X$15:X$747,MATCH($A19,ORÇAMENTO!$E$15:$E$747,0))))</f>
        <v>0</v>
      </c>
      <c r="P19" s="532"/>
      <c r="R19" s="558"/>
      <c r="T19" s="559"/>
      <c r="U19" s="329"/>
      <c r="V19" s="560" t="s">
        <v>317</v>
      </c>
      <c r="W19" s="330">
        <f t="shared" ca="1" si="6"/>
        <v>0</v>
      </c>
      <c r="X19" s="331">
        <v>0</v>
      </c>
      <c r="Z19">
        <f t="shared" ca="1" si="7"/>
        <v>0</v>
      </c>
      <c r="AA19">
        <f ca="1">IF($B19="Branco",0,IF($B19="Manual",QCI.CPManual,IF($B19="SemiAuto",ROUND(QCI!$AA$3*QCI.InvManual,2),INDEX(ORÇAMENTO!$AA$15:$AA$747,MATCH($A19,ORÇAMENTO!$E$15:$E$747,0)))))</f>
        <v>0</v>
      </c>
      <c r="AB19">
        <f ca="1">IF($B19="Branco",0,IF($B19="Manual",QCI.OutrosManual,IF($B19="SemiAuto",0,INDEX(ORÇAMENTO!$AB$15:$AB$747,MATCH($A19,ORÇAMENTO!$E$15:$E$747,0)))))</f>
        <v>0</v>
      </c>
      <c r="AD19" s="332" t="b">
        <f ca="1">AND($AA$3&gt;0,$AA$3&lt;1,$O19&gt;0,OR($B19="Automático",$B19="SemiAuto"),OR(QCI!$Z$3=QCI!$Z$7,QCI!$Z$3=QCI!$AA$7,QCI!$Z$3=QCI!$AB$7))</f>
        <v>0</v>
      </c>
      <c r="AE19" s="332">
        <f ca="1">IF(AND($AD19,$O19&gt;0,COUNTIF(OFFSET($AD19,1,0):$AD$24,TRUE)=0),CHOOSE(1+LOG(1+2*(QCI!$Z$3=QCI!$Z$7)+4*(QCI!$Z$3=QCI!$AA$7)+8*(QCI!$Z$3=QCI!$AB$7),2),0,$AA$24-ROUND(Import.CPMinPerc*$O$24,2),$AA$24-Import.CPMinAbsoluta,Import.Repasse-$Z$24),0)</f>
        <v>0</v>
      </c>
    </row>
    <row r="20" spans="1:31" x14ac:dyDescent="0.2">
      <c r="A20">
        <f t="shared" ca="1" si="0"/>
        <v>7</v>
      </c>
      <c r="B20" t="str">
        <f ca="1">IF(NOT(ISBLANK(QCI.DescManual)),IF(QCI.Divisao="Calculado","Manual","SemiAuto"),IF(ISERROR(MATCH($A20,ORÇAMENTO!$E$15:$E$747,0)),"Branco","Automático"))</f>
        <v>Branco</v>
      </c>
      <c r="C20" t="str">
        <f t="shared" ca="1" si="1"/>
        <v/>
      </c>
      <c r="D20" s="322">
        <f t="shared" si="2"/>
        <v>7</v>
      </c>
      <c r="E20" s="120"/>
      <c r="F20" s="120"/>
      <c r="G20" s="172" t="str">
        <f ca="1">IF(OR($B20="Manual",$B20="SemiAuto"),QCI.DescManual,IF($B20="Automático",INDEX(ORÇAMENTO!$R$15:$R$747,MATCH($A20,ORÇAMENTO!$E$15:$E$747,0)),""))</f>
        <v/>
      </c>
      <c r="H20" s="120"/>
      <c r="I20" s="557"/>
      <c r="J20" s="323" t="str">
        <f ca="1">IF(AND(ISBLANK(E20),ISBLANK(F20)),"",VLOOKUP($F20,OFFSET(DADOS!$A$2,1,MATCH(QCI!$E20,DADOS!$2:$2,0)-1,100,50),2,FALSE))</f>
        <v/>
      </c>
      <c r="K20" s="556" t="str">
        <f ca="1">IF(OR($B20="Manual",$B20="SemiAuto"),QCI.LoteManual,IF($B20="Automático",IF(TIPOORCAMENTO="Licitado",Import.CTEF,"LOTE 1"),""))</f>
        <v/>
      </c>
      <c r="L20" s="324">
        <f t="shared" ca="1" si="3"/>
        <v>0</v>
      </c>
      <c r="M20" s="325">
        <f t="shared" ca="1" si="4"/>
        <v>0</v>
      </c>
      <c r="N20" s="326">
        <f t="shared" ca="1" si="5"/>
        <v>0</v>
      </c>
      <c r="O20" s="327">
        <f ca="1">IF($B20="Branco",0,IF(OR($B20="Manual",$B20="SemiAuto"),QCI.InvManual,INDEX(ORÇAMENTO!X$15:X$747,MATCH($A20,ORÇAMENTO!$E$15:$E$747,0))))</f>
        <v>0</v>
      </c>
      <c r="P20" s="532"/>
      <c r="R20" s="558"/>
      <c r="T20" s="559"/>
      <c r="U20" s="329"/>
      <c r="V20" s="560" t="s">
        <v>317</v>
      </c>
      <c r="W20" s="330">
        <f t="shared" ca="1" si="6"/>
        <v>0</v>
      </c>
      <c r="X20" s="331">
        <v>0</v>
      </c>
      <c r="Z20">
        <f t="shared" ca="1" si="7"/>
        <v>0</v>
      </c>
      <c r="AA20">
        <f ca="1">IF($B20="Branco",0,IF($B20="Manual",QCI.CPManual,IF($B20="SemiAuto",ROUND(QCI!$AA$3*QCI.InvManual,2),INDEX(ORÇAMENTO!$AA$15:$AA$747,MATCH($A20,ORÇAMENTO!$E$15:$E$747,0)))))</f>
        <v>0</v>
      </c>
      <c r="AB20">
        <f ca="1">IF($B20="Branco",0,IF($B20="Manual",QCI.OutrosManual,IF($B20="SemiAuto",0,INDEX(ORÇAMENTO!$AB$15:$AB$747,MATCH($A20,ORÇAMENTO!$E$15:$E$747,0)))))</f>
        <v>0</v>
      </c>
      <c r="AD20" s="332" t="b">
        <f ca="1">AND($AA$3&gt;0,$AA$3&lt;1,$O20&gt;0,OR($B20="Automático",$B20="SemiAuto"),OR(QCI!$Z$3=QCI!$Z$7,QCI!$Z$3=QCI!$AA$7,QCI!$Z$3=QCI!$AB$7))</f>
        <v>0</v>
      </c>
      <c r="AE20" s="332">
        <f ca="1">IF(AND($AD20,$O20&gt;0,COUNTIF(OFFSET($AD20,1,0):$AD$24,TRUE)=0),CHOOSE(1+LOG(1+2*(QCI!$Z$3=QCI!$Z$7)+4*(QCI!$Z$3=QCI!$AA$7)+8*(QCI!$Z$3=QCI!$AB$7),2),0,$AA$24-ROUND(Import.CPMinPerc*$O$24,2),$AA$24-Import.CPMinAbsoluta,Import.Repasse-$Z$24),0)</f>
        <v>0</v>
      </c>
    </row>
    <row r="21" spans="1:31" x14ac:dyDescent="0.2">
      <c r="A21">
        <f t="shared" ca="1" si="0"/>
        <v>8</v>
      </c>
      <c r="B21" t="str">
        <f ca="1">IF(NOT(ISBLANK(QCI.DescManual)),IF(QCI.Divisao="Calculado","Manual","SemiAuto"),IF(ISERROR(MATCH($A21,ORÇAMENTO!$E$15:$E$747,0)),"Branco","Automático"))</f>
        <v>Branco</v>
      </c>
      <c r="C21" t="str">
        <f t="shared" ca="1" si="1"/>
        <v/>
      </c>
      <c r="D21" s="322">
        <f t="shared" si="2"/>
        <v>8</v>
      </c>
      <c r="E21" s="120"/>
      <c r="F21" s="120"/>
      <c r="G21" s="172" t="str">
        <f ca="1">IF(OR($B21="Manual",$B21="SemiAuto"),QCI.DescManual,IF($B21="Automático",INDEX(ORÇAMENTO!$R$15:$R$747,MATCH($A21,ORÇAMENTO!$E$15:$E$747,0)),""))</f>
        <v/>
      </c>
      <c r="H21" s="120"/>
      <c r="I21" s="557"/>
      <c r="J21" s="323" t="str">
        <f ca="1">IF(AND(ISBLANK(E21),ISBLANK(F21)),"",VLOOKUP($F21,OFFSET(DADOS!$A$2,1,MATCH(QCI!$E21,DADOS!$2:$2,0)-1,100,50),2,FALSE))</f>
        <v/>
      </c>
      <c r="K21" s="556" t="str">
        <f ca="1">IF(OR($B21="Manual",$B21="SemiAuto"),QCI.LoteManual,IF($B21="Automático",IF(TIPOORCAMENTO="Licitado",Import.CTEF,"LOTE 1"),""))</f>
        <v/>
      </c>
      <c r="L21" s="324">
        <f t="shared" ca="1" si="3"/>
        <v>0</v>
      </c>
      <c r="M21" s="325">
        <f t="shared" ca="1" si="4"/>
        <v>0</v>
      </c>
      <c r="N21" s="326">
        <f t="shared" ca="1" si="5"/>
        <v>0</v>
      </c>
      <c r="O21" s="327">
        <f ca="1">IF($B21="Branco",0,IF(OR($B21="Manual",$B21="SemiAuto"),QCI.InvManual,INDEX(ORÇAMENTO!X$15:X$747,MATCH($A21,ORÇAMENTO!$E$15:$E$747,0))))</f>
        <v>0</v>
      </c>
      <c r="P21" s="532"/>
      <c r="R21" s="558"/>
      <c r="T21" s="559"/>
      <c r="U21" s="329"/>
      <c r="V21" s="560" t="s">
        <v>317</v>
      </c>
      <c r="W21" s="330">
        <f t="shared" ca="1" si="6"/>
        <v>0</v>
      </c>
      <c r="X21" s="331">
        <v>0</v>
      </c>
      <c r="Z21">
        <f t="shared" ca="1" si="7"/>
        <v>0</v>
      </c>
      <c r="AA21">
        <f ca="1">IF($B21="Branco",0,IF($B21="Manual",QCI.CPManual,IF($B21="SemiAuto",ROUND(QCI!$AA$3*QCI.InvManual,2),INDEX(ORÇAMENTO!$AA$15:$AA$747,MATCH($A21,ORÇAMENTO!$E$15:$E$747,0)))))</f>
        <v>0</v>
      </c>
      <c r="AB21">
        <f ca="1">IF($B21="Branco",0,IF($B21="Manual",QCI.OutrosManual,IF($B21="SemiAuto",0,INDEX(ORÇAMENTO!$AB$15:$AB$747,MATCH($A21,ORÇAMENTO!$E$15:$E$747,0)))))</f>
        <v>0</v>
      </c>
      <c r="AD21" s="332" t="b">
        <f ca="1">AND($AA$3&gt;0,$AA$3&lt;1,$O21&gt;0,OR($B21="Automático",$B21="SemiAuto"),OR(QCI!$Z$3=QCI!$Z$7,QCI!$Z$3=QCI!$AA$7,QCI!$Z$3=QCI!$AB$7))</f>
        <v>0</v>
      </c>
      <c r="AE21" s="332">
        <f ca="1">IF(AND($AD21,$O21&gt;0,COUNTIF(OFFSET($AD21,1,0):$AD$24,TRUE)=0),CHOOSE(1+LOG(1+2*(QCI!$Z$3=QCI!$Z$7)+4*(QCI!$Z$3=QCI!$AA$7)+8*(QCI!$Z$3=QCI!$AB$7),2),0,$AA$24-ROUND(Import.CPMinPerc*$O$24,2),$AA$24-Import.CPMinAbsoluta,Import.Repasse-$Z$24),0)</f>
        <v>0</v>
      </c>
    </row>
    <row r="22" spans="1:31" x14ac:dyDescent="0.2">
      <c r="A22">
        <f t="shared" ca="1" si="0"/>
        <v>9</v>
      </c>
      <c r="B22" t="str">
        <f ca="1">IF(NOT(ISBLANK(QCI.DescManual)),IF(QCI.Divisao="Calculado","Manual","SemiAuto"),IF(ISERROR(MATCH($A22,ORÇAMENTO!$E$15:$E$747,0)),"Branco","Automático"))</f>
        <v>Branco</v>
      </c>
      <c r="C22" t="str">
        <f t="shared" ca="1" si="1"/>
        <v/>
      </c>
      <c r="D22" s="322">
        <f t="shared" si="2"/>
        <v>9</v>
      </c>
      <c r="E22" s="120"/>
      <c r="F22" s="120"/>
      <c r="G22" s="172" t="str">
        <f ca="1">IF(OR($B22="Manual",$B22="SemiAuto"),QCI.DescManual,IF($B22="Automático",INDEX(ORÇAMENTO!$R$15:$R$747,MATCH($A22,ORÇAMENTO!$E$15:$E$747,0)),""))</f>
        <v/>
      </c>
      <c r="H22" s="120"/>
      <c r="I22" s="557"/>
      <c r="J22" s="323" t="str">
        <f ca="1">IF(AND(ISBLANK(E22),ISBLANK(F22)),"",VLOOKUP($F22,OFFSET(DADOS!$A$2,1,MATCH(QCI!$E22,DADOS!$2:$2,0)-1,100,50),2,FALSE))</f>
        <v/>
      </c>
      <c r="K22" s="556" t="str">
        <f ca="1">IF(OR($B22="Manual",$B22="SemiAuto"),QCI.LoteManual,IF($B22="Automático",IF(TIPOORCAMENTO="Licitado",Import.CTEF,"LOTE 1"),""))</f>
        <v/>
      </c>
      <c r="L22" s="324">
        <f t="shared" ca="1" si="3"/>
        <v>0</v>
      </c>
      <c r="M22" s="325">
        <f t="shared" ca="1" si="4"/>
        <v>0</v>
      </c>
      <c r="N22" s="326">
        <f t="shared" ca="1" si="5"/>
        <v>0</v>
      </c>
      <c r="O22" s="327">
        <f ca="1">IF($B22="Branco",0,IF(OR($B22="Manual",$B22="SemiAuto"),QCI.InvManual,INDEX(ORÇAMENTO!X$15:X$747,MATCH($A22,ORÇAMENTO!$E$15:$E$747,0))))</f>
        <v>0</v>
      </c>
      <c r="P22" s="532"/>
      <c r="R22" s="558"/>
      <c r="T22" s="559"/>
      <c r="U22" s="329"/>
      <c r="V22" s="560" t="s">
        <v>317</v>
      </c>
      <c r="W22" s="330">
        <f t="shared" ca="1" si="6"/>
        <v>0</v>
      </c>
      <c r="X22" s="331">
        <v>0</v>
      </c>
      <c r="Z22">
        <f t="shared" ca="1" si="7"/>
        <v>0</v>
      </c>
      <c r="AA22">
        <f ca="1">IF($B22="Branco",0,IF($B22="Manual",QCI.CPManual,IF($B22="SemiAuto",ROUND(QCI!$AA$3*QCI.InvManual,2),INDEX(ORÇAMENTO!$AA$15:$AA$747,MATCH($A22,ORÇAMENTO!$E$15:$E$747,0)))))</f>
        <v>0</v>
      </c>
      <c r="AB22">
        <f ca="1">IF($B22="Branco",0,IF($B22="Manual",QCI.OutrosManual,IF($B22="SemiAuto",0,INDEX(ORÇAMENTO!$AB$15:$AB$747,MATCH($A22,ORÇAMENTO!$E$15:$E$747,0)))))</f>
        <v>0</v>
      </c>
      <c r="AD22" s="332" t="b">
        <f ca="1">AND($AA$3&gt;0,$AA$3&lt;1,$O22&gt;0,OR($B22="Automático",$B22="SemiAuto"),OR(QCI!$Z$3=QCI!$Z$7,QCI!$Z$3=QCI!$AA$7,QCI!$Z$3=QCI!$AB$7))</f>
        <v>0</v>
      </c>
      <c r="AE22" s="332">
        <f ca="1">IF(AND($AD22,$O22&gt;0,COUNTIF(OFFSET($AD22,1,0):$AD$24,TRUE)=0),CHOOSE(1+LOG(1+2*(QCI!$Z$3=QCI!$Z$7)+4*(QCI!$Z$3=QCI!$AA$7)+8*(QCI!$Z$3=QCI!$AB$7),2),0,$AA$24-ROUND(Import.CPMinPerc*$O$24,2),$AA$24-Import.CPMinAbsoluta,Import.Repasse-$Z$24),0)</f>
        <v>0</v>
      </c>
    </row>
    <row r="23" spans="1:31" x14ac:dyDescent="0.2">
      <c r="A23">
        <f t="shared" ca="1" si="0"/>
        <v>10</v>
      </c>
      <c r="B23" t="str">
        <f ca="1">IF(NOT(ISBLANK(QCI.DescManual)),IF(QCI.Divisao="Calculado","Manual","SemiAuto"),IF(ISERROR(MATCH($A23,ORÇAMENTO!$E$15:$E$747,0)),"Branco","Automático"))</f>
        <v>Branco</v>
      </c>
      <c r="C23" t="str">
        <f ca="1">IF(O23&gt;0,"F","")</f>
        <v/>
      </c>
      <c r="D23" s="322">
        <f>ROW()-ROW($D$13)</f>
        <v>10</v>
      </c>
      <c r="E23" s="120"/>
      <c r="F23" s="120"/>
      <c r="G23" s="172" t="str">
        <f ca="1">IF(OR($B23="Manual",$B23="SemiAuto"),QCI.DescManual,IF($B23="Automático",INDEX(ORÇAMENTO!$R$15:$R$747,MATCH($A23,ORÇAMENTO!$E$15:$E$747,0)),""))</f>
        <v/>
      </c>
      <c r="H23" s="120"/>
      <c r="I23" s="557"/>
      <c r="J23" s="323" t="str">
        <f ca="1">IF(AND(ISBLANK(E23),ISBLANK(F23)),"",VLOOKUP($F23,OFFSET(DADOS!$A$2,1,MATCH(QCI!$E23,DADOS!$2:$2,0)-1,100,50),2,FALSE))</f>
        <v/>
      </c>
      <c r="K23" s="556" t="str">
        <f ca="1">IF(OR($B23="Manual",$B23="SemiAuto"),QCI.LoteManual,IF($B23="Automático",IF(TIPOORCAMENTO="Licitado",Import.CTEF,"LOTE 1"),""))</f>
        <v/>
      </c>
      <c r="L23" s="324">
        <f ca="1">ROUND($O23,2)-ROUND($M23,2)-ROUND($N23,2)</f>
        <v>0</v>
      </c>
      <c r="M23" s="325">
        <f ca="1">ROUND($AA23,2)-ROUND($AE23,2)</f>
        <v>0</v>
      </c>
      <c r="N23" s="326">
        <f ca="1">ROUND($AB23,2)</f>
        <v>0</v>
      </c>
      <c r="O23" s="327">
        <f ca="1">IF($B23="Branco",0,IF(OR($B23="Manual",$B23="SemiAuto"),QCI.InvManual,INDEX(ORÇAMENTO!X$15:X$747,MATCH($A23,ORÇAMENTO!$E$15:$E$747,0))))</f>
        <v>0</v>
      </c>
      <c r="P23" s="532"/>
      <c r="R23" s="558"/>
      <c r="T23" s="559"/>
      <c r="U23" s="329"/>
      <c r="V23" s="560" t="s">
        <v>317</v>
      </c>
      <c r="W23" s="330">
        <f ca="1">$O23</f>
        <v>0</v>
      </c>
      <c r="X23" s="331">
        <v>0</v>
      </c>
      <c r="Z23">
        <f ca="1">$O23-$AA23-$AB23</f>
        <v>0</v>
      </c>
      <c r="AA23">
        <f ca="1">IF($B23="Branco",0,IF($B23="Manual",QCI.CPManual,IF($B23="SemiAuto",ROUND(QCI!$AA$3*QCI.InvManual,2),INDEX(ORÇAMENTO!$AA$15:$AA$747,MATCH($A23,ORÇAMENTO!$E$15:$E$747,0)))))</f>
        <v>0</v>
      </c>
      <c r="AB23">
        <f ca="1">IF($B23="Branco",0,IF($B23="Manual",QCI.OutrosManual,IF($B23="SemiAuto",0,INDEX(ORÇAMENTO!$AB$15:$AB$747,MATCH($A23,ORÇAMENTO!$E$15:$E$747,0)))))</f>
        <v>0</v>
      </c>
      <c r="AD23" s="332" t="b">
        <f ca="1">AND($AA$3&gt;0,$AA$3&lt;1,$O23&gt;0,OR($B23="Automático",$B23="SemiAuto"),OR(QCI!$Z$3=QCI!$Z$7,QCI!$Z$3=QCI!$AA$7,QCI!$Z$3=QCI!$AB$7))</f>
        <v>0</v>
      </c>
      <c r="AE23" s="332">
        <f ca="1">IF(AND($AD23,$O23&gt;0,COUNTIF(OFFSET($AD23,1,0):$AD$24,TRUE)=0),CHOOSE(1+LOG(1+2*(QCI!$Z$3=QCI!$Z$7)+4*(QCI!$Z$3=QCI!$AA$7)+8*(QCI!$Z$3=QCI!$AB$7),2),0,$AA$24-ROUND(Import.CPMinPerc*$O$24,2),$AA$24-Import.CPMinAbsoluta,Import.Repasse-$Z$24),0)</f>
        <v>0</v>
      </c>
    </row>
    <row r="24" spans="1:31" ht="15" x14ac:dyDescent="0.2">
      <c r="B24" t="s">
        <v>327</v>
      </c>
      <c r="C24" t="s">
        <v>246</v>
      </c>
      <c r="D24" s="339"/>
      <c r="E24" s="340"/>
      <c r="F24" s="340"/>
      <c r="G24" s="340"/>
      <c r="H24" s="340"/>
      <c r="I24" s="340"/>
      <c r="J24" s="340"/>
      <c r="K24" s="670" t="s">
        <v>328</v>
      </c>
      <c r="L24" s="341">
        <f ca="1">SUM(L13:OFFSET(L24,-1,0))</f>
        <v>0</v>
      </c>
      <c r="M24" s="342">
        <f ca="1">SUM(M13:OFFSET(M24,-1,0))</f>
        <v>0</v>
      </c>
      <c r="N24" s="343">
        <f ca="1">SUM(N13:OFFSET(N24,-1,0))</f>
        <v>0</v>
      </c>
      <c r="O24" s="344">
        <f ca="1">SUM(O13:OFFSET(O24,-1,0))</f>
        <v>0</v>
      </c>
      <c r="R24" s="345"/>
      <c r="T24" s="346"/>
      <c r="U24" s="347"/>
      <c r="V24" s="348"/>
      <c r="W24" s="349"/>
      <c r="X24" s="350"/>
      <c r="Z24" s="90">
        <f ca="1">SUMPRODUCT(ROUND(Z13:OFFSET(Z24,-1,0),2))</f>
        <v>0</v>
      </c>
      <c r="AA24" s="90">
        <f ca="1">SUMPRODUCT(ROUND(AA13:OFFSET(AA24,-1,0),2))</f>
        <v>0</v>
      </c>
      <c r="AB24" s="90">
        <f ca="1">SUM(AB13:OFFSET(AB24,-1,0))</f>
        <v>0</v>
      </c>
    </row>
    <row r="25" spans="1:31" x14ac:dyDescent="0.2">
      <c r="B25" t="s">
        <v>329</v>
      </c>
      <c r="C25" t="s">
        <v>246</v>
      </c>
      <c r="D25" s="351"/>
      <c r="E25" s="352"/>
      <c r="F25" s="352"/>
      <c r="G25" s="352"/>
      <c r="H25" s="352"/>
      <c r="I25" s="352"/>
      <c r="J25" s="352"/>
      <c r="K25" s="670"/>
      <c r="L25" s="353">
        <f ca="1">IF(ISERROR(L24/$O24),0,ROUND(L24/$O24,4))</f>
        <v>0</v>
      </c>
      <c r="M25" s="354">
        <f ca="1">IF(ISERROR(M24/$O24),0,ROUND(M24/$O24,4))</f>
        <v>0</v>
      </c>
      <c r="N25" s="355">
        <f ca="1">IF(ISERROR(N24/$O24),0,ROUND(N24/$O24,4))</f>
        <v>0</v>
      </c>
      <c r="O25" s="356">
        <f ca="1">IF(ISERROR(O24/$O24),0,ROUND(O24/$O24,4))</f>
        <v>0</v>
      </c>
      <c r="R25" s="357"/>
      <c r="T25" s="358"/>
      <c r="U25" s="359"/>
      <c r="V25" s="360"/>
      <c r="W25" s="361"/>
      <c r="X25" s="362"/>
    </row>
    <row r="27" spans="1:31" ht="14.25" x14ac:dyDescent="0.2">
      <c r="D27" s="141" t="s">
        <v>187</v>
      </c>
    </row>
    <row r="28" spans="1:31" ht="12.75" customHeight="1" x14ac:dyDescent="0.2">
      <c r="D28" s="620"/>
      <c r="E28" s="620"/>
      <c r="F28" s="620"/>
      <c r="G28" s="620"/>
      <c r="H28" s="620"/>
      <c r="I28" s="620"/>
      <c r="J28" s="620"/>
      <c r="K28" s="620"/>
      <c r="L28" s="620"/>
      <c r="M28" s="620"/>
      <c r="N28" s="620"/>
      <c r="O28" s="620"/>
    </row>
    <row r="29" spans="1:31" ht="12.75" customHeight="1" x14ac:dyDescent="0.2">
      <c r="D29" s="620"/>
      <c r="E29" s="620"/>
      <c r="F29" s="620"/>
      <c r="G29" s="620"/>
      <c r="H29" s="620"/>
      <c r="I29" s="620"/>
      <c r="J29" s="620"/>
      <c r="K29" s="620"/>
      <c r="L29" s="620"/>
      <c r="M29" s="620"/>
      <c r="N29" s="620"/>
      <c r="O29" s="620"/>
    </row>
    <row r="30" spans="1:31" ht="12.75" customHeight="1" x14ac:dyDescent="0.2">
      <c r="D30" s="620"/>
      <c r="E30" s="620"/>
      <c r="F30" s="620"/>
      <c r="G30" s="620"/>
      <c r="H30" s="620"/>
      <c r="I30" s="620"/>
      <c r="J30" s="620"/>
      <c r="K30" s="620"/>
      <c r="L30" s="620"/>
      <c r="M30" s="620"/>
      <c r="N30" s="620"/>
      <c r="O30" s="620"/>
    </row>
    <row r="33" spans="4:12" ht="15" x14ac:dyDescent="0.2">
      <c r="D33" s="622" t="str">
        <f>Import.Município</f>
        <v>Pirapora/MG</v>
      </c>
      <c r="E33" s="622"/>
      <c r="F33" s="622"/>
      <c r="I33" s="145"/>
      <c r="J33" s="145"/>
      <c r="K33" s="194"/>
      <c r="L33" s="194"/>
    </row>
    <row r="34" spans="4:12" x14ac:dyDescent="0.2">
      <c r="D34" s="10" t="s">
        <v>188</v>
      </c>
      <c r="I34" s="195" t="s">
        <v>330</v>
      </c>
      <c r="J34" s="195"/>
    </row>
    <row r="35" spans="4:12" x14ac:dyDescent="0.2">
      <c r="I35" s="78" t="str">
        <f>"Nome:" &amp;  " " &amp; DADOS!F28</f>
        <v>Nome: Alexandro Costa César</v>
      </c>
    </row>
    <row r="36" spans="4:12" x14ac:dyDescent="0.2">
      <c r="D36" s="617">
        <f ca="1">DADOS!$F$25</f>
        <v>45922</v>
      </c>
      <c r="E36" s="617"/>
      <c r="F36" s="617"/>
      <c r="I36" s="78" t="str">
        <f>"Cargo:"  &amp; " " &amp; DADOS!F29</f>
        <v>Cargo: Prefeito Municipal</v>
      </c>
    </row>
    <row r="37" spans="4:12" x14ac:dyDescent="0.2">
      <c r="D37" s="146" t="s">
        <v>189</v>
      </c>
      <c r="E37" s="1"/>
      <c r="F37" s="1"/>
      <c r="K37" s="78"/>
      <c r="L37" s="79"/>
    </row>
  </sheetData>
  <sheetProtection algorithmName="SHA-512" hashValue="ZLX28XRD/ro80nLueUYdFgBwIZU2IovfwjC5JiV5eVsmckm0UnmAEJtHRKRfFPXeZY+PisUdYv1qA6+gA3KcvA==" saltValue="HTTl+JbA2pXMhwciNIQgjQ==" spinCount="100000" sheet="1" objects="1" scenarios="1" autoFilter="0"/>
  <autoFilter ref="C13:C25"/>
  <mergeCells count="20">
    <mergeCell ref="D3:E3"/>
    <mergeCell ref="G3:I3"/>
    <mergeCell ref="J3:L3"/>
    <mergeCell ref="M3:O4"/>
    <mergeCell ref="D4:E4"/>
    <mergeCell ref="G4:I4"/>
    <mergeCell ref="J4:L4"/>
    <mergeCell ref="AD10:AE10"/>
    <mergeCell ref="K24:K25"/>
    <mergeCell ref="C7:C11"/>
    <mergeCell ref="G9:J10"/>
    <mergeCell ref="K9:K10"/>
    <mergeCell ref="AD9:AE9"/>
    <mergeCell ref="D7:K7"/>
    <mergeCell ref="D6:K6"/>
    <mergeCell ref="A10:A11"/>
    <mergeCell ref="Z10:AB10"/>
    <mergeCell ref="D36:F36"/>
    <mergeCell ref="D28:O30"/>
    <mergeCell ref="D33:F33"/>
  </mergeCells>
  <phoneticPr fontId="40" type="noConversion"/>
  <conditionalFormatting sqref="T12:V12">
    <cfRule type="expression" dxfId="487" priority="157" stopIfTrue="1">
      <formula>OR($B12="Automático",$B12="Branco")</formula>
    </cfRule>
  </conditionalFormatting>
  <conditionalFormatting sqref="L12">
    <cfRule type="expression" dxfId="486" priority="158" stopIfTrue="1">
      <formula>OR(L12&lt;0,AND(L$13="Contrapartida Financeira (R$)",$B12="T%",OR(L12&lt;Import.CPMinPerc,AND(L12&gt;Import.CPMaxPerc,Import.CPMaxPerc&gt;0))),AND(L$13="Contrapartida Financeira (R$)",$B12="TR$",L12&lt;Import.CPMinAbsoluta))</formula>
    </cfRule>
  </conditionalFormatting>
  <conditionalFormatting sqref="W12:X12">
    <cfRule type="expression" dxfId="485" priority="159" stopIfTrue="1">
      <formula>OR($B12="Automático",$B12="Branco",$V12&lt;&gt;"Calculado")</formula>
    </cfRule>
  </conditionalFormatting>
  <conditionalFormatting sqref="M25">
    <cfRule type="expression" dxfId="484" priority="161" stopIfTrue="1">
      <formula>AND($G$9&lt;&gt;"",OR($M$25&lt;Import.CPMinPerc,$M$25&gt;Import.CPMaxPerc))</formula>
    </cfRule>
  </conditionalFormatting>
  <conditionalFormatting sqref="M24">
    <cfRule type="expression" dxfId="483" priority="162" stopIfTrue="1">
      <formula>AND($G$9&lt;&gt;"",$M$24&lt;Import.CPMinAbsoluta)</formula>
    </cfRule>
  </conditionalFormatting>
  <conditionalFormatting sqref="L10:M10">
    <cfRule type="cellIs" dxfId="482" priority="163" stopIfTrue="1" operator="lessThan">
      <formula>0</formula>
    </cfRule>
  </conditionalFormatting>
  <conditionalFormatting sqref="G12">
    <cfRule type="cellIs" dxfId="481" priority="164" stopIfTrue="1" operator="equal">
      <formula>"(digite a descrição aqui)"</formula>
    </cfRule>
  </conditionalFormatting>
  <conditionalFormatting sqref="T14:V22">
    <cfRule type="expression" dxfId="480" priority="5" stopIfTrue="1">
      <formula>OR($B14="Automático",$B14="Branco")</formula>
    </cfRule>
  </conditionalFormatting>
  <conditionalFormatting sqref="L14:L22">
    <cfRule type="expression" dxfId="479" priority="6" stopIfTrue="1">
      <formula>OR(L14&lt;0,AND(L$13="Contrapartida Financeira (R$)",$B14="T%",OR(L14&lt;Import.CPMinPerc,AND(L14&gt;Import.CPMaxPerc,Import.CPMaxPerc&gt;0))),AND(L$13="Contrapartida Financeira (R$)",$B14="TR$",L14&lt;Import.CPMinAbsoluta))</formula>
    </cfRule>
  </conditionalFormatting>
  <conditionalFormatting sqref="W14:X22">
    <cfRule type="expression" dxfId="478" priority="7" stopIfTrue="1">
      <formula>OR($B14="Automático",$B14="Branco",$V14&lt;&gt;"Calculado")</formula>
    </cfRule>
  </conditionalFormatting>
  <conditionalFormatting sqref="G14:G22">
    <cfRule type="cellIs" dxfId="477" priority="8" stopIfTrue="1" operator="equal">
      <formula>"(digite a descrição aqui)"</formula>
    </cfRule>
  </conditionalFormatting>
  <conditionalFormatting sqref="T23:V23">
    <cfRule type="expression" dxfId="476" priority="1" stopIfTrue="1">
      <formula>OR($B23="Automático",$B23="Branco")</formula>
    </cfRule>
  </conditionalFormatting>
  <conditionalFormatting sqref="L23">
    <cfRule type="expression" dxfId="475" priority="2" stopIfTrue="1">
      <formula>OR(L23&lt;0,AND(L$13="Contrapartida Financeira (R$)",$B23="T%",OR(L23&lt;Import.CPMinPerc,AND(L23&gt;Import.CPMaxPerc,Import.CPMaxPerc&gt;0))),AND(L$13="Contrapartida Financeira (R$)",$B23="TR$",L23&lt;Import.CPMinAbsoluta))</formula>
    </cfRule>
  </conditionalFormatting>
  <conditionalFormatting sqref="W23:X23">
    <cfRule type="expression" dxfId="474" priority="3" stopIfTrue="1">
      <formula>OR($B23="Automático",$B23="Branco",$V23&lt;&gt;"Calculado")</formula>
    </cfRule>
  </conditionalFormatting>
  <conditionalFormatting sqref="G23">
    <cfRule type="cellIs" dxfId="473" priority="4" stopIfTrue="1" operator="equal">
      <formula>"(digite a descrição aqui)"</formula>
    </cfRule>
  </conditionalFormatting>
  <dataValidations count="9">
    <dataValidation type="decimal" operator="greaterThan" allowBlank="1" showErrorMessage="1" error="Digite apenas números decimais maiores do que 0." sqref="U12 U14:U23">
      <formula1>0</formula1>
      <formula2>0</formula2>
    </dataValidation>
    <dataValidation type="list" allowBlank="1" sqref="E12 E14:E23">
      <formula1>QCI.ItemInvestimento</formula1>
      <formula2>0</formula2>
    </dataValidation>
    <dataValidation type="list" allowBlank="1" sqref="F12 F14:F23">
      <formula1>QCI.SubItemInvestimento</formula1>
      <formula2>0</formula2>
    </dataValidation>
    <dataValidation type="list" allowBlank="1" sqref="H12 H14:H23">
      <formula1>"Sem Projeto,Em Análise,Análise Concluída / A Licitar,Licitado / Em Execução,Concluído"</formula1>
      <formula2>0</formula2>
    </dataValidation>
    <dataValidation type="decimal" operator="greaterThan" allowBlank="1" showErrorMessage="1" errorTitle="Erro" error="Digite valores maiores do que 0." sqref="I12 I14:I23">
      <formula1>0</formula1>
      <formula2>0</formula2>
    </dataValidation>
    <dataValidation type="list" allowBlank="1" showErrorMessage="1" sqref="V12 V14:V23">
      <formula1>"Proporcional,Calculado"</formula1>
      <formula2>0</formula2>
    </dataValidation>
    <dataValidation type="decimal" allowBlank="1" showInputMessage="1" showErrorMessage="1" errorTitle="Erro de valor" error="Digite somente valor de 0,00 ao valor do Investimento. A Somatória dos valores não deve ultrapassar o valor de Investimento." promptTitle="Contrapartida Financeira:" prompt="Digite o valor de Contrapartida Financeira para esta Meta." sqref="W12 W14:W23">
      <formula1>0</formula1>
      <formula2>QCI.MaxCPManual</formula2>
    </dataValidation>
    <dataValidation type="decimal" allowBlank="1" showInputMessage="1" showErrorMessage="1" errorTitle="Erro de valor" error="Digite somente valor de 0,00 ao valor do Investimento. A Somatória dos valores não deve ultrapassar o valor de Investimento." promptTitle="Contrapartida Física / Outros:" prompt="Digite o valor de Contrapartida Física / Outros para esta Meta." sqref="X12 X14:X23">
      <formula1>0</formula1>
      <formula2>QCI.MaxOUManual</formula2>
    </dataValidation>
    <dataValidation allowBlank="1" showInputMessage="1" showErrorMessage="1" prompt="Preencha somente se a meta não fizer parte do Orçamento desta Plan. Mult." sqref="R12 R14:R23"/>
  </dataValidations>
  <pageMargins left="0.78740157480314998" right="0.78740157480314998" top="0.78740157480314998" bottom="0.78740157480314998" header="0.59055118110236204" footer="0.59055118110236204"/>
  <pageSetup paperSize="9" scale="61" firstPageNumber="0" fitToHeight="0" orientation="landscape" horizontalDpi="300" verticalDpi="300" r:id="rId1"/>
  <headerFooter alignWithMargins="0">
    <oddHeader>&amp;L_&amp;C&amp;14I</oddHeader>
    <oddFooter>&amp;LPMv3.0.6&amp;R&amp;P / &amp;N</oddFooter>
  </headerFooter>
  <colBreaks count="1" manualBreakCount="1">
    <brk id="15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3">
    <pageSetUpPr fitToPage="1"/>
  </sheetPr>
  <dimension ref="A1:AO762"/>
  <sheetViews>
    <sheetView showGridLines="0" topLeftCell="C1" zoomScale="90" zoomScaleNormal="90" zoomScaleSheetLayoutView="90" workbookViewId="0">
      <pane xSplit="5" ySplit="15" topLeftCell="H16" activePane="bottomRight" state="frozen"/>
      <selection activeCell="C1" sqref="C1"/>
      <selection pane="topRight" activeCell="H1" sqref="H1"/>
      <selection pane="bottomLeft" activeCell="C16" sqref="C16"/>
      <selection pane="bottomRight" activeCell="A268" sqref="A268"/>
    </sheetView>
  </sheetViews>
  <sheetFormatPr defaultRowHeight="12.75" x14ac:dyDescent="0.2"/>
  <cols>
    <col min="1" max="2" width="6.7109375" hidden="1" customWidth="1"/>
    <col min="3" max="3" width="3.7109375" customWidth="1"/>
    <col min="4" max="4" width="10.7109375" customWidth="1"/>
    <col min="5" max="5" width="65.7109375" customWidth="1"/>
    <col min="6" max="6" width="7.7109375" customWidth="1"/>
    <col min="7" max="7" width="11.7109375" customWidth="1"/>
    <col min="8" max="8" width="14.7109375" customWidth="1"/>
    <col min="9" max="9" width="18.7109375" customWidth="1"/>
    <col min="10" max="12" width="11.7109375" customWidth="1"/>
    <col min="13" max="15" width="18.7109375" customWidth="1"/>
    <col min="17" max="18" width="11.7109375" hidden="1" customWidth="1"/>
    <col min="19" max="19" width="9.140625" hidden="1" customWidth="1"/>
    <col min="20" max="20" width="10.7109375" hidden="1" customWidth="1"/>
    <col min="21" max="21" width="65.7109375" hidden="1" customWidth="1"/>
    <col min="22" max="22" width="7.7109375" hidden="1" customWidth="1"/>
    <col min="23" max="23" width="11.7109375" hidden="1" customWidth="1"/>
    <col min="24" max="24" width="14.7109375" hidden="1" customWidth="1"/>
    <col min="25" max="25" width="18.7109375" hidden="1" customWidth="1"/>
    <col min="26" max="26" width="25.7109375" hidden="1" customWidth="1"/>
    <col min="27" max="27" width="0" hidden="1" customWidth="1"/>
    <col min="28" max="39" width="11.7109375" customWidth="1"/>
    <col min="40" max="40" width="10.42578125" customWidth="1"/>
    <col min="41" max="41" width="9.140625" hidden="1" customWidth="1"/>
  </cols>
  <sheetData>
    <row r="1" spans="1:41" ht="15.75" x14ac:dyDescent="0.2">
      <c r="E1" s="363" t="str">
        <f>IF(CAIXA.Modo,"BA - Boletim de Aferição","BM - Boletim de Medição")</f>
        <v>BM - Boletim de Medição</v>
      </c>
      <c r="G1" s="364"/>
      <c r="J1" s="364"/>
      <c r="K1" s="364"/>
      <c r="L1" s="364"/>
      <c r="M1" s="364"/>
      <c r="N1" s="364"/>
      <c r="O1" s="53" t="s">
        <v>140</v>
      </c>
    </row>
    <row r="2" spans="1:41" ht="15" x14ac:dyDescent="0.2">
      <c r="A2" s="365" t="s">
        <v>331</v>
      </c>
      <c r="B2" s="2"/>
      <c r="E2" s="366" t="str">
        <f ca="1">IF(Import.RegimeExecução="(SELECIONAR)","Selecione o Regime de Execução na Aba Dados",Import.RegimeExecução&amp;" - "&amp;import.recurso)</f>
        <v>Selecione o Regime de Execução na Aba Dados</v>
      </c>
      <c r="O2" s="12" t="s">
        <v>143</v>
      </c>
    </row>
    <row r="3" spans="1:41" x14ac:dyDescent="0.2">
      <c r="A3" s="688" t="b">
        <v>0</v>
      </c>
      <c r="B3" s="688"/>
      <c r="E3" s="87"/>
    </row>
    <row r="4" spans="1:41" x14ac:dyDescent="0.2">
      <c r="D4" s="600" t="s">
        <v>147</v>
      </c>
      <c r="E4" s="600"/>
      <c r="F4" s="611" t="s">
        <v>146</v>
      </c>
      <c r="G4" s="611"/>
      <c r="H4" s="611"/>
      <c r="I4" s="151" t="s">
        <v>443</v>
      </c>
      <c r="J4" s="600" t="s">
        <v>202</v>
      </c>
      <c r="K4" s="600"/>
      <c r="L4" s="600"/>
      <c r="M4" s="600"/>
      <c r="N4" s="600"/>
      <c r="O4" s="153" t="s">
        <v>332</v>
      </c>
    </row>
    <row r="5" spans="1:41" ht="12.75" customHeight="1" x14ac:dyDescent="0.2">
      <c r="A5" t="s">
        <v>333</v>
      </c>
      <c r="D5" s="603" t="str">
        <f>Import.Proponente</f>
        <v>Prefeitura Municipal de Pirapora</v>
      </c>
      <c r="E5" s="603"/>
      <c r="F5" s="616" t="str">
        <f>Import.CR</f>
        <v>1094391-68</v>
      </c>
      <c r="G5" s="616"/>
      <c r="H5" s="616"/>
      <c r="I5" s="367" t="str">
        <f>Import.TransfereGOV</f>
        <v xml:space="preserve">960797/2024 </v>
      </c>
      <c r="J5" s="603" t="str">
        <f>Import.Apelido</f>
        <v>CEMEI Santa Mariana Pirapora/MG. Projeto Padrão FNDE- Creche e Pré Escola Tipo I.</v>
      </c>
      <c r="K5" s="603"/>
      <c r="L5" s="603"/>
      <c r="M5" s="603"/>
      <c r="N5" s="603"/>
      <c r="O5" s="368">
        <f>Import.DataInicioObra</f>
        <v>0</v>
      </c>
      <c r="AO5" s="369" t="s">
        <v>334</v>
      </c>
    </row>
    <row r="6" spans="1:41" ht="5.0999999999999996" customHeight="1" x14ac:dyDescent="0.2">
      <c r="D6" s="95"/>
      <c r="E6" s="96"/>
      <c r="F6" s="95"/>
      <c r="G6" s="95"/>
      <c r="H6" s="95"/>
      <c r="I6" s="95"/>
      <c r="J6" s="95"/>
      <c r="K6" s="95"/>
      <c r="L6" s="95"/>
      <c r="M6" s="95"/>
      <c r="N6" s="95"/>
      <c r="O6" s="95"/>
      <c r="AO6" s="370"/>
    </row>
    <row r="7" spans="1:41" ht="12.75" customHeight="1" x14ac:dyDescent="0.2">
      <c r="A7" t="str">
        <f ca="1">RegimeExecucao</f>
        <v>Unitário</v>
      </c>
      <c r="D7" s="89" t="s">
        <v>335</v>
      </c>
      <c r="E7" s="89" t="s">
        <v>336</v>
      </c>
      <c r="F7" s="600" t="s">
        <v>337</v>
      </c>
      <c r="G7" s="600"/>
      <c r="H7" s="600"/>
      <c r="I7" s="600" t="str">
        <f>IF(TIPOORCAMENTO="Licitado","REGIME DE EXECUÇÃO","MUNICÍPIO / UF")</f>
        <v>MUNICÍPIO / UF</v>
      </c>
      <c r="J7" s="600"/>
      <c r="K7" s="600"/>
      <c r="L7" s="600"/>
      <c r="M7" s="600" t="s">
        <v>338</v>
      </c>
      <c r="N7" s="600"/>
      <c r="O7" s="89" t="s">
        <v>339</v>
      </c>
      <c r="AO7" s="316">
        <f ca="1">BM.MEDAcumulado</f>
        <v>0</v>
      </c>
    </row>
    <row r="8" spans="1:41" ht="12.75" customHeight="1" x14ac:dyDescent="0.2">
      <c r="A8" s="365" t="s">
        <v>340</v>
      </c>
      <c r="B8" s="2"/>
      <c r="C8" s="593" t="s">
        <v>209</v>
      </c>
      <c r="D8" s="371">
        <f>Import.CTEF</f>
        <v>0</v>
      </c>
      <c r="E8" s="57">
        <f>Import.empresa</f>
        <v>0</v>
      </c>
      <c r="F8" s="603">
        <f>Import.CNPJ</f>
        <v>0</v>
      </c>
      <c r="G8" s="603"/>
      <c r="H8" s="603"/>
      <c r="I8" s="603" t="str">
        <f>IF(TIPOORCAMENTO="Licitado",Import.RegimeExecução,Import.Município)</f>
        <v>Pirapora/MG</v>
      </c>
      <c r="J8" s="603"/>
      <c r="K8" s="603"/>
      <c r="L8" s="603"/>
      <c r="M8" s="603" t="str">
        <f ca="1">TEXT(IF(BM.medicao=1,Import.DataInicioObra,OFFSET($AB$12,0,BM.medicao-1-$AB$13)+1),"dd/mm/aaaa")&amp;" a "&amp;TEXT(OFFSET($AB$12,0,BM.medicao-$AB$13),"dd/mm/aaaa")</f>
        <v>00/01/1900 a 00/01/1900</v>
      </c>
      <c r="N8" s="603"/>
      <c r="O8" s="490">
        <v>1</v>
      </c>
    </row>
    <row r="9" spans="1:41" ht="12.75" customHeight="1" x14ac:dyDescent="0.2">
      <c r="A9" s="531" t="b">
        <v>1</v>
      </c>
      <c r="B9" s="43"/>
      <c r="C9" s="593"/>
    </row>
    <row r="10" spans="1:41" x14ac:dyDescent="0.2">
      <c r="C10" s="593"/>
      <c r="E10" s="686" t="str">
        <f>IF(ACOMPANHAMENTO="PLE","Foi selecionado na aba 'MENU' o acompanhamento por PLE.",IF(TIPOORCAMENTO="Proposto","Altere na aba 'MENU' o tipo de orçamento para 'Licitado'.",""))</f>
        <v>Altere na aba 'MENU' o tipo de orçamento para 'Licitado'.</v>
      </c>
      <c r="F10" s="686"/>
      <c r="G10" s="686"/>
      <c r="H10" s="686"/>
      <c r="I10" s="686"/>
      <c r="N10" s="687" t="str">
        <f ca="1">"Realizado Acumulado: "&amp;TEXT(ROUND($O$15/($I$15+10^-12),4),"0,00%")</f>
        <v>Realizado Acumulado: 0,00%</v>
      </c>
      <c r="O10" s="687"/>
    </row>
    <row r="11" spans="1:41" ht="15" customHeight="1" x14ac:dyDescent="0.25">
      <c r="C11" s="593"/>
      <c r="E11" s="686"/>
      <c r="F11" s="686"/>
      <c r="G11" s="686"/>
      <c r="H11" s="686"/>
      <c r="I11" s="686"/>
      <c r="N11" s="687"/>
      <c r="O11" s="687"/>
      <c r="T11" s="685" t="s">
        <v>341</v>
      </c>
      <c r="U11" s="685"/>
      <c r="Z11" s="4"/>
      <c r="AB11" s="660" t="s">
        <v>342</v>
      </c>
      <c r="AC11" s="660"/>
      <c r="AD11" s="660"/>
      <c r="AE11" s="660"/>
      <c r="AF11" s="660"/>
      <c r="AG11" s="660"/>
      <c r="AH11" s="660"/>
      <c r="AI11" s="660"/>
      <c r="AJ11" s="660"/>
      <c r="AK11" s="660"/>
      <c r="AL11" s="660"/>
      <c r="AM11" s="660"/>
    </row>
    <row r="12" spans="1:41" ht="15" customHeight="1" x14ac:dyDescent="0.25">
      <c r="C12" s="593"/>
      <c r="E12" s="85" t="s">
        <v>343</v>
      </c>
      <c r="J12" s="605" t="str">
        <f ca="1">"Evolução Física "&amp;CHOOSE(MATCH(RegimeExecucao,{"Unitário","Global"},0),"(Qtde.)","(%)")</f>
        <v>Evolução Física (Qtde.)</v>
      </c>
      <c r="K12" s="605"/>
      <c r="L12" s="605"/>
      <c r="M12" s="605" t="s">
        <v>344</v>
      </c>
      <c r="N12" s="605"/>
      <c r="O12" s="605"/>
      <c r="Q12" s="605" t="str">
        <f ca="1">"Aferido (CAIXA) "&amp;CHOOSE(MATCH(RegimeExecucao,{"Unitário","Global"},0),"(Qtde.)","(%)")</f>
        <v>Aferido (CAIXA) (Qtde.)</v>
      </c>
      <c r="R12" s="605"/>
      <c r="T12" s="372" t="s">
        <v>345</v>
      </c>
      <c r="U12" s="194"/>
      <c r="V12" s="194"/>
      <c r="W12" s="194"/>
      <c r="X12" s="194"/>
      <c r="Y12" s="194"/>
      <c r="Z12" s="43"/>
      <c r="AB12" s="373"/>
      <c r="AC12" s="374"/>
      <c r="AD12" s="374"/>
      <c r="AE12" s="374"/>
      <c r="AF12" s="374"/>
      <c r="AG12" s="374"/>
      <c r="AH12" s="374"/>
      <c r="AI12" s="374"/>
      <c r="AJ12" s="374"/>
      <c r="AK12" s="374"/>
      <c r="AL12" s="374"/>
      <c r="AM12" s="375"/>
    </row>
    <row r="13" spans="1:41" ht="45" customHeight="1" x14ac:dyDescent="0.2">
      <c r="A13" s="109" t="s">
        <v>222</v>
      </c>
      <c r="B13" s="109" t="s">
        <v>221</v>
      </c>
      <c r="C13" s="108" t="s">
        <v>217</v>
      </c>
      <c r="D13" s="337" t="s">
        <v>231</v>
      </c>
      <c r="E13" s="337" t="s">
        <v>234</v>
      </c>
      <c r="F13" s="376" t="s">
        <v>235</v>
      </c>
      <c r="G13" s="337" t="s">
        <v>203</v>
      </c>
      <c r="H13" s="337" t="s">
        <v>236</v>
      </c>
      <c r="I13" s="337" t="s">
        <v>237</v>
      </c>
      <c r="J13" s="337" t="s">
        <v>346</v>
      </c>
      <c r="K13" s="337" t="s">
        <v>347</v>
      </c>
      <c r="L13" s="337" t="s">
        <v>348</v>
      </c>
      <c r="M13" s="337" t="s">
        <v>346</v>
      </c>
      <c r="N13" s="337" t="s">
        <v>347</v>
      </c>
      <c r="O13" s="337" t="s">
        <v>348</v>
      </c>
      <c r="Q13" s="337" t="s">
        <v>346</v>
      </c>
      <c r="R13" s="337" t="s">
        <v>348</v>
      </c>
      <c r="T13" s="337" t="s">
        <v>231</v>
      </c>
      <c r="U13" s="337" t="s">
        <v>234</v>
      </c>
      <c r="V13" s="376" t="str">
        <f ca="1">IF(RegimeExecucao="Unitário","Unidade","")</f>
        <v>Unidade</v>
      </c>
      <c r="W13" s="337" t="str">
        <f ca="1">CHOOSE(MATCH(RegimeExecucao,{"Unitário","Global"},0),"Quant. Glosada (unid)","Percentual Glosado (%)")</f>
        <v>Quant. Glosada (unid)</v>
      </c>
      <c r="X13" s="337" t="str">
        <f ca="1">CHOOSE(MATCH(RegimeExecucao,{"Unitário","Global"},0),"Preço Unitário (R$)","Valor Total do Item (R$)")</f>
        <v>Preço Unitário (R$)</v>
      </c>
      <c r="Y13" s="337" t="s">
        <v>349</v>
      </c>
      <c r="Z13" s="337" t="s">
        <v>350</v>
      </c>
      <c r="AA13" s="114"/>
      <c r="AB13" s="377">
        <f ca="1">IF(BM.medicao&lt;=12,1,TRUNC((BM.medicao - 2)/11,0) * 11 + 1)</f>
        <v>1</v>
      </c>
      <c r="AC13" s="377">
        <f ca="1">OFFSET(AC13,0,-1)+1</f>
        <v>2</v>
      </c>
      <c r="AD13" s="377">
        <f t="shared" ref="AD13:AM13" ca="1" si="0">OFFSET(AD13,0,-1)+1</f>
        <v>3</v>
      </c>
      <c r="AE13" s="377">
        <f t="shared" ca="1" si="0"/>
        <v>4</v>
      </c>
      <c r="AF13" s="377">
        <f t="shared" ca="1" si="0"/>
        <v>5</v>
      </c>
      <c r="AG13" s="377">
        <f t="shared" ca="1" si="0"/>
        <v>6</v>
      </c>
      <c r="AH13" s="377">
        <f t="shared" ca="1" si="0"/>
        <v>7</v>
      </c>
      <c r="AI13" s="377">
        <f t="shared" ca="1" si="0"/>
        <v>8</v>
      </c>
      <c r="AJ13" s="377">
        <f t="shared" ca="1" si="0"/>
        <v>9</v>
      </c>
      <c r="AK13" s="377">
        <f t="shared" ca="1" si="0"/>
        <v>10</v>
      </c>
      <c r="AL13" s="377">
        <f t="shared" ca="1" si="0"/>
        <v>11</v>
      </c>
      <c r="AM13" s="377">
        <f t="shared" ca="1" si="0"/>
        <v>12</v>
      </c>
      <c r="AO13" s="109" t="s">
        <v>351</v>
      </c>
    </row>
    <row r="14" spans="1:41" hidden="1" x14ac:dyDescent="0.2">
      <c r="A14" t="str">
        <f ca="1">ORÇAMENTO!C14</f>
        <v>S</v>
      </c>
      <c r="B14">
        <f ca="1">ORÇAMENTO!D14</f>
        <v>0</v>
      </c>
      <c r="C14" s="116" t="str">
        <f ca="1">IF(OR($I14&gt;0,$A14=1,$A14=2,$A14=3,$A14=4),"F","")</f>
        <v/>
      </c>
      <c r="D14" s="119" t="str">
        <f ca="1">ORÇAMENTO!O14</f>
        <v>-</v>
      </c>
      <c r="E14" s="172" t="str">
        <f ca="1">ORÇAMENTO.Descricao</f>
        <v>(abra o arquivo 'Referência 02-2025.xlsm)</v>
      </c>
      <c r="F14" s="173" t="str">
        <f ca="1">IF(RegimeExecucao="Global","",ORÇAMENTO.Unidade)</f>
        <v>-</v>
      </c>
      <c r="G14" s="124">
        <f ca="1">IF(RegimeExecucao="Global","",ORÇAMENTO!T14)</f>
        <v>0</v>
      </c>
      <c r="H14" s="124">
        <f ca="1">IF(RegimeExecucao="Global","",ORÇAMENTO!W14)</f>
        <v>0</v>
      </c>
      <c r="I14" s="127">
        <f ca="1">ORÇAMENTO!X14</f>
        <v>0</v>
      </c>
      <c r="J14" s="378">
        <f ca="1">IF($A14="S",IF(CAIXA.Modo,BM.AFAnterior,BM.MEDAnterior),IF(AND(RegimeExecucao="Global",$I14&gt;0,COUNTIF($AB$13:$AM$13,BM.medicao-1)&gt;0),M14/$I14*100,0))</f>
        <v>0</v>
      </c>
      <c r="K14" s="124">
        <f ca="1">L14-J14</f>
        <v>0</v>
      </c>
      <c r="L14" s="379">
        <f ca="1">IF($A14="S",IF(CAIXA.Modo,BM.AFAcumulado,BM.MEDAcumulado),IF(AND(RegimeExecucao="Global",$I14&gt;0,COUNTIF($AB$13:$AM$13,BM.medicao)&gt;0),O14/$I14*100,0))</f>
        <v>0</v>
      </c>
      <c r="M14" s="380">
        <f ca="1">IF($A14="S",VTOTALBM,IF($A14=0,0,ROUND(SomaAgrupBM,15-13*ORÇAMENTO!$AF$11)))</f>
        <v>0</v>
      </c>
      <c r="N14" s="381">
        <f ca="1">O14-M14</f>
        <v>0</v>
      </c>
      <c r="O14" s="127">
        <f ca="1">IF($A14="S",VTOTALBM,IF($A14=0,0,ROUND(SomaAgrupBM,15-13*ORÇAMENTO!$AF$11)))</f>
        <v>0</v>
      </c>
      <c r="Q14" s="382"/>
      <c r="R14" s="383"/>
      <c r="T14" s="119" t="str">
        <f ca="1">IF($W14&gt;0,$D14,"")</f>
        <v/>
      </c>
      <c r="U14" s="172" t="str">
        <f ca="1">IF($W14&gt;0,$E14,"")</f>
        <v/>
      </c>
      <c r="V14" s="173" t="str">
        <f ca="1">IF(AND($W14&gt;0,RegimeExecucao="Unitário"),$F14,"")</f>
        <v/>
      </c>
      <c r="W14" s="547">
        <f ca="1">IF($Y14&gt;0,CHOOSE(MATCH(RegimeExecucao,{"Unitário","Global"},0),IF($A14="S",$Y14/$X14,""),($Y14/$X14)*100),0)</f>
        <v>0</v>
      </c>
      <c r="X14" s="384" t="str">
        <f ca="1">IF($Y14&gt;0,CHOOSE(MATCH(RegimeExecucao,{"Unitário","Global"},0),IF($A14="S",ROUND($H14,ORÇAMENTO!$AF$10),""),ROUND($I14,ORÇAMENTO!$AF$11)),"")</f>
        <v/>
      </c>
      <c r="Y14" s="384">
        <f ca="1">AO14-O14</f>
        <v>0</v>
      </c>
      <c r="Z14" s="572"/>
      <c r="AB14" s="382"/>
      <c r="AC14" s="516"/>
      <c r="AD14" s="516"/>
      <c r="AE14" s="516"/>
      <c r="AF14" s="516"/>
      <c r="AG14" s="516"/>
      <c r="AH14" s="516"/>
      <c r="AI14" s="516"/>
      <c r="AJ14" s="516"/>
      <c r="AK14" s="516"/>
      <c r="AL14" s="516"/>
      <c r="AM14" s="383"/>
      <c r="AO14">
        <f ca="1">IF($A14="S",IF(BM!$I14=0,0,CHOOSE(MATCH(RegimeExecucao,{"Global","Unitário"},0),ROUND(ROUND(BM.MEDAcumulado,15-13*BM!$A$9)/100*BM!$I14,15-13*ORÇAMENTO!$AF$11),ROUND(ROUND(BM.MEDAcumulado,15-13*BM!$A$9)*ROUND(BM!$H14,15-13*ORÇAMENTO!$AF$10),15-13*ORÇAMENTO!$AF$11))),IF($A14=0,0,ROUND(SomaAgrupBM,15-13*ORÇAMENTO!$AF$11)))</f>
        <v>0</v>
      </c>
    </row>
    <row r="15" spans="1:41" x14ac:dyDescent="0.2">
      <c r="C15" s="116" t="s">
        <v>246</v>
      </c>
      <c r="D15" s="684" t="str">
        <f>"Objeto do CTEF: "&amp;Import.DescLote</f>
        <v>Objeto do CTEF: Centro Municipal de Educação Infantil - CEMEI Santa Mariana Pirapora/MG. Projeto Padrão FNDE- Creche e Pré escola Tipo I.</v>
      </c>
      <c r="E15" s="684"/>
      <c r="F15" s="548"/>
      <c r="G15" s="549"/>
      <c r="H15" s="549" t="s">
        <v>352</v>
      </c>
      <c r="I15" s="550">
        <f>IF(OR(ACOMPANHAMENTO="PLE",TIPOORCAMENTO="Proposto"),0,ORÇAMENTO!$X$15)</f>
        <v>0</v>
      </c>
      <c r="J15" s="385">
        <f ca="1">IF(M$15=0,0,IF(RegimeExecucao="Global",M$15/$I$15*100,0))</f>
        <v>0</v>
      </c>
      <c r="K15" s="385">
        <f ca="1">L15-J15</f>
        <v>0</v>
      </c>
      <c r="L15" s="385">
        <f ca="1">IF(O$15=0,0,IF(RegimeExecucao="Global",O$15/$I$15*100,0))</f>
        <v>0</v>
      </c>
      <c r="M15" s="386">
        <f ca="1">IF(OR(ACOMPANHAMENTO="PLE",TIPOORCAMENTO="Proposto"),0,SUMIF(OFFSET($A15,1,0):$A$747,"S",OFFSET(M15,1,0):M$747))</f>
        <v>0</v>
      </c>
      <c r="N15" s="386">
        <f ca="1">O15-M15</f>
        <v>0</v>
      </c>
      <c r="O15" s="386">
        <f ca="1">IF(OR(ACOMPANHAMENTO="PLE",TIPOORCAMENTO="Proposto"),0,SUMIF(OFFSET($A15,1,0):$A$747,"S",OFFSET(O15,1,0):O$747))</f>
        <v>0</v>
      </c>
      <c r="Q15" s="387"/>
      <c r="R15" s="387"/>
      <c r="T15" s="388"/>
      <c r="U15" s="389"/>
      <c r="V15" s="389"/>
      <c r="W15" s="389"/>
      <c r="X15" s="389"/>
      <c r="Y15" s="389"/>
      <c r="Z15" s="390"/>
      <c r="AB15" s="680" t="str">
        <f ca="1">"Preencher abaixo com a "&amp;CHOOSE(MATCH(RegimeExecucao,{"Unitário","Global"},0),"QUANTIDADE","PORCENTAGEM")&amp;" executada no PERÍODO"</f>
        <v>Preencher abaixo com a QUANTIDADE executada no PERÍODO</v>
      </c>
      <c r="AC15" s="680"/>
      <c r="AD15" s="680"/>
      <c r="AE15" s="680"/>
      <c r="AF15" s="680"/>
      <c r="AG15" s="680"/>
      <c r="AH15" s="680"/>
      <c r="AI15" s="680"/>
      <c r="AJ15" s="680"/>
      <c r="AK15" s="680"/>
      <c r="AL15" s="680"/>
      <c r="AM15" s="680"/>
    </row>
    <row r="16" spans="1:41" ht="25.5" x14ac:dyDescent="0.2">
      <c r="A16">
        <f ca="1">ORÇAMENTO!C16</f>
        <v>1</v>
      </c>
      <c r="B16">
        <f ca="1">ORÇAMENTO!D16</f>
        <v>731</v>
      </c>
      <c r="C16" s="116" t="str">
        <f t="shared" ref="C16:C83" ca="1" si="1">IF(OR($I16&gt;0,$A16=1,$A16=2,$A16=3,$A16=4),"F","")</f>
        <v>F</v>
      </c>
      <c r="D16" s="119" t="str">
        <f ca="1">ORÇAMENTO!O16</f>
        <v>1.</v>
      </c>
      <c r="E16" s="172" t="str">
        <f t="shared" ref="E16:E83" si="2">ORÇAMENTO.Descricao</f>
        <v>CEMEI Santa Mariana Pirapora/MG. Projeto Padrão FNDE- Creche e Pré Escola Tipo I.</v>
      </c>
      <c r="F16" s="173" t="str">
        <f ca="1">IF(RegimeExecucao="Global","",ORÇAMENTO.Unidade)</f>
        <v>-</v>
      </c>
      <c r="G16" s="124">
        <f ca="1">IF(RegimeExecucao="Global","",ORÇAMENTO!T16)</f>
        <v>0</v>
      </c>
      <c r="H16" s="124">
        <f ca="1">IF(RegimeExecucao="Global","",ORÇAMENTO!W16)</f>
        <v>0</v>
      </c>
      <c r="I16" s="127">
        <f ca="1">ORÇAMENTO!X16</f>
        <v>0</v>
      </c>
      <c r="J16" s="378">
        <f ca="1">IF($A16="S",IF(CAIXA.Modo,BM.AFAnterior,BM.MEDAnterior),IF(AND(RegimeExecucao="Global",$I16&gt;0,COUNTIF($AB$13:$AM$13,BM.medicao-1)&gt;0),M16/$I16*100,0))</f>
        <v>0</v>
      </c>
      <c r="K16" s="124">
        <f t="shared" ref="K16:K83" ca="1" si="3">L16-J16</f>
        <v>0</v>
      </c>
      <c r="L16" s="379">
        <f ca="1">IF($A16="S",IF(CAIXA.Modo,BM.AFAcumulado,BM.MEDAcumulado),IF(AND(RegimeExecucao="Global",$I16&gt;0,COUNTIF($AB$13:$AM$13,BM.medicao)&gt;0),O16/$I16*100,0))</f>
        <v>0</v>
      </c>
      <c r="M16" s="380">
        <f ca="1">IF($A16="S",VTOTALBM,IF($A16=0,0,ROUND(SomaAgrupBM,15-13*ORÇAMENTO!$AF$11)))</f>
        <v>0</v>
      </c>
      <c r="N16" s="381">
        <f t="shared" ref="N16:N83" ca="1" si="4">O16-M16</f>
        <v>0</v>
      </c>
      <c r="O16" s="127">
        <f ca="1">IF($A16="S",VTOTALBM,IF($A16=0,0,ROUND(SomaAgrupBM,15-13*ORÇAMENTO!$AF$11)))</f>
        <v>0</v>
      </c>
      <c r="Q16" s="382"/>
      <c r="R16" s="383"/>
      <c r="T16" s="119" t="str">
        <f t="shared" ref="T16:T83" ca="1" si="5">IF($W16&gt;0,$D16,"")</f>
        <v/>
      </c>
      <c r="U16" s="172" t="str">
        <f t="shared" ref="U16:U83" ca="1" si="6">IF($W16&gt;0,$E16,"")</f>
        <v/>
      </c>
      <c r="V16" s="173" t="str">
        <f ca="1">IF(AND($W16&gt;0,RegimeExecucao="Unitário"),$F16,"")</f>
        <v/>
      </c>
      <c r="W16" s="547">
        <f ca="1">IF($Y16&gt;0,CHOOSE(MATCH(RegimeExecucao,{"Unitário","Global"},0),IF($A16="S",$Y16/$X16,""),($Y16/$X16)*100),0)</f>
        <v>0</v>
      </c>
      <c r="X16" s="384" t="str">
        <f ca="1">IF($Y16&gt;0,CHOOSE(MATCH(RegimeExecucao,{"Unitário","Global"},0),IF($A16="S",ROUND($H16,ORÇAMENTO!$AF$10),""),ROUND($I16,ORÇAMENTO!$AF$11)),"")</f>
        <v/>
      </c>
      <c r="Y16" s="384">
        <f t="shared" ref="Y16:Y83" ca="1" si="7">AO16-O16</f>
        <v>0</v>
      </c>
      <c r="Z16" s="572"/>
      <c r="AB16" s="382"/>
      <c r="AC16" s="516"/>
      <c r="AD16" s="516"/>
      <c r="AE16" s="516"/>
      <c r="AF16" s="516"/>
      <c r="AG16" s="516"/>
      <c r="AH16" s="516"/>
      <c r="AI16" s="516"/>
      <c r="AJ16" s="516"/>
      <c r="AK16" s="516"/>
      <c r="AL16" s="516"/>
      <c r="AM16" s="383"/>
      <c r="AO16">
        <f ca="1">IF($A16="S",IF(BM!$I16=0,0,CHOOSE(MATCH(RegimeExecucao,{"Global","Unitário"},0),ROUND(ROUND(BM.MEDAcumulado,15-13*BM!$A$9)/100*BM!$I16,15-13*ORÇAMENTO!$AF$11),ROUND(ROUND(BM.MEDAcumulado,15-13*BM!$A$9)*ROUND(BM!$H16,15-13*ORÇAMENTO!$AF$10),15-13*ORÇAMENTO!$AF$11))),IF($A16=0,0,ROUND(SomaAgrupBM,15-13*ORÇAMENTO!$AF$11)))</f>
        <v>0</v>
      </c>
    </row>
    <row r="17" spans="1:41" x14ac:dyDescent="0.2">
      <c r="A17">
        <f ca="1">ORÇAMENTO!C17</f>
        <v>2</v>
      </c>
      <c r="B17">
        <f ca="1">ORÇAMENTO!D17</f>
        <v>10</v>
      </c>
      <c r="C17" s="116" t="str">
        <f t="shared" ca="1" si="1"/>
        <v>F</v>
      </c>
      <c r="D17" s="119" t="str">
        <f ca="1">ORÇAMENTO!O17</f>
        <v>1.1.</v>
      </c>
      <c r="E17" s="172" t="str">
        <f t="shared" ca="1" si="2"/>
        <v>SERVIÇOS PRELIMINARES</v>
      </c>
      <c r="F17" s="173" t="str">
        <f ca="1">IF(RegimeExecucao="Global","",ORÇAMENTO.Unidade)</f>
        <v>-</v>
      </c>
      <c r="G17" s="124">
        <f ca="1">IF(RegimeExecucao="Global","",ORÇAMENTO!T17)</f>
        <v>0</v>
      </c>
      <c r="H17" s="124">
        <f ca="1">IF(RegimeExecucao="Global","",ORÇAMENTO!W17)</f>
        <v>0</v>
      </c>
      <c r="I17" s="127">
        <f ca="1">ORÇAMENTO!X17</f>
        <v>0</v>
      </c>
      <c r="J17" s="378">
        <f ca="1">IF($A17="S",IF(CAIXA.Modo,BM.AFAnterior,BM.MEDAnterior),IF(AND(RegimeExecucao="Global",$I17&gt;0,COUNTIF($AB$13:$AM$13,BM.medicao-1)&gt;0),M17/$I17*100,0))</f>
        <v>0</v>
      </c>
      <c r="K17" s="124">
        <f t="shared" ca="1" si="3"/>
        <v>0</v>
      </c>
      <c r="L17" s="379">
        <f ca="1">IF($A17="S",IF(CAIXA.Modo,BM.AFAcumulado,BM.MEDAcumulado),IF(AND(RegimeExecucao="Global",$I17&gt;0,COUNTIF($AB$13:$AM$13,BM.medicao)&gt;0),O17/$I17*100,0))</f>
        <v>0</v>
      </c>
      <c r="M17" s="380">
        <f ca="1">IF($A17="S",VTOTALBM,IF($A17=0,0,ROUND(SomaAgrupBM,15-13*ORÇAMENTO!$AF$11)))</f>
        <v>0</v>
      </c>
      <c r="N17" s="381">
        <f t="shared" ca="1" si="4"/>
        <v>0</v>
      </c>
      <c r="O17" s="127">
        <f ca="1">IF($A17="S",VTOTALBM,IF($A17=0,0,ROUND(SomaAgrupBM,15-13*ORÇAMENTO!$AF$11)))</f>
        <v>0</v>
      </c>
      <c r="Q17" s="382"/>
      <c r="R17" s="383"/>
      <c r="T17" s="119" t="str">
        <f t="shared" ca="1" si="5"/>
        <v/>
      </c>
      <c r="U17" s="172" t="str">
        <f t="shared" ca="1" si="6"/>
        <v/>
      </c>
      <c r="V17" s="173" t="str">
        <f ca="1">IF(AND($W17&gt;0,RegimeExecucao="Unitário"),$F17,"")</f>
        <v/>
      </c>
      <c r="W17" s="547">
        <f ca="1">IF($Y17&gt;0,CHOOSE(MATCH(RegimeExecucao,{"Unitário","Global"},0),IF($A17="S",$Y17/$X17,""),($Y17/$X17)*100),0)</f>
        <v>0</v>
      </c>
      <c r="X17" s="384" t="str">
        <f ca="1">IF($Y17&gt;0,CHOOSE(MATCH(RegimeExecucao,{"Unitário","Global"},0),IF($A17="S",ROUND($H17,ORÇAMENTO!$AF$10),""),ROUND($I17,ORÇAMENTO!$AF$11)),"")</f>
        <v/>
      </c>
      <c r="Y17" s="384">
        <f t="shared" ca="1" si="7"/>
        <v>0</v>
      </c>
      <c r="Z17" s="572"/>
      <c r="AB17" s="382"/>
      <c r="AC17" s="516"/>
      <c r="AD17" s="516"/>
      <c r="AE17" s="516"/>
      <c r="AF17" s="516"/>
      <c r="AG17" s="516"/>
      <c r="AH17" s="516"/>
      <c r="AI17" s="516"/>
      <c r="AJ17" s="516"/>
      <c r="AK17" s="516"/>
      <c r="AL17" s="516"/>
      <c r="AM17" s="383"/>
      <c r="AO17">
        <f ca="1">IF($A17="S",IF(BM!$I17=0,0,CHOOSE(MATCH(RegimeExecucao,{"Global","Unitário"},0),ROUND(ROUND(BM.MEDAcumulado,15-13*BM!$A$9)/100*BM!$I17,15-13*ORÇAMENTO!$AF$11),ROUND(ROUND(BM.MEDAcumulado,15-13*BM!$A$9)*ROUND(BM!$H17,15-13*ORÇAMENTO!$AF$10),15-13*ORÇAMENTO!$AF$11))),IF($A17=0,0,ROUND(SomaAgrupBM,15-13*ORÇAMENTO!$AF$11)))</f>
        <v>0</v>
      </c>
    </row>
    <row r="18" spans="1:41" ht="25.5" x14ac:dyDescent="0.2">
      <c r="A18" t="str">
        <f ca="1">ORÇAMENTO!C18</f>
        <v>S</v>
      </c>
      <c r="B18">
        <f ca="1">ORÇAMENTO!D18</f>
        <v>0</v>
      </c>
      <c r="C18" s="116" t="str">
        <f t="shared" ca="1" si="1"/>
        <v/>
      </c>
      <c r="D18" s="119" t="str">
        <f ca="1">ORÇAMENTO!O18</f>
        <v>-</v>
      </c>
      <c r="E18" s="172" t="str">
        <f t="shared" ca="1" si="2"/>
        <v>(abra o arquivo 'Referência 02-2025.xlsm)</v>
      </c>
      <c r="F18" s="173" t="str">
        <f ca="1">IF(RegimeExecucao="Global","",ORÇAMENTO.Unidade)</f>
        <v>-</v>
      </c>
      <c r="G18" s="124">
        <f ca="1">IF(RegimeExecucao="Global","",ORÇAMENTO!T18)</f>
        <v>6.48</v>
      </c>
      <c r="H18" s="124">
        <f ca="1">IF(RegimeExecucao="Global","",ORÇAMENTO!W18)</f>
        <v>0</v>
      </c>
      <c r="I18" s="127">
        <f ca="1">ORÇAMENTO!X18</f>
        <v>0</v>
      </c>
      <c r="J18" s="378">
        <f ca="1">IF($A18="S",IF(CAIXA.Modo,BM.AFAnterior,BM.MEDAnterior),IF(AND(RegimeExecucao="Global",$I18&gt;0,COUNTIF($AB$13:$AM$13,BM.medicao-1)&gt;0),M18/$I18*100,0))</f>
        <v>0</v>
      </c>
      <c r="K18" s="124">
        <f t="shared" ca="1" si="3"/>
        <v>0</v>
      </c>
      <c r="L18" s="379">
        <f ca="1">IF($A18="S",IF(CAIXA.Modo,BM.AFAcumulado,BM.MEDAcumulado),IF(AND(RegimeExecucao="Global",$I18&gt;0,COUNTIF($AB$13:$AM$13,BM.medicao)&gt;0),O18/$I18*100,0))</f>
        <v>0</v>
      </c>
      <c r="M18" s="380">
        <f ca="1">IF($A18="S",VTOTALBM,IF($A18=0,0,ROUND(SomaAgrupBM,15-13*ORÇAMENTO!$AF$11)))</f>
        <v>0</v>
      </c>
      <c r="N18" s="381">
        <f t="shared" ca="1" si="4"/>
        <v>0</v>
      </c>
      <c r="O18" s="127">
        <f ca="1">IF($A18="S",VTOTALBM,IF($A18=0,0,ROUND(SomaAgrupBM,15-13*ORÇAMENTO!$AF$11)))</f>
        <v>0</v>
      </c>
      <c r="Q18" s="382"/>
      <c r="R18" s="383"/>
      <c r="T18" s="119" t="str">
        <f t="shared" ca="1" si="5"/>
        <v/>
      </c>
      <c r="U18" s="172" t="str">
        <f t="shared" ca="1" si="6"/>
        <v/>
      </c>
      <c r="V18" s="173" t="str">
        <f ca="1">IF(AND($W18&gt;0,RegimeExecucao="Unitário"),$F18,"")</f>
        <v/>
      </c>
      <c r="W18" s="547">
        <f ca="1">IF($Y18&gt;0,CHOOSE(MATCH(RegimeExecucao,{"Unitário","Global"},0),IF($A18="S",$Y18/$X18,""),($Y18/$X18)*100),0)</f>
        <v>0</v>
      </c>
      <c r="X18" s="384" t="str">
        <f ca="1">IF($Y18&gt;0,CHOOSE(MATCH(RegimeExecucao,{"Unitário","Global"},0),IF($A18="S",ROUND($H18,ORÇAMENTO!$AF$10),""),ROUND($I18,ORÇAMENTO!$AF$11)),"")</f>
        <v/>
      </c>
      <c r="Y18" s="384">
        <f t="shared" ca="1" si="7"/>
        <v>0</v>
      </c>
      <c r="Z18" s="572"/>
      <c r="AB18" s="382"/>
      <c r="AC18" s="516"/>
      <c r="AD18" s="516"/>
      <c r="AE18" s="516"/>
      <c r="AF18" s="516"/>
      <c r="AG18" s="516"/>
      <c r="AH18" s="516"/>
      <c r="AI18" s="516"/>
      <c r="AJ18" s="516"/>
      <c r="AK18" s="516"/>
      <c r="AL18" s="516"/>
      <c r="AM18" s="383"/>
      <c r="AO18">
        <f ca="1">IF($A18="S",IF(BM!$I18=0,0,CHOOSE(MATCH(RegimeExecucao,{"Global","Unitário"},0),ROUND(ROUND(BM.MEDAcumulado,15-13*BM!$A$9)/100*BM!$I18,15-13*ORÇAMENTO!$AF$11),ROUND(ROUND(BM.MEDAcumulado,15-13*BM!$A$9)*ROUND(BM!$H18,15-13*ORÇAMENTO!$AF$10),15-13*ORÇAMENTO!$AF$11))),IF($A18=0,0,ROUND(SomaAgrupBM,15-13*ORÇAMENTO!$AF$11)))</f>
        <v>0</v>
      </c>
    </row>
    <row r="19" spans="1:41" x14ac:dyDescent="0.2">
      <c r="A19" t="str">
        <f ca="1">ORÇAMENTO!C19</f>
        <v>S</v>
      </c>
      <c r="B19">
        <f ca="1">ORÇAMENTO!D19</f>
        <v>0</v>
      </c>
      <c r="C19" s="116" t="str">
        <f t="shared" ca="1" si="1"/>
        <v/>
      </c>
      <c r="D19" s="119" t="str">
        <f ca="1">ORÇAMENTO!O19</f>
        <v>-</v>
      </c>
      <c r="E19" s="172" t="str">
        <f t="shared" ca="1" si="2"/>
        <v>(abra o arquivo 'Referência 02-2025.xlsm)</v>
      </c>
      <c r="F19" s="173" t="str">
        <f ca="1">IF(RegimeExecucao="Global","",ORÇAMENTO.Unidade)</f>
        <v>-</v>
      </c>
      <c r="G19" s="124">
        <f ca="1">IF(RegimeExecucao="Global","",ORÇAMENTO!T19)</f>
        <v>501.6</v>
      </c>
      <c r="H19" s="124">
        <f ca="1">IF(RegimeExecucao="Global","",ORÇAMENTO!W19)</f>
        <v>0</v>
      </c>
      <c r="I19" s="127">
        <f ca="1">ORÇAMENTO!X19</f>
        <v>0</v>
      </c>
      <c r="J19" s="378">
        <f ca="1">IF($A19="S",IF(CAIXA.Modo,BM.AFAnterior,BM.MEDAnterior),IF(AND(RegimeExecucao="Global",$I19&gt;0,COUNTIF($AB$13:$AM$13,BM.medicao-1)&gt;0),M19/$I19*100,0))</f>
        <v>0</v>
      </c>
      <c r="K19" s="124">
        <f t="shared" ca="1" si="3"/>
        <v>0</v>
      </c>
      <c r="L19" s="379">
        <f ca="1">IF($A19="S",IF(CAIXA.Modo,BM.AFAcumulado,BM.MEDAcumulado),IF(AND(RegimeExecucao="Global",$I19&gt;0,COUNTIF($AB$13:$AM$13,BM.medicao)&gt;0),O19/$I19*100,0))</f>
        <v>0</v>
      </c>
      <c r="M19" s="380">
        <f ca="1">IF($A19="S",VTOTALBM,IF($A19=0,0,ROUND(SomaAgrupBM,15-13*ORÇAMENTO!$AF$11)))</f>
        <v>0</v>
      </c>
      <c r="N19" s="381">
        <f t="shared" ca="1" si="4"/>
        <v>0</v>
      </c>
      <c r="O19" s="127">
        <f ca="1">IF($A19="S",VTOTALBM,IF($A19=0,0,ROUND(SomaAgrupBM,15-13*ORÇAMENTO!$AF$11)))</f>
        <v>0</v>
      </c>
      <c r="Q19" s="382"/>
      <c r="R19" s="383"/>
      <c r="T19" s="119" t="str">
        <f t="shared" ca="1" si="5"/>
        <v/>
      </c>
      <c r="U19" s="172" t="str">
        <f t="shared" ca="1" si="6"/>
        <v/>
      </c>
      <c r="V19" s="173" t="str">
        <f ca="1">IF(AND($W19&gt;0,RegimeExecucao="Unitário"),$F19,"")</f>
        <v/>
      </c>
      <c r="W19" s="547">
        <f ca="1">IF($Y19&gt;0,CHOOSE(MATCH(RegimeExecucao,{"Unitário","Global"},0),IF($A19="S",$Y19/$X19,""),($Y19/$X19)*100),0)</f>
        <v>0</v>
      </c>
      <c r="X19" s="384" t="str">
        <f ca="1">IF($Y19&gt;0,CHOOSE(MATCH(RegimeExecucao,{"Unitário","Global"},0),IF($A19="S",ROUND($H19,ORÇAMENTO!$AF$10),""),ROUND($I19,ORÇAMENTO!$AF$11)),"")</f>
        <v/>
      </c>
      <c r="Y19" s="384">
        <f t="shared" ca="1" si="7"/>
        <v>0</v>
      </c>
      <c r="Z19" s="572"/>
      <c r="AB19" s="382"/>
      <c r="AC19" s="516"/>
      <c r="AD19" s="516"/>
      <c r="AE19" s="516"/>
      <c r="AF19" s="516"/>
      <c r="AG19" s="516"/>
      <c r="AH19" s="516"/>
      <c r="AI19" s="516"/>
      <c r="AJ19" s="516"/>
      <c r="AK19" s="516"/>
      <c r="AL19" s="516"/>
      <c r="AM19" s="383"/>
      <c r="AO19">
        <f ca="1">IF($A19="S",IF(BM!$I19=0,0,CHOOSE(MATCH(RegimeExecucao,{"Global","Unitário"},0),ROUND(ROUND(BM.MEDAcumulado,15-13*BM!$A$9)/100*BM!$I19,15-13*ORÇAMENTO!$AF$11),ROUND(ROUND(BM.MEDAcumulado,15-13*BM!$A$9)*ROUND(BM!$H19,15-13*ORÇAMENTO!$AF$10),15-13*ORÇAMENTO!$AF$11))),IF($A19=0,0,ROUND(SomaAgrupBM,15-13*ORÇAMENTO!$AF$11)))</f>
        <v>0</v>
      </c>
    </row>
    <row r="20" spans="1:41" ht="38.25" x14ac:dyDescent="0.2">
      <c r="A20" t="str">
        <f ca="1">ORÇAMENTO!C20</f>
        <v>S</v>
      </c>
      <c r="B20">
        <f ca="1">ORÇAMENTO!D20</f>
        <v>0</v>
      </c>
      <c r="C20" s="116" t="str">
        <f t="shared" ca="1" si="1"/>
        <v/>
      </c>
      <c r="D20" s="119" t="str">
        <f ca="1">ORÇAMENTO!O20</f>
        <v>-</v>
      </c>
      <c r="E20" s="172" t="str">
        <f t="shared" ca="1" si="2"/>
        <v>(abra o arquivo 'Referência 02-2025.xlsm)</v>
      </c>
      <c r="F20" s="173" t="str">
        <f ca="1">IF(RegimeExecucao="Global","",ORÇAMENTO.Unidade)</f>
        <v>-</v>
      </c>
      <c r="G20" s="124">
        <f ca="1">IF(RegimeExecucao="Global","",ORÇAMENTO!T20)</f>
        <v>1</v>
      </c>
      <c r="H20" s="124">
        <f ca="1">IF(RegimeExecucao="Global","",ORÇAMENTO!W20)</f>
        <v>0</v>
      </c>
      <c r="I20" s="127">
        <f ca="1">ORÇAMENTO!X20</f>
        <v>0</v>
      </c>
      <c r="J20" s="378">
        <f ca="1">IF($A20="S",IF(CAIXA.Modo,BM.AFAnterior,BM.MEDAnterior),IF(AND(RegimeExecucao="Global",$I20&gt;0,COUNTIF($AB$13:$AM$13,BM.medicao-1)&gt;0),M20/$I20*100,0))</f>
        <v>0</v>
      </c>
      <c r="K20" s="124">
        <f t="shared" ca="1" si="3"/>
        <v>0</v>
      </c>
      <c r="L20" s="379">
        <f ca="1">IF($A20="S",IF(CAIXA.Modo,BM.AFAcumulado,BM.MEDAcumulado),IF(AND(RegimeExecucao="Global",$I20&gt;0,COUNTIF($AB$13:$AM$13,BM.medicao)&gt;0),O20/$I20*100,0))</f>
        <v>0</v>
      </c>
      <c r="M20" s="380">
        <f ca="1">IF($A20="S",VTOTALBM,IF($A20=0,0,ROUND(SomaAgrupBM,15-13*ORÇAMENTO!$AF$11)))</f>
        <v>0</v>
      </c>
      <c r="N20" s="381">
        <f t="shared" ca="1" si="4"/>
        <v>0</v>
      </c>
      <c r="O20" s="127">
        <f ca="1">IF($A20="S",VTOTALBM,IF($A20=0,0,ROUND(SomaAgrupBM,15-13*ORÇAMENTO!$AF$11)))</f>
        <v>0</v>
      </c>
      <c r="Q20" s="382"/>
      <c r="R20" s="383"/>
      <c r="T20" s="119" t="str">
        <f t="shared" ca="1" si="5"/>
        <v/>
      </c>
      <c r="U20" s="172" t="str">
        <f t="shared" ca="1" si="6"/>
        <v/>
      </c>
      <c r="V20" s="173" t="str">
        <f ca="1">IF(AND($W20&gt;0,RegimeExecucao="Unitário"),$F20,"")</f>
        <v/>
      </c>
      <c r="W20" s="547">
        <f ca="1">IF($Y20&gt;0,CHOOSE(MATCH(RegimeExecucao,{"Unitário","Global"},0),IF($A20="S",$Y20/$X20,""),($Y20/$X20)*100),0)</f>
        <v>0</v>
      </c>
      <c r="X20" s="384" t="str">
        <f ca="1">IF($Y20&gt;0,CHOOSE(MATCH(RegimeExecucao,{"Unitário","Global"},0),IF($A20="S",ROUND($H20,ORÇAMENTO!$AF$10),""),ROUND($I20,ORÇAMENTO!$AF$11)),"")</f>
        <v/>
      </c>
      <c r="Y20" s="384">
        <f t="shared" ca="1" si="7"/>
        <v>0</v>
      </c>
      <c r="Z20" s="572"/>
      <c r="AB20" s="382"/>
      <c r="AC20" s="516"/>
      <c r="AD20" s="516"/>
      <c r="AE20" s="516"/>
      <c r="AF20" s="516"/>
      <c r="AG20" s="516"/>
      <c r="AH20" s="516"/>
      <c r="AI20" s="516"/>
      <c r="AJ20" s="516"/>
      <c r="AK20" s="516"/>
      <c r="AL20" s="516"/>
      <c r="AM20" s="383"/>
      <c r="AO20">
        <f ca="1">IF($A20="S",IF(BM!$I20=0,0,CHOOSE(MATCH(RegimeExecucao,{"Global","Unitário"},0),ROUND(ROUND(BM.MEDAcumulado,15-13*BM!$A$9)/100*BM!$I20,15-13*ORÇAMENTO!$AF$11),ROUND(ROUND(BM.MEDAcumulado,15-13*BM!$A$9)*ROUND(BM!$H20,15-13*ORÇAMENTO!$AF$10),15-13*ORÇAMENTO!$AF$11))),IF($A20=0,0,ROUND(SomaAgrupBM,15-13*ORÇAMENTO!$AF$11)))</f>
        <v>0</v>
      </c>
    </row>
    <row r="21" spans="1:41" x14ac:dyDescent="0.2">
      <c r="A21" t="str">
        <f ca="1">ORÇAMENTO!C21</f>
        <v>S</v>
      </c>
      <c r="B21">
        <f ca="1">ORÇAMENTO!D21</f>
        <v>0</v>
      </c>
      <c r="C21" s="116" t="str">
        <f t="shared" ca="1" si="1"/>
        <v/>
      </c>
      <c r="D21" s="119" t="str">
        <f ca="1">ORÇAMENTO!O21</f>
        <v>-</v>
      </c>
      <c r="E21" s="172" t="str">
        <f t="shared" ca="1" si="2"/>
        <v>(abra o arquivo 'Referência 02-2025.xlsm)</v>
      </c>
      <c r="F21" s="173" t="str">
        <f ca="1">IF(RegimeExecucao="Global","",ORÇAMENTO.Unidade)</f>
        <v>-</v>
      </c>
      <c r="G21" s="124">
        <f ca="1">IF(RegimeExecucao="Global","",ORÇAMENTO!T21)</f>
        <v>1</v>
      </c>
      <c r="H21" s="124">
        <f ca="1">IF(RegimeExecucao="Global","",ORÇAMENTO!W21)</f>
        <v>0</v>
      </c>
      <c r="I21" s="127">
        <f ca="1">ORÇAMENTO!X21</f>
        <v>0</v>
      </c>
      <c r="J21" s="378">
        <f ca="1">IF($A21="S",IF(CAIXA.Modo,BM.AFAnterior,BM.MEDAnterior),IF(AND(RegimeExecucao="Global",$I21&gt;0,COUNTIF($AB$13:$AM$13,BM.medicao-1)&gt;0),M21/$I21*100,0))</f>
        <v>0</v>
      </c>
      <c r="K21" s="124">
        <f t="shared" ca="1" si="3"/>
        <v>0</v>
      </c>
      <c r="L21" s="379">
        <f ca="1">IF($A21="S",IF(CAIXA.Modo,BM.AFAcumulado,BM.MEDAcumulado),IF(AND(RegimeExecucao="Global",$I21&gt;0,COUNTIF($AB$13:$AM$13,BM.medicao)&gt;0),O21/$I21*100,0))</f>
        <v>0</v>
      </c>
      <c r="M21" s="380">
        <f ca="1">IF($A21="S",VTOTALBM,IF($A21=0,0,ROUND(SomaAgrupBM,15-13*ORÇAMENTO!$AF$11)))</f>
        <v>0</v>
      </c>
      <c r="N21" s="381">
        <f t="shared" ca="1" si="4"/>
        <v>0</v>
      </c>
      <c r="O21" s="127">
        <f ca="1">IF($A21="S",VTOTALBM,IF($A21=0,0,ROUND(SomaAgrupBM,15-13*ORÇAMENTO!$AF$11)))</f>
        <v>0</v>
      </c>
      <c r="Q21" s="382"/>
      <c r="R21" s="383"/>
      <c r="T21" s="119" t="str">
        <f t="shared" ca="1" si="5"/>
        <v/>
      </c>
      <c r="U21" s="172" t="str">
        <f t="shared" ca="1" si="6"/>
        <v/>
      </c>
      <c r="V21" s="173" t="str">
        <f ca="1">IF(AND($W21&gt;0,RegimeExecucao="Unitário"),$F21,"")</f>
        <v/>
      </c>
      <c r="W21" s="547">
        <f ca="1">IF($Y21&gt;0,CHOOSE(MATCH(RegimeExecucao,{"Unitário","Global"},0),IF($A21="S",$Y21/$X21,""),($Y21/$X21)*100),0)</f>
        <v>0</v>
      </c>
      <c r="X21" s="384" t="str">
        <f ca="1">IF($Y21&gt;0,CHOOSE(MATCH(RegimeExecucao,{"Unitário","Global"},0),IF($A21="S",ROUND($H21,ORÇAMENTO!$AF$10),""),ROUND($I21,ORÇAMENTO!$AF$11)),"")</f>
        <v/>
      </c>
      <c r="Y21" s="384">
        <f t="shared" ca="1" si="7"/>
        <v>0</v>
      </c>
      <c r="Z21" s="572"/>
      <c r="AB21" s="382"/>
      <c r="AC21" s="516"/>
      <c r="AD21" s="516"/>
      <c r="AE21" s="516"/>
      <c r="AF21" s="516"/>
      <c r="AG21" s="516"/>
      <c r="AH21" s="516"/>
      <c r="AI21" s="516"/>
      <c r="AJ21" s="516"/>
      <c r="AK21" s="516"/>
      <c r="AL21" s="516"/>
      <c r="AM21" s="383"/>
      <c r="AO21">
        <f ca="1">IF($A21="S",IF(BM!$I21=0,0,CHOOSE(MATCH(RegimeExecucao,{"Global","Unitário"},0),ROUND(ROUND(BM.MEDAcumulado,15-13*BM!$A$9)/100*BM!$I21,15-13*ORÇAMENTO!$AF$11),ROUND(ROUND(BM.MEDAcumulado,15-13*BM!$A$9)*ROUND(BM!$H21,15-13*ORÇAMENTO!$AF$10),15-13*ORÇAMENTO!$AF$11))),IF($A21=0,0,ROUND(SomaAgrupBM,15-13*ORÇAMENTO!$AF$11)))</f>
        <v>0</v>
      </c>
    </row>
    <row r="22" spans="1:41" ht="38.25" x14ac:dyDescent="0.2">
      <c r="A22" t="str">
        <f ca="1">ORÇAMENTO!C22</f>
        <v>S</v>
      </c>
      <c r="B22">
        <f ca="1">ORÇAMENTO!D22</f>
        <v>0</v>
      </c>
      <c r="C22" s="116" t="str">
        <f t="shared" ca="1" si="1"/>
        <v/>
      </c>
      <c r="D22" s="119" t="str">
        <f ca="1">ORÇAMENTO!O22</f>
        <v>-</v>
      </c>
      <c r="E22" s="172" t="str">
        <f t="shared" ca="1" si="2"/>
        <v>(abra o arquivo 'Referência 02-2025.xlsm)</v>
      </c>
      <c r="F22" s="173" t="str">
        <f ca="1">IF(RegimeExecucao="Global","",ORÇAMENTO.Unidade)</f>
        <v>-</v>
      </c>
      <c r="G22" s="124">
        <f ca="1">IF(RegimeExecucao="Global","",ORÇAMENTO!T22)</f>
        <v>254</v>
      </c>
      <c r="H22" s="124">
        <f ca="1">IF(RegimeExecucao="Global","",ORÇAMENTO!W22)</f>
        <v>0</v>
      </c>
      <c r="I22" s="127">
        <f ca="1">ORÇAMENTO!X22</f>
        <v>0</v>
      </c>
      <c r="J22" s="378">
        <f ca="1">IF($A22="S",IF(CAIXA.Modo,BM.AFAnterior,BM.MEDAnterior),IF(AND(RegimeExecucao="Global",$I22&gt;0,COUNTIF($AB$13:$AM$13,BM.medicao-1)&gt;0),M22/$I22*100,0))</f>
        <v>0</v>
      </c>
      <c r="K22" s="124">
        <f t="shared" ca="1" si="3"/>
        <v>0</v>
      </c>
      <c r="L22" s="379">
        <f ca="1">IF($A22="S",IF(CAIXA.Modo,BM.AFAcumulado,BM.MEDAcumulado),IF(AND(RegimeExecucao="Global",$I22&gt;0,COUNTIF($AB$13:$AM$13,BM.medicao)&gt;0),O22/$I22*100,0))</f>
        <v>0</v>
      </c>
      <c r="M22" s="380">
        <f ca="1">IF($A22="S",VTOTALBM,IF($A22=0,0,ROUND(SomaAgrupBM,15-13*ORÇAMENTO!$AF$11)))</f>
        <v>0</v>
      </c>
      <c r="N22" s="381">
        <f t="shared" ca="1" si="4"/>
        <v>0</v>
      </c>
      <c r="O22" s="127">
        <f ca="1">IF($A22="S",VTOTALBM,IF($A22=0,0,ROUND(SomaAgrupBM,15-13*ORÇAMENTO!$AF$11)))</f>
        <v>0</v>
      </c>
      <c r="Q22" s="382"/>
      <c r="R22" s="383"/>
      <c r="T22" s="119" t="str">
        <f t="shared" ca="1" si="5"/>
        <v/>
      </c>
      <c r="U22" s="172" t="str">
        <f t="shared" ca="1" si="6"/>
        <v/>
      </c>
      <c r="V22" s="173" t="str">
        <f ca="1">IF(AND($W22&gt;0,RegimeExecucao="Unitário"),$F22,"")</f>
        <v/>
      </c>
      <c r="W22" s="547">
        <f ca="1">IF($Y22&gt;0,CHOOSE(MATCH(RegimeExecucao,{"Unitário","Global"},0),IF($A22="S",$Y22/$X22,""),($Y22/$X22)*100),0)</f>
        <v>0</v>
      </c>
      <c r="X22" s="384" t="str">
        <f ca="1">IF($Y22&gt;0,CHOOSE(MATCH(RegimeExecucao,{"Unitário","Global"},0),IF($A22="S",ROUND($H22,ORÇAMENTO!$AF$10),""),ROUND($I22,ORÇAMENTO!$AF$11)),"")</f>
        <v/>
      </c>
      <c r="Y22" s="384">
        <f t="shared" ca="1" si="7"/>
        <v>0</v>
      </c>
      <c r="Z22" s="572"/>
      <c r="AB22" s="382"/>
      <c r="AC22" s="516"/>
      <c r="AD22" s="516"/>
      <c r="AE22" s="516"/>
      <c r="AF22" s="516"/>
      <c r="AG22" s="516"/>
      <c r="AH22" s="516"/>
      <c r="AI22" s="516"/>
      <c r="AJ22" s="516"/>
      <c r="AK22" s="516"/>
      <c r="AL22" s="516"/>
      <c r="AM22" s="383"/>
      <c r="AO22">
        <f ca="1">IF($A22="S",IF(BM!$I22=0,0,CHOOSE(MATCH(RegimeExecucao,{"Global","Unitário"},0),ROUND(ROUND(BM.MEDAcumulado,15-13*BM!$A$9)/100*BM!$I22,15-13*ORÇAMENTO!$AF$11),ROUND(ROUND(BM.MEDAcumulado,15-13*BM!$A$9)*ROUND(BM!$H22,15-13*ORÇAMENTO!$AF$10),15-13*ORÇAMENTO!$AF$11))),IF($A22=0,0,ROUND(SomaAgrupBM,15-13*ORÇAMENTO!$AF$11)))</f>
        <v>0</v>
      </c>
    </row>
    <row r="23" spans="1:41" x14ac:dyDescent="0.2">
      <c r="A23" t="str">
        <f ca="1">ORÇAMENTO!C23</f>
        <v>S</v>
      </c>
      <c r="B23">
        <f ca="1">ORÇAMENTO!D23</f>
        <v>0</v>
      </c>
      <c r="C23" s="116" t="str">
        <f t="shared" ca="1" si="1"/>
        <v/>
      </c>
      <c r="D23" s="119" t="str">
        <f ca="1">ORÇAMENTO!O23</f>
        <v>-</v>
      </c>
      <c r="E23" s="172" t="str">
        <f t="shared" ca="1" si="2"/>
        <v>(abra o arquivo 'Referência 02-2025.xlsm)</v>
      </c>
      <c r="F23" s="173" t="str">
        <f ca="1">IF(RegimeExecucao="Global","",ORÇAMENTO.Unidade)</f>
        <v>-</v>
      </c>
      <c r="G23" s="124">
        <f ca="1">IF(RegimeExecucao="Global","",ORÇAMENTO!T23)</f>
        <v>1</v>
      </c>
      <c r="H23" s="124">
        <f ca="1">IF(RegimeExecucao="Global","",ORÇAMENTO!W23)</f>
        <v>0</v>
      </c>
      <c r="I23" s="127">
        <f ca="1">ORÇAMENTO!X23</f>
        <v>0</v>
      </c>
      <c r="J23" s="378">
        <f ca="1">IF($A23="S",IF(CAIXA.Modo,BM.AFAnterior,BM.MEDAnterior),IF(AND(RegimeExecucao="Global",$I23&gt;0,COUNTIF($AB$13:$AM$13,BM.medicao-1)&gt;0),M23/$I23*100,0))</f>
        <v>0</v>
      </c>
      <c r="K23" s="124">
        <f t="shared" ca="1" si="3"/>
        <v>0</v>
      </c>
      <c r="L23" s="379">
        <f ca="1">IF($A23="S",IF(CAIXA.Modo,BM.AFAcumulado,BM.MEDAcumulado),IF(AND(RegimeExecucao="Global",$I23&gt;0,COUNTIF($AB$13:$AM$13,BM.medicao)&gt;0),O23/$I23*100,0))</f>
        <v>0</v>
      </c>
      <c r="M23" s="380">
        <f ca="1">IF($A23="S",VTOTALBM,IF($A23=0,0,ROUND(SomaAgrupBM,15-13*ORÇAMENTO!$AF$11)))</f>
        <v>0</v>
      </c>
      <c r="N23" s="381">
        <f t="shared" ca="1" si="4"/>
        <v>0</v>
      </c>
      <c r="O23" s="127">
        <f ca="1">IF($A23="S",VTOTALBM,IF($A23=0,0,ROUND(SomaAgrupBM,15-13*ORÇAMENTO!$AF$11)))</f>
        <v>0</v>
      </c>
      <c r="Q23" s="382"/>
      <c r="R23" s="383"/>
      <c r="T23" s="119" t="str">
        <f t="shared" ca="1" si="5"/>
        <v/>
      </c>
      <c r="U23" s="172" t="str">
        <f t="shared" ca="1" si="6"/>
        <v/>
      </c>
      <c r="V23" s="173" t="str">
        <f ca="1">IF(AND($W23&gt;0,RegimeExecucao="Unitário"),$F23,"")</f>
        <v/>
      </c>
      <c r="W23" s="547">
        <f ca="1">IF($Y23&gt;0,CHOOSE(MATCH(RegimeExecucao,{"Unitário","Global"},0),IF($A23="S",$Y23/$X23,""),($Y23/$X23)*100),0)</f>
        <v>0</v>
      </c>
      <c r="X23" s="384" t="str">
        <f ca="1">IF($Y23&gt;0,CHOOSE(MATCH(RegimeExecucao,{"Unitário","Global"},0),IF($A23="S",ROUND($H23,ORÇAMENTO!$AF$10),""),ROUND($I23,ORÇAMENTO!$AF$11)),"")</f>
        <v/>
      </c>
      <c r="Y23" s="384">
        <f t="shared" ca="1" si="7"/>
        <v>0</v>
      </c>
      <c r="Z23" s="572"/>
      <c r="AB23" s="382"/>
      <c r="AC23" s="516"/>
      <c r="AD23" s="516"/>
      <c r="AE23" s="516"/>
      <c r="AF23" s="516"/>
      <c r="AG23" s="516"/>
      <c r="AH23" s="516"/>
      <c r="AI23" s="516"/>
      <c r="AJ23" s="516"/>
      <c r="AK23" s="516"/>
      <c r="AL23" s="516"/>
      <c r="AM23" s="383"/>
      <c r="AO23">
        <f ca="1">IF($A23="S",IF(BM!$I23=0,0,CHOOSE(MATCH(RegimeExecucao,{"Global","Unitário"},0),ROUND(ROUND(BM.MEDAcumulado,15-13*BM!$A$9)/100*BM!$I23,15-13*ORÇAMENTO!$AF$11),ROUND(ROUND(BM.MEDAcumulado,15-13*BM!$A$9)*ROUND(BM!$H23,15-13*ORÇAMENTO!$AF$10),15-13*ORÇAMENTO!$AF$11))),IF($A23=0,0,ROUND(SomaAgrupBM,15-13*ORÇAMENTO!$AF$11)))</f>
        <v>0</v>
      </c>
    </row>
    <row r="24" spans="1:41" ht="38.25" x14ac:dyDescent="0.2">
      <c r="A24" t="str">
        <f ca="1">ORÇAMENTO!C24</f>
        <v>S</v>
      </c>
      <c r="B24">
        <f ca="1">ORÇAMENTO!D24</f>
        <v>0</v>
      </c>
      <c r="C24" s="116" t="str">
        <f t="shared" ca="1" si="1"/>
        <v/>
      </c>
      <c r="D24" s="119" t="str">
        <f ca="1">ORÇAMENTO!O24</f>
        <v>-</v>
      </c>
      <c r="E24" s="172" t="str">
        <f t="shared" ca="1" si="2"/>
        <v>(abra o arquivo 'Referência 02-2025.xlsm)</v>
      </c>
      <c r="F24" s="173" t="str">
        <f ca="1">IF(RegimeExecucao="Global","",ORÇAMENTO.Unidade)</f>
        <v>-</v>
      </c>
      <c r="G24" s="124">
        <f ca="1">IF(RegimeExecucao="Global","",ORÇAMENTO!T24)</f>
        <v>10</v>
      </c>
      <c r="H24" s="124">
        <f ca="1">IF(RegimeExecucao="Global","",ORÇAMENTO!W24)</f>
        <v>0</v>
      </c>
      <c r="I24" s="127">
        <f ca="1">ORÇAMENTO!X24</f>
        <v>0</v>
      </c>
      <c r="J24" s="378">
        <f ca="1">IF($A24="S",IF(CAIXA.Modo,BM.AFAnterior,BM.MEDAnterior),IF(AND(RegimeExecucao="Global",$I24&gt;0,COUNTIF($AB$13:$AM$13,BM.medicao-1)&gt;0),M24/$I24*100,0))</f>
        <v>0</v>
      </c>
      <c r="K24" s="124">
        <f t="shared" ca="1" si="3"/>
        <v>0</v>
      </c>
      <c r="L24" s="379">
        <f ca="1">IF($A24="S",IF(CAIXA.Modo,BM.AFAcumulado,BM.MEDAcumulado),IF(AND(RegimeExecucao="Global",$I24&gt;0,COUNTIF($AB$13:$AM$13,BM.medicao)&gt;0),O24/$I24*100,0))</f>
        <v>0</v>
      </c>
      <c r="M24" s="380">
        <f ca="1">IF($A24="S",VTOTALBM,IF($A24=0,0,ROUND(SomaAgrupBM,15-13*ORÇAMENTO!$AF$11)))</f>
        <v>0</v>
      </c>
      <c r="N24" s="381">
        <f t="shared" ca="1" si="4"/>
        <v>0</v>
      </c>
      <c r="O24" s="127">
        <f ca="1">IF($A24="S",VTOTALBM,IF($A24=0,0,ROUND(SomaAgrupBM,15-13*ORÇAMENTO!$AF$11)))</f>
        <v>0</v>
      </c>
      <c r="Q24" s="382"/>
      <c r="R24" s="383"/>
      <c r="T24" s="119" t="str">
        <f t="shared" ca="1" si="5"/>
        <v/>
      </c>
      <c r="U24" s="172" t="str">
        <f t="shared" ca="1" si="6"/>
        <v/>
      </c>
      <c r="V24" s="173" t="str">
        <f ca="1">IF(AND($W24&gt;0,RegimeExecucao="Unitário"),$F24,"")</f>
        <v/>
      </c>
      <c r="W24" s="547">
        <f ca="1">IF($Y24&gt;0,CHOOSE(MATCH(RegimeExecucao,{"Unitário","Global"},0),IF($A24="S",$Y24/$X24,""),($Y24/$X24)*100),0)</f>
        <v>0</v>
      </c>
      <c r="X24" s="384" t="str">
        <f ca="1">IF($Y24&gt;0,CHOOSE(MATCH(RegimeExecucao,{"Unitário","Global"},0),IF($A24="S",ROUND($H24,ORÇAMENTO!$AF$10),""),ROUND($I24,ORÇAMENTO!$AF$11)),"")</f>
        <v/>
      </c>
      <c r="Y24" s="384">
        <f t="shared" ca="1" si="7"/>
        <v>0</v>
      </c>
      <c r="Z24" s="572"/>
      <c r="AB24" s="382"/>
      <c r="AC24" s="516"/>
      <c r="AD24" s="516"/>
      <c r="AE24" s="516"/>
      <c r="AF24" s="516"/>
      <c r="AG24" s="516"/>
      <c r="AH24" s="516"/>
      <c r="AI24" s="516"/>
      <c r="AJ24" s="516"/>
      <c r="AK24" s="516"/>
      <c r="AL24" s="516"/>
      <c r="AM24" s="383"/>
      <c r="AO24">
        <f ca="1">IF($A24="S",IF(BM!$I24=0,0,CHOOSE(MATCH(RegimeExecucao,{"Global","Unitário"},0),ROUND(ROUND(BM.MEDAcumulado,15-13*BM!$A$9)/100*BM!$I24,15-13*ORÇAMENTO!$AF$11),ROUND(ROUND(BM.MEDAcumulado,15-13*BM!$A$9)*ROUND(BM!$H24,15-13*ORÇAMENTO!$AF$10),15-13*ORÇAMENTO!$AF$11))),IF($A24=0,0,ROUND(SomaAgrupBM,15-13*ORÇAMENTO!$AF$11)))</f>
        <v>0</v>
      </c>
    </row>
    <row r="25" spans="1:41" ht="38.25" x14ac:dyDescent="0.2">
      <c r="A25" t="str">
        <f ca="1">ORÇAMENTO!C25</f>
        <v>S</v>
      </c>
      <c r="B25">
        <f ca="1">ORÇAMENTO!D25</f>
        <v>0</v>
      </c>
      <c r="C25" s="116" t="str">
        <f t="shared" ca="1" si="1"/>
        <v/>
      </c>
      <c r="D25" s="119" t="str">
        <f ca="1">ORÇAMENTO!O25</f>
        <v>-</v>
      </c>
      <c r="E25" s="172" t="str">
        <f t="shared" ca="1" si="2"/>
        <v>(abra o arquivo 'Referência 02-2025.xlsm)</v>
      </c>
      <c r="F25" s="173" t="str">
        <f ca="1">IF(RegimeExecucao="Global","",ORÇAMENTO.Unidade)</f>
        <v>-</v>
      </c>
      <c r="G25" s="124">
        <f ca="1">IF(RegimeExecucao="Global","",ORÇAMENTO!T25)</f>
        <v>10</v>
      </c>
      <c r="H25" s="124">
        <f ca="1">IF(RegimeExecucao="Global","",ORÇAMENTO!W25)</f>
        <v>0</v>
      </c>
      <c r="I25" s="127">
        <f ca="1">ORÇAMENTO!X25</f>
        <v>0</v>
      </c>
      <c r="J25" s="378">
        <f ca="1">IF($A25="S",IF(CAIXA.Modo,BM.AFAnterior,BM.MEDAnterior),IF(AND(RegimeExecucao="Global",$I25&gt;0,COUNTIF($AB$13:$AM$13,BM.medicao-1)&gt;0),M25/$I25*100,0))</f>
        <v>0</v>
      </c>
      <c r="K25" s="124">
        <f t="shared" ca="1" si="3"/>
        <v>0</v>
      </c>
      <c r="L25" s="379">
        <f ca="1">IF($A25="S",IF(CAIXA.Modo,BM.AFAcumulado,BM.MEDAcumulado),IF(AND(RegimeExecucao="Global",$I25&gt;0,COUNTIF($AB$13:$AM$13,BM.medicao)&gt;0),O25/$I25*100,0))</f>
        <v>0</v>
      </c>
      <c r="M25" s="380">
        <f ca="1">IF($A25="S",VTOTALBM,IF($A25=0,0,ROUND(SomaAgrupBM,15-13*ORÇAMENTO!$AF$11)))</f>
        <v>0</v>
      </c>
      <c r="N25" s="381">
        <f t="shared" ca="1" si="4"/>
        <v>0</v>
      </c>
      <c r="O25" s="127">
        <f ca="1">IF($A25="S",VTOTALBM,IF($A25=0,0,ROUND(SomaAgrupBM,15-13*ORÇAMENTO!$AF$11)))</f>
        <v>0</v>
      </c>
      <c r="Q25" s="382"/>
      <c r="R25" s="383"/>
      <c r="T25" s="119" t="str">
        <f t="shared" ca="1" si="5"/>
        <v/>
      </c>
      <c r="U25" s="172" t="str">
        <f t="shared" ca="1" si="6"/>
        <v/>
      </c>
      <c r="V25" s="173" t="str">
        <f ca="1">IF(AND($W25&gt;0,RegimeExecucao="Unitário"),$F25,"")</f>
        <v/>
      </c>
      <c r="W25" s="547">
        <f ca="1">IF($Y25&gt;0,CHOOSE(MATCH(RegimeExecucao,{"Unitário","Global"},0),IF($A25="S",$Y25/$X25,""),($Y25/$X25)*100),0)</f>
        <v>0</v>
      </c>
      <c r="X25" s="384" t="str">
        <f ca="1">IF($Y25&gt;0,CHOOSE(MATCH(RegimeExecucao,{"Unitário","Global"},0),IF($A25="S",ROUND($H25,ORÇAMENTO!$AF$10),""),ROUND($I25,ORÇAMENTO!$AF$11)),"")</f>
        <v/>
      </c>
      <c r="Y25" s="384">
        <f t="shared" ca="1" si="7"/>
        <v>0</v>
      </c>
      <c r="Z25" s="572"/>
      <c r="AB25" s="382"/>
      <c r="AC25" s="516"/>
      <c r="AD25" s="516"/>
      <c r="AE25" s="516"/>
      <c r="AF25" s="516"/>
      <c r="AG25" s="516"/>
      <c r="AH25" s="516"/>
      <c r="AI25" s="516"/>
      <c r="AJ25" s="516"/>
      <c r="AK25" s="516"/>
      <c r="AL25" s="516"/>
      <c r="AM25" s="383"/>
      <c r="AO25">
        <f ca="1">IF($A25="S",IF(BM!$I25=0,0,CHOOSE(MATCH(RegimeExecucao,{"Global","Unitário"},0),ROUND(ROUND(BM.MEDAcumulado,15-13*BM!$A$9)/100*BM!$I25,15-13*ORÇAMENTO!$AF$11),ROUND(ROUND(BM.MEDAcumulado,15-13*BM!$A$9)*ROUND(BM!$H25,15-13*ORÇAMENTO!$AF$10),15-13*ORÇAMENTO!$AF$11))),IF($A25=0,0,ROUND(SomaAgrupBM,15-13*ORÇAMENTO!$AF$11)))</f>
        <v>0</v>
      </c>
    </row>
    <row r="26" spans="1:41" ht="38.25" x14ac:dyDescent="0.2">
      <c r="A26" t="str">
        <f ca="1">ORÇAMENTO!C26</f>
        <v>S</v>
      </c>
      <c r="B26">
        <f ca="1">ORÇAMENTO!D26</f>
        <v>0</v>
      </c>
      <c r="C26" s="116" t="str">
        <f t="shared" ca="1" si="1"/>
        <v/>
      </c>
      <c r="D26" s="119" t="str">
        <f ca="1">ORÇAMENTO!O26</f>
        <v>-</v>
      </c>
      <c r="E26" s="172" t="str">
        <f t="shared" ca="1" si="2"/>
        <v>(abra o arquivo 'Referência 02-2025.xlsm)</v>
      </c>
      <c r="F26" s="173" t="str">
        <f ca="1">IF(RegimeExecucao="Global","",ORÇAMENTO.Unidade)</f>
        <v>-</v>
      </c>
      <c r="G26" s="124">
        <f ca="1">IF(RegimeExecucao="Global","",ORÇAMENTO!T26)</f>
        <v>10</v>
      </c>
      <c r="H26" s="124">
        <f ca="1">IF(RegimeExecucao="Global","",ORÇAMENTO!W26)</f>
        <v>0</v>
      </c>
      <c r="I26" s="127">
        <f ca="1">ORÇAMENTO!X26</f>
        <v>0</v>
      </c>
      <c r="J26" s="378">
        <f ca="1">IF($A26="S",IF(CAIXA.Modo,BM.AFAnterior,BM.MEDAnterior),IF(AND(RegimeExecucao="Global",$I26&gt;0,COUNTIF($AB$13:$AM$13,BM.medicao-1)&gt;0),M26/$I26*100,0))</f>
        <v>0</v>
      </c>
      <c r="K26" s="124">
        <f t="shared" ca="1" si="3"/>
        <v>0</v>
      </c>
      <c r="L26" s="379">
        <f ca="1">IF($A26="S",IF(CAIXA.Modo,BM.AFAcumulado,BM.MEDAcumulado),IF(AND(RegimeExecucao="Global",$I26&gt;0,COUNTIF($AB$13:$AM$13,BM.medicao)&gt;0),O26/$I26*100,0))</f>
        <v>0</v>
      </c>
      <c r="M26" s="380">
        <f ca="1">IF($A26="S",VTOTALBM,IF($A26=0,0,ROUND(SomaAgrupBM,15-13*ORÇAMENTO!$AF$11)))</f>
        <v>0</v>
      </c>
      <c r="N26" s="381">
        <f t="shared" ca="1" si="4"/>
        <v>0</v>
      </c>
      <c r="O26" s="127">
        <f ca="1">IF($A26="S",VTOTALBM,IF($A26=0,0,ROUND(SomaAgrupBM,15-13*ORÇAMENTO!$AF$11)))</f>
        <v>0</v>
      </c>
      <c r="Q26" s="382"/>
      <c r="R26" s="383"/>
      <c r="T26" s="119" t="str">
        <f t="shared" ca="1" si="5"/>
        <v/>
      </c>
      <c r="U26" s="172" t="str">
        <f t="shared" ca="1" si="6"/>
        <v/>
      </c>
      <c r="V26" s="173" t="str">
        <f ca="1">IF(AND($W26&gt;0,RegimeExecucao="Unitário"),$F26,"")</f>
        <v/>
      </c>
      <c r="W26" s="547">
        <f ca="1">IF($Y26&gt;0,CHOOSE(MATCH(RegimeExecucao,{"Unitário","Global"},0),IF($A26="S",$Y26/$X26,""),($Y26/$X26)*100),0)</f>
        <v>0</v>
      </c>
      <c r="X26" s="384" t="str">
        <f ca="1">IF($Y26&gt;0,CHOOSE(MATCH(RegimeExecucao,{"Unitário","Global"},0),IF($A26="S",ROUND($H26,ORÇAMENTO!$AF$10),""),ROUND($I26,ORÇAMENTO!$AF$11)),"")</f>
        <v/>
      </c>
      <c r="Y26" s="384">
        <f t="shared" ca="1" si="7"/>
        <v>0</v>
      </c>
      <c r="Z26" s="572"/>
      <c r="AB26" s="382"/>
      <c r="AC26" s="516"/>
      <c r="AD26" s="516"/>
      <c r="AE26" s="516"/>
      <c r="AF26" s="516"/>
      <c r="AG26" s="516"/>
      <c r="AH26" s="516"/>
      <c r="AI26" s="516"/>
      <c r="AJ26" s="516"/>
      <c r="AK26" s="516"/>
      <c r="AL26" s="516"/>
      <c r="AM26" s="383"/>
      <c r="AO26">
        <f ca="1">IF($A26="S",IF(BM!$I26=0,0,CHOOSE(MATCH(RegimeExecucao,{"Global","Unitário"},0),ROUND(ROUND(BM.MEDAcumulado,15-13*BM!$A$9)/100*BM!$I26,15-13*ORÇAMENTO!$AF$11),ROUND(ROUND(BM.MEDAcumulado,15-13*BM!$A$9)*ROUND(BM!$H26,15-13*ORÇAMENTO!$AF$10),15-13*ORÇAMENTO!$AF$11))),IF($A26=0,0,ROUND(SomaAgrupBM,15-13*ORÇAMENTO!$AF$11)))</f>
        <v>0</v>
      </c>
    </row>
    <row r="27" spans="1:41" x14ac:dyDescent="0.2">
      <c r="A27">
        <f ca="1">ORÇAMENTO!C27</f>
        <v>2</v>
      </c>
      <c r="B27">
        <f ca="1">ORÇAMENTO!D27</f>
        <v>8</v>
      </c>
      <c r="C27" s="116" t="str">
        <f t="shared" ca="1" si="1"/>
        <v>F</v>
      </c>
      <c r="D27" s="119" t="str">
        <f ca="1">ORÇAMENTO!O27</f>
        <v>1.2.</v>
      </c>
      <c r="E27" s="172" t="str">
        <f t="shared" ca="1" si="2"/>
        <v>MOVIMENTO DE TERRA PARA FUNDAÇÕES</v>
      </c>
      <c r="F27" s="173" t="str">
        <f ca="1">IF(RegimeExecucao="Global","",ORÇAMENTO.Unidade)</f>
        <v>-</v>
      </c>
      <c r="G27" s="124">
        <f ca="1">IF(RegimeExecucao="Global","",ORÇAMENTO!T27)</f>
        <v>0</v>
      </c>
      <c r="H27" s="124">
        <f ca="1">IF(RegimeExecucao="Global","",ORÇAMENTO!W27)</f>
        <v>0</v>
      </c>
      <c r="I27" s="127">
        <f ca="1">ORÇAMENTO!X27</f>
        <v>0</v>
      </c>
      <c r="J27" s="378">
        <f ca="1">IF($A27="S",IF(CAIXA.Modo,BM.AFAnterior,BM.MEDAnterior),IF(AND(RegimeExecucao="Global",$I27&gt;0,COUNTIF($AB$13:$AM$13,BM.medicao-1)&gt;0),M27/$I27*100,0))</f>
        <v>0</v>
      </c>
      <c r="K27" s="124">
        <f t="shared" ca="1" si="3"/>
        <v>0</v>
      </c>
      <c r="L27" s="379">
        <f ca="1">IF($A27="S",IF(CAIXA.Modo,BM.AFAcumulado,BM.MEDAcumulado),IF(AND(RegimeExecucao="Global",$I27&gt;0,COUNTIF($AB$13:$AM$13,BM.medicao)&gt;0),O27/$I27*100,0))</f>
        <v>0</v>
      </c>
      <c r="M27" s="380">
        <f ca="1">IF($A27="S",VTOTALBM,IF($A27=0,0,ROUND(SomaAgrupBM,15-13*ORÇAMENTO!$AF$11)))</f>
        <v>0</v>
      </c>
      <c r="N27" s="381">
        <f t="shared" ca="1" si="4"/>
        <v>0</v>
      </c>
      <c r="O27" s="127">
        <f ca="1">IF($A27="S",VTOTALBM,IF($A27=0,0,ROUND(SomaAgrupBM,15-13*ORÇAMENTO!$AF$11)))</f>
        <v>0</v>
      </c>
      <c r="Q27" s="382"/>
      <c r="R27" s="383"/>
      <c r="T27" s="119" t="str">
        <f t="shared" ca="1" si="5"/>
        <v/>
      </c>
      <c r="U27" s="172" t="str">
        <f t="shared" ca="1" si="6"/>
        <v/>
      </c>
      <c r="V27" s="173" t="str">
        <f ca="1">IF(AND($W27&gt;0,RegimeExecucao="Unitário"),$F27,"")</f>
        <v/>
      </c>
      <c r="W27" s="547">
        <f ca="1">IF($Y27&gt;0,CHOOSE(MATCH(RegimeExecucao,{"Unitário","Global"},0),IF($A27="S",$Y27/$X27,""),($Y27/$X27)*100),0)</f>
        <v>0</v>
      </c>
      <c r="X27" s="384" t="str">
        <f ca="1">IF($Y27&gt;0,CHOOSE(MATCH(RegimeExecucao,{"Unitário","Global"},0),IF($A27="S",ROUND($H27,ORÇAMENTO!$AF$10),""),ROUND($I27,ORÇAMENTO!$AF$11)),"")</f>
        <v/>
      </c>
      <c r="Y27" s="384">
        <f t="shared" ca="1" si="7"/>
        <v>0</v>
      </c>
      <c r="Z27" s="572"/>
      <c r="AB27" s="382"/>
      <c r="AC27" s="516"/>
      <c r="AD27" s="516"/>
      <c r="AE27" s="516"/>
      <c r="AF27" s="516"/>
      <c r="AG27" s="516"/>
      <c r="AH27" s="516"/>
      <c r="AI27" s="516"/>
      <c r="AJ27" s="516"/>
      <c r="AK27" s="516"/>
      <c r="AL27" s="516"/>
      <c r="AM27" s="383"/>
      <c r="AO27">
        <f ca="1">IF($A27="S",IF(BM!$I27=0,0,CHOOSE(MATCH(RegimeExecucao,{"Global","Unitário"},0),ROUND(ROUND(BM.MEDAcumulado,15-13*BM!$A$9)/100*BM!$I27,15-13*ORÇAMENTO!$AF$11),ROUND(ROUND(BM.MEDAcumulado,15-13*BM!$A$9)*ROUND(BM!$H27,15-13*ORÇAMENTO!$AF$10),15-13*ORÇAMENTO!$AF$11))),IF($A27=0,0,ROUND(SomaAgrupBM,15-13*ORÇAMENTO!$AF$11)))</f>
        <v>0</v>
      </c>
    </row>
    <row r="28" spans="1:41" ht="38.25" x14ac:dyDescent="0.2">
      <c r="A28" t="str">
        <f ca="1">ORÇAMENTO!C28</f>
        <v>S</v>
      </c>
      <c r="B28">
        <f ca="1">ORÇAMENTO!D28</f>
        <v>0</v>
      </c>
      <c r="C28" s="116" t="str">
        <f t="shared" ca="1" si="1"/>
        <v/>
      </c>
      <c r="D28" s="119" t="str">
        <f ca="1">ORÇAMENTO!O28</f>
        <v>-</v>
      </c>
      <c r="E28" s="172" t="str">
        <f t="shared" ca="1" si="2"/>
        <v>(abra o arquivo 'Referência 02-2025.xlsm)</v>
      </c>
      <c r="F28" s="173" t="str">
        <f ca="1">IF(RegimeExecucao="Global","",ORÇAMENTO.Unidade)</f>
        <v>-</v>
      </c>
      <c r="G28" s="124">
        <f ca="1">IF(RegimeExecucao="Global","",ORÇAMENTO!T28)</f>
        <v>2925</v>
      </c>
      <c r="H28" s="124">
        <f ca="1">IF(RegimeExecucao="Global","",ORÇAMENTO!W28)</f>
        <v>0</v>
      </c>
      <c r="I28" s="127">
        <f ca="1">ORÇAMENTO!X28</f>
        <v>0</v>
      </c>
      <c r="J28" s="378">
        <f ca="1">IF($A28="S",IF(CAIXA.Modo,BM.AFAnterior,BM.MEDAnterior),IF(AND(RegimeExecucao="Global",$I28&gt;0,COUNTIF($AB$13:$AM$13,BM.medicao-1)&gt;0),M28/$I28*100,0))</f>
        <v>0</v>
      </c>
      <c r="K28" s="124">
        <f t="shared" ca="1" si="3"/>
        <v>0</v>
      </c>
      <c r="L28" s="379">
        <f ca="1">IF($A28="S",IF(CAIXA.Modo,BM.AFAcumulado,BM.MEDAcumulado),IF(AND(RegimeExecucao="Global",$I28&gt;0,COUNTIF($AB$13:$AM$13,BM.medicao)&gt;0),O28/$I28*100,0))</f>
        <v>0</v>
      </c>
      <c r="M28" s="380">
        <f ca="1">IF($A28="S",VTOTALBM,IF($A28=0,0,ROUND(SomaAgrupBM,15-13*ORÇAMENTO!$AF$11)))</f>
        <v>0</v>
      </c>
      <c r="N28" s="381">
        <f t="shared" ca="1" si="4"/>
        <v>0</v>
      </c>
      <c r="O28" s="127">
        <f ca="1">IF($A28="S",VTOTALBM,IF($A28=0,0,ROUND(SomaAgrupBM,15-13*ORÇAMENTO!$AF$11)))</f>
        <v>0</v>
      </c>
      <c r="Q28" s="382"/>
      <c r="R28" s="383"/>
      <c r="T28" s="119" t="str">
        <f t="shared" ca="1" si="5"/>
        <v/>
      </c>
      <c r="U28" s="172" t="str">
        <f t="shared" ca="1" si="6"/>
        <v/>
      </c>
      <c r="V28" s="173" t="str">
        <f ca="1">IF(AND($W28&gt;0,RegimeExecucao="Unitário"),$F28,"")</f>
        <v/>
      </c>
      <c r="W28" s="547">
        <f ca="1">IF($Y28&gt;0,CHOOSE(MATCH(RegimeExecucao,{"Unitário","Global"},0),IF($A28="S",$Y28/$X28,""),($Y28/$X28)*100),0)</f>
        <v>0</v>
      </c>
      <c r="X28" s="384" t="str">
        <f ca="1">IF($Y28&gt;0,CHOOSE(MATCH(RegimeExecucao,{"Unitário","Global"},0),IF($A28="S",ROUND($H28,ORÇAMENTO!$AF$10),""),ROUND($I28,ORÇAMENTO!$AF$11)),"")</f>
        <v/>
      </c>
      <c r="Y28" s="384">
        <f t="shared" ca="1" si="7"/>
        <v>0</v>
      </c>
      <c r="Z28" s="572"/>
      <c r="AB28" s="382"/>
      <c r="AC28" s="516"/>
      <c r="AD28" s="516"/>
      <c r="AE28" s="516"/>
      <c r="AF28" s="516"/>
      <c r="AG28" s="516"/>
      <c r="AH28" s="516"/>
      <c r="AI28" s="516"/>
      <c r="AJ28" s="516"/>
      <c r="AK28" s="516"/>
      <c r="AL28" s="516"/>
      <c r="AM28" s="383"/>
      <c r="AO28">
        <f ca="1">IF($A28="S",IF(BM!$I28=0,0,CHOOSE(MATCH(RegimeExecucao,{"Global","Unitário"},0),ROUND(ROUND(BM.MEDAcumulado,15-13*BM!$A$9)/100*BM!$I28,15-13*ORÇAMENTO!$AF$11),ROUND(ROUND(BM.MEDAcumulado,15-13*BM!$A$9)*ROUND(BM!$H28,15-13*ORÇAMENTO!$AF$10),15-13*ORÇAMENTO!$AF$11))),IF($A28=0,0,ROUND(SomaAgrupBM,15-13*ORÇAMENTO!$AF$11)))</f>
        <v>0</v>
      </c>
    </row>
    <row r="29" spans="1:41" ht="51" x14ac:dyDescent="0.2">
      <c r="A29" t="str">
        <f ca="1">ORÇAMENTO!C29</f>
        <v>S</v>
      </c>
      <c r="B29">
        <f ca="1">ORÇAMENTO!D29</f>
        <v>0</v>
      </c>
      <c r="C29" s="116" t="str">
        <f t="shared" ca="1" si="1"/>
        <v/>
      </c>
      <c r="D29" s="119" t="str">
        <f ca="1">ORÇAMENTO!O29</f>
        <v>-</v>
      </c>
      <c r="E29" s="172" t="str">
        <f t="shared" ca="1" si="2"/>
        <v>(abra o arquivo 'Referência 02-2025.xlsm)</v>
      </c>
      <c r="F29" s="173" t="str">
        <f ca="1">IF(RegimeExecucao="Global","",ORÇAMENTO.Unidade)</f>
        <v>-</v>
      </c>
      <c r="G29" s="124">
        <f ca="1">IF(RegimeExecucao="Global","",ORÇAMENTO!T29)</f>
        <v>585</v>
      </c>
      <c r="H29" s="124">
        <f ca="1">IF(RegimeExecucao="Global","",ORÇAMENTO!W29)</f>
        <v>0</v>
      </c>
      <c r="I29" s="127">
        <f ca="1">ORÇAMENTO!X29</f>
        <v>0</v>
      </c>
      <c r="J29" s="378">
        <f ca="1">IF($A29="S",IF(CAIXA.Modo,BM.AFAnterior,BM.MEDAnterior),IF(AND(RegimeExecucao="Global",$I29&gt;0,COUNTIF($AB$13:$AM$13,BM.medicao-1)&gt;0),M29/$I29*100,0))</f>
        <v>0</v>
      </c>
      <c r="K29" s="124">
        <f t="shared" ca="1" si="3"/>
        <v>0</v>
      </c>
      <c r="L29" s="379">
        <f ca="1">IF($A29="S",IF(CAIXA.Modo,BM.AFAcumulado,BM.MEDAcumulado),IF(AND(RegimeExecucao="Global",$I29&gt;0,COUNTIF($AB$13:$AM$13,BM.medicao)&gt;0),O29/$I29*100,0))</f>
        <v>0</v>
      </c>
      <c r="M29" s="380">
        <f ca="1">IF($A29="S",VTOTALBM,IF($A29=0,0,ROUND(SomaAgrupBM,15-13*ORÇAMENTO!$AF$11)))</f>
        <v>0</v>
      </c>
      <c r="N29" s="381">
        <f t="shared" ca="1" si="4"/>
        <v>0</v>
      </c>
      <c r="O29" s="127">
        <f ca="1">IF($A29="S",VTOTALBM,IF($A29=0,0,ROUND(SomaAgrupBM,15-13*ORÇAMENTO!$AF$11)))</f>
        <v>0</v>
      </c>
      <c r="Q29" s="382"/>
      <c r="R29" s="383"/>
      <c r="T29" s="119" t="str">
        <f t="shared" ca="1" si="5"/>
        <v/>
      </c>
      <c r="U29" s="172" t="str">
        <f t="shared" ca="1" si="6"/>
        <v/>
      </c>
      <c r="V29" s="173" t="str">
        <f ca="1">IF(AND($W29&gt;0,RegimeExecucao="Unitário"),$F29,"")</f>
        <v/>
      </c>
      <c r="W29" s="547">
        <f ca="1">IF($Y29&gt;0,CHOOSE(MATCH(RegimeExecucao,{"Unitário","Global"},0),IF($A29="S",$Y29/$X29,""),($Y29/$X29)*100),0)</f>
        <v>0</v>
      </c>
      <c r="X29" s="384" t="str">
        <f ca="1">IF($Y29&gt;0,CHOOSE(MATCH(RegimeExecucao,{"Unitário","Global"},0),IF($A29="S",ROUND($H29,ORÇAMENTO!$AF$10),""),ROUND($I29,ORÇAMENTO!$AF$11)),"")</f>
        <v/>
      </c>
      <c r="Y29" s="384">
        <f t="shared" ca="1" si="7"/>
        <v>0</v>
      </c>
      <c r="Z29" s="572"/>
      <c r="AB29" s="382"/>
      <c r="AC29" s="516"/>
      <c r="AD29" s="516"/>
      <c r="AE29" s="516"/>
      <c r="AF29" s="516"/>
      <c r="AG29" s="516"/>
      <c r="AH29" s="516"/>
      <c r="AI29" s="516"/>
      <c r="AJ29" s="516"/>
      <c r="AK29" s="516"/>
      <c r="AL29" s="516"/>
      <c r="AM29" s="383"/>
      <c r="AO29">
        <f ca="1">IF($A29="S",IF(BM!$I29=0,0,CHOOSE(MATCH(RegimeExecucao,{"Global","Unitário"},0),ROUND(ROUND(BM.MEDAcumulado,15-13*BM!$A$9)/100*BM!$I29,15-13*ORÇAMENTO!$AF$11),ROUND(ROUND(BM.MEDAcumulado,15-13*BM!$A$9)*ROUND(BM!$H29,15-13*ORÇAMENTO!$AF$10),15-13*ORÇAMENTO!$AF$11))),IF($A29=0,0,ROUND(SomaAgrupBM,15-13*ORÇAMENTO!$AF$11)))</f>
        <v>0</v>
      </c>
    </row>
    <row r="30" spans="1:41" ht="38.25" x14ac:dyDescent="0.2">
      <c r="A30" t="str">
        <f ca="1">ORÇAMENTO!C30</f>
        <v>S</v>
      </c>
      <c r="B30">
        <f ca="1">ORÇAMENTO!D30</f>
        <v>0</v>
      </c>
      <c r="C30" s="116" t="str">
        <f t="shared" ca="1" si="1"/>
        <v/>
      </c>
      <c r="D30" s="119" t="str">
        <f ca="1">ORÇAMENTO!O30</f>
        <v>-</v>
      </c>
      <c r="E30" s="172" t="str">
        <f t="shared" ca="1" si="2"/>
        <v>(abra o arquivo 'Referência 02-2025.xlsm)</v>
      </c>
      <c r="F30" s="173" t="str">
        <f ca="1">IF(RegimeExecucao="Global","",ORÇAMENTO.Unidade)</f>
        <v>-</v>
      </c>
      <c r="G30" s="124">
        <f ca="1">IF(RegimeExecucao="Global","",ORÇAMENTO!T30)</f>
        <v>457.05</v>
      </c>
      <c r="H30" s="124">
        <f ca="1">IF(RegimeExecucao="Global","",ORÇAMENTO!W30)</f>
        <v>0</v>
      </c>
      <c r="I30" s="127">
        <f ca="1">ORÇAMENTO!X30</f>
        <v>0</v>
      </c>
      <c r="J30" s="378">
        <f ca="1">IF($A30="S",IF(CAIXA.Modo,BM.AFAnterior,BM.MEDAnterior),IF(AND(RegimeExecucao="Global",$I30&gt;0,COUNTIF($AB$13:$AM$13,BM.medicao-1)&gt;0),M30/$I30*100,0))</f>
        <v>0</v>
      </c>
      <c r="K30" s="124">
        <f t="shared" ca="1" si="3"/>
        <v>0</v>
      </c>
      <c r="L30" s="379">
        <f ca="1">IF($A30="S",IF(CAIXA.Modo,BM.AFAcumulado,BM.MEDAcumulado),IF(AND(RegimeExecucao="Global",$I30&gt;0,COUNTIF($AB$13:$AM$13,BM.medicao)&gt;0),O30/$I30*100,0))</f>
        <v>0</v>
      </c>
      <c r="M30" s="380">
        <f ca="1">IF($A30="S",VTOTALBM,IF($A30=0,0,ROUND(SomaAgrupBM,15-13*ORÇAMENTO!$AF$11)))</f>
        <v>0</v>
      </c>
      <c r="N30" s="381">
        <f t="shared" ca="1" si="4"/>
        <v>0</v>
      </c>
      <c r="O30" s="127">
        <f ca="1">IF($A30="S",VTOTALBM,IF($A30=0,0,ROUND(SomaAgrupBM,15-13*ORÇAMENTO!$AF$11)))</f>
        <v>0</v>
      </c>
      <c r="Q30" s="382"/>
      <c r="R30" s="383"/>
      <c r="T30" s="119" t="str">
        <f t="shared" ca="1" si="5"/>
        <v/>
      </c>
      <c r="U30" s="172" t="str">
        <f t="shared" ca="1" si="6"/>
        <v/>
      </c>
      <c r="V30" s="173" t="str">
        <f ca="1">IF(AND($W30&gt;0,RegimeExecucao="Unitário"),$F30,"")</f>
        <v/>
      </c>
      <c r="W30" s="547">
        <f ca="1">IF($Y30&gt;0,CHOOSE(MATCH(RegimeExecucao,{"Unitário","Global"},0),IF($A30="S",$Y30/$X30,""),($Y30/$X30)*100),0)</f>
        <v>0</v>
      </c>
      <c r="X30" s="384" t="str">
        <f ca="1">IF($Y30&gt;0,CHOOSE(MATCH(RegimeExecucao,{"Unitário","Global"},0),IF($A30="S",ROUND($H30,ORÇAMENTO!$AF$10),""),ROUND($I30,ORÇAMENTO!$AF$11)),"")</f>
        <v/>
      </c>
      <c r="Y30" s="384">
        <f t="shared" ca="1" si="7"/>
        <v>0</v>
      </c>
      <c r="Z30" s="572"/>
      <c r="AB30" s="382"/>
      <c r="AC30" s="516"/>
      <c r="AD30" s="516"/>
      <c r="AE30" s="516"/>
      <c r="AF30" s="516"/>
      <c r="AG30" s="516"/>
      <c r="AH30" s="516"/>
      <c r="AI30" s="516"/>
      <c r="AJ30" s="516"/>
      <c r="AK30" s="516"/>
      <c r="AL30" s="516"/>
      <c r="AM30" s="383"/>
      <c r="AO30">
        <f ca="1">IF($A30="S",IF(BM!$I30=0,0,CHOOSE(MATCH(RegimeExecucao,{"Global","Unitário"},0),ROUND(ROUND(BM.MEDAcumulado,15-13*BM!$A$9)/100*BM!$I30,15-13*ORÇAMENTO!$AF$11),ROUND(ROUND(BM.MEDAcumulado,15-13*BM!$A$9)*ROUND(BM!$H30,15-13*ORÇAMENTO!$AF$10),15-13*ORÇAMENTO!$AF$11))),IF($A30=0,0,ROUND(SomaAgrupBM,15-13*ORÇAMENTO!$AF$11)))</f>
        <v>0</v>
      </c>
    </row>
    <row r="31" spans="1:41" ht="38.25" x14ac:dyDescent="0.2">
      <c r="A31" t="str">
        <f ca="1">ORÇAMENTO!C31</f>
        <v>S</v>
      </c>
      <c r="B31">
        <f ca="1">ORÇAMENTO!D31</f>
        <v>0</v>
      </c>
      <c r="C31" s="116" t="str">
        <f t="shared" ca="1" si="1"/>
        <v/>
      </c>
      <c r="D31" s="119" t="str">
        <f ca="1">ORÇAMENTO!O31</f>
        <v>-</v>
      </c>
      <c r="E31" s="172" t="str">
        <f t="shared" ca="1" si="2"/>
        <v>(abra o arquivo 'Referência 02-2025.xlsm)</v>
      </c>
      <c r="F31" s="173" t="str">
        <f ca="1">IF(RegimeExecucao="Global","",ORÇAMENTO.Unidade)</f>
        <v>-</v>
      </c>
      <c r="G31" s="124">
        <f ca="1">IF(RegimeExecucao="Global","",ORÇAMENTO!T31)</f>
        <v>264.04000000000002</v>
      </c>
      <c r="H31" s="124">
        <f ca="1">IF(RegimeExecucao="Global","",ORÇAMENTO!W31)</f>
        <v>0</v>
      </c>
      <c r="I31" s="127">
        <f ca="1">ORÇAMENTO!X31</f>
        <v>0</v>
      </c>
      <c r="J31" s="378">
        <f ca="1">IF($A31="S",IF(CAIXA.Modo,BM.AFAnterior,BM.MEDAnterior),IF(AND(RegimeExecucao="Global",$I31&gt;0,COUNTIF($AB$13:$AM$13,BM.medicao-1)&gt;0),M31/$I31*100,0))</f>
        <v>0</v>
      </c>
      <c r="K31" s="124">
        <f t="shared" ca="1" si="3"/>
        <v>0</v>
      </c>
      <c r="L31" s="379">
        <f ca="1">IF($A31="S",IF(CAIXA.Modo,BM.AFAcumulado,BM.MEDAcumulado),IF(AND(RegimeExecucao="Global",$I31&gt;0,COUNTIF($AB$13:$AM$13,BM.medicao)&gt;0),O31/$I31*100,0))</f>
        <v>0</v>
      </c>
      <c r="M31" s="380">
        <f ca="1">IF($A31="S",VTOTALBM,IF($A31=0,0,ROUND(SomaAgrupBM,15-13*ORÇAMENTO!$AF$11)))</f>
        <v>0</v>
      </c>
      <c r="N31" s="381">
        <f t="shared" ca="1" si="4"/>
        <v>0</v>
      </c>
      <c r="O31" s="127">
        <f ca="1">IF($A31="S",VTOTALBM,IF($A31=0,0,ROUND(SomaAgrupBM,15-13*ORÇAMENTO!$AF$11)))</f>
        <v>0</v>
      </c>
      <c r="Q31" s="382"/>
      <c r="R31" s="383"/>
      <c r="T31" s="119" t="str">
        <f t="shared" ca="1" si="5"/>
        <v/>
      </c>
      <c r="U31" s="172" t="str">
        <f t="shared" ca="1" si="6"/>
        <v/>
      </c>
      <c r="V31" s="173" t="str">
        <f ca="1">IF(AND($W31&gt;0,RegimeExecucao="Unitário"),$F31,"")</f>
        <v/>
      </c>
      <c r="W31" s="547">
        <f ca="1">IF($Y31&gt;0,CHOOSE(MATCH(RegimeExecucao,{"Unitário","Global"},0),IF($A31="S",$Y31/$X31,""),($Y31/$X31)*100),0)</f>
        <v>0</v>
      </c>
      <c r="X31" s="384" t="str">
        <f ca="1">IF($Y31&gt;0,CHOOSE(MATCH(RegimeExecucao,{"Unitário","Global"},0),IF($A31="S",ROUND($H31,ORÇAMENTO!$AF$10),""),ROUND($I31,ORÇAMENTO!$AF$11)),"")</f>
        <v/>
      </c>
      <c r="Y31" s="384">
        <f t="shared" ca="1" si="7"/>
        <v>0</v>
      </c>
      <c r="Z31" s="572"/>
      <c r="AB31" s="382"/>
      <c r="AC31" s="516"/>
      <c r="AD31" s="516"/>
      <c r="AE31" s="516"/>
      <c r="AF31" s="516"/>
      <c r="AG31" s="516"/>
      <c r="AH31" s="516"/>
      <c r="AI31" s="516"/>
      <c r="AJ31" s="516"/>
      <c r="AK31" s="516"/>
      <c r="AL31" s="516"/>
      <c r="AM31" s="383"/>
      <c r="AO31">
        <f ca="1">IF($A31="S",IF(BM!$I31=0,0,CHOOSE(MATCH(RegimeExecucao,{"Global","Unitário"},0),ROUND(ROUND(BM.MEDAcumulado,15-13*BM!$A$9)/100*BM!$I31,15-13*ORÇAMENTO!$AF$11),ROUND(ROUND(BM.MEDAcumulado,15-13*BM!$A$9)*ROUND(BM!$H31,15-13*ORÇAMENTO!$AF$10),15-13*ORÇAMENTO!$AF$11))),IF($A31=0,0,ROUND(SomaAgrupBM,15-13*ORÇAMENTO!$AF$11)))</f>
        <v>0</v>
      </c>
    </row>
    <row r="32" spans="1:41" ht="25.5" x14ac:dyDescent="0.2">
      <c r="A32" t="str">
        <f ca="1">ORÇAMENTO!C32</f>
        <v>S</v>
      </c>
      <c r="B32">
        <f ca="1">ORÇAMENTO!D32</f>
        <v>0</v>
      </c>
      <c r="C32" s="116" t="str">
        <f t="shared" ca="1" si="1"/>
        <v/>
      </c>
      <c r="D32" s="119" t="str">
        <f ca="1">ORÇAMENTO!O32</f>
        <v>-</v>
      </c>
      <c r="E32" s="172" t="str">
        <f t="shared" ca="1" si="2"/>
        <v>(abra o arquivo 'Referência 02-2025.xlsm)</v>
      </c>
      <c r="F32" s="173" t="str">
        <f ca="1">IF(RegimeExecucao="Global","",ORÇAMENTO.Unidade)</f>
        <v>-</v>
      </c>
      <c r="G32" s="124">
        <f ca="1">IF(RegimeExecucao="Global","",ORÇAMENTO!T32)</f>
        <v>1317.99</v>
      </c>
      <c r="H32" s="124">
        <f ca="1">IF(RegimeExecucao="Global","",ORÇAMENTO!W32)</f>
        <v>0</v>
      </c>
      <c r="I32" s="127">
        <f ca="1">ORÇAMENTO!X32</f>
        <v>0</v>
      </c>
      <c r="J32" s="378">
        <f ca="1">IF($A32="S",IF(CAIXA.Modo,BM.AFAnterior,BM.MEDAnterior),IF(AND(RegimeExecucao="Global",$I32&gt;0,COUNTIF($AB$13:$AM$13,BM.medicao-1)&gt;0),M32/$I32*100,0))</f>
        <v>0</v>
      </c>
      <c r="K32" s="124">
        <f t="shared" ca="1" si="3"/>
        <v>0</v>
      </c>
      <c r="L32" s="379">
        <f ca="1">IF($A32="S",IF(CAIXA.Modo,BM.AFAcumulado,BM.MEDAcumulado),IF(AND(RegimeExecucao="Global",$I32&gt;0,COUNTIF($AB$13:$AM$13,BM.medicao)&gt;0),O32/$I32*100,0))</f>
        <v>0</v>
      </c>
      <c r="M32" s="380">
        <f ca="1">IF($A32="S",VTOTALBM,IF($A32=0,0,ROUND(SomaAgrupBM,15-13*ORÇAMENTO!$AF$11)))</f>
        <v>0</v>
      </c>
      <c r="N32" s="381">
        <f t="shared" ca="1" si="4"/>
        <v>0</v>
      </c>
      <c r="O32" s="127">
        <f ca="1">IF($A32="S",VTOTALBM,IF($A32=0,0,ROUND(SomaAgrupBM,15-13*ORÇAMENTO!$AF$11)))</f>
        <v>0</v>
      </c>
      <c r="Q32" s="382"/>
      <c r="R32" s="383"/>
      <c r="T32" s="119" t="str">
        <f t="shared" ca="1" si="5"/>
        <v/>
      </c>
      <c r="U32" s="172" t="str">
        <f t="shared" ca="1" si="6"/>
        <v/>
      </c>
      <c r="V32" s="173" t="str">
        <f ca="1">IF(AND($W32&gt;0,RegimeExecucao="Unitário"),$F32,"")</f>
        <v/>
      </c>
      <c r="W32" s="547">
        <f ca="1">IF($Y32&gt;0,CHOOSE(MATCH(RegimeExecucao,{"Unitário","Global"},0),IF($A32="S",$Y32/$X32,""),($Y32/$X32)*100),0)</f>
        <v>0</v>
      </c>
      <c r="X32" s="384" t="str">
        <f ca="1">IF($Y32&gt;0,CHOOSE(MATCH(RegimeExecucao,{"Unitário","Global"},0),IF($A32="S",ROUND($H32,ORÇAMENTO!$AF$10),""),ROUND($I32,ORÇAMENTO!$AF$11)),"")</f>
        <v/>
      </c>
      <c r="Y32" s="384">
        <f t="shared" ca="1" si="7"/>
        <v>0</v>
      </c>
      <c r="Z32" s="572"/>
      <c r="AB32" s="382"/>
      <c r="AC32" s="516"/>
      <c r="AD32" s="516"/>
      <c r="AE32" s="516"/>
      <c r="AF32" s="516"/>
      <c r="AG32" s="516"/>
      <c r="AH32" s="516"/>
      <c r="AI32" s="516"/>
      <c r="AJ32" s="516"/>
      <c r="AK32" s="516"/>
      <c r="AL32" s="516"/>
      <c r="AM32" s="383"/>
      <c r="AO32">
        <f ca="1">IF($A32="S",IF(BM!$I32=0,0,CHOOSE(MATCH(RegimeExecucao,{"Global","Unitário"},0),ROUND(ROUND(BM.MEDAcumulado,15-13*BM!$A$9)/100*BM!$I32,15-13*ORÇAMENTO!$AF$11),ROUND(ROUND(BM.MEDAcumulado,15-13*BM!$A$9)*ROUND(BM!$H32,15-13*ORÇAMENTO!$AF$10),15-13*ORÇAMENTO!$AF$11))),IF($A32=0,0,ROUND(SomaAgrupBM,15-13*ORÇAMENTO!$AF$11)))</f>
        <v>0</v>
      </c>
    </row>
    <row r="33" spans="1:41" ht="25.5" x14ac:dyDescent="0.2">
      <c r="A33" t="str">
        <f ca="1">ORÇAMENTO!C33</f>
        <v>S</v>
      </c>
      <c r="B33">
        <f ca="1">ORÇAMENTO!D33</f>
        <v>0</v>
      </c>
      <c r="C33" s="116" t="str">
        <f t="shared" ca="1" si="1"/>
        <v/>
      </c>
      <c r="D33" s="119" t="str">
        <f ca="1">ORÇAMENTO!O33</f>
        <v>-</v>
      </c>
      <c r="E33" s="172" t="str">
        <f t="shared" ca="1" si="2"/>
        <v>(abra o arquivo 'Referência 02-2025.xlsm)</v>
      </c>
      <c r="F33" s="173" t="str">
        <f ca="1">IF(RegimeExecucao="Global","",ORÇAMENTO.Unidade)</f>
        <v>-</v>
      </c>
      <c r="G33" s="124">
        <f ca="1">IF(RegimeExecucao="Global","",ORÇAMENTO!T33)</f>
        <v>619.96</v>
      </c>
      <c r="H33" s="124">
        <f ca="1">IF(RegimeExecucao="Global","",ORÇAMENTO!W33)</f>
        <v>0</v>
      </c>
      <c r="I33" s="127">
        <f ca="1">ORÇAMENTO!X33</f>
        <v>0</v>
      </c>
      <c r="J33" s="378">
        <f ca="1">IF($A33="S",IF(CAIXA.Modo,BM.AFAnterior,BM.MEDAnterior),IF(AND(RegimeExecucao="Global",$I33&gt;0,COUNTIF($AB$13:$AM$13,BM.medicao-1)&gt;0),M33/$I33*100,0))</f>
        <v>0</v>
      </c>
      <c r="K33" s="124">
        <f t="shared" ca="1" si="3"/>
        <v>0</v>
      </c>
      <c r="L33" s="379">
        <f ca="1">IF($A33="S",IF(CAIXA.Modo,BM.AFAcumulado,BM.MEDAcumulado),IF(AND(RegimeExecucao="Global",$I33&gt;0,COUNTIF($AB$13:$AM$13,BM.medicao)&gt;0),O33/$I33*100,0))</f>
        <v>0</v>
      </c>
      <c r="M33" s="380">
        <f ca="1">IF($A33="S",VTOTALBM,IF($A33=0,0,ROUND(SomaAgrupBM,15-13*ORÇAMENTO!$AF$11)))</f>
        <v>0</v>
      </c>
      <c r="N33" s="381">
        <f t="shared" ca="1" si="4"/>
        <v>0</v>
      </c>
      <c r="O33" s="127">
        <f ca="1">IF($A33="S",VTOTALBM,IF($A33=0,0,ROUND(SomaAgrupBM,15-13*ORÇAMENTO!$AF$11)))</f>
        <v>0</v>
      </c>
      <c r="Q33" s="382"/>
      <c r="R33" s="383"/>
      <c r="T33" s="119" t="str">
        <f t="shared" ca="1" si="5"/>
        <v/>
      </c>
      <c r="U33" s="172" t="str">
        <f t="shared" ca="1" si="6"/>
        <v/>
      </c>
      <c r="V33" s="173" t="str">
        <f ca="1">IF(AND($W33&gt;0,RegimeExecucao="Unitário"),$F33,"")</f>
        <v/>
      </c>
      <c r="W33" s="547">
        <f ca="1">IF($Y33&gt;0,CHOOSE(MATCH(RegimeExecucao,{"Unitário","Global"},0),IF($A33="S",$Y33/$X33,""),($Y33/$X33)*100),0)</f>
        <v>0</v>
      </c>
      <c r="X33" s="384" t="str">
        <f ca="1">IF($Y33&gt;0,CHOOSE(MATCH(RegimeExecucao,{"Unitário","Global"},0),IF($A33="S",ROUND($H33,ORÇAMENTO!$AF$10),""),ROUND($I33,ORÇAMENTO!$AF$11)),"")</f>
        <v/>
      </c>
      <c r="Y33" s="384">
        <f t="shared" ca="1" si="7"/>
        <v>0</v>
      </c>
      <c r="Z33" s="572"/>
      <c r="AB33" s="382"/>
      <c r="AC33" s="516"/>
      <c r="AD33" s="516"/>
      <c r="AE33" s="516"/>
      <c r="AF33" s="516"/>
      <c r="AG33" s="516"/>
      <c r="AH33" s="516"/>
      <c r="AI33" s="516"/>
      <c r="AJ33" s="516"/>
      <c r="AK33" s="516"/>
      <c r="AL33" s="516"/>
      <c r="AM33" s="383"/>
      <c r="AO33">
        <f ca="1">IF($A33="S",IF(BM!$I33=0,0,CHOOSE(MATCH(RegimeExecucao,{"Global","Unitário"},0),ROUND(ROUND(BM.MEDAcumulado,15-13*BM!$A$9)/100*BM!$I33,15-13*ORÇAMENTO!$AF$11),ROUND(ROUND(BM.MEDAcumulado,15-13*BM!$A$9)*ROUND(BM!$H33,15-13*ORÇAMENTO!$AF$10),15-13*ORÇAMENTO!$AF$11))),IF($A33=0,0,ROUND(SomaAgrupBM,15-13*ORÇAMENTO!$AF$11)))</f>
        <v>0</v>
      </c>
    </row>
    <row r="34" spans="1:41" ht="25.5" x14ac:dyDescent="0.2">
      <c r="A34" t="str">
        <f ca="1">ORÇAMENTO!C34</f>
        <v>S</v>
      </c>
      <c r="B34">
        <f ca="1">ORÇAMENTO!D34</f>
        <v>0</v>
      </c>
      <c r="C34" s="116" t="str">
        <f t="shared" ca="1" si="1"/>
        <v/>
      </c>
      <c r="D34" s="119" t="str">
        <f ca="1">ORÇAMENTO!O34</f>
        <v>-</v>
      </c>
      <c r="E34" s="172" t="str">
        <f t="shared" ca="1" si="2"/>
        <v>(abra o arquivo 'Referência 02-2025.xlsm)</v>
      </c>
      <c r="F34" s="173" t="str">
        <f ca="1">IF(RegimeExecucao="Global","",ORÇAMENTO.Unidade)</f>
        <v>-</v>
      </c>
      <c r="G34" s="124">
        <f ca="1">IF(RegimeExecucao="Global","",ORÇAMENTO!T34)</f>
        <v>247.36</v>
      </c>
      <c r="H34" s="124">
        <f ca="1">IF(RegimeExecucao="Global","",ORÇAMENTO!W34)</f>
        <v>0</v>
      </c>
      <c r="I34" s="127">
        <f ca="1">ORÇAMENTO!X34</f>
        <v>0</v>
      </c>
      <c r="J34" s="378">
        <f ca="1">IF($A34="S",IF(CAIXA.Modo,BM.AFAnterior,BM.MEDAnterior),IF(AND(RegimeExecucao="Global",$I34&gt;0,COUNTIF($AB$13:$AM$13,BM.medicao-1)&gt;0),M34/$I34*100,0))</f>
        <v>0</v>
      </c>
      <c r="K34" s="124">
        <f t="shared" ca="1" si="3"/>
        <v>0</v>
      </c>
      <c r="L34" s="379">
        <f ca="1">IF($A34="S",IF(CAIXA.Modo,BM.AFAcumulado,BM.MEDAcumulado),IF(AND(RegimeExecucao="Global",$I34&gt;0,COUNTIF($AB$13:$AM$13,BM.medicao)&gt;0),O34/$I34*100,0))</f>
        <v>0</v>
      </c>
      <c r="M34" s="380">
        <f ca="1">IF($A34="S",VTOTALBM,IF($A34=0,0,ROUND(SomaAgrupBM,15-13*ORÇAMENTO!$AF$11)))</f>
        <v>0</v>
      </c>
      <c r="N34" s="381">
        <f t="shared" ca="1" si="4"/>
        <v>0</v>
      </c>
      <c r="O34" s="127">
        <f ca="1">IF($A34="S",VTOTALBM,IF($A34=0,0,ROUND(SomaAgrupBM,15-13*ORÇAMENTO!$AF$11)))</f>
        <v>0</v>
      </c>
      <c r="Q34" s="382"/>
      <c r="R34" s="383"/>
      <c r="T34" s="119" t="str">
        <f t="shared" ca="1" si="5"/>
        <v/>
      </c>
      <c r="U34" s="172" t="str">
        <f t="shared" ca="1" si="6"/>
        <v/>
      </c>
      <c r="V34" s="173" t="str">
        <f ca="1">IF(AND($W34&gt;0,RegimeExecucao="Unitário"),$F34,"")</f>
        <v/>
      </c>
      <c r="W34" s="547">
        <f ca="1">IF($Y34&gt;0,CHOOSE(MATCH(RegimeExecucao,{"Unitário","Global"},0),IF($A34="S",$Y34/$X34,""),($Y34/$X34)*100),0)</f>
        <v>0</v>
      </c>
      <c r="X34" s="384" t="str">
        <f ca="1">IF($Y34&gt;0,CHOOSE(MATCH(RegimeExecucao,{"Unitário","Global"},0),IF($A34="S",ROUND($H34,ORÇAMENTO!$AF$10),""),ROUND($I34,ORÇAMENTO!$AF$11)),"")</f>
        <v/>
      </c>
      <c r="Y34" s="384">
        <f t="shared" ca="1" si="7"/>
        <v>0</v>
      </c>
      <c r="Z34" s="572"/>
      <c r="AB34" s="382"/>
      <c r="AC34" s="516"/>
      <c r="AD34" s="516"/>
      <c r="AE34" s="516"/>
      <c r="AF34" s="516"/>
      <c r="AG34" s="516"/>
      <c r="AH34" s="516"/>
      <c r="AI34" s="516"/>
      <c r="AJ34" s="516"/>
      <c r="AK34" s="516"/>
      <c r="AL34" s="516"/>
      <c r="AM34" s="383"/>
      <c r="AO34">
        <f ca="1">IF($A34="S",IF(BM!$I34=0,0,CHOOSE(MATCH(RegimeExecucao,{"Global","Unitário"},0),ROUND(ROUND(BM.MEDAcumulado,15-13*BM!$A$9)/100*BM!$I34,15-13*ORÇAMENTO!$AF$11),ROUND(ROUND(BM.MEDAcumulado,15-13*BM!$A$9)*ROUND(BM!$H34,15-13*ORÇAMENTO!$AF$10),15-13*ORÇAMENTO!$AF$11))),IF($A34=0,0,ROUND(SomaAgrupBM,15-13*ORÇAMENTO!$AF$11)))</f>
        <v>0</v>
      </c>
    </row>
    <row r="35" spans="1:41" x14ac:dyDescent="0.2">
      <c r="A35">
        <f ca="1">ORÇAMENTO!C35</f>
        <v>2</v>
      </c>
      <c r="B35">
        <f ca="1">ORÇAMENTO!D35</f>
        <v>24</v>
      </c>
      <c r="C35" s="116" t="str">
        <f t="shared" ca="1" si="1"/>
        <v>F</v>
      </c>
      <c r="D35" s="119" t="str">
        <f ca="1">ORÇAMENTO!O35</f>
        <v>1.3.</v>
      </c>
      <c r="E35" s="172" t="str">
        <f t="shared" ca="1" si="2"/>
        <v>FUNDAÇÕES</v>
      </c>
      <c r="F35" s="173" t="str">
        <f ca="1">IF(RegimeExecucao="Global","",ORÇAMENTO.Unidade)</f>
        <v>-</v>
      </c>
      <c r="G35" s="124">
        <f ca="1">IF(RegimeExecucao="Global","",ORÇAMENTO!T35)</f>
        <v>0</v>
      </c>
      <c r="H35" s="124">
        <f ca="1">IF(RegimeExecucao="Global","",ORÇAMENTO!W35)</f>
        <v>0</v>
      </c>
      <c r="I35" s="127">
        <f ca="1">ORÇAMENTO!X35</f>
        <v>0</v>
      </c>
      <c r="J35" s="378">
        <f ca="1">IF($A35="S",IF(CAIXA.Modo,BM.AFAnterior,BM.MEDAnterior),IF(AND(RegimeExecucao="Global",$I35&gt;0,COUNTIF($AB$13:$AM$13,BM.medicao-1)&gt;0),M35/$I35*100,0))</f>
        <v>0</v>
      </c>
      <c r="K35" s="124">
        <f t="shared" ca="1" si="3"/>
        <v>0</v>
      </c>
      <c r="L35" s="379">
        <f ca="1">IF($A35="S",IF(CAIXA.Modo,BM.AFAcumulado,BM.MEDAcumulado),IF(AND(RegimeExecucao="Global",$I35&gt;0,COUNTIF($AB$13:$AM$13,BM.medicao)&gt;0),O35/$I35*100,0))</f>
        <v>0</v>
      </c>
      <c r="M35" s="380">
        <f ca="1">IF($A35="S",VTOTALBM,IF($A35=0,0,ROUND(SomaAgrupBM,15-13*ORÇAMENTO!$AF$11)))</f>
        <v>0</v>
      </c>
      <c r="N35" s="381">
        <f t="shared" ca="1" si="4"/>
        <v>0</v>
      </c>
      <c r="O35" s="127">
        <f ca="1">IF($A35="S",VTOTALBM,IF($A35=0,0,ROUND(SomaAgrupBM,15-13*ORÇAMENTO!$AF$11)))</f>
        <v>0</v>
      </c>
      <c r="Q35" s="382"/>
      <c r="R35" s="383"/>
      <c r="T35" s="119" t="str">
        <f t="shared" ca="1" si="5"/>
        <v/>
      </c>
      <c r="U35" s="172" t="str">
        <f t="shared" ca="1" si="6"/>
        <v/>
      </c>
      <c r="V35" s="173" t="str">
        <f ca="1">IF(AND($W35&gt;0,RegimeExecucao="Unitário"),$F35,"")</f>
        <v/>
      </c>
      <c r="W35" s="547">
        <f ca="1">IF($Y35&gt;0,CHOOSE(MATCH(RegimeExecucao,{"Unitário","Global"},0),IF($A35="S",$Y35/$X35,""),($Y35/$X35)*100),0)</f>
        <v>0</v>
      </c>
      <c r="X35" s="384" t="str">
        <f ca="1">IF($Y35&gt;0,CHOOSE(MATCH(RegimeExecucao,{"Unitário","Global"},0),IF($A35="S",ROUND($H35,ORÇAMENTO!$AF$10),""),ROUND($I35,ORÇAMENTO!$AF$11)),"")</f>
        <v/>
      </c>
      <c r="Y35" s="384">
        <f t="shared" ca="1" si="7"/>
        <v>0</v>
      </c>
      <c r="Z35" s="572"/>
      <c r="AB35" s="382"/>
      <c r="AC35" s="516"/>
      <c r="AD35" s="516"/>
      <c r="AE35" s="516"/>
      <c r="AF35" s="516"/>
      <c r="AG35" s="516"/>
      <c r="AH35" s="516"/>
      <c r="AI35" s="516"/>
      <c r="AJ35" s="516"/>
      <c r="AK35" s="516"/>
      <c r="AL35" s="516"/>
      <c r="AM35" s="383"/>
      <c r="AO35">
        <f ca="1">IF($A35="S",IF(BM!$I35=0,0,CHOOSE(MATCH(RegimeExecucao,{"Global","Unitário"},0),ROUND(ROUND(BM.MEDAcumulado,15-13*BM!$A$9)/100*BM!$I35,15-13*ORÇAMENTO!$AF$11),ROUND(ROUND(BM.MEDAcumulado,15-13*BM!$A$9)*ROUND(BM!$H35,15-13*ORÇAMENTO!$AF$10),15-13*ORÇAMENTO!$AF$11))),IF($A35=0,0,ROUND(SomaAgrupBM,15-13*ORÇAMENTO!$AF$11)))</f>
        <v>0</v>
      </c>
    </row>
    <row r="36" spans="1:41" x14ac:dyDescent="0.2">
      <c r="A36">
        <f ca="1">ORÇAMENTO!C36</f>
        <v>3</v>
      </c>
      <c r="B36">
        <f ca="1">ORÇAMENTO!D36</f>
        <v>4</v>
      </c>
      <c r="C36" s="116" t="str">
        <f t="shared" ca="1" si="1"/>
        <v>F</v>
      </c>
      <c r="D36" s="119" t="str">
        <f ca="1">ORÇAMENTO!O36</f>
        <v>1.3.1.</v>
      </c>
      <c r="E36" s="172" t="str">
        <f t="shared" ca="1" si="2"/>
        <v xml:space="preserve">CONCRETO ARMADO PARA FUNDAÇÕES </v>
      </c>
      <c r="F36" s="173" t="str">
        <f ca="1">IF(RegimeExecucao="Global","",ORÇAMENTO.Unidade)</f>
        <v>-</v>
      </c>
      <c r="G36" s="124">
        <f ca="1">IF(RegimeExecucao="Global","",ORÇAMENTO!T36)</f>
        <v>0</v>
      </c>
      <c r="H36" s="124">
        <f ca="1">IF(RegimeExecucao="Global","",ORÇAMENTO!W36)</f>
        <v>0</v>
      </c>
      <c r="I36" s="127">
        <f ca="1">ORÇAMENTO!X36</f>
        <v>0</v>
      </c>
      <c r="J36" s="378">
        <f ca="1">IF($A36="S",IF(CAIXA.Modo,BM.AFAnterior,BM.MEDAnterior),IF(AND(RegimeExecucao="Global",$I36&gt;0,COUNTIF($AB$13:$AM$13,BM.medicao-1)&gt;0),M36/$I36*100,0))</f>
        <v>0</v>
      </c>
      <c r="K36" s="124">
        <f t="shared" ca="1" si="3"/>
        <v>0</v>
      </c>
      <c r="L36" s="379">
        <f ca="1">IF($A36="S",IF(CAIXA.Modo,BM.AFAcumulado,BM.MEDAcumulado),IF(AND(RegimeExecucao="Global",$I36&gt;0,COUNTIF($AB$13:$AM$13,BM.medicao)&gt;0),O36/$I36*100,0))</f>
        <v>0</v>
      </c>
      <c r="M36" s="380">
        <f ca="1">IF($A36="S",VTOTALBM,IF($A36=0,0,ROUND(SomaAgrupBM,15-13*ORÇAMENTO!$AF$11)))</f>
        <v>0</v>
      </c>
      <c r="N36" s="381">
        <f t="shared" ca="1" si="4"/>
        <v>0</v>
      </c>
      <c r="O36" s="127">
        <f ca="1">IF($A36="S",VTOTALBM,IF($A36=0,0,ROUND(SomaAgrupBM,15-13*ORÇAMENTO!$AF$11)))</f>
        <v>0</v>
      </c>
      <c r="Q36" s="382"/>
      <c r="R36" s="383"/>
      <c r="T36" s="119" t="str">
        <f t="shared" ca="1" si="5"/>
        <v/>
      </c>
      <c r="U36" s="172" t="str">
        <f t="shared" ca="1" si="6"/>
        <v/>
      </c>
      <c r="V36" s="173" t="str">
        <f ca="1">IF(AND($W36&gt;0,RegimeExecucao="Unitário"),$F36,"")</f>
        <v/>
      </c>
      <c r="W36" s="547">
        <f ca="1">IF($Y36&gt;0,CHOOSE(MATCH(RegimeExecucao,{"Unitário","Global"},0),IF($A36="S",$Y36/$X36,""),($Y36/$X36)*100),0)</f>
        <v>0</v>
      </c>
      <c r="X36" s="384" t="str">
        <f ca="1">IF($Y36&gt;0,CHOOSE(MATCH(RegimeExecucao,{"Unitário","Global"},0),IF($A36="S",ROUND($H36,ORÇAMENTO!$AF$10),""),ROUND($I36,ORÇAMENTO!$AF$11)),"")</f>
        <v/>
      </c>
      <c r="Y36" s="384">
        <f t="shared" ca="1" si="7"/>
        <v>0</v>
      </c>
      <c r="Z36" s="572"/>
      <c r="AB36" s="382"/>
      <c r="AC36" s="516"/>
      <c r="AD36" s="516"/>
      <c r="AE36" s="516"/>
      <c r="AF36" s="516"/>
      <c r="AG36" s="516"/>
      <c r="AH36" s="516"/>
      <c r="AI36" s="516"/>
      <c r="AJ36" s="516"/>
      <c r="AK36" s="516"/>
      <c r="AL36" s="516"/>
      <c r="AM36" s="383"/>
      <c r="AO36">
        <f ca="1">IF($A36="S",IF(BM!$I36=0,0,CHOOSE(MATCH(RegimeExecucao,{"Global","Unitário"},0),ROUND(ROUND(BM.MEDAcumulado,15-13*BM!$A$9)/100*BM!$I36,15-13*ORÇAMENTO!$AF$11),ROUND(ROUND(BM.MEDAcumulado,15-13*BM!$A$9)*ROUND(BM!$H36,15-13*ORÇAMENTO!$AF$10),15-13*ORÇAMENTO!$AF$11))),IF($A36=0,0,ROUND(SomaAgrupBM,15-13*ORÇAMENTO!$AF$11)))</f>
        <v>0</v>
      </c>
    </row>
    <row r="37" spans="1:41" ht="38.25" x14ac:dyDescent="0.2">
      <c r="A37" t="str">
        <f ca="1">ORÇAMENTO!C37</f>
        <v>S</v>
      </c>
      <c r="B37">
        <f ca="1">ORÇAMENTO!D37</f>
        <v>0</v>
      </c>
      <c r="C37" s="116" t="str">
        <f t="shared" ca="1" si="1"/>
        <v/>
      </c>
      <c r="D37" s="119" t="str">
        <f ca="1">ORÇAMENTO!O37</f>
        <v>-</v>
      </c>
      <c r="E37" s="172" t="str">
        <f t="shared" ca="1" si="2"/>
        <v>(abra o arquivo 'Referência 02-2025.xlsm)</v>
      </c>
      <c r="F37" s="173" t="str">
        <f ca="1">IF(RegimeExecucao="Global","",ORÇAMENTO.Unidade)</f>
        <v>-</v>
      </c>
      <c r="G37" s="124">
        <f ca="1">IF(RegimeExecucao="Global","",ORÇAMENTO!T37)</f>
        <v>880</v>
      </c>
      <c r="H37" s="124">
        <f ca="1">IF(RegimeExecucao="Global","",ORÇAMENTO!W37)</f>
        <v>0</v>
      </c>
      <c r="I37" s="127">
        <f ca="1">ORÇAMENTO!X37</f>
        <v>0</v>
      </c>
      <c r="J37" s="378">
        <f ca="1">IF($A37="S",IF(CAIXA.Modo,BM.AFAnterior,BM.MEDAnterior),IF(AND(RegimeExecucao="Global",$I37&gt;0,COUNTIF($AB$13:$AM$13,BM.medicao-1)&gt;0),M37/$I37*100,0))</f>
        <v>0</v>
      </c>
      <c r="K37" s="124">
        <f t="shared" ca="1" si="3"/>
        <v>0</v>
      </c>
      <c r="L37" s="379">
        <f ca="1">IF($A37="S",IF(CAIXA.Modo,BM.AFAcumulado,BM.MEDAcumulado),IF(AND(RegimeExecucao="Global",$I37&gt;0,COUNTIF($AB$13:$AM$13,BM.medicao)&gt;0),O37/$I37*100,0))</f>
        <v>0</v>
      </c>
      <c r="M37" s="380">
        <f ca="1">IF($A37="S",VTOTALBM,IF($A37=0,0,ROUND(SomaAgrupBM,15-13*ORÇAMENTO!$AF$11)))</f>
        <v>0</v>
      </c>
      <c r="N37" s="381">
        <f t="shared" ca="1" si="4"/>
        <v>0</v>
      </c>
      <c r="O37" s="127">
        <f ca="1">IF($A37="S",VTOTALBM,IF($A37=0,0,ROUND(SomaAgrupBM,15-13*ORÇAMENTO!$AF$11)))</f>
        <v>0</v>
      </c>
      <c r="Q37" s="382"/>
      <c r="R37" s="383"/>
      <c r="T37" s="119" t="str">
        <f t="shared" ca="1" si="5"/>
        <v/>
      </c>
      <c r="U37" s="172" t="str">
        <f t="shared" ca="1" si="6"/>
        <v/>
      </c>
      <c r="V37" s="173" t="str">
        <f ca="1">IF(AND($W37&gt;0,RegimeExecucao="Unitário"),$F37,"")</f>
        <v/>
      </c>
      <c r="W37" s="547">
        <f ca="1">IF($Y37&gt;0,CHOOSE(MATCH(RegimeExecucao,{"Unitário","Global"},0),IF($A37="S",$Y37/$X37,""),($Y37/$X37)*100),0)</f>
        <v>0</v>
      </c>
      <c r="X37" s="384" t="str">
        <f ca="1">IF($Y37&gt;0,CHOOSE(MATCH(RegimeExecucao,{"Unitário","Global"},0),IF($A37="S",ROUND($H37,ORÇAMENTO!$AF$10),""),ROUND($I37,ORÇAMENTO!$AF$11)),"")</f>
        <v/>
      </c>
      <c r="Y37" s="384">
        <f t="shared" ca="1" si="7"/>
        <v>0</v>
      </c>
      <c r="Z37" s="572"/>
      <c r="AB37" s="382"/>
      <c r="AC37" s="516"/>
      <c r="AD37" s="516"/>
      <c r="AE37" s="516"/>
      <c r="AF37" s="516"/>
      <c r="AG37" s="516"/>
      <c r="AH37" s="516"/>
      <c r="AI37" s="516"/>
      <c r="AJ37" s="516"/>
      <c r="AK37" s="516"/>
      <c r="AL37" s="516"/>
      <c r="AM37" s="383"/>
      <c r="AO37">
        <f ca="1">IF($A37="S",IF(BM!$I37=0,0,CHOOSE(MATCH(RegimeExecucao,{"Global","Unitário"},0),ROUND(ROUND(BM.MEDAcumulado,15-13*BM!$A$9)/100*BM!$I37,15-13*ORÇAMENTO!$AF$11),ROUND(ROUND(BM.MEDAcumulado,15-13*BM!$A$9)*ROUND(BM!$H37,15-13*ORÇAMENTO!$AF$10),15-13*ORÇAMENTO!$AF$11))),IF($A37=0,0,ROUND(SomaAgrupBM,15-13*ORÇAMENTO!$AF$11)))</f>
        <v>0</v>
      </c>
    </row>
    <row r="38" spans="1:41" ht="38.25" x14ac:dyDescent="0.2">
      <c r="A38" t="str">
        <f ca="1">ORÇAMENTO!C38</f>
        <v>S</v>
      </c>
      <c r="B38">
        <f ca="1">ORÇAMENTO!D38</f>
        <v>0</v>
      </c>
      <c r="C38" s="116" t="str">
        <f t="shared" ca="1" si="1"/>
        <v/>
      </c>
      <c r="D38" s="119" t="str">
        <f ca="1">ORÇAMENTO!O38</f>
        <v>-</v>
      </c>
      <c r="E38" s="172" t="str">
        <f t="shared" ca="1" si="2"/>
        <v>(abra o arquivo 'Referência 02-2025.xlsm)</v>
      </c>
      <c r="F38" s="173" t="str">
        <f ca="1">IF(RegimeExecucao="Global","",ORÇAMENTO.Unidade)</f>
        <v>-</v>
      </c>
      <c r="G38" s="124">
        <f ca="1">IF(RegimeExecucao="Global","",ORÇAMENTO!T38)</f>
        <v>448</v>
      </c>
      <c r="H38" s="124">
        <f ca="1">IF(RegimeExecucao="Global","",ORÇAMENTO!W38)</f>
        <v>0</v>
      </c>
      <c r="I38" s="127">
        <f ca="1">ORÇAMENTO!X38</f>
        <v>0</v>
      </c>
      <c r="J38" s="378">
        <f ca="1">IF($A38="S",IF(CAIXA.Modo,BM.AFAnterior,BM.MEDAnterior),IF(AND(RegimeExecucao="Global",$I38&gt;0,COUNTIF($AB$13:$AM$13,BM.medicao-1)&gt;0),M38/$I38*100,0))</f>
        <v>0</v>
      </c>
      <c r="K38" s="124">
        <f t="shared" ca="1" si="3"/>
        <v>0</v>
      </c>
      <c r="L38" s="379">
        <f ca="1">IF($A38="S",IF(CAIXA.Modo,BM.AFAcumulado,BM.MEDAcumulado),IF(AND(RegimeExecucao="Global",$I38&gt;0,COUNTIF($AB$13:$AM$13,BM.medicao)&gt;0),O38/$I38*100,0))</f>
        <v>0</v>
      </c>
      <c r="M38" s="380">
        <f ca="1">IF($A38="S",VTOTALBM,IF($A38=0,0,ROUND(SomaAgrupBM,15-13*ORÇAMENTO!$AF$11)))</f>
        <v>0</v>
      </c>
      <c r="N38" s="381">
        <f t="shared" ca="1" si="4"/>
        <v>0</v>
      </c>
      <c r="O38" s="127">
        <f ca="1">IF($A38="S",VTOTALBM,IF($A38=0,0,ROUND(SomaAgrupBM,15-13*ORÇAMENTO!$AF$11)))</f>
        <v>0</v>
      </c>
      <c r="Q38" s="382"/>
      <c r="R38" s="383"/>
      <c r="T38" s="119" t="str">
        <f t="shared" ca="1" si="5"/>
        <v/>
      </c>
      <c r="U38" s="172" t="str">
        <f t="shared" ca="1" si="6"/>
        <v/>
      </c>
      <c r="V38" s="173" t="str">
        <f ca="1">IF(AND($W38&gt;0,RegimeExecucao="Unitário"),$F38,"")</f>
        <v/>
      </c>
      <c r="W38" s="547">
        <f ca="1">IF($Y38&gt;0,CHOOSE(MATCH(RegimeExecucao,{"Unitário","Global"},0),IF($A38="S",$Y38/$X38,""),($Y38/$X38)*100),0)</f>
        <v>0</v>
      </c>
      <c r="X38" s="384" t="str">
        <f ca="1">IF($Y38&gt;0,CHOOSE(MATCH(RegimeExecucao,{"Unitário","Global"},0),IF($A38="S",ROUND($H38,ORÇAMENTO!$AF$10),""),ROUND($I38,ORÇAMENTO!$AF$11)),"")</f>
        <v/>
      </c>
      <c r="Y38" s="384">
        <f t="shared" ca="1" si="7"/>
        <v>0</v>
      </c>
      <c r="Z38" s="572"/>
      <c r="AB38" s="382"/>
      <c r="AC38" s="516"/>
      <c r="AD38" s="516"/>
      <c r="AE38" s="516"/>
      <c r="AF38" s="516"/>
      <c r="AG38" s="516"/>
      <c r="AH38" s="516"/>
      <c r="AI38" s="516"/>
      <c r="AJ38" s="516"/>
      <c r="AK38" s="516"/>
      <c r="AL38" s="516"/>
      <c r="AM38" s="383"/>
      <c r="AO38">
        <f ca="1">IF($A38="S",IF(BM!$I38=0,0,CHOOSE(MATCH(RegimeExecucao,{"Global","Unitário"},0),ROUND(ROUND(BM.MEDAcumulado,15-13*BM!$A$9)/100*BM!$I38,15-13*ORÇAMENTO!$AF$11),ROUND(ROUND(BM.MEDAcumulado,15-13*BM!$A$9)*ROUND(BM!$H38,15-13*ORÇAMENTO!$AF$10),15-13*ORÇAMENTO!$AF$11))),IF($A38=0,0,ROUND(SomaAgrupBM,15-13*ORÇAMENTO!$AF$11)))</f>
        <v>0</v>
      </c>
    </row>
    <row r="39" spans="1:41" ht="25.5" x14ac:dyDescent="0.2">
      <c r="A39" t="str">
        <f ca="1">ORÇAMENTO!C39</f>
        <v>S</v>
      </c>
      <c r="B39">
        <f ca="1">ORÇAMENTO!D39</f>
        <v>0</v>
      </c>
      <c r="C39" s="116" t="str">
        <f ca="1">IF(OR($I39&gt;0,$A39=1,$A39=2,$A39=3,$A39=4),"F","")</f>
        <v/>
      </c>
      <c r="D39" s="119" t="str">
        <f ca="1">ORÇAMENTO!O39</f>
        <v>-</v>
      </c>
      <c r="E39" s="172" t="str">
        <f>ORÇAMENTO.Descricao</f>
        <v>ARRASAMENTO MECANICO DE ESTACA DE CONCRETO ARMADO, DIAMETROS DE ATÉ 40 CM. AF_05/2021</v>
      </c>
      <c r="F39" s="173" t="str">
        <f ca="1">IF(RegimeExecucao="Global","",ORÇAMENTO.Unidade)</f>
        <v>-</v>
      </c>
      <c r="G39" s="124">
        <f ca="1">IF(RegimeExecucao="Global","",ORÇAMENTO!T39)</f>
        <v>166</v>
      </c>
      <c r="H39" s="124">
        <f ca="1">IF(RegimeExecucao="Global","",ORÇAMENTO!W39)</f>
        <v>0</v>
      </c>
      <c r="I39" s="127">
        <f ca="1">ORÇAMENTO!X39</f>
        <v>0</v>
      </c>
      <c r="J39" s="378">
        <f ca="1">IF($A39="S",IF(CAIXA.Modo,BM.AFAnterior,BM.MEDAnterior),IF(AND(RegimeExecucao="Global",$I39&gt;0,COUNTIF($AB$13:$AM$13,BM.medicao-1)&gt;0),M39/$I39*100,0))</f>
        <v>0</v>
      </c>
      <c r="K39" s="124">
        <f ca="1">L39-J39</f>
        <v>0</v>
      </c>
      <c r="L39" s="379">
        <f ca="1">IF($A39="S",IF(CAIXA.Modo,BM.AFAcumulado,BM.MEDAcumulado),IF(AND(RegimeExecucao="Global",$I39&gt;0,COUNTIF($AB$13:$AM$13,BM.medicao)&gt;0),O39/$I39*100,0))</f>
        <v>0</v>
      </c>
      <c r="M39" s="380">
        <f ca="1">IF($A39="S",VTOTALBM,IF($A39=0,0,ROUND(SomaAgrupBM,15-13*ORÇAMENTO!$AF$11)))</f>
        <v>0</v>
      </c>
      <c r="N39" s="381">
        <f ca="1">O39-M39</f>
        <v>0</v>
      </c>
      <c r="O39" s="127">
        <f ca="1">IF($A39="S",VTOTALBM,IF($A39=0,0,ROUND(SomaAgrupBM,15-13*ORÇAMENTO!$AF$11)))</f>
        <v>0</v>
      </c>
      <c r="Q39" s="382"/>
      <c r="R39" s="383"/>
      <c r="T39" s="119" t="str">
        <f ca="1">IF($W39&gt;0,$D39,"")</f>
        <v/>
      </c>
      <c r="U39" s="172" t="str">
        <f ca="1">IF($W39&gt;0,$E39,"")</f>
        <v/>
      </c>
      <c r="V39" s="173" t="str">
        <f ca="1">IF(AND($W39&gt;0,RegimeExecucao="Unitário"),$F39,"")</f>
        <v/>
      </c>
      <c r="W39" s="547">
        <f ca="1">IF($Y39&gt;0,CHOOSE(MATCH(RegimeExecucao,{"Unitário","Global"},0),IF($A39="S",$Y39/$X39,""),($Y39/$X39)*100),0)</f>
        <v>0</v>
      </c>
      <c r="X39" s="384" t="str">
        <f ca="1">IF($Y39&gt;0,CHOOSE(MATCH(RegimeExecucao,{"Unitário","Global"},0),IF($A39="S",ROUND($H39,ORÇAMENTO!$AF$10),""),ROUND($I39,ORÇAMENTO!$AF$11)),"")</f>
        <v/>
      </c>
      <c r="Y39" s="384">
        <f ca="1">AO39-O39</f>
        <v>0</v>
      </c>
      <c r="Z39" s="572"/>
      <c r="AB39" s="382"/>
      <c r="AC39" s="516"/>
      <c r="AD39" s="516"/>
      <c r="AE39" s="516"/>
      <c r="AF39" s="516"/>
      <c r="AG39" s="516"/>
      <c r="AH39" s="516"/>
      <c r="AI39" s="516"/>
      <c r="AJ39" s="516"/>
      <c r="AK39" s="516"/>
      <c r="AL39" s="516"/>
      <c r="AM39" s="383"/>
      <c r="AO39">
        <f ca="1">IF($A39="S",IF(BM!$I39=0,0,CHOOSE(MATCH(RegimeExecucao,{"Global","Unitário"},0),ROUND(ROUND(BM.MEDAcumulado,15-13*BM!$A$9)/100*BM!$I39,15-13*ORÇAMENTO!$AF$11),ROUND(ROUND(BM.MEDAcumulado,15-13*BM!$A$9)*ROUND(BM!$H39,15-13*ORÇAMENTO!$AF$10),15-13*ORÇAMENTO!$AF$11))),IF($A39=0,0,ROUND(SomaAgrupBM,15-13*ORÇAMENTO!$AF$11)))</f>
        <v>0</v>
      </c>
    </row>
    <row r="40" spans="1:41" x14ac:dyDescent="0.2">
      <c r="A40">
        <f ca="1">ORÇAMENTO!C40</f>
        <v>3</v>
      </c>
      <c r="B40">
        <f ca="1">ORÇAMENTO!D40</f>
        <v>8</v>
      </c>
      <c r="C40" s="116" t="str">
        <f t="shared" ca="1" si="1"/>
        <v>F</v>
      </c>
      <c r="D40" s="119" t="str">
        <f ca="1">ORÇAMENTO!O40</f>
        <v>1.3.2.</v>
      </c>
      <c r="E40" s="172" t="str">
        <f t="shared" ca="1" si="2"/>
        <v>CONCRETO ARMADO PARA SAPATAS</v>
      </c>
      <c r="F40" s="173" t="str">
        <f ca="1">IF(RegimeExecucao="Global","",ORÇAMENTO.Unidade)</f>
        <v>-</v>
      </c>
      <c r="G40" s="124">
        <f ca="1">IF(RegimeExecucao="Global","",ORÇAMENTO!T40)</f>
        <v>0</v>
      </c>
      <c r="H40" s="124">
        <f ca="1">IF(RegimeExecucao="Global","",ORÇAMENTO!W40)</f>
        <v>0</v>
      </c>
      <c r="I40" s="127">
        <f ca="1">ORÇAMENTO!X40</f>
        <v>0</v>
      </c>
      <c r="J40" s="378">
        <f ca="1">IF($A40="S",IF(CAIXA.Modo,BM.AFAnterior,BM.MEDAnterior),IF(AND(RegimeExecucao="Global",$I40&gt;0,COUNTIF($AB$13:$AM$13,BM.medicao-1)&gt;0),M40/$I40*100,0))</f>
        <v>0</v>
      </c>
      <c r="K40" s="124">
        <f t="shared" ca="1" si="3"/>
        <v>0</v>
      </c>
      <c r="L40" s="379">
        <f ca="1">IF($A40="S",IF(CAIXA.Modo,BM.AFAcumulado,BM.MEDAcumulado),IF(AND(RegimeExecucao="Global",$I40&gt;0,COUNTIF($AB$13:$AM$13,BM.medicao)&gt;0),O40/$I40*100,0))</f>
        <v>0</v>
      </c>
      <c r="M40" s="380">
        <f ca="1">IF($A40="S",VTOTALBM,IF($A40=0,0,ROUND(SomaAgrupBM,15-13*ORÇAMENTO!$AF$11)))</f>
        <v>0</v>
      </c>
      <c r="N40" s="381">
        <f t="shared" ca="1" si="4"/>
        <v>0</v>
      </c>
      <c r="O40" s="127">
        <f ca="1">IF($A40="S",VTOTALBM,IF($A40=0,0,ROUND(SomaAgrupBM,15-13*ORÇAMENTO!$AF$11)))</f>
        <v>0</v>
      </c>
      <c r="Q40" s="382"/>
      <c r="R40" s="383"/>
      <c r="T40" s="119" t="str">
        <f t="shared" ca="1" si="5"/>
        <v/>
      </c>
      <c r="U40" s="172" t="str">
        <f t="shared" ca="1" si="6"/>
        <v/>
      </c>
      <c r="V40" s="173" t="str">
        <f ca="1">IF(AND($W40&gt;0,RegimeExecucao="Unitário"),$F40,"")</f>
        <v/>
      </c>
      <c r="W40" s="547">
        <f ca="1">IF($Y40&gt;0,CHOOSE(MATCH(RegimeExecucao,{"Unitário","Global"},0),IF($A40="S",$Y40/$X40,""),($Y40/$X40)*100),0)</f>
        <v>0</v>
      </c>
      <c r="X40" s="384" t="str">
        <f ca="1">IF($Y40&gt;0,CHOOSE(MATCH(RegimeExecucao,{"Unitário","Global"},0),IF($A40="S",ROUND($H40,ORÇAMENTO!$AF$10),""),ROUND($I40,ORÇAMENTO!$AF$11)),"")</f>
        <v/>
      </c>
      <c r="Y40" s="384">
        <f t="shared" ca="1" si="7"/>
        <v>0</v>
      </c>
      <c r="Z40" s="572"/>
      <c r="AB40" s="382"/>
      <c r="AC40" s="516"/>
      <c r="AD40" s="516"/>
      <c r="AE40" s="516"/>
      <c r="AF40" s="516"/>
      <c r="AG40" s="516"/>
      <c r="AH40" s="516"/>
      <c r="AI40" s="516"/>
      <c r="AJ40" s="516"/>
      <c r="AK40" s="516"/>
      <c r="AL40" s="516"/>
      <c r="AM40" s="383"/>
      <c r="AO40">
        <f ca="1">IF($A40="S",IF(BM!$I40=0,0,CHOOSE(MATCH(RegimeExecucao,{"Global","Unitário"},0),ROUND(ROUND(BM.MEDAcumulado,15-13*BM!$A$9)/100*BM!$I40,15-13*ORÇAMENTO!$AF$11),ROUND(ROUND(BM.MEDAcumulado,15-13*BM!$A$9)*ROUND(BM!$H40,15-13*ORÇAMENTO!$AF$10),15-13*ORÇAMENTO!$AF$11))),IF($A40=0,0,ROUND(SomaAgrupBM,15-13*ORÇAMENTO!$AF$11)))</f>
        <v>0</v>
      </c>
    </row>
    <row r="41" spans="1:41" ht="25.5" x14ac:dyDescent="0.2">
      <c r="A41" t="str">
        <f ca="1">ORÇAMENTO!C41</f>
        <v>S</v>
      </c>
      <c r="B41">
        <f ca="1">ORÇAMENTO!D41</f>
        <v>0</v>
      </c>
      <c r="C41" s="116" t="str">
        <f t="shared" ca="1" si="1"/>
        <v/>
      </c>
      <c r="D41" s="119" t="str">
        <f ca="1">ORÇAMENTO!O41</f>
        <v>-</v>
      </c>
      <c r="E41" s="172" t="str">
        <f t="shared" ca="1" si="2"/>
        <v>(abra o arquivo 'Referência 02-2025.xlsm)</v>
      </c>
      <c r="F41" s="173" t="str">
        <f ca="1">IF(RegimeExecucao="Global","",ORÇAMENTO.Unidade)</f>
        <v>-</v>
      </c>
      <c r="G41" s="124">
        <f ca="1">IF(RegimeExecucao="Global","",ORÇAMENTO!T41)</f>
        <v>1.37</v>
      </c>
      <c r="H41" s="124">
        <f ca="1">IF(RegimeExecucao="Global","",ORÇAMENTO!W41)</f>
        <v>0</v>
      </c>
      <c r="I41" s="127">
        <f ca="1">ORÇAMENTO!X41</f>
        <v>0</v>
      </c>
      <c r="J41" s="378">
        <f ca="1">IF($A41="S",IF(CAIXA.Modo,BM.AFAnterior,BM.MEDAnterior),IF(AND(RegimeExecucao="Global",$I41&gt;0,COUNTIF($AB$13:$AM$13,BM.medicao-1)&gt;0),M41/$I41*100,0))</f>
        <v>0</v>
      </c>
      <c r="K41" s="124">
        <f t="shared" ca="1" si="3"/>
        <v>0</v>
      </c>
      <c r="L41" s="379">
        <f ca="1">IF($A41="S",IF(CAIXA.Modo,BM.AFAcumulado,BM.MEDAcumulado),IF(AND(RegimeExecucao="Global",$I41&gt;0,COUNTIF($AB$13:$AM$13,BM.medicao)&gt;0),O41/$I41*100,0))</f>
        <v>0</v>
      </c>
      <c r="M41" s="380">
        <f ca="1">IF($A41="S",VTOTALBM,IF($A41=0,0,ROUND(SomaAgrupBM,15-13*ORÇAMENTO!$AF$11)))</f>
        <v>0</v>
      </c>
      <c r="N41" s="381">
        <f t="shared" ca="1" si="4"/>
        <v>0</v>
      </c>
      <c r="O41" s="127">
        <f ca="1">IF($A41="S",VTOTALBM,IF($A41=0,0,ROUND(SomaAgrupBM,15-13*ORÇAMENTO!$AF$11)))</f>
        <v>0</v>
      </c>
      <c r="Q41" s="382"/>
      <c r="R41" s="383"/>
      <c r="T41" s="119" t="str">
        <f t="shared" ca="1" si="5"/>
        <v/>
      </c>
      <c r="U41" s="172" t="str">
        <f t="shared" ca="1" si="6"/>
        <v/>
      </c>
      <c r="V41" s="173" t="str">
        <f ca="1">IF(AND($W41&gt;0,RegimeExecucao="Unitário"),$F41,"")</f>
        <v/>
      </c>
      <c r="W41" s="547">
        <f ca="1">IF($Y41&gt;0,CHOOSE(MATCH(RegimeExecucao,{"Unitário","Global"},0),IF($A41="S",$Y41/$X41,""),($Y41/$X41)*100),0)</f>
        <v>0</v>
      </c>
      <c r="X41" s="384" t="str">
        <f ca="1">IF($Y41&gt;0,CHOOSE(MATCH(RegimeExecucao,{"Unitário","Global"},0),IF($A41="S",ROUND($H41,ORÇAMENTO!$AF$10),""),ROUND($I41,ORÇAMENTO!$AF$11)),"")</f>
        <v/>
      </c>
      <c r="Y41" s="384">
        <f t="shared" ca="1" si="7"/>
        <v>0</v>
      </c>
      <c r="Z41" s="572"/>
      <c r="AB41" s="382"/>
      <c r="AC41" s="516"/>
      <c r="AD41" s="516"/>
      <c r="AE41" s="516"/>
      <c r="AF41" s="516"/>
      <c r="AG41" s="516"/>
      <c r="AH41" s="516"/>
      <c r="AI41" s="516"/>
      <c r="AJ41" s="516"/>
      <c r="AK41" s="516"/>
      <c r="AL41" s="516"/>
      <c r="AM41" s="383"/>
      <c r="AO41">
        <f ca="1">IF($A41="S",IF(BM!$I41=0,0,CHOOSE(MATCH(RegimeExecucao,{"Global","Unitário"},0),ROUND(ROUND(BM.MEDAcumulado,15-13*BM!$A$9)/100*BM!$I41,15-13*ORÇAMENTO!$AF$11),ROUND(ROUND(BM.MEDAcumulado,15-13*BM!$A$9)*ROUND(BM!$H41,15-13*ORÇAMENTO!$AF$10),15-13*ORÇAMENTO!$AF$11))),IF($A41=0,0,ROUND(SomaAgrupBM,15-13*ORÇAMENTO!$AF$11)))</f>
        <v>0</v>
      </c>
    </row>
    <row r="42" spans="1:41" ht="25.5" x14ac:dyDescent="0.2">
      <c r="A42" t="str">
        <f ca="1">ORÇAMENTO!C42</f>
        <v>S</v>
      </c>
      <c r="B42">
        <f ca="1">ORÇAMENTO!D42</f>
        <v>0</v>
      </c>
      <c r="C42" s="116" t="str">
        <f t="shared" ca="1" si="1"/>
        <v/>
      </c>
      <c r="D42" s="119" t="str">
        <f ca="1">ORÇAMENTO!O42</f>
        <v>-</v>
      </c>
      <c r="E42" s="172" t="str">
        <f t="shared" ca="1" si="2"/>
        <v>(abra o arquivo 'Referência 02-2025.xlsm)</v>
      </c>
      <c r="F42" s="173" t="str">
        <f ca="1">IF(RegimeExecucao="Global","",ORÇAMENTO.Unidade)</f>
        <v>-</v>
      </c>
      <c r="G42" s="124">
        <f ca="1">IF(RegimeExecucao="Global","",ORÇAMENTO!T42)</f>
        <v>27.34</v>
      </c>
      <c r="H42" s="124">
        <f ca="1">IF(RegimeExecucao="Global","",ORÇAMENTO!W42)</f>
        <v>0</v>
      </c>
      <c r="I42" s="127">
        <f ca="1">ORÇAMENTO!X42</f>
        <v>0</v>
      </c>
      <c r="J42" s="378">
        <f ca="1">IF($A42="S",IF(CAIXA.Modo,BM.AFAnterior,BM.MEDAnterior),IF(AND(RegimeExecucao="Global",$I42&gt;0,COUNTIF($AB$13:$AM$13,BM.medicao-1)&gt;0),M42/$I42*100,0))</f>
        <v>0</v>
      </c>
      <c r="K42" s="124">
        <f t="shared" ca="1" si="3"/>
        <v>0</v>
      </c>
      <c r="L42" s="379">
        <f ca="1">IF($A42="S",IF(CAIXA.Modo,BM.AFAcumulado,BM.MEDAcumulado),IF(AND(RegimeExecucao="Global",$I42&gt;0,COUNTIF($AB$13:$AM$13,BM.medicao)&gt;0),O42/$I42*100,0))</f>
        <v>0</v>
      </c>
      <c r="M42" s="380">
        <f ca="1">IF($A42="S",VTOTALBM,IF($A42=0,0,ROUND(SomaAgrupBM,15-13*ORÇAMENTO!$AF$11)))</f>
        <v>0</v>
      </c>
      <c r="N42" s="381">
        <f t="shared" ca="1" si="4"/>
        <v>0</v>
      </c>
      <c r="O42" s="127">
        <f ca="1">IF($A42="S",VTOTALBM,IF($A42=0,0,ROUND(SomaAgrupBM,15-13*ORÇAMENTO!$AF$11)))</f>
        <v>0</v>
      </c>
      <c r="Q42" s="382"/>
      <c r="R42" s="383"/>
      <c r="T42" s="119" t="str">
        <f t="shared" ca="1" si="5"/>
        <v/>
      </c>
      <c r="U42" s="172" t="str">
        <f t="shared" ca="1" si="6"/>
        <v/>
      </c>
      <c r="V42" s="173" t="str">
        <f ca="1">IF(AND($W42&gt;0,RegimeExecucao="Unitário"),$F42,"")</f>
        <v/>
      </c>
      <c r="W42" s="547">
        <f ca="1">IF($Y42&gt;0,CHOOSE(MATCH(RegimeExecucao,{"Unitário","Global"},0),IF($A42="S",$Y42/$X42,""),($Y42/$X42)*100),0)</f>
        <v>0</v>
      </c>
      <c r="X42" s="384" t="str">
        <f ca="1">IF($Y42&gt;0,CHOOSE(MATCH(RegimeExecucao,{"Unitário","Global"},0),IF($A42="S",ROUND($H42,ORÇAMENTO!$AF$10),""),ROUND($I42,ORÇAMENTO!$AF$11)),"")</f>
        <v/>
      </c>
      <c r="Y42" s="384">
        <f t="shared" ca="1" si="7"/>
        <v>0</v>
      </c>
      <c r="Z42" s="572"/>
      <c r="AB42" s="382"/>
      <c r="AC42" s="516"/>
      <c r="AD42" s="516"/>
      <c r="AE42" s="516"/>
      <c r="AF42" s="516"/>
      <c r="AG42" s="516"/>
      <c r="AH42" s="516"/>
      <c r="AI42" s="516"/>
      <c r="AJ42" s="516"/>
      <c r="AK42" s="516"/>
      <c r="AL42" s="516"/>
      <c r="AM42" s="383"/>
      <c r="AO42">
        <f ca="1">IF($A42="S",IF(BM!$I42=0,0,CHOOSE(MATCH(RegimeExecucao,{"Global","Unitário"},0),ROUND(ROUND(BM.MEDAcumulado,15-13*BM!$A$9)/100*BM!$I42,15-13*ORÇAMENTO!$AF$11),ROUND(ROUND(BM.MEDAcumulado,15-13*BM!$A$9)*ROUND(BM!$H42,15-13*ORÇAMENTO!$AF$10),15-13*ORÇAMENTO!$AF$11))),IF($A42=0,0,ROUND(SomaAgrupBM,15-13*ORÇAMENTO!$AF$11)))</f>
        <v>0</v>
      </c>
    </row>
    <row r="43" spans="1:41" ht="38.25" x14ac:dyDescent="0.2">
      <c r="A43" t="str">
        <f ca="1">ORÇAMENTO!C43</f>
        <v>S</v>
      </c>
      <c r="B43">
        <f ca="1">ORÇAMENTO!D43</f>
        <v>0</v>
      </c>
      <c r="C43" s="116" t="str">
        <f t="shared" ca="1" si="1"/>
        <v/>
      </c>
      <c r="D43" s="119" t="str">
        <f ca="1">ORÇAMENTO!O43</f>
        <v>-</v>
      </c>
      <c r="E43" s="172" t="str">
        <f t="shared" ca="1" si="2"/>
        <v>(abra o arquivo 'Referência 02-2025.xlsm)</v>
      </c>
      <c r="F43" s="173" t="str">
        <f ca="1">IF(RegimeExecucao="Global","",ORÇAMENTO.Unidade)</f>
        <v>-</v>
      </c>
      <c r="G43" s="124">
        <f ca="1">IF(RegimeExecucao="Global","",ORÇAMENTO!T43)</f>
        <v>20.39</v>
      </c>
      <c r="H43" s="124">
        <f ca="1">IF(RegimeExecucao="Global","",ORÇAMENTO!W43)</f>
        <v>0</v>
      </c>
      <c r="I43" s="127">
        <f ca="1">ORÇAMENTO!X43</f>
        <v>0</v>
      </c>
      <c r="J43" s="378">
        <f ca="1">IF($A43="S",IF(CAIXA.Modo,BM.AFAnterior,BM.MEDAnterior),IF(AND(RegimeExecucao="Global",$I43&gt;0,COUNTIF($AB$13:$AM$13,BM.medicao-1)&gt;0),M43/$I43*100,0))</f>
        <v>0</v>
      </c>
      <c r="K43" s="124">
        <f t="shared" ca="1" si="3"/>
        <v>0</v>
      </c>
      <c r="L43" s="379">
        <f ca="1">IF($A43="S",IF(CAIXA.Modo,BM.AFAcumulado,BM.MEDAcumulado),IF(AND(RegimeExecucao="Global",$I43&gt;0,COUNTIF($AB$13:$AM$13,BM.medicao)&gt;0),O43/$I43*100,0))</f>
        <v>0</v>
      </c>
      <c r="M43" s="380">
        <f ca="1">IF($A43="S",VTOTALBM,IF($A43=0,0,ROUND(SomaAgrupBM,15-13*ORÇAMENTO!$AF$11)))</f>
        <v>0</v>
      </c>
      <c r="N43" s="381">
        <f t="shared" ca="1" si="4"/>
        <v>0</v>
      </c>
      <c r="O43" s="127">
        <f ca="1">IF($A43="S",VTOTALBM,IF($A43=0,0,ROUND(SomaAgrupBM,15-13*ORÇAMENTO!$AF$11)))</f>
        <v>0</v>
      </c>
      <c r="Q43" s="382"/>
      <c r="R43" s="383"/>
      <c r="T43" s="119" t="str">
        <f t="shared" ca="1" si="5"/>
        <v/>
      </c>
      <c r="U43" s="172" t="str">
        <f t="shared" ca="1" si="6"/>
        <v/>
      </c>
      <c r="V43" s="173" t="str">
        <f ca="1">IF(AND($W43&gt;0,RegimeExecucao="Unitário"),$F43,"")</f>
        <v/>
      </c>
      <c r="W43" s="547">
        <f ca="1">IF($Y43&gt;0,CHOOSE(MATCH(RegimeExecucao,{"Unitário","Global"},0),IF($A43="S",$Y43/$X43,""),($Y43/$X43)*100),0)</f>
        <v>0</v>
      </c>
      <c r="X43" s="384" t="str">
        <f ca="1">IF($Y43&gt;0,CHOOSE(MATCH(RegimeExecucao,{"Unitário","Global"},0),IF($A43="S",ROUND($H43,ORÇAMENTO!$AF$10),""),ROUND($I43,ORÇAMENTO!$AF$11)),"")</f>
        <v/>
      </c>
      <c r="Y43" s="384">
        <f t="shared" ca="1" si="7"/>
        <v>0</v>
      </c>
      <c r="Z43" s="572"/>
      <c r="AB43" s="382"/>
      <c r="AC43" s="516"/>
      <c r="AD43" s="516"/>
      <c r="AE43" s="516"/>
      <c r="AF43" s="516"/>
      <c r="AG43" s="516"/>
      <c r="AH43" s="516"/>
      <c r="AI43" s="516"/>
      <c r="AJ43" s="516"/>
      <c r="AK43" s="516"/>
      <c r="AL43" s="516"/>
      <c r="AM43" s="383"/>
      <c r="AO43">
        <f ca="1">IF($A43="S",IF(BM!$I43=0,0,CHOOSE(MATCH(RegimeExecucao,{"Global","Unitário"},0),ROUND(ROUND(BM.MEDAcumulado,15-13*BM!$A$9)/100*BM!$I43,15-13*ORÇAMENTO!$AF$11),ROUND(ROUND(BM.MEDAcumulado,15-13*BM!$A$9)*ROUND(BM!$H43,15-13*ORÇAMENTO!$AF$10),15-13*ORÇAMENTO!$AF$11))),IF($A43=0,0,ROUND(SomaAgrupBM,15-13*ORÇAMENTO!$AF$11)))</f>
        <v>0</v>
      </c>
    </row>
    <row r="44" spans="1:41" ht="25.5" x14ac:dyDescent="0.2">
      <c r="A44" t="str">
        <f ca="1">ORÇAMENTO!C44</f>
        <v>S</v>
      </c>
      <c r="B44">
        <f ca="1">ORÇAMENTO!D44</f>
        <v>0</v>
      </c>
      <c r="C44" s="116" t="str">
        <f t="shared" ca="1" si="1"/>
        <v/>
      </c>
      <c r="D44" s="119" t="str">
        <f ca="1">ORÇAMENTO!O44</f>
        <v>-</v>
      </c>
      <c r="E44" s="172" t="str">
        <f t="shared" ca="1" si="2"/>
        <v>(abra o arquivo 'Referência 02-2025.xlsm)</v>
      </c>
      <c r="F44" s="173" t="str">
        <f ca="1">IF(RegimeExecucao="Global","",ORÇAMENTO.Unidade)</f>
        <v>-</v>
      </c>
      <c r="G44" s="124">
        <f ca="1">IF(RegimeExecucao="Global","",ORÇAMENTO!T44)</f>
        <v>762.7</v>
      </c>
      <c r="H44" s="124">
        <f ca="1">IF(RegimeExecucao="Global","",ORÇAMENTO!W44)</f>
        <v>0</v>
      </c>
      <c r="I44" s="127">
        <f ca="1">ORÇAMENTO!X44</f>
        <v>0</v>
      </c>
      <c r="J44" s="378">
        <f ca="1">IF($A44="S",IF(CAIXA.Modo,BM.AFAnterior,BM.MEDAnterior),IF(AND(RegimeExecucao="Global",$I44&gt;0,COUNTIF($AB$13:$AM$13,BM.medicao-1)&gt;0),M44/$I44*100,0))</f>
        <v>0</v>
      </c>
      <c r="K44" s="124">
        <f t="shared" ca="1" si="3"/>
        <v>0</v>
      </c>
      <c r="L44" s="379">
        <f ca="1">IF($A44="S",IF(CAIXA.Modo,BM.AFAcumulado,BM.MEDAcumulado),IF(AND(RegimeExecucao="Global",$I44&gt;0,COUNTIF($AB$13:$AM$13,BM.medicao)&gt;0),O44/$I44*100,0))</f>
        <v>0</v>
      </c>
      <c r="M44" s="380">
        <f ca="1">IF($A44="S",VTOTALBM,IF($A44=0,0,ROUND(SomaAgrupBM,15-13*ORÇAMENTO!$AF$11)))</f>
        <v>0</v>
      </c>
      <c r="N44" s="381">
        <f t="shared" ca="1" si="4"/>
        <v>0</v>
      </c>
      <c r="O44" s="127">
        <f ca="1">IF($A44="S",VTOTALBM,IF($A44=0,0,ROUND(SomaAgrupBM,15-13*ORÇAMENTO!$AF$11)))</f>
        <v>0</v>
      </c>
      <c r="Q44" s="382"/>
      <c r="R44" s="383"/>
      <c r="T44" s="119" t="str">
        <f t="shared" ca="1" si="5"/>
        <v/>
      </c>
      <c r="U44" s="172" t="str">
        <f t="shared" ca="1" si="6"/>
        <v/>
      </c>
      <c r="V44" s="173" t="str">
        <f ca="1">IF(AND($W44&gt;0,RegimeExecucao="Unitário"),$F44,"")</f>
        <v/>
      </c>
      <c r="W44" s="547">
        <f ca="1">IF($Y44&gt;0,CHOOSE(MATCH(RegimeExecucao,{"Unitário","Global"},0),IF($A44="S",$Y44/$X44,""),($Y44/$X44)*100),0)</f>
        <v>0</v>
      </c>
      <c r="X44" s="384" t="str">
        <f ca="1">IF($Y44&gt;0,CHOOSE(MATCH(RegimeExecucao,{"Unitário","Global"},0),IF($A44="S",ROUND($H44,ORÇAMENTO!$AF$10),""),ROUND($I44,ORÇAMENTO!$AF$11)),"")</f>
        <v/>
      </c>
      <c r="Y44" s="384">
        <f t="shared" ca="1" si="7"/>
        <v>0</v>
      </c>
      <c r="Z44" s="572"/>
      <c r="AB44" s="382"/>
      <c r="AC44" s="516"/>
      <c r="AD44" s="516"/>
      <c r="AE44" s="516"/>
      <c r="AF44" s="516"/>
      <c r="AG44" s="516"/>
      <c r="AH44" s="516"/>
      <c r="AI44" s="516"/>
      <c r="AJ44" s="516"/>
      <c r="AK44" s="516"/>
      <c r="AL44" s="516"/>
      <c r="AM44" s="383"/>
      <c r="AO44">
        <f ca="1">IF($A44="S",IF(BM!$I44=0,0,CHOOSE(MATCH(RegimeExecucao,{"Global","Unitário"},0),ROUND(ROUND(BM.MEDAcumulado,15-13*BM!$A$9)/100*BM!$I44,15-13*ORÇAMENTO!$AF$11),ROUND(ROUND(BM.MEDAcumulado,15-13*BM!$A$9)*ROUND(BM!$H44,15-13*ORÇAMENTO!$AF$10),15-13*ORÇAMENTO!$AF$11))),IF($A44=0,0,ROUND(SomaAgrupBM,15-13*ORÇAMENTO!$AF$11)))</f>
        <v>0</v>
      </c>
    </row>
    <row r="45" spans="1:41" ht="38.25" x14ac:dyDescent="0.2">
      <c r="A45" t="str">
        <f ca="1">ORÇAMENTO!C45</f>
        <v>S</v>
      </c>
      <c r="B45">
        <f ca="1">ORÇAMENTO!D45</f>
        <v>0</v>
      </c>
      <c r="C45" s="116" t="str">
        <f t="shared" ca="1" si="1"/>
        <v/>
      </c>
      <c r="D45" s="119" t="str">
        <f ca="1">ORÇAMENTO!O45</f>
        <v>-</v>
      </c>
      <c r="E45" s="172" t="str">
        <f t="shared" ca="1" si="2"/>
        <v>(abra o arquivo 'Referência 02-2025.xlsm)</v>
      </c>
      <c r="F45" s="173" t="str">
        <f ca="1">IF(RegimeExecucao="Global","",ORÇAMENTO.Unidade)</f>
        <v>-</v>
      </c>
      <c r="G45" s="124">
        <f ca="1">IF(RegimeExecucao="Global","",ORÇAMENTO!T45)</f>
        <v>54.16</v>
      </c>
      <c r="H45" s="124">
        <f ca="1">IF(RegimeExecucao="Global","",ORÇAMENTO!W45)</f>
        <v>0</v>
      </c>
      <c r="I45" s="127">
        <f ca="1">ORÇAMENTO!X45</f>
        <v>0</v>
      </c>
      <c r="J45" s="378">
        <f ca="1">IF($A45="S",IF(CAIXA.Modo,BM.AFAnterior,BM.MEDAnterior),IF(AND(RegimeExecucao="Global",$I45&gt;0,COUNTIF($AB$13:$AM$13,BM.medicao-1)&gt;0),M45/$I45*100,0))</f>
        <v>0</v>
      </c>
      <c r="K45" s="124">
        <f t="shared" ca="1" si="3"/>
        <v>0</v>
      </c>
      <c r="L45" s="379">
        <f ca="1">IF($A45="S",IF(CAIXA.Modo,BM.AFAcumulado,BM.MEDAcumulado),IF(AND(RegimeExecucao="Global",$I45&gt;0,COUNTIF($AB$13:$AM$13,BM.medicao)&gt;0),O45/$I45*100,0))</f>
        <v>0</v>
      </c>
      <c r="M45" s="380">
        <f ca="1">IF($A45="S",VTOTALBM,IF($A45=0,0,ROUND(SomaAgrupBM,15-13*ORÇAMENTO!$AF$11)))</f>
        <v>0</v>
      </c>
      <c r="N45" s="381">
        <f t="shared" ca="1" si="4"/>
        <v>0</v>
      </c>
      <c r="O45" s="127">
        <f ca="1">IF($A45="S",VTOTALBM,IF($A45=0,0,ROUND(SomaAgrupBM,15-13*ORÇAMENTO!$AF$11)))</f>
        <v>0</v>
      </c>
      <c r="Q45" s="382"/>
      <c r="R45" s="383"/>
      <c r="T45" s="119" t="str">
        <f t="shared" ca="1" si="5"/>
        <v/>
      </c>
      <c r="U45" s="172" t="str">
        <f t="shared" ca="1" si="6"/>
        <v/>
      </c>
      <c r="V45" s="173" t="str">
        <f ca="1">IF(AND($W45&gt;0,RegimeExecucao="Unitário"),$F45,"")</f>
        <v/>
      </c>
      <c r="W45" s="547">
        <f ca="1">IF($Y45&gt;0,CHOOSE(MATCH(RegimeExecucao,{"Unitário","Global"},0),IF($A45="S",$Y45/$X45,""),($Y45/$X45)*100),0)</f>
        <v>0</v>
      </c>
      <c r="X45" s="384" t="str">
        <f ca="1">IF($Y45&gt;0,CHOOSE(MATCH(RegimeExecucao,{"Unitário","Global"},0),IF($A45="S",ROUND($H45,ORÇAMENTO!$AF$10),""),ROUND($I45,ORÇAMENTO!$AF$11)),"")</f>
        <v/>
      </c>
      <c r="Y45" s="384">
        <f t="shared" ca="1" si="7"/>
        <v>0</v>
      </c>
      <c r="Z45" s="572"/>
      <c r="AB45" s="382"/>
      <c r="AC45" s="516"/>
      <c r="AD45" s="516"/>
      <c r="AE45" s="516"/>
      <c r="AF45" s="516"/>
      <c r="AG45" s="516"/>
      <c r="AH45" s="516"/>
      <c r="AI45" s="516"/>
      <c r="AJ45" s="516"/>
      <c r="AK45" s="516"/>
      <c r="AL45" s="516"/>
      <c r="AM45" s="383"/>
      <c r="AO45">
        <f ca="1">IF($A45="S",IF(BM!$I45=0,0,CHOOSE(MATCH(RegimeExecucao,{"Global","Unitário"},0),ROUND(ROUND(BM.MEDAcumulado,15-13*BM!$A$9)/100*BM!$I45,15-13*ORÇAMENTO!$AF$11),ROUND(ROUND(BM.MEDAcumulado,15-13*BM!$A$9)*ROUND(BM!$H45,15-13*ORÇAMENTO!$AF$10),15-13*ORÇAMENTO!$AF$11))),IF($A45=0,0,ROUND(SomaAgrupBM,15-13*ORÇAMENTO!$AF$11)))</f>
        <v>0</v>
      </c>
    </row>
    <row r="46" spans="1:41" ht="25.5" x14ac:dyDescent="0.2">
      <c r="A46" t="str">
        <f ca="1">ORÇAMENTO!C46</f>
        <v>S</v>
      </c>
      <c r="B46">
        <f ca="1">ORÇAMENTO!D46</f>
        <v>0</v>
      </c>
      <c r="C46" s="116" t="str">
        <f t="shared" ca="1" si="1"/>
        <v/>
      </c>
      <c r="D46" s="119" t="str">
        <f ca="1">ORÇAMENTO!O46</f>
        <v>-</v>
      </c>
      <c r="E46" s="172" t="str">
        <f t="shared" ca="1" si="2"/>
        <v>(abra o arquivo 'Referência 02-2025.xlsm)</v>
      </c>
      <c r="F46" s="173" t="str">
        <f ca="1">IF(RegimeExecucao="Global","",ORÇAMENTO.Unidade)</f>
        <v>-</v>
      </c>
      <c r="G46" s="124">
        <f ca="1">IF(RegimeExecucao="Global","",ORÇAMENTO!T46)</f>
        <v>16.11</v>
      </c>
      <c r="H46" s="124">
        <f ca="1">IF(RegimeExecucao="Global","",ORÇAMENTO!W46)</f>
        <v>0</v>
      </c>
      <c r="I46" s="127">
        <f ca="1">ORÇAMENTO!X46</f>
        <v>0</v>
      </c>
      <c r="J46" s="378">
        <f ca="1">IF($A46="S",IF(CAIXA.Modo,BM.AFAnterior,BM.MEDAnterior),IF(AND(RegimeExecucao="Global",$I46&gt;0,COUNTIF($AB$13:$AM$13,BM.medicao-1)&gt;0),M46/$I46*100,0))</f>
        <v>0</v>
      </c>
      <c r="K46" s="124">
        <f t="shared" ca="1" si="3"/>
        <v>0</v>
      </c>
      <c r="L46" s="379">
        <f ca="1">IF($A46="S",IF(CAIXA.Modo,BM.AFAcumulado,BM.MEDAcumulado),IF(AND(RegimeExecucao="Global",$I46&gt;0,COUNTIF($AB$13:$AM$13,BM.medicao)&gt;0),O46/$I46*100,0))</f>
        <v>0</v>
      </c>
      <c r="M46" s="380">
        <f ca="1">IF($A46="S",VTOTALBM,IF($A46=0,0,ROUND(SomaAgrupBM,15-13*ORÇAMENTO!$AF$11)))</f>
        <v>0</v>
      </c>
      <c r="N46" s="381">
        <f t="shared" ca="1" si="4"/>
        <v>0</v>
      </c>
      <c r="O46" s="127">
        <f ca="1">IF($A46="S",VTOTALBM,IF($A46=0,0,ROUND(SomaAgrupBM,15-13*ORÇAMENTO!$AF$11)))</f>
        <v>0</v>
      </c>
      <c r="Q46" s="382"/>
      <c r="R46" s="383"/>
      <c r="T46" s="119" t="str">
        <f t="shared" ca="1" si="5"/>
        <v/>
      </c>
      <c r="U46" s="172" t="str">
        <f t="shared" ca="1" si="6"/>
        <v/>
      </c>
      <c r="V46" s="173" t="str">
        <f ca="1">IF(AND($W46&gt;0,RegimeExecucao="Unitário"),$F46,"")</f>
        <v/>
      </c>
      <c r="W46" s="547">
        <f ca="1">IF($Y46&gt;0,CHOOSE(MATCH(RegimeExecucao,{"Unitário","Global"},0),IF($A46="S",$Y46/$X46,""),($Y46/$X46)*100),0)</f>
        <v>0</v>
      </c>
      <c r="X46" s="384" t="str">
        <f ca="1">IF($Y46&gt;0,CHOOSE(MATCH(RegimeExecucao,{"Unitário","Global"},0),IF($A46="S",ROUND($H46,ORÇAMENTO!$AF$10),""),ROUND($I46,ORÇAMENTO!$AF$11)),"")</f>
        <v/>
      </c>
      <c r="Y46" s="384">
        <f t="shared" ca="1" si="7"/>
        <v>0</v>
      </c>
      <c r="Z46" s="572"/>
      <c r="AB46" s="382"/>
      <c r="AC46" s="516"/>
      <c r="AD46" s="516"/>
      <c r="AE46" s="516"/>
      <c r="AF46" s="516"/>
      <c r="AG46" s="516"/>
      <c r="AH46" s="516"/>
      <c r="AI46" s="516"/>
      <c r="AJ46" s="516"/>
      <c r="AK46" s="516"/>
      <c r="AL46" s="516"/>
      <c r="AM46" s="383"/>
      <c r="AO46">
        <f ca="1">IF($A46="S",IF(BM!$I46=0,0,CHOOSE(MATCH(RegimeExecucao,{"Global","Unitário"},0),ROUND(ROUND(BM.MEDAcumulado,15-13*BM!$A$9)/100*BM!$I46,15-13*ORÇAMENTO!$AF$11),ROUND(ROUND(BM.MEDAcumulado,15-13*BM!$A$9)*ROUND(BM!$H46,15-13*ORÇAMENTO!$AF$10),15-13*ORÇAMENTO!$AF$11))),IF($A46=0,0,ROUND(SomaAgrupBM,15-13*ORÇAMENTO!$AF$11)))</f>
        <v>0</v>
      </c>
    </row>
    <row r="47" spans="1:41" ht="25.5" x14ac:dyDescent="0.2">
      <c r="A47" t="str">
        <f ca="1">ORÇAMENTO!C47</f>
        <v>S</v>
      </c>
      <c r="B47">
        <f ca="1">ORÇAMENTO!D47</f>
        <v>0</v>
      </c>
      <c r="C47" s="116" t="str">
        <f ca="1">IF(OR($I47&gt;0,$A47=1,$A47=2,$A47=3,$A47=4),"F","")</f>
        <v/>
      </c>
      <c r="D47" s="119" t="str">
        <f ca="1">ORÇAMENTO!O47</f>
        <v>-</v>
      </c>
      <c r="E47" s="172" t="str">
        <f ca="1">ORÇAMENTO.Descricao</f>
        <v>(abra o arquivo 'Referência 02-2025.xlsm)</v>
      </c>
      <c r="F47" s="173" t="str">
        <f ca="1">IF(RegimeExecucao="Global","",ORÇAMENTO.Unidade)</f>
        <v>-</v>
      </c>
      <c r="G47" s="124">
        <f ca="1">IF(RegimeExecucao="Global","",ORÇAMENTO!T47)</f>
        <v>3.38</v>
      </c>
      <c r="H47" s="124">
        <f ca="1">IF(RegimeExecucao="Global","",ORÇAMENTO!W47)</f>
        <v>0</v>
      </c>
      <c r="I47" s="127">
        <f ca="1">ORÇAMENTO!X47</f>
        <v>0</v>
      </c>
      <c r="J47" s="378">
        <f ca="1">IF($A47="S",IF(CAIXA.Modo,BM.AFAnterior,BM.MEDAnterior),IF(AND(RegimeExecucao="Global",$I47&gt;0,COUNTIF($AB$13:$AM$13,BM.medicao-1)&gt;0),M47/$I47*100,0))</f>
        <v>0</v>
      </c>
      <c r="K47" s="124">
        <f ca="1">L47-J47</f>
        <v>0</v>
      </c>
      <c r="L47" s="379">
        <f ca="1">IF($A47="S",IF(CAIXA.Modo,BM.AFAcumulado,BM.MEDAcumulado),IF(AND(RegimeExecucao="Global",$I47&gt;0,COUNTIF($AB$13:$AM$13,BM.medicao)&gt;0),O47/$I47*100,0))</f>
        <v>0</v>
      </c>
      <c r="M47" s="380">
        <f ca="1">IF($A47="S",VTOTALBM,IF($A47=0,0,ROUND(SomaAgrupBM,15-13*ORÇAMENTO!$AF$11)))</f>
        <v>0</v>
      </c>
      <c r="N47" s="381">
        <f ca="1">O47-M47</f>
        <v>0</v>
      </c>
      <c r="O47" s="127">
        <f ca="1">IF($A47="S",VTOTALBM,IF($A47=0,0,ROUND(SomaAgrupBM,15-13*ORÇAMENTO!$AF$11)))</f>
        <v>0</v>
      </c>
      <c r="Q47" s="382"/>
      <c r="R47" s="383"/>
      <c r="T47" s="119" t="str">
        <f ca="1">IF($W47&gt;0,$D47,"")</f>
        <v/>
      </c>
      <c r="U47" s="172" t="str">
        <f ca="1">IF($W47&gt;0,$E47,"")</f>
        <v/>
      </c>
      <c r="V47" s="173" t="str">
        <f ca="1">IF(AND($W47&gt;0,RegimeExecucao="Unitário"),$F47,"")</f>
        <v/>
      </c>
      <c r="W47" s="547">
        <f ca="1">IF($Y47&gt;0,CHOOSE(MATCH(RegimeExecucao,{"Unitário","Global"},0),IF($A47="S",$Y47/$X47,""),($Y47/$X47)*100),0)</f>
        <v>0</v>
      </c>
      <c r="X47" s="384" t="str">
        <f ca="1">IF($Y47&gt;0,CHOOSE(MATCH(RegimeExecucao,{"Unitário","Global"},0),IF($A47="S",ROUND($H47,ORÇAMENTO!$AF$10),""),ROUND($I47,ORÇAMENTO!$AF$11)),"")</f>
        <v/>
      </c>
      <c r="Y47" s="384">
        <f ca="1">AO47-O47</f>
        <v>0</v>
      </c>
      <c r="Z47" s="572"/>
      <c r="AB47" s="382"/>
      <c r="AC47" s="516"/>
      <c r="AD47" s="516"/>
      <c r="AE47" s="516"/>
      <c r="AF47" s="516"/>
      <c r="AG47" s="516"/>
      <c r="AH47" s="516"/>
      <c r="AI47" s="516"/>
      <c r="AJ47" s="516"/>
      <c r="AK47" s="516"/>
      <c r="AL47" s="516"/>
      <c r="AM47" s="383"/>
      <c r="AO47">
        <f ca="1">IF($A47="S",IF(BM!$I47=0,0,CHOOSE(MATCH(RegimeExecucao,{"Global","Unitário"},0),ROUND(ROUND(BM.MEDAcumulado,15-13*BM!$A$9)/100*BM!$I47,15-13*ORÇAMENTO!$AF$11),ROUND(ROUND(BM.MEDAcumulado,15-13*BM!$A$9)*ROUND(BM!$H47,15-13*ORÇAMENTO!$AF$10),15-13*ORÇAMENTO!$AF$11))),IF($A47=0,0,ROUND(SomaAgrupBM,15-13*ORÇAMENTO!$AF$11)))</f>
        <v>0</v>
      </c>
    </row>
    <row r="48" spans="1:41" x14ac:dyDescent="0.2">
      <c r="A48">
        <f ca="1">ORÇAMENTO!C48</f>
        <v>3</v>
      </c>
      <c r="B48">
        <f ca="1">ORÇAMENTO!D48</f>
        <v>11</v>
      </c>
      <c r="C48" s="116" t="str">
        <f t="shared" ca="1" si="1"/>
        <v>F</v>
      </c>
      <c r="D48" s="119" t="str">
        <f ca="1">ORÇAMENTO!O48</f>
        <v>1.3.3.</v>
      </c>
      <c r="E48" s="172" t="str">
        <f t="shared" ca="1" si="2"/>
        <v>CONCRETO ARMADO PARA BLOCOS</v>
      </c>
      <c r="F48" s="173" t="str">
        <f ca="1">IF(RegimeExecucao="Global","",ORÇAMENTO.Unidade)</f>
        <v>-</v>
      </c>
      <c r="G48" s="124">
        <f ca="1">IF(RegimeExecucao="Global","",ORÇAMENTO!T48)</f>
        <v>0</v>
      </c>
      <c r="H48" s="124">
        <f ca="1">IF(RegimeExecucao="Global","",ORÇAMENTO!W48)</f>
        <v>0</v>
      </c>
      <c r="I48" s="127">
        <f ca="1">ORÇAMENTO!X48</f>
        <v>0</v>
      </c>
      <c r="J48" s="378">
        <f ca="1">IF($A48="S",IF(CAIXA.Modo,BM.AFAnterior,BM.MEDAnterior),IF(AND(RegimeExecucao="Global",$I48&gt;0,COUNTIF($AB$13:$AM$13,BM.medicao-1)&gt;0),M48/$I48*100,0))</f>
        <v>0</v>
      </c>
      <c r="K48" s="124">
        <f t="shared" ca="1" si="3"/>
        <v>0</v>
      </c>
      <c r="L48" s="379">
        <f ca="1">IF($A48="S",IF(CAIXA.Modo,BM.AFAcumulado,BM.MEDAcumulado),IF(AND(RegimeExecucao="Global",$I48&gt;0,COUNTIF($AB$13:$AM$13,BM.medicao)&gt;0),O48/$I48*100,0))</f>
        <v>0</v>
      </c>
      <c r="M48" s="380">
        <f ca="1">IF($A48="S",VTOTALBM,IF($A48=0,0,ROUND(SomaAgrupBM,15-13*ORÇAMENTO!$AF$11)))</f>
        <v>0</v>
      </c>
      <c r="N48" s="381">
        <f t="shared" ca="1" si="4"/>
        <v>0</v>
      </c>
      <c r="O48" s="127">
        <f ca="1">IF($A48="S",VTOTALBM,IF($A48=0,0,ROUND(SomaAgrupBM,15-13*ORÇAMENTO!$AF$11)))</f>
        <v>0</v>
      </c>
      <c r="Q48" s="382"/>
      <c r="R48" s="383"/>
      <c r="T48" s="119" t="str">
        <f t="shared" ca="1" si="5"/>
        <v/>
      </c>
      <c r="U48" s="172" t="str">
        <f t="shared" ca="1" si="6"/>
        <v/>
      </c>
      <c r="V48" s="173" t="str">
        <f ca="1">IF(AND($W48&gt;0,RegimeExecucao="Unitário"),$F48,"")</f>
        <v/>
      </c>
      <c r="W48" s="547">
        <f ca="1">IF($Y48&gt;0,CHOOSE(MATCH(RegimeExecucao,{"Unitário","Global"},0),IF($A48="S",$Y48/$X48,""),($Y48/$X48)*100),0)</f>
        <v>0</v>
      </c>
      <c r="X48" s="384" t="str">
        <f ca="1">IF($Y48&gt;0,CHOOSE(MATCH(RegimeExecucao,{"Unitário","Global"},0),IF($A48="S",ROUND($H48,ORÇAMENTO!$AF$10),""),ROUND($I48,ORÇAMENTO!$AF$11)),"")</f>
        <v/>
      </c>
      <c r="Y48" s="384">
        <f t="shared" ca="1" si="7"/>
        <v>0</v>
      </c>
      <c r="Z48" s="572"/>
      <c r="AB48" s="382"/>
      <c r="AC48" s="516"/>
      <c r="AD48" s="516"/>
      <c r="AE48" s="516"/>
      <c r="AF48" s="516"/>
      <c r="AG48" s="516"/>
      <c r="AH48" s="516"/>
      <c r="AI48" s="516"/>
      <c r="AJ48" s="516"/>
      <c r="AK48" s="516"/>
      <c r="AL48" s="516"/>
      <c r="AM48" s="383"/>
      <c r="AO48">
        <f ca="1">IF($A48="S",IF(BM!$I48=0,0,CHOOSE(MATCH(RegimeExecucao,{"Global","Unitário"},0),ROUND(ROUND(BM.MEDAcumulado,15-13*BM!$A$9)/100*BM!$I48,15-13*ORÇAMENTO!$AF$11),ROUND(ROUND(BM.MEDAcumulado,15-13*BM!$A$9)*ROUND(BM!$H48,15-13*ORÇAMENTO!$AF$10),15-13*ORÇAMENTO!$AF$11))),IF($A48=0,0,ROUND(SomaAgrupBM,15-13*ORÇAMENTO!$AF$11)))</f>
        <v>0</v>
      </c>
    </row>
    <row r="49" spans="1:41" ht="25.5" x14ac:dyDescent="0.2">
      <c r="A49" t="str">
        <f ca="1">ORÇAMENTO!C49</f>
        <v>S</v>
      </c>
      <c r="B49">
        <f ca="1">ORÇAMENTO!D49</f>
        <v>0</v>
      </c>
      <c r="C49" s="116" t="str">
        <f t="shared" ca="1" si="1"/>
        <v/>
      </c>
      <c r="D49" s="119" t="str">
        <f ca="1">ORÇAMENTO!O49</f>
        <v>-</v>
      </c>
      <c r="E49" s="172" t="str">
        <f t="shared" ca="1" si="2"/>
        <v>(abra o arquivo 'Referência 02-2025.xlsm)</v>
      </c>
      <c r="F49" s="173" t="str">
        <f ca="1">IF(RegimeExecucao="Global","",ORÇAMENTO.Unidade)</f>
        <v>-</v>
      </c>
      <c r="G49" s="124">
        <f ca="1">IF(RegimeExecucao="Global","",ORÇAMENTO!T49)</f>
        <v>20.239999999999998</v>
      </c>
      <c r="H49" s="124">
        <f ca="1">IF(RegimeExecucao="Global","",ORÇAMENTO!W49)</f>
        <v>0</v>
      </c>
      <c r="I49" s="127">
        <f ca="1">ORÇAMENTO!X49</f>
        <v>0</v>
      </c>
      <c r="J49" s="378">
        <f ca="1">IF($A49="S",IF(CAIXA.Modo,BM.AFAnterior,BM.MEDAnterior),IF(AND(RegimeExecucao="Global",$I49&gt;0,COUNTIF($AB$13:$AM$13,BM.medicao-1)&gt;0),M49/$I49*100,0))</f>
        <v>0</v>
      </c>
      <c r="K49" s="124">
        <f t="shared" ca="1" si="3"/>
        <v>0</v>
      </c>
      <c r="L49" s="379">
        <f ca="1">IF($A49="S",IF(CAIXA.Modo,BM.AFAcumulado,BM.MEDAcumulado),IF(AND(RegimeExecucao="Global",$I49&gt;0,COUNTIF($AB$13:$AM$13,BM.medicao)&gt;0),O49/$I49*100,0))</f>
        <v>0</v>
      </c>
      <c r="M49" s="380">
        <f ca="1">IF($A49="S",VTOTALBM,IF($A49=0,0,ROUND(SomaAgrupBM,15-13*ORÇAMENTO!$AF$11)))</f>
        <v>0</v>
      </c>
      <c r="N49" s="381">
        <f t="shared" ca="1" si="4"/>
        <v>0</v>
      </c>
      <c r="O49" s="127">
        <f ca="1">IF($A49="S",VTOTALBM,IF($A49=0,0,ROUND(SomaAgrupBM,15-13*ORÇAMENTO!$AF$11)))</f>
        <v>0</v>
      </c>
      <c r="Q49" s="382"/>
      <c r="R49" s="383"/>
      <c r="T49" s="119" t="str">
        <f t="shared" ca="1" si="5"/>
        <v/>
      </c>
      <c r="U49" s="172" t="str">
        <f t="shared" ca="1" si="6"/>
        <v/>
      </c>
      <c r="V49" s="173" t="str">
        <f ca="1">IF(AND($W49&gt;0,RegimeExecucao="Unitário"),$F49,"")</f>
        <v/>
      </c>
      <c r="W49" s="547">
        <f ca="1">IF($Y49&gt;0,CHOOSE(MATCH(RegimeExecucao,{"Unitário","Global"},0),IF($A49="S",$Y49/$X49,""),($Y49/$X49)*100),0)</f>
        <v>0</v>
      </c>
      <c r="X49" s="384" t="str">
        <f ca="1">IF($Y49&gt;0,CHOOSE(MATCH(RegimeExecucao,{"Unitário","Global"},0),IF($A49="S",ROUND($H49,ORÇAMENTO!$AF$10),""),ROUND($I49,ORÇAMENTO!$AF$11)),"")</f>
        <v/>
      </c>
      <c r="Y49" s="384">
        <f t="shared" ca="1" si="7"/>
        <v>0</v>
      </c>
      <c r="Z49" s="572"/>
      <c r="AB49" s="382"/>
      <c r="AC49" s="516"/>
      <c r="AD49" s="516"/>
      <c r="AE49" s="516"/>
      <c r="AF49" s="516"/>
      <c r="AG49" s="516"/>
      <c r="AH49" s="516"/>
      <c r="AI49" s="516"/>
      <c r="AJ49" s="516"/>
      <c r="AK49" s="516"/>
      <c r="AL49" s="516"/>
      <c r="AM49" s="383"/>
      <c r="AO49">
        <f ca="1">IF($A49="S",IF(BM!$I49=0,0,CHOOSE(MATCH(RegimeExecucao,{"Global","Unitário"},0),ROUND(ROUND(BM.MEDAcumulado,15-13*BM!$A$9)/100*BM!$I49,15-13*ORÇAMENTO!$AF$11),ROUND(ROUND(BM.MEDAcumulado,15-13*BM!$A$9)*ROUND(BM!$H49,15-13*ORÇAMENTO!$AF$10),15-13*ORÇAMENTO!$AF$11))),IF($A49=0,0,ROUND(SomaAgrupBM,15-13*ORÇAMENTO!$AF$11)))</f>
        <v>0</v>
      </c>
    </row>
    <row r="50" spans="1:41" ht="25.5" x14ac:dyDescent="0.2">
      <c r="A50" t="str">
        <f ca="1">ORÇAMENTO!C50</f>
        <v>S</v>
      </c>
      <c r="B50">
        <f ca="1">ORÇAMENTO!D50</f>
        <v>0</v>
      </c>
      <c r="C50" s="116" t="str">
        <f t="shared" ca="1" si="1"/>
        <v/>
      </c>
      <c r="D50" s="119" t="str">
        <f ca="1">ORÇAMENTO!O50</f>
        <v>-</v>
      </c>
      <c r="E50" s="172" t="str">
        <f t="shared" ca="1" si="2"/>
        <v>(abra o arquivo 'Referência 02-2025.xlsm)</v>
      </c>
      <c r="F50" s="173" t="str">
        <f ca="1">IF(RegimeExecucao="Global","",ORÇAMENTO.Unidade)</f>
        <v>-</v>
      </c>
      <c r="G50" s="124">
        <f ca="1">IF(RegimeExecucao="Global","",ORÇAMENTO!T50)</f>
        <v>404.84</v>
      </c>
      <c r="H50" s="124">
        <f ca="1">IF(RegimeExecucao="Global","",ORÇAMENTO!W50)</f>
        <v>0</v>
      </c>
      <c r="I50" s="127">
        <f ca="1">ORÇAMENTO!X50</f>
        <v>0</v>
      </c>
      <c r="J50" s="378">
        <f ca="1">IF($A50="S",IF(CAIXA.Modo,BM.AFAnterior,BM.MEDAnterior),IF(AND(RegimeExecucao="Global",$I50&gt;0,COUNTIF($AB$13:$AM$13,BM.medicao-1)&gt;0),M50/$I50*100,0))</f>
        <v>0</v>
      </c>
      <c r="K50" s="124">
        <f t="shared" ca="1" si="3"/>
        <v>0</v>
      </c>
      <c r="L50" s="379">
        <f ca="1">IF($A50="S",IF(CAIXA.Modo,BM.AFAcumulado,BM.MEDAcumulado),IF(AND(RegimeExecucao="Global",$I50&gt;0,COUNTIF($AB$13:$AM$13,BM.medicao)&gt;0),O50/$I50*100,0))</f>
        <v>0</v>
      </c>
      <c r="M50" s="380">
        <f ca="1">IF($A50="S",VTOTALBM,IF($A50=0,0,ROUND(SomaAgrupBM,15-13*ORÇAMENTO!$AF$11)))</f>
        <v>0</v>
      </c>
      <c r="N50" s="381">
        <f t="shared" ca="1" si="4"/>
        <v>0</v>
      </c>
      <c r="O50" s="127">
        <f ca="1">IF($A50="S",VTOTALBM,IF($A50=0,0,ROUND(SomaAgrupBM,15-13*ORÇAMENTO!$AF$11)))</f>
        <v>0</v>
      </c>
      <c r="Q50" s="382"/>
      <c r="R50" s="383"/>
      <c r="T50" s="119" t="str">
        <f t="shared" ca="1" si="5"/>
        <v/>
      </c>
      <c r="U50" s="172" t="str">
        <f t="shared" ca="1" si="6"/>
        <v/>
      </c>
      <c r="V50" s="173" t="str">
        <f ca="1">IF(AND($W50&gt;0,RegimeExecucao="Unitário"),$F50,"")</f>
        <v/>
      </c>
      <c r="W50" s="547">
        <f ca="1">IF($Y50&gt;0,CHOOSE(MATCH(RegimeExecucao,{"Unitário","Global"},0),IF($A50="S",$Y50/$X50,""),($Y50/$X50)*100),0)</f>
        <v>0</v>
      </c>
      <c r="X50" s="384" t="str">
        <f ca="1">IF($Y50&gt;0,CHOOSE(MATCH(RegimeExecucao,{"Unitário","Global"},0),IF($A50="S",ROUND($H50,ORÇAMENTO!$AF$10),""),ROUND($I50,ORÇAMENTO!$AF$11)),"")</f>
        <v/>
      </c>
      <c r="Y50" s="384">
        <f t="shared" ca="1" si="7"/>
        <v>0</v>
      </c>
      <c r="Z50" s="572"/>
      <c r="AB50" s="382"/>
      <c r="AC50" s="516"/>
      <c r="AD50" s="516"/>
      <c r="AE50" s="516"/>
      <c r="AF50" s="516"/>
      <c r="AG50" s="516"/>
      <c r="AH50" s="516"/>
      <c r="AI50" s="516"/>
      <c r="AJ50" s="516"/>
      <c r="AK50" s="516"/>
      <c r="AL50" s="516"/>
      <c r="AM50" s="383"/>
      <c r="AO50">
        <f ca="1">IF($A50="S",IF(BM!$I50=0,0,CHOOSE(MATCH(RegimeExecucao,{"Global","Unitário"},0),ROUND(ROUND(BM.MEDAcumulado,15-13*BM!$A$9)/100*BM!$I50,15-13*ORÇAMENTO!$AF$11),ROUND(ROUND(BM.MEDAcumulado,15-13*BM!$A$9)*ROUND(BM!$H50,15-13*ORÇAMENTO!$AF$10),15-13*ORÇAMENTO!$AF$11))),IF($A50=0,0,ROUND(SomaAgrupBM,15-13*ORÇAMENTO!$AF$11)))</f>
        <v>0</v>
      </c>
    </row>
    <row r="51" spans="1:41" ht="38.25" x14ac:dyDescent="0.2">
      <c r="A51" t="str">
        <f ca="1">ORÇAMENTO!C51</f>
        <v>S</v>
      </c>
      <c r="B51">
        <f ca="1">ORÇAMENTO!D51</f>
        <v>0</v>
      </c>
      <c r="C51" s="116" t="str">
        <f t="shared" ca="1" si="1"/>
        <v/>
      </c>
      <c r="D51" s="119" t="str">
        <f ca="1">ORÇAMENTO!O51</f>
        <v>-</v>
      </c>
      <c r="E51" s="172" t="str">
        <f t="shared" ca="1" si="2"/>
        <v>(abra o arquivo 'Referência 02-2025.xlsm)</v>
      </c>
      <c r="F51" s="173" t="str">
        <f ca="1">IF(RegimeExecucao="Global","",ORÇAMENTO.Unidade)</f>
        <v>-</v>
      </c>
      <c r="G51" s="124">
        <f ca="1">IF(RegimeExecucao="Global","",ORÇAMENTO!T51)</f>
        <v>311.32</v>
      </c>
      <c r="H51" s="124">
        <f ca="1">IF(RegimeExecucao="Global","",ORÇAMENTO!W51)</f>
        <v>0</v>
      </c>
      <c r="I51" s="127">
        <f ca="1">ORÇAMENTO!X51</f>
        <v>0</v>
      </c>
      <c r="J51" s="378">
        <f ca="1">IF($A51="S",IF(CAIXA.Modo,BM.AFAnterior,BM.MEDAnterior),IF(AND(RegimeExecucao="Global",$I51&gt;0,COUNTIF($AB$13:$AM$13,BM.medicao-1)&gt;0),M51/$I51*100,0))</f>
        <v>0</v>
      </c>
      <c r="K51" s="124">
        <f t="shared" ca="1" si="3"/>
        <v>0</v>
      </c>
      <c r="L51" s="379">
        <f ca="1">IF($A51="S",IF(CAIXA.Modo,BM.AFAcumulado,BM.MEDAcumulado),IF(AND(RegimeExecucao="Global",$I51&gt;0,COUNTIF($AB$13:$AM$13,BM.medicao)&gt;0),O51/$I51*100,0))</f>
        <v>0</v>
      </c>
      <c r="M51" s="380">
        <f ca="1">IF($A51="S",VTOTALBM,IF($A51=0,0,ROUND(SomaAgrupBM,15-13*ORÇAMENTO!$AF$11)))</f>
        <v>0</v>
      </c>
      <c r="N51" s="381">
        <f t="shared" ca="1" si="4"/>
        <v>0</v>
      </c>
      <c r="O51" s="127">
        <f ca="1">IF($A51="S",VTOTALBM,IF($A51=0,0,ROUND(SomaAgrupBM,15-13*ORÇAMENTO!$AF$11)))</f>
        <v>0</v>
      </c>
      <c r="Q51" s="382"/>
      <c r="R51" s="383"/>
      <c r="T51" s="119" t="str">
        <f t="shared" ca="1" si="5"/>
        <v/>
      </c>
      <c r="U51" s="172" t="str">
        <f t="shared" ca="1" si="6"/>
        <v/>
      </c>
      <c r="V51" s="173" t="str">
        <f ca="1">IF(AND($W51&gt;0,RegimeExecucao="Unitário"),$F51,"")</f>
        <v/>
      </c>
      <c r="W51" s="547">
        <f ca="1">IF($Y51&gt;0,CHOOSE(MATCH(RegimeExecucao,{"Unitário","Global"},0),IF($A51="S",$Y51/$X51,""),($Y51/$X51)*100),0)</f>
        <v>0</v>
      </c>
      <c r="X51" s="384" t="str">
        <f ca="1">IF($Y51&gt;0,CHOOSE(MATCH(RegimeExecucao,{"Unitário","Global"},0),IF($A51="S",ROUND($H51,ORÇAMENTO!$AF$10),""),ROUND($I51,ORÇAMENTO!$AF$11)),"")</f>
        <v/>
      </c>
      <c r="Y51" s="384">
        <f t="shared" ca="1" si="7"/>
        <v>0</v>
      </c>
      <c r="Z51" s="572"/>
      <c r="AB51" s="382"/>
      <c r="AC51" s="516"/>
      <c r="AD51" s="516"/>
      <c r="AE51" s="516"/>
      <c r="AF51" s="516"/>
      <c r="AG51" s="516"/>
      <c r="AH51" s="516"/>
      <c r="AI51" s="516"/>
      <c r="AJ51" s="516"/>
      <c r="AK51" s="516"/>
      <c r="AL51" s="516"/>
      <c r="AM51" s="383"/>
      <c r="AO51">
        <f ca="1">IF($A51="S",IF(BM!$I51=0,0,CHOOSE(MATCH(RegimeExecucao,{"Global","Unitário"},0),ROUND(ROUND(BM.MEDAcumulado,15-13*BM!$A$9)/100*BM!$I51,15-13*ORÇAMENTO!$AF$11),ROUND(ROUND(BM.MEDAcumulado,15-13*BM!$A$9)*ROUND(BM!$H51,15-13*ORÇAMENTO!$AF$10),15-13*ORÇAMENTO!$AF$11))),IF($A51=0,0,ROUND(SomaAgrupBM,15-13*ORÇAMENTO!$AF$11)))</f>
        <v>0</v>
      </c>
    </row>
    <row r="52" spans="1:41" ht="25.5" x14ac:dyDescent="0.2">
      <c r="A52" t="str">
        <f ca="1">ORÇAMENTO!C52</f>
        <v>S</v>
      </c>
      <c r="B52">
        <f ca="1">ORÇAMENTO!D52</f>
        <v>0</v>
      </c>
      <c r="C52" s="116" t="str">
        <f t="shared" ca="1" si="1"/>
        <v/>
      </c>
      <c r="D52" s="119" t="str">
        <f ca="1">ORÇAMENTO!O52</f>
        <v>-</v>
      </c>
      <c r="E52" s="172" t="str">
        <f t="shared" ca="1" si="2"/>
        <v>(abra o arquivo 'Referência 02-2025.xlsm)</v>
      </c>
      <c r="F52" s="173" t="str">
        <f ca="1">IF(RegimeExecucao="Global","",ORÇAMENTO.Unidade)</f>
        <v>-</v>
      </c>
      <c r="G52" s="124">
        <f ca="1">IF(RegimeExecucao="Global","",ORÇAMENTO!T52)</f>
        <v>394.89</v>
      </c>
      <c r="H52" s="124">
        <f ca="1">IF(RegimeExecucao="Global","",ORÇAMENTO!W52)</f>
        <v>0</v>
      </c>
      <c r="I52" s="127">
        <f ca="1">ORÇAMENTO!X52</f>
        <v>0</v>
      </c>
      <c r="J52" s="378">
        <f ca="1">IF($A52="S",IF(CAIXA.Modo,BM.AFAnterior,BM.MEDAnterior),IF(AND(RegimeExecucao="Global",$I52&gt;0,COUNTIF($AB$13:$AM$13,BM.medicao-1)&gt;0),M52/$I52*100,0))</f>
        <v>0</v>
      </c>
      <c r="K52" s="124">
        <f t="shared" ca="1" si="3"/>
        <v>0</v>
      </c>
      <c r="L52" s="379">
        <f ca="1">IF($A52="S",IF(CAIXA.Modo,BM.AFAcumulado,BM.MEDAcumulado),IF(AND(RegimeExecucao="Global",$I52&gt;0,COUNTIF($AB$13:$AM$13,BM.medicao)&gt;0),O52/$I52*100,0))</f>
        <v>0</v>
      </c>
      <c r="M52" s="380">
        <f ca="1">IF($A52="S",VTOTALBM,IF($A52=0,0,ROUND(SomaAgrupBM,15-13*ORÇAMENTO!$AF$11)))</f>
        <v>0</v>
      </c>
      <c r="N52" s="381">
        <f t="shared" ca="1" si="4"/>
        <v>0</v>
      </c>
      <c r="O52" s="127">
        <f ca="1">IF($A52="S",VTOTALBM,IF($A52=0,0,ROUND(SomaAgrupBM,15-13*ORÇAMENTO!$AF$11)))</f>
        <v>0</v>
      </c>
      <c r="Q52" s="382"/>
      <c r="R52" s="383"/>
      <c r="T52" s="119" t="str">
        <f t="shared" ca="1" si="5"/>
        <v/>
      </c>
      <c r="U52" s="172" t="str">
        <f t="shared" ca="1" si="6"/>
        <v/>
      </c>
      <c r="V52" s="173" t="str">
        <f ca="1">IF(AND($W52&gt;0,RegimeExecucao="Unitário"),$F52,"")</f>
        <v/>
      </c>
      <c r="W52" s="547">
        <f ca="1">IF($Y52&gt;0,CHOOSE(MATCH(RegimeExecucao,{"Unitário","Global"},0),IF($A52="S",$Y52/$X52,""),($Y52/$X52)*100),0)</f>
        <v>0</v>
      </c>
      <c r="X52" s="384" t="str">
        <f ca="1">IF($Y52&gt;0,CHOOSE(MATCH(RegimeExecucao,{"Unitário","Global"},0),IF($A52="S",ROUND($H52,ORÇAMENTO!$AF$10),""),ROUND($I52,ORÇAMENTO!$AF$11)),"")</f>
        <v/>
      </c>
      <c r="Y52" s="384">
        <f t="shared" ca="1" si="7"/>
        <v>0</v>
      </c>
      <c r="Z52" s="572"/>
      <c r="AB52" s="382"/>
      <c r="AC52" s="516"/>
      <c r="AD52" s="516"/>
      <c r="AE52" s="516"/>
      <c r="AF52" s="516"/>
      <c r="AG52" s="516"/>
      <c r="AH52" s="516"/>
      <c r="AI52" s="516"/>
      <c r="AJ52" s="516"/>
      <c r="AK52" s="516"/>
      <c r="AL52" s="516"/>
      <c r="AM52" s="383"/>
      <c r="AO52">
        <f ca="1">IF($A52="S",IF(BM!$I52=0,0,CHOOSE(MATCH(RegimeExecucao,{"Global","Unitário"},0),ROUND(ROUND(BM.MEDAcumulado,15-13*BM!$A$9)/100*BM!$I52,15-13*ORÇAMENTO!$AF$11),ROUND(ROUND(BM.MEDAcumulado,15-13*BM!$A$9)*ROUND(BM!$H52,15-13*ORÇAMENTO!$AF$10),15-13*ORÇAMENTO!$AF$11))),IF($A52=0,0,ROUND(SomaAgrupBM,15-13*ORÇAMENTO!$AF$11)))</f>
        <v>0</v>
      </c>
    </row>
    <row r="53" spans="1:41" ht="25.5" x14ac:dyDescent="0.2">
      <c r="A53" t="str">
        <f ca="1">ORÇAMENTO!C53</f>
        <v>S</v>
      </c>
      <c r="B53">
        <f ca="1">ORÇAMENTO!D53</f>
        <v>0</v>
      </c>
      <c r="C53" s="116" t="str">
        <f t="shared" ca="1" si="1"/>
        <v/>
      </c>
      <c r="D53" s="119" t="str">
        <f ca="1">ORÇAMENTO!O53</f>
        <v>-</v>
      </c>
      <c r="E53" s="172" t="str">
        <f t="shared" ca="1" si="2"/>
        <v>(abra o arquivo 'Referência 02-2025.xlsm)</v>
      </c>
      <c r="F53" s="173" t="str">
        <f ca="1">IF(RegimeExecucao="Global","",ORÇAMENTO.Unidade)</f>
        <v>-</v>
      </c>
      <c r="G53" s="124">
        <f ca="1">IF(RegimeExecucao="Global","",ORÇAMENTO!T53)</f>
        <v>125.91</v>
      </c>
      <c r="H53" s="124">
        <f ca="1">IF(RegimeExecucao="Global","",ORÇAMENTO!W53)</f>
        <v>0</v>
      </c>
      <c r="I53" s="127">
        <f ca="1">ORÇAMENTO!X53</f>
        <v>0</v>
      </c>
      <c r="J53" s="378">
        <f ca="1">IF($A53="S",IF(CAIXA.Modo,BM.AFAnterior,BM.MEDAnterior),IF(AND(RegimeExecucao="Global",$I53&gt;0,COUNTIF($AB$13:$AM$13,BM.medicao-1)&gt;0),M53/$I53*100,0))</f>
        <v>0</v>
      </c>
      <c r="K53" s="124">
        <f t="shared" ca="1" si="3"/>
        <v>0</v>
      </c>
      <c r="L53" s="379">
        <f ca="1">IF($A53="S",IF(CAIXA.Modo,BM.AFAcumulado,BM.MEDAcumulado),IF(AND(RegimeExecucao="Global",$I53&gt;0,COUNTIF($AB$13:$AM$13,BM.medicao)&gt;0),O53/$I53*100,0))</f>
        <v>0</v>
      </c>
      <c r="M53" s="380">
        <f ca="1">IF($A53="S",VTOTALBM,IF($A53=0,0,ROUND(SomaAgrupBM,15-13*ORÇAMENTO!$AF$11)))</f>
        <v>0</v>
      </c>
      <c r="N53" s="381">
        <f t="shared" ca="1" si="4"/>
        <v>0</v>
      </c>
      <c r="O53" s="127">
        <f ca="1">IF($A53="S",VTOTALBM,IF($A53=0,0,ROUND(SomaAgrupBM,15-13*ORÇAMENTO!$AF$11)))</f>
        <v>0</v>
      </c>
      <c r="Q53" s="382"/>
      <c r="R53" s="383"/>
      <c r="T53" s="119" t="str">
        <f t="shared" ca="1" si="5"/>
        <v/>
      </c>
      <c r="U53" s="172" t="str">
        <f t="shared" ca="1" si="6"/>
        <v/>
      </c>
      <c r="V53" s="173" t="str">
        <f ca="1">IF(AND($W53&gt;0,RegimeExecucao="Unitário"),$F53,"")</f>
        <v/>
      </c>
      <c r="W53" s="547">
        <f ca="1">IF($Y53&gt;0,CHOOSE(MATCH(RegimeExecucao,{"Unitário","Global"},0),IF($A53="S",$Y53/$X53,""),($Y53/$X53)*100),0)</f>
        <v>0</v>
      </c>
      <c r="X53" s="384" t="str">
        <f ca="1">IF($Y53&gt;0,CHOOSE(MATCH(RegimeExecucao,{"Unitário","Global"},0),IF($A53="S",ROUND($H53,ORÇAMENTO!$AF$10),""),ROUND($I53,ORÇAMENTO!$AF$11)),"")</f>
        <v/>
      </c>
      <c r="Y53" s="384">
        <f t="shared" ca="1" si="7"/>
        <v>0</v>
      </c>
      <c r="Z53" s="572"/>
      <c r="AB53" s="382"/>
      <c r="AC53" s="516"/>
      <c r="AD53" s="516"/>
      <c r="AE53" s="516"/>
      <c r="AF53" s="516"/>
      <c r="AG53" s="516"/>
      <c r="AH53" s="516"/>
      <c r="AI53" s="516"/>
      <c r="AJ53" s="516"/>
      <c r="AK53" s="516"/>
      <c r="AL53" s="516"/>
      <c r="AM53" s="383"/>
      <c r="AO53">
        <f ca="1">IF($A53="S",IF(BM!$I53=0,0,CHOOSE(MATCH(RegimeExecucao,{"Global","Unitário"},0),ROUND(ROUND(BM.MEDAcumulado,15-13*BM!$A$9)/100*BM!$I53,15-13*ORÇAMENTO!$AF$11),ROUND(ROUND(BM.MEDAcumulado,15-13*BM!$A$9)*ROUND(BM!$H53,15-13*ORÇAMENTO!$AF$10),15-13*ORÇAMENTO!$AF$11))),IF($A53=0,0,ROUND(SomaAgrupBM,15-13*ORÇAMENTO!$AF$11)))</f>
        <v>0</v>
      </c>
    </row>
    <row r="54" spans="1:41" ht="25.5" x14ac:dyDescent="0.2">
      <c r="A54" t="str">
        <f ca="1">ORÇAMENTO!C54</f>
        <v>S</v>
      </c>
      <c r="B54">
        <f ca="1">ORÇAMENTO!D54</f>
        <v>0</v>
      </c>
      <c r="C54" s="116" t="str">
        <f t="shared" ca="1" si="1"/>
        <v/>
      </c>
      <c r="D54" s="119" t="str">
        <f ca="1">ORÇAMENTO!O54</f>
        <v>-</v>
      </c>
      <c r="E54" s="172" t="str">
        <f t="shared" ca="1" si="2"/>
        <v>(abra o arquivo 'Referência 02-2025.xlsm)</v>
      </c>
      <c r="F54" s="173" t="str">
        <f ca="1">IF(RegimeExecucao="Global","",ORÇAMENTO.Unidade)</f>
        <v>-</v>
      </c>
      <c r="G54" s="124">
        <f ca="1">IF(RegimeExecucao="Global","",ORÇAMENTO!T54)</f>
        <v>608.95000000000005</v>
      </c>
      <c r="H54" s="124">
        <f ca="1">IF(RegimeExecucao="Global","",ORÇAMENTO!W54)</f>
        <v>0</v>
      </c>
      <c r="I54" s="127">
        <f ca="1">ORÇAMENTO!X54</f>
        <v>0</v>
      </c>
      <c r="J54" s="378">
        <f ca="1">IF($A54="S",IF(CAIXA.Modo,BM.AFAnterior,BM.MEDAnterior),IF(AND(RegimeExecucao="Global",$I54&gt;0,COUNTIF($AB$13:$AM$13,BM.medicao-1)&gt;0),M54/$I54*100,0))</f>
        <v>0</v>
      </c>
      <c r="K54" s="124">
        <f t="shared" ca="1" si="3"/>
        <v>0</v>
      </c>
      <c r="L54" s="379">
        <f ca="1">IF($A54="S",IF(CAIXA.Modo,BM.AFAcumulado,BM.MEDAcumulado),IF(AND(RegimeExecucao="Global",$I54&gt;0,COUNTIF($AB$13:$AM$13,BM.medicao)&gt;0),O54/$I54*100,0))</f>
        <v>0</v>
      </c>
      <c r="M54" s="380">
        <f ca="1">IF($A54="S",VTOTALBM,IF($A54=0,0,ROUND(SomaAgrupBM,15-13*ORÇAMENTO!$AF$11)))</f>
        <v>0</v>
      </c>
      <c r="N54" s="381">
        <f t="shared" ca="1" si="4"/>
        <v>0</v>
      </c>
      <c r="O54" s="127">
        <f ca="1">IF($A54="S",VTOTALBM,IF($A54=0,0,ROUND(SomaAgrupBM,15-13*ORÇAMENTO!$AF$11)))</f>
        <v>0</v>
      </c>
      <c r="Q54" s="382"/>
      <c r="R54" s="383"/>
      <c r="T54" s="119" t="str">
        <f t="shared" ca="1" si="5"/>
        <v/>
      </c>
      <c r="U54" s="172" t="str">
        <f t="shared" ca="1" si="6"/>
        <v/>
      </c>
      <c r="V54" s="173" t="str">
        <f ca="1">IF(AND($W54&gt;0,RegimeExecucao="Unitário"),$F54,"")</f>
        <v/>
      </c>
      <c r="W54" s="547">
        <f ca="1">IF($Y54&gt;0,CHOOSE(MATCH(RegimeExecucao,{"Unitário","Global"},0),IF($A54="S",$Y54/$X54,""),($Y54/$X54)*100),0)</f>
        <v>0</v>
      </c>
      <c r="X54" s="384" t="str">
        <f ca="1">IF($Y54&gt;0,CHOOSE(MATCH(RegimeExecucao,{"Unitário","Global"},0),IF($A54="S",ROUND($H54,ORÇAMENTO!$AF$10),""),ROUND($I54,ORÇAMENTO!$AF$11)),"")</f>
        <v/>
      </c>
      <c r="Y54" s="384">
        <f t="shared" ca="1" si="7"/>
        <v>0</v>
      </c>
      <c r="Z54" s="572"/>
      <c r="AB54" s="382"/>
      <c r="AC54" s="516"/>
      <c r="AD54" s="516"/>
      <c r="AE54" s="516"/>
      <c r="AF54" s="516"/>
      <c r="AG54" s="516"/>
      <c r="AH54" s="516"/>
      <c r="AI54" s="516"/>
      <c r="AJ54" s="516"/>
      <c r="AK54" s="516"/>
      <c r="AL54" s="516"/>
      <c r="AM54" s="383"/>
      <c r="AO54">
        <f ca="1">IF($A54="S",IF(BM!$I54=0,0,CHOOSE(MATCH(RegimeExecucao,{"Global","Unitário"},0),ROUND(ROUND(BM.MEDAcumulado,15-13*BM!$A$9)/100*BM!$I54,15-13*ORÇAMENTO!$AF$11),ROUND(ROUND(BM.MEDAcumulado,15-13*BM!$A$9)*ROUND(BM!$H54,15-13*ORÇAMENTO!$AF$10),15-13*ORÇAMENTO!$AF$11))),IF($A54=0,0,ROUND(SomaAgrupBM,15-13*ORÇAMENTO!$AF$11)))</f>
        <v>0</v>
      </c>
    </row>
    <row r="55" spans="1:41" ht="38.25" x14ac:dyDescent="0.2">
      <c r="A55" t="str">
        <f ca="1">ORÇAMENTO!C55</f>
        <v>S</v>
      </c>
      <c r="B55">
        <f ca="1">ORÇAMENTO!D55</f>
        <v>0</v>
      </c>
      <c r="C55" s="116" t="str">
        <f t="shared" ca="1" si="1"/>
        <v/>
      </c>
      <c r="D55" s="119" t="str">
        <f ca="1">ORÇAMENTO!O55</f>
        <v>-</v>
      </c>
      <c r="E55" s="172" t="str">
        <f t="shared" ca="1" si="2"/>
        <v>(abra o arquivo 'Referência 02-2025.xlsm)</v>
      </c>
      <c r="F55" s="173" t="str">
        <f ca="1">IF(RegimeExecucao="Global","",ORÇAMENTO.Unidade)</f>
        <v>-</v>
      </c>
      <c r="G55" s="124">
        <f ca="1">IF(RegimeExecucao="Global","",ORÇAMENTO!T55)</f>
        <v>6.88</v>
      </c>
      <c r="H55" s="124">
        <f ca="1">IF(RegimeExecucao="Global","",ORÇAMENTO!W55)</f>
        <v>0</v>
      </c>
      <c r="I55" s="127">
        <f ca="1">ORÇAMENTO!X55</f>
        <v>0</v>
      </c>
      <c r="J55" s="378">
        <f ca="1">IF($A55="S",IF(CAIXA.Modo,BM.AFAnterior,BM.MEDAnterior),IF(AND(RegimeExecucao="Global",$I55&gt;0,COUNTIF($AB$13:$AM$13,BM.medicao-1)&gt;0),M55/$I55*100,0))</f>
        <v>0</v>
      </c>
      <c r="K55" s="124">
        <f t="shared" ca="1" si="3"/>
        <v>0</v>
      </c>
      <c r="L55" s="379">
        <f ca="1">IF($A55="S",IF(CAIXA.Modo,BM.AFAcumulado,BM.MEDAcumulado),IF(AND(RegimeExecucao="Global",$I55&gt;0,COUNTIF($AB$13:$AM$13,BM.medicao)&gt;0),O55/$I55*100,0))</f>
        <v>0</v>
      </c>
      <c r="M55" s="380">
        <f ca="1">IF($A55="S",VTOTALBM,IF($A55=0,0,ROUND(SomaAgrupBM,15-13*ORÇAMENTO!$AF$11)))</f>
        <v>0</v>
      </c>
      <c r="N55" s="381">
        <f t="shared" ca="1" si="4"/>
        <v>0</v>
      </c>
      <c r="O55" s="127">
        <f ca="1">IF($A55="S",VTOTALBM,IF($A55=0,0,ROUND(SomaAgrupBM,15-13*ORÇAMENTO!$AF$11)))</f>
        <v>0</v>
      </c>
      <c r="Q55" s="382"/>
      <c r="R55" s="383"/>
      <c r="T55" s="119" t="str">
        <f t="shared" ca="1" si="5"/>
        <v/>
      </c>
      <c r="U55" s="172" t="str">
        <f t="shared" ca="1" si="6"/>
        <v/>
      </c>
      <c r="V55" s="173" t="str">
        <f ca="1">IF(AND($W55&gt;0,RegimeExecucao="Unitário"),$F55,"")</f>
        <v/>
      </c>
      <c r="W55" s="547">
        <f ca="1">IF($Y55&gt;0,CHOOSE(MATCH(RegimeExecucao,{"Unitário","Global"},0),IF($A55="S",$Y55/$X55,""),($Y55/$X55)*100),0)</f>
        <v>0</v>
      </c>
      <c r="X55" s="384" t="str">
        <f ca="1">IF($Y55&gt;0,CHOOSE(MATCH(RegimeExecucao,{"Unitário","Global"},0),IF($A55="S",ROUND($H55,ORÇAMENTO!$AF$10),""),ROUND($I55,ORÇAMENTO!$AF$11)),"")</f>
        <v/>
      </c>
      <c r="Y55" s="384">
        <f t="shared" ca="1" si="7"/>
        <v>0</v>
      </c>
      <c r="Z55" s="572"/>
      <c r="AB55" s="382"/>
      <c r="AC55" s="516"/>
      <c r="AD55" s="516"/>
      <c r="AE55" s="516"/>
      <c r="AF55" s="516"/>
      <c r="AG55" s="516"/>
      <c r="AH55" s="516"/>
      <c r="AI55" s="516"/>
      <c r="AJ55" s="516"/>
      <c r="AK55" s="516"/>
      <c r="AL55" s="516"/>
      <c r="AM55" s="383"/>
      <c r="AO55">
        <f ca="1">IF($A55="S",IF(BM!$I55=0,0,CHOOSE(MATCH(RegimeExecucao,{"Global","Unitário"},0),ROUND(ROUND(BM.MEDAcumulado,15-13*BM!$A$9)/100*BM!$I55,15-13*ORÇAMENTO!$AF$11),ROUND(ROUND(BM.MEDAcumulado,15-13*BM!$A$9)*ROUND(BM!$H55,15-13*ORÇAMENTO!$AF$10),15-13*ORÇAMENTO!$AF$11))),IF($A55=0,0,ROUND(SomaAgrupBM,15-13*ORÇAMENTO!$AF$11)))</f>
        <v>0</v>
      </c>
    </row>
    <row r="56" spans="1:41" ht="38.25" x14ac:dyDescent="0.2">
      <c r="A56" t="str">
        <f ca="1">ORÇAMENTO!C56</f>
        <v>S</v>
      </c>
      <c r="B56">
        <f ca="1">ORÇAMENTO!D56</f>
        <v>0</v>
      </c>
      <c r="C56" s="116" t="str">
        <f t="shared" ca="1" si="1"/>
        <v/>
      </c>
      <c r="D56" s="119" t="str">
        <f ca="1">ORÇAMENTO!O56</f>
        <v>-</v>
      </c>
      <c r="E56" s="172" t="str">
        <f t="shared" ca="1" si="2"/>
        <v>(abra o arquivo 'Referência 02-2025.xlsm)</v>
      </c>
      <c r="F56" s="173" t="str">
        <f ca="1">IF(RegimeExecucao="Global","",ORÇAMENTO.Unidade)</f>
        <v>-</v>
      </c>
      <c r="G56" s="124">
        <f ca="1">IF(RegimeExecucao="Global","",ORÇAMENTO!T56)</f>
        <v>10.130000000000001</v>
      </c>
      <c r="H56" s="124">
        <f ca="1">IF(RegimeExecucao="Global","",ORÇAMENTO!W56)</f>
        <v>0</v>
      </c>
      <c r="I56" s="127">
        <f ca="1">ORÇAMENTO!X56</f>
        <v>0</v>
      </c>
      <c r="J56" s="378">
        <f ca="1">IF($A56="S",IF(CAIXA.Modo,BM.AFAnterior,BM.MEDAnterior),IF(AND(RegimeExecucao="Global",$I56&gt;0,COUNTIF($AB$13:$AM$13,BM.medicao-1)&gt;0),M56/$I56*100,0))</f>
        <v>0</v>
      </c>
      <c r="K56" s="124">
        <f t="shared" ca="1" si="3"/>
        <v>0</v>
      </c>
      <c r="L56" s="379">
        <f ca="1">IF($A56="S",IF(CAIXA.Modo,BM.AFAcumulado,BM.MEDAcumulado),IF(AND(RegimeExecucao="Global",$I56&gt;0,COUNTIF($AB$13:$AM$13,BM.medicao)&gt;0),O56/$I56*100,0))</f>
        <v>0</v>
      </c>
      <c r="M56" s="380">
        <f ca="1">IF($A56="S",VTOTALBM,IF($A56=0,0,ROUND(SomaAgrupBM,15-13*ORÇAMENTO!$AF$11)))</f>
        <v>0</v>
      </c>
      <c r="N56" s="381">
        <f t="shared" ca="1" si="4"/>
        <v>0</v>
      </c>
      <c r="O56" s="127">
        <f ca="1">IF($A56="S",VTOTALBM,IF($A56=0,0,ROUND(SomaAgrupBM,15-13*ORÇAMENTO!$AF$11)))</f>
        <v>0</v>
      </c>
      <c r="Q56" s="382"/>
      <c r="R56" s="383"/>
      <c r="T56" s="119" t="str">
        <f t="shared" ca="1" si="5"/>
        <v/>
      </c>
      <c r="U56" s="172" t="str">
        <f t="shared" ca="1" si="6"/>
        <v/>
      </c>
      <c r="V56" s="173" t="str">
        <f ca="1">IF(AND($W56&gt;0,RegimeExecucao="Unitário"),$F56,"")</f>
        <v/>
      </c>
      <c r="W56" s="547">
        <f ca="1">IF($Y56&gt;0,CHOOSE(MATCH(RegimeExecucao,{"Unitário","Global"},0),IF($A56="S",$Y56/$X56,""),($Y56/$X56)*100),0)</f>
        <v>0</v>
      </c>
      <c r="X56" s="384" t="str">
        <f ca="1">IF($Y56&gt;0,CHOOSE(MATCH(RegimeExecucao,{"Unitário","Global"},0),IF($A56="S",ROUND($H56,ORÇAMENTO!$AF$10),""),ROUND($I56,ORÇAMENTO!$AF$11)),"")</f>
        <v/>
      </c>
      <c r="Y56" s="384">
        <f t="shared" ca="1" si="7"/>
        <v>0</v>
      </c>
      <c r="Z56" s="572"/>
      <c r="AB56" s="382"/>
      <c r="AC56" s="516"/>
      <c r="AD56" s="516"/>
      <c r="AE56" s="516"/>
      <c r="AF56" s="516"/>
      <c r="AG56" s="516"/>
      <c r="AH56" s="516"/>
      <c r="AI56" s="516"/>
      <c r="AJ56" s="516"/>
      <c r="AK56" s="516"/>
      <c r="AL56" s="516"/>
      <c r="AM56" s="383"/>
      <c r="AO56">
        <f ca="1">IF($A56="S",IF(BM!$I56=0,0,CHOOSE(MATCH(RegimeExecucao,{"Global","Unitário"},0),ROUND(ROUND(BM.MEDAcumulado,15-13*BM!$A$9)/100*BM!$I56,15-13*ORÇAMENTO!$AF$11),ROUND(ROUND(BM.MEDAcumulado,15-13*BM!$A$9)*ROUND(BM!$H56,15-13*ORÇAMENTO!$AF$10),15-13*ORÇAMENTO!$AF$11))),IF($A56=0,0,ROUND(SomaAgrupBM,15-13*ORÇAMENTO!$AF$11)))</f>
        <v>0</v>
      </c>
    </row>
    <row r="57" spans="1:41" ht="25.5" x14ac:dyDescent="0.2">
      <c r="A57" t="str">
        <f ca="1">ORÇAMENTO!C57</f>
        <v>S</v>
      </c>
      <c r="B57">
        <f ca="1">ORÇAMENTO!D57</f>
        <v>0</v>
      </c>
      <c r="C57" s="116" t="str">
        <f t="shared" ca="1" si="1"/>
        <v/>
      </c>
      <c r="D57" s="119" t="str">
        <f ca="1">ORÇAMENTO!O57</f>
        <v>-</v>
      </c>
      <c r="E57" s="172" t="str">
        <f t="shared" ca="1" si="2"/>
        <v>(abra o arquivo 'Referência 02-2025.xlsm)</v>
      </c>
      <c r="F57" s="173" t="str">
        <f ca="1">IF(RegimeExecucao="Global","",ORÇAMENTO.Unidade)</f>
        <v>-</v>
      </c>
      <c r="G57" s="124">
        <f ca="1">IF(RegimeExecucao="Global","",ORÇAMENTO!T57)</f>
        <v>296.77999999999997</v>
      </c>
      <c r="H57" s="124">
        <f ca="1">IF(RegimeExecucao="Global","",ORÇAMENTO!W57)</f>
        <v>0</v>
      </c>
      <c r="I57" s="127">
        <f ca="1">ORÇAMENTO!X57</f>
        <v>0</v>
      </c>
      <c r="J57" s="378">
        <f ca="1">IF($A57="S",IF(CAIXA.Modo,BM.AFAnterior,BM.MEDAnterior),IF(AND(RegimeExecucao="Global",$I57&gt;0,COUNTIF($AB$13:$AM$13,BM.medicao-1)&gt;0),M57/$I57*100,0))</f>
        <v>0</v>
      </c>
      <c r="K57" s="124">
        <f t="shared" ca="1" si="3"/>
        <v>0</v>
      </c>
      <c r="L57" s="379">
        <f ca="1">IF($A57="S",IF(CAIXA.Modo,BM.AFAcumulado,BM.MEDAcumulado),IF(AND(RegimeExecucao="Global",$I57&gt;0,COUNTIF($AB$13:$AM$13,BM.medicao)&gt;0),O57/$I57*100,0))</f>
        <v>0</v>
      </c>
      <c r="M57" s="380">
        <f ca="1">IF($A57="S",VTOTALBM,IF($A57=0,0,ROUND(SomaAgrupBM,15-13*ORÇAMENTO!$AF$11)))</f>
        <v>0</v>
      </c>
      <c r="N57" s="381">
        <f t="shared" ca="1" si="4"/>
        <v>0</v>
      </c>
      <c r="O57" s="127">
        <f ca="1">IF($A57="S",VTOTALBM,IF($A57=0,0,ROUND(SomaAgrupBM,15-13*ORÇAMENTO!$AF$11)))</f>
        <v>0</v>
      </c>
      <c r="Q57" s="382"/>
      <c r="R57" s="383"/>
      <c r="T57" s="119" t="str">
        <f t="shared" ca="1" si="5"/>
        <v/>
      </c>
      <c r="U57" s="172" t="str">
        <f t="shared" ca="1" si="6"/>
        <v/>
      </c>
      <c r="V57" s="173" t="str">
        <f ca="1">IF(AND($W57&gt;0,RegimeExecucao="Unitário"),$F57,"")</f>
        <v/>
      </c>
      <c r="W57" s="547">
        <f ca="1">IF($Y57&gt;0,CHOOSE(MATCH(RegimeExecucao,{"Unitário","Global"},0),IF($A57="S",$Y57/$X57,""),($Y57/$X57)*100),0)</f>
        <v>0</v>
      </c>
      <c r="X57" s="384" t="str">
        <f ca="1">IF($Y57&gt;0,CHOOSE(MATCH(RegimeExecucao,{"Unitário","Global"},0),IF($A57="S",ROUND($H57,ORÇAMENTO!$AF$10),""),ROUND($I57,ORÇAMENTO!$AF$11)),"")</f>
        <v/>
      </c>
      <c r="Y57" s="384">
        <f t="shared" ca="1" si="7"/>
        <v>0</v>
      </c>
      <c r="Z57" s="572"/>
      <c r="AB57" s="382"/>
      <c r="AC57" s="516"/>
      <c r="AD57" s="516"/>
      <c r="AE57" s="516"/>
      <c r="AF57" s="516"/>
      <c r="AG57" s="516"/>
      <c r="AH57" s="516"/>
      <c r="AI57" s="516"/>
      <c r="AJ57" s="516"/>
      <c r="AK57" s="516"/>
      <c r="AL57" s="516"/>
      <c r="AM57" s="383"/>
      <c r="AO57">
        <f ca="1">IF($A57="S",IF(BM!$I57=0,0,CHOOSE(MATCH(RegimeExecucao,{"Global","Unitário"},0),ROUND(ROUND(BM.MEDAcumulado,15-13*BM!$A$9)/100*BM!$I57,15-13*ORÇAMENTO!$AF$11),ROUND(ROUND(BM.MEDAcumulado,15-13*BM!$A$9)*ROUND(BM!$H57,15-13*ORÇAMENTO!$AF$10),15-13*ORÇAMENTO!$AF$11))),IF($A57=0,0,ROUND(SomaAgrupBM,15-13*ORÇAMENTO!$AF$11)))</f>
        <v>0</v>
      </c>
    </row>
    <row r="58" spans="1:41" ht="38.25" x14ac:dyDescent="0.2">
      <c r="A58" t="str">
        <f ca="1">ORÇAMENTO!C58</f>
        <v>S</v>
      </c>
      <c r="B58">
        <f ca="1">ORÇAMENTO!D58</f>
        <v>0</v>
      </c>
      <c r="C58" s="116" t="str">
        <f ca="1">IF(OR($I58&gt;0,$A58=1,$A58=2,$A58=3,$A58=4),"F","")</f>
        <v/>
      </c>
      <c r="D58" s="119" t="str">
        <f ca="1">ORÇAMENTO!O58</f>
        <v>-</v>
      </c>
      <c r="E58" s="172" t="str">
        <f ca="1">ORÇAMENTO.Descricao</f>
        <v>(abra o arquivo 'Referência 02-2025.xlsm)</v>
      </c>
      <c r="F58" s="173" t="str">
        <f ca="1">IF(RegimeExecucao="Global","",ORÇAMENTO.Unidade)</f>
        <v>-</v>
      </c>
      <c r="G58" s="124">
        <f ca="1">IF(RegimeExecucao="Global","",ORÇAMENTO!T58)</f>
        <v>45.14</v>
      </c>
      <c r="H58" s="124">
        <f ca="1">IF(RegimeExecucao="Global","",ORÇAMENTO!W58)</f>
        <v>0</v>
      </c>
      <c r="I58" s="127">
        <f ca="1">ORÇAMENTO!X58</f>
        <v>0</v>
      </c>
      <c r="J58" s="378">
        <f ca="1">IF($A58="S",IF(CAIXA.Modo,BM.AFAnterior,BM.MEDAnterior),IF(AND(RegimeExecucao="Global",$I58&gt;0,COUNTIF($AB$13:$AM$13,BM.medicao-1)&gt;0),M58/$I58*100,0))</f>
        <v>0</v>
      </c>
      <c r="K58" s="124">
        <f ca="1">L58-J58</f>
        <v>0</v>
      </c>
      <c r="L58" s="379">
        <f ca="1">IF($A58="S",IF(CAIXA.Modo,BM.AFAcumulado,BM.MEDAcumulado),IF(AND(RegimeExecucao="Global",$I58&gt;0,COUNTIF($AB$13:$AM$13,BM.medicao)&gt;0),O58/$I58*100,0))</f>
        <v>0</v>
      </c>
      <c r="M58" s="380">
        <f ca="1">IF($A58="S",VTOTALBM,IF($A58=0,0,ROUND(SomaAgrupBM,15-13*ORÇAMENTO!$AF$11)))</f>
        <v>0</v>
      </c>
      <c r="N58" s="381">
        <f ca="1">O58-M58</f>
        <v>0</v>
      </c>
      <c r="O58" s="127">
        <f ca="1">IF($A58="S",VTOTALBM,IF($A58=0,0,ROUND(SomaAgrupBM,15-13*ORÇAMENTO!$AF$11)))</f>
        <v>0</v>
      </c>
      <c r="Q58" s="382"/>
      <c r="R58" s="383"/>
      <c r="T58" s="119" t="str">
        <f ca="1">IF($W58&gt;0,$D58,"")</f>
        <v/>
      </c>
      <c r="U58" s="172" t="str">
        <f ca="1">IF($W58&gt;0,$E58,"")</f>
        <v/>
      </c>
      <c r="V58" s="173" t="str">
        <f ca="1">IF(AND($W58&gt;0,RegimeExecucao="Unitário"),$F58,"")</f>
        <v/>
      </c>
      <c r="W58" s="547">
        <f ca="1">IF($Y58&gt;0,CHOOSE(MATCH(RegimeExecucao,{"Unitário","Global"},0),IF($A58="S",$Y58/$X58,""),($Y58/$X58)*100),0)</f>
        <v>0</v>
      </c>
      <c r="X58" s="384" t="str">
        <f ca="1">IF($Y58&gt;0,CHOOSE(MATCH(RegimeExecucao,{"Unitário","Global"},0),IF($A58="S",ROUND($H58,ORÇAMENTO!$AF$10),""),ROUND($I58,ORÇAMENTO!$AF$11)),"")</f>
        <v/>
      </c>
      <c r="Y58" s="384">
        <f ca="1">AO58-O58</f>
        <v>0</v>
      </c>
      <c r="Z58" s="572"/>
      <c r="AB58" s="382"/>
      <c r="AC58" s="516"/>
      <c r="AD58" s="516"/>
      <c r="AE58" s="516"/>
      <c r="AF58" s="516"/>
      <c r="AG58" s="516"/>
      <c r="AH58" s="516"/>
      <c r="AI58" s="516"/>
      <c r="AJ58" s="516"/>
      <c r="AK58" s="516"/>
      <c r="AL58" s="516"/>
      <c r="AM58" s="383"/>
      <c r="AO58">
        <f ca="1">IF($A58="S",IF(BM!$I58=0,0,CHOOSE(MATCH(RegimeExecucao,{"Global","Unitário"},0),ROUND(ROUND(BM.MEDAcumulado,15-13*BM!$A$9)/100*BM!$I58,15-13*ORÇAMENTO!$AF$11),ROUND(ROUND(BM.MEDAcumulado,15-13*BM!$A$9)*ROUND(BM!$H58,15-13*ORÇAMENTO!$AF$10),15-13*ORÇAMENTO!$AF$11))),IF($A58=0,0,ROUND(SomaAgrupBM,15-13*ORÇAMENTO!$AF$11)))</f>
        <v>0</v>
      </c>
    </row>
    <row r="59" spans="1:41" x14ac:dyDescent="0.2">
      <c r="A59">
        <f ca="1">ORÇAMENTO!C59</f>
        <v>2</v>
      </c>
      <c r="B59">
        <f ca="1">ORÇAMENTO!D59</f>
        <v>46</v>
      </c>
      <c r="C59" s="116" t="str">
        <f t="shared" ca="1" si="1"/>
        <v>F</v>
      </c>
      <c r="D59" s="119" t="str">
        <f ca="1">ORÇAMENTO!O59</f>
        <v>1.4.</v>
      </c>
      <c r="E59" s="172" t="str">
        <f t="shared" ca="1" si="2"/>
        <v>SUPERESTRUTURA</v>
      </c>
      <c r="F59" s="173" t="str">
        <f ca="1">IF(RegimeExecucao="Global","",ORÇAMENTO.Unidade)</f>
        <v>-</v>
      </c>
      <c r="G59" s="124">
        <f ca="1">IF(RegimeExecucao="Global","",ORÇAMENTO!T59)</f>
        <v>0</v>
      </c>
      <c r="H59" s="124">
        <f ca="1">IF(RegimeExecucao="Global","",ORÇAMENTO!W59)</f>
        <v>0</v>
      </c>
      <c r="I59" s="127">
        <f ca="1">ORÇAMENTO!X59</f>
        <v>0</v>
      </c>
      <c r="J59" s="378">
        <f ca="1">IF($A59="S",IF(CAIXA.Modo,BM.AFAnterior,BM.MEDAnterior),IF(AND(RegimeExecucao="Global",$I59&gt;0,COUNTIF($AB$13:$AM$13,BM.medicao-1)&gt;0),M59/$I59*100,0))</f>
        <v>0</v>
      </c>
      <c r="K59" s="124">
        <f t="shared" ca="1" si="3"/>
        <v>0</v>
      </c>
      <c r="L59" s="379">
        <f ca="1">IF($A59="S",IF(CAIXA.Modo,BM.AFAcumulado,BM.MEDAcumulado),IF(AND(RegimeExecucao="Global",$I59&gt;0,COUNTIF($AB$13:$AM$13,BM.medicao)&gt;0),O59/$I59*100,0))</f>
        <v>0</v>
      </c>
      <c r="M59" s="380">
        <f ca="1">IF($A59="S",VTOTALBM,IF($A59=0,0,ROUND(SomaAgrupBM,15-13*ORÇAMENTO!$AF$11)))</f>
        <v>0</v>
      </c>
      <c r="N59" s="381">
        <f t="shared" ca="1" si="4"/>
        <v>0</v>
      </c>
      <c r="O59" s="127">
        <f ca="1">IF($A59="S",VTOTALBM,IF($A59=0,0,ROUND(SomaAgrupBM,15-13*ORÇAMENTO!$AF$11)))</f>
        <v>0</v>
      </c>
      <c r="Q59" s="382"/>
      <c r="R59" s="383"/>
      <c r="T59" s="119" t="str">
        <f t="shared" ca="1" si="5"/>
        <v/>
      </c>
      <c r="U59" s="172" t="str">
        <f t="shared" ca="1" si="6"/>
        <v/>
      </c>
      <c r="V59" s="173" t="str">
        <f ca="1">IF(AND($W59&gt;0,RegimeExecucao="Unitário"),$F59,"")</f>
        <v/>
      </c>
      <c r="W59" s="547">
        <f ca="1">IF($Y59&gt;0,CHOOSE(MATCH(RegimeExecucao,{"Unitário","Global"},0),IF($A59="S",$Y59/$X59,""),($Y59/$X59)*100),0)</f>
        <v>0</v>
      </c>
      <c r="X59" s="384" t="str">
        <f ca="1">IF($Y59&gt;0,CHOOSE(MATCH(RegimeExecucao,{"Unitário","Global"},0),IF($A59="S",ROUND($H59,ORÇAMENTO!$AF$10),""),ROUND($I59,ORÇAMENTO!$AF$11)),"")</f>
        <v/>
      </c>
      <c r="Y59" s="384">
        <f t="shared" ca="1" si="7"/>
        <v>0</v>
      </c>
      <c r="Z59" s="572"/>
      <c r="AB59" s="382"/>
      <c r="AC59" s="516"/>
      <c r="AD59" s="516"/>
      <c r="AE59" s="516"/>
      <c r="AF59" s="516"/>
      <c r="AG59" s="516"/>
      <c r="AH59" s="516"/>
      <c r="AI59" s="516"/>
      <c r="AJ59" s="516"/>
      <c r="AK59" s="516"/>
      <c r="AL59" s="516"/>
      <c r="AM59" s="383"/>
      <c r="AO59">
        <f ca="1">IF($A59="S",IF(BM!$I59=0,0,CHOOSE(MATCH(RegimeExecucao,{"Global","Unitário"},0),ROUND(ROUND(BM.MEDAcumulado,15-13*BM!$A$9)/100*BM!$I59,15-13*ORÇAMENTO!$AF$11),ROUND(ROUND(BM.MEDAcumulado,15-13*BM!$A$9)*ROUND(BM!$H59,15-13*ORÇAMENTO!$AF$10),15-13*ORÇAMENTO!$AF$11))),IF($A59=0,0,ROUND(SomaAgrupBM,15-13*ORÇAMENTO!$AF$11)))</f>
        <v>0</v>
      </c>
    </row>
    <row r="60" spans="1:41" x14ac:dyDescent="0.2">
      <c r="A60">
        <f ca="1">ORÇAMENTO!C60</f>
        <v>3</v>
      </c>
      <c r="B60">
        <f ca="1">ORÇAMENTO!D60</f>
        <v>11</v>
      </c>
      <c r="C60" s="116" t="str">
        <f t="shared" ca="1" si="1"/>
        <v>F</v>
      </c>
      <c r="D60" s="119" t="str">
        <f ca="1">ORÇAMENTO!O60</f>
        <v>1.4.1.</v>
      </c>
      <c r="E60" s="172" t="str">
        <f t="shared" si="2"/>
        <v>CONCRETO ARMADO - VIGAS BALDRAME</v>
      </c>
      <c r="F60" s="173" t="str">
        <f ca="1">IF(RegimeExecucao="Global","",ORÇAMENTO.Unidade)</f>
        <v>-</v>
      </c>
      <c r="G60" s="124">
        <f ca="1">IF(RegimeExecucao="Global","",ORÇAMENTO!T60)</f>
        <v>0</v>
      </c>
      <c r="H60" s="124">
        <f ca="1">IF(RegimeExecucao="Global","",ORÇAMENTO!W60)</f>
        <v>0</v>
      </c>
      <c r="I60" s="127">
        <f ca="1">ORÇAMENTO!X60</f>
        <v>0</v>
      </c>
      <c r="J60" s="378">
        <f ca="1">IF($A60="S",IF(CAIXA.Modo,BM.AFAnterior,BM.MEDAnterior),IF(AND(RegimeExecucao="Global",$I60&gt;0,COUNTIF($AB$13:$AM$13,BM.medicao-1)&gt;0),M60/$I60*100,0))</f>
        <v>0</v>
      </c>
      <c r="K60" s="124">
        <f t="shared" ca="1" si="3"/>
        <v>0</v>
      </c>
      <c r="L60" s="379">
        <f ca="1">IF($A60="S",IF(CAIXA.Modo,BM.AFAcumulado,BM.MEDAcumulado),IF(AND(RegimeExecucao="Global",$I60&gt;0,COUNTIF($AB$13:$AM$13,BM.medicao)&gt;0),O60/$I60*100,0))</f>
        <v>0</v>
      </c>
      <c r="M60" s="380">
        <f ca="1">IF($A60="S",VTOTALBM,IF($A60=0,0,ROUND(SomaAgrupBM,15-13*ORÇAMENTO!$AF$11)))</f>
        <v>0</v>
      </c>
      <c r="N60" s="381">
        <f t="shared" ca="1" si="4"/>
        <v>0</v>
      </c>
      <c r="O60" s="127">
        <f ca="1">IF($A60="S",VTOTALBM,IF($A60=0,0,ROUND(SomaAgrupBM,15-13*ORÇAMENTO!$AF$11)))</f>
        <v>0</v>
      </c>
      <c r="Q60" s="382"/>
      <c r="R60" s="383"/>
      <c r="T60" s="119" t="str">
        <f t="shared" ca="1" si="5"/>
        <v/>
      </c>
      <c r="U60" s="172" t="str">
        <f t="shared" ca="1" si="6"/>
        <v/>
      </c>
      <c r="V60" s="173" t="str">
        <f ca="1">IF(AND($W60&gt;0,RegimeExecucao="Unitário"),$F60,"")</f>
        <v/>
      </c>
      <c r="W60" s="547">
        <f ca="1">IF($Y60&gt;0,CHOOSE(MATCH(RegimeExecucao,{"Unitário","Global"},0),IF($A60="S",$Y60/$X60,""),($Y60/$X60)*100),0)</f>
        <v>0</v>
      </c>
      <c r="X60" s="384" t="str">
        <f ca="1">IF($Y60&gt;0,CHOOSE(MATCH(RegimeExecucao,{"Unitário","Global"},0),IF($A60="S",ROUND($H60,ORÇAMENTO!$AF$10),""),ROUND($I60,ORÇAMENTO!$AF$11)),"")</f>
        <v/>
      </c>
      <c r="Y60" s="384">
        <f t="shared" ca="1" si="7"/>
        <v>0</v>
      </c>
      <c r="Z60" s="572"/>
      <c r="AB60" s="382"/>
      <c r="AC60" s="516"/>
      <c r="AD60" s="516"/>
      <c r="AE60" s="516"/>
      <c r="AF60" s="516"/>
      <c r="AG60" s="516"/>
      <c r="AH60" s="516"/>
      <c r="AI60" s="516"/>
      <c r="AJ60" s="516"/>
      <c r="AK60" s="516"/>
      <c r="AL60" s="516"/>
      <c r="AM60" s="383"/>
      <c r="AO60">
        <f ca="1">IF($A60="S",IF(BM!$I60=0,0,CHOOSE(MATCH(RegimeExecucao,{"Global","Unitário"},0),ROUND(ROUND(BM.MEDAcumulado,15-13*BM!$A$9)/100*BM!$I60,15-13*ORÇAMENTO!$AF$11),ROUND(ROUND(BM.MEDAcumulado,15-13*BM!$A$9)*ROUND(BM!$H60,15-13*ORÇAMENTO!$AF$10),15-13*ORÇAMENTO!$AF$11))),IF($A60=0,0,ROUND(SomaAgrupBM,15-13*ORÇAMENTO!$AF$11)))</f>
        <v>0</v>
      </c>
    </row>
    <row r="61" spans="1:41" ht="25.5" x14ac:dyDescent="0.2">
      <c r="A61" t="str">
        <f ca="1">ORÇAMENTO!C61</f>
        <v>S</v>
      </c>
      <c r="B61">
        <f ca="1">ORÇAMENTO!D61</f>
        <v>0</v>
      </c>
      <c r="C61" s="116" t="str">
        <f t="shared" ca="1" si="1"/>
        <v/>
      </c>
      <c r="D61" s="119" t="str">
        <f ca="1">ORÇAMENTO!O61</f>
        <v>-</v>
      </c>
      <c r="E61" s="172" t="str">
        <f t="shared" ca="1" si="2"/>
        <v>(abra o arquivo 'Referência 02-2025.xlsm)</v>
      </c>
      <c r="F61" s="173" t="str">
        <f ca="1">IF(RegimeExecucao="Global","",ORÇAMENTO.Unidade)</f>
        <v>-</v>
      </c>
      <c r="G61" s="124">
        <f ca="1">IF(RegimeExecucao="Global","",ORÇAMENTO!T61)</f>
        <v>43.64</v>
      </c>
      <c r="H61" s="124">
        <f ca="1">IF(RegimeExecucao="Global","",ORÇAMENTO!W61)</f>
        <v>0</v>
      </c>
      <c r="I61" s="127">
        <f ca="1">ORÇAMENTO!X61</f>
        <v>0</v>
      </c>
      <c r="J61" s="378">
        <f ca="1">IF($A61="S",IF(CAIXA.Modo,BM.AFAnterior,BM.MEDAnterior),IF(AND(RegimeExecucao="Global",$I61&gt;0,COUNTIF($AB$13:$AM$13,BM.medicao-1)&gt;0),M61/$I61*100,0))</f>
        <v>0</v>
      </c>
      <c r="K61" s="124">
        <f t="shared" ca="1" si="3"/>
        <v>0</v>
      </c>
      <c r="L61" s="379">
        <f ca="1">IF($A61="S",IF(CAIXA.Modo,BM.AFAcumulado,BM.MEDAcumulado),IF(AND(RegimeExecucao="Global",$I61&gt;0,COUNTIF($AB$13:$AM$13,BM.medicao)&gt;0),O61/$I61*100,0))</f>
        <v>0</v>
      </c>
      <c r="M61" s="380">
        <f ca="1">IF($A61="S",VTOTALBM,IF($A61=0,0,ROUND(SomaAgrupBM,15-13*ORÇAMENTO!$AF$11)))</f>
        <v>0</v>
      </c>
      <c r="N61" s="381">
        <f t="shared" ca="1" si="4"/>
        <v>0</v>
      </c>
      <c r="O61" s="127">
        <f ca="1">IF($A61="S",VTOTALBM,IF($A61=0,0,ROUND(SomaAgrupBM,15-13*ORÇAMENTO!$AF$11)))</f>
        <v>0</v>
      </c>
      <c r="Q61" s="382"/>
      <c r="R61" s="383"/>
      <c r="T61" s="119" t="str">
        <f t="shared" ca="1" si="5"/>
        <v/>
      </c>
      <c r="U61" s="172" t="str">
        <f t="shared" ca="1" si="6"/>
        <v/>
      </c>
      <c r="V61" s="173" t="str">
        <f ca="1">IF(AND($W61&gt;0,RegimeExecucao="Unitário"),$F61,"")</f>
        <v/>
      </c>
      <c r="W61" s="547">
        <f ca="1">IF($Y61&gt;0,CHOOSE(MATCH(RegimeExecucao,{"Unitário","Global"},0),IF($A61="S",$Y61/$X61,""),($Y61/$X61)*100),0)</f>
        <v>0</v>
      </c>
      <c r="X61" s="384" t="str">
        <f ca="1">IF($Y61&gt;0,CHOOSE(MATCH(RegimeExecucao,{"Unitário","Global"},0),IF($A61="S",ROUND($H61,ORÇAMENTO!$AF$10),""),ROUND($I61,ORÇAMENTO!$AF$11)),"")</f>
        <v/>
      </c>
      <c r="Y61" s="384">
        <f t="shared" ca="1" si="7"/>
        <v>0</v>
      </c>
      <c r="Z61" s="572"/>
      <c r="AB61" s="382"/>
      <c r="AC61" s="516"/>
      <c r="AD61" s="516"/>
      <c r="AE61" s="516"/>
      <c r="AF61" s="516"/>
      <c r="AG61" s="516"/>
      <c r="AH61" s="516"/>
      <c r="AI61" s="516"/>
      <c r="AJ61" s="516"/>
      <c r="AK61" s="516"/>
      <c r="AL61" s="516"/>
      <c r="AM61" s="383"/>
      <c r="AO61">
        <f ca="1">IF($A61="S",IF(BM!$I61=0,0,CHOOSE(MATCH(RegimeExecucao,{"Global","Unitário"},0),ROUND(ROUND(BM.MEDAcumulado,15-13*BM!$A$9)/100*BM!$I61,15-13*ORÇAMENTO!$AF$11),ROUND(ROUND(BM.MEDAcumulado,15-13*BM!$A$9)*ROUND(BM!$H61,15-13*ORÇAMENTO!$AF$10),15-13*ORÇAMENTO!$AF$11))),IF($A61=0,0,ROUND(SomaAgrupBM,15-13*ORÇAMENTO!$AF$11)))</f>
        <v>0</v>
      </c>
    </row>
    <row r="62" spans="1:41" ht="25.5" x14ac:dyDescent="0.2">
      <c r="A62" t="str">
        <f ca="1">ORÇAMENTO!C62</f>
        <v>S</v>
      </c>
      <c r="B62">
        <f ca="1">ORÇAMENTO!D62</f>
        <v>0</v>
      </c>
      <c r="C62" s="116" t="str">
        <f t="shared" ca="1" si="1"/>
        <v/>
      </c>
      <c r="D62" s="119" t="str">
        <f ca="1">ORÇAMENTO!O62</f>
        <v>-</v>
      </c>
      <c r="E62" s="172" t="str">
        <f t="shared" ca="1" si="2"/>
        <v>(abra o arquivo 'Referência 02-2025.xlsm)</v>
      </c>
      <c r="F62" s="173" t="str">
        <f ca="1">IF(RegimeExecucao="Global","",ORÇAMENTO.Unidade)</f>
        <v>-</v>
      </c>
      <c r="G62" s="124">
        <f ca="1">IF(RegimeExecucao="Global","",ORÇAMENTO!T62)</f>
        <v>872.87</v>
      </c>
      <c r="H62" s="124">
        <f ca="1">IF(RegimeExecucao="Global","",ORÇAMENTO!W62)</f>
        <v>0</v>
      </c>
      <c r="I62" s="127">
        <f ca="1">ORÇAMENTO!X62</f>
        <v>0</v>
      </c>
      <c r="J62" s="378">
        <f ca="1">IF($A62="S",IF(CAIXA.Modo,BM.AFAnterior,BM.MEDAnterior),IF(AND(RegimeExecucao="Global",$I62&gt;0,COUNTIF($AB$13:$AM$13,BM.medicao-1)&gt;0),M62/$I62*100,0))</f>
        <v>0</v>
      </c>
      <c r="K62" s="124">
        <f t="shared" ca="1" si="3"/>
        <v>0</v>
      </c>
      <c r="L62" s="379">
        <f ca="1">IF($A62="S",IF(CAIXA.Modo,BM.AFAcumulado,BM.MEDAcumulado),IF(AND(RegimeExecucao="Global",$I62&gt;0,COUNTIF($AB$13:$AM$13,BM.medicao)&gt;0),O62/$I62*100,0))</f>
        <v>0</v>
      </c>
      <c r="M62" s="380">
        <f ca="1">IF($A62="S",VTOTALBM,IF($A62=0,0,ROUND(SomaAgrupBM,15-13*ORÇAMENTO!$AF$11)))</f>
        <v>0</v>
      </c>
      <c r="N62" s="381">
        <f t="shared" ca="1" si="4"/>
        <v>0</v>
      </c>
      <c r="O62" s="127">
        <f ca="1">IF($A62="S",VTOTALBM,IF($A62=0,0,ROUND(SomaAgrupBM,15-13*ORÇAMENTO!$AF$11)))</f>
        <v>0</v>
      </c>
      <c r="Q62" s="382"/>
      <c r="R62" s="383"/>
      <c r="T62" s="119" t="str">
        <f t="shared" ca="1" si="5"/>
        <v/>
      </c>
      <c r="U62" s="172" t="str">
        <f t="shared" ca="1" si="6"/>
        <v/>
      </c>
      <c r="V62" s="173" t="str">
        <f ca="1">IF(AND($W62&gt;0,RegimeExecucao="Unitário"),$F62,"")</f>
        <v/>
      </c>
      <c r="W62" s="547">
        <f ca="1">IF($Y62&gt;0,CHOOSE(MATCH(RegimeExecucao,{"Unitário","Global"},0),IF($A62="S",$Y62/$X62,""),($Y62/$X62)*100),0)</f>
        <v>0</v>
      </c>
      <c r="X62" s="384" t="str">
        <f ca="1">IF($Y62&gt;0,CHOOSE(MATCH(RegimeExecucao,{"Unitário","Global"},0),IF($A62="S",ROUND($H62,ORÇAMENTO!$AF$10),""),ROUND($I62,ORÇAMENTO!$AF$11)),"")</f>
        <v/>
      </c>
      <c r="Y62" s="384">
        <f t="shared" ca="1" si="7"/>
        <v>0</v>
      </c>
      <c r="Z62" s="572"/>
      <c r="AB62" s="382"/>
      <c r="AC62" s="516"/>
      <c r="AD62" s="516"/>
      <c r="AE62" s="516"/>
      <c r="AF62" s="516"/>
      <c r="AG62" s="516"/>
      <c r="AH62" s="516"/>
      <c r="AI62" s="516"/>
      <c r="AJ62" s="516"/>
      <c r="AK62" s="516"/>
      <c r="AL62" s="516"/>
      <c r="AM62" s="383"/>
      <c r="AO62">
        <f ca="1">IF($A62="S",IF(BM!$I62=0,0,CHOOSE(MATCH(RegimeExecucao,{"Global","Unitário"},0),ROUND(ROUND(BM.MEDAcumulado,15-13*BM!$A$9)/100*BM!$I62,15-13*ORÇAMENTO!$AF$11),ROUND(ROUND(BM.MEDAcumulado,15-13*BM!$A$9)*ROUND(BM!$H62,15-13*ORÇAMENTO!$AF$10),15-13*ORÇAMENTO!$AF$11))),IF($A62=0,0,ROUND(SomaAgrupBM,15-13*ORÇAMENTO!$AF$11)))</f>
        <v>0</v>
      </c>
    </row>
    <row r="63" spans="1:41" ht="38.25" x14ac:dyDescent="0.2">
      <c r="A63" t="str">
        <f ca="1">ORÇAMENTO!C63</f>
        <v>S</v>
      </c>
      <c r="B63">
        <f ca="1">ORÇAMENTO!D63</f>
        <v>0</v>
      </c>
      <c r="C63" s="116" t="str">
        <f t="shared" ca="1" si="1"/>
        <v/>
      </c>
      <c r="D63" s="119" t="str">
        <f ca="1">ORÇAMENTO!O63</f>
        <v>-</v>
      </c>
      <c r="E63" s="172" t="str">
        <f t="shared" ca="1" si="2"/>
        <v>(abra o arquivo 'Referência 02-2025.xlsm)</v>
      </c>
      <c r="F63" s="173" t="str">
        <f ca="1">IF(RegimeExecucao="Global","",ORÇAMENTO.Unidade)</f>
        <v>-</v>
      </c>
      <c r="G63" s="124">
        <f ca="1">IF(RegimeExecucao="Global","",ORÇAMENTO!T63)</f>
        <v>525.29999999999995</v>
      </c>
      <c r="H63" s="124">
        <f ca="1">IF(RegimeExecucao="Global","",ORÇAMENTO!W63)</f>
        <v>0</v>
      </c>
      <c r="I63" s="127">
        <f ca="1">ORÇAMENTO!X63</f>
        <v>0</v>
      </c>
      <c r="J63" s="378">
        <f ca="1">IF($A63="S",IF(CAIXA.Modo,BM.AFAnterior,BM.MEDAnterior),IF(AND(RegimeExecucao="Global",$I63&gt;0,COUNTIF($AB$13:$AM$13,BM.medicao-1)&gt;0),M63/$I63*100,0))</f>
        <v>0</v>
      </c>
      <c r="K63" s="124">
        <f t="shared" ca="1" si="3"/>
        <v>0</v>
      </c>
      <c r="L63" s="379">
        <f ca="1">IF($A63="S",IF(CAIXA.Modo,BM.AFAcumulado,BM.MEDAcumulado),IF(AND(RegimeExecucao="Global",$I63&gt;0,COUNTIF($AB$13:$AM$13,BM.medicao)&gt;0),O63/$I63*100,0))</f>
        <v>0</v>
      </c>
      <c r="M63" s="380">
        <f ca="1">IF($A63="S",VTOTALBM,IF($A63=0,0,ROUND(SomaAgrupBM,15-13*ORÇAMENTO!$AF$11)))</f>
        <v>0</v>
      </c>
      <c r="N63" s="381">
        <f t="shared" ca="1" si="4"/>
        <v>0</v>
      </c>
      <c r="O63" s="127">
        <f ca="1">IF($A63="S",VTOTALBM,IF($A63=0,0,ROUND(SomaAgrupBM,15-13*ORÇAMENTO!$AF$11)))</f>
        <v>0</v>
      </c>
      <c r="Q63" s="382"/>
      <c r="R63" s="383"/>
      <c r="T63" s="119" t="str">
        <f t="shared" ca="1" si="5"/>
        <v/>
      </c>
      <c r="U63" s="172" t="str">
        <f t="shared" ca="1" si="6"/>
        <v/>
      </c>
      <c r="V63" s="173" t="str">
        <f ca="1">IF(AND($W63&gt;0,RegimeExecucao="Unitário"),$F63,"")</f>
        <v/>
      </c>
      <c r="W63" s="547">
        <f ca="1">IF($Y63&gt;0,CHOOSE(MATCH(RegimeExecucao,{"Unitário","Global"},0),IF($A63="S",$Y63/$X63,""),($Y63/$X63)*100),0)</f>
        <v>0</v>
      </c>
      <c r="X63" s="384" t="str">
        <f ca="1">IF($Y63&gt;0,CHOOSE(MATCH(RegimeExecucao,{"Unitário","Global"},0),IF($A63="S",ROUND($H63,ORÇAMENTO!$AF$10),""),ROUND($I63,ORÇAMENTO!$AF$11)),"")</f>
        <v/>
      </c>
      <c r="Y63" s="384">
        <f t="shared" ca="1" si="7"/>
        <v>0</v>
      </c>
      <c r="Z63" s="572"/>
      <c r="AB63" s="382"/>
      <c r="AC63" s="516"/>
      <c r="AD63" s="516"/>
      <c r="AE63" s="516"/>
      <c r="AF63" s="516"/>
      <c r="AG63" s="516"/>
      <c r="AH63" s="516"/>
      <c r="AI63" s="516"/>
      <c r="AJ63" s="516"/>
      <c r="AK63" s="516"/>
      <c r="AL63" s="516"/>
      <c r="AM63" s="383"/>
      <c r="AO63">
        <f ca="1">IF($A63="S",IF(BM!$I63=0,0,CHOOSE(MATCH(RegimeExecucao,{"Global","Unitário"},0),ROUND(ROUND(BM.MEDAcumulado,15-13*BM!$A$9)/100*BM!$I63,15-13*ORÇAMENTO!$AF$11),ROUND(ROUND(BM.MEDAcumulado,15-13*BM!$A$9)*ROUND(BM!$H63,15-13*ORÇAMENTO!$AF$10),15-13*ORÇAMENTO!$AF$11))),IF($A63=0,0,ROUND(SomaAgrupBM,15-13*ORÇAMENTO!$AF$11)))</f>
        <v>0</v>
      </c>
    </row>
    <row r="64" spans="1:41" ht="25.5" x14ac:dyDescent="0.2">
      <c r="A64" t="str">
        <f ca="1">ORÇAMENTO!C64</f>
        <v>S</v>
      </c>
      <c r="B64">
        <f ca="1">ORÇAMENTO!D64</f>
        <v>0</v>
      </c>
      <c r="C64" s="116" t="str">
        <f t="shared" ca="1" si="1"/>
        <v/>
      </c>
      <c r="D64" s="119" t="str">
        <f ca="1">ORÇAMENTO!O64</f>
        <v>-</v>
      </c>
      <c r="E64" s="172" t="str">
        <f t="shared" ca="1" si="2"/>
        <v>(abra o arquivo 'Referência 02-2025.xlsm)</v>
      </c>
      <c r="F64" s="173" t="str">
        <f ca="1">IF(RegimeExecucao="Global","",ORÇAMENTO.Unidade)</f>
        <v>-</v>
      </c>
      <c r="G64" s="124">
        <f ca="1">IF(RegimeExecucao="Global","",ORÇAMENTO!T64)</f>
        <v>589.1</v>
      </c>
      <c r="H64" s="124">
        <f ca="1">IF(RegimeExecucao="Global","",ORÇAMENTO!W64)</f>
        <v>0</v>
      </c>
      <c r="I64" s="127">
        <f ca="1">ORÇAMENTO!X64</f>
        <v>0</v>
      </c>
      <c r="J64" s="378">
        <f ca="1">IF($A64="S",IF(CAIXA.Modo,BM.AFAnterior,BM.MEDAnterior),IF(AND(RegimeExecucao="Global",$I64&gt;0,COUNTIF($AB$13:$AM$13,BM.medicao-1)&gt;0),M64/$I64*100,0))</f>
        <v>0</v>
      </c>
      <c r="K64" s="124">
        <f t="shared" ca="1" si="3"/>
        <v>0</v>
      </c>
      <c r="L64" s="379">
        <f ca="1">IF($A64="S",IF(CAIXA.Modo,BM.AFAcumulado,BM.MEDAcumulado),IF(AND(RegimeExecucao="Global",$I64&gt;0,COUNTIF($AB$13:$AM$13,BM.medicao)&gt;0),O64/$I64*100,0))</f>
        <v>0</v>
      </c>
      <c r="M64" s="380">
        <f ca="1">IF($A64="S",VTOTALBM,IF($A64=0,0,ROUND(SomaAgrupBM,15-13*ORÇAMENTO!$AF$11)))</f>
        <v>0</v>
      </c>
      <c r="N64" s="381">
        <f t="shared" ca="1" si="4"/>
        <v>0</v>
      </c>
      <c r="O64" s="127">
        <f ca="1">IF($A64="S",VTOTALBM,IF($A64=0,0,ROUND(SomaAgrupBM,15-13*ORÇAMENTO!$AF$11)))</f>
        <v>0</v>
      </c>
      <c r="Q64" s="382"/>
      <c r="R64" s="383"/>
      <c r="T64" s="119" t="str">
        <f t="shared" ca="1" si="5"/>
        <v/>
      </c>
      <c r="U64" s="172" t="str">
        <f t="shared" ca="1" si="6"/>
        <v/>
      </c>
      <c r="V64" s="173" t="str">
        <f ca="1">IF(AND($W64&gt;0,RegimeExecucao="Unitário"),$F64,"")</f>
        <v/>
      </c>
      <c r="W64" s="547">
        <f ca="1">IF($Y64&gt;0,CHOOSE(MATCH(RegimeExecucao,{"Unitário","Global"},0),IF($A64="S",$Y64/$X64,""),($Y64/$X64)*100),0)</f>
        <v>0</v>
      </c>
      <c r="X64" s="384" t="str">
        <f ca="1">IF($Y64&gt;0,CHOOSE(MATCH(RegimeExecucao,{"Unitário","Global"},0),IF($A64="S",ROUND($H64,ORÇAMENTO!$AF$10),""),ROUND($I64,ORÇAMENTO!$AF$11)),"")</f>
        <v/>
      </c>
      <c r="Y64" s="384">
        <f t="shared" ca="1" si="7"/>
        <v>0</v>
      </c>
      <c r="Z64" s="572"/>
      <c r="AB64" s="382"/>
      <c r="AC64" s="516"/>
      <c r="AD64" s="516"/>
      <c r="AE64" s="516"/>
      <c r="AF64" s="516"/>
      <c r="AG64" s="516"/>
      <c r="AH64" s="516"/>
      <c r="AI64" s="516"/>
      <c r="AJ64" s="516"/>
      <c r="AK64" s="516"/>
      <c r="AL64" s="516"/>
      <c r="AM64" s="383"/>
      <c r="AO64">
        <f ca="1">IF($A64="S",IF(BM!$I64=0,0,CHOOSE(MATCH(RegimeExecucao,{"Global","Unitário"},0),ROUND(ROUND(BM.MEDAcumulado,15-13*BM!$A$9)/100*BM!$I64,15-13*ORÇAMENTO!$AF$11),ROUND(ROUND(BM.MEDAcumulado,15-13*BM!$A$9)*ROUND(BM!$H64,15-13*ORÇAMENTO!$AF$10),15-13*ORÇAMENTO!$AF$11))),IF($A64=0,0,ROUND(SomaAgrupBM,15-13*ORÇAMENTO!$AF$11)))</f>
        <v>0</v>
      </c>
    </row>
    <row r="65" spans="1:41" ht="38.25" x14ac:dyDescent="0.2">
      <c r="A65" t="str">
        <f ca="1">ORÇAMENTO!C65</f>
        <v>S</v>
      </c>
      <c r="B65">
        <f ca="1">ORÇAMENTO!D65</f>
        <v>0</v>
      </c>
      <c r="C65" s="116" t="str">
        <f t="shared" ca="1" si="1"/>
        <v/>
      </c>
      <c r="D65" s="119" t="str">
        <f ca="1">ORÇAMENTO!O65</f>
        <v>-</v>
      </c>
      <c r="E65" s="172" t="str">
        <f t="shared" ca="1" si="2"/>
        <v>(abra o arquivo 'Referência 02-2025.xlsm)</v>
      </c>
      <c r="F65" s="173" t="str">
        <f ca="1">IF(RegimeExecucao="Global","",ORÇAMENTO.Unidade)</f>
        <v>-</v>
      </c>
      <c r="G65" s="124">
        <f ca="1">IF(RegimeExecucao="Global","",ORÇAMENTO!T65)</f>
        <v>521.54999999999995</v>
      </c>
      <c r="H65" s="124">
        <f ca="1">IF(RegimeExecucao="Global","",ORÇAMENTO!W65)</f>
        <v>0</v>
      </c>
      <c r="I65" s="127">
        <f ca="1">ORÇAMENTO!X65</f>
        <v>0</v>
      </c>
      <c r="J65" s="378">
        <f ca="1">IF($A65="S",IF(CAIXA.Modo,BM.AFAnterior,BM.MEDAnterior),IF(AND(RegimeExecucao="Global",$I65&gt;0,COUNTIF($AB$13:$AM$13,BM.medicao-1)&gt;0),M65/$I65*100,0))</f>
        <v>0</v>
      </c>
      <c r="K65" s="124">
        <f t="shared" ca="1" si="3"/>
        <v>0</v>
      </c>
      <c r="L65" s="379">
        <f ca="1">IF($A65="S",IF(CAIXA.Modo,BM.AFAcumulado,BM.MEDAcumulado),IF(AND(RegimeExecucao="Global",$I65&gt;0,COUNTIF($AB$13:$AM$13,BM.medicao)&gt;0),O65/$I65*100,0))</f>
        <v>0</v>
      </c>
      <c r="M65" s="380">
        <f ca="1">IF($A65="S",VTOTALBM,IF($A65=0,0,ROUND(SomaAgrupBM,15-13*ORÇAMENTO!$AF$11)))</f>
        <v>0</v>
      </c>
      <c r="N65" s="381">
        <f t="shared" ca="1" si="4"/>
        <v>0</v>
      </c>
      <c r="O65" s="127">
        <f ca="1">IF($A65="S",VTOTALBM,IF($A65=0,0,ROUND(SomaAgrupBM,15-13*ORÇAMENTO!$AF$11)))</f>
        <v>0</v>
      </c>
      <c r="Q65" s="382"/>
      <c r="R65" s="383"/>
      <c r="T65" s="119" t="str">
        <f t="shared" ca="1" si="5"/>
        <v/>
      </c>
      <c r="U65" s="172" t="str">
        <f t="shared" ca="1" si="6"/>
        <v/>
      </c>
      <c r="V65" s="173" t="str">
        <f ca="1">IF(AND($W65&gt;0,RegimeExecucao="Unitário"),$F65,"")</f>
        <v/>
      </c>
      <c r="W65" s="547">
        <f ca="1">IF($Y65&gt;0,CHOOSE(MATCH(RegimeExecucao,{"Unitário","Global"},0),IF($A65="S",$Y65/$X65,""),($Y65/$X65)*100),0)</f>
        <v>0</v>
      </c>
      <c r="X65" s="384" t="str">
        <f ca="1">IF($Y65&gt;0,CHOOSE(MATCH(RegimeExecucao,{"Unitário","Global"},0),IF($A65="S",ROUND($H65,ORÇAMENTO!$AF$10),""),ROUND($I65,ORÇAMENTO!$AF$11)),"")</f>
        <v/>
      </c>
      <c r="Y65" s="384">
        <f t="shared" ca="1" si="7"/>
        <v>0</v>
      </c>
      <c r="Z65" s="572"/>
      <c r="AB65" s="382"/>
      <c r="AC65" s="516"/>
      <c r="AD65" s="516"/>
      <c r="AE65" s="516"/>
      <c r="AF65" s="516"/>
      <c r="AG65" s="516"/>
      <c r="AH65" s="516"/>
      <c r="AI65" s="516"/>
      <c r="AJ65" s="516"/>
      <c r="AK65" s="516"/>
      <c r="AL65" s="516"/>
      <c r="AM65" s="383"/>
      <c r="AO65">
        <f ca="1">IF($A65="S",IF(BM!$I65=0,0,CHOOSE(MATCH(RegimeExecucao,{"Global","Unitário"},0),ROUND(ROUND(BM.MEDAcumulado,15-13*BM!$A$9)/100*BM!$I65,15-13*ORÇAMENTO!$AF$11),ROUND(ROUND(BM.MEDAcumulado,15-13*BM!$A$9)*ROUND(BM!$H65,15-13*ORÇAMENTO!$AF$10),15-13*ORÇAMENTO!$AF$11))),IF($A65=0,0,ROUND(SomaAgrupBM,15-13*ORÇAMENTO!$AF$11)))</f>
        <v>0</v>
      </c>
    </row>
    <row r="66" spans="1:41" ht="38.25" x14ac:dyDescent="0.2">
      <c r="A66" t="str">
        <f ca="1">ORÇAMENTO!C66</f>
        <v>S</v>
      </c>
      <c r="B66">
        <f ca="1">ORÇAMENTO!D66</f>
        <v>0</v>
      </c>
      <c r="C66" s="116" t="str">
        <f t="shared" ca="1" si="1"/>
        <v/>
      </c>
      <c r="D66" s="119" t="str">
        <f ca="1">ORÇAMENTO!O66</f>
        <v>-</v>
      </c>
      <c r="E66" s="172" t="str">
        <f t="shared" ca="1" si="2"/>
        <v>(abra o arquivo 'Referência 02-2025.xlsm)</v>
      </c>
      <c r="F66" s="173" t="str">
        <f ca="1">IF(RegimeExecucao="Global","",ORÇAMENTO.Unidade)</f>
        <v>-</v>
      </c>
      <c r="G66" s="124">
        <f ca="1">IF(RegimeExecucao="Global","",ORÇAMENTO!T66)</f>
        <v>1219.83</v>
      </c>
      <c r="H66" s="124">
        <f ca="1">IF(RegimeExecucao="Global","",ORÇAMENTO!W66)</f>
        <v>0</v>
      </c>
      <c r="I66" s="127">
        <f ca="1">ORÇAMENTO!X66</f>
        <v>0</v>
      </c>
      <c r="J66" s="378">
        <f ca="1">IF($A66="S",IF(CAIXA.Modo,BM.AFAnterior,BM.MEDAnterior),IF(AND(RegimeExecucao="Global",$I66&gt;0,COUNTIF($AB$13:$AM$13,BM.medicao-1)&gt;0),M66/$I66*100,0))</f>
        <v>0</v>
      </c>
      <c r="K66" s="124">
        <f t="shared" ca="1" si="3"/>
        <v>0</v>
      </c>
      <c r="L66" s="379">
        <f ca="1">IF($A66="S",IF(CAIXA.Modo,BM.AFAcumulado,BM.MEDAcumulado),IF(AND(RegimeExecucao="Global",$I66&gt;0,COUNTIF($AB$13:$AM$13,BM.medicao)&gt;0),O66/$I66*100,0))</f>
        <v>0</v>
      </c>
      <c r="M66" s="380">
        <f ca="1">IF($A66="S",VTOTALBM,IF($A66=0,0,ROUND(SomaAgrupBM,15-13*ORÇAMENTO!$AF$11)))</f>
        <v>0</v>
      </c>
      <c r="N66" s="381">
        <f t="shared" ca="1" si="4"/>
        <v>0</v>
      </c>
      <c r="O66" s="127">
        <f ca="1">IF($A66="S",VTOTALBM,IF($A66=0,0,ROUND(SomaAgrupBM,15-13*ORÇAMENTO!$AF$11)))</f>
        <v>0</v>
      </c>
      <c r="Q66" s="382"/>
      <c r="R66" s="383"/>
      <c r="T66" s="119" t="str">
        <f t="shared" ca="1" si="5"/>
        <v/>
      </c>
      <c r="U66" s="172" t="str">
        <f t="shared" ca="1" si="6"/>
        <v/>
      </c>
      <c r="V66" s="173" t="str">
        <f ca="1">IF(AND($W66&gt;0,RegimeExecucao="Unitário"),$F66,"")</f>
        <v/>
      </c>
      <c r="W66" s="547">
        <f ca="1">IF($Y66&gt;0,CHOOSE(MATCH(RegimeExecucao,{"Unitário","Global"},0),IF($A66="S",$Y66/$X66,""),($Y66/$X66)*100),0)</f>
        <v>0</v>
      </c>
      <c r="X66" s="384" t="str">
        <f ca="1">IF($Y66&gt;0,CHOOSE(MATCH(RegimeExecucao,{"Unitário","Global"},0),IF($A66="S",ROUND($H66,ORÇAMENTO!$AF$10),""),ROUND($I66,ORÇAMENTO!$AF$11)),"")</f>
        <v/>
      </c>
      <c r="Y66" s="384">
        <f t="shared" ca="1" si="7"/>
        <v>0</v>
      </c>
      <c r="Z66" s="572"/>
      <c r="AB66" s="382"/>
      <c r="AC66" s="516"/>
      <c r="AD66" s="516"/>
      <c r="AE66" s="516"/>
      <c r="AF66" s="516"/>
      <c r="AG66" s="516"/>
      <c r="AH66" s="516"/>
      <c r="AI66" s="516"/>
      <c r="AJ66" s="516"/>
      <c r="AK66" s="516"/>
      <c r="AL66" s="516"/>
      <c r="AM66" s="383"/>
      <c r="AO66">
        <f ca="1">IF($A66="S",IF(BM!$I66=0,0,CHOOSE(MATCH(RegimeExecucao,{"Global","Unitário"},0),ROUND(ROUND(BM.MEDAcumulado,15-13*BM!$A$9)/100*BM!$I66,15-13*ORÇAMENTO!$AF$11),ROUND(ROUND(BM.MEDAcumulado,15-13*BM!$A$9)*ROUND(BM!$H66,15-13*ORÇAMENTO!$AF$10),15-13*ORÇAMENTO!$AF$11))),IF($A66=0,0,ROUND(SomaAgrupBM,15-13*ORÇAMENTO!$AF$11)))</f>
        <v>0</v>
      </c>
    </row>
    <row r="67" spans="1:41" ht="38.25" x14ac:dyDescent="0.2">
      <c r="A67" t="str">
        <f ca="1">ORÇAMENTO!C67</f>
        <v>S</v>
      </c>
      <c r="B67">
        <f ca="1">ORÇAMENTO!D67</f>
        <v>0</v>
      </c>
      <c r="C67" s="116" t="str">
        <f t="shared" ca="1" si="1"/>
        <v/>
      </c>
      <c r="D67" s="119" t="str">
        <f ca="1">ORÇAMENTO!O67</f>
        <v>-</v>
      </c>
      <c r="E67" s="172" t="str">
        <f t="shared" ca="1" si="2"/>
        <v>(abra o arquivo 'Referência 02-2025.xlsm)</v>
      </c>
      <c r="F67" s="173" t="str">
        <f ca="1">IF(RegimeExecucao="Global","",ORÇAMENTO.Unidade)</f>
        <v>-</v>
      </c>
      <c r="G67" s="124">
        <f ca="1">IF(RegimeExecucao="Global","",ORÇAMENTO!T67)</f>
        <v>171.64</v>
      </c>
      <c r="H67" s="124">
        <f ca="1">IF(RegimeExecucao="Global","",ORÇAMENTO!W67)</f>
        <v>0</v>
      </c>
      <c r="I67" s="127">
        <f ca="1">ORÇAMENTO!X67</f>
        <v>0</v>
      </c>
      <c r="J67" s="378">
        <f ca="1">IF($A67="S",IF(CAIXA.Modo,BM.AFAnterior,BM.MEDAnterior),IF(AND(RegimeExecucao="Global",$I67&gt;0,COUNTIF($AB$13:$AM$13,BM.medicao-1)&gt;0),M67/$I67*100,0))</f>
        <v>0</v>
      </c>
      <c r="K67" s="124">
        <f t="shared" ca="1" si="3"/>
        <v>0</v>
      </c>
      <c r="L67" s="379">
        <f ca="1">IF($A67="S",IF(CAIXA.Modo,BM.AFAcumulado,BM.MEDAcumulado),IF(AND(RegimeExecucao="Global",$I67&gt;0,COUNTIF($AB$13:$AM$13,BM.medicao)&gt;0),O67/$I67*100,0))</f>
        <v>0</v>
      </c>
      <c r="M67" s="380">
        <f ca="1">IF($A67="S",VTOTALBM,IF($A67=0,0,ROUND(SomaAgrupBM,15-13*ORÇAMENTO!$AF$11)))</f>
        <v>0</v>
      </c>
      <c r="N67" s="381">
        <f t="shared" ca="1" si="4"/>
        <v>0</v>
      </c>
      <c r="O67" s="127">
        <f ca="1">IF($A67="S",VTOTALBM,IF($A67=0,0,ROUND(SomaAgrupBM,15-13*ORÇAMENTO!$AF$11)))</f>
        <v>0</v>
      </c>
      <c r="Q67" s="382"/>
      <c r="R67" s="383"/>
      <c r="T67" s="119" t="str">
        <f t="shared" ca="1" si="5"/>
        <v/>
      </c>
      <c r="U67" s="172" t="str">
        <f t="shared" ca="1" si="6"/>
        <v/>
      </c>
      <c r="V67" s="173" t="str">
        <f ca="1">IF(AND($W67&gt;0,RegimeExecucao="Unitário"),$F67,"")</f>
        <v/>
      </c>
      <c r="W67" s="547">
        <f ca="1">IF($Y67&gt;0,CHOOSE(MATCH(RegimeExecucao,{"Unitário","Global"},0),IF($A67="S",$Y67/$X67,""),($Y67/$X67)*100),0)</f>
        <v>0</v>
      </c>
      <c r="X67" s="384" t="str">
        <f ca="1">IF($Y67&gt;0,CHOOSE(MATCH(RegimeExecucao,{"Unitário","Global"},0),IF($A67="S",ROUND($H67,ORÇAMENTO!$AF$10),""),ROUND($I67,ORÇAMENTO!$AF$11)),"")</f>
        <v/>
      </c>
      <c r="Y67" s="384">
        <f t="shared" ca="1" si="7"/>
        <v>0</v>
      </c>
      <c r="Z67" s="572"/>
      <c r="AB67" s="382"/>
      <c r="AC67" s="516"/>
      <c r="AD67" s="516"/>
      <c r="AE67" s="516"/>
      <c r="AF67" s="516"/>
      <c r="AG67" s="516"/>
      <c r="AH67" s="516"/>
      <c r="AI67" s="516"/>
      <c r="AJ67" s="516"/>
      <c r="AK67" s="516"/>
      <c r="AL67" s="516"/>
      <c r="AM67" s="383"/>
      <c r="AO67">
        <f ca="1">IF($A67="S",IF(BM!$I67=0,0,CHOOSE(MATCH(RegimeExecucao,{"Global","Unitário"},0),ROUND(ROUND(BM.MEDAcumulado,15-13*BM!$A$9)/100*BM!$I67,15-13*ORÇAMENTO!$AF$11),ROUND(ROUND(BM.MEDAcumulado,15-13*BM!$A$9)*ROUND(BM!$H67,15-13*ORÇAMENTO!$AF$10),15-13*ORÇAMENTO!$AF$11))),IF($A67=0,0,ROUND(SomaAgrupBM,15-13*ORÇAMENTO!$AF$11)))</f>
        <v>0</v>
      </c>
    </row>
    <row r="68" spans="1:41" ht="25.5" x14ac:dyDescent="0.2">
      <c r="A68" t="str">
        <f ca="1">ORÇAMENTO!C68</f>
        <v>S</v>
      </c>
      <c r="B68">
        <f ca="1">ORÇAMENTO!D68</f>
        <v>0</v>
      </c>
      <c r="C68" s="116" t="str">
        <f t="shared" ca="1" si="1"/>
        <v/>
      </c>
      <c r="D68" s="119" t="str">
        <f ca="1">ORÇAMENTO!O68</f>
        <v>-</v>
      </c>
      <c r="E68" s="172" t="str">
        <f t="shared" ca="1" si="2"/>
        <v>(abra o arquivo 'Referência 02-2025.xlsm)</v>
      </c>
      <c r="F68" s="173" t="str">
        <f ca="1">IF(RegimeExecucao="Global","",ORÇAMENTO.Unidade)</f>
        <v>-</v>
      </c>
      <c r="G68" s="124">
        <f ca="1">IF(RegimeExecucao="Global","",ORÇAMENTO!T68)</f>
        <v>32.950000000000003</v>
      </c>
      <c r="H68" s="124">
        <f ca="1">IF(RegimeExecucao="Global","",ORÇAMENTO!W68)</f>
        <v>0</v>
      </c>
      <c r="I68" s="127">
        <f ca="1">ORÇAMENTO!X68</f>
        <v>0</v>
      </c>
      <c r="J68" s="378">
        <f ca="1">IF($A68="S",IF(CAIXA.Modo,BM.AFAnterior,BM.MEDAnterior),IF(AND(RegimeExecucao="Global",$I68&gt;0,COUNTIF($AB$13:$AM$13,BM.medicao-1)&gt;0),M68/$I68*100,0))</f>
        <v>0</v>
      </c>
      <c r="K68" s="124">
        <f t="shared" ca="1" si="3"/>
        <v>0</v>
      </c>
      <c r="L68" s="379">
        <f ca="1">IF($A68="S",IF(CAIXA.Modo,BM.AFAcumulado,BM.MEDAcumulado),IF(AND(RegimeExecucao="Global",$I68&gt;0,COUNTIF($AB$13:$AM$13,BM.medicao)&gt;0),O68/$I68*100,0))</f>
        <v>0</v>
      </c>
      <c r="M68" s="380">
        <f ca="1">IF($A68="S",VTOTALBM,IF($A68=0,0,ROUND(SomaAgrupBM,15-13*ORÇAMENTO!$AF$11)))</f>
        <v>0</v>
      </c>
      <c r="N68" s="381">
        <f t="shared" ca="1" si="4"/>
        <v>0</v>
      </c>
      <c r="O68" s="127">
        <f ca="1">IF($A68="S",VTOTALBM,IF($A68=0,0,ROUND(SomaAgrupBM,15-13*ORÇAMENTO!$AF$11)))</f>
        <v>0</v>
      </c>
      <c r="Q68" s="382"/>
      <c r="R68" s="383"/>
      <c r="T68" s="119" t="str">
        <f t="shared" ca="1" si="5"/>
        <v/>
      </c>
      <c r="U68" s="172" t="str">
        <f t="shared" ca="1" si="6"/>
        <v/>
      </c>
      <c r="V68" s="173" t="str">
        <f ca="1">IF(AND($W68&gt;0,RegimeExecucao="Unitário"),$F68,"")</f>
        <v/>
      </c>
      <c r="W68" s="547">
        <f ca="1">IF($Y68&gt;0,CHOOSE(MATCH(RegimeExecucao,{"Unitário","Global"},0),IF($A68="S",$Y68/$X68,""),($Y68/$X68)*100),0)</f>
        <v>0</v>
      </c>
      <c r="X68" s="384" t="str">
        <f ca="1">IF($Y68&gt;0,CHOOSE(MATCH(RegimeExecucao,{"Unitário","Global"},0),IF($A68="S",ROUND($H68,ORÇAMENTO!$AF$10),""),ROUND($I68,ORÇAMENTO!$AF$11)),"")</f>
        <v/>
      </c>
      <c r="Y68" s="384">
        <f t="shared" ca="1" si="7"/>
        <v>0</v>
      </c>
      <c r="Z68" s="572"/>
      <c r="AB68" s="382"/>
      <c r="AC68" s="516"/>
      <c r="AD68" s="516"/>
      <c r="AE68" s="516"/>
      <c r="AF68" s="516"/>
      <c r="AG68" s="516"/>
      <c r="AH68" s="516"/>
      <c r="AI68" s="516"/>
      <c r="AJ68" s="516"/>
      <c r="AK68" s="516"/>
      <c r="AL68" s="516"/>
      <c r="AM68" s="383"/>
      <c r="AO68">
        <f ca="1">IF($A68="S",IF(BM!$I68=0,0,CHOOSE(MATCH(RegimeExecucao,{"Global","Unitário"},0),ROUND(ROUND(BM.MEDAcumulado,15-13*BM!$A$9)/100*BM!$I68,15-13*ORÇAMENTO!$AF$11),ROUND(ROUND(BM.MEDAcumulado,15-13*BM!$A$9)*ROUND(BM!$H68,15-13*ORÇAMENTO!$AF$10),15-13*ORÇAMENTO!$AF$11))),IF($A68=0,0,ROUND(SomaAgrupBM,15-13*ORÇAMENTO!$AF$11)))</f>
        <v>0</v>
      </c>
    </row>
    <row r="69" spans="1:41" ht="25.5" x14ac:dyDescent="0.2">
      <c r="A69" t="str">
        <f ca="1">ORÇAMENTO!C69</f>
        <v>S</v>
      </c>
      <c r="B69">
        <f ca="1">ORÇAMENTO!D69</f>
        <v>0</v>
      </c>
      <c r="C69" s="116" t="str">
        <f t="shared" ca="1" si="1"/>
        <v/>
      </c>
      <c r="D69" s="119" t="str">
        <f ca="1">ORÇAMENTO!O69</f>
        <v>-</v>
      </c>
      <c r="E69" s="172" t="str">
        <f t="shared" ca="1" si="2"/>
        <v>(abra o arquivo 'Referência 02-2025.xlsm)</v>
      </c>
      <c r="F69" s="173" t="str">
        <f ca="1">IF(RegimeExecucao="Global","",ORÇAMENTO.Unidade)</f>
        <v>-</v>
      </c>
      <c r="G69" s="124">
        <f ca="1">IF(RegimeExecucao="Global","",ORÇAMENTO!T69)</f>
        <v>795.26</v>
      </c>
      <c r="H69" s="124">
        <f ca="1">IF(RegimeExecucao="Global","",ORÇAMENTO!W69)</f>
        <v>0</v>
      </c>
      <c r="I69" s="127">
        <f ca="1">ORÇAMENTO!X69</f>
        <v>0</v>
      </c>
      <c r="J69" s="378">
        <f ca="1">IF($A69="S",IF(CAIXA.Modo,BM.AFAnterior,BM.MEDAnterior),IF(AND(RegimeExecucao="Global",$I69&gt;0,COUNTIF($AB$13:$AM$13,BM.medicao-1)&gt;0),M69/$I69*100,0))</f>
        <v>0</v>
      </c>
      <c r="K69" s="124">
        <f t="shared" ca="1" si="3"/>
        <v>0</v>
      </c>
      <c r="L69" s="379">
        <f ca="1">IF($A69="S",IF(CAIXA.Modo,BM.AFAcumulado,BM.MEDAcumulado),IF(AND(RegimeExecucao="Global",$I69&gt;0,COUNTIF($AB$13:$AM$13,BM.medicao)&gt;0),O69/$I69*100,0))</f>
        <v>0</v>
      </c>
      <c r="M69" s="380">
        <f ca="1">IF($A69="S",VTOTALBM,IF($A69=0,0,ROUND(SomaAgrupBM,15-13*ORÇAMENTO!$AF$11)))</f>
        <v>0</v>
      </c>
      <c r="N69" s="381">
        <f t="shared" ca="1" si="4"/>
        <v>0</v>
      </c>
      <c r="O69" s="127">
        <f ca="1">IF($A69="S",VTOTALBM,IF($A69=0,0,ROUND(SomaAgrupBM,15-13*ORÇAMENTO!$AF$11)))</f>
        <v>0</v>
      </c>
      <c r="Q69" s="382"/>
      <c r="R69" s="383"/>
      <c r="T69" s="119" t="str">
        <f t="shared" ca="1" si="5"/>
        <v/>
      </c>
      <c r="U69" s="172" t="str">
        <f t="shared" ca="1" si="6"/>
        <v/>
      </c>
      <c r="V69" s="173" t="str">
        <f ca="1">IF(AND($W69&gt;0,RegimeExecucao="Unitário"),$F69,"")</f>
        <v/>
      </c>
      <c r="W69" s="547">
        <f ca="1">IF($Y69&gt;0,CHOOSE(MATCH(RegimeExecucao,{"Unitário","Global"},0),IF($A69="S",$Y69/$X69,""),($Y69/$X69)*100),0)</f>
        <v>0</v>
      </c>
      <c r="X69" s="384" t="str">
        <f ca="1">IF($Y69&gt;0,CHOOSE(MATCH(RegimeExecucao,{"Unitário","Global"},0),IF($A69="S",ROUND($H69,ORÇAMENTO!$AF$10),""),ROUND($I69,ORÇAMENTO!$AF$11)),"")</f>
        <v/>
      </c>
      <c r="Y69" s="384">
        <f t="shared" ca="1" si="7"/>
        <v>0</v>
      </c>
      <c r="Z69" s="572"/>
      <c r="AB69" s="382"/>
      <c r="AC69" s="516"/>
      <c r="AD69" s="516"/>
      <c r="AE69" s="516"/>
      <c r="AF69" s="516"/>
      <c r="AG69" s="516"/>
      <c r="AH69" s="516"/>
      <c r="AI69" s="516"/>
      <c r="AJ69" s="516"/>
      <c r="AK69" s="516"/>
      <c r="AL69" s="516"/>
      <c r="AM69" s="383"/>
      <c r="AO69">
        <f ca="1">IF($A69="S",IF(BM!$I69=0,0,CHOOSE(MATCH(RegimeExecucao,{"Global","Unitário"},0),ROUND(ROUND(BM.MEDAcumulado,15-13*BM!$A$9)/100*BM!$I69,15-13*ORÇAMENTO!$AF$11),ROUND(ROUND(BM.MEDAcumulado,15-13*BM!$A$9)*ROUND(BM!$H69,15-13*ORÇAMENTO!$AF$10),15-13*ORÇAMENTO!$AF$11))),IF($A69=0,0,ROUND(SomaAgrupBM,15-13*ORÇAMENTO!$AF$11)))</f>
        <v>0</v>
      </c>
    </row>
    <row r="70" spans="1:41" ht="38.25" x14ac:dyDescent="0.2">
      <c r="A70" t="str">
        <f ca="1">ORÇAMENTO!C70</f>
        <v>S</v>
      </c>
      <c r="B70">
        <f ca="1">ORÇAMENTO!D70</f>
        <v>0</v>
      </c>
      <c r="C70" s="116" t="str">
        <f t="shared" ca="1" si="1"/>
        <v/>
      </c>
      <c r="D70" s="119" t="str">
        <f ca="1">ORÇAMENTO!O70</f>
        <v>-</v>
      </c>
      <c r="E70" s="172" t="str">
        <f t="shared" ca="1" si="2"/>
        <v>(abra o arquivo 'Referência 02-2025.xlsm)</v>
      </c>
      <c r="F70" s="173" t="str">
        <f ca="1">IF(RegimeExecucao="Global","",ORÇAMENTO.Unidade)</f>
        <v>-</v>
      </c>
      <c r="G70" s="124">
        <f ca="1">IF(RegimeExecucao="Global","",ORÇAMENTO!T70)</f>
        <v>51.33</v>
      </c>
      <c r="H70" s="124">
        <f ca="1">IF(RegimeExecucao="Global","",ORÇAMENTO!W70)</f>
        <v>0</v>
      </c>
      <c r="I70" s="127">
        <f ca="1">ORÇAMENTO!X70</f>
        <v>0</v>
      </c>
      <c r="J70" s="378">
        <f ca="1">IF($A70="S",IF(CAIXA.Modo,BM.AFAnterior,BM.MEDAnterior),IF(AND(RegimeExecucao="Global",$I70&gt;0,COUNTIF($AB$13:$AM$13,BM.medicao-1)&gt;0),M70/$I70*100,0))</f>
        <v>0</v>
      </c>
      <c r="K70" s="124">
        <f t="shared" ca="1" si="3"/>
        <v>0</v>
      </c>
      <c r="L70" s="379">
        <f ca="1">IF($A70="S",IF(CAIXA.Modo,BM.AFAcumulado,BM.MEDAcumulado),IF(AND(RegimeExecucao="Global",$I70&gt;0,COUNTIF($AB$13:$AM$13,BM.medicao)&gt;0),O70/$I70*100,0))</f>
        <v>0</v>
      </c>
      <c r="M70" s="380">
        <f ca="1">IF($A70="S",VTOTALBM,IF($A70=0,0,ROUND(SomaAgrupBM,15-13*ORÇAMENTO!$AF$11)))</f>
        <v>0</v>
      </c>
      <c r="N70" s="381">
        <f t="shared" ca="1" si="4"/>
        <v>0</v>
      </c>
      <c r="O70" s="127">
        <f ca="1">IF($A70="S",VTOTALBM,IF($A70=0,0,ROUND(SomaAgrupBM,15-13*ORÇAMENTO!$AF$11)))</f>
        <v>0</v>
      </c>
      <c r="Q70" s="382"/>
      <c r="R70" s="383"/>
      <c r="T70" s="119" t="str">
        <f t="shared" ca="1" si="5"/>
        <v/>
      </c>
      <c r="U70" s="172" t="str">
        <f t="shared" ca="1" si="6"/>
        <v/>
      </c>
      <c r="V70" s="173" t="str">
        <f ca="1">IF(AND($W70&gt;0,RegimeExecucao="Unitário"),$F70,"")</f>
        <v/>
      </c>
      <c r="W70" s="547">
        <f ca="1">IF($Y70&gt;0,CHOOSE(MATCH(RegimeExecucao,{"Unitário","Global"},0),IF($A70="S",$Y70/$X70,""),($Y70/$X70)*100),0)</f>
        <v>0</v>
      </c>
      <c r="X70" s="384" t="str">
        <f ca="1">IF($Y70&gt;0,CHOOSE(MATCH(RegimeExecucao,{"Unitário","Global"},0),IF($A70="S",ROUND($H70,ORÇAMENTO!$AF$10),""),ROUND($I70,ORÇAMENTO!$AF$11)),"")</f>
        <v/>
      </c>
      <c r="Y70" s="384">
        <f t="shared" ca="1" si="7"/>
        <v>0</v>
      </c>
      <c r="Z70" s="572"/>
      <c r="AB70" s="382"/>
      <c r="AC70" s="516"/>
      <c r="AD70" s="516"/>
      <c r="AE70" s="516"/>
      <c r="AF70" s="516"/>
      <c r="AG70" s="516"/>
      <c r="AH70" s="516"/>
      <c r="AI70" s="516"/>
      <c r="AJ70" s="516"/>
      <c r="AK70" s="516"/>
      <c r="AL70" s="516"/>
      <c r="AM70" s="383"/>
      <c r="AO70">
        <f ca="1">IF($A70="S",IF(BM!$I70=0,0,CHOOSE(MATCH(RegimeExecucao,{"Global","Unitário"},0),ROUND(ROUND(BM.MEDAcumulado,15-13*BM!$A$9)/100*BM!$I70,15-13*ORÇAMENTO!$AF$11),ROUND(ROUND(BM.MEDAcumulado,15-13*BM!$A$9)*ROUND(BM!$H70,15-13*ORÇAMENTO!$AF$10),15-13*ORÇAMENTO!$AF$11))),IF($A70=0,0,ROUND(SomaAgrupBM,15-13*ORÇAMENTO!$AF$11)))</f>
        <v>0</v>
      </c>
    </row>
    <row r="71" spans="1:41" x14ac:dyDescent="0.2">
      <c r="A71">
        <f ca="1">ORÇAMENTO!C71</f>
        <v>3</v>
      </c>
      <c r="B71">
        <f ca="1">ORÇAMENTO!D71</f>
        <v>7</v>
      </c>
      <c r="C71" s="116" t="str">
        <f t="shared" ca="1" si="1"/>
        <v>F</v>
      </c>
      <c r="D71" s="119" t="str">
        <f ca="1">ORÇAMENTO!O71</f>
        <v>1.4.2.</v>
      </c>
      <c r="E71" s="172" t="str">
        <f t="shared" si="2"/>
        <v>CONCRETO ARMADO - PILARES</v>
      </c>
      <c r="F71" s="173" t="str">
        <f ca="1">IF(RegimeExecucao="Global","",ORÇAMENTO.Unidade)</f>
        <v>-</v>
      </c>
      <c r="G71" s="124">
        <f ca="1">IF(RegimeExecucao="Global","",ORÇAMENTO!T71)</f>
        <v>0</v>
      </c>
      <c r="H71" s="124">
        <f ca="1">IF(RegimeExecucao="Global","",ORÇAMENTO!W71)</f>
        <v>0</v>
      </c>
      <c r="I71" s="127">
        <f ca="1">ORÇAMENTO!X71</f>
        <v>0</v>
      </c>
      <c r="J71" s="378">
        <f ca="1">IF($A71="S",IF(CAIXA.Modo,BM.AFAnterior,BM.MEDAnterior),IF(AND(RegimeExecucao="Global",$I71&gt;0,COUNTIF($AB$13:$AM$13,BM.medicao-1)&gt;0),M71/$I71*100,0))</f>
        <v>0</v>
      </c>
      <c r="K71" s="124">
        <f t="shared" ca="1" si="3"/>
        <v>0</v>
      </c>
      <c r="L71" s="379">
        <f ca="1">IF($A71="S",IF(CAIXA.Modo,BM.AFAcumulado,BM.MEDAcumulado),IF(AND(RegimeExecucao="Global",$I71&gt;0,COUNTIF($AB$13:$AM$13,BM.medicao)&gt;0),O71/$I71*100,0))</f>
        <v>0</v>
      </c>
      <c r="M71" s="380">
        <f ca="1">IF($A71="S",VTOTALBM,IF($A71=0,0,ROUND(SomaAgrupBM,15-13*ORÇAMENTO!$AF$11)))</f>
        <v>0</v>
      </c>
      <c r="N71" s="381">
        <f t="shared" ca="1" si="4"/>
        <v>0</v>
      </c>
      <c r="O71" s="127">
        <f ca="1">IF($A71="S",VTOTALBM,IF($A71=0,0,ROUND(SomaAgrupBM,15-13*ORÇAMENTO!$AF$11)))</f>
        <v>0</v>
      </c>
      <c r="Q71" s="382"/>
      <c r="R71" s="383"/>
      <c r="T71" s="119" t="str">
        <f t="shared" ca="1" si="5"/>
        <v/>
      </c>
      <c r="U71" s="172" t="str">
        <f t="shared" ca="1" si="6"/>
        <v/>
      </c>
      <c r="V71" s="173" t="str">
        <f ca="1">IF(AND($W71&gt;0,RegimeExecucao="Unitário"),$F71,"")</f>
        <v/>
      </c>
      <c r="W71" s="547">
        <f ca="1">IF($Y71&gt;0,CHOOSE(MATCH(RegimeExecucao,{"Unitário","Global"},0),IF($A71="S",$Y71/$X71,""),($Y71/$X71)*100),0)</f>
        <v>0</v>
      </c>
      <c r="X71" s="384" t="str">
        <f ca="1">IF($Y71&gt;0,CHOOSE(MATCH(RegimeExecucao,{"Unitário","Global"},0),IF($A71="S",ROUND($H71,ORÇAMENTO!$AF$10),""),ROUND($I71,ORÇAMENTO!$AF$11)),"")</f>
        <v/>
      </c>
      <c r="Y71" s="384">
        <f t="shared" ca="1" si="7"/>
        <v>0</v>
      </c>
      <c r="Z71" s="572"/>
      <c r="AB71" s="382"/>
      <c r="AC71" s="516"/>
      <c r="AD71" s="516"/>
      <c r="AE71" s="516"/>
      <c r="AF71" s="516"/>
      <c r="AG71" s="516"/>
      <c r="AH71" s="516"/>
      <c r="AI71" s="516"/>
      <c r="AJ71" s="516"/>
      <c r="AK71" s="516"/>
      <c r="AL71" s="516"/>
      <c r="AM71" s="383"/>
      <c r="AO71">
        <f ca="1">IF($A71="S",IF(BM!$I71=0,0,CHOOSE(MATCH(RegimeExecucao,{"Global","Unitário"},0),ROUND(ROUND(BM.MEDAcumulado,15-13*BM!$A$9)/100*BM!$I71,15-13*ORÇAMENTO!$AF$11),ROUND(ROUND(BM.MEDAcumulado,15-13*BM!$A$9)*ROUND(BM!$H71,15-13*ORÇAMENTO!$AF$10),15-13*ORÇAMENTO!$AF$11))),IF($A71=0,0,ROUND(SomaAgrupBM,15-13*ORÇAMENTO!$AF$11)))</f>
        <v>0</v>
      </c>
    </row>
    <row r="72" spans="1:41" ht="51" x14ac:dyDescent="0.2">
      <c r="A72" t="str">
        <f ca="1">ORÇAMENTO!C72</f>
        <v>S</v>
      </c>
      <c r="B72">
        <f ca="1">ORÇAMENTO!D72</f>
        <v>0</v>
      </c>
      <c r="C72" s="116" t="str">
        <f t="shared" ca="1" si="1"/>
        <v/>
      </c>
      <c r="D72" s="119" t="str">
        <f ca="1">ORÇAMENTO!O72</f>
        <v>-</v>
      </c>
      <c r="E72" s="172" t="str">
        <f t="shared" ca="1" si="2"/>
        <v>(abra o arquivo 'Referência 02-2025.xlsm)</v>
      </c>
      <c r="F72" s="173" t="str">
        <f ca="1">IF(RegimeExecucao="Global","",ORÇAMENTO.Unidade)</f>
        <v>-</v>
      </c>
      <c r="G72" s="124">
        <f ca="1">IF(RegimeExecucao="Global","",ORÇAMENTO!T72)</f>
        <v>581.21</v>
      </c>
      <c r="H72" s="124">
        <f ca="1">IF(RegimeExecucao="Global","",ORÇAMENTO!W72)</f>
        <v>0</v>
      </c>
      <c r="I72" s="127">
        <f ca="1">ORÇAMENTO!X72</f>
        <v>0</v>
      </c>
      <c r="J72" s="378">
        <f ca="1">IF($A72="S",IF(CAIXA.Modo,BM.AFAnterior,BM.MEDAnterior),IF(AND(RegimeExecucao="Global",$I72&gt;0,COUNTIF($AB$13:$AM$13,BM.medicao-1)&gt;0),M72/$I72*100,0))</f>
        <v>0</v>
      </c>
      <c r="K72" s="124">
        <f t="shared" ca="1" si="3"/>
        <v>0</v>
      </c>
      <c r="L72" s="379">
        <f ca="1">IF($A72="S",IF(CAIXA.Modo,BM.AFAcumulado,BM.MEDAcumulado),IF(AND(RegimeExecucao="Global",$I72&gt;0,COUNTIF($AB$13:$AM$13,BM.medicao)&gt;0),O72/$I72*100,0))</f>
        <v>0</v>
      </c>
      <c r="M72" s="380">
        <f ca="1">IF($A72="S",VTOTALBM,IF($A72=0,0,ROUND(SomaAgrupBM,15-13*ORÇAMENTO!$AF$11)))</f>
        <v>0</v>
      </c>
      <c r="N72" s="381">
        <f t="shared" ca="1" si="4"/>
        <v>0</v>
      </c>
      <c r="O72" s="127">
        <f ca="1">IF($A72="S",VTOTALBM,IF($A72=0,0,ROUND(SomaAgrupBM,15-13*ORÇAMENTO!$AF$11)))</f>
        <v>0</v>
      </c>
      <c r="Q72" s="382"/>
      <c r="R72" s="383"/>
      <c r="T72" s="119" t="str">
        <f t="shared" ca="1" si="5"/>
        <v/>
      </c>
      <c r="U72" s="172" t="str">
        <f t="shared" ca="1" si="6"/>
        <v/>
      </c>
      <c r="V72" s="173" t="str">
        <f ca="1">IF(AND($W72&gt;0,RegimeExecucao="Unitário"),$F72,"")</f>
        <v/>
      </c>
      <c r="W72" s="547">
        <f ca="1">IF($Y72&gt;0,CHOOSE(MATCH(RegimeExecucao,{"Unitário","Global"},0),IF($A72="S",$Y72/$X72,""),($Y72/$X72)*100),0)</f>
        <v>0</v>
      </c>
      <c r="X72" s="384" t="str">
        <f ca="1">IF($Y72&gt;0,CHOOSE(MATCH(RegimeExecucao,{"Unitário","Global"},0),IF($A72="S",ROUND($H72,ORÇAMENTO!$AF$10),""),ROUND($I72,ORÇAMENTO!$AF$11)),"")</f>
        <v/>
      </c>
      <c r="Y72" s="384">
        <f t="shared" ca="1" si="7"/>
        <v>0</v>
      </c>
      <c r="Z72" s="572"/>
      <c r="AB72" s="382"/>
      <c r="AC72" s="516"/>
      <c r="AD72" s="516"/>
      <c r="AE72" s="516"/>
      <c r="AF72" s="516"/>
      <c r="AG72" s="516"/>
      <c r="AH72" s="516"/>
      <c r="AI72" s="516"/>
      <c r="AJ72" s="516"/>
      <c r="AK72" s="516"/>
      <c r="AL72" s="516"/>
      <c r="AM72" s="383"/>
      <c r="AO72">
        <f ca="1">IF($A72="S",IF(BM!$I72=0,0,CHOOSE(MATCH(RegimeExecucao,{"Global","Unitário"},0),ROUND(ROUND(BM.MEDAcumulado,15-13*BM!$A$9)/100*BM!$I72,15-13*ORÇAMENTO!$AF$11),ROUND(ROUND(BM.MEDAcumulado,15-13*BM!$A$9)*ROUND(BM!$H72,15-13*ORÇAMENTO!$AF$10),15-13*ORÇAMENTO!$AF$11))),IF($A72=0,0,ROUND(SomaAgrupBM,15-13*ORÇAMENTO!$AF$11)))</f>
        <v>0</v>
      </c>
    </row>
    <row r="73" spans="1:41" ht="38.25" x14ac:dyDescent="0.2">
      <c r="A73" t="str">
        <f ca="1">ORÇAMENTO!C73</f>
        <v>S</v>
      </c>
      <c r="B73">
        <f ca="1">ORÇAMENTO!D73</f>
        <v>0</v>
      </c>
      <c r="C73" s="116" t="str">
        <f t="shared" ca="1" si="1"/>
        <v/>
      </c>
      <c r="D73" s="119" t="str">
        <f ca="1">ORÇAMENTO!O73</f>
        <v>-</v>
      </c>
      <c r="E73" s="172" t="str">
        <f t="shared" ca="1" si="2"/>
        <v>(abra o arquivo 'Referência 02-2025.xlsm)</v>
      </c>
      <c r="F73" s="173" t="str">
        <f ca="1">IF(RegimeExecucao="Global","",ORÇAMENTO.Unidade)</f>
        <v>-</v>
      </c>
      <c r="G73" s="124">
        <f ca="1">IF(RegimeExecucao="Global","",ORÇAMENTO!T73)</f>
        <v>1755.23</v>
      </c>
      <c r="H73" s="124">
        <f ca="1">IF(RegimeExecucao="Global","",ORÇAMENTO!W73)</f>
        <v>0</v>
      </c>
      <c r="I73" s="127">
        <f ca="1">ORÇAMENTO!X73</f>
        <v>0</v>
      </c>
      <c r="J73" s="378">
        <f ca="1">IF($A73="S",IF(CAIXA.Modo,BM.AFAnterior,BM.MEDAnterior),IF(AND(RegimeExecucao="Global",$I73&gt;0,COUNTIF($AB$13:$AM$13,BM.medicao-1)&gt;0),M73/$I73*100,0))</f>
        <v>0</v>
      </c>
      <c r="K73" s="124">
        <f t="shared" ca="1" si="3"/>
        <v>0</v>
      </c>
      <c r="L73" s="379">
        <f ca="1">IF($A73="S",IF(CAIXA.Modo,BM.AFAcumulado,BM.MEDAcumulado),IF(AND(RegimeExecucao="Global",$I73&gt;0,COUNTIF($AB$13:$AM$13,BM.medicao)&gt;0),O73/$I73*100,0))</f>
        <v>0</v>
      </c>
      <c r="M73" s="380">
        <f ca="1">IF($A73="S",VTOTALBM,IF($A73=0,0,ROUND(SomaAgrupBM,15-13*ORÇAMENTO!$AF$11)))</f>
        <v>0</v>
      </c>
      <c r="N73" s="381">
        <f t="shared" ca="1" si="4"/>
        <v>0</v>
      </c>
      <c r="O73" s="127">
        <f ca="1">IF($A73="S",VTOTALBM,IF($A73=0,0,ROUND(SomaAgrupBM,15-13*ORÇAMENTO!$AF$11)))</f>
        <v>0</v>
      </c>
      <c r="Q73" s="382"/>
      <c r="R73" s="383"/>
      <c r="T73" s="119" t="str">
        <f t="shared" ca="1" si="5"/>
        <v/>
      </c>
      <c r="U73" s="172" t="str">
        <f t="shared" ca="1" si="6"/>
        <v/>
      </c>
      <c r="V73" s="173" t="str">
        <f ca="1">IF(AND($W73&gt;0,RegimeExecucao="Unitário"),$F73,"")</f>
        <v/>
      </c>
      <c r="W73" s="547">
        <f ca="1">IF($Y73&gt;0,CHOOSE(MATCH(RegimeExecucao,{"Unitário","Global"},0),IF($A73="S",$Y73/$X73,""),($Y73/$X73)*100),0)</f>
        <v>0</v>
      </c>
      <c r="X73" s="384" t="str">
        <f ca="1">IF($Y73&gt;0,CHOOSE(MATCH(RegimeExecucao,{"Unitário","Global"},0),IF($A73="S",ROUND($H73,ORÇAMENTO!$AF$10),""),ROUND($I73,ORÇAMENTO!$AF$11)),"")</f>
        <v/>
      </c>
      <c r="Y73" s="384">
        <f t="shared" ca="1" si="7"/>
        <v>0</v>
      </c>
      <c r="Z73" s="572"/>
      <c r="AB73" s="382"/>
      <c r="AC73" s="516"/>
      <c r="AD73" s="516"/>
      <c r="AE73" s="516"/>
      <c r="AF73" s="516"/>
      <c r="AG73" s="516"/>
      <c r="AH73" s="516"/>
      <c r="AI73" s="516"/>
      <c r="AJ73" s="516"/>
      <c r="AK73" s="516"/>
      <c r="AL73" s="516"/>
      <c r="AM73" s="383"/>
      <c r="AO73">
        <f ca="1">IF($A73="S",IF(BM!$I73=0,0,CHOOSE(MATCH(RegimeExecucao,{"Global","Unitário"},0),ROUND(ROUND(BM.MEDAcumulado,15-13*BM!$A$9)/100*BM!$I73,15-13*ORÇAMENTO!$AF$11),ROUND(ROUND(BM.MEDAcumulado,15-13*BM!$A$9)*ROUND(BM!$H73,15-13*ORÇAMENTO!$AF$10),15-13*ORÇAMENTO!$AF$11))),IF($A73=0,0,ROUND(SomaAgrupBM,15-13*ORÇAMENTO!$AF$11)))</f>
        <v>0</v>
      </c>
    </row>
    <row r="74" spans="1:41" ht="38.25" x14ac:dyDescent="0.2">
      <c r="A74" t="str">
        <f ca="1">ORÇAMENTO!C74</f>
        <v>S</v>
      </c>
      <c r="B74">
        <f ca="1">ORÇAMENTO!D74</f>
        <v>0</v>
      </c>
      <c r="C74" s="116" t="str">
        <f t="shared" ca="1" si="1"/>
        <v/>
      </c>
      <c r="D74" s="119" t="str">
        <f ca="1">ORÇAMENTO!O74</f>
        <v>-</v>
      </c>
      <c r="E74" s="172" t="str">
        <f t="shared" ca="1" si="2"/>
        <v>(abra o arquivo 'Referência 02-2025.xlsm)</v>
      </c>
      <c r="F74" s="173" t="str">
        <f ca="1">IF(RegimeExecucao="Global","",ORÇAMENTO.Unidade)</f>
        <v>-</v>
      </c>
      <c r="G74" s="124">
        <f ca="1">IF(RegimeExecucao="Global","",ORÇAMENTO!T74)</f>
        <v>41.25</v>
      </c>
      <c r="H74" s="124">
        <f ca="1">IF(RegimeExecucao="Global","",ORÇAMENTO!W74)</f>
        <v>0</v>
      </c>
      <c r="I74" s="127">
        <f ca="1">ORÇAMENTO!X74</f>
        <v>0</v>
      </c>
      <c r="J74" s="378">
        <f ca="1">IF($A74="S",IF(CAIXA.Modo,BM.AFAnterior,BM.MEDAnterior),IF(AND(RegimeExecucao="Global",$I74&gt;0,COUNTIF($AB$13:$AM$13,BM.medicao-1)&gt;0),M74/$I74*100,0))</f>
        <v>0</v>
      </c>
      <c r="K74" s="124">
        <f t="shared" ca="1" si="3"/>
        <v>0</v>
      </c>
      <c r="L74" s="379">
        <f ca="1">IF($A74="S",IF(CAIXA.Modo,BM.AFAcumulado,BM.MEDAcumulado),IF(AND(RegimeExecucao="Global",$I74&gt;0,COUNTIF($AB$13:$AM$13,BM.medicao)&gt;0),O74/$I74*100,0))</f>
        <v>0</v>
      </c>
      <c r="M74" s="380">
        <f ca="1">IF($A74="S",VTOTALBM,IF($A74=0,0,ROUND(SomaAgrupBM,15-13*ORÇAMENTO!$AF$11)))</f>
        <v>0</v>
      </c>
      <c r="N74" s="381">
        <f t="shared" ca="1" si="4"/>
        <v>0</v>
      </c>
      <c r="O74" s="127">
        <f ca="1">IF($A74="S",VTOTALBM,IF($A74=0,0,ROUND(SomaAgrupBM,15-13*ORÇAMENTO!$AF$11)))</f>
        <v>0</v>
      </c>
      <c r="Q74" s="382"/>
      <c r="R74" s="383"/>
      <c r="T74" s="119" t="str">
        <f t="shared" ca="1" si="5"/>
        <v/>
      </c>
      <c r="U74" s="172" t="str">
        <f t="shared" ca="1" si="6"/>
        <v/>
      </c>
      <c r="V74" s="173" t="str">
        <f ca="1">IF(AND($W74&gt;0,RegimeExecucao="Unitário"),$F74,"")</f>
        <v/>
      </c>
      <c r="W74" s="547">
        <f ca="1">IF($Y74&gt;0,CHOOSE(MATCH(RegimeExecucao,{"Unitário","Global"},0),IF($A74="S",$Y74/$X74,""),($Y74/$X74)*100),0)</f>
        <v>0</v>
      </c>
      <c r="X74" s="384" t="str">
        <f ca="1">IF($Y74&gt;0,CHOOSE(MATCH(RegimeExecucao,{"Unitário","Global"},0),IF($A74="S",ROUND($H74,ORÇAMENTO!$AF$10),""),ROUND($I74,ORÇAMENTO!$AF$11)),"")</f>
        <v/>
      </c>
      <c r="Y74" s="384">
        <f t="shared" ca="1" si="7"/>
        <v>0</v>
      </c>
      <c r="Z74" s="572"/>
      <c r="AB74" s="382"/>
      <c r="AC74" s="516"/>
      <c r="AD74" s="516"/>
      <c r="AE74" s="516"/>
      <c r="AF74" s="516"/>
      <c r="AG74" s="516"/>
      <c r="AH74" s="516"/>
      <c r="AI74" s="516"/>
      <c r="AJ74" s="516"/>
      <c r="AK74" s="516"/>
      <c r="AL74" s="516"/>
      <c r="AM74" s="383"/>
      <c r="AO74">
        <f ca="1">IF($A74="S",IF(BM!$I74=0,0,CHOOSE(MATCH(RegimeExecucao,{"Global","Unitário"},0),ROUND(ROUND(BM.MEDAcumulado,15-13*BM!$A$9)/100*BM!$I74,15-13*ORÇAMENTO!$AF$11),ROUND(ROUND(BM.MEDAcumulado,15-13*BM!$A$9)*ROUND(BM!$H74,15-13*ORÇAMENTO!$AF$10),15-13*ORÇAMENTO!$AF$11))),IF($A74=0,0,ROUND(SomaAgrupBM,15-13*ORÇAMENTO!$AF$11)))</f>
        <v>0</v>
      </c>
    </row>
    <row r="75" spans="1:41" ht="38.25" x14ac:dyDescent="0.2">
      <c r="A75" t="str">
        <f ca="1">ORÇAMENTO!C75</f>
        <v>S</v>
      </c>
      <c r="B75">
        <f ca="1">ORÇAMENTO!D75</f>
        <v>0</v>
      </c>
      <c r="C75" s="116" t="str">
        <f t="shared" ca="1" si="1"/>
        <v/>
      </c>
      <c r="D75" s="119" t="str">
        <f ca="1">ORÇAMENTO!O75</f>
        <v>-</v>
      </c>
      <c r="E75" s="172" t="str">
        <f t="shared" ca="1" si="2"/>
        <v>(abra o arquivo 'Referência 02-2025.xlsm)</v>
      </c>
      <c r="F75" s="173" t="str">
        <f ca="1">IF(RegimeExecucao="Global","",ORÇAMENTO.Unidade)</f>
        <v>-</v>
      </c>
      <c r="G75" s="124">
        <f ca="1">IF(RegimeExecucao="Global","",ORÇAMENTO!T75)</f>
        <v>13.26</v>
      </c>
      <c r="H75" s="124">
        <f ca="1">IF(RegimeExecucao="Global","",ORÇAMENTO!W75)</f>
        <v>0</v>
      </c>
      <c r="I75" s="127">
        <f ca="1">ORÇAMENTO!X75</f>
        <v>0</v>
      </c>
      <c r="J75" s="378">
        <f ca="1">IF($A75="S",IF(CAIXA.Modo,BM.AFAnterior,BM.MEDAnterior),IF(AND(RegimeExecucao="Global",$I75&gt;0,COUNTIF($AB$13:$AM$13,BM.medicao-1)&gt;0),M75/$I75*100,0))</f>
        <v>0</v>
      </c>
      <c r="K75" s="124">
        <f t="shared" ca="1" si="3"/>
        <v>0</v>
      </c>
      <c r="L75" s="379">
        <f ca="1">IF($A75="S",IF(CAIXA.Modo,BM.AFAcumulado,BM.MEDAcumulado),IF(AND(RegimeExecucao="Global",$I75&gt;0,COUNTIF($AB$13:$AM$13,BM.medicao)&gt;0),O75/$I75*100,0))</f>
        <v>0</v>
      </c>
      <c r="M75" s="380">
        <f ca="1">IF($A75="S",VTOTALBM,IF($A75=0,0,ROUND(SomaAgrupBM,15-13*ORÇAMENTO!$AF$11)))</f>
        <v>0</v>
      </c>
      <c r="N75" s="381">
        <f t="shared" ca="1" si="4"/>
        <v>0</v>
      </c>
      <c r="O75" s="127">
        <f ca="1">IF($A75="S",VTOTALBM,IF($A75=0,0,ROUND(SomaAgrupBM,15-13*ORÇAMENTO!$AF$11)))</f>
        <v>0</v>
      </c>
      <c r="Q75" s="382"/>
      <c r="R75" s="383"/>
      <c r="T75" s="119" t="str">
        <f t="shared" ca="1" si="5"/>
        <v/>
      </c>
      <c r="U75" s="172" t="str">
        <f t="shared" ca="1" si="6"/>
        <v/>
      </c>
      <c r="V75" s="173" t="str">
        <f ca="1">IF(AND($W75&gt;0,RegimeExecucao="Unitário"),$F75,"")</f>
        <v/>
      </c>
      <c r="W75" s="547">
        <f ca="1">IF($Y75&gt;0,CHOOSE(MATCH(RegimeExecucao,{"Unitário","Global"},0),IF($A75="S",$Y75/$X75,""),($Y75/$X75)*100),0)</f>
        <v>0</v>
      </c>
      <c r="X75" s="384" t="str">
        <f ca="1">IF($Y75&gt;0,CHOOSE(MATCH(RegimeExecucao,{"Unitário","Global"},0),IF($A75="S",ROUND($H75,ORÇAMENTO!$AF$10),""),ROUND($I75,ORÇAMENTO!$AF$11)),"")</f>
        <v/>
      </c>
      <c r="Y75" s="384">
        <f t="shared" ca="1" si="7"/>
        <v>0</v>
      </c>
      <c r="Z75" s="572"/>
      <c r="AB75" s="382"/>
      <c r="AC75" s="516"/>
      <c r="AD75" s="516"/>
      <c r="AE75" s="516"/>
      <c r="AF75" s="516"/>
      <c r="AG75" s="516"/>
      <c r="AH75" s="516"/>
      <c r="AI75" s="516"/>
      <c r="AJ75" s="516"/>
      <c r="AK75" s="516"/>
      <c r="AL75" s="516"/>
      <c r="AM75" s="383"/>
      <c r="AO75">
        <f ca="1">IF($A75="S",IF(BM!$I75=0,0,CHOOSE(MATCH(RegimeExecucao,{"Global","Unitário"},0),ROUND(ROUND(BM.MEDAcumulado,15-13*BM!$A$9)/100*BM!$I75,15-13*ORÇAMENTO!$AF$11),ROUND(ROUND(BM.MEDAcumulado,15-13*BM!$A$9)*ROUND(BM!$H75,15-13*ORÇAMENTO!$AF$10),15-13*ORÇAMENTO!$AF$11))),IF($A75=0,0,ROUND(SomaAgrupBM,15-13*ORÇAMENTO!$AF$11)))</f>
        <v>0</v>
      </c>
    </row>
    <row r="76" spans="1:41" ht="38.25" x14ac:dyDescent="0.2">
      <c r="A76" t="str">
        <f ca="1">ORÇAMENTO!C76</f>
        <v>S</v>
      </c>
      <c r="B76">
        <f ca="1">ORÇAMENTO!D76</f>
        <v>0</v>
      </c>
      <c r="C76" s="116" t="str">
        <f t="shared" ca="1" si="1"/>
        <v/>
      </c>
      <c r="D76" s="119" t="str">
        <f ca="1">ORÇAMENTO!O76</f>
        <v>-</v>
      </c>
      <c r="E76" s="172" t="str">
        <f t="shared" ca="1" si="2"/>
        <v>(abra o arquivo 'Referência 02-2025.xlsm)</v>
      </c>
      <c r="F76" s="173" t="str">
        <f ca="1">IF(RegimeExecucao="Global","",ORÇAMENTO.Unidade)</f>
        <v>-</v>
      </c>
      <c r="G76" s="124">
        <f ca="1">IF(RegimeExecucao="Global","",ORÇAMENTO!T76)</f>
        <v>803.5</v>
      </c>
      <c r="H76" s="124">
        <f ca="1">IF(RegimeExecucao="Global","",ORÇAMENTO!W76)</f>
        <v>0</v>
      </c>
      <c r="I76" s="127">
        <f ca="1">ORÇAMENTO!X76</f>
        <v>0</v>
      </c>
      <c r="J76" s="378">
        <f ca="1">IF($A76="S",IF(CAIXA.Modo,BM.AFAnterior,BM.MEDAnterior),IF(AND(RegimeExecucao="Global",$I76&gt;0,COUNTIF($AB$13:$AM$13,BM.medicao-1)&gt;0),M76/$I76*100,0))</f>
        <v>0</v>
      </c>
      <c r="K76" s="124">
        <f t="shared" ca="1" si="3"/>
        <v>0</v>
      </c>
      <c r="L76" s="379">
        <f ca="1">IF($A76="S",IF(CAIXA.Modo,BM.AFAcumulado,BM.MEDAcumulado),IF(AND(RegimeExecucao="Global",$I76&gt;0,COUNTIF($AB$13:$AM$13,BM.medicao)&gt;0),O76/$I76*100,0))</f>
        <v>0</v>
      </c>
      <c r="M76" s="380">
        <f ca="1">IF($A76="S",VTOTALBM,IF($A76=0,0,ROUND(SomaAgrupBM,15-13*ORÇAMENTO!$AF$11)))</f>
        <v>0</v>
      </c>
      <c r="N76" s="381">
        <f t="shared" ca="1" si="4"/>
        <v>0</v>
      </c>
      <c r="O76" s="127">
        <f ca="1">IF($A76="S",VTOTALBM,IF($A76=0,0,ROUND(SomaAgrupBM,15-13*ORÇAMENTO!$AF$11)))</f>
        <v>0</v>
      </c>
      <c r="Q76" s="382"/>
      <c r="R76" s="383"/>
      <c r="T76" s="119" t="str">
        <f t="shared" ca="1" si="5"/>
        <v/>
      </c>
      <c r="U76" s="172" t="str">
        <f t="shared" ca="1" si="6"/>
        <v/>
      </c>
      <c r="V76" s="173" t="str">
        <f ca="1">IF(AND($W76&gt;0,RegimeExecucao="Unitário"),$F76,"")</f>
        <v/>
      </c>
      <c r="W76" s="547">
        <f ca="1">IF($Y76&gt;0,CHOOSE(MATCH(RegimeExecucao,{"Unitário","Global"},0),IF($A76="S",$Y76/$X76,""),($Y76/$X76)*100),0)</f>
        <v>0</v>
      </c>
      <c r="X76" s="384" t="str">
        <f ca="1">IF($Y76&gt;0,CHOOSE(MATCH(RegimeExecucao,{"Unitário","Global"},0),IF($A76="S",ROUND($H76,ORÇAMENTO!$AF$10),""),ROUND($I76,ORÇAMENTO!$AF$11)),"")</f>
        <v/>
      </c>
      <c r="Y76" s="384">
        <f t="shared" ca="1" si="7"/>
        <v>0</v>
      </c>
      <c r="Z76" s="572"/>
      <c r="AB76" s="382"/>
      <c r="AC76" s="516"/>
      <c r="AD76" s="516"/>
      <c r="AE76" s="516"/>
      <c r="AF76" s="516"/>
      <c r="AG76" s="516"/>
      <c r="AH76" s="516"/>
      <c r="AI76" s="516"/>
      <c r="AJ76" s="516"/>
      <c r="AK76" s="516"/>
      <c r="AL76" s="516"/>
      <c r="AM76" s="383"/>
      <c r="AO76">
        <f ca="1">IF($A76="S",IF(BM!$I76=0,0,CHOOSE(MATCH(RegimeExecucao,{"Global","Unitário"},0),ROUND(ROUND(BM.MEDAcumulado,15-13*BM!$A$9)/100*BM!$I76,15-13*ORÇAMENTO!$AF$11),ROUND(ROUND(BM.MEDAcumulado,15-13*BM!$A$9)*ROUND(BM!$H76,15-13*ORÇAMENTO!$AF$10),15-13*ORÇAMENTO!$AF$11))),IF($A76=0,0,ROUND(SomaAgrupBM,15-13*ORÇAMENTO!$AF$11)))</f>
        <v>0</v>
      </c>
    </row>
    <row r="77" spans="1:41" ht="25.5" x14ac:dyDescent="0.2">
      <c r="A77" t="str">
        <f ca="1">ORÇAMENTO!C77</f>
        <v>S</v>
      </c>
      <c r="B77">
        <f ca="1">ORÇAMENTO!D77</f>
        <v>0</v>
      </c>
      <c r="C77" s="116" t="str">
        <f t="shared" ca="1" si="1"/>
        <v/>
      </c>
      <c r="D77" s="119" t="str">
        <f ca="1">ORÇAMENTO!O77</f>
        <v>-</v>
      </c>
      <c r="E77" s="172" t="str">
        <f t="shared" ca="1" si="2"/>
        <v>(abra o arquivo 'Referência 02-2025.xlsm)</v>
      </c>
      <c r="F77" s="173" t="str">
        <f ca="1">IF(RegimeExecucao="Global","",ORÇAMENTO.Unidade)</f>
        <v>-</v>
      </c>
      <c r="G77" s="124">
        <f ca="1">IF(RegimeExecucao="Global","",ORÇAMENTO!T77)</f>
        <v>29.2</v>
      </c>
      <c r="H77" s="124">
        <f ca="1">IF(RegimeExecucao="Global","",ORÇAMENTO!W77)</f>
        <v>0</v>
      </c>
      <c r="I77" s="127">
        <f ca="1">ORÇAMENTO!X77</f>
        <v>0</v>
      </c>
      <c r="J77" s="378">
        <f ca="1">IF($A77="S",IF(CAIXA.Modo,BM.AFAnterior,BM.MEDAnterior),IF(AND(RegimeExecucao="Global",$I77&gt;0,COUNTIF($AB$13:$AM$13,BM.medicao-1)&gt;0),M77/$I77*100,0))</f>
        <v>0</v>
      </c>
      <c r="K77" s="124">
        <f t="shared" ca="1" si="3"/>
        <v>0</v>
      </c>
      <c r="L77" s="379">
        <f ca="1">IF($A77="S",IF(CAIXA.Modo,BM.AFAcumulado,BM.MEDAcumulado),IF(AND(RegimeExecucao="Global",$I77&gt;0,COUNTIF($AB$13:$AM$13,BM.medicao)&gt;0),O77/$I77*100,0))</f>
        <v>0</v>
      </c>
      <c r="M77" s="380">
        <f ca="1">IF($A77="S",VTOTALBM,IF($A77=0,0,ROUND(SomaAgrupBM,15-13*ORÇAMENTO!$AF$11)))</f>
        <v>0</v>
      </c>
      <c r="N77" s="381">
        <f t="shared" ca="1" si="4"/>
        <v>0</v>
      </c>
      <c r="O77" s="127">
        <f ca="1">IF($A77="S",VTOTALBM,IF($A77=0,0,ROUND(SomaAgrupBM,15-13*ORÇAMENTO!$AF$11)))</f>
        <v>0</v>
      </c>
      <c r="Q77" s="382"/>
      <c r="R77" s="383"/>
      <c r="T77" s="119" t="str">
        <f t="shared" ca="1" si="5"/>
        <v/>
      </c>
      <c r="U77" s="172" t="str">
        <f t="shared" ca="1" si="6"/>
        <v/>
      </c>
      <c r="V77" s="173" t="str">
        <f ca="1">IF(AND($W77&gt;0,RegimeExecucao="Unitário"),$F77,"")</f>
        <v/>
      </c>
      <c r="W77" s="547">
        <f ca="1">IF($Y77&gt;0,CHOOSE(MATCH(RegimeExecucao,{"Unitário","Global"},0),IF($A77="S",$Y77/$X77,""),($Y77/$X77)*100),0)</f>
        <v>0</v>
      </c>
      <c r="X77" s="384" t="str">
        <f ca="1">IF($Y77&gt;0,CHOOSE(MATCH(RegimeExecucao,{"Unitário","Global"},0),IF($A77="S",ROUND($H77,ORÇAMENTO!$AF$10),""),ROUND($I77,ORÇAMENTO!$AF$11)),"")</f>
        <v/>
      </c>
      <c r="Y77" s="384">
        <f t="shared" ca="1" si="7"/>
        <v>0</v>
      </c>
      <c r="Z77" s="572"/>
      <c r="AB77" s="382"/>
      <c r="AC77" s="516"/>
      <c r="AD77" s="516"/>
      <c r="AE77" s="516"/>
      <c r="AF77" s="516"/>
      <c r="AG77" s="516"/>
      <c r="AH77" s="516"/>
      <c r="AI77" s="516"/>
      <c r="AJ77" s="516"/>
      <c r="AK77" s="516"/>
      <c r="AL77" s="516"/>
      <c r="AM77" s="383"/>
      <c r="AO77">
        <f ca="1">IF($A77="S",IF(BM!$I77=0,0,CHOOSE(MATCH(RegimeExecucao,{"Global","Unitário"},0),ROUND(ROUND(BM.MEDAcumulado,15-13*BM!$A$9)/100*BM!$I77,15-13*ORÇAMENTO!$AF$11),ROUND(ROUND(BM.MEDAcumulado,15-13*BM!$A$9)*ROUND(BM!$H77,15-13*ORÇAMENTO!$AF$10),15-13*ORÇAMENTO!$AF$11))),IF($A77=0,0,ROUND(SomaAgrupBM,15-13*ORÇAMENTO!$AF$11)))</f>
        <v>0</v>
      </c>
    </row>
    <row r="78" spans="1:41" x14ac:dyDescent="0.2">
      <c r="A78">
        <f ca="1">ORÇAMENTO!C78</f>
        <v>3</v>
      </c>
      <c r="B78">
        <f ca="1">ORÇAMENTO!D78</f>
        <v>8</v>
      </c>
      <c r="C78" s="116" t="str">
        <f t="shared" ca="1" si="1"/>
        <v>F</v>
      </c>
      <c r="D78" s="119" t="str">
        <f ca="1">ORÇAMENTO!O78</f>
        <v>1.4.3.</v>
      </c>
      <c r="E78" s="172" t="str">
        <f t="shared" ca="1" si="2"/>
        <v>CONCRETO ARMADO PARA VERGAS</v>
      </c>
      <c r="F78" s="173" t="str">
        <f ca="1">IF(RegimeExecucao="Global","",ORÇAMENTO.Unidade)</f>
        <v>-</v>
      </c>
      <c r="G78" s="124">
        <f ca="1">IF(RegimeExecucao="Global","",ORÇAMENTO!T78)</f>
        <v>0</v>
      </c>
      <c r="H78" s="124">
        <f ca="1">IF(RegimeExecucao="Global","",ORÇAMENTO!W78)</f>
        <v>0</v>
      </c>
      <c r="I78" s="127">
        <f ca="1">ORÇAMENTO!X78</f>
        <v>0</v>
      </c>
      <c r="J78" s="378">
        <f ca="1">IF($A78="S",IF(CAIXA.Modo,BM.AFAnterior,BM.MEDAnterior),IF(AND(RegimeExecucao="Global",$I78&gt;0,COUNTIF($AB$13:$AM$13,BM.medicao-1)&gt;0),M78/$I78*100,0))</f>
        <v>0</v>
      </c>
      <c r="K78" s="124">
        <f t="shared" ca="1" si="3"/>
        <v>0</v>
      </c>
      <c r="L78" s="379">
        <f ca="1">IF($A78="S",IF(CAIXA.Modo,BM.AFAcumulado,BM.MEDAcumulado),IF(AND(RegimeExecucao="Global",$I78&gt;0,COUNTIF($AB$13:$AM$13,BM.medicao)&gt;0),O78/$I78*100,0))</f>
        <v>0</v>
      </c>
      <c r="M78" s="380">
        <f ca="1">IF($A78="S",VTOTALBM,IF($A78=0,0,ROUND(SomaAgrupBM,15-13*ORÇAMENTO!$AF$11)))</f>
        <v>0</v>
      </c>
      <c r="N78" s="381">
        <f t="shared" ca="1" si="4"/>
        <v>0</v>
      </c>
      <c r="O78" s="127">
        <f ca="1">IF($A78="S",VTOTALBM,IF($A78=0,0,ROUND(SomaAgrupBM,15-13*ORÇAMENTO!$AF$11)))</f>
        <v>0</v>
      </c>
      <c r="Q78" s="382"/>
      <c r="R78" s="383"/>
      <c r="T78" s="119" t="str">
        <f t="shared" ca="1" si="5"/>
        <v/>
      </c>
      <c r="U78" s="172" t="str">
        <f t="shared" ca="1" si="6"/>
        <v/>
      </c>
      <c r="V78" s="173" t="str">
        <f ca="1">IF(AND($W78&gt;0,RegimeExecucao="Unitário"),$F78,"")</f>
        <v/>
      </c>
      <c r="W78" s="547">
        <f ca="1">IF($Y78&gt;0,CHOOSE(MATCH(RegimeExecucao,{"Unitário","Global"},0),IF($A78="S",$Y78/$X78,""),($Y78/$X78)*100),0)</f>
        <v>0</v>
      </c>
      <c r="X78" s="384" t="str">
        <f ca="1">IF($Y78&gt;0,CHOOSE(MATCH(RegimeExecucao,{"Unitário","Global"},0),IF($A78="S",ROUND($H78,ORÇAMENTO!$AF$10),""),ROUND($I78,ORÇAMENTO!$AF$11)),"")</f>
        <v/>
      </c>
      <c r="Y78" s="384">
        <f t="shared" ca="1" si="7"/>
        <v>0</v>
      </c>
      <c r="Z78" s="572"/>
      <c r="AB78" s="382"/>
      <c r="AC78" s="516"/>
      <c r="AD78" s="516"/>
      <c r="AE78" s="516"/>
      <c r="AF78" s="516"/>
      <c r="AG78" s="516"/>
      <c r="AH78" s="516"/>
      <c r="AI78" s="516"/>
      <c r="AJ78" s="516"/>
      <c r="AK78" s="516"/>
      <c r="AL78" s="516"/>
      <c r="AM78" s="383"/>
      <c r="AO78">
        <f ca="1">IF($A78="S",IF(BM!$I78=0,0,CHOOSE(MATCH(RegimeExecucao,{"Global","Unitário"},0),ROUND(ROUND(BM.MEDAcumulado,15-13*BM!$A$9)/100*BM!$I78,15-13*ORÇAMENTO!$AF$11),ROUND(ROUND(BM.MEDAcumulado,15-13*BM!$A$9)*ROUND(BM!$H78,15-13*ORÇAMENTO!$AF$10),15-13*ORÇAMENTO!$AF$11))),IF($A78=0,0,ROUND(SomaAgrupBM,15-13*ORÇAMENTO!$AF$11)))</f>
        <v>0</v>
      </c>
    </row>
    <row r="79" spans="1:41" ht="38.25" x14ac:dyDescent="0.2">
      <c r="A79" t="str">
        <f ca="1">ORÇAMENTO!C79</f>
        <v>S</v>
      </c>
      <c r="B79">
        <f ca="1">ORÇAMENTO!D79</f>
        <v>0</v>
      </c>
      <c r="C79" s="116" t="str">
        <f t="shared" ca="1" si="1"/>
        <v/>
      </c>
      <c r="D79" s="119" t="str">
        <f ca="1">ORÇAMENTO!O79</f>
        <v>-</v>
      </c>
      <c r="E79" s="172" t="str">
        <f t="shared" ca="1" si="2"/>
        <v>(abra o arquivo 'Referência 02-2025.xlsm)</v>
      </c>
      <c r="F79" s="173" t="str">
        <f ca="1">IF(RegimeExecucao="Global","",ORÇAMENTO.Unidade)</f>
        <v>-</v>
      </c>
      <c r="G79" s="124">
        <f ca="1">IF(RegimeExecucao="Global","",ORÇAMENTO!T79)</f>
        <v>800.94</v>
      </c>
      <c r="H79" s="124">
        <f ca="1">IF(RegimeExecucao="Global","",ORÇAMENTO!W79)</f>
        <v>0</v>
      </c>
      <c r="I79" s="127">
        <f ca="1">ORÇAMENTO!X79</f>
        <v>0</v>
      </c>
      <c r="J79" s="378">
        <f ca="1">IF($A79="S",IF(CAIXA.Modo,BM.AFAnterior,BM.MEDAnterior),IF(AND(RegimeExecucao="Global",$I79&gt;0,COUNTIF($AB$13:$AM$13,BM.medicao-1)&gt;0),M79/$I79*100,0))</f>
        <v>0</v>
      </c>
      <c r="K79" s="124">
        <f t="shared" ca="1" si="3"/>
        <v>0</v>
      </c>
      <c r="L79" s="379">
        <f ca="1">IF($A79="S",IF(CAIXA.Modo,BM.AFAcumulado,BM.MEDAcumulado),IF(AND(RegimeExecucao="Global",$I79&gt;0,COUNTIF($AB$13:$AM$13,BM.medicao)&gt;0),O79/$I79*100,0))</f>
        <v>0</v>
      </c>
      <c r="M79" s="380">
        <f ca="1">IF($A79="S",VTOTALBM,IF($A79=0,0,ROUND(SomaAgrupBM,15-13*ORÇAMENTO!$AF$11)))</f>
        <v>0</v>
      </c>
      <c r="N79" s="381">
        <f t="shared" ca="1" si="4"/>
        <v>0</v>
      </c>
      <c r="O79" s="127">
        <f ca="1">IF($A79="S",VTOTALBM,IF($A79=0,0,ROUND(SomaAgrupBM,15-13*ORÇAMENTO!$AF$11)))</f>
        <v>0</v>
      </c>
      <c r="Q79" s="382"/>
      <c r="R79" s="383"/>
      <c r="T79" s="119" t="str">
        <f t="shared" ca="1" si="5"/>
        <v/>
      </c>
      <c r="U79" s="172" t="str">
        <f t="shared" ca="1" si="6"/>
        <v/>
      </c>
      <c r="V79" s="173" t="str">
        <f ca="1">IF(AND($W79&gt;0,RegimeExecucao="Unitário"),$F79,"")</f>
        <v/>
      </c>
      <c r="W79" s="547">
        <f ca="1">IF($Y79&gt;0,CHOOSE(MATCH(RegimeExecucao,{"Unitário","Global"},0),IF($A79="S",$Y79/$X79,""),($Y79/$X79)*100),0)</f>
        <v>0</v>
      </c>
      <c r="X79" s="384" t="str">
        <f ca="1">IF($Y79&gt;0,CHOOSE(MATCH(RegimeExecucao,{"Unitário","Global"},0),IF($A79="S",ROUND($H79,ORÇAMENTO!$AF$10),""),ROUND($I79,ORÇAMENTO!$AF$11)),"")</f>
        <v/>
      </c>
      <c r="Y79" s="384">
        <f t="shared" ca="1" si="7"/>
        <v>0</v>
      </c>
      <c r="Z79" s="572"/>
      <c r="AB79" s="382"/>
      <c r="AC79" s="516"/>
      <c r="AD79" s="516"/>
      <c r="AE79" s="516"/>
      <c r="AF79" s="516"/>
      <c r="AG79" s="516"/>
      <c r="AH79" s="516"/>
      <c r="AI79" s="516"/>
      <c r="AJ79" s="516"/>
      <c r="AK79" s="516"/>
      <c r="AL79" s="516"/>
      <c r="AM79" s="383"/>
      <c r="AO79">
        <f ca="1">IF($A79="S",IF(BM!$I79=0,0,CHOOSE(MATCH(RegimeExecucao,{"Global","Unitário"},0),ROUND(ROUND(BM.MEDAcumulado,15-13*BM!$A$9)/100*BM!$I79,15-13*ORÇAMENTO!$AF$11),ROUND(ROUND(BM.MEDAcumulado,15-13*BM!$A$9)*ROUND(BM!$H79,15-13*ORÇAMENTO!$AF$10),15-13*ORÇAMENTO!$AF$11))),IF($A79=0,0,ROUND(SomaAgrupBM,15-13*ORÇAMENTO!$AF$11)))</f>
        <v>0</v>
      </c>
    </row>
    <row r="80" spans="1:41" ht="38.25" x14ac:dyDescent="0.2">
      <c r="A80" t="str">
        <f ca="1">ORÇAMENTO!C80</f>
        <v>S</v>
      </c>
      <c r="B80">
        <f ca="1">ORÇAMENTO!D80</f>
        <v>0</v>
      </c>
      <c r="C80" s="116" t="str">
        <f t="shared" ca="1" si="1"/>
        <v/>
      </c>
      <c r="D80" s="119" t="str">
        <f ca="1">ORÇAMENTO!O80</f>
        <v>-</v>
      </c>
      <c r="E80" s="172" t="str">
        <f t="shared" ca="1" si="2"/>
        <v>(abra o arquivo 'Referência 02-2025.xlsm)</v>
      </c>
      <c r="F80" s="173" t="str">
        <f ca="1">IF(RegimeExecucao="Global","",ORÇAMENTO.Unidade)</f>
        <v>-</v>
      </c>
      <c r="G80" s="124">
        <f ca="1">IF(RegimeExecucao="Global","",ORÇAMENTO!T80)</f>
        <v>958.05</v>
      </c>
      <c r="H80" s="124">
        <f ca="1">IF(RegimeExecucao="Global","",ORÇAMENTO!W80)</f>
        <v>0</v>
      </c>
      <c r="I80" s="127">
        <f ca="1">ORÇAMENTO!X80</f>
        <v>0</v>
      </c>
      <c r="J80" s="378">
        <f ca="1">IF($A80="S",IF(CAIXA.Modo,BM.AFAnterior,BM.MEDAnterior),IF(AND(RegimeExecucao="Global",$I80&gt;0,COUNTIF($AB$13:$AM$13,BM.medicao-1)&gt;0),M80/$I80*100,0))</f>
        <v>0</v>
      </c>
      <c r="K80" s="124">
        <f t="shared" ca="1" si="3"/>
        <v>0</v>
      </c>
      <c r="L80" s="379">
        <f ca="1">IF($A80="S",IF(CAIXA.Modo,BM.AFAcumulado,BM.MEDAcumulado),IF(AND(RegimeExecucao="Global",$I80&gt;0,COUNTIF($AB$13:$AM$13,BM.medicao)&gt;0),O80/$I80*100,0))</f>
        <v>0</v>
      </c>
      <c r="M80" s="380">
        <f ca="1">IF($A80="S",VTOTALBM,IF($A80=0,0,ROUND(SomaAgrupBM,15-13*ORÇAMENTO!$AF$11)))</f>
        <v>0</v>
      </c>
      <c r="N80" s="381">
        <f t="shared" ca="1" si="4"/>
        <v>0</v>
      </c>
      <c r="O80" s="127">
        <f ca="1">IF($A80="S",VTOTALBM,IF($A80=0,0,ROUND(SomaAgrupBM,15-13*ORÇAMENTO!$AF$11)))</f>
        <v>0</v>
      </c>
      <c r="Q80" s="382"/>
      <c r="R80" s="383"/>
      <c r="T80" s="119" t="str">
        <f t="shared" ca="1" si="5"/>
        <v/>
      </c>
      <c r="U80" s="172" t="str">
        <f t="shared" ca="1" si="6"/>
        <v/>
      </c>
      <c r="V80" s="173" t="str">
        <f ca="1">IF(AND($W80&gt;0,RegimeExecucao="Unitário"),$F80,"")</f>
        <v/>
      </c>
      <c r="W80" s="547">
        <f ca="1">IF($Y80&gt;0,CHOOSE(MATCH(RegimeExecucao,{"Unitário","Global"},0),IF($A80="S",$Y80/$X80,""),($Y80/$X80)*100),0)</f>
        <v>0</v>
      </c>
      <c r="X80" s="384" t="str">
        <f ca="1">IF($Y80&gt;0,CHOOSE(MATCH(RegimeExecucao,{"Unitário","Global"},0),IF($A80="S",ROUND($H80,ORÇAMENTO!$AF$10),""),ROUND($I80,ORÇAMENTO!$AF$11)),"")</f>
        <v/>
      </c>
      <c r="Y80" s="384">
        <f t="shared" ca="1" si="7"/>
        <v>0</v>
      </c>
      <c r="Z80" s="572"/>
      <c r="AB80" s="382"/>
      <c r="AC80" s="516"/>
      <c r="AD80" s="516"/>
      <c r="AE80" s="516"/>
      <c r="AF80" s="516"/>
      <c r="AG80" s="516"/>
      <c r="AH80" s="516"/>
      <c r="AI80" s="516"/>
      <c r="AJ80" s="516"/>
      <c r="AK80" s="516"/>
      <c r="AL80" s="516"/>
      <c r="AM80" s="383"/>
      <c r="AO80">
        <f ca="1">IF($A80="S",IF(BM!$I80=0,0,CHOOSE(MATCH(RegimeExecucao,{"Global","Unitário"},0),ROUND(ROUND(BM.MEDAcumulado,15-13*BM!$A$9)/100*BM!$I80,15-13*ORÇAMENTO!$AF$11),ROUND(ROUND(BM.MEDAcumulado,15-13*BM!$A$9)*ROUND(BM!$H80,15-13*ORÇAMENTO!$AF$10),15-13*ORÇAMENTO!$AF$11))),IF($A80=0,0,ROUND(SomaAgrupBM,15-13*ORÇAMENTO!$AF$11)))</f>
        <v>0</v>
      </c>
    </row>
    <row r="81" spans="1:41" ht="38.25" x14ac:dyDescent="0.2">
      <c r="A81" t="str">
        <f ca="1">ORÇAMENTO!C81</f>
        <v>S</v>
      </c>
      <c r="B81">
        <f ca="1">ORÇAMENTO!D81</f>
        <v>0</v>
      </c>
      <c r="C81" s="116" t="str">
        <f t="shared" ca="1" si="1"/>
        <v/>
      </c>
      <c r="D81" s="119" t="str">
        <f ca="1">ORÇAMENTO!O81</f>
        <v>-</v>
      </c>
      <c r="E81" s="172" t="str">
        <f t="shared" ca="1" si="2"/>
        <v>(abra o arquivo 'Referência 02-2025.xlsm)</v>
      </c>
      <c r="F81" s="173" t="str">
        <f ca="1">IF(RegimeExecucao="Global","",ORÇAMENTO.Unidade)</f>
        <v>-</v>
      </c>
      <c r="G81" s="124">
        <f ca="1">IF(RegimeExecucao="Global","",ORÇAMENTO!T81)</f>
        <v>939.81</v>
      </c>
      <c r="H81" s="124">
        <f ca="1">IF(RegimeExecucao="Global","",ORÇAMENTO!W81)</f>
        <v>0</v>
      </c>
      <c r="I81" s="127">
        <f ca="1">ORÇAMENTO!X81</f>
        <v>0</v>
      </c>
      <c r="J81" s="378">
        <f ca="1">IF($A81="S",IF(CAIXA.Modo,BM.AFAnterior,BM.MEDAnterior),IF(AND(RegimeExecucao="Global",$I81&gt;0,COUNTIF($AB$13:$AM$13,BM.medicao-1)&gt;0),M81/$I81*100,0))</f>
        <v>0</v>
      </c>
      <c r="K81" s="124">
        <f t="shared" ca="1" si="3"/>
        <v>0</v>
      </c>
      <c r="L81" s="379">
        <f ca="1">IF($A81="S",IF(CAIXA.Modo,BM.AFAcumulado,BM.MEDAcumulado),IF(AND(RegimeExecucao="Global",$I81&gt;0,COUNTIF($AB$13:$AM$13,BM.medicao)&gt;0),O81/$I81*100,0))</f>
        <v>0</v>
      </c>
      <c r="M81" s="380">
        <f ca="1">IF($A81="S",VTOTALBM,IF($A81=0,0,ROUND(SomaAgrupBM,15-13*ORÇAMENTO!$AF$11)))</f>
        <v>0</v>
      </c>
      <c r="N81" s="381">
        <f t="shared" ca="1" si="4"/>
        <v>0</v>
      </c>
      <c r="O81" s="127">
        <f ca="1">IF($A81="S",VTOTALBM,IF($A81=0,0,ROUND(SomaAgrupBM,15-13*ORÇAMENTO!$AF$11)))</f>
        <v>0</v>
      </c>
      <c r="Q81" s="382"/>
      <c r="R81" s="383"/>
      <c r="T81" s="119" t="str">
        <f t="shared" ca="1" si="5"/>
        <v/>
      </c>
      <c r="U81" s="172" t="str">
        <f t="shared" ca="1" si="6"/>
        <v/>
      </c>
      <c r="V81" s="173" t="str">
        <f ca="1">IF(AND($W81&gt;0,RegimeExecucao="Unitário"),$F81,"")</f>
        <v/>
      </c>
      <c r="W81" s="547">
        <f ca="1">IF($Y81&gt;0,CHOOSE(MATCH(RegimeExecucao,{"Unitário","Global"},0),IF($A81="S",$Y81/$X81,""),($Y81/$X81)*100),0)</f>
        <v>0</v>
      </c>
      <c r="X81" s="384" t="str">
        <f ca="1">IF($Y81&gt;0,CHOOSE(MATCH(RegimeExecucao,{"Unitário","Global"},0),IF($A81="S",ROUND($H81,ORÇAMENTO!$AF$10),""),ROUND($I81,ORÇAMENTO!$AF$11)),"")</f>
        <v/>
      </c>
      <c r="Y81" s="384">
        <f t="shared" ca="1" si="7"/>
        <v>0</v>
      </c>
      <c r="Z81" s="572"/>
      <c r="AB81" s="382"/>
      <c r="AC81" s="516"/>
      <c r="AD81" s="516"/>
      <c r="AE81" s="516"/>
      <c r="AF81" s="516"/>
      <c r="AG81" s="516"/>
      <c r="AH81" s="516"/>
      <c r="AI81" s="516"/>
      <c r="AJ81" s="516"/>
      <c r="AK81" s="516"/>
      <c r="AL81" s="516"/>
      <c r="AM81" s="383"/>
      <c r="AO81">
        <f ca="1">IF($A81="S",IF(BM!$I81=0,0,CHOOSE(MATCH(RegimeExecucao,{"Global","Unitário"},0),ROUND(ROUND(BM.MEDAcumulado,15-13*BM!$A$9)/100*BM!$I81,15-13*ORÇAMENTO!$AF$11),ROUND(ROUND(BM.MEDAcumulado,15-13*BM!$A$9)*ROUND(BM!$H81,15-13*ORÇAMENTO!$AF$10),15-13*ORÇAMENTO!$AF$11))),IF($A81=0,0,ROUND(SomaAgrupBM,15-13*ORÇAMENTO!$AF$11)))</f>
        <v>0</v>
      </c>
    </row>
    <row r="82" spans="1:41" ht="38.25" x14ac:dyDescent="0.2">
      <c r="A82" t="str">
        <f ca="1">ORÇAMENTO!C82</f>
        <v>S</v>
      </c>
      <c r="B82">
        <f ca="1">ORÇAMENTO!D82</f>
        <v>0</v>
      </c>
      <c r="C82" s="116" t="str">
        <f t="shared" ca="1" si="1"/>
        <v/>
      </c>
      <c r="D82" s="119" t="str">
        <f ca="1">ORÇAMENTO!O82</f>
        <v>-</v>
      </c>
      <c r="E82" s="172" t="str">
        <f t="shared" ca="1" si="2"/>
        <v>(abra o arquivo 'Referência 02-2025.xlsm)</v>
      </c>
      <c r="F82" s="173" t="str">
        <f ca="1">IF(RegimeExecucao="Global","",ORÇAMENTO.Unidade)</f>
        <v>-</v>
      </c>
      <c r="G82" s="124">
        <f ca="1">IF(RegimeExecucao="Global","",ORÇAMENTO!T82)</f>
        <v>164.31</v>
      </c>
      <c r="H82" s="124">
        <f ca="1">IF(RegimeExecucao="Global","",ORÇAMENTO!W82)</f>
        <v>0</v>
      </c>
      <c r="I82" s="127">
        <f ca="1">ORÇAMENTO!X82</f>
        <v>0</v>
      </c>
      <c r="J82" s="378">
        <f ca="1">IF($A82="S",IF(CAIXA.Modo,BM.AFAnterior,BM.MEDAnterior),IF(AND(RegimeExecucao="Global",$I82&gt;0,COUNTIF($AB$13:$AM$13,BM.medicao-1)&gt;0),M82/$I82*100,0))</f>
        <v>0</v>
      </c>
      <c r="K82" s="124">
        <f t="shared" ca="1" si="3"/>
        <v>0</v>
      </c>
      <c r="L82" s="379">
        <f ca="1">IF($A82="S",IF(CAIXA.Modo,BM.AFAcumulado,BM.MEDAcumulado),IF(AND(RegimeExecucao="Global",$I82&gt;0,COUNTIF($AB$13:$AM$13,BM.medicao)&gt;0),O82/$I82*100,0))</f>
        <v>0</v>
      </c>
      <c r="M82" s="380">
        <f ca="1">IF($A82="S",VTOTALBM,IF($A82=0,0,ROUND(SomaAgrupBM,15-13*ORÇAMENTO!$AF$11)))</f>
        <v>0</v>
      </c>
      <c r="N82" s="381">
        <f t="shared" ca="1" si="4"/>
        <v>0</v>
      </c>
      <c r="O82" s="127">
        <f ca="1">IF($A82="S",VTOTALBM,IF($A82=0,0,ROUND(SomaAgrupBM,15-13*ORÇAMENTO!$AF$11)))</f>
        <v>0</v>
      </c>
      <c r="Q82" s="382"/>
      <c r="R82" s="383"/>
      <c r="T82" s="119" t="str">
        <f t="shared" ca="1" si="5"/>
        <v/>
      </c>
      <c r="U82" s="172" t="str">
        <f t="shared" ca="1" si="6"/>
        <v/>
      </c>
      <c r="V82" s="173" t="str">
        <f ca="1">IF(AND($W82&gt;0,RegimeExecucao="Unitário"),$F82,"")</f>
        <v/>
      </c>
      <c r="W82" s="547">
        <f ca="1">IF($Y82&gt;0,CHOOSE(MATCH(RegimeExecucao,{"Unitário","Global"},0),IF($A82="S",$Y82/$X82,""),($Y82/$X82)*100),0)</f>
        <v>0</v>
      </c>
      <c r="X82" s="384" t="str">
        <f ca="1">IF($Y82&gt;0,CHOOSE(MATCH(RegimeExecucao,{"Unitário","Global"},0),IF($A82="S",ROUND($H82,ORÇAMENTO!$AF$10),""),ROUND($I82,ORÇAMENTO!$AF$11)),"")</f>
        <v/>
      </c>
      <c r="Y82" s="384">
        <f t="shared" ca="1" si="7"/>
        <v>0</v>
      </c>
      <c r="Z82" s="572"/>
      <c r="AB82" s="382"/>
      <c r="AC82" s="516"/>
      <c r="AD82" s="516"/>
      <c r="AE82" s="516"/>
      <c r="AF82" s="516"/>
      <c r="AG82" s="516"/>
      <c r="AH82" s="516"/>
      <c r="AI82" s="516"/>
      <c r="AJ82" s="516"/>
      <c r="AK82" s="516"/>
      <c r="AL82" s="516"/>
      <c r="AM82" s="383"/>
      <c r="AO82">
        <f ca="1">IF($A82="S",IF(BM!$I82=0,0,CHOOSE(MATCH(RegimeExecucao,{"Global","Unitário"},0),ROUND(ROUND(BM.MEDAcumulado,15-13*BM!$A$9)/100*BM!$I82,15-13*ORÇAMENTO!$AF$11),ROUND(ROUND(BM.MEDAcumulado,15-13*BM!$A$9)*ROUND(BM!$H82,15-13*ORÇAMENTO!$AF$10),15-13*ORÇAMENTO!$AF$11))),IF($A82=0,0,ROUND(SomaAgrupBM,15-13*ORÇAMENTO!$AF$11)))</f>
        <v>0</v>
      </c>
    </row>
    <row r="83" spans="1:41" ht="38.25" x14ac:dyDescent="0.2">
      <c r="A83" t="str">
        <f ca="1">ORÇAMENTO!C83</f>
        <v>S</v>
      </c>
      <c r="B83">
        <f ca="1">ORÇAMENTO!D83</f>
        <v>0</v>
      </c>
      <c r="C83" s="116" t="str">
        <f t="shared" ca="1" si="1"/>
        <v/>
      </c>
      <c r="D83" s="119" t="str">
        <f ca="1">ORÇAMENTO!O83</f>
        <v>-</v>
      </c>
      <c r="E83" s="172" t="str">
        <f t="shared" ca="1" si="2"/>
        <v>(abra o arquivo 'Referência 02-2025.xlsm)</v>
      </c>
      <c r="F83" s="173" t="str">
        <f ca="1">IF(RegimeExecucao="Global","",ORÇAMENTO.Unidade)</f>
        <v>-</v>
      </c>
      <c r="G83" s="124">
        <f ca="1">IF(RegimeExecucao="Global","",ORÇAMENTO!T83)</f>
        <v>143.35</v>
      </c>
      <c r="H83" s="124">
        <f ca="1">IF(RegimeExecucao="Global","",ORÇAMENTO!W83)</f>
        <v>0</v>
      </c>
      <c r="I83" s="127">
        <f ca="1">ORÇAMENTO!X83</f>
        <v>0</v>
      </c>
      <c r="J83" s="378">
        <f ca="1">IF($A83="S",IF(CAIXA.Modo,BM.AFAnterior,BM.MEDAnterior),IF(AND(RegimeExecucao="Global",$I83&gt;0,COUNTIF($AB$13:$AM$13,BM.medicao-1)&gt;0),M83/$I83*100,0))</f>
        <v>0</v>
      </c>
      <c r="K83" s="124">
        <f t="shared" ca="1" si="3"/>
        <v>0</v>
      </c>
      <c r="L83" s="379">
        <f ca="1">IF($A83="S",IF(CAIXA.Modo,BM.AFAcumulado,BM.MEDAcumulado),IF(AND(RegimeExecucao="Global",$I83&gt;0,COUNTIF($AB$13:$AM$13,BM.medicao)&gt;0),O83/$I83*100,0))</f>
        <v>0</v>
      </c>
      <c r="M83" s="380">
        <f ca="1">IF($A83="S",VTOTALBM,IF($A83=0,0,ROUND(SomaAgrupBM,15-13*ORÇAMENTO!$AF$11)))</f>
        <v>0</v>
      </c>
      <c r="N83" s="381">
        <f t="shared" ca="1" si="4"/>
        <v>0</v>
      </c>
      <c r="O83" s="127">
        <f ca="1">IF($A83="S",VTOTALBM,IF($A83=0,0,ROUND(SomaAgrupBM,15-13*ORÇAMENTO!$AF$11)))</f>
        <v>0</v>
      </c>
      <c r="Q83" s="382"/>
      <c r="R83" s="383"/>
      <c r="T83" s="119" t="str">
        <f t="shared" ca="1" si="5"/>
        <v/>
      </c>
      <c r="U83" s="172" t="str">
        <f t="shared" ca="1" si="6"/>
        <v/>
      </c>
      <c r="V83" s="173" t="str">
        <f ca="1">IF(AND($W83&gt;0,RegimeExecucao="Unitário"),$F83,"")</f>
        <v/>
      </c>
      <c r="W83" s="547">
        <f ca="1">IF($Y83&gt;0,CHOOSE(MATCH(RegimeExecucao,{"Unitário","Global"},0),IF($A83="S",$Y83/$X83,""),($Y83/$X83)*100),0)</f>
        <v>0</v>
      </c>
      <c r="X83" s="384" t="str">
        <f ca="1">IF($Y83&gt;0,CHOOSE(MATCH(RegimeExecucao,{"Unitário","Global"},0),IF($A83="S",ROUND($H83,ORÇAMENTO!$AF$10),""),ROUND($I83,ORÇAMENTO!$AF$11)),"")</f>
        <v/>
      </c>
      <c r="Y83" s="384">
        <f t="shared" ca="1" si="7"/>
        <v>0</v>
      </c>
      <c r="Z83" s="572"/>
      <c r="AB83" s="382"/>
      <c r="AC83" s="516"/>
      <c r="AD83" s="516"/>
      <c r="AE83" s="516"/>
      <c r="AF83" s="516"/>
      <c r="AG83" s="516"/>
      <c r="AH83" s="516"/>
      <c r="AI83" s="516"/>
      <c r="AJ83" s="516"/>
      <c r="AK83" s="516"/>
      <c r="AL83" s="516"/>
      <c r="AM83" s="383"/>
      <c r="AO83">
        <f ca="1">IF($A83="S",IF(BM!$I83=0,0,CHOOSE(MATCH(RegimeExecucao,{"Global","Unitário"},0),ROUND(ROUND(BM.MEDAcumulado,15-13*BM!$A$9)/100*BM!$I83,15-13*ORÇAMENTO!$AF$11),ROUND(ROUND(BM.MEDAcumulado,15-13*BM!$A$9)*ROUND(BM!$H83,15-13*ORÇAMENTO!$AF$10),15-13*ORÇAMENTO!$AF$11))),IF($A83=0,0,ROUND(SomaAgrupBM,15-13*ORÇAMENTO!$AF$11)))</f>
        <v>0</v>
      </c>
    </row>
    <row r="84" spans="1:41" ht="38.25" x14ac:dyDescent="0.2">
      <c r="A84" t="str">
        <f ca="1">ORÇAMENTO!C84</f>
        <v>S</v>
      </c>
      <c r="B84">
        <f ca="1">ORÇAMENTO!D84</f>
        <v>0</v>
      </c>
      <c r="C84" s="116" t="str">
        <f t="shared" ref="C84:C150" ca="1" si="8">IF(OR($I84&gt;0,$A84=1,$A84=2,$A84=3,$A84=4),"F","")</f>
        <v/>
      </c>
      <c r="D84" s="119" t="str">
        <f ca="1">ORÇAMENTO!O84</f>
        <v>-</v>
      </c>
      <c r="E84" s="172" t="str">
        <f t="shared" ref="E84:E150" ca="1" si="9">ORÇAMENTO.Descricao</f>
        <v>(abra o arquivo 'Referência 02-2025.xlsm)</v>
      </c>
      <c r="F84" s="173" t="str">
        <f ca="1">IF(RegimeExecucao="Global","",ORÇAMENTO.Unidade)</f>
        <v>-</v>
      </c>
      <c r="G84" s="124">
        <f ca="1">IF(RegimeExecucao="Global","",ORÇAMENTO!T84)</f>
        <v>713.59</v>
      </c>
      <c r="H84" s="124">
        <f ca="1">IF(RegimeExecucao="Global","",ORÇAMENTO!W84)</f>
        <v>0</v>
      </c>
      <c r="I84" s="127">
        <f ca="1">ORÇAMENTO!X84</f>
        <v>0</v>
      </c>
      <c r="J84" s="378">
        <f ca="1">IF($A84="S",IF(CAIXA.Modo,BM.AFAnterior,BM.MEDAnterior),IF(AND(RegimeExecucao="Global",$I84&gt;0,COUNTIF($AB$13:$AM$13,BM.medicao-1)&gt;0),M84/$I84*100,0))</f>
        <v>0</v>
      </c>
      <c r="K84" s="124">
        <f t="shared" ref="K84:K150" ca="1" si="10">L84-J84</f>
        <v>0</v>
      </c>
      <c r="L84" s="379">
        <f ca="1">IF($A84="S",IF(CAIXA.Modo,BM.AFAcumulado,BM.MEDAcumulado),IF(AND(RegimeExecucao="Global",$I84&gt;0,COUNTIF($AB$13:$AM$13,BM.medicao)&gt;0),O84/$I84*100,0))</f>
        <v>0</v>
      </c>
      <c r="M84" s="380">
        <f ca="1">IF($A84="S",VTOTALBM,IF($A84=0,0,ROUND(SomaAgrupBM,15-13*ORÇAMENTO!$AF$11)))</f>
        <v>0</v>
      </c>
      <c r="N84" s="381">
        <f t="shared" ref="N84:N150" ca="1" si="11">O84-M84</f>
        <v>0</v>
      </c>
      <c r="O84" s="127">
        <f ca="1">IF($A84="S",VTOTALBM,IF($A84=0,0,ROUND(SomaAgrupBM,15-13*ORÇAMENTO!$AF$11)))</f>
        <v>0</v>
      </c>
      <c r="Q84" s="382"/>
      <c r="R84" s="383"/>
      <c r="T84" s="119" t="str">
        <f t="shared" ref="T84:T150" ca="1" si="12">IF($W84&gt;0,$D84,"")</f>
        <v/>
      </c>
      <c r="U84" s="172" t="str">
        <f t="shared" ref="U84:U150" ca="1" si="13">IF($W84&gt;0,$E84,"")</f>
        <v/>
      </c>
      <c r="V84" s="173" t="str">
        <f ca="1">IF(AND($W84&gt;0,RegimeExecucao="Unitário"),$F84,"")</f>
        <v/>
      </c>
      <c r="W84" s="547">
        <f ca="1">IF($Y84&gt;0,CHOOSE(MATCH(RegimeExecucao,{"Unitário","Global"},0),IF($A84="S",$Y84/$X84,""),($Y84/$X84)*100),0)</f>
        <v>0</v>
      </c>
      <c r="X84" s="384" t="str">
        <f ca="1">IF($Y84&gt;0,CHOOSE(MATCH(RegimeExecucao,{"Unitário","Global"},0),IF($A84="S",ROUND($H84,ORÇAMENTO!$AF$10),""),ROUND($I84,ORÇAMENTO!$AF$11)),"")</f>
        <v/>
      </c>
      <c r="Y84" s="384">
        <f t="shared" ref="Y84:Y150" ca="1" si="14">AO84-O84</f>
        <v>0</v>
      </c>
      <c r="Z84" s="572"/>
      <c r="AB84" s="382"/>
      <c r="AC84" s="516"/>
      <c r="AD84" s="516"/>
      <c r="AE84" s="516"/>
      <c r="AF84" s="516"/>
      <c r="AG84" s="516"/>
      <c r="AH84" s="516"/>
      <c r="AI84" s="516"/>
      <c r="AJ84" s="516"/>
      <c r="AK84" s="516"/>
      <c r="AL84" s="516"/>
      <c r="AM84" s="383"/>
      <c r="AO84">
        <f ca="1">IF($A84="S",IF(BM!$I84=0,0,CHOOSE(MATCH(RegimeExecucao,{"Global","Unitário"},0),ROUND(ROUND(BM.MEDAcumulado,15-13*BM!$A$9)/100*BM!$I84,15-13*ORÇAMENTO!$AF$11),ROUND(ROUND(BM.MEDAcumulado,15-13*BM!$A$9)*ROUND(BM!$H84,15-13*ORÇAMENTO!$AF$10),15-13*ORÇAMENTO!$AF$11))),IF($A84=0,0,ROUND(SomaAgrupBM,15-13*ORÇAMENTO!$AF$11)))</f>
        <v>0</v>
      </c>
    </row>
    <row r="85" spans="1:41" ht="38.25" x14ac:dyDescent="0.2">
      <c r="A85" t="str">
        <f ca="1">ORÇAMENTO!C85</f>
        <v>S</v>
      </c>
      <c r="B85">
        <f ca="1">ORÇAMENTO!D85</f>
        <v>0</v>
      </c>
      <c r="C85" s="116" t="str">
        <f ca="1">IF(OR($I85&gt;0,$A85=1,$A85=2,$A85=3,$A85=4),"F","")</f>
        <v/>
      </c>
      <c r="D85" s="119" t="str">
        <f ca="1">ORÇAMENTO!O85</f>
        <v>-</v>
      </c>
      <c r="E85" s="172" t="str">
        <f ca="1">ORÇAMENTO.Descricao</f>
        <v>(abra o arquivo 'Referência 02-2025.xlsm)</v>
      </c>
      <c r="F85" s="173" t="str">
        <f ca="1">IF(RegimeExecucao="Global","",ORÇAMENTO.Unidade)</f>
        <v>-</v>
      </c>
      <c r="G85" s="124">
        <f ca="1">IF(RegimeExecucao="Global","",ORÇAMENTO!T85)</f>
        <v>46.77</v>
      </c>
      <c r="H85" s="124">
        <f ca="1">IF(RegimeExecucao="Global","",ORÇAMENTO!W85)</f>
        <v>0</v>
      </c>
      <c r="I85" s="127">
        <f ca="1">ORÇAMENTO!X85</f>
        <v>0</v>
      </c>
      <c r="J85" s="378">
        <f ca="1">IF($A85="S",IF(CAIXA.Modo,BM.AFAnterior,BM.MEDAnterior),IF(AND(RegimeExecucao="Global",$I85&gt;0,COUNTIF($AB$13:$AM$13,BM.medicao-1)&gt;0),M85/$I85*100,0))</f>
        <v>0</v>
      </c>
      <c r="K85" s="124">
        <f ca="1">L85-J85</f>
        <v>0</v>
      </c>
      <c r="L85" s="379">
        <f ca="1">IF($A85="S",IF(CAIXA.Modo,BM.AFAcumulado,BM.MEDAcumulado),IF(AND(RegimeExecucao="Global",$I85&gt;0,COUNTIF($AB$13:$AM$13,BM.medicao)&gt;0),O85/$I85*100,0))</f>
        <v>0</v>
      </c>
      <c r="M85" s="380">
        <f ca="1">IF($A85="S",VTOTALBM,IF($A85=0,0,ROUND(SomaAgrupBM,15-13*ORÇAMENTO!$AF$11)))</f>
        <v>0</v>
      </c>
      <c r="N85" s="381">
        <f ca="1">O85-M85</f>
        <v>0</v>
      </c>
      <c r="O85" s="127">
        <f ca="1">IF($A85="S",VTOTALBM,IF($A85=0,0,ROUND(SomaAgrupBM,15-13*ORÇAMENTO!$AF$11)))</f>
        <v>0</v>
      </c>
      <c r="Q85" s="382"/>
      <c r="R85" s="383"/>
      <c r="T85" s="119" t="str">
        <f ca="1">IF($W85&gt;0,$D85,"")</f>
        <v/>
      </c>
      <c r="U85" s="172" t="str">
        <f ca="1">IF($W85&gt;0,$E85,"")</f>
        <v/>
      </c>
      <c r="V85" s="173" t="str">
        <f ca="1">IF(AND($W85&gt;0,RegimeExecucao="Unitário"),$F85,"")</f>
        <v/>
      </c>
      <c r="W85" s="547">
        <f ca="1">IF($Y85&gt;0,CHOOSE(MATCH(RegimeExecucao,{"Unitário","Global"},0),IF($A85="S",$Y85/$X85,""),($Y85/$X85)*100),0)</f>
        <v>0</v>
      </c>
      <c r="X85" s="384" t="str">
        <f ca="1">IF($Y85&gt;0,CHOOSE(MATCH(RegimeExecucao,{"Unitário","Global"},0),IF($A85="S",ROUND($H85,ORÇAMENTO!$AF$10),""),ROUND($I85,ORÇAMENTO!$AF$11)),"")</f>
        <v/>
      </c>
      <c r="Y85" s="384">
        <f ca="1">AO85-O85</f>
        <v>0</v>
      </c>
      <c r="Z85" s="572"/>
      <c r="AB85" s="382"/>
      <c r="AC85" s="516"/>
      <c r="AD85" s="516"/>
      <c r="AE85" s="516"/>
      <c r="AF85" s="516"/>
      <c r="AG85" s="516"/>
      <c r="AH85" s="516"/>
      <c r="AI85" s="516"/>
      <c r="AJ85" s="516"/>
      <c r="AK85" s="516"/>
      <c r="AL85" s="516"/>
      <c r="AM85" s="383"/>
      <c r="AO85">
        <f ca="1">IF($A85="S",IF(BM!$I85=0,0,CHOOSE(MATCH(RegimeExecucao,{"Global","Unitário"},0),ROUND(ROUND(BM.MEDAcumulado,15-13*BM!$A$9)/100*BM!$I85,15-13*ORÇAMENTO!$AF$11),ROUND(ROUND(BM.MEDAcumulado,15-13*BM!$A$9)*ROUND(BM!$H85,15-13*ORÇAMENTO!$AF$10),15-13*ORÇAMENTO!$AF$11))),IF($A85=0,0,ROUND(SomaAgrupBM,15-13*ORÇAMENTO!$AF$11)))</f>
        <v>0</v>
      </c>
    </row>
    <row r="86" spans="1:41" x14ac:dyDescent="0.2">
      <c r="A86">
        <f ca="1">ORÇAMENTO!C86</f>
        <v>3</v>
      </c>
      <c r="B86">
        <f ca="1">ORÇAMENTO!D86</f>
        <v>9</v>
      </c>
      <c r="C86" s="116" t="str">
        <f t="shared" ca="1" si="8"/>
        <v>F</v>
      </c>
      <c r="D86" s="119" t="str">
        <f ca="1">ORÇAMENTO!O86</f>
        <v>1.4.4.</v>
      </c>
      <c r="E86" s="172" t="str">
        <f t="shared" ca="1" si="9"/>
        <v>CONCRETO ARMADO - LAJE</v>
      </c>
      <c r="F86" s="173" t="str">
        <f ca="1">IF(RegimeExecucao="Global","",ORÇAMENTO.Unidade)</f>
        <v>-</v>
      </c>
      <c r="G86" s="124">
        <f ca="1">IF(RegimeExecucao="Global","",ORÇAMENTO!T86)</f>
        <v>0</v>
      </c>
      <c r="H86" s="124">
        <f ca="1">IF(RegimeExecucao="Global","",ORÇAMENTO!W86)</f>
        <v>0</v>
      </c>
      <c r="I86" s="127">
        <f ca="1">ORÇAMENTO!X86</f>
        <v>0</v>
      </c>
      <c r="J86" s="378">
        <f ca="1">IF($A86="S",IF(CAIXA.Modo,BM.AFAnterior,BM.MEDAnterior),IF(AND(RegimeExecucao="Global",$I86&gt;0,COUNTIF($AB$13:$AM$13,BM.medicao-1)&gt;0),M86/$I86*100,0))</f>
        <v>0</v>
      </c>
      <c r="K86" s="124">
        <f t="shared" ca="1" si="10"/>
        <v>0</v>
      </c>
      <c r="L86" s="379">
        <f ca="1">IF($A86="S",IF(CAIXA.Modo,BM.AFAcumulado,BM.MEDAcumulado),IF(AND(RegimeExecucao="Global",$I86&gt;0,COUNTIF($AB$13:$AM$13,BM.medicao)&gt;0),O86/$I86*100,0))</f>
        <v>0</v>
      </c>
      <c r="M86" s="380">
        <f ca="1">IF($A86="S",VTOTALBM,IF($A86=0,0,ROUND(SomaAgrupBM,15-13*ORÇAMENTO!$AF$11)))</f>
        <v>0</v>
      </c>
      <c r="N86" s="381">
        <f t="shared" ca="1" si="11"/>
        <v>0</v>
      </c>
      <c r="O86" s="127">
        <f ca="1">IF($A86="S",VTOTALBM,IF($A86=0,0,ROUND(SomaAgrupBM,15-13*ORÇAMENTO!$AF$11)))</f>
        <v>0</v>
      </c>
      <c r="Q86" s="382"/>
      <c r="R86" s="383"/>
      <c r="T86" s="119" t="str">
        <f t="shared" ca="1" si="12"/>
        <v/>
      </c>
      <c r="U86" s="172" t="str">
        <f t="shared" ca="1" si="13"/>
        <v/>
      </c>
      <c r="V86" s="173" t="str">
        <f ca="1">IF(AND($W86&gt;0,RegimeExecucao="Unitário"),$F86,"")</f>
        <v/>
      </c>
      <c r="W86" s="547">
        <f ca="1">IF($Y86&gt;0,CHOOSE(MATCH(RegimeExecucao,{"Unitário","Global"},0),IF($A86="S",$Y86/$X86,""),($Y86/$X86)*100),0)</f>
        <v>0</v>
      </c>
      <c r="X86" s="384" t="str">
        <f ca="1">IF($Y86&gt;0,CHOOSE(MATCH(RegimeExecucao,{"Unitário","Global"},0),IF($A86="S",ROUND($H86,ORÇAMENTO!$AF$10),""),ROUND($I86,ORÇAMENTO!$AF$11)),"")</f>
        <v/>
      </c>
      <c r="Y86" s="384">
        <f t="shared" ca="1" si="14"/>
        <v>0</v>
      </c>
      <c r="Z86" s="572"/>
      <c r="AB86" s="382"/>
      <c r="AC86" s="516"/>
      <c r="AD86" s="516"/>
      <c r="AE86" s="516"/>
      <c r="AF86" s="516"/>
      <c r="AG86" s="516"/>
      <c r="AH86" s="516"/>
      <c r="AI86" s="516"/>
      <c r="AJ86" s="516"/>
      <c r="AK86" s="516"/>
      <c r="AL86" s="516"/>
      <c r="AM86" s="383"/>
      <c r="AO86">
        <f ca="1">IF($A86="S",IF(BM!$I86=0,0,CHOOSE(MATCH(RegimeExecucao,{"Global","Unitário"},0),ROUND(ROUND(BM.MEDAcumulado,15-13*BM!$A$9)/100*BM!$I86,15-13*ORÇAMENTO!$AF$11),ROUND(ROUND(BM.MEDAcumulado,15-13*BM!$A$9)*ROUND(BM!$H86,15-13*ORÇAMENTO!$AF$10),15-13*ORÇAMENTO!$AF$11))),IF($A86=0,0,ROUND(SomaAgrupBM,15-13*ORÇAMENTO!$AF$11)))</f>
        <v>0</v>
      </c>
    </row>
    <row r="87" spans="1:41" x14ac:dyDescent="0.2">
      <c r="A87">
        <f ca="1">ORÇAMENTO!C87</f>
        <v>4</v>
      </c>
      <c r="B87">
        <f ca="1">ORÇAMENTO!D87</f>
        <v>8</v>
      </c>
      <c r="C87" s="116" t="str">
        <f ca="1">IF(OR($I87&gt;0,$A87=1,$A87=2,$A87=3,$A87=4),"F","")</f>
        <v>F</v>
      </c>
      <c r="D87" s="119" t="str">
        <f ca="1">ORÇAMENTO!O87</f>
        <v>1.4.4.1.</v>
      </c>
      <c r="E87" s="172" t="str">
        <f>ORÇAMENTO.Descricao</f>
        <v>LAJE DE PISO - CASA MÁQUINAS E MASTRO</v>
      </c>
      <c r="F87" s="173" t="str">
        <f ca="1">IF(RegimeExecucao="Global","",ORÇAMENTO.Unidade)</f>
        <v>-</v>
      </c>
      <c r="G87" s="124">
        <f ca="1">IF(RegimeExecucao="Global","",ORÇAMENTO!T87)</f>
        <v>0</v>
      </c>
      <c r="H87" s="124">
        <f ca="1">IF(RegimeExecucao="Global","",ORÇAMENTO!W87)</f>
        <v>0</v>
      </c>
      <c r="I87" s="127">
        <f ca="1">ORÇAMENTO!X87</f>
        <v>0</v>
      </c>
      <c r="J87" s="378">
        <f ca="1">IF($A87="S",IF(CAIXA.Modo,BM.AFAnterior,BM.MEDAnterior),IF(AND(RegimeExecucao="Global",$I87&gt;0,COUNTIF($AB$13:$AM$13,BM.medicao-1)&gt;0),M87/$I87*100,0))</f>
        <v>0</v>
      </c>
      <c r="K87" s="124">
        <f ca="1">L87-J87</f>
        <v>0</v>
      </c>
      <c r="L87" s="379">
        <f ca="1">IF($A87="S",IF(CAIXA.Modo,BM.AFAcumulado,BM.MEDAcumulado),IF(AND(RegimeExecucao="Global",$I87&gt;0,COUNTIF($AB$13:$AM$13,BM.medicao)&gt;0),O87/$I87*100,0))</f>
        <v>0</v>
      </c>
      <c r="M87" s="380">
        <f ca="1">IF($A87="S",VTOTALBM,IF($A87=0,0,ROUND(SomaAgrupBM,15-13*ORÇAMENTO!$AF$11)))</f>
        <v>0</v>
      </c>
      <c r="N87" s="381">
        <f ca="1">O87-M87</f>
        <v>0</v>
      </c>
      <c r="O87" s="127">
        <f ca="1">IF($A87="S",VTOTALBM,IF($A87=0,0,ROUND(SomaAgrupBM,15-13*ORÇAMENTO!$AF$11)))</f>
        <v>0</v>
      </c>
      <c r="Q87" s="382"/>
      <c r="R87" s="383"/>
      <c r="T87" s="119" t="str">
        <f ca="1">IF($W87&gt;0,$D87,"")</f>
        <v/>
      </c>
      <c r="U87" s="172" t="str">
        <f ca="1">IF($W87&gt;0,$E87,"")</f>
        <v/>
      </c>
      <c r="V87" s="173" t="str">
        <f ca="1">IF(AND($W87&gt;0,RegimeExecucao="Unitário"),$F87,"")</f>
        <v/>
      </c>
      <c r="W87" s="547">
        <f ca="1">IF($Y87&gt;0,CHOOSE(MATCH(RegimeExecucao,{"Unitário","Global"},0),IF($A87="S",$Y87/$X87,""),($Y87/$X87)*100),0)</f>
        <v>0</v>
      </c>
      <c r="X87" s="384" t="str">
        <f ca="1">IF($Y87&gt;0,CHOOSE(MATCH(RegimeExecucao,{"Unitário","Global"},0),IF($A87="S",ROUND($H87,ORÇAMENTO!$AF$10),""),ROUND($I87,ORÇAMENTO!$AF$11)),"")</f>
        <v/>
      </c>
      <c r="Y87" s="384">
        <f ca="1">AO87-O87</f>
        <v>0</v>
      </c>
      <c r="Z87" s="572"/>
      <c r="AB87" s="382"/>
      <c r="AC87" s="516"/>
      <c r="AD87" s="516"/>
      <c r="AE87" s="516"/>
      <c r="AF87" s="516"/>
      <c r="AG87" s="516"/>
      <c r="AH87" s="516"/>
      <c r="AI87" s="516"/>
      <c r="AJ87" s="516"/>
      <c r="AK87" s="516"/>
      <c r="AL87" s="516"/>
      <c r="AM87" s="383"/>
      <c r="AO87">
        <f ca="1">IF($A87="S",IF(BM!$I87=0,0,CHOOSE(MATCH(RegimeExecucao,{"Global","Unitário"},0),ROUND(ROUND(BM.MEDAcumulado,15-13*BM!$A$9)/100*BM!$I87,15-13*ORÇAMENTO!$AF$11),ROUND(ROUND(BM.MEDAcumulado,15-13*BM!$A$9)*ROUND(BM!$H87,15-13*ORÇAMENTO!$AF$10),15-13*ORÇAMENTO!$AF$11))),IF($A87=0,0,ROUND(SomaAgrupBM,15-13*ORÇAMENTO!$AF$11)))</f>
        <v>0</v>
      </c>
    </row>
    <row r="88" spans="1:41" ht="38.25" x14ac:dyDescent="0.2">
      <c r="A88" t="str">
        <f ca="1">ORÇAMENTO!C88</f>
        <v>S</v>
      </c>
      <c r="B88">
        <f ca="1">ORÇAMENTO!D88</f>
        <v>0</v>
      </c>
      <c r="C88" s="116" t="str">
        <f t="shared" ca="1" si="8"/>
        <v/>
      </c>
      <c r="D88" s="119" t="str">
        <f ca="1">ORÇAMENTO!O88</f>
        <v>-</v>
      </c>
      <c r="E88" s="172" t="str">
        <f t="shared" ca="1" si="9"/>
        <v>(abra o arquivo 'Referência 02-2025.xlsm)</v>
      </c>
      <c r="F88" s="173" t="str">
        <f ca="1">IF(RegimeExecucao="Global","",ORÇAMENTO.Unidade)</f>
        <v>-</v>
      </c>
      <c r="G88" s="124">
        <f ca="1">IF(RegimeExecucao="Global","",ORÇAMENTO!T88)</f>
        <v>12.94</v>
      </c>
      <c r="H88" s="124">
        <f ca="1">IF(RegimeExecucao="Global","",ORÇAMENTO!W88)</f>
        <v>0</v>
      </c>
      <c r="I88" s="127">
        <f ca="1">ORÇAMENTO!X88</f>
        <v>0</v>
      </c>
      <c r="J88" s="378">
        <f ca="1">IF($A88="S",IF(CAIXA.Modo,BM.AFAnterior,BM.MEDAnterior),IF(AND(RegimeExecucao="Global",$I88&gt;0,COUNTIF($AB$13:$AM$13,BM.medicao-1)&gt;0),M88/$I88*100,0))</f>
        <v>0</v>
      </c>
      <c r="K88" s="124">
        <f t="shared" ca="1" si="10"/>
        <v>0</v>
      </c>
      <c r="L88" s="379">
        <f ca="1">IF($A88="S",IF(CAIXA.Modo,BM.AFAcumulado,BM.MEDAcumulado),IF(AND(RegimeExecucao="Global",$I88&gt;0,COUNTIF($AB$13:$AM$13,BM.medicao)&gt;0),O88/$I88*100,0))</f>
        <v>0</v>
      </c>
      <c r="M88" s="380">
        <f ca="1">IF($A88="S",VTOTALBM,IF($A88=0,0,ROUND(SomaAgrupBM,15-13*ORÇAMENTO!$AF$11)))</f>
        <v>0</v>
      </c>
      <c r="N88" s="381">
        <f t="shared" ca="1" si="11"/>
        <v>0</v>
      </c>
      <c r="O88" s="127">
        <f ca="1">IF($A88="S",VTOTALBM,IF($A88=0,0,ROUND(SomaAgrupBM,15-13*ORÇAMENTO!$AF$11)))</f>
        <v>0</v>
      </c>
      <c r="Q88" s="382"/>
      <c r="R88" s="383"/>
      <c r="T88" s="119" t="str">
        <f t="shared" ca="1" si="12"/>
        <v/>
      </c>
      <c r="U88" s="172" t="str">
        <f t="shared" ca="1" si="13"/>
        <v/>
      </c>
      <c r="V88" s="173" t="str">
        <f ca="1">IF(AND($W88&gt;0,RegimeExecucao="Unitário"),$F88,"")</f>
        <v/>
      </c>
      <c r="W88" s="547">
        <f ca="1">IF($Y88&gt;0,CHOOSE(MATCH(RegimeExecucao,{"Unitário","Global"},0),IF($A88="S",$Y88/$X88,""),($Y88/$X88)*100),0)</f>
        <v>0</v>
      </c>
      <c r="X88" s="384" t="str">
        <f ca="1">IF($Y88&gt;0,CHOOSE(MATCH(RegimeExecucao,{"Unitário","Global"},0),IF($A88="S",ROUND($H88,ORÇAMENTO!$AF$10),""),ROUND($I88,ORÇAMENTO!$AF$11)),"")</f>
        <v/>
      </c>
      <c r="Y88" s="384">
        <f t="shared" ca="1" si="14"/>
        <v>0</v>
      </c>
      <c r="Z88" s="572"/>
      <c r="AB88" s="382"/>
      <c r="AC88" s="516"/>
      <c r="AD88" s="516"/>
      <c r="AE88" s="516"/>
      <c r="AF88" s="516"/>
      <c r="AG88" s="516"/>
      <c r="AH88" s="516"/>
      <c r="AI88" s="516"/>
      <c r="AJ88" s="516"/>
      <c r="AK88" s="516"/>
      <c r="AL88" s="516"/>
      <c r="AM88" s="383"/>
      <c r="AO88">
        <f ca="1">IF($A88="S",IF(BM!$I88=0,0,CHOOSE(MATCH(RegimeExecucao,{"Global","Unitário"},0),ROUND(ROUND(BM.MEDAcumulado,15-13*BM!$A$9)/100*BM!$I88,15-13*ORÇAMENTO!$AF$11),ROUND(ROUND(BM.MEDAcumulado,15-13*BM!$A$9)*ROUND(BM!$H88,15-13*ORÇAMENTO!$AF$10),15-13*ORÇAMENTO!$AF$11))),IF($A88=0,0,ROUND(SomaAgrupBM,15-13*ORÇAMENTO!$AF$11)))</f>
        <v>0</v>
      </c>
    </row>
    <row r="89" spans="1:41" ht="38.25" x14ac:dyDescent="0.2">
      <c r="A89" t="str">
        <f ca="1">ORÇAMENTO!C89</f>
        <v>S</v>
      </c>
      <c r="B89">
        <f ca="1">ORÇAMENTO!D89</f>
        <v>0</v>
      </c>
      <c r="C89" s="116" t="str">
        <f t="shared" ca="1" si="8"/>
        <v/>
      </c>
      <c r="D89" s="119" t="str">
        <f ca="1">ORÇAMENTO!O89</f>
        <v>-</v>
      </c>
      <c r="E89" s="172" t="str">
        <f t="shared" ca="1" si="9"/>
        <v>(abra o arquivo 'Referência 02-2025.xlsm)</v>
      </c>
      <c r="F89" s="173" t="str">
        <f ca="1">IF(RegimeExecucao="Global","",ORÇAMENTO.Unidade)</f>
        <v>-</v>
      </c>
      <c r="G89" s="124">
        <f ca="1">IF(RegimeExecucao="Global","",ORÇAMENTO!T89)</f>
        <v>0.65</v>
      </c>
      <c r="H89" s="124">
        <f ca="1">IF(RegimeExecucao="Global","",ORÇAMENTO!W89)</f>
        <v>0</v>
      </c>
      <c r="I89" s="127">
        <f ca="1">ORÇAMENTO!X89</f>
        <v>0</v>
      </c>
      <c r="J89" s="378">
        <f ca="1">IF($A89="S",IF(CAIXA.Modo,BM.AFAnterior,BM.MEDAnterior),IF(AND(RegimeExecucao="Global",$I89&gt;0,COUNTIF($AB$13:$AM$13,BM.medicao-1)&gt;0),M89/$I89*100,0))</f>
        <v>0</v>
      </c>
      <c r="K89" s="124">
        <f t="shared" ca="1" si="10"/>
        <v>0</v>
      </c>
      <c r="L89" s="379">
        <f ca="1">IF($A89="S",IF(CAIXA.Modo,BM.AFAcumulado,BM.MEDAcumulado),IF(AND(RegimeExecucao="Global",$I89&gt;0,COUNTIF($AB$13:$AM$13,BM.medicao)&gt;0),O89/$I89*100,0))</f>
        <v>0</v>
      </c>
      <c r="M89" s="380">
        <f ca="1">IF($A89="S",VTOTALBM,IF($A89=0,0,ROUND(SomaAgrupBM,15-13*ORÇAMENTO!$AF$11)))</f>
        <v>0</v>
      </c>
      <c r="N89" s="381">
        <f t="shared" ca="1" si="11"/>
        <v>0</v>
      </c>
      <c r="O89" s="127">
        <f ca="1">IF($A89="S",VTOTALBM,IF($A89=0,0,ROUND(SomaAgrupBM,15-13*ORÇAMENTO!$AF$11)))</f>
        <v>0</v>
      </c>
      <c r="Q89" s="382"/>
      <c r="R89" s="383"/>
      <c r="T89" s="119" t="str">
        <f t="shared" ca="1" si="12"/>
        <v/>
      </c>
      <c r="U89" s="172" t="str">
        <f t="shared" ca="1" si="13"/>
        <v/>
      </c>
      <c r="V89" s="173" t="str">
        <f ca="1">IF(AND($W89&gt;0,RegimeExecucao="Unitário"),$F89,"")</f>
        <v/>
      </c>
      <c r="W89" s="547">
        <f ca="1">IF($Y89&gt;0,CHOOSE(MATCH(RegimeExecucao,{"Unitário","Global"},0),IF($A89="S",$Y89/$X89,""),($Y89/$X89)*100),0)</f>
        <v>0</v>
      </c>
      <c r="X89" s="384" t="str">
        <f ca="1">IF($Y89&gt;0,CHOOSE(MATCH(RegimeExecucao,{"Unitário","Global"},0),IF($A89="S",ROUND($H89,ORÇAMENTO!$AF$10),""),ROUND($I89,ORÇAMENTO!$AF$11)),"")</f>
        <v/>
      </c>
      <c r="Y89" s="384">
        <f t="shared" ca="1" si="14"/>
        <v>0</v>
      </c>
      <c r="Z89" s="572"/>
      <c r="AB89" s="382"/>
      <c r="AC89" s="516"/>
      <c r="AD89" s="516"/>
      <c r="AE89" s="516"/>
      <c r="AF89" s="516"/>
      <c r="AG89" s="516"/>
      <c r="AH89" s="516"/>
      <c r="AI89" s="516"/>
      <c r="AJ89" s="516"/>
      <c r="AK89" s="516"/>
      <c r="AL89" s="516"/>
      <c r="AM89" s="383"/>
      <c r="AO89">
        <f ca="1">IF($A89="S",IF(BM!$I89=0,0,CHOOSE(MATCH(RegimeExecucao,{"Global","Unitário"},0),ROUND(ROUND(BM.MEDAcumulado,15-13*BM!$A$9)/100*BM!$I89,15-13*ORÇAMENTO!$AF$11),ROUND(ROUND(BM.MEDAcumulado,15-13*BM!$A$9)*ROUND(BM!$H89,15-13*ORÇAMENTO!$AF$10),15-13*ORÇAMENTO!$AF$11))),IF($A89=0,0,ROUND(SomaAgrupBM,15-13*ORÇAMENTO!$AF$11)))</f>
        <v>0</v>
      </c>
    </row>
    <row r="90" spans="1:41" ht="25.5" x14ac:dyDescent="0.2">
      <c r="A90" t="str">
        <f ca="1">ORÇAMENTO!C90</f>
        <v>S</v>
      </c>
      <c r="B90">
        <f ca="1">ORÇAMENTO!D90</f>
        <v>0</v>
      </c>
      <c r="C90" s="116" t="str">
        <f t="shared" ca="1" si="8"/>
        <v/>
      </c>
      <c r="D90" s="119" t="str">
        <f ca="1">ORÇAMENTO!O90</f>
        <v>-</v>
      </c>
      <c r="E90" s="172" t="str">
        <f t="shared" ca="1" si="9"/>
        <v>(abra o arquivo 'Referência 02-2025.xlsm)</v>
      </c>
      <c r="F90" s="173" t="str">
        <f ca="1">IF(RegimeExecucao="Global","",ORÇAMENTO.Unidade)</f>
        <v>-</v>
      </c>
      <c r="G90" s="124">
        <f ca="1">IF(RegimeExecucao="Global","",ORÇAMENTO!T90)</f>
        <v>12.94</v>
      </c>
      <c r="H90" s="124">
        <f ca="1">IF(RegimeExecucao="Global","",ORÇAMENTO!W90)</f>
        <v>0</v>
      </c>
      <c r="I90" s="127">
        <f ca="1">ORÇAMENTO!X90</f>
        <v>0</v>
      </c>
      <c r="J90" s="378">
        <f ca="1">IF($A90="S",IF(CAIXA.Modo,BM.AFAnterior,BM.MEDAnterior),IF(AND(RegimeExecucao="Global",$I90&gt;0,COUNTIF($AB$13:$AM$13,BM.medicao-1)&gt;0),M90/$I90*100,0))</f>
        <v>0</v>
      </c>
      <c r="K90" s="124">
        <f t="shared" ca="1" si="10"/>
        <v>0</v>
      </c>
      <c r="L90" s="379">
        <f ca="1">IF($A90="S",IF(CAIXA.Modo,BM.AFAcumulado,BM.MEDAcumulado),IF(AND(RegimeExecucao="Global",$I90&gt;0,COUNTIF($AB$13:$AM$13,BM.medicao)&gt;0),O90/$I90*100,0))</f>
        <v>0</v>
      </c>
      <c r="M90" s="380">
        <f ca="1">IF($A90="S",VTOTALBM,IF($A90=0,0,ROUND(SomaAgrupBM,15-13*ORÇAMENTO!$AF$11)))</f>
        <v>0</v>
      </c>
      <c r="N90" s="381">
        <f t="shared" ca="1" si="11"/>
        <v>0</v>
      </c>
      <c r="O90" s="127">
        <f ca="1">IF($A90="S",VTOTALBM,IF($A90=0,0,ROUND(SomaAgrupBM,15-13*ORÇAMENTO!$AF$11)))</f>
        <v>0</v>
      </c>
      <c r="Q90" s="382"/>
      <c r="R90" s="383"/>
      <c r="T90" s="119" t="str">
        <f t="shared" ca="1" si="12"/>
        <v/>
      </c>
      <c r="U90" s="172" t="str">
        <f t="shared" ca="1" si="13"/>
        <v/>
      </c>
      <c r="V90" s="173" t="str">
        <f ca="1">IF(AND($W90&gt;0,RegimeExecucao="Unitário"),$F90,"")</f>
        <v/>
      </c>
      <c r="W90" s="547">
        <f ca="1">IF($Y90&gt;0,CHOOSE(MATCH(RegimeExecucao,{"Unitário","Global"},0),IF($A90="S",$Y90/$X90,""),($Y90/$X90)*100),0)</f>
        <v>0</v>
      </c>
      <c r="X90" s="384" t="str">
        <f ca="1">IF($Y90&gt;0,CHOOSE(MATCH(RegimeExecucao,{"Unitário","Global"},0),IF($A90="S",ROUND($H90,ORÇAMENTO!$AF$10),""),ROUND($I90,ORÇAMENTO!$AF$11)),"")</f>
        <v/>
      </c>
      <c r="Y90" s="384">
        <f t="shared" ca="1" si="14"/>
        <v>0</v>
      </c>
      <c r="Z90" s="572"/>
      <c r="AB90" s="382"/>
      <c r="AC90" s="516"/>
      <c r="AD90" s="516"/>
      <c r="AE90" s="516"/>
      <c r="AF90" s="516"/>
      <c r="AG90" s="516"/>
      <c r="AH90" s="516"/>
      <c r="AI90" s="516"/>
      <c r="AJ90" s="516"/>
      <c r="AK90" s="516"/>
      <c r="AL90" s="516"/>
      <c r="AM90" s="383"/>
      <c r="AO90">
        <f ca="1">IF($A90="S",IF(BM!$I90=0,0,CHOOSE(MATCH(RegimeExecucao,{"Global","Unitário"},0),ROUND(ROUND(BM.MEDAcumulado,15-13*BM!$A$9)/100*BM!$I90,15-13*ORÇAMENTO!$AF$11),ROUND(ROUND(BM.MEDAcumulado,15-13*BM!$A$9)*ROUND(BM!$H90,15-13*ORÇAMENTO!$AF$10),15-13*ORÇAMENTO!$AF$11))),IF($A90=0,0,ROUND(SomaAgrupBM,15-13*ORÇAMENTO!$AF$11)))</f>
        <v>0</v>
      </c>
    </row>
    <row r="91" spans="1:41" ht="38.25" x14ac:dyDescent="0.2">
      <c r="A91" t="str">
        <f ca="1">ORÇAMENTO!C91</f>
        <v>S</v>
      </c>
      <c r="B91">
        <f ca="1">ORÇAMENTO!D91</f>
        <v>0</v>
      </c>
      <c r="C91" s="116" t="str">
        <f t="shared" ca="1" si="8"/>
        <v/>
      </c>
      <c r="D91" s="119" t="str">
        <f ca="1">ORÇAMENTO!O91</f>
        <v>-</v>
      </c>
      <c r="E91" s="172" t="str">
        <f t="shared" ca="1" si="9"/>
        <v>(abra o arquivo 'Referência 02-2025.xlsm)</v>
      </c>
      <c r="F91" s="173" t="str">
        <f ca="1">IF(RegimeExecucao="Global","",ORÇAMENTO.Unidade)</f>
        <v>-</v>
      </c>
      <c r="G91" s="124">
        <f ca="1">IF(RegimeExecucao="Global","",ORÇAMENTO!T91)</f>
        <v>3.3</v>
      </c>
      <c r="H91" s="124">
        <f ca="1">IF(RegimeExecucao="Global","",ORÇAMENTO!W91)</f>
        <v>0</v>
      </c>
      <c r="I91" s="127">
        <f ca="1">ORÇAMENTO!X91</f>
        <v>0</v>
      </c>
      <c r="J91" s="378">
        <f ca="1">IF($A91="S",IF(CAIXA.Modo,BM.AFAnterior,BM.MEDAnterior),IF(AND(RegimeExecucao="Global",$I91&gt;0,COUNTIF($AB$13:$AM$13,BM.medicao-1)&gt;0),M91/$I91*100,0))</f>
        <v>0</v>
      </c>
      <c r="K91" s="124">
        <f t="shared" ca="1" si="10"/>
        <v>0</v>
      </c>
      <c r="L91" s="379">
        <f ca="1">IF($A91="S",IF(CAIXA.Modo,BM.AFAcumulado,BM.MEDAcumulado),IF(AND(RegimeExecucao="Global",$I91&gt;0,COUNTIF($AB$13:$AM$13,BM.medicao)&gt;0),O91/$I91*100,0))</f>
        <v>0</v>
      </c>
      <c r="M91" s="380">
        <f ca="1">IF($A91="S",VTOTALBM,IF($A91=0,0,ROUND(SomaAgrupBM,15-13*ORÇAMENTO!$AF$11)))</f>
        <v>0</v>
      </c>
      <c r="N91" s="381">
        <f t="shared" ca="1" si="11"/>
        <v>0</v>
      </c>
      <c r="O91" s="127">
        <f ca="1">IF($A91="S",VTOTALBM,IF($A91=0,0,ROUND(SomaAgrupBM,15-13*ORÇAMENTO!$AF$11)))</f>
        <v>0</v>
      </c>
      <c r="Q91" s="382"/>
      <c r="R91" s="383"/>
      <c r="T91" s="119" t="str">
        <f t="shared" ca="1" si="12"/>
        <v/>
      </c>
      <c r="U91" s="172" t="str">
        <f t="shared" ca="1" si="13"/>
        <v/>
      </c>
      <c r="V91" s="173" t="str">
        <f ca="1">IF(AND($W91&gt;0,RegimeExecucao="Unitário"),$F91,"")</f>
        <v/>
      </c>
      <c r="W91" s="547">
        <f ca="1">IF($Y91&gt;0,CHOOSE(MATCH(RegimeExecucao,{"Unitário","Global"},0),IF($A91="S",$Y91/$X91,""),($Y91/$X91)*100),0)</f>
        <v>0</v>
      </c>
      <c r="X91" s="384" t="str">
        <f ca="1">IF($Y91&gt;0,CHOOSE(MATCH(RegimeExecucao,{"Unitário","Global"},0),IF($A91="S",ROUND($H91,ORÇAMENTO!$AF$10),""),ROUND($I91,ORÇAMENTO!$AF$11)),"")</f>
        <v/>
      </c>
      <c r="Y91" s="384">
        <f t="shared" ca="1" si="14"/>
        <v>0</v>
      </c>
      <c r="Z91" s="572"/>
      <c r="AB91" s="382"/>
      <c r="AC91" s="516"/>
      <c r="AD91" s="516"/>
      <c r="AE91" s="516"/>
      <c r="AF91" s="516"/>
      <c r="AG91" s="516"/>
      <c r="AH91" s="516"/>
      <c r="AI91" s="516"/>
      <c r="AJ91" s="516"/>
      <c r="AK91" s="516"/>
      <c r="AL91" s="516"/>
      <c r="AM91" s="383"/>
      <c r="AO91">
        <f ca="1">IF($A91="S",IF(BM!$I91=0,0,CHOOSE(MATCH(RegimeExecucao,{"Global","Unitário"},0),ROUND(ROUND(BM.MEDAcumulado,15-13*BM!$A$9)/100*BM!$I91,15-13*ORÇAMENTO!$AF$11),ROUND(ROUND(BM.MEDAcumulado,15-13*BM!$A$9)*ROUND(BM!$H91,15-13*ORÇAMENTO!$AF$10),15-13*ORÇAMENTO!$AF$11))),IF($A91=0,0,ROUND(SomaAgrupBM,15-13*ORÇAMENTO!$AF$11)))</f>
        <v>0</v>
      </c>
    </row>
    <row r="92" spans="1:41" ht="25.5" x14ac:dyDescent="0.2">
      <c r="A92" t="str">
        <f ca="1">ORÇAMENTO!C92</f>
        <v>S</v>
      </c>
      <c r="B92">
        <f ca="1">ORÇAMENTO!D92</f>
        <v>0</v>
      </c>
      <c r="C92" s="116" t="str">
        <f t="shared" ca="1" si="8"/>
        <v/>
      </c>
      <c r="D92" s="119" t="str">
        <f ca="1">ORÇAMENTO!O92</f>
        <v>-</v>
      </c>
      <c r="E92" s="172" t="str">
        <f t="shared" ca="1" si="9"/>
        <v>(abra o arquivo 'Referência 02-2025.xlsm)</v>
      </c>
      <c r="F92" s="173" t="str">
        <f ca="1">IF(RegimeExecucao="Global","",ORÇAMENTO.Unidade)</f>
        <v>-</v>
      </c>
      <c r="G92" s="124">
        <f ca="1">IF(RegimeExecucao="Global","",ORÇAMENTO!T92)</f>
        <v>15.96</v>
      </c>
      <c r="H92" s="124">
        <f ca="1">IF(RegimeExecucao="Global","",ORÇAMENTO!W92)</f>
        <v>0</v>
      </c>
      <c r="I92" s="127">
        <f ca="1">ORÇAMENTO!X92</f>
        <v>0</v>
      </c>
      <c r="J92" s="378">
        <f ca="1">IF($A92="S",IF(CAIXA.Modo,BM.AFAnterior,BM.MEDAnterior),IF(AND(RegimeExecucao="Global",$I92&gt;0,COUNTIF($AB$13:$AM$13,BM.medicao-1)&gt;0),M92/$I92*100,0))</f>
        <v>0</v>
      </c>
      <c r="K92" s="124">
        <f t="shared" ca="1" si="10"/>
        <v>0</v>
      </c>
      <c r="L92" s="379">
        <f ca="1">IF($A92="S",IF(CAIXA.Modo,BM.AFAcumulado,BM.MEDAcumulado),IF(AND(RegimeExecucao="Global",$I92&gt;0,COUNTIF($AB$13:$AM$13,BM.medicao)&gt;0),O92/$I92*100,0))</f>
        <v>0</v>
      </c>
      <c r="M92" s="380">
        <f ca="1">IF($A92="S",VTOTALBM,IF($A92=0,0,ROUND(SomaAgrupBM,15-13*ORÇAMENTO!$AF$11)))</f>
        <v>0</v>
      </c>
      <c r="N92" s="381">
        <f t="shared" ca="1" si="11"/>
        <v>0</v>
      </c>
      <c r="O92" s="127">
        <f ca="1">IF($A92="S",VTOTALBM,IF($A92=0,0,ROUND(SomaAgrupBM,15-13*ORÇAMENTO!$AF$11)))</f>
        <v>0</v>
      </c>
      <c r="Q92" s="382"/>
      <c r="R92" s="383"/>
      <c r="T92" s="119" t="str">
        <f t="shared" ca="1" si="12"/>
        <v/>
      </c>
      <c r="U92" s="172" t="str">
        <f t="shared" ca="1" si="13"/>
        <v/>
      </c>
      <c r="V92" s="173" t="str">
        <f ca="1">IF(AND($W92&gt;0,RegimeExecucao="Unitário"),$F92,"")</f>
        <v/>
      </c>
      <c r="W92" s="547">
        <f ca="1">IF($Y92&gt;0,CHOOSE(MATCH(RegimeExecucao,{"Unitário","Global"},0),IF($A92="S",$Y92/$X92,""),($Y92/$X92)*100),0)</f>
        <v>0</v>
      </c>
      <c r="X92" s="384" t="str">
        <f ca="1">IF($Y92&gt;0,CHOOSE(MATCH(RegimeExecucao,{"Unitário","Global"},0),IF($A92="S",ROUND($H92,ORÇAMENTO!$AF$10),""),ROUND($I92,ORÇAMENTO!$AF$11)),"")</f>
        <v/>
      </c>
      <c r="Y92" s="384">
        <f t="shared" ca="1" si="14"/>
        <v>0</v>
      </c>
      <c r="Z92" s="572"/>
      <c r="AB92" s="382"/>
      <c r="AC92" s="516"/>
      <c r="AD92" s="516"/>
      <c r="AE92" s="516"/>
      <c r="AF92" s="516"/>
      <c r="AG92" s="516"/>
      <c r="AH92" s="516"/>
      <c r="AI92" s="516"/>
      <c r="AJ92" s="516"/>
      <c r="AK92" s="516"/>
      <c r="AL92" s="516"/>
      <c r="AM92" s="383"/>
      <c r="AO92">
        <f ca="1">IF($A92="S",IF(BM!$I92=0,0,CHOOSE(MATCH(RegimeExecucao,{"Global","Unitário"},0),ROUND(ROUND(BM.MEDAcumulado,15-13*BM!$A$9)/100*BM!$I92,15-13*ORÇAMENTO!$AF$11),ROUND(ROUND(BM.MEDAcumulado,15-13*BM!$A$9)*ROUND(BM!$H92,15-13*ORÇAMENTO!$AF$10),15-13*ORÇAMENTO!$AF$11))),IF($A92=0,0,ROUND(SomaAgrupBM,15-13*ORÇAMENTO!$AF$11)))</f>
        <v>0</v>
      </c>
    </row>
    <row r="93" spans="1:41" ht="38.25" x14ac:dyDescent="0.2">
      <c r="A93" t="str">
        <f ca="1">ORÇAMENTO!C93</f>
        <v>S</v>
      </c>
      <c r="B93">
        <f ca="1">ORÇAMENTO!D93</f>
        <v>0</v>
      </c>
      <c r="C93" s="116" t="str">
        <f t="shared" ca="1" si="8"/>
        <v/>
      </c>
      <c r="D93" s="119" t="str">
        <f ca="1">ORÇAMENTO!O93</f>
        <v>-</v>
      </c>
      <c r="E93" s="172" t="str">
        <f t="shared" ca="1" si="9"/>
        <v>(abra o arquivo 'Referência 02-2025.xlsm)</v>
      </c>
      <c r="F93" s="173" t="str">
        <f ca="1">IF(RegimeExecucao="Global","",ORÇAMENTO.Unidade)</f>
        <v>-</v>
      </c>
      <c r="G93" s="124">
        <f ca="1">IF(RegimeExecucao="Global","",ORÇAMENTO!T93)</f>
        <v>1.27</v>
      </c>
      <c r="H93" s="124">
        <f ca="1">IF(RegimeExecucao="Global","",ORÇAMENTO!W93)</f>
        <v>0</v>
      </c>
      <c r="I93" s="127">
        <f ca="1">ORÇAMENTO!X93</f>
        <v>0</v>
      </c>
      <c r="J93" s="378">
        <f ca="1">IF($A93="S",IF(CAIXA.Modo,BM.AFAnterior,BM.MEDAnterior),IF(AND(RegimeExecucao="Global",$I93&gt;0,COUNTIF($AB$13:$AM$13,BM.medicao-1)&gt;0),M93/$I93*100,0))</f>
        <v>0</v>
      </c>
      <c r="K93" s="124">
        <f t="shared" ca="1" si="10"/>
        <v>0</v>
      </c>
      <c r="L93" s="379">
        <f ca="1">IF($A93="S",IF(CAIXA.Modo,BM.AFAcumulado,BM.MEDAcumulado),IF(AND(RegimeExecucao="Global",$I93&gt;0,COUNTIF($AB$13:$AM$13,BM.medicao)&gt;0),O93/$I93*100,0))</f>
        <v>0</v>
      </c>
      <c r="M93" s="380">
        <f ca="1">IF($A93="S",VTOTALBM,IF($A93=0,0,ROUND(SomaAgrupBM,15-13*ORÇAMENTO!$AF$11)))</f>
        <v>0</v>
      </c>
      <c r="N93" s="381">
        <f t="shared" ca="1" si="11"/>
        <v>0</v>
      </c>
      <c r="O93" s="127">
        <f ca="1">IF($A93="S",VTOTALBM,IF($A93=0,0,ROUND(SomaAgrupBM,15-13*ORÇAMENTO!$AF$11)))</f>
        <v>0</v>
      </c>
      <c r="Q93" s="382"/>
      <c r="R93" s="383"/>
      <c r="T93" s="119" t="str">
        <f t="shared" ca="1" si="12"/>
        <v/>
      </c>
      <c r="U93" s="172" t="str">
        <f t="shared" ca="1" si="13"/>
        <v/>
      </c>
      <c r="V93" s="173" t="str">
        <f ca="1">IF(AND($W93&gt;0,RegimeExecucao="Unitário"),$F93,"")</f>
        <v/>
      </c>
      <c r="W93" s="547">
        <f ca="1">IF($Y93&gt;0,CHOOSE(MATCH(RegimeExecucao,{"Unitário","Global"},0),IF($A93="S",$Y93/$X93,""),($Y93/$X93)*100),0)</f>
        <v>0</v>
      </c>
      <c r="X93" s="384" t="str">
        <f ca="1">IF($Y93&gt;0,CHOOSE(MATCH(RegimeExecucao,{"Unitário","Global"},0),IF($A93="S",ROUND($H93,ORÇAMENTO!$AF$10),""),ROUND($I93,ORÇAMENTO!$AF$11)),"")</f>
        <v/>
      </c>
      <c r="Y93" s="384">
        <f t="shared" ca="1" si="14"/>
        <v>0</v>
      </c>
      <c r="Z93" s="572"/>
      <c r="AB93" s="382"/>
      <c r="AC93" s="516"/>
      <c r="AD93" s="516"/>
      <c r="AE93" s="516"/>
      <c r="AF93" s="516"/>
      <c r="AG93" s="516"/>
      <c r="AH93" s="516"/>
      <c r="AI93" s="516"/>
      <c r="AJ93" s="516"/>
      <c r="AK93" s="516"/>
      <c r="AL93" s="516"/>
      <c r="AM93" s="383"/>
      <c r="AO93">
        <f ca="1">IF($A93="S",IF(BM!$I93=0,0,CHOOSE(MATCH(RegimeExecucao,{"Global","Unitário"},0),ROUND(ROUND(BM.MEDAcumulado,15-13*BM!$A$9)/100*BM!$I93,15-13*ORÇAMENTO!$AF$11),ROUND(ROUND(BM.MEDAcumulado,15-13*BM!$A$9)*ROUND(BM!$H93,15-13*ORÇAMENTO!$AF$10),15-13*ORÇAMENTO!$AF$11))),IF($A93=0,0,ROUND(SomaAgrupBM,15-13*ORÇAMENTO!$AF$11)))</f>
        <v>0</v>
      </c>
    </row>
    <row r="94" spans="1:41" ht="25.5" x14ac:dyDescent="0.2">
      <c r="A94" t="str">
        <f ca="1">ORÇAMENTO!C94</f>
        <v>S</v>
      </c>
      <c r="B94">
        <f ca="1">ORÇAMENTO!D94</f>
        <v>0</v>
      </c>
      <c r="C94" s="116" t="str">
        <f t="shared" ca="1" si="8"/>
        <v/>
      </c>
      <c r="D94" s="119" t="str">
        <f ca="1">ORÇAMENTO!O94</f>
        <v>-</v>
      </c>
      <c r="E94" s="172" t="str">
        <f t="shared" ca="1" si="9"/>
        <v>(abra o arquivo 'Referência 02-2025.xlsm)</v>
      </c>
      <c r="F94" s="173" t="str">
        <f ca="1">IF(RegimeExecucao="Global","",ORÇAMENTO.Unidade)</f>
        <v>-</v>
      </c>
      <c r="G94" s="124">
        <f ca="1">IF(RegimeExecucao="Global","",ORÇAMENTO!T94)</f>
        <v>37.090000000000003</v>
      </c>
      <c r="H94" s="124">
        <f ca="1">IF(RegimeExecucao="Global","",ORÇAMENTO!W94)</f>
        <v>0</v>
      </c>
      <c r="I94" s="127">
        <f ca="1">ORÇAMENTO!X94</f>
        <v>0</v>
      </c>
      <c r="J94" s="378">
        <f ca="1">IF($A94="S",IF(CAIXA.Modo,BM.AFAnterior,BM.MEDAnterior),IF(AND(RegimeExecucao="Global",$I94&gt;0,COUNTIF($AB$13:$AM$13,BM.medicao-1)&gt;0),M94/$I94*100,0))</f>
        <v>0</v>
      </c>
      <c r="K94" s="124">
        <f t="shared" ca="1" si="10"/>
        <v>0</v>
      </c>
      <c r="L94" s="379">
        <f ca="1">IF($A94="S",IF(CAIXA.Modo,BM.AFAcumulado,BM.MEDAcumulado),IF(AND(RegimeExecucao="Global",$I94&gt;0,COUNTIF($AB$13:$AM$13,BM.medicao)&gt;0),O94/$I94*100,0))</f>
        <v>0</v>
      </c>
      <c r="M94" s="380">
        <f ca="1">IF($A94="S",VTOTALBM,IF($A94=0,0,ROUND(SomaAgrupBM,15-13*ORÇAMENTO!$AF$11)))</f>
        <v>0</v>
      </c>
      <c r="N94" s="381">
        <f t="shared" ca="1" si="11"/>
        <v>0</v>
      </c>
      <c r="O94" s="127">
        <f ca="1">IF($A94="S",VTOTALBM,IF($A94=0,0,ROUND(SomaAgrupBM,15-13*ORÇAMENTO!$AF$11)))</f>
        <v>0</v>
      </c>
      <c r="Q94" s="382"/>
      <c r="R94" s="383"/>
      <c r="T94" s="119" t="str">
        <f t="shared" ca="1" si="12"/>
        <v/>
      </c>
      <c r="U94" s="172" t="str">
        <f t="shared" ca="1" si="13"/>
        <v/>
      </c>
      <c r="V94" s="173" t="str">
        <f ca="1">IF(AND($W94&gt;0,RegimeExecucao="Unitário"),$F94,"")</f>
        <v/>
      </c>
      <c r="W94" s="547">
        <f ca="1">IF($Y94&gt;0,CHOOSE(MATCH(RegimeExecucao,{"Unitário","Global"},0),IF($A94="S",$Y94/$X94,""),($Y94/$X94)*100),0)</f>
        <v>0</v>
      </c>
      <c r="X94" s="384" t="str">
        <f ca="1">IF($Y94&gt;0,CHOOSE(MATCH(RegimeExecucao,{"Unitário","Global"},0),IF($A94="S",ROUND($H94,ORÇAMENTO!$AF$10),""),ROUND($I94,ORÇAMENTO!$AF$11)),"")</f>
        <v/>
      </c>
      <c r="Y94" s="384">
        <f t="shared" ca="1" si="14"/>
        <v>0</v>
      </c>
      <c r="Z94" s="572"/>
      <c r="AB94" s="382"/>
      <c r="AC94" s="516"/>
      <c r="AD94" s="516"/>
      <c r="AE94" s="516"/>
      <c r="AF94" s="516"/>
      <c r="AG94" s="516"/>
      <c r="AH94" s="516"/>
      <c r="AI94" s="516"/>
      <c r="AJ94" s="516"/>
      <c r="AK94" s="516"/>
      <c r="AL94" s="516"/>
      <c r="AM94" s="383"/>
      <c r="AO94">
        <f ca="1">IF($A94="S",IF(BM!$I94=0,0,CHOOSE(MATCH(RegimeExecucao,{"Global","Unitário"},0),ROUND(ROUND(BM.MEDAcumulado,15-13*BM!$A$9)/100*BM!$I94,15-13*ORÇAMENTO!$AF$11),ROUND(ROUND(BM.MEDAcumulado,15-13*BM!$A$9)*ROUND(BM!$H94,15-13*ORÇAMENTO!$AF$10),15-13*ORÇAMENTO!$AF$11))),IF($A94=0,0,ROUND(SomaAgrupBM,15-13*ORÇAMENTO!$AF$11)))</f>
        <v>0</v>
      </c>
    </row>
    <row r="95" spans="1:41" x14ac:dyDescent="0.2">
      <c r="A95">
        <f ca="1">ORÇAMENTO!C95</f>
        <v>3</v>
      </c>
      <c r="B95">
        <f ca="1">ORÇAMENTO!D95</f>
        <v>5</v>
      </c>
      <c r="C95" s="116" t="str">
        <f t="shared" ca="1" si="8"/>
        <v>F</v>
      </c>
      <c r="D95" s="119" t="str">
        <f ca="1">ORÇAMENTO!O95</f>
        <v>1.4.5.</v>
      </c>
      <c r="E95" s="172" t="str">
        <f t="shared" si="9"/>
        <v>LAJE DE COBERTURA - CASA DE MÁQUINAS E CASA DE GÁS</v>
      </c>
      <c r="F95" s="173" t="str">
        <f ca="1">IF(RegimeExecucao="Global","",ORÇAMENTO.Unidade)</f>
        <v>-</v>
      </c>
      <c r="G95" s="124">
        <f ca="1">IF(RegimeExecucao="Global","",ORÇAMENTO!T95)</f>
        <v>0</v>
      </c>
      <c r="H95" s="124">
        <f ca="1">IF(RegimeExecucao="Global","",ORÇAMENTO!W95)</f>
        <v>0</v>
      </c>
      <c r="I95" s="127">
        <f ca="1">ORÇAMENTO!X95</f>
        <v>0</v>
      </c>
      <c r="J95" s="378">
        <f ca="1">IF($A95="S",IF(CAIXA.Modo,BM.AFAnterior,BM.MEDAnterior),IF(AND(RegimeExecucao="Global",$I95&gt;0,COUNTIF($AB$13:$AM$13,BM.medicao-1)&gt;0),M95/$I95*100,0))</f>
        <v>0</v>
      </c>
      <c r="K95" s="124">
        <f t="shared" ca="1" si="10"/>
        <v>0</v>
      </c>
      <c r="L95" s="379">
        <f ca="1">IF($A95="S",IF(CAIXA.Modo,BM.AFAcumulado,BM.MEDAcumulado),IF(AND(RegimeExecucao="Global",$I95&gt;0,COUNTIF($AB$13:$AM$13,BM.medicao)&gt;0),O95/$I95*100,0))</f>
        <v>0</v>
      </c>
      <c r="M95" s="380">
        <f ca="1">IF($A95="S",VTOTALBM,IF($A95=0,0,ROUND(SomaAgrupBM,15-13*ORÇAMENTO!$AF$11)))</f>
        <v>0</v>
      </c>
      <c r="N95" s="381">
        <f t="shared" ca="1" si="11"/>
        <v>0</v>
      </c>
      <c r="O95" s="127">
        <f ca="1">IF($A95="S",VTOTALBM,IF($A95=0,0,ROUND(SomaAgrupBM,15-13*ORÇAMENTO!$AF$11)))</f>
        <v>0</v>
      </c>
      <c r="Q95" s="382"/>
      <c r="R95" s="383"/>
      <c r="T95" s="119" t="str">
        <f t="shared" ca="1" si="12"/>
        <v/>
      </c>
      <c r="U95" s="172" t="str">
        <f t="shared" ca="1" si="13"/>
        <v/>
      </c>
      <c r="V95" s="173" t="str">
        <f ca="1">IF(AND($W95&gt;0,RegimeExecucao="Unitário"),$F95,"")</f>
        <v/>
      </c>
      <c r="W95" s="547">
        <f ca="1">IF($Y95&gt;0,CHOOSE(MATCH(RegimeExecucao,{"Unitário","Global"},0),IF($A95="S",$Y95/$X95,""),($Y95/$X95)*100),0)</f>
        <v>0</v>
      </c>
      <c r="X95" s="384" t="str">
        <f ca="1">IF($Y95&gt;0,CHOOSE(MATCH(RegimeExecucao,{"Unitário","Global"},0),IF($A95="S",ROUND($H95,ORÇAMENTO!$AF$10),""),ROUND($I95,ORÇAMENTO!$AF$11)),"")</f>
        <v/>
      </c>
      <c r="Y95" s="384">
        <f t="shared" ca="1" si="14"/>
        <v>0</v>
      </c>
      <c r="Z95" s="572"/>
      <c r="AB95" s="382"/>
      <c r="AC95" s="516"/>
      <c r="AD95" s="516"/>
      <c r="AE95" s="516"/>
      <c r="AF95" s="516"/>
      <c r="AG95" s="516"/>
      <c r="AH95" s="516"/>
      <c r="AI95" s="516"/>
      <c r="AJ95" s="516"/>
      <c r="AK95" s="516"/>
      <c r="AL95" s="516"/>
      <c r="AM95" s="383"/>
      <c r="AO95">
        <f ca="1">IF($A95="S",IF(BM!$I95=0,0,CHOOSE(MATCH(RegimeExecucao,{"Global","Unitário"},0),ROUND(ROUND(BM.MEDAcumulado,15-13*BM!$A$9)/100*BM!$I95,15-13*ORÇAMENTO!$AF$11),ROUND(ROUND(BM.MEDAcumulado,15-13*BM!$A$9)*ROUND(BM!$H95,15-13*ORÇAMENTO!$AF$10),15-13*ORÇAMENTO!$AF$11))),IF($A95=0,0,ROUND(SomaAgrupBM,15-13*ORÇAMENTO!$AF$11)))</f>
        <v>0</v>
      </c>
    </row>
    <row r="96" spans="1:41" ht="38.25" x14ac:dyDescent="0.2">
      <c r="A96" t="str">
        <f ca="1">ORÇAMENTO!C96</f>
        <v>S</v>
      </c>
      <c r="B96">
        <f ca="1">ORÇAMENTO!D96</f>
        <v>0</v>
      </c>
      <c r="C96" s="116" t="str">
        <f t="shared" ca="1" si="8"/>
        <v/>
      </c>
      <c r="D96" s="119" t="str">
        <f ca="1">ORÇAMENTO!O96</f>
        <v>-</v>
      </c>
      <c r="E96" s="172" t="str">
        <f t="shared" ca="1" si="9"/>
        <v>(abra o arquivo 'Referência 02-2025.xlsm)</v>
      </c>
      <c r="F96" s="173" t="str">
        <f ca="1">IF(RegimeExecucao="Global","",ORÇAMENTO.Unidade)</f>
        <v>-</v>
      </c>
      <c r="G96" s="124">
        <f ca="1">IF(RegimeExecucao="Global","",ORÇAMENTO!T96)</f>
        <v>15.15</v>
      </c>
      <c r="H96" s="124">
        <f ca="1">IF(RegimeExecucao="Global","",ORÇAMENTO!W96)</f>
        <v>0</v>
      </c>
      <c r="I96" s="127">
        <f ca="1">ORÇAMENTO!X96</f>
        <v>0</v>
      </c>
      <c r="J96" s="378">
        <f ca="1">IF($A96="S",IF(CAIXA.Modo,BM.AFAnterior,BM.MEDAnterior),IF(AND(RegimeExecucao="Global",$I96&gt;0,COUNTIF($AB$13:$AM$13,BM.medicao-1)&gt;0),M96/$I96*100,0))</f>
        <v>0</v>
      </c>
      <c r="K96" s="124">
        <f t="shared" ca="1" si="10"/>
        <v>0</v>
      </c>
      <c r="L96" s="379">
        <f ca="1">IF($A96="S",IF(CAIXA.Modo,BM.AFAcumulado,BM.MEDAcumulado),IF(AND(RegimeExecucao="Global",$I96&gt;0,COUNTIF($AB$13:$AM$13,BM.medicao)&gt;0),O96/$I96*100,0))</f>
        <v>0</v>
      </c>
      <c r="M96" s="380">
        <f ca="1">IF($A96="S",VTOTALBM,IF($A96=0,0,ROUND(SomaAgrupBM,15-13*ORÇAMENTO!$AF$11)))</f>
        <v>0</v>
      </c>
      <c r="N96" s="381">
        <f t="shared" ca="1" si="11"/>
        <v>0</v>
      </c>
      <c r="O96" s="127">
        <f ca="1">IF($A96="S",VTOTALBM,IF($A96=0,0,ROUND(SomaAgrupBM,15-13*ORÇAMENTO!$AF$11)))</f>
        <v>0</v>
      </c>
      <c r="Q96" s="382"/>
      <c r="R96" s="383"/>
      <c r="T96" s="119" t="str">
        <f t="shared" ca="1" si="12"/>
        <v/>
      </c>
      <c r="U96" s="172" t="str">
        <f t="shared" ca="1" si="13"/>
        <v/>
      </c>
      <c r="V96" s="173" t="str">
        <f ca="1">IF(AND($W96&gt;0,RegimeExecucao="Unitário"),$F96,"")</f>
        <v/>
      </c>
      <c r="W96" s="547">
        <f ca="1">IF($Y96&gt;0,CHOOSE(MATCH(RegimeExecucao,{"Unitário","Global"},0),IF($A96="S",$Y96/$X96,""),($Y96/$X96)*100),0)</f>
        <v>0</v>
      </c>
      <c r="X96" s="384" t="str">
        <f ca="1">IF($Y96&gt;0,CHOOSE(MATCH(RegimeExecucao,{"Unitário","Global"},0),IF($A96="S",ROUND($H96,ORÇAMENTO!$AF$10),""),ROUND($I96,ORÇAMENTO!$AF$11)),"")</f>
        <v/>
      </c>
      <c r="Y96" s="384">
        <f t="shared" ca="1" si="14"/>
        <v>0</v>
      </c>
      <c r="Z96" s="572"/>
      <c r="AB96" s="382"/>
      <c r="AC96" s="516"/>
      <c r="AD96" s="516"/>
      <c r="AE96" s="516"/>
      <c r="AF96" s="516"/>
      <c r="AG96" s="516"/>
      <c r="AH96" s="516"/>
      <c r="AI96" s="516"/>
      <c r="AJ96" s="516"/>
      <c r="AK96" s="516"/>
      <c r="AL96" s="516"/>
      <c r="AM96" s="383"/>
      <c r="AO96">
        <f ca="1">IF($A96="S",IF(BM!$I96=0,0,CHOOSE(MATCH(RegimeExecucao,{"Global","Unitário"},0),ROUND(ROUND(BM.MEDAcumulado,15-13*BM!$A$9)/100*BM!$I96,15-13*ORÇAMENTO!$AF$11),ROUND(ROUND(BM.MEDAcumulado,15-13*BM!$A$9)*ROUND(BM!$H96,15-13*ORÇAMENTO!$AF$10),15-13*ORÇAMENTO!$AF$11))),IF($A96=0,0,ROUND(SomaAgrupBM,15-13*ORÇAMENTO!$AF$11)))</f>
        <v>0</v>
      </c>
    </row>
    <row r="97" spans="1:41" ht="38.25" x14ac:dyDescent="0.2">
      <c r="A97" t="str">
        <f ca="1">ORÇAMENTO!C97</f>
        <v>S</v>
      </c>
      <c r="B97">
        <f ca="1">ORÇAMENTO!D97</f>
        <v>0</v>
      </c>
      <c r="C97" s="116" t="str">
        <f t="shared" ca="1" si="8"/>
        <v/>
      </c>
      <c r="D97" s="119" t="str">
        <f ca="1">ORÇAMENTO!O97</f>
        <v>-</v>
      </c>
      <c r="E97" s="172" t="str">
        <f t="shared" ca="1" si="9"/>
        <v>(abra o arquivo 'Referência 02-2025.xlsm)</v>
      </c>
      <c r="F97" s="173" t="str">
        <f ca="1">IF(RegimeExecucao="Global","",ORÇAMENTO.Unidade)</f>
        <v>-</v>
      </c>
      <c r="G97" s="124">
        <f ca="1">IF(RegimeExecucao="Global","",ORÇAMENTO!T97)</f>
        <v>8.18</v>
      </c>
      <c r="H97" s="124">
        <f ca="1">IF(RegimeExecucao="Global","",ORÇAMENTO!W97)</f>
        <v>0</v>
      </c>
      <c r="I97" s="127">
        <f ca="1">ORÇAMENTO!X97</f>
        <v>0</v>
      </c>
      <c r="J97" s="378">
        <f ca="1">IF($A97="S",IF(CAIXA.Modo,BM.AFAnterior,BM.MEDAnterior),IF(AND(RegimeExecucao="Global",$I97&gt;0,COUNTIF($AB$13:$AM$13,BM.medicao-1)&gt;0),M97/$I97*100,0))</f>
        <v>0</v>
      </c>
      <c r="K97" s="124">
        <f t="shared" ca="1" si="10"/>
        <v>0</v>
      </c>
      <c r="L97" s="379">
        <f ca="1">IF($A97="S",IF(CAIXA.Modo,BM.AFAcumulado,BM.MEDAcumulado),IF(AND(RegimeExecucao="Global",$I97&gt;0,COUNTIF($AB$13:$AM$13,BM.medicao)&gt;0),O97/$I97*100,0))</f>
        <v>0</v>
      </c>
      <c r="M97" s="380">
        <f ca="1">IF($A97="S",VTOTALBM,IF($A97=0,0,ROUND(SomaAgrupBM,15-13*ORÇAMENTO!$AF$11)))</f>
        <v>0</v>
      </c>
      <c r="N97" s="381">
        <f t="shared" ca="1" si="11"/>
        <v>0</v>
      </c>
      <c r="O97" s="127">
        <f ca="1">IF($A97="S",VTOTALBM,IF($A97=0,0,ROUND(SomaAgrupBM,15-13*ORÇAMENTO!$AF$11)))</f>
        <v>0</v>
      </c>
      <c r="Q97" s="382"/>
      <c r="R97" s="383"/>
      <c r="T97" s="119" t="str">
        <f t="shared" ca="1" si="12"/>
        <v/>
      </c>
      <c r="U97" s="172" t="str">
        <f t="shared" ca="1" si="13"/>
        <v/>
      </c>
      <c r="V97" s="173" t="str">
        <f ca="1">IF(AND($W97&gt;0,RegimeExecucao="Unitário"),$F97,"")</f>
        <v/>
      </c>
      <c r="W97" s="547">
        <f ca="1">IF($Y97&gt;0,CHOOSE(MATCH(RegimeExecucao,{"Unitário","Global"},0),IF($A97="S",$Y97/$X97,""),($Y97/$X97)*100),0)</f>
        <v>0</v>
      </c>
      <c r="X97" s="384" t="str">
        <f ca="1">IF($Y97&gt;0,CHOOSE(MATCH(RegimeExecucao,{"Unitário","Global"},0),IF($A97="S",ROUND($H97,ORÇAMENTO!$AF$10),""),ROUND($I97,ORÇAMENTO!$AF$11)),"")</f>
        <v/>
      </c>
      <c r="Y97" s="384">
        <f t="shared" ca="1" si="14"/>
        <v>0</v>
      </c>
      <c r="Z97" s="572"/>
      <c r="AB97" s="382"/>
      <c r="AC97" s="516"/>
      <c r="AD97" s="516"/>
      <c r="AE97" s="516"/>
      <c r="AF97" s="516"/>
      <c r="AG97" s="516"/>
      <c r="AH97" s="516"/>
      <c r="AI97" s="516"/>
      <c r="AJ97" s="516"/>
      <c r="AK97" s="516"/>
      <c r="AL97" s="516"/>
      <c r="AM97" s="383"/>
      <c r="AO97">
        <f ca="1">IF($A97="S",IF(BM!$I97=0,0,CHOOSE(MATCH(RegimeExecucao,{"Global","Unitário"},0),ROUND(ROUND(BM.MEDAcumulado,15-13*BM!$A$9)/100*BM!$I97,15-13*ORÇAMENTO!$AF$11),ROUND(ROUND(BM.MEDAcumulado,15-13*BM!$A$9)*ROUND(BM!$H97,15-13*ORÇAMENTO!$AF$10),15-13*ORÇAMENTO!$AF$11))),IF($A97=0,0,ROUND(SomaAgrupBM,15-13*ORÇAMENTO!$AF$11)))</f>
        <v>0</v>
      </c>
    </row>
    <row r="98" spans="1:41" ht="38.25" x14ac:dyDescent="0.2">
      <c r="A98" t="str">
        <f ca="1">ORÇAMENTO!C98</f>
        <v>S</v>
      </c>
      <c r="B98">
        <f ca="1">ORÇAMENTO!D98</f>
        <v>0</v>
      </c>
      <c r="C98" s="116" t="str">
        <f t="shared" ca="1" si="8"/>
        <v/>
      </c>
      <c r="D98" s="119" t="str">
        <f ca="1">ORÇAMENTO!O98</f>
        <v>-</v>
      </c>
      <c r="E98" s="172" t="str">
        <f t="shared" ca="1" si="9"/>
        <v>(abra o arquivo 'Referência 02-2025.xlsm)</v>
      </c>
      <c r="F98" s="173" t="str">
        <f ca="1">IF(RegimeExecucao="Global","",ORÇAMENTO.Unidade)</f>
        <v>-</v>
      </c>
      <c r="G98" s="124">
        <f ca="1">IF(RegimeExecucao="Global","",ORÇAMENTO!T98)</f>
        <v>13.31</v>
      </c>
      <c r="H98" s="124">
        <f ca="1">IF(RegimeExecucao="Global","",ORÇAMENTO!W98)</f>
        <v>0</v>
      </c>
      <c r="I98" s="127">
        <f ca="1">ORÇAMENTO!X98</f>
        <v>0</v>
      </c>
      <c r="J98" s="378">
        <f ca="1">IF($A98="S",IF(CAIXA.Modo,BM.AFAnterior,BM.MEDAnterior),IF(AND(RegimeExecucao="Global",$I98&gt;0,COUNTIF($AB$13:$AM$13,BM.medicao-1)&gt;0),M98/$I98*100,0))</f>
        <v>0</v>
      </c>
      <c r="K98" s="124">
        <f t="shared" ca="1" si="10"/>
        <v>0</v>
      </c>
      <c r="L98" s="379">
        <f ca="1">IF($A98="S",IF(CAIXA.Modo,BM.AFAcumulado,BM.MEDAcumulado),IF(AND(RegimeExecucao="Global",$I98&gt;0,COUNTIF($AB$13:$AM$13,BM.medicao)&gt;0),O98/$I98*100,0))</f>
        <v>0</v>
      </c>
      <c r="M98" s="380">
        <f ca="1">IF($A98="S",VTOTALBM,IF($A98=0,0,ROUND(SomaAgrupBM,15-13*ORÇAMENTO!$AF$11)))</f>
        <v>0</v>
      </c>
      <c r="N98" s="381">
        <f t="shared" ca="1" si="11"/>
        <v>0</v>
      </c>
      <c r="O98" s="127">
        <f ca="1">IF($A98="S",VTOTALBM,IF($A98=0,0,ROUND(SomaAgrupBM,15-13*ORÇAMENTO!$AF$11)))</f>
        <v>0</v>
      </c>
      <c r="Q98" s="382"/>
      <c r="R98" s="383"/>
      <c r="T98" s="119" t="str">
        <f t="shared" ca="1" si="12"/>
        <v/>
      </c>
      <c r="U98" s="172" t="str">
        <f t="shared" ca="1" si="13"/>
        <v/>
      </c>
      <c r="V98" s="173" t="str">
        <f ca="1">IF(AND($W98&gt;0,RegimeExecucao="Unitário"),$F98,"")</f>
        <v/>
      </c>
      <c r="W98" s="547">
        <f ca="1">IF($Y98&gt;0,CHOOSE(MATCH(RegimeExecucao,{"Unitário","Global"},0),IF($A98="S",$Y98/$X98,""),($Y98/$X98)*100),0)</f>
        <v>0</v>
      </c>
      <c r="X98" s="384" t="str">
        <f ca="1">IF($Y98&gt;0,CHOOSE(MATCH(RegimeExecucao,{"Unitário","Global"},0),IF($A98="S",ROUND($H98,ORÇAMENTO!$AF$10),""),ROUND($I98,ORÇAMENTO!$AF$11)),"")</f>
        <v/>
      </c>
      <c r="Y98" s="384">
        <f t="shared" ca="1" si="14"/>
        <v>0</v>
      </c>
      <c r="Z98" s="572"/>
      <c r="AB98" s="382"/>
      <c r="AC98" s="516"/>
      <c r="AD98" s="516"/>
      <c r="AE98" s="516"/>
      <c r="AF98" s="516"/>
      <c r="AG98" s="516"/>
      <c r="AH98" s="516"/>
      <c r="AI98" s="516"/>
      <c r="AJ98" s="516"/>
      <c r="AK98" s="516"/>
      <c r="AL98" s="516"/>
      <c r="AM98" s="383"/>
      <c r="AO98">
        <f ca="1">IF($A98="S",IF(BM!$I98=0,0,CHOOSE(MATCH(RegimeExecucao,{"Global","Unitário"},0),ROUND(ROUND(BM.MEDAcumulado,15-13*BM!$A$9)/100*BM!$I98,15-13*ORÇAMENTO!$AF$11),ROUND(ROUND(BM.MEDAcumulado,15-13*BM!$A$9)*ROUND(BM!$H98,15-13*ORÇAMENTO!$AF$10),15-13*ORÇAMENTO!$AF$11))),IF($A98=0,0,ROUND(SomaAgrupBM,15-13*ORÇAMENTO!$AF$11)))</f>
        <v>0</v>
      </c>
    </row>
    <row r="99" spans="1:41" ht="38.25" x14ac:dyDescent="0.2">
      <c r="A99" t="str">
        <f ca="1">ORÇAMENTO!C99</f>
        <v>S</v>
      </c>
      <c r="B99">
        <f ca="1">ORÇAMENTO!D99</f>
        <v>0</v>
      </c>
      <c r="C99" s="116" t="str">
        <f t="shared" ca="1" si="8"/>
        <v/>
      </c>
      <c r="D99" s="119" t="str">
        <f ca="1">ORÇAMENTO!O99</f>
        <v>-</v>
      </c>
      <c r="E99" s="172" t="str">
        <f t="shared" ca="1" si="9"/>
        <v>(abra o arquivo 'Referência 02-2025.xlsm)</v>
      </c>
      <c r="F99" s="173" t="str">
        <f ca="1">IF(RegimeExecucao="Global","",ORÇAMENTO.Unidade)</f>
        <v>-</v>
      </c>
      <c r="G99" s="124">
        <f ca="1">IF(RegimeExecucao="Global","",ORÇAMENTO!T99)</f>
        <v>1.69</v>
      </c>
      <c r="H99" s="124">
        <f ca="1">IF(RegimeExecucao="Global","",ORÇAMENTO!W99)</f>
        <v>0</v>
      </c>
      <c r="I99" s="127">
        <f ca="1">ORÇAMENTO!X99</f>
        <v>0</v>
      </c>
      <c r="J99" s="378">
        <f ca="1">IF($A99="S",IF(CAIXA.Modo,BM.AFAnterior,BM.MEDAnterior),IF(AND(RegimeExecucao="Global",$I99&gt;0,COUNTIF($AB$13:$AM$13,BM.medicao-1)&gt;0),M99/$I99*100,0))</f>
        <v>0</v>
      </c>
      <c r="K99" s="124">
        <f t="shared" ca="1" si="10"/>
        <v>0</v>
      </c>
      <c r="L99" s="379">
        <f ca="1">IF($A99="S",IF(CAIXA.Modo,BM.AFAcumulado,BM.MEDAcumulado),IF(AND(RegimeExecucao="Global",$I99&gt;0,COUNTIF($AB$13:$AM$13,BM.medicao)&gt;0),O99/$I99*100,0))</f>
        <v>0</v>
      </c>
      <c r="M99" s="380">
        <f ca="1">IF($A99="S",VTOTALBM,IF($A99=0,0,ROUND(SomaAgrupBM,15-13*ORÇAMENTO!$AF$11)))</f>
        <v>0</v>
      </c>
      <c r="N99" s="381">
        <f t="shared" ca="1" si="11"/>
        <v>0</v>
      </c>
      <c r="O99" s="127">
        <f ca="1">IF($A99="S",VTOTALBM,IF($A99=0,0,ROUND(SomaAgrupBM,15-13*ORÇAMENTO!$AF$11)))</f>
        <v>0</v>
      </c>
      <c r="Q99" s="382"/>
      <c r="R99" s="383"/>
      <c r="T99" s="119" t="str">
        <f t="shared" ca="1" si="12"/>
        <v/>
      </c>
      <c r="U99" s="172" t="str">
        <f t="shared" ca="1" si="13"/>
        <v/>
      </c>
      <c r="V99" s="173" t="str">
        <f ca="1">IF(AND($W99&gt;0,RegimeExecucao="Unitário"),$F99,"")</f>
        <v/>
      </c>
      <c r="W99" s="547">
        <f ca="1">IF($Y99&gt;0,CHOOSE(MATCH(RegimeExecucao,{"Unitário","Global"},0),IF($A99="S",$Y99/$X99,""),($Y99/$X99)*100),0)</f>
        <v>0</v>
      </c>
      <c r="X99" s="384" t="str">
        <f ca="1">IF($Y99&gt;0,CHOOSE(MATCH(RegimeExecucao,{"Unitário","Global"},0),IF($A99="S",ROUND($H99,ORÇAMENTO!$AF$10),""),ROUND($I99,ORÇAMENTO!$AF$11)),"")</f>
        <v/>
      </c>
      <c r="Y99" s="384">
        <f t="shared" ca="1" si="14"/>
        <v>0</v>
      </c>
      <c r="Z99" s="572"/>
      <c r="AB99" s="382"/>
      <c r="AC99" s="516"/>
      <c r="AD99" s="516"/>
      <c r="AE99" s="516"/>
      <c r="AF99" s="516"/>
      <c r="AG99" s="516"/>
      <c r="AH99" s="516"/>
      <c r="AI99" s="516"/>
      <c r="AJ99" s="516"/>
      <c r="AK99" s="516"/>
      <c r="AL99" s="516"/>
      <c r="AM99" s="383"/>
      <c r="AO99">
        <f ca="1">IF($A99="S",IF(BM!$I99=0,0,CHOOSE(MATCH(RegimeExecucao,{"Global","Unitário"},0),ROUND(ROUND(BM.MEDAcumulado,15-13*BM!$A$9)/100*BM!$I99,15-13*ORÇAMENTO!$AF$11),ROUND(ROUND(BM.MEDAcumulado,15-13*BM!$A$9)*ROUND(BM!$H99,15-13*ORÇAMENTO!$AF$10),15-13*ORÇAMENTO!$AF$11))),IF($A99=0,0,ROUND(SomaAgrupBM,15-13*ORÇAMENTO!$AF$11)))</f>
        <v>0</v>
      </c>
    </row>
    <row r="100" spans="1:41" x14ac:dyDescent="0.2">
      <c r="A100">
        <f ca="1">ORÇAMENTO!C100</f>
        <v>3</v>
      </c>
      <c r="B100">
        <f ca="1">ORÇAMENTO!D100</f>
        <v>5</v>
      </c>
      <c r="C100" s="116" t="str">
        <f t="shared" ca="1" si="8"/>
        <v>F</v>
      </c>
      <c r="D100" s="119" t="str">
        <f ca="1">ORÇAMENTO!O100</f>
        <v>1.4.6.</v>
      </c>
      <c r="E100" s="172" t="str">
        <f t="shared" ca="1" si="9"/>
        <v>ESTRUTURA METÁLICA</v>
      </c>
      <c r="F100" s="173" t="str">
        <f ca="1">IF(RegimeExecucao="Global","",ORÇAMENTO.Unidade)</f>
        <v>-</v>
      </c>
      <c r="G100" s="124">
        <f ca="1">IF(RegimeExecucao="Global","",ORÇAMENTO!T100)</f>
        <v>0</v>
      </c>
      <c r="H100" s="124">
        <f ca="1">IF(RegimeExecucao="Global","",ORÇAMENTO!W100)</f>
        <v>0</v>
      </c>
      <c r="I100" s="127">
        <f ca="1">ORÇAMENTO!X100</f>
        <v>0</v>
      </c>
      <c r="J100" s="378">
        <f ca="1">IF($A100="S",IF(CAIXA.Modo,BM.AFAnterior,BM.MEDAnterior),IF(AND(RegimeExecucao="Global",$I100&gt;0,COUNTIF($AB$13:$AM$13,BM.medicao-1)&gt;0),M100/$I100*100,0))</f>
        <v>0</v>
      </c>
      <c r="K100" s="124">
        <f t="shared" ca="1" si="10"/>
        <v>0</v>
      </c>
      <c r="L100" s="379">
        <f ca="1">IF($A100="S",IF(CAIXA.Modo,BM.AFAcumulado,BM.MEDAcumulado),IF(AND(RegimeExecucao="Global",$I100&gt;0,COUNTIF($AB$13:$AM$13,BM.medicao)&gt;0),O100/$I100*100,0))</f>
        <v>0</v>
      </c>
      <c r="M100" s="380">
        <f ca="1">IF($A100="S",VTOTALBM,IF($A100=0,0,ROUND(SomaAgrupBM,15-13*ORÇAMENTO!$AF$11)))</f>
        <v>0</v>
      </c>
      <c r="N100" s="381">
        <f t="shared" ca="1" si="11"/>
        <v>0</v>
      </c>
      <c r="O100" s="127">
        <f ca="1">IF($A100="S",VTOTALBM,IF($A100=0,0,ROUND(SomaAgrupBM,15-13*ORÇAMENTO!$AF$11)))</f>
        <v>0</v>
      </c>
      <c r="Q100" s="382"/>
      <c r="R100" s="383"/>
      <c r="T100" s="119" t="str">
        <f t="shared" ca="1" si="12"/>
        <v/>
      </c>
      <c r="U100" s="172" t="str">
        <f t="shared" ca="1" si="13"/>
        <v/>
      </c>
      <c r="V100" s="173" t="str">
        <f ca="1">IF(AND($W100&gt;0,RegimeExecucao="Unitário"),$F100,"")</f>
        <v/>
      </c>
      <c r="W100" s="547">
        <f ca="1">IF($Y100&gt;0,CHOOSE(MATCH(RegimeExecucao,{"Unitário","Global"},0),IF($A100="S",$Y100/$X100,""),($Y100/$X100)*100),0)</f>
        <v>0</v>
      </c>
      <c r="X100" s="384" t="str">
        <f ca="1">IF($Y100&gt;0,CHOOSE(MATCH(RegimeExecucao,{"Unitário","Global"},0),IF($A100="S",ROUND($H100,ORÇAMENTO!$AF$10),""),ROUND($I100,ORÇAMENTO!$AF$11)),"")</f>
        <v/>
      </c>
      <c r="Y100" s="384">
        <f t="shared" ca="1" si="14"/>
        <v>0</v>
      </c>
      <c r="Z100" s="572"/>
      <c r="AB100" s="382"/>
      <c r="AC100" s="516"/>
      <c r="AD100" s="516"/>
      <c r="AE100" s="516"/>
      <c r="AF100" s="516"/>
      <c r="AG100" s="516"/>
      <c r="AH100" s="516"/>
      <c r="AI100" s="516"/>
      <c r="AJ100" s="516"/>
      <c r="AK100" s="516"/>
      <c r="AL100" s="516"/>
      <c r="AM100" s="383"/>
      <c r="AO100">
        <f ca="1">IF($A100="S",IF(BM!$I100=0,0,CHOOSE(MATCH(RegimeExecucao,{"Global","Unitário"},0),ROUND(ROUND(BM.MEDAcumulado,15-13*BM!$A$9)/100*BM!$I100,15-13*ORÇAMENTO!$AF$11),ROUND(ROUND(BM.MEDAcumulado,15-13*BM!$A$9)*ROUND(BM!$H100,15-13*ORÇAMENTO!$AF$10),15-13*ORÇAMENTO!$AF$11))),IF($A100=0,0,ROUND(SomaAgrupBM,15-13*ORÇAMENTO!$AF$11)))</f>
        <v>0</v>
      </c>
    </row>
    <row r="101" spans="1:41" ht="38.25" x14ac:dyDescent="0.2">
      <c r="A101" t="str">
        <f ca="1">ORÇAMENTO!C101</f>
        <v>S</v>
      </c>
      <c r="B101">
        <f ca="1">ORÇAMENTO!D101</f>
        <v>0</v>
      </c>
      <c r="C101" s="116" t="str">
        <f t="shared" ca="1" si="8"/>
        <v/>
      </c>
      <c r="D101" s="119" t="str">
        <f ca="1">ORÇAMENTO!O101</f>
        <v>-</v>
      </c>
      <c r="E101" s="172" t="str">
        <f t="shared" ca="1" si="9"/>
        <v>(abra o arquivo 'Referência 02-2025.xlsm)</v>
      </c>
      <c r="F101" s="173" t="str">
        <f ca="1">IF(RegimeExecucao="Global","",ORÇAMENTO.Unidade)</f>
        <v>-</v>
      </c>
      <c r="G101" s="124">
        <f ca="1">IF(RegimeExecucao="Global","",ORÇAMENTO!T101)</f>
        <v>19006</v>
      </c>
      <c r="H101" s="124">
        <f ca="1">IF(RegimeExecucao="Global","",ORÇAMENTO!W101)</f>
        <v>0</v>
      </c>
      <c r="I101" s="127">
        <f ca="1">ORÇAMENTO!X101</f>
        <v>0</v>
      </c>
      <c r="J101" s="378">
        <f ca="1">IF($A101="S",IF(CAIXA.Modo,BM.AFAnterior,BM.MEDAnterior),IF(AND(RegimeExecucao="Global",$I101&gt;0,COUNTIF($AB$13:$AM$13,BM.medicao-1)&gt;0),M101/$I101*100,0))</f>
        <v>0</v>
      </c>
      <c r="K101" s="124">
        <f t="shared" ca="1" si="10"/>
        <v>0</v>
      </c>
      <c r="L101" s="379">
        <f ca="1">IF($A101="S",IF(CAIXA.Modo,BM.AFAcumulado,BM.MEDAcumulado),IF(AND(RegimeExecucao="Global",$I101&gt;0,COUNTIF($AB$13:$AM$13,BM.medicao)&gt;0),O101/$I101*100,0))</f>
        <v>0</v>
      </c>
      <c r="M101" s="380">
        <f ca="1">IF($A101="S",VTOTALBM,IF($A101=0,0,ROUND(SomaAgrupBM,15-13*ORÇAMENTO!$AF$11)))</f>
        <v>0</v>
      </c>
      <c r="N101" s="381">
        <f t="shared" ca="1" si="11"/>
        <v>0</v>
      </c>
      <c r="O101" s="127">
        <f ca="1">IF($A101="S",VTOTALBM,IF($A101=0,0,ROUND(SomaAgrupBM,15-13*ORÇAMENTO!$AF$11)))</f>
        <v>0</v>
      </c>
      <c r="Q101" s="382"/>
      <c r="R101" s="383"/>
      <c r="T101" s="119" t="str">
        <f t="shared" ca="1" si="12"/>
        <v/>
      </c>
      <c r="U101" s="172" t="str">
        <f t="shared" ca="1" si="13"/>
        <v/>
      </c>
      <c r="V101" s="173" t="str">
        <f ca="1">IF(AND($W101&gt;0,RegimeExecucao="Unitário"),$F101,"")</f>
        <v/>
      </c>
      <c r="W101" s="547">
        <f ca="1">IF($Y101&gt;0,CHOOSE(MATCH(RegimeExecucao,{"Unitário","Global"},0),IF($A101="S",$Y101/$X101,""),($Y101/$X101)*100),0)</f>
        <v>0</v>
      </c>
      <c r="X101" s="384" t="str">
        <f ca="1">IF($Y101&gt;0,CHOOSE(MATCH(RegimeExecucao,{"Unitário","Global"},0),IF($A101="S",ROUND($H101,ORÇAMENTO!$AF$10),""),ROUND($I101,ORÇAMENTO!$AF$11)),"")</f>
        <v/>
      </c>
      <c r="Y101" s="384">
        <f t="shared" ca="1" si="14"/>
        <v>0</v>
      </c>
      <c r="Z101" s="572"/>
      <c r="AB101" s="382"/>
      <c r="AC101" s="516"/>
      <c r="AD101" s="516"/>
      <c r="AE101" s="516"/>
      <c r="AF101" s="516"/>
      <c r="AG101" s="516"/>
      <c r="AH101" s="516"/>
      <c r="AI101" s="516"/>
      <c r="AJ101" s="516"/>
      <c r="AK101" s="516"/>
      <c r="AL101" s="516"/>
      <c r="AM101" s="383"/>
      <c r="AO101">
        <f ca="1">IF($A101="S",IF(BM!$I101=0,0,CHOOSE(MATCH(RegimeExecucao,{"Global","Unitário"},0),ROUND(ROUND(BM.MEDAcumulado,15-13*BM!$A$9)/100*BM!$I101,15-13*ORÇAMENTO!$AF$11),ROUND(ROUND(BM.MEDAcumulado,15-13*BM!$A$9)*ROUND(BM!$H101,15-13*ORÇAMENTO!$AF$10),15-13*ORÇAMENTO!$AF$11))),IF($A101=0,0,ROUND(SomaAgrupBM,15-13*ORÇAMENTO!$AF$11)))</f>
        <v>0</v>
      </c>
    </row>
    <row r="102" spans="1:41" ht="38.25" x14ac:dyDescent="0.2">
      <c r="A102" t="str">
        <f ca="1">ORÇAMENTO!C102</f>
        <v>S</v>
      </c>
      <c r="B102">
        <f ca="1">ORÇAMENTO!D102</f>
        <v>0</v>
      </c>
      <c r="C102" s="116" t="str">
        <f t="shared" ca="1" si="8"/>
        <v/>
      </c>
      <c r="D102" s="119" t="str">
        <f ca="1">ORÇAMENTO!O102</f>
        <v>-</v>
      </c>
      <c r="E102" s="172" t="str">
        <f t="shared" ca="1" si="9"/>
        <v>(abra o arquivo 'Referência 02-2025.xlsm)</v>
      </c>
      <c r="F102" s="173" t="str">
        <f ca="1">IF(RegimeExecucao="Global","",ORÇAMENTO.Unidade)</f>
        <v>-</v>
      </c>
      <c r="G102" s="124">
        <f ca="1">IF(RegimeExecucao="Global","",ORÇAMENTO!T102)</f>
        <v>1611.6</v>
      </c>
      <c r="H102" s="124">
        <f ca="1">IF(RegimeExecucao="Global","",ORÇAMENTO!W102)</f>
        <v>0</v>
      </c>
      <c r="I102" s="127">
        <f ca="1">ORÇAMENTO!X102</f>
        <v>0</v>
      </c>
      <c r="J102" s="378">
        <f ca="1">IF($A102="S",IF(CAIXA.Modo,BM.AFAnterior,BM.MEDAnterior),IF(AND(RegimeExecucao="Global",$I102&gt;0,COUNTIF($AB$13:$AM$13,BM.medicao-1)&gt;0),M102/$I102*100,0))</f>
        <v>0</v>
      </c>
      <c r="K102" s="124">
        <f t="shared" ca="1" si="10"/>
        <v>0</v>
      </c>
      <c r="L102" s="379">
        <f ca="1">IF($A102="S",IF(CAIXA.Modo,BM.AFAcumulado,BM.MEDAcumulado),IF(AND(RegimeExecucao="Global",$I102&gt;0,COUNTIF($AB$13:$AM$13,BM.medicao)&gt;0),O102/$I102*100,0))</f>
        <v>0</v>
      </c>
      <c r="M102" s="380">
        <f ca="1">IF($A102="S",VTOTALBM,IF($A102=0,0,ROUND(SomaAgrupBM,15-13*ORÇAMENTO!$AF$11)))</f>
        <v>0</v>
      </c>
      <c r="N102" s="381">
        <f t="shared" ca="1" si="11"/>
        <v>0</v>
      </c>
      <c r="O102" s="127">
        <f ca="1">IF($A102="S",VTOTALBM,IF($A102=0,0,ROUND(SomaAgrupBM,15-13*ORÇAMENTO!$AF$11)))</f>
        <v>0</v>
      </c>
      <c r="Q102" s="382"/>
      <c r="R102" s="383"/>
      <c r="T102" s="119" t="str">
        <f t="shared" ca="1" si="12"/>
        <v/>
      </c>
      <c r="U102" s="172" t="str">
        <f t="shared" ca="1" si="13"/>
        <v/>
      </c>
      <c r="V102" s="173" t="str">
        <f ca="1">IF(AND($W102&gt;0,RegimeExecucao="Unitário"),$F102,"")</f>
        <v/>
      </c>
      <c r="W102" s="547">
        <f ca="1">IF($Y102&gt;0,CHOOSE(MATCH(RegimeExecucao,{"Unitário","Global"},0),IF($A102="S",$Y102/$X102,""),($Y102/$X102)*100),0)</f>
        <v>0</v>
      </c>
      <c r="X102" s="384" t="str">
        <f ca="1">IF($Y102&gt;0,CHOOSE(MATCH(RegimeExecucao,{"Unitário","Global"},0),IF($A102="S",ROUND($H102,ORÇAMENTO!$AF$10),""),ROUND($I102,ORÇAMENTO!$AF$11)),"")</f>
        <v/>
      </c>
      <c r="Y102" s="384">
        <f t="shared" ca="1" si="14"/>
        <v>0</v>
      </c>
      <c r="Z102" s="572"/>
      <c r="AB102" s="382"/>
      <c r="AC102" s="516"/>
      <c r="AD102" s="516"/>
      <c r="AE102" s="516"/>
      <c r="AF102" s="516"/>
      <c r="AG102" s="516"/>
      <c r="AH102" s="516"/>
      <c r="AI102" s="516"/>
      <c r="AJ102" s="516"/>
      <c r="AK102" s="516"/>
      <c r="AL102" s="516"/>
      <c r="AM102" s="383"/>
      <c r="AO102">
        <f ca="1">IF($A102="S",IF(BM!$I102=0,0,CHOOSE(MATCH(RegimeExecucao,{"Global","Unitário"},0),ROUND(ROUND(BM.MEDAcumulado,15-13*BM!$A$9)/100*BM!$I102,15-13*ORÇAMENTO!$AF$11),ROUND(ROUND(BM.MEDAcumulado,15-13*BM!$A$9)*ROUND(BM!$H102,15-13*ORÇAMENTO!$AF$10),15-13*ORÇAMENTO!$AF$11))),IF($A102=0,0,ROUND(SomaAgrupBM,15-13*ORÇAMENTO!$AF$11)))</f>
        <v>0</v>
      </c>
    </row>
    <row r="103" spans="1:41" ht="38.25" x14ac:dyDescent="0.2">
      <c r="A103" t="str">
        <f ca="1">ORÇAMENTO!C103</f>
        <v>S</v>
      </c>
      <c r="B103">
        <f ca="1">ORÇAMENTO!D103</f>
        <v>0</v>
      </c>
      <c r="C103" s="116" t="str">
        <f t="shared" ca="1" si="8"/>
        <v/>
      </c>
      <c r="D103" s="119" t="str">
        <f ca="1">ORÇAMENTO!O103</f>
        <v>-</v>
      </c>
      <c r="E103" s="172" t="str">
        <f t="shared" ca="1" si="9"/>
        <v>(abra o arquivo 'Referência 02-2025.xlsm)</v>
      </c>
      <c r="F103" s="173" t="str">
        <f ca="1">IF(RegimeExecucao="Global","",ORÇAMENTO.Unidade)</f>
        <v>-</v>
      </c>
      <c r="G103" s="124">
        <f ca="1">IF(RegimeExecucao="Global","",ORÇAMENTO!T103)</f>
        <v>227.7</v>
      </c>
      <c r="H103" s="124">
        <f ca="1">IF(RegimeExecucao="Global","",ORÇAMENTO!W103)</f>
        <v>0</v>
      </c>
      <c r="I103" s="127">
        <f ca="1">ORÇAMENTO!X103</f>
        <v>0</v>
      </c>
      <c r="J103" s="378">
        <f ca="1">IF($A103="S",IF(CAIXA.Modo,BM.AFAnterior,BM.MEDAnterior),IF(AND(RegimeExecucao="Global",$I103&gt;0,COUNTIF($AB$13:$AM$13,BM.medicao-1)&gt;0),M103/$I103*100,0))</f>
        <v>0</v>
      </c>
      <c r="K103" s="124">
        <f t="shared" ca="1" si="10"/>
        <v>0</v>
      </c>
      <c r="L103" s="379">
        <f ca="1">IF($A103="S",IF(CAIXA.Modo,BM.AFAcumulado,BM.MEDAcumulado),IF(AND(RegimeExecucao="Global",$I103&gt;0,COUNTIF($AB$13:$AM$13,BM.medicao)&gt;0),O103/$I103*100,0))</f>
        <v>0</v>
      </c>
      <c r="M103" s="380">
        <f ca="1">IF($A103="S",VTOTALBM,IF($A103=0,0,ROUND(SomaAgrupBM,15-13*ORÇAMENTO!$AF$11)))</f>
        <v>0</v>
      </c>
      <c r="N103" s="381">
        <f t="shared" ca="1" si="11"/>
        <v>0</v>
      </c>
      <c r="O103" s="127">
        <f ca="1">IF($A103="S",VTOTALBM,IF($A103=0,0,ROUND(SomaAgrupBM,15-13*ORÇAMENTO!$AF$11)))</f>
        <v>0</v>
      </c>
      <c r="Q103" s="382"/>
      <c r="R103" s="383"/>
      <c r="T103" s="119" t="str">
        <f t="shared" ca="1" si="12"/>
        <v/>
      </c>
      <c r="U103" s="172" t="str">
        <f t="shared" ca="1" si="13"/>
        <v/>
      </c>
      <c r="V103" s="173" t="str">
        <f ca="1">IF(AND($W103&gt;0,RegimeExecucao="Unitário"),$F103,"")</f>
        <v/>
      </c>
      <c r="W103" s="547">
        <f ca="1">IF($Y103&gt;0,CHOOSE(MATCH(RegimeExecucao,{"Unitário","Global"},0),IF($A103="S",$Y103/$X103,""),($Y103/$X103)*100),0)</f>
        <v>0</v>
      </c>
      <c r="X103" s="384" t="str">
        <f ca="1">IF($Y103&gt;0,CHOOSE(MATCH(RegimeExecucao,{"Unitário","Global"},0),IF($A103="S",ROUND($H103,ORÇAMENTO!$AF$10),""),ROUND($I103,ORÇAMENTO!$AF$11)),"")</f>
        <v/>
      </c>
      <c r="Y103" s="384">
        <f t="shared" ca="1" si="14"/>
        <v>0</v>
      </c>
      <c r="Z103" s="572"/>
      <c r="AB103" s="382"/>
      <c r="AC103" s="516"/>
      <c r="AD103" s="516"/>
      <c r="AE103" s="516"/>
      <c r="AF103" s="516"/>
      <c r="AG103" s="516"/>
      <c r="AH103" s="516"/>
      <c r="AI103" s="516"/>
      <c r="AJ103" s="516"/>
      <c r="AK103" s="516"/>
      <c r="AL103" s="516"/>
      <c r="AM103" s="383"/>
      <c r="AO103">
        <f ca="1">IF($A103="S",IF(BM!$I103=0,0,CHOOSE(MATCH(RegimeExecucao,{"Global","Unitário"},0),ROUND(ROUND(BM.MEDAcumulado,15-13*BM!$A$9)/100*BM!$I103,15-13*ORÇAMENTO!$AF$11),ROUND(ROUND(BM.MEDAcumulado,15-13*BM!$A$9)*ROUND(BM!$H103,15-13*ORÇAMENTO!$AF$10),15-13*ORÇAMENTO!$AF$11))),IF($A103=0,0,ROUND(SomaAgrupBM,15-13*ORÇAMENTO!$AF$11)))</f>
        <v>0</v>
      </c>
    </row>
    <row r="104" spans="1:41" ht="38.25" x14ac:dyDescent="0.2">
      <c r="A104" t="str">
        <f ca="1">ORÇAMENTO!C104</f>
        <v>S</v>
      </c>
      <c r="B104">
        <f ca="1">ORÇAMENTO!D104</f>
        <v>0</v>
      </c>
      <c r="C104" s="116" t="str">
        <f t="shared" ca="1" si="8"/>
        <v/>
      </c>
      <c r="D104" s="119" t="str">
        <f ca="1">ORÇAMENTO!O104</f>
        <v>-</v>
      </c>
      <c r="E104" s="172" t="str">
        <f t="shared" ca="1" si="9"/>
        <v>(abra o arquivo 'Referência 02-2025.xlsm)</v>
      </c>
      <c r="F104" s="173" t="str">
        <f ca="1">IF(RegimeExecucao="Global","",ORÇAMENTO.Unidade)</f>
        <v>-</v>
      </c>
      <c r="G104" s="124">
        <f ca="1">IF(RegimeExecucao="Global","",ORÇAMENTO!T104)</f>
        <v>227.7</v>
      </c>
      <c r="H104" s="124">
        <f ca="1">IF(RegimeExecucao="Global","",ORÇAMENTO!W104)</f>
        <v>0</v>
      </c>
      <c r="I104" s="127">
        <f ca="1">ORÇAMENTO!X104</f>
        <v>0</v>
      </c>
      <c r="J104" s="378">
        <f ca="1">IF($A104="S",IF(CAIXA.Modo,BM.AFAnterior,BM.MEDAnterior),IF(AND(RegimeExecucao="Global",$I104&gt;0,COUNTIF($AB$13:$AM$13,BM.medicao-1)&gt;0),M104/$I104*100,0))</f>
        <v>0</v>
      </c>
      <c r="K104" s="124">
        <f t="shared" ca="1" si="10"/>
        <v>0</v>
      </c>
      <c r="L104" s="379">
        <f ca="1">IF($A104="S",IF(CAIXA.Modo,BM.AFAcumulado,BM.MEDAcumulado),IF(AND(RegimeExecucao="Global",$I104&gt;0,COUNTIF($AB$13:$AM$13,BM.medicao)&gt;0),O104/$I104*100,0))</f>
        <v>0</v>
      </c>
      <c r="M104" s="380">
        <f ca="1">IF($A104="S",VTOTALBM,IF($A104=0,0,ROUND(SomaAgrupBM,15-13*ORÇAMENTO!$AF$11)))</f>
        <v>0</v>
      </c>
      <c r="N104" s="381">
        <f t="shared" ca="1" si="11"/>
        <v>0</v>
      </c>
      <c r="O104" s="127">
        <f ca="1">IF($A104="S",VTOTALBM,IF($A104=0,0,ROUND(SomaAgrupBM,15-13*ORÇAMENTO!$AF$11)))</f>
        <v>0</v>
      </c>
      <c r="Q104" s="382"/>
      <c r="R104" s="383"/>
      <c r="T104" s="119" t="str">
        <f t="shared" ca="1" si="12"/>
        <v/>
      </c>
      <c r="U104" s="172" t="str">
        <f t="shared" ca="1" si="13"/>
        <v/>
      </c>
      <c r="V104" s="173" t="str">
        <f ca="1">IF(AND($W104&gt;0,RegimeExecucao="Unitário"),$F104,"")</f>
        <v/>
      </c>
      <c r="W104" s="547">
        <f ca="1">IF($Y104&gt;0,CHOOSE(MATCH(RegimeExecucao,{"Unitário","Global"},0),IF($A104="S",$Y104/$X104,""),($Y104/$X104)*100),0)</f>
        <v>0</v>
      </c>
      <c r="X104" s="384" t="str">
        <f ca="1">IF($Y104&gt;0,CHOOSE(MATCH(RegimeExecucao,{"Unitário","Global"},0),IF($A104="S",ROUND($H104,ORÇAMENTO!$AF$10),""),ROUND($I104,ORÇAMENTO!$AF$11)),"")</f>
        <v/>
      </c>
      <c r="Y104" s="384">
        <f t="shared" ca="1" si="14"/>
        <v>0</v>
      </c>
      <c r="Z104" s="572"/>
      <c r="AB104" s="382"/>
      <c r="AC104" s="516"/>
      <c r="AD104" s="516"/>
      <c r="AE104" s="516"/>
      <c r="AF104" s="516"/>
      <c r="AG104" s="516"/>
      <c r="AH104" s="516"/>
      <c r="AI104" s="516"/>
      <c r="AJ104" s="516"/>
      <c r="AK104" s="516"/>
      <c r="AL104" s="516"/>
      <c r="AM104" s="383"/>
      <c r="AO104">
        <f ca="1">IF($A104="S",IF(BM!$I104=0,0,CHOOSE(MATCH(RegimeExecucao,{"Global","Unitário"},0),ROUND(ROUND(BM.MEDAcumulado,15-13*BM!$A$9)/100*BM!$I104,15-13*ORÇAMENTO!$AF$11),ROUND(ROUND(BM.MEDAcumulado,15-13*BM!$A$9)*ROUND(BM!$H104,15-13*ORÇAMENTO!$AF$10),15-13*ORÇAMENTO!$AF$11))),IF($A104=0,0,ROUND(SomaAgrupBM,15-13*ORÇAMENTO!$AF$11)))</f>
        <v>0</v>
      </c>
    </row>
    <row r="105" spans="1:41" x14ac:dyDescent="0.2">
      <c r="A105">
        <f ca="1">ORÇAMENTO!C105</f>
        <v>2</v>
      </c>
      <c r="B105">
        <f ca="1">ORÇAMENTO!D105</f>
        <v>18</v>
      </c>
      <c r="C105" s="116" t="str">
        <f t="shared" ca="1" si="8"/>
        <v>F</v>
      </c>
      <c r="D105" s="119" t="str">
        <f ca="1">ORÇAMENTO!O105</f>
        <v>1.5.</v>
      </c>
      <c r="E105" s="172" t="str">
        <f t="shared" ca="1" si="9"/>
        <v>SISTEMA DE VEDAÇÃO VERTICAL</v>
      </c>
      <c r="F105" s="173" t="str">
        <f ca="1">IF(RegimeExecucao="Global","",ORÇAMENTO.Unidade)</f>
        <v>-</v>
      </c>
      <c r="G105" s="124">
        <f ca="1">IF(RegimeExecucao="Global","",ORÇAMENTO!T105)</f>
        <v>0</v>
      </c>
      <c r="H105" s="124">
        <f ca="1">IF(RegimeExecucao="Global","",ORÇAMENTO!W105)</f>
        <v>0</v>
      </c>
      <c r="I105" s="127">
        <f ca="1">ORÇAMENTO!X105</f>
        <v>0</v>
      </c>
      <c r="J105" s="378">
        <f ca="1">IF($A105="S",IF(CAIXA.Modo,BM.AFAnterior,BM.MEDAnterior),IF(AND(RegimeExecucao="Global",$I105&gt;0,COUNTIF($AB$13:$AM$13,BM.medicao-1)&gt;0),M105/$I105*100,0))</f>
        <v>0</v>
      </c>
      <c r="K105" s="124">
        <f t="shared" ca="1" si="10"/>
        <v>0</v>
      </c>
      <c r="L105" s="379">
        <f ca="1">IF($A105="S",IF(CAIXA.Modo,BM.AFAcumulado,BM.MEDAcumulado),IF(AND(RegimeExecucao="Global",$I105&gt;0,COUNTIF($AB$13:$AM$13,BM.medicao)&gt;0),O105/$I105*100,0))</f>
        <v>0</v>
      </c>
      <c r="M105" s="380">
        <f ca="1">IF($A105="S",VTOTALBM,IF($A105=0,0,ROUND(SomaAgrupBM,15-13*ORÇAMENTO!$AF$11)))</f>
        <v>0</v>
      </c>
      <c r="N105" s="381">
        <f t="shared" ca="1" si="11"/>
        <v>0</v>
      </c>
      <c r="O105" s="127">
        <f ca="1">IF($A105="S",VTOTALBM,IF($A105=0,0,ROUND(SomaAgrupBM,15-13*ORÇAMENTO!$AF$11)))</f>
        <v>0</v>
      </c>
      <c r="Q105" s="382"/>
      <c r="R105" s="383"/>
      <c r="T105" s="119" t="str">
        <f t="shared" ca="1" si="12"/>
        <v/>
      </c>
      <c r="U105" s="172" t="str">
        <f t="shared" ca="1" si="13"/>
        <v/>
      </c>
      <c r="V105" s="173" t="str">
        <f ca="1">IF(AND($W105&gt;0,RegimeExecucao="Unitário"),$F105,"")</f>
        <v/>
      </c>
      <c r="W105" s="547">
        <f ca="1">IF($Y105&gt;0,CHOOSE(MATCH(RegimeExecucao,{"Unitário","Global"},0),IF($A105="S",$Y105/$X105,""),($Y105/$X105)*100),0)</f>
        <v>0</v>
      </c>
      <c r="X105" s="384" t="str">
        <f ca="1">IF($Y105&gt;0,CHOOSE(MATCH(RegimeExecucao,{"Unitário","Global"},0),IF($A105="S",ROUND($H105,ORÇAMENTO!$AF$10),""),ROUND($I105,ORÇAMENTO!$AF$11)),"")</f>
        <v/>
      </c>
      <c r="Y105" s="384">
        <f t="shared" ca="1" si="14"/>
        <v>0</v>
      </c>
      <c r="Z105" s="572"/>
      <c r="AB105" s="382"/>
      <c r="AC105" s="516"/>
      <c r="AD105" s="516"/>
      <c r="AE105" s="516"/>
      <c r="AF105" s="516"/>
      <c r="AG105" s="516"/>
      <c r="AH105" s="516"/>
      <c r="AI105" s="516"/>
      <c r="AJ105" s="516"/>
      <c r="AK105" s="516"/>
      <c r="AL105" s="516"/>
      <c r="AM105" s="383"/>
      <c r="AO105">
        <f ca="1">IF($A105="S",IF(BM!$I105=0,0,CHOOSE(MATCH(RegimeExecucao,{"Global","Unitário"},0),ROUND(ROUND(BM.MEDAcumulado,15-13*BM!$A$9)/100*BM!$I105,15-13*ORÇAMENTO!$AF$11),ROUND(ROUND(BM.MEDAcumulado,15-13*BM!$A$9)*ROUND(BM!$H105,15-13*ORÇAMENTO!$AF$10),15-13*ORÇAMENTO!$AF$11))),IF($A105=0,0,ROUND(SomaAgrupBM,15-13*ORÇAMENTO!$AF$11)))</f>
        <v>0</v>
      </c>
    </row>
    <row r="106" spans="1:41" x14ac:dyDescent="0.2">
      <c r="A106">
        <f ca="1">ORÇAMENTO!C106</f>
        <v>3</v>
      </c>
      <c r="B106">
        <f ca="1">ORÇAMENTO!D106</f>
        <v>2</v>
      </c>
      <c r="C106" s="116" t="str">
        <f t="shared" ca="1" si="8"/>
        <v>F</v>
      </c>
      <c r="D106" s="119" t="str">
        <f ca="1">ORÇAMENTO!O106</f>
        <v>1.5.1.</v>
      </c>
      <c r="E106" s="172" t="str">
        <f t="shared" ca="1" si="9"/>
        <v>ELEMENTOS VAZADOS</v>
      </c>
      <c r="F106" s="173" t="str">
        <f ca="1">IF(RegimeExecucao="Global","",ORÇAMENTO.Unidade)</f>
        <v>-</v>
      </c>
      <c r="G106" s="124">
        <f ca="1">IF(RegimeExecucao="Global","",ORÇAMENTO!T106)</f>
        <v>0</v>
      </c>
      <c r="H106" s="124">
        <f ca="1">IF(RegimeExecucao="Global","",ORÇAMENTO!W106)</f>
        <v>0</v>
      </c>
      <c r="I106" s="127">
        <f ca="1">ORÇAMENTO!X106</f>
        <v>0</v>
      </c>
      <c r="J106" s="378">
        <f ca="1">IF($A106="S",IF(CAIXA.Modo,BM.AFAnterior,BM.MEDAnterior),IF(AND(RegimeExecucao="Global",$I106&gt;0,COUNTIF($AB$13:$AM$13,BM.medicao-1)&gt;0),M106/$I106*100,0))</f>
        <v>0</v>
      </c>
      <c r="K106" s="124">
        <f t="shared" ca="1" si="10"/>
        <v>0</v>
      </c>
      <c r="L106" s="379">
        <f ca="1">IF($A106="S",IF(CAIXA.Modo,BM.AFAcumulado,BM.MEDAcumulado),IF(AND(RegimeExecucao="Global",$I106&gt;0,COUNTIF($AB$13:$AM$13,BM.medicao)&gt;0),O106/$I106*100,0))</f>
        <v>0</v>
      </c>
      <c r="M106" s="380">
        <f ca="1">IF($A106="S",VTOTALBM,IF($A106=0,0,ROUND(SomaAgrupBM,15-13*ORÇAMENTO!$AF$11)))</f>
        <v>0</v>
      </c>
      <c r="N106" s="381">
        <f t="shared" ca="1" si="11"/>
        <v>0</v>
      </c>
      <c r="O106" s="127">
        <f ca="1">IF($A106="S",VTOTALBM,IF($A106=0,0,ROUND(SomaAgrupBM,15-13*ORÇAMENTO!$AF$11)))</f>
        <v>0</v>
      </c>
      <c r="Q106" s="382"/>
      <c r="R106" s="383"/>
      <c r="T106" s="119" t="str">
        <f t="shared" ca="1" si="12"/>
        <v/>
      </c>
      <c r="U106" s="172" t="str">
        <f t="shared" ca="1" si="13"/>
        <v/>
      </c>
      <c r="V106" s="173" t="str">
        <f ca="1">IF(AND($W106&gt;0,RegimeExecucao="Unitário"),$F106,"")</f>
        <v/>
      </c>
      <c r="W106" s="547">
        <f ca="1">IF($Y106&gt;0,CHOOSE(MATCH(RegimeExecucao,{"Unitário","Global"},0),IF($A106="S",$Y106/$X106,""),($Y106/$X106)*100),0)</f>
        <v>0</v>
      </c>
      <c r="X106" s="384" t="str">
        <f ca="1">IF($Y106&gt;0,CHOOSE(MATCH(RegimeExecucao,{"Unitário","Global"},0),IF($A106="S",ROUND($H106,ORÇAMENTO!$AF$10),""),ROUND($I106,ORÇAMENTO!$AF$11)),"")</f>
        <v/>
      </c>
      <c r="Y106" s="384">
        <f t="shared" ca="1" si="14"/>
        <v>0</v>
      </c>
      <c r="Z106" s="572"/>
      <c r="AB106" s="382"/>
      <c r="AC106" s="516"/>
      <c r="AD106" s="516"/>
      <c r="AE106" s="516"/>
      <c r="AF106" s="516"/>
      <c r="AG106" s="516"/>
      <c r="AH106" s="516"/>
      <c r="AI106" s="516"/>
      <c r="AJ106" s="516"/>
      <c r="AK106" s="516"/>
      <c r="AL106" s="516"/>
      <c r="AM106" s="383"/>
      <c r="AO106">
        <f ca="1">IF($A106="S",IF(BM!$I106=0,0,CHOOSE(MATCH(RegimeExecucao,{"Global","Unitário"},0),ROUND(ROUND(BM.MEDAcumulado,15-13*BM!$A$9)/100*BM!$I106,15-13*ORÇAMENTO!$AF$11),ROUND(ROUND(BM.MEDAcumulado,15-13*BM!$A$9)*ROUND(BM!$H106,15-13*ORÇAMENTO!$AF$10),15-13*ORÇAMENTO!$AF$11))),IF($A106=0,0,ROUND(SomaAgrupBM,15-13*ORÇAMENTO!$AF$11)))</f>
        <v>0</v>
      </c>
    </row>
    <row r="107" spans="1:41" ht="38.25" x14ac:dyDescent="0.2">
      <c r="A107" t="str">
        <f ca="1">ORÇAMENTO!C107</f>
        <v>S</v>
      </c>
      <c r="B107">
        <f ca="1">ORÇAMENTO!D107</f>
        <v>0</v>
      </c>
      <c r="C107" s="116" t="str">
        <f t="shared" ca="1" si="8"/>
        <v/>
      </c>
      <c r="D107" s="119" t="str">
        <f ca="1">ORÇAMENTO!O107</f>
        <v>-</v>
      </c>
      <c r="E107" s="172" t="str">
        <f t="shared" ca="1" si="9"/>
        <v>(abra o arquivo 'Referência 02-2025.xlsm)</v>
      </c>
      <c r="F107" s="173" t="str">
        <f ca="1">IF(RegimeExecucao="Global","",ORÇAMENTO.Unidade)</f>
        <v>-</v>
      </c>
      <c r="G107" s="124">
        <f ca="1">IF(RegimeExecucao="Global","",ORÇAMENTO!T107)</f>
        <v>4.8</v>
      </c>
      <c r="H107" s="124">
        <f ca="1">IF(RegimeExecucao="Global","",ORÇAMENTO!W107)</f>
        <v>0</v>
      </c>
      <c r="I107" s="127">
        <f ca="1">ORÇAMENTO!X107</f>
        <v>0</v>
      </c>
      <c r="J107" s="378">
        <f ca="1">IF($A107="S",IF(CAIXA.Modo,BM.AFAnterior,BM.MEDAnterior),IF(AND(RegimeExecucao="Global",$I107&gt;0,COUNTIF($AB$13:$AM$13,BM.medicao-1)&gt;0),M107/$I107*100,0))</f>
        <v>0</v>
      </c>
      <c r="K107" s="124">
        <f t="shared" ca="1" si="10"/>
        <v>0</v>
      </c>
      <c r="L107" s="379">
        <f ca="1">IF($A107="S",IF(CAIXA.Modo,BM.AFAcumulado,BM.MEDAcumulado),IF(AND(RegimeExecucao="Global",$I107&gt;0,COUNTIF($AB$13:$AM$13,BM.medicao)&gt;0),O107/$I107*100,0))</f>
        <v>0</v>
      </c>
      <c r="M107" s="380">
        <f ca="1">IF($A107="S",VTOTALBM,IF($A107=0,0,ROUND(SomaAgrupBM,15-13*ORÇAMENTO!$AF$11)))</f>
        <v>0</v>
      </c>
      <c r="N107" s="381">
        <f t="shared" ca="1" si="11"/>
        <v>0</v>
      </c>
      <c r="O107" s="127">
        <f ca="1">IF($A107="S",VTOTALBM,IF($A107=0,0,ROUND(SomaAgrupBM,15-13*ORÇAMENTO!$AF$11)))</f>
        <v>0</v>
      </c>
      <c r="Q107" s="382"/>
      <c r="R107" s="383"/>
      <c r="T107" s="119" t="str">
        <f t="shared" ca="1" si="12"/>
        <v/>
      </c>
      <c r="U107" s="172" t="str">
        <f t="shared" ca="1" si="13"/>
        <v/>
      </c>
      <c r="V107" s="173" t="str">
        <f ca="1">IF(AND($W107&gt;0,RegimeExecucao="Unitário"),$F107,"")</f>
        <v/>
      </c>
      <c r="W107" s="547">
        <f ca="1">IF($Y107&gt;0,CHOOSE(MATCH(RegimeExecucao,{"Unitário","Global"},0),IF($A107="S",$Y107/$X107,""),($Y107/$X107)*100),0)</f>
        <v>0</v>
      </c>
      <c r="X107" s="384" t="str">
        <f ca="1">IF($Y107&gt;0,CHOOSE(MATCH(RegimeExecucao,{"Unitário","Global"},0),IF($A107="S",ROUND($H107,ORÇAMENTO!$AF$10),""),ROUND($I107,ORÇAMENTO!$AF$11)),"")</f>
        <v/>
      </c>
      <c r="Y107" s="384">
        <f t="shared" ca="1" si="14"/>
        <v>0</v>
      </c>
      <c r="Z107" s="572"/>
      <c r="AB107" s="382"/>
      <c r="AC107" s="516"/>
      <c r="AD107" s="516"/>
      <c r="AE107" s="516"/>
      <c r="AF107" s="516"/>
      <c r="AG107" s="516"/>
      <c r="AH107" s="516"/>
      <c r="AI107" s="516"/>
      <c r="AJ107" s="516"/>
      <c r="AK107" s="516"/>
      <c r="AL107" s="516"/>
      <c r="AM107" s="383"/>
      <c r="AO107">
        <f ca="1">IF($A107="S",IF(BM!$I107=0,0,CHOOSE(MATCH(RegimeExecucao,{"Global","Unitário"},0),ROUND(ROUND(BM.MEDAcumulado,15-13*BM!$A$9)/100*BM!$I107,15-13*ORÇAMENTO!$AF$11),ROUND(ROUND(BM.MEDAcumulado,15-13*BM!$A$9)*ROUND(BM!$H107,15-13*ORÇAMENTO!$AF$10),15-13*ORÇAMENTO!$AF$11))),IF($A107=0,0,ROUND(SomaAgrupBM,15-13*ORÇAMENTO!$AF$11)))</f>
        <v>0</v>
      </c>
    </row>
    <row r="108" spans="1:41" x14ac:dyDescent="0.2">
      <c r="A108">
        <f ca="1">ORÇAMENTO!C108</f>
        <v>3</v>
      </c>
      <c r="B108">
        <f ca="1">ORÇAMENTO!D108</f>
        <v>6</v>
      </c>
      <c r="C108" s="116" t="str">
        <f t="shared" ca="1" si="8"/>
        <v>F</v>
      </c>
      <c r="D108" s="119" t="str">
        <f ca="1">ORÇAMENTO!O108</f>
        <v>1.5.2.</v>
      </c>
      <c r="E108" s="172" t="str">
        <f t="shared" ca="1" si="9"/>
        <v>ALVENARIA DE VEDAÇÃO</v>
      </c>
      <c r="F108" s="173" t="str">
        <f ca="1">IF(RegimeExecucao="Global","",ORÇAMENTO.Unidade)</f>
        <v>-</v>
      </c>
      <c r="G108" s="124">
        <f ca="1">IF(RegimeExecucao="Global","",ORÇAMENTO!T108)</f>
        <v>0</v>
      </c>
      <c r="H108" s="124">
        <f ca="1">IF(RegimeExecucao="Global","",ORÇAMENTO!W108)</f>
        <v>0</v>
      </c>
      <c r="I108" s="127">
        <f ca="1">ORÇAMENTO!X108</f>
        <v>0</v>
      </c>
      <c r="J108" s="378">
        <f ca="1">IF($A108="S",IF(CAIXA.Modo,BM.AFAnterior,BM.MEDAnterior),IF(AND(RegimeExecucao="Global",$I108&gt;0,COUNTIF($AB$13:$AM$13,BM.medicao-1)&gt;0),M108/$I108*100,0))</f>
        <v>0</v>
      </c>
      <c r="K108" s="124">
        <f t="shared" ca="1" si="10"/>
        <v>0</v>
      </c>
      <c r="L108" s="379">
        <f ca="1">IF($A108="S",IF(CAIXA.Modo,BM.AFAcumulado,BM.MEDAcumulado),IF(AND(RegimeExecucao="Global",$I108&gt;0,COUNTIF($AB$13:$AM$13,BM.medicao)&gt;0),O108/$I108*100,0))</f>
        <v>0</v>
      </c>
      <c r="M108" s="380">
        <f ca="1">IF($A108="S",VTOTALBM,IF($A108=0,0,ROUND(SomaAgrupBM,15-13*ORÇAMENTO!$AF$11)))</f>
        <v>0</v>
      </c>
      <c r="N108" s="381">
        <f t="shared" ca="1" si="11"/>
        <v>0</v>
      </c>
      <c r="O108" s="127">
        <f ca="1">IF($A108="S",VTOTALBM,IF($A108=0,0,ROUND(SomaAgrupBM,15-13*ORÇAMENTO!$AF$11)))</f>
        <v>0</v>
      </c>
      <c r="Q108" s="382"/>
      <c r="R108" s="383"/>
      <c r="T108" s="119" t="str">
        <f t="shared" ca="1" si="12"/>
        <v/>
      </c>
      <c r="U108" s="172" t="str">
        <f t="shared" ca="1" si="13"/>
        <v/>
      </c>
      <c r="V108" s="173" t="str">
        <f ca="1">IF(AND($W108&gt;0,RegimeExecucao="Unitário"),$F108,"")</f>
        <v/>
      </c>
      <c r="W108" s="547">
        <f ca="1">IF($Y108&gt;0,CHOOSE(MATCH(RegimeExecucao,{"Unitário","Global"},0),IF($A108="S",$Y108/$X108,""),($Y108/$X108)*100),0)</f>
        <v>0</v>
      </c>
      <c r="X108" s="384" t="str">
        <f ca="1">IF($Y108&gt;0,CHOOSE(MATCH(RegimeExecucao,{"Unitário","Global"},0),IF($A108="S",ROUND($H108,ORÇAMENTO!$AF$10),""),ROUND($I108,ORÇAMENTO!$AF$11)),"")</f>
        <v/>
      </c>
      <c r="Y108" s="384">
        <f t="shared" ca="1" si="14"/>
        <v>0</v>
      </c>
      <c r="Z108" s="572"/>
      <c r="AB108" s="382"/>
      <c r="AC108" s="516"/>
      <c r="AD108" s="516"/>
      <c r="AE108" s="516"/>
      <c r="AF108" s="516"/>
      <c r="AG108" s="516"/>
      <c r="AH108" s="516"/>
      <c r="AI108" s="516"/>
      <c r="AJ108" s="516"/>
      <c r="AK108" s="516"/>
      <c r="AL108" s="516"/>
      <c r="AM108" s="383"/>
      <c r="AO108">
        <f ca="1">IF($A108="S",IF(BM!$I108=0,0,CHOOSE(MATCH(RegimeExecucao,{"Global","Unitário"},0),ROUND(ROUND(BM.MEDAcumulado,15-13*BM!$A$9)/100*BM!$I108,15-13*ORÇAMENTO!$AF$11),ROUND(ROUND(BM.MEDAcumulado,15-13*BM!$A$9)*ROUND(BM!$H108,15-13*ORÇAMENTO!$AF$10),15-13*ORÇAMENTO!$AF$11))),IF($A108=0,0,ROUND(SomaAgrupBM,15-13*ORÇAMENTO!$AF$11)))</f>
        <v>0</v>
      </c>
    </row>
    <row r="109" spans="1:41" ht="38.25" x14ac:dyDescent="0.2">
      <c r="A109" t="str">
        <f ca="1">ORÇAMENTO!C109</f>
        <v>S</v>
      </c>
      <c r="B109">
        <f ca="1">ORÇAMENTO!D109</f>
        <v>0</v>
      </c>
      <c r="C109" s="116" t="str">
        <f t="shared" ca="1" si="8"/>
        <v/>
      </c>
      <c r="D109" s="119" t="str">
        <f ca="1">ORÇAMENTO!O109</f>
        <v>-</v>
      </c>
      <c r="E109" s="172" t="str">
        <f t="shared" ca="1" si="9"/>
        <v>(abra o arquivo 'Referência 02-2025.xlsm)</v>
      </c>
      <c r="F109" s="173" t="str">
        <f ca="1">IF(RegimeExecucao="Global","",ORÇAMENTO.Unidade)</f>
        <v>-</v>
      </c>
      <c r="G109" s="124">
        <f ca="1">IF(RegimeExecucao="Global","",ORÇAMENTO!T109)</f>
        <v>823.51</v>
      </c>
      <c r="H109" s="124">
        <f ca="1">IF(RegimeExecucao="Global","",ORÇAMENTO!W109)</f>
        <v>0</v>
      </c>
      <c r="I109" s="127">
        <f ca="1">ORÇAMENTO!X109</f>
        <v>0</v>
      </c>
      <c r="J109" s="378">
        <f ca="1">IF($A109="S",IF(CAIXA.Modo,BM.AFAnterior,BM.MEDAnterior),IF(AND(RegimeExecucao="Global",$I109&gt;0,COUNTIF($AB$13:$AM$13,BM.medicao-1)&gt;0),M109/$I109*100,0))</f>
        <v>0</v>
      </c>
      <c r="K109" s="124">
        <f t="shared" ca="1" si="10"/>
        <v>0</v>
      </c>
      <c r="L109" s="379">
        <f ca="1">IF($A109="S",IF(CAIXA.Modo,BM.AFAcumulado,BM.MEDAcumulado),IF(AND(RegimeExecucao="Global",$I109&gt;0,COUNTIF($AB$13:$AM$13,BM.medicao)&gt;0),O109/$I109*100,0))</f>
        <v>0</v>
      </c>
      <c r="M109" s="380">
        <f ca="1">IF($A109="S",VTOTALBM,IF($A109=0,0,ROUND(SomaAgrupBM,15-13*ORÇAMENTO!$AF$11)))</f>
        <v>0</v>
      </c>
      <c r="N109" s="381">
        <f t="shared" ca="1" si="11"/>
        <v>0</v>
      </c>
      <c r="O109" s="127">
        <f ca="1">IF($A109="S",VTOTALBM,IF($A109=0,0,ROUND(SomaAgrupBM,15-13*ORÇAMENTO!$AF$11)))</f>
        <v>0</v>
      </c>
      <c r="Q109" s="382"/>
      <c r="R109" s="383"/>
      <c r="T109" s="119" t="str">
        <f t="shared" ca="1" si="12"/>
        <v/>
      </c>
      <c r="U109" s="172" t="str">
        <f t="shared" ca="1" si="13"/>
        <v/>
      </c>
      <c r="V109" s="173" t="str">
        <f ca="1">IF(AND($W109&gt;0,RegimeExecucao="Unitário"),$F109,"")</f>
        <v/>
      </c>
      <c r="W109" s="547">
        <f ca="1">IF($Y109&gt;0,CHOOSE(MATCH(RegimeExecucao,{"Unitário","Global"},0),IF($A109="S",$Y109/$X109,""),($Y109/$X109)*100),0)</f>
        <v>0</v>
      </c>
      <c r="X109" s="384" t="str">
        <f ca="1">IF($Y109&gt;0,CHOOSE(MATCH(RegimeExecucao,{"Unitário","Global"},0),IF($A109="S",ROUND($H109,ORÇAMENTO!$AF$10),""),ROUND($I109,ORÇAMENTO!$AF$11)),"")</f>
        <v/>
      </c>
      <c r="Y109" s="384">
        <f t="shared" ca="1" si="14"/>
        <v>0</v>
      </c>
      <c r="Z109" s="572"/>
      <c r="AB109" s="382"/>
      <c r="AC109" s="516"/>
      <c r="AD109" s="516"/>
      <c r="AE109" s="516"/>
      <c r="AF109" s="516"/>
      <c r="AG109" s="516"/>
      <c r="AH109" s="516"/>
      <c r="AI109" s="516"/>
      <c r="AJ109" s="516"/>
      <c r="AK109" s="516"/>
      <c r="AL109" s="516"/>
      <c r="AM109" s="383"/>
      <c r="AO109">
        <f ca="1">IF($A109="S",IF(BM!$I109=0,0,CHOOSE(MATCH(RegimeExecucao,{"Global","Unitário"},0),ROUND(ROUND(BM.MEDAcumulado,15-13*BM!$A$9)/100*BM!$I109,15-13*ORÇAMENTO!$AF$11),ROUND(ROUND(BM.MEDAcumulado,15-13*BM!$A$9)*ROUND(BM!$H109,15-13*ORÇAMENTO!$AF$10),15-13*ORÇAMENTO!$AF$11))),IF($A109=0,0,ROUND(SomaAgrupBM,15-13*ORÇAMENTO!$AF$11)))</f>
        <v>0</v>
      </c>
    </row>
    <row r="110" spans="1:41" ht="38.25" x14ac:dyDescent="0.2">
      <c r="A110" t="str">
        <f ca="1">ORÇAMENTO!C110</f>
        <v>S</v>
      </c>
      <c r="B110">
        <f ca="1">ORÇAMENTO!D110</f>
        <v>0</v>
      </c>
      <c r="C110" s="116" t="str">
        <f t="shared" ca="1" si="8"/>
        <v/>
      </c>
      <c r="D110" s="119" t="str">
        <f ca="1">ORÇAMENTO!O110</f>
        <v>-</v>
      </c>
      <c r="E110" s="172" t="str">
        <f t="shared" ca="1" si="9"/>
        <v>(abra o arquivo 'Referência 02-2025.xlsm)</v>
      </c>
      <c r="F110" s="173" t="str">
        <f ca="1">IF(RegimeExecucao="Global","",ORÇAMENTO.Unidade)</f>
        <v>-</v>
      </c>
      <c r="G110" s="124">
        <f ca="1">IF(RegimeExecucao="Global","",ORÇAMENTO!T110)</f>
        <v>933.85</v>
      </c>
      <c r="H110" s="124">
        <f ca="1">IF(RegimeExecucao="Global","",ORÇAMENTO!W110)</f>
        <v>0</v>
      </c>
      <c r="I110" s="127">
        <f ca="1">ORÇAMENTO!X110</f>
        <v>0</v>
      </c>
      <c r="J110" s="378">
        <f ca="1">IF($A110="S",IF(CAIXA.Modo,BM.AFAnterior,BM.MEDAnterior),IF(AND(RegimeExecucao="Global",$I110&gt;0,COUNTIF($AB$13:$AM$13,BM.medicao-1)&gt;0),M110/$I110*100,0))</f>
        <v>0</v>
      </c>
      <c r="K110" s="124">
        <f t="shared" ca="1" si="10"/>
        <v>0</v>
      </c>
      <c r="L110" s="379">
        <f ca="1">IF($A110="S",IF(CAIXA.Modo,BM.AFAcumulado,BM.MEDAcumulado),IF(AND(RegimeExecucao="Global",$I110&gt;0,COUNTIF($AB$13:$AM$13,BM.medicao)&gt;0),O110/$I110*100,0))</f>
        <v>0</v>
      </c>
      <c r="M110" s="380">
        <f ca="1">IF($A110="S",VTOTALBM,IF($A110=0,0,ROUND(SomaAgrupBM,15-13*ORÇAMENTO!$AF$11)))</f>
        <v>0</v>
      </c>
      <c r="N110" s="381">
        <f t="shared" ca="1" si="11"/>
        <v>0</v>
      </c>
      <c r="O110" s="127">
        <f ca="1">IF($A110="S",VTOTALBM,IF($A110=0,0,ROUND(SomaAgrupBM,15-13*ORÇAMENTO!$AF$11)))</f>
        <v>0</v>
      </c>
      <c r="Q110" s="382"/>
      <c r="R110" s="383"/>
      <c r="T110" s="119" t="str">
        <f t="shared" ca="1" si="12"/>
        <v/>
      </c>
      <c r="U110" s="172" t="str">
        <f t="shared" ca="1" si="13"/>
        <v/>
      </c>
      <c r="V110" s="173" t="str">
        <f ca="1">IF(AND($W110&gt;0,RegimeExecucao="Unitário"),$F110,"")</f>
        <v/>
      </c>
      <c r="W110" s="547">
        <f ca="1">IF($Y110&gt;0,CHOOSE(MATCH(RegimeExecucao,{"Unitário","Global"},0),IF($A110="S",$Y110/$X110,""),($Y110/$X110)*100),0)</f>
        <v>0</v>
      </c>
      <c r="X110" s="384" t="str">
        <f ca="1">IF($Y110&gt;0,CHOOSE(MATCH(RegimeExecucao,{"Unitário","Global"},0),IF($A110="S",ROUND($H110,ORÇAMENTO!$AF$10),""),ROUND($I110,ORÇAMENTO!$AF$11)),"")</f>
        <v/>
      </c>
      <c r="Y110" s="384">
        <f t="shared" ca="1" si="14"/>
        <v>0</v>
      </c>
      <c r="Z110" s="572"/>
      <c r="AB110" s="382"/>
      <c r="AC110" s="516"/>
      <c r="AD110" s="516"/>
      <c r="AE110" s="516"/>
      <c r="AF110" s="516"/>
      <c r="AG110" s="516"/>
      <c r="AH110" s="516"/>
      <c r="AI110" s="516"/>
      <c r="AJ110" s="516"/>
      <c r="AK110" s="516"/>
      <c r="AL110" s="516"/>
      <c r="AM110" s="383"/>
      <c r="AO110">
        <f ca="1">IF($A110="S",IF(BM!$I110=0,0,CHOOSE(MATCH(RegimeExecucao,{"Global","Unitário"},0),ROUND(ROUND(BM.MEDAcumulado,15-13*BM!$A$9)/100*BM!$I110,15-13*ORÇAMENTO!$AF$11),ROUND(ROUND(BM.MEDAcumulado,15-13*BM!$A$9)*ROUND(BM!$H110,15-13*ORÇAMENTO!$AF$10),15-13*ORÇAMENTO!$AF$11))),IF($A110=0,0,ROUND(SomaAgrupBM,15-13*ORÇAMENTO!$AF$11)))</f>
        <v>0</v>
      </c>
    </row>
    <row r="111" spans="1:41" ht="38.25" x14ac:dyDescent="0.2">
      <c r="A111" t="str">
        <f ca="1">ORÇAMENTO!C111</f>
        <v>S</v>
      </c>
      <c r="B111">
        <f ca="1">ORÇAMENTO!D111</f>
        <v>0</v>
      </c>
      <c r="C111" s="116" t="str">
        <f t="shared" ca="1" si="8"/>
        <v/>
      </c>
      <c r="D111" s="119" t="str">
        <f ca="1">ORÇAMENTO!O111</f>
        <v>-</v>
      </c>
      <c r="E111" s="172" t="str">
        <f t="shared" ca="1" si="9"/>
        <v>(abra o arquivo 'Referência 02-2025.xlsm)</v>
      </c>
      <c r="F111" s="173" t="str">
        <f ca="1">IF(RegimeExecucao="Global","",ORÇAMENTO.Unidade)</f>
        <v>-</v>
      </c>
      <c r="G111" s="124">
        <f ca="1">IF(RegimeExecucao="Global","",ORÇAMENTO!T111)</f>
        <v>17.16</v>
      </c>
      <c r="H111" s="124">
        <f ca="1">IF(RegimeExecucao="Global","",ORÇAMENTO!W111)</f>
        <v>0</v>
      </c>
      <c r="I111" s="127">
        <f ca="1">ORÇAMENTO!X111</f>
        <v>0</v>
      </c>
      <c r="J111" s="378">
        <f ca="1">IF($A111="S",IF(CAIXA.Modo,BM.AFAnterior,BM.MEDAnterior),IF(AND(RegimeExecucao="Global",$I111&gt;0,COUNTIF($AB$13:$AM$13,BM.medicao-1)&gt;0),M111/$I111*100,0))</f>
        <v>0</v>
      </c>
      <c r="K111" s="124">
        <f t="shared" ca="1" si="10"/>
        <v>0</v>
      </c>
      <c r="L111" s="379">
        <f ca="1">IF($A111="S",IF(CAIXA.Modo,BM.AFAcumulado,BM.MEDAcumulado),IF(AND(RegimeExecucao="Global",$I111&gt;0,COUNTIF($AB$13:$AM$13,BM.medicao)&gt;0),O111/$I111*100,0))</f>
        <v>0</v>
      </c>
      <c r="M111" s="380">
        <f ca="1">IF($A111="S",VTOTALBM,IF($A111=0,0,ROUND(SomaAgrupBM,15-13*ORÇAMENTO!$AF$11)))</f>
        <v>0</v>
      </c>
      <c r="N111" s="381">
        <f t="shared" ca="1" si="11"/>
        <v>0</v>
      </c>
      <c r="O111" s="127">
        <f ca="1">IF($A111="S",VTOTALBM,IF($A111=0,0,ROUND(SomaAgrupBM,15-13*ORÇAMENTO!$AF$11)))</f>
        <v>0</v>
      </c>
      <c r="Q111" s="382"/>
      <c r="R111" s="383"/>
      <c r="T111" s="119" t="str">
        <f t="shared" ca="1" si="12"/>
        <v/>
      </c>
      <c r="U111" s="172" t="str">
        <f t="shared" ca="1" si="13"/>
        <v/>
      </c>
      <c r="V111" s="173" t="str">
        <f ca="1">IF(AND($W111&gt;0,RegimeExecucao="Unitário"),$F111,"")</f>
        <v/>
      </c>
      <c r="W111" s="547">
        <f ca="1">IF($Y111&gt;0,CHOOSE(MATCH(RegimeExecucao,{"Unitário","Global"},0),IF($A111="S",$Y111/$X111,""),($Y111/$X111)*100),0)</f>
        <v>0</v>
      </c>
      <c r="X111" s="384" t="str">
        <f ca="1">IF($Y111&gt;0,CHOOSE(MATCH(RegimeExecucao,{"Unitário","Global"},0),IF($A111="S",ROUND($H111,ORÇAMENTO!$AF$10),""),ROUND($I111,ORÇAMENTO!$AF$11)),"")</f>
        <v/>
      </c>
      <c r="Y111" s="384">
        <f t="shared" ca="1" si="14"/>
        <v>0</v>
      </c>
      <c r="Z111" s="572"/>
      <c r="AB111" s="382"/>
      <c r="AC111" s="516"/>
      <c r="AD111" s="516"/>
      <c r="AE111" s="516"/>
      <c r="AF111" s="516"/>
      <c r="AG111" s="516"/>
      <c r="AH111" s="516"/>
      <c r="AI111" s="516"/>
      <c r="AJ111" s="516"/>
      <c r="AK111" s="516"/>
      <c r="AL111" s="516"/>
      <c r="AM111" s="383"/>
      <c r="AO111">
        <f ca="1">IF($A111="S",IF(BM!$I111=0,0,CHOOSE(MATCH(RegimeExecucao,{"Global","Unitário"},0),ROUND(ROUND(BM.MEDAcumulado,15-13*BM!$A$9)/100*BM!$I111,15-13*ORÇAMENTO!$AF$11),ROUND(ROUND(BM.MEDAcumulado,15-13*BM!$A$9)*ROUND(BM!$H111,15-13*ORÇAMENTO!$AF$10),15-13*ORÇAMENTO!$AF$11))),IF($A111=0,0,ROUND(SomaAgrupBM,15-13*ORÇAMENTO!$AF$11)))</f>
        <v>0</v>
      </c>
    </row>
    <row r="112" spans="1:41" ht="25.5" x14ac:dyDescent="0.2">
      <c r="A112" t="str">
        <f ca="1">ORÇAMENTO!C112</f>
        <v>S</v>
      </c>
      <c r="B112">
        <f ca="1">ORÇAMENTO!D112</f>
        <v>0</v>
      </c>
      <c r="C112" s="116" t="str">
        <f t="shared" ca="1" si="8"/>
        <v/>
      </c>
      <c r="D112" s="119" t="str">
        <f ca="1">ORÇAMENTO!O112</f>
        <v>-</v>
      </c>
      <c r="E112" s="172" t="str">
        <f t="shared" ca="1" si="9"/>
        <v>(abra o arquivo 'Referência 02-2025.xlsm)</v>
      </c>
      <c r="F112" s="173" t="str">
        <f ca="1">IF(RegimeExecucao="Global","",ORÇAMENTO.Unidade)</f>
        <v>-</v>
      </c>
      <c r="G112" s="124">
        <f ca="1">IF(RegimeExecucao="Global","",ORÇAMENTO!T112)</f>
        <v>639.94000000000005</v>
      </c>
      <c r="H112" s="124">
        <f ca="1">IF(RegimeExecucao="Global","",ORÇAMENTO!W112)</f>
        <v>0</v>
      </c>
      <c r="I112" s="127">
        <f ca="1">ORÇAMENTO!X112</f>
        <v>0</v>
      </c>
      <c r="J112" s="378">
        <f ca="1">IF($A112="S",IF(CAIXA.Modo,BM.AFAnterior,BM.MEDAnterior),IF(AND(RegimeExecucao="Global",$I112&gt;0,COUNTIF($AB$13:$AM$13,BM.medicao-1)&gt;0),M112/$I112*100,0))</f>
        <v>0</v>
      </c>
      <c r="K112" s="124">
        <f t="shared" ca="1" si="10"/>
        <v>0</v>
      </c>
      <c r="L112" s="379">
        <f ca="1">IF($A112="S",IF(CAIXA.Modo,BM.AFAcumulado,BM.MEDAcumulado),IF(AND(RegimeExecucao="Global",$I112&gt;0,COUNTIF($AB$13:$AM$13,BM.medicao)&gt;0),O112/$I112*100,0))</f>
        <v>0</v>
      </c>
      <c r="M112" s="380">
        <f ca="1">IF($A112="S",VTOTALBM,IF($A112=0,0,ROUND(SomaAgrupBM,15-13*ORÇAMENTO!$AF$11)))</f>
        <v>0</v>
      </c>
      <c r="N112" s="381">
        <f t="shared" ca="1" si="11"/>
        <v>0</v>
      </c>
      <c r="O112" s="127">
        <f ca="1">IF($A112="S",VTOTALBM,IF($A112=0,0,ROUND(SomaAgrupBM,15-13*ORÇAMENTO!$AF$11)))</f>
        <v>0</v>
      </c>
      <c r="Q112" s="382"/>
      <c r="R112" s="383"/>
      <c r="T112" s="119" t="str">
        <f t="shared" ca="1" si="12"/>
        <v/>
      </c>
      <c r="U112" s="172" t="str">
        <f t="shared" ca="1" si="13"/>
        <v/>
      </c>
      <c r="V112" s="173" t="str">
        <f ca="1">IF(AND($W112&gt;0,RegimeExecucao="Unitário"),$F112,"")</f>
        <v/>
      </c>
      <c r="W112" s="547">
        <f ca="1">IF($Y112&gt;0,CHOOSE(MATCH(RegimeExecucao,{"Unitário","Global"},0),IF($A112="S",$Y112/$X112,""),($Y112/$X112)*100),0)</f>
        <v>0</v>
      </c>
      <c r="X112" s="384" t="str">
        <f ca="1">IF($Y112&gt;0,CHOOSE(MATCH(RegimeExecucao,{"Unitário","Global"},0),IF($A112="S",ROUND($H112,ORÇAMENTO!$AF$10),""),ROUND($I112,ORÇAMENTO!$AF$11)),"")</f>
        <v/>
      </c>
      <c r="Y112" s="384">
        <f t="shared" ca="1" si="14"/>
        <v>0</v>
      </c>
      <c r="Z112" s="572"/>
      <c r="AB112" s="382"/>
      <c r="AC112" s="516"/>
      <c r="AD112" s="516"/>
      <c r="AE112" s="516"/>
      <c r="AF112" s="516"/>
      <c r="AG112" s="516"/>
      <c r="AH112" s="516"/>
      <c r="AI112" s="516"/>
      <c r="AJ112" s="516"/>
      <c r="AK112" s="516"/>
      <c r="AL112" s="516"/>
      <c r="AM112" s="383"/>
      <c r="AO112">
        <f ca="1">IF($A112="S",IF(BM!$I112=0,0,CHOOSE(MATCH(RegimeExecucao,{"Global","Unitário"},0),ROUND(ROUND(BM.MEDAcumulado,15-13*BM!$A$9)/100*BM!$I112,15-13*ORÇAMENTO!$AF$11),ROUND(ROUND(BM.MEDAcumulado,15-13*BM!$A$9)*ROUND(BM!$H112,15-13*ORÇAMENTO!$AF$10),15-13*ORÇAMENTO!$AF$11))),IF($A112=0,0,ROUND(SomaAgrupBM,15-13*ORÇAMENTO!$AF$11)))</f>
        <v>0</v>
      </c>
    </row>
    <row r="113" spans="1:41" ht="38.25" x14ac:dyDescent="0.2">
      <c r="A113" t="str">
        <f ca="1">ORÇAMENTO!C113</f>
        <v>S</v>
      </c>
      <c r="B113">
        <f ca="1">ORÇAMENTO!D113</f>
        <v>0</v>
      </c>
      <c r="C113" s="116" t="str">
        <f t="shared" ca="1" si="8"/>
        <v/>
      </c>
      <c r="D113" s="119" t="str">
        <f ca="1">ORÇAMENTO!O113</f>
        <v>-</v>
      </c>
      <c r="E113" s="172" t="str">
        <f t="shared" ca="1" si="9"/>
        <v>(abra o arquivo 'Referência 02-2025.xlsm)</v>
      </c>
      <c r="F113" s="173" t="str">
        <f ca="1">IF(RegimeExecucao="Global","",ORÇAMENTO.Unidade)</f>
        <v>-</v>
      </c>
      <c r="G113" s="124">
        <f ca="1">IF(RegimeExecucao="Global","",ORÇAMENTO!T113)</f>
        <v>14.71</v>
      </c>
      <c r="H113" s="124">
        <f ca="1">IF(RegimeExecucao="Global","",ORÇAMENTO!W113)</f>
        <v>0</v>
      </c>
      <c r="I113" s="127">
        <f ca="1">ORÇAMENTO!X113</f>
        <v>0</v>
      </c>
      <c r="J113" s="378">
        <f ca="1">IF($A113="S",IF(CAIXA.Modo,BM.AFAnterior,BM.MEDAnterior),IF(AND(RegimeExecucao="Global",$I113&gt;0,COUNTIF($AB$13:$AM$13,BM.medicao-1)&gt;0),M113/$I113*100,0))</f>
        <v>0</v>
      </c>
      <c r="K113" s="124">
        <f t="shared" ca="1" si="10"/>
        <v>0</v>
      </c>
      <c r="L113" s="379">
        <f ca="1">IF($A113="S",IF(CAIXA.Modo,BM.AFAcumulado,BM.MEDAcumulado),IF(AND(RegimeExecucao="Global",$I113&gt;0,COUNTIF($AB$13:$AM$13,BM.medicao)&gt;0),O113/$I113*100,0))</f>
        <v>0</v>
      </c>
      <c r="M113" s="380">
        <f ca="1">IF($A113="S",VTOTALBM,IF($A113=0,0,ROUND(SomaAgrupBM,15-13*ORÇAMENTO!$AF$11)))</f>
        <v>0</v>
      </c>
      <c r="N113" s="381">
        <f t="shared" ca="1" si="11"/>
        <v>0</v>
      </c>
      <c r="O113" s="127">
        <f ca="1">IF($A113="S",VTOTALBM,IF($A113=0,0,ROUND(SomaAgrupBM,15-13*ORÇAMENTO!$AF$11)))</f>
        <v>0</v>
      </c>
      <c r="Q113" s="382"/>
      <c r="R113" s="383"/>
      <c r="T113" s="119" t="str">
        <f t="shared" ca="1" si="12"/>
        <v/>
      </c>
      <c r="U113" s="172" t="str">
        <f t="shared" ca="1" si="13"/>
        <v/>
      </c>
      <c r="V113" s="173" t="str">
        <f ca="1">IF(AND($W113&gt;0,RegimeExecucao="Unitário"),$F113,"")</f>
        <v/>
      </c>
      <c r="W113" s="547">
        <f ca="1">IF($Y113&gt;0,CHOOSE(MATCH(RegimeExecucao,{"Unitário","Global"},0),IF($A113="S",$Y113/$X113,""),($Y113/$X113)*100),0)</f>
        <v>0</v>
      </c>
      <c r="X113" s="384" t="str">
        <f ca="1">IF($Y113&gt;0,CHOOSE(MATCH(RegimeExecucao,{"Unitário","Global"},0),IF($A113="S",ROUND($H113,ORÇAMENTO!$AF$10),""),ROUND($I113,ORÇAMENTO!$AF$11)),"")</f>
        <v/>
      </c>
      <c r="Y113" s="384">
        <f t="shared" ca="1" si="14"/>
        <v>0</v>
      </c>
      <c r="Z113" s="572"/>
      <c r="AB113" s="382"/>
      <c r="AC113" s="516"/>
      <c r="AD113" s="516"/>
      <c r="AE113" s="516"/>
      <c r="AF113" s="516"/>
      <c r="AG113" s="516"/>
      <c r="AH113" s="516"/>
      <c r="AI113" s="516"/>
      <c r="AJ113" s="516"/>
      <c r="AK113" s="516"/>
      <c r="AL113" s="516"/>
      <c r="AM113" s="383"/>
      <c r="AO113">
        <f ca="1">IF($A113="S",IF(BM!$I113=0,0,CHOOSE(MATCH(RegimeExecucao,{"Global","Unitário"},0),ROUND(ROUND(BM.MEDAcumulado,15-13*BM!$A$9)/100*BM!$I113,15-13*ORÇAMENTO!$AF$11),ROUND(ROUND(BM.MEDAcumulado,15-13*BM!$A$9)*ROUND(BM!$H113,15-13*ORÇAMENTO!$AF$10),15-13*ORÇAMENTO!$AF$11))),IF($A113=0,0,ROUND(SomaAgrupBM,15-13*ORÇAMENTO!$AF$11)))</f>
        <v>0</v>
      </c>
    </row>
    <row r="114" spans="1:41" x14ac:dyDescent="0.2">
      <c r="A114">
        <f ca="1">ORÇAMENTO!C114</f>
        <v>3</v>
      </c>
      <c r="B114">
        <f ca="1">ORÇAMENTO!D114</f>
        <v>5</v>
      </c>
      <c r="C114" s="116" t="str">
        <f t="shared" ca="1" si="8"/>
        <v>F</v>
      </c>
      <c r="D114" s="119" t="str">
        <f ca="1">ORÇAMENTO!O114</f>
        <v>1.5.3.</v>
      </c>
      <c r="E114" s="172" t="str">
        <f t="shared" si="9"/>
        <v>CONCRETO ARMADO PARA VERGAS</v>
      </c>
      <c r="F114" s="173" t="str">
        <f ca="1">IF(RegimeExecucao="Global","",ORÇAMENTO.Unidade)</f>
        <v>-</v>
      </c>
      <c r="G114" s="124">
        <f ca="1">IF(RegimeExecucao="Global","",ORÇAMENTO!T114)</f>
        <v>0</v>
      </c>
      <c r="H114" s="124">
        <f ca="1">IF(RegimeExecucao="Global","",ORÇAMENTO!W114)</f>
        <v>0</v>
      </c>
      <c r="I114" s="127">
        <f ca="1">ORÇAMENTO!X114</f>
        <v>0</v>
      </c>
      <c r="J114" s="378">
        <f ca="1">IF($A114="S",IF(CAIXA.Modo,BM.AFAnterior,BM.MEDAnterior),IF(AND(RegimeExecucao="Global",$I114&gt;0,COUNTIF($AB$13:$AM$13,BM.medicao-1)&gt;0),M114/$I114*100,0))</f>
        <v>0</v>
      </c>
      <c r="K114" s="124">
        <f t="shared" ca="1" si="10"/>
        <v>0</v>
      </c>
      <c r="L114" s="379">
        <f ca="1">IF($A114="S",IF(CAIXA.Modo,BM.AFAcumulado,BM.MEDAcumulado),IF(AND(RegimeExecucao="Global",$I114&gt;0,COUNTIF($AB$13:$AM$13,BM.medicao)&gt;0),O114/$I114*100,0))</f>
        <v>0</v>
      </c>
      <c r="M114" s="380">
        <f ca="1">IF($A114="S",VTOTALBM,IF($A114=0,0,ROUND(SomaAgrupBM,15-13*ORÇAMENTO!$AF$11)))</f>
        <v>0</v>
      </c>
      <c r="N114" s="381">
        <f t="shared" ca="1" si="11"/>
        <v>0</v>
      </c>
      <c r="O114" s="127">
        <f ca="1">IF($A114="S",VTOTALBM,IF($A114=0,0,ROUND(SomaAgrupBM,15-13*ORÇAMENTO!$AF$11)))</f>
        <v>0</v>
      </c>
      <c r="Q114" s="382"/>
      <c r="R114" s="383"/>
      <c r="T114" s="119" t="str">
        <f t="shared" ca="1" si="12"/>
        <v/>
      </c>
      <c r="U114" s="172" t="str">
        <f t="shared" ca="1" si="13"/>
        <v/>
      </c>
      <c r="V114" s="173" t="str">
        <f ca="1">IF(AND($W114&gt;0,RegimeExecucao="Unitário"),$F114,"")</f>
        <v/>
      </c>
      <c r="W114" s="547">
        <f ca="1">IF($Y114&gt;0,CHOOSE(MATCH(RegimeExecucao,{"Unitário","Global"},0),IF($A114="S",$Y114/$X114,""),($Y114/$X114)*100),0)</f>
        <v>0</v>
      </c>
      <c r="X114" s="384" t="str">
        <f ca="1">IF($Y114&gt;0,CHOOSE(MATCH(RegimeExecucao,{"Unitário","Global"},0),IF($A114="S",ROUND($H114,ORÇAMENTO!$AF$10),""),ROUND($I114,ORÇAMENTO!$AF$11)),"")</f>
        <v/>
      </c>
      <c r="Y114" s="384">
        <f t="shared" ca="1" si="14"/>
        <v>0</v>
      </c>
      <c r="Z114" s="572"/>
      <c r="AB114" s="382"/>
      <c r="AC114" s="516"/>
      <c r="AD114" s="516"/>
      <c r="AE114" s="516"/>
      <c r="AF114" s="516"/>
      <c r="AG114" s="516"/>
      <c r="AH114" s="516"/>
      <c r="AI114" s="516"/>
      <c r="AJ114" s="516"/>
      <c r="AK114" s="516"/>
      <c r="AL114" s="516"/>
      <c r="AM114" s="383"/>
      <c r="AO114">
        <f ca="1">IF($A114="S",IF(BM!$I114=0,0,CHOOSE(MATCH(RegimeExecucao,{"Global","Unitário"},0),ROUND(ROUND(BM.MEDAcumulado,15-13*BM!$A$9)/100*BM!$I114,15-13*ORÇAMENTO!$AF$11),ROUND(ROUND(BM.MEDAcumulado,15-13*BM!$A$9)*ROUND(BM!$H114,15-13*ORÇAMENTO!$AF$10),15-13*ORÇAMENTO!$AF$11))),IF($A114=0,0,ROUND(SomaAgrupBM,15-13*ORÇAMENTO!$AF$11)))</f>
        <v>0</v>
      </c>
    </row>
    <row r="115" spans="1:41" ht="25.5" x14ac:dyDescent="0.2">
      <c r="A115" t="str">
        <f ca="1">ORÇAMENTO!C115</f>
        <v>S</v>
      </c>
      <c r="B115">
        <f ca="1">ORÇAMENTO!D115</f>
        <v>0</v>
      </c>
      <c r="C115" s="116" t="str">
        <f t="shared" ca="1" si="8"/>
        <v/>
      </c>
      <c r="D115" s="119" t="str">
        <f ca="1">ORÇAMENTO!O115</f>
        <v>-</v>
      </c>
      <c r="E115" s="172" t="str">
        <f t="shared" ca="1" si="9"/>
        <v>(abra o arquivo 'Referência 02-2025.xlsm)</v>
      </c>
      <c r="F115" s="173" t="str">
        <f ca="1">IF(RegimeExecucao="Global","",ORÇAMENTO.Unidade)</f>
        <v>-</v>
      </c>
      <c r="G115" s="124">
        <f ca="1">IF(RegimeExecucao="Global","",ORÇAMENTO!T115)</f>
        <v>72.94</v>
      </c>
      <c r="H115" s="124">
        <f ca="1">IF(RegimeExecucao="Global","",ORÇAMENTO!W115)</f>
        <v>0</v>
      </c>
      <c r="I115" s="127">
        <f ca="1">ORÇAMENTO!X115</f>
        <v>0</v>
      </c>
      <c r="J115" s="378">
        <f ca="1">IF($A115="S",IF(CAIXA.Modo,BM.AFAnterior,BM.MEDAnterior),IF(AND(RegimeExecucao="Global",$I115&gt;0,COUNTIF($AB$13:$AM$13,BM.medicao-1)&gt;0),M115/$I115*100,0))</f>
        <v>0</v>
      </c>
      <c r="K115" s="124">
        <f t="shared" ca="1" si="10"/>
        <v>0</v>
      </c>
      <c r="L115" s="379">
        <f ca="1">IF($A115="S",IF(CAIXA.Modo,BM.AFAcumulado,BM.MEDAcumulado),IF(AND(RegimeExecucao="Global",$I115&gt;0,COUNTIF($AB$13:$AM$13,BM.medicao)&gt;0),O115/$I115*100,0))</f>
        <v>0</v>
      </c>
      <c r="M115" s="380">
        <f ca="1">IF($A115="S",VTOTALBM,IF($A115=0,0,ROUND(SomaAgrupBM,15-13*ORÇAMENTO!$AF$11)))</f>
        <v>0</v>
      </c>
      <c r="N115" s="381">
        <f t="shared" ca="1" si="11"/>
        <v>0</v>
      </c>
      <c r="O115" s="127">
        <f ca="1">IF($A115="S",VTOTALBM,IF($A115=0,0,ROUND(SomaAgrupBM,15-13*ORÇAMENTO!$AF$11)))</f>
        <v>0</v>
      </c>
      <c r="Q115" s="382"/>
      <c r="R115" s="383"/>
      <c r="T115" s="119" t="str">
        <f t="shared" ca="1" si="12"/>
        <v/>
      </c>
      <c r="U115" s="172" t="str">
        <f t="shared" ca="1" si="13"/>
        <v/>
      </c>
      <c r="V115" s="173" t="str">
        <f ca="1">IF(AND($W115&gt;0,RegimeExecucao="Unitário"),$F115,"")</f>
        <v/>
      </c>
      <c r="W115" s="547">
        <f ca="1">IF($Y115&gt;0,CHOOSE(MATCH(RegimeExecucao,{"Unitário","Global"},0),IF($A115="S",$Y115/$X115,""),($Y115/$X115)*100),0)</f>
        <v>0</v>
      </c>
      <c r="X115" s="384" t="str">
        <f ca="1">IF($Y115&gt;0,CHOOSE(MATCH(RegimeExecucao,{"Unitário","Global"},0),IF($A115="S",ROUND($H115,ORÇAMENTO!$AF$10),""),ROUND($I115,ORÇAMENTO!$AF$11)),"")</f>
        <v/>
      </c>
      <c r="Y115" s="384">
        <f t="shared" ca="1" si="14"/>
        <v>0</v>
      </c>
      <c r="Z115" s="572"/>
      <c r="AB115" s="382"/>
      <c r="AC115" s="516"/>
      <c r="AD115" s="516"/>
      <c r="AE115" s="516"/>
      <c r="AF115" s="516"/>
      <c r="AG115" s="516"/>
      <c r="AH115" s="516"/>
      <c r="AI115" s="516"/>
      <c r="AJ115" s="516"/>
      <c r="AK115" s="516"/>
      <c r="AL115" s="516"/>
      <c r="AM115" s="383"/>
      <c r="AO115">
        <f ca="1">IF($A115="S",IF(BM!$I115=0,0,CHOOSE(MATCH(RegimeExecucao,{"Global","Unitário"},0),ROUND(ROUND(BM.MEDAcumulado,15-13*BM!$A$9)/100*BM!$I115,15-13*ORÇAMENTO!$AF$11),ROUND(ROUND(BM.MEDAcumulado,15-13*BM!$A$9)*ROUND(BM!$H115,15-13*ORÇAMENTO!$AF$10),15-13*ORÇAMENTO!$AF$11))),IF($A115=0,0,ROUND(SomaAgrupBM,15-13*ORÇAMENTO!$AF$11)))</f>
        <v>0</v>
      </c>
    </row>
    <row r="116" spans="1:41" ht="25.5" x14ac:dyDescent="0.2">
      <c r="A116" t="str">
        <f ca="1">ORÇAMENTO!C116</f>
        <v>S</v>
      </c>
      <c r="B116">
        <f ca="1">ORÇAMENTO!D116</f>
        <v>0</v>
      </c>
      <c r="C116" s="116" t="str">
        <f t="shared" ca="1" si="8"/>
        <v/>
      </c>
      <c r="D116" s="119" t="str">
        <f ca="1">ORÇAMENTO!O116</f>
        <v>-</v>
      </c>
      <c r="E116" s="172" t="str">
        <f t="shared" ca="1" si="9"/>
        <v>(abra o arquivo 'Referência 02-2025.xlsm)</v>
      </c>
      <c r="F116" s="173" t="str">
        <f ca="1">IF(RegimeExecucao="Global","",ORÇAMENTO.Unidade)</f>
        <v>-</v>
      </c>
      <c r="G116" s="124">
        <f ca="1">IF(RegimeExecucao="Global","",ORÇAMENTO!T116)</f>
        <v>2.9</v>
      </c>
      <c r="H116" s="124">
        <f ca="1">IF(RegimeExecucao="Global","",ORÇAMENTO!W116)</f>
        <v>0</v>
      </c>
      <c r="I116" s="127">
        <f ca="1">ORÇAMENTO!X116</f>
        <v>0</v>
      </c>
      <c r="J116" s="378">
        <f ca="1">IF($A116="S",IF(CAIXA.Modo,BM.AFAnterior,BM.MEDAnterior),IF(AND(RegimeExecucao="Global",$I116&gt;0,COUNTIF($AB$13:$AM$13,BM.medicao-1)&gt;0),M116/$I116*100,0))</f>
        <v>0</v>
      </c>
      <c r="K116" s="124">
        <f t="shared" ca="1" si="10"/>
        <v>0</v>
      </c>
      <c r="L116" s="379">
        <f ca="1">IF($A116="S",IF(CAIXA.Modo,BM.AFAcumulado,BM.MEDAcumulado),IF(AND(RegimeExecucao="Global",$I116&gt;0,COUNTIF($AB$13:$AM$13,BM.medicao)&gt;0),O116/$I116*100,0))</f>
        <v>0</v>
      </c>
      <c r="M116" s="380">
        <f ca="1">IF($A116="S",VTOTALBM,IF($A116=0,0,ROUND(SomaAgrupBM,15-13*ORÇAMENTO!$AF$11)))</f>
        <v>0</v>
      </c>
      <c r="N116" s="381">
        <f t="shared" ca="1" si="11"/>
        <v>0</v>
      </c>
      <c r="O116" s="127">
        <f ca="1">IF($A116="S",VTOTALBM,IF($A116=0,0,ROUND(SomaAgrupBM,15-13*ORÇAMENTO!$AF$11)))</f>
        <v>0</v>
      </c>
      <c r="Q116" s="382"/>
      <c r="R116" s="383"/>
      <c r="T116" s="119" t="str">
        <f t="shared" ca="1" si="12"/>
        <v/>
      </c>
      <c r="U116" s="172" t="str">
        <f t="shared" ca="1" si="13"/>
        <v/>
      </c>
      <c r="V116" s="173" t="str">
        <f ca="1">IF(AND($W116&gt;0,RegimeExecucao="Unitário"),$F116,"")</f>
        <v/>
      </c>
      <c r="W116" s="547">
        <f ca="1">IF($Y116&gt;0,CHOOSE(MATCH(RegimeExecucao,{"Unitário","Global"},0),IF($A116="S",$Y116/$X116,""),($Y116/$X116)*100),0)</f>
        <v>0</v>
      </c>
      <c r="X116" s="384" t="str">
        <f ca="1">IF($Y116&gt;0,CHOOSE(MATCH(RegimeExecucao,{"Unitário","Global"},0),IF($A116="S",ROUND($H116,ORÇAMENTO!$AF$10),""),ROUND($I116,ORÇAMENTO!$AF$11)),"")</f>
        <v/>
      </c>
      <c r="Y116" s="384">
        <f t="shared" ca="1" si="14"/>
        <v>0</v>
      </c>
      <c r="Z116" s="572"/>
      <c r="AB116" s="382"/>
      <c r="AC116" s="516"/>
      <c r="AD116" s="516"/>
      <c r="AE116" s="516"/>
      <c r="AF116" s="516"/>
      <c r="AG116" s="516"/>
      <c r="AH116" s="516"/>
      <c r="AI116" s="516"/>
      <c r="AJ116" s="516"/>
      <c r="AK116" s="516"/>
      <c r="AL116" s="516"/>
      <c r="AM116" s="383"/>
      <c r="AO116">
        <f ca="1">IF($A116="S",IF(BM!$I116=0,0,CHOOSE(MATCH(RegimeExecucao,{"Global","Unitário"},0),ROUND(ROUND(BM.MEDAcumulado,15-13*BM!$A$9)/100*BM!$I116,15-13*ORÇAMENTO!$AF$11),ROUND(ROUND(BM.MEDAcumulado,15-13*BM!$A$9)*ROUND(BM!$H116,15-13*ORÇAMENTO!$AF$10),15-13*ORÇAMENTO!$AF$11))),IF($A116=0,0,ROUND(SomaAgrupBM,15-13*ORÇAMENTO!$AF$11)))</f>
        <v>0</v>
      </c>
    </row>
    <row r="117" spans="1:41" ht="25.5" x14ac:dyDescent="0.2">
      <c r="A117" t="str">
        <f ca="1">ORÇAMENTO!C117</f>
        <v>S</v>
      </c>
      <c r="B117">
        <f ca="1">ORÇAMENTO!D117</f>
        <v>0</v>
      </c>
      <c r="C117" s="116" t="str">
        <f t="shared" ca="1" si="8"/>
        <v/>
      </c>
      <c r="D117" s="119" t="str">
        <f ca="1">ORÇAMENTO!O117</f>
        <v>-</v>
      </c>
      <c r="E117" s="172" t="str">
        <f t="shared" ca="1" si="9"/>
        <v>(abra o arquivo 'Referência 02-2025.xlsm)</v>
      </c>
      <c r="F117" s="173" t="str">
        <f ca="1">IF(RegimeExecucao="Global","",ORÇAMENTO.Unidade)</f>
        <v>-</v>
      </c>
      <c r="G117" s="124">
        <f ca="1">IF(RegimeExecucao="Global","",ORÇAMENTO!T117)</f>
        <v>85.5</v>
      </c>
      <c r="H117" s="124">
        <f ca="1">IF(RegimeExecucao="Global","",ORÇAMENTO!W117)</f>
        <v>0</v>
      </c>
      <c r="I117" s="127">
        <f ca="1">ORÇAMENTO!X117</f>
        <v>0</v>
      </c>
      <c r="J117" s="378">
        <f ca="1">IF($A117="S",IF(CAIXA.Modo,BM.AFAnterior,BM.MEDAnterior),IF(AND(RegimeExecucao="Global",$I117&gt;0,COUNTIF($AB$13:$AM$13,BM.medicao-1)&gt;0),M117/$I117*100,0))</f>
        <v>0</v>
      </c>
      <c r="K117" s="124">
        <f t="shared" ca="1" si="10"/>
        <v>0</v>
      </c>
      <c r="L117" s="379">
        <f ca="1">IF($A117="S",IF(CAIXA.Modo,BM.AFAcumulado,BM.MEDAcumulado),IF(AND(RegimeExecucao="Global",$I117&gt;0,COUNTIF($AB$13:$AM$13,BM.medicao)&gt;0),O117/$I117*100,0))</f>
        <v>0</v>
      </c>
      <c r="M117" s="380">
        <f ca="1">IF($A117="S",VTOTALBM,IF($A117=0,0,ROUND(SomaAgrupBM,15-13*ORÇAMENTO!$AF$11)))</f>
        <v>0</v>
      </c>
      <c r="N117" s="381">
        <f t="shared" ca="1" si="11"/>
        <v>0</v>
      </c>
      <c r="O117" s="127">
        <f ca="1">IF($A117="S",VTOTALBM,IF($A117=0,0,ROUND(SomaAgrupBM,15-13*ORÇAMENTO!$AF$11)))</f>
        <v>0</v>
      </c>
      <c r="Q117" s="382"/>
      <c r="R117" s="383"/>
      <c r="T117" s="119" t="str">
        <f t="shared" ca="1" si="12"/>
        <v/>
      </c>
      <c r="U117" s="172" t="str">
        <f t="shared" ca="1" si="13"/>
        <v/>
      </c>
      <c r="V117" s="173" t="str">
        <f ca="1">IF(AND($W117&gt;0,RegimeExecucao="Unitário"),$F117,"")</f>
        <v/>
      </c>
      <c r="W117" s="547">
        <f ca="1">IF($Y117&gt;0,CHOOSE(MATCH(RegimeExecucao,{"Unitário","Global"},0),IF($A117="S",$Y117/$X117,""),($Y117/$X117)*100),0)</f>
        <v>0</v>
      </c>
      <c r="X117" s="384" t="str">
        <f ca="1">IF($Y117&gt;0,CHOOSE(MATCH(RegimeExecucao,{"Unitário","Global"},0),IF($A117="S",ROUND($H117,ORÇAMENTO!$AF$10),""),ROUND($I117,ORÇAMENTO!$AF$11)),"")</f>
        <v/>
      </c>
      <c r="Y117" s="384">
        <f t="shared" ca="1" si="14"/>
        <v>0</v>
      </c>
      <c r="Z117" s="572"/>
      <c r="AB117" s="382"/>
      <c r="AC117" s="516"/>
      <c r="AD117" s="516"/>
      <c r="AE117" s="516"/>
      <c r="AF117" s="516"/>
      <c r="AG117" s="516"/>
      <c r="AH117" s="516"/>
      <c r="AI117" s="516"/>
      <c r="AJ117" s="516"/>
      <c r="AK117" s="516"/>
      <c r="AL117" s="516"/>
      <c r="AM117" s="383"/>
      <c r="AO117">
        <f ca="1">IF($A117="S",IF(BM!$I117=0,0,CHOOSE(MATCH(RegimeExecucao,{"Global","Unitário"},0),ROUND(ROUND(BM.MEDAcumulado,15-13*BM!$A$9)/100*BM!$I117,15-13*ORÇAMENTO!$AF$11),ROUND(ROUND(BM.MEDAcumulado,15-13*BM!$A$9)*ROUND(BM!$H117,15-13*ORÇAMENTO!$AF$10),15-13*ORÇAMENTO!$AF$11))),IF($A117=0,0,ROUND(SomaAgrupBM,15-13*ORÇAMENTO!$AF$11)))</f>
        <v>0</v>
      </c>
    </row>
    <row r="118" spans="1:41" ht="25.5" x14ac:dyDescent="0.2">
      <c r="A118" t="str">
        <f ca="1">ORÇAMENTO!C118</f>
        <v>S</v>
      </c>
      <c r="B118">
        <f ca="1">ORÇAMENTO!D118</f>
        <v>0</v>
      </c>
      <c r="C118" s="116" t="str">
        <f t="shared" ca="1" si="8"/>
        <v/>
      </c>
      <c r="D118" s="119" t="str">
        <f ca="1">ORÇAMENTO!O118</f>
        <v>-</v>
      </c>
      <c r="E118" s="172" t="str">
        <f t="shared" ca="1" si="9"/>
        <v>(abra o arquivo 'Referência 02-2025.xlsm)</v>
      </c>
      <c r="F118" s="173" t="str">
        <f ca="1">IF(RegimeExecucao="Global","",ORÇAMENTO.Unidade)</f>
        <v>-</v>
      </c>
      <c r="G118" s="124">
        <f ca="1">IF(RegimeExecucao="Global","",ORÇAMENTO!T118)</f>
        <v>71.3</v>
      </c>
      <c r="H118" s="124">
        <f ca="1">IF(RegimeExecucao="Global","",ORÇAMENTO!W118)</f>
        <v>0</v>
      </c>
      <c r="I118" s="127">
        <f ca="1">ORÇAMENTO!X118</f>
        <v>0</v>
      </c>
      <c r="J118" s="378">
        <f ca="1">IF($A118="S",IF(CAIXA.Modo,BM.AFAnterior,BM.MEDAnterior),IF(AND(RegimeExecucao="Global",$I118&gt;0,COUNTIF($AB$13:$AM$13,BM.medicao-1)&gt;0),M118/$I118*100,0))</f>
        <v>0</v>
      </c>
      <c r="K118" s="124">
        <f t="shared" ca="1" si="10"/>
        <v>0</v>
      </c>
      <c r="L118" s="379">
        <f ca="1">IF($A118="S",IF(CAIXA.Modo,BM.AFAcumulado,BM.MEDAcumulado),IF(AND(RegimeExecucao="Global",$I118&gt;0,COUNTIF($AB$13:$AM$13,BM.medicao)&gt;0),O118/$I118*100,0))</f>
        <v>0</v>
      </c>
      <c r="M118" s="380">
        <f ca="1">IF($A118="S",VTOTALBM,IF($A118=0,0,ROUND(SomaAgrupBM,15-13*ORÇAMENTO!$AF$11)))</f>
        <v>0</v>
      </c>
      <c r="N118" s="381">
        <f t="shared" ca="1" si="11"/>
        <v>0</v>
      </c>
      <c r="O118" s="127">
        <f ca="1">IF($A118="S",VTOTALBM,IF($A118=0,0,ROUND(SomaAgrupBM,15-13*ORÇAMENTO!$AF$11)))</f>
        <v>0</v>
      </c>
      <c r="Q118" s="382"/>
      <c r="R118" s="383"/>
      <c r="T118" s="119" t="str">
        <f t="shared" ca="1" si="12"/>
        <v/>
      </c>
      <c r="U118" s="172" t="str">
        <f t="shared" ca="1" si="13"/>
        <v/>
      </c>
      <c r="V118" s="173" t="str">
        <f ca="1">IF(AND($W118&gt;0,RegimeExecucao="Unitário"),$F118,"")</f>
        <v/>
      </c>
      <c r="W118" s="547">
        <f ca="1">IF($Y118&gt;0,CHOOSE(MATCH(RegimeExecucao,{"Unitário","Global"},0),IF($A118="S",$Y118/$X118,""),($Y118/$X118)*100),0)</f>
        <v>0</v>
      </c>
      <c r="X118" s="384" t="str">
        <f ca="1">IF($Y118&gt;0,CHOOSE(MATCH(RegimeExecucao,{"Unitário","Global"},0),IF($A118="S",ROUND($H118,ORÇAMENTO!$AF$10),""),ROUND($I118,ORÇAMENTO!$AF$11)),"")</f>
        <v/>
      </c>
      <c r="Y118" s="384">
        <f t="shared" ca="1" si="14"/>
        <v>0</v>
      </c>
      <c r="Z118" s="572"/>
      <c r="AB118" s="382"/>
      <c r="AC118" s="516"/>
      <c r="AD118" s="516"/>
      <c r="AE118" s="516"/>
      <c r="AF118" s="516"/>
      <c r="AG118" s="516"/>
      <c r="AH118" s="516"/>
      <c r="AI118" s="516"/>
      <c r="AJ118" s="516"/>
      <c r="AK118" s="516"/>
      <c r="AL118" s="516"/>
      <c r="AM118" s="383"/>
      <c r="AO118">
        <f ca="1">IF($A118="S",IF(BM!$I118=0,0,CHOOSE(MATCH(RegimeExecucao,{"Global","Unitário"},0),ROUND(ROUND(BM.MEDAcumulado,15-13*BM!$A$9)/100*BM!$I118,15-13*ORÇAMENTO!$AF$11),ROUND(ROUND(BM.MEDAcumulado,15-13*BM!$A$9)*ROUND(BM!$H118,15-13*ORÇAMENTO!$AF$10),15-13*ORÇAMENTO!$AF$11))),IF($A118=0,0,ROUND(SomaAgrupBM,15-13*ORÇAMENTO!$AF$11)))</f>
        <v>0</v>
      </c>
    </row>
    <row r="119" spans="1:41" x14ac:dyDescent="0.2">
      <c r="A119">
        <f ca="1">ORÇAMENTO!C119</f>
        <v>3</v>
      </c>
      <c r="B119">
        <f ca="1">ORÇAMENTO!D119</f>
        <v>4</v>
      </c>
      <c r="C119" s="116" t="str">
        <f t="shared" ca="1" si="8"/>
        <v>F</v>
      </c>
      <c r="D119" s="119" t="str">
        <f ca="1">ORÇAMENTO!O119</f>
        <v>1.5.4.</v>
      </c>
      <c r="E119" s="172" t="str">
        <f t="shared" ca="1" si="9"/>
        <v>DIVISÓRIAS</v>
      </c>
      <c r="F119" s="173" t="str">
        <f ca="1">IF(RegimeExecucao="Global","",ORÇAMENTO.Unidade)</f>
        <v>-</v>
      </c>
      <c r="G119" s="124">
        <f ca="1">IF(RegimeExecucao="Global","",ORÇAMENTO!T119)</f>
        <v>0</v>
      </c>
      <c r="H119" s="124">
        <f ca="1">IF(RegimeExecucao="Global","",ORÇAMENTO!W119)</f>
        <v>0</v>
      </c>
      <c r="I119" s="127">
        <f ca="1">ORÇAMENTO!X119</f>
        <v>0</v>
      </c>
      <c r="J119" s="378">
        <f ca="1">IF($A119="S",IF(CAIXA.Modo,BM.AFAnterior,BM.MEDAnterior),IF(AND(RegimeExecucao="Global",$I119&gt;0,COUNTIF($AB$13:$AM$13,BM.medicao-1)&gt;0),M119/$I119*100,0))</f>
        <v>0</v>
      </c>
      <c r="K119" s="124">
        <f t="shared" ca="1" si="10"/>
        <v>0</v>
      </c>
      <c r="L119" s="379">
        <f ca="1">IF($A119="S",IF(CAIXA.Modo,BM.AFAcumulado,BM.MEDAcumulado),IF(AND(RegimeExecucao="Global",$I119&gt;0,COUNTIF($AB$13:$AM$13,BM.medicao)&gt;0),O119/$I119*100,0))</f>
        <v>0</v>
      </c>
      <c r="M119" s="380">
        <f ca="1">IF($A119="S",VTOTALBM,IF($A119=0,0,ROUND(SomaAgrupBM,15-13*ORÇAMENTO!$AF$11)))</f>
        <v>0</v>
      </c>
      <c r="N119" s="381">
        <f t="shared" ca="1" si="11"/>
        <v>0</v>
      </c>
      <c r="O119" s="127">
        <f ca="1">IF($A119="S",VTOTALBM,IF($A119=0,0,ROUND(SomaAgrupBM,15-13*ORÇAMENTO!$AF$11)))</f>
        <v>0</v>
      </c>
      <c r="Q119" s="382"/>
      <c r="R119" s="383"/>
      <c r="T119" s="119" t="str">
        <f t="shared" ca="1" si="12"/>
        <v/>
      </c>
      <c r="U119" s="172" t="str">
        <f t="shared" ca="1" si="13"/>
        <v/>
      </c>
      <c r="V119" s="173" t="str">
        <f ca="1">IF(AND($W119&gt;0,RegimeExecucao="Unitário"),$F119,"")</f>
        <v/>
      </c>
      <c r="W119" s="547">
        <f ca="1">IF($Y119&gt;0,CHOOSE(MATCH(RegimeExecucao,{"Unitário","Global"},0),IF($A119="S",$Y119/$X119,""),($Y119/$X119)*100),0)</f>
        <v>0</v>
      </c>
      <c r="X119" s="384" t="str">
        <f ca="1">IF($Y119&gt;0,CHOOSE(MATCH(RegimeExecucao,{"Unitário","Global"},0),IF($A119="S",ROUND($H119,ORÇAMENTO!$AF$10),""),ROUND($I119,ORÇAMENTO!$AF$11)),"")</f>
        <v/>
      </c>
      <c r="Y119" s="384">
        <f t="shared" ca="1" si="14"/>
        <v>0</v>
      </c>
      <c r="Z119" s="572"/>
      <c r="AB119" s="382"/>
      <c r="AC119" s="516"/>
      <c r="AD119" s="516"/>
      <c r="AE119" s="516"/>
      <c r="AF119" s="516"/>
      <c r="AG119" s="516"/>
      <c r="AH119" s="516"/>
      <c r="AI119" s="516"/>
      <c r="AJ119" s="516"/>
      <c r="AK119" s="516"/>
      <c r="AL119" s="516"/>
      <c r="AM119" s="383"/>
      <c r="AO119">
        <f ca="1">IF($A119="S",IF(BM!$I119=0,0,CHOOSE(MATCH(RegimeExecucao,{"Global","Unitário"},0),ROUND(ROUND(BM.MEDAcumulado,15-13*BM!$A$9)/100*BM!$I119,15-13*ORÇAMENTO!$AF$11),ROUND(ROUND(BM.MEDAcumulado,15-13*BM!$A$9)*ROUND(BM!$H119,15-13*ORÇAMENTO!$AF$10),15-13*ORÇAMENTO!$AF$11))),IF($A119=0,0,ROUND(SomaAgrupBM,15-13*ORÇAMENTO!$AF$11)))</f>
        <v>0</v>
      </c>
    </row>
    <row r="120" spans="1:41" ht="38.25" x14ac:dyDescent="0.2">
      <c r="A120" t="str">
        <f ca="1">ORÇAMENTO!C120</f>
        <v>S</v>
      </c>
      <c r="B120">
        <f ca="1">ORÇAMENTO!D120</f>
        <v>0</v>
      </c>
      <c r="C120" s="116" t="str">
        <f t="shared" ca="1" si="8"/>
        <v/>
      </c>
      <c r="D120" s="119" t="str">
        <f ca="1">ORÇAMENTO!O120</f>
        <v>-</v>
      </c>
      <c r="E120" s="172" t="str">
        <f t="shared" ca="1" si="9"/>
        <v>(abra o arquivo 'Referência 02-2025.xlsm)</v>
      </c>
      <c r="F120" s="173" t="str">
        <f ca="1">IF(RegimeExecucao="Global","",ORÇAMENTO.Unidade)</f>
        <v>-</v>
      </c>
      <c r="G120" s="124">
        <f ca="1">IF(RegimeExecucao="Global","",ORÇAMENTO!T120)</f>
        <v>14.36</v>
      </c>
      <c r="H120" s="124">
        <f ca="1">IF(RegimeExecucao="Global","",ORÇAMENTO!W120)</f>
        <v>0</v>
      </c>
      <c r="I120" s="127">
        <f ca="1">ORÇAMENTO!X120</f>
        <v>0</v>
      </c>
      <c r="J120" s="378">
        <f ca="1">IF($A120="S",IF(CAIXA.Modo,BM.AFAnterior,BM.MEDAnterior),IF(AND(RegimeExecucao="Global",$I120&gt;0,COUNTIF($AB$13:$AM$13,BM.medicao-1)&gt;0),M120/$I120*100,0))</f>
        <v>0</v>
      </c>
      <c r="K120" s="124">
        <f t="shared" ca="1" si="10"/>
        <v>0</v>
      </c>
      <c r="L120" s="379">
        <f ca="1">IF($A120="S",IF(CAIXA.Modo,BM.AFAcumulado,BM.MEDAcumulado),IF(AND(RegimeExecucao="Global",$I120&gt;0,COUNTIF($AB$13:$AM$13,BM.medicao)&gt;0),O120/$I120*100,0))</f>
        <v>0</v>
      </c>
      <c r="M120" s="380">
        <f ca="1">IF($A120="S",VTOTALBM,IF($A120=0,0,ROUND(SomaAgrupBM,15-13*ORÇAMENTO!$AF$11)))</f>
        <v>0</v>
      </c>
      <c r="N120" s="381">
        <f t="shared" ca="1" si="11"/>
        <v>0</v>
      </c>
      <c r="O120" s="127">
        <f ca="1">IF($A120="S",VTOTALBM,IF($A120=0,0,ROUND(SomaAgrupBM,15-13*ORÇAMENTO!$AF$11)))</f>
        <v>0</v>
      </c>
      <c r="Q120" s="382"/>
      <c r="R120" s="383"/>
      <c r="T120" s="119" t="str">
        <f t="shared" ca="1" si="12"/>
        <v/>
      </c>
      <c r="U120" s="172" t="str">
        <f t="shared" ca="1" si="13"/>
        <v/>
      </c>
      <c r="V120" s="173" t="str">
        <f ca="1">IF(AND($W120&gt;0,RegimeExecucao="Unitário"),$F120,"")</f>
        <v/>
      </c>
      <c r="W120" s="547">
        <f ca="1">IF($Y120&gt;0,CHOOSE(MATCH(RegimeExecucao,{"Unitário","Global"},0),IF($A120="S",$Y120/$X120,""),($Y120/$X120)*100),0)</f>
        <v>0</v>
      </c>
      <c r="X120" s="384" t="str">
        <f ca="1">IF($Y120&gt;0,CHOOSE(MATCH(RegimeExecucao,{"Unitário","Global"},0),IF($A120="S",ROUND($H120,ORÇAMENTO!$AF$10),""),ROUND($I120,ORÇAMENTO!$AF$11)),"")</f>
        <v/>
      </c>
      <c r="Y120" s="384">
        <f t="shared" ca="1" si="14"/>
        <v>0</v>
      </c>
      <c r="Z120" s="572"/>
      <c r="AB120" s="382"/>
      <c r="AC120" s="516"/>
      <c r="AD120" s="516"/>
      <c r="AE120" s="516"/>
      <c r="AF120" s="516"/>
      <c r="AG120" s="516"/>
      <c r="AH120" s="516"/>
      <c r="AI120" s="516"/>
      <c r="AJ120" s="516"/>
      <c r="AK120" s="516"/>
      <c r="AL120" s="516"/>
      <c r="AM120" s="383"/>
      <c r="AO120">
        <f ca="1">IF($A120="S",IF(BM!$I120=0,0,CHOOSE(MATCH(RegimeExecucao,{"Global","Unitário"},0),ROUND(ROUND(BM.MEDAcumulado,15-13*BM!$A$9)/100*BM!$I120,15-13*ORÇAMENTO!$AF$11),ROUND(ROUND(BM.MEDAcumulado,15-13*BM!$A$9)*ROUND(BM!$H120,15-13*ORÇAMENTO!$AF$10),15-13*ORÇAMENTO!$AF$11))),IF($A120=0,0,ROUND(SomaAgrupBM,15-13*ORÇAMENTO!$AF$11)))</f>
        <v>0</v>
      </c>
    </row>
    <row r="121" spans="1:41" ht="25.5" x14ac:dyDescent="0.2">
      <c r="A121" t="str">
        <f ca="1">ORÇAMENTO!C121</f>
        <v>S</v>
      </c>
      <c r="B121">
        <f ca="1">ORÇAMENTO!D121</f>
        <v>0</v>
      </c>
      <c r="C121" s="116" t="str">
        <f t="shared" ca="1" si="8"/>
        <v/>
      </c>
      <c r="D121" s="119" t="str">
        <f ca="1">ORÇAMENTO!O121</f>
        <v>-</v>
      </c>
      <c r="E121" s="172" t="str">
        <f t="shared" ca="1" si="9"/>
        <v>(abra o arquivo 'Referência 02-2025.xlsm)</v>
      </c>
      <c r="F121" s="173" t="str">
        <f ca="1">IF(RegimeExecucao="Global","",ORÇAMENTO.Unidade)</f>
        <v>-</v>
      </c>
      <c r="G121" s="124">
        <f ca="1">IF(RegimeExecucao="Global","",ORÇAMENTO!T121)</f>
        <v>5.94</v>
      </c>
      <c r="H121" s="124">
        <f ca="1">IF(RegimeExecucao="Global","",ORÇAMENTO!W121)</f>
        <v>0</v>
      </c>
      <c r="I121" s="127">
        <f ca="1">ORÇAMENTO!X121</f>
        <v>0</v>
      </c>
      <c r="J121" s="378">
        <f ca="1">IF($A121="S",IF(CAIXA.Modo,BM.AFAnterior,BM.MEDAnterior),IF(AND(RegimeExecucao="Global",$I121&gt;0,COUNTIF($AB$13:$AM$13,BM.medicao-1)&gt;0),M121/$I121*100,0))</f>
        <v>0</v>
      </c>
      <c r="K121" s="124">
        <f t="shared" ca="1" si="10"/>
        <v>0</v>
      </c>
      <c r="L121" s="379">
        <f ca="1">IF($A121="S",IF(CAIXA.Modo,BM.AFAcumulado,BM.MEDAcumulado),IF(AND(RegimeExecucao="Global",$I121&gt;0,COUNTIF($AB$13:$AM$13,BM.medicao)&gt;0),O121/$I121*100,0))</f>
        <v>0</v>
      </c>
      <c r="M121" s="380">
        <f ca="1">IF($A121="S",VTOTALBM,IF($A121=0,0,ROUND(SomaAgrupBM,15-13*ORÇAMENTO!$AF$11)))</f>
        <v>0</v>
      </c>
      <c r="N121" s="381">
        <f t="shared" ca="1" si="11"/>
        <v>0</v>
      </c>
      <c r="O121" s="127">
        <f ca="1">IF($A121="S",VTOTALBM,IF($A121=0,0,ROUND(SomaAgrupBM,15-13*ORÇAMENTO!$AF$11)))</f>
        <v>0</v>
      </c>
      <c r="Q121" s="382"/>
      <c r="R121" s="383"/>
      <c r="T121" s="119" t="str">
        <f t="shared" ca="1" si="12"/>
        <v/>
      </c>
      <c r="U121" s="172" t="str">
        <f t="shared" ca="1" si="13"/>
        <v/>
      </c>
      <c r="V121" s="173" t="str">
        <f ca="1">IF(AND($W121&gt;0,RegimeExecucao="Unitário"),$F121,"")</f>
        <v/>
      </c>
      <c r="W121" s="547">
        <f ca="1">IF($Y121&gt;0,CHOOSE(MATCH(RegimeExecucao,{"Unitário","Global"},0),IF($A121="S",$Y121/$X121,""),($Y121/$X121)*100),0)</f>
        <v>0</v>
      </c>
      <c r="X121" s="384" t="str">
        <f ca="1">IF($Y121&gt;0,CHOOSE(MATCH(RegimeExecucao,{"Unitário","Global"},0),IF($A121="S",ROUND($H121,ORÇAMENTO!$AF$10),""),ROUND($I121,ORÇAMENTO!$AF$11)),"")</f>
        <v/>
      </c>
      <c r="Y121" s="384">
        <f t="shared" ca="1" si="14"/>
        <v>0</v>
      </c>
      <c r="Z121" s="572"/>
      <c r="AB121" s="382"/>
      <c r="AC121" s="516"/>
      <c r="AD121" s="516"/>
      <c r="AE121" s="516"/>
      <c r="AF121" s="516"/>
      <c r="AG121" s="516"/>
      <c r="AH121" s="516"/>
      <c r="AI121" s="516"/>
      <c r="AJ121" s="516"/>
      <c r="AK121" s="516"/>
      <c r="AL121" s="516"/>
      <c r="AM121" s="383"/>
      <c r="AO121">
        <f ca="1">IF($A121="S",IF(BM!$I121=0,0,CHOOSE(MATCH(RegimeExecucao,{"Global","Unitário"},0),ROUND(ROUND(BM.MEDAcumulado,15-13*BM!$A$9)/100*BM!$I121,15-13*ORÇAMENTO!$AF$11),ROUND(ROUND(BM.MEDAcumulado,15-13*BM!$A$9)*ROUND(BM!$H121,15-13*ORÇAMENTO!$AF$10),15-13*ORÇAMENTO!$AF$11))),IF($A121=0,0,ROUND(SomaAgrupBM,15-13*ORÇAMENTO!$AF$11)))</f>
        <v>0</v>
      </c>
    </row>
    <row r="122" spans="1:41" ht="25.5" x14ac:dyDescent="0.2">
      <c r="A122" t="str">
        <f ca="1">ORÇAMENTO!C122</f>
        <v>S</v>
      </c>
      <c r="B122">
        <f ca="1">ORÇAMENTO!D122</f>
        <v>0</v>
      </c>
      <c r="C122" s="116" t="str">
        <f t="shared" ca="1" si="8"/>
        <v/>
      </c>
      <c r="D122" s="119" t="str">
        <f ca="1">ORÇAMENTO!O122</f>
        <v>-</v>
      </c>
      <c r="E122" s="172" t="str">
        <f t="shared" ca="1" si="9"/>
        <v>(abra o arquivo 'Referência 02-2025.xlsm)</v>
      </c>
      <c r="F122" s="173" t="str">
        <f ca="1">IF(RegimeExecucao="Global","",ORÇAMENTO.Unidade)</f>
        <v>-</v>
      </c>
      <c r="G122" s="124">
        <f ca="1">IF(RegimeExecucao="Global","",ORÇAMENTO!T122)</f>
        <v>5.38</v>
      </c>
      <c r="H122" s="124">
        <f ca="1">IF(RegimeExecucao="Global","",ORÇAMENTO!W122)</f>
        <v>0</v>
      </c>
      <c r="I122" s="127">
        <f ca="1">ORÇAMENTO!X122</f>
        <v>0</v>
      </c>
      <c r="J122" s="378">
        <f ca="1">IF($A122="S",IF(CAIXA.Modo,BM.AFAnterior,BM.MEDAnterior),IF(AND(RegimeExecucao="Global",$I122&gt;0,COUNTIF($AB$13:$AM$13,BM.medicao-1)&gt;0),M122/$I122*100,0))</f>
        <v>0</v>
      </c>
      <c r="K122" s="124">
        <f t="shared" ca="1" si="10"/>
        <v>0</v>
      </c>
      <c r="L122" s="379">
        <f ca="1">IF($A122="S",IF(CAIXA.Modo,BM.AFAcumulado,BM.MEDAcumulado),IF(AND(RegimeExecucao="Global",$I122&gt;0,COUNTIF($AB$13:$AM$13,BM.medicao)&gt;0),O122/$I122*100,0))</f>
        <v>0</v>
      </c>
      <c r="M122" s="380">
        <f ca="1">IF($A122="S",VTOTALBM,IF($A122=0,0,ROUND(SomaAgrupBM,15-13*ORÇAMENTO!$AF$11)))</f>
        <v>0</v>
      </c>
      <c r="N122" s="381">
        <f t="shared" ca="1" si="11"/>
        <v>0</v>
      </c>
      <c r="O122" s="127">
        <f ca="1">IF($A122="S",VTOTALBM,IF($A122=0,0,ROUND(SomaAgrupBM,15-13*ORÇAMENTO!$AF$11)))</f>
        <v>0</v>
      </c>
      <c r="Q122" s="382"/>
      <c r="R122" s="383"/>
      <c r="T122" s="119" t="str">
        <f t="shared" ca="1" si="12"/>
        <v/>
      </c>
      <c r="U122" s="172" t="str">
        <f t="shared" ca="1" si="13"/>
        <v/>
      </c>
      <c r="V122" s="173" t="str">
        <f ca="1">IF(AND($W122&gt;0,RegimeExecucao="Unitário"),$F122,"")</f>
        <v/>
      </c>
      <c r="W122" s="547">
        <f ca="1">IF($Y122&gt;0,CHOOSE(MATCH(RegimeExecucao,{"Unitário","Global"},0),IF($A122="S",$Y122/$X122,""),($Y122/$X122)*100),0)</f>
        <v>0</v>
      </c>
      <c r="X122" s="384" t="str">
        <f ca="1">IF($Y122&gt;0,CHOOSE(MATCH(RegimeExecucao,{"Unitário","Global"},0),IF($A122="S",ROUND($H122,ORÇAMENTO!$AF$10),""),ROUND($I122,ORÇAMENTO!$AF$11)),"")</f>
        <v/>
      </c>
      <c r="Y122" s="384">
        <f t="shared" ca="1" si="14"/>
        <v>0</v>
      </c>
      <c r="Z122" s="572"/>
      <c r="AB122" s="382"/>
      <c r="AC122" s="516"/>
      <c r="AD122" s="516"/>
      <c r="AE122" s="516"/>
      <c r="AF122" s="516"/>
      <c r="AG122" s="516"/>
      <c r="AH122" s="516"/>
      <c r="AI122" s="516"/>
      <c r="AJ122" s="516"/>
      <c r="AK122" s="516"/>
      <c r="AL122" s="516"/>
      <c r="AM122" s="383"/>
      <c r="AO122">
        <f ca="1">IF($A122="S",IF(BM!$I122=0,0,CHOOSE(MATCH(RegimeExecucao,{"Global","Unitário"},0),ROUND(ROUND(BM.MEDAcumulado,15-13*BM!$A$9)/100*BM!$I122,15-13*ORÇAMENTO!$AF$11),ROUND(ROUND(BM.MEDAcumulado,15-13*BM!$A$9)*ROUND(BM!$H122,15-13*ORÇAMENTO!$AF$10),15-13*ORÇAMENTO!$AF$11))),IF($A122=0,0,ROUND(SomaAgrupBM,15-13*ORÇAMENTO!$AF$11)))</f>
        <v>0</v>
      </c>
    </row>
    <row r="123" spans="1:41" x14ac:dyDescent="0.2">
      <c r="A123">
        <f ca="1">ORÇAMENTO!C123</f>
        <v>2</v>
      </c>
      <c r="B123">
        <f ca="1">ORÇAMENTO!D123</f>
        <v>54</v>
      </c>
      <c r="C123" s="116" t="str">
        <f t="shared" ca="1" si="8"/>
        <v>F</v>
      </c>
      <c r="D123" s="119" t="str">
        <f ca="1">ORÇAMENTO!O123</f>
        <v>1.6.</v>
      </c>
      <c r="E123" s="172" t="str">
        <f t="shared" ca="1" si="9"/>
        <v>ESQUADRIAS</v>
      </c>
      <c r="F123" s="173" t="str">
        <f ca="1">IF(RegimeExecucao="Global","",ORÇAMENTO.Unidade)</f>
        <v>-</v>
      </c>
      <c r="G123" s="124">
        <f ca="1">IF(RegimeExecucao="Global","",ORÇAMENTO!T123)</f>
        <v>0</v>
      </c>
      <c r="H123" s="124">
        <f ca="1">IF(RegimeExecucao="Global","",ORÇAMENTO!W123)</f>
        <v>0</v>
      </c>
      <c r="I123" s="127">
        <f ca="1">ORÇAMENTO!X123</f>
        <v>0</v>
      </c>
      <c r="J123" s="378">
        <f ca="1">IF($A123="S",IF(CAIXA.Modo,BM.AFAnterior,BM.MEDAnterior),IF(AND(RegimeExecucao="Global",$I123&gt;0,COUNTIF($AB$13:$AM$13,BM.medicao-1)&gt;0),M123/$I123*100,0))</f>
        <v>0</v>
      </c>
      <c r="K123" s="124">
        <f t="shared" ca="1" si="10"/>
        <v>0</v>
      </c>
      <c r="L123" s="379">
        <f ca="1">IF($A123="S",IF(CAIXA.Modo,BM.AFAcumulado,BM.MEDAcumulado),IF(AND(RegimeExecucao="Global",$I123&gt;0,COUNTIF($AB$13:$AM$13,BM.medicao)&gt;0),O123/$I123*100,0))</f>
        <v>0</v>
      </c>
      <c r="M123" s="380">
        <f ca="1">IF($A123="S",VTOTALBM,IF($A123=0,0,ROUND(SomaAgrupBM,15-13*ORÇAMENTO!$AF$11)))</f>
        <v>0</v>
      </c>
      <c r="N123" s="381">
        <f t="shared" ca="1" si="11"/>
        <v>0</v>
      </c>
      <c r="O123" s="127">
        <f ca="1">IF($A123="S",VTOTALBM,IF($A123=0,0,ROUND(SomaAgrupBM,15-13*ORÇAMENTO!$AF$11)))</f>
        <v>0</v>
      </c>
      <c r="Q123" s="382"/>
      <c r="R123" s="383"/>
      <c r="T123" s="119" t="str">
        <f t="shared" ca="1" si="12"/>
        <v/>
      </c>
      <c r="U123" s="172" t="str">
        <f t="shared" ca="1" si="13"/>
        <v/>
      </c>
      <c r="V123" s="173" t="str">
        <f ca="1">IF(AND($W123&gt;0,RegimeExecucao="Unitário"),$F123,"")</f>
        <v/>
      </c>
      <c r="W123" s="547">
        <f ca="1">IF($Y123&gt;0,CHOOSE(MATCH(RegimeExecucao,{"Unitário","Global"},0),IF($A123="S",$Y123/$X123,""),($Y123/$X123)*100),0)</f>
        <v>0</v>
      </c>
      <c r="X123" s="384" t="str">
        <f ca="1">IF($Y123&gt;0,CHOOSE(MATCH(RegimeExecucao,{"Unitário","Global"},0),IF($A123="S",ROUND($H123,ORÇAMENTO!$AF$10),""),ROUND($I123,ORÇAMENTO!$AF$11)),"")</f>
        <v/>
      </c>
      <c r="Y123" s="384">
        <f t="shared" ca="1" si="14"/>
        <v>0</v>
      </c>
      <c r="Z123" s="572"/>
      <c r="AB123" s="382"/>
      <c r="AC123" s="516"/>
      <c r="AD123" s="516"/>
      <c r="AE123" s="516"/>
      <c r="AF123" s="516"/>
      <c r="AG123" s="516"/>
      <c r="AH123" s="516"/>
      <c r="AI123" s="516"/>
      <c r="AJ123" s="516"/>
      <c r="AK123" s="516"/>
      <c r="AL123" s="516"/>
      <c r="AM123" s="383"/>
      <c r="AO123">
        <f ca="1">IF($A123="S",IF(BM!$I123=0,0,CHOOSE(MATCH(RegimeExecucao,{"Global","Unitário"},0),ROUND(ROUND(BM.MEDAcumulado,15-13*BM!$A$9)/100*BM!$I123,15-13*ORÇAMENTO!$AF$11),ROUND(ROUND(BM.MEDAcumulado,15-13*BM!$A$9)*ROUND(BM!$H123,15-13*ORÇAMENTO!$AF$10),15-13*ORÇAMENTO!$AF$11))),IF($A123=0,0,ROUND(SomaAgrupBM,15-13*ORÇAMENTO!$AF$11)))</f>
        <v>0</v>
      </c>
    </row>
    <row r="124" spans="1:41" x14ac:dyDescent="0.2">
      <c r="A124">
        <f ca="1">ORÇAMENTO!C124</f>
        <v>3</v>
      </c>
      <c r="B124">
        <f ca="1">ORÇAMENTO!D124</f>
        <v>7</v>
      </c>
      <c r="C124" s="116" t="str">
        <f t="shared" ca="1" si="8"/>
        <v>F</v>
      </c>
      <c r="D124" s="119" t="str">
        <f ca="1">ORÇAMENTO!O124</f>
        <v>1.6.1.</v>
      </c>
      <c r="E124" s="172" t="str">
        <f t="shared" ca="1" si="9"/>
        <v>PORTAS DE MADEIRA</v>
      </c>
      <c r="F124" s="173" t="str">
        <f ca="1">IF(RegimeExecucao="Global","",ORÇAMENTO.Unidade)</f>
        <v>-</v>
      </c>
      <c r="G124" s="124">
        <f ca="1">IF(RegimeExecucao="Global","",ORÇAMENTO!T124)</f>
        <v>0</v>
      </c>
      <c r="H124" s="124">
        <f ca="1">IF(RegimeExecucao="Global","",ORÇAMENTO!W124)</f>
        <v>0</v>
      </c>
      <c r="I124" s="127">
        <f ca="1">ORÇAMENTO!X124</f>
        <v>0</v>
      </c>
      <c r="J124" s="378">
        <f ca="1">IF($A124="S",IF(CAIXA.Modo,BM.AFAnterior,BM.MEDAnterior),IF(AND(RegimeExecucao="Global",$I124&gt;0,COUNTIF($AB$13:$AM$13,BM.medicao-1)&gt;0),M124/$I124*100,0))</f>
        <v>0</v>
      </c>
      <c r="K124" s="124">
        <f t="shared" ca="1" si="10"/>
        <v>0</v>
      </c>
      <c r="L124" s="379">
        <f ca="1">IF($A124="S",IF(CAIXA.Modo,BM.AFAcumulado,BM.MEDAcumulado),IF(AND(RegimeExecucao="Global",$I124&gt;0,COUNTIF($AB$13:$AM$13,BM.medicao)&gt;0),O124/$I124*100,0))</f>
        <v>0</v>
      </c>
      <c r="M124" s="380">
        <f ca="1">IF($A124="S",VTOTALBM,IF($A124=0,0,ROUND(SomaAgrupBM,15-13*ORÇAMENTO!$AF$11)))</f>
        <v>0</v>
      </c>
      <c r="N124" s="381">
        <f t="shared" ca="1" si="11"/>
        <v>0</v>
      </c>
      <c r="O124" s="127">
        <f ca="1">IF($A124="S",VTOTALBM,IF($A124=0,0,ROUND(SomaAgrupBM,15-13*ORÇAMENTO!$AF$11)))</f>
        <v>0</v>
      </c>
      <c r="Q124" s="382"/>
      <c r="R124" s="383"/>
      <c r="T124" s="119" t="str">
        <f t="shared" ca="1" si="12"/>
        <v/>
      </c>
      <c r="U124" s="172" t="str">
        <f t="shared" ca="1" si="13"/>
        <v/>
      </c>
      <c r="V124" s="173" t="str">
        <f ca="1">IF(AND($W124&gt;0,RegimeExecucao="Unitário"),$F124,"")</f>
        <v/>
      </c>
      <c r="W124" s="547">
        <f ca="1">IF($Y124&gt;0,CHOOSE(MATCH(RegimeExecucao,{"Unitário","Global"},0),IF($A124="S",$Y124/$X124,""),($Y124/$X124)*100),0)</f>
        <v>0</v>
      </c>
      <c r="X124" s="384" t="str">
        <f ca="1">IF($Y124&gt;0,CHOOSE(MATCH(RegimeExecucao,{"Unitário","Global"},0),IF($A124="S",ROUND($H124,ORÇAMENTO!$AF$10),""),ROUND($I124,ORÇAMENTO!$AF$11)),"")</f>
        <v/>
      </c>
      <c r="Y124" s="384">
        <f t="shared" ca="1" si="14"/>
        <v>0</v>
      </c>
      <c r="Z124" s="572"/>
      <c r="AB124" s="382"/>
      <c r="AC124" s="516"/>
      <c r="AD124" s="516"/>
      <c r="AE124" s="516"/>
      <c r="AF124" s="516"/>
      <c r="AG124" s="516"/>
      <c r="AH124" s="516"/>
      <c r="AI124" s="516"/>
      <c r="AJ124" s="516"/>
      <c r="AK124" s="516"/>
      <c r="AL124" s="516"/>
      <c r="AM124" s="383"/>
      <c r="AO124">
        <f ca="1">IF($A124="S",IF(BM!$I124=0,0,CHOOSE(MATCH(RegimeExecucao,{"Global","Unitário"},0),ROUND(ROUND(BM.MEDAcumulado,15-13*BM!$A$9)/100*BM!$I124,15-13*ORÇAMENTO!$AF$11),ROUND(ROUND(BM.MEDAcumulado,15-13*BM!$A$9)*ROUND(BM!$H124,15-13*ORÇAMENTO!$AF$10),15-13*ORÇAMENTO!$AF$11))),IF($A124=0,0,ROUND(SomaAgrupBM,15-13*ORÇAMENTO!$AF$11)))</f>
        <v>0</v>
      </c>
    </row>
    <row r="125" spans="1:41" ht="63.75" x14ac:dyDescent="0.2">
      <c r="A125" t="str">
        <f ca="1">ORÇAMENTO!C125</f>
        <v>S</v>
      </c>
      <c r="B125">
        <f ca="1">ORÇAMENTO!D125</f>
        <v>0</v>
      </c>
      <c r="C125" s="116" t="str">
        <f t="shared" ca="1" si="8"/>
        <v/>
      </c>
      <c r="D125" s="119" t="str">
        <f ca="1">ORÇAMENTO!O125</f>
        <v>-</v>
      </c>
      <c r="E125" s="172" t="str">
        <f t="shared" ca="1" si="9"/>
        <v>(abra o arquivo 'Referência 02-2025.xlsm)</v>
      </c>
      <c r="F125" s="173" t="str">
        <f ca="1">IF(RegimeExecucao="Global","",ORÇAMENTO.Unidade)</f>
        <v>-</v>
      </c>
      <c r="G125" s="124">
        <f ca="1">IF(RegimeExecucao="Global","",ORÇAMENTO!T125)</f>
        <v>17</v>
      </c>
      <c r="H125" s="124">
        <f ca="1">IF(RegimeExecucao="Global","",ORÇAMENTO!W125)</f>
        <v>0</v>
      </c>
      <c r="I125" s="127">
        <f ca="1">ORÇAMENTO!X125</f>
        <v>0</v>
      </c>
      <c r="J125" s="378">
        <f ca="1">IF($A125="S",IF(CAIXA.Modo,BM.AFAnterior,BM.MEDAnterior),IF(AND(RegimeExecucao="Global",$I125&gt;0,COUNTIF($AB$13:$AM$13,BM.medicao-1)&gt;0),M125/$I125*100,0))</f>
        <v>0</v>
      </c>
      <c r="K125" s="124">
        <f t="shared" ca="1" si="10"/>
        <v>0</v>
      </c>
      <c r="L125" s="379">
        <f ca="1">IF($A125="S",IF(CAIXA.Modo,BM.AFAcumulado,BM.MEDAcumulado),IF(AND(RegimeExecucao="Global",$I125&gt;0,COUNTIF($AB$13:$AM$13,BM.medicao)&gt;0),O125/$I125*100,0))</f>
        <v>0</v>
      </c>
      <c r="M125" s="380">
        <f ca="1">IF($A125="S",VTOTALBM,IF($A125=0,0,ROUND(SomaAgrupBM,15-13*ORÇAMENTO!$AF$11)))</f>
        <v>0</v>
      </c>
      <c r="N125" s="381">
        <f t="shared" ca="1" si="11"/>
        <v>0</v>
      </c>
      <c r="O125" s="127">
        <f ca="1">IF($A125="S",VTOTALBM,IF($A125=0,0,ROUND(SomaAgrupBM,15-13*ORÇAMENTO!$AF$11)))</f>
        <v>0</v>
      </c>
      <c r="Q125" s="382"/>
      <c r="R125" s="383"/>
      <c r="T125" s="119" t="str">
        <f t="shared" ca="1" si="12"/>
        <v/>
      </c>
      <c r="U125" s="172" t="str">
        <f t="shared" ca="1" si="13"/>
        <v/>
      </c>
      <c r="V125" s="173" t="str">
        <f ca="1">IF(AND($W125&gt;0,RegimeExecucao="Unitário"),$F125,"")</f>
        <v/>
      </c>
      <c r="W125" s="547">
        <f ca="1">IF($Y125&gt;0,CHOOSE(MATCH(RegimeExecucao,{"Unitário","Global"},0),IF($A125="S",$Y125/$X125,""),($Y125/$X125)*100),0)</f>
        <v>0</v>
      </c>
      <c r="X125" s="384" t="str">
        <f ca="1">IF($Y125&gt;0,CHOOSE(MATCH(RegimeExecucao,{"Unitário","Global"},0),IF($A125="S",ROUND($H125,ORÇAMENTO!$AF$10),""),ROUND($I125,ORÇAMENTO!$AF$11)),"")</f>
        <v/>
      </c>
      <c r="Y125" s="384">
        <f t="shared" ca="1" si="14"/>
        <v>0</v>
      </c>
      <c r="Z125" s="572"/>
      <c r="AB125" s="382"/>
      <c r="AC125" s="516"/>
      <c r="AD125" s="516"/>
      <c r="AE125" s="516"/>
      <c r="AF125" s="516"/>
      <c r="AG125" s="516"/>
      <c r="AH125" s="516"/>
      <c r="AI125" s="516"/>
      <c r="AJ125" s="516"/>
      <c r="AK125" s="516"/>
      <c r="AL125" s="516"/>
      <c r="AM125" s="383"/>
      <c r="AO125">
        <f ca="1">IF($A125="S",IF(BM!$I125=0,0,CHOOSE(MATCH(RegimeExecucao,{"Global","Unitário"},0),ROUND(ROUND(BM.MEDAcumulado,15-13*BM!$A$9)/100*BM!$I125,15-13*ORÇAMENTO!$AF$11),ROUND(ROUND(BM.MEDAcumulado,15-13*BM!$A$9)*ROUND(BM!$H125,15-13*ORÇAMENTO!$AF$10),15-13*ORÇAMENTO!$AF$11))),IF($A125=0,0,ROUND(SomaAgrupBM,15-13*ORÇAMENTO!$AF$11)))</f>
        <v>0</v>
      </c>
    </row>
    <row r="126" spans="1:41" ht="63.75" x14ac:dyDescent="0.2">
      <c r="A126" t="str">
        <f ca="1">ORÇAMENTO!C126</f>
        <v>S</v>
      </c>
      <c r="B126">
        <f ca="1">ORÇAMENTO!D126</f>
        <v>0</v>
      </c>
      <c r="C126" s="116" t="str">
        <f t="shared" ca="1" si="8"/>
        <v/>
      </c>
      <c r="D126" s="119" t="str">
        <f ca="1">ORÇAMENTO!O126</f>
        <v>-</v>
      </c>
      <c r="E126" s="172" t="str">
        <f t="shared" ca="1" si="9"/>
        <v>(abra o arquivo 'Referência 02-2025.xlsm)</v>
      </c>
      <c r="F126" s="173" t="str">
        <f ca="1">IF(RegimeExecucao="Global","",ORÇAMENTO.Unidade)</f>
        <v>-</v>
      </c>
      <c r="G126" s="124">
        <f ca="1">IF(RegimeExecucao="Global","",ORÇAMENTO!T126)</f>
        <v>2</v>
      </c>
      <c r="H126" s="124">
        <f ca="1">IF(RegimeExecucao="Global","",ORÇAMENTO!W126)</f>
        <v>0</v>
      </c>
      <c r="I126" s="127">
        <f ca="1">ORÇAMENTO!X126</f>
        <v>0</v>
      </c>
      <c r="J126" s="378">
        <f ca="1">IF($A126="S",IF(CAIXA.Modo,BM.AFAnterior,BM.MEDAnterior),IF(AND(RegimeExecucao="Global",$I126&gt;0,COUNTIF($AB$13:$AM$13,BM.medicao-1)&gt;0),M126/$I126*100,0))</f>
        <v>0</v>
      </c>
      <c r="K126" s="124">
        <f t="shared" ca="1" si="10"/>
        <v>0</v>
      </c>
      <c r="L126" s="379">
        <f ca="1">IF($A126="S",IF(CAIXA.Modo,BM.AFAcumulado,BM.MEDAcumulado),IF(AND(RegimeExecucao="Global",$I126&gt;0,COUNTIF($AB$13:$AM$13,BM.medicao)&gt;0),O126/$I126*100,0))</f>
        <v>0</v>
      </c>
      <c r="M126" s="380">
        <f ca="1">IF($A126="S",VTOTALBM,IF($A126=0,0,ROUND(SomaAgrupBM,15-13*ORÇAMENTO!$AF$11)))</f>
        <v>0</v>
      </c>
      <c r="N126" s="381">
        <f t="shared" ca="1" si="11"/>
        <v>0</v>
      </c>
      <c r="O126" s="127">
        <f ca="1">IF($A126="S",VTOTALBM,IF($A126=0,0,ROUND(SomaAgrupBM,15-13*ORÇAMENTO!$AF$11)))</f>
        <v>0</v>
      </c>
      <c r="Q126" s="382"/>
      <c r="R126" s="383"/>
      <c r="T126" s="119" t="str">
        <f t="shared" ca="1" si="12"/>
        <v/>
      </c>
      <c r="U126" s="172" t="str">
        <f t="shared" ca="1" si="13"/>
        <v/>
      </c>
      <c r="V126" s="173" t="str">
        <f ca="1">IF(AND($W126&gt;0,RegimeExecucao="Unitário"),$F126,"")</f>
        <v/>
      </c>
      <c r="W126" s="547">
        <f ca="1">IF($Y126&gt;0,CHOOSE(MATCH(RegimeExecucao,{"Unitário","Global"},0),IF($A126="S",$Y126/$X126,""),($Y126/$X126)*100),0)</f>
        <v>0</v>
      </c>
      <c r="X126" s="384" t="str">
        <f ca="1">IF($Y126&gt;0,CHOOSE(MATCH(RegimeExecucao,{"Unitário","Global"},0),IF($A126="S",ROUND($H126,ORÇAMENTO!$AF$10),""),ROUND($I126,ORÇAMENTO!$AF$11)),"")</f>
        <v/>
      </c>
      <c r="Y126" s="384">
        <f t="shared" ca="1" si="14"/>
        <v>0</v>
      </c>
      <c r="Z126" s="572"/>
      <c r="AB126" s="382"/>
      <c r="AC126" s="516"/>
      <c r="AD126" s="516"/>
      <c r="AE126" s="516"/>
      <c r="AF126" s="516"/>
      <c r="AG126" s="516"/>
      <c r="AH126" s="516"/>
      <c r="AI126" s="516"/>
      <c r="AJ126" s="516"/>
      <c r="AK126" s="516"/>
      <c r="AL126" s="516"/>
      <c r="AM126" s="383"/>
      <c r="AO126">
        <f ca="1">IF($A126="S",IF(BM!$I126=0,0,CHOOSE(MATCH(RegimeExecucao,{"Global","Unitário"},0),ROUND(ROUND(BM.MEDAcumulado,15-13*BM!$A$9)/100*BM!$I126,15-13*ORÇAMENTO!$AF$11),ROUND(ROUND(BM.MEDAcumulado,15-13*BM!$A$9)*ROUND(BM!$H126,15-13*ORÇAMENTO!$AF$10),15-13*ORÇAMENTO!$AF$11))),IF($A126=0,0,ROUND(SomaAgrupBM,15-13*ORÇAMENTO!$AF$11)))</f>
        <v>0</v>
      </c>
    </row>
    <row r="127" spans="1:41" ht="63.75" x14ac:dyDescent="0.2">
      <c r="A127" t="str">
        <f ca="1">ORÇAMENTO!C127</f>
        <v>S</v>
      </c>
      <c r="B127">
        <f ca="1">ORÇAMENTO!D127</f>
        <v>0</v>
      </c>
      <c r="C127" s="116" t="str">
        <f t="shared" ca="1" si="8"/>
        <v/>
      </c>
      <c r="D127" s="119" t="str">
        <f ca="1">ORÇAMENTO!O127</f>
        <v>-</v>
      </c>
      <c r="E127" s="172" t="str">
        <f t="shared" ca="1" si="9"/>
        <v>(abra o arquivo 'Referência 02-2025.xlsm)</v>
      </c>
      <c r="F127" s="173" t="str">
        <f ca="1">IF(RegimeExecucao="Global","",ORÇAMENTO.Unidade)</f>
        <v>-</v>
      </c>
      <c r="G127" s="124">
        <f ca="1">IF(RegimeExecucao="Global","",ORÇAMENTO!T127)</f>
        <v>4</v>
      </c>
      <c r="H127" s="124">
        <f ca="1">IF(RegimeExecucao="Global","",ORÇAMENTO!W127)</f>
        <v>0</v>
      </c>
      <c r="I127" s="127">
        <f ca="1">ORÇAMENTO!X127</f>
        <v>0</v>
      </c>
      <c r="J127" s="378">
        <f ca="1">IF($A127="S",IF(CAIXA.Modo,BM.AFAnterior,BM.MEDAnterior),IF(AND(RegimeExecucao="Global",$I127&gt;0,COUNTIF($AB$13:$AM$13,BM.medicao-1)&gt;0),M127/$I127*100,0))</f>
        <v>0</v>
      </c>
      <c r="K127" s="124">
        <f t="shared" ca="1" si="10"/>
        <v>0</v>
      </c>
      <c r="L127" s="379">
        <f ca="1">IF($A127="S",IF(CAIXA.Modo,BM.AFAcumulado,BM.MEDAcumulado),IF(AND(RegimeExecucao="Global",$I127&gt;0,COUNTIF($AB$13:$AM$13,BM.medicao)&gt;0),O127/$I127*100,0))</f>
        <v>0</v>
      </c>
      <c r="M127" s="380">
        <f ca="1">IF($A127="S",VTOTALBM,IF($A127=0,0,ROUND(SomaAgrupBM,15-13*ORÇAMENTO!$AF$11)))</f>
        <v>0</v>
      </c>
      <c r="N127" s="381">
        <f t="shared" ca="1" si="11"/>
        <v>0</v>
      </c>
      <c r="O127" s="127">
        <f ca="1">IF($A127="S",VTOTALBM,IF($A127=0,0,ROUND(SomaAgrupBM,15-13*ORÇAMENTO!$AF$11)))</f>
        <v>0</v>
      </c>
      <c r="Q127" s="382"/>
      <c r="R127" s="383"/>
      <c r="T127" s="119" t="str">
        <f t="shared" ca="1" si="12"/>
        <v/>
      </c>
      <c r="U127" s="172" t="str">
        <f t="shared" ca="1" si="13"/>
        <v/>
      </c>
      <c r="V127" s="173" t="str">
        <f ca="1">IF(AND($W127&gt;0,RegimeExecucao="Unitário"),$F127,"")</f>
        <v/>
      </c>
      <c r="W127" s="547">
        <f ca="1">IF($Y127&gt;0,CHOOSE(MATCH(RegimeExecucao,{"Unitário","Global"},0),IF($A127="S",$Y127/$X127,""),($Y127/$X127)*100),0)</f>
        <v>0</v>
      </c>
      <c r="X127" s="384" t="str">
        <f ca="1">IF($Y127&gt;0,CHOOSE(MATCH(RegimeExecucao,{"Unitário","Global"},0),IF($A127="S",ROUND($H127,ORÇAMENTO!$AF$10),""),ROUND($I127,ORÇAMENTO!$AF$11)),"")</f>
        <v/>
      </c>
      <c r="Y127" s="384">
        <f t="shared" ca="1" si="14"/>
        <v>0</v>
      </c>
      <c r="Z127" s="572"/>
      <c r="AB127" s="382"/>
      <c r="AC127" s="516"/>
      <c r="AD127" s="516"/>
      <c r="AE127" s="516"/>
      <c r="AF127" s="516"/>
      <c r="AG127" s="516"/>
      <c r="AH127" s="516"/>
      <c r="AI127" s="516"/>
      <c r="AJ127" s="516"/>
      <c r="AK127" s="516"/>
      <c r="AL127" s="516"/>
      <c r="AM127" s="383"/>
      <c r="AO127">
        <f ca="1">IF($A127="S",IF(BM!$I127=0,0,CHOOSE(MATCH(RegimeExecucao,{"Global","Unitário"},0),ROUND(ROUND(BM.MEDAcumulado,15-13*BM!$A$9)/100*BM!$I127,15-13*ORÇAMENTO!$AF$11),ROUND(ROUND(BM.MEDAcumulado,15-13*BM!$A$9)*ROUND(BM!$H127,15-13*ORÇAMENTO!$AF$10),15-13*ORÇAMENTO!$AF$11))),IF($A127=0,0,ROUND(SomaAgrupBM,15-13*ORÇAMENTO!$AF$11)))</f>
        <v>0</v>
      </c>
    </row>
    <row r="128" spans="1:41" ht="63.75" x14ac:dyDescent="0.2">
      <c r="A128" t="str">
        <f ca="1">ORÇAMENTO!C128</f>
        <v>S</v>
      </c>
      <c r="B128">
        <f ca="1">ORÇAMENTO!D128</f>
        <v>0</v>
      </c>
      <c r="C128" s="116" t="str">
        <f t="shared" ca="1" si="8"/>
        <v/>
      </c>
      <c r="D128" s="119" t="str">
        <f ca="1">ORÇAMENTO!O128</f>
        <v>-</v>
      </c>
      <c r="E128" s="172" t="str">
        <f t="shared" ca="1" si="9"/>
        <v>(abra o arquivo 'Referência 02-2025.xlsm)</v>
      </c>
      <c r="F128" s="173" t="str">
        <f ca="1">IF(RegimeExecucao="Global","",ORÇAMENTO.Unidade)</f>
        <v>-</v>
      </c>
      <c r="G128" s="124">
        <f ca="1">IF(RegimeExecucao="Global","",ORÇAMENTO!T128)</f>
        <v>10</v>
      </c>
      <c r="H128" s="124">
        <f ca="1">IF(RegimeExecucao="Global","",ORÇAMENTO!W128)</f>
        <v>0</v>
      </c>
      <c r="I128" s="127">
        <f ca="1">ORÇAMENTO!X128</f>
        <v>0</v>
      </c>
      <c r="J128" s="378">
        <f ca="1">IF($A128="S",IF(CAIXA.Modo,BM.AFAnterior,BM.MEDAnterior),IF(AND(RegimeExecucao="Global",$I128&gt;0,COUNTIF($AB$13:$AM$13,BM.medicao-1)&gt;0),M128/$I128*100,0))</f>
        <v>0</v>
      </c>
      <c r="K128" s="124">
        <f t="shared" ca="1" si="10"/>
        <v>0</v>
      </c>
      <c r="L128" s="379">
        <f ca="1">IF($A128="S",IF(CAIXA.Modo,BM.AFAcumulado,BM.MEDAcumulado),IF(AND(RegimeExecucao="Global",$I128&gt;0,COUNTIF($AB$13:$AM$13,BM.medicao)&gt;0),O128/$I128*100,0))</f>
        <v>0</v>
      </c>
      <c r="M128" s="380">
        <f ca="1">IF($A128="S",VTOTALBM,IF($A128=0,0,ROUND(SomaAgrupBM,15-13*ORÇAMENTO!$AF$11)))</f>
        <v>0</v>
      </c>
      <c r="N128" s="381">
        <f t="shared" ca="1" si="11"/>
        <v>0</v>
      </c>
      <c r="O128" s="127">
        <f ca="1">IF($A128="S",VTOTALBM,IF($A128=0,0,ROUND(SomaAgrupBM,15-13*ORÇAMENTO!$AF$11)))</f>
        <v>0</v>
      </c>
      <c r="Q128" s="382"/>
      <c r="R128" s="383"/>
      <c r="T128" s="119" t="str">
        <f t="shared" ca="1" si="12"/>
        <v/>
      </c>
      <c r="U128" s="172" t="str">
        <f t="shared" ca="1" si="13"/>
        <v/>
      </c>
      <c r="V128" s="173" t="str">
        <f ca="1">IF(AND($W128&gt;0,RegimeExecucao="Unitário"),$F128,"")</f>
        <v/>
      </c>
      <c r="W128" s="547">
        <f ca="1">IF($Y128&gt;0,CHOOSE(MATCH(RegimeExecucao,{"Unitário","Global"},0),IF($A128="S",$Y128/$X128,""),($Y128/$X128)*100),0)</f>
        <v>0</v>
      </c>
      <c r="X128" s="384" t="str">
        <f ca="1">IF($Y128&gt;0,CHOOSE(MATCH(RegimeExecucao,{"Unitário","Global"},0),IF($A128="S",ROUND($H128,ORÇAMENTO!$AF$10),""),ROUND($I128,ORÇAMENTO!$AF$11)),"")</f>
        <v/>
      </c>
      <c r="Y128" s="384">
        <f t="shared" ca="1" si="14"/>
        <v>0</v>
      </c>
      <c r="Z128" s="572"/>
      <c r="AB128" s="382"/>
      <c r="AC128" s="516"/>
      <c r="AD128" s="516"/>
      <c r="AE128" s="516"/>
      <c r="AF128" s="516"/>
      <c r="AG128" s="516"/>
      <c r="AH128" s="516"/>
      <c r="AI128" s="516"/>
      <c r="AJ128" s="516"/>
      <c r="AK128" s="516"/>
      <c r="AL128" s="516"/>
      <c r="AM128" s="383"/>
      <c r="AO128">
        <f ca="1">IF($A128="S",IF(BM!$I128=0,0,CHOOSE(MATCH(RegimeExecucao,{"Global","Unitário"},0),ROUND(ROUND(BM.MEDAcumulado,15-13*BM!$A$9)/100*BM!$I128,15-13*ORÇAMENTO!$AF$11),ROUND(ROUND(BM.MEDAcumulado,15-13*BM!$A$9)*ROUND(BM!$H128,15-13*ORÇAMENTO!$AF$10),15-13*ORÇAMENTO!$AF$11))),IF($A128=0,0,ROUND(SomaAgrupBM,15-13*ORÇAMENTO!$AF$11)))</f>
        <v>0</v>
      </c>
    </row>
    <row r="129" spans="1:41" ht="38.25" x14ac:dyDescent="0.2">
      <c r="A129" t="str">
        <f ca="1">ORÇAMENTO!C129</f>
        <v>S</v>
      </c>
      <c r="B129">
        <f ca="1">ORÇAMENTO!D129</f>
        <v>0</v>
      </c>
      <c r="C129" s="116" t="str">
        <f t="shared" ca="1" si="8"/>
        <v/>
      </c>
      <c r="D129" s="119" t="str">
        <f ca="1">ORÇAMENTO!O129</f>
        <v>-</v>
      </c>
      <c r="E129" s="172" t="str">
        <f t="shared" ca="1" si="9"/>
        <v>(abra o arquivo 'Referência 02-2025.xlsm)</v>
      </c>
      <c r="F129" s="173" t="str">
        <f ca="1">IF(RegimeExecucao="Global","",ORÇAMENTO.Unidade)</f>
        <v>-</v>
      </c>
      <c r="G129" s="124">
        <f ca="1">IF(RegimeExecucao="Global","",ORÇAMENTO!T129)</f>
        <v>8</v>
      </c>
      <c r="H129" s="124">
        <f ca="1">IF(RegimeExecucao="Global","",ORÇAMENTO!W129)</f>
        <v>0</v>
      </c>
      <c r="I129" s="127">
        <f ca="1">ORÇAMENTO!X129</f>
        <v>0</v>
      </c>
      <c r="J129" s="378">
        <f ca="1">IF($A129="S",IF(CAIXA.Modo,BM.AFAnterior,BM.MEDAnterior),IF(AND(RegimeExecucao="Global",$I129&gt;0,COUNTIF($AB$13:$AM$13,BM.medicao-1)&gt;0),M129/$I129*100,0))</f>
        <v>0</v>
      </c>
      <c r="K129" s="124">
        <f t="shared" ca="1" si="10"/>
        <v>0</v>
      </c>
      <c r="L129" s="379">
        <f ca="1">IF($A129="S",IF(CAIXA.Modo,BM.AFAcumulado,BM.MEDAcumulado),IF(AND(RegimeExecucao="Global",$I129&gt;0,COUNTIF($AB$13:$AM$13,BM.medicao)&gt;0),O129/$I129*100,0))</f>
        <v>0</v>
      </c>
      <c r="M129" s="380">
        <f ca="1">IF($A129="S",VTOTALBM,IF($A129=0,0,ROUND(SomaAgrupBM,15-13*ORÇAMENTO!$AF$11)))</f>
        <v>0</v>
      </c>
      <c r="N129" s="381">
        <f t="shared" ca="1" si="11"/>
        <v>0</v>
      </c>
      <c r="O129" s="127">
        <f ca="1">IF($A129="S",VTOTALBM,IF($A129=0,0,ROUND(SomaAgrupBM,15-13*ORÇAMENTO!$AF$11)))</f>
        <v>0</v>
      </c>
      <c r="Q129" s="382"/>
      <c r="R129" s="383"/>
      <c r="T129" s="119" t="str">
        <f t="shared" ca="1" si="12"/>
        <v/>
      </c>
      <c r="U129" s="172" t="str">
        <f t="shared" ca="1" si="13"/>
        <v/>
      </c>
      <c r="V129" s="173" t="str">
        <f ca="1">IF(AND($W129&gt;0,RegimeExecucao="Unitário"),$F129,"")</f>
        <v/>
      </c>
      <c r="W129" s="547">
        <f ca="1">IF($Y129&gt;0,CHOOSE(MATCH(RegimeExecucao,{"Unitário","Global"},0),IF($A129="S",$Y129/$X129,""),($Y129/$X129)*100),0)</f>
        <v>0</v>
      </c>
      <c r="X129" s="384" t="str">
        <f ca="1">IF($Y129&gt;0,CHOOSE(MATCH(RegimeExecucao,{"Unitário","Global"},0),IF($A129="S",ROUND($H129,ORÇAMENTO!$AF$10),""),ROUND($I129,ORÇAMENTO!$AF$11)),"")</f>
        <v/>
      </c>
      <c r="Y129" s="384">
        <f t="shared" ca="1" si="14"/>
        <v>0</v>
      </c>
      <c r="Z129" s="572"/>
      <c r="AB129" s="382"/>
      <c r="AC129" s="516"/>
      <c r="AD129" s="516"/>
      <c r="AE129" s="516"/>
      <c r="AF129" s="516"/>
      <c r="AG129" s="516"/>
      <c r="AH129" s="516"/>
      <c r="AI129" s="516"/>
      <c r="AJ129" s="516"/>
      <c r="AK129" s="516"/>
      <c r="AL129" s="516"/>
      <c r="AM129" s="383"/>
      <c r="AO129">
        <f ca="1">IF($A129="S",IF(BM!$I129=0,0,CHOOSE(MATCH(RegimeExecucao,{"Global","Unitário"},0),ROUND(ROUND(BM.MEDAcumulado,15-13*BM!$A$9)/100*BM!$I129,15-13*ORÇAMENTO!$AF$11),ROUND(ROUND(BM.MEDAcumulado,15-13*BM!$A$9)*ROUND(BM!$H129,15-13*ORÇAMENTO!$AF$10),15-13*ORÇAMENTO!$AF$11))),IF($A129=0,0,ROUND(SomaAgrupBM,15-13*ORÇAMENTO!$AF$11)))</f>
        <v>0</v>
      </c>
    </row>
    <row r="130" spans="1:41" ht="25.5" x14ac:dyDescent="0.2">
      <c r="A130" t="str">
        <f ca="1">ORÇAMENTO!C130</f>
        <v>S</v>
      </c>
      <c r="B130">
        <f ca="1">ORÇAMENTO!D130</f>
        <v>0</v>
      </c>
      <c r="C130" s="116" t="str">
        <f t="shared" ca="1" si="8"/>
        <v/>
      </c>
      <c r="D130" s="119" t="str">
        <f ca="1">ORÇAMENTO!O130</f>
        <v>-</v>
      </c>
      <c r="E130" s="172" t="str">
        <f t="shared" ca="1" si="9"/>
        <v>(abra o arquivo 'Referência 02-2025.xlsm)</v>
      </c>
      <c r="F130" s="173" t="str">
        <f ca="1">IF(RegimeExecucao="Global","",ORÇAMENTO.Unidade)</f>
        <v>-</v>
      </c>
      <c r="G130" s="124">
        <f ca="1">IF(RegimeExecucao="Global","",ORÇAMENTO!T130)</f>
        <v>2.2999999999999998</v>
      </c>
      <c r="H130" s="124">
        <f ca="1">IF(RegimeExecucao="Global","",ORÇAMENTO!W130)</f>
        <v>0</v>
      </c>
      <c r="I130" s="127">
        <f ca="1">ORÇAMENTO!X130</f>
        <v>0</v>
      </c>
      <c r="J130" s="378">
        <f ca="1">IF($A130="S",IF(CAIXA.Modo,BM.AFAnterior,BM.MEDAnterior),IF(AND(RegimeExecucao="Global",$I130&gt;0,COUNTIF($AB$13:$AM$13,BM.medicao-1)&gt;0),M130/$I130*100,0))</f>
        <v>0</v>
      </c>
      <c r="K130" s="124">
        <f t="shared" ca="1" si="10"/>
        <v>0</v>
      </c>
      <c r="L130" s="379">
        <f ca="1">IF($A130="S",IF(CAIXA.Modo,BM.AFAcumulado,BM.MEDAcumulado),IF(AND(RegimeExecucao="Global",$I130&gt;0,COUNTIF($AB$13:$AM$13,BM.medicao)&gt;0),O130/$I130*100,0))</f>
        <v>0</v>
      </c>
      <c r="M130" s="380">
        <f ca="1">IF($A130="S",VTOTALBM,IF($A130=0,0,ROUND(SomaAgrupBM,15-13*ORÇAMENTO!$AF$11)))</f>
        <v>0</v>
      </c>
      <c r="N130" s="381">
        <f t="shared" ca="1" si="11"/>
        <v>0</v>
      </c>
      <c r="O130" s="127">
        <f ca="1">IF($A130="S",VTOTALBM,IF($A130=0,0,ROUND(SomaAgrupBM,15-13*ORÇAMENTO!$AF$11)))</f>
        <v>0</v>
      </c>
      <c r="Q130" s="382"/>
      <c r="R130" s="383"/>
      <c r="T130" s="119" t="str">
        <f t="shared" ca="1" si="12"/>
        <v/>
      </c>
      <c r="U130" s="172" t="str">
        <f t="shared" ca="1" si="13"/>
        <v/>
      </c>
      <c r="V130" s="173" t="str">
        <f ca="1">IF(AND($W130&gt;0,RegimeExecucao="Unitário"),$F130,"")</f>
        <v/>
      </c>
      <c r="W130" s="547">
        <f ca="1">IF($Y130&gt;0,CHOOSE(MATCH(RegimeExecucao,{"Unitário","Global"},0),IF($A130="S",$Y130/$X130,""),($Y130/$X130)*100),0)</f>
        <v>0</v>
      </c>
      <c r="X130" s="384" t="str">
        <f ca="1">IF($Y130&gt;0,CHOOSE(MATCH(RegimeExecucao,{"Unitário","Global"},0),IF($A130="S",ROUND($H130,ORÇAMENTO!$AF$10),""),ROUND($I130,ORÇAMENTO!$AF$11)),"")</f>
        <v/>
      </c>
      <c r="Y130" s="384">
        <f t="shared" ca="1" si="14"/>
        <v>0</v>
      </c>
      <c r="Z130" s="572"/>
      <c r="AB130" s="382"/>
      <c r="AC130" s="516"/>
      <c r="AD130" s="516"/>
      <c r="AE130" s="516"/>
      <c r="AF130" s="516"/>
      <c r="AG130" s="516"/>
      <c r="AH130" s="516"/>
      <c r="AI130" s="516"/>
      <c r="AJ130" s="516"/>
      <c r="AK130" s="516"/>
      <c r="AL130" s="516"/>
      <c r="AM130" s="383"/>
      <c r="AO130">
        <f ca="1">IF($A130="S",IF(BM!$I130=0,0,CHOOSE(MATCH(RegimeExecucao,{"Global","Unitário"},0),ROUND(ROUND(BM.MEDAcumulado,15-13*BM!$A$9)/100*BM!$I130,15-13*ORÇAMENTO!$AF$11),ROUND(ROUND(BM.MEDAcumulado,15-13*BM!$A$9)*ROUND(BM!$H130,15-13*ORÇAMENTO!$AF$10),15-13*ORÇAMENTO!$AF$11))),IF($A130=0,0,ROUND(SomaAgrupBM,15-13*ORÇAMENTO!$AF$11)))</f>
        <v>0</v>
      </c>
    </row>
    <row r="131" spans="1:41" x14ac:dyDescent="0.2">
      <c r="A131">
        <f ca="1">ORÇAMENTO!C131</f>
        <v>3</v>
      </c>
      <c r="B131">
        <f ca="1">ORÇAMENTO!D131</f>
        <v>5</v>
      </c>
      <c r="C131" s="116" t="str">
        <f t="shared" ca="1" si="8"/>
        <v>F</v>
      </c>
      <c r="D131" s="119" t="str">
        <f ca="1">ORÇAMENTO!O131</f>
        <v>1.6.2.</v>
      </c>
      <c r="E131" s="172" t="str">
        <f t="shared" ca="1" si="9"/>
        <v>FERRAGENS E ACESSÓRIOS</v>
      </c>
      <c r="F131" s="173" t="str">
        <f ca="1">IF(RegimeExecucao="Global","",ORÇAMENTO.Unidade)</f>
        <v>-</v>
      </c>
      <c r="G131" s="124">
        <f ca="1">IF(RegimeExecucao="Global","",ORÇAMENTO!T131)</f>
        <v>0</v>
      </c>
      <c r="H131" s="124">
        <f ca="1">IF(RegimeExecucao="Global","",ORÇAMENTO!W131)</f>
        <v>0</v>
      </c>
      <c r="I131" s="127">
        <f ca="1">ORÇAMENTO!X131</f>
        <v>0</v>
      </c>
      <c r="J131" s="378">
        <f ca="1">IF($A131="S",IF(CAIXA.Modo,BM.AFAnterior,BM.MEDAnterior),IF(AND(RegimeExecucao="Global",$I131&gt;0,COUNTIF($AB$13:$AM$13,BM.medicao-1)&gt;0),M131/$I131*100,0))</f>
        <v>0</v>
      </c>
      <c r="K131" s="124">
        <f t="shared" ca="1" si="10"/>
        <v>0</v>
      </c>
      <c r="L131" s="379">
        <f ca="1">IF($A131="S",IF(CAIXA.Modo,BM.AFAcumulado,BM.MEDAcumulado),IF(AND(RegimeExecucao="Global",$I131&gt;0,COUNTIF($AB$13:$AM$13,BM.medicao)&gt;0),O131/$I131*100,0))</f>
        <v>0</v>
      </c>
      <c r="M131" s="380">
        <f ca="1">IF($A131="S",VTOTALBM,IF($A131=0,0,ROUND(SomaAgrupBM,15-13*ORÇAMENTO!$AF$11)))</f>
        <v>0</v>
      </c>
      <c r="N131" s="381">
        <f t="shared" ca="1" si="11"/>
        <v>0</v>
      </c>
      <c r="O131" s="127">
        <f ca="1">IF($A131="S",VTOTALBM,IF($A131=0,0,ROUND(SomaAgrupBM,15-13*ORÇAMENTO!$AF$11)))</f>
        <v>0</v>
      </c>
      <c r="Q131" s="382"/>
      <c r="R131" s="383"/>
      <c r="T131" s="119" t="str">
        <f t="shared" ca="1" si="12"/>
        <v/>
      </c>
      <c r="U131" s="172" t="str">
        <f t="shared" ca="1" si="13"/>
        <v/>
      </c>
      <c r="V131" s="173" t="str">
        <f ca="1">IF(AND($W131&gt;0,RegimeExecucao="Unitário"),$F131,"")</f>
        <v/>
      </c>
      <c r="W131" s="547">
        <f ca="1">IF($Y131&gt;0,CHOOSE(MATCH(RegimeExecucao,{"Unitário","Global"},0),IF($A131="S",$Y131/$X131,""),($Y131/$X131)*100),0)</f>
        <v>0</v>
      </c>
      <c r="X131" s="384" t="str">
        <f ca="1">IF($Y131&gt;0,CHOOSE(MATCH(RegimeExecucao,{"Unitário","Global"},0),IF($A131="S",ROUND($H131,ORÇAMENTO!$AF$10),""),ROUND($I131,ORÇAMENTO!$AF$11)),"")</f>
        <v/>
      </c>
      <c r="Y131" s="384">
        <f t="shared" ca="1" si="14"/>
        <v>0</v>
      </c>
      <c r="Z131" s="572"/>
      <c r="AB131" s="382"/>
      <c r="AC131" s="516"/>
      <c r="AD131" s="516"/>
      <c r="AE131" s="516"/>
      <c r="AF131" s="516"/>
      <c r="AG131" s="516"/>
      <c r="AH131" s="516"/>
      <c r="AI131" s="516"/>
      <c r="AJ131" s="516"/>
      <c r="AK131" s="516"/>
      <c r="AL131" s="516"/>
      <c r="AM131" s="383"/>
      <c r="AO131">
        <f ca="1">IF($A131="S",IF(BM!$I131=0,0,CHOOSE(MATCH(RegimeExecucao,{"Global","Unitário"},0),ROUND(ROUND(BM.MEDAcumulado,15-13*BM!$A$9)/100*BM!$I131,15-13*ORÇAMENTO!$AF$11),ROUND(ROUND(BM.MEDAcumulado,15-13*BM!$A$9)*ROUND(BM!$H131,15-13*ORÇAMENTO!$AF$10),15-13*ORÇAMENTO!$AF$11))),IF($A131=0,0,ROUND(SomaAgrupBM,15-13*ORÇAMENTO!$AF$11)))</f>
        <v>0</v>
      </c>
    </row>
    <row r="132" spans="1:41" ht="25.5" x14ac:dyDescent="0.2">
      <c r="A132" t="str">
        <f ca="1">ORÇAMENTO!C132</f>
        <v>S</v>
      </c>
      <c r="B132">
        <f ca="1">ORÇAMENTO!D132</f>
        <v>0</v>
      </c>
      <c r="C132" s="116" t="str">
        <f t="shared" ca="1" si="8"/>
        <v/>
      </c>
      <c r="D132" s="119" t="str">
        <f ca="1">ORÇAMENTO!O132</f>
        <v>-</v>
      </c>
      <c r="E132" s="172" t="str">
        <f t="shared" ca="1" si="9"/>
        <v>(abra o arquivo 'Referência 02-2025.xlsm)</v>
      </c>
      <c r="F132" s="173" t="str">
        <f ca="1">IF(RegimeExecucao="Global","",ORÇAMENTO.Unidade)</f>
        <v>-</v>
      </c>
      <c r="G132" s="124">
        <f ca="1">IF(RegimeExecucao="Global","",ORÇAMENTO!T132)</f>
        <v>8</v>
      </c>
      <c r="H132" s="124">
        <f ca="1">IF(RegimeExecucao="Global","",ORÇAMENTO!W132)</f>
        <v>0</v>
      </c>
      <c r="I132" s="127">
        <f ca="1">ORÇAMENTO!X132</f>
        <v>0</v>
      </c>
      <c r="J132" s="378">
        <f ca="1">IF($A132="S",IF(CAIXA.Modo,BM.AFAnterior,BM.MEDAnterior),IF(AND(RegimeExecucao="Global",$I132&gt;0,COUNTIF($AB$13:$AM$13,BM.medicao-1)&gt;0),M132/$I132*100,0))</f>
        <v>0</v>
      </c>
      <c r="K132" s="124">
        <f t="shared" ca="1" si="10"/>
        <v>0</v>
      </c>
      <c r="L132" s="379">
        <f ca="1">IF($A132="S",IF(CAIXA.Modo,BM.AFAcumulado,BM.MEDAcumulado),IF(AND(RegimeExecucao="Global",$I132&gt;0,COUNTIF($AB$13:$AM$13,BM.medicao)&gt;0),O132/$I132*100,0))</f>
        <v>0</v>
      </c>
      <c r="M132" s="380">
        <f ca="1">IF($A132="S",VTOTALBM,IF($A132=0,0,ROUND(SomaAgrupBM,15-13*ORÇAMENTO!$AF$11)))</f>
        <v>0</v>
      </c>
      <c r="N132" s="381">
        <f t="shared" ca="1" si="11"/>
        <v>0</v>
      </c>
      <c r="O132" s="127">
        <f ca="1">IF($A132="S",VTOTALBM,IF($A132=0,0,ROUND(SomaAgrupBM,15-13*ORÇAMENTO!$AF$11)))</f>
        <v>0</v>
      </c>
      <c r="Q132" s="382"/>
      <c r="R132" s="383"/>
      <c r="T132" s="119" t="str">
        <f t="shared" ca="1" si="12"/>
        <v/>
      </c>
      <c r="U132" s="172" t="str">
        <f t="shared" ca="1" si="13"/>
        <v/>
      </c>
      <c r="V132" s="173" t="str">
        <f ca="1">IF(AND($W132&gt;0,RegimeExecucao="Unitário"),$F132,"")</f>
        <v/>
      </c>
      <c r="W132" s="547">
        <f ca="1">IF($Y132&gt;0,CHOOSE(MATCH(RegimeExecucao,{"Unitário","Global"},0),IF($A132="S",$Y132/$X132,""),($Y132/$X132)*100),0)</f>
        <v>0</v>
      </c>
      <c r="X132" s="384" t="str">
        <f ca="1">IF($Y132&gt;0,CHOOSE(MATCH(RegimeExecucao,{"Unitário","Global"},0),IF($A132="S",ROUND($H132,ORÇAMENTO!$AF$10),""),ROUND($I132,ORÇAMENTO!$AF$11)),"")</f>
        <v/>
      </c>
      <c r="Y132" s="384">
        <f t="shared" ca="1" si="14"/>
        <v>0</v>
      </c>
      <c r="Z132" s="572"/>
      <c r="AB132" s="382"/>
      <c r="AC132" s="516"/>
      <c r="AD132" s="516"/>
      <c r="AE132" s="516"/>
      <c r="AF132" s="516"/>
      <c r="AG132" s="516"/>
      <c r="AH132" s="516"/>
      <c r="AI132" s="516"/>
      <c r="AJ132" s="516"/>
      <c r="AK132" s="516"/>
      <c r="AL132" s="516"/>
      <c r="AM132" s="383"/>
      <c r="AO132">
        <f ca="1">IF($A132="S",IF(BM!$I132=0,0,CHOOSE(MATCH(RegimeExecucao,{"Global","Unitário"},0),ROUND(ROUND(BM.MEDAcumulado,15-13*BM!$A$9)/100*BM!$I132,15-13*ORÇAMENTO!$AF$11),ROUND(ROUND(BM.MEDAcumulado,15-13*BM!$A$9)*ROUND(BM!$H132,15-13*ORÇAMENTO!$AF$10),15-13*ORÇAMENTO!$AF$11))),IF($A132=0,0,ROUND(SomaAgrupBM,15-13*ORÇAMENTO!$AF$11)))</f>
        <v>0</v>
      </c>
    </row>
    <row r="133" spans="1:41" ht="38.25" x14ac:dyDescent="0.2">
      <c r="A133" t="str">
        <f ca="1">ORÇAMENTO!C133</f>
        <v>S</v>
      </c>
      <c r="B133">
        <f ca="1">ORÇAMENTO!D133</f>
        <v>0</v>
      </c>
      <c r="C133" s="116" t="str">
        <f t="shared" ca="1" si="8"/>
        <v/>
      </c>
      <c r="D133" s="119" t="str">
        <f ca="1">ORÇAMENTO!O133</f>
        <v>-</v>
      </c>
      <c r="E133" s="172" t="str">
        <f t="shared" ca="1" si="9"/>
        <v>(abra o arquivo 'Referência 02-2025.xlsm)</v>
      </c>
      <c r="F133" s="173" t="str">
        <f ca="1">IF(RegimeExecucao="Global","",ORÇAMENTO.Unidade)</f>
        <v>-</v>
      </c>
      <c r="G133" s="124">
        <f ca="1">IF(RegimeExecucao="Global","",ORÇAMENTO!T133)</f>
        <v>4</v>
      </c>
      <c r="H133" s="124">
        <f ca="1">IF(RegimeExecucao="Global","",ORÇAMENTO!W133)</f>
        <v>0</v>
      </c>
      <c r="I133" s="127">
        <f ca="1">ORÇAMENTO!X133</f>
        <v>0</v>
      </c>
      <c r="J133" s="378">
        <f ca="1">IF($A133="S",IF(CAIXA.Modo,BM.AFAnterior,BM.MEDAnterior),IF(AND(RegimeExecucao="Global",$I133&gt;0,COUNTIF($AB$13:$AM$13,BM.medicao-1)&gt;0),M133/$I133*100,0))</f>
        <v>0</v>
      </c>
      <c r="K133" s="124">
        <f t="shared" ca="1" si="10"/>
        <v>0</v>
      </c>
      <c r="L133" s="379">
        <f ca="1">IF($A133="S",IF(CAIXA.Modo,BM.AFAcumulado,BM.MEDAcumulado),IF(AND(RegimeExecucao="Global",$I133&gt;0,COUNTIF($AB$13:$AM$13,BM.medicao)&gt;0),O133/$I133*100,0))</f>
        <v>0</v>
      </c>
      <c r="M133" s="380">
        <f ca="1">IF($A133="S",VTOTALBM,IF($A133=0,0,ROUND(SomaAgrupBM,15-13*ORÇAMENTO!$AF$11)))</f>
        <v>0</v>
      </c>
      <c r="N133" s="381">
        <f t="shared" ca="1" si="11"/>
        <v>0</v>
      </c>
      <c r="O133" s="127">
        <f ca="1">IF($A133="S",VTOTALBM,IF($A133=0,0,ROUND(SomaAgrupBM,15-13*ORÇAMENTO!$AF$11)))</f>
        <v>0</v>
      </c>
      <c r="Q133" s="382"/>
      <c r="R133" s="383"/>
      <c r="T133" s="119" t="str">
        <f t="shared" ca="1" si="12"/>
        <v/>
      </c>
      <c r="U133" s="172" t="str">
        <f t="shared" ca="1" si="13"/>
        <v/>
      </c>
      <c r="V133" s="173" t="str">
        <f ca="1">IF(AND($W133&gt;0,RegimeExecucao="Unitário"),$F133,"")</f>
        <v/>
      </c>
      <c r="W133" s="547">
        <f ca="1">IF($Y133&gt;0,CHOOSE(MATCH(RegimeExecucao,{"Unitário","Global"},0),IF($A133="S",$Y133/$X133,""),($Y133/$X133)*100),0)</f>
        <v>0</v>
      </c>
      <c r="X133" s="384" t="str">
        <f ca="1">IF($Y133&gt;0,CHOOSE(MATCH(RegimeExecucao,{"Unitário","Global"},0),IF($A133="S",ROUND($H133,ORÇAMENTO!$AF$10),""),ROUND($I133,ORÇAMENTO!$AF$11)),"")</f>
        <v/>
      </c>
      <c r="Y133" s="384">
        <f t="shared" ca="1" si="14"/>
        <v>0</v>
      </c>
      <c r="Z133" s="572"/>
      <c r="AB133" s="382"/>
      <c r="AC133" s="516"/>
      <c r="AD133" s="516"/>
      <c r="AE133" s="516"/>
      <c r="AF133" s="516"/>
      <c r="AG133" s="516"/>
      <c r="AH133" s="516"/>
      <c r="AI133" s="516"/>
      <c r="AJ133" s="516"/>
      <c r="AK133" s="516"/>
      <c r="AL133" s="516"/>
      <c r="AM133" s="383"/>
      <c r="AO133">
        <f ca="1">IF($A133="S",IF(BM!$I133=0,0,CHOOSE(MATCH(RegimeExecucao,{"Global","Unitário"},0),ROUND(ROUND(BM.MEDAcumulado,15-13*BM!$A$9)/100*BM!$I133,15-13*ORÇAMENTO!$AF$11),ROUND(ROUND(BM.MEDAcumulado,15-13*BM!$A$9)*ROUND(BM!$H133,15-13*ORÇAMENTO!$AF$10),15-13*ORÇAMENTO!$AF$11))),IF($A133=0,0,ROUND(SomaAgrupBM,15-13*ORÇAMENTO!$AF$11)))</f>
        <v>0</v>
      </c>
    </row>
    <row r="134" spans="1:41" ht="25.5" x14ac:dyDescent="0.2">
      <c r="A134" t="str">
        <f ca="1">ORÇAMENTO!C134</f>
        <v>S</v>
      </c>
      <c r="B134">
        <f ca="1">ORÇAMENTO!D134</f>
        <v>0</v>
      </c>
      <c r="C134" s="116" t="str">
        <f t="shared" ca="1" si="8"/>
        <v/>
      </c>
      <c r="D134" s="119" t="str">
        <f ca="1">ORÇAMENTO!O134</f>
        <v>-</v>
      </c>
      <c r="E134" s="172" t="str">
        <f t="shared" ca="1" si="9"/>
        <v>(abra o arquivo 'Referência 02-2025.xlsm)</v>
      </c>
      <c r="F134" s="173" t="str">
        <f ca="1">IF(RegimeExecucao="Global","",ORÇAMENTO.Unidade)</f>
        <v>-</v>
      </c>
      <c r="G134" s="124">
        <f ca="1">IF(RegimeExecucao="Global","",ORÇAMENTO!T134)</f>
        <v>19.84</v>
      </c>
      <c r="H134" s="124">
        <f ca="1">IF(RegimeExecucao="Global","",ORÇAMENTO!W134)</f>
        <v>0</v>
      </c>
      <c r="I134" s="127">
        <f ca="1">ORÇAMENTO!X134</f>
        <v>0</v>
      </c>
      <c r="J134" s="378">
        <f ca="1">IF($A134="S",IF(CAIXA.Modo,BM.AFAnterior,BM.MEDAnterior),IF(AND(RegimeExecucao="Global",$I134&gt;0,COUNTIF($AB$13:$AM$13,BM.medicao-1)&gt;0),M134/$I134*100,0))</f>
        <v>0</v>
      </c>
      <c r="K134" s="124">
        <f t="shared" ca="1" si="10"/>
        <v>0</v>
      </c>
      <c r="L134" s="379">
        <f ca="1">IF($A134="S",IF(CAIXA.Modo,BM.AFAcumulado,BM.MEDAcumulado),IF(AND(RegimeExecucao="Global",$I134&gt;0,COUNTIF($AB$13:$AM$13,BM.medicao)&gt;0),O134/$I134*100,0))</f>
        <v>0</v>
      </c>
      <c r="M134" s="380">
        <f ca="1">IF($A134="S",VTOTALBM,IF($A134=0,0,ROUND(SomaAgrupBM,15-13*ORÇAMENTO!$AF$11)))</f>
        <v>0</v>
      </c>
      <c r="N134" s="381">
        <f t="shared" ca="1" si="11"/>
        <v>0</v>
      </c>
      <c r="O134" s="127">
        <f ca="1">IF($A134="S",VTOTALBM,IF($A134=0,0,ROUND(SomaAgrupBM,15-13*ORÇAMENTO!$AF$11)))</f>
        <v>0</v>
      </c>
      <c r="Q134" s="382"/>
      <c r="R134" s="383"/>
      <c r="T134" s="119" t="str">
        <f t="shared" ca="1" si="12"/>
        <v/>
      </c>
      <c r="U134" s="172" t="str">
        <f t="shared" ca="1" si="13"/>
        <v/>
      </c>
      <c r="V134" s="173" t="str">
        <f ca="1">IF(AND($W134&gt;0,RegimeExecucao="Unitário"),$F134,"")</f>
        <v/>
      </c>
      <c r="W134" s="547">
        <f ca="1">IF($Y134&gt;0,CHOOSE(MATCH(RegimeExecucao,{"Unitário","Global"},0),IF($A134="S",$Y134/$X134,""),($Y134/$X134)*100),0)</f>
        <v>0</v>
      </c>
      <c r="X134" s="384" t="str">
        <f ca="1">IF($Y134&gt;0,CHOOSE(MATCH(RegimeExecucao,{"Unitário","Global"},0),IF($A134="S",ROUND($H134,ORÇAMENTO!$AF$10),""),ROUND($I134,ORÇAMENTO!$AF$11)),"")</f>
        <v/>
      </c>
      <c r="Y134" s="384">
        <f t="shared" ca="1" si="14"/>
        <v>0</v>
      </c>
      <c r="Z134" s="572"/>
      <c r="AB134" s="382"/>
      <c r="AC134" s="516"/>
      <c r="AD134" s="516"/>
      <c r="AE134" s="516"/>
      <c r="AF134" s="516"/>
      <c r="AG134" s="516"/>
      <c r="AH134" s="516"/>
      <c r="AI134" s="516"/>
      <c r="AJ134" s="516"/>
      <c r="AK134" s="516"/>
      <c r="AL134" s="516"/>
      <c r="AM134" s="383"/>
      <c r="AO134">
        <f ca="1">IF($A134="S",IF(BM!$I134=0,0,CHOOSE(MATCH(RegimeExecucao,{"Global","Unitário"},0),ROUND(ROUND(BM.MEDAcumulado,15-13*BM!$A$9)/100*BM!$I134,15-13*ORÇAMENTO!$AF$11),ROUND(ROUND(BM.MEDAcumulado,15-13*BM!$A$9)*ROUND(BM!$H134,15-13*ORÇAMENTO!$AF$10),15-13*ORÇAMENTO!$AF$11))),IF($A134=0,0,ROUND(SomaAgrupBM,15-13*ORÇAMENTO!$AF$11)))</f>
        <v>0</v>
      </c>
    </row>
    <row r="135" spans="1:41" ht="25.5" x14ac:dyDescent="0.2">
      <c r="A135" t="str">
        <f ca="1">ORÇAMENTO!C135</f>
        <v>S</v>
      </c>
      <c r="B135">
        <f ca="1">ORÇAMENTO!D135</f>
        <v>0</v>
      </c>
      <c r="C135" s="116" t="str">
        <f t="shared" ca="1" si="8"/>
        <v/>
      </c>
      <c r="D135" s="119" t="str">
        <f ca="1">ORÇAMENTO!O135</f>
        <v>-</v>
      </c>
      <c r="E135" s="172" t="str">
        <f t="shared" ca="1" si="9"/>
        <v>(abra o arquivo 'Referência 02-2025.xlsm)</v>
      </c>
      <c r="F135" s="173" t="str">
        <f ca="1">IF(RegimeExecucao="Global","",ORÇAMENTO.Unidade)</f>
        <v>-</v>
      </c>
      <c r="G135" s="124">
        <f ca="1">IF(RegimeExecucao="Global","",ORÇAMENTO!T135)</f>
        <v>205.25</v>
      </c>
      <c r="H135" s="124">
        <f ca="1">IF(RegimeExecucao="Global","",ORÇAMENTO!W135)</f>
        <v>0</v>
      </c>
      <c r="I135" s="127">
        <f ca="1">ORÇAMENTO!X135</f>
        <v>0</v>
      </c>
      <c r="J135" s="378">
        <f ca="1">IF($A135="S",IF(CAIXA.Modo,BM.AFAnterior,BM.MEDAnterior),IF(AND(RegimeExecucao="Global",$I135&gt;0,COUNTIF($AB$13:$AM$13,BM.medicao-1)&gt;0),M135/$I135*100,0))</f>
        <v>0</v>
      </c>
      <c r="K135" s="124">
        <f t="shared" ca="1" si="10"/>
        <v>0</v>
      </c>
      <c r="L135" s="379">
        <f ca="1">IF($A135="S",IF(CAIXA.Modo,BM.AFAcumulado,BM.MEDAcumulado),IF(AND(RegimeExecucao="Global",$I135&gt;0,COUNTIF($AB$13:$AM$13,BM.medicao)&gt;0),O135/$I135*100,0))</f>
        <v>0</v>
      </c>
      <c r="M135" s="380">
        <f ca="1">IF($A135="S",VTOTALBM,IF($A135=0,0,ROUND(SomaAgrupBM,15-13*ORÇAMENTO!$AF$11)))</f>
        <v>0</v>
      </c>
      <c r="N135" s="381">
        <f t="shared" ca="1" si="11"/>
        <v>0</v>
      </c>
      <c r="O135" s="127">
        <f ca="1">IF($A135="S",VTOTALBM,IF($A135=0,0,ROUND(SomaAgrupBM,15-13*ORÇAMENTO!$AF$11)))</f>
        <v>0</v>
      </c>
      <c r="Q135" s="382"/>
      <c r="R135" s="383"/>
      <c r="T135" s="119" t="str">
        <f t="shared" ca="1" si="12"/>
        <v/>
      </c>
      <c r="U135" s="172" t="str">
        <f t="shared" ca="1" si="13"/>
        <v/>
      </c>
      <c r="V135" s="173" t="str">
        <f ca="1">IF(AND($W135&gt;0,RegimeExecucao="Unitário"),$F135,"")</f>
        <v/>
      </c>
      <c r="W135" s="547">
        <f ca="1">IF($Y135&gt;0,CHOOSE(MATCH(RegimeExecucao,{"Unitário","Global"},0),IF($A135="S",$Y135/$X135,""),($Y135/$X135)*100),0)</f>
        <v>0</v>
      </c>
      <c r="X135" s="384" t="str">
        <f ca="1">IF($Y135&gt;0,CHOOSE(MATCH(RegimeExecucao,{"Unitário","Global"},0),IF($A135="S",ROUND($H135,ORÇAMENTO!$AF$10),""),ROUND($I135,ORÇAMENTO!$AF$11)),"")</f>
        <v/>
      </c>
      <c r="Y135" s="384">
        <f t="shared" ca="1" si="14"/>
        <v>0</v>
      </c>
      <c r="Z135" s="572"/>
      <c r="AB135" s="382"/>
      <c r="AC135" s="516"/>
      <c r="AD135" s="516"/>
      <c r="AE135" s="516"/>
      <c r="AF135" s="516"/>
      <c r="AG135" s="516"/>
      <c r="AH135" s="516"/>
      <c r="AI135" s="516"/>
      <c r="AJ135" s="516"/>
      <c r="AK135" s="516"/>
      <c r="AL135" s="516"/>
      <c r="AM135" s="383"/>
      <c r="AO135">
        <f ca="1">IF($A135="S",IF(BM!$I135=0,0,CHOOSE(MATCH(RegimeExecucao,{"Global","Unitário"},0),ROUND(ROUND(BM.MEDAcumulado,15-13*BM!$A$9)/100*BM!$I135,15-13*ORÇAMENTO!$AF$11),ROUND(ROUND(BM.MEDAcumulado,15-13*BM!$A$9)*ROUND(BM!$H135,15-13*ORÇAMENTO!$AF$10),15-13*ORÇAMENTO!$AF$11))),IF($A135=0,0,ROUND(SomaAgrupBM,15-13*ORÇAMENTO!$AF$11)))</f>
        <v>0</v>
      </c>
    </row>
    <row r="136" spans="1:41" x14ac:dyDescent="0.2">
      <c r="A136">
        <f ca="1">ORÇAMENTO!C136</f>
        <v>3</v>
      </c>
      <c r="B136">
        <f ca="1">ORÇAMENTO!D136</f>
        <v>8</v>
      </c>
      <c r="C136" s="116" t="str">
        <f t="shared" ca="1" si="8"/>
        <v>F</v>
      </c>
      <c r="D136" s="119" t="str">
        <f ca="1">ORÇAMENTO!O136</f>
        <v>1.6.3.</v>
      </c>
      <c r="E136" s="172" t="str">
        <f t="shared" ca="1" si="9"/>
        <v>PORTAS EM ALUMÍNIO</v>
      </c>
      <c r="F136" s="173" t="str">
        <f ca="1">IF(RegimeExecucao="Global","",ORÇAMENTO.Unidade)</f>
        <v>-</v>
      </c>
      <c r="G136" s="124">
        <f ca="1">IF(RegimeExecucao="Global","",ORÇAMENTO!T136)</f>
        <v>0</v>
      </c>
      <c r="H136" s="124">
        <f ca="1">IF(RegimeExecucao="Global","",ORÇAMENTO!W136)</f>
        <v>0</v>
      </c>
      <c r="I136" s="127">
        <f ca="1">ORÇAMENTO!X136</f>
        <v>0</v>
      </c>
      <c r="J136" s="378">
        <f ca="1">IF($A136="S",IF(CAIXA.Modo,BM.AFAnterior,BM.MEDAnterior),IF(AND(RegimeExecucao="Global",$I136&gt;0,COUNTIF($AB$13:$AM$13,BM.medicao-1)&gt;0),M136/$I136*100,0))</f>
        <v>0</v>
      </c>
      <c r="K136" s="124">
        <f t="shared" ca="1" si="10"/>
        <v>0</v>
      </c>
      <c r="L136" s="379">
        <f ca="1">IF($A136="S",IF(CAIXA.Modo,BM.AFAcumulado,BM.MEDAcumulado),IF(AND(RegimeExecucao="Global",$I136&gt;0,COUNTIF($AB$13:$AM$13,BM.medicao)&gt;0),O136/$I136*100,0))</f>
        <v>0</v>
      </c>
      <c r="M136" s="380">
        <f ca="1">IF($A136="S",VTOTALBM,IF($A136=0,0,ROUND(SomaAgrupBM,15-13*ORÇAMENTO!$AF$11)))</f>
        <v>0</v>
      </c>
      <c r="N136" s="381">
        <f t="shared" ca="1" si="11"/>
        <v>0</v>
      </c>
      <c r="O136" s="127">
        <f ca="1">IF($A136="S",VTOTALBM,IF($A136=0,0,ROUND(SomaAgrupBM,15-13*ORÇAMENTO!$AF$11)))</f>
        <v>0</v>
      </c>
      <c r="Q136" s="382"/>
      <c r="R136" s="383"/>
      <c r="T136" s="119" t="str">
        <f t="shared" ca="1" si="12"/>
        <v/>
      </c>
      <c r="U136" s="172" t="str">
        <f t="shared" ca="1" si="13"/>
        <v/>
      </c>
      <c r="V136" s="173" t="str">
        <f ca="1">IF(AND($W136&gt;0,RegimeExecucao="Unitário"),$F136,"")</f>
        <v/>
      </c>
      <c r="W136" s="547">
        <f ca="1">IF($Y136&gt;0,CHOOSE(MATCH(RegimeExecucao,{"Unitário","Global"},0),IF($A136="S",$Y136/$X136,""),($Y136/$X136)*100),0)</f>
        <v>0</v>
      </c>
      <c r="X136" s="384" t="str">
        <f ca="1">IF($Y136&gt;0,CHOOSE(MATCH(RegimeExecucao,{"Unitário","Global"},0),IF($A136="S",ROUND($H136,ORÇAMENTO!$AF$10),""),ROUND($I136,ORÇAMENTO!$AF$11)),"")</f>
        <v/>
      </c>
      <c r="Y136" s="384">
        <f t="shared" ca="1" si="14"/>
        <v>0</v>
      </c>
      <c r="Z136" s="572"/>
      <c r="AB136" s="382"/>
      <c r="AC136" s="516"/>
      <c r="AD136" s="516"/>
      <c r="AE136" s="516"/>
      <c r="AF136" s="516"/>
      <c r="AG136" s="516"/>
      <c r="AH136" s="516"/>
      <c r="AI136" s="516"/>
      <c r="AJ136" s="516"/>
      <c r="AK136" s="516"/>
      <c r="AL136" s="516"/>
      <c r="AM136" s="383"/>
      <c r="AO136">
        <f ca="1">IF($A136="S",IF(BM!$I136=0,0,CHOOSE(MATCH(RegimeExecucao,{"Global","Unitário"},0),ROUND(ROUND(BM.MEDAcumulado,15-13*BM!$A$9)/100*BM!$I136,15-13*ORÇAMENTO!$AF$11),ROUND(ROUND(BM.MEDAcumulado,15-13*BM!$A$9)*ROUND(BM!$H136,15-13*ORÇAMENTO!$AF$10),15-13*ORÇAMENTO!$AF$11))),IF($A136=0,0,ROUND(SomaAgrupBM,15-13*ORÇAMENTO!$AF$11)))</f>
        <v>0</v>
      </c>
    </row>
    <row r="137" spans="1:41" ht="38.25" x14ac:dyDescent="0.2">
      <c r="A137" t="str">
        <f ca="1">ORÇAMENTO!C137</f>
        <v>S</v>
      </c>
      <c r="B137">
        <f ca="1">ORÇAMENTO!D137</f>
        <v>0</v>
      </c>
      <c r="C137" s="116" t="str">
        <f t="shared" ca="1" si="8"/>
        <v/>
      </c>
      <c r="D137" s="119" t="str">
        <f ca="1">ORÇAMENTO!O137</f>
        <v>-</v>
      </c>
      <c r="E137" s="172" t="str">
        <f t="shared" ca="1" si="9"/>
        <v>(abra o arquivo 'Referência 02-2025.xlsm)</v>
      </c>
      <c r="F137" s="173" t="str">
        <f ca="1">IF(RegimeExecucao="Global","",ORÇAMENTO.Unidade)</f>
        <v>-</v>
      </c>
      <c r="G137" s="124">
        <f ca="1">IF(RegimeExecucao="Global","",ORÇAMENTO!T137)</f>
        <v>1</v>
      </c>
      <c r="H137" s="124">
        <f ca="1">IF(RegimeExecucao="Global","",ORÇAMENTO!W137)</f>
        <v>0</v>
      </c>
      <c r="I137" s="127">
        <f ca="1">ORÇAMENTO!X137</f>
        <v>0</v>
      </c>
      <c r="J137" s="378">
        <f ca="1">IF($A137="S",IF(CAIXA.Modo,BM.AFAnterior,BM.MEDAnterior),IF(AND(RegimeExecucao="Global",$I137&gt;0,COUNTIF($AB$13:$AM$13,BM.medicao-1)&gt;0),M137/$I137*100,0))</f>
        <v>0</v>
      </c>
      <c r="K137" s="124">
        <f t="shared" ca="1" si="10"/>
        <v>0</v>
      </c>
      <c r="L137" s="379">
        <f ca="1">IF($A137="S",IF(CAIXA.Modo,BM.AFAcumulado,BM.MEDAcumulado),IF(AND(RegimeExecucao="Global",$I137&gt;0,COUNTIF($AB$13:$AM$13,BM.medicao)&gt;0),O137/$I137*100,0))</f>
        <v>0</v>
      </c>
      <c r="M137" s="380">
        <f ca="1">IF($A137="S",VTOTALBM,IF($A137=0,0,ROUND(SomaAgrupBM,15-13*ORÇAMENTO!$AF$11)))</f>
        <v>0</v>
      </c>
      <c r="N137" s="381">
        <f t="shared" ca="1" si="11"/>
        <v>0</v>
      </c>
      <c r="O137" s="127">
        <f ca="1">IF($A137="S",VTOTALBM,IF($A137=0,0,ROUND(SomaAgrupBM,15-13*ORÇAMENTO!$AF$11)))</f>
        <v>0</v>
      </c>
      <c r="Q137" s="382"/>
      <c r="R137" s="383"/>
      <c r="T137" s="119" t="str">
        <f t="shared" ca="1" si="12"/>
        <v/>
      </c>
      <c r="U137" s="172" t="str">
        <f t="shared" ca="1" si="13"/>
        <v/>
      </c>
      <c r="V137" s="173" t="str">
        <f ca="1">IF(AND($W137&gt;0,RegimeExecucao="Unitário"),$F137,"")</f>
        <v/>
      </c>
      <c r="W137" s="547">
        <f ca="1">IF($Y137&gt;0,CHOOSE(MATCH(RegimeExecucao,{"Unitário","Global"},0),IF($A137="S",$Y137/$X137,""),($Y137/$X137)*100),0)</f>
        <v>0</v>
      </c>
      <c r="X137" s="384" t="str">
        <f ca="1">IF($Y137&gt;0,CHOOSE(MATCH(RegimeExecucao,{"Unitário","Global"},0),IF($A137="S",ROUND($H137,ORÇAMENTO!$AF$10),""),ROUND($I137,ORÇAMENTO!$AF$11)),"")</f>
        <v/>
      </c>
      <c r="Y137" s="384">
        <f t="shared" ca="1" si="14"/>
        <v>0</v>
      </c>
      <c r="Z137" s="572"/>
      <c r="AB137" s="382"/>
      <c r="AC137" s="516"/>
      <c r="AD137" s="516"/>
      <c r="AE137" s="516"/>
      <c r="AF137" s="516"/>
      <c r="AG137" s="516"/>
      <c r="AH137" s="516"/>
      <c r="AI137" s="516"/>
      <c r="AJ137" s="516"/>
      <c r="AK137" s="516"/>
      <c r="AL137" s="516"/>
      <c r="AM137" s="383"/>
      <c r="AO137">
        <f ca="1">IF($A137="S",IF(BM!$I137=0,0,CHOOSE(MATCH(RegimeExecucao,{"Global","Unitário"},0),ROUND(ROUND(BM.MEDAcumulado,15-13*BM!$A$9)/100*BM!$I137,15-13*ORÇAMENTO!$AF$11),ROUND(ROUND(BM.MEDAcumulado,15-13*BM!$A$9)*ROUND(BM!$H137,15-13*ORÇAMENTO!$AF$10),15-13*ORÇAMENTO!$AF$11))),IF($A137=0,0,ROUND(SomaAgrupBM,15-13*ORÇAMENTO!$AF$11)))</f>
        <v>0</v>
      </c>
    </row>
    <row r="138" spans="1:41" ht="51" x14ac:dyDescent="0.2">
      <c r="A138" t="str">
        <f ca="1">ORÇAMENTO!C138</f>
        <v>S</v>
      </c>
      <c r="B138">
        <f ca="1">ORÇAMENTO!D138</f>
        <v>0</v>
      </c>
      <c r="C138" s="116" t="str">
        <f t="shared" ca="1" si="8"/>
        <v/>
      </c>
      <c r="D138" s="119" t="str">
        <f ca="1">ORÇAMENTO!O138</f>
        <v>-</v>
      </c>
      <c r="E138" s="172" t="str">
        <f t="shared" ca="1" si="9"/>
        <v>(abra o arquivo 'Referência 02-2025.xlsm)</v>
      </c>
      <c r="F138" s="173" t="str">
        <f ca="1">IF(RegimeExecucao="Global","",ORÇAMENTO.Unidade)</f>
        <v>-</v>
      </c>
      <c r="G138" s="124">
        <f ca="1">IF(RegimeExecucao="Global","",ORÇAMENTO!T138)</f>
        <v>1.68</v>
      </c>
      <c r="H138" s="124">
        <f ca="1">IF(RegimeExecucao="Global","",ORÇAMENTO!W138)</f>
        <v>0</v>
      </c>
      <c r="I138" s="127">
        <f ca="1">ORÇAMENTO!X138</f>
        <v>0</v>
      </c>
      <c r="J138" s="378">
        <f ca="1">IF($A138="S",IF(CAIXA.Modo,BM.AFAnterior,BM.MEDAnterior),IF(AND(RegimeExecucao="Global",$I138&gt;0,COUNTIF($AB$13:$AM$13,BM.medicao-1)&gt;0),M138/$I138*100,0))</f>
        <v>0</v>
      </c>
      <c r="K138" s="124">
        <f t="shared" ca="1" si="10"/>
        <v>0</v>
      </c>
      <c r="L138" s="379">
        <f ca="1">IF($A138="S",IF(CAIXA.Modo,BM.AFAcumulado,BM.MEDAcumulado),IF(AND(RegimeExecucao="Global",$I138&gt;0,COUNTIF($AB$13:$AM$13,BM.medicao)&gt;0),O138/$I138*100,0))</f>
        <v>0</v>
      </c>
      <c r="M138" s="380">
        <f ca="1">IF($A138="S",VTOTALBM,IF($A138=0,0,ROUND(SomaAgrupBM,15-13*ORÇAMENTO!$AF$11)))</f>
        <v>0</v>
      </c>
      <c r="N138" s="381">
        <f t="shared" ca="1" si="11"/>
        <v>0</v>
      </c>
      <c r="O138" s="127">
        <f ca="1">IF($A138="S",VTOTALBM,IF($A138=0,0,ROUND(SomaAgrupBM,15-13*ORÇAMENTO!$AF$11)))</f>
        <v>0</v>
      </c>
      <c r="Q138" s="382"/>
      <c r="R138" s="383"/>
      <c r="T138" s="119" t="str">
        <f t="shared" ca="1" si="12"/>
        <v/>
      </c>
      <c r="U138" s="172" t="str">
        <f t="shared" ca="1" si="13"/>
        <v/>
      </c>
      <c r="V138" s="173" t="str">
        <f ca="1">IF(AND($W138&gt;0,RegimeExecucao="Unitário"),$F138,"")</f>
        <v/>
      </c>
      <c r="W138" s="547">
        <f ca="1">IF($Y138&gt;0,CHOOSE(MATCH(RegimeExecucao,{"Unitário","Global"},0),IF($A138="S",$Y138/$X138,""),($Y138/$X138)*100),0)</f>
        <v>0</v>
      </c>
      <c r="X138" s="384" t="str">
        <f ca="1">IF($Y138&gt;0,CHOOSE(MATCH(RegimeExecucao,{"Unitário","Global"},0),IF($A138="S",ROUND($H138,ORÇAMENTO!$AF$10),""),ROUND($I138,ORÇAMENTO!$AF$11)),"")</f>
        <v/>
      </c>
      <c r="Y138" s="384">
        <f t="shared" ca="1" si="14"/>
        <v>0</v>
      </c>
      <c r="Z138" s="572"/>
      <c r="AB138" s="382"/>
      <c r="AC138" s="516"/>
      <c r="AD138" s="516"/>
      <c r="AE138" s="516"/>
      <c r="AF138" s="516"/>
      <c r="AG138" s="516"/>
      <c r="AH138" s="516"/>
      <c r="AI138" s="516"/>
      <c r="AJ138" s="516"/>
      <c r="AK138" s="516"/>
      <c r="AL138" s="516"/>
      <c r="AM138" s="383"/>
      <c r="AO138">
        <f ca="1">IF($A138="S",IF(BM!$I138=0,0,CHOOSE(MATCH(RegimeExecucao,{"Global","Unitário"},0),ROUND(ROUND(BM.MEDAcumulado,15-13*BM!$A$9)/100*BM!$I138,15-13*ORÇAMENTO!$AF$11),ROUND(ROUND(BM.MEDAcumulado,15-13*BM!$A$9)*ROUND(BM!$H138,15-13*ORÇAMENTO!$AF$10),15-13*ORÇAMENTO!$AF$11))),IF($A138=0,0,ROUND(SomaAgrupBM,15-13*ORÇAMENTO!$AF$11)))</f>
        <v>0</v>
      </c>
    </row>
    <row r="139" spans="1:41" ht="51" x14ac:dyDescent="0.2">
      <c r="A139" t="str">
        <f ca="1">ORÇAMENTO!C139</f>
        <v>S</v>
      </c>
      <c r="B139">
        <f ca="1">ORÇAMENTO!D139</f>
        <v>0</v>
      </c>
      <c r="C139" s="116" t="str">
        <f t="shared" ca="1" si="8"/>
        <v/>
      </c>
      <c r="D139" s="119" t="str">
        <f ca="1">ORÇAMENTO!O139</f>
        <v>-</v>
      </c>
      <c r="E139" s="172" t="str">
        <f t="shared" ca="1" si="9"/>
        <v>(abra o arquivo 'Referência 02-2025.xlsm)</v>
      </c>
      <c r="F139" s="173" t="str">
        <f ca="1">IF(RegimeExecucao="Global","",ORÇAMENTO.Unidade)</f>
        <v>-</v>
      </c>
      <c r="G139" s="124">
        <f ca="1">IF(RegimeExecucao="Global","",ORÇAMENTO!T139)</f>
        <v>6.72</v>
      </c>
      <c r="H139" s="124">
        <f ca="1">IF(RegimeExecucao="Global","",ORÇAMENTO!W139)</f>
        <v>0</v>
      </c>
      <c r="I139" s="127">
        <f ca="1">ORÇAMENTO!X139</f>
        <v>0</v>
      </c>
      <c r="J139" s="378">
        <f ca="1">IF($A139="S",IF(CAIXA.Modo,BM.AFAnterior,BM.MEDAnterior),IF(AND(RegimeExecucao="Global",$I139&gt;0,COUNTIF($AB$13:$AM$13,BM.medicao-1)&gt;0),M139/$I139*100,0))</f>
        <v>0</v>
      </c>
      <c r="K139" s="124">
        <f t="shared" ca="1" si="10"/>
        <v>0</v>
      </c>
      <c r="L139" s="379">
        <f ca="1">IF($A139="S",IF(CAIXA.Modo,BM.AFAcumulado,BM.MEDAcumulado),IF(AND(RegimeExecucao="Global",$I139&gt;0,COUNTIF($AB$13:$AM$13,BM.medicao)&gt;0),O139/$I139*100,0))</f>
        <v>0</v>
      </c>
      <c r="M139" s="380">
        <f ca="1">IF($A139="S",VTOTALBM,IF($A139=0,0,ROUND(SomaAgrupBM,15-13*ORÇAMENTO!$AF$11)))</f>
        <v>0</v>
      </c>
      <c r="N139" s="381">
        <f t="shared" ca="1" si="11"/>
        <v>0</v>
      </c>
      <c r="O139" s="127">
        <f ca="1">IF($A139="S",VTOTALBM,IF($A139=0,0,ROUND(SomaAgrupBM,15-13*ORÇAMENTO!$AF$11)))</f>
        <v>0</v>
      </c>
      <c r="Q139" s="382"/>
      <c r="R139" s="383"/>
      <c r="T139" s="119" t="str">
        <f t="shared" ca="1" si="12"/>
        <v/>
      </c>
      <c r="U139" s="172" t="str">
        <f t="shared" ca="1" si="13"/>
        <v/>
      </c>
      <c r="V139" s="173" t="str">
        <f ca="1">IF(AND($W139&gt;0,RegimeExecucao="Unitário"),$F139,"")</f>
        <v/>
      </c>
      <c r="W139" s="547">
        <f ca="1">IF($Y139&gt;0,CHOOSE(MATCH(RegimeExecucao,{"Unitário","Global"},0),IF($A139="S",$Y139/$X139,""),($Y139/$X139)*100),0)</f>
        <v>0</v>
      </c>
      <c r="X139" s="384" t="str">
        <f ca="1">IF($Y139&gt;0,CHOOSE(MATCH(RegimeExecucao,{"Unitário","Global"},0),IF($A139="S",ROUND($H139,ORÇAMENTO!$AF$10),""),ROUND($I139,ORÇAMENTO!$AF$11)),"")</f>
        <v/>
      </c>
      <c r="Y139" s="384">
        <f t="shared" ca="1" si="14"/>
        <v>0</v>
      </c>
      <c r="Z139" s="572"/>
      <c r="AB139" s="382"/>
      <c r="AC139" s="516"/>
      <c r="AD139" s="516"/>
      <c r="AE139" s="516"/>
      <c r="AF139" s="516"/>
      <c r="AG139" s="516"/>
      <c r="AH139" s="516"/>
      <c r="AI139" s="516"/>
      <c r="AJ139" s="516"/>
      <c r="AK139" s="516"/>
      <c r="AL139" s="516"/>
      <c r="AM139" s="383"/>
      <c r="AO139">
        <f ca="1">IF($A139="S",IF(BM!$I139=0,0,CHOOSE(MATCH(RegimeExecucao,{"Global","Unitário"},0),ROUND(ROUND(BM.MEDAcumulado,15-13*BM!$A$9)/100*BM!$I139,15-13*ORÇAMENTO!$AF$11),ROUND(ROUND(BM.MEDAcumulado,15-13*BM!$A$9)*ROUND(BM!$H139,15-13*ORÇAMENTO!$AF$10),15-13*ORÇAMENTO!$AF$11))),IF($A139=0,0,ROUND(SomaAgrupBM,15-13*ORÇAMENTO!$AF$11)))</f>
        <v>0</v>
      </c>
    </row>
    <row r="140" spans="1:41" ht="51" x14ac:dyDescent="0.2">
      <c r="A140" t="str">
        <f ca="1">ORÇAMENTO!C140</f>
        <v>S</v>
      </c>
      <c r="B140">
        <f ca="1">ORÇAMENTO!D140</f>
        <v>0</v>
      </c>
      <c r="C140" s="116" t="str">
        <f t="shared" ca="1" si="8"/>
        <v/>
      </c>
      <c r="D140" s="119" t="str">
        <f ca="1">ORÇAMENTO!O140</f>
        <v>-</v>
      </c>
      <c r="E140" s="172" t="str">
        <f t="shared" ca="1" si="9"/>
        <v>(abra o arquivo 'Referência 02-2025.xlsm)</v>
      </c>
      <c r="F140" s="173" t="str">
        <f ca="1">IF(RegimeExecucao="Global","",ORÇAMENTO.Unidade)</f>
        <v>-</v>
      </c>
      <c r="G140" s="124">
        <f ca="1">IF(RegimeExecucao="Global","",ORÇAMENTO!T140)</f>
        <v>143.1</v>
      </c>
      <c r="H140" s="124">
        <f ca="1">IF(RegimeExecucao="Global","",ORÇAMENTO!W140)</f>
        <v>0</v>
      </c>
      <c r="I140" s="127">
        <f ca="1">ORÇAMENTO!X140</f>
        <v>0</v>
      </c>
      <c r="J140" s="378">
        <f ca="1">IF($A140="S",IF(CAIXA.Modo,BM.AFAnterior,BM.MEDAnterior),IF(AND(RegimeExecucao="Global",$I140&gt;0,COUNTIF($AB$13:$AM$13,BM.medicao-1)&gt;0),M140/$I140*100,0))</f>
        <v>0</v>
      </c>
      <c r="K140" s="124">
        <f t="shared" ca="1" si="10"/>
        <v>0</v>
      </c>
      <c r="L140" s="379">
        <f ca="1">IF($A140="S",IF(CAIXA.Modo,BM.AFAcumulado,BM.MEDAcumulado),IF(AND(RegimeExecucao="Global",$I140&gt;0,COUNTIF($AB$13:$AM$13,BM.medicao)&gt;0),O140/$I140*100,0))</f>
        <v>0</v>
      </c>
      <c r="M140" s="380">
        <f ca="1">IF($A140="S",VTOTALBM,IF($A140=0,0,ROUND(SomaAgrupBM,15-13*ORÇAMENTO!$AF$11)))</f>
        <v>0</v>
      </c>
      <c r="N140" s="381">
        <f t="shared" ca="1" si="11"/>
        <v>0</v>
      </c>
      <c r="O140" s="127">
        <f ca="1">IF($A140="S",VTOTALBM,IF($A140=0,0,ROUND(SomaAgrupBM,15-13*ORÇAMENTO!$AF$11)))</f>
        <v>0</v>
      </c>
      <c r="Q140" s="382"/>
      <c r="R140" s="383"/>
      <c r="T140" s="119" t="str">
        <f t="shared" ca="1" si="12"/>
        <v/>
      </c>
      <c r="U140" s="172" t="str">
        <f t="shared" ca="1" si="13"/>
        <v/>
      </c>
      <c r="V140" s="173" t="str">
        <f ca="1">IF(AND($W140&gt;0,RegimeExecucao="Unitário"),$F140,"")</f>
        <v/>
      </c>
      <c r="W140" s="547">
        <f ca="1">IF($Y140&gt;0,CHOOSE(MATCH(RegimeExecucao,{"Unitário","Global"},0),IF($A140="S",$Y140/$X140,""),($Y140/$X140)*100),0)</f>
        <v>0</v>
      </c>
      <c r="X140" s="384" t="str">
        <f ca="1">IF($Y140&gt;0,CHOOSE(MATCH(RegimeExecucao,{"Unitário","Global"},0),IF($A140="S",ROUND($H140,ORÇAMENTO!$AF$10),""),ROUND($I140,ORÇAMENTO!$AF$11)),"")</f>
        <v/>
      </c>
      <c r="Y140" s="384">
        <f t="shared" ca="1" si="14"/>
        <v>0</v>
      </c>
      <c r="Z140" s="572"/>
      <c r="AB140" s="382"/>
      <c r="AC140" s="516"/>
      <c r="AD140" s="516"/>
      <c r="AE140" s="516"/>
      <c r="AF140" s="516"/>
      <c r="AG140" s="516"/>
      <c r="AH140" s="516"/>
      <c r="AI140" s="516"/>
      <c r="AJ140" s="516"/>
      <c r="AK140" s="516"/>
      <c r="AL140" s="516"/>
      <c r="AM140" s="383"/>
      <c r="AO140">
        <f ca="1">IF($A140="S",IF(BM!$I140=0,0,CHOOSE(MATCH(RegimeExecucao,{"Global","Unitário"},0),ROUND(ROUND(BM.MEDAcumulado,15-13*BM!$A$9)/100*BM!$I140,15-13*ORÇAMENTO!$AF$11),ROUND(ROUND(BM.MEDAcumulado,15-13*BM!$A$9)*ROUND(BM!$H140,15-13*ORÇAMENTO!$AF$10),15-13*ORÇAMENTO!$AF$11))),IF($A140=0,0,ROUND(SomaAgrupBM,15-13*ORÇAMENTO!$AF$11)))</f>
        <v>0</v>
      </c>
    </row>
    <row r="141" spans="1:41" ht="51" x14ac:dyDescent="0.2">
      <c r="A141" t="str">
        <f ca="1">ORÇAMENTO!C141</f>
        <v>S</v>
      </c>
      <c r="B141">
        <f ca="1">ORÇAMENTO!D141</f>
        <v>0</v>
      </c>
      <c r="C141" s="116" t="str">
        <f t="shared" ca="1" si="8"/>
        <v/>
      </c>
      <c r="D141" s="119" t="str">
        <f ca="1">ORÇAMENTO!O141</f>
        <v>-</v>
      </c>
      <c r="E141" s="172" t="str">
        <f t="shared" ca="1" si="9"/>
        <v>(abra o arquivo 'Referência 02-2025.xlsm)</v>
      </c>
      <c r="F141" s="173" t="str">
        <f ca="1">IF(RegimeExecucao="Global","",ORÇAMENTO.Unidade)</f>
        <v>-</v>
      </c>
      <c r="G141" s="124">
        <f ca="1">IF(RegimeExecucao="Global","",ORÇAMENTO!T141)</f>
        <v>5.04</v>
      </c>
      <c r="H141" s="124">
        <f ca="1">IF(RegimeExecucao="Global","",ORÇAMENTO!W141)</f>
        <v>0</v>
      </c>
      <c r="I141" s="127">
        <f ca="1">ORÇAMENTO!X141</f>
        <v>0</v>
      </c>
      <c r="J141" s="378">
        <f ca="1">IF($A141="S",IF(CAIXA.Modo,BM.AFAnterior,BM.MEDAnterior),IF(AND(RegimeExecucao="Global",$I141&gt;0,COUNTIF($AB$13:$AM$13,BM.medicao-1)&gt;0),M141/$I141*100,0))</f>
        <v>0</v>
      </c>
      <c r="K141" s="124">
        <f t="shared" ca="1" si="10"/>
        <v>0</v>
      </c>
      <c r="L141" s="379">
        <f ca="1">IF($A141="S",IF(CAIXA.Modo,BM.AFAcumulado,BM.MEDAcumulado),IF(AND(RegimeExecucao="Global",$I141&gt;0,COUNTIF($AB$13:$AM$13,BM.medicao)&gt;0),O141/$I141*100,0))</f>
        <v>0</v>
      </c>
      <c r="M141" s="380">
        <f ca="1">IF($A141="S",VTOTALBM,IF($A141=0,0,ROUND(SomaAgrupBM,15-13*ORÇAMENTO!$AF$11)))</f>
        <v>0</v>
      </c>
      <c r="N141" s="381">
        <f t="shared" ca="1" si="11"/>
        <v>0</v>
      </c>
      <c r="O141" s="127">
        <f ca="1">IF($A141="S",VTOTALBM,IF($A141=0,0,ROUND(SomaAgrupBM,15-13*ORÇAMENTO!$AF$11)))</f>
        <v>0</v>
      </c>
      <c r="Q141" s="382"/>
      <c r="R141" s="383"/>
      <c r="T141" s="119" t="str">
        <f t="shared" ca="1" si="12"/>
        <v/>
      </c>
      <c r="U141" s="172" t="str">
        <f t="shared" ca="1" si="13"/>
        <v/>
      </c>
      <c r="V141" s="173" t="str">
        <f ca="1">IF(AND($W141&gt;0,RegimeExecucao="Unitário"),$F141,"")</f>
        <v/>
      </c>
      <c r="W141" s="547">
        <f ca="1">IF($Y141&gt;0,CHOOSE(MATCH(RegimeExecucao,{"Unitário","Global"},0),IF($A141="S",$Y141/$X141,""),($Y141/$X141)*100),0)</f>
        <v>0</v>
      </c>
      <c r="X141" s="384" t="str">
        <f ca="1">IF($Y141&gt;0,CHOOSE(MATCH(RegimeExecucao,{"Unitário","Global"},0),IF($A141="S",ROUND($H141,ORÇAMENTO!$AF$10),""),ROUND($I141,ORÇAMENTO!$AF$11)),"")</f>
        <v/>
      </c>
      <c r="Y141" s="384">
        <f t="shared" ca="1" si="14"/>
        <v>0</v>
      </c>
      <c r="Z141" s="572"/>
      <c r="AB141" s="382"/>
      <c r="AC141" s="516"/>
      <c r="AD141" s="516"/>
      <c r="AE141" s="516"/>
      <c r="AF141" s="516"/>
      <c r="AG141" s="516"/>
      <c r="AH141" s="516"/>
      <c r="AI141" s="516"/>
      <c r="AJ141" s="516"/>
      <c r="AK141" s="516"/>
      <c r="AL141" s="516"/>
      <c r="AM141" s="383"/>
      <c r="AO141">
        <f ca="1">IF($A141="S",IF(BM!$I141=0,0,CHOOSE(MATCH(RegimeExecucao,{"Global","Unitário"},0),ROUND(ROUND(BM.MEDAcumulado,15-13*BM!$A$9)/100*BM!$I141,15-13*ORÇAMENTO!$AF$11),ROUND(ROUND(BM.MEDAcumulado,15-13*BM!$A$9)*ROUND(BM!$H141,15-13*ORÇAMENTO!$AF$10),15-13*ORÇAMENTO!$AF$11))),IF($A141=0,0,ROUND(SomaAgrupBM,15-13*ORÇAMENTO!$AF$11)))</f>
        <v>0</v>
      </c>
    </row>
    <row r="142" spans="1:41" ht="51" x14ac:dyDescent="0.2">
      <c r="A142" t="str">
        <f ca="1">ORÇAMENTO!C142</f>
        <v>S</v>
      </c>
      <c r="B142">
        <f ca="1">ORÇAMENTO!D142</f>
        <v>0</v>
      </c>
      <c r="C142" s="116" t="str">
        <f t="shared" ca="1" si="8"/>
        <v/>
      </c>
      <c r="D142" s="119" t="str">
        <f ca="1">ORÇAMENTO!O142</f>
        <v>-</v>
      </c>
      <c r="E142" s="172" t="str">
        <f t="shared" ca="1" si="9"/>
        <v>(abra o arquivo 'Referência 02-2025.xlsm)</v>
      </c>
      <c r="F142" s="173" t="str">
        <f ca="1">IF(RegimeExecucao="Global","",ORÇAMENTO.Unidade)</f>
        <v>-</v>
      </c>
      <c r="G142" s="124">
        <f ca="1">IF(RegimeExecucao="Global","",ORÇAMENTO!T142)</f>
        <v>7.48</v>
      </c>
      <c r="H142" s="124">
        <f ca="1">IF(RegimeExecucao="Global","",ORÇAMENTO!W142)</f>
        <v>0</v>
      </c>
      <c r="I142" s="127">
        <f ca="1">ORÇAMENTO!X142</f>
        <v>0</v>
      </c>
      <c r="J142" s="378">
        <f ca="1">IF($A142="S",IF(CAIXA.Modo,BM.AFAnterior,BM.MEDAnterior),IF(AND(RegimeExecucao="Global",$I142&gt;0,COUNTIF($AB$13:$AM$13,BM.medicao-1)&gt;0),M142/$I142*100,0))</f>
        <v>0</v>
      </c>
      <c r="K142" s="124">
        <f t="shared" ca="1" si="10"/>
        <v>0</v>
      </c>
      <c r="L142" s="379">
        <f ca="1">IF($A142="S",IF(CAIXA.Modo,BM.AFAcumulado,BM.MEDAcumulado),IF(AND(RegimeExecucao="Global",$I142&gt;0,COUNTIF($AB$13:$AM$13,BM.medicao)&gt;0),O142/$I142*100,0))</f>
        <v>0</v>
      </c>
      <c r="M142" s="380">
        <f ca="1">IF($A142="S",VTOTALBM,IF($A142=0,0,ROUND(SomaAgrupBM,15-13*ORÇAMENTO!$AF$11)))</f>
        <v>0</v>
      </c>
      <c r="N142" s="381">
        <f t="shared" ca="1" si="11"/>
        <v>0</v>
      </c>
      <c r="O142" s="127">
        <f ca="1">IF($A142="S",VTOTALBM,IF($A142=0,0,ROUND(SomaAgrupBM,15-13*ORÇAMENTO!$AF$11)))</f>
        <v>0</v>
      </c>
      <c r="Q142" s="382"/>
      <c r="R142" s="383"/>
      <c r="T142" s="119" t="str">
        <f t="shared" ca="1" si="12"/>
        <v/>
      </c>
      <c r="U142" s="172" t="str">
        <f t="shared" ca="1" si="13"/>
        <v/>
      </c>
      <c r="V142" s="173" t="str">
        <f ca="1">IF(AND($W142&gt;0,RegimeExecucao="Unitário"),$F142,"")</f>
        <v/>
      </c>
      <c r="W142" s="547">
        <f ca="1">IF($Y142&gt;0,CHOOSE(MATCH(RegimeExecucao,{"Unitário","Global"},0),IF($A142="S",$Y142/$X142,""),($Y142/$X142)*100),0)</f>
        <v>0</v>
      </c>
      <c r="X142" s="384" t="str">
        <f ca="1">IF($Y142&gt;0,CHOOSE(MATCH(RegimeExecucao,{"Unitário","Global"},0),IF($A142="S",ROUND($H142,ORÇAMENTO!$AF$10),""),ROUND($I142,ORÇAMENTO!$AF$11)),"")</f>
        <v/>
      </c>
      <c r="Y142" s="384">
        <f t="shared" ca="1" si="14"/>
        <v>0</v>
      </c>
      <c r="Z142" s="572"/>
      <c r="AB142" s="382"/>
      <c r="AC142" s="516"/>
      <c r="AD142" s="516"/>
      <c r="AE142" s="516"/>
      <c r="AF142" s="516"/>
      <c r="AG142" s="516"/>
      <c r="AH142" s="516"/>
      <c r="AI142" s="516"/>
      <c r="AJ142" s="516"/>
      <c r="AK142" s="516"/>
      <c r="AL142" s="516"/>
      <c r="AM142" s="383"/>
      <c r="AO142">
        <f ca="1">IF($A142="S",IF(BM!$I142=0,0,CHOOSE(MATCH(RegimeExecucao,{"Global","Unitário"},0),ROUND(ROUND(BM.MEDAcumulado,15-13*BM!$A$9)/100*BM!$I142,15-13*ORÇAMENTO!$AF$11),ROUND(ROUND(BM.MEDAcumulado,15-13*BM!$A$9)*ROUND(BM!$H142,15-13*ORÇAMENTO!$AF$10),15-13*ORÇAMENTO!$AF$11))),IF($A142=0,0,ROUND(SomaAgrupBM,15-13*ORÇAMENTO!$AF$11)))</f>
        <v>0</v>
      </c>
    </row>
    <row r="143" spans="1:41" ht="63.75" x14ac:dyDescent="0.2">
      <c r="A143" t="str">
        <f ca="1">ORÇAMENTO!C143</f>
        <v>S</v>
      </c>
      <c r="B143">
        <f ca="1">ORÇAMENTO!D143</f>
        <v>0</v>
      </c>
      <c r="C143" s="116" t="str">
        <f t="shared" ca="1" si="8"/>
        <v/>
      </c>
      <c r="D143" s="119" t="str">
        <f ca="1">ORÇAMENTO!O143</f>
        <v>-</v>
      </c>
      <c r="E143" s="172" t="str">
        <f t="shared" ca="1" si="9"/>
        <v>(abra o arquivo 'Referência 02-2025.xlsm)</v>
      </c>
      <c r="F143" s="173" t="str">
        <f ca="1">IF(RegimeExecucao="Global","",ORÇAMENTO.Unidade)</f>
        <v>-</v>
      </c>
      <c r="G143" s="124">
        <f ca="1">IF(RegimeExecucao="Global","",ORÇAMENTO!T143)</f>
        <v>5.25</v>
      </c>
      <c r="H143" s="124">
        <f ca="1">IF(RegimeExecucao="Global","",ORÇAMENTO!W143)</f>
        <v>0</v>
      </c>
      <c r="I143" s="127">
        <f ca="1">ORÇAMENTO!X143</f>
        <v>0</v>
      </c>
      <c r="J143" s="378">
        <f ca="1">IF($A143="S",IF(CAIXA.Modo,BM.AFAnterior,BM.MEDAnterior),IF(AND(RegimeExecucao="Global",$I143&gt;0,COUNTIF($AB$13:$AM$13,BM.medicao-1)&gt;0),M143/$I143*100,0))</f>
        <v>0</v>
      </c>
      <c r="K143" s="124">
        <f t="shared" ca="1" si="10"/>
        <v>0</v>
      </c>
      <c r="L143" s="379">
        <f ca="1">IF($A143="S",IF(CAIXA.Modo,BM.AFAcumulado,BM.MEDAcumulado),IF(AND(RegimeExecucao="Global",$I143&gt;0,COUNTIF($AB$13:$AM$13,BM.medicao)&gt;0),O143/$I143*100,0))</f>
        <v>0</v>
      </c>
      <c r="M143" s="380">
        <f ca="1">IF($A143="S",VTOTALBM,IF($A143=0,0,ROUND(SomaAgrupBM,15-13*ORÇAMENTO!$AF$11)))</f>
        <v>0</v>
      </c>
      <c r="N143" s="381">
        <f t="shared" ca="1" si="11"/>
        <v>0</v>
      </c>
      <c r="O143" s="127">
        <f ca="1">IF($A143="S",VTOTALBM,IF($A143=0,0,ROUND(SomaAgrupBM,15-13*ORÇAMENTO!$AF$11)))</f>
        <v>0</v>
      </c>
      <c r="Q143" s="382"/>
      <c r="R143" s="383"/>
      <c r="T143" s="119" t="str">
        <f t="shared" ca="1" si="12"/>
        <v/>
      </c>
      <c r="U143" s="172" t="str">
        <f t="shared" ca="1" si="13"/>
        <v/>
      </c>
      <c r="V143" s="173" t="str">
        <f ca="1">IF(AND($W143&gt;0,RegimeExecucao="Unitário"),$F143,"")</f>
        <v/>
      </c>
      <c r="W143" s="547">
        <f ca="1">IF($Y143&gt;0,CHOOSE(MATCH(RegimeExecucao,{"Unitário","Global"},0),IF($A143="S",$Y143/$X143,""),($Y143/$X143)*100),0)</f>
        <v>0</v>
      </c>
      <c r="X143" s="384" t="str">
        <f ca="1">IF($Y143&gt;0,CHOOSE(MATCH(RegimeExecucao,{"Unitário","Global"},0),IF($A143="S",ROUND($H143,ORÇAMENTO!$AF$10),""),ROUND($I143,ORÇAMENTO!$AF$11)),"")</f>
        <v/>
      </c>
      <c r="Y143" s="384">
        <f t="shared" ca="1" si="14"/>
        <v>0</v>
      </c>
      <c r="Z143" s="572"/>
      <c r="AB143" s="382"/>
      <c r="AC143" s="516"/>
      <c r="AD143" s="516"/>
      <c r="AE143" s="516"/>
      <c r="AF143" s="516"/>
      <c r="AG143" s="516"/>
      <c r="AH143" s="516"/>
      <c r="AI143" s="516"/>
      <c r="AJ143" s="516"/>
      <c r="AK143" s="516"/>
      <c r="AL143" s="516"/>
      <c r="AM143" s="383"/>
      <c r="AO143">
        <f ca="1">IF($A143="S",IF(BM!$I143=0,0,CHOOSE(MATCH(RegimeExecucao,{"Global","Unitário"},0),ROUND(ROUND(BM.MEDAcumulado,15-13*BM!$A$9)/100*BM!$I143,15-13*ORÇAMENTO!$AF$11),ROUND(ROUND(BM.MEDAcumulado,15-13*BM!$A$9)*ROUND(BM!$H143,15-13*ORÇAMENTO!$AF$10),15-13*ORÇAMENTO!$AF$11))),IF($A143=0,0,ROUND(SomaAgrupBM,15-13*ORÇAMENTO!$AF$11)))</f>
        <v>0</v>
      </c>
    </row>
    <row r="144" spans="1:41" x14ac:dyDescent="0.2">
      <c r="A144">
        <f ca="1">ORÇAMENTO!C144</f>
        <v>3</v>
      </c>
      <c r="B144">
        <f ca="1">ORÇAMENTO!D144</f>
        <v>18</v>
      </c>
      <c r="C144" s="116" t="str">
        <f t="shared" ca="1" si="8"/>
        <v>F</v>
      </c>
      <c r="D144" s="119" t="str">
        <f ca="1">ORÇAMENTO!O144</f>
        <v>1.6.4.</v>
      </c>
      <c r="E144" s="172" t="str">
        <f t="shared" ca="1" si="9"/>
        <v>JANELAS EM ALUMÍNIO</v>
      </c>
      <c r="F144" s="173" t="str">
        <f ca="1">IF(RegimeExecucao="Global","",ORÇAMENTO.Unidade)</f>
        <v>-</v>
      </c>
      <c r="G144" s="124">
        <f ca="1">IF(RegimeExecucao="Global","",ORÇAMENTO!T144)</f>
        <v>0</v>
      </c>
      <c r="H144" s="124">
        <f ca="1">IF(RegimeExecucao="Global","",ORÇAMENTO!W144)</f>
        <v>0</v>
      </c>
      <c r="I144" s="127">
        <f ca="1">ORÇAMENTO!X144</f>
        <v>0</v>
      </c>
      <c r="J144" s="378">
        <f ca="1">IF($A144="S",IF(CAIXA.Modo,BM.AFAnterior,BM.MEDAnterior),IF(AND(RegimeExecucao="Global",$I144&gt;0,COUNTIF($AB$13:$AM$13,BM.medicao-1)&gt;0),M144/$I144*100,0))</f>
        <v>0</v>
      </c>
      <c r="K144" s="124">
        <f t="shared" ca="1" si="10"/>
        <v>0</v>
      </c>
      <c r="L144" s="379">
        <f ca="1">IF($A144="S",IF(CAIXA.Modo,BM.AFAcumulado,BM.MEDAcumulado),IF(AND(RegimeExecucao="Global",$I144&gt;0,COUNTIF($AB$13:$AM$13,BM.medicao)&gt;0),O144/$I144*100,0))</f>
        <v>0</v>
      </c>
      <c r="M144" s="380">
        <f ca="1">IF($A144="S",VTOTALBM,IF($A144=0,0,ROUND(SomaAgrupBM,15-13*ORÇAMENTO!$AF$11)))</f>
        <v>0</v>
      </c>
      <c r="N144" s="381">
        <f t="shared" ca="1" si="11"/>
        <v>0</v>
      </c>
      <c r="O144" s="127">
        <f ca="1">IF($A144="S",VTOTALBM,IF($A144=0,0,ROUND(SomaAgrupBM,15-13*ORÇAMENTO!$AF$11)))</f>
        <v>0</v>
      </c>
      <c r="Q144" s="382"/>
      <c r="R144" s="383"/>
      <c r="T144" s="119" t="str">
        <f t="shared" ca="1" si="12"/>
        <v/>
      </c>
      <c r="U144" s="172" t="str">
        <f t="shared" ca="1" si="13"/>
        <v/>
      </c>
      <c r="V144" s="173" t="str">
        <f ca="1">IF(AND($W144&gt;0,RegimeExecucao="Unitário"),$F144,"")</f>
        <v/>
      </c>
      <c r="W144" s="547">
        <f ca="1">IF($Y144&gt;0,CHOOSE(MATCH(RegimeExecucao,{"Unitário","Global"},0),IF($A144="S",$Y144/$X144,""),($Y144/$X144)*100),0)</f>
        <v>0</v>
      </c>
      <c r="X144" s="384" t="str">
        <f ca="1">IF($Y144&gt;0,CHOOSE(MATCH(RegimeExecucao,{"Unitário","Global"},0),IF($A144="S",ROUND($H144,ORÇAMENTO!$AF$10),""),ROUND($I144,ORÇAMENTO!$AF$11)),"")</f>
        <v/>
      </c>
      <c r="Y144" s="384">
        <f t="shared" ca="1" si="14"/>
        <v>0</v>
      </c>
      <c r="Z144" s="572"/>
      <c r="AB144" s="382"/>
      <c r="AC144" s="516"/>
      <c r="AD144" s="516"/>
      <c r="AE144" s="516"/>
      <c r="AF144" s="516"/>
      <c r="AG144" s="516"/>
      <c r="AH144" s="516"/>
      <c r="AI144" s="516"/>
      <c r="AJ144" s="516"/>
      <c r="AK144" s="516"/>
      <c r="AL144" s="516"/>
      <c r="AM144" s="383"/>
      <c r="AO144">
        <f ca="1">IF($A144="S",IF(BM!$I144=0,0,CHOOSE(MATCH(RegimeExecucao,{"Global","Unitário"},0),ROUND(ROUND(BM.MEDAcumulado,15-13*BM!$A$9)/100*BM!$I144,15-13*ORÇAMENTO!$AF$11),ROUND(ROUND(BM.MEDAcumulado,15-13*BM!$A$9)*ROUND(BM!$H144,15-13*ORÇAMENTO!$AF$10),15-13*ORÇAMENTO!$AF$11))),IF($A144=0,0,ROUND(SomaAgrupBM,15-13*ORÇAMENTO!$AF$11)))</f>
        <v>0</v>
      </c>
    </row>
    <row r="145" spans="1:41" ht="51" x14ac:dyDescent="0.2">
      <c r="A145" t="str">
        <f ca="1">ORÇAMENTO!C145</f>
        <v>S</v>
      </c>
      <c r="B145">
        <f ca="1">ORÇAMENTO!D145</f>
        <v>0</v>
      </c>
      <c r="C145" s="116" t="str">
        <f t="shared" ca="1" si="8"/>
        <v/>
      </c>
      <c r="D145" s="119" t="str">
        <f ca="1">ORÇAMENTO!O145</f>
        <v>-</v>
      </c>
      <c r="E145" s="172" t="str">
        <f t="shared" ca="1" si="9"/>
        <v>(abra o arquivo 'Referência 02-2025.xlsm)</v>
      </c>
      <c r="F145" s="173" t="str">
        <f ca="1">IF(RegimeExecucao="Global","",ORÇAMENTO.Unidade)</f>
        <v>-</v>
      </c>
      <c r="G145" s="124">
        <f ca="1">IF(RegimeExecucao="Global","",ORÇAMENTO!T145)</f>
        <v>0.88</v>
      </c>
      <c r="H145" s="124">
        <f ca="1">IF(RegimeExecucao="Global","",ORÇAMENTO!W145)</f>
        <v>0</v>
      </c>
      <c r="I145" s="127">
        <f ca="1">ORÇAMENTO!X145</f>
        <v>0</v>
      </c>
      <c r="J145" s="378">
        <f ca="1">IF($A145="S",IF(CAIXA.Modo,BM.AFAnterior,BM.MEDAnterior),IF(AND(RegimeExecucao="Global",$I145&gt;0,COUNTIF($AB$13:$AM$13,BM.medicao-1)&gt;0),M145/$I145*100,0))</f>
        <v>0</v>
      </c>
      <c r="K145" s="124">
        <f t="shared" ca="1" si="10"/>
        <v>0</v>
      </c>
      <c r="L145" s="379">
        <f ca="1">IF($A145="S",IF(CAIXA.Modo,BM.AFAcumulado,BM.MEDAcumulado),IF(AND(RegimeExecucao="Global",$I145&gt;0,COUNTIF($AB$13:$AM$13,BM.medicao)&gt;0),O145/$I145*100,0))</f>
        <v>0</v>
      </c>
      <c r="M145" s="380">
        <f ca="1">IF($A145="S",VTOTALBM,IF($A145=0,0,ROUND(SomaAgrupBM,15-13*ORÇAMENTO!$AF$11)))</f>
        <v>0</v>
      </c>
      <c r="N145" s="381">
        <f t="shared" ca="1" si="11"/>
        <v>0</v>
      </c>
      <c r="O145" s="127">
        <f ca="1">IF($A145="S",VTOTALBM,IF($A145=0,0,ROUND(SomaAgrupBM,15-13*ORÇAMENTO!$AF$11)))</f>
        <v>0</v>
      </c>
      <c r="Q145" s="382"/>
      <c r="R145" s="383"/>
      <c r="T145" s="119" t="str">
        <f t="shared" ca="1" si="12"/>
        <v/>
      </c>
      <c r="U145" s="172" t="str">
        <f t="shared" ca="1" si="13"/>
        <v/>
      </c>
      <c r="V145" s="173" t="str">
        <f ca="1">IF(AND($W145&gt;0,RegimeExecucao="Unitário"),$F145,"")</f>
        <v/>
      </c>
      <c r="W145" s="547">
        <f ca="1">IF($Y145&gt;0,CHOOSE(MATCH(RegimeExecucao,{"Unitário","Global"},0),IF($A145="S",$Y145/$X145,""),($Y145/$X145)*100),0)</f>
        <v>0</v>
      </c>
      <c r="X145" s="384" t="str">
        <f ca="1">IF($Y145&gt;0,CHOOSE(MATCH(RegimeExecucao,{"Unitário","Global"},0),IF($A145="S",ROUND($H145,ORÇAMENTO!$AF$10),""),ROUND($I145,ORÇAMENTO!$AF$11)),"")</f>
        <v/>
      </c>
      <c r="Y145" s="384">
        <f t="shared" ca="1" si="14"/>
        <v>0</v>
      </c>
      <c r="Z145" s="572"/>
      <c r="AB145" s="382"/>
      <c r="AC145" s="516"/>
      <c r="AD145" s="516"/>
      <c r="AE145" s="516"/>
      <c r="AF145" s="516"/>
      <c r="AG145" s="516"/>
      <c r="AH145" s="516"/>
      <c r="AI145" s="516"/>
      <c r="AJ145" s="516"/>
      <c r="AK145" s="516"/>
      <c r="AL145" s="516"/>
      <c r="AM145" s="383"/>
      <c r="AO145">
        <f ca="1">IF($A145="S",IF(BM!$I145=0,0,CHOOSE(MATCH(RegimeExecucao,{"Global","Unitário"},0),ROUND(ROUND(BM.MEDAcumulado,15-13*BM!$A$9)/100*BM!$I145,15-13*ORÇAMENTO!$AF$11),ROUND(ROUND(BM.MEDAcumulado,15-13*BM!$A$9)*ROUND(BM!$H145,15-13*ORÇAMENTO!$AF$10),15-13*ORÇAMENTO!$AF$11))),IF($A145=0,0,ROUND(SomaAgrupBM,15-13*ORÇAMENTO!$AF$11)))</f>
        <v>0</v>
      </c>
    </row>
    <row r="146" spans="1:41" ht="51" x14ac:dyDescent="0.2">
      <c r="A146" t="str">
        <f ca="1">ORÇAMENTO!C146</f>
        <v>S</v>
      </c>
      <c r="B146">
        <f ca="1">ORÇAMENTO!D146</f>
        <v>0</v>
      </c>
      <c r="C146" s="116" t="str">
        <f t="shared" ca="1" si="8"/>
        <v/>
      </c>
      <c r="D146" s="119" t="str">
        <f ca="1">ORÇAMENTO!O146</f>
        <v>-</v>
      </c>
      <c r="E146" s="172" t="str">
        <f t="shared" ca="1" si="9"/>
        <v>(abra o arquivo 'Referência 02-2025.xlsm)</v>
      </c>
      <c r="F146" s="173" t="str">
        <f ca="1">IF(RegimeExecucao="Global","",ORÇAMENTO.Unidade)</f>
        <v>-</v>
      </c>
      <c r="G146" s="124">
        <f ca="1">IF(RegimeExecucao="Global","",ORÇAMENTO!T146)</f>
        <v>1.6</v>
      </c>
      <c r="H146" s="124">
        <f ca="1">IF(RegimeExecucao="Global","",ORÇAMENTO!W146)</f>
        <v>0</v>
      </c>
      <c r="I146" s="127">
        <f ca="1">ORÇAMENTO!X146</f>
        <v>0</v>
      </c>
      <c r="J146" s="378">
        <f ca="1">IF($A146="S",IF(CAIXA.Modo,BM.AFAnterior,BM.MEDAnterior),IF(AND(RegimeExecucao="Global",$I146&gt;0,COUNTIF($AB$13:$AM$13,BM.medicao-1)&gt;0),M146/$I146*100,0))</f>
        <v>0</v>
      </c>
      <c r="K146" s="124">
        <f t="shared" ca="1" si="10"/>
        <v>0</v>
      </c>
      <c r="L146" s="379">
        <f ca="1">IF($A146="S",IF(CAIXA.Modo,BM.AFAcumulado,BM.MEDAcumulado),IF(AND(RegimeExecucao="Global",$I146&gt;0,COUNTIF($AB$13:$AM$13,BM.medicao)&gt;0),O146/$I146*100,0))</f>
        <v>0</v>
      </c>
      <c r="M146" s="380">
        <f ca="1">IF($A146="S",VTOTALBM,IF($A146=0,0,ROUND(SomaAgrupBM,15-13*ORÇAMENTO!$AF$11)))</f>
        <v>0</v>
      </c>
      <c r="N146" s="381">
        <f t="shared" ca="1" si="11"/>
        <v>0</v>
      </c>
      <c r="O146" s="127">
        <f ca="1">IF($A146="S",VTOTALBM,IF($A146=0,0,ROUND(SomaAgrupBM,15-13*ORÇAMENTO!$AF$11)))</f>
        <v>0</v>
      </c>
      <c r="Q146" s="382"/>
      <c r="R146" s="383"/>
      <c r="T146" s="119" t="str">
        <f t="shared" ca="1" si="12"/>
        <v/>
      </c>
      <c r="U146" s="172" t="str">
        <f t="shared" ca="1" si="13"/>
        <v/>
      </c>
      <c r="V146" s="173" t="str">
        <f ca="1">IF(AND($W146&gt;0,RegimeExecucao="Unitário"),$F146,"")</f>
        <v/>
      </c>
      <c r="W146" s="547">
        <f ca="1">IF($Y146&gt;0,CHOOSE(MATCH(RegimeExecucao,{"Unitário","Global"},0),IF($A146="S",$Y146/$X146,""),($Y146/$X146)*100),0)</f>
        <v>0</v>
      </c>
      <c r="X146" s="384" t="str">
        <f ca="1">IF($Y146&gt;0,CHOOSE(MATCH(RegimeExecucao,{"Unitário","Global"},0),IF($A146="S",ROUND($H146,ORÇAMENTO!$AF$10),""),ROUND($I146,ORÇAMENTO!$AF$11)),"")</f>
        <v/>
      </c>
      <c r="Y146" s="384">
        <f t="shared" ca="1" si="14"/>
        <v>0</v>
      </c>
      <c r="Z146" s="572"/>
      <c r="AB146" s="382"/>
      <c r="AC146" s="516"/>
      <c r="AD146" s="516"/>
      <c r="AE146" s="516"/>
      <c r="AF146" s="516"/>
      <c r="AG146" s="516"/>
      <c r="AH146" s="516"/>
      <c r="AI146" s="516"/>
      <c r="AJ146" s="516"/>
      <c r="AK146" s="516"/>
      <c r="AL146" s="516"/>
      <c r="AM146" s="383"/>
      <c r="AO146">
        <f ca="1">IF($A146="S",IF(BM!$I146=0,0,CHOOSE(MATCH(RegimeExecucao,{"Global","Unitário"},0),ROUND(ROUND(BM.MEDAcumulado,15-13*BM!$A$9)/100*BM!$I146,15-13*ORÇAMENTO!$AF$11),ROUND(ROUND(BM.MEDAcumulado,15-13*BM!$A$9)*ROUND(BM!$H146,15-13*ORÇAMENTO!$AF$10),15-13*ORÇAMENTO!$AF$11))),IF($A146=0,0,ROUND(SomaAgrupBM,15-13*ORÇAMENTO!$AF$11)))</f>
        <v>0</v>
      </c>
    </row>
    <row r="147" spans="1:41" ht="51" x14ac:dyDescent="0.2">
      <c r="A147" t="str">
        <f ca="1">ORÇAMENTO!C147</f>
        <v>S</v>
      </c>
      <c r="B147">
        <f ca="1">ORÇAMENTO!D147</f>
        <v>0</v>
      </c>
      <c r="C147" s="116" t="str">
        <f t="shared" ca="1" si="8"/>
        <v/>
      </c>
      <c r="D147" s="119" t="str">
        <f ca="1">ORÇAMENTO!O147</f>
        <v>-</v>
      </c>
      <c r="E147" s="172" t="str">
        <f t="shared" ca="1" si="9"/>
        <v>(abra o arquivo 'Referência 02-2025.xlsm)</v>
      </c>
      <c r="F147" s="173" t="str">
        <f ca="1">IF(RegimeExecucao="Global","",ORÇAMENTO.Unidade)</f>
        <v>-</v>
      </c>
      <c r="G147" s="124">
        <f ca="1">IF(RegimeExecucao="Global","",ORÇAMENTO!T147)</f>
        <v>3.22</v>
      </c>
      <c r="H147" s="124">
        <f ca="1">IF(RegimeExecucao="Global","",ORÇAMENTO!W147)</f>
        <v>0</v>
      </c>
      <c r="I147" s="127">
        <f ca="1">ORÇAMENTO!X147</f>
        <v>0</v>
      </c>
      <c r="J147" s="378">
        <f ca="1">IF($A147="S",IF(CAIXA.Modo,BM.AFAnterior,BM.MEDAnterior),IF(AND(RegimeExecucao="Global",$I147&gt;0,COUNTIF($AB$13:$AM$13,BM.medicao-1)&gt;0),M147/$I147*100,0))</f>
        <v>0</v>
      </c>
      <c r="K147" s="124">
        <f t="shared" ca="1" si="10"/>
        <v>0</v>
      </c>
      <c r="L147" s="379">
        <f ca="1">IF($A147="S",IF(CAIXA.Modo,BM.AFAcumulado,BM.MEDAcumulado),IF(AND(RegimeExecucao="Global",$I147&gt;0,COUNTIF($AB$13:$AM$13,BM.medicao)&gt;0),O147/$I147*100,0))</f>
        <v>0</v>
      </c>
      <c r="M147" s="380">
        <f ca="1">IF($A147="S",VTOTALBM,IF($A147=0,0,ROUND(SomaAgrupBM,15-13*ORÇAMENTO!$AF$11)))</f>
        <v>0</v>
      </c>
      <c r="N147" s="381">
        <f t="shared" ca="1" si="11"/>
        <v>0</v>
      </c>
      <c r="O147" s="127">
        <f ca="1">IF($A147="S",VTOTALBM,IF($A147=0,0,ROUND(SomaAgrupBM,15-13*ORÇAMENTO!$AF$11)))</f>
        <v>0</v>
      </c>
      <c r="Q147" s="382"/>
      <c r="R147" s="383"/>
      <c r="T147" s="119" t="str">
        <f t="shared" ca="1" si="12"/>
        <v/>
      </c>
      <c r="U147" s="172" t="str">
        <f t="shared" ca="1" si="13"/>
        <v/>
      </c>
      <c r="V147" s="173" t="str">
        <f ca="1">IF(AND($W147&gt;0,RegimeExecucao="Unitário"),$F147,"")</f>
        <v/>
      </c>
      <c r="W147" s="547">
        <f ca="1">IF($Y147&gt;0,CHOOSE(MATCH(RegimeExecucao,{"Unitário","Global"},0),IF($A147="S",$Y147/$X147,""),($Y147/$X147)*100),0)</f>
        <v>0</v>
      </c>
      <c r="X147" s="384" t="str">
        <f ca="1">IF($Y147&gt;0,CHOOSE(MATCH(RegimeExecucao,{"Unitário","Global"},0),IF($A147="S",ROUND($H147,ORÇAMENTO!$AF$10),""),ROUND($I147,ORÇAMENTO!$AF$11)),"")</f>
        <v/>
      </c>
      <c r="Y147" s="384">
        <f t="shared" ca="1" si="14"/>
        <v>0</v>
      </c>
      <c r="Z147" s="572"/>
      <c r="AB147" s="382"/>
      <c r="AC147" s="516"/>
      <c r="AD147" s="516"/>
      <c r="AE147" s="516"/>
      <c r="AF147" s="516"/>
      <c r="AG147" s="516"/>
      <c r="AH147" s="516"/>
      <c r="AI147" s="516"/>
      <c r="AJ147" s="516"/>
      <c r="AK147" s="516"/>
      <c r="AL147" s="516"/>
      <c r="AM147" s="383"/>
      <c r="AO147">
        <f ca="1">IF($A147="S",IF(BM!$I147=0,0,CHOOSE(MATCH(RegimeExecucao,{"Global","Unitário"},0),ROUND(ROUND(BM.MEDAcumulado,15-13*BM!$A$9)/100*BM!$I147,15-13*ORÇAMENTO!$AF$11),ROUND(ROUND(BM.MEDAcumulado,15-13*BM!$A$9)*ROUND(BM!$H147,15-13*ORÇAMENTO!$AF$10),15-13*ORÇAMENTO!$AF$11))),IF($A147=0,0,ROUND(SomaAgrupBM,15-13*ORÇAMENTO!$AF$11)))</f>
        <v>0</v>
      </c>
    </row>
    <row r="148" spans="1:41" ht="51" x14ac:dyDescent="0.2">
      <c r="A148" t="str">
        <f ca="1">ORÇAMENTO!C148</f>
        <v>S</v>
      </c>
      <c r="B148">
        <f ca="1">ORÇAMENTO!D148</f>
        <v>0</v>
      </c>
      <c r="C148" s="116" t="str">
        <f t="shared" ca="1" si="8"/>
        <v/>
      </c>
      <c r="D148" s="119" t="str">
        <f ca="1">ORÇAMENTO!O148</f>
        <v>-</v>
      </c>
      <c r="E148" s="172" t="str">
        <f t="shared" ca="1" si="9"/>
        <v>(abra o arquivo 'Referência 02-2025.xlsm)</v>
      </c>
      <c r="F148" s="173" t="str">
        <f ca="1">IF(RegimeExecucao="Global","",ORÇAMENTO.Unidade)</f>
        <v>-</v>
      </c>
      <c r="G148" s="124">
        <f ca="1">IF(RegimeExecucao="Global","",ORÇAMENTO!T148)</f>
        <v>2.0299999999999998</v>
      </c>
      <c r="H148" s="124">
        <f ca="1">IF(RegimeExecucao="Global","",ORÇAMENTO!W148)</f>
        <v>0</v>
      </c>
      <c r="I148" s="127">
        <f ca="1">ORÇAMENTO!X148</f>
        <v>0</v>
      </c>
      <c r="J148" s="378">
        <f ca="1">IF($A148="S",IF(CAIXA.Modo,BM.AFAnterior,BM.MEDAnterior),IF(AND(RegimeExecucao="Global",$I148&gt;0,COUNTIF($AB$13:$AM$13,BM.medicao-1)&gt;0),M148/$I148*100,0))</f>
        <v>0</v>
      </c>
      <c r="K148" s="124">
        <f t="shared" ca="1" si="10"/>
        <v>0</v>
      </c>
      <c r="L148" s="379">
        <f ca="1">IF($A148="S",IF(CAIXA.Modo,BM.AFAcumulado,BM.MEDAcumulado),IF(AND(RegimeExecucao="Global",$I148&gt;0,COUNTIF($AB$13:$AM$13,BM.medicao)&gt;0),O148/$I148*100,0))</f>
        <v>0</v>
      </c>
      <c r="M148" s="380">
        <f ca="1">IF($A148="S",VTOTALBM,IF($A148=0,0,ROUND(SomaAgrupBM,15-13*ORÇAMENTO!$AF$11)))</f>
        <v>0</v>
      </c>
      <c r="N148" s="381">
        <f t="shared" ca="1" si="11"/>
        <v>0</v>
      </c>
      <c r="O148" s="127">
        <f ca="1">IF($A148="S",VTOTALBM,IF($A148=0,0,ROUND(SomaAgrupBM,15-13*ORÇAMENTO!$AF$11)))</f>
        <v>0</v>
      </c>
      <c r="Q148" s="382"/>
      <c r="R148" s="383"/>
      <c r="T148" s="119" t="str">
        <f t="shared" ca="1" si="12"/>
        <v/>
      </c>
      <c r="U148" s="172" t="str">
        <f t="shared" ca="1" si="13"/>
        <v/>
      </c>
      <c r="V148" s="173" t="str">
        <f ca="1">IF(AND($W148&gt;0,RegimeExecucao="Unitário"),$F148,"")</f>
        <v/>
      </c>
      <c r="W148" s="547">
        <f ca="1">IF($Y148&gt;0,CHOOSE(MATCH(RegimeExecucao,{"Unitário","Global"},0),IF($A148="S",$Y148/$X148,""),($Y148/$X148)*100),0)</f>
        <v>0</v>
      </c>
      <c r="X148" s="384" t="str">
        <f ca="1">IF($Y148&gt;0,CHOOSE(MATCH(RegimeExecucao,{"Unitário","Global"},0),IF($A148="S",ROUND($H148,ORÇAMENTO!$AF$10),""),ROUND($I148,ORÇAMENTO!$AF$11)),"")</f>
        <v/>
      </c>
      <c r="Y148" s="384">
        <f t="shared" ca="1" si="14"/>
        <v>0</v>
      </c>
      <c r="Z148" s="572"/>
      <c r="AB148" s="382"/>
      <c r="AC148" s="516"/>
      <c r="AD148" s="516"/>
      <c r="AE148" s="516"/>
      <c r="AF148" s="516"/>
      <c r="AG148" s="516"/>
      <c r="AH148" s="516"/>
      <c r="AI148" s="516"/>
      <c r="AJ148" s="516"/>
      <c r="AK148" s="516"/>
      <c r="AL148" s="516"/>
      <c r="AM148" s="383"/>
      <c r="AO148">
        <f ca="1">IF($A148="S",IF(BM!$I148=0,0,CHOOSE(MATCH(RegimeExecucao,{"Global","Unitário"},0),ROUND(ROUND(BM.MEDAcumulado,15-13*BM!$A$9)/100*BM!$I148,15-13*ORÇAMENTO!$AF$11),ROUND(ROUND(BM.MEDAcumulado,15-13*BM!$A$9)*ROUND(BM!$H148,15-13*ORÇAMENTO!$AF$10),15-13*ORÇAMENTO!$AF$11))),IF($A148=0,0,ROUND(SomaAgrupBM,15-13*ORÇAMENTO!$AF$11)))</f>
        <v>0</v>
      </c>
    </row>
    <row r="149" spans="1:41" ht="51" x14ac:dyDescent="0.2">
      <c r="A149" t="str">
        <f ca="1">ORÇAMENTO!C149</f>
        <v>S</v>
      </c>
      <c r="B149">
        <f ca="1">ORÇAMENTO!D149</f>
        <v>0</v>
      </c>
      <c r="C149" s="116" t="str">
        <f t="shared" ca="1" si="8"/>
        <v/>
      </c>
      <c r="D149" s="119" t="str">
        <f ca="1">ORÇAMENTO!O149</f>
        <v>-</v>
      </c>
      <c r="E149" s="172" t="str">
        <f t="shared" ca="1" si="9"/>
        <v>(abra o arquivo 'Referência 02-2025.xlsm)</v>
      </c>
      <c r="F149" s="173" t="str">
        <f ca="1">IF(RegimeExecucao="Global","",ORÇAMENTO.Unidade)</f>
        <v>-</v>
      </c>
      <c r="G149" s="124">
        <f ca="1">IF(RegimeExecucao="Global","",ORÇAMENTO!T149)</f>
        <v>2.56</v>
      </c>
      <c r="H149" s="124">
        <f ca="1">IF(RegimeExecucao="Global","",ORÇAMENTO!W149)</f>
        <v>0</v>
      </c>
      <c r="I149" s="127">
        <f ca="1">ORÇAMENTO!X149</f>
        <v>0</v>
      </c>
      <c r="J149" s="378">
        <f ca="1">IF($A149="S",IF(CAIXA.Modo,BM.AFAnterior,BM.MEDAnterior),IF(AND(RegimeExecucao="Global",$I149&gt;0,COUNTIF($AB$13:$AM$13,BM.medicao-1)&gt;0),M149/$I149*100,0))</f>
        <v>0</v>
      </c>
      <c r="K149" s="124">
        <f t="shared" ca="1" si="10"/>
        <v>0</v>
      </c>
      <c r="L149" s="379">
        <f ca="1">IF($A149="S",IF(CAIXA.Modo,BM.AFAcumulado,BM.MEDAcumulado),IF(AND(RegimeExecucao="Global",$I149&gt;0,COUNTIF($AB$13:$AM$13,BM.medicao)&gt;0),O149/$I149*100,0))</f>
        <v>0</v>
      </c>
      <c r="M149" s="380">
        <f ca="1">IF($A149="S",VTOTALBM,IF($A149=0,0,ROUND(SomaAgrupBM,15-13*ORÇAMENTO!$AF$11)))</f>
        <v>0</v>
      </c>
      <c r="N149" s="381">
        <f t="shared" ca="1" si="11"/>
        <v>0</v>
      </c>
      <c r="O149" s="127">
        <f ca="1">IF($A149="S",VTOTALBM,IF($A149=0,0,ROUND(SomaAgrupBM,15-13*ORÇAMENTO!$AF$11)))</f>
        <v>0</v>
      </c>
      <c r="Q149" s="382"/>
      <c r="R149" s="383"/>
      <c r="T149" s="119" t="str">
        <f t="shared" ca="1" si="12"/>
        <v/>
      </c>
      <c r="U149" s="172" t="str">
        <f t="shared" ca="1" si="13"/>
        <v/>
      </c>
      <c r="V149" s="173" t="str">
        <f ca="1">IF(AND($W149&gt;0,RegimeExecucao="Unitário"),$F149,"")</f>
        <v/>
      </c>
      <c r="W149" s="547">
        <f ca="1">IF($Y149&gt;0,CHOOSE(MATCH(RegimeExecucao,{"Unitário","Global"},0),IF($A149="S",$Y149/$X149,""),($Y149/$X149)*100),0)</f>
        <v>0</v>
      </c>
      <c r="X149" s="384" t="str">
        <f ca="1">IF($Y149&gt;0,CHOOSE(MATCH(RegimeExecucao,{"Unitário","Global"},0),IF($A149="S",ROUND($H149,ORÇAMENTO!$AF$10),""),ROUND($I149,ORÇAMENTO!$AF$11)),"")</f>
        <v/>
      </c>
      <c r="Y149" s="384">
        <f t="shared" ca="1" si="14"/>
        <v>0</v>
      </c>
      <c r="Z149" s="572"/>
      <c r="AB149" s="382"/>
      <c r="AC149" s="516"/>
      <c r="AD149" s="516"/>
      <c r="AE149" s="516"/>
      <c r="AF149" s="516"/>
      <c r="AG149" s="516"/>
      <c r="AH149" s="516"/>
      <c r="AI149" s="516"/>
      <c r="AJ149" s="516"/>
      <c r="AK149" s="516"/>
      <c r="AL149" s="516"/>
      <c r="AM149" s="383"/>
      <c r="AO149">
        <f ca="1">IF($A149="S",IF(BM!$I149=0,0,CHOOSE(MATCH(RegimeExecucao,{"Global","Unitário"},0),ROUND(ROUND(BM.MEDAcumulado,15-13*BM!$A$9)/100*BM!$I149,15-13*ORÇAMENTO!$AF$11),ROUND(ROUND(BM.MEDAcumulado,15-13*BM!$A$9)*ROUND(BM!$H149,15-13*ORÇAMENTO!$AF$10),15-13*ORÇAMENTO!$AF$11))),IF($A149=0,0,ROUND(SomaAgrupBM,15-13*ORÇAMENTO!$AF$11)))</f>
        <v>0</v>
      </c>
    </row>
    <row r="150" spans="1:41" ht="51" x14ac:dyDescent="0.2">
      <c r="A150" t="str">
        <f ca="1">ORÇAMENTO!C150</f>
        <v>S</v>
      </c>
      <c r="B150">
        <f ca="1">ORÇAMENTO!D150</f>
        <v>0</v>
      </c>
      <c r="C150" s="116" t="str">
        <f t="shared" ca="1" si="8"/>
        <v/>
      </c>
      <c r="D150" s="119" t="str">
        <f ca="1">ORÇAMENTO!O150</f>
        <v>-</v>
      </c>
      <c r="E150" s="172" t="str">
        <f t="shared" ca="1" si="9"/>
        <v>(abra o arquivo 'Referência 02-2025.xlsm)</v>
      </c>
      <c r="F150" s="173" t="str">
        <f ca="1">IF(RegimeExecucao="Global","",ORÇAMENTO.Unidade)</f>
        <v>-</v>
      </c>
      <c r="G150" s="124">
        <f ca="1">IF(RegimeExecucao="Global","",ORÇAMENTO!T150)</f>
        <v>2.1</v>
      </c>
      <c r="H150" s="124">
        <f ca="1">IF(RegimeExecucao="Global","",ORÇAMENTO!W150)</f>
        <v>0</v>
      </c>
      <c r="I150" s="127">
        <f ca="1">ORÇAMENTO!X150</f>
        <v>0</v>
      </c>
      <c r="J150" s="378">
        <f ca="1">IF($A150="S",IF(CAIXA.Modo,BM.AFAnterior,BM.MEDAnterior),IF(AND(RegimeExecucao="Global",$I150&gt;0,COUNTIF($AB$13:$AM$13,BM.medicao-1)&gt;0),M150/$I150*100,0))</f>
        <v>0</v>
      </c>
      <c r="K150" s="124">
        <f t="shared" ca="1" si="10"/>
        <v>0</v>
      </c>
      <c r="L150" s="379">
        <f ca="1">IF($A150="S",IF(CAIXA.Modo,BM.AFAcumulado,BM.MEDAcumulado),IF(AND(RegimeExecucao="Global",$I150&gt;0,COUNTIF($AB$13:$AM$13,BM.medicao)&gt;0),O150/$I150*100,0))</f>
        <v>0</v>
      </c>
      <c r="M150" s="380">
        <f ca="1">IF($A150="S",VTOTALBM,IF($A150=0,0,ROUND(SomaAgrupBM,15-13*ORÇAMENTO!$AF$11)))</f>
        <v>0</v>
      </c>
      <c r="N150" s="381">
        <f t="shared" ca="1" si="11"/>
        <v>0</v>
      </c>
      <c r="O150" s="127">
        <f ca="1">IF($A150="S",VTOTALBM,IF($A150=0,0,ROUND(SomaAgrupBM,15-13*ORÇAMENTO!$AF$11)))</f>
        <v>0</v>
      </c>
      <c r="Q150" s="382"/>
      <c r="R150" s="383"/>
      <c r="T150" s="119" t="str">
        <f t="shared" ca="1" si="12"/>
        <v/>
      </c>
      <c r="U150" s="172" t="str">
        <f t="shared" ca="1" si="13"/>
        <v/>
      </c>
      <c r="V150" s="173" t="str">
        <f ca="1">IF(AND($W150&gt;0,RegimeExecucao="Unitário"),$F150,"")</f>
        <v/>
      </c>
      <c r="W150" s="547">
        <f ca="1">IF($Y150&gt;0,CHOOSE(MATCH(RegimeExecucao,{"Unitário","Global"},0),IF($A150="S",$Y150/$X150,""),($Y150/$X150)*100),0)</f>
        <v>0</v>
      </c>
      <c r="X150" s="384" t="str">
        <f ca="1">IF($Y150&gt;0,CHOOSE(MATCH(RegimeExecucao,{"Unitário","Global"},0),IF($A150="S",ROUND($H150,ORÇAMENTO!$AF$10),""),ROUND($I150,ORÇAMENTO!$AF$11)),"")</f>
        <v/>
      </c>
      <c r="Y150" s="384">
        <f t="shared" ca="1" si="14"/>
        <v>0</v>
      </c>
      <c r="Z150" s="572"/>
      <c r="AB150" s="382"/>
      <c r="AC150" s="516"/>
      <c r="AD150" s="516"/>
      <c r="AE150" s="516"/>
      <c r="AF150" s="516"/>
      <c r="AG150" s="516"/>
      <c r="AH150" s="516"/>
      <c r="AI150" s="516"/>
      <c r="AJ150" s="516"/>
      <c r="AK150" s="516"/>
      <c r="AL150" s="516"/>
      <c r="AM150" s="383"/>
      <c r="AO150">
        <f ca="1">IF($A150="S",IF(BM!$I150=0,0,CHOOSE(MATCH(RegimeExecucao,{"Global","Unitário"},0),ROUND(ROUND(BM.MEDAcumulado,15-13*BM!$A$9)/100*BM!$I150,15-13*ORÇAMENTO!$AF$11),ROUND(ROUND(BM.MEDAcumulado,15-13*BM!$A$9)*ROUND(BM!$H150,15-13*ORÇAMENTO!$AF$10),15-13*ORÇAMENTO!$AF$11))),IF($A150=0,0,ROUND(SomaAgrupBM,15-13*ORÇAMENTO!$AF$11)))</f>
        <v>0</v>
      </c>
    </row>
    <row r="151" spans="1:41" ht="51" x14ac:dyDescent="0.2">
      <c r="A151" t="str">
        <f ca="1">ORÇAMENTO!C151</f>
        <v>S</v>
      </c>
      <c r="B151">
        <f ca="1">ORÇAMENTO!D151</f>
        <v>0</v>
      </c>
      <c r="C151" s="116" t="str">
        <f t="shared" ref="C151:C217" ca="1" si="15">IF(OR($I151&gt;0,$A151=1,$A151=2,$A151=3,$A151=4),"F","")</f>
        <v/>
      </c>
      <c r="D151" s="119" t="str">
        <f ca="1">ORÇAMENTO!O151</f>
        <v>-</v>
      </c>
      <c r="E151" s="172" t="str">
        <f t="shared" ref="E151:E217" ca="1" si="16">ORÇAMENTO.Descricao</f>
        <v>(abra o arquivo 'Referência 02-2025.xlsm)</v>
      </c>
      <c r="F151" s="173" t="str">
        <f ca="1">IF(RegimeExecucao="Global","",ORÇAMENTO.Unidade)</f>
        <v>-</v>
      </c>
      <c r="G151" s="124">
        <f ca="1">IF(RegimeExecucao="Global","",ORÇAMENTO!T151)</f>
        <v>11.03</v>
      </c>
      <c r="H151" s="124">
        <f ca="1">IF(RegimeExecucao="Global","",ORÇAMENTO!W151)</f>
        <v>0</v>
      </c>
      <c r="I151" s="127">
        <f ca="1">ORÇAMENTO!X151</f>
        <v>0</v>
      </c>
      <c r="J151" s="378">
        <f ca="1">IF($A151="S",IF(CAIXA.Modo,BM.AFAnterior,BM.MEDAnterior),IF(AND(RegimeExecucao="Global",$I151&gt;0,COUNTIF($AB$13:$AM$13,BM.medicao-1)&gt;0),M151/$I151*100,0))</f>
        <v>0</v>
      </c>
      <c r="K151" s="124">
        <f t="shared" ref="K151:K217" ca="1" si="17">L151-J151</f>
        <v>0</v>
      </c>
      <c r="L151" s="379">
        <f ca="1">IF($A151="S",IF(CAIXA.Modo,BM.AFAcumulado,BM.MEDAcumulado),IF(AND(RegimeExecucao="Global",$I151&gt;0,COUNTIF($AB$13:$AM$13,BM.medicao)&gt;0),O151/$I151*100,0))</f>
        <v>0</v>
      </c>
      <c r="M151" s="380">
        <f ca="1">IF($A151="S",VTOTALBM,IF($A151=0,0,ROUND(SomaAgrupBM,15-13*ORÇAMENTO!$AF$11)))</f>
        <v>0</v>
      </c>
      <c r="N151" s="381">
        <f t="shared" ref="N151:N217" ca="1" si="18">O151-M151</f>
        <v>0</v>
      </c>
      <c r="O151" s="127">
        <f ca="1">IF($A151="S",VTOTALBM,IF($A151=0,0,ROUND(SomaAgrupBM,15-13*ORÇAMENTO!$AF$11)))</f>
        <v>0</v>
      </c>
      <c r="Q151" s="382"/>
      <c r="R151" s="383"/>
      <c r="T151" s="119" t="str">
        <f t="shared" ref="T151:T217" ca="1" si="19">IF($W151&gt;0,$D151,"")</f>
        <v/>
      </c>
      <c r="U151" s="172" t="str">
        <f t="shared" ref="U151:U217" ca="1" si="20">IF($W151&gt;0,$E151,"")</f>
        <v/>
      </c>
      <c r="V151" s="173" t="str">
        <f ca="1">IF(AND($W151&gt;0,RegimeExecucao="Unitário"),$F151,"")</f>
        <v/>
      </c>
      <c r="W151" s="547">
        <f ca="1">IF($Y151&gt;0,CHOOSE(MATCH(RegimeExecucao,{"Unitário","Global"},0),IF($A151="S",$Y151/$X151,""),($Y151/$X151)*100),0)</f>
        <v>0</v>
      </c>
      <c r="X151" s="384" t="str">
        <f ca="1">IF($Y151&gt;0,CHOOSE(MATCH(RegimeExecucao,{"Unitário","Global"},0),IF($A151="S",ROUND($H151,ORÇAMENTO!$AF$10),""),ROUND($I151,ORÇAMENTO!$AF$11)),"")</f>
        <v/>
      </c>
      <c r="Y151" s="384">
        <f t="shared" ref="Y151:Y217" ca="1" si="21">AO151-O151</f>
        <v>0</v>
      </c>
      <c r="Z151" s="572"/>
      <c r="AB151" s="382"/>
      <c r="AC151" s="516"/>
      <c r="AD151" s="516"/>
      <c r="AE151" s="516"/>
      <c r="AF151" s="516"/>
      <c r="AG151" s="516"/>
      <c r="AH151" s="516"/>
      <c r="AI151" s="516"/>
      <c r="AJ151" s="516"/>
      <c r="AK151" s="516"/>
      <c r="AL151" s="516"/>
      <c r="AM151" s="383"/>
      <c r="AO151">
        <f ca="1">IF($A151="S",IF(BM!$I151=0,0,CHOOSE(MATCH(RegimeExecucao,{"Global","Unitário"},0),ROUND(ROUND(BM.MEDAcumulado,15-13*BM!$A$9)/100*BM!$I151,15-13*ORÇAMENTO!$AF$11),ROUND(ROUND(BM.MEDAcumulado,15-13*BM!$A$9)*ROUND(BM!$H151,15-13*ORÇAMENTO!$AF$10),15-13*ORÇAMENTO!$AF$11))),IF($A151=0,0,ROUND(SomaAgrupBM,15-13*ORÇAMENTO!$AF$11)))</f>
        <v>0</v>
      </c>
    </row>
    <row r="152" spans="1:41" ht="51" x14ac:dyDescent="0.2">
      <c r="A152" t="str">
        <f ca="1">ORÇAMENTO!C152</f>
        <v>S</v>
      </c>
      <c r="B152">
        <f ca="1">ORÇAMENTO!D152</f>
        <v>0</v>
      </c>
      <c r="C152" s="116" t="str">
        <f t="shared" ca="1" si="15"/>
        <v/>
      </c>
      <c r="D152" s="119" t="str">
        <f ca="1">ORÇAMENTO!O152</f>
        <v>-</v>
      </c>
      <c r="E152" s="172" t="str">
        <f t="shared" ca="1" si="16"/>
        <v>(abra o arquivo 'Referência 02-2025.xlsm)</v>
      </c>
      <c r="F152" s="173" t="str">
        <f ca="1">IF(RegimeExecucao="Global","",ORÇAMENTO.Unidade)</f>
        <v>-</v>
      </c>
      <c r="G152" s="124">
        <f ca="1">IF(RegimeExecucao="Global","",ORÇAMENTO!T152)</f>
        <v>6.3</v>
      </c>
      <c r="H152" s="124">
        <f ca="1">IF(RegimeExecucao="Global","",ORÇAMENTO!W152)</f>
        <v>0</v>
      </c>
      <c r="I152" s="127">
        <f ca="1">ORÇAMENTO!X152</f>
        <v>0</v>
      </c>
      <c r="J152" s="378">
        <f ca="1">IF($A152="S",IF(CAIXA.Modo,BM.AFAnterior,BM.MEDAnterior),IF(AND(RegimeExecucao="Global",$I152&gt;0,COUNTIF($AB$13:$AM$13,BM.medicao-1)&gt;0),M152/$I152*100,0))</f>
        <v>0</v>
      </c>
      <c r="K152" s="124">
        <f t="shared" ca="1" si="17"/>
        <v>0</v>
      </c>
      <c r="L152" s="379">
        <f ca="1">IF($A152="S",IF(CAIXA.Modo,BM.AFAcumulado,BM.MEDAcumulado),IF(AND(RegimeExecucao="Global",$I152&gt;0,COUNTIF($AB$13:$AM$13,BM.medicao)&gt;0),O152/$I152*100,0))</f>
        <v>0</v>
      </c>
      <c r="M152" s="380">
        <f ca="1">IF($A152="S",VTOTALBM,IF($A152=0,0,ROUND(SomaAgrupBM,15-13*ORÇAMENTO!$AF$11)))</f>
        <v>0</v>
      </c>
      <c r="N152" s="381">
        <f t="shared" ca="1" si="18"/>
        <v>0</v>
      </c>
      <c r="O152" s="127">
        <f ca="1">IF($A152="S",VTOTALBM,IF($A152=0,0,ROUND(SomaAgrupBM,15-13*ORÇAMENTO!$AF$11)))</f>
        <v>0</v>
      </c>
      <c r="Q152" s="382"/>
      <c r="R152" s="383"/>
      <c r="T152" s="119" t="str">
        <f t="shared" ca="1" si="19"/>
        <v/>
      </c>
      <c r="U152" s="172" t="str">
        <f t="shared" ca="1" si="20"/>
        <v/>
      </c>
      <c r="V152" s="173" t="str">
        <f ca="1">IF(AND($W152&gt;0,RegimeExecucao="Unitário"),$F152,"")</f>
        <v/>
      </c>
      <c r="W152" s="547">
        <f ca="1">IF($Y152&gt;0,CHOOSE(MATCH(RegimeExecucao,{"Unitário","Global"},0),IF($A152="S",$Y152/$X152,""),($Y152/$X152)*100),0)</f>
        <v>0</v>
      </c>
      <c r="X152" s="384" t="str">
        <f ca="1">IF($Y152&gt;0,CHOOSE(MATCH(RegimeExecucao,{"Unitário","Global"},0),IF($A152="S",ROUND($H152,ORÇAMENTO!$AF$10),""),ROUND($I152,ORÇAMENTO!$AF$11)),"")</f>
        <v/>
      </c>
      <c r="Y152" s="384">
        <f t="shared" ca="1" si="21"/>
        <v>0</v>
      </c>
      <c r="Z152" s="572"/>
      <c r="AB152" s="382"/>
      <c r="AC152" s="516"/>
      <c r="AD152" s="516"/>
      <c r="AE152" s="516"/>
      <c r="AF152" s="516"/>
      <c r="AG152" s="516"/>
      <c r="AH152" s="516"/>
      <c r="AI152" s="516"/>
      <c r="AJ152" s="516"/>
      <c r="AK152" s="516"/>
      <c r="AL152" s="516"/>
      <c r="AM152" s="383"/>
      <c r="AO152">
        <f ca="1">IF($A152="S",IF(BM!$I152=0,0,CHOOSE(MATCH(RegimeExecucao,{"Global","Unitário"},0),ROUND(ROUND(BM.MEDAcumulado,15-13*BM!$A$9)/100*BM!$I152,15-13*ORÇAMENTO!$AF$11),ROUND(ROUND(BM.MEDAcumulado,15-13*BM!$A$9)*ROUND(BM!$H152,15-13*ORÇAMENTO!$AF$10),15-13*ORÇAMENTO!$AF$11))),IF($A152=0,0,ROUND(SomaAgrupBM,15-13*ORÇAMENTO!$AF$11)))</f>
        <v>0</v>
      </c>
    </row>
    <row r="153" spans="1:41" ht="51" x14ac:dyDescent="0.2">
      <c r="A153" t="str">
        <f ca="1">ORÇAMENTO!C153</f>
        <v>S</v>
      </c>
      <c r="B153">
        <f ca="1">ORÇAMENTO!D153</f>
        <v>0</v>
      </c>
      <c r="C153" s="116" t="str">
        <f t="shared" ca="1" si="15"/>
        <v/>
      </c>
      <c r="D153" s="119" t="str">
        <f ca="1">ORÇAMENTO!O153</f>
        <v>-</v>
      </c>
      <c r="E153" s="172" t="str">
        <f t="shared" ca="1" si="16"/>
        <v>(abra o arquivo 'Referência 02-2025.xlsm)</v>
      </c>
      <c r="F153" s="173" t="str">
        <f ca="1">IF(RegimeExecucao="Global","",ORÇAMENTO.Unidade)</f>
        <v>-</v>
      </c>
      <c r="G153" s="124">
        <f ca="1">IF(RegimeExecucao="Global","",ORÇAMENTO!T153)</f>
        <v>18.899999999999999</v>
      </c>
      <c r="H153" s="124">
        <f ca="1">IF(RegimeExecucao="Global","",ORÇAMENTO!W153)</f>
        <v>0</v>
      </c>
      <c r="I153" s="127">
        <f ca="1">ORÇAMENTO!X153</f>
        <v>0</v>
      </c>
      <c r="J153" s="378">
        <f ca="1">IF($A153="S",IF(CAIXA.Modo,BM.AFAnterior,BM.MEDAnterior),IF(AND(RegimeExecucao="Global",$I153&gt;0,COUNTIF($AB$13:$AM$13,BM.medicao-1)&gt;0),M153/$I153*100,0))</f>
        <v>0</v>
      </c>
      <c r="K153" s="124">
        <f t="shared" ca="1" si="17"/>
        <v>0</v>
      </c>
      <c r="L153" s="379">
        <f ca="1">IF($A153="S",IF(CAIXA.Modo,BM.AFAcumulado,BM.MEDAcumulado),IF(AND(RegimeExecucao="Global",$I153&gt;0,COUNTIF($AB$13:$AM$13,BM.medicao)&gt;0),O153/$I153*100,0))</f>
        <v>0</v>
      </c>
      <c r="M153" s="380">
        <f ca="1">IF($A153="S",VTOTALBM,IF($A153=0,0,ROUND(SomaAgrupBM,15-13*ORÇAMENTO!$AF$11)))</f>
        <v>0</v>
      </c>
      <c r="N153" s="381">
        <f t="shared" ca="1" si="18"/>
        <v>0</v>
      </c>
      <c r="O153" s="127">
        <f ca="1">IF($A153="S",VTOTALBM,IF($A153=0,0,ROUND(SomaAgrupBM,15-13*ORÇAMENTO!$AF$11)))</f>
        <v>0</v>
      </c>
      <c r="Q153" s="382"/>
      <c r="R153" s="383"/>
      <c r="T153" s="119" t="str">
        <f t="shared" ca="1" si="19"/>
        <v/>
      </c>
      <c r="U153" s="172" t="str">
        <f t="shared" ca="1" si="20"/>
        <v/>
      </c>
      <c r="V153" s="173" t="str">
        <f ca="1">IF(AND($W153&gt;0,RegimeExecucao="Unitário"),$F153,"")</f>
        <v/>
      </c>
      <c r="W153" s="547">
        <f ca="1">IF($Y153&gt;0,CHOOSE(MATCH(RegimeExecucao,{"Unitário","Global"},0),IF($A153="S",$Y153/$X153,""),($Y153/$X153)*100),0)</f>
        <v>0</v>
      </c>
      <c r="X153" s="384" t="str">
        <f ca="1">IF($Y153&gt;0,CHOOSE(MATCH(RegimeExecucao,{"Unitário","Global"},0),IF($A153="S",ROUND($H153,ORÇAMENTO!$AF$10),""),ROUND($I153,ORÇAMENTO!$AF$11)),"")</f>
        <v/>
      </c>
      <c r="Y153" s="384">
        <f t="shared" ca="1" si="21"/>
        <v>0</v>
      </c>
      <c r="Z153" s="572"/>
      <c r="AB153" s="382"/>
      <c r="AC153" s="516"/>
      <c r="AD153" s="516"/>
      <c r="AE153" s="516"/>
      <c r="AF153" s="516"/>
      <c r="AG153" s="516"/>
      <c r="AH153" s="516"/>
      <c r="AI153" s="516"/>
      <c r="AJ153" s="516"/>
      <c r="AK153" s="516"/>
      <c r="AL153" s="516"/>
      <c r="AM153" s="383"/>
      <c r="AO153">
        <f ca="1">IF($A153="S",IF(BM!$I153=0,0,CHOOSE(MATCH(RegimeExecucao,{"Global","Unitário"},0),ROUND(ROUND(BM.MEDAcumulado,15-13*BM!$A$9)/100*BM!$I153,15-13*ORÇAMENTO!$AF$11),ROUND(ROUND(BM.MEDAcumulado,15-13*BM!$A$9)*ROUND(BM!$H153,15-13*ORÇAMENTO!$AF$10),15-13*ORÇAMENTO!$AF$11))),IF($A153=0,0,ROUND(SomaAgrupBM,15-13*ORÇAMENTO!$AF$11)))</f>
        <v>0</v>
      </c>
    </row>
    <row r="154" spans="1:41" ht="51" x14ac:dyDescent="0.2">
      <c r="A154" t="str">
        <f ca="1">ORÇAMENTO!C154</f>
        <v>S</v>
      </c>
      <c r="B154">
        <f ca="1">ORÇAMENTO!D154</f>
        <v>0</v>
      </c>
      <c r="C154" s="116" t="str">
        <f t="shared" ca="1" si="15"/>
        <v/>
      </c>
      <c r="D154" s="119" t="str">
        <f ca="1">ORÇAMENTO!O154</f>
        <v>-</v>
      </c>
      <c r="E154" s="172" t="str">
        <f t="shared" ca="1" si="16"/>
        <v>(abra o arquivo 'Referência 02-2025.xlsm)</v>
      </c>
      <c r="F154" s="173" t="str">
        <f ca="1">IF(RegimeExecucao="Global","",ORÇAMENTO.Unidade)</f>
        <v>-</v>
      </c>
      <c r="G154" s="124">
        <f ca="1">IF(RegimeExecucao="Global","",ORÇAMENTO!T154)</f>
        <v>2.1</v>
      </c>
      <c r="H154" s="124">
        <f ca="1">IF(RegimeExecucao="Global","",ORÇAMENTO!W154)</f>
        <v>0</v>
      </c>
      <c r="I154" s="127">
        <f ca="1">ORÇAMENTO!X154</f>
        <v>0</v>
      </c>
      <c r="J154" s="378">
        <f ca="1">IF($A154="S",IF(CAIXA.Modo,BM.AFAnterior,BM.MEDAnterior),IF(AND(RegimeExecucao="Global",$I154&gt;0,COUNTIF($AB$13:$AM$13,BM.medicao-1)&gt;0),M154/$I154*100,0))</f>
        <v>0</v>
      </c>
      <c r="K154" s="124">
        <f t="shared" ca="1" si="17"/>
        <v>0</v>
      </c>
      <c r="L154" s="379">
        <f ca="1">IF($A154="S",IF(CAIXA.Modo,BM.AFAcumulado,BM.MEDAcumulado),IF(AND(RegimeExecucao="Global",$I154&gt;0,COUNTIF($AB$13:$AM$13,BM.medicao)&gt;0),O154/$I154*100,0))</f>
        <v>0</v>
      </c>
      <c r="M154" s="380">
        <f ca="1">IF($A154="S",VTOTALBM,IF($A154=0,0,ROUND(SomaAgrupBM,15-13*ORÇAMENTO!$AF$11)))</f>
        <v>0</v>
      </c>
      <c r="N154" s="381">
        <f t="shared" ca="1" si="18"/>
        <v>0</v>
      </c>
      <c r="O154" s="127">
        <f ca="1">IF($A154="S",VTOTALBM,IF($A154=0,0,ROUND(SomaAgrupBM,15-13*ORÇAMENTO!$AF$11)))</f>
        <v>0</v>
      </c>
      <c r="Q154" s="382"/>
      <c r="R154" s="383"/>
      <c r="T154" s="119" t="str">
        <f t="shared" ca="1" si="19"/>
        <v/>
      </c>
      <c r="U154" s="172" t="str">
        <f t="shared" ca="1" si="20"/>
        <v/>
      </c>
      <c r="V154" s="173" t="str">
        <f ca="1">IF(AND($W154&gt;0,RegimeExecucao="Unitário"),$F154,"")</f>
        <v/>
      </c>
      <c r="W154" s="547">
        <f ca="1">IF($Y154&gt;0,CHOOSE(MATCH(RegimeExecucao,{"Unitário","Global"},0),IF($A154="S",$Y154/$X154,""),($Y154/$X154)*100),0)</f>
        <v>0</v>
      </c>
      <c r="X154" s="384" t="str">
        <f ca="1">IF($Y154&gt;0,CHOOSE(MATCH(RegimeExecucao,{"Unitário","Global"},0),IF($A154="S",ROUND($H154,ORÇAMENTO!$AF$10),""),ROUND($I154,ORÇAMENTO!$AF$11)),"")</f>
        <v/>
      </c>
      <c r="Y154" s="384">
        <f t="shared" ca="1" si="21"/>
        <v>0</v>
      </c>
      <c r="Z154" s="572"/>
      <c r="AB154" s="382"/>
      <c r="AC154" s="516"/>
      <c r="AD154" s="516"/>
      <c r="AE154" s="516"/>
      <c r="AF154" s="516"/>
      <c r="AG154" s="516"/>
      <c r="AH154" s="516"/>
      <c r="AI154" s="516"/>
      <c r="AJ154" s="516"/>
      <c r="AK154" s="516"/>
      <c r="AL154" s="516"/>
      <c r="AM154" s="383"/>
      <c r="AO154">
        <f ca="1">IF($A154="S",IF(BM!$I154=0,0,CHOOSE(MATCH(RegimeExecucao,{"Global","Unitário"},0),ROUND(ROUND(BM.MEDAcumulado,15-13*BM!$A$9)/100*BM!$I154,15-13*ORÇAMENTO!$AF$11),ROUND(ROUND(BM.MEDAcumulado,15-13*BM!$A$9)*ROUND(BM!$H154,15-13*ORÇAMENTO!$AF$10),15-13*ORÇAMENTO!$AF$11))),IF($A154=0,0,ROUND(SomaAgrupBM,15-13*ORÇAMENTO!$AF$11)))</f>
        <v>0</v>
      </c>
    </row>
    <row r="155" spans="1:41" ht="51" x14ac:dyDescent="0.2">
      <c r="A155" t="str">
        <f ca="1">ORÇAMENTO!C155</f>
        <v>S</v>
      </c>
      <c r="B155">
        <f ca="1">ORÇAMENTO!D155</f>
        <v>0</v>
      </c>
      <c r="C155" s="116" t="str">
        <f t="shared" ca="1" si="15"/>
        <v/>
      </c>
      <c r="D155" s="119" t="str">
        <f ca="1">ORÇAMENTO!O155</f>
        <v>-</v>
      </c>
      <c r="E155" s="172" t="str">
        <f t="shared" ca="1" si="16"/>
        <v>(abra o arquivo 'Referência 02-2025.xlsm)</v>
      </c>
      <c r="F155" s="173" t="str">
        <f ca="1">IF(RegimeExecucao="Global","",ORÇAMENTO.Unidade)</f>
        <v>-</v>
      </c>
      <c r="G155" s="124">
        <f ca="1">IF(RegimeExecucao="Global","",ORÇAMENTO!T155)</f>
        <v>6.3</v>
      </c>
      <c r="H155" s="124">
        <f ca="1">IF(RegimeExecucao="Global","",ORÇAMENTO!W155)</f>
        <v>0</v>
      </c>
      <c r="I155" s="127">
        <f ca="1">ORÇAMENTO!X155</f>
        <v>0</v>
      </c>
      <c r="J155" s="378">
        <f ca="1">IF($A155="S",IF(CAIXA.Modo,BM.AFAnterior,BM.MEDAnterior),IF(AND(RegimeExecucao="Global",$I155&gt;0,COUNTIF($AB$13:$AM$13,BM.medicao-1)&gt;0),M155/$I155*100,0))</f>
        <v>0</v>
      </c>
      <c r="K155" s="124">
        <f t="shared" ca="1" si="17"/>
        <v>0</v>
      </c>
      <c r="L155" s="379">
        <f ca="1">IF($A155="S",IF(CAIXA.Modo,BM.AFAcumulado,BM.MEDAcumulado),IF(AND(RegimeExecucao="Global",$I155&gt;0,COUNTIF($AB$13:$AM$13,BM.medicao)&gt;0),O155/$I155*100,0))</f>
        <v>0</v>
      </c>
      <c r="M155" s="380">
        <f ca="1">IF($A155="S",VTOTALBM,IF($A155=0,0,ROUND(SomaAgrupBM,15-13*ORÇAMENTO!$AF$11)))</f>
        <v>0</v>
      </c>
      <c r="N155" s="381">
        <f t="shared" ca="1" si="18"/>
        <v>0</v>
      </c>
      <c r="O155" s="127">
        <f ca="1">IF($A155="S",VTOTALBM,IF($A155=0,0,ROUND(SomaAgrupBM,15-13*ORÇAMENTO!$AF$11)))</f>
        <v>0</v>
      </c>
      <c r="Q155" s="382"/>
      <c r="R155" s="383"/>
      <c r="T155" s="119" t="str">
        <f t="shared" ca="1" si="19"/>
        <v/>
      </c>
      <c r="U155" s="172" t="str">
        <f t="shared" ca="1" si="20"/>
        <v/>
      </c>
      <c r="V155" s="173" t="str">
        <f ca="1">IF(AND($W155&gt;0,RegimeExecucao="Unitário"),$F155,"")</f>
        <v/>
      </c>
      <c r="W155" s="547">
        <f ca="1">IF($Y155&gt;0,CHOOSE(MATCH(RegimeExecucao,{"Unitário","Global"},0),IF($A155="S",$Y155/$X155,""),($Y155/$X155)*100),0)</f>
        <v>0</v>
      </c>
      <c r="X155" s="384" t="str">
        <f ca="1">IF($Y155&gt;0,CHOOSE(MATCH(RegimeExecucao,{"Unitário","Global"},0),IF($A155="S",ROUND($H155,ORÇAMENTO!$AF$10),""),ROUND($I155,ORÇAMENTO!$AF$11)),"")</f>
        <v/>
      </c>
      <c r="Y155" s="384">
        <f t="shared" ca="1" si="21"/>
        <v>0</v>
      </c>
      <c r="Z155" s="572"/>
      <c r="AB155" s="382"/>
      <c r="AC155" s="516"/>
      <c r="AD155" s="516"/>
      <c r="AE155" s="516"/>
      <c r="AF155" s="516"/>
      <c r="AG155" s="516"/>
      <c r="AH155" s="516"/>
      <c r="AI155" s="516"/>
      <c r="AJ155" s="516"/>
      <c r="AK155" s="516"/>
      <c r="AL155" s="516"/>
      <c r="AM155" s="383"/>
      <c r="AO155">
        <f ca="1">IF($A155="S",IF(BM!$I155=0,0,CHOOSE(MATCH(RegimeExecucao,{"Global","Unitário"},0),ROUND(ROUND(BM.MEDAcumulado,15-13*BM!$A$9)/100*BM!$I155,15-13*ORÇAMENTO!$AF$11),ROUND(ROUND(BM.MEDAcumulado,15-13*BM!$A$9)*ROUND(BM!$H155,15-13*ORÇAMENTO!$AF$10),15-13*ORÇAMENTO!$AF$11))),IF($A155=0,0,ROUND(SomaAgrupBM,15-13*ORÇAMENTO!$AF$11)))</f>
        <v>0</v>
      </c>
    </row>
    <row r="156" spans="1:41" ht="51" x14ac:dyDescent="0.2">
      <c r="A156" t="str">
        <f ca="1">ORÇAMENTO!C156</f>
        <v>S</v>
      </c>
      <c r="B156">
        <f ca="1">ORÇAMENTO!D156</f>
        <v>0</v>
      </c>
      <c r="C156" s="116" t="str">
        <f t="shared" ca="1" si="15"/>
        <v/>
      </c>
      <c r="D156" s="119" t="str">
        <f ca="1">ORÇAMENTO!O156</f>
        <v>-</v>
      </c>
      <c r="E156" s="172" t="str">
        <f t="shared" ca="1" si="16"/>
        <v>(abra o arquivo 'Referência 02-2025.xlsm)</v>
      </c>
      <c r="F156" s="173" t="str">
        <f ca="1">IF(RegimeExecucao="Global","",ORÇAMENTO.Unidade)</f>
        <v>-</v>
      </c>
      <c r="G156" s="124">
        <f ca="1">IF(RegimeExecucao="Global","",ORÇAMENTO!T156)</f>
        <v>8.4</v>
      </c>
      <c r="H156" s="124">
        <f ca="1">IF(RegimeExecucao="Global","",ORÇAMENTO!W156)</f>
        <v>0</v>
      </c>
      <c r="I156" s="127">
        <f ca="1">ORÇAMENTO!X156</f>
        <v>0</v>
      </c>
      <c r="J156" s="378">
        <f ca="1">IF($A156="S",IF(CAIXA.Modo,BM.AFAnterior,BM.MEDAnterior),IF(AND(RegimeExecucao="Global",$I156&gt;0,COUNTIF($AB$13:$AM$13,BM.medicao-1)&gt;0),M156/$I156*100,0))</f>
        <v>0</v>
      </c>
      <c r="K156" s="124">
        <f t="shared" ca="1" si="17"/>
        <v>0</v>
      </c>
      <c r="L156" s="379">
        <f ca="1">IF($A156="S",IF(CAIXA.Modo,BM.AFAcumulado,BM.MEDAcumulado),IF(AND(RegimeExecucao="Global",$I156&gt;0,COUNTIF($AB$13:$AM$13,BM.medicao)&gt;0),O156/$I156*100,0))</f>
        <v>0</v>
      </c>
      <c r="M156" s="380">
        <f ca="1">IF($A156="S",VTOTALBM,IF($A156=0,0,ROUND(SomaAgrupBM,15-13*ORÇAMENTO!$AF$11)))</f>
        <v>0</v>
      </c>
      <c r="N156" s="381">
        <f t="shared" ca="1" si="18"/>
        <v>0</v>
      </c>
      <c r="O156" s="127">
        <f ca="1">IF($A156="S",VTOTALBM,IF($A156=0,0,ROUND(SomaAgrupBM,15-13*ORÇAMENTO!$AF$11)))</f>
        <v>0</v>
      </c>
      <c r="Q156" s="382"/>
      <c r="R156" s="383"/>
      <c r="T156" s="119" t="str">
        <f t="shared" ca="1" si="19"/>
        <v/>
      </c>
      <c r="U156" s="172" t="str">
        <f t="shared" ca="1" si="20"/>
        <v/>
      </c>
      <c r="V156" s="173" t="str">
        <f ca="1">IF(AND($W156&gt;0,RegimeExecucao="Unitário"),$F156,"")</f>
        <v/>
      </c>
      <c r="W156" s="547">
        <f ca="1">IF($Y156&gt;0,CHOOSE(MATCH(RegimeExecucao,{"Unitário","Global"},0),IF($A156="S",$Y156/$X156,""),($Y156/$X156)*100),0)</f>
        <v>0</v>
      </c>
      <c r="X156" s="384" t="str">
        <f ca="1">IF($Y156&gt;0,CHOOSE(MATCH(RegimeExecucao,{"Unitário","Global"},0),IF($A156="S",ROUND($H156,ORÇAMENTO!$AF$10),""),ROUND($I156,ORÇAMENTO!$AF$11)),"")</f>
        <v/>
      </c>
      <c r="Y156" s="384">
        <f t="shared" ca="1" si="21"/>
        <v>0</v>
      </c>
      <c r="Z156" s="572"/>
      <c r="AB156" s="382"/>
      <c r="AC156" s="516"/>
      <c r="AD156" s="516"/>
      <c r="AE156" s="516"/>
      <c r="AF156" s="516"/>
      <c r="AG156" s="516"/>
      <c r="AH156" s="516"/>
      <c r="AI156" s="516"/>
      <c r="AJ156" s="516"/>
      <c r="AK156" s="516"/>
      <c r="AL156" s="516"/>
      <c r="AM156" s="383"/>
      <c r="AO156">
        <f ca="1">IF($A156="S",IF(BM!$I156=0,0,CHOOSE(MATCH(RegimeExecucao,{"Global","Unitário"},0),ROUND(ROUND(BM.MEDAcumulado,15-13*BM!$A$9)/100*BM!$I156,15-13*ORÇAMENTO!$AF$11),ROUND(ROUND(BM.MEDAcumulado,15-13*BM!$A$9)*ROUND(BM!$H156,15-13*ORÇAMENTO!$AF$10),15-13*ORÇAMENTO!$AF$11))),IF($A156=0,0,ROUND(SomaAgrupBM,15-13*ORÇAMENTO!$AF$11)))</f>
        <v>0</v>
      </c>
    </row>
    <row r="157" spans="1:41" ht="51" x14ac:dyDescent="0.2">
      <c r="A157" t="str">
        <f ca="1">ORÇAMENTO!C157</f>
        <v>S</v>
      </c>
      <c r="B157">
        <f ca="1">ORÇAMENTO!D157</f>
        <v>0</v>
      </c>
      <c r="C157" s="116" t="str">
        <f t="shared" ca="1" si="15"/>
        <v/>
      </c>
      <c r="D157" s="119" t="str">
        <f ca="1">ORÇAMENTO!O157</f>
        <v>-</v>
      </c>
      <c r="E157" s="172" t="str">
        <f t="shared" ca="1" si="16"/>
        <v>(abra o arquivo 'Referência 02-2025.xlsm)</v>
      </c>
      <c r="F157" s="173" t="str">
        <f ca="1">IF(RegimeExecucao="Global","",ORÇAMENTO.Unidade)</f>
        <v>-</v>
      </c>
      <c r="G157" s="124">
        <f ca="1">IF(RegimeExecucao="Global","",ORÇAMENTO!T157)</f>
        <v>12.6</v>
      </c>
      <c r="H157" s="124">
        <f ca="1">IF(RegimeExecucao="Global","",ORÇAMENTO!W157)</f>
        <v>0</v>
      </c>
      <c r="I157" s="127">
        <f ca="1">ORÇAMENTO!X157</f>
        <v>0</v>
      </c>
      <c r="J157" s="378">
        <f ca="1">IF($A157="S",IF(CAIXA.Modo,BM.AFAnterior,BM.MEDAnterior),IF(AND(RegimeExecucao="Global",$I157&gt;0,COUNTIF($AB$13:$AM$13,BM.medicao-1)&gt;0),M157/$I157*100,0))</f>
        <v>0</v>
      </c>
      <c r="K157" s="124">
        <f t="shared" ca="1" si="17"/>
        <v>0</v>
      </c>
      <c r="L157" s="379">
        <f ca="1">IF($A157="S",IF(CAIXA.Modo,BM.AFAcumulado,BM.MEDAcumulado),IF(AND(RegimeExecucao="Global",$I157&gt;0,COUNTIF($AB$13:$AM$13,BM.medicao)&gt;0),O157/$I157*100,0))</f>
        <v>0</v>
      </c>
      <c r="M157" s="380">
        <f ca="1">IF($A157="S",VTOTALBM,IF($A157=0,0,ROUND(SomaAgrupBM,15-13*ORÇAMENTO!$AF$11)))</f>
        <v>0</v>
      </c>
      <c r="N157" s="381">
        <f t="shared" ca="1" si="18"/>
        <v>0</v>
      </c>
      <c r="O157" s="127">
        <f ca="1">IF($A157="S",VTOTALBM,IF($A157=0,0,ROUND(SomaAgrupBM,15-13*ORÇAMENTO!$AF$11)))</f>
        <v>0</v>
      </c>
      <c r="Q157" s="382"/>
      <c r="R157" s="383"/>
      <c r="T157" s="119" t="str">
        <f t="shared" ca="1" si="19"/>
        <v/>
      </c>
      <c r="U157" s="172" t="str">
        <f t="shared" ca="1" si="20"/>
        <v/>
      </c>
      <c r="V157" s="173" t="str">
        <f ca="1">IF(AND($W157&gt;0,RegimeExecucao="Unitário"),$F157,"")</f>
        <v/>
      </c>
      <c r="W157" s="547">
        <f ca="1">IF($Y157&gt;0,CHOOSE(MATCH(RegimeExecucao,{"Unitário","Global"},0),IF($A157="S",$Y157/$X157,""),($Y157/$X157)*100),0)</f>
        <v>0</v>
      </c>
      <c r="X157" s="384" t="str">
        <f ca="1">IF($Y157&gt;0,CHOOSE(MATCH(RegimeExecucao,{"Unitário","Global"},0),IF($A157="S",ROUND($H157,ORÇAMENTO!$AF$10),""),ROUND($I157,ORÇAMENTO!$AF$11)),"")</f>
        <v/>
      </c>
      <c r="Y157" s="384">
        <f t="shared" ca="1" si="21"/>
        <v>0</v>
      </c>
      <c r="Z157" s="572"/>
      <c r="AB157" s="382"/>
      <c r="AC157" s="516"/>
      <c r="AD157" s="516"/>
      <c r="AE157" s="516"/>
      <c r="AF157" s="516"/>
      <c r="AG157" s="516"/>
      <c r="AH157" s="516"/>
      <c r="AI157" s="516"/>
      <c r="AJ157" s="516"/>
      <c r="AK157" s="516"/>
      <c r="AL157" s="516"/>
      <c r="AM157" s="383"/>
      <c r="AO157">
        <f ca="1">IF($A157="S",IF(BM!$I157=0,0,CHOOSE(MATCH(RegimeExecucao,{"Global","Unitário"},0),ROUND(ROUND(BM.MEDAcumulado,15-13*BM!$A$9)/100*BM!$I157,15-13*ORÇAMENTO!$AF$11),ROUND(ROUND(BM.MEDAcumulado,15-13*BM!$A$9)*ROUND(BM!$H157,15-13*ORÇAMENTO!$AF$10),15-13*ORÇAMENTO!$AF$11))),IF($A157=0,0,ROUND(SomaAgrupBM,15-13*ORÇAMENTO!$AF$11)))</f>
        <v>0</v>
      </c>
    </row>
    <row r="158" spans="1:41" ht="51" x14ac:dyDescent="0.2">
      <c r="A158" t="str">
        <f ca="1">ORÇAMENTO!C158</f>
        <v>S</v>
      </c>
      <c r="B158">
        <f ca="1">ORÇAMENTO!D158</f>
        <v>0</v>
      </c>
      <c r="C158" s="116" t="str">
        <f t="shared" ca="1" si="15"/>
        <v/>
      </c>
      <c r="D158" s="119" t="str">
        <f ca="1">ORÇAMENTO!O158</f>
        <v>-</v>
      </c>
      <c r="E158" s="172" t="str">
        <f t="shared" ca="1" si="16"/>
        <v>(abra o arquivo 'Referência 02-2025.xlsm)</v>
      </c>
      <c r="F158" s="173" t="str">
        <f ca="1">IF(RegimeExecucao="Global","",ORÇAMENTO.Unidade)</f>
        <v>-</v>
      </c>
      <c r="G158" s="124">
        <f ca="1">IF(RegimeExecucao="Global","",ORÇAMENTO!T158)</f>
        <v>33.6</v>
      </c>
      <c r="H158" s="124">
        <f ca="1">IF(RegimeExecucao="Global","",ORÇAMENTO!W158)</f>
        <v>0</v>
      </c>
      <c r="I158" s="127">
        <f ca="1">ORÇAMENTO!X158</f>
        <v>0</v>
      </c>
      <c r="J158" s="378">
        <f ca="1">IF($A158="S",IF(CAIXA.Modo,BM.AFAnterior,BM.MEDAnterior),IF(AND(RegimeExecucao="Global",$I158&gt;0,COUNTIF($AB$13:$AM$13,BM.medicao-1)&gt;0),M158/$I158*100,0))</f>
        <v>0</v>
      </c>
      <c r="K158" s="124">
        <f t="shared" ca="1" si="17"/>
        <v>0</v>
      </c>
      <c r="L158" s="379">
        <f ca="1">IF($A158="S",IF(CAIXA.Modo,BM.AFAcumulado,BM.MEDAcumulado),IF(AND(RegimeExecucao="Global",$I158&gt;0,COUNTIF($AB$13:$AM$13,BM.medicao)&gt;0),O158/$I158*100,0))</f>
        <v>0</v>
      </c>
      <c r="M158" s="380">
        <f ca="1">IF($A158="S",VTOTALBM,IF($A158=0,0,ROUND(SomaAgrupBM,15-13*ORÇAMENTO!$AF$11)))</f>
        <v>0</v>
      </c>
      <c r="N158" s="381">
        <f t="shared" ca="1" si="18"/>
        <v>0</v>
      </c>
      <c r="O158" s="127">
        <f ca="1">IF($A158="S",VTOTALBM,IF($A158=0,0,ROUND(SomaAgrupBM,15-13*ORÇAMENTO!$AF$11)))</f>
        <v>0</v>
      </c>
      <c r="Q158" s="382"/>
      <c r="R158" s="383"/>
      <c r="T158" s="119" t="str">
        <f t="shared" ca="1" si="19"/>
        <v/>
      </c>
      <c r="U158" s="172" t="str">
        <f t="shared" ca="1" si="20"/>
        <v/>
      </c>
      <c r="V158" s="173" t="str">
        <f ca="1">IF(AND($W158&gt;0,RegimeExecucao="Unitário"),$F158,"")</f>
        <v/>
      </c>
      <c r="W158" s="547">
        <f ca="1">IF($Y158&gt;0,CHOOSE(MATCH(RegimeExecucao,{"Unitário","Global"},0),IF($A158="S",$Y158/$X158,""),($Y158/$X158)*100),0)</f>
        <v>0</v>
      </c>
      <c r="X158" s="384" t="str">
        <f ca="1">IF($Y158&gt;0,CHOOSE(MATCH(RegimeExecucao,{"Unitário","Global"},0),IF($A158="S",ROUND($H158,ORÇAMENTO!$AF$10),""),ROUND($I158,ORÇAMENTO!$AF$11)),"")</f>
        <v/>
      </c>
      <c r="Y158" s="384">
        <f t="shared" ca="1" si="21"/>
        <v>0</v>
      </c>
      <c r="Z158" s="572"/>
      <c r="AB158" s="382"/>
      <c r="AC158" s="516"/>
      <c r="AD158" s="516"/>
      <c r="AE158" s="516"/>
      <c r="AF158" s="516"/>
      <c r="AG158" s="516"/>
      <c r="AH158" s="516"/>
      <c r="AI158" s="516"/>
      <c r="AJ158" s="516"/>
      <c r="AK158" s="516"/>
      <c r="AL158" s="516"/>
      <c r="AM158" s="383"/>
      <c r="AO158">
        <f ca="1">IF($A158="S",IF(BM!$I158=0,0,CHOOSE(MATCH(RegimeExecucao,{"Global","Unitário"},0),ROUND(ROUND(BM.MEDAcumulado,15-13*BM!$A$9)/100*BM!$I158,15-13*ORÇAMENTO!$AF$11),ROUND(ROUND(BM.MEDAcumulado,15-13*BM!$A$9)*ROUND(BM!$H158,15-13*ORÇAMENTO!$AF$10),15-13*ORÇAMENTO!$AF$11))),IF($A158=0,0,ROUND(SomaAgrupBM,15-13*ORÇAMENTO!$AF$11)))</f>
        <v>0</v>
      </c>
    </row>
    <row r="159" spans="1:41" ht="51" x14ac:dyDescent="0.2">
      <c r="A159" t="str">
        <f ca="1">ORÇAMENTO!C159</f>
        <v>S</v>
      </c>
      <c r="B159">
        <f ca="1">ORÇAMENTO!D159</f>
        <v>0</v>
      </c>
      <c r="C159" s="116" t="str">
        <f t="shared" ca="1" si="15"/>
        <v/>
      </c>
      <c r="D159" s="119" t="str">
        <f ca="1">ORÇAMENTO!O159</f>
        <v>-</v>
      </c>
      <c r="E159" s="172" t="str">
        <f t="shared" ca="1" si="16"/>
        <v>(abra o arquivo 'Referência 02-2025.xlsm)</v>
      </c>
      <c r="F159" s="173" t="str">
        <f ca="1">IF(RegimeExecucao="Global","",ORÇAMENTO.Unidade)</f>
        <v>-</v>
      </c>
      <c r="G159" s="124">
        <f ca="1">IF(RegimeExecucao="Global","",ORÇAMENTO!T159)</f>
        <v>16.8</v>
      </c>
      <c r="H159" s="124">
        <f ca="1">IF(RegimeExecucao="Global","",ORÇAMENTO!W159)</f>
        <v>0</v>
      </c>
      <c r="I159" s="127">
        <f ca="1">ORÇAMENTO!X159</f>
        <v>0</v>
      </c>
      <c r="J159" s="378">
        <f ca="1">IF($A159="S",IF(CAIXA.Modo,BM.AFAnterior,BM.MEDAnterior),IF(AND(RegimeExecucao="Global",$I159&gt;0,COUNTIF($AB$13:$AM$13,BM.medicao-1)&gt;0),M159/$I159*100,0))</f>
        <v>0</v>
      </c>
      <c r="K159" s="124">
        <f t="shared" ca="1" si="17"/>
        <v>0</v>
      </c>
      <c r="L159" s="379">
        <f ca="1">IF($A159="S",IF(CAIXA.Modo,BM.AFAcumulado,BM.MEDAcumulado),IF(AND(RegimeExecucao="Global",$I159&gt;0,COUNTIF($AB$13:$AM$13,BM.medicao)&gt;0),O159/$I159*100,0))</f>
        <v>0</v>
      </c>
      <c r="M159" s="380">
        <f ca="1">IF($A159="S",VTOTALBM,IF($A159=0,0,ROUND(SomaAgrupBM,15-13*ORÇAMENTO!$AF$11)))</f>
        <v>0</v>
      </c>
      <c r="N159" s="381">
        <f t="shared" ca="1" si="18"/>
        <v>0</v>
      </c>
      <c r="O159" s="127">
        <f ca="1">IF($A159="S",VTOTALBM,IF($A159=0,0,ROUND(SomaAgrupBM,15-13*ORÇAMENTO!$AF$11)))</f>
        <v>0</v>
      </c>
      <c r="Q159" s="382"/>
      <c r="R159" s="383"/>
      <c r="T159" s="119" t="str">
        <f t="shared" ca="1" si="19"/>
        <v/>
      </c>
      <c r="U159" s="172" t="str">
        <f t="shared" ca="1" si="20"/>
        <v/>
      </c>
      <c r="V159" s="173" t="str">
        <f ca="1">IF(AND($W159&gt;0,RegimeExecucao="Unitário"),$F159,"")</f>
        <v/>
      </c>
      <c r="W159" s="547">
        <f ca="1">IF($Y159&gt;0,CHOOSE(MATCH(RegimeExecucao,{"Unitário","Global"},0),IF($A159="S",$Y159/$X159,""),($Y159/$X159)*100),0)</f>
        <v>0</v>
      </c>
      <c r="X159" s="384" t="str">
        <f ca="1">IF($Y159&gt;0,CHOOSE(MATCH(RegimeExecucao,{"Unitário","Global"},0),IF($A159="S",ROUND($H159,ORÇAMENTO!$AF$10),""),ROUND($I159,ORÇAMENTO!$AF$11)),"")</f>
        <v/>
      </c>
      <c r="Y159" s="384">
        <f t="shared" ca="1" si="21"/>
        <v>0</v>
      </c>
      <c r="Z159" s="572"/>
      <c r="AB159" s="382"/>
      <c r="AC159" s="516"/>
      <c r="AD159" s="516"/>
      <c r="AE159" s="516"/>
      <c r="AF159" s="516"/>
      <c r="AG159" s="516"/>
      <c r="AH159" s="516"/>
      <c r="AI159" s="516"/>
      <c r="AJ159" s="516"/>
      <c r="AK159" s="516"/>
      <c r="AL159" s="516"/>
      <c r="AM159" s="383"/>
      <c r="AO159">
        <f ca="1">IF($A159="S",IF(BM!$I159=0,0,CHOOSE(MATCH(RegimeExecucao,{"Global","Unitário"},0),ROUND(ROUND(BM.MEDAcumulado,15-13*BM!$A$9)/100*BM!$I159,15-13*ORÇAMENTO!$AF$11),ROUND(ROUND(BM.MEDAcumulado,15-13*BM!$A$9)*ROUND(BM!$H159,15-13*ORÇAMENTO!$AF$10),15-13*ORÇAMENTO!$AF$11))),IF($A159=0,0,ROUND(SomaAgrupBM,15-13*ORÇAMENTO!$AF$11)))</f>
        <v>0</v>
      </c>
    </row>
    <row r="160" spans="1:41" ht="51" x14ac:dyDescent="0.2">
      <c r="A160" t="str">
        <f ca="1">ORÇAMENTO!C160</f>
        <v>S</v>
      </c>
      <c r="B160">
        <f ca="1">ORÇAMENTO!D160</f>
        <v>0</v>
      </c>
      <c r="C160" s="116" t="str">
        <f t="shared" ca="1" si="15"/>
        <v/>
      </c>
      <c r="D160" s="119" t="str">
        <f ca="1">ORÇAMENTO!O160</f>
        <v>-</v>
      </c>
      <c r="E160" s="172" t="str">
        <f t="shared" ca="1" si="16"/>
        <v>(abra o arquivo 'Referência 02-2025.xlsm)</v>
      </c>
      <c r="F160" s="173" t="str">
        <f ca="1">IF(RegimeExecucao="Global","",ORÇAMENTO.Unidade)</f>
        <v>-</v>
      </c>
      <c r="G160" s="124">
        <f ca="1">IF(RegimeExecucao="Global","",ORÇAMENTO!T160)</f>
        <v>5.44</v>
      </c>
      <c r="H160" s="124">
        <f ca="1">IF(RegimeExecucao="Global","",ORÇAMENTO!W160)</f>
        <v>0</v>
      </c>
      <c r="I160" s="127">
        <f ca="1">ORÇAMENTO!X160</f>
        <v>0</v>
      </c>
      <c r="J160" s="378">
        <f ca="1">IF($A160="S",IF(CAIXA.Modo,BM.AFAnterior,BM.MEDAnterior),IF(AND(RegimeExecucao="Global",$I160&gt;0,COUNTIF($AB$13:$AM$13,BM.medicao-1)&gt;0),M160/$I160*100,0))</f>
        <v>0</v>
      </c>
      <c r="K160" s="124">
        <f t="shared" ca="1" si="17"/>
        <v>0</v>
      </c>
      <c r="L160" s="379">
        <f ca="1">IF($A160="S",IF(CAIXA.Modo,BM.AFAcumulado,BM.MEDAcumulado),IF(AND(RegimeExecucao="Global",$I160&gt;0,COUNTIF($AB$13:$AM$13,BM.medicao)&gt;0),O160/$I160*100,0))</f>
        <v>0</v>
      </c>
      <c r="M160" s="380">
        <f ca="1">IF($A160="S",VTOTALBM,IF($A160=0,0,ROUND(SomaAgrupBM,15-13*ORÇAMENTO!$AF$11)))</f>
        <v>0</v>
      </c>
      <c r="N160" s="381">
        <f t="shared" ca="1" si="18"/>
        <v>0</v>
      </c>
      <c r="O160" s="127">
        <f ca="1">IF($A160="S",VTOTALBM,IF($A160=0,0,ROUND(SomaAgrupBM,15-13*ORÇAMENTO!$AF$11)))</f>
        <v>0</v>
      </c>
      <c r="Q160" s="382"/>
      <c r="R160" s="383"/>
      <c r="T160" s="119" t="str">
        <f t="shared" ca="1" si="19"/>
        <v/>
      </c>
      <c r="U160" s="172" t="str">
        <f t="shared" ca="1" si="20"/>
        <v/>
      </c>
      <c r="V160" s="173" t="str">
        <f ca="1">IF(AND($W160&gt;0,RegimeExecucao="Unitário"),$F160,"")</f>
        <v/>
      </c>
      <c r="W160" s="547">
        <f ca="1">IF($Y160&gt;0,CHOOSE(MATCH(RegimeExecucao,{"Unitário","Global"},0),IF($A160="S",$Y160/$X160,""),($Y160/$X160)*100),0)</f>
        <v>0</v>
      </c>
      <c r="X160" s="384" t="str">
        <f ca="1">IF($Y160&gt;0,CHOOSE(MATCH(RegimeExecucao,{"Unitário","Global"},0),IF($A160="S",ROUND($H160,ORÇAMENTO!$AF$10),""),ROUND($I160,ORÇAMENTO!$AF$11)),"")</f>
        <v/>
      </c>
      <c r="Y160" s="384">
        <f t="shared" ca="1" si="21"/>
        <v>0</v>
      </c>
      <c r="Z160" s="572"/>
      <c r="AB160" s="382"/>
      <c r="AC160" s="516"/>
      <c r="AD160" s="516"/>
      <c r="AE160" s="516"/>
      <c r="AF160" s="516"/>
      <c r="AG160" s="516"/>
      <c r="AH160" s="516"/>
      <c r="AI160" s="516"/>
      <c r="AJ160" s="516"/>
      <c r="AK160" s="516"/>
      <c r="AL160" s="516"/>
      <c r="AM160" s="383"/>
      <c r="AO160">
        <f ca="1">IF($A160="S",IF(BM!$I160=0,0,CHOOSE(MATCH(RegimeExecucao,{"Global","Unitário"},0),ROUND(ROUND(BM.MEDAcumulado,15-13*BM!$A$9)/100*BM!$I160,15-13*ORÇAMENTO!$AF$11),ROUND(ROUND(BM.MEDAcumulado,15-13*BM!$A$9)*ROUND(BM!$H160,15-13*ORÇAMENTO!$AF$10),15-13*ORÇAMENTO!$AF$11))),IF($A160=0,0,ROUND(SomaAgrupBM,15-13*ORÇAMENTO!$AF$11)))</f>
        <v>0</v>
      </c>
    </row>
    <row r="161" spans="1:41" ht="25.5" x14ac:dyDescent="0.2">
      <c r="A161" t="str">
        <f ca="1">ORÇAMENTO!C161</f>
        <v>S</v>
      </c>
      <c r="B161">
        <f ca="1">ORÇAMENTO!D161</f>
        <v>0</v>
      </c>
      <c r="C161" s="116" t="str">
        <f t="shared" ca="1" si="15"/>
        <v/>
      </c>
      <c r="D161" s="119" t="str">
        <f ca="1">ORÇAMENTO!O161</f>
        <v>-</v>
      </c>
      <c r="E161" s="172" t="str">
        <f t="shared" ca="1" si="16"/>
        <v>(abra o arquivo 'Referência 02-2025.xlsm)</v>
      </c>
      <c r="F161" s="173" t="str">
        <f ca="1">IF(RegimeExecucao="Global","",ORÇAMENTO.Unidade)</f>
        <v>-</v>
      </c>
      <c r="G161" s="124">
        <f ca="1">IF(RegimeExecucao="Global","",ORÇAMENTO!T161)</f>
        <v>28.24</v>
      </c>
      <c r="H161" s="124">
        <f ca="1">IF(RegimeExecucao="Global","",ORÇAMENTO!W161)</f>
        <v>0</v>
      </c>
      <c r="I161" s="127">
        <f ca="1">ORÇAMENTO!X161</f>
        <v>0</v>
      </c>
      <c r="J161" s="378">
        <f ca="1">IF($A161="S",IF(CAIXA.Modo,BM.AFAnterior,BM.MEDAnterior),IF(AND(RegimeExecucao="Global",$I161&gt;0,COUNTIF($AB$13:$AM$13,BM.medicao-1)&gt;0),M161/$I161*100,0))</f>
        <v>0</v>
      </c>
      <c r="K161" s="124">
        <f t="shared" ca="1" si="17"/>
        <v>0</v>
      </c>
      <c r="L161" s="379">
        <f ca="1">IF($A161="S",IF(CAIXA.Modo,BM.AFAcumulado,BM.MEDAcumulado),IF(AND(RegimeExecucao="Global",$I161&gt;0,COUNTIF($AB$13:$AM$13,BM.medicao)&gt;0),O161/$I161*100,0))</f>
        <v>0</v>
      </c>
      <c r="M161" s="380">
        <f ca="1">IF($A161="S",VTOTALBM,IF($A161=0,0,ROUND(SomaAgrupBM,15-13*ORÇAMENTO!$AF$11)))</f>
        <v>0</v>
      </c>
      <c r="N161" s="381">
        <f t="shared" ca="1" si="18"/>
        <v>0</v>
      </c>
      <c r="O161" s="127">
        <f ca="1">IF($A161="S",VTOTALBM,IF($A161=0,0,ROUND(SomaAgrupBM,15-13*ORÇAMENTO!$AF$11)))</f>
        <v>0</v>
      </c>
      <c r="Q161" s="382"/>
      <c r="R161" s="383"/>
      <c r="T161" s="119" t="str">
        <f t="shared" ca="1" si="19"/>
        <v/>
      </c>
      <c r="U161" s="172" t="str">
        <f t="shared" ca="1" si="20"/>
        <v/>
      </c>
      <c r="V161" s="173" t="str">
        <f ca="1">IF(AND($W161&gt;0,RegimeExecucao="Unitário"),$F161,"")</f>
        <v/>
      </c>
      <c r="W161" s="547">
        <f ca="1">IF($Y161&gt;0,CHOOSE(MATCH(RegimeExecucao,{"Unitário","Global"},0),IF($A161="S",$Y161/$X161,""),($Y161/$X161)*100),0)</f>
        <v>0</v>
      </c>
      <c r="X161" s="384" t="str">
        <f ca="1">IF($Y161&gt;0,CHOOSE(MATCH(RegimeExecucao,{"Unitário","Global"},0),IF($A161="S",ROUND($H161,ORÇAMENTO!$AF$10),""),ROUND($I161,ORÇAMENTO!$AF$11)),"")</f>
        <v/>
      </c>
      <c r="Y161" s="384">
        <f t="shared" ca="1" si="21"/>
        <v>0</v>
      </c>
      <c r="Z161" s="572"/>
      <c r="AB161" s="382"/>
      <c r="AC161" s="516"/>
      <c r="AD161" s="516"/>
      <c r="AE161" s="516"/>
      <c r="AF161" s="516"/>
      <c r="AG161" s="516"/>
      <c r="AH161" s="516"/>
      <c r="AI161" s="516"/>
      <c r="AJ161" s="516"/>
      <c r="AK161" s="516"/>
      <c r="AL161" s="516"/>
      <c r="AM161" s="383"/>
      <c r="AO161">
        <f ca="1">IF($A161="S",IF(BM!$I161=0,0,CHOOSE(MATCH(RegimeExecucao,{"Global","Unitário"},0),ROUND(ROUND(BM.MEDAcumulado,15-13*BM!$A$9)/100*BM!$I161,15-13*ORÇAMENTO!$AF$11),ROUND(ROUND(BM.MEDAcumulado,15-13*BM!$A$9)*ROUND(BM!$H161,15-13*ORÇAMENTO!$AF$10),15-13*ORÇAMENTO!$AF$11))),IF($A161=0,0,ROUND(SomaAgrupBM,15-13*ORÇAMENTO!$AF$11)))</f>
        <v>0</v>
      </c>
    </row>
    <row r="162" spans="1:41" x14ac:dyDescent="0.2">
      <c r="A162">
        <f ca="1">ORÇAMENTO!C162</f>
        <v>3</v>
      </c>
      <c r="B162">
        <f ca="1">ORÇAMENTO!D162</f>
        <v>3</v>
      </c>
      <c r="C162" s="116" t="str">
        <f t="shared" ca="1" si="15"/>
        <v>F</v>
      </c>
      <c r="D162" s="119" t="str">
        <f ca="1">ORÇAMENTO!O162</f>
        <v>1.6.5.</v>
      </c>
      <c r="E162" s="172" t="str">
        <f t="shared" ca="1" si="16"/>
        <v>PORTAS DE VIDRO</v>
      </c>
      <c r="F162" s="173" t="str">
        <f ca="1">IF(RegimeExecucao="Global","",ORÇAMENTO.Unidade)</f>
        <v>-</v>
      </c>
      <c r="G162" s="124">
        <f ca="1">IF(RegimeExecucao="Global","",ORÇAMENTO!T162)</f>
        <v>0</v>
      </c>
      <c r="H162" s="124">
        <f ca="1">IF(RegimeExecucao="Global","",ORÇAMENTO!W162)</f>
        <v>0</v>
      </c>
      <c r="I162" s="127">
        <f ca="1">ORÇAMENTO!X162</f>
        <v>0</v>
      </c>
      <c r="J162" s="378">
        <f ca="1">IF($A162="S",IF(CAIXA.Modo,BM.AFAnterior,BM.MEDAnterior),IF(AND(RegimeExecucao="Global",$I162&gt;0,COUNTIF($AB$13:$AM$13,BM.medicao-1)&gt;0),M162/$I162*100,0))</f>
        <v>0</v>
      </c>
      <c r="K162" s="124">
        <f t="shared" ca="1" si="17"/>
        <v>0</v>
      </c>
      <c r="L162" s="379">
        <f ca="1">IF($A162="S",IF(CAIXA.Modo,BM.AFAcumulado,BM.MEDAcumulado),IF(AND(RegimeExecucao="Global",$I162&gt;0,COUNTIF($AB$13:$AM$13,BM.medicao)&gt;0),O162/$I162*100,0))</f>
        <v>0</v>
      </c>
      <c r="M162" s="380">
        <f ca="1">IF($A162="S",VTOTALBM,IF($A162=0,0,ROUND(SomaAgrupBM,15-13*ORÇAMENTO!$AF$11)))</f>
        <v>0</v>
      </c>
      <c r="N162" s="381">
        <f t="shared" ca="1" si="18"/>
        <v>0</v>
      </c>
      <c r="O162" s="127">
        <f ca="1">IF($A162="S",VTOTALBM,IF($A162=0,0,ROUND(SomaAgrupBM,15-13*ORÇAMENTO!$AF$11)))</f>
        <v>0</v>
      </c>
      <c r="Q162" s="382"/>
      <c r="R162" s="383"/>
      <c r="T162" s="119" t="str">
        <f t="shared" ca="1" si="19"/>
        <v/>
      </c>
      <c r="U162" s="172" t="str">
        <f t="shared" ca="1" si="20"/>
        <v/>
      </c>
      <c r="V162" s="173" t="str">
        <f ca="1">IF(AND($W162&gt;0,RegimeExecucao="Unitário"),$F162,"")</f>
        <v/>
      </c>
      <c r="W162" s="547">
        <f ca="1">IF($Y162&gt;0,CHOOSE(MATCH(RegimeExecucao,{"Unitário","Global"},0),IF($A162="S",$Y162/$X162,""),($Y162/$X162)*100),0)</f>
        <v>0</v>
      </c>
      <c r="X162" s="384" t="str">
        <f ca="1">IF($Y162&gt;0,CHOOSE(MATCH(RegimeExecucao,{"Unitário","Global"},0),IF($A162="S",ROUND($H162,ORÇAMENTO!$AF$10),""),ROUND($I162,ORÇAMENTO!$AF$11)),"")</f>
        <v/>
      </c>
      <c r="Y162" s="384">
        <f t="shared" ca="1" si="21"/>
        <v>0</v>
      </c>
      <c r="Z162" s="572"/>
      <c r="AB162" s="382"/>
      <c r="AC162" s="516"/>
      <c r="AD162" s="516"/>
      <c r="AE162" s="516"/>
      <c r="AF162" s="516"/>
      <c r="AG162" s="516"/>
      <c r="AH162" s="516"/>
      <c r="AI162" s="516"/>
      <c r="AJ162" s="516"/>
      <c r="AK162" s="516"/>
      <c r="AL162" s="516"/>
      <c r="AM162" s="383"/>
      <c r="AO162">
        <f ca="1">IF($A162="S",IF(BM!$I162=0,0,CHOOSE(MATCH(RegimeExecucao,{"Global","Unitário"},0),ROUND(ROUND(BM.MEDAcumulado,15-13*BM!$A$9)/100*BM!$I162,15-13*ORÇAMENTO!$AF$11),ROUND(ROUND(BM.MEDAcumulado,15-13*BM!$A$9)*ROUND(BM!$H162,15-13*ORÇAMENTO!$AF$10),15-13*ORÇAMENTO!$AF$11))),IF($A162=0,0,ROUND(SomaAgrupBM,15-13*ORÇAMENTO!$AF$11)))</f>
        <v>0</v>
      </c>
    </row>
    <row r="163" spans="1:41" ht="25.5" x14ac:dyDescent="0.2">
      <c r="A163" t="str">
        <f ca="1">ORÇAMENTO!C163</f>
        <v>S</v>
      </c>
      <c r="B163">
        <f ca="1">ORÇAMENTO!D163</f>
        <v>0</v>
      </c>
      <c r="C163" s="116" t="str">
        <f t="shared" ca="1" si="15"/>
        <v/>
      </c>
      <c r="D163" s="119" t="str">
        <f ca="1">ORÇAMENTO!O163</f>
        <v>-</v>
      </c>
      <c r="E163" s="172" t="str">
        <f t="shared" ca="1" si="16"/>
        <v>(abra o arquivo 'Referência 02-2025.xlsm)</v>
      </c>
      <c r="F163" s="173" t="str">
        <f ca="1">IF(RegimeExecucao="Global","",ORÇAMENTO.Unidade)</f>
        <v>-</v>
      </c>
      <c r="G163" s="124">
        <f ca="1">IF(RegimeExecucao="Global","",ORÇAMENTO!T163)</f>
        <v>8.51</v>
      </c>
      <c r="H163" s="124">
        <f ca="1">IF(RegimeExecucao="Global","",ORÇAMENTO!W163)</f>
        <v>0</v>
      </c>
      <c r="I163" s="127">
        <f ca="1">ORÇAMENTO!X163</f>
        <v>0</v>
      </c>
      <c r="J163" s="378">
        <f ca="1">IF($A163="S",IF(CAIXA.Modo,BM.AFAnterior,BM.MEDAnterior),IF(AND(RegimeExecucao="Global",$I163&gt;0,COUNTIF($AB$13:$AM$13,BM.medicao-1)&gt;0),M163/$I163*100,0))</f>
        <v>0</v>
      </c>
      <c r="K163" s="124">
        <f t="shared" ca="1" si="17"/>
        <v>0</v>
      </c>
      <c r="L163" s="379">
        <f ca="1">IF($A163="S",IF(CAIXA.Modo,BM.AFAcumulado,BM.MEDAcumulado),IF(AND(RegimeExecucao="Global",$I163&gt;0,COUNTIF($AB$13:$AM$13,BM.medicao)&gt;0),O163/$I163*100,0))</f>
        <v>0</v>
      </c>
      <c r="M163" s="380">
        <f ca="1">IF($A163="S",VTOTALBM,IF($A163=0,0,ROUND(SomaAgrupBM,15-13*ORÇAMENTO!$AF$11)))</f>
        <v>0</v>
      </c>
      <c r="N163" s="381">
        <f t="shared" ca="1" si="18"/>
        <v>0</v>
      </c>
      <c r="O163" s="127">
        <f ca="1">IF($A163="S",VTOTALBM,IF($A163=0,0,ROUND(SomaAgrupBM,15-13*ORÇAMENTO!$AF$11)))</f>
        <v>0</v>
      </c>
      <c r="Q163" s="382"/>
      <c r="R163" s="383"/>
      <c r="T163" s="119" t="str">
        <f t="shared" ca="1" si="19"/>
        <v/>
      </c>
      <c r="U163" s="172" t="str">
        <f t="shared" ca="1" si="20"/>
        <v/>
      </c>
      <c r="V163" s="173" t="str">
        <f ca="1">IF(AND($W163&gt;0,RegimeExecucao="Unitário"),$F163,"")</f>
        <v/>
      </c>
      <c r="W163" s="547">
        <f ca="1">IF($Y163&gt;0,CHOOSE(MATCH(RegimeExecucao,{"Unitário","Global"},0),IF($A163="S",$Y163/$X163,""),($Y163/$X163)*100),0)</f>
        <v>0</v>
      </c>
      <c r="X163" s="384" t="str">
        <f ca="1">IF($Y163&gt;0,CHOOSE(MATCH(RegimeExecucao,{"Unitário","Global"},0),IF($A163="S",ROUND($H163,ORÇAMENTO!$AF$10),""),ROUND($I163,ORÇAMENTO!$AF$11)),"")</f>
        <v/>
      </c>
      <c r="Y163" s="384">
        <f t="shared" ca="1" si="21"/>
        <v>0</v>
      </c>
      <c r="Z163" s="572"/>
      <c r="AB163" s="382"/>
      <c r="AC163" s="516"/>
      <c r="AD163" s="516"/>
      <c r="AE163" s="516"/>
      <c r="AF163" s="516"/>
      <c r="AG163" s="516"/>
      <c r="AH163" s="516"/>
      <c r="AI163" s="516"/>
      <c r="AJ163" s="516"/>
      <c r="AK163" s="516"/>
      <c r="AL163" s="516"/>
      <c r="AM163" s="383"/>
      <c r="AO163">
        <f ca="1">IF($A163="S",IF(BM!$I163=0,0,CHOOSE(MATCH(RegimeExecucao,{"Global","Unitário"},0),ROUND(ROUND(BM.MEDAcumulado,15-13*BM!$A$9)/100*BM!$I163,15-13*ORÇAMENTO!$AF$11),ROUND(ROUND(BM.MEDAcumulado,15-13*BM!$A$9)*ROUND(BM!$H163,15-13*ORÇAMENTO!$AF$10),15-13*ORÇAMENTO!$AF$11))),IF($A163=0,0,ROUND(SomaAgrupBM,15-13*ORÇAMENTO!$AF$11)))</f>
        <v>0</v>
      </c>
    </row>
    <row r="164" spans="1:41" ht="38.25" x14ac:dyDescent="0.2">
      <c r="A164" t="str">
        <f ca="1">ORÇAMENTO!C164</f>
        <v>S</v>
      </c>
      <c r="B164">
        <f ca="1">ORÇAMENTO!D164</f>
        <v>0</v>
      </c>
      <c r="C164" s="116" t="str">
        <f t="shared" ca="1" si="15"/>
        <v/>
      </c>
      <c r="D164" s="119" t="str">
        <f ca="1">ORÇAMENTO!O164</f>
        <v>-</v>
      </c>
      <c r="E164" s="172" t="str">
        <f t="shared" ca="1" si="16"/>
        <v>(abra o arquivo 'Referência 02-2025.xlsm)</v>
      </c>
      <c r="F164" s="173" t="str">
        <f ca="1">IF(RegimeExecucao="Global","",ORÇAMENTO.Unidade)</f>
        <v>-</v>
      </c>
      <c r="G164" s="124">
        <f ca="1">IF(RegimeExecucao="Global","",ORÇAMENTO!T164)</f>
        <v>7.55</v>
      </c>
      <c r="H164" s="124">
        <f ca="1">IF(RegimeExecucao="Global","",ORÇAMENTO!W164)</f>
        <v>0</v>
      </c>
      <c r="I164" s="127">
        <f ca="1">ORÇAMENTO!X164</f>
        <v>0</v>
      </c>
      <c r="J164" s="378">
        <f ca="1">IF($A164="S",IF(CAIXA.Modo,BM.AFAnterior,BM.MEDAnterior),IF(AND(RegimeExecucao="Global",$I164&gt;0,COUNTIF($AB$13:$AM$13,BM.medicao-1)&gt;0),M164/$I164*100,0))</f>
        <v>0</v>
      </c>
      <c r="K164" s="124">
        <f t="shared" ca="1" si="17"/>
        <v>0</v>
      </c>
      <c r="L164" s="379">
        <f ca="1">IF($A164="S",IF(CAIXA.Modo,BM.AFAcumulado,BM.MEDAcumulado),IF(AND(RegimeExecucao="Global",$I164&gt;0,COUNTIF($AB$13:$AM$13,BM.medicao)&gt;0),O164/$I164*100,0))</f>
        <v>0</v>
      </c>
      <c r="M164" s="380">
        <f ca="1">IF($A164="S",VTOTALBM,IF($A164=0,0,ROUND(SomaAgrupBM,15-13*ORÇAMENTO!$AF$11)))</f>
        <v>0</v>
      </c>
      <c r="N164" s="381">
        <f t="shared" ca="1" si="18"/>
        <v>0</v>
      </c>
      <c r="O164" s="127">
        <f ca="1">IF($A164="S",VTOTALBM,IF($A164=0,0,ROUND(SomaAgrupBM,15-13*ORÇAMENTO!$AF$11)))</f>
        <v>0</v>
      </c>
      <c r="Q164" s="382"/>
      <c r="R164" s="383"/>
      <c r="T164" s="119" t="str">
        <f t="shared" ca="1" si="19"/>
        <v/>
      </c>
      <c r="U164" s="172" t="str">
        <f t="shared" ca="1" si="20"/>
        <v/>
      </c>
      <c r="V164" s="173" t="str">
        <f ca="1">IF(AND($W164&gt;0,RegimeExecucao="Unitário"),$F164,"")</f>
        <v/>
      </c>
      <c r="W164" s="547">
        <f ca="1">IF($Y164&gt;0,CHOOSE(MATCH(RegimeExecucao,{"Unitário","Global"},0),IF($A164="S",$Y164/$X164,""),($Y164/$X164)*100),0)</f>
        <v>0</v>
      </c>
      <c r="X164" s="384" t="str">
        <f ca="1">IF($Y164&gt;0,CHOOSE(MATCH(RegimeExecucao,{"Unitário","Global"},0),IF($A164="S",ROUND($H164,ORÇAMENTO!$AF$10),""),ROUND($I164,ORÇAMENTO!$AF$11)),"")</f>
        <v/>
      </c>
      <c r="Y164" s="384">
        <f t="shared" ca="1" si="21"/>
        <v>0</v>
      </c>
      <c r="Z164" s="572"/>
      <c r="AB164" s="382"/>
      <c r="AC164" s="516"/>
      <c r="AD164" s="516"/>
      <c r="AE164" s="516"/>
      <c r="AF164" s="516"/>
      <c r="AG164" s="516"/>
      <c r="AH164" s="516"/>
      <c r="AI164" s="516"/>
      <c r="AJ164" s="516"/>
      <c r="AK164" s="516"/>
      <c r="AL164" s="516"/>
      <c r="AM164" s="383"/>
      <c r="AO164">
        <f ca="1">IF($A164="S",IF(BM!$I164=0,0,CHOOSE(MATCH(RegimeExecucao,{"Global","Unitário"},0),ROUND(ROUND(BM.MEDAcumulado,15-13*BM!$A$9)/100*BM!$I164,15-13*ORÇAMENTO!$AF$11),ROUND(ROUND(BM.MEDAcumulado,15-13*BM!$A$9)*ROUND(BM!$H164,15-13*ORÇAMENTO!$AF$10),15-13*ORÇAMENTO!$AF$11))),IF($A164=0,0,ROUND(SomaAgrupBM,15-13*ORÇAMENTO!$AF$11)))</f>
        <v>0</v>
      </c>
    </row>
    <row r="165" spans="1:41" x14ac:dyDescent="0.2">
      <c r="A165">
        <f ca="1">ORÇAMENTO!C165</f>
        <v>3</v>
      </c>
      <c r="B165">
        <f ca="1">ORÇAMENTO!D165</f>
        <v>12</v>
      </c>
      <c r="C165" s="116" t="str">
        <f t="shared" ca="1" si="15"/>
        <v>F</v>
      </c>
      <c r="D165" s="119" t="str">
        <f ca="1">ORÇAMENTO!O165</f>
        <v>1.6.6.</v>
      </c>
      <c r="E165" s="172" t="str">
        <f t="shared" ca="1" si="16"/>
        <v>ESQUADRIA GERAL</v>
      </c>
      <c r="F165" s="173" t="str">
        <f ca="1">IF(RegimeExecucao="Global","",ORÇAMENTO.Unidade)</f>
        <v>-</v>
      </c>
      <c r="G165" s="124">
        <f ca="1">IF(RegimeExecucao="Global","",ORÇAMENTO!T165)</f>
        <v>0</v>
      </c>
      <c r="H165" s="124">
        <f ca="1">IF(RegimeExecucao="Global","",ORÇAMENTO!W165)</f>
        <v>0</v>
      </c>
      <c r="I165" s="127">
        <f ca="1">ORÇAMENTO!X165</f>
        <v>0</v>
      </c>
      <c r="J165" s="378">
        <f ca="1">IF($A165="S",IF(CAIXA.Modo,BM.AFAnterior,BM.MEDAnterior),IF(AND(RegimeExecucao="Global",$I165&gt;0,COUNTIF($AB$13:$AM$13,BM.medicao-1)&gt;0),M165/$I165*100,0))</f>
        <v>0</v>
      </c>
      <c r="K165" s="124">
        <f t="shared" ca="1" si="17"/>
        <v>0</v>
      </c>
      <c r="L165" s="379">
        <f ca="1">IF($A165="S",IF(CAIXA.Modo,BM.AFAcumulado,BM.MEDAcumulado),IF(AND(RegimeExecucao="Global",$I165&gt;0,COUNTIF($AB$13:$AM$13,BM.medicao)&gt;0),O165/$I165*100,0))</f>
        <v>0</v>
      </c>
      <c r="M165" s="380">
        <f ca="1">IF($A165="S",VTOTALBM,IF($A165=0,0,ROUND(SomaAgrupBM,15-13*ORÇAMENTO!$AF$11)))</f>
        <v>0</v>
      </c>
      <c r="N165" s="381">
        <f t="shared" ca="1" si="18"/>
        <v>0</v>
      </c>
      <c r="O165" s="127">
        <f ca="1">IF($A165="S",VTOTALBM,IF($A165=0,0,ROUND(SomaAgrupBM,15-13*ORÇAMENTO!$AF$11)))</f>
        <v>0</v>
      </c>
      <c r="Q165" s="382"/>
      <c r="R165" s="383"/>
      <c r="T165" s="119" t="str">
        <f t="shared" ca="1" si="19"/>
        <v/>
      </c>
      <c r="U165" s="172" t="str">
        <f t="shared" ca="1" si="20"/>
        <v/>
      </c>
      <c r="V165" s="173" t="str">
        <f ca="1">IF(AND($W165&gt;0,RegimeExecucao="Unitário"),$F165,"")</f>
        <v/>
      </c>
      <c r="W165" s="547">
        <f ca="1">IF($Y165&gt;0,CHOOSE(MATCH(RegimeExecucao,{"Unitário","Global"},0),IF($A165="S",$Y165/$X165,""),($Y165/$X165)*100),0)</f>
        <v>0</v>
      </c>
      <c r="X165" s="384" t="str">
        <f ca="1">IF($Y165&gt;0,CHOOSE(MATCH(RegimeExecucao,{"Unitário","Global"},0),IF($A165="S",ROUND($H165,ORÇAMENTO!$AF$10),""),ROUND($I165,ORÇAMENTO!$AF$11)),"")</f>
        <v/>
      </c>
      <c r="Y165" s="384">
        <f t="shared" ca="1" si="21"/>
        <v>0</v>
      </c>
      <c r="Z165" s="572"/>
      <c r="AB165" s="382"/>
      <c r="AC165" s="516"/>
      <c r="AD165" s="516"/>
      <c r="AE165" s="516"/>
      <c r="AF165" s="516"/>
      <c r="AG165" s="516"/>
      <c r="AH165" s="516"/>
      <c r="AI165" s="516"/>
      <c r="AJ165" s="516"/>
      <c r="AK165" s="516"/>
      <c r="AL165" s="516"/>
      <c r="AM165" s="383"/>
      <c r="AO165">
        <f ca="1">IF($A165="S",IF(BM!$I165=0,0,CHOOSE(MATCH(RegimeExecucao,{"Global","Unitário"},0),ROUND(ROUND(BM.MEDAcumulado,15-13*BM!$A$9)/100*BM!$I165,15-13*ORÇAMENTO!$AF$11),ROUND(ROUND(BM.MEDAcumulado,15-13*BM!$A$9)*ROUND(BM!$H165,15-13*ORÇAMENTO!$AF$10),15-13*ORÇAMENTO!$AF$11))),IF($A165=0,0,ROUND(SomaAgrupBM,15-13*ORÇAMENTO!$AF$11)))</f>
        <v>0</v>
      </c>
    </row>
    <row r="166" spans="1:41" ht="38.25" x14ac:dyDescent="0.2">
      <c r="A166" t="str">
        <f ca="1">ORÇAMENTO!C166</f>
        <v>S</v>
      </c>
      <c r="B166">
        <f ca="1">ORÇAMENTO!D166</f>
        <v>0</v>
      </c>
      <c r="C166" s="116" t="str">
        <f t="shared" ca="1" si="15"/>
        <v/>
      </c>
      <c r="D166" s="119" t="str">
        <f ca="1">ORÇAMENTO!O166</f>
        <v>-</v>
      </c>
      <c r="E166" s="172" t="str">
        <f t="shared" ca="1" si="16"/>
        <v>(abra o arquivo 'Referência 02-2025.xlsm)</v>
      </c>
      <c r="F166" s="173" t="str">
        <f ca="1">IF(RegimeExecucao="Global","",ORÇAMENTO.Unidade)</f>
        <v>-</v>
      </c>
      <c r="G166" s="124">
        <f ca="1">IF(RegimeExecucao="Global","",ORÇAMENTO!T166)</f>
        <v>3.08</v>
      </c>
      <c r="H166" s="124">
        <f ca="1">IF(RegimeExecucao="Global","",ORÇAMENTO!W166)</f>
        <v>0</v>
      </c>
      <c r="I166" s="127">
        <f ca="1">ORÇAMENTO!X166</f>
        <v>0</v>
      </c>
      <c r="J166" s="378">
        <f ca="1">IF($A166="S",IF(CAIXA.Modo,BM.AFAnterior,BM.MEDAnterior),IF(AND(RegimeExecucao="Global",$I166&gt;0,COUNTIF($AB$13:$AM$13,BM.medicao-1)&gt;0),M166/$I166*100,0))</f>
        <v>0</v>
      </c>
      <c r="K166" s="124">
        <f t="shared" ca="1" si="17"/>
        <v>0</v>
      </c>
      <c r="L166" s="379">
        <f ca="1">IF($A166="S",IF(CAIXA.Modo,BM.AFAcumulado,BM.MEDAcumulado),IF(AND(RegimeExecucao="Global",$I166&gt;0,COUNTIF($AB$13:$AM$13,BM.medicao)&gt;0),O166/$I166*100,0))</f>
        <v>0</v>
      </c>
      <c r="M166" s="380">
        <f ca="1">IF($A166="S",VTOTALBM,IF($A166=0,0,ROUND(SomaAgrupBM,15-13*ORÇAMENTO!$AF$11)))</f>
        <v>0</v>
      </c>
      <c r="N166" s="381">
        <f t="shared" ca="1" si="18"/>
        <v>0</v>
      </c>
      <c r="O166" s="127">
        <f ca="1">IF($A166="S",VTOTALBM,IF($A166=0,0,ROUND(SomaAgrupBM,15-13*ORÇAMENTO!$AF$11)))</f>
        <v>0</v>
      </c>
      <c r="Q166" s="382"/>
      <c r="R166" s="383"/>
      <c r="T166" s="119" t="str">
        <f t="shared" ca="1" si="19"/>
        <v/>
      </c>
      <c r="U166" s="172" t="str">
        <f t="shared" ca="1" si="20"/>
        <v/>
      </c>
      <c r="V166" s="173" t="str">
        <f ca="1">IF(AND($W166&gt;0,RegimeExecucao="Unitário"),$F166,"")</f>
        <v/>
      </c>
      <c r="W166" s="547">
        <f ca="1">IF($Y166&gt;0,CHOOSE(MATCH(RegimeExecucao,{"Unitário","Global"},0),IF($A166="S",$Y166/$X166,""),($Y166/$X166)*100),0)</f>
        <v>0</v>
      </c>
      <c r="X166" s="384" t="str">
        <f ca="1">IF($Y166&gt;0,CHOOSE(MATCH(RegimeExecucao,{"Unitário","Global"},0),IF($A166="S",ROUND($H166,ORÇAMENTO!$AF$10),""),ROUND($I166,ORÇAMENTO!$AF$11)),"")</f>
        <v/>
      </c>
      <c r="Y166" s="384">
        <f t="shared" ca="1" si="21"/>
        <v>0</v>
      </c>
      <c r="Z166" s="572"/>
      <c r="AB166" s="382"/>
      <c r="AC166" s="516"/>
      <c r="AD166" s="516"/>
      <c r="AE166" s="516"/>
      <c r="AF166" s="516"/>
      <c r="AG166" s="516"/>
      <c r="AH166" s="516"/>
      <c r="AI166" s="516"/>
      <c r="AJ166" s="516"/>
      <c r="AK166" s="516"/>
      <c r="AL166" s="516"/>
      <c r="AM166" s="383"/>
      <c r="AO166">
        <f ca="1">IF($A166="S",IF(BM!$I166=0,0,CHOOSE(MATCH(RegimeExecucao,{"Global","Unitário"},0),ROUND(ROUND(BM.MEDAcumulado,15-13*BM!$A$9)/100*BM!$I166,15-13*ORÇAMENTO!$AF$11),ROUND(ROUND(BM.MEDAcumulado,15-13*BM!$A$9)*ROUND(BM!$H166,15-13*ORÇAMENTO!$AF$10),15-13*ORÇAMENTO!$AF$11))),IF($A166=0,0,ROUND(SomaAgrupBM,15-13*ORÇAMENTO!$AF$11)))</f>
        <v>0</v>
      </c>
    </row>
    <row r="167" spans="1:41" ht="38.25" x14ac:dyDescent="0.2">
      <c r="A167" t="str">
        <f ca="1">ORÇAMENTO!C167</f>
        <v>S</v>
      </c>
      <c r="B167">
        <f ca="1">ORÇAMENTO!D167</f>
        <v>0</v>
      </c>
      <c r="C167" s="116" t="str">
        <f t="shared" ca="1" si="15"/>
        <v/>
      </c>
      <c r="D167" s="119" t="str">
        <f ca="1">ORÇAMENTO!O167</f>
        <v>-</v>
      </c>
      <c r="E167" s="172" t="str">
        <f t="shared" ca="1" si="16"/>
        <v>(abra o arquivo 'Referência 02-2025.xlsm)</v>
      </c>
      <c r="F167" s="173" t="str">
        <f ca="1">IF(RegimeExecucao="Global","",ORÇAMENTO.Unidade)</f>
        <v>-</v>
      </c>
      <c r="G167" s="124">
        <f ca="1">IF(RegimeExecucao="Global","",ORÇAMENTO!T167)</f>
        <v>7.35</v>
      </c>
      <c r="H167" s="124">
        <f ca="1">IF(RegimeExecucao="Global","",ORÇAMENTO!W167)</f>
        <v>0</v>
      </c>
      <c r="I167" s="127">
        <f ca="1">ORÇAMENTO!X167</f>
        <v>0</v>
      </c>
      <c r="J167" s="378">
        <f ca="1">IF($A167="S",IF(CAIXA.Modo,BM.AFAnterior,BM.MEDAnterior),IF(AND(RegimeExecucao="Global",$I167&gt;0,COUNTIF($AB$13:$AM$13,BM.medicao-1)&gt;0),M167/$I167*100,0))</f>
        <v>0</v>
      </c>
      <c r="K167" s="124">
        <f t="shared" ca="1" si="17"/>
        <v>0</v>
      </c>
      <c r="L167" s="379">
        <f ca="1">IF($A167="S",IF(CAIXA.Modo,BM.AFAcumulado,BM.MEDAcumulado),IF(AND(RegimeExecucao="Global",$I167&gt;0,COUNTIF($AB$13:$AM$13,BM.medicao)&gt;0),O167/$I167*100,0))</f>
        <v>0</v>
      </c>
      <c r="M167" s="380">
        <f ca="1">IF($A167="S",VTOTALBM,IF($A167=0,0,ROUND(SomaAgrupBM,15-13*ORÇAMENTO!$AF$11)))</f>
        <v>0</v>
      </c>
      <c r="N167" s="381">
        <f t="shared" ca="1" si="18"/>
        <v>0</v>
      </c>
      <c r="O167" s="127">
        <f ca="1">IF($A167="S",VTOTALBM,IF($A167=0,0,ROUND(SomaAgrupBM,15-13*ORÇAMENTO!$AF$11)))</f>
        <v>0</v>
      </c>
      <c r="Q167" s="382"/>
      <c r="R167" s="383"/>
      <c r="T167" s="119" t="str">
        <f t="shared" ca="1" si="19"/>
        <v/>
      </c>
      <c r="U167" s="172" t="str">
        <f t="shared" ca="1" si="20"/>
        <v/>
      </c>
      <c r="V167" s="173" t="str">
        <f ca="1">IF(AND($W167&gt;0,RegimeExecucao="Unitário"),$F167,"")</f>
        <v/>
      </c>
      <c r="W167" s="547">
        <f ca="1">IF($Y167&gt;0,CHOOSE(MATCH(RegimeExecucao,{"Unitário","Global"},0),IF($A167="S",$Y167/$X167,""),($Y167/$X167)*100),0)</f>
        <v>0</v>
      </c>
      <c r="X167" s="384" t="str">
        <f ca="1">IF($Y167&gt;0,CHOOSE(MATCH(RegimeExecucao,{"Unitário","Global"},0),IF($A167="S",ROUND($H167,ORÇAMENTO!$AF$10),""),ROUND($I167,ORÇAMENTO!$AF$11)),"")</f>
        <v/>
      </c>
      <c r="Y167" s="384">
        <f t="shared" ca="1" si="21"/>
        <v>0</v>
      </c>
      <c r="Z167" s="572"/>
      <c r="AB167" s="382"/>
      <c r="AC167" s="516"/>
      <c r="AD167" s="516"/>
      <c r="AE167" s="516"/>
      <c r="AF167" s="516"/>
      <c r="AG167" s="516"/>
      <c r="AH167" s="516"/>
      <c r="AI167" s="516"/>
      <c r="AJ167" s="516"/>
      <c r="AK167" s="516"/>
      <c r="AL167" s="516"/>
      <c r="AM167" s="383"/>
      <c r="AO167">
        <f ca="1">IF($A167="S",IF(BM!$I167=0,0,CHOOSE(MATCH(RegimeExecucao,{"Global","Unitário"},0),ROUND(ROUND(BM.MEDAcumulado,15-13*BM!$A$9)/100*BM!$I167,15-13*ORÇAMENTO!$AF$11),ROUND(ROUND(BM.MEDAcumulado,15-13*BM!$A$9)*ROUND(BM!$H167,15-13*ORÇAMENTO!$AF$10),15-13*ORÇAMENTO!$AF$11))),IF($A167=0,0,ROUND(SomaAgrupBM,15-13*ORÇAMENTO!$AF$11)))</f>
        <v>0</v>
      </c>
    </row>
    <row r="168" spans="1:41" ht="25.5" x14ac:dyDescent="0.2">
      <c r="A168" t="str">
        <f ca="1">ORÇAMENTO!C168</f>
        <v>S</v>
      </c>
      <c r="B168">
        <f ca="1">ORÇAMENTO!D168</f>
        <v>0</v>
      </c>
      <c r="C168" s="116" t="str">
        <f t="shared" ca="1" si="15"/>
        <v/>
      </c>
      <c r="D168" s="119" t="str">
        <f ca="1">ORÇAMENTO!O168</f>
        <v>-</v>
      </c>
      <c r="E168" s="172" t="str">
        <f t="shared" ca="1" si="16"/>
        <v>(abra o arquivo 'Referência 02-2025.xlsm)</v>
      </c>
      <c r="F168" s="173" t="str">
        <f ca="1">IF(RegimeExecucao="Global","",ORÇAMENTO.Unidade)</f>
        <v>-</v>
      </c>
      <c r="G168" s="124">
        <f ca="1">IF(RegimeExecucao="Global","",ORÇAMENTO!T168)</f>
        <v>72.819999999999993</v>
      </c>
      <c r="H168" s="124">
        <f ca="1">IF(RegimeExecucao="Global","",ORÇAMENTO!W168)</f>
        <v>0</v>
      </c>
      <c r="I168" s="127">
        <f ca="1">ORÇAMENTO!X168</f>
        <v>0</v>
      </c>
      <c r="J168" s="378">
        <f ca="1">IF($A168="S",IF(CAIXA.Modo,BM.AFAnterior,BM.MEDAnterior),IF(AND(RegimeExecucao="Global",$I168&gt;0,COUNTIF($AB$13:$AM$13,BM.medicao-1)&gt;0),M168/$I168*100,0))</f>
        <v>0</v>
      </c>
      <c r="K168" s="124">
        <f t="shared" ca="1" si="17"/>
        <v>0</v>
      </c>
      <c r="L168" s="379">
        <f ca="1">IF($A168="S",IF(CAIXA.Modo,BM.AFAcumulado,BM.MEDAcumulado),IF(AND(RegimeExecucao="Global",$I168&gt;0,COUNTIF($AB$13:$AM$13,BM.medicao)&gt;0),O168/$I168*100,0))</f>
        <v>0</v>
      </c>
      <c r="M168" s="380">
        <f ca="1">IF($A168="S",VTOTALBM,IF($A168=0,0,ROUND(SomaAgrupBM,15-13*ORÇAMENTO!$AF$11)))</f>
        <v>0</v>
      </c>
      <c r="N168" s="381">
        <f t="shared" ca="1" si="18"/>
        <v>0</v>
      </c>
      <c r="O168" s="127">
        <f ca="1">IF($A168="S",VTOTALBM,IF($A168=0,0,ROUND(SomaAgrupBM,15-13*ORÇAMENTO!$AF$11)))</f>
        <v>0</v>
      </c>
      <c r="Q168" s="382"/>
      <c r="R168" s="383"/>
      <c r="T168" s="119" t="str">
        <f t="shared" ca="1" si="19"/>
        <v/>
      </c>
      <c r="U168" s="172" t="str">
        <f t="shared" ca="1" si="20"/>
        <v/>
      </c>
      <c r="V168" s="173" t="str">
        <f ca="1">IF(AND($W168&gt;0,RegimeExecucao="Unitário"),$F168,"")</f>
        <v/>
      </c>
      <c r="W168" s="547">
        <f ca="1">IF($Y168&gt;0,CHOOSE(MATCH(RegimeExecucao,{"Unitário","Global"},0),IF($A168="S",$Y168/$X168,""),($Y168/$X168)*100),0)</f>
        <v>0</v>
      </c>
      <c r="X168" s="384" t="str">
        <f ca="1">IF($Y168&gt;0,CHOOSE(MATCH(RegimeExecucao,{"Unitário","Global"},0),IF($A168="S",ROUND($H168,ORÇAMENTO!$AF$10),""),ROUND($I168,ORÇAMENTO!$AF$11)),"")</f>
        <v/>
      </c>
      <c r="Y168" s="384">
        <f t="shared" ca="1" si="21"/>
        <v>0</v>
      </c>
      <c r="Z168" s="572"/>
      <c r="AB168" s="382"/>
      <c r="AC168" s="516"/>
      <c r="AD168" s="516"/>
      <c r="AE168" s="516"/>
      <c r="AF168" s="516"/>
      <c r="AG168" s="516"/>
      <c r="AH168" s="516"/>
      <c r="AI168" s="516"/>
      <c r="AJ168" s="516"/>
      <c r="AK168" s="516"/>
      <c r="AL168" s="516"/>
      <c r="AM168" s="383"/>
      <c r="AO168">
        <f ca="1">IF($A168="S",IF(BM!$I168=0,0,CHOOSE(MATCH(RegimeExecucao,{"Global","Unitário"},0),ROUND(ROUND(BM.MEDAcumulado,15-13*BM!$A$9)/100*BM!$I168,15-13*ORÇAMENTO!$AF$11),ROUND(ROUND(BM.MEDAcumulado,15-13*BM!$A$9)*ROUND(BM!$H168,15-13*ORÇAMENTO!$AF$10),15-13*ORÇAMENTO!$AF$11))),IF($A168=0,0,ROUND(SomaAgrupBM,15-13*ORÇAMENTO!$AF$11)))</f>
        <v>0</v>
      </c>
    </row>
    <row r="169" spans="1:41" ht="25.5" x14ac:dyDescent="0.2">
      <c r="A169" t="str">
        <f ca="1">ORÇAMENTO!C169</f>
        <v>S</v>
      </c>
      <c r="B169">
        <f ca="1">ORÇAMENTO!D169</f>
        <v>0</v>
      </c>
      <c r="C169" s="116" t="str">
        <f t="shared" ca="1" si="15"/>
        <v/>
      </c>
      <c r="D169" s="119" t="str">
        <f ca="1">ORÇAMENTO!O169</f>
        <v>-</v>
      </c>
      <c r="E169" s="172" t="str">
        <f t="shared" ca="1" si="16"/>
        <v>(abra o arquivo 'Referência 02-2025.xlsm)</v>
      </c>
      <c r="F169" s="173" t="str">
        <f ca="1">IF(RegimeExecucao="Global","",ORÇAMENTO.Unidade)</f>
        <v>-</v>
      </c>
      <c r="G169" s="124">
        <f ca="1">IF(RegimeExecucao="Global","",ORÇAMENTO!T169)</f>
        <v>50.85</v>
      </c>
      <c r="H169" s="124">
        <f ca="1">IF(RegimeExecucao="Global","",ORÇAMENTO!W169)</f>
        <v>0</v>
      </c>
      <c r="I169" s="127">
        <f ca="1">ORÇAMENTO!X169</f>
        <v>0</v>
      </c>
      <c r="J169" s="378">
        <f ca="1">IF($A169="S",IF(CAIXA.Modo,BM.AFAnterior,BM.MEDAnterior),IF(AND(RegimeExecucao="Global",$I169&gt;0,COUNTIF($AB$13:$AM$13,BM.medicao-1)&gt;0),M169/$I169*100,0))</f>
        <v>0</v>
      </c>
      <c r="K169" s="124">
        <f t="shared" ca="1" si="17"/>
        <v>0</v>
      </c>
      <c r="L169" s="379">
        <f ca="1">IF($A169="S",IF(CAIXA.Modo,BM.AFAcumulado,BM.MEDAcumulado),IF(AND(RegimeExecucao="Global",$I169&gt;0,COUNTIF($AB$13:$AM$13,BM.medicao)&gt;0),O169/$I169*100,0))</f>
        <v>0</v>
      </c>
      <c r="M169" s="380">
        <f ca="1">IF($A169="S",VTOTALBM,IF($A169=0,0,ROUND(SomaAgrupBM,15-13*ORÇAMENTO!$AF$11)))</f>
        <v>0</v>
      </c>
      <c r="N169" s="381">
        <f t="shared" ca="1" si="18"/>
        <v>0</v>
      </c>
      <c r="O169" s="127">
        <f ca="1">IF($A169="S",VTOTALBM,IF($A169=0,0,ROUND(SomaAgrupBM,15-13*ORÇAMENTO!$AF$11)))</f>
        <v>0</v>
      </c>
      <c r="Q169" s="382"/>
      <c r="R169" s="383"/>
      <c r="T169" s="119" t="str">
        <f t="shared" ca="1" si="19"/>
        <v/>
      </c>
      <c r="U169" s="172" t="str">
        <f t="shared" ca="1" si="20"/>
        <v/>
      </c>
      <c r="V169" s="173" t="str">
        <f ca="1">IF(AND($W169&gt;0,RegimeExecucao="Unitário"),$F169,"")</f>
        <v/>
      </c>
      <c r="W169" s="547">
        <f ca="1">IF($Y169&gt;0,CHOOSE(MATCH(RegimeExecucao,{"Unitário","Global"},0),IF($A169="S",$Y169/$X169,""),($Y169/$X169)*100),0)</f>
        <v>0</v>
      </c>
      <c r="X169" s="384" t="str">
        <f ca="1">IF($Y169&gt;0,CHOOSE(MATCH(RegimeExecucao,{"Unitário","Global"},0),IF($A169="S",ROUND($H169,ORÇAMENTO!$AF$10),""),ROUND($I169,ORÇAMENTO!$AF$11)),"")</f>
        <v/>
      </c>
      <c r="Y169" s="384">
        <f t="shared" ca="1" si="21"/>
        <v>0</v>
      </c>
      <c r="Z169" s="572"/>
      <c r="AB169" s="382"/>
      <c r="AC169" s="516"/>
      <c r="AD169" s="516"/>
      <c r="AE169" s="516"/>
      <c r="AF169" s="516"/>
      <c r="AG169" s="516"/>
      <c r="AH169" s="516"/>
      <c r="AI169" s="516"/>
      <c r="AJ169" s="516"/>
      <c r="AK169" s="516"/>
      <c r="AL169" s="516"/>
      <c r="AM169" s="383"/>
      <c r="AO169">
        <f ca="1">IF($A169="S",IF(BM!$I169=0,0,CHOOSE(MATCH(RegimeExecucao,{"Global","Unitário"},0),ROUND(ROUND(BM.MEDAcumulado,15-13*BM!$A$9)/100*BM!$I169,15-13*ORÇAMENTO!$AF$11),ROUND(ROUND(BM.MEDAcumulado,15-13*BM!$A$9)*ROUND(BM!$H169,15-13*ORÇAMENTO!$AF$10),15-13*ORÇAMENTO!$AF$11))),IF($A169=0,0,ROUND(SomaAgrupBM,15-13*ORÇAMENTO!$AF$11)))</f>
        <v>0</v>
      </c>
    </row>
    <row r="170" spans="1:41" ht="25.5" x14ac:dyDescent="0.2">
      <c r="A170" t="str">
        <f ca="1">ORÇAMENTO!C170</f>
        <v>S</v>
      </c>
      <c r="B170">
        <f ca="1">ORÇAMENTO!D170</f>
        <v>0</v>
      </c>
      <c r="C170" s="116" t="str">
        <f t="shared" ca="1" si="15"/>
        <v/>
      </c>
      <c r="D170" s="119" t="str">
        <f ca="1">ORÇAMENTO!O170</f>
        <v>-</v>
      </c>
      <c r="E170" s="172" t="str">
        <f t="shared" ca="1" si="16"/>
        <v>(abra o arquivo 'Referência 02-2025.xlsm)</v>
      </c>
      <c r="F170" s="173" t="str">
        <f ca="1">IF(RegimeExecucao="Global","",ORÇAMENTO.Unidade)</f>
        <v>-</v>
      </c>
      <c r="G170" s="124">
        <f ca="1">IF(RegimeExecucao="Global","",ORÇAMENTO!T170)</f>
        <v>33.96</v>
      </c>
      <c r="H170" s="124">
        <f ca="1">IF(RegimeExecucao="Global","",ORÇAMENTO!W170)</f>
        <v>0</v>
      </c>
      <c r="I170" s="127">
        <f ca="1">ORÇAMENTO!X170</f>
        <v>0</v>
      </c>
      <c r="J170" s="378">
        <f ca="1">IF($A170="S",IF(CAIXA.Modo,BM.AFAnterior,BM.MEDAnterior),IF(AND(RegimeExecucao="Global",$I170&gt;0,COUNTIF($AB$13:$AM$13,BM.medicao-1)&gt;0),M170/$I170*100,0))</f>
        <v>0</v>
      </c>
      <c r="K170" s="124">
        <f t="shared" ca="1" si="17"/>
        <v>0</v>
      </c>
      <c r="L170" s="379">
        <f ca="1">IF($A170="S",IF(CAIXA.Modo,BM.AFAcumulado,BM.MEDAcumulado),IF(AND(RegimeExecucao="Global",$I170&gt;0,COUNTIF($AB$13:$AM$13,BM.medicao)&gt;0),O170/$I170*100,0))</f>
        <v>0</v>
      </c>
      <c r="M170" s="380">
        <f ca="1">IF($A170="S",VTOTALBM,IF($A170=0,0,ROUND(SomaAgrupBM,15-13*ORÇAMENTO!$AF$11)))</f>
        <v>0</v>
      </c>
      <c r="N170" s="381">
        <f t="shared" ca="1" si="18"/>
        <v>0</v>
      </c>
      <c r="O170" s="127">
        <f ca="1">IF($A170="S",VTOTALBM,IF($A170=0,0,ROUND(SomaAgrupBM,15-13*ORÇAMENTO!$AF$11)))</f>
        <v>0</v>
      </c>
      <c r="Q170" s="382"/>
      <c r="R170" s="383"/>
      <c r="T170" s="119" t="str">
        <f t="shared" ca="1" si="19"/>
        <v/>
      </c>
      <c r="U170" s="172" t="str">
        <f t="shared" ca="1" si="20"/>
        <v/>
      </c>
      <c r="V170" s="173" t="str">
        <f ca="1">IF(AND($W170&gt;0,RegimeExecucao="Unitário"),$F170,"")</f>
        <v/>
      </c>
      <c r="W170" s="547">
        <f ca="1">IF($Y170&gt;0,CHOOSE(MATCH(RegimeExecucao,{"Unitário","Global"},0),IF($A170="S",$Y170/$X170,""),($Y170/$X170)*100),0)</f>
        <v>0</v>
      </c>
      <c r="X170" s="384" t="str">
        <f ca="1">IF($Y170&gt;0,CHOOSE(MATCH(RegimeExecucao,{"Unitário","Global"},0),IF($A170="S",ROUND($H170,ORÇAMENTO!$AF$10),""),ROUND($I170,ORÇAMENTO!$AF$11)),"")</f>
        <v/>
      </c>
      <c r="Y170" s="384">
        <f t="shared" ca="1" si="21"/>
        <v>0</v>
      </c>
      <c r="Z170" s="572"/>
      <c r="AB170" s="382"/>
      <c r="AC170" s="516"/>
      <c r="AD170" s="516"/>
      <c r="AE170" s="516"/>
      <c r="AF170" s="516"/>
      <c r="AG170" s="516"/>
      <c r="AH170" s="516"/>
      <c r="AI170" s="516"/>
      <c r="AJ170" s="516"/>
      <c r="AK170" s="516"/>
      <c r="AL170" s="516"/>
      <c r="AM170" s="383"/>
      <c r="AO170">
        <f ca="1">IF($A170="S",IF(BM!$I170=0,0,CHOOSE(MATCH(RegimeExecucao,{"Global","Unitário"},0),ROUND(ROUND(BM.MEDAcumulado,15-13*BM!$A$9)/100*BM!$I170,15-13*ORÇAMENTO!$AF$11),ROUND(ROUND(BM.MEDAcumulado,15-13*BM!$A$9)*ROUND(BM!$H170,15-13*ORÇAMENTO!$AF$10),15-13*ORÇAMENTO!$AF$11))),IF($A170=0,0,ROUND(SomaAgrupBM,15-13*ORÇAMENTO!$AF$11)))</f>
        <v>0</v>
      </c>
    </row>
    <row r="171" spans="1:41" x14ac:dyDescent="0.2">
      <c r="A171" t="str">
        <f ca="1">ORÇAMENTO!C171</f>
        <v>S</v>
      </c>
      <c r="B171">
        <f ca="1">ORÇAMENTO!D171</f>
        <v>0</v>
      </c>
      <c r="C171" s="116" t="str">
        <f t="shared" ca="1" si="15"/>
        <v/>
      </c>
      <c r="D171" s="119" t="str">
        <f ca="1">ORÇAMENTO!O171</f>
        <v>-</v>
      </c>
      <c r="E171" s="172" t="str">
        <f t="shared" ca="1" si="16"/>
        <v>(abra o arquivo 'Referência 02-2025.xlsm)</v>
      </c>
      <c r="F171" s="173" t="str">
        <f ca="1">IF(RegimeExecucao="Global","",ORÇAMENTO.Unidade)</f>
        <v>-</v>
      </c>
      <c r="G171" s="124">
        <f ca="1">IF(RegimeExecucao="Global","",ORÇAMENTO!T171)</f>
        <v>81.3</v>
      </c>
      <c r="H171" s="124">
        <f ca="1">IF(RegimeExecucao="Global","",ORÇAMENTO!W171)</f>
        <v>0</v>
      </c>
      <c r="I171" s="127">
        <f ca="1">ORÇAMENTO!X171</f>
        <v>0</v>
      </c>
      <c r="J171" s="378">
        <f ca="1">IF($A171="S",IF(CAIXA.Modo,BM.AFAnterior,BM.MEDAnterior),IF(AND(RegimeExecucao="Global",$I171&gt;0,COUNTIF($AB$13:$AM$13,BM.medicao-1)&gt;0),M171/$I171*100,0))</f>
        <v>0</v>
      </c>
      <c r="K171" s="124">
        <f t="shared" ca="1" si="17"/>
        <v>0</v>
      </c>
      <c r="L171" s="379">
        <f ca="1">IF($A171="S",IF(CAIXA.Modo,BM.AFAcumulado,BM.MEDAcumulado),IF(AND(RegimeExecucao="Global",$I171&gt;0,COUNTIF($AB$13:$AM$13,BM.medicao)&gt;0),O171/$I171*100,0))</f>
        <v>0</v>
      </c>
      <c r="M171" s="380">
        <f ca="1">IF($A171="S",VTOTALBM,IF($A171=0,0,ROUND(SomaAgrupBM,15-13*ORÇAMENTO!$AF$11)))</f>
        <v>0</v>
      </c>
      <c r="N171" s="381">
        <f t="shared" ca="1" si="18"/>
        <v>0</v>
      </c>
      <c r="O171" s="127">
        <f ca="1">IF($A171="S",VTOTALBM,IF($A171=0,0,ROUND(SomaAgrupBM,15-13*ORÇAMENTO!$AF$11)))</f>
        <v>0</v>
      </c>
      <c r="Q171" s="382"/>
      <c r="R171" s="383"/>
      <c r="T171" s="119" t="str">
        <f t="shared" ca="1" si="19"/>
        <v/>
      </c>
      <c r="U171" s="172" t="str">
        <f t="shared" ca="1" si="20"/>
        <v/>
      </c>
      <c r="V171" s="173" t="str">
        <f ca="1">IF(AND($W171&gt;0,RegimeExecucao="Unitário"),$F171,"")</f>
        <v/>
      </c>
      <c r="W171" s="547">
        <f ca="1">IF($Y171&gt;0,CHOOSE(MATCH(RegimeExecucao,{"Unitário","Global"},0),IF($A171="S",$Y171/$X171,""),($Y171/$X171)*100),0)</f>
        <v>0</v>
      </c>
      <c r="X171" s="384" t="str">
        <f ca="1">IF($Y171&gt;0,CHOOSE(MATCH(RegimeExecucao,{"Unitário","Global"},0),IF($A171="S",ROUND($H171,ORÇAMENTO!$AF$10),""),ROUND($I171,ORÇAMENTO!$AF$11)),"")</f>
        <v/>
      </c>
      <c r="Y171" s="384">
        <f t="shared" ca="1" si="21"/>
        <v>0</v>
      </c>
      <c r="Z171" s="572"/>
      <c r="AB171" s="382"/>
      <c r="AC171" s="516"/>
      <c r="AD171" s="516"/>
      <c r="AE171" s="516"/>
      <c r="AF171" s="516"/>
      <c r="AG171" s="516"/>
      <c r="AH171" s="516"/>
      <c r="AI171" s="516"/>
      <c r="AJ171" s="516"/>
      <c r="AK171" s="516"/>
      <c r="AL171" s="516"/>
      <c r="AM171" s="383"/>
      <c r="AO171">
        <f ca="1">IF($A171="S",IF(BM!$I171=0,0,CHOOSE(MATCH(RegimeExecucao,{"Global","Unitário"},0),ROUND(ROUND(BM.MEDAcumulado,15-13*BM!$A$9)/100*BM!$I171,15-13*ORÇAMENTO!$AF$11),ROUND(ROUND(BM.MEDAcumulado,15-13*BM!$A$9)*ROUND(BM!$H171,15-13*ORÇAMENTO!$AF$10),15-13*ORÇAMENTO!$AF$11))),IF($A171=0,0,ROUND(SomaAgrupBM,15-13*ORÇAMENTO!$AF$11)))</f>
        <v>0</v>
      </c>
    </row>
    <row r="172" spans="1:41" ht="51" x14ac:dyDescent="0.2">
      <c r="A172" t="str">
        <f ca="1">ORÇAMENTO!C172</f>
        <v>S</v>
      </c>
      <c r="B172">
        <f ca="1">ORÇAMENTO!D172</f>
        <v>0</v>
      </c>
      <c r="C172" s="116" t="str">
        <f t="shared" ca="1" si="15"/>
        <v/>
      </c>
      <c r="D172" s="119" t="str">
        <f ca="1">ORÇAMENTO!O172</f>
        <v>-</v>
      </c>
      <c r="E172" s="172" t="str">
        <f t="shared" ca="1" si="16"/>
        <v>(abra o arquivo 'Referência 02-2025.xlsm)</v>
      </c>
      <c r="F172" s="173" t="str">
        <f ca="1">IF(RegimeExecucao="Global","",ORÇAMENTO.Unidade)</f>
        <v>-</v>
      </c>
      <c r="G172" s="124">
        <f ca="1">IF(RegimeExecucao="Global","",ORÇAMENTO!T172)</f>
        <v>7.77</v>
      </c>
      <c r="H172" s="124">
        <f ca="1">IF(RegimeExecucao="Global","",ORÇAMENTO!W172)</f>
        <v>0</v>
      </c>
      <c r="I172" s="127">
        <f ca="1">ORÇAMENTO!X172</f>
        <v>0</v>
      </c>
      <c r="J172" s="378">
        <f ca="1">IF($A172="S",IF(CAIXA.Modo,BM.AFAnterior,BM.MEDAnterior),IF(AND(RegimeExecucao="Global",$I172&gt;0,COUNTIF($AB$13:$AM$13,BM.medicao-1)&gt;0),M172/$I172*100,0))</f>
        <v>0</v>
      </c>
      <c r="K172" s="124">
        <f t="shared" ca="1" si="17"/>
        <v>0</v>
      </c>
      <c r="L172" s="379">
        <f ca="1">IF($A172="S",IF(CAIXA.Modo,BM.AFAcumulado,BM.MEDAcumulado),IF(AND(RegimeExecucao="Global",$I172&gt;0,COUNTIF($AB$13:$AM$13,BM.medicao)&gt;0),O172/$I172*100,0))</f>
        <v>0</v>
      </c>
      <c r="M172" s="380">
        <f ca="1">IF($A172="S",VTOTALBM,IF($A172=0,0,ROUND(SomaAgrupBM,15-13*ORÇAMENTO!$AF$11)))</f>
        <v>0</v>
      </c>
      <c r="N172" s="381">
        <f t="shared" ca="1" si="18"/>
        <v>0</v>
      </c>
      <c r="O172" s="127">
        <f ca="1">IF($A172="S",VTOTALBM,IF($A172=0,0,ROUND(SomaAgrupBM,15-13*ORÇAMENTO!$AF$11)))</f>
        <v>0</v>
      </c>
      <c r="Q172" s="382"/>
      <c r="R172" s="383"/>
      <c r="T172" s="119" t="str">
        <f t="shared" ca="1" si="19"/>
        <v/>
      </c>
      <c r="U172" s="172" t="str">
        <f t="shared" ca="1" si="20"/>
        <v/>
      </c>
      <c r="V172" s="173" t="str">
        <f ca="1">IF(AND($W172&gt;0,RegimeExecucao="Unitário"),$F172,"")</f>
        <v/>
      </c>
      <c r="W172" s="547">
        <f ca="1">IF($Y172&gt;0,CHOOSE(MATCH(RegimeExecucao,{"Unitário","Global"},0),IF($A172="S",$Y172/$X172,""),($Y172/$X172)*100),0)</f>
        <v>0</v>
      </c>
      <c r="X172" s="384" t="str">
        <f ca="1">IF($Y172&gt;0,CHOOSE(MATCH(RegimeExecucao,{"Unitário","Global"},0),IF($A172="S",ROUND($H172,ORÇAMENTO!$AF$10),""),ROUND($I172,ORÇAMENTO!$AF$11)),"")</f>
        <v/>
      </c>
      <c r="Y172" s="384">
        <f t="shared" ca="1" si="21"/>
        <v>0</v>
      </c>
      <c r="Z172" s="572"/>
      <c r="AB172" s="382"/>
      <c r="AC172" s="516"/>
      <c r="AD172" s="516"/>
      <c r="AE172" s="516"/>
      <c r="AF172" s="516"/>
      <c r="AG172" s="516"/>
      <c r="AH172" s="516"/>
      <c r="AI172" s="516"/>
      <c r="AJ172" s="516"/>
      <c r="AK172" s="516"/>
      <c r="AL172" s="516"/>
      <c r="AM172" s="383"/>
      <c r="AO172">
        <f ca="1">IF($A172="S",IF(BM!$I172=0,0,CHOOSE(MATCH(RegimeExecucao,{"Global","Unitário"},0),ROUND(ROUND(BM.MEDAcumulado,15-13*BM!$A$9)/100*BM!$I172,15-13*ORÇAMENTO!$AF$11),ROUND(ROUND(BM.MEDAcumulado,15-13*BM!$A$9)*ROUND(BM!$H172,15-13*ORÇAMENTO!$AF$10),15-13*ORÇAMENTO!$AF$11))),IF($A172=0,0,ROUND(SomaAgrupBM,15-13*ORÇAMENTO!$AF$11)))</f>
        <v>0</v>
      </c>
    </row>
    <row r="173" spans="1:41" ht="51" x14ac:dyDescent="0.2">
      <c r="A173" t="str">
        <f ca="1">ORÇAMENTO!C173</f>
        <v>S</v>
      </c>
      <c r="B173">
        <f ca="1">ORÇAMENTO!D173</f>
        <v>0</v>
      </c>
      <c r="C173" s="116" t="str">
        <f t="shared" ca="1" si="15"/>
        <v/>
      </c>
      <c r="D173" s="119" t="str">
        <f ca="1">ORÇAMENTO!O173</f>
        <v>-</v>
      </c>
      <c r="E173" s="172" t="str">
        <f t="shared" ca="1" si="16"/>
        <v>(abra o arquivo 'Referência 02-2025.xlsm)</v>
      </c>
      <c r="F173" s="173" t="str">
        <f ca="1">IF(RegimeExecucao="Global","",ORÇAMENTO.Unidade)</f>
        <v>-</v>
      </c>
      <c r="G173" s="124">
        <f ca="1">IF(RegimeExecucao="Global","",ORÇAMENTO!T173)</f>
        <v>5.6</v>
      </c>
      <c r="H173" s="124">
        <f ca="1">IF(RegimeExecucao="Global","",ORÇAMENTO!W173)</f>
        <v>0</v>
      </c>
      <c r="I173" s="127">
        <f ca="1">ORÇAMENTO!X173</f>
        <v>0</v>
      </c>
      <c r="J173" s="378">
        <f ca="1">IF($A173="S",IF(CAIXA.Modo,BM.AFAnterior,BM.MEDAnterior),IF(AND(RegimeExecucao="Global",$I173&gt;0,COUNTIF($AB$13:$AM$13,BM.medicao-1)&gt;0),M173/$I173*100,0))</f>
        <v>0</v>
      </c>
      <c r="K173" s="124">
        <f t="shared" ca="1" si="17"/>
        <v>0</v>
      </c>
      <c r="L173" s="379">
        <f ca="1">IF($A173="S",IF(CAIXA.Modo,BM.AFAcumulado,BM.MEDAcumulado),IF(AND(RegimeExecucao="Global",$I173&gt;0,COUNTIF($AB$13:$AM$13,BM.medicao)&gt;0),O173/$I173*100,0))</f>
        <v>0</v>
      </c>
      <c r="M173" s="380">
        <f ca="1">IF($A173="S",VTOTALBM,IF($A173=0,0,ROUND(SomaAgrupBM,15-13*ORÇAMENTO!$AF$11)))</f>
        <v>0</v>
      </c>
      <c r="N173" s="381">
        <f t="shared" ca="1" si="18"/>
        <v>0</v>
      </c>
      <c r="O173" s="127">
        <f ca="1">IF($A173="S",VTOTALBM,IF($A173=0,0,ROUND(SomaAgrupBM,15-13*ORÇAMENTO!$AF$11)))</f>
        <v>0</v>
      </c>
      <c r="Q173" s="382"/>
      <c r="R173" s="383"/>
      <c r="T173" s="119" t="str">
        <f t="shared" ca="1" si="19"/>
        <v/>
      </c>
      <c r="U173" s="172" t="str">
        <f t="shared" ca="1" si="20"/>
        <v/>
      </c>
      <c r="V173" s="173" t="str">
        <f ca="1">IF(AND($W173&gt;0,RegimeExecucao="Unitário"),$F173,"")</f>
        <v/>
      </c>
      <c r="W173" s="547">
        <f ca="1">IF($Y173&gt;0,CHOOSE(MATCH(RegimeExecucao,{"Unitário","Global"},0),IF($A173="S",$Y173/$X173,""),($Y173/$X173)*100),0)</f>
        <v>0</v>
      </c>
      <c r="X173" s="384" t="str">
        <f ca="1">IF($Y173&gt;0,CHOOSE(MATCH(RegimeExecucao,{"Unitário","Global"},0),IF($A173="S",ROUND($H173,ORÇAMENTO!$AF$10),""),ROUND($I173,ORÇAMENTO!$AF$11)),"")</f>
        <v/>
      </c>
      <c r="Y173" s="384">
        <f t="shared" ca="1" si="21"/>
        <v>0</v>
      </c>
      <c r="Z173" s="572"/>
      <c r="AB173" s="382"/>
      <c r="AC173" s="516"/>
      <c r="AD173" s="516"/>
      <c r="AE173" s="516"/>
      <c r="AF173" s="516"/>
      <c r="AG173" s="516"/>
      <c r="AH173" s="516"/>
      <c r="AI173" s="516"/>
      <c r="AJ173" s="516"/>
      <c r="AK173" s="516"/>
      <c r="AL173" s="516"/>
      <c r="AM173" s="383"/>
      <c r="AO173">
        <f ca="1">IF($A173="S",IF(BM!$I173=0,0,CHOOSE(MATCH(RegimeExecucao,{"Global","Unitário"},0),ROUND(ROUND(BM.MEDAcumulado,15-13*BM!$A$9)/100*BM!$I173,15-13*ORÇAMENTO!$AF$11),ROUND(ROUND(BM.MEDAcumulado,15-13*BM!$A$9)*ROUND(BM!$H173,15-13*ORÇAMENTO!$AF$10),15-13*ORÇAMENTO!$AF$11))),IF($A173=0,0,ROUND(SomaAgrupBM,15-13*ORÇAMENTO!$AF$11)))</f>
        <v>0</v>
      </c>
    </row>
    <row r="174" spans="1:41" ht="51" x14ac:dyDescent="0.2">
      <c r="A174" t="str">
        <f ca="1">ORÇAMENTO!C174</f>
        <v>S</v>
      </c>
      <c r="B174">
        <f ca="1">ORÇAMENTO!D174</f>
        <v>0</v>
      </c>
      <c r="C174" s="116" t="str">
        <f t="shared" ca="1" si="15"/>
        <v/>
      </c>
      <c r="D174" s="119" t="str">
        <f ca="1">ORÇAMENTO!O174</f>
        <v>-</v>
      </c>
      <c r="E174" s="172" t="str">
        <f t="shared" ca="1" si="16"/>
        <v>(abra o arquivo 'Referência 02-2025.xlsm)</v>
      </c>
      <c r="F174" s="173" t="str">
        <f ca="1">IF(RegimeExecucao="Global","",ORÇAMENTO.Unidade)</f>
        <v>-</v>
      </c>
      <c r="G174" s="124">
        <f ca="1">IF(RegimeExecucao="Global","",ORÇAMENTO!T174)</f>
        <v>2.4</v>
      </c>
      <c r="H174" s="124">
        <f ca="1">IF(RegimeExecucao="Global","",ORÇAMENTO!W174)</f>
        <v>0</v>
      </c>
      <c r="I174" s="127">
        <f ca="1">ORÇAMENTO!X174</f>
        <v>0</v>
      </c>
      <c r="J174" s="378">
        <f ca="1">IF($A174="S",IF(CAIXA.Modo,BM.AFAnterior,BM.MEDAnterior),IF(AND(RegimeExecucao="Global",$I174&gt;0,COUNTIF($AB$13:$AM$13,BM.medicao-1)&gt;0),M174/$I174*100,0))</f>
        <v>0</v>
      </c>
      <c r="K174" s="124">
        <f t="shared" ca="1" si="17"/>
        <v>0</v>
      </c>
      <c r="L174" s="379">
        <f ca="1">IF($A174="S",IF(CAIXA.Modo,BM.AFAcumulado,BM.MEDAcumulado),IF(AND(RegimeExecucao="Global",$I174&gt;0,COUNTIF($AB$13:$AM$13,BM.medicao)&gt;0),O174/$I174*100,0))</f>
        <v>0</v>
      </c>
      <c r="M174" s="380">
        <f ca="1">IF($A174="S",VTOTALBM,IF($A174=0,0,ROUND(SomaAgrupBM,15-13*ORÇAMENTO!$AF$11)))</f>
        <v>0</v>
      </c>
      <c r="N174" s="381">
        <f t="shared" ca="1" si="18"/>
        <v>0</v>
      </c>
      <c r="O174" s="127">
        <f ca="1">IF($A174="S",VTOTALBM,IF($A174=0,0,ROUND(SomaAgrupBM,15-13*ORÇAMENTO!$AF$11)))</f>
        <v>0</v>
      </c>
      <c r="Q174" s="382"/>
      <c r="R174" s="383"/>
      <c r="T174" s="119" t="str">
        <f t="shared" ca="1" si="19"/>
        <v/>
      </c>
      <c r="U174" s="172" t="str">
        <f t="shared" ca="1" si="20"/>
        <v/>
      </c>
      <c r="V174" s="173" t="str">
        <f ca="1">IF(AND($W174&gt;0,RegimeExecucao="Unitário"),$F174,"")</f>
        <v/>
      </c>
      <c r="W174" s="547">
        <f ca="1">IF($Y174&gt;0,CHOOSE(MATCH(RegimeExecucao,{"Unitário","Global"},0),IF($A174="S",$Y174/$X174,""),($Y174/$X174)*100),0)</f>
        <v>0</v>
      </c>
      <c r="X174" s="384" t="str">
        <f ca="1">IF($Y174&gt;0,CHOOSE(MATCH(RegimeExecucao,{"Unitário","Global"},0),IF($A174="S",ROUND($H174,ORÇAMENTO!$AF$10),""),ROUND($I174,ORÇAMENTO!$AF$11)),"")</f>
        <v/>
      </c>
      <c r="Y174" s="384">
        <f t="shared" ca="1" si="21"/>
        <v>0</v>
      </c>
      <c r="Z174" s="572"/>
      <c r="AB174" s="382"/>
      <c r="AC174" s="516"/>
      <c r="AD174" s="516"/>
      <c r="AE174" s="516"/>
      <c r="AF174" s="516"/>
      <c r="AG174" s="516"/>
      <c r="AH174" s="516"/>
      <c r="AI174" s="516"/>
      <c r="AJ174" s="516"/>
      <c r="AK174" s="516"/>
      <c r="AL174" s="516"/>
      <c r="AM174" s="383"/>
      <c r="AO174">
        <f ca="1">IF($A174="S",IF(BM!$I174=0,0,CHOOSE(MATCH(RegimeExecucao,{"Global","Unitário"},0),ROUND(ROUND(BM.MEDAcumulado,15-13*BM!$A$9)/100*BM!$I174,15-13*ORÇAMENTO!$AF$11),ROUND(ROUND(BM.MEDAcumulado,15-13*BM!$A$9)*ROUND(BM!$H174,15-13*ORÇAMENTO!$AF$10),15-13*ORÇAMENTO!$AF$11))),IF($A174=0,0,ROUND(SomaAgrupBM,15-13*ORÇAMENTO!$AF$11)))</f>
        <v>0</v>
      </c>
    </row>
    <row r="175" spans="1:41" ht="51" x14ac:dyDescent="0.2">
      <c r="A175" t="str">
        <f ca="1">ORÇAMENTO!C175</f>
        <v>S</v>
      </c>
      <c r="B175">
        <f ca="1">ORÇAMENTO!D175</f>
        <v>0</v>
      </c>
      <c r="C175" s="116" t="str">
        <f t="shared" ca="1" si="15"/>
        <v/>
      </c>
      <c r="D175" s="119" t="str">
        <f ca="1">ORÇAMENTO!O175</f>
        <v>-</v>
      </c>
      <c r="E175" s="172" t="str">
        <f t="shared" ca="1" si="16"/>
        <v>(abra o arquivo 'Referência 02-2025.xlsm)</v>
      </c>
      <c r="F175" s="173" t="str">
        <f ca="1">IF(RegimeExecucao="Global","",ORÇAMENTO.Unidade)</f>
        <v>-</v>
      </c>
      <c r="G175" s="124">
        <f ca="1">IF(RegimeExecucao="Global","",ORÇAMENTO!T175)</f>
        <v>2.2000000000000002</v>
      </c>
      <c r="H175" s="124">
        <f ca="1">IF(RegimeExecucao="Global","",ORÇAMENTO!W175)</f>
        <v>0</v>
      </c>
      <c r="I175" s="127">
        <f ca="1">ORÇAMENTO!X175</f>
        <v>0</v>
      </c>
      <c r="J175" s="378">
        <f ca="1">IF($A175="S",IF(CAIXA.Modo,BM.AFAnterior,BM.MEDAnterior),IF(AND(RegimeExecucao="Global",$I175&gt;0,COUNTIF($AB$13:$AM$13,BM.medicao-1)&gt;0),M175/$I175*100,0))</f>
        <v>0</v>
      </c>
      <c r="K175" s="124">
        <f t="shared" ca="1" si="17"/>
        <v>0</v>
      </c>
      <c r="L175" s="379">
        <f ca="1">IF($A175="S",IF(CAIXA.Modo,BM.AFAcumulado,BM.MEDAcumulado),IF(AND(RegimeExecucao="Global",$I175&gt;0,COUNTIF($AB$13:$AM$13,BM.medicao)&gt;0),O175/$I175*100,0))</f>
        <v>0</v>
      </c>
      <c r="M175" s="380">
        <f ca="1">IF($A175="S",VTOTALBM,IF($A175=0,0,ROUND(SomaAgrupBM,15-13*ORÇAMENTO!$AF$11)))</f>
        <v>0</v>
      </c>
      <c r="N175" s="381">
        <f t="shared" ca="1" si="18"/>
        <v>0</v>
      </c>
      <c r="O175" s="127">
        <f ca="1">IF($A175="S",VTOTALBM,IF($A175=0,0,ROUND(SomaAgrupBM,15-13*ORÇAMENTO!$AF$11)))</f>
        <v>0</v>
      </c>
      <c r="Q175" s="382"/>
      <c r="R175" s="383"/>
      <c r="T175" s="119" t="str">
        <f t="shared" ca="1" si="19"/>
        <v/>
      </c>
      <c r="U175" s="172" t="str">
        <f t="shared" ca="1" si="20"/>
        <v/>
      </c>
      <c r="V175" s="173" t="str">
        <f ca="1">IF(AND($W175&gt;0,RegimeExecucao="Unitário"),$F175,"")</f>
        <v/>
      </c>
      <c r="W175" s="547">
        <f ca="1">IF($Y175&gt;0,CHOOSE(MATCH(RegimeExecucao,{"Unitário","Global"},0),IF($A175="S",$Y175/$X175,""),($Y175/$X175)*100),0)</f>
        <v>0</v>
      </c>
      <c r="X175" s="384" t="str">
        <f ca="1">IF($Y175&gt;0,CHOOSE(MATCH(RegimeExecucao,{"Unitário","Global"},0),IF($A175="S",ROUND($H175,ORÇAMENTO!$AF$10),""),ROUND($I175,ORÇAMENTO!$AF$11)),"")</f>
        <v/>
      </c>
      <c r="Y175" s="384">
        <f t="shared" ca="1" si="21"/>
        <v>0</v>
      </c>
      <c r="Z175" s="572"/>
      <c r="AB175" s="382"/>
      <c r="AC175" s="516"/>
      <c r="AD175" s="516"/>
      <c r="AE175" s="516"/>
      <c r="AF175" s="516"/>
      <c r="AG175" s="516"/>
      <c r="AH175" s="516"/>
      <c r="AI175" s="516"/>
      <c r="AJ175" s="516"/>
      <c r="AK175" s="516"/>
      <c r="AL175" s="516"/>
      <c r="AM175" s="383"/>
      <c r="AO175">
        <f ca="1">IF($A175="S",IF(BM!$I175=0,0,CHOOSE(MATCH(RegimeExecucao,{"Global","Unitário"},0),ROUND(ROUND(BM.MEDAcumulado,15-13*BM!$A$9)/100*BM!$I175,15-13*ORÇAMENTO!$AF$11),ROUND(ROUND(BM.MEDAcumulado,15-13*BM!$A$9)*ROUND(BM!$H175,15-13*ORÇAMENTO!$AF$10),15-13*ORÇAMENTO!$AF$11))),IF($A175=0,0,ROUND(SomaAgrupBM,15-13*ORÇAMENTO!$AF$11)))</f>
        <v>0</v>
      </c>
    </row>
    <row r="176" spans="1:41" ht="38.25" x14ac:dyDescent="0.2">
      <c r="A176" t="str">
        <f ca="1">ORÇAMENTO!C176</f>
        <v>S</v>
      </c>
      <c r="B176">
        <f ca="1">ORÇAMENTO!D176</f>
        <v>0</v>
      </c>
      <c r="C176" s="116" t="str">
        <f t="shared" ca="1" si="15"/>
        <v/>
      </c>
      <c r="D176" s="119" t="str">
        <f ca="1">ORÇAMENTO!O176</f>
        <v>-</v>
      </c>
      <c r="E176" s="172" t="str">
        <f t="shared" ca="1" si="16"/>
        <v>(abra o arquivo 'Referência 02-2025.xlsm)</v>
      </c>
      <c r="F176" s="173" t="str">
        <f ca="1">IF(RegimeExecucao="Global","",ORÇAMENTO.Unidade)</f>
        <v>-</v>
      </c>
      <c r="G176" s="124">
        <f ca="1">IF(RegimeExecucao="Global","",ORÇAMENTO!T176)</f>
        <v>15.93</v>
      </c>
      <c r="H176" s="124">
        <f ca="1">IF(RegimeExecucao="Global","",ORÇAMENTO!W176)</f>
        <v>0</v>
      </c>
      <c r="I176" s="127">
        <f ca="1">ORÇAMENTO!X176</f>
        <v>0</v>
      </c>
      <c r="J176" s="378">
        <f ca="1">IF($A176="S",IF(CAIXA.Modo,BM.AFAnterior,BM.MEDAnterior),IF(AND(RegimeExecucao="Global",$I176&gt;0,COUNTIF($AB$13:$AM$13,BM.medicao-1)&gt;0),M176/$I176*100,0))</f>
        <v>0</v>
      </c>
      <c r="K176" s="124">
        <f t="shared" ca="1" si="17"/>
        <v>0</v>
      </c>
      <c r="L176" s="379">
        <f ca="1">IF($A176="S",IF(CAIXA.Modo,BM.AFAcumulado,BM.MEDAcumulado),IF(AND(RegimeExecucao="Global",$I176&gt;0,COUNTIF($AB$13:$AM$13,BM.medicao)&gt;0),O176/$I176*100,0))</f>
        <v>0</v>
      </c>
      <c r="M176" s="380">
        <f ca="1">IF($A176="S",VTOTALBM,IF($A176=0,0,ROUND(SomaAgrupBM,15-13*ORÇAMENTO!$AF$11)))</f>
        <v>0</v>
      </c>
      <c r="N176" s="381">
        <f t="shared" ca="1" si="18"/>
        <v>0</v>
      </c>
      <c r="O176" s="127">
        <f ca="1">IF($A176="S",VTOTALBM,IF($A176=0,0,ROUND(SomaAgrupBM,15-13*ORÇAMENTO!$AF$11)))</f>
        <v>0</v>
      </c>
      <c r="Q176" s="382"/>
      <c r="R176" s="383"/>
      <c r="T176" s="119" t="str">
        <f t="shared" ca="1" si="19"/>
        <v/>
      </c>
      <c r="U176" s="172" t="str">
        <f t="shared" ca="1" si="20"/>
        <v/>
      </c>
      <c r="V176" s="173" t="str">
        <f ca="1">IF(AND($W176&gt;0,RegimeExecucao="Unitário"),$F176,"")</f>
        <v/>
      </c>
      <c r="W176" s="547">
        <f ca="1">IF($Y176&gt;0,CHOOSE(MATCH(RegimeExecucao,{"Unitário","Global"},0),IF($A176="S",$Y176/$X176,""),($Y176/$X176)*100),0)</f>
        <v>0</v>
      </c>
      <c r="X176" s="384" t="str">
        <f ca="1">IF($Y176&gt;0,CHOOSE(MATCH(RegimeExecucao,{"Unitário","Global"},0),IF($A176="S",ROUND($H176,ORÇAMENTO!$AF$10),""),ROUND($I176,ORÇAMENTO!$AF$11)),"")</f>
        <v/>
      </c>
      <c r="Y176" s="384">
        <f t="shared" ca="1" si="21"/>
        <v>0</v>
      </c>
      <c r="Z176" s="572"/>
      <c r="AB176" s="382"/>
      <c r="AC176" s="516"/>
      <c r="AD176" s="516"/>
      <c r="AE176" s="516"/>
      <c r="AF176" s="516"/>
      <c r="AG176" s="516"/>
      <c r="AH176" s="516"/>
      <c r="AI176" s="516"/>
      <c r="AJ176" s="516"/>
      <c r="AK176" s="516"/>
      <c r="AL176" s="516"/>
      <c r="AM176" s="383"/>
      <c r="AO176">
        <f ca="1">IF($A176="S",IF(BM!$I176=0,0,CHOOSE(MATCH(RegimeExecucao,{"Global","Unitário"},0),ROUND(ROUND(BM.MEDAcumulado,15-13*BM!$A$9)/100*BM!$I176,15-13*ORÇAMENTO!$AF$11),ROUND(ROUND(BM.MEDAcumulado,15-13*BM!$A$9)*ROUND(BM!$H176,15-13*ORÇAMENTO!$AF$10),15-13*ORÇAMENTO!$AF$11))),IF($A176=0,0,ROUND(SomaAgrupBM,15-13*ORÇAMENTO!$AF$11)))</f>
        <v>0</v>
      </c>
    </row>
    <row r="177" spans="1:41" x14ac:dyDescent="0.2">
      <c r="A177">
        <f ca="1">ORÇAMENTO!C177</f>
        <v>2</v>
      </c>
      <c r="B177">
        <f ca="1">ORÇAMENTO!D177</f>
        <v>7</v>
      </c>
      <c r="C177" s="116" t="str">
        <f t="shared" ca="1" si="15"/>
        <v>F</v>
      </c>
      <c r="D177" s="119" t="str">
        <f ca="1">ORÇAMENTO!O177</f>
        <v>1.7.</v>
      </c>
      <c r="E177" s="172" t="str">
        <f t="shared" ca="1" si="16"/>
        <v>SISTEMAS DE COBERTURA</v>
      </c>
      <c r="F177" s="173" t="str">
        <f ca="1">IF(RegimeExecucao="Global","",ORÇAMENTO.Unidade)</f>
        <v>-</v>
      </c>
      <c r="G177" s="124">
        <f ca="1">IF(RegimeExecucao="Global","",ORÇAMENTO!T177)</f>
        <v>0</v>
      </c>
      <c r="H177" s="124">
        <f ca="1">IF(RegimeExecucao="Global","",ORÇAMENTO!W177)</f>
        <v>0</v>
      </c>
      <c r="I177" s="127">
        <f ca="1">ORÇAMENTO!X177</f>
        <v>0</v>
      </c>
      <c r="J177" s="378">
        <f ca="1">IF($A177="S",IF(CAIXA.Modo,BM.AFAnterior,BM.MEDAnterior),IF(AND(RegimeExecucao="Global",$I177&gt;0,COUNTIF($AB$13:$AM$13,BM.medicao-1)&gt;0),M177/$I177*100,0))</f>
        <v>0</v>
      </c>
      <c r="K177" s="124">
        <f t="shared" ca="1" si="17"/>
        <v>0</v>
      </c>
      <c r="L177" s="379">
        <f ca="1">IF($A177="S",IF(CAIXA.Modo,BM.AFAcumulado,BM.MEDAcumulado),IF(AND(RegimeExecucao="Global",$I177&gt;0,COUNTIF($AB$13:$AM$13,BM.medicao)&gt;0),O177/$I177*100,0))</f>
        <v>0</v>
      </c>
      <c r="M177" s="380">
        <f ca="1">IF($A177="S",VTOTALBM,IF($A177=0,0,ROUND(SomaAgrupBM,15-13*ORÇAMENTO!$AF$11)))</f>
        <v>0</v>
      </c>
      <c r="N177" s="381">
        <f t="shared" ca="1" si="18"/>
        <v>0</v>
      </c>
      <c r="O177" s="127">
        <f ca="1">IF($A177="S",VTOTALBM,IF($A177=0,0,ROUND(SomaAgrupBM,15-13*ORÇAMENTO!$AF$11)))</f>
        <v>0</v>
      </c>
      <c r="Q177" s="382"/>
      <c r="R177" s="383"/>
      <c r="T177" s="119" t="str">
        <f t="shared" ca="1" si="19"/>
        <v/>
      </c>
      <c r="U177" s="172" t="str">
        <f t="shared" ca="1" si="20"/>
        <v/>
      </c>
      <c r="V177" s="173" t="str">
        <f ca="1">IF(AND($W177&gt;0,RegimeExecucao="Unitário"),$F177,"")</f>
        <v/>
      </c>
      <c r="W177" s="547">
        <f ca="1">IF($Y177&gt;0,CHOOSE(MATCH(RegimeExecucao,{"Unitário","Global"},0),IF($A177="S",$Y177/$X177,""),($Y177/$X177)*100),0)</f>
        <v>0</v>
      </c>
      <c r="X177" s="384" t="str">
        <f ca="1">IF($Y177&gt;0,CHOOSE(MATCH(RegimeExecucao,{"Unitário","Global"},0),IF($A177="S",ROUND($H177,ORÇAMENTO!$AF$10),""),ROUND($I177,ORÇAMENTO!$AF$11)),"")</f>
        <v/>
      </c>
      <c r="Y177" s="384">
        <f t="shared" ca="1" si="21"/>
        <v>0</v>
      </c>
      <c r="Z177" s="572"/>
      <c r="AB177" s="382"/>
      <c r="AC177" s="516"/>
      <c r="AD177" s="516"/>
      <c r="AE177" s="516"/>
      <c r="AF177" s="516"/>
      <c r="AG177" s="516"/>
      <c r="AH177" s="516"/>
      <c r="AI177" s="516"/>
      <c r="AJ177" s="516"/>
      <c r="AK177" s="516"/>
      <c r="AL177" s="516"/>
      <c r="AM177" s="383"/>
      <c r="AO177">
        <f ca="1">IF($A177="S",IF(BM!$I177=0,0,CHOOSE(MATCH(RegimeExecucao,{"Global","Unitário"},0),ROUND(ROUND(BM.MEDAcumulado,15-13*BM!$A$9)/100*BM!$I177,15-13*ORÇAMENTO!$AF$11),ROUND(ROUND(BM.MEDAcumulado,15-13*BM!$A$9)*ROUND(BM!$H177,15-13*ORÇAMENTO!$AF$10),15-13*ORÇAMENTO!$AF$11))),IF($A177=0,0,ROUND(SomaAgrupBM,15-13*ORÇAMENTO!$AF$11)))</f>
        <v>0</v>
      </c>
    </row>
    <row r="178" spans="1:41" ht="63.75" x14ac:dyDescent="0.2">
      <c r="A178" t="str">
        <f ca="1">ORÇAMENTO!C178</f>
        <v>S</v>
      </c>
      <c r="B178">
        <f ca="1">ORÇAMENTO!D178</f>
        <v>0</v>
      </c>
      <c r="C178" s="116" t="str">
        <f t="shared" ca="1" si="15"/>
        <v/>
      </c>
      <c r="D178" s="119" t="str">
        <f ca="1">ORÇAMENTO!O178</f>
        <v>-</v>
      </c>
      <c r="E178" s="172" t="str">
        <f t="shared" ca="1" si="16"/>
        <v>(abra o arquivo 'Referência 02-2025.xlsm)</v>
      </c>
      <c r="F178" s="173" t="str">
        <f ca="1">IF(RegimeExecucao="Global","",ORÇAMENTO.Unidade)</f>
        <v>-</v>
      </c>
      <c r="G178" s="124">
        <f ca="1">IF(RegimeExecucao="Global","",ORÇAMENTO!T178)</f>
        <v>1441</v>
      </c>
      <c r="H178" s="124">
        <f ca="1">IF(RegimeExecucao="Global","",ORÇAMENTO!W178)</f>
        <v>0</v>
      </c>
      <c r="I178" s="127">
        <f ca="1">ORÇAMENTO!X178</f>
        <v>0</v>
      </c>
      <c r="J178" s="378">
        <f ca="1">IF($A178="S",IF(CAIXA.Modo,BM.AFAnterior,BM.MEDAnterior),IF(AND(RegimeExecucao="Global",$I178&gt;0,COUNTIF($AB$13:$AM$13,BM.medicao-1)&gt;0),M178/$I178*100,0))</f>
        <v>0</v>
      </c>
      <c r="K178" s="124">
        <f t="shared" ca="1" si="17"/>
        <v>0</v>
      </c>
      <c r="L178" s="379">
        <f ca="1">IF($A178="S",IF(CAIXA.Modo,BM.AFAcumulado,BM.MEDAcumulado),IF(AND(RegimeExecucao="Global",$I178&gt;0,COUNTIF($AB$13:$AM$13,BM.medicao)&gt;0),O178/$I178*100,0))</f>
        <v>0</v>
      </c>
      <c r="M178" s="380">
        <f ca="1">IF($A178="S",VTOTALBM,IF($A178=0,0,ROUND(SomaAgrupBM,15-13*ORÇAMENTO!$AF$11)))</f>
        <v>0</v>
      </c>
      <c r="N178" s="381">
        <f t="shared" ca="1" si="18"/>
        <v>0</v>
      </c>
      <c r="O178" s="127">
        <f ca="1">IF($A178="S",VTOTALBM,IF($A178=0,0,ROUND(SomaAgrupBM,15-13*ORÇAMENTO!$AF$11)))</f>
        <v>0</v>
      </c>
      <c r="Q178" s="382"/>
      <c r="R178" s="383"/>
      <c r="T178" s="119" t="str">
        <f t="shared" ca="1" si="19"/>
        <v/>
      </c>
      <c r="U178" s="172" t="str">
        <f t="shared" ca="1" si="20"/>
        <v/>
      </c>
      <c r="V178" s="173" t="str">
        <f ca="1">IF(AND($W178&gt;0,RegimeExecucao="Unitário"),$F178,"")</f>
        <v/>
      </c>
      <c r="W178" s="547">
        <f ca="1">IF($Y178&gt;0,CHOOSE(MATCH(RegimeExecucao,{"Unitário","Global"},0),IF($A178="S",$Y178/$X178,""),($Y178/$X178)*100),0)</f>
        <v>0</v>
      </c>
      <c r="X178" s="384" t="str">
        <f ca="1">IF($Y178&gt;0,CHOOSE(MATCH(RegimeExecucao,{"Unitário","Global"},0),IF($A178="S",ROUND($H178,ORÇAMENTO!$AF$10),""),ROUND($I178,ORÇAMENTO!$AF$11)),"")</f>
        <v/>
      </c>
      <c r="Y178" s="384">
        <f t="shared" ca="1" si="21"/>
        <v>0</v>
      </c>
      <c r="Z178" s="572"/>
      <c r="AB178" s="382"/>
      <c r="AC178" s="516"/>
      <c r="AD178" s="516"/>
      <c r="AE178" s="516"/>
      <c r="AF178" s="516"/>
      <c r="AG178" s="516"/>
      <c r="AH178" s="516"/>
      <c r="AI178" s="516"/>
      <c r="AJ178" s="516"/>
      <c r="AK178" s="516"/>
      <c r="AL178" s="516"/>
      <c r="AM178" s="383"/>
      <c r="AO178">
        <f ca="1">IF($A178="S",IF(BM!$I178=0,0,CHOOSE(MATCH(RegimeExecucao,{"Global","Unitário"},0),ROUND(ROUND(BM.MEDAcumulado,15-13*BM!$A$9)/100*BM!$I178,15-13*ORÇAMENTO!$AF$11),ROUND(ROUND(BM.MEDAcumulado,15-13*BM!$A$9)*ROUND(BM!$H178,15-13*ORÇAMENTO!$AF$10),15-13*ORÇAMENTO!$AF$11))),IF($A178=0,0,ROUND(SomaAgrupBM,15-13*ORÇAMENTO!$AF$11)))</f>
        <v>0</v>
      </c>
    </row>
    <row r="179" spans="1:41" ht="38.25" x14ac:dyDescent="0.2">
      <c r="A179" t="str">
        <f ca="1">ORÇAMENTO!C179</f>
        <v>S</v>
      </c>
      <c r="B179">
        <f ca="1">ORÇAMENTO!D179</f>
        <v>0</v>
      </c>
      <c r="C179" s="116" t="str">
        <f t="shared" ca="1" si="15"/>
        <v/>
      </c>
      <c r="D179" s="119" t="str">
        <f ca="1">ORÇAMENTO!O179</f>
        <v>-</v>
      </c>
      <c r="E179" s="172" t="str">
        <f t="shared" ca="1" si="16"/>
        <v>(abra o arquivo 'Referência 02-2025.xlsm)</v>
      </c>
      <c r="F179" s="173" t="str">
        <f ca="1">IF(RegimeExecucao="Global","",ORÇAMENTO.Unidade)</f>
        <v>-</v>
      </c>
      <c r="G179" s="124">
        <f ca="1">IF(RegimeExecucao="Global","",ORÇAMENTO!T179)</f>
        <v>34.409999999999997</v>
      </c>
      <c r="H179" s="124">
        <f ca="1">IF(RegimeExecucao="Global","",ORÇAMENTO!W179)</f>
        <v>0</v>
      </c>
      <c r="I179" s="127">
        <f ca="1">ORÇAMENTO!X179</f>
        <v>0</v>
      </c>
      <c r="J179" s="378">
        <f ca="1">IF($A179="S",IF(CAIXA.Modo,BM.AFAnterior,BM.MEDAnterior),IF(AND(RegimeExecucao="Global",$I179&gt;0,COUNTIF($AB$13:$AM$13,BM.medicao-1)&gt;0),M179/$I179*100,0))</f>
        <v>0</v>
      </c>
      <c r="K179" s="124">
        <f t="shared" ca="1" si="17"/>
        <v>0</v>
      </c>
      <c r="L179" s="379">
        <f ca="1">IF($A179="S",IF(CAIXA.Modo,BM.AFAcumulado,BM.MEDAcumulado),IF(AND(RegimeExecucao="Global",$I179&gt;0,COUNTIF($AB$13:$AM$13,BM.medicao)&gt;0),O179/$I179*100,0))</f>
        <v>0</v>
      </c>
      <c r="M179" s="380">
        <f ca="1">IF($A179="S",VTOTALBM,IF($A179=0,0,ROUND(SomaAgrupBM,15-13*ORÇAMENTO!$AF$11)))</f>
        <v>0</v>
      </c>
      <c r="N179" s="381">
        <f t="shared" ca="1" si="18"/>
        <v>0</v>
      </c>
      <c r="O179" s="127">
        <f ca="1">IF($A179="S",VTOTALBM,IF($A179=0,0,ROUND(SomaAgrupBM,15-13*ORÇAMENTO!$AF$11)))</f>
        <v>0</v>
      </c>
      <c r="Q179" s="382"/>
      <c r="R179" s="383"/>
      <c r="T179" s="119" t="str">
        <f t="shared" ca="1" si="19"/>
        <v/>
      </c>
      <c r="U179" s="172" t="str">
        <f t="shared" ca="1" si="20"/>
        <v/>
      </c>
      <c r="V179" s="173" t="str">
        <f ca="1">IF(AND($W179&gt;0,RegimeExecucao="Unitário"),$F179,"")</f>
        <v/>
      </c>
      <c r="W179" s="547">
        <f ca="1">IF($Y179&gt;0,CHOOSE(MATCH(RegimeExecucao,{"Unitário","Global"},0),IF($A179="S",$Y179/$X179,""),($Y179/$X179)*100),0)</f>
        <v>0</v>
      </c>
      <c r="X179" s="384" t="str">
        <f ca="1">IF($Y179&gt;0,CHOOSE(MATCH(RegimeExecucao,{"Unitário","Global"},0),IF($A179="S",ROUND($H179,ORÇAMENTO!$AF$10),""),ROUND($I179,ORÇAMENTO!$AF$11)),"")</f>
        <v/>
      </c>
      <c r="Y179" s="384">
        <f t="shared" ca="1" si="21"/>
        <v>0</v>
      </c>
      <c r="Z179" s="572"/>
      <c r="AB179" s="382"/>
      <c r="AC179" s="516"/>
      <c r="AD179" s="516"/>
      <c r="AE179" s="516"/>
      <c r="AF179" s="516"/>
      <c r="AG179" s="516"/>
      <c r="AH179" s="516"/>
      <c r="AI179" s="516"/>
      <c r="AJ179" s="516"/>
      <c r="AK179" s="516"/>
      <c r="AL179" s="516"/>
      <c r="AM179" s="383"/>
      <c r="AO179">
        <f ca="1">IF($A179="S",IF(BM!$I179=0,0,CHOOSE(MATCH(RegimeExecucao,{"Global","Unitário"},0),ROUND(ROUND(BM.MEDAcumulado,15-13*BM!$A$9)/100*BM!$I179,15-13*ORÇAMENTO!$AF$11),ROUND(ROUND(BM.MEDAcumulado,15-13*BM!$A$9)*ROUND(BM!$H179,15-13*ORÇAMENTO!$AF$10),15-13*ORÇAMENTO!$AF$11))),IF($A179=0,0,ROUND(SomaAgrupBM,15-13*ORÇAMENTO!$AF$11)))</f>
        <v>0</v>
      </c>
    </row>
    <row r="180" spans="1:41" ht="38.25" x14ac:dyDescent="0.2">
      <c r="A180" t="str">
        <f ca="1">ORÇAMENTO!C180</f>
        <v>S</v>
      </c>
      <c r="B180">
        <f ca="1">ORÇAMENTO!D180</f>
        <v>0</v>
      </c>
      <c r="C180" s="116" t="str">
        <f t="shared" ca="1" si="15"/>
        <v/>
      </c>
      <c r="D180" s="119" t="str">
        <f ca="1">ORÇAMENTO!O180</f>
        <v>-</v>
      </c>
      <c r="E180" s="172" t="str">
        <f t="shared" ca="1" si="16"/>
        <v>(abra o arquivo 'Referência 02-2025.xlsm)</v>
      </c>
      <c r="F180" s="173" t="str">
        <f ca="1">IF(RegimeExecucao="Global","",ORÇAMENTO.Unidade)</f>
        <v>-</v>
      </c>
      <c r="G180" s="124">
        <f ca="1">IF(RegimeExecucao="Global","",ORÇAMENTO!T180)</f>
        <v>154.5</v>
      </c>
      <c r="H180" s="124">
        <f ca="1">IF(RegimeExecucao="Global","",ORÇAMENTO!W180)</f>
        <v>0</v>
      </c>
      <c r="I180" s="127">
        <f ca="1">ORÇAMENTO!X180</f>
        <v>0</v>
      </c>
      <c r="J180" s="378">
        <f ca="1">IF($A180="S",IF(CAIXA.Modo,BM.AFAnterior,BM.MEDAnterior),IF(AND(RegimeExecucao="Global",$I180&gt;0,COUNTIF($AB$13:$AM$13,BM.medicao-1)&gt;0),M180/$I180*100,0))</f>
        <v>0</v>
      </c>
      <c r="K180" s="124">
        <f t="shared" ca="1" si="17"/>
        <v>0</v>
      </c>
      <c r="L180" s="379">
        <f ca="1">IF($A180="S",IF(CAIXA.Modo,BM.AFAcumulado,BM.MEDAcumulado),IF(AND(RegimeExecucao="Global",$I180&gt;0,COUNTIF($AB$13:$AM$13,BM.medicao)&gt;0),O180/$I180*100,0))</f>
        <v>0</v>
      </c>
      <c r="M180" s="380">
        <f ca="1">IF($A180="S",VTOTALBM,IF($A180=0,0,ROUND(SomaAgrupBM,15-13*ORÇAMENTO!$AF$11)))</f>
        <v>0</v>
      </c>
      <c r="N180" s="381">
        <f t="shared" ca="1" si="18"/>
        <v>0</v>
      </c>
      <c r="O180" s="127">
        <f ca="1">IF($A180="S",VTOTALBM,IF($A180=0,0,ROUND(SomaAgrupBM,15-13*ORÇAMENTO!$AF$11)))</f>
        <v>0</v>
      </c>
      <c r="Q180" s="382"/>
      <c r="R180" s="383"/>
      <c r="T180" s="119" t="str">
        <f t="shared" ca="1" si="19"/>
        <v/>
      </c>
      <c r="U180" s="172" t="str">
        <f t="shared" ca="1" si="20"/>
        <v/>
      </c>
      <c r="V180" s="173" t="str">
        <f ca="1">IF(AND($W180&gt;0,RegimeExecucao="Unitário"),$F180,"")</f>
        <v/>
      </c>
      <c r="W180" s="547">
        <f ca="1">IF($Y180&gt;0,CHOOSE(MATCH(RegimeExecucao,{"Unitário","Global"},0),IF($A180="S",$Y180/$X180,""),($Y180/$X180)*100),0)</f>
        <v>0</v>
      </c>
      <c r="X180" s="384" t="str">
        <f ca="1">IF($Y180&gt;0,CHOOSE(MATCH(RegimeExecucao,{"Unitário","Global"},0),IF($A180="S",ROUND($H180,ORÇAMENTO!$AF$10),""),ROUND($I180,ORÇAMENTO!$AF$11)),"")</f>
        <v/>
      </c>
      <c r="Y180" s="384">
        <f t="shared" ca="1" si="21"/>
        <v>0</v>
      </c>
      <c r="Z180" s="572"/>
      <c r="AB180" s="382"/>
      <c r="AC180" s="516"/>
      <c r="AD180" s="516"/>
      <c r="AE180" s="516"/>
      <c r="AF180" s="516"/>
      <c r="AG180" s="516"/>
      <c r="AH180" s="516"/>
      <c r="AI180" s="516"/>
      <c r="AJ180" s="516"/>
      <c r="AK180" s="516"/>
      <c r="AL180" s="516"/>
      <c r="AM180" s="383"/>
      <c r="AO180">
        <f ca="1">IF($A180="S",IF(BM!$I180=0,0,CHOOSE(MATCH(RegimeExecucao,{"Global","Unitário"},0),ROUND(ROUND(BM.MEDAcumulado,15-13*BM!$A$9)/100*BM!$I180,15-13*ORÇAMENTO!$AF$11),ROUND(ROUND(BM.MEDAcumulado,15-13*BM!$A$9)*ROUND(BM!$H180,15-13*ORÇAMENTO!$AF$10),15-13*ORÇAMENTO!$AF$11))),IF($A180=0,0,ROUND(SomaAgrupBM,15-13*ORÇAMENTO!$AF$11)))</f>
        <v>0</v>
      </c>
    </row>
    <row r="181" spans="1:41" ht="25.5" x14ac:dyDescent="0.2">
      <c r="A181" t="str">
        <f ca="1">ORÇAMENTO!C181</f>
        <v>S</v>
      </c>
      <c r="B181">
        <f ca="1">ORÇAMENTO!D181</f>
        <v>0</v>
      </c>
      <c r="C181" s="116" t="str">
        <f t="shared" ca="1" si="15"/>
        <v/>
      </c>
      <c r="D181" s="119" t="str">
        <f ca="1">ORÇAMENTO!O181</f>
        <v>-</v>
      </c>
      <c r="E181" s="172" t="str">
        <f t="shared" ca="1" si="16"/>
        <v>(abra o arquivo 'Referência 02-2025.xlsm)</v>
      </c>
      <c r="F181" s="173" t="str">
        <f ca="1">IF(RegimeExecucao="Global","",ORÇAMENTO.Unidade)</f>
        <v>-</v>
      </c>
      <c r="G181" s="124">
        <f ca="1">IF(RegimeExecucao="Global","",ORÇAMENTO!T181)</f>
        <v>86.02</v>
      </c>
      <c r="H181" s="124">
        <f ca="1">IF(RegimeExecucao="Global","",ORÇAMENTO!W181)</f>
        <v>0</v>
      </c>
      <c r="I181" s="127">
        <f ca="1">ORÇAMENTO!X181</f>
        <v>0</v>
      </c>
      <c r="J181" s="378">
        <f ca="1">IF($A181="S",IF(CAIXA.Modo,BM.AFAnterior,BM.MEDAnterior),IF(AND(RegimeExecucao="Global",$I181&gt;0,COUNTIF($AB$13:$AM$13,BM.medicao-1)&gt;0),M181/$I181*100,0))</f>
        <v>0</v>
      </c>
      <c r="K181" s="124">
        <f t="shared" ca="1" si="17"/>
        <v>0</v>
      </c>
      <c r="L181" s="379">
        <f ca="1">IF($A181="S",IF(CAIXA.Modo,BM.AFAcumulado,BM.MEDAcumulado),IF(AND(RegimeExecucao="Global",$I181&gt;0,COUNTIF($AB$13:$AM$13,BM.medicao)&gt;0),O181/$I181*100,0))</f>
        <v>0</v>
      </c>
      <c r="M181" s="380">
        <f ca="1">IF($A181="S",VTOTALBM,IF($A181=0,0,ROUND(SomaAgrupBM,15-13*ORÇAMENTO!$AF$11)))</f>
        <v>0</v>
      </c>
      <c r="N181" s="381">
        <f t="shared" ca="1" si="18"/>
        <v>0</v>
      </c>
      <c r="O181" s="127">
        <f ca="1">IF($A181="S",VTOTALBM,IF($A181=0,0,ROUND(SomaAgrupBM,15-13*ORÇAMENTO!$AF$11)))</f>
        <v>0</v>
      </c>
      <c r="Q181" s="382"/>
      <c r="R181" s="383"/>
      <c r="T181" s="119" t="str">
        <f t="shared" ca="1" si="19"/>
        <v/>
      </c>
      <c r="U181" s="172" t="str">
        <f t="shared" ca="1" si="20"/>
        <v/>
      </c>
      <c r="V181" s="173" t="str">
        <f ca="1">IF(AND($W181&gt;0,RegimeExecucao="Unitário"),$F181,"")</f>
        <v/>
      </c>
      <c r="W181" s="547">
        <f ca="1">IF($Y181&gt;0,CHOOSE(MATCH(RegimeExecucao,{"Unitário","Global"},0),IF($A181="S",$Y181/$X181,""),($Y181/$X181)*100),0)</f>
        <v>0</v>
      </c>
      <c r="X181" s="384" t="str">
        <f ca="1">IF($Y181&gt;0,CHOOSE(MATCH(RegimeExecucao,{"Unitário","Global"},0),IF($A181="S",ROUND($H181,ORÇAMENTO!$AF$10),""),ROUND($I181,ORÇAMENTO!$AF$11)),"")</f>
        <v/>
      </c>
      <c r="Y181" s="384">
        <f t="shared" ca="1" si="21"/>
        <v>0</v>
      </c>
      <c r="Z181" s="572"/>
      <c r="AB181" s="382"/>
      <c r="AC181" s="516"/>
      <c r="AD181" s="516"/>
      <c r="AE181" s="516"/>
      <c r="AF181" s="516"/>
      <c r="AG181" s="516"/>
      <c r="AH181" s="516"/>
      <c r="AI181" s="516"/>
      <c r="AJ181" s="516"/>
      <c r="AK181" s="516"/>
      <c r="AL181" s="516"/>
      <c r="AM181" s="383"/>
      <c r="AO181">
        <f ca="1">IF($A181="S",IF(BM!$I181=0,0,CHOOSE(MATCH(RegimeExecucao,{"Global","Unitário"},0),ROUND(ROUND(BM.MEDAcumulado,15-13*BM!$A$9)/100*BM!$I181,15-13*ORÇAMENTO!$AF$11),ROUND(ROUND(BM.MEDAcumulado,15-13*BM!$A$9)*ROUND(BM!$H181,15-13*ORÇAMENTO!$AF$10),15-13*ORÇAMENTO!$AF$11))),IF($A181=0,0,ROUND(SomaAgrupBM,15-13*ORÇAMENTO!$AF$11)))</f>
        <v>0</v>
      </c>
    </row>
    <row r="182" spans="1:41" ht="25.5" x14ac:dyDescent="0.2">
      <c r="A182" t="str">
        <f ca="1">ORÇAMENTO!C182</f>
        <v>S</v>
      </c>
      <c r="B182">
        <f ca="1">ORÇAMENTO!D182</f>
        <v>0</v>
      </c>
      <c r="C182" s="116" t="str">
        <f t="shared" ca="1" si="15"/>
        <v/>
      </c>
      <c r="D182" s="119" t="str">
        <f ca="1">ORÇAMENTO!O182</f>
        <v>-</v>
      </c>
      <c r="E182" s="172" t="str">
        <f t="shared" ca="1" si="16"/>
        <v>(abra o arquivo 'Referência 02-2025.xlsm)</v>
      </c>
      <c r="F182" s="173" t="str">
        <f ca="1">IF(RegimeExecucao="Global","",ORÇAMENTO.Unidade)</f>
        <v>-</v>
      </c>
      <c r="G182" s="124">
        <f ca="1">IF(RegimeExecucao="Global","",ORÇAMENTO!T182)</f>
        <v>311.35000000000002</v>
      </c>
      <c r="H182" s="124">
        <f ca="1">IF(RegimeExecucao="Global","",ORÇAMENTO!W182)</f>
        <v>0</v>
      </c>
      <c r="I182" s="127">
        <f ca="1">ORÇAMENTO!X182</f>
        <v>0</v>
      </c>
      <c r="J182" s="378">
        <f ca="1">IF($A182="S",IF(CAIXA.Modo,BM.AFAnterior,BM.MEDAnterior),IF(AND(RegimeExecucao="Global",$I182&gt;0,COUNTIF($AB$13:$AM$13,BM.medicao-1)&gt;0),M182/$I182*100,0))</f>
        <v>0</v>
      </c>
      <c r="K182" s="124">
        <f t="shared" ca="1" si="17"/>
        <v>0</v>
      </c>
      <c r="L182" s="379">
        <f ca="1">IF($A182="S",IF(CAIXA.Modo,BM.AFAcumulado,BM.MEDAcumulado),IF(AND(RegimeExecucao="Global",$I182&gt;0,COUNTIF($AB$13:$AM$13,BM.medicao)&gt;0),O182/$I182*100,0))</f>
        <v>0</v>
      </c>
      <c r="M182" s="380">
        <f ca="1">IF($A182="S",VTOTALBM,IF($A182=0,0,ROUND(SomaAgrupBM,15-13*ORÇAMENTO!$AF$11)))</f>
        <v>0</v>
      </c>
      <c r="N182" s="381">
        <f t="shared" ca="1" si="18"/>
        <v>0</v>
      </c>
      <c r="O182" s="127">
        <f ca="1">IF($A182="S",VTOTALBM,IF($A182=0,0,ROUND(SomaAgrupBM,15-13*ORÇAMENTO!$AF$11)))</f>
        <v>0</v>
      </c>
      <c r="Q182" s="382"/>
      <c r="R182" s="383"/>
      <c r="T182" s="119" t="str">
        <f t="shared" ca="1" si="19"/>
        <v/>
      </c>
      <c r="U182" s="172" t="str">
        <f t="shared" ca="1" si="20"/>
        <v/>
      </c>
      <c r="V182" s="173" t="str">
        <f ca="1">IF(AND($W182&gt;0,RegimeExecucao="Unitário"),$F182,"")</f>
        <v/>
      </c>
      <c r="W182" s="547">
        <f ca="1">IF($Y182&gt;0,CHOOSE(MATCH(RegimeExecucao,{"Unitário","Global"},0),IF($A182="S",$Y182/$X182,""),($Y182/$X182)*100),0)</f>
        <v>0</v>
      </c>
      <c r="X182" s="384" t="str">
        <f ca="1">IF($Y182&gt;0,CHOOSE(MATCH(RegimeExecucao,{"Unitário","Global"},0),IF($A182="S",ROUND($H182,ORÇAMENTO!$AF$10),""),ROUND($I182,ORÇAMENTO!$AF$11)),"")</f>
        <v/>
      </c>
      <c r="Y182" s="384">
        <f t="shared" ca="1" si="21"/>
        <v>0</v>
      </c>
      <c r="Z182" s="572"/>
      <c r="AB182" s="382"/>
      <c r="AC182" s="516"/>
      <c r="AD182" s="516"/>
      <c r="AE182" s="516"/>
      <c r="AF182" s="516"/>
      <c r="AG182" s="516"/>
      <c r="AH182" s="516"/>
      <c r="AI182" s="516"/>
      <c r="AJ182" s="516"/>
      <c r="AK182" s="516"/>
      <c r="AL182" s="516"/>
      <c r="AM182" s="383"/>
      <c r="AO182">
        <f ca="1">IF($A182="S",IF(BM!$I182=0,0,CHOOSE(MATCH(RegimeExecucao,{"Global","Unitário"},0),ROUND(ROUND(BM.MEDAcumulado,15-13*BM!$A$9)/100*BM!$I182,15-13*ORÇAMENTO!$AF$11),ROUND(ROUND(BM.MEDAcumulado,15-13*BM!$A$9)*ROUND(BM!$H182,15-13*ORÇAMENTO!$AF$10),15-13*ORÇAMENTO!$AF$11))),IF($A182=0,0,ROUND(SomaAgrupBM,15-13*ORÇAMENTO!$AF$11)))</f>
        <v>0</v>
      </c>
    </row>
    <row r="183" spans="1:41" x14ac:dyDescent="0.2">
      <c r="A183" t="str">
        <f ca="1">ORÇAMENTO!C183</f>
        <v>S</v>
      </c>
      <c r="B183">
        <f ca="1">ORÇAMENTO!D183</f>
        <v>0</v>
      </c>
      <c r="C183" s="116" t="str">
        <f t="shared" ca="1" si="15"/>
        <v/>
      </c>
      <c r="D183" s="119" t="str">
        <f ca="1">ORÇAMENTO!O183</f>
        <v>-</v>
      </c>
      <c r="E183" s="172" t="str">
        <f t="shared" ca="1" si="16"/>
        <v>(abra o arquivo 'Referência 02-2025.xlsm)</v>
      </c>
      <c r="F183" s="173" t="str">
        <f ca="1">IF(RegimeExecucao="Global","",ORÇAMENTO.Unidade)</f>
        <v>-</v>
      </c>
      <c r="G183" s="124">
        <f ca="1">IF(RegimeExecucao="Global","",ORÇAMENTO!T183)</f>
        <v>214.7</v>
      </c>
      <c r="H183" s="124">
        <f ca="1">IF(RegimeExecucao="Global","",ORÇAMENTO!W183)</f>
        <v>0</v>
      </c>
      <c r="I183" s="127">
        <f ca="1">ORÇAMENTO!X183</f>
        <v>0</v>
      </c>
      <c r="J183" s="378">
        <f ca="1">IF($A183="S",IF(CAIXA.Modo,BM.AFAnterior,BM.MEDAnterior),IF(AND(RegimeExecucao="Global",$I183&gt;0,COUNTIF($AB$13:$AM$13,BM.medicao-1)&gt;0),M183/$I183*100,0))</f>
        <v>0</v>
      </c>
      <c r="K183" s="124">
        <f t="shared" ca="1" si="17"/>
        <v>0</v>
      </c>
      <c r="L183" s="379">
        <f ca="1">IF($A183="S",IF(CAIXA.Modo,BM.AFAcumulado,BM.MEDAcumulado),IF(AND(RegimeExecucao="Global",$I183&gt;0,COUNTIF($AB$13:$AM$13,BM.medicao)&gt;0),O183/$I183*100,0))</f>
        <v>0</v>
      </c>
      <c r="M183" s="380">
        <f ca="1">IF($A183="S",VTOTALBM,IF($A183=0,0,ROUND(SomaAgrupBM,15-13*ORÇAMENTO!$AF$11)))</f>
        <v>0</v>
      </c>
      <c r="N183" s="381">
        <f t="shared" ca="1" si="18"/>
        <v>0</v>
      </c>
      <c r="O183" s="127">
        <f ca="1">IF($A183="S",VTOTALBM,IF($A183=0,0,ROUND(SomaAgrupBM,15-13*ORÇAMENTO!$AF$11)))</f>
        <v>0</v>
      </c>
      <c r="Q183" s="382"/>
      <c r="R183" s="383"/>
      <c r="T183" s="119" t="str">
        <f t="shared" ca="1" si="19"/>
        <v/>
      </c>
      <c r="U183" s="172" t="str">
        <f t="shared" ca="1" si="20"/>
        <v/>
      </c>
      <c r="V183" s="173" t="str">
        <f ca="1">IF(AND($W183&gt;0,RegimeExecucao="Unitário"),$F183,"")</f>
        <v/>
      </c>
      <c r="W183" s="547">
        <f ca="1">IF($Y183&gt;0,CHOOSE(MATCH(RegimeExecucao,{"Unitário","Global"},0),IF($A183="S",$Y183/$X183,""),($Y183/$X183)*100),0)</f>
        <v>0</v>
      </c>
      <c r="X183" s="384" t="str">
        <f ca="1">IF($Y183&gt;0,CHOOSE(MATCH(RegimeExecucao,{"Unitário","Global"},0),IF($A183="S",ROUND($H183,ORÇAMENTO!$AF$10),""),ROUND($I183,ORÇAMENTO!$AF$11)),"")</f>
        <v/>
      </c>
      <c r="Y183" s="384">
        <f t="shared" ca="1" si="21"/>
        <v>0</v>
      </c>
      <c r="Z183" s="572"/>
      <c r="AB183" s="382"/>
      <c r="AC183" s="516"/>
      <c r="AD183" s="516"/>
      <c r="AE183" s="516"/>
      <c r="AF183" s="516"/>
      <c r="AG183" s="516"/>
      <c r="AH183" s="516"/>
      <c r="AI183" s="516"/>
      <c r="AJ183" s="516"/>
      <c r="AK183" s="516"/>
      <c r="AL183" s="516"/>
      <c r="AM183" s="383"/>
      <c r="AO183">
        <f ca="1">IF($A183="S",IF(BM!$I183=0,0,CHOOSE(MATCH(RegimeExecucao,{"Global","Unitário"},0),ROUND(ROUND(BM.MEDAcumulado,15-13*BM!$A$9)/100*BM!$I183,15-13*ORÇAMENTO!$AF$11),ROUND(ROUND(BM.MEDAcumulado,15-13*BM!$A$9)*ROUND(BM!$H183,15-13*ORÇAMENTO!$AF$10),15-13*ORÇAMENTO!$AF$11))),IF($A183=0,0,ROUND(SomaAgrupBM,15-13*ORÇAMENTO!$AF$11)))</f>
        <v>0</v>
      </c>
    </row>
    <row r="184" spans="1:41" x14ac:dyDescent="0.2">
      <c r="A184">
        <f ca="1">ORÇAMENTO!C184</f>
        <v>2</v>
      </c>
      <c r="B184">
        <f ca="1">ORÇAMENTO!D184</f>
        <v>6</v>
      </c>
      <c r="C184" s="116" t="str">
        <f t="shared" ca="1" si="15"/>
        <v>F</v>
      </c>
      <c r="D184" s="119" t="str">
        <f ca="1">ORÇAMENTO!O184</f>
        <v>1.8.</v>
      </c>
      <c r="E184" s="172" t="str">
        <f t="shared" ca="1" si="16"/>
        <v>IMPERMEABILIZAÇÃO</v>
      </c>
      <c r="F184" s="173" t="str">
        <f ca="1">IF(RegimeExecucao="Global","",ORÇAMENTO.Unidade)</f>
        <v>-</v>
      </c>
      <c r="G184" s="124">
        <f ca="1">IF(RegimeExecucao="Global","",ORÇAMENTO!T184)</f>
        <v>0</v>
      </c>
      <c r="H184" s="124">
        <f ca="1">IF(RegimeExecucao="Global","",ORÇAMENTO!W184)</f>
        <v>0</v>
      </c>
      <c r="I184" s="127">
        <f ca="1">ORÇAMENTO!X184</f>
        <v>0</v>
      </c>
      <c r="J184" s="378">
        <f ca="1">IF($A184="S",IF(CAIXA.Modo,BM.AFAnterior,BM.MEDAnterior),IF(AND(RegimeExecucao="Global",$I184&gt;0,COUNTIF($AB$13:$AM$13,BM.medicao-1)&gt;0),M184/$I184*100,0))</f>
        <v>0</v>
      </c>
      <c r="K184" s="124">
        <f t="shared" ca="1" si="17"/>
        <v>0</v>
      </c>
      <c r="L184" s="379">
        <f ca="1">IF($A184="S",IF(CAIXA.Modo,BM.AFAcumulado,BM.MEDAcumulado),IF(AND(RegimeExecucao="Global",$I184&gt;0,COUNTIF($AB$13:$AM$13,BM.medicao)&gt;0),O184/$I184*100,0))</f>
        <v>0</v>
      </c>
      <c r="M184" s="380">
        <f ca="1">IF($A184="S",VTOTALBM,IF($A184=0,0,ROUND(SomaAgrupBM,15-13*ORÇAMENTO!$AF$11)))</f>
        <v>0</v>
      </c>
      <c r="N184" s="381">
        <f t="shared" ca="1" si="18"/>
        <v>0</v>
      </c>
      <c r="O184" s="127">
        <f ca="1">IF($A184="S",VTOTALBM,IF($A184=0,0,ROUND(SomaAgrupBM,15-13*ORÇAMENTO!$AF$11)))</f>
        <v>0</v>
      </c>
      <c r="Q184" s="382"/>
      <c r="R184" s="383"/>
      <c r="T184" s="119" t="str">
        <f t="shared" ca="1" si="19"/>
        <v/>
      </c>
      <c r="U184" s="172" t="str">
        <f t="shared" ca="1" si="20"/>
        <v/>
      </c>
      <c r="V184" s="173" t="str">
        <f ca="1">IF(AND($W184&gt;0,RegimeExecucao="Unitário"),$F184,"")</f>
        <v/>
      </c>
      <c r="W184" s="547">
        <f ca="1">IF($Y184&gt;0,CHOOSE(MATCH(RegimeExecucao,{"Unitário","Global"},0),IF($A184="S",$Y184/$X184,""),($Y184/$X184)*100),0)</f>
        <v>0</v>
      </c>
      <c r="X184" s="384" t="str">
        <f ca="1">IF($Y184&gt;0,CHOOSE(MATCH(RegimeExecucao,{"Unitário","Global"},0),IF($A184="S",ROUND($H184,ORÇAMENTO!$AF$10),""),ROUND($I184,ORÇAMENTO!$AF$11)),"")</f>
        <v/>
      </c>
      <c r="Y184" s="384">
        <f t="shared" ca="1" si="21"/>
        <v>0</v>
      </c>
      <c r="Z184" s="572"/>
      <c r="AB184" s="382"/>
      <c r="AC184" s="516"/>
      <c r="AD184" s="516"/>
      <c r="AE184" s="516"/>
      <c r="AF184" s="516"/>
      <c r="AG184" s="516"/>
      <c r="AH184" s="516"/>
      <c r="AI184" s="516"/>
      <c r="AJ184" s="516"/>
      <c r="AK184" s="516"/>
      <c r="AL184" s="516"/>
      <c r="AM184" s="383"/>
      <c r="AO184">
        <f ca="1">IF($A184="S",IF(BM!$I184=0,0,CHOOSE(MATCH(RegimeExecucao,{"Global","Unitário"},0),ROUND(ROUND(BM.MEDAcumulado,15-13*BM!$A$9)/100*BM!$I184,15-13*ORÇAMENTO!$AF$11),ROUND(ROUND(BM.MEDAcumulado,15-13*BM!$A$9)*ROUND(BM!$H184,15-13*ORÇAMENTO!$AF$10),15-13*ORÇAMENTO!$AF$11))),IF($A184=0,0,ROUND(SomaAgrupBM,15-13*ORÇAMENTO!$AF$11)))</f>
        <v>0</v>
      </c>
    </row>
    <row r="185" spans="1:41" ht="25.5" x14ac:dyDescent="0.2">
      <c r="A185" t="str">
        <f ca="1">ORÇAMENTO!C185</f>
        <v>S</v>
      </c>
      <c r="B185">
        <f ca="1">ORÇAMENTO!D185</f>
        <v>0</v>
      </c>
      <c r="C185" s="116" t="str">
        <f t="shared" ca="1" si="15"/>
        <v/>
      </c>
      <c r="D185" s="119" t="str">
        <f ca="1">ORÇAMENTO!O185</f>
        <v>-</v>
      </c>
      <c r="E185" s="172" t="str">
        <f t="shared" ca="1" si="16"/>
        <v>(abra o arquivo 'Referência 02-2025.xlsm)</v>
      </c>
      <c r="F185" s="173" t="str">
        <f ca="1">IF(RegimeExecucao="Global","",ORÇAMENTO.Unidade)</f>
        <v>-</v>
      </c>
      <c r="G185" s="124">
        <f ca="1">IF(RegimeExecucao="Global","",ORÇAMENTO!T185)</f>
        <v>696.69</v>
      </c>
      <c r="H185" s="124">
        <f ca="1">IF(RegimeExecucao="Global","",ORÇAMENTO!W185)</f>
        <v>0</v>
      </c>
      <c r="I185" s="127">
        <f ca="1">ORÇAMENTO!X185</f>
        <v>0</v>
      </c>
      <c r="J185" s="378">
        <f ca="1">IF($A185="S",IF(CAIXA.Modo,BM.AFAnterior,BM.MEDAnterior),IF(AND(RegimeExecucao="Global",$I185&gt;0,COUNTIF($AB$13:$AM$13,BM.medicao-1)&gt;0),M185/$I185*100,0))</f>
        <v>0</v>
      </c>
      <c r="K185" s="124">
        <f t="shared" ca="1" si="17"/>
        <v>0</v>
      </c>
      <c r="L185" s="379">
        <f ca="1">IF($A185="S",IF(CAIXA.Modo,BM.AFAcumulado,BM.MEDAcumulado),IF(AND(RegimeExecucao="Global",$I185&gt;0,COUNTIF($AB$13:$AM$13,BM.medicao)&gt;0),O185/$I185*100,0))</f>
        <v>0</v>
      </c>
      <c r="M185" s="380">
        <f ca="1">IF($A185="S",VTOTALBM,IF($A185=0,0,ROUND(SomaAgrupBM,15-13*ORÇAMENTO!$AF$11)))</f>
        <v>0</v>
      </c>
      <c r="N185" s="381">
        <f t="shared" ca="1" si="18"/>
        <v>0</v>
      </c>
      <c r="O185" s="127">
        <f ca="1">IF($A185="S",VTOTALBM,IF($A185=0,0,ROUND(SomaAgrupBM,15-13*ORÇAMENTO!$AF$11)))</f>
        <v>0</v>
      </c>
      <c r="Q185" s="382"/>
      <c r="R185" s="383"/>
      <c r="T185" s="119" t="str">
        <f t="shared" ca="1" si="19"/>
        <v/>
      </c>
      <c r="U185" s="172" t="str">
        <f t="shared" ca="1" si="20"/>
        <v/>
      </c>
      <c r="V185" s="173" t="str">
        <f ca="1">IF(AND($W185&gt;0,RegimeExecucao="Unitário"),$F185,"")</f>
        <v/>
      </c>
      <c r="W185" s="547">
        <f ca="1">IF($Y185&gt;0,CHOOSE(MATCH(RegimeExecucao,{"Unitário","Global"},0),IF($A185="S",$Y185/$X185,""),($Y185/$X185)*100),0)</f>
        <v>0</v>
      </c>
      <c r="X185" s="384" t="str">
        <f ca="1">IF($Y185&gt;0,CHOOSE(MATCH(RegimeExecucao,{"Unitário","Global"},0),IF($A185="S",ROUND($H185,ORÇAMENTO!$AF$10),""),ROUND($I185,ORÇAMENTO!$AF$11)),"")</f>
        <v/>
      </c>
      <c r="Y185" s="384">
        <f t="shared" ca="1" si="21"/>
        <v>0</v>
      </c>
      <c r="Z185" s="572"/>
      <c r="AB185" s="382"/>
      <c r="AC185" s="516"/>
      <c r="AD185" s="516"/>
      <c r="AE185" s="516"/>
      <c r="AF185" s="516"/>
      <c r="AG185" s="516"/>
      <c r="AH185" s="516"/>
      <c r="AI185" s="516"/>
      <c r="AJ185" s="516"/>
      <c r="AK185" s="516"/>
      <c r="AL185" s="516"/>
      <c r="AM185" s="383"/>
      <c r="AO185">
        <f ca="1">IF($A185="S",IF(BM!$I185=0,0,CHOOSE(MATCH(RegimeExecucao,{"Global","Unitário"},0),ROUND(ROUND(BM.MEDAcumulado,15-13*BM!$A$9)/100*BM!$I185,15-13*ORÇAMENTO!$AF$11),ROUND(ROUND(BM.MEDAcumulado,15-13*BM!$A$9)*ROUND(BM!$H185,15-13*ORÇAMENTO!$AF$10),15-13*ORÇAMENTO!$AF$11))),IF($A185=0,0,ROUND(SomaAgrupBM,15-13*ORÇAMENTO!$AF$11)))</f>
        <v>0</v>
      </c>
    </row>
    <row r="186" spans="1:41" ht="25.5" x14ac:dyDescent="0.2">
      <c r="A186" t="str">
        <f ca="1">ORÇAMENTO!C186</f>
        <v>S</v>
      </c>
      <c r="B186">
        <f ca="1">ORÇAMENTO!D186</f>
        <v>0</v>
      </c>
      <c r="C186" s="116" t="str">
        <f t="shared" ca="1" si="15"/>
        <v/>
      </c>
      <c r="D186" s="119" t="str">
        <f ca="1">ORÇAMENTO!O186</f>
        <v>-</v>
      </c>
      <c r="E186" s="172" t="str">
        <f t="shared" ca="1" si="16"/>
        <v>(abra o arquivo 'Referência 02-2025.xlsm)</v>
      </c>
      <c r="F186" s="173" t="str">
        <f ca="1">IF(RegimeExecucao="Global","",ORÇAMENTO.Unidade)</f>
        <v>-</v>
      </c>
      <c r="G186" s="124">
        <f ca="1">IF(RegimeExecucao="Global","",ORÇAMENTO!T186)</f>
        <v>11.75</v>
      </c>
      <c r="H186" s="124">
        <f ca="1">IF(RegimeExecucao="Global","",ORÇAMENTO!W186)</f>
        <v>0</v>
      </c>
      <c r="I186" s="127">
        <f ca="1">ORÇAMENTO!X186</f>
        <v>0</v>
      </c>
      <c r="J186" s="378">
        <f ca="1">IF($A186="S",IF(CAIXA.Modo,BM.AFAnterior,BM.MEDAnterior),IF(AND(RegimeExecucao="Global",$I186&gt;0,COUNTIF($AB$13:$AM$13,BM.medicao-1)&gt;0),M186/$I186*100,0))</f>
        <v>0</v>
      </c>
      <c r="K186" s="124">
        <f t="shared" ca="1" si="17"/>
        <v>0</v>
      </c>
      <c r="L186" s="379">
        <f ca="1">IF($A186="S",IF(CAIXA.Modo,BM.AFAcumulado,BM.MEDAcumulado),IF(AND(RegimeExecucao="Global",$I186&gt;0,COUNTIF($AB$13:$AM$13,BM.medicao)&gt;0),O186/$I186*100,0))</f>
        <v>0</v>
      </c>
      <c r="M186" s="380">
        <f ca="1">IF($A186="S",VTOTALBM,IF($A186=0,0,ROUND(SomaAgrupBM,15-13*ORÇAMENTO!$AF$11)))</f>
        <v>0</v>
      </c>
      <c r="N186" s="381">
        <f t="shared" ca="1" si="18"/>
        <v>0</v>
      </c>
      <c r="O186" s="127">
        <f ca="1">IF($A186="S",VTOTALBM,IF($A186=0,0,ROUND(SomaAgrupBM,15-13*ORÇAMENTO!$AF$11)))</f>
        <v>0</v>
      </c>
      <c r="Q186" s="382"/>
      <c r="R186" s="383"/>
      <c r="T186" s="119" t="str">
        <f t="shared" ca="1" si="19"/>
        <v/>
      </c>
      <c r="U186" s="172" t="str">
        <f t="shared" ca="1" si="20"/>
        <v/>
      </c>
      <c r="V186" s="173" t="str">
        <f ca="1">IF(AND($W186&gt;0,RegimeExecucao="Unitário"),$F186,"")</f>
        <v/>
      </c>
      <c r="W186" s="547">
        <f ca="1">IF($Y186&gt;0,CHOOSE(MATCH(RegimeExecucao,{"Unitário","Global"},0),IF($A186="S",$Y186/$X186,""),($Y186/$X186)*100),0)</f>
        <v>0</v>
      </c>
      <c r="X186" s="384" t="str">
        <f ca="1">IF($Y186&gt;0,CHOOSE(MATCH(RegimeExecucao,{"Unitário","Global"},0),IF($A186="S",ROUND($H186,ORÇAMENTO!$AF$10),""),ROUND($I186,ORÇAMENTO!$AF$11)),"")</f>
        <v/>
      </c>
      <c r="Y186" s="384">
        <f t="shared" ca="1" si="21"/>
        <v>0</v>
      </c>
      <c r="Z186" s="572"/>
      <c r="AB186" s="382"/>
      <c r="AC186" s="516"/>
      <c r="AD186" s="516"/>
      <c r="AE186" s="516"/>
      <c r="AF186" s="516"/>
      <c r="AG186" s="516"/>
      <c r="AH186" s="516"/>
      <c r="AI186" s="516"/>
      <c r="AJ186" s="516"/>
      <c r="AK186" s="516"/>
      <c r="AL186" s="516"/>
      <c r="AM186" s="383"/>
      <c r="AO186">
        <f ca="1">IF($A186="S",IF(BM!$I186=0,0,CHOOSE(MATCH(RegimeExecucao,{"Global","Unitário"},0),ROUND(ROUND(BM.MEDAcumulado,15-13*BM!$A$9)/100*BM!$I186,15-13*ORÇAMENTO!$AF$11),ROUND(ROUND(BM.MEDAcumulado,15-13*BM!$A$9)*ROUND(BM!$H186,15-13*ORÇAMENTO!$AF$10),15-13*ORÇAMENTO!$AF$11))),IF($A186=0,0,ROUND(SomaAgrupBM,15-13*ORÇAMENTO!$AF$11)))</f>
        <v>0</v>
      </c>
    </row>
    <row r="187" spans="1:41" ht="25.5" x14ac:dyDescent="0.2">
      <c r="A187" t="str">
        <f ca="1">ORÇAMENTO!C187</f>
        <v>S</v>
      </c>
      <c r="B187">
        <f ca="1">ORÇAMENTO!D187</f>
        <v>0</v>
      </c>
      <c r="C187" s="116" t="str">
        <f t="shared" ca="1" si="15"/>
        <v/>
      </c>
      <c r="D187" s="119" t="str">
        <f ca="1">ORÇAMENTO!O187</f>
        <v>-</v>
      </c>
      <c r="E187" s="172" t="str">
        <f t="shared" ca="1" si="16"/>
        <v>(abra o arquivo 'Referência 02-2025.xlsm)</v>
      </c>
      <c r="F187" s="173" t="str">
        <f ca="1">IF(RegimeExecucao="Global","",ORÇAMENTO.Unidade)</f>
        <v>-</v>
      </c>
      <c r="G187" s="124">
        <f ca="1">IF(RegimeExecucao="Global","",ORÇAMENTO!T187)</f>
        <v>206.93</v>
      </c>
      <c r="H187" s="124">
        <f ca="1">IF(RegimeExecucao="Global","",ORÇAMENTO!W187)</f>
        <v>0</v>
      </c>
      <c r="I187" s="127">
        <f ca="1">ORÇAMENTO!X187</f>
        <v>0</v>
      </c>
      <c r="J187" s="378">
        <f ca="1">IF($A187="S",IF(CAIXA.Modo,BM.AFAnterior,BM.MEDAnterior),IF(AND(RegimeExecucao="Global",$I187&gt;0,COUNTIF($AB$13:$AM$13,BM.medicao-1)&gt;0),M187/$I187*100,0))</f>
        <v>0</v>
      </c>
      <c r="K187" s="124">
        <f t="shared" ca="1" si="17"/>
        <v>0</v>
      </c>
      <c r="L187" s="379">
        <f ca="1">IF($A187="S",IF(CAIXA.Modo,BM.AFAcumulado,BM.MEDAcumulado),IF(AND(RegimeExecucao="Global",$I187&gt;0,COUNTIF($AB$13:$AM$13,BM.medicao)&gt;0),O187/$I187*100,0))</f>
        <v>0</v>
      </c>
      <c r="M187" s="380">
        <f ca="1">IF($A187="S",VTOTALBM,IF($A187=0,0,ROUND(SomaAgrupBM,15-13*ORÇAMENTO!$AF$11)))</f>
        <v>0</v>
      </c>
      <c r="N187" s="381">
        <f t="shared" ca="1" si="18"/>
        <v>0</v>
      </c>
      <c r="O187" s="127">
        <f ca="1">IF($A187="S",VTOTALBM,IF($A187=0,0,ROUND(SomaAgrupBM,15-13*ORÇAMENTO!$AF$11)))</f>
        <v>0</v>
      </c>
      <c r="Q187" s="382"/>
      <c r="R187" s="383"/>
      <c r="T187" s="119" t="str">
        <f t="shared" ca="1" si="19"/>
        <v/>
      </c>
      <c r="U187" s="172" t="str">
        <f t="shared" ca="1" si="20"/>
        <v/>
      </c>
      <c r="V187" s="173" t="str">
        <f ca="1">IF(AND($W187&gt;0,RegimeExecucao="Unitário"),$F187,"")</f>
        <v/>
      </c>
      <c r="W187" s="547">
        <f ca="1">IF($Y187&gt;0,CHOOSE(MATCH(RegimeExecucao,{"Unitário","Global"},0),IF($A187="S",$Y187/$X187,""),($Y187/$X187)*100),0)</f>
        <v>0</v>
      </c>
      <c r="X187" s="384" t="str">
        <f ca="1">IF($Y187&gt;0,CHOOSE(MATCH(RegimeExecucao,{"Unitário","Global"},0),IF($A187="S",ROUND($H187,ORÇAMENTO!$AF$10),""),ROUND($I187,ORÇAMENTO!$AF$11)),"")</f>
        <v/>
      </c>
      <c r="Y187" s="384">
        <f t="shared" ca="1" si="21"/>
        <v>0</v>
      </c>
      <c r="Z187" s="572"/>
      <c r="AB187" s="382"/>
      <c r="AC187" s="516"/>
      <c r="AD187" s="516"/>
      <c r="AE187" s="516"/>
      <c r="AF187" s="516"/>
      <c r="AG187" s="516"/>
      <c r="AH187" s="516"/>
      <c r="AI187" s="516"/>
      <c r="AJ187" s="516"/>
      <c r="AK187" s="516"/>
      <c r="AL187" s="516"/>
      <c r="AM187" s="383"/>
      <c r="AO187">
        <f ca="1">IF($A187="S",IF(BM!$I187=0,0,CHOOSE(MATCH(RegimeExecucao,{"Global","Unitário"},0),ROUND(ROUND(BM.MEDAcumulado,15-13*BM!$A$9)/100*BM!$I187,15-13*ORÇAMENTO!$AF$11),ROUND(ROUND(BM.MEDAcumulado,15-13*BM!$A$9)*ROUND(BM!$H187,15-13*ORÇAMENTO!$AF$10),15-13*ORÇAMENTO!$AF$11))),IF($A187=0,0,ROUND(SomaAgrupBM,15-13*ORÇAMENTO!$AF$11)))</f>
        <v>0</v>
      </c>
    </row>
    <row r="188" spans="1:41" ht="25.5" x14ac:dyDescent="0.2">
      <c r="A188" t="str">
        <f ca="1">ORÇAMENTO!C188</f>
        <v>S</v>
      </c>
      <c r="B188">
        <f ca="1">ORÇAMENTO!D188</f>
        <v>0</v>
      </c>
      <c r="C188" s="116" t="str">
        <f t="shared" ca="1" si="15"/>
        <v/>
      </c>
      <c r="D188" s="119" t="str">
        <f ca="1">ORÇAMENTO!O188</f>
        <v>-</v>
      </c>
      <c r="E188" s="172" t="str">
        <f t="shared" ca="1" si="16"/>
        <v>(abra o arquivo 'Referência 02-2025.xlsm)</v>
      </c>
      <c r="F188" s="173" t="str">
        <f ca="1">IF(RegimeExecucao="Global","",ORÇAMENTO.Unidade)</f>
        <v>-</v>
      </c>
      <c r="G188" s="124">
        <f ca="1">IF(RegimeExecucao="Global","",ORÇAMENTO!T188)</f>
        <v>50.17</v>
      </c>
      <c r="H188" s="124">
        <f ca="1">IF(RegimeExecucao="Global","",ORÇAMENTO!W188)</f>
        <v>0</v>
      </c>
      <c r="I188" s="127">
        <f ca="1">ORÇAMENTO!X188</f>
        <v>0</v>
      </c>
      <c r="J188" s="378">
        <f ca="1">IF($A188="S",IF(CAIXA.Modo,BM.AFAnterior,BM.MEDAnterior),IF(AND(RegimeExecucao="Global",$I188&gt;0,COUNTIF($AB$13:$AM$13,BM.medicao-1)&gt;0),M188/$I188*100,0))</f>
        <v>0</v>
      </c>
      <c r="K188" s="124">
        <f t="shared" ca="1" si="17"/>
        <v>0</v>
      </c>
      <c r="L188" s="379">
        <f ca="1">IF($A188="S",IF(CAIXA.Modo,BM.AFAcumulado,BM.MEDAcumulado),IF(AND(RegimeExecucao="Global",$I188&gt;0,COUNTIF($AB$13:$AM$13,BM.medicao)&gt;0),O188/$I188*100,0))</f>
        <v>0</v>
      </c>
      <c r="M188" s="380">
        <f ca="1">IF($A188="S",VTOTALBM,IF($A188=0,0,ROUND(SomaAgrupBM,15-13*ORÇAMENTO!$AF$11)))</f>
        <v>0</v>
      </c>
      <c r="N188" s="381">
        <f t="shared" ca="1" si="18"/>
        <v>0</v>
      </c>
      <c r="O188" s="127">
        <f ca="1">IF($A188="S",VTOTALBM,IF($A188=0,0,ROUND(SomaAgrupBM,15-13*ORÇAMENTO!$AF$11)))</f>
        <v>0</v>
      </c>
      <c r="Q188" s="382"/>
      <c r="R188" s="383"/>
      <c r="T188" s="119" t="str">
        <f t="shared" ca="1" si="19"/>
        <v/>
      </c>
      <c r="U188" s="172" t="str">
        <f t="shared" ca="1" si="20"/>
        <v/>
      </c>
      <c r="V188" s="173" t="str">
        <f ca="1">IF(AND($W188&gt;0,RegimeExecucao="Unitário"),$F188,"")</f>
        <v/>
      </c>
      <c r="W188" s="547">
        <f ca="1">IF($Y188&gt;0,CHOOSE(MATCH(RegimeExecucao,{"Unitário","Global"},0),IF($A188="S",$Y188/$X188,""),($Y188/$X188)*100),0)</f>
        <v>0</v>
      </c>
      <c r="X188" s="384" t="str">
        <f ca="1">IF($Y188&gt;0,CHOOSE(MATCH(RegimeExecucao,{"Unitário","Global"},0),IF($A188="S",ROUND($H188,ORÇAMENTO!$AF$10),""),ROUND($I188,ORÇAMENTO!$AF$11)),"")</f>
        <v/>
      </c>
      <c r="Y188" s="384">
        <f t="shared" ca="1" si="21"/>
        <v>0</v>
      </c>
      <c r="Z188" s="572"/>
      <c r="AB188" s="382"/>
      <c r="AC188" s="516"/>
      <c r="AD188" s="516"/>
      <c r="AE188" s="516"/>
      <c r="AF188" s="516"/>
      <c r="AG188" s="516"/>
      <c r="AH188" s="516"/>
      <c r="AI188" s="516"/>
      <c r="AJ188" s="516"/>
      <c r="AK188" s="516"/>
      <c r="AL188" s="516"/>
      <c r="AM188" s="383"/>
      <c r="AO188">
        <f ca="1">IF($A188="S",IF(BM!$I188=0,0,CHOOSE(MATCH(RegimeExecucao,{"Global","Unitário"},0),ROUND(ROUND(BM.MEDAcumulado,15-13*BM!$A$9)/100*BM!$I188,15-13*ORÇAMENTO!$AF$11),ROUND(ROUND(BM.MEDAcumulado,15-13*BM!$A$9)*ROUND(BM!$H188,15-13*ORÇAMENTO!$AF$10),15-13*ORÇAMENTO!$AF$11))),IF($A188=0,0,ROUND(SomaAgrupBM,15-13*ORÇAMENTO!$AF$11)))</f>
        <v>0</v>
      </c>
    </row>
    <row r="189" spans="1:41" ht="25.5" x14ac:dyDescent="0.2">
      <c r="A189" t="str">
        <f ca="1">ORÇAMENTO!C189</f>
        <v>S</v>
      </c>
      <c r="B189">
        <f ca="1">ORÇAMENTO!D189</f>
        <v>0</v>
      </c>
      <c r="C189" s="116" t="str">
        <f t="shared" ca="1" si="15"/>
        <v/>
      </c>
      <c r="D189" s="119" t="str">
        <f ca="1">ORÇAMENTO!O189</f>
        <v>-</v>
      </c>
      <c r="E189" s="172" t="str">
        <f t="shared" ca="1" si="16"/>
        <v>(abra o arquivo 'Referência 02-2025.xlsm)</v>
      </c>
      <c r="F189" s="173" t="str">
        <f ca="1">IF(RegimeExecucao="Global","",ORÇAMENTO.Unidade)</f>
        <v>-</v>
      </c>
      <c r="G189" s="124">
        <f ca="1">IF(RegimeExecucao="Global","",ORÇAMENTO!T189)</f>
        <v>11.75</v>
      </c>
      <c r="H189" s="124">
        <f ca="1">IF(RegimeExecucao="Global","",ORÇAMENTO!W189)</f>
        <v>0</v>
      </c>
      <c r="I189" s="127">
        <f ca="1">ORÇAMENTO!X189</f>
        <v>0</v>
      </c>
      <c r="J189" s="378">
        <f ca="1">IF($A189="S",IF(CAIXA.Modo,BM.AFAnterior,BM.MEDAnterior),IF(AND(RegimeExecucao="Global",$I189&gt;0,COUNTIF($AB$13:$AM$13,BM.medicao-1)&gt;0),M189/$I189*100,0))</f>
        <v>0</v>
      </c>
      <c r="K189" s="124">
        <f t="shared" ca="1" si="17"/>
        <v>0</v>
      </c>
      <c r="L189" s="379">
        <f ca="1">IF($A189="S",IF(CAIXA.Modo,BM.AFAcumulado,BM.MEDAcumulado),IF(AND(RegimeExecucao="Global",$I189&gt;0,COUNTIF($AB$13:$AM$13,BM.medicao)&gt;0),O189/$I189*100,0))</f>
        <v>0</v>
      </c>
      <c r="M189" s="380">
        <f ca="1">IF($A189="S",VTOTALBM,IF($A189=0,0,ROUND(SomaAgrupBM,15-13*ORÇAMENTO!$AF$11)))</f>
        <v>0</v>
      </c>
      <c r="N189" s="381">
        <f t="shared" ca="1" si="18"/>
        <v>0</v>
      </c>
      <c r="O189" s="127">
        <f ca="1">IF($A189="S",VTOTALBM,IF($A189=0,0,ROUND(SomaAgrupBM,15-13*ORÇAMENTO!$AF$11)))</f>
        <v>0</v>
      </c>
      <c r="Q189" s="382"/>
      <c r="R189" s="383"/>
      <c r="T189" s="119" t="str">
        <f t="shared" ca="1" si="19"/>
        <v/>
      </c>
      <c r="U189" s="172" t="str">
        <f t="shared" ca="1" si="20"/>
        <v/>
      </c>
      <c r="V189" s="173" t="str">
        <f ca="1">IF(AND($W189&gt;0,RegimeExecucao="Unitário"),$F189,"")</f>
        <v/>
      </c>
      <c r="W189" s="547">
        <f ca="1">IF($Y189&gt;0,CHOOSE(MATCH(RegimeExecucao,{"Unitário","Global"},0),IF($A189="S",$Y189/$X189,""),($Y189/$X189)*100),0)</f>
        <v>0</v>
      </c>
      <c r="X189" s="384" t="str">
        <f ca="1">IF($Y189&gt;0,CHOOSE(MATCH(RegimeExecucao,{"Unitário","Global"},0),IF($A189="S",ROUND($H189,ORÇAMENTO!$AF$10),""),ROUND($I189,ORÇAMENTO!$AF$11)),"")</f>
        <v/>
      </c>
      <c r="Y189" s="384">
        <f t="shared" ca="1" si="21"/>
        <v>0</v>
      </c>
      <c r="Z189" s="572"/>
      <c r="AB189" s="382"/>
      <c r="AC189" s="516"/>
      <c r="AD189" s="516"/>
      <c r="AE189" s="516"/>
      <c r="AF189" s="516"/>
      <c r="AG189" s="516"/>
      <c r="AH189" s="516"/>
      <c r="AI189" s="516"/>
      <c r="AJ189" s="516"/>
      <c r="AK189" s="516"/>
      <c r="AL189" s="516"/>
      <c r="AM189" s="383"/>
      <c r="AO189">
        <f ca="1">IF($A189="S",IF(BM!$I189=0,0,CHOOSE(MATCH(RegimeExecucao,{"Global","Unitário"},0),ROUND(ROUND(BM.MEDAcumulado,15-13*BM!$A$9)/100*BM!$I189,15-13*ORÇAMENTO!$AF$11),ROUND(ROUND(BM.MEDAcumulado,15-13*BM!$A$9)*ROUND(BM!$H189,15-13*ORÇAMENTO!$AF$10),15-13*ORÇAMENTO!$AF$11))),IF($A189=0,0,ROUND(SomaAgrupBM,15-13*ORÇAMENTO!$AF$11)))</f>
        <v>0</v>
      </c>
    </row>
    <row r="190" spans="1:41" x14ac:dyDescent="0.2">
      <c r="A190">
        <f ca="1">ORÇAMENTO!C190</f>
        <v>2</v>
      </c>
      <c r="B190">
        <f ca="1">ORÇAMENTO!D190</f>
        <v>16</v>
      </c>
      <c r="C190" s="116" t="str">
        <f t="shared" ca="1" si="15"/>
        <v>F</v>
      </c>
      <c r="D190" s="119" t="str">
        <f ca="1">ORÇAMENTO!O190</f>
        <v>1.9.</v>
      </c>
      <c r="E190" s="172" t="str">
        <f t="shared" ca="1" si="16"/>
        <v>REVESTIMENTOS INTERNO E EXTERNO</v>
      </c>
      <c r="F190" s="173" t="str">
        <f ca="1">IF(RegimeExecucao="Global","",ORÇAMENTO.Unidade)</f>
        <v>-</v>
      </c>
      <c r="G190" s="124">
        <f ca="1">IF(RegimeExecucao="Global","",ORÇAMENTO!T190)</f>
        <v>0</v>
      </c>
      <c r="H190" s="124">
        <f ca="1">IF(RegimeExecucao="Global","",ORÇAMENTO!W190)</f>
        <v>0</v>
      </c>
      <c r="I190" s="127">
        <f ca="1">ORÇAMENTO!X190</f>
        <v>0</v>
      </c>
      <c r="J190" s="378">
        <f ca="1">IF($A190="S",IF(CAIXA.Modo,BM.AFAnterior,BM.MEDAnterior),IF(AND(RegimeExecucao="Global",$I190&gt;0,COUNTIF($AB$13:$AM$13,BM.medicao-1)&gt;0),M190/$I190*100,0))</f>
        <v>0</v>
      </c>
      <c r="K190" s="124">
        <f t="shared" ca="1" si="17"/>
        <v>0</v>
      </c>
      <c r="L190" s="379">
        <f ca="1">IF($A190="S",IF(CAIXA.Modo,BM.AFAcumulado,BM.MEDAcumulado),IF(AND(RegimeExecucao="Global",$I190&gt;0,COUNTIF($AB$13:$AM$13,BM.medicao)&gt;0),O190/$I190*100,0))</f>
        <v>0</v>
      </c>
      <c r="M190" s="380">
        <f ca="1">IF($A190="S",VTOTALBM,IF($A190=0,0,ROUND(SomaAgrupBM,15-13*ORÇAMENTO!$AF$11)))</f>
        <v>0</v>
      </c>
      <c r="N190" s="381">
        <f t="shared" ca="1" si="18"/>
        <v>0</v>
      </c>
      <c r="O190" s="127">
        <f ca="1">IF($A190="S",VTOTALBM,IF($A190=0,0,ROUND(SomaAgrupBM,15-13*ORÇAMENTO!$AF$11)))</f>
        <v>0</v>
      </c>
      <c r="Q190" s="382"/>
      <c r="R190" s="383"/>
      <c r="T190" s="119" t="str">
        <f t="shared" ca="1" si="19"/>
        <v/>
      </c>
      <c r="U190" s="172" t="str">
        <f t="shared" ca="1" si="20"/>
        <v/>
      </c>
      <c r="V190" s="173" t="str">
        <f ca="1">IF(AND($W190&gt;0,RegimeExecucao="Unitário"),$F190,"")</f>
        <v/>
      </c>
      <c r="W190" s="547">
        <f ca="1">IF($Y190&gt;0,CHOOSE(MATCH(RegimeExecucao,{"Unitário","Global"},0),IF($A190="S",$Y190/$X190,""),($Y190/$X190)*100),0)</f>
        <v>0</v>
      </c>
      <c r="X190" s="384" t="str">
        <f ca="1">IF($Y190&gt;0,CHOOSE(MATCH(RegimeExecucao,{"Unitário","Global"},0),IF($A190="S",ROUND($H190,ORÇAMENTO!$AF$10),""),ROUND($I190,ORÇAMENTO!$AF$11)),"")</f>
        <v/>
      </c>
      <c r="Y190" s="384">
        <f t="shared" ca="1" si="21"/>
        <v>0</v>
      </c>
      <c r="Z190" s="572"/>
      <c r="AB190" s="382"/>
      <c r="AC190" s="516"/>
      <c r="AD190" s="516"/>
      <c r="AE190" s="516"/>
      <c r="AF190" s="516"/>
      <c r="AG190" s="516"/>
      <c r="AH190" s="516"/>
      <c r="AI190" s="516"/>
      <c r="AJ190" s="516"/>
      <c r="AK190" s="516"/>
      <c r="AL190" s="516"/>
      <c r="AM190" s="383"/>
      <c r="AO190">
        <f ca="1">IF($A190="S",IF(BM!$I190=0,0,CHOOSE(MATCH(RegimeExecucao,{"Global","Unitário"},0),ROUND(ROUND(BM.MEDAcumulado,15-13*BM!$A$9)/100*BM!$I190,15-13*ORÇAMENTO!$AF$11),ROUND(ROUND(BM.MEDAcumulado,15-13*BM!$A$9)*ROUND(BM!$H190,15-13*ORÇAMENTO!$AF$10),15-13*ORÇAMENTO!$AF$11))),IF($A190=0,0,ROUND(SomaAgrupBM,15-13*ORÇAMENTO!$AF$11)))</f>
        <v>0</v>
      </c>
    </row>
    <row r="191" spans="1:41" x14ac:dyDescent="0.2">
      <c r="A191">
        <f ca="1">ORÇAMENTO!C191</f>
        <v>3</v>
      </c>
      <c r="B191">
        <f ca="1">ORÇAMENTO!D191</f>
        <v>15</v>
      </c>
      <c r="C191" s="116" t="str">
        <f t="shared" ca="1" si="15"/>
        <v>F</v>
      </c>
      <c r="D191" s="119" t="str">
        <f ca="1">ORÇAMENTO!O191</f>
        <v>1.9.1.</v>
      </c>
      <c r="E191" s="172" t="str">
        <f t="shared" ca="1" si="16"/>
        <v>EDIFICAÇÃO</v>
      </c>
      <c r="F191" s="173" t="str">
        <f ca="1">IF(RegimeExecucao="Global","",ORÇAMENTO.Unidade)</f>
        <v>-</v>
      </c>
      <c r="G191" s="124">
        <f ca="1">IF(RegimeExecucao="Global","",ORÇAMENTO!T191)</f>
        <v>0</v>
      </c>
      <c r="H191" s="124">
        <f ca="1">IF(RegimeExecucao="Global","",ORÇAMENTO!W191)</f>
        <v>0</v>
      </c>
      <c r="I191" s="127">
        <f ca="1">ORÇAMENTO!X191</f>
        <v>0</v>
      </c>
      <c r="J191" s="378">
        <f ca="1">IF($A191="S",IF(CAIXA.Modo,BM.AFAnterior,BM.MEDAnterior),IF(AND(RegimeExecucao="Global",$I191&gt;0,COUNTIF($AB$13:$AM$13,BM.medicao-1)&gt;0),M191/$I191*100,0))</f>
        <v>0</v>
      </c>
      <c r="K191" s="124">
        <f t="shared" ca="1" si="17"/>
        <v>0</v>
      </c>
      <c r="L191" s="379">
        <f ca="1">IF($A191="S",IF(CAIXA.Modo,BM.AFAcumulado,BM.MEDAcumulado),IF(AND(RegimeExecucao="Global",$I191&gt;0,COUNTIF($AB$13:$AM$13,BM.medicao)&gt;0),O191/$I191*100,0))</f>
        <v>0</v>
      </c>
      <c r="M191" s="380">
        <f ca="1">IF($A191="S",VTOTALBM,IF($A191=0,0,ROUND(SomaAgrupBM,15-13*ORÇAMENTO!$AF$11)))</f>
        <v>0</v>
      </c>
      <c r="N191" s="381">
        <f t="shared" ca="1" si="18"/>
        <v>0</v>
      </c>
      <c r="O191" s="127">
        <f ca="1">IF($A191="S",VTOTALBM,IF($A191=0,0,ROUND(SomaAgrupBM,15-13*ORÇAMENTO!$AF$11)))</f>
        <v>0</v>
      </c>
      <c r="Q191" s="382"/>
      <c r="R191" s="383"/>
      <c r="T191" s="119" t="str">
        <f t="shared" ca="1" si="19"/>
        <v/>
      </c>
      <c r="U191" s="172" t="str">
        <f t="shared" ca="1" si="20"/>
        <v/>
      </c>
      <c r="V191" s="173" t="str">
        <f ca="1">IF(AND($W191&gt;0,RegimeExecucao="Unitário"),$F191,"")</f>
        <v/>
      </c>
      <c r="W191" s="547">
        <f ca="1">IF($Y191&gt;0,CHOOSE(MATCH(RegimeExecucao,{"Unitário","Global"},0),IF($A191="S",$Y191/$X191,""),($Y191/$X191)*100),0)</f>
        <v>0</v>
      </c>
      <c r="X191" s="384" t="str">
        <f ca="1">IF($Y191&gt;0,CHOOSE(MATCH(RegimeExecucao,{"Unitário","Global"},0),IF($A191="S",ROUND($H191,ORÇAMENTO!$AF$10),""),ROUND($I191,ORÇAMENTO!$AF$11)),"")</f>
        <v/>
      </c>
      <c r="Y191" s="384">
        <f t="shared" ca="1" si="21"/>
        <v>0</v>
      </c>
      <c r="Z191" s="572"/>
      <c r="AB191" s="382"/>
      <c r="AC191" s="516"/>
      <c r="AD191" s="516"/>
      <c r="AE191" s="516"/>
      <c r="AF191" s="516"/>
      <c r="AG191" s="516"/>
      <c r="AH191" s="516"/>
      <c r="AI191" s="516"/>
      <c r="AJ191" s="516"/>
      <c r="AK191" s="516"/>
      <c r="AL191" s="516"/>
      <c r="AM191" s="383"/>
      <c r="AO191">
        <f ca="1">IF($A191="S",IF(BM!$I191=0,0,CHOOSE(MATCH(RegimeExecucao,{"Global","Unitário"},0),ROUND(ROUND(BM.MEDAcumulado,15-13*BM!$A$9)/100*BM!$I191,15-13*ORÇAMENTO!$AF$11),ROUND(ROUND(BM.MEDAcumulado,15-13*BM!$A$9)*ROUND(BM!$H191,15-13*ORÇAMENTO!$AF$10),15-13*ORÇAMENTO!$AF$11))),IF($A191=0,0,ROUND(SomaAgrupBM,15-13*ORÇAMENTO!$AF$11)))</f>
        <v>0</v>
      </c>
    </row>
    <row r="192" spans="1:41" ht="51" x14ac:dyDescent="0.2">
      <c r="A192" t="str">
        <f ca="1">ORÇAMENTO!C192</f>
        <v>S</v>
      </c>
      <c r="B192">
        <f ca="1">ORÇAMENTO!D192</f>
        <v>0</v>
      </c>
      <c r="C192" s="116" t="str">
        <f t="shared" ca="1" si="15"/>
        <v/>
      </c>
      <c r="D192" s="119" t="str">
        <f ca="1">ORÇAMENTO!O192</f>
        <v>-</v>
      </c>
      <c r="E192" s="172" t="str">
        <f t="shared" ca="1" si="16"/>
        <v>(abra o arquivo 'Referência 02-2025.xlsm)</v>
      </c>
      <c r="F192" s="173" t="str">
        <f ca="1">IF(RegimeExecucao="Global","",ORÇAMENTO.Unidade)</f>
        <v>-</v>
      </c>
      <c r="G192" s="124">
        <f ca="1">IF(RegimeExecucao="Global","",ORÇAMENTO!T192)</f>
        <v>1432.82</v>
      </c>
      <c r="H192" s="124">
        <f ca="1">IF(RegimeExecucao="Global","",ORÇAMENTO!W192)</f>
        <v>0</v>
      </c>
      <c r="I192" s="127">
        <f ca="1">ORÇAMENTO!X192</f>
        <v>0</v>
      </c>
      <c r="J192" s="378">
        <f ca="1">IF($A192="S",IF(CAIXA.Modo,BM.AFAnterior,BM.MEDAnterior),IF(AND(RegimeExecucao="Global",$I192&gt;0,COUNTIF($AB$13:$AM$13,BM.medicao-1)&gt;0),M192/$I192*100,0))</f>
        <v>0</v>
      </c>
      <c r="K192" s="124">
        <f t="shared" ca="1" si="17"/>
        <v>0</v>
      </c>
      <c r="L192" s="379">
        <f ca="1">IF($A192="S",IF(CAIXA.Modo,BM.AFAcumulado,BM.MEDAcumulado),IF(AND(RegimeExecucao="Global",$I192&gt;0,COUNTIF($AB$13:$AM$13,BM.medicao)&gt;0),O192/$I192*100,0))</f>
        <v>0</v>
      </c>
      <c r="M192" s="380">
        <f ca="1">IF($A192="S",VTOTALBM,IF($A192=0,0,ROUND(SomaAgrupBM,15-13*ORÇAMENTO!$AF$11)))</f>
        <v>0</v>
      </c>
      <c r="N192" s="381">
        <f t="shared" ca="1" si="18"/>
        <v>0</v>
      </c>
      <c r="O192" s="127">
        <f ca="1">IF($A192="S",VTOTALBM,IF($A192=0,0,ROUND(SomaAgrupBM,15-13*ORÇAMENTO!$AF$11)))</f>
        <v>0</v>
      </c>
      <c r="Q192" s="382"/>
      <c r="R192" s="383"/>
      <c r="T192" s="119" t="str">
        <f t="shared" ca="1" si="19"/>
        <v/>
      </c>
      <c r="U192" s="172" t="str">
        <f t="shared" ca="1" si="20"/>
        <v/>
      </c>
      <c r="V192" s="173" t="str">
        <f ca="1">IF(AND($W192&gt;0,RegimeExecucao="Unitário"),$F192,"")</f>
        <v/>
      </c>
      <c r="W192" s="547">
        <f ca="1">IF($Y192&gt;0,CHOOSE(MATCH(RegimeExecucao,{"Unitário","Global"},0),IF($A192="S",$Y192/$X192,""),($Y192/$X192)*100),0)</f>
        <v>0</v>
      </c>
      <c r="X192" s="384" t="str">
        <f ca="1">IF($Y192&gt;0,CHOOSE(MATCH(RegimeExecucao,{"Unitário","Global"},0),IF($A192="S",ROUND($H192,ORÇAMENTO!$AF$10),""),ROUND($I192,ORÇAMENTO!$AF$11)),"")</f>
        <v/>
      </c>
      <c r="Y192" s="384">
        <f t="shared" ca="1" si="21"/>
        <v>0</v>
      </c>
      <c r="Z192" s="572"/>
      <c r="AB192" s="382"/>
      <c r="AC192" s="516"/>
      <c r="AD192" s="516"/>
      <c r="AE192" s="516"/>
      <c r="AF192" s="516"/>
      <c r="AG192" s="516"/>
      <c r="AH192" s="516"/>
      <c r="AI192" s="516"/>
      <c r="AJ192" s="516"/>
      <c r="AK192" s="516"/>
      <c r="AL192" s="516"/>
      <c r="AM192" s="383"/>
      <c r="AO192">
        <f ca="1">IF($A192="S",IF(BM!$I192=0,0,CHOOSE(MATCH(RegimeExecucao,{"Global","Unitário"},0),ROUND(ROUND(BM.MEDAcumulado,15-13*BM!$A$9)/100*BM!$I192,15-13*ORÇAMENTO!$AF$11),ROUND(ROUND(BM.MEDAcumulado,15-13*BM!$A$9)*ROUND(BM!$H192,15-13*ORÇAMENTO!$AF$10),15-13*ORÇAMENTO!$AF$11))),IF($A192=0,0,ROUND(SomaAgrupBM,15-13*ORÇAMENTO!$AF$11)))</f>
        <v>0</v>
      </c>
    </row>
    <row r="193" spans="1:41" ht="38.25" x14ac:dyDescent="0.2">
      <c r="A193" t="str">
        <f ca="1">ORÇAMENTO!C193</f>
        <v>S</v>
      </c>
      <c r="B193">
        <f ca="1">ORÇAMENTO!D193</f>
        <v>0</v>
      </c>
      <c r="C193" s="116" t="str">
        <f t="shared" ca="1" si="15"/>
        <v/>
      </c>
      <c r="D193" s="119" t="str">
        <f ca="1">ORÇAMENTO!O193</f>
        <v>-</v>
      </c>
      <c r="E193" s="172" t="str">
        <f t="shared" ca="1" si="16"/>
        <v>(abra o arquivo 'Referência 02-2025.xlsm)</v>
      </c>
      <c r="F193" s="173" t="str">
        <f ca="1">IF(RegimeExecucao="Global","",ORÇAMENTO.Unidade)</f>
        <v>-</v>
      </c>
      <c r="G193" s="124">
        <f ca="1">IF(RegimeExecucao="Global","",ORÇAMENTO!T193)</f>
        <v>2430.19</v>
      </c>
      <c r="H193" s="124">
        <f ca="1">IF(RegimeExecucao="Global","",ORÇAMENTO!W193)</f>
        <v>0</v>
      </c>
      <c r="I193" s="127">
        <f ca="1">ORÇAMENTO!X193</f>
        <v>0</v>
      </c>
      <c r="J193" s="378">
        <f ca="1">IF($A193="S",IF(CAIXA.Modo,BM.AFAnterior,BM.MEDAnterior),IF(AND(RegimeExecucao="Global",$I193&gt;0,COUNTIF($AB$13:$AM$13,BM.medicao-1)&gt;0),M193/$I193*100,0))</f>
        <v>0</v>
      </c>
      <c r="K193" s="124">
        <f t="shared" ca="1" si="17"/>
        <v>0</v>
      </c>
      <c r="L193" s="379">
        <f ca="1">IF($A193="S",IF(CAIXA.Modo,BM.AFAcumulado,BM.MEDAcumulado),IF(AND(RegimeExecucao="Global",$I193&gt;0,COUNTIF($AB$13:$AM$13,BM.medicao)&gt;0),O193/$I193*100,0))</f>
        <v>0</v>
      </c>
      <c r="M193" s="380">
        <f ca="1">IF($A193="S",VTOTALBM,IF($A193=0,0,ROUND(SomaAgrupBM,15-13*ORÇAMENTO!$AF$11)))</f>
        <v>0</v>
      </c>
      <c r="N193" s="381">
        <f t="shared" ca="1" si="18"/>
        <v>0</v>
      </c>
      <c r="O193" s="127">
        <f ca="1">IF($A193="S",VTOTALBM,IF($A193=0,0,ROUND(SomaAgrupBM,15-13*ORÇAMENTO!$AF$11)))</f>
        <v>0</v>
      </c>
      <c r="Q193" s="382"/>
      <c r="R193" s="383"/>
      <c r="T193" s="119" t="str">
        <f t="shared" ca="1" si="19"/>
        <v/>
      </c>
      <c r="U193" s="172" t="str">
        <f t="shared" ca="1" si="20"/>
        <v/>
      </c>
      <c r="V193" s="173" t="str">
        <f ca="1">IF(AND($W193&gt;0,RegimeExecucao="Unitário"),$F193,"")</f>
        <v/>
      </c>
      <c r="W193" s="547">
        <f ca="1">IF($Y193&gt;0,CHOOSE(MATCH(RegimeExecucao,{"Unitário","Global"},0),IF($A193="S",$Y193/$X193,""),($Y193/$X193)*100),0)</f>
        <v>0</v>
      </c>
      <c r="X193" s="384" t="str">
        <f ca="1">IF($Y193&gt;0,CHOOSE(MATCH(RegimeExecucao,{"Unitário","Global"},0),IF($A193="S",ROUND($H193,ORÇAMENTO!$AF$10),""),ROUND($I193,ORÇAMENTO!$AF$11)),"")</f>
        <v/>
      </c>
      <c r="Y193" s="384">
        <f t="shared" ca="1" si="21"/>
        <v>0</v>
      </c>
      <c r="Z193" s="572"/>
      <c r="AB193" s="382"/>
      <c r="AC193" s="516"/>
      <c r="AD193" s="516"/>
      <c r="AE193" s="516"/>
      <c r="AF193" s="516"/>
      <c r="AG193" s="516"/>
      <c r="AH193" s="516"/>
      <c r="AI193" s="516"/>
      <c r="AJ193" s="516"/>
      <c r="AK193" s="516"/>
      <c r="AL193" s="516"/>
      <c r="AM193" s="383"/>
      <c r="AO193">
        <f ca="1">IF($A193="S",IF(BM!$I193=0,0,CHOOSE(MATCH(RegimeExecucao,{"Global","Unitário"},0),ROUND(ROUND(BM.MEDAcumulado,15-13*BM!$A$9)/100*BM!$I193,15-13*ORÇAMENTO!$AF$11),ROUND(ROUND(BM.MEDAcumulado,15-13*BM!$A$9)*ROUND(BM!$H193,15-13*ORÇAMENTO!$AF$10),15-13*ORÇAMENTO!$AF$11))),IF($A193=0,0,ROUND(SomaAgrupBM,15-13*ORÇAMENTO!$AF$11)))</f>
        <v>0</v>
      </c>
    </row>
    <row r="194" spans="1:41" ht="51" x14ac:dyDescent="0.2">
      <c r="A194" t="str">
        <f ca="1">ORÇAMENTO!C194</f>
        <v>S</v>
      </c>
      <c r="B194">
        <f ca="1">ORÇAMENTO!D194</f>
        <v>0</v>
      </c>
      <c r="C194" s="116" t="str">
        <f t="shared" ca="1" si="15"/>
        <v/>
      </c>
      <c r="D194" s="119" t="str">
        <f ca="1">ORÇAMENTO!O194</f>
        <v>-</v>
      </c>
      <c r="E194" s="172" t="str">
        <f t="shared" ca="1" si="16"/>
        <v>(abra o arquivo 'Referência 02-2025.xlsm)</v>
      </c>
      <c r="F194" s="173" t="str">
        <f ca="1">IF(RegimeExecucao="Global","",ORÇAMENTO.Unidade)</f>
        <v>-</v>
      </c>
      <c r="G194" s="124">
        <f ca="1">IF(RegimeExecucao="Global","",ORÇAMENTO!T194)</f>
        <v>1433.98</v>
      </c>
      <c r="H194" s="124">
        <f ca="1">IF(RegimeExecucao="Global","",ORÇAMENTO!W194)</f>
        <v>0</v>
      </c>
      <c r="I194" s="127">
        <f ca="1">ORÇAMENTO!X194</f>
        <v>0</v>
      </c>
      <c r="J194" s="378">
        <f ca="1">IF($A194="S",IF(CAIXA.Modo,BM.AFAnterior,BM.MEDAnterior),IF(AND(RegimeExecucao="Global",$I194&gt;0,COUNTIF($AB$13:$AM$13,BM.medicao-1)&gt;0),M194/$I194*100,0))</f>
        <v>0</v>
      </c>
      <c r="K194" s="124">
        <f t="shared" ca="1" si="17"/>
        <v>0</v>
      </c>
      <c r="L194" s="379">
        <f ca="1">IF($A194="S",IF(CAIXA.Modo,BM.AFAcumulado,BM.MEDAcumulado),IF(AND(RegimeExecucao="Global",$I194&gt;0,COUNTIF($AB$13:$AM$13,BM.medicao)&gt;0),O194/$I194*100,0))</f>
        <v>0</v>
      </c>
      <c r="M194" s="380">
        <f ca="1">IF($A194="S",VTOTALBM,IF($A194=0,0,ROUND(SomaAgrupBM,15-13*ORÇAMENTO!$AF$11)))</f>
        <v>0</v>
      </c>
      <c r="N194" s="381">
        <f t="shared" ca="1" si="18"/>
        <v>0</v>
      </c>
      <c r="O194" s="127">
        <f ca="1">IF($A194="S",VTOTALBM,IF($A194=0,0,ROUND(SomaAgrupBM,15-13*ORÇAMENTO!$AF$11)))</f>
        <v>0</v>
      </c>
      <c r="Q194" s="382"/>
      <c r="R194" s="383"/>
      <c r="T194" s="119" t="str">
        <f t="shared" ca="1" si="19"/>
        <v/>
      </c>
      <c r="U194" s="172" t="str">
        <f t="shared" ca="1" si="20"/>
        <v/>
      </c>
      <c r="V194" s="173" t="str">
        <f ca="1">IF(AND($W194&gt;0,RegimeExecucao="Unitário"),$F194,"")</f>
        <v/>
      </c>
      <c r="W194" s="547">
        <f ca="1">IF($Y194&gt;0,CHOOSE(MATCH(RegimeExecucao,{"Unitário","Global"},0),IF($A194="S",$Y194/$X194,""),($Y194/$X194)*100),0)</f>
        <v>0</v>
      </c>
      <c r="X194" s="384" t="str">
        <f ca="1">IF($Y194&gt;0,CHOOSE(MATCH(RegimeExecucao,{"Unitário","Global"},0),IF($A194="S",ROUND($H194,ORÇAMENTO!$AF$10),""),ROUND($I194,ORÇAMENTO!$AF$11)),"")</f>
        <v/>
      </c>
      <c r="Y194" s="384">
        <f t="shared" ca="1" si="21"/>
        <v>0</v>
      </c>
      <c r="Z194" s="572"/>
      <c r="AB194" s="382"/>
      <c r="AC194" s="516"/>
      <c r="AD194" s="516"/>
      <c r="AE194" s="516"/>
      <c r="AF194" s="516"/>
      <c r="AG194" s="516"/>
      <c r="AH194" s="516"/>
      <c r="AI194" s="516"/>
      <c r="AJ194" s="516"/>
      <c r="AK194" s="516"/>
      <c r="AL194" s="516"/>
      <c r="AM194" s="383"/>
      <c r="AO194">
        <f ca="1">IF($A194="S",IF(BM!$I194=0,0,CHOOSE(MATCH(RegimeExecucao,{"Global","Unitário"},0),ROUND(ROUND(BM.MEDAcumulado,15-13*BM!$A$9)/100*BM!$I194,15-13*ORÇAMENTO!$AF$11),ROUND(ROUND(BM.MEDAcumulado,15-13*BM!$A$9)*ROUND(BM!$H194,15-13*ORÇAMENTO!$AF$10),15-13*ORÇAMENTO!$AF$11))),IF($A194=0,0,ROUND(SomaAgrupBM,15-13*ORÇAMENTO!$AF$11)))</f>
        <v>0</v>
      </c>
    </row>
    <row r="195" spans="1:41" ht="51" x14ac:dyDescent="0.2">
      <c r="A195" t="str">
        <f ca="1">ORÇAMENTO!C195</f>
        <v>S</v>
      </c>
      <c r="B195">
        <f ca="1">ORÇAMENTO!D195</f>
        <v>0</v>
      </c>
      <c r="C195" s="116" t="str">
        <f t="shared" ca="1" si="15"/>
        <v/>
      </c>
      <c r="D195" s="119" t="str">
        <f ca="1">ORÇAMENTO!O195</f>
        <v>-</v>
      </c>
      <c r="E195" s="172" t="str">
        <f t="shared" ca="1" si="16"/>
        <v>(abra o arquivo 'Referência 02-2025.xlsm)</v>
      </c>
      <c r="F195" s="173" t="str">
        <f ca="1">IF(RegimeExecucao="Global","",ORÇAMENTO.Unidade)</f>
        <v>-</v>
      </c>
      <c r="G195" s="124">
        <f ca="1">IF(RegimeExecucao="Global","",ORÇAMENTO!T195)</f>
        <v>1411.77</v>
      </c>
      <c r="H195" s="124">
        <f ca="1">IF(RegimeExecucao="Global","",ORÇAMENTO!W195)</f>
        <v>0</v>
      </c>
      <c r="I195" s="127">
        <f ca="1">ORÇAMENTO!X195</f>
        <v>0</v>
      </c>
      <c r="J195" s="378">
        <f ca="1">IF($A195="S",IF(CAIXA.Modo,BM.AFAnterior,BM.MEDAnterior),IF(AND(RegimeExecucao="Global",$I195&gt;0,COUNTIF($AB$13:$AM$13,BM.medicao-1)&gt;0),M195/$I195*100,0))</f>
        <v>0</v>
      </c>
      <c r="K195" s="124">
        <f t="shared" ca="1" si="17"/>
        <v>0</v>
      </c>
      <c r="L195" s="379">
        <f ca="1">IF($A195="S",IF(CAIXA.Modo,BM.AFAcumulado,BM.MEDAcumulado),IF(AND(RegimeExecucao="Global",$I195&gt;0,COUNTIF($AB$13:$AM$13,BM.medicao)&gt;0),O195/$I195*100,0))</f>
        <v>0</v>
      </c>
      <c r="M195" s="380">
        <f ca="1">IF($A195="S",VTOTALBM,IF($A195=0,0,ROUND(SomaAgrupBM,15-13*ORÇAMENTO!$AF$11)))</f>
        <v>0</v>
      </c>
      <c r="N195" s="381">
        <f t="shared" ca="1" si="18"/>
        <v>0</v>
      </c>
      <c r="O195" s="127">
        <f ca="1">IF($A195="S",VTOTALBM,IF($A195=0,0,ROUND(SomaAgrupBM,15-13*ORÇAMENTO!$AF$11)))</f>
        <v>0</v>
      </c>
      <c r="Q195" s="382"/>
      <c r="R195" s="383"/>
      <c r="T195" s="119" t="str">
        <f t="shared" ca="1" si="19"/>
        <v/>
      </c>
      <c r="U195" s="172" t="str">
        <f t="shared" ca="1" si="20"/>
        <v/>
      </c>
      <c r="V195" s="173" t="str">
        <f ca="1">IF(AND($W195&gt;0,RegimeExecucao="Unitário"),$F195,"")</f>
        <v/>
      </c>
      <c r="W195" s="547">
        <f ca="1">IF($Y195&gt;0,CHOOSE(MATCH(RegimeExecucao,{"Unitário","Global"},0),IF($A195="S",$Y195/$X195,""),($Y195/$X195)*100),0)</f>
        <v>0</v>
      </c>
      <c r="X195" s="384" t="str">
        <f ca="1">IF($Y195&gt;0,CHOOSE(MATCH(RegimeExecucao,{"Unitário","Global"},0),IF($A195="S",ROUND($H195,ORÇAMENTO!$AF$10),""),ROUND($I195,ORÇAMENTO!$AF$11)),"")</f>
        <v/>
      </c>
      <c r="Y195" s="384">
        <f t="shared" ca="1" si="21"/>
        <v>0</v>
      </c>
      <c r="Z195" s="572"/>
      <c r="AB195" s="382"/>
      <c r="AC195" s="516"/>
      <c r="AD195" s="516"/>
      <c r="AE195" s="516"/>
      <c r="AF195" s="516"/>
      <c r="AG195" s="516"/>
      <c r="AH195" s="516"/>
      <c r="AI195" s="516"/>
      <c r="AJ195" s="516"/>
      <c r="AK195" s="516"/>
      <c r="AL195" s="516"/>
      <c r="AM195" s="383"/>
      <c r="AO195">
        <f ca="1">IF($A195="S",IF(BM!$I195=0,0,CHOOSE(MATCH(RegimeExecucao,{"Global","Unitário"},0),ROUND(ROUND(BM.MEDAcumulado,15-13*BM!$A$9)/100*BM!$I195,15-13*ORÇAMENTO!$AF$11),ROUND(ROUND(BM.MEDAcumulado,15-13*BM!$A$9)*ROUND(BM!$H195,15-13*ORÇAMENTO!$AF$10),15-13*ORÇAMENTO!$AF$11))),IF($A195=0,0,ROUND(SomaAgrupBM,15-13*ORÇAMENTO!$AF$11)))</f>
        <v>0</v>
      </c>
    </row>
    <row r="196" spans="1:41" ht="38.25" x14ac:dyDescent="0.2">
      <c r="A196" t="str">
        <f ca="1">ORÇAMENTO!C196</f>
        <v>S</v>
      </c>
      <c r="B196">
        <f ca="1">ORÇAMENTO!D196</f>
        <v>0</v>
      </c>
      <c r="C196" s="116" t="str">
        <f t="shared" ca="1" si="15"/>
        <v/>
      </c>
      <c r="D196" s="119" t="str">
        <f ca="1">ORÇAMENTO!O196</f>
        <v>-</v>
      </c>
      <c r="E196" s="172" t="str">
        <f t="shared" ca="1" si="16"/>
        <v>(abra o arquivo 'Referência 02-2025.xlsm)</v>
      </c>
      <c r="F196" s="173" t="str">
        <f ca="1">IF(RegimeExecucao="Global","",ORÇAMENTO.Unidade)</f>
        <v>-</v>
      </c>
      <c r="G196" s="124">
        <f ca="1">IF(RegimeExecucao="Global","",ORÇAMENTO!T196)</f>
        <v>1574.15</v>
      </c>
      <c r="H196" s="124">
        <f ca="1">IF(RegimeExecucao="Global","",ORÇAMENTO!W196)</f>
        <v>0</v>
      </c>
      <c r="I196" s="127">
        <f ca="1">ORÇAMENTO!X196</f>
        <v>0</v>
      </c>
      <c r="J196" s="378">
        <f ca="1">IF($A196="S",IF(CAIXA.Modo,BM.AFAnterior,BM.MEDAnterior),IF(AND(RegimeExecucao="Global",$I196&gt;0,COUNTIF($AB$13:$AM$13,BM.medicao-1)&gt;0),M196/$I196*100,0))</f>
        <v>0</v>
      </c>
      <c r="K196" s="124">
        <f t="shared" ca="1" si="17"/>
        <v>0</v>
      </c>
      <c r="L196" s="379">
        <f ca="1">IF($A196="S",IF(CAIXA.Modo,BM.AFAcumulado,BM.MEDAcumulado),IF(AND(RegimeExecucao="Global",$I196&gt;0,COUNTIF($AB$13:$AM$13,BM.medicao)&gt;0),O196/$I196*100,0))</f>
        <v>0</v>
      </c>
      <c r="M196" s="380">
        <f ca="1">IF($A196="S",VTOTALBM,IF($A196=0,0,ROUND(SomaAgrupBM,15-13*ORÇAMENTO!$AF$11)))</f>
        <v>0</v>
      </c>
      <c r="N196" s="381">
        <f t="shared" ca="1" si="18"/>
        <v>0</v>
      </c>
      <c r="O196" s="127">
        <f ca="1">IF($A196="S",VTOTALBM,IF($A196=0,0,ROUND(SomaAgrupBM,15-13*ORÇAMENTO!$AF$11)))</f>
        <v>0</v>
      </c>
      <c r="Q196" s="382"/>
      <c r="R196" s="383"/>
      <c r="T196" s="119" t="str">
        <f t="shared" ca="1" si="19"/>
        <v/>
      </c>
      <c r="U196" s="172" t="str">
        <f t="shared" ca="1" si="20"/>
        <v/>
      </c>
      <c r="V196" s="173" t="str">
        <f ca="1">IF(AND($W196&gt;0,RegimeExecucao="Unitário"),$F196,"")</f>
        <v/>
      </c>
      <c r="W196" s="547">
        <f ca="1">IF($Y196&gt;0,CHOOSE(MATCH(RegimeExecucao,{"Unitário","Global"},0),IF($A196="S",$Y196/$X196,""),($Y196/$X196)*100),0)</f>
        <v>0</v>
      </c>
      <c r="X196" s="384" t="str">
        <f ca="1">IF($Y196&gt;0,CHOOSE(MATCH(RegimeExecucao,{"Unitário","Global"},0),IF($A196="S",ROUND($H196,ORÇAMENTO!$AF$10),""),ROUND($I196,ORÇAMENTO!$AF$11)),"")</f>
        <v/>
      </c>
      <c r="Y196" s="384">
        <f t="shared" ca="1" si="21"/>
        <v>0</v>
      </c>
      <c r="Z196" s="572"/>
      <c r="AB196" s="382"/>
      <c r="AC196" s="516"/>
      <c r="AD196" s="516"/>
      <c r="AE196" s="516"/>
      <c r="AF196" s="516"/>
      <c r="AG196" s="516"/>
      <c r="AH196" s="516"/>
      <c r="AI196" s="516"/>
      <c r="AJ196" s="516"/>
      <c r="AK196" s="516"/>
      <c r="AL196" s="516"/>
      <c r="AM196" s="383"/>
      <c r="AO196">
        <f ca="1">IF($A196="S",IF(BM!$I196=0,0,CHOOSE(MATCH(RegimeExecucao,{"Global","Unitário"},0),ROUND(ROUND(BM.MEDAcumulado,15-13*BM!$A$9)/100*BM!$I196,15-13*ORÇAMENTO!$AF$11),ROUND(ROUND(BM.MEDAcumulado,15-13*BM!$A$9)*ROUND(BM!$H196,15-13*ORÇAMENTO!$AF$10),15-13*ORÇAMENTO!$AF$11))),IF($A196=0,0,ROUND(SomaAgrupBM,15-13*ORÇAMENTO!$AF$11)))</f>
        <v>0</v>
      </c>
    </row>
    <row r="197" spans="1:41" ht="38.25" x14ac:dyDescent="0.2">
      <c r="A197" t="str">
        <f ca="1">ORÇAMENTO!C197</f>
        <v>S</v>
      </c>
      <c r="B197">
        <f ca="1">ORÇAMENTO!D197</f>
        <v>0</v>
      </c>
      <c r="C197" s="116" t="str">
        <f t="shared" ca="1" si="15"/>
        <v/>
      </c>
      <c r="D197" s="119" t="str">
        <f ca="1">ORÇAMENTO!O197</f>
        <v>-</v>
      </c>
      <c r="E197" s="172" t="str">
        <f t="shared" ca="1" si="16"/>
        <v>(abra o arquivo 'Referência 02-2025.xlsm)</v>
      </c>
      <c r="F197" s="173" t="str">
        <f ca="1">IF(RegimeExecucao="Global","",ORÇAMENTO.Unidade)</f>
        <v>-</v>
      </c>
      <c r="G197" s="124">
        <f ca="1">IF(RegimeExecucao="Global","",ORÇAMENTO!T197)</f>
        <v>660.81</v>
      </c>
      <c r="H197" s="124">
        <f ca="1">IF(RegimeExecucao="Global","",ORÇAMENTO!W197)</f>
        <v>0</v>
      </c>
      <c r="I197" s="127">
        <f ca="1">ORÇAMENTO!X197</f>
        <v>0</v>
      </c>
      <c r="J197" s="378">
        <f ca="1">IF($A197="S",IF(CAIXA.Modo,BM.AFAnterior,BM.MEDAnterior),IF(AND(RegimeExecucao="Global",$I197&gt;0,COUNTIF($AB$13:$AM$13,BM.medicao-1)&gt;0),M197/$I197*100,0))</f>
        <v>0</v>
      </c>
      <c r="K197" s="124">
        <f t="shared" ca="1" si="17"/>
        <v>0</v>
      </c>
      <c r="L197" s="379">
        <f ca="1">IF($A197="S",IF(CAIXA.Modo,BM.AFAcumulado,BM.MEDAcumulado),IF(AND(RegimeExecucao="Global",$I197&gt;0,COUNTIF($AB$13:$AM$13,BM.medicao)&gt;0),O197/$I197*100,0))</f>
        <v>0</v>
      </c>
      <c r="M197" s="380">
        <f ca="1">IF($A197="S",VTOTALBM,IF($A197=0,0,ROUND(SomaAgrupBM,15-13*ORÇAMENTO!$AF$11)))</f>
        <v>0</v>
      </c>
      <c r="N197" s="381">
        <f t="shared" ca="1" si="18"/>
        <v>0</v>
      </c>
      <c r="O197" s="127">
        <f ca="1">IF($A197="S",VTOTALBM,IF($A197=0,0,ROUND(SomaAgrupBM,15-13*ORÇAMENTO!$AF$11)))</f>
        <v>0</v>
      </c>
      <c r="Q197" s="382"/>
      <c r="R197" s="383"/>
      <c r="T197" s="119" t="str">
        <f t="shared" ca="1" si="19"/>
        <v/>
      </c>
      <c r="U197" s="172" t="str">
        <f t="shared" ca="1" si="20"/>
        <v/>
      </c>
      <c r="V197" s="173" t="str">
        <f ca="1">IF(AND($W197&gt;0,RegimeExecucao="Unitário"),$F197,"")</f>
        <v/>
      </c>
      <c r="W197" s="547">
        <f ca="1">IF($Y197&gt;0,CHOOSE(MATCH(RegimeExecucao,{"Unitário","Global"},0),IF($A197="S",$Y197/$X197,""),($Y197/$X197)*100),0)</f>
        <v>0</v>
      </c>
      <c r="X197" s="384" t="str">
        <f ca="1">IF($Y197&gt;0,CHOOSE(MATCH(RegimeExecucao,{"Unitário","Global"},0),IF($A197="S",ROUND($H197,ORÇAMENTO!$AF$10),""),ROUND($I197,ORÇAMENTO!$AF$11)),"")</f>
        <v/>
      </c>
      <c r="Y197" s="384">
        <f t="shared" ca="1" si="21"/>
        <v>0</v>
      </c>
      <c r="Z197" s="572"/>
      <c r="AB197" s="382"/>
      <c r="AC197" s="516"/>
      <c r="AD197" s="516"/>
      <c r="AE197" s="516"/>
      <c r="AF197" s="516"/>
      <c r="AG197" s="516"/>
      <c r="AH197" s="516"/>
      <c r="AI197" s="516"/>
      <c r="AJ197" s="516"/>
      <c r="AK197" s="516"/>
      <c r="AL197" s="516"/>
      <c r="AM197" s="383"/>
      <c r="AO197">
        <f ca="1">IF($A197="S",IF(BM!$I197=0,0,CHOOSE(MATCH(RegimeExecucao,{"Global","Unitário"},0),ROUND(ROUND(BM.MEDAcumulado,15-13*BM!$A$9)/100*BM!$I197,15-13*ORÇAMENTO!$AF$11),ROUND(ROUND(BM.MEDAcumulado,15-13*BM!$A$9)*ROUND(BM!$H197,15-13*ORÇAMENTO!$AF$10),15-13*ORÇAMENTO!$AF$11))),IF($A197=0,0,ROUND(SomaAgrupBM,15-13*ORÇAMENTO!$AF$11)))</f>
        <v>0</v>
      </c>
    </row>
    <row r="198" spans="1:41" ht="38.25" x14ac:dyDescent="0.2">
      <c r="A198" t="str">
        <f ca="1">ORÇAMENTO!C198</f>
        <v>S</v>
      </c>
      <c r="B198">
        <f ca="1">ORÇAMENTO!D198</f>
        <v>0</v>
      </c>
      <c r="C198" s="116" t="str">
        <f t="shared" ca="1" si="15"/>
        <v/>
      </c>
      <c r="D198" s="119" t="str">
        <f ca="1">ORÇAMENTO!O198</f>
        <v>-</v>
      </c>
      <c r="E198" s="172" t="str">
        <f t="shared" ca="1" si="16"/>
        <v>(abra o arquivo 'Referência 02-2025.xlsm)</v>
      </c>
      <c r="F198" s="173" t="str">
        <f ca="1">IF(RegimeExecucao="Global","",ORÇAMENTO.Unidade)</f>
        <v>-</v>
      </c>
      <c r="G198" s="124">
        <f ca="1">IF(RegimeExecucao="Global","",ORÇAMENTO!T198)</f>
        <v>139.66999999999999</v>
      </c>
      <c r="H198" s="124">
        <f ca="1">IF(RegimeExecucao="Global","",ORÇAMENTO!W198)</f>
        <v>0</v>
      </c>
      <c r="I198" s="127">
        <f ca="1">ORÇAMENTO!X198</f>
        <v>0</v>
      </c>
      <c r="J198" s="378">
        <f ca="1">IF($A198="S",IF(CAIXA.Modo,BM.AFAnterior,BM.MEDAnterior),IF(AND(RegimeExecucao="Global",$I198&gt;0,COUNTIF($AB$13:$AM$13,BM.medicao-1)&gt;0),M198/$I198*100,0))</f>
        <v>0</v>
      </c>
      <c r="K198" s="124">
        <f t="shared" ca="1" si="17"/>
        <v>0</v>
      </c>
      <c r="L198" s="379">
        <f ca="1">IF($A198="S",IF(CAIXA.Modo,BM.AFAcumulado,BM.MEDAcumulado),IF(AND(RegimeExecucao="Global",$I198&gt;0,COUNTIF($AB$13:$AM$13,BM.medicao)&gt;0),O198/$I198*100,0))</f>
        <v>0</v>
      </c>
      <c r="M198" s="380">
        <f ca="1">IF($A198="S",VTOTALBM,IF($A198=0,0,ROUND(SomaAgrupBM,15-13*ORÇAMENTO!$AF$11)))</f>
        <v>0</v>
      </c>
      <c r="N198" s="381">
        <f t="shared" ca="1" si="18"/>
        <v>0</v>
      </c>
      <c r="O198" s="127">
        <f ca="1">IF($A198="S",VTOTALBM,IF($A198=0,0,ROUND(SomaAgrupBM,15-13*ORÇAMENTO!$AF$11)))</f>
        <v>0</v>
      </c>
      <c r="Q198" s="382"/>
      <c r="R198" s="383"/>
      <c r="T198" s="119" t="str">
        <f t="shared" ca="1" si="19"/>
        <v/>
      </c>
      <c r="U198" s="172" t="str">
        <f t="shared" ca="1" si="20"/>
        <v/>
      </c>
      <c r="V198" s="173" t="str">
        <f ca="1">IF(AND($W198&gt;0,RegimeExecucao="Unitário"),$F198,"")</f>
        <v/>
      </c>
      <c r="W198" s="547">
        <f ca="1">IF($Y198&gt;0,CHOOSE(MATCH(RegimeExecucao,{"Unitário","Global"},0),IF($A198="S",$Y198/$X198,""),($Y198/$X198)*100),0)</f>
        <v>0</v>
      </c>
      <c r="X198" s="384" t="str">
        <f ca="1">IF($Y198&gt;0,CHOOSE(MATCH(RegimeExecucao,{"Unitário","Global"},0),IF($A198="S",ROUND($H198,ORÇAMENTO!$AF$10),""),ROUND($I198,ORÇAMENTO!$AF$11)),"")</f>
        <v/>
      </c>
      <c r="Y198" s="384">
        <f t="shared" ca="1" si="21"/>
        <v>0</v>
      </c>
      <c r="Z198" s="572"/>
      <c r="AB198" s="382"/>
      <c r="AC198" s="516"/>
      <c r="AD198" s="516"/>
      <c r="AE198" s="516"/>
      <c r="AF198" s="516"/>
      <c r="AG198" s="516"/>
      <c r="AH198" s="516"/>
      <c r="AI198" s="516"/>
      <c r="AJ198" s="516"/>
      <c r="AK198" s="516"/>
      <c r="AL198" s="516"/>
      <c r="AM198" s="383"/>
      <c r="AO198">
        <f ca="1">IF($A198="S",IF(BM!$I198=0,0,CHOOSE(MATCH(RegimeExecucao,{"Global","Unitário"},0),ROUND(ROUND(BM.MEDAcumulado,15-13*BM!$A$9)/100*BM!$I198,15-13*ORÇAMENTO!$AF$11),ROUND(ROUND(BM.MEDAcumulado,15-13*BM!$A$9)*ROUND(BM!$H198,15-13*ORÇAMENTO!$AF$10),15-13*ORÇAMENTO!$AF$11))),IF($A198=0,0,ROUND(SomaAgrupBM,15-13*ORÇAMENTO!$AF$11)))</f>
        <v>0</v>
      </c>
    </row>
    <row r="199" spans="1:41" ht="38.25" x14ac:dyDescent="0.2">
      <c r="A199" t="str">
        <f ca="1">ORÇAMENTO!C199</f>
        <v>S</v>
      </c>
      <c r="B199">
        <f ca="1">ORÇAMENTO!D199</f>
        <v>0</v>
      </c>
      <c r="C199" s="116" t="str">
        <f t="shared" ca="1" si="15"/>
        <v/>
      </c>
      <c r="D199" s="119" t="str">
        <f ca="1">ORÇAMENTO!O199</f>
        <v>-</v>
      </c>
      <c r="E199" s="172" t="str">
        <f t="shared" ca="1" si="16"/>
        <v>(abra o arquivo 'Referência 02-2025.xlsm)</v>
      </c>
      <c r="F199" s="173" t="str">
        <f ca="1">IF(RegimeExecucao="Global","",ORÇAMENTO.Unidade)</f>
        <v>-</v>
      </c>
      <c r="G199" s="124">
        <f ca="1">IF(RegimeExecucao="Global","",ORÇAMENTO!T199)</f>
        <v>8.4600000000000009</v>
      </c>
      <c r="H199" s="124">
        <f ca="1">IF(RegimeExecucao="Global","",ORÇAMENTO!W199)</f>
        <v>0</v>
      </c>
      <c r="I199" s="127">
        <f ca="1">ORÇAMENTO!X199</f>
        <v>0</v>
      </c>
      <c r="J199" s="378">
        <f ca="1">IF($A199="S",IF(CAIXA.Modo,BM.AFAnterior,BM.MEDAnterior),IF(AND(RegimeExecucao="Global",$I199&gt;0,COUNTIF($AB$13:$AM$13,BM.medicao-1)&gt;0),M199/$I199*100,0))</f>
        <v>0</v>
      </c>
      <c r="K199" s="124">
        <f t="shared" ca="1" si="17"/>
        <v>0</v>
      </c>
      <c r="L199" s="379">
        <f ca="1">IF($A199="S",IF(CAIXA.Modo,BM.AFAcumulado,BM.MEDAcumulado),IF(AND(RegimeExecucao="Global",$I199&gt;0,COUNTIF($AB$13:$AM$13,BM.medicao)&gt;0),O199/$I199*100,0))</f>
        <v>0</v>
      </c>
      <c r="M199" s="380">
        <f ca="1">IF($A199="S",VTOTALBM,IF($A199=0,0,ROUND(SomaAgrupBM,15-13*ORÇAMENTO!$AF$11)))</f>
        <v>0</v>
      </c>
      <c r="N199" s="381">
        <f t="shared" ca="1" si="18"/>
        <v>0</v>
      </c>
      <c r="O199" s="127">
        <f ca="1">IF($A199="S",VTOTALBM,IF($A199=0,0,ROUND(SomaAgrupBM,15-13*ORÇAMENTO!$AF$11)))</f>
        <v>0</v>
      </c>
      <c r="Q199" s="382"/>
      <c r="R199" s="383"/>
      <c r="T199" s="119" t="str">
        <f t="shared" ca="1" si="19"/>
        <v/>
      </c>
      <c r="U199" s="172" t="str">
        <f t="shared" ca="1" si="20"/>
        <v/>
      </c>
      <c r="V199" s="173" t="str">
        <f ca="1">IF(AND($W199&gt;0,RegimeExecucao="Unitário"),$F199,"")</f>
        <v/>
      </c>
      <c r="W199" s="547">
        <f ca="1">IF($Y199&gt;0,CHOOSE(MATCH(RegimeExecucao,{"Unitário","Global"},0),IF($A199="S",$Y199/$X199,""),($Y199/$X199)*100),0)</f>
        <v>0</v>
      </c>
      <c r="X199" s="384" t="str">
        <f ca="1">IF($Y199&gt;0,CHOOSE(MATCH(RegimeExecucao,{"Unitário","Global"},0),IF($A199="S",ROUND($H199,ORÇAMENTO!$AF$10),""),ROUND($I199,ORÇAMENTO!$AF$11)),"")</f>
        <v/>
      </c>
      <c r="Y199" s="384">
        <f t="shared" ca="1" si="21"/>
        <v>0</v>
      </c>
      <c r="Z199" s="572"/>
      <c r="AB199" s="382"/>
      <c r="AC199" s="516"/>
      <c r="AD199" s="516"/>
      <c r="AE199" s="516"/>
      <c r="AF199" s="516"/>
      <c r="AG199" s="516"/>
      <c r="AH199" s="516"/>
      <c r="AI199" s="516"/>
      <c r="AJ199" s="516"/>
      <c r="AK199" s="516"/>
      <c r="AL199" s="516"/>
      <c r="AM199" s="383"/>
      <c r="AO199">
        <f ca="1">IF($A199="S",IF(BM!$I199=0,0,CHOOSE(MATCH(RegimeExecucao,{"Global","Unitário"},0),ROUND(ROUND(BM.MEDAcumulado,15-13*BM!$A$9)/100*BM!$I199,15-13*ORÇAMENTO!$AF$11),ROUND(ROUND(BM.MEDAcumulado,15-13*BM!$A$9)*ROUND(BM!$H199,15-13*ORÇAMENTO!$AF$10),15-13*ORÇAMENTO!$AF$11))),IF($A199=0,0,ROUND(SomaAgrupBM,15-13*ORÇAMENTO!$AF$11)))</f>
        <v>0</v>
      </c>
    </row>
    <row r="200" spans="1:41" ht="38.25" x14ac:dyDescent="0.2">
      <c r="A200" t="str">
        <f ca="1">ORÇAMENTO!C200</f>
        <v>S</v>
      </c>
      <c r="B200">
        <f ca="1">ORÇAMENTO!D200</f>
        <v>0</v>
      </c>
      <c r="C200" s="116" t="str">
        <f t="shared" ca="1" si="15"/>
        <v/>
      </c>
      <c r="D200" s="119" t="str">
        <f ca="1">ORÇAMENTO!O200</f>
        <v>-</v>
      </c>
      <c r="E200" s="172" t="str">
        <f t="shared" ca="1" si="16"/>
        <v>(abra o arquivo 'Referência 02-2025.xlsm)</v>
      </c>
      <c r="F200" s="173" t="str">
        <f ca="1">IF(RegimeExecucao="Global","",ORÇAMENTO.Unidade)</f>
        <v>-</v>
      </c>
      <c r="G200" s="124">
        <f ca="1">IF(RegimeExecucao="Global","",ORÇAMENTO!T200)</f>
        <v>15.01</v>
      </c>
      <c r="H200" s="124">
        <f ca="1">IF(RegimeExecucao="Global","",ORÇAMENTO!W200)</f>
        <v>0</v>
      </c>
      <c r="I200" s="127">
        <f ca="1">ORÇAMENTO!X200</f>
        <v>0</v>
      </c>
      <c r="J200" s="378">
        <f ca="1">IF($A200="S",IF(CAIXA.Modo,BM.AFAnterior,BM.MEDAnterior),IF(AND(RegimeExecucao="Global",$I200&gt;0,COUNTIF($AB$13:$AM$13,BM.medicao-1)&gt;0),M200/$I200*100,0))</f>
        <v>0</v>
      </c>
      <c r="K200" s="124">
        <f t="shared" ca="1" si="17"/>
        <v>0</v>
      </c>
      <c r="L200" s="379">
        <f ca="1">IF($A200="S",IF(CAIXA.Modo,BM.AFAcumulado,BM.MEDAcumulado),IF(AND(RegimeExecucao="Global",$I200&gt;0,COUNTIF($AB$13:$AM$13,BM.medicao)&gt;0),O200/$I200*100,0))</f>
        <v>0</v>
      </c>
      <c r="M200" s="380">
        <f ca="1">IF($A200="S",VTOTALBM,IF($A200=0,0,ROUND(SomaAgrupBM,15-13*ORÇAMENTO!$AF$11)))</f>
        <v>0</v>
      </c>
      <c r="N200" s="381">
        <f t="shared" ca="1" si="18"/>
        <v>0</v>
      </c>
      <c r="O200" s="127">
        <f ca="1">IF($A200="S",VTOTALBM,IF($A200=0,0,ROUND(SomaAgrupBM,15-13*ORÇAMENTO!$AF$11)))</f>
        <v>0</v>
      </c>
      <c r="Q200" s="382"/>
      <c r="R200" s="383"/>
      <c r="T200" s="119" t="str">
        <f t="shared" ca="1" si="19"/>
        <v/>
      </c>
      <c r="U200" s="172" t="str">
        <f t="shared" ca="1" si="20"/>
        <v/>
      </c>
      <c r="V200" s="173" t="str">
        <f ca="1">IF(AND($W200&gt;0,RegimeExecucao="Unitário"),$F200,"")</f>
        <v/>
      </c>
      <c r="W200" s="547">
        <f ca="1">IF($Y200&gt;0,CHOOSE(MATCH(RegimeExecucao,{"Unitário","Global"},0),IF($A200="S",$Y200/$X200,""),($Y200/$X200)*100),0)</f>
        <v>0</v>
      </c>
      <c r="X200" s="384" t="str">
        <f ca="1">IF($Y200&gt;0,CHOOSE(MATCH(RegimeExecucao,{"Unitário","Global"},0),IF($A200="S",ROUND($H200,ORÇAMENTO!$AF$10),""),ROUND($I200,ORÇAMENTO!$AF$11)),"")</f>
        <v/>
      </c>
      <c r="Y200" s="384">
        <f t="shared" ca="1" si="21"/>
        <v>0</v>
      </c>
      <c r="Z200" s="572"/>
      <c r="AB200" s="382"/>
      <c r="AC200" s="516"/>
      <c r="AD200" s="516"/>
      <c r="AE200" s="516"/>
      <c r="AF200" s="516"/>
      <c r="AG200" s="516"/>
      <c r="AH200" s="516"/>
      <c r="AI200" s="516"/>
      <c r="AJ200" s="516"/>
      <c r="AK200" s="516"/>
      <c r="AL200" s="516"/>
      <c r="AM200" s="383"/>
      <c r="AO200">
        <f ca="1">IF($A200="S",IF(BM!$I200=0,0,CHOOSE(MATCH(RegimeExecucao,{"Global","Unitário"},0),ROUND(ROUND(BM.MEDAcumulado,15-13*BM!$A$9)/100*BM!$I200,15-13*ORÇAMENTO!$AF$11),ROUND(ROUND(BM.MEDAcumulado,15-13*BM!$A$9)*ROUND(BM!$H200,15-13*ORÇAMENTO!$AF$10),15-13*ORÇAMENTO!$AF$11))),IF($A200=0,0,ROUND(SomaAgrupBM,15-13*ORÇAMENTO!$AF$11)))</f>
        <v>0</v>
      </c>
    </row>
    <row r="201" spans="1:41" ht="38.25" x14ac:dyDescent="0.2">
      <c r="A201" t="str">
        <f ca="1">ORÇAMENTO!C201</f>
        <v>S</v>
      </c>
      <c r="B201">
        <f ca="1">ORÇAMENTO!D201</f>
        <v>0</v>
      </c>
      <c r="C201" s="116" t="str">
        <f t="shared" ca="1" si="15"/>
        <v/>
      </c>
      <c r="D201" s="119" t="str">
        <f ca="1">ORÇAMENTO!O201</f>
        <v>-</v>
      </c>
      <c r="E201" s="172" t="str">
        <f t="shared" ca="1" si="16"/>
        <v>(abra o arquivo 'Referência 02-2025.xlsm)</v>
      </c>
      <c r="F201" s="173" t="str">
        <f ca="1">IF(RegimeExecucao="Global","",ORÇAMENTO.Unidade)</f>
        <v>-</v>
      </c>
      <c r="G201" s="124">
        <f ca="1">IF(RegimeExecucao="Global","",ORÇAMENTO!T201)</f>
        <v>8.75</v>
      </c>
      <c r="H201" s="124">
        <f ca="1">IF(RegimeExecucao="Global","",ORÇAMENTO!W201)</f>
        <v>0</v>
      </c>
      <c r="I201" s="127">
        <f ca="1">ORÇAMENTO!X201</f>
        <v>0</v>
      </c>
      <c r="J201" s="378">
        <f ca="1">IF($A201="S",IF(CAIXA.Modo,BM.AFAnterior,BM.MEDAnterior),IF(AND(RegimeExecucao="Global",$I201&gt;0,COUNTIF($AB$13:$AM$13,BM.medicao-1)&gt;0),M201/$I201*100,0))</f>
        <v>0</v>
      </c>
      <c r="K201" s="124">
        <f t="shared" ca="1" si="17"/>
        <v>0</v>
      </c>
      <c r="L201" s="379">
        <f ca="1">IF($A201="S",IF(CAIXA.Modo,BM.AFAcumulado,BM.MEDAcumulado),IF(AND(RegimeExecucao="Global",$I201&gt;0,COUNTIF($AB$13:$AM$13,BM.medicao)&gt;0),O201/$I201*100,0))</f>
        <v>0</v>
      </c>
      <c r="M201" s="380">
        <f ca="1">IF($A201="S",VTOTALBM,IF($A201=0,0,ROUND(SomaAgrupBM,15-13*ORÇAMENTO!$AF$11)))</f>
        <v>0</v>
      </c>
      <c r="N201" s="381">
        <f t="shared" ca="1" si="18"/>
        <v>0</v>
      </c>
      <c r="O201" s="127">
        <f ca="1">IF($A201="S",VTOTALBM,IF($A201=0,0,ROUND(SomaAgrupBM,15-13*ORÇAMENTO!$AF$11)))</f>
        <v>0</v>
      </c>
      <c r="Q201" s="382"/>
      <c r="R201" s="383"/>
      <c r="T201" s="119" t="str">
        <f t="shared" ca="1" si="19"/>
        <v/>
      </c>
      <c r="U201" s="172" t="str">
        <f t="shared" ca="1" si="20"/>
        <v/>
      </c>
      <c r="V201" s="173" t="str">
        <f ca="1">IF(AND($W201&gt;0,RegimeExecucao="Unitário"),$F201,"")</f>
        <v/>
      </c>
      <c r="W201" s="547">
        <f ca="1">IF($Y201&gt;0,CHOOSE(MATCH(RegimeExecucao,{"Unitário","Global"},0),IF($A201="S",$Y201/$X201,""),($Y201/$X201)*100),0)</f>
        <v>0</v>
      </c>
      <c r="X201" s="384" t="str">
        <f ca="1">IF($Y201&gt;0,CHOOSE(MATCH(RegimeExecucao,{"Unitário","Global"},0),IF($A201="S",ROUND($H201,ORÇAMENTO!$AF$10),""),ROUND($I201,ORÇAMENTO!$AF$11)),"")</f>
        <v/>
      </c>
      <c r="Y201" s="384">
        <f t="shared" ca="1" si="21"/>
        <v>0</v>
      </c>
      <c r="Z201" s="572"/>
      <c r="AB201" s="382"/>
      <c r="AC201" s="516"/>
      <c r="AD201" s="516"/>
      <c r="AE201" s="516"/>
      <c r="AF201" s="516"/>
      <c r="AG201" s="516"/>
      <c r="AH201" s="516"/>
      <c r="AI201" s="516"/>
      <c r="AJ201" s="516"/>
      <c r="AK201" s="516"/>
      <c r="AL201" s="516"/>
      <c r="AM201" s="383"/>
      <c r="AO201">
        <f ca="1">IF($A201="S",IF(BM!$I201=0,0,CHOOSE(MATCH(RegimeExecucao,{"Global","Unitário"},0),ROUND(ROUND(BM.MEDAcumulado,15-13*BM!$A$9)/100*BM!$I201,15-13*ORÇAMENTO!$AF$11),ROUND(ROUND(BM.MEDAcumulado,15-13*BM!$A$9)*ROUND(BM!$H201,15-13*ORÇAMENTO!$AF$10),15-13*ORÇAMENTO!$AF$11))),IF($A201=0,0,ROUND(SomaAgrupBM,15-13*ORÇAMENTO!$AF$11)))</f>
        <v>0</v>
      </c>
    </row>
    <row r="202" spans="1:41" x14ac:dyDescent="0.2">
      <c r="A202" t="str">
        <f ca="1">ORÇAMENTO!C202</f>
        <v>S</v>
      </c>
      <c r="B202">
        <f ca="1">ORÇAMENTO!D202</f>
        <v>0</v>
      </c>
      <c r="C202" s="116" t="str">
        <f t="shared" ca="1" si="15"/>
        <v/>
      </c>
      <c r="D202" s="119" t="str">
        <f ca="1">ORÇAMENTO!O202</f>
        <v>-</v>
      </c>
      <c r="E202" s="172" t="str">
        <f t="shared" ca="1" si="16"/>
        <v>(abra o arquivo 'Referência 02-2025.xlsm)</v>
      </c>
      <c r="F202" s="173" t="str">
        <f ca="1">IF(RegimeExecucao="Global","",ORÇAMENTO.Unidade)</f>
        <v>-</v>
      </c>
      <c r="G202" s="124">
        <f ca="1">IF(RegimeExecucao="Global","",ORÇAMENTO!T202)</f>
        <v>218.4</v>
      </c>
      <c r="H202" s="124">
        <f ca="1">IF(RegimeExecucao="Global","",ORÇAMENTO!W202)</f>
        <v>0</v>
      </c>
      <c r="I202" s="127">
        <f ca="1">ORÇAMENTO!X202</f>
        <v>0</v>
      </c>
      <c r="J202" s="378">
        <f ca="1">IF($A202="S",IF(CAIXA.Modo,BM.AFAnterior,BM.MEDAnterior),IF(AND(RegimeExecucao="Global",$I202&gt;0,COUNTIF($AB$13:$AM$13,BM.medicao-1)&gt;0),M202/$I202*100,0))</f>
        <v>0</v>
      </c>
      <c r="K202" s="124">
        <f t="shared" ca="1" si="17"/>
        <v>0</v>
      </c>
      <c r="L202" s="379">
        <f ca="1">IF($A202="S",IF(CAIXA.Modo,BM.AFAcumulado,BM.MEDAcumulado),IF(AND(RegimeExecucao="Global",$I202&gt;0,COUNTIF($AB$13:$AM$13,BM.medicao)&gt;0),O202/$I202*100,0))</f>
        <v>0</v>
      </c>
      <c r="M202" s="380">
        <f ca="1">IF($A202="S",VTOTALBM,IF($A202=0,0,ROUND(SomaAgrupBM,15-13*ORÇAMENTO!$AF$11)))</f>
        <v>0</v>
      </c>
      <c r="N202" s="381">
        <f t="shared" ca="1" si="18"/>
        <v>0</v>
      </c>
      <c r="O202" s="127">
        <f ca="1">IF($A202="S",VTOTALBM,IF($A202=0,0,ROUND(SomaAgrupBM,15-13*ORÇAMENTO!$AF$11)))</f>
        <v>0</v>
      </c>
      <c r="Q202" s="382"/>
      <c r="R202" s="383"/>
      <c r="T202" s="119" t="str">
        <f t="shared" ca="1" si="19"/>
        <v/>
      </c>
      <c r="U202" s="172" t="str">
        <f t="shared" ca="1" si="20"/>
        <v/>
      </c>
      <c r="V202" s="173" t="str">
        <f ca="1">IF(AND($W202&gt;0,RegimeExecucao="Unitário"),$F202,"")</f>
        <v/>
      </c>
      <c r="W202" s="547">
        <f ca="1">IF($Y202&gt;0,CHOOSE(MATCH(RegimeExecucao,{"Unitário","Global"},0),IF($A202="S",$Y202/$X202,""),($Y202/$X202)*100),0)</f>
        <v>0</v>
      </c>
      <c r="X202" s="384" t="str">
        <f ca="1">IF($Y202&gt;0,CHOOSE(MATCH(RegimeExecucao,{"Unitário","Global"},0),IF($A202="S",ROUND($H202,ORÇAMENTO!$AF$10),""),ROUND($I202,ORÇAMENTO!$AF$11)),"")</f>
        <v/>
      </c>
      <c r="Y202" s="384">
        <f t="shared" ca="1" si="21"/>
        <v>0</v>
      </c>
      <c r="Z202" s="572"/>
      <c r="AB202" s="382"/>
      <c r="AC202" s="516"/>
      <c r="AD202" s="516"/>
      <c r="AE202" s="516"/>
      <c r="AF202" s="516"/>
      <c r="AG202" s="516"/>
      <c r="AH202" s="516"/>
      <c r="AI202" s="516"/>
      <c r="AJ202" s="516"/>
      <c r="AK202" s="516"/>
      <c r="AL202" s="516"/>
      <c r="AM202" s="383"/>
      <c r="AO202">
        <f ca="1">IF($A202="S",IF(BM!$I202=0,0,CHOOSE(MATCH(RegimeExecucao,{"Global","Unitário"},0),ROUND(ROUND(BM.MEDAcumulado,15-13*BM!$A$9)/100*BM!$I202,15-13*ORÇAMENTO!$AF$11),ROUND(ROUND(BM.MEDAcumulado,15-13*BM!$A$9)*ROUND(BM!$H202,15-13*ORÇAMENTO!$AF$10),15-13*ORÇAMENTO!$AF$11))),IF($A202=0,0,ROUND(SomaAgrupBM,15-13*ORÇAMENTO!$AF$11)))</f>
        <v>0</v>
      </c>
    </row>
    <row r="203" spans="1:41" x14ac:dyDescent="0.2">
      <c r="A203" t="str">
        <f ca="1">ORÇAMENTO!C203</f>
        <v>S</v>
      </c>
      <c r="B203">
        <f ca="1">ORÇAMENTO!D203</f>
        <v>0</v>
      </c>
      <c r="C203" s="116" t="str">
        <f t="shared" ca="1" si="15"/>
        <v/>
      </c>
      <c r="D203" s="119" t="str">
        <f ca="1">ORÇAMENTO!O203</f>
        <v>-</v>
      </c>
      <c r="E203" s="172" t="str">
        <f t="shared" ca="1" si="16"/>
        <v>(abra o arquivo 'Referência 02-2025.xlsm)</v>
      </c>
      <c r="F203" s="173" t="str">
        <f ca="1">IF(RegimeExecucao="Global","",ORÇAMENTO.Unidade)</f>
        <v>-</v>
      </c>
      <c r="G203" s="124">
        <f ca="1">IF(RegimeExecucao="Global","",ORÇAMENTO!T203)</f>
        <v>69.45</v>
      </c>
      <c r="H203" s="124">
        <f ca="1">IF(RegimeExecucao="Global","",ORÇAMENTO!W203)</f>
        <v>0</v>
      </c>
      <c r="I203" s="127">
        <f ca="1">ORÇAMENTO!X203</f>
        <v>0</v>
      </c>
      <c r="J203" s="378">
        <f ca="1">IF($A203="S",IF(CAIXA.Modo,BM.AFAnterior,BM.MEDAnterior),IF(AND(RegimeExecucao="Global",$I203&gt;0,COUNTIF($AB$13:$AM$13,BM.medicao-1)&gt;0),M203/$I203*100,0))</f>
        <v>0</v>
      </c>
      <c r="K203" s="124">
        <f t="shared" ca="1" si="17"/>
        <v>0</v>
      </c>
      <c r="L203" s="379">
        <f ca="1">IF($A203="S",IF(CAIXA.Modo,BM.AFAcumulado,BM.MEDAcumulado),IF(AND(RegimeExecucao="Global",$I203&gt;0,COUNTIF($AB$13:$AM$13,BM.medicao)&gt;0),O203/$I203*100,0))</f>
        <v>0</v>
      </c>
      <c r="M203" s="380">
        <f ca="1">IF($A203="S",VTOTALBM,IF($A203=0,0,ROUND(SomaAgrupBM,15-13*ORÇAMENTO!$AF$11)))</f>
        <v>0</v>
      </c>
      <c r="N203" s="381">
        <f t="shared" ca="1" si="18"/>
        <v>0</v>
      </c>
      <c r="O203" s="127">
        <f ca="1">IF($A203="S",VTOTALBM,IF($A203=0,0,ROUND(SomaAgrupBM,15-13*ORÇAMENTO!$AF$11)))</f>
        <v>0</v>
      </c>
      <c r="Q203" s="382"/>
      <c r="R203" s="383"/>
      <c r="T203" s="119" t="str">
        <f t="shared" ca="1" si="19"/>
        <v/>
      </c>
      <c r="U203" s="172" t="str">
        <f t="shared" ca="1" si="20"/>
        <v/>
      </c>
      <c r="V203" s="173" t="str">
        <f ca="1">IF(AND($W203&gt;0,RegimeExecucao="Unitário"),$F203,"")</f>
        <v/>
      </c>
      <c r="W203" s="547">
        <f ca="1">IF($Y203&gt;0,CHOOSE(MATCH(RegimeExecucao,{"Unitário","Global"},0),IF($A203="S",$Y203/$X203,""),($Y203/$X203)*100),0)</f>
        <v>0</v>
      </c>
      <c r="X203" s="384" t="str">
        <f ca="1">IF($Y203&gt;0,CHOOSE(MATCH(RegimeExecucao,{"Unitário","Global"},0),IF($A203="S",ROUND($H203,ORÇAMENTO!$AF$10),""),ROUND($I203,ORÇAMENTO!$AF$11)),"")</f>
        <v/>
      </c>
      <c r="Y203" s="384">
        <f t="shared" ca="1" si="21"/>
        <v>0</v>
      </c>
      <c r="Z203" s="572"/>
      <c r="AB203" s="382"/>
      <c r="AC203" s="516"/>
      <c r="AD203" s="516"/>
      <c r="AE203" s="516"/>
      <c r="AF203" s="516"/>
      <c r="AG203" s="516"/>
      <c r="AH203" s="516"/>
      <c r="AI203" s="516"/>
      <c r="AJ203" s="516"/>
      <c r="AK203" s="516"/>
      <c r="AL203" s="516"/>
      <c r="AM203" s="383"/>
      <c r="AO203">
        <f ca="1">IF($A203="S",IF(BM!$I203=0,0,CHOOSE(MATCH(RegimeExecucao,{"Global","Unitário"},0),ROUND(ROUND(BM.MEDAcumulado,15-13*BM!$A$9)/100*BM!$I203,15-13*ORÇAMENTO!$AF$11),ROUND(ROUND(BM.MEDAcumulado,15-13*BM!$A$9)*ROUND(BM!$H203,15-13*ORÇAMENTO!$AF$10),15-13*ORÇAMENTO!$AF$11))),IF($A203=0,0,ROUND(SomaAgrupBM,15-13*ORÇAMENTO!$AF$11)))</f>
        <v>0</v>
      </c>
    </row>
    <row r="204" spans="1:41" ht="25.5" x14ac:dyDescent="0.2">
      <c r="A204" t="str">
        <f ca="1">ORÇAMENTO!C204</f>
        <v>S</v>
      </c>
      <c r="B204">
        <f ca="1">ORÇAMENTO!D204</f>
        <v>0</v>
      </c>
      <c r="C204" s="116" t="str">
        <f t="shared" ca="1" si="15"/>
        <v/>
      </c>
      <c r="D204" s="119" t="str">
        <f ca="1">ORÇAMENTO!O204</f>
        <v>-</v>
      </c>
      <c r="E204" s="172" t="str">
        <f t="shared" ca="1" si="16"/>
        <v>(abra o arquivo 'Referência 02-2025.xlsm)</v>
      </c>
      <c r="F204" s="173" t="str">
        <f ca="1">IF(RegimeExecucao="Global","",ORÇAMENTO.Unidade)</f>
        <v>-</v>
      </c>
      <c r="G204" s="124">
        <f ca="1">IF(RegimeExecucao="Global","",ORÇAMENTO!T204)</f>
        <v>471.12</v>
      </c>
      <c r="H204" s="124">
        <f ca="1">IF(RegimeExecucao="Global","",ORÇAMENTO!W204)</f>
        <v>0</v>
      </c>
      <c r="I204" s="127">
        <f ca="1">ORÇAMENTO!X204</f>
        <v>0</v>
      </c>
      <c r="J204" s="378">
        <f ca="1">IF($A204="S",IF(CAIXA.Modo,BM.AFAnterior,BM.MEDAnterior),IF(AND(RegimeExecucao="Global",$I204&gt;0,COUNTIF($AB$13:$AM$13,BM.medicao-1)&gt;0),M204/$I204*100,0))</f>
        <v>0</v>
      </c>
      <c r="K204" s="124">
        <f t="shared" ca="1" si="17"/>
        <v>0</v>
      </c>
      <c r="L204" s="379">
        <f ca="1">IF($A204="S",IF(CAIXA.Modo,BM.AFAcumulado,BM.MEDAcumulado),IF(AND(RegimeExecucao="Global",$I204&gt;0,COUNTIF($AB$13:$AM$13,BM.medicao)&gt;0),O204/$I204*100,0))</f>
        <v>0</v>
      </c>
      <c r="M204" s="380">
        <f ca="1">IF($A204="S",VTOTALBM,IF($A204=0,0,ROUND(SomaAgrupBM,15-13*ORÇAMENTO!$AF$11)))</f>
        <v>0</v>
      </c>
      <c r="N204" s="381">
        <f t="shared" ca="1" si="18"/>
        <v>0</v>
      </c>
      <c r="O204" s="127">
        <f ca="1">IF($A204="S",VTOTALBM,IF($A204=0,0,ROUND(SomaAgrupBM,15-13*ORÇAMENTO!$AF$11)))</f>
        <v>0</v>
      </c>
      <c r="Q204" s="382"/>
      <c r="R204" s="383"/>
      <c r="T204" s="119" t="str">
        <f t="shared" ca="1" si="19"/>
        <v/>
      </c>
      <c r="U204" s="172" t="str">
        <f t="shared" ca="1" si="20"/>
        <v/>
      </c>
      <c r="V204" s="173" t="str">
        <f ca="1">IF(AND($W204&gt;0,RegimeExecucao="Unitário"),$F204,"")</f>
        <v/>
      </c>
      <c r="W204" s="547">
        <f ca="1">IF($Y204&gt;0,CHOOSE(MATCH(RegimeExecucao,{"Unitário","Global"},0),IF($A204="S",$Y204/$X204,""),($Y204/$X204)*100),0)</f>
        <v>0</v>
      </c>
      <c r="X204" s="384" t="str">
        <f ca="1">IF($Y204&gt;0,CHOOSE(MATCH(RegimeExecucao,{"Unitário","Global"},0),IF($A204="S",ROUND($H204,ORÇAMENTO!$AF$10),""),ROUND($I204,ORÇAMENTO!$AF$11)),"")</f>
        <v/>
      </c>
      <c r="Y204" s="384">
        <f t="shared" ca="1" si="21"/>
        <v>0</v>
      </c>
      <c r="Z204" s="572"/>
      <c r="AB204" s="382"/>
      <c r="AC204" s="516"/>
      <c r="AD204" s="516"/>
      <c r="AE204" s="516"/>
      <c r="AF204" s="516"/>
      <c r="AG204" s="516"/>
      <c r="AH204" s="516"/>
      <c r="AI204" s="516"/>
      <c r="AJ204" s="516"/>
      <c r="AK204" s="516"/>
      <c r="AL204" s="516"/>
      <c r="AM204" s="383"/>
      <c r="AO204">
        <f ca="1">IF($A204="S",IF(BM!$I204=0,0,CHOOSE(MATCH(RegimeExecucao,{"Global","Unitário"},0),ROUND(ROUND(BM.MEDAcumulado,15-13*BM!$A$9)/100*BM!$I204,15-13*ORÇAMENTO!$AF$11),ROUND(ROUND(BM.MEDAcumulado,15-13*BM!$A$9)*ROUND(BM!$H204,15-13*ORÇAMENTO!$AF$10),15-13*ORÇAMENTO!$AF$11))),IF($A204=0,0,ROUND(SomaAgrupBM,15-13*ORÇAMENTO!$AF$11)))</f>
        <v>0</v>
      </c>
    </row>
    <row r="205" spans="1:41" ht="38.25" x14ac:dyDescent="0.2">
      <c r="A205" t="str">
        <f ca="1">ORÇAMENTO!C205</f>
        <v>S</v>
      </c>
      <c r="B205">
        <f ca="1">ORÇAMENTO!D205</f>
        <v>0</v>
      </c>
      <c r="C205" s="116" t="str">
        <f t="shared" ca="1" si="15"/>
        <v/>
      </c>
      <c r="D205" s="119" t="str">
        <f ca="1">ORÇAMENTO!O205</f>
        <v>-</v>
      </c>
      <c r="E205" s="172" t="str">
        <f t="shared" ca="1" si="16"/>
        <v>(abra o arquivo 'Referência 02-2025.xlsm)</v>
      </c>
      <c r="F205" s="173" t="str">
        <f ca="1">IF(RegimeExecucao="Global","",ORÇAMENTO.Unidade)</f>
        <v>-</v>
      </c>
      <c r="G205" s="124">
        <f ca="1">IF(RegimeExecucao="Global","",ORÇAMENTO!T205)</f>
        <v>734.55</v>
      </c>
      <c r="H205" s="124">
        <f ca="1">IF(RegimeExecucao="Global","",ORÇAMENTO!W205)</f>
        <v>0</v>
      </c>
      <c r="I205" s="127">
        <f ca="1">ORÇAMENTO!X205</f>
        <v>0</v>
      </c>
      <c r="J205" s="378">
        <f ca="1">IF($A205="S",IF(CAIXA.Modo,BM.AFAnterior,BM.MEDAnterior),IF(AND(RegimeExecucao="Global",$I205&gt;0,COUNTIF($AB$13:$AM$13,BM.medicao-1)&gt;0),M205/$I205*100,0))</f>
        <v>0</v>
      </c>
      <c r="K205" s="124">
        <f t="shared" ca="1" si="17"/>
        <v>0</v>
      </c>
      <c r="L205" s="379">
        <f ca="1">IF($A205="S",IF(CAIXA.Modo,BM.AFAcumulado,BM.MEDAcumulado),IF(AND(RegimeExecucao="Global",$I205&gt;0,COUNTIF($AB$13:$AM$13,BM.medicao)&gt;0),O205/$I205*100,0))</f>
        <v>0</v>
      </c>
      <c r="M205" s="380">
        <f ca="1">IF($A205="S",VTOTALBM,IF($A205=0,0,ROUND(SomaAgrupBM,15-13*ORÇAMENTO!$AF$11)))</f>
        <v>0</v>
      </c>
      <c r="N205" s="381">
        <f t="shared" ca="1" si="18"/>
        <v>0</v>
      </c>
      <c r="O205" s="127">
        <f ca="1">IF($A205="S",VTOTALBM,IF($A205=0,0,ROUND(SomaAgrupBM,15-13*ORÇAMENTO!$AF$11)))</f>
        <v>0</v>
      </c>
      <c r="Q205" s="382"/>
      <c r="R205" s="383"/>
      <c r="T205" s="119" t="str">
        <f t="shared" ca="1" si="19"/>
        <v/>
      </c>
      <c r="U205" s="172" t="str">
        <f t="shared" ca="1" si="20"/>
        <v/>
      </c>
      <c r="V205" s="173" t="str">
        <f ca="1">IF(AND($W205&gt;0,RegimeExecucao="Unitário"),$F205,"")</f>
        <v/>
      </c>
      <c r="W205" s="547">
        <f ca="1">IF($Y205&gt;0,CHOOSE(MATCH(RegimeExecucao,{"Unitário","Global"},0),IF($A205="S",$Y205/$X205,""),($Y205/$X205)*100),0)</f>
        <v>0</v>
      </c>
      <c r="X205" s="384" t="str">
        <f ca="1">IF($Y205&gt;0,CHOOSE(MATCH(RegimeExecucao,{"Unitário","Global"},0),IF($A205="S",ROUND($H205,ORÇAMENTO!$AF$10),""),ROUND($I205,ORÇAMENTO!$AF$11)),"")</f>
        <v/>
      </c>
      <c r="Y205" s="384">
        <f t="shared" ca="1" si="21"/>
        <v>0</v>
      </c>
      <c r="Z205" s="572"/>
      <c r="AB205" s="382"/>
      <c r="AC205" s="516"/>
      <c r="AD205" s="516"/>
      <c r="AE205" s="516"/>
      <c r="AF205" s="516"/>
      <c r="AG205" s="516"/>
      <c r="AH205" s="516"/>
      <c r="AI205" s="516"/>
      <c r="AJ205" s="516"/>
      <c r="AK205" s="516"/>
      <c r="AL205" s="516"/>
      <c r="AM205" s="383"/>
      <c r="AO205">
        <f ca="1">IF($A205="S",IF(BM!$I205=0,0,CHOOSE(MATCH(RegimeExecucao,{"Global","Unitário"},0),ROUND(ROUND(BM.MEDAcumulado,15-13*BM!$A$9)/100*BM!$I205,15-13*ORÇAMENTO!$AF$11),ROUND(ROUND(BM.MEDAcumulado,15-13*BM!$A$9)*ROUND(BM!$H205,15-13*ORÇAMENTO!$AF$10),15-13*ORÇAMENTO!$AF$11))),IF($A205=0,0,ROUND(SomaAgrupBM,15-13*ORÇAMENTO!$AF$11)))</f>
        <v>0</v>
      </c>
    </row>
    <row r="206" spans="1:41" x14ac:dyDescent="0.2">
      <c r="A206">
        <f ca="1">ORÇAMENTO!C206</f>
        <v>2</v>
      </c>
      <c r="B206">
        <f ca="1">ORÇAMENTO!D206</f>
        <v>34</v>
      </c>
      <c r="C206" s="116" t="str">
        <f t="shared" ca="1" si="15"/>
        <v>F</v>
      </c>
      <c r="D206" s="119" t="str">
        <f ca="1">ORÇAMENTO!O206</f>
        <v>1.10.</v>
      </c>
      <c r="E206" s="172" t="str">
        <f t="shared" ca="1" si="16"/>
        <v>SISTEMAS DE PISOS</v>
      </c>
      <c r="F206" s="173" t="str">
        <f ca="1">IF(RegimeExecucao="Global","",ORÇAMENTO.Unidade)</f>
        <v>-</v>
      </c>
      <c r="G206" s="124">
        <f ca="1">IF(RegimeExecucao="Global","",ORÇAMENTO!T206)</f>
        <v>0</v>
      </c>
      <c r="H206" s="124">
        <f ca="1">IF(RegimeExecucao="Global","",ORÇAMENTO!W206)</f>
        <v>0</v>
      </c>
      <c r="I206" s="127">
        <f ca="1">ORÇAMENTO!X206</f>
        <v>0</v>
      </c>
      <c r="J206" s="378">
        <f ca="1">IF($A206="S",IF(CAIXA.Modo,BM.AFAnterior,BM.MEDAnterior),IF(AND(RegimeExecucao="Global",$I206&gt;0,COUNTIF($AB$13:$AM$13,BM.medicao-1)&gt;0),M206/$I206*100,0))</f>
        <v>0</v>
      </c>
      <c r="K206" s="124">
        <f t="shared" ca="1" si="17"/>
        <v>0</v>
      </c>
      <c r="L206" s="379">
        <f ca="1">IF($A206="S",IF(CAIXA.Modo,BM.AFAcumulado,BM.MEDAcumulado),IF(AND(RegimeExecucao="Global",$I206&gt;0,COUNTIF($AB$13:$AM$13,BM.medicao)&gt;0),O206/$I206*100,0))</f>
        <v>0</v>
      </c>
      <c r="M206" s="380">
        <f ca="1">IF($A206="S",VTOTALBM,IF($A206=0,0,ROUND(SomaAgrupBM,15-13*ORÇAMENTO!$AF$11)))</f>
        <v>0</v>
      </c>
      <c r="N206" s="381">
        <f t="shared" ca="1" si="18"/>
        <v>0</v>
      </c>
      <c r="O206" s="127">
        <f ca="1">IF($A206="S",VTOTALBM,IF($A206=0,0,ROUND(SomaAgrupBM,15-13*ORÇAMENTO!$AF$11)))</f>
        <v>0</v>
      </c>
      <c r="Q206" s="382"/>
      <c r="R206" s="383"/>
      <c r="T206" s="119" t="str">
        <f t="shared" ca="1" si="19"/>
        <v/>
      </c>
      <c r="U206" s="172" t="str">
        <f t="shared" ca="1" si="20"/>
        <v/>
      </c>
      <c r="V206" s="173" t="str">
        <f ca="1">IF(AND($W206&gt;0,RegimeExecucao="Unitário"),$F206,"")</f>
        <v/>
      </c>
      <c r="W206" s="547">
        <f ca="1">IF($Y206&gt;0,CHOOSE(MATCH(RegimeExecucao,{"Unitário","Global"},0),IF($A206="S",$Y206/$X206,""),($Y206/$X206)*100),0)</f>
        <v>0</v>
      </c>
      <c r="X206" s="384" t="str">
        <f ca="1">IF($Y206&gt;0,CHOOSE(MATCH(RegimeExecucao,{"Unitário","Global"},0),IF($A206="S",ROUND($H206,ORÇAMENTO!$AF$10),""),ROUND($I206,ORÇAMENTO!$AF$11)),"")</f>
        <v/>
      </c>
      <c r="Y206" s="384">
        <f t="shared" ca="1" si="21"/>
        <v>0</v>
      </c>
      <c r="Z206" s="572"/>
      <c r="AB206" s="382"/>
      <c r="AC206" s="516"/>
      <c r="AD206" s="516"/>
      <c r="AE206" s="516"/>
      <c r="AF206" s="516"/>
      <c r="AG206" s="516"/>
      <c r="AH206" s="516"/>
      <c r="AI206" s="516"/>
      <c r="AJ206" s="516"/>
      <c r="AK206" s="516"/>
      <c r="AL206" s="516"/>
      <c r="AM206" s="383"/>
      <c r="AO206">
        <f ca="1">IF($A206="S",IF(BM!$I206=0,0,CHOOSE(MATCH(RegimeExecucao,{"Global","Unitário"},0),ROUND(ROUND(BM.MEDAcumulado,15-13*BM!$A$9)/100*BM!$I206,15-13*ORÇAMENTO!$AF$11),ROUND(ROUND(BM.MEDAcumulado,15-13*BM!$A$9)*ROUND(BM!$H206,15-13*ORÇAMENTO!$AF$10),15-13*ORÇAMENTO!$AF$11))),IF($A206=0,0,ROUND(SomaAgrupBM,15-13*ORÇAMENTO!$AF$11)))</f>
        <v>0</v>
      </c>
    </row>
    <row r="207" spans="1:41" x14ac:dyDescent="0.2">
      <c r="A207">
        <f ca="1">ORÇAMENTO!C207</f>
        <v>3</v>
      </c>
      <c r="B207">
        <f ca="1">ORÇAMENTO!D207</f>
        <v>6</v>
      </c>
      <c r="C207" s="116" t="str">
        <f t="shared" ca="1" si="15"/>
        <v>F</v>
      </c>
      <c r="D207" s="119" t="str">
        <f ca="1">ORÇAMENTO!O207</f>
        <v>1.10.1.</v>
      </c>
      <c r="E207" s="172" t="str">
        <f t="shared" si="16"/>
        <v>PAVIMENTAÇÃO INTERNA - PREPARO DE PISO 8CM</v>
      </c>
      <c r="F207" s="173" t="str">
        <f ca="1">IF(RegimeExecucao="Global","",ORÇAMENTO.Unidade)</f>
        <v>-</v>
      </c>
      <c r="G207" s="124">
        <f ca="1">IF(RegimeExecucao="Global","",ORÇAMENTO!T207)</f>
        <v>0</v>
      </c>
      <c r="H207" s="124">
        <f ca="1">IF(RegimeExecucao="Global","",ORÇAMENTO!W207)</f>
        <v>0</v>
      </c>
      <c r="I207" s="127">
        <f ca="1">ORÇAMENTO!X207</f>
        <v>0</v>
      </c>
      <c r="J207" s="378">
        <f ca="1">IF($A207="S",IF(CAIXA.Modo,BM.AFAnterior,BM.MEDAnterior),IF(AND(RegimeExecucao="Global",$I207&gt;0,COUNTIF($AB$13:$AM$13,BM.medicao-1)&gt;0),M207/$I207*100,0))</f>
        <v>0</v>
      </c>
      <c r="K207" s="124">
        <f t="shared" ca="1" si="17"/>
        <v>0</v>
      </c>
      <c r="L207" s="379">
        <f ca="1">IF($A207="S",IF(CAIXA.Modo,BM.AFAcumulado,BM.MEDAcumulado),IF(AND(RegimeExecucao="Global",$I207&gt;0,COUNTIF($AB$13:$AM$13,BM.medicao)&gt;0),O207/$I207*100,0))</f>
        <v>0</v>
      </c>
      <c r="M207" s="380">
        <f ca="1">IF($A207="S",VTOTALBM,IF($A207=0,0,ROUND(SomaAgrupBM,15-13*ORÇAMENTO!$AF$11)))</f>
        <v>0</v>
      </c>
      <c r="N207" s="381">
        <f t="shared" ca="1" si="18"/>
        <v>0</v>
      </c>
      <c r="O207" s="127">
        <f ca="1">IF($A207="S",VTOTALBM,IF($A207=0,0,ROUND(SomaAgrupBM,15-13*ORÇAMENTO!$AF$11)))</f>
        <v>0</v>
      </c>
      <c r="Q207" s="382"/>
      <c r="R207" s="383"/>
      <c r="T207" s="119" t="str">
        <f t="shared" ca="1" si="19"/>
        <v/>
      </c>
      <c r="U207" s="172" t="str">
        <f t="shared" ca="1" si="20"/>
        <v/>
      </c>
      <c r="V207" s="173" t="str">
        <f ca="1">IF(AND($W207&gt;0,RegimeExecucao="Unitário"),$F207,"")</f>
        <v/>
      </c>
      <c r="W207" s="547">
        <f ca="1">IF($Y207&gt;0,CHOOSE(MATCH(RegimeExecucao,{"Unitário","Global"},0),IF($A207="S",$Y207/$X207,""),($Y207/$X207)*100),0)</f>
        <v>0</v>
      </c>
      <c r="X207" s="384" t="str">
        <f ca="1">IF($Y207&gt;0,CHOOSE(MATCH(RegimeExecucao,{"Unitário","Global"},0),IF($A207="S",ROUND($H207,ORÇAMENTO!$AF$10),""),ROUND($I207,ORÇAMENTO!$AF$11)),"")</f>
        <v/>
      </c>
      <c r="Y207" s="384">
        <f t="shared" ca="1" si="21"/>
        <v>0</v>
      </c>
      <c r="Z207" s="572"/>
      <c r="AB207" s="382"/>
      <c r="AC207" s="516"/>
      <c r="AD207" s="516"/>
      <c r="AE207" s="516"/>
      <c r="AF207" s="516"/>
      <c r="AG207" s="516"/>
      <c r="AH207" s="516"/>
      <c r="AI207" s="516"/>
      <c r="AJ207" s="516"/>
      <c r="AK207" s="516"/>
      <c r="AL207" s="516"/>
      <c r="AM207" s="383"/>
      <c r="AO207">
        <f ca="1">IF($A207="S",IF(BM!$I207=0,0,CHOOSE(MATCH(RegimeExecucao,{"Global","Unitário"},0),ROUND(ROUND(BM.MEDAcumulado,15-13*BM!$A$9)/100*BM!$I207,15-13*ORÇAMENTO!$AF$11),ROUND(ROUND(BM.MEDAcumulado,15-13*BM!$A$9)*ROUND(BM!$H207,15-13*ORÇAMENTO!$AF$10),15-13*ORÇAMENTO!$AF$11))),IF($A207=0,0,ROUND(SomaAgrupBM,15-13*ORÇAMENTO!$AF$11)))</f>
        <v>0</v>
      </c>
    </row>
    <row r="208" spans="1:41" ht="38.25" x14ac:dyDescent="0.2">
      <c r="A208" t="str">
        <f ca="1">ORÇAMENTO!C208</f>
        <v>S</v>
      </c>
      <c r="B208">
        <f ca="1">ORÇAMENTO!D208</f>
        <v>0</v>
      </c>
      <c r="C208" s="116" t="str">
        <f t="shared" ca="1" si="15"/>
        <v/>
      </c>
      <c r="D208" s="119" t="str">
        <f ca="1">ORÇAMENTO!O208</f>
        <v>-</v>
      </c>
      <c r="E208" s="172" t="str">
        <f t="shared" ca="1" si="16"/>
        <v>(abra o arquivo 'Referência 02-2025.xlsm)</v>
      </c>
      <c r="F208" s="173" t="str">
        <f ca="1">IF(RegimeExecucao="Global","",ORÇAMENTO.Unidade)</f>
        <v>-</v>
      </c>
      <c r="G208" s="124">
        <f ca="1">IF(RegimeExecucao="Global","",ORÇAMENTO!T208)</f>
        <v>1349.85</v>
      </c>
      <c r="H208" s="124">
        <f ca="1">IF(RegimeExecucao="Global","",ORÇAMENTO!W208)</f>
        <v>0</v>
      </c>
      <c r="I208" s="127">
        <f ca="1">ORÇAMENTO!X208</f>
        <v>0</v>
      </c>
      <c r="J208" s="378">
        <f ca="1">IF($A208="S",IF(CAIXA.Modo,BM.AFAnterior,BM.MEDAnterior),IF(AND(RegimeExecucao="Global",$I208&gt;0,COUNTIF($AB$13:$AM$13,BM.medicao-1)&gt;0),M208/$I208*100,0))</f>
        <v>0</v>
      </c>
      <c r="K208" s="124">
        <f t="shared" ca="1" si="17"/>
        <v>0</v>
      </c>
      <c r="L208" s="379">
        <f ca="1">IF($A208="S",IF(CAIXA.Modo,BM.AFAcumulado,BM.MEDAcumulado),IF(AND(RegimeExecucao="Global",$I208&gt;0,COUNTIF($AB$13:$AM$13,BM.medicao)&gt;0),O208/$I208*100,0))</f>
        <v>0</v>
      </c>
      <c r="M208" s="380">
        <f ca="1">IF($A208="S",VTOTALBM,IF($A208=0,0,ROUND(SomaAgrupBM,15-13*ORÇAMENTO!$AF$11)))</f>
        <v>0</v>
      </c>
      <c r="N208" s="381">
        <f t="shared" ca="1" si="18"/>
        <v>0</v>
      </c>
      <c r="O208" s="127">
        <f ca="1">IF($A208="S",VTOTALBM,IF($A208=0,0,ROUND(SomaAgrupBM,15-13*ORÇAMENTO!$AF$11)))</f>
        <v>0</v>
      </c>
      <c r="Q208" s="382"/>
      <c r="R208" s="383"/>
      <c r="T208" s="119" t="str">
        <f t="shared" ca="1" si="19"/>
        <v/>
      </c>
      <c r="U208" s="172" t="str">
        <f t="shared" ca="1" si="20"/>
        <v/>
      </c>
      <c r="V208" s="173" t="str">
        <f ca="1">IF(AND($W208&gt;0,RegimeExecucao="Unitário"),$F208,"")</f>
        <v/>
      </c>
      <c r="W208" s="547">
        <f ca="1">IF($Y208&gt;0,CHOOSE(MATCH(RegimeExecucao,{"Unitário","Global"},0),IF($A208="S",$Y208/$X208,""),($Y208/$X208)*100),0)</f>
        <v>0</v>
      </c>
      <c r="X208" s="384" t="str">
        <f ca="1">IF($Y208&gt;0,CHOOSE(MATCH(RegimeExecucao,{"Unitário","Global"},0),IF($A208="S",ROUND($H208,ORÇAMENTO!$AF$10),""),ROUND($I208,ORÇAMENTO!$AF$11)),"")</f>
        <v/>
      </c>
      <c r="Y208" s="384">
        <f t="shared" ca="1" si="21"/>
        <v>0</v>
      </c>
      <c r="Z208" s="572"/>
      <c r="AB208" s="382"/>
      <c r="AC208" s="516"/>
      <c r="AD208" s="516"/>
      <c r="AE208" s="516"/>
      <c r="AF208" s="516"/>
      <c r="AG208" s="516"/>
      <c r="AH208" s="516"/>
      <c r="AI208" s="516"/>
      <c r="AJ208" s="516"/>
      <c r="AK208" s="516"/>
      <c r="AL208" s="516"/>
      <c r="AM208" s="383"/>
      <c r="AO208">
        <f ca="1">IF($A208="S",IF(BM!$I208=0,0,CHOOSE(MATCH(RegimeExecucao,{"Global","Unitário"},0),ROUND(ROUND(BM.MEDAcumulado,15-13*BM!$A$9)/100*BM!$I208,15-13*ORÇAMENTO!$AF$11),ROUND(ROUND(BM.MEDAcumulado,15-13*BM!$A$9)*ROUND(BM!$H208,15-13*ORÇAMENTO!$AF$10),15-13*ORÇAMENTO!$AF$11))),IF($A208=0,0,ROUND(SomaAgrupBM,15-13*ORÇAMENTO!$AF$11)))</f>
        <v>0</v>
      </c>
    </row>
    <row r="209" spans="1:41" ht="38.25" x14ac:dyDescent="0.2">
      <c r="A209" t="str">
        <f ca="1">ORÇAMENTO!C209</f>
        <v>S</v>
      </c>
      <c r="B209">
        <f ca="1">ORÇAMENTO!D209</f>
        <v>0</v>
      </c>
      <c r="C209" s="116" t="str">
        <f t="shared" ca="1" si="15"/>
        <v/>
      </c>
      <c r="D209" s="119" t="str">
        <f ca="1">ORÇAMENTO!O209</f>
        <v>-</v>
      </c>
      <c r="E209" s="172" t="str">
        <f t="shared" ca="1" si="16"/>
        <v>(abra o arquivo 'Referência 02-2025.xlsm)</v>
      </c>
      <c r="F209" s="173" t="str">
        <f ca="1">IF(RegimeExecucao="Global","",ORÇAMENTO.Unidade)</f>
        <v>-</v>
      </c>
      <c r="G209" s="124">
        <f ca="1">IF(RegimeExecucao="Global","",ORÇAMENTO!T209)</f>
        <v>134.97999999999999</v>
      </c>
      <c r="H209" s="124">
        <f ca="1">IF(RegimeExecucao="Global","",ORÇAMENTO!W209)</f>
        <v>0</v>
      </c>
      <c r="I209" s="127">
        <f ca="1">ORÇAMENTO!X209</f>
        <v>0</v>
      </c>
      <c r="J209" s="378">
        <f ca="1">IF($A209="S",IF(CAIXA.Modo,BM.AFAnterior,BM.MEDAnterior),IF(AND(RegimeExecucao="Global",$I209&gt;0,COUNTIF($AB$13:$AM$13,BM.medicao-1)&gt;0),M209/$I209*100,0))</f>
        <v>0</v>
      </c>
      <c r="K209" s="124">
        <f t="shared" ca="1" si="17"/>
        <v>0</v>
      </c>
      <c r="L209" s="379">
        <f ca="1">IF($A209="S",IF(CAIXA.Modo,BM.AFAcumulado,BM.MEDAcumulado),IF(AND(RegimeExecucao="Global",$I209&gt;0,COUNTIF($AB$13:$AM$13,BM.medicao)&gt;0),O209/$I209*100,0))</f>
        <v>0</v>
      </c>
      <c r="M209" s="380">
        <f ca="1">IF($A209="S",VTOTALBM,IF($A209=0,0,ROUND(SomaAgrupBM,15-13*ORÇAMENTO!$AF$11)))</f>
        <v>0</v>
      </c>
      <c r="N209" s="381">
        <f t="shared" ca="1" si="18"/>
        <v>0</v>
      </c>
      <c r="O209" s="127">
        <f ca="1">IF($A209="S",VTOTALBM,IF($A209=0,0,ROUND(SomaAgrupBM,15-13*ORÇAMENTO!$AF$11)))</f>
        <v>0</v>
      </c>
      <c r="Q209" s="382"/>
      <c r="R209" s="383"/>
      <c r="T209" s="119" t="str">
        <f t="shared" ca="1" si="19"/>
        <v/>
      </c>
      <c r="U209" s="172" t="str">
        <f t="shared" ca="1" si="20"/>
        <v/>
      </c>
      <c r="V209" s="173" t="str">
        <f ca="1">IF(AND($W209&gt;0,RegimeExecucao="Unitário"),$F209,"")</f>
        <v/>
      </c>
      <c r="W209" s="547">
        <f ca="1">IF($Y209&gt;0,CHOOSE(MATCH(RegimeExecucao,{"Unitário","Global"},0),IF($A209="S",$Y209/$X209,""),($Y209/$X209)*100),0)</f>
        <v>0</v>
      </c>
      <c r="X209" s="384" t="str">
        <f ca="1">IF($Y209&gt;0,CHOOSE(MATCH(RegimeExecucao,{"Unitário","Global"},0),IF($A209="S",ROUND($H209,ORÇAMENTO!$AF$10),""),ROUND($I209,ORÇAMENTO!$AF$11)),"")</f>
        <v/>
      </c>
      <c r="Y209" s="384">
        <f t="shared" ca="1" si="21"/>
        <v>0</v>
      </c>
      <c r="Z209" s="572"/>
      <c r="AB209" s="382"/>
      <c r="AC209" s="516"/>
      <c r="AD209" s="516"/>
      <c r="AE209" s="516"/>
      <c r="AF209" s="516"/>
      <c r="AG209" s="516"/>
      <c r="AH209" s="516"/>
      <c r="AI209" s="516"/>
      <c r="AJ209" s="516"/>
      <c r="AK209" s="516"/>
      <c r="AL209" s="516"/>
      <c r="AM209" s="383"/>
      <c r="AO209">
        <f ca="1">IF($A209="S",IF(BM!$I209=0,0,CHOOSE(MATCH(RegimeExecucao,{"Global","Unitário"},0),ROUND(ROUND(BM.MEDAcumulado,15-13*BM!$A$9)/100*BM!$I209,15-13*ORÇAMENTO!$AF$11),ROUND(ROUND(BM.MEDAcumulado,15-13*BM!$A$9)*ROUND(BM!$H209,15-13*ORÇAMENTO!$AF$10),15-13*ORÇAMENTO!$AF$11))),IF($A209=0,0,ROUND(SomaAgrupBM,15-13*ORÇAMENTO!$AF$11)))</f>
        <v>0</v>
      </c>
    </row>
    <row r="210" spans="1:41" ht="25.5" x14ac:dyDescent="0.2">
      <c r="A210" t="str">
        <f ca="1">ORÇAMENTO!C210</f>
        <v>S</v>
      </c>
      <c r="B210">
        <f ca="1">ORÇAMENTO!D210</f>
        <v>0</v>
      </c>
      <c r="C210" s="116" t="str">
        <f t="shared" ca="1" si="15"/>
        <v/>
      </c>
      <c r="D210" s="119" t="str">
        <f ca="1">ORÇAMENTO!O210</f>
        <v>-</v>
      </c>
      <c r="E210" s="172" t="str">
        <f t="shared" ca="1" si="16"/>
        <v>(abra o arquivo 'Referência 02-2025.xlsm)</v>
      </c>
      <c r="F210" s="173" t="str">
        <f ca="1">IF(RegimeExecucao="Global","",ORÇAMENTO.Unidade)</f>
        <v>-</v>
      </c>
      <c r="G210" s="124">
        <f ca="1">IF(RegimeExecucao="Global","",ORÇAMENTO!T210)</f>
        <v>1349.85</v>
      </c>
      <c r="H210" s="124">
        <f ca="1">IF(RegimeExecucao="Global","",ORÇAMENTO!W210)</f>
        <v>0</v>
      </c>
      <c r="I210" s="127">
        <f ca="1">ORÇAMENTO!X210</f>
        <v>0</v>
      </c>
      <c r="J210" s="378">
        <f ca="1">IF($A210="S",IF(CAIXA.Modo,BM.AFAnterior,BM.MEDAnterior),IF(AND(RegimeExecucao="Global",$I210&gt;0,COUNTIF($AB$13:$AM$13,BM.medicao-1)&gt;0),M210/$I210*100,0))</f>
        <v>0</v>
      </c>
      <c r="K210" s="124">
        <f t="shared" ca="1" si="17"/>
        <v>0</v>
      </c>
      <c r="L210" s="379">
        <f ca="1">IF($A210="S",IF(CAIXA.Modo,BM.AFAcumulado,BM.MEDAcumulado),IF(AND(RegimeExecucao="Global",$I210&gt;0,COUNTIF($AB$13:$AM$13,BM.medicao)&gt;0),O210/$I210*100,0))</f>
        <v>0</v>
      </c>
      <c r="M210" s="380">
        <f ca="1">IF($A210="S",VTOTALBM,IF($A210=0,0,ROUND(SomaAgrupBM,15-13*ORÇAMENTO!$AF$11)))</f>
        <v>0</v>
      </c>
      <c r="N210" s="381">
        <f t="shared" ca="1" si="18"/>
        <v>0</v>
      </c>
      <c r="O210" s="127">
        <f ca="1">IF($A210="S",VTOTALBM,IF($A210=0,0,ROUND(SomaAgrupBM,15-13*ORÇAMENTO!$AF$11)))</f>
        <v>0</v>
      </c>
      <c r="Q210" s="382"/>
      <c r="R210" s="383"/>
      <c r="T210" s="119" t="str">
        <f t="shared" ca="1" si="19"/>
        <v/>
      </c>
      <c r="U210" s="172" t="str">
        <f t="shared" ca="1" si="20"/>
        <v/>
      </c>
      <c r="V210" s="173" t="str">
        <f ca="1">IF(AND($W210&gt;0,RegimeExecucao="Unitário"),$F210,"")</f>
        <v/>
      </c>
      <c r="W210" s="547">
        <f ca="1">IF($Y210&gt;0,CHOOSE(MATCH(RegimeExecucao,{"Unitário","Global"},0),IF($A210="S",$Y210/$X210,""),($Y210/$X210)*100),0)</f>
        <v>0</v>
      </c>
      <c r="X210" s="384" t="str">
        <f ca="1">IF($Y210&gt;0,CHOOSE(MATCH(RegimeExecucao,{"Unitário","Global"},0),IF($A210="S",ROUND($H210,ORÇAMENTO!$AF$10),""),ROUND($I210,ORÇAMENTO!$AF$11)),"")</f>
        <v/>
      </c>
      <c r="Y210" s="384">
        <f t="shared" ca="1" si="21"/>
        <v>0</v>
      </c>
      <c r="Z210" s="572"/>
      <c r="AB210" s="382"/>
      <c r="AC210" s="516"/>
      <c r="AD210" s="516"/>
      <c r="AE210" s="516"/>
      <c r="AF210" s="516"/>
      <c r="AG210" s="516"/>
      <c r="AH210" s="516"/>
      <c r="AI210" s="516"/>
      <c r="AJ210" s="516"/>
      <c r="AK210" s="516"/>
      <c r="AL210" s="516"/>
      <c r="AM210" s="383"/>
      <c r="AO210">
        <f ca="1">IF($A210="S",IF(BM!$I210=0,0,CHOOSE(MATCH(RegimeExecucao,{"Global","Unitário"},0),ROUND(ROUND(BM.MEDAcumulado,15-13*BM!$A$9)/100*BM!$I210,15-13*ORÇAMENTO!$AF$11),ROUND(ROUND(BM.MEDAcumulado,15-13*BM!$A$9)*ROUND(BM!$H210,15-13*ORÇAMENTO!$AF$10),15-13*ORÇAMENTO!$AF$11))),IF($A210=0,0,ROUND(SomaAgrupBM,15-13*ORÇAMENTO!$AF$11)))</f>
        <v>0</v>
      </c>
    </row>
    <row r="211" spans="1:41" ht="25.5" x14ac:dyDescent="0.2">
      <c r="A211" t="str">
        <f ca="1">ORÇAMENTO!C211</f>
        <v>S</v>
      </c>
      <c r="B211">
        <f ca="1">ORÇAMENTO!D211</f>
        <v>0</v>
      </c>
      <c r="C211" s="116" t="str">
        <f t="shared" ca="1" si="15"/>
        <v/>
      </c>
      <c r="D211" s="119" t="str">
        <f ca="1">ORÇAMENTO!O211</f>
        <v>-</v>
      </c>
      <c r="E211" s="172" t="str">
        <f t="shared" ca="1" si="16"/>
        <v>(abra o arquivo 'Referência 02-2025.xlsm)</v>
      </c>
      <c r="F211" s="173" t="str">
        <f ca="1">IF(RegimeExecucao="Global","",ORÇAMENTO.Unidade)</f>
        <v>-</v>
      </c>
      <c r="G211" s="124">
        <f ca="1">IF(RegimeExecucao="Global","",ORÇAMENTO!T211)</f>
        <v>1997.78</v>
      </c>
      <c r="H211" s="124">
        <f ca="1">IF(RegimeExecucao="Global","",ORÇAMENTO!W211)</f>
        <v>0</v>
      </c>
      <c r="I211" s="127">
        <f ca="1">ORÇAMENTO!X211</f>
        <v>0</v>
      </c>
      <c r="J211" s="378">
        <f ca="1">IF($A211="S",IF(CAIXA.Modo,BM.AFAnterior,BM.MEDAnterior),IF(AND(RegimeExecucao="Global",$I211&gt;0,COUNTIF($AB$13:$AM$13,BM.medicao-1)&gt;0),M211/$I211*100,0))</f>
        <v>0</v>
      </c>
      <c r="K211" s="124">
        <f t="shared" ca="1" si="17"/>
        <v>0</v>
      </c>
      <c r="L211" s="379">
        <f ca="1">IF($A211="S",IF(CAIXA.Modo,BM.AFAcumulado,BM.MEDAcumulado),IF(AND(RegimeExecucao="Global",$I211&gt;0,COUNTIF($AB$13:$AM$13,BM.medicao)&gt;0),O211/$I211*100,0))</f>
        <v>0</v>
      </c>
      <c r="M211" s="380">
        <f ca="1">IF($A211="S",VTOTALBM,IF($A211=0,0,ROUND(SomaAgrupBM,15-13*ORÇAMENTO!$AF$11)))</f>
        <v>0</v>
      </c>
      <c r="N211" s="381">
        <f t="shared" ca="1" si="18"/>
        <v>0</v>
      </c>
      <c r="O211" s="127">
        <f ca="1">IF($A211="S",VTOTALBM,IF($A211=0,0,ROUND(SomaAgrupBM,15-13*ORÇAMENTO!$AF$11)))</f>
        <v>0</v>
      </c>
      <c r="Q211" s="382"/>
      <c r="R211" s="383"/>
      <c r="T211" s="119" t="str">
        <f t="shared" ca="1" si="19"/>
        <v/>
      </c>
      <c r="U211" s="172" t="str">
        <f t="shared" ca="1" si="20"/>
        <v/>
      </c>
      <c r="V211" s="173" t="str">
        <f ca="1">IF(AND($W211&gt;0,RegimeExecucao="Unitário"),$F211,"")</f>
        <v/>
      </c>
      <c r="W211" s="547">
        <f ca="1">IF($Y211&gt;0,CHOOSE(MATCH(RegimeExecucao,{"Unitário","Global"},0),IF($A211="S",$Y211/$X211,""),($Y211/$X211)*100),0)</f>
        <v>0</v>
      </c>
      <c r="X211" s="384" t="str">
        <f ca="1">IF($Y211&gt;0,CHOOSE(MATCH(RegimeExecucao,{"Unitário","Global"},0),IF($A211="S",ROUND($H211,ORÇAMENTO!$AF$10),""),ROUND($I211,ORÇAMENTO!$AF$11)),"")</f>
        <v/>
      </c>
      <c r="Y211" s="384">
        <f t="shared" ca="1" si="21"/>
        <v>0</v>
      </c>
      <c r="Z211" s="572"/>
      <c r="AB211" s="382"/>
      <c r="AC211" s="516"/>
      <c r="AD211" s="516"/>
      <c r="AE211" s="516"/>
      <c r="AF211" s="516"/>
      <c r="AG211" s="516"/>
      <c r="AH211" s="516"/>
      <c r="AI211" s="516"/>
      <c r="AJ211" s="516"/>
      <c r="AK211" s="516"/>
      <c r="AL211" s="516"/>
      <c r="AM211" s="383"/>
      <c r="AO211">
        <f ca="1">IF($A211="S",IF(BM!$I211=0,0,CHOOSE(MATCH(RegimeExecucao,{"Global","Unitário"},0),ROUND(ROUND(BM.MEDAcumulado,15-13*BM!$A$9)/100*BM!$I211,15-13*ORÇAMENTO!$AF$11),ROUND(ROUND(BM.MEDAcumulado,15-13*BM!$A$9)*ROUND(BM!$H211,15-13*ORÇAMENTO!$AF$10),15-13*ORÇAMENTO!$AF$11))),IF($A211=0,0,ROUND(SomaAgrupBM,15-13*ORÇAMENTO!$AF$11)))</f>
        <v>0</v>
      </c>
    </row>
    <row r="212" spans="1:41" ht="38.25" x14ac:dyDescent="0.2">
      <c r="A212" t="str">
        <f ca="1">ORÇAMENTO!C212</f>
        <v>S</v>
      </c>
      <c r="B212">
        <f ca="1">ORÇAMENTO!D212</f>
        <v>0</v>
      </c>
      <c r="C212" s="116" t="str">
        <f t="shared" ca="1" si="15"/>
        <v/>
      </c>
      <c r="D212" s="119" t="str">
        <f ca="1">ORÇAMENTO!O212</f>
        <v>-</v>
      </c>
      <c r="E212" s="172" t="str">
        <f t="shared" ca="1" si="16"/>
        <v>(abra o arquivo 'Referência 02-2025.xlsm)</v>
      </c>
      <c r="F212" s="173" t="str">
        <f ca="1">IF(RegimeExecucao="Global","",ORÇAMENTO.Unidade)</f>
        <v>-</v>
      </c>
      <c r="G212" s="124">
        <f ca="1">IF(RegimeExecucao="Global","",ORÇAMENTO!T212)</f>
        <v>108.7</v>
      </c>
      <c r="H212" s="124">
        <f ca="1">IF(RegimeExecucao="Global","",ORÇAMENTO!W212)</f>
        <v>0</v>
      </c>
      <c r="I212" s="127">
        <f ca="1">ORÇAMENTO!X212</f>
        <v>0</v>
      </c>
      <c r="J212" s="378">
        <f ca="1">IF($A212="S",IF(CAIXA.Modo,BM.AFAnterior,BM.MEDAnterior),IF(AND(RegimeExecucao="Global",$I212&gt;0,COUNTIF($AB$13:$AM$13,BM.medicao-1)&gt;0),M212/$I212*100,0))</f>
        <v>0</v>
      </c>
      <c r="K212" s="124">
        <f t="shared" ca="1" si="17"/>
        <v>0</v>
      </c>
      <c r="L212" s="379">
        <f ca="1">IF($A212="S",IF(CAIXA.Modo,BM.AFAcumulado,BM.MEDAcumulado),IF(AND(RegimeExecucao="Global",$I212&gt;0,COUNTIF($AB$13:$AM$13,BM.medicao)&gt;0),O212/$I212*100,0))</f>
        <v>0</v>
      </c>
      <c r="M212" s="380">
        <f ca="1">IF($A212="S",VTOTALBM,IF($A212=0,0,ROUND(SomaAgrupBM,15-13*ORÇAMENTO!$AF$11)))</f>
        <v>0</v>
      </c>
      <c r="N212" s="381">
        <f t="shared" ca="1" si="18"/>
        <v>0</v>
      </c>
      <c r="O212" s="127">
        <f ca="1">IF($A212="S",VTOTALBM,IF($A212=0,0,ROUND(SomaAgrupBM,15-13*ORÇAMENTO!$AF$11)))</f>
        <v>0</v>
      </c>
      <c r="Q212" s="382"/>
      <c r="R212" s="383"/>
      <c r="T212" s="119" t="str">
        <f t="shared" ca="1" si="19"/>
        <v/>
      </c>
      <c r="U212" s="172" t="str">
        <f t="shared" ca="1" si="20"/>
        <v/>
      </c>
      <c r="V212" s="173" t="str">
        <f ca="1">IF(AND($W212&gt;0,RegimeExecucao="Unitário"),$F212,"")</f>
        <v/>
      </c>
      <c r="W212" s="547">
        <f ca="1">IF($Y212&gt;0,CHOOSE(MATCH(RegimeExecucao,{"Unitário","Global"},0),IF($A212="S",$Y212/$X212,""),($Y212/$X212)*100),0)</f>
        <v>0</v>
      </c>
      <c r="X212" s="384" t="str">
        <f ca="1">IF($Y212&gt;0,CHOOSE(MATCH(RegimeExecucao,{"Unitário","Global"},0),IF($A212="S",ROUND($H212,ORÇAMENTO!$AF$10),""),ROUND($I212,ORÇAMENTO!$AF$11)),"")</f>
        <v/>
      </c>
      <c r="Y212" s="384">
        <f t="shared" ca="1" si="21"/>
        <v>0</v>
      </c>
      <c r="Z212" s="572"/>
      <c r="AB212" s="382"/>
      <c r="AC212" s="516"/>
      <c r="AD212" s="516"/>
      <c r="AE212" s="516"/>
      <c r="AF212" s="516"/>
      <c r="AG212" s="516"/>
      <c r="AH212" s="516"/>
      <c r="AI212" s="516"/>
      <c r="AJ212" s="516"/>
      <c r="AK212" s="516"/>
      <c r="AL212" s="516"/>
      <c r="AM212" s="383"/>
      <c r="AO212">
        <f ca="1">IF($A212="S",IF(BM!$I212=0,0,CHOOSE(MATCH(RegimeExecucao,{"Global","Unitário"},0),ROUND(ROUND(BM.MEDAcumulado,15-13*BM!$A$9)/100*BM!$I212,15-13*ORÇAMENTO!$AF$11),ROUND(ROUND(BM.MEDAcumulado,15-13*BM!$A$9)*ROUND(BM!$H212,15-13*ORÇAMENTO!$AF$10),15-13*ORÇAMENTO!$AF$11))),IF($A212=0,0,ROUND(SomaAgrupBM,15-13*ORÇAMENTO!$AF$11)))</f>
        <v>0</v>
      </c>
    </row>
    <row r="213" spans="1:41" x14ac:dyDescent="0.2">
      <c r="A213">
        <f ca="1">ORÇAMENTO!C213</f>
        <v>3</v>
      </c>
      <c r="B213">
        <f ca="1">ORÇAMENTO!D213</f>
        <v>14</v>
      </c>
      <c r="C213" s="116" t="str">
        <f t="shared" ca="1" si="15"/>
        <v>F</v>
      </c>
      <c r="D213" s="119" t="str">
        <f ca="1">ORÇAMENTO!O213</f>
        <v>1.10.2.</v>
      </c>
      <c r="E213" s="172" t="str">
        <f t="shared" si="16"/>
        <v>PAVIMENTAÇÃO INTERNA - REVESTIMENTOS</v>
      </c>
      <c r="F213" s="173" t="str">
        <f ca="1">IF(RegimeExecucao="Global","",ORÇAMENTO.Unidade)</f>
        <v>-</v>
      </c>
      <c r="G213" s="124">
        <f ca="1">IF(RegimeExecucao="Global","",ORÇAMENTO!T213)</f>
        <v>0</v>
      </c>
      <c r="H213" s="124">
        <f ca="1">IF(RegimeExecucao="Global","",ORÇAMENTO!W213)</f>
        <v>0</v>
      </c>
      <c r="I213" s="127">
        <f ca="1">ORÇAMENTO!X213</f>
        <v>0</v>
      </c>
      <c r="J213" s="378">
        <f ca="1">IF($A213="S",IF(CAIXA.Modo,BM.AFAnterior,BM.MEDAnterior),IF(AND(RegimeExecucao="Global",$I213&gt;0,COUNTIF($AB$13:$AM$13,BM.medicao-1)&gt;0),M213/$I213*100,0))</f>
        <v>0</v>
      </c>
      <c r="K213" s="124">
        <f t="shared" ca="1" si="17"/>
        <v>0</v>
      </c>
      <c r="L213" s="379">
        <f ca="1">IF($A213="S",IF(CAIXA.Modo,BM.AFAcumulado,BM.MEDAcumulado),IF(AND(RegimeExecucao="Global",$I213&gt;0,COUNTIF($AB$13:$AM$13,BM.medicao)&gt;0),O213/$I213*100,0))</f>
        <v>0</v>
      </c>
      <c r="M213" s="380">
        <f ca="1">IF($A213="S",VTOTALBM,IF($A213=0,0,ROUND(SomaAgrupBM,15-13*ORÇAMENTO!$AF$11)))</f>
        <v>0</v>
      </c>
      <c r="N213" s="381">
        <f t="shared" ca="1" si="18"/>
        <v>0</v>
      </c>
      <c r="O213" s="127">
        <f ca="1">IF($A213="S",VTOTALBM,IF($A213=0,0,ROUND(SomaAgrupBM,15-13*ORÇAMENTO!$AF$11)))</f>
        <v>0</v>
      </c>
      <c r="Q213" s="382"/>
      <c r="R213" s="383"/>
      <c r="T213" s="119" t="str">
        <f t="shared" ca="1" si="19"/>
        <v/>
      </c>
      <c r="U213" s="172" t="str">
        <f t="shared" ca="1" si="20"/>
        <v/>
      </c>
      <c r="V213" s="173" t="str">
        <f ca="1">IF(AND($W213&gt;0,RegimeExecucao="Unitário"),$F213,"")</f>
        <v/>
      </c>
      <c r="W213" s="547">
        <f ca="1">IF($Y213&gt;0,CHOOSE(MATCH(RegimeExecucao,{"Unitário","Global"},0),IF($A213="S",$Y213/$X213,""),($Y213/$X213)*100),0)</f>
        <v>0</v>
      </c>
      <c r="X213" s="384" t="str">
        <f ca="1">IF($Y213&gt;0,CHOOSE(MATCH(RegimeExecucao,{"Unitário","Global"},0),IF($A213="S",ROUND($H213,ORÇAMENTO!$AF$10),""),ROUND($I213,ORÇAMENTO!$AF$11)),"")</f>
        <v/>
      </c>
      <c r="Y213" s="384">
        <f t="shared" ca="1" si="21"/>
        <v>0</v>
      </c>
      <c r="Z213" s="572"/>
      <c r="AB213" s="382"/>
      <c r="AC213" s="516"/>
      <c r="AD213" s="516"/>
      <c r="AE213" s="516"/>
      <c r="AF213" s="516"/>
      <c r="AG213" s="516"/>
      <c r="AH213" s="516"/>
      <c r="AI213" s="516"/>
      <c r="AJ213" s="516"/>
      <c r="AK213" s="516"/>
      <c r="AL213" s="516"/>
      <c r="AM213" s="383"/>
      <c r="AO213">
        <f ca="1">IF($A213="S",IF(BM!$I213=0,0,CHOOSE(MATCH(RegimeExecucao,{"Global","Unitário"},0),ROUND(ROUND(BM.MEDAcumulado,15-13*BM!$A$9)/100*BM!$I213,15-13*ORÇAMENTO!$AF$11),ROUND(ROUND(BM.MEDAcumulado,15-13*BM!$A$9)*ROUND(BM!$H213,15-13*ORÇAMENTO!$AF$10),15-13*ORÇAMENTO!$AF$11))),IF($A213=0,0,ROUND(SomaAgrupBM,15-13*ORÇAMENTO!$AF$11)))</f>
        <v>0</v>
      </c>
    </row>
    <row r="214" spans="1:41" ht="51" x14ac:dyDescent="0.2">
      <c r="A214" t="str">
        <f ca="1">ORÇAMENTO!C214</f>
        <v>S</v>
      </c>
      <c r="B214">
        <f ca="1">ORÇAMENTO!D214</f>
        <v>0</v>
      </c>
      <c r="C214" s="116" t="str">
        <f t="shared" ca="1" si="15"/>
        <v/>
      </c>
      <c r="D214" s="119" t="str">
        <f ca="1">ORÇAMENTO!O214</f>
        <v>-</v>
      </c>
      <c r="E214" s="172" t="str">
        <f t="shared" ca="1" si="16"/>
        <v>(abra o arquivo 'Referência 02-2025.xlsm)</v>
      </c>
      <c r="F214" s="173" t="str">
        <f ca="1">IF(RegimeExecucao="Global","",ORÇAMENTO.Unidade)</f>
        <v>-</v>
      </c>
      <c r="G214" s="124">
        <f ca="1">IF(RegimeExecucao="Global","",ORÇAMENTO!T214)</f>
        <v>766.78</v>
      </c>
      <c r="H214" s="124">
        <f ca="1">IF(RegimeExecucao="Global","",ORÇAMENTO!W214)</f>
        <v>0</v>
      </c>
      <c r="I214" s="127">
        <f ca="1">ORÇAMENTO!X214</f>
        <v>0</v>
      </c>
      <c r="J214" s="378">
        <f ca="1">IF($A214="S",IF(CAIXA.Modo,BM.AFAnterior,BM.MEDAnterior),IF(AND(RegimeExecucao="Global",$I214&gt;0,COUNTIF($AB$13:$AM$13,BM.medicao-1)&gt;0),M214/$I214*100,0))</f>
        <v>0</v>
      </c>
      <c r="K214" s="124">
        <f t="shared" ca="1" si="17"/>
        <v>0</v>
      </c>
      <c r="L214" s="379">
        <f ca="1">IF($A214="S",IF(CAIXA.Modo,BM.AFAcumulado,BM.MEDAcumulado),IF(AND(RegimeExecucao="Global",$I214&gt;0,COUNTIF($AB$13:$AM$13,BM.medicao)&gt;0),O214/$I214*100,0))</f>
        <v>0</v>
      </c>
      <c r="M214" s="380">
        <f ca="1">IF($A214="S",VTOTALBM,IF($A214=0,0,ROUND(SomaAgrupBM,15-13*ORÇAMENTO!$AF$11)))</f>
        <v>0</v>
      </c>
      <c r="N214" s="381">
        <f t="shared" ca="1" si="18"/>
        <v>0</v>
      </c>
      <c r="O214" s="127">
        <f ca="1">IF($A214="S",VTOTALBM,IF($A214=0,0,ROUND(SomaAgrupBM,15-13*ORÇAMENTO!$AF$11)))</f>
        <v>0</v>
      </c>
      <c r="Q214" s="382"/>
      <c r="R214" s="383"/>
      <c r="T214" s="119" t="str">
        <f t="shared" ca="1" si="19"/>
        <v/>
      </c>
      <c r="U214" s="172" t="str">
        <f t="shared" ca="1" si="20"/>
        <v/>
      </c>
      <c r="V214" s="173" t="str">
        <f ca="1">IF(AND($W214&gt;0,RegimeExecucao="Unitário"),$F214,"")</f>
        <v/>
      </c>
      <c r="W214" s="547">
        <f ca="1">IF($Y214&gt;0,CHOOSE(MATCH(RegimeExecucao,{"Unitário","Global"},0),IF($A214="S",$Y214/$X214,""),($Y214/$X214)*100),0)</f>
        <v>0</v>
      </c>
      <c r="X214" s="384" t="str">
        <f ca="1">IF($Y214&gt;0,CHOOSE(MATCH(RegimeExecucao,{"Unitário","Global"},0),IF($A214="S",ROUND($H214,ORÇAMENTO!$AF$10),""),ROUND($I214,ORÇAMENTO!$AF$11)),"")</f>
        <v/>
      </c>
      <c r="Y214" s="384">
        <f t="shared" ca="1" si="21"/>
        <v>0</v>
      </c>
      <c r="Z214" s="572"/>
      <c r="AB214" s="382"/>
      <c r="AC214" s="516"/>
      <c r="AD214" s="516"/>
      <c r="AE214" s="516"/>
      <c r="AF214" s="516"/>
      <c r="AG214" s="516"/>
      <c r="AH214" s="516"/>
      <c r="AI214" s="516"/>
      <c r="AJ214" s="516"/>
      <c r="AK214" s="516"/>
      <c r="AL214" s="516"/>
      <c r="AM214" s="383"/>
      <c r="AO214">
        <f ca="1">IF($A214="S",IF(BM!$I214=0,0,CHOOSE(MATCH(RegimeExecucao,{"Global","Unitário"},0),ROUND(ROUND(BM.MEDAcumulado,15-13*BM!$A$9)/100*BM!$I214,15-13*ORÇAMENTO!$AF$11),ROUND(ROUND(BM.MEDAcumulado,15-13*BM!$A$9)*ROUND(BM!$H214,15-13*ORÇAMENTO!$AF$10),15-13*ORÇAMENTO!$AF$11))),IF($A214=0,0,ROUND(SomaAgrupBM,15-13*ORÇAMENTO!$AF$11)))</f>
        <v>0</v>
      </c>
    </row>
    <row r="215" spans="1:41" ht="51" x14ac:dyDescent="0.2">
      <c r="A215" t="str">
        <f ca="1">ORÇAMENTO!C215</f>
        <v>S</v>
      </c>
      <c r="B215">
        <f ca="1">ORÇAMENTO!D215</f>
        <v>0</v>
      </c>
      <c r="C215" s="116" t="str">
        <f t="shared" ca="1" si="15"/>
        <v/>
      </c>
      <c r="D215" s="119" t="str">
        <f ca="1">ORÇAMENTO!O215</f>
        <v>-</v>
      </c>
      <c r="E215" s="172" t="str">
        <f t="shared" ca="1" si="16"/>
        <v>(abra o arquivo 'Referência 02-2025.xlsm)</v>
      </c>
      <c r="F215" s="173" t="str">
        <f ca="1">IF(RegimeExecucao="Global","",ORÇAMENTO.Unidade)</f>
        <v>-</v>
      </c>
      <c r="G215" s="124">
        <f ca="1">IF(RegimeExecucao="Global","",ORÇAMENTO!T215)</f>
        <v>618.91</v>
      </c>
      <c r="H215" s="124">
        <f ca="1">IF(RegimeExecucao="Global","",ORÇAMENTO!W215)</f>
        <v>0</v>
      </c>
      <c r="I215" s="127">
        <f ca="1">ORÇAMENTO!X215</f>
        <v>0</v>
      </c>
      <c r="J215" s="378">
        <f ca="1">IF($A215="S",IF(CAIXA.Modo,BM.AFAnterior,BM.MEDAnterior),IF(AND(RegimeExecucao="Global",$I215&gt;0,COUNTIF($AB$13:$AM$13,BM.medicao-1)&gt;0),M215/$I215*100,0))</f>
        <v>0</v>
      </c>
      <c r="K215" s="124">
        <f t="shared" ca="1" si="17"/>
        <v>0</v>
      </c>
      <c r="L215" s="379">
        <f ca="1">IF($A215="S",IF(CAIXA.Modo,BM.AFAcumulado,BM.MEDAcumulado),IF(AND(RegimeExecucao="Global",$I215&gt;0,COUNTIF($AB$13:$AM$13,BM.medicao)&gt;0),O215/$I215*100,0))</f>
        <v>0</v>
      </c>
      <c r="M215" s="380">
        <f ca="1">IF($A215="S",VTOTALBM,IF($A215=0,0,ROUND(SomaAgrupBM,15-13*ORÇAMENTO!$AF$11)))</f>
        <v>0</v>
      </c>
      <c r="N215" s="381">
        <f t="shared" ca="1" si="18"/>
        <v>0</v>
      </c>
      <c r="O215" s="127">
        <f ca="1">IF($A215="S",VTOTALBM,IF($A215=0,0,ROUND(SomaAgrupBM,15-13*ORÇAMENTO!$AF$11)))</f>
        <v>0</v>
      </c>
      <c r="Q215" s="382"/>
      <c r="R215" s="383"/>
      <c r="T215" s="119" t="str">
        <f t="shared" ca="1" si="19"/>
        <v/>
      </c>
      <c r="U215" s="172" t="str">
        <f t="shared" ca="1" si="20"/>
        <v/>
      </c>
      <c r="V215" s="173" t="str">
        <f ca="1">IF(AND($W215&gt;0,RegimeExecucao="Unitário"),$F215,"")</f>
        <v/>
      </c>
      <c r="W215" s="547">
        <f ca="1">IF($Y215&gt;0,CHOOSE(MATCH(RegimeExecucao,{"Unitário","Global"},0),IF($A215="S",$Y215/$X215,""),($Y215/$X215)*100),0)</f>
        <v>0</v>
      </c>
      <c r="X215" s="384" t="str">
        <f ca="1">IF($Y215&gt;0,CHOOSE(MATCH(RegimeExecucao,{"Unitário","Global"},0),IF($A215="S",ROUND($H215,ORÇAMENTO!$AF$10),""),ROUND($I215,ORÇAMENTO!$AF$11)),"")</f>
        <v/>
      </c>
      <c r="Y215" s="384">
        <f t="shared" ca="1" si="21"/>
        <v>0</v>
      </c>
      <c r="Z215" s="572"/>
      <c r="AB215" s="382"/>
      <c r="AC215" s="516"/>
      <c r="AD215" s="516"/>
      <c r="AE215" s="516"/>
      <c r="AF215" s="516"/>
      <c r="AG215" s="516"/>
      <c r="AH215" s="516"/>
      <c r="AI215" s="516"/>
      <c r="AJ215" s="516"/>
      <c r="AK215" s="516"/>
      <c r="AL215" s="516"/>
      <c r="AM215" s="383"/>
      <c r="AO215">
        <f ca="1">IF($A215="S",IF(BM!$I215=0,0,CHOOSE(MATCH(RegimeExecucao,{"Global","Unitário"},0),ROUND(ROUND(BM.MEDAcumulado,15-13*BM!$A$9)/100*BM!$I215,15-13*ORÇAMENTO!$AF$11),ROUND(ROUND(BM.MEDAcumulado,15-13*BM!$A$9)*ROUND(BM!$H215,15-13*ORÇAMENTO!$AF$10),15-13*ORÇAMENTO!$AF$11))),IF($A215=0,0,ROUND(SomaAgrupBM,15-13*ORÇAMENTO!$AF$11)))</f>
        <v>0</v>
      </c>
    </row>
    <row r="216" spans="1:41" ht="63.75" x14ac:dyDescent="0.2">
      <c r="A216" t="str">
        <f ca="1">ORÇAMENTO!C216</f>
        <v>S</v>
      </c>
      <c r="B216">
        <f ca="1">ORÇAMENTO!D216</f>
        <v>0</v>
      </c>
      <c r="C216" s="116" t="str">
        <f t="shared" ca="1" si="15"/>
        <v/>
      </c>
      <c r="D216" s="119" t="str">
        <f ca="1">ORÇAMENTO!O216</f>
        <v>-</v>
      </c>
      <c r="E216" s="172" t="str">
        <f t="shared" ca="1" si="16"/>
        <v>(abra o arquivo 'Referência 02-2025.xlsm)</v>
      </c>
      <c r="F216" s="173" t="str">
        <f ca="1">IF(RegimeExecucao="Global","",ORÇAMENTO.Unidade)</f>
        <v>-</v>
      </c>
      <c r="G216" s="124">
        <f ca="1">IF(RegimeExecucao="Global","",ORÇAMENTO!T216)</f>
        <v>412.53</v>
      </c>
      <c r="H216" s="124">
        <f ca="1">IF(RegimeExecucao="Global","",ORÇAMENTO!W216)</f>
        <v>0</v>
      </c>
      <c r="I216" s="127">
        <f ca="1">ORÇAMENTO!X216</f>
        <v>0</v>
      </c>
      <c r="J216" s="378">
        <f ca="1">IF($A216="S",IF(CAIXA.Modo,BM.AFAnterior,BM.MEDAnterior),IF(AND(RegimeExecucao="Global",$I216&gt;0,COUNTIF($AB$13:$AM$13,BM.medicao-1)&gt;0),M216/$I216*100,0))</f>
        <v>0</v>
      </c>
      <c r="K216" s="124">
        <f t="shared" ca="1" si="17"/>
        <v>0</v>
      </c>
      <c r="L216" s="379">
        <f ca="1">IF($A216="S",IF(CAIXA.Modo,BM.AFAcumulado,BM.MEDAcumulado),IF(AND(RegimeExecucao="Global",$I216&gt;0,COUNTIF($AB$13:$AM$13,BM.medicao)&gt;0),O216/$I216*100,0))</f>
        <v>0</v>
      </c>
      <c r="M216" s="380">
        <f ca="1">IF($A216="S",VTOTALBM,IF($A216=0,0,ROUND(SomaAgrupBM,15-13*ORÇAMENTO!$AF$11)))</f>
        <v>0</v>
      </c>
      <c r="N216" s="381">
        <f t="shared" ca="1" si="18"/>
        <v>0</v>
      </c>
      <c r="O216" s="127">
        <f ca="1">IF($A216="S",VTOTALBM,IF($A216=0,0,ROUND(SomaAgrupBM,15-13*ORÇAMENTO!$AF$11)))</f>
        <v>0</v>
      </c>
      <c r="Q216" s="382"/>
      <c r="R216" s="383"/>
      <c r="T216" s="119" t="str">
        <f t="shared" ca="1" si="19"/>
        <v/>
      </c>
      <c r="U216" s="172" t="str">
        <f t="shared" ca="1" si="20"/>
        <v/>
      </c>
      <c r="V216" s="173" t="str">
        <f ca="1">IF(AND($W216&gt;0,RegimeExecucao="Unitário"),$F216,"")</f>
        <v/>
      </c>
      <c r="W216" s="547">
        <f ca="1">IF($Y216&gt;0,CHOOSE(MATCH(RegimeExecucao,{"Unitário","Global"},0),IF($A216="S",$Y216/$X216,""),($Y216/$X216)*100),0)</f>
        <v>0</v>
      </c>
      <c r="X216" s="384" t="str">
        <f ca="1">IF($Y216&gt;0,CHOOSE(MATCH(RegimeExecucao,{"Unitário","Global"},0),IF($A216="S",ROUND($H216,ORÇAMENTO!$AF$10),""),ROUND($I216,ORÇAMENTO!$AF$11)),"")</f>
        <v/>
      </c>
      <c r="Y216" s="384">
        <f t="shared" ca="1" si="21"/>
        <v>0</v>
      </c>
      <c r="Z216" s="572"/>
      <c r="AB216" s="382"/>
      <c r="AC216" s="516"/>
      <c r="AD216" s="516"/>
      <c r="AE216" s="516"/>
      <c r="AF216" s="516"/>
      <c r="AG216" s="516"/>
      <c r="AH216" s="516"/>
      <c r="AI216" s="516"/>
      <c r="AJ216" s="516"/>
      <c r="AK216" s="516"/>
      <c r="AL216" s="516"/>
      <c r="AM216" s="383"/>
      <c r="AO216">
        <f ca="1">IF($A216="S",IF(BM!$I216=0,0,CHOOSE(MATCH(RegimeExecucao,{"Global","Unitário"},0),ROUND(ROUND(BM.MEDAcumulado,15-13*BM!$A$9)/100*BM!$I216,15-13*ORÇAMENTO!$AF$11),ROUND(ROUND(BM.MEDAcumulado,15-13*BM!$A$9)*ROUND(BM!$H216,15-13*ORÇAMENTO!$AF$10),15-13*ORÇAMENTO!$AF$11))),IF($A216=0,0,ROUND(SomaAgrupBM,15-13*ORÇAMENTO!$AF$11)))</f>
        <v>0</v>
      </c>
    </row>
    <row r="217" spans="1:41" ht="38.25" x14ac:dyDescent="0.2">
      <c r="A217" t="str">
        <f ca="1">ORÇAMENTO!C217</f>
        <v>S</v>
      </c>
      <c r="B217">
        <f ca="1">ORÇAMENTO!D217</f>
        <v>0</v>
      </c>
      <c r="C217" s="116" t="str">
        <f t="shared" ca="1" si="15"/>
        <v/>
      </c>
      <c r="D217" s="119" t="str">
        <f ca="1">ORÇAMENTO!O217</f>
        <v>-</v>
      </c>
      <c r="E217" s="172" t="str">
        <f t="shared" ca="1" si="16"/>
        <v>(abra o arquivo 'Referência 02-2025.xlsm)</v>
      </c>
      <c r="F217" s="173" t="str">
        <f ca="1">IF(RegimeExecucao="Global","",ORÇAMENTO.Unidade)</f>
        <v>-</v>
      </c>
      <c r="G217" s="124">
        <f ca="1">IF(RegimeExecucao="Global","",ORÇAMENTO!T217)</f>
        <v>348</v>
      </c>
      <c r="H217" s="124">
        <f ca="1">IF(RegimeExecucao="Global","",ORÇAMENTO!W217)</f>
        <v>0</v>
      </c>
      <c r="I217" s="127">
        <f ca="1">ORÇAMENTO!X217</f>
        <v>0</v>
      </c>
      <c r="J217" s="378">
        <f ca="1">IF($A217="S",IF(CAIXA.Modo,BM.AFAnterior,BM.MEDAnterior),IF(AND(RegimeExecucao="Global",$I217&gt;0,COUNTIF($AB$13:$AM$13,BM.medicao-1)&gt;0),M217/$I217*100,0))</f>
        <v>0</v>
      </c>
      <c r="K217" s="124">
        <f t="shared" ca="1" si="17"/>
        <v>0</v>
      </c>
      <c r="L217" s="379">
        <f ca="1">IF($A217="S",IF(CAIXA.Modo,BM.AFAcumulado,BM.MEDAcumulado),IF(AND(RegimeExecucao="Global",$I217&gt;0,COUNTIF($AB$13:$AM$13,BM.medicao)&gt;0),O217/$I217*100,0))</f>
        <v>0</v>
      </c>
      <c r="M217" s="380">
        <f ca="1">IF($A217="S",VTOTALBM,IF($A217=0,0,ROUND(SomaAgrupBM,15-13*ORÇAMENTO!$AF$11)))</f>
        <v>0</v>
      </c>
      <c r="N217" s="381">
        <f t="shared" ca="1" si="18"/>
        <v>0</v>
      </c>
      <c r="O217" s="127">
        <f ca="1">IF($A217="S",VTOTALBM,IF($A217=0,0,ROUND(SomaAgrupBM,15-13*ORÇAMENTO!$AF$11)))</f>
        <v>0</v>
      </c>
      <c r="Q217" s="382"/>
      <c r="R217" s="383"/>
      <c r="T217" s="119" t="str">
        <f t="shared" ca="1" si="19"/>
        <v/>
      </c>
      <c r="U217" s="172" t="str">
        <f t="shared" ca="1" si="20"/>
        <v/>
      </c>
      <c r="V217" s="173" t="str">
        <f ca="1">IF(AND($W217&gt;0,RegimeExecucao="Unitário"),$F217,"")</f>
        <v/>
      </c>
      <c r="W217" s="547">
        <f ca="1">IF($Y217&gt;0,CHOOSE(MATCH(RegimeExecucao,{"Unitário","Global"},0),IF($A217="S",$Y217/$X217,""),($Y217/$X217)*100),0)</f>
        <v>0</v>
      </c>
      <c r="X217" s="384" t="str">
        <f ca="1">IF($Y217&gt;0,CHOOSE(MATCH(RegimeExecucao,{"Unitário","Global"},0),IF($A217="S",ROUND($H217,ORÇAMENTO!$AF$10),""),ROUND($I217,ORÇAMENTO!$AF$11)),"")</f>
        <v/>
      </c>
      <c r="Y217" s="384">
        <f t="shared" ca="1" si="21"/>
        <v>0</v>
      </c>
      <c r="Z217" s="572"/>
      <c r="AB217" s="382"/>
      <c r="AC217" s="516"/>
      <c r="AD217" s="516"/>
      <c r="AE217" s="516"/>
      <c r="AF217" s="516"/>
      <c r="AG217" s="516"/>
      <c r="AH217" s="516"/>
      <c r="AI217" s="516"/>
      <c r="AJ217" s="516"/>
      <c r="AK217" s="516"/>
      <c r="AL217" s="516"/>
      <c r="AM217" s="383"/>
      <c r="AO217">
        <f ca="1">IF($A217="S",IF(BM!$I217=0,0,CHOOSE(MATCH(RegimeExecucao,{"Global","Unitário"},0),ROUND(ROUND(BM.MEDAcumulado,15-13*BM!$A$9)/100*BM!$I217,15-13*ORÇAMENTO!$AF$11),ROUND(ROUND(BM.MEDAcumulado,15-13*BM!$A$9)*ROUND(BM!$H217,15-13*ORÇAMENTO!$AF$10),15-13*ORÇAMENTO!$AF$11))),IF($A217=0,0,ROUND(SomaAgrupBM,15-13*ORÇAMENTO!$AF$11)))</f>
        <v>0</v>
      </c>
    </row>
    <row r="218" spans="1:41" ht="38.25" x14ac:dyDescent="0.2">
      <c r="A218" t="str">
        <f ca="1">ORÇAMENTO!C218</f>
        <v>S</v>
      </c>
      <c r="B218">
        <f ca="1">ORÇAMENTO!D218</f>
        <v>0</v>
      </c>
      <c r="C218" s="116" t="str">
        <f t="shared" ref="C218:C522" ca="1" si="22">IF(OR($I218&gt;0,$A218=1,$A218=2,$A218=3,$A218=4),"F","")</f>
        <v/>
      </c>
      <c r="D218" s="119" t="str">
        <f ca="1">ORÇAMENTO!O218</f>
        <v>-</v>
      </c>
      <c r="E218" s="172" t="str">
        <f t="shared" ref="E218:E522" ca="1" si="23">ORÇAMENTO.Descricao</f>
        <v>(abra o arquivo 'Referência 02-2025.xlsm)</v>
      </c>
      <c r="F218" s="173" t="str">
        <f ca="1">IF(RegimeExecucao="Global","",ORÇAMENTO.Unidade)</f>
        <v>-</v>
      </c>
      <c r="G218" s="124">
        <f ca="1">IF(RegimeExecucao="Global","",ORÇAMENTO!T218)</f>
        <v>235.9</v>
      </c>
      <c r="H218" s="124">
        <f ca="1">IF(RegimeExecucao="Global","",ORÇAMENTO!W218)</f>
        <v>0</v>
      </c>
      <c r="I218" s="127">
        <f ca="1">ORÇAMENTO!X218</f>
        <v>0</v>
      </c>
      <c r="J218" s="378">
        <f ca="1">IF($A218="S",IF(CAIXA.Modo,BM.AFAnterior,BM.MEDAnterior),IF(AND(RegimeExecucao="Global",$I218&gt;0,COUNTIF($AB$13:$AM$13,BM.medicao-1)&gt;0),M218/$I218*100,0))</f>
        <v>0</v>
      </c>
      <c r="K218" s="124">
        <f t="shared" ref="K218:K522" ca="1" si="24">L218-J218</f>
        <v>0</v>
      </c>
      <c r="L218" s="379">
        <f ca="1">IF($A218="S",IF(CAIXA.Modo,BM.AFAcumulado,BM.MEDAcumulado),IF(AND(RegimeExecucao="Global",$I218&gt;0,COUNTIF($AB$13:$AM$13,BM.medicao)&gt;0),O218/$I218*100,0))</f>
        <v>0</v>
      </c>
      <c r="M218" s="380">
        <f ca="1">IF($A218="S",VTOTALBM,IF($A218=0,0,ROUND(SomaAgrupBM,15-13*ORÇAMENTO!$AF$11)))</f>
        <v>0</v>
      </c>
      <c r="N218" s="381">
        <f t="shared" ref="N218:N522" ca="1" si="25">O218-M218</f>
        <v>0</v>
      </c>
      <c r="O218" s="127">
        <f ca="1">IF($A218="S",VTOTALBM,IF($A218=0,0,ROUND(SomaAgrupBM,15-13*ORÇAMENTO!$AF$11)))</f>
        <v>0</v>
      </c>
      <c r="Q218" s="382"/>
      <c r="R218" s="383"/>
      <c r="T218" s="119" t="str">
        <f t="shared" ref="T218:T522" ca="1" si="26">IF($W218&gt;0,$D218,"")</f>
        <v/>
      </c>
      <c r="U218" s="172" t="str">
        <f t="shared" ref="U218:U522" ca="1" si="27">IF($W218&gt;0,$E218,"")</f>
        <v/>
      </c>
      <c r="V218" s="173" t="str">
        <f ca="1">IF(AND($W218&gt;0,RegimeExecucao="Unitário"),$F218,"")</f>
        <v/>
      </c>
      <c r="W218" s="547">
        <f ca="1">IF($Y218&gt;0,CHOOSE(MATCH(RegimeExecucao,{"Unitário","Global"},0),IF($A218="S",$Y218/$X218,""),($Y218/$X218)*100),0)</f>
        <v>0</v>
      </c>
      <c r="X218" s="384" t="str">
        <f ca="1">IF($Y218&gt;0,CHOOSE(MATCH(RegimeExecucao,{"Unitário","Global"},0),IF($A218="S",ROUND($H218,ORÇAMENTO!$AF$10),""),ROUND($I218,ORÇAMENTO!$AF$11)),"")</f>
        <v/>
      </c>
      <c r="Y218" s="384">
        <f t="shared" ref="Y218:Y522" ca="1" si="28">AO218-O218</f>
        <v>0</v>
      </c>
      <c r="Z218" s="572"/>
      <c r="AB218" s="382"/>
      <c r="AC218" s="516"/>
      <c r="AD218" s="516"/>
      <c r="AE218" s="516"/>
      <c r="AF218" s="516"/>
      <c r="AG218" s="516"/>
      <c r="AH218" s="516"/>
      <c r="AI218" s="516"/>
      <c r="AJ218" s="516"/>
      <c r="AK218" s="516"/>
      <c r="AL218" s="516"/>
      <c r="AM218" s="383"/>
      <c r="AO218">
        <f ca="1">IF($A218="S",IF(BM!$I218=0,0,CHOOSE(MATCH(RegimeExecucao,{"Global","Unitário"},0),ROUND(ROUND(BM.MEDAcumulado,15-13*BM!$A$9)/100*BM!$I218,15-13*ORÇAMENTO!$AF$11),ROUND(ROUND(BM.MEDAcumulado,15-13*BM!$A$9)*ROUND(BM!$H218,15-13*ORÇAMENTO!$AF$10),15-13*ORÇAMENTO!$AF$11))),IF($A218=0,0,ROUND(SomaAgrupBM,15-13*ORÇAMENTO!$AF$11)))</f>
        <v>0</v>
      </c>
    </row>
    <row r="219" spans="1:41" ht="25.5" x14ac:dyDescent="0.2">
      <c r="A219" t="str">
        <f ca="1">ORÇAMENTO!C219</f>
        <v>S</v>
      </c>
      <c r="B219">
        <f ca="1">ORÇAMENTO!D219</f>
        <v>0</v>
      </c>
      <c r="C219" s="116" t="str">
        <f t="shared" ca="1" si="22"/>
        <v/>
      </c>
      <c r="D219" s="119" t="str">
        <f ca="1">ORÇAMENTO!O219</f>
        <v>-</v>
      </c>
      <c r="E219" s="172" t="str">
        <f t="shared" ca="1" si="23"/>
        <v>(abra o arquivo 'Referência 02-2025.xlsm)</v>
      </c>
      <c r="F219" s="173" t="str">
        <f ca="1">IF(RegimeExecucao="Global","",ORÇAMENTO.Unidade)</f>
        <v>-</v>
      </c>
      <c r="G219" s="124">
        <f ca="1">IF(RegimeExecucao="Global","",ORÇAMENTO!T219)</f>
        <v>398.28</v>
      </c>
      <c r="H219" s="124">
        <f ca="1">IF(RegimeExecucao="Global","",ORÇAMENTO!W219)</f>
        <v>0</v>
      </c>
      <c r="I219" s="127">
        <f ca="1">ORÇAMENTO!X219</f>
        <v>0</v>
      </c>
      <c r="J219" s="378">
        <f ca="1">IF($A219="S",IF(CAIXA.Modo,BM.AFAnterior,BM.MEDAnterior),IF(AND(RegimeExecucao="Global",$I219&gt;0,COUNTIF($AB$13:$AM$13,BM.medicao-1)&gt;0),M219/$I219*100,0))</f>
        <v>0</v>
      </c>
      <c r="K219" s="124">
        <f t="shared" ca="1" si="24"/>
        <v>0</v>
      </c>
      <c r="L219" s="379">
        <f ca="1">IF($A219="S",IF(CAIXA.Modo,BM.AFAcumulado,BM.MEDAcumulado),IF(AND(RegimeExecucao="Global",$I219&gt;0,COUNTIF($AB$13:$AM$13,BM.medicao)&gt;0),O219/$I219*100,0))</f>
        <v>0</v>
      </c>
      <c r="M219" s="380">
        <f ca="1">IF($A219="S",VTOTALBM,IF($A219=0,0,ROUND(SomaAgrupBM,15-13*ORÇAMENTO!$AF$11)))</f>
        <v>0</v>
      </c>
      <c r="N219" s="381">
        <f t="shared" ca="1" si="25"/>
        <v>0</v>
      </c>
      <c r="O219" s="127">
        <f ca="1">IF($A219="S",VTOTALBM,IF($A219=0,0,ROUND(SomaAgrupBM,15-13*ORÇAMENTO!$AF$11)))</f>
        <v>0</v>
      </c>
      <c r="Q219" s="382"/>
      <c r="R219" s="383"/>
      <c r="T219" s="119" t="str">
        <f t="shared" ca="1" si="26"/>
        <v/>
      </c>
      <c r="U219" s="172" t="str">
        <f t="shared" ca="1" si="27"/>
        <v/>
      </c>
      <c r="V219" s="173" t="str">
        <f ca="1">IF(AND($W219&gt;0,RegimeExecucao="Unitário"),$F219,"")</f>
        <v/>
      </c>
      <c r="W219" s="547">
        <f ca="1">IF($Y219&gt;0,CHOOSE(MATCH(RegimeExecucao,{"Unitário","Global"},0),IF($A219="S",$Y219/$X219,""),($Y219/$X219)*100),0)</f>
        <v>0</v>
      </c>
      <c r="X219" s="384" t="str">
        <f ca="1">IF($Y219&gt;0,CHOOSE(MATCH(RegimeExecucao,{"Unitário","Global"},0),IF($A219="S",ROUND($H219,ORÇAMENTO!$AF$10),""),ROUND($I219,ORÇAMENTO!$AF$11)),"")</f>
        <v/>
      </c>
      <c r="Y219" s="384">
        <f t="shared" ca="1" si="28"/>
        <v>0</v>
      </c>
      <c r="Z219" s="572"/>
      <c r="AB219" s="382"/>
      <c r="AC219" s="516"/>
      <c r="AD219" s="516"/>
      <c r="AE219" s="516"/>
      <c r="AF219" s="516"/>
      <c r="AG219" s="516"/>
      <c r="AH219" s="516"/>
      <c r="AI219" s="516"/>
      <c r="AJ219" s="516"/>
      <c r="AK219" s="516"/>
      <c r="AL219" s="516"/>
      <c r="AM219" s="383"/>
      <c r="AO219">
        <f ca="1">IF($A219="S",IF(BM!$I219=0,0,CHOOSE(MATCH(RegimeExecucao,{"Global","Unitário"},0),ROUND(ROUND(BM.MEDAcumulado,15-13*BM!$A$9)/100*BM!$I219,15-13*ORÇAMENTO!$AF$11),ROUND(ROUND(BM.MEDAcumulado,15-13*BM!$A$9)*ROUND(BM!$H219,15-13*ORÇAMENTO!$AF$10),15-13*ORÇAMENTO!$AF$11))),IF($A219=0,0,ROUND(SomaAgrupBM,15-13*ORÇAMENTO!$AF$11)))</f>
        <v>0</v>
      </c>
    </row>
    <row r="220" spans="1:41" ht="25.5" x14ac:dyDescent="0.2">
      <c r="A220" t="str">
        <f ca="1">ORÇAMENTO!C220</f>
        <v>S</v>
      </c>
      <c r="B220">
        <f ca="1">ORÇAMENTO!D220</f>
        <v>0</v>
      </c>
      <c r="C220" s="116" t="str">
        <f t="shared" ca="1" si="22"/>
        <v/>
      </c>
      <c r="D220" s="119" t="str">
        <f ca="1">ORÇAMENTO!O220</f>
        <v>-</v>
      </c>
      <c r="E220" s="172" t="str">
        <f t="shared" ca="1" si="23"/>
        <v>(abra o arquivo 'Referência 02-2025.xlsm)</v>
      </c>
      <c r="F220" s="173" t="str">
        <f ca="1">IF(RegimeExecucao="Global","",ORÇAMENTO.Unidade)</f>
        <v>-</v>
      </c>
      <c r="G220" s="124">
        <f ca="1">IF(RegimeExecucao="Global","",ORÇAMENTO!T220)</f>
        <v>32.9</v>
      </c>
      <c r="H220" s="124">
        <f ca="1">IF(RegimeExecucao="Global","",ORÇAMENTO!W220)</f>
        <v>0</v>
      </c>
      <c r="I220" s="127">
        <f ca="1">ORÇAMENTO!X220</f>
        <v>0</v>
      </c>
      <c r="J220" s="378">
        <f ca="1">IF($A220="S",IF(CAIXA.Modo,BM.AFAnterior,BM.MEDAnterior),IF(AND(RegimeExecucao="Global",$I220&gt;0,COUNTIF($AB$13:$AM$13,BM.medicao-1)&gt;0),M220/$I220*100,0))</f>
        <v>0</v>
      </c>
      <c r="K220" s="124">
        <f t="shared" ca="1" si="24"/>
        <v>0</v>
      </c>
      <c r="L220" s="379">
        <f ca="1">IF($A220="S",IF(CAIXA.Modo,BM.AFAcumulado,BM.MEDAcumulado),IF(AND(RegimeExecucao="Global",$I220&gt;0,COUNTIF($AB$13:$AM$13,BM.medicao)&gt;0),O220/$I220*100,0))</f>
        <v>0</v>
      </c>
      <c r="M220" s="380">
        <f ca="1">IF($A220="S",VTOTALBM,IF($A220=0,0,ROUND(SomaAgrupBM,15-13*ORÇAMENTO!$AF$11)))</f>
        <v>0</v>
      </c>
      <c r="N220" s="381">
        <f t="shared" ca="1" si="25"/>
        <v>0</v>
      </c>
      <c r="O220" s="127">
        <f ca="1">IF($A220="S",VTOTALBM,IF($A220=0,0,ROUND(SomaAgrupBM,15-13*ORÇAMENTO!$AF$11)))</f>
        <v>0</v>
      </c>
      <c r="Q220" s="382"/>
      <c r="R220" s="383"/>
      <c r="T220" s="119" t="str">
        <f t="shared" ca="1" si="26"/>
        <v/>
      </c>
      <c r="U220" s="172" t="str">
        <f t="shared" ca="1" si="27"/>
        <v/>
      </c>
      <c r="V220" s="173" t="str">
        <f ca="1">IF(AND($W220&gt;0,RegimeExecucao="Unitário"),$F220,"")</f>
        <v/>
      </c>
      <c r="W220" s="547">
        <f ca="1">IF($Y220&gt;0,CHOOSE(MATCH(RegimeExecucao,{"Unitário","Global"},0),IF($A220="S",$Y220/$X220,""),($Y220/$X220)*100),0)</f>
        <v>0</v>
      </c>
      <c r="X220" s="384" t="str">
        <f ca="1">IF($Y220&gt;0,CHOOSE(MATCH(RegimeExecucao,{"Unitário","Global"},0),IF($A220="S",ROUND($H220,ORÇAMENTO!$AF$10),""),ROUND($I220,ORÇAMENTO!$AF$11)),"")</f>
        <v/>
      </c>
      <c r="Y220" s="384">
        <f t="shared" ca="1" si="28"/>
        <v>0</v>
      </c>
      <c r="Z220" s="572"/>
      <c r="AB220" s="382"/>
      <c r="AC220" s="516"/>
      <c r="AD220" s="516"/>
      <c r="AE220" s="516"/>
      <c r="AF220" s="516"/>
      <c r="AG220" s="516"/>
      <c r="AH220" s="516"/>
      <c r="AI220" s="516"/>
      <c r="AJ220" s="516"/>
      <c r="AK220" s="516"/>
      <c r="AL220" s="516"/>
      <c r="AM220" s="383"/>
      <c r="AO220">
        <f ca="1">IF($A220="S",IF(BM!$I220=0,0,CHOOSE(MATCH(RegimeExecucao,{"Global","Unitário"},0),ROUND(ROUND(BM.MEDAcumulado,15-13*BM!$A$9)/100*BM!$I220,15-13*ORÇAMENTO!$AF$11),ROUND(ROUND(BM.MEDAcumulado,15-13*BM!$A$9)*ROUND(BM!$H220,15-13*ORÇAMENTO!$AF$10),15-13*ORÇAMENTO!$AF$11))),IF($A220=0,0,ROUND(SomaAgrupBM,15-13*ORÇAMENTO!$AF$11)))</f>
        <v>0</v>
      </c>
    </row>
    <row r="221" spans="1:41" ht="25.5" x14ac:dyDescent="0.2">
      <c r="A221" t="str">
        <f ca="1">ORÇAMENTO!C221</f>
        <v>S</v>
      </c>
      <c r="B221">
        <f ca="1">ORÇAMENTO!D221</f>
        <v>0</v>
      </c>
      <c r="C221" s="116" t="str">
        <f t="shared" ca="1" si="22"/>
        <v/>
      </c>
      <c r="D221" s="119" t="str">
        <f ca="1">ORÇAMENTO!O221</f>
        <v>-</v>
      </c>
      <c r="E221" s="172" t="str">
        <f t="shared" ca="1" si="23"/>
        <v>(abra o arquivo 'Referência 02-2025.xlsm)</v>
      </c>
      <c r="F221" s="173" t="str">
        <f ca="1">IF(RegimeExecucao="Global","",ORÇAMENTO.Unidade)</f>
        <v>-</v>
      </c>
      <c r="G221" s="124">
        <f ca="1">IF(RegimeExecucao="Global","",ORÇAMENTO!T221)</f>
        <v>115.08</v>
      </c>
      <c r="H221" s="124">
        <f ca="1">IF(RegimeExecucao="Global","",ORÇAMENTO!W221)</f>
        <v>0</v>
      </c>
      <c r="I221" s="127">
        <f ca="1">ORÇAMENTO!X221</f>
        <v>0</v>
      </c>
      <c r="J221" s="378">
        <f ca="1">IF($A221="S",IF(CAIXA.Modo,BM.AFAnterior,BM.MEDAnterior),IF(AND(RegimeExecucao="Global",$I221&gt;0,COUNTIF($AB$13:$AM$13,BM.medicao-1)&gt;0),M221/$I221*100,0))</f>
        <v>0</v>
      </c>
      <c r="K221" s="124">
        <f t="shared" ca="1" si="24"/>
        <v>0</v>
      </c>
      <c r="L221" s="379">
        <f ca="1">IF($A221="S",IF(CAIXA.Modo,BM.AFAcumulado,BM.MEDAcumulado),IF(AND(RegimeExecucao="Global",$I221&gt;0,COUNTIF($AB$13:$AM$13,BM.medicao)&gt;0),O221/$I221*100,0))</f>
        <v>0</v>
      </c>
      <c r="M221" s="380">
        <f ca="1">IF($A221="S",VTOTALBM,IF($A221=0,0,ROUND(SomaAgrupBM,15-13*ORÇAMENTO!$AF$11)))</f>
        <v>0</v>
      </c>
      <c r="N221" s="381">
        <f t="shared" ca="1" si="25"/>
        <v>0</v>
      </c>
      <c r="O221" s="127">
        <f ca="1">IF($A221="S",VTOTALBM,IF($A221=0,0,ROUND(SomaAgrupBM,15-13*ORÇAMENTO!$AF$11)))</f>
        <v>0</v>
      </c>
      <c r="Q221" s="382"/>
      <c r="R221" s="383"/>
      <c r="T221" s="119" t="str">
        <f t="shared" ca="1" si="26"/>
        <v/>
      </c>
      <c r="U221" s="172" t="str">
        <f t="shared" ca="1" si="27"/>
        <v/>
      </c>
      <c r="V221" s="173" t="str">
        <f ca="1">IF(AND($W221&gt;0,RegimeExecucao="Unitário"),$F221,"")</f>
        <v/>
      </c>
      <c r="W221" s="547">
        <f ca="1">IF($Y221&gt;0,CHOOSE(MATCH(RegimeExecucao,{"Unitário","Global"},0),IF($A221="S",$Y221/$X221,""),($Y221/$X221)*100),0)</f>
        <v>0</v>
      </c>
      <c r="X221" s="384" t="str">
        <f ca="1">IF($Y221&gt;0,CHOOSE(MATCH(RegimeExecucao,{"Unitário","Global"},0),IF($A221="S",ROUND($H221,ORÇAMENTO!$AF$10),""),ROUND($I221,ORÇAMENTO!$AF$11)),"")</f>
        <v/>
      </c>
      <c r="Y221" s="384">
        <f t="shared" ca="1" si="28"/>
        <v>0</v>
      </c>
      <c r="Z221" s="572"/>
      <c r="AB221" s="382"/>
      <c r="AC221" s="516"/>
      <c r="AD221" s="516"/>
      <c r="AE221" s="516"/>
      <c r="AF221" s="516"/>
      <c r="AG221" s="516"/>
      <c r="AH221" s="516"/>
      <c r="AI221" s="516"/>
      <c r="AJ221" s="516"/>
      <c r="AK221" s="516"/>
      <c r="AL221" s="516"/>
      <c r="AM221" s="383"/>
      <c r="AO221">
        <f ca="1">IF($A221="S",IF(BM!$I221=0,0,CHOOSE(MATCH(RegimeExecucao,{"Global","Unitário"},0),ROUND(ROUND(BM.MEDAcumulado,15-13*BM!$A$9)/100*BM!$I221,15-13*ORÇAMENTO!$AF$11),ROUND(ROUND(BM.MEDAcumulado,15-13*BM!$A$9)*ROUND(BM!$H221,15-13*ORÇAMENTO!$AF$10),15-13*ORÇAMENTO!$AF$11))),IF($A221=0,0,ROUND(SomaAgrupBM,15-13*ORÇAMENTO!$AF$11)))</f>
        <v>0</v>
      </c>
    </row>
    <row r="222" spans="1:41" ht="25.5" x14ac:dyDescent="0.2">
      <c r="A222" t="str">
        <f ca="1">ORÇAMENTO!C222</f>
        <v>S</v>
      </c>
      <c r="B222">
        <f ca="1">ORÇAMENTO!D222</f>
        <v>0</v>
      </c>
      <c r="C222" s="116" t="str">
        <f t="shared" ca="1" si="22"/>
        <v/>
      </c>
      <c r="D222" s="119" t="str">
        <f ca="1">ORÇAMENTO!O222</f>
        <v>-</v>
      </c>
      <c r="E222" s="172" t="str">
        <f t="shared" ca="1" si="23"/>
        <v>(abra o arquivo 'Referência 02-2025.xlsm)</v>
      </c>
      <c r="F222" s="173" t="str">
        <f ca="1">IF(RegimeExecucao="Global","",ORÇAMENTO.Unidade)</f>
        <v>-</v>
      </c>
      <c r="G222" s="124">
        <f ca="1">IF(RegimeExecucao="Global","",ORÇAMENTO!T222)</f>
        <v>30.19</v>
      </c>
      <c r="H222" s="124">
        <f ca="1">IF(RegimeExecucao="Global","",ORÇAMENTO!W222)</f>
        <v>0</v>
      </c>
      <c r="I222" s="127">
        <f ca="1">ORÇAMENTO!X222</f>
        <v>0</v>
      </c>
      <c r="J222" s="378">
        <f ca="1">IF($A222="S",IF(CAIXA.Modo,BM.AFAnterior,BM.MEDAnterior),IF(AND(RegimeExecucao="Global",$I222&gt;0,COUNTIF($AB$13:$AM$13,BM.medicao-1)&gt;0),M222/$I222*100,0))</f>
        <v>0</v>
      </c>
      <c r="K222" s="124">
        <f t="shared" ca="1" si="24"/>
        <v>0</v>
      </c>
      <c r="L222" s="379">
        <f ca="1">IF($A222="S",IF(CAIXA.Modo,BM.AFAcumulado,BM.MEDAcumulado),IF(AND(RegimeExecucao="Global",$I222&gt;0,COUNTIF($AB$13:$AM$13,BM.medicao)&gt;0),O222/$I222*100,0))</f>
        <v>0</v>
      </c>
      <c r="M222" s="380">
        <f ca="1">IF($A222="S",VTOTALBM,IF($A222=0,0,ROUND(SomaAgrupBM,15-13*ORÇAMENTO!$AF$11)))</f>
        <v>0</v>
      </c>
      <c r="N222" s="381">
        <f t="shared" ca="1" si="25"/>
        <v>0</v>
      </c>
      <c r="O222" s="127">
        <f ca="1">IF($A222="S",VTOTALBM,IF($A222=0,0,ROUND(SomaAgrupBM,15-13*ORÇAMENTO!$AF$11)))</f>
        <v>0</v>
      </c>
      <c r="Q222" s="382"/>
      <c r="R222" s="383"/>
      <c r="T222" s="119" t="str">
        <f t="shared" ca="1" si="26"/>
        <v/>
      </c>
      <c r="U222" s="172" t="str">
        <f t="shared" ca="1" si="27"/>
        <v/>
      </c>
      <c r="V222" s="173" t="str">
        <f ca="1">IF(AND($W222&gt;0,RegimeExecucao="Unitário"),$F222,"")</f>
        <v/>
      </c>
      <c r="W222" s="547">
        <f ca="1">IF($Y222&gt;0,CHOOSE(MATCH(RegimeExecucao,{"Unitário","Global"},0),IF($A222="S",$Y222/$X222,""),($Y222/$X222)*100),0)</f>
        <v>0</v>
      </c>
      <c r="X222" s="384" t="str">
        <f ca="1">IF($Y222&gt;0,CHOOSE(MATCH(RegimeExecucao,{"Unitário","Global"},0),IF($A222="S",ROUND($H222,ORÇAMENTO!$AF$10),""),ROUND($I222,ORÇAMENTO!$AF$11)),"")</f>
        <v/>
      </c>
      <c r="Y222" s="384">
        <f t="shared" ca="1" si="28"/>
        <v>0</v>
      </c>
      <c r="Z222" s="572"/>
      <c r="AB222" s="382"/>
      <c r="AC222" s="516"/>
      <c r="AD222" s="516"/>
      <c r="AE222" s="516"/>
      <c r="AF222" s="516"/>
      <c r="AG222" s="516"/>
      <c r="AH222" s="516"/>
      <c r="AI222" s="516"/>
      <c r="AJ222" s="516"/>
      <c r="AK222" s="516"/>
      <c r="AL222" s="516"/>
      <c r="AM222" s="383"/>
      <c r="AO222">
        <f ca="1">IF($A222="S",IF(BM!$I222=0,0,CHOOSE(MATCH(RegimeExecucao,{"Global","Unitário"},0),ROUND(ROUND(BM.MEDAcumulado,15-13*BM!$A$9)/100*BM!$I222,15-13*ORÇAMENTO!$AF$11),ROUND(ROUND(BM.MEDAcumulado,15-13*BM!$A$9)*ROUND(BM!$H222,15-13*ORÇAMENTO!$AF$10),15-13*ORÇAMENTO!$AF$11))),IF($A222=0,0,ROUND(SomaAgrupBM,15-13*ORÇAMENTO!$AF$11)))</f>
        <v>0</v>
      </c>
    </row>
    <row r="223" spans="1:41" ht="25.5" x14ac:dyDescent="0.2">
      <c r="A223" t="str">
        <f ca="1">ORÇAMENTO!C223</f>
        <v>S</v>
      </c>
      <c r="B223">
        <f ca="1">ORÇAMENTO!D223</f>
        <v>0</v>
      </c>
      <c r="C223" s="116" t="str">
        <f t="shared" ca="1" si="22"/>
        <v/>
      </c>
      <c r="D223" s="119" t="str">
        <f ca="1">ORÇAMENTO!O223</f>
        <v>-</v>
      </c>
      <c r="E223" s="172" t="str">
        <f t="shared" ca="1" si="23"/>
        <v>(abra o arquivo 'Referência 02-2025.xlsm)</v>
      </c>
      <c r="F223" s="173" t="str">
        <f ca="1">IF(RegimeExecucao="Global","",ORÇAMENTO.Unidade)</f>
        <v>-</v>
      </c>
      <c r="G223" s="124">
        <f ca="1">IF(RegimeExecucao="Global","",ORÇAMENTO!T223)</f>
        <v>220.11</v>
      </c>
      <c r="H223" s="124">
        <f ca="1">IF(RegimeExecucao="Global","",ORÇAMENTO!W223)</f>
        <v>0</v>
      </c>
      <c r="I223" s="127">
        <f ca="1">ORÇAMENTO!X223</f>
        <v>0</v>
      </c>
      <c r="J223" s="378">
        <f ca="1">IF($A223="S",IF(CAIXA.Modo,BM.AFAnterior,BM.MEDAnterior),IF(AND(RegimeExecucao="Global",$I223&gt;0,COUNTIF($AB$13:$AM$13,BM.medicao-1)&gt;0),M223/$I223*100,0))</f>
        <v>0</v>
      </c>
      <c r="K223" s="124">
        <f t="shared" ca="1" si="24"/>
        <v>0</v>
      </c>
      <c r="L223" s="379">
        <f ca="1">IF($A223="S",IF(CAIXA.Modo,BM.AFAcumulado,BM.MEDAcumulado),IF(AND(RegimeExecucao="Global",$I223&gt;0,COUNTIF($AB$13:$AM$13,BM.medicao)&gt;0),O223/$I223*100,0))</f>
        <v>0</v>
      </c>
      <c r="M223" s="380">
        <f ca="1">IF($A223="S",VTOTALBM,IF($A223=0,0,ROUND(SomaAgrupBM,15-13*ORÇAMENTO!$AF$11)))</f>
        <v>0</v>
      </c>
      <c r="N223" s="381">
        <f t="shared" ca="1" si="25"/>
        <v>0</v>
      </c>
      <c r="O223" s="127">
        <f ca="1">IF($A223="S",VTOTALBM,IF($A223=0,0,ROUND(SomaAgrupBM,15-13*ORÇAMENTO!$AF$11)))</f>
        <v>0</v>
      </c>
      <c r="Q223" s="382"/>
      <c r="R223" s="383"/>
      <c r="T223" s="119" t="str">
        <f t="shared" ca="1" si="26"/>
        <v/>
      </c>
      <c r="U223" s="172" t="str">
        <f t="shared" ca="1" si="27"/>
        <v/>
      </c>
      <c r="V223" s="173" t="str">
        <f ca="1">IF(AND($W223&gt;0,RegimeExecucao="Unitário"),$F223,"")</f>
        <v/>
      </c>
      <c r="W223" s="547">
        <f ca="1">IF($Y223&gt;0,CHOOSE(MATCH(RegimeExecucao,{"Unitário","Global"},0),IF($A223="S",$Y223/$X223,""),($Y223/$X223)*100),0)</f>
        <v>0</v>
      </c>
      <c r="X223" s="384" t="str">
        <f ca="1">IF($Y223&gt;0,CHOOSE(MATCH(RegimeExecucao,{"Unitário","Global"},0),IF($A223="S",ROUND($H223,ORÇAMENTO!$AF$10),""),ROUND($I223,ORÇAMENTO!$AF$11)),"")</f>
        <v/>
      </c>
      <c r="Y223" s="384">
        <f t="shared" ca="1" si="28"/>
        <v>0</v>
      </c>
      <c r="Z223" s="572"/>
      <c r="AB223" s="382"/>
      <c r="AC223" s="516"/>
      <c r="AD223" s="516"/>
      <c r="AE223" s="516"/>
      <c r="AF223" s="516"/>
      <c r="AG223" s="516"/>
      <c r="AH223" s="516"/>
      <c r="AI223" s="516"/>
      <c r="AJ223" s="516"/>
      <c r="AK223" s="516"/>
      <c r="AL223" s="516"/>
      <c r="AM223" s="383"/>
      <c r="AO223">
        <f ca="1">IF($A223="S",IF(BM!$I223=0,0,CHOOSE(MATCH(RegimeExecucao,{"Global","Unitário"},0),ROUND(ROUND(BM.MEDAcumulado,15-13*BM!$A$9)/100*BM!$I223,15-13*ORÇAMENTO!$AF$11),ROUND(ROUND(BM.MEDAcumulado,15-13*BM!$A$9)*ROUND(BM!$H223,15-13*ORÇAMENTO!$AF$10),15-13*ORÇAMENTO!$AF$11))),IF($A223=0,0,ROUND(SomaAgrupBM,15-13*ORÇAMENTO!$AF$11)))</f>
        <v>0</v>
      </c>
    </row>
    <row r="224" spans="1:41" ht="25.5" x14ac:dyDescent="0.2">
      <c r="A224" t="str">
        <f ca="1">ORÇAMENTO!C224</f>
        <v>S</v>
      </c>
      <c r="B224">
        <f ca="1">ORÇAMENTO!D224</f>
        <v>0</v>
      </c>
      <c r="C224" s="116" t="str">
        <f t="shared" ca="1" si="22"/>
        <v/>
      </c>
      <c r="D224" s="119" t="str">
        <f ca="1">ORÇAMENTO!O224</f>
        <v>-</v>
      </c>
      <c r="E224" s="172" t="str">
        <f t="shared" ca="1" si="23"/>
        <v>(abra o arquivo 'Referência 02-2025.xlsm)</v>
      </c>
      <c r="F224" s="173" t="str">
        <f ca="1">IF(RegimeExecucao="Global","",ORÇAMENTO.Unidade)</f>
        <v>-</v>
      </c>
      <c r="G224" s="124">
        <f ca="1">IF(RegimeExecucao="Global","",ORÇAMENTO!T224)</f>
        <v>74.13</v>
      </c>
      <c r="H224" s="124">
        <f ca="1">IF(RegimeExecucao="Global","",ORÇAMENTO!W224)</f>
        <v>0</v>
      </c>
      <c r="I224" s="127">
        <f ca="1">ORÇAMENTO!X224</f>
        <v>0</v>
      </c>
      <c r="J224" s="378">
        <f ca="1">IF($A224="S",IF(CAIXA.Modo,BM.AFAnterior,BM.MEDAnterior),IF(AND(RegimeExecucao="Global",$I224&gt;0,COUNTIF($AB$13:$AM$13,BM.medicao-1)&gt;0),M224/$I224*100,0))</f>
        <v>0</v>
      </c>
      <c r="K224" s="124">
        <f t="shared" ca="1" si="24"/>
        <v>0</v>
      </c>
      <c r="L224" s="379">
        <f ca="1">IF($A224="S",IF(CAIXA.Modo,BM.AFAcumulado,BM.MEDAcumulado),IF(AND(RegimeExecucao="Global",$I224&gt;0,COUNTIF($AB$13:$AM$13,BM.medicao)&gt;0),O224/$I224*100,0))</f>
        <v>0</v>
      </c>
      <c r="M224" s="380">
        <f ca="1">IF($A224="S",VTOTALBM,IF($A224=0,0,ROUND(SomaAgrupBM,15-13*ORÇAMENTO!$AF$11)))</f>
        <v>0</v>
      </c>
      <c r="N224" s="381">
        <f t="shared" ca="1" si="25"/>
        <v>0</v>
      </c>
      <c r="O224" s="127">
        <f ca="1">IF($A224="S",VTOTALBM,IF($A224=0,0,ROUND(SomaAgrupBM,15-13*ORÇAMENTO!$AF$11)))</f>
        <v>0</v>
      </c>
      <c r="Q224" s="382"/>
      <c r="R224" s="383"/>
      <c r="T224" s="119" t="str">
        <f t="shared" ca="1" si="26"/>
        <v/>
      </c>
      <c r="U224" s="172" t="str">
        <f t="shared" ca="1" si="27"/>
        <v/>
      </c>
      <c r="V224" s="173" t="str">
        <f ca="1">IF(AND($W224&gt;0,RegimeExecucao="Unitário"),$F224,"")</f>
        <v/>
      </c>
      <c r="W224" s="547">
        <f ca="1">IF($Y224&gt;0,CHOOSE(MATCH(RegimeExecucao,{"Unitário","Global"},0),IF($A224="S",$Y224/$X224,""),($Y224/$X224)*100),0)</f>
        <v>0</v>
      </c>
      <c r="X224" s="384" t="str">
        <f ca="1">IF($Y224&gt;0,CHOOSE(MATCH(RegimeExecucao,{"Unitário","Global"},0),IF($A224="S",ROUND($H224,ORÇAMENTO!$AF$10),""),ROUND($I224,ORÇAMENTO!$AF$11)),"")</f>
        <v/>
      </c>
      <c r="Y224" s="384">
        <f t="shared" ca="1" si="28"/>
        <v>0</v>
      </c>
      <c r="Z224" s="572"/>
      <c r="AB224" s="382"/>
      <c r="AC224" s="516"/>
      <c r="AD224" s="516"/>
      <c r="AE224" s="516"/>
      <c r="AF224" s="516"/>
      <c r="AG224" s="516"/>
      <c r="AH224" s="516"/>
      <c r="AI224" s="516"/>
      <c r="AJ224" s="516"/>
      <c r="AK224" s="516"/>
      <c r="AL224" s="516"/>
      <c r="AM224" s="383"/>
      <c r="AO224">
        <f ca="1">IF($A224="S",IF(BM!$I224=0,0,CHOOSE(MATCH(RegimeExecucao,{"Global","Unitário"},0),ROUND(ROUND(BM.MEDAcumulado,15-13*BM!$A$9)/100*BM!$I224,15-13*ORÇAMENTO!$AF$11),ROUND(ROUND(BM.MEDAcumulado,15-13*BM!$A$9)*ROUND(BM!$H224,15-13*ORÇAMENTO!$AF$10),15-13*ORÇAMENTO!$AF$11))),IF($A224=0,0,ROUND(SomaAgrupBM,15-13*ORÇAMENTO!$AF$11)))</f>
        <v>0</v>
      </c>
    </row>
    <row r="225" spans="1:41" ht="25.5" x14ac:dyDescent="0.2">
      <c r="A225" t="str">
        <f ca="1">ORÇAMENTO!C225</f>
        <v>S</v>
      </c>
      <c r="B225">
        <f ca="1">ORÇAMENTO!D225</f>
        <v>0</v>
      </c>
      <c r="C225" s="116" t="str">
        <f t="shared" ca="1" si="22"/>
        <v/>
      </c>
      <c r="D225" s="119" t="str">
        <f ca="1">ORÇAMENTO!O225</f>
        <v>-</v>
      </c>
      <c r="E225" s="172" t="str">
        <f t="shared" ca="1" si="23"/>
        <v>(abra o arquivo 'Referência 02-2025.xlsm)</v>
      </c>
      <c r="F225" s="173" t="str">
        <f ca="1">IF(RegimeExecucao="Global","",ORÇAMENTO.Unidade)</f>
        <v>-</v>
      </c>
      <c r="G225" s="124">
        <f ca="1">IF(RegimeExecucao="Global","",ORÇAMENTO!T225)</f>
        <v>199.86</v>
      </c>
      <c r="H225" s="124">
        <f ca="1">IF(RegimeExecucao="Global","",ORÇAMENTO!W225)</f>
        <v>0</v>
      </c>
      <c r="I225" s="127">
        <f ca="1">ORÇAMENTO!X225</f>
        <v>0</v>
      </c>
      <c r="J225" s="378">
        <f ca="1">IF($A225="S",IF(CAIXA.Modo,BM.AFAnterior,BM.MEDAnterior),IF(AND(RegimeExecucao="Global",$I225&gt;0,COUNTIF($AB$13:$AM$13,BM.medicao-1)&gt;0),M225/$I225*100,0))</f>
        <v>0</v>
      </c>
      <c r="K225" s="124">
        <f t="shared" ca="1" si="24"/>
        <v>0</v>
      </c>
      <c r="L225" s="379">
        <f ca="1">IF($A225="S",IF(CAIXA.Modo,BM.AFAcumulado,BM.MEDAcumulado),IF(AND(RegimeExecucao="Global",$I225&gt;0,COUNTIF($AB$13:$AM$13,BM.medicao)&gt;0),O225/$I225*100,0))</f>
        <v>0</v>
      </c>
      <c r="M225" s="380">
        <f ca="1">IF($A225="S",VTOTALBM,IF($A225=0,0,ROUND(SomaAgrupBM,15-13*ORÇAMENTO!$AF$11)))</f>
        <v>0</v>
      </c>
      <c r="N225" s="381">
        <f t="shared" ca="1" si="25"/>
        <v>0</v>
      </c>
      <c r="O225" s="127">
        <f ca="1">IF($A225="S",VTOTALBM,IF($A225=0,0,ROUND(SomaAgrupBM,15-13*ORÇAMENTO!$AF$11)))</f>
        <v>0</v>
      </c>
      <c r="Q225" s="382"/>
      <c r="R225" s="383"/>
      <c r="T225" s="119" t="str">
        <f t="shared" ca="1" si="26"/>
        <v/>
      </c>
      <c r="U225" s="172" t="str">
        <f t="shared" ca="1" si="27"/>
        <v/>
      </c>
      <c r="V225" s="173" t="str">
        <f ca="1">IF(AND($W225&gt;0,RegimeExecucao="Unitário"),$F225,"")</f>
        <v/>
      </c>
      <c r="W225" s="547">
        <f ca="1">IF($Y225&gt;0,CHOOSE(MATCH(RegimeExecucao,{"Unitário","Global"},0),IF($A225="S",$Y225/$X225,""),($Y225/$X225)*100),0)</f>
        <v>0</v>
      </c>
      <c r="X225" s="384" t="str">
        <f ca="1">IF($Y225&gt;0,CHOOSE(MATCH(RegimeExecucao,{"Unitário","Global"},0),IF($A225="S",ROUND($H225,ORÇAMENTO!$AF$10),""),ROUND($I225,ORÇAMENTO!$AF$11)),"")</f>
        <v/>
      </c>
      <c r="Y225" s="384">
        <f t="shared" ca="1" si="28"/>
        <v>0</v>
      </c>
      <c r="Z225" s="572"/>
      <c r="AB225" s="382"/>
      <c r="AC225" s="516"/>
      <c r="AD225" s="516"/>
      <c r="AE225" s="516"/>
      <c r="AF225" s="516"/>
      <c r="AG225" s="516"/>
      <c r="AH225" s="516"/>
      <c r="AI225" s="516"/>
      <c r="AJ225" s="516"/>
      <c r="AK225" s="516"/>
      <c r="AL225" s="516"/>
      <c r="AM225" s="383"/>
      <c r="AO225">
        <f ca="1">IF($A225="S",IF(BM!$I225=0,0,CHOOSE(MATCH(RegimeExecucao,{"Global","Unitário"},0),ROUND(ROUND(BM.MEDAcumulado,15-13*BM!$A$9)/100*BM!$I225,15-13*ORÇAMENTO!$AF$11),ROUND(ROUND(BM.MEDAcumulado,15-13*BM!$A$9)*ROUND(BM!$H225,15-13*ORÇAMENTO!$AF$10),15-13*ORÇAMENTO!$AF$11))),IF($A225=0,0,ROUND(SomaAgrupBM,15-13*ORÇAMENTO!$AF$11)))</f>
        <v>0</v>
      </c>
    </row>
    <row r="226" spans="1:41" ht="25.5" x14ac:dyDescent="0.2">
      <c r="A226" t="str">
        <f ca="1">ORÇAMENTO!C226</f>
        <v>S</v>
      </c>
      <c r="B226">
        <f ca="1">ORÇAMENTO!D226</f>
        <v>0</v>
      </c>
      <c r="C226" s="116" t="str">
        <f ca="1">IF(OR($I226&gt;0,$A226=1,$A226=2,$A226=3,$A226=4),"F","")</f>
        <v/>
      </c>
      <c r="D226" s="119" t="str">
        <f ca="1">ORÇAMENTO!O226</f>
        <v>-</v>
      </c>
      <c r="E226" s="172" t="str">
        <f ca="1">ORÇAMENTO.Descricao</f>
        <v>(abra o arquivo 'Referência 02-2025.xlsm)</v>
      </c>
      <c r="F226" s="173" t="str">
        <f ca="1">IF(RegimeExecucao="Global","",ORÇAMENTO.Unidade)</f>
        <v>-</v>
      </c>
      <c r="G226" s="124">
        <f ca="1">IF(RegimeExecucao="Global","",ORÇAMENTO!T226)</f>
        <v>107.69</v>
      </c>
      <c r="H226" s="124">
        <f ca="1">IF(RegimeExecucao="Global","",ORÇAMENTO!W226)</f>
        <v>0</v>
      </c>
      <c r="I226" s="127">
        <f ca="1">ORÇAMENTO!X226</f>
        <v>0</v>
      </c>
      <c r="J226" s="378">
        <f ca="1">IF($A226="S",IF(CAIXA.Modo,BM.AFAnterior,BM.MEDAnterior),IF(AND(RegimeExecucao="Global",$I226&gt;0,COUNTIF($AB$13:$AM$13,BM.medicao-1)&gt;0),M226/$I226*100,0))</f>
        <v>0</v>
      </c>
      <c r="K226" s="124">
        <f ca="1">L226-J226</f>
        <v>0</v>
      </c>
      <c r="L226" s="379">
        <f ca="1">IF($A226="S",IF(CAIXA.Modo,BM.AFAcumulado,BM.MEDAcumulado),IF(AND(RegimeExecucao="Global",$I226&gt;0,COUNTIF($AB$13:$AM$13,BM.medicao)&gt;0),O226/$I226*100,0))</f>
        <v>0</v>
      </c>
      <c r="M226" s="380">
        <f ca="1">IF($A226="S",VTOTALBM,IF($A226=0,0,ROUND(SomaAgrupBM,15-13*ORÇAMENTO!$AF$11)))</f>
        <v>0</v>
      </c>
      <c r="N226" s="381">
        <f ca="1">O226-M226</f>
        <v>0</v>
      </c>
      <c r="O226" s="127">
        <f ca="1">IF($A226="S",VTOTALBM,IF($A226=0,0,ROUND(SomaAgrupBM,15-13*ORÇAMENTO!$AF$11)))</f>
        <v>0</v>
      </c>
      <c r="Q226" s="382"/>
      <c r="R226" s="383"/>
      <c r="T226" s="119" t="str">
        <f ca="1">IF($W226&gt;0,$D226,"")</f>
        <v/>
      </c>
      <c r="U226" s="172" t="str">
        <f ca="1">IF($W226&gt;0,$E226,"")</f>
        <v/>
      </c>
      <c r="V226" s="173" t="str">
        <f ca="1">IF(AND($W226&gt;0,RegimeExecucao="Unitário"),$F226,"")</f>
        <v/>
      </c>
      <c r="W226" s="547">
        <f ca="1">IF($Y226&gt;0,CHOOSE(MATCH(RegimeExecucao,{"Unitário","Global"},0),IF($A226="S",$Y226/$X226,""),($Y226/$X226)*100),0)</f>
        <v>0</v>
      </c>
      <c r="X226" s="384" t="str">
        <f ca="1">IF($Y226&gt;0,CHOOSE(MATCH(RegimeExecucao,{"Unitário","Global"},0),IF($A226="S",ROUND($H226,ORÇAMENTO!$AF$10),""),ROUND($I226,ORÇAMENTO!$AF$11)),"")</f>
        <v/>
      </c>
      <c r="Y226" s="384">
        <f ca="1">AO226-O226</f>
        <v>0</v>
      </c>
      <c r="Z226" s="572"/>
      <c r="AB226" s="382"/>
      <c r="AC226" s="516"/>
      <c r="AD226" s="516"/>
      <c r="AE226" s="516"/>
      <c r="AF226" s="516"/>
      <c r="AG226" s="516"/>
      <c r="AH226" s="516"/>
      <c r="AI226" s="516"/>
      <c r="AJ226" s="516"/>
      <c r="AK226" s="516"/>
      <c r="AL226" s="516"/>
      <c r="AM226" s="383"/>
      <c r="AO226">
        <f ca="1">IF($A226="S",IF(BM!$I226=0,0,CHOOSE(MATCH(RegimeExecucao,{"Global","Unitário"},0),ROUND(ROUND(BM.MEDAcumulado,15-13*BM!$A$9)/100*BM!$I226,15-13*ORÇAMENTO!$AF$11),ROUND(ROUND(BM.MEDAcumulado,15-13*BM!$A$9)*ROUND(BM!$H226,15-13*ORÇAMENTO!$AF$10),15-13*ORÇAMENTO!$AF$11))),IF($A226=0,0,ROUND(SomaAgrupBM,15-13*ORÇAMENTO!$AF$11)))</f>
        <v>0</v>
      </c>
    </row>
    <row r="227" spans="1:41" x14ac:dyDescent="0.2">
      <c r="A227">
        <f ca="1">ORÇAMENTO!C227</f>
        <v>3</v>
      </c>
      <c r="B227">
        <f ca="1">ORÇAMENTO!D227</f>
        <v>9</v>
      </c>
      <c r="C227" s="116" t="str">
        <f t="shared" ca="1" si="22"/>
        <v>F</v>
      </c>
      <c r="D227" s="119" t="str">
        <f ca="1">ORÇAMENTO!O227</f>
        <v>1.10.3.</v>
      </c>
      <c r="E227" s="172" t="str">
        <f t="shared" ca="1" si="23"/>
        <v>PAVIMENTAÇÃO EXTERNA</v>
      </c>
      <c r="F227" s="173" t="str">
        <f ca="1">IF(RegimeExecucao="Global","",ORÇAMENTO.Unidade)</f>
        <v>-</v>
      </c>
      <c r="G227" s="124">
        <f ca="1">IF(RegimeExecucao="Global","",ORÇAMENTO!T227)</f>
        <v>0</v>
      </c>
      <c r="H227" s="124">
        <f ca="1">IF(RegimeExecucao="Global","",ORÇAMENTO!W227)</f>
        <v>0</v>
      </c>
      <c r="I227" s="127">
        <f ca="1">ORÇAMENTO!X227</f>
        <v>0</v>
      </c>
      <c r="J227" s="378">
        <f ca="1">IF($A227="S",IF(CAIXA.Modo,BM.AFAnterior,BM.MEDAnterior),IF(AND(RegimeExecucao="Global",$I227&gt;0,COUNTIF($AB$13:$AM$13,BM.medicao-1)&gt;0),M227/$I227*100,0))</f>
        <v>0</v>
      </c>
      <c r="K227" s="124">
        <f t="shared" ca="1" si="24"/>
        <v>0</v>
      </c>
      <c r="L227" s="379">
        <f ca="1">IF($A227="S",IF(CAIXA.Modo,BM.AFAcumulado,BM.MEDAcumulado),IF(AND(RegimeExecucao="Global",$I227&gt;0,COUNTIF($AB$13:$AM$13,BM.medicao)&gt;0),O227/$I227*100,0))</f>
        <v>0</v>
      </c>
      <c r="M227" s="380">
        <f ca="1">IF($A227="S",VTOTALBM,IF($A227=0,0,ROUND(SomaAgrupBM,15-13*ORÇAMENTO!$AF$11)))</f>
        <v>0</v>
      </c>
      <c r="N227" s="381">
        <f t="shared" ca="1" si="25"/>
        <v>0</v>
      </c>
      <c r="O227" s="127">
        <f ca="1">IF($A227="S",VTOTALBM,IF($A227=0,0,ROUND(SomaAgrupBM,15-13*ORÇAMENTO!$AF$11)))</f>
        <v>0</v>
      </c>
      <c r="Q227" s="382"/>
      <c r="R227" s="383"/>
      <c r="T227" s="119" t="str">
        <f t="shared" ca="1" si="26"/>
        <v/>
      </c>
      <c r="U227" s="172" t="str">
        <f t="shared" ca="1" si="27"/>
        <v/>
      </c>
      <c r="V227" s="173" t="str">
        <f ca="1">IF(AND($W227&gt;0,RegimeExecucao="Unitário"),$F227,"")</f>
        <v/>
      </c>
      <c r="W227" s="547">
        <f ca="1">IF($Y227&gt;0,CHOOSE(MATCH(RegimeExecucao,{"Unitário","Global"},0),IF($A227="S",$Y227/$X227,""),($Y227/$X227)*100),0)</f>
        <v>0</v>
      </c>
      <c r="X227" s="384" t="str">
        <f ca="1">IF($Y227&gt;0,CHOOSE(MATCH(RegimeExecucao,{"Unitário","Global"},0),IF($A227="S",ROUND($H227,ORÇAMENTO!$AF$10),""),ROUND($I227,ORÇAMENTO!$AF$11)),"")</f>
        <v/>
      </c>
      <c r="Y227" s="384">
        <f t="shared" ca="1" si="28"/>
        <v>0</v>
      </c>
      <c r="Z227" s="572"/>
      <c r="AB227" s="382"/>
      <c r="AC227" s="516"/>
      <c r="AD227" s="516"/>
      <c r="AE227" s="516"/>
      <c r="AF227" s="516"/>
      <c r="AG227" s="516"/>
      <c r="AH227" s="516"/>
      <c r="AI227" s="516"/>
      <c r="AJ227" s="516"/>
      <c r="AK227" s="516"/>
      <c r="AL227" s="516"/>
      <c r="AM227" s="383"/>
      <c r="AO227">
        <f ca="1">IF($A227="S",IF(BM!$I227=0,0,CHOOSE(MATCH(RegimeExecucao,{"Global","Unitário"},0),ROUND(ROUND(BM.MEDAcumulado,15-13*BM!$A$9)/100*BM!$I227,15-13*ORÇAMENTO!$AF$11),ROUND(ROUND(BM.MEDAcumulado,15-13*BM!$A$9)*ROUND(BM!$H227,15-13*ORÇAMENTO!$AF$10),15-13*ORÇAMENTO!$AF$11))),IF($A227=0,0,ROUND(SomaAgrupBM,15-13*ORÇAMENTO!$AF$11)))</f>
        <v>0</v>
      </c>
    </row>
    <row r="228" spans="1:41" ht="25.5" x14ac:dyDescent="0.2">
      <c r="A228" t="str">
        <f ca="1">ORÇAMENTO!C228</f>
        <v>S</v>
      </c>
      <c r="B228">
        <f ca="1">ORÇAMENTO!D228</f>
        <v>0</v>
      </c>
      <c r="C228" s="116" t="str">
        <f t="shared" ca="1" si="22"/>
        <v/>
      </c>
      <c r="D228" s="119" t="str">
        <f ca="1">ORÇAMENTO!O228</f>
        <v>-</v>
      </c>
      <c r="E228" s="172" t="str">
        <f t="shared" ca="1" si="23"/>
        <v>(abra o arquivo 'Referência 02-2025.xlsm)</v>
      </c>
      <c r="F228" s="173" t="str">
        <f ca="1">IF(RegimeExecucao="Global","",ORÇAMENTO.Unidade)</f>
        <v>-</v>
      </c>
      <c r="G228" s="124">
        <f ca="1">IF(RegimeExecucao="Global","",ORÇAMENTO!T228)</f>
        <v>84</v>
      </c>
      <c r="H228" s="124">
        <f ca="1">IF(RegimeExecucao="Global","",ORÇAMENTO!W228)</f>
        <v>0</v>
      </c>
      <c r="I228" s="127">
        <f ca="1">ORÇAMENTO!X228</f>
        <v>0</v>
      </c>
      <c r="J228" s="378">
        <f ca="1">IF($A228="S",IF(CAIXA.Modo,BM.AFAnterior,BM.MEDAnterior),IF(AND(RegimeExecucao="Global",$I228&gt;0,COUNTIF($AB$13:$AM$13,BM.medicao-1)&gt;0),M228/$I228*100,0))</f>
        <v>0</v>
      </c>
      <c r="K228" s="124">
        <f t="shared" ca="1" si="24"/>
        <v>0</v>
      </c>
      <c r="L228" s="379">
        <f ca="1">IF($A228="S",IF(CAIXA.Modo,BM.AFAcumulado,BM.MEDAcumulado),IF(AND(RegimeExecucao="Global",$I228&gt;0,COUNTIF($AB$13:$AM$13,BM.medicao)&gt;0),O228/$I228*100,0))</f>
        <v>0</v>
      </c>
      <c r="M228" s="380">
        <f ca="1">IF($A228="S",VTOTALBM,IF($A228=0,0,ROUND(SomaAgrupBM,15-13*ORÇAMENTO!$AF$11)))</f>
        <v>0</v>
      </c>
      <c r="N228" s="381">
        <f t="shared" ca="1" si="25"/>
        <v>0</v>
      </c>
      <c r="O228" s="127">
        <f ca="1">IF($A228="S",VTOTALBM,IF($A228=0,0,ROUND(SomaAgrupBM,15-13*ORÇAMENTO!$AF$11)))</f>
        <v>0</v>
      </c>
      <c r="Q228" s="382"/>
      <c r="R228" s="383"/>
      <c r="T228" s="119" t="str">
        <f t="shared" ca="1" si="26"/>
        <v/>
      </c>
      <c r="U228" s="172" t="str">
        <f t="shared" ca="1" si="27"/>
        <v/>
      </c>
      <c r="V228" s="173" t="str">
        <f ca="1">IF(AND($W228&gt;0,RegimeExecucao="Unitário"),$F228,"")</f>
        <v/>
      </c>
      <c r="W228" s="547">
        <f ca="1">IF($Y228&gt;0,CHOOSE(MATCH(RegimeExecucao,{"Unitário","Global"},0),IF($A228="S",$Y228/$X228,""),($Y228/$X228)*100),0)</f>
        <v>0</v>
      </c>
      <c r="X228" s="384" t="str">
        <f ca="1">IF($Y228&gt;0,CHOOSE(MATCH(RegimeExecucao,{"Unitário","Global"},0),IF($A228="S",ROUND($H228,ORÇAMENTO!$AF$10),""),ROUND($I228,ORÇAMENTO!$AF$11)),"")</f>
        <v/>
      </c>
      <c r="Y228" s="384">
        <f t="shared" ca="1" si="28"/>
        <v>0</v>
      </c>
      <c r="Z228" s="572"/>
      <c r="AB228" s="382"/>
      <c r="AC228" s="516"/>
      <c r="AD228" s="516"/>
      <c r="AE228" s="516"/>
      <c r="AF228" s="516"/>
      <c r="AG228" s="516"/>
      <c r="AH228" s="516"/>
      <c r="AI228" s="516"/>
      <c r="AJ228" s="516"/>
      <c r="AK228" s="516"/>
      <c r="AL228" s="516"/>
      <c r="AM228" s="383"/>
      <c r="AO228">
        <f ca="1">IF($A228="S",IF(BM!$I228=0,0,CHOOSE(MATCH(RegimeExecucao,{"Global","Unitário"},0),ROUND(ROUND(BM.MEDAcumulado,15-13*BM!$A$9)/100*BM!$I228,15-13*ORÇAMENTO!$AF$11),ROUND(ROUND(BM.MEDAcumulado,15-13*BM!$A$9)*ROUND(BM!$H228,15-13*ORÇAMENTO!$AF$10),15-13*ORÇAMENTO!$AF$11))),IF($A228=0,0,ROUND(SomaAgrupBM,15-13*ORÇAMENTO!$AF$11)))</f>
        <v>0</v>
      </c>
    </row>
    <row r="229" spans="1:41" ht="25.5" x14ac:dyDescent="0.2">
      <c r="A229" t="str">
        <f ca="1">ORÇAMENTO!C229</f>
        <v>S</v>
      </c>
      <c r="B229">
        <f ca="1">ORÇAMENTO!D229</f>
        <v>0</v>
      </c>
      <c r="C229" s="116" t="str">
        <f t="shared" ca="1" si="22"/>
        <v/>
      </c>
      <c r="D229" s="119" t="str">
        <f ca="1">ORÇAMENTO!O229</f>
        <v>-</v>
      </c>
      <c r="E229" s="172" t="str">
        <f t="shared" ca="1" si="23"/>
        <v>(abra o arquivo 'Referência 02-2025.xlsm)</v>
      </c>
      <c r="F229" s="173" t="str">
        <f ca="1">IF(RegimeExecucao="Global","",ORÇAMENTO.Unidade)</f>
        <v>-</v>
      </c>
      <c r="G229" s="124">
        <f ca="1">IF(RegimeExecucao="Global","",ORÇAMENTO!T229)</f>
        <v>21</v>
      </c>
      <c r="H229" s="124">
        <f ca="1">IF(RegimeExecucao="Global","",ORÇAMENTO!W229)</f>
        <v>0</v>
      </c>
      <c r="I229" s="127">
        <f ca="1">ORÇAMENTO!X229</f>
        <v>0</v>
      </c>
      <c r="J229" s="378">
        <f ca="1">IF($A229="S",IF(CAIXA.Modo,BM.AFAnterior,BM.MEDAnterior),IF(AND(RegimeExecucao="Global",$I229&gt;0,COUNTIF($AB$13:$AM$13,BM.medicao-1)&gt;0),M229/$I229*100,0))</f>
        <v>0</v>
      </c>
      <c r="K229" s="124">
        <f t="shared" ca="1" si="24"/>
        <v>0</v>
      </c>
      <c r="L229" s="379">
        <f ca="1">IF($A229="S",IF(CAIXA.Modo,BM.AFAcumulado,BM.MEDAcumulado),IF(AND(RegimeExecucao="Global",$I229&gt;0,COUNTIF($AB$13:$AM$13,BM.medicao)&gt;0),O229/$I229*100,0))</f>
        <v>0</v>
      </c>
      <c r="M229" s="380">
        <f ca="1">IF($A229="S",VTOTALBM,IF($A229=0,0,ROUND(SomaAgrupBM,15-13*ORÇAMENTO!$AF$11)))</f>
        <v>0</v>
      </c>
      <c r="N229" s="381">
        <f t="shared" ca="1" si="25"/>
        <v>0</v>
      </c>
      <c r="O229" s="127">
        <f ca="1">IF($A229="S",VTOTALBM,IF($A229=0,0,ROUND(SomaAgrupBM,15-13*ORÇAMENTO!$AF$11)))</f>
        <v>0</v>
      </c>
      <c r="Q229" s="382"/>
      <c r="R229" s="383"/>
      <c r="T229" s="119" t="str">
        <f t="shared" ca="1" si="26"/>
        <v/>
      </c>
      <c r="U229" s="172" t="str">
        <f t="shared" ca="1" si="27"/>
        <v/>
      </c>
      <c r="V229" s="173" t="str">
        <f ca="1">IF(AND($W229&gt;0,RegimeExecucao="Unitário"),$F229,"")</f>
        <v/>
      </c>
      <c r="W229" s="547">
        <f ca="1">IF($Y229&gt;0,CHOOSE(MATCH(RegimeExecucao,{"Unitário","Global"},0),IF($A229="S",$Y229/$X229,""),($Y229/$X229)*100),0)</f>
        <v>0</v>
      </c>
      <c r="X229" s="384" t="str">
        <f ca="1">IF($Y229&gt;0,CHOOSE(MATCH(RegimeExecucao,{"Unitário","Global"},0),IF($A229="S",ROUND($H229,ORÇAMENTO!$AF$10),""),ROUND($I229,ORÇAMENTO!$AF$11)),"")</f>
        <v/>
      </c>
      <c r="Y229" s="384">
        <f t="shared" ca="1" si="28"/>
        <v>0</v>
      </c>
      <c r="Z229" s="572"/>
      <c r="AB229" s="382"/>
      <c r="AC229" s="516"/>
      <c r="AD229" s="516"/>
      <c r="AE229" s="516"/>
      <c r="AF229" s="516"/>
      <c r="AG229" s="516"/>
      <c r="AH229" s="516"/>
      <c r="AI229" s="516"/>
      <c r="AJ229" s="516"/>
      <c r="AK229" s="516"/>
      <c r="AL229" s="516"/>
      <c r="AM229" s="383"/>
      <c r="AO229">
        <f ca="1">IF($A229="S",IF(BM!$I229=0,0,CHOOSE(MATCH(RegimeExecucao,{"Global","Unitário"},0),ROUND(ROUND(BM.MEDAcumulado,15-13*BM!$A$9)/100*BM!$I229,15-13*ORÇAMENTO!$AF$11),ROUND(ROUND(BM.MEDAcumulado,15-13*BM!$A$9)*ROUND(BM!$H229,15-13*ORÇAMENTO!$AF$10),15-13*ORÇAMENTO!$AF$11))),IF($A229=0,0,ROUND(SomaAgrupBM,15-13*ORÇAMENTO!$AF$11)))</f>
        <v>0</v>
      </c>
    </row>
    <row r="230" spans="1:41" ht="25.5" x14ac:dyDescent="0.2">
      <c r="A230" t="str">
        <f ca="1">ORÇAMENTO!C230</f>
        <v>S</v>
      </c>
      <c r="B230">
        <f ca="1">ORÇAMENTO!D230</f>
        <v>0</v>
      </c>
      <c r="C230" s="116" t="str">
        <f t="shared" ca="1" si="22"/>
        <v/>
      </c>
      <c r="D230" s="119" t="str">
        <f ca="1">ORÇAMENTO!O230</f>
        <v>-</v>
      </c>
      <c r="E230" s="172" t="str">
        <f t="shared" ca="1" si="23"/>
        <v>(abra o arquivo 'Referência 02-2025.xlsm)</v>
      </c>
      <c r="F230" s="173" t="str">
        <f ca="1">IF(RegimeExecucao="Global","",ORÇAMENTO.Unidade)</f>
        <v>-</v>
      </c>
      <c r="G230" s="124">
        <f ca="1">IF(RegimeExecucao="Global","",ORÇAMENTO!T230)</f>
        <v>38.76</v>
      </c>
      <c r="H230" s="124">
        <f ca="1">IF(RegimeExecucao="Global","",ORÇAMENTO!W230)</f>
        <v>0</v>
      </c>
      <c r="I230" s="127">
        <f ca="1">ORÇAMENTO!X230</f>
        <v>0</v>
      </c>
      <c r="J230" s="378">
        <f ca="1">IF($A230="S",IF(CAIXA.Modo,BM.AFAnterior,BM.MEDAnterior),IF(AND(RegimeExecucao="Global",$I230&gt;0,COUNTIF($AB$13:$AM$13,BM.medicao-1)&gt;0),M230/$I230*100,0))</f>
        <v>0</v>
      </c>
      <c r="K230" s="124">
        <f t="shared" ca="1" si="24"/>
        <v>0</v>
      </c>
      <c r="L230" s="379">
        <f ca="1">IF($A230="S",IF(CAIXA.Modo,BM.AFAcumulado,BM.MEDAcumulado),IF(AND(RegimeExecucao="Global",$I230&gt;0,COUNTIF($AB$13:$AM$13,BM.medicao)&gt;0),O230/$I230*100,0))</f>
        <v>0</v>
      </c>
      <c r="M230" s="380">
        <f ca="1">IF($A230="S",VTOTALBM,IF($A230=0,0,ROUND(SomaAgrupBM,15-13*ORÇAMENTO!$AF$11)))</f>
        <v>0</v>
      </c>
      <c r="N230" s="381">
        <f t="shared" ca="1" si="25"/>
        <v>0</v>
      </c>
      <c r="O230" s="127">
        <f ca="1">IF($A230="S",VTOTALBM,IF($A230=0,0,ROUND(SomaAgrupBM,15-13*ORÇAMENTO!$AF$11)))</f>
        <v>0</v>
      </c>
      <c r="Q230" s="382"/>
      <c r="R230" s="383"/>
      <c r="T230" s="119" t="str">
        <f t="shared" ca="1" si="26"/>
        <v/>
      </c>
      <c r="U230" s="172" t="str">
        <f t="shared" ca="1" si="27"/>
        <v/>
      </c>
      <c r="V230" s="173" t="str">
        <f ca="1">IF(AND($W230&gt;0,RegimeExecucao="Unitário"),$F230,"")</f>
        <v/>
      </c>
      <c r="W230" s="547">
        <f ca="1">IF($Y230&gt;0,CHOOSE(MATCH(RegimeExecucao,{"Unitário","Global"},0),IF($A230="S",$Y230/$X230,""),($Y230/$X230)*100),0)</f>
        <v>0</v>
      </c>
      <c r="X230" s="384" t="str">
        <f ca="1">IF($Y230&gt;0,CHOOSE(MATCH(RegimeExecucao,{"Unitário","Global"},0),IF($A230="S",ROUND($H230,ORÇAMENTO!$AF$10),""),ROUND($I230,ORÇAMENTO!$AF$11)),"")</f>
        <v/>
      </c>
      <c r="Y230" s="384">
        <f t="shared" ca="1" si="28"/>
        <v>0</v>
      </c>
      <c r="Z230" s="572"/>
      <c r="AB230" s="382"/>
      <c r="AC230" s="516"/>
      <c r="AD230" s="516"/>
      <c r="AE230" s="516"/>
      <c r="AF230" s="516"/>
      <c r="AG230" s="516"/>
      <c r="AH230" s="516"/>
      <c r="AI230" s="516"/>
      <c r="AJ230" s="516"/>
      <c r="AK230" s="516"/>
      <c r="AL230" s="516"/>
      <c r="AM230" s="383"/>
      <c r="AO230">
        <f ca="1">IF($A230="S",IF(BM!$I230=0,0,CHOOSE(MATCH(RegimeExecucao,{"Global","Unitário"},0),ROUND(ROUND(BM.MEDAcumulado,15-13*BM!$A$9)/100*BM!$I230,15-13*ORÇAMENTO!$AF$11),ROUND(ROUND(BM.MEDAcumulado,15-13*BM!$A$9)*ROUND(BM!$H230,15-13*ORÇAMENTO!$AF$10),15-13*ORÇAMENTO!$AF$11))),IF($A230=0,0,ROUND(SomaAgrupBM,15-13*ORÇAMENTO!$AF$11)))</f>
        <v>0</v>
      </c>
    </row>
    <row r="231" spans="1:41" ht="25.5" x14ac:dyDescent="0.2">
      <c r="A231" t="str">
        <f ca="1">ORÇAMENTO!C231</f>
        <v>S</v>
      </c>
      <c r="B231">
        <f ca="1">ORÇAMENTO!D231</f>
        <v>0</v>
      </c>
      <c r="C231" s="116" t="str">
        <f t="shared" ca="1" si="22"/>
        <v/>
      </c>
      <c r="D231" s="119" t="str">
        <f ca="1">ORÇAMENTO!O231</f>
        <v>-</v>
      </c>
      <c r="E231" s="172" t="str">
        <f t="shared" ca="1" si="23"/>
        <v>(abra o arquivo 'Referência 02-2025.xlsm)</v>
      </c>
      <c r="F231" s="173" t="str">
        <f ca="1">IF(RegimeExecucao="Global","",ORÇAMENTO.Unidade)</f>
        <v>-</v>
      </c>
      <c r="G231" s="124">
        <f ca="1">IF(RegimeExecucao="Global","",ORÇAMENTO!T231)</f>
        <v>3.44</v>
      </c>
      <c r="H231" s="124">
        <f ca="1">IF(RegimeExecucao="Global","",ORÇAMENTO!W231)</f>
        <v>0</v>
      </c>
      <c r="I231" s="127">
        <f ca="1">ORÇAMENTO!X231</f>
        <v>0</v>
      </c>
      <c r="J231" s="378">
        <f ca="1">IF($A231="S",IF(CAIXA.Modo,BM.AFAnterior,BM.MEDAnterior),IF(AND(RegimeExecucao="Global",$I231&gt;0,COUNTIF($AB$13:$AM$13,BM.medicao-1)&gt;0),M231/$I231*100,0))</f>
        <v>0</v>
      </c>
      <c r="K231" s="124">
        <f t="shared" ca="1" si="24"/>
        <v>0</v>
      </c>
      <c r="L231" s="379">
        <f ca="1">IF($A231="S",IF(CAIXA.Modo,BM.AFAcumulado,BM.MEDAcumulado),IF(AND(RegimeExecucao="Global",$I231&gt;0,COUNTIF($AB$13:$AM$13,BM.medicao)&gt;0),O231/$I231*100,0))</f>
        <v>0</v>
      </c>
      <c r="M231" s="380">
        <f ca="1">IF($A231="S",VTOTALBM,IF($A231=0,0,ROUND(SomaAgrupBM,15-13*ORÇAMENTO!$AF$11)))</f>
        <v>0</v>
      </c>
      <c r="N231" s="381">
        <f t="shared" ca="1" si="25"/>
        <v>0</v>
      </c>
      <c r="O231" s="127">
        <f ca="1">IF($A231="S",VTOTALBM,IF($A231=0,0,ROUND(SomaAgrupBM,15-13*ORÇAMENTO!$AF$11)))</f>
        <v>0</v>
      </c>
      <c r="Q231" s="382"/>
      <c r="R231" s="383"/>
      <c r="T231" s="119" t="str">
        <f t="shared" ca="1" si="26"/>
        <v/>
      </c>
      <c r="U231" s="172" t="str">
        <f t="shared" ca="1" si="27"/>
        <v/>
      </c>
      <c r="V231" s="173" t="str">
        <f ca="1">IF(AND($W231&gt;0,RegimeExecucao="Unitário"),$F231,"")</f>
        <v/>
      </c>
      <c r="W231" s="547">
        <f ca="1">IF($Y231&gt;0,CHOOSE(MATCH(RegimeExecucao,{"Unitário","Global"},0),IF($A231="S",$Y231/$X231,""),($Y231/$X231)*100),0)</f>
        <v>0</v>
      </c>
      <c r="X231" s="384" t="str">
        <f ca="1">IF($Y231&gt;0,CHOOSE(MATCH(RegimeExecucao,{"Unitário","Global"},0),IF($A231="S",ROUND($H231,ORÇAMENTO!$AF$10),""),ROUND($I231,ORÇAMENTO!$AF$11)),"")</f>
        <v/>
      </c>
      <c r="Y231" s="384">
        <f t="shared" ca="1" si="28"/>
        <v>0</v>
      </c>
      <c r="Z231" s="572"/>
      <c r="AB231" s="382"/>
      <c r="AC231" s="516"/>
      <c r="AD231" s="516"/>
      <c r="AE231" s="516"/>
      <c r="AF231" s="516"/>
      <c r="AG231" s="516"/>
      <c r="AH231" s="516"/>
      <c r="AI231" s="516"/>
      <c r="AJ231" s="516"/>
      <c r="AK231" s="516"/>
      <c r="AL231" s="516"/>
      <c r="AM231" s="383"/>
      <c r="AO231">
        <f ca="1">IF($A231="S",IF(BM!$I231=0,0,CHOOSE(MATCH(RegimeExecucao,{"Global","Unitário"},0),ROUND(ROUND(BM.MEDAcumulado,15-13*BM!$A$9)/100*BM!$I231,15-13*ORÇAMENTO!$AF$11),ROUND(ROUND(BM.MEDAcumulado,15-13*BM!$A$9)*ROUND(BM!$H231,15-13*ORÇAMENTO!$AF$10),15-13*ORÇAMENTO!$AF$11))),IF($A231=0,0,ROUND(SomaAgrupBM,15-13*ORÇAMENTO!$AF$11)))</f>
        <v>0</v>
      </c>
    </row>
    <row r="232" spans="1:41" x14ac:dyDescent="0.2">
      <c r="A232" t="str">
        <f ca="1">ORÇAMENTO!C232</f>
        <v>S</v>
      </c>
      <c r="B232">
        <f ca="1">ORÇAMENTO!D232</f>
        <v>0</v>
      </c>
      <c r="C232" s="116" t="str">
        <f t="shared" ca="1" si="22"/>
        <v/>
      </c>
      <c r="D232" s="119" t="str">
        <f ca="1">ORÇAMENTO!O232</f>
        <v>-</v>
      </c>
      <c r="E232" s="172" t="str">
        <f t="shared" ca="1" si="23"/>
        <v>(abra o arquivo 'Referência 02-2025.xlsm)</v>
      </c>
      <c r="F232" s="173" t="str">
        <f ca="1">IF(RegimeExecucao="Global","",ORÇAMENTO.Unidade)</f>
        <v>-</v>
      </c>
      <c r="G232" s="124">
        <f ca="1">IF(RegimeExecucao="Global","",ORÇAMENTO!T232)</f>
        <v>26.04</v>
      </c>
      <c r="H232" s="124">
        <f ca="1">IF(RegimeExecucao="Global","",ORÇAMENTO!W232)</f>
        <v>0</v>
      </c>
      <c r="I232" s="127">
        <f ca="1">ORÇAMENTO!X232</f>
        <v>0</v>
      </c>
      <c r="J232" s="378">
        <f ca="1">IF($A232="S",IF(CAIXA.Modo,BM.AFAnterior,BM.MEDAnterior),IF(AND(RegimeExecucao="Global",$I232&gt;0,COUNTIF($AB$13:$AM$13,BM.medicao-1)&gt;0),M232/$I232*100,0))</f>
        <v>0</v>
      </c>
      <c r="K232" s="124">
        <f t="shared" ca="1" si="24"/>
        <v>0</v>
      </c>
      <c r="L232" s="379">
        <f ca="1">IF($A232="S",IF(CAIXA.Modo,BM.AFAcumulado,BM.MEDAcumulado),IF(AND(RegimeExecucao="Global",$I232&gt;0,COUNTIF($AB$13:$AM$13,BM.medicao)&gt;0),O232/$I232*100,0))</f>
        <v>0</v>
      </c>
      <c r="M232" s="380">
        <f ca="1">IF($A232="S",VTOTALBM,IF($A232=0,0,ROUND(SomaAgrupBM,15-13*ORÇAMENTO!$AF$11)))</f>
        <v>0</v>
      </c>
      <c r="N232" s="381">
        <f t="shared" ca="1" si="25"/>
        <v>0</v>
      </c>
      <c r="O232" s="127">
        <f ca="1">IF($A232="S",VTOTALBM,IF($A232=0,0,ROUND(SomaAgrupBM,15-13*ORÇAMENTO!$AF$11)))</f>
        <v>0</v>
      </c>
      <c r="Q232" s="382"/>
      <c r="R232" s="383"/>
      <c r="T232" s="119" t="str">
        <f t="shared" ca="1" si="26"/>
        <v/>
      </c>
      <c r="U232" s="172" t="str">
        <f t="shared" ca="1" si="27"/>
        <v/>
      </c>
      <c r="V232" s="173" t="str">
        <f ca="1">IF(AND($W232&gt;0,RegimeExecucao="Unitário"),$F232,"")</f>
        <v/>
      </c>
      <c r="W232" s="547">
        <f ca="1">IF($Y232&gt;0,CHOOSE(MATCH(RegimeExecucao,{"Unitário","Global"},0),IF($A232="S",$Y232/$X232,""),($Y232/$X232)*100),0)</f>
        <v>0</v>
      </c>
      <c r="X232" s="384" t="str">
        <f ca="1">IF($Y232&gt;0,CHOOSE(MATCH(RegimeExecucao,{"Unitário","Global"},0),IF($A232="S",ROUND($H232,ORÇAMENTO!$AF$10),""),ROUND($I232,ORÇAMENTO!$AF$11)),"")</f>
        <v/>
      </c>
      <c r="Y232" s="384">
        <f t="shared" ca="1" si="28"/>
        <v>0</v>
      </c>
      <c r="Z232" s="572"/>
      <c r="AB232" s="382"/>
      <c r="AC232" s="516"/>
      <c r="AD232" s="516"/>
      <c r="AE232" s="516"/>
      <c r="AF232" s="516"/>
      <c r="AG232" s="516"/>
      <c r="AH232" s="516"/>
      <c r="AI232" s="516"/>
      <c r="AJ232" s="516"/>
      <c r="AK232" s="516"/>
      <c r="AL232" s="516"/>
      <c r="AM232" s="383"/>
      <c r="AO232">
        <f ca="1">IF($A232="S",IF(BM!$I232=0,0,CHOOSE(MATCH(RegimeExecucao,{"Global","Unitário"},0),ROUND(ROUND(BM.MEDAcumulado,15-13*BM!$A$9)/100*BM!$I232,15-13*ORÇAMENTO!$AF$11),ROUND(ROUND(BM.MEDAcumulado,15-13*BM!$A$9)*ROUND(BM!$H232,15-13*ORÇAMENTO!$AF$10),15-13*ORÇAMENTO!$AF$11))),IF($A232=0,0,ROUND(SomaAgrupBM,15-13*ORÇAMENTO!$AF$11)))</f>
        <v>0</v>
      </c>
    </row>
    <row r="233" spans="1:41" x14ac:dyDescent="0.2">
      <c r="A233" t="str">
        <f ca="1">ORÇAMENTO!C233</f>
        <v>S</v>
      </c>
      <c r="B233">
        <f ca="1">ORÇAMENTO!D233</f>
        <v>0</v>
      </c>
      <c r="C233" s="116" t="str">
        <f t="shared" ca="1" si="22"/>
        <v/>
      </c>
      <c r="D233" s="119" t="str">
        <f ca="1">ORÇAMENTO!O233</f>
        <v>-</v>
      </c>
      <c r="E233" s="172" t="str">
        <f t="shared" ca="1" si="23"/>
        <v>(abra o arquivo 'Referência 02-2025.xlsm)</v>
      </c>
      <c r="F233" s="173" t="str">
        <f ca="1">IF(RegimeExecucao="Global","",ORÇAMENTO.Unidade)</f>
        <v>-</v>
      </c>
      <c r="G233" s="124">
        <f ca="1">IF(RegimeExecucao="Global","",ORÇAMENTO!T233)</f>
        <v>726.76</v>
      </c>
      <c r="H233" s="124">
        <f ca="1">IF(RegimeExecucao="Global","",ORÇAMENTO!W233)</f>
        <v>0</v>
      </c>
      <c r="I233" s="127">
        <f ca="1">ORÇAMENTO!X233</f>
        <v>0</v>
      </c>
      <c r="J233" s="378">
        <f ca="1">IF($A233="S",IF(CAIXA.Modo,BM.AFAnterior,BM.MEDAnterior),IF(AND(RegimeExecucao="Global",$I233&gt;0,COUNTIF($AB$13:$AM$13,BM.medicao-1)&gt;0),M233/$I233*100,0))</f>
        <v>0</v>
      </c>
      <c r="K233" s="124">
        <f t="shared" ca="1" si="24"/>
        <v>0</v>
      </c>
      <c r="L233" s="379">
        <f ca="1">IF($A233="S",IF(CAIXA.Modo,BM.AFAcumulado,BM.MEDAcumulado),IF(AND(RegimeExecucao="Global",$I233&gt;0,COUNTIF($AB$13:$AM$13,BM.medicao)&gt;0),O233/$I233*100,0))</f>
        <v>0</v>
      </c>
      <c r="M233" s="380">
        <f ca="1">IF($A233="S",VTOTALBM,IF($A233=0,0,ROUND(SomaAgrupBM,15-13*ORÇAMENTO!$AF$11)))</f>
        <v>0</v>
      </c>
      <c r="N233" s="381">
        <f t="shared" ca="1" si="25"/>
        <v>0</v>
      </c>
      <c r="O233" s="127">
        <f ca="1">IF($A233="S",VTOTALBM,IF($A233=0,0,ROUND(SomaAgrupBM,15-13*ORÇAMENTO!$AF$11)))</f>
        <v>0</v>
      </c>
      <c r="Q233" s="382"/>
      <c r="R233" s="383"/>
      <c r="T233" s="119" t="str">
        <f t="shared" ca="1" si="26"/>
        <v/>
      </c>
      <c r="U233" s="172" t="str">
        <f t="shared" ca="1" si="27"/>
        <v/>
      </c>
      <c r="V233" s="173" t="str">
        <f ca="1">IF(AND($W233&gt;0,RegimeExecucao="Unitário"),$F233,"")</f>
        <v/>
      </c>
      <c r="W233" s="547">
        <f ca="1">IF($Y233&gt;0,CHOOSE(MATCH(RegimeExecucao,{"Unitário","Global"},0),IF($A233="S",$Y233/$X233,""),($Y233/$X233)*100),0)</f>
        <v>0</v>
      </c>
      <c r="X233" s="384" t="str">
        <f ca="1">IF($Y233&gt;0,CHOOSE(MATCH(RegimeExecucao,{"Unitário","Global"},0),IF($A233="S",ROUND($H233,ORÇAMENTO!$AF$10),""),ROUND($I233,ORÇAMENTO!$AF$11)),"")</f>
        <v/>
      </c>
      <c r="Y233" s="384">
        <f t="shared" ca="1" si="28"/>
        <v>0</v>
      </c>
      <c r="Z233" s="572"/>
      <c r="AB233" s="382"/>
      <c r="AC233" s="516"/>
      <c r="AD233" s="516"/>
      <c r="AE233" s="516"/>
      <c r="AF233" s="516"/>
      <c r="AG233" s="516"/>
      <c r="AH233" s="516"/>
      <c r="AI233" s="516"/>
      <c r="AJ233" s="516"/>
      <c r="AK233" s="516"/>
      <c r="AL233" s="516"/>
      <c r="AM233" s="383"/>
      <c r="AO233">
        <f ca="1">IF($A233="S",IF(BM!$I233=0,0,CHOOSE(MATCH(RegimeExecucao,{"Global","Unitário"},0),ROUND(ROUND(BM.MEDAcumulado,15-13*BM!$A$9)/100*BM!$I233,15-13*ORÇAMENTO!$AF$11),ROUND(ROUND(BM.MEDAcumulado,15-13*BM!$A$9)*ROUND(BM!$H233,15-13*ORÇAMENTO!$AF$10),15-13*ORÇAMENTO!$AF$11))),IF($A233=0,0,ROUND(SomaAgrupBM,15-13*ORÇAMENTO!$AF$11)))</f>
        <v>0</v>
      </c>
    </row>
    <row r="234" spans="1:41" x14ac:dyDescent="0.2">
      <c r="A234" t="str">
        <f ca="1">ORÇAMENTO!C234</f>
        <v>S</v>
      </c>
      <c r="B234">
        <f ca="1">ORÇAMENTO!D234</f>
        <v>0</v>
      </c>
      <c r="C234" s="116" t="str">
        <f t="shared" ca="1" si="22"/>
        <v/>
      </c>
      <c r="D234" s="119" t="str">
        <f ca="1">ORÇAMENTO!O234</f>
        <v>-</v>
      </c>
      <c r="E234" s="172" t="str">
        <f t="shared" ca="1" si="23"/>
        <v>(abra o arquivo 'Referência 02-2025.xlsm)</v>
      </c>
      <c r="F234" s="173" t="str">
        <f ca="1">IF(RegimeExecucao="Global","",ORÇAMENTO.Unidade)</f>
        <v>-</v>
      </c>
      <c r="G234" s="124">
        <f ca="1">IF(RegimeExecucao="Global","",ORÇAMENTO!T234)</f>
        <v>6.88</v>
      </c>
      <c r="H234" s="124">
        <f ca="1">IF(RegimeExecucao="Global","",ORÇAMENTO!W234)</f>
        <v>0</v>
      </c>
      <c r="I234" s="127">
        <f ca="1">ORÇAMENTO!X234</f>
        <v>0</v>
      </c>
      <c r="J234" s="378">
        <f ca="1">IF($A234="S",IF(CAIXA.Modo,BM.AFAnterior,BM.MEDAnterior),IF(AND(RegimeExecucao="Global",$I234&gt;0,COUNTIF($AB$13:$AM$13,BM.medicao-1)&gt;0),M234/$I234*100,0))</f>
        <v>0</v>
      </c>
      <c r="K234" s="124">
        <f t="shared" ca="1" si="24"/>
        <v>0</v>
      </c>
      <c r="L234" s="379">
        <f ca="1">IF($A234="S",IF(CAIXA.Modo,BM.AFAcumulado,BM.MEDAcumulado),IF(AND(RegimeExecucao="Global",$I234&gt;0,COUNTIF($AB$13:$AM$13,BM.medicao)&gt;0),O234/$I234*100,0))</f>
        <v>0</v>
      </c>
      <c r="M234" s="380">
        <f ca="1">IF($A234="S",VTOTALBM,IF($A234=0,0,ROUND(SomaAgrupBM,15-13*ORÇAMENTO!$AF$11)))</f>
        <v>0</v>
      </c>
      <c r="N234" s="381">
        <f t="shared" ca="1" si="25"/>
        <v>0</v>
      </c>
      <c r="O234" s="127">
        <f ca="1">IF($A234="S",VTOTALBM,IF($A234=0,0,ROUND(SomaAgrupBM,15-13*ORÇAMENTO!$AF$11)))</f>
        <v>0</v>
      </c>
      <c r="Q234" s="382"/>
      <c r="R234" s="383"/>
      <c r="T234" s="119" t="str">
        <f t="shared" ca="1" si="26"/>
        <v/>
      </c>
      <c r="U234" s="172" t="str">
        <f t="shared" ca="1" si="27"/>
        <v/>
      </c>
      <c r="V234" s="173" t="str">
        <f ca="1">IF(AND($W234&gt;0,RegimeExecucao="Unitário"),$F234,"")</f>
        <v/>
      </c>
      <c r="W234" s="547">
        <f ca="1">IF($Y234&gt;0,CHOOSE(MATCH(RegimeExecucao,{"Unitário","Global"},0),IF($A234="S",$Y234/$X234,""),($Y234/$X234)*100),0)</f>
        <v>0</v>
      </c>
      <c r="X234" s="384" t="str">
        <f ca="1">IF($Y234&gt;0,CHOOSE(MATCH(RegimeExecucao,{"Unitário","Global"},0),IF($A234="S",ROUND($H234,ORÇAMENTO!$AF$10),""),ROUND($I234,ORÇAMENTO!$AF$11)),"")</f>
        <v/>
      </c>
      <c r="Y234" s="384">
        <f t="shared" ca="1" si="28"/>
        <v>0</v>
      </c>
      <c r="Z234" s="572"/>
      <c r="AB234" s="382"/>
      <c r="AC234" s="516"/>
      <c r="AD234" s="516"/>
      <c r="AE234" s="516"/>
      <c r="AF234" s="516"/>
      <c r="AG234" s="516"/>
      <c r="AH234" s="516"/>
      <c r="AI234" s="516"/>
      <c r="AJ234" s="516"/>
      <c r="AK234" s="516"/>
      <c r="AL234" s="516"/>
      <c r="AM234" s="383"/>
      <c r="AO234">
        <f ca="1">IF($A234="S",IF(BM!$I234=0,0,CHOOSE(MATCH(RegimeExecucao,{"Global","Unitário"},0),ROUND(ROUND(BM.MEDAcumulado,15-13*BM!$A$9)/100*BM!$I234,15-13*ORÇAMENTO!$AF$11),ROUND(ROUND(BM.MEDAcumulado,15-13*BM!$A$9)*ROUND(BM!$H234,15-13*ORÇAMENTO!$AF$10),15-13*ORÇAMENTO!$AF$11))),IF($A234=0,0,ROUND(SomaAgrupBM,15-13*ORÇAMENTO!$AF$11)))</f>
        <v>0</v>
      </c>
    </row>
    <row r="235" spans="1:41" ht="25.5" x14ac:dyDescent="0.2">
      <c r="A235" t="str">
        <f ca="1">ORÇAMENTO!C235</f>
        <v>S</v>
      </c>
      <c r="B235">
        <f ca="1">ORÇAMENTO!D235</f>
        <v>0</v>
      </c>
      <c r="C235" s="116" t="str">
        <f t="shared" ca="1" si="22"/>
        <v/>
      </c>
      <c r="D235" s="119" t="str">
        <f ca="1">ORÇAMENTO!O235</f>
        <v>-</v>
      </c>
      <c r="E235" s="172" t="str">
        <f t="shared" ca="1" si="23"/>
        <v>(abra o arquivo 'Referência 02-2025.xlsm)</v>
      </c>
      <c r="F235" s="173" t="str">
        <f ca="1">IF(RegimeExecucao="Global","",ORÇAMENTO.Unidade)</f>
        <v>-</v>
      </c>
      <c r="G235" s="124">
        <f ca="1">IF(RegimeExecucao="Global","",ORÇAMENTO!T235)</f>
        <v>7.25</v>
      </c>
      <c r="H235" s="124">
        <f ca="1">IF(RegimeExecucao="Global","",ORÇAMENTO!W235)</f>
        <v>0</v>
      </c>
      <c r="I235" s="127">
        <f ca="1">ORÇAMENTO!X235</f>
        <v>0</v>
      </c>
      <c r="J235" s="378">
        <f ca="1">IF($A235="S",IF(CAIXA.Modo,BM.AFAnterior,BM.MEDAnterior),IF(AND(RegimeExecucao="Global",$I235&gt;0,COUNTIF($AB$13:$AM$13,BM.medicao-1)&gt;0),M235/$I235*100,0))</f>
        <v>0</v>
      </c>
      <c r="K235" s="124">
        <f t="shared" ca="1" si="24"/>
        <v>0</v>
      </c>
      <c r="L235" s="379">
        <f ca="1">IF($A235="S",IF(CAIXA.Modo,BM.AFAcumulado,BM.MEDAcumulado),IF(AND(RegimeExecucao="Global",$I235&gt;0,COUNTIF($AB$13:$AM$13,BM.medicao)&gt;0),O235/$I235*100,0))</f>
        <v>0</v>
      </c>
      <c r="M235" s="380">
        <f ca="1">IF($A235="S",VTOTALBM,IF($A235=0,0,ROUND(SomaAgrupBM,15-13*ORÇAMENTO!$AF$11)))</f>
        <v>0</v>
      </c>
      <c r="N235" s="381">
        <f t="shared" ca="1" si="25"/>
        <v>0</v>
      </c>
      <c r="O235" s="127">
        <f ca="1">IF($A235="S",VTOTALBM,IF($A235=0,0,ROUND(SomaAgrupBM,15-13*ORÇAMENTO!$AF$11)))</f>
        <v>0</v>
      </c>
      <c r="Q235" s="382"/>
      <c r="R235" s="383"/>
      <c r="T235" s="119" t="str">
        <f t="shared" ca="1" si="26"/>
        <v/>
      </c>
      <c r="U235" s="172" t="str">
        <f t="shared" ca="1" si="27"/>
        <v/>
      </c>
      <c r="V235" s="173" t="str">
        <f ca="1">IF(AND($W235&gt;0,RegimeExecucao="Unitário"),$F235,"")</f>
        <v/>
      </c>
      <c r="W235" s="547">
        <f ca="1">IF($Y235&gt;0,CHOOSE(MATCH(RegimeExecucao,{"Unitário","Global"},0),IF($A235="S",$Y235/$X235,""),($Y235/$X235)*100),0)</f>
        <v>0</v>
      </c>
      <c r="X235" s="384" t="str">
        <f ca="1">IF($Y235&gt;0,CHOOSE(MATCH(RegimeExecucao,{"Unitário","Global"},0),IF($A235="S",ROUND($H235,ORÇAMENTO!$AF$10),""),ROUND($I235,ORÇAMENTO!$AF$11)),"")</f>
        <v/>
      </c>
      <c r="Y235" s="384">
        <f t="shared" ca="1" si="28"/>
        <v>0</v>
      </c>
      <c r="Z235" s="572"/>
      <c r="AB235" s="382"/>
      <c r="AC235" s="516"/>
      <c r="AD235" s="516"/>
      <c r="AE235" s="516"/>
      <c r="AF235" s="516"/>
      <c r="AG235" s="516"/>
      <c r="AH235" s="516"/>
      <c r="AI235" s="516"/>
      <c r="AJ235" s="516"/>
      <c r="AK235" s="516"/>
      <c r="AL235" s="516"/>
      <c r="AM235" s="383"/>
      <c r="AO235">
        <f ca="1">IF($A235="S",IF(BM!$I235=0,0,CHOOSE(MATCH(RegimeExecucao,{"Global","Unitário"},0),ROUND(ROUND(BM.MEDAcumulado,15-13*BM!$A$9)/100*BM!$I235,15-13*ORÇAMENTO!$AF$11),ROUND(ROUND(BM.MEDAcumulado,15-13*BM!$A$9)*ROUND(BM!$H235,15-13*ORÇAMENTO!$AF$10),15-13*ORÇAMENTO!$AF$11))),IF($A235=0,0,ROUND(SomaAgrupBM,15-13*ORÇAMENTO!$AF$11)))</f>
        <v>0</v>
      </c>
    </row>
    <row r="236" spans="1:41" x14ac:dyDescent="0.2">
      <c r="A236">
        <f ca="1">ORÇAMENTO!C236</f>
        <v>3</v>
      </c>
      <c r="B236">
        <f ca="1">ORÇAMENTO!D236</f>
        <v>4</v>
      </c>
      <c r="C236" s="116" t="str">
        <f t="shared" ca="1" si="22"/>
        <v>F</v>
      </c>
      <c r="D236" s="119" t="str">
        <f ca="1">ORÇAMENTO!O236</f>
        <v>1.10.4.</v>
      </c>
      <c r="E236" s="172" t="str">
        <f t="shared" si="23"/>
        <v>PAVIMENTAÇÃO EXTERNA - CALÇADA DE CONCRETO 8 CM</v>
      </c>
      <c r="F236" s="173" t="str">
        <f ca="1">IF(RegimeExecucao="Global","",ORÇAMENTO.Unidade)</f>
        <v>-</v>
      </c>
      <c r="G236" s="124">
        <f ca="1">IF(RegimeExecucao="Global","",ORÇAMENTO!T236)</f>
        <v>0</v>
      </c>
      <c r="H236" s="124">
        <f ca="1">IF(RegimeExecucao="Global","",ORÇAMENTO!W236)</f>
        <v>0</v>
      </c>
      <c r="I236" s="127">
        <f ca="1">ORÇAMENTO!X236</f>
        <v>0</v>
      </c>
      <c r="J236" s="378">
        <f ca="1">IF($A236="S",IF(CAIXA.Modo,BM.AFAnterior,BM.MEDAnterior),IF(AND(RegimeExecucao="Global",$I236&gt;0,COUNTIF($AB$13:$AM$13,BM.medicao-1)&gt;0),M236/$I236*100,0))</f>
        <v>0</v>
      </c>
      <c r="K236" s="124">
        <f t="shared" ca="1" si="24"/>
        <v>0</v>
      </c>
      <c r="L236" s="379">
        <f ca="1">IF($A236="S",IF(CAIXA.Modo,BM.AFAcumulado,BM.MEDAcumulado),IF(AND(RegimeExecucao="Global",$I236&gt;0,COUNTIF($AB$13:$AM$13,BM.medicao)&gt;0),O236/$I236*100,0))</f>
        <v>0</v>
      </c>
      <c r="M236" s="380">
        <f ca="1">IF($A236="S",VTOTALBM,IF($A236=0,0,ROUND(SomaAgrupBM,15-13*ORÇAMENTO!$AF$11)))</f>
        <v>0</v>
      </c>
      <c r="N236" s="381">
        <f t="shared" ca="1" si="25"/>
        <v>0</v>
      </c>
      <c r="O236" s="127">
        <f ca="1">IF($A236="S",VTOTALBM,IF($A236=0,0,ROUND(SomaAgrupBM,15-13*ORÇAMENTO!$AF$11)))</f>
        <v>0</v>
      </c>
      <c r="Q236" s="382"/>
      <c r="R236" s="383"/>
      <c r="T236" s="119" t="str">
        <f t="shared" ca="1" si="26"/>
        <v/>
      </c>
      <c r="U236" s="172" t="str">
        <f t="shared" ca="1" si="27"/>
        <v/>
      </c>
      <c r="V236" s="173" t="str">
        <f ca="1">IF(AND($W236&gt;0,RegimeExecucao="Unitário"),$F236,"")</f>
        <v/>
      </c>
      <c r="W236" s="547">
        <f ca="1">IF($Y236&gt;0,CHOOSE(MATCH(RegimeExecucao,{"Unitário","Global"},0),IF($A236="S",$Y236/$X236,""),($Y236/$X236)*100),0)</f>
        <v>0</v>
      </c>
      <c r="X236" s="384" t="str">
        <f ca="1">IF($Y236&gt;0,CHOOSE(MATCH(RegimeExecucao,{"Unitário","Global"},0),IF($A236="S",ROUND($H236,ORÇAMENTO!$AF$10),""),ROUND($I236,ORÇAMENTO!$AF$11)),"")</f>
        <v/>
      </c>
      <c r="Y236" s="384">
        <f t="shared" ca="1" si="28"/>
        <v>0</v>
      </c>
      <c r="Z236" s="572"/>
      <c r="AB236" s="382"/>
      <c r="AC236" s="516"/>
      <c r="AD236" s="516"/>
      <c r="AE236" s="516"/>
      <c r="AF236" s="516"/>
      <c r="AG236" s="516"/>
      <c r="AH236" s="516"/>
      <c r="AI236" s="516"/>
      <c r="AJ236" s="516"/>
      <c r="AK236" s="516"/>
      <c r="AL236" s="516"/>
      <c r="AM236" s="383"/>
      <c r="AO236">
        <f ca="1">IF($A236="S",IF(BM!$I236=0,0,CHOOSE(MATCH(RegimeExecucao,{"Global","Unitário"},0),ROUND(ROUND(BM.MEDAcumulado,15-13*BM!$A$9)/100*BM!$I236,15-13*ORÇAMENTO!$AF$11),ROUND(ROUND(BM.MEDAcumulado,15-13*BM!$A$9)*ROUND(BM!$H236,15-13*ORÇAMENTO!$AF$10),15-13*ORÇAMENTO!$AF$11))),IF($A236=0,0,ROUND(SomaAgrupBM,15-13*ORÇAMENTO!$AF$11)))</f>
        <v>0</v>
      </c>
    </row>
    <row r="237" spans="1:41" ht="38.25" x14ac:dyDescent="0.2">
      <c r="A237" t="str">
        <f ca="1">ORÇAMENTO!C237</f>
        <v>S</v>
      </c>
      <c r="B237">
        <f ca="1">ORÇAMENTO!D237</f>
        <v>0</v>
      </c>
      <c r="C237" s="116" t="str">
        <f t="shared" ca="1" si="22"/>
        <v/>
      </c>
      <c r="D237" s="119" t="str">
        <f ca="1">ORÇAMENTO!O237</f>
        <v>-</v>
      </c>
      <c r="E237" s="172" t="str">
        <f t="shared" ca="1" si="23"/>
        <v>(abra o arquivo 'Referência 02-2025.xlsm)</v>
      </c>
      <c r="F237" s="173" t="str">
        <f ca="1">IF(RegimeExecucao="Global","",ORÇAMENTO.Unidade)</f>
        <v>-</v>
      </c>
      <c r="G237" s="124">
        <f ca="1">IF(RegimeExecucao="Global","",ORÇAMENTO!T237)</f>
        <v>591.02</v>
      </c>
      <c r="H237" s="124">
        <f ca="1">IF(RegimeExecucao="Global","",ORÇAMENTO!W237)</f>
        <v>0</v>
      </c>
      <c r="I237" s="127">
        <f ca="1">ORÇAMENTO!X237</f>
        <v>0</v>
      </c>
      <c r="J237" s="378">
        <f ca="1">IF($A237="S",IF(CAIXA.Modo,BM.AFAnterior,BM.MEDAnterior),IF(AND(RegimeExecucao="Global",$I237&gt;0,COUNTIF($AB$13:$AM$13,BM.medicao-1)&gt;0),M237/$I237*100,0))</f>
        <v>0</v>
      </c>
      <c r="K237" s="124">
        <f t="shared" ca="1" si="24"/>
        <v>0</v>
      </c>
      <c r="L237" s="379">
        <f ca="1">IF($A237="S",IF(CAIXA.Modo,BM.AFAcumulado,BM.MEDAcumulado),IF(AND(RegimeExecucao="Global",$I237&gt;0,COUNTIF($AB$13:$AM$13,BM.medicao)&gt;0),O237/$I237*100,0))</f>
        <v>0</v>
      </c>
      <c r="M237" s="380">
        <f ca="1">IF($A237="S",VTOTALBM,IF($A237=0,0,ROUND(SomaAgrupBM,15-13*ORÇAMENTO!$AF$11)))</f>
        <v>0</v>
      </c>
      <c r="N237" s="381">
        <f t="shared" ca="1" si="25"/>
        <v>0</v>
      </c>
      <c r="O237" s="127">
        <f ca="1">IF($A237="S",VTOTALBM,IF($A237=0,0,ROUND(SomaAgrupBM,15-13*ORÇAMENTO!$AF$11)))</f>
        <v>0</v>
      </c>
      <c r="Q237" s="382"/>
      <c r="R237" s="383"/>
      <c r="T237" s="119" t="str">
        <f t="shared" ca="1" si="26"/>
        <v/>
      </c>
      <c r="U237" s="172" t="str">
        <f t="shared" ca="1" si="27"/>
        <v/>
      </c>
      <c r="V237" s="173" t="str">
        <f ca="1">IF(AND($W237&gt;0,RegimeExecucao="Unitário"),$F237,"")</f>
        <v/>
      </c>
      <c r="W237" s="547">
        <f ca="1">IF($Y237&gt;0,CHOOSE(MATCH(RegimeExecucao,{"Unitário","Global"},0),IF($A237="S",$Y237/$X237,""),($Y237/$X237)*100),0)</f>
        <v>0</v>
      </c>
      <c r="X237" s="384" t="str">
        <f ca="1">IF($Y237&gt;0,CHOOSE(MATCH(RegimeExecucao,{"Unitário","Global"},0),IF($A237="S",ROUND($H237,ORÇAMENTO!$AF$10),""),ROUND($I237,ORÇAMENTO!$AF$11)),"")</f>
        <v/>
      </c>
      <c r="Y237" s="384">
        <f t="shared" ca="1" si="28"/>
        <v>0</v>
      </c>
      <c r="Z237" s="572"/>
      <c r="AB237" s="382"/>
      <c r="AC237" s="516"/>
      <c r="AD237" s="516"/>
      <c r="AE237" s="516"/>
      <c r="AF237" s="516"/>
      <c r="AG237" s="516"/>
      <c r="AH237" s="516"/>
      <c r="AI237" s="516"/>
      <c r="AJ237" s="516"/>
      <c r="AK237" s="516"/>
      <c r="AL237" s="516"/>
      <c r="AM237" s="383"/>
      <c r="AO237">
        <f ca="1">IF($A237="S",IF(BM!$I237=0,0,CHOOSE(MATCH(RegimeExecucao,{"Global","Unitário"},0),ROUND(ROUND(BM.MEDAcumulado,15-13*BM!$A$9)/100*BM!$I237,15-13*ORÇAMENTO!$AF$11),ROUND(ROUND(BM.MEDAcumulado,15-13*BM!$A$9)*ROUND(BM!$H237,15-13*ORÇAMENTO!$AF$10),15-13*ORÇAMENTO!$AF$11))),IF($A237=0,0,ROUND(SomaAgrupBM,15-13*ORÇAMENTO!$AF$11)))</f>
        <v>0</v>
      </c>
    </row>
    <row r="238" spans="1:41" ht="38.25" x14ac:dyDescent="0.2">
      <c r="A238" t="str">
        <f ca="1">ORÇAMENTO!C238</f>
        <v>S</v>
      </c>
      <c r="B238">
        <f ca="1">ORÇAMENTO!D238</f>
        <v>0</v>
      </c>
      <c r="C238" s="116" t="str">
        <f t="shared" ref="C238:C239" ca="1" si="29">IF(OR($I238&gt;0,$A238=1,$A238=2,$A238=3,$A238=4),"F","")</f>
        <v/>
      </c>
      <c r="D238" s="119" t="str">
        <f ca="1">ORÇAMENTO!O238</f>
        <v>-</v>
      </c>
      <c r="E238" s="172" t="str">
        <f ca="1">ORÇAMENTO.Descricao</f>
        <v>(abra o arquivo 'Referência 02-2025.xlsm)</v>
      </c>
      <c r="F238" s="173" t="str">
        <f ca="1">IF(RegimeExecucao="Global","",ORÇAMENTO.Unidade)</f>
        <v>-</v>
      </c>
      <c r="G238" s="124">
        <f ca="1">IF(RegimeExecucao="Global","",ORÇAMENTO!T238)</f>
        <v>51.53</v>
      </c>
      <c r="H238" s="124">
        <f ca="1">IF(RegimeExecucao="Global","",ORÇAMENTO!W238)</f>
        <v>0</v>
      </c>
      <c r="I238" s="127">
        <f ca="1">ORÇAMENTO!X238</f>
        <v>0</v>
      </c>
      <c r="J238" s="378">
        <f ca="1">IF($A238="S",IF(CAIXA.Modo,BM.AFAnterior,BM.MEDAnterior),IF(AND(RegimeExecucao="Global",$I238&gt;0,COUNTIF($AB$13:$AM$13,BM.medicao-1)&gt;0),M238/$I238*100,0))</f>
        <v>0</v>
      </c>
      <c r="K238" s="124">
        <f t="shared" ref="K238:K239" ca="1" si="30">L238-J238</f>
        <v>0</v>
      </c>
      <c r="L238" s="379">
        <f ca="1">IF($A238="S",IF(CAIXA.Modo,BM.AFAcumulado,BM.MEDAcumulado),IF(AND(RegimeExecucao="Global",$I238&gt;0,COUNTIF($AB$13:$AM$13,BM.medicao)&gt;0),O238/$I238*100,0))</f>
        <v>0</v>
      </c>
      <c r="M238" s="380">
        <f ca="1">IF($A238="S",VTOTALBM,IF($A238=0,0,ROUND(SomaAgrupBM,15-13*ORÇAMENTO!$AF$11)))</f>
        <v>0</v>
      </c>
      <c r="N238" s="381">
        <f t="shared" ref="N238:N239" ca="1" si="31">O238-M238</f>
        <v>0</v>
      </c>
      <c r="O238" s="127">
        <f ca="1">IF($A238="S",VTOTALBM,IF($A238=0,0,ROUND(SomaAgrupBM,15-13*ORÇAMENTO!$AF$11)))</f>
        <v>0</v>
      </c>
      <c r="Q238" s="382"/>
      <c r="R238" s="383"/>
      <c r="T238" s="119" t="str">
        <f t="shared" ref="T238:T239" ca="1" si="32">IF($W238&gt;0,$D238,"")</f>
        <v/>
      </c>
      <c r="U238" s="172" t="str">
        <f t="shared" ref="U238:U239" ca="1" si="33">IF($W238&gt;0,$E238,"")</f>
        <v/>
      </c>
      <c r="V238" s="173" t="str">
        <f ca="1">IF(AND($W238&gt;0,RegimeExecucao="Unitário"),$F238,"")</f>
        <v/>
      </c>
      <c r="W238" s="547">
        <f ca="1">IF($Y238&gt;0,CHOOSE(MATCH(RegimeExecucao,{"Unitário","Global"},0),IF($A238="S",$Y238/$X238,""),($Y238/$X238)*100),0)</f>
        <v>0</v>
      </c>
      <c r="X238" s="384" t="str">
        <f ca="1">IF($Y238&gt;0,CHOOSE(MATCH(RegimeExecucao,{"Unitário","Global"},0),IF($A238="S",ROUND($H238,ORÇAMENTO!$AF$10),""),ROUND($I238,ORÇAMENTO!$AF$11)),"")</f>
        <v/>
      </c>
      <c r="Y238" s="384">
        <f t="shared" ref="Y238:Y239" ca="1" si="34">AO238-O238</f>
        <v>0</v>
      </c>
      <c r="Z238" s="572"/>
      <c r="AB238" s="382"/>
      <c r="AC238" s="516"/>
      <c r="AD238" s="516"/>
      <c r="AE238" s="516"/>
      <c r="AF238" s="516"/>
      <c r="AG238" s="516"/>
      <c r="AH238" s="516"/>
      <c r="AI238" s="516"/>
      <c r="AJ238" s="516"/>
      <c r="AK238" s="516"/>
      <c r="AL238" s="516"/>
      <c r="AM238" s="383"/>
      <c r="AO238">
        <f ca="1">IF($A238="S",IF(BM!$I238=0,0,CHOOSE(MATCH(RegimeExecucao,{"Global","Unitário"},0),ROUND(ROUND(BM.MEDAcumulado,15-13*BM!$A$9)/100*BM!$I238,15-13*ORÇAMENTO!$AF$11),ROUND(ROUND(BM.MEDAcumulado,15-13*BM!$A$9)*ROUND(BM!$H238,15-13*ORÇAMENTO!$AF$10),15-13*ORÇAMENTO!$AF$11))),IF($A238=0,0,ROUND(SomaAgrupBM,15-13*ORÇAMENTO!$AF$11)))</f>
        <v>0</v>
      </c>
    </row>
    <row r="239" spans="1:41" ht="38.25" x14ac:dyDescent="0.2">
      <c r="A239" t="str">
        <f ca="1">ORÇAMENTO!C239</f>
        <v>S</v>
      </c>
      <c r="B239">
        <f ca="1">ORÇAMENTO!D239</f>
        <v>0</v>
      </c>
      <c r="C239" s="116" t="str">
        <f t="shared" ca="1" si="29"/>
        <v/>
      </c>
      <c r="D239" s="119" t="str">
        <f ca="1">ORÇAMENTO!O239</f>
        <v>-</v>
      </c>
      <c r="E239" s="172" t="str">
        <f ca="1">ORÇAMENTO.Descricao</f>
        <v>(abra o arquivo 'Referência 02-2025.xlsm)</v>
      </c>
      <c r="F239" s="173" t="str">
        <f ca="1">IF(RegimeExecucao="Global","",ORÇAMENTO.Unidade)</f>
        <v>-</v>
      </c>
      <c r="G239" s="124">
        <f ca="1">IF(RegimeExecucao="Global","",ORÇAMENTO!T239)</f>
        <v>431.61</v>
      </c>
      <c r="H239" s="124">
        <f ca="1">IF(RegimeExecucao="Global","",ORÇAMENTO!W239)</f>
        <v>0</v>
      </c>
      <c r="I239" s="127">
        <f ca="1">ORÇAMENTO!X239</f>
        <v>0</v>
      </c>
      <c r="J239" s="378">
        <f ca="1">IF($A239="S",IF(CAIXA.Modo,BM.AFAnterior,BM.MEDAnterior),IF(AND(RegimeExecucao="Global",$I239&gt;0,COUNTIF($AB$13:$AM$13,BM.medicao-1)&gt;0),M239/$I239*100,0))</f>
        <v>0</v>
      </c>
      <c r="K239" s="124">
        <f t="shared" ca="1" si="30"/>
        <v>0</v>
      </c>
      <c r="L239" s="379">
        <f ca="1">IF($A239="S",IF(CAIXA.Modo,BM.AFAcumulado,BM.MEDAcumulado),IF(AND(RegimeExecucao="Global",$I239&gt;0,COUNTIF($AB$13:$AM$13,BM.medicao)&gt;0),O239/$I239*100,0))</f>
        <v>0</v>
      </c>
      <c r="M239" s="380">
        <f ca="1">IF($A239="S",VTOTALBM,IF($A239=0,0,ROUND(SomaAgrupBM,15-13*ORÇAMENTO!$AF$11)))</f>
        <v>0</v>
      </c>
      <c r="N239" s="381">
        <f t="shared" ca="1" si="31"/>
        <v>0</v>
      </c>
      <c r="O239" s="127">
        <f ca="1">IF($A239="S",VTOTALBM,IF($A239=0,0,ROUND(SomaAgrupBM,15-13*ORÇAMENTO!$AF$11)))</f>
        <v>0</v>
      </c>
      <c r="Q239" s="382"/>
      <c r="R239" s="383"/>
      <c r="T239" s="119" t="str">
        <f t="shared" ca="1" si="32"/>
        <v/>
      </c>
      <c r="U239" s="172" t="str">
        <f t="shared" ca="1" si="33"/>
        <v/>
      </c>
      <c r="V239" s="173" t="str">
        <f ca="1">IF(AND($W239&gt;0,RegimeExecucao="Unitário"),$F239,"")</f>
        <v/>
      </c>
      <c r="W239" s="547">
        <f ca="1">IF($Y239&gt;0,CHOOSE(MATCH(RegimeExecucao,{"Unitário","Global"},0),IF($A239="S",$Y239/$X239,""),($Y239/$X239)*100),0)</f>
        <v>0</v>
      </c>
      <c r="X239" s="384" t="str">
        <f ca="1">IF($Y239&gt;0,CHOOSE(MATCH(RegimeExecucao,{"Unitário","Global"},0),IF($A239="S",ROUND($H239,ORÇAMENTO!$AF$10),""),ROUND($I239,ORÇAMENTO!$AF$11)),"")</f>
        <v/>
      </c>
      <c r="Y239" s="384">
        <f t="shared" ca="1" si="34"/>
        <v>0</v>
      </c>
      <c r="Z239" s="572"/>
      <c r="AB239" s="382"/>
      <c r="AC239" s="516"/>
      <c r="AD239" s="516"/>
      <c r="AE239" s="516"/>
      <c r="AF239" s="516"/>
      <c r="AG239" s="516"/>
      <c r="AH239" s="516"/>
      <c r="AI239" s="516"/>
      <c r="AJ239" s="516"/>
      <c r="AK239" s="516"/>
      <c r="AL239" s="516"/>
      <c r="AM239" s="383"/>
      <c r="AO239">
        <f ca="1">IF($A239="S",IF(BM!$I239=0,0,CHOOSE(MATCH(RegimeExecucao,{"Global","Unitário"},0),ROUND(ROUND(BM.MEDAcumulado,15-13*BM!$A$9)/100*BM!$I239,15-13*ORÇAMENTO!$AF$11),ROUND(ROUND(BM.MEDAcumulado,15-13*BM!$A$9)*ROUND(BM!$H239,15-13*ORÇAMENTO!$AF$10),15-13*ORÇAMENTO!$AF$11))),IF($A239=0,0,ROUND(SomaAgrupBM,15-13*ORÇAMENTO!$AF$11)))</f>
        <v>0</v>
      </c>
    </row>
    <row r="240" spans="1:41" x14ac:dyDescent="0.2">
      <c r="A240">
        <f ca="1">ORÇAMENTO!C240</f>
        <v>2</v>
      </c>
      <c r="B240">
        <f ca="1">ORÇAMENTO!D240</f>
        <v>26</v>
      </c>
      <c r="C240" s="116" t="str">
        <f t="shared" ca="1" si="22"/>
        <v>F</v>
      </c>
      <c r="D240" s="119" t="str">
        <f ca="1">ORÇAMENTO!O240</f>
        <v>1.11.</v>
      </c>
      <c r="E240" s="172" t="str">
        <f t="shared" ca="1" si="23"/>
        <v>PINTURAS E ACABAMENTOS</v>
      </c>
      <c r="F240" s="173" t="str">
        <f ca="1">IF(RegimeExecucao="Global","",ORÇAMENTO.Unidade)</f>
        <v>-</v>
      </c>
      <c r="G240" s="124">
        <f ca="1">IF(RegimeExecucao="Global","",ORÇAMENTO!T240)</f>
        <v>0</v>
      </c>
      <c r="H240" s="124">
        <f ca="1">IF(RegimeExecucao="Global","",ORÇAMENTO!W240)</f>
        <v>0</v>
      </c>
      <c r="I240" s="127">
        <f ca="1">ORÇAMENTO!X240</f>
        <v>0</v>
      </c>
      <c r="J240" s="378">
        <f ca="1">IF($A240="S",IF(CAIXA.Modo,BM.AFAnterior,BM.MEDAnterior),IF(AND(RegimeExecucao="Global",$I240&gt;0,COUNTIF($AB$13:$AM$13,BM.medicao-1)&gt;0),M240/$I240*100,0))</f>
        <v>0</v>
      </c>
      <c r="K240" s="124">
        <f t="shared" ca="1" si="24"/>
        <v>0</v>
      </c>
      <c r="L240" s="379">
        <f ca="1">IF($A240="S",IF(CAIXA.Modo,BM.AFAcumulado,BM.MEDAcumulado),IF(AND(RegimeExecucao="Global",$I240&gt;0,COUNTIF($AB$13:$AM$13,BM.medicao)&gt;0),O240/$I240*100,0))</f>
        <v>0</v>
      </c>
      <c r="M240" s="380">
        <f ca="1">IF($A240="S",VTOTALBM,IF($A240=0,0,ROUND(SomaAgrupBM,15-13*ORÇAMENTO!$AF$11)))</f>
        <v>0</v>
      </c>
      <c r="N240" s="381">
        <f t="shared" ca="1" si="25"/>
        <v>0</v>
      </c>
      <c r="O240" s="127">
        <f ca="1">IF($A240="S",VTOTALBM,IF($A240=0,0,ROUND(SomaAgrupBM,15-13*ORÇAMENTO!$AF$11)))</f>
        <v>0</v>
      </c>
      <c r="Q240" s="382"/>
      <c r="R240" s="383"/>
      <c r="T240" s="119" t="str">
        <f t="shared" ca="1" si="26"/>
        <v/>
      </c>
      <c r="U240" s="172" t="str">
        <f t="shared" ca="1" si="27"/>
        <v/>
      </c>
      <c r="V240" s="173" t="str">
        <f ca="1">IF(AND($W240&gt;0,RegimeExecucao="Unitário"),$F240,"")</f>
        <v/>
      </c>
      <c r="W240" s="547">
        <f ca="1">IF($Y240&gt;0,CHOOSE(MATCH(RegimeExecucao,{"Unitário","Global"},0),IF($A240="S",$Y240/$X240,""),($Y240/$X240)*100),0)</f>
        <v>0</v>
      </c>
      <c r="X240" s="384" t="str">
        <f ca="1">IF($Y240&gt;0,CHOOSE(MATCH(RegimeExecucao,{"Unitário","Global"},0),IF($A240="S",ROUND($H240,ORÇAMENTO!$AF$10),""),ROUND($I240,ORÇAMENTO!$AF$11)),"")</f>
        <v/>
      </c>
      <c r="Y240" s="384">
        <f t="shared" ca="1" si="28"/>
        <v>0</v>
      </c>
      <c r="Z240" s="572"/>
      <c r="AB240" s="382"/>
      <c r="AC240" s="516"/>
      <c r="AD240" s="516"/>
      <c r="AE240" s="516"/>
      <c r="AF240" s="516"/>
      <c r="AG240" s="516"/>
      <c r="AH240" s="516"/>
      <c r="AI240" s="516"/>
      <c r="AJ240" s="516"/>
      <c r="AK240" s="516"/>
      <c r="AL240" s="516"/>
      <c r="AM240" s="383"/>
      <c r="AO240">
        <f ca="1">IF($A240="S",IF(BM!$I240=0,0,CHOOSE(MATCH(RegimeExecucao,{"Global","Unitário"},0),ROUND(ROUND(BM.MEDAcumulado,15-13*BM!$A$9)/100*BM!$I240,15-13*ORÇAMENTO!$AF$11),ROUND(ROUND(BM.MEDAcumulado,15-13*BM!$A$9)*ROUND(BM!$H240,15-13*ORÇAMENTO!$AF$10),15-13*ORÇAMENTO!$AF$11))),IF($A240=0,0,ROUND(SomaAgrupBM,15-13*ORÇAMENTO!$AF$11)))</f>
        <v>0</v>
      </c>
    </row>
    <row r="241" spans="1:41" x14ac:dyDescent="0.2">
      <c r="A241">
        <f ca="1">ORÇAMENTO!C241</f>
        <v>3</v>
      </c>
      <c r="B241">
        <f ca="1">ORÇAMENTO!D241</f>
        <v>10</v>
      </c>
      <c r="C241" s="116" t="str">
        <f t="shared" ca="1" si="22"/>
        <v>F</v>
      </c>
      <c r="D241" s="119" t="str">
        <f ca="1">ORÇAMENTO!O241</f>
        <v>1.11.1.</v>
      </c>
      <c r="E241" s="172" t="str">
        <f t="shared" ca="1" si="23"/>
        <v>PINTURA PAREDES</v>
      </c>
      <c r="F241" s="173" t="str">
        <f ca="1">IF(RegimeExecucao="Global","",ORÇAMENTO.Unidade)</f>
        <v>-</v>
      </c>
      <c r="G241" s="124">
        <f ca="1">IF(RegimeExecucao="Global","",ORÇAMENTO!T241)</f>
        <v>0</v>
      </c>
      <c r="H241" s="124">
        <f ca="1">IF(RegimeExecucao="Global","",ORÇAMENTO!W241)</f>
        <v>0</v>
      </c>
      <c r="I241" s="127">
        <f ca="1">ORÇAMENTO!X241</f>
        <v>0</v>
      </c>
      <c r="J241" s="378">
        <f ca="1">IF($A241="S",IF(CAIXA.Modo,BM.AFAnterior,BM.MEDAnterior),IF(AND(RegimeExecucao="Global",$I241&gt;0,COUNTIF($AB$13:$AM$13,BM.medicao-1)&gt;0),M241/$I241*100,0))</f>
        <v>0</v>
      </c>
      <c r="K241" s="124">
        <f t="shared" ca="1" si="24"/>
        <v>0</v>
      </c>
      <c r="L241" s="379">
        <f ca="1">IF($A241="S",IF(CAIXA.Modo,BM.AFAcumulado,BM.MEDAcumulado),IF(AND(RegimeExecucao="Global",$I241&gt;0,COUNTIF($AB$13:$AM$13,BM.medicao)&gt;0),O241/$I241*100,0))</f>
        <v>0</v>
      </c>
      <c r="M241" s="380">
        <f ca="1">IF($A241="S",VTOTALBM,IF($A241=0,0,ROUND(SomaAgrupBM,15-13*ORÇAMENTO!$AF$11)))</f>
        <v>0</v>
      </c>
      <c r="N241" s="381">
        <f t="shared" ca="1" si="25"/>
        <v>0</v>
      </c>
      <c r="O241" s="127">
        <f ca="1">IF($A241="S",VTOTALBM,IF($A241=0,0,ROUND(SomaAgrupBM,15-13*ORÇAMENTO!$AF$11)))</f>
        <v>0</v>
      </c>
      <c r="Q241" s="382"/>
      <c r="R241" s="383"/>
      <c r="T241" s="119" t="str">
        <f t="shared" ca="1" si="26"/>
        <v/>
      </c>
      <c r="U241" s="172" t="str">
        <f t="shared" ca="1" si="27"/>
        <v/>
      </c>
      <c r="V241" s="173" t="str">
        <f ca="1">IF(AND($W241&gt;0,RegimeExecucao="Unitário"),$F241,"")</f>
        <v/>
      </c>
      <c r="W241" s="547">
        <f ca="1">IF($Y241&gt;0,CHOOSE(MATCH(RegimeExecucao,{"Unitário","Global"},0),IF($A241="S",$Y241/$X241,""),($Y241/$X241)*100),0)</f>
        <v>0</v>
      </c>
      <c r="X241" s="384" t="str">
        <f ca="1">IF($Y241&gt;0,CHOOSE(MATCH(RegimeExecucao,{"Unitário","Global"},0),IF($A241="S",ROUND($H241,ORÇAMENTO!$AF$10),""),ROUND($I241,ORÇAMENTO!$AF$11)),"")</f>
        <v/>
      </c>
      <c r="Y241" s="384">
        <f t="shared" ca="1" si="28"/>
        <v>0</v>
      </c>
      <c r="Z241" s="572"/>
      <c r="AB241" s="382"/>
      <c r="AC241" s="516"/>
      <c r="AD241" s="516"/>
      <c r="AE241" s="516"/>
      <c r="AF241" s="516"/>
      <c r="AG241" s="516"/>
      <c r="AH241" s="516"/>
      <c r="AI241" s="516"/>
      <c r="AJ241" s="516"/>
      <c r="AK241" s="516"/>
      <c r="AL241" s="516"/>
      <c r="AM241" s="383"/>
      <c r="AO241">
        <f ca="1">IF($A241="S",IF(BM!$I241=0,0,CHOOSE(MATCH(RegimeExecucao,{"Global","Unitário"},0),ROUND(ROUND(BM.MEDAcumulado,15-13*BM!$A$9)/100*BM!$I241,15-13*ORÇAMENTO!$AF$11),ROUND(ROUND(BM.MEDAcumulado,15-13*BM!$A$9)*ROUND(BM!$H241,15-13*ORÇAMENTO!$AF$10),15-13*ORÇAMENTO!$AF$11))),IF($A241=0,0,ROUND(SomaAgrupBM,15-13*ORÇAMENTO!$AF$11)))</f>
        <v>0</v>
      </c>
    </row>
    <row r="242" spans="1:41" ht="25.5" x14ac:dyDescent="0.2">
      <c r="A242" t="str">
        <f ca="1">ORÇAMENTO!C242</f>
        <v>S</v>
      </c>
      <c r="B242">
        <f ca="1">ORÇAMENTO!D242</f>
        <v>0</v>
      </c>
      <c r="C242" s="116" t="str">
        <f t="shared" ca="1" si="22"/>
        <v/>
      </c>
      <c r="D242" s="119" t="str">
        <f ca="1">ORÇAMENTO!O242</f>
        <v>-</v>
      </c>
      <c r="E242" s="172" t="str">
        <f t="shared" ca="1" si="23"/>
        <v>(abra o arquivo 'Referência 02-2025.xlsm)</v>
      </c>
      <c r="F242" s="173" t="str">
        <f ca="1">IF(RegimeExecucao="Global","",ORÇAMENTO.Unidade)</f>
        <v>-</v>
      </c>
      <c r="G242" s="124">
        <f ca="1">IF(RegimeExecucao="Global","",ORÇAMENTO!T242)</f>
        <v>1380.6</v>
      </c>
      <c r="H242" s="124">
        <f ca="1">IF(RegimeExecucao="Global","",ORÇAMENTO!W242)</f>
        <v>0</v>
      </c>
      <c r="I242" s="127">
        <f ca="1">ORÇAMENTO!X242</f>
        <v>0</v>
      </c>
      <c r="J242" s="378">
        <f ca="1">IF($A242="S",IF(CAIXA.Modo,BM.AFAnterior,BM.MEDAnterior),IF(AND(RegimeExecucao="Global",$I242&gt;0,COUNTIF($AB$13:$AM$13,BM.medicao-1)&gt;0),M242/$I242*100,0))</f>
        <v>0</v>
      </c>
      <c r="K242" s="124">
        <f t="shared" ca="1" si="24"/>
        <v>0</v>
      </c>
      <c r="L242" s="379">
        <f ca="1">IF($A242="S",IF(CAIXA.Modo,BM.AFAcumulado,BM.MEDAcumulado),IF(AND(RegimeExecucao="Global",$I242&gt;0,COUNTIF($AB$13:$AM$13,BM.medicao)&gt;0),O242/$I242*100,0))</f>
        <v>0</v>
      </c>
      <c r="M242" s="380">
        <f ca="1">IF($A242="S",VTOTALBM,IF($A242=0,0,ROUND(SomaAgrupBM,15-13*ORÇAMENTO!$AF$11)))</f>
        <v>0</v>
      </c>
      <c r="N242" s="381">
        <f t="shared" ca="1" si="25"/>
        <v>0</v>
      </c>
      <c r="O242" s="127">
        <f ca="1">IF($A242="S",VTOTALBM,IF($A242=0,0,ROUND(SomaAgrupBM,15-13*ORÇAMENTO!$AF$11)))</f>
        <v>0</v>
      </c>
      <c r="Q242" s="382"/>
      <c r="R242" s="383"/>
      <c r="T242" s="119" t="str">
        <f t="shared" ca="1" si="26"/>
        <v/>
      </c>
      <c r="U242" s="172" t="str">
        <f t="shared" ca="1" si="27"/>
        <v/>
      </c>
      <c r="V242" s="173" t="str">
        <f ca="1">IF(AND($W242&gt;0,RegimeExecucao="Unitário"),$F242,"")</f>
        <v/>
      </c>
      <c r="W242" s="547">
        <f ca="1">IF($Y242&gt;0,CHOOSE(MATCH(RegimeExecucao,{"Unitário","Global"},0),IF($A242="S",$Y242/$X242,""),($Y242/$X242)*100),0)</f>
        <v>0</v>
      </c>
      <c r="X242" s="384" t="str">
        <f ca="1">IF($Y242&gt;0,CHOOSE(MATCH(RegimeExecucao,{"Unitário","Global"},0),IF($A242="S",ROUND($H242,ORÇAMENTO!$AF$10),""),ROUND($I242,ORÇAMENTO!$AF$11)),"")</f>
        <v/>
      </c>
      <c r="Y242" s="384">
        <f t="shared" ca="1" si="28"/>
        <v>0</v>
      </c>
      <c r="Z242" s="572"/>
      <c r="AB242" s="382"/>
      <c r="AC242" s="516"/>
      <c r="AD242" s="516"/>
      <c r="AE242" s="516"/>
      <c r="AF242" s="516"/>
      <c r="AG242" s="516"/>
      <c r="AH242" s="516"/>
      <c r="AI242" s="516"/>
      <c r="AJ242" s="516"/>
      <c r="AK242" s="516"/>
      <c r="AL242" s="516"/>
      <c r="AM242" s="383"/>
      <c r="AO242">
        <f ca="1">IF($A242="S",IF(BM!$I242=0,0,CHOOSE(MATCH(RegimeExecucao,{"Global","Unitário"},0),ROUND(ROUND(BM.MEDAcumulado,15-13*BM!$A$9)/100*BM!$I242,15-13*ORÇAMENTO!$AF$11),ROUND(ROUND(BM.MEDAcumulado,15-13*BM!$A$9)*ROUND(BM!$H242,15-13*ORÇAMENTO!$AF$10),15-13*ORÇAMENTO!$AF$11))),IF($A242=0,0,ROUND(SomaAgrupBM,15-13*ORÇAMENTO!$AF$11)))</f>
        <v>0</v>
      </c>
    </row>
    <row r="243" spans="1:41" ht="25.5" x14ac:dyDescent="0.2">
      <c r="A243" t="str">
        <f ca="1">ORÇAMENTO!C243</f>
        <v>S</v>
      </c>
      <c r="B243">
        <f ca="1">ORÇAMENTO!D243</f>
        <v>0</v>
      </c>
      <c r="C243" s="116" t="str">
        <f t="shared" ca="1" si="22"/>
        <v/>
      </c>
      <c r="D243" s="119" t="str">
        <f ca="1">ORÇAMENTO!O243</f>
        <v>-</v>
      </c>
      <c r="E243" s="172" t="str">
        <f t="shared" ca="1" si="23"/>
        <v>(abra o arquivo 'Referência 02-2025.xlsm)</v>
      </c>
      <c r="F243" s="173" t="str">
        <f ca="1">IF(RegimeExecucao="Global","",ORÇAMENTO.Unidade)</f>
        <v>-</v>
      </c>
      <c r="G243" s="124">
        <f ca="1">IF(RegimeExecucao="Global","",ORÇAMENTO!T243)</f>
        <v>1360.44</v>
      </c>
      <c r="H243" s="124">
        <f ca="1">IF(RegimeExecucao="Global","",ORÇAMENTO!W243)</f>
        <v>0</v>
      </c>
      <c r="I243" s="127">
        <f ca="1">ORÇAMENTO!X243</f>
        <v>0</v>
      </c>
      <c r="J243" s="378">
        <f ca="1">IF($A243="S",IF(CAIXA.Modo,BM.AFAnterior,BM.MEDAnterior),IF(AND(RegimeExecucao="Global",$I243&gt;0,COUNTIF($AB$13:$AM$13,BM.medicao-1)&gt;0),M243/$I243*100,0))</f>
        <v>0</v>
      </c>
      <c r="K243" s="124">
        <f t="shared" ca="1" si="24"/>
        <v>0</v>
      </c>
      <c r="L243" s="379">
        <f ca="1">IF($A243="S",IF(CAIXA.Modo,BM.AFAcumulado,BM.MEDAcumulado),IF(AND(RegimeExecucao="Global",$I243&gt;0,COUNTIF($AB$13:$AM$13,BM.medicao)&gt;0),O243/$I243*100,0))</f>
        <v>0</v>
      </c>
      <c r="M243" s="380">
        <f ca="1">IF($A243="S",VTOTALBM,IF($A243=0,0,ROUND(SomaAgrupBM,15-13*ORÇAMENTO!$AF$11)))</f>
        <v>0</v>
      </c>
      <c r="N243" s="381">
        <f t="shared" ca="1" si="25"/>
        <v>0</v>
      </c>
      <c r="O243" s="127">
        <f ca="1">IF($A243="S",VTOTALBM,IF($A243=0,0,ROUND(SomaAgrupBM,15-13*ORÇAMENTO!$AF$11)))</f>
        <v>0</v>
      </c>
      <c r="Q243" s="382"/>
      <c r="R243" s="383"/>
      <c r="T243" s="119" t="str">
        <f t="shared" ca="1" si="26"/>
        <v/>
      </c>
      <c r="U243" s="172" t="str">
        <f t="shared" ca="1" si="27"/>
        <v/>
      </c>
      <c r="V243" s="173" t="str">
        <f ca="1">IF(AND($W243&gt;0,RegimeExecucao="Unitário"),$F243,"")</f>
        <v/>
      </c>
      <c r="W243" s="547">
        <f ca="1">IF($Y243&gt;0,CHOOSE(MATCH(RegimeExecucao,{"Unitário","Global"},0),IF($A243="S",$Y243/$X243,""),($Y243/$X243)*100),0)</f>
        <v>0</v>
      </c>
      <c r="X243" s="384" t="str">
        <f ca="1">IF($Y243&gt;0,CHOOSE(MATCH(RegimeExecucao,{"Unitário","Global"},0),IF($A243="S",ROUND($H243,ORÇAMENTO!$AF$10),""),ROUND($I243,ORÇAMENTO!$AF$11)),"")</f>
        <v/>
      </c>
      <c r="Y243" s="384">
        <f t="shared" ca="1" si="28"/>
        <v>0</v>
      </c>
      <c r="Z243" s="572"/>
      <c r="AB243" s="382"/>
      <c r="AC243" s="516"/>
      <c r="AD243" s="516"/>
      <c r="AE243" s="516"/>
      <c r="AF243" s="516"/>
      <c r="AG243" s="516"/>
      <c r="AH243" s="516"/>
      <c r="AI243" s="516"/>
      <c r="AJ243" s="516"/>
      <c r="AK243" s="516"/>
      <c r="AL243" s="516"/>
      <c r="AM243" s="383"/>
      <c r="AO243">
        <f ca="1">IF($A243="S",IF(BM!$I243=0,0,CHOOSE(MATCH(RegimeExecucao,{"Global","Unitário"},0),ROUND(ROUND(BM.MEDAcumulado,15-13*BM!$A$9)/100*BM!$I243,15-13*ORÇAMENTO!$AF$11),ROUND(ROUND(BM.MEDAcumulado,15-13*BM!$A$9)*ROUND(BM!$H243,15-13*ORÇAMENTO!$AF$10),15-13*ORÇAMENTO!$AF$11))),IF($A243=0,0,ROUND(SomaAgrupBM,15-13*ORÇAMENTO!$AF$11)))</f>
        <v>0</v>
      </c>
    </row>
    <row r="244" spans="1:41" ht="25.5" x14ac:dyDescent="0.2">
      <c r="A244" t="str">
        <f ca="1">ORÇAMENTO!C244</f>
        <v>S</v>
      </c>
      <c r="B244">
        <f ca="1">ORÇAMENTO!D244</f>
        <v>0</v>
      </c>
      <c r="C244" s="116" t="str">
        <f t="shared" ca="1" si="22"/>
        <v/>
      </c>
      <c r="D244" s="119" t="str">
        <f ca="1">ORÇAMENTO!O244</f>
        <v>-</v>
      </c>
      <c r="E244" s="172" t="str">
        <f t="shared" ca="1" si="23"/>
        <v>(abra o arquivo 'Referência 02-2025.xlsm)</v>
      </c>
      <c r="F244" s="173" t="str">
        <f ca="1">IF(RegimeExecucao="Global","",ORÇAMENTO.Unidade)</f>
        <v>-</v>
      </c>
      <c r="G244" s="124">
        <f ca="1">IF(RegimeExecucao="Global","",ORÇAMENTO!T244)</f>
        <v>2203.5700000000002</v>
      </c>
      <c r="H244" s="124">
        <f ca="1">IF(RegimeExecucao="Global","",ORÇAMENTO!W244)</f>
        <v>0</v>
      </c>
      <c r="I244" s="127">
        <f ca="1">ORÇAMENTO!X244</f>
        <v>0</v>
      </c>
      <c r="J244" s="378">
        <f ca="1">IF($A244="S",IF(CAIXA.Modo,BM.AFAnterior,BM.MEDAnterior),IF(AND(RegimeExecucao="Global",$I244&gt;0,COUNTIF($AB$13:$AM$13,BM.medicao-1)&gt;0),M244/$I244*100,0))</f>
        <v>0</v>
      </c>
      <c r="K244" s="124">
        <f t="shared" ca="1" si="24"/>
        <v>0</v>
      </c>
      <c r="L244" s="379">
        <f ca="1">IF($A244="S",IF(CAIXA.Modo,BM.AFAcumulado,BM.MEDAcumulado),IF(AND(RegimeExecucao="Global",$I244&gt;0,COUNTIF($AB$13:$AM$13,BM.medicao)&gt;0),O244/$I244*100,0))</f>
        <v>0</v>
      </c>
      <c r="M244" s="380">
        <f ca="1">IF($A244="S",VTOTALBM,IF($A244=0,0,ROUND(SomaAgrupBM,15-13*ORÇAMENTO!$AF$11)))</f>
        <v>0</v>
      </c>
      <c r="N244" s="381">
        <f t="shared" ca="1" si="25"/>
        <v>0</v>
      </c>
      <c r="O244" s="127">
        <f ca="1">IF($A244="S",VTOTALBM,IF($A244=0,0,ROUND(SomaAgrupBM,15-13*ORÇAMENTO!$AF$11)))</f>
        <v>0</v>
      </c>
      <c r="Q244" s="382"/>
      <c r="R244" s="383"/>
      <c r="T244" s="119" t="str">
        <f t="shared" ca="1" si="26"/>
        <v/>
      </c>
      <c r="U244" s="172" t="str">
        <f t="shared" ca="1" si="27"/>
        <v/>
      </c>
      <c r="V244" s="173" t="str">
        <f ca="1">IF(AND($W244&gt;0,RegimeExecucao="Unitário"),$F244,"")</f>
        <v/>
      </c>
      <c r="W244" s="547">
        <f ca="1">IF($Y244&gt;0,CHOOSE(MATCH(RegimeExecucao,{"Unitário","Global"},0),IF($A244="S",$Y244/$X244,""),($Y244/$X244)*100),0)</f>
        <v>0</v>
      </c>
      <c r="X244" s="384" t="str">
        <f ca="1">IF($Y244&gt;0,CHOOSE(MATCH(RegimeExecucao,{"Unitário","Global"},0),IF($A244="S",ROUND($H244,ORÇAMENTO!$AF$10),""),ROUND($I244,ORÇAMENTO!$AF$11)),"")</f>
        <v/>
      </c>
      <c r="Y244" s="384">
        <f t="shared" ca="1" si="28"/>
        <v>0</v>
      </c>
      <c r="Z244" s="572"/>
      <c r="AB244" s="382"/>
      <c r="AC244" s="516"/>
      <c r="AD244" s="516"/>
      <c r="AE244" s="516"/>
      <c r="AF244" s="516"/>
      <c r="AG244" s="516"/>
      <c r="AH244" s="516"/>
      <c r="AI244" s="516"/>
      <c r="AJ244" s="516"/>
      <c r="AK244" s="516"/>
      <c r="AL244" s="516"/>
      <c r="AM244" s="383"/>
      <c r="AO244">
        <f ca="1">IF($A244="S",IF(BM!$I244=0,0,CHOOSE(MATCH(RegimeExecucao,{"Global","Unitário"},0),ROUND(ROUND(BM.MEDAcumulado,15-13*BM!$A$9)/100*BM!$I244,15-13*ORÇAMENTO!$AF$11),ROUND(ROUND(BM.MEDAcumulado,15-13*BM!$A$9)*ROUND(BM!$H244,15-13*ORÇAMENTO!$AF$10),15-13*ORÇAMENTO!$AF$11))),IF($A244=0,0,ROUND(SomaAgrupBM,15-13*ORÇAMENTO!$AF$11)))</f>
        <v>0</v>
      </c>
    </row>
    <row r="245" spans="1:41" ht="25.5" x14ac:dyDescent="0.2">
      <c r="A245" t="str">
        <f ca="1">ORÇAMENTO!C245</f>
        <v>S</v>
      </c>
      <c r="B245">
        <f ca="1">ORÇAMENTO!D245</f>
        <v>0</v>
      </c>
      <c r="C245" s="116" t="str">
        <f t="shared" ca="1" si="22"/>
        <v/>
      </c>
      <c r="D245" s="119" t="str">
        <f ca="1">ORÇAMENTO!O245</f>
        <v>-</v>
      </c>
      <c r="E245" s="172" t="str">
        <f t="shared" ca="1" si="23"/>
        <v>(abra o arquivo 'Referência 02-2025.xlsm)</v>
      </c>
      <c r="F245" s="173" t="str">
        <f ca="1">IF(RegimeExecucao="Global","",ORÇAMENTO.Unidade)</f>
        <v>-</v>
      </c>
      <c r="G245" s="124">
        <f ca="1">IF(RegimeExecucao="Global","",ORÇAMENTO!T245)</f>
        <v>15.55</v>
      </c>
      <c r="H245" s="124">
        <f ca="1">IF(RegimeExecucao="Global","",ORÇAMENTO!W245)</f>
        <v>0</v>
      </c>
      <c r="I245" s="127">
        <f ca="1">ORÇAMENTO!X245</f>
        <v>0</v>
      </c>
      <c r="J245" s="378">
        <f ca="1">IF($A245="S",IF(CAIXA.Modo,BM.AFAnterior,BM.MEDAnterior),IF(AND(RegimeExecucao="Global",$I245&gt;0,COUNTIF($AB$13:$AM$13,BM.medicao-1)&gt;0),M245/$I245*100,0))</f>
        <v>0</v>
      </c>
      <c r="K245" s="124">
        <f t="shared" ca="1" si="24"/>
        <v>0</v>
      </c>
      <c r="L245" s="379">
        <f ca="1">IF($A245="S",IF(CAIXA.Modo,BM.AFAcumulado,BM.MEDAcumulado),IF(AND(RegimeExecucao="Global",$I245&gt;0,COUNTIF($AB$13:$AM$13,BM.medicao)&gt;0),O245/$I245*100,0))</f>
        <v>0</v>
      </c>
      <c r="M245" s="380">
        <f ca="1">IF($A245="S",VTOTALBM,IF($A245=0,0,ROUND(SomaAgrupBM,15-13*ORÇAMENTO!$AF$11)))</f>
        <v>0</v>
      </c>
      <c r="N245" s="381">
        <f t="shared" ca="1" si="25"/>
        <v>0</v>
      </c>
      <c r="O245" s="127">
        <f ca="1">IF($A245="S",VTOTALBM,IF($A245=0,0,ROUND(SomaAgrupBM,15-13*ORÇAMENTO!$AF$11)))</f>
        <v>0</v>
      </c>
      <c r="Q245" s="382"/>
      <c r="R245" s="383"/>
      <c r="T245" s="119" t="str">
        <f t="shared" ca="1" si="26"/>
        <v/>
      </c>
      <c r="U245" s="172" t="str">
        <f t="shared" ca="1" si="27"/>
        <v/>
      </c>
      <c r="V245" s="173" t="str">
        <f ca="1">IF(AND($W245&gt;0,RegimeExecucao="Unitário"),$F245,"")</f>
        <v/>
      </c>
      <c r="W245" s="547">
        <f ca="1">IF($Y245&gt;0,CHOOSE(MATCH(RegimeExecucao,{"Unitário","Global"},0),IF($A245="S",$Y245/$X245,""),($Y245/$X245)*100),0)</f>
        <v>0</v>
      </c>
      <c r="X245" s="384" t="str">
        <f ca="1">IF($Y245&gt;0,CHOOSE(MATCH(RegimeExecucao,{"Unitário","Global"},0),IF($A245="S",ROUND($H245,ORÇAMENTO!$AF$10),""),ROUND($I245,ORÇAMENTO!$AF$11)),"")</f>
        <v/>
      </c>
      <c r="Y245" s="384">
        <f t="shared" ca="1" si="28"/>
        <v>0</v>
      </c>
      <c r="Z245" s="572"/>
      <c r="AB245" s="382"/>
      <c r="AC245" s="516"/>
      <c r="AD245" s="516"/>
      <c r="AE245" s="516"/>
      <c r="AF245" s="516"/>
      <c r="AG245" s="516"/>
      <c r="AH245" s="516"/>
      <c r="AI245" s="516"/>
      <c r="AJ245" s="516"/>
      <c r="AK245" s="516"/>
      <c r="AL245" s="516"/>
      <c r="AM245" s="383"/>
      <c r="AO245">
        <f ca="1">IF($A245="S",IF(BM!$I245=0,0,CHOOSE(MATCH(RegimeExecucao,{"Global","Unitário"},0),ROUND(ROUND(BM.MEDAcumulado,15-13*BM!$A$9)/100*BM!$I245,15-13*ORÇAMENTO!$AF$11),ROUND(ROUND(BM.MEDAcumulado,15-13*BM!$A$9)*ROUND(BM!$H245,15-13*ORÇAMENTO!$AF$10),15-13*ORÇAMENTO!$AF$11))),IF($A245=0,0,ROUND(SomaAgrupBM,15-13*ORÇAMENTO!$AF$11)))</f>
        <v>0</v>
      </c>
    </row>
    <row r="246" spans="1:41" ht="25.5" x14ac:dyDescent="0.2">
      <c r="A246" t="str">
        <f ca="1">ORÇAMENTO!C246</f>
        <v>S</v>
      </c>
      <c r="B246">
        <f ca="1">ORÇAMENTO!D246</f>
        <v>0</v>
      </c>
      <c r="C246" s="116" t="str">
        <f t="shared" ca="1" si="22"/>
        <v/>
      </c>
      <c r="D246" s="119" t="str">
        <f ca="1">ORÇAMENTO!O246</f>
        <v>-</v>
      </c>
      <c r="E246" s="172" t="str">
        <f t="shared" ca="1" si="23"/>
        <v>(abra o arquivo 'Referência 02-2025.xlsm)</v>
      </c>
      <c r="F246" s="173" t="str">
        <f ca="1">IF(RegimeExecucao="Global","",ORÇAMENTO.Unidade)</f>
        <v>-</v>
      </c>
      <c r="G246" s="124">
        <f ca="1">IF(RegimeExecucao="Global","",ORÇAMENTO!T246)</f>
        <v>454.59</v>
      </c>
      <c r="H246" s="124">
        <f ca="1">IF(RegimeExecucao="Global","",ORÇAMENTO!W246)</f>
        <v>0</v>
      </c>
      <c r="I246" s="127">
        <f ca="1">ORÇAMENTO!X246</f>
        <v>0</v>
      </c>
      <c r="J246" s="378">
        <f ca="1">IF($A246="S",IF(CAIXA.Modo,BM.AFAnterior,BM.MEDAnterior),IF(AND(RegimeExecucao="Global",$I246&gt;0,COUNTIF($AB$13:$AM$13,BM.medicao-1)&gt;0),M246/$I246*100,0))</f>
        <v>0</v>
      </c>
      <c r="K246" s="124">
        <f t="shared" ca="1" si="24"/>
        <v>0</v>
      </c>
      <c r="L246" s="379">
        <f ca="1">IF($A246="S",IF(CAIXA.Modo,BM.AFAcumulado,BM.MEDAcumulado),IF(AND(RegimeExecucao="Global",$I246&gt;0,COUNTIF($AB$13:$AM$13,BM.medicao)&gt;0),O246/$I246*100,0))</f>
        <v>0</v>
      </c>
      <c r="M246" s="380">
        <f ca="1">IF($A246="S",VTOTALBM,IF($A246=0,0,ROUND(SomaAgrupBM,15-13*ORÇAMENTO!$AF$11)))</f>
        <v>0</v>
      </c>
      <c r="N246" s="381">
        <f t="shared" ca="1" si="25"/>
        <v>0</v>
      </c>
      <c r="O246" s="127">
        <f ca="1">IF($A246="S",VTOTALBM,IF($A246=0,0,ROUND(SomaAgrupBM,15-13*ORÇAMENTO!$AF$11)))</f>
        <v>0</v>
      </c>
      <c r="Q246" s="382"/>
      <c r="R246" s="383"/>
      <c r="T246" s="119" t="str">
        <f t="shared" ca="1" si="26"/>
        <v/>
      </c>
      <c r="U246" s="172" t="str">
        <f t="shared" ca="1" si="27"/>
        <v/>
      </c>
      <c r="V246" s="173" t="str">
        <f ca="1">IF(AND($W246&gt;0,RegimeExecucao="Unitário"),$F246,"")</f>
        <v/>
      </c>
      <c r="W246" s="547">
        <f ca="1">IF($Y246&gt;0,CHOOSE(MATCH(RegimeExecucao,{"Unitário","Global"},0),IF($A246="S",$Y246/$X246,""),($Y246/$X246)*100),0)</f>
        <v>0</v>
      </c>
      <c r="X246" s="384" t="str">
        <f ca="1">IF($Y246&gt;0,CHOOSE(MATCH(RegimeExecucao,{"Unitário","Global"},0),IF($A246="S",ROUND($H246,ORÇAMENTO!$AF$10),""),ROUND($I246,ORÇAMENTO!$AF$11)),"")</f>
        <v/>
      </c>
      <c r="Y246" s="384">
        <f t="shared" ca="1" si="28"/>
        <v>0</v>
      </c>
      <c r="Z246" s="572"/>
      <c r="AB246" s="382"/>
      <c r="AC246" s="516"/>
      <c r="AD246" s="516"/>
      <c r="AE246" s="516"/>
      <c r="AF246" s="516"/>
      <c r="AG246" s="516"/>
      <c r="AH246" s="516"/>
      <c r="AI246" s="516"/>
      <c r="AJ246" s="516"/>
      <c r="AK246" s="516"/>
      <c r="AL246" s="516"/>
      <c r="AM246" s="383"/>
      <c r="AO246">
        <f ca="1">IF($A246="S",IF(BM!$I246=0,0,CHOOSE(MATCH(RegimeExecucao,{"Global","Unitário"},0),ROUND(ROUND(BM.MEDAcumulado,15-13*BM!$A$9)/100*BM!$I246,15-13*ORÇAMENTO!$AF$11),ROUND(ROUND(BM.MEDAcumulado,15-13*BM!$A$9)*ROUND(BM!$H246,15-13*ORÇAMENTO!$AF$10),15-13*ORÇAMENTO!$AF$11))),IF($A246=0,0,ROUND(SomaAgrupBM,15-13*ORÇAMENTO!$AF$11)))</f>
        <v>0</v>
      </c>
    </row>
    <row r="247" spans="1:41" ht="25.5" x14ac:dyDescent="0.2">
      <c r="A247" t="str">
        <f ca="1">ORÇAMENTO!C247</f>
        <v>S</v>
      </c>
      <c r="B247">
        <f ca="1">ORÇAMENTO!D247</f>
        <v>0</v>
      </c>
      <c r="C247" s="116" t="str">
        <f t="shared" ca="1" si="22"/>
        <v/>
      </c>
      <c r="D247" s="119" t="str">
        <f ca="1">ORÇAMENTO!O247</f>
        <v>-</v>
      </c>
      <c r="E247" s="172" t="str">
        <f t="shared" ca="1" si="23"/>
        <v>(abra o arquivo 'Referência 02-2025.xlsm)</v>
      </c>
      <c r="F247" s="173" t="str">
        <f ca="1">IF(RegimeExecucao="Global","",ORÇAMENTO.Unidade)</f>
        <v>-</v>
      </c>
      <c r="G247" s="124">
        <f ca="1">IF(RegimeExecucao="Global","",ORÇAMENTO!T247)</f>
        <v>154.44</v>
      </c>
      <c r="H247" s="124">
        <f ca="1">IF(RegimeExecucao="Global","",ORÇAMENTO!W247)</f>
        <v>0</v>
      </c>
      <c r="I247" s="127">
        <f ca="1">ORÇAMENTO!X247</f>
        <v>0</v>
      </c>
      <c r="J247" s="378">
        <f ca="1">IF($A247="S",IF(CAIXA.Modo,BM.AFAnterior,BM.MEDAnterior),IF(AND(RegimeExecucao="Global",$I247&gt;0,COUNTIF($AB$13:$AM$13,BM.medicao-1)&gt;0),M247/$I247*100,0))</f>
        <v>0</v>
      </c>
      <c r="K247" s="124">
        <f t="shared" ca="1" si="24"/>
        <v>0</v>
      </c>
      <c r="L247" s="379">
        <f ca="1">IF($A247="S",IF(CAIXA.Modo,BM.AFAcumulado,BM.MEDAcumulado),IF(AND(RegimeExecucao="Global",$I247&gt;0,COUNTIF($AB$13:$AM$13,BM.medicao)&gt;0),O247/$I247*100,0))</f>
        <v>0</v>
      </c>
      <c r="M247" s="380">
        <f ca="1">IF($A247="S",VTOTALBM,IF($A247=0,0,ROUND(SomaAgrupBM,15-13*ORÇAMENTO!$AF$11)))</f>
        <v>0</v>
      </c>
      <c r="N247" s="381">
        <f t="shared" ca="1" si="25"/>
        <v>0</v>
      </c>
      <c r="O247" s="127">
        <f ca="1">IF($A247="S",VTOTALBM,IF($A247=0,0,ROUND(SomaAgrupBM,15-13*ORÇAMENTO!$AF$11)))</f>
        <v>0</v>
      </c>
      <c r="Q247" s="382"/>
      <c r="R247" s="383"/>
      <c r="T247" s="119" t="str">
        <f t="shared" ca="1" si="26"/>
        <v/>
      </c>
      <c r="U247" s="172" t="str">
        <f t="shared" ca="1" si="27"/>
        <v/>
      </c>
      <c r="V247" s="173" t="str">
        <f ca="1">IF(AND($W247&gt;0,RegimeExecucao="Unitário"),$F247,"")</f>
        <v/>
      </c>
      <c r="W247" s="547">
        <f ca="1">IF($Y247&gt;0,CHOOSE(MATCH(RegimeExecucao,{"Unitário","Global"},0),IF($A247="S",$Y247/$X247,""),($Y247/$X247)*100),0)</f>
        <v>0</v>
      </c>
      <c r="X247" s="384" t="str">
        <f ca="1">IF($Y247&gt;0,CHOOSE(MATCH(RegimeExecucao,{"Unitário","Global"},0),IF($A247="S",ROUND($H247,ORÇAMENTO!$AF$10),""),ROUND($I247,ORÇAMENTO!$AF$11)),"")</f>
        <v/>
      </c>
      <c r="Y247" s="384">
        <f t="shared" ca="1" si="28"/>
        <v>0</v>
      </c>
      <c r="Z247" s="572"/>
      <c r="AB247" s="382"/>
      <c r="AC247" s="516"/>
      <c r="AD247" s="516"/>
      <c r="AE247" s="516"/>
      <c r="AF247" s="516"/>
      <c r="AG247" s="516"/>
      <c r="AH247" s="516"/>
      <c r="AI247" s="516"/>
      <c r="AJ247" s="516"/>
      <c r="AK247" s="516"/>
      <c r="AL247" s="516"/>
      <c r="AM247" s="383"/>
      <c r="AO247">
        <f ca="1">IF($A247="S",IF(BM!$I247=0,0,CHOOSE(MATCH(RegimeExecucao,{"Global","Unitário"},0),ROUND(ROUND(BM.MEDAcumulado,15-13*BM!$A$9)/100*BM!$I247,15-13*ORÇAMENTO!$AF$11),ROUND(ROUND(BM.MEDAcumulado,15-13*BM!$A$9)*ROUND(BM!$H247,15-13*ORÇAMENTO!$AF$10),15-13*ORÇAMENTO!$AF$11))),IF($A247=0,0,ROUND(SomaAgrupBM,15-13*ORÇAMENTO!$AF$11)))</f>
        <v>0</v>
      </c>
    </row>
    <row r="248" spans="1:41" ht="25.5" x14ac:dyDescent="0.2">
      <c r="A248" t="str">
        <f ca="1">ORÇAMENTO!C248</f>
        <v>S</v>
      </c>
      <c r="B248">
        <f ca="1">ORÇAMENTO!D248</f>
        <v>0</v>
      </c>
      <c r="C248" s="116" t="str">
        <f t="shared" ca="1" si="22"/>
        <v/>
      </c>
      <c r="D248" s="119" t="str">
        <f ca="1">ORÇAMENTO!O248</f>
        <v>-</v>
      </c>
      <c r="E248" s="172" t="str">
        <f t="shared" ca="1" si="23"/>
        <v>(abra o arquivo 'Referência 02-2025.xlsm)</v>
      </c>
      <c r="F248" s="173" t="str">
        <f ca="1">IF(RegimeExecucao="Global","",ORÇAMENTO.Unidade)</f>
        <v>-</v>
      </c>
      <c r="G248" s="124">
        <f ca="1">IF(RegimeExecucao="Global","",ORÇAMENTO!T248)</f>
        <v>98.15</v>
      </c>
      <c r="H248" s="124">
        <f ca="1">IF(RegimeExecucao="Global","",ORÇAMENTO!W248)</f>
        <v>0</v>
      </c>
      <c r="I248" s="127">
        <f ca="1">ORÇAMENTO!X248</f>
        <v>0</v>
      </c>
      <c r="J248" s="378">
        <f ca="1">IF($A248="S",IF(CAIXA.Modo,BM.AFAnterior,BM.MEDAnterior),IF(AND(RegimeExecucao="Global",$I248&gt;0,COUNTIF($AB$13:$AM$13,BM.medicao-1)&gt;0),M248/$I248*100,0))</f>
        <v>0</v>
      </c>
      <c r="K248" s="124">
        <f t="shared" ca="1" si="24"/>
        <v>0</v>
      </c>
      <c r="L248" s="379">
        <f ca="1">IF($A248="S",IF(CAIXA.Modo,BM.AFAcumulado,BM.MEDAcumulado),IF(AND(RegimeExecucao="Global",$I248&gt;0,COUNTIF($AB$13:$AM$13,BM.medicao)&gt;0),O248/$I248*100,0))</f>
        <v>0</v>
      </c>
      <c r="M248" s="380">
        <f ca="1">IF($A248="S",VTOTALBM,IF($A248=0,0,ROUND(SomaAgrupBM,15-13*ORÇAMENTO!$AF$11)))</f>
        <v>0</v>
      </c>
      <c r="N248" s="381">
        <f t="shared" ca="1" si="25"/>
        <v>0</v>
      </c>
      <c r="O248" s="127">
        <f ca="1">IF($A248="S",VTOTALBM,IF($A248=0,0,ROUND(SomaAgrupBM,15-13*ORÇAMENTO!$AF$11)))</f>
        <v>0</v>
      </c>
      <c r="Q248" s="382"/>
      <c r="R248" s="383"/>
      <c r="T248" s="119" t="str">
        <f t="shared" ca="1" si="26"/>
        <v/>
      </c>
      <c r="U248" s="172" t="str">
        <f t="shared" ca="1" si="27"/>
        <v/>
      </c>
      <c r="V248" s="173" t="str">
        <f ca="1">IF(AND($W248&gt;0,RegimeExecucao="Unitário"),$F248,"")</f>
        <v/>
      </c>
      <c r="W248" s="547">
        <f ca="1">IF($Y248&gt;0,CHOOSE(MATCH(RegimeExecucao,{"Unitário","Global"},0),IF($A248="S",$Y248/$X248,""),($Y248/$X248)*100),0)</f>
        <v>0</v>
      </c>
      <c r="X248" s="384" t="str">
        <f ca="1">IF($Y248&gt;0,CHOOSE(MATCH(RegimeExecucao,{"Unitário","Global"},0),IF($A248="S",ROUND($H248,ORÇAMENTO!$AF$10),""),ROUND($I248,ORÇAMENTO!$AF$11)),"")</f>
        <v/>
      </c>
      <c r="Y248" s="384">
        <f t="shared" ca="1" si="28"/>
        <v>0</v>
      </c>
      <c r="Z248" s="572"/>
      <c r="AB248" s="382"/>
      <c r="AC248" s="516"/>
      <c r="AD248" s="516"/>
      <c r="AE248" s="516"/>
      <c r="AF248" s="516"/>
      <c r="AG248" s="516"/>
      <c r="AH248" s="516"/>
      <c r="AI248" s="516"/>
      <c r="AJ248" s="516"/>
      <c r="AK248" s="516"/>
      <c r="AL248" s="516"/>
      <c r="AM248" s="383"/>
      <c r="AO248">
        <f ca="1">IF($A248="S",IF(BM!$I248=0,0,CHOOSE(MATCH(RegimeExecucao,{"Global","Unitário"},0),ROUND(ROUND(BM.MEDAcumulado,15-13*BM!$A$9)/100*BM!$I248,15-13*ORÇAMENTO!$AF$11),ROUND(ROUND(BM.MEDAcumulado,15-13*BM!$A$9)*ROUND(BM!$H248,15-13*ORÇAMENTO!$AF$10),15-13*ORÇAMENTO!$AF$11))),IF($A248=0,0,ROUND(SomaAgrupBM,15-13*ORÇAMENTO!$AF$11)))</f>
        <v>0</v>
      </c>
    </row>
    <row r="249" spans="1:41" ht="25.5" x14ac:dyDescent="0.2">
      <c r="A249" t="str">
        <f ca="1">ORÇAMENTO!C249</f>
        <v>S</v>
      </c>
      <c r="B249">
        <f ca="1">ORÇAMENTO!D249</f>
        <v>0</v>
      </c>
      <c r="C249" s="116" t="str">
        <f t="shared" ca="1" si="22"/>
        <v/>
      </c>
      <c r="D249" s="119" t="str">
        <f ca="1">ORÇAMENTO!O249</f>
        <v>-</v>
      </c>
      <c r="E249" s="172" t="str">
        <f t="shared" ca="1" si="23"/>
        <v>(abra o arquivo 'Referência 02-2025.xlsm)</v>
      </c>
      <c r="F249" s="173" t="str">
        <f ca="1">IF(RegimeExecucao="Global","",ORÇAMENTO.Unidade)</f>
        <v>-</v>
      </c>
      <c r="G249" s="124">
        <f ca="1">IF(RegimeExecucao="Global","",ORÇAMENTO!T249)</f>
        <v>84.65</v>
      </c>
      <c r="H249" s="124">
        <f ca="1">IF(RegimeExecucao="Global","",ORÇAMENTO!W249)</f>
        <v>0</v>
      </c>
      <c r="I249" s="127">
        <f ca="1">ORÇAMENTO!X249</f>
        <v>0</v>
      </c>
      <c r="J249" s="378">
        <f ca="1">IF($A249="S",IF(CAIXA.Modo,BM.AFAnterior,BM.MEDAnterior),IF(AND(RegimeExecucao="Global",$I249&gt;0,COUNTIF($AB$13:$AM$13,BM.medicao-1)&gt;0),M249/$I249*100,0))</f>
        <v>0</v>
      </c>
      <c r="K249" s="124">
        <f t="shared" ca="1" si="24"/>
        <v>0</v>
      </c>
      <c r="L249" s="379">
        <f ca="1">IF($A249="S",IF(CAIXA.Modo,BM.AFAcumulado,BM.MEDAcumulado),IF(AND(RegimeExecucao="Global",$I249&gt;0,COUNTIF($AB$13:$AM$13,BM.medicao)&gt;0),O249/$I249*100,0))</f>
        <v>0</v>
      </c>
      <c r="M249" s="380">
        <f ca="1">IF($A249="S",VTOTALBM,IF($A249=0,0,ROUND(SomaAgrupBM,15-13*ORÇAMENTO!$AF$11)))</f>
        <v>0</v>
      </c>
      <c r="N249" s="381">
        <f t="shared" ca="1" si="25"/>
        <v>0</v>
      </c>
      <c r="O249" s="127">
        <f ca="1">IF($A249="S",VTOTALBM,IF($A249=0,0,ROUND(SomaAgrupBM,15-13*ORÇAMENTO!$AF$11)))</f>
        <v>0</v>
      </c>
      <c r="Q249" s="382"/>
      <c r="R249" s="383"/>
      <c r="T249" s="119" t="str">
        <f t="shared" ca="1" si="26"/>
        <v/>
      </c>
      <c r="U249" s="172" t="str">
        <f t="shared" ca="1" si="27"/>
        <v/>
      </c>
      <c r="V249" s="173" t="str">
        <f ca="1">IF(AND($W249&gt;0,RegimeExecucao="Unitário"),$F249,"")</f>
        <v/>
      </c>
      <c r="W249" s="547">
        <f ca="1">IF($Y249&gt;0,CHOOSE(MATCH(RegimeExecucao,{"Unitário","Global"},0),IF($A249="S",$Y249/$X249,""),($Y249/$X249)*100),0)</f>
        <v>0</v>
      </c>
      <c r="X249" s="384" t="str">
        <f ca="1">IF($Y249&gt;0,CHOOSE(MATCH(RegimeExecucao,{"Unitário","Global"},0),IF($A249="S",ROUND($H249,ORÇAMENTO!$AF$10),""),ROUND($I249,ORÇAMENTO!$AF$11)),"")</f>
        <v/>
      </c>
      <c r="Y249" s="384">
        <f t="shared" ca="1" si="28"/>
        <v>0</v>
      </c>
      <c r="Z249" s="572"/>
      <c r="AB249" s="382"/>
      <c r="AC249" s="516"/>
      <c r="AD249" s="516"/>
      <c r="AE249" s="516"/>
      <c r="AF249" s="516"/>
      <c r="AG249" s="516"/>
      <c r="AH249" s="516"/>
      <c r="AI249" s="516"/>
      <c r="AJ249" s="516"/>
      <c r="AK249" s="516"/>
      <c r="AL249" s="516"/>
      <c r="AM249" s="383"/>
      <c r="AO249">
        <f ca="1">IF($A249="S",IF(BM!$I249=0,0,CHOOSE(MATCH(RegimeExecucao,{"Global","Unitário"},0),ROUND(ROUND(BM.MEDAcumulado,15-13*BM!$A$9)/100*BM!$I249,15-13*ORÇAMENTO!$AF$11),ROUND(ROUND(BM.MEDAcumulado,15-13*BM!$A$9)*ROUND(BM!$H249,15-13*ORÇAMENTO!$AF$10),15-13*ORÇAMENTO!$AF$11))),IF($A249=0,0,ROUND(SomaAgrupBM,15-13*ORÇAMENTO!$AF$11)))</f>
        <v>0</v>
      </c>
    </row>
    <row r="250" spans="1:41" ht="25.5" x14ac:dyDescent="0.2">
      <c r="A250" t="str">
        <f ca="1">ORÇAMENTO!C250</f>
        <v>S</v>
      </c>
      <c r="B250">
        <f ca="1">ORÇAMENTO!D250</f>
        <v>0</v>
      </c>
      <c r="C250" s="116" t="str">
        <f ca="1">IF(OR($I250&gt;0,$A250=1,$A250=2,$A250=3,$A250=4),"F","")</f>
        <v/>
      </c>
      <c r="D250" s="119" t="str">
        <f ca="1">ORÇAMENTO!O250</f>
        <v>-</v>
      </c>
      <c r="E250" s="172" t="str">
        <f ca="1">ORÇAMENTO.Descricao</f>
        <v>(abra o arquivo 'Referência 02-2025.xlsm)</v>
      </c>
      <c r="F250" s="173" t="str">
        <f ca="1">IF(RegimeExecucao="Global","",ORÇAMENTO.Unidade)</f>
        <v>-</v>
      </c>
      <c r="G250" s="124">
        <f ca="1">IF(RegimeExecucao="Global","",ORÇAMENTO!T250)</f>
        <v>15.3</v>
      </c>
      <c r="H250" s="124">
        <f ca="1">IF(RegimeExecucao="Global","",ORÇAMENTO!W250)</f>
        <v>0</v>
      </c>
      <c r="I250" s="127">
        <f ca="1">ORÇAMENTO!X250</f>
        <v>0</v>
      </c>
      <c r="J250" s="378">
        <f ca="1">IF($A250="S",IF(CAIXA.Modo,BM.AFAnterior,BM.MEDAnterior),IF(AND(RegimeExecucao="Global",$I250&gt;0,COUNTIF($AB$13:$AM$13,BM.medicao-1)&gt;0),M250/$I250*100,0))</f>
        <v>0</v>
      </c>
      <c r="K250" s="124">
        <f ca="1">L250-J250</f>
        <v>0</v>
      </c>
      <c r="L250" s="379">
        <f ca="1">IF($A250="S",IF(CAIXA.Modo,BM.AFAcumulado,BM.MEDAcumulado),IF(AND(RegimeExecucao="Global",$I250&gt;0,COUNTIF($AB$13:$AM$13,BM.medicao)&gt;0),O250/$I250*100,0))</f>
        <v>0</v>
      </c>
      <c r="M250" s="380">
        <f ca="1">IF($A250="S",VTOTALBM,IF($A250=0,0,ROUND(SomaAgrupBM,15-13*ORÇAMENTO!$AF$11)))</f>
        <v>0</v>
      </c>
      <c r="N250" s="381">
        <f ca="1">O250-M250</f>
        <v>0</v>
      </c>
      <c r="O250" s="127">
        <f ca="1">IF($A250="S",VTOTALBM,IF($A250=0,0,ROUND(SomaAgrupBM,15-13*ORÇAMENTO!$AF$11)))</f>
        <v>0</v>
      </c>
      <c r="Q250" s="382"/>
      <c r="R250" s="383"/>
      <c r="T250" s="119" t="str">
        <f ca="1">IF($W250&gt;0,$D250,"")</f>
        <v/>
      </c>
      <c r="U250" s="172" t="str">
        <f ca="1">IF($W250&gt;0,$E250,"")</f>
        <v/>
      </c>
      <c r="V250" s="173" t="str">
        <f ca="1">IF(AND($W250&gt;0,RegimeExecucao="Unitário"),$F250,"")</f>
        <v/>
      </c>
      <c r="W250" s="547">
        <f ca="1">IF($Y250&gt;0,CHOOSE(MATCH(RegimeExecucao,{"Unitário","Global"},0),IF($A250="S",$Y250/$X250,""),($Y250/$X250)*100),0)</f>
        <v>0</v>
      </c>
      <c r="X250" s="384" t="str">
        <f ca="1">IF($Y250&gt;0,CHOOSE(MATCH(RegimeExecucao,{"Unitário","Global"},0),IF($A250="S",ROUND($H250,ORÇAMENTO!$AF$10),""),ROUND($I250,ORÇAMENTO!$AF$11)),"")</f>
        <v/>
      </c>
      <c r="Y250" s="384">
        <f ca="1">AO250-O250</f>
        <v>0</v>
      </c>
      <c r="Z250" s="572"/>
      <c r="AB250" s="382"/>
      <c r="AC250" s="516"/>
      <c r="AD250" s="516"/>
      <c r="AE250" s="516"/>
      <c r="AF250" s="516"/>
      <c r="AG250" s="516"/>
      <c r="AH250" s="516"/>
      <c r="AI250" s="516"/>
      <c r="AJ250" s="516"/>
      <c r="AK250" s="516"/>
      <c r="AL250" s="516"/>
      <c r="AM250" s="383"/>
      <c r="AO250">
        <f ca="1">IF($A250="S",IF(BM!$I250=0,0,CHOOSE(MATCH(RegimeExecucao,{"Global","Unitário"},0),ROUND(ROUND(BM.MEDAcumulado,15-13*BM!$A$9)/100*BM!$I250,15-13*ORÇAMENTO!$AF$11),ROUND(ROUND(BM.MEDAcumulado,15-13*BM!$A$9)*ROUND(BM!$H250,15-13*ORÇAMENTO!$AF$10),15-13*ORÇAMENTO!$AF$11))),IF($A250=0,0,ROUND(SomaAgrupBM,15-13*ORÇAMENTO!$AF$11)))</f>
        <v>0</v>
      </c>
    </row>
    <row r="251" spans="1:41" x14ac:dyDescent="0.2">
      <c r="A251">
        <f ca="1">ORÇAMENTO!C251</f>
        <v>3</v>
      </c>
      <c r="B251">
        <f ca="1">ORÇAMENTO!D251</f>
        <v>3</v>
      </c>
      <c r="C251" s="116" t="str">
        <f t="shared" ca="1" si="22"/>
        <v>F</v>
      </c>
      <c r="D251" s="119" t="str">
        <f ca="1">ORÇAMENTO!O251</f>
        <v>1.11.2.</v>
      </c>
      <c r="E251" s="172" t="str">
        <f t="shared" ca="1" si="23"/>
        <v>PINTURA DE FORROS</v>
      </c>
      <c r="F251" s="173" t="str">
        <f ca="1">IF(RegimeExecucao="Global","",ORÇAMENTO.Unidade)</f>
        <v>-</v>
      </c>
      <c r="G251" s="124">
        <f ca="1">IF(RegimeExecucao="Global","",ORÇAMENTO!T251)</f>
        <v>0</v>
      </c>
      <c r="H251" s="124">
        <f ca="1">IF(RegimeExecucao="Global","",ORÇAMENTO!W251)</f>
        <v>0</v>
      </c>
      <c r="I251" s="127">
        <f ca="1">ORÇAMENTO!X251</f>
        <v>0</v>
      </c>
      <c r="J251" s="378">
        <f ca="1">IF($A251="S",IF(CAIXA.Modo,BM.AFAnterior,BM.MEDAnterior),IF(AND(RegimeExecucao="Global",$I251&gt;0,COUNTIF($AB$13:$AM$13,BM.medicao-1)&gt;0),M251/$I251*100,0))</f>
        <v>0</v>
      </c>
      <c r="K251" s="124">
        <f t="shared" ca="1" si="24"/>
        <v>0</v>
      </c>
      <c r="L251" s="379">
        <f ca="1">IF($A251="S",IF(CAIXA.Modo,BM.AFAcumulado,BM.MEDAcumulado),IF(AND(RegimeExecucao="Global",$I251&gt;0,COUNTIF($AB$13:$AM$13,BM.medicao)&gt;0),O251/$I251*100,0))</f>
        <v>0</v>
      </c>
      <c r="M251" s="380">
        <f ca="1">IF($A251="S",VTOTALBM,IF($A251=0,0,ROUND(SomaAgrupBM,15-13*ORÇAMENTO!$AF$11)))</f>
        <v>0</v>
      </c>
      <c r="N251" s="381">
        <f t="shared" ca="1" si="25"/>
        <v>0</v>
      </c>
      <c r="O251" s="127">
        <f ca="1">IF($A251="S",VTOTALBM,IF($A251=0,0,ROUND(SomaAgrupBM,15-13*ORÇAMENTO!$AF$11)))</f>
        <v>0</v>
      </c>
      <c r="Q251" s="382"/>
      <c r="R251" s="383"/>
      <c r="T251" s="119" t="str">
        <f t="shared" ca="1" si="26"/>
        <v/>
      </c>
      <c r="U251" s="172" t="str">
        <f t="shared" ca="1" si="27"/>
        <v/>
      </c>
      <c r="V251" s="173" t="str">
        <f ca="1">IF(AND($W251&gt;0,RegimeExecucao="Unitário"),$F251,"")</f>
        <v/>
      </c>
      <c r="W251" s="547">
        <f ca="1">IF($Y251&gt;0,CHOOSE(MATCH(RegimeExecucao,{"Unitário","Global"},0),IF($A251="S",$Y251/$X251,""),($Y251/$X251)*100),0)</f>
        <v>0</v>
      </c>
      <c r="X251" s="384" t="str">
        <f ca="1">IF($Y251&gt;0,CHOOSE(MATCH(RegimeExecucao,{"Unitário","Global"},0),IF($A251="S",ROUND($H251,ORÇAMENTO!$AF$10),""),ROUND($I251,ORÇAMENTO!$AF$11)),"")</f>
        <v/>
      </c>
      <c r="Y251" s="384">
        <f t="shared" ca="1" si="28"/>
        <v>0</v>
      </c>
      <c r="Z251" s="572"/>
      <c r="AB251" s="382"/>
      <c r="AC251" s="516"/>
      <c r="AD251" s="516"/>
      <c r="AE251" s="516"/>
      <c r="AF251" s="516"/>
      <c r="AG251" s="516"/>
      <c r="AH251" s="516"/>
      <c r="AI251" s="516"/>
      <c r="AJ251" s="516"/>
      <c r="AK251" s="516"/>
      <c r="AL251" s="516"/>
      <c r="AM251" s="383"/>
      <c r="AO251">
        <f ca="1">IF($A251="S",IF(BM!$I251=0,0,CHOOSE(MATCH(RegimeExecucao,{"Global","Unitário"},0),ROUND(ROUND(BM.MEDAcumulado,15-13*BM!$A$9)/100*BM!$I251,15-13*ORÇAMENTO!$AF$11),ROUND(ROUND(BM.MEDAcumulado,15-13*BM!$A$9)*ROUND(BM!$H251,15-13*ORÇAMENTO!$AF$10),15-13*ORÇAMENTO!$AF$11))),IF($A251=0,0,ROUND(SomaAgrupBM,15-13*ORÇAMENTO!$AF$11)))</f>
        <v>0</v>
      </c>
    </row>
    <row r="252" spans="1:41" ht="25.5" x14ac:dyDescent="0.2">
      <c r="A252" t="str">
        <f ca="1">ORÇAMENTO!C252</f>
        <v>S</v>
      </c>
      <c r="B252">
        <f ca="1">ORÇAMENTO!D252</f>
        <v>0</v>
      </c>
      <c r="C252" s="116" t="str">
        <f t="shared" ca="1" si="22"/>
        <v/>
      </c>
      <c r="D252" s="119" t="str">
        <f ca="1">ORÇAMENTO!O252</f>
        <v>-</v>
      </c>
      <c r="E252" s="172" t="str">
        <f t="shared" ca="1" si="23"/>
        <v>(abra o arquivo 'Referência 02-2025.xlsm)</v>
      </c>
      <c r="F252" s="173" t="str">
        <f ca="1">IF(RegimeExecucao="Global","",ORÇAMENTO.Unidade)</f>
        <v>-</v>
      </c>
      <c r="G252" s="124">
        <f ca="1">IF(RegimeExecucao="Global","",ORÇAMENTO!T252)</f>
        <v>481.05</v>
      </c>
      <c r="H252" s="124">
        <f ca="1">IF(RegimeExecucao="Global","",ORÇAMENTO!W252)</f>
        <v>0</v>
      </c>
      <c r="I252" s="127">
        <f ca="1">ORÇAMENTO!X252</f>
        <v>0</v>
      </c>
      <c r="J252" s="378">
        <f ca="1">IF($A252="S",IF(CAIXA.Modo,BM.AFAnterior,BM.MEDAnterior),IF(AND(RegimeExecucao="Global",$I252&gt;0,COUNTIF($AB$13:$AM$13,BM.medicao-1)&gt;0),M252/$I252*100,0))</f>
        <v>0</v>
      </c>
      <c r="K252" s="124">
        <f t="shared" ca="1" si="24"/>
        <v>0</v>
      </c>
      <c r="L252" s="379">
        <f ca="1">IF($A252="S",IF(CAIXA.Modo,BM.AFAcumulado,BM.MEDAcumulado),IF(AND(RegimeExecucao="Global",$I252&gt;0,COUNTIF($AB$13:$AM$13,BM.medicao)&gt;0),O252/$I252*100,0))</f>
        <v>0</v>
      </c>
      <c r="M252" s="380">
        <f ca="1">IF($A252="S",VTOTALBM,IF($A252=0,0,ROUND(SomaAgrupBM,15-13*ORÇAMENTO!$AF$11)))</f>
        <v>0</v>
      </c>
      <c r="N252" s="381">
        <f t="shared" ca="1" si="25"/>
        <v>0</v>
      </c>
      <c r="O252" s="127">
        <f ca="1">IF($A252="S",VTOTALBM,IF($A252=0,0,ROUND(SomaAgrupBM,15-13*ORÇAMENTO!$AF$11)))</f>
        <v>0</v>
      </c>
      <c r="Q252" s="382"/>
      <c r="R252" s="383"/>
      <c r="T252" s="119" t="str">
        <f t="shared" ca="1" si="26"/>
        <v/>
      </c>
      <c r="U252" s="172" t="str">
        <f t="shared" ca="1" si="27"/>
        <v/>
      </c>
      <c r="V252" s="173" t="str">
        <f ca="1">IF(AND($W252&gt;0,RegimeExecucao="Unitário"),$F252,"")</f>
        <v/>
      </c>
      <c r="W252" s="547">
        <f ca="1">IF($Y252&gt;0,CHOOSE(MATCH(RegimeExecucao,{"Unitário","Global"},0),IF($A252="S",$Y252/$X252,""),($Y252/$X252)*100),0)</f>
        <v>0</v>
      </c>
      <c r="X252" s="384" t="str">
        <f ca="1">IF($Y252&gt;0,CHOOSE(MATCH(RegimeExecucao,{"Unitário","Global"},0),IF($A252="S",ROUND($H252,ORÇAMENTO!$AF$10),""),ROUND($I252,ORÇAMENTO!$AF$11)),"")</f>
        <v/>
      </c>
      <c r="Y252" s="384">
        <f t="shared" ca="1" si="28"/>
        <v>0</v>
      </c>
      <c r="Z252" s="572"/>
      <c r="AB252" s="382"/>
      <c r="AC252" s="516"/>
      <c r="AD252" s="516"/>
      <c r="AE252" s="516"/>
      <c r="AF252" s="516"/>
      <c r="AG252" s="516"/>
      <c r="AH252" s="516"/>
      <c r="AI252" s="516"/>
      <c r="AJ252" s="516"/>
      <c r="AK252" s="516"/>
      <c r="AL252" s="516"/>
      <c r="AM252" s="383"/>
      <c r="AO252">
        <f ca="1">IF($A252="S",IF(BM!$I252=0,0,CHOOSE(MATCH(RegimeExecucao,{"Global","Unitário"},0),ROUND(ROUND(BM.MEDAcumulado,15-13*BM!$A$9)/100*BM!$I252,15-13*ORÇAMENTO!$AF$11),ROUND(ROUND(BM.MEDAcumulado,15-13*BM!$A$9)*ROUND(BM!$H252,15-13*ORÇAMENTO!$AF$10),15-13*ORÇAMENTO!$AF$11))),IF($A252=0,0,ROUND(SomaAgrupBM,15-13*ORÇAMENTO!$AF$11)))</f>
        <v>0</v>
      </c>
    </row>
    <row r="253" spans="1:41" ht="25.5" x14ac:dyDescent="0.2">
      <c r="A253" t="str">
        <f ca="1">ORÇAMENTO!C253</f>
        <v>S</v>
      </c>
      <c r="B253">
        <f ca="1">ORÇAMENTO!D253</f>
        <v>0</v>
      </c>
      <c r="C253" s="116" t="str">
        <f t="shared" ca="1" si="22"/>
        <v/>
      </c>
      <c r="D253" s="119" t="str">
        <f ca="1">ORÇAMENTO!O253</f>
        <v>-</v>
      </c>
      <c r="E253" s="172" t="str">
        <f t="shared" ca="1" si="23"/>
        <v>(abra o arquivo 'Referência 02-2025.xlsm)</v>
      </c>
      <c r="F253" s="173" t="str">
        <f ca="1">IF(RegimeExecucao="Global","",ORÇAMENTO.Unidade)</f>
        <v>-</v>
      </c>
      <c r="G253" s="124">
        <f ca="1">IF(RegimeExecucao="Global","",ORÇAMENTO!T253)</f>
        <v>481.05</v>
      </c>
      <c r="H253" s="124">
        <f ca="1">IF(RegimeExecucao="Global","",ORÇAMENTO!W253)</f>
        <v>0</v>
      </c>
      <c r="I253" s="127">
        <f ca="1">ORÇAMENTO!X253</f>
        <v>0</v>
      </c>
      <c r="J253" s="378">
        <f ca="1">IF($A253="S",IF(CAIXA.Modo,BM.AFAnterior,BM.MEDAnterior),IF(AND(RegimeExecucao="Global",$I253&gt;0,COUNTIF($AB$13:$AM$13,BM.medicao-1)&gt;0),M253/$I253*100,0))</f>
        <v>0</v>
      </c>
      <c r="K253" s="124">
        <f t="shared" ca="1" si="24"/>
        <v>0</v>
      </c>
      <c r="L253" s="379">
        <f ca="1">IF($A253="S",IF(CAIXA.Modo,BM.AFAcumulado,BM.MEDAcumulado),IF(AND(RegimeExecucao="Global",$I253&gt;0,COUNTIF($AB$13:$AM$13,BM.medicao)&gt;0),O253/$I253*100,0))</f>
        <v>0</v>
      </c>
      <c r="M253" s="380">
        <f ca="1">IF($A253="S",VTOTALBM,IF($A253=0,0,ROUND(SomaAgrupBM,15-13*ORÇAMENTO!$AF$11)))</f>
        <v>0</v>
      </c>
      <c r="N253" s="381">
        <f t="shared" ca="1" si="25"/>
        <v>0</v>
      </c>
      <c r="O253" s="127">
        <f ca="1">IF($A253="S",VTOTALBM,IF($A253=0,0,ROUND(SomaAgrupBM,15-13*ORÇAMENTO!$AF$11)))</f>
        <v>0</v>
      </c>
      <c r="Q253" s="382"/>
      <c r="R253" s="383"/>
      <c r="T253" s="119" t="str">
        <f t="shared" ca="1" si="26"/>
        <v/>
      </c>
      <c r="U253" s="172" t="str">
        <f t="shared" ca="1" si="27"/>
        <v/>
      </c>
      <c r="V253" s="173" t="str">
        <f ca="1">IF(AND($W253&gt;0,RegimeExecucao="Unitário"),$F253,"")</f>
        <v/>
      </c>
      <c r="W253" s="547">
        <f ca="1">IF($Y253&gt;0,CHOOSE(MATCH(RegimeExecucao,{"Unitário","Global"},0),IF($A253="S",$Y253/$X253,""),($Y253/$X253)*100),0)</f>
        <v>0</v>
      </c>
      <c r="X253" s="384" t="str">
        <f ca="1">IF($Y253&gt;0,CHOOSE(MATCH(RegimeExecucao,{"Unitário","Global"},0),IF($A253="S",ROUND($H253,ORÇAMENTO!$AF$10),""),ROUND($I253,ORÇAMENTO!$AF$11)),"")</f>
        <v/>
      </c>
      <c r="Y253" s="384">
        <f t="shared" ca="1" si="28"/>
        <v>0</v>
      </c>
      <c r="Z253" s="572"/>
      <c r="AB253" s="382"/>
      <c r="AC253" s="516"/>
      <c r="AD253" s="516"/>
      <c r="AE253" s="516"/>
      <c r="AF253" s="516"/>
      <c r="AG253" s="516"/>
      <c r="AH253" s="516"/>
      <c r="AI253" s="516"/>
      <c r="AJ253" s="516"/>
      <c r="AK253" s="516"/>
      <c r="AL253" s="516"/>
      <c r="AM253" s="383"/>
      <c r="AO253">
        <f ca="1">IF($A253="S",IF(BM!$I253=0,0,CHOOSE(MATCH(RegimeExecucao,{"Global","Unitário"},0),ROUND(ROUND(BM.MEDAcumulado,15-13*BM!$A$9)/100*BM!$I253,15-13*ORÇAMENTO!$AF$11),ROUND(ROUND(BM.MEDAcumulado,15-13*BM!$A$9)*ROUND(BM!$H253,15-13*ORÇAMENTO!$AF$10),15-13*ORÇAMENTO!$AF$11))),IF($A253=0,0,ROUND(SomaAgrupBM,15-13*ORÇAMENTO!$AF$11)))</f>
        <v>0</v>
      </c>
    </row>
    <row r="254" spans="1:41" x14ac:dyDescent="0.2">
      <c r="A254">
        <f ca="1">ORÇAMENTO!C254</f>
        <v>3</v>
      </c>
      <c r="B254">
        <f ca="1">ORÇAMENTO!D254</f>
        <v>4</v>
      </c>
      <c r="C254" s="116" t="str">
        <f t="shared" ca="1" si="22"/>
        <v>F</v>
      </c>
      <c r="D254" s="119" t="str">
        <f ca="1">ORÇAMENTO!O254</f>
        <v>1.11.3.</v>
      </c>
      <c r="E254" s="172" t="str">
        <f t="shared" ca="1" si="23"/>
        <v>PISO - ESTACIONAMENTO</v>
      </c>
      <c r="F254" s="173" t="str">
        <f ca="1">IF(RegimeExecucao="Global","",ORÇAMENTO.Unidade)</f>
        <v>-</v>
      </c>
      <c r="G254" s="124">
        <f ca="1">IF(RegimeExecucao="Global","",ORÇAMENTO!T254)</f>
        <v>0</v>
      </c>
      <c r="H254" s="124">
        <f ca="1">IF(RegimeExecucao="Global","",ORÇAMENTO!W254)</f>
        <v>0</v>
      </c>
      <c r="I254" s="127">
        <f ca="1">ORÇAMENTO!X254</f>
        <v>0</v>
      </c>
      <c r="J254" s="378">
        <f ca="1">IF($A254="S",IF(CAIXA.Modo,BM.AFAnterior,BM.MEDAnterior),IF(AND(RegimeExecucao="Global",$I254&gt;0,COUNTIF($AB$13:$AM$13,BM.medicao-1)&gt;0),M254/$I254*100,0))</f>
        <v>0</v>
      </c>
      <c r="K254" s="124">
        <f t="shared" ca="1" si="24"/>
        <v>0</v>
      </c>
      <c r="L254" s="379">
        <f ca="1">IF($A254="S",IF(CAIXA.Modo,BM.AFAcumulado,BM.MEDAcumulado),IF(AND(RegimeExecucao="Global",$I254&gt;0,COUNTIF($AB$13:$AM$13,BM.medicao)&gt;0),O254/$I254*100,0))</f>
        <v>0</v>
      </c>
      <c r="M254" s="380">
        <f ca="1">IF($A254="S",VTOTALBM,IF($A254=0,0,ROUND(SomaAgrupBM,15-13*ORÇAMENTO!$AF$11)))</f>
        <v>0</v>
      </c>
      <c r="N254" s="381">
        <f t="shared" ca="1" si="25"/>
        <v>0</v>
      </c>
      <c r="O254" s="127">
        <f ca="1">IF($A254="S",VTOTALBM,IF($A254=0,0,ROUND(SomaAgrupBM,15-13*ORÇAMENTO!$AF$11)))</f>
        <v>0</v>
      </c>
      <c r="Q254" s="382"/>
      <c r="R254" s="383"/>
      <c r="T254" s="119" t="str">
        <f t="shared" ca="1" si="26"/>
        <v/>
      </c>
      <c r="U254" s="172" t="str">
        <f t="shared" ca="1" si="27"/>
        <v/>
      </c>
      <c r="V254" s="173" t="str">
        <f ca="1">IF(AND($W254&gt;0,RegimeExecucao="Unitário"),$F254,"")</f>
        <v/>
      </c>
      <c r="W254" s="547">
        <f ca="1">IF($Y254&gt;0,CHOOSE(MATCH(RegimeExecucao,{"Unitário","Global"},0),IF($A254="S",$Y254/$X254,""),($Y254/$X254)*100),0)</f>
        <v>0</v>
      </c>
      <c r="X254" s="384" t="str">
        <f ca="1">IF($Y254&gt;0,CHOOSE(MATCH(RegimeExecucao,{"Unitário","Global"},0),IF($A254="S",ROUND($H254,ORÇAMENTO!$AF$10),""),ROUND($I254,ORÇAMENTO!$AF$11)),"")</f>
        <v/>
      </c>
      <c r="Y254" s="384">
        <f t="shared" ca="1" si="28"/>
        <v>0</v>
      </c>
      <c r="Z254" s="572"/>
      <c r="AB254" s="382"/>
      <c r="AC254" s="516"/>
      <c r="AD254" s="516"/>
      <c r="AE254" s="516"/>
      <c r="AF254" s="516"/>
      <c r="AG254" s="516"/>
      <c r="AH254" s="516"/>
      <c r="AI254" s="516"/>
      <c r="AJ254" s="516"/>
      <c r="AK254" s="516"/>
      <c r="AL254" s="516"/>
      <c r="AM254" s="383"/>
      <c r="AO254">
        <f ca="1">IF($A254="S",IF(BM!$I254=0,0,CHOOSE(MATCH(RegimeExecucao,{"Global","Unitário"},0),ROUND(ROUND(BM.MEDAcumulado,15-13*BM!$A$9)/100*BM!$I254,15-13*ORÇAMENTO!$AF$11),ROUND(ROUND(BM.MEDAcumulado,15-13*BM!$A$9)*ROUND(BM!$H254,15-13*ORÇAMENTO!$AF$10),15-13*ORÇAMENTO!$AF$11))),IF($A254=0,0,ROUND(SomaAgrupBM,15-13*ORÇAMENTO!$AF$11)))</f>
        <v>0</v>
      </c>
    </row>
    <row r="255" spans="1:41" ht="25.5" x14ac:dyDescent="0.2">
      <c r="A255" t="str">
        <f ca="1">ORÇAMENTO!C255</f>
        <v>S</v>
      </c>
      <c r="B255">
        <f ca="1">ORÇAMENTO!D255</f>
        <v>0</v>
      </c>
      <c r="C255" s="116" t="str">
        <f t="shared" ca="1" si="22"/>
        <v/>
      </c>
      <c r="D255" s="119" t="str">
        <f ca="1">ORÇAMENTO!O255</f>
        <v>-</v>
      </c>
      <c r="E255" s="172" t="str">
        <f t="shared" ca="1" si="23"/>
        <v>(abra o arquivo 'Referência 02-2025.xlsm)</v>
      </c>
      <c r="F255" s="173" t="str">
        <f ca="1">IF(RegimeExecucao="Global","",ORÇAMENTO.Unidade)</f>
        <v>-</v>
      </c>
      <c r="G255" s="124">
        <f ca="1">IF(RegimeExecucao="Global","",ORÇAMENTO!T255)</f>
        <v>3.32</v>
      </c>
      <c r="H255" s="124">
        <f ca="1">IF(RegimeExecucao="Global","",ORÇAMENTO!W255)</f>
        <v>0</v>
      </c>
      <c r="I255" s="127">
        <f ca="1">ORÇAMENTO!X255</f>
        <v>0</v>
      </c>
      <c r="J255" s="378">
        <f ca="1">IF($A255="S",IF(CAIXA.Modo,BM.AFAnterior,BM.MEDAnterior),IF(AND(RegimeExecucao="Global",$I255&gt;0,COUNTIF($AB$13:$AM$13,BM.medicao-1)&gt;0),M255/$I255*100,0))</f>
        <v>0</v>
      </c>
      <c r="K255" s="124">
        <f t="shared" ca="1" si="24"/>
        <v>0</v>
      </c>
      <c r="L255" s="379">
        <f ca="1">IF($A255="S",IF(CAIXA.Modo,BM.AFAcumulado,BM.MEDAcumulado),IF(AND(RegimeExecucao="Global",$I255&gt;0,COUNTIF($AB$13:$AM$13,BM.medicao)&gt;0),O255/$I255*100,0))</f>
        <v>0</v>
      </c>
      <c r="M255" s="380">
        <f ca="1">IF($A255="S",VTOTALBM,IF($A255=0,0,ROUND(SomaAgrupBM,15-13*ORÇAMENTO!$AF$11)))</f>
        <v>0</v>
      </c>
      <c r="N255" s="381">
        <f t="shared" ca="1" si="25"/>
        <v>0</v>
      </c>
      <c r="O255" s="127">
        <f ca="1">IF($A255="S",VTOTALBM,IF($A255=0,0,ROUND(SomaAgrupBM,15-13*ORÇAMENTO!$AF$11)))</f>
        <v>0</v>
      </c>
      <c r="Q255" s="382"/>
      <c r="R255" s="383"/>
      <c r="T255" s="119" t="str">
        <f t="shared" ca="1" si="26"/>
        <v/>
      </c>
      <c r="U255" s="172" t="str">
        <f t="shared" ca="1" si="27"/>
        <v/>
      </c>
      <c r="V255" s="173" t="str">
        <f ca="1">IF(AND($W255&gt;0,RegimeExecucao="Unitário"),$F255,"")</f>
        <v/>
      </c>
      <c r="W255" s="547">
        <f ca="1">IF($Y255&gt;0,CHOOSE(MATCH(RegimeExecucao,{"Unitário","Global"},0),IF($A255="S",$Y255/$X255,""),($Y255/$X255)*100),0)</f>
        <v>0</v>
      </c>
      <c r="X255" s="384" t="str">
        <f ca="1">IF($Y255&gt;0,CHOOSE(MATCH(RegimeExecucao,{"Unitário","Global"},0),IF($A255="S",ROUND($H255,ORÇAMENTO!$AF$10),""),ROUND($I255,ORÇAMENTO!$AF$11)),"")</f>
        <v/>
      </c>
      <c r="Y255" s="384">
        <f t="shared" ca="1" si="28"/>
        <v>0</v>
      </c>
      <c r="Z255" s="572"/>
      <c r="AB255" s="382"/>
      <c r="AC255" s="516"/>
      <c r="AD255" s="516"/>
      <c r="AE255" s="516"/>
      <c r="AF255" s="516"/>
      <c r="AG255" s="516"/>
      <c r="AH255" s="516"/>
      <c r="AI255" s="516"/>
      <c r="AJ255" s="516"/>
      <c r="AK255" s="516"/>
      <c r="AL255" s="516"/>
      <c r="AM255" s="383"/>
      <c r="AO255">
        <f ca="1">IF($A255="S",IF(BM!$I255=0,0,CHOOSE(MATCH(RegimeExecucao,{"Global","Unitário"},0),ROUND(ROUND(BM.MEDAcumulado,15-13*BM!$A$9)/100*BM!$I255,15-13*ORÇAMENTO!$AF$11),ROUND(ROUND(BM.MEDAcumulado,15-13*BM!$A$9)*ROUND(BM!$H255,15-13*ORÇAMENTO!$AF$10),15-13*ORÇAMENTO!$AF$11))),IF($A255=0,0,ROUND(SomaAgrupBM,15-13*ORÇAMENTO!$AF$11)))</f>
        <v>0</v>
      </c>
    </row>
    <row r="256" spans="1:41" ht="25.5" x14ac:dyDescent="0.2">
      <c r="A256" t="str">
        <f ca="1">ORÇAMENTO!C256</f>
        <v>S</v>
      </c>
      <c r="B256">
        <f ca="1">ORÇAMENTO!D256</f>
        <v>0</v>
      </c>
      <c r="C256" s="116" t="str">
        <f t="shared" ca="1" si="22"/>
        <v/>
      </c>
      <c r="D256" s="119" t="str">
        <f ca="1">ORÇAMENTO!O256</f>
        <v>-</v>
      </c>
      <c r="E256" s="172" t="str">
        <f t="shared" ca="1" si="23"/>
        <v>(abra o arquivo 'Referência 02-2025.xlsm)</v>
      </c>
      <c r="F256" s="173" t="str">
        <f ca="1">IF(RegimeExecucao="Global","",ORÇAMENTO.Unidade)</f>
        <v>-</v>
      </c>
      <c r="G256" s="124">
        <f ca="1">IF(RegimeExecucao="Global","",ORÇAMENTO!T256)</f>
        <v>2.4900000000000002</v>
      </c>
      <c r="H256" s="124">
        <f ca="1">IF(RegimeExecucao="Global","",ORÇAMENTO!W256)</f>
        <v>0</v>
      </c>
      <c r="I256" s="127">
        <f ca="1">ORÇAMENTO!X256</f>
        <v>0</v>
      </c>
      <c r="J256" s="378">
        <f ca="1">IF($A256="S",IF(CAIXA.Modo,BM.AFAnterior,BM.MEDAnterior),IF(AND(RegimeExecucao="Global",$I256&gt;0,COUNTIF($AB$13:$AM$13,BM.medicao-1)&gt;0),M256/$I256*100,0))</f>
        <v>0</v>
      </c>
      <c r="K256" s="124">
        <f t="shared" ca="1" si="24"/>
        <v>0</v>
      </c>
      <c r="L256" s="379">
        <f ca="1">IF($A256="S",IF(CAIXA.Modo,BM.AFAcumulado,BM.MEDAcumulado),IF(AND(RegimeExecucao="Global",$I256&gt;0,COUNTIF($AB$13:$AM$13,BM.medicao)&gt;0),O256/$I256*100,0))</f>
        <v>0</v>
      </c>
      <c r="M256" s="380">
        <f ca="1">IF($A256="S",VTOTALBM,IF($A256=0,0,ROUND(SomaAgrupBM,15-13*ORÇAMENTO!$AF$11)))</f>
        <v>0</v>
      </c>
      <c r="N256" s="381">
        <f t="shared" ca="1" si="25"/>
        <v>0</v>
      </c>
      <c r="O256" s="127">
        <f ca="1">IF($A256="S",VTOTALBM,IF($A256=0,0,ROUND(SomaAgrupBM,15-13*ORÇAMENTO!$AF$11)))</f>
        <v>0</v>
      </c>
      <c r="Q256" s="382"/>
      <c r="R256" s="383"/>
      <c r="T256" s="119" t="str">
        <f t="shared" ca="1" si="26"/>
        <v/>
      </c>
      <c r="U256" s="172" t="str">
        <f t="shared" ca="1" si="27"/>
        <v/>
      </c>
      <c r="V256" s="173" t="str">
        <f ca="1">IF(AND($W256&gt;0,RegimeExecucao="Unitário"),$F256,"")</f>
        <v/>
      </c>
      <c r="W256" s="547">
        <f ca="1">IF($Y256&gt;0,CHOOSE(MATCH(RegimeExecucao,{"Unitário","Global"},0),IF($A256="S",$Y256/$X256,""),($Y256/$X256)*100),0)</f>
        <v>0</v>
      </c>
      <c r="X256" s="384" t="str">
        <f ca="1">IF($Y256&gt;0,CHOOSE(MATCH(RegimeExecucao,{"Unitário","Global"},0),IF($A256="S",ROUND($H256,ORÇAMENTO!$AF$10),""),ROUND($I256,ORÇAMENTO!$AF$11)),"")</f>
        <v/>
      </c>
      <c r="Y256" s="384">
        <f t="shared" ca="1" si="28"/>
        <v>0</v>
      </c>
      <c r="Z256" s="572"/>
      <c r="AB256" s="382"/>
      <c r="AC256" s="516"/>
      <c r="AD256" s="516"/>
      <c r="AE256" s="516"/>
      <c r="AF256" s="516"/>
      <c r="AG256" s="516"/>
      <c r="AH256" s="516"/>
      <c r="AI256" s="516"/>
      <c r="AJ256" s="516"/>
      <c r="AK256" s="516"/>
      <c r="AL256" s="516"/>
      <c r="AM256" s="383"/>
      <c r="AO256">
        <f ca="1">IF($A256="S",IF(BM!$I256=0,0,CHOOSE(MATCH(RegimeExecucao,{"Global","Unitário"},0),ROUND(ROUND(BM.MEDAcumulado,15-13*BM!$A$9)/100*BM!$I256,15-13*ORÇAMENTO!$AF$11),ROUND(ROUND(BM.MEDAcumulado,15-13*BM!$A$9)*ROUND(BM!$H256,15-13*ORÇAMENTO!$AF$10),15-13*ORÇAMENTO!$AF$11))),IF($A256=0,0,ROUND(SomaAgrupBM,15-13*ORÇAMENTO!$AF$11)))</f>
        <v>0</v>
      </c>
    </row>
    <row r="257" spans="1:41" ht="25.5" x14ac:dyDescent="0.2">
      <c r="A257" t="str">
        <f ca="1">ORÇAMENTO!C257</f>
        <v>S</v>
      </c>
      <c r="B257">
        <f ca="1">ORÇAMENTO!D257</f>
        <v>0</v>
      </c>
      <c r="C257" s="116" t="str">
        <f t="shared" ca="1" si="22"/>
        <v/>
      </c>
      <c r="D257" s="119" t="str">
        <f ca="1">ORÇAMENTO!O257</f>
        <v>-</v>
      </c>
      <c r="E257" s="172" t="str">
        <f t="shared" ca="1" si="23"/>
        <v>(abra o arquivo 'Referência 02-2025.xlsm)</v>
      </c>
      <c r="F257" s="173" t="str">
        <f ca="1">IF(RegimeExecucao="Global","",ORÇAMENTO.Unidade)</f>
        <v>-</v>
      </c>
      <c r="G257" s="124">
        <f ca="1">IF(RegimeExecucao="Global","",ORÇAMENTO!T257)</f>
        <v>2.65</v>
      </c>
      <c r="H257" s="124">
        <f ca="1">IF(RegimeExecucao="Global","",ORÇAMENTO!W257)</f>
        <v>0</v>
      </c>
      <c r="I257" s="127">
        <f ca="1">ORÇAMENTO!X257</f>
        <v>0</v>
      </c>
      <c r="J257" s="378">
        <f ca="1">IF($A257="S",IF(CAIXA.Modo,BM.AFAnterior,BM.MEDAnterior),IF(AND(RegimeExecucao="Global",$I257&gt;0,COUNTIF($AB$13:$AM$13,BM.medicao-1)&gt;0),M257/$I257*100,0))</f>
        <v>0</v>
      </c>
      <c r="K257" s="124">
        <f t="shared" ca="1" si="24"/>
        <v>0</v>
      </c>
      <c r="L257" s="379">
        <f ca="1">IF($A257="S",IF(CAIXA.Modo,BM.AFAcumulado,BM.MEDAcumulado),IF(AND(RegimeExecucao="Global",$I257&gt;0,COUNTIF($AB$13:$AM$13,BM.medicao)&gt;0),O257/$I257*100,0))</f>
        <v>0</v>
      </c>
      <c r="M257" s="380">
        <f ca="1">IF($A257="S",VTOTALBM,IF($A257=0,0,ROUND(SomaAgrupBM,15-13*ORÇAMENTO!$AF$11)))</f>
        <v>0</v>
      </c>
      <c r="N257" s="381">
        <f t="shared" ca="1" si="25"/>
        <v>0</v>
      </c>
      <c r="O257" s="127">
        <f ca="1">IF($A257="S",VTOTALBM,IF($A257=0,0,ROUND(SomaAgrupBM,15-13*ORÇAMENTO!$AF$11)))</f>
        <v>0</v>
      </c>
      <c r="Q257" s="382"/>
      <c r="R257" s="383"/>
      <c r="T257" s="119" t="str">
        <f t="shared" ca="1" si="26"/>
        <v/>
      </c>
      <c r="U257" s="172" t="str">
        <f t="shared" ca="1" si="27"/>
        <v/>
      </c>
      <c r="V257" s="173" t="str">
        <f ca="1">IF(AND($W257&gt;0,RegimeExecucao="Unitário"),$F257,"")</f>
        <v/>
      </c>
      <c r="W257" s="547">
        <f ca="1">IF($Y257&gt;0,CHOOSE(MATCH(RegimeExecucao,{"Unitário","Global"},0),IF($A257="S",$Y257/$X257,""),($Y257/$X257)*100),0)</f>
        <v>0</v>
      </c>
      <c r="X257" s="384" t="str">
        <f ca="1">IF($Y257&gt;0,CHOOSE(MATCH(RegimeExecucao,{"Unitário","Global"},0),IF($A257="S",ROUND($H257,ORÇAMENTO!$AF$10),""),ROUND($I257,ORÇAMENTO!$AF$11)),"")</f>
        <v/>
      </c>
      <c r="Y257" s="384">
        <f t="shared" ca="1" si="28"/>
        <v>0</v>
      </c>
      <c r="Z257" s="572"/>
      <c r="AB257" s="382"/>
      <c r="AC257" s="516"/>
      <c r="AD257" s="516"/>
      <c r="AE257" s="516"/>
      <c r="AF257" s="516"/>
      <c r="AG257" s="516"/>
      <c r="AH257" s="516"/>
      <c r="AI257" s="516"/>
      <c r="AJ257" s="516"/>
      <c r="AK257" s="516"/>
      <c r="AL257" s="516"/>
      <c r="AM257" s="383"/>
      <c r="AO257">
        <f ca="1">IF($A257="S",IF(BM!$I257=0,0,CHOOSE(MATCH(RegimeExecucao,{"Global","Unitário"},0),ROUND(ROUND(BM.MEDAcumulado,15-13*BM!$A$9)/100*BM!$I257,15-13*ORÇAMENTO!$AF$11),ROUND(ROUND(BM.MEDAcumulado,15-13*BM!$A$9)*ROUND(BM!$H257,15-13*ORÇAMENTO!$AF$10),15-13*ORÇAMENTO!$AF$11))),IF($A257=0,0,ROUND(SomaAgrupBM,15-13*ORÇAMENTO!$AF$11)))</f>
        <v>0</v>
      </c>
    </row>
    <row r="258" spans="1:41" x14ac:dyDescent="0.2">
      <c r="A258">
        <f ca="1">ORÇAMENTO!C258</f>
        <v>3</v>
      </c>
      <c r="B258">
        <f ca="1">ORÇAMENTO!D258</f>
        <v>8</v>
      </c>
      <c r="C258" s="116" t="str">
        <f t="shared" ca="1" si="22"/>
        <v>F</v>
      </c>
      <c r="D258" s="119" t="str">
        <f ca="1">ORÇAMENTO!O258</f>
        <v>1.11.4.</v>
      </c>
      <c r="E258" s="172" t="str">
        <f t="shared" ca="1" si="23"/>
        <v>PISO PLAYGROUND</v>
      </c>
      <c r="F258" s="173" t="str">
        <f ca="1">IF(RegimeExecucao="Global","",ORÇAMENTO.Unidade)</f>
        <v>-</v>
      </c>
      <c r="G258" s="124">
        <f ca="1">IF(RegimeExecucao="Global","",ORÇAMENTO!T258)</f>
        <v>0</v>
      </c>
      <c r="H258" s="124">
        <f ca="1">IF(RegimeExecucao="Global","",ORÇAMENTO!W258)</f>
        <v>0</v>
      </c>
      <c r="I258" s="127">
        <f ca="1">ORÇAMENTO!X258</f>
        <v>0</v>
      </c>
      <c r="J258" s="378">
        <f ca="1">IF($A258="S",IF(CAIXA.Modo,BM.AFAnterior,BM.MEDAnterior),IF(AND(RegimeExecucao="Global",$I258&gt;0,COUNTIF($AB$13:$AM$13,BM.medicao-1)&gt;0),M258/$I258*100,0))</f>
        <v>0</v>
      </c>
      <c r="K258" s="124">
        <f t="shared" ca="1" si="24"/>
        <v>0</v>
      </c>
      <c r="L258" s="379">
        <f ca="1">IF($A258="S",IF(CAIXA.Modo,BM.AFAcumulado,BM.MEDAcumulado),IF(AND(RegimeExecucao="Global",$I258&gt;0,COUNTIF($AB$13:$AM$13,BM.medicao)&gt;0),O258/$I258*100,0))</f>
        <v>0</v>
      </c>
      <c r="M258" s="380">
        <f ca="1">IF($A258="S",VTOTALBM,IF($A258=0,0,ROUND(SomaAgrupBM,15-13*ORÇAMENTO!$AF$11)))</f>
        <v>0</v>
      </c>
      <c r="N258" s="381">
        <f t="shared" ca="1" si="25"/>
        <v>0</v>
      </c>
      <c r="O258" s="127">
        <f ca="1">IF($A258="S",VTOTALBM,IF($A258=0,0,ROUND(SomaAgrupBM,15-13*ORÇAMENTO!$AF$11)))</f>
        <v>0</v>
      </c>
      <c r="Q258" s="382"/>
      <c r="R258" s="383"/>
      <c r="T258" s="119" t="str">
        <f t="shared" ca="1" si="26"/>
        <v/>
      </c>
      <c r="U258" s="172" t="str">
        <f t="shared" ca="1" si="27"/>
        <v/>
      </c>
      <c r="V258" s="173" t="str">
        <f ca="1">IF(AND($W258&gt;0,RegimeExecucao="Unitário"),$F258,"")</f>
        <v/>
      </c>
      <c r="W258" s="547">
        <f ca="1">IF($Y258&gt;0,CHOOSE(MATCH(RegimeExecucao,{"Unitário","Global"},0),IF($A258="S",$Y258/$X258,""),($Y258/$X258)*100),0)</f>
        <v>0</v>
      </c>
      <c r="X258" s="384" t="str">
        <f ca="1">IF($Y258&gt;0,CHOOSE(MATCH(RegimeExecucao,{"Unitário","Global"},0),IF($A258="S",ROUND($H258,ORÇAMENTO!$AF$10),""),ROUND($I258,ORÇAMENTO!$AF$11)),"")</f>
        <v/>
      </c>
      <c r="Y258" s="384">
        <f t="shared" ca="1" si="28"/>
        <v>0</v>
      </c>
      <c r="Z258" s="572"/>
      <c r="AB258" s="382"/>
      <c r="AC258" s="516"/>
      <c r="AD258" s="516"/>
      <c r="AE258" s="516"/>
      <c r="AF258" s="516"/>
      <c r="AG258" s="516"/>
      <c r="AH258" s="516"/>
      <c r="AI258" s="516"/>
      <c r="AJ258" s="516"/>
      <c r="AK258" s="516"/>
      <c r="AL258" s="516"/>
      <c r="AM258" s="383"/>
      <c r="AO258">
        <f ca="1">IF($A258="S",IF(BM!$I258=0,0,CHOOSE(MATCH(RegimeExecucao,{"Global","Unitário"},0),ROUND(ROUND(BM.MEDAcumulado,15-13*BM!$A$9)/100*BM!$I258,15-13*ORÇAMENTO!$AF$11),ROUND(ROUND(BM.MEDAcumulado,15-13*BM!$A$9)*ROUND(BM!$H258,15-13*ORÇAMENTO!$AF$10),15-13*ORÇAMENTO!$AF$11))),IF($A258=0,0,ROUND(SomaAgrupBM,15-13*ORÇAMENTO!$AF$11)))</f>
        <v>0</v>
      </c>
    </row>
    <row r="259" spans="1:41" ht="25.5" x14ac:dyDescent="0.2">
      <c r="A259" t="str">
        <f ca="1">ORÇAMENTO!C259</f>
        <v>S</v>
      </c>
      <c r="B259">
        <f ca="1">ORÇAMENTO!D259</f>
        <v>0</v>
      </c>
      <c r="C259" s="116" t="str">
        <f t="shared" ca="1" si="22"/>
        <v/>
      </c>
      <c r="D259" s="119" t="str">
        <f ca="1">ORÇAMENTO!O259</f>
        <v>-</v>
      </c>
      <c r="E259" s="172" t="str">
        <f t="shared" ca="1" si="23"/>
        <v>(abra o arquivo 'Referência 02-2025.xlsm)</v>
      </c>
      <c r="F259" s="173" t="str">
        <f ca="1">IF(RegimeExecucao="Global","",ORÇAMENTO.Unidade)</f>
        <v>-</v>
      </c>
      <c r="G259" s="124">
        <f ca="1">IF(RegimeExecucao="Global","",ORÇAMENTO!T259)</f>
        <v>3.96</v>
      </c>
      <c r="H259" s="124">
        <f ca="1">IF(RegimeExecucao="Global","",ORÇAMENTO!W259)</f>
        <v>0</v>
      </c>
      <c r="I259" s="127">
        <f ca="1">ORÇAMENTO!X259</f>
        <v>0</v>
      </c>
      <c r="J259" s="378">
        <f ca="1">IF($A259="S",IF(CAIXA.Modo,BM.AFAnterior,BM.MEDAnterior),IF(AND(RegimeExecucao="Global",$I259&gt;0,COUNTIF($AB$13:$AM$13,BM.medicao-1)&gt;0),M259/$I259*100,0))</f>
        <v>0</v>
      </c>
      <c r="K259" s="124">
        <f t="shared" ca="1" si="24"/>
        <v>0</v>
      </c>
      <c r="L259" s="379">
        <f ca="1">IF($A259="S",IF(CAIXA.Modo,BM.AFAcumulado,BM.MEDAcumulado),IF(AND(RegimeExecucao="Global",$I259&gt;0,COUNTIF($AB$13:$AM$13,BM.medicao)&gt;0),O259/$I259*100,0))</f>
        <v>0</v>
      </c>
      <c r="M259" s="380">
        <f ca="1">IF($A259="S",VTOTALBM,IF($A259=0,0,ROUND(SomaAgrupBM,15-13*ORÇAMENTO!$AF$11)))</f>
        <v>0</v>
      </c>
      <c r="N259" s="381">
        <f t="shared" ca="1" si="25"/>
        <v>0</v>
      </c>
      <c r="O259" s="127">
        <f ca="1">IF($A259="S",VTOTALBM,IF($A259=0,0,ROUND(SomaAgrupBM,15-13*ORÇAMENTO!$AF$11)))</f>
        <v>0</v>
      </c>
      <c r="Q259" s="382"/>
      <c r="R259" s="383"/>
      <c r="T259" s="119" t="str">
        <f t="shared" ca="1" si="26"/>
        <v/>
      </c>
      <c r="U259" s="172" t="str">
        <f t="shared" ca="1" si="27"/>
        <v/>
      </c>
      <c r="V259" s="173" t="str">
        <f ca="1">IF(AND($W259&gt;0,RegimeExecucao="Unitário"),$F259,"")</f>
        <v/>
      </c>
      <c r="W259" s="547">
        <f ca="1">IF($Y259&gt;0,CHOOSE(MATCH(RegimeExecucao,{"Unitário","Global"},0),IF($A259="S",$Y259/$X259,""),($Y259/$X259)*100),0)</f>
        <v>0</v>
      </c>
      <c r="X259" s="384" t="str">
        <f ca="1">IF($Y259&gt;0,CHOOSE(MATCH(RegimeExecucao,{"Unitário","Global"},0),IF($A259="S",ROUND($H259,ORÇAMENTO!$AF$10),""),ROUND($I259,ORÇAMENTO!$AF$11)),"")</f>
        <v/>
      </c>
      <c r="Y259" s="384">
        <f t="shared" ca="1" si="28"/>
        <v>0</v>
      </c>
      <c r="Z259" s="572"/>
      <c r="AB259" s="382"/>
      <c r="AC259" s="516"/>
      <c r="AD259" s="516"/>
      <c r="AE259" s="516"/>
      <c r="AF259" s="516"/>
      <c r="AG259" s="516"/>
      <c r="AH259" s="516"/>
      <c r="AI259" s="516"/>
      <c r="AJ259" s="516"/>
      <c r="AK259" s="516"/>
      <c r="AL259" s="516"/>
      <c r="AM259" s="383"/>
      <c r="AO259">
        <f ca="1">IF($A259="S",IF(BM!$I259=0,0,CHOOSE(MATCH(RegimeExecucao,{"Global","Unitário"},0),ROUND(ROUND(BM.MEDAcumulado,15-13*BM!$A$9)/100*BM!$I259,15-13*ORÇAMENTO!$AF$11),ROUND(ROUND(BM.MEDAcumulado,15-13*BM!$A$9)*ROUND(BM!$H259,15-13*ORÇAMENTO!$AF$10),15-13*ORÇAMENTO!$AF$11))),IF($A259=0,0,ROUND(SomaAgrupBM,15-13*ORÇAMENTO!$AF$11)))</f>
        <v>0</v>
      </c>
    </row>
    <row r="260" spans="1:41" ht="25.5" x14ac:dyDescent="0.2">
      <c r="A260" t="str">
        <f ca="1">ORÇAMENTO!C260</f>
        <v>S</v>
      </c>
      <c r="B260">
        <f ca="1">ORÇAMENTO!D260</f>
        <v>0</v>
      </c>
      <c r="C260" s="116" t="str">
        <f t="shared" ca="1" si="22"/>
        <v/>
      </c>
      <c r="D260" s="119" t="str">
        <f ca="1">ORÇAMENTO!O260</f>
        <v>-</v>
      </c>
      <c r="E260" s="172" t="str">
        <f t="shared" ca="1" si="23"/>
        <v>(abra o arquivo 'Referência 02-2025.xlsm)</v>
      </c>
      <c r="F260" s="173" t="str">
        <f ca="1">IF(RegimeExecucao="Global","",ORÇAMENTO.Unidade)</f>
        <v>-</v>
      </c>
      <c r="G260" s="124">
        <f ca="1">IF(RegimeExecucao="Global","",ORÇAMENTO!T260)</f>
        <v>3.23</v>
      </c>
      <c r="H260" s="124">
        <f ca="1">IF(RegimeExecucao="Global","",ORÇAMENTO!W260)</f>
        <v>0</v>
      </c>
      <c r="I260" s="127">
        <f ca="1">ORÇAMENTO!X260</f>
        <v>0</v>
      </c>
      <c r="J260" s="378">
        <f ca="1">IF($A260="S",IF(CAIXA.Modo,BM.AFAnterior,BM.MEDAnterior),IF(AND(RegimeExecucao="Global",$I260&gt;0,COUNTIF($AB$13:$AM$13,BM.medicao-1)&gt;0),M260/$I260*100,0))</f>
        <v>0</v>
      </c>
      <c r="K260" s="124">
        <f t="shared" ca="1" si="24"/>
        <v>0</v>
      </c>
      <c r="L260" s="379">
        <f ca="1">IF($A260="S",IF(CAIXA.Modo,BM.AFAcumulado,BM.MEDAcumulado),IF(AND(RegimeExecucao="Global",$I260&gt;0,COUNTIF($AB$13:$AM$13,BM.medicao)&gt;0),O260/$I260*100,0))</f>
        <v>0</v>
      </c>
      <c r="M260" s="380">
        <f ca="1">IF($A260="S",VTOTALBM,IF($A260=0,0,ROUND(SomaAgrupBM,15-13*ORÇAMENTO!$AF$11)))</f>
        <v>0</v>
      </c>
      <c r="N260" s="381">
        <f t="shared" ca="1" si="25"/>
        <v>0</v>
      </c>
      <c r="O260" s="127">
        <f ca="1">IF($A260="S",VTOTALBM,IF($A260=0,0,ROUND(SomaAgrupBM,15-13*ORÇAMENTO!$AF$11)))</f>
        <v>0</v>
      </c>
      <c r="Q260" s="382"/>
      <c r="R260" s="383"/>
      <c r="T260" s="119" t="str">
        <f t="shared" ca="1" si="26"/>
        <v/>
      </c>
      <c r="U260" s="172" t="str">
        <f t="shared" ca="1" si="27"/>
        <v/>
      </c>
      <c r="V260" s="173" t="str">
        <f ca="1">IF(AND($W260&gt;0,RegimeExecucao="Unitário"),$F260,"")</f>
        <v/>
      </c>
      <c r="W260" s="547">
        <f ca="1">IF($Y260&gt;0,CHOOSE(MATCH(RegimeExecucao,{"Unitário","Global"},0),IF($A260="S",$Y260/$X260,""),($Y260/$X260)*100),0)</f>
        <v>0</v>
      </c>
      <c r="X260" s="384" t="str">
        <f ca="1">IF($Y260&gt;0,CHOOSE(MATCH(RegimeExecucao,{"Unitário","Global"},0),IF($A260="S",ROUND($H260,ORÇAMENTO!$AF$10),""),ROUND($I260,ORÇAMENTO!$AF$11)),"")</f>
        <v/>
      </c>
      <c r="Y260" s="384">
        <f t="shared" ca="1" si="28"/>
        <v>0</v>
      </c>
      <c r="Z260" s="572"/>
      <c r="AB260" s="382"/>
      <c r="AC260" s="516"/>
      <c r="AD260" s="516"/>
      <c r="AE260" s="516"/>
      <c r="AF260" s="516"/>
      <c r="AG260" s="516"/>
      <c r="AH260" s="516"/>
      <c r="AI260" s="516"/>
      <c r="AJ260" s="516"/>
      <c r="AK260" s="516"/>
      <c r="AL260" s="516"/>
      <c r="AM260" s="383"/>
      <c r="AO260">
        <f ca="1">IF($A260="S",IF(BM!$I260=0,0,CHOOSE(MATCH(RegimeExecucao,{"Global","Unitário"},0),ROUND(ROUND(BM.MEDAcumulado,15-13*BM!$A$9)/100*BM!$I260,15-13*ORÇAMENTO!$AF$11),ROUND(ROUND(BM.MEDAcumulado,15-13*BM!$A$9)*ROUND(BM!$H260,15-13*ORÇAMENTO!$AF$10),15-13*ORÇAMENTO!$AF$11))),IF($A260=0,0,ROUND(SomaAgrupBM,15-13*ORÇAMENTO!$AF$11)))</f>
        <v>0</v>
      </c>
    </row>
    <row r="261" spans="1:41" ht="25.5" x14ac:dyDescent="0.2">
      <c r="A261" t="str">
        <f ca="1">ORÇAMENTO!C261</f>
        <v>S</v>
      </c>
      <c r="B261">
        <f ca="1">ORÇAMENTO!D261</f>
        <v>0</v>
      </c>
      <c r="C261" s="116" t="str">
        <f t="shared" ca="1" si="22"/>
        <v/>
      </c>
      <c r="D261" s="119" t="str">
        <f ca="1">ORÇAMENTO!O261</f>
        <v>-</v>
      </c>
      <c r="E261" s="172" t="str">
        <f t="shared" ca="1" si="23"/>
        <v>(abra o arquivo 'Referência 02-2025.xlsm)</v>
      </c>
      <c r="F261" s="173" t="str">
        <f ca="1">IF(RegimeExecucao="Global","",ORÇAMENTO.Unidade)</f>
        <v>-</v>
      </c>
      <c r="G261" s="124">
        <f ca="1">IF(RegimeExecucao="Global","",ORÇAMENTO!T261)</f>
        <v>1.72</v>
      </c>
      <c r="H261" s="124">
        <f ca="1">IF(RegimeExecucao="Global","",ORÇAMENTO!W261)</f>
        <v>0</v>
      </c>
      <c r="I261" s="127">
        <f ca="1">ORÇAMENTO!X261</f>
        <v>0</v>
      </c>
      <c r="J261" s="378">
        <f ca="1">IF($A261="S",IF(CAIXA.Modo,BM.AFAnterior,BM.MEDAnterior),IF(AND(RegimeExecucao="Global",$I261&gt;0,COUNTIF($AB$13:$AM$13,BM.medicao-1)&gt;0),M261/$I261*100,0))</f>
        <v>0</v>
      </c>
      <c r="K261" s="124">
        <f t="shared" ca="1" si="24"/>
        <v>0</v>
      </c>
      <c r="L261" s="379">
        <f ca="1">IF($A261="S",IF(CAIXA.Modo,BM.AFAcumulado,BM.MEDAcumulado),IF(AND(RegimeExecucao="Global",$I261&gt;0,COUNTIF($AB$13:$AM$13,BM.medicao)&gt;0),O261/$I261*100,0))</f>
        <v>0</v>
      </c>
      <c r="M261" s="380">
        <f ca="1">IF($A261="S",VTOTALBM,IF($A261=0,0,ROUND(SomaAgrupBM,15-13*ORÇAMENTO!$AF$11)))</f>
        <v>0</v>
      </c>
      <c r="N261" s="381">
        <f t="shared" ca="1" si="25"/>
        <v>0</v>
      </c>
      <c r="O261" s="127">
        <f ca="1">IF($A261="S",VTOTALBM,IF($A261=0,0,ROUND(SomaAgrupBM,15-13*ORÇAMENTO!$AF$11)))</f>
        <v>0</v>
      </c>
      <c r="Q261" s="382"/>
      <c r="R261" s="383"/>
      <c r="T261" s="119" t="str">
        <f t="shared" ca="1" si="26"/>
        <v/>
      </c>
      <c r="U261" s="172" t="str">
        <f t="shared" ca="1" si="27"/>
        <v/>
      </c>
      <c r="V261" s="173" t="str">
        <f ca="1">IF(AND($W261&gt;0,RegimeExecucao="Unitário"),$F261,"")</f>
        <v/>
      </c>
      <c r="W261" s="547">
        <f ca="1">IF($Y261&gt;0,CHOOSE(MATCH(RegimeExecucao,{"Unitário","Global"},0),IF($A261="S",$Y261/$X261,""),($Y261/$X261)*100),0)</f>
        <v>0</v>
      </c>
      <c r="X261" s="384" t="str">
        <f ca="1">IF($Y261&gt;0,CHOOSE(MATCH(RegimeExecucao,{"Unitário","Global"},0),IF($A261="S",ROUND($H261,ORÇAMENTO!$AF$10),""),ROUND($I261,ORÇAMENTO!$AF$11)),"")</f>
        <v/>
      </c>
      <c r="Y261" s="384">
        <f t="shared" ca="1" si="28"/>
        <v>0</v>
      </c>
      <c r="Z261" s="572"/>
      <c r="AB261" s="382"/>
      <c r="AC261" s="516"/>
      <c r="AD261" s="516"/>
      <c r="AE261" s="516"/>
      <c r="AF261" s="516"/>
      <c r="AG261" s="516"/>
      <c r="AH261" s="516"/>
      <c r="AI261" s="516"/>
      <c r="AJ261" s="516"/>
      <c r="AK261" s="516"/>
      <c r="AL261" s="516"/>
      <c r="AM261" s="383"/>
      <c r="AO261">
        <f ca="1">IF($A261="S",IF(BM!$I261=0,0,CHOOSE(MATCH(RegimeExecucao,{"Global","Unitário"},0),ROUND(ROUND(BM.MEDAcumulado,15-13*BM!$A$9)/100*BM!$I261,15-13*ORÇAMENTO!$AF$11),ROUND(ROUND(BM.MEDAcumulado,15-13*BM!$A$9)*ROUND(BM!$H261,15-13*ORÇAMENTO!$AF$10),15-13*ORÇAMENTO!$AF$11))),IF($A261=0,0,ROUND(SomaAgrupBM,15-13*ORÇAMENTO!$AF$11)))</f>
        <v>0</v>
      </c>
    </row>
    <row r="262" spans="1:41" ht="25.5" x14ac:dyDescent="0.2">
      <c r="A262" t="str">
        <f ca="1">ORÇAMENTO!C262</f>
        <v>S</v>
      </c>
      <c r="B262">
        <f ca="1">ORÇAMENTO!D262</f>
        <v>0</v>
      </c>
      <c r="C262" s="116" t="str">
        <f t="shared" ca="1" si="22"/>
        <v/>
      </c>
      <c r="D262" s="119" t="str">
        <f ca="1">ORÇAMENTO!O262</f>
        <v>-</v>
      </c>
      <c r="E262" s="172" t="str">
        <f t="shared" ca="1" si="23"/>
        <v>(abra o arquivo 'Referência 02-2025.xlsm)</v>
      </c>
      <c r="F262" s="173" t="str">
        <f ca="1">IF(RegimeExecucao="Global","",ORÇAMENTO.Unidade)</f>
        <v>-</v>
      </c>
      <c r="G262" s="124">
        <f ca="1">IF(RegimeExecucao="Global","",ORÇAMENTO!T262)</f>
        <v>10.49</v>
      </c>
      <c r="H262" s="124">
        <f ca="1">IF(RegimeExecucao="Global","",ORÇAMENTO!W262)</f>
        <v>0</v>
      </c>
      <c r="I262" s="127">
        <f ca="1">ORÇAMENTO!X262</f>
        <v>0</v>
      </c>
      <c r="J262" s="378">
        <f ca="1">IF($A262="S",IF(CAIXA.Modo,BM.AFAnterior,BM.MEDAnterior),IF(AND(RegimeExecucao="Global",$I262&gt;0,COUNTIF($AB$13:$AM$13,BM.medicao-1)&gt;0),M262/$I262*100,0))</f>
        <v>0</v>
      </c>
      <c r="K262" s="124">
        <f t="shared" ca="1" si="24"/>
        <v>0</v>
      </c>
      <c r="L262" s="379">
        <f ca="1">IF($A262="S",IF(CAIXA.Modo,BM.AFAcumulado,BM.MEDAcumulado),IF(AND(RegimeExecucao="Global",$I262&gt;0,COUNTIF($AB$13:$AM$13,BM.medicao)&gt;0),O262/$I262*100,0))</f>
        <v>0</v>
      </c>
      <c r="M262" s="380">
        <f ca="1">IF($A262="S",VTOTALBM,IF($A262=0,0,ROUND(SomaAgrupBM,15-13*ORÇAMENTO!$AF$11)))</f>
        <v>0</v>
      </c>
      <c r="N262" s="381">
        <f t="shared" ca="1" si="25"/>
        <v>0</v>
      </c>
      <c r="O262" s="127">
        <f ca="1">IF($A262="S",VTOTALBM,IF($A262=0,0,ROUND(SomaAgrupBM,15-13*ORÇAMENTO!$AF$11)))</f>
        <v>0</v>
      </c>
      <c r="Q262" s="382"/>
      <c r="R262" s="383"/>
      <c r="T262" s="119" t="str">
        <f t="shared" ca="1" si="26"/>
        <v/>
      </c>
      <c r="U262" s="172" t="str">
        <f t="shared" ca="1" si="27"/>
        <v/>
      </c>
      <c r="V262" s="173" t="str">
        <f ca="1">IF(AND($W262&gt;0,RegimeExecucao="Unitário"),$F262,"")</f>
        <v/>
      </c>
      <c r="W262" s="547">
        <f ca="1">IF($Y262&gt;0,CHOOSE(MATCH(RegimeExecucao,{"Unitário","Global"},0),IF($A262="S",$Y262/$X262,""),($Y262/$X262)*100),0)</f>
        <v>0</v>
      </c>
      <c r="X262" s="384" t="str">
        <f ca="1">IF($Y262&gt;0,CHOOSE(MATCH(RegimeExecucao,{"Unitário","Global"},0),IF($A262="S",ROUND($H262,ORÇAMENTO!$AF$10),""),ROUND($I262,ORÇAMENTO!$AF$11)),"")</f>
        <v/>
      </c>
      <c r="Y262" s="384">
        <f t="shared" ca="1" si="28"/>
        <v>0</v>
      </c>
      <c r="Z262" s="572"/>
      <c r="AB262" s="382"/>
      <c r="AC262" s="516"/>
      <c r="AD262" s="516"/>
      <c r="AE262" s="516"/>
      <c r="AF262" s="516"/>
      <c r="AG262" s="516"/>
      <c r="AH262" s="516"/>
      <c r="AI262" s="516"/>
      <c r="AJ262" s="516"/>
      <c r="AK262" s="516"/>
      <c r="AL262" s="516"/>
      <c r="AM262" s="383"/>
      <c r="AO262">
        <f ca="1">IF($A262="S",IF(BM!$I262=0,0,CHOOSE(MATCH(RegimeExecucao,{"Global","Unitário"},0),ROUND(ROUND(BM.MEDAcumulado,15-13*BM!$A$9)/100*BM!$I262,15-13*ORÇAMENTO!$AF$11),ROUND(ROUND(BM.MEDAcumulado,15-13*BM!$A$9)*ROUND(BM!$H262,15-13*ORÇAMENTO!$AF$10),15-13*ORÇAMENTO!$AF$11))),IF($A262=0,0,ROUND(SomaAgrupBM,15-13*ORÇAMENTO!$AF$11)))</f>
        <v>0</v>
      </c>
    </row>
    <row r="263" spans="1:41" ht="25.5" x14ac:dyDescent="0.2">
      <c r="A263" t="str">
        <f ca="1">ORÇAMENTO!C263</f>
        <v>S</v>
      </c>
      <c r="B263">
        <f ca="1">ORÇAMENTO!D263</f>
        <v>0</v>
      </c>
      <c r="C263" s="116" t="str">
        <f t="shared" ca="1" si="22"/>
        <v/>
      </c>
      <c r="D263" s="119" t="str">
        <f ca="1">ORÇAMENTO!O263</f>
        <v>-</v>
      </c>
      <c r="E263" s="172" t="str">
        <f t="shared" ca="1" si="23"/>
        <v>(abra o arquivo 'Referência 02-2025.xlsm)</v>
      </c>
      <c r="F263" s="173" t="str">
        <f ca="1">IF(RegimeExecucao="Global","",ORÇAMENTO.Unidade)</f>
        <v>-</v>
      </c>
      <c r="G263" s="124">
        <f ca="1">IF(RegimeExecucao="Global","",ORÇAMENTO!T263)</f>
        <v>2.2999999999999998</v>
      </c>
      <c r="H263" s="124">
        <f ca="1">IF(RegimeExecucao="Global","",ORÇAMENTO!W263)</f>
        <v>0</v>
      </c>
      <c r="I263" s="127">
        <f ca="1">ORÇAMENTO!X263</f>
        <v>0</v>
      </c>
      <c r="J263" s="378">
        <f ca="1">IF($A263="S",IF(CAIXA.Modo,BM.AFAnterior,BM.MEDAnterior),IF(AND(RegimeExecucao="Global",$I263&gt;0,COUNTIF($AB$13:$AM$13,BM.medicao-1)&gt;0),M263/$I263*100,0))</f>
        <v>0</v>
      </c>
      <c r="K263" s="124">
        <f t="shared" ca="1" si="24"/>
        <v>0</v>
      </c>
      <c r="L263" s="379">
        <f ca="1">IF($A263="S",IF(CAIXA.Modo,BM.AFAcumulado,BM.MEDAcumulado),IF(AND(RegimeExecucao="Global",$I263&gt;0,COUNTIF($AB$13:$AM$13,BM.medicao)&gt;0),O263/$I263*100,0))</f>
        <v>0</v>
      </c>
      <c r="M263" s="380">
        <f ca="1">IF($A263="S",VTOTALBM,IF($A263=0,0,ROUND(SomaAgrupBM,15-13*ORÇAMENTO!$AF$11)))</f>
        <v>0</v>
      </c>
      <c r="N263" s="381">
        <f t="shared" ca="1" si="25"/>
        <v>0</v>
      </c>
      <c r="O263" s="127">
        <f ca="1">IF($A263="S",VTOTALBM,IF($A263=0,0,ROUND(SomaAgrupBM,15-13*ORÇAMENTO!$AF$11)))</f>
        <v>0</v>
      </c>
      <c r="Q263" s="382"/>
      <c r="R263" s="383"/>
      <c r="T263" s="119" t="str">
        <f t="shared" ca="1" si="26"/>
        <v/>
      </c>
      <c r="U263" s="172" t="str">
        <f t="shared" ca="1" si="27"/>
        <v/>
      </c>
      <c r="V263" s="173" t="str">
        <f ca="1">IF(AND($W263&gt;0,RegimeExecucao="Unitário"),$F263,"")</f>
        <v/>
      </c>
      <c r="W263" s="547">
        <f ca="1">IF($Y263&gt;0,CHOOSE(MATCH(RegimeExecucao,{"Unitário","Global"},0),IF($A263="S",$Y263/$X263,""),($Y263/$X263)*100),0)</f>
        <v>0</v>
      </c>
      <c r="X263" s="384" t="str">
        <f ca="1">IF($Y263&gt;0,CHOOSE(MATCH(RegimeExecucao,{"Unitário","Global"},0),IF($A263="S",ROUND($H263,ORÇAMENTO!$AF$10),""),ROUND($I263,ORÇAMENTO!$AF$11)),"")</f>
        <v/>
      </c>
      <c r="Y263" s="384">
        <f t="shared" ca="1" si="28"/>
        <v>0</v>
      </c>
      <c r="Z263" s="572"/>
      <c r="AB263" s="382"/>
      <c r="AC263" s="516"/>
      <c r="AD263" s="516"/>
      <c r="AE263" s="516"/>
      <c r="AF263" s="516"/>
      <c r="AG263" s="516"/>
      <c r="AH263" s="516"/>
      <c r="AI263" s="516"/>
      <c r="AJ263" s="516"/>
      <c r="AK263" s="516"/>
      <c r="AL263" s="516"/>
      <c r="AM263" s="383"/>
      <c r="AO263">
        <f ca="1">IF($A263="S",IF(BM!$I263=0,0,CHOOSE(MATCH(RegimeExecucao,{"Global","Unitário"},0),ROUND(ROUND(BM.MEDAcumulado,15-13*BM!$A$9)/100*BM!$I263,15-13*ORÇAMENTO!$AF$11),ROUND(ROUND(BM.MEDAcumulado,15-13*BM!$A$9)*ROUND(BM!$H263,15-13*ORÇAMENTO!$AF$10),15-13*ORÇAMENTO!$AF$11))),IF($A263=0,0,ROUND(SomaAgrupBM,15-13*ORÇAMENTO!$AF$11)))</f>
        <v>0</v>
      </c>
    </row>
    <row r="264" spans="1:41" ht="25.5" x14ac:dyDescent="0.2">
      <c r="A264" t="str">
        <f ca="1">ORÇAMENTO!C264</f>
        <v>S</v>
      </c>
      <c r="B264">
        <f ca="1">ORÇAMENTO!D264</f>
        <v>0</v>
      </c>
      <c r="C264" s="116" t="str">
        <f t="shared" ca="1" si="22"/>
        <v/>
      </c>
      <c r="D264" s="119" t="str">
        <f ca="1">ORÇAMENTO!O264</f>
        <v>-</v>
      </c>
      <c r="E264" s="172" t="str">
        <f t="shared" ca="1" si="23"/>
        <v>(abra o arquivo 'Referência 02-2025.xlsm)</v>
      </c>
      <c r="F264" s="173" t="str">
        <f ca="1">IF(RegimeExecucao="Global","",ORÇAMENTO.Unidade)</f>
        <v>-</v>
      </c>
      <c r="G264" s="124">
        <f ca="1">IF(RegimeExecucao="Global","",ORÇAMENTO!T264)</f>
        <v>1.7</v>
      </c>
      <c r="H264" s="124">
        <f ca="1">IF(RegimeExecucao="Global","",ORÇAMENTO!W264)</f>
        <v>0</v>
      </c>
      <c r="I264" s="127">
        <f ca="1">ORÇAMENTO!X264</f>
        <v>0</v>
      </c>
      <c r="J264" s="378">
        <f ca="1">IF($A264="S",IF(CAIXA.Modo,BM.AFAnterior,BM.MEDAnterior),IF(AND(RegimeExecucao="Global",$I264&gt;0,COUNTIF($AB$13:$AM$13,BM.medicao-1)&gt;0),M264/$I264*100,0))</f>
        <v>0</v>
      </c>
      <c r="K264" s="124">
        <f t="shared" ca="1" si="24"/>
        <v>0</v>
      </c>
      <c r="L264" s="379">
        <f ca="1">IF($A264="S",IF(CAIXA.Modo,BM.AFAcumulado,BM.MEDAcumulado),IF(AND(RegimeExecucao="Global",$I264&gt;0,COUNTIF($AB$13:$AM$13,BM.medicao)&gt;0),O264/$I264*100,0))</f>
        <v>0</v>
      </c>
      <c r="M264" s="380">
        <f ca="1">IF($A264="S",VTOTALBM,IF($A264=0,0,ROUND(SomaAgrupBM,15-13*ORÇAMENTO!$AF$11)))</f>
        <v>0</v>
      </c>
      <c r="N264" s="381">
        <f t="shared" ca="1" si="25"/>
        <v>0</v>
      </c>
      <c r="O264" s="127">
        <f ca="1">IF($A264="S",VTOTALBM,IF($A264=0,0,ROUND(SomaAgrupBM,15-13*ORÇAMENTO!$AF$11)))</f>
        <v>0</v>
      </c>
      <c r="Q264" s="382"/>
      <c r="R264" s="383"/>
      <c r="T264" s="119" t="str">
        <f t="shared" ca="1" si="26"/>
        <v/>
      </c>
      <c r="U264" s="172" t="str">
        <f t="shared" ca="1" si="27"/>
        <v/>
      </c>
      <c r="V264" s="173" t="str">
        <f ca="1">IF(AND($W264&gt;0,RegimeExecucao="Unitário"),$F264,"")</f>
        <v/>
      </c>
      <c r="W264" s="547">
        <f ca="1">IF($Y264&gt;0,CHOOSE(MATCH(RegimeExecucao,{"Unitário","Global"},0),IF($A264="S",$Y264/$X264,""),($Y264/$X264)*100),0)</f>
        <v>0</v>
      </c>
      <c r="X264" s="384" t="str">
        <f ca="1">IF($Y264&gt;0,CHOOSE(MATCH(RegimeExecucao,{"Unitário","Global"},0),IF($A264="S",ROUND($H264,ORÇAMENTO!$AF$10),""),ROUND($I264,ORÇAMENTO!$AF$11)),"")</f>
        <v/>
      </c>
      <c r="Y264" s="384">
        <f t="shared" ca="1" si="28"/>
        <v>0</v>
      </c>
      <c r="Z264" s="572"/>
      <c r="AB264" s="382"/>
      <c r="AC264" s="516"/>
      <c r="AD264" s="516"/>
      <c r="AE264" s="516"/>
      <c r="AF264" s="516"/>
      <c r="AG264" s="516"/>
      <c r="AH264" s="516"/>
      <c r="AI264" s="516"/>
      <c r="AJ264" s="516"/>
      <c r="AK264" s="516"/>
      <c r="AL264" s="516"/>
      <c r="AM264" s="383"/>
      <c r="AO264">
        <f ca="1">IF($A264="S",IF(BM!$I264=0,0,CHOOSE(MATCH(RegimeExecucao,{"Global","Unitário"},0),ROUND(ROUND(BM.MEDAcumulado,15-13*BM!$A$9)/100*BM!$I264,15-13*ORÇAMENTO!$AF$11),ROUND(ROUND(BM.MEDAcumulado,15-13*BM!$A$9)*ROUND(BM!$H264,15-13*ORÇAMENTO!$AF$10),15-13*ORÇAMENTO!$AF$11))),IF($A264=0,0,ROUND(SomaAgrupBM,15-13*ORÇAMENTO!$AF$11)))</f>
        <v>0</v>
      </c>
    </row>
    <row r="265" spans="1:41" ht="25.5" x14ac:dyDescent="0.2">
      <c r="A265" t="str">
        <f ca="1">ORÇAMENTO!C265</f>
        <v>S</v>
      </c>
      <c r="B265">
        <f ca="1">ORÇAMENTO!D265</f>
        <v>0</v>
      </c>
      <c r="C265" s="116" t="str">
        <f t="shared" ca="1" si="22"/>
        <v/>
      </c>
      <c r="D265" s="119" t="str">
        <f ca="1">ORÇAMENTO!O265</f>
        <v>-</v>
      </c>
      <c r="E265" s="172" t="str">
        <f t="shared" ca="1" si="23"/>
        <v>(abra o arquivo 'Referência 02-2025.xlsm)</v>
      </c>
      <c r="F265" s="173" t="str">
        <f ca="1">IF(RegimeExecucao="Global","",ORÇAMENTO.Unidade)</f>
        <v>-</v>
      </c>
      <c r="G265" s="124">
        <f ca="1">IF(RegimeExecucao="Global","",ORÇAMENTO!T265)</f>
        <v>0.49</v>
      </c>
      <c r="H265" s="124">
        <f ca="1">IF(RegimeExecucao="Global","",ORÇAMENTO!W265)</f>
        <v>0</v>
      </c>
      <c r="I265" s="127">
        <f ca="1">ORÇAMENTO!X265</f>
        <v>0</v>
      </c>
      <c r="J265" s="378">
        <f ca="1">IF($A265="S",IF(CAIXA.Modo,BM.AFAnterior,BM.MEDAnterior),IF(AND(RegimeExecucao="Global",$I265&gt;0,COUNTIF($AB$13:$AM$13,BM.medicao-1)&gt;0),M265/$I265*100,0))</f>
        <v>0</v>
      </c>
      <c r="K265" s="124">
        <f t="shared" ca="1" si="24"/>
        <v>0</v>
      </c>
      <c r="L265" s="379">
        <f ca="1">IF($A265="S",IF(CAIXA.Modo,BM.AFAcumulado,BM.MEDAcumulado),IF(AND(RegimeExecucao="Global",$I265&gt;0,COUNTIF($AB$13:$AM$13,BM.medicao)&gt;0),O265/$I265*100,0))</f>
        <v>0</v>
      </c>
      <c r="M265" s="380">
        <f ca="1">IF($A265="S",VTOTALBM,IF($A265=0,0,ROUND(SomaAgrupBM,15-13*ORÇAMENTO!$AF$11)))</f>
        <v>0</v>
      </c>
      <c r="N265" s="381">
        <f t="shared" ca="1" si="25"/>
        <v>0</v>
      </c>
      <c r="O265" s="127">
        <f ca="1">IF($A265="S",VTOTALBM,IF($A265=0,0,ROUND(SomaAgrupBM,15-13*ORÇAMENTO!$AF$11)))</f>
        <v>0</v>
      </c>
      <c r="Q265" s="382"/>
      <c r="R265" s="383"/>
      <c r="T265" s="119" t="str">
        <f t="shared" ca="1" si="26"/>
        <v/>
      </c>
      <c r="U265" s="172" t="str">
        <f t="shared" ca="1" si="27"/>
        <v/>
      </c>
      <c r="V265" s="173" t="str">
        <f ca="1">IF(AND($W265&gt;0,RegimeExecucao="Unitário"),$F265,"")</f>
        <v/>
      </c>
      <c r="W265" s="547">
        <f ca="1">IF($Y265&gt;0,CHOOSE(MATCH(RegimeExecucao,{"Unitário","Global"},0),IF($A265="S",$Y265/$X265,""),($Y265/$X265)*100),0)</f>
        <v>0</v>
      </c>
      <c r="X265" s="384" t="str">
        <f ca="1">IF($Y265&gt;0,CHOOSE(MATCH(RegimeExecucao,{"Unitário","Global"},0),IF($A265="S",ROUND($H265,ORÇAMENTO!$AF$10),""),ROUND($I265,ORÇAMENTO!$AF$11)),"")</f>
        <v/>
      </c>
      <c r="Y265" s="384">
        <f t="shared" ca="1" si="28"/>
        <v>0</v>
      </c>
      <c r="Z265" s="572"/>
      <c r="AB265" s="382"/>
      <c r="AC265" s="516"/>
      <c r="AD265" s="516"/>
      <c r="AE265" s="516"/>
      <c r="AF265" s="516"/>
      <c r="AG265" s="516"/>
      <c r="AH265" s="516"/>
      <c r="AI265" s="516"/>
      <c r="AJ265" s="516"/>
      <c r="AK265" s="516"/>
      <c r="AL265" s="516"/>
      <c r="AM265" s="383"/>
      <c r="AO265">
        <f ca="1">IF($A265="S",IF(BM!$I265=0,0,CHOOSE(MATCH(RegimeExecucao,{"Global","Unitário"},0),ROUND(ROUND(BM.MEDAcumulado,15-13*BM!$A$9)/100*BM!$I265,15-13*ORÇAMENTO!$AF$11),ROUND(ROUND(BM.MEDAcumulado,15-13*BM!$A$9)*ROUND(BM!$H265,15-13*ORÇAMENTO!$AF$10),15-13*ORÇAMENTO!$AF$11))),IF($A265=0,0,ROUND(SomaAgrupBM,15-13*ORÇAMENTO!$AF$11)))</f>
        <v>0</v>
      </c>
    </row>
    <row r="266" spans="1:41" x14ac:dyDescent="0.2">
      <c r="A266">
        <f ca="1">ORÇAMENTO!C266</f>
        <v>2</v>
      </c>
      <c r="B266">
        <f ca="1">ORÇAMENTO!D266</f>
        <v>51</v>
      </c>
      <c r="C266" s="116" t="str">
        <f t="shared" ca="1" si="22"/>
        <v>F</v>
      </c>
      <c r="D266" s="119" t="str">
        <f ca="1">ORÇAMENTO!O266</f>
        <v>1.12.</v>
      </c>
      <c r="E266" s="172" t="str">
        <f t="shared" ca="1" si="23"/>
        <v>INSTALAÇÃO HIDRÁULICA</v>
      </c>
      <c r="F266" s="173" t="str">
        <f ca="1">IF(RegimeExecucao="Global","",ORÇAMENTO.Unidade)</f>
        <v>-</v>
      </c>
      <c r="G266" s="124">
        <f ca="1">IF(RegimeExecucao="Global","",ORÇAMENTO!T266)</f>
        <v>0</v>
      </c>
      <c r="H266" s="124">
        <f ca="1">IF(RegimeExecucao="Global","",ORÇAMENTO!W266)</f>
        <v>0</v>
      </c>
      <c r="I266" s="127">
        <f ca="1">ORÇAMENTO!X266</f>
        <v>0</v>
      </c>
      <c r="J266" s="378">
        <f ca="1">IF($A266="S",IF(CAIXA.Modo,BM.AFAnterior,BM.MEDAnterior),IF(AND(RegimeExecucao="Global",$I266&gt;0,COUNTIF($AB$13:$AM$13,BM.medicao-1)&gt;0),M266/$I266*100,0))</f>
        <v>0</v>
      </c>
      <c r="K266" s="124">
        <f t="shared" ca="1" si="24"/>
        <v>0</v>
      </c>
      <c r="L266" s="379">
        <f ca="1">IF($A266="S",IF(CAIXA.Modo,BM.AFAcumulado,BM.MEDAcumulado),IF(AND(RegimeExecucao="Global",$I266&gt;0,COUNTIF($AB$13:$AM$13,BM.medicao)&gt;0),O266/$I266*100,0))</f>
        <v>0</v>
      </c>
      <c r="M266" s="380">
        <f ca="1">IF($A266="S",VTOTALBM,IF($A266=0,0,ROUND(SomaAgrupBM,15-13*ORÇAMENTO!$AF$11)))</f>
        <v>0</v>
      </c>
      <c r="N266" s="381">
        <f t="shared" ca="1" si="25"/>
        <v>0</v>
      </c>
      <c r="O266" s="127">
        <f ca="1">IF($A266="S",VTOTALBM,IF($A266=0,0,ROUND(SomaAgrupBM,15-13*ORÇAMENTO!$AF$11)))</f>
        <v>0</v>
      </c>
      <c r="Q266" s="382"/>
      <c r="R266" s="383"/>
      <c r="T266" s="119" t="str">
        <f t="shared" ca="1" si="26"/>
        <v/>
      </c>
      <c r="U266" s="172" t="str">
        <f t="shared" ca="1" si="27"/>
        <v/>
      </c>
      <c r="V266" s="173" t="str">
        <f ca="1">IF(AND($W266&gt;0,RegimeExecucao="Unitário"),$F266,"")</f>
        <v/>
      </c>
      <c r="W266" s="547">
        <f ca="1">IF($Y266&gt;0,CHOOSE(MATCH(RegimeExecucao,{"Unitário","Global"},0),IF($A266="S",$Y266/$X266,""),($Y266/$X266)*100),0)</f>
        <v>0</v>
      </c>
      <c r="X266" s="384" t="str">
        <f ca="1">IF($Y266&gt;0,CHOOSE(MATCH(RegimeExecucao,{"Unitário","Global"},0),IF($A266="S",ROUND($H266,ORÇAMENTO!$AF$10),""),ROUND($I266,ORÇAMENTO!$AF$11)),"")</f>
        <v/>
      </c>
      <c r="Y266" s="384">
        <f t="shared" ca="1" si="28"/>
        <v>0</v>
      </c>
      <c r="Z266" s="572"/>
      <c r="AB266" s="382"/>
      <c r="AC266" s="516"/>
      <c r="AD266" s="516"/>
      <c r="AE266" s="516"/>
      <c r="AF266" s="516"/>
      <c r="AG266" s="516"/>
      <c r="AH266" s="516"/>
      <c r="AI266" s="516"/>
      <c r="AJ266" s="516"/>
      <c r="AK266" s="516"/>
      <c r="AL266" s="516"/>
      <c r="AM266" s="383"/>
      <c r="AO266">
        <f ca="1">IF($A266="S",IF(BM!$I266=0,0,CHOOSE(MATCH(RegimeExecucao,{"Global","Unitário"},0),ROUND(ROUND(BM.MEDAcumulado,15-13*BM!$A$9)/100*BM!$I266,15-13*ORÇAMENTO!$AF$11),ROUND(ROUND(BM.MEDAcumulado,15-13*BM!$A$9)*ROUND(BM!$H266,15-13*ORÇAMENTO!$AF$10),15-13*ORÇAMENTO!$AF$11))),IF($A266=0,0,ROUND(SomaAgrupBM,15-13*ORÇAMENTO!$AF$11)))</f>
        <v>0</v>
      </c>
    </row>
    <row r="267" spans="1:41" x14ac:dyDescent="0.2">
      <c r="A267">
        <f ca="1">ORÇAMENTO!C267</f>
        <v>3</v>
      </c>
      <c r="B267">
        <f ca="1">ORÇAMENTO!D267</f>
        <v>39</v>
      </c>
      <c r="C267" s="116" t="str">
        <f t="shared" ca="1" si="22"/>
        <v>F</v>
      </c>
      <c r="D267" s="119" t="str">
        <f ca="1">ORÇAMENTO!O267</f>
        <v>1.12.1.</v>
      </c>
      <c r="E267" s="172" t="str">
        <f t="shared" ca="1" si="23"/>
        <v>TUBULAÇÕES E CONEXÕES DE PVC RÍGIDO</v>
      </c>
      <c r="F267" s="173" t="str">
        <f ca="1">IF(RegimeExecucao="Global","",ORÇAMENTO.Unidade)</f>
        <v>-</v>
      </c>
      <c r="G267" s="124">
        <f ca="1">IF(RegimeExecucao="Global","",ORÇAMENTO!T267)</f>
        <v>0</v>
      </c>
      <c r="H267" s="124">
        <f ca="1">IF(RegimeExecucao="Global","",ORÇAMENTO!W267)</f>
        <v>0</v>
      </c>
      <c r="I267" s="127">
        <f ca="1">ORÇAMENTO!X267</f>
        <v>0</v>
      </c>
      <c r="J267" s="378">
        <f ca="1">IF($A267="S",IF(CAIXA.Modo,BM.AFAnterior,BM.MEDAnterior),IF(AND(RegimeExecucao="Global",$I267&gt;0,COUNTIF($AB$13:$AM$13,BM.medicao-1)&gt;0),M267/$I267*100,0))</f>
        <v>0</v>
      </c>
      <c r="K267" s="124">
        <f t="shared" ca="1" si="24"/>
        <v>0</v>
      </c>
      <c r="L267" s="379">
        <f ca="1">IF($A267="S",IF(CAIXA.Modo,BM.AFAcumulado,BM.MEDAcumulado),IF(AND(RegimeExecucao="Global",$I267&gt;0,COUNTIF($AB$13:$AM$13,BM.medicao)&gt;0),O267/$I267*100,0))</f>
        <v>0</v>
      </c>
      <c r="M267" s="380">
        <f ca="1">IF($A267="S",VTOTALBM,IF($A267=0,0,ROUND(SomaAgrupBM,15-13*ORÇAMENTO!$AF$11)))</f>
        <v>0</v>
      </c>
      <c r="N267" s="381">
        <f t="shared" ca="1" si="25"/>
        <v>0</v>
      </c>
      <c r="O267" s="127">
        <f ca="1">IF($A267="S",VTOTALBM,IF($A267=0,0,ROUND(SomaAgrupBM,15-13*ORÇAMENTO!$AF$11)))</f>
        <v>0</v>
      </c>
      <c r="Q267" s="382"/>
      <c r="R267" s="383"/>
      <c r="T267" s="119" t="str">
        <f t="shared" ca="1" si="26"/>
        <v/>
      </c>
      <c r="U267" s="172" t="str">
        <f t="shared" ca="1" si="27"/>
        <v/>
      </c>
      <c r="V267" s="173" t="str">
        <f ca="1">IF(AND($W267&gt;0,RegimeExecucao="Unitário"),$F267,"")</f>
        <v/>
      </c>
      <c r="W267" s="547">
        <f ca="1">IF($Y267&gt;0,CHOOSE(MATCH(RegimeExecucao,{"Unitário","Global"},0),IF($A267="S",$Y267/$X267,""),($Y267/$X267)*100),0)</f>
        <v>0</v>
      </c>
      <c r="X267" s="384" t="str">
        <f ca="1">IF($Y267&gt;0,CHOOSE(MATCH(RegimeExecucao,{"Unitário","Global"},0),IF($A267="S",ROUND($H267,ORÇAMENTO!$AF$10),""),ROUND($I267,ORÇAMENTO!$AF$11)),"")</f>
        <v/>
      </c>
      <c r="Y267" s="384">
        <f t="shared" ca="1" si="28"/>
        <v>0</v>
      </c>
      <c r="Z267" s="572"/>
      <c r="AB267" s="382"/>
      <c r="AC267" s="516"/>
      <c r="AD267" s="516"/>
      <c r="AE267" s="516"/>
      <c r="AF267" s="516"/>
      <c r="AG267" s="516"/>
      <c r="AH267" s="516"/>
      <c r="AI267" s="516"/>
      <c r="AJ267" s="516"/>
      <c r="AK267" s="516"/>
      <c r="AL267" s="516"/>
      <c r="AM267" s="383"/>
      <c r="AO267">
        <f ca="1">IF($A267="S",IF(BM!$I267=0,0,CHOOSE(MATCH(RegimeExecucao,{"Global","Unitário"},0),ROUND(ROUND(BM.MEDAcumulado,15-13*BM!$A$9)/100*BM!$I267,15-13*ORÇAMENTO!$AF$11),ROUND(ROUND(BM.MEDAcumulado,15-13*BM!$A$9)*ROUND(BM!$H267,15-13*ORÇAMENTO!$AF$10),15-13*ORÇAMENTO!$AF$11))),IF($A267=0,0,ROUND(SomaAgrupBM,15-13*ORÇAMENTO!$AF$11)))</f>
        <v>0</v>
      </c>
    </row>
    <row r="268" spans="1:41" ht="25.5" x14ac:dyDescent="0.2">
      <c r="A268" t="str">
        <f ca="1">ORÇAMENTO!C268</f>
        <v>S</v>
      </c>
      <c r="B268">
        <f ca="1">ORÇAMENTO!D268</f>
        <v>0</v>
      </c>
      <c r="C268" s="116" t="str">
        <f t="shared" ca="1" si="22"/>
        <v/>
      </c>
      <c r="D268" s="119" t="str">
        <f ca="1">ORÇAMENTO!O268</f>
        <v>-</v>
      </c>
      <c r="E268" s="172" t="str">
        <f t="shared" ca="1" si="23"/>
        <v>(abra o arquivo 'Referência 02-2025.xlsm)</v>
      </c>
      <c r="F268" s="173" t="str">
        <f ca="1">IF(RegimeExecucao="Global","",ORÇAMENTO.Unidade)</f>
        <v>-</v>
      </c>
      <c r="G268" s="124">
        <f ca="1">IF(RegimeExecucao="Global","",ORÇAMENTO!T268)</f>
        <v>407.4</v>
      </c>
      <c r="H268" s="124">
        <f ca="1">IF(RegimeExecucao="Global","",ORÇAMENTO!W268)</f>
        <v>0</v>
      </c>
      <c r="I268" s="127">
        <f ca="1">ORÇAMENTO!X268</f>
        <v>0</v>
      </c>
      <c r="J268" s="378">
        <f ca="1">IF($A268="S",IF(CAIXA.Modo,BM.AFAnterior,BM.MEDAnterior),IF(AND(RegimeExecucao="Global",$I268&gt;0,COUNTIF($AB$13:$AM$13,BM.medicao-1)&gt;0),M268/$I268*100,0))</f>
        <v>0</v>
      </c>
      <c r="K268" s="124">
        <f t="shared" ca="1" si="24"/>
        <v>0</v>
      </c>
      <c r="L268" s="379">
        <f ca="1">IF($A268="S",IF(CAIXA.Modo,BM.AFAcumulado,BM.MEDAcumulado),IF(AND(RegimeExecucao="Global",$I268&gt;0,COUNTIF($AB$13:$AM$13,BM.medicao)&gt;0),O268/$I268*100,0))</f>
        <v>0</v>
      </c>
      <c r="M268" s="380">
        <f ca="1">IF($A268="S",VTOTALBM,IF($A268=0,0,ROUND(SomaAgrupBM,15-13*ORÇAMENTO!$AF$11)))</f>
        <v>0</v>
      </c>
      <c r="N268" s="381">
        <f t="shared" ca="1" si="25"/>
        <v>0</v>
      </c>
      <c r="O268" s="127">
        <f ca="1">IF($A268="S",VTOTALBM,IF($A268=0,0,ROUND(SomaAgrupBM,15-13*ORÇAMENTO!$AF$11)))</f>
        <v>0</v>
      </c>
      <c r="Q268" s="382"/>
      <c r="R268" s="383"/>
      <c r="T268" s="119" t="str">
        <f t="shared" ca="1" si="26"/>
        <v/>
      </c>
      <c r="U268" s="172" t="str">
        <f t="shared" ca="1" si="27"/>
        <v/>
      </c>
      <c r="V268" s="173" t="str">
        <f ca="1">IF(AND($W268&gt;0,RegimeExecucao="Unitário"),$F268,"")</f>
        <v/>
      </c>
      <c r="W268" s="547">
        <f ca="1">IF($Y268&gt;0,CHOOSE(MATCH(RegimeExecucao,{"Unitário","Global"},0),IF($A268="S",$Y268/$X268,""),($Y268/$X268)*100),0)</f>
        <v>0</v>
      </c>
      <c r="X268" s="384" t="str">
        <f ca="1">IF($Y268&gt;0,CHOOSE(MATCH(RegimeExecucao,{"Unitário","Global"},0),IF($A268="S",ROUND($H268,ORÇAMENTO!$AF$10),""),ROUND($I268,ORÇAMENTO!$AF$11)),"")</f>
        <v/>
      </c>
      <c r="Y268" s="384">
        <f t="shared" ca="1" si="28"/>
        <v>0</v>
      </c>
      <c r="Z268" s="572"/>
      <c r="AB268" s="382"/>
      <c r="AC268" s="516"/>
      <c r="AD268" s="516"/>
      <c r="AE268" s="516"/>
      <c r="AF268" s="516"/>
      <c r="AG268" s="516"/>
      <c r="AH268" s="516"/>
      <c r="AI268" s="516"/>
      <c r="AJ268" s="516"/>
      <c r="AK268" s="516"/>
      <c r="AL268" s="516"/>
      <c r="AM268" s="383"/>
      <c r="AO268">
        <f ca="1">IF($A268="S",IF(BM!$I268=0,0,CHOOSE(MATCH(RegimeExecucao,{"Global","Unitário"},0),ROUND(ROUND(BM.MEDAcumulado,15-13*BM!$A$9)/100*BM!$I268,15-13*ORÇAMENTO!$AF$11),ROUND(ROUND(BM.MEDAcumulado,15-13*BM!$A$9)*ROUND(BM!$H268,15-13*ORÇAMENTO!$AF$10),15-13*ORÇAMENTO!$AF$11))),IF($A268=0,0,ROUND(SomaAgrupBM,15-13*ORÇAMENTO!$AF$11)))</f>
        <v>0</v>
      </c>
    </row>
    <row r="269" spans="1:41" ht="38.25" x14ac:dyDescent="0.2">
      <c r="A269" t="str">
        <f ca="1">ORÇAMENTO!C269</f>
        <v>S</v>
      </c>
      <c r="B269">
        <f ca="1">ORÇAMENTO!D269</f>
        <v>0</v>
      </c>
      <c r="C269" s="116" t="str">
        <f t="shared" ca="1" si="22"/>
        <v/>
      </c>
      <c r="D269" s="119" t="str">
        <f ca="1">ORÇAMENTO!O269</f>
        <v>-</v>
      </c>
      <c r="E269" s="172" t="str">
        <f t="shared" ca="1" si="23"/>
        <v>(abra o arquivo 'Referência 02-2025.xlsm)</v>
      </c>
      <c r="F269" s="173" t="str">
        <f ca="1">IF(RegimeExecucao="Global","",ORÇAMENTO.Unidade)</f>
        <v>-</v>
      </c>
      <c r="G269" s="124">
        <f ca="1">IF(RegimeExecucao="Global","",ORÇAMENTO!T269)</f>
        <v>15.5</v>
      </c>
      <c r="H269" s="124">
        <f ca="1">IF(RegimeExecucao="Global","",ORÇAMENTO!W269)</f>
        <v>0</v>
      </c>
      <c r="I269" s="127">
        <f ca="1">ORÇAMENTO!X269</f>
        <v>0</v>
      </c>
      <c r="J269" s="378">
        <f ca="1">IF($A269="S",IF(CAIXA.Modo,BM.AFAnterior,BM.MEDAnterior),IF(AND(RegimeExecucao="Global",$I269&gt;0,COUNTIF($AB$13:$AM$13,BM.medicao-1)&gt;0),M269/$I269*100,0))</f>
        <v>0</v>
      </c>
      <c r="K269" s="124">
        <f t="shared" ca="1" si="24"/>
        <v>0</v>
      </c>
      <c r="L269" s="379">
        <f ca="1">IF($A269="S",IF(CAIXA.Modo,BM.AFAcumulado,BM.MEDAcumulado),IF(AND(RegimeExecucao="Global",$I269&gt;0,COUNTIF($AB$13:$AM$13,BM.medicao)&gt;0),O269/$I269*100,0))</f>
        <v>0</v>
      </c>
      <c r="M269" s="380">
        <f ca="1">IF($A269="S",VTOTALBM,IF($A269=0,0,ROUND(SomaAgrupBM,15-13*ORÇAMENTO!$AF$11)))</f>
        <v>0</v>
      </c>
      <c r="N269" s="381">
        <f t="shared" ca="1" si="25"/>
        <v>0</v>
      </c>
      <c r="O269" s="127">
        <f ca="1">IF($A269="S",VTOTALBM,IF($A269=0,0,ROUND(SomaAgrupBM,15-13*ORÇAMENTO!$AF$11)))</f>
        <v>0</v>
      </c>
      <c r="Q269" s="382"/>
      <c r="R269" s="383"/>
      <c r="T269" s="119" t="str">
        <f t="shared" ca="1" si="26"/>
        <v/>
      </c>
      <c r="U269" s="172" t="str">
        <f t="shared" ca="1" si="27"/>
        <v/>
      </c>
      <c r="V269" s="173" t="str">
        <f ca="1">IF(AND($W269&gt;0,RegimeExecucao="Unitário"),$F269,"")</f>
        <v/>
      </c>
      <c r="W269" s="547">
        <f ca="1">IF($Y269&gt;0,CHOOSE(MATCH(RegimeExecucao,{"Unitário","Global"},0),IF($A269="S",$Y269/$X269,""),($Y269/$X269)*100),0)</f>
        <v>0</v>
      </c>
      <c r="X269" s="384" t="str">
        <f ca="1">IF($Y269&gt;0,CHOOSE(MATCH(RegimeExecucao,{"Unitário","Global"},0),IF($A269="S",ROUND($H269,ORÇAMENTO!$AF$10),""),ROUND($I269,ORÇAMENTO!$AF$11)),"")</f>
        <v/>
      </c>
      <c r="Y269" s="384">
        <f t="shared" ca="1" si="28"/>
        <v>0</v>
      </c>
      <c r="Z269" s="572"/>
      <c r="AB269" s="382"/>
      <c r="AC269" s="516"/>
      <c r="AD269" s="516"/>
      <c r="AE269" s="516"/>
      <c r="AF269" s="516"/>
      <c r="AG269" s="516"/>
      <c r="AH269" s="516"/>
      <c r="AI269" s="516"/>
      <c r="AJ269" s="516"/>
      <c r="AK269" s="516"/>
      <c r="AL269" s="516"/>
      <c r="AM269" s="383"/>
      <c r="AO269">
        <f ca="1">IF($A269="S",IF(BM!$I269=0,0,CHOOSE(MATCH(RegimeExecucao,{"Global","Unitário"},0),ROUND(ROUND(BM.MEDAcumulado,15-13*BM!$A$9)/100*BM!$I269,15-13*ORÇAMENTO!$AF$11),ROUND(ROUND(BM.MEDAcumulado,15-13*BM!$A$9)*ROUND(BM!$H269,15-13*ORÇAMENTO!$AF$10),15-13*ORÇAMENTO!$AF$11))),IF($A269=0,0,ROUND(SomaAgrupBM,15-13*ORÇAMENTO!$AF$11)))</f>
        <v>0</v>
      </c>
    </row>
    <row r="270" spans="1:41" ht="38.25" x14ac:dyDescent="0.2">
      <c r="A270" t="str">
        <f ca="1">ORÇAMENTO!C270</f>
        <v>S</v>
      </c>
      <c r="B270">
        <f ca="1">ORÇAMENTO!D270</f>
        <v>0</v>
      </c>
      <c r="C270" s="116" t="str">
        <f t="shared" ca="1" si="22"/>
        <v/>
      </c>
      <c r="D270" s="119" t="str">
        <f ca="1">ORÇAMENTO!O270</f>
        <v>-</v>
      </c>
      <c r="E270" s="172" t="str">
        <f t="shared" ca="1" si="23"/>
        <v>(abra o arquivo 'Referência 02-2025.xlsm)</v>
      </c>
      <c r="F270" s="173" t="str">
        <f ca="1">IF(RegimeExecucao="Global","",ORÇAMENTO.Unidade)</f>
        <v>-</v>
      </c>
      <c r="G270" s="124">
        <f ca="1">IF(RegimeExecucao="Global","",ORÇAMENTO!T270)</f>
        <v>51.5</v>
      </c>
      <c r="H270" s="124">
        <f ca="1">IF(RegimeExecucao="Global","",ORÇAMENTO!W270)</f>
        <v>0</v>
      </c>
      <c r="I270" s="127">
        <f ca="1">ORÇAMENTO!X270</f>
        <v>0</v>
      </c>
      <c r="J270" s="378">
        <f ca="1">IF($A270="S",IF(CAIXA.Modo,BM.AFAnterior,BM.MEDAnterior),IF(AND(RegimeExecucao="Global",$I270&gt;0,COUNTIF($AB$13:$AM$13,BM.medicao-1)&gt;0),M270/$I270*100,0))</f>
        <v>0</v>
      </c>
      <c r="K270" s="124">
        <f t="shared" ca="1" si="24"/>
        <v>0</v>
      </c>
      <c r="L270" s="379">
        <f ca="1">IF($A270="S",IF(CAIXA.Modo,BM.AFAcumulado,BM.MEDAcumulado),IF(AND(RegimeExecucao="Global",$I270&gt;0,COUNTIF($AB$13:$AM$13,BM.medicao)&gt;0),O270/$I270*100,0))</f>
        <v>0</v>
      </c>
      <c r="M270" s="380">
        <f ca="1">IF($A270="S",VTOTALBM,IF($A270=0,0,ROUND(SomaAgrupBM,15-13*ORÇAMENTO!$AF$11)))</f>
        <v>0</v>
      </c>
      <c r="N270" s="381">
        <f t="shared" ca="1" si="25"/>
        <v>0</v>
      </c>
      <c r="O270" s="127">
        <f ca="1">IF($A270="S",VTOTALBM,IF($A270=0,0,ROUND(SomaAgrupBM,15-13*ORÇAMENTO!$AF$11)))</f>
        <v>0</v>
      </c>
      <c r="Q270" s="382"/>
      <c r="R270" s="383"/>
      <c r="T270" s="119" t="str">
        <f t="shared" ca="1" si="26"/>
        <v/>
      </c>
      <c r="U270" s="172" t="str">
        <f t="shared" ca="1" si="27"/>
        <v/>
      </c>
      <c r="V270" s="173" t="str">
        <f ca="1">IF(AND($W270&gt;0,RegimeExecucao="Unitário"),$F270,"")</f>
        <v/>
      </c>
      <c r="W270" s="547">
        <f ca="1">IF($Y270&gt;0,CHOOSE(MATCH(RegimeExecucao,{"Unitário","Global"},0),IF($A270="S",$Y270/$X270,""),($Y270/$X270)*100),0)</f>
        <v>0</v>
      </c>
      <c r="X270" s="384" t="str">
        <f ca="1">IF($Y270&gt;0,CHOOSE(MATCH(RegimeExecucao,{"Unitário","Global"},0),IF($A270="S",ROUND($H270,ORÇAMENTO!$AF$10),""),ROUND($I270,ORÇAMENTO!$AF$11)),"")</f>
        <v/>
      </c>
      <c r="Y270" s="384">
        <f t="shared" ca="1" si="28"/>
        <v>0</v>
      </c>
      <c r="Z270" s="572"/>
      <c r="AB270" s="382"/>
      <c r="AC270" s="516"/>
      <c r="AD270" s="516"/>
      <c r="AE270" s="516"/>
      <c r="AF270" s="516"/>
      <c r="AG270" s="516"/>
      <c r="AH270" s="516"/>
      <c r="AI270" s="516"/>
      <c r="AJ270" s="516"/>
      <c r="AK270" s="516"/>
      <c r="AL270" s="516"/>
      <c r="AM270" s="383"/>
      <c r="AO270">
        <f ca="1">IF($A270="S",IF(BM!$I270=0,0,CHOOSE(MATCH(RegimeExecucao,{"Global","Unitário"},0),ROUND(ROUND(BM.MEDAcumulado,15-13*BM!$A$9)/100*BM!$I270,15-13*ORÇAMENTO!$AF$11),ROUND(ROUND(BM.MEDAcumulado,15-13*BM!$A$9)*ROUND(BM!$H270,15-13*ORÇAMENTO!$AF$10),15-13*ORÇAMENTO!$AF$11))),IF($A270=0,0,ROUND(SomaAgrupBM,15-13*ORÇAMENTO!$AF$11)))</f>
        <v>0</v>
      </c>
    </row>
    <row r="271" spans="1:41" ht="25.5" x14ac:dyDescent="0.2">
      <c r="A271" t="str">
        <f ca="1">ORÇAMENTO!C271</f>
        <v>S</v>
      </c>
      <c r="B271">
        <f ca="1">ORÇAMENTO!D271</f>
        <v>0</v>
      </c>
      <c r="C271" s="116" t="str">
        <f t="shared" ca="1" si="22"/>
        <v/>
      </c>
      <c r="D271" s="119" t="str">
        <f ca="1">ORÇAMENTO!O271</f>
        <v>-</v>
      </c>
      <c r="E271" s="172" t="str">
        <f t="shared" ca="1" si="23"/>
        <v>(abra o arquivo 'Referência 02-2025.xlsm)</v>
      </c>
      <c r="F271" s="173" t="str">
        <f ca="1">IF(RegimeExecucao="Global","",ORÇAMENTO.Unidade)</f>
        <v>-</v>
      </c>
      <c r="G271" s="124">
        <f ca="1">IF(RegimeExecucao="Global","",ORÇAMENTO!T271)</f>
        <v>44.5</v>
      </c>
      <c r="H271" s="124">
        <f ca="1">IF(RegimeExecucao="Global","",ORÇAMENTO!W271)</f>
        <v>0</v>
      </c>
      <c r="I271" s="127">
        <f ca="1">ORÇAMENTO!X271</f>
        <v>0</v>
      </c>
      <c r="J271" s="378">
        <f ca="1">IF($A271="S",IF(CAIXA.Modo,BM.AFAnterior,BM.MEDAnterior),IF(AND(RegimeExecucao="Global",$I271&gt;0,COUNTIF($AB$13:$AM$13,BM.medicao-1)&gt;0),M271/$I271*100,0))</f>
        <v>0</v>
      </c>
      <c r="K271" s="124">
        <f t="shared" ca="1" si="24"/>
        <v>0</v>
      </c>
      <c r="L271" s="379">
        <f ca="1">IF($A271="S",IF(CAIXA.Modo,BM.AFAcumulado,BM.MEDAcumulado),IF(AND(RegimeExecucao="Global",$I271&gt;0,COUNTIF($AB$13:$AM$13,BM.medicao)&gt;0),O271/$I271*100,0))</f>
        <v>0</v>
      </c>
      <c r="M271" s="380">
        <f ca="1">IF($A271="S",VTOTALBM,IF($A271=0,0,ROUND(SomaAgrupBM,15-13*ORÇAMENTO!$AF$11)))</f>
        <v>0</v>
      </c>
      <c r="N271" s="381">
        <f t="shared" ca="1" si="25"/>
        <v>0</v>
      </c>
      <c r="O271" s="127">
        <f ca="1">IF($A271="S",VTOTALBM,IF($A271=0,0,ROUND(SomaAgrupBM,15-13*ORÇAMENTO!$AF$11)))</f>
        <v>0</v>
      </c>
      <c r="Q271" s="382"/>
      <c r="R271" s="383"/>
      <c r="T271" s="119" t="str">
        <f t="shared" ca="1" si="26"/>
        <v/>
      </c>
      <c r="U271" s="172" t="str">
        <f t="shared" ca="1" si="27"/>
        <v/>
      </c>
      <c r="V271" s="173" t="str">
        <f ca="1">IF(AND($W271&gt;0,RegimeExecucao="Unitário"),$F271,"")</f>
        <v/>
      </c>
      <c r="W271" s="547">
        <f ca="1">IF($Y271&gt;0,CHOOSE(MATCH(RegimeExecucao,{"Unitário","Global"},0),IF($A271="S",$Y271/$X271,""),($Y271/$X271)*100),0)</f>
        <v>0</v>
      </c>
      <c r="X271" s="384" t="str">
        <f ca="1">IF($Y271&gt;0,CHOOSE(MATCH(RegimeExecucao,{"Unitário","Global"},0),IF($A271="S",ROUND($H271,ORÇAMENTO!$AF$10),""),ROUND($I271,ORÇAMENTO!$AF$11)),"")</f>
        <v/>
      </c>
      <c r="Y271" s="384">
        <f t="shared" ca="1" si="28"/>
        <v>0</v>
      </c>
      <c r="Z271" s="572"/>
      <c r="AB271" s="382"/>
      <c r="AC271" s="516"/>
      <c r="AD271" s="516"/>
      <c r="AE271" s="516"/>
      <c r="AF271" s="516"/>
      <c r="AG271" s="516"/>
      <c r="AH271" s="516"/>
      <c r="AI271" s="516"/>
      <c r="AJ271" s="516"/>
      <c r="AK271" s="516"/>
      <c r="AL271" s="516"/>
      <c r="AM271" s="383"/>
      <c r="AO271">
        <f ca="1">IF($A271="S",IF(BM!$I271=0,0,CHOOSE(MATCH(RegimeExecucao,{"Global","Unitário"},0),ROUND(ROUND(BM.MEDAcumulado,15-13*BM!$A$9)/100*BM!$I271,15-13*ORÇAMENTO!$AF$11),ROUND(ROUND(BM.MEDAcumulado,15-13*BM!$A$9)*ROUND(BM!$H271,15-13*ORÇAMENTO!$AF$10),15-13*ORÇAMENTO!$AF$11))),IF($A271=0,0,ROUND(SomaAgrupBM,15-13*ORÇAMENTO!$AF$11)))</f>
        <v>0</v>
      </c>
    </row>
    <row r="272" spans="1:41" ht="25.5" x14ac:dyDescent="0.2">
      <c r="A272" t="str">
        <f ca="1">ORÇAMENTO!C272</f>
        <v>S</v>
      </c>
      <c r="B272">
        <f ca="1">ORÇAMENTO!D272</f>
        <v>0</v>
      </c>
      <c r="C272" s="116" t="str">
        <f t="shared" ca="1" si="22"/>
        <v/>
      </c>
      <c r="D272" s="119" t="str">
        <f ca="1">ORÇAMENTO!O272</f>
        <v>-</v>
      </c>
      <c r="E272" s="172" t="str">
        <f t="shared" ca="1" si="23"/>
        <v>(abra o arquivo 'Referência 02-2025.xlsm)</v>
      </c>
      <c r="F272" s="173" t="str">
        <f ca="1">IF(RegimeExecucao="Global","",ORÇAMENTO.Unidade)</f>
        <v>-</v>
      </c>
      <c r="G272" s="124">
        <f ca="1">IF(RegimeExecucao="Global","",ORÇAMENTO!T272)</f>
        <v>316.7</v>
      </c>
      <c r="H272" s="124">
        <f ca="1">IF(RegimeExecucao="Global","",ORÇAMENTO!W272)</f>
        <v>0</v>
      </c>
      <c r="I272" s="127">
        <f ca="1">ORÇAMENTO!X272</f>
        <v>0</v>
      </c>
      <c r="J272" s="378">
        <f ca="1">IF($A272="S",IF(CAIXA.Modo,BM.AFAnterior,BM.MEDAnterior),IF(AND(RegimeExecucao="Global",$I272&gt;0,COUNTIF($AB$13:$AM$13,BM.medicao-1)&gt;0),M272/$I272*100,0))</f>
        <v>0</v>
      </c>
      <c r="K272" s="124">
        <f t="shared" ca="1" si="24"/>
        <v>0</v>
      </c>
      <c r="L272" s="379">
        <f ca="1">IF($A272="S",IF(CAIXA.Modo,BM.AFAcumulado,BM.MEDAcumulado),IF(AND(RegimeExecucao="Global",$I272&gt;0,COUNTIF($AB$13:$AM$13,BM.medicao)&gt;0),O272/$I272*100,0))</f>
        <v>0</v>
      </c>
      <c r="M272" s="380">
        <f ca="1">IF($A272="S",VTOTALBM,IF($A272=0,0,ROUND(SomaAgrupBM,15-13*ORÇAMENTO!$AF$11)))</f>
        <v>0</v>
      </c>
      <c r="N272" s="381">
        <f t="shared" ca="1" si="25"/>
        <v>0</v>
      </c>
      <c r="O272" s="127">
        <f ca="1">IF($A272="S",VTOTALBM,IF($A272=0,0,ROUND(SomaAgrupBM,15-13*ORÇAMENTO!$AF$11)))</f>
        <v>0</v>
      </c>
      <c r="Q272" s="382"/>
      <c r="R272" s="383"/>
      <c r="T272" s="119" t="str">
        <f t="shared" ca="1" si="26"/>
        <v/>
      </c>
      <c r="U272" s="172" t="str">
        <f t="shared" ca="1" si="27"/>
        <v/>
      </c>
      <c r="V272" s="173" t="str">
        <f ca="1">IF(AND($W272&gt;0,RegimeExecucao="Unitário"),$F272,"")</f>
        <v/>
      </c>
      <c r="W272" s="547">
        <f ca="1">IF($Y272&gt;0,CHOOSE(MATCH(RegimeExecucao,{"Unitário","Global"},0),IF($A272="S",$Y272/$X272,""),($Y272/$X272)*100),0)</f>
        <v>0</v>
      </c>
      <c r="X272" s="384" t="str">
        <f ca="1">IF($Y272&gt;0,CHOOSE(MATCH(RegimeExecucao,{"Unitário","Global"},0),IF($A272="S",ROUND($H272,ORÇAMENTO!$AF$10),""),ROUND($I272,ORÇAMENTO!$AF$11)),"")</f>
        <v/>
      </c>
      <c r="Y272" s="384">
        <f t="shared" ca="1" si="28"/>
        <v>0</v>
      </c>
      <c r="Z272" s="572"/>
      <c r="AB272" s="382"/>
      <c r="AC272" s="516"/>
      <c r="AD272" s="516"/>
      <c r="AE272" s="516"/>
      <c r="AF272" s="516"/>
      <c r="AG272" s="516"/>
      <c r="AH272" s="516"/>
      <c r="AI272" s="516"/>
      <c r="AJ272" s="516"/>
      <c r="AK272" s="516"/>
      <c r="AL272" s="516"/>
      <c r="AM272" s="383"/>
      <c r="AO272">
        <f ca="1">IF($A272="S",IF(BM!$I272=0,0,CHOOSE(MATCH(RegimeExecucao,{"Global","Unitário"},0),ROUND(ROUND(BM.MEDAcumulado,15-13*BM!$A$9)/100*BM!$I272,15-13*ORÇAMENTO!$AF$11),ROUND(ROUND(BM.MEDAcumulado,15-13*BM!$A$9)*ROUND(BM!$H272,15-13*ORÇAMENTO!$AF$10),15-13*ORÇAMENTO!$AF$11))),IF($A272=0,0,ROUND(SomaAgrupBM,15-13*ORÇAMENTO!$AF$11)))</f>
        <v>0</v>
      </c>
    </row>
    <row r="273" spans="1:41" ht="25.5" x14ac:dyDescent="0.2">
      <c r="A273" t="str">
        <f ca="1">ORÇAMENTO!C273</f>
        <v>S</v>
      </c>
      <c r="B273">
        <f ca="1">ORÇAMENTO!D273</f>
        <v>0</v>
      </c>
      <c r="C273" s="116" t="str">
        <f t="shared" ca="1" si="22"/>
        <v/>
      </c>
      <c r="D273" s="119" t="str">
        <f ca="1">ORÇAMENTO!O273</f>
        <v>-</v>
      </c>
      <c r="E273" s="172" t="str">
        <f t="shared" ca="1" si="23"/>
        <v>(abra o arquivo 'Referência 02-2025.xlsm)</v>
      </c>
      <c r="F273" s="173" t="str">
        <f ca="1">IF(RegimeExecucao="Global","",ORÇAMENTO.Unidade)</f>
        <v>-</v>
      </c>
      <c r="G273" s="124">
        <f ca="1">IF(RegimeExecucao="Global","",ORÇAMENTO!T273)</f>
        <v>24</v>
      </c>
      <c r="H273" s="124">
        <f ca="1">IF(RegimeExecucao="Global","",ORÇAMENTO!W273)</f>
        <v>0</v>
      </c>
      <c r="I273" s="127">
        <f ca="1">ORÇAMENTO!X273</f>
        <v>0</v>
      </c>
      <c r="J273" s="378">
        <f ca="1">IF($A273="S",IF(CAIXA.Modo,BM.AFAnterior,BM.MEDAnterior),IF(AND(RegimeExecucao="Global",$I273&gt;0,COUNTIF($AB$13:$AM$13,BM.medicao-1)&gt;0),M273/$I273*100,0))</f>
        <v>0</v>
      </c>
      <c r="K273" s="124">
        <f t="shared" ca="1" si="24"/>
        <v>0</v>
      </c>
      <c r="L273" s="379">
        <f ca="1">IF($A273="S",IF(CAIXA.Modo,BM.AFAcumulado,BM.MEDAcumulado),IF(AND(RegimeExecucao="Global",$I273&gt;0,COUNTIF($AB$13:$AM$13,BM.medicao)&gt;0),O273/$I273*100,0))</f>
        <v>0</v>
      </c>
      <c r="M273" s="380">
        <f ca="1">IF($A273="S",VTOTALBM,IF($A273=0,0,ROUND(SomaAgrupBM,15-13*ORÇAMENTO!$AF$11)))</f>
        <v>0</v>
      </c>
      <c r="N273" s="381">
        <f t="shared" ca="1" si="25"/>
        <v>0</v>
      </c>
      <c r="O273" s="127">
        <f ca="1">IF($A273="S",VTOTALBM,IF($A273=0,0,ROUND(SomaAgrupBM,15-13*ORÇAMENTO!$AF$11)))</f>
        <v>0</v>
      </c>
      <c r="Q273" s="382"/>
      <c r="R273" s="383"/>
      <c r="T273" s="119" t="str">
        <f t="shared" ca="1" si="26"/>
        <v/>
      </c>
      <c r="U273" s="172" t="str">
        <f t="shared" ca="1" si="27"/>
        <v/>
      </c>
      <c r="V273" s="173" t="str">
        <f ca="1">IF(AND($W273&gt;0,RegimeExecucao="Unitário"),$F273,"")</f>
        <v/>
      </c>
      <c r="W273" s="547">
        <f ca="1">IF($Y273&gt;0,CHOOSE(MATCH(RegimeExecucao,{"Unitário","Global"},0),IF($A273="S",$Y273/$X273,""),($Y273/$X273)*100),0)</f>
        <v>0</v>
      </c>
      <c r="X273" s="384" t="str">
        <f ca="1">IF($Y273&gt;0,CHOOSE(MATCH(RegimeExecucao,{"Unitário","Global"},0),IF($A273="S",ROUND($H273,ORÇAMENTO!$AF$10),""),ROUND($I273,ORÇAMENTO!$AF$11)),"")</f>
        <v/>
      </c>
      <c r="Y273" s="384">
        <f t="shared" ca="1" si="28"/>
        <v>0</v>
      </c>
      <c r="Z273" s="572"/>
      <c r="AB273" s="382"/>
      <c r="AC273" s="516"/>
      <c r="AD273" s="516"/>
      <c r="AE273" s="516"/>
      <c r="AF273" s="516"/>
      <c r="AG273" s="516"/>
      <c r="AH273" s="516"/>
      <c r="AI273" s="516"/>
      <c r="AJ273" s="516"/>
      <c r="AK273" s="516"/>
      <c r="AL273" s="516"/>
      <c r="AM273" s="383"/>
      <c r="AO273">
        <f ca="1">IF($A273="S",IF(BM!$I273=0,0,CHOOSE(MATCH(RegimeExecucao,{"Global","Unitário"},0),ROUND(ROUND(BM.MEDAcumulado,15-13*BM!$A$9)/100*BM!$I273,15-13*ORÇAMENTO!$AF$11),ROUND(ROUND(BM.MEDAcumulado,15-13*BM!$A$9)*ROUND(BM!$H273,15-13*ORÇAMENTO!$AF$10),15-13*ORÇAMENTO!$AF$11))),IF($A273=0,0,ROUND(SomaAgrupBM,15-13*ORÇAMENTO!$AF$11)))</f>
        <v>0</v>
      </c>
    </row>
    <row r="274" spans="1:41" ht="51" x14ac:dyDescent="0.2">
      <c r="A274" t="str">
        <f ca="1">ORÇAMENTO!C274</f>
        <v>S</v>
      </c>
      <c r="B274">
        <f ca="1">ORÇAMENTO!D274</f>
        <v>0</v>
      </c>
      <c r="C274" s="116" t="str">
        <f t="shared" ca="1" si="22"/>
        <v/>
      </c>
      <c r="D274" s="119" t="str">
        <f ca="1">ORÇAMENTO!O274</f>
        <v>-</v>
      </c>
      <c r="E274" s="172" t="str">
        <f t="shared" ca="1" si="23"/>
        <v>(abra o arquivo 'Referência 02-2025.xlsm)</v>
      </c>
      <c r="F274" s="173" t="str">
        <f ca="1">IF(RegimeExecucao="Global","",ORÇAMENTO.Unidade)</f>
        <v>-</v>
      </c>
      <c r="G274" s="124">
        <f ca="1">IF(RegimeExecucao="Global","",ORÇAMENTO!T274)</f>
        <v>83</v>
      </c>
      <c r="H274" s="124">
        <f ca="1">IF(RegimeExecucao="Global","",ORÇAMENTO!W274)</f>
        <v>0</v>
      </c>
      <c r="I274" s="127">
        <f ca="1">ORÇAMENTO!X274</f>
        <v>0</v>
      </c>
      <c r="J274" s="378">
        <f ca="1">IF($A274="S",IF(CAIXA.Modo,BM.AFAnterior,BM.MEDAnterior),IF(AND(RegimeExecucao="Global",$I274&gt;0,COUNTIF($AB$13:$AM$13,BM.medicao-1)&gt;0),M274/$I274*100,0))</f>
        <v>0</v>
      </c>
      <c r="K274" s="124">
        <f t="shared" ca="1" si="24"/>
        <v>0</v>
      </c>
      <c r="L274" s="379">
        <f ca="1">IF($A274="S",IF(CAIXA.Modo,BM.AFAcumulado,BM.MEDAcumulado),IF(AND(RegimeExecucao="Global",$I274&gt;0,COUNTIF($AB$13:$AM$13,BM.medicao)&gt;0),O274/$I274*100,0))</f>
        <v>0</v>
      </c>
      <c r="M274" s="380">
        <f ca="1">IF($A274="S",VTOTALBM,IF($A274=0,0,ROUND(SomaAgrupBM,15-13*ORÇAMENTO!$AF$11)))</f>
        <v>0</v>
      </c>
      <c r="N274" s="381">
        <f t="shared" ca="1" si="25"/>
        <v>0</v>
      </c>
      <c r="O274" s="127">
        <f ca="1">IF($A274="S",VTOTALBM,IF($A274=0,0,ROUND(SomaAgrupBM,15-13*ORÇAMENTO!$AF$11)))</f>
        <v>0</v>
      </c>
      <c r="Q274" s="382"/>
      <c r="R274" s="383"/>
      <c r="T274" s="119" t="str">
        <f t="shared" ca="1" si="26"/>
        <v/>
      </c>
      <c r="U274" s="172" t="str">
        <f t="shared" ca="1" si="27"/>
        <v/>
      </c>
      <c r="V274" s="173" t="str">
        <f ca="1">IF(AND($W274&gt;0,RegimeExecucao="Unitário"),$F274,"")</f>
        <v/>
      </c>
      <c r="W274" s="547">
        <f ca="1">IF($Y274&gt;0,CHOOSE(MATCH(RegimeExecucao,{"Unitário","Global"},0),IF($A274="S",$Y274/$X274,""),($Y274/$X274)*100),0)</f>
        <v>0</v>
      </c>
      <c r="X274" s="384" t="str">
        <f ca="1">IF($Y274&gt;0,CHOOSE(MATCH(RegimeExecucao,{"Unitário","Global"},0),IF($A274="S",ROUND($H274,ORÇAMENTO!$AF$10),""),ROUND($I274,ORÇAMENTO!$AF$11)),"")</f>
        <v/>
      </c>
      <c r="Y274" s="384">
        <f t="shared" ca="1" si="28"/>
        <v>0</v>
      </c>
      <c r="Z274" s="572"/>
      <c r="AB274" s="382"/>
      <c r="AC274" s="516"/>
      <c r="AD274" s="516"/>
      <c r="AE274" s="516"/>
      <c r="AF274" s="516"/>
      <c r="AG274" s="516"/>
      <c r="AH274" s="516"/>
      <c r="AI274" s="516"/>
      <c r="AJ274" s="516"/>
      <c r="AK274" s="516"/>
      <c r="AL274" s="516"/>
      <c r="AM274" s="383"/>
      <c r="AO274">
        <f ca="1">IF($A274="S",IF(BM!$I274=0,0,CHOOSE(MATCH(RegimeExecucao,{"Global","Unitário"},0),ROUND(ROUND(BM.MEDAcumulado,15-13*BM!$A$9)/100*BM!$I274,15-13*ORÇAMENTO!$AF$11),ROUND(ROUND(BM.MEDAcumulado,15-13*BM!$A$9)*ROUND(BM!$H274,15-13*ORÇAMENTO!$AF$10),15-13*ORÇAMENTO!$AF$11))),IF($A274=0,0,ROUND(SomaAgrupBM,15-13*ORÇAMENTO!$AF$11)))</f>
        <v>0</v>
      </c>
    </row>
    <row r="275" spans="1:41" ht="38.25" x14ac:dyDescent="0.2">
      <c r="A275" t="str">
        <f ca="1">ORÇAMENTO!C275</f>
        <v>S</v>
      </c>
      <c r="B275">
        <f ca="1">ORÇAMENTO!D275</f>
        <v>0</v>
      </c>
      <c r="C275" s="116" t="str">
        <f t="shared" ca="1" si="22"/>
        <v/>
      </c>
      <c r="D275" s="119" t="str">
        <f ca="1">ORÇAMENTO!O275</f>
        <v>-</v>
      </c>
      <c r="E275" s="172" t="str">
        <f t="shared" ca="1" si="23"/>
        <v>(abra o arquivo 'Referência 02-2025.xlsm)</v>
      </c>
      <c r="F275" s="173" t="str">
        <f ca="1">IF(RegimeExecucao="Global","",ORÇAMENTO.Unidade)</f>
        <v>-</v>
      </c>
      <c r="G275" s="124">
        <f ca="1">IF(RegimeExecucao="Global","",ORÇAMENTO!T275)</f>
        <v>2</v>
      </c>
      <c r="H275" s="124">
        <f ca="1">IF(RegimeExecucao="Global","",ORÇAMENTO!W275)</f>
        <v>0</v>
      </c>
      <c r="I275" s="127">
        <f ca="1">ORÇAMENTO!X275</f>
        <v>0</v>
      </c>
      <c r="J275" s="378">
        <f ca="1">IF($A275="S",IF(CAIXA.Modo,BM.AFAnterior,BM.MEDAnterior),IF(AND(RegimeExecucao="Global",$I275&gt;0,COUNTIF($AB$13:$AM$13,BM.medicao-1)&gt;0),M275/$I275*100,0))</f>
        <v>0</v>
      </c>
      <c r="K275" s="124">
        <f t="shared" ca="1" si="24"/>
        <v>0</v>
      </c>
      <c r="L275" s="379">
        <f ca="1">IF($A275="S",IF(CAIXA.Modo,BM.AFAcumulado,BM.MEDAcumulado),IF(AND(RegimeExecucao="Global",$I275&gt;0,COUNTIF($AB$13:$AM$13,BM.medicao)&gt;0),O275/$I275*100,0))</f>
        <v>0</v>
      </c>
      <c r="M275" s="380">
        <f ca="1">IF($A275="S",VTOTALBM,IF($A275=0,0,ROUND(SomaAgrupBM,15-13*ORÇAMENTO!$AF$11)))</f>
        <v>0</v>
      </c>
      <c r="N275" s="381">
        <f t="shared" ca="1" si="25"/>
        <v>0</v>
      </c>
      <c r="O275" s="127">
        <f ca="1">IF($A275="S",VTOTALBM,IF($A275=0,0,ROUND(SomaAgrupBM,15-13*ORÇAMENTO!$AF$11)))</f>
        <v>0</v>
      </c>
      <c r="Q275" s="382"/>
      <c r="R275" s="383"/>
      <c r="T275" s="119" t="str">
        <f t="shared" ca="1" si="26"/>
        <v/>
      </c>
      <c r="U275" s="172" t="str">
        <f t="shared" ca="1" si="27"/>
        <v/>
      </c>
      <c r="V275" s="173" t="str">
        <f ca="1">IF(AND($W275&gt;0,RegimeExecucao="Unitário"),$F275,"")</f>
        <v/>
      </c>
      <c r="W275" s="547">
        <f ca="1">IF($Y275&gt;0,CHOOSE(MATCH(RegimeExecucao,{"Unitário","Global"},0),IF($A275="S",$Y275/$X275,""),($Y275/$X275)*100),0)</f>
        <v>0</v>
      </c>
      <c r="X275" s="384" t="str">
        <f ca="1">IF($Y275&gt;0,CHOOSE(MATCH(RegimeExecucao,{"Unitário","Global"},0),IF($A275="S",ROUND($H275,ORÇAMENTO!$AF$10),""),ROUND($I275,ORÇAMENTO!$AF$11)),"")</f>
        <v/>
      </c>
      <c r="Y275" s="384">
        <f t="shared" ca="1" si="28"/>
        <v>0</v>
      </c>
      <c r="Z275" s="572"/>
      <c r="AB275" s="382"/>
      <c r="AC275" s="516"/>
      <c r="AD275" s="516"/>
      <c r="AE275" s="516"/>
      <c r="AF275" s="516"/>
      <c r="AG275" s="516"/>
      <c r="AH275" s="516"/>
      <c r="AI275" s="516"/>
      <c r="AJ275" s="516"/>
      <c r="AK275" s="516"/>
      <c r="AL275" s="516"/>
      <c r="AM275" s="383"/>
      <c r="AO275">
        <f ca="1">IF($A275="S",IF(BM!$I275=0,0,CHOOSE(MATCH(RegimeExecucao,{"Global","Unitário"},0),ROUND(ROUND(BM.MEDAcumulado,15-13*BM!$A$9)/100*BM!$I275,15-13*ORÇAMENTO!$AF$11),ROUND(ROUND(BM.MEDAcumulado,15-13*BM!$A$9)*ROUND(BM!$H275,15-13*ORÇAMENTO!$AF$10),15-13*ORÇAMENTO!$AF$11))),IF($A275=0,0,ROUND(SomaAgrupBM,15-13*ORÇAMENTO!$AF$11)))</f>
        <v>0</v>
      </c>
    </row>
    <row r="276" spans="1:41" ht="51" x14ac:dyDescent="0.2">
      <c r="A276" t="str">
        <f ca="1">ORÇAMENTO!C276</f>
        <v>S</v>
      </c>
      <c r="B276">
        <f ca="1">ORÇAMENTO!D276</f>
        <v>0</v>
      </c>
      <c r="C276" s="116" t="str">
        <f t="shared" ca="1" si="22"/>
        <v/>
      </c>
      <c r="D276" s="119" t="str">
        <f ca="1">ORÇAMENTO!O276</f>
        <v>-</v>
      </c>
      <c r="E276" s="172" t="str">
        <f t="shared" ca="1" si="23"/>
        <v>(abra o arquivo 'Referência 02-2025.xlsm)</v>
      </c>
      <c r="F276" s="173" t="str">
        <f ca="1">IF(RegimeExecucao="Global","",ORÇAMENTO.Unidade)</f>
        <v>-</v>
      </c>
      <c r="G276" s="124">
        <f ca="1">IF(RegimeExecucao="Global","",ORÇAMENTO!T276)</f>
        <v>56</v>
      </c>
      <c r="H276" s="124">
        <f ca="1">IF(RegimeExecucao="Global","",ORÇAMENTO!W276)</f>
        <v>0</v>
      </c>
      <c r="I276" s="127">
        <f ca="1">ORÇAMENTO!X276</f>
        <v>0</v>
      </c>
      <c r="J276" s="378">
        <f ca="1">IF($A276="S",IF(CAIXA.Modo,BM.AFAnterior,BM.MEDAnterior),IF(AND(RegimeExecucao="Global",$I276&gt;0,COUNTIF($AB$13:$AM$13,BM.medicao-1)&gt;0),M276/$I276*100,0))</f>
        <v>0</v>
      </c>
      <c r="K276" s="124">
        <f t="shared" ca="1" si="24"/>
        <v>0</v>
      </c>
      <c r="L276" s="379">
        <f ca="1">IF($A276="S",IF(CAIXA.Modo,BM.AFAcumulado,BM.MEDAcumulado),IF(AND(RegimeExecucao="Global",$I276&gt;0,COUNTIF($AB$13:$AM$13,BM.medicao)&gt;0),O276/$I276*100,0))</f>
        <v>0</v>
      </c>
      <c r="M276" s="380">
        <f ca="1">IF($A276="S",VTOTALBM,IF($A276=0,0,ROUND(SomaAgrupBM,15-13*ORÇAMENTO!$AF$11)))</f>
        <v>0</v>
      </c>
      <c r="N276" s="381">
        <f t="shared" ca="1" si="25"/>
        <v>0</v>
      </c>
      <c r="O276" s="127">
        <f ca="1">IF($A276="S",VTOTALBM,IF($A276=0,0,ROUND(SomaAgrupBM,15-13*ORÇAMENTO!$AF$11)))</f>
        <v>0</v>
      </c>
      <c r="Q276" s="382"/>
      <c r="R276" s="383"/>
      <c r="T276" s="119" t="str">
        <f t="shared" ca="1" si="26"/>
        <v/>
      </c>
      <c r="U276" s="172" t="str">
        <f t="shared" ca="1" si="27"/>
        <v/>
      </c>
      <c r="V276" s="173" t="str">
        <f ca="1">IF(AND($W276&gt;0,RegimeExecucao="Unitário"),$F276,"")</f>
        <v/>
      </c>
      <c r="W276" s="547">
        <f ca="1">IF($Y276&gt;0,CHOOSE(MATCH(RegimeExecucao,{"Unitário","Global"},0),IF($A276="S",$Y276/$X276,""),($Y276/$X276)*100),0)</f>
        <v>0</v>
      </c>
      <c r="X276" s="384" t="str">
        <f ca="1">IF($Y276&gt;0,CHOOSE(MATCH(RegimeExecucao,{"Unitário","Global"},0),IF($A276="S",ROUND($H276,ORÇAMENTO!$AF$10),""),ROUND($I276,ORÇAMENTO!$AF$11)),"")</f>
        <v/>
      </c>
      <c r="Y276" s="384">
        <f t="shared" ca="1" si="28"/>
        <v>0</v>
      </c>
      <c r="Z276" s="572"/>
      <c r="AB276" s="382"/>
      <c r="AC276" s="516"/>
      <c r="AD276" s="516"/>
      <c r="AE276" s="516"/>
      <c r="AF276" s="516"/>
      <c r="AG276" s="516"/>
      <c r="AH276" s="516"/>
      <c r="AI276" s="516"/>
      <c r="AJ276" s="516"/>
      <c r="AK276" s="516"/>
      <c r="AL276" s="516"/>
      <c r="AM276" s="383"/>
      <c r="AO276">
        <f ca="1">IF($A276="S",IF(BM!$I276=0,0,CHOOSE(MATCH(RegimeExecucao,{"Global","Unitário"},0),ROUND(ROUND(BM.MEDAcumulado,15-13*BM!$A$9)/100*BM!$I276,15-13*ORÇAMENTO!$AF$11),ROUND(ROUND(BM.MEDAcumulado,15-13*BM!$A$9)*ROUND(BM!$H276,15-13*ORÇAMENTO!$AF$10),15-13*ORÇAMENTO!$AF$11))),IF($A276=0,0,ROUND(SomaAgrupBM,15-13*ORÇAMENTO!$AF$11)))</f>
        <v>0</v>
      </c>
    </row>
    <row r="277" spans="1:41" ht="38.25" x14ac:dyDescent="0.2">
      <c r="A277" t="str">
        <f ca="1">ORÇAMENTO!C277</f>
        <v>S</v>
      </c>
      <c r="B277">
        <f ca="1">ORÇAMENTO!D277</f>
        <v>0</v>
      </c>
      <c r="C277" s="116" t="str">
        <f t="shared" ca="1" si="22"/>
        <v/>
      </c>
      <c r="D277" s="119" t="str">
        <f ca="1">ORÇAMENTO!O277</f>
        <v>-</v>
      </c>
      <c r="E277" s="172" t="str">
        <f t="shared" ca="1" si="23"/>
        <v>(abra o arquivo 'Referência 02-2025.xlsm)</v>
      </c>
      <c r="F277" s="173" t="str">
        <f ca="1">IF(RegimeExecucao="Global","",ORÇAMENTO.Unidade)</f>
        <v>-</v>
      </c>
      <c r="G277" s="124">
        <f ca="1">IF(RegimeExecucao="Global","",ORÇAMENTO!T277)</f>
        <v>16</v>
      </c>
      <c r="H277" s="124">
        <f ca="1">IF(RegimeExecucao="Global","",ORÇAMENTO!W277)</f>
        <v>0</v>
      </c>
      <c r="I277" s="127">
        <f ca="1">ORÇAMENTO!X277</f>
        <v>0</v>
      </c>
      <c r="J277" s="378">
        <f ca="1">IF($A277="S",IF(CAIXA.Modo,BM.AFAnterior,BM.MEDAnterior),IF(AND(RegimeExecucao="Global",$I277&gt;0,COUNTIF($AB$13:$AM$13,BM.medicao-1)&gt;0),M277/$I277*100,0))</f>
        <v>0</v>
      </c>
      <c r="K277" s="124">
        <f t="shared" ca="1" si="24"/>
        <v>0</v>
      </c>
      <c r="L277" s="379">
        <f ca="1">IF($A277="S",IF(CAIXA.Modo,BM.AFAcumulado,BM.MEDAcumulado),IF(AND(RegimeExecucao="Global",$I277&gt;0,COUNTIF($AB$13:$AM$13,BM.medicao)&gt;0),O277/$I277*100,0))</f>
        <v>0</v>
      </c>
      <c r="M277" s="380">
        <f ca="1">IF($A277="S",VTOTALBM,IF($A277=0,0,ROUND(SomaAgrupBM,15-13*ORÇAMENTO!$AF$11)))</f>
        <v>0</v>
      </c>
      <c r="N277" s="381">
        <f t="shared" ca="1" si="25"/>
        <v>0</v>
      </c>
      <c r="O277" s="127">
        <f ca="1">IF($A277="S",VTOTALBM,IF($A277=0,0,ROUND(SomaAgrupBM,15-13*ORÇAMENTO!$AF$11)))</f>
        <v>0</v>
      </c>
      <c r="Q277" s="382"/>
      <c r="R277" s="383"/>
      <c r="T277" s="119" t="str">
        <f t="shared" ca="1" si="26"/>
        <v/>
      </c>
      <c r="U277" s="172" t="str">
        <f t="shared" ca="1" si="27"/>
        <v/>
      </c>
      <c r="V277" s="173" t="str">
        <f ca="1">IF(AND($W277&gt;0,RegimeExecucao="Unitário"),$F277,"")</f>
        <v/>
      </c>
      <c r="W277" s="547">
        <f ca="1">IF($Y277&gt;0,CHOOSE(MATCH(RegimeExecucao,{"Unitário","Global"},0),IF($A277="S",$Y277/$X277,""),($Y277/$X277)*100),0)</f>
        <v>0</v>
      </c>
      <c r="X277" s="384" t="str">
        <f ca="1">IF($Y277&gt;0,CHOOSE(MATCH(RegimeExecucao,{"Unitário","Global"},0),IF($A277="S",ROUND($H277,ORÇAMENTO!$AF$10),""),ROUND($I277,ORÇAMENTO!$AF$11)),"")</f>
        <v/>
      </c>
      <c r="Y277" s="384">
        <f t="shared" ca="1" si="28"/>
        <v>0</v>
      </c>
      <c r="Z277" s="572"/>
      <c r="AB277" s="382"/>
      <c r="AC277" s="516"/>
      <c r="AD277" s="516"/>
      <c r="AE277" s="516"/>
      <c r="AF277" s="516"/>
      <c r="AG277" s="516"/>
      <c r="AH277" s="516"/>
      <c r="AI277" s="516"/>
      <c r="AJ277" s="516"/>
      <c r="AK277" s="516"/>
      <c r="AL277" s="516"/>
      <c r="AM277" s="383"/>
      <c r="AO277">
        <f ca="1">IF($A277="S",IF(BM!$I277=0,0,CHOOSE(MATCH(RegimeExecucao,{"Global","Unitário"},0),ROUND(ROUND(BM.MEDAcumulado,15-13*BM!$A$9)/100*BM!$I277,15-13*ORÇAMENTO!$AF$11),ROUND(ROUND(BM.MEDAcumulado,15-13*BM!$A$9)*ROUND(BM!$H277,15-13*ORÇAMENTO!$AF$10),15-13*ORÇAMENTO!$AF$11))),IF($A277=0,0,ROUND(SomaAgrupBM,15-13*ORÇAMENTO!$AF$11)))</f>
        <v>0</v>
      </c>
    </row>
    <row r="278" spans="1:41" ht="38.25" x14ac:dyDescent="0.2">
      <c r="A278" t="str">
        <f ca="1">ORÇAMENTO!C278</f>
        <v>S</v>
      </c>
      <c r="B278">
        <f ca="1">ORÇAMENTO!D278</f>
        <v>0</v>
      </c>
      <c r="C278" s="116" t="str">
        <f t="shared" ca="1" si="22"/>
        <v/>
      </c>
      <c r="D278" s="119" t="str">
        <f ca="1">ORÇAMENTO!O278</f>
        <v>-</v>
      </c>
      <c r="E278" s="172" t="str">
        <f t="shared" ca="1" si="23"/>
        <v>(abra o arquivo 'Referência 02-2025.xlsm)</v>
      </c>
      <c r="F278" s="173" t="str">
        <f ca="1">IF(RegimeExecucao="Global","",ORÇAMENTO.Unidade)</f>
        <v>-</v>
      </c>
      <c r="G278" s="124">
        <f ca="1">IF(RegimeExecucao="Global","",ORÇAMENTO!T278)</f>
        <v>16</v>
      </c>
      <c r="H278" s="124">
        <f ca="1">IF(RegimeExecucao="Global","",ORÇAMENTO!W278)</f>
        <v>0</v>
      </c>
      <c r="I278" s="127">
        <f ca="1">ORÇAMENTO!X278</f>
        <v>0</v>
      </c>
      <c r="J278" s="378">
        <f ca="1">IF($A278="S",IF(CAIXA.Modo,BM.AFAnterior,BM.MEDAnterior),IF(AND(RegimeExecucao="Global",$I278&gt;0,COUNTIF($AB$13:$AM$13,BM.medicao-1)&gt;0),M278/$I278*100,0))</f>
        <v>0</v>
      </c>
      <c r="K278" s="124">
        <f t="shared" ca="1" si="24"/>
        <v>0</v>
      </c>
      <c r="L278" s="379">
        <f ca="1">IF($A278="S",IF(CAIXA.Modo,BM.AFAcumulado,BM.MEDAcumulado),IF(AND(RegimeExecucao="Global",$I278&gt;0,COUNTIF($AB$13:$AM$13,BM.medicao)&gt;0),O278/$I278*100,0))</f>
        <v>0</v>
      </c>
      <c r="M278" s="380">
        <f ca="1">IF($A278="S",VTOTALBM,IF($A278=0,0,ROUND(SomaAgrupBM,15-13*ORÇAMENTO!$AF$11)))</f>
        <v>0</v>
      </c>
      <c r="N278" s="381">
        <f t="shared" ca="1" si="25"/>
        <v>0</v>
      </c>
      <c r="O278" s="127">
        <f ca="1">IF($A278="S",VTOTALBM,IF($A278=0,0,ROUND(SomaAgrupBM,15-13*ORÇAMENTO!$AF$11)))</f>
        <v>0</v>
      </c>
      <c r="Q278" s="382"/>
      <c r="R278" s="383"/>
      <c r="T278" s="119" t="str">
        <f t="shared" ca="1" si="26"/>
        <v/>
      </c>
      <c r="U278" s="172" t="str">
        <f t="shared" ca="1" si="27"/>
        <v/>
      </c>
      <c r="V278" s="173" t="str">
        <f ca="1">IF(AND($W278&gt;0,RegimeExecucao="Unitário"),$F278,"")</f>
        <v/>
      </c>
      <c r="W278" s="547">
        <f ca="1">IF($Y278&gt;0,CHOOSE(MATCH(RegimeExecucao,{"Unitário","Global"},0),IF($A278="S",$Y278/$X278,""),($Y278/$X278)*100),0)</f>
        <v>0</v>
      </c>
      <c r="X278" s="384" t="str">
        <f ca="1">IF($Y278&gt;0,CHOOSE(MATCH(RegimeExecucao,{"Unitário","Global"},0),IF($A278="S",ROUND($H278,ORÇAMENTO!$AF$10),""),ROUND($I278,ORÇAMENTO!$AF$11)),"")</f>
        <v/>
      </c>
      <c r="Y278" s="384">
        <f t="shared" ca="1" si="28"/>
        <v>0</v>
      </c>
      <c r="Z278" s="572"/>
      <c r="AB278" s="382"/>
      <c r="AC278" s="516"/>
      <c r="AD278" s="516"/>
      <c r="AE278" s="516"/>
      <c r="AF278" s="516"/>
      <c r="AG278" s="516"/>
      <c r="AH278" s="516"/>
      <c r="AI278" s="516"/>
      <c r="AJ278" s="516"/>
      <c r="AK278" s="516"/>
      <c r="AL278" s="516"/>
      <c r="AM278" s="383"/>
      <c r="AO278">
        <f ca="1">IF($A278="S",IF(BM!$I278=0,0,CHOOSE(MATCH(RegimeExecucao,{"Global","Unitário"},0),ROUND(ROUND(BM.MEDAcumulado,15-13*BM!$A$9)/100*BM!$I278,15-13*ORÇAMENTO!$AF$11),ROUND(ROUND(BM.MEDAcumulado,15-13*BM!$A$9)*ROUND(BM!$H278,15-13*ORÇAMENTO!$AF$10),15-13*ORÇAMENTO!$AF$11))),IF($A278=0,0,ROUND(SomaAgrupBM,15-13*ORÇAMENTO!$AF$11)))</f>
        <v>0</v>
      </c>
    </row>
    <row r="279" spans="1:41" ht="38.25" x14ac:dyDescent="0.2">
      <c r="A279" t="str">
        <f ca="1">ORÇAMENTO!C279</f>
        <v>S</v>
      </c>
      <c r="B279">
        <f ca="1">ORÇAMENTO!D279</f>
        <v>0</v>
      </c>
      <c r="C279" s="116" t="str">
        <f t="shared" ca="1" si="22"/>
        <v/>
      </c>
      <c r="D279" s="119" t="str">
        <f ca="1">ORÇAMENTO!O279</f>
        <v>-</v>
      </c>
      <c r="E279" s="172" t="str">
        <f t="shared" ca="1" si="23"/>
        <v>(abra o arquivo 'Referência 02-2025.xlsm)</v>
      </c>
      <c r="F279" s="173" t="str">
        <f ca="1">IF(RegimeExecucao="Global","",ORÇAMENTO.Unidade)</f>
        <v>-</v>
      </c>
      <c r="G279" s="124">
        <f ca="1">IF(RegimeExecucao="Global","",ORÇAMENTO!T279)</f>
        <v>38</v>
      </c>
      <c r="H279" s="124">
        <f ca="1">IF(RegimeExecucao="Global","",ORÇAMENTO!W279)</f>
        <v>0</v>
      </c>
      <c r="I279" s="127">
        <f ca="1">ORÇAMENTO!X279</f>
        <v>0</v>
      </c>
      <c r="J279" s="378">
        <f ca="1">IF($A279="S",IF(CAIXA.Modo,BM.AFAnterior,BM.MEDAnterior),IF(AND(RegimeExecucao="Global",$I279&gt;0,COUNTIF($AB$13:$AM$13,BM.medicao-1)&gt;0),M279/$I279*100,0))</f>
        <v>0</v>
      </c>
      <c r="K279" s="124">
        <f t="shared" ca="1" si="24"/>
        <v>0</v>
      </c>
      <c r="L279" s="379">
        <f ca="1">IF($A279="S",IF(CAIXA.Modo,BM.AFAcumulado,BM.MEDAcumulado),IF(AND(RegimeExecucao="Global",$I279&gt;0,COUNTIF($AB$13:$AM$13,BM.medicao)&gt;0),O279/$I279*100,0))</f>
        <v>0</v>
      </c>
      <c r="M279" s="380">
        <f ca="1">IF($A279="S",VTOTALBM,IF($A279=0,0,ROUND(SomaAgrupBM,15-13*ORÇAMENTO!$AF$11)))</f>
        <v>0</v>
      </c>
      <c r="N279" s="381">
        <f t="shared" ca="1" si="25"/>
        <v>0</v>
      </c>
      <c r="O279" s="127">
        <f ca="1">IF($A279="S",VTOTALBM,IF($A279=0,0,ROUND(SomaAgrupBM,15-13*ORÇAMENTO!$AF$11)))</f>
        <v>0</v>
      </c>
      <c r="Q279" s="382"/>
      <c r="R279" s="383"/>
      <c r="T279" s="119" t="str">
        <f t="shared" ca="1" si="26"/>
        <v/>
      </c>
      <c r="U279" s="172" t="str">
        <f t="shared" ca="1" si="27"/>
        <v/>
      </c>
      <c r="V279" s="173" t="str">
        <f ca="1">IF(AND($W279&gt;0,RegimeExecucao="Unitário"),$F279,"")</f>
        <v/>
      </c>
      <c r="W279" s="547">
        <f ca="1">IF($Y279&gt;0,CHOOSE(MATCH(RegimeExecucao,{"Unitário","Global"},0),IF($A279="S",$Y279/$X279,""),($Y279/$X279)*100),0)</f>
        <v>0</v>
      </c>
      <c r="X279" s="384" t="str">
        <f ca="1">IF($Y279&gt;0,CHOOSE(MATCH(RegimeExecucao,{"Unitário","Global"},0),IF($A279="S",ROUND($H279,ORÇAMENTO!$AF$10),""),ROUND($I279,ORÇAMENTO!$AF$11)),"")</f>
        <v/>
      </c>
      <c r="Y279" s="384">
        <f t="shared" ca="1" si="28"/>
        <v>0</v>
      </c>
      <c r="Z279" s="572"/>
      <c r="AB279" s="382"/>
      <c r="AC279" s="516"/>
      <c r="AD279" s="516"/>
      <c r="AE279" s="516"/>
      <c r="AF279" s="516"/>
      <c r="AG279" s="516"/>
      <c r="AH279" s="516"/>
      <c r="AI279" s="516"/>
      <c r="AJ279" s="516"/>
      <c r="AK279" s="516"/>
      <c r="AL279" s="516"/>
      <c r="AM279" s="383"/>
      <c r="AO279">
        <f ca="1">IF($A279="S",IF(BM!$I279=0,0,CHOOSE(MATCH(RegimeExecucao,{"Global","Unitário"},0),ROUND(ROUND(BM.MEDAcumulado,15-13*BM!$A$9)/100*BM!$I279,15-13*ORÇAMENTO!$AF$11),ROUND(ROUND(BM.MEDAcumulado,15-13*BM!$A$9)*ROUND(BM!$H279,15-13*ORÇAMENTO!$AF$10),15-13*ORÇAMENTO!$AF$11))),IF($A279=0,0,ROUND(SomaAgrupBM,15-13*ORÇAMENTO!$AF$11)))</f>
        <v>0</v>
      </c>
    </row>
    <row r="280" spans="1:41" ht="38.25" x14ac:dyDescent="0.2">
      <c r="A280" t="str">
        <f ca="1">ORÇAMENTO!C280</f>
        <v>S</v>
      </c>
      <c r="B280">
        <f ca="1">ORÇAMENTO!D280</f>
        <v>0</v>
      </c>
      <c r="C280" s="116" t="str">
        <f t="shared" ca="1" si="22"/>
        <v/>
      </c>
      <c r="D280" s="119" t="str">
        <f ca="1">ORÇAMENTO!O280</f>
        <v>-</v>
      </c>
      <c r="E280" s="172" t="str">
        <f t="shared" ca="1" si="23"/>
        <v>(abra o arquivo 'Referência 02-2025.xlsm)</v>
      </c>
      <c r="F280" s="173" t="str">
        <f ca="1">IF(RegimeExecucao="Global","",ORÇAMENTO.Unidade)</f>
        <v>-</v>
      </c>
      <c r="G280" s="124">
        <f ca="1">IF(RegimeExecucao="Global","",ORÇAMENTO!T280)</f>
        <v>18</v>
      </c>
      <c r="H280" s="124">
        <f ca="1">IF(RegimeExecucao="Global","",ORÇAMENTO!W280)</f>
        <v>0</v>
      </c>
      <c r="I280" s="127">
        <f ca="1">ORÇAMENTO!X280</f>
        <v>0</v>
      </c>
      <c r="J280" s="378">
        <f ca="1">IF($A280="S",IF(CAIXA.Modo,BM.AFAnterior,BM.MEDAnterior),IF(AND(RegimeExecucao="Global",$I280&gt;0,COUNTIF($AB$13:$AM$13,BM.medicao-1)&gt;0),M280/$I280*100,0))</f>
        <v>0</v>
      </c>
      <c r="K280" s="124">
        <f t="shared" ca="1" si="24"/>
        <v>0</v>
      </c>
      <c r="L280" s="379">
        <f ca="1">IF($A280="S",IF(CAIXA.Modo,BM.AFAcumulado,BM.MEDAcumulado),IF(AND(RegimeExecucao="Global",$I280&gt;0,COUNTIF($AB$13:$AM$13,BM.medicao)&gt;0),O280/$I280*100,0))</f>
        <v>0</v>
      </c>
      <c r="M280" s="380">
        <f ca="1">IF($A280="S",VTOTALBM,IF($A280=0,0,ROUND(SomaAgrupBM,15-13*ORÇAMENTO!$AF$11)))</f>
        <v>0</v>
      </c>
      <c r="N280" s="381">
        <f t="shared" ca="1" si="25"/>
        <v>0</v>
      </c>
      <c r="O280" s="127">
        <f ca="1">IF($A280="S",VTOTALBM,IF($A280=0,0,ROUND(SomaAgrupBM,15-13*ORÇAMENTO!$AF$11)))</f>
        <v>0</v>
      </c>
      <c r="Q280" s="382"/>
      <c r="R280" s="383"/>
      <c r="T280" s="119" t="str">
        <f t="shared" ca="1" si="26"/>
        <v/>
      </c>
      <c r="U280" s="172" t="str">
        <f t="shared" ca="1" si="27"/>
        <v/>
      </c>
      <c r="V280" s="173" t="str">
        <f ca="1">IF(AND($W280&gt;0,RegimeExecucao="Unitário"),$F280,"")</f>
        <v/>
      </c>
      <c r="W280" s="547">
        <f ca="1">IF($Y280&gt;0,CHOOSE(MATCH(RegimeExecucao,{"Unitário","Global"},0),IF($A280="S",$Y280/$X280,""),($Y280/$X280)*100),0)</f>
        <v>0</v>
      </c>
      <c r="X280" s="384" t="str">
        <f ca="1">IF($Y280&gt;0,CHOOSE(MATCH(RegimeExecucao,{"Unitário","Global"},0),IF($A280="S",ROUND($H280,ORÇAMENTO!$AF$10),""),ROUND($I280,ORÇAMENTO!$AF$11)),"")</f>
        <v/>
      </c>
      <c r="Y280" s="384">
        <f t="shared" ca="1" si="28"/>
        <v>0</v>
      </c>
      <c r="Z280" s="572"/>
      <c r="AB280" s="382"/>
      <c r="AC280" s="516"/>
      <c r="AD280" s="516"/>
      <c r="AE280" s="516"/>
      <c r="AF280" s="516"/>
      <c r="AG280" s="516"/>
      <c r="AH280" s="516"/>
      <c r="AI280" s="516"/>
      <c r="AJ280" s="516"/>
      <c r="AK280" s="516"/>
      <c r="AL280" s="516"/>
      <c r="AM280" s="383"/>
      <c r="AO280">
        <f ca="1">IF($A280="S",IF(BM!$I280=0,0,CHOOSE(MATCH(RegimeExecucao,{"Global","Unitário"},0),ROUND(ROUND(BM.MEDAcumulado,15-13*BM!$A$9)/100*BM!$I280,15-13*ORÇAMENTO!$AF$11),ROUND(ROUND(BM.MEDAcumulado,15-13*BM!$A$9)*ROUND(BM!$H280,15-13*ORÇAMENTO!$AF$10),15-13*ORÇAMENTO!$AF$11))),IF($A280=0,0,ROUND(SomaAgrupBM,15-13*ORÇAMENTO!$AF$11)))</f>
        <v>0</v>
      </c>
    </row>
    <row r="281" spans="1:41" ht="25.5" x14ac:dyDescent="0.2">
      <c r="A281" t="str">
        <f ca="1">ORÇAMENTO!C281</f>
        <v>S</v>
      </c>
      <c r="B281">
        <f ca="1">ORÇAMENTO!D281</f>
        <v>0</v>
      </c>
      <c r="C281" s="116" t="str">
        <f t="shared" ca="1" si="22"/>
        <v/>
      </c>
      <c r="D281" s="119" t="str">
        <f ca="1">ORÇAMENTO!O281</f>
        <v>-</v>
      </c>
      <c r="E281" s="172" t="str">
        <f t="shared" ca="1" si="23"/>
        <v>(abra o arquivo 'Referência 02-2025.xlsm)</v>
      </c>
      <c r="F281" s="173" t="str">
        <f ca="1">IF(RegimeExecucao="Global","",ORÇAMENTO.Unidade)</f>
        <v>-</v>
      </c>
      <c r="G281" s="124">
        <f ca="1">IF(RegimeExecucao="Global","",ORÇAMENTO!T281)</f>
        <v>1</v>
      </c>
      <c r="H281" s="124">
        <f ca="1">IF(RegimeExecucao="Global","",ORÇAMENTO!W281)</f>
        <v>0</v>
      </c>
      <c r="I281" s="127">
        <f ca="1">ORÇAMENTO!X281</f>
        <v>0</v>
      </c>
      <c r="J281" s="378">
        <f ca="1">IF($A281="S",IF(CAIXA.Modo,BM.AFAnterior,BM.MEDAnterior),IF(AND(RegimeExecucao="Global",$I281&gt;0,COUNTIF($AB$13:$AM$13,BM.medicao-1)&gt;0),M281/$I281*100,0))</f>
        <v>0</v>
      </c>
      <c r="K281" s="124">
        <f t="shared" ca="1" si="24"/>
        <v>0</v>
      </c>
      <c r="L281" s="379">
        <f ca="1">IF($A281="S",IF(CAIXA.Modo,BM.AFAcumulado,BM.MEDAcumulado),IF(AND(RegimeExecucao="Global",$I281&gt;0,COUNTIF($AB$13:$AM$13,BM.medicao)&gt;0),O281/$I281*100,0))</f>
        <v>0</v>
      </c>
      <c r="M281" s="380">
        <f ca="1">IF($A281="S",VTOTALBM,IF($A281=0,0,ROUND(SomaAgrupBM,15-13*ORÇAMENTO!$AF$11)))</f>
        <v>0</v>
      </c>
      <c r="N281" s="381">
        <f t="shared" ca="1" si="25"/>
        <v>0</v>
      </c>
      <c r="O281" s="127">
        <f ca="1">IF($A281="S",VTOTALBM,IF($A281=0,0,ROUND(SomaAgrupBM,15-13*ORÇAMENTO!$AF$11)))</f>
        <v>0</v>
      </c>
      <c r="Q281" s="382"/>
      <c r="R281" s="383"/>
      <c r="T281" s="119" t="str">
        <f t="shared" ca="1" si="26"/>
        <v/>
      </c>
      <c r="U281" s="172" t="str">
        <f t="shared" ca="1" si="27"/>
        <v/>
      </c>
      <c r="V281" s="173" t="str">
        <f ca="1">IF(AND($W281&gt;0,RegimeExecucao="Unitário"),$F281,"")</f>
        <v/>
      </c>
      <c r="W281" s="547">
        <f ca="1">IF($Y281&gt;0,CHOOSE(MATCH(RegimeExecucao,{"Unitário","Global"},0),IF($A281="S",$Y281/$X281,""),($Y281/$X281)*100),0)</f>
        <v>0</v>
      </c>
      <c r="X281" s="384" t="str">
        <f ca="1">IF($Y281&gt;0,CHOOSE(MATCH(RegimeExecucao,{"Unitário","Global"},0),IF($A281="S",ROUND($H281,ORÇAMENTO!$AF$10),""),ROUND($I281,ORÇAMENTO!$AF$11)),"")</f>
        <v/>
      </c>
      <c r="Y281" s="384">
        <f t="shared" ca="1" si="28"/>
        <v>0</v>
      </c>
      <c r="Z281" s="572"/>
      <c r="AB281" s="382"/>
      <c r="AC281" s="516"/>
      <c r="AD281" s="516"/>
      <c r="AE281" s="516"/>
      <c r="AF281" s="516"/>
      <c r="AG281" s="516"/>
      <c r="AH281" s="516"/>
      <c r="AI281" s="516"/>
      <c r="AJ281" s="516"/>
      <c r="AK281" s="516"/>
      <c r="AL281" s="516"/>
      <c r="AM281" s="383"/>
      <c r="AO281">
        <f ca="1">IF($A281="S",IF(BM!$I281=0,0,CHOOSE(MATCH(RegimeExecucao,{"Global","Unitário"},0),ROUND(ROUND(BM.MEDAcumulado,15-13*BM!$A$9)/100*BM!$I281,15-13*ORÇAMENTO!$AF$11),ROUND(ROUND(BM.MEDAcumulado,15-13*BM!$A$9)*ROUND(BM!$H281,15-13*ORÇAMENTO!$AF$10),15-13*ORÇAMENTO!$AF$11))),IF($A281=0,0,ROUND(SomaAgrupBM,15-13*ORÇAMENTO!$AF$11)))</f>
        <v>0</v>
      </c>
    </row>
    <row r="282" spans="1:41" ht="38.25" x14ac:dyDescent="0.2">
      <c r="A282" t="str">
        <f ca="1">ORÇAMENTO!C282</f>
        <v>S</v>
      </c>
      <c r="B282">
        <f ca="1">ORÇAMENTO!D282</f>
        <v>0</v>
      </c>
      <c r="C282" s="116" t="str">
        <f t="shared" ca="1" si="22"/>
        <v/>
      </c>
      <c r="D282" s="119" t="str">
        <f ca="1">ORÇAMENTO!O282</f>
        <v>-</v>
      </c>
      <c r="E282" s="172" t="str">
        <f t="shared" ca="1" si="23"/>
        <v>(abra o arquivo 'Referência 02-2025.xlsm)</v>
      </c>
      <c r="F282" s="173" t="str">
        <f ca="1">IF(RegimeExecucao="Global","",ORÇAMENTO.Unidade)</f>
        <v>-</v>
      </c>
      <c r="G282" s="124">
        <f ca="1">IF(RegimeExecucao="Global","",ORÇAMENTO!T282)</f>
        <v>25</v>
      </c>
      <c r="H282" s="124">
        <f ca="1">IF(RegimeExecucao="Global","",ORÇAMENTO!W282)</f>
        <v>0</v>
      </c>
      <c r="I282" s="127">
        <f ca="1">ORÇAMENTO!X282</f>
        <v>0</v>
      </c>
      <c r="J282" s="378">
        <f ca="1">IF($A282="S",IF(CAIXA.Modo,BM.AFAnterior,BM.MEDAnterior),IF(AND(RegimeExecucao="Global",$I282&gt;0,COUNTIF($AB$13:$AM$13,BM.medicao-1)&gt;0),M282/$I282*100,0))</f>
        <v>0</v>
      </c>
      <c r="K282" s="124">
        <f t="shared" ca="1" si="24"/>
        <v>0</v>
      </c>
      <c r="L282" s="379">
        <f ca="1">IF($A282="S",IF(CAIXA.Modo,BM.AFAcumulado,BM.MEDAcumulado),IF(AND(RegimeExecucao="Global",$I282&gt;0,COUNTIF($AB$13:$AM$13,BM.medicao)&gt;0),O282/$I282*100,0))</f>
        <v>0</v>
      </c>
      <c r="M282" s="380">
        <f ca="1">IF($A282="S",VTOTALBM,IF($A282=0,0,ROUND(SomaAgrupBM,15-13*ORÇAMENTO!$AF$11)))</f>
        <v>0</v>
      </c>
      <c r="N282" s="381">
        <f t="shared" ca="1" si="25"/>
        <v>0</v>
      </c>
      <c r="O282" s="127">
        <f ca="1">IF($A282="S",VTOTALBM,IF($A282=0,0,ROUND(SomaAgrupBM,15-13*ORÇAMENTO!$AF$11)))</f>
        <v>0</v>
      </c>
      <c r="Q282" s="382"/>
      <c r="R282" s="383"/>
      <c r="T282" s="119" t="str">
        <f t="shared" ca="1" si="26"/>
        <v/>
      </c>
      <c r="U282" s="172" t="str">
        <f t="shared" ca="1" si="27"/>
        <v/>
      </c>
      <c r="V282" s="173" t="str">
        <f ca="1">IF(AND($W282&gt;0,RegimeExecucao="Unitário"),$F282,"")</f>
        <v/>
      </c>
      <c r="W282" s="547">
        <f ca="1">IF($Y282&gt;0,CHOOSE(MATCH(RegimeExecucao,{"Unitário","Global"},0),IF($A282="S",$Y282/$X282,""),($Y282/$X282)*100),0)</f>
        <v>0</v>
      </c>
      <c r="X282" s="384" t="str">
        <f ca="1">IF($Y282&gt;0,CHOOSE(MATCH(RegimeExecucao,{"Unitário","Global"},0),IF($A282="S",ROUND($H282,ORÇAMENTO!$AF$10),""),ROUND($I282,ORÇAMENTO!$AF$11)),"")</f>
        <v/>
      </c>
      <c r="Y282" s="384">
        <f t="shared" ca="1" si="28"/>
        <v>0</v>
      </c>
      <c r="Z282" s="572"/>
      <c r="AB282" s="382"/>
      <c r="AC282" s="516"/>
      <c r="AD282" s="516"/>
      <c r="AE282" s="516"/>
      <c r="AF282" s="516"/>
      <c r="AG282" s="516"/>
      <c r="AH282" s="516"/>
      <c r="AI282" s="516"/>
      <c r="AJ282" s="516"/>
      <c r="AK282" s="516"/>
      <c r="AL282" s="516"/>
      <c r="AM282" s="383"/>
      <c r="AO282">
        <f ca="1">IF($A282="S",IF(BM!$I282=0,0,CHOOSE(MATCH(RegimeExecucao,{"Global","Unitário"},0),ROUND(ROUND(BM.MEDAcumulado,15-13*BM!$A$9)/100*BM!$I282,15-13*ORÇAMENTO!$AF$11),ROUND(ROUND(BM.MEDAcumulado,15-13*BM!$A$9)*ROUND(BM!$H282,15-13*ORÇAMENTO!$AF$10),15-13*ORÇAMENTO!$AF$11))),IF($A282=0,0,ROUND(SomaAgrupBM,15-13*ORÇAMENTO!$AF$11)))</f>
        <v>0</v>
      </c>
    </row>
    <row r="283" spans="1:41" ht="38.25" x14ac:dyDescent="0.2">
      <c r="A283" t="str">
        <f ca="1">ORÇAMENTO!C283</f>
        <v>S</v>
      </c>
      <c r="B283">
        <f ca="1">ORÇAMENTO!D283</f>
        <v>0</v>
      </c>
      <c r="C283" s="116" t="str">
        <f t="shared" ca="1" si="22"/>
        <v/>
      </c>
      <c r="D283" s="119" t="str">
        <f ca="1">ORÇAMENTO!O283</f>
        <v>-</v>
      </c>
      <c r="E283" s="172" t="str">
        <f t="shared" ca="1" si="23"/>
        <v>(abra o arquivo 'Referência 02-2025.xlsm)</v>
      </c>
      <c r="F283" s="173" t="str">
        <f ca="1">IF(RegimeExecucao="Global","",ORÇAMENTO.Unidade)</f>
        <v>-</v>
      </c>
      <c r="G283" s="124">
        <f ca="1">IF(RegimeExecucao="Global","",ORÇAMENTO!T283)</f>
        <v>216</v>
      </c>
      <c r="H283" s="124">
        <f ca="1">IF(RegimeExecucao="Global","",ORÇAMENTO!W283)</f>
        <v>0</v>
      </c>
      <c r="I283" s="127">
        <f ca="1">ORÇAMENTO!X283</f>
        <v>0</v>
      </c>
      <c r="J283" s="378">
        <f ca="1">IF($A283="S",IF(CAIXA.Modo,BM.AFAnterior,BM.MEDAnterior),IF(AND(RegimeExecucao="Global",$I283&gt;0,COUNTIF($AB$13:$AM$13,BM.medicao-1)&gt;0),M283/$I283*100,0))</f>
        <v>0</v>
      </c>
      <c r="K283" s="124">
        <f t="shared" ca="1" si="24"/>
        <v>0</v>
      </c>
      <c r="L283" s="379">
        <f ca="1">IF($A283="S",IF(CAIXA.Modo,BM.AFAcumulado,BM.MEDAcumulado),IF(AND(RegimeExecucao="Global",$I283&gt;0,COUNTIF($AB$13:$AM$13,BM.medicao)&gt;0),O283/$I283*100,0))</f>
        <v>0</v>
      </c>
      <c r="M283" s="380">
        <f ca="1">IF($A283="S",VTOTALBM,IF($A283=0,0,ROUND(SomaAgrupBM,15-13*ORÇAMENTO!$AF$11)))</f>
        <v>0</v>
      </c>
      <c r="N283" s="381">
        <f t="shared" ca="1" si="25"/>
        <v>0</v>
      </c>
      <c r="O283" s="127">
        <f ca="1">IF($A283="S",VTOTALBM,IF($A283=0,0,ROUND(SomaAgrupBM,15-13*ORÇAMENTO!$AF$11)))</f>
        <v>0</v>
      </c>
      <c r="Q283" s="382"/>
      <c r="R283" s="383"/>
      <c r="T283" s="119" t="str">
        <f t="shared" ca="1" si="26"/>
        <v/>
      </c>
      <c r="U283" s="172" t="str">
        <f t="shared" ca="1" si="27"/>
        <v/>
      </c>
      <c r="V283" s="173" t="str">
        <f ca="1">IF(AND($W283&gt;0,RegimeExecucao="Unitário"),$F283,"")</f>
        <v/>
      </c>
      <c r="W283" s="547">
        <f ca="1">IF($Y283&gt;0,CHOOSE(MATCH(RegimeExecucao,{"Unitário","Global"},0),IF($A283="S",$Y283/$X283,""),($Y283/$X283)*100),0)</f>
        <v>0</v>
      </c>
      <c r="X283" s="384" t="str">
        <f ca="1">IF($Y283&gt;0,CHOOSE(MATCH(RegimeExecucao,{"Unitário","Global"},0),IF($A283="S",ROUND($H283,ORÇAMENTO!$AF$10),""),ROUND($I283,ORÇAMENTO!$AF$11)),"")</f>
        <v/>
      </c>
      <c r="Y283" s="384">
        <f t="shared" ca="1" si="28"/>
        <v>0</v>
      </c>
      <c r="Z283" s="572"/>
      <c r="AB283" s="382"/>
      <c r="AC283" s="516"/>
      <c r="AD283" s="516"/>
      <c r="AE283" s="516"/>
      <c r="AF283" s="516"/>
      <c r="AG283" s="516"/>
      <c r="AH283" s="516"/>
      <c r="AI283" s="516"/>
      <c r="AJ283" s="516"/>
      <c r="AK283" s="516"/>
      <c r="AL283" s="516"/>
      <c r="AM283" s="383"/>
      <c r="AO283">
        <f ca="1">IF($A283="S",IF(BM!$I283=0,0,CHOOSE(MATCH(RegimeExecucao,{"Global","Unitário"},0),ROUND(ROUND(BM.MEDAcumulado,15-13*BM!$A$9)/100*BM!$I283,15-13*ORÇAMENTO!$AF$11),ROUND(ROUND(BM.MEDAcumulado,15-13*BM!$A$9)*ROUND(BM!$H283,15-13*ORÇAMENTO!$AF$10),15-13*ORÇAMENTO!$AF$11))),IF($A283=0,0,ROUND(SomaAgrupBM,15-13*ORÇAMENTO!$AF$11)))</f>
        <v>0</v>
      </c>
    </row>
    <row r="284" spans="1:41" ht="38.25" x14ac:dyDescent="0.2">
      <c r="A284" t="str">
        <f ca="1">ORÇAMENTO!C284</f>
        <v>S</v>
      </c>
      <c r="B284">
        <f ca="1">ORÇAMENTO!D284</f>
        <v>0</v>
      </c>
      <c r="C284" s="116" t="str">
        <f t="shared" ca="1" si="22"/>
        <v/>
      </c>
      <c r="D284" s="119" t="str">
        <f ca="1">ORÇAMENTO!O284</f>
        <v>-</v>
      </c>
      <c r="E284" s="172" t="str">
        <f t="shared" ca="1" si="23"/>
        <v>(abra o arquivo 'Referência 02-2025.xlsm)</v>
      </c>
      <c r="F284" s="173" t="str">
        <f ca="1">IF(RegimeExecucao="Global","",ORÇAMENTO.Unidade)</f>
        <v>-</v>
      </c>
      <c r="G284" s="124">
        <f ca="1">IF(RegimeExecucao="Global","",ORÇAMENTO!T284)</f>
        <v>2</v>
      </c>
      <c r="H284" s="124">
        <f ca="1">IF(RegimeExecucao="Global","",ORÇAMENTO!W284)</f>
        <v>0</v>
      </c>
      <c r="I284" s="127">
        <f ca="1">ORÇAMENTO!X284</f>
        <v>0</v>
      </c>
      <c r="J284" s="378">
        <f ca="1">IF($A284="S",IF(CAIXA.Modo,BM.AFAnterior,BM.MEDAnterior),IF(AND(RegimeExecucao="Global",$I284&gt;0,COUNTIF($AB$13:$AM$13,BM.medicao-1)&gt;0),M284/$I284*100,0))</f>
        <v>0</v>
      </c>
      <c r="K284" s="124">
        <f t="shared" ca="1" si="24"/>
        <v>0</v>
      </c>
      <c r="L284" s="379">
        <f ca="1">IF($A284="S",IF(CAIXA.Modo,BM.AFAcumulado,BM.MEDAcumulado),IF(AND(RegimeExecucao="Global",$I284&gt;0,COUNTIF($AB$13:$AM$13,BM.medicao)&gt;0),O284/$I284*100,0))</f>
        <v>0</v>
      </c>
      <c r="M284" s="380">
        <f ca="1">IF($A284="S",VTOTALBM,IF($A284=0,0,ROUND(SomaAgrupBM,15-13*ORÇAMENTO!$AF$11)))</f>
        <v>0</v>
      </c>
      <c r="N284" s="381">
        <f t="shared" ca="1" si="25"/>
        <v>0</v>
      </c>
      <c r="O284" s="127">
        <f ca="1">IF($A284="S",VTOTALBM,IF($A284=0,0,ROUND(SomaAgrupBM,15-13*ORÇAMENTO!$AF$11)))</f>
        <v>0</v>
      </c>
      <c r="Q284" s="382"/>
      <c r="R284" s="383"/>
      <c r="T284" s="119" t="str">
        <f t="shared" ca="1" si="26"/>
        <v/>
      </c>
      <c r="U284" s="172" t="str">
        <f t="shared" ca="1" si="27"/>
        <v/>
      </c>
      <c r="V284" s="173" t="str">
        <f ca="1">IF(AND($W284&gt;0,RegimeExecucao="Unitário"),$F284,"")</f>
        <v/>
      </c>
      <c r="W284" s="547">
        <f ca="1">IF($Y284&gt;0,CHOOSE(MATCH(RegimeExecucao,{"Unitário","Global"},0),IF($A284="S",$Y284/$X284,""),($Y284/$X284)*100),0)</f>
        <v>0</v>
      </c>
      <c r="X284" s="384" t="str">
        <f ca="1">IF($Y284&gt;0,CHOOSE(MATCH(RegimeExecucao,{"Unitário","Global"},0),IF($A284="S",ROUND($H284,ORÇAMENTO!$AF$10),""),ROUND($I284,ORÇAMENTO!$AF$11)),"")</f>
        <v/>
      </c>
      <c r="Y284" s="384">
        <f t="shared" ca="1" si="28"/>
        <v>0</v>
      </c>
      <c r="Z284" s="572"/>
      <c r="AB284" s="382"/>
      <c r="AC284" s="516"/>
      <c r="AD284" s="516"/>
      <c r="AE284" s="516"/>
      <c r="AF284" s="516"/>
      <c r="AG284" s="516"/>
      <c r="AH284" s="516"/>
      <c r="AI284" s="516"/>
      <c r="AJ284" s="516"/>
      <c r="AK284" s="516"/>
      <c r="AL284" s="516"/>
      <c r="AM284" s="383"/>
      <c r="AO284">
        <f ca="1">IF($A284="S",IF(BM!$I284=0,0,CHOOSE(MATCH(RegimeExecucao,{"Global","Unitário"},0),ROUND(ROUND(BM.MEDAcumulado,15-13*BM!$A$9)/100*BM!$I284,15-13*ORÇAMENTO!$AF$11),ROUND(ROUND(BM.MEDAcumulado,15-13*BM!$A$9)*ROUND(BM!$H284,15-13*ORÇAMENTO!$AF$10),15-13*ORÇAMENTO!$AF$11))),IF($A284=0,0,ROUND(SomaAgrupBM,15-13*ORÇAMENTO!$AF$11)))</f>
        <v>0</v>
      </c>
    </row>
    <row r="285" spans="1:41" ht="38.25" x14ac:dyDescent="0.2">
      <c r="A285" t="str">
        <f ca="1">ORÇAMENTO!C285</f>
        <v>S</v>
      </c>
      <c r="B285">
        <f ca="1">ORÇAMENTO!D285</f>
        <v>0</v>
      </c>
      <c r="C285" s="116" t="str">
        <f t="shared" ca="1" si="22"/>
        <v/>
      </c>
      <c r="D285" s="119" t="str">
        <f ca="1">ORÇAMENTO!O285</f>
        <v>-</v>
      </c>
      <c r="E285" s="172" t="str">
        <f t="shared" ca="1" si="23"/>
        <v>(abra o arquivo 'Referência 02-2025.xlsm)</v>
      </c>
      <c r="F285" s="173" t="str">
        <f ca="1">IF(RegimeExecucao="Global","",ORÇAMENTO.Unidade)</f>
        <v>-</v>
      </c>
      <c r="G285" s="124">
        <f ca="1">IF(RegimeExecucao="Global","",ORÇAMENTO!T285)</f>
        <v>5</v>
      </c>
      <c r="H285" s="124">
        <f ca="1">IF(RegimeExecucao="Global","",ORÇAMENTO!W285)</f>
        <v>0</v>
      </c>
      <c r="I285" s="127">
        <f ca="1">ORÇAMENTO!X285</f>
        <v>0</v>
      </c>
      <c r="J285" s="378">
        <f ca="1">IF($A285="S",IF(CAIXA.Modo,BM.AFAnterior,BM.MEDAnterior),IF(AND(RegimeExecucao="Global",$I285&gt;0,COUNTIF($AB$13:$AM$13,BM.medicao-1)&gt;0),M285/$I285*100,0))</f>
        <v>0</v>
      </c>
      <c r="K285" s="124">
        <f t="shared" ca="1" si="24"/>
        <v>0</v>
      </c>
      <c r="L285" s="379">
        <f ca="1">IF($A285="S",IF(CAIXA.Modo,BM.AFAcumulado,BM.MEDAcumulado),IF(AND(RegimeExecucao="Global",$I285&gt;0,COUNTIF($AB$13:$AM$13,BM.medicao)&gt;0),O285/$I285*100,0))</f>
        <v>0</v>
      </c>
      <c r="M285" s="380">
        <f ca="1">IF($A285="S",VTOTALBM,IF($A285=0,0,ROUND(SomaAgrupBM,15-13*ORÇAMENTO!$AF$11)))</f>
        <v>0</v>
      </c>
      <c r="N285" s="381">
        <f t="shared" ca="1" si="25"/>
        <v>0</v>
      </c>
      <c r="O285" s="127">
        <f ca="1">IF($A285="S",VTOTALBM,IF($A285=0,0,ROUND(SomaAgrupBM,15-13*ORÇAMENTO!$AF$11)))</f>
        <v>0</v>
      </c>
      <c r="Q285" s="382"/>
      <c r="R285" s="383"/>
      <c r="T285" s="119" t="str">
        <f t="shared" ca="1" si="26"/>
        <v/>
      </c>
      <c r="U285" s="172" t="str">
        <f t="shared" ca="1" si="27"/>
        <v/>
      </c>
      <c r="V285" s="173" t="str">
        <f ca="1">IF(AND($W285&gt;0,RegimeExecucao="Unitário"),$F285,"")</f>
        <v/>
      </c>
      <c r="W285" s="547">
        <f ca="1">IF($Y285&gt;0,CHOOSE(MATCH(RegimeExecucao,{"Unitário","Global"},0),IF($A285="S",$Y285/$X285,""),($Y285/$X285)*100),0)</f>
        <v>0</v>
      </c>
      <c r="X285" s="384" t="str">
        <f ca="1">IF($Y285&gt;0,CHOOSE(MATCH(RegimeExecucao,{"Unitário","Global"},0),IF($A285="S",ROUND($H285,ORÇAMENTO!$AF$10),""),ROUND($I285,ORÇAMENTO!$AF$11)),"")</f>
        <v/>
      </c>
      <c r="Y285" s="384">
        <f t="shared" ca="1" si="28"/>
        <v>0</v>
      </c>
      <c r="Z285" s="572"/>
      <c r="AB285" s="382"/>
      <c r="AC285" s="516"/>
      <c r="AD285" s="516"/>
      <c r="AE285" s="516"/>
      <c r="AF285" s="516"/>
      <c r="AG285" s="516"/>
      <c r="AH285" s="516"/>
      <c r="AI285" s="516"/>
      <c r="AJ285" s="516"/>
      <c r="AK285" s="516"/>
      <c r="AL285" s="516"/>
      <c r="AM285" s="383"/>
      <c r="AO285">
        <f ca="1">IF($A285="S",IF(BM!$I285=0,0,CHOOSE(MATCH(RegimeExecucao,{"Global","Unitário"},0),ROUND(ROUND(BM.MEDAcumulado,15-13*BM!$A$9)/100*BM!$I285,15-13*ORÇAMENTO!$AF$11),ROUND(ROUND(BM.MEDAcumulado,15-13*BM!$A$9)*ROUND(BM!$H285,15-13*ORÇAMENTO!$AF$10),15-13*ORÇAMENTO!$AF$11))),IF($A285=0,0,ROUND(SomaAgrupBM,15-13*ORÇAMENTO!$AF$11)))</f>
        <v>0</v>
      </c>
    </row>
    <row r="286" spans="1:41" ht="25.5" x14ac:dyDescent="0.2">
      <c r="A286" t="str">
        <f ca="1">ORÇAMENTO!C286</f>
        <v>S</v>
      </c>
      <c r="B286">
        <f ca="1">ORÇAMENTO!D286</f>
        <v>0</v>
      </c>
      <c r="C286" s="116" t="str">
        <f t="shared" ca="1" si="22"/>
        <v/>
      </c>
      <c r="D286" s="119" t="str">
        <f ca="1">ORÇAMENTO!O286</f>
        <v>-</v>
      </c>
      <c r="E286" s="172" t="str">
        <f t="shared" ca="1" si="23"/>
        <v>(abra o arquivo 'Referência 02-2025.xlsm)</v>
      </c>
      <c r="F286" s="173" t="str">
        <f ca="1">IF(RegimeExecucao="Global","",ORÇAMENTO.Unidade)</f>
        <v>-</v>
      </c>
      <c r="G286" s="124">
        <f ca="1">IF(RegimeExecucao="Global","",ORÇAMENTO!T286)</f>
        <v>1</v>
      </c>
      <c r="H286" s="124">
        <f ca="1">IF(RegimeExecucao="Global","",ORÇAMENTO!W286)</f>
        <v>0</v>
      </c>
      <c r="I286" s="127">
        <f ca="1">ORÇAMENTO!X286</f>
        <v>0</v>
      </c>
      <c r="J286" s="378">
        <f ca="1">IF($A286="S",IF(CAIXA.Modo,BM.AFAnterior,BM.MEDAnterior),IF(AND(RegimeExecucao="Global",$I286&gt;0,COUNTIF($AB$13:$AM$13,BM.medicao-1)&gt;0),M286/$I286*100,0))</f>
        <v>0</v>
      </c>
      <c r="K286" s="124">
        <f t="shared" ca="1" si="24"/>
        <v>0</v>
      </c>
      <c r="L286" s="379">
        <f ca="1">IF($A286="S",IF(CAIXA.Modo,BM.AFAcumulado,BM.MEDAcumulado),IF(AND(RegimeExecucao="Global",$I286&gt;0,COUNTIF($AB$13:$AM$13,BM.medicao)&gt;0),O286/$I286*100,0))</f>
        <v>0</v>
      </c>
      <c r="M286" s="380">
        <f ca="1">IF($A286="S",VTOTALBM,IF($A286=0,0,ROUND(SomaAgrupBM,15-13*ORÇAMENTO!$AF$11)))</f>
        <v>0</v>
      </c>
      <c r="N286" s="381">
        <f t="shared" ca="1" si="25"/>
        <v>0</v>
      </c>
      <c r="O286" s="127">
        <f ca="1">IF($A286="S",VTOTALBM,IF($A286=0,0,ROUND(SomaAgrupBM,15-13*ORÇAMENTO!$AF$11)))</f>
        <v>0</v>
      </c>
      <c r="Q286" s="382"/>
      <c r="R286" s="383"/>
      <c r="T286" s="119" t="str">
        <f t="shared" ca="1" si="26"/>
        <v/>
      </c>
      <c r="U286" s="172" t="str">
        <f t="shared" ca="1" si="27"/>
        <v/>
      </c>
      <c r="V286" s="173" t="str">
        <f ca="1">IF(AND($W286&gt;0,RegimeExecucao="Unitário"),$F286,"")</f>
        <v/>
      </c>
      <c r="W286" s="547">
        <f ca="1">IF($Y286&gt;0,CHOOSE(MATCH(RegimeExecucao,{"Unitário","Global"},0),IF($A286="S",$Y286/$X286,""),($Y286/$X286)*100),0)</f>
        <v>0</v>
      </c>
      <c r="X286" s="384" t="str">
        <f ca="1">IF($Y286&gt;0,CHOOSE(MATCH(RegimeExecucao,{"Unitário","Global"},0),IF($A286="S",ROUND($H286,ORÇAMENTO!$AF$10),""),ROUND($I286,ORÇAMENTO!$AF$11)),"")</f>
        <v/>
      </c>
      <c r="Y286" s="384">
        <f t="shared" ca="1" si="28"/>
        <v>0</v>
      </c>
      <c r="Z286" s="572"/>
      <c r="AB286" s="382"/>
      <c r="AC286" s="516"/>
      <c r="AD286" s="516"/>
      <c r="AE286" s="516"/>
      <c r="AF286" s="516"/>
      <c r="AG286" s="516"/>
      <c r="AH286" s="516"/>
      <c r="AI286" s="516"/>
      <c r="AJ286" s="516"/>
      <c r="AK286" s="516"/>
      <c r="AL286" s="516"/>
      <c r="AM286" s="383"/>
      <c r="AO286">
        <f ca="1">IF($A286="S",IF(BM!$I286=0,0,CHOOSE(MATCH(RegimeExecucao,{"Global","Unitário"},0),ROUND(ROUND(BM.MEDAcumulado,15-13*BM!$A$9)/100*BM!$I286,15-13*ORÇAMENTO!$AF$11),ROUND(ROUND(BM.MEDAcumulado,15-13*BM!$A$9)*ROUND(BM!$H286,15-13*ORÇAMENTO!$AF$10),15-13*ORÇAMENTO!$AF$11))),IF($A286=0,0,ROUND(SomaAgrupBM,15-13*ORÇAMENTO!$AF$11)))</f>
        <v>0</v>
      </c>
    </row>
    <row r="287" spans="1:41" ht="25.5" x14ac:dyDescent="0.2">
      <c r="A287" t="str">
        <f ca="1">ORÇAMENTO!C287</f>
        <v>S</v>
      </c>
      <c r="B287">
        <f ca="1">ORÇAMENTO!D287</f>
        <v>0</v>
      </c>
      <c r="C287" s="116" t="str">
        <f t="shared" ca="1" si="22"/>
        <v/>
      </c>
      <c r="D287" s="119" t="str">
        <f ca="1">ORÇAMENTO!O287</f>
        <v>-</v>
      </c>
      <c r="E287" s="172" t="str">
        <f t="shared" ca="1" si="23"/>
        <v>(abra o arquivo 'Referência 02-2025.xlsm)</v>
      </c>
      <c r="F287" s="173" t="str">
        <f ca="1">IF(RegimeExecucao="Global","",ORÇAMENTO.Unidade)</f>
        <v>-</v>
      </c>
      <c r="G287" s="124">
        <f ca="1">IF(RegimeExecucao="Global","",ORÇAMENTO!T287)</f>
        <v>45</v>
      </c>
      <c r="H287" s="124">
        <f ca="1">IF(RegimeExecucao="Global","",ORÇAMENTO!W287)</f>
        <v>0</v>
      </c>
      <c r="I287" s="127">
        <f ca="1">ORÇAMENTO!X287</f>
        <v>0</v>
      </c>
      <c r="J287" s="378">
        <f ca="1">IF($A287="S",IF(CAIXA.Modo,BM.AFAnterior,BM.MEDAnterior),IF(AND(RegimeExecucao="Global",$I287&gt;0,COUNTIF($AB$13:$AM$13,BM.medicao-1)&gt;0),M287/$I287*100,0))</f>
        <v>0</v>
      </c>
      <c r="K287" s="124">
        <f t="shared" ca="1" si="24"/>
        <v>0</v>
      </c>
      <c r="L287" s="379">
        <f ca="1">IF($A287="S",IF(CAIXA.Modo,BM.AFAcumulado,BM.MEDAcumulado),IF(AND(RegimeExecucao="Global",$I287&gt;0,COUNTIF($AB$13:$AM$13,BM.medicao)&gt;0),O287/$I287*100,0))</f>
        <v>0</v>
      </c>
      <c r="M287" s="380">
        <f ca="1">IF($A287="S",VTOTALBM,IF($A287=0,0,ROUND(SomaAgrupBM,15-13*ORÇAMENTO!$AF$11)))</f>
        <v>0</v>
      </c>
      <c r="N287" s="381">
        <f t="shared" ca="1" si="25"/>
        <v>0</v>
      </c>
      <c r="O287" s="127">
        <f ca="1">IF($A287="S",VTOTALBM,IF($A287=0,0,ROUND(SomaAgrupBM,15-13*ORÇAMENTO!$AF$11)))</f>
        <v>0</v>
      </c>
      <c r="Q287" s="382"/>
      <c r="R287" s="383"/>
      <c r="T287" s="119" t="str">
        <f t="shared" ca="1" si="26"/>
        <v/>
      </c>
      <c r="U287" s="172" t="str">
        <f t="shared" ca="1" si="27"/>
        <v/>
      </c>
      <c r="V287" s="173" t="str">
        <f ca="1">IF(AND($W287&gt;0,RegimeExecucao="Unitário"),$F287,"")</f>
        <v/>
      </c>
      <c r="W287" s="547">
        <f ca="1">IF($Y287&gt;0,CHOOSE(MATCH(RegimeExecucao,{"Unitário","Global"},0),IF($A287="S",$Y287/$X287,""),($Y287/$X287)*100),0)</f>
        <v>0</v>
      </c>
      <c r="X287" s="384" t="str">
        <f ca="1">IF($Y287&gt;0,CHOOSE(MATCH(RegimeExecucao,{"Unitário","Global"},0),IF($A287="S",ROUND($H287,ORÇAMENTO!$AF$10),""),ROUND($I287,ORÇAMENTO!$AF$11)),"")</f>
        <v/>
      </c>
      <c r="Y287" s="384">
        <f t="shared" ca="1" si="28"/>
        <v>0</v>
      </c>
      <c r="Z287" s="572"/>
      <c r="AB287" s="382"/>
      <c r="AC287" s="516"/>
      <c r="AD287" s="516"/>
      <c r="AE287" s="516"/>
      <c r="AF287" s="516"/>
      <c r="AG287" s="516"/>
      <c r="AH287" s="516"/>
      <c r="AI287" s="516"/>
      <c r="AJ287" s="516"/>
      <c r="AK287" s="516"/>
      <c r="AL287" s="516"/>
      <c r="AM287" s="383"/>
      <c r="AO287">
        <f ca="1">IF($A287="S",IF(BM!$I287=0,0,CHOOSE(MATCH(RegimeExecucao,{"Global","Unitário"},0),ROUND(ROUND(BM.MEDAcumulado,15-13*BM!$A$9)/100*BM!$I287,15-13*ORÇAMENTO!$AF$11),ROUND(ROUND(BM.MEDAcumulado,15-13*BM!$A$9)*ROUND(BM!$H287,15-13*ORÇAMENTO!$AF$10),15-13*ORÇAMENTO!$AF$11))),IF($A287=0,0,ROUND(SomaAgrupBM,15-13*ORÇAMENTO!$AF$11)))</f>
        <v>0</v>
      </c>
    </row>
    <row r="288" spans="1:41" ht="25.5" x14ac:dyDescent="0.2">
      <c r="A288" t="str">
        <f ca="1">ORÇAMENTO!C288</f>
        <v>S</v>
      </c>
      <c r="B288">
        <f ca="1">ORÇAMENTO!D288</f>
        <v>0</v>
      </c>
      <c r="C288" s="116" t="str">
        <f t="shared" ca="1" si="22"/>
        <v/>
      </c>
      <c r="D288" s="119" t="str">
        <f ca="1">ORÇAMENTO!O288</f>
        <v>-</v>
      </c>
      <c r="E288" s="172" t="str">
        <f t="shared" ca="1" si="23"/>
        <v>(abra o arquivo 'Referência 02-2025.xlsm)</v>
      </c>
      <c r="F288" s="173" t="str">
        <f ca="1">IF(RegimeExecucao="Global","",ORÇAMENTO.Unidade)</f>
        <v>-</v>
      </c>
      <c r="G288" s="124">
        <f ca="1">IF(RegimeExecucao="Global","",ORÇAMENTO!T288)</f>
        <v>4</v>
      </c>
      <c r="H288" s="124">
        <f ca="1">IF(RegimeExecucao="Global","",ORÇAMENTO!W288)</f>
        <v>0</v>
      </c>
      <c r="I288" s="127">
        <f ca="1">ORÇAMENTO!X288</f>
        <v>0</v>
      </c>
      <c r="J288" s="378">
        <f ca="1">IF($A288="S",IF(CAIXA.Modo,BM.AFAnterior,BM.MEDAnterior),IF(AND(RegimeExecucao="Global",$I288&gt;0,COUNTIF($AB$13:$AM$13,BM.medicao-1)&gt;0),M288/$I288*100,0))</f>
        <v>0</v>
      </c>
      <c r="K288" s="124">
        <f t="shared" ca="1" si="24"/>
        <v>0</v>
      </c>
      <c r="L288" s="379">
        <f ca="1">IF($A288="S",IF(CAIXA.Modo,BM.AFAcumulado,BM.MEDAcumulado),IF(AND(RegimeExecucao="Global",$I288&gt;0,COUNTIF($AB$13:$AM$13,BM.medicao)&gt;0),O288/$I288*100,0))</f>
        <v>0</v>
      </c>
      <c r="M288" s="380">
        <f ca="1">IF($A288="S",VTOTALBM,IF($A288=0,0,ROUND(SomaAgrupBM,15-13*ORÇAMENTO!$AF$11)))</f>
        <v>0</v>
      </c>
      <c r="N288" s="381">
        <f t="shared" ca="1" si="25"/>
        <v>0</v>
      </c>
      <c r="O288" s="127">
        <f ca="1">IF($A288="S",VTOTALBM,IF($A288=0,0,ROUND(SomaAgrupBM,15-13*ORÇAMENTO!$AF$11)))</f>
        <v>0</v>
      </c>
      <c r="Q288" s="382"/>
      <c r="R288" s="383"/>
      <c r="T288" s="119" t="str">
        <f t="shared" ca="1" si="26"/>
        <v/>
      </c>
      <c r="U288" s="172" t="str">
        <f t="shared" ca="1" si="27"/>
        <v/>
      </c>
      <c r="V288" s="173" t="str">
        <f ca="1">IF(AND($W288&gt;0,RegimeExecucao="Unitário"),$F288,"")</f>
        <v/>
      </c>
      <c r="W288" s="547">
        <f ca="1">IF($Y288&gt;0,CHOOSE(MATCH(RegimeExecucao,{"Unitário","Global"},0),IF($A288="S",$Y288/$X288,""),($Y288/$X288)*100),0)</f>
        <v>0</v>
      </c>
      <c r="X288" s="384" t="str">
        <f ca="1">IF($Y288&gt;0,CHOOSE(MATCH(RegimeExecucao,{"Unitário","Global"},0),IF($A288="S",ROUND($H288,ORÇAMENTO!$AF$10),""),ROUND($I288,ORÇAMENTO!$AF$11)),"")</f>
        <v/>
      </c>
      <c r="Y288" s="384">
        <f t="shared" ca="1" si="28"/>
        <v>0</v>
      </c>
      <c r="Z288" s="572"/>
      <c r="AB288" s="382"/>
      <c r="AC288" s="516"/>
      <c r="AD288" s="516"/>
      <c r="AE288" s="516"/>
      <c r="AF288" s="516"/>
      <c r="AG288" s="516"/>
      <c r="AH288" s="516"/>
      <c r="AI288" s="516"/>
      <c r="AJ288" s="516"/>
      <c r="AK288" s="516"/>
      <c r="AL288" s="516"/>
      <c r="AM288" s="383"/>
      <c r="AO288">
        <f ca="1">IF($A288="S",IF(BM!$I288=0,0,CHOOSE(MATCH(RegimeExecucao,{"Global","Unitário"},0),ROUND(ROUND(BM.MEDAcumulado,15-13*BM!$A$9)/100*BM!$I288,15-13*ORÇAMENTO!$AF$11),ROUND(ROUND(BM.MEDAcumulado,15-13*BM!$A$9)*ROUND(BM!$H288,15-13*ORÇAMENTO!$AF$10),15-13*ORÇAMENTO!$AF$11))),IF($A288=0,0,ROUND(SomaAgrupBM,15-13*ORÇAMENTO!$AF$11)))</f>
        <v>0</v>
      </c>
    </row>
    <row r="289" spans="1:41" ht="38.25" x14ac:dyDescent="0.2">
      <c r="A289" t="str">
        <f ca="1">ORÇAMENTO!C289</f>
        <v>S</v>
      </c>
      <c r="B289">
        <f ca="1">ORÇAMENTO!D289</f>
        <v>0</v>
      </c>
      <c r="C289" s="116" t="str">
        <f t="shared" ca="1" si="22"/>
        <v/>
      </c>
      <c r="D289" s="119" t="str">
        <f ca="1">ORÇAMENTO!O289</f>
        <v>-</v>
      </c>
      <c r="E289" s="172" t="str">
        <f t="shared" ca="1" si="23"/>
        <v>(abra o arquivo 'Referência 02-2025.xlsm)</v>
      </c>
      <c r="F289" s="173" t="str">
        <f ca="1">IF(RegimeExecucao="Global","",ORÇAMENTO.Unidade)</f>
        <v>-</v>
      </c>
      <c r="G289" s="124">
        <f ca="1">IF(RegimeExecucao="Global","",ORÇAMENTO!T289)</f>
        <v>2</v>
      </c>
      <c r="H289" s="124">
        <f ca="1">IF(RegimeExecucao="Global","",ORÇAMENTO!W289)</f>
        <v>0</v>
      </c>
      <c r="I289" s="127">
        <f ca="1">ORÇAMENTO!X289</f>
        <v>0</v>
      </c>
      <c r="J289" s="378">
        <f ca="1">IF($A289="S",IF(CAIXA.Modo,BM.AFAnterior,BM.MEDAnterior),IF(AND(RegimeExecucao="Global",$I289&gt;0,COUNTIF($AB$13:$AM$13,BM.medicao-1)&gt;0),M289/$I289*100,0))</f>
        <v>0</v>
      </c>
      <c r="K289" s="124">
        <f t="shared" ca="1" si="24"/>
        <v>0</v>
      </c>
      <c r="L289" s="379">
        <f ca="1">IF($A289="S",IF(CAIXA.Modo,BM.AFAcumulado,BM.MEDAcumulado),IF(AND(RegimeExecucao="Global",$I289&gt;0,COUNTIF($AB$13:$AM$13,BM.medicao)&gt;0),O289/$I289*100,0))</f>
        <v>0</v>
      </c>
      <c r="M289" s="380">
        <f ca="1">IF($A289="S",VTOTALBM,IF($A289=0,0,ROUND(SomaAgrupBM,15-13*ORÇAMENTO!$AF$11)))</f>
        <v>0</v>
      </c>
      <c r="N289" s="381">
        <f t="shared" ca="1" si="25"/>
        <v>0</v>
      </c>
      <c r="O289" s="127">
        <f ca="1">IF($A289="S",VTOTALBM,IF($A289=0,0,ROUND(SomaAgrupBM,15-13*ORÇAMENTO!$AF$11)))</f>
        <v>0</v>
      </c>
      <c r="Q289" s="382"/>
      <c r="R289" s="383"/>
      <c r="T289" s="119" t="str">
        <f t="shared" ca="1" si="26"/>
        <v/>
      </c>
      <c r="U289" s="172" t="str">
        <f t="shared" ca="1" si="27"/>
        <v/>
      </c>
      <c r="V289" s="173" t="str">
        <f ca="1">IF(AND($W289&gt;0,RegimeExecucao="Unitário"),$F289,"")</f>
        <v/>
      </c>
      <c r="W289" s="547">
        <f ca="1">IF($Y289&gt;0,CHOOSE(MATCH(RegimeExecucao,{"Unitário","Global"},0),IF($A289="S",$Y289/$X289,""),($Y289/$X289)*100),0)</f>
        <v>0</v>
      </c>
      <c r="X289" s="384" t="str">
        <f ca="1">IF($Y289&gt;0,CHOOSE(MATCH(RegimeExecucao,{"Unitário","Global"},0),IF($A289="S",ROUND($H289,ORÇAMENTO!$AF$10),""),ROUND($I289,ORÇAMENTO!$AF$11)),"")</f>
        <v/>
      </c>
      <c r="Y289" s="384">
        <f t="shared" ca="1" si="28"/>
        <v>0</v>
      </c>
      <c r="Z289" s="572"/>
      <c r="AB289" s="382"/>
      <c r="AC289" s="516"/>
      <c r="AD289" s="516"/>
      <c r="AE289" s="516"/>
      <c r="AF289" s="516"/>
      <c r="AG289" s="516"/>
      <c r="AH289" s="516"/>
      <c r="AI289" s="516"/>
      <c r="AJ289" s="516"/>
      <c r="AK289" s="516"/>
      <c r="AL289" s="516"/>
      <c r="AM289" s="383"/>
      <c r="AO289">
        <f ca="1">IF($A289="S",IF(BM!$I289=0,0,CHOOSE(MATCH(RegimeExecucao,{"Global","Unitário"},0),ROUND(ROUND(BM.MEDAcumulado,15-13*BM!$A$9)/100*BM!$I289,15-13*ORÇAMENTO!$AF$11),ROUND(ROUND(BM.MEDAcumulado,15-13*BM!$A$9)*ROUND(BM!$H289,15-13*ORÇAMENTO!$AF$10),15-13*ORÇAMENTO!$AF$11))),IF($A289=0,0,ROUND(SomaAgrupBM,15-13*ORÇAMENTO!$AF$11)))</f>
        <v>0</v>
      </c>
    </row>
    <row r="290" spans="1:41" ht="38.25" x14ac:dyDescent="0.2">
      <c r="A290" t="str">
        <f ca="1">ORÇAMENTO!C290</f>
        <v>S</v>
      </c>
      <c r="B290">
        <f ca="1">ORÇAMENTO!D290</f>
        <v>0</v>
      </c>
      <c r="C290" s="116" t="str">
        <f t="shared" ca="1" si="22"/>
        <v/>
      </c>
      <c r="D290" s="119" t="str">
        <f ca="1">ORÇAMENTO!O290</f>
        <v>-</v>
      </c>
      <c r="E290" s="172" t="str">
        <f t="shared" ca="1" si="23"/>
        <v>(abra o arquivo 'Referência 02-2025.xlsm)</v>
      </c>
      <c r="F290" s="173" t="str">
        <f ca="1">IF(RegimeExecucao="Global","",ORÇAMENTO.Unidade)</f>
        <v>-</v>
      </c>
      <c r="G290" s="124">
        <f ca="1">IF(RegimeExecucao="Global","",ORÇAMENTO!T290)</f>
        <v>1</v>
      </c>
      <c r="H290" s="124">
        <f ca="1">IF(RegimeExecucao="Global","",ORÇAMENTO!W290)</f>
        <v>0</v>
      </c>
      <c r="I290" s="127">
        <f ca="1">ORÇAMENTO!X290</f>
        <v>0</v>
      </c>
      <c r="J290" s="378">
        <f ca="1">IF($A290="S",IF(CAIXA.Modo,BM.AFAnterior,BM.MEDAnterior),IF(AND(RegimeExecucao="Global",$I290&gt;0,COUNTIF($AB$13:$AM$13,BM.medicao-1)&gt;0),M290/$I290*100,0))</f>
        <v>0</v>
      </c>
      <c r="K290" s="124">
        <f t="shared" ca="1" si="24"/>
        <v>0</v>
      </c>
      <c r="L290" s="379">
        <f ca="1">IF($A290="S",IF(CAIXA.Modo,BM.AFAcumulado,BM.MEDAcumulado),IF(AND(RegimeExecucao="Global",$I290&gt;0,COUNTIF($AB$13:$AM$13,BM.medicao)&gt;0),O290/$I290*100,0))</f>
        <v>0</v>
      </c>
      <c r="M290" s="380">
        <f ca="1">IF($A290="S",VTOTALBM,IF($A290=0,0,ROUND(SomaAgrupBM,15-13*ORÇAMENTO!$AF$11)))</f>
        <v>0</v>
      </c>
      <c r="N290" s="381">
        <f t="shared" ca="1" si="25"/>
        <v>0</v>
      </c>
      <c r="O290" s="127">
        <f ca="1">IF($A290="S",VTOTALBM,IF($A290=0,0,ROUND(SomaAgrupBM,15-13*ORÇAMENTO!$AF$11)))</f>
        <v>0</v>
      </c>
      <c r="Q290" s="382"/>
      <c r="R290" s="383"/>
      <c r="T290" s="119" t="str">
        <f t="shared" ca="1" si="26"/>
        <v/>
      </c>
      <c r="U290" s="172" t="str">
        <f t="shared" ca="1" si="27"/>
        <v/>
      </c>
      <c r="V290" s="173" t="str">
        <f ca="1">IF(AND($W290&gt;0,RegimeExecucao="Unitário"),$F290,"")</f>
        <v/>
      </c>
      <c r="W290" s="547">
        <f ca="1">IF($Y290&gt;0,CHOOSE(MATCH(RegimeExecucao,{"Unitário","Global"},0),IF($A290="S",$Y290/$X290,""),($Y290/$X290)*100),0)</f>
        <v>0</v>
      </c>
      <c r="X290" s="384" t="str">
        <f ca="1">IF($Y290&gt;0,CHOOSE(MATCH(RegimeExecucao,{"Unitário","Global"},0),IF($A290="S",ROUND($H290,ORÇAMENTO!$AF$10),""),ROUND($I290,ORÇAMENTO!$AF$11)),"")</f>
        <v/>
      </c>
      <c r="Y290" s="384">
        <f t="shared" ca="1" si="28"/>
        <v>0</v>
      </c>
      <c r="Z290" s="572"/>
      <c r="AB290" s="382"/>
      <c r="AC290" s="516"/>
      <c r="AD290" s="516"/>
      <c r="AE290" s="516"/>
      <c r="AF290" s="516"/>
      <c r="AG290" s="516"/>
      <c r="AH290" s="516"/>
      <c r="AI290" s="516"/>
      <c r="AJ290" s="516"/>
      <c r="AK290" s="516"/>
      <c r="AL290" s="516"/>
      <c r="AM290" s="383"/>
      <c r="AO290">
        <f ca="1">IF($A290="S",IF(BM!$I290=0,0,CHOOSE(MATCH(RegimeExecucao,{"Global","Unitário"},0),ROUND(ROUND(BM.MEDAcumulado,15-13*BM!$A$9)/100*BM!$I290,15-13*ORÇAMENTO!$AF$11),ROUND(ROUND(BM.MEDAcumulado,15-13*BM!$A$9)*ROUND(BM!$H290,15-13*ORÇAMENTO!$AF$10),15-13*ORÇAMENTO!$AF$11))),IF($A290=0,0,ROUND(SomaAgrupBM,15-13*ORÇAMENTO!$AF$11)))</f>
        <v>0</v>
      </c>
    </row>
    <row r="291" spans="1:41" ht="38.25" x14ac:dyDescent="0.2">
      <c r="A291" t="str">
        <f ca="1">ORÇAMENTO!C291</f>
        <v>S</v>
      </c>
      <c r="B291">
        <f ca="1">ORÇAMENTO!D291</f>
        <v>0</v>
      </c>
      <c r="C291" s="116" t="str">
        <f t="shared" ca="1" si="22"/>
        <v/>
      </c>
      <c r="D291" s="119" t="str">
        <f ca="1">ORÇAMENTO!O291</f>
        <v>-</v>
      </c>
      <c r="E291" s="172" t="str">
        <f t="shared" ca="1" si="23"/>
        <v>(abra o arquivo 'Referência 02-2025.xlsm)</v>
      </c>
      <c r="F291" s="173" t="str">
        <f ca="1">IF(RegimeExecucao="Global","",ORÇAMENTO.Unidade)</f>
        <v>-</v>
      </c>
      <c r="G291" s="124">
        <f ca="1">IF(RegimeExecucao="Global","",ORÇAMENTO!T291)</f>
        <v>38</v>
      </c>
      <c r="H291" s="124">
        <f ca="1">IF(RegimeExecucao="Global","",ORÇAMENTO!W291)</f>
        <v>0</v>
      </c>
      <c r="I291" s="127">
        <f ca="1">ORÇAMENTO!X291</f>
        <v>0</v>
      </c>
      <c r="J291" s="378">
        <f ca="1">IF($A291="S",IF(CAIXA.Modo,BM.AFAnterior,BM.MEDAnterior),IF(AND(RegimeExecucao="Global",$I291&gt;0,COUNTIF($AB$13:$AM$13,BM.medicao-1)&gt;0),M291/$I291*100,0))</f>
        <v>0</v>
      </c>
      <c r="K291" s="124">
        <f t="shared" ca="1" si="24"/>
        <v>0</v>
      </c>
      <c r="L291" s="379">
        <f ca="1">IF($A291="S",IF(CAIXA.Modo,BM.AFAcumulado,BM.MEDAcumulado),IF(AND(RegimeExecucao="Global",$I291&gt;0,COUNTIF($AB$13:$AM$13,BM.medicao)&gt;0),O291/$I291*100,0))</f>
        <v>0</v>
      </c>
      <c r="M291" s="380">
        <f ca="1">IF($A291="S",VTOTALBM,IF($A291=0,0,ROUND(SomaAgrupBM,15-13*ORÇAMENTO!$AF$11)))</f>
        <v>0</v>
      </c>
      <c r="N291" s="381">
        <f t="shared" ca="1" si="25"/>
        <v>0</v>
      </c>
      <c r="O291" s="127">
        <f ca="1">IF($A291="S",VTOTALBM,IF($A291=0,0,ROUND(SomaAgrupBM,15-13*ORÇAMENTO!$AF$11)))</f>
        <v>0</v>
      </c>
      <c r="Q291" s="382"/>
      <c r="R291" s="383"/>
      <c r="T291" s="119" t="str">
        <f t="shared" ca="1" si="26"/>
        <v/>
      </c>
      <c r="U291" s="172" t="str">
        <f t="shared" ca="1" si="27"/>
        <v/>
      </c>
      <c r="V291" s="173" t="str">
        <f ca="1">IF(AND($W291&gt;0,RegimeExecucao="Unitário"),$F291,"")</f>
        <v/>
      </c>
      <c r="W291" s="547">
        <f ca="1">IF($Y291&gt;0,CHOOSE(MATCH(RegimeExecucao,{"Unitário","Global"},0),IF($A291="S",$Y291/$X291,""),($Y291/$X291)*100),0)</f>
        <v>0</v>
      </c>
      <c r="X291" s="384" t="str">
        <f ca="1">IF($Y291&gt;0,CHOOSE(MATCH(RegimeExecucao,{"Unitário","Global"},0),IF($A291="S",ROUND($H291,ORÇAMENTO!$AF$10),""),ROUND($I291,ORÇAMENTO!$AF$11)),"")</f>
        <v/>
      </c>
      <c r="Y291" s="384">
        <f t="shared" ca="1" si="28"/>
        <v>0</v>
      </c>
      <c r="Z291" s="572"/>
      <c r="AB291" s="382"/>
      <c r="AC291" s="516"/>
      <c r="AD291" s="516"/>
      <c r="AE291" s="516"/>
      <c r="AF291" s="516"/>
      <c r="AG291" s="516"/>
      <c r="AH291" s="516"/>
      <c r="AI291" s="516"/>
      <c r="AJ291" s="516"/>
      <c r="AK291" s="516"/>
      <c r="AL291" s="516"/>
      <c r="AM291" s="383"/>
      <c r="AO291">
        <f ca="1">IF($A291="S",IF(BM!$I291=0,0,CHOOSE(MATCH(RegimeExecucao,{"Global","Unitário"},0),ROUND(ROUND(BM.MEDAcumulado,15-13*BM!$A$9)/100*BM!$I291,15-13*ORÇAMENTO!$AF$11),ROUND(ROUND(BM.MEDAcumulado,15-13*BM!$A$9)*ROUND(BM!$H291,15-13*ORÇAMENTO!$AF$10),15-13*ORÇAMENTO!$AF$11))),IF($A291=0,0,ROUND(SomaAgrupBM,15-13*ORÇAMENTO!$AF$11)))</f>
        <v>0</v>
      </c>
    </row>
    <row r="292" spans="1:41" ht="38.25" x14ac:dyDescent="0.2">
      <c r="A292" t="str">
        <f ca="1">ORÇAMENTO!C292</f>
        <v>S</v>
      </c>
      <c r="B292">
        <f ca="1">ORÇAMENTO!D292</f>
        <v>0</v>
      </c>
      <c r="C292" s="116" t="str">
        <f t="shared" ca="1" si="22"/>
        <v/>
      </c>
      <c r="D292" s="119" t="str">
        <f ca="1">ORÇAMENTO!O292</f>
        <v>-</v>
      </c>
      <c r="E292" s="172" t="str">
        <f t="shared" ca="1" si="23"/>
        <v>(abra o arquivo 'Referência 02-2025.xlsm)</v>
      </c>
      <c r="F292" s="173" t="str">
        <f ca="1">IF(RegimeExecucao="Global","",ORÇAMENTO.Unidade)</f>
        <v>-</v>
      </c>
      <c r="G292" s="124">
        <f ca="1">IF(RegimeExecucao="Global","",ORÇAMENTO!T292)</f>
        <v>83</v>
      </c>
      <c r="H292" s="124">
        <f ca="1">IF(RegimeExecucao="Global","",ORÇAMENTO!W292)</f>
        <v>0</v>
      </c>
      <c r="I292" s="127">
        <f ca="1">ORÇAMENTO!X292</f>
        <v>0</v>
      </c>
      <c r="J292" s="378">
        <f ca="1">IF($A292="S",IF(CAIXA.Modo,BM.AFAnterior,BM.MEDAnterior),IF(AND(RegimeExecucao="Global",$I292&gt;0,COUNTIF($AB$13:$AM$13,BM.medicao-1)&gt;0),M292/$I292*100,0))</f>
        <v>0</v>
      </c>
      <c r="K292" s="124">
        <f t="shared" ca="1" si="24"/>
        <v>0</v>
      </c>
      <c r="L292" s="379">
        <f ca="1">IF($A292="S",IF(CAIXA.Modo,BM.AFAcumulado,BM.MEDAcumulado),IF(AND(RegimeExecucao="Global",$I292&gt;0,COUNTIF($AB$13:$AM$13,BM.medicao)&gt;0),O292/$I292*100,0))</f>
        <v>0</v>
      </c>
      <c r="M292" s="380">
        <f ca="1">IF($A292="S",VTOTALBM,IF($A292=0,0,ROUND(SomaAgrupBM,15-13*ORÇAMENTO!$AF$11)))</f>
        <v>0</v>
      </c>
      <c r="N292" s="381">
        <f t="shared" ca="1" si="25"/>
        <v>0</v>
      </c>
      <c r="O292" s="127">
        <f ca="1">IF($A292="S",VTOTALBM,IF($A292=0,0,ROUND(SomaAgrupBM,15-13*ORÇAMENTO!$AF$11)))</f>
        <v>0</v>
      </c>
      <c r="Q292" s="382"/>
      <c r="R292" s="383"/>
      <c r="T292" s="119" t="str">
        <f t="shared" ca="1" si="26"/>
        <v/>
      </c>
      <c r="U292" s="172" t="str">
        <f t="shared" ca="1" si="27"/>
        <v/>
      </c>
      <c r="V292" s="173" t="str">
        <f ca="1">IF(AND($W292&gt;0,RegimeExecucao="Unitário"),$F292,"")</f>
        <v/>
      </c>
      <c r="W292" s="547">
        <f ca="1">IF($Y292&gt;0,CHOOSE(MATCH(RegimeExecucao,{"Unitário","Global"},0),IF($A292="S",$Y292/$X292,""),($Y292/$X292)*100),0)</f>
        <v>0</v>
      </c>
      <c r="X292" s="384" t="str">
        <f ca="1">IF($Y292&gt;0,CHOOSE(MATCH(RegimeExecucao,{"Unitário","Global"},0),IF($A292="S",ROUND($H292,ORÇAMENTO!$AF$10),""),ROUND($I292,ORÇAMENTO!$AF$11)),"")</f>
        <v/>
      </c>
      <c r="Y292" s="384">
        <f t="shared" ca="1" si="28"/>
        <v>0</v>
      </c>
      <c r="Z292" s="572"/>
      <c r="AB292" s="382"/>
      <c r="AC292" s="516"/>
      <c r="AD292" s="516"/>
      <c r="AE292" s="516"/>
      <c r="AF292" s="516"/>
      <c r="AG292" s="516"/>
      <c r="AH292" s="516"/>
      <c r="AI292" s="516"/>
      <c r="AJ292" s="516"/>
      <c r="AK292" s="516"/>
      <c r="AL292" s="516"/>
      <c r="AM292" s="383"/>
      <c r="AO292">
        <f ca="1">IF($A292="S",IF(BM!$I292=0,0,CHOOSE(MATCH(RegimeExecucao,{"Global","Unitário"},0),ROUND(ROUND(BM.MEDAcumulado,15-13*BM!$A$9)/100*BM!$I292,15-13*ORÇAMENTO!$AF$11),ROUND(ROUND(BM.MEDAcumulado,15-13*BM!$A$9)*ROUND(BM!$H292,15-13*ORÇAMENTO!$AF$10),15-13*ORÇAMENTO!$AF$11))),IF($A292=0,0,ROUND(SomaAgrupBM,15-13*ORÇAMENTO!$AF$11)))</f>
        <v>0</v>
      </c>
    </row>
    <row r="293" spans="1:41" ht="38.25" x14ac:dyDescent="0.2">
      <c r="A293" t="str">
        <f ca="1">ORÇAMENTO!C293</f>
        <v>S</v>
      </c>
      <c r="B293">
        <f ca="1">ORÇAMENTO!D293</f>
        <v>0</v>
      </c>
      <c r="C293" s="116" t="str">
        <f t="shared" ca="1" si="22"/>
        <v/>
      </c>
      <c r="D293" s="119" t="str">
        <f ca="1">ORÇAMENTO!O293</f>
        <v>-</v>
      </c>
      <c r="E293" s="172" t="str">
        <f t="shared" ca="1" si="23"/>
        <v>(abra o arquivo 'Referência 02-2025.xlsm)</v>
      </c>
      <c r="F293" s="173" t="str">
        <f ca="1">IF(RegimeExecucao="Global","",ORÇAMENTO.Unidade)</f>
        <v>-</v>
      </c>
      <c r="G293" s="124">
        <f ca="1">IF(RegimeExecucao="Global","",ORÇAMENTO!T293)</f>
        <v>40</v>
      </c>
      <c r="H293" s="124">
        <f ca="1">IF(RegimeExecucao="Global","",ORÇAMENTO!W293)</f>
        <v>0</v>
      </c>
      <c r="I293" s="127">
        <f ca="1">ORÇAMENTO!X293</f>
        <v>0</v>
      </c>
      <c r="J293" s="378">
        <f ca="1">IF($A293="S",IF(CAIXA.Modo,BM.AFAnterior,BM.MEDAnterior),IF(AND(RegimeExecucao="Global",$I293&gt;0,COUNTIF($AB$13:$AM$13,BM.medicao-1)&gt;0),M293/$I293*100,0))</f>
        <v>0</v>
      </c>
      <c r="K293" s="124">
        <f t="shared" ca="1" si="24"/>
        <v>0</v>
      </c>
      <c r="L293" s="379">
        <f ca="1">IF($A293="S",IF(CAIXA.Modo,BM.AFAcumulado,BM.MEDAcumulado),IF(AND(RegimeExecucao="Global",$I293&gt;0,COUNTIF($AB$13:$AM$13,BM.medicao)&gt;0),O293/$I293*100,0))</f>
        <v>0</v>
      </c>
      <c r="M293" s="380">
        <f ca="1">IF($A293="S",VTOTALBM,IF($A293=0,0,ROUND(SomaAgrupBM,15-13*ORÇAMENTO!$AF$11)))</f>
        <v>0</v>
      </c>
      <c r="N293" s="381">
        <f t="shared" ca="1" si="25"/>
        <v>0</v>
      </c>
      <c r="O293" s="127">
        <f ca="1">IF($A293="S",VTOTALBM,IF($A293=0,0,ROUND(SomaAgrupBM,15-13*ORÇAMENTO!$AF$11)))</f>
        <v>0</v>
      </c>
      <c r="Q293" s="382"/>
      <c r="R293" s="383"/>
      <c r="T293" s="119" t="str">
        <f t="shared" ca="1" si="26"/>
        <v/>
      </c>
      <c r="U293" s="172" t="str">
        <f t="shared" ca="1" si="27"/>
        <v/>
      </c>
      <c r="V293" s="173" t="str">
        <f ca="1">IF(AND($W293&gt;0,RegimeExecucao="Unitário"),$F293,"")</f>
        <v/>
      </c>
      <c r="W293" s="547">
        <f ca="1">IF($Y293&gt;0,CHOOSE(MATCH(RegimeExecucao,{"Unitário","Global"},0),IF($A293="S",$Y293/$X293,""),($Y293/$X293)*100),0)</f>
        <v>0</v>
      </c>
      <c r="X293" s="384" t="str">
        <f ca="1">IF($Y293&gt;0,CHOOSE(MATCH(RegimeExecucao,{"Unitário","Global"},0),IF($A293="S",ROUND($H293,ORÇAMENTO!$AF$10),""),ROUND($I293,ORÇAMENTO!$AF$11)),"")</f>
        <v/>
      </c>
      <c r="Y293" s="384">
        <f t="shared" ca="1" si="28"/>
        <v>0</v>
      </c>
      <c r="Z293" s="572"/>
      <c r="AB293" s="382"/>
      <c r="AC293" s="516"/>
      <c r="AD293" s="516"/>
      <c r="AE293" s="516"/>
      <c r="AF293" s="516"/>
      <c r="AG293" s="516"/>
      <c r="AH293" s="516"/>
      <c r="AI293" s="516"/>
      <c r="AJ293" s="516"/>
      <c r="AK293" s="516"/>
      <c r="AL293" s="516"/>
      <c r="AM293" s="383"/>
      <c r="AO293">
        <f ca="1">IF($A293="S",IF(BM!$I293=0,0,CHOOSE(MATCH(RegimeExecucao,{"Global","Unitário"},0),ROUND(ROUND(BM.MEDAcumulado,15-13*BM!$A$9)/100*BM!$I293,15-13*ORÇAMENTO!$AF$11),ROUND(ROUND(BM.MEDAcumulado,15-13*BM!$A$9)*ROUND(BM!$H293,15-13*ORÇAMENTO!$AF$10),15-13*ORÇAMENTO!$AF$11))),IF($A293=0,0,ROUND(SomaAgrupBM,15-13*ORÇAMENTO!$AF$11)))</f>
        <v>0</v>
      </c>
    </row>
    <row r="294" spans="1:41" ht="38.25" x14ac:dyDescent="0.2">
      <c r="A294" t="str">
        <f ca="1">ORÇAMENTO!C294</f>
        <v>S</v>
      </c>
      <c r="B294">
        <f ca="1">ORÇAMENTO!D294</f>
        <v>0</v>
      </c>
      <c r="C294" s="116" t="str">
        <f t="shared" ca="1" si="22"/>
        <v/>
      </c>
      <c r="D294" s="119" t="str">
        <f ca="1">ORÇAMENTO!O294</f>
        <v>-</v>
      </c>
      <c r="E294" s="172" t="str">
        <f t="shared" ca="1" si="23"/>
        <v>(abra o arquivo 'Referência 02-2025.xlsm)</v>
      </c>
      <c r="F294" s="173" t="str">
        <f ca="1">IF(RegimeExecucao="Global","",ORÇAMENTO.Unidade)</f>
        <v>-</v>
      </c>
      <c r="G294" s="124">
        <f ca="1">IF(RegimeExecucao="Global","",ORÇAMENTO!T294)</f>
        <v>16</v>
      </c>
      <c r="H294" s="124">
        <f ca="1">IF(RegimeExecucao="Global","",ORÇAMENTO!W294)</f>
        <v>0</v>
      </c>
      <c r="I294" s="127">
        <f ca="1">ORÇAMENTO!X294</f>
        <v>0</v>
      </c>
      <c r="J294" s="378">
        <f ca="1">IF($A294="S",IF(CAIXA.Modo,BM.AFAnterior,BM.MEDAnterior),IF(AND(RegimeExecucao="Global",$I294&gt;0,COUNTIF($AB$13:$AM$13,BM.medicao-1)&gt;0),M294/$I294*100,0))</f>
        <v>0</v>
      </c>
      <c r="K294" s="124">
        <f t="shared" ca="1" si="24"/>
        <v>0</v>
      </c>
      <c r="L294" s="379">
        <f ca="1">IF($A294="S",IF(CAIXA.Modo,BM.AFAcumulado,BM.MEDAcumulado),IF(AND(RegimeExecucao="Global",$I294&gt;0,COUNTIF($AB$13:$AM$13,BM.medicao)&gt;0),O294/$I294*100,0))</f>
        <v>0</v>
      </c>
      <c r="M294" s="380">
        <f ca="1">IF($A294="S",VTOTALBM,IF($A294=0,0,ROUND(SomaAgrupBM,15-13*ORÇAMENTO!$AF$11)))</f>
        <v>0</v>
      </c>
      <c r="N294" s="381">
        <f t="shared" ca="1" si="25"/>
        <v>0</v>
      </c>
      <c r="O294" s="127">
        <f ca="1">IF($A294="S",VTOTALBM,IF($A294=0,0,ROUND(SomaAgrupBM,15-13*ORÇAMENTO!$AF$11)))</f>
        <v>0</v>
      </c>
      <c r="Q294" s="382"/>
      <c r="R294" s="383"/>
      <c r="T294" s="119" t="str">
        <f t="shared" ca="1" si="26"/>
        <v/>
      </c>
      <c r="U294" s="172" t="str">
        <f t="shared" ca="1" si="27"/>
        <v/>
      </c>
      <c r="V294" s="173" t="str">
        <f ca="1">IF(AND($W294&gt;0,RegimeExecucao="Unitário"),$F294,"")</f>
        <v/>
      </c>
      <c r="W294" s="547">
        <f ca="1">IF($Y294&gt;0,CHOOSE(MATCH(RegimeExecucao,{"Unitário","Global"},0),IF($A294="S",$Y294/$X294,""),($Y294/$X294)*100),0)</f>
        <v>0</v>
      </c>
      <c r="X294" s="384" t="str">
        <f ca="1">IF($Y294&gt;0,CHOOSE(MATCH(RegimeExecucao,{"Unitário","Global"},0),IF($A294="S",ROUND($H294,ORÇAMENTO!$AF$10),""),ROUND($I294,ORÇAMENTO!$AF$11)),"")</f>
        <v/>
      </c>
      <c r="Y294" s="384">
        <f t="shared" ca="1" si="28"/>
        <v>0</v>
      </c>
      <c r="Z294" s="572"/>
      <c r="AB294" s="382"/>
      <c r="AC294" s="516"/>
      <c r="AD294" s="516"/>
      <c r="AE294" s="516"/>
      <c r="AF294" s="516"/>
      <c r="AG294" s="516"/>
      <c r="AH294" s="516"/>
      <c r="AI294" s="516"/>
      <c r="AJ294" s="516"/>
      <c r="AK294" s="516"/>
      <c r="AL294" s="516"/>
      <c r="AM294" s="383"/>
      <c r="AO294">
        <f ca="1">IF($A294="S",IF(BM!$I294=0,0,CHOOSE(MATCH(RegimeExecucao,{"Global","Unitário"},0),ROUND(ROUND(BM.MEDAcumulado,15-13*BM!$A$9)/100*BM!$I294,15-13*ORÇAMENTO!$AF$11),ROUND(ROUND(BM.MEDAcumulado,15-13*BM!$A$9)*ROUND(BM!$H294,15-13*ORÇAMENTO!$AF$10),15-13*ORÇAMENTO!$AF$11))),IF($A294=0,0,ROUND(SomaAgrupBM,15-13*ORÇAMENTO!$AF$11)))</f>
        <v>0</v>
      </c>
    </row>
    <row r="295" spans="1:41" ht="25.5" x14ac:dyDescent="0.2">
      <c r="A295" t="str">
        <f ca="1">ORÇAMENTO!C295</f>
        <v>S</v>
      </c>
      <c r="B295">
        <f ca="1">ORÇAMENTO!D295</f>
        <v>0</v>
      </c>
      <c r="C295" s="116" t="str">
        <f t="shared" ca="1" si="22"/>
        <v/>
      </c>
      <c r="D295" s="119" t="str">
        <f ca="1">ORÇAMENTO!O295</f>
        <v>-</v>
      </c>
      <c r="E295" s="172" t="str">
        <f t="shared" ca="1" si="23"/>
        <v>(abra o arquivo 'Referência 02-2025.xlsm)</v>
      </c>
      <c r="F295" s="173" t="str">
        <f ca="1">IF(RegimeExecucao="Global","",ORÇAMENTO.Unidade)</f>
        <v>-</v>
      </c>
      <c r="G295" s="124">
        <f ca="1">IF(RegimeExecucao="Global","",ORÇAMENTO!T295)</f>
        <v>53</v>
      </c>
      <c r="H295" s="124">
        <f ca="1">IF(RegimeExecucao="Global","",ORÇAMENTO!W295)</f>
        <v>0</v>
      </c>
      <c r="I295" s="127">
        <f ca="1">ORÇAMENTO!X295</f>
        <v>0</v>
      </c>
      <c r="J295" s="378">
        <f ca="1">IF($A295="S",IF(CAIXA.Modo,BM.AFAnterior,BM.MEDAnterior),IF(AND(RegimeExecucao="Global",$I295&gt;0,COUNTIF($AB$13:$AM$13,BM.medicao-1)&gt;0),M295/$I295*100,0))</f>
        <v>0</v>
      </c>
      <c r="K295" s="124">
        <f t="shared" ca="1" si="24"/>
        <v>0</v>
      </c>
      <c r="L295" s="379">
        <f ca="1">IF($A295="S",IF(CAIXA.Modo,BM.AFAcumulado,BM.MEDAcumulado),IF(AND(RegimeExecucao="Global",$I295&gt;0,COUNTIF($AB$13:$AM$13,BM.medicao)&gt;0),O295/$I295*100,0))</f>
        <v>0</v>
      </c>
      <c r="M295" s="380">
        <f ca="1">IF($A295="S",VTOTALBM,IF($A295=0,0,ROUND(SomaAgrupBM,15-13*ORÇAMENTO!$AF$11)))</f>
        <v>0</v>
      </c>
      <c r="N295" s="381">
        <f t="shared" ca="1" si="25"/>
        <v>0</v>
      </c>
      <c r="O295" s="127">
        <f ca="1">IF($A295="S",VTOTALBM,IF($A295=0,0,ROUND(SomaAgrupBM,15-13*ORÇAMENTO!$AF$11)))</f>
        <v>0</v>
      </c>
      <c r="Q295" s="382"/>
      <c r="R295" s="383"/>
      <c r="T295" s="119" t="str">
        <f t="shared" ca="1" si="26"/>
        <v/>
      </c>
      <c r="U295" s="172" t="str">
        <f t="shared" ca="1" si="27"/>
        <v/>
      </c>
      <c r="V295" s="173" t="str">
        <f ca="1">IF(AND($W295&gt;0,RegimeExecucao="Unitário"),$F295,"")</f>
        <v/>
      </c>
      <c r="W295" s="547">
        <f ca="1">IF($Y295&gt;0,CHOOSE(MATCH(RegimeExecucao,{"Unitário","Global"},0),IF($A295="S",$Y295/$X295,""),($Y295/$X295)*100),0)</f>
        <v>0</v>
      </c>
      <c r="X295" s="384" t="str">
        <f ca="1">IF($Y295&gt;0,CHOOSE(MATCH(RegimeExecucao,{"Unitário","Global"},0),IF($A295="S",ROUND($H295,ORÇAMENTO!$AF$10),""),ROUND($I295,ORÇAMENTO!$AF$11)),"")</f>
        <v/>
      </c>
      <c r="Y295" s="384">
        <f t="shared" ca="1" si="28"/>
        <v>0</v>
      </c>
      <c r="Z295" s="572"/>
      <c r="AB295" s="382"/>
      <c r="AC295" s="516"/>
      <c r="AD295" s="516"/>
      <c r="AE295" s="516"/>
      <c r="AF295" s="516"/>
      <c r="AG295" s="516"/>
      <c r="AH295" s="516"/>
      <c r="AI295" s="516"/>
      <c r="AJ295" s="516"/>
      <c r="AK295" s="516"/>
      <c r="AL295" s="516"/>
      <c r="AM295" s="383"/>
      <c r="AO295">
        <f ca="1">IF($A295="S",IF(BM!$I295=0,0,CHOOSE(MATCH(RegimeExecucao,{"Global","Unitário"},0),ROUND(ROUND(BM.MEDAcumulado,15-13*BM!$A$9)/100*BM!$I295,15-13*ORÇAMENTO!$AF$11),ROUND(ROUND(BM.MEDAcumulado,15-13*BM!$A$9)*ROUND(BM!$H295,15-13*ORÇAMENTO!$AF$10),15-13*ORÇAMENTO!$AF$11))),IF($A295=0,0,ROUND(SomaAgrupBM,15-13*ORÇAMENTO!$AF$11)))</f>
        <v>0</v>
      </c>
    </row>
    <row r="296" spans="1:41" ht="38.25" x14ac:dyDescent="0.2">
      <c r="A296" t="str">
        <f ca="1">ORÇAMENTO!C296</f>
        <v>S</v>
      </c>
      <c r="B296">
        <f ca="1">ORÇAMENTO!D296</f>
        <v>0</v>
      </c>
      <c r="C296" s="116" t="str">
        <f t="shared" ca="1" si="22"/>
        <v/>
      </c>
      <c r="D296" s="119" t="str">
        <f ca="1">ORÇAMENTO!O296</f>
        <v>-</v>
      </c>
      <c r="E296" s="172" t="str">
        <f t="shared" ca="1" si="23"/>
        <v>(abra o arquivo 'Referência 02-2025.xlsm)</v>
      </c>
      <c r="F296" s="173" t="str">
        <f ca="1">IF(RegimeExecucao="Global","",ORÇAMENTO.Unidade)</f>
        <v>-</v>
      </c>
      <c r="G296" s="124">
        <f ca="1">IF(RegimeExecucao="Global","",ORÇAMENTO!T296)</f>
        <v>3</v>
      </c>
      <c r="H296" s="124">
        <f ca="1">IF(RegimeExecucao="Global","",ORÇAMENTO!W296)</f>
        <v>0</v>
      </c>
      <c r="I296" s="127">
        <f ca="1">ORÇAMENTO!X296</f>
        <v>0</v>
      </c>
      <c r="J296" s="378">
        <f ca="1">IF($A296="S",IF(CAIXA.Modo,BM.AFAnterior,BM.MEDAnterior),IF(AND(RegimeExecucao="Global",$I296&gt;0,COUNTIF($AB$13:$AM$13,BM.medicao-1)&gt;0),M296/$I296*100,0))</f>
        <v>0</v>
      </c>
      <c r="K296" s="124">
        <f t="shared" ca="1" si="24"/>
        <v>0</v>
      </c>
      <c r="L296" s="379">
        <f ca="1">IF($A296="S",IF(CAIXA.Modo,BM.AFAcumulado,BM.MEDAcumulado),IF(AND(RegimeExecucao="Global",$I296&gt;0,COUNTIF($AB$13:$AM$13,BM.medicao)&gt;0),O296/$I296*100,0))</f>
        <v>0</v>
      </c>
      <c r="M296" s="380">
        <f ca="1">IF($A296="S",VTOTALBM,IF($A296=0,0,ROUND(SomaAgrupBM,15-13*ORÇAMENTO!$AF$11)))</f>
        <v>0</v>
      </c>
      <c r="N296" s="381">
        <f t="shared" ca="1" si="25"/>
        <v>0</v>
      </c>
      <c r="O296" s="127">
        <f ca="1">IF($A296="S",VTOTALBM,IF($A296=0,0,ROUND(SomaAgrupBM,15-13*ORÇAMENTO!$AF$11)))</f>
        <v>0</v>
      </c>
      <c r="Q296" s="382"/>
      <c r="R296" s="383"/>
      <c r="T296" s="119" t="str">
        <f t="shared" ca="1" si="26"/>
        <v/>
      </c>
      <c r="U296" s="172" t="str">
        <f t="shared" ca="1" si="27"/>
        <v/>
      </c>
      <c r="V296" s="173" t="str">
        <f ca="1">IF(AND($W296&gt;0,RegimeExecucao="Unitário"),$F296,"")</f>
        <v/>
      </c>
      <c r="W296" s="547">
        <f ca="1">IF($Y296&gt;0,CHOOSE(MATCH(RegimeExecucao,{"Unitário","Global"},0),IF($A296="S",$Y296/$X296,""),($Y296/$X296)*100),0)</f>
        <v>0</v>
      </c>
      <c r="X296" s="384" t="str">
        <f ca="1">IF($Y296&gt;0,CHOOSE(MATCH(RegimeExecucao,{"Unitário","Global"},0),IF($A296="S",ROUND($H296,ORÇAMENTO!$AF$10),""),ROUND($I296,ORÇAMENTO!$AF$11)),"")</f>
        <v/>
      </c>
      <c r="Y296" s="384">
        <f t="shared" ca="1" si="28"/>
        <v>0</v>
      </c>
      <c r="Z296" s="572"/>
      <c r="AB296" s="382"/>
      <c r="AC296" s="516"/>
      <c r="AD296" s="516"/>
      <c r="AE296" s="516"/>
      <c r="AF296" s="516"/>
      <c r="AG296" s="516"/>
      <c r="AH296" s="516"/>
      <c r="AI296" s="516"/>
      <c r="AJ296" s="516"/>
      <c r="AK296" s="516"/>
      <c r="AL296" s="516"/>
      <c r="AM296" s="383"/>
      <c r="AO296">
        <f ca="1">IF($A296="S",IF(BM!$I296=0,0,CHOOSE(MATCH(RegimeExecucao,{"Global","Unitário"},0),ROUND(ROUND(BM.MEDAcumulado,15-13*BM!$A$9)/100*BM!$I296,15-13*ORÇAMENTO!$AF$11),ROUND(ROUND(BM.MEDAcumulado,15-13*BM!$A$9)*ROUND(BM!$H296,15-13*ORÇAMENTO!$AF$10),15-13*ORÇAMENTO!$AF$11))),IF($A296=0,0,ROUND(SomaAgrupBM,15-13*ORÇAMENTO!$AF$11)))</f>
        <v>0</v>
      </c>
    </row>
    <row r="297" spans="1:41" ht="25.5" x14ac:dyDescent="0.2">
      <c r="A297" t="str">
        <f ca="1">ORÇAMENTO!C297</f>
        <v>S</v>
      </c>
      <c r="B297">
        <f ca="1">ORÇAMENTO!D297</f>
        <v>0</v>
      </c>
      <c r="C297" s="116" t="str">
        <f t="shared" ca="1" si="22"/>
        <v/>
      </c>
      <c r="D297" s="119" t="str">
        <f ca="1">ORÇAMENTO!O297</f>
        <v>-</v>
      </c>
      <c r="E297" s="172" t="str">
        <f t="shared" ca="1" si="23"/>
        <v>(abra o arquivo 'Referência 02-2025.xlsm)</v>
      </c>
      <c r="F297" s="173" t="str">
        <f ca="1">IF(RegimeExecucao="Global","",ORÇAMENTO.Unidade)</f>
        <v>-</v>
      </c>
      <c r="G297" s="124">
        <f ca="1">IF(RegimeExecucao="Global","",ORÇAMENTO!T297)</f>
        <v>15</v>
      </c>
      <c r="H297" s="124">
        <f ca="1">IF(RegimeExecucao="Global","",ORÇAMENTO!W297)</f>
        <v>0</v>
      </c>
      <c r="I297" s="127">
        <f ca="1">ORÇAMENTO!X297</f>
        <v>0</v>
      </c>
      <c r="J297" s="378">
        <f ca="1">IF($A297="S",IF(CAIXA.Modo,BM.AFAnterior,BM.MEDAnterior),IF(AND(RegimeExecucao="Global",$I297&gt;0,COUNTIF($AB$13:$AM$13,BM.medicao-1)&gt;0),M297/$I297*100,0))</f>
        <v>0</v>
      </c>
      <c r="K297" s="124">
        <f t="shared" ca="1" si="24"/>
        <v>0</v>
      </c>
      <c r="L297" s="379">
        <f ca="1">IF($A297="S",IF(CAIXA.Modo,BM.AFAcumulado,BM.MEDAcumulado),IF(AND(RegimeExecucao="Global",$I297&gt;0,COUNTIF($AB$13:$AM$13,BM.medicao)&gt;0),O297/$I297*100,0))</f>
        <v>0</v>
      </c>
      <c r="M297" s="380">
        <f ca="1">IF($A297="S",VTOTALBM,IF($A297=0,0,ROUND(SomaAgrupBM,15-13*ORÇAMENTO!$AF$11)))</f>
        <v>0</v>
      </c>
      <c r="N297" s="381">
        <f t="shared" ca="1" si="25"/>
        <v>0</v>
      </c>
      <c r="O297" s="127">
        <f ca="1">IF($A297="S",VTOTALBM,IF($A297=0,0,ROUND(SomaAgrupBM,15-13*ORÇAMENTO!$AF$11)))</f>
        <v>0</v>
      </c>
      <c r="Q297" s="382"/>
      <c r="R297" s="383"/>
      <c r="T297" s="119" t="str">
        <f t="shared" ca="1" si="26"/>
        <v/>
      </c>
      <c r="U297" s="172" t="str">
        <f t="shared" ca="1" si="27"/>
        <v/>
      </c>
      <c r="V297" s="173" t="str">
        <f ca="1">IF(AND($W297&gt;0,RegimeExecucao="Unitário"),$F297,"")</f>
        <v/>
      </c>
      <c r="W297" s="547">
        <f ca="1">IF($Y297&gt;0,CHOOSE(MATCH(RegimeExecucao,{"Unitário","Global"},0),IF($A297="S",$Y297/$X297,""),($Y297/$X297)*100),0)</f>
        <v>0</v>
      </c>
      <c r="X297" s="384" t="str">
        <f ca="1">IF($Y297&gt;0,CHOOSE(MATCH(RegimeExecucao,{"Unitário","Global"},0),IF($A297="S",ROUND($H297,ORÇAMENTO!$AF$10),""),ROUND($I297,ORÇAMENTO!$AF$11)),"")</f>
        <v/>
      </c>
      <c r="Y297" s="384">
        <f t="shared" ca="1" si="28"/>
        <v>0</v>
      </c>
      <c r="Z297" s="572"/>
      <c r="AB297" s="382"/>
      <c r="AC297" s="516"/>
      <c r="AD297" s="516"/>
      <c r="AE297" s="516"/>
      <c r="AF297" s="516"/>
      <c r="AG297" s="516"/>
      <c r="AH297" s="516"/>
      <c r="AI297" s="516"/>
      <c r="AJ297" s="516"/>
      <c r="AK297" s="516"/>
      <c r="AL297" s="516"/>
      <c r="AM297" s="383"/>
      <c r="AO297">
        <f ca="1">IF($A297="S",IF(BM!$I297=0,0,CHOOSE(MATCH(RegimeExecucao,{"Global","Unitário"},0),ROUND(ROUND(BM.MEDAcumulado,15-13*BM!$A$9)/100*BM!$I297,15-13*ORÇAMENTO!$AF$11),ROUND(ROUND(BM.MEDAcumulado,15-13*BM!$A$9)*ROUND(BM!$H297,15-13*ORÇAMENTO!$AF$10),15-13*ORÇAMENTO!$AF$11))),IF($A297=0,0,ROUND(SomaAgrupBM,15-13*ORÇAMENTO!$AF$11)))</f>
        <v>0</v>
      </c>
    </row>
    <row r="298" spans="1:41" ht="38.25" x14ac:dyDescent="0.2">
      <c r="A298" t="str">
        <f ca="1">ORÇAMENTO!C298</f>
        <v>S</v>
      </c>
      <c r="B298">
        <f ca="1">ORÇAMENTO!D298</f>
        <v>0</v>
      </c>
      <c r="C298" s="116" t="str">
        <f t="shared" ca="1" si="22"/>
        <v/>
      </c>
      <c r="D298" s="119" t="str">
        <f ca="1">ORÇAMENTO!O298</f>
        <v>-</v>
      </c>
      <c r="E298" s="172" t="str">
        <f t="shared" ca="1" si="23"/>
        <v>(abra o arquivo 'Referência 02-2025.xlsm)</v>
      </c>
      <c r="F298" s="173" t="str">
        <f ca="1">IF(RegimeExecucao="Global","",ORÇAMENTO.Unidade)</f>
        <v>-</v>
      </c>
      <c r="G298" s="124">
        <f ca="1">IF(RegimeExecucao="Global","",ORÇAMENTO!T298)</f>
        <v>64</v>
      </c>
      <c r="H298" s="124">
        <f ca="1">IF(RegimeExecucao="Global","",ORÇAMENTO!W298)</f>
        <v>0</v>
      </c>
      <c r="I298" s="127">
        <f ca="1">ORÇAMENTO!X298</f>
        <v>0</v>
      </c>
      <c r="J298" s="378">
        <f ca="1">IF($A298="S",IF(CAIXA.Modo,BM.AFAnterior,BM.MEDAnterior),IF(AND(RegimeExecucao="Global",$I298&gt;0,COUNTIF($AB$13:$AM$13,BM.medicao-1)&gt;0),M298/$I298*100,0))</f>
        <v>0</v>
      </c>
      <c r="K298" s="124">
        <f t="shared" ca="1" si="24"/>
        <v>0</v>
      </c>
      <c r="L298" s="379">
        <f ca="1">IF($A298="S",IF(CAIXA.Modo,BM.AFAcumulado,BM.MEDAcumulado),IF(AND(RegimeExecucao="Global",$I298&gt;0,COUNTIF($AB$13:$AM$13,BM.medicao)&gt;0),O298/$I298*100,0))</f>
        <v>0</v>
      </c>
      <c r="M298" s="380">
        <f ca="1">IF($A298="S",VTOTALBM,IF($A298=0,0,ROUND(SomaAgrupBM,15-13*ORÇAMENTO!$AF$11)))</f>
        <v>0</v>
      </c>
      <c r="N298" s="381">
        <f t="shared" ca="1" si="25"/>
        <v>0</v>
      </c>
      <c r="O298" s="127">
        <f ca="1">IF($A298="S",VTOTALBM,IF($A298=0,0,ROUND(SomaAgrupBM,15-13*ORÇAMENTO!$AF$11)))</f>
        <v>0</v>
      </c>
      <c r="Q298" s="382"/>
      <c r="R298" s="383"/>
      <c r="T298" s="119" t="str">
        <f t="shared" ca="1" si="26"/>
        <v/>
      </c>
      <c r="U298" s="172" t="str">
        <f t="shared" ca="1" si="27"/>
        <v/>
      </c>
      <c r="V298" s="173" t="str">
        <f ca="1">IF(AND($W298&gt;0,RegimeExecucao="Unitário"),$F298,"")</f>
        <v/>
      </c>
      <c r="W298" s="547">
        <f ca="1">IF($Y298&gt;0,CHOOSE(MATCH(RegimeExecucao,{"Unitário","Global"},0),IF($A298="S",$Y298/$X298,""),($Y298/$X298)*100),0)</f>
        <v>0</v>
      </c>
      <c r="X298" s="384" t="str">
        <f ca="1">IF($Y298&gt;0,CHOOSE(MATCH(RegimeExecucao,{"Unitário","Global"},0),IF($A298="S",ROUND($H298,ORÇAMENTO!$AF$10),""),ROUND($I298,ORÇAMENTO!$AF$11)),"")</f>
        <v/>
      </c>
      <c r="Y298" s="384">
        <f t="shared" ca="1" si="28"/>
        <v>0</v>
      </c>
      <c r="Z298" s="572"/>
      <c r="AB298" s="382"/>
      <c r="AC298" s="516"/>
      <c r="AD298" s="516"/>
      <c r="AE298" s="516"/>
      <c r="AF298" s="516"/>
      <c r="AG298" s="516"/>
      <c r="AH298" s="516"/>
      <c r="AI298" s="516"/>
      <c r="AJ298" s="516"/>
      <c r="AK298" s="516"/>
      <c r="AL298" s="516"/>
      <c r="AM298" s="383"/>
      <c r="AO298">
        <f ca="1">IF($A298="S",IF(BM!$I298=0,0,CHOOSE(MATCH(RegimeExecucao,{"Global","Unitário"},0),ROUND(ROUND(BM.MEDAcumulado,15-13*BM!$A$9)/100*BM!$I298,15-13*ORÇAMENTO!$AF$11),ROUND(ROUND(BM.MEDAcumulado,15-13*BM!$A$9)*ROUND(BM!$H298,15-13*ORÇAMENTO!$AF$10),15-13*ORÇAMENTO!$AF$11))),IF($A298=0,0,ROUND(SomaAgrupBM,15-13*ORÇAMENTO!$AF$11)))</f>
        <v>0</v>
      </c>
    </row>
    <row r="299" spans="1:41" ht="38.25" x14ac:dyDescent="0.2">
      <c r="A299" t="str">
        <f ca="1">ORÇAMENTO!C299</f>
        <v>S</v>
      </c>
      <c r="B299">
        <f ca="1">ORÇAMENTO!D299</f>
        <v>0</v>
      </c>
      <c r="C299" s="116" t="str">
        <f t="shared" ca="1" si="22"/>
        <v/>
      </c>
      <c r="D299" s="119" t="str">
        <f ca="1">ORÇAMENTO!O299</f>
        <v>-</v>
      </c>
      <c r="E299" s="172" t="str">
        <f t="shared" ca="1" si="23"/>
        <v>(abra o arquivo 'Referência 02-2025.xlsm)</v>
      </c>
      <c r="F299" s="173" t="str">
        <f ca="1">IF(RegimeExecucao="Global","",ORÇAMENTO.Unidade)</f>
        <v>-</v>
      </c>
      <c r="G299" s="124">
        <f ca="1">IF(RegimeExecucao="Global","",ORÇAMENTO!T299)</f>
        <v>1</v>
      </c>
      <c r="H299" s="124">
        <f ca="1">IF(RegimeExecucao="Global","",ORÇAMENTO!W299)</f>
        <v>0</v>
      </c>
      <c r="I299" s="127">
        <f ca="1">ORÇAMENTO!X299</f>
        <v>0</v>
      </c>
      <c r="J299" s="378">
        <f ca="1">IF($A299="S",IF(CAIXA.Modo,BM.AFAnterior,BM.MEDAnterior),IF(AND(RegimeExecucao="Global",$I299&gt;0,COUNTIF($AB$13:$AM$13,BM.medicao-1)&gt;0),M299/$I299*100,0))</f>
        <v>0</v>
      </c>
      <c r="K299" s="124">
        <f t="shared" ca="1" si="24"/>
        <v>0</v>
      </c>
      <c r="L299" s="379">
        <f ca="1">IF($A299="S",IF(CAIXA.Modo,BM.AFAcumulado,BM.MEDAcumulado),IF(AND(RegimeExecucao="Global",$I299&gt;0,COUNTIF($AB$13:$AM$13,BM.medicao)&gt;0),O299/$I299*100,0))</f>
        <v>0</v>
      </c>
      <c r="M299" s="380">
        <f ca="1">IF($A299="S",VTOTALBM,IF($A299=0,0,ROUND(SomaAgrupBM,15-13*ORÇAMENTO!$AF$11)))</f>
        <v>0</v>
      </c>
      <c r="N299" s="381">
        <f t="shared" ca="1" si="25"/>
        <v>0</v>
      </c>
      <c r="O299" s="127">
        <f ca="1">IF($A299="S",VTOTALBM,IF($A299=0,0,ROUND(SomaAgrupBM,15-13*ORÇAMENTO!$AF$11)))</f>
        <v>0</v>
      </c>
      <c r="Q299" s="382"/>
      <c r="R299" s="383"/>
      <c r="T299" s="119" t="str">
        <f t="shared" ca="1" si="26"/>
        <v/>
      </c>
      <c r="U299" s="172" t="str">
        <f t="shared" ca="1" si="27"/>
        <v/>
      </c>
      <c r="V299" s="173" t="str">
        <f ca="1">IF(AND($W299&gt;0,RegimeExecucao="Unitário"),$F299,"")</f>
        <v/>
      </c>
      <c r="W299" s="547">
        <f ca="1">IF($Y299&gt;0,CHOOSE(MATCH(RegimeExecucao,{"Unitário","Global"},0),IF($A299="S",$Y299/$X299,""),($Y299/$X299)*100),0)</f>
        <v>0</v>
      </c>
      <c r="X299" s="384" t="str">
        <f ca="1">IF($Y299&gt;0,CHOOSE(MATCH(RegimeExecucao,{"Unitário","Global"},0),IF($A299="S",ROUND($H299,ORÇAMENTO!$AF$10),""),ROUND($I299,ORÇAMENTO!$AF$11)),"")</f>
        <v/>
      </c>
      <c r="Y299" s="384">
        <f t="shared" ca="1" si="28"/>
        <v>0</v>
      </c>
      <c r="Z299" s="572"/>
      <c r="AB299" s="382"/>
      <c r="AC299" s="516"/>
      <c r="AD299" s="516"/>
      <c r="AE299" s="516"/>
      <c r="AF299" s="516"/>
      <c r="AG299" s="516"/>
      <c r="AH299" s="516"/>
      <c r="AI299" s="516"/>
      <c r="AJ299" s="516"/>
      <c r="AK299" s="516"/>
      <c r="AL299" s="516"/>
      <c r="AM299" s="383"/>
      <c r="AO299">
        <f ca="1">IF($A299="S",IF(BM!$I299=0,0,CHOOSE(MATCH(RegimeExecucao,{"Global","Unitário"},0),ROUND(ROUND(BM.MEDAcumulado,15-13*BM!$A$9)/100*BM!$I299,15-13*ORÇAMENTO!$AF$11),ROUND(ROUND(BM.MEDAcumulado,15-13*BM!$A$9)*ROUND(BM!$H299,15-13*ORÇAMENTO!$AF$10),15-13*ORÇAMENTO!$AF$11))),IF($A299=0,0,ROUND(SomaAgrupBM,15-13*ORÇAMENTO!$AF$11)))</f>
        <v>0</v>
      </c>
    </row>
    <row r="300" spans="1:41" ht="38.25" x14ac:dyDescent="0.2">
      <c r="A300" t="str">
        <f ca="1">ORÇAMENTO!C300</f>
        <v>S</v>
      </c>
      <c r="B300">
        <f ca="1">ORÇAMENTO!D300</f>
        <v>0</v>
      </c>
      <c r="C300" s="116" t="str">
        <f t="shared" ca="1" si="22"/>
        <v/>
      </c>
      <c r="D300" s="119" t="str">
        <f ca="1">ORÇAMENTO!O300</f>
        <v>-</v>
      </c>
      <c r="E300" s="172" t="str">
        <f t="shared" ca="1" si="23"/>
        <v>(abra o arquivo 'Referência 02-2025.xlsm)</v>
      </c>
      <c r="F300" s="173" t="str">
        <f ca="1">IF(RegimeExecucao="Global","",ORÇAMENTO.Unidade)</f>
        <v>-</v>
      </c>
      <c r="G300" s="124">
        <f ca="1">IF(RegimeExecucao="Global","",ORÇAMENTO!T300)</f>
        <v>8</v>
      </c>
      <c r="H300" s="124">
        <f ca="1">IF(RegimeExecucao="Global","",ORÇAMENTO!W300)</f>
        <v>0</v>
      </c>
      <c r="I300" s="127">
        <f ca="1">ORÇAMENTO!X300</f>
        <v>0</v>
      </c>
      <c r="J300" s="378">
        <f ca="1">IF($A300="S",IF(CAIXA.Modo,BM.AFAnterior,BM.MEDAnterior),IF(AND(RegimeExecucao="Global",$I300&gt;0,COUNTIF($AB$13:$AM$13,BM.medicao-1)&gt;0),M300/$I300*100,0))</f>
        <v>0</v>
      </c>
      <c r="K300" s="124">
        <f t="shared" ca="1" si="24"/>
        <v>0</v>
      </c>
      <c r="L300" s="379">
        <f ca="1">IF($A300="S",IF(CAIXA.Modo,BM.AFAcumulado,BM.MEDAcumulado),IF(AND(RegimeExecucao="Global",$I300&gt;0,COUNTIF($AB$13:$AM$13,BM.medicao)&gt;0),O300/$I300*100,0))</f>
        <v>0</v>
      </c>
      <c r="M300" s="380">
        <f ca="1">IF($A300="S",VTOTALBM,IF($A300=0,0,ROUND(SomaAgrupBM,15-13*ORÇAMENTO!$AF$11)))</f>
        <v>0</v>
      </c>
      <c r="N300" s="381">
        <f t="shared" ca="1" si="25"/>
        <v>0</v>
      </c>
      <c r="O300" s="127">
        <f ca="1">IF($A300="S",VTOTALBM,IF($A300=0,0,ROUND(SomaAgrupBM,15-13*ORÇAMENTO!$AF$11)))</f>
        <v>0</v>
      </c>
      <c r="Q300" s="382"/>
      <c r="R300" s="383"/>
      <c r="T300" s="119" t="str">
        <f t="shared" ca="1" si="26"/>
        <v/>
      </c>
      <c r="U300" s="172" t="str">
        <f t="shared" ca="1" si="27"/>
        <v/>
      </c>
      <c r="V300" s="173" t="str">
        <f ca="1">IF(AND($W300&gt;0,RegimeExecucao="Unitário"),$F300,"")</f>
        <v/>
      </c>
      <c r="W300" s="547">
        <f ca="1">IF($Y300&gt;0,CHOOSE(MATCH(RegimeExecucao,{"Unitário","Global"},0),IF($A300="S",$Y300/$X300,""),($Y300/$X300)*100),0)</f>
        <v>0</v>
      </c>
      <c r="X300" s="384" t="str">
        <f ca="1">IF($Y300&gt;0,CHOOSE(MATCH(RegimeExecucao,{"Unitário","Global"},0),IF($A300="S",ROUND($H300,ORÇAMENTO!$AF$10),""),ROUND($I300,ORÇAMENTO!$AF$11)),"")</f>
        <v/>
      </c>
      <c r="Y300" s="384">
        <f t="shared" ca="1" si="28"/>
        <v>0</v>
      </c>
      <c r="Z300" s="572"/>
      <c r="AB300" s="382"/>
      <c r="AC300" s="516"/>
      <c r="AD300" s="516"/>
      <c r="AE300" s="516"/>
      <c r="AF300" s="516"/>
      <c r="AG300" s="516"/>
      <c r="AH300" s="516"/>
      <c r="AI300" s="516"/>
      <c r="AJ300" s="516"/>
      <c r="AK300" s="516"/>
      <c r="AL300" s="516"/>
      <c r="AM300" s="383"/>
      <c r="AO300">
        <f ca="1">IF($A300="S",IF(BM!$I300=0,0,CHOOSE(MATCH(RegimeExecucao,{"Global","Unitário"},0),ROUND(ROUND(BM.MEDAcumulado,15-13*BM!$A$9)/100*BM!$I300,15-13*ORÇAMENTO!$AF$11),ROUND(ROUND(BM.MEDAcumulado,15-13*BM!$A$9)*ROUND(BM!$H300,15-13*ORÇAMENTO!$AF$10),15-13*ORÇAMENTO!$AF$11))),IF($A300=0,0,ROUND(SomaAgrupBM,15-13*ORÇAMENTO!$AF$11)))</f>
        <v>0</v>
      </c>
    </row>
    <row r="301" spans="1:41" ht="25.5" x14ac:dyDescent="0.2">
      <c r="A301" t="str">
        <f ca="1">ORÇAMENTO!C301</f>
        <v>S</v>
      </c>
      <c r="B301">
        <f ca="1">ORÇAMENTO!D301</f>
        <v>0</v>
      </c>
      <c r="C301" s="116" t="str">
        <f t="shared" ca="1" si="22"/>
        <v/>
      </c>
      <c r="D301" s="119" t="str">
        <f ca="1">ORÇAMENTO!O301</f>
        <v>-</v>
      </c>
      <c r="E301" s="172" t="str">
        <f t="shared" ca="1" si="23"/>
        <v>(abra o arquivo 'Referência 02-2025.xlsm)</v>
      </c>
      <c r="F301" s="173" t="str">
        <f ca="1">IF(RegimeExecucao="Global","",ORÇAMENTO.Unidade)</f>
        <v>-</v>
      </c>
      <c r="G301" s="124">
        <f ca="1">IF(RegimeExecucao="Global","",ORÇAMENTO!T301)</f>
        <v>3</v>
      </c>
      <c r="H301" s="124">
        <f ca="1">IF(RegimeExecucao="Global","",ORÇAMENTO!W301)</f>
        <v>0</v>
      </c>
      <c r="I301" s="127">
        <f ca="1">ORÇAMENTO!X301</f>
        <v>0</v>
      </c>
      <c r="J301" s="378">
        <f ca="1">IF($A301="S",IF(CAIXA.Modo,BM.AFAnterior,BM.MEDAnterior),IF(AND(RegimeExecucao="Global",$I301&gt;0,COUNTIF($AB$13:$AM$13,BM.medicao-1)&gt;0),M301/$I301*100,0))</f>
        <v>0</v>
      </c>
      <c r="K301" s="124">
        <f t="shared" ca="1" si="24"/>
        <v>0</v>
      </c>
      <c r="L301" s="379">
        <f ca="1">IF($A301="S",IF(CAIXA.Modo,BM.AFAcumulado,BM.MEDAcumulado),IF(AND(RegimeExecucao="Global",$I301&gt;0,COUNTIF($AB$13:$AM$13,BM.medicao)&gt;0),O301/$I301*100,0))</f>
        <v>0</v>
      </c>
      <c r="M301" s="380">
        <f ca="1">IF($A301="S",VTOTALBM,IF($A301=0,0,ROUND(SomaAgrupBM,15-13*ORÇAMENTO!$AF$11)))</f>
        <v>0</v>
      </c>
      <c r="N301" s="381">
        <f t="shared" ca="1" si="25"/>
        <v>0</v>
      </c>
      <c r="O301" s="127">
        <f ca="1">IF($A301="S",VTOTALBM,IF($A301=0,0,ROUND(SomaAgrupBM,15-13*ORÇAMENTO!$AF$11)))</f>
        <v>0</v>
      </c>
      <c r="Q301" s="382"/>
      <c r="R301" s="383"/>
      <c r="T301" s="119" t="str">
        <f t="shared" ca="1" si="26"/>
        <v/>
      </c>
      <c r="U301" s="172" t="str">
        <f t="shared" ca="1" si="27"/>
        <v/>
      </c>
      <c r="V301" s="173" t="str">
        <f ca="1">IF(AND($W301&gt;0,RegimeExecucao="Unitário"),$F301,"")</f>
        <v/>
      </c>
      <c r="W301" s="547">
        <f ca="1">IF($Y301&gt;0,CHOOSE(MATCH(RegimeExecucao,{"Unitário","Global"},0),IF($A301="S",$Y301/$X301,""),($Y301/$X301)*100),0)</f>
        <v>0</v>
      </c>
      <c r="X301" s="384" t="str">
        <f ca="1">IF($Y301&gt;0,CHOOSE(MATCH(RegimeExecucao,{"Unitário","Global"},0),IF($A301="S",ROUND($H301,ORÇAMENTO!$AF$10),""),ROUND($I301,ORÇAMENTO!$AF$11)),"")</f>
        <v/>
      </c>
      <c r="Y301" s="384">
        <f t="shared" ca="1" si="28"/>
        <v>0</v>
      </c>
      <c r="Z301" s="572"/>
      <c r="AB301" s="382"/>
      <c r="AC301" s="516"/>
      <c r="AD301" s="516"/>
      <c r="AE301" s="516"/>
      <c r="AF301" s="516"/>
      <c r="AG301" s="516"/>
      <c r="AH301" s="516"/>
      <c r="AI301" s="516"/>
      <c r="AJ301" s="516"/>
      <c r="AK301" s="516"/>
      <c r="AL301" s="516"/>
      <c r="AM301" s="383"/>
      <c r="AO301">
        <f ca="1">IF($A301="S",IF(BM!$I301=0,0,CHOOSE(MATCH(RegimeExecucao,{"Global","Unitário"},0),ROUND(ROUND(BM.MEDAcumulado,15-13*BM!$A$9)/100*BM!$I301,15-13*ORÇAMENTO!$AF$11),ROUND(ROUND(BM.MEDAcumulado,15-13*BM!$A$9)*ROUND(BM!$H301,15-13*ORÇAMENTO!$AF$10),15-13*ORÇAMENTO!$AF$11))),IF($A301=0,0,ROUND(SomaAgrupBM,15-13*ORÇAMENTO!$AF$11)))</f>
        <v>0</v>
      </c>
    </row>
    <row r="302" spans="1:41" ht="25.5" x14ac:dyDescent="0.2">
      <c r="A302" t="str">
        <f ca="1">ORÇAMENTO!C302</f>
        <v>S</v>
      </c>
      <c r="B302">
        <f ca="1">ORÇAMENTO!D302</f>
        <v>0</v>
      </c>
      <c r="C302" s="116" t="str">
        <f t="shared" ca="1" si="22"/>
        <v/>
      </c>
      <c r="D302" s="119" t="str">
        <f ca="1">ORÇAMENTO!O302</f>
        <v>-</v>
      </c>
      <c r="E302" s="172" t="str">
        <f t="shared" ca="1" si="23"/>
        <v>(abra o arquivo 'Referência 02-2025.xlsm)</v>
      </c>
      <c r="F302" s="173" t="str">
        <f ca="1">IF(RegimeExecucao="Global","",ORÇAMENTO.Unidade)</f>
        <v>-</v>
      </c>
      <c r="G302" s="124">
        <f ca="1">IF(RegimeExecucao="Global","",ORÇAMENTO!T302)</f>
        <v>18</v>
      </c>
      <c r="H302" s="124">
        <f ca="1">IF(RegimeExecucao="Global","",ORÇAMENTO!W302)</f>
        <v>0</v>
      </c>
      <c r="I302" s="127">
        <f ca="1">ORÇAMENTO!X302</f>
        <v>0</v>
      </c>
      <c r="J302" s="378">
        <f ca="1">IF($A302="S",IF(CAIXA.Modo,BM.AFAnterior,BM.MEDAnterior),IF(AND(RegimeExecucao="Global",$I302&gt;0,COUNTIF($AB$13:$AM$13,BM.medicao-1)&gt;0),M302/$I302*100,0))</f>
        <v>0</v>
      </c>
      <c r="K302" s="124">
        <f t="shared" ca="1" si="24"/>
        <v>0</v>
      </c>
      <c r="L302" s="379">
        <f ca="1">IF($A302="S",IF(CAIXA.Modo,BM.AFAcumulado,BM.MEDAcumulado),IF(AND(RegimeExecucao="Global",$I302&gt;0,COUNTIF($AB$13:$AM$13,BM.medicao)&gt;0),O302/$I302*100,0))</f>
        <v>0</v>
      </c>
      <c r="M302" s="380">
        <f ca="1">IF($A302="S",VTOTALBM,IF($A302=0,0,ROUND(SomaAgrupBM,15-13*ORÇAMENTO!$AF$11)))</f>
        <v>0</v>
      </c>
      <c r="N302" s="381">
        <f t="shared" ca="1" si="25"/>
        <v>0</v>
      </c>
      <c r="O302" s="127">
        <f ca="1">IF($A302="S",VTOTALBM,IF($A302=0,0,ROUND(SomaAgrupBM,15-13*ORÇAMENTO!$AF$11)))</f>
        <v>0</v>
      </c>
      <c r="Q302" s="382"/>
      <c r="R302" s="383"/>
      <c r="T302" s="119" t="str">
        <f t="shared" ca="1" si="26"/>
        <v/>
      </c>
      <c r="U302" s="172" t="str">
        <f t="shared" ca="1" si="27"/>
        <v/>
      </c>
      <c r="V302" s="173" t="str">
        <f ca="1">IF(AND($W302&gt;0,RegimeExecucao="Unitário"),$F302,"")</f>
        <v/>
      </c>
      <c r="W302" s="547">
        <f ca="1">IF($Y302&gt;0,CHOOSE(MATCH(RegimeExecucao,{"Unitário","Global"},0),IF($A302="S",$Y302/$X302,""),($Y302/$X302)*100),0)</f>
        <v>0</v>
      </c>
      <c r="X302" s="384" t="str">
        <f ca="1">IF($Y302&gt;0,CHOOSE(MATCH(RegimeExecucao,{"Unitário","Global"},0),IF($A302="S",ROUND($H302,ORÇAMENTO!$AF$10),""),ROUND($I302,ORÇAMENTO!$AF$11)),"")</f>
        <v/>
      </c>
      <c r="Y302" s="384">
        <f t="shared" ca="1" si="28"/>
        <v>0</v>
      </c>
      <c r="Z302" s="572"/>
      <c r="AB302" s="382"/>
      <c r="AC302" s="516"/>
      <c r="AD302" s="516"/>
      <c r="AE302" s="516"/>
      <c r="AF302" s="516"/>
      <c r="AG302" s="516"/>
      <c r="AH302" s="516"/>
      <c r="AI302" s="516"/>
      <c r="AJ302" s="516"/>
      <c r="AK302" s="516"/>
      <c r="AL302" s="516"/>
      <c r="AM302" s="383"/>
      <c r="AO302">
        <f ca="1">IF($A302="S",IF(BM!$I302=0,0,CHOOSE(MATCH(RegimeExecucao,{"Global","Unitário"},0),ROUND(ROUND(BM.MEDAcumulado,15-13*BM!$A$9)/100*BM!$I302,15-13*ORÇAMENTO!$AF$11),ROUND(ROUND(BM.MEDAcumulado,15-13*BM!$A$9)*ROUND(BM!$H302,15-13*ORÇAMENTO!$AF$10),15-13*ORÇAMENTO!$AF$11))),IF($A302=0,0,ROUND(SomaAgrupBM,15-13*ORÇAMENTO!$AF$11)))</f>
        <v>0</v>
      </c>
    </row>
    <row r="303" spans="1:41" ht="38.25" x14ac:dyDescent="0.2">
      <c r="A303" t="str">
        <f ca="1">ORÇAMENTO!C303</f>
        <v>S</v>
      </c>
      <c r="B303">
        <f ca="1">ORÇAMENTO!D303</f>
        <v>0</v>
      </c>
      <c r="C303" s="116" t="str">
        <f t="shared" ca="1" si="22"/>
        <v/>
      </c>
      <c r="D303" s="119" t="str">
        <f ca="1">ORÇAMENTO!O303</f>
        <v>-</v>
      </c>
      <c r="E303" s="172" t="str">
        <f t="shared" ca="1" si="23"/>
        <v>(abra o arquivo 'Referência 02-2025.xlsm)</v>
      </c>
      <c r="F303" s="173" t="str">
        <f ca="1">IF(RegimeExecucao="Global","",ORÇAMENTO.Unidade)</f>
        <v>-</v>
      </c>
      <c r="G303" s="124">
        <f ca="1">IF(RegimeExecucao="Global","",ORÇAMENTO!T303)</f>
        <v>19</v>
      </c>
      <c r="H303" s="124">
        <f ca="1">IF(RegimeExecucao="Global","",ORÇAMENTO!W303)</f>
        <v>0</v>
      </c>
      <c r="I303" s="127">
        <f ca="1">ORÇAMENTO!X303</f>
        <v>0</v>
      </c>
      <c r="J303" s="378">
        <f ca="1">IF($A303="S",IF(CAIXA.Modo,BM.AFAnterior,BM.MEDAnterior),IF(AND(RegimeExecucao="Global",$I303&gt;0,COUNTIF($AB$13:$AM$13,BM.medicao-1)&gt;0),M303/$I303*100,0))</f>
        <v>0</v>
      </c>
      <c r="K303" s="124">
        <f t="shared" ca="1" si="24"/>
        <v>0</v>
      </c>
      <c r="L303" s="379">
        <f ca="1">IF($A303="S",IF(CAIXA.Modo,BM.AFAcumulado,BM.MEDAcumulado),IF(AND(RegimeExecucao="Global",$I303&gt;0,COUNTIF($AB$13:$AM$13,BM.medicao)&gt;0),O303/$I303*100,0))</f>
        <v>0</v>
      </c>
      <c r="M303" s="380">
        <f ca="1">IF($A303="S",VTOTALBM,IF($A303=0,0,ROUND(SomaAgrupBM,15-13*ORÇAMENTO!$AF$11)))</f>
        <v>0</v>
      </c>
      <c r="N303" s="381">
        <f t="shared" ca="1" si="25"/>
        <v>0</v>
      </c>
      <c r="O303" s="127">
        <f ca="1">IF($A303="S",VTOTALBM,IF($A303=0,0,ROUND(SomaAgrupBM,15-13*ORÇAMENTO!$AF$11)))</f>
        <v>0</v>
      </c>
      <c r="Q303" s="382"/>
      <c r="R303" s="383"/>
      <c r="T303" s="119" t="str">
        <f t="shared" ca="1" si="26"/>
        <v/>
      </c>
      <c r="U303" s="172" t="str">
        <f t="shared" ca="1" si="27"/>
        <v/>
      </c>
      <c r="V303" s="173" t="str">
        <f ca="1">IF(AND($W303&gt;0,RegimeExecucao="Unitário"),$F303,"")</f>
        <v/>
      </c>
      <c r="W303" s="547">
        <f ca="1">IF($Y303&gt;0,CHOOSE(MATCH(RegimeExecucao,{"Unitário","Global"},0),IF($A303="S",$Y303/$X303,""),($Y303/$X303)*100),0)</f>
        <v>0</v>
      </c>
      <c r="X303" s="384" t="str">
        <f ca="1">IF($Y303&gt;0,CHOOSE(MATCH(RegimeExecucao,{"Unitário","Global"},0),IF($A303="S",ROUND($H303,ORÇAMENTO!$AF$10),""),ROUND($I303,ORÇAMENTO!$AF$11)),"")</f>
        <v/>
      </c>
      <c r="Y303" s="384">
        <f t="shared" ca="1" si="28"/>
        <v>0</v>
      </c>
      <c r="Z303" s="572"/>
      <c r="AB303" s="382"/>
      <c r="AC303" s="516"/>
      <c r="AD303" s="516"/>
      <c r="AE303" s="516"/>
      <c r="AF303" s="516"/>
      <c r="AG303" s="516"/>
      <c r="AH303" s="516"/>
      <c r="AI303" s="516"/>
      <c r="AJ303" s="516"/>
      <c r="AK303" s="516"/>
      <c r="AL303" s="516"/>
      <c r="AM303" s="383"/>
      <c r="AO303">
        <f ca="1">IF($A303="S",IF(BM!$I303=0,0,CHOOSE(MATCH(RegimeExecucao,{"Global","Unitário"},0),ROUND(ROUND(BM.MEDAcumulado,15-13*BM!$A$9)/100*BM!$I303,15-13*ORÇAMENTO!$AF$11),ROUND(ROUND(BM.MEDAcumulado,15-13*BM!$A$9)*ROUND(BM!$H303,15-13*ORÇAMENTO!$AF$10),15-13*ORÇAMENTO!$AF$11))),IF($A303=0,0,ROUND(SomaAgrupBM,15-13*ORÇAMENTO!$AF$11)))</f>
        <v>0</v>
      </c>
    </row>
    <row r="304" spans="1:41" ht="38.25" x14ac:dyDescent="0.2">
      <c r="A304" t="str">
        <f ca="1">ORÇAMENTO!C304</f>
        <v>S</v>
      </c>
      <c r="B304">
        <f ca="1">ORÇAMENTO!D304</f>
        <v>0</v>
      </c>
      <c r="C304" s="116" t="str">
        <f t="shared" ca="1" si="22"/>
        <v/>
      </c>
      <c r="D304" s="119" t="str">
        <f ca="1">ORÇAMENTO!O304</f>
        <v>-</v>
      </c>
      <c r="E304" s="172" t="str">
        <f t="shared" ca="1" si="23"/>
        <v>(abra o arquivo 'Referência 02-2025.xlsm)</v>
      </c>
      <c r="F304" s="173" t="str">
        <f ca="1">IF(RegimeExecucao="Global","",ORÇAMENTO.Unidade)</f>
        <v>-</v>
      </c>
      <c r="G304" s="124">
        <f ca="1">IF(RegimeExecucao="Global","",ORÇAMENTO!T304)</f>
        <v>33</v>
      </c>
      <c r="H304" s="124">
        <f ca="1">IF(RegimeExecucao="Global","",ORÇAMENTO!W304)</f>
        <v>0</v>
      </c>
      <c r="I304" s="127">
        <f ca="1">ORÇAMENTO!X304</f>
        <v>0</v>
      </c>
      <c r="J304" s="378">
        <f ca="1">IF($A304="S",IF(CAIXA.Modo,BM.AFAnterior,BM.MEDAnterior),IF(AND(RegimeExecucao="Global",$I304&gt;0,COUNTIF($AB$13:$AM$13,BM.medicao-1)&gt;0),M304/$I304*100,0))</f>
        <v>0</v>
      </c>
      <c r="K304" s="124">
        <f t="shared" ca="1" si="24"/>
        <v>0</v>
      </c>
      <c r="L304" s="379">
        <f ca="1">IF($A304="S",IF(CAIXA.Modo,BM.AFAcumulado,BM.MEDAcumulado),IF(AND(RegimeExecucao="Global",$I304&gt;0,COUNTIF($AB$13:$AM$13,BM.medicao)&gt;0),O304/$I304*100,0))</f>
        <v>0</v>
      </c>
      <c r="M304" s="380">
        <f ca="1">IF($A304="S",VTOTALBM,IF($A304=0,0,ROUND(SomaAgrupBM,15-13*ORÇAMENTO!$AF$11)))</f>
        <v>0</v>
      </c>
      <c r="N304" s="381">
        <f t="shared" ca="1" si="25"/>
        <v>0</v>
      </c>
      <c r="O304" s="127">
        <f ca="1">IF($A304="S",VTOTALBM,IF($A304=0,0,ROUND(SomaAgrupBM,15-13*ORÇAMENTO!$AF$11)))</f>
        <v>0</v>
      </c>
      <c r="Q304" s="382"/>
      <c r="R304" s="383"/>
      <c r="T304" s="119" t="str">
        <f t="shared" ca="1" si="26"/>
        <v/>
      </c>
      <c r="U304" s="172" t="str">
        <f t="shared" ca="1" si="27"/>
        <v/>
      </c>
      <c r="V304" s="173" t="str">
        <f ca="1">IF(AND($W304&gt;0,RegimeExecucao="Unitário"),$F304,"")</f>
        <v/>
      </c>
      <c r="W304" s="547">
        <f ca="1">IF($Y304&gt;0,CHOOSE(MATCH(RegimeExecucao,{"Unitário","Global"},0),IF($A304="S",$Y304/$X304,""),($Y304/$X304)*100),0)</f>
        <v>0</v>
      </c>
      <c r="X304" s="384" t="str">
        <f ca="1">IF($Y304&gt;0,CHOOSE(MATCH(RegimeExecucao,{"Unitário","Global"},0),IF($A304="S",ROUND($H304,ORÇAMENTO!$AF$10),""),ROUND($I304,ORÇAMENTO!$AF$11)),"")</f>
        <v/>
      </c>
      <c r="Y304" s="384">
        <f t="shared" ca="1" si="28"/>
        <v>0</v>
      </c>
      <c r="Z304" s="572"/>
      <c r="AB304" s="382"/>
      <c r="AC304" s="516"/>
      <c r="AD304" s="516"/>
      <c r="AE304" s="516"/>
      <c r="AF304" s="516"/>
      <c r="AG304" s="516"/>
      <c r="AH304" s="516"/>
      <c r="AI304" s="516"/>
      <c r="AJ304" s="516"/>
      <c r="AK304" s="516"/>
      <c r="AL304" s="516"/>
      <c r="AM304" s="383"/>
      <c r="AO304">
        <f ca="1">IF($A304="S",IF(BM!$I304=0,0,CHOOSE(MATCH(RegimeExecucao,{"Global","Unitário"},0),ROUND(ROUND(BM.MEDAcumulado,15-13*BM!$A$9)/100*BM!$I304,15-13*ORÇAMENTO!$AF$11),ROUND(ROUND(BM.MEDAcumulado,15-13*BM!$A$9)*ROUND(BM!$H304,15-13*ORÇAMENTO!$AF$10),15-13*ORÇAMENTO!$AF$11))),IF($A304=0,0,ROUND(SomaAgrupBM,15-13*ORÇAMENTO!$AF$11)))</f>
        <v>0</v>
      </c>
    </row>
    <row r="305" spans="1:41" ht="38.25" x14ac:dyDescent="0.2">
      <c r="A305" t="str">
        <f ca="1">ORÇAMENTO!C305</f>
        <v>S</v>
      </c>
      <c r="B305">
        <f ca="1">ORÇAMENTO!D305</f>
        <v>0</v>
      </c>
      <c r="C305" s="116" t="str">
        <f ca="1">IF(OR($I305&gt;0,$A305=1,$A305=2,$A305=3,$A305=4),"F","")</f>
        <v/>
      </c>
      <c r="D305" s="119" t="str">
        <f ca="1">ORÇAMENTO!O305</f>
        <v>-</v>
      </c>
      <c r="E305" s="172" t="str">
        <f ca="1">ORÇAMENTO.Descricao</f>
        <v>(abra o arquivo 'Referência 02-2025.xlsm)</v>
      </c>
      <c r="F305" s="173" t="str">
        <f ca="1">IF(RegimeExecucao="Global","",ORÇAMENTO.Unidade)</f>
        <v>-</v>
      </c>
      <c r="G305" s="124">
        <f ca="1">IF(RegimeExecucao="Global","",ORÇAMENTO!T305)</f>
        <v>4</v>
      </c>
      <c r="H305" s="124">
        <f ca="1">IF(RegimeExecucao="Global","",ORÇAMENTO!W305)</f>
        <v>0</v>
      </c>
      <c r="I305" s="127">
        <f ca="1">ORÇAMENTO!X305</f>
        <v>0</v>
      </c>
      <c r="J305" s="378">
        <f ca="1">IF($A305="S",IF(CAIXA.Modo,BM.AFAnterior,BM.MEDAnterior),IF(AND(RegimeExecucao="Global",$I305&gt;0,COUNTIF($AB$13:$AM$13,BM.medicao-1)&gt;0),M305/$I305*100,0))</f>
        <v>0</v>
      </c>
      <c r="K305" s="124">
        <f ca="1">L305-J305</f>
        <v>0</v>
      </c>
      <c r="L305" s="379">
        <f ca="1">IF($A305="S",IF(CAIXA.Modo,BM.AFAcumulado,BM.MEDAcumulado),IF(AND(RegimeExecucao="Global",$I305&gt;0,COUNTIF($AB$13:$AM$13,BM.medicao)&gt;0),O305/$I305*100,0))</f>
        <v>0</v>
      </c>
      <c r="M305" s="380">
        <f ca="1">IF($A305="S",VTOTALBM,IF($A305=0,0,ROUND(SomaAgrupBM,15-13*ORÇAMENTO!$AF$11)))</f>
        <v>0</v>
      </c>
      <c r="N305" s="381">
        <f ca="1">O305-M305</f>
        <v>0</v>
      </c>
      <c r="O305" s="127">
        <f ca="1">IF($A305="S",VTOTALBM,IF($A305=0,0,ROUND(SomaAgrupBM,15-13*ORÇAMENTO!$AF$11)))</f>
        <v>0</v>
      </c>
      <c r="Q305" s="382"/>
      <c r="R305" s="383"/>
      <c r="T305" s="119" t="str">
        <f ca="1">IF($W305&gt;0,$D305,"")</f>
        <v/>
      </c>
      <c r="U305" s="172" t="str">
        <f ca="1">IF($W305&gt;0,$E305,"")</f>
        <v/>
      </c>
      <c r="V305" s="173" t="str">
        <f ca="1">IF(AND($W305&gt;0,RegimeExecucao="Unitário"),$F305,"")</f>
        <v/>
      </c>
      <c r="W305" s="547">
        <f ca="1">IF($Y305&gt;0,CHOOSE(MATCH(RegimeExecucao,{"Unitário","Global"},0),IF($A305="S",$Y305/$X305,""),($Y305/$X305)*100),0)</f>
        <v>0</v>
      </c>
      <c r="X305" s="384" t="str">
        <f ca="1">IF($Y305&gt;0,CHOOSE(MATCH(RegimeExecucao,{"Unitário","Global"},0),IF($A305="S",ROUND($H305,ORÇAMENTO!$AF$10),""),ROUND($I305,ORÇAMENTO!$AF$11)),"")</f>
        <v/>
      </c>
      <c r="Y305" s="384">
        <f ca="1">AO305-O305</f>
        <v>0</v>
      </c>
      <c r="Z305" s="572"/>
      <c r="AB305" s="382"/>
      <c r="AC305" s="516"/>
      <c r="AD305" s="516"/>
      <c r="AE305" s="516"/>
      <c r="AF305" s="516"/>
      <c r="AG305" s="516"/>
      <c r="AH305" s="516"/>
      <c r="AI305" s="516"/>
      <c r="AJ305" s="516"/>
      <c r="AK305" s="516"/>
      <c r="AL305" s="516"/>
      <c r="AM305" s="383"/>
      <c r="AO305">
        <f ca="1">IF($A305="S",IF(BM!$I305=0,0,CHOOSE(MATCH(RegimeExecucao,{"Global","Unitário"},0),ROUND(ROUND(BM.MEDAcumulado,15-13*BM!$A$9)/100*BM!$I305,15-13*ORÇAMENTO!$AF$11),ROUND(ROUND(BM.MEDAcumulado,15-13*BM!$A$9)*ROUND(BM!$H305,15-13*ORÇAMENTO!$AF$10),15-13*ORÇAMENTO!$AF$11))),IF($A305=0,0,ROUND(SomaAgrupBM,15-13*ORÇAMENTO!$AF$11)))</f>
        <v>0</v>
      </c>
    </row>
    <row r="306" spans="1:41" x14ac:dyDescent="0.2">
      <c r="A306">
        <f ca="1">ORÇAMENTO!C306</f>
        <v>3</v>
      </c>
      <c r="B306">
        <f ca="1">ORÇAMENTO!D306</f>
        <v>9</v>
      </c>
      <c r="C306" s="116" t="str">
        <f t="shared" ca="1" si="22"/>
        <v>F</v>
      </c>
      <c r="D306" s="119" t="str">
        <f ca="1">ORÇAMENTO!O306</f>
        <v>1.12.2.</v>
      </c>
      <c r="E306" s="172" t="str">
        <f t="shared" ca="1" si="23"/>
        <v>TUBULAÇÕES E CONEXÕES - METAIS</v>
      </c>
      <c r="F306" s="173" t="str">
        <f ca="1">IF(RegimeExecucao="Global","",ORÇAMENTO.Unidade)</f>
        <v>-</v>
      </c>
      <c r="G306" s="124">
        <f ca="1">IF(RegimeExecucao="Global","",ORÇAMENTO!T306)</f>
        <v>0</v>
      </c>
      <c r="H306" s="124">
        <f ca="1">IF(RegimeExecucao="Global","",ORÇAMENTO!W306)</f>
        <v>0</v>
      </c>
      <c r="I306" s="127">
        <f ca="1">ORÇAMENTO!X306</f>
        <v>0</v>
      </c>
      <c r="J306" s="378">
        <f ca="1">IF($A306="S",IF(CAIXA.Modo,BM.AFAnterior,BM.MEDAnterior),IF(AND(RegimeExecucao="Global",$I306&gt;0,COUNTIF($AB$13:$AM$13,BM.medicao-1)&gt;0),M306/$I306*100,0))</f>
        <v>0</v>
      </c>
      <c r="K306" s="124">
        <f t="shared" ca="1" si="24"/>
        <v>0</v>
      </c>
      <c r="L306" s="379">
        <f ca="1">IF($A306="S",IF(CAIXA.Modo,BM.AFAcumulado,BM.MEDAcumulado),IF(AND(RegimeExecucao="Global",$I306&gt;0,COUNTIF($AB$13:$AM$13,BM.medicao)&gt;0),O306/$I306*100,0))</f>
        <v>0</v>
      </c>
      <c r="M306" s="380">
        <f ca="1">IF($A306="S",VTOTALBM,IF($A306=0,0,ROUND(SomaAgrupBM,15-13*ORÇAMENTO!$AF$11)))</f>
        <v>0</v>
      </c>
      <c r="N306" s="381">
        <f t="shared" ca="1" si="25"/>
        <v>0</v>
      </c>
      <c r="O306" s="127">
        <f ca="1">IF($A306="S",VTOTALBM,IF($A306=0,0,ROUND(SomaAgrupBM,15-13*ORÇAMENTO!$AF$11)))</f>
        <v>0</v>
      </c>
      <c r="Q306" s="382"/>
      <c r="R306" s="383"/>
      <c r="T306" s="119" t="str">
        <f t="shared" ca="1" si="26"/>
        <v/>
      </c>
      <c r="U306" s="172" t="str">
        <f t="shared" ca="1" si="27"/>
        <v/>
      </c>
      <c r="V306" s="173" t="str">
        <f ca="1">IF(AND($W306&gt;0,RegimeExecucao="Unitário"),$F306,"")</f>
        <v/>
      </c>
      <c r="W306" s="547">
        <f ca="1">IF($Y306&gt;0,CHOOSE(MATCH(RegimeExecucao,{"Unitário","Global"},0),IF($A306="S",$Y306/$X306,""),($Y306/$X306)*100),0)</f>
        <v>0</v>
      </c>
      <c r="X306" s="384" t="str">
        <f ca="1">IF($Y306&gt;0,CHOOSE(MATCH(RegimeExecucao,{"Unitário","Global"},0),IF($A306="S",ROUND($H306,ORÇAMENTO!$AF$10),""),ROUND($I306,ORÇAMENTO!$AF$11)),"")</f>
        <v/>
      </c>
      <c r="Y306" s="384">
        <f t="shared" ca="1" si="28"/>
        <v>0</v>
      </c>
      <c r="Z306" s="572"/>
      <c r="AB306" s="382"/>
      <c r="AC306" s="516"/>
      <c r="AD306" s="516"/>
      <c r="AE306" s="516"/>
      <c r="AF306" s="516"/>
      <c r="AG306" s="516"/>
      <c r="AH306" s="516"/>
      <c r="AI306" s="516"/>
      <c r="AJ306" s="516"/>
      <c r="AK306" s="516"/>
      <c r="AL306" s="516"/>
      <c r="AM306" s="383"/>
      <c r="AO306">
        <f ca="1">IF($A306="S",IF(BM!$I306=0,0,CHOOSE(MATCH(RegimeExecucao,{"Global","Unitário"},0),ROUND(ROUND(BM.MEDAcumulado,15-13*BM!$A$9)/100*BM!$I306,15-13*ORÇAMENTO!$AF$11),ROUND(ROUND(BM.MEDAcumulado,15-13*BM!$A$9)*ROUND(BM!$H306,15-13*ORÇAMENTO!$AF$10),15-13*ORÇAMENTO!$AF$11))),IF($A306=0,0,ROUND(SomaAgrupBM,15-13*ORÇAMENTO!$AF$11)))</f>
        <v>0</v>
      </c>
    </row>
    <row r="307" spans="1:41" ht="25.5" x14ac:dyDescent="0.2">
      <c r="A307" t="str">
        <f ca="1">ORÇAMENTO!C307</f>
        <v>S</v>
      </c>
      <c r="B307">
        <f ca="1">ORÇAMENTO!D307</f>
        <v>0</v>
      </c>
      <c r="C307" s="116" t="str">
        <f t="shared" ca="1" si="22"/>
        <v/>
      </c>
      <c r="D307" s="119" t="str">
        <f ca="1">ORÇAMENTO!O307</f>
        <v>-</v>
      </c>
      <c r="E307" s="172" t="str">
        <f t="shared" ca="1" si="23"/>
        <v>(abra o arquivo 'Referência 02-2025.xlsm)</v>
      </c>
      <c r="F307" s="173" t="str">
        <f ca="1">IF(RegimeExecucao="Global","",ORÇAMENTO.Unidade)</f>
        <v>-</v>
      </c>
      <c r="G307" s="124">
        <f ca="1">IF(RegimeExecucao="Global","",ORÇAMENTO!T307)</f>
        <v>8</v>
      </c>
      <c r="H307" s="124">
        <f ca="1">IF(RegimeExecucao="Global","",ORÇAMENTO!W307)</f>
        <v>0</v>
      </c>
      <c r="I307" s="127">
        <f ca="1">ORÇAMENTO!X307</f>
        <v>0</v>
      </c>
      <c r="J307" s="378">
        <f ca="1">IF($A307="S",IF(CAIXA.Modo,BM.AFAnterior,BM.MEDAnterior),IF(AND(RegimeExecucao="Global",$I307&gt;0,COUNTIF($AB$13:$AM$13,BM.medicao-1)&gt;0),M307/$I307*100,0))</f>
        <v>0</v>
      </c>
      <c r="K307" s="124">
        <f t="shared" ca="1" si="24"/>
        <v>0</v>
      </c>
      <c r="L307" s="379">
        <f ca="1">IF($A307="S",IF(CAIXA.Modo,BM.AFAcumulado,BM.MEDAcumulado),IF(AND(RegimeExecucao="Global",$I307&gt;0,COUNTIF($AB$13:$AM$13,BM.medicao)&gt;0),O307/$I307*100,0))</f>
        <v>0</v>
      </c>
      <c r="M307" s="380">
        <f ca="1">IF($A307="S",VTOTALBM,IF($A307=0,0,ROUND(SomaAgrupBM,15-13*ORÇAMENTO!$AF$11)))</f>
        <v>0</v>
      </c>
      <c r="N307" s="381">
        <f t="shared" ca="1" si="25"/>
        <v>0</v>
      </c>
      <c r="O307" s="127">
        <f ca="1">IF($A307="S",VTOTALBM,IF($A307=0,0,ROUND(SomaAgrupBM,15-13*ORÇAMENTO!$AF$11)))</f>
        <v>0</v>
      </c>
      <c r="Q307" s="382"/>
      <c r="R307" s="383"/>
      <c r="T307" s="119" t="str">
        <f t="shared" ca="1" si="26"/>
        <v/>
      </c>
      <c r="U307" s="172" t="str">
        <f t="shared" ca="1" si="27"/>
        <v/>
      </c>
      <c r="V307" s="173" t="str">
        <f ca="1">IF(AND($W307&gt;0,RegimeExecucao="Unitário"),$F307,"")</f>
        <v/>
      </c>
      <c r="W307" s="547">
        <f ca="1">IF($Y307&gt;0,CHOOSE(MATCH(RegimeExecucao,{"Unitário","Global"},0),IF($A307="S",$Y307/$X307,""),($Y307/$X307)*100),0)</f>
        <v>0</v>
      </c>
      <c r="X307" s="384" t="str">
        <f ca="1">IF($Y307&gt;0,CHOOSE(MATCH(RegimeExecucao,{"Unitário","Global"},0),IF($A307="S",ROUND($H307,ORÇAMENTO!$AF$10),""),ROUND($I307,ORÇAMENTO!$AF$11)),"")</f>
        <v/>
      </c>
      <c r="Y307" s="384">
        <f t="shared" ca="1" si="28"/>
        <v>0</v>
      </c>
      <c r="Z307" s="572"/>
      <c r="AB307" s="382"/>
      <c r="AC307" s="516"/>
      <c r="AD307" s="516"/>
      <c r="AE307" s="516"/>
      <c r="AF307" s="516"/>
      <c r="AG307" s="516"/>
      <c r="AH307" s="516"/>
      <c r="AI307" s="516"/>
      <c r="AJ307" s="516"/>
      <c r="AK307" s="516"/>
      <c r="AL307" s="516"/>
      <c r="AM307" s="383"/>
      <c r="AO307">
        <f ca="1">IF($A307="S",IF(BM!$I307=0,0,CHOOSE(MATCH(RegimeExecucao,{"Global","Unitário"},0),ROUND(ROUND(BM.MEDAcumulado,15-13*BM!$A$9)/100*BM!$I307,15-13*ORÇAMENTO!$AF$11),ROUND(ROUND(BM.MEDAcumulado,15-13*BM!$A$9)*ROUND(BM!$H307,15-13*ORÇAMENTO!$AF$10),15-13*ORÇAMENTO!$AF$11))),IF($A307=0,0,ROUND(SomaAgrupBM,15-13*ORÇAMENTO!$AF$11)))</f>
        <v>0</v>
      </c>
    </row>
    <row r="308" spans="1:41" ht="38.25" x14ac:dyDescent="0.2">
      <c r="A308" t="str">
        <f ca="1">ORÇAMENTO!C308</f>
        <v>S</v>
      </c>
      <c r="B308">
        <f ca="1">ORÇAMENTO!D308</f>
        <v>0</v>
      </c>
      <c r="C308" s="116" t="str">
        <f t="shared" ca="1" si="22"/>
        <v/>
      </c>
      <c r="D308" s="119" t="str">
        <f ca="1">ORÇAMENTO!O308</f>
        <v>-</v>
      </c>
      <c r="E308" s="172" t="str">
        <f t="shared" ca="1" si="23"/>
        <v>(abra o arquivo 'Referência 02-2025.xlsm)</v>
      </c>
      <c r="F308" s="173" t="str">
        <f ca="1">IF(RegimeExecucao="Global","",ORÇAMENTO.Unidade)</f>
        <v>-</v>
      </c>
      <c r="G308" s="124">
        <f ca="1">IF(RegimeExecucao="Global","",ORÇAMENTO!T308)</f>
        <v>16</v>
      </c>
      <c r="H308" s="124">
        <f ca="1">IF(RegimeExecucao="Global","",ORÇAMENTO!W308)</f>
        <v>0</v>
      </c>
      <c r="I308" s="127">
        <f ca="1">ORÇAMENTO!X308</f>
        <v>0</v>
      </c>
      <c r="J308" s="378">
        <f ca="1">IF($A308="S",IF(CAIXA.Modo,BM.AFAnterior,BM.MEDAnterior),IF(AND(RegimeExecucao="Global",$I308&gt;0,COUNTIF($AB$13:$AM$13,BM.medicao-1)&gt;0),M308/$I308*100,0))</f>
        <v>0</v>
      </c>
      <c r="K308" s="124">
        <f t="shared" ca="1" si="24"/>
        <v>0</v>
      </c>
      <c r="L308" s="379">
        <f ca="1">IF($A308="S",IF(CAIXA.Modo,BM.AFAcumulado,BM.MEDAcumulado),IF(AND(RegimeExecucao="Global",$I308&gt;0,COUNTIF($AB$13:$AM$13,BM.medicao)&gt;0),O308/$I308*100,0))</f>
        <v>0</v>
      </c>
      <c r="M308" s="380">
        <f ca="1">IF($A308="S",VTOTALBM,IF($A308=0,0,ROUND(SomaAgrupBM,15-13*ORÇAMENTO!$AF$11)))</f>
        <v>0</v>
      </c>
      <c r="N308" s="381">
        <f t="shared" ca="1" si="25"/>
        <v>0</v>
      </c>
      <c r="O308" s="127">
        <f ca="1">IF($A308="S",VTOTALBM,IF($A308=0,0,ROUND(SomaAgrupBM,15-13*ORÇAMENTO!$AF$11)))</f>
        <v>0</v>
      </c>
      <c r="Q308" s="382"/>
      <c r="R308" s="383"/>
      <c r="T308" s="119" t="str">
        <f t="shared" ca="1" si="26"/>
        <v/>
      </c>
      <c r="U308" s="172" t="str">
        <f t="shared" ca="1" si="27"/>
        <v/>
      </c>
      <c r="V308" s="173" t="str">
        <f ca="1">IF(AND($W308&gt;0,RegimeExecucao="Unitário"),$F308,"")</f>
        <v/>
      </c>
      <c r="W308" s="547">
        <f ca="1">IF($Y308&gt;0,CHOOSE(MATCH(RegimeExecucao,{"Unitário","Global"},0),IF($A308="S",$Y308/$X308,""),($Y308/$X308)*100),0)</f>
        <v>0</v>
      </c>
      <c r="X308" s="384" t="str">
        <f ca="1">IF($Y308&gt;0,CHOOSE(MATCH(RegimeExecucao,{"Unitário","Global"},0),IF($A308="S",ROUND($H308,ORÇAMENTO!$AF$10),""),ROUND($I308,ORÇAMENTO!$AF$11)),"")</f>
        <v/>
      </c>
      <c r="Y308" s="384">
        <f t="shared" ca="1" si="28"/>
        <v>0</v>
      </c>
      <c r="Z308" s="572"/>
      <c r="AB308" s="382"/>
      <c r="AC308" s="516"/>
      <c r="AD308" s="516"/>
      <c r="AE308" s="516"/>
      <c r="AF308" s="516"/>
      <c r="AG308" s="516"/>
      <c r="AH308" s="516"/>
      <c r="AI308" s="516"/>
      <c r="AJ308" s="516"/>
      <c r="AK308" s="516"/>
      <c r="AL308" s="516"/>
      <c r="AM308" s="383"/>
      <c r="AO308">
        <f ca="1">IF($A308="S",IF(BM!$I308=0,0,CHOOSE(MATCH(RegimeExecucao,{"Global","Unitário"},0),ROUND(ROUND(BM.MEDAcumulado,15-13*BM!$A$9)/100*BM!$I308,15-13*ORÇAMENTO!$AF$11),ROUND(ROUND(BM.MEDAcumulado,15-13*BM!$A$9)*ROUND(BM!$H308,15-13*ORÇAMENTO!$AF$10),15-13*ORÇAMENTO!$AF$11))),IF($A308=0,0,ROUND(SomaAgrupBM,15-13*ORÇAMENTO!$AF$11)))</f>
        <v>0</v>
      </c>
    </row>
    <row r="309" spans="1:41" ht="38.25" x14ac:dyDescent="0.2">
      <c r="A309" t="str">
        <f ca="1">ORÇAMENTO!C309</f>
        <v>S</v>
      </c>
      <c r="B309">
        <f ca="1">ORÇAMENTO!D309</f>
        <v>0</v>
      </c>
      <c r="C309" s="116" t="str">
        <f t="shared" ca="1" si="22"/>
        <v/>
      </c>
      <c r="D309" s="119" t="str">
        <f ca="1">ORÇAMENTO!O309</f>
        <v>-</v>
      </c>
      <c r="E309" s="172" t="str">
        <f t="shared" ca="1" si="23"/>
        <v>(abra o arquivo 'Referência 02-2025.xlsm)</v>
      </c>
      <c r="F309" s="173" t="str">
        <f ca="1">IF(RegimeExecucao="Global","",ORÇAMENTO.Unidade)</f>
        <v>-</v>
      </c>
      <c r="G309" s="124">
        <f ca="1">IF(RegimeExecucao="Global","",ORÇAMENTO!T309)</f>
        <v>39</v>
      </c>
      <c r="H309" s="124">
        <f ca="1">IF(RegimeExecucao="Global","",ORÇAMENTO!W309)</f>
        <v>0</v>
      </c>
      <c r="I309" s="127">
        <f ca="1">ORÇAMENTO!X309</f>
        <v>0</v>
      </c>
      <c r="J309" s="378">
        <f ca="1">IF($A309="S",IF(CAIXA.Modo,BM.AFAnterior,BM.MEDAnterior),IF(AND(RegimeExecucao="Global",$I309&gt;0,COUNTIF($AB$13:$AM$13,BM.medicao-1)&gt;0),M309/$I309*100,0))</f>
        <v>0</v>
      </c>
      <c r="K309" s="124">
        <f t="shared" ca="1" si="24"/>
        <v>0</v>
      </c>
      <c r="L309" s="379">
        <f ca="1">IF($A309="S",IF(CAIXA.Modo,BM.AFAcumulado,BM.MEDAcumulado),IF(AND(RegimeExecucao="Global",$I309&gt;0,COUNTIF($AB$13:$AM$13,BM.medicao)&gt;0),O309/$I309*100,0))</f>
        <v>0</v>
      </c>
      <c r="M309" s="380">
        <f ca="1">IF($A309="S",VTOTALBM,IF($A309=0,0,ROUND(SomaAgrupBM,15-13*ORÇAMENTO!$AF$11)))</f>
        <v>0</v>
      </c>
      <c r="N309" s="381">
        <f t="shared" ca="1" si="25"/>
        <v>0</v>
      </c>
      <c r="O309" s="127">
        <f ca="1">IF($A309="S",VTOTALBM,IF($A309=0,0,ROUND(SomaAgrupBM,15-13*ORÇAMENTO!$AF$11)))</f>
        <v>0</v>
      </c>
      <c r="Q309" s="382"/>
      <c r="R309" s="383"/>
      <c r="T309" s="119" t="str">
        <f t="shared" ca="1" si="26"/>
        <v/>
      </c>
      <c r="U309" s="172" t="str">
        <f t="shared" ca="1" si="27"/>
        <v/>
      </c>
      <c r="V309" s="173" t="str">
        <f ca="1">IF(AND($W309&gt;0,RegimeExecucao="Unitário"),$F309,"")</f>
        <v/>
      </c>
      <c r="W309" s="547">
        <f ca="1">IF($Y309&gt;0,CHOOSE(MATCH(RegimeExecucao,{"Unitário","Global"},0),IF($A309="S",$Y309/$X309,""),($Y309/$X309)*100),0)</f>
        <v>0</v>
      </c>
      <c r="X309" s="384" t="str">
        <f ca="1">IF($Y309&gt;0,CHOOSE(MATCH(RegimeExecucao,{"Unitário","Global"},0),IF($A309="S",ROUND($H309,ORÇAMENTO!$AF$10),""),ROUND($I309,ORÇAMENTO!$AF$11)),"")</f>
        <v/>
      </c>
      <c r="Y309" s="384">
        <f t="shared" ca="1" si="28"/>
        <v>0</v>
      </c>
      <c r="Z309" s="572"/>
      <c r="AB309" s="382"/>
      <c r="AC309" s="516"/>
      <c r="AD309" s="516"/>
      <c r="AE309" s="516"/>
      <c r="AF309" s="516"/>
      <c r="AG309" s="516"/>
      <c r="AH309" s="516"/>
      <c r="AI309" s="516"/>
      <c r="AJ309" s="516"/>
      <c r="AK309" s="516"/>
      <c r="AL309" s="516"/>
      <c r="AM309" s="383"/>
      <c r="AO309">
        <f ca="1">IF($A309="S",IF(BM!$I309=0,0,CHOOSE(MATCH(RegimeExecucao,{"Global","Unitário"},0),ROUND(ROUND(BM.MEDAcumulado,15-13*BM!$A$9)/100*BM!$I309,15-13*ORÇAMENTO!$AF$11),ROUND(ROUND(BM.MEDAcumulado,15-13*BM!$A$9)*ROUND(BM!$H309,15-13*ORÇAMENTO!$AF$10),15-13*ORÇAMENTO!$AF$11))),IF($A309=0,0,ROUND(SomaAgrupBM,15-13*ORÇAMENTO!$AF$11)))</f>
        <v>0</v>
      </c>
    </row>
    <row r="310" spans="1:41" ht="38.25" x14ac:dyDescent="0.2">
      <c r="A310" t="str">
        <f ca="1">ORÇAMENTO!C310</f>
        <v>S</v>
      </c>
      <c r="B310">
        <f ca="1">ORÇAMENTO!D310</f>
        <v>0</v>
      </c>
      <c r="C310" s="116" t="str">
        <f t="shared" ca="1" si="22"/>
        <v/>
      </c>
      <c r="D310" s="119" t="str">
        <f ca="1">ORÇAMENTO!O310</f>
        <v>-</v>
      </c>
      <c r="E310" s="172" t="str">
        <f t="shared" ca="1" si="23"/>
        <v>(abra o arquivo 'Referência 02-2025.xlsm)</v>
      </c>
      <c r="F310" s="173" t="str">
        <f ca="1">IF(RegimeExecucao="Global","",ORÇAMENTO.Unidade)</f>
        <v>-</v>
      </c>
      <c r="G310" s="124">
        <f ca="1">IF(RegimeExecucao="Global","",ORÇAMENTO!T310)</f>
        <v>13</v>
      </c>
      <c r="H310" s="124">
        <f ca="1">IF(RegimeExecucao="Global","",ORÇAMENTO!W310)</f>
        <v>0</v>
      </c>
      <c r="I310" s="127">
        <f ca="1">ORÇAMENTO!X310</f>
        <v>0</v>
      </c>
      <c r="J310" s="378">
        <f ca="1">IF($A310="S",IF(CAIXA.Modo,BM.AFAnterior,BM.MEDAnterior),IF(AND(RegimeExecucao="Global",$I310&gt;0,COUNTIF($AB$13:$AM$13,BM.medicao-1)&gt;0),M310/$I310*100,0))</f>
        <v>0</v>
      </c>
      <c r="K310" s="124">
        <f t="shared" ca="1" si="24"/>
        <v>0</v>
      </c>
      <c r="L310" s="379">
        <f ca="1">IF($A310="S",IF(CAIXA.Modo,BM.AFAcumulado,BM.MEDAcumulado),IF(AND(RegimeExecucao="Global",$I310&gt;0,COUNTIF($AB$13:$AM$13,BM.medicao)&gt;0),O310/$I310*100,0))</f>
        <v>0</v>
      </c>
      <c r="M310" s="380">
        <f ca="1">IF($A310="S",VTOTALBM,IF($A310=0,0,ROUND(SomaAgrupBM,15-13*ORÇAMENTO!$AF$11)))</f>
        <v>0</v>
      </c>
      <c r="N310" s="381">
        <f t="shared" ca="1" si="25"/>
        <v>0</v>
      </c>
      <c r="O310" s="127">
        <f ca="1">IF($A310="S",VTOTALBM,IF($A310=0,0,ROUND(SomaAgrupBM,15-13*ORÇAMENTO!$AF$11)))</f>
        <v>0</v>
      </c>
      <c r="Q310" s="382"/>
      <c r="R310" s="383"/>
      <c r="T310" s="119" t="str">
        <f t="shared" ca="1" si="26"/>
        <v/>
      </c>
      <c r="U310" s="172" t="str">
        <f t="shared" ca="1" si="27"/>
        <v/>
      </c>
      <c r="V310" s="173" t="str">
        <f ca="1">IF(AND($W310&gt;0,RegimeExecucao="Unitário"),$F310,"")</f>
        <v/>
      </c>
      <c r="W310" s="547">
        <f ca="1">IF($Y310&gt;0,CHOOSE(MATCH(RegimeExecucao,{"Unitário","Global"},0),IF($A310="S",$Y310/$X310,""),($Y310/$X310)*100),0)</f>
        <v>0</v>
      </c>
      <c r="X310" s="384" t="str">
        <f ca="1">IF($Y310&gt;0,CHOOSE(MATCH(RegimeExecucao,{"Unitário","Global"},0),IF($A310="S",ROUND($H310,ORÇAMENTO!$AF$10),""),ROUND($I310,ORÇAMENTO!$AF$11)),"")</f>
        <v/>
      </c>
      <c r="Y310" s="384">
        <f t="shared" ca="1" si="28"/>
        <v>0</v>
      </c>
      <c r="Z310" s="572"/>
      <c r="AB310" s="382"/>
      <c r="AC310" s="516"/>
      <c r="AD310" s="516"/>
      <c r="AE310" s="516"/>
      <c r="AF310" s="516"/>
      <c r="AG310" s="516"/>
      <c r="AH310" s="516"/>
      <c r="AI310" s="516"/>
      <c r="AJ310" s="516"/>
      <c r="AK310" s="516"/>
      <c r="AL310" s="516"/>
      <c r="AM310" s="383"/>
      <c r="AO310">
        <f ca="1">IF($A310="S",IF(BM!$I310=0,0,CHOOSE(MATCH(RegimeExecucao,{"Global","Unitário"},0),ROUND(ROUND(BM.MEDAcumulado,15-13*BM!$A$9)/100*BM!$I310,15-13*ORÇAMENTO!$AF$11),ROUND(ROUND(BM.MEDAcumulado,15-13*BM!$A$9)*ROUND(BM!$H310,15-13*ORÇAMENTO!$AF$10),15-13*ORÇAMENTO!$AF$11))),IF($A310=0,0,ROUND(SomaAgrupBM,15-13*ORÇAMENTO!$AF$11)))</f>
        <v>0</v>
      </c>
    </row>
    <row r="311" spans="1:41" ht="25.5" x14ac:dyDescent="0.2">
      <c r="A311" t="str">
        <f ca="1">ORÇAMENTO!C311</f>
        <v>S</v>
      </c>
      <c r="B311">
        <f ca="1">ORÇAMENTO!D311</f>
        <v>0</v>
      </c>
      <c r="C311" s="116" t="str">
        <f t="shared" ca="1" si="22"/>
        <v/>
      </c>
      <c r="D311" s="119" t="str">
        <f ca="1">ORÇAMENTO!O311</f>
        <v>-</v>
      </c>
      <c r="E311" s="172" t="str">
        <f t="shared" ca="1" si="23"/>
        <v>(abra o arquivo 'Referência 02-2025.xlsm)</v>
      </c>
      <c r="F311" s="173" t="str">
        <f ca="1">IF(RegimeExecucao="Global","",ORÇAMENTO.Unidade)</f>
        <v>-</v>
      </c>
      <c r="G311" s="124">
        <f ca="1">IF(RegimeExecucao="Global","",ORÇAMENTO!T311)</f>
        <v>1</v>
      </c>
      <c r="H311" s="124">
        <f ca="1">IF(RegimeExecucao="Global","",ORÇAMENTO!W311)</f>
        <v>0</v>
      </c>
      <c r="I311" s="127">
        <f ca="1">ORÇAMENTO!X311</f>
        <v>0</v>
      </c>
      <c r="J311" s="378">
        <f ca="1">IF($A311="S",IF(CAIXA.Modo,BM.AFAnterior,BM.MEDAnterior),IF(AND(RegimeExecucao="Global",$I311&gt;0,COUNTIF($AB$13:$AM$13,BM.medicao-1)&gt;0),M311/$I311*100,0))</f>
        <v>0</v>
      </c>
      <c r="K311" s="124">
        <f t="shared" ca="1" si="24"/>
        <v>0</v>
      </c>
      <c r="L311" s="379">
        <f ca="1">IF($A311="S",IF(CAIXA.Modo,BM.AFAcumulado,BM.MEDAcumulado),IF(AND(RegimeExecucao="Global",$I311&gt;0,COUNTIF($AB$13:$AM$13,BM.medicao)&gt;0),O311/$I311*100,0))</f>
        <v>0</v>
      </c>
      <c r="M311" s="380">
        <f ca="1">IF($A311="S",VTOTALBM,IF($A311=0,0,ROUND(SomaAgrupBM,15-13*ORÇAMENTO!$AF$11)))</f>
        <v>0</v>
      </c>
      <c r="N311" s="381">
        <f t="shared" ca="1" si="25"/>
        <v>0</v>
      </c>
      <c r="O311" s="127">
        <f ca="1">IF($A311="S",VTOTALBM,IF($A311=0,0,ROUND(SomaAgrupBM,15-13*ORÇAMENTO!$AF$11)))</f>
        <v>0</v>
      </c>
      <c r="Q311" s="382"/>
      <c r="R311" s="383"/>
      <c r="T311" s="119" t="str">
        <f t="shared" ca="1" si="26"/>
        <v/>
      </c>
      <c r="U311" s="172" t="str">
        <f t="shared" ca="1" si="27"/>
        <v/>
      </c>
      <c r="V311" s="173" t="str">
        <f ca="1">IF(AND($W311&gt;0,RegimeExecucao="Unitário"),$F311,"")</f>
        <v/>
      </c>
      <c r="W311" s="547">
        <f ca="1">IF($Y311&gt;0,CHOOSE(MATCH(RegimeExecucao,{"Unitário","Global"},0),IF($A311="S",$Y311/$X311,""),($Y311/$X311)*100),0)</f>
        <v>0</v>
      </c>
      <c r="X311" s="384" t="str">
        <f ca="1">IF($Y311&gt;0,CHOOSE(MATCH(RegimeExecucao,{"Unitário","Global"},0),IF($A311="S",ROUND($H311,ORÇAMENTO!$AF$10),""),ROUND($I311,ORÇAMENTO!$AF$11)),"")</f>
        <v/>
      </c>
      <c r="Y311" s="384">
        <f t="shared" ca="1" si="28"/>
        <v>0</v>
      </c>
      <c r="Z311" s="572"/>
      <c r="AB311" s="382"/>
      <c r="AC311" s="516"/>
      <c r="AD311" s="516"/>
      <c r="AE311" s="516"/>
      <c r="AF311" s="516"/>
      <c r="AG311" s="516"/>
      <c r="AH311" s="516"/>
      <c r="AI311" s="516"/>
      <c r="AJ311" s="516"/>
      <c r="AK311" s="516"/>
      <c r="AL311" s="516"/>
      <c r="AM311" s="383"/>
      <c r="AO311">
        <f ca="1">IF($A311="S",IF(BM!$I311=0,0,CHOOSE(MATCH(RegimeExecucao,{"Global","Unitário"},0),ROUND(ROUND(BM.MEDAcumulado,15-13*BM!$A$9)/100*BM!$I311,15-13*ORÇAMENTO!$AF$11),ROUND(ROUND(BM.MEDAcumulado,15-13*BM!$A$9)*ROUND(BM!$H311,15-13*ORÇAMENTO!$AF$10),15-13*ORÇAMENTO!$AF$11))),IF($A311=0,0,ROUND(SomaAgrupBM,15-13*ORÇAMENTO!$AF$11)))</f>
        <v>0</v>
      </c>
    </row>
    <row r="312" spans="1:41" ht="25.5" x14ac:dyDescent="0.2">
      <c r="A312" t="str">
        <f ca="1">ORÇAMENTO!C312</f>
        <v>S</v>
      </c>
      <c r="B312">
        <f ca="1">ORÇAMENTO!D312</f>
        <v>0</v>
      </c>
      <c r="C312" s="116" t="str">
        <f t="shared" ca="1" si="22"/>
        <v/>
      </c>
      <c r="D312" s="119" t="str">
        <f ca="1">ORÇAMENTO!O312</f>
        <v>-</v>
      </c>
      <c r="E312" s="172" t="str">
        <f t="shared" ca="1" si="23"/>
        <v>(abra o arquivo 'Referência 02-2025.xlsm)</v>
      </c>
      <c r="F312" s="173" t="str">
        <f ca="1">IF(RegimeExecucao="Global","",ORÇAMENTO.Unidade)</f>
        <v>-</v>
      </c>
      <c r="G312" s="124">
        <f ca="1">IF(RegimeExecucao="Global","",ORÇAMENTO!T312)</f>
        <v>1</v>
      </c>
      <c r="H312" s="124">
        <f ca="1">IF(RegimeExecucao="Global","",ORÇAMENTO!W312)</f>
        <v>0</v>
      </c>
      <c r="I312" s="127">
        <f ca="1">ORÇAMENTO!X312</f>
        <v>0</v>
      </c>
      <c r="J312" s="378">
        <f ca="1">IF($A312="S",IF(CAIXA.Modo,BM.AFAnterior,BM.MEDAnterior),IF(AND(RegimeExecucao="Global",$I312&gt;0,COUNTIF($AB$13:$AM$13,BM.medicao-1)&gt;0),M312/$I312*100,0))</f>
        <v>0</v>
      </c>
      <c r="K312" s="124">
        <f t="shared" ca="1" si="24"/>
        <v>0</v>
      </c>
      <c r="L312" s="379">
        <f ca="1">IF($A312="S",IF(CAIXA.Modo,BM.AFAcumulado,BM.MEDAcumulado),IF(AND(RegimeExecucao="Global",$I312&gt;0,COUNTIF($AB$13:$AM$13,BM.medicao)&gt;0),O312/$I312*100,0))</f>
        <v>0</v>
      </c>
      <c r="M312" s="380">
        <f ca="1">IF($A312="S",VTOTALBM,IF($A312=0,0,ROUND(SomaAgrupBM,15-13*ORÇAMENTO!$AF$11)))</f>
        <v>0</v>
      </c>
      <c r="N312" s="381">
        <f t="shared" ca="1" si="25"/>
        <v>0</v>
      </c>
      <c r="O312" s="127">
        <f ca="1">IF($A312="S",VTOTALBM,IF($A312=0,0,ROUND(SomaAgrupBM,15-13*ORÇAMENTO!$AF$11)))</f>
        <v>0</v>
      </c>
      <c r="Q312" s="382"/>
      <c r="R312" s="383"/>
      <c r="T312" s="119" t="str">
        <f t="shared" ca="1" si="26"/>
        <v/>
      </c>
      <c r="U312" s="172" t="str">
        <f t="shared" ca="1" si="27"/>
        <v/>
      </c>
      <c r="V312" s="173" t="str">
        <f ca="1">IF(AND($W312&gt;0,RegimeExecucao="Unitário"),$F312,"")</f>
        <v/>
      </c>
      <c r="W312" s="547">
        <f ca="1">IF($Y312&gt;0,CHOOSE(MATCH(RegimeExecucao,{"Unitário","Global"},0),IF($A312="S",$Y312/$X312,""),($Y312/$X312)*100),0)</f>
        <v>0</v>
      </c>
      <c r="X312" s="384" t="str">
        <f ca="1">IF($Y312&gt;0,CHOOSE(MATCH(RegimeExecucao,{"Unitário","Global"},0),IF($A312="S",ROUND($H312,ORÇAMENTO!$AF$10),""),ROUND($I312,ORÇAMENTO!$AF$11)),"")</f>
        <v/>
      </c>
      <c r="Y312" s="384">
        <f t="shared" ca="1" si="28"/>
        <v>0</v>
      </c>
      <c r="Z312" s="572"/>
      <c r="AB312" s="382"/>
      <c r="AC312" s="516"/>
      <c r="AD312" s="516"/>
      <c r="AE312" s="516"/>
      <c r="AF312" s="516"/>
      <c r="AG312" s="516"/>
      <c r="AH312" s="516"/>
      <c r="AI312" s="516"/>
      <c r="AJ312" s="516"/>
      <c r="AK312" s="516"/>
      <c r="AL312" s="516"/>
      <c r="AM312" s="383"/>
      <c r="AO312">
        <f ca="1">IF($A312="S",IF(BM!$I312=0,0,CHOOSE(MATCH(RegimeExecucao,{"Global","Unitário"},0),ROUND(ROUND(BM.MEDAcumulado,15-13*BM!$A$9)/100*BM!$I312,15-13*ORÇAMENTO!$AF$11),ROUND(ROUND(BM.MEDAcumulado,15-13*BM!$A$9)*ROUND(BM!$H312,15-13*ORÇAMENTO!$AF$10),15-13*ORÇAMENTO!$AF$11))),IF($A312=0,0,ROUND(SomaAgrupBM,15-13*ORÇAMENTO!$AF$11)))</f>
        <v>0</v>
      </c>
    </row>
    <row r="313" spans="1:41" ht="25.5" x14ac:dyDescent="0.2">
      <c r="A313" t="str">
        <f ca="1">ORÇAMENTO!C313</f>
        <v>S</v>
      </c>
      <c r="B313">
        <f ca="1">ORÇAMENTO!D313</f>
        <v>0</v>
      </c>
      <c r="C313" s="116" t="str">
        <f t="shared" ca="1" si="22"/>
        <v/>
      </c>
      <c r="D313" s="119" t="str">
        <f ca="1">ORÇAMENTO!O313</f>
        <v>-</v>
      </c>
      <c r="E313" s="172" t="str">
        <f t="shared" ca="1" si="23"/>
        <v>(abra o arquivo 'Referência 02-2025.xlsm)</v>
      </c>
      <c r="F313" s="173" t="str">
        <f ca="1">IF(RegimeExecucao="Global","",ORÇAMENTO.Unidade)</f>
        <v>-</v>
      </c>
      <c r="G313" s="124">
        <f ca="1">IF(RegimeExecucao="Global","",ORÇAMENTO!T313)</f>
        <v>1</v>
      </c>
      <c r="H313" s="124">
        <f ca="1">IF(RegimeExecucao="Global","",ORÇAMENTO!W313)</f>
        <v>0</v>
      </c>
      <c r="I313" s="127">
        <f ca="1">ORÇAMENTO!X313</f>
        <v>0</v>
      </c>
      <c r="J313" s="378">
        <f ca="1">IF($A313="S",IF(CAIXA.Modo,BM.AFAnterior,BM.MEDAnterior),IF(AND(RegimeExecucao="Global",$I313&gt;0,COUNTIF($AB$13:$AM$13,BM.medicao-1)&gt;0),M313/$I313*100,0))</f>
        <v>0</v>
      </c>
      <c r="K313" s="124">
        <f t="shared" ca="1" si="24"/>
        <v>0</v>
      </c>
      <c r="L313" s="379">
        <f ca="1">IF($A313="S",IF(CAIXA.Modo,BM.AFAcumulado,BM.MEDAcumulado),IF(AND(RegimeExecucao="Global",$I313&gt;0,COUNTIF($AB$13:$AM$13,BM.medicao)&gt;0),O313/$I313*100,0))</f>
        <v>0</v>
      </c>
      <c r="M313" s="380">
        <f ca="1">IF($A313="S",VTOTALBM,IF($A313=0,0,ROUND(SomaAgrupBM,15-13*ORÇAMENTO!$AF$11)))</f>
        <v>0</v>
      </c>
      <c r="N313" s="381">
        <f t="shared" ca="1" si="25"/>
        <v>0</v>
      </c>
      <c r="O313" s="127">
        <f ca="1">IF($A313="S",VTOTALBM,IF($A313=0,0,ROUND(SomaAgrupBM,15-13*ORÇAMENTO!$AF$11)))</f>
        <v>0</v>
      </c>
      <c r="Q313" s="382"/>
      <c r="R313" s="383"/>
      <c r="T313" s="119" t="str">
        <f t="shared" ca="1" si="26"/>
        <v/>
      </c>
      <c r="U313" s="172" t="str">
        <f t="shared" ca="1" si="27"/>
        <v/>
      </c>
      <c r="V313" s="173" t="str">
        <f ca="1">IF(AND($W313&gt;0,RegimeExecucao="Unitário"),$F313,"")</f>
        <v/>
      </c>
      <c r="W313" s="547">
        <f ca="1">IF($Y313&gt;0,CHOOSE(MATCH(RegimeExecucao,{"Unitário","Global"},0),IF($A313="S",$Y313/$X313,""),($Y313/$X313)*100),0)</f>
        <v>0</v>
      </c>
      <c r="X313" s="384" t="str">
        <f ca="1">IF($Y313&gt;0,CHOOSE(MATCH(RegimeExecucao,{"Unitário","Global"},0),IF($A313="S",ROUND($H313,ORÇAMENTO!$AF$10),""),ROUND($I313,ORÇAMENTO!$AF$11)),"")</f>
        <v/>
      </c>
      <c r="Y313" s="384">
        <f t="shared" ca="1" si="28"/>
        <v>0</v>
      </c>
      <c r="Z313" s="572"/>
      <c r="AB313" s="382"/>
      <c r="AC313" s="516"/>
      <c r="AD313" s="516"/>
      <c r="AE313" s="516"/>
      <c r="AF313" s="516"/>
      <c r="AG313" s="516"/>
      <c r="AH313" s="516"/>
      <c r="AI313" s="516"/>
      <c r="AJ313" s="516"/>
      <c r="AK313" s="516"/>
      <c r="AL313" s="516"/>
      <c r="AM313" s="383"/>
      <c r="AO313">
        <f ca="1">IF($A313="S",IF(BM!$I313=0,0,CHOOSE(MATCH(RegimeExecucao,{"Global","Unitário"},0),ROUND(ROUND(BM.MEDAcumulado,15-13*BM!$A$9)/100*BM!$I313,15-13*ORÇAMENTO!$AF$11),ROUND(ROUND(BM.MEDAcumulado,15-13*BM!$A$9)*ROUND(BM!$H313,15-13*ORÇAMENTO!$AF$10),15-13*ORÇAMENTO!$AF$11))),IF($A313=0,0,ROUND(SomaAgrupBM,15-13*ORÇAMENTO!$AF$11)))</f>
        <v>0</v>
      </c>
    </row>
    <row r="314" spans="1:41" ht="38.25" x14ac:dyDescent="0.2">
      <c r="A314" t="str">
        <f ca="1">ORÇAMENTO!C314</f>
        <v>S</v>
      </c>
      <c r="B314">
        <f ca="1">ORÇAMENTO!D314</f>
        <v>0</v>
      </c>
      <c r="C314" s="116" t="str">
        <f ca="1">IF(OR($I314&gt;0,$A314=1,$A314=2,$A314=3,$A314=4),"F","")</f>
        <v/>
      </c>
      <c r="D314" s="119" t="str">
        <f ca="1">ORÇAMENTO!O314</f>
        <v>-</v>
      </c>
      <c r="E314" s="172" t="str">
        <f ca="1">ORÇAMENTO.Descricao</f>
        <v>(abra o arquivo 'Referência 02-2025.xlsm)</v>
      </c>
      <c r="F314" s="173" t="str">
        <f ca="1">IF(RegimeExecucao="Global","",ORÇAMENTO.Unidade)</f>
        <v>-</v>
      </c>
      <c r="G314" s="124">
        <f ca="1">IF(RegimeExecucao="Global","",ORÇAMENTO!T314)</f>
        <v>24</v>
      </c>
      <c r="H314" s="124">
        <f ca="1">IF(RegimeExecucao="Global","",ORÇAMENTO!W314)</f>
        <v>0</v>
      </c>
      <c r="I314" s="127">
        <f ca="1">ORÇAMENTO!X314</f>
        <v>0</v>
      </c>
      <c r="J314" s="378">
        <f ca="1">IF($A314="S",IF(CAIXA.Modo,BM.AFAnterior,BM.MEDAnterior),IF(AND(RegimeExecucao="Global",$I314&gt;0,COUNTIF($AB$13:$AM$13,BM.medicao-1)&gt;0),M314/$I314*100,0))</f>
        <v>0</v>
      </c>
      <c r="K314" s="124">
        <f ca="1">L314-J314</f>
        <v>0</v>
      </c>
      <c r="L314" s="379">
        <f ca="1">IF($A314="S",IF(CAIXA.Modo,BM.AFAcumulado,BM.MEDAcumulado),IF(AND(RegimeExecucao="Global",$I314&gt;0,COUNTIF($AB$13:$AM$13,BM.medicao)&gt;0),O314/$I314*100,0))</f>
        <v>0</v>
      </c>
      <c r="M314" s="380">
        <f ca="1">IF($A314="S",VTOTALBM,IF($A314=0,0,ROUND(SomaAgrupBM,15-13*ORÇAMENTO!$AF$11)))</f>
        <v>0</v>
      </c>
      <c r="N314" s="381">
        <f ca="1">O314-M314</f>
        <v>0</v>
      </c>
      <c r="O314" s="127">
        <f ca="1">IF($A314="S",VTOTALBM,IF($A314=0,0,ROUND(SomaAgrupBM,15-13*ORÇAMENTO!$AF$11)))</f>
        <v>0</v>
      </c>
      <c r="Q314" s="382"/>
      <c r="R314" s="383"/>
      <c r="T314" s="119" t="str">
        <f ca="1">IF($W314&gt;0,$D314,"")</f>
        <v/>
      </c>
      <c r="U314" s="172" t="str">
        <f ca="1">IF($W314&gt;0,$E314,"")</f>
        <v/>
      </c>
      <c r="V314" s="173" t="str">
        <f ca="1">IF(AND($W314&gt;0,RegimeExecucao="Unitário"),$F314,"")</f>
        <v/>
      </c>
      <c r="W314" s="547">
        <f ca="1">IF($Y314&gt;0,CHOOSE(MATCH(RegimeExecucao,{"Unitário","Global"},0),IF($A314="S",$Y314/$X314,""),($Y314/$X314)*100),0)</f>
        <v>0</v>
      </c>
      <c r="X314" s="384" t="str">
        <f ca="1">IF($Y314&gt;0,CHOOSE(MATCH(RegimeExecucao,{"Unitário","Global"},0),IF($A314="S",ROUND($H314,ORÇAMENTO!$AF$10),""),ROUND($I314,ORÇAMENTO!$AF$11)),"")</f>
        <v/>
      </c>
      <c r="Y314" s="384">
        <f ca="1">AO314-O314</f>
        <v>0</v>
      </c>
      <c r="Z314" s="572"/>
      <c r="AB314" s="382"/>
      <c r="AC314" s="516"/>
      <c r="AD314" s="516"/>
      <c r="AE314" s="516"/>
      <c r="AF314" s="516"/>
      <c r="AG314" s="516"/>
      <c r="AH314" s="516"/>
      <c r="AI314" s="516"/>
      <c r="AJ314" s="516"/>
      <c r="AK314" s="516"/>
      <c r="AL314" s="516"/>
      <c r="AM314" s="383"/>
      <c r="AO314">
        <f ca="1">IF($A314="S",IF(BM!$I314=0,0,CHOOSE(MATCH(RegimeExecucao,{"Global","Unitário"},0),ROUND(ROUND(BM.MEDAcumulado,15-13*BM!$A$9)/100*BM!$I314,15-13*ORÇAMENTO!$AF$11),ROUND(ROUND(BM.MEDAcumulado,15-13*BM!$A$9)*ROUND(BM!$H314,15-13*ORÇAMENTO!$AF$10),15-13*ORÇAMENTO!$AF$11))),IF($A314=0,0,ROUND(SomaAgrupBM,15-13*ORÇAMENTO!$AF$11)))</f>
        <v>0</v>
      </c>
    </row>
    <row r="315" spans="1:41" x14ac:dyDescent="0.2">
      <c r="A315">
        <f ca="1">ORÇAMENTO!C315</f>
        <v>3</v>
      </c>
      <c r="B315">
        <f ca="1">ORÇAMENTO!D315</f>
        <v>2</v>
      </c>
      <c r="C315" s="116" t="str">
        <f t="shared" ca="1" si="22"/>
        <v>F</v>
      </c>
      <c r="D315" s="119" t="str">
        <f ca="1">ORÇAMENTO!O315</f>
        <v>1.12.3.</v>
      </c>
      <c r="E315" s="172" t="str">
        <f t="shared" si="23"/>
        <v>RESERVATÓRIO 30.000 L</v>
      </c>
      <c r="F315" s="173" t="str">
        <f ca="1">IF(RegimeExecucao="Global","",ORÇAMENTO.Unidade)</f>
        <v>-</v>
      </c>
      <c r="G315" s="124">
        <f ca="1">IF(RegimeExecucao="Global","",ORÇAMENTO!T315)</f>
        <v>0</v>
      </c>
      <c r="H315" s="124">
        <f ca="1">IF(RegimeExecucao="Global","",ORÇAMENTO!W315)</f>
        <v>0</v>
      </c>
      <c r="I315" s="127">
        <f ca="1">ORÇAMENTO!X315</f>
        <v>0</v>
      </c>
      <c r="J315" s="378">
        <f ca="1">IF($A315="S",IF(CAIXA.Modo,BM.AFAnterior,BM.MEDAnterior),IF(AND(RegimeExecucao="Global",$I315&gt;0,COUNTIF($AB$13:$AM$13,BM.medicao-1)&gt;0),M315/$I315*100,0))</f>
        <v>0</v>
      </c>
      <c r="K315" s="124">
        <f t="shared" ca="1" si="24"/>
        <v>0</v>
      </c>
      <c r="L315" s="379">
        <f ca="1">IF($A315="S",IF(CAIXA.Modo,BM.AFAcumulado,BM.MEDAcumulado),IF(AND(RegimeExecucao="Global",$I315&gt;0,COUNTIF($AB$13:$AM$13,BM.medicao)&gt;0),O315/$I315*100,0))</f>
        <v>0</v>
      </c>
      <c r="M315" s="380">
        <f ca="1">IF($A315="S",VTOTALBM,IF($A315=0,0,ROUND(SomaAgrupBM,15-13*ORÇAMENTO!$AF$11)))</f>
        <v>0</v>
      </c>
      <c r="N315" s="381">
        <f t="shared" ca="1" si="25"/>
        <v>0</v>
      </c>
      <c r="O315" s="127">
        <f ca="1">IF($A315="S",VTOTALBM,IF($A315=0,0,ROUND(SomaAgrupBM,15-13*ORÇAMENTO!$AF$11)))</f>
        <v>0</v>
      </c>
      <c r="Q315" s="382"/>
      <c r="R315" s="383"/>
      <c r="T315" s="119" t="str">
        <f t="shared" ca="1" si="26"/>
        <v/>
      </c>
      <c r="U315" s="172" t="str">
        <f t="shared" ca="1" si="27"/>
        <v/>
      </c>
      <c r="V315" s="173" t="str">
        <f ca="1">IF(AND($W315&gt;0,RegimeExecucao="Unitário"),$F315,"")</f>
        <v/>
      </c>
      <c r="W315" s="547">
        <f ca="1">IF($Y315&gt;0,CHOOSE(MATCH(RegimeExecucao,{"Unitário","Global"},0),IF($A315="S",$Y315/$X315,""),($Y315/$X315)*100),0)</f>
        <v>0</v>
      </c>
      <c r="X315" s="384" t="str">
        <f ca="1">IF($Y315&gt;0,CHOOSE(MATCH(RegimeExecucao,{"Unitário","Global"},0),IF($A315="S",ROUND($H315,ORÇAMENTO!$AF$10),""),ROUND($I315,ORÇAMENTO!$AF$11)),"")</f>
        <v/>
      </c>
      <c r="Y315" s="384">
        <f t="shared" ca="1" si="28"/>
        <v>0</v>
      </c>
      <c r="Z315" s="572"/>
      <c r="AB315" s="382"/>
      <c r="AC315" s="516"/>
      <c r="AD315" s="516"/>
      <c r="AE315" s="516"/>
      <c r="AF315" s="516"/>
      <c r="AG315" s="516"/>
      <c r="AH315" s="516"/>
      <c r="AI315" s="516"/>
      <c r="AJ315" s="516"/>
      <c r="AK315" s="516"/>
      <c r="AL315" s="516"/>
      <c r="AM315" s="383"/>
      <c r="AO315">
        <f ca="1">IF($A315="S",IF(BM!$I315=0,0,CHOOSE(MATCH(RegimeExecucao,{"Global","Unitário"},0),ROUND(ROUND(BM.MEDAcumulado,15-13*BM!$A$9)/100*BM!$I315,15-13*ORÇAMENTO!$AF$11),ROUND(ROUND(BM.MEDAcumulado,15-13*BM!$A$9)*ROUND(BM!$H315,15-13*ORÇAMENTO!$AF$10),15-13*ORÇAMENTO!$AF$11))),IF($A315=0,0,ROUND(SomaAgrupBM,15-13*ORÇAMENTO!$AF$11)))</f>
        <v>0</v>
      </c>
    </row>
    <row r="316" spans="1:41" ht="25.5" x14ac:dyDescent="0.2">
      <c r="A316" t="str">
        <f ca="1">ORÇAMENTO!C316</f>
        <v>S</v>
      </c>
      <c r="B316">
        <f ca="1">ORÇAMENTO!D316</f>
        <v>0</v>
      </c>
      <c r="C316" s="116" t="str">
        <f t="shared" ca="1" si="22"/>
        <v/>
      </c>
      <c r="D316" s="119" t="str">
        <f ca="1">ORÇAMENTO!O316</f>
        <v>-</v>
      </c>
      <c r="E316" s="172" t="str">
        <f t="shared" ca="1" si="23"/>
        <v>(abra o arquivo 'Referência 02-2025.xlsm)</v>
      </c>
      <c r="F316" s="173" t="str">
        <f ca="1">IF(RegimeExecucao="Global","",ORÇAMENTO.Unidade)</f>
        <v>-</v>
      </c>
      <c r="G316" s="124">
        <f ca="1">IF(RegimeExecucao="Global","",ORÇAMENTO!T316)</f>
        <v>1</v>
      </c>
      <c r="H316" s="124">
        <f ca="1">IF(RegimeExecucao="Global","",ORÇAMENTO!W316)</f>
        <v>0</v>
      </c>
      <c r="I316" s="127">
        <f ca="1">ORÇAMENTO!X316</f>
        <v>0</v>
      </c>
      <c r="J316" s="378">
        <f ca="1">IF($A316="S",IF(CAIXA.Modo,BM.AFAnterior,BM.MEDAnterior),IF(AND(RegimeExecucao="Global",$I316&gt;0,COUNTIF($AB$13:$AM$13,BM.medicao-1)&gt;0),M316/$I316*100,0))</f>
        <v>0</v>
      </c>
      <c r="K316" s="124">
        <f t="shared" ca="1" si="24"/>
        <v>0</v>
      </c>
      <c r="L316" s="379">
        <f ca="1">IF($A316="S",IF(CAIXA.Modo,BM.AFAcumulado,BM.MEDAcumulado),IF(AND(RegimeExecucao="Global",$I316&gt;0,COUNTIF($AB$13:$AM$13,BM.medicao)&gt;0),O316/$I316*100,0))</f>
        <v>0</v>
      </c>
      <c r="M316" s="380">
        <f ca="1">IF($A316="S",VTOTALBM,IF($A316=0,0,ROUND(SomaAgrupBM,15-13*ORÇAMENTO!$AF$11)))</f>
        <v>0</v>
      </c>
      <c r="N316" s="381">
        <f t="shared" ca="1" si="25"/>
        <v>0</v>
      </c>
      <c r="O316" s="127">
        <f ca="1">IF($A316="S",VTOTALBM,IF($A316=0,0,ROUND(SomaAgrupBM,15-13*ORÇAMENTO!$AF$11)))</f>
        <v>0</v>
      </c>
      <c r="Q316" s="382"/>
      <c r="R316" s="383"/>
      <c r="T316" s="119" t="str">
        <f t="shared" ca="1" si="26"/>
        <v/>
      </c>
      <c r="U316" s="172" t="str">
        <f t="shared" ca="1" si="27"/>
        <v/>
      </c>
      <c r="V316" s="173" t="str">
        <f ca="1">IF(AND($W316&gt;0,RegimeExecucao="Unitário"),$F316,"")</f>
        <v/>
      </c>
      <c r="W316" s="547">
        <f ca="1">IF($Y316&gt;0,CHOOSE(MATCH(RegimeExecucao,{"Unitário","Global"},0),IF($A316="S",$Y316/$X316,""),($Y316/$X316)*100),0)</f>
        <v>0</v>
      </c>
      <c r="X316" s="384" t="str">
        <f ca="1">IF($Y316&gt;0,CHOOSE(MATCH(RegimeExecucao,{"Unitário","Global"},0),IF($A316="S",ROUND($H316,ORÇAMENTO!$AF$10),""),ROUND($I316,ORÇAMENTO!$AF$11)),"")</f>
        <v/>
      </c>
      <c r="Y316" s="384">
        <f t="shared" ca="1" si="28"/>
        <v>0</v>
      </c>
      <c r="Z316" s="572"/>
      <c r="AB316" s="382"/>
      <c r="AC316" s="516"/>
      <c r="AD316" s="516"/>
      <c r="AE316" s="516"/>
      <c r="AF316" s="516"/>
      <c r="AG316" s="516"/>
      <c r="AH316" s="516"/>
      <c r="AI316" s="516"/>
      <c r="AJ316" s="516"/>
      <c r="AK316" s="516"/>
      <c r="AL316" s="516"/>
      <c r="AM316" s="383"/>
      <c r="AO316">
        <f ca="1">IF($A316="S",IF(BM!$I316=0,0,CHOOSE(MATCH(RegimeExecucao,{"Global","Unitário"},0),ROUND(ROUND(BM.MEDAcumulado,15-13*BM!$A$9)/100*BM!$I316,15-13*ORÇAMENTO!$AF$11),ROUND(ROUND(BM.MEDAcumulado,15-13*BM!$A$9)*ROUND(BM!$H316,15-13*ORÇAMENTO!$AF$10),15-13*ORÇAMENTO!$AF$11))),IF($A316=0,0,ROUND(SomaAgrupBM,15-13*ORÇAMENTO!$AF$11)))</f>
        <v>0</v>
      </c>
    </row>
    <row r="317" spans="1:41" x14ac:dyDescent="0.2">
      <c r="A317">
        <f ca="1">ORÇAMENTO!C317</f>
        <v>2</v>
      </c>
      <c r="B317">
        <f ca="1">ORÇAMENTO!D317</f>
        <v>23</v>
      </c>
      <c r="C317" s="116" t="str">
        <f t="shared" ca="1" si="22"/>
        <v>F</v>
      </c>
      <c r="D317" s="119" t="str">
        <f ca="1">ORÇAMENTO!O317</f>
        <v>1.13.</v>
      </c>
      <c r="E317" s="172" t="str">
        <f t="shared" ca="1" si="23"/>
        <v>DRENAGEM DE ÁGUAS PLUVIAIS</v>
      </c>
      <c r="F317" s="173" t="str">
        <f ca="1">IF(RegimeExecucao="Global","",ORÇAMENTO.Unidade)</f>
        <v>-</v>
      </c>
      <c r="G317" s="124">
        <f ca="1">IF(RegimeExecucao="Global","",ORÇAMENTO!T317)</f>
        <v>0</v>
      </c>
      <c r="H317" s="124">
        <f ca="1">IF(RegimeExecucao="Global","",ORÇAMENTO!W317)</f>
        <v>0</v>
      </c>
      <c r="I317" s="127">
        <f ca="1">ORÇAMENTO!X317</f>
        <v>0</v>
      </c>
      <c r="J317" s="378">
        <f ca="1">IF($A317="S",IF(CAIXA.Modo,BM.AFAnterior,BM.MEDAnterior),IF(AND(RegimeExecucao="Global",$I317&gt;0,COUNTIF($AB$13:$AM$13,BM.medicao-1)&gt;0),M317/$I317*100,0))</f>
        <v>0</v>
      </c>
      <c r="K317" s="124">
        <f t="shared" ca="1" si="24"/>
        <v>0</v>
      </c>
      <c r="L317" s="379">
        <f ca="1">IF($A317="S",IF(CAIXA.Modo,BM.AFAcumulado,BM.MEDAcumulado),IF(AND(RegimeExecucao="Global",$I317&gt;0,COUNTIF($AB$13:$AM$13,BM.medicao)&gt;0),O317/$I317*100,0))</f>
        <v>0</v>
      </c>
      <c r="M317" s="380">
        <f ca="1">IF($A317="S",VTOTALBM,IF($A317=0,0,ROUND(SomaAgrupBM,15-13*ORÇAMENTO!$AF$11)))</f>
        <v>0</v>
      </c>
      <c r="N317" s="381">
        <f t="shared" ca="1" si="25"/>
        <v>0</v>
      </c>
      <c r="O317" s="127">
        <f ca="1">IF($A317="S",VTOTALBM,IF($A317=0,0,ROUND(SomaAgrupBM,15-13*ORÇAMENTO!$AF$11)))</f>
        <v>0</v>
      </c>
      <c r="Q317" s="382"/>
      <c r="R317" s="383"/>
      <c r="T317" s="119" t="str">
        <f t="shared" ca="1" si="26"/>
        <v/>
      </c>
      <c r="U317" s="172" t="str">
        <f t="shared" ca="1" si="27"/>
        <v/>
      </c>
      <c r="V317" s="173" t="str">
        <f ca="1">IF(AND($W317&gt;0,RegimeExecucao="Unitário"),$F317,"")</f>
        <v/>
      </c>
      <c r="W317" s="547">
        <f ca="1">IF($Y317&gt;0,CHOOSE(MATCH(RegimeExecucao,{"Unitário","Global"},0),IF($A317="S",$Y317/$X317,""),($Y317/$X317)*100),0)</f>
        <v>0</v>
      </c>
      <c r="X317" s="384" t="str">
        <f ca="1">IF($Y317&gt;0,CHOOSE(MATCH(RegimeExecucao,{"Unitário","Global"},0),IF($A317="S",ROUND($H317,ORÇAMENTO!$AF$10),""),ROUND($I317,ORÇAMENTO!$AF$11)),"")</f>
        <v/>
      </c>
      <c r="Y317" s="384">
        <f t="shared" ca="1" si="28"/>
        <v>0</v>
      </c>
      <c r="Z317" s="572"/>
      <c r="AB317" s="382"/>
      <c r="AC317" s="516"/>
      <c r="AD317" s="516"/>
      <c r="AE317" s="516"/>
      <c r="AF317" s="516"/>
      <c r="AG317" s="516"/>
      <c r="AH317" s="516"/>
      <c r="AI317" s="516"/>
      <c r="AJ317" s="516"/>
      <c r="AK317" s="516"/>
      <c r="AL317" s="516"/>
      <c r="AM317" s="383"/>
      <c r="AO317">
        <f ca="1">IF($A317="S",IF(BM!$I317=0,0,CHOOSE(MATCH(RegimeExecucao,{"Global","Unitário"},0),ROUND(ROUND(BM.MEDAcumulado,15-13*BM!$A$9)/100*BM!$I317,15-13*ORÇAMENTO!$AF$11),ROUND(ROUND(BM.MEDAcumulado,15-13*BM!$A$9)*ROUND(BM!$H317,15-13*ORÇAMENTO!$AF$10),15-13*ORÇAMENTO!$AF$11))),IF($A317=0,0,ROUND(SomaAgrupBM,15-13*ORÇAMENTO!$AF$11)))</f>
        <v>0</v>
      </c>
    </row>
    <row r="318" spans="1:41" x14ac:dyDescent="0.2">
      <c r="A318">
        <f ca="1">ORÇAMENTO!C318</f>
        <v>3</v>
      </c>
      <c r="B318">
        <f ca="1">ORÇAMENTO!D318</f>
        <v>16</v>
      </c>
      <c r="C318" s="116" t="str">
        <f t="shared" ca="1" si="22"/>
        <v>F</v>
      </c>
      <c r="D318" s="119" t="str">
        <f ca="1">ORÇAMENTO!O318</f>
        <v>1.13.1.</v>
      </c>
      <c r="E318" s="172" t="str">
        <f t="shared" ca="1" si="23"/>
        <v>TUBULAÇÕES E CONEXÕES DE PVC</v>
      </c>
      <c r="F318" s="173" t="str">
        <f ca="1">IF(RegimeExecucao="Global","",ORÇAMENTO.Unidade)</f>
        <v>-</v>
      </c>
      <c r="G318" s="124">
        <f ca="1">IF(RegimeExecucao="Global","",ORÇAMENTO!T318)</f>
        <v>0</v>
      </c>
      <c r="H318" s="124">
        <f ca="1">IF(RegimeExecucao="Global","",ORÇAMENTO!W318)</f>
        <v>0</v>
      </c>
      <c r="I318" s="127">
        <f ca="1">ORÇAMENTO!X318</f>
        <v>0</v>
      </c>
      <c r="J318" s="378">
        <f ca="1">IF($A318="S",IF(CAIXA.Modo,BM.AFAnterior,BM.MEDAnterior),IF(AND(RegimeExecucao="Global",$I318&gt;0,COUNTIF($AB$13:$AM$13,BM.medicao-1)&gt;0),M318/$I318*100,0))</f>
        <v>0</v>
      </c>
      <c r="K318" s="124">
        <f t="shared" ca="1" si="24"/>
        <v>0</v>
      </c>
      <c r="L318" s="379">
        <f ca="1">IF($A318="S",IF(CAIXA.Modo,BM.AFAcumulado,BM.MEDAcumulado),IF(AND(RegimeExecucao="Global",$I318&gt;0,COUNTIF($AB$13:$AM$13,BM.medicao)&gt;0),O318/$I318*100,0))</f>
        <v>0</v>
      </c>
      <c r="M318" s="380">
        <f ca="1">IF($A318="S",VTOTALBM,IF($A318=0,0,ROUND(SomaAgrupBM,15-13*ORÇAMENTO!$AF$11)))</f>
        <v>0</v>
      </c>
      <c r="N318" s="381">
        <f t="shared" ca="1" si="25"/>
        <v>0</v>
      </c>
      <c r="O318" s="127">
        <f ca="1">IF($A318="S",VTOTALBM,IF($A318=0,0,ROUND(SomaAgrupBM,15-13*ORÇAMENTO!$AF$11)))</f>
        <v>0</v>
      </c>
      <c r="Q318" s="382"/>
      <c r="R318" s="383"/>
      <c r="T318" s="119" t="str">
        <f t="shared" ca="1" si="26"/>
        <v/>
      </c>
      <c r="U318" s="172" t="str">
        <f t="shared" ca="1" si="27"/>
        <v/>
      </c>
      <c r="V318" s="173" t="str">
        <f ca="1">IF(AND($W318&gt;0,RegimeExecucao="Unitário"),$F318,"")</f>
        <v/>
      </c>
      <c r="W318" s="547">
        <f ca="1">IF($Y318&gt;0,CHOOSE(MATCH(RegimeExecucao,{"Unitário","Global"},0),IF($A318="S",$Y318/$X318,""),($Y318/$X318)*100),0)</f>
        <v>0</v>
      </c>
      <c r="X318" s="384" t="str">
        <f ca="1">IF($Y318&gt;0,CHOOSE(MATCH(RegimeExecucao,{"Unitário","Global"},0),IF($A318="S",ROUND($H318,ORÇAMENTO!$AF$10),""),ROUND($I318,ORÇAMENTO!$AF$11)),"")</f>
        <v/>
      </c>
      <c r="Y318" s="384">
        <f t="shared" ca="1" si="28"/>
        <v>0</v>
      </c>
      <c r="Z318" s="572"/>
      <c r="AB318" s="382"/>
      <c r="AC318" s="516"/>
      <c r="AD318" s="516"/>
      <c r="AE318" s="516"/>
      <c r="AF318" s="516"/>
      <c r="AG318" s="516"/>
      <c r="AH318" s="516"/>
      <c r="AI318" s="516"/>
      <c r="AJ318" s="516"/>
      <c r="AK318" s="516"/>
      <c r="AL318" s="516"/>
      <c r="AM318" s="383"/>
      <c r="AO318">
        <f ca="1">IF($A318="S",IF(BM!$I318=0,0,CHOOSE(MATCH(RegimeExecucao,{"Global","Unitário"},0),ROUND(ROUND(BM.MEDAcumulado,15-13*BM!$A$9)/100*BM!$I318,15-13*ORÇAMENTO!$AF$11),ROUND(ROUND(BM.MEDAcumulado,15-13*BM!$A$9)*ROUND(BM!$H318,15-13*ORÇAMENTO!$AF$10),15-13*ORÇAMENTO!$AF$11))),IF($A318=0,0,ROUND(SomaAgrupBM,15-13*ORÇAMENTO!$AF$11)))</f>
        <v>0</v>
      </c>
    </row>
    <row r="319" spans="1:41" ht="38.25" x14ac:dyDescent="0.2">
      <c r="A319" t="str">
        <f ca="1">ORÇAMENTO!C319</f>
        <v>S</v>
      </c>
      <c r="B319">
        <f ca="1">ORÇAMENTO!D319</f>
        <v>0</v>
      </c>
      <c r="C319" s="116" t="str">
        <f t="shared" ca="1" si="22"/>
        <v/>
      </c>
      <c r="D319" s="119" t="str">
        <f ca="1">ORÇAMENTO!O319</f>
        <v>-</v>
      </c>
      <c r="E319" s="172" t="str">
        <f t="shared" ca="1" si="23"/>
        <v>(abra o arquivo 'Referência 02-2025.xlsm)</v>
      </c>
      <c r="F319" s="173" t="str">
        <f ca="1">IF(RegimeExecucao="Global","",ORÇAMENTO.Unidade)</f>
        <v>-</v>
      </c>
      <c r="G319" s="124">
        <f ca="1">IF(RegimeExecucao="Global","",ORÇAMENTO!T319)</f>
        <v>163</v>
      </c>
      <c r="H319" s="124">
        <f ca="1">IF(RegimeExecucao="Global","",ORÇAMENTO!W319)</f>
        <v>0</v>
      </c>
      <c r="I319" s="127">
        <f ca="1">ORÇAMENTO!X319</f>
        <v>0</v>
      </c>
      <c r="J319" s="378">
        <f ca="1">IF($A319="S",IF(CAIXA.Modo,BM.AFAnterior,BM.MEDAnterior),IF(AND(RegimeExecucao="Global",$I319&gt;0,COUNTIF($AB$13:$AM$13,BM.medicao-1)&gt;0),M319/$I319*100,0))</f>
        <v>0</v>
      </c>
      <c r="K319" s="124">
        <f t="shared" ca="1" si="24"/>
        <v>0</v>
      </c>
      <c r="L319" s="379">
        <f ca="1">IF($A319="S",IF(CAIXA.Modo,BM.AFAcumulado,BM.MEDAcumulado),IF(AND(RegimeExecucao="Global",$I319&gt;0,COUNTIF($AB$13:$AM$13,BM.medicao)&gt;0),O319/$I319*100,0))</f>
        <v>0</v>
      </c>
      <c r="M319" s="380">
        <f ca="1">IF($A319="S",VTOTALBM,IF($A319=0,0,ROUND(SomaAgrupBM,15-13*ORÇAMENTO!$AF$11)))</f>
        <v>0</v>
      </c>
      <c r="N319" s="381">
        <f t="shared" ca="1" si="25"/>
        <v>0</v>
      </c>
      <c r="O319" s="127">
        <f ca="1">IF($A319="S",VTOTALBM,IF($A319=0,0,ROUND(SomaAgrupBM,15-13*ORÇAMENTO!$AF$11)))</f>
        <v>0</v>
      </c>
      <c r="Q319" s="382"/>
      <c r="R319" s="383"/>
      <c r="T319" s="119" t="str">
        <f t="shared" ca="1" si="26"/>
        <v/>
      </c>
      <c r="U319" s="172" t="str">
        <f t="shared" ca="1" si="27"/>
        <v/>
      </c>
      <c r="V319" s="173" t="str">
        <f ca="1">IF(AND($W319&gt;0,RegimeExecucao="Unitário"),$F319,"")</f>
        <v/>
      </c>
      <c r="W319" s="547">
        <f ca="1">IF($Y319&gt;0,CHOOSE(MATCH(RegimeExecucao,{"Unitário","Global"},0),IF($A319="S",$Y319/$X319,""),($Y319/$X319)*100),0)</f>
        <v>0</v>
      </c>
      <c r="X319" s="384" t="str">
        <f ca="1">IF($Y319&gt;0,CHOOSE(MATCH(RegimeExecucao,{"Unitário","Global"},0),IF($A319="S",ROUND($H319,ORÇAMENTO!$AF$10),""),ROUND($I319,ORÇAMENTO!$AF$11)),"")</f>
        <v/>
      </c>
      <c r="Y319" s="384">
        <f t="shared" ca="1" si="28"/>
        <v>0</v>
      </c>
      <c r="Z319" s="572"/>
      <c r="AB319" s="382"/>
      <c r="AC319" s="516"/>
      <c r="AD319" s="516"/>
      <c r="AE319" s="516"/>
      <c r="AF319" s="516"/>
      <c r="AG319" s="516"/>
      <c r="AH319" s="516"/>
      <c r="AI319" s="516"/>
      <c r="AJ319" s="516"/>
      <c r="AK319" s="516"/>
      <c r="AL319" s="516"/>
      <c r="AM319" s="383"/>
      <c r="AO319">
        <f ca="1">IF($A319="S",IF(BM!$I319=0,0,CHOOSE(MATCH(RegimeExecucao,{"Global","Unitário"},0),ROUND(ROUND(BM.MEDAcumulado,15-13*BM!$A$9)/100*BM!$I319,15-13*ORÇAMENTO!$AF$11),ROUND(ROUND(BM.MEDAcumulado,15-13*BM!$A$9)*ROUND(BM!$H319,15-13*ORÇAMENTO!$AF$10),15-13*ORÇAMENTO!$AF$11))),IF($A319=0,0,ROUND(SomaAgrupBM,15-13*ORÇAMENTO!$AF$11)))</f>
        <v>0</v>
      </c>
    </row>
    <row r="320" spans="1:41" ht="38.25" x14ac:dyDescent="0.2">
      <c r="A320" t="str">
        <f ca="1">ORÇAMENTO!C320</f>
        <v>S</v>
      </c>
      <c r="B320">
        <f ca="1">ORÇAMENTO!D320</f>
        <v>0</v>
      </c>
      <c r="C320" s="116" t="str">
        <f t="shared" ca="1" si="22"/>
        <v/>
      </c>
      <c r="D320" s="119" t="str">
        <f ca="1">ORÇAMENTO!O320</f>
        <v>-</v>
      </c>
      <c r="E320" s="172" t="str">
        <f t="shared" ca="1" si="23"/>
        <v>(abra o arquivo 'Referência 02-2025.xlsm)</v>
      </c>
      <c r="F320" s="173" t="str">
        <f ca="1">IF(RegimeExecucao="Global","",ORÇAMENTO.Unidade)</f>
        <v>-</v>
      </c>
      <c r="G320" s="124">
        <f ca="1">IF(RegimeExecucao="Global","",ORÇAMENTO!T320)</f>
        <v>65.7</v>
      </c>
      <c r="H320" s="124">
        <f ca="1">IF(RegimeExecucao="Global","",ORÇAMENTO!W320)</f>
        <v>0</v>
      </c>
      <c r="I320" s="127">
        <f ca="1">ORÇAMENTO!X320</f>
        <v>0</v>
      </c>
      <c r="J320" s="378">
        <f ca="1">IF($A320="S",IF(CAIXA.Modo,BM.AFAnterior,BM.MEDAnterior),IF(AND(RegimeExecucao="Global",$I320&gt;0,COUNTIF($AB$13:$AM$13,BM.medicao-1)&gt;0),M320/$I320*100,0))</f>
        <v>0</v>
      </c>
      <c r="K320" s="124">
        <f t="shared" ca="1" si="24"/>
        <v>0</v>
      </c>
      <c r="L320" s="379">
        <f ca="1">IF($A320="S",IF(CAIXA.Modo,BM.AFAcumulado,BM.MEDAcumulado),IF(AND(RegimeExecucao="Global",$I320&gt;0,COUNTIF($AB$13:$AM$13,BM.medicao)&gt;0),O320/$I320*100,0))</f>
        <v>0</v>
      </c>
      <c r="M320" s="380">
        <f ca="1">IF($A320="S",VTOTALBM,IF($A320=0,0,ROUND(SomaAgrupBM,15-13*ORÇAMENTO!$AF$11)))</f>
        <v>0</v>
      </c>
      <c r="N320" s="381">
        <f t="shared" ca="1" si="25"/>
        <v>0</v>
      </c>
      <c r="O320" s="127">
        <f ca="1">IF($A320="S",VTOTALBM,IF($A320=0,0,ROUND(SomaAgrupBM,15-13*ORÇAMENTO!$AF$11)))</f>
        <v>0</v>
      </c>
      <c r="Q320" s="382"/>
      <c r="R320" s="383"/>
      <c r="T320" s="119" t="str">
        <f t="shared" ca="1" si="26"/>
        <v/>
      </c>
      <c r="U320" s="172" t="str">
        <f t="shared" ca="1" si="27"/>
        <v/>
      </c>
      <c r="V320" s="173" t="str">
        <f ca="1">IF(AND($W320&gt;0,RegimeExecucao="Unitário"),$F320,"")</f>
        <v/>
      </c>
      <c r="W320" s="547">
        <f ca="1">IF($Y320&gt;0,CHOOSE(MATCH(RegimeExecucao,{"Unitário","Global"},0),IF($A320="S",$Y320/$X320,""),($Y320/$X320)*100),0)</f>
        <v>0</v>
      </c>
      <c r="X320" s="384" t="str">
        <f ca="1">IF($Y320&gt;0,CHOOSE(MATCH(RegimeExecucao,{"Unitário","Global"},0),IF($A320="S",ROUND($H320,ORÇAMENTO!$AF$10),""),ROUND($I320,ORÇAMENTO!$AF$11)),"")</f>
        <v/>
      </c>
      <c r="Y320" s="384">
        <f t="shared" ca="1" si="28"/>
        <v>0</v>
      </c>
      <c r="Z320" s="572"/>
      <c r="AB320" s="382"/>
      <c r="AC320" s="516"/>
      <c r="AD320" s="516"/>
      <c r="AE320" s="516"/>
      <c r="AF320" s="516"/>
      <c r="AG320" s="516"/>
      <c r="AH320" s="516"/>
      <c r="AI320" s="516"/>
      <c r="AJ320" s="516"/>
      <c r="AK320" s="516"/>
      <c r="AL320" s="516"/>
      <c r="AM320" s="383"/>
      <c r="AO320">
        <f ca="1">IF($A320="S",IF(BM!$I320=0,0,CHOOSE(MATCH(RegimeExecucao,{"Global","Unitário"},0),ROUND(ROUND(BM.MEDAcumulado,15-13*BM!$A$9)/100*BM!$I320,15-13*ORÇAMENTO!$AF$11),ROUND(ROUND(BM.MEDAcumulado,15-13*BM!$A$9)*ROUND(BM!$H320,15-13*ORÇAMENTO!$AF$10),15-13*ORÇAMENTO!$AF$11))),IF($A320=0,0,ROUND(SomaAgrupBM,15-13*ORÇAMENTO!$AF$11)))</f>
        <v>0</v>
      </c>
    </row>
    <row r="321" spans="1:41" ht="38.25" x14ac:dyDescent="0.2">
      <c r="A321" t="str">
        <f ca="1">ORÇAMENTO!C321</f>
        <v>S</v>
      </c>
      <c r="B321">
        <f ca="1">ORÇAMENTO!D321</f>
        <v>0</v>
      </c>
      <c r="C321" s="116" t="str">
        <f t="shared" ca="1" si="22"/>
        <v/>
      </c>
      <c r="D321" s="119" t="str">
        <f ca="1">ORÇAMENTO!O321</f>
        <v>-</v>
      </c>
      <c r="E321" s="172" t="str">
        <f t="shared" ca="1" si="23"/>
        <v>(abra o arquivo 'Referência 02-2025.xlsm)</v>
      </c>
      <c r="F321" s="173" t="str">
        <f ca="1">IF(RegimeExecucao="Global","",ORÇAMENTO.Unidade)</f>
        <v>-</v>
      </c>
      <c r="G321" s="124">
        <f ca="1">IF(RegimeExecucao="Global","",ORÇAMENTO!T321)</f>
        <v>39.700000000000003</v>
      </c>
      <c r="H321" s="124">
        <f ca="1">IF(RegimeExecucao="Global","",ORÇAMENTO!W321)</f>
        <v>0</v>
      </c>
      <c r="I321" s="127">
        <f ca="1">ORÇAMENTO!X321</f>
        <v>0</v>
      </c>
      <c r="J321" s="378">
        <f ca="1">IF($A321="S",IF(CAIXA.Modo,BM.AFAnterior,BM.MEDAnterior),IF(AND(RegimeExecucao="Global",$I321&gt;0,COUNTIF($AB$13:$AM$13,BM.medicao-1)&gt;0),M321/$I321*100,0))</f>
        <v>0</v>
      </c>
      <c r="K321" s="124">
        <f t="shared" ca="1" si="24"/>
        <v>0</v>
      </c>
      <c r="L321" s="379">
        <f ca="1">IF($A321="S",IF(CAIXA.Modo,BM.AFAcumulado,BM.MEDAcumulado),IF(AND(RegimeExecucao="Global",$I321&gt;0,COUNTIF($AB$13:$AM$13,BM.medicao)&gt;0),O321/$I321*100,0))</f>
        <v>0</v>
      </c>
      <c r="M321" s="380">
        <f ca="1">IF($A321="S",VTOTALBM,IF($A321=0,0,ROUND(SomaAgrupBM,15-13*ORÇAMENTO!$AF$11)))</f>
        <v>0</v>
      </c>
      <c r="N321" s="381">
        <f t="shared" ca="1" si="25"/>
        <v>0</v>
      </c>
      <c r="O321" s="127">
        <f ca="1">IF($A321="S",VTOTALBM,IF($A321=0,0,ROUND(SomaAgrupBM,15-13*ORÇAMENTO!$AF$11)))</f>
        <v>0</v>
      </c>
      <c r="Q321" s="382"/>
      <c r="R321" s="383"/>
      <c r="T321" s="119" t="str">
        <f t="shared" ca="1" si="26"/>
        <v/>
      </c>
      <c r="U321" s="172" t="str">
        <f t="shared" ca="1" si="27"/>
        <v/>
      </c>
      <c r="V321" s="173" t="str">
        <f ca="1">IF(AND($W321&gt;0,RegimeExecucao="Unitário"),$F321,"")</f>
        <v/>
      </c>
      <c r="W321" s="547">
        <f ca="1">IF($Y321&gt;0,CHOOSE(MATCH(RegimeExecucao,{"Unitário","Global"},0),IF($A321="S",$Y321/$X321,""),($Y321/$X321)*100),0)</f>
        <v>0</v>
      </c>
      <c r="X321" s="384" t="str">
        <f ca="1">IF($Y321&gt;0,CHOOSE(MATCH(RegimeExecucao,{"Unitário","Global"},0),IF($A321="S",ROUND($H321,ORÇAMENTO!$AF$10),""),ROUND($I321,ORÇAMENTO!$AF$11)),"")</f>
        <v/>
      </c>
      <c r="Y321" s="384">
        <f t="shared" ca="1" si="28"/>
        <v>0</v>
      </c>
      <c r="Z321" s="572"/>
      <c r="AB321" s="382"/>
      <c r="AC321" s="516"/>
      <c r="AD321" s="516"/>
      <c r="AE321" s="516"/>
      <c r="AF321" s="516"/>
      <c r="AG321" s="516"/>
      <c r="AH321" s="516"/>
      <c r="AI321" s="516"/>
      <c r="AJ321" s="516"/>
      <c r="AK321" s="516"/>
      <c r="AL321" s="516"/>
      <c r="AM321" s="383"/>
      <c r="AO321">
        <f ca="1">IF($A321="S",IF(BM!$I321=0,0,CHOOSE(MATCH(RegimeExecucao,{"Global","Unitário"},0),ROUND(ROUND(BM.MEDAcumulado,15-13*BM!$A$9)/100*BM!$I321,15-13*ORÇAMENTO!$AF$11),ROUND(ROUND(BM.MEDAcumulado,15-13*BM!$A$9)*ROUND(BM!$H321,15-13*ORÇAMENTO!$AF$10),15-13*ORÇAMENTO!$AF$11))),IF($A321=0,0,ROUND(SomaAgrupBM,15-13*ORÇAMENTO!$AF$11)))</f>
        <v>0</v>
      </c>
    </row>
    <row r="322" spans="1:41" ht="38.25" x14ac:dyDescent="0.2">
      <c r="A322" t="str">
        <f ca="1">ORÇAMENTO!C322</f>
        <v>S</v>
      </c>
      <c r="B322">
        <f ca="1">ORÇAMENTO!D322</f>
        <v>0</v>
      </c>
      <c r="C322" s="116" t="str">
        <f t="shared" ca="1" si="22"/>
        <v/>
      </c>
      <c r="D322" s="119" t="str">
        <f ca="1">ORÇAMENTO!O322</f>
        <v>-</v>
      </c>
      <c r="E322" s="172" t="str">
        <f t="shared" ca="1" si="23"/>
        <v>(abra o arquivo 'Referência 02-2025.xlsm)</v>
      </c>
      <c r="F322" s="173" t="str">
        <f ca="1">IF(RegimeExecucao="Global","",ORÇAMENTO.Unidade)</f>
        <v>-</v>
      </c>
      <c r="G322" s="124">
        <f ca="1">IF(RegimeExecucao="Global","",ORÇAMENTO!T322)</f>
        <v>62.8</v>
      </c>
      <c r="H322" s="124">
        <f ca="1">IF(RegimeExecucao="Global","",ORÇAMENTO!W322)</f>
        <v>0</v>
      </c>
      <c r="I322" s="127">
        <f ca="1">ORÇAMENTO!X322</f>
        <v>0</v>
      </c>
      <c r="J322" s="378">
        <f ca="1">IF($A322="S",IF(CAIXA.Modo,BM.AFAnterior,BM.MEDAnterior),IF(AND(RegimeExecucao="Global",$I322&gt;0,COUNTIF($AB$13:$AM$13,BM.medicao-1)&gt;0),M322/$I322*100,0))</f>
        <v>0</v>
      </c>
      <c r="K322" s="124">
        <f t="shared" ca="1" si="24"/>
        <v>0</v>
      </c>
      <c r="L322" s="379">
        <f ca="1">IF($A322="S",IF(CAIXA.Modo,BM.AFAcumulado,BM.MEDAcumulado),IF(AND(RegimeExecucao="Global",$I322&gt;0,COUNTIF($AB$13:$AM$13,BM.medicao)&gt;0),O322/$I322*100,0))</f>
        <v>0</v>
      </c>
      <c r="M322" s="380">
        <f ca="1">IF($A322="S",VTOTALBM,IF($A322=0,0,ROUND(SomaAgrupBM,15-13*ORÇAMENTO!$AF$11)))</f>
        <v>0</v>
      </c>
      <c r="N322" s="381">
        <f t="shared" ca="1" si="25"/>
        <v>0</v>
      </c>
      <c r="O322" s="127">
        <f ca="1">IF($A322="S",VTOTALBM,IF($A322=0,0,ROUND(SomaAgrupBM,15-13*ORÇAMENTO!$AF$11)))</f>
        <v>0</v>
      </c>
      <c r="Q322" s="382"/>
      <c r="R322" s="383"/>
      <c r="T322" s="119" t="str">
        <f t="shared" ca="1" si="26"/>
        <v/>
      </c>
      <c r="U322" s="172" t="str">
        <f t="shared" ca="1" si="27"/>
        <v/>
      </c>
      <c r="V322" s="173" t="str">
        <f ca="1">IF(AND($W322&gt;0,RegimeExecucao="Unitário"),$F322,"")</f>
        <v/>
      </c>
      <c r="W322" s="547">
        <f ca="1">IF($Y322&gt;0,CHOOSE(MATCH(RegimeExecucao,{"Unitário","Global"},0),IF($A322="S",$Y322/$X322,""),($Y322/$X322)*100),0)</f>
        <v>0</v>
      </c>
      <c r="X322" s="384" t="str">
        <f ca="1">IF($Y322&gt;0,CHOOSE(MATCH(RegimeExecucao,{"Unitário","Global"},0),IF($A322="S",ROUND($H322,ORÇAMENTO!$AF$10),""),ROUND($I322,ORÇAMENTO!$AF$11)),"")</f>
        <v/>
      </c>
      <c r="Y322" s="384">
        <f t="shared" ca="1" si="28"/>
        <v>0</v>
      </c>
      <c r="Z322" s="572"/>
      <c r="AB322" s="382"/>
      <c r="AC322" s="516"/>
      <c r="AD322" s="516"/>
      <c r="AE322" s="516"/>
      <c r="AF322" s="516"/>
      <c r="AG322" s="516"/>
      <c r="AH322" s="516"/>
      <c r="AI322" s="516"/>
      <c r="AJ322" s="516"/>
      <c r="AK322" s="516"/>
      <c r="AL322" s="516"/>
      <c r="AM322" s="383"/>
      <c r="AO322">
        <f ca="1">IF($A322="S",IF(BM!$I322=0,0,CHOOSE(MATCH(RegimeExecucao,{"Global","Unitário"},0),ROUND(ROUND(BM.MEDAcumulado,15-13*BM!$A$9)/100*BM!$I322,15-13*ORÇAMENTO!$AF$11),ROUND(ROUND(BM.MEDAcumulado,15-13*BM!$A$9)*ROUND(BM!$H322,15-13*ORÇAMENTO!$AF$10),15-13*ORÇAMENTO!$AF$11))),IF($A322=0,0,ROUND(SomaAgrupBM,15-13*ORÇAMENTO!$AF$11)))</f>
        <v>0</v>
      </c>
    </row>
    <row r="323" spans="1:41" ht="25.5" x14ac:dyDescent="0.2">
      <c r="A323" t="str">
        <f ca="1">ORÇAMENTO!C323</f>
        <v>S</v>
      </c>
      <c r="B323">
        <f ca="1">ORÇAMENTO!D323</f>
        <v>0</v>
      </c>
      <c r="C323" s="116" t="str">
        <f t="shared" ca="1" si="22"/>
        <v/>
      </c>
      <c r="D323" s="119" t="str">
        <f ca="1">ORÇAMENTO!O323</f>
        <v>-</v>
      </c>
      <c r="E323" s="172" t="str">
        <f t="shared" ca="1" si="23"/>
        <v>(abra o arquivo 'Referência 02-2025.xlsm)</v>
      </c>
      <c r="F323" s="173" t="str">
        <f ca="1">IF(RegimeExecucao="Global","",ORÇAMENTO.Unidade)</f>
        <v>-</v>
      </c>
      <c r="G323" s="124">
        <f ca="1">IF(RegimeExecucao="Global","",ORÇAMENTO!T323)</f>
        <v>32.4</v>
      </c>
      <c r="H323" s="124">
        <f ca="1">IF(RegimeExecucao="Global","",ORÇAMENTO!W323)</f>
        <v>0</v>
      </c>
      <c r="I323" s="127">
        <f ca="1">ORÇAMENTO!X323</f>
        <v>0</v>
      </c>
      <c r="J323" s="378">
        <f ca="1">IF($A323="S",IF(CAIXA.Modo,BM.AFAnterior,BM.MEDAnterior),IF(AND(RegimeExecucao="Global",$I323&gt;0,COUNTIF($AB$13:$AM$13,BM.medicao-1)&gt;0),M323/$I323*100,0))</f>
        <v>0</v>
      </c>
      <c r="K323" s="124">
        <f t="shared" ca="1" si="24"/>
        <v>0</v>
      </c>
      <c r="L323" s="379">
        <f ca="1">IF($A323="S",IF(CAIXA.Modo,BM.AFAcumulado,BM.MEDAcumulado),IF(AND(RegimeExecucao="Global",$I323&gt;0,COUNTIF($AB$13:$AM$13,BM.medicao)&gt;0),O323/$I323*100,0))</f>
        <v>0</v>
      </c>
      <c r="M323" s="380">
        <f ca="1">IF($A323="S",VTOTALBM,IF($A323=0,0,ROUND(SomaAgrupBM,15-13*ORÇAMENTO!$AF$11)))</f>
        <v>0</v>
      </c>
      <c r="N323" s="381">
        <f t="shared" ca="1" si="25"/>
        <v>0</v>
      </c>
      <c r="O323" s="127">
        <f ca="1">IF($A323="S",VTOTALBM,IF($A323=0,0,ROUND(SomaAgrupBM,15-13*ORÇAMENTO!$AF$11)))</f>
        <v>0</v>
      </c>
      <c r="Q323" s="382"/>
      <c r="R323" s="383"/>
      <c r="T323" s="119" t="str">
        <f t="shared" ca="1" si="26"/>
        <v/>
      </c>
      <c r="U323" s="172" t="str">
        <f t="shared" ca="1" si="27"/>
        <v/>
      </c>
      <c r="V323" s="173" t="str">
        <f ca="1">IF(AND($W323&gt;0,RegimeExecucao="Unitário"),$F323,"")</f>
        <v/>
      </c>
      <c r="W323" s="547">
        <f ca="1">IF($Y323&gt;0,CHOOSE(MATCH(RegimeExecucao,{"Unitário","Global"},0),IF($A323="S",$Y323/$X323,""),($Y323/$X323)*100),0)</f>
        <v>0</v>
      </c>
      <c r="X323" s="384" t="str">
        <f ca="1">IF($Y323&gt;0,CHOOSE(MATCH(RegimeExecucao,{"Unitário","Global"},0),IF($A323="S",ROUND($H323,ORÇAMENTO!$AF$10),""),ROUND($I323,ORÇAMENTO!$AF$11)),"")</f>
        <v/>
      </c>
      <c r="Y323" s="384">
        <f t="shared" ca="1" si="28"/>
        <v>0</v>
      </c>
      <c r="Z323" s="572"/>
      <c r="AB323" s="382"/>
      <c r="AC323" s="516"/>
      <c r="AD323" s="516"/>
      <c r="AE323" s="516"/>
      <c r="AF323" s="516"/>
      <c r="AG323" s="516"/>
      <c r="AH323" s="516"/>
      <c r="AI323" s="516"/>
      <c r="AJ323" s="516"/>
      <c r="AK323" s="516"/>
      <c r="AL323" s="516"/>
      <c r="AM323" s="383"/>
      <c r="AO323">
        <f ca="1">IF($A323="S",IF(BM!$I323=0,0,CHOOSE(MATCH(RegimeExecucao,{"Global","Unitário"},0),ROUND(ROUND(BM.MEDAcumulado,15-13*BM!$A$9)/100*BM!$I323,15-13*ORÇAMENTO!$AF$11),ROUND(ROUND(BM.MEDAcumulado,15-13*BM!$A$9)*ROUND(BM!$H323,15-13*ORÇAMENTO!$AF$10),15-13*ORÇAMENTO!$AF$11))),IF($A323=0,0,ROUND(SomaAgrupBM,15-13*ORÇAMENTO!$AF$11)))</f>
        <v>0</v>
      </c>
    </row>
    <row r="324" spans="1:41" ht="38.25" x14ac:dyDescent="0.2">
      <c r="A324" t="str">
        <f ca="1">ORÇAMENTO!C324</f>
        <v>S</v>
      </c>
      <c r="B324">
        <f ca="1">ORÇAMENTO!D324</f>
        <v>0</v>
      </c>
      <c r="C324" s="116" t="str">
        <f t="shared" ca="1" si="22"/>
        <v/>
      </c>
      <c r="D324" s="119" t="str">
        <f ca="1">ORÇAMENTO!O324</f>
        <v>-</v>
      </c>
      <c r="E324" s="172" t="str">
        <f t="shared" ca="1" si="23"/>
        <v>(abra o arquivo 'Referência 02-2025.xlsm)</v>
      </c>
      <c r="F324" s="173" t="str">
        <f ca="1">IF(RegimeExecucao="Global","",ORÇAMENTO.Unidade)</f>
        <v>-</v>
      </c>
      <c r="G324" s="124">
        <f ca="1">IF(RegimeExecucao="Global","",ORÇAMENTO!T324)</f>
        <v>6</v>
      </c>
      <c r="H324" s="124">
        <f ca="1">IF(RegimeExecucao="Global","",ORÇAMENTO!W324)</f>
        <v>0</v>
      </c>
      <c r="I324" s="127">
        <f ca="1">ORÇAMENTO!X324</f>
        <v>0</v>
      </c>
      <c r="J324" s="378">
        <f ca="1">IF($A324="S",IF(CAIXA.Modo,BM.AFAnterior,BM.MEDAnterior),IF(AND(RegimeExecucao="Global",$I324&gt;0,COUNTIF($AB$13:$AM$13,BM.medicao-1)&gt;0),M324/$I324*100,0))</f>
        <v>0</v>
      </c>
      <c r="K324" s="124">
        <f t="shared" ca="1" si="24"/>
        <v>0</v>
      </c>
      <c r="L324" s="379">
        <f ca="1">IF($A324="S",IF(CAIXA.Modo,BM.AFAcumulado,BM.MEDAcumulado),IF(AND(RegimeExecucao="Global",$I324&gt;0,COUNTIF($AB$13:$AM$13,BM.medicao)&gt;0),O324/$I324*100,0))</f>
        <v>0</v>
      </c>
      <c r="M324" s="380">
        <f ca="1">IF($A324="S",VTOTALBM,IF($A324=0,0,ROUND(SomaAgrupBM,15-13*ORÇAMENTO!$AF$11)))</f>
        <v>0</v>
      </c>
      <c r="N324" s="381">
        <f t="shared" ca="1" si="25"/>
        <v>0</v>
      </c>
      <c r="O324" s="127">
        <f ca="1">IF($A324="S",VTOTALBM,IF($A324=0,0,ROUND(SomaAgrupBM,15-13*ORÇAMENTO!$AF$11)))</f>
        <v>0</v>
      </c>
      <c r="Q324" s="382"/>
      <c r="R324" s="383"/>
      <c r="T324" s="119" t="str">
        <f t="shared" ca="1" si="26"/>
        <v/>
      </c>
      <c r="U324" s="172" t="str">
        <f t="shared" ca="1" si="27"/>
        <v/>
      </c>
      <c r="V324" s="173" t="str">
        <f ca="1">IF(AND($W324&gt;0,RegimeExecucao="Unitário"),$F324,"")</f>
        <v/>
      </c>
      <c r="W324" s="547">
        <f ca="1">IF($Y324&gt;0,CHOOSE(MATCH(RegimeExecucao,{"Unitário","Global"},0),IF($A324="S",$Y324/$X324,""),($Y324/$X324)*100),0)</f>
        <v>0</v>
      </c>
      <c r="X324" s="384" t="str">
        <f ca="1">IF($Y324&gt;0,CHOOSE(MATCH(RegimeExecucao,{"Unitário","Global"},0),IF($A324="S",ROUND($H324,ORÇAMENTO!$AF$10),""),ROUND($I324,ORÇAMENTO!$AF$11)),"")</f>
        <v/>
      </c>
      <c r="Y324" s="384">
        <f t="shared" ca="1" si="28"/>
        <v>0</v>
      </c>
      <c r="Z324" s="572"/>
      <c r="AB324" s="382"/>
      <c r="AC324" s="516"/>
      <c r="AD324" s="516"/>
      <c r="AE324" s="516"/>
      <c r="AF324" s="516"/>
      <c r="AG324" s="516"/>
      <c r="AH324" s="516"/>
      <c r="AI324" s="516"/>
      <c r="AJ324" s="516"/>
      <c r="AK324" s="516"/>
      <c r="AL324" s="516"/>
      <c r="AM324" s="383"/>
      <c r="AO324">
        <f ca="1">IF($A324="S",IF(BM!$I324=0,0,CHOOSE(MATCH(RegimeExecucao,{"Global","Unitário"},0),ROUND(ROUND(BM.MEDAcumulado,15-13*BM!$A$9)/100*BM!$I324,15-13*ORÇAMENTO!$AF$11),ROUND(ROUND(BM.MEDAcumulado,15-13*BM!$A$9)*ROUND(BM!$H324,15-13*ORÇAMENTO!$AF$10),15-13*ORÇAMENTO!$AF$11))),IF($A324=0,0,ROUND(SomaAgrupBM,15-13*ORÇAMENTO!$AF$11)))</f>
        <v>0</v>
      </c>
    </row>
    <row r="325" spans="1:41" ht="38.25" x14ac:dyDescent="0.2">
      <c r="A325" t="str">
        <f ca="1">ORÇAMENTO!C325</f>
        <v>S</v>
      </c>
      <c r="B325">
        <f ca="1">ORÇAMENTO!D325</f>
        <v>0</v>
      </c>
      <c r="C325" s="116" t="str">
        <f t="shared" ca="1" si="22"/>
        <v/>
      </c>
      <c r="D325" s="119" t="str">
        <f ca="1">ORÇAMENTO!O325</f>
        <v>-</v>
      </c>
      <c r="E325" s="172" t="str">
        <f t="shared" ca="1" si="23"/>
        <v>(abra o arquivo 'Referência 02-2025.xlsm)</v>
      </c>
      <c r="F325" s="173" t="str">
        <f ca="1">IF(RegimeExecucao="Global","",ORÇAMENTO.Unidade)</f>
        <v>-</v>
      </c>
      <c r="G325" s="124">
        <f ca="1">IF(RegimeExecucao="Global","",ORÇAMENTO!T325)</f>
        <v>6</v>
      </c>
      <c r="H325" s="124">
        <f ca="1">IF(RegimeExecucao="Global","",ORÇAMENTO!W325)</f>
        <v>0</v>
      </c>
      <c r="I325" s="127">
        <f ca="1">ORÇAMENTO!X325</f>
        <v>0</v>
      </c>
      <c r="J325" s="378">
        <f ca="1">IF($A325="S",IF(CAIXA.Modo,BM.AFAnterior,BM.MEDAnterior),IF(AND(RegimeExecucao="Global",$I325&gt;0,COUNTIF($AB$13:$AM$13,BM.medicao-1)&gt;0),M325/$I325*100,0))</f>
        <v>0</v>
      </c>
      <c r="K325" s="124">
        <f t="shared" ca="1" si="24"/>
        <v>0</v>
      </c>
      <c r="L325" s="379">
        <f ca="1">IF($A325="S",IF(CAIXA.Modo,BM.AFAcumulado,BM.MEDAcumulado),IF(AND(RegimeExecucao="Global",$I325&gt;0,COUNTIF($AB$13:$AM$13,BM.medicao)&gt;0),O325/$I325*100,0))</f>
        <v>0</v>
      </c>
      <c r="M325" s="380">
        <f ca="1">IF($A325="S",VTOTALBM,IF($A325=0,0,ROUND(SomaAgrupBM,15-13*ORÇAMENTO!$AF$11)))</f>
        <v>0</v>
      </c>
      <c r="N325" s="381">
        <f t="shared" ca="1" si="25"/>
        <v>0</v>
      </c>
      <c r="O325" s="127">
        <f ca="1">IF($A325="S",VTOTALBM,IF($A325=0,0,ROUND(SomaAgrupBM,15-13*ORÇAMENTO!$AF$11)))</f>
        <v>0</v>
      </c>
      <c r="Q325" s="382"/>
      <c r="R325" s="383"/>
      <c r="T325" s="119" t="str">
        <f t="shared" ca="1" si="26"/>
        <v/>
      </c>
      <c r="U325" s="172" t="str">
        <f t="shared" ca="1" si="27"/>
        <v/>
      </c>
      <c r="V325" s="173" t="str">
        <f ca="1">IF(AND($W325&gt;0,RegimeExecucao="Unitário"),$F325,"")</f>
        <v/>
      </c>
      <c r="W325" s="547">
        <f ca="1">IF($Y325&gt;0,CHOOSE(MATCH(RegimeExecucao,{"Unitário","Global"},0),IF($A325="S",$Y325/$X325,""),($Y325/$X325)*100),0)</f>
        <v>0</v>
      </c>
      <c r="X325" s="384" t="str">
        <f ca="1">IF($Y325&gt;0,CHOOSE(MATCH(RegimeExecucao,{"Unitário","Global"},0),IF($A325="S",ROUND($H325,ORÇAMENTO!$AF$10),""),ROUND($I325,ORÇAMENTO!$AF$11)),"")</f>
        <v/>
      </c>
      <c r="Y325" s="384">
        <f t="shared" ca="1" si="28"/>
        <v>0</v>
      </c>
      <c r="Z325" s="572"/>
      <c r="AB325" s="382"/>
      <c r="AC325" s="516"/>
      <c r="AD325" s="516"/>
      <c r="AE325" s="516"/>
      <c r="AF325" s="516"/>
      <c r="AG325" s="516"/>
      <c r="AH325" s="516"/>
      <c r="AI325" s="516"/>
      <c r="AJ325" s="516"/>
      <c r="AK325" s="516"/>
      <c r="AL325" s="516"/>
      <c r="AM325" s="383"/>
      <c r="AO325">
        <f ca="1">IF($A325="S",IF(BM!$I325=0,0,CHOOSE(MATCH(RegimeExecucao,{"Global","Unitário"},0),ROUND(ROUND(BM.MEDAcumulado,15-13*BM!$A$9)/100*BM!$I325,15-13*ORÇAMENTO!$AF$11),ROUND(ROUND(BM.MEDAcumulado,15-13*BM!$A$9)*ROUND(BM!$H325,15-13*ORÇAMENTO!$AF$10),15-13*ORÇAMENTO!$AF$11))),IF($A325=0,0,ROUND(SomaAgrupBM,15-13*ORÇAMENTO!$AF$11)))</f>
        <v>0</v>
      </c>
    </row>
    <row r="326" spans="1:41" ht="38.25" x14ac:dyDescent="0.2">
      <c r="A326" t="str">
        <f ca="1">ORÇAMENTO!C326</f>
        <v>S</v>
      </c>
      <c r="B326">
        <f ca="1">ORÇAMENTO!D326</f>
        <v>0</v>
      </c>
      <c r="C326" s="116" t="str">
        <f t="shared" ca="1" si="22"/>
        <v/>
      </c>
      <c r="D326" s="119" t="str">
        <f ca="1">ORÇAMENTO!O326</f>
        <v>-</v>
      </c>
      <c r="E326" s="172" t="str">
        <f t="shared" si="23"/>
        <v>CURVA 45 GRAUS, PVC, SERIE R, ÁGUA PLUVIAL, DN 200 MM, VINILFORT, JUNTA ELÁSTICA, FORNECIDO E INSTALADO EM RAMAL DE ENCAMINHAMENTO (UN)</v>
      </c>
      <c r="F326" s="173" t="str">
        <f ca="1">IF(RegimeExecucao="Global","",ORÇAMENTO.Unidade)</f>
        <v>-</v>
      </c>
      <c r="G326" s="124">
        <f ca="1">IF(RegimeExecucao="Global","",ORÇAMENTO!T326)</f>
        <v>2</v>
      </c>
      <c r="H326" s="124">
        <f ca="1">IF(RegimeExecucao="Global","",ORÇAMENTO!W326)</f>
        <v>0</v>
      </c>
      <c r="I326" s="127">
        <f ca="1">ORÇAMENTO!X326</f>
        <v>0</v>
      </c>
      <c r="J326" s="378">
        <f ca="1">IF($A326="S",IF(CAIXA.Modo,BM.AFAnterior,BM.MEDAnterior),IF(AND(RegimeExecucao="Global",$I326&gt;0,COUNTIF($AB$13:$AM$13,BM.medicao-1)&gt;0),M326/$I326*100,0))</f>
        <v>0</v>
      </c>
      <c r="K326" s="124">
        <f t="shared" ca="1" si="24"/>
        <v>0</v>
      </c>
      <c r="L326" s="379">
        <f ca="1">IF($A326="S",IF(CAIXA.Modo,BM.AFAcumulado,BM.MEDAcumulado),IF(AND(RegimeExecucao="Global",$I326&gt;0,COUNTIF($AB$13:$AM$13,BM.medicao)&gt;0),O326/$I326*100,0))</f>
        <v>0</v>
      </c>
      <c r="M326" s="380">
        <f ca="1">IF($A326="S",VTOTALBM,IF($A326=0,0,ROUND(SomaAgrupBM,15-13*ORÇAMENTO!$AF$11)))</f>
        <v>0</v>
      </c>
      <c r="N326" s="381">
        <f t="shared" ca="1" si="25"/>
        <v>0</v>
      </c>
      <c r="O326" s="127">
        <f ca="1">IF($A326="S",VTOTALBM,IF($A326=0,0,ROUND(SomaAgrupBM,15-13*ORÇAMENTO!$AF$11)))</f>
        <v>0</v>
      </c>
      <c r="Q326" s="382"/>
      <c r="R326" s="383"/>
      <c r="T326" s="119" t="str">
        <f t="shared" ca="1" si="26"/>
        <v/>
      </c>
      <c r="U326" s="172" t="str">
        <f t="shared" ca="1" si="27"/>
        <v/>
      </c>
      <c r="V326" s="173" t="str">
        <f ca="1">IF(AND($W326&gt;0,RegimeExecucao="Unitário"),$F326,"")</f>
        <v/>
      </c>
      <c r="W326" s="547">
        <f ca="1">IF($Y326&gt;0,CHOOSE(MATCH(RegimeExecucao,{"Unitário","Global"},0),IF($A326="S",$Y326/$X326,""),($Y326/$X326)*100),0)</f>
        <v>0</v>
      </c>
      <c r="X326" s="384" t="str">
        <f ca="1">IF($Y326&gt;0,CHOOSE(MATCH(RegimeExecucao,{"Unitário","Global"},0),IF($A326="S",ROUND($H326,ORÇAMENTO!$AF$10),""),ROUND($I326,ORÇAMENTO!$AF$11)),"")</f>
        <v/>
      </c>
      <c r="Y326" s="384">
        <f t="shared" ca="1" si="28"/>
        <v>0</v>
      </c>
      <c r="Z326" s="572"/>
      <c r="AB326" s="382"/>
      <c r="AC326" s="516"/>
      <c r="AD326" s="516"/>
      <c r="AE326" s="516"/>
      <c r="AF326" s="516"/>
      <c r="AG326" s="516"/>
      <c r="AH326" s="516"/>
      <c r="AI326" s="516"/>
      <c r="AJ326" s="516"/>
      <c r="AK326" s="516"/>
      <c r="AL326" s="516"/>
      <c r="AM326" s="383"/>
      <c r="AO326">
        <f ca="1">IF($A326="S",IF(BM!$I326=0,0,CHOOSE(MATCH(RegimeExecucao,{"Global","Unitário"},0),ROUND(ROUND(BM.MEDAcumulado,15-13*BM!$A$9)/100*BM!$I326,15-13*ORÇAMENTO!$AF$11),ROUND(ROUND(BM.MEDAcumulado,15-13*BM!$A$9)*ROUND(BM!$H326,15-13*ORÇAMENTO!$AF$10),15-13*ORÇAMENTO!$AF$11))),IF($A326=0,0,ROUND(SomaAgrupBM,15-13*ORÇAMENTO!$AF$11)))</f>
        <v>0</v>
      </c>
    </row>
    <row r="327" spans="1:41" ht="38.25" x14ac:dyDescent="0.2">
      <c r="A327" t="str">
        <f ca="1">ORÇAMENTO!C327</f>
        <v>S</v>
      </c>
      <c r="B327">
        <f ca="1">ORÇAMENTO!D327</f>
        <v>0</v>
      </c>
      <c r="C327" s="116" t="str">
        <f t="shared" ca="1" si="22"/>
        <v/>
      </c>
      <c r="D327" s="119" t="str">
        <f ca="1">ORÇAMENTO!O327</f>
        <v>-</v>
      </c>
      <c r="E327" s="172" t="str">
        <f t="shared" ca="1" si="23"/>
        <v>(abra o arquivo 'Referência 02-2025.xlsm)</v>
      </c>
      <c r="F327" s="173" t="str">
        <f ca="1">IF(RegimeExecucao="Global","",ORÇAMENTO.Unidade)</f>
        <v>-</v>
      </c>
      <c r="G327" s="124">
        <f ca="1">IF(RegimeExecucao="Global","",ORÇAMENTO!T327)</f>
        <v>16</v>
      </c>
      <c r="H327" s="124">
        <f ca="1">IF(RegimeExecucao="Global","",ORÇAMENTO!W327)</f>
        <v>0</v>
      </c>
      <c r="I327" s="127">
        <f ca="1">ORÇAMENTO!X327</f>
        <v>0</v>
      </c>
      <c r="J327" s="378">
        <f ca="1">IF($A327="S",IF(CAIXA.Modo,BM.AFAnterior,BM.MEDAnterior),IF(AND(RegimeExecucao="Global",$I327&gt;0,COUNTIF($AB$13:$AM$13,BM.medicao-1)&gt;0),M327/$I327*100,0))</f>
        <v>0</v>
      </c>
      <c r="K327" s="124">
        <f t="shared" ca="1" si="24"/>
        <v>0</v>
      </c>
      <c r="L327" s="379">
        <f ca="1">IF($A327="S",IF(CAIXA.Modo,BM.AFAcumulado,BM.MEDAcumulado),IF(AND(RegimeExecucao="Global",$I327&gt;0,COUNTIF($AB$13:$AM$13,BM.medicao)&gt;0),O327/$I327*100,0))</f>
        <v>0</v>
      </c>
      <c r="M327" s="380">
        <f ca="1">IF($A327="S",VTOTALBM,IF($A327=0,0,ROUND(SomaAgrupBM,15-13*ORÇAMENTO!$AF$11)))</f>
        <v>0</v>
      </c>
      <c r="N327" s="381">
        <f t="shared" ca="1" si="25"/>
        <v>0</v>
      </c>
      <c r="O327" s="127">
        <f ca="1">IF($A327="S",VTOTALBM,IF($A327=0,0,ROUND(SomaAgrupBM,15-13*ORÇAMENTO!$AF$11)))</f>
        <v>0</v>
      </c>
      <c r="Q327" s="382"/>
      <c r="R327" s="383"/>
      <c r="T327" s="119" t="str">
        <f t="shared" ca="1" si="26"/>
        <v/>
      </c>
      <c r="U327" s="172" t="str">
        <f t="shared" ca="1" si="27"/>
        <v/>
      </c>
      <c r="V327" s="173" t="str">
        <f ca="1">IF(AND($W327&gt;0,RegimeExecucao="Unitário"),$F327,"")</f>
        <v/>
      </c>
      <c r="W327" s="547">
        <f ca="1">IF($Y327&gt;0,CHOOSE(MATCH(RegimeExecucao,{"Unitário","Global"},0),IF($A327="S",$Y327/$X327,""),($Y327/$X327)*100),0)</f>
        <v>0</v>
      </c>
      <c r="X327" s="384" t="str">
        <f ca="1">IF($Y327&gt;0,CHOOSE(MATCH(RegimeExecucao,{"Unitário","Global"},0),IF($A327="S",ROUND($H327,ORÇAMENTO!$AF$10),""),ROUND($I327,ORÇAMENTO!$AF$11)),"")</f>
        <v/>
      </c>
      <c r="Y327" s="384">
        <f t="shared" ca="1" si="28"/>
        <v>0</v>
      </c>
      <c r="Z327" s="572"/>
      <c r="AB327" s="382"/>
      <c r="AC327" s="516"/>
      <c r="AD327" s="516"/>
      <c r="AE327" s="516"/>
      <c r="AF327" s="516"/>
      <c r="AG327" s="516"/>
      <c r="AH327" s="516"/>
      <c r="AI327" s="516"/>
      <c r="AJ327" s="516"/>
      <c r="AK327" s="516"/>
      <c r="AL327" s="516"/>
      <c r="AM327" s="383"/>
      <c r="AO327">
        <f ca="1">IF($A327="S",IF(BM!$I327=0,0,CHOOSE(MATCH(RegimeExecucao,{"Global","Unitário"},0),ROUND(ROUND(BM.MEDAcumulado,15-13*BM!$A$9)/100*BM!$I327,15-13*ORÇAMENTO!$AF$11),ROUND(ROUND(BM.MEDAcumulado,15-13*BM!$A$9)*ROUND(BM!$H327,15-13*ORÇAMENTO!$AF$10),15-13*ORÇAMENTO!$AF$11))),IF($A327=0,0,ROUND(SomaAgrupBM,15-13*ORÇAMENTO!$AF$11)))</f>
        <v>0</v>
      </c>
    </row>
    <row r="328" spans="1:41" ht="38.25" x14ac:dyDescent="0.2">
      <c r="A328" t="str">
        <f ca="1">ORÇAMENTO!C328</f>
        <v>S</v>
      </c>
      <c r="B328">
        <f ca="1">ORÇAMENTO!D328</f>
        <v>0</v>
      </c>
      <c r="C328" s="116" t="str">
        <f t="shared" ca="1" si="22"/>
        <v/>
      </c>
      <c r="D328" s="119" t="str">
        <f ca="1">ORÇAMENTO!O328</f>
        <v>-</v>
      </c>
      <c r="E328" s="172" t="str">
        <f t="shared" ca="1" si="23"/>
        <v>(abra o arquivo 'Referência 02-2025.xlsm)</v>
      </c>
      <c r="F328" s="173" t="str">
        <f ca="1">IF(RegimeExecucao="Global","",ORÇAMENTO.Unidade)</f>
        <v>-</v>
      </c>
      <c r="G328" s="124">
        <f ca="1">IF(RegimeExecucao="Global","",ORÇAMENTO!T328)</f>
        <v>2</v>
      </c>
      <c r="H328" s="124">
        <f ca="1">IF(RegimeExecucao="Global","",ORÇAMENTO!W328)</f>
        <v>0</v>
      </c>
      <c r="I328" s="127">
        <f ca="1">ORÇAMENTO!X328</f>
        <v>0</v>
      </c>
      <c r="J328" s="378">
        <f ca="1">IF($A328="S",IF(CAIXA.Modo,BM.AFAnterior,BM.MEDAnterior),IF(AND(RegimeExecucao="Global",$I328&gt;0,COUNTIF($AB$13:$AM$13,BM.medicao-1)&gt;0),M328/$I328*100,0))</f>
        <v>0</v>
      </c>
      <c r="K328" s="124">
        <f t="shared" ca="1" si="24"/>
        <v>0</v>
      </c>
      <c r="L328" s="379">
        <f ca="1">IF($A328="S",IF(CAIXA.Modo,BM.AFAcumulado,BM.MEDAcumulado),IF(AND(RegimeExecucao="Global",$I328&gt;0,COUNTIF($AB$13:$AM$13,BM.medicao)&gt;0),O328/$I328*100,0))</f>
        <v>0</v>
      </c>
      <c r="M328" s="380">
        <f ca="1">IF($A328="S",VTOTALBM,IF($A328=0,0,ROUND(SomaAgrupBM,15-13*ORÇAMENTO!$AF$11)))</f>
        <v>0</v>
      </c>
      <c r="N328" s="381">
        <f t="shared" ca="1" si="25"/>
        <v>0</v>
      </c>
      <c r="O328" s="127">
        <f ca="1">IF($A328="S",VTOTALBM,IF($A328=0,0,ROUND(SomaAgrupBM,15-13*ORÇAMENTO!$AF$11)))</f>
        <v>0</v>
      </c>
      <c r="Q328" s="382"/>
      <c r="R328" s="383"/>
      <c r="T328" s="119" t="str">
        <f t="shared" ca="1" si="26"/>
        <v/>
      </c>
      <c r="U328" s="172" t="str">
        <f t="shared" ca="1" si="27"/>
        <v/>
      </c>
      <c r="V328" s="173" t="str">
        <f ca="1">IF(AND($W328&gt;0,RegimeExecucao="Unitário"),$F328,"")</f>
        <v/>
      </c>
      <c r="W328" s="547">
        <f ca="1">IF($Y328&gt;0,CHOOSE(MATCH(RegimeExecucao,{"Unitário","Global"},0),IF($A328="S",$Y328/$X328,""),($Y328/$X328)*100),0)</f>
        <v>0</v>
      </c>
      <c r="X328" s="384" t="str">
        <f ca="1">IF($Y328&gt;0,CHOOSE(MATCH(RegimeExecucao,{"Unitário","Global"},0),IF($A328="S",ROUND($H328,ORÇAMENTO!$AF$10),""),ROUND($I328,ORÇAMENTO!$AF$11)),"")</f>
        <v/>
      </c>
      <c r="Y328" s="384">
        <f t="shared" ca="1" si="28"/>
        <v>0</v>
      </c>
      <c r="Z328" s="572"/>
      <c r="AB328" s="382"/>
      <c r="AC328" s="516"/>
      <c r="AD328" s="516"/>
      <c r="AE328" s="516"/>
      <c r="AF328" s="516"/>
      <c r="AG328" s="516"/>
      <c r="AH328" s="516"/>
      <c r="AI328" s="516"/>
      <c r="AJ328" s="516"/>
      <c r="AK328" s="516"/>
      <c r="AL328" s="516"/>
      <c r="AM328" s="383"/>
      <c r="AO328">
        <f ca="1">IF($A328="S",IF(BM!$I328=0,0,CHOOSE(MATCH(RegimeExecucao,{"Global","Unitário"},0),ROUND(ROUND(BM.MEDAcumulado,15-13*BM!$A$9)/100*BM!$I328,15-13*ORÇAMENTO!$AF$11),ROUND(ROUND(BM.MEDAcumulado,15-13*BM!$A$9)*ROUND(BM!$H328,15-13*ORÇAMENTO!$AF$10),15-13*ORÇAMENTO!$AF$11))),IF($A328=0,0,ROUND(SomaAgrupBM,15-13*ORÇAMENTO!$AF$11)))</f>
        <v>0</v>
      </c>
    </row>
    <row r="329" spans="1:41" ht="38.25" x14ac:dyDescent="0.2">
      <c r="A329" t="str">
        <f ca="1">ORÇAMENTO!C329</f>
        <v>S</v>
      </c>
      <c r="B329">
        <f ca="1">ORÇAMENTO!D329</f>
        <v>0</v>
      </c>
      <c r="C329" s="116" t="str">
        <f t="shared" ca="1" si="22"/>
        <v/>
      </c>
      <c r="D329" s="119" t="str">
        <f ca="1">ORÇAMENTO!O329</f>
        <v>-</v>
      </c>
      <c r="E329" s="172" t="str">
        <f t="shared" ca="1" si="23"/>
        <v>(abra o arquivo 'Referência 02-2025.xlsm)</v>
      </c>
      <c r="F329" s="173" t="str">
        <f ca="1">IF(RegimeExecucao="Global","",ORÇAMENTO.Unidade)</f>
        <v>-</v>
      </c>
      <c r="G329" s="124">
        <f ca="1">IF(RegimeExecucao="Global","",ORÇAMENTO!T329)</f>
        <v>48</v>
      </c>
      <c r="H329" s="124">
        <f ca="1">IF(RegimeExecucao="Global","",ORÇAMENTO!W329)</f>
        <v>0</v>
      </c>
      <c r="I329" s="127">
        <f ca="1">ORÇAMENTO!X329</f>
        <v>0</v>
      </c>
      <c r="J329" s="378">
        <f ca="1">IF($A329="S",IF(CAIXA.Modo,BM.AFAnterior,BM.MEDAnterior),IF(AND(RegimeExecucao="Global",$I329&gt;0,COUNTIF($AB$13:$AM$13,BM.medicao-1)&gt;0),M329/$I329*100,0))</f>
        <v>0</v>
      </c>
      <c r="K329" s="124">
        <f t="shared" ca="1" si="24"/>
        <v>0</v>
      </c>
      <c r="L329" s="379">
        <f ca="1">IF($A329="S",IF(CAIXA.Modo,BM.AFAcumulado,BM.MEDAcumulado),IF(AND(RegimeExecucao="Global",$I329&gt;0,COUNTIF($AB$13:$AM$13,BM.medicao)&gt;0),O329/$I329*100,0))</f>
        <v>0</v>
      </c>
      <c r="M329" s="380">
        <f ca="1">IF($A329="S",VTOTALBM,IF($A329=0,0,ROUND(SomaAgrupBM,15-13*ORÇAMENTO!$AF$11)))</f>
        <v>0</v>
      </c>
      <c r="N329" s="381">
        <f t="shared" ca="1" si="25"/>
        <v>0</v>
      </c>
      <c r="O329" s="127">
        <f ca="1">IF($A329="S",VTOTALBM,IF($A329=0,0,ROUND(SomaAgrupBM,15-13*ORÇAMENTO!$AF$11)))</f>
        <v>0</v>
      </c>
      <c r="Q329" s="382"/>
      <c r="R329" s="383"/>
      <c r="T329" s="119" t="str">
        <f t="shared" ca="1" si="26"/>
        <v/>
      </c>
      <c r="U329" s="172" t="str">
        <f t="shared" ca="1" si="27"/>
        <v/>
      </c>
      <c r="V329" s="173" t="str">
        <f ca="1">IF(AND($W329&gt;0,RegimeExecucao="Unitário"),$F329,"")</f>
        <v/>
      </c>
      <c r="W329" s="547">
        <f ca="1">IF($Y329&gt;0,CHOOSE(MATCH(RegimeExecucao,{"Unitário","Global"},0),IF($A329="S",$Y329/$X329,""),($Y329/$X329)*100),0)</f>
        <v>0</v>
      </c>
      <c r="X329" s="384" t="str">
        <f ca="1">IF($Y329&gt;0,CHOOSE(MATCH(RegimeExecucao,{"Unitário","Global"},0),IF($A329="S",ROUND($H329,ORÇAMENTO!$AF$10),""),ROUND($I329,ORÇAMENTO!$AF$11)),"")</f>
        <v/>
      </c>
      <c r="Y329" s="384">
        <f t="shared" ca="1" si="28"/>
        <v>0</v>
      </c>
      <c r="Z329" s="572"/>
      <c r="AB329" s="382"/>
      <c r="AC329" s="516"/>
      <c r="AD329" s="516"/>
      <c r="AE329" s="516"/>
      <c r="AF329" s="516"/>
      <c r="AG329" s="516"/>
      <c r="AH329" s="516"/>
      <c r="AI329" s="516"/>
      <c r="AJ329" s="516"/>
      <c r="AK329" s="516"/>
      <c r="AL329" s="516"/>
      <c r="AM329" s="383"/>
      <c r="AO329">
        <f ca="1">IF($A329="S",IF(BM!$I329=0,0,CHOOSE(MATCH(RegimeExecucao,{"Global","Unitário"},0),ROUND(ROUND(BM.MEDAcumulado,15-13*BM!$A$9)/100*BM!$I329,15-13*ORÇAMENTO!$AF$11),ROUND(ROUND(BM.MEDAcumulado,15-13*BM!$A$9)*ROUND(BM!$H329,15-13*ORÇAMENTO!$AF$10),15-13*ORÇAMENTO!$AF$11))),IF($A329=0,0,ROUND(SomaAgrupBM,15-13*ORÇAMENTO!$AF$11)))</f>
        <v>0</v>
      </c>
    </row>
    <row r="330" spans="1:41" ht="51" x14ac:dyDescent="0.2">
      <c r="A330" t="str">
        <f ca="1">ORÇAMENTO!C330</f>
        <v>S</v>
      </c>
      <c r="B330">
        <f ca="1">ORÇAMENTO!D330</f>
        <v>0</v>
      </c>
      <c r="C330" s="116" t="str">
        <f t="shared" ca="1" si="22"/>
        <v/>
      </c>
      <c r="D330" s="119" t="str">
        <f ca="1">ORÇAMENTO!O330</f>
        <v>-</v>
      </c>
      <c r="E330" s="172" t="str">
        <f t="shared" ca="1" si="23"/>
        <v>(abra o arquivo 'Referência 02-2025.xlsm)</v>
      </c>
      <c r="F330" s="173" t="str">
        <f ca="1">IF(RegimeExecucao="Global","",ORÇAMENTO.Unidade)</f>
        <v>-</v>
      </c>
      <c r="G330" s="124">
        <f ca="1">IF(RegimeExecucao="Global","",ORÇAMENTO!T330)</f>
        <v>1</v>
      </c>
      <c r="H330" s="124">
        <f ca="1">IF(RegimeExecucao="Global","",ORÇAMENTO!W330)</f>
        <v>0</v>
      </c>
      <c r="I330" s="127">
        <f ca="1">ORÇAMENTO!X330</f>
        <v>0</v>
      </c>
      <c r="J330" s="378">
        <f ca="1">IF($A330="S",IF(CAIXA.Modo,BM.AFAnterior,BM.MEDAnterior),IF(AND(RegimeExecucao="Global",$I330&gt;0,COUNTIF($AB$13:$AM$13,BM.medicao-1)&gt;0),M330/$I330*100,0))</f>
        <v>0</v>
      </c>
      <c r="K330" s="124">
        <f t="shared" ca="1" si="24"/>
        <v>0</v>
      </c>
      <c r="L330" s="379">
        <f ca="1">IF($A330="S",IF(CAIXA.Modo,BM.AFAcumulado,BM.MEDAcumulado),IF(AND(RegimeExecucao="Global",$I330&gt;0,COUNTIF($AB$13:$AM$13,BM.medicao)&gt;0),O330/$I330*100,0))</f>
        <v>0</v>
      </c>
      <c r="M330" s="380">
        <f ca="1">IF($A330="S",VTOTALBM,IF($A330=0,0,ROUND(SomaAgrupBM,15-13*ORÇAMENTO!$AF$11)))</f>
        <v>0</v>
      </c>
      <c r="N330" s="381">
        <f t="shared" ca="1" si="25"/>
        <v>0</v>
      </c>
      <c r="O330" s="127">
        <f ca="1">IF($A330="S",VTOTALBM,IF($A330=0,0,ROUND(SomaAgrupBM,15-13*ORÇAMENTO!$AF$11)))</f>
        <v>0</v>
      </c>
      <c r="Q330" s="382"/>
      <c r="R330" s="383"/>
      <c r="T330" s="119" t="str">
        <f t="shared" ca="1" si="26"/>
        <v/>
      </c>
      <c r="U330" s="172" t="str">
        <f t="shared" ca="1" si="27"/>
        <v/>
      </c>
      <c r="V330" s="173" t="str">
        <f ca="1">IF(AND($W330&gt;0,RegimeExecucao="Unitário"),$F330,"")</f>
        <v/>
      </c>
      <c r="W330" s="547">
        <f ca="1">IF($Y330&gt;0,CHOOSE(MATCH(RegimeExecucao,{"Unitário","Global"},0),IF($A330="S",$Y330/$X330,""),($Y330/$X330)*100),0)</f>
        <v>0</v>
      </c>
      <c r="X330" s="384" t="str">
        <f ca="1">IF($Y330&gt;0,CHOOSE(MATCH(RegimeExecucao,{"Unitário","Global"},0),IF($A330="S",ROUND($H330,ORÇAMENTO!$AF$10),""),ROUND($I330,ORÇAMENTO!$AF$11)),"")</f>
        <v/>
      </c>
      <c r="Y330" s="384">
        <f t="shared" ca="1" si="28"/>
        <v>0</v>
      </c>
      <c r="Z330" s="572"/>
      <c r="AB330" s="382"/>
      <c r="AC330" s="516"/>
      <c r="AD330" s="516"/>
      <c r="AE330" s="516"/>
      <c r="AF330" s="516"/>
      <c r="AG330" s="516"/>
      <c r="AH330" s="516"/>
      <c r="AI330" s="516"/>
      <c r="AJ330" s="516"/>
      <c r="AK330" s="516"/>
      <c r="AL330" s="516"/>
      <c r="AM330" s="383"/>
      <c r="AO330">
        <f ca="1">IF($A330="S",IF(BM!$I330=0,0,CHOOSE(MATCH(RegimeExecucao,{"Global","Unitário"},0),ROUND(ROUND(BM.MEDAcumulado,15-13*BM!$A$9)/100*BM!$I330,15-13*ORÇAMENTO!$AF$11),ROUND(ROUND(BM.MEDAcumulado,15-13*BM!$A$9)*ROUND(BM!$H330,15-13*ORÇAMENTO!$AF$10),15-13*ORÇAMENTO!$AF$11))),IF($A330=0,0,ROUND(SomaAgrupBM,15-13*ORÇAMENTO!$AF$11)))</f>
        <v>0</v>
      </c>
    </row>
    <row r="331" spans="1:41" ht="38.25" x14ac:dyDescent="0.2">
      <c r="A331" t="str">
        <f ca="1">ORÇAMENTO!C331</f>
        <v>S</v>
      </c>
      <c r="B331">
        <f ca="1">ORÇAMENTO!D331</f>
        <v>0</v>
      </c>
      <c r="C331" s="116" t="str">
        <f t="shared" ca="1" si="22"/>
        <v/>
      </c>
      <c r="D331" s="119" t="str">
        <f ca="1">ORÇAMENTO!O331</f>
        <v>-</v>
      </c>
      <c r="E331" s="172" t="str">
        <f t="shared" ca="1" si="23"/>
        <v>(abra o arquivo 'Referência 02-2025.xlsm)</v>
      </c>
      <c r="F331" s="173" t="str">
        <f ca="1">IF(RegimeExecucao="Global","",ORÇAMENTO.Unidade)</f>
        <v>-</v>
      </c>
      <c r="G331" s="124">
        <f ca="1">IF(RegimeExecucao="Global","",ORÇAMENTO!T331)</f>
        <v>3</v>
      </c>
      <c r="H331" s="124">
        <f ca="1">IF(RegimeExecucao="Global","",ORÇAMENTO!W331)</f>
        <v>0</v>
      </c>
      <c r="I331" s="127">
        <f ca="1">ORÇAMENTO!X331</f>
        <v>0</v>
      </c>
      <c r="J331" s="378">
        <f ca="1">IF($A331="S",IF(CAIXA.Modo,BM.AFAnterior,BM.MEDAnterior),IF(AND(RegimeExecucao="Global",$I331&gt;0,COUNTIF($AB$13:$AM$13,BM.medicao-1)&gt;0),M331/$I331*100,0))</f>
        <v>0</v>
      </c>
      <c r="K331" s="124">
        <f t="shared" ca="1" si="24"/>
        <v>0</v>
      </c>
      <c r="L331" s="379">
        <f ca="1">IF($A331="S",IF(CAIXA.Modo,BM.AFAcumulado,BM.MEDAcumulado),IF(AND(RegimeExecucao="Global",$I331&gt;0,COUNTIF($AB$13:$AM$13,BM.medicao)&gt;0),O331/$I331*100,0))</f>
        <v>0</v>
      </c>
      <c r="M331" s="380">
        <f ca="1">IF($A331="S",VTOTALBM,IF($A331=0,0,ROUND(SomaAgrupBM,15-13*ORÇAMENTO!$AF$11)))</f>
        <v>0</v>
      </c>
      <c r="N331" s="381">
        <f t="shared" ca="1" si="25"/>
        <v>0</v>
      </c>
      <c r="O331" s="127">
        <f ca="1">IF($A331="S",VTOTALBM,IF($A331=0,0,ROUND(SomaAgrupBM,15-13*ORÇAMENTO!$AF$11)))</f>
        <v>0</v>
      </c>
      <c r="Q331" s="382"/>
      <c r="R331" s="383"/>
      <c r="T331" s="119" t="str">
        <f t="shared" ca="1" si="26"/>
        <v/>
      </c>
      <c r="U331" s="172" t="str">
        <f t="shared" ca="1" si="27"/>
        <v/>
      </c>
      <c r="V331" s="173" t="str">
        <f ca="1">IF(AND($W331&gt;0,RegimeExecucao="Unitário"),$F331,"")</f>
        <v/>
      </c>
      <c r="W331" s="547">
        <f ca="1">IF($Y331&gt;0,CHOOSE(MATCH(RegimeExecucao,{"Unitário","Global"},0),IF($A331="S",$Y331/$X331,""),($Y331/$X331)*100),0)</f>
        <v>0</v>
      </c>
      <c r="X331" s="384" t="str">
        <f ca="1">IF($Y331&gt;0,CHOOSE(MATCH(RegimeExecucao,{"Unitário","Global"},0),IF($A331="S",ROUND($H331,ORÇAMENTO!$AF$10),""),ROUND($I331,ORÇAMENTO!$AF$11)),"")</f>
        <v/>
      </c>
      <c r="Y331" s="384">
        <f t="shared" ca="1" si="28"/>
        <v>0</v>
      </c>
      <c r="Z331" s="572"/>
      <c r="AB331" s="382"/>
      <c r="AC331" s="516"/>
      <c r="AD331" s="516"/>
      <c r="AE331" s="516"/>
      <c r="AF331" s="516"/>
      <c r="AG331" s="516"/>
      <c r="AH331" s="516"/>
      <c r="AI331" s="516"/>
      <c r="AJ331" s="516"/>
      <c r="AK331" s="516"/>
      <c r="AL331" s="516"/>
      <c r="AM331" s="383"/>
      <c r="AO331">
        <f ca="1">IF($A331="S",IF(BM!$I331=0,0,CHOOSE(MATCH(RegimeExecucao,{"Global","Unitário"},0),ROUND(ROUND(BM.MEDAcumulado,15-13*BM!$A$9)/100*BM!$I331,15-13*ORÇAMENTO!$AF$11),ROUND(ROUND(BM.MEDAcumulado,15-13*BM!$A$9)*ROUND(BM!$H331,15-13*ORÇAMENTO!$AF$10),15-13*ORÇAMENTO!$AF$11))),IF($A331=0,0,ROUND(SomaAgrupBM,15-13*ORÇAMENTO!$AF$11)))</f>
        <v>0</v>
      </c>
    </row>
    <row r="332" spans="1:41" ht="38.25" x14ac:dyDescent="0.2">
      <c r="A332" t="str">
        <f ca="1">ORÇAMENTO!C332</f>
        <v>S</v>
      </c>
      <c r="B332">
        <f ca="1">ORÇAMENTO!D332</f>
        <v>0</v>
      </c>
      <c r="C332" s="116" t="str">
        <f t="shared" ca="1" si="22"/>
        <v/>
      </c>
      <c r="D332" s="119" t="str">
        <f ca="1">ORÇAMENTO!O332</f>
        <v>-</v>
      </c>
      <c r="E332" s="172" t="str">
        <f t="shared" ca="1" si="23"/>
        <v>(abra o arquivo 'Referência 02-2025.xlsm)</v>
      </c>
      <c r="F332" s="173" t="str">
        <f ca="1">IF(RegimeExecucao="Global","",ORÇAMENTO.Unidade)</f>
        <v>-</v>
      </c>
      <c r="G332" s="124">
        <f ca="1">IF(RegimeExecucao="Global","",ORÇAMENTO!T332)</f>
        <v>2</v>
      </c>
      <c r="H332" s="124">
        <f ca="1">IF(RegimeExecucao="Global","",ORÇAMENTO!W332)</f>
        <v>0</v>
      </c>
      <c r="I332" s="127">
        <f ca="1">ORÇAMENTO!X332</f>
        <v>0</v>
      </c>
      <c r="J332" s="378">
        <f ca="1">IF($A332="S",IF(CAIXA.Modo,BM.AFAnterior,BM.MEDAnterior),IF(AND(RegimeExecucao="Global",$I332&gt;0,COUNTIF($AB$13:$AM$13,BM.medicao-1)&gt;0),M332/$I332*100,0))</f>
        <v>0</v>
      </c>
      <c r="K332" s="124">
        <f t="shared" ca="1" si="24"/>
        <v>0</v>
      </c>
      <c r="L332" s="379">
        <f ca="1">IF($A332="S",IF(CAIXA.Modo,BM.AFAcumulado,BM.MEDAcumulado),IF(AND(RegimeExecucao="Global",$I332&gt;0,COUNTIF($AB$13:$AM$13,BM.medicao)&gt;0),O332/$I332*100,0))</f>
        <v>0</v>
      </c>
      <c r="M332" s="380">
        <f ca="1">IF($A332="S",VTOTALBM,IF($A332=0,0,ROUND(SomaAgrupBM,15-13*ORÇAMENTO!$AF$11)))</f>
        <v>0</v>
      </c>
      <c r="N332" s="381">
        <f t="shared" ca="1" si="25"/>
        <v>0</v>
      </c>
      <c r="O332" s="127">
        <f ca="1">IF($A332="S",VTOTALBM,IF($A332=0,0,ROUND(SomaAgrupBM,15-13*ORÇAMENTO!$AF$11)))</f>
        <v>0</v>
      </c>
      <c r="Q332" s="382"/>
      <c r="R332" s="383"/>
      <c r="T332" s="119" t="str">
        <f t="shared" ca="1" si="26"/>
        <v/>
      </c>
      <c r="U332" s="172" t="str">
        <f t="shared" ca="1" si="27"/>
        <v/>
      </c>
      <c r="V332" s="173" t="str">
        <f ca="1">IF(AND($W332&gt;0,RegimeExecucao="Unitário"),$F332,"")</f>
        <v/>
      </c>
      <c r="W332" s="547">
        <f ca="1">IF($Y332&gt;0,CHOOSE(MATCH(RegimeExecucao,{"Unitário","Global"},0),IF($A332="S",$Y332/$X332,""),($Y332/$X332)*100),0)</f>
        <v>0</v>
      </c>
      <c r="X332" s="384" t="str">
        <f ca="1">IF($Y332&gt;0,CHOOSE(MATCH(RegimeExecucao,{"Unitário","Global"},0),IF($A332="S",ROUND($H332,ORÇAMENTO!$AF$10),""),ROUND($I332,ORÇAMENTO!$AF$11)),"")</f>
        <v/>
      </c>
      <c r="Y332" s="384">
        <f t="shared" ca="1" si="28"/>
        <v>0</v>
      </c>
      <c r="Z332" s="572"/>
      <c r="AB332" s="382"/>
      <c r="AC332" s="516"/>
      <c r="AD332" s="516"/>
      <c r="AE332" s="516"/>
      <c r="AF332" s="516"/>
      <c r="AG332" s="516"/>
      <c r="AH332" s="516"/>
      <c r="AI332" s="516"/>
      <c r="AJ332" s="516"/>
      <c r="AK332" s="516"/>
      <c r="AL332" s="516"/>
      <c r="AM332" s="383"/>
      <c r="AO332">
        <f ca="1">IF($A332="S",IF(BM!$I332=0,0,CHOOSE(MATCH(RegimeExecucao,{"Global","Unitário"},0),ROUND(ROUND(BM.MEDAcumulado,15-13*BM!$A$9)/100*BM!$I332,15-13*ORÇAMENTO!$AF$11),ROUND(ROUND(BM.MEDAcumulado,15-13*BM!$A$9)*ROUND(BM!$H332,15-13*ORÇAMENTO!$AF$10),15-13*ORÇAMENTO!$AF$11))),IF($A332=0,0,ROUND(SomaAgrupBM,15-13*ORÇAMENTO!$AF$11)))</f>
        <v>0</v>
      </c>
    </row>
    <row r="333" spans="1:41" ht="38.25" x14ac:dyDescent="0.2">
      <c r="A333" t="str">
        <f ca="1">ORÇAMENTO!C333</f>
        <v>S</v>
      </c>
      <c r="B333">
        <f ca="1">ORÇAMENTO!D333</f>
        <v>0</v>
      </c>
      <c r="C333" s="116" t="str">
        <f t="shared" ca="1" si="22"/>
        <v/>
      </c>
      <c r="D333" s="119" t="str">
        <f ca="1">ORÇAMENTO!O333</f>
        <v>-</v>
      </c>
      <c r="E333" s="172" t="str">
        <f t="shared" ca="1" si="23"/>
        <v>(abra o arquivo 'Referência 02-2025.xlsm)</v>
      </c>
      <c r="F333" s="173" t="str">
        <f ca="1">IF(RegimeExecucao="Global","",ORÇAMENTO.Unidade)</f>
        <v>-</v>
      </c>
      <c r="G333" s="124">
        <f ca="1">IF(RegimeExecucao="Global","",ORÇAMENTO!T333)</f>
        <v>2</v>
      </c>
      <c r="H333" s="124">
        <f ca="1">IF(RegimeExecucao="Global","",ORÇAMENTO!W333)</f>
        <v>0</v>
      </c>
      <c r="I333" s="127">
        <f ca="1">ORÇAMENTO!X333</f>
        <v>0</v>
      </c>
      <c r="J333" s="378">
        <f ca="1">IF($A333="S",IF(CAIXA.Modo,BM.AFAnterior,BM.MEDAnterior),IF(AND(RegimeExecucao="Global",$I333&gt;0,COUNTIF($AB$13:$AM$13,BM.medicao-1)&gt;0),M333/$I333*100,0))</f>
        <v>0</v>
      </c>
      <c r="K333" s="124">
        <f t="shared" ca="1" si="24"/>
        <v>0</v>
      </c>
      <c r="L333" s="379">
        <f ca="1">IF($A333="S",IF(CAIXA.Modo,BM.AFAcumulado,BM.MEDAcumulado),IF(AND(RegimeExecucao="Global",$I333&gt;0,COUNTIF($AB$13:$AM$13,BM.medicao)&gt;0),O333/$I333*100,0))</f>
        <v>0</v>
      </c>
      <c r="M333" s="380">
        <f ca="1">IF($A333="S",VTOTALBM,IF($A333=0,0,ROUND(SomaAgrupBM,15-13*ORÇAMENTO!$AF$11)))</f>
        <v>0</v>
      </c>
      <c r="N333" s="381">
        <f t="shared" ca="1" si="25"/>
        <v>0</v>
      </c>
      <c r="O333" s="127">
        <f ca="1">IF($A333="S",VTOTALBM,IF($A333=0,0,ROUND(SomaAgrupBM,15-13*ORÇAMENTO!$AF$11)))</f>
        <v>0</v>
      </c>
      <c r="Q333" s="382"/>
      <c r="R333" s="383"/>
      <c r="T333" s="119" t="str">
        <f t="shared" ca="1" si="26"/>
        <v/>
      </c>
      <c r="U333" s="172" t="str">
        <f t="shared" ca="1" si="27"/>
        <v/>
      </c>
      <c r="V333" s="173" t="str">
        <f ca="1">IF(AND($W333&gt;0,RegimeExecucao="Unitário"),$F333,"")</f>
        <v/>
      </c>
      <c r="W333" s="547">
        <f ca="1">IF($Y333&gt;0,CHOOSE(MATCH(RegimeExecucao,{"Unitário","Global"},0),IF($A333="S",$Y333/$X333,""),($Y333/$X333)*100),0)</f>
        <v>0</v>
      </c>
      <c r="X333" s="384" t="str">
        <f ca="1">IF($Y333&gt;0,CHOOSE(MATCH(RegimeExecucao,{"Unitário","Global"},0),IF($A333="S",ROUND($H333,ORÇAMENTO!$AF$10),""),ROUND($I333,ORÇAMENTO!$AF$11)),"")</f>
        <v/>
      </c>
      <c r="Y333" s="384">
        <f t="shared" ca="1" si="28"/>
        <v>0</v>
      </c>
      <c r="Z333" s="572"/>
      <c r="AB333" s="382"/>
      <c r="AC333" s="516"/>
      <c r="AD333" s="516"/>
      <c r="AE333" s="516"/>
      <c r="AF333" s="516"/>
      <c r="AG333" s="516"/>
      <c r="AH333" s="516"/>
      <c r="AI333" s="516"/>
      <c r="AJ333" s="516"/>
      <c r="AK333" s="516"/>
      <c r="AL333" s="516"/>
      <c r="AM333" s="383"/>
      <c r="AO333">
        <f ca="1">IF($A333="S",IF(BM!$I333=0,0,CHOOSE(MATCH(RegimeExecucao,{"Global","Unitário"},0),ROUND(ROUND(BM.MEDAcumulado,15-13*BM!$A$9)/100*BM!$I333,15-13*ORÇAMENTO!$AF$11),ROUND(ROUND(BM.MEDAcumulado,15-13*BM!$A$9)*ROUND(BM!$H333,15-13*ORÇAMENTO!$AF$10),15-13*ORÇAMENTO!$AF$11))),IF($A333=0,0,ROUND(SomaAgrupBM,15-13*ORÇAMENTO!$AF$11)))</f>
        <v>0</v>
      </c>
    </row>
    <row r="334" spans="1:41" x14ac:dyDescent="0.2">
      <c r="A334">
        <f ca="1">ORÇAMENTO!C334</f>
        <v>3</v>
      </c>
      <c r="B334">
        <f ca="1">ORÇAMENTO!D334</f>
        <v>3</v>
      </c>
      <c r="C334" s="116" t="str">
        <f t="shared" ca="1" si="22"/>
        <v>F</v>
      </c>
      <c r="D334" s="119" t="str">
        <f ca="1">ORÇAMENTO!O334</f>
        <v>1.13.2.</v>
      </c>
      <c r="E334" s="172" t="str">
        <f t="shared" ca="1" si="23"/>
        <v>ACESSÓRIOS</v>
      </c>
      <c r="F334" s="173" t="str">
        <f ca="1">IF(RegimeExecucao="Global","",ORÇAMENTO.Unidade)</f>
        <v>-</v>
      </c>
      <c r="G334" s="124">
        <f ca="1">IF(RegimeExecucao="Global","",ORÇAMENTO!T334)</f>
        <v>0</v>
      </c>
      <c r="H334" s="124">
        <f ca="1">IF(RegimeExecucao="Global","",ORÇAMENTO!W334)</f>
        <v>0</v>
      </c>
      <c r="I334" s="127">
        <f ca="1">ORÇAMENTO!X334</f>
        <v>0</v>
      </c>
      <c r="J334" s="378">
        <f ca="1">IF($A334="S",IF(CAIXA.Modo,BM.AFAnterior,BM.MEDAnterior),IF(AND(RegimeExecucao="Global",$I334&gt;0,COUNTIF($AB$13:$AM$13,BM.medicao-1)&gt;0),M334/$I334*100,0))</f>
        <v>0</v>
      </c>
      <c r="K334" s="124">
        <f t="shared" ca="1" si="24"/>
        <v>0</v>
      </c>
      <c r="L334" s="379">
        <f ca="1">IF($A334="S",IF(CAIXA.Modo,BM.AFAcumulado,BM.MEDAcumulado),IF(AND(RegimeExecucao="Global",$I334&gt;0,COUNTIF($AB$13:$AM$13,BM.medicao)&gt;0),O334/$I334*100,0))</f>
        <v>0</v>
      </c>
      <c r="M334" s="380">
        <f ca="1">IF($A334="S",VTOTALBM,IF($A334=0,0,ROUND(SomaAgrupBM,15-13*ORÇAMENTO!$AF$11)))</f>
        <v>0</v>
      </c>
      <c r="N334" s="381">
        <f t="shared" ca="1" si="25"/>
        <v>0</v>
      </c>
      <c r="O334" s="127">
        <f ca="1">IF($A334="S",VTOTALBM,IF($A334=0,0,ROUND(SomaAgrupBM,15-13*ORÇAMENTO!$AF$11)))</f>
        <v>0</v>
      </c>
      <c r="Q334" s="382"/>
      <c r="R334" s="383"/>
      <c r="T334" s="119" t="str">
        <f t="shared" ca="1" si="26"/>
        <v/>
      </c>
      <c r="U334" s="172" t="str">
        <f t="shared" ca="1" si="27"/>
        <v/>
      </c>
      <c r="V334" s="173" t="str">
        <f ca="1">IF(AND($W334&gt;0,RegimeExecucao="Unitário"),$F334,"")</f>
        <v/>
      </c>
      <c r="W334" s="547">
        <f ca="1">IF($Y334&gt;0,CHOOSE(MATCH(RegimeExecucao,{"Unitário","Global"},0),IF($A334="S",$Y334/$X334,""),($Y334/$X334)*100),0)</f>
        <v>0</v>
      </c>
      <c r="X334" s="384" t="str">
        <f ca="1">IF($Y334&gt;0,CHOOSE(MATCH(RegimeExecucao,{"Unitário","Global"},0),IF($A334="S",ROUND($H334,ORÇAMENTO!$AF$10),""),ROUND($I334,ORÇAMENTO!$AF$11)),"")</f>
        <v/>
      </c>
      <c r="Y334" s="384">
        <f t="shared" ca="1" si="28"/>
        <v>0</v>
      </c>
      <c r="Z334" s="572"/>
      <c r="AB334" s="382"/>
      <c r="AC334" s="516"/>
      <c r="AD334" s="516"/>
      <c r="AE334" s="516"/>
      <c r="AF334" s="516"/>
      <c r="AG334" s="516"/>
      <c r="AH334" s="516"/>
      <c r="AI334" s="516"/>
      <c r="AJ334" s="516"/>
      <c r="AK334" s="516"/>
      <c r="AL334" s="516"/>
      <c r="AM334" s="383"/>
      <c r="AO334">
        <f ca="1">IF($A334="S",IF(BM!$I334=0,0,CHOOSE(MATCH(RegimeExecucao,{"Global","Unitário"},0),ROUND(ROUND(BM.MEDAcumulado,15-13*BM!$A$9)/100*BM!$I334,15-13*ORÇAMENTO!$AF$11),ROUND(ROUND(BM.MEDAcumulado,15-13*BM!$A$9)*ROUND(BM!$H334,15-13*ORÇAMENTO!$AF$10),15-13*ORÇAMENTO!$AF$11))),IF($A334=0,0,ROUND(SomaAgrupBM,15-13*ORÇAMENTO!$AF$11)))</f>
        <v>0</v>
      </c>
    </row>
    <row r="335" spans="1:41" ht="38.25" x14ac:dyDescent="0.2">
      <c r="A335" t="str">
        <f ca="1">ORÇAMENTO!C335</f>
        <v>S</v>
      </c>
      <c r="B335">
        <f ca="1">ORÇAMENTO!D335</f>
        <v>0</v>
      </c>
      <c r="C335" s="116" t="str">
        <f t="shared" ca="1" si="22"/>
        <v/>
      </c>
      <c r="D335" s="119" t="str">
        <f ca="1">ORÇAMENTO!O335</f>
        <v>-</v>
      </c>
      <c r="E335" s="172" t="str">
        <f t="shared" ca="1" si="23"/>
        <v>(abra o arquivo 'Referência 02-2025.xlsm)</v>
      </c>
      <c r="F335" s="173" t="str">
        <f ca="1">IF(RegimeExecucao="Global","",ORÇAMENTO.Unidade)</f>
        <v>-</v>
      </c>
      <c r="G335" s="124">
        <f ca="1">IF(RegimeExecucao="Global","",ORÇAMENTO!T335)</f>
        <v>13</v>
      </c>
      <c r="H335" s="124">
        <f ca="1">IF(RegimeExecucao="Global","",ORÇAMENTO!W335)</f>
        <v>0</v>
      </c>
      <c r="I335" s="127">
        <f ca="1">ORÇAMENTO!X335</f>
        <v>0</v>
      </c>
      <c r="J335" s="378">
        <f ca="1">IF($A335="S",IF(CAIXA.Modo,BM.AFAnterior,BM.MEDAnterior),IF(AND(RegimeExecucao="Global",$I335&gt;0,COUNTIF($AB$13:$AM$13,BM.medicao-1)&gt;0),M335/$I335*100,0))</f>
        <v>0</v>
      </c>
      <c r="K335" s="124">
        <f t="shared" ca="1" si="24"/>
        <v>0</v>
      </c>
      <c r="L335" s="379">
        <f ca="1">IF($A335="S",IF(CAIXA.Modo,BM.AFAcumulado,BM.MEDAcumulado),IF(AND(RegimeExecucao="Global",$I335&gt;0,COUNTIF($AB$13:$AM$13,BM.medicao)&gt;0),O335/$I335*100,0))</f>
        <v>0</v>
      </c>
      <c r="M335" s="380">
        <f ca="1">IF($A335="S",VTOTALBM,IF($A335=0,0,ROUND(SomaAgrupBM,15-13*ORÇAMENTO!$AF$11)))</f>
        <v>0</v>
      </c>
      <c r="N335" s="381">
        <f t="shared" ca="1" si="25"/>
        <v>0</v>
      </c>
      <c r="O335" s="127">
        <f ca="1">IF($A335="S",VTOTALBM,IF($A335=0,0,ROUND(SomaAgrupBM,15-13*ORÇAMENTO!$AF$11)))</f>
        <v>0</v>
      </c>
      <c r="Q335" s="382"/>
      <c r="R335" s="383"/>
      <c r="T335" s="119" t="str">
        <f t="shared" ca="1" si="26"/>
        <v/>
      </c>
      <c r="U335" s="172" t="str">
        <f t="shared" ca="1" si="27"/>
        <v/>
      </c>
      <c r="V335" s="173" t="str">
        <f ca="1">IF(AND($W335&gt;0,RegimeExecucao="Unitário"),$F335,"")</f>
        <v/>
      </c>
      <c r="W335" s="547">
        <f ca="1">IF($Y335&gt;0,CHOOSE(MATCH(RegimeExecucao,{"Unitário","Global"},0),IF($A335="S",$Y335/$X335,""),($Y335/$X335)*100),0)</f>
        <v>0</v>
      </c>
      <c r="X335" s="384" t="str">
        <f ca="1">IF($Y335&gt;0,CHOOSE(MATCH(RegimeExecucao,{"Unitário","Global"},0),IF($A335="S",ROUND($H335,ORÇAMENTO!$AF$10),""),ROUND($I335,ORÇAMENTO!$AF$11)),"")</f>
        <v/>
      </c>
      <c r="Y335" s="384">
        <f t="shared" ca="1" si="28"/>
        <v>0</v>
      </c>
      <c r="Z335" s="572"/>
      <c r="AB335" s="382"/>
      <c r="AC335" s="516"/>
      <c r="AD335" s="516"/>
      <c r="AE335" s="516"/>
      <c r="AF335" s="516"/>
      <c r="AG335" s="516"/>
      <c r="AH335" s="516"/>
      <c r="AI335" s="516"/>
      <c r="AJ335" s="516"/>
      <c r="AK335" s="516"/>
      <c r="AL335" s="516"/>
      <c r="AM335" s="383"/>
      <c r="AO335">
        <f ca="1">IF($A335="S",IF(BM!$I335=0,0,CHOOSE(MATCH(RegimeExecucao,{"Global","Unitário"},0),ROUND(ROUND(BM.MEDAcumulado,15-13*BM!$A$9)/100*BM!$I335,15-13*ORÇAMENTO!$AF$11),ROUND(ROUND(BM.MEDAcumulado,15-13*BM!$A$9)*ROUND(BM!$H335,15-13*ORÇAMENTO!$AF$10),15-13*ORÇAMENTO!$AF$11))),IF($A335=0,0,ROUND(SomaAgrupBM,15-13*ORÇAMENTO!$AF$11)))</f>
        <v>0</v>
      </c>
    </row>
    <row r="336" spans="1:41" ht="38.25" x14ac:dyDescent="0.2">
      <c r="A336" t="str">
        <f ca="1">ORÇAMENTO!C336</f>
        <v>S</v>
      </c>
      <c r="B336">
        <f ca="1">ORÇAMENTO!D336</f>
        <v>0</v>
      </c>
      <c r="C336" s="116" t="str">
        <f t="shared" ca="1" si="22"/>
        <v/>
      </c>
      <c r="D336" s="119" t="str">
        <f ca="1">ORÇAMENTO!O336</f>
        <v>-</v>
      </c>
      <c r="E336" s="172" t="str">
        <f t="shared" ca="1" si="23"/>
        <v>(abra o arquivo 'Referência 02-2025.xlsm)</v>
      </c>
      <c r="F336" s="173" t="str">
        <f ca="1">IF(RegimeExecucao="Global","",ORÇAMENTO.Unidade)</f>
        <v>-</v>
      </c>
      <c r="G336" s="124">
        <f ca="1">IF(RegimeExecucao="Global","",ORÇAMENTO!T336)</f>
        <v>11</v>
      </c>
      <c r="H336" s="124">
        <f ca="1">IF(RegimeExecucao="Global","",ORÇAMENTO!W336)</f>
        <v>0</v>
      </c>
      <c r="I336" s="127">
        <f ca="1">ORÇAMENTO!X336</f>
        <v>0</v>
      </c>
      <c r="J336" s="378">
        <f ca="1">IF($A336="S",IF(CAIXA.Modo,BM.AFAnterior,BM.MEDAnterior),IF(AND(RegimeExecucao="Global",$I336&gt;0,COUNTIF($AB$13:$AM$13,BM.medicao-1)&gt;0),M336/$I336*100,0))</f>
        <v>0</v>
      </c>
      <c r="K336" s="124">
        <f t="shared" ca="1" si="24"/>
        <v>0</v>
      </c>
      <c r="L336" s="379">
        <f ca="1">IF($A336="S",IF(CAIXA.Modo,BM.AFAcumulado,BM.MEDAcumulado),IF(AND(RegimeExecucao="Global",$I336&gt;0,COUNTIF($AB$13:$AM$13,BM.medicao)&gt;0),O336/$I336*100,0))</f>
        <v>0</v>
      </c>
      <c r="M336" s="380">
        <f ca="1">IF($A336="S",VTOTALBM,IF($A336=0,0,ROUND(SomaAgrupBM,15-13*ORÇAMENTO!$AF$11)))</f>
        <v>0</v>
      </c>
      <c r="N336" s="381">
        <f t="shared" ca="1" si="25"/>
        <v>0</v>
      </c>
      <c r="O336" s="127">
        <f ca="1">IF($A336="S",VTOTALBM,IF($A336=0,0,ROUND(SomaAgrupBM,15-13*ORÇAMENTO!$AF$11)))</f>
        <v>0</v>
      </c>
      <c r="Q336" s="382"/>
      <c r="R336" s="383"/>
      <c r="T336" s="119" t="str">
        <f t="shared" ca="1" si="26"/>
        <v/>
      </c>
      <c r="U336" s="172" t="str">
        <f t="shared" ca="1" si="27"/>
        <v/>
      </c>
      <c r="V336" s="173" t="str">
        <f ca="1">IF(AND($W336&gt;0,RegimeExecucao="Unitário"),$F336,"")</f>
        <v/>
      </c>
      <c r="W336" s="547">
        <f ca="1">IF($Y336&gt;0,CHOOSE(MATCH(RegimeExecucao,{"Unitário","Global"},0),IF($A336="S",$Y336/$X336,""),($Y336/$X336)*100),0)</f>
        <v>0</v>
      </c>
      <c r="X336" s="384" t="str">
        <f ca="1">IF($Y336&gt;0,CHOOSE(MATCH(RegimeExecucao,{"Unitário","Global"},0),IF($A336="S",ROUND($H336,ORÇAMENTO!$AF$10),""),ROUND($I336,ORÇAMENTO!$AF$11)),"")</f>
        <v/>
      </c>
      <c r="Y336" s="384">
        <f t="shared" ca="1" si="28"/>
        <v>0</v>
      </c>
      <c r="Z336" s="572"/>
      <c r="AB336" s="382"/>
      <c r="AC336" s="516"/>
      <c r="AD336" s="516"/>
      <c r="AE336" s="516"/>
      <c r="AF336" s="516"/>
      <c r="AG336" s="516"/>
      <c r="AH336" s="516"/>
      <c r="AI336" s="516"/>
      <c r="AJ336" s="516"/>
      <c r="AK336" s="516"/>
      <c r="AL336" s="516"/>
      <c r="AM336" s="383"/>
      <c r="AO336">
        <f ca="1">IF($A336="S",IF(BM!$I336=0,0,CHOOSE(MATCH(RegimeExecucao,{"Global","Unitário"},0),ROUND(ROUND(BM.MEDAcumulado,15-13*BM!$A$9)/100*BM!$I336,15-13*ORÇAMENTO!$AF$11),ROUND(ROUND(BM.MEDAcumulado,15-13*BM!$A$9)*ROUND(BM!$H336,15-13*ORÇAMENTO!$AF$10),15-13*ORÇAMENTO!$AF$11))),IF($A336=0,0,ROUND(SomaAgrupBM,15-13*ORÇAMENTO!$AF$11)))</f>
        <v>0</v>
      </c>
    </row>
    <row r="337" spans="1:41" x14ac:dyDescent="0.2">
      <c r="A337">
        <f ca="1">ORÇAMENTO!C337</f>
        <v>3</v>
      </c>
      <c r="B337">
        <f ca="1">ORÇAMENTO!D337</f>
        <v>3</v>
      </c>
      <c r="C337" s="116" t="str">
        <f t="shared" ca="1" si="22"/>
        <v>F</v>
      </c>
      <c r="D337" s="119" t="str">
        <f ca="1">ORÇAMENTO!O337</f>
        <v>1.13.3.</v>
      </c>
      <c r="E337" s="172" t="str">
        <f t="shared" si="23"/>
        <v>SISTEMA DE REUSO DE ÁGUA</v>
      </c>
      <c r="F337" s="173" t="str">
        <f ca="1">IF(RegimeExecucao="Global","",ORÇAMENTO.Unidade)</f>
        <v>-</v>
      </c>
      <c r="G337" s="124">
        <f ca="1">IF(RegimeExecucao="Global","",ORÇAMENTO!T337)</f>
        <v>0</v>
      </c>
      <c r="H337" s="124">
        <f ca="1">IF(RegimeExecucao="Global","",ORÇAMENTO!W337)</f>
        <v>0</v>
      </c>
      <c r="I337" s="127">
        <f ca="1">ORÇAMENTO!X337</f>
        <v>0</v>
      </c>
      <c r="J337" s="378">
        <f ca="1">IF($A337="S",IF(CAIXA.Modo,BM.AFAnterior,BM.MEDAnterior),IF(AND(RegimeExecucao="Global",$I337&gt;0,COUNTIF($AB$13:$AM$13,BM.medicao-1)&gt;0),M337/$I337*100,0))</f>
        <v>0</v>
      </c>
      <c r="K337" s="124">
        <f t="shared" ca="1" si="24"/>
        <v>0</v>
      </c>
      <c r="L337" s="379">
        <f ca="1">IF($A337="S",IF(CAIXA.Modo,BM.AFAcumulado,BM.MEDAcumulado),IF(AND(RegimeExecucao="Global",$I337&gt;0,COUNTIF($AB$13:$AM$13,BM.medicao)&gt;0),O337/$I337*100,0))</f>
        <v>0</v>
      </c>
      <c r="M337" s="380">
        <f ca="1">IF($A337="S",VTOTALBM,IF($A337=0,0,ROUND(SomaAgrupBM,15-13*ORÇAMENTO!$AF$11)))</f>
        <v>0</v>
      </c>
      <c r="N337" s="381">
        <f t="shared" ca="1" si="25"/>
        <v>0</v>
      </c>
      <c r="O337" s="127">
        <f ca="1">IF($A337="S",VTOTALBM,IF($A337=0,0,ROUND(SomaAgrupBM,15-13*ORÇAMENTO!$AF$11)))</f>
        <v>0</v>
      </c>
      <c r="Q337" s="382"/>
      <c r="R337" s="383"/>
      <c r="T337" s="119" t="str">
        <f t="shared" ca="1" si="26"/>
        <v/>
      </c>
      <c r="U337" s="172" t="str">
        <f t="shared" ca="1" si="27"/>
        <v/>
      </c>
      <c r="V337" s="173" t="str">
        <f ca="1">IF(AND($W337&gt;0,RegimeExecucao="Unitário"),$F337,"")</f>
        <v/>
      </c>
      <c r="W337" s="547">
        <f ca="1">IF($Y337&gt;0,CHOOSE(MATCH(RegimeExecucao,{"Unitário","Global"},0),IF($A337="S",$Y337/$X337,""),($Y337/$X337)*100),0)</f>
        <v>0</v>
      </c>
      <c r="X337" s="384" t="str">
        <f ca="1">IF($Y337&gt;0,CHOOSE(MATCH(RegimeExecucao,{"Unitário","Global"},0),IF($A337="S",ROUND($H337,ORÇAMENTO!$AF$10),""),ROUND($I337,ORÇAMENTO!$AF$11)),"")</f>
        <v/>
      </c>
      <c r="Y337" s="384">
        <f t="shared" ca="1" si="28"/>
        <v>0</v>
      </c>
      <c r="Z337" s="572"/>
      <c r="AB337" s="382"/>
      <c r="AC337" s="516"/>
      <c r="AD337" s="516"/>
      <c r="AE337" s="516"/>
      <c r="AF337" s="516"/>
      <c r="AG337" s="516"/>
      <c r="AH337" s="516"/>
      <c r="AI337" s="516"/>
      <c r="AJ337" s="516"/>
      <c r="AK337" s="516"/>
      <c r="AL337" s="516"/>
      <c r="AM337" s="383"/>
      <c r="AO337">
        <f ca="1">IF($A337="S",IF(BM!$I337=0,0,CHOOSE(MATCH(RegimeExecucao,{"Global","Unitário"},0),ROUND(ROUND(BM.MEDAcumulado,15-13*BM!$A$9)/100*BM!$I337,15-13*ORÇAMENTO!$AF$11),ROUND(ROUND(BM.MEDAcumulado,15-13*BM!$A$9)*ROUND(BM!$H337,15-13*ORÇAMENTO!$AF$10),15-13*ORÇAMENTO!$AF$11))),IF($A337=0,0,ROUND(SomaAgrupBM,15-13*ORÇAMENTO!$AF$11)))</f>
        <v>0</v>
      </c>
    </row>
    <row r="338" spans="1:41" x14ac:dyDescent="0.2">
      <c r="A338" t="str">
        <f ca="1">ORÇAMENTO!C338</f>
        <v>S</v>
      </c>
      <c r="B338">
        <f ca="1">ORÇAMENTO!D338</f>
        <v>0</v>
      </c>
      <c r="C338" s="116" t="str">
        <f t="shared" ca="1" si="22"/>
        <v/>
      </c>
      <c r="D338" s="119" t="str">
        <f ca="1">ORÇAMENTO!O338</f>
        <v>-</v>
      </c>
      <c r="E338" s="172" t="str">
        <f t="shared" ca="1" si="23"/>
        <v>(abra o arquivo 'Referência 02-2025.xlsm)</v>
      </c>
      <c r="F338" s="173" t="str">
        <f ca="1">IF(RegimeExecucao="Global","",ORÇAMENTO.Unidade)</f>
        <v>-</v>
      </c>
      <c r="G338" s="124">
        <f ca="1">IF(RegimeExecucao="Global","",ORÇAMENTO!T338)</f>
        <v>6</v>
      </c>
      <c r="H338" s="124">
        <f ca="1">IF(RegimeExecucao="Global","",ORÇAMENTO!W338)</f>
        <v>0</v>
      </c>
      <c r="I338" s="127">
        <f ca="1">ORÇAMENTO!X338</f>
        <v>0</v>
      </c>
      <c r="J338" s="378">
        <f ca="1">IF($A338="S",IF(CAIXA.Modo,BM.AFAnterior,BM.MEDAnterior),IF(AND(RegimeExecucao="Global",$I338&gt;0,COUNTIF($AB$13:$AM$13,BM.medicao-1)&gt;0),M338/$I338*100,0))</f>
        <v>0</v>
      </c>
      <c r="K338" s="124">
        <f t="shared" ca="1" si="24"/>
        <v>0</v>
      </c>
      <c r="L338" s="379">
        <f ca="1">IF($A338="S",IF(CAIXA.Modo,BM.AFAcumulado,BM.MEDAcumulado),IF(AND(RegimeExecucao="Global",$I338&gt;0,COUNTIF($AB$13:$AM$13,BM.medicao)&gt;0),O338/$I338*100,0))</f>
        <v>0</v>
      </c>
      <c r="M338" s="380">
        <f ca="1">IF($A338="S",VTOTALBM,IF($A338=0,0,ROUND(SomaAgrupBM,15-13*ORÇAMENTO!$AF$11)))</f>
        <v>0</v>
      </c>
      <c r="N338" s="381">
        <f t="shared" ca="1" si="25"/>
        <v>0</v>
      </c>
      <c r="O338" s="127">
        <f ca="1">IF($A338="S",VTOTALBM,IF($A338=0,0,ROUND(SomaAgrupBM,15-13*ORÇAMENTO!$AF$11)))</f>
        <v>0</v>
      </c>
      <c r="Q338" s="382"/>
      <c r="R338" s="383"/>
      <c r="T338" s="119" t="str">
        <f t="shared" ca="1" si="26"/>
        <v/>
      </c>
      <c r="U338" s="172" t="str">
        <f t="shared" ca="1" si="27"/>
        <v/>
      </c>
      <c r="V338" s="173" t="str">
        <f ca="1">IF(AND($W338&gt;0,RegimeExecucao="Unitário"),$F338,"")</f>
        <v/>
      </c>
      <c r="W338" s="547">
        <f ca="1">IF($Y338&gt;0,CHOOSE(MATCH(RegimeExecucao,{"Unitário","Global"},0),IF($A338="S",$Y338/$X338,""),($Y338/$X338)*100),0)</f>
        <v>0</v>
      </c>
      <c r="X338" s="384" t="str">
        <f ca="1">IF($Y338&gt;0,CHOOSE(MATCH(RegimeExecucao,{"Unitário","Global"},0),IF($A338="S",ROUND($H338,ORÇAMENTO!$AF$10),""),ROUND($I338,ORÇAMENTO!$AF$11)),"")</f>
        <v/>
      </c>
      <c r="Y338" s="384">
        <f t="shared" ca="1" si="28"/>
        <v>0</v>
      </c>
      <c r="Z338" s="572"/>
      <c r="AB338" s="382"/>
      <c r="AC338" s="516"/>
      <c r="AD338" s="516"/>
      <c r="AE338" s="516"/>
      <c r="AF338" s="516"/>
      <c r="AG338" s="516"/>
      <c r="AH338" s="516"/>
      <c r="AI338" s="516"/>
      <c r="AJ338" s="516"/>
      <c r="AK338" s="516"/>
      <c r="AL338" s="516"/>
      <c r="AM338" s="383"/>
      <c r="AO338">
        <f ca="1">IF($A338="S",IF(BM!$I338=0,0,CHOOSE(MATCH(RegimeExecucao,{"Global","Unitário"},0),ROUND(ROUND(BM.MEDAcumulado,15-13*BM!$A$9)/100*BM!$I338,15-13*ORÇAMENTO!$AF$11),ROUND(ROUND(BM.MEDAcumulado,15-13*BM!$A$9)*ROUND(BM!$H338,15-13*ORÇAMENTO!$AF$10),15-13*ORÇAMENTO!$AF$11))),IF($A338=0,0,ROUND(SomaAgrupBM,15-13*ORÇAMENTO!$AF$11)))</f>
        <v>0</v>
      </c>
    </row>
    <row r="339" spans="1:41" x14ac:dyDescent="0.2">
      <c r="A339" t="str">
        <f ca="1">ORÇAMENTO!C339</f>
        <v>S</v>
      </c>
      <c r="B339">
        <f ca="1">ORÇAMENTO!D339</f>
        <v>0</v>
      </c>
      <c r="C339" s="116" t="str">
        <f t="shared" ca="1" si="22"/>
        <v/>
      </c>
      <c r="D339" s="119" t="str">
        <f ca="1">ORÇAMENTO!O339</f>
        <v>-</v>
      </c>
      <c r="E339" s="172" t="str">
        <f t="shared" ca="1" si="23"/>
        <v>(abra o arquivo 'Referência 02-2025.xlsm)</v>
      </c>
      <c r="F339" s="173" t="str">
        <f ca="1">IF(RegimeExecucao="Global","",ORÇAMENTO.Unidade)</f>
        <v>-</v>
      </c>
      <c r="G339" s="124">
        <f ca="1">IF(RegimeExecucao="Global","",ORÇAMENTO!T339)</f>
        <v>6</v>
      </c>
      <c r="H339" s="124">
        <f ca="1">IF(RegimeExecucao="Global","",ORÇAMENTO!W339)</f>
        <v>0</v>
      </c>
      <c r="I339" s="127">
        <f ca="1">ORÇAMENTO!X339</f>
        <v>0</v>
      </c>
      <c r="J339" s="378">
        <f ca="1">IF($A339="S",IF(CAIXA.Modo,BM.AFAnterior,BM.MEDAnterior),IF(AND(RegimeExecucao="Global",$I339&gt;0,COUNTIF($AB$13:$AM$13,BM.medicao-1)&gt;0),M339/$I339*100,0))</f>
        <v>0</v>
      </c>
      <c r="K339" s="124">
        <f t="shared" ca="1" si="24"/>
        <v>0</v>
      </c>
      <c r="L339" s="379">
        <f ca="1">IF($A339="S",IF(CAIXA.Modo,BM.AFAcumulado,BM.MEDAcumulado),IF(AND(RegimeExecucao="Global",$I339&gt;0,COUNTIF($AB$13:$AM$13,BM.medicao)&gt;0),O339/$I339*100,0))</f>
        <v>0</v>
      </c>
      <c r="M339" s="380">
        <f ca="1">IF($A339="S",VTOTALBM,IF($A339=0,0,ROUND(SomaAgrupBM,15-13*ORÇAMENTO!$AF$11)))</f>
        <v>0</v>
      </c>
      <c r="N339" s="381">
        <f t="shared" ca="1" si="25"/>
        <v>0</v>
      </c>
      <c r="O339" s="127">
        <f ca="1">IF($A339="S",VTOTALBM,IF($A339=0,0,ROUND(SomaAgrupBM,15-13*ORÇAMENTO!$AF$11)))</f>
        <v>0</v>
      </c>
      <c r="Q339" s="382"/>
      <c r="R339" s="383"/>
      <c r="T339" s="119" t="str">
        <f t="shared" ca="1" si="26"/>
        <v/>
      </c>
      <c r="U339" s="172" t="str">
        <f t="shared" ca="1" si="27"/>
        <v/>
      </c>
      <c r="V339" s="173" t="str">
        <f ca="1">IF(AND($W339&gt;0,RegimeExecucao="Unitário"),$F339,"")</f>
        <v/>
      </c>
      <c r="W339" s="547">
        <f ca="1">IF($Y339&gt;0,CHOOSE(MATCH(RegimeExecucao,{"Unitário","Global"},0),IF($A339="S",$Y339/$X339,""),($Y339/$X339)*100),0)</f>
        <v>0</v>
      </c>
      <c r="X339" s="384" t="str">
        <f ca="1">IF($Y339&gt;0,CHOOSE(MATCH(RegimeExecucao,{"Unitário","Global"},0),IF($A339="S",ROUND($H339,ORÇAMENTO!$AF$10),""),ROUND($I339,ORÇAMENTO!$AF$11)),"")</f>
        <v/>
      </c>
      <c r="Y339" s="384">
        <f t="shared" ca="1" si="28"/>
        <v>0</v>
      </c>
      <c r="Z339" s="572"/>
      <c r="AB339" s="382"/>
      <c r="AC339" s="516"/>
      <c r="AD339" s="516"/>
      <c r="AE339" s="516"/>
      <c r="AF339" s="516"/>
      <c r="AG339" s="516"/>
      <c r="AH339" s="516"/>
      <c r="AI339" s="516"/>
      <c r="AJ339" s="516"/>
      <c r="AK339" s="516"/>
      <c r="AL339" s="516"/>
      <c r="AM339" s="383"/>
      <c r="AO339">
        <f ca="1">IF($A339="S",IF(BM!$I339=0,0,CHOOSE(MATCH(RegimeExecucao,{"Global","Unitário"},0),ROUND(ROUND(BM.MEDAcumulado,15-13*BM!$A$9)/100*BM!$I339,15-13*ORÇAMENTO!$AF$11),ROUND(ROUND(BM.MEDAcumulado,15-13*BM!$A$9)*ROUND(BM!$H339,15-13*ORÇAMENTO!$AF$10),15-13*ORÇAMENTO!$AF$11))),IF($A339=0,0,ROUND(SomaAgrupBM,15-13*ORÇAMENTO!$AF$11)))</f>
        <v>0</v>
      </c>
    </row>
    <row r="340" spans="1:41" x14ac:dyDescent="0.2">
      <c r="A340">
        <f ca="1">ORÇAMENTO!C340</f>
        <v>2</v>
      </c>
      <c r="B340">
        <f ca="1">ORÇAMENTO!D340</f>
        <v>51</v>
      </c>
      <c r="C340" s="116" t="str">
        <f t="shared" ca="1" si="22"/>
        <v>F</v>
      </c>
      <c r="D340" s="119" t="str">
        <f ca="1">ORÇAMENTO!O340</f>
        <v>1.14.</v>
      </c>
      <c r="E340" s="172" t="str">
        <f t="shared" si="23"/>
        <v>INSTALAÇÕES DE ESGOTO SANITÁRIO</v>
      </c>
      <c r="F340" s="173" t="str">
        <f ca="1">IF(RegimeExecucao="Global","",ORÇAMENTO.Unidade)</f>
        <v>-</v>
      </c>
      <c r="G340" s="124">
        <f ca="1">IF(RegimeExecucao="Global","",ORÇAMENTO!T340)</f>
        <v>0</v>
      </c>
      <c r="H340" s="124">
        <f ca="1">IF(RegimeExecucao="Global","",ORÇAMENTO!W340)</f>
        <v>0</v>
      </c>
      <c r="I340" s="127">
        <f ca="1">ORÇAMENTO!X340</f>
        <v>0</v>
      </c>
      <c r="J340" s="378">
        <f ca="1">IF($A340="S",IF(CAIXA.Modo,BM.AFAnterior,BM.MEDAnterior),IF(AND(RegimeExecucao="Global",$I340&gt;0,COUNTIF($AB$13:$AM$13,BM.medicao-1)&gt;0),M340/$I340*100,0))</f>
        <v>0</v>
      </c>
      <c r="K340" s="124">
        <f t="shared" ca="1" si="24"/>
        <v>0</v>
      </c>
      <c r="L340" s="379">
        <f ca="1">IF($A340="S",IF(CAIXA.Modo,BM.AFAcumulado,BM.MEDAcumulado),IF(AND(RegimeExecucao="Global",$I340&gt;0,COUNTIF($AB$13:$AM$13,BM.medicao)&gt;0),O340/$I340*100,0))</f>
        <v>0</v>
      </c>
      <c r="M340" s="380">
        <f ca="1">IF($A340="S",VTOTALBM,IF($A340=0,0,ROUND(SomaAgrupBM,15-13*ORÇAMENTO!$AF$11)))</f>
        <v>0</v>
      </c>
      <c r="N340" s="381">
        <f t="shared" ca="1" si="25"/>
        <v>0</v>
      </c>
      <c r="O340" s="127">
        <f ca="1">IF($A340="S",VTOTALBM,IF($A340=0,0,ROUND(SomaAgrupBM,15-13*ORÇAMENTO!$AF$11)))</f>
        <v>0</v>
      </c>
      <c r="Q340" s="382"/>
      <c r="R340" s="383"/>
      <c r="T340" s="119" t="str">
        <f t="shared" ca="1" si="26"/>
        <v/>
      </c>
      <c r="U340" s="172" t="str">
        <f t="shared" ca="1" si="27"/>
        <v/>
      </c>
      <c r="V340" s="173" t="str">
        <f ca="1">IF(AND($W340&gt;0,RegimeExecucao="Unitário"),$F340,"")</f>
        <v/>
      </c>
      <c r="W340" s="547">
        <f ca="1">IF($Y340&gt;0,CHOOSE(MATCH(RegimeExecucao,{"Unitário","Global"},0),IF($A340="S",$Y340/$X340,""),($Y340/$X340)*100),0)</f>
        <v>0</v>
      </c>
      <c r="X340" s="384" t="str">
        <f ca="1">IF($Y340&gt;0,CHOOSE(MATCH(RegimeExecucao,{"Unitário","Global"},0),IF($A340="S",ROUND($H340,ORÇAMENTO!$AF$10),""),ROUND($I340,ORÇAMENTO!$AF$11)),"")</f>
        <v/>
      </c>
      <c r="Y340" s="384">
        <f t="shared" ca="1" si="28"/>
        <v>0</v>
      </c>
      <c r="Z340" s="572"/>
      <c r="AB340" s="382"/>
      <c r="AC340" s="516"/>
      <c r="AD340" s="516"/>
      <c r="AE340" s="516"/>
      <c r="AF340" s="516"/>
      <c r="AG340" s="516"/>
      <c r="AH340" s="516"/>
      <c r="AI340" s="516"/>
      <c r="AJ340" s="516"/>
      <c r="AK340" s="516"/>
      <c r="AL340" s="516"/>
      <c r="AM340" s="383"/>
      <c r="AO340">
        <f ca="1">IF($A340="S",IF(BM!$I340=0,0,CHOOSE(MATCH(RegimeExecucao,{"Global","Unitário"},0),ROUND(ROUND(BM.MEDAcumulado,15-13*BM!$A$9)/100*BM!$I340,15-13*ORÇAMENTO!$AF$11),ROUND(ROUND(BM.MEDAcumulado,15-13*BM!$A$9)*ROUND(BM!$H340,15-13*ORÇAMENTO!$AF$10),15-13*ORÇAMENTO!$AF$11))),IF($A340=0,0,ROUND(SomaAgrupBM,15-13*ORÇAMENTO!$AF$11)))</f>
        <v>0</v>
      </c>
    </row>
    <row r="341" spans="1:41" x14ac:dyDescent="0.2">
      <c r="A341">
        <f ca="1">ORÇAMENTO!C341</f>
        <v>3</v>
      </c>
      <c r="B341">
        <f ca="1">ORÇAMENTO!D341</f>
        <v>28</v>
      </c>
      <c r="C341" s="116" t="str">
        <f t="shared" ca="1" si="22"/>
        <v>F</v>
      </c>
      <c r="D341" s="119" t="str">
        <f ca="1">ORÇAMENTO!O341</f>
        <v>1.14.1.</v>
      </c>
      <c r="E341" s="172" t="str">
        <f t="shared" ca="1" si="23"/>
        <v>TUBULAÇÕES E CONEXÕES</v>
      </c>
      <c r="F341" s="173" t="str">
        <f ca="1">IF(RegimeExecucao="Global","",ORÇAMENTO.Unidade)</f>
        <v>-</v>
      </c>
      <c r="G341" s="124">
        <f ca="1">IF(RegimeExecucao="Global","",ORÇAMENTO!T341)</f>
        <v>0</v>
      </c>
      <c r="H341" s="124">
        <f ca="1">IF(RegimeExecucao="Global","",ORÇAMENTO!W341)</f>
        <v>0</v>
      </c>
      <c r="I341" s="127">
        <f ca="1">ORÇAMENTO!X341</f>
        <v>0</v>
      </c>
      <c r="J341" s="378">
        <f ca="1">IF($A341="S",IF(CAIXA.Modo,BM.AFAnterior,BM.MEDAnterior),IF(AND(RegimeExecucao="Global",$I341&gt;0,COUNTIF($AB$13:$AM$13,BM.medicao-1)&gt;0),M341/$I341*100,0))</f>
        <v>0</v>
      </c>
      <c r="K341" s="124">
        <f t="shared" ca="1" si="24"/>
        <v>0</v>
      </c>
      <c r="L341" s="379">
        <f ca="1">IF($A341="S",IF(CAIXA.Modo,BM.AFAcumulado,BM.MEDAcumulado),IF(AND(RegimeExecucao="Global",$I341&gt;0,COUNTIF($AB$13:$AM$13,BM.medicao)&gt;0),O341/$I341*100,0))</f>
        <v>0</v>
      </c>
      <c r="M341" s="380">
        <f ca="1">IF($A341="S",VTOTALBM,IF($A341=0,0,ROUND(SomaAgrupBM,15-13*ORÇAMENTO!$AF$11)))</f>
        <v>0</v>
      </c>
      <c r="N341" s="381">
        <f t="shared" ca="1" si="25"/>
        <v>0</v>
      </c>
      <c r="O341" s="127">
        <f ca="1">IF($A341="S",VTOTALBM,IF($A341=0,0,ROUND(SomaAgrupBM,15-13*ORÇAMENTO!$AF$11)))</f>
        <v>0</v>
      </c>
      <c r="Q341" s="382"/>
      <c r="R341" s="383"/>
      <c r="T341" s="119" t="str">
        <f t="shared" ca="1" si="26"/>
        <v/>
      </c>
      <c r="U341" s="172" t="str">
        <f t="shared" ca="1" si="27"/>
        <v/>
      </c>
      <c r="V341" s="173" t="str">
        <f ca="1">IF(AND($W341&gt;0,RegimeExecucao="Unitário"),$F341,"")</f>
        <v/>
      </c>
      <c r="W341" s="547">
        <f ca="1">IF($Y341&gt;0,CHOOSE(MATCH(RegimeExecucao,{"Unitário","Global"},0),IF($A341="S",$Y341/$X341,""),($Y341/$X341)*100),0)</f>
        <v>0</v>
      </c>
      <c r="X341" s="384" t="str">
        <f ca="1">IF($Y341&gt;0,CHOOSE(MATCH(RegimeExecucao,{"Unitário","Global"},0),IF($A341="S",ROUND($H341,ORÇAMENTO!$AF$10),""),ROUND($I341,ORÇAMENTO!$AF$11)),"")</f>
        <v/>
      </c>
      <c r="Y341" s="384">
        <f t="shared" ca="1" si="28"/>
        <v>0</v>
      </c>
      <c r="Z341" s="572"/>
      <c r="AB341" s="382"/>
      <c r="AC341" s="516"/>
      <c r="AD341" s="516"/>
      <c r="AE341" s="516"/>
      <c r="AF341" s="516"/>
      <c r="AG341" s="516"/>
      <c r="AH341" s="516"/>
      <c r="AI341" s="516"/>
      <c r="AJ341" s="516"/>
      <c r="AK341" s="516"/>
      <c r="AL341" s="516"/>
      <c r="AM341" s="383"/>
      <c r="AO341">
        <f ca="1">IF($A341="S",IF(BM!$I341=0,0,CHOOSE(MATCH(RegimeExecucao,{"Global","Unitário"},0),ROUND(ROUND(BM.MEDAcumulado,15-13*BM!$A$9)/100*BM!$I341,15-13*ORÇAMENTO!$AF$11),ROUND(ROUND(BM.MEDAcumulado,15-13*BM!$A$9)*ROUND(BM!$H341,15-13*ORÇAMENTO!$AF$10),15-13*ORÇAMENTO!$AF$11))),IF($A341=0,0,ROUND(SomaAgrupBM,15-13*ORÇAMENTO!$AF$11)))</f>
        <v>0</v>
      </c>
    </row>
    <row r="342" spans="1:41" ht="38.25" x14ac:dyDescent="0.2">
      <c r="A342" t="str">
        <f ca="1">ORÇAMENTO!C342</f>
        <v>S</v>
      </c>
      <c r="B342">
        <f ca="1">ORÇAMENTO!D342</f>
        <v>0</v>
      </c>
      <c r="C342" s="116" t="str">
        <f t="shared" ca="1" si="22"/>
        <v/>
      </c>
      <c r="D342" s="119" t="str">
        <f ca="1">ORÇAMENTO!O342</f>
        <v>-</v>
      </c>
      <c r="E342" s="172" t="str">
        <f t="shared" ca="1" si="23"/>
        <v>(abra o arquivo 'Referência 02-2025.xlsm)</v>
      </c>
      <c r="F342" s="173" t="str">
        <f ca="1">IF(RegimeExecucao="Global","",ORÇAMENTO.Unidade)</f>
        <v>-</v>
      </c>
      <c r="G342" s="124">
        <f ca="1">IF(RegimeExecucao="Global","",ORÇAMENTO!T342)</f>
        <v>88.7</v>
      </c>
      <c r="H342" s="124">
        <f ca="1">IF(RegimeExecucao="Global","",ORÇAMENTO!W342)</f>
        <v>0</v>
      </c>
      <c r="I342" s="127">
        <f ca="1">ORÇAMENTO!X342</f>
        <v>0</v>
      </c>
      <c r="J342" s="378">
        <f ca="1">IF($A342="S",IF(CAIXA.Modo,BM.AFAnterior,BM.MEDAnterior),IF(AND(RegimeExecucao="Global",$I342&gt;0,COUNTIF($AB$13:$AM$13,BM.medicao-1)&gt;0),M342/$I342*100,0))</f>
        <v>0</v>
      </c>
      <c r="K342" s="124">
        <f t="shared" ca="1" si="24"/>
        <v>0</v>
      </c>
      <c r="L342" s="379">
        <f ca="1">IF($A342="S",IF(CAIXA.Modo,BM.AFAcumulado,BM.MEDAcumulado),IF(AND(RegimeExecucao="Global",$I342&gt;0,COUNTIF($AB$13:$AM$13,BM.medicao)&gt;0),O342/$I342*100,0))</f>
        <v>0</v>
      </c>
      <c r="M342" s="380">
        <f ca="1">IF($A342="S",VTOTALBM,IF($A342=0,0,ROUND(SomaAgrupBM,15-13*ORÇAMENTO!$AF$11)))</f>
        <v>0</v>
      </c>
      <c r="N342" s="381">
        <f t="shared" ca="1" si="25"/>
        <v>0</v>
      </c>
      <c r="O342" s="127">
        <f ca="1">IF($A342="S",VTOTALBM,IF($A342=0,0,ROUND(SomaAgrupBM,15-13*ORÇAMENTO!$AF$11)))</f>
        <v>0</v>
      </c>
      <c r="Q342" s="382"/>
      <c r="R342" s="383"/>
      <c r="T342" s="119" t="str">
        <f t="shared" ca="1" si="26"/>
        <v/>
      </c>
      <c r="U342" s="172" t="str">
        <f t="shared" ca="1" si="27"/>
        <v/>
      </c>
      <c r="V342" s="173" t="str">
        <f ca="1">IF(AND($W342&gt;0,RegimeExecucao="Unitário"),$F342,"")</f>
        <v/>
      </c>
      <c r="W342" s="547">
        <f ca="1">IF($Y342&gt;0,CHOOSE(MATCH(RegimeExecucao,{"Unitário","Global"},0),IF($A342="S",$Y342/$X342,""),($Y342/$X342)*100),0)</f>
        <v>0</v>
      </c>
      <c r="X342" s="384" t="str">
        <f ca="1">IF($Y342&gt;0,CHOOSE(MATCH(RegimeExecucao,{"Unitário","Global"},0),IF($A342="S",ROUND($H342,ORÇAMENTO!$AF$10),""),ROUND($I342,ORÇAMENTO!$AF$11)),"")</f>
        <v/>
      </c>
      <c r="Y342" s="384">
        <f t="shared" ca="1" si="28"/>
        <v>0</v>
      </c>
      <c r="Z342" s="572"/>
      <c r="AB342" s="382"/>
      <c r="AC342" s="516"/>
      <c r="AD342" s="516"/>
      <c r="AE342" s="516"/>
      <c r="AF342" s="516"/>
      <c r="AG342" s="516"/>
      <c r="AH342" s="516"/>
      <c r="AI342" s="516"/>
      <c r="AJ342" s="516"/>
      <c r="AK342" s="516"/>
      <c r="AL342" s="516"/>
      <c r="AM342" s="383"/>
      <c r="AO342">
        <f ca="1">IF($A342="S",IF(BM!$I342=0,0,CHOOSE(MATCH(RegimeExecucao,{"Global","Unitário"},0),ROUND(ROUND(BM.MEDAcumulado,15-13*BM!$A$9)/100*BM!$I342,15-13*ORÇAMENTO!$AF$11),ROUND(ROUND(BM.MEDAcumulado,15-13*BM!$A$9)*ROUND(BM!$H342,15-13*ORÇAMENTO!$AF$10),15-13*ORÇAMENTO!$AF$11))),IF($A342=0,0,ROUND(SomaAgrupBM,15-13*ORÇAMENTO!$AF$11)))</f>
        <v>0</v>
      </c>
    </row>
    <row r="343" spans="1:41" ht="38.25" x14ac:dyDescent="0.2">
      <c r="A343" t="str">
        <f ca="1">ORÇAMENTO!C343</f>
        <v>S</v>
      </c>
      <c r="B343">
        <f ca="1">ORÇAMENTO!D343</f>
        <v>0</v>
      </c>
      <c r="C343" s="116" t="str">
        <f t="shared" ca="1" si="22"/>
        <v/>
      </c>
      <c r="D343" s="119" t="str">
        <f ca="1">ORÇAMENTO!O343</f>
        <v>-</v>
      </c>
      <c r="E343" s="172" t="str">
        <f t="shared" ca="1" si="23"/>
        <v>(abra o arquivo 'Referência 02-2025.xlsm)</v>
      </c>
      <c r="F343" s="173" t="str">
        <f ca="1">IF(RegimeExecucao="Global","",ORÇAMENTO.Unidade)</f>
        <v>-</v>
      </c>
      <c r="G343" s="124">
        <f ca="1">IF(RegimeExecucao="Global","",ORÇAMENTO!T343)</f>
        <v>207.2</v>
      </c>
      <c r="H343" s="124">
        <f ca="1">IF(RegimeExecucao="Global","",ORÇAMENTO!W343)</f>
        <v>0</v>
      </c>
      <c r="I343" s="127">
        <f ca="1">ORÇAMENTO!X343</f>
        <v>0</v>
      </c>
      <c r="J343" s="378">
        <f ca="1">IF($A343="S",IF(CAIXA.Modo,BM.AFAnterior,BM.MEDAnterior),IF(AND(RegimeExecucao="Global",$I343&gt;0,COUNTIF($AB$13:$AM$13,BM.medicao-1)&gt;0),M343/$I343*100,0))</f>
        <v>0</v>
      </c>
      <c r="K343" s="124">
        <f t="shared" ca="1" si="24"/>
        <v>0</v>
      </c>
      <c r="L343" s="379">
        <f ca="1">IF($A343="S",IF(CAIXA.Modo,BM.AFAcumulado,BM.MEDAcumulado),IF(AND(RegimeExecucao="Global",$I343&gt;0,COUNTIF($AB$13:$AM$13,BM.medicao)&gt;0),O343/$I343*100,0))</f>
        <v>0</v>
      </c>
      <c r="M343" s="380">
        <f ca="1">IF($A343="S",VTOTALBM,IF($A343=0,0,ROUND(SomaAgrupBM,15-13*ORÇAMENTO!$AF$11)))</f>
        <v>0</v>
      </c>
      <c r="N343" s="381">
        <f t="shared" ca="1" si="25"/>
        <v>0</v>
      </c>
      <c r="O343" s="127">
        <f ca="1">IF($A343="S",VTOTALBM,IF($A343=0,0,ROUND(SomaAgrupBM,15-13*ORÇAMENTO!$AF$11)))</f>
        <v>0</v>
      </c>
      <c r="Q343" s="382"/>
      <c r="R343" s="383"/>
      <c r="T343" s="119" t="str">
        <f t="shared" ca="1" si="26"/>
        <v/>
      </c>
      <c r="U343" s="172" t="str">
        <f t="shared" ca="1" si="27"/>
        <v/>
      </c>
      <c r="V343" s="173" t="str">
        <f ca="1">IF(AND($W343&gt;0,RegimeExecucao="Unitário"),$F343,"")</f>
        <v/>
      </c>
      <c r="W343" s="547">
        <f ca="1">IF($Y343&gt;0,CHOOSE(MATCH(RegimeExecucao,{"Unitário","Global"},0),IF($A343="S",$Y343/$X343,""),($Y343/$X343)*100),0)</f>
        <v>0</v>
      </c>
      <c r="X343" s="384" t="str">
        <f ca="1">IF($Y343&gt;0,CHOOSE(MATCH(RegimeExecucao,{"Unitário","Global"},0),IF($A343="S",ROUND($H343,ORÇAMENTO!$AF$10),""),ROUND($I343,ORÇAMENTO!$AF$11)),"")</f>
        <v/>
      </c>
      <c r="Y343" s="384">
        <f t="shared" ca="1" si="28"/>
        <v>0</v>
      </c>
      <c r="Z343" s="572"/>
      <c r="AB343" s="382"/>
      <c r="AC343" s="516"/>
      <c r="AD343" s="516"/>
      <c r="AE343" s="516"/>
      <c r="AF343" s="516"/>
      <c r="AG343" s="516"/>
      <c r="AH343" s="516"/>
      <c r="AI343" s="516"/>
      <c r="AJ343" s="516"/>
      <c r="AK343" s="516"/>
      <c r="AL343" s="516"/>
      <c r="AM343" s="383"/>
      <c r="AO343">
        <f ca="1">IF($A343="S",IF(BM!$I343=0,0,CHOOSE(MATCH(RegimeExecucao,{"Global","Unitário"},0),ROUND(ROUND(BM.MEDAcumulado,15-13*BM!$A$9)/100*BM!$I343,15-13*ORÇAMENTO!$AF$11),ROUND(ROUND(BM.MEDAcumulado,15-13*BM!$A$9)*ROUND(BM!$H343,15-13*ORÇAMENTO!$AF$10),15-13*ORÇAMENTO!$AF$11))),IF($A343=0,0,ROUND(SomaAgrupBM,15-13*ORÇAMENTO!$AF$11)))</f>
        <v>0</v>
      </c>
    </row>
    <row r="344" spans="1:41" ht="38.25" x14ac:dyDescent="0.2">
      <c r="A344" t="str">
        <f ca="1">ORÇAMENTO!C344</f>
        <v>S</v>
      </c>
      <c r="B344">
        <f ca="1">ORÇAMENTO!D344</f>
        <v>0</v>
      </c>
      <c r="C344" s="116" t="str">
        <f t="shared" ca="1" si="22"/>
        <v/>
      </c>
      <c r="D344" s="119" t="str">
        <f ca="1">ORÇAMENTO!O344</f>
        <v>-</v>
      </c>
      <c r="E344" s="172" t="str">
        <f t="shared" ca="1" si="23"/>
        <v>(abra o arquivo 'Referência 02-2025.xlsm)</v>
      </c>
      <c r="F344" s="173" t="str">
        <f ca="1">IF(RegimeExecucao="Global","",ORÇAMENTO.Unidade)</f>
        <v>-</v>
      </c>
      <c r="G344" s="124">
        <f ca="1">IF(RegimeExecucao="Global","",ORÇAMENTO!T344)</f>
        <v>21.1</v>
      </c>
      <c r="H344" s="124">
        <f ca="1">IF(RegimeExecucao="Global","",ORÇAMENTO!W344)</f>
        <v>0</v>
      </c>
      <c r="I344" s="127">
        <f ca="1">ORÇAMENTO!X344</f>
        <v>0</v>
      </c>
      <c r="J344" s="378">
        <f ca="1">IF($A344="S",IF(CAIXA.Modo,BM.AFAnterior,BM.MEDAnterior),IF(AND(RegimeExecucao="Global",$I344&gt;0,COUNTIF($AB$13:$AM$13,BM.medicao-1)&gt;0),M344/$I344*100,0))</f>
        <v>0</v>
      </c>
      <c r="K344" s="124">
        <f t="shared" ca="1" si="24"/>
        <v>0</v>
      </c>
      <c r="L344" s="379">
        <f ca="1">IF($A344="S",IF(CAIXA.Modo,BM.AFAcumulado,BM.MEDAcumulado),IF(AND(RegimeExecucao="Global",$I344&gt;0,COUNTIF($AB$13:$AM$13,BM.medicao)&gt;0),O344/$I344*100,0))</f>
        <v>0</v>
      </c>
      <c r="M344" s="380">
        <f ca="1">IF($A344="S",VTOTALBM,IF($A344=0,0,ROUND(SomaAgrupBM,15-13*ORÇAMENTO!$AF$11)))</f>
        <v>0</v>
      </c>
      <c r="N344" s="381">
        <f t="shared" ca="1" si="25"/>
        <v>0</v>
      </c>
      <c r="O344" s="127">
        <f ca="1">IF($A344="S",VTOTALBM,IF($A344=0,0,ROUND(SomaAgrupBM,15-13*ORÇAMENTO!$AF$11)))</f>
        <v>0</v>
      </c>
      <c r="Q344" s="382"/>
      <c r="R344" s="383"/>
      <c r="T344" s="119" t="str">
        <f t="shared" ca="1" si="26"/>
        <v/>
      </c>
      <c r="U344" s="172" t="str">
        <f t="shared" ca="1" si="27"/>
        <v/>
      </c>
      <c r="V344" s="173" t="str">
        <f ca="1">IF(AND($W344&gt;0,RegimeExecucao="Unitário"),$F344,"")</f>
        <v/>
      </c>
      <c r="W344" s="547">
        <f ca="1">IF($Y344&gt;0,CHOOSE(MATCH(RegimeExecucao,{"Unitário","Global"},0),IF($A344="S",$Y344/$X344,""),($Y344/$X344)*100),0)</f>
        <v>0</v>
      </c>
      <c r="X344" s="384" t="str">
        <f ca="1">IF($Y344&gt;0,CHOOSE(MATCH(RegimeExecucao,{"Unitário","Global"},0),IF($A344="S",ROUND($H344,ORÇAMENTO!$AF$10),""),ROUND($I344,ORÇAMENTO!$AF$11)),"")</f>
        <v/>
      </c>
      <c r="Y344" s="384">
        <f t="shared" ca="1" si="28"/>
        <v>0</v>
      </c>
      <c r="Z344" s="572"/>
      <c r="AB344" s="382"/>
      <c r="AC344" s="516"/>
      <c r="AD344" s="516"/>
      <c r="AE344" s="516"/>
      <c r="AF344" s="516"/>
      <c r="AG344" s="516"/>
      <c r="AH344" s="516"/>
      <c r="AI344" s="516"/>
      <c r="AJ344" s="516"/>
      <c r="AK344" s="516"/>
      <c r="AL344" s="516"/>
      <c r="AM344" s="383"/>
      <c r="AO344">
        <f ca="1">IF($A344="S",IF(BM!$I344=0,0,CHOOSE(MATCH(RegimeExecucao,{"Global","Unitário"},0),ROUND(ROUND(BM.MEDAcumulado,15-13*BM!$A$9)/100*BM!$I344,15-13*ORÇAMENTO!$AF$11),ROUND(ROUND(BM.MEDAcumulado,15-13*BM!$A$9)*ROUND(BM!$H344,15-13*ORÇAMENTO!$AF$10),15-13*ORÇAMENTO!$AF$11))),IF($A344=0,0,ROUND(SomaAgrupBM,15-13*ORÇAMENTO!$AF$11)))</f>
        <v>0</v>
      </c>
    </row>
    <row r="345" spans="1:41" ht="38.25" x14ac:dyDescent="0.2">
      <c r="A345" t="str">
        <f ca="1">ORÇAMENTO!C345</f>
        <v>S</v>
      </c>
      <c r="B345">
        <f ca="1">ORÇAMENTO!D345</f>
        <v>0</v>
      </c>
      <c r="C345" s="116" t="str">
        <f t="shared" ca="1" si="22"/>
        <v/>
      </c>
      <c r="D345" s="119" t="str">
        <f ca="1">ORÇAMENTO!O345</f>
        <v>-</v>
      </c>
      <c r="E345" s="172" t="str">
        <f t="shared" ca="1" si="23"/>
        <v>(abra o arquivo 'Referência 02-2025.xlsm)</v>
      </c>
      <c r="F345" s="173" t="str">
        <f ca="1">IF(RegimeExecucao="Global","",ORÇAMENTO.Unidade)</f>
        <v>-</v>
      </c>
      <c r="G345" s="124">
        <f ca="1">IF(RegimeExecucao="Global","",ORÇAMENTO!T345)</f>
        <v>252.1</v>
      </c>
      <c r="H345" s="124">
        <f ca="1">IF(RegimeExecucao="Global","",ORÇAMENTO!W345)</f>
        <v>0</v>
      </c>
      <c r="I345" s="127">
        <f ca="1">ORÇAMENTO!X345</f>
        <v>0</v>
      </c>
      <c r="J345" s="378">
        <f ca="1">IF($A345="S",IF(CAIXA.Modo,BM.AFAnterior,BM.MEDAnterior),IF(AND(RegimeExecucao="Global",$I345&gt;0,COUNTIF($AB$13:$AM$13,BM.medicao-1)&gt;0),M345/$I345*100,0))</f>
        <v>0</v>
      </c>
      <c r="K345" s="124">
        <f t="shared" ca="1" si="24"/>
        <v>0</v>
      </c>
      <c r="L345" s="379">
        <f ca="1">IF($A345="S",IF(CAIXA.Modo,BM.AFAcumulado,BM.MEDAcumulado),IF(AND(RegimeExecucao="Global",$I345&gt;0,COUNTIF($AB$13:$AM$13,BM.medicao)&gt;0),O345/$I345*100,0))</f>
        <v>0</v>
      </c>
      <c r="M345" s="380">
        <f ca="1">IF($A345="S",VTOTALBM,IF($A345=0,0,ROUND(SomaAgrupBM,15-13*ORÇAMENTO!$AF$11)))</f>
        <v>0</v>
      </c>
      <c r="N345" s="381">
        <f t="shared" ca="1" si="25"/>
        <v>0</v>
      </c>
      <c r="O345" s="127">
        <f ca="1">IF($A345="S",VTOTALBM,IF($A345=0,0,ROUND(SomaAgrupBM,15-13*ORÇAMENTO!$AF$11)))</f>
        <v>0</v>
      </c>
      <c r="Q345" s="382"/>
      <c r="R345" s="383"/>
      <c r="T345" s="119" t="str">
        <f t="shared" ca="1" si="26"/>
        <v/>
      </c>
      <c r="U345" s="172" t="str">
        <f t="shared" ca="1" si="27"/>
        <v/>
      </c>
      <c r="V345" s="173" t="str">
        <f ca="1">IF(AND($W345&gt;0,RegimeExecucao="Unitário"),$F345,"")</f>
        <v/>
      </c>
      <c r="W345" s="547">
        <f ca="1">IF($Y345&gt;0,CHOOSE(MATCH(RegimeExecucao,{"Unitário","Global"},0),IF($A345="S",$Y345/$X345,""),($Y345/$X345)*100),0)</f>
        <v>0</v>
      </c>
      <c r="X345" s="384" t="str">
        <f ca="1">IF($Y345&gt;0,CHOOSE(MATCH(RegimeExecucao,{"Unitário","Global"},0),IF($A345="S",ROUND($H345,ORÇAMENTO!$AF$10),""),ROUND($I345,ORÇAMENTO!$AF$11)),"")</f>
        <v/>
      </c>
      <c r="Y345" s="384">
        <f t="shared" ca="1" si="28"/>
        <v>0</v>
      </c>
      <c r="Z345" s="572"/>
      <c r="AB345" s="382"/>
      <c r="AC345" s="516"/>
      <c r="AD345" s="516"/>
      <c r="AE345" s="516"/>
      <c r="AF345" s="516"/>
      <c r="AG345" s="516"/>
      <c r="AH345" s="516"/>
      <c r="AI345" s="516"/>
      <c r="AJ345" s="516"/>
      <c r="AK345" s="516"/>
      <c r="AL345" s="516"/>
      <c r="AM345" s="383"/>
      <c r="AO345">
        <f ca="1">IF($A345="S",IF(BM!$I345=0,0,CHOOSE(MATCH(RegimeExecucao,{"Global","Unitário"},0),ROUND(ROUND(BM.MEDAcumulado,15-13*BM!$A$9)/100*BM!$I345,15-13*ORÇAMENTO!$AF$11),ROUND(ROUND(BM.MEDAcumulado,15-13*BM!$A$9)*ROUND(BM!$H345,15-13*ORÇAMENTO!$AF$10),15-13*ORÇAMENTO!$AF$11))),IF($A345=0,0,ROUND(SomaAgrupBM,15-13*ORÇAMENTO!$AF$11)))</f>
        <v>0</v>
      </c>
    </row>
    <row r="346" spans="1:41" ht="38.25" x14ac:dyDescent="0.2">
      <c r="A346" t="str">
        <f ca="1">ORÇAMENTO!C346</f>
        <v>S</v>
      </c>
      <c r="B346">
        <f ca="1">ORÇAMENTO!D346</f>
        <v>0</v>
      </c>
      <c r="C346" s="116" t="str">
        <f t="shared" ca="1" si="22"/>
        <v/>
      </c>
      <c r="D346" s="119" t="str">
        <f ca="1">ORÇAMENTO!O346</f>
        <v>-</v>
      </c>
      <c r="E346" s="172" t="str">
        <f t="shared" ca="1" si="23"/>
        <v>(abra o arquivo 'Referência 02-2025.xlsm)</v>
      </c>
      <c r="F346" s="173" t="str">
        <f ca="1">IF(RegimeExecucao="Global","",ORÇAMENTO.Unidade)</f>
        <v>-</v>
      </c>
      <c r="G346" s="124">
        <f ca="1">IF(RegimeExecucao="Global","",ORÇAMENTO!T346)</f>
        <v>39</v>
      </c>
      <c r="H346" s="124">
        <f ca="1">IF(RegimeExecucao="Global","",ORÇAMENTO!W346)</f>
        <v>0</v>
      </c>
      <c r="I346" s="127">
        <f ca="1">ORÇAMENTO!X346</f>
        <v>0</v>
      </c>
      <c r="J346" s="378">
        <f ca="1">IF($A346="S",IF(CAIXA.Modo,BM.AFAnterior,BM.MEDAnterior),IF(AND(RegimeExecucao="Global",$I346&gt;0,COUNTIF($AB$13:$AM$13,BM.medicao-1)&gt;0),M346/$I346*100,0))</f>
        <v>0</v>
      </c>
      <c r="K346" s="124">
        <f t="shared" ca="1" si="24"/>
        <v>0</v>
      </c>
      <c r="L346" s="379">
        <f ca="1">IF($A346="S",IF(CAIXA.Modo,BM.AFAcumulado,BM.MEDAcumulado),IF(AND(RegimeExecucao="Global",$I346&gt;0,COUNTIF($AB$13:$AM$13,BM.medicao)&gt;0),O346/$I346*100,0))</f>
        <v>0</v>
      </c>
      <c r="M346" s="380">
        <f ca="1">IF($A346="S",VTOTALBM,IF($A346=0,0,ROUND(SomaAgrupBM,15-13*ORÇAMENTO!$AF$11)))</f>
        <v>0</v>
      </c>
      <c r="N346" s="381">
        <f t="shared" ca="1" si="25"/>
        <v>0</v>
      </c>
      <c r="O346" s="127">
        <f ca="1">IF($A346="S",VTOTALBM,IF($A346=0,0,ROUND(SomaAgrupBM,15-13*ORÇAMENTO!$AF$11)))</f>
        <v>0</v>
      </c>
      <c r="Q346" s="382"/>
      <c r="R346" s="383"/>
      <c r="T346" s="119" t="str">
        <f t="shared" ca="1" si="26"/>
        <v/>
      </c>
      <c r="U346" s="172" t="str">
        <f t="shared" ca="1" si="27"/>
        <v/>
      </c>
      <c r="V346" s="173" t="str">
        <f ca="1">IF(AND($W346&gt;0,RegimeExecucao="Unitário"),$F346,"")</f>
        <v/>
      </c>
      <c r="W346" s="547">
        <f ca="1">IF($Y346&gt;0,CHOOSE(MATCH(RegimeExecucao,{"Unitário","Global"},0),IF($A346="S",$Y346/$X346,""),($Y346/$X346)*100),0)</f>
        <v>0</v>
      </c>
      <c r="X346" s="384" t="str">
        <f ca="1">IF($Y346&gt;0,CHOOSE(MATCH(RegimeExecucao,{"Unitário","Global"},0),IF($A346="S",ROUND($H346,ORÇAMENTO!$AF$10),""),ROUND($I346,ORÇAMENTO!$AF$11)),"")</f>
        <v/>
      </c>
      <c r="Y346" s="384">
        <f t="shared" ca="1" si="28"/>
        <v>0</v>
      </c>
      <c r="Z346" s="572"/>
      <c r="AB346" s="382"/>
      <c r="AC346" s="516"/>
      <c r="AD346" s="516"/>
      <c r="AE346" s="516"/>
      <c r="AF346" s="516"/>
      <c r="AG346" s="516"/>
      <c r="AH346" s="516"/>
      <c r="AI346" s="516"/>
      <c r="AJ346" s="516"/>
      <c r="AK346" s="516"/>
      <c r="AL346" s="516"/>
      <c r="AM346" s="383"/>
      <c r="AO346">
        <f ca="1">IF($A346="S",IF(BM!$I346=0,0,CHOOSE(MATCH(RegimeExecucao,{"Global","Unitário"},0),ROUND(ROUND(BM.MEDAcumulado,15-13*BM!$A$9)/100*BM!$I346,15-13*ORÇAMENTO!$AF$11),ROUND(ROUND(BM.MEDAcumulado,15-13*BM!$A$9)*ROUND(BM!$H346,15-13*ORÇAMENTO!$AF$10),15-13*ORÇAMENTO!$AF$11))),IF($A346=0,0,ROUND(SomaAgrupBM,15-13*ORÇAMENTO!$AF$11)))</f>
        <v>0</v>
      </c>
    </row>
    <row r="347" spans="1:41" ht="51" x14ac:dyDescent="0.2">
      <c r="A347" t="str">
        <f ca="1">ORÇAMENTO!C347</f>
        <v>S</v>
      </c>
      <c r="B347">
        <f ca="1">ORÇAMENTO!D347</f>
        <v>0</v>
      </c>
      <c r="C347" s="116" t="str">
        <f t="shared" ca="1" si="22"/>
        <v/>
      </c>
      <c r="D347" s="119" t="str">
        <f ca="1">ORÇAMENTO!O347</f>
        <v>-</v>
      </c>
      <c r="E347" s="172" t="str">
        <f t="shared" ca="1" si="23"/>
        <v>(abra o arquivo 'Referência 02-2025.xlsm)</v>
      </c>
      <c r="F347" s="173" t="str">
        <f ca="1">IF(RegimeExecucao="Global","",ORÇAMENTO.Unidade)</f>
        <v>-</v>
      </c>
      <c r="G347" s="124">
        <f ca="1">IF(RegimeExecucao="Global","",ORÇAMENTO!T347)</f>
        <v>24</v>
      </c>
      <c r="H347" s="124">
        <f ca="1">IF(RegimeExecucao="Global","",ORÇAMENTO!W347)</f>
        <v>0</v>
      </c>
      <c r="I347" s="127">
        <f ca="1">ORÇAMENTO!X347</f>
        <v>0</v>
      </c>
      <c r="J347" s="378">
        <f ca="1">IF($A347="S",IF(CAIXA.Modo,BM.AFAnterior,BM.MEDAnterior),IF(AND(RegimeExecucao="Global",$I347&gt;0,COUNTIF($AB$13:$AM$13,BM.medicao-1)&gt;0),M347/$I347*100,0))</f>
        <v>0</v>
      </c>
      <c r="K347" s="124">
        <f t="shared" ca="1" si="24"/>
        <v>0</v>
      </c>
      <c r="L347" s="379">
        <f ca="1">IF($A347="S",IF(CAIXA.Modo,BM.AFAcumulado,BM.MEDAcumulado),IF(AND(RegimeExecucao="Global",$I347&gt;0,COUNTIF($AB$13:$AM$13,BM.medicao)&gt;0),O347/$I347*100,0))</f>
        <v>0</v>
      </c>
      <c r="M347" s="380">
        <f ca="1">IF($A347="S",VTOTALBM,IF($A347=0,0,ROUND(SomaAgrupBM,15-13*ORÇAMENTO!$AF$11)))</f>
        <v>0</v>
      </c>
      <c r="N347" s="381">
        <f t="shared" ca="1" si="25"/>
        <v>0</v>
      </c>
      <c r="O347" s="127">
        <f ca="1">IF($A347="S",VTOTALBM,IF($A347=0,0,ROUND(SomaAgrupBM,15-13*ORÇAMENTO!$AF$11)))</f>
        <v>0</v>
      </c>
      <c r="Q347" s="382"/>
      <c r="R347" s="383"/>
      <c r="T347" s="119" t="str">
        <f t="shared" ca="1" si="26"/>
        <v/>
      </c>
      <c r="U347" s="172" t="str">
        <f t="shared" ca="1" si="27"/>
        <v/>
      </c>
      <c r="V347" s="173" t="str">
        <f ca="1">IF(AND($W347&gt;0,RegimeExecucao="Unitário"),$F347,"")</f>
        <v/>
      </c>
      <c r="W347" s="547">
        <f ca="1">IF($Y347&gt;0,CHOOSE(MATCH(RegimeExecucao,{"Unitário","Global"},0),IF($A347="S",$Y347/$X347,""),($Y347/$X347)*100),0)</f>
        <v>0</v>
      </c>
      <c r="X347" s="384" t="str">
        <f ca="1">IF($Y347&gt;0,CHOOSE(MATCH(RegimeExecucao,{"Unitário","Global"},0),IF($A347="S",ROUND($H347,ORÇAMENTO!$AF$10),""),ROUND($I347,ORÇAMENTO!$AF$11)),"")</f>
        <v/>
      </c>
      <c r="Y347" s="384">
        <f t="shared" ca="1" si="28"/>
        <v>0</v>
      </c>
      <c r="Z347" s="572"/>
      <c r="AB347" s="382"/>
      <c r="AC347" s="516"/>
      <c r="AD347" s="516"/>
      <c r="AE347" s="516"/>
      <c r="AF347" s="516"/>
      <c r="AG347" s="516"/>
      <c r="AH347" s="516"/>
      <c r="AI347" s="516"/>
      <c r="AJ347" s="516"/>
      <c r="AK347" s="516"/>
      <c r="AL347" s="516"/>
      <c r="AM347" s="383"/>
      <c r="AO347">
        <f ca="1">IF($A347="S",IF(BM!$I347=0,0,CHOOSE(MATCH(RegimeExecucao,{"Global","Unitário"},0),ROUND(ROUND(BM.MEDAcumulado,15-13*BM!$A$9)/100*BM!$I347,15-13*ORÇAMENTO!$AF$11),ROUND(ROUND(BM.MEDAcumulado,15-13*BM!$A$9)*ROUND(BM!$H347,15-13*ORÇAMENTO!$AF$10),15-13*ORÇAMENTO!$AF$11))),IF($A347=0,0,ROUND(SomaAgrupBM,15-13*ORÇAMENTO!$AF$11)))</f>
        <v>0</v>
      </c>
    </row>
    <row r="348" spans="1:41" ht="38.25" x14ac:dyDescent="0.2">
      <c r="A348" t="str">
        <f ca="1">ORÇAMENTO!C348</f>
        <v>S</v>
      </c>
      <c r="B348">
        <f ca="1">ORÇAMENTO!D348</f>
        <v>0</v>
      </c>
      <c r="C348" s="116" t="str">
        <f t="shared" ca="1" si="22"/>
        <v/>
      </c>
      <c r="D348" s="119" t="str">
        <f ca="1">ORÇAMENTO!O348</f>
        <v>-</v>
      </c>
      <c r="E348" s="172" t="str">
        <f t="shared" ca="1" si="23"/>
        <v>(abra o arquivo 'Referência 02-2025.xlsm)</v>
      </c>
      <c r="F348" s="173" t="str">
        <f ca="1">IF(RegimeExecucao="Global","",ORÇAMENTO.Unidade)</f>
        <v>-</v>
      </c>
      <c r="G348" s="124">
        <f ca="1">IF(RegimeExecucao="Global","",ORÇAMENTO!T348)</f>
        <v>74</v>
      </c>
      <c r="H348" s="124">
        <f ca="1">IF(RegimeExecucao="Global","",ORÇAMENTO!W348)</f>
        <v>0</v>
      </c>
      <c r="I348" s="127">
        <f ca="1">ORÇAMENTO!X348</f>
        <v>0</v>
      </c>
      <c r="J348" s="378">
        <f ca="1">IF($A348="S",IF(CAIXA.Modo,BM.AFAnterior,BM.MEDAnterior),IF(AND(RegimeExecucao="Global",$I348&gt;0,COUNTIF($AB$13:$AM$13,BM.medicao-1)&gt;0),M348/$I348*100,0))</f>
        <v>0</v>
      </c>
      <c r="K348" s="124">
        <f t="shared" ca="1" si="24"/>
        <v>0</v>
      </c>
      <c r="L348" s="379">
        <f ca="1">IF($A348="S",IF(CAIXA.Modo,BM.AFAcumulado,BM.MEDAcumulado),IF(AND(RegimeExecucao="Global",$I348&gt;0,COUNTIF($AB$13:$AM$13,BM.medicao)&gt;0),O348/$I348*100,0))</f>
        <v>0</v>
      </c>
      <c r="M348" s="380">
        <f ca="1">IF($A348="S",VTOTALBM,IF($A348=0,0,ROUND(SomaAgrupBM,15-13*ORÇAMENTO!$AF$11)))</f>
        <v>0</v>
      </c>
      <c r="N348" s="381">
        <f t="shared" ca="1" si="25"/>
        <v>0</v>
      </c>
      <c r="O348" s="127">
        <f ca="1">IF($A348="S",VTOTALBM,IF($A348=0,0,ROUND(SomaAgrupBM,15-13*ORÇAMENTO!$AF$11)))</f>
        <v>0</v>
      </c>
      <c r="Q348" s="382"/>
      <c r="R348" s="383"/>
      <c r="T348" s="119" t="str">
        <f t="shared" ca="1" si="26"/>
        <v/>
      </c>
      <c r="U348" s="172" t="str">
        <f t="shared" ca="1" si="27"/>
        <v/>
      </c>
      <c r="V348" s="173" t="str">
        <f ca="1">IF(AND($W348&gt;0,RegimeExecucao="Unitário"),$F348,"")</f>
        <v/>
      </c>
      <c r="W348" s="547">
        <f ca="1">IF($Y348&gt;0,CHOOSE(MATCH(RegimeExecucao,{"Unitário","Global"},0),IF($A348="S",$Y348/$X348,""),($Y348/$X348)*100),0)</f>
        <v>0</v>
      </c>
      <c r="X348" s="384" t="str">
        <f ca="1">IF($Y348&gt;0,CHOOSE(MATCH(RegimeExecucao,{"Unitário","Global"},0),IF($A348="S",ROUND($H348,ORÇAMENTO!$AF$10),""),ROUND($I348,ORÇAMENTO!$AF$11)),"")</f>
        <v/>
      </c>
      <c r="Y348" s="384">
        <f t="shared" ca="1" si="28"/>
        <v>0</v>
      </c>
      <c r="Z348" s="572"/>
      <c r="AB348" s="382"/>
      <c r="AC348" s="516"/>
      <c r="AD348" s="516"/>
      <c r="AE348" s="516"/>
      <c r="AF348" s="516"/>
      <c r="AG348" s="516"/>
      <c r="AH348" s="516"/>
      <c r="AI348" s="516"/>
      <c r="AJ348" s="516"/>
      <c r="AK348" s="516"/>
      <c r="AL348" s="516"/>
      <c r="AM348" s="383"/>
      <c r="AO348">
        <f ca="1">IF($A348="S",IF(BM!$I348=0,0,CHOOSE(MATCH(RegimeExecucao,{"Global","Unitário"},0),ROUND(ROUND(BM.MEDAcumulado,15-13*BM!$A$9)/100*BM!$I348,15-13*ORÇAMENTO!$AF$11),ROUND(ROUND(BM.MEDAcumulado,15-13*BM!$A$9)*ROUND(BM!$H348,15-13*ORÇAMENTO!$AF$10),15-13*ORÇAMENTO!$AF$11))),IF($A348=0,0,ROUND(SomaAgrupBM,15-13*ORÇAMENTO!$AF$11)))</f>
        <v>0</v>
      </c>
    </row>
    <row r="349" spans="1:41" ht="38.25" x14ac:dyDescent="0.2">
      <c r="A349" t="str">
        <f ca="1">ORÇAMENTO!C349</f>
        <v>S</v>
      </c>
      <c r="B349">
        <f ca="1">ORÇAMENTO!D349</f>
        <v>0</v>
      </c>
      <c r="C349" s="116" t="str">
        <f t="shared" ca="1" si="22"/>
        <v/>
      </c>
      <c r="D349" s="119" t="str">
        <f ca="1">ORÇAMENTO!O349</f>
        <v>-</v>
      </c>
      <c r="E349" s="172" t="str">
        <f t="shared" ca="1" si="23"/>
        <v>(abra o arquivo 'Referência 02-2025.xlsm)</v>
      </c>
      <c r="F349" s="173" t="str">
        <f ca="1">IF(RegimeExecucao="Global","",ORÇAMENTO.Unidade)</f>
        <v>-</v>
      </c>
      <c r="G349" s="124">
        <f ca="1">IF(RegimeExecucao="Global","",ORÇAMENTO!T349)</f>
        <v>8</v>
      </c>
      <c r="H349" s="124">
        <f ca="1">IF(RegimeExecucao="Global","",ORÇAMENTO!W349)</f>
        <v>0</v>
      </c>
      <c r="I349" s="127">
        <f ca="1">ORÇAMENTO!X349</f>
        <v>0</v>
      </c>
      <c r="J349" s="378">
        <f ca="1">IF($A349="S",IF(CAIXA.Modo,BM.AFAnterior,BM.MEDAnterior),IF(AND(RegimeExecucao="Global",$I349&gt;0,COUNTIF($AB$13:$AM$13,BM.medicao-1)&gt;0),M349/$I349*100,0))</f>
        <v>0</v>
      </c>
      <c r="K349" s="124">
        <f t="shared" ca="1" si="24"/>
        <v>0</v>
      </c>
      <c r="L349" s="379">
        <f ca="1">IF($A349="S",IF(CAIXA.Modo,BM.AFAcumulado,BM.MEDAcumulado),IF(AND(RegimeExecucao="Global",$I349&gt;0,COUNTIF($AB$13:$AM$13,BM.medicao)&gt;0),O349/$I349*100,0))</f>
        <v>0</v>
      </c>
      <c r="M349" s="380">
        <f ca="1">IF($A349="S",VTOTALBM,IF($A349=0,0,ROUND(SomaAgrupBM,15-13*ORÇAMENTO!$AF$11)))</f>
        <v>0</v>
      </c>
      <c r="N349" s="381">
        <f t="shared" ca="1" si="25"/>
        <v>0</v>
      </c>
      <c r="O349" s="127">
        <f ca="1">IF($A349="S",VTOTALBM,IF($A349=0,0,ROUND(SomaAgrupBM,15-13*ORÇAMENTO!$AF$11)))</f>
        <v>0</v>
      </c>
      <c r="Q349" s="382"/>
      <c r="R349" s="383"/>
      <c r="T349" s="119" t="str">
        <f t="shared" ca="1" si="26"/>
        <v/>
      </c>
      <c r="U349" s="172" t="str">
        <f t="shared" ca="1" si="27"/>
        <v/>
      </c>
      <c r="V349" s="173" t="str">
        <f ca="1">IF(AND($W349&gt;0,RegimeExecucao="Unitário"),$F349,"")</f>
        <v/>
      </c>
      <c r="W349" s="547">
        <f ca="1">IF($Y349&gt;0,CHOOSE(MATCH(RegimeExecucao,{"Unitário","Global"},0),IF($A349="S",$Y349/$X349,""),($Y349/$X349)*100),0)</f>
        <v>0</v>
      </c>
      <c r="X349" s="384" t="str">
        <f ca="1">IF($Y349&gt;0,CHOOSE(MATCH(RegimeExecucao,{"Unitário","Global"},0),IF($A349="S",ROUND($H349,ORÇAMENTO!$AF$10),""),ROUND($I349,ORÇAMENTO!$AF$11)),"")</f>
        <v/>
      </c>
      <c r="Y349" s="384">
        <f t="shared" ca="1" si="28"/>
        <v>0</v>
      </c>
      <c r="Z349" s="572"/>
      <c r="AB349" s="382"/>
      <c r="AC349" s="516"/>
      <c r="AD349" s="516"/>
      <c r="AE349" s="516"/>
      <c r="AF349" s="516"/>
      <c r="AG349" s="516"/>
      <c r="AH349" s="516"/>
      <c r="AI349" s="516"/>
      <c r="AJ349" s="516"/>
      <c r="AK349" s="516"/>
      <c r="AL349" s="516"/>
      <c r="AM349" s="383"/>
      <c r="AO349">
        <f ca="1">IF($A349="S",IF(BM!$I349=0,0,CHOOSE(MATCH(RegimeExecucao,{"Global","Unitário"},0),ROUND(ROUND(BM.MEDAcumulado,15-13*BM!$A$9)/100*BM!$I349,15-13*ORÇAMENTO!$AF$11),ROUND(ROUND(BM.MEDAcumulado,15-13*BM!$A$9)*ROUND(BM!$H349,15-13*ORÇAMENTO!$AF$10),15-13*ORÇAMENTO!$AF$11))),IF($A349=0,0,ROUND(SomaAgrupBM,15-13*ORÇAMENTO!$AF$11)))</f>
        <v>0</v>
      </c>
    </row>
    <row r="350" spans="1:41" ht="38.25" x14ac:dyDescent="0.2">
      <c r="A350" t="str">
        <f ca="1">ORÇAMENTO!C350</f>
        <v>S</v>
      </c>
      <c r="B350">
        <f ca="1">ORÇAMENTO!D350</f>
        <v>0</v>
      </c>
      <c r="C350" s="116" t="str">
        <f t="shared" ca="1" si="22"/>
        <v/>
      </c>
      <c r="D350" s="119" t="str">
        <f ca="1">ORÇAMENTO!O350</f>
        <v>-</v>
      </c>
      <c r="E350" s="172" t="str">
        <f t="shared" ca="1" si="23"/>
        <v>(abra o arquivo 'Referência 02-2025.xlsm)</v>
      </c>
      <c r="F350" s="173" t="str">
        <f ca="1">IF(RegimeExecucao="Global","",ORÇAMENTO.Unidade)</f>
        <v>-</v>
      </c>
      <c r="G350" s="124">
        <f ca="1">IF(RegimeExecucao="Global","",ORÇAMENTO!T350)</f>
        <v>24</v>
      </c>
      <c r="H350" s="124">
        <f ca="1">IF(RegimeExecucao="Global","",ORÇAMENTO!W350)</f>
        <v>0</v>
      </c>
      <c r="I350" s="127">
        <f ca="1">ORÇAMENTO!X350</f>
        <v>0</v>
      </c>
      <c r="J350" s="378">
        <f ca="1">IF($A350="S",IF(CAIXA.Modo,BM.AFAnterior,BM.MEDAnterior),IF(AND(RegimeExecucao="Global",$I350&gt;0,COUNTIF($AB$13:$AM$13,BM.medicao-1)&gt;0),M350/$I350*100,0))</f>
        <v>0</v>
      </c>
      <c r="K350" s="124">
        <f t="shared" ca="1" si="24"/>
        <v>0</v>
      </c>
      <c r="L350" s="379">
        <f ca="1">IF($A350="S",IF(CAIXA.Modo,BM.AFAcumulado,BM.MEDAcumulado),IF(AND(RegimeExecucao="Global",$I350&gt;0,COUNTIF($AB$13:$AM$13,BM.medicao)&gt;0),O350/$I350*100,0))</f>
        <v>0</v>
      </c>
      <c r="M350" s="380">
        <f ca="1">IF($A350="S",VTOTALBM,IF($A350=0,0,ROUND(SomaAgrupBM,15-13*ORÇAMENTO!$AF$11)))</f>
        <v>0</v>
      </c>
      <c r="N350" s="381">
        <f t="shared" ca="1" si="25"/>
        <v>0</v>
      </c>
      <c r="O350" s="127">
        <f ca="1">IF($A350="S",VTOTALBM,IF($A350=0,0,ROUND(SomaAgrupBM,15-13*ORÇAMENTO!$AF$11)))</f>
        <v>0</v>
      </c>
      <c r="Q350" s="382"/>
      <c r="R350" s="383"/>
      <c r="T350" s="119" t="str">
        <f t="shared" ca="1" si="26"/>
        <v/>
      </c>
      <c r="U350" s="172" t="str">
        <f t="shared" ca="1" si="27"/>
        <v/>
      </c>
      <c r="V350" s="173" t="str">
        <f ca="1">IF(AND($W350&gt;0,RegimeExecucao="Unitário"),$F350,"")</f>
        <v/>
      </c>
      <c r="W350" s="547">
        <f ca="1">IF($Y350&gt;0,CHOOSE(MATCH(RegimeExecucao,{"Unitário","Global"},0),IF($A350="S",$Y350/$X350,""),($Y350/$X350)*100),0)</f>
        <v>0</v>
      </c>
      <c r="X350" s="384" t="str">
        <f ca="1">IF($Y350&gt;0,CHOOSE(MATCH(RegimeExecucao,{"Unitário","Global"},0),IF($A350="S",ROUND($H350,ORÇAMENTO!$AF$10),""),ROUND($I350,ORÇAMENTO!$AF$11)),"")</f>
        <v/>
      </c>
      <c r="Y350" s="384">
        <f t="shared" ca="1" si="28"/>
        <v>0</v>
      </c>
      <c r="Z350" s="572"/>
      <c r="AB350" s="382"/>
      <c r="AC350" s="516"/>
      <c r="AD350" s="516"/>
      <c r="AE350" s="516"/>
      <c r="AF350" s="516"/>
      <c r="AG350" s="516"/>
      <c r="AH350" s="516"/>
      <c r="AI350" s="516"/>
      <c r="AJ350" s="516"/>
      <c r="AK350" s="516"/>
      <c r="AL350" s="516"/>
      <c r="AM350" s="383"/>
      <c r="AO350">
        <f ca="1">IF($A350="S",IF(BM!$I350=0,0,CHOOSE(MATCH(RegimeExecucao,{"Global","Unitário"},0),ROUND(ROUND(BM.MEDAcumulado,15-13*BM!$A$9)/100*BM!$I350,15-13*ORÇAMENTO!$AF$11),ROUND(ROUND(BM.MEDAcumulado,15-13*BM!$A$9)*ROUND(BM!$H350,15-13*ORÇAMENTO!$AF$10),15-13*ORÇAMENTO!$AF$11))),IF($A350=0,0,ROUND(SomaAgrupBM,15-13*ORÇAMENTO!$AF$11)))</f>
        <v>0</v>
      </c>
    </row>
    <row r="351" spans="1:41" ht="38.25" x14ac:dyDescent="0.2">
      <c r="A351" t="str">
        <f ca="1">ORÇAMENTO!C351</f>
        <v>S</v>
      </c>
      <c r="B351">
        <f ca="1">ORÇAMENTO!D351</f>
        <v>0</v>
      </c>
      <c r="C351" s="116" t="str">
        <f t="shared" ca="1" si="22"/>
        <v/>
      </c>
      <c r="D351" s="119" t="str">
        <f ca="1">ORÇAMENTO!O351</f>
        <v>-</v>
      </c>
      <c r="E351" s="172" t="str">
        <f t="shared" ca="1" si="23"/>
        <v>(abra o arquivo 'Referência 02-2025.xlsm)</v>
      </c>
      <c r="F351" s="173" t="str">
        <f ca="1">IF(RegimeExecucao="Global","",ORÇAMENTO.Unidade)</f>
        <v>-</v>
      </c>
      <c r="G351" s="124">
        <f ca="1">IF(RegimeExecucao="Global","",ORÇAMENTO!T351)</f>
        <v>3</v>
      </c>
      <c r="H351" s="124">
        <f ca="1">IF(RegimeExecucao="Global","",ORÇAMENTO!W351)</f>
        <v>0</v>
      </c>
      <c r="I351" s="127">
        <f ca="1">ORÇAMENTO!X351</f>
        <v>0</v>
      </c>
      <c r="J351" s="378">
        <f ca="1">IF($A351="S",IF(CAIXA.Modo,BM.AFAnterior,BM.MEDAnterior),IF(AND(RegimeExecucao="Global",$I351&gt;0,COUNTIF($AB$13:$AM$13,BM.medicao-1)&gt;0),M351/$I351*100,0))</f>
        <v>0</v>
      </c>
      <c r="K351" s="124">
        <f t="shared" ca="1" si="24"/>
        <v>0</v>
      </c>
      <c r="L351" s="379">
        <f ca="1">IF($A351="S",IF(CAIXA.Modo,BM.AFAcumulado,BM.MEDAcumulado),IF(AND(RegimeExecucao="Global",$I351&gt;0,COUNTIF($AB$13:$AM$13,BM.medicao)&gt;0),O351/$I351*100,0))</f>
        <v>0</v>
      </c>
      <c r="M351" s="380">
        <f ca="1">IF($A351="S",VTOTALBM,IF($A351=0,0,ROUND(SomaAgrupBM,15-13*ORÇAMENTO!$AF$11)))</f>
        <v>0</v>
      </c>
      <c r="N351" s="381">
        <f t="shared" ca="1" si="25"/>
        <v>0</v>
      </c>
      <c r="O351" s="127">
        <f ca="1">IF($A351="S",VTOTALBM,IF($A351=0,0,ROUND(SomaAgrupBM,15-13*ORÇAMENTO!$AF$11)))</f>
        <v>0</v>
      </c>
      <c r="Q351" s="382"/>
      <c r="R351" s="383"/>
      <c r="T351" s="119" t="str">
        <f t="shared" ca="1" si="26"/>
        <v/>
      </c>
      <c r="U351" s="172" t="str">
        <f t="shared" ca="1" si="27"/>
        <v/>
      </c>
      <c r="V351" s="173" t="str">
        <f ca="1">IF(AND($W351&gt;0,RegimeExecucao="Unitário"),$F351,"")</f>
        <v/>
      </c>
      <c r="W351" s="547">
        <f ca="1">IF($Y351&gt;0,CHOOSE(MATCH(RegimeExecucao,{"Unitário","Global"},0),IF($A351="S",$Y351/$X351,""),($Y351/$X351)*100),0)</f>
        <v>0</v>
      </c>
      <c r="X351" s="384" t="str">
        <f ca="1">IF($Y351&gt;0,CHOOSE(MATCH(RegimeExecucao,{"Unitário","Global"},0),IF($A351="S",ROUND($H351,ORÇAMENTO!$AF$10),""),ROUND($I351,ORÇAMENTO!$AF$11)),"")</f>
        <v/>
      </c>
      <c r="Y351" s="384">
        <f t="shared" ca="1" si="28"/>
        <v>0</v>
      </c>
      <c r="Z351" s="572"/>
      <c r="AB351" s="382"/>
      <c r="AC351" s="516"/>
      <c r="AD351" s="516"/>
      <c r="AE351" s="516"/>
      <c r="AF351" s="516"/>
      <c r="AG351" s="516"/>
      <c r="AH351" s="516"/>
      <c r="AI351" s="516"/>
      <c r="AJ351" s="516"/>
      <c r="AK351" s="516"/>
      <c r="AL351" s="516"/>
      <c r="AM351" s="383"/>
      <c r="AO351">
        <f ca="1">IF($A351="S",IF(BM!$I351=0,0,CHOOSE(MATCH(RegimeExecucao,{"Global","Unitário"},0),ROUND(ROUND(BM.MEDAcumulado,15-13*BM!$A$9)/100*BM!$I351,15-13*ORÇAMENTO!$AF$11),ROUND(ROUND(BM.MEDAcumulado,15-13*BM!$A$9)*ROUND(BM!$H351,15-13*ORÇAMENTO!$AF$10),15-13*ORÇAMENTO!$AF$11))),IF($A351=0,0,ROUND(SomaAgrupBM,15-13*ORÇAMENTO!$AF$11)))</f>
        <v>0</v>
      </c>
    </row>
    <row r="352" spans="1:41" ht="25.5" x14ac:dyDescent="0.2">
      <c r="A352" t="str">
        <f ca="1">ORÇAMENTO!C352</f>
        <v>S</v>
      </c>
      <c r="B352">
        <f ca="1">ORÇAMENTO!D352</f>
        <v>0</v>
      </c>
      <c r="C352" s="116" t="str">
        <f t="shared" ca="1" si="22"/>
        <v/>
      </c>
      <c r="D352" s="119" t="str">
        <f ca="1">ORÇAMENTO!O352</f>
        <v>-</v>
      </c>
      <c r="E352" s="172" t="str">
        <f t="shared" ca="1" si="23"/>
        <v>(abra o arquivo 'Referência 02-2025.xlsm)</v>
      </c>
      <c r="F352" s="173" t="str">
        <f ca="1">IF(RegimeExecucao="Global","",ORÇAMENTO.Unidade)</f>
        <v>-</v>
      </c>
      <c r="G352" s="124">
        <f ca="1">IF(RegimeExecucao="Global","",ORÇAMENTO!T352)</f>
        <v>5</v>
      </c>
      <c r="H352" s="124">
        <f ca="1">IF(RegimeExecucao="Global","",ORÇAMENTO!W352)</f>
        <v>0</v>
      </c>
      <c r="I352" s="127">
        <f ca="1">ORÇAMENTO!X352</f>
        <v>0</v>
      </c>
      <c r="J352" s="378">
        <f ca="1">IF($A352="S",IF(CAIXA.Modo,BM.AFAnterior,BM.MEDAnterior),IF(AND(RegimeExecucao="Global",$I352&gt;0,COUNTIF($AB$13:$AM$13,BM.medicao-1)&gt;0),M352/$I352*100,0))</f>
        <v>0</v>
      </c>
      <c r="K352" s="124">
        <f t="shared" ca="1" si="24"/>
        <v>0</v>
      </c>
      <c r="L352" s="379">
        <f ca="1">IF($A352="S",IF(CAIXA.Modo,BM.AFAcumulado,BM.MEDAcumulado),IF(AND(RegimeExecucao="Global",$I352&gt;0,COUNTIF($AB$13:$AM$13,BM.medicao)&gt;0),O352/$I352*100,0))</f>
        <v>0</v>
      </c>
      <c r="M352" s="380">
        <f ca="1">IF($A352="S",VTOTALBM,IF($A352=0,0,ROUND(SomaAgrupBM,15-13*ORÇAMENTO!$AF$11)))</f>
        <v>0</v>
      </c>
      <c r="N352" s="381">
        <f t="shared" ca="1" si="25"/>
        <v>0</v>
      </c>
      <c r="O352" s="127">
        <f ca="1">IF($A352="S",VTOTALBM,IF($A352=0,0,ROUND(SomaAgrupBM,15-13*ORÇAMENTO!$AF$11)))</f>
        <v>0</v>
      </c>
      <c r="Q352" s="382"/>
      <c r="R352" s="383"/>
      <c r="T352" s="119" t="str">
        <f t="shared" ca="1" si="26"/>
        <v/>
      </c>
      <c r="U352" s="172" t="str">
        <f t="shared" ca="1" si="27"/>
        <v/>
      </c>
      <c r="V352" s="173" t="str">
        <f ca="1">IF(AND($W352&gt;0,RegimeExecucao="Unitário"),$F352,"")</f>
        <v/>
      </c>
      <c r="W352" s="547">
        <f ca="1">IF($Y352&gt;0,CHOOSE(MATCH(RegimeExecucao,{"Unitário","Global"},0),IF($A352="S",$Y352/$X352,""),($Y352/$X352)*100),0)</f>
        <v>0</v>
      </c>
      <c r="X352" s="384" t="str">
        <f ca="1">IF($Y352&gt;0,CHOOSE(MATCH(RegimeExecucao,{"Unitário","Global"},0),IF($A352="S",ROUND($H352,ORÇAMENTO!$AF$10),""),ROUND($I352,ORÇAMENTO!$AF$11)),"")</f>
        <v/>
      </c>
      <c r="Y352" s="384">
        <f t="shared" ca="1" si="28"/>
        <v>0</v>
      </c>
      <c r="Z352" s="572"/>
      <c r="AB352" s="382"/>
      <c r="AC352" s="516"/>
      <c r="AD352" s="516"/>
      <c r="AE352" s="516"/>
      <c r="AF352" s="516"/>
      <c r="AG352" s="516"/>
      <c r="AH352" s="516"/>
      <c r="AI352" s="516"/>
      <c r="AJ352" s="516"/>
      <c r="AK352" s="516"/>
      <c r="AL352" s="516"/>
      <c r="AM352" s="383"/>
      <c r="AO352">
        <f ca="1">IF($A352="S",IF(BM!$I352=0,0,CHOOSE(MATCH(RegimeExecucao,{"Global","Unitário"},0),ROUND(ROUND(BM.MEDAcumulado,15-13*BM!$A$9)/100*BM!$I352,15-13*ORÇAMENTO!$AF$11),ROUND(ROUND(BM.MEDAcumulado,15-13*BM!$A$9)*ROUND(BM!$H352,15-13*ORÇAMENTO!$AF$10),15-13*ORÇAMENTO!$AF$11))),IF($A352=0,0,ROUND(SomaAgrupBM,15-13*ORÇAMENTO!$AF$11)))</f>
        <v>0</v>
      </c>
    </row>
    <row r="353" spans="1:41" ht="38.25" x14ac:dyDescent="0.2">
      <c r="A353" t="str">
        <f ca="1">ORÇAMENTO!C353</f>
        <v>S</v>
      </c>
      <c r="B353">
        <f ca="1">ORÇAMENTO!D353</f>
        <v>0</v>
      </c>
      <c r="C353" s="116" t="str">
        <f t="shared" ca="1" si="22"/>
        <v/>
      </c>
      <c r="D353" s="119" t="str">
        <f ca="1">ORÇAMENTO!O353</f>
        <v>-</v>
      </c>
      <c r="E353" s="172" t="str">
        <f t="shared" ca="1" si="23"/>
        <v>(abra o arquivo 'Referência 02-2025.xlsm)</v>
      </c>
      <c r="F353" s="173" t="str">
        <f ca="1">IF(RegimeExecucao="Global","",ORÇAMENTO.Unidade)</f>
        <v>-</v>
      </c>
      <c r="G353" s="124">
        <f ca="1">IF(RegimeExecucao="Global","",ORÇAMENTO!T353)</f>
        <v>4</v>
      </c>
      <c r="H353" s="124">
        <f ca="1">IF(RegimeExecucao="Global","",ORÇAMENTO!W353)</f>
        <v>0</v>
      </c>
      <c r="I353" s="127">
        <f ca="1">ORÇAMENTO!X353</f>
        <v>0</v>
      </c>
      <c r="J353" s="378">
        <f ca="1">IF($A353="S",IF(CAIXA.Modo,BM.AFAnterior,BM.MEDAnterior),IF(AND(RegimeExecucao="Global",$I353&gt;0,COUNTIF($AB$13:$AM$13,BM.medicao-1)&gt;0),M353/$I353*100,0))</f>
        <v>0</v>
      </c>
      <c r="K353" s="124">
        <f t="shared" ca="1" si="24"/>
        <v>0</v>
      </c>
      <c r="L353" s="379">
        <f ca="1">IF($A353="S",IF(CAIXA.Modo,BM.AFAcumulado,BM.MEDAcumulado),IF(AND(RegimeExecucao="Global",$I353&gt;0,COUNTIF($AB$13:$AM$13,BM.medicao)&gt;0),O353/$I353*100,0))</f>
        <v>0</v>
      </c>
      <c r="M353" s="380">
        <f ca="1">IF($A353="S",VTOTALBM,IF($A353=0,0,ROUND(SomaAgrupBM,15-13*ORÇAMENTO!$AF$11)))</f>
        <v>0</v>
      </c>
      <c r="N353" s="381">
        <f t="shared" ca="1" si="25"/>
        <v>0</v>
      </c>
      <c r="O353" s="127">
        <f ca="1">IF($A353="S",VTOTALBM,IF($A353=0,0,ROUND(SomaAgrupBM,15-13*ORÇAMENTO!$AF$11)))</f>
        <v>0</v>
      </c>
      <c r="Q353" s="382"/>
      <c r="R353" s="383"/>
      <c r="T353" s="119" t="str">
        <f t="shared" ca="1" si="26"/>
        <v/>
      </c>
      <c r="U353" s="172" t="str">
        <f t="shared" ca="1" si="27"/>
        <v/>
      </c>
      <c r="V353" s="173" t="str">
        <f ca="1">IF(AND($W353&gt;0,RegimeExecucao="Unitário"),$F353,"")</f>
        <v/>
      </c>
      <c r="W353" s="547">
        <f ca="1">IF($Y353&gt;0,CHOOSE(MATCH(RegimeExecucao,{"Unitário","Global"},0),IF($A353="S",$Y353/$X353,""),($Y353/$X353)*100),0)</f>
        <v>0</v>
      </c>
      <c r="X353" s="384" t="str">
        <f ca="1">IF($Y353&gt;0,CHOOSE(MATCH(RegimeExecucao,{"Unitário","Global"},0),IF($A353="S",ROUND($H353,ORÇAMENTO!$AF$10),""),ROUND($I353,ORÇAMENTO!$AF$11)),"")</f>
        <v/>
      </c>
      <c r="Y353" s="384">
        <f t="shared" ca="1" si="28"/>
        <v>0</v>
      </c>
      <c r="Z353" s="572"/>
      <c r="AB353" s="382"/>
      <c r="AC353" s="516"/>
      <c r="AD353" s="516"/>
      <c r="AE353" s="516"/>
      <c r="AF353" s="516"/>
      <c r="AG353" s="516"/>
      <c r="AH353" s="516"/>
      <c r="AI353" s="516"/>
      <c r="AJ353" s="516"/>
      <c r="AK353" s="516"/>
      <c r="AL353" s="516"/>
      <c r="AM353" s="383"/>
      <c r="AO353">
        <f ca="1">IF($A353="S",IF(BM!$I353=0,0,CHOOSE(MATCH(RegimeExecucao,{"Global","Unitário"},0),ROUND(ROUND(BM.MEDAcumulado,15-13*BM!$A$9)/100*BM!$I353,15-13*ORÇAMENTO!$AF$11),ROUND(ROUND(BM.MEDAcumulado,15-13*BM!$A$9)*ROUND(BM!$H353,15-13*ORÇAMENTO!$AF$10),15-13*ORÇAMENTO!$AF$11))),IF($A353=0,0,ROUND(SomaAgrupBM,15-13*ORÇAMENTO!$AF$11)))</f>
        <v>0</v>
      </c>
    </row>
    <row r="354" spans="1:41" ht="38.25" x14ac:dyDescent="0.2">
      <c r="A354" t="str">
        <f ca="1">ORÇAMENTO!C354</f>
        <v>S</v>
      </c>
      <c r="B354">
        <f ca="1">ORÇAMENTO!D354</f>
        <v>0</v>
      </c>
      <c r="C354" s="116" t="str">
        <f t="shared" ca="1" si="22"/>
        <v/>
      </c>
      <c r="D354" s="119" t="str">
        <f ca="1">ORÇAMENTO!O354</f>
        <v>-</v>
      </c>
      <c r="E354" s="172" t="str">
        <f t="shared" ca="1" si="23"/>
        <v>(abra o arquivo 'Referência 02-2025.xlsm)</v>
      </c>
      <c r="F354" s="173" t="str">
        <f ca="1">IF(RegimeExecucao="Global","",ORÇAMENTO.Unidade)</f>
        <v>-</v>
      </c>
      <c r="G354" s="124">
        <f ca="1">IF(RegimeExecucao="Global","",ORÇAMENTO!T354)</f>
        <v>40</v>
      </c>
      <c r="H354" s="124">
        <f ca="1">IF(RegimeExecucao="Global","",ORÇAMENTO!W354)</f>
        <v>0</v>
      </c>
      <c r="I354" s="127">
        <f ca="1">ORÇAMENTO!X354</f>
        <v>0</v>
      </c>
      <c r="J354" s="378">
        <f ca="1">IF($A354="S",IF(CAIXA.Modo,BM.AFAnterior,BM.MEDAnterior),IF(AND(RegimeExecucao="Global",$I354&gt;0,COUNTIF($AB$13:$AM$13,BM.medicao-1)&gt;0),M354/$I354*100,0))</f>
        <v>0</v>
      </c>
      <c r="K354" s="124">
        <f t="shared" ca="1" si="24"/>
        <v>0</v>
      </c>
      <c r="L354" s="379">
        <f ca="1">IF($A354="S",IF(CAIXA.Modo,BM.AFAcumulado,BM.MEDAcumulado),IF(AND(RegimeExecucao="Global",$I354&gt;0,COUNTIF($AB$13:$AM$13,BM.medicao)&gt;0),O354/$I354*100,0))</f>
        <v>0</v>
      </c>
      <c r="M354" s="380">
        <f ca="1">IF($A354="S",VTOTALBM,IF($A354=0,0,ROUND(SomaAgrupBM,15-13*ORÇAMENTO!$AF$11)))</f>
        <v>0</v>
      </c>
      <c r="N354" s="381">
        <f t="shared" ca="1" si="25"/>
        <v>0</v>
      </c>
      <c r="O354" s="127">
        <f ca="1">IF($A354="S",VTOTALBM,IF($A354=0,0,ROUND(SomaAgrupBM,15-13*ORÇAMENTO!$AF$11)))</f>
        <v>0</v>
      </c>
      <c r="Q354" s="382"/>
      <c r="R354" s="383"/>
      <c r="T354" s="119" t="str">
        <f t="shared" ca="1" si="26"/>
        <v/>
      </c>
      <c r="U354" s="172" t="str">
        <f t="shared" ca="1" si="27"/>
        <v/>
      </c>
      <c r="V354" s="173" t="str">
        <f ca="1">IF(AND($W354&gt;0,RegimeExecucao="Unitário"),$F354,"")</f>
        <v/>
      </c>
      <c r="W354" s="547">
        <f ca="1">IF($Y354&gt;0,CHOOSE(MATCH(RegimeExecucao,{"Unitário","Global"},0),IF($A354="S",$Y354/$X354,""),($Y354/$X354)*100),0)</f>
        <v>0</v>
      </c>
      <c r="X354" s="384" t="str">
        <f ca="1">IF($Y354&gt;0,CHOOSE(MATCH(RegimeExecucao,{"Unitário","Global"},0),IF($A354="S",ROUND($H354,ORÇAMENTO!$AF$10),""),ROUND($I354,ORÇAMENTO!$AF$11)),"")</f>
        <v/>
      </c>
      <c r="Y354" s="384">
        <f t="shared" ca="1" si="28"/>
        <v>0</v>
      </c>
      <c r="Z354" s="572"/>
      <c r="AB354" s="382"/>
      <c r="AC354" s="516"/>
      <c r="AD354" s="516"/>
      <c r="AE354" s="516"/>
      <c r="AF354" s="516"/>
      <c r="AG354" s="516"/>
      <c r="AH354" s="516"/>
      <c r="AI354" s="516"/>
      <c r="AJ354" s="516"/>
      <c r="AK354" s="516"/>
      <c r="AL354" s="516"/>
      <c r="AM354" s="383"/>
      <c r="AO354">
        <f ca="1">IF($A354="S",IF(BM!$I354=0,0,CHOOSE(MATCH(RegimeExecucao,{"Global","Unitário"},0),ROUND(ROUND(BM.MEDAcumulado,15-13*BM!$A$9)/100*BM!$I354,15-13*ORÇAMENTO!$AF$11),ROUND(ROUND(BM.MEDAcumulado,15-13*BM!$A$9)*ROUND(BM!$H354,15-13*ORÇAMENTO!$AF$10),15-13*ORÇAMENTO!$AF$11))),IF($A354=0,0,ROUND(SomaAgrupBM,15-13*ORÇAMENTO!$AF$11)))</f>
        <v>0</v>
      </c>
    </row>
    <row r="355" spans="1:41" ht="38.25" x14ac:dyDescent="0.2">
      <c r="A355" t="str">
        <f ca="1">ORÇAMENTO!C355</f>
        <v>S</v>
      </c>
      <c r="B355">
        <f ca="1">ORÇAMENTO!D355</f>
        <v>0</v>
      </c>
      <c r="C355" s="116" t="str">
        <f t="shared" ca="1" si="22"/>
        <v/>
      </c>
      <c r="D355" s="119" t="str">
        <f ca="1">ORÇAMENTO!O355</f>
        <v>-</v>
      </c>
      <c r="E355" s="172" t="str">
        <f t="shared" ca="1" si="23"/>
        <v>(abra o arquivo 'Referência 02-2025.xlsm)</v>
      </c>
      <c r="F355" s="173" t="str">
        <f ca="1">IF(RegimeExecucao="Global","",ORÇAMENTO.Unidade)</f>
        <v>-</v>
      </c>
      <c r="G355" s="124">
        <f ca="1">IF(RegimeExecucao="Global","",ORÇAMENTO!T355)</f>
        <v>60</v>
      </c>
      <c r="H355" s="124">
        <f ca="1">IF(RegimeExecucao="Global","",ORÇAMENTO!W355)</f>
        <v>0</v>
      </c>
      <c r="I355" s="127">
        <f ca="1">ORÇAMENTO!X355</f>
        <v>0</v>
      </c>
      <c r="J355" s="378">
        <f ca="1">IF($A355="S",IF(CAIXA.Modo,BM.AFAnterior,BM.MEDAnterior),IF(AND(RegimeExecucao="Global",$I355&gt;0,COUNTIF($AB$13:$AM$13,BM.medicao-1)&gt;0),M355/$I355*100,0))</f>
        <v>0</v>
      </c>
      <c r="K355" s="124">
        <f t="shared" ca="1" si="24"/>
        <v>0</v>
      </c>
      <c r="L355" s="379">
        <f ca="1">IF($A355="S",IF(CAIXA.Modo,BM.AFAcumulado,BM.MEDAcumulado),IF(AND(RegimeExecucao="Global",$I355&gt;0,COUNTIF($AB$13:$AM$13,BM.medicao)&gt;0),O355/$I355*100,0))</f>
        <v>0</v>
      </c>
      <c r="M355" s="380">
        <f ca="1">IF($A355="S",VTOTALBM,IF($A355=0,0,ROUND(SomaAgrupBM,15-13*ORÇAMENTO!$AF$11)))</f>
        <v>0</v>
      </c>
      <c r="N355" s="381">
        <f t="shared" ca="1" si="25"/>
        <v>0</v>
      </c>
      <c r="O355" s="127">
        <f ca="1">IF($A355="S",VTOTALBM,IF($A355=0,0,ROUND(SomaAgrupBM,15-13*ORÇAMENTO!$AF$11)))</f>
        <v>0</v>
      </c>
      <c r="Q355" s="382"/>
      <c r="R355" s="383"/>
      <c r="T355" s="119" t="str">
        <f t="shared" ca="1" si="26"/>
        <v/>
      </c>
      <c r="U355" s="172" t="str">
        <f t="shared" ca="1" si="27"/>
        <v/>
      </c>
      <c r="V355" s="173" t="str">
        <f ca="1">IF(AND($W355&gt;0,RegimeExecucao="Unitário"),$F355,"")</f>
        <v/>
      </c>
      <c r="W355" s="547">
        <f ca="1">IF($Y355&gt;0,CHOOSE(MATCH(RegimeExecucao,{"Unitário","Global"},0),IF($A355="S",$Y355/$X355,""),($Y355/$X355)*100),0)</f>
        <v>0</v>
      </c>
      <c r="X355" s="384" t="str">
        <f ca="1">IF($Y355&gt;0,CHOOSE(MATCH(RegimeExecucao,{"Unitário","Global"},0),IF($A355="S",ROUND($H355,ORÇAMENTO!$AF$10),""),ROUND($I355,ORÇAMENTO!$AF$11)),"")</f>
        <v/>
      </c>
      <c r="Y355" s="384">
        <f t="shared" ca="1" si="28"/>
        <v>0</v>
      </c>
      <c r="Z355" s="572"/>
      <c r="AB355" s="382"/>
      <c r="AC355" s="516"/>
      <c r="AD355" s="516"/>
      <c r="AE355" s="516"/>
      <c r="AF355" s="516"/>
      <c r="AG355" s="516"/>
      <c r="AH355" s="516"/>
      <c r="AI355" s="516"/>
      <c r="AJ355" s="516"/>
      <c r="AK355" s="516"/>
      <c r="AL355" s="516"/>
      <c r="AM355" s="383"/>
      <c r="AO355">
        <f ca="1">IF($A355="S",IF(BM!$I355=0,0,CHOOSE(MATCH(RegimeExecucao,{"Global","Unitário"},0),ROUND(ROUND(BM.MEDAcumulado,15-13*BM!$A$9)/100*BM!$I355,15-13*ORÇAMENTO!$AF$11),ROUND(ROUND(BM.MEDAcumulado,15-13*BM!$A$9)*ROUND(BM!$H355,15-13*ORÇAMENTO!$AF$10),15-13*ORÇAMENTO!$AF$11))),IF($A355=0,0,ROUND(SomaAgrupBM,15-13*ORÇAMENTO!$AF$11)))</f>
        <v>0</v>
      </c>
    </row>
    <row r="356" spans="1:41" ht="38.25" x14ac:dyDescent="0.2">
      <c r="A356" t="str">
        <f ca="1">ORÇAMENTO!C356</f>
        <v>S</v>
      </c>
      <c r="B356">
        <f ca="1">ORÇAMENTO!D356</f>
        <v>0</v>
      </c>
      <c r="C356" s="116" t="str">
        <f t="shared" ca="1" si="22"/>
        <v/>
      </c>
      <c r="D356" s="119" t="str">
        <f ca="1">ORÇAMENTO!O356</f>
        <v>-</v>
      </c>
      <c r="E356" s="172" t="str">
        <f t="shared" ca="1" si="23"/>
        <v>(abra o arquivo 'Referência 02-2025.xlsm)</v>
      </c>
      <c r="F356" s="173" t="str">
        <f ca="1">IF(RegimeExecucao="Global","",ORÇAMENTO.Unidade)</f>
        <v>-</v>
      </c>
      <c r="G356" s="124">
        <f ca="1">IF(RegimeExecucao="Global","",ORÇAMENTO!T356)</f>
        <v>4</v>
      </c>
      <c r="H356" s="124">
        <f ca="1">IF(RegimeExecucao="Global","",ORÇAMENTO!W356)</f>
        <v>0</v>
      </c>
      <c r="I356" s="127">
        <f ca="1">ORÇAMENTO!X356</f>
        <v>0</v>
      </c>
      <c r="J356" s="378">
        <f ca="1">IF($A356="S",IF(CAIXA.Modo,BM.AFAnterior,BM.MEDAnterior),IF(AND(RegimeExecucao="Global",$I356&gt;0,COUNTIF($AB$13:$AM$13,BM.medicao-1)&gt;0),M356/$I356*100,0))</f>
        <v>0</v>
      </c>
      <c r="K356" s="124">
        <f t="shared" ca="1" si="24"/>
        <v>0</v>
      </c>
      <c r="L356" s="379">
        <f ca="1">IF($A356="S",IF(CAIXA.Modo,BM.AFAcumulado,BM.MEDAcumulado),IF(AND(RegimeExecucao="Global",$I356&gt;0,COUNTIF($AB$13:$AM$13,BM.medicao)&gt;0),O356/$I356*100,0))</f>
        <v>0</v>
      </c>
      <c r="M356" s="380">
        <f ca="1">IF($A356="S",VTOTALBM,IF($A356=0,0,ROUND(SomaAgrupBM,15-13*ORÇAMENTO!$AF$11)))</f>
        <v>0</v>
      </c>
      <c r="N356" s="381">
        <f t="shared" ca="1" si="25"/>
        <v>0</v>
      </c>
      <c r="O356" s="127">
        <f ca="1">IF($A356="S",VTOTALBM,IF($A356=0,0,ROUND(SomaAgrupBM,15-13*ORÇAMENTO!$AF$11)))</f>
        <v>0</v>
      </c>
      <c r="Q356" s="382"/>
      <c r="R356" s="383"/>
      <c r="T356" s="119" t="str">
        <f t="shared" ca="1" si="26"/>
        <v/>
      </c>
      <c r="U356" s="172" t="str">
        <f t="shared" ca="1" si="27"/>
        <v/>
      </c>
      <c r="V356" s="173" t="str">
        <f ca="1">IF(AND($W356&gt;0,RegimeExecucao="Unitário"),$F356,"")</f>
        <v/>
      </c>
      <c r="W356" s="547">
        <f ca="1">IF($Y356&gt;0,CHOOSE(MATCH(RegimeExecucao,{"Unitário","Global"},0),IF($A356="S",$Y356/$X356,""),($Y356/$X356)*100),0)</f>
        <v>0</v>
      </c>
      <c r="X356" s="384" t="str">
        <f ca="1">IF($Y356&gt;0,CHOOSE(MATCH(RegimeExecucao,{"Unitário","Global"},0),IF($A356="S",ROUND($H356,ORÇAMENTO!$AF$10),""),ROUND($I356,ORÇAMENTO!$AF$11)),"")</f>
        <v/>
      </c>
      <c r="Y356" s="384">
        <f t="shared" ca="1" si="28"/>
        <v>0</v>
      </c>
      <c r="Z356" s="572"/>
      <c r="AB356" s="382"/>
      <c r="AC356" s="516"/>
      <c r="AD356" s="516"/>
      <c r="AE356" s="516"/>
      <c r="AF356" s="516"/>
      <c r="AG356" s="516"/>
      <c r="AH356" s="516"/>
      <c r="AI356" s="516"/>
      <c r="AJ356" s="516"/>
      <c r="AK356" s="516"/>
      <c r="AL356" s="516"/>
      <c r="AM356" s="383"/>
      <c r="AO356">
        <f ca="1">IF($A356="S",IF(BM!$I356=0,0,CHOOSE(MATCH(RegimeExecucao,{"Global","Unitário"},0),ROUND(ROUND(BM.MEDAcumulado,15-13*BM!$A$9)/100*BM!$I356,15-13*ORÇAMENTO!$AF$11),ROUND(ROUND(BM.MEDAcumulado,15-13*BM!$A$9)*ROUND(BM!$H356,15-13*ORÇAMENTO!$AF$10),15-13*ORÇAMENTO!$AF$11))),IF($A356=0,0,ROUND(SomaAgrupBM,15-13*ORÇAMENTO!$AF$11)))</f>
        <v>0</v>
      </c>
    </row>
    <row r="357" spans="1:41" ht="38.25" x14ac:dyDescent="0.2">
      <c r="A357" t="str">
        <f ca="1">ORÇAMENTO!C357</f>
        <v>S</v>
      </c>
      <c r="B357">
        <f ca="1">ORÇAMENTO!D357</f>
        <v>0</v>
      </c>
      <c r="C357" s="116" t="str">
        <f t="shared" ca="1" si="22"/>
        <v/>
      </c>
      <c r="D357" s="119" t="str">
        <f ca="1">ORÇAMENTO!O357</f>
        <v>-</v>
      </c>
      <c r="E357" s="172" t="str">
        <f t="shared" ca="1" si="23"/>
        <v>(abra o arquivo 'Referência 02-2025.xlsm)</v>
      </c>
      <c r="F357" s="173" t="str">
        <f ca="1">IF(RegimeExecucao="Global","",ORÇAMENTO.Unidade)</f>
        <v>-</v>
      </c>
      <c r="G357" s="124">
        <f ca="1">IF(RegimeExecucao="Global","",ORÇAMENTO!T357)</f>
        <v>7</v>
      </c>
      <c r="H357" s="124">
        <f ca="1">IF(RegimeExecucao="Global","",ORÇAMENTO!W357)</f>
        <v>0</v>
      </c>
      <c r="I357" s="127">
        <f ca="1">ORÇAMENTO!X357</f>
        <v>0</v>
      </c>
      <c r="J357" s="378">
        <f ca="1">IF($A357="S",IF(CAIXA.Modo,BM.AFAnterior,BM.MEDAnterior),IF(AND(RegimeExecucao="Global",$I357&gt;0,COUNTIF($AB$13:$AM$13,BM.medicao-1)&gt;0),M357/$I357*100,0))</f>
        <v>0</v>
      </c>
      <c r="K357" s="124">
        <f t="shared" ca="1" si="24"/>
        <v>0</v>
      </c>
      <c r="L357" s="379">
        <f ca="1">IF($A357="S",IF(CAIXA.Modo,BM.AFAcumulado,BM.MEDAcumulado),IF(AND(RegimeExecucao="Global",$I357&gt;0,COUNTIF($AB$13:$AM$13,BM.medicao)&gt;0),O357/$I357*100,0))</f>
        <v>0</v>
      </c>
      <c r="M357" s="380">
        <f ca="1">IF($A357="S",VTOTALBM,IF($A357=0,0,ROUND(SomaAgrupBM,15-13*ORÇAMENTO!$AF$11)))</f>
        <v>0</v>
      </c>
      <c r="N357" s="381">
        <f t="shared" ca="1" si="25"/>
        <v>0</v>
      </c>
      <c r="O357" s="127">
        <f ca="1">IF($A357="S",VTOTALBM,IF($A357=0,0,ROUND(SomaAgrupBM,15-13*ORÇAMENTO!$AF$11)))</f>
        <v>0</v>
      </c>
      <c r="Q357" s="382"/>
      <c r="R357" s="383"/>
      <c r="T357" s="119" t="str">
        <f t="shared" ca="1" si="26"/>
        <v/>
      </c>
      <c r="U357" s="172" t="str">
        <f t="shared" ca="1" si="27"/>
        <v/>
      </c>
      <c r="V357" s="173" t="str">
        <f ca="1">IF(AND($W357&gt;0,RegimeExecucao="Unitário"),$F357,"")</f>
        <v/>
      </c>
      <c r="W357" s="547">
        <f ca="1">IF($Y357&gt;0,CHOOSE(MATCH(RegimeExecucao,{"Unitário","Global"},0),IF($A357="S",$Y357/$X357,""),($Y357/$X357)*100),0)</f>
        <v>0</v>
      </c>
      <c r="X357" s="384" t="str">
        <f ca="1">IF($Y357&gt;0,CHOOSE(MATCH(RegimeExecucao,{"Unitário","Global"},0),IF($A357="S",ROUND($H357,ORÇAMENTO!$AF$10),""),ROUND($I357,ORÇAMENTO!$AF$11)),"")</f>
        <v/>
      </c>
      <c r="Y357" s="384">
        <f t="shared" ca="1" si="28"/>
        <v>0</v>
      </c>
      <c r="Z357" s="572"/>
      <c r="AB357" s="382"/>
      <c r="AC357" s="516"/>
      <c r="AD357" s="516"/>
      <c r="AE357" s="516"/>
      <c r="AF357" s="516"/>
      <c r="AG357" s="516"/>
      <c r="AH357" s="516"/>
      <c r="AI357" s="516"/>
      <c r="AJ357" s="516"/>
      <c r="AK357" s="516"/>
      <c r="AL357" s="516"/>
      <c r="AM357" s="383"/>
      <c r="AO357">
        <f ca="1">IF($A357="S",IF(BM!$I357=0,0,CHOOSE(MATCH(RegimeExecucao,{"Global","Unitário"},0),ROUND(ROUND(BM.MEDAcumulado,15-13*BM!$A$9)/100*BM!$I357,15-13*ORÇAMENTO!$AF$11),ROUND(ROUND(BM.MEDAcumulado,15-13*BM!$A$9)*ROUND(BM!$H357,15-13*ORÇAMENTO!$AF$10),15-13*ORÇAMENTO!$AF$11))),IF($A357=0,0,ROUND(SomaAgrupBM,15-13*ORÇAMENTO!$AF$11)))</f>
        <v>0</v>
      </c>
    </row>
    <row r="358" spans="1:41" ht="38.25" x14ac:dyDescent="0.2">
      <c r="A358" t="str">
        <f ca="1">ORÇAMENTO!C358</f>
        <v>S</v>
      </c>
      <c r="B358">
        <f ca="1">ORÇAMENTO!D358</f>
        <v>0</v>
      </c>
      <c r="C358" s="116" t="str">
        <f t="shared" ca="1" si="22"/>
        <v/>
      </c>
      <c r="D358" s="119" t="str">
        <f ca="1">ORÇAMENTO!O358</f>
        <v>-</v>
      </c>
      <c r="E358" s="172" t="str">
        <f t="shared" ca="1" si="23"/>
        <v>(abra o arquivo 'Referência 02-2025.xlsm)</v>
      </c>
      <c r="F358" s="173" t="str">
        <f ca="1">IF(RegimeExecucao="Global","",ORÇAMENTO.Unidade)</f>
        <v>-</v>
      </c>
      <c r="G358" s="124">
        <f ca="1">IF(RegimeExecucao="Global","",ORÇAMENTO!T358)</f>
        <v>3</v>
      </c>
      <c r="H358" s="124">
        <f ca="1">IF(RegimeExecucao="Global","",ORÇAMENTO!W358)</f>
        <v>0</v>
      </c>
      <c r="I358" s="127">
        <f ca="1">ORÇAMENTO!X358</f>
        <v>0</v>
      </c>
      <c r="J358" s="378">
        <f ca="1">IF($A358="S",IF(CAIXA.Modo,BM.AFAnterior,BM.MEDAnterior),IF(AND(RegimeExecucao="Global",$I358&gt;0,COUNTIF($AB$13:$AM$13,BM.medicao-1)&gt;0),M358/$I358*100,0))</f>
        <v>0</v>
      </c>
      <c r="K358" s="124">
        <f t="shared" ca="1" si="24"/>
        <v>0</v>
      </c>
      <c r="L358" s="379">
        <f ca="1">IF($A358="S",IF(CAIXA.Modo,BM.AFAcumulado,BM.MEDAcumulado),IF(AND(RegimeExecucao="Global",$I358&gt;0,COUNTIF($AB$13:$AM$13,BM.medicao)&gt;0),O358/$I358*100,0))</f>
        <v>0</v>
      </c>
      <c r="M358" s="380">
        <f ca="1">IF($A358="S",VTOTALBM,IF($A358=0,0,ROUND(SomaAgrupBM,15-13*ORÇAMENTO!$AF$11)))</f>
        <v>0</v>
      </c>
      <c r="N358" s="381">
        <f t="shared" ca="1" si="25"/>
        <v>0</v>
      </c>
      <c r="O358" s="127">
        <f ca="1">IF($A358="S",VTOTALBM,IF($A358=0,0,ROUND(SomaAgrupBM,15-13*ORÇAMENTO!$AF$11)))</f>
        <v>0</v>
      </c>
      <c r="Q358" s="382"/>
      <c r="R358" s="383"/>
      <c r="T358" s="119" t="str">
        <f t="shared" ca="1" si="26"/>
        <v/>
      </c>
      <c r="U358" s="172" t="str">
        <f t="shared" ca="1" si="27"/>
        <v/>
      </c>
      <c r="V358" s="173" t="str">
        <f ca="1">IF(AND($W358&gt;0,RegimeExecucao="Unitário"),$F358,"")</f>
        <v/>
      </c>
      <c r="W358" s="547">
        <f ca="1">IF($Y358&gt;0,CHOOSE(MATCH(RegimeExecucao,{"Unitário","Global"},0),IF($A358="S",$Y358/$X358,""),($Y358/$X358)*100),0)</f>
        <v>0</v>
      </c>
      <c r="X358" s="384" t="str">
        <f ca="1">IF($Y358&gt;0,CHOOSE(MATCH(RegimeExecucao,{"Unitário","Global"},0),IF($A358="S",ROUND($H358,ORÇAMENTO!$AF$10),""),ROUND($I358,ORÇAMENTO!$AF$11)),"")</f>
        <v/>
      </c>
      <c r="Y358" s="384">
        <f t="shared" ca="1" si="28"/>
        <v>0</v>
      </c>
      <c r="Z358" s="572"/>
      <c r="AB358" s="382"/>
      <c r="AC358" s="516"/>
      <c r="AD358" s="516"/>
      <c r="AE358" s="516"/>
      <c r="AF358" s="516"/>
      <c r="AG358" s="516"/>
      <c r="AH358" s="516"/>
      <c r="AI358" s="516"/>
      <c r="AJ358" s="516"/>
      <c r="AK358" s="516"/>
      <c r="AL358" s="516"/>
      <c r="AM358" s="383"/>
      <c r="AO358">
        <f ca="1">IF($A358="S",IF(BM!$I358=0,0,CHOOSE(MATCH(RegimeExecucao,{"Global","Unitário"},0),ROUND(ROUND(BM.MEDAcumulado,15-13*BM!$A$9)/100*BM!$I358,15-13*ORÇAMENTO!$AF$11),ROUND(ROUND(BM.MEDAcumulado,15-13*BM!$A$9)*ROUND(BM!$H358,15-13*ORÇAMENTO!$AF$10),15-13*ORÇAMENTO!$AF$11))),IF($A358=0,0,ROUND(SomaAgrupBM,15-13*ORÇAMENTO!$AF$11)))</f>
        <v>0</v>
      </c>
    </row>
    <row r="359" spans="1:41" ht="38.25" x14ac:dyDescent="0.2">
      <c r="A359" t="str">
        <f ca="1">ORÇAMENTO!C359</f>
        <v>S</v>
      </c>
      <c r="B359">
        <f ca="1">ORÇAMENTO!D359</f>
        <v>0</v>
      </c>
      <c r="C359" s="116" t="str">
        <f t="shared" ca="1" si="22"/>
        <v/>
      </c>
      <c r="D359" s="119" t="str">
        <f ca="1">ORÇAMENTO!O359</f>
        <v>-</v>
      </c>
      <c r="E359" s="172" t="str">
        <f t="shared" ca="1" si="23"/>
        <v>(abra o arquivo 'Referência 02-2025.xlsm)</v>
      </c>
      <c r="F359" s="173" t="str">
        <f ca="1">IF(RegimeExecucao="Global","",ORÇAMENTO.Unidade)</f>
        <v>-</v>
      </c>
      <c r="G359" s="124">
        <f ca="1">IF(RegimeExecucao="Global","",ORÇAMENTO!T359)</f>
        <v>46</v>
      </c>
      <c r="H359" s="124">
        <f ca="1">IF(RegimeExecucao="Global","",ORÇAMENTO!W359)</f>
        <v>0</v>
      </c>
      <c r="I359" s="127">
        <f ca="1">ORÇAMENTO!X359</f>
        <v>0</v>
      </c>
      <c r="J359" s="378">
        <f ca="1">IF($A359="S",IF(CAIXA.Modo,BM.AFAnterior,BM.MEDAnterior),IF(AND(RegimeExecucao="Global",$I359&gt;0,COUNTIF($AB$13:$AM$13,BM.medicao-1)&gt;0),M359/$I359*100,0))</f>
        <v>0</v>
      </c>
      <c r="K359" s="124">
        <f t="shared" ca="1" si="24"/>
        <v>0</v>
      </c>
      <c r="L359" s="379">
        <f ca="1">IF($A359="S",IF(CAIXA.Modo,BM.AFAcumulado,BM.MEDAcumulado),IF(AND(RegimeExecucao="Global",$I359&gt;0,COUNTIF($AB$13:$AM$13,BM.medicao)&gt;0),O359/$I359*100,0))</f>
        <v>0</v>
      </c>
      <c r="M359" s="380">
        <f ca="1">IF($A359="S",VTOTALBM,IF($A359=0,0,ROUND(SomaAgrupBM,15-13*ORÇAMENTO!$AF$11)))</f>
        <v>0</v>
      </c>
      <c r="N359" s="381">
        <f t="shared" ca="1" si="25"/>
        <v>0</v>
      </c>
      <c r="O359" s="127">
        <f ca="1">IF($A359="S",VTOTALBM,IF($A359=0,0,ROUND(SomaAgrupBM,15-13*ORÇAMENTO!$AF$11)))</f>
        <v>0</v>
      </c>
      <c r="Q359" s="382"/>
      <c r="R359" s="383"/>
      <c r="T359" s="119" t="str">
        <f t="shared" ca="1" si="26"/>
        <v/>
      </c>
      <c r="U359" s="172" t="str">
        <f t="shared" ca="1" si="27"/>
        <v/>
      </c>
      <c r="V359" s="173" t="str">
        <f ca="1">IF(AND($W359&gt;0,RegimeExecucao="Unitário"),$F359,"")</f>
        <v/>
      </c>
      <c r="W359" s="547">
        <f ca="1">IF($Y359&gt;0,CHOOSE(MATCH(RegimeExecucao,{"Unitário","Global"},0),IF($A359="S",$Y359/$X359,""),($Y359/$X359)*100),0)</f>
        <v>0</v>
      </c>
      <c r="X359" s="384" t="str">
        <f ca="1">IF($Y359&gt;0,CHOOSE(MATCH(RegimeExecucao,{"Unitário","Global"},0),IF($A359="S",ROUND($H359,ORÇAMENTO!$AF$10),""),ROUND($I359,ORÇAMENTO!$AF$11)),"")</f>
        <v/>
      </c>
      <c r="Y359" s="384">
        <f t="shared" ca="1" si="28"/>
        <v>0</v>
      </c>
      <c r="Z359" s="572"/>
      <c r="AB359" s="382"/>
      <c r="AC359" s="516"/>
      <c r="AD359" s="516"/>
      <c r="AE359" s="516"/>
      <c r="AF359" s="516"/>
      <c r="AG359" s="516"/>
      <c r="AH359" s="516"/>
      <c r="AI359" s="516"/>
      <c r="AJ359" s="516"/>
      <c r="AK359" s="516"/>
      <c r="AL359" s="516"/>
      <c r="AM359" s="383"/>
      <c r="AO359">
        <f ca="1">IF($A359="S",IF(BM!$I359=0,0,CHOOSE(MATCH(RegimeExecucao,{"Global","Unitário"},0),ROUND(ROUND(BM.MEDAcumulado,15-13*BM!$A$9)/100*BM!$I359,15-13*ORÇAMENTO!$AF$11),ROUND(ROUND(BM.MEDAcumulado,15-13*BM!$A$9)*ROUND(BM!$H359,15-13*ORÇAMENTO!$AF$10),15-13*ORÇAMENTO!$AF$11))),IF($A359=0,0,ROUND(SomaAgrupBM,15-13*ORÇAMENTO!$AF$11)))</f>
        <v>0</v>
      </c>
    </row>
    <row r="360" spans="1:41" ht="38.25" x14ac:dyDescent="0.2">
      <c r="A360" t="str">
        <f ca="1">ORÇAMENTO!C360</f>
        <v>S</v>
      </c>
      <c r="B360">
        <f ca="1">ORÇAMENTO!D360</f>
        <v>0</v>
      </c>
      <c r="C360" s="116" t="str">
        <f t="shared" ca="1" si="22"/>
        <v/>
      </c>
      <c r="D360" s="119" t="str">
        <f ca="1">ORÇAMENTO!O360</f>
        <v>-</v>
      </c>
      <c r="E360" s="172" t="str">
        <f t="shared" ca="1" si="23"/>
        <v>(abra o arquivo 'Referência 02-2025.xlsm)</v>
      </c>
      <c r="F360" s="173" t="str">
        <f ca="1">IF(RegimeExecucao="Global","",ORÇAMENTO.Unidade)</f>
        <v>-</v>
      </c>
      <c r="G360" s="124">
        <f ca="1">IF(RegimeExecucao="Global","",ORÇAMENTO!T360)</f>
        <v>51</v>
      </c>
      <c r="H360" s="124">
        <f ca="1">IF(RegimeExecucao="Global","",ORÇAMENTO!W360)</f>
        <v>0</v>
      </c>
      <c r="I360" s="127">
        <f ca="1">ORÇAMENTO!X360</f>
        <v>0</v>
      </c>
      <c r="J360" s="378">
        <f ca="1">IF($A360="S",IF(CAIXA.Modo,BM.AFAnterior,BM.MEDAnterior),IF(AND(RegimeExecucao="Global",$I360&gt;0,COUNTIF($AB$13:$AM$13,BM.medicao-1)&gt;0),M360/$I360*100,0))</f>
        <v>0</v>
      </c>
      <c r="K360" s="124">
        <f t="shared" ca="1" si="24"/>
        <v>0</v>
      </c>
      <c r="L360" s="379">
        <f ca="1">IF($A360="S",IF(CAIXA.Modo,BM.AFAcumulado,BM.MEDAcumulado),IF(AND(RegimeExecucao="Global",$I360&gt;0,COUNTIF($AB$13:$AM$13,BM.medicao)&gt;0),O360/$I360*100,0))</f>
        <v>0</v>
      </c>
      <c r="M360" s="380">
        <f ca="1">IF($A360="S",VTOTALBM,IF($A360=0,0,ROUND(SomaAgrupBM,15-13*ORÇAMENTO!$AF$11)))</f>
        <v>0</v>
      </c>
      <c r="N360" s="381">
        <f t="shared" ca="1" si="25"/>
        <v>0</v>
      </c>
      <c r="O360" s="127">
        <f ca="1">IF($A360="S",VTOTALBM,IF($A360=0,0,ROUND(SomaAgrupBM,15-13*ORÇAMENTO!$AF$11)))</f>
        <v>0</v>
      </c>
      <c r="Q360" s="382"/>
      <c r="R360" s="383"/>
      <c r="T360" s="119" t="str">
        <f t="shared" ca="1" si="26"/>
        <v/>
      </c>
      <c r="U360" s="172" t="str">
        <f t="shared" ca="1" si="27"/>
        <v/>
      </c>
      <c r="V360" s="173" t="str">
        <f ca="1">IF(AND($W360&gt;0,RegimeExecucao="Unitário"),$F360,"")</f>
        <v/>
      </c>
      <c r="W360" s="547">
        <f ca="1">IF($Y360&gt;0,CHOOSE(MATCH(RegimeExecucao,{"Unitário","Global"},0),IF($A360="S",$Y360/$X360,""),($Y360/$X360)*100),0)</f>
        <v>0</v>
      </c>
      <c r="X360" s="384" t="str">
        <f ca="1">IF($Y360&gt;0,CHOOSE(MATCH(RegimeExecucao,{"Unitário","Global"},0),IF($A360="S",ROUND($H360,ORÇAMENTO!$AF$10),""),ROUND($I360,ORÇAMENTO!$AF$11)),"")</f>
        <v/>
      </c>
      <c r="Y360" s="384">
        <f t="shared" ca="1" si="28"/>
        <v>0</v>
      </c>
      <c r="Z360" s="572"/>
      <c r="AB360" s="382"/>
      <c r="AC360" s="516"/>
      <c r="AD360" s="516"/>
      <c r="AE360" s="516"/>
      <c r="AF360" s="516"/>
      <c r="AG360" s="516"/>
      <c r="AH360" s="516"/>
      <c r="AI360" s="516"/>
      <c r="AJ360" s="516"/>
      <c r="AK360" s="516"/>
      <c r="AL360" s="516"/>
      <c r="AM360" s="383"/>
      <c r="AO360">
        <f ca="1">IF($A360="S",IF(BM!$I360=0,0,CHOOSE(MATCH(RegimeExecucao,{"Global","Unitário"},0),ROUND(ROUND(BM.MEDAcumulado,15-13*BM!$A$9)/100*BM!$I360,15-13*ORÇAMENTO!$AF$11),ROUND(ROUND(BM.MEDAcumulado,15-13*BM!$A$9)*ROUND(BM!$H360,15-13*ORÇAMENTO!$AF$10),15-13*ORÇAMENTO!$AF$11))),IF($A360=0,0,ROUND(SomaAgrupBM,15-13*ORÇAMENTO!$AF$11)))</f>
        <v>0</v>
      </c>
    </row>
    <row r="361" spans="1:41" ht="38.25" x14ac:dyDescent="0.2">
      <c r="A361" t="str">
        <f ca="1">ORÇAMENTO!C361</f>
        <v>S</v>
      </c>
      <c r="B361">
        <f ca="1">ORÇAMENTO!D361</f>
        <v>0</v>
      </c>
      <c r="C361" s="116" t="str">
        <f t="shared" ca="1" si="22"/>
        <v/>
      </c>
      <c r="D361" s="119" t="str">
        <f ca="1">ORÇAMENTO!O361</f>
        <v>-</v>
      </c>
      <c r="E361" s="172" t="str">
        <f t="shared" ca="1" si="23"/>
        <v>(abra o arquivo 'Referência 02-2025.xlsm)</v>
      </c>
      <c r="F361" s="173" t="str">
        <f ca="1">IF(RegimeExecucao="Global","",ORÇAMENTO.Unidade)</f>
        <v>-</v>
      </c>
      <c r="G361" s="124">
        <f ca="1">IF(RegimeExecucao="Global","",ORÇAMENTO!T361)</f>
        <v>15</v>
      </c>
      <c r="H361" s="124">
        <f ca="1">IF(RegimeExecucao="Global","",ORÇAMENTO!W361)</f>
        <v>0</v>
      </c>
      <c r="I361" s="127">
        <f ca="1">ORÇAMENTO!X361</f>
        <v>0</v>
      </c>
      <c r="J361" s="378">
        <f ca="1">IF($A361="S",IF(CAIXA.Modo,BM.AFAnterior,BM.MEDAnterior),IF(AND(RegimeExecucao="Global",$I361&gt;0,COUNTIF($AB$13:$AM$13,BM.medicao-1)&gt;0),M361/$I361*100,0))</f>
        <v>0</v>
      </c>
      <c r="K361" s="124">
        <f t="shared" ca="1" si="24"/>
        <v>0</v>
      </c>
      <c r="L361" s="379">
        <f ca="1">IF($A361="S",IF(CAIXA.Modo,BM.AFAcumulado,BM.MEDAcumulado),IF(AND(RegimeExecucao="Global",$I361&gt;0,COUNTIF($AB$13:$AM$13,BM.medicao)&gt;0),O361/$I361*100,0))</f>
        <v>0</v>
      </c>
      <c r="M361" s="380">
        <f ca="1">IF($A361="S",VTOTALBM,IF($A361=0,0,ROUND(SomaAgrupBM,15-13*ORÇAMENTO!$AF$11)))</f>
        <v>0</v>
      </c>
      <c r="N361" s="381">
        <f t="shared" ca="1" si="25"/>
        <v>0</v>
      </c>
      <c r="O361" s="127">
        <f ca="1">IF($A361="S",VTOTALBM,IF($A361=0,0,ROUND(SomaAgrupBM,15-13*ORÇAMENTO!$AF$11)))</f>
        <v>0</v>
      </c>
      <c r="Q361" s="382"/>
      <c r="R361" s="383"/>
      <c r="T361" s="119" t="str">
        <f t="shared" ca="1" si="26"/>
        <v/>
      </c>
      <c r="U361" s="172" t="str">
        <f t="shared" ca="1" si="27"/>
        <v/>
      </c>
      <c r="V361" s="173" t="str">
        <f ca="1">IF(AND($W361&gt;0,RegimeExecucao="Unitário"),$F361,"")</f>
        <v/>
      </c>
      <c r="W361" s="547">
        <f ca="1">IF($Y361&gt;0,CHOOSE(MATCH(RegimeExecucao,{"Unitário","Global"},0),IF($A361="S",$Y361/$X361,""),($Y361/$X361)*100),0)</f>
        <v>0</v>
      </c>
      <c r="X361" s="384" t="str">
        <f ca="1">IF($Y361&gt;0,CHOOSE(MATCH(RegimeExecucao,{"Unitário","Global"},0),IF($A361="S",ROUND($H361,ORÇAMENTO!$AF$10),""),ROUND($I361,ORÇAMENTO!$AF$11)),"")</f>
        <v/>
      </c>
      <c r="Y361" s="384">
        <f t="shared" ca="1" si="28"/>
        <v>0</v>
      </c>
      <c r="Z361" s="572"/>
      <c r="AB361" s="382"/>
      <c r="AC361" s="516"/>
      <c r="AD361" s="516"/>
      <c r="AE361" s="516"/>
      <c r="AF361" s="516"/>
      <c r="AG361" s="516"/>
      <c r="AH361" s="516"/>
      <c r="AI361" s="516"/>
      <c r="AJ361" s="516"/>
      <c r="AK361" s="516"/>
      <c r="AL361" s="516"/>
      <c r="AM361" s="383"/>
      <c r="AO361">
        <f ca="1">IF($A361="S",IF(BM!$I361=0,0,CHOOSE(MATCH(RegimeExecucao,{"Global","Unitário"},0),ROUND(ROUND(BM.MEDAcumulado,15-13*BM!$A$9)/100*BM!$I361,15-13*ORÇAMENTO!$AF$11),ROUND(ROUND(BM.MEDAcumulado,15-13*BM!$A$9)*ROUND(BM!$H361,15-13*ORÇAMENTO!$AF$10),15-13*ORÇAMENTO!$AF$11))),IF($A361=0,0,ROUND(SomaAgrupBM,15-13*ORÇAMENTO!$AF$11)))</f>
        <v>0</v>
      </c>
    </row>
    <row r="362" spans="1:41" ht="38.25" x14ac:dyDescent="0.2">
      <c r="A362" t="str">
        <f ca="1">ORÇAMENTO!C362</f>
        <v>S</v>
      </c>
      <c r="B362">
        <f ca="1">ORÇAMENTO!D362</f>
        <v>0</v>
      </c>
      <c r="C362" s="116" t="str">
        <f t="shared" ca="1" si="22"/>
        <v/>
      </c>
      <c r="D362" s="119" t="str">
        <f ca="1">ORÇAMENTO!O362</f>
        <v>-</v>
      </c>
      <c r="E362" s="172" t="str">
        <f t="shared" ca="1" si="23"/>
        <v>(abra o arquivo 'Referência 02-2025.xlsm)</v>
      </c>
      <c r="F362" s="173" t="str">
        <f ca="1">IF(RegimeExecucao="Global","",ORÇAMENTO.Unidade)</f>
        <v>-</v>
      </c>
      <c r="G362" s="124">
        <f ca="1">IF(RegimeExecucao="Global","",ORÇAMENTO!T362)</f>
        <v>13</v>
      </c>
      <c r="H362" s="124">
        <f ca="1">IF(RegimeExecucao="Global","",ORÇAMENTO!W362)</f>
        <v>0</v>
      </c>
      <c r="I362" s="127">
        <f ca="1">ORÇAMENTO!X362</f>
        <v>0</v>
      </c>
      <c r="J362" s="378">
        <f ca="1">IF($A362="S",IF(CAIXA.Modo,BM.AFAnterior,BM.MEDAnterior),IF(AND(RegimeExecucao="Global",$I362&gt;0,COUNTIF($AB$13:$AM$13,BM.medicao-1)&gt;0),M362/$I362*100,0))</f>
        <v>0</v>
      </c>
      <c r="K362" s="124">
        <f t="shared" ca="1" si="24"/>
        <v>0</v>
      </c>
      <c r="L362" s="379">
        <f ca="1">IF($A362="S",IF(CAIXA.Modo,BM.AFAcumulado,BM.MEDAcumulado),IF(AND(RegimeExecucao="Global",$I362&gt;0,COUNTIF($AB$13:$AM$13,BM.medicao)&gt;0),O362/$I362*100,0))</f>
        <v>0</v>
      </c>
      <c r="M362" s="380">
        <f ca="1">IF($A362="S",VTOTALBM,IF($A362=0,0,ROUND(SomaAgrupBM,15-13*ORÇAMENTO!$AF$11)))</f>
        <v>0</v>
      </c>
      <c r="N362" s="381">
        <f t="shared" ca="1" si="25"/>
        <v>0</v>
      </c>
      <c r="O362" s="127">
        <f ca="1">IF($A362="S",VTOTALBM,IF($A362=0,0,ROUND(SomaAgrupBM,15-13*ORÇAMENTO!$AF$11)))</f>
        <v>0</v>
      </c>
      <c r="Q362" s="382"/>
      <c r="R362" s="383"/>
      <c r="T362" s="119" t="str">
        <f t="shared" ca="1" si="26"/>
        <v/>
      </c>
      <c r="U362" s="172" t="str">
        <f t="shared" ca="1" si="27"/>
        <v/>
      </c>
      <c r="V362" s="173" t="str">
        <f ca="1">IF(AND($W362&gt;0,RegimeExecucao="Unitário"),$F362,"")</f>
        <v/>
      </c>
      <c r="W362" s="547">
        <f ca="1">IF($Y362&gt;0,CHOOSE(MATCH(RegimeExecucao,{"Unitário","Global"},0),IF($A362="S",$Y362/$X362,""),($Y362/$X362)*100),0)</f>
        <v>0</v>
      </c>
      <c r="X362" s="384" t="str">
        <f ca="1">IF($Y362&gt;0,CHOOSE(MATCH(RegimeExecucao,{"Unitário","Global"},0),IF($A362="S",ROUND($H362,ORÇAMENTO!$AF$10),""),ROUND($I362,ORÇAMENTO!$AF$11)),"")</f>
        <v/>
      </c>
      <c r="Y362" s="384">
        <f t="shared" ca="1" si="28"/>
        <v>0</v>
      </c>
      <c r="Z362" s="572"/>
      <c r="AB362" s="382"/>
      <c r="AC362" s="516"/>
      <c r="AD362" s="516"/>
      <c r="AE362" s="516"/>
      <c r="AF362" s="516"/>
      <c r="AG362" s="516"/>
      <c r="AH362" s="516"/>
      <c r="AI362" s="516"/>
      <c r="AJ362" s="516"/>
      <c r="AK362" s="516"/>
      <c r="AL362" s="516"/>
      <c r="AM362" s="383"/>
      <c r="AO362">
        <f ca="1">IF($A362="S",IF(BM!$I362=0,0,CHOOSE(MATCH(RegimeExecucao,{"Global","Unitário"},0),ROUND(ROUND(BM.MEDAcumulado,15-13*BM!$A$9)/100*BM!$I362,15-13*ORÇAMENTO!$AF$11),ROUND(ROUND(BM.MEDAcumulado,15-13*BM!$A$9)*ROUND(BM!$H362,15-13*ORÇAMENTO!$AF$10),15-13*ORÇAMENTO!$AF$11))),IF($A362=0,0,ROUND(SomaAgrupBM,15-13*ORÇAMENTO!$AF$11)))</f>
        <v>0</v>
      </c>
    </row>
    <row r="363" spans="1:41" ht="38.25" x14ac:dyDescent="0.2">
      <c r="A363" t="str">
        <f ca="1">ORÇAMENTO!C363</f>
        <v>S</v>
      </c>
      <c r="B363">
        <f ca="1">ORÇAMENTO!D363</f>
        <v>0</v>
      </c>
      <c r="C363" s="116" t="str">
        <f t="shared" ca="1" si="22"/>
        <v/>
      </c>
      <c r="D363" s="119" t="str">
        <f ca="1">ORÇAMENTO!O363</f>
        <v>-</v>
      </c>
      <c r="E363" s="172" t="str">
        <f t="shared" ca="1" si="23"/>
        <v>(abra o arquivo 'Referência 02-2025.xlsm)</v>
      </c>
      <c r="F363" s="173" t="str">
        <f ca="1">IF(RegimeExecucao="Global","",ORÇAMENTO.Unidade)</f>
        <v>-</v>
      </c>
      <c r="G363" s="124">
        <f ca="1">IF(RegimeExecucao="Global","",ORÇAMENTO!T363)</f>
        <v>21</v>
      </c>
      <c r="H363" s="124">
        <f ca="1">IF(RegimeExecucao="Global","",ORÇAMENTO!W363)</f>
        <v>0</v>
      </c>
      <c r="I363" s="127">
        <f ca="1">ORÇAMENTO!X363</f>
        <v>0</v>
      </c>
      <c r="J363" s="378">
        <f ca="1">IF($A363="S",IF(CAIXA.Modo,BM.AFAnterior,BM.MEDAnterior),IF(AND(RegimeExecucao="Global",$I363&gt;0,COUNTIF($AB$13:$AM$13,BM.medicao-1)&gt;0),M363/$I363*100,0))</f>
        <v>0</v>
      </c>
      <c r="K363" s="124">
        <f t="shared" ca="1" si="24"/>
        <v>0</v>
      </c>
      <c r="L363" s="379">
        <f ca="1">IF($A363="S",IF(CAIXA.Modo,BM.AFAcumulado,BM.MEDAcumulado),IF(AND(RegimeExecucao="Global",$I363&gt;0,COUNTIF($AB$13:$AM$13,BM.medicao)&gt;0),O363/$I363*100,0))</f>
        <v>0</v>
      </c>
      <c r="M363" s="380">
        <f ca="1">IF($A363="S",VTOTALBM,IF($A363=0,0,ROUND(SomaAgrupBM,15-13*ORÇAMENTO!$AF$11)))</f>
        <v>0</v>
      </c>
      <c r="N363" s="381">
        <f t="shared" ca="1" si="25"/>
        <v>0</v>
      </c>
      <c r="O363" s="127">
        <f ca="1">IF($A363="S",VTOTALBM,IF($A363=0,0,ROUND(SomaAgrupBM,15-13*ORÇAMENTO!$AF$11)))</f>
        <v>0</v>
      </c>
      <c r="Q363" s="382"/>
      <c r="R363" s="383"/>
      <c r="T363" s="119" t="str">
        <f t="shared" ca="1" si="26"/>
        <v/>
      </c>
      <c r="U363" s="172" t="str">
        <f t="shared" ca="1" si="27"/>
        <v/>
      </c>
      <c r="V363" s="173" t="str">
        <f ca="1">IF(AND($W363&gt;0,RegimeExecucao="Unitário"),$F363,"")</f>
        <v/>
      </c>
      <c r="W363" s="547">
        <f ca="1">IF($Y363&gt;0,CHOOSE(MATCH(RegimeExecucao,{"Unitário","Global"},0),IF($A363="S",$Y363/$X363,""),($Y363/$X363)*100),0)</f>
        <v>0</v>
      </c>
      <c r="X363" s="384" t="str">
        <f ca="1">IF($Y363&gt;0,CHOOSE(MATCH(RegimeExecucao,{"Unitário","Global"},0),IF($A363="S",ROUND($H363,ORÇAMENTO!$AF$10),""),ROUND($I363,ORÇAMENTO!$AF$11)),"")</f>
        <v/>
      </c>
      <c r="Y363" s="384">
        <f t="shared" ca="1" si="28"/>
        <v>0</v>
      </c>
      <c r="Z363" s="572"/>
      <c r="AB363" s="382"/>
      <c r="AC363" s="516"/>
      <c r="AD363" s="516"/>
      <c r="AE363" s="516"/>
      <c r="AF363" s="516"/>
      <c r="AG363" s="516"/>
      <c r="AH363" s="516"/>
      <c r="AI363" s="516"/>
      <c r="AJ363" s="516"/>
      <c r="AK363" s="516"/>
      <c r="AL363" s="516"/>
      <c r="AM363" s="383"/>
      <c r="AO363">
        <f ca="1">IF($A363="S",IF(BM!$I363=0,0,CHOOSE(MATCH(RegimeExecucao,{"Global","Unitário"},0),ROUND(ROUND(BM.MEDAcumulado,15-13*BM!$A$9)/100*BM!$I363,15-13*ORÇAMENTO!$AF$11),ROUND(ROUND(BM.MEDAcumulado,15-13*BM!$A$9)*ROUND(BM!$H363,15-13*ORÇAMENTO!$AF$10),15-13*ORÇAMENTO!$AF$11))),IF($A363=0,0,ROUND(SomaAgrupBM,15-13*ORÇAMENTO!$AF$11)))</f>
        <v>0</v>
      </c>
    </row>
    <row r="364" spans="1:41" ht="38.25" x14ac:dyDescent="0.2">
      <c r="A364" t="str">
        <f ca="1">ORÇAMENTO!C364</f>
        <v>S</v>
      </c>
      <c r="B364">
        <f ca="1">ORÇAMENTO!D364</f>
        <v>0</v>
      </c>
      <c r="C364" s="116" t="str">
        <f t="shared" ca="1" si="22"/>
        <v/>
      </c>
      <c r="D364" s="119" t="str">
        <f ca="1">ORÇAMENTO!O364</f>
        <v>-</v>
      </c>
      <c r="E364" s="172" t="str">
        <f t="shared" ca="1" si="23"/>
        <v>(abra o arquivo 'Referência 02-2025.xlsm)</v>
      </c>
      <c r="F364" s="173" t="str">
        <f ca="1">IF(RegimeExecucao="Global","",ORÇAMENTO.Unidade)</f>
        <v>-</v>
      </c>
      <c r="G364" s="124">
        <f ca="1">IF(RegimeExecucao="Global","",ORÇAMENTO!T364)</f>
        <v>9</v>
      </c>
      <c r="H364" s="124">
        <f ca="1">IF(RegimeExecucao="Global","",ORÇAMENTO!W364)</f>
        <v>0</v>
      </c>
      <c r="I364" s="127">
        <f ca="1">ORÇAMENTO!X364</f>
        <v>0</v>
      </c>
      <c r="J364" s="378">
        <f ca="1">IF($A364="S",IF(CAIXA.Modo,BM.AFAnterior,BM.MEDAnterior),IF(AND(RegimeExecucao="Global",$I364&gt;0,COUNTIF($AB$13:$AM$13,BM.medicao-1)&gt;0),M364/$I364*100,0))</f>
        <v>0</v>
      </c>
      <c r="K364" s="124">
        <f t="shared" ca="1" si="24"/>
        <v>0</v>
      </c>
      <c r="L364" s="379">
        <f ca="1">IF($A364="S",IF(CAIXA.Modo,BM.AFAcumulado,BM.MEDAcumulado),IF(AND(RegimeExecucao="Global",$I364&gt;0,COUNTIF($AB$13:$AM$13,BM.medicao)&gt;0),O364/$I364*100,0))</f>
        <v>0</v>
      </c>
      <c r="M364" s="380">
        <f ca="1">IF($A364="S",VTOTALBM,IF($A364=0,0,ROUND(SomaAgrupBM,15-13*ORÇAMENTO!$AF$11)))</f>
        <v>0</v>
      </c>
      <c r="N364" s="381">
        <f t="shared" ca="1" si="25"/>
        <v>0</v>
      </c>
      <c r="O364" s="127">
        <f ca="1">IF($A364="S",VTOTALBM,IF($A364=0,0,ROUND(SomaAgrupBM,15-13*ORÇAMENTO!$AF$11)))</f>
        <v>0</v>
      </c>
      <c r="Q364" s="382"/>
      <c r="R364" s="383"/>
      <c r="T364" s="119" t="str">
        <f t="shared" ca="1" si="26"/>
        <v/>
      </c>
      <c r="U364" s="172" t="str">
        <f t="shared" ca="1" si="27"/>
        <v/>
      </c>
      <c r="V364" s="173" t="str">
        <f ca="1">IF(AND($W364&gt;0,RegimeExecucao="Unitário"),$F364,"")</f>
        <v/>
      </c>
      <c r="W364" s="547">
        <f ca="1">IF($Y364&gt;0,CHOOSE(MATCH(RegimeExecucao,{"Unitário","Global"},0),IF($A364="S",$Y364/$X364,""),($Y364/$X364)*100),0)</f>
        <v>0</v>
      </c>
      <c r="X364" s="384" t="str">
        <f ca="1">IF($Y364&gt;0,CHOOSE(MATCH(RegimeExecucao,{"Unitário","Global"},0),IF($A364="S",ROUND($H364,ORÇAMENTO!$AF$10),""),ROUND($I364,ORÇAMENTO!$AF$11)),"")</f>
        <v/>
      </c>
      <c r="Y364" s="384">
        <f t="shared" ca="1" si="28"/>
        <v>0</v>
      </c>
      <c r="Z364" s="572"/>
      <c r="AB364" s="382"/>
      <c r="AC364" s="516"/>
      <c r="AD364" s="516"/>
      <c r="AE364" s="516"/>
      <c r="AF364" s="516"/>
      <c r="AG364" s="516"/>
      <c r="AH364" s="516"/>
      <c r="AI364" s="516"/>
      <c r="AJ364" s="516"/>
      <c r="AK364" s="516"/>
      <c r="AL364" s="516"/>
      <c r="AM364" s="383"/>
      <c r="AO364">
        <f ca="1">IF($A364="S",IF(BM!$I364=0,0,CHOOSE(MATCH(RegimeExecucao,{"Global","Unitário"},0),ROUND(ROUND(BM.MEDAcumulado,15-13*BM!$A$9)/100*BM!$I364,15-13*ORÇAMENTO!$AF$11),ROUND(ROUND(BM.MEDAcumulado,15-13*BM!$A$9)*ROUND(BM!$H364,15-13*ORÇAMENTO!$AF$10),15-13*ORÇAMENTO!$AF$11))),IF($A364=0,0,ROUND(SomaAgrupBM,15-13*ORÇAMENTO!$AF$11)))</f>
        <v>0</v>
      </c>
    </row>
    <row r="365" spans="1:41" ht="38.25" x14ac:dyDescent="0.2">
      <c r="A365" t="str">
        <f ca="1">ORÇAMENTO!C365</f>
        <v>S</v>
      </c>
      <c r="B365">
        <f ca="1">ORÇAMENTO!D365</f>
        <v>0</v>
      </c>
      <c r="C365" s="116" t="str">
        <f t="shared" ca="1" si="22"/>
        <v/>
      </c>
      <c r="D365" s="119" t="str">
        <f ca="1">ORÇAMENTO!O365</f>
        <v>-</v>
      </c>
      <c r="E365" s="172" t="str">
        <f t="shared" ca="1" si="23"/>
        <v>(abra o arquivo 'Referência 02-2025.xlsm)</v>
      </c>
      <c r="F365" s="173" t="str">
        <f ca="1">IF(RegimeExecucao="Global","",ORÇAMENTO.Unidade)</f>
        <v>-</v>
      </c>
      <c r="G365" s="124">
        <f ca="1">IF(RegimeExecucao="Global","",ORÇAMENTO!T365)</f>
        <v>6</v>
      </c>
      <c r="H365" s="124">
        <f ca="1">IF(RegimeExecucao="Global","",ORÇAMENTO!W365)</f>
        <v>0</v>
      </c>
      <c r="I365" s="127">
        <f ca="1">ORÇAMENTO!X365</f>
        <v>0</v>
      </c>
      <c r="J365" s="378">
        <f ca="1">IF($A365="S",IF(CAIXA.Modo,BM.AFAnterior,BM.MEDAnterior),IF(AND(RegimeExecucao="Global",$I365&gt;0,COUNTIF($AB$13:$AM$13,BM.medicao-1)&gt;0),M365/$I365*100,0))</f>
        <v>0</v>
      </c>
      <c r="K365" s="124">
        <f t="shared" ca="1" si="24"/>
        <v>0</v>
      </c>
      <c r="L365" s="379">
        <f ca="1">IF($A365="S",IF(CAIXA.Modo,BM.AFAcumulado,BM.MEDAcumulado),IF(AND(RegimeExecucao="Global",$I365&gt;0,COUNTIF($AB$13:$AM$13,BM.medicao)&gt;0),O365/$I365*100,0))</f>
        <v>0</v>
      </c>
      <c r="M365" s="380">
        <f ca="1">IF($A365="S",VTOTALBM,IF($A365=0,0,ROUND(SomaAgrupBM,15-13*ORÇAMENTO!$AF$11)))</f>
        <v>0</v>
      </c>
      <c r="N365" s="381">
        <f t="shared" ca="1" si="25"/>
        <v>0</v>
      </c>
      <c r="O365" s="127">
        <f ca="1">IF($A365="S",VTOTALBM,IF($A365=0,0,ROUND(SomaAgrupBM,15-13*ORÇAMENTO!$AF$11)))</f>
        <v>0</v>
      </c>
      <c r="Q365" s="382"/>
      <c r="R365" s="383"/>
      <c r="T365" s="119" t="str">
        <f t="shared" ca="1" si="26"/>
        <v/>
      </c>
      <c r="U365" s="172" t="str">
        <f t="shared" ca="1" si="27"/>
        <v/>
      </c>
      <c r="V365" s="173" t="str">
        <f ca="1">IF(AND($W365&gt;0,RegimeExecucao="Unitário"),$F365,"")</f>
        <v/>
      </c>
      <c r="W365" s="547">
        <f ca="1">IF($Y365&gt;0,CHOOSE(MATCH(RegimeExecucao,{"Unitário","Global"},0),IF($A365="S",$Y365/$X365,""),($Y365/$X365)*100),0)</f>
        <v>0</v>
      </c>
      <c r="X365" s="384" t="str">
        <f ca="1">IF($Y365&gt;0,CHOOSE(MATCH(RegimeExecucao,{"Unitário","Global"},0),IF($A365="S",ROUND($H365,ORÇAMENTO!$AF$10),""),ROUND($I365,ORÇAMENTO!$AF$11)),"")</f>
        <v/>
      </c>
      <c r="Y365" s="384">
        <f t="shared" ca="1" si="28"/>
        <v>0</v>
      </c>
      <c r="Z365" s="572"/>
      <c r="AB365" s="382"/>
      <c r="AC365" s="516"/>
      <c r="AD365" s="516"/>
      <c r="AE365" s="516"/>
      <c r="AF365" s="516"/>
      <c r="AG365" s="516"/>
      <c r="AH365" s="516"/>
      <c r="AI365" s="516"/>
      <c r="AJ365" s="516"/>
      <c r="AK365" s="516"/>
      <c r="AL365" s="516"/>
      <c r="AM365" s="383"/>
      <c r="AO365">
        <f ca="1">IF($A365="S",IF(BM!$I365=0,0,CHOOSE(MATCH(RegimeExecucao,{"Global","Unitário"},0),ROUND(ROUND(BM.MEDAcumulado,15-13*BM!$A$9)/100*BM!$I365,15-13*ORÇAMENTO!$AF$11),ROUND(ROUND(BM.MEDAcumulado,15-13*BM!$A$9)*ROUND(BM!$H365,15-13*ORÇAMENTO!$AF$10),15-13*ORÇAMENTO!$AF$11))),IF($A365=0,0,ROUND(SomaAgrupBM,15-13*ORÇAMENTO!$AF$11)))</f>
        <v>0</v>
      </c>
    </row>
    <row r="366" spans="1:41" ht="38.25" x14ac:dyDescent="0.2">
      <c r="A366" t="str">
        <f ca="1">ORÇAMENTO!C366</f>
        <v>S</v>
      </c>
      <c r="B366">
        <f ca="1">ORÇAMENTO!D366</f>
        <v>0</v>
      </c>
      <c r="C366" s="116" t="str">
        <f t="shared" ca="1" si="22"/>
        <v/>
      </c>
      <c r="D366" s="119" t="str">
        <f ca="1">ORÇAMENTO!O366</f>
        <v>-</v>
      </c>
      <c r="E366" s="172" t="str">
        <f t="shared" ca="1" si="23"/>
        <v>(abra o arquivo 'Referência 02-2025.xlsm)</v>
      </c>
      <c r="F366" s="173" t="str">
        <f ca="1">IF(RegimeExecucao="Global","",ORÇAMENTO.Unidade)</f>
        <v>-</v>
      </c>
      <c r="G366" s="124">
        <f ca="1">IF(RegimeExecucao="Global","",ORÇAMENTO!T366)</f>
        <v>16</v>
      </c>
      <c r="H366" s="124">
        <f ca="1">IF(RegimeExecucao="Global","",ORÇAMENTO!W366)</f>
        <v>0</v>
      </c>
      <c r="I366" s="127">
        <f ca="1">ORÇAMENTO!X366</f>
        <v>0</v>
      </c>
      <c r="J366" s="378">
        <f ca="1">IF($A366="S",IF(CAIXA.Modo,BM.AFAnterior,BM.MEDAnterior),IF(AND(RegimeExecucao="Global",$I366&gt;0,COUNTIF($AB$13:$AM$13,BM.medicao-1)&gt;0),M366/$I366*100,0))</f>
        <v>0</v>
      </c>
      <c r="K366" s="124">
        <f t="shared" ca="1" si="24"/>
        <v>0</v>
      </c>
      <c r="L366" s="379">
        <f ca="1">IF($A366="S",IF(CAIXA.Modo,BM.AFAcumulado,BM.MEDAcumulado),IF(AND(RegimeExecucao="Global",$I366&gt;0,COUNTIF($AB$13:$AM$13,BM.medicao)&gt;0),O366/$I366*100,0))</f>
        <v>0</v>
      </c>
      <c r="M366" s="380">
        <f ca="1">IF($A366="S",VTOTALBM,IF($A366=0,0,ROUND(SomaAgrupBM,15-13*ORÇAMENTO!$AF$11)))</f>
        <v>0</v>
      </c>
      <c r="N366" s="381">
        <f t="shared" ca="1" si="25"/>
        <v>0</v>
      </c>
      <c r="O366" s="127">
        <f ca="1">IF($A366="S",VTOTALBM,IF($A366=0,0,ROUND(SomaAgrupBM,15-13*ORÇAMENTO!$AF$11)))</f>
        <v>0</v>
      </c>
      <c r="Q366" s="382"/>
      <c r="R366" s="383"/>
      <c r="T366" s="119" t="str">
        <f t="shared" ca="1" si="26"/>
        <v/>
      </c>
      <c r="U366" s="172" t="str">
        <f t="shared" ca="1" si="27"/>
        <v/>
      </c>
      <c r="V366" s="173" t="str">
        <f ca="1">IF(AND($W366&gt;0,RegimeExecucao="Unitário"),$F366,"")</f>
        <v/>
      </c>
      <c r="W366" s="547">
        <f ca="1">IF($Y366&gt;0,CHOOSE(MATCH(RegimeExecucao,{"Unitário","Global"},0),IF($A366="S",$Y366/$X366,""),($Y366/$X366)*100),0)</f>
        <v>0</v>
      </c>
      <c r="X366" s="384" t="str">
        <f ca="1">IF($Y366&gt;0,CHOOSE(MATCH(RegimeExecucao,{"Unitário","Global"},0),IF($A366="S",ROUND($H366,ORÇAMENTO!$AF$10),""),ROUND($I366,ORÇAMENTO!$AF$11)),"")</f>
        <v/>
      </c>
      <c r="Y366" s="384">
        <f t="shared" ca="1" si="28"/>
        <v>0</v>
      </c>
      <c r="Z366" s="572"/>
      <c r="AB366" s="382"/>
      <c r="AC366" s="516"/>
      <c r="AD366" s="516"/>
      <c r="AE366" s="516"/>
      <c r="AF366" s="516"/>
      <c r="AG366" s="516"/>
      <c r="AH366" s="516"/>
      <c r="AI366" s="516"/>
      <c r="AJ366" s="516"/>
      <c r="AK366" s="516"/>
      <c r="AL366" s="516"/>
      <c r="AM366" s="383"/>
      <c r="AO366">
        <f ca="1">IF($A366="S",IF(BM!$I366=0,0,CHOOSE(MATCH(RegimeExecucao,{"Global","Unitário"},0),ROUND(ROUND(BM.MEDAcumulado,15-13*BM!$A$9)/100*BM!$I366,15-13*ORÇAMENTO!$AF$11),ROUND(ROUND(BM.MEDAcumulado,15-13*BM!$A$9)*ROUND(BM!$H366,15-13*ORÇAMENTO!$AF$10),15-13*ORÇAMENTO!$AF$11))),IF($A366=0,0,ROUND(SomaAgrupBM,15-13*ORÇAMENTO!$AF$11)))</f>
        <v>0</v>
      </c>
    </row>
    <row r="367" spans="1:41" ht="38.25" x14ac:dyDescent="0.2">
      <c r="A367" t="str">
        <f ca="1">ORÇAMENTO!C367</f>
        <v>S</v>
      </c>
      <c r="B367">
        <f ca="1">ORÇAMENTO!D367</f>
        <v>0</v>
      </c>
      <c r="C367" s="116" t="str">
        <f t="shared" ca="1" si="22"/>
        <v/>
      </c>
      <c r="D367" s="119" t="str">
        <f ca="1">ORÇAMENTO!O367</f>
        <v>-</v>
      </c>
      <c r="E367" s="172" t="str">
        <f t="shared" ca="1" si="23"/>
        <v>(abra o arquivo 'Referência 02-2025.xlsm)</v>
      </c>
      <c r="F367" s="173" t="str">
        <f ca="1">IF(RegimeExecucao="Global","",ORÇAMENTO.Unidade)</f>
        <v>-</v>
      </c>
      <c r="G367" s="124">
        <f ca="1">IF(RegimeExecucao="Global","",ORÇAMENTO!T367)</f>
        <v>2</v>
      </c>
      <c r="H367" s="124">
        <f ca="1">IF(RegimeExecucao="Global","",ORÇAMENTO!W367)</f>
        <v>0</v>
      </c>
      <c r="I367" s="127">
        <f ca="1">ORÇAMENTO!X367</f>
        <v>0</v>
      </c>
      <c r="J367" s="378">
        <f ca="1">IF($A367="S",IF(CAIXA.Modo,BM.AFAnterior,BM.MEDAnterior),IF(AND(RegimeExecucao="Global",$I367&gt;0,COUNTIF($AB$13:$AM$13,BM.medicao-1)&gt;0),M367/$I367*100,0))</f>
        <v>0</v>
      </c>
      <c r="K367" s="124">
        <f t="shared" ca="1" si="24"/>
        <v>0</v>
      </c>
      <c r="L367" s="379">
        <f ca="1">IF($A367="S",IF(CAIXA.Modo,BM.AFAcumulado,BM.MEDAcumulado),IF(AND(RegimeExecucao="Global",$I367&gt;0,COUNTIF($AB$13:$AM$13,BM.medicao)&gt;0),O367/$I367*100,0))</f>
        <v>0</v>
      </c>
      <c r="M367" s="380">
        <f ca="1">IF($A367="S",VTOTALBM,IF($A367=0,0,ROUND(SomaAgrupBM,15-13*ORÇAMENTO!$AF$11)))</f>
        <v>0</v>
      </c>
      <c r="N367" s="381">
        <f t="shared" ca="1" si="25"/>
        <v>0</v>
      </c>
      <c r="O367" s="127">
        <f ca="1">IF($A367="S",VTOTALBM,IF($A367=0,0,ROUND(SomaAgrupBM,15-13*ORÇAMENTO!$AF$11)))</f>
        <v>0</v>
      </c>
      <c r="Q367" s="382"/>
      <c r="R367" s="383"/>
      <c r="T367" s="119" t="str">
        <f t="shared" ca="1" si="26"/>
        <v/>
      </c>
      <c r="U367" s="172" t="str">
        <f t="shared" ca="1" si="27"/>
        <v/>
      </c>
      <c r="V367" s="173" t="str">
        <f ca="1">IF(AND($W367&gt;0,RegimeExecucao="Unitário"),$F367,"")</f>
        <v/>
      </c>
      <c r="W367" s="547">
        <f ca="1">IF($Y367&gt;0,CHOOSE(MATCH(RegimeExecucao,{"Unitário","Global"},0),IF($A367="S",$Y367/$X367,""),($Y367/$X367)*100),0)</f>
        <v>0</v>
      </c>
      <c r="X367" s="384" t="str">
        <f ca="1">IF($Y367&gt;0,CHOOSE(MATCH(RegimeExecucao,{"Unitário","Global"},0),IF($A367="S",ROUND($H367,ORÇAMENTO!$AF$10),""),ROUND($I367,ORÇAMENTO!$AF$11)),"")</f>
        <v/>
      </c>
      <c r="Y367" s="384">
        <f t="shared" ca="1" si="28"/>
        <v>0</v>
      </c>
      <c r="Z367" s="572"/>
      <c r="AB367" s="382"/>
      <c r="AC367" s="516"/>
      <c r="AD367" s="516"/>
      <c r="AE367" s="516"/>
      <c r="AF367" s="516"/>
      <c r="AG367" s="516"/>
      <c r="AH367" s="516"/>
      <c r="AI367" s="516"/>
      <c r="AJ367" s="516"/>
      <c r="AK367" s="516"/>
      <c r="AL367" s="516"/>
      <c r="AM367" s="383"/>
      <c r="AO367">
        <f ca="1">IF($A367="S",IF(BM!$I367=0,0,CHOOSE(MATCH(RegimeExecucao,{"Global","Unitário"},0),ROUND(ROUND(BM.MEDAcumulado,15-13*BM!$A$9)/100*BM!$I367,15-13*ORÇAMENTO!$AF$11),ROUND(ROUND(BM.MEDAcumulado,15-13*BM!$A$9)*ROUND(BM!$H367,15-13*ORÇAMENTO!$AF$10),15-13*ORÇAMENTO!$AF$11))),IF($A367=0,0,ROUND(SomaAgrupBM,15-13*ORÇAMENTO!$AF$11)))</f>
        <v>0</v>
      </c>
    </row>
    <row r="368" spans="1:41" ht="38.25" x14ac:dyDescent="0.2">
      <c r="A368" t="str">
        <f ca="1">ORÇAMENTO!C368</f>
        <v>S</v>
      </c>
      <c r="B368">
        <f ca="1">ORÇAMENTO!D368</f>
        <v>0</v>
      </c>
      <c r="C368" s="116" t="str">
        <f t="shared" ca="1" si="22"/>
        <v/>
      </c>
      <c r="D368" s="119" t="str">
        <f ca="1">ORÇAMENTO!O368</f>
        <v>-</v>
      </c>
      <c r="E368" s="172" t="str">
        <f t="shared" ca="1" si="23"/>
        <v>(abra o arquivo 'Referência 02-2025.xlsm)</v>
      </c>
      <c r="F368" s="173" t="str">
        <f ca="1">IF(RegimeExecucao="Global","",ORÇAMENTO.Unidade)</f>
        <v>-</v>
      </c>
      <c r="G368" s="124">
        <f ca="1">IF(RegimeExecucao="Global","",ORÇAMENTO!T368)</f>
        <v>1</v>
      </c>
      <c r="H368" s="124">
        <f ca="1">IF(RegimeExecucao="Global","",ORÇAMENTO!W368)</f>
        <v>0</v>
      </c>
      <c r="I368" s="127">
        <f ca="1">ORÇAMENTO!X368</f>
        <v>0</v>
      </c>
      <c r="J368" s="378">
        <f ca="1">IF($A368="S",IF(CAIXA.Modo,BM.AFAnterior,BM.MEDAnterior),IF(AND(RegimeExecucao="Global",$I368&gt;0,COUNTIF($AB$13:$AM$13,BM.medicao-1)&gt;0),M368/$I368*100,0))</f>
        <v>0</v>
      </c>
      <c r="K368" s="124">
        <f t="shared" ca="1" si="24"/>
        <v>0</v>
      </c>
      <c r="L368" s="379">
        <f ca="1">IF($A368="S",IF(CAIXA.Modo,BM.AFAcumulado,BM.MEDAcumulado),IF(AND(RegimeExecucao="Global",$I368&gt;0,COUNTIF($AB$13:$AM$13,BM.medicao)&gt;0),O368/$I368*100,0))</f>
        <v>0</v>
      </c>
      <c r="M368" s="380">
        <f ca="1">IF($A368="S",VTOTALBM,IF($A368=0,0,ROUND(SomaAgrupBM,15-13*ORÇAMENTO!$AF$11)))</f>
        <v>0</v>
      </c>
      <c r="N368" s="381">
        <f t="shared" ca="1" si="25"/>
        <v>0</v>
      </c>
      <c r="O368" s="127">
        <f ca="1">IF($A368="S",VTOTALBM,IF($A368=0,0,ROUND(SomaAgrupBM,15-13*ORÇAMENTO!$AF$11)))</f>
        <v>0</v>
      </c>
      <c r="Q368" s="382"/>
      <c r="R368" s="383"/>
      <c r="T368" s="119" t="str">
        <f t="shared" ca="1" si="26"/>
        <v/>
      </c>
      <c r="U368" s="172" t="str">
        <f t="shared" ca="1" si="27"/>
        <v/>
      </c>
      <c r="V368" s="173" t="str">
        <f ca="1">IF(AND($W368&gt;0,RegimeExecucao="Unitário"),$F368,"")</f>
        <v/>
      </c>
      <c r="W368" s="547">
        <f ca="1">IF($Y368&gt;0,CHOOSE(MATCH(RegimeExecucao,{"Unitário","Global"},0),IF($A368="S",$Y368/$X368,""),($Y368/$X368)*100),0)</f>
        <v>0</v>
      </c>
      <c r="X368" s="384" t="str">
        <f ca="1">IF($Y368&gt;0,CHOOSE(MATCH(RegimeExecucao,{"Unitário","Global"},0),IF($A368="S",ROUND($H368,ORÇAMENTO!$AF$10),""),ROUND($I368,ORÇAMENTO!$AF$11)),"")</f>
        <v/>
      </c>
      <c r="Y368" s="384">
        <f t="shared" ca="1" si="28"/>
        <v>0</v>
      </c>
      <c r="Z368" s="572"/>
      <c r="AB368" s="382"/>
      <c r="AC368" s="516"/>
      <c r="AD368" s="516"/>
      <c r="AE368" s="516"/>
      <c r="AF368" s="516"/>
      <c r="AG368" s="516"/>
      <c r="AH368" s="516"/>
      <c r="AI368" s="516"/>
      <c r="AJ368" s="516"/>
      <c r="AK368" s="516"/>
      <c r="AL368" s="516"/>
      <c r="AM368" s="383"/>
      <c r="AO368">
        <f ca="1">IF($A368="S",IF(BM!$I368=0,0,CHOOSE(MATCH(RegimeExecucao,{"Global","Unitário"},0),ROUND(ROUND(BM.MEDAcumulado,15-13*BM!$A$9)/100*BM!$I368,15-13*ORÇAMENTO!$AF$11),ROUND(ROUND(BM.MEDAcumulado,15-13*BM!$A$9)*ROUND(BM!$H368,15-13*ORÇAMENTO!$AF$10),15-13*ORÇAMENTO!$AF$11))),IF($A368=0,0,ROUND(SomaAgrupBM,15-13*ORÇAMENTO!$AF$11)))</f>
        <v>0</v>
      </c>
    </row>
    <row r="369" spans="1:41" x14ac:dyDescent="0.2">
      <c r="A369">
        <f ca="1">ORÇAMENTO!C369</f>
        <v>3</v>
      </c>
      <c r="B369">
        <f ca="1">ORÇAMENTO!D369</f>
        <v>6</v>
      </c>
      <c r="C369" s="116" t="str">
        <f t="shared" ca="1" si="22"/>
        <v>F</v>
      </c>
      <c r="D369" s="119" t="str">
        <f ca="1">ORÇAMENTO!O369</f>
        <v>1.14.2.</v>
      </c>
      <c r="E369" s="172" t="str">
        <f t="shared" si="23"/>
        <v>ACESSÓRIOS</v>
      </c>
      <c r="F369" s="173" t="str">
        <f ca="1">IF(RegimeExecucao="Global","",ORÇAMENTO.Unidade)</f>
        <v>-</v>
      </c>
      <c r="G369" s="124">
        <f ca="1">IF(RegimeExecucao="Global","",ORÇAMENTO!T369)</f>
        <v>0</v>
      </c>
      <c r="H369" s="124">
        <f ca="1">IF(RegimeExecucao="Global","",ORÇAMENTO!W369)</f>
        <v>0</v>
      </c>
      <c r="I369" s="127">
        <f ca="1">ORÇAMENTO!X369</f>
        <v>0</v>
      </c>
      <c r="J369" s="378">
        <f ca="1">IF($A369="S",IF(CAIXA.Modo,BM.AFAnterior,BM.MEDAnterior),IF(AND(RegimeExecucao="Global",$I369&gt;0,COUNTIF($AB$13:$AM$13,BM.medicao-1)&gt;0),M369/$I369*100,0))</f>
        <v>0</v>
      </c>
      <c r="K369" s="124">
        <f t="shared" ca="1" si="24"/>
        <v>0</v>
      </c>
      <c r="L369" s="379">
        <f ca="1">IF($A369="S",IF(CAIXA.Modo,BM.AFAcumulado,BM.MEDAcumulado),IF(AND(RegimeExecucao="Global",$I369&gt;0,COUNTIF($AB$13:$AM$13,BM.medicao)&gt;0),O369/$I369*100,0))</f>
        <v>0</v>
      </c>
      <c r="M369" s="380">
        <f ca="1">IF($A369="S",VTOTALBM,IF($A369=0,0,ROUND(SomaAgrupBM,15-13*ORÇAMENTO!$AF$11)))</f>
        <v>0</v>
      </c>
      <c r="N369" s="381">
        <f t="shared" ca="1" si="25"/>
        <v>0</v>
      </c>
      <c r="O369" s="127">
        <f ca="1">IF($A369="S",VTOTALBM,IF($A369=0,0,ROUND(SomaAgrupBM,15-13*ORÇAMENTO!$AF$11)))</f>
        <v>0</v>
      </c>
      <c r="Q369" s="382"/>
      <c r="R369" s="383"/>
      <c r="T369" s="119" t="str">
        <f t="shared" ca="1" si="26"/>
        <v/>
      </c>
      <c r="U369" s="172" t="str">
        <f t="shared" ca="1" si="27"/>
        <v/>
      </c>
      <c r="V369" s="173" t="str">
        <f ca="1">IF(AND($W369&gt;0,RegimeExecucao="Unitário"),$F369,"")</f>
        <v/>
      </c>
      <c r="W369" s="547">
        <f ca="1">IF($Y369&gt;0,CHOOSE(MATCH(RegimeExecucao,{"Unitário","Global"},0),IF($A369="S",$Y369/$X369,""),($Y369/$X369)*100),0)</f>
        <v>0</v>
      </c>
      <c r="X369" s="384" t="str">
        <f ca="1">IF($Y369&gt;0,CHOOSE(MATCH(RegimeExecucao,{"Unitário","Global"},0),IF($A369="S",ROUND($H369,ORÇAMENTO!$AF$10),""),ROUND($I369,ORÇAMENTO!$AF$11)),"")</f>
        <v/>
      </c>
      <c r="Y369" s="384">
        <f t="shared" ca="1" si="28"/>
        <v>0</v>
      </c>
      <c r="Z369" s="572"/>
      <c r="AB369" s="382"/>
      <c r="AC369" s="516"/>
      <c r="AD369" s="516"/>
      <c r="AE369" s="516"/>
      <c r="AF369" s="516"/>
      <c r="AG369" s="516"/>
      <c r="AH369" s="516"/>
      <c r="AI369" s="516"/>
      <c r="AJ369" s="516"/>
      <c r="AK369" s="516"/>
      <c r="AL369" s="516"/>
      <c r="AM369" s="383"/>
      <c r="AO369">
        <f ca="1">IF($A369="S",IF(BM!$I369=0,0,CHOOSE(MATCH(RegimeExecucao,{"Global","Unitário"},0),ROUND(ROUND(BM.MEDAcumulado,15-13*BM!$A$9)/100*BM!$I369,15-13*ORÇAMENTO!$AF$11),ROUND(ROUND(BM.MEDAcumulado,15-13*BM!$A$9)*ROUND(BM!$H369,15-13*ORÇAMENTO!$AF$10),15-13*ORÇAMENTO!$AF$11))),IF($A369=0,0,ROUND(SomaAgrupBM,15-13*ORÇAMENTO!$AF$11)))</f>
        <v>0</v>
      </c>
    </row>
    <row r="370" spans="1:41" ht="38.25" x14ac:dyDescent="0.2">
      <c r="A370" t="str">
        <f ca="1">ORÇAMENTO!C370</f>
        <v>S</v>
      </c>
      <c r="B370">
        <f ca="1">ORÇAMENTO!D370</f>
        <v>0</v>
      </c>
      <c r="C370" s="116" t="str">
        <f t="shared" ca="1" si="22"/>
        <v/>
      </c>
      <c r="D370" s="119" t="str">
        <f ca="1">ORÇAMENTO!O370</f>
        <v>-</v>
      </c>
      <c r="E370" s="172" t="str">
        <f t="shared" ca="1" si="23"/>
        <v>(abra o arquivo 'Referência 02-2025.xlsm)</v>
      </c>
      <c r="F370" s="173" t="str">
        <f ca="1">IF(RegimeExecucao="Global","",ORÇAMENTO.Unidade)</f>
        <v>-</v>
      </c>
      <c r="G370" s="124">
        <f ca="1">IF(RegimeExecucao="Global","",ORÇAMENTO!T370)</f>
        <v>17</v>
      </c>
      <c r="H370" s="124">
        <f ca="1">IF(RegimeExecucao="Global","",ORÇAMENTO!W370)</f>
        <v>0</v>
      </c>
      <c r="I370" s="127">
        <f ca="1">ORÇAMENTO!X370</f>
        <v>0</v>
      </c>
      <c r="J370" s="378">
        <f ca="1">IF($A370="S",IF(CAIXA.Modo,BM.AFAnterior,BM.MEDAnterior),IF(AND(RegimeExecucao="Global",$I370&gt;0,COUNTIF($AB$13:$AM$13,BM.medicao-1)&gt;0),M370/$I370*100,0))</f>
        <v>0</v>
      </c>
      <c r="K370" s="124">
        <f t="shared" ca="1" si="24"/>
        <v>0</v>
      </c>
      <c r="L370" s="379">
        <f ca="1">IF($A370="S",IF(CAIXA.Modo,BM.AFAcumulado,BM.MEDAcumulado),IF(AND(RegimeExecucao="Global",$I370&gt;0,COUNTIF($AB$13:$AM$13,BM.medicao)&gt;0),O370/$I370*100,0))</f>
        <v>0</v>
      </c>
      <c r="M370" s="380">
        <f ca="1">IF($A370="S",VTOTALBM,IF($A370=0,0,ROUND(SomaAgrupBM,15-13*ORÇAMENTO!$AF$11)))</f>
        <v>0</v>
      </c>
      <c r="N370" s="381">
        <f t="shared" ca="1" si="25"/>
        <v>0</v>
      </c>
      <c r="O370" s="127">
        <f ca="1">IF($A370="S",VTOTALBM,IF($A370=0,0,ROUND(SomaAgrupBM,15-13*ORÇAMENTO!$AF$11)))</f>
        <v>0</v>
      </c>
      <c r="Q370" s="382"/>
      <c r="R370" s="383"/>
      <c r="T370" s="119" t="str">
        <f t="shared" ca="1" si="26"/>
        <v/>
      </c>
      <c r="U370" s="172" t="str">
        <f t="shared" ca="1" si="27"/>
        <v/>
      </c>
      <c r="V370" s="173" t="str">
        <f ca="1">IF(AND($W370&gt;0,RegimeExecucao="Unitário"),$F370,"")</f>
        <v/>
      </c>
      <c r="W370" s="547">
        <f ca="1">IF($Y370&gt;0,CHOOSE(MATCH(RegimeExecucao,{"Unitário","Global"},0),IF($A370="S",$Y370/$X370,""),($Y370/$X370)*100),0)</f>
        <v>0</v>
      </c>
      <c r="X370" s="384" t="str">
        <f ca="1">IF($Y370&gt;0,CHOOSE(MATCH(RegimeExecucao,{"Unitário","Global"},0),IF($A370="S",ROUND($H370,ORÇAMENTO!$AF$10),""),ROUND($I370,ORÇAMENTO!$AF$11)),"")</f>
        <v/>
      </c>
      <c r="Y370" s="384">
        <f t="shared" ca="1" si="28"/>
        <v>0</v>
      </c>
      <c r="Z370" s="572"/>
      <c r="AB370" s="382"/>
      <c r="AC370" s="516"/>
      <c r="AD370" s="516"/>
      <c r="AE370" s="516"/>
      <c r="AF370" s="516"/>
      <c r="AG370" s="516"/>
      <c r="AH370" s="516"/>
      <c r="AI370" s="516"/>
      <c r="AJ370" s="516"/>
      <c r="AK370" s="516"/>
      <c r="AL370" s="516"/>
      <c r="AM370" s="383"/>
      <c r="AO370">
        <f ca="1">IF($A370="S",IF(BM!$I370=0,0,CHOOSE(MATCH(RegimeExecucao,{"Global","Unitário"},0),ROUND(ROUND(BM.MEDAcumulado,15-13*BM!$A$9)/100*BM!$I370,15-13*ORÇAMENTO!$AF$11),ROUND(ROUND(BM.MEDAcumulado,15-13*BM!$A$9)*ROUND(BM!$H370,15-13*ORÇAMENTO!$AF$10),15-13*ORÇAMENTO!$AF$11))),IF($A370=0,0,ROUND(SomaAgrupBM,15-13*ORÇAMENTO!$AF$11)))</f>
        <v>0</v>
      </c>
    </row>
    <row r="371" spans="1:41" ht="38.25" x14ac:dyDescent="0.2">
      <c r="A371" t="str">
        <f ca="1">ORÇAMENTO!C371</f>
        <v>S</v>
      </c>
      <c r="B371">
        <f ca="1">ORÇAMENTO!D371</f>
        <v>0</v>
      </c>
      <c r="C371" s="116" t="str">
        <f t="shared" ca="1" si="22"/>
        <v/>
      </c>
      <c r="D371" s="119" t="str">
        <f ca="1">ORÇAMENTO!O371</f>
        <v>-</v>
      </c>
      <c r="E371" s="172" t="str">
        <f t="shared" ca="1" si="23"/>
        <v>(abra o arquivo 'Referência 02-2025.xlsm)</v>
      </c>
      <c r="F371" s="173" t="str">
        <f ca="1">IF(RegimeExecucao="Global","",ORÇAMENTO.Unidade)</f>
        <v>-</v>
      </c>
      <c r="G371" s="124">
        <f ca="1">IF(RegimeExecucao="Global","",ORÇAMENTO!T371)</f>
        <v>17</v>
      </c>
      <c r="H371" s="124">
        <f ca="1">IF(RegimeExecucao="Global","",ORÇAMENTO!W371)</f>
        <v>0</v>
      </c>
      <c r="I371" s="127">
        <f ca="1">ORÇAMENTO!X371</f>
        <v>0</v>
      </c>
      <c r="J371" s="378">
        <f ca="1">IF($A371="S",IF(CAIXA.Modo,BM.AFAnterior,BM.MEDAnterior),IF(AND(RegimeExecucao="Global",$I371&gt;0,COUNTIF($AB$13:$AM$13,BM.medicao-1)&gt;0),M371/$I371*100,0))</f>
        <v>0</v>
      </c>
      <c r="K371" s="124">
        <f t="shared" ca="1" si="24"/>
        <v>0</v>
      </c>
      <c r="L371" s="379">
        <f ca="1">IF($A371="S",IF(CAIXA.Modo,BM.AFAcumulado,BM.MEDAcumulado),IF(AND(RegimeExecucao="Global",$I371&gt;0,COUNTIF($AB$13:$AM$13,BM.medicao)&gt;0),O371/$I371*100,0))</f>
        <v>0</v>
      </c>
      <c r="M371" s="380">
        <f ca="1">IF($A371="S",VTOTALBM,IF($A371=0,0,ROUND(SomaAgrupBM,15-13*ORÇAMENTO!$AF$11)))</f>
        <v>0</v>
      </c>
      <c r="N371" s="381">
        <f t="shared" ca="1" si="25"/>
        <v>0</v>
      </c>
      <c r="O371" s="127">
        <f ca="1">IF($A371="S",VTOTALBM,IF($A371=0,0,ROUND(SomaAgrupBM,15-13*ORÇAMENTO!$AF$11)))</f>
        <v>0</v>
      </c>
      <c r="Q371" s="382"/>
      <c r="R371" s="383"/>
      <c r="T371" s="119" t="str">
        <f t="shared" ca="1" si="26"/>
        <v/>
      </c>
      <c r="U371" s="172" t="str">
        <f t="shared" ca="1" si="27"/>
        <v/>
      </c>
      <c r="V371" s="173" t="str">
        <f ca="1">IF(AND($W371&gt;0,RegimeExecucao="Unitário"),$F371,"")</f>
        <v/>
      </c>
      <c r="W371" s="547">
        <f ca="1">IF($Y371&gt;0,CHOOSE(MATCH(RegimeExecucao,{"Unitário","Global"},0),IF($A371="S",$Y371/$X371,""),($Y371/$X371)*100),0)</f>
        <v>0</v>
      </c>
      <c r="X371" s="384" t="str">
        <f ca="1">IF($Y371&gt;0,CHOOSE(MATCH(RegimeExecucao,{"Unitário","Global"},0),IF($A371="S",ROUND($H371,ORÇAMENTO!$AF$10),""),ROUND($I371,ORÇAMENTO!$AF$11)),"")</f>
        <v/>
      </c>
      <c r="Y371" s="384">
        <f t="shared" ca="1" si="28"/>
        <v>0</v>
      </c>
      <c r="Z371" s="572"/>
      <c r="AB371" s="382"/>
      <c r="AC371" s="516"/>
      <c r="AD371" s="516"/>
      <c r="AE371" s="516"/>
      <c r="AF371" s="516"/>
      <c r="AG371" s="516"/>
      <c r="AH371" s="516"/>
      <c r="AI371" s="516"/>
      <c r="AJ371" s="516"/>
      <c r="AK371" s="516"/>
      <c r="AL371" s="516"/>
      <c r="AM371" s="383"/>
      <c r="AO371">
        <f ca="1">IF($A371="S",IF(BM!$I371=0,0,CHOOSE(MATCH(RegimeExecucao,{"Global","Unitário"},0),ROUND(ROUND(BM.MEDAcumulado,15-13*BM!$A$9)/100*BM!$I371,15-13*ORÇAMENTO!$AF$11),ROUND(ROUND(BM.MEDAcumulado,15-13*BM!$A$9)*ROUND(BM!$H371,15-13*ORÇAMENTO!$AF$10),15-13*ORÇAMENTO!$AF$11))),IF($A371=0,0,ROUND(SomaAgrupBM,15-13*ORÇAMENTO!$AF$11)))</f>
        <v>0</v>
      </c>
    </row>
    <row r="372" spans="1:41" ht="38.25" x14ac:dyDescent="0.2">
      <c r="A372" t="str">
        <f ca="1">ORÇAMENTO!C372</f>
        <v>S</v>
      </c>
      <c r="B372">
        <f ca="1">ORÇAMENTO!D372</f>
        <v>0</v>
      </c>
      <c r="C372" s="116" t="str">
        <f t="shared" ca="1" si="22"/>
        <v/>
      </c>
      <c r="D372" s="119" t="str">
        <f ca="1">ORÇAMENTO!O372</f>
        <v>-</v>
      </c>
      <c r="E372" s="172" t="str">
        <f t="shared" ca="1" si="23"/>
        <v>(abra o arquivo 'Referência 02-2025.xlsm)</v>
      </c>
      <c r="F372" s="173" t="str">
        <f ca="1">IF(RegimeExecucao="Global","",ORÇAMENTO.Unidade)</f>
        <v>-</v>
      </c>
      <c r="G372" s="124">
        <f ca="1">IF(RegimeExecucao="Global","",ORÇAMENTO!T372)</f>
        <v>6</v>
      </c>
      <c r="H372" s="124">
        <f ca="1">IF(RegimeExecucao="Global","",ORÇAMENTO!W372)</f>
        <v>0</v>
      </c>
      <c r="I372" s="127">
        <f ca="1">ORÇAMENTO!X372</f>
        <v>0</v>
      </c>
      <c r="J372" s="378">
        <f ca="1">IF($A372="S",IF(CAIXA.Modo,BM.AFAnterior,BM.MEDAnterior),IF(AND(RegimeExecucao="Global",$I372&gt;0,COUNTIF($AB$13:$AM$13,BM.medicao-1)&gt;0),M372/$I372*100,0))</f>
        <v>0</v>
      </c>
      <c r="K372" s="124">
        <f t="shared" ca="1" si="24"/>
        <v>0</v>
      </c>
      <c r="L372" s="379">
        <f ca="1">IF($A372="S",IF(CAIXA.Modo,BM.AFAcumulado,BM.MEDAcumulado),IF(AND(RegimeExecucao="Global",$I372&gt;0,COUNTIF($AB$13:$AM$13,BM.medicao)&gt;0),O372/$I372*100,0))</f>
        <v>0</v>
      </c>
      <c r="M372" s="380">
        <f ca="1">IF($A372="S",VTOTALBM,IF($A372=0,0,ROUND(SomaAgrupBM,15-13*ORÇAMENTO!$AF$11)))</f>
        <v>0</v>
      </c>
      <c r="N372" s="381">
        <f t="shared" ca="1" si="25"/>
        <v>0</v>
      </c>
      <c r="O372" s="127">
        <f ca="1">IF($A372="S",VTOTALBM,IF($A372=0,0,ROUND(SomaAgrupBM,15-13*ORÇAMENTO!$AF$11)))</f>
        <v>0</v>
      </c>
      <c r="Q372" s="382"/>
      <c r="R372" s="383"/>
      <c r="T372" s="119" t="str">
        <f t="shared" ca="1" si="26"/>
        <v/>
      </c>
      <c r="U372" s="172" t="str">
        <f t="shared" ca="1" si="27"/>
        <v/>
      </c>
      <c r="V372" s="173" t="str">
        <f ca="1">IF(AND($W372&gt;0,RegimeExecucao="Unitário"),$F372,"")</f>
        <v/>
      </c>
      <c r="W372" s="547">
        <f ca="1">IF($Y372&gt;0,CHOOSE(MATCH(RegimeExecucao,{"Unitário","Global"},0),IF($A372="S",$Y372/$X372,""),($Y372/$X372)*100),0)</f>
        <v>0</v>
      </c>
      <c r="X372" s="384" t="str">
        <f ca="1">IF($Y372&gt;0,CHOOSE(MATCH(RegimeExecucao,{"Unitário","Global"},0),IF($A372="S",ROUND($H372,ORÇAMENTO!$AF$10),""),ROUND($I372,ORÇAMENTO!$AF$11)),"")</f>
        <v/>
      </c>
      <c r="Y372" s="384">
        <f t="shared" ca="1" si="28"/>
        <v>0</v>
      </c>
      <c r="Z372" s="572"/>
      <c r="AB372" s="382"/>
      <c r="AC372" s="516"/>
      <c r="AD372" s="516"/>
      <c r="AE372" s="516"/>
      <c r="AF372" s="516"/>
      <c r="AG372" s="516"/>
      <c r="AH372" s="516"/>
      <c r="AI372" s="516"/>
      <c r="AJ372" s="516"/>
      <c r="AK372" s="516"/>
      <c r="AL372" s="516"/>
      <c r="AM372" s="383"/>
      <c r="AO372">
        <f ca="1">IF($A372="S",IF(BM!$I372=0,0,CHOOSE(MATCH(RegimeExecucao,{"Global","Unitário"},0),ROUND(ROUND(BM.MEDAcumulado,15-13*BM!$A$9)/100*BM!$I372,15-13*ORÇAMENTO!$AF$11),ROUND(ROUND(BM.MEDAcumulado,15-13*BM!$A$9)*ROUND(BM!$H372,15-13*ORÇAMENTO!$AF$10),15-13*ORÇAMENTO!$AF$11))),IF($A372=0,0,ROUND(SomaAgrupBM,15-13*ORÇAMENTO!$AF$11)))</f>
        <v>0</v>
      </c>
    </row>
    <row r="373" spans="1:41" ht="38.25" x14ac:dyDescent="0.2">
      <c r="A373" t="str">
        <f ca="1">ORÇAMENTO!C373</f>
        <v>S</v>
      </c>
      <c r="B373">
        <f ca="1">ORÇAMENTO!D373</f>
        <v>0</v>
      </c>
      <c r="C373" s="116" t="str">
        <f t="shared" ref="C373:C377" ca="1" si="35">IF(OR($I373&gt;0,$A373=1,$A373=2,$A373=3,$A373=4),"F","")</f>
        <v/>
      </c>
      <c r="D373" s="119" t="str">
        <f ca="1">ORÇAMENTO!O373</f>
        <v>-</v>
      </c>
      <c r="E373" s="172" t="str">
        <f t="shared" ref="E373:E378" ca="1" si="36">ORÇAMENTO.Descricao</f>
        <v>(abra o arquivo 'Referência 02-2025.xlsm)</v>
      </c>
      <c r="F373" s="173" t="str">
        <f ca="1">IF(RegimeExecucao="Global","",ORÇAMENTO.Unidade)</f>
        <v>-</v>
      </c>
      <c r="G373" s="124">
        <f ca="1">IF(RegimeExecucao="Global","",ORÇAMENTO!T373)</f>
        <v>28</v>
      </c>
      <c r="H373" s="124">
        <f ca="1">IF(RegimeExecucao="Global","",ORÇAMENTO!W373)</f>
        <v>0</v>
      </c>
      <c r="I373" s="127">
        <f ca="1">ORÇAMENTO!X373</f>
        <v>0</v>
      </c>
      <c r="J373" s="378">
        <f ca="1">IF($A373="S",IF(CAIXA.Modo,BM.AFAnterior,BM.MEDAnterior),IF(AND(RegimeExecucao="Global",$I373&gt;0,COUNTIF($AB$13:$AM$13,BM.medicao-1)&gt;0),M373/$I373*100,0))</f>
        <v>0</v>
      </c>
      <c r="K373" s="124">
        <f t="shared" ref="K373:K377" ca="1" si="37">L373-J373</f>
        <v>0</v>
      </c>
      <c r="L373" s="379">
        <f ca="1">IF($A373="S",IF(CAIXA.Modo,BM.AFAcumulado,BM.MEDAcumulado),IF(AND(RegimeExecucao="Global",$I373&gt;0,COUNTIF($AB$13:$AM$13,BM.medicao)&gt;0),O373/$I373*100,0))</f>
        <v>0</v>
      </c>
      <c r="M373" s="380">
        <f ca="1">IF($A373="S",VTOTALBM,IF($A373=0,0,ROUND(SomaAgrupBM,15-13*ORÇAMENTO!$AF$11)))</f>
        <v>0</v>
      </c>
      <c r="N373" s="381">
        <f t="shared" ref="N373:N377" ca="1" si="38">O373-M373</f>
        <v>0</v>
      </c>
      <c r="O373" s="127">
        <f ca="1">IF($A373="S",VTOTALBM,IF($A373=0,0,ROUND(SomaAgrupBM,15-13*ORÇAMENTO!$AF$11)))</f>
        <v>0</v>
      </c>
      <c r="Q373" s="382"/>
      <c r="R373" s="383"/>
      <c r="T373" s="119" t="str">
        <f t="shared" ref="T373:T377" ca="1" si="39">IF($W373&gt;0,$D373,"")</f>
        <v/>
      </c>
      <c r="U373" s="172" t="str">
        <f t="shared" ref="U373:U377" ca="1" si="40">IF($W373&gt;0,$E373,"")</f>
        <v/>
      </c>
      <c r="V373" s="173" t="str">
        <f ca="1">IF(AND($W373&gt;0,RegimeExecucao="Unitário"),$F373,"")</f>
        <v/>
      </c>
      <c r="W373" s="547">
        <f ca="1">IF($Y373&gt;0,CHOOSE(MATCH(RegimeExecucao,{"Unitário","Global"},0),IF($A373="S",$Y373/$X373,""),($Y373/$X373)*100),0)</f>
        <v>0</v>
      </c>
      <c r="X373" s="384" t="str">
        <f ca="1">IF($Y373&gt;0,CHOOSE(MATCH(RegimeExecucao,{"Unitário","Global"},0),IF($A373="S",ROUND($H373,ORÇAMENTO!$AF$10),""),ROUND($I373,ORÇAMENTO!$AF$11)),"")</f>
        <v/>
      </c>
      <c r="Y373" s="384">
        <f t="shared" ref="Y373:Y377" ca="1" si="41">AO373-O373</f>
        <v>0</v>
      </c>
      <c r="Z373" s="572"/>
      <c r="AB373" s="382"/>
      <c r="AC373" s="516"/>
      <c r="AD373" s="516"/>
      <c r="AE373" s="516"/>
      <c r="AF373" s="516"/>
      <c r="AG373" s="516"/>
      <c r="AH373" s="516"/>
      <c r="AI373" s="516"/>
      <c r="AJ373" s="516"/>
      <c r="AK373" s="516"/>
      <c r="AL373" s="516"/>
      <c r="AM373" s="383"/>
      <c r="AO373">
        <f ca="1">IF($A373="S",IF(BM!$I373=0,0,CHOOSE(MATCH(RegimeExecucao,{"Global","Unitário"},0),ROUND(ROUND(BM.MEDAcumulado,15-13*BM!$A$9)/100*BM!$I373,15-13*ORÇAMENTO!$AF$11),ROUND(ROUND(BM.MEDAcumulado,15-13*BM!$A$9)*ROUND(BM!$H373,15-13*ORÇAMENTO!$AF$10),15-13*ORÇAMENTO!$AF$11))),IF($A373=0,0,ROUND(SomaAgrupBM,15-13*ORÇAMENTO!$AF$11)))</f>
        <v>0</v>
      </c>
    </row>
    <row r="374" spans="1:41" ht="38.25" x14ac:dyDescent="0.2">
      <c r="A374" t="str">
        <f ca="1">ORÇAMENTO!C374</f>
        <v>S</v>
      </c>
      <c r="B374">
        <f ca="1">ORÇAMENTO!D374</f>
        <v>0</v>
      </c>
      <c r="C374" s="116" t="str">
        <f t="shared" ca="1" si="35"/>
        <v/>
      </c>
      <c r="D374" s="119" t="str">
        <f ca="1">ORÇAMENTO!O374</f>
        <v>-</v>
      </c>
      <c r="E374" s="172" t="str">
        <f t="shared" ca="1" si="36"/>
        <v>(abra o arquivo 'Referência 02-2025.xlsm)</v>
      </c>
      <c r="F374" s="173" t="str">
        <f ca="1">IF(RegimeExecucao="Global","",ORÇAMENTO.Unidade)</f>
        <v>-</v>
      </c>
      <c r="G374" s="124">
        <f ca="1">IF(RegimeExecucao="Global","",ORÇAMENTO!T374)</f>
        <v>7</v>
      </c>
      <c r="H374" s="124">
        <f ca="1">IF(RegimeExecucao="Global","",ORÇAMENTO!W374)</f>
        <v>0</v>
      </c>
      <c r="I374" s="127">
        <f ca="1">ORÇAMENTO!X374</f>
        <v>0</v>
      </c>
      <c r="J374" s="378">
        <f ca="1">IF($A374="S",IF(CAIXA.Modo,BM.AFAnterior,BM.MEDAnterior),IF(AND(RegimeExecucao="Global",$I374&gt;0,COUNTIF($AB$13:$AM$13,BM.medicao-1)&gt;0),M374/$I374*100,0))</f>
        <v>0</v>
      </c>
      <c r="K374" s="124">
        <f t="shared" ca="1" si="37"/>
        <v>0</v>
      </c>
      <c r="L374" s="379">
        <f ca="1">IF($A374="S",IF(CAIXA.Modo,BM.AFAcumulado,BM.MEDAcumulado),IF(AND(RegimeExecucao="Global",$I374&gt;0,COUNTIF($AB$13:$AM$13,BM.medicao)&gt;0),O374/$I374*100,0))</f>
        <v>0</v>
      </c>
      <c r="M374" s="380">
        <f ca="1">IF($A374="S",VTOTALBM,IF($A374=0,0,ROUND(SomaAgrupBM,15-13*ORÇAMENTO!$AF$11)))</f>
        <v>0</v>
      </c>
      <c r="N374" s="381">
        <f t="shared" ca="1" si="38"/>
        <v>0</v>
      </c>
      <c r="O374" s="127">
        <f ca="1">IF($A374="S",VTOTALBM,IF($A374=0,0,ROUND(SomaAgrupBM,15-13*ORÇAMENTO!$AF$11)))</f>
        <v>0</v>
      </c>
      <c r="Q374" s="382"/>
      <c r="R374" s="383"/>
      <c r="T374" s="119" t="str">
        <f t="shared" ca="1" si="39"/>
        <v/>
      </c>
      <c r="U374" s="172" t="str">
        <f t="shared" ca="1" si="40"/>
        <v/>
      </c>
      <c r="V374" s="173" t="str">
        <f ca="1">IF(AND($W374&gt;0,RegimeExecucao="Unitário"),$F374,"")</f>
        <v/>
      </c>
      <c r="W374" s="547">
        <f ca="1">IF($Y374&gt;0,CHOOSE(MATCH(RegimeExecucao,{"Unitário","Global"},0),IF($A374="S",$Y374/$X374,""),($Y374/$X374)*100),0)</f>
        <v>0</v>
      </c>
      <c r="X374" s="384" t="str">
        <f ca="1">IF($Y374&gt;0,CHOOSE(MATCH(RegimeExecucao,{"Unitário","Global"},0),IF($A374="S",ROUND($H374,ORÇAMENTO!$AF$10),""),ROUND($I374,ORÇAMENTO!$AF$11)),"")</f>
        <v/>
      </c>
      <c r="Y374" s="384">
        <f t="shared" ca="1" si="41"/>
        <v>0</v>
      </c>
      <c r="Z374" s="572"/>
      <c r="AB374" s="382"/>
      <c r="AC374" s="516"/>
      <c r="AD374" s="516"/>
      <c r="AE374" s="516"/>
      <c r="AF374" s="516"/>
      <c r="AG374" s="516"/>
      <c r="AH374" s="516"/>
      <c r="AI374" s="516"/>
      <c r="AJ374" s="516"/>
      <c r="AK374" s="516"/>
      <c r="AL374" s="516"/>
      <c r="AM374" s="383"/>
      <c r="AO374">
        <f ca="1">IF($A374="S",IF(BM!$I374=0,0,CHOOSE(MATCH(RegimeExecucao,{"Global","Unitário"},0),ROUND(ROUND(BM.MEDAcumulado,15-13*BM!$A$9)/100*BM!$I374,15-13*ORÇAMENTO!$AF$11),ROUND(ROUND(BM.MEDAcumulado,15-13*BM!$A$9)*ROUND(BM!$H374,15-13*ORÇAMENTO!$AF$10),15-13*ORÇAMENTO!$AF$11))),IF($A374=0,0,ROUND(SomaAgrupBM,15-13*ORÇAMENTO!$AF$11)))</f>
        <v>0</v>
      </c>
    </row>
    <row r="375" spans="1:41" x14ac:dyDescent="0.2">
      <c r="A375">
        <f ca="1">ORÇAMENTO!C375</f>
        <v>3</v>
      </c>
      <c r="B375">
        <f ca="1">ORÇAMENTO!D375</f>
        <v>4</v>
      </c>
      <c r="C375" s="116" t="str">
        <f t="shared" ca="1" si="35"/>
        <v>F</v>
      </c>
      <c r="D375" s="119" t="str">
        <f ca="1">ORÇAMENTO!O375</f>
        <v>1.14.3.</v>
      </c>
      <c r="E375" s="172" t="str">
        <f t="shared" si="36"/>
        <v>UNIDADE DE TRATAMENTO</v>
      </c>
      <c r="F375" s="173" t="str">
        <f ca="1">IF(RegimeExecucao="Global","",ORÇAMENTO.Unidade)</f>
        <v>-</v>
      </c>
      <c r="G375" s="124">
        <f ca="1">IF(RegimeExecucao="Global","",ORÇAMENTO!T375)</f>
        <v>0</v>
      </c>
      <c r="H375" s="124">
        <f ca="1">IF(RegimeExecucao="Global","",ORÇAMENTO!W375)</f>
        <v>0</v>
      </c>
      <c r="I375" s="127">
        <f ca="1">ORÇAMENTO!X375</f>
        <v>0</v>
      </c>
      <c r="J375" s="378">
        <f ca="1">IF($A375="S",IF(CAIXA.Modo,BM.AFAnterior,BM.MEDAnterior),IF(AND(RegimeExecucao="Global",$I375&gt;0,COUNTIF($AB$13:$AM$13,BM.medicao-1)&gt;0),M375/$I375*100,0))</f>
        <v>0</v>
      </c>
      <c r="K375" s="124">
        <f t="shared" ca="1" si="37"/>
        <v>0</v>
      </c>
      <c r="L375" s="379">
        <f ca="1">IF($A375="S",IF(CAIXA.Modo,BM.AFAcumulado,BM.MEDAcumulado),IF(AND(RegimeExecucao="Global",$I375&gt;0,COUNTIF($AB$13:$AM$13,BM.medicao)&gt;0),O375/$I375*100,0))</f>
        <v>0</v>
      </c>
      <c r="M375" s="380">
        <f ca="1">IF($A375="S",VTOTALBM,IF($A375=0,0,ROUND(SomaAgrupBM,15-13*ORÇAMENTO!$AF$11)))</f>
        <v>0</v>
      </c>
      <c r="N375" s="381">
        <f t="shared" ca="1" si="38"/>
        <v>0</v>
      </c>
      <c r="O375" s="127">
        <f ca="1">IF($A375="S",VTOTALBM,IF($A375=0,0,ROUND(SomaAgrupBM,15-13*ORÇAMENTO!$AF$11)))</f>
        <v>0</v>
      </c>
      <c r="Q375" s="382"/>
      <c r="R375" s="383"/>
      <c r="T375" s="119" t="str">
        <f t="shared" ca="1" si="39"/>
        <v/>
      </c>
      <c r="U375" s="172" t="str">
        <f t="shared" ca="1" si="40"/>
        <v/>
      </c>
      <c r="V375" s="173" t="str">
        <f ca="1">IF(AND($W375&gt;0,RegimeExecucao="Unitário"),$F375,"")</f>
        <v/>
      </c>
      <c r="W375" s="547">
        <f ca="1">IF($Y375&gt;0,CHOOSE(MATCH(RegimeExecucao,{"Unitário","Global"},0),IF($A375="S",$Y375/$X375,""),($Y375/$X375)*100),0)</f>
        <v>0</v>
      </c>
      <c r="X375" s="384" t="str">
        <f ca="1">IF($Y375&gt;0,CHOOSE(MATCH(RegimeExecucao,{"Unitário","Global"},0),IF($A375="S",ROUND($H375,ORÇAMENTO!$AF$10),""),ROUND($I375,ORÇAMENTO!$AF$11)),"")</f>
        <v/>
      </c>
      <c r="Y375" s="384">
        <f t="shared" ca="1" si="41"/>
        <v>0</v>
      </c>
      <c r="Z375" s="572"/>
      <c r="AB375" s="382"/>
      <c r="AC375" s="516"/>
      <c r="AD375" s="516"/>
      <c r="AE375" s="516"/>
      <c r="AF375" s="516"/>
      <c r="AG375" s="516"/>
      <c r="AH375" s="516"/>
      <c r="AI375" s="516"/>
      <c r="AJ375" s="516"/>
      <c r="AK375" s="516"/>
      <c r="AL375" s="516"/>
      <c r="AM375" s="383"/>
      <c r="AO375">
        <f ca="1">IF($A375="S",IF(BM!$I375=0,0,CHOOSE(MATCH(RegimeExecucao,{"Global","Unitário"},0),ROUND(ROUND(BM.MEDAcumulado,15-13*BM!$A$9)/100*BM!$I375,15-13*ORÇAMENTO!$AF$11),ROUND(ROUND(BM.MEDAcumulado,15-13*BM!$A$9)*ROUND(BM!$H375,15-13*ORÇAMENTO!$AF$10),15-13*ORÇAMENTO!$AF$11))),IF($A375=0,0,ROUND(SomaAgrupBM,15-13*ORÇAMENTO!$AF$11)))</f>
        <v>0</v>
      </c>
    </row>
    <row r="376" spans="1:41" ht="38.25" x14ac:dyDescent="0.2">
      <c r="A376" t="str">
        <f ca="1">ORÇAMENTO!C376</f>
        <v>S</v>
      </c>
      <c r="B376">
        <f ca="1">ORÇAMENTO!D376</f>
        <v>0</v>
      </c>
      <c r="C376" s="116" t="str">
        <f t="shared" ca="1" si="35"/>
        <v/>
      </c>
      <c r="D376" s="119" t="str">
        <f ca="1">ORÇAMENTO!O376</f>
        <v>-</v>
      </c>
      <c r="E376" s="172" t="str">
        <f t="shared" ca="1" si="36"/>
        <v>(abra o arquivo 'Referência 02-2025.xlsm)</v>
      </c>
      <c r="F376" s="173" t="str">
        <f ca="1">IF(RegimeExecucao="Global","",ORÇAMENTO.Unidade)</f>
        <v>-</v>
      </c>
      <c r="G376" s="124">
        <f ca="1">IF(RegimeExecucao="Global","",ORÇAMENTO!T376)</f>
        <v>1</v>
      </c>
      <c r="H376" s="124">
        <f ca="1">IF(RegimeExecucao="Global","",ORÇAMENTO!W376)</f>
        <v>0</v>
      </c>
      <c r="I376" s="127">
        <f ca="1">ORÇAMENTO!X376</f>
        <v>0</v>
      </c>
      <c r="J376" s="378">
        <f ca="1">IF($A376="S",IF(CAIXA.Modo,BM.AFAnterior,BM.MEDAnterior),IF(AND(RegimeExecucao="Global",$I376&gt;0,COUNTIF($AB$13:$AM$13,BM.medicao-1)&gt;0),M376/$I376*100,0))</f>
        <v>0</v>
      </c>
      <c r="K376" s="124">
        <f t="shared" ca="1" si="37"/>
        <v>0</v>
      </c>
      <c r="L376" s="379">
        <f ca="1">IF($A376="S",IF(CAIXA.Modo,BM.AFAcumulado,BM.MEDAcumulado),IF(AND(RegimeExecucao="Global",$I376&gt;0,COUNTIF($AB$13:$AM$13,BM.medicao)&gt;0),O376/$I376*100,0))</f>
        <v>0</v>
      </c>
      <c r="M376" s="380">
        <f ca="1">IF($A376="S",VTOTALBM,IF($A376=0,0,ROUND(SomaAgrupBM,15-13*ORÇAMENTO!$AF$11)))</f>
        <v>0</v>
      </c>
      <c r="N376" s="381">
        <f t="shared" ca="1" si="38"/>
        <v>0</v>
      </c>
      <c r="O376" s="127">
        <f ca="1">IF($A376="S",VTOTALBM,IF($A376=0,0,ROUND(SomaAgrupBM,15-13*ORÇAMENTO!$AF$11)))</f>
        <v>0</v>
      </c>
      <c r="Q376" s="382"/>
      <c r="R376" s="383"/>
      <c r="T376" s="119" t="str">
        <f t="shared" ca="1" si="39"/>
        <v/>
      </c>
      <c r="U376" s="172" t="str">
        <f t="shared" ca="1" si="40"/>
        <v/>
      </c>
      <c r="V376" s="173" t="str">
        <f ca="1">IF(AND($W376&gt;0,RegimeExecucao="Unitário"),$F376,"")</f>
        <v/>
      </c>
      <c r="W376" s="547">
        <f ca="1">IF($Y376&gt;0,CHOOSE(MATCH(RegimeExecucao,{"Unitário","Global"},0),IF($A376="S",$Y376/$X376,""),($Y376/$X376)*100),0)</f>
        <v>0</v>
      </c>
      <c r="X376" s="384" t="str">
        <f ca="1">IF($Y376&gt;0,CHOOSE(MATCH(RegimeExecucao,{"Unitário","Global"},0),IF($A376="S",ROUND($H376,ORÇAMENTO!$AF$10),""),ROUND($I376,ORÇAMENTO!$AF$11)),"")</f>
        <v/>
      </c>
      <c r="Y376" s="384">
        <f t="shared" ca="1" si="41"/>
        <v>0</v>
      </c>
      <c r="Z376" s="572"/>
      <c r="AB376" s="382"/>
      <c r="AC376" s="516"/>
      <c r="AD376" s="516"/>
      <c r="AE376" s="516"/>
      <c r="AF376" s="516"/>
      <c r="AG376" s="516"/>
      <c r="AH376" s="516"/>
      <c r="AI376" s="516"/>
      <c r="AJ376" s="516"/>
      <c r="AK376" s="516"/>
      <c r="AL376" s="516"/>
      <c r="AM376" s="383"/>
      <c r="AO376">
        <f ca="1">IF($A376="S",IF(BM!$I376=0,0,CHOOSE(MATCH(RegimeExecucao,{"Global","Unitário"},0),ROUND(ROUND(BM.MEDAcumulado,15-13*BM!$A$9)/100*BM!$I376,15-13*ORÇAMENTO!$AF$11),ROUND(ROUND(BM.MEDAcumulado,15-13*BM!$A$9)*ROUND(BM!$H376,15-13*ORÇAMENTO!$AF$10),15-13*ORÇAMENTO!$AF$11))),IF($A376=0,0,ROUND(SomaAgrupBM,15-13*ORÇAMENTO!$AF$11)))</f>
        <v>0</v>
      </c>
    </row>
    <row r="377" spans="1:41" ht="38.25" x14ac:dyDescent="0.2">
      <c r="A377" t="str">
        <f ca="1">ORÇAMENTO!C377</f>
        <v>S</v>
      </c>
      <c r="B377">
        <f ca="1">ORÇAMENTO!D377</f>
        <v>0</v>
      </c>
      <c r="C377" s="116" t="str">
        <f t="shared" ca="1" si="35"/>
        <v/>
      </c>
      <c r="D377" s="119" t="str">
        <f ca="1">ORÇAMENTO!O377</f>
        <v>-</v>
      </c>
      <c r="E377" s="172" t="str">
        <f t="shared" ca="1" si="36"/>
        <v>(abra o arquivo 'Referência 02-2025.xlsm)</v>
      </c>
      <c r="F377" s="173" t="str">
        <f ca="1">IF(RegimeExecucao="Global","",ORÇAMENTO.Unidade)</f>
        <v>-</v>
      </c>
      <c r="G377" s="124">
        <f ca="1">IF(RegimeExecucao="Global","",ORÇAMENTO!T377)</f>
        <v>1</v>
      </c>
      <c r="H377" s="124">
        <f ca="1">IF(RegimeExecucao="Global","",ORÇAMENTO!W377)</f>
        <v>0</v>
      </c>
      <c r="I377" s="127">
        <f ca="1">ORÇAMENTO!X377</f>
        <v>0</v>
      </c>
      <c r="J377" s="378">
        <f ca="1">IF($A377="S",IF(CAIXA.Modo,BM.AFAnterior,BM.MEDAnterior),IF(AND(RegimeExecucao="Global",$I377&gt;0,COUNTIF($AB$13:$AM$13,BM.medicao-1)&gt;0),M377/$I377*100,0))</f>
        <v>0</v>
      </c>
      <c r="K377" s="124">
        <f t="shared" ca="1" si="37"/>
        <v>0</v>
      </c>
      <c r="L377" s="379">
        <f ca="1">IF($A377="S",IF(CAIXA.Modo,BM.AFAcumulado,BM.MEDAcumulado),IF(AND(RegimeExecucao="Global",$I377&gt;0,COUNTIF($AB$13:$AM$13,BM.medicao)&gt;0),O377/$I377*100,0))</f>
        <v>0</v>
      </c>
      <c r="M377" s="380">
        <f ca="1">IF($A377="S",VTOTALBM,IF($A377=0,0,ROUND(SomaAgrupBM,15-13*ORÇAMENTO!$AF$11)))</f>
        <v>0</v>
      </c>
      <c r="N377" s="381">
        <f t="shared" ca="1" si="38"/>
        <v>0</v>
      </c>
      <c r="O377" s="127">
        <f ca="1">IF($A377="S",VTOTALBM,IF($A377=0,0,ROUND(SomaAgrupBM,15-13*ORÇAMENTO!$AF$11)))</f>
        <v>0</v>
      </c>
      <c r="Q377" s="382"/>
      <c r="R377" s="383"/>
      <c r="T377" s="119" t="str">
        <f t="shared" ca="1" si="39"/>
        <v/>
      </c>
      <c r="U377" s="172" t="str">
        <f t="shared" ca="1" si="40"/>
        <v/>
      </c>
      <c r="V377" s="173" t="str">
        <f ca="1">IF(AND($W377&gt;0,RegimeExecucao="Unitário"),$F377,"")</f>
        <v/>
      </c>
      <c r="W377" s="547">
        <f ca="1">IF($Y377&gt;0,CHOOSE(MATCH(RegimeExecucao,{"Unitário","Global"},0),IF($A377="S",$Y377/$X377,""),($Y377/$X377)*100),0)</f>
        <v>0</v>
      </c>
      <c r="X377" s="384" t="str">
        <f ca="1">IF($Y377&gt;0,CHOOSE(MATCH(RegimeExecucao,{"Unitário","Global"},0),IF($A377="S",ROUND($H377,ORÇAMENTO!$AF$10),""),ROUND($I377,ORÇAMENTO!$AF$11)),"")</f>
        <v/>
      </c>
      <c r="Y377" s="384">
        <f t="shared" ca="1" si="41"/>
        <v>0</v>
      </c>
      <c r="Z377" s="572"/>
      <c r="AB377" s="382"/>
      <c r="AC377" s="516"/>
      <c r="AD377" s="516"/>
      <c r="AE377" s="516"/>
      <c r="AF377" s="516"/>
      <c r="AG377" s="516"/>
      <c r="AH377" s="516"/>
      <c r="AI377" s="516"/>
      <c r="AJ377" s="516"/>
      <c r="AK377" s="516"/>
      <c r="AL377" s="516"/>
      <c r="AM377" s="383"/>
      <c r="AO377">
        <f ca="1">IF($A377="S",IF(BM!$I377=0,0,CHOOSE(MATCH(RegimeExecucao,{"Global","Unitário"},0),ROUND(ROUND(BM.MEDAcumulado,15-13*BM!$A$9)/100*BM!$I377,15-13*ORÇAMENTO!$AF$11),ROUND(ROUND(BM.MEDAcumulado,15-13*BM!$A$9)*ROUND(BM!$H377,15-13*ORÇAMENTO!$AF$10),15-13*ORÇAMENTO!$AF$11))),IF($A377=0,0,ROUND(SomaAgrupBM,15-13*ORÇAMENTO!$AF$11)))</f>
        <v>0</v>
      </c>
    </row>
    <row r="378" spans="1:41" ht="38.25" x14ac:dyDescent="0.2">
      <c r="A378" t="str">
        <f ca="1">ORÇAMENTO!C378</f>
        <v>S</v>
      </c>
      <c r="B378">
        <f ca="1">ORÇAMENTO!D378</f>
        <v>0</v>
      </c>
      <c r="C378" s="116" t="str">
        <f ca="1">IF(OR($I378&gt;0,$A378=1,$A378=2,$A378=3,$A378=4),"F","")</f>
        <v/>
      </c>
      <c r="D378" s="119" t="str">
        <f ca="1">ORÇAMENTO!O378</f>
        <v>-</v>
      </c>
      <c r="E378" s="172" t="str">
        <f t="shared" ca="1" si="36"/>
        <v>(abra o arquivo 'Referência 02-2025.xlsm)</v>
      </c>
      <c r="F378" s="173" t="str">
        <f ca="1">IF(RegimeExecucao="Global","",ORÇAMENTO.Unidade)</f>
        <v>-</v>
      </c>
      <c r="G378" s="124">
        <f ca="1">IF(RegimeExecucao="Global","",ORÇAMENTO!T378)</f>
        <v>1</v>
      </c>
      <c r="H378" s="124">
        <f ca="1">IF(RegimeExecucao="Global","",ORÇAMENTO!W378)</f>
        <v>0</v>
      </c>
      <c r="I378" s="127">
        <f ca="1">ORÇAMENTO!X378</f>
        <v>0</v>
      </c>
      <c r="J378" s="378">
        <f ca="1">IF($A378="S",IF(CAIXA.Modo,BM.AFAnterior,BM.MEDAnterior),IF(AND(RegimeExecucao="Global",$I378&gt;0,COUNTIF($AB$13:$AM$13,BM.medicao-1)&gt;0),M378/$I378*100,0))</f>
        <v>0</v>
      </c>
      <c r="K378" s="124">
        <f ca="1">L378-J378</f>
        <v>0</v>
      </c>
      <c r="L378" s="379">
        <f ca="1">IF($A378="S",IF(CAIXA.Modo,BM.AFAcumulado,BM.MEDAcumulado),IF(AND(RegimeExecucao="Global",$I378&gt;0,COUNTIF($AB$13:$AM$13,BM.medicao)&gt;0),O378/$I378*100,0))</f>
        <v>0</v>
      </c>
      <c r="M378" s="380">
        <f ca="1">IF($A378="S",VTOTALBM,IF($A378=0,0,ROUND(SomaAgrupBM,15-13*ORÇAMENTO!$AF$11)))</f>
        <v>0</v>
      </c>
      <c r="N378" s="381">
        <f ca="1">O378-M378</f>
        <v>0</v>
      </c>
      <c r="O378" s="127">
        <f ca="1">IF($A378="S",VTOTALBM,IF($A378=0,0,ROUND(SomaAgrupBM,15-13*ORÇAMENTO!$AF$11)))</f>
        <v>0</v>
      </c>
      <c r="Q378" s="382"/>
      <c r="R378" s="383"/>
      <c r="T378" s="119" t="str">
        <f ca="1">IF($W378&gt;0,$D378,"")</f>
        <v/>
      </c>
      <c r="U378" s="172" t="str">
        <f ca="1">IF($W378&gt;0,$E378,"")</f>
        <v/>
      </c>
      <c r="V378" s="173" t="str">
        <f ca="1">IF(AND($W378&gt;0,RegimeExecucao="Unitário"),$F378,"")</f>
        <v/>
      </c>
      <c r="W378" s="547">
        <f ca="1">IF($Y378&gt;0,CHOOSE(MATCH(RegimeExecucao,{"Unitário","Global"},0),IF($A378="S",$Y378/$X378,""),($Y378/$X378)*100),0)</f>
        <v>0</v>
      </c>
      <c r="X378" s="384" t="str">
        <f ca="1">IF($Y378&gt;0,CHOOSE(MATCH(RegimeExecucao,{"Unitário","Global"},0),IF($A378="S",ROUND($H378,ORÇAMENTO!$AF$10),""),ROUND($I378,ORÇAMENTO!$AF$11)),"")</f>
        <v/>
      </c>
      <c r="Y378" s="384">
        <f ca="1">AO378-O378</f>
        <v>0</v>
      </c>
      <c r="Z378" s="572"/>
      <c r="AB378" s="382"/>
      <c r="AC378" s="516"/>
      <c r="AD378" s="516"/>
      <c r="AE378" s="516"/>
      <c r="AF378" s="516"/>
      <c r="AG378" s="516"/>
      <c r="AH378" s="516"/>
      <c r="AI378" s="516"/>
      <c r="AJ378" s="516"/>
      <c r="AK378" s="516"/>
      <c r="AL378" s="516"/>
      <c r="AM378" s="383"/>
      <c r="AO378">
        <f ca="1">IF($A378="S",IF(BM!$I378=0,0,CHOOSE(MATCH(RegimeExecucao,{"Global","Unitário"},0),ROUND(ROUND(BM.MEDAcumulado,15-13*BM!$A$9)/100*BM!$I378,15-13*ORÇAMENTO!$AF$11),ROUND(ROUND(BM.MEDAcumulado,15-13*BM!$A$9)*ROUND(BM!$H378,15-13*ORÇAMENTO!$AF$10),15-13*ORÇAMENTO!$AF$11))),IF($A378=0,0,ROUND(SomaAgrupBM,15-13*ORÇAMENTO!$AF$11)))</f>
        <v>0</v>
      </c>
    </row>
    <row r="379" spans="1:41" x14ac:dyDescent="0.2">
      <c r="A379">
        <f ca="1">ORÇAMENTO!C379</f>
        <v>3</v>
      </c>
      <c r="B379">
        <f ca="1">ORÇAMENTO!D379</f>
        <v>12</v>
      </c>
      <c r="C379" s="116" t="str">
        <f t="shared" ca="1" si="22"/>
        <v>F</v>
      </c>
      <c r="D379" s="119" t="str">
        <f ca="1">ORÇAMENTO!O379</f>
        <v>1.14.4.</v>
      </c>
      <c r="E379" s="172" t="str">
        <f t="shared" ca="1" si="23"/>
        <v>VENTILAÇÃO</v>
      </c>
      <c r="F379" s="173" t="str">
        <f ca="1">IF(RegimeExecucao="Global","",ORÇAMENTO.Unidade)</f>
        <v>-</v>
      </c>
      <c r="G379" s="124">
        <f ca="1">IF(RegimeExecucao="Global","",ORÇAMENTO!T379)</f>
        <v>0</v>
      </c>
      <c r="H379" s="124">
        <f ca="1">IF(RegimeExecucao="Global","",ORÇAMENTO!W379)</f>
        <v>0</v>
      </c>
      <c r="I379" s="127">
        <f ca="1">ORÇAMENTO!X379</f>
        <v>0</v>
      </c>
      <c r="J379" s="378">
        <f ca="1">IF($A379="S",IF(CAIXA.Modo,BM.AFAnterior,BM.MEDAnterior),IF(AND(RegimeExecucao="Global",$I379&gt;0,COUNTIF($AB$13:$AM$13,BM.medicao-1)&gt;0),M379/$I379*100,0))</f>
        <v>0</v>
      </c>
      <c r="K379" s="124">
        <f t="shared" ca="1" si="24"/>
        <v>0</v>
      </c>
      <c r="L379" s="379">
        <f ca="1">IF($A379="S",IF(CAIXA.Modo,BM.AFAcumulado,BM.MEDAcumulado),IF(AND(RegimeExecucao="Global",$I379&gt;0,COUNTIF($AB$13:$AM$13,BM.medicao)&gt;0),O379/$I379*100,0))</f>
        <v>0</v>
      </c>
      <c r="M379" s="380">
        <f ca="1">IF($A379="S",VTOTALBM,IF($A379=0,0,ROUND(SomaAgrupBM,15-13*ORÇAMENTO!$AF$11)))</f>
        <v>0</v>
      </c>
      <c r="N379" s="381">
        <f t="shared" ca="1" si="25"/>
        <v>0</v>
      </c>
      <c r="O379" s="127">
        <f ca="1">IF($A379="S",VTOTALBM,IF($A379=0,0,ROUND(SomaAgrupBM,15-13*ORÇAMENTO!$AF$11)))</f>
        <v>0</v>
      </c>
      <c r="Q379" s="382"/>
      <c r="R379" s="383"/>
      <c r="T379" s="119" t="str">
        <f t="shared" ca="1" si="26"/>
        <v/>
      </c>
      <c r="U379" s="172" t="str">
        <f t="shared" ca="1" si="27"/>
        <v/>
      </c>
      <c r="V379" s="173" t="str">
        <f ca="1">IF(AND($W379&gt;0,RegimeExecucao="Unitário"),$F379,"")</f>
        <v/>
      </c>
      <c r="W379" s="547">
        <f ca="1">IF($Y379&gt;0,CHOOSE(MATCH(RegimeExecucao,{"Unitário","Global"},0),IF($A379="S",$Y379/$X379,""),($Y379/$X379)*100),0)</f>
        <v>0</v>
      </c>
      <c r="X379" s="384" t="str">
        <f ca="1">IF($Y379&gt;0,CHOOSE(MATCH(RegimeExecucao,{"Unitário","Global"},0),IF($A379="S",ROUND($H379,ORÇAMENTO!$AF$10),""),ROUND($I379,ORÇAMENTO!$AF$11)),"")</f>
        <v/>
      </c>
      <c r="Y379" s="384">
        <f t="shared" ca="1" si="28"/>
        <v>0</v>
      </c>
      <c r="Z379" s="572"/>
      <c r="AB379" s="382"/>
      <c r="AC379" s="516"/>
      <c r="AD379" s="516"/>
      <c r="AE379" s="516"/>
      <c r="AF379" s="516"/>
      <c r="AG379" s="516"/>
      <c r="AH379" s="516"/>
      <c r="AI379" s="516"/>
      <c r="AJ379" s="516"/>
      <c r="AK379" s="516"/>
      <c r="AL379" s="516"/>
      <c r="AM379" s="383"/>
      <c r="AO379">
        <f ca="1">IF($A379="S",IF(BM!$I379=0,0,CHOOSE(MATCH(RegimeExecucao,{"Global","Unitário"},0),ROUND(ROUND(BM.MEDAcumulado,15-13*BM!$A$9)/100*BM!$I379,15-13*ORÇAMENTO!$AF$11),ROUND(ROUND(BM.MEDAcumulado,15-13*BM!$A$9)*ROUND(BM!$H379,15-13*ORÇAMENTO!$AF$10),15-13*ORÇAMENTO!$AF$11))),IF($A379=0,0,ROUND(SomaAgrupBM,15-13*ORÇAMENTO!$AF$11)))</f>
        <v>0</v>
      </c>
    </row>
    <row r="380" spans="1:41" ht="38.25" x14ac:dyDescent="0.2">
      <c r="A380" t="str">
        <f ca="1">ORÇAMENTO!C380</f>
        <v>S</v>
      </c>
      <c r="B380">
        <f ca="1">ORÇAMENTO!D380</f>
        <v>0</v>
      </c>
      <c r="C380" s="116" t="str">
        <f t="shared" ca="1" si="22"/>
        <v/>
      </c>
      <c r="D380" s="119" t="str">
        <f ca="1">ORÇAMENTO!O380</f>
        <v>-</v>
      </c>
      <c r="E380" s="172" t="str">
        <f t="shared" ca="1" si="23"/>
        <v>(abra o arquivo 'Referência 02-2025.xlsm)</v>
      </c>
      <c r="F380" s="173" t="str">
        <f ca="1">IF(RegimeExecucao="Global","",ORÇAMENTO.Unidade)</f>
        <v>-</v>
      </c>
      <c r="G380" s="124">
        <f ca="1">IF(RegimeExecucao="Global","",ORÇAMENTO!T380)</f>
        <v>46</v>
      </c>
      <c r="H380" s="124">
        <f ca="1">IF(RegimeExecucao="Global","",ORÇAMENTO!W380)</f>
        <v>0</v>
      </c>
      <c r="I380" s="127">
        <f ca="1">ORÇAMENTO!X380</f>
        <v>0</v>
      </c>
      <c r="J380" s="378">
        <f ca="1">IF($A380="S",IF(CAIXA.Modo,BM.AFAnterior,BM.MEDAnterior),IF(AND(RegimeExecucao="Global",$I380&gt;0,COUNTIF($AB$13:$AM$13,BM.medicao-1)&gt;0),M380/$I380*100,0))</f>
        <v>0</v>
      </c>
      <c r="K380" s="124">
        <f t="shared" ca="1" si="24"/>
        <v>0</v>
      </c>
      <c r="L380" s="379">
        <f ca="1">IF($A380="S",IF(CAIXA.Modo,BM.AFAcumulado,BM.MEDAcumulado),IF(AND(RegimeExecucao="Global",$I380&gt;0,COUNTIF($AB$13:$AM$13,BM.medicao)&gt;0),O380/$I380*100,0))</f>
        <v>0</v>
      </c>
      <c r="M380" s="380">
        <f ca="1">IF($A380="S",VTOTALBM,IF($A380=0,0,ROUND(SomaAgrupBM,15-13*ORÇAMENTO!$AF$11)))</f>
        <v>0</v>
      </c>
      <c r="N380" s="381">
        <f t="shared" ca="1" si="25"/>
        <v>0</v>
      </c>
      <c r="O380" s="127">
        <f ca="1">IF($A380="S",VTOTALBM,IF($A380=0,0,ROUND(SomaAgrupBM,15-13*ORÇAMENTO!$AF$11)))</f>
        <v>0</v>
      </c>
      <c r="Q380" s="382"/>
      <c r="R380" s="383"/>
      <c r="T380" s="119" t="str">
        <f t="shared" ca="1" si="26"/>
        <v/>
      </c>
      <c r="U380" s="172" t="str">
        <f t="shared" ca="1" si="27"/>
        <v/>
      </c>
      <c r="V380" s="173" t="str">
        <f ca="1">IF(AND($W380&gt;0,RegimeExecucao="Unitário"),$F380,"")</f>
        <v/>
      </c>
      <c r="W380" s="547">
        <f ca="1">IF($Y380&gt;0,CHOOSE(MATCH(RegimeExecucao,{"Unitário","Global"},0),IF($A380="S",$Y380/$X380,""),($Y380/$X380)*100),0)</f>
        <v>0</v>
      </c>
      <c r="X380" s="384" t="str">
        <f ca="1">IF($Y380&gt;0,CHOOSE(MATCH(RegimeExecucao,{"Unitário","Global"},0),IF($A380="S",ROUND($H380,ORÇAMENTO!$AF$10),""),ROUND($I380,ORÇAMENTO!$AF$11)),"")</f>
        <v/>
      </c>
      <c r="Y380" s="384">
        <f t="shared" ca="1" si="28"/>
        <v>0</v>
      </c>
      <c r="Z380" s="572"/>
      <c r="AB380" s="382"/>
      <c r="AC380" s="516"/>
      <c r="AD380" s="516"/>
      <c r="AE380" s="516"/>
      <c r="AF380" s="516"/>
      <c r="AG380" s="516"/>
      <c r="AH380" s="516"/>
      <c r="AI380" s="516"/>
      <c r="AJ380" s="516"/>
      <c r="AK380" s="516"/>
      <c r="AL380" s="516"/>
      <c r="AM380" s="383"/>
      <c r="AO380">
        <f ca="1">IF($A380="S",IF(BM!$I380=0,0,CHOOSE(MATCH(RegimeExecucao,{"Global","Unitário"},0),ROUND(ROUND(BM.MEDAcumulado,15-13*BM!$A$9)/100*BM!$I380,15-13*ORÇAMENTO!$AF$11),ROUND(ROUND(BM.MEDAcumulado,15-13*BM!$A$9)*ROUND(BM!$H380,15-13*ORÇAMENTO!$AF$10),15-13*ORÇAMENTO!$AF$11))),IF($A380=0,0,ROUND(SomaAgrupBM,15-13*ORÇAMENTO!$AF$11)))</f>
        <v>0</v>
      </c>
    </row>
    <row r="381" spans="1:41" ht="38.25" x14ac:dyDescent="0.2">
      <c r="A381" t="str">
        <f ca="1">ORÇAMENTO!C381</f>
        <v>S</v>
      </c>
      <c r="B381">
        <f ca="1">ORÇAMENTO!D381</f>
        <v>0</v>
      </c>
      <c r="C381" s="116" t="str">
        <f t="shared" ca="1" si="22"/>
        <v/>
      </c>
      <c r="D381" s="119" t="str">
        <f ca="1">ORÇAMENTO!O381</f>
        <v>-</v>
      </c>
      <c r="E381" s="172" t="str">
        <f t="shared" ca="1" si="23"/>
        <v>(abra o arquivo 'Referência 02-2025.xlsm)</v>
      </c>
      <c r="F381" s="173" t="str">
        <f ca="1">IF(RegimeExecucao="Global","",ORÇAMENTO.Unidade)</f>
        <v>-</v>
      </c>
      <c r="G381" s="124">
        <f ca="1">IF(RegimeExecucao="Global","",ORÇAMENTO!T381)</f>
        <v>248</v>
      </c>
      <c r="H381" s="124">
        <f ca="1">IF(RegimeExecucao="Global","",ORÇAMENTO!W381)</f>
        <v>0</v>
      </c>
      <c r="I381" s="127">
        <f ca="1">ORÇAMENTO!X381</f>
        <v>0</v>
      </c>
      <c r="J381" s="378">
        <f ca="1">IF($A381="S",IF(CAIXA.Modo,BM.AFAnterior,BM.MEDAnterior),IF(AND(RegimeExecucao="Global",$I381&gt;0,COUNTIF($AB$13:$AM$13,BM.medicao-1)&gt;0),M381/$I381*100,0))</f>
        <v>0</v>
      </c>
      <c r="K381" s="124">
        <f t="shared" ca="1" si="24"/>
        <v>0</v>
      </c>
      <c r="L381" s="379">
        <f ca="1">IF($A381="S",IF(CAIXA.Modo,BM.AFAcumulado,BM.MEDAcumulado),IF(AND(RegimeExecucao="Global",$I381&gt;0,COUNTIF($AB$13:$AM$13,BM.medicao)&gt;0),O381/$I381*100,0))</f>
        <v>0</v>
      </c>
      <c r="M381" s="380">
        <f ca="1">IF($A381="S",VTOTALBM,IF($A381=0,0,ROUND(SomaAgrupBM,15-13*ORÇAMENTO!$AF$11)))</f>
        <v>0</v>
      </c>
      <c r="N381" s="381">
        <f t="shared" ca="1" si="25"/>
        <v>0</v>
      </c>
      <c r="O381" s="127">
        <f ca="1">IF($A381="S",VTOTALBM,IF($A381=0,0,ROUND(SomaAgrupBM,15-13*ORÇAMENTO!$AF$11)))</f>
        <v>0</v>
      </c>
      <c r="Q381" s="382"/>
      <c r="R381" s="383"/>
      <c r="T381" s="119" t="str">
        <f t="shared" ca="1" si="26"/>
        <v/>
      </c>
      <c r="U381" s="172" t="str">
        <f t="shared" ca="1" si="27"/>
        <v/>
      </c>
      <c r="V381" s="173" t="str">
        <f ca="1">IF(AND($W381&gt;0,RegimeExecucao="Unitário"),$F381,"")</f>
        <v/>
      </c>
      <c r="W381" s="547">
        <f ca="1">IF($Y381&gt;0,CHOOSE(MATCH(RegimeExecucao,{"Unitário","Global"},0),IF($A381="S",$Y381/$X381,""),($Y381/$X381)*100),0)</f>
        <v>0</v>
      </c>
      <c r="X381" s="384" t="str">
        <f ca="1">IF($Y381&gt;0,CHOOSE(MATCH(RegimeExecucao,{"Unitário","Global"},0),IF($A381="S",ROUND($H381,ORÇAMENTO!$AF$10),""),ROUND($I381,ORÇAMENTO!$AF$11)),"")</f>
        <v/>
      </c>
      <c r="Y381" s="384">
        <f t="shared" ca="1" si="28"/>
        <v>0</v>
      </c>
      <c r="Z381" s="572"/>
      <c r="AB381" s="382"/>
      <c r="AC381" s="516"/>
      <c r="AD381" s="516"/>
      <c r="AE381" s="516"/>
      <c r="AF381" s="516"/>
      <c r="AG381" s="516"/>
      <c r="AH381" s="516"/>
      <c r="AI381" s="516"/>
      <c r="AJ381" s="516"/>
      <c r="AK381" s="516"/>
      <c r="AL381" s="516"/>
      <c r="AM381" s="383"/>
      <c r="AO381">
        <f ca="1">IF($A381="S",IF(BM!$I381=0,0,CHOOSE(MATCH(RegimeExecucao,{"Global","Unitário"},0),ROUND(ROUND(BM.MEDAcumulado,15-13*BM!$A$9)/100*BM!$I381,15-13*ORÇAMENTO!$AF$11),ROUND(ROUND(BM.MEDAcumulado,15-13*BM!$A$9)*ROUND(BM!$H381,15-13*ORÇAMENTO!$AF$10),15-13*ORÇAMENTO!$AF$11))),IF($A381=0,0,ROUND(SomaAgrupBM,15-13*ORÇAMENTO!$AF$11)))</f>
        <v>0</v>
      </c>
    </row>
    <row r="382" spans="1:41" ht="38.25" x14ac:dyDescent="0.2">
      <c r="A382" t="str">
        <f ca="1">ORÇAMENTO!C382</f>
        <v>S</v>
      </c>
      <c r="B382">
        <f ca="1">ORÇAMENTO!D382</f>
        <v>0</v>
      </c>
      <c r="C382" s="116" t="str">
        <f t="shared" ca="1" si="22"/>
        <v/>
      </c>
      <c r="D382" s="119" t="str">
        <f ca="1">ORÇAMENTO!O382</f>
        <v>-</v>
      </c>
      <c r="E382" s="172" t="str">
        <f t="shared" ca="1" si="23"/>
        <v>(abra o arquivo 'Referência 02-2025.xlsm)</v>
      </c>
      <c r="F382" s="173" t="str">
        <f ca="1">IF(RegimeExecucao="Global","",ORÇAMENTO.Unidade)</f>
        <v>-</v>
      </c>
      <c r="G382" s="124">
        <f ca="1">IF(RegimeExecucao="Global","",ORÇAMENTO!T382)</f>
        <v>2</v>
      </c>
      <c r="H382" s="124">
        <f ca="1">IF(RegimeExecucao="Global","",ORÇAMENTO!W382)</f>
        <v>0</v>
      </c>
      <c r="I382" s="127">
        <f ca="1">ORÇAMENTO!X382</f>
        <v>0</v>
      </c>
      <c r="J382" s="378">
        <f ca="1">IF($A382="S",IF(CAIXA.Modo,BM.AFAnterior,BM.MEDAnterior),IF(AND(RegimeExecucao="Global",$I382&gt;0,COUNTIF($AB$13:$AM$13,BM.medicao-1)&gt;0),M382/$I382*100,0))</f>
        <v>0</v>
      </c>
      <c r="K382" s="124">
        <f t="shared" ca="1" si="24"/>
        <v>0</v>
      </c>
      <c r="L382" s="379">
        <f ca="1">IF($A382="S",IF(CAIXA.Modo,BM.AFAcumulado,BM.MEDAcumulado),IF(AND(RegimeExecucao="Global",$I382&gt;0,COUNTIF($AB$13:$AM$13,BM.medicao)&gt;0),O382/$I382*100,0))</f>
        <v>0</v>
      </c>
      <c r="M382" s="380">
        <f ca="1">IF($A382="S",VTOTALBM,IF($A382=0,0,ROUND(SomaAgrupBM,15-13*ORÇAMENTO!$AF$11)))</f>
        <v>0</v>
      </c>
      <c r="N382" s="381">
        <f t="shared" ca="1" si="25"/>
        <v>0</v>
      </c>
      <c r="O382" s="127">
        <f ca="1">IF($A382="S",VTOTALBM,IF($A382=0,0,ROUND(SomaAgrupBM,15-13*ORÇAMENTO!$AF$11)))</f>
        <v>0</v>
      </c>
      <c r="Q382" s="382"/>
      <c r="R382" s="383"/>
      <c r="T382" s="119" t="str">
        <f t="shared" ca="1" si="26"/>
        <v/>
      </c>
      <c r="U382" s="172" t="str">
        <f t="shared" ca="1" si="27"/>
        <v/>
      </c>
      <c r="V382" s="173" t="str">
        <f ca="1">IF(AND($W382&gt;0,RegimeExecucao="Unitário"),$F382,"")</f>
        <v/>
      </c>
      <c r="W382" s="547">
        <f ca="1">IF($Y382&gt;0,CHOOSE(MATCH(RegimeExecucao,{"Unitário","Global"},0),IF($A382="S",$Y382/$X382,""),($Y382/$X382)*100),0)</f>
        <v>0</v>
      </c>
      <c r="X382" s="384" t="str">
        <f ca="1">IF($Y382&gt;0,CHOOSE(MATCH(RegimeExecucao,{"Unitário","Global"},0),IF($A382="S",ROUND($H382,ORÇAMENTO!$AF$10),""),ROUND($I382,ORÇAMENTO!$AF$11)),"")</f>
        <v/>
      </c>
      <c r="Y382" s="384">
        <f t="shared" ca="1" si="28"/>
        <v>0</v>
      </c>
      <c r="Z382" s="572"/>
      <c r="AB382" s="382"/>
      <c r="AC382" s="516"/>
      <c r="AD382" s="516"/>
      <c r="AE382" s="516"/>
      <c r="AF382" s="516"/>
      <c r="AG382" s="516"/>
      <c r="AH382" s="516"/>
      <c r="AI382" s="516"/>
      <c r="AJ382" s="516"/>
      <c r="AK382" s="516"/>
      <c r="AL382" s="516"/>
      <c r="AM382" s="383"/>
      <c r="AO382">
        <f ca="1">IF($A382="S",IF(BM!$I382=0,0,CHOOSE(MATCH(RegimeExecucao,{"Global","Unitário"},0),ROUND(ROUND(BM.MEDAcumulado,15-13*BM!$A$9)/100*BM!$I382,15-13*ORÇAMENTO!$AF$11),ROUND(ROUND(BM.MEDAcumulado,15-13*BM!$A$9)*ROUND(BM!$H382,15-13*ORÇAMENTO!$AF$10),15-13*ORÇAMENTO!$AF$11))),IF($A382=0,0,ROUND(SomaAgrupBM,15-13*ORÇAMENTO!$AF$11)))</f>
        <v>0</v>
      </c>
    </row>
    <row r="383" spans="1:41" ht="38.25" x14ac:dyDescent="0.2">
      <c r="A383" t="str">
        <f ca="1">ORÇAMENTO!C383</f>
        <v>S</v>
      </c>
      <c r="B383">
        <f ca="1">ORÇAMENTO!D383</f>
        <v>0</v>
      </c>
      <c r="C383" s="116" t="str">
        <f t="shared" ca="1" si="22"/>
        <v/>
      </c>
      <c r="D383" s="119" t="str">
        <f ca="1">ORÇAMENTO!O383</f>
        <v>-</v>
      </c>
      <c r="E383" s="172" t="str">
        <f t="shared" ca="1" si="23"/>
        <v>(abra o arquivo 'Referência 02-2025.xlsm)</v>
      </c>
      <c r="F383" s="173" t="str">
        <f ca="1">IF(RegimeExecucao="Global","",ORÇAMENTO.Unidade)</f>
        <v>-</v>
      </c>
      <c r="G383" s="124">
        <f ca="1">IF(RegimeExecucao="Global","",ORÇAMENTO!T383)</f>
        <v>39</v>
      </c>
      <c r="H383" s="124">
        <f ca="1">IF(RegimeExecucao="Global","",ORÇAMENTO!W383)</f>
        <v>0</v>
      </c>
      <c r="I383" s="127">
        <f ca="1">ORÇAMENTO!X383</f>
        <v>0</v>
      </c>
      <c r="J383" s="378">
        <f ca="1">IF($A383="S",IF(CAIXA.Modo,BM.AFAnterior,BM.MEDAnterior),IF(AND(RegimeExecucao="Global",$I383&gt;0,COUNTIF($AB$13:$AM$13,BM.medicao-1)&gt;0),M383/$I383*100,0))</f>
        <v>0</v>
      </c>
      <c r="K383" s="124">
        <f t="shared" ca="1" si="24"/>
        <v>0</v>
      </c>
      <c r="L383" s="379">
        <f ca="1">IF($A383="S",IF(CAIXA.Modo,BM.AFAcumulado,BM.MEDAcumulado),IF(AND(RegimeExecucao="Global",$I383&gt;0,COUNTIF($AB$13:$AM$13,BM.medicao)&gt;0),O383/$I383*100,0))</f>
        <v>0</v>
      </c>
      <c r="M383" s="380">
        <f ca="1">IF($A383="S",VTOTALBM,IF($A383=0,0,ROUND(SomaAgrupBM,15-13*ORÇAMENTO!$AF$11)))</f>
        <v>0</v>
      </c>
      <c r="N383" s="381">
        <f t="shared" ca="1" si="25"/>
        <v>0</v>
      </c>
      <c r="O383" s="127">
        <f ca="1">IF($A383="S",VTOTALBM,IF($A383=0,0,ROUND(SomaAgrupBM,15-13*ORÇAMENTO!$AF$11)))</f>
        <v>0</v>
      </c>
      <c r="Q383" s="382"/>
      <c r="R383" s="383"/>
      <c r="T383" s="119" t="str">
        <f t="shared" ca="1" si="26"/>
        <v/>
      </c>
      <c r="U383" s="172" t="str">
        <f t="shared" ca="1" si="27"/>
        <v/>
      </c>
      <c r="V383" s="173" t="str">
        <f ca="1">IF(AND($W383&gt;0,RegimeExecucao="Unitário"),$F383,"")</f>
        <v/>
      </c>
      <c r="W383" s="547">
        <f ca="1">IF($Y383&gt;0,CHOOSE(MATCH(RegimeExecucao,{"Unitário","Global"},0),IF($A383="S",$Y383/$X383,""),($Y383/$X383)*100),0)</f>
        <v>0</v>
      </c>
      <c r="X383" s="384" t="str">
        <f ca="1">IF($Y383&gt;0,CHOOSE(MATCH(RegimeExecucao,{"Unitário","Global"},0),IF($A383="S",ROUND($H383,ORÇAMENTO!$AF$10),""),ROUND($I383,ORÇAMENTO!$AF$11)),"")</f>
        <v/>
      </c>
      <c r="Y383" s="384">
        <f t="shared" ca="1" si="28"/>
        <v>0</v>
      </c>
      <c r="Z383" s="572"/>
      <c r="AB383" s="382"/>
      <c r="AC383" s="516"/>
      <c r="AD383" s="516"/>
      <c r="AE383" s="516"/>
      <c r="AF383" s="516"/>
      <c r="AG383" s="516"/>
      <c r="AH383" s="516"/>
      <c r="AI383" s="516"/>
      <c r="AJ383" s="516"/>
      <c r="AK383" s="516"/>
      <c r="AL383" s="516"/>
      <c r="AM383" s="383"/>
      <c r="AO383">
        <f ca="1">IF($A383="S",IF(BM!$I383=0,0,CHOOSE(MATCH(RegimeExecucao,{"Global","Unitário"},0),ROUND(ROUND(BM.MEDAcumulado,15-13*BM!$A$9)/100*BM!$I383,15-13*ORÇAMENTO!$AF$11),ROUND(ROUND(BM.MEDAcumulado,15-13*BM!$A$9)*ROUND(BM!$H383,15-13*ORÇAMENTO!$AF$10),15-13*ORÇAMENTO!$AF$11))),IF($A383=0,0,ROUND(SomaAgrupBM,15-13*ORÇAMENTO!$AF$11)))</f>
        <v>0</v>
      </c>
    </row>
    <row r="384" spans="1:41" ht="38.25" x14ac:dyDescent="0.2">
      <c r="A384" t="str">
        <f ca="1">ORÇAMENTO!C384</f>
        <v>S</v>
      </c>
      <c r="B384">
        <f ca="1">ORÇAMENTO!D384</f>
        <v>0</v>
      </c>
      <c r="C384" s="116" t="str">
        <f t="shared" ca="1" si="22"/>
        <v/>
      </c>
      <c r="D384" s="119" t="str">
        <f ca="1">ORÇAMENTO!O384</f>
        <v>-</v>
      </c>
      <c r="E384" s="172" t="str">
        <f t="shared" ca="1" si="23"/>
        <v>(abra o arquivo 'Referência 02-2025.xlsm)</v>
      </c>
      <c r="F384" s="173" t="str">
        <f ca="1">IF(RegimeExecucao="Global","",ORÇAMENTO.Unidade)</f>
        <v>-</v>
      </c>
      <c r="G384" s="124">
        <f ca="1">IF(RegimeExecucao="Global","",ORÇAMENTO!T384)</f>
        <v>2</v>
      </c>
      <c r="H384" s="124">
        <f ca="1">IF(RegimeExecucao="Global","",ORÇAMENTO!W384)</f>
        <v>0</v>
      </c>
      <c r="I384" s="127">
        <f ca="1">ORÇAMENTO!X384</f>
        <v>0</v>
      </c>
      <c r="J384" s="378">
        <f ca="1">IF($A384="S",IF(CAIXA.Modo,BM.AFAnterior,BM.MEDAnterior),IF(AND(RegimeExecucao="Global",$I384&gt;0,COUNTIF($AB$13:$AM$13,BM.medicao-1)&gt;0),M384/$I384*100,0))</f>
        <v>0</v>
      </c>
      <c r="K384" s="124">
        <f t="shared" ca="1" si="24"/>
        <v>0</v>
      </c>
      <c r="L384" s="379">
        <f ca="1">IF($A384="S",IF(CAIXA.Modo,BM.AFAcumulado,BM.MEDAcumulado),IF(AND(RegimeExecucao="Global",$I384&gt;0,COUNTIF($AB$13:$AM$13,BM.medicao)&gt;0),O384/$I384*100,0))</f>
        <v>0</v>
      </c>
      <c r="M384" s="380">
        <f ca="1">IF($A384="S",VTOTALBM,IF($A384=0,0,ROUND(SomaAgrupBM,15-13*ORÇAMENTO!$AF$11)))</f>
        <v>0</v>
      </c>
      <c r="N384" s="381">
        <f t="shared" ca="1" si="25"/>
        <v>0</v>
      </c>
      <c r="O384" s="127">
        <f ca="1">IF($A384="S",VTOTALBM,IF($A384=0,0,ROUND(SomaAgrupBM,15-13*ORÇAMENTO!$AF$11)))</f>
        <v>0</v>
      </c>
      <c r="Q384" s="382"/>
      <c r="R384" s="383"/>
      <c r="T384" s="119" t="str">
        <f t="shared" ca="1" si="26"/>
        <v/>
      </c>
      <c r="U384" s="172" t="str">
        <f t="shared" ca="1" si="27"/>
        <v/>
      </c>
      <c r="V384" s="173" t="str">
        <f ca="1">IF(AND($W384&gt;0,RegimeExecucao="Unitário"),$F384,"")</f>
        <v/>
      </c>
      <c r="W384" s="547">
        <f ca="1">IF($Y384&gt;0,CHOOSE(MATCH(RegimeExecucao,{"Unitário","Global"},0),IF($A384="S",$Y384/$X384,""),($Y384/$X384)*100),0)</f>
        <v>0</v>
      </c>
      <c r="X384" s="384" t="str">
        <f ca="1">IF($Y384&gt;0,CHOOSE(MATCH(RegimeExecucao,{"Unitário","Global"},0),IF($A384="S",ROUND($H384,ORÇAMENTO!$AF$10),""),ROUND($I384,ORÇAMENTO!$AF$11)),"")</f>
        <v/>
      </c>
      <c r="Y384" s="384">
        <f t="shared" ca="1" si="28"/>
        <v>0</v>
      </c>
      <c r="Z384" s="572"/>
      <c r="AB384" s="382"/>
      <c r="AC384" s="516"/>
      <c r="AD384" s="516"/>
      <c r="AE384" s="516"/>
      <c r="AF384" s="516"/>
      <c r="AG384" s="516"/>
      <c r="AH384" s="516"/>
      <c r="AI384" s="516"/>
      <c r="AJ384" s="516"/>
      <c r="AK384" s="516"/>
      <c r="AL384" s="516"/>
      <c r="AM384" s="383"/>
      <c r="AO384">
        <f ca="1">IF($A384="S",IF(BM!$I384=0,0,CHOOSE(MATCH(RegimeExecucao,{"Global","Unitário"},0),ROUND(ROUND(BM.MEDAcumulado,15-13*BM!$A$9)/100*BM!$I384,15-13*ORÇAMENTO!$AF$11),ROUND(ROUND(BM.MEDAcumulado,15-13*BM!$A$9)*ROUND(BM!$H384,15-13*ORÇAMENTO!$AF$10),15-13*ORÇAMENTO!$AF$11))),IF($A384=0,0,ROUND(SomaAgrupBM,15-13*ORÇAMENTO!$AF$11)))</f>
        <v>0</v>
      </c>
    </row>
    <row r="385" spans="1:41" ht="38.25" x14ac:dyDescent="0.2">
      <c r="A385" t="str">
        <f ca="1">ORÇAMENTO!C385</f>
        <v>S</v>
      </c>
      <c r="B385">
        <f ca="1">ORÇAMENTO!D385</f>
        <v>0</v>
      </c>
      <c r="C385" s="116" t="str">
        <f t="shared" ca="1" si="22"/>
        <v/>
      </c>
      <c r="D385" s="119" t="str">
        <f ca="1">ORÇAMENTO!O385</f>
        <v>-</v>
      </c>
      <c r="E385" s="172" t="str">
        <f t="shared" ca="1" si="23"/>
        <v>(abra o arquivo 'Referência 02-2025.xlsm)</v>
      </c>
      <c r="F385" s="173" t="str">
        <f ca="1">IF(RegimeExecucao="Global","",ORÇAMENTO.Unidade)</f>
        <v>-</v>
      </c>
      <c r="G385" s="124">
        <f ca="1">IF(RegimeExecucao="Global","",ORÇAMENTO!T385)</f>
        <v>24</v>
      </c>
      <c r="H385" s="124">
        <f ca="1">IF(RegimeExecucao="Global","",ORÇAMENTO!W385)</f>
        <v>0</v>
      </c>
      <c r="I385" s="127">
        <f ca="1">ORÇAMENTO!X385</f>
        <v>0</v>
      </c>
      <c r="J385" s="378">
        <f ca="1">IF($A385="S",IF(CAIXA.Modo,BM.AFAnterior,BM.MEDAnterior),IF(AND(RegimeExecucao="Global",$I385&gt;0,COUNTIF($AB$13:$AM$13,BM.medicao-1)&gt;0),M385/$I385*100,0))</f>
        <v>0</v>
      </c>
      <c r="K385" s="124">
        <f t="shared" ca="1" si="24"/>
        <v>0</v>
      </c>
      <c r="L385" s="379">
        <f ca="1">IF($A385="S",IF(CAIXA.Modo,BM.AFAcumulado,BM.MEDAcumulado),IF(AND(RegimeExecucao="Global",$I385&gt;0,COUNTIF($AB$13:$AM$13,BM.medicao)&gt;0),O385/$I385*100,0))</f>
        <v>0</v>
      </c>
      <c r="M385" s="380">
        <f ca="1">IF($A385="S",VTOTALBM,IF($A385=0,0,ROUND(SomaAgrupBM,15-13*ORÇAMENTO!$AF$11)))</f>
        <v>0</v>
      </c>
      <c r="N385" s="381">
        <f t="shared" ca="1" si="25"/>
        <v>0</v>
      </c>
      <c r="O385" s="127">
        <f ca="1">IF($A385="S",VTOTALBM,IF($A385=0,0,ROUND(SomaAgrupBM,15-13*ORÇAMENTO!$AF$11)))</f>
        <v>0</v>
      </c>
      <c r="Q385" s="382"/>
      <c r="R385" s="383"/>
      <c r="T385" s="119" t="str">
        <f t="shared" ca="1" si="26"/>
        <v/>
      </c>
      <c r="U385" s="172" t="str">
        <f t="shared" ca="1" si="27"/>
        <v/>
      </c>
      <c r="V385" s="173" t="str">
        <f ca="1">IF(AND($W385&gt;0,RegimeExecucao="Unitário"),$F385,"")</f>
        <v/>
      </c>
      <c r="W385" s="547">
        <f ca="1">IF($Y385&gt;0,CHOOSE(MATCH(RegimeExecucao,{"Unitário","Global"},0),IF($A385="S",$Y385/$X385,""),($Y385/$X385)*100),0)</f>
        <v>0</v>
      </c>
      <c r="X385" s="384" t="str">
        <f ca="1">IF($Y385&gt;0,CHOOSE(MATCH(RegimeExecucao,{"Unitário","Global"},0),IF($A385="S",ROUND($H385,ORÇAMENTO!$AF$10),""),ROUND($I385,ORÇAMENTO!$AF$11)),"")</f>
        <v/>
      </c>
      <c r="Y385" s="384">
        <f t="shared" ca="1" si="28"/>
        <v>0</v>
      </c>
      <c r="Z385" s="572"/>
      <c r="AB385" s="382"/>
      <c r="AC385" s="516"/>
      <c r="AD385" s="516"/>
      <c r="AE385" s="516"/>
      <c r="AF385" s="516"/>
      <c r="AG385" s="516"/>
      <c r="AH385" s="516"/>
      <c r="AI385" s="516"/>
      <c r="AJ385" s="516"/>
      <c r="AK385" s="516"/>
      <c r="AL385" s="516"/>
      <c r="AM385" s="383"/>
      <c r="AO385">
        <f ca="1">IF($A385="S",IF(BM!$I385=0,0,CHOOSE(MATCH(RegimeExecucao,{"Global","Unitário"},0),ROUND(ROUND(BM.MEDAcumulado,15-13*BM!$A$9)/100*BM!$I385,15-13*ORÇAMENTO!$AF$11),ROUND(ROUND(BM.MEDAcumulado,15-13*BM!$A$9)*ROUND(BM!$H385,15-13*ORÇAMENTO!$AF$10),15-13*ORÇAMENTO!$AF$11))),IF($A385=0,0,ROUND(SomaAgrupBM,15-13*ORÇAMENTO!$AF$11)))</f>
        <v>0</v>
      </c>
    </row>
    <row r="386" spans="1:41" ht="38.25" x14ac:dyDescent="0.2">
      <c r="A386" t="str">
        <f ca="1">ORÇAMENTO!C386</f>
        <v>S</v>
      </c>
      <c r="B386">
        <f ca="1">ORÇAMENTO!D386</f>
        <v>0</v>
      </c>
      <c r="C386" s="116" t="str">
        <f t="shared" ca="1" si="22"/>
        <v/>
      </c>
      <c r="D386" s="119" t="str">
        <f ca="1">ORÇAMENTO!O386</f>
        <v>-</v>
      </c>
      <c r="E386" s="172" t="str">
        <f t="shared" ca="1" si="23"/>
        <v>(abra o arquivo 'Referência 02-2025.xlsm)</v>
      </c>
      <c r="F386" s="173" t="str">
        <f ca="1">IF(RegimeExecucao="Global","",ORÇAMENTO.Unidade)</f>
        <v>-</v>
      </c>
      <c r="G386" s="124">
        <f ca="1">IF(RegimeExecucao="Global","",ORÇAMENTO!T386)</f>
        <v>388.2</v>
      </c>
      <c r="H386" s="124">
        <f ca="1">IF(RegimeExecucao="Global","",ORÇAMENTO!W386)</f>
        <v>0</v>
      </c>
      <c r="I386" s="127">
        <f ca="1">ORÇAMENTO!X386</f>
        <v>0</v>
      </c>
      <c r="J386" s="378">
        <f ca="1">IF($A386="S",IF(CAIXA.Modo,BM.AFAnterior,BM.MEDAnterior),IF(AND(RegimeExecucao="Global",$I386&gt;0,COUNTIF($AB$13:$AM$13,BM.medicao-1)&gt;0),M386/$I386*100,0))</f>
        <v>0</v>
      </c>
      <c r="K386" s="124">
        <f t="shared" ca="1" si="24"/>
        <v>0</v>
      </c>
      <c r="L386" s="379">
        <f ca="1">IF($A386="S",IF(CAIXA.Modo,BM.AFAcumulado,BM.MEDAcumulado),IF(AND(RegimeExecucao="Global",$I386&gt;0,COUNTIF($AB$13:$AM$13,BM.medicao)&gt;0),O386/$I386*100,0))</f>
        <v>0</v>
      </c>
      <c r="M386" s="380">
        <f ca="1">IF($A386="S",VTOTALBM,IF($A386=0,0,ROUND(SomaAgrupBM,15-13*ORÇAMENTO!$AF$11)))</f>
        <v>0</v>
      </c>
      <c r="N386" s="381">
        <f t="shared" ca="1" si="25"/>
        <v>0</v>
      </c>
      <c r="O386" s="127">
        <f ca="1">IF($A386="S",VTOTALBM,IF($A386=0,0,ROUND(SomaAgrupBM,15-13*ORÇAMENTO!$AF$11)))</f>
        <v>0</v>
      </c>
      <c r="Q386" s="382"/>
      <c r="R386" s="383"/>
      <c r="T386" s="119" t="str">
        <f t="shared" ca="1" si="26"/>
        <v/>
      </c>
      <c r="U386" s="172" t="str">
        <f t="shared" ca="1" si="27"/>
        <v/>
      </c>
      <c r="V386" s="173" t="str">
        <f ca="1">IF(AND($W386&gt;0,RegimeExecucao="Unitário"),$F386,"")</f>
        <v/>
      </c>
      <c r="W386" s="547">
        <f ca="1">IF($Y386&gt;0,CHOOSE(MATCH(RegimeExecucao,{"Unitário","Global"},0),IF($A386="S",$Y386/$X386,""),($Y386/$X386)*100),0)</f>
        <v>0</v>
      </c>
      <c r="X386" s="384" t="str">
        <f ca="1">IF($Y386&gt;0,CHOOSE(MATCH(RegimeExecucao,{"Unitário","Global"},0),IF($A386="S",ROUND($H386,ORÇAMENTO!$AF$10),""),ROUND($I386,ORÇAMENTO!$AF$11)),"")</f>
        <v/>
      </c>
      <c r="Y386" s="384">
        <f t="shared" ca="1" si="28"/>
        <v>0</v>
      </c>
      <c r="Z386" s="572"/>
      <c r="AB386" s="382"/>
      <c r="AC386" s="516"/>
      <c r="AD386" s="516"/>
      <c r="AE386" s="516"/>
      <c r="AF386" s="516"/>
      <c r="AG386" s="516"/>
      <c r="AH386" s="516"/>
      <c r="AI386" s="516"/>
      <c r="AJ386" s="516"/>
      <c r="AK386" s="516"/>
      <c r="AL386" s="516"/>
      <c r="AM386" s="383"/>
      <c r="AO386">
        <f ca="1">IF($A386="S",IF(BM!$I386=0,0,CHOOSE(MATCH(RegimeExecucao,{"Global","Unitário"},0),ROUND(ROUND(BM.MEDAcumulado,15-13*BM!$A$9)/100*BM!$I386,15-13*ORÇAMENTO!$AF$11),ROUND(ROUND(BM.MEDAcumulado,15-13*BM!$A$9)*ROUND(BM!$H386,15-13*ORÇAMENTO!$AF$10),15-13*ORÇAMENTO!$AF$11))),IF($A386=0,0,ROUND(SomaAgrupBM,15-13*ORÇAMENTO!$AF$11)))</f>
        <v>0</v>
      </c>
    </row>
    <row r="387" spans="1:41" ht="38.25" x14ac:dyDescent="0.2">
      <c r="A387" t="str">
        <f ca="1">ORÇAMENTO!C387</f>
        <v>S</v>
      </c>
      <c r="B387">
        <f ca="1">ORÇAMENTO!D387</f>
        <v>0</v>
      </c>
      <c r="C387" s="116" t="str">
        <f t="shared" ca="1" si="22"/>
        <v/>
      </c>
      <c r="D387" s="119" t="str">
        <f ca="1">ORÇAMENTO!O387</f>
        <v>-</v>
      </c>
      <c r="E387" s="172" t="str">
        <f t="shared" ca="1" si="23"/>
        <v>(abra o arquivo 'Referência 02-2025.xlsm)</v>
      </c>
      <c r="F387" s="173" t="str">
        <f ca="1">IF(RegimeExecucao="Global","",ORÇAMENTO.Unidade)</f>
        <v>-</v>
      </c>
      <c r="G387" s="124">
        <f ca="1">IF(RegimeExecucao="Global","",ORÇAMENTO!T387)</f>
        <v>2</v>
      </c>
      <c r="H387" s="124">
        <f ca="1">IF(RegimeExecucao="Global","",ORÇAMENTO!W387)</f>
        <v>0</v>
      </c>
      <c r="I387" s="127">
        <f ca="1">ORÇAMENTO!X387</f>
        <v>0</v>
      </c>
      <c r="J387" s="378">
        <f ca="1">IF($A387="S",IF(CAIXA.Modo,BM.AFAnterior,BM.MEDAnterior),IF(AND(RegimeExecucao="Global",$I387&gt;0,COUNTIF($AB$13:$AM$13,BM.medicao-1)&gt;0),M387/$I387*100,0))</f>
        <v>0</v>
      </c>
      <c r="K387" s="124">
        <f t="shared" ca="1" si="24"/>
        <v>0</v>
      </c>
      <c r="L387" s="379">
        <f ca="1">IF($A387="S",IF(CAIXA.Modo,BM.AFAcumulado,BM.MEDAcumulado),IF(AND(RegimeExecucao="Global",$I387&gt;0,COUNTIF($AB$13:$AM$13,BM.medicao)&gt;0),O387/$I387*100,0))</f>
        <v>0</v>
      </c>
      <c r="M387" s="380">
        <f ca="1">IF($A387="S",VTOTALBM,IF($A387=0,0,ROUND(SomaAgrupBM,15-13*ORÇAMENTO!$AF$11)))</f>
        <v>0</v>
      </c>
      <c r="N387" s="381">
        <f t="shared" ca="1" si="25"/>
        <v>0</v>
      </c>
      <c r="O387" s="127">
        <f ca="1">IF($A387="S",VTOTALBM,IF($A387=0,0,ROUND(SomaAgrupBM,15-13*ORÇAMENTO!$AF$11)))</f>
        <v>0</v>
      </c>
      <c r="Q387" s="382"/>
      <c r="R387" s="383"/>
      <c r="T387" s="119" t="str">
        <f t="shared" ca="1" si="26"/>
        <v/>
      </c>
      <c r="U387" s="172" t="str">
        <f t="shared" ca="1" si="27"/>
        <v/>
      </c>
      <c r="V387" s="173" t="str">
        <f ca="1">IF(AND($W387&gt;0,RegimeExecucao="Unitário"),$F387,"")</f>
        <v/>
      </c>
      <c r="W387" s="547">
        <f ca="1">IF($Y387&gt;0,CHOOSE(MATCH(RegimeExecucao,{"Unitário","Global"},0),IF($A387="S",$Y387/$X387,""),($Y387/$X387)*100),0)</f>
        <v>0</v>
      </c>
      <c r="X387" s="384" t="str">
        <f ca="1">IF($Y387&gt;0,CHOOSE(MATCH(RegimeExecucao,{"Unitário","Global"},0),IF($A387="S",ROUND($H387,ORÇAMENTO!$AF$10),""),ROUND($I387,ORÇAMENTO!$AF$11)),"")</f>
        <v/>
      </c>
      <c r="Y387" s="384">
        <f t="shared" ca="1" si="28"/>
        <v>0</v>
      </c>
      <c r="Z387" s="572"/>
      <c r="AB387" s="382"/>
      <c r="AC387" s="516"/>
      <c r="AD387" s="516"/>
      <c r="AE387" s="516"/>
      <c r="AF387" s="516"/>
      <c r="AG387" s="516"/>
      <c r="AH387" s="516"/>
      <c r="AI387" s="516"/>
      <c r="AJ387" s="516"/>
      <c r="AK387" s="516"/>
      <c r="AL387" s="516"/>
      <c r="AM387" s="383"/>
      <c r="AO387">
        <f ca="1">IF($A387="S",IF(BM!$I387=0,0,CHOOSE(MATCH(RegimeExecucao,{"Global","Unitário"},0),ROUND(ROUND(BM.MEDAcumulado,15-13*BM!$A$9)/100*BM!$I387,15-13*ORÇAMENTO!$AF$11),ROUND(ROUND(BM.MEDAcumulado,15-13*BM!$A$9)*ROUND(BM!$H387,15-13*ORÇAMENTO!$AF$10),15-13*ORÇAMENTO!$AF$11))),IF($A387=0,0,ROUND(SomaAgrupBM,15-13*ORÇAMENTO!$AF$11)))</f>
        <v>0</v>
      </c>
    </row>
    <row r="388" spans="1:41" ht="38.25" x14ac:dyDescent="0.2">
      <c r="A388" t="str">
        <f ca="1">ORÇAMENTO!C388</f>
        <v>S</v>
      </c>
      <c r="B388">
        <f ca="1">ORÇAMENTO!D388</f>
        <v>0</v>
      </c>
      <c r="C388" s="116" t="str">
        <f t="shared" ca="1" si="22"/>
        <v/>
      </c>
      <c r="D388" s="119" t="str">
        <f ca="1">ORÇAMENTO!O388</f>
        <v>-</v>
      </c>
      <c r="E388" s="172" t="str">
        <f t="shared" ca="1" si="23"/>
        <v>(abra o arquivo 'Referência 02-2025.xlsm)</v>
      </c>
      <c r="F388" s="173" t="str">
        <f ca="1">IF(RegimeExecucao="Global","",ORÇAMENTO.Unidade)</f>
        <v>-</v>
      </c>
      <c r="G388" s="124">
        <f ca="1">IF(RegimeExecucao="Global","",ORÇAMENTO!T388)</f>
        <v>6</v>
      </c>
      <c r="H388" s="124">
        <f ca="1">IF(RegimeExecucao="Global","",ORÇAMENTO!W388)</f>
        <v>0</v>
      </c>
      <c r="I388" s="127">
        <f ca="1">ORÇAMENTO!X388</f>
        <v>0</v>
      </c>
      <c r="J388" s="378">
        <f ca="1">IF($A388="S",IF(CAIXA.Modo,BM.AFAnterior,BM.MEDAnterior),IF(AND(RegimeExecucao="Global",$I388&gt;0,COUNTIF($AB$13:$AM$13,BM.medicao-1)&gt;0),M388/$I388*100,0))</f>
        <v>0</v>
      </c>
      <c r="K388" s="124">
        <f t="shared" ca="1" si="24"/>
        <v>0</v>
      </c>
      <c r="L388" s="379">
        <f ca="1">IF($A388="S",IF(CAIXA.Modo,BM.AFAcumulado,BM.MEDAcumulado),IF(AND(RegimeExecucao="Global",$I388&gt;0,COUNTIF($AB$13:$AM$13,BM.medicao)&gt;0),O388/$I388*100,0))</f>
        <v>0</v>
      </c>
      <c r="M388" s="380">
        <f ca="1">IF($A388="S",VTOTALBM,IF($A388=0,0,ROUND(SomaAgrupBM,15-13*ORÇAMENTO!$AF$11)))</f>
        <v>0</v>
      </c>
      <c r="N388" s="381">
        <f t="shared" ca="1" si="25"/>
        <v>0</v>
      </c>
      <c r="O388" s="127">
        <f ca="1">IF($A388="S",VTOTALBM,IF($A388=0,0,ROUND(SomaAgrupBM,15-13*ORÇAMENTO!$AF$11)))</f>
        <v>0</v>
      </c>
      <c r="Q388" s="382"/>
      <c r="R388" s="383"/>
      <c r="T388" s="119" t="str">
        <f t="shared" ca="1" si="26"/>
        <v/>
      </c>
      <c r="U388" s="172" t="str">
        <f t="shared" ca="1" si="27"/>
        <v/>
      </c>
      <c r="V388" s="173" t="str">
        <f ca="1">IF(AND($W388&gt;0,RegimeExecucao="Unitário"),$F388,"")</f>
        <v/>
      </c>
      <c r="W388" s="547">
        <f ca="1">IF($Y388&gt;0,CHOOSE(MATCH(RegimeExecucao,{"Unitário","Global"},0),IF($A388="S",$Y388/$X388,""),($Y388/$X388)*100),0)</f>
        <v>0</v>
      </c>
      <c r="X388" s="384" t="str">
        <f ca="1">IF($Y388&gt;0,CHOOSE(MATCH(RegimeExecucao,{"Unitário","Global"},0),IF($A388="S",ROUND($H388,ORÇAMENTO!$AF$10),""),ROUND($I388,ORÇAMENTO!$AF$11)),"")</f>
        <v/>
      </c>
      <c r="Y388" s="384">
        <f t="shared" ca="1" si="28"/>
        <v>0</v>
      </c>
      <c r="Z388" s="572"/>
      <c r="AB388" s="382"/>
      <c r="AC388" s="516"/>
      <c r="AD388" s="516"/>
      <c r="AE388" s="516"/>
      <c r="AF388" s="516"/>
      <c r="AG388" s="516"/>
      <c r="AH388" s="516"/>
      <c r="AI388" s="516"/>
      <c r="AJ388" s="516"/>
      <c r="AK388" s="516"/>
      <c r="AL388" s="516"/>
      <c r="AM388" s="383"/>
      <c r="AO388">
        <f ca="1">IF($A388="S",IF(BM!$I388=0,0,CHOOSE(MATCH(RegimeExecucao,{"Global","Unitário"},0),ROUND(ROUND(BM.MEDAcumulado,15-13*BM!$A$9)/100*BM!$I388,15-13*ORÇAMENTO!$AF$11),ROUND(ROUND(BM.MEDAcumulado,15-13*BM!$A$9)*ROUND(BM!$H388,15-13*ORÇAMENTO!$AF$10),15-13*ORÇAMENTO!$AF$11))),IF($A388=0,0,ROUND(SomaAgrupBM,15-13*ORÇAMENTO!$AF$11)))</f>
        <v>0</v>
      </c>
    </row>
    <row r="389" spans="1:41" ht="38.25" x14ac:dyDescent="0.2">
      <c r="A389" t="str">
        <f ca="1">ORÇAMENTO!C389</f>
        <v>S</v>
      </c>
      <c r="B389">
        <f ca="1">ORÇAMENTO!D389</f>
        <v>0</v>
      </c>
      <c r="C389" s="116" t="str">
        <f t="shared" ca="1" si="22"/>
        <v/>
      </c>
      <c r="D389" s="119" t="str">
        <f ca="1">ORÇAMENTO!O389</f>
        <v>-</v>
      </c>
      <c r="E389" s="172" t="str">
        <f t="shared" ca="1" si="23"/>
        <v>(abra o arquivo 'Referência 02-2025.xlsm)</v>
      </c>
      <c r="F389" s="173" t="str">
        <f ca="1">IF(RegimeExecucao="Global","",ORÇAMENTO.Unidade)</f>
        <v>-</v>
      </c>
      <c r="G389" s="124">
        <f ca="1">IF(RegimeExecucao="Global","",ORÇAMENTO!T389)</f>
        <v>56</v>
      </c>
      <c r="H389" s="124">
        <f ca="1">IF(RegimeExecucao="Global","",ORÇAMENTO!W389)</f>
        <v>0</v>
      </c>
      <c r="I389" s="127">
        <f ca="1">ORÇAMENTO!X389</f>
        <v>0</v>
      </c>
      <c r="J389" s="378">
        <f ca="1">IF($A389="S",IF(CAIXA.Modo,BM.AFAnterior,BM.MEDAnterior),IF(AND(RegimeExecucao="Global",$I389&gt;0,COUNTIF($AB$13:$AM$13,BM.medicao-1)&gt;0),M389/$I389*100,0))</f>
        <v>0</v>
      </c>
      <c r="K389" s="124">
        <f t="shared" ca="1" si="24"/>
        <v>0</v>
      </c>
      <c r="L389" s="379">
        <f ca="1">IF($A389="S",IF(CAIXA.Modo,BM.AFAcumulado,BM.MEDAcumulado),IF(AND(RegimeExecucao="Global",$I389&gt;0,COUNTIF($AB$13:$AM$13,BM.medicao)&gt;0),O389/$I389*100,0))</f>
        <v>0</v>
      </c>
      <c r="M389" s="380">
        <f ca="1">IF($A389="S",VTOTALBM,IF($A389=0,0,ROUND(SomaAgrupBM,15-13*ORÇAMENTO!$AF$11)))</f>
        <v>0</v>
      </c>
      <c r="N389" s="381">
        <f t="shared" ca="1" si="25"/>
        <v>0</v>
      </c>
      <c r="O389" s="127">
        <f ca="1">IF($A389="S",VTOTALBM,IF($A389=0,0,ROUND(SomaAgrupBM,15-13*ORÇAMENTO!$AF$11)))</f>
        <v>0</v>
      </c>
      <c r="Q389" s="382"/>
      <c r="R389" s="383"/>
      <c r="T389" s="119" t="str">
        <f t="shared" ca="1" si="26"/>
        <v/>
      </c>
      <c r="U389" s="172" t="str">
        <f t="shared" ca="1" si="27"/>
        <v/>
      </c>
      <c r="V389" s="173" t="str">
        <f ca="1">IF(AND($W389&gt;0,RegimeExecucao="Unitário"),$F389,"")</f>
        <v/>
      </c>
      <c r="W389" s="547">
        <f ca="1">IF($Y389&gt;0,CHOOSE(MATCH(RegimeExecucao,{"Unitário","Global"},0),IF($A389="S",$Y389/$X389,""),($Y389/$X389)*100),0)</f>
        <v>0</v>
      </c>
      <c r="X389" s="384" t="str">
        <f ca="1">IF($Y389&gt;0,CHOOSE(MATCH(RegimeExecucao,{"Unitário","Global"},0),IF($A389="S",ROUND($H389,ORÇAMENTO!$AF$10),""),ROUND($I389,ORÇAMENTO!$AF$11)),"")</f>
        <v/>
      </c>
      <c r="Y389" s="384">
        <f t="shared" ca="1" si="28"/>
        <v>0</v>
      </c>
      <c r="Z389" s="572"/>
      <c r="AB389" s="382"/>
      <c r="AC389" s="516"/>
      <c r="AD389" s="516"/>
      <c r="AE389" s="516"/>
      <c r="AF389" s="516"/>
      <c r="AG389" s="516"/>
      <c r="AH389" s="516"/>
      <c r="AI389" s="516"/>
      <c r="AJ389" s="516"/>
      <c r="AK389" s="516"/>
      <c r="AL389" s="516"/>
      <c r="AM389" s="383"/>
      <c r="AO389">
        <f ca="1">IF($A389="S",IF(BM!$I389=0,0,CHOOSE(MATCH(RegimeExecucao,{"Global","Unitário"},0),ROUND(ROUND(BM.MEDAcumulado,15-13*BM!$A$9)/100*BM!$I389,15-13*ORÇAMENTO!$AF$11),ROUND(ROUND(BM.MEDAcumulado,15-13*BM!$A$9)*ROUND(BM!$H389,15-13*ORÇAMENTO!$AF$10),15-13*ORÇAMENTO!$AF$11))),IF($A389=0,0,ROUND(SomaAgrupBM,15-13*ORÇAMENTO!$AF$11)))</f>
        <v>0</v>
      </c>
    </row>
    <row r="390" spans="1:41" ht="38.25" x14ac:dyDescent="0.2">
      <c r="A390" t="str">
        <f ca="1">ORÇAMENTO!C390</f>
        <v>S</v>
      </c>
      <c r="B390">
        <f ca="1">ORÇAMENTO!D390</f>
        <v>0</v>
      </c>
      <c r="C390" s="116" t="str">
        <f t="shared" ca="1" si="22"/>
        <v/>
      </c>
      <c r="D390" s="119" t="str">
        <f ca="1">ORÇAMENTO!O390</f>
        <v>-</v>
      </c>
      <c r="E390" s="172" t="str">
        <f t="shared" ca="1" si="23"/>
        <v>(abra o arquivo 'Referência 02-2025.xlsm)</v>
      </c>
      <c r="F390" s="173" t="str">
        <f ca="1">IF(RegimeExecucao="Global","",ORÇAMENTO.Unidade)</f>
        <v>-</v>
      </c>
      <c r="G390" s="124">
        <f ca="1">IF(RegimeExecucao="Global","",ORÇAMENTO!T390)</f>
        <v>7</v>
      </c>
      <c r="H390" s="124">
        <f ca="1">IF(RegimeExecucao="Global","",ORÇAMENTO!W390)</f>
        <v>0</v>
      </c>
      <c r="I390" s="127">
        <f ca="1">ORÇAMENTO!X390</f>
        <v>0</v>
      </c>
      <c r="J390" s="378">
        <f ca="1">IF($A390="S",IF(CAIXA.Modo,BM.AFAnterior,BM.MEDAnterior),IF(AND(RegimeExecucao="Global",$I390&gt;0,COUNTIF($AB$13:$AM$13,BM.medicao-1)&gt;0),M390/$I390*100,0))</f>
        <v>0</v>
      </c>
      <c r="K390" s="124">
        <f t="shared" ca="1" si="24"/>
        <v>0</v>
      </c>
      <c r="L390" s="379">
        <f ca="1">IF($A390="S",IF(CAIXA.Modo,BM.AFAcumulado,BM.MEDAcumulado),IF(AND(RegimeExecucao="Global",$I390&gt;0,COUNTIF($AB$13:$AM$13,BM.medicao)&gt;0),O390/$I390*100,0))</f>
        <v>0</v>
      </c>
      <c r="M390" s="380">
        <f ca="1">IF($A390="S",VTOTALBM,IF($A390=0,0,ROUND(SomaAgrupBM,15-13*ORÇAMENTO!$AF$11)))</f>
        <v>0</v>
      </c>
      <c r="N390" s="381">
        <f t="shared" ca="1" si="25"/>
        <v>0</v>
      </c>
      <c r="O390" s="127">
        <f ca="1">IF($A390="S",VTOTALBM,IF($A390=0,0,ROUND(SomaAgrupBM,15-13*ORÇAMENTO!$AF$11)))</f>
        <v>0</v>
      </c>
      <c r="Q390" s="382"/>
      <c r="R390" s="383"/>
      <c r="T390" s="119" t="str">
        <f t="shared" ca="1" si="26"/>
        <v/>
      </c>
      <c r="U390" s="172" t="str">
        <f t="shared" ca="1" si="27"/>
        <v/>
      </c>
      <c r="V390" s="173" t="str">
        <f ca="1">IF(AND($W390&gt;0,RegimeExecucao="Unitário"),$F390,"")</f>
        <v/>
      </c>
      <c r="W390" s="547">
        <f ca="1">IF($Y390&gt;0,CHOOSE(MATCH(RegimeExecucao,{"Unitário","Global"},0),IF($A390="S",$Y390/$X390,""),($Y390/$X390)*100),0)</f>
        <v>0</v>
      </c>
      <c r="X390" s="384" t="str">
        <f ca="1">IF($Y390&gt;0,CHOOSE(MATCH(RegimeExecucao,{"Unitário","Global"},0),IF($A390="S",ROUND($H390,ORÇAMENTO!$AF$10),""),ROUND($I390,ORÇAMENTO!$AF$11)),"")</f>
        <v/>
      </c>
      <c r="Y390" s="384">
        <f t="shared" ca="1" si="28"/>
        <v>0</v>
      </c>
      <c r="Z390" s="572"/>
      <c r="AB390" s="382"/>
      <c r="AC390" s="516"/>
      <c r="AD390" s="516"/>
      <c r="AE390" s="516"/>
      <c r="AF390" s="516"/>
      <c r="AG390" s="516"/>
      <c r="AH390" s="516"/>
      <c r="AI390" s="516"/>
      <c r="AJ390" s="516"/>
      <c r="AK390" s="516"/>
      <c r="AL390" s="516"/>
      <c r="AM390" s="383"/>
      <c r="AO390">
        <f ca="1">IF($A390="S",IF(BM!$I390=0,0,CHOOSE(MATCH(RegimeExecucao,{"Global","Unitário"},0),ROUND(ROUND(BM.MEDAcumulado,15-13*BM!$A$9)/100*BM!$I390,15-13*ORÇAMENTO!$AF$11),ROUND(ROUND(BM.MEDAcumulado,15-13*BM!$A$9)*ROUND(BM!$H390,15-13*ORÇAMENTO!$AF$10),15-13*ORÇAMENTO!$AF$11))),IF($A390=0,0,ROUND(SomaAgrupBM,15-13*ORÇAMENTO!$AF$11)))</f>
        <v>0</v>
      </c>
    </row>
    <row r="391" spans="1:41" x14ac:dyDescent="0.2">
      <c r="A391">
        <f ca="1">ORÇAMENTO!C391</f>
        <v>2</v>
      </c>
      <c r="B391">
        <f ca="1">ORÇAMENTO!D391</f>
        <v>35</v>
      </c>
      <c r="C391" s="116" t="str">
        <f t="shared" ca="1" si="22"/>
        <v>F</v>
      </c>
      <c r="D391" s="119" t="str">
        <f ca="1">ORÇAMENTO!O391</f>
        <v>1.15.</v>
      </c>
      <c r="E391" s="172" t="str">
        <f t="shared" ca="1" si="23"/>
        <v>LOUÇAS, ACESSÓRIOS E METAIS</v>
      </c>
      <c r="F391" s="173" t="str">
        <f ca="1">IF(RegimeExecucao="Global","",ORÇAMENTO.Unidade)</f>
        <v>-</v>
      </c>
      <c r="G391" s="124">
        <f ca="1">IF(RegimeExecucao="Global","",ORÇAMENTO!T391)</f>
        <v>0</v>
      </c>
      <c r="H391" s="124">
        <f ca="1">IF(RegimeExecucao="Global","",ORÇAMENTO!W391)</f>
        <v>0</v>
      </c>
      <c r="I391" s="127">
        <f ca="1">ORÇAMENTO!X391</f>
        <v>0</v>
      </c>
      <c r="J391" s="378">
        <f ca="1">IF($A391="S",IF(CAIXA.Modo,BM.AFAnterior,BM.MEDAnterior),IF(AND(RegimeExecucao="Global",$I391&gt;0,COUNTIF($AB$13:$AM$13,BM.medicao-1)&gt;0),M391/$I391*100,0))</f>
        <v>0</v>
      </c>
      <c r="K391" s="124">
        <f t="shared" ca="1" si="24"/>
        <v>0</v>
      </c>
      <c r="L391" s="379">
        <f ca="1">IF($A391="S",IF(CAIXA.Modo,BM.AFAcumulado,BM.MEDAcumulado),IF(AND(RegimeExecucao="Global",$I391&gt;0,COUNTIF($AB$13:$AM$13,BM.medicao)&gt;0),O391/$I391*100,0))</f>
        <v>0</v>
      </c>
      <c r="M391" s="380">
        <f ca="1">IF($A391="S",VTOTALBM,IF($A391=0,0,ROUND(SomaAgrupBM,15-13*ORÇAMENTO!$AF$11)))</f>
        <v>0</v>
      </c>
      <c r="N391" s="381">
        <f t="shared" ca="1" si="25"/>
        <v>0</v>
      </c>
      <c r="O391" s="127">
        <f ca="1">IF($A391="S",VTOTALBM,IF($A391=0,0,ROUND(SomaAgrupBM,15-13*ORÇAMENTO!$AF$11)))</f>
        <v>0</v>
      </c>
      <c r="Q391" s="382"/>
      <c r="R391" s="383"/>
      <c r="T391" s="119" t="str">
        <f t="shared" ca="1" si="26"/>
        <v/>
      </c>
      <c r="U391" s="172" t="str">
        <f t="shared" ca="1" si="27"/>
        <v/>
      </c>
      <c r="V391" s="173" t="str">
        <f ca="1">IF(AND($W391&gt;0,RegimeExecucao="Unitário"),$F391,"")</f>
        <v/>
      </c>
      <c r="W391" s="547">
        <f ca="1">IF($Y391&gt;0,CHOOSE(MATCH(RegimeExecucao,{"Unitário","Global"},0),IF($A391="S",$Y391/$X391,""),($Y391/$X391)*100),0)</f>
        <v>0</v>
      </c>
      <c r="X391" s="384" t="str">
        <f ca="1">IF($Y391&gt;0,CHOOSE(MATCH(RegimeExecucao,{"Unitário","Global"},0),IF($A391="S",ROUND($H391,ORÇAMENTO!$AF$10),""),ROUND($I391,ORÇAMENTO!$AF$11)),"")</f>
        <v/>
      </c>
      <c r="Y391" s="384">
        <f t="shared" ca="1" si="28"/>
        <v>0</v>
      </c>
      <c r="Z391" s="572"/>
      <c r="AB391" s="382"/>
      <c r="AC391" s="516"/>
      <c r="AD391" s="516"/>
      <c r="AE391" s="516"/>
      <c r="AF391" s="516"/>
      <c r="AG391" s="516"/>
      <c r="AH391" s="516"/>
      <c r="AI391" s="516"/>
      <c r="AJ391" s="516"/>
      <c r="AK391" s="516"/>
      <c r="AL391" s="516"/>
      <c r="AM391" s="383"/>
      <c r="AO391">
        <f ca="1">IF($A391="S",IF(BM!$I391=0,0,CHOOSE(MATCH(RegimeExecucao,{"Global","Unitário"},0),ROUND(ROUND(BM.MEDAcumulado,15-13*BM!$A$9)/100*BM!$I391,15-13*ORÇAMENTO!$AF$11),ROUND(ROUND(BM.MEDAcumulado,15-13*BM!$A$9)*ROUND(BM!$H391,15-13*ORÇAMENTO!$AF$10),15-13*ORÇAMENTO!$AF$11))),IF($A391=0,0,ROUND(SomaAgrupBM,15-13*ORÇAMENTO!$AF$11)))</f>
        <v>0</v>
      </c>
    </row>
    <row r="392" spans="1:41" ht="38.25" x14ac:dyDescent="0.2">
      <c r="A392" t="str">
        <f ca="1">ORÇAMENTO!C392</f>
        <v>S</v>
      </c>
      <c r="B392">
        <f ca="1">ORÇAMENTO!D392</f>
        <v>0</v>
      </c>
      <c r="C392" s="116" t="str">
        <f t="shared" ca="1" si="22"/>
        <v/>
      </c>
      <c r="D392" s="119" t="str">
        <f ca="1">ORÇAMENTO!O392</f>
        <v>-</v>
      </c>
      <c r="E392" s="172" t="str">
        <f t="shared" ca="1" si="23"/>
        <v>(abra o arquivo 'Referência 02-2025.xlsm)</v>
      </c>
      <c r="F392" s="173" t="str">
        <f ca="1">IF(RegimeExecucao="Global","",ORÇAMENTO.Unidade)</f>
        <v>-</v>
      </c>
      <c r="G392" s="124">
        <f ca="1">IF(RegimeExecucao="Global","",ORÇAMENTO!T392)</f>
        <v>6</v>
      </c>
      <c r="H392" s="124">
        <f ca="1">IF(RegimeExecucao="Global","",ORÇAMENTO!W392)</f>
        <v>0</v>
      </c>
      <c r="I392" s="127">
        <f ca="1">ORÇAMENTO!X392</f>
        <v>0</v>
      </c>
      <c r="J392" s="378">
        <f ca="1">IF($A392="S",IF(CAIXA.Modo,BM.AFAnterior,BM.MEDAnterior),IF(AND(RegimeExecucao="Global",$I392&gt;0,COUNTIF($AB$13:$AM$13,BM.medicao-1)&gt;0),M392/$I392*100,0))</f>
        <v>0</v>
      </c>
      <c r="K392" s="124">
        <f t="shared" ca="1" si="24"/>
        <v>0</v>
      </c>
      <c r="L392" s="379">
        <f ca="1">IF($A392="S",IF(CAIXA.Modo,BM.AFAcumulado,BM.MEDAcumulado),IF(AND(RegimeExecucao="Global",$I392&gt;0,COUNTIF($AB$13:$AM$13,BM.medicao)&gt;0),O392/$I392*100,0))</f>
        <v>0</v>
      </c>
      <c r="M392" s="380">
        <f ca="1">IF($A392="S",VTOTALBM,IF($A392=0,0,ROUND(SomaAgrupBM,15-13*ORÇAMENTO!$AF$11)))</f>
        <v>0</v>
      </c>
      <c r="N392" s="381">
        <f t="shared" ca="1" si="25"/>
        <v>0</v>
      </c>
      <c r="O392" s="127">
        <f ca="1">IF($A392="S",VTOTALBM,IF($A392=0,0,ROUND(SomaAgrupBM,15-13*ORÇAMENTO!$AF$11)))</f>
        <v>0</v>
      </c>
      <c r="Q392" s="382"/>
      <c r="R392" s="383"/>
      <c r="T392" s="119" t="str">
        <f t="shared" ca="1" si="26"/>
        <v/>
      </c>
      <c r="U392" s="172" t="str">
        <f t="shared" ca="1" si="27"/>
        <v/>
      </c>
      <c r="V392" s="173" t="str">
        <f ca="1">IF(AND($W392&gt;0,RegimeExecucao="Unitário"),$F392,"")</f>
        <v/>
      </c>
      <c r="W392" s="547">
        <f ca="1">IF($Y392&gt;0,CHOOSE(MATCH(RegimeExecucao,{"Unitário","Global"},0),IF($A392="S",$Y392/$X392,""),($Y392/$X392)*100),0)</f>
        <v>0</v>
      </c>
      <c r="X392" s="384" t="str">
        <f ca="1">IF($Y392&gt;0,CHOOSE(MATCH(RegimeExecucao,{"Unitário","Global"},0),IF($A392="S",ROUND($H392,ORÇAMENTO!$AF$10),""),ROUND($I392,ORÇAMENTO!$AF$11)),"")</f>
        <v/>
      </c>
      <c r="Y392" s="384">
        <f t="shared" ca="1" si="28"/>
        <v>0</v>
      </c>
      <c r="Z392" s="572"/>
      <c r="AB392" s="382"/>
      <c r="AC392" s="516"/>
      <c r="AD392" s="516"/>
      <c r="AE392" s="516"/>
      <c r="AF392" s="516"/>
      <c r="AG392" s="516"/>
      <c r="AH392" s="516"/>
      <c r="AI392" s="516"/>
      <c r="AJ392" s="516"/>
      <c r="AK392" s="516"/>
      <c r="AL392" s="516"/>
      <c r="AM392" s="383"/>
      <c r="AO392">
        <f ca="1">IF($A392="S",IF(BM!$I392=0,0,CHOOSE(MATCH(RegimeExecucao,{"Global","Unitário"},0),ROUND(ROUND(BM.MEDAcumulado,15-13*BM!$A$9)/100*BM!$I392,15-13*ORÇAMENTO!$AF$11),ROUND(ROUND(BM.MEDAcumulado,15-13*BM!$A$9)*ROUND(BM!$H392,15-13*ORÇAMENTO!$AF$10),15-13*ORÇAMENTO!$AF$11))),IF($A392=0,0,ROUND(SomaAgrupBM,15-13*ORÇAMENTO!$AF$11)))</f>
        <v>0</v>
      </c>
    </row>
    <row r="393" spans="1:41" ht="25.5" x14ac:dyDescent="0.2">
      <c r="A393" t="str">
        <f ca="1">ORÇAMENTO!C393</f>
        <v>S</v>
      </c>
      <c r="B393">
        <f ca="1">ORÇAMENTO!D393</f>
        <v>0</v>
      </c>
      <c r="C393" s="116" t="str">
        <f t="shared" ca="1" si="22"/>
        <v/>
      </c>
      <c r="D393" s="119" t="str">
        <f ca="1">ORÇAMENTO!O393</f>
        <v>-</v>
      </c>
      <c r="E393" s="172" t="str">
        <f t="shared" ca="1" si="23"/>
        <v>(abra o arquivo 'Referência 02-2025.xlsm)</v>
      </c>
      <c r="F393" s="173" t="str">
        <f ca="1">IF(RegimeExecucao="Global","",ORÇAMENTO.Unidade)</f>
        <v>-</v>
      </c>
      <c r="G393" s="124">
        <f ca="1">IF(RegimeExecucao="Global","",ORÇAMENTO!T393)</f>
        <v>18</v>
      </c>
      <c r="H393" s="124">
        <f ca="1">IF(RegimeExecucao="Global","",ORÇAMENTO!W393)</f>
        <v>0</v>
      </c>
      <c r="I393" s="127">
        <f ca="1">ORÇAMENTO!X393</f>
        <v>0</v>
      </c>
      <c r="J393" s="378">
        <f ca="1">IF($A393="S",IF(CAIXA.Modo,BM.AFAnterior,BM.MEDAnterior),IF(AND(RegimeExecucao="Global",$I393&gt;0,COUNTIF($AB$13:$AM$13,BM.medicao-1)&gt;0),M393/$I393*100,0))</f>
        <v>0</v>
      </c>
      <c r="K393" s="124">
        <f t="shared" ca="1" si="24"/>
        <v>0</v>
      </c>
      <c r="L393" s="379">
        <f ca="1">IF($A393="S",IF(CAIXA.Modo,BM.AFAcumulado,BM.MEDAcumulado),IF(AND(RegimeExecucao="Global",$I393&gt;0,COUNTIF($AB$13:$AM$13,BM.medicao)&gt;0),O393/$I393*100,0))</f>
        <v>0</v>
      </c>
      <c r="M393" s="380">
        <f ca="1">IF($A393="S",VTOTALBM,IF($A393=0,0,ROUND(SomaAgrupBM,15-13*ORÇAMENTO!$AF$11)))</f>
        <v>0</v>
      </c>
      <c r="N393" s="381">
        <f t="shared" ca="1" si="25"/>
        <v>0</v>
      </c>
      <c r="O393" s="127">
        <f ca="1">IF($A393="S",VTOTALBM,IF($A393=0,0,ROUND(SomaAgrupBM,15-13*ORÇAMENTO!$AF$11)))</f>
        <v>0</v>
      </c>
      <c r="Q393" s="382"/>
      <c r="R393" s="383"/>
      <c r="T393" s="119" t="str">
        <f t="shared" ca="1" si="26"/>
        <v/>
      </c>
      <c r="U393" s="172" t="str">
        <f t="shared" ca="1" si="27"/>
        <v/>
      </c>
      <c r="V393" s="173" t="str">
        <f ca="1">IF(AND($W393&gt;0,RegimeExecucao="Unitário"),$F393,"")</f>
        <v/>
      </c>
      <c r="W393" s="547">
        <f ca="1">IF($Y393&gt;0,CHOOSE(MATCH(RegimeExecucao,{"Unitário","Global"},0),IF($A393="S",$Y393/$X393,""),($Y393/$X393)*100),0)</f>
        <v>0</v>
      </c>
      <c r="X393" s="384" t="str">
        <f ca="1">IF($Y393&gt;0,CHOOSE(MATCH(RegimeExecucao,{"Unitário","Global"},0),IF($A393="S",ROUND($H393,ORÇAMENTO!$AF$10),""),ROUND($I393,ORÇAMENTO!$AF$11)),"")</f>
        <v/>
      </c>
      <c r="Y393" s="384">
        <f t="shared" ca="1" si="28"/>
        <v>0</v>
      </c>
      <c r="Z393" s="572"/>
      <c r="AB393" s="382"/>
      <c r="AC393" s="516"/>
      <c r="AD393" s="516"/>
      <c r="AE393" s="516"/>
      <c r="AF393" s="516"/>
      <c r="AG393" s="516"/>
      <c r="AH393" s="516"/>
      <c r="AI393" s="516"/>
      <c r="AJ393" s="516"/>
      <c r="AK393" s="516"/>
      <c r="AL393" s="516"/>
      <c r="AM393" s="383"/>
      <c r="AO393">
        <f ca="1">IF($A393="S",IF(BM!$I393=0,0,CHOOSE(MATCH(RegimeExecucao,{"Global","Unitário"},0),ROUND(ROUND(BM.MEDAcumulado,15-13*BM!$A$9)/100*BM!$I393,15-13*ORÇAMENTO!$AF$11),ROUND(ROUND(BM.MEDAcumulado,15-13*BM!$A$9)*ROUND(BM!$H393,15-13*ORÇAMENTO!$AF$10),15-13*ORÇAMENTO!$AF$11))),IF($A393=0,0,ROUND(SomaAgrupBM,15-13*ORÇAMENTO!$AF$11)))</f>
        <v>0</v>
      </c>
    </row>
    <row r="394" spans="1:41" ht="25.5" x14ac:dyDescent="0.2">
      <c r="A394" t="str">
        <f ca="1">ORÇAMENTO!C394</f>
        <v>S</v>
      </c>
      <c r="B394">
        <f ca="1">ORÇAMENTO!D394</f>
        <v>0</v>
      </c>
      <c r="C394" s="116" t="str">
        <f t="shared" ca="1" si="22"/>
        <v/>
      </c>
      <c r="D394" s="119" t="str">
        <f ca="1">ORÇAMENTO!O394</f>
        <v>-</v>
      </c>
      <c r="E394" s="172" t="str">
        <f t="shared" ca="1" si="23"/>
        <v>(abra o arquivo 'Referência 02-2025.xlsm)</v>
      </c>
      <c r="F394" s="173" t="str">
        <f ca="1">IF(RegimeExecucao="Global","",ORÇAMENTO.Unidade)</f>
        <v>-</v>
      </c>
      <c r="G394" s="124">
        <f ca="1">IF(RegimeExecucao="Global","",ORÇAMENTO!T394)</f>
        <v>6</v>
      </c>
      <c r="H394" s="124">
        <f ca="1">IF(RegimeExecucao="Global","",ORÇAMENTO!W394)</f>
        <v>0</v>
      </c>
      <c r="I394" s="127">
        <f ca="1">ORÇAMENTO!X394</f>
        <v>0</v>
      </c>
      <c r="J394" s="378">
        <f ca="1">IF($A394="S",IF(CAIXA.Modo,BM.AFAnterior,BM.MEDAnterior),IF(AND(RegimeExecucao="Global",$I394&gt;0,COUNTIF($AB$13:$AM$13,BM.medicao-1)&gt;0),M394/$I394*100,0))</f>
        <v>0</v>
      </c>
      <c r="K394" s="124">
        <f t="shared" ca="1" si="24"/>
        <v>0</v>
      </c>
      <c r="L394" s="379">
        <f ca="1">IF($A394="S",IF(CAIXA.Modo,BM.AFAcumulado,BM.MEDAcumulado),IF(AND(RegimeExecucao="Global",$I394&gt;0,COUNTIF($AB$13:$AM$13,BM.medicao)&gt;0),O394/$I394*100,0))</f>
        <v>0</v>
      </c>
      <c r="M394" s="380">
        <f ca="1">IF($A394="S",VTOTALBM,IF($A394=0,0,ROUND(SomaAgrupBM,15-13*ORÇAMENTO!$AF$11)))</f>
        <v>0</v>
      </c>
      <c r="N394" s="381">
        <f t="shared" ca="1" si="25"/>
        <v>0</v>
      </c>
      <c r="O394" s="127">
        <f ca="1">IF($A394="S",VTOTALBM,IF($A394=0,0,ROUND(SomaAgrupBM,15-13*ORÇAMENTO!$AF$11)))</f>
        <v>0</v>
      </c>
      <c r="Q394" s="382"/>
      <c r="R394" s="383"/>
      <c r="T394" s="119" t="str">
        <f t="shared" ca="1" si="26"/>
        <v/>
      </c>
      <c r="U394" s="172" t="str">
        <f t="shared" ca="1" si="27"/>
        <v/>
      </c>
      <c r="V394" s="173" t="str">
        <f ca="1">IF(AND($W394&gt;0,RegimeExecucao="Unitário"),$F394,"")</f>
        <v/>
      </c>
      <c r="W394" s="547">
        <f ca="1">IF($Y394&gt;0,CHOOSE(MATCH(RegimeExecucao,{"Unitário","Global"},0),IF($A394="S",$Y394/$X394,""),($Y394/$X394)*100),0)</f>
        <v>0</v>
      </c>
      <c r="X394" s="384" t="str">
        <f ca="1">IF($Y394&gt;0,CHOOSE(MATCH(RegimeExecucao,{"Unitário","Global"},0),IF($A394="S",ROUND($H394,ORÇAMENTO!$AF$10),""),ROUND($I394,ORÇAMENTO!$AF$11)),"")</f>
        <v/>
      </c>
      <c r="Y394" s="384">
        <f t="shared" ca="1" si="28"/>
        <v>0</v>
      </c>
      <c r="Z394" s="572"/>
      <c r="AB394" s="382"/>
      <c r="AC394" s="516"/>
      <c r="AD394" s="516"/>
      <c r="AE394" s="516"/>
      <c r="AF394" s="516"/>
      <c r="AG394" s="516"/>
      <c r="AH394" s="516"/>
      <c r="AI394" s="516"/>
      <c r="AJ394" s="516"/>
      <c r="AK394" s="516"/>
      <c r="AL394" s="516"/>
      <c r="AM394" s="383"/>
      <c r="AO394">
        <f ca="1">IF($A394="S",IF(BM!$I394=0,0,CHOOSE(MATCH(RegimeExecucao,{"Global","Unitário"},0),ROUND(ROUND(BM.MEDAcumulado,15-13*BM!$A$9)/100*BM!$I394,15-13*ORÇAMENTO!$AF$11),ROUND(ROUND(BM.MEDAcumulado,15-13*BM!$A$9)*ROUND(BM!$H394,15-13*ORÇAMENTO!$AF$10),15-13*ORÇAMENTO!$AF$11))),IF($A394=0,0,ROUND(SomaAgrupBM,15-13*ORÇAMENTO!$AF$11)))</f>
        <v>0</v>
      </c>
    </row>
    <row r="395" spans="1:41" ht="25.5" x14ac:dyDescent="0.2">
      <c r="A395" t="str">
        <f ca="1">ORÇAMENTO!C395</f>
        <v>S</v>
      </c>
      <c r="B395">
        <f ca="1">ORÇAMENTO!D395</f>
        <v>0</v>
      </c>
      <c r="C395" s="116" t="str">
        <f t="shared" ca="1" si="22"/>
        <v/>
      </c>
      <c r="D395" s="119" t="str">
        <f ca="1">ORÇAMENTO!O395</f>
        <v>-</v>
      </c>
      <c r="E395" s="172" t="str">
        <f t="shared" ca="1" si="23"/>
        <v>(abra o arquivo 'Referência 02-2025.xlsm)</v>
      </c>
      <c r="F395" s="173" t="str">
        <f ca="1">IF(RegimeExecucao="Global","",ORÇAMENTO.Unidade)</f>
        <v>-</v>
      </c>
      <c r="G395" s="124">
        <f ca="1">IF(RegimeExecucao="Global","",ORÇAMENTO!T395)</f>
        <v>18</v>
      </c>
      <c r="H395" s="124">
        <f ca="1">IF(RegimeExecucao="Global","",ORÇAMENTO!W395)</f>
        <v>0</v>
      </c>
      <c r="I395" s="127">
        <f ca="1">ORÇAMENTO!X395</f>
        <v>0</v>
      </c>
      <c r="J395" s="378">
        <f ca="1">IF($A395="S",IF(CAIXA.Modo,BM.AFAnterior,BM.MEDAnterior),IF(AND(RegimeExecucao="Global",$I395&gt;0,COUNTIF($AB$13:$AM$13,BM.medicao-1)&gt;0),M395/$I395*100,0))</f>
        <v>0</v>
      </c>
      <c r="K395" s="124">
        <f t="shared" ca="1" si="24"/>
        <v>0</v>
      </c>
      <c r="L395" s="379">
        <f ca="1">IF($A395="S",IF(CAIXA.Modo,BM.AFAcumulado,BM.MEDAcumulado),IF(AND(RegimeExecucao="Global",$I395&gt;0,COUNTIF($AB$13:$AM$13,BM.medicao)&gt;0),O395/$I395*100,0))</f>
        <v>0</v>
      </c>
      <c r="M395" s="380">
        <f ca="1">IF($A395="S",VTOTALBM,IF($A395=0,0,ROUND(SomaAgrupBM,15-13*ORÇAMENTO!$AF$11)))</f>
        <v>0</v>
      </c>
      <c r="N395" s="381">
        <f t="shared" ca="1" si="25"/>
        <v>0</v>
      </c>
      <c r="O395" s="127">
        <f ca="1">IF($A395="S",VTOTALBM,IF($A395=0,0,ROUND(SomaAgrupBM,15-13*ORÇAMENTO!$AF$11)))</f>
        <v>0</v>
      </c>
      <c r="Q395" s="382"/>
      <c r="R395" s="383"/>
      <c r="T395" s="119" t="str">
        <f t="shared" ca="1" si="26"/>
        <v/>
      </c>
      <c r="U395" s="172" t="str">
        <f t="shared" ca="1" si="27"/>
        <v/>
      </c>
      <c r="V395" s="173" t="str">
        <f ca="1">IF(AND($W395&gt;0,RegimeExecucao="Unitário"),$F395,"")</f>
        <v/>
      </c>
      <c r="W395" s="547">
        <f ca="1">IF($Y395&gt;0,CHOOSE(MATCH(RegimeExecucao,{"Unitário","Global"},0),IF($A395="S",$Y395/$X395,""),($Y395/$X395)*100),0)</f>
        <v>0</v>
      </c>
      <c r="X395" s="384" t="str">
        <f ca="1">IF($Y395&gt;0,CHOOSE(MATCH(RegimeExecucao,{"Unitário","Global"},0),IF($A395="S",ROUND($H395,ORÇAMENTO!$AF$10),""),ROUND($I395,ORÇAMENTO!$AF$11)),"")</f>
        <v/>
      </c>
      <c r="Y395" s="384">
        <f t="shared" ca="1" si="28"/>
        <v>0</v>
      </c>
      <c r="Z395" s="572"/>
      <c r="AB395" s="382"/>
      <c r="AC395" s="516"/>
      <c r="AD395" s="516"/>
      <c r="AE395" s="516"/>
      <c r="AF395" s="516"/>
      <c r="AG395" s="516"/>
      <c r="AH395" s="516"/>
      <c r="AI395" s="516"/>
      <c r="AJ395" s="516"/>
      <c r="AK395" s="516"/>
      <c r="AL395" s="516"/>
      <c r="AM395" s="383"/>
      <c r="AO395">
        <f ca="1">IF($A395="S",IF(BM!$I395=0,0,CHOOSE(MATCH(RegimeExecucao,{"Global","Unitário"},0),ROUND(ROUND(BM.MEDAcumulado,15-13*BM!$A$9)/100*BM!$I395,15-13*ORÇAMENTO!$AF$11),ROUND(ROUND(BM.MEDAcumulado,15-13*BM!$A$9)*ROUND(BM!$H395,15-13*ORÇAMENTO!$AF$10),15-13*ORÇAMENTO!$AF$11))),IF($A395=0,0,ROUND(SomaAgrupBM,15-13*ORÇAMENTO!$AF$11)))</f>
        <v>0</v>
      </c>
    </row>
    <row r="396" spans="1:41" ht="25.5" x14ac:dyDescent="0.2">
      <c r="A396" t="str">
        <f ca="1">ORÇAMENTO!C396</f>
        <v>S</v>
      </c>
      <c r="B396">
        <f ca="1">ORÇAMENTO!D396</f>
        <v>0</v>
      </c>
      <c r="C396" s="116" t="str">
        <f t="shared" ca="1" si="22"/>
        <v/>
      </c>
      <c r="D396" s="119" t="str">
        <f ca="1">ORÇAMENTO!O396</f>
        <v>-</v>
      </c>
      <c r="E396" s="172" t="str">
        <f t="shared" ca="1" si="23"/>
        <v>(abra o arquivo 'Referência 02-2025.xlsm)</v>
      </c>
      <c r="F396" s="173" t="str">
        <f ca="1">IF(RegimeExecucao="Global","",ORÇAMENTO.Unidade)</f>
        <v>-</v>
      </c>
      <c r="G396" s="124">
        <f ca="1">IF(RegimeExecucao="Global","",ORÇAMENTO!T396)</f>
        <v>4</v>
      </c>
      <c r="H396" s="124">
        <f ca="1">IF(RegimeExecucao="Global","",ORÇAMENTO!W396)</f>
        <v>0</v>
      </c>
      <c r="I396" s="127">
        <f ca="1">ORÇAMENTO!X396</f>
        <v>0</v>
      </c>
      <c r="J396" s="378">
        <f ca="1">IF($A396="S",IF(CAIXA.Modo,BM.AFAnterior,BM.MEDAnterior),IF(AND(RegimeExecucao="Global",$I396&gt;0,COUNTIF($AB$13:$AM$13,BM.medicao-1)&gt;0),M396/$I396*100,0))</f>
        <v>0</v>
      </c>
      <c r="K396" s="124">
        <f t="shared" ca="1" si="24"/>
        <v>0</v>
      </c>
      <c r="L396" s="379">
        <f ca="1">IF($A396="S",IF(CAIXA.Modo,BM.AFAcumulado,BM.MEDAcumulado),IF(AND(RegimeExecucao="Global",$I396&gt;0,COUNTIF($AB$13:$AM$13,BM.medicao)&gt;0),O396/$I396*100,0))</f>
        <v>0</v>
      </c>
      <c r="M396" s="380">
        <f ca="1">IF($A396="S",VTOTALBM,IF($A396=0,0,ROUND(SomaAgrupBM,15-13*ORÇAMENTO!$AF$11)))</f>
        <v>0</v>
      </c>
      <c r="N396" s="381">
        <f t="shared" ca="1" si="25"/>
        <v>0</v>
      </c>
      <c r="O396" s="127">
        <f ca="1">IF($A396="S",VTOTALBM,IF($A396=0,0,ROUND(SomaAgrupBM,15-13*ORÇAMENTO!$AF$11)))</f>
        <v>0</v>
      </c>
      <c r="Q396" s="382"/>
      <c r="R396" s="383"/>
      <c r="T396" s="119" t="str">
        <f t="shared" ca="1" si="26"/>
        <v/>
      </c>
      <c r="U396" s="172" t="str">
        <f t="shared" ca="1" si="27"/>
        <v/>
      </c>
      <c r="V396" s="173" t="str">
        <f ca="1">IF(AND($W396&gt;0,RegimeExecucao="Unitário"),$F396,"")</f>
        <v/>
      </c>
      <c r="W396" s="547">
        <f ca="1">IF($Y396&gt;0,CHOOSE(MATCH(RegimeExecucao,{"Unitário","Global"},0),IF($A396="S",$Y396/$X396,""),($Y396/$X396)*100),0)</f>
        <v>0</v>
      </c>
      <c r="X396" s="384" t="str">
        <f ca="1">IF($Y396&gt;0,CHOOSE(MATCH(RegimeExecucao,{"Unitário","Global"},0),IF($A396="S",ROUND($H396,ORÇAMENTO!$AF$10),""),ROUND($I396,ORÇAMENTO!$AF$11)),"")</f>
        <v/>
      </c>
      <c r="Y396" s="384">
        <f t="shared" ca="1" si="28"/>
        <v>0</v>
      </c>
      <c r="Z396" s="572"/>
      <c r="AB396" s="382"/>
      <c r="AC396" s="516"/>
      <c r="AD396" s="516"/>
      <c r="AE396" s="516"/>
      <c r="AF396" s="516"/>
      <c r="AG396" s="516"/>
      <c r="AH396" s="516"/>
      <c r="AI396" s="516"/>
      <c r="AJ396" s="516"/>
      <c r="AK396" s="516"/>
      <c r="AL396" s="516"/>
      <c r="AM396" s="383"/>
      <c r="AO396">
        <f ca="1">IF($A396="S",IF(BM!$I396=0,0,CHOOSE(MATCH(RegimeExecucao,{"Global","Unitário"},0),ROUND(ROUND(BM.MEDAcumulado,15-13*BM!$A$9)/100*BM!$I396,15-13*ORÇAMENTO!$AF$11),ROUND(ROUND(BM.MEDAcumulado,15-13*BM!$A$9)*ROUND(BM!$H396,15-13*ORÇAMENTO!$AF$10),15-13*ORÇAMENTO!$AF$11))),IF($A396=0,0,ROUND(SomaAgrupBM,15-13*ORÇAMENTO!$AF$11)))</f>
        <v>0</v>
      </c>
    </row>
    <row r="397" spans="1:41" ht="38.25" x14ac:dyDescent="0.2">
      <c r="A397" t="str">
        <f ca="1">ORÇAMENTO!C397</f>
        <v>S</v>
      </c>
      <c r="B397">
        <f ca="1">ORÇAMENTO!D397</f>
        <v>0</v>
      </c>
      <c r="C397" s="116" t="str">
        <f t="shared" ca="1" si="22"/>
        <v/>
      </c>
      <c r="D397" s="119" t="str">
        <f ca="1">ORÇAMENTO!O397</f>
        <v>-</v>
      </c>
      <c r="E397" s="172" t="str">
        <f t="shared" ca="1" si="23"/>
        <v>(abra o arquivo 'Referência 02-2025.xlsm)</v>
      </c>
      <c r="F397" s="173" t="str">
        <f ca="1">IF(RegimeExecucao="Global","",ORÇAMENTO.Unidade)</f>
        <v>-</v>
      </c>
      <c r="G397" s="124">
        <f ca="1">IF(RegimeExecucao="Global","",ORÇAMENTO!T397)</f>
        <v>4</v>
      </c>
      <c r="H397" s="124">
        <f ca="1">IF(RegimeExecucao="Global","",ORÇAMENTO!W397)</f>
        <v>0</v>
      </c>
      <c r="I397" s="127">
        <f ca="1">ORÇAMENTO!X397</f>
        <v>0</v>
      </c>
      <c r="J397" s="378">
        <f ca="1">IF($A397="S",IF(CAIXA.Modo,BM.AFAnterior,BM.MEDAnterior),IF(AND(RegimeExecucao="Global",$I397&gt;0,COUNTIF($AB$13:$AM$13,BM.medicao-1)&gt;0),M397/$I397*100,0))</f>
        <v>0</v>
      </c>
      <c r="K397" s="124">
        <f t="shared" ca="1" si="24"/>
        <v>0</v>
      </c>
      <c r="L397" s="379">
        <f ca="1">IF($A397="S",IF(CAIXA.Modo,BM.AFAcumulado,BM.MEDAcumulado),IF(AND(RegimeExecucao="Global",$I397&gt;0,COUNTIF($AB$13:$AM$13,BM.medicao)&gt;0),O397/$I397*100,0))</f>
        <v>0</v>
      </c>
      <c r="M397" s="380">
        <f ca="1">IF($A397="S",VTOTALBM,IF($A397=0,0,ROUND(SomaAgrupBM,15-13*ORÇAMENTO!$AF$11)))</f>
        <v>0</v>
      </c>
      <c r="N397" s="381">
        <f t="shared" ca="1" si="25"/>
        <v>0</v>
      </c>
      <c r="O397" s="127">
        <f ca="1">IF($A397="S",VTOTALBM,IF($A397=0,0,ROUND(SomaAgrupBM,15-13*ORÇAMENTO!$AF$11)))</f>
        <v>0</v>
      </c>
      <c r="Q397" s="382"/>
      <c r="R397" s="383"/>
      <c r="T397" s="119" t="str">
        <f t="shared" ca="1" si="26"/>
        <v/>
      </c>
      <c r="U397" s="172" t="str">
        <f t="shared" ca="1" si="27"/>
        <v/>
      </c>
      <c r="V397" s="173" t="str">
        <f ca="1">IF(AND($W397&gt;0,RegimeExecucao="Unitário"),$F397,"")</f>
        <v/>
      </c>
      <c r="W397" s="547">
        <f ca="1">IF($Y397&gt;0,CHOOSE(MATCH(RegimeExecucao,{"Unitário","Global"},0),IF($A397="S",$Y397/$X397,""),($Y397/$X397)*100),0)</f>
        <v>0</v>
      </c>
      <c r="X397" s="384" t="str">
        <f ca="1">IF($Y397&gt;0,CHOOSE(MATCH(RegimeExecucao,{"Unitário","Global"},0),IF($A397="S",ROUND($H397,ORÇAMENTO!$AF$10),""),ROUND($I397,ORÇAMENTO!$AF$11)),"")</f>
        <v/>
      </c>
      <c r="Y397" s="384">
        <f t="shared" ca="1" si="28"/>
        <v>0</v>
      </c>
      <c r="Z397" s="572"/>
      <c r="AB397" s="382"/>
      <c r="AC397" s="516"/>
      <c r="AD397" s="516"/>
      <c r="AE397" s="516"/>
      <c r="AF397" s="516"/>
      <c r="AG397" s="516"/>
      <c r="AH397" s="516"/>
      <c r="AI397" s="516"/>
      <c r="AJ397" s="516"/>
      <c r="AK397" s="516"/>
      <c r="AL397" s="516"/>
      <c r="AM397" s="383"/>
      <c r="AO397">
        <f ca="1">IF($A397="S",IF(BM!$I397=0,0,CHOOSE(MATCH(RegimeExecucao,{"Global","Unitário"},0),ROUND(ROUND(BM.MEDAcumulado,15-13*BM!$A$9)/100*BM!$I397,15-13*ORÇAMENTO!$AF$11),ROUND(ROUND(BM.MEDAcumulado,15-13*BM!$A$9)*ROUND(BM!$H397,15-13*ORÇAMENTO!$AF$10),15-13*ORÇAMENTO!$AF$11))),IF($A397=0,0,ROUND(SomaAgrupBM,15-13*ORÇAMENTO!$AF$11)))</f>
        <v>0</v>
      </c>
    </row>
    <row r="398" spans="1:41" ht="25.5" x14ac:dyDescent="0.2">
      <c r="A398" t="str">
        <f ca="1">ORÇAMENTO!C398</f>
        <v>S</v>
      </c>
      <c r="B398">
        <f ca="1">ORÇAMENTO!D398</f>
        <v>0</v>
      </c>
      <c r="C398" s="116" t="str">
        <f t="shared" ca="1" si="22"/>
        <v/>
      </c>
      <c r="D398" s="119" t="str">
        <f ca="1">ORÇAMENTO!O398</f>
        <v>-</v>
      </c>
      <c r="E398" s="172" t="str">
        <f t="shared" ca="1" si="23"/>
        <v>(abra o arquivo 'Referência 02-2025.xlsm)</v>
      </c>
      <c r="F398" s="173" t="str">
        <f ca="1">IF(RegimeExecucao="Global","",ORÇAMENTO.Unidade)</f>
        <v>-</v>
      </c>
      <c r="G398" s="124">
        <f ca="1">IF(RegimeExecucao="Global","",ORÇAMENTO!T398)</f>
        <v>22</v>
      </c>
      <c r="H398" s="124">
        <f ca="1">IF(RegimeExecucao="Global","",ORÇAMENTO!W398)</f>
        <v>0</v>
      </c>
      <c r="I398" s="127">
        <f ca="1">ORÇAMENTO!X398</f>
        <v>0</v>
      </c>
      <c r="J398" s="378">
        <f ca="1">IF($A398="S",IF(CAIXA.Modo,BM.AFAnterior,BM.MEDAnterior),IF(AND(RegimeExecucao="Global",$I398&gt;0,COUNTIF($AB$13:$AM$13,BM.medicao-1)&gt;0),M398/$I398*100,0))</f>
        <v>0</v>
      </c>
      <c r="K398" s="124">
        <f t="shared" ca="1" si="24"/>
        <v>0</v>
      </c>
      <c r="L398" s="379">
        <f ca="1">IF($A398="S",IF(CAIXA.Modo,BM.AFAcumulado,BM.MEDAcumulado),IF(AND(RegimeExecucao="Global",$I398&gt;0,COUNTIF($AB$13:$AM$13,BM.medicao)&gt;0),O398/$I398*100,0))</f>
        <v>0</v>
      </c>
      <c r="M398" s="380">
        <f ca="1">IF($A398="S",VTOTALBM,IF($A398=0,0,ROUND(SomaAgrupBM,15-13*ORÇAMENTO!$AF$11)))</f>
        <v>0</v>
      </c>
      <c r="N398" s="381">
        <f t="shared" ca="1" si="25"/>
        <v>0</v>
      </c>
      <c r="O398" s="127">
        <f ca="1">IF($A398="S",VTOTALBM,IF($A398=0,0,ROUND(SomaAgrupBM,15-13*ORÇAMENTO!$AF$11)))</f>
        <v>0</v>
      </c>
      <c r="Q398" s="382"/>
      <c r="R398" s="383"/>
      <c r="T398" s="119" t="str">
        <f t="shared" ca="1" si="26"/>
        <v/>
      </c>
      <c r="U398" s="172" t="str">
        <f t="shared" ca="1" si="27"/>
        <v/>
      </c>
      <c r="V398" s="173" t="str">
        <f ca="1">IF(AND($W398&gt;0,RegimeExecucao="Unitário"),$F398,"")</f>
        <v/>
      </c>
      <c r="W398" s="547">
        <f ca="1">IF($Y398&gt;0,CHOOSE(MATCH(RegimeExecucao,{"Unitário","Global"},0),IF($A398="S",$Y398/$X398,""),($Y398/$X398)*100),0)</f>
        <v>0</v>
      </c>
      <c r="X398" s="384" t="str">
        <f ca="1">IF($Y398&gt;0,CHOOSE(MATCH(RegimeExecucao,{"Unitário","Global"},0),IF($A398="S",ROUND($H398,ORÇAMENTO!$AF$10),""),ROUND($I398,ORÇAMENTO!$AF$11)),"")</f>
        <v/>
      </c>
      <c r="Y398" s="384">
        <f t="shared" ca="1" si="28"/>
        <v>0</v>
      </c>
      <c r="Z398" s="572"/>
      <c r="AB398" s="382"/>
      <c r="AC398" s="516"/>
      <c r="AD398" s="516"/>
      <c r="AE398" s="516"/>
      <c r="AF398" s="516"/>
      <c r="AG398" s="516"/>
      <c r="AH398" s="516"/>
      <c r="AI398" s="516"/>
      <c r="AJ398" s="516"/>
      <c r="AK398" s="516"/>
      <c r="AL398" s="516"/>
      <c r="AM398" s="383"/>
      <c r="AO398">
        <f ca="1">IF($A398="S",IF(BM!$I398=0,0,CHOOSE(MATCH(RegimeExecucao,{"Global","Unitário"},0),ROUND(ROUND(BM.MEDAcumulado,15-13*BM!$A$9)/100*BM!$I398,15-13*ORÇAMENTO!$AF$11),ROUND(ROUND(BM.MEDAcumulado,15-13*BM!$A$9)*ROUND(BM!$H398,15-13*ORÇAMENTO!$AF$10),15-13*ORÇAMENTO!$AF$11))),IF($A398=0,0,ROUND(SomaAgrupBM,15-13*ORÇAMENTO!$AF$11)))</f>
        <v>0</v>
      </c>
    </row>
    <row r="399" spans="1:41" ht="25.5" x14ac:dyDescent="0.2">
      <c r="A399" t="str">
        <f ca="1">ORÇAMENTO!C399</f>
        <v>S</v>
      </c>
      <c r="B399">
        <f ca="1">ORÇAMENTO!D399</f>
        <v>0</v>
      </c>
      <c r="C399" s="116" t="str">
        <f t="shared" ca="1" si="22"/>
        <v/>
      </c>
      <c r="D399" s="119" t="str">
        <f ca="1">ORÇAMENTO!O399</f>
        <v>-</v>
      </c>
      <c r="E399" s="172" t="str">
        <f t="shared" ca="1" si="23"/>
        <v>(abra o arquivo 'Referência 02-2025.xlsm)</v>
      </c>
      <c r="F399" s="173" t="str">
        <f ca="1">IF(RegimeExecucao="Global","",ORÇAMENTO.Unidade)</f>
        <v>-</v>
      </c>
      <c r="G399" s="124">
        <f ca="1">IF(RegimeExecucao="Global","",ORÇAMENTO!T399)</f>
        <v>6</v>
      </c>
      <c r="H399" s="124">
        <f ca="1">IF(RegimeExecucao="Global","",ORÇAMENTO!W399)</f>
        <v>0</v>
      </c>
      <c r="I399" s="127">
        <f ca="1">ORÇAMENTO!X399</f>
        <v>0</v>
      </c>
      <c r="J399" s="378">
        <f ca="1">IF($A399="S",IF(CAIXA.Modo,BM.AFAnterior,BM.MEDAnterior),IF(AND(RegimeExecucao="Global",$I399&gt;0,COUNTIF($AB$13:$AM$13,BM.medicao-1)&gt;0),M399/$I399*100,0))</f>
        <v>0</v>
      </c>
      <c r="K399" s="124">
        <f t="shared" ca="1" si="24"/>
        <v>0</v>
      </c>
      <c r="L399" s="379">
        <f ca="1">IF($A399="S",IF(CAIXA.Modo,BM.AFAcumulado,BM.MEDAcumulado),IF(AND(RegimeExecucao="Global",$I399&gt;0,COUNTIF($AB$13:$AM$13,BM.medicao)&gt;0),O399/$I399*100,0))</f>
        <v>0</v>
      </c>
      <c r="M399" s="380">
        <f ca="1">IF($A399="S",VTOTALBM,IF($A399=0,0,ROUND(SomaAgrupBM,15-13*ORÇAMENTO!$AF$11)))</f>
        <v>0</v>
      </c>
      <c r="N399" s="381">
        <f t="shared" ca="1" si="25"/>
        <v>0</v>
      </c>
      <c r="O399" s="127">
        <f ca="1">IF($A399="S",VTOTALBM,IF($A399=0,0,ROUND(SomaAgrupBM,15-13*ORÇAMENTO!$AF$11)))</f>
        <v>0</v>
      </c>
      <c r="Q399" s="382"/>
      <c r="R399" s="383"/>
      <c r="T399" s="119" t="str">
        <f t="shared" ca="1" si="26"/>
        <v/>
      </c>
      <c r="U399" s="172" t="str">
        <f t="shared" ca="1" si="27"/>
        <v/>
      </c>
      <c r="V399" s="173" t="str">
        <f ca="1">IF(AND($W399&gt;0,RegimeExecucao="Unitário"),$F399,"")</f>
        <v/>
      </c>
      <c r="W399" s="547">
        <f ca="1">IF($Y399&gt;0,CHOOSE(MATCH(RegimeExecucao,{"Unitário","Global"},0),IF($A399="S",$Y399/$X399,""),($Y399/$X399)*100),0)</f>
        <v>0</v>
      </c>
      <c r="X399" s="384" t="str">
        <f ca="1">IF($Y399&gt;0,CHOOSE(MATCH(RegimeExecucao,{"Unitário","Global"},0),IF($A399="S",ROUND($H399,ORÇAMENTO!$AF$10),""),ROUND($I399,ORÇAMENTO!$AF$11)),"")</f>
        <v/>
      </c>
      <c r="Y399" s="384">
        <f t="shared" ca="1" si="28"/>
        <v>0</v>
      </c>
      <c r="Z399" s="572"/>
      <c r="AB399" s="382"/>
      <c r="AC399" s="516"/>
      <c r="AD399" s="516"/>
      <c r="AE399" s="516"/>
      <c r="AF399" s="516"/>
      <c r="AG399" s="516"/>
      <c r="AH399" s="516"/>
      <c r="AI399" s="516"/>
      <c r="AJ399" s="516"/>
      <c r="AK399" s="516"/>
      <c r="AL399" s="516"/>
      <c r="AM399" s="383"/>
      <c r="AO399">
        <f ca="1">IF($A399="S",IF(BM!$I399=0,0,CHOOSE(MATCH(RegimeExecucao,{"Global","Unitário"},0),ROUND(ROUND(BM.MEDAcumulado,15-13*BM!$A$9)/100*BM!$I399,15-13*ORÇAMENTO!$AF$11),ROUND(ROUND(BM.MEDAcumulado,15-13*BM!$A$9)*ROUND(BM!$H399,15-13*ORÇAMENTO!$AF$10),15-13*ORÇAMENTO!$AF$11))),IF($A399=0,0,ROUND(SomaAgrupBM,15-13*ORÇAMENTO!$AF$11)))</f>
        <v>0</v>
      </c>
    </row>
    <row r="400" spans="1:41" ht="25.5" x14ac:dyDescent="0.2">
      <c r="A400" t="str">
        <f ca="1">ORÇAMENTO!C400</f>
        <v>S</v>
      </c>
      <c r="B400">
        <f ca="1">ORÇAMENTO!D400</f>
        <v>0</v>
      </c>
      <c r="C400" s="116" t="str">
        <f t="shared" ca="1" si="22"/>
        <v/>
      </c>
      <c r="D400" s="119" t="str">
        <f ca="1">ORÇAMENTO!O400</f>
        <v>-</v>
      </c>
      <c r="E400" s="172" t="str">
        <f t="shared" ca="1" si="23"/>
        <v>(abra o arquivo 'Referência 02-2025.xlsm)</v>
      </c>
      <c r="F400" s="173" t="str">
        <f ca="1">IF(RegimeExecucao="Global","",ORÇAMENTO.Unidade)</f>
        <v>-</v>
      </c>
      <c r="G400" s="124">
        <f ca="1">IF(RegimeExecucao="Global","",ORÇAMENTO!T400)</f>
        <v>6</v>
      </c>
      <c r="H400" s="124">
        <f ca="1">IF(RegimeExecucao="Global","",ORÇAMENTO!W400)</f>
        <v>0</v>
      </c>
      <c r="I400" s="127">
        <f ca="1">ORÇAMENTO!X400</f>
        <v>0</v>
      </c>
      <c r="J400" s="378">
        <f ca="1">IF($A400="S",IF(CAIXA.Modo,BM.AFAnterior,BM.MEDAnterior),IF(AND(RegimeExecucao="Global",$I400&gt;0,COUNTIF($AB$13:$AM$13,BM.medicao-1)&gt;0),M400/$I400*100,0))</f>
        <v>0</v>
      </c>
      <c r="K400" s="124">
        <f t="shared" ca="1" si="24"/>
        <v>0</v>
      </c>
      <c r="L400" s="379">
        <f ca="1">IF($A400="S",IF(CAIXA.Modo,BM.AFAcumulado,BM.MEDAcumulado),IF(AND(RegimeExecucao="Global",$I400&gt;0,COUNTIF($AB$13:$AM$13,BM.medicao)&gt;0),O400/$I400*100,0))</f>
        <v>0</v>
      </c>
      <c r="M400" s="380">
        <f ca="1">IF($A400="S",VTOTALBM,IF($A400=0,0,ROUND(SomaAgrupBM,15-13*ORÇAMENTO!$AF$11)))</f>
        <v>0</v>
      </c>
      <c r="N400" s="381">
        <f t="shared" ca="1" si="25"/>
        <v>0</v>
      </c>
      <c r="O400" s="127">
        <f ca="1">IF($A400="S",VTOTALBM,IF($A400=0,0,ROUND(SomaAgrupBM,15-13*ORÇAMENTO!$AF$11)))</f>
        <v>0</v>
      </c>
      <c r="Q400" s="382"/>
      <c r="R400" s="383"/>
      <c r="T400" s="119" t="str">
        <f t="shared" ca="1" si="26"/>
        <v/>
      </c>
      <c r="U400" s="172" t="str">
        <f t="shared" ca="1" si="27"/>
        <v/>
      </c>
      <c r="V400" s="173" t="str">
        <f ca="1">IF(AND($W400&gt;0,RegimeExecucao="Unitário"),$F400,"")</f>
        <v/>
      </c>
      <c r="W400" s="547">
        <f ca="1">IF($Y400&gt;0,CHOOSE(MATCH(RegimeExecucao,{"Unitário","Global"},0),IF($A400="S",$Y400/$X400,""),($Y400/$X400)*100),0)</f>
        <v>0</v>
      </c>
      <c r="X400" s="384" t="str">
        <f ca="1">IF($Y400&gt;0,CHOOSE(MATCH(RegimeExecucao,{"Unitário","Global"},0),IF($A400="S",ROUND($H400,ORÇAMENTO!$AF$10),""),ROUND($I400,ORÇAMENTO!$AF$11)),"")</f>
        <v/>
      </c>
      <c r="Y400" s="384">
        <f t="shared" ca="1" si="28"/>
        <v>0</v>
      </c>
      <c r="Z400" s="572"/>
      <c r="AB400" s="382"/>
      <c r="AC400" s="516"/>
      <c r="AD400" s="516"/>
      <c r="AE400" s="516"/>
      <c r="AF400" s="516"/>
      <c r="AG400" s="516"/>
      <c r="AH400" s="516"/>
      <c r="AI400" s="516"/>
      <c r="AJ400" s="516"/>
      <c r="AK400" s="516"/>
      <c r="AL400" s="516"/>
      <c r="AM400" s="383"/>
      <c r="AO400">
        <f ca="1">IF($A400="S",IF(BM!$I400=0,0,CHOOSE(MATCH(RegimeExecucao,{"Global","Unitário"},0),ROUND(ROUND(BM.MEDAcumulado,15-13*BM!$A$9)/100*BM!$I400,15-13*ORÇAMENTO!$AF$11),ROUND(ROUND(BM.MEDAcumulado,15-13*BM!$A$9)*ROUND(BM!$H400,15-13*ORÇAMENTO!$AF$10),15-13*ORÇAMENTO!$AF$11))),IF($A400=0,0,ROUND(SomaAgrupBM,15-13*ORÇAMENTO!$AF$11)))</f>
        <v>0</v>
      </c>
    </row>
    <row r="401" spans="1:41" ht="25.5" x14ac:dyDescent="0.2">
      <c r="A401" t="str">
        <f ca="1">ORÇAMENTO!C401</f>
        <v>S</v>
      </c>
      <c r="B401">
        <f ca="1">ORÇAMENTO!D401</f>
        <v>0</v>
      </c>
      <c r="C401" s="116" t="str">
        <f t="shared" ca="1" si="22"/>
        <v/>
      </c>
      <c r="D401" s="119" t="str">
        <f ca="1">ORÇAMENTO!O401</f>
        <v>-</v>
      </c>
      <c r="E401" s="172" t="str">
        <f t="shared" ca="1" si="23"/>
        <v>(abra o arquivo 'Referência 02-2025.xlsm)</v>
      </c>
      <c r="F401" s="173" t="str">
        <f ca="1">IF(RegimeExecucao="Global","",ORÇAMENTO.Unidade)</f>
        <v>-</v>
      </c>
      <c r="G401" s="124">
        <f ca="1">IF(RegimeExecucao="Global","",ORÇAMENTO!T401)</f>
        <v>10</v>
      </c>
      <c r="H401" s="124">
        <f ca="1">IF(RegimeExecucao="Global","",ORÇAMENTO!W401)</f>
        <v>0</v>
      </c>
      <c r="I401" s="127">
        <f ca="1">ORÇAMENTO!X401</f>
        <v>0</v>
      </c>
      <c r="J401" s="378">
        <f ca="1">IF($A401="S",IF(CAIXA.Modo,BM.AFAnterior,BM.MEDAnterior),IF(AND(RegimeExecucao="Global",$I401&gt;0,COUNTIF($AB$13:$AM$13,BM.medicao-1)&gt;0),M401/$I401*100,0))</f>
        <v>0</v>
      </c>
      <c r="K401" s="124">
        <f t="shared" ca="1" si="24"/>
        <v>0</v>
      </c>
      <c r="L401" s="379">
        <f ca="1">IF($A401="S",IF(CAIXA.Modo,BM.AFAcumulado,BM.MEDAcumulado),IF(AND(RegimeExecucao="Global",$I401&gt;0,COUNTIF($AB$13:$AM$13,BM.medicao)&gt;0),O401/$I401*100,0))</f>
        <v>0</v>
      </c>
      <c r="M401" s="380">
        <f ca="1">IF($A401="S",VTOTALBM,IF($A401=0,0,ROUND(SomaAgrupBM,15-13*ORÇAMENTO!$AF$11)))</f>
        <v>0</v>
      </c>
      <c r="N401" s="381">
        <f t="shared" ca="1" si="25"/>
        <v>0</v>
      </c>
      <c r="O401" s="127">
        <f ca="1">IF($A401="S",VTOTALBM,IF($A401=0,0,ROUND(SomaAgrupBM,15-13*ORÇAMENTO!$AF$11)))</f>
        <v>0</v>
      </c>
      <c r="Q401" s="382"/>
      <c r="R401" s="383"/>
      <c r="T401" s="119" t="str">
        <f t="shared" ca="1" si="26"/>
        <v/>
      </c>
      <c r="U401" s="172" t="str">
        <f t="shared" ca="1" si="27"/>
        <v/>
      </c>
      <c r="V401" s="173" t="str">
        <f ca="1">IF(AND($W401&gt;0,RegimeExecucao="Unitário"),$F401,"")</f>
        <v/>
      </c>
      <c r="W401" s="547">
        <f ca="1">IF($Y401&gt;0,CHOOSE(MATCH(RegimeExecucao,{"Unitário","Global"},0),IF($A401="S",$Y401/$X401,""),($Y401/$X401)*100),0)</f>
        <v>0</v>
      </c>
      <c r="X401" s="384" t="str">
        <f ca="1">IF($Y401&gt;0,CHOOSE(MATCH(RegimeExecucao,{"Unitário","Global"},0),IF($A401="S",ROUND($H401,ORÇAMENTO!$AF$10),""),ROUND($I401,ORÇAMENTO!$AF$11)),"")</f>
        <v/>
      </c>
      <c r="Y401" s="384">
        <f t="shared" ca="1" si="28"/>
        <v>0</v>
      </c>
      <c r="Z401" s="572"/>
      <c r="AB401" s="382"/>
      <c r="AC401" s="516"/>
      <c r="AD401" s="516"/>
      <c r="AE401" s="516"/>
      <c r="AF401" s="516"/>
      <c r="AG401" s="516"/>
      <c r="AH401" s="516"/>
      <c r="AI401" s="516"/>
      <c r="AJ401" s="516"/>
      <c r="AK401" s="516"/>
      <c r="AL401" s="516"/>
      <c r="AM401" s="383"/>
      <c r="AO401">
        <f ca="1">IF($A401="S",IF(BM!$I401=0,0,CHOOSE(MATCH(RegimeExecucao,{"Global","Unitário"},0),ROUND(ROUND(BM.MEDAcumulado,15-13*BM!$A$9)/100*BM!$I401,15-13*ORÇAMENTO!$AF$11),ROUND(ROUND(BM.MEDAcumulado,15-13*BM!$A$9)*ROUND(BM!$H401,15-13*ORÇAMENTO!$AF$10),15-13*ORÇAMENTO!$AF$11))),IF($A401=0,0,ROUND(SomaAgrupBM,15-13*ORÇAMENTO!$AF$11)))</f>
        <v>0</v>
      </c>
    </row>
    <row r="402" spans="1:41" ht="25.5" x14ac:dyDescent="0.2">
      <c r="A402" t="str">
        <f ca="1">ORÇAMENTO!C402</f>
        <v>S</v>
      </c>
      <c r="B402">
        <f ca="1">ORÇAMENTO!D402</f>
        <v>0</v>
      </c>
      <c r="C402" s="116" t="str">
        <f t="shared" ca="1" si="22"/>
        <v/>
      </c>
      <c r="D402" s="119" t="str">
        <f ca="1">ORÇAMENTO!O402</f>
        <v>-</v>
      </c>
      <c r="E402" s="172" t="str">
        <f t="shared" ca="1" si="23"/>
        <v>(abra o arquivo 'Referência 02-2025.xlsm)</v>
      </c>
      <c r="F402" s="173" t="str">
        <f ca="1">IF(RegimeExecucao="Global","",ORÇAMENTO.Unidade)</f>
        <v>-</v>
      </c>
      <c r="G402" s="124">
        <f ca="1">IF(RegimeExecucao="Global","",ORÇAMENTO!T402)</f>
        <v>7</v>
      </c>
      <c r="H402" s="124">
        <f ca="1">IF(RegimeExecucao="Global","",ORÇAMENTO!W402)</f>
        <v>0</v>
      </c>
      <c r="I402" s="127">
        <f ca="1">ORÇAMENTO!X402</f>
        <v>0</v>
      </c>
      <c r="J402" s="378">
        <f ca="1">IF($A402="S",IF(CAIXA.Modo,BM.AFAnterior,BM.MEDAnterior),IF(AND(RegimeExecucao="Global",$I402&gt;0,COUNTIF($AB$13:$AM$13,BM.medicao-1)&gt;0),M402/$I402*100,0))</f>
        <v>0</v>
      </c>
      <c r="K402" s="124">
        <f t="shared" ca="1" si="24"/>
        <v>0</v>
      </c>
      <c r="L402" s="379">
        <f ca="1">IF($A402="S",IF(CAIXA.Modo,BM.AFAcumulado,BM.MEDAcumulado),IF(AND(RegimeExecucao="Global",$I402&gt;0,COUNTIF($AB$13:$AM$13,BM.medicao)&gt;0),O402/$I402*100,0))</f>
        <v>0</v>
      </c>
      <c r="M402" s="380">
        <f ca="1">IF($A402="S",VTOTALBM,IF($A402=0,0,ROUND(SomaAgrupBM,15-13*ORÇAMENTO!$AF$11)))</f>
        <v>0</v>
      </c>
      <c r="N402" s="381">
        <f t="shared" ca="1" si="25"/>
        <v>0</v>
      </c>
      <c r="O402" s="127">
        <f ca="1">IF($A402="S",VTOTALBM,IF($A402=0,0,ROUND(SomaAgrupBM,15-13*ORÇAMENTO!$AF$11)))</f>
        <v>0</v>
      </c>
      <c r="Q402" s="382"/>
      <c r="R402" s="383"/>
      <c r="T402" s="119" t="str">
        <f t="shared" ca="1" si="26"/>
        <v/>
      </c>
      <c r="U402" s="172" t="str">
        <f t="shared" ca="1" si="27"/>
        <v/>
      </c>
      <c r="V402" s="173" t="str">
        <f ca="1">IF(AND($W402&gt;0,RegimeExecucao="Unitário"),$F402,"")</f>
        <v/>
      </c>
      <c r="W402" s="547">
        <f ca="1">IF($Y402&gt;0,CHOOSE(MATCH(RegimeExecucao,{"Unitário","Global"},0),IF($A402="S",$Y402/$X402,""),($Y402/$X402)*100),0)</f>
        <v>0</v>
      </c>
      <c r="X402" s="384" t="str">
        <f ca="1">IF($Y402&gt;0,CHOOSE(MATCH(RegimeExecucao,{"Unitário","Global"},0),IF($A402="S",ROUND($H402,ORÇAMENTO!$AF$10),""),ROUND($I402,ORÇAMENTO!$AF$11)),"")</f>
        <v/>
      </c>
      <c r="Y402" s="384">
        <f t="shared" ca="1" si="28"/>
        <v>0</v>
      </c>
      <c r="Z402" s="572"/>
      <c r="AB402" s="382"/>
      <c r="AC402" s="516"/>
      <c r="AD402" s="516"/>
      <c r="AE402" s="516"/>
      <c r="AF402" s="516"/>
      <c r="AG402" s="516"/>
      <c r="AH402" s="516"/>
      <c r="AI402" s="516"/>
      <c r="AJ402" s="516"/>
      <c r="AK402" s="516"/>
      <c r="AL402" s="516"/>
      <c r="AM402" s="383"/>
      <c r="AO402">
        <f ca="1">IF($A402="S",IF(BM!$I402=0,0,CHOOSE(MATCH(RegimeExecucao,{"Global","Unitário"},0),ROUND(ROUND(BM.MEDAcumulado,15-13*BM!$A$9)/100*BM!$I402,15-13*ORÇAMENTO!$AF$11),ROUND(ROUND(BM.MEDAcumulado,15-13*BM!$A$9)*ROUND(BM!$H402,15-13*ORÇAMENTO!$AF$10),15-13*ORÇAMENTO!$AF$11))),IF($A402=0,0,ROUND(SomaAgrupBM,15-13*ORÇAMENTO!$AF$11)))</f>
        <v>0</v>
      </c>
    </row>
    <row r="403" spans="1:41" ht="25.5" x14ac:dyDescent="0.2">
      <c r="A403" t="str">
        <f ca="1">ORÇAMENTO!C403</f>
        <v>S</v>
      </c>
      <c r="B403">
        <f ca="1">ORÇAMENTO!D403</f>
        <v>0</v>
      </c>
      <c r="C403" s="116" t="str">
        <f t="shared" ca="1" si="22"/>
        <v/>
      </c>
      <c r="D403" s="119" t="str">
        <f ca="1">ORÇAMENTO!O403</f>
        <v>-</v>
      </c>
      <c r="E403" s="172" t="str">
        <f t="shared" ca="1" si="23"/>
        <v>(abra o arquivo 'Referência 02-2025.xlsm)</v>
      </c>
      <c r="F403" s="173" t="str">
        <f ca="1">IF(RegimeExecucao="Global","",ORÇAMENTO.Unidade)</f>
        <v>-</v>
      </c>
      <c r="G403" s="124">
        <f ca="1">IF(RegimeExecucao="Global","",ORÇAMENTO!T403)</f>
        <v>1</v>
      </c>
      <c r="H403" s="124">
        <f ca="1">IF(RegimeExecucao="Global","",ORÇAMENTO!W403)</f>
        <v>0</v>
      </c>
      <c r="I403" s="127">
        <f ca="1">ORÇAMENTO!X403</f>
        <v>0</v>
      </c>
      <c r="J403" s="378">
        <f ca="1">IF($A403="S",IF(CAIXA.Modo,BM.AFAnterior,BM.MEDAnterior),IF(AND(RegimeExecucao="Global",$I403&gt;0,COUNTIF($AB$13:$AM$13,BM.medicao-1)&gt;0),M403/$I403*100,0))</f>
        <v>0</v>
      </c>
      <c r="K403" s="124">
        <f t="shared" ca="1" si="24"/>
        <v>0</v>
      </c>
      <c r="L403" s="379">
        <f ca="1">IF($A403="S",IF(CAIXA.Modo,BM.AFAcumulado,BM.MEDAcumulado),IF(AND(RegimeExecucao="Global",$I403&gt;0,COUNTIF($AB$13:$AM$13,BM.medicao)&gt;0),O403/$I403*100,0))</f>
        <v>0</v>
      </c>
      <c r="M403" s="380">
        <f ca="1">IF($A403="S",VTOTALBM,IF($A403=0,0,ROUND(SomaAgrupBM,15-13*ORÇAMENTO!$AF$11)))</f>
        <v>0</v>
      </c>
      <c r="N403" s="381">
        <f t="shared" ca="1" si="25"/>
        <v>0</v>
      </c>
      <c r="O403" s="127">
        <f ca="1">IF($A403="S",VTOTALBM,IF($A403=0,0,ROUND(SomaAgrupBM,15-13*ORÇAMENTO!$AF$11)))</f>
        <v>0</v>
      </c>
      <c r="Q403" s="382"/>
      <c r="R403" s="383"/>
      <c r="T403" s="119" t="str">
        <f t="shared" ca="1" si="26"/>
        <v/>
      </c>
      <c r="U403" s="172" t="str">
        <f t="shared" ca="1" si="27"/>
        <v/>
      </c>
      <c r="V403" s="173" t="str">
        <f ca="1">IF(AND($W403&gt;0,RegimeExecucao="Unitário"),$F403,"")</f>
        <v/>
      </c>
      <c r="W403" s="547">
        <f ca="1">IF($Y403&gt;0,CHOOSE(MATCH(RegimeExecucao,{"Unitário","Global"},0),IF($A403="S",$Y403/$X403,""),($Y403/$X403)*100),0)</f>
        <v>0</v>
      </c>
      <c r="X403" s="384" t="str">
        <f ca="1">IF($Y403&gt;0,CHOOSE(MATCH(RegimeExecucao,{"Unitário","Global"},0),IF($A403="S",ROUND($H403,ORÇAMENTO!$AF$10),""),ROUND($I403,ORÇAMENTO!$AF$11)),"")</f>
        <v/>
      </c>
      <c r="Y403" s="384">
        <f t="shared" ca="1" si="28"/>
        <v>0</v>
      </c>
      <c r="Z403" s="572"/>
      <c r="AB403" s="382"/>
      <c r="AC403" s="516"/>
      <c r="AD403" s="516"/>
      <c r="AE403" s="516"/>
      <c r="AF403" s="516"/>
      <c r="AG403" s="516"/>
      <c r="AH403" s="516"/>
      <c r="AI403" s="516"/>
      <c r="AJ403" s="516"/>
      <c r="AK403" s="516"/>
      <c r="AL403" s="516"/>
      <c r="AM403" s="383"/>
      <c r="AO403">
        <f ca="1">IF($A403="S",IF(BM!$I403=0,0,CHOOSE(MATCH(RegimeExecucao,{"Global","Unitário"},0),ROUND(ROUND(BM.MEDAcumulado,15-13*BM!$A$9)/100*BM!$I403,15-13*ORÇAMENTO!$AF$11),ROUND(ROUND(BM.MEDAcumulado,15-13*BM!$A$9)*ROUND(BM!$H403,15-13*ORÇAMENTO!$AF$10),15-13*ORÇAMENTO!$AF$11))),IF($A403=0,0,ROUND(SomaAgrupBM,15-13*ORÇAMENTO!$AF$11)))</f>
        <v>0</v>
      </c>
    </row>
    <row r="404" spans="1:41" ht="38.25" x14ac:dyDescent="0.2">
      <c r="A404" t="str">
        <f ca="1">ORÇAMENTO!C404</f>
        <v>S</v>
      </c>
      <c r="B404">
        <f ca="1">ORÇAMENTO!D404</f>
        <v>0</v>
      </c>
      <c r="C404" s="116" t="str">
        <f t="shared" ca="1" si="22"/>
        <v/>
      </c>
      <c r="D404" s="119" t="str">
        <f ca="1">ORÇAMENTO!O404</f>
        <v>-</v>
      </c>
      <c r="E404" s="172" t="str">
        <f t="shared" ca="1" si="23"/>
        <v>(abra o arquivo 'Referência 02-2025.xlsm)</v>
      </c>
      <c r="F404" s="173" t="str">
        <f ca="1">IF(RegimeExecucao="Global","",ORÇAMENTO.Unidade)</f>
        <v>-</v>
      </c>
      <c r="G404" s="124">
        <f ca="1">IF(RegimeExecucao="Global","",ORÇAMENTO!T404)</f>
        <v>42</v>
      </c>
      <c r="H404" s="124">
        <f ca="1">IF(RegimeExecucao="Global","",ORÇAMENTO!W404)</f>
        <v>0</v>
      </c>
      <c r="I404" s="127">
        <f ca="1">ORÇAMENTO!X404</f>
        <v>0</v>
      </c>
      <c r="J404" s="378">
        <f ca="1">IF($A404="S",IF(CAIXA.Modo,BM.AFAnterior,BM.MEDAnterior),IF(AND(RegimeExecucao="Global",$I404&gt;0,COUNTIF($AB$13:$AM$13,BM.medicao-1)&gt;0),M404/$I404*100,0))</f>
        <v>0</v>
      </c>
      <c r="K404" s="124">
        <f t="shared" ca="1" si="24"/>
        <v>0</v>
      </c>
      <c r="L404" s="379">
        <f ca="1">IF($A404="S",IF(CAIXA.Modo,BM.AFAcumulado,BM.MEDAcumulado),IF(AND(RegimeExecucao="Global",$I404&gt;0,COUNTIF($AB$13:$AM$13,BM.medicao)&gt;0),O404/$I404*100,0))</f>
        <v>0</v>
      </c>
      <c r="M404" s="380">
        <f ca="1">IF($A404="S",VTOTALBM,IF($A404=0,0,ROUND(SomaAgrupBM,15-13*ORÇAMENTO!$AF$11)))</f>
        <v>0</v>
      </c>
      <c r="N404" s="381">
        <f t="shared" ca="1" si="25"/>
        <v>0</v>
      </c>
      <c r="O404" s="127">
        <f ca="1">IF($A404="S",VTOTALBM,IF($A404=0,0,ROUND(SomaAgrupBM,15-13*ORÇAMENTO!$AF$11)))</f>
        <v>0</v>
      </c>
      <c r="Q404" s="382"/>
      <c r="R404" s="383"/>
      <c r="T404" s="119" t="str">
        <f t="shared" ca="1" si="26"/>
        <v/>
      </c>
      <c r="U404" s="172" t="str">
        <f t="shared" ca="1" si="27"/>
        <v/>
      </c>
      <c r="V404" s="173" t="str">
        <f ca="1">IF(AND($W404&gt;0,RegimeExecucao="Unitário"),$F404,"")</f>
        <v/>
      </c>
      <c r="W404" s="547">
        <f ca="1">IF($Y404&gt;0,CHOOSE(MATCH(RegimeExecucao,{"Unitário","Global"},0),IF($A404="S",$Y404/$X404,""),($Y404/$X404)*100),0)</f>
        <v>0</v>
      </c>
      <c r="X404" s="384" t="str">
        <f ca="1">IF($Y404&gt;0,CHOOSE(MATCH(RegimeExecucao,{"Unitário","Global"},0),IF($A404="S",ROUND($H404,ORÇAMENTO!$AF$10),""),ROUND($I404,ORÇAMENTO!$AF$11)),"")</f>
        <v/>
      </c>
      <c r="Y404" s="384">
        <f t="shared" ca="1" si="28"/>
        <v>0</v>
      </c>
      <c r="Z404" s="572"/>
      <c r="AB404" s="382"/>
      <c r="AC404" s="516"/>
      <c r="AD404" s="516"/>
      <c r="AE404" s="516"/>
      <c r="AF404" s="516"/>
      <c r="AG404" s="516"/>
      <c r="AH404" s="516"/>
      <c r="AI404" s="516"/>
      <c r="AJ404" s="516"/>
      <c r="AK404" s="516"/>
      <c r="AL404" s="516"/>
      <c r="AM404" s="383"/>
      <c r="AO404">
        <f ca="1">IF($A404="S",IF(BM!$I404=0,0,CHOOSE(MATCH(RegimeExecucao,{"Global","Unitário"},0),ROUND(ROUND(BM.MEDAcumulado,15-13*BM!$A$9)/100*BM!$I404,15-13*ORÇAMENTO!$AF$11),ROUND(ROUND(BM.MEDAcumulado,15-13*BM!$A$9)*ROUND(BM!$H404,15-13*ORÇAMENTO!$AF$10),15-13*ORÇAMENTO!$AF$11))),IF($A404=0,0,ROUND(SomaAgrupBM,15-13*ORÇAMENTO!$AF$11)))</f>
        <v>0</v>
      </c>
    </row>
    <row r="405" spans="1:41" ht="25.5" x14ac:dyDescent="0.2">
      <c r="A405" t="str">
        <f ca="1">ORÇAMENTO!C405</f>
        <v>S</v>
      </c>
      <c r="B405">
        <f ca="1">ORÇAMENTO!D405</f>
        <v>0</v>
      </c>
      <c r="C405" s="116" t="str">
        <f t="shared" ca="1" si="22"/>
        <v/>
      </c>
      <c r="D405" s="119" t="str">
        <f ca="1">ORÇAMENTO!O405</f>
        <v>-</v>
      </c>
      <c r="E405" s="172" t="str">
        <f t="shared" ca="1" si="23"/>
        <v>(abra o arquivo 'Referência 02-2025.xlsm)</v>
      </c>
      <c r="F405" s="173" t="str">
        <f ca="1">IF(RegimeExecucao="Global","",ORÇAMENTO.Unidade)</f>
        <v>-</v>
      </c>
      <c r="G405" s="124">
        <f ca="1">IF(RegimeExecucao="Global","",ORÇAMENTO!T405)</f>
        <v>18</v>
      </c>
      <c r="H405" s="124">
        <f ca="1">IF(RegimeExecucao="Global","",ORÇAMENTO!W405)</f>
        <v>0</v>
      </c>
      <c r="I405" s="127">
        <f ca="1">ORÇAMENTO!X405</f>
        <v>0</v>
      </c>
      <c r="J405" s="378">
        <f ca="1">IF($A405="S",IF(CAIXA.Modo,BM.AFAnterior,BM.MEDAnterior),IF(AND(RegimeExecucao="Global",$I405&gt;0,COUNTIF($AB$13:$AM$13,BM.medicao-1)&gt;0),M405/$I405*100,0))</f>
        <v>0</v>
      </c>
      <c r="K405" s="124">
        <f t="shared" ca="1" si="24"/>
        <v>0</v>
      </c>
      <c r="L405" s="379">
        <f ca="1">IF($A405="S",IF(CAIXA.Modo,BM.AFAcumulado,BM.MEDAcumulado),IF(AND(RegimeExecucao="Global",$I405&gt;0,COUNTIF($AB$13:$AM$13,BM.medicao)&gt;0),O405/$I405*100,0))</f>
        <v>0</v>
      </c>
      <c r="M405" s="380">
        <f ca="1">IF($A405="S",VTOTALBM,IF($A405=0,0,ROUND(SomaAgrupBM,15-13*ORÇAMENTO!$AF$11)))</f>
        <v>0</v>
      </c>
      <c r="N405" s="381">
        <f t="shared" ca="1" si="25"/>
        <v>0</v>
      </c>
      <c r="O405" s="127">
        <f ca="1">IF($A405="S",VTOTALBM,IF($A405=0,0,ROUND(SomaAgrupBM,15-13*ORÇAMENTO!$AF$11)))</f>
        <v>0</v>
      </c>
      <c r="Q405" s="382"/>
      <c r="R405" s="383"/>
      <c r="T405" s="119" t="str">
        <f t="shared" ca="1" si="26"/>
        <v/>
      </c>
      <c r="U405" s="172" t="str">
        <f t="shared" ca="1" si="27"/>
        <v/>
      </c>
      <c r="V405" s="173" t="str">
        <f ca="1">IF(AND($W405&gt;0,RegimeExecucao="Unitário"),$F405,"")</f>
        <v/>
      </c>
      <c r="W405" s="547">
        <f ca="1">IF($Y405&gt;0,CHOOSE(MATCH(RegimeExecucao,{"Unitário","Global"},0),IF($A405="S",$Y405/$X405,""),($Y405/$X405)*100),0)</f>
        <v>0</v>
      </c>
      <c r="X405" s="384" t="str">
        <f ca="1">IF($Y405&gt;0,CHOOSE(MATCH(RegimeExecucao,{"Unitário","Global"},0),IF($A405="S",ROUND($H405,ORÇAMENTO!$AF$10),""),ROUND($I405,ORÇAMENTO!$AF$11)),"")</f>
        <v/>
      </c>
      <c r="Y405" s="384">
        <f t="shared" ca="1" si="28"/>
        <v>0</v>
      </c>
      <c r="Z405" s="572"/>
      <c r="AB405" s="382"/>
      <c r="AC405" s="516"/>
      <c r="AD405" s="516"/>
      <c r="AE405" s="516"/>
      <c r="AF405" s="516"/>
      <c r="AG405" s="516"/>
      <c r="AH405" s="516"/>
      <c r="AI405" s="516"/>
      <c r="AJ405" s="516"/>
      <c r="AK405" s="516"/>
      <c r="AL405" s="516"/>
      <c r="AM405" s="383"/>
      <c r="AO405">
        <f ca="1">IF($A405="S",IF(BM!$I405=0,0,CHOOSE(MATCH(RegimeExecucao,{"Global","Unitário"},0),ROUND(ROUND(BM.MEDAcumulado,15-13*BM!$A$9)/100*BM!$I405,15-13*ORÇAMENTO!$AF$11),ROUND(ROUND(BM.MEDAcumulado,15-13*BM!$A$9)*ROUND(BM!$H405,15-13*ORÇAMENTO!$AF$10),15-13*ORÇAMENTO!$AF$11))),IF($A405=0,0,ROUND(SomaAgrupBM,15-13*ORÇAMENTO!$AF$11)))</f>
        <v>0</v>
      </c>
    </row>
    <row r="406" spans="1:41" ht="25.5" x14ac:dyDescent="0.2">
      <c r="A406" t="str">
        <f ca="1">ORÇAMENTO!C406</f>
        <v>S</v>
      </c>
      <c r="B406">
        <f ca="1">ORÇAMENTO!D406</f>
        <v>0</v>
      </c>
      <c r="C406" s="116" t="str">
        <f t="shared" ca="1" si="22"/>
        <v/>
      </c>
      <c r="D406" s="119" t="str">
        <f ca="1">ORÇAMENTO!O406</f>
        <v>-</v>
      </c>
      <c r="E406" s="172" t="str">
        <f t="shared" ca="1" si="23"/>
        <v>(abra o arquivo 'Referência 02-2025.xlsm)</v>
      </c>
      <c r="F406" s="173" t="str">
        <f ca="1">IF(RegimeExecucao="Global","",ORÇAMENTO.Unidade)</f>
        <v>-</v>
      </c>
      <c r="G406" s="124">
        <f ca="1">IF(RegimeExecucao="Global","",ORÇAMENTO!T406)</f>
        <v>42</v>
      </c>
      <c r="H406" s="124">
        <f ca="1">IF(RegimeExecucao="Global","",ORÇAMENTO!W406)</f>
        <v>0</v>
      </c>
      <c r="I406" s="127">
        <f ca="1">ORÇAMENTO!X406</f>
        <v>0</v>
      </c>
      <c r="J406" s="378">
        <f ca="1">IF($A406="S",IF(CAIXA.Modo,BM.AFAnterior,BM.MEDAnterior),IF(AND(RegimeExecucao="Global",$I406&gt;0,COUNTIF($AB$13:$AM$13,BM.medicao-1)&gt;0),M406/$I406*100,0))</f>
        <v>0</v>
      </c>
      <c r="K406" s="124">
        <f t="shared" ca="1" si="24"/>
        <v>0</v>
      </c>
      <c r="L406" s="379">
        <f ca="1">IF($A406="S",IF(CAIXA.Modo,BM.AFAcumulado,BM.MEDAcumulado),IF(AND(RegimeExecucao="Global",$I406&gt;0,COUNTIF($AB$13:$AM$13,BM.medicao)&gt;0),O406/$I406*100,0))</f>
        <v>0</v>
      </c>
      <c r="M406" s="380">
        <f ca="1">IF($A406="S",VTOTALBM,IF($A406=0,0,ROUND(SomaAgrupBM,15-13*ORÇAMENTO!$AF$11)))</f>
        <v>0</v>
      </c>
      <c r="N406" s="381">
        <f t="shared" ca="1" si="25"/>
        <v>0</v>
      </c>
      <c r="O406" s="127">
        <f ca="1">IF($A406="S",VTOTALBM,IF($A406=0,0,ROUND(SomaAgrupBM,15-13*ORÇAMENTO!$AF$11)))</f>
        <v>0</v>
      </c>
      <c r="Q406" s="382"/>
      <c r="R406" s="383"/>
      <c r="T406" s="119" t="str">
        <f t="shared" ca="1" si="26"/>
        <v/>
      </c>
      <c r="U406" s="172" t="str">
        <f t="shared" ca="1" si="27"/>
        <v/>
      </c>
      <c r="V406" s="173" t="str">
        <f ca="1">IF(AND($W406&gt;0,RegimeExecucao="Unitário"),$F406,"")</f>
        <v/>
      </c>
      <c r="W406" s="547">
        <f ca="1">IF($Y406&gt;0,CHOOSE(MATCH(RegimeExecucao,{"Unitário","Global"},0),IF($A406="S",$Y406/$X406,""),($Y406/$X406)*100),0)</f>
        <v>0</v>
      </c>
      <c r="X406" s="384" t="str">
        <f ca="1">IF($Y406&gt;0,CHOOSE(MATCH(RegimeExecucao,{"Unitário","Global"},0),IF($A406="S",ROUND($H406,ORÇAMENTO!$AF$10),""),ROUND($I406,ORÇAMENTO!$AF$11)),"")</f>
        <v/>
      </c>
      <c r="Y406" s="384">
        <f t="shared" ca="1" si="28"/>
        <v>0</v>
      </c>
      <c r="Z406" s="572"/>
      <c r="AB406" s="382"/>
      <c r="AC406" s="516"/>
      <c r="AD406" s="516"/>
      <c r="AE406" s="516"/>
      <c r="AF406" s="516"/>
      <c r="AG406" s="516"/>
      <c r="AH406" s="516"/>
      <c r="AI406" s="516"/>
      <c r="AJ406" s="516"/>
      <c r="AK406" s="516"/>
      <c r="AL406" s="516"/>
      <c r="AM406" s="383"/>
      <c r="AO406">
        <f ca="1">IF($A406="S",IF(BM!$I406=0,0,CHOOSE(MATCH(RegimeExecucao,{"Global","Unitário"},0),ROUND(ROUND(BM.MEDAcumulado,15-13*BM!$A$9)/100*BM!$I406,15-13*ORÇAMENTO!$AF$11),ROUND(ROUND(BM.MEDAcumulado,15-13*BM!$A$9)*ROUND(BM!$H406,15-13*ORÇAMENTO!$AF$10),15-13*ORÇAMENTO!$AF$11))),IF($A406=0,0,ROUND(SomaAgrupBM,15-13*ORÇAMENTO!$AF$11)))</f>
        <v>0</v>
      </c>
    </row>
    <row r="407" spans="1:41" ht="25.5" x14ac:dyDescent="0.2">
      <c r="A407" t="str">
        <f ca="1">ORÇAMENTO!C407</f>
        <v>S</v>
      </c>
      <c r="B407">
        <f ca="1">ORÇAMENTO!D407</f>
        <v>0</v>
      </c>
      <c r="C407" s="116" t="str">
        <f t="shared" ca="1" si="22"/>
        <v/>
      </c>
      <c r="D407" s="119" t="str">
        <f ca="1">ORÇAMENTO!O407</f>
        <v>-</v>
      </c>
      <c r="E407" s="172" t="str">
        <f t="shared" ca="1" si="23"/>
        <v>(abra o arquivo 'Referência 02-2025.xlsm)</v>
      </c>
      <c r="F407" s="173" t="str">
        <f ca="1">IF(RegimeExecucao="Global","",ORÇAMENTO.Unidade)</f>
        <v>-</v>
      </c>
      <c r="G407" s="124">
        <f ca="1">IF(RegimeExecucao="Global","",ORÇAMENTO!T407)</f>
        <v>18</v>
      </c>
      <c r="H407" s="124">
        <f ca="1">IF(RegimeExecucao="Global","",ORÇAMENTO!W407)</f>
        <v>0</v>
      </c>
      <c r="I407" s="127">
        <f ca="1">ORÇAMENTO!X407</f>
        <v>0</v>
      </c>
      <c r="J407" s="378">
        <f ca="1">IF($A407="S",IF(CAIXA.Modo,BM.AFAnterior,BM.MEDAnterior),IF(AND(RegimeExecucao="Global",$I407&gt;0,COUNTIF($AB$13:$AM$13,BM.medicao-1)&gt;0),M407/$I407*100,0))</f>
        <v>0</v>
      </c>
      <c r="K407" s="124">
        <f t="shared" ca="1" si="24"/>
        <v>0</v>
      </c>
      <c r="L407" s="379">
        <f ca="1">IF($A407="S",IF(CAIXA.Modo,BM.AFAcumulado,BM.MEDAcumulado),IF(AND(RegimeExecucao="Global",$I407&gt;0,COUNTIF($AB$13:$AM$13,BM.medicao)&gt;0),O407/$I407*100,0))</f>
        <v>0</v>
      </c>
      <c r="M407" s="380">
        <f ca="1">IF($A407="S",VTOTALBM,IF($A407=0,0,ROUND(SomaAgrupBM,15-13*ORÇAMENTO!$AF$11)))</f>
        <v>0</v>
      </c>
      <c r="N407" s="381">
        <f t="shared" ca="1" si="25"/>
        <v>0</v>
      </c>
      <c r="O407" s="127">
        <f ca="1">IF($A407="S",VTOTALBM,IF($A407=0,0,ROUND(SomaAgrupBM,15-13*ORÇAMENTO!$AF$11)))</f>
        <v>0</v>
      </c>
      <c r="Q407" s="382"/>
      <c r="R407" s="383"/>
      <c r="T407" s="119" t="str">
        <f t="shared" ca="1" si="26"/>
        <v/>
      </c>
      <c r="U407" s="172" t="str">
        <f t="shared" ca="1" si="27"/>
        <v/>
      </c>
      <c r="V407" s="173" t="str">
        <f ca="1">IF(AND($W407&gt;0,RegimeExecucao="Unitário"),$F407,"")</f>
        <v/>
      </c>
      <c r="W407" s="547">
        <f ca="1">IF($Y407&gt;0,CHOOSE(MATCH(RegimeExecucao,{"Unitário","Global"},0),IF($A407="S",$Y407/$X407,""),($Y407/$X407)*100),0)</f>
        <v>0</v>
      </c>
      <c r="X407" s="384" t="str">
        <f ca="1">IF($Y407&gt;0,CHOOSE(MATCH(RegimeExecucao,{"Unitário","Global"},0),IF($A407="S",ROUND($H407,ORÇAMENTO!$AF$10),""),ROUND($I407,ORÇAMENTO!$AF$11)),"")</f>
        <v/>
      </c>
      <c r="Y407" s="384">
        <f t="shared" ca="1" si="28"/>
        <v>0</v>
      </c>
      <c r="Z407" s="572"/>
      <c r="AB407" s="382"/>
      <c r="AC407" s="516"/>
      <c r="AD407" s="516"/>
      <c r="AE407" s="516"/>
      <c r="AF407" s="516"/>
      <c r="AG407" s="516"/>
      <c r="AH407" s="516"/>
      <c r="AI407" s="516"/>
      <c r="AJ407" s="516"/>
      <c r="AK407" s="516"/>
      <c r="AL407" s="516"/>
      <c r="AM407" s="383"/>
      <c r="AO407">
        <f ca="1">IF($A407="S",IF(BM!$I407=0,0,CHOOSE(MATCH(RegimeExecucao,{"Global","Unitário"},0),ROUND(ROUND(BM.MEDAcumulado,15-13*BM!$A$9)/100*BM!$I407,15-13*ORÇAMENTO!$AF$11),ROUND(ROUND(BM.MEDAcumulado,15-13*BM!$A$9)*ROUND(BM!$H407,15-13*ORÇAMENTO!$AF$10),15-13*ORÇAMENTO!$AF$11))),IF($A407=0,0,ROUND(SomaAgrupBM,15-13*ORÇAMENTO!$AF$11)))</f>
        <v>0</v>
      </c>
    </row>
    <row r="408" spans="1:41" ht="25.5" x14ac:dyDescent="0.2">
      <c r="A408" t="str">
        <f ca="1">ORÇAMENTO!C408</f>
        <v>S</v>
      </c>
      <c r="B408">
        <f ca="1">ORÇAMENTO!D408</f>
        <v>0</v>
      </c>
      <c r="C408" s="116" t="str">
        <f t="shared" ca="1" si="22"/>
        <v/>
      </c>
      <c r="D408" s="119" t="str">
        <f ca="1">ORÇAMENTO!O408</f>
        <v>-</v>
      </c>
      <c r="E408" s="172" t="str">
        <f t="shared" ca="1" si="23"/>
        <v>(abra o arquivo 'Referência 02-2025.xlsm)</v>
      </c>
      <c r="F408" s="173" t="str">
        <f ca="1">IF(RegimeExecucao="Global","",ORÇAMENTO.Unidade)</f>
        <v>-</v>
      </c>
      <c r="G408" s="124">
        <f ca="1">IF(RegimeExecucao="Global","",ORÇAMENTO!T408)</f>
        <v>28</v>
      </c>
      <c r="H408" s="124">
        <f ca="1">IF(RegimeExecucao="Global","",ORÇAMENTO!W408)</f>
        <v>0</v>
      </c>
      <c r="I408" s="127">
        <f ca="1">ORÇAMENTO!X408</f>
        <v>0</v>
      </c>
      <c r="J408" s="378">
        <f ca="1">IF($A408="S",IF(CAIXA.Modo,BM.AFAnterior,BM.MEDAnterior),IF(AND(RegimeExecucao="Global",$I408&gt;0,COUNTIF($AB$13:$AM$13,BM.medicao-1)&gt;0),M408/$I408*100,0))</f>
        <v>0</v>
      </c>
      <c r="K408" s="124">
        <f t="shared" ca="1" si="24"/>
        <v>0</v>
      </c>
      <c r="L408" s="379">
        <f ca="1">IF($A408="S",IF(CAIXA.Modo,BM.AFAcumulado,BM.MEDAcumulado),IF(AND(RegimeExecucao="Global",$I408&gt;0,COUNTIF($AB$13:$AM$13,BM.medicao)&gt;0),O408/$I408*100,0))</f>
        <v>0</v>
      </c>
      <c r="M408" s="380">
        <f ca="1">IF($A408="S",VTOTALBM,IF($A408=0,0,ROUND(SomaAgrupBM,15-13*ORÇAMENTO!$AF$11)))</f>
        <v>0</v>
      </c>
      <c r="N408" s="381">
        <f t="shared" ca="1" si="25"/>
        <v>0</v>
      </c>
      <c r="O408" s="127">
        <f ca="1">IF($A408="S",VTOTALBM,IF($A408=0,0,ROUND(SomaAgrupBM,15-13*ORÇAMENTO!$AF$11)))</f>
        <v>0</v>
      </c>
      <c r="Q408" s="382"/>
      <c r="R408" s="383"/>
      <c r="T408" s="119" t="str">
        <f t="shared" ca="1" si="26"/>
        <v/>
      </c>
      <c r="U408" s="172" t="str">
        <f t="shared" ca="1" si="27"/>
        <v/>
      </c>
      <c r="V408" s="173" t="str">
        <f ca="1">IF(AND($W408&gt;0,RegimeExecucao="Unitário"),$F408,"")</f>
        <v/>
      </c>
      <c r="W408" s="547">
        <f ca="1">IF($Y408&gt;0,CHOOSE(MATCH(RegimeExecucao,{"Unitário","Global"},0),IF($A408="S",$Y408/$X408,""),($Y408/$X408)*100),0)</f>
        <v>0</v>
      </c>
      <c r="X408" s="384" t="str">
        <f ca="1">IF($Y408&gt;0,CHOOSE(MATCH(RegimeExecucao,{"Unitário","Global"},0),IF($A408="S",ROUND($H408,ORÇAMENTO!$AF$10),""),ROUND($I408,ORÇAMENTO!$AF$11)),"")</f>
        <v/>
      </c>
      <c r="Y408" s="384">
        <f t="shared" ca="1" si="28"/>
        <v>0</v>
      </c>
      <c r="Z408" s="572"/>
      <c r="AB408" s="382"/>
      <c r="AC408" s="516"/>
      <c r="AD408" s="516"/>
      <c r="AE408" s="516"/>
      <c r="AF408" s="516"/>
      <c r="AG408" s="516"/>
      <c r="AH408" s="516"/>
      <c r="AI408" s="516"/>
      <c r="AJ408" s="516"/>
      <c r="AK408" s="516"/>
      <c r="AL408" s="516"/>
      <c r="AM408" s="383"/>
      <c r="AO408">
        <f ca="1">IF($A408="S",IF(BM!$I408=0,0,CHOOSE(MATCH(RegimeExecucao,{"Global","Unitário"},0),ROUND(ROUND(BM.MEDAcumulado,15-13*BM!$A$9)/100*BM!$I408,15-13*ORÇAMENTO!$AF$11),ROUND(ROUND(BM.MEDAcumulado,15-13*BM!$A$9)*ROUND(BM!$H408,15-13*ORÇAMENTO!$AF$10),15-13*ORÇAMENTO!$AF$11))),IF($A408=0,0,ROUND(SomaAgrupBM,15-13*ORÇAMENTO!$AF$11)))</f>
        <v>0</v>
      </c>
    </row>
    <row r="409" spans="1:41" ht="38.25" x14ac:dyDescent="0.2">
      <c r="A409" t="str">
        <f ca="1">ORÇAMENTO!C409</f>
        <v>S</v>
      </c>
      <c r="B409">
        <f ca="1">ORÇAMENTO!D409</f>
        <v>0</v>
      </c>
      <c r="C409" s="116" t="str">
        <f t="shared" ca="1" si="22"/>
        <v/>
      </c>
      <c r="D409" s="119" t="str">
        <f ca="1">ORÇAMENTO!O409</f>
        <v>-</v>
      </c>
      <c r="E409" s="172" t="str">
        <f t="shared" ca="1" si="23"/>
        <v>(abra o arquivo 'Referência 02-2025.xlsm)</v>
      </c>
      <c r="F409" s="173" t="str">
        <f ca="1">IF(RegimeExecucao="Global","",ORÇAMENTO.Unidade)</f>
        <v>-</v>
      </c>
      <c r="G409" s="124">
        <f ca="1">IF(RegimeExecucao="Global","",ORÇAMENTO!T409)</f>
        <v>19</v>
      </c>
      <c r="H409" s="124">
        <f ca="1">IF(RegimeExecucao="Global","",ORÇAMENTO!W409)</f>
        <v>0</v>
      </c>
      <c r="I409" s="127">
        <f ca="1">ORÇAMENTO!X409</f>
        <v>0</v>
      </c>
      <c r="J409" s="378">
        <f ca="1">IF($A409="S",IF(CAIXA.Modo,BM.AFAnterior,BM.MEDAnterior),IF(AND(RegimeExecucao="Global",$I409&gt;0,COUNTIF($AB$13:$AM$13,BM.medicao-1)&gt;0),M409/$I409*100,0))</f>
        <v>0</v>
      </c>
      <c r="K409" s="124">
        <f t="shared" ca="1" si="24"/>
        <v>0</v>
      </c>
      <c r="L409" s="379">
        <f ca="1">IF($A409="S",IF(CAIXA.Modo,BM.AFAcumulado,BM.MEDAcumulado),IF(AND(RegimeExecucao="Global",$I409&gt;0,COUNTIF($AB$13:$AM$13,BM.medicao)&gt;0),O409/$I409*100,0))</f>
        <v>0</v>
      </c>
      <c r="M409" s="380">
        <f ca="1">IF($A409="S",VTOTALBM,IF($A409=0,0,ROUND(SomaAgrupBM,15-13*ORÇAMENTO!$AF$11)))</f>
        <v>0</v>
      </c>
      <c r="N409" s="381">
        <f t="shared" ca="1" si="25"/>
        <v>0</v>
      </c>
      <c r="O409" s="127">
        <f ca="1">IF($A409="S",VTOTALBM,IF($A409=0,0,ROUND(SomaAgrupBM,15-13*ORÇAMENTO!$AF$11)))</f>
        <v>0</v>
      </c>
      <c r="Q409" s="382"/>
      <c r="R409" s="383"/>
      <c r="T409" s="119" t="str">
        <f t="shared" ca="1" si="26"/>
        <v/>
      </c>
      <c r="U409" s="172" t="str">
        <f t="shared" ca="1" si="27"/>
        <v/>
      </c>
      <c r="V409" s="173" t="str">
        <f ca="1">IF(AND($W409&gt;0,RegimeExecucao="Unitário"),$F409,"")</f>
        <v/>
      </c>
      <c r="W409" s="547">
        <f ca="1">IF($Y409&gt;0,CHOOSE(MATCH(RegimeExecucao,{"Unitário","Global"},0),IF($A409="S",$Y409/$X409,""),($Y409/$X409)*100),0)</f>
        <v>0</v>
      </c>
      <c r="X409" s="384" t="str">
        <f ca="1">IF($Y409&gt;0,CHOOSE(MATCH(RegimeExecucao,{"Unitário","Global"},0),IF($A409="S",ROUND($H409,ORÇAMENTO!$AF$10),""),ROUND($I409,ORÇAMENTO!$AF$11)),"")</f>
        <v/>
      </c>
      <c r="Y409" s="384">
        <f t="shared" ca="1" si="28"/>
        <v>0</v>
      </c>
      <c r="Z409" s="572"/>
      <c r="AB409" s="382"/>
      <c r="AC409" s="516"/>
      <c r="AD409" s="516"/>
      <c r="AE409" s="516"/>
      <c r="AF409" s="516"/>
      <c r="AG409" s="516"/>
      <c r="AH409" s="516"/>
      <c r="AI409" s="516"/>
      <c r="AJ409" s="516"/>
      <c r="AK409" s="516"/>
      <c r="AL409" s="516"/>
      <c r="AM409" s="383"/>
      <c r="AO409">
        <f ca="1">IF($A409="S",IF(BM!$I409=0,0,CHOOSE(MATCH(RegimeExecucao,{"Global","Unitário"},0),ROUND(ROUND(BM.MEDAcumulado,15-13*BM!$A$9)/100*BM!$I409,15-13*ORÇAMENTO!$AF$11),ROUND(ROUND(BM.MEDAcumulado,15-13*BM!$A$9)*ROUND(BM!$H409,15-13*ORÇAMENTO!$AF$10),15-13*ORÇAMENTO!$AF$11))),IF($A409=0,0,ROUND(SomaAgrupBM,15-13*ORÇAMENTO!$AF$11)))</f>
        <v>0</v>
      </c>
    </row>
    <row r="410" spans="1:41" ht="25.5" x14ac:dyDescent="0.2">
      <c r="A410" t="str">
        <f ca="1">ORÇAMENTO!C410</f>
        <v>S</v>
      </c>
      <c r="B410">
        <f ca="1">ORÇAMENTO!D410</f>
        <v>0</v>
      </c>
      <c r="C410" s="116" t="str">
        <f t="shared" ca="1" si="22"/>
        <v/>
      </c>
      <c r="D410" s="119" t="str">
        <f ca="1">ORÇAMENTO!O410</f>
        <v>-</v>
      </c>
      <c r="E410" s="172" t="str">
        <f t="shared" ca="1" si="23"/>
        <v>(abra o arquivo 'Referência 02-2025.xlsm)</v>
      </c>
      <c r="F410" s="173" t="str">
        <f ca="1">IF(RegimeExecucao="Global","",ORÇAMENTO.Unidade)</f>
        <v>-</v>
      </c>
      <c r="G410" s="124">
        <f ca="1">IF(RegimeExecucao="Global","",ORÇAMENTO!T410)</f>
        <v>2</v>
      </c>
      <c r="H410" s="124">
        <f ca="1">IF(RegimeExecucao="Global","",ORÇAMENTO!W410)</f>
        <v>0</v>
      </c>
      <c r="I410" s="127">
        <f ca="1">ORÇAMENTO!X410</f>
        <v>0</v>
      </c>
      <c r="J410" s="378">
        <f ca="1">IF($A410="S",IF(CAIXA.Modo,BM.AFAnterior,BM.MEDAnterior),IF(AND(RegimeExecucao="Global",$I410&gt;0,COUNTIF($AB$13:$AM$13,BM.medicao-1)&gt;0),M410/$I410*100,0))</f>
        <v>0</v>
      </c>
      <c r="K410" s="124">
        <f t="shared" ca="1" si="24"/>
        <v>0</v>
      </c>
      <c r="L410" s="379">
        <f ca="1">IF($A410="S",IF(CAIXA.Modo,BM.AFAcumulado,BM.MEDAcumulado),IF(AND(RegimeExecucao="Global",$I410&gt;0,COUNTIF($AB$13:$AM$13,BM.medicao)&gt;0),O410/$I410*100,0))</f>
        <v>0</v>
      </c>
      <c r="M410" s="380">
        <f ca="1">IF($A410="S",VTOTALBM,IF($A410=0,0,ROUND(SomaAgrupBM,15-13*ORÇAMENTO!$AF$11)))</f>
        <v>0</v>
      </c>
      <c r="N410" s="381">
        <f t="shared" ca="1" si="25"/>
        <v>0</v>
      </c>
      <c r="O410" s="127">
        <f ca="1">IF($A410="S",VTOTALBM,IF($A410=0,0,ROUND(SomaAgrupBM,15-13*ORÇAMENTO!$AF$11)))</f>
        <v>0</v>
      </c>
      <c r="Q410" s="382"/>
      <c r="R410" s="383"/>
      <c r="T410" s="119" t="str">
        <f t="shared" ca="1" si="26"/>
        <v/>
      </c>
      <c r="U410" s="172" t="str">
        <f t="shared" ca="1" si="27"/>
        <v/>
      </c>
      <c r="V410" s="173" t="str">
        <f ca="1">IF(AND($W410&gt;0,RegimeExecucao="Unitário"),$F410,"")</f>
        <v/>
      </c>
      <c r="W410" s="547">
        <f ca="1">IF($Y410&gt;0,CHOOSE(MATCH(RegimeExecucao,{"Unitário","Global"},0),IF($A410="S",$Y410/$X410,""),($Y410/$X410)*100),0)</f>
        <v>0</v>
      </c>
      <c r="X410" s="384" t="str">
        <f ca="1">IF($Y410&gt;0,CHOOSE(MATCH(RegimeExecucao,{"Unitário","Global"},0),IF($A410="S",ROUND($H410,ORÇAMENTO!$AF$10),""),ROUND($I410,ORÇAMENTO!$AF$11)),"")</f>
        <v/>
      </c>
      <c r="Y410" s="384">
        <f t="shared" ca="1" si="28"/>
        <v>0</v>
      </c>
      <c r="Z410" s="572"/>
      <c r="AB410" s="382"/>
      <c r="AC410" s="516"/>
      <c r="AD410" s="516"/>
      <c r="AE410" s="516"/>
      <c r="AF410" s="516"/>
      <c r="AG410" s="516"/>
      <c r="AH410" s="516"/>
      <c r="AI410" s="516"/>
      <c r="AJ410" s="516"/>
      <c r="AK410" s="516"/>
      <c r="AL410" s="516"/>
      <c r="AM410" s="383"/>
      <c r="AO410">
        <f ca="1">IF($A410="S",IF(BM!$I410=0,0,CHOOSE(MATCH(RegimeExecucao,{"Global","Unitário"},0),ROUND(ROUND(BM.MEDAcumulado,15-13*BM!$A$9)/100*BM!$I410,15-13*ORÇAMENTO!$AF$11),ROUND(ROUND(BM.MEDAcumulado,15-13*BM!$A$9)*ROUND(BM!$H410,15-13*ORÇAMENTO!$AF$10),15-13*ORÇAMENTO!$AF$11))),IF($A410=0,0,ROUND(SomaAgrupBM,15-13*ORÇAMENTO!$AF$11)))</f>
        <v>0</v>
      </c>
    </row>
    <row r="411" spans="1:41" ht="25.5" x14ac:dyDescent="0.2">
      <c r="A411" t="str">
        <f ca="1">ORÇAMENTO!C411</f>
        <v>S</v>
      </c>
      <c r="B411">
        <f ca="1">ORÇAMENTO!D411</f>
        <v>0</v>
      </c>
      <c r="C411" s="116" t="str">
        <f t="shared" ca="1" si="22"/>
        <v/>
      </c>
      <c r="D411" s="119" t="str">
        <f ca="1">ORÇAMENTO!O411</f>
        <v>-</v>
      </c>
      <c r="E411" s="172" t="str">
        <f t="shared" ca="1" si="23"/>
        <v>(abra o arquivo 'Referência 02-2025.xlsm)</v>
      </c>
      <c r="F411" s="173" t="str">
        <f ca="1">IF(RegimeExecucao="Global","",ORÇAMENTO.Unidade)</f>
        <v>-</v>
      </c>
      <c r="G411" s="124">
        <f ca="1">IF(RegimeExecucao="Global","",ORÇAMENTO!T411)</f>
        <v>15</v>
      </c>
      <c r="H411" s="124">
        <f ca="1">IF(RegimeExecucao="Global","",ORÇAMENTO!W411)</f>
        <v>0</v>
      </c>
      <c r="I411" s="127">
        <f ca="1">ORÇAMENTO!X411</f>
        <v>0</v>
      </c>
      <c r="J411" s="378">
        <f ca="1">IF($A411="S",IF(CAIXA.Modo,BM.AFAnterior,BM.MEDAnterior),IF(AND(RegimeExecucao="Global",$I411&gt;0,COUNTIF($AB$13:$AM$13,BM.medicao-1)&gt;0),M411/$I411*100,0))</f>
        <v>0</v>
      </c>
      <c r="K411" s="124">
        <f t="shared" ca="1" si="24"/>
        <v>0</v>
      </c>
      <c r="L411" s="379">
        <f ca="1">IF($A411="S",IF(CAIXA.Modo,BM.AFAcumulado,BM.MEDAcumulado),IF(AND(RegimeExecucao="Global",$I411&gt;0,COUNTIF($AB$13:$AM$13,BM.medicao)&gt;0),O411/$I411*100,0))</f>
        <v>0</v>
      </c>
      <c r="M411" s="380">
        <f ca="1">IF($A411="S",VTOTALBM,IF($A411=0,0,ROUND(SomaAgrupBM,15-13*ORÇAMENTO!$AF$11)))</f>
        <v>0</v>
      </c>
      <c r="N411" s="381">
        <f t="shared" ca="1" si="25"/>
        <v>0</v>
      </c>
      <c r="O411" s="127">
        <f ca="1">IF($A411="S",VTOTALBM,IF($A411=0,0,ROUND(SomaAgrupBM,15-13*ORÇAMENTO!$AF$11)))</f>
        <v>0</v>
      </c>
      <c r="Q411" s="382"/>
      <c r="R411" s="383"/>
      <c r="T411" s="119" t="str">
        <f t="shared" ca="1" si="26"/>
        <v/>
      </c>
      <c r="U411" s="172" t="str">
        <f t="shared" ca="1" si="27"/>
        <v/>
      </c>
      <c r="V411" s="173" t="str">
        <f ca="1">IF(AND($W411&gt;0,RegimeExecucao="Unitário"),$F411,"")</f>
        <v/>
      </c>
      <c r="W411" s="547">
        <f ca="1">IF($Y411&gt;0,CHOOSE(MATCH(RegimeExecucao,{"Unitário","Global"},0),IF($A411="S",$Y411/$X411,""),($Y411/$X411)*100),0)</f>
        <v>0</v>
      </c>
      <c r="X411" s="384" t="str">
        <f ca="1">IF($Y411&gt;0,CHOOSE(MATCH(RegimeExecucao,{"Unitário","Global"},0),IF($A411="S",ROUND($H411,ORÇAMENTO!$AF$10),""),ROUND($I411,ORÇAMENTO!$AF$11)),"")</f>
        <v/>
      </c>
      <c r="Y411" s="384">
        <f t="shared" ca="1" si="28"/>
        <v>0</v>
      </c>
      <c r="Z411" s="572"/>
      <c r="AB411" s="382"/>
      <c r="AC411" s="516"/>
      <c r="AD411" s="516"/>
      <c r="AE411" s="516"/>
      <c r="AF411" s="516"/>
      <c r="AG411" s="516"/>
      <c r="AH411" s="516"/>
      <c r="AI411" s="516"/>
      <c r="AJ411" s="516"/>
      <c r="AK411" s="516"/>
      <c r="AL411" s="516"/>
      <c r="AM411" s="383"/>
      <c r="AO411">
        <f ca="1">IF($A411="S",IF(BM!$I411=0,0,CHOOSE(MATCH(RegimeExecucao,{"Global","Unitário"},0),ROUND(ROUND(BM.MEDAcumulado,15-13*BM!$A$9)/100*BM!$I411,15-13*ORÇAMENTO!$AF$11),ROUND(ROUND(BM.MEDAcumulado,15-13*BM!$A$9)*ROUND(BM!$H411,15-13*ORÇAMENTO!$AF$10),15-13*ORÇAMENTO!$AF$11))),IF($A411=0,0,ROUND(SomaAgrupBM,15-13*ORÇAMENTO!$AF$11)))</f>
        <v>0</v>
      </c>
    </row>
    <row r="412" spans="1:41" ht="25.5" x14ac:dyDescent="0.2">
      <c r="A412" t="str">
        <f ca="1">ORÇAMENTO!C412</f>
        <v>S</v>
      </c>
      <c r="B412">
        <f ca="1">ORÇAMENTO!D412</f>
        <v>0</v>
      </c>
      <c r="C412" s="116" t="str">
        <f t="shared" ca="1" si="22"/>
        <v/>
      </c>
      <c r="D412" s="119" t="str">
        <f ca="1">ORÇAMENTO!O412</f>
        <v>-</v>
      </c>
      <c r="E412" s="172" t="str">
        <f t="shared" ca="1" si="23"/>
        <v>(abra o arquivo 'Referência 02-2025.xlsm)</v>
      </c>
      <c r="F412" s="173" t="str">
        <f ca="1">IF(RegimeExecucao="Global","",ORÇAMENTO.Unidade)</f>
        <v>-</v>
      </c>
      <c r="G412" s="124">
        <f ca="1">IF(RegimeExecucao="Global","",ORÇAMENTO!T412)</f>
        <v>4</v>
      </c>
      <c r="H412" s="124">
        <f ca="1">IF(RegimeExecucao="Global","",ORÇAMENTO!W412)</f>
        <v>0</v>
      </c>
      <c r="I412" s="127">
        <f ca="1">ORÇAMENTO!X412</f>
        <v>0</v>
      </c>
      <c r="J412" s="378">
        <f ca="1">IF($A412="S",IF(CAIXA.Modo,BM.AFAnterior,BM.MEDAnterior),IF(AND(RegimeExecucao="Global",$I412&gt;0,COUNTIF($AB$13:$AM$13,BM.medicao-1)&gt;0),M412/$I412*100,0))</f>
        <v>0</v>
      </c>
      <c r="K412" s="124">
        <f t="shared" ca="1" si="24"/>
        <v>0</v>
      </c>
      <c r="L412" s="379">
        <f ca="1">IF($A412="S",IF(CAIXA.Modo,BM.AFAcumulado,BM.MEDAcumulado),IF(AND(RegimeExecucao="Global",$I412&gt;0,COUNTIF($AB$13:$AM$13,BM.medicao)&gt;0),O412/$I412*100,0))</f>
        <v>0</v>
      </c>
      <c r="M412" s="380">
        <f ca="1">IF($A412="S",VTOTALBM,IF($A412=0,0,ROUND(SomaAgrupBM,15-13*ORÇAMENTO!$AF$11)))</f>
        <v>0</v>
      </c>
      <c r="N412" s="381">
        <f t="shared" ca="1" si="25"/>
        <v>0</v>
      </c>
      <c r="O412" s="127">
        <f ca="1">IF($A412="S",VTOTALBM,IF($A412=0,0,ROUND(SomaAgrupBM,15-13*ORÇAMENTO!$AF$11)))</f>
        <v>0</v>
      </c>
      <c r="Q412" s="382"/>
      <c r="R412" s="383"/>
      <c r="T412" s="119" t="str">
        <f t="shared" ca="1" si="26"/>
        <v/>
      </c>
      <c r="U412" s="172" t="str">
        <f t="shared" ca="1" si="27"/>
        <v/>
      </c>
      <c r="V412" s="173" t="str">
        <f ca="1">IF(AND($W412&gt;0,RegimeExecucao="Unitário"),$F412,"")</f>
        <v/>
      </c>
      <c r="W412" s="547">
        <f ca="1">IF($Y412&gt;0,CHOOSE(MATCH(RegimeExecucao,{"Unitário","Global"},0),IF($A412="S",$Y412/$X412,""),($Y412/$X412)*100),0)</f>
        <v>0</v>
      </c>
      <c r="X412" s="384" t="str">
        <f ca="1">IF($Y412&gt;0,CHOOSE(MATCH(RegimeExecucao,{"Unitário","Global"},0),IF($A412="S",ROUND($H412,ORÇAMENTO!$AF$10),""),ROUND($I412,ORÇAMENTO!$AF$11)),"")</f>
        <v/>
      </c>
      <c r="Y412" s="384">
        <f t="shared" ca="1" si="28"/>
        <v>0</v>
      </c>
      <c r="Z412" s="572"/>
      <c r="AB412" s="382"/>
      <c r="AC412" s="516"/>
      <c r="AD412" s="516"/>
      <c r="AE412" s="516"/>
      <c r="AF412" s="516"/>
      <c r="AG412" s="516"/>
      <c r="AH412" s="516"/>
      <c r="AI412" s="516"/>
      <c r="AJ412" s="516"/>
      <c r="AK412" s="516"/>
      <c r="AL412" s="516"/>
      <c r="AM412" s="383"/>
      <c r="AO412">
        <f ca="1">IF($A412="S",IF(BM!$I412=0,0,CHOOSE(MATCH(RegimeExecucao,{"Global","Unitário"},0),ROUND(ROUND(BM.MEDAcumulado,15-13*BM!$A$9)/100*BM!$I412,15-13*ORÇAMENTO!$AF$11),ROUND(ROUND(BM.MEDAcumulado,15-13*BM!$A$9)*ROUND(BM!$H412,15-13*ORÇAMENTO!$AF$10),15-13*ORÇAMENTO!$AF$11))),IF($A412=0,0,ROUND(SomaAgrupBM,15-13*ORÇAMENTO!$AF$11)))</f>
        <v>0</v>
      </c>
    </row>
    <row r="413" spans="1:41" ht="38.25" x14ac:dyDescent="0.2">
      <c r="A413" t="str">
        <f ca="1">ORÇAMENTO!C413</f>
        <v>S</v>
      </c>
      <c r="B413">
        <f ca="1">ORÇAMENTO!D413</f>
        <v>0</v>
      </c>
      <c r="C413" s="116" t="str">
        <f t="shared" ca="1" si="22"/>
        <v/>
      </c>
      <c r="D413" s="119" t="str">
        <f ca="1">ORÇAMENTO!O413</f>
        <v>-</v>
      </c>
      <c r="E413" s="172" t="str">
        <f t="shared" ca="1" si="23"/>
        <v>(abra o arquivo 'Referência 02-2025.xlsm)</v>
      </c>
      <c r="F413" s="173" t="str">
        <f ca="1">IF(RegimeExecucao="Global","",ORÇAMENTO.Unidade)</f>
        <v>-</v>
      </c>
      <c r="G413" s="124">
        <f ca="1">IF(RegimeExecucao="Global","",ORÇAMENTO!T413)</f>
        <v>4</v>
      </c>
      <c r="H413" s="124">
        <f ca="1">IF(RegimeExecucao="Global","",ORÇAMENTO!W413)</f>
        <v>0</v>
      </c>
      <c r="I413" s="127">
        <f ca="1">ORÇAMENTO!X413</f>
        <v>0</v>
      </c>
      <c r="J413" s="378">
        <f ca="1">IF($A413="S",IF(CAIXA.Modo,BM.AFAnterior,BM.MEDAnterior),IF(AND(RegimeExecucao="Global",$I413&gt;0,COUNTIF($AB$13:$AM$13,BM.medicao-1)&gt;0),M413/$I413*100,0))</f>
        <v>0</v>
      </c>
      <c r="K413" s="124">
        <f t="shared" ca="1" si="24"/>
        <v>0</v>
      </c>
      <c r="L413" s="379">
        <f ca="1">IF($A413="S",IF(CAIXA.Modo,BM.AFAcumulado,BM.MEDAcumulado),IF(AND(RegimeExecucao="Global",$I413&gt;0,COUNTIF($AB$13:$AM$13,BM.medicao)&gt;0),O413/$I413*100,0))</f>
        <v>0</v>
      </c>
      <c r="M413" s="380">
        <f ca="1">IF($A413="S",VTOTALBM,IF($A413=0,0,ROUND(SomaAgrupBM,15-13*ORÇAMENTO!$AF$11)))</f>
        <v>0</v>
      </c>
      <c r="N413" s="381">
        <f t="shared" ca="1" si="25"/>
        <v>0</v>
      </c>
      <c r="O413" s="127">
        <f ca="1">IF($A413="S",VTOTALBM,IF($A413=0,0,ROUND(SomaAgrupBM,15-13*ORÇAMENTO!$AF$11)))</f>
        <v>0</v>
      </c>
      <c r="Q413" s="382"/>
      <c r="R413" s="383"/>
      <c r="T413" s="119" t="str">
        <f t="shared" ca="1" si="26"/>
        <v/>
      </c>
      <c r="U413" s="172" t="str">
        <f t="shared" ca="1" si="27"/>
        <v/>
      </c>
      <c r="V413" s="173" t="str">
        <f ca="1">IF(AND($W413&gt;0,RegimeExecucao="Unitário"),$F413,"")</f>
        <v/>
      </c>
      <c r="W413" s="547">
        <f ca="1">IF($Y413&gt;0,CHOOSE(MATCH(RegimeExecucao,{"Unitário","Global"},0),IF($A413="S",$Y413/$X413,""),($Y413/$X413)*100),0)</f>
        <v>0</v>
      </c>
      <c r="X413" s="384" t="str">
        <f ca="1">IF($Y413&gt;0,CHOOSE(MATCH(RegimeExecucao,{"Unitário","Global"},0),IF($A413="S",ROUND($H413,ORÇAMENTO!$AF$10),""),ROUND($I413,ORÇAMENTO!$AF$11)),"")</f>
        <v/>
      </c>
      <c r="Y413" s="384">
        <f t="shared" ca="1" si="28"/>
        <v>0</v>
      </c>
      <c r="Z413" s="572"/>
      <c r="AB413" s="382"/>
      <c r="AC413" s="516"/>
      <c r="AD413" s="516"/>
      <c r="AE413" s="516"/>
      <c r="AF413" s="516"/>
      <c r="AG413" s="516"/>
      <c r="AH413" s="516"/>
      <c r="AI413" s="516"/>
      <c r="AJ413" s="516"/>
      <c r="AK413" s="516"/>
      <c r="AL413" s="516"/>
      <c r="AM413" s="383"/>
      <c r="AO413">
        <f ca="1">IF($A413="S",IF(BM!$I413=0,0,CHOOSE(MATCH(RegimeExecucao,{"Global","Unitário"},0),ROUND(ROUND(BM.MEDAcumulado,15-13*BM!$A$9)/100*BM!$I413,15-13*ORÇAMENTO!$AF$11),ROUND(ROUND(BM.MEDAcumulado,15-13*BM!$A$9)*ROUND(BM!$H413,15-13*ORÇAMENTO!$AF$10),15-13*ORÇAMENTO!$AF$11))),IF($A413=0,0,ROUND(SomaAgrupBM,15-13*ORÇAMENTO!$AF$11)))</f>
        <v>0</v>
      </c>
    </row>
    <row r="414" spans="1:41" ht="25.5" x14ac:dyDescent="0.2">
      <c r="A414" t="str">
        <f ca="1">ORÇAMENTO!C414</f>
        <v>S</v>
      </c>
      <c r="B414">
        <f ca="1">ORÇAMENTO!D414</f>
        <v>0</v>
      </c>
      <c r="C414" s="116" t="str">
        <f t="shared" ca="1" si="22"/>
        <v/>
      </c>
      <c r="D414" s="119" t="str">
        <f ca="1">ORÇAMENTO!O414</f>
        <v>-</v>
      </c>
      <c r="E414" s="172" t="str">
        <f t="shared" ca="1" si="23"/>
        <v>(abra o arquivo 'Referência 02-2025.xlsm)</v>
      </c>
      <c r="F414" s="173" t="str">
        <f ca="1">IF(RegimeExecucao="Global","",ORÇAMENTO.Unidade)</f>
        <v>-</v>
      </c>
      <c r="G414" s="124">
        <f ca="1">IF(RegimeExecucao="Global","",ORÇAMENTO!T414)</f>
        <v>45</v>
      </c>
      <c r="H414" s="124">
        <f ca="1">IF(RegimeExecucao="Global","",ORÇAMENTO!W414)</f>
        <v>0</v>
      </c>
      <c r="I414" s="127">
        <f ca="1">ORÇAMENTO!X414</f>
        <v>0</v>
      </c>
      <c r="J414" s="378">
        <f ca="1">IF($A414="S",IF(CAIXA.Modo,BM.AFAnterior,BM.MEDAnterior),IF(AND(RegimeExecucao="Global",$I414&gt;0,COUNTIF($AB$13:$AM$13,BM.medicao-1)&gt;0),M414/$I414*100,0))</f>
        <v>0</v>
      </c>
      <c r="K414" s="124">
        <f t="shared" ca="1" si="24"/>
        <v>0</v>
      </c>
      <c r="L414" s="379">
        <f ca="1">IF($A414="S",IF(CAIXA.Modo,BM.AFAcumulado,BM.MEDAcumulado),IF(AND(RegimeExecucao="Global",$I414&gt;0,COUNTIF($AB$13:$AM$13,BM.medicao)&gt;0),O414/$I414*100,0))</f>
        <v>0</v>
      </c>
      <c r="M414" s="380">
        <f ca="1">IF($A414="S",VTOTALBM,IF($A414=0,0,ROUND(SomaAgrupBM,15-13*ORÇAMENTO!$AF$11)))</f>
        <v>0</v>
      </c>
      <c r="N414" s="381">
        <f t="shared" ca="1" si="25"/>
        <v>0</v>
      </c>
      <c r="O414" s="127">
        <f ca="1">IF($A414="S",VTOTALBM,IF($A414=0,0,ROUND(SomaAgrupBM,15-13*ORÇAMENTO!$AF$11)))</f>
        <v>0</v>
      </c>
      <c r="Q414" s="382"/>
      <c r="R414" s="383"/>
      <c r="T414" s="119" t="str">
        <f t="shared" ca="1" si="26"/>
        <v/>
      </c>
      <c r="U414" s="172" t="str">
        <f t="shared" ca="1" si="27"/>
        <v/>
      </c>
      <c r="V414" s="173" t="str">
        <f ca="1">IF(AND($W414&gt;0,RegimeExecucao="Unitário"),$F414,"")</f>
        <v/>
      </c>
      <c r="W414" s="547">
        <f ca="1">IF($Y414&gt;0,CHOOSE(MATCH(RegimeExecucao,{"Unitário","Global"},0),IF($A414="S",$Y414/$X414,""),($Y414/$X414)*100),0)</f>
        <v>0</v>
      </c>
      <c r="X414" s="384" t="str">
        <f ca="1">IF($Y414&gt;0,CHOOSE(MATCH(RegimeExecucao,{"Unitário","Global"},0),IF($A414="S",ROUND($H414,ORÇAMENTO!$AF$10),""),ROUND($I414,ORÇAMENTO!$AF$11)),"")</f>
        <v/>
      </c>
      <c r="Y414" s="384">
        <f t="shared" ca="1" si="28"/>
        <v>0</v>
      </c>
      <c r="Z414" s="572"/>
      <c r="AB414" s="382"/>
      <c r="AC414" s="516"/>
      <c r="AD414" s="516"/>
      <c r="AE414" s="516"/>
      <c r="AF414" s="516"/>
      <c r="AG414" s="516"/>
      <c r="AH414" s="516"/>
      <c r="AI414" s="516"/>
      <c r="AJ414" s="516"/>
      <c r="AK414" s="516"/>
      <c r="AL414" s="516"/>
      <c r="AM414" s="383"/>
      <c r="AO414">
        <f ca="1">IF($A414="S",IF(BM!$I414=0,0,CHOOSE(MATCH(RegimeExecucao,{"Global","Unitário"},0),ROUND(ROUND(BM.MEDAcumulado,15-13*BM!$A$9)/100*BM!$I414,15-13*ORÇAMENTO!$AF$11),ROUND(ROUND(BM.MEDAcumulado,15-13*BM!$A$9)*ROUND(BM!$H414,15-13*ORÇAMENTO!$AF$10),15-13*ORÇAMENTO!$AF$11))),IF($A414=0,0,ROUND(SomaAgrupBM,15-13*ORÇAMENTO!$AF$11)))</f>
        <v>0</v>
      </c>
    </row>
    <row r="415" spans="1:41" ht="25.5" x14ac:dyDescent="0.2">
      <c r="A415" t="str">
        <f ca="1">ORÇAMENTO!C415</f>
        <v>S</v>
      </c>
      <c r="B415">
        <f ca="1">ORÇAMENTO!D415</f>
        <v>0</v>
      </c>
      <c r="C415" s="116" t="str">
        <f t="shared" ca="1" si="22"/>
        <v/>
      </c>
      <c r="D415" s="119" t="str">
        <f ca="1">ORÇAMENTO!O415</f>
        <v>-</v>
      </c>
      <c r="E415" s="172" t="str">
        <f t="shared" ca="1" si="23"/>
        <v>(abra o arquivo 'Referência 02-2025.xlsm)</v>
      </c>
      <c r="F415" s="173" t="str">
        <f ca="1">IF(RegimeExecucao="Global","",ORÇAMENTO.Unidade)</f>
        <v>-</v>
      </c>
      <c r="G415" s="124">
        <f ca="1">IF(RegimeExecucao="Global","",ORÇAMENTO!T415)</f>
        <v>13</v>
      </c>
      <c r="H415" s="124">
        <f ca="1">IF(RegimeExecucao="Global","",ORÇAMENTO!W415)</f>
        <v>0</v>
      </c>
      <c r="I415" s="127">
        <f ca="1">ORÇAMENTO!X415</f>
        <v>0</v>
      </c>
      <c r="J415" s="378">
        <f ca="1">IF($A415="S",IF(CAIXA.Modo,BM.AFAnterior,BM.MEDAnterior),IF(AND(RegimeExecucao="Global",$I415&gt;0,COUNTIF($AB$13:$AM$13,BM.medicao-1)&gt;0),M415/$I415*100,0))</f>
        <v>0</v>
      </c>
      <c r="K415" s="124">
        <f t="shared" ca="1" si="24"/>
        <v>0</v>
      </c>
      <c r="L415" s="379">
        <f ca="1">IF($A415="S",IF(CAIXA.Modo,BM.AFAcumulado,BM.MEDAcumulado),IF(AND(RegimeExecucao="Global",$I415&gt;0,COUNTIF($AB$13:$AM$13,BM.medicao)&gt;0),O415/$I415*100,0))</f>
        <v>0</v>
      </c>
      <c r="M415" s="380">
        <f ca="1">IF($A415="S",VTOTALBM,IF($A415=0,0,ROUND(SomaAgrupBM,15-13*ORÇAMENTO!$AF$11)))</f>
        <v>0</v>
      </c>
      <c r="N415" s="381">
        <f t="shared" ca="1" si="25"/>
        <v>0</v>
      </c>
      <c r="O415" s="127">
        <f ca="1">IF($A415="S",VTOTALBM,IF($A415=0,0,ROUND(SomaAgrupBM,15-13*ORÇAMENTO!$AF$11)))</f>
        <v>0</v>
      </c>
      <c r="Q415" s="382"/>
      <c r="R415" s="383"/>
      <c r="T415" s="119" t="str">
        <f t="shared" ca="1" si="26"/>
        <v/>
      </c>
      <c r="U415" s="172" t="str">
        <f t="shared" ca="1" si="27"/>
        <v/>
      </c>
      <c r="V415" s="173" t="str">
        <f ca="1">IF(AND($W415&gt;0,RegimeExecucao="Unitário"),$F415,"")</f>
        <v/>
      </c>
      <c r="W415" s="547">
        <f ca="1">IF($Y415&gt;0,CHOOSE(MATCH(RegimeExecucao,{"Unitário","Global"},0),IF($A415="S",$Y415/$X415,""),($Y415/$X415)*100),0)</f>
        <v>0</v>
      </c>
      <c r="X415" s="384" t="str">
        <f ca="1">IF($Y415&gt;0,CHOOSE(MATCH(RegimeExecucao,{"Unitário","Global"},0),IF($A415="S",ROUND($H415,ORÇAMENTO!$AF$10),""),ROUND($I415,ORÇAMENTO!$AF$11)),"")</f>
        <v/>
      </c>
      <c r="Y415" s="384">
        <f t="shared" ca="1" si="28"/>
        <v>0</v>
      </c>
      <c r="Z415" s="572"/>
      <c r="AB415" s="382"/>
      <c r="AC415" s="516"/>
      <c r="AD415" s="516"/>
      <c r="AE415" s="516"/>
      <c r="AF415" s="516"/>
      <c r="AG415" s="516"/>
      <c r="AH415" s="516"/>
      <c r="AI415" s="516"/>
      <c r="AJ415" s="516"/>
      <c r="AK415" s="516"/>
      <c r="AL415" s="516"/>
      <c r="AM415" s="383"/>
      <c r="AO415">
        <f ca="1">IF($A415="S",IF(BM!$I415=0,0,CHOOSE(MATCH(RegimeExecucao,{"Global","Unitário"},0),ROUND(ROUND(BM.MEDAcumulado,15-13*BM!$A$9)/100*BM!$I415,15-13*ORÇAMENTO!$AF$11),ROUND(ROUND(BM.MEDAcumulado,15-13*BM!$A$9)*ROUND(BM!$H415,15-13*ORÇAMENTO!$AF$10),15-13*ORÇAMENTO!$AF$11))),IF($A415=0,0,ROUND(SomaAgrupBM,15-13*ORÇAMENTO!$AF$11)))</f>
        <v>0</v>
      </c>
    </row>
    <row r="416" spans="1:41" ht="25.5" x14ac:dyDescent="0.2">
      <c r="A416" t="str">
        <f ca="1">ORÇAMENTO!C416</f>
        <v>S</v>
      </c>
      <c r="B416">
        <f ca="1">ORÇAMENTO!D416</f>
        <v>0</v>
      </c>
      <c r="C416" s="116" t="str">
        <f t="shared" ca="1" si="22"/>
        <v/>
      </c>
      <c r="D416" s="119" t="str">
        <f ca="1">ORÇAMENTO!O416</f>
        <v>-</v>
      </c>
      <c r="E416" s="172" t="str">
        <f t="shared" ca="1" si="23"/>
        <v>(abra o arquivo 'Referência 02-2025.xlsm)</v>
      </c>
      <c r="F416" s="173" t="str">
        <f ca="1">IF(RegimeExecucao="Global","",ORÇAMENTO.Unidade)</f>
        <v>-</v>
      </c>
      <c r="G416" s="124">
        <f ca="1">IF(RegimeExecucao="Global","",ORÇAMENTO!T416)</f>
        <v>24</v>
      </c>
      <c r="H416" s="124">
        <f ca="1">IF(RegimeExecucao="Global","",ORÇAMENTO!W416)</f>
        <v>0</v>
      </c>
      <c r="I416" s="127">
        <f ca="1">ORÇAMENTO!X416</f>
        <v>0</v>
      </c>
      <c r="J416" s="378">
        <f ca="1">IF($A416="S",IF(CAIXA.Modo,BM.AFAnterior,BM.MEDAnterior),IF(AND(RegimeExecucao="Global",$I416&gt;0,COUNTIF($AB$13:$AM$13,BM.medicao-1)&gt;0),M416/$I416*100,0))</f>
        <v>0</v>
      </c>
      <c r="K416" s="124">
        <f t="shared" ca="1" si="24"/>
        <v>0</v>
      </c>
      <c r="L416" s="379">
        <f ca="1">IF($A416="S",IF(CAIXA.Modo,BM.AFAcumulado,BM.MEDAcumulado),IF(AND(RegimeExecucao="Global",$I416&gt;0,COUNTIF($AB$13:$AM$13,BM.medicao)&gt;0),O416/$I416*100,0))</f>
        <v>0</v>
      </c>
      <c r="M416" s="380">
        <f ca="1">IF($A416="S",VTOTALBM,IF($A416=0,0,ROUND(SomaAgrupBM,15-13*ORÇAMENTO!$AF$11)))</f>
        <v>0</v>
      </c>
      <c r="N416" s="381">
        <f t="shared" ca="1" si="25"/>
        <v>0</v>
      </c>
      <c r="O416" s="127">
        <f ca="1">IF($A416="S",VTOTALBM,IF($A416=0,0,ROUND(SomaAgrupBM,15-13*ORÇAMENTO!$AF$11)))</f>
        <v>0</v>
      </c>
      <c r="Q416" s="382"/>
      <c r="R416" s="383"/>
      <c r="T416" s="119" t="str">
        <f t="shared" ca="1" si="26"/>
        <v/>
      </c>
      <c r="U416" s="172" t="str">
        <f t="shared" ca="1" si="27"/>
        <v/>
      </c>
      <c r="V416" s="173" t="str">
        <f ca="1">IF(AND($W416&gt;0,RegimeExecucao="Unitário"),$F416,"")</f>
        <v/>
      </c>
      <c r="W416" s="547">
        <f ca="1">IF($Y416&gt;0,CHOOSE(MATCH(RegimeExecucao,{"Unitário","Global"},0),IF($A416="S",$Y416/$X416,""),($Y416/$X416)*100),0)</f>
        <v>0</v>
      </c>
      <c r="X416" s="384" t="str">
        <f ca="1">IF($Y416&gt;0,CHOOSE(MATCH(RegimeExecucao,{"Unitário","Global"},0),IF($A416="S",ROUND($H416,ORÇAMENTO!$AF$10),""),ROUND($I416,ORÇAMENTO!$AF$11)),"")</f>
        <v/>
      </c>
      <c r="Y416" s="384">
        <f t="shared" ca="1" si="28"/>
        <v>0</v>
      </c>
      <c r="Z416" s="572"/>
      <c r="AB416" s="382"/>
      <c r="AC416" s="516"/>
      <c r="AD416" s="516"/>
      <c r="AE416" s="516"/>
      <c r="AF416" s="516"/>
      <c r="AG416" s="516"/>
      <c r="AH416" s="516"/>
      <c r="AI416" s="516"/>
      <c r="AJ416" s="516"/>
      <c r="AK416" s="516"/>
      <c r="AL416" s="516"/>
      <c r="AM416" s="383"/>
      <c r="AO416">
        <f ca="1">IF($A416="S",IF(BM!$I416=0,0,CHOOSE(MATCH(RegimeExecucao,{"Global","Unitário"},0),ROUND(ROUND(BM.MEDAcumulado,15-13*BM!$A$9)/100*BM!$I416,15-13*ORÇAMENTO!$AF$11),ROUND(ROUND(BM.MEDAcumulado,15-13*BM!$A$9)*ROUND(BM!$H416,15-13*ORÇAMENTO!$AF$10),15-13*ORÇAMENTO!$AF$11))),IF($A416=0,0,ROUND(SomaAgrupBM,15-13*ORÇAMENTO!$AF$11)))</f>
        <v>0</v>
      </c>
    </row>
    <row r="417" spans="1:41" ht="25.5" x14ac:dyDescent="0.2">
      <c r="A417" t="str">
        <f ca="1">ORÇAMENTO!C417</f>
        <v>S</v>
      </c>
      <c r="B417">
        <f ca="1">ORÇAMENTO!D417</f>
        <v>0</v>
      </c>
      <c r="C417" s="116" t="str">
        <f t="shared" ca="1" si="22"/>
        <v/>
      </c>
      <c r="D417" s="119" t="str">
        <f ca="1">ORÇAMENTO!O417</f>
        <v>-</v>
      </c>
      <c r="E417" s="172" t="str">
        <f t="shared" ca="1" si="23"/>
        <v>(abra o arquivo 'Referência 02-2025.xlsm)</v>
      </c>
      <c r="F417" s="173" t="str">
        <f ca="1">IF(RegimeExecucao="Global","",ORÇAMENTO.Unidade)</f>
        <v>-</v>
      </c>
      <c r="G417" s="124">
        <f ca="1">IF(RegimeExecucao="Global","",ORÇAMENTO!T417)</f>
        <v>12</v>
      </c>
      <c r="H417" s="124">
        <f ca="1">IF(RegimeExecucao="Global","",ORÇAMENTO!W417)</f>
        <v>0</v>
      </c>
      <c r="I417" s="127">
        <f ca="1">ORÇAMENTO!X417</f>
        <v>0</v>
      </c>
      <c r="J417" s="378">
        <f ca="1">IF($A417="S",IF(CAIXA.Modo,BM.AFAnterior,BM.MEDAnterior),IF(AND(RegimeExecucao="Global",$I417&gt;0,COUNTIF($AB$13:$AM$13,BM.medicao-1)&gt;0),M417/$I417*100,0))</f>
        <v>0</v>
      </c>
      <c r="K417" s="124">
        <f t="shared" ca="1" si="24"/>
        <v>0</v>
      </c>
      <c r="L417" s="379">
        <f ca="1">IF($A417="S",IF(CAIXA.Modo,BM.AFAcumulado,BM.MEDAcumulado),IF(AND(RegimeExecucao="Global",$I417&gt;0,COUNTIF($AB$13:$AM$13,BM.medicao)&gt;0),O417/$I417*100,0))</f>
        <v>0</v>
      </c>
      <c r="M417" s="380">
        <f ca="1">IF($A417="S",VTOTALBM,IF($A417=0,0,ROUND(SomaAgrupBM,15-13*ORÇAMENTO!$AF$11)))</f>
        <v>0</v>
      </c>
      <c r="N417" s="381">
        <f t="shared" ca="1" si="25"/>
        <v>0</v>
      </c>
      <c r="O417" s="127">
        <f ca="1">IF($A417="S",VTOTALBM,IF($A417=0,0,ROUND(SomaAgrupBM,15-13*ORÇAMENTO!$AF$11)))</f>
        <v>0</v>
      </c>
      <c r="Q417" s="382"/>
      <c r="R417" s="383"/>
      <c r="T417" s="119" t="str">
        <f t="shared" ca="1" si="26"/>
        <v/>
      </c>
      <c r="U417" s="172" t="str">
        <f t="shared" ca="1" si="27"/>
        <v/>
      </c>
      <c r="V417" s="173" t="str">
        <f ca="1">IF(AND($W417&gt;0,RegimeExecucao="Unitário"),$F417,"")</f>
        <v/>
      </c>
      <c r="W417" s="547">
        <f ca="1">IF($Y417&gt;0,CHOOSE(MATCH(RegimeExecucao,{"Unitário","Global"},0),IF($A417="S",$Y417/$X417,""),($Y417/$X417)*100),0)</f>
        <v>0</v>
      </c>
      <c r="X417" s="384" t="str">
        <f ca="1">IF($Y417&gt;0,CHOOSE(MATCH(RegimeExecucao,{"Unitário","Global"},0),IF($A417="S",ROUND($H417,ORÇAMENTO!$AF$10),""),ROUND($I417,ORÇAMENTO!$AF$11)),"")</f>
        <v/>
      </c>
      <c r="Y417" s="384">
        <f t="shared" ca="1" si="28"/>
        <v>0</v>
      </c>
      <c r="Z417" s="572"/>
      <c r="AB417" s="382"/>
      <c r="AC417" s="516"/>
      <c r="AD417" s="516"/>
      <c r="AE417" s="516"/>
      <c r="AF417" s="516"/>
      <c r="AG417" s="516"/>
      <c r="AH417" s="516"/>
      <c r="AI417" s="516"/>
      <c r="AJ417" s="516"/>
      <c r="AK417" s="516"/>
      <c r="AL417" s="516"/>
      <c r="AM417" s="383"/>
      <c r="AO417">
        <f ca="1">IF($A417="S",IF(BM!$I417=0,0,CHOOSE(MATCH(RegimeExecucao,{"Global","Unitário"},0),ROUND(ROUND(BM.MEDAcumulado,15-13*BM!$A$9)/100*BM!$I417,15-13*ORÇAMENTO!$AF$11),ROUND(ROUND(BM.MEDAcumulado,15-13*BM!$A$9)*ROUND(BM!$H417,15-13*ORÇAMENTO!$AF$10),15-13*ORÇAMENTO!$AF$11))),IF($A417=0,0,ROUND(SomaAgrupBM,15-13*ORÇAMENTO!$AF$11)))</f>
        <v>0</v>
      </c>
    </row>
    <row r="418" spans="1:41" ht="38.25" x14ac:dyDescent="0.2">
      <c r="A418" t="str">
        <f ca="1">ORÇAMENTO!C418</f>
        <v>S</v>
      </c>
      <c r="B418">
        <f ca="1">ORÇAMENTO!D418</f>
        <v>0</v>
      </c>
      <c r="C418" s="116" t="str">
        <f t="shared" ca="1" si="22"/>
        <v/>
      </c>
      <c r="D418" s="119" t="str">
        <f ca="1">ORÇAMENTO!O418</f>
        <v>-</v>
      </c>
      <c r="E418" s="172" t="str">
        <f t="shared" ca="1" si="23"/>
        <v>(abra o arquivo 'Referência 02-2025.xlsm)</v>
      </c>
      <c r="F418" s="173" t="str">
        <f ca="1">IF(RegimeExecucao="Global","",ORÇAMENTO.Unidade)</f>
        <v>-</v>
      </c>
      <c r="G418" s="124">
        <f ca="1">IF(RegimeExecucao="Global","",ORÇAMENTO!T418)</f>
        <v>6</v>
      </c>
      <c r="H418" s="124">
        <f ca="1">IF(RegimeExecucao="Global","",ORÇAMENTO!W418)</f>
        <v>0</v>
      </c>
      <c r="I418" s="127">
        <f ca="1">ORÇAMENTO!X418</f>
        <v>0</v>
      </c>
      <c r="J418" s="378">
        <f ca="1">IF($A418="S",IF(CAIXA.Modo,BM.AFAnterior,BM.MEDAnterior),IF(AND(RegimeExecucao="Global",$I418&gt;0,COUNTIF($AB$13:$AM$13,BM.medicao-1)&gt;0),M418/$I418*100,0))</f>
        <v>0</v>
      </c>
      <c r="K418" s="124">
        <f t="shared" ca="1" si="24"/>
        <v>0</v>
      </c>
      <c r="L418" s="379">
        <f ca="1">IF($A418="S",IF(CAIXA.Modo,BM.AFAcumulado,BM.MEDAcumulado),IF(AND(RegimeExecucao="Global",$I418&gt;0,COUNTIF($AB$13:$AM$13,BM.medicao)&gt;0),O418/$I418*100,0))</f>
        <v>0</v>
      </c>
      <c r="M418" s="380">
        <f ca="1">IF($A418="S",VTOTALBM,IF($A418=0,0,ROUND(SomaAgrupBM,15-13*ORÇAMENTO!$AF$11)))</f>
        <v>0</v>
      </c>
      <c r="N418" s="381">
        <f t="shared" ca="1" si="25"/>
        <v>0</v>
      </c>
      <c r="O418" s="127">
        <f ca="1">IF($A418="S",VTOTALBM,IF($A418=0,0,ROUND(SomaAgrupBM,15-13*ORÇAMENTO!$AF$11)))</f>
        <v>0</v>
      </c>
      <c r="Q418" s="382"/>
      <c r="R418" s="383"/>
      <c r="T418" s="119" t="str">
        <f t="shared" ca="1" si="26"/>
        <v/>
      </c>
      <c r="U418" s="172" t="str">
        <f t="shared" ca="1" si="27"/>
        <v/>
      </c>
      <c r="V418" s="173" t="str">
        <f ca="1">IF(AND($W418&gt;0,RegimeExecucao="Unitário"),$F418,"")</f>
        <v/>
      </c>
      <c r="W418" s="547">
        <f ca="1">IF($Y418&gt;0,CHOOSE(MATCH(RegimeExecucao,{"Unitário","Global"},0),IF($A418="S",$Y418/$X418,""),($Y418/$X418)*100),0)</f>
        <v>0</v>
      </c>
      <c r="X418" s="384" t="str">
        <f ca="1">IF($Y418&gt;0,CHOOSE(MATCH(RegimeExecucao,{"Unitário","Global"},0),IF($A418="S",ROUND($H418,ORÇAMENTO!$AF$10),""),ROUND($I418,ORÇAMENTO!$AF$11)),"")</f>
        <v/>
      </c>
      <c r="Y418" s="384">
        <f t="shared" ca="1" si="28"/>
        <v>0</v>
      </c>
      <c r="Z418" s="572"/>
      <c r="AB418" s="382"/>
      <c r="AC418" s="516"/>
      <c r="AD418" s="516"/>
      <c r="AE418" s="516"/>
      <c r="AF418" s="516"/>
      <c r="AG418" s="516"/>
      <c r="AH418" s="516"/>
      <c r="AI418" s="516"/>
      <c r="AJ418" s="516"/>
      <c r="AK418" s="516"/>
      <c r="AL418" s="516"/>
      <c r="AM418" s="383"/>
      <c r="AO418">
        <f ca="1">IF($A418="S",IF(BM!$I418=0,0,CHOOSE(MATCH(RegimeExecucao,{"Global","Unitário"},0),ROUND(ROUND(BM.MEDAcumulado,15-13*BM!$A$9)/100*BM!$I418,15-13*ORÇAMENTO!$AF$11),ROUND(ROUND(BM.MEDAcumulado,15-13*BM!$A$9)*ROUND(BM!$H418,15-13*ORÇAMENTO!$AF$10),15-13*ORÇAMENTO!$AF$11))),IF($A418=0,0,ROUND(SomaAgrupBM,15-13*ORÇAMENTO!$AF$11)))</f>
        <v>0</v>
      </c>
    </row>
    <row r="419" spans="1:41" ht="38.25" x14ac:dyDescent="0.2">
      <c r="A419" t="str">
        <f ca="1">ORÇAMENTO!C419</f>
        <v>S</v>
      </c>
      <c r="B419">
        <f ca="1">ORÇAMENTO!D419</f>
        <v>0</v>
      </c>
      <c r="C419" s="116" t="str">
        <f t="shared" ca="1" si="22"/>
        <v/>
      </c>
      <c r="D419" s="119" t="str">
        <f ca="1">ORÇAMENTO!O419</f>
        <v>-</v>
      </c>
      <c r="E419" s="172" t="str">
        <f t="shared" ca="1" si="23"/>
        <v>(abra o arquivo 'Referência 02-2025.xlsm)</v>
      </c>
      <c r="F419" s="173" t="str">
        <f ca="1">IF(RegimeExecucao="Global","",ORÇAMENTO.Unidade)</f>
        <v>-</v>
      </c>
      <c r="G419" s="124">
        <f ca="1">IF(RegimeExecucao="Global","",ORÇAMENTO!T419)</f>
        <v>9</v>
      </c>
      <c r="H419" s="124">
        <f ca="1">IF(RegimeExecucao="Global","",ORÇAMENTO!W419)</f>
        <v>0</v>
      </c>
      <c r="I419" s="127">
        <f ca="1">ORÇAMENTO!X419</f>
        <v>0</v>
      </c>
      <c r="J419" s="378">
        <f ca="1">IF($A419="S",IF(CAIXA.Modo,BM.AFAnterior,BM.MEDAnterior),IF(AND(RegimeExecucao="Global",$I419&gt;0,COUNTIF($AB$13:$AM$13,BM.medicao-1)&gt;0),M419/$I419*100,0))</f>
        <v>0</v>
      </c>
      <c r="K419" s="124">
        <f t="shared" ca="1" si="24"/>
        <v>0</v>
      </c>
      <c r="L419" s="379">
        <f ca="1">IF($A419="S",IF(CAIXA.Modo,BM.AFAcumulado,BM.MEDAcumulado),IF(AND(RegimeExecucao="Global",$I419&gt;0,COUNTIF($AB$13:$AM$13,BM.medicao)&gt;0),O419/$I419*100,0))</f>
        <v>0</v>
      </c>
      <c r="M419" s="380">
        <f ca="1">IF($A419="S",VTOTALBM,IF($A419=0,0,ROUND(SomaAgrupBM,15-13*ORÇAMENTO!$AF$11)))</f>
        <v>0</v>
      </c>
      <c r="N419" s="381">
        <f t="shared" ca="1" si="25"/>
        <v>0</v>
      </c>
      <c r="O419" s="127">
        <f ca="1">IF($A419="S",VTOTALBM,IF($A419=0,0,ROUND(SomaAgrupBM,15-13*ORÇAMENTO!$AF$11)))</f>
        <v>0</v>
      </c>
      <c r="Q419" s="382"/>
      <c r="R419" s="383"/>
      <c r="T419" s="119" t="str">
        <f t="shared" ca="1" si="26"/>
        <v/>
      </c>
      <c r="U419" s="172" t="str">
        <f t="shared" ca="1" si="27"/>
        <v/>
      </c>
      <c r="V419" s="173" t="str">
        <f ca="1">IF(AND($W419&gt;0,RegimeExecucao="Unitário"),$F419,"")</f>
        <v/>
      </c>
      <c r="W419" s="547">
        <f ca="1">IF($Y419&gt;0,CHOOSE(MATCH(RegimeExecucao,{"Unitário","Global"},0),IF($A419="S",$Y419/$X419,""),($Y419/$X419)*100),0)</f>
        <v>0</v>
      </c>
      <c r="X419" s="384" t="str">
        <f ca="1">IF($Y419&gt;0,CHOOSE(MATCH(RegimeExecucao,{"Unitário","Global"},0),IF($A419="S",ROUND($H419,ORÇAMENTO!$AF$10),""),ROUND($I419,ORÇAMENTO!$AF$11)),"")</f>
        <v/>
      </c>
      <c r="Y419" s="384">
        <f t="shared" ca="1" si="28"/>
        <v>0</v>
      </c>
      <c r="Z419" s="572"/>
      <c r="AB419" s="382"/>
      <c r="AC419" s="516"/>
      <c r="AD419" s="516"/>
      <c r="AE419" s="516"/>
      <c r="AF419" s="516"/>
      <c r="AG419" s="516"/>
      <c r="AH419" s="516"/>
      <c r="AI419" s="516"/>
      <c r="AJ419" s="516"/>
      <c r="AK419" s="516"/>
      <c r="AL419" s="516"/>
      <c r="AM419" s="383"/>
      <c r="AO419">
        <f ca="1">IF($A419="S",IF(BM!$I419=0,0,CHOOSE(MATCH(RegimeExecucao,{"Global","Unitário"},0),ROUND(ROUND(BM.MEDAcumulado,15-13*BM!$A$9)/100*BM!$I419,15-13*ORÇAMENTO!$AF$11),ROUND(ROUND(BM.MEDAcumulado,15-13*BM!$A$9)*ROUND(BM!$H419,15-13*ORÇAMENTO!$AF$10),15-13*ORÇAMENTO!$AF$11))),IF($A419=0,0,ROUND(SomaAgrupBM,15-13*ORÇAMENTO!$AF$11)))</f>
        <v>0</v>
      </c>
    </row>
    <row r="420" spans="1:41" ht="25.5" x14ac:dyDescent="0.2">
      <c r="A420" t="str">
        <f ca="1">ORÇAMENTO!C420</f>
        <v>S</v>
      </c>
      <c r="B420">
        <f ca="1">ORÇAMENTO!D420</f>
        <v>0</v>
      </c>
      <c r="C420" s="116" t="str">
        <f t="shared" ca="1" si="22"/>
        <v/>
      </c>
      <c r="D420" s="119" t="str">
        <f ca="1">ORÇAMENTO!O420</f>
        <v>-</v>
      </c>
      <c r="E420" s="172" t="str">
        <f t="shared" ca="1" si="23"/>
        <v>(abra o arquivo 'Referência 02-2025.xlsm)</v>
      </c>
      <c r="F420" s="173" t="str">
        <f ca="1">IF(RegimeExecucao="Global","",ORÇAMENTO.Unidade)</f>
        <v>-</v>
      </c>
      <c r="G420" s="124">
        <f ca="1">IF(RegimeExecucao="Global","",ORÇAMENTO!T420)</f>
        <v>1</v>
      </c>
      <c r="H420" s="124">
        <f ca="1">IF(RegimeExecucao="Global","",ORÇAMENTO!W420)</f>
        <v>0</v>
      </c>
      <c r="I420" s="127">
        <f ca="1">ORÇAMENTO!X420</f>
        <v>0</v>
      </c>
      <c r="J420" s="378">
        <f ca="1">IF($A420="S",IF(CAIXA.Modo,BM.AFAnterior,BM.MEDAnterior),IF(AND(RegimeExecucao="Global",$I420&gt;0,COUNTIF($AB$13:$AM$13,BM.medicao-1)&gt;0),M420/$I420*100,0))</f>
        <v>0</v>
      </c>
      <c r="K420" s="124">
        <f t="shared" ca="1" si="24"/>
        <v>0</v>
      </c>
      <c r="L420" s="379">
        <f ca="1">IF($A420="S",IF(CAIXA.Modo,BM.AFAcumulado,BM.MEDAcumulado),IF(AND(RegimeExecucao="Global",$I420&gt;0,COUNTIF($AB$13:$AM$13,BM.medicao)&gt;0),O420/$I420*100,0))</f>
        <v>0</v>
      </c>
      <c r="M420" s="380">
        <f ca="1">IF($A420="S",VTOTALBM,IF($A420=0,0,ROUND(SomaAgrupBM,15-13*ORÇAMENTO!$AF$11)))</f>
        <v>0</v>
      </c>
      <c r="N420" s="381">
        <f t="shared" ca="1" si="25"/>
        <v>0</v>
      </c>
      <c r="O420" s="127">
        <f ca="1">IF($A420="S",VTOTALBM,IF($A420=0,0,ROUND(SomaAgrupBM,15-13*ORÇAMENTO!$AF$11)))</f>
        <v>0</v>
      </c>
      <c r="Q420" s="382"/>
      <c r="R420" s="383"/>
      <c r="T420" s="119" t="str">
        <f t="shared" ca="1" si="26"/>
        <v/>
      </c>
      <c r="U420" s="172" t="str">
        <f t="shared" ca="1" si="27"/>
        <v/>
      </c>
      <c r="V420" s="173" t="str">
        <f ca="1">IF(AND($W420&gt;0,RegimeExecucao="Unitário"),$F420,"")</f>
        <v/>
      </c>
      <c r="W420" s="547">
        <f ca="1">IF($Y420&gt;0,CHOOSE(MATCH(RegimeExecucao,{"Unitário","Global"},0),IF($A420="S",$Y420/$X420,""),($Y420/$X420)*100),0)</f>
        <v>0</v>
      </c>
      <c r="X420" s="384" t="str">
        <f ca="1">IF($Y420&gt;0,CHOOSE(MATCH(RegimeExecucao,{"Unitário","Global"},0),IF($A420="S",ROUND($H420,ORÇAMENTO!$AF$10),""),ROUND($I420,ORÇAMENTO!$AF$11)),"")</f>
        <v/>
      </c>
      <c r="Y420" s="384">
        <f t="shared" ca="1" si="28"/>
        <v>0</v>
      </c>
      <c r="Z420" s="572"/>
      <c r="AB420" s="382"/>
      <c r="AC420" s="516"/>
      <c r="AD420" s="516"/>
      <c r="AE420" s="516"/>
      <c r="AF420" s="516"/>
      <c r="AG420" s="516"/>
      <c r="AH420" s="516"/>
      <c r="AI420" s="516"/>
      <c r="AJ420" s="516"/>
      <c r="AK420" s="516"/>
      <c r="AL420" s="516"/>
      <c r="AM420" s="383"/>
      <c r="AO420">
        <f ca="1">IF($A420="S",IF(BM!$I420=0,0,CHOOSE(MATCH(RegimeExecucao,{"Global","Unitário"},0),ROUND(ROUND(BM.MEDAcumulado,15-13*BM!$A$9)/100*BM!$I420,15-13*ORÇAMENTO!$AF$11),ROUND(ROUND(BM.MEDAcumulado,15-13*BM!$A$9)*ROUND(BM!$H420,15-13*ORÇAMENTO!$AF$10),15-13*ORÇAMENTO!$AF$11))),IF($A420=0,0,ROUND(SomaAgrupBM,15-13*ORÇAMENTO!$AF$11)))</f>
        <v>0</v>
      </c>
    </row>
    <row r="421" spans="1:41" ht="25.5" x14ac:dyDescent="0.2">
      <c r="A421" t="str">
        <f ca="1">ORÇAMENTO!C421</f>
        <v>S</v>
      </c>
      <c r="B421">
        <f ca="1">ORÇAMENTO!D421</f>
        <v>0</v>
      </c>
      <c r="C421" s="116" t="str">
        <f t="shared" ca="1" si="22"/>
        <v/>
      </c>
      <c r="D421" s="119" t="str">
        <f ca="1">ORÇAMENTO!O421</f>
        <v>-</v>
      </c>
      <c r="E421" s="172" t="str">
        <f t="shared" ca="1" si="23"/>
        <v>(abra o arquivo 'Referência 02-2025.xlsm)</v>
      </c>
      <c r="F421" s="173" t="str">
        <f ca="1">IF(RegimeExecucao="Global","",ORÇAMENTO.Unidade)</f>
        <v>-</v>
      </c>
      <c r="G421" s="124">
        <f ca="1">IF(RegimeExecucao="Global","",ORÇAMENTO!T421)</f>
        <v>27</v>
      </c>
      <c r="H421" s="124">
        <f ca="1">IF(RegimeExecucao="Global","",ORÇAMENTO!W421)</f>
        <v>0</v>
      </c>
      <c r="I421" s="127">
        <f ca="1">ORÇAMENTO!X421</f>
        <v>0</v>
      </c>
      <c r="J421" s="378">
        <f ca="1">IF($A421="S",IF(CAIXA.Modo,BM.AFAnterior,BM.MEDAnterior),IF(AND(RegimeExecucao="Global",$I421&gt;0,COUNTIF($AB$13:$AM$13,BM.medicao-1)&gt;0),M421/$I421*100,0))</f>
        <v>0</v>
      </c>
      <c r="K421" s="124">
        <f t="shared" ca="1" si="24"/>
        <v>0</v>
      </c>
      <c r="L421" s="379">
        <f ca="1">IF($A421="S",IF(CAIXA.Modo,BM.AFAcumulado,BM.MEDAcumulado),IF(AND(RegimeExecucao="Global",$I421&gt;0,COUNTIF($AB$13:$AM$13,BM.medicao)&gt;0),O421/$I421*100,0))</f>
        <v>0</v>
      </c>
      <c r="M421" s="380">
        <f ca="1">IF($A421="S",VTOTALBM,IF($A421=0,0,ROUND(SomaAgrupBM,15-13*ORÇAMENTO!$AF$11)))</f>
        <v>0</v>
      </c>
      <c r="N421" s="381">
        <f t="shared" ca="1" si="25"/>
        <v>0</v>
      </c>
      <c r="O421" s="127">
        <f ca="1">IF($A421="S",VTOTALBM,IF($A421=0,0,ROUND(SomaAgrupBM,15-13*ORÇAMENTO!$AF$11)))</f>
        <v>0</v>
      </c>
      <c r="Q421" s="382"/>
      <c r="R421" s="383"/>
      <c r="T421" s="119" t="str">
        <f t="shared" ca="1" si="26"/>
        <v/>
      </c>
      <c r="U421" s="172" t="str">
        <f t="shared" ca="1" si="27"/>
        <v/>
      </c>
      <c r="V421" s="173" t="str">
        <f ca="1">IF(AND($W421&gt;0,RegimeExecucao="Unitário"),$F421,"")</f>
        <v/>
      </c>
      <c r="W421" s="547">
        <f ca="1">IF($Y421&gt;0,CHOOSE(MATCH(RegimeExecucao,{"Unitário","Global"},0),IF($A421="S",$Y421/$X421,""),($Y421/$X421)*100),0)</f>
        <v>0</v>
      </c>
      <c r="X421" s="384" t="str">
        <f ca="1">IF($Y421&gt;0,CHOOSE(MATCH(RegimeExecucao,{"Unitário","Global"},0),IF($A421="S",ROUND($H421,ORÇAMENTO!$AF$10),""),ROUND($I421,ORÇAMENTO!$AF$11)),"")</f>
        <v/>
      </c>
      <c r="Y421" s="384">
        <f t="shared" ca="1" si="28"/>
        <v>0</v>
      </c>
      <c r="Z421" s="572"/>
      <c r="AB421" s="382"/>
      <c r="AC421" s="516"/>
      <c r="AD421" s="516"/>
      <c r="AE421" s="516"/>
      <c r="AF421" s="516"/>
      <c r="AG421" s="516"/>
      <c r="AH421" s="516"/>
      <c r="AI421" s="516"/>
      <c r="AJ421" s="516"/>
      <c r="AK421" s="516"/>
      <c r="AL421" s="516"/>
      <c r="AM421" s="383"/>
      <c r="AO421">
        <f ca="1">IF($A421="S",IF(BM!$I421=0,0,CHOOSE(MATCH(RegimeExecucao,{"Global","Unitário"},0),ROUND(ROUND(BM.MEDAcumulado,15-13*BM!$A$9)/100*BM!$I421,15-13*ORÇAMENTO!$AF$11),ROUND(ROUND(BM.MEDAcumulado,15-13*BM!$A$9)*ROUND(BM!$H421,15-13*ORÇAMENTO!$AF$10),15-13*ORÇAMENTO!$AF$11))),IF($A421=0,0,ROUND(SomaAgrupBM,15-13*ORÇAMENTO!$AF$11)))</f>
        <v>0</v>
      </c>
    </row>
    <row r="422" spans="1:41" ht="25.5" x14ac:dyDescent="0.2">
      <c r="A422" t="str">
        <f ca="1">ORÇAMENTO!C422</f>
        <v>S</v>
      </c>
      <c r="B422">
        <f ca="1">ORÇAMENTO!D422</f>
        <v>0</v>
      </c>
      <c r="C422" s="116" t="str">
        <f t="shared" ca="1" si="22"/>
        <v/>
      </c>
      <c r="D422" s="119" t="str">
        <f ca="1">ORÇAMENTO!O422</f>
        <v>-</v>
      </c>
      <c r="E422" s="172" t="str">
        <f t="shared" ca="1" si="23"/>
        <v>(abra o arquivo 'Referência 02-2025.xlsm)</v>
      </c>
      <c r="F422" s="173" t="str">
        <f ca="1">IF(RegimeExecucao="Global","",ORÇAMENTO.Unidade)</f>
        <v>-</v>
      </c>
      <c r="G422" s="124">
        <f ca="1">IF(RegimeExecucao="Global","",ORÇAMENTO!T422)</f>
        <v>20</v>
      </c>
      <c r="H422" s="124">
        <f ca="1">IF(RegimeExecucao="Global","",ORÇAMENTO!W422)</f>
        <v>0</v>
      </c>
      <c r="I422" s="127">
        <f ca="1">ORÇAMENTO!X422</f>
        <v>0</v>
      </c>
      <c r="J422" s="378">
        <f ca="1">IF($A422="S",IF(CAIXA.Modo,BM.AFAnterior,BM.MEDAnterior),IF(AND(RegimeExecucao="Global",$I422&gt;0,COUNTIF($AB$13:$AM$13,BM.medicao-1)&gt;0),M422/$I422*100,0))</f>
        <v>0</v>
      </c>
      <c r="K422" s="124">
        <f t="shared" ca="1" si="24"/>
        <v>0</v>
      </c>
      <c r="L422" s="379">
        <f ca="1">IF($A422="S",IF(CAIXA.Modo,BM.AFAcumulado,BM.MEDAcumulado),IF(AND(RegimeExecucao="Global",$I422&gt;0,COUNTIF($AB$13:$AM$13,BM.medicao)&gt;0),O422/$I422*100,0))</f>
        <v>0</v>
      </c>
      <c r="M422" s="380">
        <f ca="1">IF($A422="S",VTOTALBM,IF($A422=0,0,ROUND(SomaAgrupBM,15-13*ORÇAMENTO!$AF$11)))</f>
        <v>0</v>
      </c>
      <c r="N422" s="381">
        <f t="shared" ca="1" si="25"/>
        <v>0</v>
      </c>
      <c r="O422" s="127">
        <f ca="1">IF($A422="S",VTOTALBM,IF($A422=0,0,ROUND(SomaAgrupBM,15-13*ORÇAMENTO!$AF$11)))</f>
        <v>0</v>
      </c>
      <c r="Q422" s="382"/>
      <c r="R422" s="383"/>
      <c r="T422" s="119" t="str">
        <f t="shared" ca="1" si="26"/>
        <v/>
      </c>
      <c r="U422" s="172" t="str">
        <f t="shared" ca="1" si="27"/>
        <v/>
      </c>
      <c r="V422" s="173" t="str">
        <f ca="1">IF(AND($W422&gt;0,RegimeExecucao="Unitário"),$F422,"")</f>
        <v/>
      </c>
      <c r="W422" s="547">
        <f ca="1">IF($Y422&gt;0,CHOOSE(MATCH(RegimeExecucao,{"Unitário","Global"},0),IF($A422="S",$Y422/$X422,""),($Y422/$X422)*100),0)</f>
        <v>0</v>
      </c>
      <c r="X422" s="384" t="str">
        <f ca="1">IF($Y422&gt;0,CHOOSE(MATCH(RegimeExecucao,{"Unitário","Global"},0),IF($A422="S",ROUND($H422,ORÇAMENTO!$AF$10),""),ROUND($I422,ORÇAMENTO!$AF$11)),"")</f>
        <v/>
      </c>
      <c r="Y422" s="384">
        <f t="shared" ca="1" si="28"/>
        <v>0</v>
      </c>
      <c r="Z422" s="572"/>
      <c r="AB422" s="382"/>
      <c r="AC422" s="516"/>
      <c r="AD422" s="516"/>
      <c r="AE422" s="516"/>
      <c r="AF422" s="516"/>
      <c r="AG422" s="516"/>
      <c r="AH422" s="516"/>
      <c r="AI422" s="516"/>
      <c r="AJ422" s="516"/>
      <c r="AK422" s="516"/>
      <c r="AL422" s="516"/>
      <c r="AM422" s="383"/>
      <c r="AO422">
        <f ca="1">IF($A422="S",IF(BM!$I422=0,0,CHOOSE(MATCH(RegimeExecucao,{"Global","Unitário"},0),ROUND(ROUND(BM.MEDAcumulado,15-13*BM!$A$9)/100*BM!$I422,15-13*ORÇAMENTO!$AF$11),ROUND(ROUND(BM.MEDAcumulado,15-13*BM!$A$9)*ROUND(BM!$H422,15-13*ORÇAMENTO!$AF$10),15-13*ORÇAMENTO!$AF$11))),IF($A422=0,0,ROUND(SomaAgrupBM,15-13*ORÇAMENTO!$AF$11)))</f>
        <v>0</v>
      </c>
    </row>
    <row r="423" spans="1:41" ht="38.25" x14ac:dyDescent="0.2">
      <c r="A423" t="str">
        <f ca="1">ORÇAMENTO!C423</f>
        <v>S</v>
      </c>
      <c r="B423">
        <f ca="1">ORÇAMENTO!D423</f>
        <v>0</v>
      </c>
      <c r="C423" s="116" t="str">
        <f t="shared" ca="1" si="22"/>
        <v/>
      </c>
      <c r="D423" s="119" t="str">
        <f ca="1">ORÇAMENTO!O423</f>
        <v>-</v>
      </c>
      <c r="E423" s="172" t="str">
        <f t="shared" ca="1" si="23"/>
        <v>(abra o arquivo 'Referência 02-2025.xlsm)</v>
      </c>
      <c r="F423" s="173" t="str">
        <f ca="1">IF(RegimeExecucao="Global","",ORÇAMENTO.Unidade)</f>
        <v>-</v>
      </c>
      <c r="G423" s="124">
        <f ca="1">IF(RegimeExecucao="Global","",ORÇAMENTO!T423)</f>
        <v>23</v>
      </c>
      <c r="H423" s="124">
        <f ca="1">IF(RegimeExecucao="Global","",ORÇAMENTO!W423)</f>
        <v>0</v>
      </c>
      <c r="I423" s="127">
        <f ca="1">ORÇAMENTO!X423</f>
        <v>0</v>
      </c>
      <c r="J423" s="378">
        <f ca="1">IF($A423="S",IF(CAIXA.Modo,BM.AFAnterior,BM.MEDAnterior),IF(AND(RegimeExecucao="Global",$I423&gt;0,COUNTIF($AB$13:$AM$13,BM.medicao-1)&gt;0),M423/$I423*100,0))</f>
        <v>0</v>
      </c>
      <c r="K423" s="124">
        <f t="shared" ca="1" si="24"/>
        <v>0</v>
      </c>
      <c r="L423" s="379">
        <f ca="1">IF($A423="S",IF(CAIXA.Modo,BM.AFAcumulado,BM.MEDAcumulado),IF(AND(RegimeExecucao="Global",$I423&gt;0,COUNTIF($AB$13:$AM$13,BM.medicao)&gt;0),O423/$I423*100,0))</f>
        <v>0</v>
      </c>
      <c r="M423" s="380">
        <f ca="1">IF($A423="S",VTOTALBM,IF($A423=0,0,ROUND(SomaAgrupBM,15-13*ORÇAMENTO!$AF$11)))</f>
        <v>0</v>
      </c>
      <c r="N423" s="381">
        <f t="shared" ca="1" si="25"/>
        <v>0</v>
      </c>
      <c r="O423" s="127">
        <f ca="1">IF($A423="S",VTOTALBM,IF($A423=0,0,ROUND(SomaAgrupBM,15-13*ORÇAMENTO!$AF$11)))</f>
        <v>0</v>
      </c>
      <c r="Q423" s="382"/>
      <c r="R423" s="383"/>
      <c r="T423" s="119" t="str">
        <f t="shared" ca="1" si="26"/>
        <v/>
      </c>
      <c r="U423" s="172" t="str">
        <f t="shared" ca="1" si="27"/>
        <v/>
      </c>
      <c r="V423" s="173" t="str">
        <f ca="1">IF(AND($W423&gt;0,RegimeExecucao="Unitário"),$F423,"")</f>
        <v/>
      </c>
      <c r="W423" s="547">
        <f ca="1">IF($Y423&gt;0,CHOOSE(MATCH(RegimeExecucao,{"Unitário","Global"},0),IF($A423="S",$Y423/$X423,""),($Y423/$X423)*100),0)</f>
        <v>0</v>
      </c>
      <c r="X423" s="384" t="str">
        <f ca="1">IF($Y423&gt;0,CHOOSE(MATCH(RegimeExecucao,{"Unitário","Global"},0),IF($A423="S",ROUND($H423,ORÇAMENTO!$AF$10),""),ROUND($I423,ORÇAMENTO!$AF$11)),"")</f>
        <v/>
      </c>
      <c r="Y423" s="384">
        <f t="shared" ca="1" si="28"/>
        <v>0</v>
      </c>
      <c r="Z423" s="572"/>
      <c r="AB423" s="382"/>
      <c r="AC423" s="516"/>
      <c r="AD423" s="516"/>
      <c r="AE423" s="516"/>
      <c r="AF423" s="516"/>
      <c r="AG423" s="516"/>
      <c r="AH423" s="516"/>
      <c r="AI423" s="516"/>
      <c r="AJ423" s="516"/>
      <c r="AK423" s="516"/>
      <c r="AL423" s="516"/>
      <c r="AM423" s="383"/>
      <c r="AO423">
        <f ca="1">IF($A423="S",IF(BM!$I423=0,0,CHOOSE(MATCH(RegimeExecucao,{"Global","Unitário"},0),ROUND(ROUND(BM.MEDAcumulado,15-13*BM!$A$9)/100*BM!$I423,15-13*ORÇAMENTO!$AF$11),ROUND(ROUND(BM.MEDAcumulado,15-13*BM!$A$9)*ROUND(BM!$H423,15-13*ORÇAMENTO!$AF$10),15-13*ORÇAMENTO!$AF$11))),IF($A423=0,0,ROUND(SomaAgrupBM,15-13*ORÇAMENTO!$AF$11)))</f>
        <v>0</v>
      </c>
    </row>
    <row r="424" spans="1:41" ht="25.5" x14ac:dyDescent="0.2">
      <c r="A424" t="str">
        <f ca="1">ORÇAMENTO!C424</f>
        <v>S</v>
      </c>
      <c r="B424">
        <f ca="1">ORÇAMENTO!D424</f>
        <v>0</v>
      </c>
      <c r="C424" s="116" t="str">
        <f t="shared" ca="1" si="22"/>
        <v/>
      </c>
      <c r="D424" s="119" t="str">
        <f ca="1">ORÇAMENTO!O424</f>
        <v>-</v>
      </c>
      <c r="E424" s="172" t="str">
        <f t="shared" ca="1" si="23"/>
        <v>(abra o arquivo 'Referência 02-2025.xlsm)</v>
      </c>
      <c r="F424" s="173" t="str">
        <f ca="1">IF(RegimeExecucao="Global","",ORÇAMENTO.Unidade)</f>
        <v>-</v>
      </c>
      <c r="G424" s="124">
        <f ca="1">IF(RegimeExecucao="Global","",ORÇAMENTO!T424)</f>
        <v>16.899999999999999</v>
      </c>
      <c r="H424" s="124">
        <f ca="1">IF(RegimeExecucao="Global","",ORÇAMENTO!W424)</f>
        <v>0</v>
      </c>
      <c r="I424" s="127">
        <f ca="1">ORÇAMENTO!X424</f>
        <v>0</v>
      </c>
      <c r="J424" s="378">
        <f ca="1">IF($A424="S",IF(CAIXA.Modo,BM.AFAnterior,BM.MEDAnterior),IF(AND(RegimeExecucao="Global",$I424&gt;0,COUNTIF($AB$13:$AM$13,BM.medicao-1)&gt;0),M424/$I424*100,0))</f>
        <v>0</v>
      </c>
      <c r="K424" s="124">
        <f t="shared" ca="1" si="24"/>
        <v>0</v>
      </c>
      <c r="L424" s="379">
        <f ca="1">IF($A424="S",IF(CAIXA.Modo,BM.AFAcumulado,BM.MEDAcumulado),IF(AND(RegimeExecucao="Global",$I424&gt;0,COUNTIF($AB$13:$AM$13,BM.medicao)&gt;0),O424/$I424*100,0))</f>
        <v>0</v>
      </c>
      <c r="M424" s="380">
        <f ca="1">IF($A424="S",VTOTALBM,IF($A424=0,0,ROUND(SomaAgrupBM,15-13*ORÇAMENTO!$AF$11)))</f>
        <v>0</v>
      </c>
      <c r="N424" s="381">
        <f t="shared" ca="1" si="25"/>
        <v>0</v>
      </c>
      <c r="O424" s="127">
        <f ca="1">IF($A424="S",VTOTALBM,IF($A424=0,0,ROUND(SomaAgrupBM,15-13*ORÇAMENTO!$AF$11)))</f>
        <v>0</v>
      </c>
      <c r="Q424" s="382"/>
      <c r="R424" s="383"/>
      <c r="T424" s="119" t="str">
        <f t="shared" ca="1" si="26"/>
        <v/>
      </c>
      <c r="U424" s="172" t="str">
        <f t="shared" ca="1" si="27"/>
        <v/>
      </c>
      <c r="V424" s="173" t="str">
        <f ca="1">IF(AND($W424&gt;0,RegimeExecucao="Unitário"),$F424,"")</f>
        <v/>
      </c>
      <c r="W424" s="547">
        <f ca="1">IF($Y424&gt;0,CHOOSE(MATCH(RegimeExecucao,{"Unitário","Global"},0),IF($A424="S",$Y424/$X424,""),($Y424/$X424)*100),0)</f>
        <v>0</v>
      </c>
      <c r="X424" s="384" t="str">
        <f ca="1">IF($Y424&gt;0,CHOOSE(MATCH(RegimeExecucao,{"Unitário","Global"},0),IF($A424="S",ROUND($H424,ORÇAMENTO!$AF$10),""),ROUND($I424,ORÇAMENTO!$AF$11)),"")</f>
        <v/>
      </c>
      <c r="Y424" s="384">
        <f t="shared" ca="1" si="28"/>
        <v>0</v>
      </c>
      <c r="Z424" s="572"/>
      <c r="AB424" s="382"/>
      <c r="AC424" s="516"/>
      <c r="AD424" s="516"/>
      <c r="AE424" s="516"/>
      <c r="AF424" s="516"/>
      <c r="AG424" s="516"/>
      <c r="AH424" s="516"/>
      <c r="AI424" s="516"/>
      <c r="AJ424" s="516"/>
      <c r="AK424" s="516"/>
      <c r="AL424" s="516"/>
      <c r="AM424" s="383"/>
      <c r="AO424">
        <f ca="1">IF($A424="S",IF(BM!$I424=0,0,CHOOSE(MATCH(RegimeExecucao,{"Global","Unitário"},0),ROUND(ROUND(BM.MEDAcumulado,15-13*BM!$A$9)/100*BM!$I424,15-13*ORÇAMENTO!$AF$11),ROUND(ROUND(BM.MEDAcumulado,15-13*BM!$A$9)*ROUND(BM!$H424,15-13*ORÇAMENTO!$AF$10),15-13*ORÇAMENTO!$AF$11))),IF($A424=0,0,ROUND(SomaAgrupBM,15-13*ORÇAMENTO!$AF$11)))</f>
        <v>0</v>
      </c>
    </row>
    <row r="425" spans="1:41" ht="25.5" x14ac:dyDescent="0.2">
      <c r="A425" t="str">
        <f ca="1">ORÇAMENTO!C425</f>
        <v>S</v>
      </c>
      <c r="B425">
        <f ca="1">ORÇAMENTO!D425</f>
        <v>0</v>
      </c>
      <c r="C425" s="116" t="str">
        <f t="shared" ca="1" si="22"/>
        <v/>
      </c>
      <c r="D425" s="119" t="str">
        <f ca="1">ORÇAMENTO!O425</f>
        <v>-</v>
      </c>
      <c r="E425" s="172" t="str">
        <f t="shared" ca="1" si="23"/>
        <v>(abra o arquivo 'Referência 02-2025.xlsm)</v>
      </c>
      <c r="F425" s="173" t="str">
        <f ca="1">IF(RegimeExecucao="Global","",ORÇAMENTO.Unidade)</f>
        <v>-</v>
      </c>
      <c r="G425" s="124">
        <f ca="1">IF(RegimeExecucao="Global","",ORÇAMENTO!T425)</f>
        <v>23</v>
      </c>
      <c r="H425" s="124">
        <f ca="1">IF(RegimeExecucao="Global","",ORÇAMENTO!W425)</f>
        <v>0</v>
      </c>
      <c r="I425" s="127">
        <f ca="1">ORÇAMENTO!X425</f>
        <v>0</v>
      </c>
      <c r="J425" s="378">
        <f ca="1">IF($A425="S",IF(CAIXA.Modo,BM.AFAnterior,BM.MEDAnterior),IF(AND(RegimeExecucao="Global",$I425&gt;0,COUNTIF($AB$13:$AM$13,BM.medicao-1)&gt;0),M425/$I425*100,0))</f>
        <v>0</v>
      </c>
      <c r="K425" s="124">
        <f t="shared" ca="1" si="24"/>
        <v>0</v>
      </c>
      <c r="L425" s="379">
        <f ca="1">IF($A425="S",IF(CAIXA.Modo,BM.AFAcumulado,BM.MEDAcumulado),IF(AND(RegimeExecucao="Global",$I425&gt;0,COUNTIF($AB$13:$AM$13,BM.medicao)&gt;0),O425/$I425*100,0))</f>
        <v>0</v>
      </c>
      <c r="M425" s="380">
        <f ca="1">IF($A425="S",VTOTALBM,IF($A425=0,0,ROUND(SomaAgrupBM,15-13*ORÇAMENTO!$AF$11)))</f>
        <v>0</v>
      </c>
      <c r="N425" s="381">
        <f t="shared" ca="1" si="25"/>
        <v>0</v>
      </c>
      <c r="O425" s="127">
        <f ca="1">IF($A425="S",VTOTALBM,IF($A425=0,0,ROUND(SomaAgrupBM,15-13*ORÇAMENTO!$AF$11)))</f>
        <v>0</v>
      </c>
      <c r="Q425" s="382"/>
      <c r="R425" s="383"/>
      <c r="T425" s="119" t="str">
        <f t="shared" ca="1" si="26"/>
        <v/>
      </c>
      <c r="U425" s="172" t="str">
        <f t="shared" ca="1" si="27"/>
        <v/>
      </c>
      <c r="V425" s="173" t="str">
        <f ca="1">IF(AND($W425&gt;0,RegimeExecucao="Unitário"),$F425,"")</f>
        <v/>
      </c>
      <c r="W425" s="547">
        <f ca="1">IF($Y425&gt;0,CHOOSE(MATCH(RegimeExecucao,{"Unitário","Global"},0),IF($A425="S",$Y425/$X425,""),($Y425/$X425)*100),0)</f>
        <v>0</v>
      </c>
      <c r="X425" s="384" t="str">
        <f ca="1">IF($Y425&gt;0,CHOOSE(MATCH(RegimeExecucao,{"Unitário","Global"},0),IF($A425="S",ROUND($H425,ORÇAMENTO!$AF$10),""),ROUND($I425,ORÇAMENTO!$AF$11)),"")</f>
        <v/>
      </c>
      <c r="Y425" s="384">
        <f t="shared" ca="1" si="28"/>
        <v>0</v>
      </c>
      <c r="Z425" s="572"/>
      <c r="AB425" s="382"/>
      <c r="AC425" s="516"/>
      <c r="AD425" s="516"/>
      <c r="AE425" s="516"/>
      <c r="AF425" s="516"/>
      <c r="AG425" s="516"/>
      <c r="AH425" s="516"/>
      <c r="AI425" s="516"/>
      <c r="AJ425" s="516"/>
      <c r="AK425" s="516"/>
      <c r="AL425" s="516"/>
      <c r="AM425" s="383"/>
      <c r="AO425">
        <f ca="1">IF($A425="S",IF(BM!$I425=0,0,CHOOSE(MATCH(RegimeExecucao,{"Global","Unitário"},0),ROUND(ROUND(BM.MEDAcumulado,15-13*BM!$A$9)/100*BM!$I425,15-13*ORÇAMENTO!$AF$11),ROUND(ROUND(BM.MEDAcumulado,15-13*BM!$A$9)*ROUND(BM!$H425,15-13*ORÇAMENTO!$AF$10),15-13*ORÇAMENTO!$AF$11))),IF($A425=0,0,ROUND(SomaAgrupBM,15-13*ORÇAMENTO!$AF$11)))</f>
        <v>0</v>
      </c>
    </row>
    <row r="426" spans="1:41" x14ac:dyDescent="0.2">
      <c r="A426">
        <f ca="1">ORÇAMENTO!C426</f>
        <v>2</v>
      </c>
      <c r="B426">
        <f ca="1">ORÇAMENTO!D426</f>
        <v>61</v>
      </c>
      <c r="C426" s="116" t="str">
        <f t="shared" ref="C426:C477" ca="1" si="42">IF(OR($I426&gt;0,$A426=1,$A426=2,$A426=3,$A426=4),"F","")</f>
        <v>F</v>
      </c>
      <c r="D426" s="119" t="str">
        <f ca="1">ORÇAMENTO!O426</f>
        <v>1.16.</v>
      </c>
      <c r="E426" s="172" t="str">
        <f t="shared" ref="E426:E449" ca="1" si="43">ORÇAMENTO.Descricao</f>
        <v>SISTEMA DE PROTEÇÃO CONTRA INCÊNDIO</v>
      </c>
      <c r="F426" s="173" t="str">
        <f ca="1">IF(RegimeExecucao="Global","",ORÇAMENTO.Unidade)</f>
        <v>-</v>
      </c>
      <c r="G426" s="124">
        <f ca="1">IF(RegimeExecucao="Global","",ORÇAMENTO!T426)</f>
        <v>0</v>
      </c>
      <c r="H426" s="124">
        <f ca="1">IF(RegimeExecucao="Global","",ORÇAMENTO!W426)</f>
        <v>0</v>
      </c>
      <c r="I426" s="127">
        <f ca="1">ORÇAMENTO!X426</f>
        <v>0</v>
      </c>
      <c r="J426" s="378">
        <f ca="1">IF($A426="S",IF(CAIXA.Modo,BM.AFAnterior,BM.MEDAnterior),IF(AND(RegimeExecucao="Global",$I426&gt;0,COUNTIF($AB$13:$AM$13,BM.medicao-1)&gt;0),M426/$I426*100,0))</f>
        <v>0</v>
      </c>
      <c r="K426" s="124">
        <f t="shared" ref="K426:K477" ca="1" si="44">L426-J426</f>
        <v>0</v>
      </c>
      <c r="L426" s="379">
        <f ca="1">IF($A426="S",IF(CAIXA.Modo,BM.AFAcumulado,BM.MEDAcumulado),IF(AND(RegimeExecucao="Global",$I426&gt;0,COUNTIF($AB$13:$AM$13,BM.medicao)&gt;0),O426/$I426*100,0))</f>
        <v>0</v>
      </c>
      <c r="M426" s="380">
        <f ca="1">IF($A426="S",VTOTALBM,IF($A426=0,0,ROUND(SomaAgrupBM,15-13*ORÇAMENTO!$AF$11)))</f>
        <v>0</v>
      </c>
      <c r="N426" s="381">
        <f t="shared" ref="N426:N477" ca="1" si="45">O426-M426</f>
        <v>0</v>
      </c>
      <c r="O426" s="127">
        <f ca="1">IF($A426="S",VTOTALBM,IF($A426=0,0,ROUND(SomaAgrupBM,15-13*ORÇAMENTO!$AF$11)))</f>
        <v>0</v>
      </c>
      <c r="Q426" s="382"/>
      <c r="R426" s="383"/>
      <c r="T426" s="119" t="str">
        <f t="shared" ref="T426:T477" ca="1" si="46">IF($W426&gt;0,$D426,"")</f>
        <v/>
      </c>
      <c r="U426" s="172" t="str">
        <f t="shared" ref="U426:U477" ca="1" si="47">IF($W426&gt;0,$E426,"")</f>
        <v/>
      </c>
      <c r="V426" s="173" t="str">
        <f ca="1">IF(AND($W426&gt;0,RegimeExecucao="Unitário"),$F426,"")</f>
        <v/>
      </c>
      <c r="W426" s="547">
        <f ca="1">IF($Y426&gt;0,CHOOSE(MATCH(RegimeExecucao,{"Unitário","Global"},0),IF($A426="S",$Y426/$X426,""),($Y426/$X426)*100),0)</f>
        <v>0</v>
      </c>
      <c r="X426" s="384" t="str">
        <f ca="1">IF($Y426&gt;0,CHOOSE(MATCH(RegimeExecucao,{"Unitário","Global"},0),IF($A426="S",ROUND($H426,ORÇAMENTO!$AF$10),""),ROUND($I426,ORÇAMENTO!$AF$11)),"")</f>
        <v/>
      </c>
      <c r="Y426" s="384">
        <f t="shared" ref="Y426:Y477" ca="1" si="48">AO426-O426</f>
        <v>0</v>
      </c>
      <c r="Z426" s="572"/>
      <c r="AB426" s="382"/>
      <c r="AC426" s="516"/>
      <c r="AD426" s="516"/>
      <c r="AE426" s="516"/>
      <c r="AF426" s="516"/>
      <c r="AG426" s="516"/>
      <c r="AH426" s="516"/>
      <c r="AI426" s="516"/>
      <c r="AJ426" s="516"/>
      <c r="AK426" s="516"/>
      <c r="AL426" s="516"/>
      <c r="AM426" s="383"/>
      <c r="AO426">
        <f ca="1">IF($A426="S",IF(BM!$I426=0,0,CHOOSE(MATCH(RegimeExecucao,{"Global","Unitário"},0),ROUND(ROUND(BM.MEDAcumulado,15-13*BM!$A$9)/100*BM!$I426,15-13*ORÇAMENTO!$AF$11),ROUND(ROUND(BM.MEDAcumulado,15-13*BM!$A$9)*ROUND(BM!$H426,15-13*ORÇAMENTO!$AF$10),15-13*ORÇAMENTO!$AF$11))),IF($A426=0,0,ROUND(SomaAgrupBM,15-13*ORÇAMENTO!$AF$11)))</f>
        <v>0</v>
      </c>
    </row>
    <row r="427" spans="1:41" x14ac:dyDescent="0.2">
      <c r="A427">
        <f ca="1">ORÇAMENTO!C427</f>
        <v>3</v>
      </c>
      <c r="B427">
        <f ca="1">ORÇAMENTO!D427</f>
        <v>3</v>
      </c>
      <c r="C427" s="116" t="str">
        <f t="shared" ca="1" si="42"/>
        <v>F</v>
      </c>
      <c r="D427" s="119" t="str">
        <f ca="1">ORÇAMENTO!O427</f>
        <v>1.16.1.</v>
      </c>
      <c r="E427" s="172" t="str">
        <f t="shared" ca="1" si="43"/>
        <v>EXTINTORES</v>
      </c>
      <c r="F427" s="173" t="str">
        <f ca="1">IF(RegimeExecucao="Global","",ORÇAMENTO.Unidade)</f>
        <v>-</v>
      </c>
      <c r="G427" s="124">
        <f ca="1">IF(RegimeExecucao="Global","",ORÇAMENTO!T427)</f>
        <v>0</v>
      </c>
      <c r="H427" s="124">
        <f ca="1">IF(RegimeExecucao="Global","",ORÇAMENTO!W427)</f>
        <v>0</v>
      </c>
      <c r="I427" s="127">
        <f ca="1">ORÇAMENTO!X427</f>
        <v>0</v>
      </c>
      <c r="J427" s="378">
        <f ca="1">IF($A427="S",IF(CAIXA.Modo,BM.AFAnterior,BM.MEDAnterior),IF(AND(RegimeExecucao="Global",$I427&gt;0,COUNTIF($AB$13:$AM$13,BM.medicao-1)&gt;0),M427/$I427*100,0))</f>
        <v>0</v>
      </c>
      <c r="K427" s="124">
        <f t="shared" ca="1" si="44"/>
        <v>0</v>
      </c>
      <c r="L427" s="379">
        <f ca="1">IF($A427="S",IF(CAIXA.Modo,BM.AFAcumulado,BM.MEDAcumulado),IF(AND(RegimeExecucao="Global",$I427&gt;0,COUNTIF($AB$13:$AM$13,BM.medicao)&gt;0),O427/$I427*100,0))</f>
        <v>0</v>
      </c>
      <c r="M427" s="380">
        <f ca="1">IF($A427="S",VTOTALBM,IF($A427=0,0,ROUND(SomaAgrupBM,15-13*ORÇAMENTO!$AF$11)))</f>
        <v>0</v>
      </c>
      <c r="N427" s="381">
        <f t="shared" ca="1" si="45"/>
        <v>0</v>
      </c>
      <c r="O427" s="127">
        <f ca="1">IF($A427="S",VTOTALBM,IF($A427=0,0,ROUND(SomaAgrupBM,15-13*ORÇAMENTO!$AF$11)))</f>
        <v>0</v>
      </c>
      <c r="Q427" s="382"/>
      <c r="R427" s="383"/>
      <c r="T427" s="119" t="str">
        <f t="shared" ca="1" si="46"/>
        <v/>
      </c>
      <c r="U427" s="172" t="str">
        <f t="shared" ca="1" si="47"/>
        <v/>
      </c>
      <c r="V427" s="173" t="str">
        <f ca="1">IF(AND($W427&gt;0,RegimeExecucao="Unitário"),$F427,"")</f>
        <v/>
      </c>
      <c r="W427" s="547">
        <f ca="1">IF($Y427&gt;0,CHOOSE(MATCH(RegimeExecucao,{"Unitário","Global"},0),IF($A427="S",$Y427/$X427,""),($Y427/$X427)*100),0)</f>
        <v>0</v>
      </c>
      <c r="X427" s="384" t="str">
        <f ca="1">IF($Y427&gt;0,CHOOSE(MATCH(RegimeExecucao,{"Unitário","Global"},0),IF($A427="S",ROUND($H427,ORÇAMENTO!$AF$10),""),ROUND($I427,ORÇAMENTO!$AF$11)),"")</f>
        <v/>
      </c>
      <c r="Y427" s="384">
        <f t="shared" ca="1" si="48"/>
        <v>0</v>
      </c>
      <c r="Z427" s="572"/>
      <c r="AB427" s="382"/>
      <c r="AC427" s="516"/>
      <c r="AD427" s="516"/>
      <c r="AE427" s="516"/>
      <c r="AF427" s="516"/>
      <c r="AG427" s="516"/>
      <c r="AH427" s="516"/>
      <c r="AI427" s="516"/>
      <c r="AJ427" s="516"/>
      <c r="AK427" s="516"/>
      <c r="AL427" s="516"/>
      <c r="AM427" s="383"/>
      <c r="AO427">
        <f ca="1">IF($A427="S",IF(BM!$I427=0,0,CHOOSE(MATCH(RegimeExecucao,{"Global","Unitário"},0),ROUND(ROUND(BM.MEDAcumulado,15-13*BM!$A$9)/100*BM!$I427,15-13*ORÇAMENTO!$AF$11),ROUND(ROUND(BM.MEDAcumulado,15-13*BM!$A$9)*ROUND(BM!$H427,15-13*ORÇAMENTO!$AF$10),15-13*ORÇAMENTO!$AF$11))),IF($A427=0,0,ROUND(SomaAgrupBM,15-13*ORÇAMENTO!$AF$11)))</f>
        <v>0</v>
      </c>
    </row>
    <row r="428" spans="1:41" ht="25.5" x14ac:dyDescent="0.2">
      <c r="A428" t="str">
        <f ca="1">ORÇAMENTO!C428</f>
        <v>S</v>
      </c>
      <c r="B428">
        <f ca="1">ORÇAMENTO!D428</f>
        <v>0</v>
      </c>
      <c r="C428" s="116" t="str">
        <f t="shared" ca="1" si="42"/>
        <v/>
      </c>
      <c r="D428" s="119" t="str">
        <f ca="1">ORÇAMENTO!O428</f>
        <v>-</v>
      </c>
      <c r="E428" s="172" t="str">
        <f t="shared" ca="1" si="43"/>
        <v>(abra o arquivo 'Referência 02-2025.xlsm)</v>
      </c>
      <c r="F428" s="173" t="str">
        <f ca="1">IF(RegimeExecucao="Global","",ORÇAMENTO.Unidade)</f>
        <v>-</v>
      </c>
      <c r="G428" s="124">
        <f ca="1">IF(RegimeExecucao="Global","",ORÇAMENTO!T428)</f>
        <v>8</v>
      </c>
      <c r="H428" s="124">
        <f ca="1">IF(RegimeExecucao="Global","",ORÇAMENTO!W428)</f>
        <v>0</v>
      </c>
      <c r="I428" s="127">
        <f ca="1">ORÇAMENTO!X428</f>
        <v>0</v>
      </c>
      <c r="J428" s="378">
        <f ca="1">IF($A428="S",IF(CAIXA.Modo,BM.AFAnterior,BM.MEDAnterior),IF(AND(RegimeExecucao="Global",$I428&gt;0,COUNTIF($AB$13:$AM$13,BM.medicao-1)&gt;0),M428/$I428*100,0))</f>
        <v>0</v>
      </c>
      <c r="K428" s="124">
        <f t="shared" ca="1" si="44"/>
        <v>0</v>
      </c>
      <c r="L428" s="379">
        <f ca="1">IF($A428="S",IF(CAIXA.Modo,BM.AFAcumulado,BM.MEDAcumulado),IF(AND(RegimeExecucao="Global",$I428&gt;0,COUNTIF($AB$13:$AM$13,BM.medicao)&gt;0),O428/$I428*100,0))</f>
        <v>0</v>
      </c>
      <c r="M428" s="380">
        <f ca="1">IF($A428="S",VTOTALBM,IF($A428=0,0,ROUND(SomaAgrupBM,15-13*ORÇAMENTO!$AF$11)))</f>
        <v>0</v>
      </c>
      <c r="N428" s="381">
        <f t="shared" ca="1" si="45"/>
        <v>0</v>
      </c>
      <c r="O428" s="127">
        <f ca="1">IF($A428="S",VTOTALBM,IF($A428=0,0,ROUND(SomaAgrupBM,15-13*ORÇAMENTO!$AF$11)))</f>
        <v>0</v>
      </c>
      <c r="Q428" s="382"/>
      <c r="R428" s="383"/>
      <c r="T428" s="119" t="str">
        <f t="shared" ca="1" si="46"/>
        <v/>
      </c>
      <c r="U428" s="172" t="str">
        <f t="shared" ca="1" si="47"/>
        <v/>
      </c>
      <c r="V428" s="173" t="str">
        <f ca="1">IF(AND($W428&gt;0,RegimeExecucao="Unitário"),$F428,"")</f>
        <v/>
      </c>
      <c r="W428" s="547">
        <f ca="1">IF($Y428&gt;0,CHOOSE(MATCH(RegimeExecucao,{"Unitário","Global"},0),IF($A428="S",$Y428/$X428,""),($Y428/$X428)*100),0)</f>
        <v>0</v>
      </c>
      <c r="X428" s="384" t="str">
        <f ca="1">IF($Y428&gt;0,CHOOSE(MATCH(RegimeExecucao,{"Unitário","Global"},0),IF($A428="S",ROUND($H428,ORÇAMENTO!$AF$10),""),ROUND($I428,ORÇAMENTO!$AF$11)),"")</f>
        <v/>
      </c>
      <c r="Y428" s="384">
        <f t="shared" ca="1" si="48"/>
        <v>0</v>
      </c>
      <c r="Z428" s="572"/>
      <c r="AB428" s="382"/>
      <c r="AC428" s="516"/>
      <c r="AD428" s="516"/>
      <c r="AE428" s="516"/>
      <c r="AF428" s="516"/>
      <c r="AG428" s="516"/>
      <c r="AH428" s="516"/>
      <c r="AI428" s="516"/>
      <c r="AJ428" s="516"/>
      <c r="AK428" s="516"/>
      <c r="AL428" s="516"/>
      <c r="AM428" s="383"/>
      <c r="AO428">
        <f ca="1">IF($A428="S",IF(BM!$I428=0,0,CHOOSE(MATCH(RegimeExecucao,{"Global","Unitário"},0),ROUND(ROUND(BM.MEDAcumulado,15-13*BM!$A$9)/100*BM!$I428,15-13*ORÇAMENTO!$AF$11),ROUND(ROUND(BM.MEDAcumulado,15-13*BM!$A$9)*ROUND(BM!$H428,15-13*ORÇAMENTO!$AF$10),15-13*ORÇAMENTO!$AF$11))),IF($A428=0,0,ROUND(SomaAgrupBM,15-13*ORÇAMENTO!$AF$11)))</f>
        <v>0</v>
      </c>
    </row>
    <row r="429" spans="1:41" ht="25.5" x14ac:dyDescent="0.2">
      <c r="A429" t="str">
        <f ca="1">ORÇAMENTO!C429</f>
        <v>S</v>
      </c>
      <c r="B429">
        <f ca="1">ORÇAMENTO!D429</f>
        <v>0</v>
      </c>
      <c r="C429" s="116" t="str">
        <f t="shared" ca="1" si="42"/>
        <v/>
      </c>
      <c r="D429" s="119" t="str">
        <f ca="1">ORÇAMENTO!O429</f>
        <v>-</v>
      </c>
      <c r="E429" s="172" t="str">
        <f t="shared" ca="1" si="43"/>
        <v>(abra o arquivo 'Referência 02-2025.xlsm)</v>
      </c>
      <c r="F429" s="173" t="str">
        <f ca="1">IF(RegimeExecucao="Global","",ORÇAMENTO.Unidade)</f>
        <v>-</v>
      </c>
      <c r="G429" s="124">
        <f ca="1">IF(RegimeExecucao="Global","",ORÇAMENTO!T429)</f>
        <v>1</v>
      </c>
      <c r="H429" s="124">
        <f ca="1">IF(RegimeExecucao="Global","",ORÇAMENTO!W429)</f>
        <v>0</v>
      </c>
      <c r="I429" s="127">
        <f ca="1">ORÇAMENTO!X429</f>
        <v>0</v>
      </c>
      <c r="J429" s="378">
        <f ca="1">IF($A429="S",IF(CAIXA.Modo,BM.AFAnterior,BM.MEDAnterior),IF(AND(RegimeExecucao="Global",$I429&gt;0,COUNTIF($AB$13:$AM$13,BM.medicao-1)&gt;0),M429/$I429*100,0))</f>
        <v>0</v>
      </c>
      <c r="K429" s="124">
        <f t="shared" ca="1" si="44"/>
        <v>0</v>
      </c>
      <c r="L429" s="379">
        <f ca="1">IF($A429="S",IF(CAIXA.Modo,BM.AFAcumulado,BM.MEDAcumulado),IF(AND(RegimeExecucao="Global",$I429&gt;0,COUNTIF($AB$13:$AM$13,BM.medicao)&gt;0),O429/$I429*100,0))</f>
        <v>0</v>
      </c>
      <c r="M429" s="380">
        <f ca="1">IF($A429="S",VTOTALBM,IF($A429=0,0,ROUND(SomaAgrupBM,15-13*ORÇAMENTO!$AF$11)))</f>
        <v>0</v>
      </c>
      <c r="N429" s="381">
        <f t="shared" ca="1" si="45"/>
        <v>0</v>
      </c>
      <c r="O429" s="127">
        <f ca="1">IF($A429="S",VTOTALBM,IF($A429=0,0,ROUND(SomaAgrupBM,15-13*ORÇAMENTO!$AF$11)))</f>
        <v>0</v>
      </c>
      <c r="Q429" s="382"/>
      <c r="R429" s="383"/>
      <c r="T429" s="119" t="str">
        <f t="shared" ca="1" si="46"/>
        <v/>
      </c>
      <c r="U429" s="172" t="str">
        <f t="shared" ca="1" si="47"/>
        <v/>
      </c>
      <c r="V429" s="173" t="str">
        <f ca="1">IF(AND($W429&gt;0,RegimeExecucao="Unitário"),$F429,"")</f>
        <v/>
      </c>
      <c r="W429" s="547">
        <f ca="1">IF($Y429&gt;0,CHOOSE(MATCH(RegimeExecucao,{"Unitário","Global"},0),IF($A429="S",$Y429/$X429,""),($Y429/$X429)*100),0)</f>
        <v>0</v>
      </c>
      <c r="X429" s="384" t="str">
        <f ca="1">IF($Y429&gt;0,CHOOSE(MATCH(RegimeExecucao,{"Unitário","Global"},0),IF($A429="S",ROUND($H429,ORÇAMENTO!$AF$10),""),ROUND($I429,ORÇAMENTO!$AF$11)),"")</f>
        <v/>
      </c>
      <c r="Y429" s="384">
        <f t="shared" ca="1" si="48"/>
        <v>0</v>
      </c>
      <c r="Z429" s="572"/>
      <c r="AB429" s="382"/>
      <c r="AC429" s="516"/>
      <c r="AD429" s="516"/>
      <c r="AE429" s="516"/>
      <c r="AF429" s="516"/>
      <c r="AG429" s="516"/>
      <c r="AH429" s="516"/>
      <c r="AI429" s="516"/>
      <c r="AJ429" s="516"/>
      <c r="AK429" s="516"/>
      <c r="AL429" s="516"/>
      <c r="AM429" s="383"/>
      <c r="AO429">
        <f ca="1">IF($A429="S",IF(BM!$I429=0,0,CHOOSE(MATCH(RegimeExecucao,{"Global","Unitário"},0),ROUND(ROUND(BM.MEDAcumulado,15-13*BM!$A$9)/100*BM!$I429,15-13*ORÇAMENTO!$AF$11),ROUND(ROUND(BM.MEDAcumulado,15-13*BM!$A$9)*ROUND(BM!$H429,15-13*ORÇAMENTO!$AF$10),15-13*ORÇAMENTO!$AF$11))),IF($A429=0,0,ROUND(SomaAgrupBM,15-13*ORÇAMENTO!$AF$11)))</f>
        <v>0</v>
      </c>
    </row>
    <row r="430" spans="1:41" x14ac:dyDescent="0.2">
      <c r="A430">
        <f ca="1">ORÇAMENTO!C430</f>
        <v>3</v>
      </c>
      <c r="B430">
        <f ca="1">ORÇAMENTO!D430</f>
        <v>3</v>
      </c>
      <c r="C430" s="116" t="str">
        <f t="shared" ca="1" si="42"/>
        <v>F</v>
      </c>
      <c r="D430" s="119" t="str">
        <f ca="1">ORÇAMENTO!O430</f>
        <v>1.16.2.</v>
      </c>
      <c r="E430" s="172" t="str">
        <f t="shared" ca="1" si="43"/>
        <v>HIDRANTES</v>
      </c>
      <c r="F430" s="173" t="str">
        <f ca="1">IF(RegimeExecucao="Global","",ORÇAMENTO.Unidade)</f>
        <v>-</v>
      </c>
      <c r="G430" s="124">
        <f ca="1">IF(RegimeExecucao="Global","",ORÇAMENTO!T430)</f>
        <v>0</v>
      </c>
      <c r="H430" s="124">
        <f ca="1">IF(RegimeExecucao="Global","",ORÇAMENTO!W430)</f>
        <v>0</v>
      </c>
      <c r="I430" s="127">
        <f ca="1">ORÇAMENTO!X430</f>
        <v>0</v>
      </c>
      <c r="J430" s="378">
        <f ca="1">IF($A430="S",IF(CAIXA.Modo,BM.AFAnterior,BM.MEDAnterior),IF(AND(RegimeExecucao="Global",$I430&gt;0,COUNTIF($AB$13:$AM$13,BM.medicao-1)&gt;0),M430/$I430*100,0))</f>
        <v>0</v>
      </c>
      <c r="K430" s="124">
        <f t="shared" ca="1" si="44"/>
        <v>0</v>
      </c>
      <c r="L430" s="379">
        <f ca="1">IF($A430="S",IF(CAIXA.Modo,BM.AFAcumulado,BM.MEDAcumulado),IF(AND(RegimeExecucao="Global",$I430&gt;0,COUNTIF($AB$13:$AM$13,BM.medicao)&gt;0),O430/$I430*100,0))</f>
        <v>0</v>
      </c>
      <c r="M430" s="380">
        <f ca="1">IF($A430="S",VTOTALBM,IF($A430=0,0,ROUND(SomaAgrupBM,15-13*ORÇAMENTO!$AF$11)))</f>
        <v>0</v>
      </c>
      <c r="N430" s="381">
        <f t="shared" ca="1" si="45"/>
        <v>0</v>
      </c>
      <c r="O430" s="127">
        <f ca="1">IF($A430="S",VTOTALBM,IF($A430=0,0,ROUND(SomaAgrupBM,15-13*ORÇAMENTO!$AF$11)))</f>
        <v>0</v>
      </c>
      <c r="Q430" s="382"/>
      <c r="R430" s="383"/>
      <c r="T430" s="119" t="str">
        <f t="shared" ca="1" si="46"/>
        <v/>
      </c>
      <c r="U430" s="172" t="str">
        <f t="shared" ca="1" si="47"/>
        <v/>
      </c>
      <c r="V430" s="173" t="str">
        <f ca="1">IF(AND($W430&gt;0,RegimeExecucao="Unitário"),$F430,"")</f>
        <v/>
      </c>
      <c r="W430" s="547">
        <f ca="1">IF($Y430&gt;0,CHOOSE(MATCH(RegimeExecucao,{"Unitário","Global"},0),IF($A430="S",$Y430/$X430,""),($Y430/$X430)*100),0)</f>
        <v>0</v>
      </c>
      <c r="X430" s="384" t="str">
        <f ca="1">IF($Y430&gt;0,CHOOSE(MATCH(RegimeExecucao,{"Unitário","Global"},0),IF($A430="S",ROUND($H430,ORÇAMENTO!$AF$10),""),ROUND($I430,ORÇAMENTO!$AF$11)),"")</f>
        <v/>
      </c>
      <c r="Y430" s="384">
        <f t="shared" ca="1" si="48"/>
        <v>0</v>
      </c>
      <c r="Z430" s="572"/>
      <c r="AB430" s="382"/>
      <c r="AC430" s="516"/>
      <c r="AD430" s="516"/>
      <c r="AE430" s="516"/>
      <c r="AF430" s="516"/>
      <c r="AG430" s="516"/>
      <c r="AH430" s="516"/>
      <c r="AI430" s="516"/>
      <c r="AJ430" s="516"/>
      <c r="AK430" s="516"/>
      <c r="AL430" s="516"/>
      <c r="AM430" s="383"/>
      <c r="AO430">
        <f ca="1">IF($A430="S",IF(BM!$I430=0,0,CHOOSE(MATCH(RegimeExecucao,{"Global","Unitário"},0),ROUND(ROUND(BM.MEDAcumulado,15-13*BM!$A$9)/100*BM!$I430,15-13*ORÇAMENTO!$AF$11),ROUND(ROUND(BM.MEDAcumulado,15-13*BM!$A$9)*ROUND(BM!$H430,15-13*ORÇAMENTO!$AF$10),15-13*ORÇAMENTO!$AF$11))),IF($A430=0,0,ROUND(SomaAgrupBM,15-13*ORÇAMENTO!$AF$11)))</f>
        <v>0</v>
      </c>
    </row>
    <row r="431" spans="1:41" ht="51" x14ac:dyDescent="0.2">
      <c r="A431" t="str">
        <f ca="1">ORÇAMENTO!C431</f>
        <v>S</v>
      </c>
      <c r="B431">
        <f ca="1">ORÇAMENTO!D431</f>
        <v>0</v>
      </c>
      <c r="C431" s="116" t="str">
        <f t="shared" ca="1" si="42"/>
        <v/>
      </c>
      <c r="D431" s="119" t="str">
        <f ca="1">ORÇAMENTO!O431</f>
        <v>-</v>
      </c>
      <c r="E431" s="172" t="str">
        <f t="shared" ca="1" si="43"/>
        <v>(abra o arquivo 'Referência 02-2025.xlsm)</v>
      </c>
      <c r="F431" s="173" t="str">
        <f ca="1">IF(RegimeExecucao="Global","",ORÇAMENTO.Unidade)</f>
        <v>-</v>
      </c>
      <c r="G431" s="124">
        <f ca="1">IF(RegimeExecucao="Global","",ORÇAMENTO!T431)</f>
        <v>2</v>
      </c>
      <c r="H431" s="124">
        <f ca="1">IF(RegimeExecucao="Global","",ORÇAMENTO!W431)</f>
        <v>0</v>
      </c>
      <c r="I431" s="127">
        <f ca="1">ORÇAMENTO!X431</f>
        <v>0</v>
      </c>
      <c r="J431" s="378">
        <f ca="1">IF($A431="S",IF(CAIXA.Modo,BM.AFAnterior,BM.MEDAnterior),IF(AND(RegimeExecucao="Global",$I431&gt;0,COUNTIF($AB$13:$AM$13,BM.medicao-1)&gt;0),M431/$I431*100,0))</f>
        <v>0</v>
      </c>
      <c r="K431" s="124">
        <f t="shared" ca="1" si="44"/>
        <v>0</v>
      </c>
      <c r="L431" s="379">
        <f ca="1">IF($A431="S",IF(CAIXA.Modo,BM.AFAcumulado,BM.MEDAcumulado),IF(AND(RegimeExecucao="Global",$I431&gt;0,COUNTIF($AB$13:$AM$13,BM.medicao)&gt;0),O431/$I431*100,0))</f>
        <v>0</v>
      </c>
      <c r="M431" s="380">
        <f ca="1">IF($A431="S",VTOTALBM,IF($A431=0,0,ROUND(SomaAgrupBM,15-13*ORÇAMENTO!$AF$11)))</f>
        <v>0</v>
      </c>
      <c r="N431" s="381">
        <f t="shared" ca="1" si="45"/>
        <v>0</v>
      </c>
      <c r="O431" s="127">
        <f ca="1">IF($A431="S",VTOTALBM,IF($A431=0,0,ROUND(SomaAgrupBM,15-13*ORÇAMENTO!$AF$11)))</f>
        <v>0</v>
      </c>
      <c r="Q431" s="382"/>
      <c r="R431" s="383"/>
      <c r="T431" s="119" t="str">
        <f t="shared" ca="1" si="46"/>
        <v/>
      </c>
      <c r="U431" s="172" t="str">
        <f t="shared" ca="1" si="47"/>
        <v/>
      </c>
      <c r="V431" s="173" t="str">
        <f ca="1">IF(AND($W431&gt;0,RegimeExecucao="Unitário"),$F431,"")</f>
        <v/>
      </c>
      <c r="W431" s="547">
        <f ca="1">IF($Y431&gt;0,CHOOSE(MATCH(RegimeExecucao,{"Unitário","Global"},0),IF($A431="S",$Y431/$X431,""),($Y431/$X431)*100),0)</f>
        <v>0</v>
      </c>
      <c r="X431" s="384" t="str">
        <f ca="1">IF($Y431&gt;0,CHOOSE(MATCH(RegimeExecucao,{"Unitário","Global"},0),IF($A431="S",ROUND($H431,ORÇAMENTO!$AF$10),""),ROUND($I431,ORÇAMENTO!$AF$11)),"")</f>
        <v/>
      </c>
      <c r="Y431" s="384">
        <f t="shared" ca="1" si="48"/>
        <v>0</v>
      </c>
      <c r="Z431" s="572"/>
      <c r="AB431" s="382"/>
      <c r="AC431" s="516"/>
      <c r="AD431" s="516"/>
      <c r="AE431" s="516"/>
      <c r="AF431" s="516"/>
      <c r="AG431" s="516"/>
      <c r="AH431" s="516"/>
      <c r="AI431" s="516"/>
      <c r="AJ431" s="516"/>
      <c r="AK431" s="516"/>
      <c r="AL431" s="516"/>
      <c r="AM431" s="383"/>
      <c r="AO431">
        <f ca="1">IF($A431="S",IF(BM!$I431=0,0,CHOOSE(MATCH(RegimeExecucao,{"Global","Unitário"},0),ROUND(ROUND(BM.MEDAcumulado,15-13*BM!$A$9)/100*BM!$I431,15-13*ORÇAMENTO!$AF$11),ROUND(ROUND(BM.MEDAcumulado,15-13*BM!$A$9)*ROUND(BM!$H431,15-13*ORÇAMENTO!$AF$10),15-13*ORÇAMENTO!$AF$11))),IF($A431=0,0,ROUND(SomaAgrupBM,15-13*ORÇAMENTO!$AF$11)))</f>
        <v>0</v>
      </c>
    </row>
    <row r="432" spans="1:41" ht="25.5" x14ac:dyDescent="0.2">
      <c r="A432" t="str">
        <f ca="1">ORÇAMENTO!C432</f>
        <v>S</v>
      </c>
      <c r="B432">
        <f ca="1">ORÇAMENTO!D432</f>
        <v>0</v>
      </c>
      <c r="C432" s="116" t="str">
        <f t="shared" ca="1" si="42"/>
        <v/>
      </c>
      <c r="D432" s="119" t="str">
        <f ca="1">ORÇAMENTO!O432</f>
        <v>-</v>
      </c>
      <c r="E432" s="172" t="str">
        <f t="shared" ca="1" si="43"/>
        <v>(abra o arquivo 'Referência 02-2025.xlsm)</v>
      </c>
      <c r="F432" s="173" t="str">
        <f ca="1">IF(RegimeExecucao="Global","",ORÇAMENTO.Unidade)</f>
        <v>-</v>
      </c>
      <c r="G432" s="124">
        <f ca="1">IF(RegimeExecucao="Global","",ORÇAMENTO!T432)</f>
        <v>1</v>
      </c>
      <c r="H432" s="124">
        <f ca="1">IF(RegimeExecucao="Global","",ORÇAMENTO!W432)</f>
        <v>0</v>
      </c>
      <c r="I432" s="127">
        <f ca="1">ORÇAMENTO!X432</f>
        <v>0</v>
      </c>
      <c r="J432" s="378">
        <f ca="1">IF($A432="S",IF(CAIXA.Modo,BM.AFAnterior,BM.MEDAnterior),IF(AND(RegimeExecucao="Global",$I432&gt;0,COUNTIF($AB$13:$AM$13,BM.medicao-1)&gt;0),M432/$I432*100,0))</f>
        <v>0</v>
      </c>
      <c r="K432" s="124">
        <f t="shared" ca="1" si="44"/>
        <v>0</v>
      </c>
      <c r="L432" s="379">
        <f ca="1">IF($A432="S",IF(CAIXA.Modo,BM.AFAcumulado,BM.MEDAcumulado),IF(AND(RegimeExecucao="Global",$I432&gt;0,COUNTIF($AB$13:$AM$13,BM.medicao)&gt;0),O432/$I432*100,0))</f>
        <v>0</v>
      </c>
      <c r="M432" s="380">
        <f ca="1">IF($A432="S",VTOTALBM,IF($A432=0,0,ROUND(SomaAgrupBM,15-13*ORÇAMENTO!$AF$11)))</f>
        <v>0</v>
      </c>
      <c r="N432" s="381">
        <f t="shared" ca="1" si="45"/>
        <v>0</v>
      </c>
      <c r="O432" s="127">
        <f ca="1">IF($A432="S",VTOTALBM,IF($A432=0,0,ROUND(SomaAgrupBM,15-13*ORÇAMENTO!$AF$11)))</f>
        <v>0</v>
      </c>
      <c r="Q432" s="382"/>
      <c r="R432" s="383"/>
      <c r="T432" s="119" t="str">
        <f t="shared" ca="1" si="46"/>
        <v/>
      </c>
      <c r="U432" s="172" t="str">
        <f t="shared" ca="1" si="47"/>
        <v/>
      </c>
      <c r="V432" s="173" t="str">
        <f ca="1">IF(AND($W432&gt;0,RegimeExecucao="Unitário"),$F432,"")</f>
        <v/>
      </c>
      <c r="W432" s="547">
        <f ca="1">IF($Y432&gt;0,CHOOSE(MATCH(RegimeExecucao,{"Unitário","Global"},0),IF($A432="S",$Y432/$X432,""),($Y432/$X432)*100),0)</f>
        <v>0</v>
      </c>
      <c r="X432" s="384" t="str">
        <f ca="1">IF($Y432&gt;0,CHOOSE(MATCH(RegimeExecucao,{"Unitário","Global"},0),IF($A432="S",ROUND($H432,ORÇAMENTO!$AF$10),""),ROUND($I432,ORÇAMENTO!$AF$11)),"")</f>
        <v/>
      </c>
      <c r="Y432" s="384">
        <f t="shared" ca="1" si="48"/>
        <v>0</v>
      </c>
      <c r="Z432" s="572"/>
      <c r="AB432" s="382"/>
      <c r="AC432" s="516"/>
      <c r="AD432" s="516"/>
      <c r="AE432" s="516"/>
      <c r="AF432" s="516"/>
      <c r="AG432" s="516"/>
      <c r="AH432" s="516"/>
      <c r="AI432" s="516"/>
      <c r="AJ432" s="516"/>
      <c r="AK432" s="516"/>
      <c r="AL432" s="516"/>
      <c r="AM432" s="383"/>
      <c r="AO432">
        <f ca="1">IF($A432="S",IF(BM!$I432=0,0,CHOOSE(MATCH(RegimeExecucao,{"Global","Unitário"},0),ROUND(ROUND(BM.MEDAcumulado,15-13*BM!$A$9)/100*BM!$I432,15-13*ORÇAMENTO!$AF$11),ROUND(ROUND(BM.MEDAcumulado,15-13*BM!$A$9)*ROUND(BM!$H432,15-13*ORÇAMENTO!$AF$10),15-13*ORÇAMENTO!$AF$11))),IF($A432=0,0,ROUND(SomaAgrupBM,15-13*ORÇAMENTO!$AF$11)))</f>
        <v>0</v>
      </c>
    </row>
    <row r="433" spans="1:41" x14ac:dyDescent="0.2">
      <c r="A433">
        <f ca="1">ORÇAMENTO!C433</f>
        <v>3</v>
      </c>
      <c r="B433">
        <f ca="1">ORÇAMENTO!D433</f>
        <v>16</v>
      </c>
      <c r="C433" s="116" t="str">
        <f t="shared" ca="1" si="42"/>
        <v>F</v>
      </c>
      <c r="D433" s="119" t="str">
        <f ca="1">ORÇAMENTO!O433</f>
        <v>1.16.3.</v>
      </c>
      <c r="E433" s="172" t="str">
        <f t="shared" ca="1" si="43"/>
        <v>ACESSÓRIOS</v>
      </c>
      <c r="F433" s="173" t="str">
        <f ca="1">IF(RegimeExecucao="Global","",ORÇAMENTO.Unidade)</f>
        <v>-</v>
      </c>
      <c r="G433" s="124">
        <f ca="1">IF(RegimeExecucao="Global","",ORÇAMENTO!T433)</f>
        <v>0</v>
      </c>
      <c r="H433" s="124">
        <f ca="1">IF(RegimeExecucao="Global","",ORÇAMENTO!W433)</f>
        <v>0</v>
      </c>
      <c r="I433" s="127">
        <f ca="1">ORÇAMENTO!X433</f>
        <v>0</v>
      </c>
      <c r="J433" s="378">
        <f ca="1">IF($A433="S",IF(CAIXA.Modo,BM.AFAnterior,BM.MEDAnterior),IF(AND(RegimeExecucao="Global",$I433&gt;0,COUNTIF($AB$13:$AM$13,BM.medicao-1)&gt;0),M433/$I433*100,0))</f>
        <v>0</v>
      </c>
      <c r="K433" s="124">
        <f t="shared" ca="1" si="44"/>
        <v>0</v>
      </c>
      <c r="L433" s="379">
        <f ca="1">IF($A433="S",IF(CAIXA.Modo,BM.AFAcumulado,BM.MEDAcumulado),IF(AND(RegimeExecucao="Global",$I433&gt;0,COUNTIF($AB$13:$AM$13,BM.medicao)&gt;0),O433/$I433*100,0))</f>
        <v>0</v>
      </c>
      <c r="M433" s="380">
        <f ca="1">IF($A433="S",VTOTALBM,IF($A433=0,0,ROUND(SomaAgrupBM,15-13*ORÇAMENTO!$AF$11)))</f>
        <v>0</v>
      </c>
      <c r="N433" s="381">
        <f t="shared" ca="1" si="45"/>
        <v>0</v>
      </c>
      <c r="O433" s="127">
        <f ca="1">IF($A433="S",VTOTALBM,IF($A433=0,0,ROUND(SomaAgrupBM,15-13*ORÇAMENTO!$AF$11)))</f>
        <v>0</v>
      </c>
      <c r="Q433" s="382"/>
      <c r="R433" s="383"/>
      <c r="T433" s="119" t="str">
        <f t="shared" ca="1" si="46"/>
        <v/>
      </c>
      <c r="U433" s="172" t="str">
        <f t="shared" ca="1" si="47"/>
        <v/>
      </c>
      <c r="V433" s="173" t="str">
        <f ca="1">IF(AND($W433&gt;0,RegimeExecucao="Unitário"),$F433,"")</f>
        <v/>
      </c>
      <c r="W433" s="547">
        <f ca="1">IF($Y433&gt;0,CHOOSE(MATCH(RegimeExecucao,{"Unitário","Global"},0),IF($A433="S",$Y433/$X433,""),($Y433/$X433)*100),0)</f>
        <v>0</v>
      </c>
      <c r="X433" s="384" t="str">
        <f ca="1">IF($Y433&gt;0,CHOOSE(MATCH(RegimeExecucao,{"Unitário","Global"},0),IF($A433="S",ROUND($H433,ORÇAMENTO!$AF$10),""),ROUND($I433,ORÇAMENTO!$AF$11)),"")</f>
        <v/>
      </c>
      <c r="Y433" s="384">
        <f t="shared" ca="1" si="48"/>
        <v>0</v>
      </c>
      <c r="Z433" s="572"/>
      <c r="AB433" s="382"/>
      <c r="AC433" s="516"/>
      <c r="AD433" s="516"/>
      <c r="AE433" s="516"/>
      <c r="AF433" s="516"/>
      <c r="AG433" s="516"/>
      <c r="AH433" s="516"/>
      <c r="AI433" s="516"/>
      <c r="AJ433" s="516"/>
      <c r="AK433" s="516"/>
      <c r="AL433" s="516"/>
      <c r="AM433" s="383"/>
      <c r="AO433">
        <f ca="1">IF($A433="S",IF(BM!$I433=0,0,CHOOSE(MATCH(RegimeExecucao,{"Global","Unitário"},0),ROUND(ROUND(BM.MEDAcumulado,15-13*BM!$A$9)/100*BM!$I433,15-13*ORÇAMENTO!$AF$11),ROUND(ROUND(BM.MEDAcumulado,15-13*BM!$A$9)*ROUND(BM!$H433,15-13*ORÇAMENTO!$AF$10),15-13*ORÇAMENTO!$AF$11))),IF($A433=0,0,ROUND(SomaAgrupBM,15-13*ORÇAMENTO!$AF$11)))</f>
        <v>0</v>
      </c>
    </row>
    <row r="434" spans="1:41" ht="38.25" x14ac:dyDescent="0.2">
      <c r="A434" t="str">
        <f ca="1">ORÇAMENTO!C434</f>
        <v>S</v>
      </c>
      <c r="B434">
        <f ca="1">ORÇAMENTO!D434</f>
        <v>0</v>
      </c>
      <c r="C434" s="116" t="str">
        <f t="shared" ca="1" si="42"/>
        <v/>
      </c>
      <c r="D434" s="119" t="str">
        <f ca="1">ORÇAMENTO!O434</f>
        <v>-</v>
      </c>
      <c r="E434" s="172" t="str">
        <f t="shared" ca="1" si="43"/>
        <v>(abra o arquivo 'Referência 02-2025.xlsm)</v>
      </c>
      <c r="F434" s="173" t="str">
        <f ca="1">IF(RegimeExecucao="Global","",ORÇAMENTO.Unidade)</f>
        <v>-</v>
      </c>
      <c r="G434" s="124">
        <f ca="1">IF(RegimeExecucao="Global","",ORÇAMENTO!T434)</f>
        <v>2</v>
      </c>
      <c r="H434" s="124">
        <f ca="1">IF(RegimeExecucao="Global","",ORÇAMENTO!W434)</f>
        <v>0</v>
      </c>
      <c r="I434" s="127">
        <f ca="1">ORÇAMENTO!X434</f>
        <v>0</v>
      </c>
      <c r="J434" s="378">
        <f ca="1">IF($A434="S",IF(CAIXA.Modo,BM.AFAnterior,BM.MEDAnterior),IF(AND(RegimeExecucao="Global",$I434&gt;0,COUNTIF($AB$13:$AM$13,BM.medicao-1)&gt;0),M434/$I434*100,0))</f>
        <v>0</v>
      </c>
      <c r="K434" s="124">
        <f t="shared" ca="1" si="44"/>
        <v>0</v>
      </c>
      <c r="L434" s="379">
        <f ca="1">IF($A434="S",IF(CAIXA.Modo,BM.AFAcumulado,BM.MEDAcumulado),IF(AND(RegimeExecucao="Global",$I434&gt;0,COUNTIF($AB$13:$AM$13,BM.medicao)&gt;0),O434/$I434*100,0))</f>
        <v>0</v>
      </c>
      <c r="M434" s="380">
        <f ca="1">IF($A434="S",VTOTALBM,IF($A434=0,0,ROUND(SomaAgrupBM,15-13*ORÇAMENTO!$AF$11)))</f>
        <v>0</v>
      </c>
      <c r="N434" s="381">
        <f t="shared" ca="1" si="45"/>
        <v>0</v>
      </c>
      <c r="O434" s="127">
        <f ca="1">IF($A434="S",VTOTALBM,IF($A434=0,0,ROUND(SomaAgrupBM,15-13*ORÇAMENTO!$AF$11)))</f>
        <v>0</v>
      </c>
      <c r="Q434" s="382"/>
      <c r="R434" s="383"/>
      <c r="T434" s="119" t="str">
        <f t="shared" ca="1" si="46"/>
        <v/>
      </c>
      <c r="U434" s="172" t="str">
        <f t="shared" ca="1" si="47"/>
        <v/>
      </c>
      <c r="V434" s="173" t="str">
        <f ca="1">IF(AND($W434&gt;0,RegimeExecucao="Unitário"),$F434,"")</f>
        <v/>
      </c>
      <c r="W434" s="547">
        <f ca="1">IF($Y434&gt;0,CHOOSE(MATCH(RegimeExecucao,{"Unitário","Global"},0),IF($A434="S",$Y434/$X434,""),($Y434/$X434)*100),0)</f>
        <v>0</v>
      </c>
      <c r="X434" s="384" t="str">
        <f ca="1">IF($Y434&gt;0,CHOOSE(MATCH(RegimeExecucao,{"Unitário","Global"},0),IF($A434="S",ROUND($H434,ORÇAMENTO!$AF$10),""),ROUND($I434,ORÇAMENTO!$AF$11)),"")</f>
        <v/>
      </c>
      <c r="Y434" s="384">
        <f t="shared" ca="1" si="48"/>
        <v>0</v>
      </c>
      <c r="Z434" s="572"/>
      <c r="AB434" s="382"/>
      <c r="AC434" s="516"/>
      <c r="AD434" s="516"/>
      <c r="AE434" s="516"/>
      <c r="AF434" s="516"/>
      <c r="AG434" s="516"/>
      <c r="AH434" s="516"/>
      <c r="AI434" s="516"/>
      <c r="AJ434" s="516"/>
      <c r="AK434" s="516"/>
      <c r="AL434" s="516"/>
      <c r="AM434" s="383"/>
      <c r="AO434">
        <f ca="1">IF($A434="S",IF(BM!$I434=0,0,CHOOSE(MATCH(RegimeExecucao,{"Global","Unitário"},0),ROUND(ROUND(BM.MEDAcumulado,15-13*BM!$A$9)/100*BM!$I434,15-13*ORÇAMENTO!$AF$11),ROUND(ROUND(BM.MEDAcumulado,15-13*BM!$A$9)*ROUND(BM!$H434,15-13*ORÇAMENTO!$AF$10),15-13*ORÇAMENTO!$AF$11))),IF($A434=0,0,ROUND(SomaAgrupBM,15-13*ORÇAMENTO!$AF$11)))</f>
        <v>0</v>
      </c>
    </row>
    <row r="435" spans="1:41" ht="25.5" x14ac:dyDescent="0.2">
      <c r="A435" t="str">
        <f ca="1">ORÇAMENTO!C435</f>
        <v>S</v>
      </c>
      <c r="B435">
        <f ca="1">ORÇAMENTO!D435</f>
        <v>0</v>
      </c>
      <c r="C435" s="116" t="str">
        <f t="shared" ca="1" si="42"/>
        <v/>
      </c>
      <c r="D435" s="119" t="str">
        <f ca="1">ORÇAMENTO!O435</f>
        <v>-</v>
      </c>
      <c r="E435" s="172" t="str">
        <f t="shared" ca="1" si="43"/>
        <v>(abra o arquivo 'Referência 02-2025.xlsm)</v>
      </c>
      <c r="F435" s="173" t="str">
        <f ca="1">IF(RegimeExecucao="Global","",ORÇAMENTO.Unidade)</f>
        <v>-</v>
      </c>
      <c r="G435" s="124">
        <f ca="1">IF(RegimeExecucao="Global","",ORÇAMENTO!T435)</f>
        <v>1</v>
      </c>
      <c r="H435" s="124">
        <f ca="1">IF(RegimeExecucao="Global","",ORÇAMENTO!W435)</f>
        <v>0</v>
      </c>
      <c r="I435" s="127">
        <f ca="1">ORÇAMENTO!X435</f>
        <v>0</v>
      </c>
      <c r="J435" s="378">
        <f ca="1">IF($A435="S",IF(CAIXA.Modo,BM.AFAnterior,BM.MEDAnterior),IF(AND(RegimeExecucao="Global",$I435&gt;0,COUNTIF($AB$13:$AM$13,BM.medicao-1)&gt;0),M435/$I435*100,0))</f>
        <v>0</v>
      </c>
      <c r="K435" s="124">
        <f t="shared" ca="1" si="44"/>
        <v>0</v>
      </c>
      <c r="L435" s="379">
        <f ca="1">IF($A435="S",IF(CAIXA.Modo,BM.AFAcumulado,BM.MEDAcumulado),IF(AND(RegimeExecucao="Global",$I435&gt;0,COUNTIF($AB$13:$AM$13,BM.medicao)&gt;0),O435/$I435*100,0))</f>
        <v>0</v>
      </c>
      <c r="M435" s="380">
        <f ca="1">IF($A435="S",VTOTALBM,IF($A435=0,0,ROUND(SomaAgrupBM,15-13*ORÇAMENTO!$AF$11)))</f>
        <v>0</v>
      </c>
      <c r="N435" s="381">
        <f t="shared" ca="1" si="45"/>
        <v>0</v>
      </c>
      <c r="O435" s="127">
        <f ca="1">IF($A435="S",VTOTALBM,IF($A435=0,0,ROUND(SomaAgrupBM,15-13*ORÇAMENTO!$AF$11)))</f>
        <v>0</v>
      </c>
      <c r="Q435" s="382"/>
      <c r="R435" s="383"/>
      <c r="T435" s="119" t="str">
        <f t="shared" ca="1" si="46"/>
        <v/>
      </c>
      <c r="U435" s="172" t="str">
        <f t="shared" ca="1" si="47"/>
        <v/>
      </c>
      <c r="V435" s="173" t="str">
        <f ca="1">IF(AND($W435&gt;0,RegimeExecucao="Unitário"),$F435,"")</f>
        <v/>
      </c>
      <c r="W435" s="547">
        <f ca="1">IF($Y435&gt;0,CHOOSE(MATCH(RegimeExecucao,{"Unitário","Global"},0),IF($A435="S",$Y435/$X435,""),($Y435/$X435)*100),0)</f>
        <v>0</v>
      </c>
      <c r="X435" s="384" t="str">
        <f ca="1">IF($Y435&gt;0,CHOOSE(MATCH(RegimeExecucao,{"Unitário","Global"},0),IF($A435="S",ROUND($H435,ORÇAMENTO!$AF$10),""),ROUND($I435,ORÇAMENTO!$AF$11)),"")</f>
        <v/>
      </c>
      <c r="Y435" s="384">
        <f t="shared" ca="1" si="48"/>
        <v>0</v>
      </c>
      <c r="Z435" s="572"/>
      <c r="AB435" s="382"/>
      <c r="AC435" s="516"/>
      <c r="AD435" s="516"/>
      <c r="AE435" s="516"/>
      <c r="AF435" s="516"/>
      <c r="AG435" s="516"/>
      <c r="AH435" s="516"/>
      <c r="AI435" s="516"/>
      <c r="AJ435" s="516"/>
      <c r="AK435" s="516"/>
      <c r="AL435" s="516"/>
      <c r="AM435" s="383"/>
      <c r="AO435">
        <f ca="1">IF($A435="S",IF(BM!$I435=0,0,CHOOSE(MATCH(RegimeExecucao,{"Global","Unitário"},0),ROUND(ROUND(BM.MEDAcumulado,15-13*BM!$A$9)/100*BM!$I435,15-13*ORÇAMENTO!$AF$11),ROUND(ROUND(BM.MEDAcumulado,15-13*BM!$A$9)*ROUND(BM!$H435,15-13*ORÇAMENTO!$AF$10),15-13*ORÇAMENTO!$AF$11))),IF($A435=0,0,ROUND(SomaAgrupBM,15-13*ORÇAMENTO!$AF$11)))</f>
        <v>0</v>
      </c>
    </row>
    <row r="436" spans="1:41" ht="25.5" x14ac:dyDescent="0.2">
      <c r="A436" t="str">
        <f ca="1">ORÇAMENTO!C436</f>
        <v>S</v>
      </c>
      <c r="B436">
        <f ca="1">ORÇAMENTO!D436</f>
        <v>0</v>
      </c>
      <c r="C436" s="116" t="str">
        <f t="shared" ca="1" si="42"/>
        <v/>
      </c>
      <c r="D436" s="119" t="str">
        <f ca="1">ORÇAMENTO!O436</f>
        <v>-</v>
      </c>
      <c r="E436" s="172" t="str">
        <f t="shared" ca="1" si="43"/>
        <v>(abra o arquivo 'Referência 02-2025.xlsm)</v>
      </c>
      <c r="F436" s="173" t="str">
        <f ca="1">IF(RegimeExecucao="Global","",ORÇAMENTO.Unidade)</f>
        <v>-</v>
      </c>
      <c r="G436" s="124">
        <f ca="1">IF(RegimeExecucao="Global","",ORÇAMENTO!T436)</f>
        <v>4</v>
      </c>
      <c r="H436" s="124">
        <f ca="1">IF(RegimeExecucao="Global","",ORÇAMENTO!W436)</f>
        <v>0</v>
      </c>
      <c r="I436" s="127">
        <f ca="1">ORÇAMENTO!X436</f>
        <v>0</v>
      </c>
      <c r="J436" s="378">
        <f ca="1">IF($A436="S",IF(CAIXA.Modo,BM.AFAnterior,BM.MEDAnterior),IF(AND(RegimeExecucao="Global",$I436&gt;0,COUNTIF($AB$13:$AM$13,BM.medicao-1)&gt;0),M436/$I436*100,0))</f>
        <v>0</v>
      </c>
      <c r="K436" s="124">
        <f t="shared" ca="1" si="44"/>
        <v>0</v>
      </c>
      <c r="L436" s="379">
        <f ca="1">IF($A436="S",IF(CAIXA.Modo,BM.AFAcumulado,BM.MEDAcumulado),IF(AND(RegimeExecucao="Global",$I436&gt;0,COUNTIF($AB$13:$AM$13,BM.medicao)&gt;0),O436/$I436*100,0))</f>
        <v>0</v>
      </c>
      <c r="M436" s="380">
        <f ca="1">IF($A436="S",VTOTALBM,IF($A436=0,0,ROUND(SomaAgrupBM,15-13*ORÇAMENTO!$AF$11)))</f>
        <v>0</v>
      </c>
      <c r="N436" s="381">
        <f t="shared" ca="1" si="45"/>
        <v>0</v>
      </c>
      <c r="O436" s="127">
        <f ca="1">IF($A436="S",VTOTALBM,IF($A436=0,0,ROUND(SomaAgrupBM,15-13*ORÇAMENTO!$AF$11)))</f>
        <v>0</v>
      </c>
      <c r="Q436" s="382"/>
      <c r="R436" s="383"/>
      <c r="T436" s="119" t="str">
        <f t="shared" ca="1" si="46"/>
        <v/>
      </c>
      <c r="U436" s="172" t="str">
        <f t="shared" ca="1" si="47"/>
        <v/>
      </c>
      <c r="V436" s="173" t="str">
        <f ca="1">IF(AND($W436&gt;0,RegimeExecucao="Unitário"),$F436,"")</f>
        <v/>
      </c>
      <c r="W436" s="547">
        <f ca="1">IF($Y436&gt;0,CHOOSE(MATCH(RegimeExecucao,{"Unitário","Global"},0),IF($A436="S",$Y436/$X436,""),($Y436/$X436)*100),0)</f>
        <v>0</v>
      </c>
      <c r="X436" s="384" t="str">
        <f ca="1">IF($Y436&gt;0,CHOOSE(MATCH(RegimeExecucao,{"Unitário","Global"},0),IF($A436="S",ROUND($H436,ORÇAMENTO!$AF$10),""),ROUND($I436,ORÇAMENTO!$AF$11)),"")</f>
        <v/>
      </c>
      <c r="Y436" s="384">
        <f t="shared" ca="1" si="48"/>
        <v>0</v>
      </c>
      <c r="Z436" s="572"/>
      <c r="AB436" s="382"/>
      <c r="AC436" s="516"/>
      <c r="AD436" s="516"/>
      <c r="AE436" s="516"/>
      <c r="AF436" s="516"/>
      <c r="AG436" s="516"/>
      <c r="AH436" s="516"/>
      <c r="AI436" s="516"/>
      <c r="AJ436" s="516"/>
      <c r="AK436" s="516"/>
      <c r="AL436" s="516"/>
      <c r="AM436" s="383"/>
      <c r="AO436">
        <f ca="1">IF($A436="S",IF(BM!$I436=0,0,CHOOSE(MATCH(RegimeExecucao,{"Global","Unitário"},0),ROUND(ROUND(BM.MEDAcumulado,15-13*BM!$A$9)/100*BM!$I436,15-13*ORÇAMENTO!$AF$11),ROUND(ROUND(BM.MEDAcumulado,15-13*BM!$A$9)*ROUND(BM!$H436,15-13*ORÇAMENTO!$AF$10),15-13*ORÇAMENTO!$AF$11))),IF($A436=0,0,ROUND(SomaAgrupBM,15-13*ORÇAMENTO!$AF$11)))</f>
        <v>0</v>
      </c>
    </row>
    <row r="437" spans="1:41" ht="25.5" x14ac:dyDescent="0.2">
      <c r="A437" t="str">
        <f ca="1">ORÇAMENTO!C437</f>
        <v>S</v>
      </c>
      <c r="B437">
        <f ca="1">ORÇAMENTO!D437</f>
        <v>0</v>
      </c>
      <c r="C437" s="116" t="str">
        <f t="shared" ca="1" si="42"/>
        <v/>
      </c>
      <c r="D437" s="119" t="str">
        <f ca="1">ORÇAMENTO!O437</f>
        <v>-</v>
      </c>
      <c r="E437" s="172" t="str">
        <f t="shared" ca="1" si="43"/>
        <v>(abra o arquivo 'Referência 02-2025.xlsm)</v>
      </c>
      <c r="F437" s="173" t="str">
        <f ca="1">IF(RegimeExecucao="Global","",ORÇAMENTO.Unidade)</f>
        <v>-</v>
      </c>
      <c r="G437" s="124">
        <f ca="1">IF(RegimeExecucao="Global","",ORÇAMENTO!T437)</f>
        <v>1</v>
      </c>
      <c r="H437" s="124">
        <f ca="1">IF(RegimeExecucao="Global","",ORÇAMENTO!W437)</f>
        <v>0</v>
      </c>
      <c r="I437" s="127">
        <f ca="1">ORÇAMENTO!X437</f>
        <v>0</v>
      </c>
      <c r="J437" s="378">
        <f ca="1">IF($A437="S",IF(CAIXA.Modo,BM.AFAnterior,BM.MEDAnterior),IF(AND(RegimeExecucao="Global",$I437&gt;0,COUNTIF($AB$13:$AM$13,BM.medicao-1)&gt;0),M437/$I437*100,0))</f>
        <v>0</v>
      </c>
      <c r="K437" s="124">
        <f t="shared" ca="1" si="44"/>
        <v>0</v>
      </c>
      <c r="L437" s="379">
        <f ca="1">IF($A437="S",IF(CAIXA.Modo,BM.AFAcumulado,BM.MEDAcumulado),IF(AND(RegimeExecucao="Global",$I437&gt;0,COUNTIF($AB$13:$AM$13,BM.medicao)&gt;0),O437/$I437*100,0))</f>
        <v>0</v>
      </c>
      <c r="M437" s="380">
        <f ca="1">IF($A437="S",VTOTALBM,IF($A437=0,0,ROUND(SomaAgrupBM,15-13*ORÇAMENTO!$AF$11)))</f>
        <v>0</v>
      </c>
      <c r="N437" s="381">
        <f t="shared" ca="1" si="45"/>
        <v>0</v>
      </c>
      <c r="O437" s="127">
        <f ca="1">IF($A437="S",VTOTALBM,IF($A437=0,0,ROUND(SomaAgrupBM,15-13*ORÇAMENTO!$AF$11)))</f>
        <v>0</v>
      </c>
      <c r="Q437" s="382"/>
      <c r="R437" s="383"/>
      <c r="T437" s="119" t="str">
        <f t="shared" ca="1" si="46"/>
        <v/>
      </c>
      <c r="U437" s="172" t="str">
        <f t="shared" ca="1" si="47"/>
        <v/>
      </c>
      <c r="V437" s="173" t="str">
        <f ca="1">IF(AND($W437&gt;0,RegimeExecucao="Unitário"),$F437,"")</f>
        <v/>
      </c>
      <c r="W437" s="547">
        <f ca="1">IF($Y437&gt;0,CHOOSE(MATCH(RegimeExecucao,{"Unitário","Global"},0),IF($A437="S",$Y437/$X437,""),($Y437/$X437)*100),0)</f>
        <v>0</v>
      </c>
      <c r="X437" s="384" t="str">
        <f ca="1">IF($Y437&gt;0,CHOOSE(MATCH(RegimeExecucao,{"Unitário","Global"},0),IF($A437="S",ROUND($H437,ORÇAMENTO!$AF$10),""),ROUND($I437,ORÇAMENTO!$AF$11)),"")</f>
        <v/>
      </c>
      <c r="Y437" s="384">
        <f t="shared" ca="1" si="48"/>
        <v>0</v>
      </c>
      <c r="Z437" s="572"/>
      <c r="AB437" s="382"/>
      <c r="AC437" s="516"/>
      <c r="AD437" s="516"/>
      <c r="AE437" s="516"/>
      <c r="AF437" s="516"/>
      <c r="AG437" s="516"/>
      <c r="AH437" s="516"/>
      <c r="AI437" s="516"/>
      <c r="AJ437" s="516"/>
      <c r="AK437" s="516"/>
      <c r="AL437" s="516"/>
      <c r="AM437" s="383"/>
      <c r="AO437">
        <f ca="1">IF($A437="S",IF(BM!$I437=0,0,CHOOSE(MATCH(RegimeExecucao,{"Global","Unitário"},0),ROUND(ROUND(BM.MEDAcumulado,15-13*BM!$A$9)/100*BM!$I437,15-13*ORÇAMENTO!$AF$11),ROUND(ROUND(BM.MEDAcumulado,15-13*BM!$A$9)*ROUND(BM!$H437,15-13*ORÇAMENTO!$AF$10),15-13*ORÇAMENTO!$AF$11))),IF($A437=0,0,ROUND(SomaAgrupBM,15-13*ORÇAMENTO!$AF$11)))</f>
        <v>0</v>
      </c>
    </row>
    <row r="438" spans="1:41" ht="25.5" x14ac:dyDescent="0.2">
      <c r="A438" t="str">
        <f ca="1">ORÇAMENTO!C438</f>
        <v>S</v>
      </c>
      <c r="B438">
        <f ca="1">ORÇAMENTO!D438</f>
        <v>0</v>
      </c>
      <c r="C438" s="116" t="str">
        <f t="shared" ca="1" si="42"/>
        <v/>
      </c>
      <c r="D438" s="119" t="str">
        <f ca="1">ORÇAMENTO!O438</f>
        <v>-</v>
      </c>
      <c r="E438" s="172" t="str">
        <f t="shared" ca="1" si="43"/>
        <v>(abra o arquivo 'Referência 02-2025.xlsm)</v>
      </c>
      <c r="F438" s="173" t="str">
        <f ca="1">IF(RegimeExecucao="Global","",ORÇAMENTO.Unidade)</f>
        <v>-</v>
      </c>
      <c r="G438" s="124">
        <f ca="1">IF(RegimeExecucao="Global","",ORÇAMENTO!T438)</f>
        <v>2</v>
      </c>
      <c r="H438" s="124">
        <f ca="1">IF(RegimeExecucao="Global","",ORÇAMENTO!W438)</f>
        <v>0</v>
      </c>
      <c r="I438" s="127">
        <f ca="1">ORÇAMENTO!X438</f>
        <v>0</v>
      </c>
      <c r="J438" s="378">
        <f ca="1">IF($A438="S",IF(CAIXA.Modo,BM.AFAnterior,BM.MEDAnterior),IF(AND(RegimeExecucao="Global",$I438&gt;0,COUNTIF($AB$13:$AM$13,BM.medicao-1)&gt;0),M438/$I438*100,0))</f>
        <v>0</v>
      </c>
      <c r="K438" s="124">
        <f t="shared" ca="1" si="44"/>
        <v>0</v>
      </c>
      <c r="L438" s="379">
        <f ca="1">IF($A438="S",IF(CAIXA.Modo,BM.AFAcumulado,BM.MEDAcumulado),IF(AND(RegimeExecucao="Global",$I438&gt;0,COUNTIF($AB$13:$AM$13,BM.medicao)&gt;0),O438/$I438*100,0))</f>
        <v>0</v>
      </c>
      <c r="M438" s="380">
        <f ca="1">IF($A438="S",VTOTALBM,IF($A438=0,0,ROUND(SomaAgrupBM,15-13*ORÇAMENTO!$AF$11)))</f>
        <v>0</v>
      </c>
      <c r="N438" s="381">
        <f t="shared" ca="1" si="45"/>
        <v>0</v>
      </c>
      <c r="O438" s="127">
        <f ca="1">IF($A438="S",VTOTALBM,IF($A438=0,0,ROUND(SomaAgrupBM,15-13*ORÇAMENTO!$AF$11)))</f>
        <v>0</v>
      </c>
      <c r="Q438" s="382"/>
      <c r="R438" s="383"/>
      <c r="T438" s="119" t="str">
        <f t="shared" ca="1" si="46"/>
        <v/>
      </c>
      <c r="U438" s="172" t="str">
        <f t="shared" ca="1" si="47"/>
        <v/>
      </c>
      <c r="V438" s="173" t="str">
        <f ca="1">IF(AND($W438&gt;0,RegimeExecucao="Unitário"),$F438,"")</f>
        <v/>
      </c>
      <c r="W438" s="547">
        <f ca="1">IF($Y438&gt;0,CHOOSE(MATCH(RegimeExecucao,{"Unitário","Global"},0),IF($A438="S",$Y438/$X438,""),($Y438/$X438)*100),0)</f>
        <v>0</v>
      </c>
      <c r="X438" s="384" t="str">
        <f ca="1">IF($Y438&gt;0,CHOOSE(MATCH(RegimeExecucao,{"Unitário","Global"},0),IF($A438="S",ROUND($H438,ORÇAMENTO!$AF$10),""),ROUND($I438,ORÇAMENTO!$AF$11)),"")</f>
        <v/>
      </c>
      <c r="Y438" s="384">
        <f t="shared" ca="1" si="48"/>
        <v>0</v>
      </c>
      <c r="Z438" s="572"/>
      <c r="AB438" s="382"/>
      <c r="AC438" s="516"/>
      <c r="AD438" s="516"/>
      <c r="AE438" s="516"/>
      <c r="AF438" s="516"/>
      <c r="AG438" s="516"/>
      <c r="AH438" s="516"/>
      <c r="AI438" s="516"/>
      <c r="AJ438" s="516"/>
      <c r="AK438" s="516"/>
      <c r="AL438" s="516"/>
      <c r="AM438" s="383"/>
      <c r="AO438">
        <f ca="1">IF($A438="S",IF(BM!$I438=0,0,CHOOSE(MATCH(RegimeExecucao,{"Global","Unitário"},0),ROUND(ROUND(BM.MEDAcumulado,15-13*BM!$A$9)/100*BM!$I438,15-13*ORÇAMENTO!$AF$11),ROUND(ROUND(BM.MEDAcumulado,15-13*BM!$A$9)*ROUND(BM!$H438,15-13*ORÇAMENTO!$AF$10),15-13*ORÇAMENTO!$AF$11))),IF($A438=0,0,ROUND(SomaAgrupBM,15-13*ORÇAMENTO!$AF$11)))</f>
        <v>0</v>
      </c>
    </row>
    <row r="439" spans="1:41" ht="25.5" x14ac:dyDescent="0.2">
      <c r="A439" t="str">
        <f ca="1">ORÇAMENTO!C439</f>
        <v>S</v>
      </c>
      <c r="B439">
        <f ca="1">ORÇAMENTO!D439</f>
        <v>0</v>
      </c>
      <c r="C439" s="116" t="str">
        <f t="shared" ca="1" si="42"/>
        <v/>
      </c>
      <c r="D439" s="119" t="str">
        <f ca="1">ORÇAMENTO!O439</f>
        <v>-</v>
      </c>
      <c r="E439" s="172" t="str">
        <f t="shared" ca="1" si="43"/>
        <v>(abra o arquivo 'Referência 02-2025.xlsm)</v>
      </c>
      <c r="F439" s="173" t="str">
        <f ca="1">IF(RegimeExecucao="Global","",ORÇAMENTO.Unidade)</f>
        <v>-</v>
      </c>
      <c r="G439" s="124">
        <f ca="1">IF(RegimeExecucao="Global","",ORÇAMENTO!T439)</f>
        <v>2</v>
      </c>
      <c r="H439" s="124">
        <f ca="1">IF(RegimeExecucao="Global","",ORÇAMENTO!W439)</f>
        <v>0</v>
      </c>
      <c r="I439" s="127">
        <f ca="1">ORÇAMENTO!X439</f>
        <v>0</v>
      </c>
      <c r="J439" s="378">
        <f ca="1">IF($A439="S",IF(CAIXA.Modo,BM.AFAnterior,BM.MEDAnterior),IF(AND(RegimeExecucao="Global",$I439&gt;0,COUNTIF($AB$13:$AM$13,BM.medicao-1)&gt;0),M439/$I439*100,0))</f>
        <v>0</v>
      </c>
      <c r="K439" s="124">
        <f t="shared" ca="1" si="44"/>
        <v>0</v>
      </c>
      <c r="L439" s="379">
        <f ca="1">IF($A439="S",IF(CAIXA.Modo,BM.AFAcumulado,BM.MEDAcumulado),IF(AND(RegimeExecucao="Global",$I439&gt;0,COUNTIF($AB$13:$AM$13,BM.medicao)&gt;0),O439/$I439*100,0))</f>
        <v>0</v>
      </c>
      <c r="M439" s="380">
        <f ca="1">IF($A439="S",VTOTALBM,IF($A439=0,0,ROUND(SomaAgrupBM,15-13*ORÇAMENTO!$AF$11)))</f>
        <v>0</v>
      </c>
      <c r="N439" s="381">
        <f t="shared" ca="1" si="45"/>
        <v>0</v>
      </c>
      <c r="O439" s="127">
        <f ca="1">IF($A439="S",VTOTALBM,IF($A439=0,0,ROUND(SomaAgrupBM,15-13*ORÇAMENTO!$AF$11)))</f>
        <v>0</v>
      </c>
      <c r="Q439" s="382"/>
      <c r="R439" s="383"/>
      <c r="T439" s="119" t="str">
        <f t="shared" ca="1" si="46"/>
        <v/>
      </c>
      <c r="U439" s="172" t="str">
        <f t="shared" ca="1" si="47"/>
        <v/>
      </c>
      <c r="V439" s="173" t="str">
        <f ca="1">IF(AND($W439&gt;0,RegimeExecucao="Unitário"),$F439,"")</f>
        <v/>
      </c>
      <c r="W439" s="547">
        <f ca="1">IF($Y439&gt;0,CHOOSE(MATCH(RegimeExecucao,{"Unitário","Global"},0),IF($A439="S",$Y439/$X439,""),($Y439/$X439)*100),0)</f>
        <v>0</v>
      </c>
      <c r="X439" s="384" t="str">
        <f ca="1">IF($Y439&gt;0,CHOOSE(MATCH(RegimeExecucao,{"Unitário","Global"},0),IF($A439="S",ROUND($H439,ORÇAMENTO!$AF$10),""),ROUND($I439,ORÇAMENTO!$AF$11)),"")</f>
        <v/>
      </c>
      <c r="Y439" s="384">
        <f t="shared" ca="1" si="48"/>
        <v>0</v>
      </c>
      <c r="Z439" s="572"/>
      <c r="AB439" s="382"/>
      <c r="AC439" s="516"/>
      <c r="AD439" s="516"/>
      <c r="AE439" s="516"/>
      <c r="AF439" s="516"/>
      <c r="AG439" s="516"/>
      <c r="AH439" s="516"/>
      <c r="AI439" s="516"/>
      <c r="AJ439" s="516"/>
      <c r="AK439" s="516"/>
      <c r="AL439" s="516"/>
      <c r="AM439" s="383"/>
      <c r="AO439">
        <f ca="1">IF($A439="S",IF(BM!$I439=0,0,CHOOSE(MATCH(RegimeExecucao,{"Global","Unitário"},0),ROUND(ROUND(BM.MEDAcumulado,15-13*BM!$A$9)/100*BM!$I439,15-13*ORÇAMENTO!$AF$11),ROUND(ROUND(BM.MEDAcumulado,15-13*BM!$A$9)*ROUND(BM!$H439,15-13*ORÇAMENTO!$AF$10),15-13*ORÇAMENTO!$AF$11))),IF($A439=0,0,ROUND(SomaAgrupBM,15-13*ORÇAMENTO!$AF$11)))</f>
        <v>0</v>
      </c>
    </row>
    <row r="440" spans="1:41" ht="38.25" x14ac:dyDescent="0.2">
      <c r="A440" t="str">
        <f ca="1">ORÇAMENTO!C440</f>
        <v>S</v>
      </c>
      <c r="B440">
        <f ca="1">ORÇAMENTO!D440</f>
        <v>0</v>
      </c>
      <c r="C440" s="116" t="str">
        <f t="shared" ca="1" si="42"/>
        <v/>
      </c>
      <c r="D440" s="119" t="str">
        <f ca="1">ORÇAMENTO!O440</f>
        <v>-</v>
      </c>
      <c r="E440" s="172" t="str">
        <f t="shared" ca="1" si="43"/>
        <v>(abra o arquivo 'Referência 02-2025.xlsm)</v>
      </c>
      <c r="F440" s="173" t="str">
        <f ca="1">IF(RegimeExecucao="Global","",ORÇAMENTO.Unidade)</f>
        <v>-</v>
      </c>
      <c r="G440" s="124">
        <f ca="1">IF(RegimeExecucao="Global","",ORÇAMENTO!T440)</f>
        <v>2</v>
      </c>
      <c r="H440" s="124">
        <f ca="1">IF(RegimeExecucao="Global","",ORÇAMENTO!W440)</f>
        <v>0</v>
      </c>
      <c r="I440" s="127">
        <f ca="1">ORÇAMENTO!X440</f>
        <v>0</v>
      </c>
      <c r="J440" s="378">
        <f ca="1">IF($A440="S",IF(CAIXA.Modo,BM.AFAnterior,BM.MEDAnterior),IF(AND(RegimeExecucao="Global",$I440&gt;0,COUNTIF($AB$13:$AM$13,BM.medicao-1)&gt;0),M440/$I440*100,0))</f>
        <v>0</v>
      </c>
      <c r="K440" s="124">
        <f t="shared" ca="1" si="44"/>
        <v>0</v>
      </c>
      <c r="L440" s="379">
        <f ca="1">IF($A440="S",IF(CAIXA.Modo,BM.AFAcumulado,BM.MEDAcumulado),IF(AND(RegimeExecucao="Global",$I440&gt;0,COUNTIF($AB$13:$AM$13,BM.medicao)&gt;0),O440/$I440*100,0))</f>
        <v>0</v>
      </c>
      <c r="M440" s="380">
        <f ca="1">IF($A440="S",VTOTALBM,IF($A440=0,0,ROUND(SomaAgrupBM,15-13*ORÇAMENTO!$AF$11)))</f>
        <v>0</v>
      </c>
      <c r="N440" s="381">
        <f t="shared" ca="1" si="45"/>
        <v>0</v>
      </c>
      <c r="O440" s="127">
        <f ca="1">IF($A440="S",VTOTALBM,IF($A440=0,0,ROUND(SomaAgrupBM,15-13*ORÇAMENTO!$AF$11)))</f>
        <v>0</v>
      </c>
      <c r="Q440" s="382"/>
      <c r="R440" s="383"/>
      <c r="T440" s="119" t="str">
        <f t="shared" ca="1" si="46"/>
        <v/>
      </c>
      <c r="U440" s="172" t="str">
        <f t="shared" ca="1" si="47"/>
        <v/>
      </c>
      <c r="V440" s="173" t="str">
        <f ca="1">IF(AND($W440&gt;0,RegimeExecucao="Unitário"),$F440,"")</f>
        <v/>
      </c>
      <c r="W440" s="547">
        <f ca="1">IF($Y440&gt;0,CHOOSE(MATCH(RegimeExecucao,{"Unitário","Global"},0),IF($A440="S",$Y440/$X440,""),($Y440/$X440)*100),0)</f>
        <v>0</v>
      </c>
      <c r="X440" s="384" t="str">
        <f ca="1">IF($Y440&gt;0,CHOOSE(MATCH(RegimeExecucao,{"Unitário","Global"},0),IF($A440="S",ROUND($H440,ORÇAMENTO!$AF$10),""),ROUND($I440,ORÇAMENTO!$AF$11)),"")</f>
        <v/>
      </c>
      <c r="Y440" s="384">
        <f t="shared" ca="1" si="48"/>
        <v>0</v>
      </c>
      <c r="Z440" s="572"/>
      <c r="AB440" s="382"/>
      <c r="AC440" s="516"/>
      <c r="AD440" s="516"/>
      <c r="AE440" s="516"/>
      <c r="AF440" s="516"/>
      <c r="AG440" s="516"/>
      <c r="AH440" s="516"/>
      <c r="AI440" s="516"/>
      <c r="AJ440" s="516"/>
      <c r="AK440" s="516"/>
      <c r="AL440" s="516"/>
      <c r="AM440" s="383"/>
      <c r="AO440">
        <f ca="1">IF($A440="S",IF(BM!$I440=0,0,CHOOSE(MATCH(RegimeExecucao,{"Global","Unitário"},0),ROUND(ROUND(BM.MEDAcumulado,15-13*BM!$A$9)/100*BM!$I440,15-13*ORÇAMENTO!$AF$11),ROUND(ROUND(BM.MEDAcumulado,15-13*BM!$A$9)*ROUND(BM!$H440,15-13*ORÇAMENTO!$AF$10),15-13*ORÇAMENTO!$AF$11))),IF($A440=0,0,ROUND(SomaAgrupBM,15-13*ORÇAMENTO!$AF$11)))</f>
        <v>0</v>
      </c>
    </row>
    <row r="441" spans="1:41" ht="25.5" x14ac:dyDescent="0.2">
      <c r="A441" t="str">
        <f ca="1">ORÇAMENTO!C441</f>
        <v>S</v>
      </c>
      <c r="B441">
        <f ca="1">ORÇAMENTO!D441</f>
        <v>0</v>
      </c>
      <c r="C441" s="116" t="str">
        <f t="shared" ca="1" si="42"/>
        <v/>
      </c>
      <c r="D441" s="119" t="str">
        <f ca="1">ORÇAMENTO!O441</f>
        <v>-</v>
      </c>
      <c r="E441" s="172" t="str">
        <f t="shared" ca="1" si="43"/>
        <v>(abra o arquivo 'Referência 02-2025.xlsm)</v>
      </c>
      <c r="F441" s="173" t="str">
        <f ca="1">IF(RegimeExecucao="Global","",ORÇAMENTO.Unidade)</f>
        <v>-</v>
      </c>
      <c r="G441" s="124">
        <f ca="1">IF(RegimeExecucao="Global","",ORÇAMENTO!T441)</f>
        <v>1</v>
      </c>
      <c r="H441" s="124">
        <f ca="1">IF(RegimeExecucao="Global","",ORÇAMENTO!W441)</f>
        <v>0</v>
      </c>
      <c r="I441" s="127">
        <f ca="1">ORÇAMENTO!X441</f>
        <v>0</v>
      </c>
      <c r="J441" s="378">
        <f ca="1">IF($A441="S",IF(CAIXA.Modo,BM.AFAnterior,BM.MEDAnterior),IF(AND(RegimeExecucao="Global",$I441&gt;0,COUNTIF($AB$13:$AM$13,BM.medicao-1)&gt;0),M441/$I441*100,0))</f>
        <v>0</v>
      </c>
      <c r="K441" s="124">
        <f t="shared" ca="1" si="44"/>
        <v>0</v>
      </c>
      <c r="L441" s="379">
        <f ca="1">IF($A441="S",IF(CAIXA.Modo,BM.AFAcumulado,BM.MEDAcumulado),IF(AND(RegimeExecucao="Global",$I441&gt;0,COUNTIF($AB$13:$AM$13,BM.medicao)&gt;0),O441/$I441*100,0))</f>
        <v>0</v>
      </c>
      <c r="M441" s="380">
        <f ca="1">IF($A441="S",VTOTALBM,IF($A441=0,0,ROUND(SomaAgrupBM,15-13*ORÇAMENTO!$AF$11)))</f>
        <v>0</v>
      </c>
      <c r="N441" s="381">
        <f t="shared" ca="1" si="45"/>
        <v>0</v>
      </c>
      <c r="O441" s="127">
        <f ca="1">IF($A441="S",VTOTALBM,IF($A441=0,0,ROUND(SomaAgrupBM,15-13*ORÇAMENTO!$AF$11)))</f>
        <v>0</v>
      </c>
      <c r="Q441" s="382"/>
      <c r="R441" s="383"/>
      <c r="T441" s="119" t="str">
        <f t="shared" ca="1" si="46"/>
        <v/>
      </c>
      <c r="U441" s="172" t="str">
        <f t="shared" ca="1" si="47"/>
        <v/>
      </c>
      <c r="V441" s="173" t="str">
        <f ca="1">IF(AND($W441&gt;0,RegimeExecucao="Unitário"),$F441,"")</f>
        <v/>
      </c>
      <c r="W441" s="547">
        <f ca="1">IF($Y441&gt;0,CHOOSE(MATCH(RegimeExecucao,{"Unitário","Global"},0),IF($A441="S",$Y441/$X441,""),($Y441/$X441)*100),0)</f>
        <v>0</v>
      </c>
      <c r="X441" s="384" t="str">
        <f ca="1">IF($Y441&gt;0,CHOOSE(MATCH(RegimeExecucao,{"Unitário","Global"},0),IF($A441="S",ROUND($H441,ORÇAMENTO!$AF$10),""),ROUND($I441,ORÇAMENTO!$AF$11)),"")</f>
        <v/>
      </c>
      <c r="Y441" s="384">
        <f t="shared" ca="1" si="48"/>
        <v>0</v>
      </c>
      <c r="Z441" s="572"/>
      <c r="AB441" s="382"/>
      <c r="AC441" s="516"/>
      <c r="AD441" s="516"/>
      <c r="AE441" s="516"/>
      <c r="AF441" s="516"/>
      <c r="AG441" s="516"/>
      <c r="AH441" s="516"/>
      <c r="AI441" s="516"/>
      <c r="AJ441" s="516"/>
      <c r="AK441" s="516"/>
      <c r="AL441" s="516"/>
      <c r="AM441" s="383"/>
      <c r="AO441">
        <f ca="1">IF($A441="S",IF(BM!$I441=0,0,CHOOSE(MATCH(RegimeExecucao,{"Global","Unitário"},0),ROUND(ROUND(BM.MEDAcumulado,15-13*BM!$A$9)/100*BM!$I441,15-13*ORÇAMENTO!$AF$11),ROUND(ROUND(BM.MEDAcumulado,15-13*BM!$A$9)*ROUND(BM!$H441,15-13*ORÇAMENTO!$AF$10),15-13*ORÇAMENTO!$AF$11))),IF($A441=0,0,ROUND(SomaAgrupBM,15-13*ORÇAMENTO!$AF$11)))</f>
        <v>0</v>
      </c>
    </row>
    <row r="442" spans="1:41" ht="25.5" x14ac:dyDescent="0.2">
      <c r="A442" t="str">
        <f ca="1">ORÇAMENTO!C442</f>
        <v>S</v>
      </c>
      <c r="B442">
        <f ca="1">ORÇAMENTO!D442</f>
        <v>0</v>
      </c>
      <c r="C442" s="116" t="str">
        <f t="shared" ca="1" si="42"/>
        <v/>
      </c>
      <c r="D442" s="119" t="str">
        <f ca="1">ORÇAMENTO!O442</f>
        <v>-</v>
      </c>
      <c r="E442" s="172" t="str">
        <f t="shared" ca="1" si="43"/>
        <v>(abra o arquivo 'Referência 02-2025.xlsm)</v>
      </c>
      <c r="F442" s="173" t="str">
        <f ca="1">IF(RegimeExecucao="Global","",ORÇAMENTO.Unidade)</f>
        <v>-</v>
      </c>
      <c r="G442" s="124">
        <f ca="1">IF(RegimeExecucao="Global","",ORÇAMENTO!T442)</f>
        <v>2</v>
      </c>
      <c r="H442" s="124">
        <f ca="1">IF(RegimeExecucao="Global","",ORÇAMENTO!W442)</f>
        <v>0</v>
      </c>
      <c r="I442" s="127">
        <f ca="1">ORÇAMENTO!X442</f>
        <v>0</v>
      </c>
      <c r="J442" s="378">
        <f ca="1">IF($A442="S",IF(CAIXA.Modo,BM.AFAnterior,BM.MEDAnterior),IF(AND(RegimeExecucao="Global",$I442&gt;0,COUNTIF($AB$13:$AM$13,BM.medicao-1)&gt;0),M442/$I442*100,0))</f>
        <v>0</v>
      </c>
      <c r="K442" s="124">
        <f t="shared" ca="1" si="44"/>
        <v>0</v>
      </c>
      <c r="L442" s="379">
        <f ca="1">IF($A442="S",IF(CAIXA.Modo,BM.AFAcumulado,BM.MEDAcumulado),IF(AND(RegimeExecucao="Global",$I442&gt;0,COUNTIF($AB$13:$AM$13,BM.medicao)&gt;0),O442/$I442*100,0))</f>
        <v>0</v>
      </c>
      <c r="M442" s="380">
        <f ca="1">IF($A442="S",VTOTALBM,IF($A442=0,0,ROUND(SomaAgrupBM,15-13*ORÇAMENTO!$AF$11)))</f>
        <v>0</v>
      </c>
      <c r="N442" s="381">
        <f t="shared" ca="1" si="45"/>
        <v>0</v>
      </c>
      <c r="O442" s="127">
        <f ca="1">IF($A442="S",VTOTALBM,IF($A442=0,0,ROUND(SomaAgrupBM,15-13*ORÇAMENTO!$AF$11)))</f>
        <v>0</v>
      </c>
      <c r="Q442" s="382"/>
      <c r="R442" s="383"/>
      <c r="T442" s="119" t="str">
        <f t="shared" ca="1" si="46"/>
        <v/>
      </c>
      <c r="U442" s="172" t="str">
        <f t="shared" ca="1" si="47"/>
        <v/>
      </c>
      <c r="V442" s="173" t="str">
        <f ca="1">IF(AND($W442&gt;0,RegimeExecucao="Unitário"),$F442,"")</f>
        <v/>
      </c>
      <c r="W442" s="547">
        <f ca="1">IF($Y442&gt;0,CHOOSE(MATCH(RegimeExecucao,{"Unitário","Global"},0),IF($A442="S",$Y442/$X442,""),($Y442/$X442)*100),0)</f>
        <v>0</v>
      </c>
      <c r="X442" s="384" t="str">
        <f ca="1">IF($Y442&gt;0,CHOOSE(MATCH(RegimeExecucao,{"Unitário","Global"},0),IF($A442="S",ROUND($H442,ORÇAMENTO!$AF$10),""),ROUND($I442,ORÇAMENTO!$AF$11)),"")</f>
        <v/>
      </c>
      <c r="Y442" s="384">
        <f t="shared" ca="1" si="48"/>
        <v>0</v>
      </c>
      <c r="Z442" s="572"/>
      <c r="AB442" s="382"/>
      <c r="AC442" s="516"/>
      <c r="AD442" s="516"/>
      <c r="AE442" s="516"/>
      <c r="AF442" s="516"/>
      <c r="AG442" s="516"/>
      <c r="AH442" s="516"/>
      <c r="AI442" s="516"/>
      <c r="AJ442" s="516"/>
      <c r="AK442" s="516"/>
      <c r="AL442" s="516"/>
      <c r="AM442" s="383"/>
      <c r="AO442">
        <f ca="1">IF($A442="S",IF(BM!$I442=0,0,CHOOSE(MATCH(RegimeExecucao,{"Global","Unitário"},0),ROUND(ROUND(BM.MEDAcumulado,15-13*BM!$A$9)/100*BM!$I442,15-13*ORÇAMENTO!$AF$11),ROUND(ROUND(BM.MEDAcumulado,15-13*BM!$A$9)*ROUND(BM!$H442,15-13*ORÇAMENTO!$AF$10),15-13*ORÇAMENTO!$AF$11))),IF($A442=0,0,ROUND(SomaAgrupBM,15-13*ORÇAMENTO!$AF$11)))</f>
        <v>0</v>
      </c>
    </row>
    <row r="443" spans="1:41" ht="25.5" x14ac:dyDescent="0.2">
      <c r="A443" t="str">
        <f ca="1">ORÇAMENTO!C443</f>
        <v>S</v>
      </c>
      <c r="B443">
        <f ca="1">ORÇAMENTO!D443</f>
        <v>0</v>
      </c>
      <c r="C443" s="116" t="str">
        <f t="shared" ca="1" si="42"/>
        <v/>
      </c>
      <c r="D443" s="119" t="str">
        <f ca="1">ORÇAMENTO!O443</f>
        <v>-</v>
      </c>
      <c r="E443" s="172" t="str">
        <f t="shared" ca="1" si="43"/>
        <v>(abra o arquivo 'Referência 02-2025.xlsm)</v>
      </c>
      <c r="F443" s="173" t="str">
        <f ca="1">IF(RegimeExecucao="Global","",ORÇAMENTO.Unidade)</f>
        <v>-</v>
      </c>
      <c r="G443" s="124">
        <f ca="1">IF(RegimeExecucao="Global","",ORÇAMENTO!T443)</f>
        <v>2</v>
      </c>
      <c r="H443" s="124">
        <f ca="1">IF(RegimeExecucao="Global","",ORÇAMENTO!W443)</f>
        <v>0</v>
      </c>
      <c r="I443" s="127">
        <f ca="1">ORÇAMENTO!X443</f>
        <v>0</v>
      </c>
      <c r="J443" s="378">
        <f ca="1">IF($A443="S",IF(CAIXA.Modo,BM.AFAnterior,BM.MEDAnterior),IF(AND(RegimeExecucao="Global",$I443&gt;0,COUNTIF($AB$13:$AM$13,BM.medicao-1)&gt;0),M443/$I443*100,0))</f>
        <v>0</v>
      </c>
      <c r="K443" s="124">
        <f t="shared" ca="1" si="44"/>
        <v>0</v>
      </c>
      <c r="L443" s="379">
        <f ca="1">IF($A443="S",IF(CAIXA.Modo,BM.AFAcumulado,BM.MEDAcumulado),IF(AND(RegimeExecucao="Global",$I443&gt;0,COUNTIF($AB$13:$AM$13,BM.medicao)&gt;0),O443/$I443*100,0))</f>
        <v>0</v>
      </c>
      <c r="M443" s="380">
        <f ca="1">IF($A443="S",VTOTALBM,IF($A443=0,0,ROUND(SomaAgrupBM,15-13*ORÇAMENTO!$AF$11)))</f>
        <v>0</v>
      </c>
      <c r="N443" s="381">
        <f t="shared" ca="1" si="45"/>
        <v>0</v>
      </c>
      <c r="O443" s="127">
        <f ca="1">IF($A443="S",VTOTALBM,IF($A443=0,0,ROUND(SomaAgrupBM,15-13*ORÇAMENTO!$AF$11)))</f>
        <v>0</v>
      </c>
      <c r="Q443" s="382"/>
      <c r="R443" s="383"/>
      <c r="T443" s="119" t="str">
        <f t="shared" ca="1" si="46"/>
        <v/>
      </c>
      <c r="U443" s="172" t="str">
        <f t="shared" ca="1" si="47"/>
        <v/>
      </c>
      <c r="V443" s="173" t="str">
        <f ca="1">IF(AND($W443&gt;0,RegimeExecucao="Unitário"),$F443,"")</f>
        <v/>
      </c>
      <c r="W443" s="547">
        <f ca="1">IF($Y443&gt;0,CHOOSE(MATCH(RegimeExecucao,{"Unitário","Global"},0),IF($A443="S",$Y443/$X443,""),($Y443/$X443)*100),0)</f>
        <v>0</v>
      </c>
      <c r="X443" s="384" t="str">
        <f ca="1">IF($Y443&gt;0,CHOOSE(MATCH(RegimeExecucao,{"Unitário","Global"},0),IF($A443="S",ROUND($H443,ORÇAMENTO!$AF$10),""),ROUND($I443,ORÇAMENTO!$AF$11)),"")</f>
        <v/>
      </c>
      <c r="Y443" s="384">
        <f t="shared" ca="1" si="48"/>
        <v>0</v>
      </c>
      <c r="Z443" s="572"/>
      <c r="AB443" s="382"/>
      <c r="AC443" s="516"/>
      <c r="AD443" s="516"/>
      <c r="AE443" s="516"/>
      <c r="AF443" s="516"/>
      <c r="AG443" s="516"/>
      <c r="AH443" s="516"/>
      <c r="AI443" s="516"/>
      <c r="AJ443" s="516"/>
      <c r="AK443" s="516"/>
      <c r="AL443" s="516"/>
      <c r="AM443" s="383"/>
      <c r="AO443">
        <f ca="1">IF($A443="S",IF(BM!$I443=0,0,CHOOSE(MATCH(RegimeExecucao,{"Global","Unitário"},0),ROUND(ROUND(BM.MEDAcumulado,15-13*BM!$A$9)/100*BM!$I443,15-13*ORÇAMENTO!$AF$11),ROUND(ROUND(BM.MEDAcumulado,15-13*BM!$A$9)*ROUND(BM!$H443,15-13*ORÇAMENTO!$AF$10),15-13*ORÇAMENTO!$AF$11))),IF($A443=0,0,ROUND(SomaAgrupBM,15-13*ORÇAMENTO!$AF$11)))</f>
        <v>0</v>
      </c>
    </row>
    <row r="444" spans="1:41" ht="25.5" x14ac:dyDescent="0.2">
      <c r="A444" t="str">
        <f ca="1">ORÇAMENTO!C444</f>
        <v>S</v>
      </c>
      <c r="B444">
        <f ca="1">ORÇAMENTO!D444</f>
        <v>0</v>
      </c>
      <c r="C444" s="116" t="str">
        <f t="shared" ca="1" si="42"/>
        <v/>
      </c>
      <c r="D444" s="119" t="str">
        <f ca="1">ORÇAMENTO!O444</f>
        <v>-</v>
      </c>
      <c r="E444" s="172" t="str">
        <f t="shared" ca="1" si="43"/>
        <v>(abra o arquivo 'Referência 02-2025.xlsm)</v>
      </c>
      <c r="F444" s="173" t="str">
        <f ca="1">IF(RegimeExecucao="Global","",ORÇAMENTO.Unidade)</f>
        <v>-</v>
      </c>
      <c r="G444" s="124">
        <f ca="1">IF(RegimeExecucao="Global","",ORÇAMENTO!T444)</f>
        <v>3</v>
      </c>
      <c r="H444" s="124">
        <f ca="1">IF(RegimeExecucao="Global","",ORÇAMENTO!W444)</f>
        <v>0</v>
      </c>
      <c r="I444" s="127">
        <f ca="1">ORÇAMENTO!X444</f>
        <v>0</v>
      </c>
      <c r="J444" s="378">
        <f ca="1">IF($A444="S",IF(CAIXA.Modo,BM.AFAnterior,BM.MEDAnterior),IF(AND(RegimeExecucao="Global",$I444&gt;0,COUNTIF($AB$13:$AM$13,BM.medicao-1)&gt;0),M444/$I444*100,0))</f>
        <v>0</v>
      </c>
      <c r="K444" s="124">
        <f t="shared" ca="1" si="44"/>
        <v>0</v>
      </c>
      <c r="L444" s="379">
        <f ca="1">IF($A444="S",IF(CAIXA.Modo,BM.AFAcumulado,BM.MEDAcumulado),IF(AND(RegimeExecucao="Global",$I444&gt;0,COUNTIF($AB$13:$AM$13,BM.medicao)&gt;0),O444/$I444*100,0))</f>
        <v>0</v>
      </c>
      <c r="M444" s="380">
        <f ca="1">IF($A444="S",VTOTALBM,IF($A444=0,0,ROUND(SomaAgrupBM,15-13*ORÇAMENTO!$AF$11)))</f>
        <v>0</v>
      </c>
      <c r="N444" s="381">
        <f t="shared" ca="1" si="45"/>
        <v>0</v>
      </c>
      <c r="O444" s="127">
        <f ca="1">IF($A444="S",VTOTALBM,IF($A444=0,0,ROUND(SomaAgrupBM,15-13*ORÇAMENTO!$AF$11)))</f>
        <v>0</v>
      </c>
      <c r="Q444" s="382"/>
      <c r="R444" s="383"/>
      <c r="T444" s="119" t="str">
        <f t="shared" ca="1" si="46"/>
        <v/>
      </c>
      <c r="U444" s="172" t="str">
        <f t="shared" ca="1" si="47"/>
        <v/>
      </c>
      <c r="V444" s="173" t="str">
        <f ca="1">IF(AND($W444&gt;0,RegimeExecucao="Unitário"),$F444,"")</f>
        <v/>
      </c>
      <c r="W444" s="547">
        <f ca="1">IF($Y444&gt;0,CHOOSE(MATCH(RegimeExecucao,{"Unitário","Global"},0),IF($A444="S",$Y444/$X444,""),($Y444/$X444)*100),0)</f>
        <v>0</v>
      </c>
      <c r="X444" s="384" t="str">
        <f ca="1">IF($Y444&gt;0,CHOOSE(MATCH(RegimeExecucao,{"Unitário","Global"},0),IF($A444="S",ROUND($H444,ORÇAMENTO!$AF$10),""),ROUND($I444,ORÇAMENTO!$AF$11)),"")</f>
        <v/>
      </c>
      <c r="Y444" s="384">
        <f t="shared" ca="1" si="48"/>
        <v>0</v>
      </c>
      <c r="Z444" s="572"/>
      <c r="AB444" s="382"/>
      <c r="AC444" s="516"/>
      <c r="AD444" s="516"/>
      <c r="AE444" s="516"/>
      <c r="AF444" s="516"/>
      <c r="AG444" s="516"/>
      <c r="AH444" s="516"/>
      <c r="AI444" s="516"/>
      <c r="AJ444" s="516"/>
      <c r="AK444" s="516"/>
      <c r="AL444" s="516"/>
      <c r="AM444" s="383"/>
      <c r="AO444">
        <f ca="1">IF($A444="S",IF(BM!$I444=0,0,CHOOSE(MATCH(RegimeExecucao,{"Global","Unitário"},0),ROUND(ROUND(BM.MEDAcumulado,15-13*BM!$A$9)/100*BM!$I444,15-13*ORÇAMENTO!$AF$11),ROUND(ROUND(BM.MEDAcumulado,15-13*BM!$A$9)*ROUND(BM!$H444,15-13*ORÇAMENTO!$AF$10),15-13*ORÇAMENTO!$AF$11))),IF($A444=0,0,ROUND(SomaAgrupBM,15-13*ORÇAMENTO!$AF$11)))</f>
        <v>0</v>
      </c>
    </row>
    <row r="445" spans="1:41" ht="25.5" x14ac:dyDescent="0.2">
      <c r="A445" t="str">
        <f ca="1">ORÇAMENTO!C445</f>
        <v>S</v>
      </c>
      <c r="B445">
        <f ca="1">ORÇAMENTO!D445</f>
        <v>0</v>
      </c>
      <c r="C445" s="116" t="str">
        <f t="shared" ca="1" si="42"/>
        <v/>
      </c>
      <c r="D445" s="119" t="str">
        <f ca="1">ORÇAMENTO!O445</f>
        <v>-</v>
      </c>
      <c r="E445" s="172" t="str">
        <f t="shared" ca="1" si="43"/>
        <v>(abra o arquivo 'Referência 02-2025.xlsm)</v>
      </c>
      <c r="F445" s="173" t="str">
        <f ca="1">IF(RegimeExecucao="Global","",ORÇAMENTO.Unidade)</f>
        <v>-</v>
      </c>
      <c r="G445" s="124">
        <f ca="1">IF(RegimeExecucao="Global","",ORÇAMENTO!T445)</f>
        <v>1</v>
      </c>
      <c r="H445" s="124">
        <f ca="1">IF(RegimeExecucao="Global","",ORÇAMENTO!W445)</f>
        <v>0</v>
      </c>
      <c r="I445" s="127">
        <f ca="1">ORÇAMENTO!X445</f>
        <v>0</v>
      </c>
      <c r="J445" s="378">
        <f ca="1">IF($A445="S",IF(CAIXA.Modo,BM.AFAnterior,BM.MEDAnterior),IF(AND(RegimeExecucao="Global",$I445&gt;0,COUNTIF($AB$13:$AM$13,BM.medicao-1)&gt;0),M445/$I445*100,0))</f>
        <v>0</v>
      </c>
      <c r="K445" s="124">
        <f t="shared" ca="1" si="44"/>
        <v>0</v>
      </c>
      <c r="L445" s="379">
        <f ca="1">IF($A445="S",IF(CAIXA.Modo,BM.AFAcumulado,BM.MEDAcumulado),IF(AND(RegimeExecucao="Global",$I445&gt;0,COUNTIF($AB$13:$AM$13,BM.medicao)&gt;0),O445/$I445*100,0))</f>
        <v>0</v>
      </c>
      <c r="M445" s="380">
        <f ca="1">IF($A445="S",VTOTALBM,IF($A445=0,0,ROUND(SomaAgrupBM,15-13*ORÇAMENTO!$AF$11)))</f>
        <v>0</v>
      </c>
      <c r="N445" s="381">
        <f t="shared" ca="1" si="45"/>
        <v>0</v>
      </c>
      <c r="O445" s="127">
        <f ca="1">IF($A445="S",VTOTALBM,IF($A445=0,0,ROUND(SomaAgrupBM,15-13*ORÇAMENTO!$AF$11)))</f>
        <v>0</v>
      </c>
      <c r="Q445" s="382"/>
      <c r="R445" s="383"/>
      <c r="T445" s="119" t="str">
        <f t="shared" ca="1" si="46"/>
        <v/>
      </c>
      <c r="U445" s="172" t="str">
        <f t="shared" ca="1" si="47"/>
        <v/>
      </c>
      <c r="V445" s="173" t="str">
        <f ca="1">IF(AND($W445&gt;0,RegimeExecucao="Unitário"),$F445,"")</f>
        <v/>
      </c>
      <c r="W445" s="547">
        <f ca="1">IF($Y445&gt;0,CHOOSE(MATCH(RegimeExecucao,{"Unitário","Global"},0),IF($A445="S",$Y445/$X445,""),($Y445/$X445)*100),0)</f>
        <v>0</v>
      </c>
      <c r="X445" s="384" t="str">
        <f ca="1">IF($Y445&gt;0,CHOOSE(MATCH(RegimeExecucao,{"Unitário","Global"},0),IF($A445="S",ROUND($H445,ORÇAMENTO!$AF$10),""),ROUND($I445,ORÇAMENTO!$AF$11)),"")</f>
        <v/>
      </c>
      <c r="Y445" s="384">
        <f t="shared" ca="1" si="48"/>
        <v>0</v>
      </c>
      <c r="Z445" s="572"/>
      <c r="AB445" s="382"/>
      <c r="AC445" s="516"/>
      <c r="AD445" s="516"/>
      <c r="AE445" s="516"/>
      <c r="AF445" s="516"/>
      <c r="AG445" s="516"/>
      <c r="AH445" s="516"/>
      <c r="AI445" s="516"/>
      <c r="AJ445" s="516"/>
      <c r="AK445" s="516"/>
      <c r="AL445" s="516"/>
      <c r="AM445" s="383"/>
      <c r="AO445">
        <f ca="1">IF($A445="S",IF(BM!$I445=0,0,CHOOSE(MATCH(RegimeExecucao,{"Global","Unitário"},0),ROUND(ROUND(BM.MEDAcumulado,15-13*BM!$A$9)/100*BM!$I445,15-13*ORÇAMENTO!$AF$11),ROUND(ROUND(BM.MEDAcumulado,15-13*BM!$A$9)*ROUND(BM!$H445,15-13*ORÇAMENTO!$AF$10),15-13*ORÇAMENTO!$AF$11))),IF($A445=0,0,ROUND(SomaAgrupBM,15-13*ORÇAMENTO!$AF$11)))</f>
        <v>0</v>
      </c>
    </row>
    <row r="446" spans="1:41" ht="25.5" x14ac:dyDescent="0.2">
      <c r="A446" t="str">
        <f ca="1">ORÇAMENTO!C446</f>
        <v>S</v>
      </c>
      <c r="B446">
        <f ca="1">ORÇAMENTO!D446</f>
        <v>0</v>
      </c>
      <c r="C446" s="116" t="str">
        <f t="shared" ca="1" si="42"/>
        <v/>
      </c>
      <c r="D446" s="119" t="str">
        <f ca="1">ORÇAMENTO!O446</f>
        <v>-</v>
      </c>
      <c r="E446" s="172" t="str">
        <f t="shared" ca="1" si="43"/>
        <v>(abra o arquivo 'Referência 02-2025.xlsm)</v>
      </c>
      <c r="F446" s="173" t="str">
        <f ca="1">IF(RegimeExecucao="Global","",ORÇAMENTO.Unidade)</f>
        <v>-</v>
      </c>
      <c r="G446" s="124">
        <f ca="1">IF(RegimeExecucao="Global","",ORÇAMENTO!T446)</f>
        <v>1</v>
      </c>
      <c r="H446" s="124">
        <f ca="1">IF(RegimeExecucao="Global","",ORÇAMENTO!W446)</f>
        <v>0</v>
      </c>
      <c r="I446" s="127">
        <f ca="1">ORÇAMENTO!X446</f>
        <v>0</v>
      </c>
      <c r="J446" s="378">
        <f ca="1">IF($A446="S",IF(CAIXA.Modo,BM.AFAnterior,BM.MEDAnterior),IF(AND(RegimeExecucao="Global",$I446&gt;0,COUNTIF($AB$13:$AM$13,BM.medicao-1)&gt;0),M446/$I446*100,0))</f>
        <v>0</v>
      </c>
      <c r="K446" s="124">
        <f t="shared" ca="1" si="44"/>
        <v>0</v>
      </c>
      <c r="L446" s="379">
        <f ca="1">IF($A446="S",IF(CAIXA.Modo,BM.AFAcumulado,BM.MEDAcumulado),IF(AND(RegimeExecucao="Global",$I446&gt;0,COUNTIF($AB$13:$AM$13,BM.medicao)&gt;0),O446/$I446*100,0))</f>
        <v>0</v>
      </c>
      <c r="M446" s="380">
        <f ca="1">IF($A446="S",VTOTALBM,IF($A446=0,0,ROUND(SomaAgrupBM,15-13*ORÇAMENTO!$AF$11)))</f>
        <v>0</v>
      </c>
      <c r="N446" s="381">
        <f t="shared" ca="1" si="45"/>
        <v>0</v>
      </c>
      <c r="O446" s="127">
        <f ca="1">IF($A446="S",VTOTALBM,IF($A446=0,0,ROUND(SomaAgrupBM,15-13*ORÇAMENTO!$AF$11)))</f>
        <v>0</v>
      </c>
      <c r="Q446" s="382"/>
      <c r="R446" s="383"/>
      <c r="T446" s="119" t="str">
        <f t="shared" ca="1" si="46"/>
        <v/>
      </c>
      <c r="U446" s="172" t="str">
        <f t="shared" ca="1" si="47"/>
        <v/>
      </c>
      <c r="V446" s="173" t="str">
        <f ca="1">IF(AND($W446&gt;0,RegimeExecucao="Unitário"),$F446,"")</f>
        <v/>
      </c>
      <c r="W446" s="547">
        <f ca="1">IF($Y446&gt;0,CHOOSE(MATCH(RegimeExecucao,{"Unitário","Global"},0),IF($A446="S",$Y446/$X446,""),($Y446/$X446)*100),0)</f>
        <v>0</v>
      </c>
      <c r="X446" s="384" t="str">
        <f ca="1">IF($Y446&gt;0,CHOOSE(MATCH(RegimeExecucao,{"Unitário","Global"},0),IF($A446="S",ROUND($H446,ORÇAMENTO!$AF$10),""),ROUND($I446,ORÇAMENTO!$AF$11)),"")</f>
        <v/>
      </c>
      <c r="Y446" s="384">
        <f t="shared" ca="1" si="48"/>
        <v>0</v>
      </c>
      <c r="Z446" s="572"/>
      <c r="AB446" s="382"/>
      <c r="AC446" s="516"/>
      <c r="AD446" s="516"/>
      <c r="AE446" s="516"/>
      <c r="AF446" s="516"/>
      <c r="AG446" s="516"/>
      <c r="AH446" s="516"/>
      <c r="AI446" s="516"/>
      <c r="AJ446" s="516"/>
      <c r="AK446" s="516"/>
      <c r="AL446" s="516"/>
      <c r="AM446" s="383"/>
      <c r="AO446">
        <f ca="1">IF($A446="S",IF(BM!$I446=0,0,CHOOSE(MATCH(RegimeExecucao,{"Global","Unitário"},0),ROUND(ROUND(BM.MEDAcumulado,15-13*BM!$A$9)/100*BM!$I446,15-13*ORÇAMENTO!$AF$11),ROUND(ROUND(BM.MEDAcumulado,15-13*BM!$A$9)*ROUND(BM!$H446,15-13*ORÇAMENTO!$AF$10),15-13*ORÇAMENTO!$AF$11))),IF($A446=0,0,ROUND(SomaAgrupBM,15-13*ORÇAMENTO!$AF$11)))</f>
        <v>0</v>
      </c>
    </row>
    <row r="447" spans="1:41" ht="25.5" x14ac:dyDescent="0.2">
      <c r="A447" t="str">
        <f ca="1">ORÇAMENTO!C447</f>
        <v>S</v>
      </c>
      <c r="B447">
        <f ca="1">ORÇAMENTO!D447</f>
        <v>0</v>
      </c>
      <c r="C447" s="116" t="str">
        <f t="shared" ca="1" si="42"/>
        <v/>
      </c>
      <c r="D447" s="119" t="str">
        <f ca="1">ORÇAMENTO!O447</f>
        <v>-</v>
      </c>
      <c r="E447" s="172" t="str">
        <f t="shared" ca="1" si="43"/>
        <v>(abra o arquivo 'Referência 02-2025.xlsm)</v>
      </c>
      <c r="F447" s="173" t="str">
        <f ca="1">IF(RegimeExecucao="Global","",ORÇAMENTO.Unidade)</f>
        <v>-</v>
      </c>
      <c r="G447" s="124">
        <f ca="1">IF(RegimeExecucao="Global","",ORÇAMENTO!T447)</f>
        <v>2</v>
      </c>
      <c r="H447" s="124">
        <f ca="1">IF(RegimeExecucao="Global","",ORÇAMENTO!W447)</f>
        <v>0</v>
      </c>
      <c r="I447" s="127">
        <f ca="1">ORÇAMENTO!X447</f>
        <v>0</v>
      </c>
      <c r="J447" s="378">
        <f ca="1">IF($A447="S",IF(CAIXA.Modo,BM.AFAnterior,BM.MEDAnterior),IF(AND(RegimeExecucao="Global",$I447&gt;0,COUNTIF($AB$13:$AM$13,BM.medicao-1)&gt;0),M447/$I447*100,0))</f>
        <v>0</v>
      </c>
      <c r="K447" s="124">
        <f t="shared" ca="1" si="44"/>
        <v>0</v>
      </c>
      <c r="L447" s="379">
        <f ca="1">IF($A447="S",IF(CAIXA.Modo,BM.AFAcumulado,BM.MEDAcumulado),IF(AND(RegimeExecucao="Global",$I447&gt;0,COUNTIF($AB$13:$AM$13,BM.medicao)&gt;0),O447/$I447*100,0))</f>
        <v>0</v>
      </c>
      <c r="M447" s="380">
        <f ca="1">IF($A447="S",VTOTALBM,IF($A447=0,0,ROUND(SomaAgrupBM,15-13*ORÇAMENTO!$AF$11)))</f>
        <v>0</v>
      </c>
      <c r="N447" s="381">
        <f t="shared" ca="1" si="45"/>
        <v>0</v>
      </c>
      <c r="O447" s="127">
        <f ca="1">IF($A447="S",VTOTALBM,IF($A447=0,0,ROUND(SomaAgrupBM,15-13*ORÇAMENTO!$AF$11)))</f>
        <v>0</v>
      </c>
      <c r="Q447" s="382"/>
      <c r="R447" s="383"/>
      <c r="T447" s="119" t="str">
        <f t="shared" ca="1" si="46"/>
        <v/>
      </c>
      <c r="U447" s="172" t="str">
        <f t="shared" ca="1" si="47"/>
        <v/>
      </c>
      <c r="V447" s="173" t="str">
        <f ca="1">IF(AND($W447&gt;0,RegimeExecucao="Unitário"),$F447,"")</f>
        <v/>
      </c>
      <c r="W447" s="547">
        <f ca="1">IF($Y447&gt;0,CHOOSE(MATCH(RegimeExecucao,{"Unitário","Global"},0),IF($A447="S",$Y447/$X447,""),($Y447/$X447)*100),0)</f>
        <v>0</v>
      </c>
      <c r="X447" s="384" t="str">
        <f ca="1">IF($Y447&gt;0,CHOOSE(MATCH(RegimeExecucao,{"Unitário","Global"},0),IF($A447="S",ROUND($H447,ORÇAMENTO!$AF$10),""),ROUND($I447,ORÇAMENTO!$AF$11)),"")</f>
        <v/>
      </c>
      <c r="Y447" s="384">
        <f t="shared" ca="1" si="48"/>
        <v>0</v>
      </c>
      <c r="Z447" s="572"/>
      <c r="AB447" s="382"/>
      <c r="AC447" s="516"/>
      <c r="AD447" s="516"/>
      <c r="AE447" s="516"/>
      <c r="AF447" s="516"/>
      <c r="AG447" s="516"/>
      <c r="AH447" s="516"/>
      <c r="AI447" s="516"/>
      <c r="AJ447" s="516"/>
      <c r="AK447" s="516"/>
      <c r="AL447" s="516"/>
      <c r="AM447" s="383"/>
      <c r="AO447">
        <f ca="1">IF($A447="S",IF(BM!$I447=0,0,CHOOSE(MATCH(RegimeExecucao,{"Global","Unitário"},0),ROUND(ROUND(BM.MEDAcumulado,15-13*BM!$A$9)/100*BM!$I447,15-13*ORÇAMENTO!$AF$11),ROUND(ROUND(BM.MEDAcumulado,15-13*BM!$A$9)*ROUND(BM!$H447,15-13*ORÇAMENTO!$AF$10),15-13*ORÇAMENTO!$AF$11))),IF($A447=0,0,ROUND(SomaAgrupBM,15-13*ORÇAMENTO!$AF$11)))</f>
        <v>0</v>
      </c>
    </row>
    <row r="448" spans="1:41" ht="25.5" x14ac:dyDescent="0.2">
      <c r="A448" t="str">
        <f ca="1">ORÇAMENTO!C448</f>
        <v>S</v>
      </c>
      <c r="B448">
        <f ca="1">ORÇAMENTO!D448</f>
        <v>0</v>
      </c>
      <c r="C448" s="116" t="str">
        <f ca="1">IF(OR($I448&gt;0,$A448=1,$A448=2,$A448=3,$A448=4),"F","")</f>
        <v/>
      </c>
      <c r="D448" s="119" t="str">
        <f ca="1">ORÇAMENTO!O448</f>
        <v>-</v>
      </c>
      <c r="E448" s="172" t="str">
        <f ca="1">ORÇAMENTO.Descricao</f>
        <v>(abra o arquivo 'Referência 02-2025.xlsm)</v>
      </c>
      <c r="F448" s="173" t="str">
        <f ca="1">IF(RegimeExecucao="Global","",ORÇAMENTO.Unidade)</f>
        <v>-</v>
      </c>
      <c r="G448" s="124">
        <f ca="1">IF(RegimeExecucao="Global","",ORÇAMENTO!T448)</f>
        <v>1</v>
      </c>
      <c r="H448" s="124">
        <f ca="1">IF(RegimeExecucao="Global","",ORÇAMENTO!W448)</f>
        <v>0</v>
      </c>
      <c r="I448" s="127">
        <f ca="1">ORÇAMENTO!X448</f>
        <v>0</v>
      </c>
      <c r="J448" s="378">
        <f ca="1">IF($A448="S",IF(CAIXA.Modo,BM.AFAnterior,BM.MEDAnterior),IF(AND(RegimeExecucao="Global",$I448&gt;0,COUNTIF($AB$13:$AM$13,BM.medicao-1)&gt;0),M448/$I448*100,0))</f>
        <v>0</v>
      </c>
      <c r="K448" s="124">
        <f ca="1">L448-J448</f>
        <v>0</v>
      </c>
      <c r="L448" s="379">
        <f ca="1">IF($A448="S",IF(CAIXA.Modo,BM.AFAcumulado,BM.MEDAcumulado),IF(AND(RegimeExecucao="Global",$I448&gt;0,COUNTIF($AB$13:$AM$13,BM.medicao)&gt;0),O448/$I448*100,0))</f>
        <v>0</v>
      </c>
      <c r="M448" s="380">
        <f ca="1">IF($A448="S",VTOTALBM,IF($A448=0,0,ROUND(SomaAgrupBM,15-13*ORÇAMENTO!$AF$11)))</f>
        <v>0</v>
      </c>
      <c r="N448" s="381">
        <f ca="1">O448-M448</f>
        <v>0</v>
      </c>
      <c r="O448" s="127">
        <f ca="1">IF($A448="S",VTOTALBM,IF($A448=0,0,ROUND(SomaAgrupBM,15-13*ORÇAMENTO!$AF$11)))</f>
        <v>0</v>
      </c>
      <c r="Q448" s="382"/>
      <c r="R448" s="383"/>
      <c r="T448" s="119" t="str">
        <f ca="1">IF($W448&gt;0,$D448,"")</f>
        <v/>
      </c>
      <c r="U448" s="172" t="str">
        <f ca="1">IF($W448&gt;0,$E448,"")</f>
        <v/>
      </c>
      <c r="V448" s="173" t="str">
        <f ca="1">IF(AND($W448&gt;0,RegimeExecucao="Unitário"),$F448,"")</f>
        <v/>
      </c>
      <c r="W448" s="547">
        <f ca="1">IF($Y448&gt;0,CHOOSE(MATCH(RegimeExecucao,{"Unitário","Global"},0),IF($A448="S",$Y448/$X448,""),($Y448/$X448)*100),0)</f>
        <v>0</v>
      </c>
      <c r="X448" s="384" t="str">
        <f ca="1">IF($Y448&gt;0,CHOOSE(MATCH(RegimeExecucao,{"Unitário","Global"},0),IF($A448="S",ROUND($H448,ORÇAMENTO!$AF$10),""),ROUND($I448,ORÇAMENTO!$AF$11)),"")</f>
        <v/>
      </c>
      <c r="Y448" s="384">
        <f ca="1">AO448-O448</f>
        <v>0</v>
      </c>
      <c r="Z448" s="572"/>
      <c r="AB448" s="382"/>
      <c r="AC448" s="516"/>
      <c r="AD448" s="516"/>
      <c r="AE448" s="516"/>
      <c r="AF448" s="516"/>
      <c r="AG448" s="516"/>
      <c r="AH448" s="516"/>
      <c r="AI448" s="516"/>
      <c r="AJ448" s="516"/>
      <c r="AK448" s="516"/>
      <c r="AL448" s="516"/>
      <c r="AM448" s="383"/>
      <c r="AO448">
        <f ca="1">IF($A448="S",IF(BM!$I448=0,0,CHOOSE(MATCH(RegimeExecucao,{"Global","Unitário"},0),ROUND(ROUND(BM.MEDAcumulado,15-13*BM!$A$9)/100*BM!$I448,15-13*ORÇAMENTO!$AF$11),ROUND(ROUND(BM.MEDAcumulado,15-13*BM!$A$9)*ROUND(BM!$H448,15-13*ORÇAMENTO!$AF$10),15-13*ORÇAMENTO!$AF$11))),IF($A448=0,0,ROUND(SomaAgrupBM,15-13*ORÇAMENTO!$AF$11)))</f>
        <v>0</v>
      </c>
    </row>
    <row r="449" spans="1:41" x14ac:dyDescent="0.2">
      <c r="A449">
        <f ca="1">ORÇAMENTO!C449</f>
        <v>3</v>
      </c>
      <c r="B449">
        <f ca="1">ORÇAMENTO!D449</f>
        <v>34</v>
      </c>
      <c r="C449" s="116" t="str">
        <f t="shared" ca="1" si="42"/>
        <v>F</v>
      </c>
      <c r="D449" s="119" t="str">
        <f ca="1">ORÇAMENTO!O449</f>
        <v>1.16.4.</v>
      </c>
      <c r="E449" s="172" t="str">
        <f t="shared" ca="1" si="43"/>
        <v>TUBULAÇÕES E CONEXÕES</v>
      </c>
      <c r="F449" s="173" t="str">
        <f ca="1">IF(RegimeExecucao="Global","",ORÇAMENTO.Unidade)</f>
        <v>-</v>
      </c>
      <c r="G449" s="124">
        <f ca="1">IF(RegimeExecucao="Global","",ORÇAMENTO!T449)</f>
        <v>0</v>
      </c>
      <c r="H449" s="124">
        <f ca="1">IF(RegimeExecucao="Global","",ORÇAMENTO!W449)</f>
        <v>0</v>
      </c>
      <c r="I449" s="127">
        <f ca="1">ORÇAMENTO!X449</f>
        <v>0</v>
      </c>
      <c r="J449" s="378">
        <f ca="1">IF($A449="S",IF(CAIXA.Modo,BM.AFAnterior,BM.MEDAnterior),IF(AND(RegimeExecucao="Global",$I449&gt;0,COUNTIF($AB$13:$AM$13,BM.medicao-1)&gt;0),M449/$I449*100,0))</f>
        <v>0</v>
      </c>
      <c r="K449" s="124">
        <f t="shared" ca="1" si="44"/>
        <v>0</v>
      </c>
      <c r="L449" s="379">
        <f ca="1">IF($A449="S",IF(CAIXA.Modo,BM.AFAcumulado,BM.MEDAcumulado),IF(AND(RegimeExecucao="Global",$I449&gt;0,COUNTIF($AB$13:$AM$13,BM.medicao)&gt;0),O449/$I449*100,0))</f>
        <v>0</v>
      </c>
      <c r="M449" s="380">
        <f ca="1">IF($A449="S",VTOTALBM,IF($A449=0,0,ROUND(SomaAgrupBM,15-13*ORÇAMENTO!$AF$11)))</f>
        <v>0</v>
      </c>
      <c r="N449" s="381">
        <f t="shared" ca="1" si="45"/>
        <v>0</v>
      </c>
      <c r="O449" s="127">
        <f ca="1">IF($A449="S",VTOTALBM,IF($A449=0,0,ROUND(SomaAgrupBM,15-13*ORÇAMENTO!$AF$11)))</f>
        <v>0</v>
      </c>
      <c r="Q449" s="382"/>
      <c r="R449" s="383"/>
      <c r="T449" s="119" t="str">
        <f t="shared" ca="1" si="46"/>
        <v/>
      </c>
      <c r="U449" s="172" t="str">
        <f t="shared" ca="1" si="47"/>
        <v/>
      </c>
      <c r="V449" s="173" t="str">
        <f ca="1">IF(AND($W449&gt;0,RegimeExecucao="Unitário"),$F449,"")</f>
        <v/>
      </c>
      <c r="W449" s="547">
        <f ca="1">IF($Y449&gt;0,CHOOSE(MATCH(RegimeExecucao,{"Unitário","Global"},0),IF($A449="S",$Y449/$X449,""),($Y449/$X449)*100),0)</f>
        <v>0</v>
      </c>
      <c r="X449" s="384" t="str">
        <f ca="1">IF($Y449&gt;0,CHOOSE(MATCH(RegimeExecucao,{"Unitário","Global"},0),IF($A449="S",ROUND($H449,ORÇAMENTO!$AF$10),""),ROUND($I449,ORÇAMENTO!$AF$11)),"")</f>
        <v/>
      </c>
      <c r="Y449" s="384">
        <f t="shared" ca="1" si="48"/>
        <v>0</v>
      </c>
      <c r="Z449" s="572"/>
      <c r="AB449" s="382"/>
      <c r="AC449" s="516"/>
      <c r="AD449" s="516"/>
      <c r="AE449" s="516"/>
      <c r="AF449" s="516"/>
      <c r="AG449" s="516"/>
      <c r="AH449" s="516"/>
      <c r="AI449" s="516"/>
      <c r="AJ449" s="516"/>
      <c r="AK449" s="516"/>
      <c r="AL449" s="516"/>
      <c r="AM449" s="383"/>
      <c r="AO449">
        <f ca="1">IF($A449="S",IF(BM!$I449=0,0,CHOOSE(MATCH(RegimeExecucao,{"Global","Unitário"},0),ROUND(ROUND(BM.MEDAcumulado,15-13*BM!$A$9)/100*BM!$I449,15-13*ORÇAMENTO!$AF$11),ROUND(ROUND(BM.MEDAcumulado,15-13*BM!$A$9)*ROUND(BM!$H449,15-13*ORÇAMENTO!$AF$10),15-13*ORÇAMENTO!$AF$11))),IF($A449=0,0,ROUND(SomaAgrupBM,15-13*ORÇAMENTO!$AF$11)))</f>
        <v>0</v>
      </c>
    </row>
    <row r="450" spans="1:41" ht="51" x14ac:dyDescent="0.2">
      <c r="A450" t="str">
        <f ca="1">ORÇAMENTO!C450</f>
        <v>S</v>
      </c>
      <c r="B450">
        <f ca="1">ORÇAMENTO!D450</f>
        <v>0</v>
      </c>
      <c r="C450" s="116" t="str">
        <f t="shared" ca="1" si="42"/>
        <v/>
      </c>
      <c r="D450" s="119" t="str">
        <f ca="1">ORÇAMENTO!O450</f>
        <v>-</v>
      </c>
      <c r="E450" s="172" t="str">
        <f t="shared" ref="E450:E477" ca="1" si="49">ORÇAMENTO.Descricao</f>
        <v>(abra o arquivo 'Referência 02-2025.xlsm)</v>
      </c>
      <c r="F450" s="173" t="str">
        <f ca="1">IF(RegimeExecucao="Global","",ORÇAMENTO.Unidade)</f>
        <v>-</v>
      </c>
      <c r="G450" s="124">
        <f ca="1">IF(RegimeExecucao="Global","",ORÇAMENTO!T450)</f>
        <v>0.54</v>
      </c>
      <c r="H450" s="124">
        <f ca="1">IF(RegimeExecucao="Global","",ORÇAMENTO!W450)</f>
        <v>0</v>
      </c>
      <c r="I450" s="127">
        <f ca="1">ORÇAMENTO!X450</f>
        <v>0</v>
      </c>
      <c r="J450" s="378">
        <f ca="1">IF($A450="S",IF(CAIXA.Modo,BM.AFAnterior,BM.MEDAnterior),IF(AND(RegimeExecucao="Global",$I450&gt;0,COUNTIF($AB$13:$AM$13,BM.medicao-1)&gt;0),M450/$I450*100,0))</f>
        <v>0</v>
      </c>
      <c r="K450" s="124">
        <f t="shared" ca="1" si="44"/>
        <v>0</v>
      </c>
      <c r="L450" s="379">
        <f ca="1">IF($A450="S",IF(CAIXA.Modo,BM.AFAcumulado,BM.MEDAcumulado),IF(AND(RegimeExecucao="Global",$I450&gt;0,COUNTIF($AB$13:$AM$13,BM.medicao)&gt;0),O450/$I450*100,0))</f>
        <v>0</v>
      </c>
      <c r="M450" s="380">
        <f ca="1">IF($A450="S",VTOTALBM,IF($A450=0,0,ROUND(SomaAgrupBM,15-13*ORÇAMENTO!$AF$11)))</f>
        <v>0</v>
      </c>
      <c r="N450" s="381">
        <f t="shared" ca="1" si="45"/>
        <v>0</v>
      </c>
      <c r="O450" s="127">
        <f ca="1">IF($A450="S",VTOTALBM,IF($A450=0,0,ROUND(SomaAgrupBM,15-13*ORÇAMENTO!$AF$11)))</f>
        <v>0</v>
      </c>
      <c r="Q450" s="382"/>
      <c r="R450" s="383"/>
      <c r="T450" s="119" t="str">
        <f t="shared" ca="1" si="46"/>
        <v/>
      </c>
      <c r="U450" s="172" t="str">
        <f t="shared" ca="1" si="47"/>
        <v/>
      </c>
      <c r="V450" s="173" t="str">
        <f ca="1">IF(AND($W450&gt;0,RegimeExecucao="Unitário"),$F450,"")</f>
        <v/>
      </c>
      <c r="W450" s="547">
        <f ca="1">IF($Y450&gt;0,CHOOSE(MATCH(RegimeExecucao,{"Unitário","Global"},0),IF($A450="S",$Y450/$X450,""),($Y450/$X450)*100),0)</f>
        <v>0</v>
      </c>
      <c r="X450" s="384" t="str">
        <f ca="1">IF($Y450&gt;0,CHOOSE(MATCH(RegimeExecucao,{"Unitário","Global"},0),IF($A450="S",ROUND($H450,ORÇAMENTO!$AF$10),""),ROUND($I450,ORÇAMENTO!$AF$11)),"")</f>
        <v/>
      </c>
      <c r="Y450" s="384">
        <f t="shared" ca="1" si="48"/>
        <v>0</v>
      </c>
      <c r="Z450" s="572"/>
      <c r="AB450" s="382"/>
      <c r="AC450" s="516"/>
      <c r="AD450" s="516"/>
      <c r="AE450" s="516"/>
      <c r="AF450" s="516"/>
      <c r="AG450" s="516"/>
      <c r="AH450" s="516"/>
      <c r="AI450" s="516"/>
      <c r="AJ450" s="516"/>
      <c r="AK450" s="516"/>
      <c r="AL450" s="516"/>
      <c r="AM450" s="383"/>
      <c r="AO450">
        <f ca="1">IF($A450="S",IF(BM!$I450=0,0,CHOOSE(MATCH(RegimeExecucao,{"Global","Unitário"},0),ROUND(ROUND(BM.MEDAcumulado,15-13*BM!$A$9)/100*BM!$I450,15-13*ORÇAMENTO!$AF$11),ROUND(ROUND(BM.MEDAcumulado,15-13*BM!$A$9)*ROUND(BM!$H450,15-13*ORÇAMENTO!$AF$10),15-13*ORÇAMENTO!$AF$11))),IF($A450=0,0,ROUND(SomaAgrupBM,15-13*ORÇAMENTO!$AF$11)))</f>
        <v>0</v>
      </c>
    </row>
    <row r="451" spans="1:41" ht="51" x14ac:dyDescent="0.2">
      <c r="A451" t="str">
        <f ca="1">ORÇAMENTO!C451</f>
        <v>S</v>
      </c>
      <c r="B451">
        <f ca="1">ORÇAMENTO!D451</f>
        <v>0</v>
      </c>
      <c r="C451" s="116" t="str">
        <f t="shared" ca="1" si="42"/>
        <v/>
      </c>
      <c r="D451" s="119" t="str">
        <f ca="1">ORÇAMENTO!O451</f>
        <v>-</v>
      </c>
      <c r="E451" s="172" t="str">
        <f t="shared" ca="1" si="49"/>
        <v>(abra o arquivo 'Referência 02-2025.xlsm)</v>
      </c>
      <c r="F451" s="173" t="str">
        <f ca="1">IF(RegimeExecucao="Global","",ORÇAMENTO.Unidade)</f>
        <v>-</v>
      </c>
      <c r="G451" s="124">
        <f ca="1">IF(RegimeExecucao="Global","",ORÇAMENTO!T451)</f>
        <v>0.22</v>
      </c>
      <c r="H451" s="124">
        <f ca="1">IF(RegimeExecucao="Global","",ORÇAMENTO!W451)</f>
        <v>0</v>
      </c>
      <c r="I451" s="127">
        <f ca="1">ORÇAMENTO!X451</f>
        <v>0</v>
      </c>
      <c r="J451" s="378">
        <f ca="1">IF($A451="S",IF(CAIXA.Modo,BM.AFAnterior,BM.MEDAnterior),IF(AND(RegimeExecucao="Global",$I451&gt;0,COUNTIF($AB$13:$AM$13,BM.medicao-1)&gt;0),M451/$I451*100,0))</f>
        <v>0</v>
      </c>
      <c r="K451" s="124">
        <f t="shared" ca="1" si="44"/>
        <v>0</v>
      </c>
      <c r="L451" s="379">
        <f ca="1">IF($A451="S",IF(CAIXA.Modo,BM.AFAcumulado,BM.MEDAcumulado),IF(AND(RegimeExecucao="Global",$I451&gt;0,COUNTIF($AB$13:$AM$13,BM.medicao)&gt;0),O451/$I451*100,0))</f>
        <v>0</v>
      </c>
      <c r="M451" s="380">
        <f ca="1">IF($A451="S",VTOTALBM,IF($A451=0,0,ROUND(SomaAgrupBM,15-13*ORÇAMENTO!$AF$11)))</f>
        <v>0</v>
      </c>
      <c r="N451" s="381">
        <f t="shared" ca="1" si="45"/>
        <v>0</v>
      </c>
      <c r="O451" s="127">
        <f ca="1">IF($A451="S",VTOTALBM,IF($A451=0,0,ROUND(SomaAgrupBM,15-13*ORÇAMENTO!$AF$11)))</f>
        <v>0</v>
      </c>
      <c r="Q451" s="382"/>
      <c r="R451" s="383"/>
      <c r="T451" s="119" t="str">
        <f t="shared" ca="1" si="46"/>
        <v/>
      </c>
      <c r="U451" s="172" t="str">
        <f t="shared" ca="1" si="47"/>
        <v/>
      </c>
      <c r="V451" s="173" t="str">
        <f ca="1">IF(AND($W451&gt;0,RegimeExecucao="Unitário"),$F451,"")</f>
        <v/>
      </c>
      <c r="W451" s="547">
        <f ca="1">IF($Y451&gt;0,CHOOSE(MATCH(RegimeExecucao,{"Unitário","Global"},0),IF($A451="S",$Y451/$X451,""),($Y451/$X451)*100),0)</f>
        <v>0</v>
      </c>
      <c r="X451" s="384" t="str">
        <f ca="1">IF($Y451&gt;0,CHOOSE(MATCH(RegimeExecucao,{"Unitário","Global"},0),IF($A451="S",ROUND($H451,ORÇAMENTO!$AF$10),""),ROUND($I451,ORÇAMENTO!$AF$11)),"")</f>
        <v/>
      </c>
      <c r="Y451" s="384">
        <f t="shared" ca="1" si="48"/>
        <v>0</v>
      </c>
      <c r="Z451" s="572"/>
      <c r="AB451" s="382"/>
      <c r="AC451" s="516"/>
      <c r="AD451" s="516"/>
      <c r="AE451" s="516"/>
      <c r="AF451" s="516"/>
      <c r="AG451" s="516"/>
      <c r="AH451" s="516"/>
      <c r="AI451" s="516"/>
      <c r="AJ451" s="516"/>
      <c r="AK451" s="516"/>
      <c r="AL451" s="516"/>
      <c r="AM451" s="383"/>
      <c r="AO451">
        <f ca="1">IF($A451="S",IF(BM!$I451=0,0,CHOOSE(MATCH(RegimeExecucao,{"Global","Unitário"},0),ROUND(ROUND(BM.MEDAcumulado,15-13*BM!$A$9)/100*BM!$I451,15-13*ORÇAMENTO!$AF$11),ROUND(ROUND(BM.MEDAcumulado,15-13*BM!$A$9)*ROUND(BM!$H451,15-13*ORÇAMENTO!$AF$10),15-13*ORÇAMENTO!$AF$11))),IF($A451=0,0,ROUND(SomaAgrupBM,15-13*ORÇAMENTO!$AF$11)))</f>
        <v>0</v>
      </c>
    </row>
    <row r="452" spans="1:41" ht="51" x14ac:dyDescent="0.2">
      <c r="A452" t="str">
        <f ca="1">ORÇAMENTO!C452</f>
        <v>S</v>
      </c>
      <c r="B452">
        <f ca="1">ORÇAMENTO!D452</f>
        <v>0</v>
      </c>
      <c r="C452" s="116" t="str">
        <f t="shared" ca="1" si="42"/>
        <v/>
      </c>
      <c r="D452" s="119" t="str">
        <f ca="1">ORÇAMENTO!O452</f>
        <v>-</v>
      </c>
      <c r="E452" s="172" t="str">
        <f t="shared" ca="1" si="49"/>
        <v>(abra o arquivo 'Referência 02-2025.xlsm)</v>
      </c>
      <c r="F452" s="173" t="str">
        <f ca="1">IF(RegimeExecucao="Global","",ORÇAMENTO.Unidade)</f>
        <v>-</v>
      </c>
      <c r="G452" s="124">
        <f ca="1">IF(RegimeExecucao="Global","",ORÇAMENTO!T452)</f>
        <v>1.51</v>
      </c>
      <c r="H452" s="124">
        <f ca="1">IF(RegimeExecucao="Global","",ORÇAMENTO!W452)</f>
        <v>0</v>
      </c>
      <c r="I452" s="127">
        <f ca="1">ORÇAMENTO!X452</f>
        <v>0</v>
      </c>
      <c r="J452" s="378">
        <f ca="1">IF($A452="S",IF(CAIXA.Modo,BM.AFAnterior,BM.MEDAnterior),IF(AND(RegimeExecucao="Global",$I452&gt;0,COUNTIF($AB$13:$AM$13,BM.medicao-1)&gt;0),M452/$I452*100,0))</f>
        <v>0</v>
      </c>
      <c r="K452" s="124">
        <f t="shared" ca="1" si="44"/>
        <v>0</v>
      </c>
      <c r="L452" s="379">
        <f ca="1">IF($A452="S",IF(CAIXA.Modo,BM.AFAcumulado,BM.MEDAcumulado),IF(AND(RegimeExecucao="Global",$I452&gt;0,COUNTIF($AB$13:$AM$13,BM.medicao)&gt;0),O452/$I452*100,0))</f>
        <v>0</v>
      </c>
      <c r="M452" s="380">
        <f ca="1">IF($A452="S",VTOTALBM,IF($A452=0,0,ROUND(SomaAgrupBM,15-13*ORÇAMENTO!$AF$11)))</f>
        <v>0</v>
      </c>
      <c r="N452" s="381">
        <f t="shared" ca="1" si="45"/>
        <v>0</v>
      </c>
      <c r="O452" s="127">
        <f ca="1">IF($A452="S",VTOTALBM,IF($A452=0,0,ROUND(SomaAgrupBM,15-13*ORÇAMENTO!$AF$11)))</f>
        <v>0</v>
      </c>
      <c r="Q452" s="382"/>
      <c r="R452" s="383"/>
      <c r="T452" s="119" t="str">
        <f t="shared" ca="1" si="46"/>
        <v/>
      </c>
      <c r="U452" s="172" t="str">
        <f t="shared" ca="1" si="47"/>
        <v/>
      </c>
      <c r="V452" s="173" t="str">
        <f ca="1">IF(AND($W452&gt;0,RegimeExecucao="Unitário"),$F452,"")</f>
        <v/>
      </c>
      <c r="W452" s="547">
        <f ca="1">IF($Y452&gt;0,CHOOSE(MATCH(RegimeExecucao,{"Unitário","Global"},0),IF($A452="S",$Y452/$X452,""),($Y452/$X452)*100),0)</f>
        <v>0</v>
      </c>
      <c r="X452" s="384" t="str">
        <f ca="1">IF($Y452&gt;0,CHOOSE(MATCH(RegimeExecucao,{"Unitário","Global"},0),IF($A452="S",ROUND($H452,ORÇAMENTO!$AF$10),""),ROUND($I452,ORÇAMENTO!$AF$11)),"")</f>
        <v/>
      </c>
      <c r="Y452" s="384">
        <f t="shared" ca="1" si="48"/>
        <v>0</v>
      </c>
      <c r="Z452" s="572"/>
      <c r="AB452" s="382"/>
      <c r="AC452" s="516"/>
      <c r="AD452" s="516"/>
      <c r="AE452" s="516"/>
      <c r="AF452" s="516"/>
      <c r="AG452" s="516"/>
      <c r="AH452" s="516"/>
      <c r="AI452" s="516"/>
      <c r="AJ452" s="516"/>
      <c r="AK452" s="516"/>
      <c r="AL452" s="516"/>
      <c r="AM452" s="383"/>
      <c r="AO452">
        <f ca="1">IF($A452="S",IF(BM!$I452=0,0,CHOOSE(MATCH(RegimeExecucao,{"Global","Unitário"},0),ROUND(ROUND(BM.MEDAcumulado,15-13*BM!$A$9)/100*BM!$I452,15-13*ORÇAMENTO!$AF$11),ROUND(ROUND(BM.MEDAcumulado,15-13*BM!$A$9)*ROUND(BM!$H452,15-13*ORÇAMENTO!$AF$10),15-13*ORÇAMENTO!$AF$11))),IF($A452=0,0,ROUND(SomaAgrupBM,15-13*ORÇAMENTO!$AF$11)))</f>
        <v>0</v>
      </c>
    </row>
    <row r="453" spans="1:41" ht="51" x14ac:dyDescent="0.2">
      <c r="A453" t="str">
        <f ca="1">ORÇAMENTO!C453</f>
        <v>S</v>
      </c>
      <c r="B453">
        <f ca="1">ORÇAMENTO!D453</f>
        <v>0</v>
      </c>
      <c r="C453" s="116" t="str">
        <f t="shared" ca="1" si="42"/>
        <v/>
      </c>
      <c r="D453" s="119" t="str">
        <f ca="1">ORÇAMENTO!O453</f>
        <v>-</v>
      </c>
      <c r="E453" s="172" t="str">
        <f t="shared" ca="1" si="49"/>
        <v>(abra o arquivo 'Referência 02-2025.xlsm)</v>
      </c>
      <c r="F453" s="173" t="str">
        <f ca="1">IF(RegimeExecucao="Global","",ORÇAMENTO.Unidade)</f>
        <v>-</v>
      </c>
      <c r="G453" s="124">
        <f ca="1">IF(RegimeExecucao="Global","",ORÇAMENTO!T453)</f>
        <v>0.33</v>
      </c>
      <c r="H453" s="124">
        <f ca="1">IF(RegimeExecucao="Global","",ORÇAMENTO!W453)</f>
        <v>0</v>
      </c>
      <c r="I453" s="127">
        <f ca="1">ORÇAMENTO!X453</f>
        <v>0</v>
      </c>
      <c r="J453" s="378">
        <f ca="1">IF($A453="S",IF(CAIXA.Modo,BM.AFAnterior,BM.MEDAnterior),IF(AND(RegimeExecucao="Global",$I453&gt;0,COUNTIF($AB$13:$AM$13,BM.medicao-1)&gt;0),M453/$I453*100,0))</f>
        <v>0</v>
      </c>
      <c r="K453" s="124">
        <f t="shared" ca="1" si="44"/>
        <v>0</v>
      </c>
      <c r="L453" s="379">
        <f ca="1">IF($A453="S",IF(CAIXA.Modo,BM.AFAcumulado,BM.MEDAcumulado),IF(AND(RegimeExecucao="Global",$I453&gt;0,COUNTIF($AB$13:$AM$13,BM.medicao)&gt;0),O453/$I453*100,0))</f>
        <v>0</v>
      </c>
      <c r="M453" s="380">
        <f ca="1">IF($A453="S",VTOTALBM,IF($A453=0,0,ROUND(SomaAgrupBM,15-13*ORÇAMENTO!$AF$11)))</f>
        <v>0</v>
      </c>
      <c r="N453" s="381">
        <f t="shared" ca="1" si="45"/>
        <v>0</v>
      </c>
      <c r="O453" s="127">
        <f ca="1">IF($A453="S",VTOTALBM,IF($A453=0,0,ROUND(SomaAgrupBM,15-13*ORÇAMENTO!$AF$11)))</f>
        <v>0</v>
      </c>
      <c r="Q453" s="382"/>
      <c r="R453" s="383"/>
      <c r="T453" s="119" t="str">
        <f t="shared" ca="1" si="46"/>
        <v/>
      </c>
      <c r="U453" s="172" t="str">
        <f t="shared" ca="1" si="47"/>
        <v/>
      </c>
      <c r="V453" s="173" t="str">
        <f ca="1">IF(AND($W453&gt;0,RegimeExecucao="Unitário"),$F453,"")</f>
        <v/>
      </c>
      <c r="W453" s="547">
        <f ca="1">IF($Y453&gt;0,CHOOSE(MATCH(RegimeExecucao,{"Unitário","Global"},0),IF($A453="S",$Y453/$X453,""),($Y453/$X453)*100),0)</f>
        <v>0</v>
      </c>
      <c r="X453" s="384" t="str">
        <f ca="1">IF($Y453&gt;0,CHOOSE(MATCH(RegimeExecucao,{"Unitário","Global"},0),IF($A453="S",ROUND($H453,ORÇAMENTO!$AF$10),""),ROUND($I453,ORÇAMENTO!$AF$11)),"")</f>
        <v/>
      </c>
      <c r="Y453" s="384">
        <f t="shared" ca="1" si="48"/>
        <v>0</v>
      </c>
      <c r="Z453" s="572"/>
      <c r="AB453" s="382"/>
      <c r="AC453" s="516"/>
      <c r="AD453" s="516"/>
      <c r="AE453" s="516"/>
      <c r="AF453" s="516"/>
      <c r="AG453" s="516"/>
      <c r="AH453" s="516"/>
      <c r="AI453" s="516"/>
      <c r="AJ453" s="516"/>
      <c r="AK453" s="516"/>
      <c r="AL453" s="516"/>
      <c r="AM453" s="383"/>
      <c r="AO453">
        <f ca="1">IF($A453="S",IF(BM!$I453=0,0,CHOOSE(MATCH(RegimeExecucao,{"Global","Unitário"},0),ROUND(ROUND(BM.MEDAcumulado,15-13*BM!$A$9)/100*BM!$I453,15-13*ORÇAMENTO!$AF$11),ROUND(ROUND(BM.MEDAcumulado,15-13*BM!$A$9)*ROUND(BM!$H453,15-13*ORÇAMENTO!$AF$10),15-13*ORÇAMENTO!$AF$11))),IF($A453=0,0,ROUND(SomaAgrupBM,15-13*ORÇAMENTO!$AF$11)))</f>
        <v>0</v>
      </c>
    </row>
    <row r="454" spans="1:41" ht="51" x14ac:dyDescent="0.2">
      <c r="A454" t="str">
        <f ca="1">ORÇAMENTO!C454</f>
        <v>S</v>
      </c>
      <c r="B454">
        <f ca="1">ORÇAMENTO!D454</f>
        <v>0</v>
      </c>
      <c r="C454" s="116" t="str">
        <f t="shared" ca="1" si="42"/>
        <v/>
      </c>
      <c r="D454" s="119" t="str">
        <f ca="1">ORÇAMENTO!O454</f>
        <v>-</v>
      </c>
      <c r="E454" s="172" t="str">
        <f t="shared" ca="1" si="49"/>
        <v>(abra o arquivo 'Referência 02-2025.xlsm)</v>
      </c>
      <c r="F454" s="173" t="str">
        <f ca="1">IF(RegimeExecucao="Global","",ORÇAMENTO.Unidade)</f>
        <v>-</v>
      </c>
      <c r="G454" s="124">
        <f ca="1">IF(RegimeExecucao="Global","",ORÇAMENTO!T454)</f>
        <v>97.54</v>
      </c>
      <c r="H454" s="124">
        <f ca="1">IF(RegimeExecucao="Global","",ORÇAMENTO!W454)</f>
        <v>0</v>
      </c>
      <c r="I454" s="127">
        <f ca="1">ORÇAMENTO!X454</f>
        <v>0</v>
      </c>
      <c r="J454" s="378">
        <f ca="1">IF($A454="S",IF(CAIXA.Modo,BM.AFAnterior,BM.MEDAnterior),IF(AND(RegimeExecucao="Global",$I454&gt;0,COUNTIF($AB$13:$AM$13,BM.medicao-1)&gt;0),M454/$I454*100,0))</f>
        <v>0</v>
      </c>
      <c r="K454" s="124">
        <f t="shared" ca="1" si="44"/>
        <v>0</v>
      </c>
      <c r="L454" s="379">
        <f ca="1">IF($A454="S",IF(CAIXA.Modo,BM.AFAcumulado,BM.MEDAcumulado),IF(AND(RegimeExecucao="Global",$I454&gt;0,COUNTIF($AB$13:$AM$13,BM.medicao)&gt;0),O454/$I454*100,0))</f>
        <v>0</v>
      </c>
      <c r="M454" s="380">
        <f ca="1">IF($A454="S",VTOTALBM,IF($A454=0,0,ROUND(SomaAgrupBM,15-13*ORÇAMENTO!$AF$11)))</f>
        <v>0</v>
      </c>
      <c r="N454" s="381">
        <f t="shared" ca="1" si="45"/>
        <v>0</v>
      </c>
      <c r="O454" s="127">
        <f ca="1">IF($A454="S",VTOTALBM,IF($A454=0,0,ROUND(SomaAgrupBM,15-13*ORÇAMENTO!$AF$11)))</f>
        <v>0</v>
      </c>
      <c r="Q454" s="382"/>
      <c r="R454" s="383"/>
      <c r="T454" s="119" t="str">
        <f t="shared" ca="1" si="46"/>
        <v/>
      </c>
      <c r="U454" s="172" t="str">
        <f t="shared" ca="1" si="47"/>
        <v/>
      </c>
      <c r="V454" s="173" t="str">
        <f ca="1">IF(AND($W454&gt;0,RegimeExecucao="Unitário"),$F454,"")</f>
        <v/>
      </c>
      <c r="W454" s="547">
        <f ca="1">IF($Y454&gt;0,CHOOSE(MATCH(RegimeExecucao,{"Unitário","Global"},0),IF($A454="S",$Y454/$X454,""),($Y454/$X454)*100),0)</f>
        <v>0</v>
      </c>
      <c r="X454" s="384" t="str">
        <f ca="1">IF($Y454&gt;0,CHOOSE(MATCH(RegimeExecucao,{"Unitário","Global"},0),IF($A454="S",ROUND($H454,ORÇAMENTO!$AF$10),""),ROUND($I454,ORÇAMENTO!$AF$11)),"")</f>
        <v/>
      </c>
      <c r="Y454" s="384">
        <f t="shared" ca="1" si="48"/>
        <v>0</v>
      </c>
      <c r="Z454" s="572"/>
      <c r="AB454" s="382"/>
      <c r="AC454" s="516"/>
      <c r="AD454" s="516"/>
      <c r="AE454" s="516"/>
      <c r="AF454" s="516"/>
      <c r="AG454" s="516"/>
      <c r="AH454" s="516"/>
      <c r="AI454" s="516"/>
      <c r="AJ454" s="516"/>
      <c r="AK454" s="516"/>
      <c r="AL454" s="516"/>
      <c r="AM454" s="383"/>
      <c r="AO454">
        <f ca="1">IF($A454="S",IF(BM!$I454=0,0,CHOOSE(MATCH(RegimeExecucao,{"Global","Unitário"},0),ROUND(ROUND(BM.MEDAcumulado,15-13*BM!$A$9)/100*BM!$I454,15-13*ORÇAMENTO!$AF$11),ROUND(ROUND(BM.MEDAcumulado,15-13*BM!$A$9)*ROUND(BM!$H454,15-13*ORÇAMENTO!$AF$10),15-13*ORÇAMENTO!$AF$11))),IF($A454=0,0,ROUND(SomaAgrupBM,15-13*ORÇAMENTO!$AF$11)))</f>
        <v>0</v>
      </c>
    </row>
    <row r="455" spans="1:41" ht="51" x14ac:dyDescent="0.2">
      <c r="A455" t="str">
        <f ca="1">ORÇAMENTO!C455</f>
        <v>S</v>
      </c>
      <c r="B455">
        <f ca="1">ORÇAMENTO!D455</f>
        <v>0</v>
      </c>
      <c r="C455" s="116" t="str">
        <f t="shared" ca="1" si="42"/>
        <v/>
      </c>
      <c r="D455" s="119" t="str">
        <f ca="1">ORÇAMENTO!O455</f>
        <v>-</v>
      </c>
      <c r="E455" s="172" t="str">
        <f t="shared" ca="1" si="49"/>
        <v>(abra o arquivo 'Referência 02-2025.xlsm)</v>
      </c>
      <c r="F455" s="173" t="str">
        <f ca="1">IF(RegimeExecucao="Global","",ORÇAMENTO.Unidade)</f>
        <v>-</v>
      </c>
      <c r="G455" s="124">
        <f ca="1">IF(RegimeExecucao="Global","",ORÇAMENTO!T455)</f>
        <v>8.06</v>
      </c>
      <c r="H455" s="124">
        <f ca="1">IF(RegimeExecucao="Global","",ORÇAMENTO!W455)</f>
        <v>0</v>
      </c>
      <c r="I455" s="127">
        <f ca="1">ORÇAMENTO!X455</f>
        <v>0</v>
      </c>
      <c r="J455" s="378">
        <f ca="1">IF($A455="S",IF(CAIXA.Modo,BM.AFAnterior,BM.MEDAnterior),IF(AND(RegimeExecucao="Global",$I455&gt;0,COUNTIF($AB$13:$AM$13,BM.medicao-1)&gt;0),M455/$I455*100,0))</f>
        <v>0</v>
      </c>
      <c r="K455" s="124">
        <f t="shared" ca="1" si="44"/>
        <v>0</v>
      </c>
      <c r="L455" s="379">
        <f ca="1">IF($A455="S",IF(CAIXA.Modo,BM.AFAcumulado,BM.MEDAcumulado),IF(AND(RegimeExecucao="Global",$I455&gt;0,COUNTIF($AB$13:$AM$13,BM.medicao)&gt;0),O455/$I455*100,0))</f>
        <v>0</v>
      </c>
      <c r="M455" s="380">
        <f ca="1">IF($A455="S",VTOTALBM,IF($A455=0,0,ROUND(SomaAgrupBM,15-13*ORÇAMENTO!$AF$11)))</f>
        <v>0</v>
      </c>
      <c r="N455" s="381">
        <f t="shared" ca="1" si="45"/>
        <v>0</v>
      </c>
      <c r="O455" s="127">
        <f ca="1">IF($A455="S",VTOTALBM,IF($A455=0,0,ROUND(SomaAgrupBM,15-13*ORÇAMENTO!$AF$11)))</f>
        <v>0</v>
      </c>
      <c r="Q455" s="382"/>
      <c r="R455" s="383"/>
      <c r="T455" s="119" t="str">
        <f t="shared" ca="1" si="46"/>
        <v/>
      </c>
      <c r="U455" s="172" t="str">
        <f t="shared" ca="1" si="47"/>
        <v/>
      </c>
      <c r="V455" s="173" t="str">
        <f ca="1">IF(AND($W455&gt;0,RegimeExecucao="Unitário"),$F455,"")</f>
        <v/>
      </c>
      <c r="W455" s="547">
        <f ca="1">IF($Y455&gt;0,CHOOSE(MATCH(RegimeExecucao,{"Unitário","Global"},0),IF($A455="S",$Y455/$X455,""),($Y455/$X455)*100),0)</f>
        <v>0</v>
      </c>
      <c r="X455" s="384" t="str">
        <f ca="1">IF($Y455&gt;0,CHOOSE(MATCH(RegimeExecucao,{"Unitário","Global"},0),IF($A455="S",ROUND($H455,ORÇAMENTO!$AF$10),""),ROUND($I455,ORÇAMENTO!$AF$11)),"")</f>
        <v/>
      </c>
      <c r="Y455" s="384">
        <f t="shared" ca="1" si="48"/>
        <v>0</v>
      </c>
      <c r="Z455" s="572"/>
      <c r="AB455" s="382"/>
      <c r="AC455" s="516"/>
      <c r="AD455" s="516"/>
      <c r="AE455" s="516"/>
      <c r="AF455" s="516"/>
      <c r="AG455" s="516"/>
      <c r="AH455" s="516"/>
      <c r="AI455" s="516"/>
      <c r="AJ455" s="516"/>
      <c r="AK455" s="516"/>
      <c r="AL455" s="516"/>
      <c r="AM455" s="383"/>
      <c r="AO455">
        <f ca="1">IF($A455="S",IF(BM!$I455=0,0,CHOOSE(MATCH(RegimeExecucao,{"Global","Unitário"},0),ROUND(ROUND(BM.MEDAcumulado,15-13*BM!$A$9)/100*BM!$I455,15-13*ORÇAMENTO!$AF$11),ROUND(ROUND(BM.MEDAcumulado,15-13*BM!$A$9)*ROUND(BM!$H455,15-13*ORÇAMENTO!$AF$10),15-13*ORÇAMENTO!$AF$11))),IF($A455=0,0,ROUND(SomaAgrupBM,15-13*ORÇAMENTO!$AF$11)))</f>
        <v>0</v>
      </c>
    </row>
    <row r="456" spans="1:41" ht="51" x14ac:dyDescent="0.2">
      <c r="A456" t="str">
        <f ca="1">ORÇAMENTO!C456</f>
        <v>S</v>
      </c>
      <c r="B456">
        <f ca="1">ORÇAMENTO!D456</f>
        <v>0</v>
      </c>
      <c r="C456" s="116" t="str">
        <f t="shared" ca="1" si="42"/>
        <v/>
      </c>
      <c r="D456" s="119" t="str">
        <f ca="1">ORÇAMENTO!O456</f>
        <v>-</v>
      </c>
      <c r="E456" s="172" t="str">
        <f t="shared" ca="1" si="49"/>
        <v>(abra o arquivo 'Referência 02-2025.xlsm)</v>
      </c>
      <c r="F456" s="173" t="str">
        <f ca="1">IF(RegimeExecucao="Global","",ORÇAMENTO.Unidade)</f>
        <v>-</v>
      </c>
      <c r="G456" s="124">
        <f ca="1">IF(RegimeExecucao="Global","",ORÇAMENTO!T456)</f>
        <v>1</v>
      </c>
      <c r="H456" s="124">
        <f ca="1">IF(RegimeExecucao="Global","",ORÇAMENTO!W456)</f>
        <v>0</v>
      </c>
      <c r="I456" s="127">
        <f ca="1">ORÇAMENTO!X456</f>
        <v>0</v>
      </c>
      <c r="J456" s="378">
        <f ca="1">IF($A456="S",IF(CAIXA.Modo,BM.AFAnterior,BM.MEDAnterior),IF(AND(RegimeExecucao="Global",$I456&gt;0,COUNTIF($AB$13:$AM$13,BM.medicao-1)&gt;0),M456/$I456*100,0))</f>
        <v>0</v>
      </c>
      <c r="K456" s="124">
        <f t="shared" ca="1" si="44"/>
        <v>0</v>
      </c>
      <c r="L456" s="379">
        <f ca="1">IF($A456="S",IF(CAIXA.Modo,BM.AFAcumulado,BM.MEDAcumulado),IF(AND(RegimeExecucao="Global",$I456&gt;0,COUNTIF($AB$13:$AM$13,BM.medicao)&gt;0),O456/$I456*100,0))</f>
        <v>0</v>
      </c>
      <c r="M456" s="380">
        <f ca="1">IF($A456="S",VTOTALBM,IF($A456=0,0,ROUND(SomaAgrupBM,15-13*ORÇAMENTO!$AF$11)))</f>
        <v>0</v>
      </c>
      <c r="N456" s="381">
        <f t="shared" ca="1" si="45"/>
        <v>0</v>
      </c>
      <c r="O456" s="127">
        <f ca="1">IF($A456="S",VTOTALBM,IF($A456=0,0,ROUND(SomaAgrupBM,15-13*ORÇAMENTO!$AF$11)))</f>
        <v>0</v>
      </c>
      <c r="Q456" s="382"/>
      <c r="R456" s="383"/>
      <c r="T456" s="119" t="str">
        <f t="shared" ca="1" si="46"/>
        <v/>
      </c>
      <c r="U456" s="172" t="str">
        <f t="shared" ca="1" si="47"/>
        <v/>
      </c>
      <c r="V456" s="173" t="str">
        <f ca="1">IF(AND($W456&gt;0,RegimeExecucao="Unitário"),$F456,"")</f>
        <v/>
      </c>
      <c r="W456" s="547">
        <f ca="1">IF($Y456&gt;0,CHOOSE(MATCH(RegimeExecucao,{"Unitário","Global"},0),IF($A456="S",$Y456/$X456,""),($Y456/$X456)*100),0)</f>
        <v>0</v>
      </c>
      <c r="X456" s="384" t="str">
        <f ca="1">IF($Y456&gt;0,CHOOSE(MATCH(RegimeExecucao,{"Unitário","Global"},0),IF($A456="S",ROUND($H456,ORÇAMENTO!$AF$10),""),ROUND($I456,ORÇAMENTO!$AF$11)),"")</f>
        <v/>
      </c>
      <c r="Y456" s="384">
        <f t="shared" ca="1" si="48"/>
        <v>0</v>
      </c>
      <c r="Z456" s="572"/>
      <c r="AB456" s="382"/>
      <c r="AC456" s="516"/>
      <c r="AD456" s="516"/>
      <c r="AE456" s="516"/>
      <c r="AF456" s="516"/>
      <c r="AG456" s="516"/>
      <c r="AH456" s="516"/>
      <c r="AI456" s="516"/>
      <c r="AJ456" s="516"/>
      <c r="AK456" s="516"/>
      <c r="AL456" s="516"/>
      <c r="AM456" s="383"/>
      <c r="AO456">
        <f ca="1">IF($A456="S",IF(BM!$I456=0,0,CHOOSE(MATCH(RegimeExecucao,{"Global","Unitário"},0),ROUND(ROUND(BM.MEDAcumulado,15-13*BM!$A$9)/100*BM!$I456,15-13*ORÇAMENTO!$AF$11),ROUND(ROUND(BM.MEDAcumulado,15-13*BM!$A$9)*ROUND(BM!$H456,15-13*ORÇAMENTO!$AF$10),15-13*ORÇAMENTO!$AF$11))),IF($A456=0,0,ROUND(SomaAgrupBM,15-13*ORÇAMENTO!$AF$11)))</f>
        <v>0</v>
      </c>
    </row>
    <row r="457" spans="1:41" ht="51" x14ac:dyDescent="0.2">
      <c r="A457" t="str">
        <f ca="1">ORÇAMENTO!C457</f>
        <v>S</v>
      </c>
      <c r="B457">
        <f ca="1">ORÇAMENTO!D457</f>
        <v>0</v>
      </c>
      <c r="C457" s="116" t="str">
        <f t="shared" ca="1" si="42"/>
        <v/>
      </c>
      <c r="D457" s="119" t="str">
        <f ca="1">ORÇAMENTO!O457</f>
        <v>-</v>
      </c>
      <c r="E457" s="172" t="str">
        <f t="shared" ca="1" si="49"/>
        <v>(abra o arquivo 'Referência 02-2025.xlsm)</v>
      </c>
      <c r="F457" s="173" t="str">
        <f ca="1">IF(RegimeExecucao="Global","",ORÇAMENTO.Unidade)</f>
        <v>-</v>
      </c>
      <c r="G457" s="124">
        <f ca="1">IF(RegimeExecucao="Global","",ORÇAMENTO!T457)</f>
        <v>5</v>
      </c>
      <c r="H457" s="124">
        <f ca="1">IF(RegimeExecucao="Global","",ORÇAMENTO!W457)</f>
        <v>0</v>
      </c>
      <c r="I457" s="127">
        <f ca="1">ORÇAMENTO!X457</f>
        <v>0</v>
      </c>
      <c r="J457" s="378">
        <f ca="1">IF($A457="S",IF(CAIXA.Modo,BM.AFAnterior,BM.MEDAnterior),IF(AND(RegimeExecucao="Global",$I457&gt;0,COUNTIF($AB$13:$AM$13,BM.medicao-1)&gt;0),M457/$I457*100,0))</f>
        <v>0</v>
      </c>
      <c r="K457" s="124">
        <f t="shared" ca="1" si="44"/>
        <v>0</v>
      </c>
      <c r="L457" s="379">
        <f ca="1">IF($A457="S",IF(CAIXA.Modo,BM.AFAcumulado,BM.MEDAcumulado),IF(AND(RegimeExecucao="Global",$I457&gt;0,COUNTIF($AB$13:$AM$13,BM.medicao)&gt;0),O457/$I457*100,0))</f>
        <v>0</v>
      </c>
      <c r="M457" s="380">
        <f ca="1">IF($A457="S",VTOTALBM,IF($A457=0,0,ROUND(SomaAgrupBM,15-13*ORÇAMENTO!$AF$11)))</f>
        <v>0</v>
      </c>
      <c r="N457" s="381">
        <f t="shared" ca="1" si="45"/>
        <v>0</v>
      </c>
      <c r="O457" s="127">
        <f ca="1">IF($A457="S",VTOTALBM,IF($A457=0,0,ROUND(SomaAgrupBM,15-13*ORÇAMENTO!$AF$11)))</f>
        <v>0</v>
      </c>
      <c r="Q457" s="382"/>
      <c r="R457" s="383"/>
      <c r="T457" s="119" t="str">
        <f t="shared" ca="1" si="46"/>
        <v/>
      </c>
      <c r="U457" s="172" t="str">
        <f t="shared" ca="1" si="47"/>
        <v/>
      </c>
      <c r="V457" s="173" t="str">
        <f ca="1">IF(AND($W457&gt;0,RegimeExecucao="Unitário"),$F457,"")</f>
        <v/>
      </c>
      <c r="W457" s="547">
        <f ca="1">IF($Y457&gt;0,CHOOSE(MATCH(RegimeExecucao,{"Unitário","Global"},0),IF($A457="S",$Y457/$X457,""),($Y457/$X457)*100),0)</f>
        <v>0</v>
      </c>
      <c r="X457" s="384" t="str">
        <f ca="1">IF($Y457&gt;0,CHOOSE(MATCH(RegimeExecucao,{"Unitário","Global"},0),IF($A457="S",ROUND($H457,ORÇAMENTO!$AF$10),""),ROUND($I457,ORÇAMENTO!$AF$11)),"")</f>
        <v/>
      </c>
      <c r="Y457" s="384">
        <f t="shared" ca="1" si="48"/>
        <v>0</v>
      </c>
      <c r="Z457" s="572"/>
      <c r="AB457" s="382"/>
      <c r="AC457" s="516"/>
      <c r="AD457" s="516"/>
      <c r="AE457" s="516"/>
      <c r="AF457" s="516"/>
      <c r="AG457" s="516"/>
      <c r="AH457" s="516"/>
      <c r="AI457" s="516"/>
      <c r="AJ457" s="516"/>
      <c r="AK457" s="516"/>
      <c r="AL457" s="516"/>
      <c r="AM457" s="383"/>
      <c r="AO457">
        <f ca="1">IF($A457="S",IF(BM!$I457=0,0,CHOOSE(MATCH(RegimeExecucao,{"Global","Unitário"},0),ROUND(ROUND(BM.MEDAcumulado,15-13*BM!$A$9)/100*BM!$I457,15-13*ORÇAMENTO!$AF$11),ROUND(ROUND(BM.MEDAcumulado,15-13*BM!$A$9)*ROUND(BM!$H457,15-13*ORÇAMENTO!$AF$10),15-13*ORÇAMENTO!$AF$11))),IF($A457=0,0,ROUND(SomaAgrupBM,15-13*ORÇAMENTO!$AF$11)))</f>
        <v>0</v>
      </c>
    </row>
    <row r="458" spans="1:41" ht="38.25" x14ac:dyDescent="0.2">
      <c r="A458" t="str">
        <f ca="1">ORÇAMENTO!C458</f>
        <v>S</v>
      </c>
      <c r="B458">
        <f ca="1">ORÇAMENTO!D458</f>
        <v>0</v>
      </c>
      <c r="C458" s="116" t="str">
        <f t="shared" ca="1" si="42"/>
        <v/>
      </c>
      <c r="D458" s="119" t="str">
        <f ca="1">ORÇAMENTO!O458</f>
        <v>-</v>
      </c>
      <c r="E458" s="172" t="str">
        <f t="shared" ca="1" si="49"/>
        <v>(abra o arquivo 'Referência 02-2025.xlsm)</v>
      </c>
      <c r="F458" s="173" t="str">
        <f ca="1">IF(RegimeExecucao="Global","",ORÇAMENTO.Unidade)</f>
        <v>-</v>
      </c>
      <c r="G458" s="124">
        <f ca="1">IF(RegimeExecucao="Global","",ORÇAMENTO!T458)</f>
        <v>22</v>
      </c>
      <c r="H458" s="124">
        <f ca="1">IF(RegimeExecucao="Global","",ORÇAMENTO!W458)</f>
        <v>0</v>
      </c>
      <c r="I458" s="127">
        <f ca="1">ORÇAMENTO!X458</f>
        <v>0</v>
      </c>
      <c r="J458" s="378">
        <f ca="1">IF($A458="S",IF(CAIXA.Modo,BM.AFAnterior,BM.MEDAnterior),IF(AND(RegimeExecucao="Global",$I458&gt;0,COUNTIF($AB$13:$AM$13,BM.medicao-1)&gt;0),M458/$I458*100,0))</f>
        <v>0</v>
      </c>
      <c r="K458" s="124">
        <f t="shared" ca="1" si="44"/>
        <v>0</v>
      </c>
      <c r="L458" s="379">
        <f ca="1">IF($A458="S",IF(CAIXA.Modo,BM.AFAcumulado,BM.MEDAcumulado),IF(AND(RegimeExecucao="Global",$I458&gt;0,COUNTIF($AB$13:$AM$13,BM.medicao)&gt;0),O458/$I458*100,0))</f>
        <v>0</v>
      </c>
      <c r="M458" s="380">
        <f ca="1">IF($A458="S",VTOTALBM,IF($A458=0,0,ROUND(SomaAgrupBM,15-13*ORÇAMENTO!$AF$11)))</f>
        <v>0</v>
      </c>
      <c r="N458" s="381">
        <f t="shared" ca="1" si="45"/>
        <v>0</v>
      </c>
      <c r="O458" s="127">
        <f ca="1">IF($A458="S",VTOTALBM,IF($A458=0,0,ROUND(SomaAgrupBM,15-13*ORÇAMENTO!$AF$11)))</f>
        <v>0</v>
      </c>
      <c r="Q458" s="382"/>
      <c r="R458" s="383"/>
      <c r="T458" s="119" t="str">
        <f t="shared" ca="1" si="46"/>
        <v/>
      </c>
      <c r="U458" s="172" t="str">
        <f t="shared" ca="1" si="47"/>
        <v/>
      </c>
      <c r="V458" s="173" t="str">
        <f ca="1">IF(AND($W458&gt;0,RegimeExecucao="Unitário"),$F458,"")</f>
        <v/>
      </c>
      <c r="W458" s="547">
        <f ca="1">IF($Y458&gt;0,CHOOSE(MATCH(RegimeExecucao,{"Unitário","Global"},0),IF($A458="S",$Y458/$X458,""),($Y458/$X458)*100),0)</f>
        <v>0</v>
      </c>
      <c r="X458" s="384" t="str">
        <f ca="1">IF($Y458&gt;0,CHOOSE(MATCH(RegimeExecucao,{"Unitário","Global"},0),IF($A458="S",ROUND($H458,ORÇAMENTO!$AF$10),""),ROUND($I458,ORÇAMENTO!$AF$11)),"")</f>
        <v/>
      </c>
      <c r="Y458" s="384">
        <f t="shared" ca="1" si="48"/>
        <v>0</v>
      </c>
      <c r="Z458" s="572"/>
      <c r="AB458" s="382"/>
      <c r="AC458" s="516"/>
      <c r="AD458" s="516"/>
      <c r="AE458" s="516"/>
      <c r="AF458" s="516"/>
      <c r="AG458" s="516"/>
      <c r="AH458" s="516"/>
      <c r="AI458" s="516"/>
      <c r="AJ458" s="516"/>
      <c r="AK458" s="516"/>
      <c r="AL458" s="516"/>
      <c r="AM458" s="383"/>
      <c r="AO458">
        <f ca="1">IF($A458="S",IF(BM!$I458=0,0,CHOOSE(MATCH(RegimeExecucao,{"Global","Unitário"},0),ROUND(ROUND(BM.MEDAcumulado,15-13*BM!$A$9)/100*BM!$I458,15-13*ORÇAMENTO!$AF$11),ROUND(ROUND(BM.MEDAcumulado,15-13*BM!$A$9)*ROUND(BM!$H458,15-13*ORÇAMENTO!$AF$10),15-13*ORÇAMENTO!$AF$11))),IF($A458=0,0,ROUND(SomaAgrupBM,15-13*ORÇAMENTO!$AF$11)))</f>
        <v>0</v>
      </c>
    </row>
    <row r="459" spans="1:41" ht="38.25" x14ac:dyDescent="0.2">
      <c r="A459" t="str">
        <f ca="1">ORÇAMENTO!C459</f>
        <v>S</v>
      </c>
      <c r="B459">
        <f ca="1">ORÇAMENTO!D459</f>
        <v>0</v>
      </c>
      <c r="C459" s="116" t="str">
        <f t="shared" ca="1" si="42"/>
        <v/>
      </c>
      <c r="D459" s="119" t="str">
        <f ca="1">ORÇAMENTO!O459</f>
        <v>-</v>
      </c>
      <c r="E459" s="172" t="str">
        <f t="shared" ca="1" si="49"/>
        <v>(abra o arquivo 'Referência 02-2025.xlsm)</v>
      </c>
      <c r="F459" s="173" t="str">
        <f ca="1">IF(RegimeExecucao="Global","",ORÇAMENTO.Unidade)</f>
        <v>-</v>
      </c>
      <c r="G459" s="124">
        <f ca="1">IF(RegimeExecucao="Global","",ORÇAMENTO!T459)</f>
        <v>11</v>
      </c>
      <c r="H459" s="124">
        <f ca="1">IF(RegimeExecucao="Global","",ORÇAMENTO!W459)</f>
        <v>0</v>
      </c>
      <c r="I459" s="127">
        <f ca="1">ORÇAMENTO!X459</f>
        <v>0</v>
      </c>
      <c r="J459" s="378">
        <f ca="1">IF($A459="S",IF(CAIXA.Modo,BM.AFAnterior,BM.MEDAnterior),IF(AND(RegimeExecucao="Global",$I459&gt;0,COUNTIF($AB$13:$AM$13,BM.medicao-1)&gt;0),M459/$I459*100,0))</f>
        <v>0</v>
      </c>
      <c r="K459" s="124">
        <f t="shared" ca="1" si="44"/>
        <v>0</v>
      </c>
      <c r="L459" s="379">
        <f ca="1">IF($A459="S",IF(CAIXA.Modo,BM.AFAcumulado,BM.MEDAcumulado),IF(AND(RegimeExecucao="Global",$I459&gt;0,COUNTIF($AB$13:$AM$13,BM.medicao)&gt;0),O459/$I459*100,0))</f>
        <v>0</v>
      </c>
      <c r="M459" s="380">
        <f ca="1">IF($A459="S",VTOTALBM,IF($A459=0,0,ROUND(SomaAgrupBM,15-13*ORÇAMENTO!$AF$11)))</f>
        <v>0</v>
      </c>
      <c r="N459" s="381">
        <f t="shared" ca="1" si="45"/>
        <v>0</v>
      </c>
      <c r="O459" s="127">
        <f ca="1">IF($A459="S",VTOTALBM,IF($A459=0,0,ROUND(SomaAgrupBM,15-13*ORÇAMENTO!$AF$11)))</f>
        <v>0</v>
      </c>
      <c r="Q459" s="382"/>
      <c r="R459" s="383"/>
      <c r="T459" s="119" t="str">
        <f t="shared" ca="1" si="46"/>
        <v/>
      </c>
      <c r="U459" s="172" t="str">
        <f t="shared" ca="1" si="47"/>
        <v/>
      </c>
      <c r="V459" s="173" t="str">
        <f ca="1">IF(AND($W459&gt;0,RegimeExecucao="Unitário"),$F459,"")</f>
        <v/>
      </c>
      <c r="W459" s="547">
        <f ca="1">IF($Y459&gt;0,CHOOSE(MATCH(RegimeExecucao,{"Unitário","Global"},0),IF($A459="S",$Y459/$X459,""),($Y459/$X459)*100),0)</f>
        <v>0</v>
      </c>
      <c r="X459" s="384" t="str">
        <f ca="1">IF($Y459&gt;0,CHOOSE(MATCH(RegimeExecucao,{"Unitário","Global"},0),IF($A459="S",ROUND($H459,ORÇAMENTO!$AF$10),""),ROUND($I459,ORÇAMENTO!$AF$11)),"")</f>
        <v/>
      </c>
      <c r="Y459" s="384">
        <f t="shared" ca="1" si="48"/>
        <v>0</v>
      </c>
      <c r="Z459" s="572"/>
      <c r="AB459" s="382"/>
      <c r="AC459" s="516"/>
      <c r="AD459" s="516"/>
      <c r="AE459" s="516"/>
      <c r="AF459" s="516"/>
      <c r="AG459" s="516"/>
      <c r="AH459" s="516"/>
      <c r="AI459" s="516"/>
      <c r="AJ459" s="516"/>
      <c r="AK459" s="516"/>
      <c r="AL459" s="516"/>
      <c r="AM459" s="383"/>
      <c r="AO459">
        <f ca="1">IF($A459="S",IF(BM!$I459=0,0,CHOOSE(MATCH(RegimeExecucao,{"Global","Unitário"},0),ROUND(ROUND(BM.MEDAcumulado,15-13*BM!$A$9)/100*BM!$I459,15-13*ORÇAMENTO!$AF$11),ROUND(ROUND(BM.MEDAcumulado,15-13*BM!$A$9)*ROUND(BM!$H459,15-13*ORÇAMENTO!$AF$10),15-13*ORÇAMENTO!$AF$11))),IF($A459=0,0,ROUND(SomaAgrupBM,15-13*ORÇAMENTO!$AF$11)))</f>
        <v>0</v>
      </c>
    </row>
    <row r="460" spans="1:41" ht="25.5" x14ac:dyDescent="0.2">
      <c r="A460" t="str">
        <f ca="1">ORÇAMENTO!C460</f>
        <v>S</v>
      </c>
      <c r="B460">
        <f ca="1">ORÇAMENTO!D460</f>
        <v>0</v>
      </c>
      <c r="C460" s="116" t="str">
        <f t="shared" ca="1" si="42"/>
        <v/>
      </c>
      <c r="D460" s="119" t="str">
        <f ca="1">ORÇAMENTO!O460</f>
        <v>-</v>
      </c>
      <c r="E460" s="172" t="str">
        <f t="shared" ca="1" si="49"/>
        <v>(abra o arquivo 'Referência 02-2025.xlsm)</v>
      </c>
      <c r="F460" s="173" t="str">
        <f ca="1">IF(RegimeExecucao="Global","",ORÇAMENTO.Unidade)</f>
        <v>-</v>
      </c>
      <c r="G460" s="124">
        <f ca="1">IF(RegimeExecucao="Global","",ORÇAMENTO!T460)</f>
        <v>5</v>
      </c>
      <c r="H460" s="124">
        <f ca="1">IF(RegimeExecucao="Global","",ORÇAMENTO!W460)</f>
        <v>0</v>
      </c>
      <c r="I460" s="127">
        <f ca="1">ORÇAMENTO!X460</f>
        <v>0</v>
      </c>
      <c r="J460" s="378">
        <f ca="1">IF($A460="S",IF(CAIXA.Modo,BM.AFAnterior,BM.MEDAnterior),IF(AND(RegimeExecucao="Global",$I460&gt;0,COUNTIF($AB$13:$AM$13,BM.medicao-1)&gt;0),M460/$I460*100,0))</f>
        <v>0</v>
      </c>
      <c r="K460" s="124">
        <f t="shared" ca="1" si="44"/>
        <v>0</v>
      </c>
      <c r="L460" s="379">
        <f ca="1">IF($A460="S",IF(CAIXA.Modo,BM.AFAcumulado,BM.MEDAcumulado),IF(AND(RegimeExecucao="Global",$I460&gt;0,COUNTIF($AB$13:$AM$13,BM.medicao)&gt;0),O460/$I460*100,0))</f>
        <v>0</v>
      </c>
      <c r="M460" s="380">
        <f ca="1">IF($A460="S",VTOTALBM,IF($A460=0,0,ROUND(SomaAgrupBM,15-13*ORÇAMENTO!$AF$11)))</f>
        <v>0</v>
      </c>
      <c r="N460" s="381">
        <f t="shared" ca="1" si="45"/>
        <v>0</v>
      </c>
      <c r="O460" s="127">
        <f ca="1">IF($A460="S",VTOTALBM,IF($A460=0,0,ROUND(SomaAgrupBM,15-13*ORÇAMENTO!$AF$11)))</f>
        <v>0</v>
      </c>
      <c r="Q460" s="382"/>
      <c r="R460" s="383"/>
      <c r="T460" s="119" t="str">
        <f t="shared" ca="1" si="46"/>
        <v/>
      </c>
      <c r="U460" s="172" t="str">
        <f t="shared" ca="1" si="47"/>
        <v/>
      </c>
      <c r="V460" s="173" t="str">
        <f ca="1">IF(AND($W460&gt;0,RegimeExecucao="Unitário"),$F460,"")</f>
        <v/>
      </c>
      <c r="W460" s="547">
        <f ca="1">IF($Y460&gt;0,CHOOSE(MATCH(RegimeExecucao,{"Unitário","Global"},0),IF($A460="S",$Y460/$X460,""),($Y460/$X460)*100),0)</f>
        <v>0</v>
      </c>
      <c r="X460" s="384" t="str">
        <f ca="1">IF($Y460&gt;0,CHOOSE(MATCH(RegimeExecucao,{"Unitário","Global"},0),IF($A460="S",ROUND($H460,ORÇAMENTO!$AF$10),""),ROUND($I460,ORÇAMENTO!$AF$11)),"")</f>
        <v/>
      </c>
      <c r="Y460" s="384">
        <f t="shared" ca="1" si="48"/>
        <v>0</v>
      </c>
      <c r="Z460" s="572"/>
      <c r="AB460" s="382"/>
      <c r="AC460" s="516"/>
      <c r="AD460" s="516"/>
      <c r="AE460" s="516"/>
      <c r="AF460" s="516"/>
      <c r="AG460" s="516"/>
      <c r="AH460" s="516"/>
      <c r="AI460" s="516"/>
      <c r="AJ460" s="516"/>
      <c r="AK460" s="516"/>
      <c r="AL460" s="516"/>
      <c r="AM460" s="383"/>
      <c r="AO460">
        <f ca="1">IF($A460="S",IF(BM!$I460=0,0,CHOOSE(MATCH(RegimeExecucao,{"Global","Unitário"},0),ROUND(ROUND(BM.MEDAcumulado,15-13*BM!$A$9)/100*BM!$I460,15-13*ORÇAMENTO!$AF$11),ROUND(ROUND(BM.MEDAcumulado,15-13*BM!$A$9)*ROUND(BM!$H460,15-13*ORÇAMENTO!$AF$10),15-13*ORÇAMENTO!$AF$11))),IF($A460=0,0,ROUND(SomaAgrupBM,15-13*ORÇAMENTO!$AF$11)))</f>
        <v>0</v>
      </c>
    </row>
    <row r="461" spans="1:41" ht="38.25" x14ac:dyDescent="0.2">
      <c r="A461" t="str">
        <f ca="1">ORÇAMENTO!C461</f>
        <v>S</v>
      </c>
      <c r="B461">
        <f ca="1">ORÇAMENTO!D461</f>
        <v>0</v>
      </c>
      <c r="C461" s="116" t="str">
        <f t="shared" ca="1" si="42"/>
        <v/>
      </c>
      <c r="D461" s="119" t="str">
        <f ca="1">ORÇAMENTO!O461</f>
        <v>-</v>
      </c>
      <c r="E461" s="172" t="str">
        <f t="shared" ca="1" si="49"/>
        <v>(abra o arquivo 'Referência 02-2025.xlsm)</v>
      </c>
      <c r="F461" s="173" t="str">
        <f ca="1">IF(RegimeExecucao="Global","",ORÇAMENTO.Unidade)</f>
        <v>-</v>
      </c>
      <c r="G461" s="124">
        <f ca="1">IF(RegimeExecucao="Global","",ORÇAMENTO!T461)</f>
        <v>5</v>
      </c>
      <c r="H461" s="124">
        <f ca="1">IF(RegimeExecucao="Global","",ORÇAMENTO!W461)</f>
        <v>0</v>
      </c>
      <c r="I461" s="127">
        <f ca="1">ORÇAMENTO!X461</f>
        <v>0</v>
      </c>
      <c r="J461" s="378">
        <f ca="1">IF($A461="S",IF(CAIXA.Modo,BM.AFAnterior,BM.MEDAnterior),IF(AND(RegimeExecucao="Global",$I461&gt;0,COUNTIF($AB$13:$AM$13,BM.medicao-1)&gt;0),M461/$I461*100,0))</f>
        <v>0</v>
      </c>
      <c r="K461" s="124">
        <f t="shared" ca="1" si="44"/>
        <v>0</v>
      </c>
      <c r="L461" s="379">
        <f ca="1">IF($A461="S",IF(CAIXA.Modo,BM.AFAcumulado,BM.MEDAcumulado),IF(AND(RegimeExecucao="Global",$I461&gt;0,COUNTIF($AB$13:$AM$13,BM.medicao)&gt;0),O461/$I461*100,0))</f>
        <v>0</v>
      </c>
      <c r="M461" s="380">
        <f ca="1">IF($A461="S",VTOTALBM,IF($A461=0,0,ROUND(SomaAgrupBM,15-13*ORÇAMENTO!$AF$11)))</f>
        <v>0</v>
      </c>
      <c r="N461" s="381">
        <f t="shared" ca="1" si="45"/>
        <v>0</v>
      </c>
      <c r="O461" s="127">
        <f ca="1">IF($A461="S",VTOTALBM,IF($A461=0,0,ROUND(SomaAgrupBM,15-13*ORÇAMENTO!$AF$11)))</f>
        <v>0</v>
      </c>
      <c r="Q461" s="382"/>
      <c r="R461" s="383"/>
      <c r="T461" s="119" t="str">
        <f t="shared" ca="1" si="46"/>
        <v/>
      </c>
      <c r="U461" s="172" t="str">
        <f t="shared" ca="1" si="47"/>
        <v/>
      </c>
      <c r="V461" s="173" t="str">
        <f ca="1">IF(AND($W461&gt;0,RegimeExecucao="Unitário"),$F461,"")</f>
        <v/>
      </c>
      <c r="W461" s="547">
        <f ca="1">IF($Y461&gt;0,CHOOSE(MATCH(RegimeExecucao,{"Unitário","Global"},0),IF($A461="S",$Y461/$X461,""),($Y461/$X461)*100),0)</f>
        <v>0</v>
      </c>
      <c r="X461" s="384" t="str">
        <f ca="1">IF($Y461&gt;0,CHOOSE(MATCH(RegimeExecucao,{"Unitário","Global"},0),IF($A461="S",ROUND($H461,ORÇAMENTO!$AF$10),""),ROUND($I461,ORÇAMENTO!$AF$11)),"")</f>
        <v/>
      </c>
      <c r="Y461" s="384">
        <f t="shared" ca="1" si="48"/>
        <v>0</v>
      </c>
      <c r="Z461" s="572"/>
      <c r="AB461" s="382"/>
      <c r="AC461" s="516"/>
      <c r="AD461" s="516"/>
      <c r="AE461" s="516"/>
      <c r="AF461" s="516"/>
      <c r="AG461" s="516"/>
      <c r="AH461" s="516"/>
      <c r="AI461" s="516"/>
      <c r="AJ461" s="516"/>
      <c r="AK461" s="516"/>
      <c r="AL461" s="516"/>
      <c r="AM461" s="383"/>
      <c r="AO461">
        <f ca="1">IF($A461="S",IF(BM!$I461=0,0,CHOOSE(MATCH(RegimeExecucao,{"Global","Unitário"},0),ROUND(ROUND(BM.MEDAcumulado,15-13*BM!$A$9)/100*BM!$I461,15-13*ORÇAMENTO!$AF$11),ROUND(ROUND(BM.MEDAcumulado,15-13*BM!$A$9)*ROUND(BM!$H461,15-13*ORÇAMENTO!$AF$10),15-13*ORÇAMENTO!$AF$11))),IF($A461=0,0,ROUND(SomaAgrupBM,15-13*ORÇAMENTO!$AF$11)))</f>
        <v>0</v>
      </c>
    </row>
    <row r="462" spans="1:41" ht="38.25" x14ac:dyDescent="0.2">
      <c r="A462" t="str">
        <f ca="1">ORÇAMENTO!C462</f>
        <v>S</v>
      </c>
      <c r="B462">
        <f ca="1">ORÇAMENTO!D462</f>
        <v>0</v>
      </c>
      <c r="C462" s="116" t="str">
        <f t="shared" ca="1" si="42"/>
        <v/>
      </c>
      <c r="D462" s="119" t="str">
        <f ca="1">ORÇAMENTO!O462</f>
        <v>-</v>
      </c>
      <c r="E462" s="172" t="str">
        <f t="shared" ca="1" si="49"/>
        <v>(abra o arquivo 'Referência 02-2025.xlsm)</v>
      </c>
      <c r="F462" s="173" t="str">
        <f ca="1">IF(RegimeExecucao="Global","",ORÇAMENTO.Unidade)</f>
        <v>-</v>
      </c>
      <c r="G462" s="124">
        <f ca="1">IF(RegimeExecucao="Global","",ORÇAMENTO!T462)</f>
        <v>1</v>
      </c>
      <c r="H462" s="124">
        <f ca="1">IF(RegimeExecucao="Global","",ORÇAMENTO!W462)</f>
        <v>0</v>
      </c>
      <c r="I462" s="127">
        <f ca="1">ORÇAMENTO!X462</f>
        <v>0</v>
      </c>
      <c r="J462" s="378">
        <f ca="1">IF($A462="S",IF(CAIXA.Modo,BM.AFAnterior,BM.MEDAnterior),IF(AND(RegimeExecucao="Global",$I462&gt;0,COUNTIF($AB$13:$AM$13,BM.medicao-1)&gt;0),M462/$I462*100,0))</f>
        <v>0</v>
      </c>
      <c r="K462" s="124">
        <f t="shared" ca="1" si="44"/>
        <v>0</v>
      </c>
      <c r="L462" s="379">
        <f ca="1">IF($A462="S",IF(CAIXA.Modo,BM.AFAcumulado,BM.MEDAcumulado),IF(AND(RegimeExecucao="Global",$I462&gt;0,COUNTIF($AB$13:$AM$13,BM.medicao)&gt;0),O462/$I462*100,0))</f>
        <v>0</v>
      </c>
      <c r="M462" s="380">
        <f ca="1">IF($A462="S",VTOTALBM,IF($A462=0,0,ROUND(SomaAgrupBM,15-13*ORÇAMENTO!$AF$11)))</f>
        <v>0</v>
      </c>
      <c r="N462" s="381">
        <f t="shared" ca="1" si="45"/>
        <v>0</v>
      </c>
      <c r="O462" s="127">
        <f ca="1">IF($A462="S",VTOTALBM,IF($A462=0,0,ROUND(SomaAgrupBM,15-13*ORÇAMENTO!$AF$11)))</f>
        <v>0</v>
      </c>
      <c r="Q462" s="382"/>
      <c r="R462" s="383"/>
      <c r="T462" s="119" t="str">
        <f t="shared" ca="1" si="46"/>
        <v/>
      </c>
      <c r="U462" s="172" t="str">
        <f t="shared" ca="1" si="47"/>
        <v/>
      </c>
      <c r="V462" s="173" t="str">
        <f ca="1">IF(AND($W462&gt;0,RegimeExecucao="Unitário"),$F462,"")</f>
        <v/>
      </c>
      <c r="W462" s="547">
        <f ca="1">IF($Y462&gt;0,CHOOSE(MATCH(RegimeExecucao,{"Unitário","Global"},0),IF($A462="S",$Y462/$X462,""),($Y462/$X462)*100),0)</f>
        <v>0</v>
      </c>
      <c r="X462" s="384" t="str">
        <f ca="1">IF($Y462&gt;0,CHOOSE(MATCH(RegimeExecucao,{"Unitário","Global"},0),IF($A462="S",ROUND($H462,ORÇAMENTO!$AF$10),""),ROUND($I462,ORÇAMENTO!$AF$11)),"")</f>
        <v/>
      </c>
      <c r="Y462" s="384">
        <f t="shared" ca="1" si="48"/>
        <v>0</v>
      </c>
      <c r="Z462" s="572"/>
      <c r="AB462" s="382"/>
      <c r="AC462" s="516"/>
      <c r="AD462" s="516"/>
      <c r="AE462" s="516"/>
      <c r="AF462" s="516"/>
      <c r="AG462" s="516"/>
      <c r="AH462" s="516"/>
      <c r="AI462" s="516"/>
      <c r="AJ462" s="516"/>
      <c r="AK462" s="516"/>
      <c r="AL462" s="516"/>
      <c r="AM462" s="383"/>
      <c r="AO462">
        <f ca="1">IF($A462="S",IF(BM!$I462=0,0,CHOOSE(MATCH(RegimeExecucao,{"Global","Unitário"},0),ROUND(ROUND(BM.MEDAcumulado,15-13*BM!$A$9)/100*BM!$I462,15-13*ORÇAMENTO!$AF$11),ROUND(ROUND(BM.MEDAcumulado,15-13*BM!$A$9)*ROUND(BM!$H462,15-13*ORÇAMENTO!$AF$10),15-13*ORÇAMENTO!$AF$11))),IF($A462=0,0,ROUND(SomaAgrupBM,15-13*ORÇAMENTO!$AF$11)))</f>
        <v>0</v>
      </c>
    </row>
    <row r="463" spans="1:41" ht="38.25" x14ac:dyDescent="0.2">
      <c r="A463" t="str">
        <f ca="1">ORÇAMENTO!C463</f>
        <v>S</v>
      </c>
      <c r="B463">
        <f ca="1">ORÇAMENTO!D463</f>
        <v>0</v>
      </c>
      <c r="C463" s="116" t="str">
        <f t="shared" ca="1" si="42"/>
        <v/>
      </c>
      <c r="D463" s="119" t="str">
        <f ca="1">ORÇAMENTO!O463</f>
        <v>-</v>
      </c>
      <c r="E463" s="172" t="str">
        <f t="shared" ca="1" si="49"/>
        <v>(abra o arquivo 'Referência 02-2025.xlsm)</v>
      </c>
      <c r="F463" s="173" t="str">
        <f ca="1">IF(RegimeExecucao="Global","",ORÇAMENTO.Unidade)</f>
        <v>-</v>
      </c>
      <c r="G463" s="124">
        <f ca="1">IF(RegimeExecucao="Global","",ORÇAMENTO!T463)</f>
        <v>2</v>
      </c>
      <c r="H463" s="124">
        <f ca="1">IF(RegimeExecucao="Global","",ORÇAMENTO!W463)</f>
        <v>0</v>
      </c>
      <c r="I463" s="127">
        <f ca="1">ORÇAMENTO!X463</f>
        <v>0</v>
      </c>
      <c r="J463" s="378">
        <f ca="1">IF($A463="S",IF(CAIXA.Modo,BM.AFAnterior,BM.MEDAnterior),IF(AND(RegimeExecucao="Global",$I463&gt;0,COUNTIF($AB$13:$AM$13,BM.medicao-1)&gt;0),M463/$I463*100,0))</f>
        <v>0</v>
      </c>
      <c r="K463" s="124">
        <f t="shared" ca="1" si="44"/>
        <v>0</v>
      </c>
      <c r="L463" s="379">
        <f ca="1">IF($A463="S",IF(CAIXA.Modo,BM.AFAcumulado,BM.MEDAcumulado),IF(AND(RegimeExecucao="Global",$I463&gt;0,COUNTIF($AB$13:$AM$13,BM.medicao)&gt;0),O463/$I463*100,0))</f>
        <v>0</v>
      </c>
      <c r="M463" s="380">
        <f ca="1">IF($A463="S",VTOTALBM,IF($A463=0,0,ROUND(SomaAgrupBM,15-13*ORÇAMENTO!$AF$11)))</f>
        <v>0</v>
      </c>
      <c r="N463" s="381">
        <f t="shared" ca="1" si="45"/>
        <v>0</v>
      </c>
      <c r="O463" s="127">
        <f ca="1">IF($A463="S",VTOTALBM,IF($A463=0,0,ROUND(SomaAgrupBM,15-13*ORÇAMENTO!$AF$11)))</f>
        <v>0</v>
      </c>
      <c r="Q463" s="382"/>
      <c r="R463" s="383"/>
      <c r="T463" s="119" t="str">
        <f t="shared" ca="1" si="46"/>
        <v/>
      </c>
      <c r="U463" s="172" t="str">
        <f t="shared" ca="1" si="47"/>
        <v/>
      </c>
      <c r="V463" s="173" t="str">
        <f ca="1">IF(AND($W463&gt;0,RegimeExecucao="Unitário"),$F463,"")</f>
        <v/>
      </c>
      <c r="W463" s="547">
        <f ca="1">IF($Y463&gt;0,CHOOSE(MATCH(RegimeExecucao,{"Unitário","Global"},0),IF($A463="S",$Y463/$X463,""),($Y463/$X463)*100),0)</f>
        <v>0</v>
      </c>
      <c r="X463" s="384" t="str">
        <f ca="1">IF($Y463&gt;0,CHOOSE(MATCH(RegimeExecucao,{"Unitário","Global"},0),IF($A463="S",ROUND($H463,ORÇAMENTO!$AF$10),""),ROUND($I463,ORÇAMENTO!$AF$11)),"")</f>
        <v/>
      </c>
      <c r="Y463" s="384">
        <f t="shared" ca="1" si="48"/>
        <v>0</v>
      </c>
      <c r="Z463" s="572"/>
      <c r="AB463" s="382"/>
      <c r="AC463" s="516"/>
      <c r="AD463" s="516"/>
      <c r="AE463" s="516"/>
      <c r="AF463" s="516"/>
      <c r="AG463" s="516"/>
      <c r="AH463" s="516"/>
      <c r="AI463" s="516"/>
      <c r="AJ463" s="516"/>
      <c r="AK463" s="516"/>
      <c r="AL463" s="516"/>
      <c r="AM463" s="383"/>
      <c r="AO463">
        <f ca="1">IF($A463="S",IF(BM!$I463=0,0,CHOOSE(MATCH(RegimeExecucao,{"Global","Unitário"},0),ROUND(ROUND(BM.MEDAcumulado,15-13*BM!$A$9)/100*BM!$I463,15-13*ORÇAMENTO!$AF$11),ROUND(ROUND(BM.MEDAcumulado,15-13*BM!$A$9)*ROUND(BM!$H463,15-13*ORÇAMENTO!$AF$10),15-13*ORÇAMENTO!$AF$11))),IF($A463=0,0,ROUND(SomaAgrupBM,15-13*ORÇAMENTO!$AF$11)))</f>
        <v>0</v>
      </c>
    </row>
    <row r="464" spans="1:41" ht="38.25" x14ac:dyDescent="0.2">
      <c r="A464" t="str">
        <f ca="1">ORÇAMENTO!C464</f>
        <v>S</v>
      </c>
      <c r="B464">
        <f ca="1">ORÇAMENTO!D464</f>
        <v>0</v>
      </c>
      <c r="C464" s="116" t="str">
        <f t="shared" ca="1" si="42"/>
        <v/>
      </c>
      <c r="D464" s="119" t="str">
        <f ca="1">ORÇAMENTO!O464</f>
        <v>-</v>
      </c>
      <c r="E464" s="172" t="str">
        <f t="shared" ca="1" si="49"/>
        <v>(abra o arquivo 'Referência 02-2025.xlsm)</v>
      </c>
      <c r="F464" s="173" t="str">
        <f ca="1">IF(RegimeExecucao="Global","",ORÇAMENTO.Unidade)</f>
        <v>-</v>
      </c>
      <c r="G464" s="124">
        <f ca="1">IF(RegimeExecucao="Global","",ORÇAMENTO!T464)</f>
        <v>1</v>
      </c>
      <c r="H464" s="124">
        <f ca="1">IF(RegimeExecucao="Global","",ORÇAMENTO!W464)</f>
        <v>0</v>
      </c>
      <c r="I464" s="127">
        <f ca="1">ORÇAMENTO!X464</f>
        <v>0</v>
      </c>
      <c r="J464" s="378">
        <f ca="1">IF($A464="S",IF(CAIXA.Modo,BM.AFAnterior,BM.MEDAnterior),IF(AND(RegimeExecucao="Global",$I464&gt;0,COUNTIF($AB$13:$AM$13,BM.medicao-1)&gt;0),M464/$I464*100,0))</f>
        <v>0</v>
      </c>
      <c r="K464" s="124">
        <f t="shared" ca="1" si="44"/>
        <v>0</v>
      </c>
      <c r="L464" s="379">
        <f ca="1">IF($A464="S",IF(CAIXA.Modo,BM.AFAcumulado,BM.MEDAcumulado),IF(AND(RegimeExecucao="Global",$I464&gt;0,COUNTIF($AB$13:$AM$13,BM.medicao)&gt;0),O464/$I464*100,0))</f>
        <v>0</v>
      </c>
      <c r="M464" s="380">
        <f ca="1">IF($A464="S",VTOTALBM,IF($A464=0,0,ROUND(SomaAgrupBM,15-13*ORÇAMENTO!$AF$11)))</f>
        <v>0</v>
      </c>
      <c r="N464" s="381">
        <f t="shared" ca="1" si="45"/>
        <v>0</v>
      </c>
      <c r="O464" s="127">
        <f ca="1">IF($A464="S",VTOTALBM,IF($A464=0,0,ROUND(SomaAgrupBM,15-13*ORÇAMENTO!$AF$11)))</f>
        <v>0</v>
      </c>
      <c r="Q464" s="382"/>
      <c r="R464" s="383"/>
      <c r="T464" s="119" t="str">
        <f t="shared" ca="1" si="46"/>
        <v/>
      </c>
      <c r="U464" s="172" t="str">
        <f t="shared" ca="1" si="47"/>
        <v/>
      </c>
      <c r="V464" s="173" t="str">
        <f ca="1">IF(AND($W464&gt;0,RegimeExecucao="Unitário"),$F464,"")</f>
        <v/>
      </c>
      <c r="W464" s="547">
        <f ca="1">IF($Y464&gt;0,CHOOSE(MATCH(RegimeExecucao,{"Unitário","Global"},0),IF($A464="S",$Y464/$X464,""),($Y464/$X464)*100),0)</f>
        <v>0</v>
      </c>
      <c r="X464" s="384" t="str">
        <f ca="1">IF($Y464&gt;0,CHOOSE(MATCH(RegimeExecucao,{"Unitário","Global"},0),IF($A464="S",ROUND($H464,ORÇAMENTO!$AF$10),""),ROUND($I464,ORÇAMENTO!$AF$11)),"")</f>
        <v/>
      </c>
      <c r="Y464" s="384">
        <f t="shared" ca="1" si="48"/>
        <v>0</v>
      </c>
      <c r="Z464" s="572"/>
      <c r="AB464" s="382"/>
      <c r="AC464" s="516"/>
      <c r="AD464" s="516"/>
      <c r="AE464" s="516"/>
      <c r="AF464" s="516"/>
      <c r="AG464" s="516"/>
      <c r="AH464" s="516"/>
      <c r="AI464" s="516"/>
      <c r="AJ464" s="516"/>
      <c r="AK464" s="516"/>
      <c r="AL464" s="516"/>
      <c r="AM464" s="383"/>
      <c r="AO464">
        <f ca="1">IF($A464="S",IF(BM!$I464=0,0,CHOOSE(MATCH(RegimeExecucao,{"Global","Unitário"},0),ROUND(ROUND(BM.MEDAcumulado,15-13*BM!$A$9)/100*BM!$I464,15-13*ORÇAMENTO!$AF$11),ROUND(ROUND(BM.MEDAcumulado,15-13*BM!$A$9)*ROUND(BM!$H464,15-13*ORÇAMENTO!$AF$10),15-13*ORÇAMENTO!$AF$11))),IF($A464=0,0,ROUND(SomaAgrupBM,15-13*ORÇAMENTO!$AF$11)))</f>
        <v>0</v>
      </c>
    </row>
    <row r="465" spans="1:41" ht="38.25" x14ac:dyDescent="0.2">
      <c r="A465" t="str">
        <f ca="1">ORÇAMENTO!C465</f>
        <v>S</v>
      </c>
      <c r="B465">
        <f ca="1">ORÇAMENTO!D465</f>
        <v>0</v>
      </c>
      <c r="C465" s="116" t="str">
        <f t="shared" ca="1" si="42"/>
        <v/>
      </c>
      <c r="D465" s="119" t="str">
        <f ca="1">ORÇAMENTO!O465</f>
        <v>-</v>
      </c>
      <c r="E465" s="172" t="str">
        <f t="shared" ca="1" si="49"/>
        <v>(abra o arquivo 'Referência 02-2025.xlsm)</v>
      </c>
      <c r="F465" s="173" t="str">
        <f ca="1">IF(RegimeExecucao="Global","",ORÇAMENTO.Unidade)</f>
        <v>-</v>
      </c>
      <c r="G465" s="124">
        <f ca="1">IF(RegimeExecucao="Global","",ORÇAMENTO!T465)</f>
        <v>1</v>
      </c>
      <c r="H465" s="124">
        <f ca="1">IF(RegimeExecucao="Global","",ORÇAMENTO!W465)</f>
        <v>0</v>
      </c>
      <c r="I465" s="127">
        <f ca="1">ORÇAMENTO!X465</f>
        <v>0</v>
      </c>
      <c r="J465" s="378">
        <f ca="1">IF($A465="S",IF(CAIXA.Modo,BM.AFAnterior,BM.MEDAnterior),IF(AND(RegimeExecucao="Global",$I465&gt;0,COUNTIF($AB$13:$AM$13,BM.medicao-1)&gt;0),M465/$I465*100,0))</f>
        <v>0</v>
      </c>
      <c r="K465" s="124">
        <f t="shared" ca="1" si="44"/>
        <v>0</v>
      </c>
      <c r="L465" s="379">
        <f ca="1">IF($A465="S",IF(CAIXA.Modo,BM.AFAcumulado,BM.MEDAcumulado),IF(AND(RegimeExecucao="Global",$I465&gt;0,COUNTIF($AB$13:$AM$13,BM.medicao)&gt;0),O465/$I465*100,0))</f>
        <v>0</v>
      </c>
      <c r="M465" s="380">
        <f ca="1">IF($A465="S",VTOTALBM,IF($A465=0,0,ROUND(SomaAgrupBM,15-13*ORÇAMENTO!$AF$11)))</f>
        <v>0</v>
      </c>
      <c r="N465" s="381">
        <f t="shared" ca="1" si="45"/>
        <v>0</v>
      </c>
      <c r="O465" s="127">
        <f ca="1">IF($A465="S",VTOTALBM,IF($A465=0,0,ROUND(SomaAgrupBM,15-13*ORÇAMENTO!$AF$11)))</f>
        <v>0</v>
      </c>
      <c r="Q465" s="382"/>
      <c r="R465" s="383"/>
      <c r="T465" s="119" t="str">
        <f t="shared" ca="1" si="46"/>
        <v/>
      </c>
      <c r="U465" s="172" t="str">
        <f t="shared" ca="1" si="47"/>
        <v/>
      </c>
      <c r="V465" s="173" t="str">
        <f ca="1">IF(AND($W465&gt;0,RegimeExecucao="Unitário"),$F465,"")</f>
        <v/>
      </c>
      <c r="W465" s="547">
        <f ca="1">IF($Y465&gt;0,CHOOSE(MATCH(RegimeExecucao,{"Unitário","Global"},0),IF($A465="S",$Y465/$X465,""),($Y465/$X465)*100),0)</f>
        <v>0</v>
      </c>
      <c r="X465" s="384" t="str">
        <f ca="1">IF($Y465&gt;0,CHOOSE(MATCH(RegimeExecucao,{"Unitário","Global"},0),IF($A465="S",ROUND($H465,ORÇAMENTO!$AF$10),""),ROUND($I465,ORÇAMENTO!$AF$11)),"")</f>
        <v/>
      </c>
      <c r="Y465" s="384">
        <f t="shared" ca="1" si="48"/>
        <v>0</v>
      </c>
      <c r="Z465" s="572"/>
      <c r="AB465" s="382"/>
      <c r="AC465" s="516"/>
      <c r="AD465" s="516"/>
      <c r="AE465" s="516"/>
      <c r="AF465" s="516"/>
      <c r="AG465" s="516"/>
      <c r="AH465" s="516"/>
      <c r="AI465" s="516"/>
      <c r="AJ465" s="516"/>
      <c r="AK465" s="516"/>
      <c r="AL465" s="516"/>
      <c r="AM465" s="383"/>
      <c r="AO465">
        <f ca="1">IF($A465="S",IF(BM!$I465=0,0,CHOOSE(MATCH(RegimeExecucao,{"Global","Unitário"},0),ROUND(ROUND(BM.MEDAcumulado,15-13*BM!$A$9)/100*BM!$I465,15-13*ORÇAMENTO!$AF$11),ROUND(ROUND(BM.MEDAcumulado,15-13*BM!$A$9)*ROUND(BM!$H465,15-13*ORÇAMENTO!$AF$10),15-13*ORÇAMENTO!$AF$11))),IF($A465=0,0,ROUND(SomaAgrupBM,15-13*ORÇAMENTO!$AF$11)))</f>
        <v>0</v>
      </c>
    </row>
    <row r="466" spans="1:41" ht="25.5" x14ac:dyDescent="0.2">
      <c r="A466" t="str">
        <f ca="1">ORÇAMENTO!C466</f>
        <v>S</v>
      </c>
      <c r="B466">
        <f ca="1">ORÇAMENTO!D466</f>
        <v>0</v>
      </c>
      <c r="C466" s="116" t="str">
        <f t="shared" ca="1" si="42"/>
        <v/>
      </c>
      <c r="D466" s="119" t="str">
        <f ca="1">ORÇAMENTO!O466</f>
        <v>-</v>
      </c>
      <c r="E466" s="172" t="str">
        <f t="shared" ca="1" si="49"/>
        <v>(abra o arquivo 'Referência 02-2025.xlsm)</v>
      </c>
      <c r="F466" s="173" t="str">
        <f ca="1">IF(RegimeExecucao="Global","",ORÇAMENTO.Unidade)</f>
        <v>-</v>
      </c>
      <c r="G466" s="124">
        <f ca="1">IF(RegimeExecucao="Global","",ORÇAMENTO!T466)</f>
        <v>3</v>
      </c>
      <c r="H466" s="124">
        <f ca="1">IF(RegimeExecucao="Global","",ORÇAMENTO!W466)</f>
        <v>0</v>
      </c>
      <c r="I466" s="127">
        <f ca="1">ORÇAMENTO!X466</f>
        <v>0</v>
      </c>
      <c r="J466" s="378">
        <f ca="1">IF($A466="S",IF(CAIXA.Modo,BM.AFAnterior,BM.MEDAnterior),IF(AND(RegimeExecucao="Global",$I466&gt;0,COUNTIF($AB$13:$AM$13,BM.medicao-1)&gt;0),M466/$I466*100,0))</f>
        <v>0</v>
      </c>
      <c r="K466" s="124">
        <f t="shared" ca="1" si="44"/>
        <v>0</v>
      </c>
      <c r="L466" s="379">
        <f ca="1">IF($A466="S",IF(CAIXA.Modo,BM.AFAcumulado,BM.MEDAcumulado),IF(AND(RegimeExecucao="Global",$I466&gt;0,COUNTIF($AB$13:$AM$13,BM.medicao)&gt;0),O466/$I466*100,0))</f>
        <v>0</v>
      </c>
      <c r="M466" s="380">
        <f ca="1">IF($A466="S",VTOTALBM,IF($A466=0,0,ROUND(SomaAgrupBM,15-13*ORÇAMENTO!$AF$11)))</f>
        <v>0</v>
      </c>
      <c r="N466" s="381">
        <f t="shared" ca="1" si="45"/>
        <v>0</v>
      </c>
      <c r="O466" s="127">
        <f ca="1">IF($A466="S",VTOTALBM,IF($A466=0,0,ROUND(SomaAgrupBM,15-13*ORÇAMENTO!$AF$11)))</f>
        <v>0</v>
      </c>
      <c r="Q466" s="382"/>
      <c r="R466" s="383"/>
      <c r="T466" s="119" t="str">
        <f t="shared" ca="1" si="46"/>
        <v/>
      </c>
      <c r="U466" s="172" t="str">
        <f t="shared" ca="1" si="47"/>
        <v/>
      </c>
      <c r="V466" s="173" t="str">
        <f ca="1">IF(AND($W466&gt;0,RegimeExecucao="Unitário"),$F466,"")</f>
        <v/>
      </c>
      <c r="W466" s="547">
        <f ca="1">IF($Y466&gt;0,CHOOSE(MATCH(RegimeExecucao,{"Unitário","Global"},0),IF($A466="S",$Y466/$X466,""),($Y466/$X466)*100),0)</f>
        <v>0</v>
      </c>
      <c r="X466" s="384" t="str">
        <f ca="1">IF($Y466&gt;0,CHOOSE(MATCH(RegimeExecucao,{"Unitário","Global"},0),IF($A466="S",ROUND($H466,ORÇAMENTO!$AF$10),""),ROUND($I466,ORÇAMENTO!$AF$11)),"")</f>
        <v/>
      </c>
      <c r="Y466" s="384">
        <f t="shared" ca="1" si="48"/>
        <v>0</v>
      </c>
      <c r="Z466" s="572"/>
      <c r="AB466" s="382"/>
      <c r="AC466" s="516"/>
      <c r="AD466" s="516"/>
      <c r="AE466" s="516"/>
      <c r="AF466" s="516"/>
      <c r="AG466" s="516"/>
      <c r="AH466" s="516"/>
      <c r="AI466" s="516"/>
      <c r="AJ466" s="516"/>
      <c r="AK466" s="516"/>
      <c r="AL466" s="516"/>
      <c r="AM466" s="383"/>
      <c r="AO466">
        <f ca="1">IF($A466="S",IF(BM!$I466=0,0,CHOOSE(MATCH(RegimeExecucao,{"Global","Unitário"},0),ROUND(ROUND(BM.MEDAcumulado,15-13*BM!$A$9)/100*BM!$I466,15-13*ORÇAMENTO!$AF$11),ROUND(ROUND(BM.MEDAcumulado,15-13*BM!$A$9)*ROUND(BM!$H466,15-13*ORÇAMENTO!$AF$10),15-13*ORÇAMENTO!$AF$11))),IF($A466=0,0,ROUND(SomaAgrupBM,15-13*ORÇAMENTO!$AF$11)))</f>
        <v>0</v>
      </c>
    </row>
    <row r="467" spans="1:41" ht="38.25" x14ac:dyDescent="0.2">
      <c r="A467" t="str">
        <f ca="1">ORÇAMENTO!C467</f>
        <v>S</v>
      </c>
      <c r="B467">
        <f ca="1">ORÇAMENTO!D467</f>
        <v>0</v>
      </c>
      <c r="C467" s="116" t="str">
        <f t="shared" ca="1" si="42"/>
        <v/>
      </c>
      <c r="D467" s="119" t="str">
        <f ca="1">ORÇAMENTO!O467</f>
        <v>-</v>
      </c>
      <c r="E467" s="172" t="str">
        <f t="shared" ca="1" si="49"/>
        <v>(abra o arquivo 'Referência 02-2025.xlsm)</v>
      </c>
      <c r="F467" s="173" t="str">
        <f ca="1">IF(RegimeExecucao="Global","",ORÇAMENTO.Unidade)</f>
        <v>-</v>
      </c>
      <c r="G467" s="124">
        <f ca="1">IF(RegimeExecucao="Global","",ORÇAMENTO!T467)</f>
        <v>2</v>
      </c>
      <c r="H467" s="124">
        <f ca="1">IF(RegimeExecucao="Global","",ORÇAMENTO!W467)</f>
        <v>0</v>
      </c>
      <c r="I467" s="127">
        <f ca="1">ORÇAMENTO!X467</f>
        <v>0</v>
      </c>
      <c r="J467" s="378">
        <f ca="1">IF($A467="S",IF(CAIXA.Modo,BM.AFAnterior,BM.MEDAnterior),IF(AND(RegimeExecucao="Global",$I467&gt;0,COUNTIF($AB$13:$AM$13,BM.medicao-1)&gt;0),M467/$I467*100,0))</f>
        <v>0</v>
      </c>
      <c r="K467" s="124">
        <f t="shared" ca="1" si="44"/>
        <v>0</v>
      </c>
      <c r="L467" s="379">
        <f ca="1">IF($A467="S",IF(CAIXA.Modo,BM.AFAcumulado,BM.MEDAcumulado),IF(AND(RegimeExecucao="Global",$I467&gt;0,COUNTIF($AB$13:$AM$13,BM.medicao)&gt;0),O467/$I467*100,0))</f>
        <v>0</v>
      </c>
      <c r="M467" s="380">
        <f ca="1">IF($A467="S",VTOTALBM,IF($A467=0,0,ROUND(SomaAgrupBM,15-13*ORÇAMENTO!$AF$11)))</f>
        <v>0</v>
      </c>
      <c r="N467" s="381">
        <f t="shared" ca="1" si="45"/>
        <v>0</v>
      </c>
      <c r="O467" s="127">
        <f ca="1">IF($A467="S",VTOTALBM,IF($A467=0,0,ROUND(SomaAgrupBM,15-13*ORÇAMENTO!$AF$11)))</f>
        <v>0</v>
      </c>
      <c r="Q467" s="382"/>
      <c r="R467" s="383"/>
      <c r="T467" s="119" t="str">
        <f t="shared" ca="1" si="46"/>
        <v/>
      </c>
      <c r="U467" s="172" t="str">
        <f t="shared" ca="1" si="47"/>
        <v/>
      </c>
      <c r="V467" s="173" t="str">
        <f ca="1">IF(AND($W467&gt;0,RegimeExecucao="Unitário"),$F467,"")</f>
        <v/>
      </c>
      <c r="W467" s="547">
        <f ca="1">IF($Y467&gt;0,CHOOSE(MATCH(RegimeExecucao,{"Unitário","Global"},0),IF($A467="S",$Y467/$X467,""),($Y467/$X467)*100),0)</f>
        <v>0</v>
      </c>
      <c r="X467" s="384" t="str">
        <f ca="1">IF($Y467&gt;0,CHOOSE(MATCH(RegimeExecucao,{"Unitário","Global"},0),IF($A467="S",ROUND($H467,ORÇAMENTO!$AF$10),""),ROUND($I467,ORÇAMENTO!$AF$11)),"")</f>
        <v/>
      </c>
      <c r="Y467" s="384">
        <f t="shared" ca="1" si="48"/>
        <v>0</v>
      </c>
      <c r="Z467" s="572"/>
      <c r="AB467" s="382"/>
      <c r="AC467" s="516"/>
      <c r="AD467" s="516"/>
      <c r="AE467" s="516"/>
      <c r="AF467" s="516"/>
      <c r="AG467" s="516"/>
      <c r="AH467" s="516"/>
      <c r="AI467" s="516"/>
      <c r="AJ467" s="516"/>
      <c r="AK467" s="516"/>
      <c r="AL467" s="516"/>
      <c r="AM467" s="383"/>
      <c r="AO467">
        <f ca="1">IF($A467="S",IF(BM!$I467=0,0,CHOOSE(MATCH(RegimeExecucao,{"Global","Unitário"},0),ROUND(ROUND(BM.MEDAcumulado,15-13*BM!$A$9)/100*BM!$I467,15-13*ORÇAMENTO!$AF$11),ROUND(ROUND(BM.MEDAcumulado,15-13*BM!$A$9)*ROUND(BM!$H467,15-13*ORÇAMENTO!$AF$10),15-13*ORÇAMENTO!$AF$11))),IF($A467=0,0,ROUND(SomaAgrupBM,15-13*ORÇAMENTO!$AF$11)))</f>
        <v>0</v>
      </c>
    </row>
    <row r="468" spans="1:41" ht="38.25" x14ac:dyDescent="0.2">
      <c r="A468" t="str">
        <f ca="1">ORÇAMENTO!C468</f>
        <v>S</v>
      </c>
      <c r="B468">
        <f ca="1">ORÇAMENTO!D468</f>
        <v>0</v>
      </c>
      <c r="C468" s="116" t="str">
        <f t="shared" ca="1" si="42"/>
        <v/>
      </c>
      <c r="D468" s="119" t="str">
        <f ca="1">ORÇAMENTO!O468</f>
        <v>-</v>
      </c>
      <c r="E468" s="172" t="str">
        <f t="shared" ca="1" si="49"/>
        <v>(abra o arquivo 'Referência 02-2025.xlsm)</v>
      </c>
      <c r="F468" s="173" t="str">
        <f ca="1">IF(RegimeExecucao="Global","",ORÇAMENTO.Unidade)</f>
        <v>-</v>
      </c>
      <c r="G468" s="124">
        <f ca="1">IF(RegimeExecucao="Global","",ORÇAMENTO!T468)</f>
        <v>2</v>
      </c>
      <c r="H468" s="124">
        <f ca="1">IF(RegimeExecucao="Global","",ORÇAMENTO!W468)</f>
        <v>0</v>
      </c>
      <c r="I468" s="127">
        <f ca="1">ORÇAMENTO!X468</f>
        <v>0</v>
      </c>
      <c r="J468" s="378">
        <f ca="1">IF($A468="S",IF(CAIXA.Modo,BM.AFAnterior,BM.MEDAnterior),IF(AND(RegimeExecucao="Global",$I468&gt;0,COUNTIF($AB$13:$AM$13,BM.medicao-1)&gt;0),M468/$I468*100,0))</f>
        <v>0</v>
      </c>
      <c r="K468" s="124">
        <f t="shared" ca="1" si="44"/>
        <v>0</v>
      </c>
      <c r="L468" s="379">
        <f ca="1">IF($A468="S",IF(CAIXA.Modo,BM.AFAcumulado,BM.MEDAcumulado),IF(AND(RegimeExecucao="Global",$I468&gt;0,COUNTIF($AB$13:$AM$13,BM.medicao)&gt;0),O468/$I468*100,0))</f>
        <v>0</v>
      </c>
      <c r="M468" s="380">
        <f ca="1">IF($A468="S",VTOTALBM,IF($A468=0,0,ROUND(SomaAgrupBM,15-13*ORÇAMENTO!$AF$11)))</f>
        <v>0</v>
      </c>
      <c r="N468" s="381">
        <f t="shared" ca="1" si="45"/>
        <v>0</v>
      </c>
      <c r="O468" s="127">
        <f ca="1">IF($A468="S",VTOTALBM,IF($A468=0,0,ROUND(SomaAgrupBM,15-13*ORÇAMENTO!$AF$11)))</f>
        <v>0</v>
      </c>
      <c r="Q468" s="382"/>
      <c r="R468" s="383"/>
      <c r="T468" s="119" t="str">
        <f t="shared" ca="1" si="46"/>
        <v/>
      </c>
      <c r="U468" s="172" t="str">
        <f t="shared" ca="1" si="47"/>
        <v/>
      </c>
      <c r="V468" s="173" t="str">
        <f ca="1">IF(AND($W468&gt;0,RegimeExecucao="Unitário"),$F468,"")</f>
        <v/>
      </c>
      <c r="W468" s="547">
        <f ca="1">IF($Y468&gt;0,CHOOSE(MATCH(RegimeExecucao,{"Unitário","Global"},0),IF($A468="S",$Y468/$X468,""),($Y468/$X468)*100),0)</f>
        <v>0</v>
      </c>
      <c r="X468" s="384" t="str">
        <f ca="1">IF($Y468&gt;0,CHOOSE(MATCH(RegimeExecucao,{"Unitário","Global"},0),IF($A468="S",ROUND($H468,ORÇAMENTO!$AF$10),""),ROUND($I468,ORÇAMENTO!$AF$11)),"")</f>
        <v/>
      </c>
      <c r="Y468" s="384">
        <f t="shared" ca="1" si="48"/>
        <v>0</v>
      </c>
      <c r="Z468" s="572"/>
      <c r="AB468" s="382"/>
      <c r="AC468" s="516"/>
      <c r="AD468" s="516"/>
      <c r="AE468" s="516"/>
      <c r="AF468" s="516"/>
      <c r="AG468" s="516"/>
      <c r="AH468" s="516"/>
      <c r="AI468" s="516"/>
      <c r="AJ468" s="516"/>
      <c r="AK468" s="516"/>
      <c r="AL468" s="516"/>
      <c r="AM468" s="383"/>
      <c r="AO468">
        <f ca="1">IF($A468="S",IF(BM!$I468=0,0,CHOOSE(MATCH(RegimeExecucao,{"Global","Unitário"},0),ROUND(ROUND(BM.MEDAcumulado,15-13*BM!$A$9)/100*BM!$I468,15-13*ORÇAMENTO!$AF$11),ROUND(ROUND(BM.MEDAcumulado,15-13*BM!$A$9)*ROUND(BM!$H468,15-13*ORÇAMENTO!$AF$10),15-13*ORÇAMENTO!$AF$11))),IF($A468=0,0,ROUND(SomaAgrupBM,15-13*ORÇAMENTO!$AF$11)))</f>
        <v>0</v>
      </c>
    </row>
    <row r="469" spans="1:41" ht="38.25" x14ac:dyDescent="0.2">
      <c r="A469" t="str">
        <f ca="1">ORÇAMENTO!C469</f>
        <v>S</v>
      </c>
      <c r="B469">
        <f ca="1">ORÇAMENTO!D469</f>
        <v>0</v>
      </c>
      <c r="C469" s="116" t="str">
        <f t="shared" ca="1" si="42"/>
        <v/>
      </c>
      <c r="D469" s="119" t="str">
        <f ca="1">ORÇAMENTO!O469</f>
        <v>-</v>
      </c>
      <c r="E469" s="172" t="str">
        <f t="shared" ca="1" si="49"/>
        <v>(abra o arquivo 'Referência 02-2025.xlsm)</v>
      </c>
      <c r="F469" s="173" t="str">
        <f ca="1">IF(RegimeExecucao="Global","",ORÇAMENTO.Unidade)</f>
        <v>-</v>
      </c>
      <c r="G469" s="124">
        <f ca="1">IF(RegimeExecucao="Global","",ORÇAMENTO!T469)</f>
        <v>3</v>
      </c>
      <c r="H469" s="124">
        <f ca="1">IF(RegimeExecucao="Global","",ORÇAMENTO!W469)</f>
        <v>0</v>
      </c>
      <c r="I469" s="127">
        <f ca="1">ORÇAMENTO!X469</f>
        <v>0</v>
      </c>
      <c r="J469" s="378">
        <f ca="1">IF($A469="S",IF(CAIXA.Modo,BM.AFAnterior,BM.MEDAnterior),IF(AND(RegimeExecucao="Global",$I469&gt;0,COUNTIF($AB$13:$AM$13,BM.medicao-1)&gt;0),M469/$I469*100,0))</f>
        <v>0</v>
      </c>
      <c r="K469" s="124">
        <f t="shared" ca="1" si="44"/>
        <v>0</v>
      </c>
      <c r="L469" s="379">
        <f ca="1">IF($A469="S",IF(CAIXA.Modo,BM.AFAcumulado,BM.MEDAcumulado),IF(AND(RegimeExecucao="Global",$I469&gt;0,COUNTIF($AB$13:$AM$13,BM.medicao)&gt;0),O469/$I469*100,0))</f>
        <v>0</v>
      </c>
      <c r="M469" s="380">
        <f ca="1">IF($A469="S",VTOTALBM,IF($A469=0,0,ROUND(SomaAgrupBM,15-13*ORÇAMENTO!$AF$11)))</f>
        <v>0</v>
      </c>
      <c r="N469" s="381">
        <f t="shared" ca="1" si="45"/>
        <v>0</v>
      </c>
      <c r="O469" s="127">
        <f ca="1">IF($A469="S",VTOTALBM,IF($A469=0,0,ROUND(SomaAgrupBM,15-13*ORÇAMENTO!$AF$11)))</f>
        <v>0</v>
      </c>
      <c r="Q469" s="382"/>
      <c r="R469" s="383"/>
      <c r="T469" s="119" t="str">
        <f t="shared" ca="1" si="46"/>
        <v/>
      </c>
      <c r="U469" s="172" t="str">
        <f t="shared" ca="1" si="47"/>
        <v/>
      </c>
      <c r="V469" s="173" t="str">
        <f ca="1">IF(AND($W469&gt;0,RegimeExecucao="Unitário"),$F469,"")</f>
        <v/>
      </c>
      <c r="W469" s="547">
        <f ca="1">IF($Y469&gt;0,CHOOSE(MATCH(RegimeExecucao,{"Unitário","Global"},0),IF($A469="S",$Y469/$X469,""),($Y469/$X469)*100),0)</f>
        <v>0</v>
      </c>
      <c r="X469" s="384" t="str">
        <f ca="1">IF($Y469&gt;0,CHOOSE(MATCH(RegimeExecucao,{"Unitário","Global"},0),IF($A469="S",ROUND($H469,ORÇAMENTO!$AF$10),""),ROUND($I469,ORÇAMENTO!$AF$11)),"")</f>
        <v/>
      </c>
      <c r="Y469" s="384">
        <f t="shared" ca="1" si="48"/>
        <v>0</v>
      </c>
      <c r="Z469" s="572"/>
      <c r="AB469" s="382"/>
      <c r="AC469" s="516"/>
      <c r="AD469" s="516"/>
      <c r="AE469" s="516"/>
      <c r="AF469" s="516"/>
      <c r="AG469" s="516"/>
      <c r="AH469" s="516"/>
      <c r="AI469" s="516"/>
      <c r="AJ469" s="516"/>
      <c r="AK469" s="516"/>
      <c r="AL469" s="516"/>
      <c r="AM469" s="383"/>
      <c r="AO469">
        <f ca="1">IF($A469="S",IF(BM!$I469=0,0,CHOOSE(MATCH(RegimeExecucao,{"Global","Unitário"},0),ROUND(ROUND(BM.MEDAcumulado,15-13*BM!$A$9)/100*BM!$I469,15-13*ORÇAMENTO!$AF$11),ROUND(ROUND(BM.MEDAcumulado,15-13*BM!$A$9)*ROUND(BM!$H469,15-13*ORÇAMENTO!$AF$10),15-13*ORÇAMENTO!$AF$11))),IF($A469=0,0,ROUND(SomaAgrupBM,15-13*ORÇAMENTO!$AF$11)))</f>
        <v>0</v>
      </c>
    </row>
    <row r="470" spans="1:41" ht="25.5" x14ac:dyDescent="0.2">
      <c r="A470" t="str">
        <f ca="1">ORÇAMENTO!C470</f>
        <v>S</v>
      </c>
      <c r="B470">
        <f ca="1">ORÇAMENTO!D470</f>
        <v>0</v>
      </c>
      <c r="C470" s="116" t="str">
        <f t="shared" ca="1" si="42"/>
        <v/>
      </c>
      <c r="D470" s="119" t="str">
        <f ca="1">ORÇAMENTO!O470</f>
        <v>-</v>
      </c>
      <c r="E470" s="172" t="str">
        <f t="shared" ca="1" si="49"/>
        <v>(abra o arquivo 'Referência 02-2025.xlsm)</v>
      </c>
      <c r="F470" s="173" t="str">
        <f ca="1">IF(RegimeExecucao="Global","",ORÇAMENTO.Unidade)</f>
        <v>-</v>
      </c>
      <c r="G470" s="124">
        <f ca="1">IF(RegimeExecucao="Global","",ORÇAMENTO!T470)</f>
        <v>1</v>
      </c>
      <c r="H470" s="124">
        <f ca="1">IF(RegimeExecucao="Global","",ORÇAMENTO!W470)</f>
        <v>0</v>
      </c>
      <c r="I470" s="127">
        <f ca="1">ORÇAMENTO!X470</f>
        <v>0</v>
      </c>
      <c r="J470" s="378">
        <f ca="1">IF($A470="S",IF(CAIXA.Modo,BM.AFAnterior,BM.MEDAnterior),IF(AND(RegimeExecucao="Global",$I470&gt;0,COUNTIF($AB$13:$AM$13,BM.medicao-1)&gt;0),M470/$I470*100,0))</f>
        <v>0</v>
      </c>
      <c r="K470" s="124">
        <f t="shared" ca="1" si="44"/>
        <v>0</v>
      </c>
      <c r="L470" s="379">
        <f ca="1">IF($A470="S",IF(CAIXA.Modo,BM.AFAcumulado,BM.MEDAcumulado),IF(AND(RegimeExecucao="Global",$I470&gt;0,COUNTIF($AB$13:$AM$13,BM.medicao)&gt;0),O470/$I470*100,0))</f>
        <v>0</v>
      </c>
      <c r="M470" s="380">
        <f ca="1">IF($A470="S",VTOTALBM,IF($A470=0,0,ROUND(SomaAgrupBM,15-13*ORÇAMENTO!$AF$11)))</f>
        <v>0</v>
      </c>
      <c r="N470" s="381">
        <f t="shared" ca="1" si="45"/>
        <v>0</v>
      </c>
      <c r="O470" s="127">
        <f ca="1">IF($A470="S",VTOTALBM,IF($A470=0,0,ROUND(SomaAgrupBM,15-13*ORÇAMENTO!$AF$11)))</f>
        <v>0</v>
      </c>
      <c r="Q470" s="382"/>
      <c r="R470" s="383"/>
      <c r="T470" s="119" t="str">
        <f t="shared" ca="1" si="46"/>
        <v/>
      </c>
      <c r="U470" s="172" t="str">
        <f t="shared" ca="1" si="47"/>
        <v/>
      </c>
      <c r="V470" s="173" t="str">
        <f ca="1">IF(AND($W470&gt;0,RegimeExecucao="Unitário"),$F470,"")</f>
        <v/>
      </c>
      <c r="W470" s="547">
        <f ca="1">IF($Y470&gt;0,CHOOSE(MATCH(RegimeExecucao,{"Unitário","Global"},0),IF($A470="S",$Y470/$X470,""),($Y470/$X470)*100),0)</f>
        <v>0</v>
      </c>
      <c r="X470" s="384" t="str">
        <f ca="1">IF($Y470&gt;0,CHOOSE(MATCH(RegimeExecucao,{"Unitário","Global"},0),IF($A470="S",ROUND($H470,ORÇAMENTO!$AF$10),""),ROUND($I470,ORÇAMENTO!$AF$11)),"")</f>
        <v/>
      </c>
      <c r="Y470" s="384">
        <f t="shared" ca="1" si="48"/>
        <v>0</v>
      </c>
      <c r="Z470" s="572"/>
      <c r="AB470" s="382"/>
      <c r="AC470" s="516"/>
      <c r="AD470" s="516"/>
      <c r="AE470" s="516"/>
      <c r="AF470" s="516"/>
      <c r="AG470" s="516"/>
      <c r="AH470" s="516"/>
      <c r="AI470" s="516"/>
      <c r="AJ470" s="516"/>
      <c r="AK470" s="516"/>
      <c r="AL470" s="516"/>
      <c r="AM470" s="383"/>
      <c r="AO470">
        <f ca="1">IF($A470="S",IF(BM!$I470=0,0,CHOOSE(MATCH(RegimeExecucao,{"Global","Unitário"},0),ROUND(ROUND(BM.MEDAcumulado,15-13*BM!$A$9)/100*BM!$I470,15-13*ORÇAMENTO!$AF$11),ROUND(ROUND(BM.MEDAcumulado,15-13*BM!$A$9)*ROUND(BM!$H470,15-13*ORÇAMENTO!$AF$10),15-13*ORÇAMENTO!$AF$11))),IF($A470=0,0,ROUND(SomaAgrupBM,15-13*ORÇAMENTO!$AF$11)))</f>
        <v>0</v>
      </c>
    </row>
    <row r="471" spans="1:41" ht="25.5" x14ac:dyDescent="0.2">
      <c r="A471" t="str">
        <f ca="1">ORÇAMENTO!C471</f>
        <v>S</v>
      </c>
      <c r="B471">
        <f ca="1">ORÇAMENTO!D471</f>
        <v>0</v>
      </c>
      <c r="C471" s="116" t="str">
        <f t="shared" ca="1" si="42"/>
        <v/>
      </c>
      <c r="D471" s="119" t="str">
        <f ca="1">ORÇAMENTO!O471</f>
        <v>-</v>
      </c>
      <c r="E471" s="172" t="str">
        <f t="shared" ca="1" si="49"/>
        <v>(abra o arquivo 'Referência 02-2025.xlsm)</v>
      </c>
      <c r="F471" s="173" t="str">
        <f ca="1">IF(RegimeExecucao="Global","",ORÇAMENTO.Unidade)</f>
        <v>-</v>
      </c>
      <c r="G471" s="124">
        <f ca="1">IF(RegimeExecucao="Global","",ORÇAMENTO!T471)</f>
        <v>2</v>
      </c>
      <c r="H471" s="124">
        <f ca="1">IF(RegimeExecucao="Global","",ORÇAMENTO!W471)</f>
        <v>0</v>
      </c>
      <c r="I471" s="127">
        <f ca="1">ORÇAMENTO!X471</f>
        <v>0</v>
      </c>
      <c r="J471" s="378">
        <f ca="1">IF($A471="S",IF(CAIXA.Modo,BM.AFAnterior,BM.MEDAnterior),IF(AND(RegimeExecucao="Global",$I471&gt;0,COUNTIF($AB$13:$AM$13,BM.medicao-1)&gt;0),M471/$I471*100,0))</f>
        <v>0</v>
      </c>
      <c r="K471" s="124">
        <f t="shared" ca="1" si="44"/>
        <v>0</v>
      </c>
      <c r="L471" s="379">
        <f ca="1">IF($A471="S",IF(CAIXA.Modo,BM.AFAcumulado,BM.MEDAcumulado),IF(AND(RegimeExecucao="Global",$I471&gt;0,COUNTIF($AB$13:$AM$13,BM.medicao)&gt;0),O471/$I471*100,0))</f>
        <v>0</v>
      </c>
      <c r="M471" s="380">
        <f ca="1">IF($A471="S",VTOTALBM,IF($A471=0,0,ROUND(SomaAgrupBM,15-13*ORÇAMENTO!$AF$11)))</f>
        <v>0</v>
      </c>
      <c r="N471" s="381">
        <f t="shared" ca="1" si="45"/>
        <v>0</v>
      </c>
      <c r="O471" s="127">
        <f ca="1">IF($A471="S",VTOTALBM,IF($A471=0,0,ROUND(SomaAgrupBM,15-13*ORÇAMENTO!$AF$11)))</f>
        <v>0</v>
      </c>
      <c r="Q471" s="382"/>
      <c r="R471" s="383"/>
      <c r="T471" s="119" t="str">
        <f t="shared" ca="1" si="46"/>
        <v/>
      </c>
      <c r="U471" s="172" t="str">
        <f t="shared" ca="1" si="47"/>
        <v/>
      </c>
      <c r="V471" s="173" t="str">
        <f ca="1">IF(AND($W471&gt;0,RegimeExecucao="Unitário"),$F471,"")</f>
        <v/>
      </c>
      <c r="W471" s="547">
        <f ca="1">IF($Y471&gt;0,CHOOSE(MATCH(RegimeExecucao,{"Unitário","Global"},0),IF($A471="S",$Y471/$X471,""),($Y471/$X471)*100),0)</f>
        <v>0</v>
      </c>
      <c r="X471" s="384" t="str">
        <f ca="1">IF($Y471&gt;0,CHOOSE(MATCH(RegimeExecucao,{"Unitário","Global"},0),IF($A471="S",ROUND($H471,ORÇAMENTO!$AF$10),""),ROUND($I471,ORÇAMENTO!$AF$11)),"")</f>
        <v/>
      </c>
      <c r="Y471" s="384">
        <f t="shared" ca="1" si="48"/>
        <v>0</v>
      </c>
      <c r="Z471" s="572"/>
      <c r="AB471" s="382"/>
      <c r="AC471" s="516"/>
      <c r="AD471" s="516"/>
      <c r="AE471" s="516"/>
      <c r="AF471" s="516"/>
      <c r="AG471" s="516"/>
      <c r="AH471" s="516"/>
      <c r="AI471" s="516"/>
      <c r="AJ471" s="516"/>
      <c r="AK471" s="516"/>
      <c r="AL471" s="516"/>
      <c r="AM471" s="383"/>
      <c r="AO471">
        <f ca="1">IF($A471="S",IF(BM!$I471=0,0,CHOOSE(MATCH(RegimeExecucao,{"Global","Unitário"},0),ROUND(ROUND(BM.MEDAcumulado,15-13*BM!$A$9)/100*BM!$I471,15-13*ORÇAMENTO!$AF$11),ROUND(ROUND(BM.MEDAcumulado,15-13*BM!$A$9)*ROUND(BM!$H471,15-13*ORÇAMENTO!$AF$10),15-13*ORÇAMENTO!$AF$11))),IF($A471=0,0,ROUND(SomaAgrupBM,15-13*ORÇAMENTO!$AF$11)))</f>
        <v>0</v>
      </c>
    </row>
    <row r="472" spans="1:41" ht="25.5" x14ac:dyDescent="0.2">
      <c r="A472" t="str">
        <f ca="1">ORÇAMENTO!C472</f>
        <v>S</v>
      </c>
      <c r="B472">
        <f ca="1">ORÇAMENTO!D472</f>
        <v>0</v>
      </c>
      <c r="C472" s="116" t="str">
        <f t="shared" ca="1" si="42"/>
        <v/>
      </c>
      <c r="D472" s="119" t="str">
        <f ca="1">ORÇAMENTO!O472</f>
        <v>-</v>
      </c>
      <c r="E472" s="172" t="str">
        <f t="shared" ca="1" si="49"/>
        <v>(abra o arquivo 'Referência 02-2025.xlsm)</v>
      </c>
      <c r="F472" s="173" t="str">
        <f ca="1">IF(RegimeExecucao="Global","",ORÇAMENTO.Unidade)</f>
        <v>-</v>
      </c>
      <c r="G472" s="124">
        <f ca="1">IF(RegimeExecucao="Global","",ORÇAMENTO!T472)</f>
        <v>1</v>
      </c>
      <c r="H472" s="124">
        <f ca="1">IF(RegimeExecucao="Global","",ORÇAMENTO!W472)</f>
        <v>0</v>
      </c>
      <c r="I472" s="127">
        <f ca="1">ORÇAMENTO!X472</f>
        <v>0</v>
      </c>
      <c r="J472" s="378">
        <f ca="1">IF($A472="S",IF(CAIXA.Modo,BM.AFAnterior,BM.MEDAnterior),IF(AND(RegimeExecucao="Global",$I472&gt;0,COUNTIF($AB$13:$AM$13,BM.medicao-1)&gt;0),M472/$I472*100,0))</f>
        <v>0</v>
      </c>
      <c r="K472" s="124">
        <f t="shared" ca="1" si="44"/>
        <v>0</v>
      </c>
      <c r="L472" s="379">
        <f ca="1">IF($A472="S",IF(CAIXA.Modo,BM.AFAcumulado,BM.MEDAcumulado),IF(AND(RegimeExecucao="Global",$I472&gt;0,COUNTIF($AB$13:$AM$13,BM.medicao)&gt;0),O472/$I472*100,0))</f>
        <v>0</v>
      </c>
      <c r="M472" s="380">
        <f ca="1">IF($A472="S",VTOTALBM,IF($A472=0,0,ROUND(SomaAgrupBM,15-13*ORÇAMENTO!$AF$11)))</f>
        <v>0</v>
      </c>
      <c r="N472" s="381">
        <f t="shared" ca="1" si="45"/>
        <v>0</v>
      </c>
      <c r="O472" s="127">
        <f ca="1">IF($A472="S",VTOTALBM,IF($A472=0,0,ROUND(SomaAgrupBM,15-13*ORÇAMENTO!$AF$11)))</f>
        <v>0</v>
      </c>
      <c r="Q472" s="382"/>
      <c r="R472" s="383"/>
      <c r="T472" s="119" t="str">
        <f t="shared" ca="1" si="46"/>
        <v/>
      </c>
      <c r="U472" s="172" t="str">
        <f t="shared" ca="1" si="47"/>
        <v/>
      </c>
      <c r="V472" s="173" t="str">
        <f ca="1">IF(AND($W472&gt;0,RegimeExecucao="Unitário"),$F472,"")</f>
        <v/>
      </c>
      <c r="W472" s="547">
        <f ca="1">IF($Y472&gt;0,CHOOSE(MATCH(RegimeExecucao,{"Unitário","Global"},0),IF($A472="S",$Y472/$X472,""),($Y472/$X472)*100),0)</f>
        <v>0</v>
      </c>
      <c r="X472" s="384" t="str">
        <f ca="1">IF($Y472&gt;0,CHOOSE(MATCH(RegimeExecucao,{"Unitário","Global"},0),IF($A472="S",ROUND($H472,ORÇAMENTO!$AF$10),""),ROUND($I472,ORÇAMENTO!$AF$11)),"")</f>
        <v/>
      </c>
      <c r="Y472" s="384">
        <f t="shared" ca="1" si="48"/>
        <v>0</v>
      </c>
      <c r="Z472" s="572"/>
      <c r="AB472" s="382"/>
      <c r="AC472" s="516"/>
      <c r="AD472" s="516"/>
      <c r="AE472" s="516"/>
      <c r="AF472" s="516"/>
      <c r="AG472" s="516"/>
      <c r="AH472" s="516"/>
      <c r="AI472" s="516"/>
      <c r="AJ472" s="516"/>
      <c r="AK472" s="516"/>
      <c r="AL472" s="516"/>
      <c r="AM472" s="383"/>
      <c r="AO472">
        <f ca="1">IF($A472="S",IF(BM!$I472=0,0,CHOOSE(MATCH(RegimeExecucao,{"Global","Unitário"},0),ROUND(ROUND(BM.MEDAcumulado,15-13*BM!$A$9)/100*BM!$I472,15-13*ORÇAMENTO!$AF$11),ROUND(ROUND(BM.MEDAcumulado,15-13*BM!$A$9)*ROUND(BM!$H472,15-13*ORÇAMENTO!$AF$10),15-13*ORÇAMENTO!$AF$11))),IF($A472=0,0,ROUND(SomaAgrupBM,15-13*ORÇAMENTO!$AF$11)))</f>
        <v>0</v>
      </c>
    </row>
    <row r="473" spans="1:41" ht="25.5" x14ac:dyDescent="0.2">
      <c r="A473" t="str">
        <f ca="1">ORÇAMENTO!C473</f>
        <v>S</v>
      </c>
      <c r="B473">
        <f ca="1">ORÇAMENTO!D473</f>
        <v>0</v>
      </c>
      <c r="C473" s="116" t="str">
        <f t="shared" ca="1" si="42"/>
        <v/>
      </c>
      <c r="D473" s="119" t="str">
        <f ca="1">ORÇAMENTO!O473</f>
        <v>-</v>
      </c>
      <c r="E473" s="172" t="str">
        <f t="shared" ca="1" si="49"/>
        <v>(abra o arquivo 'Referência 02-2025.xlsm)</v>
      </c>
      <c r="F473" s="173" t="str">
        <f ca="1">IF(RegimeExecucao="Global","",ORÇAMENTO.Unidade)</f>
        <v>-</v>
      </c>
      <c r="G473" s="124">
        <f ca="1">IF(RegimeExecucao="Global","",ORÇAMENTO!T473)</f>
        <v>2</v>
      </c>
      <c r="H473" s="124">
        <f ca="1">IF(RegimeExecucao="Global","",ORÇAMENTO!W473)</f>
        <v>0</v>
      </c>
      <c r="I473" s="127">
        <f ca="1">ORÇAMENTO!X473</f>
        <v>0</v>
      </c>
      <c r="J473" s="378">
        <f ca="1">IF($A473="S",IF(CAIXA.Modo,BM.AFAnterior,BM.MEDAnterior),IF(AND(RegimeExecucao="Global",$I473&gt;0,COUNTIF($AB$13:$AM$13,BM.medicao-1)&gt;0),M473/$I473*100,0))</f>
        <v>0</v>
      </c>
      <c r="K473" s="124">
        <f t="shared" ca="1" si="44"/>
        <v>0</v>
      </c>
      <c r="L473" s="379">
        <f ca="1">IF($A473="S",IF(CAIXA.Modo,BM.AFAcumulado,BM.MEDAcumulado),IF(AND(RegimeExecucao="Global",$I473&gt;0,COUNTIF($AB$13:$AM$13,BM.medicao)&gt;0),O473/$I473*100,0))</f>
        <v>0</v>
      </c>
      <c r="M473" s="380">
        <f ca="1">IF($A473="S",VTOTALBM,IF($A473=0,0,ROUND(SomaAgrupBM,15-13*ORÇAMENTO!$AF$11)))</f>
        <v>0</v>
      </c>
      <c r="N473" s="381">
        <f t="shared" ca="1" si="45"/>
        <v>0</v>
      </c>
      <c r="O473" s="127">
        <f ca="1">IF($A473="S",VTOTALBM,IF($A473=0,0,ROUND(SomaAgrupBM,15-13*ORÇAMENTO!$AF$11)))</f>
        <v>0</v>
      </c>
      <c r="Q473" s="382"/>
      <c r="R473" s="383"/>
      <c r="T473" s="119" t="str">
        <f t="shared" ca="1" si="46"/>
        <v/>
      </c>
      <c r="U473" s="172" t="str">
        <f t="shared" ca="1" si="47"/>
        <v/>
      </c>
      <c r="V473" s="173" t="str">
        <f ca="1">IF(AND($W473&gt;0,RegimeExecucao="Unitário"),$F473,"")</f>
        <v/>
      </c>
      <c r="W473" s="547">
        <f ca="1">IF($Y473&gt;0,CHOOSE(MATCH(RegimeExecucao,{"Unitário","Global"},0),IF($A473="S",$Y473/$X473,""),($Y473/$X473)*100),0)</f>
        <v>0</v>
      </c>
      <c r="X473" s="384" t="str">
        <f ca="1">IF($Y473&gt;0,CHOOSE(MATCH(RegimeExecucao,{"Unitário","Global"},0),IF($A473="S",ROUND($H473,ORÇAMENTO!$AF$10),""),ROUND($I473,ORÇAMENTO!$AF$11)),"")</f>
        <v/>
      </c>
      <c r="Y473" s="384">
        <f t="shared" ca="1" si="48"/>
        <v>0</v>
      </c>
      <c r="Z473" s="572"/>
      <c r="AB473" s="382"/>
      <c r="AC473" s="516"/>
      <c r="AD473" s="516"/>
      <c r="AE473" s="516"/>
      <c r="AF473" s="516"/>
      <c r="AG473" s="516"/>
      <c r="AH473" s="516"/>
      <c r="AI473" s="516"/>
      <c r="AJ473" s="516"/>
      <c r="AK473" s="516"/>
      <c r="AL473" s="516"/>
      <c r="AM473" s="383"/>
      <c r="AO473">
        <f ca="1">IF($A473="S",IF(BM!$I473=0,0,CHOOSE(MATCH(RegimeExecucao,{"Global","Unitário"},0),ROUND(ROUND(BM.MEDAcumulado,15-13*BM!$A$9)/100*BM!$I473,15-13*ORÇAMENTO!$AF$11),ROUND(ROUND(BM.MEDAcumulado,15-13*BM!$A$9)*ROUND(BM!$H473,15-13*ORÇAMENTO!$AF$10),15-13*ORÇAMENTO!$AF$11))),IF($A473=0,0,ROUND(SomaAgrupBM,15-13*ORÇAMENTO!$AF$11)))</f>
        <v>0</v>
      </c>
    </row>
    <row r="474" spans="1:41" ht="38.25" x14ac:dyDescent="0.2">
      <c r="A474" t="str">
        <f ca="1">ORÇAMENTO!C474</f>
        <v>S</v>
      </c>
      <c r="B474">
        <f ca="1">ORÇAMENTO!D474</f>
        <v>0</v>
      </c>
      <c r="C474" s="116" t="str">
        <f t="shared" ca="1" si="42"/>
        <v/>
      </c>
      <c r="D474" s="119" t="str">
        <f ca="1">ORÇAMENTO!O474</f>
        <v>-</v>
      </c>
      <c r="E474" s="172" t="str">
        <f t="shared" ca="1" si="49"/>
        <v>(abra o arquivo 'Referência 02-2025.xlsm)</v>
      </c>
      <c r="F474" s="173" t="str">
        <f ca="1">IF(RegimeExecucao="Global","",ORÇAMENTO.Unidade)</f>
        <v>-</v>
      </c>
      <c r="G474" s="124">
        <f ca="1">IF(RegimeExecucao="Global","",ORÇAMENTO!T474)</f>
        <v>2</v>
      </c>
      <c r="H474" s="124">
        <f ca="1">IF(RegimeExecucao="Global","",ORÇAMENTO!W474)</f>
        <v>0</v>
      </c>
      <c r="I474" s="127">
        <f ca="1">ORÇAMENTO!X474</f>
        <v>0</v>
      </c>
      <c r="J474" s="378">
        <f ca="1">IF($A474="S",IF(CAIXA.Modo,BM.AFAnterior,BM.MEDAnterior),IF(AND(RegimeExecucao="Global",$I474&gt;0,COUNTIF($AB$13:$AM$13,BM.medicao-1)&gt;0),M474/$I474*100,0))</f>
        <v>0</v>
      </c>
      <c r="K474" s="124">
        <f t="shared" ca="1" si="44"/>
        <v>0</v>
      </c>
      <c r="L474" s="379">
        <f ca="1">IF($A474="S",IF(CAIXA.Modo,BM.AFAcumulado,BM.MEDAcumulado),IF(AND(RegimeExecucao="Global",$I474&gt;0,COUNTIF($AB$13:$AM$13,BM.medicao)&gt;0),O474/$I474*100,0))</f>
        <v>0</v>
      </c>
      <c r="M474" s="380">
        <f ca="1">IF($A474="S",VTOTALBM,IF($A474=0,0,ROUND(SomaAgrupBM,15-13*ORÇAMENTO!$AF$11)))</f>
        <v>0</v>
      </c>
      <c r="N474" s="381">
        <f t="shared" ca="1" si="45"/>
        <v>0</v>
      </c>
      <c r="O474" s="127">
        <f ca="1">IF($A474="S",VTOTALBM,IF($A474=0,0,ROUND(SomaAgrupBM,15-13*ORÇAMENTO!$AF$11)))</f>
        <v>0</v>
      </c>
      <c r="Q474" s="382"/>
      <c r="R474" s="383"/>
      <c r="T474" s="119" t="str">
        <f t="shared" ca="1" si="46"/>
        <v/>
      </c>
      <c r="U474" s="172" t="str">
        <f t="shared" ca="1" si="47"/>
        <v/>
      </c>
      <c r="V474" s="173" t="str">
        <f ca="1">IF(AND($W474&gt;0,RegimeExecucao="Unitário"),$F474,"")</f>
        <v/>
      </c>
      <c r="W474" s="547">
        <f ca="1">IF($Y474&gt;0,CHOOSE(MATCH(RegimeExecucao,{"Unitário","Global"},0),IF($A474="S",$Y474/$X474,""),($Y474/$X474)*100),0)</f>
        <v>0</v>
      </c>
      <c r="X474" s="384" t="str">
        <f ca="1">IF($Y474&gt;0,CHOOSE(MATCH(RegimeExecucao,{"Unitário","Global"},0),IF($A474="S",ROUND($H474,ORÇAMENTO!$AF$10),""),ROUND($I474,ORÇAMENTO!$AF$11)),"")</f>
        <v/>
      </c>
      <c r="Y474" s="384">
        <f t="shared" ca="1" si="48"/>
        <v>0</v>
      </c>
      <c r="Z474" s="572"/>
      <c r="AB474" s="382"/>
      <c r="AC474" s="516"/>
      <c r="AD474" s="516"/>
      <c r="AE474" s="516"/>
      <c r="AF474" s="516"/>
      <c r="AG474" s="516"/>
      <c r="AH474" s="516"/>
      <c r="AI474" s="516"/>
      <c r="AJ474" s="516"/>
      <c r="AK474" s="516"/>
      <c r="AL474" s="516"/>
      <c r="AM474" s="383"/>
      <c r="AO474">
        <f ca="1">IF($A474="S",IF(BM!$I474=0,0,CHOOSE(MATCH(RegimeExecucao,{"Global","Unitário"},0),ROUND(ROUND(BM.MEDAcumulado,15-13*BM!$A$9)/100*BM!$I474,15-13*ORÇAMENTO!$AF$11),ROUND(ROUND(BM.MEDAcumulado,15-13*BM!$A$9)*ROUND(BM!$H474,15-13*ORÇAMENTO!$AF$10),15-13*ORÇAMENTO!$AF$11))),IF($A474=0,0,ROUND(SomaAgrupBM,15-13*ORÇAMENTO!$AF$11)))</f>
        <v>0</v>
      </c>
    </row>
    <row r="475" spans="1:41" ht="38.25" x14ac:dyDescent="0.2">
      <c r="A475" t="str">
        <f ca="1">ORÇAMENTO!C475</f>
        <v>S</v>
      </c>
      <c r="B475">
        <f ca="1">ORÇAMENTO!D475</f>
        <v>0</v>
      </c>
      <c r="C475" s="116" t="str">
        <f t="shared" ca="1" si="42"/>
        <v/>
      </c>
      <c r="D475" s="119" t="str">
        <f ca="1">ORÇAMENTO!O475</f>
        <v>-</v>
      </c>
      <c r="E475" s="172" t="str">
        <f t="shared" ca="1" si="49"/>
        <v>(abra o arquivo 'Referência 02-2025.xlsm)</v>
      </c>
      <c r="F475" s="173" t="str">
        <f ca="1">IF(RegimeExecucao="Global","",ORÇAMENTO.Unidade)</f>
        <v>-</v>
      </c>
      <c r="G475" s="124">
        <f ca="1">IF(RegimeExecucao="Global","",ORÇAMENTO!T475)</f>
        <v>4</v>
      </c>
      <c r="H475" s="124">
        <f ca="1">IF(RegimeExecucao="Global","",ORÇAMENTO!W475)</f>
        <v>0</v>
      </c>
      <c r="I475" s="127">
        <f ca="1">ORÇAMENTO!X475</f>
        <v>0</v>
      </c>
      <c r="J475" s="378">
        <f ca="1">IF($A475="S",IF(CAIXA.Modo,BM.AFAnterior,BM.MEDAnterior),IF(AND(RegimeExecucao="Global",$I475&gt;0,COUNTIF($AB$13:$AM$13,BM.medicao-1)&gt;0),M475/$I475*100,0))</f>
        <v>0</v>
      </c>
      <c r="K475" s="124">
        <f t="shared" ca="1" si="44"/>
        <v>0</v>
      </c>
      <c r="L475" s="379">
        <f ca="1">IF($A475="S",IF(CAIXA.Modo,BM.AFAcumulado,BM.MEDAcumulado),IF(AND(RegimeExecucao="Global",$I475&gt;0,COUNTIF($AB$13:$AM$13,BM.medicao)&gt;0),O475/$I475*100,0))</f>
        <v>0</v>
      </c>
      <c r="M475" s="380">
        <f ca="1">IF($A475="S",VTOTALBM,IF($A475=0,0,ROUND(SomaAgrupBM,15-13*ORÇAMENTO!$AF$11)))</f>
        <v>0</v>
      </c>
      <c r="N475" s="381">
        <f t="shared" ca="1" si="45"/>
        <v>0</v>
      </c>
      <c r="O475" s="127">
        <f ca="1">IF($A475="S",VTOTALBM,IF($A475=0,0,ROUND(SomaAgrupBM,15-13*ORÇAMENTO!$AF$11)))</f>
        <v>0</v>
      </c>
      <c r="Q475" s="382"/>
      <c r="R475" s="383"/>
      <c r="T475" s="119" t="str">
        <f t="shared" ca="1" si="46"/>
        <v/>
      </c>
      <c r="U475" s="172" t="str">
        <f t="shared" ca="1" si="47"/>
        <v/>
      </c>
      <c r="V475" s="173" t="str">
        <f ca="1">IF(AND($W475&gt;0,RegimeExecucao="Unitário"),$F475,"")</f>
        <v/>
      </c>
      <c r="W475" s="547">
        <f ca="1">IF($Y475&gt;0,CHOOSE(MATCH(RegimeExecucao,{"Unitário","Global"},0),IF($A475="S",$Y475/$X475,""),($Y475/$X475)*100),0)</f>
        <v>0</v>
      </c>
      <c r="X475" s="384" t="str">
        <f ca="1">IF($Y475&gt;0,CHOOSE(MATCH(RegimeExecucao,{"Unitário","Global"},0),IF($A475="S",ROUND($H475,ORÇAMENTO!$AF$10),""),ROUND($I475,ORÇAMENTO!$AF$11)),"")</f>
        <v/>
      </c>
      <c r="Y475" s="384">
        <f t="shared" ca="1" si="48"/>
        <v>0</v>
      </c>
      <c r="Z475" s="572"/>
      <c r="AB475" s="382"/>
      <c r="AC475" s="516"/>
      <c r="AD475" s="516"/>
      <c r="AE475" s="516"/>
      <c r="AF475" s="516"/>
      <c r="AG475" s="516"/>
      <c r="AH475" s="516"/>
      <c r="AI475" s="516"/>
      <c r="AJ475" s="516"/>
      <c r="AK475" s="516"/>
      <c r="AL475" s="516"/>
      <c r="AM475" s="383"/>
      <c r="AO475">
        <f ca="1">IF($A475="S",IF(BM!$I475=0,0,CHOOSE(MATCH(RegimeExecucao,{"Global","Unitário"},0),ROUND(ROUND(BM.MEDAcumulado,15-13*BM!$A$9)/100*BM!$I475,15-13*ORÇAMENTO!$AF$11),ROUND(ROUND(BM.MEDAcumulado,15-13*BM!$A$9)*ROUND(BM!$H475,15-13*ORÇAMENTO!$AF$10),15-13*ORÇAMENTO!$AF$11))),IF($A475=0,0,ROUND(SomaAgrupBM,15-13*ORÇAMENTO!$AF$11)))</f>
        <v>0</v>
      </c>
    </row>
    <row r="476" spans="1:41" ht="25.5" x14ac:dyDescent="0.2">
      <c r="A476" t="str">
        <f ca="1">ORÇAMENTO!C476</f>
        <v>S</v>
      </c>
      <c r="B476">
        <f ca="1">ORÇAMENTO!D476</f>
        <v>0</v>
      </c>
      <c r="C476" s="116" t="str">
        <f t="shared" ca="1" si="42"/>
        <v/>
      </c>
      <c r="D476" s="119" t="str">
        <f ca="1">ORÇAMENTO!O476</f>
        <v>-</v>
      </c>
      <c r="E476" s="172" t="str">
        <f t="shared" ca="1" si="49"/>
        <v>(abra o arquivo 'Referência 02-2025.xlsm)</v>
      </c>
      <c r="F476" s="173" t="str">
        <f ca="1">IF(RegimeExecucao="Global","",ORÇAMENTO.Unidade)</f>
        <v>-</v>
      </c>
      <c r="G476" s="124">
        <f ca="1">IF(RegimeExecucao="Global","",ORÇAMENTO!T476)</f>
        <v>1</v>
      </c>
      <c r="H476" s="124">
        <f ca="1">IF(RegimeExecucao="Global","",ORÇAMENTO!W476)</f>
        <v>0</v>
      </c>
      <c r="I476" s="127">
        <f ca="1">ORÇAMENTO!X476</f>
        <v>0</v>
      </c>
      <c r="J476" s="378">
        <f ca="1">IF($A476="S",IF(CAIXA.Modo,BM.AFAnterior,BM.MEDAnterior),IF(AND(RegimeExecucao="Global",$I476&gt;0,COUNTIF($AB$13:$AM$13,BM.medicao-1)&gt;0),M476/$I476*100,0))</f>
        <v>0</v>
      </c>
      <c r="K476" s="124">
        <f t="shared" ca="1" si="44"/>
        <v>0</v>
      </c>
      <c r="L476" s="379">
        <f ca="1">IF($A476="S",IF(CAIXA.Modo,BM.AFAcumulado,BM.MEDAcumulado),IF(AND(RegimeExecucao="Global",$I476&gt;0,COUNTIF($AB$13:$AM$13,BM.medicao)&gt;0),O476/$I476*100,0))</f>
        <v>0</v>
      </c>
      <c r="M476" s="380">
        <f ca="1">IF($A476="S",VTOTALBM,IF($A476=0,0,ROUND(SomaAgrupBM,15-13*ORÇAMENTO!$AF$11)))</f>
        <v>0</v>
      </c>
      <c r="N476" s="381">
        <f t="shared" ca="1" si="45"/>
        <v>0</v>
      </c>
      <c r="O476" s="127">
        <f ca="1">IF($A476="S",VTOTALBM,IF($A476=0,0,ROUND(SomaAgrupBM,15-13*ORÇAMENTO!$AF$11)))</f>
        <v>0</v>
      </c>
      <c r="Q476" s="382"/>
      <c r="R476" s="383"/>
      <c r="T476" s="119" t="str">
        <f t="shared" ca="1" si="46"/>
        <v/>
      </c>
      <c r="U476" s="172" t="str">
        <f t="shared" ca="1" si="47"/>
        <v/>
      </c>
      <c r="V476" s="173" t="str">
        <f ca="1">IF(AND($W476&gt;0,RegimeExecucao="Unitário"),$F476,"")</f>
        <v/>
      </c>
      <c r="W476" s="547">
        <f ca="1">IF($Y476&gt;0,CHOOSE(MATCH(RegimeExecucao,{"Unitário","Global"},0),IF($A476="S",$Y476/$X476,""),($Y476/$X476)*100),0)</f>
        <v>0</v>
      </c>
      <c r="X476" s="384" t="str">
        <f ca="1">IF($Y476&gt;0,CHOOSE(MATCH(RegimeExecucao,{"Unitário","Global"},0),IF($A476="S",ROUND($H476,ORÇAMENTO!$AF$10),""),ROUND($I476,ORÇAMENTO!$AF$11)),"")</f>
        <v/>
      </c>
      <c r="Y476" s="384">
        <f t="shared" ca="1" si="48"/>
        <v>0</v>
      </c>
      <c r="Z476" s="572"/>
      <c r="AB476" s="382"/>
      <c r="AC476" s="516"/>
      <c r="AD476" s="516"/>
      <c r="AE476" s="516"/>
      <c r="AF476" s="516"/>
      <c r="AG476" s="516"/>
      <c r="AH476" s="516"/>
      <c r="AI476" s="516"/>
      <c r="AJ476" s="516"/>
      <c r="AK476" s="516"/>
      <c r="AL476" s="516"/>
      <c r="AM476" s="383"/>
      <c r="AO476">
        <f ca="1">IF($A476="S",IF(BM!$I476=0,0,CHOOSE(MATCH(RegimeExecucao,{"Global","Unitário"},0),ROUND(ROUND(BM.MEDAcumulado,15-13*BM!$A$9)/100*BM!$I476,15-13*ORÇAMENTO!$AF$11),ROUND(ROUND(BM.MEDAcumulado,15-13*BM!$A$9)*ROUND(BM!$H476,15-13*ORÇAMENTO!$AF$10),15-13*ORÇAMENTO!$AF$11))),IF($A476=0,0,ROUND(SomaAgrupBM,15-13*ORÇAMENTO!$AF$11)))</f>
        <v>0</v>
      </c>
    </row>
    <row r="477" spans="1:41" ht="25.5" x14ac:dyDescent="0.2">
      <c r="A477" t="str">
        <f ca="1">ORÇAMENTO!C477</f>
        <v>S</v>
      </c>
      <c r="B477">
        <f ca="1">ORÇAMENTO!D477</f>
        <v>0</v>
      </c>
      <c r="C477" s="116" t="str">
        <f t="shared" ca="1" si="42"/>
        <v/>
      </c>
      <c r="D477" s="119" t="str">
        <f ca="1">ORÇAMENTO!O477</f>
        <v>-</v>
      </c>
      <c r="E477" s="172" t="str">
        <f t="shared" ca="1" si="49"/>
        <v>(abra o arquivo 'Referência 02-2025.xlsm)</v>
      </c>
      <c r="F477" s="173" t="str">
        <f ca="1">IF(RegimeExecucao="Global","",ORÇAMENTO.Unidade)</f>
        <v>-</v>
      </c>
      <c r="G477" s="124">
        <f ca="1">IF(RegimeExecucao="Global","",ORÇAMENTO!T477)</f>
        <v>43.65</v>
      </c>
      <c r="H477" s="124">
        <f ca="1">IF(RegimeExecucao="Global","",ORÇAMENTO!W477)</f>
        <v>0</v>
      </c>
      <c r="I477" s="127">
        <f ca="1">ORÇAMENTO!X477</f>
        <v>0</v>
      </c>
      <c r="J477" s="378">
        <f ca="1">IF($A477="S",IF(CAIXA.Modo,BM.AFAnterior,BM.MEDAnterior),IF(AND(RegimeExecucao="Global",$I477&gt;0,COUNTIF($AB$13:$AM$13,BM.medicao-1)&gt;0),M477/$I477*100,0))</f>
        <v>0</v>
      </c>
      <c r="K477" s="124">
        <f t="shared" ca="1" si="44"/>
        <v>0</v>
      </c>
      <c r="L477" s="379">
        <f ca="1">IF($A477="S",IF(CAIXA.Modo,BM.AFAcumulado,BM.MEDAcumulado),IF(AND(RegimeExecucao="Global",$I477&gt;0,COUNTIF($AB$13:$AM$13,BM.medicao)&gt;0),O477/$I477*100,0))</f>
        <v>0</v>
      </c>
      <c r="M477" s="380">
        <f ca="1">IF($A477="S",VTOTALBM,IF($A477=0,0,ROUND(SomaAgrupBM,15-13*ORÇAMENTO!$AF$11)))</f>
        <v>0</v>
      </c>
      <c r="N477" s="381">
        <f t="shared" ca="1" si="45"/>
        <v>0</v>
      </c>
      <c r="O477" s="127">
        <f ca="1">IF($A477="S",VTOTALBM,IF($A477=0,0,ROUND(SomaAgrupBM,15-13*ORÇAMENTO!$AF$11)))</f>
        <v>0</v>
      </c>
      <c r="Q477" s="382"/>
      <c r="R477" s="383"/>
      <c r="T477" s="119" t="str">
        <f t="shared" ca="1" si="46"/>
        <v/>
      </c>
      <c r="U477" s="172" t="str">
        <f t="shared" ca="1" si="47"/>
        <v/>
      </c>
      <c r="V477" s="173" t="str">
        <f ca="1">IF(AND($W477&gt;0,RegimeExecucao="Unitário"),$F477,"")</f>
        <v/>
      </c>
      <c r="W477" s="547">
        <f ca="1">IF($Y477&gt;0,CHOOSE(MATCH(RegimeExecucao,{"Unitário","Global"},0),IF($A477="S",$Y477/$X477,""),($Y477/$X477)*100),0)</f>
        <v>0</v>
      </c>
      <c r="X477" s="384" t="str">
        <f ca="1">IF($Y477&gt;0,CHOOSE(MATCH(RegimeExecucao,{"Unitário","Global"},0),IF($A477="S",ROUND($H477,ORÇAMENTO!$AF$10),""),ROUND($I477,ORÇAMENTO!$AF$11)),"")</f>
        <v/>
      </c>
      <c r="Y477" s="384">
        <f t="shared" ca="1" si="48"/>
        <v>0</v>
      </c>
      <c r="Z477" s="572"/>
      <c r="AB477" s="382"/>
      <c r="AC477" s="516"/>
      <c r="AD477" s="516"/>
      <c r="AE477" s="516"/>
      <c r="AF477" s="516"/>
      <c r="AG477" s="516"/>
      <c r="AH477" s="516"/>
      <c r="AI477" s="516"/>
      <c r="AJ477" s="516"/>
      <c r="AK477" s="516"/>
      <c r="AL477" s="516"/>
      <c r="AM477" s="383"/>
      <c r="AO477">
        <f ca="1">IF($A477="S",IF(BM!$I477=0,0,CHOOSE(MATCH(RegimeExecucao,{"Global","Unitário"},0),ROUND(ROUND(BM.MEDAcumulado,15-13*BM!$A$9)/100*BM!$I477,15-13*ORÇAMENTO!$AF$11),ROUND(ROUND(BM.MEDAcumulado,15-13*BM!$A$9)*ROUND(BM!$H477,15-13*ORÇAMENTO!$AF$10),15-13*ORÇAMENTO!$AF$11))),IF($A477=0,0,ROUND(SomaAgrupBM,15-13*ORÇAMENTO!$AF$11)))</f>
        <v>0</v>
      </c>
    </row>
    <row r="478" spans="1:41" ht="38.25" x14ac:dyDescent="0.2">
      <c r="A478" t="str">
        <f ca="1">ORÇAMENTO!C478</f>
        <v>S</v>
      </c>
      <c r="B478">
        <f ca="1">ORÇAMENTO!D478</f>
        <v>0</v>
      </c>
      <c r="C478" s="116" t="str">
        <f t="shared" ca="1" si="22"/>
        <v/>
      </c>
      <c r="D478" s="119" t="str">
        <f ca="1">ORÇAMENTO!O478</f>
        <v>-</v>
      </c>
      <c r="E478" s="172" t="str">
        <f t="shared" ca="1" si="23"/>
        <v>(abra o arquivo 'Referência 02-2025.xlsm)</v>
      </c>
      <c r="F478" s="173" t="str">
        <f ca="1">IF(RegimeExecucao="Global","",ORÇAMENTO.Unidade)</f>
        <v>-</v>
      </c>
      <c r="G478" s="124">
        <f ca="1">IF(RegimeExecucao="Global","",ORÇAMENTO!T478)</f>
        <v>5</v>
      </c>
      <c r="H478" s="124">
        <f ca="1">IF(RegimeExecucao="Global","",ORÇAMENTO!W478)</f>
        <v>0</v>
      </c>
      <c r="I478" s="127">
        <f ca="1">ORÇAMENTO!X478</f>
        <v>0</v>
      </c>
      <c r="J478" s="378">
        <f ca="1">IF($A478="S",IF(CAIXA.Modo,BM.AFAnterior,BM.MEDAnterior),IF(AND(RegimeExecucao="Global",$I478&gt;0,COUNTIF($AB$13:$AM$13,BM.medicao-1)&gt;0),M478/$I478*100,0))</f>
        <v>0</v>
      </c>
      <c r="K478" s="124">
        <f t="shared" ca="1" si="24"/>
        <v>0</v>
      </c>
      <c r="L478" s="379">
        <f ca="1">IF($A478="S",IF(CAIXA.Modo,BM.AFAcumulado,BM.MEDAcumulado),IF(AND(RegimeExecucao="Global",$I478&gt;0,COUNTIF($AB$13:$AM$13,BM.medicao)&gt;0),O478/$I478*100,0))</f>
        <v>0</v>
      </c>
      <c r="M478" s="380">
        <f ca="1">IF($A478="S",VTOTALBM,IF($A478=0,0,ROUND(SomaAgrupBM,15-13*ORÇAMENTO!$AF$11)))</f>
        <v>0</v>
      </c>
      <c r="N478" s="381">
        <f t="shared" ca="1" si="25"/>
        <v>0</v>
      </c>
      <c r="O478" s="127">
        <f ca="1">IF($A478="S",VTOTALBM,IF($A478=0,0,ROUND(SomaAgrupBM,15-13*ORÇAMENTO!$AF$11)))</f>
        <v>0</v>
      </c>
      <c r="Q478" s="382"/>
      <c r="R478" s="383"/>
      <c r="T478" s="119" t="str">
        <f t="shared" ca="1" si="26"/>
        <v/>
      </c>
      <c r="U478" s="172" t="str">
        <f t="shared" ca="1" si="27"/>
        <v/>
      </c>
      <c r="V478" s="173" t="str">
        <f ca="1">IF(AND($W478&gt;0,RegimeExecucao="Unitário"),$F478,"")</f>
        <v/>
      </c>
      <c r="W478" s="547">
        <f ca="1">IF($Y478&gt;0,CHOOSE(MATCH(RegimeExecucao,{"Unitário","Global"},0),IF($A478="S",$Y478/$X478,""),($Y478/$X478)*100),0)</f>
        <v>0</v>
      </c>
      <c r="X478" s="384" t="str">
        <f ca="1">IF($Y478&gt;0,CHOOSE(MATCH(RegimeExecucao,{"Unitário","Global"},0),IF($A478="S",ROUND($H478,ORÇAMENTO!$AF$10),""),ROUND($I478,ORÇAMENTO!$AF$11)),"")</f>
        <v/>
      </c>
      <c r="Y478" s="384">
        <f t="shared" ca="1" si="28"/>
        <v>0</v>
      </c>
      <c r="Z478" s="572"/>
      <c r="AB478" s="382"/>
      <c r="AC478" s="516"/>
      <c r="AD478" s="516"/>
      <c r="AE478" s="516"/>
      <c r="AF478" s="516"/>
      <c r="AG478" s="516"/>
      <c r="AH478" s="516"/>
      <c r="AI478" s="516"/>
      <c r="AJ478" s="516"/>
      <c r="AK478" s="516"/>
      <c r="AL478" s="516"/>
      <c r="AM478" s="383"/>
      <c r="AO478">
        <f ca="1">IF($A478="S",IF(BM!$I478=0,0,CHOOSE(MATCH(RegimeExecucao,{"Global","Unitário"},0),ROUND(ROUND(BM.MEDAcumulado,15-13*BM!$A$9)/100*BM!$I478,15-13*ORÇAMENTO!$AF$11),ROUND(ROUND(BM.MEDAcumulado,15-13*BM!$A$9)*ROUND(BM!$H478,15-13*ORÇAMENTO!$AF$10),15-13*ORÇAMENTO!$AF$11))),IF($A478=0,0,ROUND(SomaAgrupBM,15-13*ORÇAMENTO!$AF$11)))</f>
        <v>0</v>
      </c>
    </row>
    <row r="479" spans="1:41" ht="38.25" x14ac:dyDescent="0.2">
      <c r="A479" t="str">
        <f ca="1">ORÇAMENTO!C479</f>
        <v>S</v>
      </c>
      <c r="B479">
        <f ca="1">ORÇAMENTO!D479</f>
        <v>0</v>
      </c>
      <c r="C479" s="116" t="str">
        <f t="shared" ca="1" si="22"/>
        <v/>
      </c>
      <c r="D479" s="119" t="str">
        <f ca="1">ORÇAMENTO!O479</f>
        <v>-</v>
      </c>
      <c r="E479" s="172" t="str">
        <f t="shared" ca="1" si="23"/>
        <v>(abra o arquivo 'Referência 02-2025.xlsm)</v>
      </c>
      <c r="F479" s="173" t="str">
        <f ca="1">IF(RegimeExecucao="Global","",ORÇAMENTO.Unidade)</f>
        <v>-</v>
      </c>
      <c r="G479" s="124">
        <f ca="1">IF(RegimeExecucao="Global","",ORÇAMENTO!T479)</f>
        <v>5</v>
      </c>
      <c r="H479" s="124">
        <f ca="1">IF(RegimeExecucao="Global","",ORÇAMENTO!W479)</f>
        <v>0</v>
      </c>
      <c r="I479" s="127">
        <f ca="1">ORÇAMENTO!X479</f>
        <v>0</v>
      </c>
      <c r="J479" s="378">
        <f ca="1">IF($A479="S",IF(CAIXA.Modo,BM.AFAnterior,BM.MEDAnterior),IF(AND(RegimeExecucao="Global",$I479&gt;0,COUNTIF($AB$13:$AM$13,BM.medicao-1)&gt;0),M479/$I479*100,0))</f>
        <v>0</v>
      </c>
      <c r="K479" s="124">
        <f t="shared" ca="1" si="24"/>
        <v>0</v>
      </c>
      <c r="L479" s="379">
        <f ca="1">IF($A479="S",IF(CAIXA.Modo,BM.AFAcumulado,BM.MEDAcumulado),IF(AND(RegimeExecucao="Global",$I479&gt;0,COUNTIF($AB$13:$AM$13,BM.medicao)&gt;0),O479/$I479*100,0))</f>
        <v>0</v>
      </c>
      <c r="M479" s="380">
        <f ca="1">IF($A479="S",VTOTALBM,IF($A479=0,0,ROUND(SomaAgrupBM,15-13*ORÇAMENTO!$AF$11)))</f>
        <v>0</v>
      </c>
      <c r="N479" s="381">
        <f t="shared" ca="1" si="25"/>
        <v>0</v>
      </c>
      <c r="O479" s="127">
        <f ca="1">IF($A479="S",VTOTALBM,IF($A479=0,0,ROUND(SomaAgrupBM,15-13*ORÇAMENTO!$AF$11)))</f>
        <v>0</v>
      </c>
      <c r="Q479" s="382"/>
      <c r="R479" s="383"/>
      <c r="T479" s="119" t="str">
        <f t="shared" ca="1" si="26"/>
        <v/>
      </c>
      <c r="U479" s="172" t="str">
        <f t="shared" ca="1" si="27"/>
        <v/>
      </c>
      <c r="V479" s="173" t="str">
        <f ca="1">IF(AND($W479&gt;0,RegimeExecucao="Unitário"),$F479,"")</f>
        <v/>
      </c>
      <c r="W479" s="547">
        <f ca="1">IF($Y479&gt;0,CHOOSE(MATCH(RegimeExecucao,{"Unitário","Global"},0),IF($A479="S",$Y479/$X479,""),($Y479/$X479)*100),0)</f>
        <v>0</v>
      </c>
      <c r="X479" s="384" t="str">
        <f ca="1">IF($Y479&gt;0,CHOOSE(MATCH(RegimeExecucao,{"Unitário","Global"},0),IF($A479="S",ROUND($H479,ORÇAMENTO!$AF$10),""),ROUND($I479,ORÇAMENTO!$AF$11)),"")</f>
        <v/>
      </c>
      <c r="Y479" s="384">
        <f t="shared" ca="1" si="28"/>
        <v>0</v>
      </c>
      <c r="Z479" s="572"/>
      <c r="AB479" s="382"/>
      <c r="AC479" s="516"/>
      <c r="AD479" s="516"/>
      <c r="AE479" s="516"/>
      <c r="AF479" s="516"/>
      <c r="AG479" s="516"/>
      <c r="AH479" s="516"/>
      <c r="AI479" s="516"/>
      <c r="AJ479" s="516"/>
      <c r="AK479" s="516"/>
      <c r="AL479" s="516"/>
      <c r="AM479" s="383"/>
      <c r="AO479">
        <f ca="1">IF($A479="S",IF(BM!$I479=0,0,CHOOSE(MATCH(RegimeExecucao,{"Global","Unitário"},0),ROUND(ROUND(BM.MEDAcumulado,15-13*BM!$A$9)/100*BM!$I479,15-13*ORÇAMENTO!$AF$11),ROUND(ROUND(BM.MEDAcumulado,15-13*BM!$A$9)*ROUND(BM!$H479,15-13*ORÇAMENTO!$AF$10),15-13*ORÇAMENTO!$AF$11))),IF($A479=0,0,ROUND(SomaAgrupBM,15-13*ORÇAMENTO!$AF$11)))</f>
        <v>0</v>
      </c>
    </row>
    <row r="480" spans="1:41" ht="25.5" x14ac:dyDescent="0.2">
      <c r="A480" t="str">
        <f ca="1">ORÇAMENTO!C480</f>
        <v>S</v>
      </c>
      <c r="B480">
        <f ca="1">ORÇAMENTO!D480</f>
        <v>0</v>
      </c>
      <c r="C480" s="116" t="str">
        <f t="shared" ca="1" si="22"/>
        <v/>
      </c>
      <c r="D480" s="119" t="str">
        <f ca="1">ORÇAMENTO!O480</f>
        <v>-</v>
      </c>
      <c r="E480" s="172" t="str">
        <f t="shared" ca="1" si="23"/>
        <v>(abra o arquivo 'Referência 02-2025.xlsm)</v>
      </c>
      <c r="F480" s="173" t="str">
        <f ca="1">IF(RegimeExecucao="Global","",ORÇAMENTO.Unidade)</f>
        <v>-</v>
      </c>
      <c r="G480" s="124">
        <f ca="1">IF(RegimeExecucao="Global","",ORÇAMENTO!T480)</f>
        <v>5</v>
      </c>
      <c r="H480" s="124">
        <f ca="1">IF(RegimeExecucao="Global","",ORÇAMENTO!W480)</f>
        <v>0</v>
      </c>
      <c r="I480" s="127">
        <f ca="1">ORÇAMENTO!X480</f>
        <v>0</v>
      </c>
      <c r="J480" s="378">
        <f ca="1">IF($A480="S",IF(CAIXA.Modo,BM.AFAnterior,BM.MEDAnterior),IF(AND(RegimeExecucao="Global",$I480&gt;0,COUNTIF($AB$13:$AM$13,BM.medicao-1)&gt;0),M480/$I480*100,0))</f>
        <v>0</v>
      </c>
      <c r="K480" s="124">
        <f t="shared" ca="1" si="24"/>
        <v>0</v>
      </c>
      <c r="L480" s="379">
        <f ca="1">IF($A480="S",IF(CAIXA.Modo,BM.AFAcumulado,BM.MEDAcumulado),IF(AND(RegimeExecucao="Global",$I480&gt;0,COUNTIF($AB$13:$AM$13,BM.medicao)&gt;0),O480/$I480*100,0))</f>
        <v>0</v>
      </c>
      <c r="M480" s="380">
        <f ca="1">IF($A480="S",VTOTALBM,IF($A480=0,0,ROUND(SomaAgrupBM,15-13*ORÇAMENTO!$AF$11)))</f>
        <v>0</v>
      </c>
      <c r="N480" s="381">
        <f t="shared" ca="1" si="25"/>
        <v>0</v>
      </c>
      <c r="O480" s="127">
        <f ca="1">IF($A480="S",VTOTALBM,IF($A480=0,0,ROUND(SomaAgrupBM,15-13*ORÇAMENTO!$AF$11)))</f>
        <v>0</v>
      </c>
      <c r="Q480" s="382"/>
      <c r="R480" s="383"/>
      <c r="T480" s="119" t="str">
        <f t="shared" ca="1" si="26"/>
        <v/>
      </c>
      <c r="U480" s="172" t="str">
        <f t="shared" ca="1" si="27"/>
        <v/>
      </c>
      <c r="V480" s="173" t="str">
        <f ca="1">IF(AND($W480&gt;0,RegimeExecucao="Unitário"),$F480,"")</f>
        <v/>
      </c>
      <c r="W480" s="547">
        <f ca="1">IF($Y480&gt;0,CHOOSE(MATCH(RegimeExecucao,{"Unitário","Global"},0),IF($A480="S",$Y480/$X480,""),($Y480/$X480)*100),0)</f>
        <v>0</v>
      </c>
      <c r="X480" s="384" t="str">
        <f ca="1">IF($Y480&gt;0,CHOOSE(MATCH(RegimeExecucao,{"Unitário","Global"},0),IF($A480="S",ROUND($H480,ORÇAMENTO!$AF$10),""),ROUND($I480,ORÇAMENTO!$AF$11)),"")</f>
        <v/>
      </c>
      <c r="Y480" s="384">
        <f t="shared" ca="1" si="28"/>
        <v>0</v>
      </c>
      <c r="Z480" s="572"/>
      <c r="AB480" s="382"/>
      <c r="AC480" s="516"/>
      <c r="AD480" s="516"/>
      <c r="AE480" s="516"/>
      <c r="AF480" s="516"/>
      <c r="AG480" s="516"/>
      <c r="AH480" s="516"/>
      <c r="AI480" s="516"/>
      <c r="AJ480" s="516"/>
      <c r="AK480" s="516"/>
      <c r="AL480" s="516"/>
      <c r="AM480" s="383"/>
      <c r="AO480">
        <f ca="1">IF($A480="S",IF(BM!$I480=0,0,CHOOSE(MATCH(RegimeExecucao,{"Global","Unitário"},0),ROUND(ROUND(BM.MEDAcumulado,15-13*BM!$A$9)/100*BM!$I480,15-13*ORÇAMENTO!$AF$11),ROUND(ROUND(BM.MEDAcumulado,15-13*BM!$A$9)*ROUND(BM!$H480,15-13*ORÇAMENTO!$AF$10),15-13*ORÇAMENTO!$AF$11))),IF($A480=0,0,ROUND(SomaAgrupBM,15-13*ORÇAMENTO!$AF$11)))</f>
        <v>0</v>
      </c>
    </row>
    <row r="481" spans="1:41" ht="38.25" x14ac:dyDescent="0.2">
      <c r="A481" t="str">
        <f ca="1">ORÇAMENTO!C481</f>
        <v>S</v>
      </c>
      <c r="B481">
        <f ca="1">ORÇAMENTO!D481</f>
        <v>0</v>
      </c>
      <c r="C481" s="116" t="str">
        <f t="shared" ca="1" si="22"/>
        <v/>
      </c>
      <c r="D481" s="119" t="str">
        <f ca="1">ORÇAMENTO!O481</f>
        <v>-</v>
      </c>
      <c r="E481" s="172" t="str">
        <f t="shared" ca="1" si="23"/>
        <v>(abra o arquivo 'Referência 02-2025.xlsm)</v>
      </c>
      <c r="F481" s="173" t="str">
        <f ca="1">IF(RegimeExecucao="Global","",ORÇAMENTO.Unidade)</f>
        <v>-</v>
      </c>
      <c r="G481" s="124">
        <f ca="1">IF(RegimeExecucao="Global","",ORÇAMENTO!T481)</f>
        <v>5</v>
      </c>
      <c r="H481" s="124">
        <f ca="1">IF(RegimeExecucao="Global","",ORÇAMENTO!W481)</f>
        <v>0</v>
      </c>
      <c r="I481" s="127">
        <f ca="1">ORÇAMENTO!X481</f>
        <v>0</v>
      </c>
      <c r="J481" s="378">
        <f ca="1">IF($A481="S",IF(CAIXA.Modo,BM.AFAnterior,BM.MEDAnterior),IF(AND(RegimeExecucao="Global",$I481&gt;0,COUNTIF($AB$13:$AM$13,BM.medicao-1)&gt;0),M481/$I481*100,0))</f>
        <v>0</v>
      </c>
      <c r="K481" s="124">
        <f t="shared" ca="1" si="24"/>
        <v>0</v>
      </c>
      <c r="L481" s="379">
        <f ca="1">IF($A481="S",IF(CAIXA.Modo,BM.AFAcumulado,BM.MEDAcumulado),IF(AND(RegimeExecucao="Global",$I481&gt;0,COUNTIF($AB$13:$AM$13,BM.medicao)&gt;0),O481/$I481*100,0))</f>
        <v>0</v>
      </c>
      <c r="M481" s="380">
        <f ca="1">IF($A481="S",VTOTALBM,IF($A481=0,0,ROUND(SomaAgrupBM,15-13*ORÇAMENTO!$AF$11)))</f>
        <v>0</v>
      </c>
      <c r="N481" s="381">
        <f t="shared" ca="1" si="25"/>
        <v>0</v>
      </c>
      <c r="O481" s="127">
        <f ca="1">IF($A481="S",VTOTALBM,IF($A481=0,0,ROUND(SomaAgrupBM,15-13*ORÇAMENTO!$AF$11)))</f>
        <v>0</v>
      </c>
      <c r="Q481" s="382"/>
      <c r="R481" s="383"/>
      <c r="T481" s="119" t="str">
        <f t="shared" ca="1" si="26"/>
        <v/>
      </c>
      <c r="U481" s="172" t="str">
        <f t="shared" ca="1" si="27"/>
        <v/>
      </c>
      <c r="V481" s="173" t="str">
        <f ca="1">IF(AND($W481&gt;0,RegimeExecucao="Unitário"),$F481,"")</f>
        <v/>
      </c>
      <c r="W481" s="547">
        <f ca="1">IF($Y481&gt;0,CHOOSE(MATCH(RegimeExecucao,{"Unitário","Global"},0),IF($A481="S",$Y481/$X481,""),($Y481/$X481)*100),0)</f>
        <v>0</v>
      </c>
      <c r="X481" s="384" t="str">
        <f ca="1">IF($Y481&gt;0,CHOOSE(MATCH(RegimeExecucao,{"Unitário","Global"},0),IF($A481="S",ROUND($H481,ORÇAMENTO!$AF$10),""),ROUND($I481,ORÇAMENTO!$AF$11)),"")</f>
        <v/>
      </c>
      <c r="Y481" s="384">
        <f t="shared" ca="1" si="28"/>
        <v>0</v>
      </c>
      <c r="Z481" s="572"/>
      <c r="AB481" s="382"/>
      <c r="AC481" s="516"/>
      <c r="AD481" s="516"/>
      <c r="AE481" s="516"/>
      <c r="AF481" s="516"/>
      <c r="AG481" s="516"/>
      <c r="AH481" s="516"/>
      <c r="AI481" s="516"/>
      <c r="AJ481" s="516"/>
      <c r="AK481" s="516"/>
      <c r="AL481" s="516"/>
      <c r="AM481" s="383"/>
      <c r="AO481">
        <f ca="1">IF($A481="S",IF(BM!$I481=0,0,CHOOSE(MATCH(RegimeExecucao,{"Global","Unitário"},0),ROUND(ROUND(BM.MEDAcumulado,15-13*BM!$A$9)/100*BM!$I481,15-13*ORÇAMENTO!$AF$11),ROUND(ROUND(BM.MEDAcumulado,15-13*BM!$A$9)*ROUND(BM!$H481,15-13*ORÇAMENTO!$AF$10),15-13*ORÇAMENTO!$AF$11))),IF($A481=0,0,ROUND(SomaAgrupBM,15-13*ORÇAMENTO!$AF$11)))</f>
        <v>0</v>
      </c>
    </row>
    <row r="482" spans="1:41" ht="25.5" x14ac:dyDescent="0.2">
      <c r="A482" t="str">
        <f ca="1">ORÇAMENTO!C482</f>
        <v>S</v>
      </c>
      <c r="B482">
        <f ca="1">ORÇAMENTO!D482</f>
        <v>0</v>
      </c>
      <c r="C482" s="116" t="str">
        <f t="shared" ca="1" si="22"/>
        <v/>
      </c>
      <c r="D482" s="119" t="str">
        <f ca="1">ORÇAMENTO!O482</f>
        <v>-</v>
      </c>
      <c r="E482" s="172" t="str">
        <f t="shared" ca="1" si="23"/>
        <v>(abra o arquivo 'Referência 02-2025.xlsm)</v>
      </c>
      <c r="F482" s="173" t="str">
        <f ca="1">IF(RegimeExecucao="Global","",ORÇAMENTO.Unidade)</f>
        <v>-</v>
      </c>
      <c r="G482" s="124">
        <f ca="1">IF(RegimeExecucao="Global","",ORÇAMENTO!T482)</f>
        <v>9</v>
      </c>
      <c r="H482" s="124">
        <f ca="1">IF(RegimeExecucao="Global","",ORÇAMENTO!W482)</f>
        <v>0</v>
      </c>
      <c r="I482" s="127">
        <f ca="1">ORÇAMENTO!X482</f>
        <v>0</v>
      </c>
      <c r="J482" s="378">
        <f ca="1">IF($A482="S",IF(CAIXA.Modo,BM.AFAnterior,BM.MEDAnterior),IF(AND(RegimeExecucao="Global",$I482&gt;0,COUNTIF($AB$13:$AM$13,BM.medicao-1)&gt;0),M482/$I482*100,0))</f>
        <v>0</v>
      </c>
      <c r="K482" s="124">
        <f t="shared" ca="1" si="24"/>
        <v>0</v>
      </c>
      <c r="L482" s="379">
        <f ca="1">IF($A482="S",IF(CAIXA.Modo,BM.AFAcumulado,BM.MEDAcumulado),IF(AND(RegimeExecucao="Global",$I482&gt;0,COUNTIF($AB$13:$AM$13,BM.medicao)&gt;0),O482/$I482*100,0))</f>
        <v>0</v>
      </c>
      <c r="M482" s="380">
        <f ca="1">IF($A482="S",VTOTALBM,IF($A482=0,0,ROUND(SomaAgrupBM,15-13*ORÇAMENTO!$AF$11)))</f>
        <v>0</v>
      </c>
      <c r="N482" s="381">
        <f t="shared" ca="1" si="25"/>
        <v>0</v>
      </c>
      <c r="O482" s="127">
        <f ca="1">IF($A482="S",VTOTALBM,IF($A482=0,0,ROUND(SomaAgrupBM,15-13*ORÇAMENTO!$AF$11)))</f>
        <v>0</v>
      </c>
      <c r="Q482" s="382"/>
      <c r="R482" s="383"/>
      <c r="T482" s="119" t="str">
        <f t="shared" ca="1" si="26"/>
        <v/>
      </c>
      <c r="U482" s="172" t="str">
        <f t="shared" ca="1" si="27"/>
        <v/>
      </c>
      <c r="V482" s="173" t="str">
        <f ca="1">IF(AND($W482&gt;0,RegimeExecucao="Unitário"),$F482,"")</f>
        <v/>
      </c>
      <c r="W482" s="547">
        <f ca="1">IF($Y482&gt;0,CHOOSE(MATCH(RegimeExecucao,{"Unitário","Global"},0),IF($A482="S",$Y482/$X482,""),($Y482/$X482)*100),0)</f>
        <v>0</v>
      </c>
      <c r="X482" s="384" t="str">
        <f ca="1">IF($Y482&gt;0,CHOOSE(MATCH(RegimeExecucao,{"Unitário","Global"},0),IF($A482="S",ROUND($H482,ORÇAMENTO!$AF$10),""),ROUND($I482,ORÇAMENTO!$AF$11)),"")</f>
        <v/>
      </c>
      <c r="Y482" s="384">
        <f t="shared" ca="1" si="28"/>
        <v>0</v>
      </c>
      <c r="Z482" s="572"/>
      <c r="AB482" s="382"/>
      <c r="AC482" s="516"/>
      <c r="AD482" s="516"/>
      <c r="AE482" s="516"/>
      <c r="AF482" s="516"/>
      <c r="AG482" s="516"/>
      <c r="AH482" s="516"/>
      <c r="AI482" s="516"/>
      <c r="AJ482" s="516"/>
      <c r="AK482" s="516"/>
      <c r="AL482" s="516"/>
      <c r="AM482" s="383"/>
      <c r="AO482">
        <f ca="1">IF($A482="S",IF(BM!$I482=0,0,CHOOSE(MATCH(RegimeExecucao,{"Global","Unitário"},0),ROUND(ROUND(BM.MEDAcumulado,15-13*BM!$A$9)/100*BM!$I482,15-13*ORÇAMENTO!$AF$11),ROUND(ROUND(BM.MEDAcumulado,15-13*BM!$A$9)*ROUND(BM!$H482,15-13*ORÇAMENTO!$AF$10),15-13*ORÇAMENTO!$AF$11))),IF($A482=0,0,ROUND(SomaAgrupBM,15-13*ORÇAMENTO!$AF$11)))</f>
        <v>0</v>
      </c>
    </row>
    <row r="483" spans="1:41" x14ac:dyDescent="0.2">
      <c r="A483">
        <f ca="1">ORÇAMENTO!C483</f>
        <v>3</v>
      </c>
      <c r="B483">
        <f ca="1">ORÇAMENTO!D483</f>
        <v>4</v>
      </c>
      <c r="C483" s="116" t="str">
        <f t="shared" ca="1" si="22"/>
        <v>F</v>
      </c>
      <c r="D483" s="119" t="str">
        <f ca="1">ORÇAMENTO!O483</f>
        <v>1.16.5.</v>
      </c>
      <c r="E483" s="172" t="str">
        <f t="shared" ca="1" si="23"/>
        <v>SINALIZAÇÕES</v>
      </c>
      <c r="F483" s="173" t="str">
        <f ca="1">IF(RegimeExecucao="Global","",ORÇAMENTO.Unidade)</f>
        <v>-</v>
      </c>
      <c r="G483" s="124">
        <f ca="1">IF(RegimeExecucao="Global","",ORÇAMENTO!T483)</f>
        <v>0</v>
      </c>
      <c r="H483" s="124">
        <f ca="1">IF(RegimeExecucao="Global","",ORÇAMENTO!W483)</f>
        <v>0</v>
      </c>
      <c r="I483" s="127">
        <f ca="1">ORÇAMENTO!X483</f>
        <v>0</v>
      </c>
      <c r="J483" s="378">
        <f ca="1">IF($A483="S",IF(CAIXA.Modo,BM.AFAnterior,BM.MEDAnterior),IF(AND(RegimeExecucao="Global",$I483&gt;0,COUNTIF($AB$13:$AM$13,BM.medicao-1)&gt;0),M483/$I483*100,0))</f>
        <v>0</v>
      </c>
      <c r="K483" s="124">
        <f t="shared" ca="1" si="24"/>
        <v>0</v>
      </c>
      <c r="L483" s="379">
        <f ca="1">IF($A483="S",IF(CAIXA.Modo,BM.AFAcumulado,BM.MEDAcumulado),IF(AND(RegimeExecucao="Global",$I483&gt;0,COUNTIF($AB$13:$AM$13,BM.medicao)&gt;0),O483/$I483*100,0))</f>
        <v>0</v>
      </c>
      <c r="M483" s="380">
        <f ca="1">IF($A483="S",VTOTALBM,IF($A483=0,0,ROUND(SomaAgrupBM,15-13*ORÇAMENTO!$AF$11)))</f>
        <v>0</v>
      </c>
      <c r="N483" s="381">
        <f t="shared" ca="1" si="25"/>
        <v>0</v>
      </c>
      <c r="O483" s="127">
        <f ca="1">IF($A483="S",VTOTALBM,IF($A483=0,0,ROUND(SomaAgrupBM,15-13*ORÇAMENTO!$AF$11)))</f>
        <v>0</v>
      </c>
      <c r="Q483" s="382"/>
      <c r="R483" s="383"/>
      <c r="T483" s="119" t="str">
        <f t="shared" ca="1" si="26"/>
        <v/>
      </c>
      <c r="U483" s="172" t="str">
        <f t="shared" ca="1" si="27"/>
        <v/>
      </c>
      <c r="V483" s="173" t="str">
        <f ca="1">IF(AND($W483&gt;0,RegimeExecucao="Unitário"),$F483,"")</f>
        <v/>
      </c>
      <c r="W483" s="547">
        <f ca="1">IF($Y483&gt;0,CHOOSE(MATCH(RegimeExecucao,{"Unitário","Global"},0),IF($A483="S",$Y483/$X483,""),($Y483/$X483)*100),0)</f>
        <v>0</v>
      </c>
      <c r="X483" s="384" t="str">
        <f ca="1">IF($Y483&gt;0,CHOOSE(MATCH(RegimeExecucao,{"Unitário","Global"},0),IF($A483="S",ROUND($H483,ORÇAMENTO!$AF$10),""),ROUND($I483,ORÇAMENTO!$AF$11)),"")</f>
        <v/>
      </c>
      <c r="Y483" s="384">
        <f t="shared" ca="1" si="28"/>
        <v>0</v>
      </c>
      <c r="Z483" s="572"/>
      <c r="AB483" s="382"/>
      <c r="AC483" s="516"/>
      <c r="AD483" s="516"/>
      <c r="AE483" s="516"/>
      <c r="AF483" s="516"/>
      <c r="AG483" s="516"/>
      <c r="AH483" s="516"/>
      <c r="AI483" s="516"/>
      <c r="AJ483" s="516"/>
      <c r="AK483" s="516"/>
      <c r="AL483" s="516"/>
      <c r="AM483" s="383"/>
      <c r="AO483">
        <f ca="1">IF($A483="S",IF(BM!$I483=0,0,CHOOSE(MATCH(RegimeExecucao,{"Global","Unitário"},0),ROUND(ROUND(BM.MEDAcumulado,15-13*BM!$A$9)/100*BM!$I483,15-13*ORÇAMENTO!$AF$11),ROUND(ROUND(BM.MEDAcumulado,15-13*BM!$A$9)*ROUND(BM!$H483,15-13*ORÇAMENTO!$AF$10),15-13*ORÇAMENTO!$AF$11))),IF($A483=0,0,ROUND(SomaAgrupBM,15-13*ORÇAMENTO!$AF$11)))</f>
        <v>0</v>
      </c>
    </row>
    <row r="484" spans="1:41" ht="25.5" x14ac:dyDescent="0.2">
      <c r="A484" t="str">
        <f ca="1">ORÇAMENTO!C484</f>
        <v>S</v>
      </c>
      <c r="B484">
        <f ca="1">ORÇAMENTO!D484</f>
        <v>0</v>
      </c>
      <c r="C484" s="116" t="str">
        <f t="shared" ca="1" si="22"/>
        <v/>
      </c>
      <c r="D484" s="119" t="str">
        <f ca="1">ORÇAMENTO!O484</f>
        <v>-</v>
      </c>
      <c r="E484" s="172" t="str">
        <f t="shared" ca="1" si="23"/>
        <v>(abra o arquivo 'Referência 02-2025.xlsm)</v>
      </c>
      <c r="F484" s="173" t="str">
        <f ca="1">IF(RegimeExecucao="Global","",ORÇAMENTO.Unidade)</f>
        <v>-</v>
      </c>
      <c r="G484" s="124">
        <f ca="1">IF(RegimeExecucao="Global","",ORÇAMENTO!T484)</f>
        <v>30</v>
      </c>
      <c r="H484" s="124">
        <f ca="1">IF(RegimeExecucao="Global","",ORÇAMENTO!W484)</f>
        <v>0</v>
      </c>
      <c r="I484" s="127">
        <f ca="1">ORÇAMENTO!X484</f>
        <v>0</v>
      </c>
      <c r="J484" s="378">
        <f ca="1">IF($A484="S",IF(CAIXA.Modo,BM.AFAnterior,BM.MEDAnterior),IF(AND(RegimeExecucao="Global",$I484&gt;0,COUNTIF($AB$13:$AM$13,BM.medicao-1)&gt;0),M484/$I484*100,0))</f>
        <v>0</v>
      </c>
      <c r="K484" s="124">
        <f t="shared" ca="1" si="24"/>
        <v>0</v>
      </c>
      <c r="L484" s="379">
        <f ca="1">IF($A484="S",IF(CAIXA.Modo,BM.AFAcumulado,BM.MEDAcumulado),IF(AND(RegimeExecucao="Global",$I484&gt;0,COUNTIF($AB$13:$AM$13,BM.medicao)&gt;0),O484/$I484*100,0))</f>
        <v>0</v>
      </c>
      <c r="M484" s="380">
        <f ca="1">IF($A484="S",VTOTALBM,IF($A484=0,0,ROUND(SomaAgrupBM,15-13*ORÇAMENTO!$AF$11)))</f>
        <v>0</v>
      </c>
      <c r="N484" s="381">
        <f t="shared" ca="1" si="25"/>
        <v>0</v>
      </c>
      <c r="O484" s="127">
        <f ca="1">IF($A484="S",VTOTALBM,IF($A484=0,0,ROUND(SomaAgrupBM,15-13*ORÇAMENTO!$AF$11)))</f>
        <v>0</v>
      </c>
      <c r="Q484" s="382"/>
      <c r="R484" s="383"/>
      <c r="T484" s="119" t="str">
        <f t="shared" ca="1" si="26"/>
        <v/>
      </c>
      <c r="U484" s="172" t="str">
        <f t="shared" ca="1" si="27"/>
        <v/>
      </c>
      <c r="V484" s="173" t="str">
        <f ca="1">IF(AND($W484&gt;0,RegimeExecucao="Unitário"),$F484,"")</f>
        <v/>
      </c>
      <c r="W484" s="547">
        <f ca="1">IF($Y484&gt;0,CHOOSE(MATCH(RegimeExecucao,{"Unitário","Global"},0),IF($A484="S",$Y484/$X484,""),($Y484/$X484)*100),0)</f>
        <v>0</v>
      </c>
      <c r="X484" s="384" t="str">
        <f ca="1">IF($Y484&gt;0,CHOOSE(MATCH(RegimeExecucao,{"Unitário","Global"},0),IF($A484="S",ROUND($H484,ORÇAMENTO!$AF$10),""),ROUND($I484,ORÇAMENTO!$AF$11)),"")</f>
        <v/>
      </c>
      <c r="Y484" s="384">
        <f t="shared" ca="1" si="28"/>
        <v>0</v>
      </c>
      <c r="Z484" s="572"/>
      <c r="AB484" s="382"/>
      <c r="AC484" s="516"/>
      <c r="AD484" s="516"/>
      <c r="AE484" s="516"/>
      <c r="AF484" s="516"/>
      <c r="AG484" s="516"/>
      <c r="AH484" s="516"/>
      <c r="AI484" s="516"/>
      <c r="AJ484" s="516"/>
      <c r="AK484" s="516"/>
      <c r="AL484" s="516"/>
      <c r="AM484" s="383"/>
      <c r="AO484">
        <f ca="1">IF($A484="S",IF(BM!$I484=0,0,CHOOSE(MATCH(RegimeExecucao,{"Global","Unitário"},0),ROUND(ROUND(BM.MEDAcumulado,15-13*BM!$A$9)/100*BM!$I484,15-13*ORÇAMENTO!$AF$11),ROUND(ROUND(BM.MEDAcumulado,15-13*BM!$A$9)*ROUND(BM!$H484,15-13*ORÇAMENTO!$AF$10),15-13*ORÇAMENTO!$AF$11))),IF($A484=0,0,ROUND(SomaAgrupBM,15-13*ORÇAMENTO!$AF$11)))</f>
        <v>0</v>
      </c>
    </row>
    <row r="485" spans="1:41" ht="25.5" x14ac:dyDescent="0.2">
      <c r="A485" t="str">
        <f ca="1">ORÇAMENTO!C485</f>
        <v>S</v>
      </c>
      <c r="B485">
        <f ca="1">ORÇAMENTO!D485</f>
        <v>0</v>
      </c>
      <c r="C485" s="116" t="str">
        <f t="shared" ca="1" si="22"/>
        <v/>
      </c>
      <c r="D485" s="119" t="str">
        <f ca="1">ORÇAMENTO!O485</f>
        <v>-</v>
      </c>
      <c r="E485" s="172" t="str">
        <f t="shared" ca="1" si="23"/>
        <v>(abra o arquivo 'Referência 02-2025.xlsm)</v>
      </c>
      <c r="F485" s="173" t="str">
        <f ca="1">IF(RegimeExecucao="Global","",ORÇAMENTO.Unidade)</f>
        <v>-</v>
      </c>
      <c r="G485" s="124">
        <f ca="1">IF(RegimeExecucao="Global","",ORÇAMENTO!T485)</f>
        <v>101</v>
      </c>
      <c r="H485" s="124">
        <f ca="1">IF(RegimeExecucao="Global","",ORÇAMENTO!W485)</f>
        <v>0</v>
      </c>
      <c r="I485" s="127">
        <f ca="1">ORÇAMENTO!X485</f>
        <v>0</v>
      </c>
      <c r="J485" s="378">
        <f ca="1">IF($A485="S",IF(CAIXA.Modo,BM.AFAnterior,BM.MEDAnterior),IF(AND(RegimeExecucao="Global",$I485&gt;0,COUNTIF($AB$13:$AM$13,BM.medicao-1)&gt;0),M485/$I485*100,0))</f>
        <v>0</v>
      </c>
      <c r="K485" s="124">
        <f t="shared" ca="1" si="24"/>
        <v>0</v>
      </c>
      <c r="L485" s="379">
        <f ca="1">IF($A485="S",IF(CAIXA.Modo,BM.AFAcumulado,BM.MEDAcumulado),IF(AND(RegimeExecucao="Global",$I485&gt;0,COUNTIF($AB$13:$AM$13,BM.medicao)&gt;0),O485/$I485*100,0))</f>
        <v>0</v>
      </c>
      <c r="M485" s="380">
        <f ca="1">IF($A485="S",VTOTALBM,IF($A485=0,0,ROUND(SomaAgrupBM,15-13*ORÇAMENTO!$AF$11)))</f>
        <v>0</v>
      </c>
      <c r="N485" s="381">
        <f t="shared" ca="1" si="25"/>
        <v>0</v>
      </c>
      <c r="O485" s="127">
        <f ca="1">IF($A485="S",VTOTALBM,IF($A485=0,0,ROUND(SomaAgrupBM,15-13*ORÇAMENTO!$AF$11)))</f>
        <v>0</v>
      </c>
      <c r="Q485" s="382"/>
      <c r="R485" s="383"/>
      <c r="T485" s="119" t="str">
        <f t="shared" ca="1" si="26"/>
        <v/>
      </c>
      <c r="U485" s="172" t="str">
        <f t="shared" ca="1" si="27"/>
        <v/>
      </c>
      <c r="V485" s="173" t="str">
        <f ca="1">IF(AND($W485&gt;0,RegimeExecucao="Unitário"),$F485,"")</f>
        <v/>
      </c>
      <c r="W485" s="547">
        <f ca="1">IF($Y485&gt;0,CHOOSE(MATCH(RegimeExecucao,{"Unitário","Global"},0),IF($A485="S",$Y485/$X485,""),($Y485/$X485)*100),0)</f>
        <v>0</v>
      </c>
      <c r="X485" s="384" t="str">
        <f ca="1">IF($Y485&gt;0,CHOOSE(MATCH(RegimeExecucao,{"Unitário","Global"},0),IF($A485="S",ROUND($H485,ORÇAMENTO!$AF$10),""),ROUND($I485,ORÇAMENTO!$AF$11)),"")</f>
        <v/>
      </c>
      <c r="Y485" s="384">
        <f t="shared" ca="1" si="28"/>
        <v>0</v>
      </c>
      <c r="Z485" s="572"/>
      <c r="AB485" s="382"/>
      <c r="AC485" s="516"/>
      <c r="AD485" s="516"/>
      <c r="AE485" s="516"/>
      <c r="AF485" s="516"/>
      <c r="AG485" s="516"/>
      <c r="AH485" s="516"/>
      <c r="AI485" s="516"/>
      <c r="AJ485" s="516"/>
      <c r="AK485" s="516"/>
      <c r="AL485" s="516"/>
      <c r="AM485" s="383"/>
      <c r="AO485">
        <f ca="1">IF($A485="S",IF(BM!$I485=0,0,CHOOSE(MATCH(RegimeExecucao,{"Global","Unitário"},0),ROUND(ROUND(BM.MEDAcumulado,15-13*BM!$A$9)/100*BM!$I485,15-13*ORÇAMENTO!$AF$11),ROUND(ROUND(BM.MEDAcumulado,15-13*BM!$A$9)*ROUND(BM!$H485,15-13*ORÇAMENTO!$AF$10),15-13*ORÇAMENTO!$AF$11))),IF($A485=0,0,ROUND(SomaAgrupBM,15-13*ORÇAMENTO!$AF$11)))</f>
        <v>0</v>
      </c>
    </row>
    <row r="486" spans="1:41" ht="25.5" x14ac:dyDescent="0.2">
      <c r="A486" t="str">
        <f ca="1">ORÇAMENTO!C486</f>
        <v>S</v>
      </c>
      <c r="B486">
        <f ca="1">ORÇAMENTO!D486</f>
        <v>0</v>
      </c>
      <c r="C486" s="116" t="str">
        <f t="shared" ca="1" si="22"/>
        <v/>
      </c>
      <c r="D486" s="119" t="str">
        <f ca="1">ORÇAMENTO!O486</f>
        <v>-</v>
      </c>
      <c r="E486" s="172" t="str">
        <f t="shared" ca="1" si="23"/>
        <v>(abra o arquivo 'Referência 02-2025.xlsm)</v>
      </c>
      <c r="F486" s="173" t="str">
        <f ca="1">IF(RegimeExecucao="Global","",ORÇAMENTO.Unidade)</f>
        <v>-</v>
      </c>
      <c r="G486" s="124">
        <f ca="1">IF(RegimeExecucao="Global","",ORÇAMENTO!T486)</f>
        <v>12</v>
      </c>
      <c r="H486" s="124">
        <f ca="1">IF(RegimeExecucao="Global","",ORÇAMENTO!W486)</f>
        <v>0</v>
      </c>
      <c r="I486" s="127">
        <f ca="1">ORÇAMENTO!X486</f>
        <v>0</v>
      </c>
      <c r="J486" s="378">
        <f ca="1">IF($A486="S",IF(CAIXA.Modo,BM.AFAnterior,BM.MEDAnterior),IF(AND(RegimeExecucao="Global",$I486&gt;0,COUNTIF($AB$13:$AM$13,BM.medicao-1)&gt;0),M486/$I486*100,0))</f>
        <v>0</v>
      </c>
      <c r="K486" s="124">
        <f t="shared" ca="1" si="24"/>
        <v>0</v>
      </c>
      <c r="L486" s="379">
        <f ca="1">IF($A486="S",IF(CAIXA.Modo,BM.AFAcumulado,BM.MEDAcumulado),IF(AND(RegimeExecucao="Global",$I486&gt;0,COUNTIF($AB$13:$AM$13,BM.medicao)&gt;0),O486/$I486*100,0))</f>
        <v>0</v>
      </c>
      <c r="M486" s="380">
        <f ca="1">IF($A486="S",VTOTALBM,IF($A486=0,0,ROUND(SomaAgrupBM,15-13*ORÇAMENTO!$AF$11)))</f>
        <v>0</v>
      </c>
      <c r="N486" s="381">
        <f t="shared" ca="1" si="25"/>
        <v>0</v>
      </c>
      <c r="O486" s="127">
        <f ca="1">IF($A486="S",VTOTALBM,IF($A486=0,0,ROUND(SomaAgrupBM,15-13*ORÇAMENTO!$AF$11)))</f>
        <v>0</v>
      </c>
      <c r="Q486" s="382"/>
      <c r="R486" s="383"/>
      <c r="T486" s="119" t="str">
        <f t="shared" ca="1" si="26"/>
        <v/>
      </c>
      <c r="U486" s="172" t="str">
        <f t="shared" ca="1" si="27"/>
        <v/>
      </c>
      <c r="V486" s="173" t="str">
        <f ca="1">IF(AND($W486&gt;0,RegimeExecucao="Unitário"),$F486,"")</f>
        <v/>
      </c>
      <c r="W486" s="547">
        <f ca="1">IF($Y486&gt;0,CHOOSE(MATCH(RegimeExecucao,{"Unitário","Global"},0),IF($A486="S",$Y486/$X486,""),($Y486/$X486)*100),0)</f>
        <v>0</v>
      </c>
      <c r="X486" s="384" t="str">
        <f ca="1">IF($Y486&gt;0,CHOOSE(MATCH(RegimeExecucao,{"Unitário","Global"},0),IF($A486="S",ROUND($H486,ORÇAMENTO!$AF$10),""),ROUND($I486,ORÇAMENTO!$AF$11)),"")</f>
        <v/>
      </c>
      <c r="Y486" s="384">
        <f t="shared" ca="1" si="28"/>
        <v>0</v>
      </c>
      <c r="Z486" s="572"/>
      <c r="AB486" s="382"/>
      <c r="AC486" s="516"/>
      <c r="AD486" s="516"/>
      <c r="AE486" s="516"/>
      <c r="AF486" s="516"/>
      <c r="AG486" s="516"/>
      <c r="AH486" s="516"/>
      <c r="AI486" s="516"/>
      <c r="AJ486" s="516"/>
      <c r="AK486" s="516"/>
      <c r="AL486" s="516"/>
      <c r="AM486" s="383"/>
      <c r="AO486">
        <f ca="1">IF($A486="S",IF(BM!$I486=0,0,CHOOSE(MATCH(RegimeExecucao,{"Global","Unitário"},0),ROUND(ROUND(BM.MEDAcumulado,15-13*BM!$A$9)/100*BM!$I486,15-13*ORÇAMENTO!$AF$11),ROUND(ROUND(BM.MEDAcumulado,15-13*BM!$A$9)*ROUND(BM!$H486,15-13*ORÇAMENTO!$AF$10),15-13*ORÇAMENTO!$AF$11))),IF($A486=0,0,ROUND(SomaAgrupBM,15-13*ORÇAMENTO!$AF$11)))</f>
        <v>0</v>
      </c>
    </row>
    <row r="487" spans="1:41" x14ac:dyDescent="0.2">
      <c r="A487">
        <f ca="1">ORÇAMENTO!C487</f>
        <v>2</v>
      </c>
      <c r="B487">
        <f ca="1">ORÇAMENTO!D487</f>
        <v>121</v>
      </c>
      <c r="C487" s="116" t="str">
        <f t="shared" ca="1" si="22"/>
        <v>F</v>
      </c>
      <c r="D487" s="119" t="str">
        <f ca="1">ORÇAMENTO!O487</f>
        <v>1.17.</v>
      </c>
      <c r="E487" s="172" t="str">
        <f t="shared" si="23"/>
        <v>INSTALAÇÕES ELÉTRICAS - 220V</v>
      </c>
      <c r="F487" s="173" t="str">
        <f ca="1">IF(RegimeExecucao="Global","",ORÇAMENTO.Unidade)</f>
        <v>-</v>
      </c>
      <c r="G487" s="124">
        <f ca="1">IF(RegimeExecucao="Global","",ORÇAMENTO!T487)</f>
        <v>0</v>
      </c>
      <c r="H487" s="124">
        <f ca="1">IF(RegimeExecucao="Global","",ORÇAMENTO!W487)</f>
        <v>0</v>
      </c>
      <c r="I487" s="127">
        <f ca="1">ORÇAMENTO!X487</f>
        <v>0</v>
      </c>
      <c r="J487" s="378">
        <f ca="1">IF($A487="S",IF(CAIXA.Modo,BM.AFAnterior,BM.MEDAnterior),IF(AND(RegimeExecucao="Global",$I487&gt;0,COUNTIF($AB$13:$AM$13,BM.medicao-1)&gt;0),M487/$I487*100,0))</f>
        <v>0</v>
      </c>
      <c r="K487" s="124">
        <f t="shared" ca="1" si="24"/>
        <v>0</v>
      </c>
      <c r="L487" s="379">
        <f ca="1">IF($A487="S",IF(CAIXA.Modo,BM.AFAcumulado,BM.MEDAcumulado),IF(AND(RegimeExecucao="Global",$I487&gt;0,COUNTIF($AB$13:$AM$13,BM.medicao)&gt;0),O487/$I487*100,0))</f>
        <v>0</v>
      </c>
      <c r="M487" s="380">
        <f ca="1">IF($A487="S",VTOTALBM,IF($A487=0,0,ROUND(SomaAgrupBM,15-13*ORÇAMENTO!$AF$11)))</f>
        <v>0</v>
      </c>
      <c r="N487" s="381">
        <f t="shared" ca="1" si="25"/>
        <v>0</v>
      </c>
      <c r="O487" s="127">
        <f ca="1">IF($A487="S",VTOTALBM,IF($A487=0,0,ROUND(SomaAgrupBM,15-13*ORÇAMENTO!$AF$11)))</f>
        <v>0</v>
      </c>
      <c r="Q487" s="382"/>
      <c r="R487" s="383"/>
      <c r="T487" s="119" t="str">
        <f t="shared" ca="1" si="26"/>
        <v/>
      </c>
      <c r="U487" s="172" t="str">
        <f t="shared" ca="1" si="27"/>
        <v/>
      </c>
      <c r="V487" s="173" t="str">
        <f ca="1">IF(AND($W487&gt;0,RegimeExecucao="Unitário"),$F487,"")</f>
        <v/>
      </c>
      <c r="W487" s="547">
        <f ca="1">IF($Y487&gt;0,CHOOSE(MATCH(RegimeExecucao,{"Unitário","Global"},0),IF($A487="S",$Y487/$X487,""),($Y487/$X487)*100),0)</f>
        <v>0</v>
      </c>
      <c r="X487" s="384" t="str">
        <f ca="1">IF($Y487&gt;0,CHOOSE(MATCH(RegimeExecucao,{"Unitário","Global"},0),IF($A487="S",ROUND($H487,ORÇAMENTO!$AF$10),""),ROUND($I487,ORÇAMENTO!$AF$11)),"")</f>
        <v/>
      </c>
      <c r="Y487" s="384">
        <f t="shared" ca="1" si="28"/>
        <v>0</v>
      </c>
      <c r="Z487" s="572"/>
      <c r="AB487" s="382"/>
      <c r="AC487" s="516"/>
      <c r="AD487" s="516"/>
      <c r="AE487" s="516"/>
      <c r="AF487" s="516"/>
      <c r="AG487" s="516"/>
      <c r="AH487" s="516"/>
      <c r="AI487" s="516"/>
      <c r="AJ487" s="516"/>
      <c r="AK487" s="516"/>
      <c r="AL487" s="516"/>
      <c r="AM487" s="383"/>
      <c r="AO487">
        <f ca="1">IF($A487="S",IF(BM!$I487=0,0,CHOOSE(MATCH(RegimeExecucao,{"Global","Unitário"},0),ROUND(ROUND(BM.MEDAcumulado,15-13*BM!$A$9)/100*BM!$I487,15-13*ORÇAMENTO!$AF$11),ROUND(ROUND(BM.MEDAcumulado,15-13*BM!$A$9)*ROUND(BM!$H487,15-13*ORÇAMENTO!$AF$10),15-13*ORÇAMENTO!$AF$11))),IF($A487=0,0,ROUND(SomaAgrupBM,15-13*ORÇAMENTO!$AF$11)))</f>
        <v>0</v>
      </c>
    </row>
    <row r="488" spans="1:41" x14ac:dyDescent="0.2">
      <c r="A488">
        <f ca="1">ORÇAMENTO!C488</f>
        <v>3</v>
      </c>
      <c r="B488">
        <f ca="1">ORÇAMENTO!D488</f>
        <v>3</v>
      </c>
      <c r="C488" s="116" t="str">
        <f t="shared" ca="1" si="22"/>
        <v>F</v>
      </c>
      <c r="D488" s="119" t="str">
        <f ca="1">ORÇAMENTO!O488</f>
        <v>1.17.1.</v>
      </c>
      <c r="E488" s="172" t="str">
        <f t="shared" ca="1" si="23"/>
        <v>ACESSÓRIOS PERFILADOS PERFURADOS</v>
      </c>
      <c r="F488" s="173" t="str">
        <f ca="1">IF(RegimeExecucao="Global","",ORÇAMENTO.Unidade)</f>
        <v>-</v>
      </c>
      <c r="G488" s="124">
        <f ca="1">IF(RegimeExecucao="Global","",ORÇAMENTO!T488)</f>
        <v>0</v>
      </c>
      <c r="H488" s="124">
        <f ca="1">IF(RegimeExecucao="Global","",ORÇAMENTO!W488)</f>
        <v>0</v>
      </c>
      <c r="I488" s="127">
        <f ca="1">ORÇAMENTO!X488</f>
        <v>0</v>
      </c>
      <c r="J488" s="378">
        <f ca="1">IF($A488="S",IF(CAIXA.Modo,BM.AFAnterior,BM.MEDAnterior),IF(AND(RegimeExecucao="Global",$I488&gt;0,COUNTIF($AB$13:$AM$13,BM.medicao-1)&gt;0),M488/$I488*100,0))</f>
        <v>0</v>
      </c>
      <c r="K488" s="124">
        <f t="shared" ca="1" si="24"/>
        <v>0</v>
      </c>
      <c r="L488" s="379">
        <f ca="1">IF($A488="S",IF(CAIXA.Modo,BM.AFAcumulado,BM.MEDAcumulado),IF(AND(RegimeExecucao="Global",$I488&gt;0,COUNTIF($AB$13:$AM$13,BM.medicao)&gt;0),O488/$I488*100,0))</f>
        <v>0</v>
      </c>
      <c r="M488" s="380">
        <f ca="1">IF($A488="S",VTOTALBM,IF($A488=0,0,ROUND(SomaAgrupBM,15-13*ORÇAMENTO!$AF$11)))</f>
        <v>0</v>
      </c>
      <c r="N488" s="381">
        <f t="shared" ca="1" si="25"/>
        <v>0</v>
      </c>
      <c r="O488" s="127">
        <f ca="1">IF($A488="S",VTOTALBM,IF($A488=0,0,ROUND(SomaAgrupBM,15-13*ORÇAMENTO!$AF$11)))</f>
        <v>0</v>
      </c>
      <c r="Q488" s="382"/>
      <c r="R488" s="383"/>
      <c r="T488" s="119" t="str">
        <f t="shared" ca="1" si="26"/>
        <v/>
      </c>
      <c r="U488" s="172" t="str">
        <f t="shared" ca="1" si="27"/>
        <v/>
      </c>
      <c r="V488" s="173" t="str">
        <f ca="1">IF(AND($W488&gt;0,RegimeExecucao="Unitário"),$F488,"")</f>
        <v/>
      </c>
      <c r="W488" s="547">
        <f ca="1">IF($Y488&gt;0,CHOOSE(MATCH(RegimeExecucao,{"Unitário","Global"},0),IF($A488="S",$Y488/$X488,""),($Y488/$X488)*100),0)</f>
        <v>0</v>
      </c>
      <c r="X488" s="384" t="str">
        <f ca="1">IF($Y488&gt;0,CHOOSE(MATCH(RegimeExecucao,{"Unitário","Global"},0),IF($A488="S",ROUND($H488,ORÇAMENTO!$AF$10),""),ROUND($I488,ORÇAMENTO!$AF$11)),"")</f>
        <v/>
      </c>
      <c r="Y488" s="384">
        <f t="shared" ca="1" si="28"/>
        <v>0</v>
      </c>
      <c r="Z488" s="572"/>
      <c r="AB488" s="382"/>
      <c r="AC488" s="516"/>
      <c r="AD488" s="516"/>
      <c r="AE488" s="516"/>
      <c r="AF488" s="516"/>
      <c r="AG488" s="516"/>
      <c r="AH488" s="516"/>
      <c r="AI488" s="516"/>
      <c r="AJ488" s="516"/>
      <c r="AK488" s="516"/>
      <c r="AL488" s="516"/>
      <c r="AM488" s="383"/>
      <c r="AO488">
        <f ca="1">IF($A488="S",IF(BM!$I488=0,0,CHOOSE(MATCH(RegimeExecucao,{"Global","Unitário"},0),ROUND(ROUND(BM.MEDAcumulado,15-13*BM!$A$9)/100*BM!$I488,15-13*ORÇAMENTO!$AF$11),ROUND(ROUND(BM.MEDAcumulado,15-13*BM!$A$9)*ROUND(BM!$H488,15-13*ORÇAMENTO!$AF$10),15-13*ORÇAMENTO!$AF$11))),IF($A488=0,0,ROUND(SomaAgrupBM,15-13*ORÇAMENTO!$AF$11)))</f>
        <v>0</v>
      </c>
    </row>
    <row r="489" spans="1:41" x14ac:dyDescent="0.2">
      <c r="A489" t="str">
        <f ca="1">ORÇAMENTO!C489</f>
        <v>S</v>
      </c>
      <c r="B489">
        <f ca="1">ORÇAMENTO!D489</f>
        <v>0</v>
      </c>
      <c r="C489" s="116" t="str">
        <f t="shared" ca="1" si="22"/>
        <v/>
      </c>
      <c r="D489" s="119" t="str">
        <f ca="1">ORÇAMENTO!O489</f>
        <v>-</v>
      </c>
      <c r="E489" s="172" t="str">
        <f t="shared" ca="1" si="23"/>
        <v>(abra o arquivo 'Referência 02-2025.xlsm)</v>
      </c>
      <c r="F489" s="173" t="str">
        <f ca="1">IF(RegimeExecucao="Global","",ORÇAMENTO.Unidade)</f>
        <v>-</v>
      </c>
      <c r="G489" s="124">
        <f ca="1">IF(RegimeExecucao="Global","",ORÇAMENTO!T489)</f>
        <v>1</v>
      </c>
      <c r="H489" s="124">
        <f ca="1">IF(RegimeExecucao="Global","",ORÇAMENTO!W489)</f>
        <v>0</v>
      </c>
      <c r="I489" s="127">
        <f ca="1">ORÇAMENTO!X489</f>
        <v>0</v>
      </c>
      <c r="J489" s="378">
        <f ca="1">IF($A489="S",IF(CAIXA.Modo,BM.AFAnterior,BM.MEDAnterior),IF(AND(RegimeExecucao="Global",$I489&gt;0,COUNTIF($AB$13:$AM$13,BM.medicao-1)&gt;0),M489/$I489*100,0))</f>
        <v>0</v>
      </c>
      <c r="K489" s="124">
        <f t="shared" ca="1" si="24"/>
        <v>0</v>
      </c>
      <c r="L489" s="379">
        <f ca="1">IF($A489="S",IF(CAIXA.Modo,BM.AFAcumulado,BM.MEDAcumulado),IF(AND(RegimeExecucao="Global",$I489&gt;0,COUNTIF($AB$13:$AM$13,BM.medicao)&gt;0),O489/$I489*100,0))</f>
        <v>0</v>
      </c>
      <c r="M489" s="380">
        <f ca="1">IF($A489="S",VTOTALBM,IF($A489=0,0,ROUND(SomaAgrupBM,15-13*ORÇAMENTO!$AF$11)))</f>
        <v>0</v>
      </c>
      <c r="N489" s="381">
        <f t="shared" ca="1" si="25"/>
        <v>0</v>
      </c>
      <c r="O489" s="127">
        <f ca="1">IF($A489="S",VTOTALBM,IF($A489=0,0,ROUND(SomaAgrupBM,15-13*ORÇAMENTO!$AF$11)))</f>
        <v>0</v>
      </c>
      <c r="Q489" s="382"/>
      <c r="R489" s="383"/>
      <c r="T489" s="119" t="str">
        <f t="shared" ca="1" si="26"/>
        <v/>
      </c>
      <c r="U489" s="172" t="str">
        <f t="shared" ca="1" si="27"/>
        <v/>
      </c>
      <c r="V489" s="173" t="str">
        <f ca="1">IF(AND($W489&gt;0,RegimeExecucao="Unitário"),$F489,"")</f>
        <v/>
      </c>
      <c r="W489" s="547">
        <f ca="1">IF($Y489&gt;0,CHOOSE(MATCH(RegimeExecucao,{"Unitário","Global"},0),IF($A489="S",$Y489/$X489,""),($Y489/$X489)*100),0)</f>
        <v>0</v>
      </c>
      <c r="X489" s="384" t="str">
        <f ca="1">IF($Y489&gt;0,CHOOSE(MATCH(RegimeExecucao,{"Unitário","Global"},0),IF($A489="S",ROUND($H489,ORÇAMENTO!$AF$10),""),ROUND($I489,ORÇAMENTO!$AF$11)),"")</f>
        <v/>
      </c>
      <c r="Y489" s="384">
        <f t="shared" ca="1" si="28"/>
        <v>0</v>
      </c>
      <c r="Z489" s="572"/>
      <c r="AB489" s="382"/>
      <c r="AC489" s="516"/>
      <c r="AD489" s="516"/>
      <c r="AE489" s="516"/>
      <c r="AF489" s="516"/>
      <c r="AG489" s="516"/>
      <c r="AH489" s="516"/>
      <c r="AI489" s="516"/>
      <c r="AJ489" s="516"/>
      <c r="AK489" s="516"/>
      <c r="AL489" s="516"/>
      <c r="AM489" s="383"/>
      <c r="AO489">
        <f ca="1">IF($A489="S",IF(BM!$I489=0,0,CHOOSE(MATCH(RegimeExecucao,{"Global","Unitário"},0),ROUND(ROUND(BM.MEDAcumulado,15-13*BM!$A$9)/100*BM!$I489,15-13*ORÇAMENTO!$AF$11),ROUND(ROUND(BM.MEDAcumulado,15-13*BM!$A$9)*ROUND(BM!$H489,15-13*ORÇAMENTO!$AF$10),15-13*ORÇAMENTO!$AF$11))),IF($A489=0,0,ROUND(SomaAgrupBM,15-13*ORÇAMENTO!$AF$11)))</f>
        <v>0</v>
      </c>
    </row>
    <row r="490" spans="1:41" ht="25.5" x14ac:dyDescent="0.2">
      <c r="A490" t="str">
        <f ca="1">ORÇAMENTO!C490</f>
        <v>S</v>
      </c>
      <c r="B490">
        <f ca="1">ORÇAMENTO!D490</f>
        <v>0</v>
      </c>
      <c r="C490" s="116" t="str">
        <f t="shared" ca="1" si="22"/>
        <v/>
      </c>
      <c r="D490" s="119" t="str">
        <f ca="1">ORÇAMENTO!O490</f>
        <v>-</v>
      </c>
      <c r="E490" s="172" t="str">
        <f t="shared" ca="1" si="23"/>
        <v>(abra o arquivo 'Referência 02-2025.xlsm)</v>
      </c>
      <c r="F490" s="173" t="str">
        <f ca="1">IF(RegimeExecucao="Global","",ORÇAMENTO.Unidade)</f>
        <v>-</v>
      </c>
      <c r="G490" s="124">
        <f ca="1">IF(RegimeExecucao="Global","",ORÇAMENTO!T490)</f>
        <v>1</v>
      </c>
      <c r="H490" s="124">
        <f ca="1">IF(RegimeExecucao="Global","",ORÇAMENTO!W490)</f>
        <v>0</v>
      </c>
      <c r="I490" s="127">
        <f ca="1">ORÇAMENTO!X490</f>
        <v>0</v>
      </c>
      <c r="J490" s="378">
        <f ca="1">IF($A490="S",IF(CAIXA.Modo,BM.AFAnterior,BM.MEDAnterior),IF(AND(RegimeExecucao="Global",$I490&gt;0,COUNTIF($AB$13:$AM$13,BM.medicao-1)&gt;0),M490/$I490*100,0))</f>
        <v>0</v>
      </c>
      <c r="K490" s="124">
        <f t="shared" ca="1" si="24"/>
        <v>0</v>
      </c>
      <c r="L490" s="379">
        <f ca="1">IF($A490="S",IF(CAIXA.Modo,BM.AFAcumulado,BM.MEDAcumulado),IF(AND(RegimeExecucao="Global",$I490&gt;0,COUNTIF($AB$13:$AM$13,BM.medicao)&gt;0),O490/$I490*100,0))</f>
        <v>0</v>
      </c>
      <c r="M490" s="380">
        <f ca="1">IF($A490="S",VTOTALBM,IF($A490=0,0,ROUND(SomaAgrupBM,15-13*ORÇAMENTO!$AF$11)))</f>
        <v>0</v>
      </c>
      <c r="N490" s="381">
        <f t="shared" ca="1" si="25"/>
        <v>0</v>
      </c>
      <c r="O490" s="127">
        <f ca="1">IF($A490="S",VTOTALBM,IF($A490=0,0,ROUND(SomaAgrupBM,15-13*ORÇAMENTO!$AF$11)))</f>
        <v>0</v>
      </c>
      <c r="Q490" s="382"/>
      <c r="R490" s="383"/>
      <c r="T490" s="119" t="str">
        <f t="shared" ca="1" si="26"/>
        <v/>
      </c>
      <c r="U490" s="172" t="str">
        <f t="shared" ca="1" si="27"/>
        <v/>
      </c>
      <c r="V490" s="173" t="str">
        <f ca="1">IF(AND($W490&gt;0,RegimeExecucao="Unitário"),$F490,"")</f>
        <v/>
      </c>
      <c r="W490" s="547">
        <f ca="1">IF($Y490&gt;0,CHOOSE(MATCH(RegimeExecucao,{"Unitário","Global"},0),IF($A490="S",$Y490/$X490,""),($Y490/$X490)*100),0)</f>
        <v>0</v>
      </c>
      <c r="X490" s="384" t="str">
        <f ca="1">IF($Y490&gt;0,CHOOSE(MATCH(RegimeExecucao,{"Unitário","Global"},0),IF($A490="S",ROUND($H490,ORÇAMENTO!$AF$10),""),ROUND($I490,ORÇAMENTO!$AF$11)),"")</f>
        <v/>
      </c>
      <c r="Y490" s="384">
        <f t="shared" ca="1" si="28"/>
        <v>0</v>
      </c>
      <c r="Z490" s="572"/>
      <c r="AB490" s="382"/>
      <c r="AC490" s="516"/>
      <c r="AD490" s="516"/>
      <c r="AE490" s="516"/>
      <c r="AF490" s="516"/>
      <c r="AG490" s="516"/>
      <c r="AH490" s="516"/>
      <c r="AI490" s="516"/>
      <c r="AJ490" s="516"/>
      <c r="AK490" s="516"/>
      <c r="AL490" s="516"/>
      <c r="AM490" s="383"/>
      <c r="AO490">
        <f ca="1">IF($A490="S",IF(BM!$I490=0,0,CHOOSE(MATCH(RegimeExecucao,{"Global","Unitário"},0),ROUND(ROUND(BM.MEDAcumulado,15-13*BM!$A$9)/100*BM!$I490,15-13*ORÇAMENTO!$AF$11),ROUND(ROUND(BM.MEDAcumulado,15-13*BM!$A$9)*ROUND(BM!$H490,15-13*ORÇAMENTO!$AF$10),15-13*ORÇAMENTO!$AF$11))),IF($A490=0,0,ROUND(SomaAgrupBM,15-13*ORÇAMENTO!$AF$11)))</f>
        <v>0</v>
      </c>
    </row>
    <row r="491" spans="1:41" x14ac:dyDescent="0.2">
      <c r="A491">
        <f ca="1">ORÇAMENTO!C491</f>
        <v>3</v>
      </c>
      <c r="B491">
        <f ca="1">ORÇAMENTO!D491</f>
        <v>9</v>
      </c>
      <c r="C491" s="116" t="str">
        <f t="shared" ca="1" si="22"/>
        <v>F</v>
      </c>
      <c r="D491" s="119" t="str">
        <f ca="1">ORÇAMENTO!O491</f>
        <v>1.17.2.</v>
      </c>
      <c r="E491" s="172" t="str">
        <f t="shared" ca="1" si="23"/>
        <v>ACESSÓRIOS PARA ELETRODUTOS</v>
      </c>
      <c r="F491" s="173" t="str">
        <f ca="1">IF(RegimeExecucao="Global","",ORÇAMENTO.Unidade)</f>
        <v>-</v>
      </c>
      <c r="G491" s="124">
        <f ca="1">IF(RegimeExecucao="Global","",ORÇAMENTO!T491)</f>
        <v>0</v>
      </c>
      <c r="H491" s="124">
        <f ca="1">IF(RegimeExecucao="Global","",ORÇAMENTO!W491)</f>
        <v>0</v>
      </c>
      <c r="I491" s="127">
        <f ca="1">ORÇAMENTO!X491</f>
        <v>0</v>
      </c>
      <c r="J491" s="378">
        <f ca="1">IF($A491="S",IF(CAIXA.Modo,BM.AFAnterior,BM.MEDAnterior),IF(AND(RegimeExecucao="Global",$I491&gt;0,COUNTIF($AB$13:$AM$13,BM.medicao-1)&gt;0),M491/$I491*100,0))</f>
        <v>0</v>
      </c>
      <c r="K491" s="124">
        <f t="shared" ca="1" si="24"/>
        <v>0</v>
      </c>
      <c r="L491" s="379">
        <f ca="1">IF($A491="S",IF(CAIXA.Modo,BM.AFAcumulado,BM.MEDAcumulado),IF(AND(RegimeExecucao="Global",$I491&gt;0,COUNTIF($AB$13:$AM$13,BM.medicao)&gt;0),O491/$I491*100,0))</f>
        <v>0</v>
      </c>
      <c r="M491" s="380">
        <f ca="1">IF($A491="S",VTOTALBM,IF($A491=0,0,ROUND(SomaAgrupBM,15-13*ORÇAMENTO!$AF$11)))</f>
        <v>0</v>
      </c>
      <c r="N491" s="381">
        <f t="shared" ca="1" si="25"/>
        <v>0</v>
      </c>
      <c r="O491" s="127">
        <f ca="1">IF($A491="S",VTOTALBM,IF($A491=0,0,ROUND(SomaAgrupBM,15-13*ORÇAMENTO!$AF$11)))</f>
        <v>0</v>
      </c>
      <c r="Q491" s="382"/>
      <c r="R491" s="383"/>
      <c r="T491" s="119" t="str">
        <f t="shared" ca="1" si="26"/>
        <v/>
      </c>
      <c r="U491" s="172" t="str">
        <f t="shared" ca="1" si="27"/>
        <v/>
      </c>
      <c r="V491" s="173" t="str">
        <f ca="1">IF(AND($W491&gt;0,RegimeExecucao="Unitário"),$F491,"")</f>
        <v/>
      </c>
      <c r="W491" s="547">
        <f ca="1">IF($Y491&gt;0,CHOOSE(MATCH(RegimeExecucao,{"Unitário","Global"},0),IF($A491="S",$Y491/$X491,""),($Y491/$X491)*100),0)</f>
        <v>0</v>
      </c>
      <c r="X491" s="384" t="str">
        <f ca="1">IF($Y491&gt;0,CHOOSE(MATCH(RegimeExecucao,{"Unitário","Global"},0),IF($A491="S",ROUND($H491,ORÇAMENTO!$AF$10),""),ROUND($I491,ORÇAMENTO!$AF$11)),"")</f>
        <v/>
      </c>
      <c r="Y491" s="384">
        <f t="shared" ca="1" si="28"/>
        <v>0</v>
      </c>
      <c r="Z491" s="572"/>
      <c r="AB491" s="382"/>
      <c r="AC491" s="516"/>
      <c r="AD491" s="516"/>
      <c r="AE491" s="516"/>
      <c r="AF491" s="516"/>
      <c r="AG491" s="516"/>
      <c r="AH491" s="516"/>
      <c r="AI491" s="516"/>
      <c r="AJ491" s="516"/>
      <c r="AK491" s="516"/>
      <c r="AL491" s="516"/>
      <c r="AM491" s="383"/>
      <c r="AO491">
        <f ca="1">IF($A491="S",IF(BM!$I491=0,0,CHOOSE(MATCH(RegimeExecucao,{"Global","Unitário"},0),ROUND(ROUND(BM.MEDAcumulado,15-13*BM!$A$9)/100*BM!$I491,15-13*ORÇAMENTO!$AF$11),ROUND(ROUND(BM.MEDAcumulado,15-13*BM!$A$9)*ROUND(BM!$H491,15-13*ORÇAMENTO!$AF$10),15-13*ORÇAMENTO!$AF$11))),IF($A491=0,0,ROUND(SomaAgrupBM,15-13*ORÇAMENTO!$AF$11)))</f>
        <v>0</v>
      </c>
    </row>
    <row r="492" spans="1:41" ht="25.5" x14ac:dyDescent="0.2">
      <c r="A492" t="str">
        <f ca="1">ORÇAMENTO!C492</f>
        <v>S</v>
      </c>
      <c r="B492">
        <f ca="1">ORÇAMENTO!D492</f>
        <v>0</v>
      </c>
      <c r="C492" s="116" t="str">
        <f t="shared" ref="C492:C494" ca="1" si="50">IF(OR($I492&gt;0,$A492=1,$A492=2,$A492=3,$A492=4),"F","")</f>
        <v/>
      </c>
      <c r="D492" s="119" t="str">
        <f ca="1">ORÇAMENTO!O492</f>
        <v>-</v>
      </c>
      <c r="E492" s="172" t="str">
        <f ca="1">ORÇAMENTO.Descricao</f>
        <v>(abra o arquivo 'Referência 02-2025.xlsm)</v>
      </c>
      <c r="F492" s="173" t="str">
        <f ca="1">IF(RegimeExecucao="Global","",ORÇAMENTO.Unidade)</f>
        <v>-</v>
      </c>
      <c r="G492" s="124">
        <f ca="1">IF(RegimeExecucao="Global","",ORÇAMENTO!T492)</f>
        <v>4</v>
      </c>
      <c r="H492" s="124">
        <f ca="1">IF(RegimeExecucao="Global","",ORÇAMENTO!W492)</f>
        <v>0</v>
      </c>
      <c r="I492" s="127">
        <f ca="1">ORÇAMENTO!X492</f>
        <v>0</v>
      </c>
      <c r="J492" s="378">
        <f ca="1">IF($A492="S",IF(CAIXA.Modo,BM.AFAnterior,BM.MEDAnterior),IF(AND(RegimeExecucao="Global",$I492&gt;0,COUNTIF($AB$13:$AM$13,BM.medicao-1)&gt;0),M492/$I492*100,0))</f>
        <v>0</v>
      </c>
      <c r="K492" s="124">
        <f t="shared" ref="K492:K494" ca="1" si="51">L492-J492</f>
        <v>0</v>
      </c>
      <c r="L492" s="379">
        <f ca="1">IF($A492="S",IF(CAIXA.Modo,BM.AFAcumulado,BM.MEDAcumulado),IF(AND(RegimeExecucao="Global",$I492&gt;0,COUNTIF($AB$13:$AM$13,BM.medicao)&gt;0),O492/$I492*100,0))</f>
        <v>0</v>
      </c>
      <c r="M492" s="380">
        <f ca="1">IF($A492="S",VTOTALBM,IF($A492=0,0,ROUND(SomaAgrupBM,15-13*ORÇAMENTO!$AF$11)))</f>
        <v>0</v>
      </c>
      <c r="N492" s="381">
        <f t="shared" ref="N492:N494" ca="1" si="52">O492-M492</f>
        <v>0</v>
      </c>
      <c r="O492" s="127">
        <f ca="1">IF($A492="S",VTOTALBM,IF($A492=0,0,ROUND(SomaAgrupBM,15-13*ORÇAMENTO!$AF$11)))</f>
        <v>0</v>
      </c>
      <c r="Q492" s="382"/>
      <c r="R492" s="383"/>
      <c r="T492" s="119" t="str">
        <f t="shared" ref="T492:T494" ca="1" si="53">IF($W492&gt;0,$D492,"")</f>
        <v/>
      </c>
      <c r="U492" s="172" t="str">
        <f t="shared" ref="U492:U494" ca="1" si="54">IF($W492&gt;0,$E492,"")</f>
        <v/>
      </c>
      <c r="V492" s="173" t="str">
        <f ca="1">IF(AND($W492&gt;0,RegimeExecucao="Unitário"),$F492,"")</f>
        <v/>
      </c>
      <c r="W492" s="547">
        <f ca="1">IF($Y492&gt;0,CHOOSE(MATCH(RegimeExecucao,{"Unitário","Global"},0),IF($A492="S",$Y492/$X492,""),($Y492/$X492)*100),0)</f>
        <v>0</v>
      </c>
      <c r="X492" s="384" t="str">
        <f ca="1">IF($Y492&gt;0,CHOOSE(MATCH(RegimeExecucao,{"Unitário","Global"},0),IF($A492="S",ROUND($H492,ORÇAMENTO!$AF$10),""),ROUND($I492,ORÇAMENTO!$AF$11)),"")</f>
        <v/>
      </c>
      <c r="Y492" s="384">
        <f t="shared" ref="Y492:Y494" ca="1" si="55">AO492-O492</f>
        <v>0</v>
      </c>
      <c r="Z492" s="572"/>
      <c r="AB492" s="382"/>
      <c r="AC492" s="516"/>
      <c r="AD492" s="516"/>
      <c r="AE492" s="516"/>
      <c r="AF492" s="516"/>
      <c r="AG492" s="516"/>
      <c r="AH492" s="516"/>
      <c r="AI492" s="516"/>
      <c r="AJ492" s="516"/>
      <c r="AK492" s="516"/>
      <c r="AL492" s="516"/>
      <c r="AM492" s="383"/>
      <c r="AO492">
        <f ca="1">IF($A492="S",IF(BM!$I492=0,0,CHOOSE(MATCH(RegimeExecucao,{"Global","Unitário"},0),ROUND(ROUND(BM.MEDAcumulado,15-13*BM!$A$9)/100*BM!$I492,15-13*ORÇAMENTO!$AF$11),ROUND(ROUND(BM.MEDAcumulado,15-13*BM!$A$9)*ROUND(BM!$H492,15-13*ORÇAMENTO!$AF$10),15-13*ORÇAMENTO!$AF$11))),IF($A492=0,0,ROUND(SomaAgrupBM,15-13*ORÇAMENTO!$AF$11)))</f>
        <v>0</v>
      </c>
    </row>
    <row r="493" spans="1:41" x14ac:dyDescent="0.2">
      <c r="A493" t="str">
        <f ca="1">ORÇAMENTO!C493</f>
        <v>S</v>
      </c>
      <c r="B493">
        <f ca="1">ORÇAMENTO!D493</f>
        <v>0</v>
      </c>
      <c r="C493" s="116" t="str">
        <f t="shared" ca="1" si="50"/>
        <v/>
      </c>
      <c r="D493" s="119" t="str">
        <f ca="1">ORÇAMENTO!O493</f>
        <v>-</v>
      </c>
      <c r="E493" s="172" t="str">
        <f ca="1">ORÇAMENTO.Descricao</f>
        <v>(abra o arquivo 'Referência 02-2025.xlsm)</v>
      </c>
      <c r="F493" s="173" t="str">
        <f ca="1">IF(RegimeExecucao="Global","",ORÇAMENTO.Unidade)</f>
        <v>-</v>
      </c>
      <c r="G493" s="124">
        <f ca="1">IF(RegimeExecucao="Global","",ORÇAMENTO!T493)</f>
        <v>4</v>
      </c>
      <c r="H493" s="124">
        <f ca="1">IF(RegimeExecucao="Global","",ORÇAMENTO!W493)</f>
        <v>0</v>
      </c>
      <c r="I493" s="127">
        <f ca="1">ORÇAMENTO!X493</f>
        <v>0</v>
      </c>
      <c r="J493" s="378">
        <f ca="1">IF($A493="S",IF(CAIXA.Modo,BM.AFAnterior,BM.MEDAnterior),IF(AND(RegimeExecucao="Global",$I493&gt;0,COUNTIF($AB$13:$AM$13,BM.medicao-1)&gt;0),M493/$I493*100,0))</f>
        <v>0</v>
      </c>
      <c r="K493" s="124">
        <f t="shared" ca="1" si="51"/>
        <v>0</v>
      </c>
      <c r="L493" s="379">
        <f ca="1">IF($A493="S",IF(CAIXA.Modo,BM.AFAcumulado,BM.MEDAcumulado),IF(AND(RegimeExecucao="Global",$I493&gt;0,COUNTIF($AB$13:$AM$13,BM.medicao)&gt;0),O493/$I493*100,0))</f>
        <v>0</v>
      </c>
      <c r="M493" s="380">
        <f ca="1">IF($A493="S",VTOTALBM,IF($A493=0,0,ROUND(SomaAgrupBM,15-13*ORÇAMENTO!$AF$11)))</f>
        <v>0</v>
      </c>
      <c r="N493" s="381">
        <f t="shared" ca="1" si="52"/>
        <v>0</v>
      </c>
      <c r="O493" s="127">
        <f ca="1">IF($A493="S",VTOTALBM,IF($A493=0,0,ROUND(SomaAgrupBM,15-13*ORÇAMENTO!$AF$11)))</f>
        <v>0</v>
      </c>
      <c r="Q493" s="382"/>
      <c r="R493" s="383"/>
      <c r="T493" s="119" t="str">
        <f t="shared" ca="1" si="53"/>
        <v/>
      </c>
      <c r="U493" s="172" t="str">
        <f t="shared" ca="1" si="54"/>
        <v/>
      </c>
      <c r="V493" s="173" t="str">
        <f ca="1">IF(AND($W493&gt;0,RegimeExecucao="Unitário"),$F493,"")</f>
        <v/>
      </c>
      <c r="W493" s="547">
        <f ca="1">IF($Y493&gt;0,CHOOSE(MATCH(RegimeExecucao,{"Unitário","Global"},0),IF($A493="S",$Y493/$X493,""),($Y493/$X493)*100),0)</f>
        <v>0</v>
      </c>
      <c r="X493" s="384" t="str">
        <f ca="1">IF($Y493&gt;0,CHOOSE(MATCH(RegimeExecucao,{"Unitário","Global"},0),IF($A493="S",ROUND($H493,ORÇAMENTO!$AF$10),""),ROUND($I493,ORÇAMENTO!$AF$11)),"")</f>
        <v/>
      </c>
      <c r="Y493" s="384">
        <f t="shared" ca="1" si="55"/>
        <v>0</v>
      </c>
      <c r="Z493" s="572"/>
      <c r="AB493" s="382"/>
      <c r="AC493" s="516"/>
      <c r="AD493" s="516"/>
      <c r="AE493" s="516"/>
      <c r="AF493" s="516"/>
      <c r="AG493" s="516"/>
      <c r="AH493" s="516"/>
      <c r="AI493" s="516"/>
      <c r="AJ493" s="516"/>
      <c r="AK493" s="516"/>
      <c r="AL493" s="516"/>
      <c r="AM493" s="383"/>
      <c r="AO493">
        <f ca="1">IF($A493="S",IF(BM!$I493=0,0,CHOOSE(MATCH(RegimeExecucao,{"Global","Unitário"},0),ROUND(ROUND(BM.MEDAcumulado,15-13*BM!$A$9)/100*BM!$I493,15-13*ORÇAMENTO!$AF$11),ROUND(ROUND(BM.MEDAcumulado,15-13*BM!$A$9)*ROUND(BM!$H493,15-13*ORÇAMENTO!$AF$10),15-13*ORÇAMENTO!$AF$11))),IF($A493=0,0,ROUND(SomaAgrupBM,15-13*ORÇAMENTO!$AF$11)))</f>
        <v>0</v>
      </c>
    </row>
    <row r="494" spans="1:41" ht="38.25" x14ac:dyDescent="0.2">
      <c r="A494" t="str">
        <f ca="1">ORÇAMENTO!C494</f>
        <v>S</v>
      </c>
      <c r="B494">
        <f ca="1">ORÇAMENTO!D494</f>
        <v>0</v>
      </c>
      <c r="C494" s="116" t="str">
        <f t="shared" ca="1" si="50"/>
        <v/>
      </c>
      <c r="D494" s="119" t="str">
        <f ca="1">ORÇAMENTO!O494</f>
        <v>-</v>
      </c>
      <c r="E494" s="172" t="str">
        <f ca="1">ORÇAMENTO.Descricao</f>
        <v>(abra o arquivo 'Referência 02-2025.xlsm)</v>
      </c>
      <c r="F494" s="173" t="str">
        <f ca="1">IF(RegimeExecucao="Global","",ORÇAMENTO.Unidade)</f>
        <v>-</v>
      </c>
      <c r="G494" s="124">
        <f ca="1">IF(RegimeExecucao="Global","",ORÇAMENTO!T494)</f>
        <v>242</v>
      </c>
      <c r="H494" s="124">
        <f ca="1">IF(RegimeExecucao="Global","",ORÇAMENTO!W494)</f>
        <v>0</v>
      </c>
      <c r="I494" s="127">
        <f ca="1">ORÇAMENTO!X494</f>
        <v>0</v>
      </c>
      <c r="J494" s="378">
        <f ca="1">IF($A494="S",IF(CAIXA.Modo,BM.AFAnterior,BM.MEDAnterior),IF(AND(RegimeExecucao="Global",$I494&gt;0,COUNTIF($AB$13:$AM$13,BM.medicao-1)&gt;0),M494/$I494*100,0))</f>
        <v>0</v>
      </c>
      <c r="K494" s="124">
        <f t="shared" ca="1" si="51"/>
        <v>0</v>
      </c>
      <c r="L494" s="379">
        <f ca="1">IF($A494="S",IF(CAIXA.Modo,BM.AFAcumulado,BM.MEDAcumulado),IF(AND(RegimeExecucao="Global",$I494&gt;0,COUNTIF($AB$13:$AM$13,BM.medicao)&gt;0),O494/$I494*100,0))</f>
        <v>0</v>
      </c>
      <c r="M494" s="380">
        <f ca="1">IF($A494="S",VTOTALBM,IF($A494=0,0,ROUND(SomaAgrupBM,15-13*ORÇAMENTO!$AF$11)))</f>
        <v>0</v>
      </c>
      <c r="N494" s="381">
        <f t="shared" ca="1" si="52"/>
        <v>0</v>
      </c>
      <c r="O494" s="127">
        <f ca="1">IF($A494="S",VTOTALBM,IF($A494=0,0,ROUND(SomaAgrupBM,15-13*ORÇAMENTO!$AF$11)))</f>
        <v>0</v>
      </c>
      <c r="Q494" s="382"/>
      <c r="R494" s="383"/>
      <c r="T494" s="119" t="str">
        <f t="shared" ca="1" si="53"/>
        <v/>
      </c>
      <c r="U494" s="172" t="str">
        <f t="shared" ca="1" si="54"/>
        <v/>
      </c>
      <c r="V494" s="173" t="str">
        <f ca="1">IF(AND($W494&gt;0,RegimeExecucao="Unitário"),$F494,"")</f>
        <v/>
      </c>
      <c r="W494" s="547">
        <f ca="1">IF($Y494&gt;0,CHOOSE(MATCH(RegimeExecucao,{"Unitário","Global"},0),IF($A494="S",$Y494/$X494,""),($Y494/$X494)*100),0)</f>
        <v>0</v>
      </c>
      <c r="X494" s="384" t="str">
        <f ca="1">IF($Y494&gt;0,CHOOSE(MATCH(RegimeExecucao,{"Unitário","Global"},0),IF($A494="S",ROUND($H494,ORÇAMENTO!$AF$10),""),ROUND($I494,ORÇAMENTO!$AF$11)),"")</f>
        <v/>
      </c>
      <c r="Y494" s="384">
        <f t="shared" ca="1" si="55"/>
        <v>0</v>
      </c>
      <c r="Z494" s="572"/>
      <c r="AB494" s="382"/>
      <c r="AC494" s="516"/>
      <c r="AD494" s="516"/>
      <c r="AE494" s="516"/>
      <c r="AF494" s="516"/>
      <c r="AG494" s="516"/>
      <c r="AH494" s="516"/>
      <c r="AI494" s="516"/>
      <c r="AJ494" s="516"/>
      <c r="AK494" s="516"/>
      <c r="AL494" s="516"/>
      <c r="AM494" s="383"/>
      <c r="AO494">
        <f ca="1">IF($A494="S",IF(BM!$I494=0,0,CHOOSE(MATCH(RegimeExecucao,{"Global","Unitário"},0),ROUND(ROUND(BM.MEDAcumulado,15-13*BM!$A$9)/100*BM!$I494,15-13*ORÇAMENTO!$AF$11),ROUND(ROUND(BM.MEDAcumulado,15-13*BM!$A$9)*ROUND(BM!$H494,15-13*ORÇAMENTO!$AF$10),15-13*ORÇAMENTO!$AF$11))),IF($A494=0,0,ROUND(SomaAgrupBM,15-13*ORÇAMENTO!$AF$11)))</f>
        <v>0</v>
      </c>
    </row>
    <row r="495" spans="1:41" ht="25.5" x14ac:dyDescent="0.2">
      <c r="A495" t="str">
        <f ca="1">ORÇAMENTO!C495</f>
        <v>S</v>
      </c>
      <c r="B495">
        <f ca="1">ORÇAMENTO!D495</f>
        <v>0</v>
      </c>
      <c r="C495" s="116" t="str">
        <f t="shared" ca="1" si="22"/>
        <v/>
      </c>
      <c r="D495" s="119" t="str">
        <f ca="1">ORÇAMENTO!O495</f>
        <v>-</v>
      </c>
      <c r="E495" s="172" t="str">
        <f t="shared" ca="1" si="23"/>
        <v>(abra o arquivo 'Referência 02-2025.xlsm)</v>
      </c>
      <c r="F495" s="173" t="str">
        <f ca="1">IF(RegimeExecucao="Global","",ORÇAMENTO.Unidade)</f>
        <v>-</v>
      </c>
      <c r="G495" s="124">
        <f ca="1">IF(RegimeExecucao="Global","",ORÇAMENTO!T495)</f>
        <v>2</v>
      </c>
      <c r="H495" s="124">
        <f ca="1">IF(RegimeExecucao="Global","",ORÇAMENTO!W495)</f>
        <v>0</v>
      </c>
      <c r="I495" s="127">
        <f ca="1">ORÇAMENTO!X495</f>
        <v>0</v>
      </c>
      <c r="J495" s="378">
        <f ca="1">IF($A495="S",IF(CAIXA.Modo,BM.AFAnterior,BM.MEDAnterior),IF(AND(RegimeExecucao="Global",$I495&gt;0,COUNTIF($AB$13:$AM$13,BM.medicao-1)&gt;0),M495/$I495*100,0))</f>
        <v>0</v>
      </c>
      <c r="K495" s="124">
        <f t="shared" ca="1" si="24"/>
        <v>0</v>
      </c>
      <c r="L495" s="379">
        <f ca="1">IF($A495="S",IF(CAIXA.Modo,BM.AFAcumulado,BM.MEDAcumulado),IF(AND(RegimeExecucao="Global",$I495&gt;0,COUNTIF($AB$13:$AM$13,BM.medicao)&gt;0),O495/$I495*100,0))</f>
        <v>0</v>
      </c>
      <c r="M495" s="380">
        <f ca="1">IF($A495="S",VTOTALBM,IF($A495=0,0,ROUND(SomaAgrupBM,15-13*ORÇAMENTO!$AF$11)))</f>
        <v>0</v>
      </c>
      <c r="N495" s="381">
        <f t="shared" ca="1" si="25"/>
        <v>0</v>
      </c>
      <c r="O495" s="127">
        <f ca="1">IF($A495="S",VTOTALBM,IF($A495=0,0,ROUND(SomaAgrupBM,15-13*ORÇAMENTO!$AF$11)))</f>
        <v>0</v>
      </c>
      <c r="Q495" s="382"/>
      <c r="R495" s="383"/>
      <c r="T495" s="119" t="str">
        <f t="shared" ca="1" si="26"/>
        <v/>
      </c>
      <c r="U495" s="172" t="str">
        <f t="shared" ca="1" si="27"/>
        <v/>
      </c>
      <c r="V495" s="173" t="str">
        <f ca="1">IF(AND($W495&gt;0,RegimeExecucao="Unitário"),$F495,"")</f>
        <v/>
      </c>
      <c r="W495" s="547">
        <f ca="1">IF($Y495&gt;0,CHOOSE(MATCH(RegimeExecucao,{"Unitário","Global"},0),IF($A495="S",$Y495/$X495,""),($Y495/$X495)*100),0)</f>
        <v>0</v>
      </c>
      <c r="X495" s="384" t="str">
        <f ca="1">IF($Y495&gt;0,CHOOSE(MATCH(RegimeExecucao,{"Unitário","Global"},0),IF($A495="S",ROUND($H495,ORÇAMENTO!$AF$10),""),ROUND($I495,ORÇAMENTO!$AF$11)),"")</f>
        <v/>
      </c>
      <c r="Y495" s="384">
        <f t="shared" ca="1" si="28"/>
        <v>0</v>
      </c>
      <c r="Z495" s="572"/>
      <c r="AB495" s="382"/>
      <c r="AC495" s="516"/>
      <c r="AD495" s="516"/>
      <c r="AE495" s="516"/>
      <c r="AF495" s="516"/>
      <c r="AG495" s="516"/>
      <c r="AH495" s="516"/>
      <c r="AI495" s="516"/>
      <c r="AJ495" s="516"/>
      <c r="AK495" s="516"/>
      <c r="AL495" s="516"/>
      <c r="AM495" s="383"/>
      <c r="AO495">
        <f ca="1">IF($A495="S",IF(BM!$I495=0,0,CHOOSE(MATCH(RegimeExecucao,{"Global","Unitário"},0),ROUND(ROUND(BM.MEDAcumulado,15-13*BM!$A$9)/100*BM!$I495,15-13*ORÇAMENTO!$AF$11),ROUND(ROUND(BM.MEDAcumulado,15-13*BM!$A$9)*ROUND(BM!$H495,15-13*ORÇAMENTO!$AF$10),15-13*ORÇAMENTO!$AF$11))),IF($A495=0,0,ROUND(SomaAgrupBM,15-13*ORÇAMENTO!$AF$11)))</f>
        <v>0</v>
      </c>
    </row>
    <row r="496" spans="1:41" ht="38.25" x14ac:dyDescent="0.2">
      <c r="A496" t="str">
        <f ca="1">ORÇAMENTO!C496</f>
        <v>S</v>
      </c>
      <c r="B496">
        <f ca="1">ORÇAMENTO!D496</f>
        <v>0</v>
      </c>
      <c r="C496" s="116" t="str">
        <f t="shared" ca="1" si="22"/>
        <v/>
      </c>
      <c r="D496" s="119" t="str">
        <f ca="1">ORÇAMENTO!O496</f>
        <v>-</v>
      </c>
      <c r="E496" s="172" t="str">
        <f t="shared" ca="1" si="23"/>
        <v>(abra o arquivo 'Referência 02-2025.xlsm)</v>
      </c>
      <c r="F496" s="173" t="str">
        <f ca="1">IF(RegimeExecucao="Global","",ORÇAMENTO.Unidade)</f>
        <v>-</v>
      </c>
      <c r="G496" s="124">
        <f ca="1">IF(RegimeExecucao="Global","",ORÇAMENTO!T496)</f>
        <v>1</v>
      </c>
      <c r="H496" s="124">
        <f ca="1">IF(RegimeExecucao="Global","",ORÇAMENTO!W496)</f>
        <v>0</v>
      </c>
      <c r="I496" s="127">
        <f ca="1">ORÇAMENTO!X496</f>
        <v>0</v>
      </c>
      <c r="J496" s="378">
        <f ca="1">IF($A496="S",IF(CAIXA.Modo,BM.AFAnterior,BM.MEDAnterior),IF(AND(RegimeExecucao="Global",$I496&gt;0,COUNTIF($AB$13:$AM$13,BM.medicao-1)&gt;0),M496/$I496*100,0))</f>
        <v>0</v>
      </c>
      <c r="K496" s="124">
        <f t="shared" ca="1" si="24"/>
        <v>0</v>
      </c>
      <c r="L496" s="379">
        <f ca="1">IF($A496="S",IF(CAIXA.Modo,BM.AFAcumulado,BM.MEDAcumulado),IF(AND(RegimeExecucao="Global",$I496&gt;0,COUNTIF($AB$13:$AM$13,BM.medicao)&gt;0),O496/$I496*100,0))</f>
        <v>0</v>
      </c>
      <c r="M496" s="380">
        <f ca="1">IF($A496="S",VTOTALBM,IF($A496=0,0,ROUND(SomaAgrupBM,15-13*ORÇAMENTO!$AF$11)))</f>
        <v>0</v>
      </c>
      <c r="N496" s="381">
        <f t="shared" ca="1" si="25"/>
        <v>0</v>
      </c>
      <c r="O496" s="127">
        <f ca="1">IF($A496="S",VTOTALBM,IF($A496=0,0,ROUND(SomaAgrupBM,15-13*ORÇAMENTO!$AF$11)))</f>
        <v>0</v>
      </c>
      <c r="Q496" s="382"/>
      <c r="R496" s="383"/>
      <c r="T496" s="119" t="str">
        <f t="shared" ca="1" si="26"/>
        <v/>
      </c>
      <c r="U496" s="172" t="str">
        <f t="shared" ca="1" si="27"/>
        <v/>
      </c>
      <c r="V496" s="173" t="str">
        <f ca="1">IF(AND($W496&gt;0,RegimeExecucao="Unitário"),$F496,"")</f>
        <v/>
      </c>
      <c r="W496" s="547">
        <f ca="1">IF($Y496&gt;0,CHOOSE(MATCH(RegimeExecucao,{"Unitário","Global"},0),IF($A496="S",$Y496/$X496,""),($Y496/$X496)*100),0)</f>
        <v>0</v>
      </c>
      <c r="X496" s="384" t="str">
        <f ca="1">IF($Y496&gt;0,CHOOSE(MATCH(RegimeExecucao,{"Unitário","Global"},0),IF($A496="S",ROUND($H496,ORÇAMENTO!$AF$10),""),ROUND($I496,ORÇAMENTO!$AF$11)),"")</f>
        <v/>
      </c>
      <c r="Y496" s="384">
        <f t="shared" ca="1" si="28"/>
        <v>0</v>
      </c>
      <c r="Z496" s="572"/>
      <c r="AB496" s="382"/>
      <c r="AC496" s="516"/>
      <c r="AD496" s="516"/>
      <c r="AE496" s="516"/>
      <c r="AF496" s="516"/>
      <c r="AG496" s="516"/>
      <c r="AH496" s="516"/>
      <c r="AI496" s="516"/>
      <c r="AJ496" s="516"/>
      <c r="AK496" s="516"/>
      <c r="AL496" s="516"/>
      <c r="AM496" s="383"/>
      <c r="AO496">
        <f ca="1">IF($A496="S",IF(BM!$I496=0,0,CHOOSE(MATCH(RegimeExecucao,{"Global","Unitário"},0),ROUND(ROUND(BM.MEDAcumulado,15-13*BM!$A$9)/100*BM!$I496,15-13*ORÇAMENTO!$AF$11),ROUND(ROUND(BM.MEDAcumulado,15-13*BM!$A$9)*ROUND(BM!$H496,15-13*ORÇAMENTO!$AF$10),15-13*ORÇAMENTO!$AF$11))),IF($A496=0,0,ROUND(SomaAgrupBM,15-13*ORÇAMENTO!$AF$11)))</f>
        <v>0</v>
      </c>
    </row>
    <row r="497" spans="1:41" ht="38.25" x14ac:dyDescent="0.2">
      <c r="A497" t="str">
        <f ca="1">ORÇAMENTO!C497</f>
        <v>S</v>
      </c>
      <c r="B497">
        <f ca="1">ORÇAMENTO!D497</f>
        <v>0</v>
      </c>
      <c r="C497" s="116" t="str">
        <f t="shared" ca="1" si="22"/>
        <v/>
      </c>
      <c r="D497" s="119" t="str">
        <f ca="1">ORÇAMENTO!O497</f>
        <v>-</v>
      </c>
      <c r="E497" s="172" t="str">
        <f t="shared" ca="1" si="23"/>
        <v>(abra o arquivo 'Referência 02-2025.xlsm)</v>
      </c>
      <c r="F497" s="173" t="str">
        <f ca="1">IF(RegimeExecucao="Global","",ORÇAMENTO.Unidade)</f>
        <v>-</v>
      </c>
      <c r="G497" s="124">
        <f ca="1">IF(RegimeExecucao="Global","",ORÇAMENTO!T497)</f>
        <v>41</v>
      </c>
      <c r="H497" s="124">
        <f ca="1">IF(RegimeExecucao="Global","",ORÇAMENTO!W497)</f>
        <v>0</v>
      </c>
      <c r="I497" s="127">
        <f ca="1">ORÇAMENTO!X497</f>
        <v>0</v>
      </c>
      <c r="J497" s="378">
        <f ca="1">IF($A497="S",IF(CAIXA.Modo,BM.AFAnterior,BM.MEDAnterior),IF(AND(RegimeExecucao="Global",$I497&gt;0,COUNTIF($AB$13:$AM$13,BM.medicao-1)&gt;0),M497/$I497*100,0))</f>
        <v>0</v>
      </c>
      <c r="K497" s="124">
        <f t="shared" ca="1" si="24"/>
        <v>0</v>
      </c>
      <c r="L497" s="379">
        <f ca="1">IF($A497="S",IF(CAIXA.Modo,BM.AFAcumulado,BM.MEDAcumulado),IF(AND(RegimeExecucao="Global",$I497&gt;0,COUNTIF($AB$13:$AM$13,BM.medicao)&gt;0),O497/$I497*100,0))</f>
        <v>0</v>
      </c>
      <c r="M497" s="380">
        <f ca="1">IF($A497="S",VTOTALBM,IF($A497=0,0,ROUND(SomaAgrupBM,15-13*ORÇAMENTO!$AF$11)))</f>
        <v>0</v>
      </c>
      <c r="N497" s="381">
        <f t="shared" ca="1" si="25"/>
        <v>0</v>
      </c>
      <c r="O497" s="127">
        <f ca="1">IF($A497="S",VTOTALBM,IF($A497=0,0,ROUND(SomaAgrupBM,15-13*ORÇAMENTO!$AF$11)))</f>
        <v>0</v>
      </c>
      <c r="Q497" s="382"/>
      <c r="R497" s="383"/>
      <c r="T497" s="119" t="str">
        <f t="shared" ca="1" si="26"/>
        <v/>
      </c>
      <c r="U497" s="172" t="str">
        <f t="shared" ca="1" si="27"/>
        <v/>
      </c>
      <c r="V497" s="173" t="str">
        <f ca="1">IF(AND($W497&gt;0,RegimeExecucao="Unitário"),$F497,"")</f>
        <v/>
      </c>
      <c r="W497" s="547">
        <f ca="1">IF($Y497&gt;0,CHOOSE(MATCH(RegimeExecucao,{"Unitário","Global"},0),IF($A497="S",$Y497/$X497,""),($Y497/$X497)*100),0)</f>
        <v>0</v>
      </c>
      <c r="X497" s="384" t="str">
        <f ca="1">IF($Y497&gt;0,CHOOSE(MATCH(RegimeExecucao,{"Unitário","Global"},0),IF($A497="S",ROUND($H497,ORÇAMENTO!$AF$10),""),ROUND($I497,ORÇAMENTO!$AF$11)),"")</f>
        <v/>
      </c>
      <c r="Y497" s="384">
        <f t="shared" ca="1" si="28"/>
        <v>0</v>
      </c>
      <c r="Z497" s="572"/>
      <c r="AB497" s="382"/>
      <c r="AC497" s="516"/>
      <c r="AD497" s="516"/>
      <c r="AE497" s="516"/>
      <c r="AF497" s="516"/>
      <c r="AG497" s="516"/>
      <c r="AH497" s="516"/>
      <c r="AI497" s="516"/>
      <c r="AJ497" s="516"/>
      <c r="AK497" s="516"/>
      <c r="AL497" s="516"/>
      <c r="AM497" s="383"/>
      <c r="AO497">
        <f ca="1">IF($A497="S",IF(BM!$I497=0,0,CHOOSE(MATCH(RegimeExecucao,{"Global","Unitário"},0),ROUND(ROUND(BM.MEDAcumulado,15-13*BM!$A$9)/100*BM!$I497,15-13*ORÇAMENTO!$AF$11),ROUND(ROUND(BM.MEDAcumulado,15-13*BM!$A$9)*ROUND(BM!$H497,15-13*ORÇAMENTO!$AF$10),15-13*ORÇAMENTO!$AF$11))),IF($A497=0,0,ROUND(SomaAgrupBM,15-13*ORÇAMENTO!$AF$11)))</f>
        <v>0</v>
      </c>
    </row>
    <row r="498" spans="1:41" ht="38.25" x14ac:dyDescent="0.2">
      <c r="A498" t="str">
        <f ca="1">ORÇAMENTO!C498</f>
        <v>S</v>
      </c>
      <c r="B498">
        <f ca="1">ORÇAMENTO!D498</f>
        <v>0</v>
      </c>
      <c r="C498" s="116" t="str">
        <f t="shared" ca="1" si="22"/>
        <v/>
      </c>
      <c r="D498" s="119" t="str">
        <f ca="1">ORÇAMENTO!O498</f>
        <v>-</v>
      </c>
      <c r="E498" s="172" t="str">
        <f t="shared" ca="1" si="23"/>
        <v>(abra o arquivo 'Referência 02-2025.xlsm)</v>
      </c>
      <c r="F498" s="173" t="str">
        <f ca="1">IF(RegimeExecucao="Global","",ORÇAMENTO.Unidade)</f>
        <v>-</v>
      </c>
      <c r="G498" s="124">
        <f ca="1">IF(RegimeExecucao="Global","",ORÇAMENTO!T498)</f>
        <v>1</v>
      </c>
      <c r="H498" s="124">
        <f ca="1">IF(RegimeExecucao="Global","",ORÇAMENTO!W498)</f>
        <v>0</v>
      </c>
      <c r="I498" s="127">
        <f ca="1">ORÇAMENTO!X498</f>
        <v>0</v>
      </c>
      <c r="J498" s="378">
        <f ca="1">IF($A498="S",IF(CAIXA.Modo,BM.AFAnterior,BM.MEDAnterior),IF(AND(RegimeExecucao="Global",$I498&gt;0,COUNTIF($AB$13:$AM$13,BM.medicao-1)&gt;0),M498/$I498*100,0))</f>
        <v>0</v>
      </c>
      <c r="K498" s="124">
        <f t="shared" ca="1" si="24"/>
        <v>0</v>
      </c>
      <c r="L498" s="379">
        <f ca="1">IF($A498="S",IF(CAIXA.Modo,BM.AFAcumulado,BM.MEDAcumulado),IF(AND(RegimeExecucao="Global",$I498&gt;0,COUNTIF($AB$13:$AM$13,BM.medicao)&gt;0),O498/$I498*100,0))</f>
        <v>0</v>
      </c>
      <c r="M498" s="380">
        <f ca="1">IF($A498="S",VTOTALBM,IF($A498=0,0,ROUND(SomaAgrupBM,15-13*ORÇAMENTO!$AF$11)))</f>
        <v>0</v>
      </c>
      <c r="N498" s="381">
        <f t="shared" ca="1" si="25"/>
        <v>0</v>
      </c>
      <c r="O498" s="127">
        <f ca="1">IF($A498="S",VTOTALBM,IF($A498=0,0,ROUND(SomaAgrupBM,15-13*ORÇAMENTO!$AF$11)))</f>
        <v>0</v>
      </c>
      <c r="Q498" s="382"/>
      <c r="R498" s="383"/>
      <c r="T498" s="119" t="str">
        <f t="shared" ca="1" si="26"/>
        <v/>
      </c>
      <c r="U498" s="172" t="str">
        <f t="shared" ca="1" si="27"/>
        <v/>
      </c>
      <c r="V498" s="173" t="str">
        <f ca="1">IF(AND($W498&gt;0,RegimeExecucao="Unitário"),$F498,"")</f>
        <v/>
      </c>
      <c r="W498" s="547">
        <f ca="1">IF($Y498&gt;0,CHOOSE(MATCH(RegimeExecucao,{"Unitário","Global"},0),IF($A498="S",$Y498/$X498,""),($Y498/$X498)*100),0)</f>
        <v>0</v>
      </c>
      <c r="X498" s="384" t="str">
        <f ca="1">IF($Y498&gt;0,CHOOSE(MATCH(RegimeExecucao,{"Unitário","Global"},0),IF($A498="S",ROUND($H498,ORÇAMENTO!$AF$10),""),ROUND($I498,ORÇAMENTO!$AF$11)),"")</f>
        <v/>
      </c>
      <c r="Y498" s="384">
        <f t="shared" ca="1" si="28"/>
        <v>0</v>
      </c>
      <c r="Z498" s="572"/>
      <c r="AB498" s="382"/>
      <c r="AC498" s="516"/>
      <c r="AD498" s="516"/>
      <c r="AE498" s="516"/>
      <c r="AF498" s="516"/>
      <c r="AG498" s="516"/>
      <c r="AH498" s="516"/>
      <c r="AI498" s="516"/>
      <c r="AJ498" s="516"/>
      <c r="AK498" s="516"/>
      <c r="AL498" s="516"/>
      <c r="AM498" s="383"/>
      <c r="AO498">
        <f ca="1">IF($A498="S",IF(BM!$I498=0,0,CHOOSE(MATCH(RegimeExecucao,{"Global","Unitário"},0),ROUND(ROUND(BM.MEDAcumulado,15-13*BM!$A$9)/100*BM!$I498,15-13*ORÇAMENTO!$AF$11),ROUND(ROUND(BM.MEDAcumulado,15-13*BM!$A$9)*ROUND(BM!$H498,15-13*ORÇAMENTO!$AF$10),15-13*ORÇAMENTO!$AF$11))),IF($A498=0,0,ROUND(SomaAgrupBM,15-13*ORÇAMENTO!$AF$11)))</f>
        <v>0</v>
      </c>
    </row>
    <row r="499" spans="1:41" ht="38.25" x14ac:dyDescent="0.2">
      <c r="A499" t="str">
        <f ca="1">ORÇAMENTO!C499</f>
        <v>S</v>
      </c>
      <c r="B499">
        <f ca="1">ORÇAMENTO!D499</f>
        <v>0</v>
      </c>
      <c r="C499" s="116" t="str">
        <f t="shared" ca="1" si="22"/>
        <v/>
      </c>
      <c r="D499" s="119" t="str">
        <f ca="1">ORÇAMENTO!O499</f>
        <v>-</v>
      </c>
      <c r="E499" s="172" t="str">
        <f t="shared" ca="1" si="23"/>
        <v>(abra o arquivo 'Referência 02-2025.xlsm)</v>
      </c>
      <c r="F499" s="173" t="str">
        <f ca="1">IF(RegimeExecucao="Global","",ORÇAMENTO.Unidade)</f>
        <v>-</v>
      </c>
      <c r="G499" s="124">
        <f ca="1">IF(RegimeExecucao="Global","",ORÇAMENTO!T499)</f>
        <v>2</v>
      </c>
      <c r="H499" s="124">
        <f ca="1">IF(RegimeExecucao="Global","",ORÇAMENTO!W499)</f>
        <v>0</v>
      </c>
      <c r="I499" s="127">
        <f ca="1">ORÇAMENTO!X499</f>
        <v>0</v>
      </c>
      <c r="J499" s="378">
        <f ca="1">IF($A499="S",IF(CAIXA.Modo,BM.AFAnterior,BM.MEDAnterior),IF(AND(RegimeExecucao="Global",$I499&gt;0,COUNTIF($AB$13:$AM$13,BM.medicao-1)&gt;0),M499/$I499*100,0))</f>
        <v>0</v>
      </c>
      <c r="K499" s="124">
        <f t="shared" ca="1" si="24"/>
        <v>0</v>
      </c>
      <c r="L499" s="379">
        <f ca="1">IF($A499="S",IF(CAIXA.Modo,BM.AFAcumulado,BM.MEDAcumulado),IF(AND(RegimeExecucao="Global",$I499&gt;0,COUNTIF($AB$13:$AM$13,BM.medicao)&gt;0),O499/$I499*100,0))</f>
        <v>0</v>
      </c>
      <c r="M499" s="380">
        <f ca="1">IF($A499="S",VTOTALBM,IF($A499=0,0,ROUND(SomaAgrupBM,15-13*ORÇAMENTO!$AF$11)))</f>
        <v>0</v>
      </c>
      <c r="N499" s="381">
        <f t="shared" ca="1" si="25"/>
        <v>0</v>
      </c>
      <c r="O499" s="127">
        <f ca="1">IF($A499="S",VTOTALBM,IF($A499=0,0,ROUND(SomaAgrupBM,15-13*ORÇAMENTO!$AF$11)))</f>
        <v>0</v>
      </c>
      <c r="Q499" s="382"/>
      <c r="R499" s="383"/>
      <c r="T499" s="119" t="str">
        <f t="shared" ca="1" si="26"/>
        <v/>
      </c>
      <c r="U499" s="172" t="str">
        <f t="shared" ca="1" si="27"/>
        <v/>
      </c>
      <c r="V499" s="173" t="str">
        <f ca="1">IF(AND($W499&gt;0,RegimeExecucao="Unitário"),$F499,"")</f>
        <v/>
      </c>
      <c r="W499" s="547">
        <f ca="1">IF($Y499&gt;0,CHOOSE(MATCH(RegimeExecucao,{"Unitário","Global"},0),IF($A499="S",$Y499/$X499,""),($Y499/$X499)*100),0)</f>
        <v>0</v>
      </c>
      <c r="X499" s="384" t="str">
        <f ca="1">IF($Y499&gt;0,CHOOSE(MATCH(RegimeExecucao,{"Unitário","Global"},0),IF($A499="S",ROUND($H499,ORÇAMENTO!$AF$10),""),ROUND($I499,ORÇAMENTO!$AF$11)),"")</f>
        <v/>
      </c>
      <c r="Y499" s="384">
        <f t="shared" ca="1" si="28"/>
        <v>0</v>
      </c>
      <c r="Z499" s="572"/>
      <c r="AB499" s="382"/>
      <c r="AC499" s="516"/>
      <c r="AD499" s="516"/>
      <c r="AE499" s="516"/>
      <c r="AF499" s="516"/>
      <c r="AG499" s="516"/>
      <c r="AH499" s="516"/>
      <c r="AI499" s="516"/>
      <c r="AJ499" s="516"/>
      <c r="AK499" s="516"/>
      <c r="AL499" s="516"/>
      <c r="AM499" s="383"/>
      <c r="AO499">
        <f ca="1">IF($A499="S",IF(BM!$I499=0,0,CHOOSE(MATCH(RegimeExecucao,{"Global","Unitário"},0),ROUND(ROUND(BM.MEDAcumulado,15-13*BM!$A$9)/100*BM!$I499,15-13*ORÇAMENTO!$AF$11),ROUND(ROUND(BM.MEDAcumulado,15-13*BM!$A$9)*ROUND(BM!$H499,15-13*ORÇAMENTO!$AF$10),15-13*ORÇAMENTO!$AF$11))),IF($A499=0,0,ROUND(SomaAgrupBM,15-13*ORÇAMENTO!$AF$11)))</f>
        <v>0</v>
      </c>
    </row>
    <row r="500" spans="1:41" x14ac:dyDescent="0.2">
      <c r="A500">
        <f ca="1">ORÇAMENTO!C500</f>
        <v>3</v>
      </c>
      <c r="B500">
        <f ca="1">ORÇAMENTO!D500</f>
        <v>18</v>
      </c>
      <c r="C500" s="116" t="str">
        <f t="shared" ca="1" si="22"/>
        <v>F</v>
      </c>
      <c r="D500" s="119" t="str">
        <f ca="1">ORÇAMENTO!O500</f>
        <v>1.17.3.</v>
      </c>
      <c r="E500" s="172" t="str">
        <f t="shared" ca="1" si="23"/>
        <v>ACESSÓRIOS GERAL</v>
      </c>
      <c r="F500" s="173" t="str">
        <f ca="1">IF(RegimeExecucao="Global","",ORÇAMENTO.Unidade)</f>
        <v>-</v>
      </c>
      <c r="G500" s="124">
        <f ca="1">IF(RegimeExecucao="Global","",ORÇAMENTO!T500)</f>
        <v>0</v>
      </c>
      <c r="H500" s="124">
        <f ca="1">IF(RegimeExecucao="Global","",ORÇAMENTO!W500)</f>
        <v>0</v>
      </c>
      <c r="I500" s="127">
        <f ca="1">ORÇAMENTO!X500</f>
        <v>0</v>
      </c>
      <c r="J500" s="378">
        <f ca="1">IF($A500="S",IF(CAIXA.Modo,BM.AFAnterior,BM.MEDAnterior),IF(AND(RegimeExecucao="Global",$I500&gt;0,COUNTIF($AB$13:$AM$13,BM.medicao-1)&gt;0),M500/$I500*100,0))</f>
        <v>0</v>
      </c>
      <c r="K500" s="124">
        <f t="shared" ca="1" si="24"/>
        <v>0</v>
      </c>
      <c r="L500" s="379">
        <f ca="1">IF($A500="S",IF(CAIXA.Modo,BM.AFAcumulado,BM.MEDAcumulado),IF(AND(RegimeExecucao="Global",$I500&gt;0,COUNTIF($AB$13:$AM$13,BM.medicao)&gt;0),O500/$I500*100,0))</f>
        <v>0</v>
      </c>
      <c r="M500" s="380">
        <f ca="1">IF($A500="S",VTOTALBM,IF($A500=0,0,ROUND(SomaAgrupBM,15-13*ORÇAMENTO!$AF$11)))</f>
        <v>0</v>
      </c>
      <c r="N500" s="381">
        <f t="shared" ca="1" si="25"/>
        <v>0</v>
      </c>
      <c r="O500" s="127">
        <f ca="1">IF($A500="S",VTOTALBM,IF($A500=0,0,ROUND(SomaAgrupBM,15-13*ORÇAMENTO!$AF$11)))</f>
        <v>0</v>
      </c>
      <c r="Q500" s="382"/>
      <c r="R500" s="383"/>
      <c r="T500" s="119" t="str">
        <f t="shared" ca="1" si="26"/>
        <v/>
      </c>
      <c r="U500" s="172" t="str">
        <f t="shared" ca="1" si="27"/>
        <v/>
      </c>
      <c r="V500" s="173" t="str">
        <f ca="1">IF(AND($W500&gt;0,RegimeExecucao="Unitário"),$F500,"")</f>
        <v/>
      </c>
      <c r="W500" s="547">
        <f ca="1">IF($Y500&gt;0,CHOOSE(MATCH(RegimeExecucao,{"Unitário","Global"},0),IF($A500="S",$Y500/$X500,""),($Y500/$X500)*100),0)</f>
        <v>0</v>
      </c>
      <c r="X500" s="384" t="str">
        <f ca="1">IF($Y500&gt;0,CHOOSE(MATCH(RegimeExecucao,{"Unitário","Global"},0),IF($A500="S",ROUND($H500,ORÇAMENTO!$AF$10),""),ROUND($I500,ORÇAMENTO!$AF$11)),"")</f>
        <v/>
      </c>
      <c r="Y500" s="384">
        <f t="shared" ca="1" si="28"/>
        <v>0</v>
      </c>
      <c r="Z500" s="572"/>
      <c r="AB500" s="382"/>
      <c r="AC500" s="516"/>
      <c r="AD500" s="516"/>
      <c r="AE500" s="516"/>
      <c r="AF500" s="516"/>
      <c r="AG500" s="516"/>
      <c r="AH500" s="516"/>
      <c r="AI500" s="516"/>
      <c r="AJ500" s="516"/>
      <c r="AK500" s="516"/>
      <c r="AL500" s="516"/>
      <c r="AM500" s="383"/>
      <c r="AO500">
        <f ca="1">IF($A500="S",IF(BM!$I500=0,0,CHOOSE(MATCH(RegimeExecucao,{"Global","Unitário"},0),ROUND(ROUND(BM.MEDAcumulado,15-13*BM!$A$9)/100*BM!$I500,15-13*ORÇAMENTO!$AF$11),ROUND(ROUND(BM.MEDAcumulado,15-13*BM!$A$9)*ROUND(BM!$H500,15-13*ORÇAMENTO!$AF$10),15-13*ORÇAMENTO!$AF$11))),IF($A500=0,0,ROUND(SomaAgrupBM,15-13*ORÇAMENTO!$AF$11)))</f>
        <v>0</v>
      </c>
    </row>
    <row r="501" spans="1:41" x14ac:dyDescent="0.2">
      <c r="A501" t="str">
        <f ca="1">ORÇAMENTO!C501</f>
        <v>S</v>
      </c>
      <c r="B501">
        <f ca="1">ORÇAMENTO!D501</f>
        <v>0</v>
      </c>
      <c r="C501" s="116" t="str">
        <f t="shared" ca="1" si="22"/>
        <v/>
      </c>
      <c r="D501" s="119" t="str">
        <f ca="1">ORÇAMENTO!O501</f>
        <v>-</v>
      </c>
      <c r="E501" s="172" t="str">
        <f t="shared" ca="1" si="23"/>
        <v>(abra o arquivo 'Referência 02-2025.xlsm)</v>
      </c>
      <c r="F501" s="173" t="str">
        <f ca="1">IF(RegimeExecucao="Global","",ORÇAMENTO.Unidade)</f>
        <v>-</v>
      </c>
      <c r="G501" s="124">
        <f ca="1">IF(RegimeExecucao="Global","",ORÇAMENTO!T501)</f>
        <v>1811</v>
      </c>
      <c r="H501" s="124">
        <f ca="1">IF(RegimeExecucao="Global","",ORÇAMENTO!W501)</f>
        <v>0</v>
      </c>
      <c r="I501" s="127">
        <f ca="1">ORÇAMENTO!X501</f>
        <v>0</v>
      </c>
      <c r="J501" s="378">
        <f ca="1">IF($A501="S",IF(CAIXA.Modo,BM.AFAnterior,BM.MEDAnterior),IF(AND(RegimeExecucao="Global",$I501&gt;0,COUNTIF($AB$13:$AM$13,BM.medicao-1)&gt;0),M501/$I501*100,0))</f>
        <v>0</v>
      </c>
      <c r="K501" s="124">
        <f t="shared" ca="1" si="24"/>
        <v>0</v>
      </c>
      <c r="L501" s="379">
        <f ca="1">IF($A501="S",IF(CAIXA.Modo,BM.AFAcumulado,BM.MEDAcumulado),IF(AND(RegimeExecucao="Global",$I501&gt;0,COUNTIF($AB$13:$AM$13,BM.medicao)&gt;0),O501/$I501*100,0))</f>
        <v>0</v>
      </c>
      <c r="M501" s="380">
        <f ca="1">IF($A501="S",VTOTALBM,IF($A501=0,0,ROUND(SomaAgrupBM,15-13*ORÇAMENTO!$AF$11)))</f>
        <v>0</v>
      </c>
      <c r="N501" s="381">
        <f t="shared" ca="1" si="25"/>
        <v>0</v>
      </c>
      <c r="O501" s="127">
        <f ca="1">IF($A501="S",VTOTALBM,IF($A501=0,0,ROUND(SomaAgrupBM,15-13*ORÇAMENTO!$AF$11)))</f>
        <v>0</v>
      </c>
      <c r="Q501" s="382"/>
      <c r="R501" s="383"/>
      <c r="T501" s="119" t="str">
        <f t="shared" ca="1" si="26"/>
        <v/>
      </c>
      <c r="U501" s="172" t="str">
        <f t="shared" ca="1" si="27"/>
        <v/>
      </c>
      <c r="V501" s="173" t="str">
        <f ca="1">IF(AND($W501&gt;0,RegimeExecucao="Unitário"),$F501,"")</f>
        <v/>
      </c>
      <c r="W501" s="547">
        <f ca="1">IF($Y501&gt;0,CHOOSE(MATCH(RegimeExecucao,{"Unitário","Global"},0),IF($A501="S",$Y501/$X501,""),($Y501/$X501)*100),0)</f>
        <v>0</v>
      </c>
      <c r="X501" s="384" t="str">
        <f ca="1">IF($Y501&gt;0,CHOOSE(MATCH(RegimeExecucao,{"Unitário","Global"},0),IF($A501="S",ROUND($H501,ORÇAMENTO!$AF$10),""),ROUND($I501,ORÇAMENTO!$AF$11)),"")</f>
        <v/>
      </c>
      <c r="Y501" s="384">
        <f t="shared" ca="1" si="28"/>
        <v>0</v>
      </c>
      <c r="Z501" s="572"/>
      <c r="AB501" s="382"/>
      <c r="AC501" s="516"/>
      <c r="AD501" s="516"/>
      <c r="AE501" s="516"/>
      <c r="AF501" s="516"/>
      <c r="AG501" s="516"/>
      <c r="AH501" s="516"/>
      <c r="AI501" s="516"/>
      <c r="AJ501" s="516"/>
      <c r="AK501" s="516"/>
      <c r="AL501" s="516"/>
      <c r="AM501" s="383"/>
      <c r="AO501">
        <f ca="1">IF($A501="S",IF(BM!$I501=0,0,CHOOSE(MATCH(RegimeExecucao,{"Global","Unitário"},0),ROUND(ROUND(BM.MEDAcumulado,15-13*BM!$A$9)/100*BM!$I501,15-13*ORÇAMENTO!$AF$11),ROUND(ROUND(BM.MEDAcumulado,15-13*BM!$A$9)*ROUND(BM!$H501,15-13*ORÇAMENTO!$AF$10),15-13*ORÇAMENTO!$AF$11))),IF($A501=0,0,ROUND(SomaAgrupBM,15-13*ORÇAMENTO!$AF$11)))</f>
        <v>0</v>
      </c>
    </row>
    <row r="502" spans="1:41" x14ac:dyDescent="0.2">
      <c r="A502" t="str">
        <f ca="1">ORÇAMENTO!C502</f>
        <v>S</v>
      </c>
      <c r="B502">
        <f ca="1">ORÇAMENTO!D502</f>
        <v>0</v>
      </c>
      <c r="C502" s="116" t="str">
        <f t="shared" ca="1" si="22"/>
        <v/>
      </c>
      <c r="D502" s="119" t="str">
        <f ca="1">ORÇAMENTO!O502</f>
        <v>-</v>
      </c>
      <c r="E502" s="172" t="str">
        <f t="shared" ca="1" si="23"/>
        <v>(abra o arquivo 'Referência 02-2025.xlsm)</v>
      </c>
      <c r="F502" s="173" t="str">
        <f ca="1">IF(RegimeExecucao="Global","",ORÇAMENTO.Unidade)</f>
        <v>-</v>
      </c>
      <c r="G502" s="124">
        <f ca="1">IF(RegimeExecucao="Global","",ORÇAMENTO!T502)</f>
        <v>12</v>
      </c>
      <c r="H502" s="124">
        <f ca="1">IF(RegimeExecucao="Global","",ORÇAMENTO!W502)</f>
        <v>0</v>
      </c>
      <c r="I502" s="127">
        <f ca="1">ORÇAMENTO!X502</f>
        <v>0</v>
      </c>
      <c r="J502" s="378">
        <f ca="1">IF($A502="S",IF(CAIXA.Modo,BM.AFAnterior,BM.MEDAnterior),IF(AND(RegimeExecucao="Global",$I502&gt;0,COUNTIF($AB$13:$AM$13,BM.medicao-1)&gt;0),M502/$I502*100,0))</f>
        <v>0</v>
      </c>
      <c r="K502" s="124">
        <f t="shared" ca="1" si="24"/>
        <v>0</v>
      </c>
      <c r="L502" s="379">
        <f ca="1">IF($A502="S",IF(CAIXA.Modo,BM.AFAcumulado,BM.MEDAcumulado),IF(AND(RegimeExecucao="Global",$I502&gt;0,COUNTIF($AB$13:$AM$13,BM.medicao)&gt;0),O502/$I502*100,0))</f>
        <v>0</v>
      </c>
      <c r="M502" s="380">
        <f ca="1">IF($A502="S",VTOTALBM,IF($A502=0,0,ROUND(SomaAgrupBM,15-13*ORÇAMENTO!$AF$11)))</f>
        <v>0</v>
      </c>
      <c r="N502" s="381">
        <f t="shared" ca="1" si="25"/>
        <v>0</v>
      </c>
      <c r="O502" s="127">
        <f ca="1">IF($A502="S",VTOTALBM,IF($A502=0,0,ROUND(SomaAgrupBM,15-13*ORÇAMENTO!$AF$11)))</f>
        <v>0</v>
      </c>
      <c r="Q502" s="382"/>
      <c r="R502" s="383"/>
      <c r="T502" s="119" t="str">
        <f t="shared" ca="1" si="26"/>
        <v/>
      </c>
      <c r="U502" s="172" t="str">
        <f t="shared" ca="1" si="27"/>
        <v/>
      </c>
      <c r="V502" s="173" t="str">
        <f ca="1">IF(AND($W502&gt;0,RegimeExecucao="Unitário"),$F502,"")</f>
        <v/>
      </c>
      <c r="W502" s="547">
        <f ca="1">IF($Y502&gt;0,CHOOSE(MATCH(RegimeExecucao,{"Unitário","Global"},0),IF($A502="S",$Y502/$X502,""),($Y502/$X502)*100),0)</f>
        <v>0</v>
      </c>
      <c r="X502" s="384" t="str">
        <f ca="1">IF($Y502&gt;0,CHOOSE(MATCH(RegimeExecucao,{"Unitário","Global"},0),IF($A502="S",ROUND($H502,ORÇAMENTO!$AF$10),""),ROUND($I502,ORÇAMENTO!$AF$11)),"")</f>
        <v/>
      </c>
      <c r="Y502" s="384">
        <f t="shared" ca="1" si="28"/>
        <v>0</v>
      </c>
      <c r="Z502" s="572"/>
      <c r="AB502" s="382"/>
      <c r="AC502" s="516"/>
      <c r="AD502" s="516"/>
      <c r="AE502" s="516"/>
      <c r="AF502" s="516"/>
      <c r="AG502" s="516"/>
      <c r="AH502" s="516"/>
      <c r="AI502" s="516"/>
      <c r="AJ502" s="516"/>
      <c r="AK502" s="516"/>
      <c r="AL502" s="516"/>
      <c r="AM502" s="383"/>
      <c r="AO502">
        <f ca="1">IF($A502="S",IF(BM!$I502=0,0,CHOOSE(MATCH(RegimeExecucao,{"Global","Unitário"},0),ROUND(ROUND(BM.MEDAcumulado,15-13*BM!$A$9)/100*BM!$I502,15-13*ORÇAMENTO!$AF$11),ROUND(ROUND(BM.MEDAcumulado,15-13*BM!$A$9)*ROUND(BM!$H502,15-13*ORÇAMENTO!$AF$10),15-13*ORÇAMENTO!$AF$11))),IF($A502=0,0,ROUND(SomaAgrupBM,15-13*ORÇAMENTO!$AF$11)))</f>
        <v>0</v>
      </c>
    </row>
    <row r="503" spans="1:41" ht="38.25" x14ac:dyDescent="0.2">
      <c r="A503" t="str">
        <f ca="1">ORÇAMENTO!C503</f>
        <v>S</v>
      </c>
      <c r="B503">
        <f ca="1">ORÇAMENTO!D503</f>
        <v>0</v>
      </c>
      <c r="C503" s="116" t="str">
        <f t="shared" ca="1" si="22"/>
        <v/>
      </c>
      <c r="D503" s="119" t="str">
        <f ca="1">ORÇAMENTO!O503</f>
        <v>-</v>
      </c>
      <c r="E503" s="172" t="str">
        <f t="shared" ca="1" si="23"/>
        <v>(abra o arquivo 'Referência 02-2025.xlsm)</v>
      </c>
      <c r="F503" s="173" t="str">
        <f ca="1">IF(RegimeExecucao="Global","",ORÇAMENTO.Unidade)</f>
        <v>-</v>
      </c>
      <c r="G503" s="124">
        <f ca="1">IF(RegimeExecucao="Global","",ORÇAMENTO!T503)</f>
        <v>1132</v>
      </c>
      <c r="H503" s="124">
        <f ca="1">IF(RegimeExecucao="Global","",ORÇAMENTO!W503)</f>
        <v>0</v>
      </c>
      <c r="I503" s="127">
        <f ca="1">ORÇAMENTO!X503</f>
        <v>0</v>
      </c>
      <c r="J503" s="378">
        <f ca="1">IF($A503="S",IF(CAIXA.Modo,BM.AFAnterior,BM.MEDAnterior),IF(AND(RegimeExecucao="Global",$I503&gt;0,COUNTIF($AB$13:$AM$13,BM.medicao-1)&gt;0),M503/$I503*100,0))</f>
        <v>0</v>
      </c>
      <c r="K503" s="124">
        <f t="shared" ca="1" si="24"/>
        <v>0</v>
      </c>
      <c r="L503" s="379">
        <f ca="1">IF($A503="S",IF(CAIXA.Modo,BM.AFAcumulado,BM.MEDAcumulado),IF(AND(RegimeExecucao="Global",$I503&gt;0,COUNTIF($AB$13:$AM$13,BM.medicao)&gt;0),O503/$I503*100,0))</f>
        <v>0</v>
      </c>
      <c r="M503" s="380">
        <f ca="1">IF($A503="S",VTOTALBM,IF($A503=0,0,ROUND(SomaAgrupBM,15-13*ORÇAMENTO!$AF$11)))</f>
        <v>0</v>
      </c>
      <c r="N503" s="381">
        <f t="shared" ca="1" si="25"/>
        <v>0</v>
      </c>
      <c r="O503" s="127">
        <f ca="1">IF($A503="S",VTOTALBM,IF($A503=0,0,ROUND(SomaAgrupBM,15-13*ORÇAMENTO!$AF$11)))</f>
        <v>0</v>
      </c>
      <c r="Q503" s="382"/>
      <c r="R503" s="383"/>
      <c r="T503" s="119" t="str">
        <f t="shared" ca="1" si="26"/>
        <v/>
      </c>
      <c r="U503" s="172" t="str">
        <f t="shared" ca="1" si="27"/>
        <v/>
      </c>
      <c r="V503" s="173" t="str">
        <f ca="1">IF(AND($W503&gt;0,RegimeExecucao="Unitário"),$F503,"")</f>
        <v/>
      </c>
      <c r="W503" s="547">
        <f ca="1">IF($Y503&gt;0,CHOOSE(MATCH(RegimeExecucao,{"Unitário","Global"},0),IF($A503="S",$Y503/$X503,""),($Y503/$X503)*100),0)</f>
        <v>0</v>
      </c>
      <c r="X503" s="384" t="str">
        <f ca="1">IF($Y503&gt;0,CHOOSE(MATCH(RegimeExecucao,{"Unitário","Global"},0),IF($A503="S",ROUND($H503,ORÇAMENTO!$AF$10),""),ROUND($I503,ORÇAMENTO!$AF$11)),"")</f>
        <v/>
      </c>
      <c r="Y503" s="384">
        <f t="shared" ca="1" si="28"/>
        <v>0</v>
      </c>
      <c r="Z503" s="572"/>
      <c r="AB503" s="382"/>
      <c r="AC503" s="516"/>
      <c r="AD503" s="516"/>
      <c r="AE503" s="516"/>
      <c r="AF503" s="516"/>
      <c r="AG503" s="516"/>
      <c r="AH503" s="516"/>
      <c r="AI503" s="516"/>
      <c r="AJ503" s="516"/>
      <c r="AK503" s="516"/>
      <c r="AL503" s="516"/>
      <c r="AM503" s="383"/>
      <c r="AO503">
        <f ca="1">IF($A503="S",IF(BM!$I503=0,0,CHOOSE(MATCH(RegimeExecucao,{"Global","Unitário"},0),ROUND(ROUND(BM.MEDAcumulado,15-13*BM!$A$9)/100*BM!$I503,15-13*ORÇAMENTO!$AF$11),ROUND(ROUND(BM.MEDAcumulado,15-13*BM!$A$9)*ROUND(BM!$H503,15-13*ORÇAMENTO!$AF$10),15-13*ORÇAMENTO!$AF$11))),IF($A503=0,0,ROUND(SomaAgrupBM,15-13*ORÇAMENTO!$AF$11)))</f>
        <v>0</v>
      </c>
    </row>
    <row r="504" spans="1:41" x14ac:dyDescent="0.2">
      <c r="A504" t="str">
        <f ca="1">ORÇAMENTO!C504</f>
        <v>S</v>
      </c>
      <c r="B504">
        <f ca="1">ORÇAMENTO!D504</f>
        <v>0</v>
      </c>
      <c r="C504" s="116" t="str">
        <f t="shared" ca="1" si="22"/>
        <v/>
      </c>
      <c r="D504" s="119" t="str">
        <f ca="1">ORÇAMENTO!O504</f>
        <v>-</v>
      </c>
      <c r="E504" s="172" t="str">
        <f t="shared" ca="1" si="23"/>
        <v>(abra o arquivo 'Referência 02-2025.xlsm)</v>
      </c>
      <c r="F504" s="173" t="str">
        <f ca="1">IF(RegimeExecucao="Global","",ORÇAMENTO.Unidade)</f>
        <v>-</v>
      </c>
      <c r="G504" s="124">
        <f ca="1">IF(RegimeExecucao="Global","",ORÇAMENTO!T504)</f>
        <v>1518</v>
      </c>
      <c r="H504" s="124">
        <f ca="1">IF(RegimeExecucao="Global","",ORÇAMENTO!W504)</f>
        <v>0</v>
      </c>
      <c r="I504" s="127">
        <f ca="1">ORÇAMENTO!X504</f>
        <v>0</v>
      </c>
      <c r="J504" s="378">
        <f ca="1">IF($A504="S",IF(CAIXA.Modo,BM.AFAnterior,BM.MEDAnterior),IF(AND(RegimeExecucao="Global",$I504&gt;0,COUNTIF($AB$13:$AM$13,BM.medicao-1)&gt;0),M504/$I504*100,0))</f>
        <v>0</v>
      </c>
      <c r="K504" s="124">
        <f t="shared" ca="1" si="24"/>
        <v>0</v>
      </c>
      <c r="L504" s="379">
        <f ca="1">IF($A504="S",IF(CAIXA.Modo,BM.AFAcumulado,BM.MEDAcumulado),IF(AND(RegimeExecucao="Global",$I504&gt;0,COUNTIF($AB$13:$AM$13,BM.medicao)&gt;0),O504/$I504*100,0))</f>
        <v>0</v>
      </c>
      <c r="M504" s="380">
        <f ca="1">IF($A504="S",VTOTALBM,IF($A504=0,0,ROUND(SomaAgrupBM,15-13*ORÇAMENTO!$AF$11)))</f>
        <v>0</v>
      </c>
      <c r="N504" s="381">
        <f t="shared" ca="1" si="25"/>
        <v>0</v>
      </c>
      <c r="O504" s="127">
        <f ca="1">IF($A504="S",VTOTALBM,IF($A504=0,0,ROUND(SomaAgrupBM,15-13*ORÇAMENTO!$AF$11)))</f>
        <v>0</v>
      </c>
      <c r="Q504" s="382"/>
      <c r="R504" s="383"/>
      <c r="T504" s="119" t="str">
        <f t="shared" ca="1" si="26"/>
        <v/>
      </c>
      <c r="U504" s="172" t="str">
        <f t="shared" ca="1" si="27"/>
        <v/>
      </c>
      <c r="V504" s="173" t="str">
        <f ca="1">IF(AND($W504&gt;0,RegimeExecucao="Unitário"),$F504,"")</f>
        <v/>
      </c>
      <c r="W504" s="547">
        <f ca="1">IF($Y504&gt;0,CHOOSE(MATCH(RegimeExecucao,{"Unitário","Global"},0),IF($A504="S",$Y504/$X504,""),($Y504/$X504)*100),0)</f>
        <v>0</v>
      </c>
      <c r="X504" s="384" t="str">
        <f ca="1">IF($Y504&gt;0,CHOOSE(MATCH(RegimeExecucao,{"Unitário","Global"},0),IF($A504="S",ROUND($H504,ORÇAMENTO!$AF$10),""),ROUND($I504,ORÇAMENTO!$AF$11)),"")</f>
        <v/>
      </c>
      <c r="Y504" s="384">
        <f t="shared" ca="1" si="28"/>
        <v>0</v>
      </c>
      <c r="Z504" s="572"/>
      <c r="AB504" s="382"/>
      <c r="AC504" s="516"/>
      <c r="AD504" s="516"/>
      <c r="AE504" s="516"/>
      <c r="AF504" s="516"/>
      <c r="AG504" s="516"/>
      <c r="AH504" s="516"/>
      <c r="AI504" s="516"/>
      <c r="AJ504" s="516"/>
      <c r="AK504" s="516"/>
      <c r="AL504" s="516"/>
      <c r="AM504" s="383"/>
      <c r="AO504">
        <f ca="1">IF($A504="S",IF(BM!$I504=0,0,CHOOSE(MATCH(RegimeExecucao,{"Global","Unitário"},0),ROUND(ROUND(BM.MEDAcumulado,15-13*BM!$A$9)/100*BM!$I504,15-13*ORÇAMENTO!$AF$11),ROUND(ROUND(BM.MEDAcumulado,15-13*BM!$A$9)*ROUND(BM!$H504,15-13*ORÇAMENTO!$AF$10),15-13*ORÇAMENTO!$AF$11))),IF($A504=0,0,ROUND(SomaAgrupBM,15-13*ORÇAMENTO!$AF$11)))</f>
        <v>0</v>
      </c>
    </row>
    <row r="505" spans="1:41" ht="38.25" x14ac:dyDescent="0.2">
      <c r="A505" t="str">
        <f ca="1">ORÇAMENTO!C505</f>
        <v>S</v>
      </c>
      <c r="B505">
        <f ca="1">ORÇAMENTO!D505</f>
        <v>0</v>
      </c>
      <c r="C505" s="116" t="str">
        <f t="shared" ca="1" si="22"/>
        <v/>
      </c>
      <c r="D505" s="119" t="str">
        <f ca="1">ORÇAMENTO!O505</f>
        <v>-</v>
      </c>
      <c r="E505" s="172" t="str">
        <f t="shared" ca="1" si="23"/>
        <v>(abra o arquivo 'Referência 02-2025.xlsm)</v>
      </c>
      <c r="F505" s="173" t="str">
        <f ca="1">IF(RegimeExecucao="Global","",ORÇAMENTO.Unidade)</f>
        <v>-</v>
      </c>
      <c r="G505" s="124">
        <f ca="1">IF(RegimeExecucao="Global","",ORÇAMENTO!T505)</f>
        <v>199</v>
      </c>
      <c r="H505" s="124">
        <f ca="1">IF(RegimeExecucao="Global","",ORÇAMENTO!W505)</f>
        <v>0</v>
      </c>
      <c r="I505" s="127">
        <f ca="1">ORÇAMENTO!X505</f>
        <v>0</v>
      </c>
      <c r="J505" s="378">
        <f ca="1">IF($A505="S",IF(CAIXA.Modo,BM.AFAnterior,BM.MEDAnterior),IF(AND(RegimeExecucao="Global",$I505&gt;0,COUNTIF($AB$13:$AM$13,BM.medicao-1)&gt;0),M505/$I505*100,0))</f>
        <v>0</v>
      </c>
      <c r="K505" s="124">
        <f t="shared" ca="1" si="24"/>
        <v>0</v>
      </c>
      <c r="L505" s="379">
        <f ca="1">IF($A505="S",IF(CAIXA.Modo,BM.AFAcumulado,BM.MEDAcumulado),IF(AND(RegimeExecucao="Global",$I505&gt;0,COUNTIF($AB$13:$AM$13,BM.medicao)&gt;0),O505/$I505*100,0))</f>
        <v>0</v>
      </c>
      <c r="M505" s="380">
        <f ca="1">IF($A505="S",VTOTALBM,IF($A505=0,0,ROUND(SomaAgrupBM,15-13*ORÇAMENTO!$AF$11)))</f>
        <v>0</v>
      </c>
      <c r="N505" s="381">
        <f t="shared" ca="1" si="25"/>
        <v>0</v>
      </c>
      <c r="O505" s="127">
        <f ca="1">IF($A505="S",VTOTALBM,IF($A505=0,0,ROUND(SomaAgrupBM,15-13*ORÇAMENTO!$AF$11)))</f>
        <v>0</v>
      </c>
      <c r="Q505" s="382"/>
      <c r="R505" s="383"/>
      <c r="T505" s="119" t="str">
        <f t="shared" ca="1" si="26"/>
        <v/>
      </c>
      <c r="U505" s="172" t="str">
        <f t="shared" ca="1" si="27"/>
        <v/>
      </c>
      <c r="V505" s="173" t="str">
        <f ca="1">IF(AND($W505&gt;0,RegimeExecucao="Unitário"),$F505,"")</f>
        <v/>
      </c>
      <c r="W505" s="547">
        <f ca="1">IF($Y505&gt;0,CHOOSE(MATCH(RegimeExecucao,{"Unitário","Global"},0),IF($A505="S",$Y505/$X505,""),($Y505/$X505)*100),0)</f>
        <v>0</v>
      </c>
      <c r="X505" s="384" t="str">
        <f ca="1">IF($Y505&gt;0,CHOOSE(MATCH(RegimeExecucao,{"Unitário","Global"},0),IF($A505="S",ROUND($H505,ORÇAMENTO!$AF$10),""),ROUND($I505,ORÇAMENTO!$AF$11)),"")</f>
        <v/>
      </c>
      <c r="Y505" s="384">
        <f t="shared" ca="1" si="28"/>
        <v>0</v>
      </c>
      <c r="Z505" s="572"/>
      <c r="AB505" s="382"/>
      <c r="AC505" s="516"/>
      <c r="AD505" s="516"/>
      <c r="AE505" s="516"/>
      <c r="AF505" s="516"/>
      <c r="AG505" s="516"/>
      <c r="AH505" s="516"/>
      <c r="AI505" s="516"/>
      <c r="AJ505" s="516"/>
      <c r="AK505" s="516"/>
      <c r="AL505" s="516"/>
      <c r="AM505" s="383"/>
      <c r="AO505">
        <f ca="1">IF($A505="S",IF(BM!$I505=0,0,CHOOSE(MATCH(RegimeExecucao,{"Global","Unitário"},0),ROUND(ROUND(BM.MEDAcumulado,15-13*BM!$A$9)/100*BM!$I505,15-13*ORÇAMENTO!$AF$11),ROUND(ROUND(BM.MEDAcumulado,15-13*BM!$A$9)*ROUND(BM!$H505,15-13*ORÇAMENTO!$AF$10),15-13*ORÇAMENTO!$AF$11))),IF($A505=0,0,ROUND(SomaAgrupBM,15-13*ORÇAMENTO!$AF$11)))</f>
        <v>0</v>
      </c>
    </row>
    <row r="506" spans="1:41" x14ac:dyDescent="0.2">
      <c r="A506" t="str">
        <f ca="1">ORÇAMENTO!C506</f>
        <v>S</v>
      </c>
      <c r="B506">
        <f ca="1">ORÇAMENTO!D506</f>
        <v>0</v>
      </c>
      <c r="C506" s="116" t="str">
        <f t="shared" ca="1" si="22"/>
        <v/>
      </c>
      <c r="D506" s="119" t="str">
        <f ca="1">ORÇAMENTO!O506</f>
        <v>-</v>
      </c>
      <c r="E506" s="172" t="str">
        <f t="shared" ca="1" si="23"/>
        <v>(abra o arquivo 'Referência 02-2025.xlsm)</v>
      </c>
      <c r="F506" s="173" t="str">
        <f ca="1">IF(RegimeExecucao="Global","",ORÇAMENTO.Unidade)</f>
        <v>-</v>
      </c>
      <c r="G506" s="124">
        <f ca="1">IF(RegimeExecucao="Global","",ORÇAMENTO!T506)</f>
        <v>252</v>
      </c>
      <c r="H506" s="124">
        <f ca="1">IF(RegimeExecucao="Global","",ORÇAMENTO!W506)</f>
        <v>0</v>
      </c>
      <c r="I506" s="127">
        <f ca="1">ORÇAMENTO!X506</f>
        <v>0</v>
      </c>
      <c r="J506" s="378">
        <f ca="1">IF($A506="S",IF(CAIXA.Modo,BM.AFAnterior,BM.MEDAnterior),IF(AND(RegimeExecucao="Global",$I506&gt;0,COUNTIF($AB$13:$AM$13,BM.medicao-1)&gt;0),M506/$I506*100,0))</f>
        <v>0</v>
      </c>
      <c r="K506" s="124">
        <f t="shared" ca="1" si="24"/>
        <v>0</v>
      </c>
      <c r="L506" s="379">
        <f ca="1">IF($A506="S",IF(CAIXA.Modo,BM.AFAcumulado,BM.MEDAcumulado),IF(AND(RegimeExecucao="Global",$I506&gt;0,COUNTIF($AB$13:$AM$13,BM.medicao)&gt;0),O506/$I506*100,0))</f>
        <v>0</v>
      </c>
      <c r="M506" s="380">
        <f ca="1">IF($A506="S",VTOTALBM,IF($A506=0,0,ROUND(SomaAgrupBM,15-13*ORÇAMENTO!$AF$11)))</f>
        <v>0</v>
      </c>
      <c r="N506" s="381">
        <f t="shared" ca="1" si="25"/>
        <v>0</v>
      </c>
      <c r="O506" s="127">
        <f ca="1">IF($A506="S",VTOTALBM,IF($A506=0,0,ROUND(SomaAgrupBM,15-13*ORÇAMENTO!$AF$11)))</f>
        <v>0</v>
      </c>
      <c r="Q506" s="382"/>
      <c r="R506" s="383"/>
      <c r="T506" s="119" t="str">
        <f t="shared" ca="1" si="26"/>
        <v/>
      </c>
      <c r="U506" s="172" t="str">
        <f t="shared" ca="1" si="27"/>
        <v/>
      </c>
      <c r="V506" s="173" t="str">
        <f ca="1">IF(AND($W506&gt;0,RegimeExecucao="Unitário"),$F506,"")</f>
        <v/>
      </c>
      <c r="W506" s="547">
        <f ca="1">IF($Y506&gt;0,CHOOSE(MATCH(RegimeExecucao,{"Unitário","Global"},0),IF($A506="S",$Y506/$X506,""),($Y506/$X506)*100),0)</f>
        <v>0</v>
      </c>
      <c r="X506" s="384" t="str">
        <f ca="1">IF($Y506&gt;0,CHOOSE(MATCH(RegimeExecucao,{"Unitário","Global"},0),IF($A506="S",ROUND($H506,ORÇAMENTO!$AF$10),""),ROUND($I506,ORÇAMENTO!$AF$11)),"")</f>
        <v/>
      </c>
      <c r="Y506" s="384">
        <f t="shared" ca="1" si="28"/>
        <v>0</v>
      </c>
      <c r="Z506" s="572"/>
      <c r="AB506" s="382"/>
      <c r="AC506" s="516"/>
      <c r="AD506" s="516"/>
      <c r="AE506" s="516"/>
      <c r="AF506" s="516"/>
      <c r="AG506" s="516"/>
      <c r="AH506" s="516"/>
      <c r="AI506" s="516"/>
      <c r="AJ506" s="516"/>
      <c r="AK506" s="516"/>
      <c r="AL506" s="516"/>
      <c r="AM506" s="383"/>
      <c r="AO506">
        <f ca="1">IF($A506="S",IF(BM!$I506=0,0,CHOOSE(MATCH(RegimeExecucao,{"Global","Unitário"},0),ROUND(ROUND(BM.MEDAcumulado,15-13*BM!$A$9)/100*BM!$I506,15-13*ORÇAMENTO!$AF$11),ROUND(ROUND(BM.MEDAcumulado,15-13*BM!$A$9)*ROUND(BM!$H506,15-13*ORÇAMENTO!$AF$10),15-13*ORÇAMENTO!$AF$11))),IF($A506=0,0,ROUND(SomaAgrupBM,15-13*ORÇAMENTO!$AF$11)))</f>
        <v>0</v>
      </c>
    </row>
    <row r="507" spans="1:41" ht="25.5" x14ac:dyDescent="0.2">
      <c r="A507" t="str">
        <f ca="1">ORÇAMENTO!C507</f>
        <v>S</v>
      </c>
      <c r="B507">
        <f ca="1">ORÇAMENTO!D507</f>
        <v>0</v>
      </c>
      <c r="C507" s="116" t="str">
        <f t="shared" ca="1" si="22"/>
        <v/>
      </c>
      <c r="D507" s="119" t="str">
        <f ca="1">ORÇAMENTO!O507</f>
        <v>-</v>
      </c>
      <c r="E507" s="172" t="str">
        <f t="shared" ca="1" si="23"/>
        <v>(abra o arquivo 'Referência 02-2025.xlsm)</v>
      </c>
      <c r="F507" s="173" t="str">
        <f ca="1">IF(RegimeExecucao="Global","",ORÇAMENTO.Unidade)</f>
        <v>-</v>
      </c>
      <c r="G507" s="124">
        <f ca="1">IF(RegimeExecucao="Global","",ORÇAMENTO!T507)</f>
        <v>1</v>
      </c>
      <c r="H507" s="124">
        <f ca="1">IF(RegimeExecucao="Global","",ORÇAMENTO!W507)</f>
        <v>0</v>
      </c>
      <c r="I507" s="127">
        <f ca="1">ORÇAMENTO!X507</f>
        <v>0</v>
      </c>
      <c r="J507" s="378">
        <f ca="1">IF($A507="S",IF(CAIXA.Modo,BM.AFAnterior,BM.MEDAnterior),IF(AND(RegimeExecucao="Global",$I507&gt;0,COUNTIF($AB$13:$AM$13,BM.medicao-1)&gt;0),M507/$I507*100,0))</f>
        <v>0</v>
      </c>
      <c r="K507" s="124">
        <f t="shared" ca="1" si="24"/>
        <v>0</v>
      </c>
      <c r="L507" s="379">
        <f ca="1">IF($A507="S",IF(CAIXA.Modo,BM.AFAcumulado,BM.MEDAcumulado),IF(AND(RegimeExecucao="Global",$I507&gt;0,COUNTIF($AB$13:$AM$13,BM.medicao)&gt;0),O507/$I507*100,0))</f>
        <v>0</v>
      </c>
      <c r="M507" s="380">
        <f ca="1">IF($A507="S",VTOTALBM,IF($A507=0,0,ROUND(SomaAgrupBM,15-13*ORÇAMENTO!$AF$11)))</f>
        <v>0</v>
      </c>
      <c r="N507" s="381">
        <f t="shared" ca="1" si="25"/>
        <v>0</v>
      </c>
      <c r="O507" s="127">
        <f ca="1">IF($A507="S",VTOTALBM,IF($A507=0,0,ROUND(SomaAgrupBM,15-13*ORÇAMENTO!$AF$11)))</f>
        <v>0</v>
      </c>
      <c r="Q507" s="382"/>
      <c r="R507" s="383"/>
      <c r="T507" s="119" t="str">
        <f t="shared" ca="1" si="26"/>
        <v/>
      </c>
      <c r="U507" s="172" t="str">
        <f t="shared" ca="1" si="27"/>
        <v/>
      </c>
      <c r="V507" s="173" t="str">
        <f ca="1">IF(AND($W507&gt;0,RegimeExecucao="Unitário"),$F507,"")</f>
        <v/>
      </c>
      <c r="W507" s="547">
        <f ca="1">IF($Y507&gt;0,CHOOSE(MATCH(RegimeExecucao,{"Unitário","Global"},0),IF($A507="S",$Y507/$X507,""),($Y507/$X507)*100),0)</f>
        <v>0</v>
      </c>
      <c r="X507" s="384" t="str">
        <f ca="1">IF($Y507&gt;0,CHOOSE(MATCH(RegimeExecucao,{"Unitário","Global"},0),IF($A507="S",ROUND($H507,ORÇAMENTO!$AF$10),""),ROUND($I507,ORÇAMENTO!$AF$11)),"")</f>
        <v/>
      </c>
      <c r="Y507" s="384">
        <f t="shared" ca="1" si="28"/>
        <v>0</v>
      </c>
      <c r="Z507" s="572"/>
      <c r="AB507" s="382"/>
      <c r="AC507" s="516"/>
      <c r="AD507" s="516"/>
      <c r="AE507" s="516"/>
      <c r="AF507" s="516"/>
      <c r="AG507" s="516"/>
      <c r="AH507" s="516"/>
      <c r="AI507" s="516"/>
      <c r="AJ507" s="516"/>
      <c r="AK507" s="516"/>
      <c r="AL507" s="516"/>
      <c r="AM507" s="383"/>
      <c r="AO507">
        <f ca="1">IF($A507="S",IF(BM!$I507=0,0,CHOOSE(MATCH(RegimeExecucao,{"Global","Unitário"},0),ROUND(ROUND(BM.MEDAcumulado,15-13*BM!$A$9)/100*BM!$I507,15-13*ORÇAMENTO!$AF$11),ROUND(ROUND(BM.MEDAcumulado,15-13*BM!$A$9)*ROUND(BM!$H507,15-13*ORÇAMENTO!$AF$10),15-13*ORÇAMENTO!$AF$11))),IF($A507=0,0,ROUND(SomaAgrupBM,15-13*ORÇAMENTO!$AF$11)))</f>
        <v>0</v>
      </c>
    </row>
    <row r="508" spans="1:41" ht="25.5" x14ac:dyDescent="0.2">
      <c r="A508" t="str">
        <f ca="1">ORÇAMENTO!C508</f>
        <v>S</v>
      </c>
      <c r="B508">
        <f ca="1">ORÇAMENTO!D508</f>
        <v>0</v>
      </c>
      <c r="C508" s="116" t="str">
        <f t="shared" ca="1" si="22"/>
        <v/>
      </c>
      <c r="D508" s="119" t="str">
        <f ca="1">ORÇAMENTO!O508</f>
        <v>-</v>
      </c>
      <c r="E508" s="172" t="str">
        <f t="shared" ca="1" si="23"/>
        <v>(abra o arquivo 'Referência 02-2025.xlsm)</v>
      </c>
      <c r="F508" s="173" t="str">
        <f ca="1">IF(RegimeExecucao="Global","",ORÇAMENTO.Unidade)</f>
        <v>-</v>
      </c>
      <c r="G508" s="124">
        <f ca="1">IF(RegimeExecucao="Global","",ORÇAMENTO!T508)</f>
        <v>1</v>
      </c>
      <c r="H508" s="124">
        <f ca="1">IF(RegimeExecucao="Global","",ORÇAMENTO!W508)</f>
        <v>0</v>
      </c>
      <c r="I508" s="127">
        <f ca="1">ORÇAMENTO!X508</f>
        <v>0</v>
      </c>
      <c r="J508" s="378">
        <f ca="1">IF($A508="S",IF(CAIXA.Modo,BM.AFAnterior,BM.MEDAnterior),IF(AND(RegimeExecucao="Global",$I508&gt;0,COUNTIF($AB$13:$AM$13,BM.medicao-1)&gt;0),M508/$I508*100,0))</f>
        <v>0</v>
      </c>
      <c r="K508" s="124">
        <f t="shared" ca="1" si="24"/>
        <v>0</v>
      </c>
      <c r="L508" s="379">
        <f ca="1">IF($A508="S",IF(CAIXA.Modo,BM.AFAcumulado,BM.MEDAcumulado),IF(AND(RegimeExecucao="Global",$I508&gt;0,COUNTIF($AB$13:$AM$13,BM.medicao)&gt;0),O508/$I508*100,0))</f>
        <v>0</v>
      </c>
      <c r="M508" s="380">
        <f ca="1">IF($A508="S",VTOTALBM,IF($A508=0,0,ROUND(SomaAgrupBM,15-13*ORÇAMENTO!$AF$11)))</f>
        <v>0</v>
      </c>
      <c r="N508" s="381">
        <f t="shared" ca="1" si="25"/>
        <v>0</v>
      </c>
      <c r="O508" s="127">
        <f ca="1">IF($A508="S",VTOTALBM,IF($A508=0,0,ROUND(SomaAgrupBM,15-13*ORÇAMENTO!$AF$11)))</f>
        <v>0</v>
      </c>
      <c r="Q508" s="382"/>
      <c r="R508" s="383"/>
      <c r="T508" s="119" t="str">
        <f t="shared" ca="1" si="26"/>
        <v/>
      </c>
      <c r="U508" s="172" t="str">
        <f t="shared" ca="1" si="27"/>
        <v/>
      </c>
      <c r="V508" s="173" t="str">
        <f ca="1">IF(AND($W508&gt;0,RegimeExecucao="Unitário"),$F508,"")</f>
        <v/>
      </c>
      <c r="W508" s="547">
        <f ca="1">IF($Y508&gt;0,CHOOSE(MATCH(RegimeExecucao,{"Unitário","Global"},0),IF($A508="S",$Y508/$X508,""),($Y508/$X508)*100),0)</f>
        <v>0</v>
      </c>
      <c r="X508" s="384" t="str">
        <f ca="1">IF($Y508&gt;0,CHOOSE(MATCH(RegimeExecucao,{"Unitário","Global"},0),IF($A508="S",ROUND($H508,ORÇAMENTO!$AF$10),""),ROUND($I508,ORÇAMENTO!$AF$11)),"")</f>
        <v/>
      </c>
      <c r="Y508" s="384">
        <f t="shared" ca="1" si="28"/>
        <v>0</v>
      </c>
      <c r="Z508" s="572"/>
      <c r="AB508" s="382"/>
      <c r="AC508" s="516"/>
      <c r="AD508" s="516"/>
      <c r="AE508" s="516"/>
      <c r="AF508" s="516"/>
      <c r="AG508" s="516"/>
      <c r="AH508" s="516"/>
      <c r="AI508" s="516"/>
      <c r="AJ508" s="516"/>
      <c r="AK508" s="516"/>
      <c r="AL508" s="516"/>
      <c r="AM508" s="383"/>
      <c r="AO508">
        <f ca="1">IF($A508="S",IF(BM!$I508=0,0,CHOOSE(MATCH(RegimeExecucao,{"Global","Unitário"},0),ROUND(ROUND(BM.MEDAcumulado,15-13*BM!$A$9)/100*BM!$I508,15-13*ORÇAMENTO!$AF$11),ROUND(ROUND(BM.MEDAcumulado,15-13*BM!$A$9)*ROUND(BM!$H508,15-13*ORÇAMENTO!$AF$10),15-13*ORÇAMENTO!$AF$11))),IF($A508=0,0,ROUND(SomaAgrupBM,15-13*ORÇAMENTO!$AF$11)))</f>
        <v>0</v>
      </c>
    </row>
    <row r="509" spans="1:41" ht="25.5" x14ac:dyDescent="0.2">
      <c r="A509" t="str">
        <f ca="1">ORÇAMENTO!C509</f>
        <v>S</v>
      </c>
      <c r="B509">
        <f ca="1">ORÇAMENTO!D509</f>
        <v>0</v>
      </c>
      <c r="C509" s="116" t="str">
        <f t="shared" ca="1" si="22"/>
        <v/>
      </c>
      <c r="D509" s="119" t="str">
        <f ca="1">ORÇAMENTO!O509</f>
        <v>-</v>
      </c>
      <c r="E509" s="172" t="str">
        <f t="shared" ca="1" si="23"/>
        <v>(abra o arquivo 'Referência 02-2025.xlsm)</v>
      </c>
      <c r="F509" s="173" t="str">
        <f ca="1">IF(RegimeExecucao="Global","",ORÇAMENTO.Unidade)</f>
        <v>-</v>
      </c>
      <c r="G509" s="124">
        <f ca="1">IF(RegimeExecucao="Global","",ORÇAMENTO!T509)</f>
        <v>2</v>
      </c>
      <c r="H509" s="124">
        <f ca="1">IF(RegimeExecucao="Global","",ORÇAMENTO!W509)</f>
        <v>0</v>
      </c>
      <c r="I509" s="127">
        <f ca="1">ORÇAMENTO!X509</f>
        <v>0</v>
      </c>
      <c r="J509" s="378">
        <f ca="1">IF($A509="S",IF(CAIXA.Modo,BM.AFAnterior,BM.MEDAnterior),IF(AND(RegimeExecucao="Global",$I509&gt;0,COUNTIF($AB$13:$AM$13,BM.medicao-1)&gt;0),M509/$I509*100,0))</f>
        <v>0</v>
      </c>
      <c r="K509" s="124">
        <f t="shared" ca="1" si="24"/>
        <v>0</v>
      </c>
      <c r="L509" s="379">
        <f ca="1">IF($A509="S",IF(CAIXA.Modo,BM.AFAcumulado,BM.MEDAcumulado),IF(AND(RegimeExecucao="Global",$I509&gt;0,COUNTIF($AB$13:$AM$13,BM.medicao)&gt;0),O509/$I509*100,0))</f>
        <v>0</v>
      </c>
      <c r="M509" s="380">
        <f ca="1">IF($A509="S",VTOTALBM,IF($A509=0,0,ROUND(SomaAgrupBM,15-13*ORÇAMENTO!$AF$11)))</f>
        <v>0</v>
      </c>
      <c r="N509" s="381">
        <f t="shared" ca="1" si="25"/>
        <v>0</v>
      </c>
      <c r="O509" s="127">
        <f ca="1">IF($A509="S",VTOTALBM,IF($A509=0,0,ROUND(SomaAgrupBM,15-13*ORÇAMENTO!$AF$11)))</f>
        <v>0</v>
      </c>
      <c r="Q509" s="382"/>
      <c r="R509" s="383"/>
      <c r="T509" s="119" t="str">
        <f t="shared" ca="1" si="26"/>
        <v/>
      </c>
      <c r="U509" s="172" t="str">
        <f t="shared" ca="1" si="27"/>
        <v/>
      </c>
      <c r="V509" s="173" t="str">
        <f ca="1">IF(AND($W509&gt;0,RegimeExecucao="Unitário"),$F509,"")</f>
        <v/>
      </c>
      <c r="W509" s="547">
        <f ca="1">IF($Y509&gt;0,CHOOSE(MATCH(RegimeExecucao,{"Unitário","Global"},0),IF($A509="S",$Y509/$X509,""),($Y509/$X509)*100),0)</f>
        <v>0</v>
      </c>
      <c r="X509" s="384" t="str">
        <f ca="1">IF($Y509&gt;0,CHOOSE(MATCH(RegimeExecucao,{"Unitário","Global"},0),IF($A509="S",ROUND($H509,ORÇAMENTO!$AF$10),""),ROUND($I509,ORÇAMENTO!$AF$11)),"")</f>
        <v/>
      </c>
      <c r="Y509" s="384">
        <f t="shared" ca="1" si="28"/>
        <v>0</v>
      </c>
      <c r="Z509" s="572"/>
      <c r="AB509" s="382"/>
      <c r="AC509" s="516"/>
      <c r="AD509" s="516"/>
      <c r="AE509" s="516"/>
      <c r="AF509" s="516"/>
      <c r="AG509" s="516"/>
      <c r="AH509" s="516"/>
      <c r="AI509" s="516"/>
      <c r="AJ509" s="516"/>
      <c r="AK509" s="516"/>
      <c r="AL509" s="516"/>
      <c r="AM509" s="383"/>
      <c r="AO509">
        <f ca="1">IF($A509="S",IF(BM!$I509=0,0,CHOOSE(MATCH(RegimeExecucao,{"Global","Unitário"},0),ROUND(ROUND(BM.MEDAcumulado,15-13*BM!$A$9)/100*BM!$I509,15-13*ORÇAMENTO!$AF$11),ROUND(ROUND(BM.MEDAcumulado,15-13*BM!$A$9)*ROUND(BM!$H509,15-13*ORÇAMENTO!$AF$10),15-13*ORÇAMENTO!$AF$11))),IF($A509=0,0,ROUND(SomaAgrupBM,15-13*ORÇAMENTO!$AF$11)))</f>
        <v>0</v>
      </c>
    </row>
    <row r="510" spans="1:41" ht="25.5" x14ac:dyDescent="0.2">
      <c r="A510" t="str">
        <f ca="1">ORÇAMENTO!C510</f>
        <v>S</v>
      </c>
      <c r="B510">
        <f ca="1">ORÇAMENTO!D510</f>
        <v>0</v>
      </c>
      <c r="C510" s="116" t="str">
        <f t="shared" ca="1" si="22"/>
        <v/>
      </c>
      <c r="D510" s="119" t="str">
        <f ca="1">ORÇAMENTO!O510</f>
        <v>-</v>
      </c>
      <c r="E510" s="172" t="str">
        <f t="shared" ca="1" si="23"/>
        <v>(abra o arquivo 'Referência 02-2025.xlsm)</v>
      </c>
      <c r="F510" s="173" t="str">
        <f ca="1">IF(RegimeExecucao="Global","",ORÇAMENTO.Unidade)</f>
        <v>-</v>
      </c>
      <c r="G510" s="124">
        <f ca="1">IF(RegimeExecucao="Global","",ORÇAMENTO!T510)</f>
        <v>2.2000000000000002</v>
      </c>
      <c r="H510" s="124">
        <f ca="1">IF(RegimeExecucao="Global","",ORÇAMENTO!W510)</f>
        <v>0</v>
      </c>
      <c r="I510" s="127">
        <f ca="1">ORÇAMENTO!X510</f>
        <v>0</v>
      </c>
      <c r="J510" s="378">
        <f ca="1">IF($A510="S",IF(CAIXA.Modo,BM.AFAnterior,BM.MEDAnterior),IF(AND(RegimeExecucao="Global",$I510&gt;0,COUNTIF($AB$13:$AM$13,BM.medicao-1)&gt;0),M510/$I510*100,0))</f>
        <v>0</v>
      </c>
      <c r="K510" s="124">
        <f t="shared" ca="1" si="24"/>
        <v>0</v>
      </c>
      <c r="L510" s="379">
        <f ca="1">IF($A510="S",IF(CAIXA.Modo,BM.AFAcumulado,BM.MEDAcumulado),IF(AND(RegimeExecucao="Global",$I510&gt;0,COUNTIF($AB$13:$AM$13,BM.medicao)&gt;0),O510/$I510*100,0))</f>
        <v>0</v>
      </c>
      <c r="M510" s="380">
        <f ca="1">IF($A510="S",VTOTALBM,IF($A510=0,0,ROUND(SomaAgrupBM,15-13*ORÇAMENTO!$AF$11)))</f>
        <v>0</v>
      </c>
      <c r="N510" s="381">
        <f t="shared" ca="1" si="25"/>
        <v>0</v>
      </c>
      <c r="O510" s="127">
        <f ca="1">IF($A510="S",VTOTALBM,IF($A510=0,0,ROUND(SomaAgrupBM,15-13*ORÇAMENTO!$AF$11)))</f>
        <v>0</v>
      </c>
      <c r="Q510" s="382"/>
      <c r="R510" s="383"/>
      <c r="T510" s="119" t="str">
        <f t="shared" ca="1" si="26"/>
        <v/>
      </c>
      <c r="U510" s="172" t="str">
        <f t="shared" ca="1" si="27"/>
        <v/>
      </c>
      <c r="V510" s="173" t="str">
        <f ca="1">IF(AND($W510&gt;0,RegimeExecucao="Unitário"),$F510,"")</f>
        <v/>
      </c>
      <c r="W510" s="547">
        <f ca="1">IF($Y510&gt;0,CHOOSE(MATCH(RegimeExecucao,{"Unitário","Global"},0),IF($A510="S",$Y510/$X510,""),($Y510/$X510)*100),0)</f>
        <v>0</v>
      </c>
      <c r="X510" s="384" t="str">
        <f ca="1">IF($Y510&gt;0,CHOOSE(MATCH(RegimeExecucao,{"Unitário","Global"},0),IF($A510="S",ROUND($H510,ORÇAMENTO!$AF$10),""),ROUND($I510,ORÇAMENTO!$AF$11)),"")</f>
        <v/>
      </c>
      <c r="Y510" s="384">
        <f t="shared" ca="1" si="28"/>
        <v>0</v>
      </c>
      <c r="Z510" s="572"/>
      <c r="AB510" s="382"/>
      <c r="AC510" s="516"/>
      <c r="AD510" s="516"/>
      <c r="AE510" s="516"/>
      <c r="AF510" s="516"/>
      <c r="AG510" s="516"/>
      <c r="AH510" s="516"/>
      <c r="AI510" s="516"/>
      <c r="AJ510" s="516"/>
      <c r="AK510" s="516"/>
      <c r="AL510" s="516"/>
      <c r="AM510" s="383"/>
      <c r="AO510">
        <f ca="1">IF($A510="S",IF(BM!$I510=0,0,CHOOSE(MATCH(RegimeExecucao,{"Global","Unitário"},0),ROUND(ROUND(BM.MEDAcumulado,15-13*BM!$A$9)/100*BM!$I510,15-13*ORÇAMENTO!$AF$11),ROUND(ROUND(BM.MEDAcumulado,15-13*BM!$A$9)*ROUND(BM!$H510,15-13*ORÇAMENTO!$AF$10),15-13*ORÇAMENTO!$AF$11))),IF($A510=0,0,ROUND(SomaAgrupBM,15-13*ORÇAMENTO!$AF$11)))</f>
        <v>0</v>
      </c>
    </row>
    <row r="511" spans="1:41" ht="25.5" x14ac:dyDescent="0.2">
      <c r="A511" t="str">
        <f ca="1">ORÇAMENTO!C511</f>
        <v>S</v>
      </c>
      <c r="B511">
        <f ca="1">ORÇAMENTO!D511</f>
        <v>0</v>
      </c>
      <c r="C511" s="116" t="str">
        <f t="shared" ca="1" si="22"/>
        <v/>
      </c>
      <c r="D511" s="119" t="str">
        <f ca="1">ORÇAMENTO!O511</f>
        <v>-</v>
      </c>
      <c r="E511" s="172" t="str">
        <f t="shared" ca="1" si="23"/>
        <v>(abra o arquivo 'Referência 02-2025.xlsm)</v>
      </c>
      <c r="F511" s="173" t="str">
        <f ca="1">IF(RegimeExecucao="Global","",ORÇAMENTO.Unidade)</f>
        <v>-</v>
      </c>
      <c r="G511" s="124">
        <f ca="1">IF(RegimeExecucao="Global","",ORÇAMENTO!T511)</f>
        <v>1</v>
      </c>
      <c r="H511" s="124">
        <f ca="1">IF(RegimeExecucao="Global","",ORÇAMENTO!W511)</f>
        <v>0</v>
      </c>
      <c r="I511" s="127">
        <f ca="1">ORÇAMENTO!X511</f>
        <v>0</v>
      </c>
      <c r="J511" s="378">
        <f ca="1">IF($A511="S",IF(CAIXA.Modo,BM.AFAnterior,BM.MEDAnterior),IF(AND(RegimeExecucao="Global",$I511&gt;0,COUNTIF($AB$13:$AM$13,BM.medicao-1)&gt;0),M511/$I511*100,0))</f>
        <v>0</v>
      </c>
      <c r="K511" s="124">
        <f t="shared" ca="1" si="24"/>
        <v>0</v>
      </c>
      <c r="L511" s="379">
        <f ca="1">IF($A511="S",IF(CAIXA.Modo,BM.AFAcumulado,BM.MEDAcumulado),IF(AND(RegimeExecucao="Global",$I511&gt;0,COUNTIF($AB$13:$AM$13,BM.medicao)&gt;0),O511/$I511*100,0))</f>
        <v>0</v>
      </c>
      <c r="M511" s="380">
        <f ca="1">IF($A511="S",VTOTALBM,IF($A511=0,0,ROUND(SomaAgrupBM,15-13*ORÇAMENTO!$AF$11)))</f>
        <v>0</v>
      </c>
      <c r="N511" s="381">
        <f t="shared" ca="1" si="25"/>
        <v>0</v>
      </c>
      <c r="O511" s="127">
        <f ca="1">IF($A511="S",VTOTALBM,IF($A511=0,0,ROUND(SomaAgrupBM,15-13*ORÇAMENTO!$AF$11)))</f>
        <v>0</v>
      </c>
      <c r="Q511" s="382"/>
      <c r="R511" s="383"/>
      <c r="T511" s="119" t="str">
        <f t="shared" ca="1" si="26"/>
        <v/>
      </c>
      <c r="U511" s="172" t="str">
        <f t="shared" ca="1" si="27"/>
        <v/>
      </c>
      <c r="V511" s="173" t="str">
        <f ca="1">IF(AND($W511&gt;0,RegimeExecucao="Unitário"),$F511,"")</f>
        <v/>
      </c>
      <c r="W511" s="547">
        <f ca="1">IF($Y511&gt;0,CHOOSE(MATCH(RegimeExecucao,{"Unitário","Global"},0),IF($A511="S",$Y511/$X511,""),($Y511/$X511)*100),0)</f>
        <v>0</v>
      </c>
      <c r="X511" s="384" t="str">
        <f ca="1">IF($Y511&gt;0,CHOOSE(MATCH(RegimeExecucao,{"Unitário","Global"},0),IF($A511="S",ROUND($H511,ORÇAMENTO!$AF$10),""),ROUND($I511,ORÇAMENTO!$AF$11)),"")</f>
        <v/>
      </c>
      <c r="Y511" s="384">
        <f t="shared" ca="1" si="28"/>
        <v>0</v>
      </c>
      <c r="Z511" s="572"/>
      <c r="AB511" s="382"/>
      <c r="AC511" s="516"/>
      <c r="AD511" s="516"/>
      <c r="AE511" s="516"/>
      <c r="AF511" s="516"/>
      <c r="AG511" s="516"/>
      <c r="AH511" s="516"/>
      <c r="AI511" s="516"/>
      <c r="AJ511" s="516"/>
      <c r="AK511" s="516"/>
      <c r="AL511" s="516"/>
      <c r="AM511" s="383"/>
      <c r="AO511">
        <f ca="1">IF($A511="S",IF(BM!$I511=0,0,CHOOSE(MATCH(RegimeExecucao,{"Global","Unitário"},0),ROUND(ROUND(BM.MEDAcumulado,15-13*BM!$A$9)/100*BM!$I511,15-13*ORÇAMENTO!$AF$11),ROUND(ROUND(BM.MEDAcumulado,15-13*BM!$A$9)*ROUND(BM!$H511,15-13*ORÇAMENTO!$AF$10),15-13*ORÇAMENTO!$AF$11))),IF($A511=0,0,ROUND(SomaAgrupBM,15-13*ORÇAMENTO!$AF$11)))</f>
        <v>0</v>
      </c>
    </row>
    <row r="512" spans="1:41" ht="25.5" x14ac:dyDescent="0.2">
      <c r="A512" t="str">
        <f ca="1">ORÇAMENTO!C512</f>
        <v>S</v>
      </c>
      <c r="B512">
        <f ca="1">ORÇAMENTO!D512</f>
        <v>0</v>
      </c>
      <c r="C512" s="116" t="str">
        <f t="shared" ca="1" si="22"/>
        <v/>
      </c>
      <c r="D512" s="119" t="str">
        <f ca="1">ORÇAMENTO!O512</f>
        <v>-</v>
      </c>
      <c r="E512" s="172" t="str">
        <f t="shared" ca="1" si="23"/>
        <v>(abra o arquivo 'Referência 02-2025.xlsm)</v>
      </c>
      <c r="F512" s="173" t="str">
        <f ca="1">IF(RegimeExecucao="Global","",ORÇAMENTO.Unidade)</f>
        <v>-</v>
      </c>
      <c r="G512" s="124">
        <f ca="1">IF(RegimeExecucao="Global","",ORÇAMENTO!T512)</f>
        <v>1</v>
      </c>
      <c r="H512" s="124">
        <f ca="1">IF(RegimeExecucao="Global","",ORÇAMENTO!W512)</f>
        <v>0</v>
      </c>
      <c r="I512" s="127">
        <f ca="1">ORÇAMENTO!X512</f>
        <v>0</v>
      </c>
      <c r="J512" s="378">
        <f ca="1">IF($A512="S",IF(CAIXA.Modo,BM.AFAnterior,BM.MEDAnterior),IF(AND(RegimeExecucao="Global",$I512&gt;0,COUNTIF($AB$13:$AM$13,BM.medicao-1)&gt;0),M512/$I512*100,0))</f>
        <v>0</v>
      </c>
      <c r="K512" s="124">
        <f t="shared" ca="1" si="24"/>
        <v>0</v>
      </c>
      <c r="L512" s="379">
        <f ca="1">IF($A512="S",IF(CAIXA.Modo,BM.AFAcumulado,BM.MEDAcumulado),IF(AND(RegimeExecucao="Global",$I512&gt;0,COUNTIF($AB$13:$AM$13,BM.medicao)&gt;0),O512/$I512*100,0))</f>
        <v>0</v>
      </c>
      <c r="M512" s="380">
        <f ca="1">IF($A512="S",VTOTALBM,IF($A512=0,0,ROUND(SomaAgrupBM,15-13*ORÇAMENTO!$AF$11)))</f>
        <v>0</v>
      </c>
      <c r="N512" s="381">
        <f t="shared" ca="1" si="25"/>
        <v>0</v>
      </c>
      <c r="O512" s="127">
        <f ca="1">IF($A512="S",VTOTALBM,IF($A512=0,0,ROUND(SomaAgrupBM,15-13*ORÇAMENTO!$AF$11)))</f>
        <v>0</v>
      </c>
      <c r="Q512" s="382"/>
      <c r="R512" s="383"/>
      <c r="T512" s="119" t="str">
        <f t="shared" ca="1" si="26"/>
        <v/>
      </c>
      <c r="U512" s="172" t="str">
        <f t="shared" ca="1" si="27"/>
        <v/>
      </c>
      <c r="V512" s="173" t="str">
        <f ca="1">IF(AND($W512&gt;0,RegimeExecucao="Unitário"),$F512,"")</f>
        <v/>
      </c>
      <c r="W512" s="547">
        <f ca="1">IF($Y512&gt;0,CHOOSE(MATCH(RegimeExecucao,{"Unitário","Global"},0),IF($A512="S",$Y512/$X512,""),($Y512/$X512)*100),0)</f>
        <v>0</v>
      </c>
      <c r="X512" s="384" t="str">
        <f ca="1">IF($Y512&gt;0,CHOOSE(MATCH(RegimeExecucao,{"Unitário","Global"},0),IF($A512="S",ROUND($H512,ORÇAMENTO!$AF$10),""),ROUND($I512,ORÇAMENTO!$AF$11)),"")</f>
        <v/>
      </c>
      <c r="Y512" s="384">
        <f t="shared" ca="1" si="28"/>
        <v>0</v>
      </c>
      <c r="Z512" s="572"/>
      <c r="AB512" s="382"/>
      <c r="AC512" s="516"/>
      <c r="AD512" s="516"/>
      <c r="AE512" s="516"/>
      <c r="AF512" s="516"/>
      <c r="AG512" s="516"/>
      <c r="AH512" s="516"/>
      <c r="AI512" s="516"/>
      <c r="AJ512" s="516"/>
      <c r="AK512" s="516"/>
      <c r="AL512" s="516"/>
      <c r="AM512" s="383"/>
      <c r="AO512">
        <f ca="1">IF($A512="S",IF(BM!$I512=0,0,CHOOSE(MATCH(RegimeExecucao,{"Global","Unitário"},0),ROUND(ROUND(BM.MEDAcumulado,15-13*BM!$A$9)/100*BM!$I512,15-13*ORÇAMENTO!$AF$11),ROUND(ROUND(BM.MEDAcumulado,15-13*BM!$A$9)*ROUND(BM!$H512,15-13*ORÇAMENTO!$AF$10),15-13*ORÇAMENTO!$AF$11))),IF($A512=0,0,ROUND(SomaAgrupBM,15-13*ORÇAMENTO!$AF$11)))</f>
        <v>0</v>
      </c>
    </row>
    <row r="513" spans="1:41" ht="25.5" x14ac:dyDescent="0.2">
      <c r="A513" t="str">
        <f ca="1">ORÇAMENTO!C513</f>
        <v>S</v>
      </c>
      <c r="B513">
        <f ca="1">ORÇAMENTO!D513</f>
        <v>0</v>
      </c>
      <c r="C513" s="116" t="str">
        <f t="shared" ca="1" si="22"/>
        <v/>
      </c>
      <c r="D513" s="119" t="str">
        <f ca="1">ORÇAMENTO!O513</f>
        <v>-</v>
      </c>
      <c r="E513" s="172" t="str">
        <f t="shared" ca="1" si="23"/>
        <v>(abra o arquivo 'Referência 02-2025.xlsm)</v>
      </c>
      <c r="F513" s="173" t="str">
        <f ca="1">IF(RegimeExecucao="Global","",ORÇAMENTO.Unidade)</f>
        <v>-</v>
      </c>
      <c r="G513" s="124">
        <f ca="1">IF(RegimeExecucao="Global","",ORÇAMENTO!T513)</f>
        <v>5</v>
      </c>
      <c r="H513" s="124">
        <f ca="1">IF(RegimeExecucao="Global","",ORÇAMENTO!W513)</f>
        <v>0</v>
      </c>
      <c r="I513" s="127">
        <f ca="1">ORÇAMENTO!X513</f>
        <v>0</v>
      </c>
      <c r="J513" s="378">
        <f ca="1">IF($A513="S",IF(CAIXA.Modo,BM.AFAnterior,BM.MEDAnterior),IF(AND(RegimeExecucao="Global",$I513&gt;0,COUNTIF($AB$13:$AM$13,BM.medicao-1)&gt;0),M513/$I513*100,0))</f>
        <v>0</v>
      </c>
      <c r="K513" s="124">
        <f t="shared" ca="1" si="24"/>
        <v>0</v>
      </c>
      <c r="L513" s="379">
        <f ca="1">IF($A513="S",IF(CAIXA.Modo,BM.AFAcumulado,BM.MEDAcumulado),IF(AND(RegimeExecucao="Global",$I513&gt;0,COUNTIF($AB$13:$AM$13,BM.medicao)&gt;0),O513/$I513*100,0))</f>
        <v>0</v>
      </c>
      <c r="M513" s="380">
        <f ca="1">IF($A513="S",VTOTALBM,IF($A513=0,0,ROUND(SomaAgrupBM,15-13*ORÇAMENTO!$AF$11)))</f>
        <v>0</v>
      </c>
      <c r="N513" s="381">
        <f t="shared" ca="1" si="25"/>
        <v>0</v>
      </c>
      <c r="O513" s="127">
        <f ca="1">IF($A513="S",VTOTALBM,IF($A513=0,0,ROUND(SomaAgrupBM,15-13*ORÇAMENTO!$AF$11)))</f>
        <v>0</v>
      </c>
      <c r="Q513" s="382"/>
      <c r="R513" s="383"/>
      <c r="T513" s="119" t="str">
        <f t="shared" ca="1" si="26"/>
        <v/>
      </c>
      <c r="U513" s="172" t="str">
        <f t="shared" ca="1" si="27"/>
        <v/>
      </c>
      <c r="V513" s="173" t="str">
        <f ca="1">IF(AND($W513&gt;0,RegimeExecucao="Unitário"),$F513,"")</f>
        <v/>
      </c>
      <c r="W513" s="547">
        <f ca="1">IF($Y513&gt;0,CHOOSE(MATCH(RegimeExecucao,{"Unitário","Global"},0),IF($A513="S",$Y513/$X513,""),($Y513/$X513)*100),0)</f>
        <v>0</v>
      </c>
      <c r="X513" s="384" t="str">
        <f ca="1">IF($Y513&gt;0,CHOOSE(MATCH(RegimeExecucao,{"Unitário","Global"},0),IF($A513="S",ROUND($H513,ORÇAMENTO!$AF$10),""),ROUND($I513,ORÇAMENTO!$AF$11)),"")</f>
        <v/>
      </c>
      <c r="Y513" s="384">
        <f t="shared" ca="1" si="28"/>
        <v>0</v>
      </c>
      <c r="Z513" s="572"/>
      <c r="AB513" s="382"/>
      <c r="AC513" s="516"/>
      <c r="AD513" s="516"/>
      <c r="AE513" s="516"/>
      <c r="AF513" s="516"/>
      <c r="AG513" s="516"/>
      <c r="AH513" s="516"/>
      <c r="AI513" s="516"/>
      <c r="AJ513" s="516"/>
      <c r="AK513" s="516"/>
      <c r="AL513" s="516"/>
      <c r="AM513" s="383"/>
      <c r="AO513">
        <f ca="1">IF($A513="S",IF(BM!$I513=0,0,CHOOSE(MATCH(RegimeExecucao,{"Global","Unitário"},0),ROUND(ROUND(BM.MEDAcumulado,15-13*BM!$A$9)/100*BM!$I513,15-13*ORÇAMENTO!$AF$11),ROUND(ROUND(BM.MEDAcumulado,15-13*BM!$A$9)*ROUND(BM!$H513,15-13*ORÇAMENTO!$AF$10),15-13*ORÇAMENTO!$AF$11))),IF($A513=0,0,ROUND(SomaAgrupBM,15-13*ORÇAMENTO!$AF$11)))</f>
        <v>0</v>
      </c>
    </row>
    <row r="514" spans="1:41" ht="25.5" x14ac:dyDescent="0.2">
      <c r="A514" t="str">
        <f ca="1">ORÇAMENTO!C514</f>
        <v>S</v>
      </c>
      <c r="B514">
        <f ca="1">ORÇAMENTO!D514</f>
        <v>0</v>
      </c>
      <c r="C514" s="116" t="str">
        <f t="shared" ca="1" si="22"/>
        <v/>
      </c>
      <c r="D514" s="119" t="str">
        <f ca="1">ORÇAMENTO!O514</f>
        <v>-</v>
      </c>
      <c r="E514" s="172" t="str">
        <f t="shared" ca="1" si="23"/>
        <v>(abra o arquivo 'Referência 02-2025.xlsm)</v>
      </c>
      <c r="F514" s="173" t="str">
        <f ca="1">IF(RegimeExecucao="Global","",ORÇAMENTO.Unidade)</f>
        <v>-</v>
      </c>
      <c r="G514" s="124">
        <f ca="1">IF(RegimeExecucao="Global","",ORÇAMENTO!T514)</f>
        <v>1</v>
      </c>
      <c r="H514" s="124">
        <f ca="1">IF(RegimeExecucao="Global","",ORÇAMENTO!W514)</f>
        <v>0</v>
      </c>
      <c r="I514" s="127">
        <f ca="1">ORÇAMENTO!X514</f>
        <v>0</v>
      </c>
      <c r="J514" s="378">
        <f ca="1">IF($A514="S",IF(CAIXA.Modo,BM.AFAnterior,BM.MEDAnterior),IF(AND(RegimeExecucao="Global",$I514&gt;0,COUNTIF($AB$13:$AM$13,BM.medicao-1)&gt;0),M514/$I514*100,0))</f>
        <v>0</v>
      </c>
      <c r="K514" s="124">
        <f t="shared" ca="1" si="24"/>
        <v>0</v>
      </c>
      <c r="L514" s="379">
        <f ca="1">IF($A514="S",IF(CAIXA.Modo,BM.AFAcumulado,BM.MEDAcumulado),IF(AND(RegimeExecucao="Global",$I514&gt;0,COUNTIF($AB$13:$AM$13,BM.medicao)&gt;0),O514/$I514*100,0))</f>
        <v>0</v>
      </c>
      <c r="M514" s="380">
        <f ca="1">IF($A514="S",VTOTALBM,IF($A514=0,0,ROUND(SomaAgrupBM,15-13*ORÇAMENTO!$AF$11)))</f>
        <v>0</v>
      </c>
      <c r="N514" s="381">
        <f t="shared" ca="1" si="25"/>
        <v>0</v>
      </c>
      <c r="O514" s="127">
        <f ca="1">IF($A514="S",VTOTALBM,IF($A514=0,0,ROUND(SomaAgrupBM,15-13*ORÇAMENTO!$AF$11)))</f>
        <v>0</v>
      </c>
      <c r="Q514" s="382"/>
      <c r="R514" s="383"/>
      <c r="T514" s="119" t="str">
        <f t="shared" ca="1" si="26"/>
        <v/>
      </c>
      <c r="U514" s="172" t="str">
        <f t="shared" ca="1" si="27"/>
        <v/>
      </c>
      <c r="V514" s="173" t="str">
        <f ca="1">IF(AND($W514&gt;0,RegimeExecucao="Unitário"),$F514,"")</f>
        <v/>
      </c>
      <c r="W514" s="547">
        <f ca="1">IF($Y514&gt;0,CHOOSE(MATCH(RegimeExecucao,{"Unitário","Global"},0),IF($A514="S",$Y514/$X514,""),($Y514/$X514)*100),0)</f>
        <v>0</v>
      </c>
      <c r="X514" s="384" t="str">
        <f ca="1">IF($Y514&gt;0,CHOOSE(MATCH(RegimeExecucao,{"Unitário","Global"},0),IF($A514="S",ROUND($H514,ORÇAMENTO!$AF$10),""),ROUND($I514,ORÇAMENTO!$AF$11)),"")</f>
        <v/>
      </c>
      <c r="Y514" s="384">
        <f t="shared" ca="1" si="28"/>
        <v>0</v>
      </c>
      <c r="Z514" s="572"/>
      <c r="AB514" s="382"/>
      <c r="AC514" s="516"/>
      <c r="AD514" s="516"/>
      <c r="AE514" s="516"/>
      <c r="AF514" s="516"/>
      <c r="AG514" s="516"/>
      <c r="AH514" s="516"/>
      <c r="AI514" s="516"/>
      <c r="AJ514" s="516"/>
      <c r="AK514" s="516"/>
      <c r="AL514" s="516"/>
      <c r="AM514" s="383"/>
      <c r="AO514">
        <f ca="1">IF($A514="S",IF(BM!$I514=0,0,CHOOSE(MATCH(RegimeExecucao,{"Global","Unitário"},0),ROUND(ROUND(BM.MEDAcumulado,15-13*BM!$A$9)/100*BM!$I514,15-13*ORÇAMENTO!$AF$11),ROUND(ROUND(BM.MEDAcumulado,15-13*BM!$A$9)*ROUND(BM!$H514,15-13*ORÇAMENTO!$AF$10),15-13*ORÇAMENTO!$AF$11))),IF($A514=0,0,ROUND(SomaAgrupBM,15-13*ORÇAMENTO!$AF$11)))</f>
        <v>0</v>
      </c>
    </row>
    <row r="515" spans="1:41" ht="25.5" x14ac:dyDescent="0.2">
      <c r="A515" t="str">
        <f ca="1">ORÇAMENTO!C515</f>
        <v>S</v>
      </c>
      <c r="B515">
        <f ca="1">ORÇAMENTO!D515</f>
        <v>0</v>
      </c>
      <c r="C515" s="116" t="str">
        <f t="shared" ca="1" si="22"/>
        <v/>
      </c>
      <c r="D515" s="119" t="str">
        <f ca="1">ORÇAMENTO!O515</f>
        <v>-</v>
      </c>
      <c r="E515" s="172" t="str">
        <f t="shared" ca="1" si="23"/>
        <v>(abra o arquivo 'Referência 02-2025.xlsm)</v>
      </c>
      <c r="F515" s="173" t="str">
        <f ca="1">IF(RegimeExecucao="Global","",ORÇAMENTO.Unidade)</f>
        <v>-</v>
      </c>
      <c r="G515" s="124">
        <f ca="1">IF(RegimeExecucao="Global","",ORÇAMENTO!T515)</f>
        <v>1</v>
      </c>
      <c r="H515" s="124">
        <f ca="1">IF(RegimeExecucao="Global","",ORÇAMENTO!W515)</f>
        <v>0</v>
      </c>
      <c r="I515" s="127">
        <f ca="1">ORÇAMENTO!X515</f>
        <v>0</v>
      </c>
      <c r="J515" s="378">
        <f ca="1">IF($A515="S",IF(CAIXA.Modo,BM.AFAnterior,BM.MEDAnterior),IF(AND(RegimeExecucao="Global",$I515&gt;0,COUNTIF($AB$13:$AM$13,BM.medicao-1)&gt;0),M515/$I515*100,0))</f>
        <v>0</v>
      </c>
      <c r="K515" s="124">
        <f t="shared" ca="1" si="24"/>
        <v>0</v>
      </c>
      <c r="L515" s="379">
        <f ca="1">IF($A515="S",IF(CAIXA.Modo,BM.AFAcumulado,BM.MEDAcumulado),IF(AND(RegimeExecucao="Global",$I515&gt;0,COUNTIF($AB$13:$AM$13,BM.medicao)&gt;0),O515/$I515*100,0))</f>
        <v>0</v>
      </c>
      <c r="M515" s="380">
        <f ca="1">IF($A515="S",VTOTALBM,IF($A515=0,0,ROUND(SomaAgrupBM,15-13*ORÇAMENTO!$AF$11)))</f>
        <v>0</v>
      </c>
      <c r="N515" s="381">
        <f t="shared" ca="1" si="25"/>
        <v>0</v>
      </c>
      <c r="O515" s="127">
        <f ca="1">IF($A515="S",VTOTALBM,IF($A515=0,0,ROUND(SomaAgrupBM,15-13*ORÇAMENTO!$AF$11)))</f>
        <v>0</v>
      </c>
      <c r="Q515" s="382"/>
      <c r="R515" s="383"/>
      <c r="T515" s="119" t="str">
        <f t="shared" ca="1" si="26"/>
        <v/>
      </c>
      <c r="U515" s="172" t="str">
        <f t="shared" ca="1" si="27"/>
        <v/>
      </c>
      <c r="V515" s="173" t="str">
        <f ca="1">IF(AND($W515&gt;0,RegimeExecucao="Unitário"),$F515,"")</f>
        <v/>
      </c>
      <c r="W515" s="547">
        <f ca="1">IF($Y515&gt;0,CHOOSE(MATCH(RegimeExecucao,{"Unitário","Global"},0),IF($A515="S",$Y515/$X515,""),($Y515/$X515)*100),0)</f>
        <v>0</v>
      </c>
      <c r="X515" s="384" t="str">
        <f ca="1">IF($Y515&gt;0,CHOOSE(MATCH(RegimeExecucao,{"Unitário","Global"},0),IF($A515="S",ROUND($H515,ORÇAMENTO!$AF$10),""),ROUND($I515,ORÇAMENTO!$AF$11)),"")</f>
        <v/>
      </c>
      <c r="Y515" s="384">
        <f t="shared" ca="1" si="28"/>
        <v>0</v>
      </c>
      <c r="Z515" s="572"/>
      <c r="AB515" s="382"/>
      <c r="AC515" s="516"/>
      <c r="AD515" s="516"/>
      <c r="AE515" s="516"/>
      <c r="AF515" s="516"/>
      <c r="AG515" s="516"/>
      <c r="AH515" s="516"/>
      <c r="AI515" s="516"/>
      <c r="AJ515" s="516"/>
      <c r="AK515" s="516"/>
      <c r="AL515" s="516"/>
      <c r="AM515" s="383"/>
      <c r="AO515">
        <f ca="1">IF($A515="S",IF(BM!$I515=0,0,CHOOSE(MATCH(RegimeExecucao,{"Global","Unitário"},0),ROUND(ROUND(BM.MEDAcumulado,15-13*BM!$A$9)/100*BM!$I515,15-13*ORÇAMENTO!$AF$11),ROUND(ROUND(BM.MEDAcumulado,15-13*BM!$A$9)*ROUND(BM!$H515,15-13*ORÇAMENTO!$AF$10),15-13*ORÇAMENTO!$AF$11))),IF($A515=0,0,ROUND(SomaAgrupBM,15-13*ORÇAMENTO!$AF$11)))</f>
        <v>0</v>
      </c>
    </row>
    <row r="516" spans="1:41" ht="25.5" x14ac:dyDescent="0.2">
      <c r="A516" t="str">
        <f ca="1">ORÇAMENTO!C516</f>
        <v>S</v>
      </c>
      <c r="B516">
        <f ca="1">ORÇAMENTO!D516</f>
        <v>0</v>
      </c>
      <c r="C516" s="116" t="str">
        <f t="shared" ca="1" si="22"/>
        <v/>
      </c>
      <c r="D516" s="119" t="str">
        <f ca="1">ORÇAMENTO!O516</f>
        <v>-</v>
      </c>
      <c r="E516" s="172" t="str">
        <f t="shared" ca="1" si="23"/>
        <v>(abra o arquivo 'Referência 02-2025.xlsm)</v>
      </c>
      <c r="F516" s="173" t="str">
        <f ca="1">IF(RegimeExecucao="Global","",ORÇAMENTO.Unidade)</f>
        <v>-</v>
      </c>
      <c r="G516" s="124">
        <f ca="1">IF(RegimeExecucao="Global","",ORÇAMENTO!T516)</f>
        <v>16</v>
      </c>
      <c r="H516" s="124">
        <f ca="1">IF(RegimeExecucao="Global","",ORÇAMENTO!W516)</f>
        <v>0</v>
      </c>
      <c r="I516" s="127">
        <f ca="1">ORÇAMENTO!X516</f>
        <v>0</v>
      </c>
      <c r="J516" s="378">
        <f ca="1">IF($A516="S",IF(CAIXA.Modo,BM.AFAnterior,BM.MEDAnterior),IF(AND(RegimeExecucao="Global",$I516&gt;0,COUNTIF($AB$13:$AM$13,BM.medicao-1)&gt;0),M516/$I516*100,0))</f>
        <v>0</v>
      </c>
      <c r="K516" s="124">
        <f t="shared" ca="1" si="24"/>
        <v>0</v>
      </c>
      <c r="L516" s="379">
        <f ca="1">IF($A516="S",IF(CAIXA.Modo,BM.AFAcumulado,BM.MEDAcumulado),IF(AND(RegimeExecucao="Global",$I516&gt;0,COUNTIF($AB$13:$AM$13,BM.medicao)&gt;0),O516/$I516*100,0))</f>
        <v>0</v>
      </c>
      <c r="M516" s="380">
        <f ca="1">IF($A516="S",VTOTALBM,IF($A516=0,0,ROUND(SomaAgrupBM,15-13*ORÇAMENTO!$AF$11)))</f>
        <v>0</v>
      </c>
      <c r="N516" s="381">
        <f t="shared" ca="1" si="25"/>
        <v>0</v>
      </c>
      <c r="O516" s="127">
        <f ca="1">IF($A516="S",VTOTALBM,IF($A516=0,0,ROUND(SomaAgrupBM,15-13*ORÇAMENTO!$AF$11)))</f>
        <v>0</v>
      </c>
      <c r="Q516" s="382"/>
      <c r="R516" s="383"/>
      <c r="T516" s="119" t="str">
        <f t="shared" ca="1" si="26"/>
        <v/>
      </c>
      <c r="U516" s="172" t="str">
        <f t="shared" ca="1" si="27"/>
        <v/>
      </c>
      <c r="V516" s="173" t="str">
        <f ca="1">IF(AND($W516&gt;0,RegimeExecucao="Unitário"),$F516,"")</f>
        <v/>
      </c>
      <c r="W516" s="547">
        <f ca="1">IF($Y516&gt;0,CHOOSE(MATCH(RegimeExecucao,{"Unitário","Global"},0),IF($A516="S",$Y516/$X516,""),($Y516/$X516)*100),0)</f>
        <v>0</v>
      </c>
      <c r="X516" s="384" t="str">
        <f ca="1">IF($Y516&gt;0,CHOOSE(MATCH(RegimeExecucao,{"Unitário","Global"},0),IF($A516="S",ROUND($H516,ORÇAMENTO!$AF$10),""),ROUND($I516,ORÇAMENTO!$AF$11)),"")</f>
        <v/>
      </c>
      <c r="Y516" s="384">
        <f t="shared" ca="1" si="28"/>
        <v>0</v>
      </c>
      <c r="Z516" s="572"/>
      <c r="AB516" s="382"/>
      <c r="AC516" s="516"/>
      <c r="AD516" s="516"/>
      <c r="AE516" s="516"/>
      <c r="AF516" s="516"/>
      <c r="AG516" s="516"/>
      <c r="AH516" s="516"/>
      <c r="AI516" s="516"/>
      <c r="AJ516" s="516"/>
      <c r="AK516" s="516"/>
      <c r="AL516" s="516"/>
      <c r="AM516" s="383"/>
      <c r="AO516">
        <f ca="1">IF($A516="S",IF(BM!$I516=0,0,CHOOSE(MATCH(RegimeExecucao,{"Global","Unitário"},0),ROUND(ROUND(BM.MEDAcumulado,15-13*BM!$A$9)/100*BM!$I516,15-13*ORÇAMENTO!$AF$11),ROUND(ROUND(BM.MEDAcumulado,15-13*BM!$A$9)*ROUND(BM!$H516,15-13*ORÇAMENTO!$AF$10),15-13*ORÇAMENTO!$AF$11))),IF($A516=0,0,ROUND(SomaAgrupBM,15-13*ORÇAMENTO!$AF$11)))</f>
        <v>0</v>
      </c>
    </row>
    <row r="517" spans="1:41" ht="25.5" x14ac:dyDescent="0.2">
      <c r="A517" t="str">
        <f ca="1">ORÇAMENTO!C517</f>
        <v>S</v>
      </c>
      <c r="B517">
        <f ca="1">ORÇAMENTO!D517</f>
        <v>0</v>
      </c>
      <c r="C517" s="116" t="str">
        <f t="shared" ca="1" si="22"/>
        <v/>
      </c>
      <c r="D517" s="119" t="str">
        <f ca="1">ORÇAMENTO!O517</f>
        <v>-</v>
      </c>
      <c r="E517" s="172" t="str">
        <f t="shared" ca="1" si="23"/>
        <v>(abra o arquivo 'Referência 02-2025.xlsm)</v>
      </c>
      <c r="F517" s="173" t="str">
        <f ca="1">IF(RegimeExecucao="Global","",ORÇAMENTO.Unidade)</f>
        <v>-</v>
      </c>
      <c r="G517" s="124">
        <f ca="1">IF(RegimeExecucao="Global","",ORÇAMENTO!T517)</f>
        <v>1</v>
      </c>
      <c r="H517" s="124">
        <f ca="1">IF(RegimeExecucao="Global","",ORÇAMENTO!W517)</f>
        <v>0</v>
      </c>
      <c r="I517" s="127">
        <f ca="1">ORÇAMENTO!X517</f>
        <v>0</v>
      </c>
      <c r="J517" s="378">
        <f ca="1">IF($A517="S",IF(CAIXA.Modo,BM.AFAnterior,BM.MEDAnterior),IF(AND(RegimeExecucao="Global",$I517&gt;0,COUNTIF($AB$13:$AM$13,BM.medicao-1)&gt;0),M517/$I517*100,0))</f>
        <v>0</v>
      </c>
      <c r="K517" s="124">
        <f t="shared" ca="1" si="24"/>
        <v>0</v>
      </c>
      <c r="L517" s="379">
        <f ca="1">IF($A517="S",IF(CAIXA.Modo,BM.AFAcumulado,BM.MEDAcumulado),IF(AND(RegimeExecucao="Global",$I517&gt;0,COUNTIF($AB$13:$AM$13,BM.medicao)&gt;0),O517/$I517*100,0))</f>
        <v>0</v>
      </c>
      <c r="M517" s="380">
        <f ca="1">IF($A517="S",VTOTALBM,IF($A517=0,0,ROUND(SomaAgrupBM,15-13*ORÇAMENTO!$AF$11)))</f>
        <v>0</v>
      </c>
      <c r="N517" s="381">
        <f t="shared" ca="1" si="25"/>
        <v>0</v>
      </c>
      <c r="O517" s="127">
        <f ca="1">IF($A517="S",VTOTALBM,IF($A517=0,0,ROUND(SomaAgrupBM,15-13*ORÇAMENTO!$AF$11)))</f>
        <v>0</v>
      </c>
      <c r="Q517" s="382"/>
      <c r="R517" s="383"/>
      <c r="T517" s="119" t="str">
        <f t="shared" ca="1" si="26"/>
        <v/>
      </c>
      <c r="U517" s="172" t="str">
        <f t="shared" ca="1" si="27"/>
        <v/>
      </c>
      <c r="V517" s="173" t="str">
        <f ca="1">IF(AND($W517&gt;0,RegimeExecucao="Unitário"),$F517,"")</f>
        <v/>
      </c>
      <c r="W517" s="547">
        <f ca="1">IF($Y517&gt;0,CHOOSE(MATCH(RegimeExecucao,{"Unitário","Global"},0),IF($A517="S",$Y517/$X517,""),($Y517/$X517)*100),0)</f>
        <v>0</v>
      </c>
      <c r="X517" s="384" t="str">
        <f ca="1">IF($Y517&gt;0,CHOOSE(MATCH(RegimeExecucao,{"Unitário","Global"},0),IF($A517="S",ROUND($H517,ORÇAMENTO!$AF$10),""),ROUND($I517,ORÇAMENTO!$AF$11)),"")</f>
        <v/>
      </c>
      <c r="Y517" s="384">
        <f t="shared" ca="1" si="28"/>
        <v>0</v>
      </c>
      <c r="Z517" s="572"/>
      <c r="AB517" s="382"/>
      <c r="AC517" s="516"/>
      <c r="AD517" s="516"/>
      <c r="AE517" s="516"/>
      <c r="AF517" s="516"/>
      <c r="AG517" s="516"/>
      <c r="AH517" s="516"/>
      <c r="AI517" s="516"/>
      <c r="AJ517" s="516"/>
      <c r="AK517" s="516"/>
      <c r="AL517" s="516"/>
      <c r="AM517" s="383"/>
      <c r="AO517">
        <f ca="1">IF($A517="S",IF(BM!$I517=0,0,CHOOSE(MATCH(RegimeExecucao,{"Global","Unitário"},0),ROUND(ROUND(BM.MEDAcumulado,15-13*BM!$A$9)/100*BM!$I517,15-13*ORÇAMENTO!$AF$11),ROUND(ROUND(BM.MEDAcumulado,15-13*BM!$A$9)*ROUND(BM!$H517,15-13*ORÇAMENTO!$AF$10),15-13*ORÇAMENTO!$AF$11))),IF($A517=0,0,ROUND(SomaAgrupBM,15-13*ORÇAMENTO!$AF$11)))</f>
        <v>0</v>
      </c>
    </row>
    <row r="518" spans="1:41" x14ac:dyDescent="0.2">
      <c r="A518">
        <f ca="1">ORÇAMENTO!C518</f>
        <v>3</v>
      </c>
      <c r="B518">
        <f ca="1">ORÇAMENTO!D518</f>
        <v>17</v>
      </c>
      <c r="C518" s="116" t="str">
        <f t="shared" ca="1" si="22"/>
        <v>F</v>
      </c>
      <c r="D518" s="119" t="str">
        <f ca="1">ORÇAMENTO!O518</f>
        <v>1.17.4.</v>
      </c>
      <c r="E518" s="172" t="str">
        <f t="shared" ca="1" si="23"/>
        <v>CABOS</v>
      </c>
      <c r="F518" s="173" t="str">
        <f ca="1">IF(RegimeExecucao="Global","",ORÇAMENTO.Unidade)</f>
        <v>-</v>
      </c>
      <c r="G518" s="124">
        <f ca="1">IF(RegimeExecucao="Global","",ORÇAMENTO!T518)</f>
        <v>0</v>
      </c>
      <c r="H518" s="124">
        <f ca="1">IF(RegimeExecucao="Global","",ORÇAMENTO!W518)</f>
        <v>0</v>
      </c>
      <c r="I518" s="127">
        <f ca="1">ORÇAMENTO!X518</f>
        <v>0</v>
      </c>
      <c r="J518" s="378">
        <f ca="1">IF($A518="S",IF(CAIXA.Modo,BM.AFAnterior,BM.MEDAnterior),IF(AND(RegimeExecucao="Global",$I518&gt;0,COUNTIF($AB$13:$AM$13,BM.medicao-1)&gt;0),M518/$I518*100,0))</f>
        <v>0</v>
      </c>
      <c r="K518" s="124">
        <f t="shared" ca="1" si="24"/>
        <v>0</v>
      </c>
      <c r="L518" s="379">
        <f ca="1">IF($A518="S",IF(CAIXA.Modo,BM.AFAcumulado,BM.MEDAcumulado),IF(AND(RegimeExecucao="Global",$I518&gt;0,COUNTIF($AB$13:$AM$13,BM.medicao)&gt;0),O518/$I518*100,0))</f>
        <v>0</v>
      </c>
      <c r="M518" s="380">
        <f ca="1">IF($A518="S",VTOTALBM,IF($A518=0,0,ROUND(SomaAgrupBM,15-13*ORÇAMENTO!$AF$11)))</f>
        <v>0</v>
      </c>
      <c r="N518" s="381">
        <f t="shared" ca="1" si="25"/>
        <v>0</v>
      </c>
      <c r="O518" s="127">
        <f ca="1">IF($A518="S",VTOTALBM,IF($A518=0,0,ROUND(SomaAgrupBM,15-13*ORÇAMENTO!$AF$11)))</f>
        <v>0</v>
      </c>
      <c r="Q518" s="382"/>
      <c r="R518" s="383"/>
      <c r="T518" s="119" t="str">
        <f t="shared" ca="1" si="26"/>
        <v/>
      </c>
      <c r="U518" s="172" t="str">
        <f t="shared" ca="1" si="27"/>
        <v/>
      </c>
      <c r="V518" s="173" t="str">
        <f ca="1">IF(AND($W518&gt;0,RegimeExecucao="Unitário"),$F518,"")</f>
        <v/>
      </c>
      <c r="W518" s="547">
        <f ca="1">IF($Y518&gt;0,CHOOSE(MATCH(RegimeExecucao,{"Unitário","Global"},0),IF($A518="S",$Y518/$X518,""),($Y518/$X518)*100),0)</f>
        <v>0</v>
      </c>
      <c r="X518" s="384" t="str">
        <f ca="1">IF($Y518&gt;0,CHOOSE(MATCH(RegimeExecucao,{"Unitário","Global"},0),IF($A518="S",ROUND($H518,ORÇAMENTO!$AF$10),""),ROUND($I518,ORÇAMENTO!$AF$11)),"")</f>
        <v/>
      </c>
      <c r="Y518" s="384">
        <f t="shared" ca="1" si="28"/>
        <v>0</v>
      </c>
      <c r="Z518" s="572"/>
      <c r="AB518" s="382"/>
      <c r="AC518" s="516"/>
      <c r="AD518" s="516"/>
      <c r="AE518" s="516"/>
      <c r="AF518" s="516"/>
      <c r="AG518" s="516"/>
      <c r="AH518" s="516"/>
      <c r="AI518" s="516"/>
      <c r="AJ518" s="516"/>
      <c r="AK518" s="516"/>
      <c r="AL518" s="516"/>
      <c r="AM518" s="383"/>
      <c r="AO518">
        <f ca="1">IF($A518="S",IF(BM!$I518=0,0,CHOOSE(MATCH(RegimeExecucao,{"Global","Unitário"},0),ROUND(ROUND(BM.MEDAcumulado,15-13*BM!$A$9)/100*BM!$I518,15-13*ORÇAMENTO!$AF$11),ROUND(ROUND(BM.MEDAcumulado,15-13*BM!$A$9)*ROUND(BM!$H518,15-13*ORÇAMENTO!$AF$10),15-13*ORÇAMENTO!$AF$11))),IF($A518=0,0,ROUND(SomaAgrupBM,15-13*ORÇAMENTO!$AF$11)))</f>
        <v>0</v>
      </c>
    </row>
    <row r="519" spans="1:41" ht="38.25" x14ac:dyDescent="0.2">
      <c r="A519" t="str">
        <f ca="1">ORÇAMENTO!C519</f>
        <v>S</v>
      </c>
      <c r="B519">
        <f ca="1">ORÇAMENTO!D519</f>
        <v>0</v>
      </c>
      <c r="C519" s="116" t="str">
        <f t="shared" ca="1" si="22"/>
        <v/>
      </c>
      <c r="D519" s="119" t="str">
        <f ca="1">ORÇAMENTO!O519</f>
        <v>-</v>
      </c>
      <c r="E519" s="172" t="str">
        <f t="shared" ca="1" si="23"/>
        <v>(abra o arquivo 'Referência 02-2025.xlsm)</v>
      </c>
      <c r="F519" s="173" t="str">
        <f ca="1">IF(RegimeExecucao="Global","",ORÇAMENTO.Unidade)</f>
        <v>-</v>
      </c>
      <c r="G519" s="124">
        <f ca="1">IF(RegimeExecucao="Global","",ORÇAMENTO!T519)</f>
        <v>188.5</v>
      </c>
      <c r="H519" s="124">
        <f ca="1">IF(RegimeExecucao="Global","",ORÇAMENTO!W519)</f>
        <v>0</v>
      </c>
      <c r="I519" s="127">
        <f ca="1">ORÇAMENTO!X519</f>
        <v>0</v>
      </c>
      <c r="J519" s="378">
        <f ca="1">IF($A519="S",IF(CAIXA.Modo,BM.AFAnterior,BM.MEDAnterior),IF(AND(RegimeExecucao="Global",$I519&gt;0,COUNTIF($AB$13:$AM$13,BM.medicao-1)&gt;0),M519/$I519*100,0))</f>
        <v>0</v>
      </c>
      <c r="K519" s="124">
        <f t="shared" ca="1" si="24"/>
        <v>0</v>
      </c>
      <c r="L519" s="379">
        <f ca="1">IF($A519="S",IF(CAIXA.Modo,BM.AFAcumulado,BM.MEDAcumulado),IF(AND(RegimeExecucao="Global",$I519&gt;0,COUNTIF($AB$13:$AM$13,BM.medicao)&gt;0),O519/$I519*100,0))</f>
        <v>0</v>
      </c>
      <c r="M519" s="380">
        <f ca="1">IF($A519="S",VTOTALBM,IF($A519=0,0,ROUND(SomaAgrupBM,15-13*ORÇAMENTO!$AF$11)))</f>
        <v>0</v>
      </c>
      <c r="N519" s="381">
        <f t="shared" ca="1" si="25"/>
        <v>0</v>
      </c>
      <c r="O519" s="127">
        <f ca="1">IF($A519="S",VTOTALBM,IF($A519=0,0,ROUND(SomaAgrupBM,15-13*ORÇAMENTO!$AF$11)))</f>
        <v>0</v>
      </c>
      <c r="Q519" s="382"/>
      <c r="R519" s="383"/>
      <c r="T519" s="119" t="str">
        <f t="shared" ca="1" si="26"/>
        <v/>
      </c>
      <c r="U519" s="172" t="str">
        <f t="shared" ca="1" si="27"/>
        <v/>
      </c>
      <c r="V519" s="173" t="str">
        <f ca="1">IF(AND($W519&gt;0,RegimeExecucao="Unitário"),$F519,"")</f>
        <v/>
      </c>
      <c r="W519" s="547">
        <f ca="1">IF($Y519&gt;0,CHOOSE(MATCH(RegimeExecucao,{"Unitário","Global"},0),IF($A519="S",$Y519/$X519,""),($Y519/$X519)*100),0)</f>
        <v>0</v>
      </c>
      <c r="X519" s="384" t="str">
        <f ca="1">IF($Y519&gt;0,CHOOSE(MATCH(RegimeExecucao,{"Unitário","Global"},0),IF($A519="S",ROUND($H519,ORÇAMENTO!$AF$10),""),ROUND($I519,ORÇAMENTO!$AF$11)),"")</f>
        <v/>
      </c>
      <c r="Y519" s="384">
        <f t="shared" ca="1" si="28"/>
        <v>0</v>
      </c>
      <c r="Z519" s="572"/>
      <c r="AB519" s="382"/>
      <c r="AC519" s="516"/>
      <c r="AD519" s="516"/>
      <c r="AE519" s="516"/>
      <c r="AF519" s="516"/>
      <c r="AG519" s="516"/>
      <c r="AH519" s="516"/>
      <c r="AI519" s="516"/>
      <c r="AJ519" s="516"/>
      <c r="AK519" s="516"/>
      <c r="AL519" s="516"/>
      <c r="AM519" s="383"/>
      <c r="AO519">
        <f ca="1">IF($A519="S",IF(BM!$I519=0,0,CHOOSE(MATCH(RegimeExecucao,{"Global","Unitário"},0),ROUND(ROUND(BM.MEDAcumulado,15-13*BM!$A$9)/100*BM!$I519,15-13*ORÇAMENTO!$AF$11),ROUND(ROUND(BM.MEDAcumulado,15-13*BM!$A$9)*ROUND(BM!$H519,15-13*ORÇAMENTO!$AF$10),15-13*ORÇAMENTO!$AF$11))),IF($A519=0,0,ROUND(SomaAgrupBM,15-13*ORÇAMENTO!$AF$11)))</f>
        <v>0</v>
      </c>
    </row>
    <row r="520" spans="1:41" ht="38.25" x14ac:dyDescent="0.2">
      <c r="A520" t="str">
        <f ca="1">ORÇAMENTO!C520</f>
        <v>S</v>
      </c>
      <c r="B520">
        <f ca="1">ORÇAMENTO!D520</f>
        <v>0</v>
      </c>
      <c r="C520" s="116" t="str">
        <f t="shared" ca="1" si="22"/>
        <v/>
      </c>
      <c r="D520" s="119" t="str">
        <f ca="1">ORÇAMENTO!O520</f>
        <v>-</v>
      </c>
      <c r="E520" s="172" t="str">
        <f t="shared" ca="1" si="23"/>
        <v>(abra o arquivo 'Referência 02-2025.xlsm)</v>
      </c>
      <c r="F520" s="173" t="str">
        <f ca="1">IF(RegimeExecucao="Global","",ORÇAMENTO.Unidade)</f>
        <v>-</v>
      </c>
      <c r="G520" s="124">
        <f ca="1">IF(RegimeExecucao="Global","",ORÇAMENTO!T520)</f>
        <v>14.4</v>
      </c>
      <c r="H520" s="124">
        <f ca="1">IF(RegimeExecucao="Global","",ORÇAMENTO!W520)</f>
        <v>0</v>
      </c>
      <c r="I520" s="127">
        <f ca="1">ORÇAMENTO!X520</f>
        <v>0</v>
      </c>
      <c r="J520" s="378">
        <f ca="1">IF($A520="S",IF(CAIXA.Modo,BM.AFAnterior,BM.MEDAnterior),IF(AND(RegimeExecucao="Global",$I520&gt;0,COUNTIF($AB$13:$AM$13,BM.medicao-1)&gt;0),M520/$I520*100,0))</f>
        <v>0</v>
      </c>
      <c r="K520" s="124">
        <f t="shared" ca="1" si="24"/>
        <v>0</v>
      </c>
      <c r="L520" s="379">
        <f ca="1">IF($A520="S",IF(CAIXA.Modo,BM.AFAcumulado,BM.MEDAcumulado),IF(AND(RegimeExecucao="Global",$I520&gt;0,COUNTIF($AB$13:$AM$13,BM.medicao)&gt;0),O520/$I520*100,0))</f>
        <v>0</v>
      </c>
      <c r="M520" s="380">
        <f ca="1">IF($A520="S",VTOTALBM,IF($A520=0,0,ROUND(SomaAgrupBM,15-13*ORÇAMENTO!$AF$11)))</f>
        <v>0</v>
      </c>
      <c r="N520" s="381">
        <f t="shared" ca="1" si="25"/>
        <v>0</v>
      </c>
      <c r="O520" s="127">
        <f ca="1">IF($A520="S",VTOTALBM,IF($A520=0,0,ROUND(SomaAgrupBM,15-13*ORÇAMENTO!$AF$11)))</f>
        <v>0</v>
      </c>
      <c r="Q520" s="382"/>
      <c r="R520" s="383"/>
      <c r="T520" s="119" t="str">
        <f t="shared" ca="1" si="26"/>
        <v/>
      </c>
      <c r="U520" s="172" t="str">
        <f t="shared" ca="1" si="27"/>
        <v/>
      </c>
      <c r="V520" s="173" t="str">
        <f ca="1">IF(AND($W520&gt;0,RegimeExecucao="Unitário"),$F520,"")</f>
        <v/>
      </c>
      <c r="W520" s="547">
        <f ca="1">IF($Y520&gt;0,CHOOSE(MATCH(RegimeExecucao,{"Unitário","Global"},0),IF($A520="S",$Y520/$X520,""),($Y520/$X520)*100),0)</f>
        <v>0</v>
      </c>
      <c r="X520" s="384" t="str">
        <f ca="1">IF($Y520&gt;0,CHOOSE(MATCH(RegimeExecucao,{"Unitário","Global"},0),IF($A520="S",ROUND($H520,ORÇAMENTO!$AF$10),""),ROUND($I520,ORÇAMENTO!$AF$11)),"")</f>
        <v/>
      </c>
      <c r="Y520" s="384">
        <f t="shared" ca="1" si="28"/>
        <v>0</v>
      </c>
      <c r="Z520" s="572"/>
      <c r="AB520" s="382"/>
      <c r="AC520" s="516"/>
      <c r="AD520" s="516"/>
      <c r="AE520" s="516"/>
      <c r="AF520" s="516"/>
      <c r="AG520" s="516"/>
      <c r="AH520" s="516"/>
      <c r="AI520" s="516"/>
      <c r="AJ520" s="516"/>
      <c r="AK520" s="516"/>
      <c r="AL520" s="516"/>
      <c r="AM520" s="383"/>
      <c r="AO520">
        <f ca="1">IF($A520="S",IF(BM!$I520=0,0,CHOOSE(MATCH(RegimeExecucao,{"Global","Unitário"},0),ROUND(ROUND(BM.MEDAcumulado,15-13*BM!$A$9)/100*BM!$I520,15-13*ORÇAMENTO!$AF$11),ROUND(ROUND(BM.MEDAcumulado,15-13*BM!$A$9)*ROUND(BM!$H520,15-13*ORÇAMENTO!$AF$10),15-13*ORÇAMENTO!$AF$11))),IF($A520=0,0,ROUND(SomaAgrupBM,15-13*ORÇAMENTO!$AF$11)))</f>
        <v>0</v>
      </c>
    </row>
    <row r="521" spans="1:41" ht="38.25" x14ac:dyDescent="0.2">
      <c r="A521" t="str">
        <f ca="1">ORÇAMENTO!C521</f>
        <v>S</v>
      </c>
      <c r="B521">
        <f ca="1">ORÇAMENTO!D521</f>
        <v>0</v>
      </c>
      <c r="C521" s="116" t="str">
        <f t="shared" ca="1" si="22"/>
        <v/>
      </c>
      <c r="D521" s="119" t="str">
        <f ca="1">ORÇAMENTO!O521</f>
        <v>-</v>
      </c>
      <c r="E521" s="172" t="str">
        <f t="shared" ca="1" si="23"/>
        <v>(abra o arquivo 'Referência 02-2025.xlsm)</v>
      </c>
      <c r="F521" s="173" t="str">
        <f ca="1">IF(RegimeExecucao="Global","",ORÇAMENTO.Unidade)</f>
        <v>-</v>
      </c>
      <c r="G521" s="124">
        <f ca="1">IF(RegimeExecucao="Global","",ORÇAMENTO!T521)</f>
        <v>83.5</v>
      </c>
      <c r="H521" s="124">
        <f ca="1">IF(RegimeExecucao="Global","",ORÇAMENTO!W521)</f>
        <v>0</v>
      </c>
      <c r="I521" s="127">
        <f ca="1">ORÇAMENTO!X521</f>
        <v>0</v>
      </c>
      <c r="J521" s="378">
        <f ca="1">IF($A521="S",IF(CAIXA.Modo,BM.AFAnterior,BM.MEDAnterior),IF(AND(RegimeExecucao="Global",$I521&gt;0,COUNTIF($AB$13:$AM$13,BM.medicao-1)&gt;0),M521/$I521*100,0))</f>
        <v>0</v>
      </c>
      <c r="K521" s="124">
        <f t="shared" ca="1" si="24"/>
        <v>0</v>
      </c>
      <c r="L521" s="379">
        <f ca="1">IF($A521="S",IF(CAIXA.Modo,BM.AFAcumulado,BM.MEDAcumulado),IF(AND(RegimeExecucao="Global",$I521&gt;0,COUNTIF($AB$13:$AM$13,BM.medicao)&gt;0),O521/$I521*100,0))</f>
        <v>0</v>
      </c>
      <c r="M521" s="380">
        <f ca="1">IF($A521="S",VTOTALBM,IF($A521=0,0,ROUND(SomaAgrupBM,15-13*ORÇAMENTO!$AF$11)))</f>
        <v>0</v>
      </c>
      <c r="N521" s="381">
        <f t="shared" ca="1" si="25"/>
        <v>0</v>
      </c>
      <c r="O521" s="127">
        <f ca="1">IF($A521="S",VTOTALBM,IF($A521=0,0,ROUND(SomaAgrupBM,15-13*ORÇAMENTO!$AF$11)))</f>
        <v>0</v>
      </c>
      <c r="Q521" s="382"/>
      <c r="R521" s="383"/>
      <c r="T521" s="119" t="str">
        <f t="shared" ca="1" si="26"/>
        <v/>
      </c>
      <c r="U521" s="172" t="str">
        <f t="shared" ca="1" si="27"/>
        <v/>
      </c>
      <c r="V521" s="173" t="str">
        <f ca="1">IF(AND($W521&gt;0,RegimeExecucao="Unitário"),$F521,"")</f>
        <v/>
      </c>
      <c r="W521" s="547">
        <f ca="1">IF($Y521&gt;0,CHOOSE(MATCH(RegimeExecucao,{"Unitário","Global"},0),IF($A521="S",$Y521/$X521,""),($Y521/$X521)*100),0)</f>
        <v>0</v>
      </c>
      <c r="X521" s="384" t="str">
        <f ca="1">IF($Y521&gt;0,CHOOSE(MATCH(RegimeExecucao,{"Unitário","Global"},0),IF($A521="S",ROUND($H521,ORÇAMENTO!$AF$10),""),ROUND($I521,ORÇAMENTO!$AF$11)),"")</f>
        <v/>
      </c>
      <c r="Y521" s="384">
        <f t="shared" ca="1" si="28"/>
        <v>0</v>
      </c>
      <c r="Z521" s="572"/>
      <c r="AB521" s="382"/>
      <c r="AC521" s="516"/>
      <c r="AD521" s="516"/>
      <c r="AE521" s="516"/>
      <c r="AF521" s="516"/>
      <c r="AG521" s="516"/>
      <c r="AH521" s="516"/>
      <c r="AI521" s="516"/>
      <c r="AJ521" s="516"/>
      <c r="AK521" s="516"/>
      <c r="AL521" s="516"/>
      <c r="AM521" s="383"/>
      <c r="AO521">
        <f ca="1">IF($A521="S",IF(BM!$I521=0,0,CHOOSE(MATCH(RegimeExecucao,{"Global","Unitário"},0),ROUND(ROUND(BM.MEDAcumulado,15-13*BM!$A$9)/100*BM!$I521,15-13*ORÇAMENTO!$AF$11),ROUND(ROUND(BM.MEDAcumulado,15-13*BM!$A$9)*ROUND(BM!$H521,15-13*ORÇAMENTO!$AF$10),15-13*ORÇAMENTO!$AF$11))),IF($A521=0,0,ROUND(SomaAgrupBM,15-13*ORÇAMENTO!$AF$11)))</f>
        <v>0</v>
      </c>
    </row>
    <row r="522" spans="1:41" ht="38.25" x14ac:dyDescent="0.2">
      <c r="A522" t="str">
        <f ca="1">ORÇAMENTO!C522</f>
        <v>S</v>
      </c>
      <c r="B522">
        <f ca="1">ORÇAMENTO!D522</f>
        <v>0</v>
      </c>
      <c r="C522" s="116" t="str">
        <f t="shared" ca="1" si="22"/>
        <v/>
      </c>
      <c r="D522" s="119" t="str">
        <f ca="1">ORÇAMENTO!O522</f>
        <v>-</v>
      </c>
      <c r="E522" s="172" t="str">
        <f t="shared" ca="1" si="23"/>
        <v>(abra o arquivo 'Referência 02-2025.xlsm)</v>
      </c>
      <c r="F522" s="173" t="str">
        <f ca="1">IF(RegimeExecucao="Global","",ORÇAMENTO.Unidade)</f>
        <v>-</v>
      </c>
      <c r="G522" s="124">
        <f ca="1">IF(RegimeExecucao="Global","",ORÇAMENTO!T522)</f>
        <v>524.9</v>
      </c>
      <c r="H522" s="124">
        <f ca="1">IF(RegimeExecucao="Global","",ORÇAMENTO!W522)</f>
        <v>0</v>
      </c>
      <c r="I522" s="127">
        <f ca="1">ORÇAMENTO!X522</f>
        <v>0</v>
      </c>
      <c r="J522" s="378">
        <f ca="1">IF($A522="S",IF(CAIXA.Modo,BM.AFAnterior,BM.MEDAnterior),IF(AND(RegimeExecucao="Global",$I522&gt;0,COUNTIF($AB$13:$AM$13,BM.medicao-1)&gt;0),M522/$I522*100,0))</f>
        <v>0</v>
      </c>
      <c r="K522" s="124">
        <f t="shared" ca="1" si="24"/>
        <v>0</v>
      </c>
      <c r="L522" s="379">
        <f ca="1">IF($A522="S",IF(CAIXA.Modo,BM.AFAcumulado,BM.MEDAcumulado),IF(AND(RegimeExecucao="Global",$I522&gt;0,COUNTIF($AB$13:$AM$13,BM.medicao)&gt;0),O522/$I522*100,0))</f>
        <v>0</v>
      </c>
      <c r="M522" s="380">
        <f ca="1">IF($A522="S",VTOTALBM,IF($A522=0,0,ROUND(SomaAgrupBM,15-13*ORÇAMENTO!$AF$11)))</f>
        <v>0</v>
      </c>
      <c r="N522" s="381">
        <f t="shared" ca="1" si="25"/>
        <v>0</v>
      </c>
      <c r="O522" s="127">
        <f ca="1">IF($A522="S",VTOTALBM,IF($A522=0,0,ROUND(SomaAgrupBM,15-13*ORÇAMENTO!$AF$11)))</f>
        <v>0</v>
      </c>
      <c r="Q522" s="382"/>
      <c r="R522" s="383"/>
      <c r="T522" s="119" t="str">
        <f t="shared" ca="1" si="26"/>
        <v/>
      </c>
      <c r="U522" s="172" t="str">
        <f t="shared" ca="1" si="27"/>
        <v/>
      </c>
      <c r="V522" s="173" t="str">
        <f ca="1">IF(AND($W522&gt;0,RegimeExecucao="Unitário"),$F522,"")</f>
        <v/>
      </c>
      <c r="W522" s="547">
        <f ca="1">IF($Y522&gt;0,CHOOSE(MATCH(RegimeExecucao,{"Unitário","Global"},0),IF($A522="S",$Y522/$X522,""),($Y522/$X522)*100),0)</f>
        <v>0</v>
      </c>
      <c r="X522" s="384" t="str">
        <f ca="1">IF($Y522&gt;0,CHOOSE(MATCH(RegimeExecucao,{"Unitário","Global"},0),IF($A522="S",ROUND($H522,ORÇAMENTO!$AF$10),""),ROUND($I522,ORÇAMENTO!$AF$11)),"")</f>
        <v/>
      </c>
      <c r="Y522" s="384">
        <f t="shared" ca="1" si="28"/>
        <v>0</v>
      </c>
      <c r="Z522" s="572"/>
      <c r="AB522" s="382"/>
      <c r="AC522" s="516"/>
      <c r="AD522" s="516"/>
      <c r="AE522" s="516"/>
      <c r="AF522" s="516"/>
      <c r="AG522" s="516"/>
      <c r="AH522" s="516"/>
      <c r="AI522" s="516"/>
      <c r="AJ522" s="516"/>
      <c r="AK522" s="516"/>
      <c r="AL522" s="516"/>
      <c r="AM522" s="383"/>
      <c r="AO522">
        <f ca="1">IF($A522="S",IF(BM!$I522=0,0,CHOOSE(MATCH(RegimeExecucao,{"Global","Unitário"},0),ROUND(ROUND(BM.MEDAcumulado,15-13*BM!$A$9)/100*BM!$I522,15-13*ORÇAMENTO!$AF$11),ROUND(ROUND(BM.MEDAcumulado,15-13*BM!$A$9)*ROUND(BM!$H522,15-13*ORÇAMENTO!$AF$10),15-13*ORÇAMENTO!$AF$11))),IF($A522=0,0,ROUND(SomaAgrupBM,15-13*ORÇAMENTO!$AF$11)))</f>
        <v>0</v>
      </c>
    </row>
    <row r="523" spans="1:41" ht="38.25" x14ac:dyDescent="0.2">
      <c r="A523" t="str">
        <f ca="1">ORÇAMENTO!C523</f>
        <v>S</v>
      </c>
      <c r="B523">
        <f ca="1">ORÇAMENTO!D523</f>
        <v>0</v>
      </c>
      <c r="C523" s="116" t="str">
        <f t="shared" ref="C523:C745" ca="1" si="56">IF(OR($I523&gt;0,$A523=1,$A523=2,$A523=3,$A523=4),"F","")</f>
        <v/>
      </c>
      <c r="D523" s="119" t="str">
        <f ca="1">ORÇAMENTO!O523</f>
        <v>-</v>
      </c>
      <c r="E523" s="172" t="str">
        <f t="shared" ref="E523:E583" ca="1" si="57">ORÇAMENTO.Descricao</f>
        <v>(abra o arquivo 'Referência 02-2025.xlsm)</v>
      </c>
      <c r="F523" s="173" t="str">
        <f ca="1">IF(RegimeExecucao="Global","",ORÇAMENTO.Unidade)</f>
        <v>-</v>
      </c>
      <c r="G523" s="124">
        <f ca="1">IF(RegimeExecucao="Global","",ORÇAMENTO!T523)</f>
        <v>129</v>
      </c>
      <c r="H523" s="124">
        <f ca="1">IF(RegimeExecucao="Global","",ORÇAMENTO!W523)</f>
        <v>0</v>
      </c>
      <c r="I523" s="127">
        <f ca="1">ORÇAMENTO!X523</f>
        <v>0</v>
      </c>
      <c r="J523" s="378">
        <f ca="1">IF($A523="S",IF(CAIXA.Modo,BM.AFAnterior,BM.MEDAnterior),IF(AND(RegimeExecucao="Global",$I523&gt;0,COUNTIF($AB$13:$AM$13,BM.medicao-1)&gt;0),M523/$I523*100,0))</f>
        <v>0</v>
      </c>
      <c r="K523" s="124">
        <f t="shared" ref="K523:K745" ca="1" si="58">L523-J523</f>
        <v>0</v>
      </c>
      <c r="L523" s="379">
        <f ca="1">IF($A523="S",IF(CAIXA.Modo,BM.AFAcumulado,BM.MEDAcumulado),IF(AND(RegimeExecucao="Global",$I523&gt;0,COUNTIF($AB$13:$AM$13,BM.medicao)&gt;0),O523/$I523*100,0))</f>
        <v>0</v>
      </c>
      <c r="M523" s="380">
        <f ca="1">IF($A523="S",VTOTALBM,IF($A523=0,0,ROUND(SomaAgrupBM,15-13*ORÇAMENTO!$AF$11)))</f>
        <v>0</v>
      </c>
      <c r="N523" s="381">
        <f t="shared" ref="N523:N745" ca="1" si="59">O523-M523</f>
        <v>0</v>
      </c>
      <c r="O523" s="127">
        <f ca="1">IF($A523="S",VTOTALBM,IF($A523=0,0,ROUND(SomaAgrupBM,15-13*ORÇAMENTO!$AF$11)))</f>
        <v>0</v>
      </c>
      <c r="Q523" s="382"/>
      <c r="R523" s="383"/>
      <c r="T523" s="119" t="str">
        <f t="shared" ref="T523:T745" ca="1" si="60">IF($W523&gt;0,$D523,"")</f>
        <v/>
      </c>
      <c r="U523" s="172" t="str">
        <f t="shared" ref="U523:U745" ca="1" si="61">IF($W523&gt;0,$E523,"")</f>
        <v/>
      </c>
      <c r="V523" s="173" t="str">
        <f ca="1">IF(AND($W523&gt;0,RegimeExecucao="Unitário"),$F523,"")</f>
        <v/>
      </c>
      <c r="W523" s="547">
        <f ca="1">IF($Y523&gt;0,CHOOSE(MATCH(RegimeExecucao,{"Unitário","Global"},0),IF($A523="S",$Y523/$X523,""),($Y523/$X523)*100),0)</f>
        <v>0</v>
      </c>
      <c r="X523" s="384" t="str">
        <f ca="1">IF($Y523&gt;0,CHOOSE(MATCH(RegimeExecucao,{"Unitário","Global"},0),IF($A523="S",ROUND($H523,ORÇAMENTO!$AF$10),""),ROUND($I523,ORÇAMENTO!$AF$11)),"")</f>
        <v/>
      </c>
      <c r="Y523" s="384">
        <f t="shared" ref="Y523:Y745" ca="1" si="62">AO523-O523</f>
        <v>0</v>
      </c>
      <c r="Z523" s="572"/>
      <c r="AB523" s="382"/>
      <c r="AC523" s="516"/>
      <c r="AD523" s="516"/>
      <c r="AE523" s="516"/>
      <c r="AF523" s="516"/>
      <c r="AG523" s="516"/>
      <c r="AH523" s="516"/>
      <c r="AI523" s="516"/>
      <c r="AJ523" s="516"/>
      <c r="AK523" s="516"/>
      <c r="AL523" s="516"/>
      <c r="AM523" s="383"/>
      <c r="AO523">
        <f ca="1">IF($A523="S",IF(BM!$I523=0,0,CHOOSE(MATCH(RegimeExecucao,{"Global","Unitário"},0),ROUND(ROUND(BM.MEDAcumulado,15-13*BM!$A$9)/100*BM!$I523,15-13*ORÇAMENTO!$AF$11),ROUND(ROUND(BM.MEDAcumulado,15-13*BM!$A$9)*ROUND(BM!$H523,15-13*ORÇAMENTO!$AF$10),15-13*ORÇAMENTO!$AF$11))),IF($A523=0,0,ROUND(SomaAgrupBM,15-13*ORÇAMENTO!$AF$11)))</f>
        <v>0</v>
      </c>
    </row>
    <row r="524" spans="1:41" ht="38.25" x14ac:dyDescent="0.2">
      <c r="A524" t="str">
        <f ca="1">ORÇAMENTO!C524</f>
        <v>S</v>
      </c>
      <c r="B524">
        <f ca="1">ORÇAMENTO!D524</f>
        <v>0</v>
      </c>
      <c r="C524" s="116" t="str">
        <f t="shared" ca="1" si="56"/>
        <v/>
      </c>
      <c r="D524" s="119" t="str">
        <f ca="1">ORÇAMENTO!O524</f>
        <v>-</v>
      </c>
      <c r="E524" s="172" t="str">
        <f t="shared" ca="1" si="57"/>
        <v>(abra o arquivo 'Referência 02-2025.xlsm)</v>
      </c>
      <c r="F524" s="173" t="str">
        <f ca="1">IF(RegimeExecucao="Global","",ORÇAMENTO.Unidade)</f>
        <v>-</v>
      </c>
      <c r="G524" s="124">
        <f ca="1">IF(RegimeExecucao="Global","",ORÇAMENTO!T524)</f>
        <v>76.400000000000006</v>
      </c>
      <c r="H524" s="124">
        <f ca="1">IF(RegimeExecucao="Global","",ORÇAMENTO!W524)</f>
        <v>0</v>
      </c>
      <c r="I524" s="127">
        <f ca="1">ORÇAMENTO!X524</f>
        <v>0</v>
      </c>
      <c r="J524" s="378">
        <f ca="1">IF($A524="S",IF(CAIXA.Modo,BM.AFAnterior,BM.MEDAnterior),IF(AND(RegimeExecucao="Global",$I524&gt;0,COUNTIF($AB$13:$AM$13,BM.medicao-1)&gt;0),M524/$I524*100,0))</f>
        <v>0</v>
      </c>
      <c r="K524" s="124">
        <f t="shared" ca="1" si="58"/>
        <v>0</v>
      </c>
      <c r="L524" s="379">
        <f ca="1">IF($A524="S",IF(CAIXA.Modo,BM.AFAcumulado,BM.MEDAcumulado),IF(AND(RegimeExecucao="Global",$I524&gt;0,COUNTIF($AB$13:$AM$13,BM.medicao)&gt;0),O524/$I524*100,0))</f>
        <v>0</v>
      </c>
      <c r="M524" s="380">
        <f ca="1">IF($A524="S",VTOTALBM,IF($A524=0,0,ROUND(SomaAgrupBM,15-13*ORÇAMENTO!$AF$11)))</f>
        <v>0</v>
      </c>
      <c r="N524" s="381">
        <f t="shared" ca="1" si="59"/>
        <v>0</v>
      </c>
      <c r="O524" s="127">
        <f ca="1">IF($A524="S",VTOTALBM,IF($A524=0,0,ROUND(SomaAgrupBM,15-13*ORÇAMENTO!$AF$11)))</f>
        <v>0</v>
      </c>
      <c r="Q524" s="382"/>
      <c r="R524" s="383"/>
      <c r="T524" s="119" t="str">
        <f t="shared" ca="1" si="60"/>
        <v/>
      </c>
      <c r="U524" s="172" t="str">
        <f t="shared" ca="1" si="61"/>
        <v/>
      </c>
      <c r="V524" s="173" t="str">
        <f ca="1">IF(AND($W524&gt;0,RegimeExecucao="Unitário"),$F524,"")</f>
        <v/>
      </c>
      <c r="W524" s="547">
        <f ca="1">IF($Y524&gt;0,CHOOSE(MATCH(RegimeExecucao,{"Unitário","Global"},0),IF($A524="S",$Y524/$X524,""),($Y524/$X524)*100),0)</f>
        <v>0</v>
      </c>
      <c r="X524" s="384" t="str">
        <f ca="1">IF($Y524&gt;0,CHOOSE(MATCH(RegimeExecucao,{"Unitário","Global"},0),IF($A524="S",ROUND($H524,ORÇAMENTO!$AF$10),""),ROUND($I524,ORÇAMENTO!$AF$11)),"")</f>
        <v/>
      </c>
      <c r="Y524" s="384">
        <f t="shared" ca="1" si="62"/>
        <v>0</v>
      </c>
      <c r="Z524" s="572"/>
      <c r="AB524" s="382"/>
      <c r="AC524" s="516"/>
      <c r="AD524" s="516"/>
      <c r="AE524" s="516"/>
      <c r="AF524" s="516"/>
      <c r="AG524" s="516"/>
      <c r="AH524" s="516"/>
      <c r="AI524" s="516"/>
      <c r="AJ524" s="516"/>
      <c r="AK524" s="516"/>
      <c r="AL524" s="516"/>
      <c r="AM524" s="383"/>
      <c r="AO524">
        <f ca="1">IF($A524="S",IF(BM!$I524=0,0,CHOOSE(MATCH(RegimeExecucao,{"Global","Unitário"},0),ROUND(ROUND(BM.MEDAcumulado,15-13*BM!$A$9)/100*BM!$I524,15-13*ORÇAMENTO!$AF$11),ROUND(ROUND(BM.MEDAcumulado,15-13*BM!$A$9)*ROUND(BM!$H524,15-13*ORÇAMENTO!$AF$10),15-13*ORÇAMENTO!$AF$11))),IF($A524=0,0,ROUND(SomaAgrupBM,15-13*ORÇAMENTO!$AF$11)))</f>
        <v>0</v>
      </c>
    </row>
    <row r="525" spans="1:41" ht="38.25" x14ac:dyDescent="0.2">
      <c r="A525" t="str">
        <f ca="1">ORÇAMENTO!C525</f>
        <v>S</v>
      </c>
      <c r="B525">
        <f ca="1">ORÇAMENTO!D525</f>
        <v>0</v>
      </c>
      <c r="C525" s="116" t="str">
        <f t="shared" ca="1" si="56"/>
        <v/>
      </c>
      <c r="D525" s="119" t="str">
        <f ca="1">ORÇAMENTO!O525</f>
        <v>-</v>
      </c>
      <c r="E525" s="172" t="str">
        <f t="shared" ca="1" si="57"/>
        <v>(abra o arquivo 'Referência 02-2025.xlsm)</v>
      </c>
      <c r="F525" s="173" t="str">
        <f ca="1">IF(RegimeExecucao="Global","",ORÇAMENTO.Unidade)</f>
        <v>-</v>
      </c>
      <c r="G525" s="124">
        <f ca="1">IF(RegimeExecucao="Global","",ORÇAMENTO!T525)</f>
        <v>288.3</v>
      </c>
      <c r="H525" s="124">
        <f ca="1">IF(RegimeExecucao="Global","",ORÇAMENTO!W525)</f>
        <v>0</v>
      </c>
      <c r="I525" s="127">
        <f ca="1">ORÇAMENTO!X525</f>
        <v>0</v>
      </c>
      <c r="J525" s="378">
        <f ca="1">IF($A525="S",IF(CAIXA.Modo,BM.AFAnterior,BM.MEDAnterior),IF(AND(RegimeExecucao="Global",$I525&gt;0,COUNTIF($AB$13:$AM$13,BM.medicao-1)&gt;0),M525/$I525*100,0))</f>
        <v>0</v>
      </c>
      <c r="K525" s="124">
        <f t="shared" ca="1" si="58"/>
        <v>0</v>
      </c>
      <c r="L525" s="379">
        <f ca="1">IF($A525="S",IF(CAIXA.Modo,BM.AFAcumulado,BM.MEDAcumulado),IF(AND(RegimeExecucao="Global",$I525&gt;0,COUNTIF($AB$13:$AM$13,BM.medicao)&gt;0),O525/$I525*100,0))</f>
        <v>0</v>
      </c>
      <c r="M525" s="380">
        <f ca="1">IF($A525="S",VTOTALBM,IF($A525=0,0,ROUND(SomaAgrupBM,15-13*ORÇAMENTO!$AF$11)))</f>
        <v>0</v>
      </c>
      <c r="N525" s="381">
        <f t="shared" ca="1" si="59"/>
        <v>0</v>
      </c>
      <c r="O525" s="127">
        <f ca="1">IF($A525="S",VTOTALBM,IF($A525=0,0,ROUND(SomaAgrupBM,15-13*ORÇAMENTO!$AF$11)))</f>
        <v>0</v>
      </c>
      <c r="Q525" s="382"/>
      <c r="R525" s="383"/>
      <c r="T525" s="119" t="str">
        <f t="shared" ca="1" si="60"/>
        <v/>
      </c>
      <c r="U525" s="172" t="str">
        <f t="shared" ca="1" si="61"/>
        <v/>
      </c>
      <c r="V525" s="173" t="str">
        <f ca="1">IF(AND($W525&gt;0,RegimeExecucao="Unitário"),$F525,"")</f>
        <v/>
      </c>
      <c r="W525" s="547">
        <f ca="1">IF($Y525&gt;0,CHOOSE(MATCH(RegimeExecucao,{"Unitário","Global"},0),IF($A525="S",$Y525/$X525,""),($Y525/$X525)*100),0)</f>
        <v>0</v>
      </c>
      <c r="X525" s="384" t="str">
        <f ca="1">IF($Y525&gt;0,CHOOSE(MATCH(RegimeExecucao,{"Unitário","Global"},0),IF($A525="S",ROUND($H525,ORÇAMENTO!$AF$10),""),ROUND($I525,ORÇAMENTO!$AF$11)),"")</f>
        <v/>
      </c>
      <c r="Y525" s="384">
        <f t="shared" ca="1" si="62"/>
        <v>0</v>
      </c>
      <c r="Z525" s="572"/>
      <c r="AB525" s="382"/>
      <c r="AC525" s="516"/>
      <c r="AD525" s="516"/>
      <c r="AE525" s="516"/>
      <c r="AF525" s="516"/>
      <c r="AG525" s="516"/>
      <c r="AH525" s="516"/>
      <c r="AI525" s="516"/>
      <c r="AJ525" s="516"/>
      <c r="AK525" s="516"/>
      <c r="AL525" s="516"/>
      <c r="AM525" s="383"/>
      <c r="AO525">
        <f ca="1">IF($A525="S",IF(BM!$I525=0,0,CHOOSE(MATCH(RegimeExecucao,{"Global","Unitário"},0),ROUND(ROUND(BM.MEDAcumulado,15-13*BM!$A$9)/100*BM!$I525,15-13*ORÇAMENTO!$AF$11),ROUND(ROUND(BM.MEDAcumulado,15-13*BM!$A$9)*ROUND(BM!$H525,15-13*ORÇAMENTO!$AF$10),15-13*ORÇAMENTO!$AF$11))),IF($A525=0,0,ROUND(SomaAgrupBM,15-13*ORÇAMENTO!$AF$11)))</f>
        <v>0</v>
      </c>
    </row>
    <row r="526" spans="1:41" ht="38.25" x14ac:dyDescent="0.2">
      <c r="A526" t="str">
        <f ca="1">ORÇAMENTO!C526</f>
        <v>S</v>
      </c>
      <c r="B526">
        <f ca="1">ORÇAMENTO!D526</f>
        <v>0</v>
      </c>
      <c r="C526" s="116" t="str">
        <f t="shared" ca="1" si="56"/>
        <v/>
      </c>
      <c r="D526" s="119" t="str">
        <f ca="1">ORÇAMENTO!O526</f>
        <v>-</v>
      </c>
      <c r="E526" s="172" t="str">
        <f t="shared" ca="1" si="57"/>
        <v>(abra o arquivo 'Referência 02-2025.xlsm)</v>
      </c>
      <c r="F526" s="173" t="str">
        <f ca="1">IF(RegimeExecucao="Global","",ORÇAMENTO.Unidade)</f>
        <v>-</v>
      </c>
      <c r="G526" s="124">
        <f ca="1">IF(RegimeExecucao="Global","",ORÇAMENTO!T526)</f>
        <v>738.9</v>
      </c>
      <c r="H526" s="124">
        <f ca="1">IF(RegimeExecucao="Global","",ORÇAMENTO!W526)</f>
        <v>0</v>
      </c>
      <c r="I526" s="127">
        <f ca="1">ORÇAMENTO!X526</f>
        <v>0</v>
      </c>
      <c r="J526" s="378">
        <f ca="1">IF($A526="S",IF(CAIXA.Modo,BM.AFAnterior,BM.MEDAnterior),IF(AND(RegimeExecucao="Global",$I526&gt;0,COUNTIF($AB$13:$AM$13,BM.medicao-1)&gt;0),M526/$I526*100,0))</f>
        <v>0</v>
      </c>
      <c r="K526" s="124">
        <f t="shared" ca="1" si="58"/>
        <v>0</v>
      </c>
      <c r="L526" s="379">
        <f ca="1">IF($A526="S",IF(CAIXA.Modo,BM.AFAcumulado,BM.MEDAcumulado),IF(AND(RegimeExecucao="Global",$I526&gt;0,COUNTIF($AB$13:$AM$13,BM.medicao)&gt;0),O526/$I526*100,0))</f>
        <v>0</v>
      </c>
      <c r="M526" s="380">
        <f ca="1">IF($A526="S",VTOTALBM,IF($A526=0,0,ROUND(SomaAgrupBM,15-13*ORÇAMENTO!$AF$11)))</f>
        <v>0</v>
      </c>
      <c r="N526" s="381">
        <f t="shared" ca="1" si="59"/>
        <v>0</v>
      </c>
      <c r="O526" s="127">
        <f ca="1">IF($A526="S",VTOTALBM,IF($A526=0,0,ROUND(SomaAgrupBM,15-13*ORÇAMENTO!$AF$11)))</f>
        <v>0</v>
      </c>
      <c r="Q526" s="382"/>
      <c r="R526" s="383"/>
      <c r="T526" s="119" t="str">
        <f t="shared" ca="1" si="60"/>
        <v/>
      </c>
      <c r="U526" s="172" t="str">
        <f t="shared" ca="1" si="61"/>
        <v/>
      </c>
      <c r="V526" s="173" t="str">
        <f ca="1">IF(AND($W526&gt;0,RegimeExecucao="Unitário"),$F526,"")</f>
        <v/>
      </c>
      <c r="W526" s="547">
        <f ca="1">IF($Y526&gt;0,CHOOSE(MATCH(RegimeExecucao,{"Unitário","Global"},0),IF($A526="S",$Y526/$X526,""),($Y526/$X526)*100),0)</f>
        <v>0</v>
      </c>
      <c r="X526" s="384" t="str">
        <f ca="1">IF($Y526&gt;0,CHOOSE(MATCH(RegimeExecucao,{"Unitário","Global"},0),IF($A526="S",ROUND($H526,ORÇAMENTO!$AF$10),""),ROUND($I526,ORÇAMENTO!$AF$11)),"")</f>
        <v/>
      </c>
      <c r="Y526" s="384">
        <f t="shared" ca="1" si="62"/>
        <v>0</v>
      </c>
      <c r="Z526" s="572"/>
      <c r="AB526" s="382"/>
      <c r="AC526" s="516"/>
      <c r="AD526" s="516"/>
      <c r="AE526" s="516"/>
      <c r="AF526" s="516"/>
      <c r="AG526" s="516"/>
      <c r="AH526" s="516"/>
      <c r="AI526" s="516"/>
      <c r="AJ526" s="516"/>
      <c r="AK526" s="516"/>
      <c r="AL526" s="516"/>
      <c r="AM526" s="383"/>
      <c r="AO526">
        <f ca="1">IF($A526="S",IF(BM!$I526=0,0,CHOOSE(MATCH(RegimeExecucao,{"Global","Unitário"},0),ROUND(ROUND(BM.MEDAcumulado,15-13*BM!$A$9)/100*BM!$I526,15-13*ORÇAMENTO!$AF$11),ROUND(ROUND(BM.MEDAcumulado,15-13*BM!$A$9)*ROUND(BM!$H526,15-13*ORÇAMENTO!$AF$10),15-13*ORÇAMENTO!$AF$11))),IF($A526=0,0,ROUND(SomaAgrupBM,15-13*ORÇAMENTO!$AF$11)))</f>
        <v>0</v>
      </c>
    </row>
    <row r="527" spans="1:41" ht="38.25" x14ac:dyDescent="0.2">
      <c r="A527" t="str">
        <f ca="1">ORÇAMENTO!C527</f>
        <v>S</v>
      </c>
      <c r="B527">
        <f ca="1">ORÇAMENTO!D527</f>
        <v>0</v>
      </c>
      <c r="C527" s="116" t="str">
        <f t="shared" ca="1" si="56"/>
        <v/>
      </c>
      <c r="D527" s="119" t="str">
        <f ca="1">ORÇAMENTO!O527</f>
        <v>-</v>
      </c>
      <c r="E527" s="172" t="str">
        <f t="shared" ca="1" si="57"/>
        <v>(abra o arquivo 'Referência 02-2025.xlsm)</v>
      </c>
      <c r="F527" s="173" t="str">
        <f ca="1">IF(RegimeExecucao="Global","",ORÇAMENTO.Unidade)</f>
        <v>-</v>
      </c>
      <c r="G527" s="124">
        <f ca="1">IF(RegimeExecucao="Global","",ORÇAMENTO!T527)</f>
        <v>59.2</v>
      </c>
      <c r="H527" s="124">
        <f ca="1">IF(RegimeExecucao="Global","",ORÇAMENTO!W527)</f>
        <v>0</v>
      </c>
      <c r="I527" s="127">
        <f ca="1">ORÇAMENTO!X527</f>
        <v>0</v>
      </c>
      <c r="J527" s="378">
        <f ca="1">IF($A527="S",IF(CAIXA.Modo,BM.AFAnterior,BM.MEDAnterior),IF(AND(RegimeExecucao="Global",$I527&gt;0,COUNTIF($AB$13:$AM$13,BM.medicao-1)&gt;0),M527/$I527*100,0))</f>
        <v>0</v>
      </c>
      <c r="K527" s="124">
        <f t="shared" ca="1" si="58"/>
        <v>0</v>
      </c>
      <c r="L527" s="379">
        <f ca="1">IF($A527="S",IF(CAIXA.Modo,BM.AFAcumulado,BM.MEDAcumulado),IF(AND(RegimeExecucao="Global",$I527&gt;0,COUNTIF($AB$13:$AM$13,BM.medicao)&gt;0),O527/$I527*100,0))</f>
        <v>0</v>
      </c>
      <c r="M527" s="380">
        <f ca="1">IF($A527="S",VTOTALBM,IF($A527=0,0,ROUND(SomaAgrupBM,15-13*ORÇAMENTO!$AF$11)))</f>
        <v>0</v>
      </c>
      <c r="N527" s="381">
        <f t="shared" ca="1" si="59"/>
        <v>0</v>
      </c>
      <c r="O527" s="127">
        <f ca="1">IF($A527="S",VTOTALBM,IF($A527=0,0,ROUND(SomaAgrupBM,15-13*ORÇAMENTO!$AF$11)))</f>
        <v>0</v>
      </c>
      <c r="Q527" s="382"/>
      <c r="R527" s="383"/>
      <c r="T527" s="119" t="str">
        <f t="shared" ca="1" si="60"/>
        <v/>
      </c>
      <c r="U527" s="172" t="str">
        <f t="shared" ca="1" si="61"/>
        <v/>
      </c>
      <c r="V527" s="173" t="str">
        <f ca="1">IF(AND($W527&gt;0,RegimeExecucao="Unitário"),$F527,"")</f>
        <v/>
      </c>
      <c r="W527" s="547">
        <f ca="1">IF($Y527&gt;0,CHOOSE(MATCH(RegimeExecucao,{"Unitário","Global"},0),IF($A527="S",$Y527/$X527,""),($Y527/$X527)*100),0)</f>
        <v>0</v>
      </c>
      <c r="X527" s="384" t="str">
        <f ca="1">IF($Y527&gt;0,CHOOSE(MATCH(RegimeExecucao,{"Unitário","Global"},0),IF($A527="S",ROUND($H527,ORÇAMENTO!$AF$10),""),ROUND($I527,ORÇAMENTO!$AF$11)),"")</f>
        <v/>
      </c>
      <c r="Y527" s="384">
        <f t="shared" ca="1" si="62"/>
        <v>0</v>
      </c>
      <c r="Z527" s="572"/>
      <c r="AB527" s="382"/>
      <c r="AC527" s="516"/>
      <c r="AD527" s="516"/>
      <c r="AE527" s="516"/>
      <c r="AF527" s="516"/>
      <c r="AG527" s="516"/>
      <c r="AH527" s="516"/>
      <c r="AI527" s="516"/>
      <c r="AJ527" s="516"/>
      <c r="AK527" s="516"/>
      <c r="AL527" s="516"/>
      <c r="AM527" s="383"/>
      <c r="AO527">
        <f ca="1">IF($A527="S",IF(BM!$I527=0,0,CHOOSE(MATCH(RegimeExecucao,{"Global","Unitário"},0),ROUND(ROUND(BM.MEDAcumulado,15-13*BM!$A$9)/100*BM!$I527,15-13*ORÇAMENTO!$AF$11),ROUND(ROUND(BM.MEDAcumulado,15-13*BM!$A$9)*ROUND(BM!$H527,15-13*ORÇAMENTO!$AF$10),15-13*ORÇAMENTO!$AF$11))),IF($A527=0,0,ROUND(SomaAgrupBM,15-13*ORÇAMENTO!$AF$11)))</f>
        <v>0</v>
      </c>
    </row>
    <row r="528" spans="1:41" ht="38.25" x14ac:dyDescent="0.2">
      <c r="A528" t="str">
        <f ca="1">ORÇAMENTO!C528</f>
        <v>S</v>
      </c>
      <c r="B528">
        <f ca="1">ORÇAMENTO!D528</f>
        <v>0</v>
      </c>
      <c r="C528" s="116" t="str">
        <f t="shared" ca="1" si="56"/>
        <v/>
      </c>
      <c r="D528" s="119" t="str">
        <f ca="1">ORÇAMENTO!O528</f>
        <v>-</v>
      </c>
      <c r="E528" s="172" t="str">
        <f t="shared" ca="1" si="57"/>
        <v>(abra o arquivo 'Referência 02-2025.xlsm)</v>
      </c>
      <c r="F528" s="173" t="str">
        <f ca="1">IF(RegimeExecucao="Global","",ORÇAMENTO.Unidade)</f>
        <v>-</v>
      </c>
      <c r="G528" s="124">
        <f ca="1">IF(RegimeExecucao="Global","",ORÇAMENTO!T528)</f>
        <v>75.7</v>
      </c>
      <c r="H528" s="124">
        <f ca="1">IF(RegimeExecucao="Global","",ORÇAMENTO!W528)</f>
        <v>0</v>
      </c>
      <c r="I528" s="127">
        <f ca="1">ORÇAMENTO!X528</f>
        <v>0</v>
      </c>
      <c r="J528" s="378">
        <f ca="1">IF($A528="S",IF(CAIXA.Modo,BM.AFAnterior,BM.MEDAnterior),IF(AND(RegimeExecucao="Global",$I528&gt;0,COUNTIF($AB$13:$AM$13,BM.medicao-1)&gt;0),M528/$I528*100,0))</f>
        <v>0</v>
      </c>
      <c r="K528" s="124">
        <f t="shared" ca="1" si="58"/>
        <v>0</v>
      </c>
      <c r="L528" s="379">
        <f ca="1">IF($A528="S",IF(CAIXA.Modo,BM.AFAcumulado,BM.MEDAcumulado),IF(AND(RegimeExecucao="Global",$I528&gt;0,COUNTIF($AB$13:$AM$13,BM.medicao)&gt;0),O528/$I528*100,0))</f>
        <v>0</v>
      </c>
      <c r="M528" s="380">
        <f ca="1">IF($A528="S",VTOTALBM,IF($A528=0,0,ROUND(SomaAgrupBM,15-13*ORÇAMENTO!$AF$11)))</f>
        <v>0</v>
      </c>
      <c r="N528" s="381">
        <f t="shared" ca="1" si="59"/>
        <v>0</v>
      </c>
      <c r="O528" s="127">
        <f ca="1">IF($A528="S",VTOTALBM,IF($A528=0,0,ROUND(SomaAgrupBM,15-13*ORÇAMENTO!$AF$11)))</f>
        <v>0</v>
      </c>
      <c r="Q528" s="382"/>
      <c r="R528" s="383"/>
      <c r="T528" s="119" t="str">
        <f t="shared" ca="1" si="60"/>
        <v/>
      </c>
      <c r="U528" s="172" t="str">
        <f t="shared" ca="1" si="61"/>
        <v/>
      </c>
      <c r="V528" s="173" t="str">
        <f ca="1">IF(AND($W528&gt;0,RegimeExecucao="Unitário"),$F528,"")</f>
        <v/>
      </c>
      <c r="W528" s="547">
        <f ca="1">IF($Y528&gt;0,CHOOSE(MATCH(RegimeExecucao,{"Unitário","Global"},0),IF($A528="S",$Y528/$X528,""),($Y528/$X528)*100),0)</f>
        <v>0</v>
      </c>
      <c r="X528" s="384" t="str">
        <f ca="1">IF($Y528&gt;0,CHOOSE(MATCH(RegimeExecucao,{"Unitário","Global"},0),IF($A528="S",ROUND($H528,ORÇAMENTO!$AF$10),""),ROUND($I528,ORÇAMENTO!$AF$11)),"")</f>
        <v/>
      </c>
      <c r="Y528" s="384">
        <f t="shared" ca="1" si="62"/>
        <v>0</v>
      </c>
      <c r="Z528" s="572"/>
      <c r="AB528" s="382"/>
      <c r="AC528" s="516"/>
      <c r="AD528" s="516"/>
      <c r="AE528" s="516"/>
      <c r="AF528" s="516"/>
      <c r="AG528" s="516"/>
      <c r="AH528" s="516"/>
      <c r="AI528" s="516"/>
      <c r="AJ528" s="516"/>
      <c r="AK528" s="516"/>
      <c r="AL528" s="516"/>
      <c r="AM528" s="383"/>
      <c r="AO528">
        <f ca="1">IF($A528="S",IF(BM!$I528=0,0,CHOOSE(MATCH(RegimeExecucao,{"Global","Unitário"},0),ROUND(ROUND(BM.MEDAcumulado,15-13*BM!$A$9)/100*BM!$I528,15-13*ORÇAMENTO!$AF$11),ROUND(ROUND(BM.MEDAcumulado,15-13*BM!$A$9)*ROUND(BM!$H528,15-13*ORÇAMENTO!$AF$10),15-13*ORÇAMENTO!$AF$11))),IF($A528=0,0,ROUND(SomaAgrupBM,15-13*ORÇAMENTO!$AF$11)))</f>
        <v>0</v>
      </c>
    </row>
    <row r="529" spans="1:41" ht="38.25" x14ac:dyDescent="0.2">
      <c r="A529" t="str">
        <f ca="1">ORÇAMENTO!C529</f>
        <v>S</v>
      </c>
      <c r="B529">
        <f ca="1">ORÇAMENTO!D529</f>
        <v>0</v>
      </c>
      <c r="C529" s="116" t="str">
        <f t="shared" ca="1" si="56"/>
        <v/>
      </c>
      <c r="D529" s="119" t="str">
        <f ca="1">ORÇAMENTO!O529</f>
        <v>-</v>
      </c>
      <c r="E529" s="172" t="str">
        <f t="shared" ca="1" si="57"/>
        <v>(abra o arquivo 'Referência 02-2025.xlsm)</v>
      </c>
      <c r="F529" s="173" t="str">
        <f ca="1">IF(RegimeExecucao="Global","",ORÇAMENTO.Unidade)</f>
        <v>-</v>
      </c>
      <c r="G529" s="124">
        <f ca="1">IF(RegimeExecucao="Global","",ORÇAMENTO!T529)</f>
        <v>58.1</v>
      </c>
      <c r="H529" s="124">
        <f ca="1">IF(RegimeExecucao="Global","",ORÇAMENTO!W529)</f>
        <v>0</v>
      </c>
      <c r="I529" s="127">
        <f ca="1">ORÇAMENTO!X529</f>
        <v>0</v>
      </c>
      <c r="J529" s="378">
        <f ca="1">IF($A529="S",IF(CAIXA.Modo,BM.AFAnterior,BM.MEDAnterior),IF(AND(RegimeExecucao="Global",$I529&gt;0,COUNTIF($AB$13:$AM$13,BM.medicao-1)&gt;0),M529/$I529*100,0))</f>
        <v>0</v>
      </c>
      <c r="K529" s="124">
        <f t="shared" ca="1" si="58"/>
        <v>0</v>
      </c>
      <c r="L529" s="379">
        <f ca="1">IF($A529="S",IF(CAIXA.Modo,BM.AFAcumulado,BM.MEDAcumulado),IF(AND(RegimeExecucao="Global",$I529&gt;0,COUNTIF($AB$13:$AM$13,BM.medicao)&gt;0),O529/$I529*100,0))</f>
        <v>0</v>
      </c>
      <c r="M529" s="380">
        <f ca="1">IF($A529="S",VTOTALBM,IF($A529=0,0,ROUND(SomaAgrupBM,15-13*ORÇAMENTO!$AF$11)))</f>
        <v>0</v>
      </c>
      <c r="N529" s="381">
        <f t="shared" ca="1" si="59"/>
        <v>0</v>
      </c>
      <c r="O529" s="127">
        <f ca="1">IF($A529="S",VTOTALBM,IF($A529=0,0,ROUND(SomaAgrupBM,15-13*ORÇAMENTO!$AF$11)))</f>
        <v>0</v>
      </c>
      <c r="Q529" s="382"/>
      <c r="R529" s="383"/>
      <c r="T529" s="119" t="str">
        <f t="shared" ca="1" si="60"/>
        <v/>
      </c>
      <c r="U529" s="172" t="str">
        <f t="shared" ca="1" si="61"/>
        <v/>
      </c>
      <c r="V529" s="173" t="str">
        <f ca="1">IF(AND($W529&gt;0,RegimeExecucao="Unitário"),$F529,"")</f>
        <v/>
      </c>
      <c r="W529" s="547">
        <f ca="1">IF($Y529&gt;0,CHOOSE(MATCH(RegimeExecucao,{"Unitário","Global"},0),IF($A529="S",$Y529/$X529,""),($Y529/$X529)*100),0)</f>
        <v>0</v>
      </c>
      <c r="X529" s="384" t="str">
        <f ca="1">IF($Y529&gt;0,CHOOSE(MATCH(RegimeExecucao,{"Unitário","Global"},0),IF($A529="S",ROUND($H529,ORÇAMENTO!$AF$10),""),ROUND($I529,ORÇAMENTO!$AF$11)),"")</f>
        <v/>
      </c>
      <c r="Y529" s="384">
        <f t="shared" ca="1" si="62"/>
        <v>0</v>
      </c>
      <c r="Z529" s="572"/>
      <c r="AB529" s="382"/>
      <c r="AC529" s="516"/>
      <c r="AD529" s="516"/>
      <c r="AE529" s="516"/>
      <c r="AF529" s="516"/>
      <c r="AG529" s="516"/>
      <c r="AH529" s="516"/>
      <c r="AI529" s="516"/>
      <c r="AJ529" s="516"/>
      <c r="AK529" s="516"/>
      <c r="AL529" s="516"/>
      <c r="AM529" s="383"/>
      <c r="AO529">
        <f ca="1">IF($A529="S",IF(BM!$I529=0,0,CHOOSE(MATCH(RegimeExecucao,{"Global","Unitário"},0),ROUND(ROUND(BM.MEDAcumulado,15-13*BM!$A$9)/100*BM!$I529,15-13*ORÇAMENTO!$AF$11),ROUND(ROUND(BM.MEDAcumulado,15-13*BM!$A$9)*ROUND(BM!$H529,15-13*ORÇAMENTO!$AF$10),15-13*ORÇAMENTO!$AF$11))),IF($A529=0,0,ROUND(SomaAgrupBM,15-13*ORÇAMENTO!$AF$11)))</f>
        <v>0</v>
      </c>
    </row>
    <row r="530" spans="1:41" ht="38.25" x14ac:dyDescent="0.2">
      <c r="A530" t="str">
        <f ca="1">ORÇAMENTO!C530</f>
        <v>S</v>
      </c>
      <c r="B530">
        <f ca="1">ORÇAMENTO!D530</f>
        <v>0</v>
      </c>
      <c r="C530" s="116" t="str">
        <f t="shared" ca="1" si="56"/>
        <v/>
      </c>
      <c r="D530" s="119" t="str">
        <f ca="1">ORÇAMENTO!O530</f>
        <v>-</v>
      </c>
      <c r="E530" s="172" t="str">
        <f t="shared" ca="1" si="57"/>
        <v>(abra o arquivo 'Referência 02-2025.xlsm)</v>
      </c>
      <c r="F530" s="173" t="str">
        <f ca="1">IF(RegimeExecucao="Global","",ORÇAMENTO.Unidade)</f>
        <v>-</v>
      </c>
      <c r="G530" s="124">
        <f ca="1">IF(RegimeExecucao="Global","",ORÇAMENTO!T530)</f>
        <v>9.8000000000000007</v>
      </c>
      <c r="H530" s="124">
        <f ca="1">IF(RegimeExecucao="Global","",ORÇAMENTO!W530)</f>
        <v>0</v>
      </c>
      <c r="I530" s="127">
        <f ca="1">ORÇAMENTO!X530</f>
        <v>0</v>
      </c>
      <c r="J530" s="378">
        <f ca="1">IF($A530="S",IF(CAIXA.Modo,BM.AFAnterior,BM.MEDAnterior),IF(AND(RegimeExecucao="Global",$I530&gt;0,COUNTIF($AB$13:$AM$13,BM.medicao-1)&gt;0),M530/$I530*100,0))</f>
        <v>0</v>
      </c>
      <c r="K530" s="124">
        <f t="shared" ca="1" si="58"/>
        <v>0</v>
      </c>
      <c r="L530" s="379">
        <f ca="1">IF($A530="S",IF(CAIXA.Modo,BM.AFAcumulado,BM.MEDAcumulado),IF(AND(RegimeExecucao="Global",$I530&gt;0,COUNTIF($AB$13:$AM$13,BM.medicao)&gt;0),O530/$I530*100,0))</f>
        <v>0</v>
      </c>
      <c r="M530" s="380">
        <f ca="1">IF($A530="S",VTOTALBM,IF($A530=0,0,ROUND(SomaAgrupBM,15-13*ORÇAMENTO!$AF$11)))</f>
        <v>0</v>
      </c>
      <c r="N530" s="381">
        <f t="shared" ca="1" si="59"/>
        <v>0</v>
      </c>
      <c r="O530" s="127">
        <f ca="1">IF($A530="S",VTOTALBM,IF($A530=0,0,ROUND(SomaAgrupBM,15-13*ORÇAMENTO!$AF$11)))</f>
        <v>0</v>
      </c>
      <c r="Q530" s="382"/>
      <c r="R530" s="383"/>
      <c r="T530" s="119" t="str">
        <f t="shared" ca="1" si="60"/>
        <v/>
      </c>
      <c r="U530" s="172" t="str">
        <f t="shared" ca="1" si="61"/>
        <v/>
      </c>
      <c r="V530" s="173" t="str">
        <f ca="1">IF(AND($W530&gt;0,RegimeExecucao="Unitário"),$F530,"")</f>
        <v/>
      </c>
      <c r="W530" s="547">
        <f ca="1">IF($Y530&gt;0,CHOOSE(MATCH(RegimeExecucao,{"Unitário","Global"},0),IF($A530="S",$Y530/$X530,""),($Y530/$X530)*100),0)</f>
        <v>0</v>
      </c>
      <c r="X530" s="384" t="str">
        <f ca="1">IF($Y530&gt;0,CHOOSE(MATCH(RegimeExecucao,{"Unitário","Global"},0),IF($A530="S",ROUND($H530,ORÇAMENTO!$AF$10),""),ROUND($I530,ORÇAMENTO!$AF$11)),"")</f>
        <v/>
      </c>
      <c r="Y530" s="384">
        <f t="shared" ca="1" si="62"/>
        <v>0</v>
      </c>
      <c r="Z530" s="572"/>
      <c r="AB530" s="382"/>
      <c r="AC530" s="516"/>
      <c r="AD530" s="516"/>
      <c r="AE530" s="516"/>
      <c r="AF530" s="516"/>
      <c r="AG530" s="516"/>
      <c r="AH530" s="516"/>
      <c r="AI530" s="516"/>
      <c r="AJ530" s="516"/>
      <c r="AK530" s="516"/>
      <c r="AL530" s="516"/>
      <c r="AM530" s="383"/>
      <c r="AO530">
        <f ca="1">IF($A530="S",IF(BM!$I530=0,0,CHOOSE(MATCH(RegimeExecucao,{"Global","Unitário"},0),ROUND(ROUND(BM.MEDAcumulado,15-13*BM!$A$9)/100*BM!$I530,15-13*ORÇAMENTO!$AF$11),ROUND(ROUND(BM.MEDAcumulado,15-13*BM!$A$9)*ROUND(BM!$H530,15-13*ORÇAMENTO!$AF$10),15-13*ORÇAMENTO!$AF$11))),IF($A530=0,0,ROUND(SomaAgrupBM,15-13*ORÇAMENTO!$AF$11)))</f>
        <v>0</v>
      </c>
    </row>
    <row r="531" spans="1:41" ht="38.25" x14ac:dyDescent="0.2">
      <c r="A531" t="str">
        <f ca="1">ORÇAMENTO!C531</f>
        <v>S</v>
      </c>
      <c r="B531">
        <f ca="1">ORÇAMENTO!D531</f>
        <v>0</v>
      </c>
      <c r="C531" s="116" t="str">
        <f t="shared" ca="1" si="56"/>
        <v/>
      </c>
      <c r="D531" s="119" t="str">
        <f ca="1">ORÇAMENTO!O531</f>
        <v>-</v>
      </c>
      <c r="E531" s="172" t="str">
        <f t="shared" ca="1" si="57"/>
        <v>(abra o arquivo 'Referência 02-2025.xlsm)</v>
      </c>
      <c r="F531" s="173" t="str">
        <f ca="1">IF(RegimeExecucao="Global","",ORÇAMENTO.Unidade)</f>
        <v>-</v>
      </c>
      <c r="G531" s="124">
        <f ca="1">IF(RegimeExecucao="Global","",ORÇAMENTO!T531)</f>
        <v>83.3</v>
      </c>
      <c r="H531" s="124">
        <f ca="1">IF(RegimeExecucao="Global","",ORÇAMENTO!W531)</f>
        <v>0</v>
      </c>
      <c r="I531" s="127">
        <f ca="1">ORÇAMENTO!X531</f>
        <v>0</v>
      </c>
      <c r="J531" s="378">
        <f ca="1">IF($A531="S",IF(CAIXA.Modo,BM.AFAnterior,BM.MEDAnterior),IF(AND(RegimeExecucao="Global",$I531&gt;0,COUNTIF($AB$13:$AM$13,BM.medicao-1)&gt;0),M531/$I531*100,0))</f>
        <v>0</v>
      </c>
      <c r="K531" s="124">
        <f t="shared" ca="1" si="58"/>
        <v>0</v>
      </c>
      <c r="L531" s="379">
        <f ca="1">IF($A531="S",IF(CAIXA.Modo,BM.AFAcumulado,BM.MEDAcumulado),IF(AND(RegimeExecucao="Global",$I531&gt;0,COUNTIF($AB$13:$AM$13,BM.medicao)&gt;0),O531/$I531*100,0))</f>
        <v>0</v>
      </c>
      <c r="M531" s="380">
        <f ca="1">IF($A531="S",VTOTALBM,IF($A531=0,0,ROUND(SomaAgrupBM,15-13*ORÇAMENTO!$AF$11)))</f>
        <v>0</v>
      </c>
      <c r="N531" s="381">
        <f t="shared" ca="1" si="59"/>
        <v>0</v>
      </c>
      <c r="O531" s="127">
        <f ca="1">IF($A531="S",VTOTALBM,IF($A531=0,0,ROUND(SomaAgrupBM,15-13*ORÇAMENTO!$AF$11)))</f>
        <v>0</v>
      </c>
      <c r="Q531" s="382"/>
      <c r="R531" s="383"/>
      <c r="T531" s="119" t="str">
        <f t="shared" ca="1" si="60"/>
        <v/>
      </c>
      <c r="U531" s="172" t="str">
        <f t="shared" ca="1" si="61"/>
        <v/>
      </c>
      <c r="V531" s="173" t="str">
        <f ca="1">IF(AND($W531&gt;0,RegimeExecucao="Unitário"),$F531,"")</f>
        <v/>
      </c>
      <c r="W531" s="547">
        <f ca="1">IF($Y531&gt;0,CHOOSE(MATCH(RegimeExecucao,{"Unitário","Global"},0),IF($A531="S",$Y531/$X531,""),($Y531/$X531)*100),0)</f>
        <v>0</v>
      </c>
      <c r="X531" s="384" t="str">
        <f ca="1">IF($Y531&gt;0,CHOOSE(MATCH(RegimeExecucao,{"Unitário","Global"},0),IF($A531="S",ROUND($H531,ORÇAMENTO!$AF$10),""),ROUND($I531,ORÇAMENTO!$AF$11)),"")</f>
        <v/>
      </c>
      <c r="Y531" s="384">
        <f t="shared" ca="1" si="62"/>
        <v>0</v>
      </c>
      <c r="Z531" s="572"/>
      <c r="AB531" s="382"/>
      <c r="AC531" s="516"/>
      <c r="AD531" s="516"/>
      <c r="AE531" s="516"/>
      <c r="AF531" s="516"/>
      <c r="AG531" s="516"/>
      <c r="AH531" s="516"/>
      <c r="AI531" s="516"/>
      <c r="AJ531" s="516"/>
      <c r="AK531" s="516"/>
      <c r="AL531" s="516"/>
      <c r="AM531" s="383"/>
      <c r="AO531">
        <f ca="1">IF($A531="S",IF(BM!$I531=0,0,CHOOSE(MATCH(RegimeExecucao,{"Global","Unitário"},0),ROUND(ROUND(BM.MEDAcumulado,15-13*BM!$A$9)/100*BM!$I531,15-13*ORÇAMENTO!$AF$11),ROUND(ROUND(BM.MEDAcumulado,15-13*BM!$A$9)*ROUND(BM!$H531,15-13*ORÇAMENTO!$AF$10),15-13*ORÇAMENTO!$AF$11))),IF($A531=0,0,ROUND(SomaAgrupBM,15-13*ORÇAMENTO!$AF$11)))</f>
        <v>0</v>
      </c>
    </row>
    <row r="532" spans="1:41" ht="38.25" x14ac:dyDescent="0.2">
      <c r="A532" t="str">
        <f ca="1">ORÇAMENTO!C532</f>
        <v>S</v>
      </c>
      <c r="B532">
        <f ca="1">ORÇAMENTO!D532</f>
        <v>0</v>
      </c>
      <c r="C532" s="116" t="str">
        <f t="shared" ca="1" si="56"/>
        <v/>
      </c>
      <c r="D532" s="119" t="str">
        <f ca="1">ORÇAMENTO!O532</f>
        <v>-</v>
      </c>
      <c r="E532" s="172" t="str">
        <f t="shared" ca="1" si="57"/>
        <v>(abra o arquivo 'Referência 02-2025.xlsm)</v>
      </c>
      <c r="F532" s="173" t="str">
        <f ca="1">IF(RegimeExecucao="Global","",ORÇAMENTO.Unidade)</f>
        <v>-</v>
      </c>
      <c r="G532" s="124">
        <f ca="1">IF(RegimeExecucao="Global","",ORÇAMENTO!T532)</f>
        <v>671.6</v>
      </c>
      <c r="H532" s="124">
        <f ca="1">IF(RegimeExecucao="Global","",ORÇAMENTO!W532)</f>
        <v>0</v>
      </c>
      <c r="I532" s="127">
        <f ca="1">ORÇAMENTO!X532</f>
        <v>0</v>
      </c>
      <c r="J532" s="378">
        <f ca="1">IF($A532="S",IF(CAIXA.Modo,BM.AFAnterior,BM.MEDAnterior),IF(AND(RegimeExecucao="Global",$I532&gt;0,COUNTIF($AB$13:$AM$13,BM.medicao-1)&gt;0),M532/$I532*100,0))</f>
        <v>0</v>
      </c>
      <c r="K532" s="124">
        <f t="shared" ca="1" si="58"/>
        <v>0</v>
      </c>
      <c r="L532" s="379">
        <f ca="1">IF($A532="S",IF(CAIXA.Modo,BM.AFAcumulado,BM.MEDAcumulado),IF(AND(RegimeExecucao="Global",$I532&gt;0,COUNTIF($AB$13:$AM$13,BM.medicao)&gt;0),O532/$I532*100,0))</f>
        <v>0</v>
      </c>
      <c r="M532" s="380">
        <f ca="1">IF($A532="S",VTOTALBM,IF($A532=0,0,ROUND(SomaAgrupBM,15-13*ORÇAMENTO!$AF$11)))</f>
        <v>0</v>
      </c>
      <c r="N532" s="381">
        <f t="shared" ca="1" si="59"/>
        <v>0</v>
      </c>
      <c r="O532" s="127">
        <f ca="1">IF($A532="S",VTOTALBM,IF($A532=0,0,ROUND(SomaAgrupBM,15-13*ORÇAMENTO!$AF$11)))</f>
        <v>0</v>
      </c>
      <c r="Q532" s="382"/>
      <c r="R532" s="383"/>
      <c r="T532" s="119" t="str">
        <f t="shared" ca="1" si="60"/>
        <v/>
      </c>
      <c r="U532" s="172" t="str">
        <f t="shared" ca="1" si="61"/>
        <v/>
      </c>
      <c r="V532" s="173" t="str">
        <f ca="1">IF(AND($W532&gt;0,RegimeExecucao="Unitário"),$F532,"")</f>
        <v/>
      </c>
      <c r="W532" s="547">
        <f ca="1">IF($Y532&gt;0,CHOOSE(MATCH(RegimeExecucao,{"Unitário","Global"},0),IF($A532="S",$Y532/$X532,""),($Y532/$X532)*100),0)</f>
        <v>0</v>
      </c>
      <c r="X532" s="384" t="str">
        <f ca="1">IF($Y532&gt;0,CHOOSE(MATCH(RegimeExecucao,{"Unitário","Global"},0),IF($A532="S",ROUND($H532,ORÇAMENTO!$AF$10),""),ROUND($I532,ORÇAMENTO!$AF$11)),"")</f>
        <v/>
      </c>
      <c r="Y532" s="384">
        <f t="shared" ca="1" si="62"/>
        <v>0</v>
      </c>
      <c r="Z532" s="572"/>
      <c r="AB532" s="382"/>
      <c r="AC532" s="516"/>
      <c r="AD532" s="516"/>
      <c r="AE532" s="516"/>
      <c r="AF532" s="516"/>
      <c r="AG532" s="516"/>
      <c r="AH532" s="516"/>
      <c r="AI532" s="516"/>
      <c r="AJ532" s="516"/>
      <c r="AK532" s="516"/>
      <c r="AL532" s="516"/>
      <c r="AM532" s="383"/>
      <c r="AO532">
        <f ca="1">IF($A532="S",IF(BM!$I532=0,0,CHOOSE(MATCH(RegimeExecucao,{"Global","Unitário"},0),ROUND(ROUND(BM.MEDAcumulado,15-13*BM!$A$9)/100*BM!$I532,15-13*ORÇAMENTO!$AF$11),ROUND(ROUND(BM.MEDAcumulado,15-13*BM!$A$9)*ROUND(BM!$H532,15-13*ORÇAMENTO!$AF$10),15-13*ORÇAMENTO!$AF$11))),IF($A532=0,0,ROUND(SomaAgrupBM,15-13*ORÇAMENTO!$AF$11)))</f>
        <v>0</v>
      </c>
    </row>
    <row r="533" spans="1:41" ht="38.25" x14ac:dyDescent="0.2">
      <c r="A533" t="str">
        <f ca="1">ORÇAMENTO!C533</f>
        <v>S</v>
      </c>
      <c r="B533">
        <f ca="1">ORÇAMENTO!D533</f>
        <v>0</v>
      </c>
      <c r="C533" s="116" t="str">
        <f t="shared" ca="1" si="56"/>
        <v/>
      </c>
      <c r="D533" s="119" t="str">
        <f ca="1">ORÇAMENTO!O533</f>
        <v>-</v>
      </c>
      <c r="E533" s="172" t="str">
        <f t="shared" ca="1" si="57"/>
        <v>(abra o arquivo 'Referência 02-2025.xlsm)</v>
      </c>
      <c r="F533" s="173" t="str">
        <f ca="1">IF(RegimeExecucao="Global","",ORÇAMENTO.Unidade)</f>
        <v>-</v>
      </c>
      <c r="G533" s="124">
        <f ca="1">IF(RegimeExecucao="Global","",ORÇAMENTO!T533)</f>
        <v>4510.5</v>
      </c>
      <c r="H533" s="124">
        <f ca="1">IF(RegimeExecucao="Global","",ORÇAMENTO!W533)</f>
        <v>0</v>
      </c>
      <c r="I533" s="127">
        <f ca="1">ORÇAMENTO!X533</f>
        <v>0</v>
      </c>
      <c r="J533" s="378">
        <f ca="1">IF($A533="S",IF(CAIXA.Modo,BM.AFAnterior,BM.MEDAnterior),IF(AND(RegimeExecucao="Global",$I533&gt;0,COUNTIF($AB$13:$AM$13,BM.medicao-1)&gt;0),M533/$I533*100,0))</f>
        <v>0</v>
      </c>
      <c r="K533" s="124">
        <f t="shared" ca="1" si="58"/>
        <v>0</v>
      </c>
      <c r="L533" s="379">
        <f ca="1">IF($A533="S",IF(CAIXA.Modo,BM.AFAcumulado,BM.MEDAcumulado),IF(AND(RegimeExecucao="Global",$I533&gt;0,COUNTIF($AB$13:$AM$13,BM.medicao)&gt;0),O533/$I533*100,0))</f>
        <v>0</v>
      </c>
      <c r="M533" s="380">
        <f ca="1">IF($A533="S",VTOTALBM,IF($A533=0,0,ROUND(SomaAgrupBM,15-13*ORÇAMENTO!$AF$11)))</f>
        <v>0</v>
      </c>
      <c r="N533" s="381">
        <f t="shared" ca="1" si="59"/>
        <v>0</v>
      </c>
      <c r="O533" s="127">
        <f ca="1">IF($A533="S",VTOTALBM,IF($A533=0,0,ROUND(SomaAgrupBM,15-13*ORÇAMENTO!$AF$11)))</f>
        <v>0</v>
      </c>
      <c r="Q533" s="382"/>
      <c r="R533" s="383"/>
      <c r="T533" s="119" t="str">
        <f t="shared" ca="1" si="60"/>
        <v/>
      </c>
      <c r="U533" s="172" t="str">
        <f t="shared" ca="1" si="61"/>
        <v/>
      </c>
      <c r="V533" s="173" t="str">
        <f ca="1">IF(AND($W533&gt;0,RegimeExecucao="Unitário"),$F533,"")</f>
        <v/>
      </c>
      <c r="W533" s="547">
        <f ca="1">IF($Y533&gt;0,CHOOSE(MATCH(RegimeExecucao,{"Unitário","Global"},0),IF($A533="S",$Y533/$X533,""),($Y533/$X533)*100),0)</f>
        <v>0</v>
      </c>
      <c r="X533" s="384" t="str">
        <f ca="1">IF($Y533&gt;0,CHOOSE(MATCH(RegimeExecucao,{"Unitário","Global"},0),IF($A533="S",ROUND($H533,ORÇAMENTO!$AF$10),""),ROUND($I533,ORÇAMENTO!$AF$11)),"")</f>
        <v/>
      </c>
      <c r="Y533" s="384">
        <f t="shared" ca="1" si="62"/>
        <v>0</v>
      </c>
      <c r="Z533" s="572"/>
      <c r="AB533" s="382"/>
      <c r="AC533" s="516"/>
      <c r="AD533" s="516"/>
      <c r="AE533" s="516"/>
      <c r="AF533" s="516"/>
      <c r="AG533" s="516"/>
      <c r="AH533" s="516"/>
      <c r="AI533" s="516"/>
      <c r="AJ533" s="516"/>
      <c r="AK533" s="516"/>
      <c r="AL533" s="516"/>
      <c r="AM533" s="383"/>
      <c r="AO533">
        <f ca="1">IF($A533="S",IF(BM!$I533=0,0,CHOOSE(MATCH(RegimeExecucao,{"Global","Unitário"},0),ROUND(ROUND(BM.MEDAcumulado,15-13*BM!$A$9)/100*BM!$I533,15-13*ORÇAMENTO!$AF$11),ROUND(ROUND(BM.MEDAcumulado,15-13*BM!$A$9)*ROUND(BM!$H533,15-13*ORÇAMENTO!$AF$10),15-13*ORÇAMENTO!$AF$11))),IF($A533=0,0,ROUND(SomaAgrupBM,15-13*ORÇAMENTO!$AF$11)))</f>
        <v>0</v>
      </c>
    </row>
    <row r="534" spans="1:41" ht="38.25" x14ac:dyDescent="0.2">
      <c r="A534" t="str">
        <f ca="1">ORÇAMENTO!C534</f>
        <v>S</v>
      </c>
      <c r="B534">
        <f ca="1">ORÇAMENTO!D534</f>
        <v>0</v>
      </c>
      <c r="C534" s="116" t="str">
        <f t="shared" ca="1" si="56"/>
        <v/>
      </c>
      <c r="D534" s="119" t="str">
        <f ca="1">ORÇAMENTO!O534</f>
        <v>-</v>
      </c>
      <c r="E534" s="172" t="str">
        <f t="shared" ca="1" si="57"/>
        <v>(abra o arquivo 'Referência 02-2025.xlsm)</v>
      </c>
      <c r="F534" s="173" t="str">
        <f ca="1">IF(RegimeExecucao="Global","",ORÇAMENTO.Unidade)</f>
        <v>-</v>
      </c>
      <c r="G534" s="124">
        <f ca="1">IF(RegimeExecucao="Global","",ORÇAMENTO!T534)</f>
        <v>4012.5</v>
      </c>
      <c r="H534" s="124">
        <f ca="1">IF(RegimeExecucao="Global","",ORÇAMENTO!W534)</f>
        <v>0</v>
      </c>
      <c r="I534" s="127">
        <f ca="1">ORÇAMENTO!X534</f>
        <v>0</v>
      </c>
      <c r="J534" s="378">
        <f ca="1">IF($A534="S",IF(CAIXA.Modo,BM.AFAnterior,BM.MEDAnterior),IF(AND(RegimeExecucao="Global",$I534&gt;0,COUNTIF($AB$13:$AM$13,BM.medicao-1)&gt;0),M534/$I534*100,0))</f>
        <v>0</v>
      </c>
      <c r="K534" s="124">
        <f t="shared" ca="1" si="58"/>
        <v>0</v>
      </c>
      <c r="L534" s="379">
        <f ca="1">IF($A534="S",IF(CAIXA.Modo,BM.AFAcumulado,BM.MEDAcumulado),IF(AND(RegimeExecucao="Global",$I534&gt;0,COUNTIF($AB$13:$AM$13,BM.medicao)&gt;0),O534/$I534*100,0))</f>
        <v>0</v>
      </c>
      <c r="M534" s="380">
        <f ca="1">IF($A534="S",VTOTALBM,IF($A534=0,0,ROUND(SomaAgrupBM,15-13*ORÇAMENTO!$AF$11)))</f>
        <v>0</v>
      </c>
      <c r="N534" s="381">
        <f t="shared" ca="1" si="59"/>
        <v>0</v>
      </c>
      <c r="O534" s="127">
        <f ca="1">IF($A534="S",VTOTALBM,IF($A534=0,0,ROUND(SomaAgrupBM,15-13*ORÇAMENTO!$AF$11)))</f>
        <v>0</v>
      </c>
      <c r="Q534" s="382"/>
      <c r="R534" s="383"/>
      <c r="T534" s="119" t="str">
        <f t="shared" ca="1" si="60"/>
        <v/>
      </c>
      <c r="U534" s="172" t="str">
        <f t="shared" ca="1" si="61"/>
        <v/>
      </c>
      <c r="V534" s="173" t="str">
        <f ca="1">IF(AND($W534&gt;0,RegimeExecucao="Unitário"),$F534,"")</f>
        <v/>
      </c>
      <c r="W534" s="547">
        <f ca="1">IF($Y534&gt;0,CHOOSE(MATCH(RegimeExecucao,{"Unitário","Global"},0),IF($A534="S",$Y534/$X534,""),($Y534/$X534)*100),0)</f>
        <v>0</v>
      </c>
      <c r="X534" s="384" t="str">
        <f ca="1">IF($Y534&gt;0,CHOOSE(MATCH(RegimeExecucao,{"Unitário","Global"},0),IF($A534="S",ROUND($H534,ORÇAMENTO!$AF$10),""),ROUND($I534,ORÇAMENTO!$AF$11)),"")</f>
        <v/>
      </c>
      <c r="Y534" s="384">
        <f t="shared" ca="1" si="62"/>
        <v>0</v>
      </c>
      <c r="Z534" s="572"/>
      <c r="AB534" s="382"/>
      <c r="AC534" s="516"/>
      <c r="AD534" s="516"/>
      <c r="AE534" s="516"/>
      <c r="AF534" s="516"/>
      <c r="AG534" s="516"/>
      <c r="AH534" s="516"/>
      <c r="AI534" s="516"/>
      <c r="AJ534" s="516"/>
      <c r="AK534" s="516"/>
      <c r="AL534" s="516"/>
      <c r="AM534" s="383"/>
      <c r="AO534">
        <f ca="1">IF($A534="S",IF(BM!$I534=0,0,CHOOSE(MATCH(RegimeExecucao,{"Global","Unitário"},0),ROUND(ROUND(BM.MEDAcumulado,15-13*BM!$A$9)/100*BM!$I534,15-13*ORÇAMENTO!$AF$11),ROUND(ROUND(BM.MEDAcumulado,15-13*BM!$A$9)*ROUND(BM!$H534,15-13*ORÇAMENTO!$AF$10),15-13*ORÇAMENTO!$AF$11))),IF($A534=0,0,ROUND(SomaAgrupBM,15-13*ORÇAMENTO!$AF$11)))</f>
        <v>0</v>
      </c>
    </row>
    <row r="535" spans="1:41" x14ac:dyDescent="0.2">
      <c r="A535">
        <f ca="1">ORÇAMENTO!C535</f>
        <v>3</v>
      </c>
      <c r="B535">
        <f ca="1">ORÇAMENTO!D535</f>
        <v>4</v>
      </c>
      <c r="C535" s="116" t="str">
        <f t="shared" ca="1" si="56"/>
        <v>F</v>
      </c>
      <c r="D535" s="119" t="str">
        <f ca="1">ORÇAMENTO!O535</f>
        <v>1.17.5.</v>
      </c>
      <c r="E535" s="172" t="str">
        <f t="shared" ca="1" si="57"/>
        <v>CAIXAS DE PASSAGEM</v>
      </c>
      <c r="F535" s="173" t="str">
        <f ca="1">IF(RegimeExecucao="Global","",ORÇAMENTO.Unidade)</f>
        <v>-</v>
      </c>
      <c r="G535" s="124">
        <f ca="1">IF(RegimeExecucao="Global","",ORÇAMENTO!T535)</f>
        <v>0</v>
      </c>
      <c r="H535" s="124">
        <f ca="1">IF(RegimeExecucao="Global","",ORÇAMENTO!W535)</f>
        <v>0</v>
      </c>
      <c r="I535" s="127">
        <f ca="1">ORÇAMENTO!X535</f>
        <v>0</v>
      </c>
      <c r="J535" s="378">
        <f ca="1">IF($A535="S",IF(CAIXA.Modo,BM.AFAnterior,BM.MEDAnterior),IF(AND(RegimeExecucao="Global",$I535&gt;0,COUNTIF($AB$13:$AM$13,BM.medicao-1)&gt;0),M535/$I535*100,0))</f>
        <v>0</v>
      </c>
      <c r="K535" s="124">
        <f t="shared" ca="1" si="58"/>
        <v>0</v>
      </c>
      <c r="L535" s="379">
        <f ca="1">IF($A535="S",IF(CAIXA.Modo,BM.AFAcumulado,BM.MEDAcumulado),IF(AND(RegimeExecucao="Global",$I535&gt;0,COUNTIF($AB$13:$AM$13,BM.medicao)&gt;0),O535/$I535*100,0))</f>
        <v>0</v>
      </c>
      <c r="M535" s="380">
        <f ca="1">IF($A535="S",VTOTALBM,IF($A535=0,0,ROUND(SomaAgrupBM,15-13*ORÇAMENTO!$AF$11)))</f>
        <v>0</v>
      </c>
      <c r="N535" s="381">
        <f t="shared" ca="1" si="59"/>
        <v>0</v>
      </c>
      <c r="O535" s="127">
        <f ca="1">IF($A535="S",VTOTALBM,IF($A535=0,0,ROUND(SomaAgrupBM,15-13*ORÇAMENTO!$AF$11)))</f>
        <v>0</v>
      </c>
      <c r="Q535" s="382"/>
      <c r="R535" s="383"/>
      <c r="T535" s="119" t="str">
        <f t="shared" ca="1" si="60"/>
        <v/>
      </c>
      <c r="U535" s="172" t="str">
        <f t="shared" ca="1" si="61"/>
        <v/>
      </c>
      <c r="V535" s="173" t="str">
        <f ca="1">IF(AND($W535&gt;0,RegimeExecucao="Unitário"),$F535,"")</f>
        <v/>
      </c>
      <c r="W535" s="547">
        <f ca="1">IF($Y535&gt;0,CHOOSE(MATCH(RegimeExecucao,{"Unitário","Global"},0),IF($A535="S",$Y535/$X535,""),($Y535/$X535)*100),0)</f>
        <v>0</v>
      </c>
      <c r="X535" s="384" t="str">
        <f ca="1">IF($Y535&gt;0,CHOOSE(MATCH(RegimeExecucao,{"Unitário","Global"},0),IF($A535="S",ROUND($H535,ORÇAMENTO!$AF$10),""),ROUND($I535,ORÇAMENTO!$AF$11)),"")</f>
        <v/>
      </c>
      <c r="Y535" s="384">
        <f t="shared" ca="1" si="62"/>
        <v>0</v>
      </c>
      <c r="Z535" s="572"/>
      <c r="AB535" s="382"/>
      <c r="AC535" s="516"/>
      <c r="AD535" s="516"/>
      <c r="AE535" s="516"/>
      <c r="AF535" s="516"/>
      <c r="AG535" s="516"/>
      <c r="AH535" s="516"/>
      <c r="AI535" s="516"/>
      <c r="AJ535" s="516"/>
      <c r="AK535" s="516"/>
      <c r="AL535" s="516"/>
      <c r="AM535" s="383"/>
      <c r="AO535">
        <f ca="1">IF($A535="S",IF(BM!$I535=0,0,CHOOSE(MATCH(RegimeExecucao,{"Global","Unitário"},0),ROUND(ROUND(BM.MEDAcumulado,15-13*BM!$A$9)/100*BM!$I535,15-13*ORÇAMENTO!$AF$11),ROUND(ROUND(BM.MEDAcumulado,15-13*BM!$A$9)*ROUND(BM!$H535,15-13*ORÇAMENTO!$AF$10),15-13*ORÇAMENTO!$AF$11))),IF($A535=0,0,ROUND(SomaAgrupBM,15-13*ORÇAMENTO!$AF$11)))</f>
        <v>0</v>
      </c>
    </row>
    <row r="536" spans="1:41" ht="25.5" x14ac:dyDescent="0.2">
      <c r="A536" t="str">
        <f ca="1">ORÇAMENTO!C536</f>
        <v>S</v>
      </c>
      <c r="B536">
        <f ca="1">ORÇAMENTO!D536</f>
        <v>0</v>
      </c>
      <c r="C536" s="116" t="str">
        <f t="shared" ca="1" si="56"/>
        <v/>
      </c>
      <c r="D536" s="119" t="str">
        <f ca="1">ORÇAMENTO!O536</f>
        <v>-</v>
      </c>
      <c r="E536" s="172" t="str">
        <f t="shared" ca="1" si="57"/>
        <v>(abra o arquivo 'Referência 02-2025.xlsm)</v>
      </c>
      <c r="F536" s="173" t="str">
        <f ca="1">IF(RegimeExecucao="Global","",ORÇAMENTO.Unidade)</f>
        <v>-</v>
      </c>
      <c r="G536" s="124">
        <f ca="1">IF(RegimeExecucao="Global","",ORÇAMENTO!T536)</f>
        <v>3</v>
      </c>
      <c r="H536" s="124">
        <f ca="1">IF(RegimeExecucao="Global","",ORÇAMENTO!W536)</f>
        <v>0</v>
      </c>
      <c r="I536" s="127">
        <f ca="1">ORÇAMENTO!X536</f>
        <v>0</v>
      </c>
      <c r="J536" s="378">
        <f ca="1">IF($A536="S",IF(CAIXA.Modo,BM.AFAnterior,BM.MEDAnterior),IF(AND(RegimeExecucao="Global",$I536&gt;0,COUNTIF($AB$13:$AM$13,BM.medicao-1)&gt;0),M536/$I536*100,0))</f>
        <v>0</v>
      </c>
      <c r="K536" s="124">
        <f t="shared" ca="1" si="58"/>
        <v>0</v>
      </c>
      <c r="L536" s="379">
        <f ca="1">IF($A536="S",IF(CAIXA.Modo,BM.AFAcumulado,BM.MEDAcumulado),IF(AND(RegimeExecucao="Global",$I536&gt;0,COUNTIF($AB$13:$AM$13,BM.medicao)&gt;0),O536/$I536*100,0))</f>
        <v>0</v>
      </c>
      <c r="M536" s="380">
        <f ca="1">IF($A536="S",VTOTALBM,IF($A536=0,0,ROUND(SomaAgrupBM,15-13*ORÇAMENTO!$AF$11)))</f>
        <v>0</v>
      </c>
      <c r="N536" s="381">
        <f t="shared" ca="1" si="59"/>
        <v>0</v>
      </c>
      <c r="O536" s="127">
        <f ca="1">IF($A536="S",VTOTALBM,IF($A536=0,0,ROUND(SomaAgrupBM,15-13*ORÇAMENTO!$AF$11)))</f>
        <v>0</v>
      </c>
      <c r="Q536" s="382"/>
      <c r="R536" s="383"/>
      <c r="T536" s="119" t="str">
        <f t="shared" ca="1" si="60"/>
        <v/>
      </c>
      <c r="U536" s="172" t="str">
        <f t="shared" ca="1" si="61"/>
        <v/>
      </c>
      <c r="V536" s="173" t="str">
        <f ca="1">IF(AND($W536&gt;0,RegimeExecucao="Unitário"),$F536,"")</f>
        <v/>
      </c>
      <c r="W536" s="547">
        <f ca="1">IF($Y536&gt;0,CHOOSE(MATCH(RegimeExecucao,{"Unitário","Global"},0),IF($A536="S",$Y536/$X536,""),($Y536/$X536)*100),0)</f>
        <v>0</v>
      </c>
      <c r="X536" s="384" t="str">
        <f ca="1">IF($Y536&gt;0,CHOOSE(MATCH(RegimeExecucao,{"Unitário","Global"},0),IF($A536="S",ROUND($H536,ORÇAMENTO!$AF$10),""),ROUND($I536,ORÇAMENTO!$AF$11)),"")</f>
        <v/>
      </c>
      <c r="Y536" s="384">
        <f t="shared" ca="1" si="62"/>
        <v>0</v>
      </c>
      <c r="Z536" s="572"/>
      <c r="AB536" s="382"/>
      <c r="AC536" s="516"/>
      <c r="AD536" s="516"/>
      <c r="AE536" s="516"/>
      <c r="AF536" s="516"/>
      <c r="AG536" s="516"/>
      <c r="AH536" s="516"/>
      <c r="AI536" s="516"/>
      <c r="AJ536" s="516"/>
      <c r="AK536" s="516"/>
      <c r="AL536" s="516"/>
      <c r="AM536" s="383"/>
      <c r="AO536">
        <f ca="1">IF($A536="S",IF(BM!$I536=0,0,CHOOSE(MATCH(RegimeExecucao,{"Global","Unitário"},0),ROUND(ROUND(BM.MEDAcumulado,15-13*BM!$A$9)/100*BM!$I536,15-13*ORÇAMENTO!$AF$11),ROUND(ROUND(BM.MEDAcumulado,15-13*BM!$A$9)*ROUND(BM!$H536,15-13*ORÇAMENTO!$AF$10),15-13*ORÇAMENTO!$AF$11))),IF($A536=0,0,ROUND(SomaAgrupBM,15-13*ORÇAMENTO!$AF$11)))</f>
        <v>0</v>
      </c>
    </row>
    <row r="537" spans="1:41" ht="38.25" x14ac:dyDescent="0.2">
      <c r="A537" t="str">
        <f ca="1">ORÇAMENTO!C537</f>
        <v>S</v>
      </c>
      <c r="B537">
        <f ca="1">ORÇAMENTO!D537</f>
        <v>0</v>
      </c>
      <c r="C537" s="116" t="str">
        <f t="shared" ca="1" si="56"/>
        <v/>
      </c>
      <c r="D537" s="119" t="str">
        <f ca="1">ORÇAMENTO!O537</f>
        <v>-</v>
      </c>
      <c r="E537" s="172" t="str">
        <f t="shared" ca="1" si="57"/>
        <v>(abra o arquivo 'Referência 02-2025.xlsm)</v>
      </c>
      <c r="F537" s="173" t="str">
        <f ca="1">IF(RegimeExecucao="Global","",ORÇAMENTO.Unidade)</f>
        <v>-</v>
      </c>
      <c r="G537" s="124">
        <f ca="1">IF(RegimeExecucao="Global","",ORÇAMENTO!T537)</f>
        <v>2</v>
      </c>
      <c r="H537" s="124">
        <f ca="1">IF(RegimeExecucao="Global","",ORÇAMENTO!W537)</f>
        <v>0</v>
      </c>
      <c r="I537" s="127">
        <f ca="1">ORÇAMENTO!X537</f>
        <v>0</v>
      </c>
      <c r="J537" s="378">
        <f ca="1">IF($A537="S",IF(CAIXA.Modo,BM.AFAnterior,BM.MEDAnterior),IF(AND(RegimeExecucao="Global",$I537&gt;0,COUNTIF($AB$13:$AM$13,BM.medicao-1)&gt;0),M537/$I537*100,0))</f>
        <v>0</v>
      </c>
      <c r="K537" s="124">
        <f t="shared" ca="1" si="58"/>
        <v>0</v>
      </c>
      <c r="L537" s="379">
        <f ca="1">IF($A537="S",IF(CAIXA.Modo,BM.AFAcumulado,BM.MEDAcumulado),IF(AND(RegimeExecucao="Global",$I537&gt;0,COUNTIF($AB$13:$AM$13,BM.medicao)&gt;0),O537/$I537*100,0))</f>
        <v>0</v>
      </c>
      <c r="M537" s="380">
        <f ca="1">IF($A537="S",VTOTALBM,IF($A537=0,0,ROUND(SomaAgrupBM,15-13*ORÇAMENTO!$AF$11)))</f>
        <v>0</v>
      </c>
      <c r="N537" s="381">
        <f t="shared" ca="1" si="59"/>
        <v>0</v>
      </c>
      <c r="O537" s="127">
        <f ca="1">IF($A537="S",VTOTALBM,IF($A537=0,0,ROUND(SomaAgrupBM,15-13*ORÇAMENTO!$AF$11)))</f>
        <v>0</v>
      </c>
      <c r="Q537" s="382"/>
      <c r="R537" s="383"/>
      <c r="T537" s="119" t="str">
        <f t="shared" ca="1" si="60"/>
        <v/>
      </c>
      <c r="U537" s="172" t="str">
        <f t="shared" ca="1" si="61"/>
        <v/>
      </c>
      <c r="V537" s="173" t="str">
        <f ca="1">IF(AND($W537&gt;0,RegimeExecucao="Unitário"),$F537,"")</f>
        <v/>
      </c>
      <c r="W537" s="547">
        <f ca="1">IF($Y537&gt;0,CHOOSE(MATCH(RegimeExecucao,{"Unitário","Global"},0),IF($A537="S",$Y537/$X537,""),($Y537/$X537)*100),0)</f>
        <v>0</v>
      </c>
      <c r="X537" s="384" t="str">
        <f ca="1">IF($Y537&gt;0,CHOOSE(MATCH(RegimeExecucao,{"Unitário","Global"},0),IF($A537="S",ROUND($H537,ORÇAMENTO!$AF$10),""),ROUND($I537,ORÇAMENTO!$AF$11)),"")</f>
        <v/>
      </c>
      <c r="Y537" s="384">
        <f t="shared" ca="1" si="62"/>
        <v>0</v>
      </c>
      <c r="Z537" s="572"/>
      <c r="AB537" s="382"/>
      <c r="AC537" s="516"/>
      <c r="AD537" s="516"/>
      <c r="AE537" s="516"/>
      <c r="AF537" s="516"/>
      <c r="AG537" s="516"/>
      <c r="AH537" s="516"/>
      <c r="AI537" s="516"/>
      <c r="AJ537" s="516"/>
      <c r="AK537" s="516"/>
      <c r="AL537" s="516"/>
      <c r="AM537" s="383"/>
      <c r="AO537">
        <f ca="1">IF($A537="S",IF(BM!$I537=0,0,CHOOSE(MATCH(RegimeExecucao,{"Global","Unitário"},0),ROUND(ROUND(BM.MEDAcumulado,15-13*BM!$A$9)/100*BM!$I537,15-13*ORÇAMENTO!$AF$11),ROUND(ROUND(BM.MEDAcumulado,15-13*BM!$A$9)*ROUND(BM!$H537,15-13*ORÇAMENTO!$AF$10),15-13*ORÇAMENTO!$AF$11))),IF($A537=0,0,ROUND(SomaAgrupBM,15-13*ORÇAMENTO!$AF$11)))</f>
        <v>0</v>
      </c>
    </row>
    <row r="538" spans="1:41" ht="38.25" x14ac:dyDescent="0.2">
      <c r="A538" t="str">
        <f ca="1">ORÇAMENTO!C538</f>
        <v>S</v>
      </c>
      <c r="B538">
        <f ca="1">ORÇAMENTO!D538</f>
        <v>0</v>
      </c>
      <c r="C538" s="116" t="str">
        <f t="shared" ca="1" si="56"/>
        <v/>
      </c>
      <c r="D538" s="119" t="str">
        <f ca="1">ORÇAMENTO!O538</f>
        <v>-</v>
      </c>
      <c r="E538" s="172" t="str">
        <f t="shared" ca="1" si="57"/>
        <v>(abra o arquivo 'Referência 02-2025.xlsm)</v>
      </c>
      <c r="F538" s="173" t="str">
        <f ca="1">IF(RegimeExecucao="Global","",ORÇAMENTO.Unidade)</f>
        <v>-</v>
      </c>
      <c r="G538" s="124">
        <f ca="1">IF(RegimeExecucao="Global","",ORÇAMENTO!T538)</f>
        <v>14</v>
      </c>
      <c r="H538" s="124">
        <f ca="1">IF(RegimeExecucao="Global","",ORÇAMENTO!W538)</f>
        <v>0</v>
      </c>
      <c r="I538" s="127">
        <f ca="1">ORÇAMENTO!X538</f>
        <v>0</v>
      </c>
      <c r="J538" s="378">
        <f ca="1">IF($A538="S",IF(CAIXA.Modo,BM.AFAnterior,BM.MEDAnterior),IF(AND(RegimeExecucao="Global",$I538&gt;0,COUNTIF($AB$13:$AM$13,BM.medicao-1)&gt;0),M538/$I538*100,0))</f>
        <v>0</v>
      </c>
      <c r="K538" s="124">
        <f t="shared" ca="1" si="58"/>
        <v>0</v>
      </c>
      <c r="L538" s="379">
        <f ca="1">IF($A538="S",IF(CAIXA.Modo,BM.AFAcumulado,BM.MEDAcumulado),IF(AND(RegimeExecucao="Global",$I538&gt;0,COUNTIF($AB$13:$AM$13,BM.medicao)&gt;0),O538/$I538*100,0))</f>
        <v>0</v>
      </c>
      <c r="M538" s="380">
        <f ca="1">IF($A538="S",VTOTALBM,IF($A538=0,0,ROUND(SomaAgrupBM,15-13*ORÇAMENTO!$AF$11)))</f>
        <v>0</v>
      </c>
      <c r="N538" s="381">
        <f t="shared" ca="1" si="59"/>
        <v>0</v>
      </c>
      <c r="O538" s="127">
        <f ca="1">IF($A538="S",VTOTALBM,IF($A538=0,0,ROUND(SomaAgrupBM,15-13*ORÇAMENTO!$AF$11)))</f>
        <v>0</v>
      </c>
      <c r="Q538" s="382"/>
      <c r="R538" s="383"/>
      <c r="T538" s="119" t="str">
        <f t="shared" ca="1" si="60"/>
        <v/>
      </c>
      <c r="U538" s="172" t="str">
        <f t="shared" ca="1" si="61"/>
        <v/>
      </c>
      <c r="V538" s="173" t="str">
        <f ca="1">IF(AND($W538&gt;0,RegimeExecucao="Unitário"),$F538,"")</f>
        <v/>
      </c>
      <c r="W538" s="547">
        <f ca="1">IF($Y538&gt;0,CHOOSE(MATCH(RegimeExecucao,{"Unitário","Global"},0),IF($A538="S",$Y538/$X538,""),($Y538/$X538)*100),0)</f>
        <v>0</v>
      </c>
      <c r="X538" s="384" t="str">
        <f ca="1">IF($Y538&gt;0,CHOOSE(MATCH(RegimeExecucao,{"Unitário","Global"},0),IF($A538="S",ROUND($H538,ORÇAMENTO!$AF$10),""),ROUND($I538,ORÇAMENTO!$AF$11)),"")</f>
        <v/>
      </c>
      <c r="Y538" s="384">
        <f t="shared" ca="1" si="62"/>
        <v>0</v>
      </c>
      <c r="Z538" s="572"/>
      <c r="AB538" s="382"/>
      <c r="AC538" s="516"/>
      <c r="AD538" s="516"/>
      <c r="AE538" s="516"/>
      <c r="AF538" s="516"/>
      <c r="AG538" s="516"/>
      <c r="AH538" s="516"/>
      <c r="AI538" s="516"/>
      <c r="AJ538" s="516"/>
      <c r="AK538" s="516"/>
      <c r="AL538" s="516"/>
      <c r="AM538" s="383"/>
      <c r="AO538">
        <f ca="1">IF($A538="S",IF(BM!$I538=0,0,CHOOSE(MATCH(RegimeExecucao,{"Global","Unitário"},0),ROUND(ROUND(BM.MEDAcumulado,15-13*BM!$A$9)/100*BM!$I538,15-13*ORÇAMENTO!$AF$11),ROUND(ROUND(BM.MEDAcumulado,15-13*BM!$A$9)*ROUND(BM!$H538,15-13*ORÇAMENTO!$AF$10),15-13*ORÇAMENTO!$AF$11))),IF($A538=0,0,ROUND(SomaAgrupBM,15-13*ORÇAMENTO!$AF$11)))</f>
        <v>0</v>
      </c>
    </row>
    <row r="539" spans="1:41" x14ac:dyDescent="0.2">
      <c r="A539">
        <f ca="1">ORÇAMENTO!C539</f>
        <v>3</v>
      </c>
      <c r="B539">
        <f ca="1">ORÇAMENTO!D539</f>
        <v>13</v>
      </c>
      <c r="C539" s="116" t="str">
        <f t="shared" ca="1" si="56"/>
        <v>F</v>
      </c>
      <c r="D539" s="119" t="str">
        <f ca="1">ORÇAMENTO!O539</f>
        <v>1.17.6.</v>
      </c>
      <c r="E539" s="172" t="str">
        <f t="shared" ca="1" si="57"/>
        <v>DISPOSITIVOS ELÉTRICOS</v>
      </c>
      <c r="F539" s="173" t="str">
        <f ca="1">IF(RegimeExecucao="Global","",ORÇAMENTO.Unidade)</f>
        <v>-</v>
      </c>
      <c r="G539" s="124">
        <f ca="1">IF(RegimeExecucao="Global","",ORÇAMENTO!T539)</f>
        <v>0</v>
      </c>
      <c r="H539" s="124">
        <f ca="1">IF(RegimeExecucao="Global","",ORÇAMENTO!W539)</f>
        <v>0</v>
      </c>
      <c r="I539" s="127">
        <f ca="1">ORÇAMENTO!X539</f>
        <v>0</v>
      </c>
      <c r="J539" s="378">
        <f ca="1">IF($A539="S",IF(CAIXA.Modo,BM.AFAnterior,BM.MEDAnterior),IF(AND(RegimeExecucao="Global",$I539&gt;0,COUNTIF($AB$13:$AM$13,BM.medicao-1)&gt;0),M539/$I539*100,0))</f>
        <v>0</v>
      </c>
      <c r="K539" s="124">
        <f t="shared" ca="1" si="58"/>
        <v>0</v>
      </c>
      <c r="L539" s="379">
        <f ca="1">IF($A539="S",IF(CAIXA.Modo,BM.AFAcumulado,BM.MEDAcumulado),IF(AND(RegimeExecucao="Global",$I539&gt;0,COUNTIF($AB$13:$AM$13,BM.medicao)&gt;0),O539/$I539*100,0))</f>
        <v>0</v>
      </c>
      <c r="M539" s="380">
        <f ca="1">IF($A539="S",VTOTALBM,IF($A539=0,0,ROUND(SomaAgrupBM,15-13*ORÇAMENTO!$AF$11)))</f>
        <v>0</v>
      </c>
      <c r="N539" s="381">
        <f t="shared" ca="1" si="59"/>
        <v>0</v>
      </c>
      <c r="O539" s="127">
        <f ca="1">IF($A539="S",VTOTALBM,IF($A539=0,0,ROUND(SomaAgrupBM,15-13*ORÇAMENTO!$AF$11)))</f>
        <v>0</v>
      </c>
      <c r="Q539" s="382"/>
      <c r="R539" s="383"/>
      <c r="T539" s="119" t="str">
        <f t="shared" ca="1" si="60"/>
        <v/>
      </c>
      <c r="U539" s="172" t="str">
        <f t="shared" ca="1" si="61"/>
        <v/>
      </c>
      <c r="V539" s="173" t="str">
        <f ca="1">IF(AND($W539&gt;0,RegimeExecucao="Unitário"),$F539,"")</f>
        <v/>
      </c>
      <c r="W539" s="547">
        <f ca="1">IF($Y539&gt;0,CHOOSE(MATCH(RegimeExecucao,{"Unitário","Global"},0),IF($A539="S",$Y539/$X539,""),($Y539/$X539)*100),0)</f>
        <v>0</v>
      </c>
      <c r="X539" s="384" t="str">
        <f ca="1">IF($Y539&gt;0,CHOOSE(MATCH(RegimeExecucao,{"Unitário","Global"},0),IF($A539="S",ROUND($H539,ORÇAMENTO!$AF$10),""),ROUND($I539,ORÇAMENTO!$AF$11)),"")</f>
        <v/>
      </c>
      <c r="Y539" s="384">
        <f t="shared" ca="1" si="62"/>
        <v>0</v>
      </c>
      <c r="Z539" s="572"/>
      <c r="AB539" s="382"/>
      <c r="AC539" s="516"/>
      <c r="AD539" s="516"/>
      <c r="AE539" s="516"/>
      <c r="AF539" s="516"/>
      <c r="AG539" s="516"/>
      <c r="AH539" s="516"/>
      <c r="AI539" s="516"/>
      <c r="AJ539" s="516"/>
      <c r="AK539" s="516"/>
      <c r="AL539" s="516"/>
      <c r="AM539" s="383"/>
      <c r="AO539">
        <f ca="1">IF($A539="S",IF(BM!$I539=0,0,CHOOSE(MATCH(RegimeExecucao,{"Global","Unitário"},0),ROUND(ROUND(BM.MEDAcumulado,15-13*BM!$A$9)/100*BM!$I539,15-13*ORÇAMENTO!$AF$11),ROUND(ROUND(BM.MEDAcumulado,15-13*BM!$A$9)*ROUND(BM!$H539,15-13*ORÇAMENTO!$AF$10),15-13*ORÇAMENTO!$AF$11))),IF($A539=0,0,ROUND(SomaAgrupBM,15-13*ORÇAMENTO!$AF$11)))</f>
        <v>0</v>
      </c>
    </row>
    <row r="540" spans="1:41" ht="25.5" x14ac:dyDescent="0.2">
      <c r="A540" t="str">
        <f ca="1">ORÇAMENTO!C540</f>
        <v>S</v>
      </c>
      <c r="B540">
        <f ca="1">ORÇAMENTO!D540</f>
        <v>0</v>
      </c>
      <c r="C540" s="116" t="str">
        <f t="shared" ca="1" si="56"/>
        <v/>
      </c>
      <c r="D540" s="119" t="str">
        <f ca="1">ORÇAMENTO!O540</f>
        <v>-</v>
      </c>
      <c r="E540" s="172" t="str">
        <f t="shared" ca="1" si="57"/>
        <v>(abra o arquivo 'Referência 02-2025.xlsm)</v>
      </c>
      <c r="F540" s="173" t="str">
        <f ca="1">IF(RegimeExecucao="Global","",ORÇAMENTO.Unidade)</f>
        <v>-</v>
      </c>
      <c r="G540" s="124">
        <f ca="1">IF(RegimeExecucao="Global","",ORÇAMENTO!T540)</f>
        <v>5</v>
      </c>
      <c r="H540" s="124">
        <f ca="1">IF(RegimeExecucao="Global","",ORÇAMENTO!W540)</f>
        <v>0</v>
      </c>
      <c r="I540" s="127">
        <f ca="1">ORÇAMENTO!X540</f>
        <v>0</v>
      </c>
      <c r="J540" s="378">
        <f ca="1">IF($A540="S",IF(CAIXA.Modo,BM.AFAnterior,BM.MEDAnterior),IF(AND(RegimeExecucao="Global",$I540&gt;0,COUNTIF($AB$13:$AM$13,BM.medicao-1)&gt;0),M540/$I540*100,0))</f>
        <v>0</v>
      </c>
      <c r="K540" s="124">
        <f t="shared" ca="1" si="58"/>
        <v>0</v>
      </c>
      <c r="L540" s="379">
        <f ca="1">IF($A540="S",IF(CAIXA.Modo,BM.AFAcumulado,BM.MEDAcumulado),IF(AND(RegimeExecucao="Global",$I540&gt;0,COUNTIF($AB$13:$AM$13,BM.medicao)&gt;0),O540/$I540*100,0))</f>
        <v>0</v>
      </c>
      <c r="M540" s="380">
        <f ca="1">IF($A540="S",VTOTALBM,IF($A540=0,0,ROUND(SomaAgrupBM,15-13*ORÇAMENTO!$AF$11)))</f>
        <v>0</v>
      </c>
      <c r="N540" s="381">
        <f t="shared" ca="1" si="59"/>
        <v>0</v>
      </c>
      <c r="O540" s="127">
        <f ca="1">IF($A540="S",VTOTALBM,IF($A540=0,0,ROUND(SomaAgrupBM,15-13*ORÇAMENTO!$AF$11)))</f>
        <v>0</v>
      </c>
      <c r="Q540" s="382"/>
      <c r="R540" s="383"/>
      <c r="T540" s="119" t="str">
        <f t="shared" ca="1" si="60"/>
        <v/>
      </c>
      <c r="U540" s="172" t="str">
        <f t="shared" ca="1" si="61"/>
        <v/>
      </c>
      <c r="V540" s="173" t="str">
        <f ca="1">IF(AND($W540&gt;0,RegimeExecucao="Unitário"),$F540,"")</f>
        <v/>
      </c>
      <c r="W540" s="547">
        <f ca="1">IF($Y540&gt;0,CHOOSE(MATCH(RegimeExecucao,{"Unitário","Global"},0),IF($A540="S",$Y540/$X540,""),($Y540/$X540)*100),0)</f>
        <v>0</v>
      </c>
      <c r="X540" s="384" t="str">
        <f ca="1">IF($Y540&gt;0,CHOOSE(MATCH(RegimeExecucao,{"Unitário","Global"},0),IF($A540="S",ROUND($H540,ORÇAMENTO!$AF$10),""),ROUND($I540,ORÇAMENTO!$AF$11)),"")</f>
        <v/>
      </c>
      <c r="Y540" s="384">
        <f t="shared" ca="1" si="62"/>
        <v>0</v>
      </c>
      <c r="Z540" s="572"/>
      <c r="AB540" s="382"/>
      <c r="AC540" s="516"/>
      <c r="AD540" s="516"/>
      <c r="AE540" s="516"/>
      <c r="AF540" s="516"/>
      <c r="AG540" s="516"/>
      <c r="AH540" s="516"/>
      <c r="AI540" s="516"/>
      <c r="AJ540" s="516"/>
      <c r="AK540" s="516"/>
      <c r="AL540" s="516"/>
      <c r="AM540" s="383"/>
      <c r="AO540">
        <f ca="1">IF($A540="S",IF(BM!$I540=0,0,CHOOSE(MATCH(RegimeExecucao,{"Global","Unitário"},0),ROUND(ROUND(BM.MEDAcumulado,15-13*BM!$A$9)/100*BM!$I540,15-13*ORÇAMENTO!$AF$11),ROUND(ROUND(BM.MEDAcumulado,15-13*BM!$A$9)*ROUND(BM!$H540,15-13*ORÇAMENTO!$AF$10),15-13*ORÇAMENTO!$AF$11))),IF($A540=0,0,ROUND(SomaAgrupBM,15-13*ORÇAMENTO!$AF$11)))</f>
        <v>0</v>
      </c>
    </row>
    <row r="541" spans="1:41" ht="25.5" x14ac:dyDescent="0.2">
      <c r="A541" t="str">
        <f ca="1">ORÇAMENTO!C541</f>
        <v>S</v>
      </c>
      <c r="B541">
        <f ca="1">ORÇAMENTO!D541</f>
        <v>0</v>
      </c>
      <c r="C541" s="116" t="str">
        <f t="shared" ca="1" si="56"/>
        <v/>
      </c>
      <c r="D541" s="119" t="str">
        <f ca="1">ORÇAMENTO!O541</f>
        <v>-</v>
      </c>
      <c r="E541" s="172" t="str">
        <f t="shared" ca="1" si="57"/>
        <v>(abra o arquivo 'Referência 02-2025.xlsm)</v>
      </c>
      <c r="F541" s="173" t="str">
        <f ca="1">IF(RegimeExecucao="Global","",ORÇAMENTO.Unidade)</f>
        <v>-</v>
      </c>
      <c r="G541" s="124">
        <f ca="1">IF(RegimeExecucao="Global","",ORÇAMENTO!T541)</f>
        <v>9</v>
      </c>
      <c r="H541" s="124">
        <f ca="1">IF(RegimeExecucao="Global","",ORÇAMENTO!W541)</f>
        <v>0</v>
      </c>
      <c r="I541" s="127">
        <f ca="1">ORÇAMENTO!X541</f>
        <v>0</v>
      </c>
      <c r="J541" s="378">
        <f ca="1">IF($A541="S",IF(CAIXA.Modo,BM.AFAnterior,BM.MEDAnterior),IF(AND(RegimeExecucao="Global",$I541&gt;0,COUNTIF($AB$13:$AM$13,BM.medicao-1)&gt;0),M541/$I541*100,0))</f>
        <v>0</v>
      </c>
      <c r="K541" s="124">
        <f t="shared" ca="1" si="58"/>
        <v>0</v>
      </c>
      <c r="L541" s="379">
        <f ca="1">IF($A541="S",IF(CAIXA.Modo,BM.AFAcumulado,BM.MEDAcumulado),IF(AND(RegimeExecucao="Global",$I541&gt;0,COUNTIF($AB$13:$AM$13,BM.medicao)&gt;0),O541/$I541*100,0))</f>
        <v>0</v>
      </c>
      <c r="M541" s="380">
        <f ca="1">IF($A541="S",VTOTALBM,IF($A541=0,0,ROUND(SomaAgrupBM,15-13*ORÇAMENTO!$AF$11)))</f>
        <v>0</v>
      </c>
      <c r="N541" s="381">
        <f t="shared" ca="1" si="59"/>
        <v>0</v>
      </c>
      <c r="O541" s="127">
        <f ca="1">IF($A541="S",VTOTALBM,IF($A541=0,0,ROUND(SomaAgrupBM,15-13*ORÇAMENTO!$AF$11)))</f>
        <v>0</v>
      </c>
      <c r="Q541" s="382"/>
      <c r="R541" s="383"/>
      <c r="T541" s="119" t="str">
        <f t="shared" ca="1" si="60"/>
        <v/>
      </c>
      <c r="U541" s="172" t="str">
        <f t="shared" ca="1" si="61"/>
        <v/>
      </c>
      <c r="V541" s="173" t="str">
        <f ca="1">IF(AND($W541&gt;0,RegimeExecucao="Unitário"),$F541,"")</f>
        <v/>
      </c>
      <c r="W541" s="547">
        <f ca="1">IF($Y541&gt;0,CHOOSE(MATCH(RegimeExecucao,{"Unitário","Global"},0),IF($A541="S",$Y541/$X541,""),($Y541/$X541)*100),0)</f>
        <v>0</v>
      </c>
      <c r="X541" s="384" t="str">
        <f ca="1">IF($Y541&gt;0,CHOOSE(MATCH(RegimeExecucao,{"Unitário","Global"},0),IF($A541="S",ROUND($H541,ORÇAMENTO!$AF$10),""),ROUND($I541,ORÇAMENTO!$AF$11)),"")</f>
        <v/>
      </c>
      <c r="Y541" s="384">
        <f t="shared" ca="1" si="62"/>
        <v>0</v>
      </c>
      <c r="Z541" s="572"/>
      <c r="AB541" s="382"/>
      <c r="AC541" s="516"/>
      <c r="AD541" s="516"/>
      <c r="AE541" s="516"/>
      <c r="AF541" s="516"/>
      <c r="AG541" s="516"/>
      <c r="AH541" s="516"/>
      <c r="AI541" s="516"/>
      <c r="AJ541" s="516"/>
      <c r="AK541" s="516"/>
      <c r="AL541" s="516"/>
      <c r="AM541" s="383"/>
      <c r="AO541">
        <f ca="1">IF($A541="S",IF(BM!$I541=0,0,CHOOSE(MATCH(RegimeExecucao,{"Global","Unitário"},0),ROUND(ROUND(BM.MEDAcumulado,15-13*BM!$A$9)/100*BM!$I541,15-13*ORÇAMENTO!$AF$11),ROUND(ROUND(BM.MEDAcumulado,15-13*BM!$A$9)*ROUND(BM!$H541,15-13*ORÇAMENTO!$AF$10),15-13*ORÇAMENTO!$AF$11))),IF($A541=0,0,ROUND(SomaAgrupBM,15-13*ORÇAMENTO!$AF$11)))</f>
        <v>0</v>
      </c>
    </row>
    <row r="542" spans="1:41" ht="25.5" x14ac:dyDescent="0.2">
      <c r="A542" t="str">
        <f ca="1">ORÇAMENTO!C542</f>
        <v>S</v>
      </c>
      <c r="B542">
        <f ca="1">ORÇAMENTO!D542</f>
        <v>0</v>
      </c>
      <c r="C542" s="116" t="str">
        <f t="shared" ca="1" si="56"/>
        <v/>
      </c>
      <c r="D542" s="119" t="str">
        <f ca="1">ORÇAMENTO!O542</f>
        <v>-</v>
      </c>
      <c r="E542" s="172" t="str">
        <f t="shared" ca="1" si="57"/>
        <v>(abra o arquivo 'Referência 02-2025.xlsm)</v>
      </c>
      <c r="F542" s="173" t="str">
        <f ca="1">IF(RegimeExecucao="Global","",ORÇAMENTO.Unidade)</f>
        <v>-</v>
      </c>
      <c r="G542" s="124">
        <f ca="1">IF(RegimeExecucao="Global","",ORÇAMENTO!T542)</f>
        <v>4</v>
      </c>
      <c r="H542" s="124">
        <f ca="1">IF(RegimeExecucao="Global","",ORÇAMENTO!W542)</f>
        <v>0</v>
      </c>
      <c r="I542" s="127">
        <f ca="1">ORÇAMENTO!X542</f>
        <v>0</v>
      </c>
      <c r="J542" s="378">
        <f ca="1">IF($A542="S",IF(CAIXA.Modo,BM.AFAnterior,BM.MEDAnterior),IF(AND(RegimeExecucao="Global",$I542&gt;0,COUNTIF($AB$13:$AM$13,BM.medicao-1)&gt;0),M542/$I542*100,0))</f>
        <v>0</v>
      </c>
      <c r="K542" s="124">
        <f t="shared" ca="1" si="58"/>
        <v>0</v>
      </c>
      <c r="L542" s="379">
        <f ca="1">IF($A542="S",IF(CAIXA.Modo,BM.AFAcumulado,BM.MEDAcumulado),IF(AND(RegimeExecucao="Global",$I542&gt;0,COUNTIF($AB$13:$AM$13,BM.medicao)&gt;0),O542/$I542*100,0))</f>
        <v>0</v>
      </c>
      <c r="M542" s="380">
        <f ca="1">IF($A542="S",VTOTALBM,IF($A542=0,0,ROUND(SomaAgrupBM,15-13*ORÇAMENTO!$AF$11)))</f>
        <v>0</v>
      </c>
      <c r="N542" s="381">
        <f t="shared" ca="1" si="59"/>
        <v>0</v>
      </c>
      <c r="O542" s="127">
        <f ca="1">IF($A542="S",VTOTALBM,IF($A542=0,0,ROUND(SomaAgrupBM,15-13*ORÇAMENTO!$AF$11)))</f>
        <v>0</v>
      </c>
      <c r="Q542" s="382"/>
      <c r="R542" s="383"/>
      <c r="T542" s="119" t="str">
        <f t="shared" ca="1" si="60"/>
        <v/>
      </c>
      <c r="U542" s="172" t="str">
        <f t="shared" ca="1" si="61"/>
        <v/>
      </c>
      <c r="V542" s="173" t="str">
        <f ca="1">IF(AND($W542&gt;0,RegimeExecucao="Unitário"),$F542,"")</f>
        <v/>
      </c>
      <c r="W542" s="547">
        <f ca="1">IF($Y542&gt;0,CHOOSE(MATCH(RegimeExecucao,{"Unitário","Global"},0),IF($A542="S",$Y542/$X542,""),($Y542/$X542)*100),0)</f>
        <v>0</v>
      </c>
      <c r="X542" s="384" t="str">
        <f ca="1">IF($Y542&gt;0,CHOOSE(MATCH(RegimeExecucao,{"Unitário","Global"},0),IF($A542="S",ROUND($H542,ORÇAMENTO!$AF$10),""),ROUND($I542,ORÇAMENTO!$AF$11)),"")</f>
        <v/>
      </c>
      <c r="Y542" s="384">
        <f t="shared" ca="1" si="62"/>
        <v>0</v>
      </c>
      <c r="Z542" s="572"/>
      <c r="AB542" s="382"/>
      <c r="AC542" s="516"/>
      <c r="AD542" s="516"/>
      <c r="AE542" s="516"/>
      <c r="AF542" s="516"/>
      <c r="AG542" s="516"/>
      <c r="AH542" s="516"/>
      <c r="AI542" s="516"/>
      <c r="AJ542" s="516"/>
      <c r="AK542" s="516"/>
      <c r="AL542" s="516"/>
      <c r="AM542" s="383"/>
      <c r="AO542">
        <f ca="1">IF($A542="S",IF(BM!$I542=0,0,CHOOSE(MATCH(RegimeExecucao,{"Global","Unitário"},0),ROUND(ROUND(BM.MEDAcumulado,15-13*BM!$A$9)/100*BM!$I542,15-13*ORÇAMENTO!$AF$11),ROUND(ROUND(BM.MEDAcumulado,15-13*BM!$A$9)*ROUND(BM!$H542,15-13*ORÇAMENTO!$AF$10),15-13*ORÇAMENTO!$AF$11))),IF($A542=0,0,ROUND(SomaAgrupBM,15-13*ORÇAMENTO!$AF$11)))</f>
        <v>0</v>
      </c>
    </row>
    <row r="543" spans="1:41" ht="25.5" x14ac:dyDescent="0.2">
      <c r="A543" t="str">
        <f ca="1">ORÇAMENTO!C543</f>
        <v>S</v>
      </c>
      <c r="B543">
        <f ca="1">ORÇAMENTO!D543</f>
        <v>0</v>
      </c>
      <c r="C543" s="116" t="str">
        <f t="shared" ca="1" si="56"/>
        <v/>
      </c>
      <c r="D543" s="119" t="str">
        <f ca="1">ORÇAMENTO!O543</f>
        <v>-</v>
      </c>
      <c r="E543" s="172" t="str">
        <f t="shared" ca="1" si="57"/>
        <v>(abra o arquivo 'Referência 02-2025.xlsm)</v>
      </c>
      <c r="F543" s="173" t="str">
        <f ca="1">IF(RegimeExecucao="Global","",ORÇAMENTO.Unidade)</f>
        <v>-</v>
      </c>
      <c r="G543" s="124">
        <f ca="1">IF(RegimeExecucao="Global","",ORÇAMENTO!T543)</f>
        <v>1</v>
      </c>
      <c r="H543" s="124">
        <f ca="1">IF(RegimeExecucao="Global","",ORÇAMENTO!W543)</f>
        <v>0</v>
      </c>
      <c r="I543" s="127">
        <f ca="1">ORÇAMENTO!X543</f>
        <v>0</v>
      </c>
      <c r="J543" s="378">
        <f ca="1">IF($A543="S",IF(CAIXA.Modo,BM.AFAnterior,BM.MEDAnterior),IF(AND(RegimeExecucao="Global",$I543&gt;0,COUNTIF($AB$13:$AM$13,BM.medicao-1)&gt;0),M543/$I543*100,0))</f>
        <v>0</v>
      </c>
      <c r="K543" s="124">
        <f t="shared" ca="1" si="58"/>
        <v>0</v>
      </c>
      <c r="L543" s="379">
        <f ca="1">IF($A543="S",IF(CAIXA.Modo,BM.AFAcumulado,BM.MEDAcumulado),IF(AND(RegimeExecucao="Global",$I543&gt;0,COUNTIF($AB$13:$AM$13,BM.medicao)&gt;0),O543/$I543*100,0))</f>
        <v>0</v>
      </c>
      <c r="M543" s="380">
        <f ca="1">IF($A543="S",VTOTALBM,IF($A543=0,0,ROUND(SomaAgrupBM,15-13*ORÇAMENTO!$AF$11)))</f>
        <v>0</v>
      </c>
      <c r="N543" s="381">
        <f t="shared" ca="1" si="59"/>
        <v>0</v>
      </c>
      <c r="O543" s="127">
        <f ca="1">IF($A543="S",VTOTALBM,IF($A543=0,0,ROUND(SomaAgrupBM,15-13*ORÇAMENTO!$AF$11)))</f>
        <v>0</v>
      </c>
      <c r="Q543" s="382"/>
      <c r="R543" s="383"/>
      <c r="T543" s="119" t="str">
        <f t="shared" ca="1" si="60"/>
        <v/>
      </c>
      <c r="U543" s="172" t="str">
        <f t="shared" ca="1" si="61"/>
        <v/>
      </c>
      <c r="V543" s="173" t="str">
        <f ca="1">IF(AND($W543&gt;0,RegimeExecucao="Unitário"),$F543,"")</f>
        <v/>
      </c>
      <c r="W543" s="547">
        <f ca="1">IF($Y543&gt;0,CHOOSE(MATCH(RegimeExecucao,{"Unitário","Global"},0),IF($A543="S",$Y543/$X543,""),($Y543/$X543)*100),0)</f>
        <v>0</v>
      </c>
      <c r="X543" s="384" t="str">
        <f ca="1">IF($Y543&gt;0,CHOOSE(MATCH(RegimeExecucao,{"Unitário","Global"},0),IF($A543="S",ROUND($H543,ORÇAMENTO!$AF$10),""),ROUND($I543,ORÇAMENTO!$AF$11)),"")</f>
        <v/>
      </c>
      <c r="Y543" s="384">
        <f t="shared" ca="1" si="62"/>
        <v>0</v>
      </c>
      <c r="Z543" s="572"/>
      <c r="AB543" s="382"/>
      <c r="AC543" s="516"/>
      <c r="AD543" s="516"/>
      <c r="AE543" s="516"/>
      <c r="AF543" s="516"/>
      <c r="AG543" s="516"/>
      <c r="AH543" s="516"/>
      <c r="AI543" s="516"/>
      <c r="AJ543" s="516"/>
      <c r="AK543" s="516"/>
      <c r="AL543" s="516"/>
      <c r="AM543" s="383"/>
      <c r="AO543">
        <f ca="1">IF($A543="S",IF(BM!$I543=0,0,CHOOSE(MATCH(RegimeExecucao,{"Global","Unitário"},0),ROUND(ROUND(BM.MEDAcumulado,15-13*BM!$A$9)/100*BM!$I543,15-13*ORÇAMENTO!$AF$11),ROUND(ROUND(BM.MEDAcumulado,15-13*BM!$A$9)*ROUND(BM!$H543,15-13*ORÇAMENTO!$AF$10),15-13*ORÇAMENTO!$AF$11))),IF($A543=0,0,ROUND(SomaAgrupBM,15-13*ORÇAMENTO!$AF$11)))</f>
        <v>0</v>
      </c>
    </row>
    <row r="544" spans="1:41" ht="25.5" x14ac:dyDescent="0.2">
      <c r="A544" t="str">
        <f ca="1">ORÇAMENTO!C544</f>
        <v>S</v>
      </c>
      <c r="B544">
        <f ca="1">ORÇAMENTO!D544</f>
        <v>0</v>
      </c>
      <c r="C544" s="116" t="str">
        <f t="shared" ca="1" si="56"/>
        <v/>
      </c>
      <c r="D544" s="119" t="str">
        <f ca="1">ORÇAMENTO!O544</f>
        <v>-</v>
      </c>
      <c r="E544" s="172" t="str">
        <f t="shared" ca="1" si="57"/>
        <v>(abra o arquivo 'Referência 02-2025.xlsm)</v>
      </c>
      <c r="F544" s="173" t="str">
        <f ca="1">IF(RegimeExecucao="Global","",ORÇAMENTO.Unidade)</f>
        <v>-</v>
      </c>
      <c r="G544" s="124">
        <f ca="1">IF(RegimeExecucao="Global","",ORÇAMENTO!T544)</f>
        <v>30</v>
      </c>
      <c r="H544" s="124">
        <f ca="1">IF(RegimeExecucao="Global","",ORÇAMENTO!W544)</f>
        <v>0</v>
      </c>
      <c r="I544" s="127">
        <f ca="1">ORÇAMENTO!X544</f>
        <v>0</v>
      </c>
      <c r="J544" s="378">
        <f ca="1">IF($A544="S",IF(CAIXA.Modo,BM.AFAnterior,BM.MEDAnterior),IF(AND(RegimeExecucao="Global",$I544&gt;0,COUNTIF($AB$13:$AM$13,BM.medicao-1)&gt;0),M544/$I544*100,0))</f>
        <v>0</v>
      </c>
      <c r="K544" s="124">
        <f t="shared" ca="1" si="58"/>
        <v>0</v>
      </c>
      <c r="L544" s="379">
        <f ca="1">IF($A544="S",IF(CAIXA.Modo,BM.AFAcumulado,BM.MEDAcumulado),IF(AND(RegimeExecucao="Global",$I544&gt;0,COUNTIF($AB$13:$AM$13,BM.medicao)&gt;0),O544/$I544*100,0))</f>
        <v>0</v>
      </c>
      <c r="M544" s="380">
        <f ca="1">IF($A544="S",VTOTALBM,IF($A544=0,0,ROUND(SomaAgrupBM,15-13*ORÇAMENTO!$AF$11)))</f>
        <v>0</v>
      </c>
      <c r="N544" s="381">
        <f t="shared" ca="1" si="59"/>
        <v>0</v>
      </c>
      <c r="O544" s="127">
        <f ca="1">IF($A544="S",VTOTALBM,IF($A544=0,0,ROUND(SomaAgrupBM,15-13*ORÇAMENTO!$AF$11)))</f>
        <v>0</v>
      </c>
      <c r="Q544" s="382"/>
      <c r="R544" s="383"/>
      <c r="T544" s="119" t="str">
        <f t="shared" ca="1" si="60"/>
        <v/>
      </c>
      <c r="U544" s="172" t="str">
        <f t="shared" ca="1" si="61"/>
        <v/>
      </c>
      <c r="V544" s="173" t="str">
        <f ca="1">IF(AND($W544&gt;0,RegimeExecucao="Unitário"),$F544,"")</f>
        <v/>
      </c>
      <c r="W544" s="547">
        <f ca="1">IF($Y544&gt;0,CHOOSE(MATCH(RegimeExecucao,{"Unitário","Global"},0),IF($A544="S",$Y544/$X544,""),($Y544/$X544)*100),0)</f>
        <v>0</v>
      </c>
      <c r="X544" s="384" t="str">
        <f ca="1">IF($Y544&gt;0,CHOOSE(MATCH(RegimeExecucao,{"Unitário","Global"},0),IF($A544="S",ROUND($H544,ORÇAMENTO!$AF$10),""),ROUND($I544,ORÇAMENTO!$AF$11)),"")</f>
        <v/>
      </c>
      <c r="Y544" s="384">
        <f t="shared" ca="1" si="62"/>
        <v>0</v>
      </c>
      <c r="Z544" s="572"/>
      <c r="AB544" s="382"/>
      <c r="AC544" s="516"/>
      <c r="AD544" s="516"/>
      <c r="AE544" s="516"/>
      <c r="AF544" s="516"/>
      <c r="AG544" s="516"/>
      <c r="AH544" s="516"/>
      <c r="AI544" s="516"/>
      <c r="AJ544" s="516"/>
      <c r="AK544" s="516"/>
      <c r="AL544" s="516"/>
      <c r="AM544" s="383"/>
      <c r="AO544">
        <f ca="1">IF($A544="S",IF(BM!$I544=0,0,CHOOSE(MATCH(RegimeExecucao,{"Global","Unitário"},0),ROUND(ROUND(BM.MEDAcumulado,15-13*BM!$A$9)/100*BM!$I544,15-13*ORÇAMENTO!$AF$11),ROUND(ROUND(BM.MEDAcumulado,15-13*BM!$A$9)*ROUND(BM!$H544,15-13*ORÇAMENTO!$AF$10),15-13*ORÇAMENTO!$AF$11))),IF($A544=0,0,ROUND(SomaAgrupBM,15-13*ORÇAMENTO!$AF$11)))</f>
        <v>0</v>
      </c>
    </row>
    <row r="545" spans="1:41" ht="38.25" x14ac:dyDescent="0.2">
      <c r="A545" t="str">
        <f ca="1">ORÇAMENTO!C545</f>
        <v>S</v>
      </c>
      <c r="B545">
        <f ca="1">ORÇAMENTO!D545</f>
        <v>0</v>
      </c>
      <c r="C545" s="116" t="str">
        <f t="shared" ca="1" si="56"/>
        <v/>
      </c>
      <c r="D545" s="119" t="str">
        <f ca="1">ORÇAMENTO!O545</f>
        <v>-</v>
      </c>
      <c r="E545" s="172" t="str">
        <f t="shared" ca="1" si="57"/>
        <v>(abra o arquivo 'Referência 02-2025.xlsm)</v>
      </c>
      <c r="F545" s="173" t="str">
        <f ca="1">IF(RegimeExecucao="Global","",ORÇAMENTO.Unidade)</f>
        <v>-</v>
      </c>
      <c r="G545" s="124">
        <f ca="1">IF(RegimeExecucao="Global","",ORÇAMENTO!T545)</f>
        <v>30</v>
      </c>
      <c r="H545" s="124">
        <f ca="1">IF(RegimeExecucao="Global","",ORÇAMENTO!W545)</f>
        <v>0</v>
      </c>
      <c r="I545" s="127">
        <f ca="1">ORÇAMENTO!X545</f>
        <v>0</v>
      </c>
      <c r="J545" s="378">
        <f ca="1">IF($A545="S",IF(CAIXA.Modo,BM.AFAnterior,BM.MEDAnterior),IF(AND(RegimeExecucao="Global",$I545&gt;0,COUNTIF($AB$13:$AM$13,BM.medicao-1)&gt;0),M545/$I545*100,0))</f>
        <v>0</v>
      </c>
      <c r="K545" s="124">
        <f t="shared" ca="1" si="58"/>
        <v>0</v>
      </c>
      <c r="L545" s="379">
        <f ca="1">IF($A545="S",IF(CAIXA.Modo,BM.AFAcumulado,BM.MEDAcumulado),IF(AND(RegimeExecucao="Global",$I545&gt;0,COUNTIF($AB$13:$AM$13,BM.medicao)&gt;0),O545/$I545*100,0))</f>
        <v>0</v>
      </c>
      <c r="M545" s="380">
        <f ca="1">IF($A545="S",VTOTALBM,IF($A545=0,0,ROUND(SomaAgrupBM,15-13*ORÇAMENTO!$AF$11)))</f>
        <v>0</v>
      </c>
      <c r="N545" s="381">
        <f t="shared" ca="1" si="59"/>
        <v>0</v>
      </c>
      <c r="O545" s="127">
        <f ca="1">IF($A545="S",VTOTALBM,IF($A545=0,0,ROUND(SomaAgrupBM,15-13*ORÇAMENTO!$AF$11)))</f>
        <v>0</v>
      </c>
      <c r="Q545" s="382"/>
      <c r="R545" s="383"/>
      <c r="T545" s="119" t="str">
        <f t="shared" ca="1" si="60"/>
        <v/>
      </c>
      <c r="U545" s="172" t="str">
        <f t="shared" ca="1" si="61"/>
        <v/>
      </c>
      <c r="V545" s="173" t="str">
        <f ca="1">IF(AND($W545&gt;0,RegimeExecucao="Unitário"),$F545,"")</f>
        <v/>
      </c>
      <c r="W545" s="547">
        <f ca="1">IF($Y545&gt;0,CHOOSE(MATCH(RegimeExecucao,{"Unitário","Global"},0),IF($A545="S",$Y545/$X545,""),($Y545/$X545)*100),0)</f>
        <v>0</v>
      </c>
      <c r="X545" s="384" t="str">
        <f ca="1">IF($Y545&gt;0,CHOOSE(MATCH(RegimeExecucao,{"Unitário","Global"},0),IF($A545="S",ROUND($H545,ORÇAMENTO!$AF$10),""),ROUND($I545,ORÇAMENTO!$AF$11)),"")</f>
        <v/>
      </c>
      <c r="Y545" s="384">
        <f t="shared" ca="1" si="62"/>
        <v>0</v>
      </c>
      <c r="Z545" s="572"/>
      <c r="AB545" s="382"/>
      <c r="AC545" s="516"/>
      <c r="AD545" s="516"/>
      <c r="AE545" s="516"/>
      <c r="AF545" s="516"/>
      <c r="AG545" s="516"/>
      <c r="AH545" s="516"/>
      <c r="AI545" s="516"/>
      <c r="AJ545" s="516"/>
      <c r="AK545" s="516"/>
      <c r="AL545" s="516"/>
      <c r="AM545" s="383"/>
      <c r="AO545">
        <f ca="1">IF($A545="S",IF(BM!$I545=0,0,CHOOSE(MATCH(RegimeExecucao,{"Global","Unitário"},0),ROUND(ROUND(BM.MEDAcumulado,15-13*BM!$A$9)/100*BM!$I545,15-13*ORÇAMENTO!$AF$11),ROUND(ROUND(BM.MEDAcumulado,15-13*BM!$A$9)*ROUND(BM!$H545,15-13*ORÇAMENTO!$AF$10),15-13*ORÇAMENTO!$AF$11))),IF($A545=0,0,ROUND(SomaAgrupBM,15-13*ORÇAMENTO!$AF$11)))</f>
        <v>0</v>
      </c>
    </row>
    <row r="546" spans="1:41" ht="38.25" x14ac:dyDescent="0.2">
      <c r="A546" t="str">
        <f ca="1">ORÇAMENTO!C546</f>
        <v>S</v>
      </c>
      <c r="B546">
        <f ca="1">ORÇAMENTO!D546</f>
        <v>0</v>
      </c>
      <c r="C546" s="116" t="str">
        <f t="shared" ca="1" si="56"/>
        <v/>
      </c>
      <c r="D546" s="119" t="str">
        <f ca="1">ORÇAMENTO!O546</f>
        <v>-</v>
      </c>
      <c r="E546" s="172" t="str">
        <f t="shared" ca="1" si="57"/>
        <v>(abra o arquivo 'Referência 02-2025.xlsm)</v>
      </c>
      <c r="F546" s="173" t="str">
        <f ca="1">IF(RegimeExecucao="Global","",ORÇAMENTO.Unidade)</f>
        <v>-</v>
      </c>
      <c r="G546" s="124">
        <f ca="1">IF(RegimeExecucao="Global","",ORÇAMENTO!T546)</f>
        <v>27</v>
      </c>
      <c r="H546" s="124">
        <f ca="1">IF(RegimeExecucao="Global","",ORÇAMENTO!W546)</f>
        <v>0</v>
      </c>
      <c r="I546" s="127">
        <f ca="1">ORÇAMENTO!X546</f>
        <v>0</v>
      </c>
      <c r="J546" s="378">
        <f ca="1">IF($A546="S",IF(CAIXA.Modo,BM.AFAnterior,BM.MEDAnterior),IF(AND(RegimeExecucao="Global",$I546&gt;0,COUNTIF($AB$13:$AM$13,BM.medicao-1)&gt;0),M546/$I546*100,0))</f>
        <v>0</v>
      </c>
      <c r="K546" s="124">
        <f t="shared" ca="1" si="58"/>
        <v>0</v>
      </c>
      <c r="L546" s="379">
        <f ca="1">IF($A546="S",IF(CAIXA.Modo,BM.AFAcumulado,BM.MEDAcumulado),IF(AND(RegimeExecucao="Global",$I546&gt;0,COUNTIF($AB$13:$AM$13,BM.medicao)&gt;0),O546/$I546*100,0))</f>
        <v>0</v>
      </c>
      <c r="M546" s="380">
        <f ca="1">IF($A546="S",VTOTALBM,IF($A546=0,0,ROUND(SomaAgrupBM,15-13*ORÇAMENTO!$AF$11)))</f>
        <v>0</v>
      </c>
      <c r="N546" s="381">
        <f t="shared" ca="1" si="59"/>
        <v>0</v>
      </c>
      <c r="O546" s="127">
        <f ca="1">IF($A546="S",VTOTALBM,IF($A546=0,0,ROUND(SomaAgrupBM,15-13*ORÇAMENTO!$AF$11)))</f>
        <v>0</v>
      </c>
      <c r="Q546" s="382"/>
      <c r="R546" s="383"/>
      <c r="T546" s="119" t="str">
        <f t="shared" ca="1" si="60"/>
        <v/>
      </c>
      <c r="U546" s="172" t="str">
        <f t="shared" ca="1" si="61"/>
        <v/>
      </c>
      <c r="V546" s="173" t="str">
        <f ca="1">IF(AND($W546&gt;0,RegimeExecucao="Unitário"),$F546,"")</f>
        <v/>
      </c>
      <c r="W546" s="547">
        <f ca="1">IF($Y546&gt;0,CHOOSE(MATCH(RegimeExecucao,{"Unitário","Global"},0),IF($A546="S",$Y546/$X546,""),($Y546/$X546)*100),0)</f>
        <v>0</v>
      </c>
      <c r="X546" s="384" t="str">
        <f ca="1">IF($Y546&gt;0,CHOOSE(MATCH(RegimeExecucao,{"Unitário","Global"},0),IF($A546="S",ROUND($H546,ORÇAMENTO!$AF$10),""),ROUND($I546,ORÇAMENTO!$AF$11)),"")</f>
        <v/>
      </c>
      <c r="Y546" s="384">
        <f t="shared" ca="1" si="62"/>
        <v>0</v>
      </c>
      <c r="Z546" s="572"/>
      <c r="AB546" s="382"/>
      <c r="AC546" s="516"/>
      <c r="AD546" s="516"/>
      <c r="AE546" s="516"/>
      <c r="AF546" s="516"/>
      <c r="AG546" s="516"/>
      <c r="AH546" s="516"/>
      <c r="AI546" s="516"/>
      <c r="AJ546" s="516"/>
      <c r="AK546" s="516"/>
      <c r="AL546" s="516"/>
      <c r="AM546" s="383"/>
      <c r="AO546">
        <f ca="1">IF($A546="S",IF(BM!$I546=0,0,CHOOSE(MATCH(RegimeExecucao,{"Global","Unitário"},0),ROUND(ROUND(BM.MEDAcumulado,15-13*BM!$A$9)/100*BM!$I546,15-13*ORÇAMENTO!$AF$11),ROUND(ROUND(BM.MEDAcumulado,15-13*BM!$A$9)*ROUND(BM!$H546,15-13*ORÇAMENTO!$AF$10),15-13*ORÇAMENTO!$AF$11))),IF($A546=0,0,ROUND(SomaAgrupBM,15-13*ORÇAMENTO!$AF$11)))</f>
        <v>0</v>
      </c>
    </row>
    <row r="547" spans="1:41" ht="38.25" x14ac:dyDescent="0.2">
      <c r="A547" t="str">
        <f ca="1">ORÇAMENTO!C547</f>
        <v>S</v>
      </c>
      <c r="B547">
        <f ca="1">ORÇAMENTO!D547</f>
        <v>0</v>
      </c>
      <c r="C547" s="116" t="str">
        <f t="shared" ca="1" si="56"/>
        <v/>
      </c>
      <c r="D547" s="119" t="str">
        <f ca="1">ORÇAMENTO!O547</f>
        <v>-</v>
      </c>
      <c r="E547" s="172" t="str">
        <f t="shared" ca="1" si="57"/>
        <v>(abra o arquivo 'Referência 02-2025.xlsm)</v>
      </c>
      <c r="F547" s="173" t="str">
        <f ca="1">IF(RegimeExecucao="Global","",ORÇAMENTO.Unidade)</f>
        <v>-</v>
      </c>
      <c r="G547" s="124">
        <f ca="1">IF(RegimeExecucao="Global","",ORÇAMENTO!T547)</f>
        <v>14</v>
      </c>
      <c r="H547" s="124">
        <f ca="1">IF(RegimeExecucao="Global","",ORÇAMENTO!W547)</f>
        <v>0</v>
      </c>
      <c r="I547" s="127">
        <f ca="1">ORÇAMENTO!X547</f>
        <v>0</v>
      </c>
      <c r="J547" s="378">
        <f ca="1">IF($A547="S",IF(CAIXA.Modo,BM.AFAnterior,BM.MEDAnterior),IF(AND(RegimeExecucao="Global",$I547&gt;0,COUNTIF($AB$13:$AM$13,BM.medicao-1)&gt;0),M547/$I547*100,0))</f>
        <v>0</v>
      </c>
      <c r="K547" s="124">
        <f t="shared" ca="1" si="58"/>
        <v>0</v>
      </c>
      <c r="L547" s="379">
        <f ca="1">IF($A547="S",IF(CAIXA.Modo,BM.AFAcumulado,BM.MEDAcumulado),IF(AND(RegimeExecucao="Global",$I547&gt;0,COUNTIF($AB$13:$AM$13,BM.medicao)&gt;0),O547/$I547*100,0))</f>
        <v>0</v>
      </c>
      <c r="M547" s="380">
        <f ca="1">IF($A547="S",VTOTALBM,IF($A547=0,0,ROUND(SomaAgrupBM,15-13*ORÇAMENTO!$AF$11)))</f>
        <v>0</v>
      </c>
      <c r="N547" s="381">
        <f t="shared" ca="1" si="59"/>
        <v>0</v>
      </c>
      <c r="O547" s="127">
        <f ca="1">IF($A547="S",VTOTALBM,IF($A547=0,0,ROUND(SomaAgrupBM,15-13*ORÇAMENTO!$AF$11)))</f>
        <v>0</v>
      </c>
      <c r="Q547" s="382"/>
      <c r="R547" s="383"/>
      <c r="T547" s="119" t="str">
        <f t="shared" ca="1" si="60"/>
        <v/>
      </c>
      <c r="U547" s="172" t="str">
        <f t="shared" ca="1" si="61"/>
        <v/>
      </c>
      <c r="V547" s="173" t="str">
        <f ca="1">IF(AND($W547&gt;0,RegimeExecucao="Unitário"),$F547,"")</f>
        <v/>
      </c>
      <c r="W547" s="547">
        <f ca="1">IF($Y547&gt;0,CHOOSE(MATCH(RegimeExecucao,{"Unitário","Global"},0),IF($A547="S",$Y547/$X547,""),($Y547/$X547)*100),0)</f>
        <v>0</v>
      </c>
      <c r="X547" s="384" t="str">
        <f ca="1">IF($Y547&gt;0,CHOOSE(MATCH(RegimeExecucao,{"Unitário","Global"},0),IF($A547="S",ROUND($H547,ORÇAMENTO!$AF$10),""),ROUND($I547,ORÇAMENTO!$AF$11)),"")</f>
        <v/>
      </c>
      <c r="Y547" s="384">
        <f t="shared" ca="1" si="62"/>
        <v>0</v>
      </c>
      <c r="Z547" s="572"/>
      <c r="AB547" s="382"/>
      <c r="AC547" s="516"/>
      <c r="AD547" s="516"/>
      <c r="AE547" s="516"/>
      <c r="AF547" s="516"/>
      <c r="AG547" s="516"/>
      <c r="AH547" s="516"/>
      <c r="AI547" s="516"/>
      <c r="AJ547" s="516"/>
      <c r="AK547" s="516"/>
      <c r="AL547" s="516"/>
      <c r="AM547" s="383"/>
      <c r="AO547">
        <f ca="1">IF($A547="S",IF(BM!$I547=0,0,CHOOSE(MATCH(RegimeExecucao,{"Global","Unitário"},0),ROUND(ROUND(BM.MEDAcumulado,15-13*BM!$A$9)/100*BM!$I547,15-13*ORÇAMENTO!$AF$11),ROUND(ROUND(BM.MEDAcumulado,15-13*BM!$A$9)*ROUND(BM!$H547,15-13*ORÇAMENTO!$AF$10),15-13*ORÇAMENTO!$AF$11))),IF($A547=0,0,ROUND(SomaAgrupBM,15-13*ORÇAMENTO!$AF$11)))</f>
        <v>0</v>
      </c>
    </row>
    <row r="548" spans="1:41" ht="38.25" x14ac:dyDescent="0.2">
      <c r="A548" t="str">
        <f ca="1">ORÇAMENTO!C548</f>
        <v>S</v>
      </c>
      <c r="B548">
        <f ca="1">ORÇAMENTO!D548</f>
        <v>0</v>
      </c>
      <c r="C548" s="116" t="str">
        <f t="shared" ca="1" si="56"/>
        <v/>
      </c>
      <c r="D548" s="119" t="str">
        <f ca="1">ORÇAMENTO!O548</f>
        <v>-</v>
      </c>
      <c r="E548" s="172" t="str">
        <f t="shared" ca="1" si="57"/>
        <v>(abra o arquivo 'Referência 02-2025.xlsm)</v>
      </c>
      <c r="F548" s="173" t="str">
        <f ca="1">IF(RegimeExecucao="Global","",ORÇAMENTO.Unidade)</f>
        <v>-</v>
      </c>
      <c r="G548" s="124">
        <f ca="1">IF(RegimeExecucao="Global","",ORÇAMENTO!T548)</f>
        <v>1</v>
      </c>
      <c r="H548" s="124">
        <f ca="1">IF(RegimeExecucao="Global","",ORÇAMENTO!W548)</f>
        <v>0</v>
      </c>
      <c r="I548" s="127">
        <f ca="1">ORÇAMENTO!X548</f>
        <v>0</v>
      </c>
      <c r="J548" s="378">
        <f ca="1">IF($A548="S",IF(CAIXA.Modo,BM.AFAnterior,BM.MEDAnterior),IF(AND(RegimeExecucao="Global",$I548&gt;0,COUNTIF($AB$13:$AM$13,BM.medicao-1)&gt;0),M548/$I548*100,0))</f>
        <v>0</v>
      </c>
      <c r="K548" s="124">
        <f t="shared" ca="1" si="58"/>
        <v>0</v>
      </c>
      <c r="L548" s="379">
        <f ca="1">IF($A548="S",IF(CAIXA.Modo,BM.AFAcumulado,BM.MEDAcumulado),IF(AND(RegimeExecucao="Global",$I548&gt;0,COUNTIF($AB$13:$AM$13,BM.medicao)&gt;0),O548/$I548*100,0))</f>
        <v>0</v>
      </c>
      <c r="M548" s="380">
        <f ca="1">IF($A548="S",VTOTALBM,IF($A548=0,0,ROUND(SomaAgrupBM,15-13*ORÇAMENTO!$AF$11)))</f>
        <v>0</v>
      </c>
      <c r="N548" s="381">
        <f t="shared" ca="1" si="59"/>
        <v>0</v>
      </c>
      <c r="O548" s="127">
        <f ca="1">IF($A548="S",VTOTALBM,IF($A548=0,0,ROUND(SomaAgrupBM,15-13*ORÇAMENTO!$AF$11)))</f>
        <v>0</v>
      </c>
      <c r="Q548" s="382"/>
      <c r="R548" s="383"/>
      <c r="T548" s="119" t="str">
        <f t="shared" ca="1" si="60"/>
        <v/>
      </c>
      <c r="U548" s="172" t="str">
        <f t="shared" ca="1" si="61"/>
        <v/>
      </c>
      <c r="V548" s="173" t="str">
        <f ca="1">IF(AND($W548&gt;0,RegimeExecucao="Unitário"),$F548,"")</f>
        <v/>
      </c>
      <c r="W548" s="547">
        <f ca="1">IF($Y548&gt;0,CHOOSE(MATCH(RegimeExecucao,{"Unitário","Global"},0),IF($A548="S",$Y548/$X548,""),($Y548/$X548)*100),0)</f>
        <v>0</v>
      </c>
      <c r="X548" s="384" t="str">
        <f ca="1">IF($Y548&gt;0,CHOOSE(MATCH(RegimeExecucao,{"Unitário","Global"},0),IF($A548="S",ROUND($H548,ORÇAMENTO!$AF$10),""),ROUND($I548,ORÇAMENTO!$AF$11)),"")</f>
        <v/>
      </c>
      <c r="Y548" s="384">
        <f t="shared" ca="1" si="62"/>
        <v>0</v>
      </c>
      <c r="Z548" s="572"/>
      <c r="AB548" s="382"/>
      <c r="AC548" s="516"/>
      <c r="AD548" s="516"/>
      <c r="AE548" s="516"/>
      <c r="AF548" s="516"/>
      <c r="AG548" s="516"/>
      <c r="AH548" s="516"/>
      <c r="AI548" s="516"/>
      <c r="AJ548" s="516"/>
      <c r="AK548" s="516"/>
      <c r="AL548" s="516"/>
      <c r="AM548" s="383"/>
      <c r="AO548">
        <f ca="1">IF($A548="S",IF(BM!$I548=0,0,CHOOSE(MATCH(RegimeExecucao,{"Global","Unitário"},0),ROUND(ROUND(BM.MEDAcumulado,15-13*BM!$A$9)/100*BM!$I548,15-13*ORÇAMENTO!$AF$11),ROUND(ROUND(BM.MEDAcumulado,15-13*BM!$A$9)*ROUND(BM!$H548,15-13*ORÇAMENTO!$AF$10),15-13*ORÇAMENTO!$AF$11))),IF($A548=0,0,ROUND(SomaAgrupBM,15-13*ORÇAMENTO!$AF$11)))</f>
        <v>0</v>
      </c>
    </row>
    <row r="549" spans="1:41" ht="38.25" x14ac:dyDescent="0.2">
      <c r="A549" t="str">
        <f ca="1">ORÇAMENTO!C549</f>
        <v>S</v>
      </c>
      <c r="B549">
        <f ca="1">ORÇAMENTO!D549</f>
        <v>0</v>
      </c>
      <c r="C549" s="116" t="str">
        <f t="shared" ca="1" si="56"/>
        <v/>
      </c>
      <c r="D549" s="119" t="str">
        <f ca="1">ORÇAMENTO!O549</f>
        <v>-</v>
      </c>
      <c r="E549" s="172" t="str">
        <f t="shared" ca="1" si="57"/>
        <v>(abra o arquivo 'Referência 02-2025.xlsm)</v>
      </c>
      <c r="F549" s="173" t="str">
        <f ca="1">IF(RegimeExecucao="Global","",ORÇAMENTO.Unidade)</f>
        <v>-</v>
      </c>
      <c r="G549" s="124">
        <f ca="1">IF(RegimeExecucao="Global","",ORÇAMENTO!T549)</f>
        <v>7</v>
      </c>
      <c r="H549" s="124">
        <f ca="1">IF(RegimeExecucao="Global","",ORÇAMENTO!W549)</f>
        <v>0</v>
      </c>
      <c r="I549" s="127">
        <f ca="1">ORÇAMENTO!X549</f>
        <v>0</v>
      </c>
      <c r="J549" s="378">
        <f ca="1">IF($A549="S",IF(CAIXA.Modo,BM.AFAnterior,BM.MEDAnterior),IF(AND(RegimeExecucao="Global",$I549&gt;0,COUNTIF($AB$13:$AM$13,BM.medicao-1)&gt;0),M549/$I549*100,0))</f>
        <v>0</v>
      </c>
      <c r="K549" s="124">
        <f t="shared" ca="1" si="58"/>
        <v>0</v>
      </c>
      <c r="L549" s="379">
        <f ca="1">IF($A549="S",IF(CAIXA.Modo,BM.AFAcumulado,BM.MEDAcumulado),IF(AND(RegimeExecucao="Global",$I549&gt;0,COUNTIF($AB$13:$AM$13,BM.medicao)&gt;0),O549/$I549*100,0))</f>
        <v>0</v>
      </c>
      <c r="M549" s="380">
        <f ca="1">IF($A549="S",VTOTALBM,IF($A549=0,0,ROUND(SomaAgrupBM,15-13*ORÇAMENTO!$AF$11)))</f>
        <v>0</v>
      </c>
      <c r="N549" s="381">
        <f t="shared" ca="1" si="59"/>
        <v>0</v>
      </c>
      <c r="O549" s="127">
        <f ca="1">IF($A549="S",VTOTALBM,IF($A549=0,0,ROUND(SomaAgrupBM,15-13*ORÇAMENTO!$AF$11)))</f>
        <v>0</v>
      </c>
      <c r="Q549" s="382"/>
      <c r="R549" s="383"/>
      <c r="T549" s="119" t="str">
        <f t="shared" ca="1" si="60"/>
        <v/>
      </c>
      <c r="U549" s="172" t="str">
        <f t="shared" ca="1" si="61"/>
        <v/>
      </c>
      <c r="V549" s="173" t="str">
        <f ca="1">IF(AND($W549&gt;0,RegimeExecucao="Unitário"),$F549,"")</f>
        <v/>
      </c>
      <c r="W549" s="547">
        <f ca="1">IF($Y549&gt;0,CHOOSE(MATCH(RegimeExecucao,{"Unitário","Global"},0),IF($A549="S",$Y549/$X549,""),($Y549/$X549)*100),0)</f>
        <v>0</v>
      </c>
      <c r="X549" s="384" t="str">
        <f ca="1">IF($Y549&gt;0,CHOOSE(MATCH(RegimeExecucao,{"Unitário","Global"},0),IF($A549="S",ROUND($H549,ORÇAMENTO!$AF$10),""),ROUND($I549,ORÇAMENTO!$AF$11)),"")</f>
        <v/>
      </c>
      <c r="Y549" s="384">
        <f t="shared" ca="1" si="62"/>
        <v>0</v>
      </c>
      <c r="Z549" s="572"/>
      <c r="AB549" s="382"/>
      <c r="AC549" s="516"/>
      <c r="AD549" s="516"/>
      <c r="AE549" s="516"/>
      <c r="AF549" s="516"/>
      <c r="AG549" s="516"/>
      <c r="AH549" s="516"/>
      <c r="AI549" s="516"/>
      <c r="AJ549" s="516"/>
      <c r="AK549" s="516"/>
      <c r="AL549" s="516"/>
      <c r="AM549" s="383"/>
      <c r="AO549">
        <f ca="1">IF($A549="S",IF(BM!$I549=0,0,CHOOSE(MATCH(RegimeExecucao,{"Global","Unitário"},0),ROUND(ROUND(BM.MEDAcumulado,15-13*BM!$A$9)/100*BM!$I549,15-13*ORÇAMENTO!$AF$11),ROUND(ROUND(BM.MEDAcumulado,15-13*BM!$A$9)*ROUND(BM!$H549,15-13*ORÇAMENTO!$AF$10),15-13*ORÇAMENTO!$AF$11))),IF($A549=0,0,ROUND(SomaAgrupBM,15-13*ORÇAMENTO!$AF$11)))</f>
        <v>0</v>
      </c>
    </row>
    <row r="550" spans="1:41" ht="25.5" x14ac:dyDescent="0.2">
      <c r="A550" t="str">
        <f ca="1">ORÇAMENTO!C550</f>
        <v>S</v>
      </c>
      <c r="B550">
        <f ca="1">ORÇAMENTO!D550</f>
        <v>0</v>
      </c>
      <c r="C550" s="116" t="str">
        <f t="shared" ca="1" si="56"/>
        <v/>
      </c>
      <c r="D550" s="119" t="str">
        <f ca="1">ORÇAMENTO!O550</f>
        <v>-</v>
      </c>
      <c r="E550" s="172" t="str">
        <f t="shared" ca="1" si="57"/>
        <v>(abra o arquivo 'Referência 02-2025.xlsm)</v>
      </c>
      <c r="F550" s="173" t="str">
        <f ca="1">IF(RegimeExecucao="Global","",ORÇAMENTO.Unidade)</f>
        <v>-</v>
      </c>
      <c r="G550" s="124">
        <f ca="1">IF(RegimeExecucao="Global","",ORÇAMENTO!T550)</f>
        <v>135</v>
      </c>
      <c r="H550" s="124">
        <f ca="1">IF(RegimeExecucao="Global","",ORÇAMENTO!W550)</f>
        <v>0</v>
      </c>
      <c r="I550" s="127">
        <f ca="1">ORÇAMENTO!X550</f>
        <v>0</v>
      </c>
      <c r="J550" s="378">
        <f ca="1">IF($A550="S",IF(CAIXA.Modo,BM.AFAnterior,BM.MEDAnterior),IF(AND(RegimeExecucao="Global",$I550&gt;0,COUNTIF($AB$13:$AM$13,BM.medicao-1)&gt;0),M550/$I550*100,0))</f>
        <v>0</v>
      </c>
      <c r="K550" s="124">
        <f t="shared" ca="1" si="58"/>
        <v>0</v>
      </c>
      <c r="L550" s="379">
        <f ca="1">IF($A550="S",IF(CAIXA.Modo,BM.AFAcumulado,BM.MEDAcumulado),IF(AND(RegimeExecucao="Global",$I550&gt;0,COUNTIF($AB$13:$AM$13,BM.medicao)&gt;0),O550/$I550*100,0))</f>
        <v>0</v>
      </c>
      <c r="M550" s="380">
        <f ca="1">IF($A550="S",VTOTALBM,IF($A550=0,0,ROUND(SomaAgrupBM,15-13*ORÇAMENTO!$AF$11)))</f>
        <v>0</v>
      </c>
      <c r="N550" s="381">
        <f t="shared" ca="1" si="59"/>
        <v>0</v>
      </c>
      <c r="O550" s="127">
        <f ca="1">IF($A550="S",VTOTALBM,IF($A550=0,0,ROUND(SomaAgrupBM,15-13*ORÇAMENTO!$AF$11)))</f>
        <v>0</v>
      </c>
      <c r="Q550" s="382"/>
      <c r="R550" s="383"/>
      <c r="T550" s="119" t="str">
        <f t="shared" ca="1" si="60"/>
        <v/>
      </c>
      <c r="U550" s="172" t="str">
        <f t="shared" ca="1" si="61"/>
        <v/>
      </c>
      <c r="V550" s="173" t="str">
        <f ca="1">IF(AND($W550&gt;0,RegimeExecucao="Unitário"),$F550,"")</f>
        <v/>
      </c>
      <c r="W550" s="547">
        <f ca="1">IF($Y550&gt;0,CHOOSE(MATCH(RegimeExecucao,{"Unitário","Global"},0),IF($A550="S",$Y550/$X550,""),($Y550/$X550)*100),0)</f>
        <v>0</v>
      </c>
      <c r="X550" s="384" t="str">
        <f ca="1">IF($Y550&gt;0,CHOOSE(MATCH(RegimeExecucao,{"Unitário","Global"},0),IF($A550="S",ROUND($H550,ORÇAMENTO!$AF$10),""),ROUND($I550,ORÇAMENTO!$AF$11)),"")</f>
        <v/>
      </c>
      <c r="Y550" s="384">
        <f t="shared" ca="1" si="62"/>
        <v>0</v>
      </c>
      <c r="Z550" s="572"/>
      <c r="AB550" s="382"/>
      <c r="AC550" s="516"/>
      <c r="AD550" s="516"/>
      <c r="AE550" s="516"/>
      <c r="AF550" s="516"/>
      <c r="AG550" s="516"/>
      <c r="AH550" s="516"/>
      <c r="AI550" s="516"/>
      <c r="AJ550" s="516"/>
      <c r="AK550" s="516"/>
      <c r="AL550" s="516"/>
      <c r="AM550" s="383"/>
      <c r="AO550">
        <f ca="1">IF($A550="S",IF(BM!$I550=0,0,CHOOSE(MATCH(RegimeExecucao,{"Global","Unitário"},0),ROUND(ROUND(BM.MEDAcumulado,15-13*BM!$A$9)/100*BM!$I550,15-13*ORÇAMENTO!$AF$11),ROUND(ROUND(BM.MEDAcumulado,15-13*BM!$A$9)*ROUND(BM!$H550,15-13*ORÇAMENTO!$AF$10),15-13*ORÇAMENTO!$AF$11))),IF($A550=0,0,ROUND(SomaAgrupBM,15-13*ORÇAMENTO!$AF$11)))</f>
        <v>0</v>
      </c>
    </row>
    <row r="551" spans="1:41" ht="25.5" x14ac:dyDescent="0.2">
      <c r="A551" t="str">
        <f ca="1">ORÇAMENTO!C551</f>
        <v>S</v>
      </c>
      <c r="B551">
        <f ca="1">ORÇAMENTO!D551</f>
        <v>0</v>
      </c>
      <c r="C551" s="116" t="str">
        <f t="shared" ca="1" si="56"/>
        <v/>
      </c>
      <c r="D551" s="119" t="str">
        <f ca="1">ORÇAMENTO!O551</f>
        <v>-</v>
      </c>
      <c r="E551" s="172" t="str">
        <f t="shared" ca="1" si="57"/>
        <v>(abra o arquivo 'Referência 02-2025.xlsm)</v>
      </c>
      <c r="F551" s="173" t="str">
        <f ca="1">IF(RegimeExecucao="Global","",ORÇAMENTO.Unidade)</f>
        <v>-</v>
      </c>
      <c r="G551" s="124">
        <f ca="1">IF(RegimeExecucao="Global","",ORÇAMENTO!T551)</f>
        <v>10</v>
      </c>
      <c r="H551" s="124">
        <f ca="1">IF(RegimeExecucao="Global","",ORÇAMENTO!W551)</f>
        <v>0</v>
      </c>
      <c r="I551" s="127">
        <f ca="1">ORÇAMENTO!X551</f>
        <v>0</v>
      </c>
      <c r="J551" s="378">
        <f ca="1">IF($A551="S",IF(CAIXA.Modo,BM.AFAnterior,BM.MEDAnterior),IF(AND(RegimeExecucao="Global",$I551&gt;0,COUNTIF($AB$13:$AM$13,BM.medicao-1)&gt;0),M551/$I551*100,0))</f>
        <v>0</v>
      </c>
      <c r="K551" s="124">
        <f t="shared" ca="1" si="58"/>
        <v>0</v>
      </c>
      <c r="L551" s="379">
        <f ca="1">IF($A551="S",IF(CAIXA.Modo,BM.AFAcumulado,BM.MEDAcumulado),IF(AND(RegimeExecucao="Global",$I551&gt;0,COUNTIF($AB$13:$AM$13,BM.medicao)&gt;0),O551/$I551*100,0))</f>
        <v>0</v>
      </c>
      <c r="M551" s="380">
        <f ca="1">IF($A551="S",VTOTALBM,IF($A551=0,0,ROUND(SomaAgrupBM,15-13*ORÇAMENTO!$AF$11)))</f>
        <v>0</v>
      </c>
      <c r="N551" s="381">
        <f t="shared" ca="1" si="59"/>
        <v>0</v>
      </c>
      <c r="O551" s="127">
        <f ca="1">IF($A551="S",VTOTALBM,IF($A551=0,0,ROUND(SomaAgrupBM,15-13*ORÇAMENTO!$AF$11)))</f>
        <v>0</v>
      </c>
      <c r="Q551" s="382"/>
      <c r="R551" s="383"/>
      <c r="T551" s="119" t="str">
        <f t="shared" ca="1" si="60"/>
        <v/>
      </c>
      <c r="U551" s="172" t="str">
        <f t="shared" ca="1" si="61"/>
        <v/>
      </c>
      <c r="V551" s="173" t="str">
        <f ca="1">IF(AND($W551&gt;0,RegimeExecucao="Unitário"),$F551,"")</f>
        <v/>
      </c>
      <c r="W551" s="547">
        <f ca="1">IF($Y551&gt;0,CHOOSE(MATCH(RegimeExecucao,{"Unitário","Global"},0),IF($A551="S",$Y551/$X551,""),($Y551/$X551)*100),0)</f>
        <v>0</v>
      </c>
      <c r="X551" s="384" t="str">
        <f ca="1">IF($Y551&gt;0,CHOOSE(MATCH(RegimeExecucao,{"Unitário","Global"},0),IF($A551="S",ROUND($H551,ORÇAMENTO!$AF$10),""),ROUND($I551,ORÇAMENTO!$AF$11)),"")</f>
        <v/>
      </c>
      <c r="Y551" s="384">
        <f t="shared" ca="1" si="62"/>
        <v>0</v>
      </c>
      <c r="Z551" s="572"/>
      <c r="AB551" s="382"/>
      <c r="AC551" s="516"/>
      <c r="AD551" s="516"/>
      <c r="AE551" s="516"/>
      <c r="AF551" s="516"/>
      <c r="AG551" s="516"/>
      <c r="AH551" s="516"/>
      <c r="AI551" s="516"/>
      <c r="AJ551" s="516"/>
      <c r="AK551" s="516"/>
      <c r="AL551" s="516"/>
      <c r="AM551" s="383"/>
      <c r="AO551">
        <f ca="1">IF($A551="S",IF(BM!$I551=0,0,CHOOSE(MATCH(RegimeExecucao,{"Global","Unitário"},0),ROUND(ROUND(BM.MEDAcumulado,15-13*BM!$A$9)/100*BM!$I551,15-13*ORÇAMENTO!$AF$11),ROUND(ROUND(BM.MEDAcumulado,15-13*BM!$A$9)*ROUND(BM!$H551,15-13*ORÇAMENTO!$AF$10),15-13*ORÇAMENTO!$AF$11))),IF($A551=0,0,ROUND(SomaAgrupBM,15-13*ORÇAMENTO!$AF$11)))</f>
        <v>0</v>
      </c>
    </row>
    <row r="552" spans="1:41" x14ac:dyDescent="0.2">
      <c r="A552">
        <f ca="1">ORÇAMENTO!C552</f>
        <v>3</v>
      </c>
      <c r="B552">
        <f ca="1">ORÇAMENTO!D552</f>
        <v>22</v>
      </c>
      <c r="C552" s="116" t="str">
        <f t="shared" ca="1" si="56"/>
        <v>F</v>
      </c>
      <c r="D552" s="119" t="str">
        <f ca="1">ORÇAMENTO!O552</f>
        <v>1.17.7.</v>
      </c>
      <c r="E552" s="172" t="str">
        <f t="shared" ca="1" si="57"/>
        <v>DISPOSITIVOS DE PROTEÇÃO</v>
      </c>
      <c r="F552" s="173" t="str">
        <f ca="1">IF(RegimeExecucao="Global","",ORÇAMENTO.Unidade)</f>
        <v>-</v>
      </c>
      <c r="G552" s="124">
        <f ca="1">IF(RegimeExecucao="Global","",ORÇAMENTO!T552)</f>
        <v>0</v>
      </c>
      <c r="H552" s="124">
        <f ca="1">IF(RegimeExecucao="Global","",ORÇAMENTO!W552)</f>
        <v>0</v>
      </c>
      <c r="I552" s="127">
        <f ca="1">ORÇAMENTO!X552</f>
        <v>0</v>
      </c>
      <c r="J552" s="378">
        <f ca="1">IF($A552="S",IF(CAIXA.Modo,BM.AFAnterior,BM.MEDAnterior),IF(AND(RegimeExecucao="Global",$I552&gt;0,COUNTIF($AB$13:$AM$13,BM.medicao-1)&gt;0),M552/$I552*100,0))</f>
        <v>0</v>
      </c>
      <c r="K552" s="124">
        <f t="shared" ca="1" si="58"/>
        <v>0</v>
      </c>
      <c r="L552" s="379">
        <f ca="1">IF($A552="S",IF(CAIXA.Modo,BM.AFAcumulado,BM.MEDAcumulado),IF(AND(RegimeExecucao="Global",$I552&gt;0,COUNTIF($AB$13:$AM$13,BM.medicao)&gt;0),O552/$I552*100,0))</f>
        <v>0</v>
      </c>
      <c r="M552" s="380">
        <f ca="1">IF($A552="S",VTOTALBM,IF($A552=0,0,ROUND(SomaAgrupBM,15-13*ORÇAMENTO!$AF$11)))</f>
        <v>0</v>
      </c>
      <c r="N552" s="381">
        <f t="shared" ca="1" si="59"/>
        <v>0</v>
      </c>
      <c r="O552" s="127">
        <f ca="1">IF($A552="S",VTOTALBM,IF($A552=0,0,ROUND(SomaAgrupBM,15-13*ORÇAMENTO!$AF$11)))</f>
        <v>0</v>
      </c>
      <c r="Q552" s="382"/>
      <c r="R552" s="383"/>
      <c r="T552" s="119" t="str">
        <f t="shared" ca="1" si="60"/>
        <v/>
      </c>
      <c r="U552" s="172" t="str">
        <f t="shared" ca="1" si="61"/>
        <v/>
      </c>
      <c r="V552" s="173" t="str">
        <f ca="1">IF(AND($W552&gt;0,RegimeExecucao="Unitário"),$F552,"")</f>
        <v/>
      </c>
      <c r="W552" s="547">
        <f ca="1">IF($Y552&gt;0,CHOOSE(MATCH(RegimeExecucao,{"Unitário","Global"},0),IF($A552="S",$Y552/$X552,""),($Y552/$X552)*100),0)</f>
        <v>0</v>
      </c>
      <c r="X552" s="384" t="str">
        <f ca="1">IF($Y552&gt;0,CHOOSE(MATCH(RegimeExecucao,{"Unitário","Global"},0),IF($A552="S",ROUND($H552,ORÇAMENTO!$AF$10),""),ROUND($I552,ORÇAMENTO!$AF$11)),"")</f>
        <v/>
      </c>
      <c r="Y552" s="384">
        <f t="shared" ca="1" si="62"/>
        <v>0</v>
      </c>
      <c r="Z552" s="572"/>
      <c r="AB552" s="382"/>
      <c r="AC552" s="516"/>
      <c r="AD552" s="516"/>
      <c r="AE552" s="516"/>
      <c r="AF552" s="516"/>
      <c r="AG552" s="516"/>
      <c r="AH552" s="516"/>
      <c r="AI552" s="516"/>
      <c r="AJ552" s="516"/>
      <c r="AK552" s="516"/>
      <c r="AL552" s="516"/>
      <c r="AM552" s="383"/>
      <c r="AO552">
        <f ca="1">IF($A552="S",IF(BM!$I552=0,0,CHOOSE(MATCH(RegimeExecucao,{"Global","Unitário"},0),ROUND(ROUND(BM.MEDAcumulado,15-13*BM!$A$9)/100*BM!$I552,15-13*ORÇAMENTO!$AF$11),ROUND(ROUND(BM.MEDAcumulado,15-13*BM!$A$9)*ROUND(BM!$H552,15-13*ORÇAMENTO!$AF$10),15-13*ORÇAMENTO!$AF$11))),IF($A552=0,0,ROUND(SomaAgrupBM,15-13*ORÇAMENTO!$AF$11)))</f>
        <v>0</v>
      </c>
    </row>
    <row r="553" spans="1:41" ht="25.5" x14ac:dyDescent="0.2">
      <c r="A553" t="str">
        <f ca="1">ORÇAMENTO!C553</f>
        <v>S</v>
      </c>
      <c r="B553">
        <f ca="1">ORÇAMENTO!D553</f>
        <v>0</v>
      </c>
      <c r="C553" s="116" t="str">
        <f t="shared" ca="1" si="56"/>
        <v/>
      </c>
      <c r="D553" s="119" t="str">
        <f ca="1">ORÇAMENTO!O553</f>
        <v>-</v>
      </c>
      <c r="E553" s="172" t="str">
        <f t="shared" ca="1" si="57"/>
        <v>(abra o arquivo 'Referência 02-2025.xlsm)</v>
      </c>
      <c r="F553" s="173" t="str">
        <f ca="1">IF(RegimeExecucao="Global","",ORÇAMENTO.Unidade)</f>
        <v>-</v>
      </c>
      <c r="G553" s="124">
        <f ca="1">IF(RegimeExecucao="Global","",ORÇAMENTO!T553)</f>
        <v>2</v>
      </c>
      <c r="H553" s="124">
        <f ca="1">IF(RegimeExecucao="Global","",ORÇAMENTO!W553)</f>
        <v>0</v>
      </c>
      <c r="I553" s="127">
        <f ca="1">ORÇAMENTO!X553</f>
        <v>0</v>
      </c>
      <c r="J553" s="378">
        <f ca="1">IF($A553="S",IF(CAIXA.Modo,BM.AFAnterior,BM.MEDAnterior),IF(AND(RegimeExecucao="Global",$I553&gt;0,COUNTIF($AB$13:$AM$13,BM.medicao-1)&gt;0),M553/$I553*100,0))</f>
        <v>0</v>
      </c>
      <c r="K553" s="124">
        <f t="shared" ca="1" si="58"/>
        <v>0</v>
      </c>
      <c r="L553" s="379">
        <f ca="1">IF($A553="S",IF(CAIXA.Modo,BM.AFAcumulado,BM.MEDAcumulado),IF(AND(RegimeExecucao="Global",$I553&gt;0,COUNTIF($AB$13:$AM$13,BM.medicao)&gt;0),O553/$I553*100,0))</f>
        <v>0</v>
      </c>
      <c r="M553" s="380">
        <f ca="1">IF($A553="S",VTOTALBM,IF($A553=0,0,ROUND(SomaAgrupBM,15-13*ORÇAMENTO!$AF$11)))</f>
        <v>0</v>
      </c>
      <c r="N553" s="381">
        <f t="shared" ca="1" si="59"/>
        <v>0</v>
      </c>
      <c r="O553" s="127">
        <f ca="1">IF($A553="S",VTOTALBM,IF($A553=0,0,ROUND(SomaAgrupBM,15-13*ORÇAMENTO!$AF$11)))</f>
        <v>0</v>
      </c>
      <c r="Q553" s="382"/>
      <c r="R553" s="383"/>
      <c r="T553" s="119" t="str">
        <f t="shared" ca="1" si="60"/>
        <v/>
      </c>
      <c r="U553" s="172" t="str">
        <f t="shared" ca="1" si="61"/>
        <v/>
      </c>
      <c r="V553" s="173" t="str">
        <f ca="1">IF(AND($W553&gt;0,RegimeExecucao="Unitário"),$F553,"")</f>
        <v/>
      </c>
      <c r="W553" s="547">
        <f ca="1">IF($Y553&gt;0,CHOOSE(MATCH(RegimeExecucao,{"Unitário","Global"},0),IF($A553="S",$Y553/$X553,""),($Y553/$X553)*100),0)</f>
        <v>0</v>
      </c>
      <c r="X553" s="384" t="str">
        <f ca="1">IF($Y553&gt;0,CHOOSE(MATCH(RegimeExecucao,{"Unitário","Global"},0),IF($A553="S",ROUND($H553,ORÇAMENTO!$AF$10),""),ROUND($I553,ORÇAMENTO!$AF$11)),"")</f>
        <v/>
      </c>
      <c r="Y553" s="384">
        <f t="shared" ca="1" si="62"/>
        <v>0</v>
      </c>
      <c r="Z553" s="572"/>
      <c r="AB553" s="382"/>
      <c r="AC553" s="516"/>
      <c r="AD553" s="516"/>
      <c r="AE553" s="516"/>
      <c r="AF553" s="516"/>
      <c r="AG553" s="516"/>
      <c r="AH553" s="516"/>
      <c r="AI553" s="516"/>
      <c r="AJ553" s="516"/>
      <c r="AK553" s="516"/>
      <c r="AL553" s="516"/>
      <c r="AM553" s="383"/>
      <c r="AO553">
        <f ca="1">IF($A553="S",IF(BM!$I553=0,0,CHOOSE(MATCH(RegimeExecucao,{"Global","Unitário"},0),ROUND(ROUND(BM.MEDAcumulado,15-13*BM!$A$9)/100*BM!$I553,15-13*ORÇAMENTO!$AF$11),ROUND(ROUND(BM.MEDAcumulado,15-13*BM!$A$9)*ROUND(BM!$H553,15-13*ORÇAMENTO!$AF$10),15-13*ORÇAMENTO!$AF$11))),IF($A553=0,0,ROUND(SomaAgrupBM,15-13*ORÇAMENTO!$AF$11)))</f>
        <v>0</v>
      </c>
    </row>
    <row r="554" spans="1:41" ht="25.5" x14ac:dyDescent="0.2">
      <c r="A554" t="str">
        <f ca="1">ORÇAMENTO!C554</f>
        <v>S</v>
      </c>
      <c r="B554">
        <f ca="1">ORÇAMENTO!D554</f>
        <v>0</v>
      </c>
      <c r="C554" s="116" t="str">
        <f t="shared" ca="1" si="56"/>
        <v/>
      </c>
      <c r="D554" s="119" t="str">
        <f ca="1">ORÇAMENTO!O554</f>
        <v>-</v>
      </c>
      <c r="E554" s="172" t="str">
        <f t="shared" ca="1" si="57"/>
        <v>(abra o arquivo 'Referência 02-2025.xlsm)</v>
      </c>
      <c r="F554" s="173" t="str">
        <f ca="1">IF(RegimeExecucao="Global","",ORÇAMENTO.Unidade)</f>
        <v>-</v>
      </c>
      <c r="G554" s="124">
        <f ca="1">IF(RegimeExecucao="Global","",ORÇAMENTO!T554)</f>
        <v>46</v>
      </c>
      <c r="H554" s="124">
        <f ca="1">IF(RegimeExecucao="Global","",ORÇAMENTO!W554)</f>
        <v>0</v>
      </c>
      <c r="I554" s="127">
        <f ca="1">ORÇAMENTO!X554</f>
        <v>0</v>
      </c>
      <c r="J554" s="378">
        <f ca="1">IF($A554="S",IF(CAIXA.Modo,BM.AFAnterior,BM.MEDAnterior),IF(AND(RegimeExecucao="Global",$I554&gt;0,COUNTIF($AB$13:$AM$13,BM.medicao-1)&gt;0),M554/$I554*100,0))</f>
        <v>0</v>
      </c>
      <c r="K554" s="124">
        <f t="shared" ca="1" si="58"/>
        <v>0</v>
      </c>
      <c r="L554" s="379">
        <f ca="1">IF($A554="S",IF(CAIXA.Modo,BM.AFAcumulado,BM.MEDAcumulado),IF(AND(RegimeExecucao="Global",$I554&gt;0,COUNTIF($AB$13:$AM$13,BM.medicao)&gt;0),O554/$I554*100,0))</f>
        <v>0</v>
      </c>
      <c r="M554" s="380">
        <f ca="1">IF($A554="S",VTOTALBM,IF($A554=0,0,ROUND(SomaAgrupBM,15-13*ORÇAMENTO!$AF$11)))</f>
        <v>0</v>
      </c>
      <c r="N554" s="381">
        <f t="shared" ca="1" si="59"/>
        <v>0</v>
      </c>
      <c r="O554" s="127">
        <f ca="1">IF($A554="S",VTOTALBM,IF($A554=0,0,ROUND(SomaAgrupBM,15-13*ORÇAMENTO!$AF$11)))</f>
        <v>0</v>
      </c>
      <c r="Q554" s="382"/>
      <c r="R554" s="383"/>
      <c r="T554" s="119" t="str">
        <f t="shared" ca="1" si="60"/>
        <v/>
      </c>
      <c r="U554" s="172" t="str">
        <f t="shared" ca="1" si="61"/>
        <v/>
      </c>
      <c r="V554" s="173" t="str">
        <f ca="1">IF(AND($W554&gt;0,RegimeExecucao="Unitário"),$F554,"")</f>
        <v/>
      </c>
      <c r="W554" s="547">
        <f ca="1">IF($Y554&gt;0,CHOOSE(MATCH(RegimeExecucao,{"Unitário","Global"},0),IF($A554="S",$Y554/$X554,""),($Y554/$X554)*100),0)</f>
        <v>0</v>
      </c>
      <c r="X554" s="384" t="str">
        <f ca="1">IF($Y554&gt;0,CHOOSE(MATCH(RegimeExecucao,{"Unitário","Global"},0),IF($A554="S",ROUND($H554,ORÇAMENTO!$AF$10),""),ROUND($I554,ORÇAMENTO!$AF$11)),"")</f>
        <v/>
      </c>
      <c r="Y554" s="384">
        <f t="shared" ca="1" si="62"/>
        <v>0</v>
      </c>
      <c r="Z554" s="572"/>
      <c r="AB554" s="382"/>
      <c r="AC554" s="516"/>
      <c r="AD554" s="516"/>
      <c r="AE554" s="516"/>
      <c r="AF554" s="516"/>
      <c r="AG554" s="516"/>
      <c r="AH554" s="516"/>
      <c r="AI554" s="516"/>
      <c r="AJ554" s="516"/>
      <c r="AK554" s="516"/>
      <c r="AL554" s="516"/>
      <c r="AM554" s="383"/>
      <c r="AO554">
        <f ca="1">IF($A554="S",IF(BM!$I554=0,0,CHOOSE(MATCH(RegimeExecucao,{"Global","Unitário"},0),ROUND(ROUND(BM.MEDAcumulado,15-13*BM!$A$9)/100*BM!$I554,15-13*ORÇAMENTO!$AF$11),ROUND(ROUND(BM.MEDAcumulado,15-13*BM!$A$9)*ROUND(BM!$H554,15-13*ORÇAMENTO!$AF$10),15-13*ORÇAMENTO!$AF$11))),IF($A554=0,0,ROUND(SomaAgrupBM,15-13*ORÇAMENTO!$AF$11)))</f>
        <v>0</v>
      </c>
    </row>
    <row r="555" spans="1:41" ht="25.5" x14ac:dyDescent="0.2">
      <c r="A555" t="str">
        <f ca="1">ORÇAMENTO!C555</f>
        <v>S</v>
      </c>
      <c r="B555">
        <f ca="1">ORÇAMENTO!D555</f>
        <v>0</v>
      </c>
      <c r="C555" s="116" t="str">
        <f t="shared" ca="1" si="56"/>
        <v/>
      </c>
      <c r="D555" s="119" t="str">
        <f ca="1">ORÇAMENTO!O555</f>
        <v>-</v>
      </c>
      <c r="E555" s="172" t="str">
        <f t="shared" ca="1" si="57"/>
        <v>(abra o arquivo 'Referência 02-2025.xlsm)</v>
      </c>
      <c r="F555" s="173" t="str">
        <f ca="1">IF(RegimeExecucao="Global","",ORÇAMENTO.Unidade)</f>
        <v>-</v>
      </c>
      <c r="G555" s="124">
        <f ca="1">IF(RegimeExecucao="Global","",ORÇAMENTO!T555)</f>
        <v>9</v>
      </c>
      <c r="H555" s="124">
        <f ca="1">IF(RegimeExecucao="Global","",ORÇAMENTO!W555)</f>
        <v>0</v>
      </c>
      <c r="I555" s="127">
        <f ca="1">ORÇAMENTO!X555</f>
        <v>0</v>
      </c>
      <c r="J555" s="378">
        <f ca="1">IF($A555="S",IF(CAIXA.Modo,BM.AFAnterior,BM.MEDAnterior),IF(AND(RegimeExecucao="Global",$I555&gt;0,COUNTIF($AB$13:$AM$13,BM.medicao-1)&gt;0),M555/$I555*100,0))</f>
        <v>0</v>
      </c>
      <c r="K555" s="124">
        <f t="shared" ca="1" si="58"/>
        <v>0</v>
      </c>
      <c r="L555" s="379">
        <f ca="1">IF($A555="S",IF(CAIXA.Modo,BM.AFAcumulado,BM.MEDAcumulado),IF(AND(RegimeExecucao="Global",$I555&gt;0,COUNTIF($AB$13:$AM$13,BM.medicao)&gt;0),O555/$I555*100,0))</f>
        <v>0</v>
      </c>
      <c r="M555" s="380">
        <f ca="1">IF($A555="S",VTOTALBM,IF($A555=0,0,ROUND(SomaAgrupBM,15-13*ORÇAMENTO!$AF$11)))</f>
        <v>0</v>
      </c>
      <c r="N555" s="381">
        <f t="shared" ca="1" si="59"/>
        <v>0</v>
      </c>
      <c r="O555" s="127">
        <f ca="1">IF($A555="S",VTOTALBM,IF($A555=0,0,ROUND(SomaAgrupBM,15-13*ORÇAMENTO!$AF$11)))</f>
        <v>0</v>
      </c>
      <c r="Q555" s="382"/>
      <c r="R555" s="383"/>
      <c r="T555" s="119" t="str">
        <f t="shared" ca="1" si="60"/>
        <v/>
      </c>
      <c r="U555" s="172" t="str">
        <f t="shared" ca="1" si="61"/>
        <v/>
      </c>
      <c r="V555" s="173" t="str">
        <f ca="1">IF(AND($W555&gt;0,RegimeExecucao="Unitário"),$F555,"")</f>
        <v/>
      </c>
      <c r="W555" s="547">
        <f ca="1">IF($Y555&gt;0,CHOOSE(MATCH(RegimeExecucao,{"Unitário","Global"},0),IF($A555="S",$Y555/$X555,""),($Y555/$X555)*100),0)</f>
        <v>0</v>
      </c>
      <c r="X555" s="384" t="str">
        <f ca="1">IF($Y555&gt;0,CHOOSE(MATCH(RegimeExecucao,{"Unitário","Global"},0),IF($A555="S",ROUND($H555,ORÇAMENTO!$AF$10),""),ROUND($I555,ORÇAMENTO!$AF$11)),"")</f>
        <v/>
      </c>
      <c r="Y555" s="384">
        <f t="shared" ca="1" si="62"/>
        <v>0</v>
      </c>
      <c r="Z555" s="572"/>
      <c r="AB555" s="382"/>
      <c r="AC555" s="516"/>
      <c r="AD555" s="516"/>
      <c r="AE555" s="516"/>
      <c r="AF555" s="516"/>
      <c r="AG555" s="516"/>
      <c r="AH555" s="516"/>
      <c r="AI555" s="516"/>
      <c r="AJ555" s="516"/>
      <c r="AK555" s="516"/>
      <c r="AL555" s="516"/>
      <c r="AM555" s="383"/>
      <c r="AO555">
        <f ca="1">IF($A555="S",IF(BM!$I555=0,0,CHOOSE(MATCH(RegimeExecucao,{"Global","Unitário"},0),ROUND(ROUND(BM.MEDAcumulado,15-13*BM!$A$9)/100*BM!$I555,15-13*ORÇAMENTO!$AF$11),ROUND(ROUND(BM.MEDAcumulado,15-13*BM!$A$9)*ROUND(BM!$H555,15-13*ORÇAMENTO!$AF$10),15-13*ORÇAMENTO!$AF$11))),IF($A555=0,0,ROUND(SomaAgrupBM,15-13*ORÇAMENTO!$AF$11)))</f>
        <v>0</v>
      </c>
    </row>
    <row r="556" spans="1:41" ht="25.5" x14ac:dyDescent="0.2">
      <c r="A556" t="str">
        <f ca="1">ORÇAMENTO!C556</f>
        <v>S</v>
      </c>
      <c r="B556">
        <f ca="1">ORÇAMENTO!D556</f>
        <v>0</v>
      </c>
      <c r="C556" s="116" t="str">
        <f t="shared" ca="1" si="56"/>
        <v/>
      </c>
      <c r="D556" s="119" t="str">
        <f ca="1">ORÇAMENTO!O556</f>
        <v>-</v>
      </c>
      <c r="E556" s="172" t="str">
        <f t="shared" ca="1" si="57"/>
        <v>(abra o arquivo 'Referência 02-2025.xlsm)</v>
      </c>
      <c r="F556" s="173" t="str">
        <f ca="1">IF(RegimeExecucao="Global","",ORÇAMENTO.Unidade)</f>
        <v>-</v>
      </c>
      <c r="G556" s="124">
        <f ca="1">IF(RegimeExecucao="Global","",ORÇAMENTO!T556)</f>
        <v>1</v>
      </c>
      <c r="H556" s="124">
        <f ca="1">IF(RegimeExecucao="Global","",ORÇAMENTO!W556)</f>
        <v>0</v>
      </c>
      <c r="I556" s="127">
        <f ca="1">ORÇAMENTO!X556</f>
        <v>0</v>
      </c>
      <c r="J556" s="378">
        <f ca="1">IF($A556="S",IF(CAIXA.Modo,BM.AFAnterior,BM.MEDAnterior),IF(AND(RegimeExecucao="Global",$I556&gt;0,COUNTIF($AB$13:$AM$13,BM.medicao-1)&gt;0),M556/$I556*100,0))</f>
        <v>0</v>
      </c>
      <c r="K556" s="124">
        <f t="shared" ca="1" si="58"/>
        <v>0</v>
      </c>
      <c r="L556" s="379">
        <f ca="1">IF($A556="S",IF(CAIXA.Modo,BM.AFAcumulado,BM.MEDAcumulado),IF(AND(RegimeExecucao="Global",$I556&gt;0,COUNTIF($AB$13:$AM$13,BM.medicao)&gt;0),O556/$I556*100,0))</f>
        <v>0</v>
      </c>
      <c r="M556" s="380">
        <f ca="1">IF($A556="S",VTOTALBM,IF($A556=0,0,ROUND(SomaAgrupBM,15-13*ORÇAMENTO!$AF$11)))</f>
        <v>0</v>
      </c>
      <c r="N556" s="381">
        <f t="shared" ca="1" si="59"/>
        <v>0</v>
      </c>
      <c r="O556" s="127">
        <f ca="1">IF($A556="S",VTOTALBM,IF($A556=0,0,ROUND(SomaAgrupBM,15-13*ORÇAMENTO!$AF$11)))</f>
        <v>0</v>
      </c>
      <c r="Q556" s="382"/>
      <c r="R556" s="383"/>
      <c r="T556" s="119" t="str">
        <f t="shared" ca="1" si="60"/>
        <v/>
      </c>
      <c r="U556" s="172" t="str">
        <f t="shared" ca="1" si="61"/>
        <v/>
      </c>
      <c r="V556" s="173" t="str">
        <f ca="1">IF(AND($W556&gt;0,RegimeExecucao="Unitário"),$F556,"")</f>
        <v/>
      </c>
      <c r="W556" s="547">
        <f ca="1">IF($Y556&gt;0,CHOOSE(MATCH(RegimeExecucao,{"Unitário","Global"},0),IF($A556="S",$Y556/$X556,""),($Y556/$X556)*100),0)</f>
        <v>0</v>
      </c>
      <c r="X556" s="384" t="str">
        <f ca="1">IF($Y556&gt;0,CHOOSE(MATCH(RegimeExecucao,{"Unitário","Global"},0),IF($A556="S",ROUND($H556,ORÇAMENTO!$AF$10),""),ROUND($I556,ORÇAMENTO!$AF$11)),"")</f>
        <v/>
      </c>
      <c r="Y556" s="384">
        <f t="shared" ca="1" si="62"/>
        <v>0</v>
      </c>
      <c r="Z556" s="572"/>
      <c r="AB556" s="382"/>
      <c r="AC556" s="516"/>
      <c r="AD556" s="516"/>
      <c r="AE556" s="516"/>
      <c r="AF556" s="516"/>
      <c r="AG556" s="516"/>
      <c r="AH556" s="516"/>
      <c r="AI556" s="516"/>
      <c r="AJ556" s="516"/>
      <c r="AK556" s="516"/>
      <c r="AL556" s="516"/>
      <c r="AM556" s="383"/>
      <c r="AO556">
        <f ca="1">IF($A556="S",IF(BM!$I556=0,0,CHOOSE(MATCH(RegimeExecucao,{"Global","Unitário"},0),ROUND(ROUND(BM.MEDAcumulado,15-13*BM!$A$9)/100*BM!$I556,15-13*ORÇAMENTO!$AF$11),ROUND(ROUND(BM.MEDAcumulado,15-13*BM!$A$9)*ROUND(BM!$H556,15-13*ORÇAMENTO!$AF$10),15-13*ORÇAMENTO!$AF$11))),IF($A556=0,0,ROUND(SomaAgrupBM,15-13*ORÇAMENTO!$AF$11)))</f>
        <v>0</v>
      </c>
    </row>
    <row r="557" spans="1:41" ht="25.5" x14ac:dyDescent="0.2">
      <c r="A557" t="str">
        <f ca="1">ORÇAMENTO!C557</f>
        <v>S</v>
      </c>
      <c r="B557">
        <f ca="1">ORÇAMENTO!D557</f>
        <v>0</v>
      </c>
      <c r="C557" s="116" t="str">
        <f t="shared" ca="1" si="56"/>
        <v/>
      </c>
      <c r="D557" s="119" t="str">
        <f ca="1">ORÇAMENTO!O557</f>
        <v>-</v>
      </c>
      <c r="E557" s="172" t="str">
        <f t="shared" ca="1" si="57"/>
        <v>(abra o arquivo 'Referência 02-2025.xlsm)</v>
      </c>
      <c r="F557" s="173" t="str">
        <f ca="1">IF(RegimeExecucao="Global","",ORÇAMENTO.Unidade)</f>
        <v>-</v>
      </c>
      <c r="G557" s="124">
        <f ca="1">IF(RegimeExecucao="Global","",ORÇAMENTO!T557)</f>
        <v>4</v>
      </c>
      <c r="H557" s="124">
        <f ca="1">IF(RegimeExecucao="Global","",ORÇAMENTO!W557)</f>
        <v>0</v>
      </c>
      <c r="I557" s="127">
        <f ca="1">ORÇAMENTO!X557</f>
        <v>0</v>
      </c>
      <c r="J557" s="378">
        <f ca="1">IF($A557="S",IF(CAIXA.Modo,BM.AFAnterior,BM.MEDAnterior),IF(AND(RegimeExecucao="Global",$I557&gt;0,COUNTIF($AB$13:$AM$13,BM.medicao-1)&gt;0),M557/$I557*100,0))</f>
        <v>0</v>
      </c>
      <c r="K557" s="124">
        <f t="shared" ca="1" si="58"/>
        <v>0</v>
      </c>
      <c r="L557" s="379">
        <f ca="1">IF($A557="S",IF(CAIXA.Modo,BM.AFAcumulado,BM.MEDAcumulado),IF(AND(RegimeExecucao="Global",$I557&gt;0,COUNTIF($AB$13:$AM$13,BM.medicao)&gt;0),O557/$I557*100,0))</f>
        <v>0</v>
      </c>
      <c r="M557" s="380">
        <f ca="1">IF($A557="S",VTOTALBM,IF($A557=0,0,ROUND(SomaAgrupBM,15-13*ORÇAMENTO!$AF$11)))</f>
        <v>0</v>
      </c>
      <c r="N557" s="381">
        <f t="shared" ca="1" si="59"/>
        <v>0</v>
      </c>
      <c r="O557" s="127">
        <f ca="1">IF($A557="S",VTOTALBM,IF($A557=0,0,ROUND(SomaAgrupBM,15-13*ORÇAMENTO!$AF$11)))</f>
        <v>0</v>
      </c>
      <c r="Q557" s="382"/>
      <c r="R557" s="383"/>
      <c r="T557" s="119" t="str">
        <f t="shared" ca="1" si="60"/>
        <v/>
      </c>
      <c r="U557" s="172" t="str">
        <f t="shared" ca="1" si="61"/>
        <v/>
      </c>
      <c r="V557" s="173" t="str">
        <f ca="1">IF(AND($W557&gt;0,RegimeExecucao="Unitário"),$F557,"")</f>
        <v/>
      </c>
      <c r="W557" s="547">
        <f ca="1">IF($Y557&gt;0,CHOOSE(MATCH(RegimeExecucao,{"Unitário","Global"},0),IF($A557="S",$Y557/$X557,""),($Y557/$X557)*100),0)</f>
        <v>0</v>
      </c>
      <c r="X557" s="384" t="str">
        <f ca="1">IF($Y557&gt;0,CHOOSE(MATCH(RegimeExecucao,{"Unitário","Global"},0),IF($A557="S",ROUND($H557,ORÇAMENTO!$AF$10),""),ROUND($I557,ORÇAMENTO!$AF$11)),"")</f>
        <v/>
      </c>
      <c r="Y557" s="384">
        <f t="shared" ca="1" si="62"/>
        <v>0</v>
      </c>
      <c r="Z557" s="572"/>
      <c r="AB557" s="382"/>
      <c r="AC557" s="516"/>
      <c r="AD557" s="516"/>
      <c r="AE557" s="516"/>
      <c r="AF557" s="516"/>
      <c r="AG557" s="516"/>
      <c r="AH557" s="516"/>
      <c r="AI557" s="516"/>
      <c r="AJ557" s="516"/>
      <c r="AK557" s="516"/>
      <c r="AL557" s="516"/>
      <c r="AM557" s="383"/>
      <c r="AO557">
        <f ca="1">IF($A557="S",IF(BM!$I557=0,0,CHOOSE(MATCH(RegimeExecucao,{"Global","Unitário"},0),ROUND(ROUND(BM.MEDAcumulado,15-13*BM!$A$9)/100*BM!$I557,15-13*ORÇAMENTO!$AF$11),ROUND(ROUND(BM.MEDAcumulado,15-13*BM!$A$9)*ROUND(BM!$H557,15-13*ORÇAMENTO!$AF$10),15-13*ORÇAMENTO!$AF$11))),IF($A557=0,0,ROUND(SomaAgrupBM,15-13*ORÇAMENTO!$AF$11)))</f>
        <v>0</v>
      </c>
    </row>
    <row r="558" spans="1:41" ht="25.5" x14ac:dyDescent="0.2">
      <c r="A558" t="str">
        <f ca="1">ORÇAMENTO!C558</f>
        <v>S</v>
      </c>
      <c r="B558">
        <f ca="1">ORÇAMENTO!D558</f>
        <v>0</v>
      </c>
      <c r="C558" s="116" t="str">
        <f t="shared" ca="1" si="56"/>
        <v/>
      </c>
      <c r="D558" s="119" t="str">
        <f ca="1">ORÇAMENTO!O558</f>
        <v>-</v>
      </c>
      <c r="E558" s="172" t="str">
        <f t="shared" ca="1" si="57"/>
        <v>(abra o arquivo 'Referência 02-2025.xlsm)</v>
      </c>
      <c r="F558" s="173" t="str">
        <f ca="1">IF(RegimeExecucao="Global","",ORÇAMENTO.Unidade)</f>
        <v>-</v>
      </c>
      <c r="G558" s="124">
        <f ca="1">IF(RegimeExecucao="Global","",ORÇAMENTO!T558)</f>
        <v>2</v>
      </c>
      <c r="H558" s="124">
        <f ca="1">IF(RegimeExecucao="Global","",ORÇAMENTO!W558)</f>
        <v>0</v>
      </c>
      <c r="I558" s="127">
        <f ca="1">ORÇAMENTO!X558</f>
        <v>0</v>
      </c>
      <c r="J558" s="378">
        <f ca="1">IF($A558="S",IF(CAIXA.Modo,BM.AFAnterior,BM.MEDAnterior),IF(AND(RegimeExecucao="Global",$I558&gt;0,COUNTIF($AB$13:$AM$13,BM.medicao-1)&gt;0),M558/$I558*100,0))</f>
        <v>0</v>
      </c>
      <c r="K558" s="124">
        <f t="shared" ca="1" si="58"/>
        <v>0</v>
      </c>
      <c r="L558" s="379">
        <f ca="1">IF($A558="S",IF(CAIXA.Modo,BM.AFAcumulado,BM.MEDAcumulado),IF(AND(RegimeExecucao="Global",$I558&gt;0,COUNTIF($AB$13:$AM$13,BM.medicao)&gt;0),O558/$I558*100,0))</f>
        <v>0</v>
      </c>
      <c r="M558" s="380">
        <f ca="1">IF($A558="S",VTOTALBM,IF($A558=0,0,ROUND(SomaAgrupBM,15-13*ORÇAMENTO!$AF$11)))</f>
        <v>0</v>
      </c>
      <c r="N558" s="381">
        <f t="shared" ca="1" si="59"/>
        <v>0</v>
      </c>
      <c r="O558" s="127">
        <f ca="1">IF($A558="S",VTOTALBM,IF($A558=0,0,ROUND(SomaAgrupBM,15-13*ORÇAMENTO!$AF$11)))</f>
        <v>0</v>
      </c>
      <c r="Q558" s="382"/>
      <c r="R558" s="383"/>
      <c r="T558" s="119" t="str">
        <f t="shared" ca="1" si="60"/>
        <v/>
      </c>
      <c r="U558" s="172" t="str">
        <f t="shared" ca="1" si="61"/>
        <v/>
      </c>
      <c r="V558" s="173" t="str">
        <f ca="1">IF(AND($W558&gt;0,RegimeExecucao="Unitário"),$F558,"")</f>
        <v/>
      </c>
      <c r="W558" s="547">
        <f ca="1">IF($Y558&gt;0,CHOOSE(MATCH(RegimeExecucao,{"Unitário","Global"},0),IF($A558="S",$Y558/$X558,""),($Y558/$X558)*100),0)</f>
        <v>0</v>
      </c>
      <c r="X558" s="384" t="str">
        <f ca="1">IF($Y558&gt;0,CHOOSE(MATCH(RegimeExecucao,{"Unitário","Global"},0),IF($A558="S",ROUND($H558,ORÇAMENTO!$AF$10),""),ROUND($I558,ORÇAMENTO!$AF$11)),"")</f>
        <v/>
      </c>
      <c r="Y558" s="384">
        <f t="shared" ca="1" si="62"/>
        <v>0</v>
      </c>
      <c r="Z558" s="572"/>
      <c r="AB558" s="382"/>
      <c r="AC558" s="516"/>
      <c r="AD558" s="516"/>
      <c r="AE558" s="516"/>
      <c r="AF558" s="516"/>
      <c r="AG558" s="516"/>
      <c r="AH558" s="516"/>
      <c r="AI558" s="516"/>
      <c r="AJ558" s="516"/>
      <c r="AK558" s="516"/>
      <c r="AL558" s="516"/>
      <c r="AM558" s="383"/>
      <c r="AO558">
        <f ca="1">IF($A558="S",IF(BM!$I558=0,0,CHOOSE(MATCH(RegimeExecucao,{"Global","Unitário"},0),ROUND(ROUND(BM.MEDAcumulado,15-13*BM!$A$9)/100*BM!$I558,15-13*ORÇAMENTO!$AF$11),ROUND(ROUND(BM.MEDAcumulado,15-13*BM!$A$9)*ROUND(BM!$H558,15-13*ORÇAMENTO!$AF$10),15-13*ORÇAMENTO!$AF$11))),IF($A558=0,0,ROUND(SomaAgrupBM,15-13*ORÇAMENTO!$AF$11)))</f>
        <v>0</v>
      </c>
    </row>
    <row r="559" spans="1:41" ht="25.5" x14ac:dyDescent="0.2">
      <c r="A559" t="str">
        <f ca="1">ORÇAMENTO!C559</f>
        <v>S</v>
      </c>
      <c r="B559">
        <f ca="1">ORÇAMENTO!D559</f>
        <v>0</v>
      </c>
      <c r="C559" s="116" t="str">
        <f t="shared" ca="1" si="56"/>
        <v/>
      </c>
      <c r="D559" s="119" t="str">
        <f ca="1">ORÇAMENTO!O559</f>
        <v>-</v>
      </c>
      <c r="E559" s="172" t="str">
        <f t="shared" ca="1" si="57"/>
        <v>(abra o arquivo 'Referência 02-2025.xlsm)</v>
      </c>
      <c r="F559" s="173" t="str">
        <f ca="1">IF(RegimeExecucao="Global","",ORÇAMENTO.Unidade)</f>
        <v>-</v>
      </c>
      <c r="G559" s="124">
        <f ca="1">IF(RegimeExecucao="Global","",ORÇAMENTO!T559)</f>
        <v>2</v>
      </c>
      <c r="H559" s="124">
        <f ca="1">IF(RegimeExecucao="Global","",ORÇAMENTO!W559)</f>
        <v>0</v>
      </c>
      <c r="I559" s="127">
        <f ca="1">ORÇAMENTO!X559</f>
        <v>0</v>
      </c>
      <c r="J559" s="378">
        <f ca="1">IF($A559="S",IF(CAIXA.Modo,BM.AFAnterior,BM.MEDAnterior),IF(AND(RegimeExecucao="Global",$I559&gt;0,COUNTIF($AB$13:$AM$13,BM.medicao-1)&gt;0),M559/$I559*100,0))</f>
        <v>0</v>
      </c>
      <c r="K559" s="124">
        <f t="shared" ca="1" si="58"/>
        <v>0</v>
      </c>
      <c r="L559" s="379">
        <f ca="1">IF($A559="S",IF(CAIXA.Modo,BM.AFAcumulado,BM.MEDAcumulado),IF(AND(RegimeExecucao="Global",$I559&gt;0,COUNTIF($AB$13:$AM$13,BM.medicao)&gt;0),O559/$I559*100,0))</f>
        <v>0</v>
      </c>
      <c r="M559" s="380">
        <f ca="1">IF($A559="S",VTOTALBM,IF($A559=0,0,ROUND(SomaAgrupBM,15-13*ORÇAMENTO!$AF$11)))</f>
        <v>0</v>
      </c>
      <c r="N559" s="381">
        <f t="shared" ca="1" si="59"/>
        <v>0</v>
      </c>
      <c r="O559" s="127">
        <f ca="1">IF($A559="S",VTOTALBM,IF($A559=0,0,ROUND(SomaAgrupBM,15-13*ORÇAMENTO!$AF$11)))</f>
        <v>0</v>
      </c>
      <c r="Q559" s="382"/>
      <c r="R559" s="383"/>
      <c r="T559" s="119" t="str">
        <f t="shared" ca="1" si="60"/>
        <v/>
      </c>
      <c r="U559" s="172" t="str">
        <f t="shared" ca="1" si="61"/>
        <v/>
      </c>
      <c r="V559" s="173" t="str">
        <f ca="1">IF(AND($W559&gt;0,RegimeExecucao="Unitário"),$F559,"")</f>
        <v/>
      </c>
      <c r="W559" s="547">
        <f ca="1">IF($Y559&gt;0,CHOOSE(MATCH(RegimeExecucao,{"Unitário","Global"},0),IF($A559="S",$Y559/$X559,""),($Y559/$X559)*100),0)</f>
        <v>0</v>
      </c>
      <c r="X559" s="384" t="str">
        <f ca="1">IF($Y559&gt;0,CHOOSE(MATCH(RegimeExecucao,{"Unitário","Global"},0),IF($A559="S",ROUND($H559,ORÇAMENTO!$AF$10),""),ROUND($I559,ORÇAMENTO!$AF$11)),"")</f>
        <v/>
      </c>
      <c r="Y559" s="384">
        <f t="shared" ca="1" si="62"/>
        <v>0</v>
      </c>
      <c r="Z559" s="572"/>
      <c r="AB559" s="382"/>
      <c r="AC559" s="516"/>
      <c r="AD559" s="516"/>
      <c r="AE559" s="516"/>
      <c r="AF559" s="516"/>
      <c r="AG559" s="516"/>
      <c r="AH559" s="516"/>
      <c r="AI559" s="516"/>
      <c r="AJ559" s="516"/>
      <c r="AK559" s="516"/>
      <c r="AL559" s="516"/>
      <c r="AM559" s="383"/>
      <c r="AO559">
        <f ca="1">IF($A559="S",IF(BM!$I559=0,0,CHOOSE(MATCH(RegimeExecucao,{"Global","Unitário"},0),ROUND(ROUND(BM.MEDAcumulado,15-13*BM!$A$9)/100*BM!$I559,15-13*ORÇAMENTO!$AF$11),ROUND(ROUND(BM.MEDAcumulado,15-13*BM!$A$9)*ROUND(BM!$H559,15-13*ORÇAMENTO!$AF$10),15-13*ORÇAMENTO!$AF$11))),IF($A559=0,0,ROUND(SomaAgrupBM,15-13*ORÇAMENTO!$AF$11)))</f>
        <v>0</v>
      </c>
    </row>
    <row r="560" spans="1:41" x14ac:dyDescent="0.2">
      <c r="A560" t="str">
        <f ca="1">ORÇAMENTO!C560</f>
        <v>S</v>
      </c>
      <c r="B560">
        <f ca="1">ORÇAMENTO!D560</f>
        <v>0</v>
      </c>
      <c r="C560" s="116" t="str">
        <f t="shared" ca="1" si="56"/>
        <v/>
      </c>
      <c r="D560" s="119" t="str">
        <f ca="1">ORÇAMENTO!O560</f>
        <v>-</v>
      </c>
      <c r="E560" s="172" t="str">
        <f t="shared" ca="1" si="57"/>
        <v>(abra o arquivo 'Referência 02-2025.xlsm)</v>
      </c>
      <c r="F560" s="173" t="str">
        <f ca="1">IF(RegimeExecucao="Global","",ORÇAMENTO.Unidade)</f>
        <v>-</v>
      </c>
      <c r="G560" s="124">
        <f ca="1">IF(RegimeExecucao="Global","",ORÇAMENTO!T560)</f>
        <v>36</v>
      </c>
      <c r="H560" s="124">
        <f ca="1">IF(RegimeExecucao="Global","",ORÇAMENTO!W560)</f>
        <v>0</v>
      </c>
      <c r="I560" s="127">
        <f ca="1">ORÇAMENTO!X560</f>
        <v>0</v>
      </c>
      <c r="J560" s="378">
        <f ca="1">IF($A560="S",IF(CAIXA.Modo,BM.AFAnterior,BM.MEDAnterior),IF(AND(RegimeExecucao="Global",$I560&gt;0,COUNTIF($AB$13:$AM$13,BM.medicao-1)&gt;0),M560/$I560*100,0))</f>
        <v>0</v>
      </c>
      <c r="K560" s="124">
        <f t="shared" ca="1" si="58"/>
        <v>0</v>
      </c>
      <c r="L560" s="379">
        <f ca="1">IF($A560="S",IF(CAIXA.Modo,BM.AFAcumulado,BM.MEDAcumulado),IF(AND(RegimeExecucao="Global",$I560&gt;0,COUNTIF($AB$13:$AM$13,BM.medicao)&gt;0),O560/$I560*100,0))</f>
        <v>0</v>
      </c>
      <c r="M560" s="380">
        <f ca="1">IF($A560="S",VTOTALBM,IF($A560=0,0,ROUND(SomaAgrupBM,15-13*ORÇAMENTO!$AF$11)))</f>
        <v>0</v>
      </c>
      <c r="N560" s="381">
        <f t="shared" ca="1" si="59"/>
        <v>0</v>
      </c>
      <c r="O560" s="127">
        <f ca="1">IF($A560="S",VTOTALBM,IF($A560=0,0,ROUND(SomaAgrupBM,15-13*ORÇAMENTO!$AF$11)))</f>
        <v>0</v>
      </c>
      <c r="Q560" s="382"/>
      <c r="R560" s="383"/>
      <c r="T560" s="119" t="str">
        <f t="shared" ca="1" si="60"/>
        <v/>
      </c>
      <c r="U560" s="172" t="str">
        <f t="shared" ca="1" si="61"/>
        <v/>
      </c>
      <c r="V560" s="173" t="str">
        <f ca="1">IF(AND($W560&gt;0,RegimeExecucao="Unitário"),$F560,"")</f>
        <v/>
      </c>
      <c r="W560" s="547">
        <f ca="1">IF($Y560&gt;0,CHOOSE(MATCH(RegimeExecucao,{"Unitário","Global"},0),IF($A560="S",$Y560/$X560,""),($Y560/$X560)*100),0)</f>
        <v>0</v>
      </c>
      <c r="X560" s="384" t="str">
        <f ca="1">IF($Y560&gt;0,CHOOSE(MATCH(RegimeExecucao,{"Unitário","Global"},0),IF($A560="S",ROUND($H560,ORÇAMENTO!$AF$10),""),ROUND($I560,ORÇAMENTO!$AF$11)),"")</f>
        <v/>
      </c>
      <c r="Y560" s="384">
        <f t="shared" ca="1" si="62"/>
        <v>0</v>
      </c>
      <c r="Z560" s="572"/>
      <c r="AB560" s="382"/>
      <c r="AC560" s="516"/>
      <c r="AD560" s="516"/>
      <c r="AE560" s="516"/>
      <c r="AF560" s="516"/>
      <c r="AG560" s="516"/>
      <c r="AH560" s="516"/>
      <c r="AI560" s="516"/>
      <c r="AJ560" s="516"/>
      <c r="AK560" s="516"/>
      <c r="AL560" s="516"/>
      <c r="AM560" s="383"/>
      <c r="AO560">
        <f ca="1">IF($A560="S",IF(BM!$I560=0,0,CHOOSE(MATCH(RegimeExecucao,{"Global","Unitário"},0),ROUND(ROUND(BM.MEDAcumulado,15-13*BM!$A$9)/100*BM!$I560,15-13*ORÇAMENTO!$AF$11),ROUND(ROUND(BM.MEDAcumulado,15-13*BM!$A$9)*ROUND(BM!$H560,15-13*ORÇAMENTO!$AF$10),15-13*ORÇAMENTO!$AF$11))),IF($A560=0,0,ROUND(SomaAgrupBM,15-13*ORÇAMENTO!$AF$11)))</f>
        <v>0</v>
      </c>
    </row>
    <row r="561" spans="1:41" ht="25.5" x14ac:dyDescent="0.2">
      <c r="A561" t="str">
        <f ca="1">ORÇAMENTO!C561</f>
        <v>S</v>
      </c>
      <c r="B561">
        <f ca="1">ORÇAMENTO!D561</f>
        <v>0</v>
      </c>
      <c r="C561" s="116" t="str">
        <f t="shared" ca="1" si="56"/>
        <v/>
      </c>
      <c r="D561" s="119" t="str">
        <f ca="1">ORÇAMENTO!O561</f>
        <v>-</v>
      </c>
      <c r="E561" s="172" t="str">
        <f t="shared" ca="1" si="57"/>
        <v>(abra o arquivo 'Referência 02-2025.xlsm)</v>
      </c>
      <c r="F561" s="173" t="str">
        <f ca="1">IF(RegimeExecucao="Global","",ORÇAMENTO.Unidade)</f>
        <v>-</v>
      </c>
      <c r="G561" s="124">
        <f ca="1">IF(RegimeExecucao="Global","",ORÇAMENTO!T561)</f>
        <v>2</v>
      </c>
      <c r="H561" s="124">
        <f ca="1">IF(RegimeExecucao="Global","",ORÇAMENTO!W561)</f>
        <v>0</v>
      </c>
      <c r="I561" s="127">
        <f ca="1">ORÇAMENTO!X561</f>
        <v>0</v>
      </c>
      <c r="J561" s="378">
        <f ca="1">IF($A561="S",IF(CAIXA.Modo,BM.AFAnterior,BM.MEDAnterior),IF(AND(RegimeExecucao="Global",$I561&gt;0,COUNTIF($AB$13:$AM$13,BM.medicao-1)&gt;0),M561/$I561*100,0))</f>
        <v>0</v>
      </c>
      <c r="K561" s="124">
        <f t="shared" ca="1" si="58"/>
        <v>0</v>
      </c>
      <c r="L561" s="379">
        <f ca="1">IF($A561="S",IF(CAIXA.Modo,BM.AFAcumulado,BM.MEDAcumulado),IF(AND(RegimeExecucao="Global",$I561&gt;0,COUNTIF($AB$13:$AM$13,BM.medicao)&gt;0),O561/$I561*100,0))</f>
        <v>0</v>
      </c>
      <c r="M561" s="380">
        <f ca="1">IF($A561="S",VTOTALBM,IF($A561=0,0,ROUND(SomaAgrupBM,15-13*ORÇAMENTO!$AF$11)))</f>
        <v>0</v>
      </c>
      <c r="N561" s="381">
        <f t="shared" ca="1" si="59"/>
        <v>0</v>
      </c>
      <c r="O561" s="127">
        <f ca="1">IF($A561="S",VTOTALBM,IF($A561=0,0,ROUND(SomaAgrupBM,15-13*ORÇAMENTO!$AF$11)))</f>
        <v>0</v>
      </c>
      <c r="Q561" s="382"/>
      <c r="R561" s="383"/>
      <c r="T561" s="119" t="str">
        <f t="shared" ca="1" si="60"/>
        <v/>
      </c>
      <c r="U561" s="172" t="str">
        <f t="shared" ca="1" si="61"/>
        <v/>
      </c>
      <c r="V561" s="173" t="str">
        <f ca="1">IF(AND($W561&gt;0,RegimeExecucao="Unitário"),$F561,"")</f>
        <v/>
      </c>
      <c r="W561" s="547">
        <f ca="1">IF($Y561&gt;0,CHOOSE(MATCH(RegimeExecucao,{"Unitário","Global"},0),IF($A561="S",$Y561/$X561,""),($Y561/$X561)*100),0)</f>
        <v>0</v>
      </c>
      <c r="X561" s="384" t="str">
        <f ca="1">IF($Y561&gt;0,CHOOSE(MATCH(RegimeExecucao,{"Unitário","Global"},0),IF($A561="S",ROUND($H561,ORÇAMENTO!$AF$10),""),ROUND($I561,ORÇAMENTO!$AF$11)),"")</f>
        <v/>
      </c>
      <c r="Y561" s="384">
        <f t="shared" ca="1" si="62"/>
        <v>0</v>
      </c>
      <c r="Z561" s="572"/>
      <c r="AB561" s="382"/>
      <c r="AC561" s="516"/>
      <c r="AD561" s="516"/>
      <c r="AE561" s="516"/>
      <c r="AF561" s="516"/>
      <c r="AG561" s="516"/>
      <c r="AH561" s="516"/>
      <c r="AI561" s="516"/>
      <c r="AJ561" s="516"/>
      <c r="AK561" s="516"/>
      <c r="AL561" s="516"/>
      <c r="AM561" s="383"/>
      <c r="AO561">
        <f ca="1">IF($A561="S",IF(BM!$I561=0,0,CHOOSE(MATCH(RegimeExecucao,{"Global","Unitário"},0),ROUND(ROUND(BM.MEDAcumulado,15-13*BM!$A$9)/100*BM!$I561,15-13*ORÇAMENTO!$AF$11),ROUND(ROUND(BM.MEDAcumulado,15-13*BM!$A$9)*ROUND(BM!$H561,15-13*ORÇAMENTO!$AF$10),15-13*ORÇAMENTO!$AF$11))),IF($A561=0,0,ROUND(SomaAgrupBM,15-13*ORÇAMENTO!$AF$11)))</f>
        <v>0</v>
      </c>
    </row>
    <row r="562" spans="1:41" ht="25.5" x14ac:dyDescent="0.2">
      <c r="A562" t="str">
        <f ca="1">ORÇAMENTO!C562</f>
        <v>S</v>
      </c>
      <c r="B562">
        <f ca="1">ORÇAMENTO!D562</f>
        <v>0</v>
      </c>
      <c r="C562" s="116" t="str">
        <f t="shared" ca="1" si="56"/>
        <v/>
      </c>
      <c r="D562" s="119" t="str">
        <f ca="1">ORÇAMENTO!O562</f>
        <v>-</v>
      </c>
      <c r="E562" s="172" t="str">
        <f t="shared" ca="1" si="57"/>
        <v>(abra o arquivo 'Referência 02-2025.xlsm)</v>
      </c>
      <c r="F562" s="173" t="str">
        <f ca="1">IF(RegimeExecucao="Global","",ORÇAMENTO.Unidade)</f>
        <v>-</v>
      </c>
      <c r="G562" s="124">
        <f ca="1">IF(RegimeExecucao="Global","",ORÇAMENTO!T562)</f>
        <v>3</v>
      </c>
      <c r="H562" s="124">
        <f ca="1">IF(RegimeExecucao="Global","",ORÇAMENTO!W562)</f>
        <v>0</v>
      </c>
      <c r="I562" s="127">
        <f ca="1">ORÇAMENTO!X562</f>
        <v>0</v>
      </c>
      <c r="J562" s="378">
        <f ca="1">IF($A562="S",IF(CAIXA.Modo,BM.AFAnterior,BM.MEDAnterior),IF(AND(RegimeExecucao="Global",$I562&gt;0,COUNTIF($AB$13:$AM$13,BM.medicao-1)&gt;0),M562/$I562*100,0))</f>
        <v>0</v>
      </c>
      <c r="K562" s="124">
        <f t="shared" ca="1" si="58"/>
        <v>0</v>
      </c>
      <c r="L562" s="379">
        <f ca="1">IF($A562="S",IF(CAIXA.Modo,BM.AFAcumulado,BM.MEDAcumulado),IF(AND(RegimeExecucao="Global",$I562&gt;0,COUNTIF($AB$13:$AM$13,BM.medicao)&gt;0),O562/$I562*100,0))</f>
        <v>0</v>
      </c>
      <c r="M562" s="380">
        <f ca="1">IF($A562="S",VTOTALBM,IF($A562=0,0,ROUND(SomaAgrupBM,15-13*ORÇAMENTO!$AF$11)))</f>
        <v>0</v>
      </c>
      <c r="N562" s="381">
        <f t="shared" ca="1" si="59"/>
        <v>0</v>
      </c>
      <c r="O562" s="127">
        <f ca="1">IF($A562="S",VTOTALBM,IF($A562=0,0,ROUND(SomaAgrupBM,15-13*ORÇAMENTO!$AF$11)))</f>
        <v>0</v>
      </c>
      <c r="Q562" s="382"/>
      <c r="R562" s="383"/>
      <c r="T562" s="119" t="str">
        <f t="shared" ca="1" si="60"/>
        <v/>
      </c>
      <c r="U562" s="172" t="str">
        <f t="shared" ca="1" si="61"/>
        <v/>
      </c>
      <c r="V562" s="173" t="str">
        <f ca="1">IF(AND($W562&gt;0,RegimeExecucao="Unitário"),$F562,"")</f>
        <v/>
      </c>
      <c r="W562" s="547">
        <f ca="1">IF($Y562&gt;0,CHOOSE(MATCH(RegimeExecucao,{"Unitário","Global"},0),IF($A562="S",$Y562/$X562,""),($Y562/$X562)*100),0)</f>
        <v>0</v>
      </c>
      <c r="X562" s="384" t="str">
        <f ca="1">IF($Y562&gt;0,CHOOSE(MATCH(RegimeExecucao,{"Unitário","Global"},0),IF($A562="S",ROUND($H562,ORÇAMENTO!$AF$10),""),ROUND($I562,ORÇAMENTO!$AF$11)),"")</f>
        <v/>
      </c>
      <c r="Y562" s="384">
        <f t="shared" ca="1" si="62"/>
        <v>0</v>
      </c>
      <c r="Z562" s="572"/>
      <c r="AB562" s="382"/>
      <c r="AC562" s="516"/>
      <c r="AD562" s="516"/>
      <c r="AE562" s="516"/>
      <c r="AF562" s="516"/>
      <c r="AG562" s="516"/>
      <c r="AH562" s="516"/>
      <c r="AI562" s="516"/>
      <c r="AJ562" s="516"/>
      <c r="AK562" s="516"/>
      <c r="AL562" s="516"/>
      <c r="AM562" s="383"/>
      <c r="AO562">
        <f ca="1">IF($A562="S",IF(BM!$I562=0,0,CHOOSE(MATCH(RegimeExecucao,{"Global","Unitário"},0),ROUND(ROUND(BM.MEDAcumulado,15-13*BM!$A$9)/100*BM!$I562,15-13*ORÇAMENTO!$AF$11),ROUND(ROUND(BM.MEDAcumulado,15-13*BM!$A$9)*ROUND(BM!$H562,15-13*ORÇAMENTO!$AF$10),15-13*ORÇAMENTO!$AF$11))),IF($A562=0,0,ROUND(SomaAgrupBM,15-13*ORÇAMENTO!$AF$11)))</f>
        <v>0</v>
      </c>
    </row>
    <row r="563" spans="1:41" ht="25.5" x14ac:dyDescent="0.2">
      <c r="A563" t="str">
        <f ca="1">ORÇAMENTO!C563</f>
        <v>S</v>
      </c>
      <c r="B563">
        <f ca="1">ORÇAMENTO!D563</f>
        <v>0</v>
      </c>
      <c r="C563" s="116" t="str">
        <f t="shared" ca="1" si="56"/>
        <v/>
      </c>
      <c r="D563" s="119" t="str">
        <f ca="1">ORÇAMENTO!O563</f>
        <v>-</v>
      </c>
      <c r="E563" s="172" t="str">
        <f t="shared" ca="1" si="57"/>
        <v>(abra o arquivo 'Referência 02-2025.xlsm)</v>
      </c>
      <c r="F563" s="173" t="str">
        <f ca="1">IF(RegimeExecucao="Global","",ORÇAMENTO.Unidade)</f>
        <v>-</v>
      </c>
      <c r="G563" s="124">
        <f ca="1">IF(RegimeExecucao="Global","",ORÇAMENTO!T563)</f>
        <v>1</v>
      </c>
      <c r="H563" s="124">
        <f ca="1">IF(RegimeExecucao="Global","",ORÇAMENTO!W563)</f>
        <v>0</v>
      </c>
      <c r="I563" s="127">
        <f ca="1">ORÇAMENTO!X563</f>
        <v>0</v>
      </c>
      <c r="J563" s="378">
        <f ca="1">IF($A563="S",IF(CAIXA.Modo,BM.AFAnterior,BM.MEDAnterior),IF(AND(RegimeExecucao="Global",$I563&gt;0,COUNTIF($AB$13:$AM$13,BM.medicao-1)&gt;0),M563/$I563*100,0))</f>
        <v>0</v>
      </c>
      <c r="K563" s="124">
        <f t="shared" ca="1" si="58"/>
        <v>0</v>
      </c>
      <c r="L563" s="379">
        <f ca="1">IF($A563="S",IF(CAIXA.Modo,BM.AFAcumulado,BM.MEDAcumulado),IF(AND(RegimeExecucao="Global",$I563&gt;0,COUNTIF($AB$13:$AM$13,BM.medicao)&gt;0),O563/$I563*100,0))</f>
        <v>0</v>
      </c>
      <c r="M563" s="380">
        <f ca="1">IF($A563="S",VTOTALBM,IF($A563=0,0,ROUND(SomaAgrupBM,15-13*ORÇAMENTO!$AF$11)))</f>
        <v>0</v>
      </c>
      <c r="N563" s="381">
        <f t="shared" ca="1" si="59"/>
        <v>0</v>
      </c>
      <c r="O563" s="127">
        <f ca="1">IF($A563="S",VTOTALBM,IF($A563=0,0,ROUND(SomaAgrupBM,15-13*ORÇAMENTO!$AF$11)))</f>
        <v>0</v>
      </c>
      <c r="Q563" s="382"/>
      <c r="R563" s="383"/>
      <c r="T563" s="119" t="str">
        <f t="shared" ca="1" si="60"/>
        <v/>
      </c>
      <c r="U563" s="172" t="str">
        <f t="shared" ca="1" si="61"/>
        <v/>
      </c>
      <c r="V563" s="173" t="str">
        <f ca="1">IF(AND($W563&gt;0,RegimeExecucao="Unitário"),$F563,"")</f>
        <v/>
      </c>
      <c r="W563" s="547">
        <f ca="1">IF($Y563&gt;0,CHOOSE(MATCH(RegimeExecucao,{"Unitário","Global"},0),IF($A563="S",$Y563/$X563,""),($Y563/$X563)*100),0)</f>
        <v>0</v>
      </c>
      <c r="X563" s="384" t="str">
        <f ca="1">IF($Y563&gt;0,CHOOSE(MATCH(RegimeExecucao,{"Unitário","Global"},0),IF($A563="S",ROUND($H563,ORÇAMENTO!$AF$10),""),ROUND($I563,ORÇAMENTO!$AF$11)),"")</f>
        <v/>
      </c>
      <c r="Y563" s="384">
        <f t="shared" ca="1" si="62"/>
        <v>0</v>
      </c>
      <c r="Z563" s="572"/>
      <c r="AB563" s="382"/>
      <c r="AC563" s="516"/>
      <c r="AD563" s="516"/>
      <c r="AE563" s="516"/>
      <c r="AF563" s="516"/>
      <c r="AG563" s="516"/>
      <c r="AH563" s="516"/>
      <c r="AI563" s="516"/>
      <c r="AJ563" s="516"/>
      <c r="AK563" s="516"/>
      <c r="AL563" s="516"/>
      <c r="AM563" s="383"/>
      <c r="AO563">
        <f ca="1">IF($A563="S",IF(BM!$I563=0,0,CHOOSE(MATCH(RegimeExecucao,{"Global","Unitário"},0),ROUND(ROUND(BM.MEDAcumulado,15-13*BM!$A$9)/100*BM!$I563,15-13*ORÇAMENTO!$AF$11),ROUND(ROUND(BM.MEDAcumulado,15-13*BM!$A$9)*ROUND(BM!$H563,15-13*ORÇAMENTO!$AF$10),15-13*ORÇAMENTO!$AF$11))),IF($A563=0,0,ROUND(SomaAgrupBM,15-13*ORÇAMENTO!$AF$11)))</f>
        <v>0</v>
      </c>
    </row>
    <row r="564" spans="1:41" ht="25.5" x14ac:dyDescent="0.2">
      <c r="A564" t="str">
        <f ca="1">ORÇAMENTO!C564</f>
        <v>S</v>
      </c>
      <c r="B564">
        <f ca="1">ORÇAMENTO!D564</f>
        <v>0</v>
      </c>
      <c r="C564" s="116" t="str">
        <f t="shared" ca="1" si="56"/>
        <v/>
      </c>
      <c r="D564" s="119" t="str">
        <f ca="1">ORÇAMENTO!O564</f>
        <v>-</v>
      </c>
      <c r="E564" s="172" t="str">
        <f t="shared" ca="1" si="57"/>
        <v>(abra o arquivo 'Referência 02-2025.xlsm)</v>
      </c>
      <c r="F564" s="173" t="str">
        <f ca="1">IF(RegimeExecucao="Global","",ORÇAMENTO.Unidade)</f>
        <v>-</v>
      </c>
      <c r="G564" s="124">
        <f ca="1">IF(RegimeExecucao="Global","",ORÇAMENTO!T564)</f>
        <v>2</v>
      </c>
      <c r="H564" s="124">
        <f ca="1">IF(RegimeExecucao="Global","",ORÇAMENTO!W564)</f>
        <v>0</v>
      </c>
      <c r="I564" s="127">
        <f ca="1">ORÇAMENTO!X564</f>
        <v>0</v>
      </c>
      <c r="J564" s="378">
        <f ca="1">IF($A564="S",IF(CAIXA.Modo,BM.AFAnterior,BM.MEDAnterior),IF(AND(RegimeExecucao="Global",$I564&gt;0,COUNTIF($AB$13:$AM$13,BM.medicao-1)&gt;0),M564/$I564*100,0))</f>
        <v>0</v>
      </c>
      <c r="K564" s="124">
        <f t="shared" ca="1" si="58"/>
        <v>0</v>
      </c>
      <c r="L564" s="379">
        <f ca="1">IF($A564="S",IF(CAIXA.Modo,BM.AFAcumulado,BM.MEDAcumulado),IF(AND(RegimeExecucao="Global",$I564&gt;0,COUNTIF($AB$13:$AM$13,BM.medicao)&gt;0),O564/$I564*100,0))</f>
        <v>0</v>
      </c>
      <c r="M564" s="380">
        <f ca="1">IF($A564="S",VTOTALBM,IF($A564=0,0,ROUND(SomaAgrupBM,15-13*ORÇAMENTO!$AF$11)))</f>
        <v>0</v>
      </c>
      <c r="N564" s="381">
        <f t="shared" ca="1" si="59"/>
        <v>0</v>
      </c>
      <c r="O564" s="127">
        <f ca="1">IF($A564="S",VTOTALBM,IF($A564=0,0,ROUND(SomaAgrupBM,15-13*ORÇAMENTO!$AF$11)))</f>
        <v>0</v>
      </c>
      <c r="Q564" s="382"/>
      <c r="R564" s="383"/>
      <c r="T564" s="119" t="str">
        <f t="shared" ca="1" si="60"/>
        <v/>
      </c>
      <c r="U564" s="172" t="str">
        <f t="shared" ca="1" si="61"/>
        <v/>
      </c>
      <c r="V564" s="173" t="str">
        <f ca="1">IF(AND($W564&gt;0,RegimeExecucao="Unitário"),$F564,"")</f>
        <v/>
      </c>
      <c r="W564" s="547">
        <f ca="1">IF($Y564&gt;0,CHOOSE(MATCH(RegimeExecucao,{"Unitário","Global"},0),IF($A564="S",$Y564/$X564,""),($Y564/$X564)*100),0)</f>
        <v>0</v>
      </c>
      <c r="X564" s="384" t="str">
        <f ca="1">IF($Y564&gt;0,CHOOSE(MATCH(RegimeExecucao,{"Unitário","Global"},0),IF($A564="S",ROUND($H564,ORÇAMENTO!$AF$10),""),ROUND($I564,ORÇAMENTO!$AF$11)),"")</f>
        <v/>
      </c>
      <c r="Y564" s="384">
        <f t="shared" ca="1" si="62"/>
        <v>0</v>
      </c>
      <c r="Z564" s="572"/>
      <c r="AB564" s="382"/>
      <c r="AC564" s="516"/>
      <c r="AD564" s="516"/>
      <c r="AE564" s="516"/>
      <c r="AF564" s="516"/>
      <c r="AG564" s="516"/>
      <c r="AH564" s="516"/>
      <c r="AI564" s="516"/>
      <c r="AJ564" s="516"/>
      <c r="AK564" s="516"/>
      <c r="AL564" s="516"/>
      <c r="AM564" s="383"/>
      <c r="AO564">
        <f ca="1">IF($A564="S",IF(BM!$I564=0,0,CHOOSE(MATCH(RegimeExecucao,{"Global","Unitário"},0),ROUND(ROUND(BM.MEDAcumulado,15-13*BM!$A$9)/100*BM!$I564,15-13*ORÇAMENTO!$AF$11),ROUND(ROUND(BM.MEDAcumulado,15-13*BM!$A$9)*ROUND(BM!$H564,15-13*ORÇAMENTO!$AF$10),15-13*ORÇAMENTO!$AF$11))),IF($A564=0,0,ROUND(SomaAgrupBM,15-13*ORÇAMENTO!$AF$11)))</f>
        <v>0</v>
      </c>
    </row>
    <row r="565" spans="1:41" ht="25.5" x14ac:dyDescent="0.2">
      <c r="A565" t="str">
        <f ca="1">ORÇAMENTO!C565</f>
        <v>S</v>
      </c>
      <c r="B565">
        <f ca="1">ORÇAMENTO!D565</f>
        <v>0</v>
      </c>
      <c r="C565" s="116" t="str">
        <f t="shared" ca="1" si="56"/>
        <v/>
      </c>
      <c r="D565" s="119" t="str">
        <f ca="1">ORÇAMENTO!O565</f>
        <v>-</v>
      </c>
      <c r="E565" s="172" t="str">
        <f t="shared" ca="1" si="57"/>
        <v>(abra o arquivo 'Referência 02-2025.xlsm)</v>
      </c>
      <c r="F565" s="173" t="str">
        <f ca="1">IF(RegimeExecucao="Global","",ORÇAMENTO.Unidade)</f>
        <v>-</v>
      </c>
      <c r="G565" s="124">
        <f ca="1">IF(RegimeExecucao="Global","",ORÇAMENTO!T565)</f>
        <v>12</v>
      </c>
      <c r="H565" s="124">
        <f ca="1">IF(RegimeExecucao="Global","",ORÇAMENTO!W565)</f>
        <v>0</v>
      </c>
      <c r="I565" s="127">
        <f ca="1">ORÇAMENTO!X565</f>
        <v>0</v>
      </c>
      <c r="J565" s="378">
        <f ca="1">IF($A565="S",IF(CAIXA.Modo,BM.AFAnterior,BM.MEDAnterior),IF(AND(RegimeExecucao="Global",$I565&gt;0,COUNTIF($AB$13:$AM$13,BM.medicao-1)&gt;0),M565/$I565*100,0))</f>
        <v>0</v>
      </c>
      <c r="K565" s="124">
        <f t="shared" ca="1" si="58"/>
        <v>0</v>
      </c>
      <c r="L565" s="379">
        <f ca="1">IF($A565="S",IF(CAIXA.Modo,BM.AFAcumulado,BM.MEDAcumulado),IF(AND(RegimeExecucao="Global",$I565&gt;0,COUNTIF($AB$13:$AM$13,BM.medicao)&gt;0),O565/$I565*100,0))</f>
        <v>0</v>
      </c>
      <c r="M565" s="380">
        <f ca="1">IF($A565="S",VTOTALBM,IF($A565=0,0,ROUND(SomaAgrupBM,15-13*ORÇAMENTO!$AF$11)))</f>
        <v>0</v>
      </c>
      <c r="N565" s="381">
        <f t="shared" ca="1" si="59"/>
        <v>0</v>
      </c>
      <c r="O565" s="127">
        <f ca="1">IF($A565="S",VTOTALBM,IF($A565=0,0,ROUND(SomaAgrupBM,15-13*ORÇAMENTO!$AF$11)))</f>
        <v>0</v>
      </c>
      <c r="Q565" s="382"/>
      <c r="R565" s="383"/>
      <c r="T565" s="119" t="str">
        <f t="shared" ca="1" si="60"/>
        <v/>
      </c>
      <c r="U565" s="172" t="str">
        <f t="shared" ca="1" si="61"/>
        <v/>
      </c>
      <c r="V565" s="173" t="str">
        <f ca="1">IF(AND($W565&gt;0,RegimeExecucao="Unitário"),$F565,"")</f>
        <v/>
      </c>
      <c r="W565" s="547">
        <f ca="1">IF($Y565&gt;0,CHOOSE(MATCH(RegimeExecucao,{"Unitário","Global"},0),IF($A565="S",$Y565/$X565,""),($Y565/$X565)*100),0)</f>
        <v>0</v>
      </c>
      <c r="X565" s="384" t="str">
        <f ca="1">IF($Y565&gt;0,CHOOSE(MATCH(RegimeExecucao,{"Unitário","Global"},0),IF($A565="S",ROUND($H565,ORÇAMENTO!$AF$10),""),ROUND($I565,ORÇAMENTO!$AF$11)),"")</f>
        <v/>
      </c>
      <c r="Y565" s="384">
        <f t="shared" ca="1" si="62"/>
        <v>0</v>
      </c>
      <c r="Z565" s="572"/>
      <c r="AB565" s="382"/>
      <c r="AC565" s="516"/>
      <c r="AD565" s="516"/>
      <c r="AE565" s="516"/>
      <c r="AF565" s="516"/>
      <c r="AG565" s="516"/>
      <c r="AH565" s="516"/>
      <c r="AI565" s="516"/>
      <c r="AJ565" s="516"/>
      <c r="AK565" s="516"/>
      <c r="AL565" s="516"/>
      <c r="AM565" s="383"/>
      <c r="AO565">
        <f ca="1">IF($A565="S",IF(BM!$I565=0,0,CHOOSE(MATCH(RegimeExecucao,{"Global","Unitário"},0),ROUND(ROUND(BM.MEDAcumulado,15-13*BM!$A$9)/100*BM!$I565,15-13*ORÇAMENTO!$AF$11),ROUND(ROUND(BM.MEDAcumulado,15-13*BM!$A$9)*ROUND(BM!$H565,15-13*ORÇAMENTO!$AF$10),15-13*ORÇAMENTO!$AF$11))),IF($A565=0,0,ROUND(SomaAgrupBM,15-13*ORÇAMENTO!$AF$11)))</f>
        <v>0</v>
      </c>
    </row>
    <row r="566" spans="1:41" ht="25.5" x14ac:dyDescent="0.2">
      <c r="A566" t="str">
        <f ca="1">ORÇAMENTO!C566</f>
        <v>S</v>
      </c>
      <c r="B566">
        <f ca="1">ORÇAMENTO!D566</f>
        <v>0</v>
      </c>
      <c r="C566" s="116" t="str">
        <f t="shared" ca="1" si="56"/>
        <v/>
      </c>
      <c r="D566" s="119" t="str">
        <f ca="1">ORÇAMENTO!O566</f>
        <v>-</v>
      </c>
      <c r="E566" s="172" t="str">
        <f t="shared" ca="1" si="57"/>
        <v>(abra o arquivo 'Referência 02-2025.xlsm)</v>
      </c>
      <c r="F566" s="173" t="str">
        <f ca="1">IF(RegimeExecucao="Global","",ORÇAMENTO.Unidade)</f>
        <v>-</v>
      </c>
      <c r="G566" s="124">
        <f ca="1">IF(RegimeExecucao="Global","",ORÇAMENTO!T566)</f>
        <v>13</v>
      </c>
      <c r="H566" s="124">
        <f ca="1">IF(RegimeExecucao="Global","",ORÇAMENTO!W566)</f>
        <v>0</v>
      </c>
      <c r="I566" s="127">
        <f ca="1">ORÇAMENTO!X566</f>
        <v>0</v>
      </c>
      <c r="J566" s="378">
        <f ca="1">IF($A566="S",IF(CAIXA.Modo,BM.AFAnterior,BM.MEDAnterior),IF(AND(RegimeExecucao="Global",$I566&gt;0,COUNTIF($AB$13:$AM$13,BM.medicao-1)&gt;0),M566/$I566*100,0))</f>
        <v>0</v>
      </c>
      <c r="K566" s="124">
        <f t="shared" ca="1" si="58"/>
        <v>0</v>
      </c>
      <c r="L566" s="379">
        <f ca="1">IF($A566="S",IF(CAIXA.Modo,BM.AFAcumulado,BM.MEDAcumulado),IF(AND(RegimeExecucao="Global",$I566&gt;0,COUNTIF($AB$13:$AM$13,BM.medicao)&gt;0),O566/$I566*100,0))</f>
        <v>0</v>
      </c>
      <c r="M566" s="380">
        <f ca="1">IF($A566="S",VTOTALBM,IF($A566=0,0,ROUND(SomaAgrupBM,15-13*ORÇAMENTO!$AF$11)))</f>
        <v>0</v>
      </c>
      <c r="N566" s="381">
        <f t="shared" ca="1" si="59"/>
        <v>0</v>
      </c>
      <c r="O566" s="127">
        <f ca="1">IF($A566="S",VTOTALBM,IF($A566=0,0,ROUND(SomaAgrupBM,15-13*ORÇAMENTO!$AF$11)))</f>
        <v>0</v>
      </c>
      <c r="Q566" s="382"/>
      <c r="R566" s="383"/>
      <c r="T566" s="119" t="str">
        <f t="shared" ca="1" si="60"/>
        <v/>
      </c>
      <c r="U566" s="172" t="str">
        <f t="shared" ca="1" si="61"/>
        <v/>
      </c>
      <c r="V566" s="173" t="str">
        <f ca="1">IF(AND($W566&gt;0,RegimeExecucao="Unitário"),$F566,"")</f>
        <v/>
      </c>
      <c r="W566" s="547">
        <f ca="1">IF($Y566&gt;0,CHOOSE(MATCH(RegimeExecucao,{"Unitário","Global"},0),IF($A566="S",$Y566/$X566,""),($Y566/$X566)*100),0)</f>
        <v>0</v>
      </c>
      <c r="X566" s="384" t="str">
        <f ca="1">IF($Y566&gt;0,CHOOSE(MATCH(RegimeExecucao,{"Unitário","Global"},0),IF($A566="S",ROUND($H566,ORÇAMENTO!$AF$10),""),ROUND($I566,ORÇAMENTO!$AF$11)),"")</f>
        <v/>
      </c>
      <c r="Y566" s="384">
        <f t="shared" ca="1" si="62"/>
        <v>0</v>
      </c>
      <c r="Z566" s="572"/>
      <c r="AB566" s="382"/>
      <c r="AC566" s="516"/>
      <c r="AD566" s="516"/>
      <c r="AE566" s="516"/>
      <c r="AF566" s="516"/>
      <c r="AG566" s="516"/>
      <c r="AH566" s="516"/>
      <c r="AI566" s="516"/>
      <c r="AJ566" s="516"/>
      <c r="AK566" s="516"/>
      <c r="AL566" s="516"/>
      <c r="AM566" s="383"/>
      <c r="AO566">
        <f ca="1">IF($A566="S",IF(BM!$I566=0,0,CHOOSE(MATCH(RegimeExecucao,{"Global","Unitário"},0),ROUND(ROUND(BM.MEDAcumulado,15-13*BM!$A$9)/100*BM!$I566,15-13*ORÇAMENTO!$AF$11),ROUND(ROUND(BM.MEDAcumulado,15-13*BM!$A$9)*ROUND(BM!$H566,15-13*ORÇAMENTO!$AF$10),15-13*ORÇAMENTO!$AF$11))),IF($A566=0,0,ROUND(SomaAgrupBM,15-13*ORÇAMENTO!$AF$11)))</f>
        <v>0</v>
      </c>
    </row>
    <row r="567" spans="1:41" ht="25.5" x14ac:dyDescent="0.2">
      <c r="A567" t="str">
        <f ca="1">ORÇAMENTO!C567</f>
        <v>S</v>
      </c>
      <c r="B567">
        <f ca="1">ORÇAMENTO!D567</f>
        <v>0</v>
      </c>
      <c r="C567" s="116" t="str">
        <f t="shared" ca="1" si="56"/>
        <v/>
      </c>
      <c r="D567" s="119" t="str">
        <f ca="1">ORÇAMENTO!O567</f>
        <v>-</v>
      </c>
      <c r="E567" s="172" t="str">
        <f t="shared" ca="1" si="57"/>
        <v>(abra o arquivo 'Referência 02-2025.xlsm)</v>
      </c>
      <c r="F567" s="173" t="str">
        <f ca="1">IF(RegimeExecucao="Global","",ORÇAMENTO.Unidade)</f>
        <v>-</v>
      </c>
      <c r="G567" s="124">
        <f ca="1">IF(RegimeExecucao="Global","",ORÇAMENTO!T567)</f>
        <v>6</v>
      </c>
      <c r="H567" s="124">
        <f ca="1">IF(RegimeExecucao="Global","",ORÇAMENTO!W567)</f>
        <v>0</v>
      </c>
      <c r="I567" s="127">
        <f ca="1">ORÇAMENTO!X567</f>
        <v>0</v>
      </c>
      <c r="J567" s="378">
        <f ca="1">IF($A567="S",IF(CAIXA.Modo,BM.AFAnterior,BM.MEDAnterior),IF(AND(RegimeExecucao="Global",$I567&gt;0,COUNTIF($AB$13:$AM$13,BM.medicao-1)&gt;0),M567/$I567*100,0))</f>
        <v>0</v>
      </c>
      <c r="K567" s="124">
        <f t="shared" ca="1" si="58"/>
        <v>0</v>
      </c>
      <c r="L567" s="379">
        <f ca="1">IF($A567="S",IF(CAIXA.Modo,BM.AFAcumulado,BM.MEDAcumulado),IF(AND(RegimeExecucao="Global",$I567&gt;0,COUNTIF($AB$13:$AM$13,BM.medicao)&gt;0),O567/$I567*100,0))</f>
        <v>0</v>
      </c>
      <c r="M567" s="380">
        <f ca="1">IF($A567="S",VTOTALBM,IF($A567=0,0,ROUND(SomaAgrupBM,15-13*ORÇAMENTO!$AF$11)))</f>
        <v>0</v>
      </c>
      <c r="N567" s="381">
        <f t="shared" ca="1" si="59"/>
        <v>0</v>
      </c>
      <c r="O567" s="127">
        <f ca="1">IF($A567="S",VTOTALBM,IF($A567=0,0,ROUND(SomaAgrupBM,15-13*ORÇAMENTO!$AF$11)))</f>
        <v>0</v>
      </c>
      <c r="Q567" s="382"/>
      <c r="R567" s="383"/>
      <c r="T567" s="119" t="str">
        <f t="shared" ca="1" si="60"/>
        <v/>
      </c>
      <c r="U567" s="172" t="str">
        <f t="shared" ca="1" si="61"/>
        <v/>
      </c>
      <c r="V567" s="173" t="str">
        <f ca="1">IF(AND($W567&gt;0,RegimeExecucao="Unitário"),$F567,"")</f>
        <v/>
      </c>
      <c r="W567" s="547">
        <f ca="1">IF($Y567&gt;0,CHOOSE(MATCH(RegimeExecucao,{"Unitário","Global"},0),IF($A567="S",$Y567/$X567,""),($Y567/$X567)*100),0)</f>
        <v>0</v>
      </c>
      <c r="X567" s="384" t="str">
        <f ca="1">IF($Y567&gt;0,CHOOSE(MATCH(RegimeExecucao,{"Unitário","Global"},0),IF($A567="S",ROUND($H567,ORÇAMENTO!$AF$10),""),ROUND($I567,ORÇAMENTO!$AF$11)),"")</f>
        <v/>
      </c>
      <c r="Y567" s="384">
        <f t="shared" ca="1" si="62"/>
        <v>0</v>
      </c>
      <c r="Z567" s="572"/>
      <c r="AB567" s="382"/>
      <c r="AC567" s="516"/>
      <c r="AD567" s="516"/>
      <c r="AE567" s="516"/>
      <c r="AF567" s="516"/>
      <c r="AG567" s="516"/>
      <c r="AH567" s="516"/>
      <c r="AI567" s="516"/>
      <c r="AJ567" s="516"/>
      <c r="AK567" s="516"/>
      <c r="AL567" s="516"/>
      <c r="AM567" s="383"/>
      <c r="AO567">
        <f ca="1">IF($A567="S",IF(BM!$I567=0,0,CHOOSE(MATCH(RegimeExecucao,{"Global","Unitário"},0),ROUND(ROUND(BM.MEDAcumulado,15-13*BM!$A$9)/100*BM!$I567,15-13*ORÇAMENTO!$AF$11),ROUND(ROUND(BM.MEDAcumulado,15-13*BM!$A$9)*ROUND(BM!$H567,15-13*ORÇAMENTO!$AF$10),15-13*ORÇAMENTO!$AF$11))),IF($A567=0,0,ROUND(SomaAgrupBM,15-13*ORÇAMENTO!$AF$11)))</f>
        <v>0</v>
      </c>
    </row>
    <row r="568" spans="1:41" ht="25.5" x14ac:dyDescent="0.2">
      <c r="A568" t="str">
        <f ca="1">ORÇAMENTO!C568</f>
        <v>S</v>
      </c>
      <c r="B568">
        <f ca="1">ORÇAMENTO!D568</f>
        <v>0</v>
      </c>
      <c r="C568" s="116" t="str">
        <f t="shared" ca="1" si="56"/>
        <v/>
      </c>
      <c r="D568" s="119" t="str">
        <f ca="1">ORÇAMENTO!O568</f>
        <v>-</v>
      </c>
      <c r="E568" s="172" t="str">
        <f t="shared" ca="1" si="57"/>
        <v>(abra o arquivo 'Referência 02-2025.xlsm)</v>
      </c>
      <c r="F568" s="173" t="str">
        <f ca="1">IF(RegimeExecucao="Global","",ORÇAMENTO.Unidade)</f>
        <v>-</v>
      </c>
      <c r="G568" s="124">
        <f ca="1">IF(RegimeExecucao="Global","",ORÇAMENTO!T568)</f>
        <v>2</v>
      </c>
      <c r="H568" s="124">
        <f ca="1">IF(RegimeExecucao="Global","",ORÇAMENTO!W568)</f>
        <v>0</v>
      </c>
      <c r="I568" s="127">
        <f ca="1">ORÇAMENTO!X568</f>
        <v>0</v>
      </c>
      <c r="J568" s="378">
        <f ca="1">IF($A568="S",IF(CAIXA.Modo,BM.AFAnterior,BM.MEDAnterior),IF(AND(RegimeExecucao="Global",$I568&gt;0,COUNTIF($AB$13:$AM$13,BM.medicao-1)&gt;0),M568/$I568*100,0))</f>
        <v>0</v>
      </c>
      <c r="K568" s="124">
        <f t="shared" ca="1" si="58"/>
        <v>0</v>
      </c>
      <c r="L568" s="379">
        <f ca="1">IF($A568="S",IF(CAIXA.Modo,BM.AFAcumulado,BM.MEDAcumulado),IF(AND(RegimeExecucao="Global",$I568&gt;0,COUNTIF($AB$13:$AM$13,BM.medicao)&gt;0),O568/$I568*100,0))</f>
        <v>0</v>
      </c>
      <c r="M568" s="380">
        <f ca="1">IF($A568="S",VTOTALBM,IF($A568=0,0,ROUND(SomaAgrupBM,15-13*ORÇAMENTO!$AF$11)))</f>
        <v>0</v>
      </c>
      <c r="N568" s="381">
        <f t="shared" ca="1" si="59"/>
        <v>0</v>
      </c>
      <c r="O568" s="127">
        <f ca="1">IF($A568="S",VTOTALBM,IF($A568=0,0,ROUND(SomaAgrupBM,15-13*ORÇAMENTO!$AF$11)))</f>
        <v>0</v>
      </c>
      <c r="Q568" s="382"/>
      <c r="R568" s="383"/>
      <c r="T568" s="119" t="str">
        <f t="shared" ca="1" si="60"/>
        <v/>
      </c>
      <c r="U568" s="172" t="str">
        <f t="shared" ca="1" si="61"/>
        <v/>
      </c>
      <c r="V568" s="173" t="str">
        <f ca="1">IF(AND($W568&gt;0,RegimeExecucao="Unitário"),$F568,"")</f>
        <v/>
      </c>
      <c r="W568" s="547">
        <f ca="1">IF($Y568&gt;0,CHOOSE(MATCH(RegimeExecucao,{"Unitário","Global"},0),IF($A568="S",$Y568/$X568,""),($Y568/$X568)*100),0)</f>
        <v>0</v>
      </c>
      <c r="X568" s="384" t="str">
        <f ca="1">IF($Y568&gt;0,CHOOSE(MATCH(RegimeExecucao,{"Unitário","Global"},0),IF($A568="S",ROUND($H568,ORÇAMENTO!$AF$10),""),ROUND($I568,ORÇAMENTO!$AF$11)),"")</f>
        <v/>
      </c>
      <c r="Y568" s="384">
        <f t="shared" ca="1" si="62"/>
        <v>0</v>
      </c>
      <c r="Z568" s="572"/>
      <c r="AB568" s="382"/>
      <c r="AC568" s="516"/>
      <c r="AD568" s="516"/>
      <c r="AE568" s="516"/>
      <c r="AF568" s="516"/>
      <c r="AG568" s="516"/>
      <c r="AH568" s="516"/>
      <c r="AI568" s="516"/>
      <c r="AJ568" s="516"/>
      <c r="AK568" s="516"/>
      <c r="AL568" s="516"/>
      <c r="AM568" s="383"/>
      <c r="AO568">
        <f ca="1">IF($A568="S",IF(BM!$I568=0,0,CHOOSE(MATCH(RegimeExecucao,{"Global","Unitário"},0),ROUND(ROUND(BM.MEDAcumulado,15-13*BM!$A$9)/100*BM!$I568,15-13*ORÇAMENTO!$AF$11),ROUND(ROUND(BM.MEDAcumulado,15-13*BM!$A$9)*ROUND(BM!$H568,15-13*ORÇAMENTO!$AF$10),15-13*ORÇAMENTO!$AF$11))),IF($A568=0,0,ROUND(SomaAgrupBM,15-13*ORÇAMENTO!$AF$11)))</f>
        <v>0</v>
      </c>
    </row>
    <row r="569" spans="1:41" ht="25.5" x14ac:dyDescent="0.2">
      <c r="A569" t="str">
        <f ca="1">ORÇAMENTO!C569</f>
        <v>S</v>
      </c>
      <c r="B569">
        <f ca="1">ORÇAMENTO!D569</f>
        <v>0</v>
      </c>
      <c r="C569" s="116" t="str">
        <f t="shared" ca="1" si="56"/>
        <v/>
      </c>
      <c r="D569" s="119" t="str">
        <f ca="1">ORÇAMENTO!O569</f>
        <v>-</v>
      </c>
      <c r="E569" s="172" t="str">
        <f t="shared" ca="1" si="57"/>
        <v>(abra o arquivo 'Referência 02-2025.xlsm)</v>
      </c>
      <c r="F569" s="173" t="str">
        <f ca="1">IF(RegimeExecucao="Global","",ORÇAMENTO.Unidade)</f>
        <v>-</v>
      </c>
      <c r="G569" s="124">
        <f ca="1">IF(RegimeExecucao="Global","",ORÇAMENTO!T569)</f>
        <v>2</v>
      </c>
      <c r="H569" s="124">
        <f ca="1">IF(RegimeExecucao="Global","",ORÇAMENTO!W569)</f>
        <v>0</v>
      </c>
      <c r="I569" s="127">
        <f ca="1">ORÇAMENTO!X569</f>
        <v>0</v>
      </c>
      <c r="J569" s="378">
        <f ca="1">IF($A569="S",IF(CAIXA.Modo,BM.AFAnterior,BM.MEDAnterior),IF(AND(RegimeExecucao="Global",$I569&gt;0,COUNTIF($AB$13:$AM$13,BM.medicao-1)&gt;0),M569/$I569*100,0))</f>
        <v>0</v>
      </c>
      <c r="K569" s="124">
        <f t="shared" ca="1" si="58"/>
        <v>0</v>
      </c>
      <c r="L569" s="379">
        <f ca="1">IF($A569="S",IF(CAIXA.Modo,BM.AFAcumulado,BM.MEDAcumulado),IF(AND(RegimeExecucao="Global",$I569&gt;0,COUNTIF($AB$13:$AM$13,BM.medicao)&gt;0),O569/$I569*100,0))</f>
        <v>0</v>
      </c>
      <c r="M569" s="380">
        <f ca="1">IF($A569="S",VTOTALBM,IF($A569=0,0,ROUND(SomaAgrupBM,15-13*ORÇAMENTO!$AF$11)))</f>
        <v>0</v>
      </c>
      <c r="N569" s="381">
        <f t="shared" ca="1" si="59"/>
        <v>0</v>
      </c>
      <c r="O569" s="127">
        <f ca="1">IF($A569="S",VTOTALBM,IF($A569=0,0,ROUND(SomaAgrupBM,15-13*ORÇAMENTO!$AF$11)))</f>
        <v>0</v>
      </c>
      <c r="Q569" s="382"/>
      <c r="R569" s="383"/>
      <c r="T569" s="119" t="str">
        <f t="shared" ca="1" si="60"/>
        <v/>
      </c>
      <c r="U569" s="172" t="str">
        <f t="shared" ca="1" si="61"/>
        <v/>
      </c>
      <c r="V569" s="173" t="str">
        <f ca="1">IF(AND($W569&gt;0,RegimeExecucao="Unitário"),$F569,"")</f>
        <v/>
      </c>
      <c r="W569" s="547">
        <f ca="1">IF($Y569&gt;0,CHOOSE(MATCH(RegimeExecucao,{"Unitário","Global"},0),IF($A569="S",$Y569/$X569,""),($Y569/$X569)*100),0)</f>
        <v>0</v>
      </c>
      <c r="X569" s="384" t="str">
        <f ca="1">IF($Y569&gt;0,CHOOSE(MATCH(RegimeExecucao,{"Unitário","Global"},0),IF($A569="S",ROUND($H569,ORÇAMENTO!$AF$10),""),ROUND($I569,ORÇAMENTO!$AF$11)),"")</f>
        <v/>
      </c>
      <c r="Y569" s="384">
        <f t="shared" ca="1" si="62"/>
        <v>0</v>
      </c>
      <c r="Z569" s="572"/>
      <c r="AB569" s="382"/>
      <c r="AC569" s="516"/>
      <c r="AD569" s="516"/>
      <c r="AE569" s="516"/>
      <c r="AF569" s="516"/>
      <c r="AG569" s="516"/>
      <c r="AH569" s="516"/>
      <c r="AI569" s="516"/>
      <c r="AJ569" s="516"/>
      <c r="AK569" s="516"/>
      <c r="AL569" s="516"/>
      <c r="AM569" s="383"/>
      <c r="AO569">
        <f ca="1">IF($A569="S",IF(BM!$I569=0,0,CHOOSE(MATCH(RegimeExecucao,{"Global","Unitário"},0),ROUND(ROUND(BM.MEDAcumulado,15-13*BM!$A$9)/100*BM!$I569,15-13*ORÇAMENTO!$AF$11),ROUND(ROUND(BM.MEDAcumulado,15-13*BM!$A$9)*ROUND(BM!$H569,15-13*ORÇAMENTO!$AF$10),15-13*ORÇAMENTO!$AF$11))),IF($A569=0,0,ROUND(SomaAgrupBM,15-13*ORÇAMENTO!$AF$11)))</f>
        <v>0</v>
      </c>
    </row>
    <row r="570" spans="1:41" ht="25.5" x14ac:dyDescent="0.2">
      <c r="A570" t="str">
        <f ca="1">ORÇAMENTO!C570</f>
        <v>S</v>
      </c>
      <c r="B570">
        <f ca="1">ORÇAMENTO!D570</f>
        <v>0</v>
      </c>
      <c r="C570" s="116" t="str">
        <f t="shared" ca="1" si="56"/>
        <v/>
      </c>
      <c r="D570" s="119" t="str">
        <f ca="1">ORÇAMENTO!O570</f>
        <v>-</v>
      </c>
      <c r="E570" s="172" t="str">
        <f t="shared" ca="1" si="57"/>
        <v>(abra o arquivo 'Referência 02-2025.xlsm)</v>
      </c>
      <c r="F570" s="173" t="str">
        <f ca="1">IF(RegimeExecucao="Global","",ORÇAMENTO.Unidade)</f>
        <v>-</v>
      </c>
      <c r="G570" s="124">
        <f ca="1">IF(RegimeExecucao="Global","",ORÇAMENTO!T570)</f>
        <v>2</v>
      </c>
      <c r="H570" s="124">
        <f ca="1">IF(RegimeExecucao="Global","",ORÇAMENTO!W570)</f>
        <v>0</v>
      </c>
      <c r="I570" s="127">
        <f ca="1">ORÇAMENTO!X570</f>
        <v>0</v>
      </c>
      <c r="J570" s="378">
        <f ca="1">IF($A570="S",IF(CAIXA.Modo,BM.AFAnterior,BM.MEDAnterior),IF(AND(RegimeExecucao="Global",$I570&gt;0,COUNTIF($AB$13:$AM$13,BM.medicao-1)&gt;0),M570/$I570*100,0))</f>
        <v>0</v>
      </c>
      <c r="K570" s="124">
        <f t="shared" ca="1" si="58"/>
        <v>0</v>
      </c>
      <c r="L570" s="379">
        <f ca="1">IF($A570="S",IF(CAIXA.Modo,BM.AFAcumulado,BM.MEDAcumulado),IF(AND(RegimeExecucao="Global",$I570&gt;0,COUNTIF($AB$13:$AM$13,BM.medicao)&gt;0),O570/$I570*100,0))</f>
        <v>0</v>
      </c>
      <c r="M570" s="380">
        <f ca="1">IF($A570="S",VTOTALBM,IF($A570=0,0,ROUND(SomaAgrupBM,15-13*ORÇAMENTO!$AF$11)))</f>
        <v>0</v>
      </c>
      <c r="N570" s="381">
        <f t="shared" ca="1" si="59"/>
        <v>0</v>
      </c>
      <c r="O570" s="127">
        <f ca="1">IF($A570="S",VTOTALBM,IF($A570=0,0,ROUND(SomaAgrupBM,15-13*ORÇAMENTO!$AF$11)))</f>
        <v>0</v>
      </c>
      <c r="Q570" s="382"/>
      <c r="R570" s="383"/>
      <c r="T570" s="119" t="str">
        <f t="shared" ca="1" si="60"/>
        <v/>
      </c>
      <c r="U570" s="172" t="str">
        <f t="shared" ca="1" si="61"/>
        <v/>
      </c>
      <c r="V570" s="173" t="str">
        <f ca="1">IF(AND($W570&gt;0,RegimeExecucao="Unitário"),$F570,"")</f>
        <v/>
      </c>
      <c r="W570" s="547">
        <f ca="1">IF($Y570&gt;0,CHOOSE(MATCH(RegimeExecucao,{"Unitário","Global"},0),IF($A570="S",$Y570/$X570,""),($Y570/$X570)*100),0)</f>
        <v>0</v>
      </c>
      <c r="X570" s="384" t="str">
        <f ca="1">IF($Y570&gt;0,CHOOSE(MATCH(RegimeExecucao,{"Unitário","Global"},0),IF($A570="S",ROUND($H570,ORÇAMENTO!$AF$10),""),ROUND($I570,ORÇAMENTO!$AF$11)),"")</f>
        <v/>
      </c>
      <c r="Y570" s="384">
        <f t="shared" ca="1" si="62"/>
        <v>0</v>
      </c>
      <c r="Z570" s="572"/>
      <c r="AB570" s="382"/>
      <c r="AC570" s="516"/>
      <c r="AD570" s="516"/>
      <c r="AE570" s="516"/>
      <c r="AF570" s="516"/>
      <c r="AG570" s="516"/>
      <c r="AH570" s="516"/>
      <c r="AI570" s="516"/>
      <c r="AJ570" s="516"/>
      <c r="AK570" s="516"/>
      <c r="AL570" s="516"/>
      <c r="AM570" s="383"/>
      <c r="AO570">
        <f ca="1">IF($A570="S",IF(BM!$I570=0,0,CHOOSE(MATCH(RegimeExecucao,{"Global","Unitário"},0),ROUND(ROUND(BM.MEDAcumulado,15-13*BM!$A$9)/100*BM!$I570,15-13*ORÇAMENTO!$AF$11),ROUND(ROUND(BM.MEDAcumulado,15-13*BM!$A$9)*ROUND(BM!$H570,15-13*ORÇAMENTO!$AF$10),15-13*ORÇAMENTO!$AF$11))),IF($A570=0,0,ROUND(SomaAgrupBM,15-13*ORÇAMENTO!$AF$11)))</f>
        <v>0</v>
      </c>
    </row>
    <row r="571" spans="1:41" ht="25.5" x14ac:dyDescent="0.2">
      <c r="A571" t="str">
        <f ca="1">ORÇAMENTO!C571</f>
        <v>S</v>
      </c>
      <c r="B571">
        <f ca="1">ORÇAMENTO!D571</f>
        <v>0</v>
      </c>
      <c r="C571" s="116" t="str">
        <f t="shared" ca="1" si="56"/>
        <v/>
      </c>
      <c r="D571" s="119" t="str">
        <f ca="1">ORÇAMENTO!O571</f>
        <v>-</v>
      </c>
      <c r="E571" s="172" t="str">
        <f t="shared" ca="1" si="57"/>
        <v>(abra o arquivo 'Referência 02-2025.xlsm)</v>
      </c>
      <c r="F571" s="173" t="str">
        <f ca="1">IF(RegimeExecucao="Global","",ORÇAMENTO.Unidade)</f>
        <v>-</v>
      </c>
      <c r="G571" s="124">
        <f ca="1">IF(RegimeExecucao="Global","",ORÇAMENTO!T571)</f>
        <v>2</v>
      </c>
      <c r="H571" s="124">
        <f ca="1">IF(RegimeExecucao="Global","",ORÇAMENTO!W571)</f>
        <v>0</v>
      </c>
      <c r="I571" s="127">
        <f ca="1">ORÇAMENTO!X571</f>
        <v>0</v>
      </c>
      <c r="J571" s="378">
        <f ca="1">IF($A571="S",IF(CAIXA.Modo,BM.AFAnterior,BM.MEDAnterior),IF(AND(RegimeExecucao="Global",$I571&gt;0,COUNTIF($AB$13:$AM$13,BM.medicao-1)&gt;0),M571/$I571*100,0))</f>
        <v>0</v>
      </c>
      <c r="K571" s="124">
        <f t="shared" ca="1" si="58"/>
        <v>0</v>
      </c>
      <c r="L571" s="379">
        <f ca="1">IF($A571="S",IF(CAIXA.Modo,BM.AFAcumulado,BM.MEDAcumulado),IF(AND(RegimeExecucao="Global",$I571&gt;0,COUNTIF($AB$13:$AM$13,BM.medicao)&gt;0),O571/$I571*100,0))</f>
        <v>0</v>
      </c>
      <c r="M571" s="380">
        <f ca="1">IF($A571="S",VTOTALBM,IF($A571=0,0,ROUND(SomaAgrupBM,15-13*ORÇAMENTO!$AF$11)))</f>
        <v>0</v>
      </c>
      <c r="N571" s="381">
        <f t="shared" ca="1" si="59"/>
        <v>0</v>
      </c>
      <c r="O571" s="127">
        <f ca="1">IF($A571="S",VTOTALBM,IF($A571=0,0,ROUND(SomaAgrupBM,15-13*ORÇAMENTO!$AF$11)))</f>
        <v>0</v>
      </c>
      <c r="Q571" s="382"/>
      <c r="R571" s="383"/>
      <c r="T571" s="119" t="str">
        <f t="shared" ca="1" si="60"/>
        <v/>
      </c>
      <c r="U571" s="172" t="str">
        <f t="shared" ca="1" si="61"/>
        <v/>
      </c>
      <c r="V571" s="173" t="str">
        <f ca="1">IF(AND($W571&gt;0,RegimeExecucao="Unitário"),$F571,"")</f>
        <v/>
      </c>
      <c r="W571" s="547">
        <f ca="1">IF($Y571&gt;0,CHOOSE(MATCH(RegimeExecucao,{"Unitário","Global"},0),IF($A571="S",$Y571/$X571,""),($Y571/$X571)*100),0)</f>
        <v>0</v>
      </c>
      <c r="X571" s="384" t="str">
        <f ca="1">IF($Y571&gt;0,CHOOSE(MATCH(RegimeExecucao,{"Unitário","Global"},0),IF($A571="S",ROUND($H571,ORÇAMENTO!$AF$10),""),ROUND($I571,ORÇAMENTO!$AF$11)),"")</f>
        <v/>
      </c>
      <c r="Y571" s="384">
        <f t="shared" ca="1" si="62"/>
        <v>0</v>
      </c>
      <c r="Z571" s="572"/>
      <c r="AB571" s="382"/>
      <c r="AC571" s="516"/>
      <c r="AD571" s="516"/>
      <c r="AE571" s="516"/>
      <c r="AF571" s="516"/>
      <c r="AG571" s="516"/>
      <c r="AH571" s="516"/>
      <c r="AI571" s="516"/>
      <c r="AJ571" s="516"/>
      <c r="AK571" s="516"/>
      <c r="AL571" s="516"/>
      <c r="AM571" s="383"/>
      <c r="AO571">
        <f ca="1">IF($A571="S",IF(BM!$I571=0,0,CHOOSE(MATCH(RegimeExecucao,{"Global","Unitário"},0),ROUND(ROUND(BM.MEDAcumulado,15-13*BM!$A$9)/100*BM!$I571,15-13*ORÇAMENTO!$AF$11),ROUND(ROUND(BM.MEDAcumulado,15-13*BM!$A$9)*ROUND(BM!$H571,15-13*ORÇAMENTO!$AF$10),15-13*ORÇAMENTO!$AF$11))),IF($A571=0,0,ROUND(SomaAgrupBM,15-13*ORÇAMENTO!$AF$11)))</f>
        <v>0</v>
      </c>
    </row>
    <row r="572" spans="1:41" ht="25.5" x14ac:dyDescent="0.2">
      <c r="A572" t="str">
        <f ca="1">ORÇAMENTO!C572</f>
        <v>S</v>
      </c>
      <c r="B572">
        <f ca="1">ORÇAMENTO!D572</f>
        <v>0</v>
      </c>
      <c r="C572" s="116" t="str">
        <f t="shared" ca="1" si="56"/>
        <v/>
      </c>
      <c r="D572" s="119" t="str">
        <f ca="1">ORÇAMENTO!O572</f>
        <v>-</v>
      </c>
      <c r="E572" s="172" t="str">
        <f t="shared" ca="1" si="57"/>
        <v>(abra o arquivo 'Referência 02-2025.xlsm)</v>
      </c>
      <c r="F572" s="173" t="str">
        <f ca="1">IF(RegimeExecucao="Global","",ORÇAMENTO.Unidade)</f>
        <v>-</v>
      </c>
      <c r="G572" s="124">
        <f ca="1">IF(RegimeExecucao="Global","",ORÇAMENTO!T572)</f>
        <v>1</v>
      </c>
      <c r="H572" s="124">
        <f ca="1">IF(RegimeExecucao="Global","",ORÇAMENTO!W572)</f>
        <v>0</v>
      </c>
      <c r="I572" s="127">
        <f ca="1">ORÇAMENTO!X572</f>
        <v>0</v>
      </c>
      <c r="J572" s="378">
        <f ca="1">IF($A572="S",IF(CAIXA.Modo,BM.AFAnterior,BM.MEDAnterior),IF(AND(RegimeExecucao="Global",$I572&gt;0,COUNTIF($AB$13:$AM$13,BM.medicao-1)&gt;0),M572/$I572*100,0))</f>
        <v>0</v>
      </c>
      <c r="K572" s="124">
        <f t="shared" ca="1" si="58"/>
        <v>0</v>
      </c>
      <c r="L572" s="379">
        <f ca="1">IF($A572="S",IF(CAIXA.Modo,BM.AFAcumulado,BM.MEDAcumulado),IF(AND(RegimeExecucao="Global",$I572&gt;0,COUNTIF($AB$13:$AM$13,BM.medicao)&gt;0),O572/$I572*100,0))</f>
        <v>0</v>
      </c>
      <c r="M572" s="380">
        <f ca="1">IF($A572="S",VTOTALBM,IF($A572=0,0,ROUND(SomaAgrupBM,15-13*ORÇAMENTO!$AF$11)))</f>
        <v>0</v>
      </c>
      <c r="N572" s="381">
        <f t="shared" ca="1" si="59"/>
        <v>0</v>
      </c>
      <c r="O572" s="127">
        <f ca="1">IF($A572="S",VTOTALBM,IF($A572=0,0,ROUND(SomaAgrupBM,15-13*ORÇAMENTO!$AF$11)))</f>
        <v>0</v>
      </c>
      <c r="Q572" s="382"/>
      <c r="R572" s="383"/>
      <c r="T572" s="119" t="str">
        <f t="shared" ca="1" si="60"/>
        <v/>
      </c>
      <c r="U572" s="172" t="str">
        <f t="shared" ca="1" si="61"/>
        <v/>
      </c>
      <c r="V572" s="173" t="str">
        <f ca="1">IF(AND($W572&gt;0,RegimeExecucao="Unitário"),$F572,"")</f>
        <v/>
      </c>
      <c r="W572" s="547">
        <f ca="1">IF($Y572&gt;0,CHOOSE(MATCH(RegimeExecucao,{"Unitário","Global"},0),IF($A572="S",$Y572/$X572,""),($Y572/$X572)*100),0)</f>
        <v>0</v>
      </c>
      <c r="X572" s="384" t="str">
        <f ca="1">IF($Y572&gt;0,CHOOSE(MATCH(RegimeExecucao,{"Unitário","Global"},0),IF($A572="S",ROUND($H572,ORÇAMENTO!$AF$10),""),ROUND($I572,ORÇAMENTO!$AF$11)),"")</f>
        <v/>
      </c>
      <c r="Y572" s="384">
        <f t="shared" ca="1" si="62"/>
        <v>0</v>
      </c>
      <c r="Z572" s="572"/>
      <c r="AB572" s="382"/>
      <c r="AC572" s="516"/>
      <c r="AD572" s="516"/>
      <c r="AE572" s="516"/>
      <c r="AF572" s="516"/>
      <c r="AG572" s="516"/>
      <c r="AH572" s="516"/>
      <c r="AI572" s="516"/>
      <c r="AJ572" s="516"/>
      <c r="AK572" s="516"/>
      <c r="AL572" s="516"/>
      <c r="AM572" s="383"/>
      <c r="AO572">
        <f ca="1">IF($A572="S",IF(BM!$I572=0,0,CHOOSE(MATCH(RegimeExecucao,{"Global","Unitário"},0),ROUND(ROUND(BM.MEDAcumulado,15-13*BM!$A$9)/100*BM!$I572,15-13*ORÇAMENTO!$AF$11),ROUND(ROUND(BM.MEDAcumulado,15-13*BM!$A$9)*ROUND(BM!$H572,15-13*ORÇAMENTO!$AF$10),15-13*ORÇAMENTO!$AF$11))),IF($A572=0,0,ROUND(SomaAgrupBM,15-13*ORÇAMENTO!$AF$11)))</f>
        <v>0</v>
      </c>
    </row>
    <row r="573" spans="1:41" ht="25.5" x14ac:dyDescent="0.2">
      <c r="A573" t="str">
        <f ca="1">ORÇAMENTO!C573</f>
        <v>S</v>
      </c>
      <c r="B573">
        <f ca="1">ORÇAMENTO!D573</f>
        <v>0</v>
      </c>
      <c r="C573" s="116" t="str">
        <f t="shared" ca="1" si="56"/>
        <v/>
      </c>
      <c r="D573" s="119" t="str">
        <f ca="1">ORÇAMENTO!O573</f>
        <v>-</v>
      </c>
      <c r="E573" s="172" t="str">
        <f t="shared" ca="1" si="57"/>
        <v>(abra o arquivo 'Referência 02-2025.xlsm)</v>
      </c>
      <c r="F573" s="173" t="str">
        <f ca="1">IF(RegimeExecucao="Global","",ORÇAMENTO.Unidade)</f>
        <v>-</v>
      </c>
      <c r="G573" s="124">
        <f ca="1">IF(RegimeExecucao="Global","",ORÇAMENTO!T573)</f>
        <v>2</v>
      </c>
      <c r="H573" s="124">
        <f ca="1">IF(RegimeExecucao="Global","",ORÇAMENTO!W573)</f>
        <v>0</v>
      </c>
      <c r="I573" s="127">
        <f ca="1">ORÇAMENTO!X573</f>
        <v>0</v>
      </c>
      <c r="J573" s="378">
        <f ca="1">IF($A573="S",IF(CAIXA.Modo,BM.AFAnterior,BM.MEDAnterior),IF(AND(RegimeExecucao="Global",$I573&gt;0,COUNTIF($AB$13:$AM$13,BM.medicao-1)&gt;0),M573/$I573*100,0))</f>
        <v>0</v>
      </c>
      <c r="K573" s="124">
        <f t="shared" ca="1" si="58"/>
        <v>0</v>
      </c>
      <c r="L573" s="379">
        <f ca="1">IF($A573="S",IF(CAIXA.Modo,BM.AFAcumulado,BM.MEDAcumulado),IF(AND(RegimeExecucao="Global",$I573&gt;0,COUNTIF($AB$13:$AM$13,BM.medicao)&gt;0),O573/$I573*100,0))</f>
        <v>0</v>
      </c>
      <c r="M573" s="380">
        <f ca="1">IF($A573="S",VTOTALBM,IF($A573=0,0,ROUND(SomaAgrupBM,15-13*ORÇAMENTO!$AF$11)))</f>
        <v>0</v>
      </c>
      <c r="N573" s="381">
        <f t="shared" ca="1" si="59"/>
        <v>0</v>
      </c>
      <c r="O573" s="127">
        <f ca="1">IF($A573="S",VTOTALBM,IF($A573=0,0,ROUND(SomaAgrupBM,15-13*ORÇAMENTO!$AF$11)))</f>
        <v>0</v>
      </c>
      <c r="Q573" s="382"/>
      <c r="R573" s="383"/>
      <c r="T573" s="119" t="str">
        <f t="shared" ca="1" si="60"/>
        <v/>
      </c>
      <c r="U573" s="172" t="str">
        <f t="shared" ca="1" si="61"/>
        <v/>
      </c>
      <c r="V573" s="173" t="str">
        <f ca="1">IF(AND($W573&gt;0,RegimeExecucao="Unitário"),$F573,"")</f>
        <v/>
      </c>
      <c r="W573" s="547">
        <f ca="1">IF($Y573&gt;0,CHOOSE(MATCH(RegimeExecucao,{"Unitário","Global"},0),IF($A573="S",$Y573/$X573,""),($Y573/$X573)*100),0)</f>
        <v>0</v>
      </c>
      <c r="X573" s="384" t="str">
        <f ca="1">IF($Y573&gt;0,CHOOSE(MATCH(RegimeExecucao,{"Unitário","Global"},0),IF($A573="S",ROUND($H573,ORÇAMENTO!$AF$10),""),ROUND($I573,ORÇAMENTO!$AF$11)),"")</f>
        <v/>
      </c>
      <c r="Y573" s="384">
        <f t="shared" ca="1" si="62"/>
        <v>0</v>
      </c>
      <c r="Z573" s="572"/>
      <c r="AB573" s="382"/>
      <c r="AC573" s="516"/>
      <c r="AD573" s="516"/>
      <c r="AE573" s="516"/>
      <c r="AF573" s="516"/>
      <c r="AG573" s="516"/>
      <c r="AH573" s="516"/>
      <c r="AI573" s="516"/>
      <c r="AJ573" s="516"/>
      <c r="AK573" s="516"/>
      <c r="AL573" s="516"/>
      <c r="AM573" s="383"/>
      <c r="AO573">
        <f ca="1">IF($A573="S",IF(BM!$I573=0,0,CHOOSE(MATCH(RegimeExecucao,{"Global","Unitário"},0),ROUND(ROUND(BM.MEDAcumulado,15-13*BM!$A$9)/100*BM!$I573,15-13*ORÇAMENTO!$AF$11),ROUND(ROUND(BM.MEDAcumulado,15-13*BM!$A$9)*ROUND(BM!$H573,15-13*ORÇAMENTO!$AF$10),15-13*ORÇAMENTO!$AF$11))),IF($A573=0,0,ROUND(SomaAgrupBM,15-13*ORÇAMENTO!$AF$11)))</f>
        <v>0</v>
      </c>
    </row>
    <row r="574" spans="1:41" x14ac:dyDescent="0.2">
      <c r="A574">
        <f ca="1">ORÇAMENTO!C574</f>
        <v>3</v>
      </c>
      <c r="B574">
        <f ca="1">ORÇAMENTO!D574</f>
        <v>10</v>
      </c>
      <c r="C574" s="116" t="str">
        <f t="shared" ca="1" si="56"/>
        <v>F</v>
      </c>
      <c r="D574" s="119" t="str">
        <f ca="1">ORÇAMENTO!O574</f>
        <v>1.17.8.</v>
      </c>
      <c r="E574" s="172" t="str">
        <f t="shared" ca="1" si="57"/>
        <v>ELETROCALHAS</v>
      </c>
      <c r="F574" s="173" t="str">
        <f ca="1">IF(RegimeExecucao="Global","",ORÇAMENTO.Unidade)</f>
        <v>-</v>
      </c>
      <c r="G574" s="124">
        <f ca="1">IF(RegimeExecucao="Global","",ORÇAMENTO!T574)</f>
        <v>0</v>
      </c>
      <c r="H574" s="124">
        <f ca="1">IF(RegimeExecucao="Global","",ORÇAMENTO!W574)</f>
        <v>0</v>
      </c>
      <c r="I574" s="127">
        <f ca="1">ORÇAMENTO!X574</f>
        <v>0</v>
      </c>
      <c r="J574" s="378">
        <f ca="1">IF($A574="S",IF(CAIXA.Modo,BM.AFAnterior,BM.MEDAnterior),IF(AND(RegimeExecucao="Global",$I574&gt;0,COUNTIF($AB$13:$AM$13,BM.medicao-1)&gt;0),M574/$I574*100,0))</f>
        <v>0</v>
      </c>
      <c r="K574" s="124">
        <f t="shared" ca="1" si="58"/>
        <v>0</v>
      </c>
      <c r="L574" s="379">
        <f ca="1">IF($A574="S",IF(CAIXA.Modo,BM.AFAcumulado,BM.MEDAcumulado),IF(AND(RegimeExecucao="Global",$I574&gt;0,COUNTIF($AB$13:$AM$13,BM.medicao)&gt;0),O574/$I574*100,0))</f>
        <v>0</v>
      </c>
      <c r="M574" s="380">
        <f ca="1">IF($A574="S",VTOTALBM,IF($A574=0,0,ROUND(SomaAgrupBM,15-13*ORÇAMENTO!$AF$11)))</f>
        <v>0</v>
      </c>
      <c r="N574" s="381">
        <f t="shared" ca="1" si="59"/>
        <v>0</v>
      </c>
      <c r="O574" s="127">
        <f ca="1">IF($A574="S",VTOTALBM,IF($A574=0,0,ROUND(SomaAgrupBM,15-13*ORÇAMENTO!$AF$11)))</f>
        <v>0</v>
      </c>
      <c r="Q574" s="382"/>
      <c r="R574" s="383"/>
      <c r="T574" s="119" t="str">
        <f t="shared" ca="1" si="60"/>
        <v/>
      </c>
      <c r="U574" s="172" t="str">
        <f t="shared" ca="1" si="61"/>
        <v/>
      </c>
      <c r="V574" s="173" t="str">
        <f ca="1">IF(AND($W574&gt;0,RegimeExecucao="Unitário"),$F574,"")</f>
        <v/>
      </c>
      <c r="W574" s="547">
        <f ca="1">IF($Y574&gt;0,CHOOSE(MATCH(RegimeExecucao,{"Unitário","Global"},0),IF($A574="S",$Y574/$X574,""),($Y574/$X574)*100),0)</f>
        <v>0</v>
      </c>
      <c r="X574" s="384" t="str">
        <f ca="1">IF($Y574&gt;0,CHOOSE(MATCH(RegimeExecucao,{"Unitário","Global"},0),IF($A574="S",ROUND($H574,ORÇAMENTO!$AF$10),""),ROUND($I574,ORÇAMENTO!$AF$11)),"")</f>
        <v/>
      </c>
      <c r="Y574" s="384">
        <f t="shared" ca="1" si="62"/>
        <v>0</v>
      </c>
      <c r="Z574" s="572"/>
      <c r="AB574" s="382"/>
      <c r="AC574" s="516"/>
      <c r="AD574" s="516"/>
      <c r="AE574" s="516"/>
      <c r="AF574" s="516"/>
      <c r="AG574" s="516"/>
      <c r="AH574" s="516"/>
      <c r="AI574" s="516"/>
      <c r="AJ574" s="516"/>
      <c r="AK574" s="516"/>
      <c r="AL574" s="516"/>
      <c r="AM574" s="383"/>
      <c r="AO574">
        <f ca="1">IF($A574="S",IF(BM!$I574=0,0,CHOOSE(MATCH(RegimeExecucao,{"Global","Unitário"},0),ROUND(ROUND(BM.MEDAcumulado,15-13*BM!$A$9)/100*BM!$I574,15-13*ORÇAMENTO!$AF$11),ROUND(ROUND(BM.MEDAcumulado,15-13*BM!$A$9)*ROUND(BM!$H574,15-13*ORÇAMENTO!$AF$10),15-13*ORÇAMENTO!$AF$11))),IF($A574=0,0,ROUND(SomaAgrupBM,15-13*ORÇAMENTO!$AF$11)))</f>
        <v>0</v>
      </c>
    </row>
    <row r="575" spans="1:41" ht="38.25" x14ac:dyDescent="0.2">
      <c r="A575" t="str">
        <f ca="1">ORÇAMENTO!C575</f>
        <v>S</v>
      </c>
      <c r="B575">
        <f ca="1">ORÇAMENTO!D575</f>
        <v>0</v>
      </c>
      <c r="C575" s="116" t="str">
        <f t="shared" ca="1" si="56"/>
        <v/>
      </c>
      <c r="D575" s="119" t="str">
        <f ca="1">ORÇAMENTO!O575</f>
        <v>-</v>
      </c>
      <c r="E575" s="172" t="str">
        <f t="shared" ca="1" si="57"/>
        <v>(abra o arquivo 'Referência 02-2025.xlsm)</v>
      </c>
      <c r="F575" s="173" t="str">
        <f ca="1">IF(RegimeExecucao="Global","",ORÇAMENTO.Unidade)</f>
        <v>-</v>
      </c>
      <c r="G575" s="124">
        <f ca="1">IF(RegimeExecucao="Global","",ORÇAMENTO!T575)</f>
        <v>121</v>
      </c>
      <c r="H575" s="124">
        <f ca="1">IF(RegimeExecucao="Global","",ORÇAMENTO!W575)</f>
        <v>0</v>
      </c>
      <c r="I575" s="127">
        <f ca="1">ORÇAMENTO!X575</f>
        <v>0</v>
      </c>
      <c r="J575" s="378">
        <f ca="1">IF($A575="S",IF(CAIXA.Modo,BM.AFAnterior,BM.MEDAnterior),IF(AND(RegimeExecucao="Global",$I575&gt;0,COUNTIF($AB$13:$AM$13,BM.medicao-1)&gt;0),M575/$I575*100,0))</f>
        <v>0</v>
      </c>
      <c r="K575" s="124">
        <f t="shared" ca="1" si="58"/>
        <v>0</v>
      </c>
      <c r="L575" s="379">
        <f ca="1">IF($A575="S",IF(CAIXA.Modo,BM.AFAcumulado,BM.MEDAcumulado),IF(AND(RegimeExecucao="Global",$I575&gt;0,COUNTIF($AB$13:$AM$13,BM.medicao)&gt;0),O575/$I575*100,0))</f>
        <v>0</v>
      </c>
      <c r="M575" s="380">
        <f ca="1">IF($A575="S",VTOTALBM,IF($A575=0,0,ROUND(SomaAgrupBM,15-13*ORÇAMENTO!$AF$11)))</f>
        <v>0</v>
      </c>
      <c r="N575" s="381">
        <f t="shared" ca="1" si="59"/>
        <v>0</v>
      </c>
      <c r="O575" s="127">
        <f ca="1">IF($A575="S",VTOTALBM,IF($A575=0,0,ROUND(SomaAgrupBM,15-13*ORÇAMENTO!$AF$11)))</f>
        <v>0</v>
      </c>
      <c r="Q575" s="382"/>
      <c r="R575" s="383"/>
      <c r="T575" s="119" t="str">
        <f t="shared" ca="1" si="60"/>
        <v/>
      </c>
      <c r="U575" s="172" t="str">
        <f t="shared" ca="1" si="61"/>
        <v/>
      </c>
      <c r="V575" s="173" t="str">
        <f ca="1">IF(AND($W575&gt;0,RegimeExecucao="Unitário"),$F575,"")</f>
        <v/>
      </c>
      <c r="W575" s="547">
        <f ca="1">IF($Y575&gt;0,CHOOSE(MATCH(RegimeExecucao,{"Unitário","Global"},0),IF($A575="S",$Y575/$X575,""),($Y575/$X575)*100),0)</f>
        <v>0</v>
      </c>
      <c r="X575" s="384" t="str">
        <f ca="1">IF($Y575&gt;0,CHOOSE(MATCH(RegimeExecucao,{"Unitário","Global"},0),IF($A575="S",ROUND($H575,ORÇAMENTO!$AF$10),""),ROUND($I575,ORÇAMENTO!$AF$11)),"")</f>
        <v/>
      </c>
      <c r="Y575" s="384">
        <f t="shared" ca="1" si="62"/>
        <v>0</v>
      </c>
      <c r="Z575" s="572"/>
      <c r="AB575" s="382"/>
      <c r="AC575" s="516"/>
      <c r="AD575" s="516"/>
      <c r="AE575" s="516"/>
      <c r="AF575" s="516"/>
      <c r="AG575" s="516"/>
      <c r="AH575" s="516"/>
      <c r="AI575" s="516"/>
      <c r="AJ575" s="516"/>
      <c r="AK575" s="516"/>
      <c r="AL575" s="516"/>
      <c r="AM575" s="383"/>
      <c r="AO575">
        <f ca="1">IF($A575="S",IF(BM!$I575=0,0,CHOOSE(MATCH(RegimeExecucao,{"Global","Unitário"},0),ROUND(ROUND(BM.MEDAcumulado,15-13*BM!$A$9)/100*BM!$I575,15-13*ORÇAMENTO!$AF$11),ROUND(ROUND(BM.MEDAcumulado,15-13*BM!$A$9)*ROUND(BM!$H575,15-13*ORÇAMENTO!$AF$10),15-13*ORÇAMENTO!$AF$11))),IF($A575=0,0,ROUND(SomaAgrupBM,15-13*ORÇAMENTO!$AF$11)))</f>
        <v>0</v>
      </c>
    </row>
    <row r="576" spans="1:41" ht="38.25" x14ac:dyDescent="0.2">
      <c r="A576" t="str">
        <f ca="1">ORÇAMENTO!C576</f>
        <v>S</v>
      </c>
      <c r="B576">
        <f ca="1">ORÇAMENTO!D576</f>
        <v>0</v>
      </c>
      <c r="C576" s="116" t="str">
        <f t="shared" ca="1" si="56"/>
        <v/>
      </c>
      <c r="D576" s="119" t="str">
        <f ca="1">ORÇAMENTO!O576</f>
        <v>-</v>
      </c>
      <c r="E576" s="172" t="str">
        <f t="shared" ca="1" si="57"/>
        <v>(abra o arquivo 'Referência 02-2025.xlsm)</v>
      </c>
      <c r="F576" s="173" t="str">
        <f ca="1">IF(RegimeExecucao="Global","",ORÇAMENTO.Unidade)</f>
        <v>-</v>
      </c>
      <c r="G576" s="124">
        <f ca="1">IF(RegimeExecucao="Global","",ORÇAMENTO!T576)</f>
        <v>105.3</v>
      </c>
      <c r="H576" s="124">
        <f ca="1">IF(RegimeExecucao="Global","",ORÇAMENTO!W576)</f>
        <v>0</v>
      </c>
      <c r="I576" s="127">
        <f ca="1">ORÇAMENTO!X576</f>
        <v>0</v>
      </c>
      <c r="J576" s="378">
        <f ca="1">IF($A576="S",IF(CAIXA.Modo,BM.AFAnterior,BM.MEDAnterior),IF(AND(RegimeExecucao="Global",$I576&gt;0,COUNTIF($AB$13:$AM$13,BM.medicao-1)&gt;0),M576/$I576*100,0))</f>
        <v>0</v>
      </c>
      <c r="K576" s="124">
        <f t="shared" ca="1" si="58"/>
        <v>0</v>
      </c>
      <c r="L576" s="379">
        <f ca="1">IF($A576="S",IF(CAIXA.Modo,BM.AFAcumulado,BM.MEDAcumulado),IF(AND(RegimeExecucao="Global",$I576&gt;0,COUNTIF($AB$13:$AM$13,BM.medicao)&gt;0),O576/$I576*100,0))</f>
        <v>0</v>
      </c>
      <c r="M576" s="380">
        <f ca="1">IF($A576="S",VTOTALBM,IF($A576=0,0,ROUND(SomaAgrupBM,15-13*ORÇAMENTO!$AF$11)))</f>
        <v>0</v>
      </c>
      <c r="N576" s="381">
        <f t="shared" ca="1" si="59"/>
        <v>0</v>
      </c>
      <c r="O576" s="127">
        <f ca="1">IF($A576="S",VTOTALBM,IF($A576=0,0,ROUND(SomaAgrupBM,15-13*ORÇAMENTO!$AF$11)))</f>
        <v>0</v>
      </c>
      <c r="Q576" s="382"/>
      <c r="R576" s="383"/>
      <c r="T576" s="119" t="str">
        <f t="shared" ca="1" si="60"/>
        <v/>
      </c>
      <c r="U576" s="172" t="str">
        <f t="shared" ca="1" si="61"/>
        <v/>
      </c>
      <c r="V576" s="173" t="str">
        <f ca="1">IF(AND($W576&gt;0,RegimeExecucao="Unitário"),$F576,"")</f>
        <v/>
      </c>
      <c r="W576" s="547">
        <f ca="1">IF($Y576&gt;0,CHOOSE(MATCH(RegimeExecucao,{"Unitário","Global"},0),IF($A576="S",$Y576/$X576,""),($Y576/$X576)*100),0)</f>
        <v>0</v>
      </c>
      <c r="X576" s="384" t="str">
        <f ca="1">IF($Y576&gt;0,CHOOSE(MATCH(RegimeExecucao,{"Unitário","Global"},0),IF($A576="S",ROUND($H576,ORÇAMENTO!$AF$10),""),ROUND($I576,ORÇAMENTO!$AF$11)),"")</f>
        <v/>
      </c>
      <c r="Y576" s="384">
        <f t="shared" ca="1" si="62"/>
        <v>0</v>
      </c>
      <c r="Z576" s="572"/>
      <c r="AB576" s="382"/>
      <c r="AC576" s="516"/>
      <c r="AD576" s="516"/>
      <c r="AE576" s="516"/>
      <c r="AF576" s="516"/>
      <c r="AG576" s="516"/>
      <c r="AH576" s="516"/>
      <c r="AI576" s="516"/>
      <c r="AJ576" s="516"/>
      <c r="AK576" s="516"/>
      <c r="AL576" s="516"/>
      <c r="AM576" s="383"/>
      <c r="AO576">
        <f ca="1">IF($A576="S",IF(BM!$I576=0,0,CHOOSE(MATCH(RegimeExecucao,{"Global","Unitário"},0),ROUND(ROUND(BM.MEDAcumulado,15-13*BM!$A$9)/100*BM!$I576,15-13*ORÇAMENTO!$AF$11),ROUND(ROUND(BM.MEDAcumulado,15-13*BM!$A$9)*ROUND(BM!$H576,15-13*ORÇAMENTO!$AF$10),15-13*ORÇAMENTO!$AF$11))),IF($A576=0,0,ROUND(SomaAgrupBM,15-13*ORÇAMENTO!$AF$11)))</f>
        <v>0</v>
      </c>
    </row>
    <row r="577" spans="1:41" ht="25.5" x14ac:dyDescent="0.2">
      <c r="A577" t="str">
        <f ca="1">ORÇAMENTO!C577</f>
        <v>S</v>
      </c>
      <c r="B577">
        <f ca="1">ORÇAMENTO!D577</f>
        <v>0</v>
      </c>
      <c r="C577" s="116" t="str">
        <f t="shared" ca="1" si="56"/>
        <v/>
      </c>
      <c r="D577" s="119" t="str">
        <f ca="1">ORÇAMENTO!O577</f>
        <v>-</v>
      </c>
      <c r="E577" s="172" t="str">
        <f t="shared" ca="1" si="57"/>
        <v>(abra o arquivo 'Referência 02-2025.xlsm)</v>
      </c>
      <c r="F577" s="173" t="str">
        <f ca="1">IF(RegimeExecucao="Global","",ORÇAMENTO.Unidade)</f>
        <v>-</v>
      </c>
      <c r="G577" s="124">
        <f ca="1">IF(RegimeExecucao="Global","",ORÇAMENTO!T577)</f>
        <v>92</v>
      </c>
      <c r="H577" s="124">
        <f ca="1">IF(RegimeExecucao="Global","",ORÇAMENTO!W577)</f>
        <v>0</v>
      </c>
      <c r="I577" s="127">
        <f ca="1">ORÇAMENTO!X577</f>
        <v>0</v>
      </c>
      <c r="J577" s="378">
        <f ca="1">IF($A577="S",IF(CAIXA.Modo,BM.AFAnterior,BM.MEDAnterior),IF(AND(RegimeExecucao="Global",$I577&gt;0,COUNTIF($AB$13:$AM$13,BM.medicao-1)&gt;0),M577/$I577*100,0))</f>
        <v>0</v>
      </c>
      <c r="K577" s="124">
        <f t="shared" ca="1" si="58"/>
        <v>0</v>
      </c>
      <c r="L577" s="379">
        <f ca="1">IF($A577="S",IF(CAIXA.Modo,BM.AFAcumulado,BM.MEDAcumulado),IF(AND(RegimeExecucao="Global",$I577&gt;0,COUNTIF($AB$13:$AM$13,BM.medicao)&gt;0),O577/$I577*100,0))</f>
        <v>0</v>
      </c>
      <c r="M577" s="380">
        <f ca="1">IF($A577="S",VTOTALBM,IF($A577=0,0,ROUND(SomaAgrupBM,15-13*ORÇAMENTO!$AF$11)))</f>
        <v>0</v>
      </c>
      <c r="N577" s="381">
        <f t="shared" ca="1" si="59"/>
        <v>0</v>
      </c>
      <c r="O577" s="127">
        <f ca="1">IF($A577="S",VTOTALBM,IF($A577=0,0,ROUND(SomaAgrupBM,15-13*ORÇAMENTO!$AF$11)))</f>
        <v>0</v>
      </c>
      <c r="Q577" s="382"/>
      <c r="R577" s="383"/>
      <c r="T577" s="119" t="str">
        <f t="shared" ca="1" si="60"/>
        <v/>
      </c>
      <c r="U577" s="172" t="str">
        <f t="shared" ca="1" si="61"/>
        <v/>
      </c>
      <c r="V577" s="173" t="str">
        <f ca="1">IF(AND($W577&gt;0,RegimeExecucao="Unitário"),$F577,"")</f>
        <v/>
      </c>
      <c r="W577" s="547">
        <f ca="1">IF($Y577&gt;0,CHOOSE(MATCH(RegimeExecucao,{"Unitário","Global"},0),IF($A577="S",$Y577/$X577,""),($Y577/$X577)*100),0)</f>
        <v>0</v>
      </c>
      <c r="X577" s="384" t="str">
        <f ca="1">IF($Y577&gt;0,CHOOSE(MATCH(RegimeExecucao,{"Unitário","Global"},0),IF($A577="S",ROUND($H577,ORÇAMENTO!$AF$10),""),ROUND($I577,ORÇAMENTO!$AF$11)),"")</f>
        <v/>
      </c>
      <c r="Y577" s="384">
        <f t="shared" ca="1" si="62"/>
        <v>0</v>
      </c>
      <c r="Z577" s="572"/>
      <c r="AB577" s="382"/>
      <c r="AC577" s="516"/>
      <c r="AD577" s="516"/>
      <c r="AE577" s="516"/>
      <c r="AF577" s="516"/>
      <c r="AG577" s="516"/>
      <c r="AH577" s="516"/>
      <c r="AI577" s="516"/>
      <c r="AJ577" s="516"/>
      <c r="AK577" s="516"/>
      <c r="AL577" s="516"/>
      <c r="AM577" s="383"/>
      <c r="AO577">
        <f ca="1">IF($A577="S",IF(BM!$I577=0,0,CHOOSE(MATCH(RegimeExecucao,{"Global","Unitário"},0),ROUND(ROUND(BM.MEDAcumulado,15-13*BM!$A$9)/100*BM!$I577,15-13*ORÇAMENTO!$AF$11),ROUND(ROUND(BM.MEDAcumulado,15-13*BM!$A$9)*ROUND(BM!$H577,15-13*ORÇAMENTO!$AF$10),15-13*ORÇAMENTO!$AF$11))),IF($A577=0,0,ROUND(SomaAgrupBM,15-13*ORÇAMENTO!$AF$11)))</f>
        <v>0</v>
      </c>
    </row>
    <row r="578" spans="1:41" ht="38.25" x14ac:dyDescent="0.2">
      <c r="A578" t="str">
        <f ca="1">ORÇAMENTO!C578</f>
        <v>S</v>
      </c>
      <c r="B578">
        <f ca="1">ORÇAMENTO!D578</f>
        <v>0</v>
      </c>
      <c r="C578" s="116" t="str">
        <f t="shared" ca="1" si="56"/>
        <v/>
      </c>
      <c r="D578" s="119" t="str">
        <f ca="1">ORÇAMENTO!O578</f>
        <v>-</v>
      </c>
      <c r="E578" s="172" t="str">
        <f t="shared" ca="1" si="57"/>
        <v>(abra o arquivo 'Referência 02-2025.xlsm)</v>
      </c>
      <c r="F578" s="173" t="str">
        <f ca="1">IF(RegimeExecucao="Global","",ORÇAMENTO.Unidade)</f>
        <v>-</v>
      </c>
      <c r="G578" s="124">
        <f ca="1">IF(RegimeExecucao="Global","",ORÇAMENTO!T578)</f>
        <v>3</v>
      </c>
      <c r="H578" s="124">
        <f ca="1">IF(RegimeExecucao="Global","",ORÇAMENTO!W578)</f>
        <v>0</v>
      </c>
      <c r="I578" s="127">
        <f ca="1">ORÇAMENTO!X578</f>
        <v>0</v>
      </c>
      <c r="J578" s="378">
        <f ca="1">IF($A578="S",IF(CAIXA.Modo,BM.AFAnterior,BM.MEDAnterior),IF(AND(RegimeExecucao="Global",$I578&gt;0,COUNTIF($AB$13:$AM$13,BM.medicao-1)&gt;0),M578/$I578*100,0))</f>
        <v>0</v>
      </c>
      <c r="K578" s="124">
        <f t="shared" ca="1" si="58"/>
        <v>0</v>
      </c>
      <c r="L578" s="379">
        <f ca="1">IF($A578="S",IF(CAIXA.Modo,BM.AFAcumulado,BM.MEDAcumulado),IF(AND(RegimeExecucao="Global",$I578&gt;0,COUNTIF($AB$13:$AM$13,BM.medicao)&gt;0),O578/$I578*100,0))</f>
        <v>0</v>
      </c>
      <c r="M578" s="380">
        <f ca="1">IF($A578="S",VTOTALBM,IF($A578=0,0,ROUND(SomaAgrupBM,15-13*ORÇAMENTO!$AF$11)))</f>
        <v>0</v>
      </c>
      <c r="N578" s="381">
        <f t="shared" ca="1" si="59"/>
        <v>0</v>
      </c>
      <c r="O578" s="127">
        <f ca="1">IF($A578="S",VTOTALBM,IF($A578=0,0,ROUND(SomaAgrupBM,15-13*ORÇAMENTO!$AF$11)))</f>
        <v>0</v>
      </c>
      <c r="Q578" s="382"/>
      <c r="R578" s="383"/>
      <c r="T578" s="119" t="str">
        <f t="shared" ca="1" si="60"/>
        <v/>
      </c>
      <c r="U578" s="172" t="str">
        <f t="shared" ca="1" si="61"/>
        <v/>
      </c>
      <c r="V578" s="173" t="str">
        <f ca="1">IF(AND($W578&gt;0,RegimeExecucao="Unitário"),$F578,"")</f>
        <v/>
      </c>
      <c r="W578" s="547">
        <f ca="1">IF($Y578&gt;0,CHOOSE(MATCH(RegimeExecucao,{"Unitário","Global"},0),IF($A578="S",$Y578/$X578,""),($Y578/$X578)*100),0)</f>
        <v>0</v>
      </c>
      <c r="X578" s="384" t="str">
        <f ca="1">IF($Y578&gt;0,CHOOSE(MATCH(RegimeExecucao,{"Unitário","Global"},0),IF($A578="S",ROUND($H578,ORÇAMENTO!$AF$10),""),ROUND($I578,ORÇAMENTO!$AF$11)),"")</f>
        <v/>
      </c>
      <c r="Y578" s="384">
        <f t="shared" ca="1" si="62"/>
        <v>0</v>
      </c>
      <c r="Z578" s="572"/>
      <c r="AB578" s="382"/>
      <c r="AC578" s="516"/>
      <c r="AD578" s="516"/>
      <c r="AE578" s="516"/>
      <c r="AF578" s="516"/>
      <c r="AG578" s="516"/>
      <c r="AH578" s="516"/>
      <c r="AI578" s="516"/>
      <c r="AJ578" s="516"/>
      <c r="AK578" s="516"/>
      <c r="AL578" s="516"/>
      <c r="AM578" s="383"/>
      <c r="AO578">
        <f ca="1">IF($A578="S",IF(BM!$I578=0,0,CHOOSE(MATCH(RegimeExecucao,{"Global","Unitário"},0),ROUND(ROUND(BM.MEDAcumulado,15-13*BM!$A$9)/100*BM!$I578,15-13*ORÇAMENTO!$AF$11),ROUND(ROUND(BM.MEDAcumulado,15-13*BM!$A$9)*ROUND(BM!$H578,15-13*ORÇAMENTO!$AF$10),15-13*ORÇAMENTO!$AF$11))),IF($A578=0,0,ROUND(SomaAgrupBM,15-13*ORÇAMENTO!$AF$11)))</f>
        <v>0</v>
      </c>
    </row>
    <row r="579" spans="1:41" ht="38.25" x14ac:dyDescent="0.2">
      <c r="A579" t="str">
        <f ca="1">ORÇAMENTO!C579</f>
        <v>S</v>
      </c>
      <c r="B579">
        <f ca="1">ORÇAMENTO!D579</f>
        <v>0</v>
      </c>
      <c r="C579" s="116" t="str">
        <f t="shared" ca="1" si="56"/>
        <v/>
      </c>
      <c r="D579" s="119" t="str">
        <f ca="1">ORÇAMENTO!O579</f>
        <v>-</v>
      </c>
      <c r="E579" s="172" t="str">
        <f t="shared" ca="1" si="57"/>
        <v>(abra o arquivo 'Referência 02-2025.xlsm)</v>
      </c>
      <c r="F579" s="173" t="str">
        <f ca="1">IF(RegimeExecucao="Global","",ORÇAMENTO.Unidade)</f>
        <v>-</v>
      </c>
      <c r="G579" s="124">
        <f ca="1">IF(RegimeExecucao="Global","",ORÇAMENTO!T579)</f>
        <v>3</v>
      </c>
      <c r="H579" s="124">
        <f ca="1">IF(RegimeExecucao="Global","",ORÇAMENTO!W579)</f>
        <v>0</v>
      </c>
      <c r="I579" s="127">
        <f ca="1">ORÇAMENTO!X579</f>
        <v>0</v>
      </c>
      <c r="J579" s="378">
        <f ca="1">IF($A579="S",IF(CAIXA.Modo,BM.AFAnterior,BM.MEDAnterior),IF(AND(RegimeExecucao="Global",$I579&gt;0,COUNTIF($AB$13:$AM$13,BM.medicao-1)&gt;0),M579/$I579*100,0))</f>
        <v>0</v>
      </c>
      <c r="K579" s="124">
        <f t="shared" ca="1" si="58"/>
        <v>0</v>
      </c>
      <c r="L579" s="379">
        <f ca="1">IF($A579="S",IF(CAIXA.Modo,BM.AFAcumulado,BM.MEDAcumulado),IF(AND(RegimeExecucao="Global",$I579&gt;0,COUNTIF($AB$13:$AM$13,BM.medicao)&gt;0),O579/$I579*100,0))</f>
        <v>0</v>
      </c>
      <c r="M579" s="380">
        <f ca="1">IF($A579="S",VTOTALBM,IF($A579=0,0,ROUND(SomaAgrupBM,15-13*ORÇAMENTO!$AF$11)))</f>
        <v>0</v>
      </c>
      <c r="N579" s="381">
        <f t="shared" ca="1" si="59"/>
        <v>0</v>
      </c>
      <c r="O579" s="127">
        <f ca="1">IF($A579="S",VTOTALBM,IF($A579=0,0,ROUND(SomaAgrupBM,15-13*ORÇAMENTO!$AF$11)))</f>
        <v>0</v>
      </c>
      <c r="Q579" s="382"/>
      <c r="R579" s="383"/>
      <c r="T579" s="119" t="str">
        <f t="shared" ca="1" si="60"/>
        <v/>
      </c>
      <c r="U579" s="172" t="str">
        <f t="shared" ca="1" si="61"/>
        <v/>
      </c>
      <c r="V579" s="173" t="str">
        <f ca="1">IF(AND($W579&gt;0,RegimeExecucao="Unitário"),$F579,"")</f>
        <v/>
      </c>
      <c r="W579" s="547">
        <f ca="1">IF($Y579&gt;0,CHOOSE(MATCH(RegimeExecucao,{"Unitário","Global"},0),IF($A579="S",$Y579/$X579,""),($Y579/$X579)*100),0)</f>
        <v>0</v>
      </c>
      <c r="X579" s="384" t="str">
        <f ca="1">IF($Y579&gt;0,CHOOSE(MATCH(RegimeExecucao,{"Unitário","Global"},0),IF($A579="S",ROUND($H579,ORÇAMENTO!$AF$10),""),ROUND($I579,ORÇAMENTO!$AF$11)),"")</f>
        <v/>
      </c>
      <c r="Y579" s="384">
        <f t="shared" ca="1" si="62"/>
        <v>0</v>
      </c>
      <c r="Z579" s="572"/>
      <c r="AB579" s="382"/>
      <c r="AC579" s="516"/>
      <c r="AD579" s="516"/>
      <c r="AE579" s="516"/>
      <c r="AF579" s="516"/>
      <c r="AG579" s="516"/>
      <c r="AH579" s="516"/>
      <c r="AI579" s="516"/>
      <c r="AJ579" s="516"/>
      <c r="AK579" s="516"/>
      <c r="AL579" s="516"/>
      <c r="AM579" s="383"/>
      <c r="AO579">
        <f ca="1">IF($A579="S",IF(BM!$I579=0,0,CHOOSE(MATCH(RegimeExecucao,{"Global","Unitário"},0),ROUND(ROUND(BM.MEDAcumulado,15-13*BM!$A$9)/100*BM!$I579,15-13*ORÇAMENTO!$AF$11),ROUND(ROUND(BM.MEDAcumulado,15-13*BM!$A$9)*ROUND(BM!$H579,15-13*ORÇAMENTO!$AF$10),15-13*ORÇAMENTO!$AF$11))),IF($A579=0,0,ROUND(SomaAgrupBM,15-13*ORÇAMENTO!$AF$11)))</f>
        <v>0</v>
      </c>
    </row>
    <row r="580" spans="1:41" ht="38.25" x14ac:dyDescent="0.2">
      <c r="A580" t="str">
        <f ca="1">ORÇAMENTO!C580</f>
        <v>S</v>
      </c>
      <c r="B580">
        <f ca="1">ORÇAMENTO!D580</f>
        <v>0</v>
      </c>
      <c r="C580" s="116" t="str">
        <f t="shared" ca="1" si="56"/>
        <v/>
      </c>
      <c r="D580" s="119" t="str">
        <f ca="1">ORÇAMENTO!O580</f>
        <v>-</v>
      </c>
      <c r="E580" s="172" t="str">
        <f t="shared" ca="1" si="57"/>
        <v>(abra o arquivo 'Referência 02-2025.xlsm)</v>
      </c>
      <c r="F580" s="173" t="str">
        <f ca="1">IF(RegimeExecucao="Global","",ORÇAMENTO.Unidade)</f>
        <v>-</v>
      </c>
      <c r="G580" s="124">
        <f ca="1">IF(RegimeExecucao="Global","",ORÇAMENTO!T580)</f>
        <v>6</v>
      </c>
      <c r="H580" s="124">
        <f ca="1">IF(RegimeExecucao="Global","",ORÇAMENTO!W580)</f>
        <v>0</v>
      </c>
      <c r="I580" s="127">
        <f ca="1">ORÇAMENTO!X580</f>
        <v>0</v>
      </c>
      <c r="J580" s="378">
        <f ca="1">IF($A580="S",IF(CAIXA.Modo,BM.AFAnterior,BM.MEDAnterior),IF(AND(RegimeExecucao="Global",$I580&gt;0,COUNTIF($AB$13:$AM$13,BM.medicao-1)&gt;0),M580/$I580*100,0))</f>
        <v>0</v>
      </c>
      <c r="K580" s="124">
        <f t="shared" ca="1" si="58"/>
        <v>0</v>
      </c>
      <c r="L580" s="379">
        <f ca="1">IF($A580="S",IF(CAIXA.Modo,BM.AFAcumulado,BM.MEDAcumulado),IF(AND(RegimeExecucao="Global",$I580&gt;0,COUNTIF($AB$13:$AM$13,BM.medicao)&gt;0),O580/$I580*100,0))</f>
        <v>0</v>
      </c>
      <c r="M580" s="380">
        <f ca="1">IF($A580="S",VTOTALBM,IF($A580=0,0,ROUND(SomaAgrupBM,15-13*ORÇAMENTO!$AF$11)))</f>
        <v>0</v>
      </c>
      <c r="N580" s="381">
        <f t="shared" ca="1" si="59"/>
        <v>0</v>
      </c>
      <c r="O580" s="127">
        <f ca="1">IF($A580="S",VTOTALBM,IF($A580=0,0,ROUND(SomaAgrupBM,15-13*ORÇAMENTO!$AF$11)))</f>
        <v>0</v>
      </c>
      <c r="Q580" s="382"/>
      <c r="R580" s="383"/>
      <c r="T580" s="119" t="str">
        <f t="shared" ca="1" si="60"/>
        <v/>
      </c>
      <c r="U580" s="172" t="str">
        <f t="shared" ca="1" si="61"/>
        <v/>
      </c>
      <c r="V580" s="173" t="str">
        <f ca="1">IF(AND($W580&gt;0,RegimeExecucao="Unitário"),$F580,"")</f>
        <v/>
      </c>
      <c r="W580" s="547">
        <f ca="1">IF($Y580&gt;0,CHOOSE(MATCH(RegimeExecucao,{"Unitário","Global"},0),IF($A580="S",$Y580/$X580,""),($Y580/$X580)*100),0)</f>
        <v>0</v>
      </c>
      <c r="X580" s="384" t="str">
        <f ca="1">IF($Y580&gt;0,CHOOSE(MATCH(RegimeExecucao,{"Unitário","Global"},0),IF($A580="S",ROUND($H580,ORÇAMENTO!$AF$10),""),ROUND($I580,ORÇAMENTO!$AF$11)),"")</f>
        <v/>
      </c>
      <c r="Y580" s="384">
        <f t="shared" ca="1" si="62"/>
        <v>0</v>
      </c>
      <c r="Z580" s="572"/>
      <c r="AB580" s="382"/>
      <c r="AC580" s="516"/>
      <c r="AD580" s="516"/>
      <c r="AE580" s="516"/>
      <c r="AF580" s="516"/>
      <c r="AG580" s="516"/>
      <c r="AH580" s="516"/>
      <c r="AI580" s="516"/>
      <c r="AJ580" s="516"/>
      <c r="AK580" s="516"/>
      <c r="AL580" s="516"/>
      <c r="AM580" s="383"/>
      <c r="AO580">
        <f ca="1">IF($A580="S",IF(BM!$I580=0,0,CHOOSE(MATCH(RegimeExecucao,{"Global","Unitário"},0),ROUND(ROUND(BM.MEDAcumulado,15-13*BM!$A$9)/100*BM!$I580,15-13*ORÇAMENTO!$AF$11),ROUND(ROUND(BM.MEDAcumulado,15-13*BM!$A$9)*ROUND(BM!$H580,15-13*ORÇAMENTO!$AF$10),15-13*ORÇAMENTO!$AF$11))),IF($A580=0,0,ROUND(SomaAgrupBM,15-13*ORÇAMENTO!$AF$11)))</f>
        <v>0</v>
      </c>
    </row>
    <row r="581" spans="1:41" x14ac:dyDescent="0.2">
      <c r="A581" t="str">
        <f ca="1">ORÇAMENTO!C581</f>
        <v>S</v>
      </c>
      <c r="B581">
        <f ca="1">ORÇAMENTO!D581</f>
        <v>0</v>
      </c>
      <c r="C581" s="116" t="str">
        <f t="shared" ca="1" si="56"/>
        <v/>
      </c>
      <c r="D581" s="119" t="str">
        <f ca="1">ORÇAMENTO!O581</f>
        <v>-</v>
      </c>
      <c r="E581" s="172" t="str">
        <f t="shared" ca="1" si="57"/>
        <v>(abra o arquivo 'Referência 02-2025.xlsm)</v>
      </c>
      <c r="F581" s="173" t="str">
        <f ca="1">IF(RegimeExecucao="Global","",ORÇAMENTO.Unidade)</f>
        <v>-</v>
      </c>
      <c r="G581" s="124">
        <f ca="1">IF(RegimeExecucao="Global","",ORÇAMENTO!T581)</f>
        <v>1</v>
      </c>
      <c r="H581" s="124">
        <f ca="1">IF(RegimeExecucao="Global","",ORÇAMENTO!W581)</f>
        <v>0</v>
      </c>
      <c r="I581" s="127">
        <f ca="1">ORÇAMENTO!X581</f>
        <v>0</v>
      </c>
      <c r="J581" s="378">
        <f ca="1">IF($A581="S",IF(CAIXA.Modo,BM.AFAnterior,BM.MEDAnterior),IF(AND(RegimeExecucao="Global",$I581&gt;0,COUNTIF($AB$13:$AM$13,BM.medicao-1)&gt;0),M581/$I581*100,0))</f>
        <v>0</v>
      </c>
      <c r="K581" s="124">
        <f t="shared" ca="1" si="58"/>
        <v>0</v>
      </c>
      <c r="L581" s="379">
        <f ca="1">IF($A581="S",IF(CAIXA.Modo,BM.AFAcumulado,BM.MEDAcumulado),IF(AND(RegimeExecucao="Global",$I581&gt;0,COUNTIF($AB$13:$AM$13,BM.medicao)&gt;0),O581/$I581*100,0))</f>
        <v>0</v>
      </c>
      <c r="M581" s="380">
        <f ca="1">IF($A581="S",VTOTALBM,IF($A581=0,0,ROUND(SomaAgrupBM,15-13*ORÇAMENTO!$AF$11)))</f>
        <v>0</v>
      </c>
      <c r="N581" s="381">
        <f t="shared" ca="1" si="59"/>
        <v>0</v>
      </c>
      <c r="O581" s="127">
        <f ca="1">IF($A581="S",VTOTALBM,IF($A581=0,0,ROUND(SomaAgrupBM,15-13*ORÇAMENTO!$AF$11)))</f>
        <v>0</v>
      </c>
      <c r="Q581" s="382"/>
      <c r="R581" s="383"/>
      <c r="T581" s="119" t="str">
        <f t="shared" ca="1" si="60"/>
        <v/>
      </c>
      <c r="U581" s="172" t="str">
        <f t="shared" ca="1" si="61"/>
        <v/>
      </c>
      <c r="V581" s="173" t="str">
        <f ca="1">IF(AND($W581&gt;0,RegimeExecucao="Unitário"),$F581,"")</f>
        <v/>
      </c>
      <c r="W581" s="547">
        <f ca="1">IF($Y581&gt;0,CHOOSE(MATCH(RegimeExecucao,{"Unitário","Global"},0),IF($A581="S",$Y581/$X581,""),($Y581/$X581)*100),0)</f>
        <v>0</v>
      </c>
      <c r="X581" s="384" t="str">
        <f ca="1">IF($Y581&gt;0,CHOOSE(MATCH(RegimeExecucao,{"Unitário","Global"},0),IF($A581="S",ROUND($H581,ORÇAMENTO!$AF$10),""),ROUND($I581,ORÇAMENTO!$AF$11)),"")</f>
        <v/>
      </c>
      <c r="Y581" s="384">
        <f t="shared" ca="1" si="62"/>
        <v>0</v>
      </c>
      <c r="Z581" s="572"/>
      <c r="AB581" s="382"/>
      <c r="AC581" s="516"/>
      <c r="AD581" s="516"/>
      <c r="AE581" s="516"/>
      <c r="AF581" s="516"/>
      <c r="AG581" s="516"/>
      <c r="AH581" s="516"/>
      <c r="AI581" s="516"/>
      <c r="AJ581" s="516"/>
      <c r="AK581" s="516"/>
      <c r="AL581" s="516"/>
      <c r="AM581" s="383"/>
      <c r="AO581">
        <f ca="1">IF($A581="S",IF(BM!$I581=0,0,CHOOSE(MATCH(RegimeExecucao,{"Global","Unitário"},0),ROUND(ROUND(BM.MEDAcumulado,15-13*BM!$A$9)/100*BM!$I581,15-13*ORÇAMENTO!$AF$11),ROUND(ROUND(BM.MEDAcumulado,15-13*BM!$A$9)*ROUND(BM!$H581,15-13*ORÇAMENTO!$AF$10),15-13*ORÇAMENTO!$AF$11))),IF($A581=0,0,ROUND(SomaAgrupBM,15-13*ORÇAMENTO!$AF$11)))</f>
        <v>0</v>
      </c>
    </row>
    <row r="582" spans="1:41" ht="25.5" x14ac:dyDescent="0.2">
      <c r="A582" t="str">
        <f ca="1">ORÇAMENTO!C582</f>
        <v>S</v>
      </c>
      <c r="B582">
        <f ca="1">ORÇAMENTO!D582</f>
        <v>0</v>
      </c>
      <c r="C582" s="116" t="str">
        <f t="shared" ca="1" si="56"/>
        <v/>
      </c>
      <c r="D582" s="119" t="str">
        <f ca="1">ORÇAMENTO!O582</f>
        <v>-</v>
      </c>
      <c r="E582" s="172" t="str">
        <f t="shared" ca="1" si="57"/>
        <v>(abra o arquivo 'Referência 02-2025.xlsm)</v>
      </c>
      <c r="F582" s="173" t="str">
        <f ca="1">IF(RegimeExecucao="Global","",ORÇAMENTO.Unidade)</f>
        <v>-</v>
      </c>
      <c r="G582" s="124">
        <f ca="1">IF(RegimeExecucao="Global","",ORÇAMENTO!T582)</f>
        <v>4</v>
      </c>
      <c r="H582" s="124">
        <f ca="1">IF(RegimeExecucao="Global","",ORÇAMENTO!W582)</f>
        <v>0</v>
      </c>
      <c r="I582" s="127">
        <f ca="1">ORÇAMENTO!X582</f>
        <v>0</v>
      </c>
      <c r="J582" s="378">
        <f ca="1">IF($A582="S",IF(CAIXA.Modo,BM.AFAnterior,BM.MEDAnterior),IF(AND(RegimeExecucao="Global",$I582&gt;0,COUNTIF($AB$13:$AM$13,BM.medicao-1)&gt;0),M582/$I582*100,0))</f>
        <v>0</v>
      </c>
      <c r="K582" s="124">
        <f t="shared" ca="1" si="58"/>
        <v>0</v>
      </c>
      <c r="L582" s="379">
        <f ca="1">IF($A582="S",IF(CAIXA.Modo,BM.AFAcumulado,BM.MEDAcumulado),IF(AND(RegimeExecucao="Global",$I582&gt;0,COUNTIF($AB$13:$AM$13,BM.medicao)&gt;0),O582/$I582*100,0))</f>
        <v>0</v>
      </c>
      <c r="M582" s="380">
        <f ca="1">IF($A582="S",VTOTALBM,IF($A582=0,0,ROUND(SomaAgrupBM,15-13*ORÇAMENTO!$AF$11)))</f>
        <v>0</v>
      </c>
      <c r="N582" s="381">
        <f t="shared" ca="1" si="59"/>
        <v>0</v>
      </c>
      <c r="O582" s="127">
        <f ca="1">IF($A582="S",VTOTALBM,IF($A582=0,0,ROUND(SomaAgrupBM,15-13*ORÇAMENTO!$AF$11)))</f>
        <v>0</v>
      </c>
      <c r="Q582" s="382"/>
      <c r="R582" s="383"/>
      <c r="T582" s="119" t="str">
        <f t="shared" ca="1" si="60"/>
        <v/>
      </c>
      <c r="U582" s="172" t="str">
        <f t="shared" ca="1" si="61"/>
        <v/>
      </c>
      <c r="V582" s="173" t="str">
        <f ca="1">IF(AND($W582&gt;0,RegimeExecucao="Unitário"),$F582,"")</f>
        <v/>
      </c>
      <c r="W582" s="547">
        <f ca="1">IF($Y582&gt;0,CHOOSE(MATCH(RegimeExecucao,{"Unitário","Global"},0),IF($A582="S",$Y582/$X582,""),($Y582/$X582)*100),0)</f>
        <v>0</v>
      </c>
      <c r="X582" s="384" t="str">
        <f ca="1">IF($Y582&gt;0,CHOOSE(MATCH(RegimeExecucao,{"Unitário","Global"},0),IF($A582="S",ROUND($H582,ORÇAMENTO!$AF$10),""),ROUND($I582,ORÇAMENTO!$AF$11)),"")</f>
        <v/>
      </c>
      <c r="Y582" s="384">
        <f t="shared" ca="1" si="62"/>
        <v>0</v>
      </c>
      <c r="Z582" s="572"/>
      <c r="AB582" s="382"/>
      <c r="AC582" s="516"/>
      <c r="AD582" s="516"/>
      <c r="AE582" s="516"/>
      <c r="AF582" s="516"/>
      <c r="AG582" s="516"/>
      <c r="AH582" s="516"/>
      <c r="AI582" s="516"/>
      <c r="AJ582" s="516"/>
      <c r="AK582" s="516"/>
      <c r="AL582" s="516"/>
      <c r="AM582" s="383"/>
      <c r="AO582">
        <f ca="1">IF($A582="S",IF(BM!$I582=0,0,CHOOSE(MATCH(RegimeExecucao,{"Global","Unitário"},0),ROUND(ROUND(BM.MEDAcumulado,15-13*BM!$A$9)/100*BM!$I582,15-13*ORÇAMENTO!$AF$11),ROUND(ROUND(BM.MEDAcumulado,15-13*BM!$A$9)*ROUND(BM!$H582,15-13*ORÇAMENTO!$AF$10),15-13*ORÇAMENTO!$AF$11))),IF($A582=0,0,ROUND(SomaAgrupBM,15-13*ORÇAMENTO!$AF$11)))</f>
        <v>0</v>
      </c>
    </row>
    <row r="583" spans="1:41" ht="25.5" x14ac:dyDescent="0.2">
      <c r="A583" t="str">
        <f ca="1">ORÇAMENTO!C583</f>
        <v>S</v>
      </c>
      <c r="B583">
        <f ca="1">ORÇAMENTO!D583</f>
        <v>0</v>
      </c>
      <c r="C583" s="116" t="str">
        <f t="shared" ca="1" si="56"/>
        <v/>
      </c>
      <c r="D583" s="119" t="str">
        <f ca="1">ORÇAMENTO!O583</f>
        <v>-</v>
      </c>
      <c r="E583" s="172" t="str">
        <f t="shared" ca="1" si="57"/>
        <v>(abra o arquivo 'Referência 02-2025.xlsm)</v>
      </c>
      <c r="F583" s="173" t="str">
        <f ca="1">IF(RegimeExecucao="Global","",ORÇAMENTO.Unidade)</f>
        <v>-</v>
      </c>
      <c r="G583" s="124">
        <f ca="1">IF(RegimeExecucao="Global","",ORÇAMENTO!T583)</f>
        <v>8</v>
      </c>
      <c r="H583" s="124">
        <f ca="1">IF(RegimeExecucao="Global","",ORÇAMENTO!W583)</f>
        <v>0</v>
      </c>
      <c r="I583" s="127">
        <f ca="1">ORÇAMENTO!X583</f>
        <v>0</v>
      </c>
      <c r="J583" s="378">
        <f ca="1">IF($A583="S",IF(CAIXA.Modo,BM.AFAnterior,BM.MEDAnterior),IF(AND(RegimeExecucao="Global",$I583&gt;0,COUNTIF($AB$13:$AM$13,BM.medicao-1)&gt;0),M583/$I583*100,0))</f>
        <v>0</v>
      </c>
      <c r="K583" s="124">
        <f t="shared" ca="1" si="58"/>
        <v>0</v>
      </c>
      <c r="L583" s="379">
        <f ca="1">IF($A583="S",IF(CAIXA.Modo,BM.AFAcumulado,BM.MEDAcumulado),IF(AND(RegimeExecucao="Global",$I583&gt;0,COUNTIF($AB$13:$AM$13,BM.medicao)&gt;0),O583/$I583*100,0))</f>
        <v>0</v>
      </c>
      <c r="M583" s="380">
        <f ca="1">IF($A583="S",VTOTALBM,IF($A583=0,0,ROUND(SomaAgrupBM,15-13*ORÇAMENTO!$AF$11)))</f>
        <v>0</v>
      </c>
      <c r="N583" s="381">
        <f t="shared" ca="1" si="59"/>
        <v>0</v>
      </c>
      <c r="O583" s="127">
        <f ca="1">IF($A583="S",VTOTALBM,IF($A583=0,0,ROUND(SomaAgrupBM,15-13*ORÇAMENTO!$AF$11)))</f>
        <v>0</v>
      </c>
      <c r="Q583" s="382"/>
      <c r="R583" s="383"/>
      <c r="T583" s="119" t="str">
        <f t="shared" ca="1" si="60"/>
        <v/>
      </c>
      <c r="U583" s="172" t="str">
        <f t="shared" ca="1" si="61"/>
        <v/>
      </c>
      <c r="V583" s="173" t="str">
        <f ca="1">IF(AND($W583&gt;0,RegimeExecucao="Unitário"),$F583,"")</f>
        <v/>
      </c>
      <c r="W583" s="547">
        <f ca="1">IF($Y583&gt;0,CHOOSE(MATCH(RegimeExecucao,{"Unitário","Global"},0),IF($A583="S",$Y583/$X583,""),($Y583/$X583)*100),0)</f>
        <v>0</v>
      </c>
      <c r="X583" s="384" t="str">
        <f ca="1">IF($Y583&gt;0,CHOOSE(MATCH(RegimeExecucao,{"Unitário","Global"},0),IF($A583="S",ROUND($H583,ORÇAMENTO!$AF$10),""),ROUND($I583,ORÇAMENTO!$AF$11)),"")</f>
        <v/>
      </c>
      <c r="Y583" s="384">
        <f t="shared" ca="1" si="62"/>
        <v>0</v>
      </c>
      <c r="Z583" s="572"/>
      <c r="AB583" s="382"/>
      <c r="AC583" s="516"/>
      <c r="AD583" s="516"/>
      <c r="AE583" s="516"/>
      <c r="AF583" s="516"/>
      <c r="AG583" s="516"/>
      <c r="AH583" s="516"/>
      <c r="AI583" s="516"/>
      <c r="AJ583" s="516"/>
      <c r="AK583" s="516"/>
      <c r="AL583" s="516"/>
      <c r="AM583" s="383"/>
      <c r="AO583">
        <f ca="1">IF($A583="S",IF(BM!$I583=0,0,CHOOSE(MATCH(RegimeExecucao,{"Global","Unitário"},0),ROUND(ROUND(BM.MEDAcumulado,15-13*BM!$A$9)/100*BM!$I583,15-13*ORÇAMENTO!$AF$11),ROUND(ROUND(BM.MEDAcumulado,15-13*BM!$A$9)*ROUND(BM!$H583,15-13*ORÇAMENTO!$AF$10),15-13*ORÇAMENTO!$AF$11))),IF($A583=0,0,ROUND(SomaAgrupBM,15-13*ORÇAMENTO!$AF$11)))</f>
        <v>0</v>
      </c>
    </row>
    <row r="584" spans="1:41" x14ac:dyDescent="0.2">
      <c r="A584">
        <f ca="1">ORÇAMENTO!C584</f>
        <v>3</v>
      </c>
      <c r="B584">
        <f ca="1">ORÇAMENTO!D584</f>
        <v>9</v>
      </c>
      <c r="C584" s="116" t="str">
        <f t="shared" ca="1" si="56"/>
        <v>F</v>
      </c>
      <c r="D584" s="119" t="str">
        <f ca="1">ORÇAMENTO!O584</f>
        <v>1.17.9.</v>
      </c>
      <c r="E584" s="172" t="str">
        <f t="shared" ref="E584:E628" ca="1" si="63">ORÇAMENTO.Descricao</f>
        <v>ELETRODUTOS</v>
      </c>
      <c r="F584" s="173" t="str">
        <f ca="1">IF(RegimeExecucao="Global","",ORÇAMENTO.Unidade)</f>
        <v>-</v>
      </c>
      <c r="G584" s="124">
        <f ca="1">IF(RegimeExecucao="Global","",ORÇAMENTO!T584)</f>
        <v>0</v>
      </c>
      <c r="H584" s="124">
        <f ca="1">IF(RegimeExecucao="Global","",ORÇAMENTO!W584)</f>
        <v>0</v>
      </c>
      <c r="I584" s="127">
        <f ca="1">ORÇAMENTO!X584</f>
        <v>0</v>
      </c>
      <c r="J584" s="378">
        <f ca="1">IF($A584="S",IF(CAIXA.Modo,BM.AFAnterior,BM.MEDAnterior),IF(AND(RegimeExecucao="Global",$I584&gt;0,COUNTIF($AB$13:$AM$13,BM.medicao-1)&gt;0),M584/$I584*100,0))</f>
        <v>0</v>
      </c>
      <c r="K584" s="124">
        <f t="shared" ca="1" si="58"/>
        <v>0</v>
      </c>
      <c r="L584" s="379">
        <f ca="1">IF($A584="S",IF(CAIXA.Modo,BM.AFAcumulado,BM.MEDAcumulado),IF(AND(RegimeExecucao="Global",$I584&gt;0,COUNTIF($AB$13:$AM$13,BM.medicao)&gt;0),O584/$I584*100,0))</f>
        <v>0</v>
      </c>
      <c r="M584" s="380">
        <f ca="1">IF($A584="S",VTOTALBM,IF($A584=0,0,ROUND(SomaAgrupBM,15-13*ORÇAMENTO!$AF$11)))</f>
        <v>0</v>
      </c>
      <c r="N584" s="381">
        <f t="shared" ca="1" si="59"/>
        <v>0</v>
      </c>
      <c r="O584" s="127">
        <f ca="1">IF($A584="S",VTOTALBM,IF($A584=0,0,ROUND(SomaAgrupBM,15-13*ORÇAMENTO!$AF$11)))</f>
        <v>0</v>
      </c>
      <c r="Q584" s="382"/>
      <c r="R584" s="383"/>
      <c r="T584" s="119" t="str">
        <f t="shared" ca="1" si="60"/>
        <v/>
      </c>
      <c r="U584" s="172" t="str">
        <f t="shared" ca="1" si="61"/>
        <v/>
      </c>
      <c r="V584" s="173" t="str">
        <f ca="1">IF(AND($W584&gt;0,RegimeExecucao="Unitário"),$F584,"")</f>
        <v/>
      </c>
      <c r="W584" s="547">
        <f ca="1">IF($Y584&gt;0,CHOOSE(MATCH(RegimeExecucao,{"Unitário","Global"},0),IF($A584="S",$Y584/$X584,""),($Y584/$X584)*100),0)</f>
        <v>0</v>
      </c>
      <c r="X584" s="384" t="str">
        <f ca="1">IF($Y584&gt;0,CHOOSE(MATCH(RegimeExecucao,{"Unitário","Global"},0),IF($A584="S",ROUND($H584,ORÇAMENTO!$AF$10),""),ROUND($I584,ORÇAMENTO!$AF$11)),"")</f>
        <v/>
      </c>
      <c r="Y584" s="384">
        <f t="shared" ca="1" si="62"/>
        <v>0</v>
      </c>
      <c r="Z584" s="572"/>
      <c r="AB584" s="382"/>
      <c r="AC584" s="516"/>
      <c r="AD584" s="516"/>
      <c r="AE584" s="516"/>
      <c r="AF584" s="516"/>
      <c r="AG584" s="516"/>
      <c r="AH584" s="516"/>
      <c r="AI584" s="516"/>
      <c r="AJ584" s="516"/>
      <c r="AK584" s="516"/>
      <c r="AL584" s="516"/>
      <c r="AM584" s="383"/>
      <c r="AO584">
        <f ca="1">IF($A584="S",IF(BM!$I584=0,0,CHOOSE(MATCH(RegimeExecucao,{"Global","Unitário"},0),ROUND(ROUND(BM.MEDAcumulado,15-13*BM!$A$9)/100*BM!$I584,15-13*ORÇAMENTO!$AF$11),ROUND(ROUND(BM.MEDAcumulado,15-13*BM!$A$9)*ROUND(BM!$H584,15-13*ORÇAMENTO!$AF$10),15-13*ORÇAMENTO!$AF$11))),IF($A584=0,0,ROUND(SomaAgrupBM,15-13*ORÇAMENTO!$AF$11)))</f>
        <v>0</v>
      </c>
    </row>
    <row r="585" spans="1:41" ht="38.25" x14ac:dyDescent="0.2">
      <c r="A585" t="str">
        <f ca="1">ORÇAMENTO!C585</f>
        <v>S</v>
      </c>
      <c r="B585">
        <f ca="1">ORÇAMENTO!D585</f>
        <v>0</v>
      </c>
      <c r="C585" s="116" t="str">
        <f t="shared" ca="1" si="56"/>
        <v/>
      </c>
      <c r="D585" s="119" t="str">
        <f ca="1">ORÇAMENTO!O585</f>
        <v>-</v>
      </c>
      <c r="E585" s="172" t="str">
        <f t="shared" ca="1" si="63"/>
        <v>(abra o arquivo 'Referência 02-2025.xlsm)</v>
      </c>
      <c r="F585" s="173" t="str">
        <f ca="1">IF(RegimeExecucao="Global","",ORÇAMENTO.Unidade)</f>
        <v>-</v>
      </c>
      <c r="G585" s="124">
        <f ca="1">IF(RegimeExecucao="Global","",ORÇAMENTO!T585)</f>
        <v>108</v>
      </c>
      <c r="H585" s="124">
        <f ca="1">IF(RegimeExecucao="Global","",ORÇAMENTO!W585)</f>
        <v>0</v>
      </c>
      <c r="I585" s="127">
        <f ca="1">ORÇAMENTO!X585</f>
        <v>0</v>
      </c>
      <c r="J585" s="378">
        <f ca="1">IF($A585="S",IF(CAIXA.Modo,BM.AFAnterior,BM.MEDAnterior),IF(AND(RegimeExecucao="Global",$I585&gt;0,COUNTIF($AB$13:$AM$13,BM.medicao-1)&gt;0),M585/$I585*100,0))</f>
        <v>0</v>
      </c>
      <c r="K585" s="124">
        <f t="shared" ca="1" si="58"/>
        <v>0</v>
      </c>
      <c r="L585" s="379">
        <f ca="1">IF($A585="S",IF(CAIXA.Modo,BM.AFAcumulado,BM.MEDAcumulado),IF(AND(RegimeExecucao="Global",$I585&gt;0,COUNTIF($AB$13:$AM$13,BM.medicao)&gt;0),O585/$I585*100,0))</f>
        <v>0</v>
      </c>
      <c r="M585" s="380">
        <f ca="1">IF($A585="S",VTOTALBM,IF($A585=0,0,ROUND(SomaAgrupBM,15-13*ORÇAMENTO!$AF$11)))</f>
        <v>0</v>
      </c>
      <c r="N585" s="381">
        <f t="shared" ca="1" si="59"/>
        <v>0</v>
      </c>
      <c r="O585" s="127">
        <f ca="1">IF($A585="S",VTOTALBM,IF($A585=0,0,ROUND(SomaAgrupBM,15-13*ORÇAMENTO!$AF$11)))</f>
        <v>0</v>
      </c>
      <c r="Q585" s="382"/>
      <c r="R585" s="383"/>
      <c r="T585" s="119" t="str">
        <f t="shared" ca="1" si="60"/>
        <v/>
      </c>
      <c r="U585" s="172" t="str">
        <f t="shared" ca="1" si="61"/>
        <v/>
      </c>
      <c r="V585" s="173" t="str">
        <f ca="1">IF(AND($W585&gt;0,RegimeExecucao="Unitário"),$F585,"")</f>
        <v/>
      </c>
      <c r="W585" s="547">
        <f ca="1">IF($Y585&gt;0,CHOOSE(MATCH(RegimeExecucao,{"Unitário","Global"},0),IF($A585="S",$Y585/$X585,""),($Y585/$X585)*100),0)</f>
        <v>0</v>
      </c>
      <c r="X585" s="384" t="str">
        <f ca="1">IF($Y585&gt;0,CHOOSE(MATCH(RegimeExecucao,{"Unitário","Global"},0),IF($A585="S",ROUND($H585,ORÇAMENTO!$AF$10),""),ROUND($I585,ORÇAMENTO!$AF$11)),"")</f>
        <v/>
      </c>
      <c r="Y585" s="384">
        <f t="shared" ca="1" si="62"/>
        <v>0</v>
      </c>
      <c r="Z585" s="572"/>
      <c r="AB585" s="382"/>
      <c r="AC585" s="516"/>
      <c r="AD585" s="516"/>
      <c r="AE585" s="516"/>
      <c r="AF585" s="516"/>
      <c r="AG585" s="516"/>
      <c r="AH585" s="516"/>
      <c r="AI585" s="516"/>
      <c r="AJ585" s="516"/>
      <c r="AK585" s="516"/>
      <c r="AL585" s="516"/>
      <c r="AM585" s="383"/>
      <c r="AO585">
        <f ca="1">IF($A585="S",IF(BM!$I585=0,0,CHOOSE(MATCH(RegimeExecucao,{"Global","Unitário"},0),ROUND(ROUND(BM.MEDAcumulado,15-13*BM!$A$9)/100*BM!$I585,15-13*ORÇAMENTO!$AF$11),ROUND(ROUND(BM.MEDAcumulado,15-13*BM!$A$9)*ROUND(BM!$H585,15-13*ORÇAMENTO!$AF$10),15-13*ORÇAMENTO!$AF$11))),IF($A585=0,0,ROUND(SomaAgrupBM,15-13*ORÇAMENTO!$AF$11)))</f>
        <v>0</v>
      </c>
    </row>
    <row r="586" spans="1:41" ht="38.25" x14ac:dyDescent="0.2">
      <c r="A586" t="str">
        <f ca="1">ORÇAMENTO!C586</f>
        <v>S</v>
      </c>
      <c r="B586">
        <f ca="1">ORÇAMENTO!D586</f>
        <v>0</v>
      </c>
      <c r="C586" s="116" t="str">
        <f t="shared" ca="1" si="56"/>
        <v/>
      </c>
      <c r="D586" s="119" t="str">
        <f ca="1">ORÇAMENTO!O586</f>
        <v>-</v>
      </c>
      <c r="E586" s="172" t="str">
        <f t="shared" ca="1" si="63"/>
        <v>(abra o arquivo 'Referência 02-2025.xlsm)</v>
      </c>
      <c r="F586" s="173" t="str">
        <f ca="1">IF(RegimeExecucao="Global","",ORÇAMENTO.Unidade)</f>
        <v>-</v>
      </c>
      <c r="G586" s="124">
        <f ca="1">IF(RegimeExecucao="Global","",ORÇAMENTO!T586)</f>
        <v>1553.6</v>
      </c>
      <c r="H586" s="124">
        <f ca="1">IF(RegimeExecucao="Global","",ORÇAMENTO!W586)</f>
        <v>0</v>
      </c>
      <c r="I586" s="127">
        <f ca="1">ORÇAMENTO!X586</f>
        <v>0</v>
      </c>
      <c r="J586" s="378">
        <f ca="1">IF($A586="S",IF(CAIXA.Modo,BM.AFAnterior,BM.MEDAnterior),IF(AND(RegimeExecucao="Global",$I586&gt;0,COUNTIF($AB$13:$AM$13,BM.medicao-1)&gt;0),M586/$I586*100,0))</f>
        <v>0</v>
      </c>
      <c r="K586" s="124">
        <f t="shared" ca="1" si="58"/>
        <v>0</v>
      </c>
      <c r="L586" s="379">
        <f ca="1">IF($A586="S",IF(CAIXA.Modo,BM.AFAcumulado,BM.MEDAcumulado),IF(AND(RegimeExecucao="Global",$I586&gt;0,COUNTIF($AB$13:$AM$13,BM.medicao)&gt;0),O586/$I586*100,0))</f>
        <v>0</v>
      </c>
      <c r="M586" s="380">
        <f ca="1">IF($A586="S",VTOTALBM,IF($A586=0,0,ROUND(SomaAgrupBM,15-13*ORÇAMENTO!$AF$11)))</f>
        <v>0</v>
      </c>
      <c r="N586" s="381">
        <f t="shared" ca="1" si="59"/>
        <v>0</v>
      </c>
      <c r="O586" s="127">
        <f ca="1">IF($A586="S",VTOTALBM,IF($A586=0,0,ROUND(SomaAgrupBM,15-13*ORÇAMENTO!$AF$11)))</f>
        <v>0</v>
      </c>
      <c r="Q586" s="382"/>
      <c r="R586" s="383"/>
      <c r="T586" s="119" t="str">
        <f t="shared" ca="1" si="60"/>
        <v/>
      </c>
      <c r="U586" s="172" t="str">
        <f t="shared" ca="1" si="61"/>
        <v/>
      </c>
      <c r="V586" s="173" t="str">
        <f ca="1">IF(AND($W586&gt;0,RegimeExecucao="Unitário"),$F586,"")</f>
        <v/>
      </c>
      <c r="W586" s="547">
        <f ca="1">IF($Y586&gt;0,CHOOSE(MATCH(RegimeExecucao,{"Unitário","Global"},0),IF($A586="S",$Y586/$X586,""),($Y586/$X586)*100),0)</f>
        <v>0</v>
      </c>
      <c r="X586" s="384" t="str">
        <f ca="1">IF($Y586&gt;0,CHOOSE(MATCH(RegimeExecucao,{"Unitário","Global"},0),IF($A586="S",ROUND($H586,ORÇAMENTO!$AF$10),""),ROUND($I586,ORÇAMENTO!$AF$11)),"")</f>
        <v/>
      </c>
      <c r="Y586" s="384">
        <f t="shared" ca="1" si="62"/>
        <v>0</v>
      </c>
      <c r="Z586" s="572"/>
      <c r="AB586" s="382"/>
      <c r="AC586" s="516"/>
      <c r="AD586" s="516"/>
      <c r="AE586" s="516"/>
      <c r="AF586" s="516"/>
      <c r="AG586" s="516"/>
      <c r="AH586" s="516"/>
      <c r="AI586" s="516"/>
      <c r="AJ586" s="516"/>
      <c r="AK586" s="516"/>
      <c r="AL586" s="516"/>
      <c r="AM586" s="383"/>
      <c r="AO586">
        <f ca="1">IF($A586="S",IF(BM!$I586=0,0,CHOOSE(MATCH(RegimeExecucao,{"Global","Unitário"},0),ROUND(ROUND(BM.MEDAcumulado,15-13*BM!$A$9)/100*BM!$I586,15-13*ORÇAMENTO!$AF$11),ROUND(ROUND(BM.MEDAcumulado,15-13*BM!$A$9)*ROUND(BM!$H586,15-13*ORÇAMENTO!$AF$10),15-13*ORÇAMENTO!$AF$11))),IF($A586=0,0,ROUND(SomaAgrupBM,15-13*ORÇAMENTO!$AF$11)))</f>
        <v>0</v>
      </c>
    </row>
    <row r="587" spans="1:41" ht="38.25" x14ac:dyDescent="0.2">
      <c r="A587" t="str">
        <f ca="1">ORÇAMENTO!C587</f>
        <v>S</v>
      </c>
      <c r="B587">
        <f ca="1">ORÇAMENTO!D587</f>
        <v>0</v>
      </c>
      <c r="C587" s="116" t="str">
        <f t="shared" ca="1" si="56"/>
        <v/>
      </c>
      <c r="D587" s="119" t="str">
        <f ca="1">ORÇAMENTO!O587</f>
        <v>-</v>
      </c>
      <c r="E587" s="172" t="str">
        <f t="shared" ca="1" si="63"/>
        <v>(abra o arquivo 'Referência 02-2025.xlsm)</v>
      </c>
      <c r="F587" s="173" t="str">
        <f ca="1">IF(RegimeExecucao="Global","",ORÇAMENTO.Unidade)</f>
        <v>-</v>
      </c>
      <c r="G587" s="124">
        <f ca="1">IF(RegimeExecucao="Global","",ORÇAMENTO!T587)</f>
        <v>17.2</v>
      </c>
      <c r="H587" s="124">
        <f ca="1">IF(RegimeExecucao="Global","",ORÇAMENTO!W587)</f>
        <v>0</v>
      </c>
      <c r="I587" s="127">
        <f ca="1">ORÇAMENTO!X587</f>
        <v>0</v>
      </c>
      <c r="J587" s="378">
        <f ca="1">IF($A587="S",IF(CAIXA.Modo,BM.AFAnterior,BM.MEDAnterior),IF(AND(RegimeExecucao="Global",$I587&gt;0,COUNTIF($AB$13:$AM$13,BM.medicao-1)&gt;0),M587/$I587*100,0))</f>
        <v>0</v>
      </c>
      <c r="K587" s="124">
        <f t="shared" ca="1" si="58"/>
        <v>0</v>
      </c>
      <c r="L587" s="379">
        <f ca="1">IF($A587="S",IF(CAIXA.Modo,BM.AFAcumulado,BM.MEDAcumulado),IF(AND(RegimeExecucao="Global",$I587&gt;0,COUNTIF($AB$13:$AM$13,BM.medicao)&gt;0),O587/$I587*100,0))</f>
        <v>0</v>
      </c>
      <c r="M587" s="380">
        <f ca="1">IF($A587="S",VTOTALBM,IF($A587=0,0,ROUND(SomaAgrupBM,15-13*ORÇAMENTO!$AF$11)))</f>
        <v>0</v>
      </c>
      <c r="N587" s="381">
        <f t="shared" ca="1" si="59"/>
        <v>0</v>
      </c>
      <c r="O587" s="127">
        <f ca="1">IF($A587="S",VTOTALBM,IF($A587=0,0,ROUND(SomaAgrupBM,15-13*ORÇAMENTO!$AF$11)))</f>
        <v>0</v>
      </c>
      <c r="Q587" s="382"/>
      <c r="R587" s="383"/>
      <c r="T587" s="119" t="str">
        <f t="shared" ca="1" si="60"/>
        <v/>
      </c>
      <c r="U587" s="172" t="str">
        <f t="shared" ca="1" si="61"/>
        <v/>
      </c>
      <c r="V587" s="173" t="str">
        <f ca="1">IF(AND($W587&gt;0,RegimeExecucao="Unitário"),$F587,"")</f>
        <v/>
      </c>
      <c r="W587" s="547">
        <f ca="1">IF($Y587&gt;0,CHOOSE(MATCH(RegimeExecucao,{"Unitário","Global"},0),IF($A587="S",$Y587/$X587,""),($Y587/$X587)*100),0)</f>
        <v>0</v>
      </c>
      <c r="X587" s="384" t="str">
        <f ca="1">IF($Y587&gt;0,CHOOSE(MATCH(RegimeExecucao,{"Unitário","Global"},0),IF($A587="S",ROUND($H587,ORÇAMENTO!$AF$10),""),ROUND($I587,ORÇAMENTO!$AF$11)),"")</f>
        <v/>
      </c>
      <c r="Y587" s="384">
        <f t="shared" ca="1" si="62"/>
        <v>0</v>
      </c>
      <c r="Z587" s="572"/>
      <c r="AB587" s="382"/>
      <c r="AC587" s="516"/>
      <c r="AD587" s="516"/>
      <c r="AE587" s="516"/>
      <c r="AF587" s="516"/>
      <c r="AG587" s="516"/>
      <c r="AH587" s="516"/>
      <c r="AI587" s="516"/>
      <c r="AJ587" s="516"/>
      <c r="AK587" s="516"/>
      <c r="AL587" s="516"/>
      <c r="AM587" s="383"/>
      <c r="AO587">
        <f ca="1">IF($A587="S",IF(BM!$I587=0,0,CHOOSE(MATCH(RegimeExecucao,{"Global","Unitário"},0),ROUND(ROUND(BM.MEDAcumulado,15-13*BM!$A$9)/100*BM!$I587,15-13*ORÇAMENTO!$AF$11),ROUND(ROUND(BM.MEDAcumulado,15-13*BM!$A$9)*ROUND(BM!$H587,15-13*ORÇAMENTO!$AF$10),15-13*ORÇAMENTO!$AF$11))),IF($A587=0,0,ROUND(SomaAgrupBM,15-13*ORÇAMENTO!$AF$11)))</f>
        <v>0</v>
      </c>
    </row>
    <row r="588" spans="1:41" ht="38.25" x14ac:dyDescent="0.2">
      <c r="A588" t="str">
        <f ca="1">ORÇAMENTO!C588</f>
        <v>S</v>
      </c>
      <c r="B588">
        <f ca="1">ORÇAMENTO!D588</f>
        <v>0</v>
      </c>
      <c r="C588" s="116" t="str">
        <f t="shared" ca="1" si="56"/>
        <v/>
      </c>
      <c r="D588" s="119" t="str">
        <f ca="1">ORÇAMENTO!O588</f>
        <v>-</v>
      </c>
      <c r="E588" s="172" t="str">
        <f t="shared" ca="1" si="63"/>
        <v>(abra o arquivo 'Referência 02-2025.xlsm)</v>
      </c>
      <c r="F588" s="173" t="str">
        <f ca="1">IF(RegimeExecucao="Global","",ORÇAMENTO.Unidade)</f>
        <v>-</v>
      </c>
      <c r="G588" s="124">
        <f ca="1">IF(RegimeExecucao="Global","",ORÇAMENTO!T588)</f>
        <v>46.2</v>
      </c>
      <c r="H588" s="124">
        <f ca="1">IF(RegimeExecucao="Global","",ORÇAMENTO!W588)</f>
        <v>0</v>
      </c>
      <c r="I588" s="127">
        <f ca="1">ORÇAMENTO!X588</f>
        <v>0</v>
      </c>
      <c r="J588" s="378">
        <f ca="1">IF($A588="S",IF(CAIXA.Modo,BM.AFAnterior,BM.MEDAnterior),IF(AND(RegimeExecucao="Global",$I588&gt;0,COUNTIF($AB$13:$AM$13,BM.medicao-1)&gt;0),M588/$I588*100,0))</f>
        <v>0</v>
      </c>
      <c r="K588" s="124">
        <f t="shared" ca="1" si="58"/>
        <v>0</v>
      </c>
      <c r="L588" s="379">
        <f ca="1">IF($A588="S",IF(CAIXA.Modo,BM.AFAcumulado,BM.MEDAcumulado),IF(AND(RegimeExecucao="Global",$I588&gt;0,COUNTIF($AB$13:$AM$13,BM.medicao)&gt;0),O588/$I588*100,0))</f>
        <v>0</v>
      </c>
      <c r="M588" s="380">
        <f ca="1">IF($A588="S",VTOTALBM,IF($A588=0,0,ROUND(SomaAgrupBM,15-13*ORÇAMENTO!$AF$11)))</f>
        <v>0</v>
      </c>
      <c r="N588" s="381">
        <f t="shared" ca="1" si="59"/>
        <v>0</v>
      </c>
      <c r="O588" s="127">
        <f ca="1">IF($A588="S",VTOTALBM,IF($A588=0,0,ROUND(SomaAgrupBM,15-13*ORÇAMENTO!$AF$11)))</f>
        <v>0</v>
      </c>
      <c r="Q588" s="382"/>
      <c r="R588" s="383"/>
      <c r="T588" s="119" t="str">
        <f t="shared" ca="1" si="60"/>
        <v/>
      </c>
      <c r="U588" s="172" t="str">
        <f t="shared" ca="1" si="61"/>
        <v/>
      </c>
      <c r="V588" s="173" t="str">
        <f ca="1">IF(AND($W588&gt;0,RegimeExecucao="Unitário"),$F588,"")</f>
        <v/>
      </c>
      <c r="W588" s="547">
        <f ca="1">IF($Y588&gt;0,CHOOSE(MATCH(RegimeExecucao,{"Unitário","Global"},0),IF($A588="S",$Y588/$X588,""),($Y588/$X588)*100),0)</f>
        <v>0</v>
      </c>
      <c r="X588" s="384" t="str">
        <f ca="1">IF($Y588&gt;0,CHOOSE(MATCH(RegimeExecucao,{"Unitário","Global"},0),IF($A588="S",ROUND($H588,ORÇAMENTO!$AF$10),""),ROUND($I588,ORÇAMENTO!$AF$11)),"")</f>
        <v/>
      </c>
      <c r="Y588" s="384">
        <f t="shared" ca="1" si="62"/>
        <v>0</v>
      </c>
      <c r="Z588" s="572"/>
      <c r="AB588" s="382"/>
      <c r="AC588" s="516"/>
      <c r="AD588" s="516"/>
      <c r="AE588" s="516"/>
      <c r="AF588" s="516"/>
      <c r="AG588" s="516"/>
      <c r="AH588" s="516"/>
      <c r="AI588" s="516"/>
      <c r="AJ588" s="516"/>
      <c r="AK588" s="516"/>
      <c r="AL588" s="516"/>
      <c r="AM588" s="383"/>
      <c r="AO588">
        <f ca="1">IF($A588="S",IF(BM!$I588=0,0,CHOOSE(MATCH(RegimeExecucao,{"Global","Unitário"},0),ROUND(ROUND(BM.MEDAcumulado,15-13*BM!$A$9)/100*BM!$I588,15-13*ORÇAMENTO!$AF$11),ROUND(ROUND(BM.MEDAcumulado,15-13*BM!$A$9)*ROUND(BM!$H588,15-13*ORÇAMENTO!$AF$10),15-13*ORÇAMENTO!$AF$11))),IF($A588=0,0,ROUND(SomaAgrupBM,15-13*ORÇAMENTO!$AF$11)))</f>
        <v>0</v>
      </c>
    </row>
    <row r="589" spans="1:41" ht="38.25" x14ac:dyDescent="0.2">
      <c r="A589" t="str">
        <f ca="1">ORÇAMENTO!C589</f>
        <v>S</v>
      </c>
      <c r="B589">
        <f ca="1">ORÇAMENTO!D589</f>
        <v>0</v>
      </c>
      <c r="C589" s="116" t="str">
        <f t="shared" ca="1" si="56"/>
        <v/>
      </c>
      <c r="D589" s="119" t="str">
        <f ca="1">ORÇAMENTO!O589</f>
        <v>-</v>
      </c>
      <c r="E589" s="172" t="str">
        <f t="shared" ca="1" si="63"/>
        <v>(abra o arquivo 'Referência 02-2025.xlsm)</v>
      </c>
      <c r="F589" s="173" t="str">
        <f ca="1">IF(RegimeExecucao="Global","",ORÇAMENTO.Unidade)</f>
        <v>-</v>
      </c>
      <c r="G589" s="124">
        <f ca="1">IF(RegimeExecucao="Global","",ORÇAMENTO!T589)</f>
        <v>17.8</v>
      </c>
      <c r="H589" s="124">
        <f ca="1">IF(RegimeExecucao="Global","",ORÇAMENTO!W589)</f>
        <v>0</v>
      </c>
      <c r="I589" s="127">
        <f ca="1">ORÇAMENTO!X589</f>
        <v>0</v>
      </c>
      <c r="J589" s="378">
        <f ca="1">IF($A589="S",IF(CAIXA.Modo,BM.AFAnterior,BM.MEDAnterior),IF(AND(RegimeExecucao="Global",$I589&gt;0,COUNTIF($AB$13:$AM$13,BM.medicao-1)&gt;0),M589/$I589*100,0))</f>
        <v>0</v>
      </c>
      <c r="K589" s="124">
        <f t="shared" ca="1" si="58"/>
        <v>0</v>
      </c>
      <c r="L589" s="379">
        <f ca="1">IF($A589="S",IF(CAIXA.Modo,BM.AFAcumulado,BM.MEDAcumulado),IF(AND(RegimeExecucao="Global",$I589&gt;0,COUNTIF($AB$13:$AM$13,BM.medicao)&gt;0),O589/$I589*100,0))</f>
        <v>0</v>
      </c>
      <c r="M589" s="380">
        <f ca="1">IF($A589="S",VTOTALBM,IF($A589=0,0,ROUND(SomaAgrupBM,15-13*ORÇAMENTO!$AF$11)))</f>
        <v>0</v>
      </c>
      <c r="N589" s="381">
        <f t="shared" ca="1" si="59"/>
        <v>0</v>
      </c>
      <c r="O589" s="127">
        <f ca="1">IF($A589="S",VTOTALBM,IF($A589=0,0,ROUND(SomaAgrupBM,15-13*ORÇAMENTO!$AF$11)))</f>
        <v>0</v>
      </c>
      <c r="Q589" s="382"/>
      <c r="R589" s="383"/>
      <c r="T589" s="119" t="str">
        <f t="shared" ca="1" si="60"/>
        <v/>
      </c>
      <c r="U589" s="172" t="str">
        <f t="shared" ca="1" si="61"/>
        <v/>
      </c>
      <c r="V589" s="173" t="str">
        <f ca="1">IF(AND($W589&gt;0,RegimeExecucao="Unitário"),$F589,"")</f>
        <v/>
      </c>
      <c r="W589" s="547">
        <f ca="1">IF($Y589&gt;0,CHOOSE(MATCH(RegimeExecucao,{"Unitário","Global"},0),IF($A589="S",$Y589/$X589,""),($Y589/$X589)*100),0)</f>
        <v>0</v>
      </c>
      <c r="X589" s="384" t="str">
        <f ca="1">IF($Y589&gt;0,CHOOSE(MATCH(RegimeExecucao,{"Unitário","Global"},0),IF($A589="S",ROUND($H589,ORÇAMENTO!$AF$10),""),ROUND($I589,ORÇAMENTO!$AF$11)),"")</f>
        <v/>
      </c>
      <c r="Y589" s="384">
        <f t="shared" ca="1" si="62"/>
        <v>0</v>
      </c>
      <c r="Z589" s="572"/>
      <c r="AB589" s="382"/>
      <c r="AC589" s="516"/>
      <c r="AD589" s="516"/>
      <c r="AE589" s="516"/>
      <c r="AF589" s="516"/>
      <c r="AG589" s="516"/>
      <c r="AH589" s="516"/>
      <c r="AI589" s="516"/>
      <c r="AJ589" s="516"/>
      <c r="AK589" s="516"/>
      <c r="AL589" s="516"/>
      <c r="AM589" s="383"/>
      <c r="AO589">
        <f ca="1">IF($A589="S",IF(BM!$I589=0,0,CHOOSE(MATCH(RegimeExecucao,{"Global","Unitário"},0),ROUND(ROUND(BM.MEDAcumulado,15-13*BM!$A$9)/100*BM!$I589,15-13*ORÇAMENTO!$AF$11),ROUND(ROUND(BM.MEDAcumulado,15-13*BM!$A$9)*ROUND(BM!$H589,15-13*ORÇAMENTO!$AF$10),15-13*ORÇAMENTO!$AF$11))),IF($A589=0,0,ROUND(SomaAgrupBM,15-13*ORÇAMENTO!$AF$11)))</f>
        <v>0</v>
      </c>
    </row>
    <row r="590" spans="1:41" ht="38.25" x14ac:dyDescent="0.2">
      <c r="A590" t="str">
        <f ca="1">ORÇAMENTO!C590</f>
        <v>S</v>
      </c>
      <c r="B590">
        <f ca="1">ORÇAMENTO!D590</f>
        <v>0</v>
      </c>
      <c r="C590" s="116" t="str">
        <f t="shared" ca="1" si="56"/>
        <v/>
      </c>
      <c r="D590" s="119" t="str">
        <f ca="1">ORÇAMENTO!O590</f>
        <v>-</v>
      </c>
      <c r="E590" s="172" t="str">
        <f t="shared" ca="1" si="63"/>
        <v>(abra o arquivo 'Referência 02-2025.xlsm)</v>
      </c>
      <c r="F590" s="173" t="str">
        <f ca="1">IF(RegimeExecucao="Global","",ORÇAMENTO.Unidade)</f>
        <v>-</v>
      </c>
      <c r="G590" s="124">
        <f ca="1">IF(RegimeExecucao="Global","",ORÇAMENTO!T590)</f>
        <v>36</v>
      </c>
      <c r="H590" s="124">
        <f ca="1">IF(RegimeExecucao="Global","",ORÇAMENTO!W590)</f>
        <v>0</v>
      </c>
      <c r="I590" s="127">
        <f ca="1">ORÇAMENTO!X590</f>
        <v>0</v>
      </c>
      <c r="J590" s="378">
        <f ca="1">IF($A590="S",IF(CAIXA.Modo,BM.AFAnterior,BM.MEDAnterior),IF(AND(RegimeExecucao="Global",$I590&gt;0,COUNTIF($AB$13:$AM$13,BM.medicao-1)&gt;0),M590/$I590*100,0))</f>
        <v>0</v>
      </c>
      <c r="K590" s="124">
        <f t="shared" ca="1" si="58"/>
        <v>0</v>
      </c>
      <c r="L590" s="379">
        <f ca="1">IF($A590="S",IF(CAIXA.Modo,BM.AFAcumulado,BM.MEDAcumulado),IF(AND(RegimeExecucao="Global",$I590&gt;0,COUNTIF($AB$13:$AM$13,BM.medicao)&gt;0),O590/$I590*100,0))</f>
        <v>0</v>
      </c>
      <c r="M590" s="380">
        <f ca="1">IF($A590="S",VTOTALBM,IF($A590=0,0,ROUND(SomaAgrupBM,15-13*ORÇAMENTO!$AF$11)))</f>
        <v>0</v>
      </c>
      <c r="N590" s="381">
        <f t="shared" ca="1" si="59"/>
        <v>0</v>
      </c>
      <c r="O590" s="127">
        <f ca="1">IF($A590="S",VTOTALBM,IF($A590=0,0,ROUND(SomaAgrupBM,15-13*ORÇAMENTO!$AF$11)))</f>
        <v>0</v>
      </c>
      <c r="Q590" s="382"/>
      <c r="R590" s="383"/>
      <c r="T590" s="119" t="str">
        <f t="shared" ca="1" si="60"/>
        <v/>
      </c>
      <c r="U590" s="172" t="str">
        <f t="shared" ca="1" si="61"/>
        <v/>
      </c>
      <c r="V590" s="173" t="str">
        <f ca="1">IF(AND($W590&gt;0,RegimeExecucao="Unitário"),$F590,"")</f>
        <v/>
      </c>
      <c r="W590" s="547">
        <f ca="1">IF($Y590&gt;0,CHOOSE(MATCH(RegimeExecucao,{"Unitário","Global"},0),IF($A590="S",$Y590/$X590,""),($Y590/$X590)*100),0)</f>
        <v>0</v>
      </c>
      <c r="X590" s="384" t="str">
        <f ca="1">IF($Y590&gt;0,CHOOSE(MATCH(RegimeExecucao,{"Unitário","Global"},0),IF($A590="S",ROUND($H590,ORÇAMENTO!$AF$10),""),ROUND($I590,ORÇAMENTO!$AF$11)),"")</f>
        <v/>
      </c>
      <c r="Y590" s="384">
        <f t="shared" ca="1" si="62"/>
        <v>0</v>
      </c>
      <c r="Z590" s="572"/>
      <c r="AB590" s="382"/>
      <c r="AC590" s="516"/>
      <c r="AD590" s="516"/>
      <c r="AE590" s="516"/>
      <c r="AF590" s="516"/>
      <c r="AG590" s="516"/>
      <c r="AH590" s="516"/>
      <c r="AI590" s="516"/>
      <c r="AJ590" s="516"/>
      <c r="AK590" s="516"/>
      <c r="AL590" s="516"/>
      <c r="AM590" s="383"/>
      <c r="AO590">
        <f ca="1">IF($A590="S",IF(BM!$I590=0,0,CHOOSE(MATCH(RegimeExecucao,{"Global","Unitário"},0),ROUND(ROUND(BM.MEDAcumulado,15-13*BM!$A$9)/100*BM!$I590,15-13*ORÇAMENTO!$AF$11),ROUND(ROUND(BM.MEDAcumulado,15-13*BM!$A$9)*ROUND(BM!$H590,15-13*ORÇAMENTO!$AF$10),15-13*ORÇAMENTO!$AF$11))),IF($A590=0,0,ROUND(SomaAgrupBM,15-13*ORÇAMENTO!$AF$11)))</f>
        <v>0</v>
      </c>
    </row>
    <row r="591" spans="1:41" ht="38.25" x14ac:dyDescent="0.2">
      <c r="A591" t="str">
        <f ca="1">ORÇAMENTO!C591</f>
        <v>S</v>
      </c>
      <c r="B591">
        <f ca="1">ORÇAMENTO!D591</f>
        <v>0</v>
      </c>
      <c r="C591" s="116" t="str">
        <f t="shared" ca="1" si="56"/>
        <v/>
      </c>
      <c r="D591" s="119" t="str">
        <f ca="1">ORÇAMENTO!O591</f>
        <v>-</v>
      </c>
      <c r="E591" s="172" t="str">
        <f t="shared" ca="1" si="63"/>
        <v>(abra o arquivo 'Referência 02-2025.xlsm)</v>
      </c>
      <c r="F591" s="173" t="str">
        <f ca="1">IF(RegimeExecucao="Global","",ORÇAMENTO.Unidade)</f>
        <v>-</v>
      </c>
      <c r="G591" s="124">
        <f ca="1">IF(RegimeExecucao="Global","",ORÇAMENTO!T591)</f>
        <v>2</v>
      </c>
      <c r="H591" s="124">
        <f ca="1">IF(RegimeExecucao="Global","",ORÇAMENTO!W591)</f>
        <v>0</v>
      </c>
      <c r="I591" s="127">
        <f ca="1">ORÇAMENTO!X591</f>
        <v>0</v>
      </c>
      <c r="J591" s="378">
        <f ca="1">IF($A591="S",IF(CAIXA.Modo,BM.AFAnterior,BM.MEDAnterior),IF(AND(RegimeExecucao="Global",$I591&gt;0,COUNTIF($AB$13:$AM$13,BM.medicao-1)&gt;0),M591/$I591*100,0))</f>
        <v>0</v>
      </c>
      <c r="K591" s="124">
        <f t="shared" ca="1" si="58"/>
        <v>0</v>
      </c>
      <c r="L591" s="379">
        <f ca="1">IF($A591="S",IF(CAIXA.Modo,BM.AFAcumulado,BM.MEDAcumulado),IF(AND(RegimeExecucao="Global",$I591&gt;0,COUNTIF($AB$13:$AM$13,BM.medicao)&gt;0),O591/$I591*100,0))</f>
        <v>0</v>
      </c>
      <c r="M591" s="380">
        <f ca="1">IF($A591="S",VTOTALBM,IF($A591=0,0,ROUND(SomaAgrupBM,15-13*ORÇAMENTO!$AF$11)))</f>
        <v>0</v>
      </c>
      <c r="N591" s="381">
        <f t="shared" ca="1" si="59"/>
        <v>0</v>
      </c>
      <c r="O591" s="127">
        <f ca="1">IF($A591="S",VTOTALBM,IF($A591=0,0,ROUND(SomaAgrupBM,15-13*ORÇAMENTO!$AF$11)))</f>
        <v>0</v>
      </c>
      <c r="Q591" s="382"/>
      <c r="R591" s="383"/>
      <c r="T591" s="119" t="str">
        <f t="shared" ca="1" si="60"/>
        <v/>
      </c>
      <c r="U591" s="172" t="str">
        <f t="shared" ca="1" si="61"/>
        <v/>
      </c>
      <c r="V591" s="173" t="str">
        <f ca="1">IF(AND($W591&gt;0,RegimeExecucao="Unitário"),$F591,"")</f>
        <v/>
      </c>
      <c r="W591" s="547">
        <f ca="1">IF($Y591&gt;0,CHOOSE(MATCH(RegimeExecucao,{"Unitário","Global"},0),IF($A591="S",$Y591/$X591,""),($Y591/$X591)*100),0)</f>
        <v>0</v>
      </c>
      <c r="X591" s="384" t="str">
        <f ca="1">IF($Y591&gt;0,CHOOSE(MATCH(RegimeExecucao,{"Unitário","Global"},0),IF($A591="S",ROUND($H591,ORÇAMENTO!$AF$10),""),ROUND($I591,ORÇAMENTO!$AF$11)),"")</f>
        <v/>
      </c>
      <c r="Y591" s="384">
        <f t="shared" ca="1" si="62"/>
        <v>0</v>
      </c>
      <c r="Z591" s="572"/>
      <c r="AB591" s="382"/>
      <c r="AC591" s="516"/>
      <c r="AD591" s="516"/>
      <c r="AE591" s="516"/>
      <c r="AF591" s="516"/>
      <c r="AG591" s="516"/>
      <c r="AH591" s="516"/>
      <c r="AI591" s="516"/>
      <c r="AJ591" s="516"/>
      <c r="AK591" s="516"/>
      <c r="AL591" s="516"/>
      <c r="AM591" s="383"/>
      <c r="AO591">
        <f ca="1">IF($A591="S",IF(BM!$I591=0,0,CHOOSE(MATCH(RegimeExecucao,{"Global","Unitário"},0),ROUND(ROUND(BM.MEDAcumulado,15-13*BM!$A$9)/100*BM!$I591,15-13*ORÇAMENTO!$AF$11),ROUND(ROUND(BM.MEDAcumulado,15-13*BM!$A$9)*ROUND(BM!$H591,15-13*ORÇAMENTO!$AF$10),15-13*ORÇAMENTO!$AF$11))),IF($A591=0,0,ROUND(SomaAgrupBM,15-13*ORÇAMENTO!$AF$11)))</f>
        <v>0</v>
      </c>
    </row>
    <row r="592" spans="1:41" ht="38.25" x14ac:dyDescent="0.2">
      <c r="A592" t="str">
        <f ca="1">ORÇAMENTO!C592</f>
        <v>S</v>
      </c>
      <c r="B592">
        <f ca="1">ORÇAMENTO!D592</f>
        <v>0</v>
      </c>
      <c r="C592" s="116" t="str">
        <f t="shared" ca="1" si="56"/>
        <v/>
      </c>
      <c r="D592" s="119" t="str">
        <f ca="1">ORÇAMENTO!O592</f>
        <v>-</v>
      </c>
      <c r="E592" s="172" t="str">
        <f t="shared" ca="1" si="63"/>
        <v>(abra o arquivo 'Referência 02-2025.xlsm)</v>
      </c>
      <c r="F592" s="173" t="str">
        <f ca="1">IF(RegimeExecucao="Global","",ORÇAMENTO.Unidade)</f>
        <v>-</v>
      </c>
      <c r="G592" s="124">
        <f ca="1">IF(RegimeExecucao="Global","",ORÇAMENTO!T592)</f>
        <v>2</v>
      </c>
      <c r="H592" s="124">
        <f ca="1">IF(RegimeExecucao="Global","",ORÇAMENTO!W592)</f>
        <v>0</v>
      </c>
      <c r="I592" s="127">
        <f ca="1">ORÇAMENTO!X592</f>
        <v>0</v>
      </c>
      <c r="J592" s="378">
        <f ca="1">IF($A592="S",IF(CAIXA.Modo,BM.AFAnterior,BM.MEDAnterior),IF(AND(RegimeExecucao="Global",$I592&gt;0,COUNTIF($AB$13:$AM$13,BM.medicao-1)&gt;0),M592/$I592*100,0))</f>
        <v>0</v>
      </c>
      <c r="K592" s="124">
        <f t="shared" ca="1" si="58"/>
        <v>0</v>
      </c>
      <c r="L592" s="379">
        <f ca="1">IF($A592="S",IF(CAIXA.Modo,BM.AFAcumulado,BM.MEDAcumulado),IF(AND(RegimeExecucao="Global",$I592&gt;0,COUNTIF($AB$13:$AM$13,BM.medicao)&gt;0),O592/$I592*100,0))</f>
        <v>0</v>
      </c>
      <c r="M592" s="380">
        <f ca="1">IF($A592="S",VTOTALBM,IF($A592=0,0,ROUND(SomaAgrupBM,15-13*ORÇAMENTO!$AF$11)))</f>
        <v>0</v>
      </c>
      <c r="N592" s="381">
        <f t="shared" ca="1" si="59"/>
        <v>0</v>
      </c>
      <c r="O592" s="127">
        <f ca="1">IF($A592="S",VTOTALBM,IF($A592=0,0,ROUND(SomaAgrupBM,15-13*ORÇAMENTO!$AF$11)))</f>
        <v>0</v>
      </c>
      <c r="Q592" s="382"/>
      <c r="R592" s="383"/>
      <c r="T592" s="119" t="str">
        <f t="shared" ca="1" si="60"/>
        <v/>
      </c>
      <c r="U592" s="172" t="str">
        <f t="shared" ca="1" si="61"/>
        <v/>
      </c>
      <c r="V592" s="173" t="str">
        <f ca="1">IF(AND($W592&gt;0,RegimeExecucao="Unitário"),$F592,"")</f>
        <v/>
      </c>
      <c r="W592" s="547">
        <f ca="1">IF($Y592&gt;0,CHOOSE(MATCH(RegimeExecucao,{"Unitário","Global"},0),IF($A592="S",$Y592/$X592,""),($Y592/$X592)*100),0)</f>
        <v>0</v>
      </c>
      <c r="X592" s="384" t="str">
        <f ca="1">IF($Y592&gt;0,CHOOSE(MATCH(RegimeExecucao,{"Unitário","Global"},0),IF($A592="S",ROUND($H592,ORÇAMENTO!$AF$10),""),ROUND($I592,ORÇAMENTO!$AF$11)),"")</f>
        <v/>
      </c>
      <c r="Y592" s="384">
        <f t="shared" ca="1" si="62"/>
        <v>0</v>
      </c>
      <c r="Z592" s="572"/>
      <c r="AB592" s="382"/>
      <c r="AC592" s="516"/>
      <c r="AD592" s="516"/>
      <c r="AE592" s="516"/>
      <c r="AF592" s="516"/>
      <c r="AG592" s="516"/>
      <c r="AH592" s="516"/>
      <c r="AI592" s="516"/>
      <c r="AJ592" s="516"/>
      <c r="AK592" s="516"/>
      <c r="AL592" s="516"/>
      <c r="AM592" s="383"/>
      <c r="AO592">
        <f ca="1">IF($A592="S",IF(BM!$I592=0,0,CHOOSE(MATCH(RegimeExecucao,{"Global","Unitário"},0),ROUND(ROUND(BM.MEDAcumulado,15-13*BM!$A$9)/100*BM!$I592,15-13*ORÇAMENTO!$AF$11),ROUND(ROUND(BM.MEDAcumulado,15-13*BM!$A$9)*ROUND(BM!$H592,15-13*ORÇAMENTO!$AF$10),15-13*ORÇAMENTO!$AF$11))),IF($A592=0,0,ROUND(SomaAgrupBM,15-13*ORÇAMENTO!$AF$11)))</f>
        <v>0</v>
      </c>
    </row>
    <row r="593" spans="1:41" x14ac:dyDescent="0.2">
      <c r="A593">
        <f ca="1">ORÇAMENTO!C593</f>
        <v>3</v>
      </c>
      <c r="B593">
        <f ca="1">ORÇAMENTO!D593</f>
        <v>4</v>
      </c>
      <c r="C593" s="116" t="str">
        <f t="shared" ca="1" si="56"/>
        <v>F</v>
      </c>
      <c r="D593" s="119" t="str">
        <f ca="1">ORÇAMENTO!O593</f>
        <v>1.17.10.</v>
      </c>
      <c r="E593" s="172" t="str">
        <f t="shared" ca="1" si="63"/>
        <v>PERFILADOS</v>
      </c>
      <c r="F593" s="173" t="str">
        <f ca="1">IF(RegimeExecucao="Global","",ORÇAMENTO.Unidade)</f>
        <v>-</v>
      </c>
      <c r="G593" s="124">
        <f ca="1">IF(RegimeExecucao="Global","",ORÇAMENTO!T593)</f>
        <v>0</v>
      </c>
      <c r="H593" s="124">
        <f ca="1">IF(RegimeExecucao="Global","",ORÇAMENTO!W593)</f>
        <v>0</v>
      </c>
      <c r="I593" s="127">
        <f ca="1">ORÇAMENTO!X593</f>
        <v>0</v>
      </c>
      <c r="J593" s="378">
        <f ca="1">IF($A593="S",IF(CAIXA.Modo,BM.AFAnterior,BM.MEDAnterior),IF(AND(RegimeExecucao="Global",$I593&gt;0,COUNTIF($AB$13:$AM$13,BM.medicao-1)&gt;0),M593/$I593*100,0))</f>
        <v>0</v>
      </c>
      <c r="K593" s="124">
        <f t="shared" ca="1" si="58"/>
        <v>0</v>
      </c>
      <c r="L593" s="379">
        <f ca="1">IF($A593="S",IF(CAIXA.Modo,BM.AFAcumulado,BM.MEDAcumulado),IF(AND(RegimeExecucao="Global",$I593&gt;0,COUNTIF($AB$13:$AM$13,BM.medicao)&gt;0),O593/$I593*100,0))</f>
        <v>0</v>
      </c>
      <c r="M593" s="380">
        <f ca="1">IF($A593="S",VTOTALBM,IF($A593=0,0,ROUND(SomaAgrupBM,15-13*ORÇAMENTO!$AF$11)))</f>
        <v>0</v>
      </c>
      <c r="N593" s="381">
        <f t="shared" ca="1" si="59"/>
        <v>0</v>
      </c>
      <c r="O593" s="127">
        <f ca="1">IF($A593="S",VTOTALBM,IF($A593=0,0,ROUND(SomaAgrupBM,15-13*ORÇAMENTO!$AF$11)))</f>
        <v>0</v>
      </c>
      <c r="Q593" s="382"/>
      <c r="R593" s="383"/>
      <c r="T593" s="119" t="str">
        <f t="shared" ca="1" si="60"/>
        <v/>
      </c>
      <c r="U593" s="172" t="str">
        <f t="shared" ca="1" si="61"/>
        <v/>
      </c>
      <c r="V593" s="173" t="str">
        <f ca="1">IF(AND($W593&gt;0,RegimeExecucao="Unitário"),$F593,"")</f>
        <v/>
      </c>
      <c r="W593" s="547">
        <f ca="1">IF($Y593&gt;0,CHOOSE(MATCH(RegimeExecucao,{"Unitário","Global"},0),IF($A593="S",$Y593/$X593,""),($Y593/$X593)*100),0)</f>
        <v>0</v>
      </c>
      <c r="X593" s="384" t="str">
        <f ca="1">IF($Y593&gt;0,CHOOSE(MATCH(RegimeExecucao,{"Unitário","Global"},0),IF($A593="S",ROUND($H593,ORÇAMENTO!$AF$10),""),ROUND($I593,ORÇAMENTO!$AF$11)),"")</f>
        <v/>
      </c>
      <c r="Y593" s="384">
        <f t="shared" ca="1" si="62"/>
        <v>0</v>
      </c>
      <c r="Z593" s="572"/>
      <c r="AB593" s="382"/>
      <c r="AC593" s="516"/>
      <c r="AD593" s="516"/>
      <c r="AE593" s="516"/>
      <c r="AF593" s="516"/>
      <c r="AG593" s="516"/>
      <c r="AH593" s="516"/>
      <c r="AI593" s="516"/>
      <c r="AJ593" s="516"/>
      <c r="AK593" s="516"/>
      <c r="AL593" s="516"/>
      <c r="AM593" s="383"/>
      <c r="AO593">
        <f ca="1">IF($A593="S",IF(BM!$I593=0,0,CHOOSE(MATCH(RegimeExecucao,{"Global","Unitário"},0),ROUND(ROUND(BM.MEDAcumulado,15-13*BM!$A$9)/100*BM!$I593,15-13*ORÇAMENTO!$AF$11),ROUND(ROUND(BM.MEDAcumulado,15-13*BM!$A$9)*ROUND(BM!$H593,15-13*ORÇAMENTO!$AF$10),15-13*ORÇAMENTO!$AF$11))),IF($A593=0,0,ROUND(SomaAgrupBM,15-13*ORÇAMENTO!$AF$11)))</f>
        <v>0</v>
      </c>
    </row>
    <row r="594" spans="1:41" ht="25.5" x14ac:dyDescent="0.2">
      <c r="A594" t="str">
        <f ca="1">ORÇAMENTO!C594</f>
        <v>S</v>
      </c>
      <c r="B594">
        <f ca="1">ORÇAMENTO!D594</f>
        <v>0</v>
      </c>
      <c r="C594" s="116" t="str">
        <f t="shared" ca="1" si="56"/>
        <v/>
      </c>
      <c r="D594" s="119" t="str">
        <f ca="1">ORÇAMENTO!O594</f>
        <v>-</v>
      </c>
      <c r="E594" s="172" t="str">
        <f t="shared" ca="1" si="63"/>
        <v>(abra o arquivo 'Referência 02-2025.xlsm)</v>
      </c>
      <c r="F594" s="173" t="str">
        <f ca="1">IF(RegimeExecucao="Global","",ORÇAMENTO.Unidade)</f>
        <v>-</v>
      </c>
      <c r="G594" s="124">
        <f ca="1">IF(RegimeExecucao="Global","",ORÇAMENTO!T594)</f>
        <v>53</v>
      </c>
      <c r="H594" s="124">
        <f ca="1">IF(RegimeExecucao="Global","",ORÇAMENTO!W594)</f>
        <v>0</v>
      </c>
      <c r="I594" s="127">
        <f ca="1">ORÇAMENTO!X594</f>
        <v>0</v>
      </c>
      <c r="J594" s="378">
        <f ca="1">IF($A594="S",IF(CAIXA.Modo,BM.AFAnterior,BM.MEDAnterior),IF(AND(RegimeExecucao="Global",$I594&gt;0,COUNTIF($AB$13:$AM$13,BM.medicao-1)&gt;0),M594/$I594*100,0))</f>
        <v>0</v>
      </c>
      <c r="K594" s="124">
        <f t="shared" ca="1" si="58"/>
        <v>0</v>
      </c>
      <c r="L594" s="379">
        <f ca="1">IF($A594="S",IF(CAIXA.Modo,BM.AFAcumulado,BM.MEDAcumulado),IF(AND(RegimeExecucao="Global",$I594&gt;0,COUNTIF($AB$13:$AM$13,BM.medicao)&gt;0),O594/$I594*100,0))</f>
        <v>0</v>
      </c>
      <c r="M594" s="380">
        <f ca="1">IF($A594="S",VTOTALBM,IF($A594=0,0,ROUND(SomaAgrupBM,15-13*ORÇAMENTO!$AF$11)))</f>
        <v>0</v>
      </c>
      <c r="N594" s="381">
        <f t="shared" ca="1" si="59"/>
        <v>0</v>
      </c>
      <c r="O594" s="127">
        <f ca="1">IF($A594="S",VTOTALBM,IF($A594=0,0,ROUND(SomaAgrupBM,15-13*ORÇAMENTO!$AF$11)))</f>
        <v>0</v>
      </c>
      <c r="Q594" s="382"/>
      <c r="R594" s="383"/>
      <c r="T594" s="119" t="str">
        <f t="shared" ca="1" si="60"/>
        <v/>
      </c>
      <c r="U594" s="172" t="str">
        <f t="shared" ca="1" si="61"/>
        <v/>
      </c>
      <c r="V594" s="173" t="str">
        <f ca="1">IF(AND($W594&gt;0,RegimeExecucao="Unitário"),$F594,"")</f>
        <v/>
      </c>
      <c r="W594" s="547">
        <f ca="1">IF($Y594&gt;0,CHOOSE(MATCH(RegimeExecucao,{"Unitário","Global"},0),IF($A594="S",$Y594/$X594,""),($Y594/$X594)*100),0)</f>
        <v>0</v>
      </c>
      <c r="X594" s="384" t="str">
        <f ca="1">IF($Y594&gt;0,CHOOSE(MATCH(RegimeExecucao,{"Unitário","Global"},0),IF($A594="S",ROUND($H594,ORÇAMENTO!$AF$10),""),ROUND($I594,ORÇAMENTO!$AF$11)),"")</f>
        <v/>
      </c>
      <c r="Y594" s="384">
        <f t="shared" ca="1" si="62"/>
        <v>0</v>
      </c>
      <c r="Z594" s="572"/>
      <c r="AB594" s="382"/>
      <c r="AC594" s="516"/>
      <c r="AD594" s="516"/>
      <c r="AE594" s="516"/>
      <c r="AF594" s="516"/>
      <c r="AG594" s="516"/>
      <c r="AH594" s="516"/>
      <c r="AI594" s="516"/>
      <c r="AJ594" s="516"/>
      <c r="AK594" s="516"/>
      <c r="AL594" s="516"/>
      <c r="AM594" s="383"/>
      <c r="AO594">
        <f ca="1">IF($A594="S",IF(BM!$I594=0,0,CHOOSE(MATCH(RegimeExecucao,{"Global","Unitário"},0),ROUND(ROUND(BM.MEDAcumulado,15-13*BM!$A$9)/100*BM!$I594,15-13*ORÇAMENTO!$AF$11),ROUND(ROUND(BM.MEDAcumulado,15-13*BM!$A$9)*ROUND(BM!$H594,15-13*ORÇAMENTO!$AF$10),15-13*ORÇAMENTO!$AF$11))),IF($A594=0,0,ROUND(SomaAgrupBM,15-13*ORÇAMENTO!$AF$11)))</f>
        <v>0</v>
      </c>
    </row>
    <row r="595" spans="1:41" ht="38.25" x14ac:dyDescent="0.2">
      <c r="A595" t="str">
        <f ca="1">ORÇAMENTO!C595</f>
        <v>S</v>
      </c>
      <c r="B595">
        <f ca="1">ORÇAMENTO!D595</f>
        <v>0</v>
      </c>
      <c r="C595" s="116" t="str">
        <f t="shared" ca="1" si="56"/>
        <v/>
      </c>
      <c r="D595" s="119" t="str">
        <f ca="1">ORÇAMENTO!O595</f>
        <v>-</v>
      </c>
      <c r="E595" s="172" t="str">
        <f t="shared" ca="1" si="63"/>
        <v>(abra o arquivo 'Referência 02-2025.xlsm)</v>
      </c>
      <c r="F595" s="173" t="str">
        <f ca="1">IF(RegimeExecucao="Global","",ORÇAMENTO.Unidade)</f>
        <v>-</v>
      </c>
      <c r="G595" s="124">
        <f ca="1">IF(RegimeExecucao="Global","",ORÇAMENTO!T595)</f>
        <v>45.3</v>
      </c>
      <c r="H595" s="124">
        <f ca="1">IF(RegimeExecucao="Global","",ORÇAMENTO!W595)</f>
        <v>0</v>
      </c>
      <c r="I595" s="127">
        <f ca="1">ORÇAMENTO!X595</f>
        <v>0</v>
      </c>
      <c r="J595" s="378">
        <f ca="1">IF($A595="S",IF(CAIXA.Modo,BM.AFAnterior,BM.MEDAnterior),IF(AND(RegimeExecucao="Global",$I595&gt;0,COUNTIF($AB$13:$AM$13,BM.medicao-1)&gt;0),M595/$I595*100,0))</f>
        <v>0</v>
      </c>
      <c r="K595" s="124">
        <f t="shared" ca="1" si="58"/>
        <v>0</v>
      </c>
      <c r="L595" s="379">
        <f ca="1">IF($A595="S",IF(CAIXA.Modo,BM.AFAcumulado,BM.MEDAcumulado),IF(AND(RegimeExecucao="Global",$I595&gt;0,COUNTIF($AB$13:$AM$13,BM.medicao)&gt;0),O595/$I595*100,0))</f>
        <v>0</v>
      </c>
      <c r="M595" s="380">
        <f ca="1">IF($A595="S",VTOTALBM,IF($A595=0,0,ROUND(SomaAgrupBM,15-13*ORÇAMENTO!$AF$11)))</f>
        <v>0</v>
      </c>
      <c r="N595" s="381">
        <f t="shared" ca="1" si="59"/>
        <v>0</v>
      </c>
      <c r="O595" s="127">
        <f ca="1">IF($A595="S",VTOTALBM,IF($A595=0,0,ROUND(SomaAgrupBM,15-13*ORÇAMENTO!$AF$11)))</f>
        <v>0</v>
      </c>
      <c r="Q595" s="382"/>
      <c r="R595" s="383"/>
      <c r="T595" s="119" t="str">
        <f t="shared" ca="1" si="60"/>
        <v/>
      </c>
      <c r="U595" s="172" t="str">
        <f t="shared" ca="1" si="61"/>
        <v/>
      </c>
      <c r="V595" s="173" t="str">
        <f ca="1">IF(AND($W595&gt;0,RegimeExecucao="Unitário"),$F595,"")</f>
        <v/>
      </c>
      <c r="W595" s="547">
        <f ca="1">IF($Y595&gt;0,CHOOSE(MATCH(RegimeExecucao,{"Unitário","Global"},0),IF($A595="S",$Y595/$X595,""),($Y595/$X595)*100),0)</f>
        <v>0</v>
      </c>
      <c r="X595" s="384" t="str">
        <f ca="1">IF($Y595&gt;0,CHOOSE(MATCH(RegimeExecucao,{"Unitário","Global"},0),IF($A595="S",ROUND($H595,ORÇAMENTO!$AF$10),""),ROUND($I595,ORÇAMENTO!$AF$11)),"")</f>
        <v/>
      </c>
      <c r="Y595" s="384">
        <f t="shared" ca="1" si="62"/>
        <v>0</v>
      </c>
      <c r="Z595" s="572"/>
      <c r="AB595" s="382"/>
      <c r="AC595" s="516"/>
      <c r="AD595" s="516"/>
      <c r="AE595" s="516"/>
      <c r="AF595" s="516"/>
      <c r="AG595" s="516"/>
      <c r="AH595" s="516"/>
      <c r="AI595" s="516"/>
      <c r="AJ595" s="516"/>
      <c r="AK595" s="516"/>
      <c r="AL595" s="516"/>
      <c r="AM595" s="383"/>
      <c r="AO595">
        <f ca="1">IF($A595="S",IF(BM!$I595=0,0,CHOOSE(MATCH(RegimeExecucao,{"Global","Unitário"},0),ROUND(ROUND(BM.MEDAcumulado,15-13*BM!$A$9)/100*BM!$I595,15-13*ORÇAMENTO!$AF$11),ROUND(ROUND(BM.MEDAcumulado,15-13*BM!$A$9)*ROUND(BM!$H595,15-13*ORÇAMENTO!$AF$10),15-13*ORÇAMENTO!$AF$11))),IF($A595=0,0,ROUND(SomaAgrupBM,15-13*ORÇAMENTO!$AF$11)))</f>
        <v>0</v>
      </c>
    </row>
    <row r="596" spans="1:41" ht="25.5" x14ac:dyDescent="0.2">
      <c r="A596" t="str">
        <f ca="1">ORÇAMENTO!C596</f>
        <v>S</v>
      </c>
      <c r="B596">
        <f ca="1">ORÇAMENTO!D596</f>
        <v>0</v>
      </c>
      <c r="C596" s="116" t="str">
        <f t="shared" ca="1" si="56"/>
        <v/>
      </c>
      <c r="D596" s="119" t="str">
        <f ca="1">ORÇAMENTO!O596</f>
        <v>-</v>
      </c>
      <c r="E596" s="172" t="str">
        <f t="shared" ca="1" si="63"/>
        <v>(abra o arquivo 'Referência 02-2025.xlsm)</v>
      </c>
      <c r="F596" s="173" t="str">
        <f ca="1">IF(RegimeExecucao="Global","",ORÇAMENTO.Unidade)</f>
        <v>-</v>
      </c>
      <c r="G596" s="124">
        <f ca="1">IF(RegimeExecucao="Global","",ORÇAMENTO!T596)</f>
        <v>45.3</v>
      </c>
      <c r="H596" s="124">
        <f ca="1">IF(RegimeExecucao="Global","",ORÇAMENTO!W596)</f>
        <v>0</v>
      </c>
      <c r="I596" s="127">
        <f ca="1">ORÇAMENTO!X596</f>
        <v>0</v>
      </c>
      <c r="J596" s="378">
        <f ca="1">IF($A596="S",IF(CAIXA.Modo,BM.AFAnterior,BM.MEDAnterior),IF(AND(RegimeExecucao="Global",$I596&gt;0,COUNTIF($AB$13:$AM$13,BM.medicao-1)&gt;0),M596/$I596*100,0))</f>
        <v>0</v>
      </c>
      <c r="K596" s="124">
        <f t="shared" ca="1" si="58"/>
        <v>0</v>
      </c>
      <c r="L596" s="379">
        <f ca="1">IF($A596="S",IF(CAIXA.Modo,BM.AFAcumulado,BM.MEDAcumulado),IF(AND(RegimeExecucao="Global",$I596&gt;0,COUNTIF($AB$13:$AM$13,BM.medicao)&gt;0),O596/$I596*100,0))</f>
        <v>0</v>
      </c>
      <c r="M596" s="380">
        <f ca="1">IF($A596="S",VTOTALBM,IF($A596=0,0,ROUND(SomaAgrupBM,15-13*ORÇAMENTO!$AF$11)))</f>
        <v>0</v>
      </c>
      <c r="N596" s="381">
        <f t="shared" ca="1" si="59"/>
        <v>0</v>
      </c>
      <c r="O596" s="127">
        <f ca="1">IF($A596="S",VTOTALBM,IF($A596=0,0,ROUND(SomaAgrupBM,15-13*ORÇAMENTO!$AF$11)))</f>
        <v>0</v>
      </c>
      <c r="Q596" s="382"/>
      <c r="R596" s="383"/>
      <c r="T596" s="119" t="str">
        <f t="shared" ca="1" si="60"/>
        <v/>
      </c>
      <c r="U596" s="172" t="str">
        <f t="shared" ca="1" si="61"/>
        <v/>
      </c>
      <c r="V596" s="173" t="str">
        <f ca="1">IF(AND($W596&gt;0,RegimeExecucao="Unitário"),$F596,"")</f>
        <v/>
      </c>
      <c r="W596" s="547">
        <f ca="1">IF($Y596&gt;0,CHOOSE(MATCH(RegimeExecucao,{"Unitário","Global"},0),IF($A596="S",$Y596/$X596,""),($Y596/$X596)*100),0)</f>
        <v>0</v>
      </c>
      <c r="X596" s="384" t="str">
        <f ca="1">IF($Y596&gt;0,CHOOSE(MATCH(RegimeExecucao,{"Unitário","Global"},0),IF($A596="S",ROUND($H596,ORÇAMENTO!$AF$10),""),ROUND($I596,ORÇAMENTO!$AF$11)),"")</f>
        <v/>
      </c>
      <c r="Y596" s="384">
        <f t="shared" ca="1" si="62"/>
        <v>0</v>
      </c>
      <c r="Z596" s="572"/>
      <c r="AB596" s="382"/>
      <c r="AC596" s="516"/>
      <c r="AD596" s="516"/>
      <c r="AE596" s="516"/>
      <c r="AF596" s="516"/>
      <c r="AG596" s="516"/>
      <c r="AH596" s="516"/>
      <c r="AI596" s="516"/>
      <c r="AJ596" s="516"/>
      <c r="AK596" s="516"/>
      <c r="AL596" s="516"/>
      <c r="AM596" s="383"/>
      <c r="AO596">
        <f ca="1">IF($A596="S",IF(BM!$I596=0,0,CHOOSE(MATCH(RegimeExecucao,{"Global","Unitário"},0),ROUND(ROUND(BM.MEDAcumulado,15-13*BM!$A$9)/100*BM!$I596,15-13*ORÇAMENTO!$AF$11),ROUND(ROUND(BM.MEDAcumulado,15-13*BM!$A$9)*ROUND(BM!$H596,15-13*ORÇAMENTO!$AF$10),15-13*ORÇAMENTO!$AF$11))),IF($A596=0,0,ROUND(SomaAgrupBM,15-13*ORÇAMENTO!$AF$11)))</f>
        <v>0</v>
      </c>
    </row>
    <row r="597" spans="1:41" x14ac:dyDescent="0.2">
      <c r="A597">
        <f ca="1">ORÇAMENTO!C597</f>
        <v>3</v>
      </c>
      <c r="B597">
        <f ca="1">ORÇAMENTO!D597</f>
        <v>8</v>
      </c>
      <c r="C597" s="116" t="str">
        <f t="shared" ca="1" si="56"/>
        <v>F</v>
      </c>
      <c r="D597" s="119" t="str">
        <f ca="1">ORÇAMENTO!O597</f>
        <v>1.17.11.</v>
      </c>
      <c r="E597" s="172" t="str">
        <f t="shared" ca="1" si="63"/>
        <v>ILUMINAÇÃO</v>
      </c>
      <c r="F597" s="173" t="str">
        <f ca="1">IF(RegimeExecucao="Global","",ORÇAMENTO.Unidade)</f>
        <v>-</v>
      </c>
      <c r="G597" s="124">
        <f ca="1">IF(RegimeExecucao="Global","",ORÇAMENTO!T597)</f>
        <v>0</v>
      </c>
      <c r="H597" s="124">
        <f ca="1">IF(RegimeExecucao="Global","",ORÇAMENTO!W597)</f>
        <v>0</v>
      </c>
      <c r="I597" s="127">
        <f ca="1">ORÇAMENTO!X597</f>
        <v>0</v>
      </c>
      <c r="J597" s="378">
        <f ca="1">IF($A597="S",IF(CAIXA.Modo,BM.AFAnterior,BM.MEDAnterior),IF(AND(RegimeExecucao="Global",$I597&gt;0,COUNTIF($AB$13:$AM$13,BM.medicao-1)&gt;0),M597/$I597*100,0))</f>
        <v>0</v>
      </c>
      <c r="K597" s="124">
        <f t="shared" ca="1" si="58"/>
        <v>0</v>
      </c>
      <c r="L597" s="379">
        <f ca="1">IF($A597="S",IF(CAIXA.Modo,BM.AFAcumulado,BM.MEDAcumulado),IF(AND(RegimeExecucao="Global",$I597&gt;0,COUNTIF($AB$13:$AM$13,BM.medicao)&gt;0),O597/$I597*100,0))</f>
        <v>0</v>
      </c>
      <c r="M597" s="380">
        <f ca="1">IF($A597="S",VTOTALBM,IF($A597=0,0,ROUND(SomaAgrupBM,15-13*ORÇAMENTO!$AF$11)))</f>
        <v>0</v>
      </c>
      <c r="N597" s="381">
        <f t="shared" ca="1" si="59"/>
        <v>0</v>
      </c>
      <c r="O597" s="127">
        <f ca="1">IF($A597="S",VTOTALBM,IF($A597=0,0,ROUND(SomaAgrupBM,15-13*ORÇAMENTO!$AF$11)))</f>
        <v>0</v>
      </c>
      <c r="Q597" s="382"/>
      <c r="R597" s="383"/>
      <c r="T597" s="119" t="str">
        <f t="shared" ca="1" si="60"/>
        <v/>
      </c>
      <c r="U597" s="172" t="str">
        <f t="shared" ca="1" si="61"/>
        <v/>
      </c>
      <c r="V597" s="173" t="str">
        <f ca="1">IF(AND($W597&gt;0,RegimeExecucao="Unitário"),$F597,"")</f>
        <v/>
      </c>
      <c r="W597" s="547">
        <f ca="1">IF($Y597&gt;0,CHOOSE(MATCH(RegimeExecucao,{"Unitário","Global"},0),IF($A597="S",$Y597/$X597,""),($Y597/$X597)*100),0)</f>
        <v>0</v>
      </c>
      <c r="X597" s="384" t="str">
        <f ca="1">IF($Y597&gt;0,CHOOSE(MATCH(RegimeExecucao,{"Unitário","Global"},0),IF($A597="S",ROUND($H597,ORÇAMENTO!$AF$10),""),ROUND($I597,ORÇAMENTO!$AF$11)),"")</f>
        <v/>
      </c>
      <c r="Y597" s="384">
        <f t="shared" ca="1" si="62"/>
        <v>0</v>
      </c>
      <c r="Z597" s="572"/>
      <c r="AB597" s="382"/>
      <c r="AC597" s="516"/>
      <c r="AD597" s="516"/>
      <c r="AE597" s="516"/>
      <c r="AF597" s="516"/>
      <c r="AG597" s="516"/>
      <c r="AH597" s="516"/>
      <c r="AI597" s="516"/>
      <c r="AJ597" s="516"/>
      <c r="AK597" s="516"/>
      <c r="AL597" s="516"/>
      <c r="AM597" s="383"/>
      <c r="AO597">
        <f ca="1">IF($A597="S",IF(BM!$I597=0,0,CHOOSE(MATCH(RegimeExecucao,{"Global","Unitário"},0),ROUND(ROUND(BM.MEDAcumulado,15-13*BM!$A$9)/100*BM!$I597,15-13*ORÇAMENTO!$AF$11),ROUND(ROUND(BM.MEDAcumulado,15-13*BM!$A$9)*ROUND(BM!$H597,15-13*ORÇAMENTO!$AF$10),15-13*ORÇAMENTO!$AF$11))),IF($A597=0,0,ROUND(SomaAgrupBM,15-13*ORÇAMENTO!$AF$11)))</f>
        <v>0</v>
      </c>
    </row>
    <row r="598" spans="1:41" ht="25.5" x14ac:dyDescent="0.2">
      <c r="A598" t="str">
        <f ca="1">ORÇAMENTO!C598</f>
        <v>S</v>
      </c>
      <c r="B598">
        <f ca="1">ORÇAMENTO!D598</f>
        <v>0</v>
      </c>
      <c r="C598" s="116" t="str">
        <f t="shared" ca="1" si="56"/>
        <v/>
      </c>
      <c r="D598" s="119" t="str">
        <f ca="1">ORÇAMENTO!O598</f>
        <v>-</v>
      </c>
      <c r="E598" s="172" t="str">
        <f t="shared" ca="1" si="63"/>
        <v>(abra o arquivo 'Referência 02-2025.xlsm)</v>
      </c>
      <c r="F598" s="173" t="str">
        <f ca="1">IF(RegimeExecucao="Global","",ORÇAMENTO.Unidade)</f>
        <v>-</v>
      </c>
      <c r="G598" s="124">
        <f ca="1">IF(RegimeExecucao="Global","",ORÇAMENTO!T598)</f>
        <v>14</v>
      </c>
      <c r="H598" s="124">
        <f ca="1">IF(RegimeExecucao="Global","",ORÇAMENTO!W598)</f>
        <v>0</v>
      </c>
      <c r="I598" s="127">
        <f ca="1">ORÇAMENTO!X598</f>
        <v>0</v>
      </c>
      <c r="J598" s="378">
        <f ca="1">IF($A598="S",IF(CAIXA.Modo,BM.AFAnterior,BM.MEDAnterior),IF(AND(RegimeExecucao="Global",$I598&gt;0,COUNTIF($AB$13:$AM$13,BM.medicao-1)&gt;0),M598/$I598*100,0))</f>
        <v>0</v>
      </c>
      <c r="K598" s="124">
        <f t="shared" ca="1" si="58"/>
        <v>0</v>
      </c>
      <c r="L598" s="379">
        <f ca="1">IF($A598="S",IF(CAIXA.Modo,BM.AFAcumulado,BM.MEDAcumulado),IF(AND(RegimeExecucao="Global",$I598&gt;0,COUNTIF($AB$13:$AM$13,BM.medicao)&gt;0),O598/$I598*100,0))</f>
        <v>0</v>
      </c>
      <c r="M598" s="380">
        <f ca="1">IF($A598="S",VTOTALBM,IF($A598=0,0,ROUND(SomaAgrupBM,15-13*ORÇAMENTO!$AF$11)))</f>
        <v>0</v>
      </c>
      <c r="N598" s="381">
        <f t="shared" ca="1" si="59"/>
        <v>0</v>
      </c>
      <c r="O598" s="127">
        <f ca="1">IF($A598="S",VTOTALBM,IF($A598=0,0,ROUND(SomaAgrupBM,15-13*ORÇAMENTO!$AF$11)))</f>
        <v>0</v>
      </c>
      <c r="Q598" s="382"/>
      <c r="R598" s="383"/>
      <c r="T598" s="119" t="str">
        <f t="shared" ca="1" si="60"/>
        <v/>
      </c>
      <c r="U598" s="172" t="str">
        <f t="shared" ca="1" si="61"/>
        <v/>
      </c>
      <c r="V598" s="173" t="str">
        <f ca="1">IF(AND($W598&gt;0,RegimeExecucao="Unitário"),$F598,"")</f>
        <v/>
      </c>
      <c r="W598" s="547">
        <f ca="1">IF($Y598&gt;0,CHOOSE(MATCH(RegimeExecucao,{"Unitário","Global"},0),IF($A598="S",$Y598/$X598,""),($Y598/$X598)*100),0)</f>
        <v>0</v>
      </c>
      <c r="X598" s="384" t="str">
        <f ca="1">IF($Y598&gt;0,CHOOSE(MATCH(RegimeExecucao,{"Unitário","Global"},0),IF($A598="S",ROUND($H598,ORÇAMENTO!$AF$10),""),ROUND($I598,ORÇAMENTO!$AF$11)),"")</f>
        <v/>
      </c>
      <c r="Y598" s="384">
        <f t="shared" ca="1" si="62"/>
        <v>0</v>
      </c>
      <c r="Z598" s="572"/>
      <c r="AB598" s="382"/>
      <c r="AC598" s="516"/>
      <c r="AD598" s="516"/>
      <c r="AE598" s="516"/>
      <c r="AF598" s="516"/>
      <c r="AG598" s="516"/>
      <c r="AH598" s="516"/>
      <c r="AI598" s="516"/>
      <c r="AJ598" s="516"/>
      <c r="AK598" s="516"/>
      <c r="AL598" s="516"/>
      <c r="AM598" s="383"/>
      <c r="AO598">
        <f ca="1">IF($A598="S",IF(BM!$I598=0,0,CHOOSE(MATCH(RegimeExecucao,{"Global","Unitário"},0),ROUND(ROUND(BM.MEDAcumulado,15-13*BM!$A$9)/100*BM!$I598,15-13*ORÇAMENTO!$AF$11),ROUND(ROUND(BM.MEDAcumulado,15-13*BM!$A$9)*ROUND(BM!$H598,15-13*ORÇAMENTO!$AF$10),15-13*ORÇAMENTO!$AF$11))),IF($A598=0,0,ROUND(SomaAgrupBM,15-13*ORÇAMENTO!$AF$11)))</f>
        <v>0</v>
      </c>
    </row>
    <row r="599" spans="1:41" ht="25.5" x14ac:dyDescent="0.2">
      <c r="A599" t="str">
        <f ca="1">ORÇAMENTO!C599</f>
        <v>S</v>
      </c>
      <c r="B599">
        <f ca="1">ORÇAMENTO!D599</f>
        <v>0</v>
      </c>
      <c r="C599" s="116" t="str">
        <f t="shared" ca="1" si="56"/>
        <v/>
      </c>
      <c r="D599" s="119" t="str">
        <f ca="1">ORÇAMENTO!O599</f>
        <v>-</v>
      </c>
      <c r="E599" s="172" t="str">
        <f t="shared" ca="1" si="63"/>
        <v>(abra o arquivo 'Referência 02-2025.xlsm)</v>
      </c>
      <c r="F599" s="173" t="str">
        <f ca="1">IF(RegimeExecucao="Global","",ORÇAMENTO.Unidade)</f>
        <v>-</v>
      </c>
      <c r="G599" s="124">
        <f ca="1">IF(RegimeExecucao="Global","",ORÇAMENTO!T599)</f>
        <v>89</v>
      </c>
      <c r="H599" s="124">
        <f ca="1">IF(RegimeExecucao="Global","",ORÇAMENTO!W599)</f>
        <v>0</v>
      </c>
      <c r="I599" s="127">
        <f ca="1">ORÇAMENTO!X599</f>
        <v>0</v>
      </c>
      <c r="J599" s="378">
        <f ca="1">IF($A599="S",IF(CAIXA.Modo,BM.AFAnterior,BM.MEDAnterior),IF(AND(RegimeExecucao="Global",$I599&gt;0,COUNTIF($AB$13:$AM$13,BM.medicao-1)&gt;0),M599/$I599*100,0))</f>
        <v>0</v>
      </c>
      <c r="K599" s="124">
        <f t="shared" ca="1" si="58"/>
        <v>0</v>
      </c>
      <c r="L599" s="379">
        <f ca="1">IF($A599="S",IF(CAIXA.Modo,BM.AFAcumulado,BM.MEDAcumulado),IF(AND(RegimeExecucao="Global",$I599&gt;0,COUNTIF($AB$13:$AM$13,BM.medicao)&gt;0),O599/$I599*100,0))</f>
        <v>0</v>
      </c>
      <c r="M599" s="380">
        <f ca="1">IF($A599="S",VTOTALBM,IF($A599=0,0,ROUND(SomaAgrupBM,15-13*ORÇAMENTO!$AF$11)))</f>
        <v>0</v>
      </c>
      <c r="N599" s="381">
        <f t="shared" ca="1" si="59"/>
        <v>0</v>
      </c>
      <c r="O599" s="127">
        <f ca="1">IF($A599="S",VTOTALBM,IF($A599=0,0,ROUND(SomaAgrupBM,15-13*ORÇAMENTO!$AF$11)))</f>
        <v>0</v>
      </c>
      <c r="Q599" s="382"/>
      <c r="R599" s="383"/>
      <c r="T599" s="119" t="str">
        <f t="shared" ca="1" si="60"/>
        <v/>
      </c>
      <c r="U599" s="172" t="str">
        <f t="shared" ca="1" si="61"/>
        <v/>
      </c>
      <c r="V599" s="173" t="str">
        <f ca="1">IF(AND($W599&gt;0,RegimeExecucao="Unitário"),$F599,"")</f>
        <v/>
      </c>
      <c r="W599" s="547">
        <f ca="1">IF($Y599&gt;0,CHOOSE(MATCH(RegimeExecucao,{"Unitário","Global"},0),IF($A599="S",$Y599/$X599,""),($Y599/$X599)*100),0)</f>
        <v>0</v>
      </c>
      <c r="X599" s="384" t="str">
        <f ca="1">IF($Y599&gt;0,CHOOSE(MATCH(RegimeExecucao,{"Unitário","Global"},0),IF($A599="S",ROUND($H599,ORÇAMENTO!$AF$10),""),ROUND($I599,ORÇAMENTO!$AF$11)),"")</f>
        <v/>
      </c>
      <c r="Y599" s="384">
        <f t="shared" ca="1" si="62"/>
        <v>0</v>
      </c>
      <c r="Z599" s="572"/>
      <c r="AB599" s="382"/>
      <c r="AC599" s="516"/>
      <c r="AD599" s="516"/>
      <c r="AE599" s="516"/>
      <c r="AF599" s="516"/>
      <c r="AG599" s="516"/>
      <c r="AH599" s="516"/>
      <c r="AI599" s="516"/>
      <c r="AJ599" s="516"/>
      <c r="AK599" s="516"/>
      <c r="AL599" s="516"/>
      <c r="AM599" s="383"/>
      <c r="AO599">
        <f ca="1">IF($A599="S",IF(BM!$I599=0,0,CHOOSE(MATCH(RegimeExecucao,{"Global","Unitário"},0),ROUND(ROUND(BM.MEDAcumulado,15-13*BM!$A$9)/100*BM!$I599,15-13*ORÇAMENTO!$AF$11),ROUND(ROUND(BM.MEDAcumulado,15-13*BM!$A$9)*ROUND(BM!$H599,15-13*ORÇAMENTO!$AF$10),15-13*ORÇAMENTO!$AF$11))),IF($A599=0,0,ROUND(SomaAgrupBM,15-13*ORÇAMENTO!$AF$11)))</f>
        <v>0</v>
      </c>
    </row>
    <row r="600" spans="1:41" ht="25.5" x14ac:dyDescent="0.2">
      <c r="A600" t="str">
        <f ca="1">ORÇAMENTO!C600</f>
        <v>S</v>
      </c>
      <c r="B600">
        <f ca="1">ORÇAMENTO!D600</f>
        <v>0</v>
      </c>
      <c r="C600" s="116" t="str">
        <f t="shared" ca="1" si="56"/>
        <v/>
      </c>
      <c r="D600" s="119" t="str">
        <f ca="1">ORÇAMENTO!O600</f>
        <v>-</v>
      </c>
      <c r="E600" s="172" t="str">
        <f t="shared" ca="1" si="63"/>
        <v>(abra o arquivo 'Referência 02-2025.xlsm)</v>
      </c>
      <c r="F600" s="173" t="str">
        <f ca="1">IF(RegimeExecucao="Global","",ORÇAMENTO.Unidade)</f>
        <v>-</v>
      </c>
      <c r="G600" s="124">
        <f ca="1">IF(RegimeExecucao="Global","",ORÇAMENTO!T600)</f>
        <v>56</v>
      </c>
      <c r="H600" s="124">
        <f ca="1">IF(RegimeExecucao="Global","",ORÇAMENTO!W600)</f>
        <v>0</v>
      </c>
      <c r="I600" s="127">
        <f ca="1">ORÇAMENTO!X600</f>
        <v>0</v>
      </c>
      <c r="J600" s="378">
        <f ca="1">IF($A600="S",IF(CAIXA.Modo,BM.AFAnterior,BM.MEDAnterior),IF(AND(RegimeExecucao="Global",$I600&gt;0,COUNTIF($AB$13:$AM$13,BM.medicao-1)&gt;0),M600/$I600*100,0))</f>
        <v>0</v>
      </c>
      <c r="K600" s="124">
        <f t="shared" ca="1" si="58"/>
        <v>0</v>
      </c>
      <c r="L600" s="379">
        <f ca="1">IF($A600="S",IF(CAIXA.Modo,BM.AFAcumulado,BM.MEDAcumulado),IF(AND(RegimeExecucao="Global",$I600&gt;0,COUNTIF($AB$13:$AM$13,BM.medicao)&gt;0),O600/$I600*100,0))</f>
        <v>0</v>
      </c>
      <c r="M600" s="380">
        <f ca="1">IF($A600="S",VTOTALBM,IF($A600=0,0,ROUND(SomaAgrupBM,15-13*ORÇAMENTO!$AF$11)))</f>
        <v>0</v>
      </c>
      <c r="N600" s="381">
        <f t="shared" ca="1" si="59"/>
        <v>0</v>
      </c>
      <c r="O600" s="127">
        <f ca="1">IF($A600="S",VTOTALBM,IF($A600=0,0,ROUND(SomaAgrupBM,15-13*ORÇAMENTO!$AF$11)))</f>
        <v>0</v>
      </c>
      <c r="Q600" s="382"/>
      <c r="R600" s="383"/>
      <c r="T600" s="119" t="str">
        <f t="shared" ca="1" si="60"/>
        <v/>
      </c>
      <c r="U600" s="172" t="str">
        <f t="shared" ca="1" si="61"/>
        <v/>
      </c>
      <c r="V600" s="173" t="str">
        <f ca="1">IF(AND($W600&gt;0,RegimeExecucao="Unitário"),$F600,"")</f>
        <v/>
      </c>
      <c r="W600" s="547">
        <f ca="1">IF($Y600&gt;0,CHOOSE(MATCH(RegimeExecucao,{"Unitário","Global"},0),IF($A600="S",$Y600/$X600,""),($Y600/$X600)*100),0)</f>
        <v>0</v>
      </c>
      <c r="X600" s="384" t="str">
        <f ca="1">IF($Y600&gt;0,CHOOSE(MATCH(RegimeExecucao,{"Unitário","Global"},0),IF($A600="S",ROUND($H600,ORÇAMENTO!$AF$10),""),ROUND($I600,ORÇAMENTO!$AF$11)),"")</f>
        <v/>
      </c>
      <c r="Y600" s="384">
        <f t="shared" ca="1" si="62"/>
        <v>0</v>
      </c>
      <c r="Z600" s="572"/>
      <c r="AB600" s="382"/>
      <c r="AC600" s="516"/>
      <c r="AD600" s="516"/>
      <c r="AE600" s="516"/>
      <c r="AF600" s="516"/>
      <c r="AG600" s="516"/>
      <c r="AH600" s="516"/>
      <c r="AI600" s="516"/>
      <c r="AJ600" s="516"/>
      <c r="AK600" s="516"/>
      <c r="AL600" s="516"/>
      <c r="AM600" s="383"/>
      <c r="AO600">
        <f ca="1">IF($A600="S",IF(BM!$I600=0,0,CHOOSE(MATCH(RegimeExecucao,{"Global","Unitário"},0),ROUND(ROUND(BM.MEDAcumulado,15-13*BM!$A$9)/100*BM!$I600,15-13*ORÇAMENTO!$AF$11),ROUND(ROUND(BM.MEDAcumulado,15-13*BM!$A$9)*ROUND(BM!$H600,15-13*ORÇAMENTO!$AF$10),15-13*ORÇAMENTO!$AF$11))),IF($A600=0,0,ROUND(SomaAgrupBM,15-13*ORÇAMENTO!$AF$11)))</f>
        <v>0</v>
      </c>
    </row>
    <row r="601" spans="1:41" ht="25.5" x14ac:dyDescent="0.2">
      <c r="A601" t="str">
        <f ca="1">ORÇAMENTO!C601</f>
        <v>S</v>
      </c>
      <c r="B601">
        <f ca="1">ORÇAMENTO!D601</f>
        <v>0</v>
      </c>
      <c r="C601" s="116" t="str">
        <f t="shared" ca="1" si="56"/>
        <v/>
      </c>
      <c r="D601" s="119" t="str">
        <f ca="1">ORÇAMENTO!O601</f>
        <v>-</v>
      </c>
      <c r="E601" s="172" t="str">
        <f t="shared" ca="1" si="63"/>
        <v>(abra o arquivo 'Referência 02-2025.xlsm)</v>
      </c>
      <c r="F601" s="173" t="str">
        <f ca="1">IF(RegimeExecucao="Global","",ORÇAMENTO.Unidade)</f>
        <v>-</v>
      </c>
      <c r="G601" s="124">
        <f ca="1">IF(RegimeExecucao="Global","",ORÇAMENTO!T601)</f>
        <v>6</v>
      </c>
      <c r="H601" s="124">
        <f ca="1">IF(RegimeExecucao="Global","",ORÇAMENTO!W601)</f>
        <v>0</v>
      </c>
      <c r="I601" s="127">
        <f ca="1">ORÇAMENTO!X601</f>
        <v>0</v>
      </c>
      <c r="J601" s="378">
        <f ca="1">IF($A601="S",IF(CAIXA.Modo,BM.AFAnterior,BM.MEDAnterior),IF(AND(RegimeExecucao="Global",$I601&gt;0,COUNTIF($AB$13:$AM$13,BM.medicao-1)&gt;0),M601/$I601*100,0))</f>
        <v>0</v>
      </c>
      <c r="K601" s="124">
        <f t="shared" ca="1" si="58"/>
        <v>0</v>
      </c>
      <c r="L601" s="379">
        <f ca="1">IF($A601="S",IF(CAIXA.Modo,BM.AFAcumulado,BM.MEDAcumulado),IF(AND(RegimeExecucao="Global",$I601&gt;0,COUNTIF($AB$13:$AM$13,BM.medicao)&gt;0),O601/$I601*100,0))</f>
        <v>0</v>
      </c>
      <c r="M601" s="380">
        <f ca="1">IF($A601="S",VTOTALBM,IF($A601=0,0,ROUND(SomaAgrupBM,15-13*ORÇAMENTO!$AF$11)))</f>
        <v>0</v>
      </c>
      <c r="N601" s="381">
        <f t="shared" ca="1" si="59"/>
        <v>0</v>
      </c>
      <c r="O601" s="127">
        <f ca="1">IF($A601="S",VTOTALBM,IF($A601=0,0,ROUND(SomaAgrupBM,15-13*ORÇAMENTO!$AF$11)))</f>
        <v>0</v>
      </c>
      <c r="Q601" s="382"/>
      <c r="R601" s="383"/>
      <c r="T601" s="119" t="str">
        <f t="shared" ca="1" si="60"/>
        <v/>
      </c>
      <c r="U601" s="172" t="str">
        <f t="shared" ca="1" si="61"/>
        <v/>
      </c>
      <c r="V601" s="173" t="str">
        <f ca="1">IF(AND($W601&gt;0,RegimeExecucao="Unitário"),$F601,"")</f>
        <v/>
      </c>
      <c r="W601" s="547">
        <f ca="1">IF($Y601&gt;0,CHOOSE(MATCH(RegimeExecucao,{"Unitário","Global"},0),IF($A601="S",$Y601/$X601,""),($Y601/$X601)*100),0)</f>
        <v>0</v>
      </c>
      <c r="X601" s="384" t="str">
        <f ca="1">IF($Y601&gt;0,CHOOSE(MATCH(RegimeExecucao,{"Unitário","Global"},0),IF($A601="S",ROUND($H601,ORÇAMENTO!$AF$10),""),ROUND($I601,ORÇAMENTO!$AF$11)),"")</f>
        <v/>
      </c>
      <c r="Y601" s="384">
        <f t="shared" ca="1" si="62"/>
        <v>0</v>
      </c>
      <c r="Z601" s="572"/>
      <c r="AB601" s="382"/>
      <c r="AC601" s="516"/>
      <c r="AD601" s="516"/>
      <c r="AE601" s="516"/>
      <c r="AF601" s="516"/>
      <c r="AG601" s="516"/>
      <c r="AH601" s="516"/>
      <c r="AI601" s="516"/>
      <c r="AJ601" s="516"/>
      <c r="AK601" s="516"/>
      <c r="AL601" s="516"/>
      <c r="AM601" s="383"/>
      <c r="AO601">
        <f ca="1">IF($A601="S",IF(BM!$I601=0,0,CHOOSE(MATCH(RegimeExecucao,{"Global","Unitário"},0),ROUND(ROUND(BM.MEDAcumulado,15-13*BM!$A$9)/100*BM!$I601,15-13*ORÇAMENTO!$AF$11),ROUND(ROUND(BM.MEDAcumulado,15-13*BM!$A$9)*ROUND(BM!$H601,15-13*ORÇAMENTO!$AF$10),15-13*ORÇAMENTO!$AF$11))),IF($A601=0,0,ROUND(SomaAgrupBM,15-13*ORÇAMENTO!$AF$11)))</f>
        <v>0</v>
      </c>
    </row>
    <row r="602" spans="1:41" ht="25.5" x14ac:dyDescent="0.2">
      <c r="A602" t="str">
        <f ca="1">ORÇAMENTO!C602</f>
        <v>S</v>
      </c>
      <c r="B602">
        <f ca="1">ORÇAMENTO!D602</f>
        <v>0</v>
      </c>
      <c r="C602" s="116" t="str">
        <f t="shared" ca="1" si="56"/>
        <v/>
      </c>
      <c r="D602" s="119" t="str">
        <f ca="1">ORÇAMENTO!O602</f>
        <v>-</v>
      </c>
      <c r="E602" s="172" t="str">
        <f t="shared" ca="1" si="63"/>
        <v>(abra o arquivo 'Referência 02-2025.xlsm)</v>
      </c>
      <c r="F602" s="173" t="str">
        <f ca="1">IF(RegimeExecucao="Global","",ORÇAMENTO.Unidade)</f>
        <v>-</v>
      </c>
      <c r="G602" s="124">
        <f ca="1">IF(RegimeExecucao="Global","",ORÇAMENTO!T602)</f>
        <v>5</v>
      </c>
      <c r="H602" s="124">
        <f ca="1">IF(RegimeExecucao="Global","",ORÇAMENTO!W602)</f>
        <v>0</v>
      </c>
      <c r="I602" s="127">
        <f ca="1">ORÇAMENTO!X602</f>
        <v>0</v>
      </c>
      <c r="J602" s="378">
        <f ca="1">IF($A602="S",IF(CAIXA.Modo,BM.AFAnterior,BM.MEDAnterior),IF(AND(RegimeExecucao="Global",$I602&gt;0,COUNTIF($AB$13:$AM$13,BM.medicao-1)&gt;0),M602/$I602*100,0))</f>
        <v>0</v>
      </c>
      <c r="K602" s="124">
        <f t="shared" ca="1" si="58"/>
        <v>0</v>
      </c>
      <c r="L602" s="379">
        <f ca="1">IF($A602="S",IF(CAIXA.Modo,BM.AFAcumulado,BM.MEDAcumulado),IF(AND(RegimeExecucao="Global",$I602&gt;0,COUNTIF($AB$13:$AM$13,BM.medicao)&gt;0),O602/$I602*100,0))</f>
        <v>0</v>
      </c>
      <c r="M602" s="380">
        <f ca="1">IF($A602="S",VTOTALBM,IF($A602=0,0,ROUND(SomaAgrupBM,15-13*ORÇAMENTO!$AF$11)))</f>
        <v>0</v>
      </c>
      <c r="N602" s="381">
        <f t="shared" ca="1" si="59"/>
        <v>0</v>
      </c>
      <c r="O602" s="127">
        <f ca="1">IF($A602="S",VTOTALBM,IF($A602=0,0,ROUND(SomaAgrupBM,15-13*ORÇAMENTO!$AF$11)))</f>
        <v>0</v>
      </c>
      <c r="Q602" s="382"/>
      <c r="R602" s="383"/>
      <c r="T602" s="119" t="str">
        <f t="shared" ca="1" si="60"/>
        <v/>
      </c>
      <c r="U602" s="172" t="str">
        <f t="shared" ca="1" si="61"/>
        <v/>
      </c>
      <c r="V602" s="173" t="str">
        <f ca="1">IF(AND($W602&gt;0,RegimeExecucao="Unitário"),$F602,"")</f>
        <v/>
      </c>
      <c r="W602" s="547">
        <f ca="1">IF($Y602&gt;0,CHOOSE(MATCH(RegimeExecucao,{"Unitário","Global"},0),IF($A602="S",$Y602/$X602,""),($Y602/$X602)*100),0)</f>
        <v>0</v>
      </c>
      <c r="X602" s="384" t="str">
        <f ca="1">IF($Y602&gt;0,CHOOSE(MATCH(RegimeExecucao,{"Unitário","Global"},0),IF($A602="S",ROUND($H602,ORÇAMENTO!$AF$10),""),ROUND($I602,ORÇAMENTO!$AF$11)),"")</f>
        <v/>
      </c>
      <c r="Y602" s="384">
        <f t="shared" ca="1" si="62"/>
        <v>0</v>
      </c>
      <c r="Z602" s="572"/>
      <c r="AB602" s="382"/>
      <c r="AC602" s="516"/>
      <c r="AD602" s="516"/>
      <c r="AE602" s="516"/>
      <c r="AF602" s="516"/>
      <c r="AG602" s="516"/>
      <c r="AH602" s="516"/>
      <c r="AI602" s="516"/>
      <c r="AJ602" s="516"/>
      <c r="AK602" s="516"/>
      <c r="AL602" s="516"/>
      <c r="AM602" s="383"/>
      <c r="AO602">
        <f ca="1">IF($A602="S",IF(BM!$I602=0,0,CHOOSE(MATCH(RegimeExecucao,{"Global","Unitário"},0),ROUND(ROUND(BM.MEDAcumulado,15-13*BM!$A$9)/100*BM!$I602,15-13*ORÇAMENTO!$AF$11),ROUND(ROUND(BM.MEDAcumulado,15-13*BM!$A$9)*ROUND(BM!$H602,15-13*ORÇAMENTO!$AF$10),15-13*ORÇAMENTO!$AF$11))),IF($A602=0,0,ROUND(SomaAgrupBM,15-13*ORÇAMENTO!$AF$11)))</f>
        <v>0</v>
      </c>
    </row>
    <row r="603" spans="1:41" ht="25.5" x14ac:dyDescent="0.2">
      <c r="A603" t="str">
        <f ca="1">ORÇAMENTO!C603</f>
        <v>S</v>
      </c>
      <c r="B603">
        <f ca="1">ORÇAMENTO!D603</f>
        <v>0</v>
      </c>
      <c r="C603" s="116" t="str">
        <f t="shared" ca="1" si="56"/>
        <v/>
      </c>
      <c r="D603" s="119" t="str">
        <f ca="1">ORÇAMENTO!O603</f>
        <v>-</v>
      </c>
      <c r="E603" s="172" t="str">
        <f t="shared" ca="1" si="63"/>
        <v>(abra o arquivo 'Referência 02-2025.xlsm)</v>
      </c>
      <c r="F603" s="173" t="str">
        <f ca="1">IF(RegimeExecucao="Global","",ORÇAMENTO.Unidade)</f>
        <v>-</v>
      </c>
      <c r="G603" s="124">
        <f ca="1">IF(RegimeExecucao="Global","",ORÇAMENTO!T603)</f>
        <v>9</v>
      </c>
      <c r="H603" s="124">
        <f ca="1">IF(RegimeExecucao="Global","",ORÇAMENTO!W603)</f>
        <v>0</v>
      </c>
      <c r="I603" s="127">
        <f ca="1">ORÇAMENTO!X603</f>
        <v>0</v>
      </c>
      <c r="J603" s="378">
        <f ca="1">IF($A603="S",IF(CAIXA.Modo,BM.AFAnterior,BM.MEDAnterior),IF(AND(RegimeExecucao="Global",$I603&gt;0,COUNTIF($AB$13:$AM$13,BM.medicao-1)&gt;0),M603/$I603*100,0))</f>
        <v>0</v>
      </c>
      <c r="K603" s="124">
        <f t="shared" ca="1" si="58"/>
        <v>0</v>
      </c>
      <c r="L603" s="379">
        <f ca="1">IF($A603="S",IF(CAIXA.Modo,BM.AFAcumulado,BM.MEDAcumulado),IF(AND(RegimeExecucao="Global",$I603&gt;0,COUNTIF($AB$13:$AM$13,BM.medicao)&gt;0),O603/$I603*100,0))</f>
        <v>0</v>
      </c>
      <c r="M603" s="380">
        <f ca="1">IF($A603="S",VTOTALBM,IF($A603=0,0,ROUND(SomaAgrupBM,15-13*ORÇAMENTO!$AF$11)))</f>
        <v>0</v>
      </c>
      <c r="N603" s="381">
        <f t="shared" ca="1" si="59"/>
        <v>0</v>
      </c>
      <c r="O603" s="127">
        <f ca="1">IF($A603="S",VTOTALBM,IF($A603=0,0,ROUND(SomaAgrupBM,15-13*ORÇAMENTO!$AF$11)))</f>
        <v>0</v>
      </c>
      <c r="Q603" s="382"/>
      <c r="R603" s="383"/>
      <c r="T603" s="119" t="str">
        <f t="shared" ca="1" si="60"/>
        <v/>
      </c>
      <c r="U603" s="172" t="str">
        <f t="shared" ca="1" si="61"/>
        <v/>
      </c>
      <c r="V603" s="173" t="str">
        <f ca="1">IF(AND($W603&gt;0,RegimeExecucao="Unitário"),$F603,"")</f>
        <v/>
      </c>
      <c r="W603" s="547">
        <f ca="1">IF($Y603&gt;0,CHOOSE(MATCH(RegimeExecucao,{"Unitário","Global"},0),IF($A603="S",$Y603/$X603,""),($Y603/$X603)*100),0)</f>
        <v>0</v>
      </c>
      <c r="X603" s="384" t="str">
        <f ca="1">IF($Y603&gt;0,CHOOSE(MATCH(RegimeExecucao,{"Unitário","Global"},0),IF($A603="S",ROUND($H603,ORÇAMENTO!$AF$10),""),ROUND($I603,ORÇAMENTO!$AF$11)),"")</f>
        <v/>
      </c>
      <c r="Y603" s="384">
        <f t="shared" ca="1" si="62"/>
        <v>0</v>
      </c>
      <c r="Z603" s="572"/>
      <c r="AB603" s="382"/>
      <c r="AC603" s="516"/>
      <c r="AD603" s="516"/>
      <c r="AE603" s="516"/>
      <c r="AF603" s="516"/>
      <c r="AG603" s="516"/>
      <c r="AH603" s="516"/>
      <c r="AI603" s="516"/>
      <c r="AJ603" s="516"/>
      <c r="AK603" s="516"/>
      <c r="AL603" s="516"/>
      <c r="AM603" s="383"/>
      <c r="AO603">
        <f ca="1">IF($A603="S",IF(BM!$I603=0,0,CHOOSE(MATCH(RegimeExecucao,{"Global","Unitário"},0),ROUND(ROUND(BM.MEDAcumulado,15-13*BM!$A$9)/100*BM!$I603,15-13*ORÇAMENTO!$AF$11),ROUND(ROUND(BM.MEDAcumulado,15-13*BM!$A$9)*ROUND(BM!$H603,15-13*ORÇAMENTO!$AF$10),15-13*ORÇAMENTO!$AF$11))),IF($A603=0,0,ROUND(SomaAgrupBM,15-13*ORÇAMENTO!$AF$11)))</f>
        <v>0</v>
      </c>
    </row>
    <row r="604" spans="1:41" ht="38.25" x14ac:dyDescent="0.2">
      <c r="A604" t="str">
        <f ca="1">ORÇAMENTO!C604</f>
        <v>S</v>
      </c>
      <c r="B604">
        <f ca="1">ORÇAMENTO!D604</f>
        <v>0</v>
      </c>
      <c r="C604" s="116" t="str">
        <f t="shared" ca="1" si="56"/>
        <v/>
      </c>
      <c r="D604" s="119" t="str">
        <f ca="1">ORÇAMENTO!O604</f>
        <v>-</v>
      </c>
      <c r="E604" s="172" t="str">
        <f t="shared" ca="1" si="63"/>
        <v>(abra o arquivo 'Referência 02-2025.xlsm)</v>
      </c>
      <c r="F604" s="173" t="str">
        <f ca="1">IF(RegimeExecucao="Global","",ORÇAMENTO.Unidade)</f>
        <v>-</v>
      </c>
      <c r="G604" s="124">
        <f ca="1">IF(RegimeExecucao="Global","",ORÇAMENTO!T604)</f>
        <v>17</v>
      </c>
      <c r="H604" s="124">
        <f ca="1">IF(RegimeExecucao="Global","",ORÇAMENTO!W604)</f>
        <v>0</v>
      </c>
      <c r="I604" s="127">
        <f ca="1">ORÇAMENTO!X604</f>
        <v>0</v>
      </c>
      <c r="J604" s="378">
        <f ca="1">IF($A604="S",IF(CAIXA.Modo,BM.AFAnterior,BM.MEDAnterior),IF(AND(RegimeExecucao="Global",$I604&gt;0,COUNTIF($AB$13:$AM$13,BM.medicao-1)&gt;0),M604/$I604*100,0))</f>
        <v>0</v>
      </c>
      <c r="K604" s="124">
        <f t="shared" ca="1" si="58"/>
        <v>0</v>
      </c>
      <c r="L604" s="379">
        <f ca="1">IF($A604="S",IF(CAIXA.Modo,BM.AFAcumulado,BM.MEDAcumulado),IF(AND(RegimeExecucao="Global",$I604&gt;0,COUNTIF($AB$13:$AM$13,BM.medicao)&gt;0),O604/$I604*100,0))</f>
        <v>0</v>
      </c>
      <c r="M604" s="380">
        <f ca="1">IF($A604="S",VTOTALBM,IF($A604=0,0,ROUND(SomaAgrupBM,15-13*ORÇAMENTO!$AF$11)))</f>
        <v>0</v>
      </c>
      <c r="N604" s="381">
        <f t="shared" ca="1" si="59"/>
        <v>0</v>
      </c>
      <c r="O604" s="127">
        <f ca="1">IF($A604="S",VTOTALBM,IF($A604=0,0,ROUND(SomaAgrupBM,15-13*ORÇAMENTO!$AF$11)))</f>
        <v>0</v>
      </c>
      <c r="Q604" s="382"/>
      <c r="R604" s="383"/>
      <c r="T604" s="119" t="str">
        <f t="shared" ca="1" si="60"/>
        <v/>
      </c>
      <c r="U604" s="172" t="str">
        <f t="shared" ca="1" si="61"/>
        <v/>
      </c>
      <c r="V604" s="173" t="str">
        <f ca="1">IF(AND($W604&gt;0,RegimeExecucao="Unitário"),$F604,"")</f>
        <v/>
      </c>
      <c r="W604" s="547">
        <f ca="1">IF($Y604&gt;0,CHOOSE(MATCH(RegimeExecucao,{"Unitário","Global"},0),IF($A604="S",$Y604/$X604,""),($Y604/$X604)*100),0)</f>
        <v>0</v>
      </c>
      <c r="X604" s="384" t="str">
        <f ca="1">IF($Y604&gt;0,CHOOSE(MATCH(RegimeExecucao,{"Unitário","Global"},0),IF($A604="S",ROUND($H604,ORÇAMENTO!$AF$10),""),ROUND($I604,ORÇAMENTO!$AF$11)),"")</f>
        <v/>
      </c>
      <c r="Y604" s="384">
        <f t="shared" ca="1" si="62"/>
        <v>0</v>
      </c>
      <c r="Z604" s="572"/>
      <c r="AB604" s="382"/>
      <c r="AC604" s="516"/>
      <c r="AD604" s="516"/>
      <c r="AE604" s="516"/>
      <c r="AF604" s="516"/>
      <c r="AG604" s="516"/>
      <c r="AH604" s="516"/>
      <c r="AI604" s="516"/>
      <c r="AJ604" s="516"/>
      <c r="AK604" s="516"/>
      <c r="AL604" s="516"/>
      <c r="AM604" s="383"/>
      <c r="AO604">
        <f ca="1">IF($A604="S",IF(BM!$I604=0,0,CHOOSE(MATCH(RegimeExecucao,{"Global","Unitário"},0),ROUND(ROUND(BM.MEDAcumulado,15-13*BM!$A$9)/100*BM!$I604,15-13*ORÇAMENTO!$AF$11),ROUND(ROUND(BM.MEDAcumulado,15-13*BM!$A$9)*ROUND(BM!$H604,15-13*ORÇAMENTO!$AF$10),15-13*ORÇAMENTO!$AF$11))),IF($A604=0,0,ROUND(SomaAgrupBM,15-13*ORÇAMENTO!$AF$11)))</f>
        <v>0</v>
      </c>
    </row>
    <row r="605" spans="1:41" x14ac:dyDescent="0.2">
      <c r="A605">
        <f ca="1">ORÇAMENTO!C605</f>
        <v>3</v>
      </c>
      <c r="B605">
        <f ca="1">ORÇAMENTO!D605</f>
        <v>3</v>
      </c>
      <c r="C605" s="116" t="str">
        <f t="shared" ca="1" si="56"/>
        <v>F</v>
      </c>
      <c r="D605" s="119" t="str">
        <f ca="1">ORÇAMENTO!O605</f>
        <v>1.17.12.</v>
      </c>
      <c r="E605" s="172" t="str">
        <f t="shared" ca="1" si="63"/>
        <v>QUADROS</v>
      </c>
      <c r="F605" s="173" t="str">
        <f ca="1">IF(RegimeExecucao="Global","",ORÇAMENTO.Unidade)</f>
        <v>-</v>
      </c>
      <c r="G605" s="124">
        <f ca="1">IF(RegimeExecucao="Global","",ORÇAMENTO!T605)</f>
        <v>0</v>
      </c>
      <c r="H605" s="124">
        <f ca="1">IF(RegimeExecucao="Global","",ORÇAMENTO!W605)</f>
        <v>0</v>
      </c>
      <c r="I605" s="127">
        <f ca="1">ORÇAMENTO!X605</f>
        <v>0</v>
      </c>
      <c r="J605" s="378">
        <f ca="1">IF($A605="S",IF(CAIXA.Modo,BM.AFAnterior,BM.MEDAnterior),IF(AND(RegimeExecucao="Global",$I605&gt;0,COUNTIF($AB$13:$AM$13,BM.medicao-1)&gt;0),M605/$I605*100,0))</f>
        <v>0</v>
      </c>
      <c r="K605" s="124">
        <f t="shared" ca="1" si="58"/>
        <v>0</v>
      </c>
      <c r="L605" s="379">
        <f ca="1">IF($A605="S",IF(CAIXA.Modo,BM.AFAcumulado,BM.MEDAcumulado),IF(AND(RegimeExecucao="Global",$I605&gt;0,COUNTIF($AB$13:$AM$13,BM.medicao)&gt;0),O605/$I605*100,0))</f>
        <v>0</v>
      </c>
      <c r="M605" s="380">
        <f ca="1">IF($A605="S",VTOTALBM,IF($A605=0,0,ROUND(SomaAgrupBM,15-13*ORÇAMENTO!$AF$11)))</f>
        <v>0</v>
      </c>
      <c r="N605" s="381">
        <f t="shared" ca="1" si="59"/>
        <v>0</v>
      </c>
      <c r="O605" s="127">
        <f ca="1">IF($A605="S",VTOTALBM,IF($A605=0,0,ROUND(SomaAgrupBM,15-13*ORÇAMENTO!$AF$11)))</f>
        <v>0</v>
      </c>
      <c r="Q605" s="382"/>
      <c r="R605" s="383"/>
      <c r="T605" s="119" t="str">
        <f t="shared" ca="1" si="60"/>
        <v/>
      </c>
      <c r="U605" s="172" t="str">
        <f t="shared" ca="1" si="61"/>
        <v/>
      </c>
      <c r="V605" s="173" t="str">
        <f ca="1">IF(AND($W605&gt;0,RegimeExecucao="Unitário"),$F605,"")</f>
        <v/>
      </c>
      <c r="W605" s="547">
        <f ca="1">IF($Y605&gt;0,CHOOSE(MATCH(RegimeExecucao,{"Unitário","Global"},0),IF($A605="S",$Y605/$X605,""),($Y605/$X605)*100),0)</f>
        <v>0</v>
      </c>
      <c r="X605" s="384" t="str">
        <f ca="1">IF($Y605&gt;0,CHOOSE(MATCH(RegimeExecucao,{"Unitário","Global"},0),IF($A605="S",ROUND($H605,ORÇAMENTO!$AF$10),""),ROUND($I605,ORÇAMENTO!$AF$11)),"")</f>
        <v/>
      </c>
      <c r="Y605" s="384">
        <f t="shared" ca="1" si="62"/>
        <v>0</v>
      </c>
      <c r="Z605" s="572"/>
      <c r="AB605" s="382"/>
      <c r="AC605" s="516"/>
      <c r="AD605" s="516"/>
      <c r="AE605" s="516"/>
      <c r="AF605" s="516"/>
      <c r="AG605" s="516"/>
      <c r="AH605" s="516"/>
      <c r="AI605" s="516"/>
      <c r="AJ605" s="516"/>
      <c r="AK605" s="516"/>
      <c r="AL605" s="516"/>
      <c r="AM605" s="383"/>
      <c r="AO605">
        <f ca="1">IF($A605="S",IF(BM!$I605=0,0,CHOOSE(MATCH(RegimeExecucao,{"Global","Unitário"},0),ROUND(ROUND(BM.MEDAcumulado,15-13*BM!$A$9)/100*BM!$I605,15-13*ORÇAMENTO!$AF$11),ROUND(ROUND(BM.MEDAcumulado,15-13*BM!$A$9)*ROUND(BM!$H605,15-13*ORÇAMENTO!$AF$10),15-13*ORÇAMENTO!$AF$11))),IF($A605=0,0,ROUND(SomaAgrupBM,15-13*ORÇAMENTO!$AF$11)))</f>
        <v>0</v>
      </c>
    </row>
    <row r="606" spans="1:41" ht="25.5" x14ac:dyDescent="0.2">
      <c r="A606" t="str">
        <f ca="1">ORÇAMENTO!C606</f>
        <v>S</v>
      </c>
      <c r="B606">
        <f ca="1">ORÇAMENTO!D606</f>
        <v>0</v>
      </c>
      <c r="C606" s="116" t="str">
        <f t="shared" ca="1" si="56"/>
        <v/>
      </c>
      <c r="D606" s="119" t="str">
        <f ca="1">ORÇAMENTO!O606</f>
        <v>-</v>
      </c>
      <c r="E606" s="172" t="str">
        <f t="shared" ca="1" si="63"/>
        <v>(abra o arquivo 'Referência 02-2025.xlsm)</v>
      </c>
      <c r="F606" s="173" t="str">
        <f ca="1">IF(RegimeExecucao="Global","",ORÇAMENTO.Unidade)</f>
        <v>-</v>
      </c>
      <c r="G606" s="124">
        <f ca="1">IF(RegimeExecucao="Global","",ORÇAMENTO!T606)</f>
        <v>1</v>
      </c>
      <c r="H606" s="124">
        <f ca="1">IF(RegimeExecucao="Global","",ORÇAMENTO!W606)</f>
        <v>0</v>
      </c>
      <c r="I606" s="127">
        <f ca="1">ORÇAMENTO!X606</f>
        <v>0</v>
      </c>
      <c r="J606" s="378">
        <f ca="1">IF($A606="S",IF(CAIXA.Modo,BM.AFAnterior,BM.MEDAnterior),IF(AND(RegimeExecucao="Global",$I606&gt;0,COUNTIF($AB$13:$AM$13,BM.medicao-1)&gt;0),M606/$I606*100,0))</f>
        <v>0</v>
      </c>
      <c r="K606" s="124">
        <f t="shared" ca="1" si="58"/>
        <v>0</v>
      </c>
      <c r="L606" s="379">
        <f ca="1">IF($A606="S",IF(CAIXA.Modo,BM.AFAcumulado,BM.MEDAcumulado),IF(AND(RegimeExecucao="Global",$I606&gt;0,COUNTIF($AB$13:$AM$13,BM.medicao)&gt;0),O606/$I606*100,0))</f>
        <v>0</v>
      </c>
      <c r="M606" s="380">
        <f ca="1">IF($A606="S",VTOTALBM,IF($A606=0,0,ROUND(SomaAgrupBM,15-13*ORÇAMENTO!$AF$11)))</f>
        <v>0</v>
      </c>
      <c r="N606" s="381">
        <f t="shared" ca="1" si="59"/>
        <v>0</v>
      </c>
      <c r="O606" s="127">
        <f ca="1">IF($A606="S",VTOTALBM,IF($A606=0,0,ROUND(SomaAgrupBM,15-13*ORÇAMENTO!$AF$11)))</f>
        <v>0</v>
      </c>
      <c r="Q606" s="382"/>
      <c r="R606" s="383"/>
      <c r="T606" s="119" t="str">
        <f t="shared" ca="1" si="60"/>
        <v/>
      </c>
      <c r="U606" s="172" t="str">
        <f t="shared" ca="1" si="61"/>
        <v/>
      </c>
      <c r="V606" s="173" t="str">
        <f ca="1">IF(AND($W606&gt;0,RegimeExecucao="Unitário"),$F606,"")</f>
        <v/>
      </c>
      <c r="W606" s="547">
        <f ca="1">IF($Y606&gt;0,CHOOSE(MATCH(RegimeExecucao,{"Unitário","Global"},0),IF($A606="S",$Y606/$X606,""),($Y606/$X606)*100),0)</f>
        <v>0</v>
      </c>
      <c r="X606" s="384" t="str">
        <f ca="1">IF($Y606&gt;0,CHOOSE(MATCH(RegimeExecucao,{"Unitário","Global"},0),IF($A606="S",ROUND($H606,ORÇAMENTO!$AF$10),""),ROUND($I606,ORÇAMENTO!$AF$11)),"")</f>
        <v/>
      </c>
      <c r="Y606" s="384">
        <f t="shared" ca="1" si="62"/>
        <v>0</v>
      </c>
      <c r="Z606" s="572"/>
      <c r="AB606" s="382"/>
      <c r="AC606" s="516"/>
      <c r="AD606" s="516"/>
      <c r="AE606" s="516"/>
      <c r="AF606" s="516"/>
      <c r="AG606" s="516"/>
      <c r="AH606" s="516"/>
      <c r="AI606" s="516"/>
      <c r="AJ606" s="516"/>
      <c r="AK606" s="516"/>
      <c r="AL606" s="516"/>
      <c r="AM606" s="383"/>
      <c r="AO606">
        <f ca="1">IF($A606="S",IF(BM!$I606=0,0,CHOOSE(MATCH(RegimeExecucao,{"Global","Unitário"},0),ROUND(ROUND(BM.MEDAcumulado,15-13*BM!$A$9)/100*BM!$I606,15-13*ORÇAMENTO!$AF$11),ROUND(ROUND(BM.MEDAcumulado,15-13*BM!$A$9)*ROUND(BM!$H606,15-13*ORÇAMENTO!$AF$10),15-13*ORÇAMENTO!$AF$11))),IF($A606=0,0,ROUND(SomaAgrupBM,15-13*ORÇAMENTO!$AF$11)))</f>
        <v>0</v>
      </c>
    </row>
    <row r="607" spans="1:41" ht="38.25" x14ac:dyDescent="0.2">
      <c r="A607" t="str">
        <f ca="1">ORÇAMENTO!C607</f>
        <v>S</v>
      </c>
      <c r="B607">
        <f ca="1">ORÇAMENTO!D607</f>
        <v>0</v>
      </c>
      <c r="C607" s="116" t="str">
        <f t="shared" ca="1" si="56"/>
        <v/>
      </c>
      <c r="D607" s="119" t="str">
        <f ca="1">ORÇAMENTO!O607</f>
        <v>-</v>
      </c>
      <c r="E607" s="172" t="str">
        <f t="shared" ca="1" si="63"/>
        <v>(abra o arquivo 'Referência 02-2025.xlsm)</v>
      </c>
      <c r="F607" s="173" t="str">
        <f ca="1">IF(RegimeExecucao="Global","",ORÇAMENTO.Unidade)</f>
        <v>-</v>
      </c>
      <c r="G607" s="124">
        <f ca="1">IF(RegimeExecucao="Global","",ORÇAMENTO!T607)</f>
        <v>8</v>
      </c>
      <c r="H607" s="124">
        <f ca="1">IF(RegimeExecucao="Global","",ORÇAMENTO!W607)</f>
        <v>0</v>
      </c>
      <c r="I607" s="127">
        <f ca="1">ORÇAMENTO!X607</f>
        <v>0</v>
      </c>
      <c r="J607" s="378">
        <f ca="1">IF($A607="S",IF(CAIXA.Modo,BM.AFAnterior,BM.MEDAnterior),IF(AND(RegimeExecucao="Global",$I607&gt;0,COUNTIF($AB$13:$AM$13,BM.medicao-1)&gt;0),M607/$I607*100,0))</f>
        <v>0</v>
      </c>
      <c r="K607" s="124">
        <f t="shared" ca="1" si="58"/>
        <v>0</v>
      </c>
      <c r="L607" s="379">
        <f ca="1">IF($A607="S",IF(CAIXA.Modo,BM.AFAcumulado,BM.MEDAcumulado),IF(AND(RegimeExecucao="Global",$I607&gt;0,COUNTIF($AB$13:$AM$13,BM.medicao)&gt;0),O607/$I607*100,0))</f>
        <v>0</v>
      </c>
      <c r="M607" s="380">
        <f ca="1">IF($A607="S",VTOTALBM,IF($A607=0,0,ROUND(SomaAgrupBM,15-13*ORÇAMENTO!$AF$11)))</f>
        <v>0</v>
      </c>
      <c r="N607" s="381">
        <f t="shared" ca="1" si="59"/>
        <v>0</v>
      </c>
      <c r="O607" s="127">
        <f ca="1">IF($A607="S",VTOTALBM,IF($A607=0,0,ROUND(SomaAgrupBM,15-13*ORÇAMENTO!$AF$11)))</f>
        <v>0</v>
      </c>
      <c r="Q607" s="382"/>
      <c r="R607" s="383"/>
      <c r="T607" s="119" t="str">
        <f t="shared" ca="1" si="60"/>
        <v/>
      </c>
      <c r="U607" s="172" t="str">
        <f t="shared" ca="1" si="61"/>
        <v/>
      </c>
      <c r="V607" s="173" t="str">
        <f ca="1">IF(AND($W607&gt;0,RegimeExecucao="Unitário"),$F607,"")</f>
        <v/>
      </c>
      <c r="W607" s="547">
        <f ca="1">IF($Y607&gt;0,CHOOSE(MATCH(RegimeExecucao,{"Unitário","Global"},0),IF($A607="S",$Y607/$X607,""),($Y607/$X607)*100),0)</f>
        <v>0</v>
      </c>
      <c r="X607" s="384" t="str">
        <f ca="1">IF($Y607&gt;0,CHOOSE(MATCH(RegimeExecucao,{"Unitário","Global"},0),IF($A607="S",ROUND($H607,ORÇAMENTO!$AF$10),""),ROUND($I607,ORÇAMENTO!$AF$11)),"")</f>
        <v/>
      </c>
      <c r="Y607" s="384">
        <f t="shared" ca="1" si="62"/>
        <v>0</v>
      </c>
      <c r="Z607" s="572"/>
      <c r="AB607" s="382"/>
      <c r="AC607" s="516"/>
      <c r="AD607" s="516"/>
      <c r="AE607" s="516"/>
      <c r="AF607" s="516"/>
      <c r="AG607" s="516"/>
      <c r="AH607" s="516"/>
      <c r="AI607" s="516"/>
      <c r="AJ607" s="516"/>
      <c r="AK607" s="516"/>
      <c r="AL607" s="516"/>
      <c r="AM607" s="383"/>
      <c r="AO607">
        <f ca="1">IF($A607="S",IF(BM!$I607=0,0,CHOOSE(MATCH(RegimeExecucao,{"Global","Unitário"},0),ROUND(ROUND(BM.MEDAcumulado,15-13*BM!$A$9)/100*BM!$I607,15-13*ORÇAMENTO!$AF$11),ROUND(ROUND(BM.MEDAcumulado,15-13*BM!$A$9)*ROUND(BM!$H607,15-13*ORÇAMENTO!$AF$10),15-13*ORÇAMENTO!$AF$11))),IF($A607=0,0,ROUND(SomaAgrupBM,15-13*ORÇAMENTO!$AF$11)))</f>
        <v>0</v>
      </c>
    </row>
    <row r="608" spans="1:41" x14ac:dyDescent="0.2">
      <c r="A608">
        <f ca="1">ORÇAMENTO!C608</f>
        <v>2</v>
      </c>
      <c r="B608">
        <f ca="1">ORÇAMENTO!D608</f>
        <v>38</v>
      </c>
      <c r="C608" s="116" t="str">
        <f t="shared" ca="1" si="56"/>
        <v>F</v>
      </c>
      <c r="D608" s="119" t="str">
        <f ca="1">ORÇAMENTO!O608</f>
        <v>1.18.</v>
      </c>
      <c r="E608" s="172" t="str">
        <f t="shared" ca="1" si="63"/>
        <v>INSTALAÇÕES DE CABEAMENTO ESTRUTURADO</v>
      </c>
      <c r="F608" s="173" t="str">
        <f ca="1">IF(RegimeExecucao="Global","",ORÇAMENTO.Unidade)</f>
        <v>-</v>
      </c>
      <c r="G608" s="124">
        <f ca="1">IF(RegimeExecucao="Global","",ORÇAMENTO!T608)</f>
        <v>0</v>
      </c>
      <c r="H608" s="124">
        <f ca="1">IF(RegimeExecucao="Global","",ORÇAMENTO!W608)</f>
        <v>0</v>
      </c>
      <c r="I608" s="127">
        <f ca="1">ORÇAMENTO!X608</f>
        <v>0</v>
      </c>
      <c r="J608" s="378">
        <f ca="1">IF($A608="S",IF(CAIXA.Modo,BM.AFAnterior,BM.MEDAnterior),IF(AND(RegimeExecucao="Global",$I608&gt;0,COUNTIF($AB$13:$AM$13,BM.medicao-1)&gt;0),M608/$I608*100,0))</f>
        <v>0</v>
      </c>
      <c r="K608" s="124">
        <f t="shared" ca="1" si="58"/>
        <v>0</v>
      </c>
      <c r="L608" s="379">
        <f ca="1">IF($A608="S",IF(CAIXA.Modo,BM.AFAcumulado,BM.MEDAcumulado),IF(AND(RegimeExecucao="Global",$I608&gt;0,COUNTIF($AB$13:$AM$13,BM.medicao)&gt;0),O608/$I608*100,0))</f>
        <v>0</v>
      </c>
      <c r="M608" s="380">
        <f ca="1">IF($A608="S",VTOTALBM,IF($A608=0,0,ROUND(SomaAgrupBM,15-13*ORÇAMENTO!$AF$11)))</f>
        <v>0</v>
      </c>
      <c r="N608" s="381">
        <f t="shared" ca="1" si="59"/>
        <v>0</v>
      </c>
      <c r="O608" s="127">
        <f ca="1">IF($A608="S",VTOTALBM,IF($A608=0,0,ROUND(SomaAgrupBM,15-13*ORÇAMENTO!$AF$11)))</f>
        <v>0</v>
      </c>
      <c r="Q608" s="382"/>
      <c r="R608" s="383"/>
      <c r="T608" s="119" t="str">
        <f t="shared" ca="1" si="60"/>
        <v/>
      </c>
      <c r="U608" s="172" t="str">
        <f t="shared" ca="1" si="61"/>
        <v/>
      </c>
      <c r="V608" s="173" t="str">
        <f ca="1">IF(AND($W608&gt;0,RegimeExecucao="Unitário"),$F608,"")</f>
        <v/>
      </c>
      <c r="W608" s="547">
        <f ca="1">IF($Y608&gt;0,CHOOSE(MATCH(RegimeExecucao,{"Unitário","Global"},0),IF($A608="S",$Y608/$X608,""),($Y608/$X608)*100),0)</f>
        <v>0</v>
      </c>
      <c r="X608" s="384" t="str">
        <f ca="1">IF($Y608&gt;0,CHOOSE(MATCH(RegimeExecucao,{"Unitário","Global"},0),IF($A608="S",ROUND($H608,ORÇAMENTO!$AF$10),""),ROUND($I608,ORÇAMENTO!$AF$11)),"")</f>
        <v/>
      </c>
      <c r="Y608" s="384">
        <f t="shared" ca="1" si="62"/>
        <v>0</v>
      </c>
      <c r="Z608" s="572"/>
      <c r="AB608" s="382"/>
      <c r="AC608" s="516"/>
      <c r="AD608" s="516"/>
      <c r="AE608" s="516"/>
      <c r="AF608" s="516"/>
      <c r="AG608" s="516"/>
      <c r="AH608" s="516"/>
      <c r="AI608" s="516"/>
      <c r="AJ608" s="516"/>
      <c r="AK608" s="516"/>
      <c r="AL608" s="516"/>
      <c r="AM608" s="383"/>
      <c r="AO608">
        <f ca="1">IF($A608="S",IF(BM!$I608=0,0,CHOOSE(MATCH(RegimeExecucao,{"Global","Unitário"},0),ROUND(ROUND(BM.MEDAcumulado,15-13*BM!$A$9)/100*BM!$I608,15-13*ORÇAMENTO!$AF$11),ROUND(ROUND(BM.MEDAcumulado,15-13*BM!$A$9)*ROUND(BM!$H608,15-13*ORÇAMENTO!$AF$10),15-13*ORÇAMENTO!$AF$11))),IF($A608=0,0,ROUND(SomaAgrupBM,15-13*ORÇAMENTO!$AF$11)))</f>
        <v>0</v>
      </c>
    </row>
    <row r="609" spans="1:41" x14ac:dyDescent="0.2">
      <c r="A609">
        <f ca="1">ORÇAMENTO!C609</f>
        <v>3</v>
      </c>
      <c r="B609">
        <f ca="1">ORÇAMENTO!D609</f>
        <v>9</v>
      </c>
      <c r="C609" s="116" t="str">
        <f t="shared" ca="1" si="56"/>
        <v>F</v>
      </c>
      <c r="D609" s="119" t="str">
        <f ca="1">ORÇAMENTO!O609</f>
        <v>1.18.1.</v>
      </c>
      <c r="E609" s="172" t="str">
        <f t="shared" ca="1" si="63"/>
        <v>ACESSÓRIOS CABEAMENTO</v>
      </c>
      <c r="F609" s="173" t="str">
        <f ca="1">IF(RegimeExecucao="Global","",ORÇAMENTO.Unidade)</f>
        <v>-</v>
      </c>
      <c r="G609" s="124">
        <f ca="1">IF(RegimeExecucao="Global","",ORÇAMENTO!T609)</f>
        <v>0</v>
      </c>
      <c r="H609" s="124">
        <f ca="1">IF(RegimeExecucao="Global","",ORÇAMENTO!W609)</f>
        <v>0</v>
      </c>
      <c r="I609" s="127">
        <f ca="1">ORÇAMENTO!X609</f>
        <v>0</v>
      </c>
      <c r="J609" s="378">
        <f ca="1">IF($A609="S",IF(CAIXA.Modo,BM.AFAnterior,BM.MEDAnterior),IF(AND(RegimeExecucao="Global",$I609&gt;0,COUNTIF($AB$13:$AM$13,BM.medicao-1)&gt;0),M609/$I609*100,0))</f>
        <v>0</v>
      </c>
      <c r="K609" s="124">
        <f t="shared" ca="1" si="58"/>
        <v>0</v>
      </c>
      <c r="L609" s="379">
        <f ca="1">IF($A609="S",IF(CAIXA.Modo,BM.AFAcumulado,BM.MEDAcumulado),IF(AND(RegimeExecucao="Global",$I609&gt;0,COUNTIF($AB$13:$AM$13,BM.medicao)&gt;0),O609/$I609*100,0))</f>
        <v>0</v>
      </c>
      <c r="M609" s="380">
        <f ca="1">IF($A609="S",VTOTALBM,IF($A609=0,0,ROUND(SomaAgrupBM,15-13*ORÇAMENTO!$AF$11)))</f>
        <v>0</v>
      </c>
      <c r="N609" s="381">
        <f t="shared" ca="1" si="59"/>
        <v>0</v>
      </c>
      <c r="O609" s="127">
        <f ca="1">IF($A609="S",VTOTALBM,IF($A609=0,0,ROUND(SomaAgrupBM,15-13*ORÇAMENTO!$AF$11)))</f>
        <v>0</v>
      </c>
      <c r="Q609" s="382"/>
      <c r="R609" s="383"/>
      <c r="T609" s="119" t="str">
        <f t="shared" ca="1" si="60"/>
        <v/>
      </c>
      <c r="U609" s="172" t="str">
        <f t="shared" ca="1" si="61"/>
        <v/>
      </c>
      <c r="V609" s="173" t="str">
        <f ca="1">IF(AND($W609&gt;0,RegimeExecucao="Unitário"),$F609,"")</f>
        <v/>
      </c>
      <c r="W609" s="547">
        <f ca="1">IF($Y609&gt;0,CHOOSE(MATCH(RegimeExecucao,{"Unitário","Global"},0),IF($A609="S",$Y609/$X609,""),($Y609/$X609)*100),0)</f>
        <v>0</v>
      </c>
      <c r="X609" s="384" t="str">
        <f ca="1">IF($Y609&gt;0,CHOOSE(MATCH(RegimeExecucao,{"Unitário","Global"},0),IF($A609="S",ROUND($H609,ORÇAMENTO!$AF$10),""),ROUND($I609,ORÇAMENTO!$AF$11)),"")</f>
        <v/>
      </c>
      <c r="Y609" s="384">
        <f t="shared" ca="1" si="62"/>
        <v>0</v>
      </c>
      <c r="Z609" s="572"/>
      <c r="AB609" s="382"/>
      <c r="AC609" s="516"/>
      <c r="AD609" s="516"/>
      <c r="AE609" s="516"/>
      <c r="AF609" s="516"/>
      <c r="AG609" s="516"/>
      <c r="AH609" s="516"/>
      <c r="AI609" s="516"/>
      <c r="AJ609" s="516"/>
      <c r="AK609" s="516"/>
      <c r="AL609" s="516"/>
      <c r="AM609" s="383"/>
      <c r="AO609">
        <f ca="1">IF($A609="S",IF(BM!$I609=0,0,CHOOSE(MATCH(RegimeExecucao,{"Global","Unitário"},0),ROUND(ROUND(BM.MEDAcumulado,15-13*BM!$A$9)/100*BM!$I609,15-13*ORÇAMENTO!$AF$11),ROUND(ROUND(BM.MEDAcumulado,15-13*BM!$A$9)*ROUND(BM!$H609,15-13*ORÇAMENTO!$AF$10),15-13*ORÇAMENTO!$AF$11))),IF($A609=0,0,ROUND(SomaAgrupBM,15-13*ORÇAMENTO!$AF$11)))</f>
        <v>0</v>
      </c>
    </row>
    <row r="610" spans="1:41" x14ac:dyDescent="0.2">
      <c r="A610" t="str">
        <f ca="1">ORÇAMENTO!C610</f>
        <v>S</v>
      </c>
      <c r="B610">
        <f ca="1">ORÇAMENTO!D610</f>
        <v>0</v>
      </c>
      <c r="C610" s="116" t="str">
        <f t="shared" ca="1" si="56"/>
        <v/>
      </c>
      <c r="D610" s="119" t="str">
        <f ca="1">ORÇAMENTO!O610</f>
        <v>-</v>
      </c>
      <c r="E610" s="172" t="str">
        <f t="shared" ca="1" si="63"/>
        <v>(abra o arquivo 'Referência 02-2025.xlsm)</v>
      </c>
      <c r="F610" s="173" t="str">
        <f ca="1">IF(RegimeExecucao="Global","",ORÇAMENTO.Unidade)</f>
        <v>-</v>
      </c>
      <c r="G610" s="124">
        <f ca="1">IF(RegimeExecucao="Global","",ORÇAMENTO!T610)</f>
        <v>1</v>
      </c>
      <c r="H610" s="124">
        <f ca="1">IF(RegimeExecucao="Global","",ORÇAMENTO!W610)</f>
        <v>0</v>
      </c>
      <c r="I610" s="127">
        <f ca="1">ORÇAMENTO!X610</f>
        <v>0</v>
      </c>
      <c r="J610" s="378">
        <f ca="1">IF($A610="S",IF(CAIXA.Modo,BM.AFAnterior,BM.MEDAnterior),IF(AND(RegimeExecucao="Global",$I610&gt;0,COUNTIF($AB$13:$AM$13,BM.medicao-1)&gt;0),M610/$I610*100,0))</f>
        <v>0</v>
      </c>
      <c r="K610" s="124">
        <f t="shared" ca="1" si="58"/>
        <v>0</v>
      </c>
      <c r="L610" s="379">
        <f ca="1">IF($A610="S",IF(CAIXA.Modo,BM.AFAcumulado,BM.MEDAcumulado),IF(AND(RegimeExecucao="Global",$I610&gt;0,COUNTIF($AB$13:$AM$13,BM.medicao)&gt;0),O610/$I610*100,0))</f>
        <v>0</v>
      </c>
      <c r="M610" s="380">
        <f ca="1">IF($A610="S",VTOTALBM,IF($A610=0,0,ROUND(SomaAgrupBM,15-13*ORÇAMENTO!$AF$11)))</f>
        <v>0</v>
      </c>
      <c r="N610" s="381">
        <f t="shared" ca="1" si="59"/>
        <v>0</v>
      </c>
      <c r="O610" s="127">
        <f ca="1">IF($A610="S",VTOTALBM,IF($A610=0,0,ROUND(SomaAgrupBM,15-13*ORÇAMENTO!$AF$11)))</f>
        <v>0</v>
      </c>
      <c r="Q610" s="382"/>
      <c r="R610" s="383"/>
      <c r="T610" s="119" t="str">
        <f t="shared" ca="1" si="60"/>
        <v/>
      </c>
      <c r="U610" s="172" t="str">
        <f t="shared" ca="1" si="61"/>
        <v/>
      </c>
      <c r="V610" s="173" t="str">
        <f ca="1">IF(AND($W610&gt;0,RegimeExecucao="Unitário"),$F610,"")</f>
        <v/>
      </c>
      <c r="W610" s="547">
        <f ca="1">IF($Y610&gt;0,CHOOSE(MATCH(RegimeExecucao,{"Unitário","Global"},0),IF($A610="S",$Y610/$X610,""),($Y610/$X610)*100),0)</f>
        <v>0</v>
      </c>
      <c r="X610" s="384" t="str">
        <f ca="1">IF($Y610&gt;0,CHOOSE(MATCH(RegimeExecucao,{"Unitário","Global"},0),IF($A610="S",ROUND($H610,ORÇAMENTO!$AF$10),""),ROUND($I610,ORÇAMENTO!$AF$11)),"")</f>
        <v/>
      </c>
      <c r="Y610" s="384">
        <f t="shared" ca="1" si="62"/>
        <v>0</v>
      </c>
      <c r="Z610" s="572"/>
      <c r="AB610" s="382"/>
      <c r="AC610" s="516"/>
      <c r="AD610" s="516"/>
      <c r="AE610" s="516"/>
      <c r="AF610" s="516"/>
      <c r="AG610" s="516"/>
      <c r="AH610" s="516"/>
      <c r="AI610" s="516"/>
      <c r="AJ610" s="516"/>
      <c r="AK610" s="516"/>
      <c r="AL610" s="516"/>
      <c r="AM610" s="383"/>
      <c r="AO610">
        <f ca="1">IF($A610="S",IF(BM!$I610=0,0,CHOOSE(MATCH(RegimeExecucao,{"Global","Unitário"},0),ROUND(ROUND(BM.MEDAcumulado,15-13*BM!$A$9)/100*BM!$I610,15-13*ORÇAMENTO!$AF$11),ROUND(ROUND(BM.MEDAcumulado,15-13*BM!$A$9)*ROUND(BM!$H610,15-13*ORÇAMENTO!$AF$10),15-13*ORÇAMENTO!$AF$11))),IF($A610=0,0,ROUND(SomaAgrupBM,15-13*ORÇAMENTO!$AF$11)))</f>
        <v>0</v>
      </c>
    </row>
    <row r="611" spans="1:41" x14ac:dyDescent="0.2">
      <c r="A611" t="str">
        <f ca="1">ORÇAMENTO!C611</f>
        <v>S</v>
      </c>
      <c r="B611">
        <f ca="1">ORÇAMENTO!D611</f>
        <v>0</v>
      </c>
      <c r="C611" s="116" t="str">
        <f t="shared" ca="1" si="56"/>
        <v/>
      </c>
      <c r="D611" s="119" t="str">
        <f ca="1">ORÇAMENTO!O611</f>
        <v>-</v>
      </c>
      <c r="E611" s="172" t="str">
        <f t="shared" ca="1" si="63"/>
        <v>(abra o arquivo 'Referência 02-2025.xlsm)</v>
      </c>
      <c r="F611" s="173" t="str">
        <f ca="1">IF(RegimeExecucao="Global","",ORÇAMENTO.Unidade)</f>
        <v>-</v>
      </c>
      <c r="G611" s="124">
        <f ca="1">IF(RegimeExecucao="Global","",ORÇAMENTO!T611)</f>
        <v>48</v>
      </c>
      <c r="H611" s="124">
        <f ca="1">IF(RegimeExecucao="Global","",ORÇAMENTO!W611)</f>
        <v>0</v>
      </c>
      <c r="I611" s="127">
        <f ca="1">ORÇAMENTO!X611</f>
        <v>0</v>
      </c>
      <c r="J611" s="378">
        <f ca="1">IF($A611="S",IF(CAIXA.Modo,BM.AFAnterior,BM.MEDAnterior),IF(AND(RegimeExecucao="Global",$I611&gt;0,COUNTIF($AB$13:$AM$13,BM.medicao-1)&gt;0),M611/$I611*100,0))</f>
        <v>0</v>
      </c>
      <c r="K611" s="124">
        <f t="shared" ca="1" si="58"/>
        <v>0</v>
      </c>
      <c r="L611" s="379">
        <f ca="1">IF($A611="S",IF(CAIXA.Modo,BM.AFAcumulado,BM.MEDAcumulado),IF(AND(RegimeExecucao="Global",$I611&gt;0,COUNTIF($AB$13:$AM$13,BM.medicao)&gt;0),O611/$I611*100,0))</f>
        <v>0</v>
      </c>
      <c r="M611" s="380">
        <f ca="1">IF($A611="S",VTOTALBM,IF($A611=0,0,ROUND(SomaAgrupBM,15-13*ORÇAMENTO!$AF$11)))</f>
        <v>0</v>
      </c>
      <c r="N611" s="381">
        <f t="shared" ca="1" si="59"/>
        <v>0</v>
      </c>
      <c r="O611" s="127">
        <f ca="1">IF($A611="S",VTOTALBM,IF($A611=0,0,ROUND(SomaAgrupBM,15-13*ORÇAMENTO!$AF$11)))</f>
        <v>0</v>
      </c>
      <c r="Q611" s="382"/>
      <c r="R611" s="383"/>
      <c r="T611" s="119" t="str">
        <f t="shared" ca="1" si="60"/>
        <v/>
      </c>
      <c r="U611" s="172" t="str">
        <f t="shared" ca="1" si="61"/>
        <v/>
      </c>
      <c r="V611" s="173" t="str">
        <f ca="1">IF(AND($W611&gt;0,RegimeExecucao="Unitário"),$F611,"")</f>
        <v/>
      </c>
      <c r="W611" s="547">
        <f ca="1">IF($Y611&gt;0,CHOOSE(MATCH(RegimeExecucao,{"Unitário","Global"},0),IF($A611="S",$Y611/$X611,""),($Y611/$X611)*100),0)</f>
        <v>0</v>
      </c>
      <c r="X611" s="384" t="str">
        <f ca="1">IF($Y611&gt;0,CHOOSE(MATCH(RegimeExecucao,{"Unitário","Global"},0),IF($A611="S",ROUND($H611,ORÇAMENTO!$AF$10),""),ROUND($I611,ORÇAMENTO!$AF$11)),"")</f>
        <v/>
      </c>
      <c r="Y611" s="384">
        <f t="shared" ca="1" si="62"/>
        <v>0</v>
      </c>
      <c r="Z611" s="572"/>
      <c r="AB611" s="382"/>
      <c r="AC611" s="516"/>
      <c r="AD611" s="516"/>
      <c r="AE611" s="516"/>
      <c r="AF611" s="516"/>
      <c r="AG611" s="516"/>
      <c r="AH611" s="516"/>
      <c r="AI611" s="516"/>
      <c r="AJ611" s="516"/>
      <c r="AK611" s="516"/>
      <c r="AL611" s="516"/>
      <c r="AM611" s="383"/>
      <c r="AO611">
        <f ca="1">IF($A611="S",IF(BM!$I611=0,0,CHOOSE(MATCH(RegimeExecucao,{"Global","Unitário"},0),ROUND(ROUND(BM.MEDAcumulado,15-13*BM!$A$9)/100*BM!$I611,15-13*ORÇAMENTO!$AF$11),ROUND(ROUND(BM.MEDAcumulado,15-13*BM!$A$9)*ROUND(BM!$H611,15-13*ORÇAMENTO!$AF$10),15-13*ORÇAMENTO!$AF$11))),IF($A611=0,0,ROUND(SomaAgrupBM,15-13*ORÇAMENTO!$AF$11)))</f>
        <v>0</v>
      </c>
    </row>
    <row r="612" spans="1:41" ht="25.5" x14ac:dyDescent="0.2">
      <c r="A612" t="str">
        <f ca="1">ORÇAMENTO!C612</f>
        <v>S</v>
      </c>
      <c r="B612">
        <f ca="1">ORÇAMENTO!D612</f>
        <v>0</v>
      </c>
      <c r="C612" s="116" t="str">
        <f t="shared" ca="1" si="56"/>
        <v/>
      </c>
      <c r="D612" s="119" t="str">
        <f ca="1">ORÇAMENTO!O612</f>
        <v>-</v>
      </c>
      <c r="E612" s="172" t="str">
        <f t="shared" ca="1" si="63"/>
        <v>(abra o arquivo 'Referência 02-2025.xlsm)</v>
      </c>
      <c r="F612" s="173" t="str">
        <f ca="1">IF(RegimeExecucao="Global","",ORÇAMENTO.Unidade)</f>
        <v>-</v>
      </c>
      <c r="G612" s="124">
        <f ca="1">IF(RegimeExecucao="Global","",ORÇAMENTO!T612)</f>
        <v>3</v>
      </c>
      <c r="H612" s="124">
        <f ca="1">IF(RegimeExecucao="Global","",ORÇAMENTO!W612)</f>
        <v>0</v>
      </c>
      <c r="I612" s="127">
        <f ca="1">ORÇAMENTO!X612</f>
        <v>0</v>
      </c>
      <c r="J612" s="378">
        <f ca="1">IF($A612="S",IF(CAIXA.Modo,BM.AFAnterior,BM.MEDAnterior),IF(AND(RegimeExecucao="Global",$I612&gt;0,COUNTIF($AB$13:$AM$13,BM.medicao-1)&gt;0),M612/$I612*100,0))</f>
        <v>0</v>
      </c>
      <c r="K612" s="124">
        <f t="shared" ca="1" si="58"/>
        <v>0</v>
      </c>
      <c r="L612" s="379">
        <f ca="1">IF($A612="S",IF(CAIXA.Modo,BM.AFAcumulado,BM.MEDAcumulado),IF(AND(RegimeExecucao="Global",$I612&gt;0,COUNTIF($AB$13:$AM$13,BM.medicao)&gt;0),O612/$I612*100,0))</f>
        <v>0</v>
      </c>
      <c r="M612" s="380">
        <f ca="1">IF($A612="S",VTOTALBM,IF($A612=0,0,ROUND(SomaAgrupBM,15-13*ORÇAMENTO!$AF$11)))</f>
        <v>0</v>
      </c>
      <c r="N612" s="381">
        <f t="shared" ca="1" si="59"/>
        <v>0</v>
      </c>
      <c r="O612" s="127">
        <f ca="1">IF($A612="S",VTOTALBM,IF($A612=0,0,ROUND(SomaAgrupBM,15-13*ORÇAMENTO!$AF$11)))</f>
        <v>0</v>
      </c>
      <c r="Q612" s="382"/>
      <c r="R612" s="383"/>
      <c r="T612" s="119" t="str">
        <f t="shared" ca="1" si="60"/>
        <v/>
      </c>
      <c r="U612" s="172" t="str">
        <f t="shared" ca="1" si="61"/>
        <v/>
      </c>
      <c r="V612" s="173" t="str">
        <f ca="1">IF(AND($W612&gt;0,RegimeExecucao="Unitário"),$F612,"")</f>
        <v/>
      </c>
      <c r="W612" s="547">
        <f ca="1">IF($Y612&gt;0,CHOOSE(MATCH(RegimeExecucao,{"Unitário","Global"},0),IF($A612="S",$Y612/$X612,""),($Y612/$X612)*100),0)</f>
        <v>0</v>
      </c>
      <c r="X612" s="384" t="str">
        <f ca="1">IF($Y612&gt;0,CHOOSE(MATCH(RegimeExecucao,{"Unitário","Global"},0),IF($A612="S",ROUND($H612,ORÇAMENTO!$AF$10),""),ROUND($I612,ORÇAMENTO!$AF$11)),"")</f>
        <v/>
      </c>
      <c r="Y612" s="384">
        <f t="shared" ca="1" si="62"/>
        <v>0</v>
      </c>
      <c r="Z612" s="572"/>
      <c r="AB612" s="382"/>
      <c r="AC612" s="516"/>
      <c r="AD612" s="516"/>
      <c r="AE612" s="516"/>
      <c r="AF612" s="516"/>
      <c r="AG612" s="516"/>
      <c r="AH612" s="516"/>
      <c r="AI612" s="516"/>
      <c r="AJ612" s="516"/>
      <c r="AK612" s="516"/>
      <c r="AL612" s="516"/>
      <c r="AM612" s="383"/>
      <c r="AO612">
        <f ca="1">IF($A612="S",IF(BM!$I612=0,0,CHOOSE(MATCH(RegimeExecucao,{"Global","Unitário"},0),ROUND(ROUND(BM.MEDAcumulado,15-13*BM!$A$9)/100*BM!$I612,15-13*ORÇAMENTO!$AF$11),ROUND(ROUND(BM.MEDAcumulado,15-13*BM!$A$9)*ROUND(BM!$H612,15-13*ORÇAMENTO!$AF$10),15-13*ORÇAMENTO!$AF$11))),IF($A612=0,0,ROUND(SomaAgrupBM,15-13*ORÇAMENTO!$AF$11)))</f>
        <v>0</v>
      </c>
    </row>
    <row r="613" spans="1:41" ht="25.5" x14ac:dyDescent="0.2">
      <c r="A613" t="str">
        <f ca="1">ORÇAMENTO!C613</f>
        <v>S</v>
      </c>
      <c r="B613">
        <f ca="1">ORÇAMENTO!D613</f>
        <v>0</v>
      </c>
      <c r="C613" s="116" t="str">
        <f t="shared" ca="1" si="56"/>
        <v/>
      </c>
      <c r="D613" s="119" t="str">
        <f ca="1">ORÇAMENTO!O613</f>
        <v>-</v>
      </c>
      <c r="E613" s="172" t="str">
        <f t="shared" ca="1" si="63"/>
        <v>(abra o arquivo 'Referência 02-2025.xlsm)</v>
      </c>
      <c r="F613" s="173" t="str">
        <f ca="1">IF(RegimeExecucao="Global","",ORÇAMENTO.Unidade)</f>
        <v>-</v>
      </c>
      <c r="G613" s="124">
        <f ca="1">IF(RegimeExecucao="Global","",ORÇAMENTO!T613)</f>
        <v>1</v>
      </c>
      <c r="H613" s="124">
        <f ca="1">IF(RegimeExecucao="Global","",ORÇAMENTO!W613)</f>
        <v>0</v>
      </c>
      <c r="I613" s="127">
        <f ca="1">ORÇAMENTO!X613</f>
        <v>0</v>
      </c>
      <c r="J613" s="378">
        <f ca="1">IF($A613="S",IF(CAIXA.Modo,BM.AFAnterior,BM.MEDAnterior),IF(AND(RegimeExecucao="Global",$I613&gt;0,COUNTIF($AB$13:$AM$13,BM.medicao-1)&gt;0),M613/$I613*100,0))</f>
        <v>0</v>
      </c>
      <c r="K613" s="124">
        <f t="shared" ca="1" si="58"/>
        <v>0</v>
      </c>
      <c r="L613" s="379">
        <f ca="1">IF($A613="S",IF(CAIXA.Modo,BM.AFAcumulado,BM.MEDAcumulado),IF(AND(RegimeExecucao="Global",$I613&gt;0,COUNTIF($AB$13:$AM$13,BM.medicao)&gt;0),O613/$I613*100,0))</f>
        <v>0</v>
      </c>
      <c r="M613" s="380">
        <f ca="1">IF($A613="S",VTOTALBM,IF($A613=0,0,ROUND(SomaAgrupBM,15-13*ORÇAMENTO!$AF$11)))</f>
        <v>0</v>
      </c>
      <c r="N613" s="381">
        <f t="shared" ca="1" si="59"/>
        <v>0</v>
      </c>
      <c r="O613" s="127">
        <f ca="1">IF($A613="S",VTOTALBM,IF($A613=0,0,ROUND(SomaAgrupBM,15-13*ORÇAMENTO!$AF$11)))</f>
        <v>0</v>
      </c>
      <c r="Q613" s="382"/>
      <c r="R613" s="383"/>
      <c r="T613" s="119" t="str">
        <f t="shared" ca="1" si="60"/>
        <v/>
      </c>
      <c r="U613" s="172" t="str">
        <f t="shared" ca="1" si="61"/>
        <v/>
      </c>
      <c r="V613" s="173" t="str">
        <f ca="1">IF(AND($W613&gt;0,RegimeExecucao="Unitário"),$F613,"")</f>
        <v/>
      </c>
      <c r="W613" s="547">
        <f ca="1">IF($Y613&gt;0,CHOOSE(MATCH(RegimeExecucao,{"Unitário","Global"},0),IF($A613="S",$Y613/$X613,""),($Y613/$X613)*100),0)</f>
        <v>0</v>
      </c>
      <c r="X613" s="384" t="str">
        <f ca="1">IF($Y613&gt;0,CHOOSE(MATCH(RegimeExecucao,{"Unitário","Global"},0),IF($A613="S",ROUND($H613,ORÇAMENTO!$AF$10),""),ROUND($I613,ORÇAMENTO!$AF$11)),"")</f>
        <v/>
      </c>
      <c r="Y613" s="384">
        <f t="shared" ca="1" si="62"/>
        <v>0</v>
      </c>
      <c r="Z613" s="572"/>
      <c r="AB613" s="382"/>
      <c r="AC613" s="516"/>
      <c r="AD613" s="516"/>
      <c r="AE613" s="516"/>
      <c r="AF613" s="516"/>
      <c r="AG613" s="516"/>
      <c r="AH613" s="516"/>
      <c r="AI613" s="516"/>
      <c r="AJ613" s="516"/>
      <c r="AK613" s="516"/>
      <c r="AL613" s="516"/>
      <c r="AM613" s="383"/>
      <c r="AO613">
        <f ca="1">IF($A613="S",IF(BM!$I613=0,0,CHOOSE(MATCH(RegimeExecucao,{"Global","Unitário"},0),ROUND(ROUND(BM.MEDAcumulado,15-13*BM!$A$9)/100*BM!$I613,15-13*ORÇAMENTO!$AF$11),ROUND(ROUND(BM.MEDAcumulado,15-13*BM!$A$9)*ROUND(BM!$H613,15-13*ORÇAMENTO!$AF$10),15-13*ORÇAMENTO!$AF$11))),IF($A613=0,0,ROUND(SomaAgrupBM,15-13*ORÇAMENTO!$AF$11)))</f>
        <v>0</v>
      </c>
    </row>
    <row r="614" spans="1:41" x14ac:dyDescent="0.2">
      <c r="A614" t="str">
        <f ca="1">ORÇAMENTO!C614</f>
        <v>S</v>
      </c>
      <c r="B614">
        <f ca="1">ORÇAMENTO!D614</f>
        <v>0</v>
      </c>
      <c r="C614" s="116" t="str">
        <f t="shared" ca="1" si="56"/>
        <v/>
      </c>
      <c r="D614" s="119" t="str">
        <f ca="1">ORÇAMENTO!O614</f>
        <v>-</v>
      </c>
      <c r="E614" s="172" t="str">
        <f t="shared" ca="1" si="63"/>
        <v>(abra o arquivo 'Referência 02-2025.xlsm)</v>
      </c>
      <c r="F614" s="173" t="str">
        <f ca="1">IF(RegimeExecucao="Global","",ORÇAMENTO.Unidade)</f>
        <v>-</v>
      </c>
      <c r="G614" s="124">
        <f ca="1">IF(RegimeExecucao="Global","",ORÇAMENTO!T614)</f>
        <v>2</v>
      </c>
      <c r="H614" s="124">
        <f ca="1">IF(RegimeExecucao="Global","",ORÇAMENTO!W614)</f>
        <v>0</v>
      </c>
      <c r="I614" s="127">
        <f ca="1">ORÇAMENTO!X614</f>
        <v>0</v>
      </c>
      <c r="J614" s="378">
        <f ca="1">IF($A614="S",IF(CAIXA.Modo,BM.AFAnterior,BM.MEDAnterior),IF(AND(RegimeExecucao="Global",$I614&gt;0,COUNTIF($AB$13:$AM$13,BM.medicao-1)&gt;0),M614/$I614*100,0))</f>
        <v>0</v>
      </c>
      <c r="K614" s="124">
        <f t="shared" ca="1" si="58"/>
        <v>0</v>
      </c>
      <c r="L614" s="379">
        <f ca="1">IF($A614="S",IF(CAIXA.Modo,BM.AFAcumulado,BM.MEDAcumulado),IF(AND(RegimeExecucao="Global",$I614&gt;0,COUNTIF($AB$13:$AM$13,BM.medicao)&gt;0),O614/$I614*100,0))</f>
        <v>0</v>
      </c>
      <c r="M614" s="380">
        <f ca="1">IF($A614="S",VTOTALBM,IF($A614=0,0,ROUND(SomaAgrupBM,15-13*ORÇAMENTO!$AF$11)))</f>
        <v>0</v>
      </c>
      <c r="N614" s="381">
        <f t="shared" ca="1" si="59"/>
        <v>0</v>
      </c>
      <c r="O614" s="127">
        <f ca="1">IF($A614="S",VTOTALBM,IF($A614=0,0,ROUND(SomaAgrupBM,15-13*ORÇAMENTO!$AF$11)))</f>
        <v>0</v>
      </c>
      <c r="Q614" s="382"/>
      <c r="R614" s="383"/>
      <c r="T614" s="119" t="str">
        <f t="shared" ca="1" si="60"/>
        <v/>
      </c>
      <c r="U614" s="172" t="str">
        <f t="shared" ca="1" si="61"/>
        <v/>
      </c>
      <c r="V614" s="173" t="str">
        <f ca="1">IF(AND($W614&gt;0,RegimeExecucao="Unitário"),$F614,"")</f>
        <v/>
      </c>
      <c r="W614" s="547">
        <f ca="1">IF($Y614&gt;0,CHOOSE(MATCH(RegimeExecucao,{"Unitário","Global"},0),IF($A614="S",$Y614/$X614,""),($Y614/$X614)*100),0)</f>
        <v>0</v>
      </c>
      <c r="X614" s="384" t="str">
        <f ca="1">IF($Y614&gt;0,CHOOSE(MATCH(RegimeExecucao,{"Unitário","Global"},0),IF($A614="S",ROUND($H614,ORÇAMENTO!$AF$10),""),ROUND($I614,ORÇAMENTO!$AF$11)),"")</f>
        <v/>
      </c>
      <c r="Y614" s="384">
        <f t="shared" ca="1" si="62"/>
        <v>0</v>
      </c>
      <c r="Z614" s="572"/>
      <c r="AB614" s="382"/>
      <c r="AC614" s="516"/>
      <c r="AD614" s="516"/>
      <c r="AE614" s="516"/>
      <c r="AF614" s="516"/>
      <c r="AG614" s="516"/>
      <c r="AH614" s="516"/>
      <c r="AI614" s="516"/>
      <c r="AJ614" s="516"/>
      <c r="AK614" s="516"/>
      <c r="AL614" s="516"/>
      <c r="AM614" s="383"/>
      <c r="AO614">
        <f ca="1">IF($A614="S",IF(BM!$I614=0,0,CHOOSE(MATCH(RegimeExecucao,{"Global","Unitário"},0),ROUND(ROUND(BM.MEDAcumulado,15-13*BM!$A$9)/100*BM!$I614,15-13*ORÇAMENTO!$AF$11),ROUND(ROUND(BM.MEDAcumulado,15-13*BM!$A$9)*ROUND(BM!$H614,15-13*ORÇAMENTO!$AF$10),15-13*ORÇAMENTO!$AF$11))),IF($A614=0,0,ROUND(SomaAgrupBM,15-13*ORÇAMENTO!$AF$11)))</f>
        <v>0</v>
      </c>
    </row>
    <row r="615" spans="1:41" x14ac:dyDescent="0.2">
      <c r="A615" t="str">
        <f ca="1">ORÇAMENTO!C615</f>
        <v>S</v>
      </c>
      <c r="B615">
        <f ca="1">ORÇAMENTO!D615</f>
        <v>0</v>
      </c>
      <c r="C615" s="116" t="str">
        <f t="shared" ca="1" si="56"/>
        <v/>
      </c>
      <c r="D615" s="119" t="str">
        <f ca="1">ORÇAMENTO!O615</f>
        <v>-</v>
      </c>
      <c r="E615" s="172" t="str">
        <f t="shared" ca="1" si="63"/>
        <v>(abra o arquivo 'Referência 02-2025.xlsm)</v>
      </c>
      <c r="F615" s="173" t="str">
        <f ca="1">IF(RegimeExecucao="Global","",ORÇAMENTO.Unidade)</f>
        <v>-</v>
      </c>
      <c r="G615" s="124">
        <f ca="1">IF(RegimeExecucao="Global","",ORÇAMENTO!T615)</f>
        <v>1</v>
      </c>
      <c r="H615" s="124">
        <f ca="1">IF(RegimeExecucao="Global","",ORÇAMENTO!W615)</f>
        <v>0</v>
      </c>
      <c r="I615" s="127">
        <f ca="1">ORÇAMENTO!X615</f>
        <v>0</v>
      </c>
      <c r="J615" s="378">
        <f ca="1">IF($A615="S",IF(CAIXA.Modo,BM.AFAnterior,BM.MEDAnterior),IF(AND(RegimeExecucao="Global",$I615&gt;0,COUNTIF($AB$13:$AM$13,BM.medicao-1)&gt;0),M615/$I615*100,0))</f>
        <v>0</v>
      </c>
      <c r="K615" s="124">
        <f t="shared" ca="1" si="58"/>
        <v>0</v>
      </c>
      <c r="L615" s="379">
        <f ca="1">IF($A615="S",IF(CAIXA.Modo,BM.AFAcumulado,BM.MEDAcumulado),IF(AND(RegimeExecucao="Global",$I615&gt;0,COUNTIF($AB$13:$AM$13,BM.medicao)&gt;0),O615/$I615*100,0))</f>
        <v>0</v>
      </c>
      <c r="M615" s="380">
        <f ca="1">IF($A615="S",VTOTALBM,IF($A615=0,0,ROUND(SomaAgrupBM,15-13*ORÇAMENTO!$AF$11)))</f>
        <v>0</v>
      </c>
      <c r="N615" s="381">
        <f t="shared" ca="1" si="59"/>
        <v>0</v>
      </c>
      <c r="O615" s="127">
        <f ca="1">IF($A615="S",VTOTALBM,IF($A615=0,0,ROUND(SomaAgrupBM,15-13*ORÇAMENTO!$AF$11)))</f>
        <v>0</v>
      </c>
      <c r="Q615" s="382"/>
      <c r="R615" s="383"/>
      <c r="T615" s="119" t="str">
        <f t="shared" ca="1" si="60"/>
        <v/>
      </c>
      <c r="U615" s="172" t="str">
        <f t="shared" ca="1" si="61"/>
        <v/>
      </c>
      <c r="V615" s="173" t="str">
        <f ca="1">IF(AND($W615&gt;0,RegimeExecucao="Unitário"),$F615,"")</f>
        <v/>
      </c>
      <c r="W615" s="547">
        <f ca="1">IF($Y615&gt;0,CHOOSE(MATCH(RegimeExecucao,{"Unitário","Global"},0),IF($A615="S",$Y615/$X615,""),($Y615/$X615)*100),0)</f>
        <v>0</v>
      </c>
      <c r="X615" s="384" t="str">
        <f ca="1">IF($Y615&gt;0,CHOOSE(MATCH(RegimeExecucao,{"Unitário","Global"},0),IF($A615="S",ROUND($H615,ORÇAMENTO!$AF$10),""),ROUND($I615,ORÇAMENTO!$AF$11)),"")</f>
        <v/>
      </c>
      <c r="Y615" s="384">
        <f t="shared" ca="1" si="62"/>
        <v>0</v>
      </c>
      <c r="Z615" s="572"/>
      <c r="AB615" s="382"/>
      <c r="AC615" s="516"/>
      <c r="AD615" s="516"/>
      <c r="AE615" s="516"/>
      <c r="AF615" s="516"/>
      <c r="AG615" s="516"/>
      <c r="AH615" s="516"/>
      <c r="AI615" s="516"/>
      <c r="AJ615" s="516"/>
      <c r="AK615" s="516"/>
      <c r="AL615" s="516"/>
      <c r="AM615" s="383"/>
      <c r="AO615">
        <f ca="1">IF($A615="S",IF(BM!$I615=0,0,CHOOSE(MATCH(RegimeExecucao,{"Global","Unitário"},0),ROUND(ROUND(BM.MEDAcumulado,15-13*BM!$A$9)/100*BM!$I615,15-13*ORÇAMENTO!$AF$11),ROUND(ROUND(BM.MEDAcumulado,15-13*BM!$A$9)*ROUND(BM!$H615,15-13*ORÇAMENTO!$AF$10),15-13*ORÇAMENTO!$AF$11))),IF($A615=0,0,ROUND(SomaAgrupBM,15-13*ORÇAMENTO!$AF$11)))</f>
        <v>0</v>
      </c>
    </row>
    <row r="616" spans="1:41" ht="25.5" x14ac:dyDescent="0.2">
      <c r="A616" t="str">
        <f ca="1">ORÇAMENTO!C616</f>
        <v>S</v>
      </c>
      <c r="B616">
        <f ca="1">ORÇAMENTO!D616</f>
        <v>0</v>
      </c>
      <c r="C616" s="116" t="str">
        <f t="shared" ca="1" si="56"/>
        <v/>
      </c>
      <c r="D616" s="119" t="str">
        <f ca="1">ORÇAMENTO!O616</f>
        <v>-</v>
      </c>
      <c r="E616" s="172" t="str">
        <f t="shared" ca="1" si="63"/>
        <v>(abra o arquivo 'Referência 02-2025.xlsm)</v>
      </c>
      <c r="F616" s="173" t="str">
        <f ca="1">IF(RegimeExecucao="Global","",ORÇAMENTO.Unidade)</f>
        <v>-</v>
      </c>
      <c r="G616" s="124">
        <f ca="1">IF(RegimeExecucao="Global","",ORÇAMENTO!T616)</f>
        <v>1</v>
      </c>
      <c r="H616" s="124">
        <f ca="1">IF(RegimeExecucao="Global","",ORÇAMENTO!W616)</f>
        <v>0</v>
      </c>
      <c r="I616" s="127">
        <f ca="1">ORÇAMENTO!X616</f>
        <v>0</v>
      </c>
      <c r="J616" s="378">
        <f ca="1">IF($A616="S",IF(CAIXA.Modo,BM.AFAnterior,BM.MEDAnterior),IF(AND(RegimeExecucao="Global",$I616&gt;0,COUNTIF($AB$13:$AM$13,BM.medicao-1)&gt;0),M616/$I616*100,0))</f>
        <v>0</v>
      </c>
      <c r="K616" s="124">
        <f t="shared" ca="1" si="58"/>
        <v>0</v>
      </c>
      <c r="L616" s="379">
        <f ca="1">IF($A616="S",IF(CAIXA.Modo,BM.AFAcumulado,BM.MEDAcumulado),IF(AND(RegimeExecucao="Global",$I616&gt;0,COUNTIF($AB$13:$AM$13,BM.medicao)&gt;0),O616/$I616*100,0))</f>
        <v>0</v>
      </c>
      <c r="M616" s="380">
        <f ca="1">IF($A616="S",VTOTALBM,IF($A616=0,0,ROUND(SomaAgrupBM,15-13*ORÇAMENTO!$AF$11)))</f>
        <v>0</v>
      </c>
      <c r="N616" s="381">
        <f t="shared" ca="1" si="59"/>
        <v>0</v>
      </c>
      <c r="O616" s="127">
        <f ca="1">IF($A616="S",VTOTALBM,IF($A616=0,0,ROUND(SomaAgrupBM,15-13*ORÇAMENTO!$AF$11)))</f>
        <v>0</v>
      </c>
      <c r="Q616" s="382"/>
      <c r="R616" s="383"/>
      <c r="T616" s="119" t="str">
        <f t="shared" ca="1" si="60"/>
        <v/>
      </c>
      <c r="U616" s="172" t="str">
        <f t="shared" ca="1" si="61"/>
        <v/>
      </c>
      <c r="V616" s="173" t="str">
        <f ca="1">IF(AND($W616&gt;0,RegimeExecucao="Unitário"),$F616,"")</f>
        <v/>
      </c>
      <c r="W616" s="547">
        <f ca="1">IF($Y616&gt;0,CHOOSE(MATCH(RegimeExecucao,{"Unitário","Global"},0),IF($A616="S",$Y616/$X616,""),($Y616/$X616)*100),0)</f>
        <v>0</v>
      </c>
      <c r="X616" s="384" t="str">
        <f ca="1">IF($Y616&gt;0,CHOOSE(MATCH(RegimeExecucao,{"Unitário","Global"},0),IF($A616="S",ROUND($H616,ORÇAMENTO!$AF$10),""),ROUND($I616,ORÇAMENTO!$AF$11)),"")</f>
        <v/>
      </c>
      <c r="Y616" s="384">
        <f t="shared" ca="1" si="62"/>
        <v>0</v>
      </c>
      <c r="Z616" s="572"/>
      <c r="AB616" s="382"/>
      <c r="AC616" s="516"/>
      <c r="AD616" s="516"/>
      <c r="AE616" s="516"/>
      <c r="AF616" s="516"/>
      <c r="AG616" s="516"/>
      <c r="AH616" s="516"/>
      <c r="AI616" s="516"/>
      <c r="AJ616" s="516"/>
      <c r="AK616" s="516"/>
      <c r="AL616" s="516"/>
      <c r="AM616" s="383"/>
      <c r="AO616">
        <f ca="1">IF($A616="S",IF(BM!$I616=0,0,CHOOSE(MATCH(RegimeExecucao,{"Global","Unitário"},0),ROUND(ROUND(BM.MEDAcumulado,15-13*BM!$A$9)/100*BM!$I616,15-13*ORÇAMENTO!$AF$11),ROUND(ROUND(BM.MEDAcumulado,15-13*BM!$A$9)*ROUND(BM!$H616,15-13*ORÇAMENTO!$AF$10),15-13*ORÇAMENTO!$AF$11))),IF($A616=0,0,ROUND(SomaAgrupBM,15-13*ORÇAMENTO!$AF$11)))</f>
        <v>0</v>
      </c>
    </row>
    <row r="617" spans="1:41" x14ac:dyDescent="0.2">
      <c r="A617" t="str">
        <f ca="1">ORÇAMENTO!C617</f>
        <v>S</v>
      </c>
      <c r="B617">
        <f ca="1">ORÇAMENTO!D617</f>
        <v>0</v>
      </c>
      <c r="C617" s="116" t="str">
        <f t="shared" ca="1" si="56"/>
        <v/>
      </c>
      <c r="D617" s="119" t="str">
        <f ca="1">ORÇAMENTO!O617</f>
        <v>-</v>
      </c>
      <c r="E617" s="172" t="str">
        <f t="shared" ca="1" si="63"/>
        <v>(abra o arquivo 'Referência 02-2025.xlsm)</v>
      </c>
      <c r="F617" s="173" t="str">
        <f ca="1">IF(RegimeExecucao="Global","",ORÇAMENTO.Unidade)</f>
        <v>-</v>
      </c>
      <c r="G617" s="124">
        <f ca="1">IF(RegimeExecucao="Global","",ORÇAMENTO!T617)</f>
        <v>1</v>
      </c>
      <c r="H617" s="124">
        <f ca="1">IF(RegimeExecucao="Global","",ORÇAMENTO!W617)</f>
        <v>0</v>
      </c>
      <c r="I617" s="127">
        <f ca="1">ORÇAMENTO!X617</f>
        <v>0</v>
      </c>
      <c r="J617" s="378">
        <f ca="1">IF($A617="S",IF(CAIXA.Modo,BM.AFAnterior,BM.MEDAnterior),IF(AND(RegimeExecucao="Global",$I617&gt;0,COUNTIF($AB$13:$AM$13,BM.medicao-1)&gt;0),M617/$I617*100,0))</f>
        <v>0</v>
      </c>
      <c r="K617" s="124">
        <f t="shared" ca="1" si="58"/>
        <v>0</v>
      </c>
      <c r="L617" s="379">
        <f ca="1">IF($A617="S",IF(CAIXA.Modo,BM.AFAcumulado,BM.MEDAcumulado),IF(AND(RegimeExecucao="Global",$I617&gt;0,COUNTIF($AB$13:$AM$13,BM.medicao)&gt;0),O617/$I617*100,0))</f>
        <v>0</v>
      </c>
      <c r="M617" s="380">
        <f ca="1">IF($A617="S",VTOTALBM,IF($A617=0,0,ROUND(SomaAgrupBM,15-13*ORÇAMENTO!$AF$11)))</f>
        <v>0</v>
      </c>
      <c r="N617" s="381">
        <f t="shared" ca="1" si="59"/>
        <v>0</v>
      </c>
      <c r="O617" s="127">
        <f ca="1">IF($A617="S",VTOTALBM,IF($A617=0,0,ROUND(SomaAgrupBM,15-13*ORÇAMENTO!$AF$11)))</f>
        <v>0</v>
      </c>
      <c r="Q617" s="382"/>
      <c r="R617" s="383"/>
      <c r="T617" s="119" t="str">
        <f t="shared" ca="1" si="60"/>
        <v/>
      </c>
      <c r="U617" s="172" t="str">
        <f t="shared" ca="1" si="61"/>
        <v/>
      </c>
      <c r="V617" s="173" t="str">
        <f ca="1">IF(AND($W617&gt;0,RegimeExecucao="Unitário"),$F617,"")</f>
        <v/>
      </c>
      <c r="W617" s="547">
        <f ca="1">IF($Y617&gt;0,CHOOSE(MATCH(RegimeExecucao,{"Unitário","Global"},0),IF($A617="S",$Y617/$X617,""),($Y617/$X617)*100),0)</f>
        <v>0</v>
      </c>
      <c r="X617" s="384" t="str">
        <f ca="1">IF($Y617&gt;0,CHOOSE(MATCH(RegimeExecucao,{"Unitário","Global"},0),IF($A617="S",ROUND($H617,ORÇAMENTO!$AF$10),""),ROUND($I617,ORÇAMENTO!$AF$11)),"")</f>
        <v/>
      </c>
      <c r="Y617" s="384">
        <f t="shared" ca="1" si="62"/>
        <v>0</v>
      </c>
      <c r="Z617" s="572"/>
      <c r="AB617" s="382"/>
      <c r="AC617" s="516"/>
      <c r="AD617" s="516"/>
      <c r="AE617" s="516"/>
      <c r="AF617" s="516"/>
      <c r="AG617" s="516"/>
      <c r="AH617" s="516"/>
      <c r="AI617" s="516"/>
      <c r="AJ617" s="516"/>
      <c r="AK617" s="516"/>
      <c r="AL617" s="516"/>
      <c r="AM617" s="383"/>
      <c r="AO617">
        <f ca="1">IF($A617="S",IF(BM!$I617=0,0,CHOOSE(MATCH(RegimeExecucao,{"Global","Unitário"},0),ROUND(ROUND(BM.MEDAcumulado,15-13*BM!$A$9)/100*BM!$I617,15-13*ORÇAMENTO!$AF$11),ROUND(ROUND(BM.MEDAcumulado,15-13*BM!$A$9)*ROUND(BM!$H617,15-13*ORÇAMENTO!$AF$10),15-13*ORÇAMENTO!$AF$11))),IF($A617=0,0,ROUND(SomaAgrupBM,15-13*ORÇAMENTO!$AF$11)))</f>
        <v>0</v>
      </c>
    </row>
    <row r="618" spans="1:41" x14ac:dyDescent="0.2">
      <c r="A618">
        <f ca="1">ORÇAMENTO!C618</f>
        <v>3</v>
      </c>
      <c r="B618">
        <f ca="1">ORÇAMENTO!D618</f>
        <v>8</v>
      </c>
      <c r="C618" s="116" t="str">
        <f t="shared" ca="1" si="56"/>
        <v>F</v>
      </c>
      <c r="D618" s="119" t="str">
        <f ca="1">ORÇAMENTO!O618</f>
        <v>1.18.2.</v>
      </c>
      <c r="E618" s="172" t="str">
        <f t="shared" ca="1" si="63"/>
        <v>ACESSÓRIOS</v>
      </c>
      <c r="F618" s="173" t="str">
        <f ca="1">IF(RegimeExecucao="Global","",ORÇAMENTO.Unidade)</f>
        <v>-</v>
      </c>
      <c r="G618" s="124">
        <f ca="1">IF(RegimeExecucao="Global","",ORÇAMENTO!T618)</f>
        <v>0</v>
      </c>
      <c r="H618" s="124">
        <f ca="1">IF(RegimeExecucao="Global","",ORÇAMENTO!W618)</f>
        <v>0</v>
      </c>
      <c r="I618" s="127">
        <f ca="1">ORÇAMENTO!X618</f>
        <v>0</v>
      </c>
      <c r="J618" s="378">
        <f ca="1">IF($A618="S",IF(CAIXA.Modo,BM.AFAnterior,BM.MEDAnterior),IF(AND(RegimeExecucao="Global",$I618&gt;0,COUNTIF($AB$13:$AM$13,BM.medicao-1)&gt;0),M618/$I618*100,0))</f>
        <v>0</v>
      </c>
      <c r="K618" s="124">
        <f t="shared" ca="1" si="58"/>
        <v>0</v>
      </c>
      <c r="L618" s="379">
        <f ca="1">IF($A618="S",IF(CAIXA.Modo,BM.AFAcumulado,BM.MEDAcumulado),IF(AND(RegimeExecucao="Global",$I618&gt;0,COUNTIF($AB$13:$AM$13,BM.medicao)&gt;0),O618/$I618*100,0))</f>
        <v>0</v>
      </c>
      <c r="M618" s="380">
        <f ca="1">IF($A618="S",VTOTALBM,IF($A618=0,0,ROUND(SomaAgrupBM,15-13*ORÇAMENTO!$AF$11)))</f>
        <v>0</v>
      </c>
      <c r="N618" s="381">
        <f t="shared" ca="1" si="59"/>
        <v>0</v>
      </c>
      <c r="O618" s="127">
        <f ca="1">IF($A618="S",VTOTALBM,IF($A618=0,0,ROUND(SomaAgrupBM,15-13*ORÇAMENTO!$AF$11)))</f>
        <v>0</v>
      </c>
      <c r="Q618" s="382"/>
      <c r="R618" s="383"/>
      <c r="T618" s="119" t="str">
        <f t="shared" ca="1" si="60"/>
        <v/>
      </c>
      <c r="U618" s="172" t="str">
        <f t="shared" ca="1" si="61"/>
        <v/>
      </c>
      <c r="V618" s="173" t="str">
        <f ca="1">IF(AND($W618&gt;0,RegimeExecucao="Unitário"),$F618,"")</f>
        <v/>
      </c>
      <c r="W618" s="547">
        <f ca="1">IF($Y618&gt;0,CHOOSE(MATCH(RegimeExecucao,{"Unitário","Global"},0),IF($A618="S",$Y618/$X618,""),($Y618/$X618)*100),0)</f>
        <v>0</v>
      </c>
      <c r="X618" s="384" t="str">
        <f ca="1">IF($Y618&gt;0,CHOOSE(MATCH(RegimeExecucao,{"Unitário","Global"},0),IF($A618="S",ROUND($H618,ORÇAMENTO!$AF$10),""),ROUND($I618,ORÇAMENTO!$AF$11)),"")</f>
        <v/>
      </c>
      <c r="Y618" s="384">
        <f t="shared" ca="1" si="62"/>
        <v>0</v>
      </c>
      <c r="Z618" s="572"/>
      <c r="AB618" s="382"/>
      <c r="AC618" s="516"/>
      <c r="AD618" s="516"/>
      <c r="AE618" s="516"/>
      <c r="AF618" s="516"/>
      <c r="AG618" s="516"/>
      <c r="AH618" s="516"/>
      <c r="AI618" s="516"/>
      <c r="AJ618" s="516"/>
      <c r="AK618" s="516"/>
      <c r="AL618" s="516"/>
      <c r="AM618" s="383"/>
      <c r="AO618">
        <f ca="1">IF($A618="S",IF(BM!$I618=0,0,CHOOSE(MATCH(RegimeExecucao,{"Global","Unitário"},0),ROUND(ROUND(BM.MEDAcumulado,15-13*BM!$A$9)/100*BM!$I618,15-13*ORÇAMENTO!$AF$11),ROUND(ROUND(BM.MEDAcumulado,15-13*BM!$A$9)*ROUND(BM!$H618,15-13*ORÇAMENTO!$AF$10),15-13*ORÇAMENTO!$AF$11))),IF($A618=0,0,ROUND(SomaAgrupBM,15-13*ORÇAMENTO!$AF$11)))</f>
        <v>0</v>
      </c>
    </row>
    <row r="619" spans="1:41" ht="38.25" x14ac:dyDescent="0.2">
      <c r="A619" t="str">
        <f ca="1">ORÇAMENTO!C619</f>
        <v>S</v>
      </c>
      <c r="B619">
        <f ca="1">ORÇAMENTO!D619</f>
        <v>0</v>
      </c>
      <c r="C619" s="116" t="str">
        <f t="shared" ca="1" si="56"/>
        <v/>
      </c>
      <c r="D619" s="119" t="str">
        <f ca="1">ORÇAMENTO!O619</f>
        <v>-</v>
      </c>
      <c r="E619" s="172" t="str">
        <f t="shared" ca="1" si="63"/>
        <v>(abra o arquivo 'Referência 02-2025.xlsm)</v>
      </c>
      <c r="F619" s="173" t="str">
        <f ca="1">IF(RegimeExecucao="Global","",ORÇAMENTO.Unidade)</f>
        <v>-</v>
      </c>
      <c r="G619" s="124">
        <f ca="1">IF(RegimeExecucao="Global","",ORÇAMENTO!T619)</f>
        <v>42</v>
      </c>
      <c r="H619" s="124">
        <f ca="1">IF(RegimeExecucao="Global","",ORÇAMENTO!W619)</f>
        <v>0</v>
      </c>
      <c r="I619" s="127">
        <f ca="1">ORÇAMENTO!X619</f>
        <v>0</v>
      </c>
      <c r="J619" s="378">
        <f ca="1">IF($A619="S",IF(CAIXA.Modo,BM.AFAnterior,BM.MEDAnterior),IF(AND(RegimeExecucao="Global",$I619&gt;0,COUNTIF($AB$13:$AM$13,BM.medicao-1)&gt;0),M619/$I619*100,0))</f>
        <v>0</v>
      </c>
      <c r="K619" s="124">
        <f t="shared" ca="1" si="58"/>
        <v>0</v>
      </c>
      <c r="L619" s="379">
        <f ca="1">IF($A619="S",IF(CAIXA.Modo,BM.AFAcumulado,BM.MEDAcumulado),IF(AND(RegimeExecucao="Global",$I619&gt;0,COUNTIF($AB$13:$AM$13,BM.medicao)&gt;0),O619/$I619*100,0))</f>
        <v>0</v>
      </c>
      <c r="M619" s="380">
        <f ca="1">IF($A619="S",VTOTALBM,IF($A619=0,0,ROUND(SomaAgrupBM,15-13*ORÇAMENTO!$AF$11)))</f>
        <v>0</v>
      </c>
      <c r="N619" s="381">
        <f t="shared" ca="1" si="59"/>
        <v>0</v>
      </c>
      <c r="O619" s="127">
        <f ca="1">IF($A619="S",VTOTALBM,IF($A619=0,0,ROUND(SomaAgrupBM,15-13*ORÇAMENTO!$AF$11)))</f>
        <v>0</v>
      </c>
      <c r="Q619" s="382"/>
      <c r="R619" s="383"/>
      <c r="T619" s="119" t="str">
        <f t="shared" ca="1" si="60"/>
        <v/>
      </c>
      <c r="U619" s="172" t="str">
        <f t="shared" ca="1" si="61"/>
        <v/>
      </c>
      <c r="V619" s="173" t="str">
        <f ca="1">IF(AND($W619&gt;0,RegimeExecucao="Unitário"),$F619,"")</f>
        <v/>
      </c>
      <c r="W619" s="547">
        <f ca="1">IF($Y619&gt;0,CHOOSE(MATCH(RegimeExecucao,{"Unitário","Global"},0),IF($A619="S",$Y619/$X619,""),($Y619/$X619)*100),0)</f>
        <v>0</v>
      </c>
      <c r="X619" s="384" t="str">
        <f ca="1">IF($Y619&gt;0,CHOOSE(MATCH(RegimeExecucao,{"Unitário","Global"},0),IF($A619="S",ROUND($H619,ORÇAMENTO!$AF$10),""),ROUND($I619,ORÇAMENTO!$AF$11)),"")</f>
        <v/>
      </c>
      <c r="Y619" s="384">
        <f t="shared" ca="1" si="62"/>
        <v>0</v>
      </c>
      <c r="Z619" s="572"/>
      <c r="AB619" s="382"/>
      <c r="AC619" s="516"/>
      <c r="AD619" s="516"/>
      <c r="AE619" s="516"/>
      <c r="AF619" s="516"/>
      <c r="AG619" s="516"/>
      <c r="AH619" s="516"/>
      <c r="AI619" s="516"/>
      <c r="AJ619" s="516"/>
      <c r="AK619" s="516"/>
      <c r="AL619" s="516"/>
      <c r="AM619" s="383"/>
      <c r="AO619">
        <f ca="1">IF($A619="S",IF(BM!$I619=0,0,CHOOSE(MATCH(RegimeExecucao,{"Global","Unitário"},0),ROUND(ROUND(BM.MEDAcumulado,15-13*BM!$A$9)/100*BM!$I619,15-13*ORÇAMENTO!$AF$11),ROUND(ROUND(BM.MEDAcumulado,15-13*BM!$A$9)*ROUND(BM!$H619,15-13*ORÇAMENTO!$AF$10),15-13*ORÇAMENTO!$AF$11))),IF($A619=0,0,ROUND(SomaAgrupBM,15-13*ORÇAMENTO!$AF$11)))</f>
        <v>0</v>
      </c>
    </row>
    <row r="620" spans="1:41" x14ac:dyDescent="0.2">
      <c r="A620" t="str">
        <f ca="1">ORÇAMENTO!C620</f>
        <v>S</v>
      </c>
      <c r="B620">
        <f ca="1">ORÇAMENTO!D620</f>
        <v>0</v>
      </c>
      <c r="C620" s="116" t="str">
        <f t="shared" ca="1" si="56"/>
        <v/>
      </c>
      <c r="D620" s="119" t="str">
        <f ca="1">ORÇAMENTO!O620</f>
        <v>-</v>
      </c>
      <c r="E620" s="172" t="str">
        <f t="shared" ca="1" si="63"/>
        <v>(abra o arquivo 'Referência 02-2025.xlsm)</v>
      </c>
      <c r="F620" s="173" t="str">
        <f ca="1">IF(RegimeExecucao="Global","",ORÇAMENTO.Unidade)</f>
        <v>-</v>
      </c>
      <c r="G620" s="124">
        <f ca="1">IF(RegimeExecucao="Global","",ORÇAMENTO!T620)</f>
        <v>697</v>
      </c>
      <c r="H620" s="124">
        <f ca="1">IF(RegimeExecucao="Global","",ORÇAMENTO!W620)</f>
        <v>0</v>
      </c>
      <c r="I620" s="127">
        <f ca="1">ORÇAMENTO!X620</f>
        <v>0</v>
      </c>
      <c r="J620" s="378">
        <f ca="1">IF($A620="S",IF(CAIXA.Modo,BM.AFAnterior,BM.MEDAnterior),IF(AND(RegimeExecucao="Global",$I620&gt;0,COUNTIF($AB$13:$AM$13,BM.medicao-1)&gt;0),M620/$I620*100,0))</f>
        <v>0</v>
      </c>
      <c r="K620" s="124">
        <f t="shared" ca="1" si="58"/>
        <v>0</v>
      </c>
      <c r="L620" s="379">
        <f ca="1">IF($A620="S",IF(CAIXA.Modo,BM.AFAcumulado,BM.MEDAcumulado),IF(AND(RegimeExecucao="Global",$I620&gt;0,COUNTIF($AB$13:$AM$13,BM.medicao)&gt;0),O620/$I620*100,0))</f>
        <v>0</v>
      </c>
      <c r="M620" s="380">
        <f ca="1">IF($A620="S",VTOTALBM,IF($A620=0,0,ROUND(SomaAgrupBM,15-13*ORÇAMENTO!$AF$11)))</f>
        <v>0</v>
      </c>
      <c r="N620" s="381">
        <f t="shared" ca="1" si="59"/>
        <v>0</v>
      </c>
      <c r="O620" s="127">
        <f ca="1">IF($A620="S",VTOTALBM,IF($A620=0,0,ROUND(SomaAgrupBM,15-13*ORÇAMENTO!$AF$11)))</f>
        <v>0</v>
      </c>
      <c r="Q620" s="382"/>
      <c r="R620" s="383"/>
      <c r="T620" s="119" t="str">
        <f t="shared" ca="1" si="60"/>
        <v/>
      </c>
      <c r="U620" s="172" t="str">
        <f t="shared" ca="1" si="61"/>
        <v/>
      </c>
      <c r="V620" s="173" t="str">
        <f ca="1">IF(AND($W620&gt;0,RegimeExecucao="Unitário"),$F620,"")</f>
        <v/>
      </c>
      <c r="W620" s="547">
        <f ca="1">IF($Y620&gt;0,CHOOSE(MATCH(RegimeExecucao,{"Unitário","Global"},0),IF($A620="S",$Y620/$X620,""),($Y620/$X620)*100),0)</f>
        <v>0</v>
      </c>
      <c r="X620" s="384" t="str">
        <f ca="1">IF($Y620&gt;0,CHOOSE(MATCH(RegimeExecucao,{"Unitário","Global"},0),IF($A620="S",ROUND($H620,ORÇAMENTO!$AF$10),""),ROUND($I620,ORÇAMENTO!$AF$11)),"")</f>
        <v/>
      </c>
      <c r="Y620" s="384">
        <f t="shared" ca="1" si="62"/>
        <v>0</v>
      </c>
      <c r="Z620" s="572"/>
      <c r="AB620" s="382"/>
      <c r="AC620" s="516"/>
      <c r="AD620" s="516"/>
      <c r="AE620" s="516"/>
      <c r="AF620" s="516"/>
      <c r="AG620" s="516"/>
      <c r="AH620" s="516"/>
      <c r="AI620" s="516"/>
      <c r="AJ620" s="516"/>
      <c r="AK620" s="516"/>
      <c r="AL620" s="516"/>
      <c r="AM620" s="383"/>
      <c r="AO620">
        <f ca="1">IF($A620="S",IF(BM!$I620=0,0,CHOOSE(MATCH(RegimeExecucao,{"Global","Unitário"},0),ROUND(ROUND(BM.MEDAcumulado,15-13*BM!$A$9)/100*BM!$I620,15-13*ORÇAMENTO!$AF$11),ROUND(ROUND(BM.MEDAcumulado,15-13*BM!$A$9)*ROUND(BM!$H620,15-13*ORÇAMENTO!$AF$10),15-13*ORÇAMENTO!$AF$11))),IF($A620=0,0,ROUND(SomaAgrupBM,15-13*ORÇAMENTO!$AF$11)))</f>
        <v>0</v>
      </c>
    </row>
    <row r="621" spans="1:41" x14ac:dyDescent="0.2">
      <c r="A621" t="str">
        <f ca="1">ORÇAMENTO!C621</f>
        <v>S</v>
      </c>
      <c r="B621">
        <f ca="1">ORÇAMENTO!D621</f>
        <v>0</v>
      </c>
      <c r="C621" s="116" t="str">
        <f t="shared" ca="1" si="56"/>
        <v/>
      </c>
      <c r="D621" s="119" t="str">
        <f ca="1">ORÇAMENTO!O621</f>
        <v>-</v>
      </c>
      <c r="E621" s="172" t="str">
        <f t="shared" ca="1" si="63"/>
        <v>(abra o arquivo 'Referência 02-2025.xlsm)</v>
      </c>
      <c r="F621" s="173" t="str">
        <f ca="1">IF(RegimeExecucao="Global","",ORÇAMENTO.Unidade)</f>
        <v>-</v>
      </c>
      <c r="G621" s="124">
        <f ca="1">IF(RegimeExecucao="Global","",ORÇAMENTO!T621)</f>
        <v>23</v>
      </c>
      <c r="H621" s="124">
        <f ca="1">IF(RegimeExecucao="Global","",ORÇAMENTO!W621)</f>
        <v>0</v>
      </c>
      <c r="I621" s="127">
        <f ca="1">ORÇAMENTO!X621</f>
        <v>0</v>
      </c>
      <c r="J621" s="378">
        <f ca="1">IF($A621="S",IF(CAIXA.Modo,BM.AFAnterior,BM.MEDAnterior),IF(AND(RegimeExecucao="Global",$I621&gt;0,COUNTIF($AB$13:$AM$13,BM.medicao-1)&gt;0),M621/$I621*100,0))</f>
        <v>0</v>
      </c>
      <c r="K621" s="124">
        <f t="shared" ca="1" si="58"/>
        <v>0</v>
      </c>
      <c r="L621" s="379">
        <f ca="1">IF($A621="S",IF(CAIXA.Modo,BM.AFAcumulado,BM.MEDAcumulado),IF(AND(RegimeExecucao="Global",$I621&gt;0,COUNTIF($AB$13:$AM$13,BM.medicao)&gt;0),O621/$I621*100,0))</f>
        <v>0</v>
      </c>
      <c r="M621" s="380">
        <f ca="1">IF($A621="S",VTOTALBM,IF($A621=0,0,ROUND(SomaAgrupBM,15-13*ORÇAMENTO!$AF$11)))</f>
        <v>0</v>
      </c>
      <c r="N621" s="381">
        <f t="shared" ca="1" si="59"/>
        <v>0</v>
      </c>
      <c r="O621" s="127">
        <f ca="1">IF($A621="S",VTOTALBM,IF($A621=0,0,ROUND(SomaAgrupBM,15-13*ORÇAMENTO!$AF$11)))</f>
        <v>0</v>
      </c>
      <c r="Q621" s="382"/>
      <c r="R621" s="383"/>
      <c r="T621" s="119" t="str">
        <f t="shared" ca="1" si="60"/>
        <v/>
      </c>
      <c r="U621" s="172" t="str">
        <f t="shared" ca="1" si="61"/>
        <v/>
      </c>
      <c r="V621" s="173" t="str">
        <f ca="1">IF(AND($W621&gt;0,RegimeExecucao="Unitário"),$F621,"")</f>
        <v/>
      </c>
      <c r="W621" s="547">
        <f ca="1">IF($Y621&gt;0,CHOOSE(MATCH(RegimeExecucao,{"Unitário","Global"},0),IF($A621="S",$Y621/$X621,""),($Y621/$X621)*100),0)</f>
        <v>0</v>
      </c>
      <c r="X621" s="384" t="str">
        <f ca="1">IF($Y621&gt;0,CHOOSE(MATCH(RegimeExecucao,{"Unitário","Global"},0),IF($A621="S",ROUND($H621,ORÇAMENTO!$AF$10),""),ROUND($I621,ORÇAMENTO!$AF$11)),"")</f>
        <v/>
      </c>
      <c r="Y621" s="384">
        <f t="shared" ca="1" si="62"/>
        <v>0</v>
      </c>
      <c r="Z621" s="572"/>
      <c r="AB621" s="382"/>
      <c r="AC621" s="516"/>
      <c r="AD621" s="516"/>
      <c r="AE621" s="516"/>
      <c r="AF621" s="516"/>
      <c r="AG621" s="516"/>
      <c r="AH621" s="516"/>
      <c r="AI621" s="516"/>
      <c r="AJ621" s="516"/>
      <c r="AK621" s="516"/>
      <c r="AL621" s="516"/>
      <c r="AM621" s="383"/>
      <c r="AO621">
        <f ca="1">IF($A621="S",IF(BM!$I621=0,0,CHOOSE(MATCH(RegimeExecucao,{"Global","Unitário"},0),ROUND(ROUND(BM.MEDAcumulado,15-13*BM!$A$9)/100*BM!$I621,15-13*ORÇAMENTO!$AF$11),ROUND(ROUND(BM.MEDAcumulado,15-13*BM!$A$9)*ROUND(BM!$H621,15-13*ORÇAMENTO!$AF$10),15-13*ORÇAMENTO!$AF$11))),IF($A621=0,0,ROUND(SomaAgrupBM,15-13*ORÇAMENTO!$AF$11)))</f>
        <v>0</v>
      </c>
    </row>
    <row r="622" spans="1:41" ht="25.5" x14ac:dyDescent="0.2">
      <c r="A622" t="str">
        <f ca="1">ORÇAMENTO!C622</f>
        <v>S</v>
      </c>
      <c r="B622">
        <f ca="1">ORÇAMENTO!D622</f>
        <v>0</v>
      </c>
      <c r="C622" s="116" t="str">
        <f t="shared" ca="1" si="56"/>
        <v/>
      </c>
      <c r="D622" s="119" t="str">
        <f ca="1">ORÇAMENTO!O622</f>
        <v>-</v>
      </c>
      <c r="E622" s="172" t="str">
        <f t="shared" ca="1" si="63"/>
        <v>(abra o arquivo 'Referência 02-2025.xlsm)</v>
      </c>
      <c r="F622" s="173" t="str">
        <f ca="1">IF(RegimeExecucao="Global","",ORÇAMENTO.Unidade)</f>
        <v>-</v>
      </c>
      <c r="G622" s="124">
        <f ca="1">IF(RegimeExecucao="Global","",ORÇAMENTO!T622)</f>
        <v>481</v>
      </c>
      <c r="H622" s="124">
        <f ca="1">IF(RegimeExecucao="Global","",ORÇAMENTO!W622)</f>
        <v>0</v>
      </c>
      <c r="I622" s="127">
        <f ca="1">ORÇAMENTO!X622</f>
        <v>0</v>
      </c>
      <c r="J622" s="378">
        <f ca="1">IF($A622="S",IF(CAIXA.Modo,BM.AFAnterior,BM.MEDAnterior),IF(AND(RegimeExecucao="Global",$I622&gt;0,COUNTIF($AB$13:$AM$13,BM.medicao-1)&gt;0),M622/$I622*100,0))</f>
        <v>0</v>
      </c>
      <c r="K622" s="124">
        <f t="shared" ca="1" si="58"/>
        <v>0</v>
      </c>
      <c r="L622" s="379">
        <f ca="1">IF($A622="S",IF(CAIXA.Modo,BM.AFAcumulado,BM.MEDAcumulado),IF(AND(RegimeExecucao="Global",$I622&gt;0,COUNTIF($AB$13:$AM$13,BM.medicao)&gt;0),O622/$I622*100,0))</f>
        <v>0</v>
      </c>
      <c r="M622" s="380">
        <f ca="1">IF($A622="S",VTOTALBM,IF($A622=0,0,ROUND(SomaAgrupBM,15-13*ORÇAMENTO!$AF$11)))</f>
        <v>0</v>
      </c>
      <c r="N622" s="381">
        <f t="shared" ca="1" si="59"/>
        <v>0</v>
      </c>
      <c r="O622" s="127">
        <f ca="1">IF($A622="S",VTOTALBM,IF($A622=0,0,ROUND(SomaAgrupBM,15-13*ORÇAMENTO!$AF$11)))</f>
        <v>0</v>
      </c>
      <c r="Q622" s="382"/>
      <c r="R622" s="383"/>
      <c r="T622" s="119" t="str">
        <f t="shared" ca="1" si="60"/>
        <v/>
      </c>
      <c r="U622" s="172" t="str">
        <f t="shared" ca="1" si="61"/>
        <v/>
      </c>
      <c r="V622" s="173" t="str">
        <f ca="1">IF(AND($W622&gt;0,RegimeExecucao="Unitário"),$F622,"")</f>
        <v/>
      </c>
      <c r="W622" s="547">
        <f ca="1">IF($Y622&gt;0,CHOOSE(MATCH(RegimeExecucao,{"Unitário","Global"},0),IF($A622="S",$Y622/$X622,""),($Y622/$X622)*100),0)</f>
        <v>0</v>
      </c>
      <c r="X622" s="384" t="str">
        <f ca="1">IF($Y622&gt;0,CHOOSE(MATCH(RegimeExecucao,{"Unitário","Global"},0),IF($A622="S",ROUND($H622,ORÇAMENTO!$AF$10),""),ROUND($I622,ORÇAMENTO!$AF$11)),"")</f>
        <v/>
      </c>
      <c r="Y622" s="384">
        <f t="shared" ca="1" si="62"/>
        <v>0</v>
      </c>
      <c r="Z622" s="572"/>
      <c r="AB622" s="382"/>
      <c r="AC622" s="516"/>
      <c r="AD622" s="516"/>
      <c r="AE622" s="516"/>
      <c r="AF622" s="516"/>
      <c r="AG622" s="516"/>
      <c r="AH622" s="516"/>
      <c r="AI622" s="516"/>
      <c r="AJ622" s="516"/>
      <c r="AK622" s="516"/>
      <c r="AL622" s="516"/>
      <c r="AM622" s="383"/>
      <c r="AO622">
        <f ca="1">IF($A622="S",IF(BM!$I622=0,0,CHOOSE(MATCH(RegimeExecucao,{"Global","Unitário"},0),ROUND(ROUND(BM.MEDAcumulado,15-13*BM!$A$9)/100*BM!$I622,15-13*ORÇAMENTO!$AF$11),ROUND(ROUND(BM.MEDAcumulado,15-13*BM!$A$9)*ROUND(BM!$H622,15-13*ORÇAMENTO!$AF$10),15-13*ORÇAMENTO!$AF$11))),IF($A622=0,0,ROUND(SomaAgrupBM,15-13*ORÇAMENTO!$AF$11)))</f>
        <v>0</v>
      </c>
    </row>
    <row r="623" spans="1:41" x14ac:dyDescent="0.2">
      <c r="A623" t="str">
        <f ca="1">ORÇAMENTO!C623</f>
        <v>S</v>
      </c>
      <c r="B623">
        <f ca="1">ORÇAMENTO!D623</f>
        <v>0</v>
      </c>
      <c r="C623" s="116" t="str">
        <f t="shared" ca="1" si="56"/>
        <v/>
      </c>
      <c r="D623" s="119" t="str">
        <f ca="1">ORÇAMENTO!O623</f>
        <v>-</v>
      </c>
      <c r="E623" s="172" t="str">
        <f t="shared" ca="1" si="63"/>
        <v>(abra o arquivo 'Referência 02-2025.xlsm)</v>
      </c>
      <c r="F623" s="173" t="str">
        <f ca="1">IF(RegimeExecucao="Global","",ORÇAMENTO.Unidade)</f>
        <v>-</v>
      </c>
      <c r="G623" s="124">
        <f ca="1">IF(RegimeExecucao="Global","",ORÇAMENTO!T623)</f>
        <v>593</v>
      </c>
      <c r="H623" s="124">
        <f ca="1">IF(RegimeExecucao="Global","",ORÇAMENTO!W623)</f>
        <v>0</v>
      </c>
      <c r="I623" s="127">
        <f ca="1">ORÇAMENTO!X623</f>
        <v>0</v>
      </c>
      <c r="J623" s="378">
        <f ca="1">IF($A623="S",IF(CAIXA.Modo,BM.AFAnterior,BM.MEDAnterior),IF(AND(RegimeExecucao="Global",$I623&gt;0,COUNTIF($AB$13:$AM$13,BM.medicao-1)&gt;0),M623/$I623*100,0))</f>
        <v>0</v>
      </c>
      <c r="K623" s="124">
        <f t="shared" ca="1" si="58"/>
        <v>0</v>
      </c>
      <c r="L623" s="379">
        <f ca="1">IF($A623="S",IF(CAIXA.Modo,BM.AFAcumulado,BM.MEDAcumulado),IF(AND(RegimeExecucao="Global",$I623&gt;0,COUNTIF($AB$13:$AM$13,BM.medicao)&gt;0),O623/$I623*100,0))</f>
        <v>0</v>
      </c>
      <c r="M623" s="380">
        <f ca="1">IF($A623="S",VTOTALBM,IF($A623=0,0,ROUND(SomaAgrupBM,15-13*ORÇAMENTO!$AF$11)))</f>
        <v>0</v>
      </c>
      <c r="N623" s="381">
        <f t="shared" ca="1" si="59"/>
        <v>0</v>
      </c>
      <c r="O623" s="127">
        <f ca="1">IF($A623="S",VTOTALBM,IF($A623=0,0,ROUND(SomaAgrupBM,15-13*ORÇAMENTO!$AF$11)))</f>
        <v>0</v>
      </c>
      <c r="Q623" s="382"/>
      <c r="R623" s="383"/>
      <c r="T623" s="119" t="str">
        <f t="shared" ca="1" si="60"/>
        <v/>
      </c>
      <c r="U623" s="172" t="str">
        <f t="shared" ca="1" si="61"/>
        <v/>
      </c>
      <c r="V623" s="173" t="str">
        <f ca="1">IF(AND($W623&gt;0,RegimeExecucao="Unitário"),$F623,"")</f>
        <v/>
      </c>
      <c r="W623" s="547">
        <f ca="1">IF($Y623&gt;0,CHOOSE(MATCH(RegimeExecucao,{"Unitário","Global"},0),IF($A623="S",$Y623/$X623,""),($Y623/$X623)*100),0)</f>
        <v>0</v>
      </c>
      <c r="X623" s="384" t="str">
        <f ca="1">IF($Y623&gt;0,CHOOSE(MATCH(RegimeExecucao,{"Unitário","Global"},0),IF($A623="S",ROUND($H623,ORÇAMENTO!$AF$10),""),ROUND($I623,ORÇAMENTO!$AF$11)),"")</f>
        <v/>
      </c>
      <c r="Y623" s="384">
        <f t="shared" ca="1" si="62"/>
        <v>0</v>
      </c>
      <c r="Z623" s="572"/>
      <c r="AB623" s="382"/>
      <c r="AC623" s="516"/>
      <c r="AD623" s="516"/>
      <c r="AE623" s="516"/>
      <c r="AF623" s="516"/>
      <c r="AG623" s="516"/>
      <c r="AH623" s="516"/>
      <c r="AI623" s="516"/>
      <c r="AJ623" s="516"/>
      <c r="AK623" s="516"/>
      <c r="AL623" s="516"/>
      <c r="AM623" s="383"/>
      <c r="AO623">
        <f ca="1">IF($A623="S",IF(BM!$I623=0,0,CHOOSE(MATCH(RegimeExecucao,{"Global","Unitário"},0),ROUND(ROUND(BM.MEDAcumulado,15-13*BM!$A$9)/100*BM!$I623,15-13*ORÇAMENTO!$AF$11),ROUND(ROUND(BM.MEDAcumulado,15-13*BM!$A$9)*ROUND(BM!$H623,15-13*ORÇAMENTO!$AF$10),15-13*ORÇAMENTO!$AF$11))),IF($A623=0,0,ROUND(SomaAgrupBM,15-13*ORÇAMENTO!$AF$11)))</f>
        <v>0</v>
      </c>
    </row>
    <row r="624" spans="1:41" ht="25.5" x14ac:dyDescent="0.2">
      <c r="A624" t="str">
        <f ca="1">ORÇAMENTO!C624</f>
        <v>S</v>
      </c>
      <c r="B624">
        <f ca="1">ORÇAMENTO!D624</f>
        <v>0</v>
      </c>
      <c r="C624" s="116" t="str">
        <f t="shared" ca="1" si="56"/>
        <v/>
      </c>
      <c r="D624" s="119" t="str">
        <f ca="1">ORÇAMENTO!O624</f>
        <v>-</v>
      </c>
      <c r="E624" s="172" t="str">
        <f t="shared" ca="1" si="63"/>
        <v>(abra o arquivo 'Referência 02-2025.xlsm)</v>
      </c>
      <c r="F624" s="173" t="str">
        <f ca="1">IF(RegimeExecucao="Global","",ORÇAMENTO.Unidade)</f>
        <v>-</v>
      </c>
      <c r="G624" s="124">
        <f ca="1">IF(RegimeExecucao="Global","",ORÇAMENTO!T624)</f>
        <v>39.24</v>
      </c>
      <c r="H624" s="124">
        <f ca="1">IF(RegimeExecucao="Global","",ORÇAMENTO!W624)</f>
        <v>0</v>
      </c>
      <c r="I624" s="127">
        <f ca="1">ORÇAMENTO!X624</f>
        <v>0</v>
      </c>
      <c r="J624" s="378">
        <f ca="1">IF($A624="S",IF(CAIXA.Modo,BM.AFAnterior,BM.MEDAnterior),IF(AND(RegimeExecucao="Global",$I624&gt;0,COUNTIF($AB$13:$AM$13,BM.medicao-1)&gt;0),M624/$I624*100,0))</f>
        <v>0</v>
      </c>
      <c r="K624" s="124">
        <f t="shared" ca="1" si="58"/>
        <v>0</v>
      </c>
      <c r="L624" s="379">
        <f ca="1">IF($A624="S",IF(CAIXA.Modo,BM.AFAcumulado,BM.MEDAcumulado),IF(AND(RegimeExecucao="Global",$I624&gt;0,COUNTIF($AB$13:$AM$13,BM.medicao)&gt;0),O624/$I624*100,0))</f>
        <v>0</v>
      </c>
      <c r="M624" s="380">
        <f ca="1">IF($A624="S",VTOTALBM,IF($A624=0,0,ROUND(SomaAgrupBM,15-13*ORÇAMENTO!$AF$11)))</f>
        <v>0</v>
      </c>
      <c r="N624" s="381">
        <f t="shared" ca="1" si="59"/>
        <v>0</v>
      </c>
      <c r="O624" s="127">
        <f ca="1">IF($A624="S",VTOTALBM,IF($A624=0,0,ROUND(SomaAgrupBM,15-13*ORÇAMENTO!$AF$11)))</f>
        <v>0</v>
      </c>
      <c r="Q624" s="382"/>
      <c r="R624" s="383"/>
      <c r="T624" s="119" t="str">
        <f t="shared" ca="1" si="60"/>
        <v/>
      </c>
      <c r="U624" s="172" t="str">
        <f t="shared" ca="1" si="61"/>
        <v/>
      </c>
      <c r="V624" s="173" t="str">
        <f ca="1">IF(AND($W624&gt;0,RegimeExecucao="Unitário"),$F624,"")</f>
        <v/>
      </c>
      <c r="W624" s="547">
        <f ca="1">IF($Y624&gt;0,CHOOSE(MATCH(RegimeExecucao,{"Unitário","Global"},0),IF($A624="S",$Y624/$X624,""),($Y624/$X624)*100),0)</f>
        <v>0</v>
      </c>
      <c r="X624" s="384" t="str">
        <f ca="1">IF($Y624&gt;0,CHOOSE(MATCH(RegimeExecucao,{"Unitário","Global"},0),IF($A624="S",ROUND($H624,ORÇAMENTO!$AF$10),""),ROUND($I624,ORÇAMENTO!$AF$11)),"")</f>
        <v/>
      </c>
      <c r="Y624" s="384">
        <f t="shared" ca="1" si="62"/>
        <v>0</v>
      </c>
      <c r="Z624" s="572"/>
      <c r="AB624" s="382"/>
      <c r="AC624" s="516"/>
      <c r="AD624" s="516"/>
      <c r="AE624" s="516"/>
      <c r="AF624" s="516"/>
      <c r="AG624" s="516"/>
      <c r="AH624" s="516"/>
      <c r="AI624" s="516"/>
      <c r="AJ624" s="516"/>
      <c r="AK624" s="516"/>
      <c r="AL624" s="516"/>
      <c r="AM624" s="383"/>
      <c r="AO624">
        <f ca="1">IF($A624="S",IF(BM!$I624=0,0,CHOOSE(MATCH(RegimeExecucao,{"Global","Unitário"},0),ROUND(ROUND(BM.MEDAcumulado,15-13*BM!$A$9)/100*BM!$I624,15-13*ORÇAMENTO!$AF$11),ROUND(ROUND(BM.MEDAcumulado,15-13*BM!$A$9)*ROUND(BM!$H624,15-13*ORÇAMENTO!$AF$10),15-13*ORÇAMENTO!$AF$11))),IF($A624=0,0,ROUND(SomaAgrupBM,15-13*ORÇAMENTO!$AF$11)))</f>
        <v>0</v>
      </c>
    </row>
    <row r="625" spans="1:41" ht="38.25" x14ac:dyDescent="0.2">
      <c r="A625" t="str">
        <f ca="1">ORÇAMENTO!C625</f>
        <v>S</v>
      </c>
      <c r="B625">
        <f ca="1">ORÇAMENTO!D625</f>
        <v>0</v>
      </c>
      <c r="C625" s="116" t="str">
        <f t="shared" ca="1" si="56"/>
        <v/>
      </c>
      <c r="D625" s="119" t="str">
        <f ca="1">ORÇAMENTO!O625</f>
        <v>-</v>
      </c>
      <c r="E625" s="172" t="str">
        <f t="shared" ca="1" si="63"/>
        <v>(abra o arquivo 'Referência 02-2025.xlsm)</v>
      </c>
      <c r="F625" s="173" t="str">
        <f ca="1">IF(RegimeExecucao="Global","",ORÇAMENTO.Unidade)</f>
        <v>-</v>
      </c>
      <c r="G625" s="124">
        <f ca="1">IF(RegimeExecucao="Global","",ORÇAMENTO!T625)</f>
        <v>65</v>
      </c>
      <c r="H625" s="124">
        <f ca="1">IF(RegimeExecucao="Global","",ORÇAMENTO!W625)</f>
        <v>0</v>
      </c>
      <c r="I625" s="127">
        <f ca="1">ORÇAMENTO!X625</f>
        <v>0</v>
      </c>
      <c r="J625" s="378">
        <f ca="1">IF($A625="S",IF(CAIXA.Modo,BM.AFAnterior,BM.MEDAnterior),IF(AND(RegimeExecucao="Global",$I625&gt;0,COUNTIF($AB$13:$AM$13,BM.medicao-1)&gt;0),M625/$I625*100,0))</f>
        <v>0</v>
      </c>
      <c r="K625" s="124">
        <f t="shared" ca="1" si="58"/>
        <v>0</v>
      </c>
      <c r="L625" s="379">
        <f ca="1">IF($A625="S",IF(CAIXA.Modo,BM.AFAcumulado,BM.MEDAcumulado),IF(AND(RegimeExecucao="Global",$I625&gt;0,COUNTIF($AB$13:$AM$13,BM.medicao)&gt;0),O625/$I625*100,0))</f>
        <v>0</v>
      </c>
      <c r="M625" s="380">
        <f ca="1">IF($A625="S",VTOTALBM,IF($A625=0,0,ROUND(SomaAgrupBM,15-13*ORÇAMENTO!$AF$11)))</f>
        <v>0</v>
      </c>
      <c r="N625" s="381">
        <f t="shared" ca="1" si="59"/>
        <v>0</v>
      </c>
      <c r="O625" s="127">
        <f ca="1">IF($A625="S",VTOTALBM,IF($A625=0,0,ROUND(SomaAgrupBM,15-13*ORÇAMENTO!$AF$11)))</f>
        <v>0</v>
      </c>
      <c r="Q625" s="382"/>
      <c r="R625" s="383"/>
      <c r="T625" s="119" t="str">
        <f t="shared" ca="1" si="60"/>
        <v/>
      </c>
      <c r="U625" s="172" t="str">
        <f t="shared" ca="1" si="61"/>
        <v/>
      </c>
      <c r="V625" s="173" t="str">
        <f ca="1">IF(AND($W625&gt;0,RegimeExecucao="Unitário"),$F625,"")</f>
        <v/>
      </c>
      <c r="W625" s="547">
        <f ca="1">IF($Y625&gt;0,CHOOSE(MATCH(RegimeExecucao,{"Unitário","Global"},0),IF($A625="S",$Y625/$X625,""),($Y625/$X625)*100),0)</f>
        <v>0</v>
      </c>
      <c r="X625" s="384" t="str">
        <f ca="1">IF($Y625&gt;0,CHOOSE(MATCH(RegimeExecucao,{"Unitário","Global"},0),IF($A625="S",ROUND($H625,ORÇAMENTO!$AF$10),""),ROUND($I625,ORÇAMENTO!$AF$11)),"")</f>
        <v/>
      </c>
      <c r="Y625" s="384">
        <f t="shared" ca="1" si="62"/>
        <v>0</v>
      </c>
      <c r="Z625" s="572"/>
      <c r="AB625" s="382"/>
      <c r="AC625" s="516"/>
      <c r="AD625" s="516"/>
      <c r="AE625" s="516"/>
      <c r="AF625" s="516"/>
      <c r="AG625" s="516"/>
      <c r="AH625" s="516"/>
      <c r="AI625" s="516"/>
      <c r="AJ625" s="516"/>
      <c r="AK625" s="516"/>
      <c r="AL625" s="516"/>
      <c r="AM625" s="383"/>
      <c r="AO625">
        <f ca="1">IF($A625="S",IF(BM!$I625=0,0,CHOOSE(MATCH(RegimeExecucao,{"Global","Unitário"},0),ROUND(ROUND(BM.MEDAcumulado,15-13*BM!$A$9)/100*BM!$I625,15-13*ORÇAMENTO!$AF$11),ROUND(ROUND(BM.MEDAcumulado,15-13*BM!$A$9)*ROUND(BM!$H625,15-13*ORÇAMENTO!$AF$10),15-13*ORÇAMENTO!$AF$11))),IF($A625=0,0,ROUND(SomaAgrupBM,15-13*ORÇAMENTO!$AF$11)))</f>
        <v>0</v>
      </c>
    </row>
    <row r="626" spans="1:41" x14ac:dyDescent="0.2">
      <c r="A626">
        <f ca="1">ORÇAMENTO!C626</f>
        <v>3</v>
      </c>
      <c r="B626">
        <f ca="1">ORÇAMENTO!D626</f>
        <v>4</v>
      </c>
      <c r="C626" s="116" t="str">
        <f t="shared" ca="1" si="56"/>
        <v>F</v>
      </c>
      <c r="D626" s="119" t="str">
        <f ca="1">ORÇAMENTO!O626</f>
        <v>1.18.3.</v>
      </c>
      <c r="E626" s="172" t="str">
        <f t="shared" ca="1" si="63"/>
        <v>CAIXAS E QUADROS</v>
      </c>
      <c r="F626" s="173" t="str">
        <f ca="1">IF(RegimeExecucao="Global","",ORÇAMENTO.Unidade)</f>
        <v>-</v>
      </c>
      <c r="G626" s="124">
        <f ca="1">IF(RegimeExecucao="Global","",ORÇAMENTO!T626)</f>
        <v>0</v>
      </c>
      <c r="H626" s="124">
        <f ca="1">IF(RegimeExecucao="Global","",ORÇAMENTO!W626)</f>
        <v>0</v>
      </c>
      <c r="I626" s="127">
        <f ca="1">ORÇAMENTO!X626</f>
        <v>0</v>
      </c>
      <c r="J626" s="378">
        <f ca="1">IF($A626="S",IF(CAIXA.Modo,BM.AFAnterior,BM.MEDAnterior),IF(AND(RegimeExecucao="Global",$I626&gt;0,COUNTIF($AB$13:$AM$13,BM.medicao-1)&gt;0),M626/$I626*100,0))</f>
        <v>0</v>
      </c>
      <c r="K626" s="124">
        <f t="shared" ca="1" si="58"/>
        <v>0</v>
      </c>
      <c r="L626" s="379">
        <f ca="1">IF($A626="S",IF(CAIXA.Modo,BM.AFAcumulado,BM.MEDAcumulado),IF(AND(RegimeExecucao="Global",$I626&gt;0,COUNTIF($AB$13:$AM$13,BM.medicao)&gt;0),O626/$I626*100,0))</f>
        <v>0</v>
      </c>
      <c r="M626" s="380">
        <f ca="1">IF($A626="S",VTOTALBM,IF($A626=0,0,ROUND(SomaAgrupBM,15-13*ORÇAMENTO!$AF$11)))</f>
        <v>0</v>
      </c>
      <c r="N626" s="381">
        <f t="shared" ca="1" si="59"/>
        <v>0</v>
      </c>
      <c r="O626" s="127">
        <f ca="1">IF($A626="S",VTOTALBM,IF($A626=0,0,ROUND(SomaAgrupBM,15-13*ORÇAMENTO!$AF$11)))</f>
        <v>0</v>
      </c>
      <c r="Q626" s="382"/>
      <c r="R626" s="383"/>
      <c r="T626" s="119" t="str">
        <f t="shared" ca="1" si="60"/>
        <v/>
      </c>
      <c r="U626" s="172" t="str">
        <f t="shared" ca="1" si="61"/>
        <v/>
      </c>
      <c r="V626" s="173" t="str">
        <f ca="1">IF(AND($W626&gt;0,RegimeExecucao="Unitário"),$F626,"")</f>
        <v/>
      </c>
      <c r="W626" s="547">
        <f ca="1">IF($Y626&gt;0,CHOOSE(MATCH(RegimeExecucao,{"Unitário","Global"},0),IF($A626="S",$Y626/$X626,""),($Y626/$X626)*100),0)</f>
        <v>0</v>
      </c>
      <c r="X626" s="384" t="str">
        <f ca="1">IF($Y626&gt;0,CHOOSE(MATCH(RegimeExecucao,{"Unitário","Global"},0),IF($A626="S",ROUND($H626,ORÇAMENTO!$AF$10),""),ROUND($I626,ORÇAMENTO!$AF$11)),"")</f>
        <v/>
      </c>
      <c r="Y626" s="384">
        <f t="shared" ca="1" si="62"/>
        <v>0</v>
      </c>
      <c r="Z626" s="572"/>
      <c r="AB626" s="382"/>
      <c r="AC626" s="516"/>
      <c r="AD626" s="516"/>
      <c r="AE626" s="516"/>
      <c r="AF626" s="516"/>
      <c r="AG626" s="516"/>
      <c r="AH626" s="516"/>
      <c r="AI626" s="516"/>
      <c r="AJ626" s="516"/>
      <c r="AK626" s="516"/>
      <c r="AL626" s="516"/>
      <c r="AM626" s="383"/>
      <c r="AO626">
        <f ca="1">IF($A626="S",IF(BM!$I626=0,0,CHOOSE(MATCH(RegimeExecucao,{"Global","Unitário"},0),ROUND(ROUND(BM.MEDAcumulado,15-13*BM!$A$9)/100*BM!$I626,15-13*ORÇAMENTO!$AF$11),ROUND(ROUND(BM.MEDAcumulado,15-13*BM!$A$9)*ROUND(BM!$H626,15-13*ORÇAMENTO!$AF$10),15-13*ORÇAMENTO!$AF$11))),IF($A626=0,0,ROUND(SomaAgrupBM,15-13*ORÇAMENTO!$AF$11)))</f>
        <v>0</v>
      </c>
    </row>
    <row r="627" spans="1:41" ht="25.5" x14ac:dyDescent="0.2">
      <c r="A627" t="str">
        <f ca="1">ORÇAMENTO!C627</f>
        <v>S</v>
      </c>
      <c r="B627">
        <f ca="1">ORÇAMENTO!D627</f>
        <v>0</v>
      </c>
      <c r="C627" s="116" t="str">
        <f t="shared" ca="1" si="56"/>
        <v/>
      </c>
      <c r="D627" s="119" t="str">
        <f ca="1">ORÇAMENTO!O627</f>
        <v>-</v>
      </c>
      <c r="E627" s="172" t="str">
        <f t="shared" ca="1" si="63"/>
        <v>(abra o arquivo 'Referência 02-2025.xlsm)</v>
      </c>
      <c r="F627" s="173" t="str">
        <f ca="1">IF(RegimeExecucao="Global","",ORÇAMENTO.Unidade)</f>
        <v>-</v>
      </c>
      <c r="G627" s="124">
        <f ca="1">IF(RegimeExecucao="Global","",ORÇAMENTO!T627)</f>
        <v>5</v>
      </c>
      <c r="H627" s="124">
        <f ca="1">IF(RegimeExecucao="Global","",ORÇAMENTO!W627)</f>
        <v>0</v>
      </c>
      <c r="I627" s="127">
        <f ca="1">ORÇAMENTO!X627</f>
        <v>0</v>
      </c>
      <c r="J627" s="378">
        <f ca="1">IF($A627="S",IF(CAIXA.Modo,BM.AFAnterior,BM.MEDAnterior),IF(AND(RegimeExecucao="Global",$I627&gt;0,COUNTIF($AB$13:$AM$13,BM.medicao-1)&gt;0),M627/$I627*100,0))</f>
        <v>0</v>
      </c>
      <c r="K627" s="124">
        <f t="shared" ca="1" si="58"/>
        <v>0</v>
      </c>
      <c r="L627" s="379">
        <f ca="1">IF($A627="S",IF(CAIXA.Modo,BM.AFAcumulado,BM.MEDAcumulado),IF(AND(RegimeExecucao="Global",$I627&gt;0,COUNTIF($AB$13:$AM$13,BM.medicao)&gt;0),O627/$I627*100,0))</f>
        <v>0</v>
      </c>
      <c r="M627" s="380">
        <f ca="1">IF($A627="S",VTOTALBM,IF($A627=0,0,ROUND(SomaAgrupBM,15-13*ORÇAMENTO!$AF$11)))</f>
        <v>0</v>
      </c>
      <c r="N627" s="381">
        <f t="shared" ca="1" si="59"/>
        <v>0</v>
      </c>
      <c r="O627" s="127">
        <f ca="1">IF($A627="S",VTOTALBM,IF($A627=0,0,ROUND(SomaAgrupBM,15-13*ORÇAMENTO!$AF$11)))</f>
        <v>0</v>
      </c>
      <c r="Q627" s="382"/>
      <c r="R627" s="383"/>
      <c r="T627" s="119" t="str">
        <f t="shared" ca="1" si="60"/>
        <v/>
      </c>
      <c r="U627" s="172" t="str">
        <f t="shared" ca="1" si="61"/>
        <v/>
      </c>
      <c r="V627" s="173" t="str">
        <f ca="1">IF(AND($W627&gt;0,RegimeExecucao="Unitário"),$F627,"")</f>
        <v/>
      </c>
      <c r="W627" s="547">
        <f ca="1">IF($Y627&gt;0,CHOOSE(MATCH(RegimeExecucao,{"Unitário","Global"},0),IF($A627="S",$Y627/$X627,""),($Y627/$X627)*100),0)</f>
        <v>0</v>
      </c>
      <c r="X627" s="384" t="str">
        <f ca="1">IF($Y627&gt;0,CHOOSE(MATCH(RegimeExecucao,{"Unitário","Global"},0),IF($A627="S",ROUND($H627,ORÇAMENTO!$AF$10),""),ROUND($I627,ORÇAMENTO!$AF$11)),"")</f>
        <v/>
      </c>
      <c r="Y627" s="384">
        <f t="shared" ca="1" si="62"/>
        <v>0</v>
      </c>
      <c r="Z627" s="572"/>
      <c r="AB627" s="382"/>
      <c r="AC627" s="516"/>
      <c r="AD627" s="516"/>
      <c r="AE627" s="516"/>
      <c r="AF627" s="516"/>
      <c r="AG627" s="516"/>
      <c r="AH627" s="516"/>
      <c r="AI627" s="516"/>
      <c r="AJ627" s="516"/>
      <c r="AK627" s="516"/>
      <c r="AL627" s="516"/>
      <c r="AM627" s="383"/>
      <c r="AO627">
        <f ca="1">IF($A627="S",IF(BM!$I627=0,0,CHOOSE(MATCH(RegimeExecucao,{"Global","Unitário"},0),ROUND(ROUND(BM.MEDAcumulado,15-13*BM!$A$9)/100*BM!$I627,15-13*ORÇAMENTO!$AF$11),ROUND(ROUND(BM.MEDAcumulado,15-13*BM!$A$9)*ROUND(BM!$H627,15-13*ORÇAMENTO!$AF$10),15-13*ORÇAMENTO!$AF$11))),IF($A627=0,0,ROUND(SomaAgrupBM,15-13*ORÇAMENTO!$AF$11)))</f>
        <v>0</v>
      </c>
    </row>
    <row r="628" spans="1:41" ht="25.5" x14ac:dyDescent="0.2">
      <c r="A628" t="str">
        <f ca="1">ORÇAMENTO!C628</f>
        <v>S</v>
      </c>
      <c r="B628">
        <f ca="1">ORÇAMENTO!D628</f>
        <v>0</v>
      </c>
      <c r="C628" s="116" t="str">
        <f t="shared" ca="1" si="56"/>
        <v/>
      </c>
      <c r="D628" s="119" t="str">
        <f ca="1">ORÇAMENTO!O628</f>
        <v>-</v>
      </c>
      <c r="E628" s="172" t="str">
        <f t="shared" ca="1" si="63"/>
        <v>(abra o arquivo 'Referência 02-2025.xlsm)</v>
      </c>
      <c r="F628" s="173" t="str">
        <f ca="1">IF(RegimeExecucao="Global","",ORÇAMENTO.Unidade)</f>
        <v>-</v>
      </c>
      <c r="G628" s="124">
        <f ca="1">IF(RegimeExecucao="Global","",ORÇAMENTO!T628)</f>
        <v>4</v>
      </c>
      <c r="H628" s="124">
        <f ca="1">IF(RegimeExecucao="Global","",ORÇAMENTO!W628)</f>
        <v>0</v>
      </c>
      <c r="I628" s="127">
        <f ca="1">ORÇAMENTO!X628</f>
        <v>0</v>
      </c>
      <c r="J628" s="378">
        <f ca="1">IF($A628="S",IF(CAIXA.Modo,BM.AFAnterior,BM.MEDAnterior),IF(AND(RegimeExecucao="Global",$I628&gt;0,COUNTIF($AB$13:$AM$13,BM.medicao-1)&gt;0),M628/$I628*100,0))</f>
        <v>0</v>
      </c>
      <c r="K628" s="124">
        <f t="shared" ca="1" si="58"/>
        <v>0</v>
      </c>
      <c r="L628" s="379">
        <f ca="1">IF($A628="S",IF(CAIXA.Modo,BM.AFAcumulado,BM.MEDAcumulado),IF(AND(RegimeExecucao="Global",$I628&gt;0,COUNTIF($AB$13:$AM$13,BM.medicao)&gt;0),O628/$I628*100,0))</f>
        <v>0</v>
      </c>
      <c r="M628" s="380">
        <f ca="1">IF($A628="S",VTOTALBM,IF($A628=0,0,ROUND(SomaAgrupBM,15-13*ORÇAMENTO!$AF$11)))</f>
        <v>0</v>
      </c>
      <c r="N628" s="381">
        <f t="shared" ca="1" si="59"/>
        <v>0</v>
      </c>
      <c r="O628" s="127">
        <f ca="1">IF($A628="S",VTOTALBM,IF($A628=0,0,ROUND(SomaAgrupBM,15-13*ORÇAMENTO!$AF$11)))</f>
        <v>0</v>
      </c>
      <c r="Q628" s="382"/>
      <c r="R628" s="383"/>
      <c r="T628" s="119" t="str">
        <f t="shared" ca="1" si="60"/>
        <v/>
      </c>
      <c r="U628" s="172" t="str">
        <f t="shared" ca="1" si="61"/>
        <v/>
      </c>
      <c r="V628" s="173" t="str">
        <f ca="1">IF(AND($W628&gt;0,RegimeExecucao="Unitário"),$F628,"")</f>
        <v/>
      </c>
      <c r="W628" s="547">
        <f ca="1">IF($Y628&gt;0,CHOOSE(MATCH(RegimeExecucao,{"Unitário","Global"},0),IF($A628="S",$Y628/$X628,""),($Y628/$X628)*100),0)</f>
        <v>0</v>
      </c>
      <c r="X628" s="384" t="str">
        <f ca="1">IF($Y628&gt;0,CHOOSE(MATCH(RegimeExecucao,{"Unitário","Global"},0),IF($A628="S",ROUND($H628,ORÇAMENTO!$AF$10),""),ROUND($I628,ORÇAMENTO!$AF$11)),"")</f>
        <v/>
      </c>
      <c r="Y628" s="384">
        <f t="shared" ca="1" si="62"/>
        <v>0</v>
      </c>
      <c r="Z628" s="572"/>
      <c r="AB628" s="382"/>
      <c r="AC628" s="516"/>
      <c r="AD628" s="516"/>
      <c r="AE628" s="516"/>
      <c r="AF628" s="516"/>
      <c r="AG628" s="516"/>
      <c r="AH628" s="516"/>
      <c r="AI628" s="516"/>
      <c r="AJ628" s="516"/>
      <c r="AK628" s="516"/>
      <c r="AL628" s="516"/>
      <c r="AM628" s="383"/>
      <c r="AO628">
        <f ca="1">IF($A628="S",IF(BM!$I628=0,0,CHOOSE(MATCH(RegimeExecucao,{"Global","Unitário"},0),ROUND(ROUND(BM.MEDAcumulado,15-13*BM!$A$9)/100*BM!$I628,15-13*ORÇAMENTO!$AF$11),ROUND(ROUND(BM.MEDAcumulado,15-13*BM!$A$9)*ROUND(BM!$H628,15-13*ORÇAMENTO!$AF$10),15-13*ORÇAMENTO!$AF$11))),IF($A628=0,0,ROUND(SomaAgrupBM,15-13*ORÇAMENTO!$AF$11)))</f>
        <v>0</v>
      </c>
    </row>
    <row r="629" spans="1:41" ht="38.25" x14ac:dyDescent="0.2">
      <c r="A629" t="str">
        <f ca="1">ORÇAMENTO!C629</f>
        <v>S</v>
      </c>
      <c r="B629">
        <f ca="1">ORÇAMENTO!D629</f>
        <v>0</v>
      </c>
      <c r="C629" s="116" t="str">
        <f t="shared" ca="1" si="56"/>
        <v/>
      </c>
      <c r="D629" s="119" t="str">
        <f ca="1">ORÇAMENTO!O629</f>
        <v>-</v>
      </c>
      <c r="E629" s="172" t="str">
        <f t="shared" ref="E629:E714" ca="1" si="64">ORÇAMENTO.Descricao</f>
        <v>(abra o arquivo 'Referência 02-2025.xlsm)</v>
      </c>
      <c r="F629" s="173" t="str">
        <f ca="1">IF(RegimeExecucao="Global","",ORÇAMENTO.Unidade)</f>
        <v>-</v>
      </c>
      <c r="G629" s="124">
        <f ca="1">IF(RegimeExecucao="Global","",ORÇAMENTO!T629)</f>
        <v>1</v>
      </c>
      <c r="H629" s="124">
        <f ca="1">IF(RegimeExecucao="Global","",ORÇAMENTO!W629)</f>
        <v>0</v>
      </c>
      <c r="I629" s="127">
        <f ca="1">ORÇAMENTO!X629</f>
        <v>0</v>
      </c>
      <c r="J629" s="378">
        <f ca="1">IF($A629="S",IF(CAIXA.Modo,BM.AFAnterior,BM.MEDAnterior),IF(AND(RegimeExecucao="Global",$I629&gt;0,COUNTIF($AB$13:$AM$13,BM.medicao-1)&gt;0),M629/$I629*100,0))</f>
        <v>0</v>
      </c>
      <c r="K629" s="124">
        <f t="shared" ca="1" si="58"/>
        <v>0</v>
      </c>
      <c r="L629" s="379">
        <f ca="1">IF($A629="S",IF(CAIXA.Modo,BM.AFAcumulado,BM.MEDAcumulado),IF(AND(RegimeExecucao="Global",$I629&gt;0,COUNTIF($AB$13:$AM$13,BM.medicao)&gt;0),O629/$I629*100,0))</f>
        <v>0</v>
      </c>
      <c r="M629" s="380">
        <f ca="1">IF($A629="S",VTOTALBM,IF($A629=0,0,ROUND(SomaAgrupBM,15-13*ORÇAMENTO!$AF$11)))</f>
        <v>0</v>
      </c>
      <c r="N629" s="381">
        <f t="shared" ca="1" si="59"/>
        <v>0</v>
      </c>
      <c r="O629" s="127">
        <f ca="1">IF($A629="S",VTOTALBM,IF($A629=0,0,ROUND(SomaAgrupBM,15-13*ORÇAMENTO!$AF$11)))</f>
        <v>0</v>
      </c>
      <c r="Q629" s="382"/>
      <c r="R629" s="383"/>
      <c r="T629" s="119" t="str">
        <f t="shared" ca="1" si="60"/>
        <v/>
      </c>
      <c r="U629" s="172" t="str">
        <f t="shared" ca="1" si="61"/>
        <v/>
      </c>
      <c r="V629" s="173" t="str">
        <f ca="1">IF(AND($W629&gt;0,RegimeExecucao="Unitário"),$F629,"")</f>
        <v/>
      </c>
      <c r="W629" s="547">
        <f ca="1">IF($Y629&gt;0,CHOOSE(MATCH(RegimeExecucao,{"Unitário","Global"},0),IF($A629="S",$Y629/$X629,""),($Y629/$X629)*100),0)</f>
        <v>0</v>
      </c>
      <c r="X629" s="384" t="str">
        <f ca="1">IF($Y629&gt;0,CHOOSE(MATCH(RegimeExecucao,{"Unitário","Global"},0),IF($A629="S",ROUND($H629,ORÇAMENTO!$AF$10),""),ROUND($I629,ORÇAMENTO!$AF$11)),"")</f>
        <v/>
      </c>
      <c r="Y629" s="384">
        <f t="shared" ca="1" si="62"/>
        <v>0</v>
      </c>
      <c r="Z629" s="572"/>
      <c r="AB629" s="382"/>
      <c r="AC629" s="516"/>
      <c r="AD629" s="516"/>
      <c r="AE629" s="516"/>
      <c r="AF629" s="516"/>
      <c r="AG629" s="516"/>
      <c r="AH629" s="516"/>
      <c r="AI629" s="516"/>
      <c r="AJ629" s="516"/>
      <c r="AK629" s="516"/>
      <c r="AL629" s="516"/>
      <c r="AM629" s="383"/>
      <c r="AO629">
        <f ca="1">IF($A629="S",IF(BM!$I629=0,0,CHOOSE(MATCH(RegimeExecucao,{"Global","Unitário"},0),ROUND(ROUND(BM.MEDAcumulado,15-13*BM!$A$9)/100*BM!$I629,15-13*ORÇAMENTO!$AF$11),ROUND(ROUND(BM.MEDAcumulado,15-13*BM!$A$9)*ROUND(BM!$H629,15-13*ORÇAMENTO!$AF$10),15-13*ORÇAMENTO!$AF$11))),IF($A629=0,0,ROUND(SomaAgrupBM,15-13*ORÇAMENTO!$AF$11)))</f>
        <v>0</v>
      </c>
    </row>
    <row r="630" spans="1:41" x14ac:dyDescent="0.2">
      <c r="A630">
        <f ca="1">ORÇAMENTO!C630</f>
        <v>3</v>
      </c>
      <c r="B630">
        <f ca="1">ORÇAMENTO!D630</f>
        <v>3</v>
      </c>
      <c r="C630" s="116" t="str">
        <f t="shared" ca="1" si="56"/>
        <v>F</v>
      </c>
      <c r="D630" s="119" t="str">
        <f ca="1">ORÇAMENTO!O630</f>
        <v>1.18.4.</v>
      </c>
      <c r="E630" s="172" t="str">
        <f t="shared" ca="1" si="64"/>
        <v>DISPOSITIVOS</v>
      </c>
      <c r="F630" s="173" t="str">
        <f ca="1">IF(RegimeExecucao="Global","",ORÇAMENTO.Unidade)</f>
        <v>-</v>
      </c>
      <c r="G630" s="124">
        <f ca="1">IF(RegimeExecucao="Global","",ORÇAMENTO!T630)</f>
        <v>0</v>
      </c>
      <c r="H630" s="124">
        <f ca="1">IF(RegimeExecucao="Global","",ORÇAMENTO!W630)</f>
        <v>0</v>
      </c>
      <c r="I630" s="127">
        <f ca="1">ORÇAMENTO!X630</f>
        <v>0</v>
      </c>
      <c r="J630" s="378">
        <f ca="1">IF($A630="S",IF(CAIXA.Modo,BM.AFAnterior,BM.MEDAnterior),IF(AND(RegimeExecucao="Global",$I630&gt;0,COUNTIF($AB$13:$AM$13,BM.medicao-1)&gt;0),M630/$I630*100,0))</f>
        <v>0</v>
      </c>
      <c r="K630" s="124">
        <f t="shared" ca="1" si="58"/>
        <v>0</v>
      </c>
      <c r="L630" s="379">
        <f ca="1">IF($A630="S",IF(CAIXA.Modo,BM.AFAcumulado,BM.MEDAcumulado),IF(AND(RegimeExecucao="Global",$I630&gt;0,COUNTIF($AB$13:$AM$13,BM.medicao)&gt;0),O630/$I630*100,0))</f>
        <v>0</v>
      </c>
      <c r="M630" s="380">
        <f ca="1">IF($A630="S",VTOTALBM,IF($A630=0,0,ROUND(SomaAgrupBM,15-13*ORÇAMENTO!$AF$11)))</f>
        <v>0</v>
      </c>
      <c r="N630" s="381">
        <f t="shared" ca="1" si="59"/>
        <v>0</v>
      </c>
      <c r="O630" s="127">
        <f ca="1">IF($A630="S",VTOTALBM,IF($A630=0,0,ROUND(SomaAgrupBM,15-13*ORÇAMENTO!$AF$11)))</f>
        <v>0</v>
      </c>
      <c r="Q630" s="382"/>
      <c r="R630" s="383"/>
      <c r="T630" s="119" t="str">
        <f t="shared" ca="1" si="60"/>
        <v/>
      </c>
      <c r="U630" s="172" t="str">
        <f t="shared" ca="1" si="61"/>
        <v/>
      </c>
      <c r="V630" s="173" t="str">
        <f ca="1">IF(AND($W630&gt;0,RegimeExecucao="Unitário"),$F630,"")</f>
        <v/>
      </c>
      <c r="W630" s="547">
        <f ca="1">IF($Y630&gt;0,CHOOSE(MATCH(RegimeExecucao,{"Unitário","Global"},0),IF($A630="S",$Y630/$X630,""),($Y630/$X630)*100),0)</f>
        <v>0</v>
      </c>
      <c r="X630" s="384" t="str">
        <f ca="1">IF($Y630&gt;0,CHOOSE(MATCH(RegimeExecucao,{"Unitário","Global"},0),IF($A630="S",ROUND($H630,ORÇAMENTO!$AF$10),""),ROUND($I630,ORÇAMENTO!$AF$11)),"")</f>
        <v/>
      </c>
      <c r="Y630" s="384">
        <f t="shared" ca="1" si="62"/>
        <v>0</v>
      </c>
      <c r="Z630" s="572"/>
      <c r="AB630" s="382"/>
      <c r="AC630" s="516"/>
      <c r="AD630" s="516"/>
      <c r="AE630" s="516"/>
      <c r="AF630" s="516"/>
      <c r="AG630" s="516"/>
      <c r="AH630" s="516"/>
      <c r="AI630" s="516"/>
      <c r="AJ630" s="516"/>
      <c r="AK630" s="516"/>
      <c r="AL630" s="516"/>
      <c r="AM630" s="383"/>
      <c r="AO630">
        <f ca="1">IF($A630="S",IF(BM!$I630=0,0,CHOOSE(MATCH(RegimeExecucao,{"Global","Unitário"},0),ROUND(ROUND(BM.MEDAcumulado,15-13*BM!$A$9)/100*BM!$I630,15-13*ORÇAMENTO!$AF$11),ROUND(ROUND(BM.MEDAcumulado,15-13*BM!$A$9)*ROUND(BM!$H630,15-13*ORÇAMENTO!$AF$10),15-13*ORÇAMENTO!$AF$11))),IF($A630=0,0,ROUND(SomaAgrupBM,15-13*ORÇAMENTO!$AF$11)))</f>
        <v>0</v>
      </c>
    </row>
    <row r="631" spans="1:41" ht="25.5" x14ac:dyDescent="0.2">
      <c r="A631" t="str">
        <f ca="1">ORÇAMENTO!C631</f>
        <v>S</v>
      </c>
      <c r="B631">
        <f ca="1">ORÇAMENTO!D631</f>
        <v>0</v>
      </c>
      <c r="C631" s="116" t="str">
        <f t="shared" ca="1" si="56"/>
        <v/>
      </c>
      <c r="D631" s="119" t="str">
        <f ca="1">ORÇAMENTO!O631</f>
        <v>-</v>
      </c>
      <c r="E631" s="172" t="str">
        <f t="shared" ca="1" si="64"/>
        <v>(abra o arquivo 'Referência 02-2025.xlsm)</v>
      </c>
      <c r="F631" s="173" t="str">
        <f ca="1">IF(RegimeExecucao="Global","",ORÇAMENTO.Unidade)</f>
        <v>-</v>
      </c>
      <c r="G631" s="124">
        <f ca="1">IF(RegimeExecucao="Global","",ORÇAMENTO!T631)</f>
        <v>28</v>
      </c>
      <c r="H631" s="124">
        <f ca="1">IF(RegimeExecucao="Global","",ORÇAMENTO!W631)</f>
        <v>0</v>
      </c>
      <c r="I631" s="127">
        <f ca="1">ORÇAMENTO!X631</f>
        <v>0</v>
      </c>
      <c r="J631" s="378">
        <f ca="1">IF($A631="S",IF(CAIXA.Modo,BM.AFAnterior,BM.MEDAnterior),IF(AND(RegimeExecucao="Global",$I631&gt;0,COUNTIF($AB$13:$AM$13,BM.medicao-1)&gt;0),M631/$I631*100,0))</f>
        <v>0</v>
      </c>
      <c r="K631" s="124">
        <f t="shared" ca="1" si="58"/>
        <v>0</v>
      </c>
      <c r="L631" s="379">
        <f ca="1">IF($A631="S",IF(CAIXA.Modo,BM.AFAcumulado,BM.MEDAcumulado),IF(AND(RegimeExecucao="Global",$I631&gt;0,COUNTIF($AB$13:$AM$13,BM.medicao)&gt;0),O631/$I631*100,0))</f>
        <v>0</v>
      </c>
      <c r="M631" s="380">
        <f ca="1">IF($A631="S",VTOTALBM,IF($A631=0,0,ROUND(SomaAgrupBM,15-13*ORÇAMENTO!$AF$11)))</f>
        <v>0</v>
      </c>
      <c r="N631" s="381">
        <f t="shared" ca="1" si="59"/>
        <v>0</v>
      </c>
      <c r="O631" s="127">
        <f ca="1">IF($A631="S",VTOTALBM,IF($A631=0,0,ROUND(SomaAgrupBM,15-13*ORÇAMENTO!$AF$11)))</f>
        <v>0</v>
      </c>
      <c r="Q631" s="382"/>
      <c r="R631" s="383"/>
      <c r="T631" s="119" t="str">
        <f t="shared" ca="1" si="60"/>
        <v/>
      </c>
      <c r="U631" s="172" t="str">
        <f t="shared" ca="1" si="61"/>
        <v/>
      </c>
      <c r="V631" s="173" t="str">
        <f ca="1">IF(AND($W631&gt;0,RegimeExecucao="Unitário"),$F631,"")</f>
        <v/>
      </c>
      <c r="W631" s="547">
        <f ca="1">IF($Y631&gt;0,CHOOSE(MATCH(RegimeExecucao,{"Unitário","Global"},0),IF($A631="S",$Y631/$X631,""),($Y631/$X631)*100),0)</f>
        <v>0</v>
      </c>
      <c r="X631" s="384" t="str">
        <f ca="1">IF($Y631&gt;0,CHOOSE(MATCH(RegimeExecucao,{"Unitário","Global"},0),IF($A631="S",ROUND($H631,ORÇAMENTO!$AF$10),""),ROUND($I631,ORÇAMENTO!$AF$11)),"")</f>
        <v/>
      </c>
      <c r="Y631" s="384">
        <f t="shared" ca="1" si="62"/>
        <v>0</v>
      </c>
      <c r="Z631" s="572"/>
      <c r="AB631" s="382"/>
      <c r="AC631" s="516"/>
      <c r="AD631" s="516"/>
      <c r="AE631" s="516"/>
      <c r="AF631" s="516"/>
      <c r="AG631" s="516"/>
      <c r="AH631" s="516"/>
      <c r="AI631" s="516"/>
      <c r="AJ631" s="516"/>
      <c r="AK631" s="516"/>
      <c r="AL631" s="516"/>
      <c r="AM631" s="383"/>
      <c r="AO631">
        <f ca="1">IF($A631="S",IF(BM!$I631=0,0,CHOOSE(MATCH(RegimeExecucao,{"Global","Unitário"},0),ROUND(ROUND(BM.MEDAcumulado,15-13*BM!$A$9)/100*BM!$I631,15-13*ORÇAMENTO!$AF$11),ROUND(ROUND(BM.MEDAcumulado,15-13*BM!$A$9)*ROUND(BM!$H631,15-13*ORÇAMENTO!$AF$10),15-13*ORÇAMENTO!$AF$11))),IF($A631=0,0,ROUND(SomaAgrupBM,15-13*ORÇAMENTO!$AF$11)))</f>
        <v>0</v>
      </c>
    </row>
    <row r="632" spans="1:41" ht="25.5" x14ac:dyDescent="0.2">
      <c r="A632" t="str">
        <f ca="1">ORÇAMENTO!C632</f>
        <v>S</v>
      </c>
      <c r="B632">
        <f ca="1">ORÇAMENTO!D632</f>
        <v>0</v>
      </c>
      <c r="C632" s="116" t="str">
        <f t="shared" ca="1" si="56"/>
        <v/>
      </c>
      <c r="D632" s="119" t="str">
        <f ca="1">ORÇAMENTO!O632</f>
        <v>-</v>
      </c>
      <c r="E632" s="172" t="str">
        <f t="shared" ca="1" si="64"/>
        <v>(abra o arquivo 'Referência 02-2025.xlsm)</v>
      </c>
      <c r="F632" s="173" t="str">
        <f ca="1">IF(RegimeExecucao="Global","",ORÇAMENTO.Unidade)</f>
        <v>-</v>
      </c>
      <c r="G632" s="124">
        <f ca="1">IF(RegimeExecucao="Global","",ORÇAMENTO!T632)</f>
        <v>14</v>
      </c>
      <c r="H632" s="124">
        <f ca="1">IF(RegimeExecucao="Global","",ORÇAMENTO!W632)</f>
        <v>0</v>
      </c>
      <c r="I632" s="127">
        <f ca="1">ORÇAMENTO!X632</f>
        <v>0</v>
      </c>
      <c r="J632" s="378">
        <f ca="1">IF($A632="S",IF(CAIXA.Modo,BM.AFAnterior,BM.MEDAnterior),IF(AND(RegimeExecucao="Global",$I632&gt;0,COUNTIF($AB$13:$AM$13,BM.medicao-1)&gt;0),M632/$I632*100,0))</f>
        <v>0</v>
      </c>
      <c r="K632" s="124">
        <f t="shared" ca="1" si="58"/>
        <v>0</v>
      </c>
      <c r="L632" s="379">
        <f ca="1">IF($A632="S",IF(CAIXA.Modo,BM.AFAcumulado,BM.MEDAcumulado),IF(AND(RegimeExecucao="Global",$I632&gt;0,COUNTIF($AB$13:$AM$13,BM.medicao)&gt;0),O632/$I632*100,0))</f>
        <v>0</v>
      </c>
      <c r="M632" s="380">
        <f ca="1">IF($A632="S",VTOTALBM,IF($A632=0,0,ROUND(SomaAgrupBM,15-13*ORÇAMENTO!$AF$11)))</f>
        <v>0</v>
      </c>
      <c r="N632" s="381">
        <f t="shared" ca="1" si="59"/>
        <v>0</v>
      </c>
      <c r="O632" s="127">
        <f ca="1">IF($A632="S",VTOTALBM,IF($A632=0,0,ROUND(SomaAgrupBM,15-13*ORÇAMENTO!$AF$11)))</f>
        <v>0</v>
      </c>
      <c r="Q632" s="382"/>
      <c r="R632" s="383"/>
      <c r="T632" s="119" t="str">
        <f t="shared" ca="1" si="60"/>
        <v/>
      </c>
      <c r="U632" s="172" t="str">
        <f t="shared" ca="1" si="61"/>
        <v/>
      </c>
      <c r="V632" s="173" t="str">
        <f ca="1">IF(AND($W632&gt;0,RegimeExecucao="Unitário"),$F632,"")</f>
        <v/>
      </c>
      <c r="W632" s="547">
        <f ca="1">IF($Y632&gt;0,CHOOSE(MATCH(RegimeExecucao,{"Unitário","Global"},0),IF($A632="S",$Y632/$X632,""),($Y632/$X632)*100),0)</f>
        <v>0</v>
      </c>
      <c r="X632" s="384" t="str">
        <f ca="1">IF($Y632&gt;0,CHOOSE(MATCH(RegimeExecucao,{"Unitário","Global"},0),IF($A632="S",ROUND($H632,ORÇAMENTO!$AF$10),""),ROUND($I632,ORÇAMENTO!$AF$11)),"")</f>
        <v/>
      </c>
      <c r="Y632" s="384">
        <f t="shared" ca="1" si="62"/>
        <v>0</v>
      </c>
      <c r="Z632" s="572"/>
      <c r="AB632" s="382"/>
      <c r="AC632" s="516"/>
      <c r="AD632" s="516"/>
      <c r="AE632" s="516"/>
      <c r="AF632" s="516"/>
      <c r="AG632" s="516"/>
      <c r="AH632" s="516"/>
      <c r="AI632" s="516"/>
      <c r="AJ632" s="516"/>
      <c r="AK632" s="516"/>
      <c r="AL632" s="516"/>
      <c r="AM632" s="383"/>
      <c r="AO632">
        <f ca="1">IF($A632="S",IF(BM!$I632=0,0,CHOOSE(MATCH(RegimeExecucao,{"Global","Unitário"},0),ROUND(ROUND(BM.MEDAcumulado,15-13*BM!$A$9)/100*BM!$I632,15-13*ORÇAMENTO!$AF$11),ROUND(ROUND(BM.MEDAcumulado,15-13*BM!$A$9)*ROUND(BM!$H632,15-13*ORÇAMENTO!$AF$10),15-13*ORÇAMENTO!$AF$11))),IF($A632=0,0,ROUND(SomaAgrupBM,15-13*ORÇAMENTO!$AF$11)))</f>
        <v>0</v>
      </c>
    </row>
    <row r="633" spans="1:41" x14ac:dyDescent="0.2">
      <c r="A633">
        <f ca="1">ORÇAMENTO!C633</f>
        <v>3</v>
      </c>
      <c r="B633">
        <f ca="1">ORÇAMENTO!D633</f>
        <v>11</v>
      </c>
      <c r="C633" s="116" t="str">
        <f t="shared" ca="1" si="56"/>
        <v>F</v>
      </c>
      <c r="D633" s="119" t="str">
        <f ca="1">ORÇAMENTO!O633</f>
        <v>1.18.5.</v>
      </c>
      <c r="E633" s="172" t="str">
        <f t="shared" ca="1" si="64"/>
        <v>ELETROCALHA E ELETRODUTOS</v>
      </c>
      <c r="F633" s="173" t="str">
        <f ca="1">IF(RegimeExecucao="Global","",ORÇAMENTO.Unidade)</f>
        <v>-</v>
      </c>
      <c r="G633" s="124">
        <f ca="1">IF(RegimeExecucao="Global","",ORÇAMENTO!T633)</f>
        <v>0</v>
      </c>
      <c r="H633" s="124">
        <f ca="1">IF(RegimeExecucao="Global","",ORÇAMENTO!W633)</f>
        <v>0</v>
      </c>
      <c r="I633" s="127">
        <f ca="1">ORÇAMENTO!X633</f>
        <v>0</v>
      </c>
      <c r="J633" s="378">
        <f ca="1">IF($A633="S",IF(CAIXA.Modo,BM.AFAnterior,BM.MEDAnterior),IF(AND(RegimeExecucao="Global",$I633&gt;0,COUNTIF($AB$13:$AM$13,BM.medicao-1)&gt;0),M633/$I633*100,0))</f>
        <v>0</v>
      </c>
      <c r="K633" s="124">
        <f t="shared" ca="1" si="58"/>
        <v>0</v>
      </c>
      <c r="L633" s="379">
        <f ca="1">IF($A633="S",IF(CAIXA.Modo,BM.AFAcumulado,BM.MEDAcumulado),IF(AND(RegimeExecucao="Global",$I633&gt;0,COUNTIF($AB$13:$AM$13,BM.medicao)&gt;0),O633/$I633*100,0))</f>
        <v>0</v>
      </c>
      <c r="M633" s="380">
        <f ca="1">IF($A633="S",VTOTALBM,IF($A633=0,0,ROUND(SomaAgrupBM,15-13*ORÇAMENTO!$AF$11)))</f>
        <v>0</v>
      </c>
      <c r="N633" s="381">
        <f t="shared" ca="1" si="59"/>
        <v>0</v>
      </c>
      <c r="O633" s="127">
        <f ca="1">IF($A633="S",VTOTALBM,IF($A633=0,0,ROUND(SomaAgrupBM,15-13*ORÇAMENTO!$AF$11)))</f>
        <v>0</v>
      </c>
      <c r="Q633" s="382"/>
      <c r="R633" s="383"/>
      <c r="T633" s="119" t="str">
        <f t="shared" ca="1" si="60"/>
        <v/>
      </c>
      <c r="U633" s="172" t="str">
        <f t="shared" ca="1" si="61"/>
        <v/>
      </c>
      <c r="V633" s="173" t="str">
        <f ca="1">IF(AND($W633&gt;0,RegimeExecucao="Unitário"),$F633,"")</f>
        <v/>
      </c>
      <c r="W633" s="547">
        <f ca="1">IF($Y633&gt;0,CHOOSE(MATCH(RegimeExecucao,{"Unitário","Global"},0),IF($A633="S",$Y633/$X633,""),($Y633/$X633)*100),0)</f>
        <v>0</v>
      </c>
      <c r="X633" s="384" t="str">
        <f ca="1">IF($Y633&gt;0,CHOOSE(MATCH(RegimeExecucao,{"Unitário","Global"},0),IF($A633="S",ROUND($H633,ORÇAMENTO!$AF$10),""),ROUND($I633,ORÇAMENTO!$AF$11)),"")</f>
        <v/>
      </c>
      <c r="Y633" s="384">
        <f t="shared" ca="1" si="62"/>
        <v>0</v>
      </c>
      <c r="Z633" s="572"/>
      <c r="AB633" s="382"/>
      <c r="AC633" s="516"/>
      <c r="AD633" s="516"/>
      <c r="AE633" s="516"/>
      <c r="AF633" s="516"/>
      <c r="AG633" s="516"/>
      <c r="AH633" s="516"/>
      <c r="AI633" s="516"/>
      <c r="AJ633" s="516"/>
      <c r="AK633" s="516"/>
      <c r="AL633" s="516"/>
      <c r="AM633" s="383"/>
      <c r="AO633">
        <f ca="1">IF($A633="S",IF(BM!$I633=0,0,CHOOSE(MATCH(RegimeExecucao,{"Global","Unitário"},0),ROUND(ROUND(BM.MEDAcumulado,15-13*BM!$A$9)/100*BM!$I633,15-13*ORÇAMENTO!$AF$11),ROUND(ROUND(BM.MEDAcumulado,15-13*BM!$A$9)*ROUND(BM!$H633,15-13*ORÇAMENTO!$AF$10),15-13*ORÇAMENTO!$AF$11))),IF($A633=0,0,ROUND(SomaAgrupBM,15-13*ORÇAMENTO!$AF$11)))</f>
        <v>0</v>
      </c>
    </row>
    <row r="634" spans="1:41" ht="38.25" x14ac:dyDescent="0.2">
      <c r="A634" t="str">
        <f ca="1">ORÇAMENTO!C634</f>
        <v>S</v>
      </c>
      <c r="B634">
        <f ca="1">ORÇAMENTO!D634</f>
        <v>0</v>
      </c>
      <c r="C634" s="116" t="str">
        <f t="shared" ca="1" si="56"/>
        <v/>
      </c>
      <c r="D634" s="119" t="str">
        <f ca="1">ORÇAMENTO!O634</f>
        <v>-</v>
      </c>
      <c r="E634" s="172" t="str">
        <f t="shared" ca="1" si="64"/>
        <v>(abra o arquivo 'Referência 02-2025.xlsm)</v>
      </c>
      <c r="F634" s="173" t="str">
        <f ca="1">IF(RegimeExecucao="Global","",ORÇAMENTO.Unidade)</f>
        <v>-</v>
      </c>
      <c r="G634" s="124">
        <f ca="1">IF(RegimeExecucao="Global","",ORÇAMENTO!T634)</f>
        <v>77.599999999999994</v>
      </c>
      <c r="H634" s="124">
        <f ca="1">IF(RegimeExecucao="Global","",ORÇAMENTO!W634)</f>
        <v>0</v>
      </c>
      <c r="I634" s="127">
        <f ca="1">ORÇAMENTO!X634</f>
        <v>0</v>
      </c>
      <c r="J634" s="378">
        <f ca="1">IF($A634="S",IF(CAIXA.Modo,BM.AFAnterior,BM.MEDAnterior),IF(AND(RegimeExecucao="Global",$I634&gt;0,COUNTIF($AB$13:$AM$13,BM.medicao-1)&gt;0),M634/$I634*100,0))</f>
        <v>0</v>
      </c>
      <c r="K634" s="124">
        <f t="shared" ca="1" si="58"/>
        <v>0</v>
      </c>
      <c r="L634" s="379">
        <f ca="1">IF($A634="S",IF(CAIXA.Modo,BM.AFAcumulado,BM.MEDAcumulado),IF(AND(RegimeExecucao="Global",$I634&gt;0,COUNTIF($AB$13:$AM$13,BM.medicao)&gt;0),O634/$I634*100,0))</f>
        <v>0</v>
      </c>
      <c r="M634" s="380">
        <f ca="1">IF($A634="S",VTOTALBM,IF($A634=0,0,ROUND(SomaAgrupBM,15-13*ORÇAMENTO!$AF$11)))</f>
        <v>0</v>
      </c>
      <c r="N634" s="381">
        <f t="shared" ca="1" si="59"/>
        <v>0</v>
      </c>
      <c r="O634" s="127">
        <f ca="1">IF($A634="S",VTOTALBM,IF($A634=0,0,ROUND(SomaAgrupBM,15-13*ORÇAMENTO!$AF$11)))</f>
        <v>0</v>
      </c>
      <c r="Q634" s="382"/>
      <c r="R634" s="383"/>
      <c r="T634" s="119" t="str">
        <f t="shared" ca="1" si="60"/>
        <v/>
      </c>
      <c r="U634" s="172" t="str">
        <f t="shared" ca="1" si="61"/>
        <v/>
      </c>
      <c r="V634" s="173" t="str">
        <f ca="1">IF(AND($W634&gt;0,RegimeExecucao="Unitário"),$F634,"")</f>
        <v/>
      </c>
      <c r="W634" s="547">
        <f ca="1">IF($Y634&gt;0,CHOOSE(MATCH(RegimeExecucao,{"Unitário","Global"},0),IF($A634="S",$Y634/$X634,""),($Y634/$X634)*100),0)</f>
        <v>0</v>
      </c>
      <c r="X634" s="384" t="str">
        <f ca="1">IF($Y634&gt;0,CHOOSE(MATCH(RegimeExecucao,{"Unitário","Global"},0),IF($A634="S",ROUND($H634,ORÇAMENTO!$AF$10),""),ROUND($I634,ORÇAMENTO!$AF$11)),"")</f>
        <v/>
      </c>
      <c r="Y634" s="384">
        <f t="shared" ca="1" si="62"/>
        <v>0</v>
      </c>
      <c r="Z634" s="572"/>
      <c r="AB634" s="382"/>
      <c r="AC634" s="516"/>
      <c r="AD634" s="516"/>
      <c r="AE634" s="516"/>
      <c r="AF634" s="516"/>
      <c r="AG634" s="516"/>
      <c r="AH634" s="516"/>
      <c r="AI634" s="516"/>
      <c r="AJ634" s="516"/>
      <c r="AK634" s="516"/>
      <c r="AL634" s="516"/>
      <c r="AM634" s="383"/>
      <c r="AO634">
        <f ca="1">IF($A634="S",IF(BM!$I634=0,0,CHOOSE(MATCH(RegimeExecucao,{"Global","Unitário"},0),ROUND(ROUND(BM.MEDAcumulado,15-13*BM!$A$9)/100*BM!$I634,15-13*ORÇAMENTO!$AF$11),ROUND(ROUND(BM.MEDAcumulado,15-13*BM!$A$9)*ROUND(BM!$H634,15-13*ORÇAMENTO!$AF$10),15-13*ORÇAMENTO!$AF$11))),IF($A634=0,0,ROUND(SomaAgrupBM,15-13*ORÇAMENTO!$AF$11)))</f>
        <v>0</v>
      </c>
    </row>
    <row r="635" spans="1:41" ht="38.25" x14ac:dyDescent="0.2">
      <c r="A635" t="str">
        <f ca="1">ORÇAMENTO!C635</f>
        <v>S</v>
      </c>
      <c r="B635">
        <f ca="1">ORÇAMENTO!D635</f>
        <v>0</v>
      </c>
      <c r="C635" s="116" t="str">
        <f t="shared" ca="1" si="56"/>
        <v/>
      </c>
      <c r="D635" s="119" t="str">
        <f ca="1">ORÇAMENTO!O635</f>
        <v>-</v>
      </c>
      <c r="E635" s="172" t="str">
        <f t="shared" ca="1" si="64"/>
        <v>(abra o arquivo 'Referência 02-2025.xlsm)</v>
      </c>
      <c r="F635" s="173" t="str">
        <f ca="1">IF(RegimeExecucao="Global","",ORÇAMENTO.Unidade)</f>
        <v>-</v>
      </c>
      <c r="G635" s="124">
        <f ca="1">IF(RegimeExecucao="Global","",ORÇAMENTO!T635)</f>
        <v>4.2</v>
      </c>
      <c r="H635" s="124">
        <f ca="1">IF(RegimeExecucao="Global","",ORÇAMENTO!W635)</f>
        <v>0</v>
      </c>
      <c r="I635" s="127">
        <f ca="1">ORÇAMENTO!X635</f>
        <v>0</v>
      </c>
      <c r="J635" s="378">
        <f ca="1">IF($A635="S",IF(CAIXA.Modo,BM.AFAnterior,BM.MEDAnterior),IF(AND(RegimeExecucao="Global",$I635&gt;0,COUNTIF($AB$13:$AM$13,BM.medicao-1)&gt;0),M635/$I635*100,0))</f>
        <v>0</v>
      </c>
      <c r="K635" s="124">
        <f t="shared" ca="1" si="58"/>
        <v>0</v>
      </c>
      <c r="L635" s="379">
        <f ca="1">IF($A635="S",IF(CAIXA.Modo,BM.AFAcumulado,BM.MEDAcumulado),IF(AND(RegimeExecucao="Global",$I635&gt;0,COUNTIF($AB$13:$AM$13,BM.medicao)&gt;0),O635/$I635*100,0))</f>
        <v>0</v>
      </c>
      <c r="M635" s="380">
        <f ca="1">IF($A635="S",VTOTALBM,IF($A635=0,0,ROUND(SomaAgrupBM,15-13*ORÇAMENTO!$AF$11)))</f>
        <v>0</v>
      </c>
      <c r="N635" s="381">
        <f t="shared" ca="1" si="59"/>
        <v>0</v>
      </c>
      <c r="O635" s="127">
        <f ca="1">IF($A635="S",VTOTALBM,IF($A635=0,0,ROUND(SomaAgrupBM,15-13*ORÇAMENTO!$AF$11)))</f>
        <v>0</v>
      </c>
      <c r="Q635" s="382"/>
      <c r="R635" s="383"/>
      <c r="T635" s="119" t="str">
        <f t="shared" ca="1" si="60"/>
        <v/>
      </c>
      <c r="U635" s="172" t="str">
        <f t="shared" ca="1" si="61"/>
        <v/>
      </c>
      <c r="V635" s="173" t="str">
        <f ca="1">IF(AND($W635&gt;0,RegimeExecucao="Unitário"),$F635,"")</f>
        <v/>
      </c>
      <c r="W635" s="547">
        <f ca="1">IF($Y635&gt;0,CHOOSE(MATCH(RegimeExecucao,{"Unitário","Global"},0),IF($A635="S",$Y635/$X635,""),($Y635/$X635)*100),0)</f>
        <v>0</v>
      </c>
      <c r="X635" s="384" t="str">
        <f ca="1">IF($Y635&gt;0,CHOOSE(MATCH(RegimeExecucao,{"Unitário","Global"},0),IF($A635="S",ROUND($H635,ORÇAMENTO!$AF$10),""),ROUND($I635,ORÇAMENTO!$AF$11)),"")</f>
        <v/>
      </c>
      <c r="Y635" s="384">
        <f t="shared" ca="1" si="62"/>
        <v>0</v>
      </c>
      <c r="Z635" s="572"/>
      <c r="AB635" s="382"/>
      <c r="AC635" s="516"/>
      <c r="AD635" s="516"/>
      <c r="AE635" s="516"/>
      <c r="AF635" s="516"/>
      <c r="AG635" s="516"/>
      <c r="AH635" s="516"/>
      <c r="AI635" s="516"/>
      <c r="AJ635" s="516"/>
      <c r="AK635" s="516"/>
      <c r="AL635" s="516"/>
      <c r="AM635" s="383"/>
      <c r="AO635">
        <f ca="1">IF($A635="S",IF(BM!$I635=0,0,CHOOSE(MATCH(RegimeExecucao,{"Global","Unitário"},0),ROUND(ROUND(BM.MEDAcumulado,15-13*BM!$A$9)/100*BM!$I635,15-13*ORÇAMENTO!$AF$11),ROUND(ROUND(BM.MEDAcumulado,15-13*BM!$A$9)*ROUND(BM!$H635,15-13*ORÇAMENTO!$AF$10),15-13*ORÇAMENTO!$AF$11))),IF($A635=0,0,ROUND(SomaAgrupBM,15-13*ORÇAMENTO!$AF$11)))</f>
        <v>0</v>
      </c>
    </row>
    <row r="636" spans="1:41" ht="38.25" x14ac:dyDescent="0.2">
      <c r="A636" t="str">
        <f ca="1">ORÇAMENTO!C636</f>
        <v>S</v>
      </c>
      <c r="B636">
        <f ca="1">ORÇAMENTO!D636</f>
        <v>0</v>
      </c>
      <c r="C636" s="116" t="str">
        <f t="shared" ca="1" si="56"/>
        <v/>
      </c>
      <c r="D636" s="119" t="str">
        <f ca="1">ORÇAMENTO!O636</f>
        <v>-</v>
      </c>
      <c r="E636" s="172" t="str">
        <f t="shared" ca="1" si="64"/>
        <v>(abra o arquivo 'Referência 02-2025.xlsm)</v>
      </c>
      <c r="F636" s="173" t="str">
        <f ca="1">IF(RegimeExecucao="Global","",ORÇAMENTO.Unidade)</f>
        <v>-</v>
      </c>
      <c r="G636" s="124">
        <f ca="1">IF(RegimeExecucao="Global","",ORÇAMENTO!T636)</f>
        <v>258.39999999999998</v>
      </c>
      <c r="H636" s="124">
        <f ca="1">IF(RegimeExecucao="Global","",ORÇAMENTO!W636)</f>
        <v>0</v>
      </c>
      <c r="I636" s="127">
        <f ca="1">ORÇAMENTO!X636</f>
        <v>0</v>
      </c>
      <c r="J636" s="378">
        <f ca="1">IF($A636="S",IF(CAIXA.Modo,BM.AFAnterior,BM.MEDAnterior),IF(AND(RegimeExecucao="Global",$I636&gt;0,COUNTIF($AB$13:$AM$13,BM.medicao-1)&gt;0),M636/$I636*100,0))</f>
        <v>0</v>
      </c>
      <c r="K636" s="124">
        <f t="shared" ca="1" si="58"/>
        <v>0</v>
      </c>
      <c r="L636" s="379">
        <f ca="1">IF($A636="S",IF(CAIXA.Modo,BM.AFAcumulado,BM.MEDAcumulado),IF(AND(RegimeExecucao="Global",$I636&gt;0,COUNTIF($AB$13:$AM$13,BM.medicao)&gt;0),O636/$I636*100,0))</f>
        <v>0</v>
      </c>
      <c r="M636" s="380">
        <f ca="1">IF($A636="S",VTOTALBM,IF($A636=0,0,ROUND(SomaAgrupBM,15-13*ORÇAMENTO!$AF$11)))</f>
        <v>0</v>
      </c>
      <c r="N636" s="381">
        <f t="shared" ca="1" si="59"/>
        <v>0</v>
      </c>
      <c r="O636" s="127">
        <f ca="1">IF($A636="S",VTOTALBM,IF($A636=0,0,ROUND(SomaAgrupBM,15-13*ORÇAMENTO!$AF$11)))</f>
        <v>0</v>
      </c>
      <c r="Q636" s="382"/>
      <c r="R636" s="383"/>
      <c r="T636" s="119" t="str">
        <f t="shared" ca="1" si="60"/>
        <v/>
      </c>
      <c r="U636" s="172" t="str">
        <f t="shared" ca="1" si="61"/>
        <v/>
      </c>
      <c r="V636" s="173" t="str">
        <f ca="1">IF(AND($W636&gt;0,RegimeExecucao="Unitário"),$F636,"")</f>
        <v/>
      </c>
      <c r="W636" s="547">
        <f ca="1">IF($Y636&gt;0,CHOOSE(MATCH(RegimeExecucao,{"Unitário","Global"},0),IF($A636="S",$Y636/$X636,""),($Y636/$X636)*100),0)</f>
        <v>0</v>
      </c>
      <c r="X636" s="384" t="str">
        <f ca="1">IF($Y636&gt;0,CHOOSE(MATCH(RegimeExecucao,{"Unitário","Global"},0),IF($A636="S",ROUND($H636,ORÇAMENTO!$AF$10),""),ROUND($I636,ORÇAMENTO!$AF$11)),"")</f>
        <v/>
      </c>
      <c r="Y636" s="384">
        <f t="shared" ca="1" si="62"/>
        <v>0</v>
      </c>
      <c r="Z636" s="572"/>
      <c r="AB636" s="382"/>
      <c r="AC636" s="516"/>
      <c r="AD636" s="516"/>
      <c r="AE636" s="516"/>
      <c r="AF636" s="516"/>
      <c r="AG636" s="516"/>
      <c r="AH636" s="516"/>
      <c r="AI636" s="516"/>
      <c r="AJ636" s="516"/>
      <c r="AK636" s="516"/>
      <c r="AL636" s="516"/>
      <c r="AM636" s="383"/>
      <c r="AO636">
        <f ca="1">IF($A636="S",IF(BM!$I636=0,0,CHOOSE(MATCH(RegimeExecucao,{"Global","Unitário"},0),ROUND(ROUND(BM.MEDAcumulado,15-13*BM!$A$9)/100*BM!$I636,15-13*ORÇAMENTO!$AF$11),ROUND(ROUND(BM.MEDAcumulado,15-13*BM!$A$9)*ROUND(BM!$H636,15-13*ORÇAMENTO!$AF$10),15-13*ORÇAMENTO!$AF$11))),IF($A636=0,0,ROUND(SomaAgrupBM,15-13*ORÇAMENTO!$AF$11)))</f>
        <v>0</v>
      </c>
    </row>
    <row r="637" spans="1:41" ht="38.25" x14ac:dyDescent="0.2">
      <c r="A637" t="str">
        <f ca="1">ORÇAMENTO!C637</f>
        <v>S</v>
      </c>
      <c r="B637">
        <f ca="1">ORÇAMENTO!D637</f>
        <v>0</v>
      </c>
      <c r="C637" s="116" t="str">
        <f t="shared" ca="1" si="56"/>
        <v/>
      </c>
      <c r="D637" s="119" t="str">
        <f ca="1">ORÇAMENTO!O637</f>
        <v>-</v>
      </c>
      <c r="E637" s="172" t="str">
        <f t="shared" ca="1" si="64"/>
        <v>(abra o arquivo 'Referência 02-2025.xlsm)</v>
      </c>
      <c r="F637" s="173" t="str">
        <f ca="1">IF(RegimeExecucao="Global","",ORÇAMENTO.Unidade)</f>
        <v>-</v>
      </c>
      <c r="G637" s="124">
        <f ca="1">IF(RegimeExecucao="Global","",ORÇAMENTO!T637)</f>
        <v>51.8</v>
      </c>
      <c r="H637" s="124">
        <f ca="1">IF(RegimeExecucao="Global","",ORÇAMENTO!W637)</f>
        <v>0</v>
      </c>
      <c r="I637" s="127">
        <f ca="1">ORÇAMENTO!X637</f>
        <v>0</v>
      </c>
      <c r="J637" s="378">
        <f ca="1">IF($A637="S",IF(CAIXA.Modo,BM.AFAnterior,BM.MEDAnterior),IF(AND(RegimeExecucao="Global",$I637&gt;0,COUNTIF($AB$13:$AM$13,BM.medicao-1)&gt;0),M637/$I637*100,0))</f>
        <v>0</v>
      </c>
      <c r="K637" s="124">
        <f t="shared" ca="1" si="58"/>
        <v>0</v>
      </c>
      <c r="L637" s="379">
        <f ca="1">IF($A637="S",IF(CAIXA.Modo,BM.AFAcumulado,BM.MEDAcumulado),IF(AND(RegimeExecucao="Global",$I637&gt;0,COUNTIF($AB$13:$AM$13,BM.medicao)&gt;0),O637/$I637*100,0))</f>
        <v>0</v>
      </c>
      <c r="M637" s="380">
        <f ca="1">IF($A637="S",VTOTALBM,IF($A637=0,0,ROUND(SomaAgrupBM,15-13*ORÇAMENTO!$AF$11)))</f>
        <v>0</v>
      </c>
      <c r="N637" s="381">
        <f t="shared" ca="1" si="59"/>
        <v>0</v>
      </c>
      <c r="O637" s="127">
        <f ca="1">IF($A637="S",VTOTALBM,IF($A637=0,0,ROUND(SomaAgrupBM,15-13*ORÇAMENTO!$AF$11)))</f>
        <v>0</v>
      </c>
      <c r="Q637" s="382"/>
      <c r="R637" s="383"/>
      <c r="T637" s="119" t="str">
        <f t="shared" ca="1" si="60"/>
        <v/>
      </c>
      <c r="U637" s="172" t="str">
        <f t="shared" ca="1" si="61"/>
        <v/>
      </c>
      <c r="V637" s="173" t="str">
        <f ca="1">IF(AND($W637&gt;0,RegimeExecucao="Unitário"),$F637,"")</f>
        <v/>
      </c>
      <c r="W637" s="547">
        <f ca="1">IF($Y637&gt;0,CHOOSE(MATCH(RegimeExecucao,{"Unitário","Global"},0),IF($A637="S",$Y637/$X637,""),($Y637/$X637)*100),0)</f>
        <v>0</v>
      </c>
      <c r="X637" s="384" t="str">
        <f ca="1">IF($Y637&gt;0,CHOOSE(MATCH(RegimeExecucao,{"Unitário","Global"},0),IF($A637="S",ROUND($H637,ORÇAMENTO!$AF$10),""),ROUND($I637,ORÇAMENTO!$AF$11)),"")</f>
        <v/>
      </c>
      <c r="Y637" s="384">
        <f t="shared" ca="1" si="62"/>
        <v>0</v>
      </c>
      <c r="Z637" s="572"/>
      <c r="AB637" s="382"/>
      <c r="AC637" s="516"/>
      <c r="AD637" s="516"/>
      <c r="AE637" s="516"/>
      <c r="AF637" s="516"/>
      <c r="AG637" s="516"/>
      <c r="AH637" s="516"/>
      <c r="AI637" s="516"/>
      <c r="AJ637" s="516"/>
      <c r="AK637" s="516"/>
      <c r="AL637" s="516"/>
      <c r="AM637" s="383"/>
      <c r="AO637">
        <f ca="1">IF($A637="S",IF(BM!$I637=0,0,CHOOSE(MATCH(RegimeExecucao,{"Global","Unitário"},0),ROUND(ROUND(BM.MEDAcumulado,15-13*BM!$A$9)/100*BM!$I637,15-13*ORÇAMENTO!$AF$11),ROUND(ROUND(BM.MEDAcumulado,15-13*BM!$A$9)*ROUND(BM!$H637,15-13*ORÇAMENTO!$AF$10),15-13*ORÇAMENTO!$AF$11))),IF($A637=0,0,ROUND(SomaAgrupBM,15-13*ORÇAMENTO!$AF$11)))</f>
        <v>0</v>
      </c>
    </row>
    <row r="638" spans="1:41" ht="38.25" x14ac:dyDescent="0.2">
      <c r="A638" t="str">
        <f ca="1">ORÇAMENTO!C638</f>
        <v>S</v>
      </c>
      <c r="B638">
        <f ca="1">ORÇAMENTO!D638</f>
        <v>0</v>
      </c>
      <c r="C638" s="116" t="str">
        <f t="shared" ca="1" si="56"/>
        <v/>
      </c>
      <c r="D638" s="119" t="str">
        <f ca="1">ORÇAMENTO!O638</f>
        <v>-</v>
      </c>
      <c r="E638" s="172" t="str">
        <f t="shared" ca="1" si="64"/>
        <v>(abra o arquivo 'Referência 02-2025.xlsm)</v>
      </c>
      <c r="F638" s="173" t="str">
        <f ca="1">IF(RegimeExecucao="Global","",ORÇAMENTO.Unidade)</f>
        <v>-</v>
      </c>
      <c r="G638" s="124">
        <f ca="1">IF(RegimeExecucao="Global","",ORÇAMENTO!T638)</f>
        <v>46.9</v>
      </c>
      <c r="H638" s="124">
        <f ca="1">IF(RegimeExecucao="Global","",ORÇAMENTO!W638)</f>
        <v>0</v>
      </c>
      <c r="I638" s="127">
        <f ca="1">ORÇAMENTO!X638</f>
        <v>0</v>
      </c>
      <c r="J638" s="378">
        <f ca="1">IF($A638="S",IF(CAIXA.Modo,BM.AFAnterior,BM.MEDAnterior),IF(AND(RegimeExecucao="Global",$I638&gt;0,COUNTIF($AB$13:$AM$13,BM.medicao-1)&gt;0),M638/$I638*100,0))</f>
        <v>0</v>
      </c>
      <c r="K638" s="124">
        <f t="shared" ca="1" si="58"/>
        <v>0</v>
      </c>
      <c r="L638" s="379">
        <f ca="1">IF($A638="S",IF(CAIXA.Modo,BM.AFAcumulado,BM.MEDAcumulado),IF(AND(RegimeExecucao="Global",$I638&gt;0,COUNTIF($AB$13:$AM$13,BM.medicao)&gt;0),O638/$I638*100,0))</f>
        <v>0</v>
      </c>
      <c r="M638" s="380">
        <f ca="1">IF($A638="S",VTOTALBM,IF($A638=0,0,ROUND(SomaAgrupBM,15-13*ORÇAMENTO!$AF$11)))</f>
        <v>0</v>
      </c>
      <c r="N638" s="381">
        <f t="shared" ca="1" si="59"/>
        <v>0</v>
      </c>
      <c r="O638" s="127">
        <f ca="1">IF($A638="S",VTOTALBM,IF($A638=0,0,ROUND(SomaAgrupBM,15-13*ORÇAMENTO!$AF$11)))</f>
        <v>0</v>
      </c>
      <c r="Q638" s="382"/>
      <c r="R638" s="383"/>
      <c r="T638" s="119" t="str">
        <f t="shared" ca="1" si="60"/>
        <v/>
      </c>
      <c r="U638" s="172" t="str">
        <f t="shared" ca="1" si="61"/>
        <v/>
      </c>
      <c r="V638" s="173" t="str">
        <f ca="1">IF(AND($W638&gt;0,RegimeExecucao="Unitário"),$F638,"")</f>
        <v/>
      </c>
      <c r="W638" s="547">
        <f ca="1">IF($Y638&gt;0,CHOOSE(MATCH(RegimeExecucao,{"Unitário","Global"},0),IF($A638="S",$Y638/$X638,""),($Y638/$X638)*100),0)</f>
        <v>0</v>
      </c>
      <c r="X638" s="384" t="str">
        <f ca="1">IF($Y638&gt;0,CHOOSE(MATCH(RegimeExecucao,{"Unitário","Global"},0),IF($A638="S",ROUND($H638,ORÇAMENTO!$AF$10),""),ROUND($I638,ORÇAMENTO!$AF$11)),"")</f>
        <v/>
      </c>
      <c r="Y638" s="384">
        <f t="shared" ca="1" si="62"/>
        <v>0</v>
      </c>
      <c r="Z638" s="572"/>
      <c r="AB638" s="382"/>
      <c r="AC638" s="516"/>
      <c r="AD638" s="516"/>
      <c r="AE638" s="516"/>
      <c r="AF638" s="516"/>
      <c r="AG638" s="516"/>
      <c r="AH638" s="516"/>
      <c r="AI638" s="516"/>
      <c r="AJ638" s="516"/>
      <c r="AK638" s="516"/>
      <c r="AL638" s="516"/>
      <c r="AM638" s="383"/>
      <c r="AO638">
        <f ca="1">IF($A638="S",IF(BM!$I638=0,0,CHOOSE(MATCH(RegimeExecucao,{"Global","Unitário"},0),ROUND(ROUND(BM.MEDAcumulado,15-13*BM!$A$9)/100*BM!$I638,15-13*ORÇAMENTO!$AF$11),ROUND(ROUND(BM.MEDAcumulado,15-13*BM!$A$9)*ROUND(BM!$H638,15-13*ORÇAMENTO!$AF$10),15-13*ORÇAMENTO!$AF$11))),IF($A638=0,0,ROUND(SomaAgrupBM,15-13*ORÇAMENTO!$AF$11)))</f>
        <v>0</v>
      </c>
    </row>
    <row r="639" spans="1:41" x14ac:dyDescent="0.2">
      <c r="A639" t="str">
        <f ca="1">ORÇAMENTO!C639</f>
        <v>S</v>
      </c>
      <c r="B639">
        <f ca="1">ORÇAMENTO!D639</f>
        <v>0</v>
      </c>
      <c r="C639" s="116" t="str">
        <f t="shared" ca="1" si="56"/>
        <v/>
      </c>
      <c r="D639" s="119" t="str">
        <f ca="1">ORÇAMENTO!O639</f>
        <v>-</v>
      </c>
      <c r="E639" s="172" t="str">
        <f t="shared" ca="1" si="64"/>
        <v>(abra o arquivo 'Referência 02-2025.xlsm)</v>
      </c>
      <c r="F639" s="173" t="str">
        <f ca="1">IF(RegimeExecucao="Global","",ORÇAMENTO.Unidade)</f>
        <v>-</v>
      </c>
      <c r="G639" s="124">
        <f ca="1">IF(RegimeExecucao="Global","",ORÇAMENTO!T639)</f>
        <v>1</v>
      </c>
      <c r="H639" s="124">
        <f ca="1">IF(RegimeExecucao="Global","",ORÇAMENTO!W639)</f>
        <v>0</v>
      </c>
      <c r="I639" s="127">
        <f ca="1">ORÇAMENTO!X639</f>
        <v>0</v>
      </c>
      <c r="J639" s="378">
        <f ca="1">IF($A639="S",IF(CAIXA.Modo,BM.AFAnterior,BM.MEDAnterior),IF(AND(RegimeExecucao="Global",$I639&gt;0,COUNTIF($AB$13:$AM$13,BM.medicao-1)&gt;0),M639/$I639*100,0))</f>
        <v>0</v>
      </c>
      <c r="K639" s="124">
        <f t="shared" ca="1" si="58"/>
        <v>0</v>
      </c>
      <c r="L639" s="379">
        <f ca="1">IF($A639="S",IF(CAIXA.Modo,BM.AFAcumulado,BM.MEDAcumulado),IF(AND(RegimeExecucao="Global",$I639&gt;0,COUNTIF($AB$13:$AM$13,BM.medicao)&gt;0),O639/$I639*100,0))</f>
        <v>0</v>
      </c>
      <c r="M639" s="380">
        <f ca="1">IF($A639="S",VTOTALBM,IF($A639=0,0,ROUND(SomaAgrupBM,15-13*ORÇAMENTO!$AF$11)))</f>
        <v>0</v>
      </c>
      <c r="N639" s="381">
        <f t="shared" ca="1" si="59"/>
        <v>0</v>
      </c>
      <c r="O639" s="127">
        <f ca="1">IF($A639="S",VTOTALBM,IF($A639=0,0,ROUND(SomaAgrupBM,15-13*ORÇAMENTO!$AF$11)))</f>
        <v>0</v>
      </c>
      <c r="Q639" s="382"/>
      <c r="R639" s="383"/>
      <c r="T639" s="119" t="str">
        <f t="shared" ca="1" si="60"/>
        <v/>
      </c>
      <c r="U639" s="172" t="str">
        <f t="shared" ca="1" si="61"/>
        <v/>
      </c>
      <c r="V639" s="173" t="str">
        <f ca="1">IF(AND($W639&gt;0,RegimeExecucao="Unitário"),$F639,"")</f>
        <v/>
      </c>
      <c r="W639" s="547">
        <f ca="1">IF($Y639&gt;0,CHOOSE(MATCH(RegimeExecucao,{"Unitário","Global"},0),IF($A639="S",$Y639/$X639,""),($Y639/$X639)*100),0)</f>
        <v>0</v>
      </c>
      <c r="X639" s="384" t="str">
        <f ca="1">IF($Y639&gt;0,CHOOSE(MATCH(RegimeExecucao,{"Unitário","Global"},0),IF($A639="S",ROUND($H639,ORÇAMENTO!$AF$10),""),ROUND($I639,ORÇAMENTO!$AF$11)),"")</f>
        <v/>
      </c>
      <c r="Y639" s="384">
        <f t="shared" ca="1" si="62"/>
        <v>0</v>
      </c>
      <c r="Z639" s="572"/>
      <c r="AB639" s="382"/>
      <c r="AC639" s="516"/>
      <c r="AD639" s="516"/>
      <c r="AE639" s="516"/>
      <c r="AF639" s="516"/>
      <c r="AG639" s="516"/>
      <c r="AH639" s="516"/>
      <c r="AI639" s="516"/>
      <c r="AJ639" s="516"/>
      <c r="AK639" s="516"/>
      <c r="AL639" s="516"/>
      <c r="AM639" s="383"/>
      <c r="AO639">
        <f ca="1">IF($A639="S",IF(BM!$I639=0,0,CHOOSE(MATCH(RegimeExecucao,{"Global","Unitário"},0),ROUND(ROUND(BM.MEDAcumulado,15-13*BM!$A$9)/100*BM!$I639,15-13*ORÇAMENTO!$AF$11),ROUND(ROUND(BM.MEDAcumulado,15-13*BM!$A$9)*ROUND(BM!$H639,15-13*ORÇAMENTO!$AF$10),15-13*ORÇAMENTO!$AF$11))),IF($A639=0,0,ROUND(SomaAgrupBM,15-13*ORÇAMENTO!$AF$11)))</f>
        <v>0</v>
      </c>
    </row>
    <row r="640" spans="1:41" x14ac:dyDescent="0.2">
      <c r="A640" t="str">
        <f ca="1">ORÇAMENTO!C640</f>
        <v>S</v>
      </c>
      <c r="B640">
        <f ca="1">ORÇAMENTO!D640</f>
        <v>0</v>
      </c>
      <c r="C640" s="116" t="str">
        <f t="shared" ca="1" si="56"/>
        <v/>
      </c>
      <c r="D640" s="119" t="str">
        <f ca="1">ORÇAMENTO!O640</f>
        <v>-</v>
      </c>
      <c r="E640" s="172" t="str">
        <f t="shared" ca="1" si="64"/>
        <v>(abra o arquivo 'Referência 02-2025.xlsm)</v>
      </c>
      <c r="F640" s="173" t="str">
        <f ca="1">IF(RegimeExecucao="Global","",ORÇAMENTO.Unidade)</f>
        <v>-</v>
      </c>
      <c r="G640" s="124">
        <f ca="1">IF(RegimeExecucao="Global","",ORÇAMENTO!T640)</f>
        <v>3</v>
      </c>
      <c r="H640" s="124">
        <f ca="1">IF(RegimeExecucao="Global","",ORÇAMENTO!W640)</f>
        <v>0</v>
      </c>
      <c r="I640" s="127">
        <f ca="1">ORÇAMENTO!X640</f>
        <v>0</v>
      </c>
      <c r="J640" s="378">
        <f ca="1">IF($A640="S",IF(CAIXA.Modo,BM.AFAnterior,BM.MEDAnterior),IF(AND(RegimeExecucao="Global",$I640&gt;0,COUNTIF($AB$13:$AM$13,BM.medicao-1)&gt;0),M640/$I640*100,0))</f>
        <v>0</v>
      </c>
      <c r="K640" s="124">
        <f t="shared" ca="1" si="58"/>
        <v>0</v>
      </c>
      <c r="L640" s="379">
        <f ca="1">IF($A640="S",IF(CAIXA.Modo,BM.AFAcumulado,BM.MEDAcumulado),IF(AND(RegimeExecucao="Global",$I640&gt;0,COUNTIF($AB$13:$AM$13,BM.medicao)&gt;0),O640/$I640*100,0))</f>
        <v>0</v>
      </c>
      <c r="M640" s="380">
        <f ca="1">IF($A640="S",VTOTALBM,IF($A640=0,0,ROUND(SomaAgrupBM,15-13*ORÇAMENTO!$AF$11)))</f>
        <v>0</v>
      </c>
      <c r="N640" s="381">
        <f t="shared" ca="1" si="59"/>
        <v>0</v>
      </c>
      <c r="O640" s="127">
        <f ca="1">IF($A640="S",VTOTALBM,IF($A640=0,0,ROUND(SomaAgrupBM,15-13*ORÇAMENTO!$AF$11)))</f>
        <v>0</v>
      </c>
      <c r="Q640" s="382"/>
      <c r="R640" s="383"/>
      <c r="T640" s="119" t="str">
        <f t="shared" ca="1" si="60"/>
        <v/>
      </c>
      <c r="U640" s="172" t="str">
        <f t="shared" ca="1" si="61"/>
        <v/>
      </c>
      <c r="V640" s="173" t="str">
        <f ca="1">IF(AND($W640&gt;0,RegimeExecucao="Unitário"),$F640,"")</f>
        <v/>
      </c>
      <c r="W640" s="547">
        <f ca="1">IF($Y640&gt;0,CHOOSE(MATCH(RegimeExecucao,{"Unitário","Global"},0),IF($A640="S",$Y640/$X640,""),($Y640/$X640)*100),0)</f>
        <v>0</v>
      </c>
      <c r="X640" s="384" t="str">
        <f ca="1">IF($Y640&gt;0,CHOOSE(MATCH(RegimeExecucao,{"Unitário","Global"},0),IF($A640="S",ROUND($H640,ORÇAMENTO!$AF$10),""),ROUND($I640,ORÇAMENTO!$AF$11)),"")</f>
        <v/>
      </c>
      <c r="Y640" s="384">
        <f t="shared" ca="1" si="62"/>
        <v>0</v>
      </c>
      <c r="Z640" s="572"/>
      <c r="AB640" s="382"/>
      <c r="AC640" s="516"/>
      <c r="AD640" s="516"/>
      <c r="AE640" s="516"/>
      <c r="AF640" s="516"/>
      <c r="AG640" s="516"/>
      <c r="AH640" s="516"/>
      <c r="AI640" s="516"/>
      <c r="AJ640" s="516"/>
      <c r="AK640" s="516"/>
      <c r="AL640" s="516"/>
      <c r="AM640" s="383"/>
      <c r="AO640">
        <f ca="1">IF($A640="S",IF(BM!$I640=0,0,CHOOSE(MATCH(RegimeExecucao,{"Global","Unitário"},0),ROUND(ROUND(BM.MEDAcumulado,15-13*BM!$A$9)/100*BM!$I640,15-13*ORÇAMENTO!$AF$11),ROUND(ROUND(BM.MEDAcumulado,15-13*BM!$A$9)*ROUND(BM!$H640,15-13*ORÇAMENTO!$AF$10),15-13*ORÇAMENTO!$AF$11))),IF($A640=0,0,ROUND(SomaAgrupBM,15-13*ORÇAMENTO!$AF$11)))</f>
        <v>0</v>
      </c>
    </row>
    <row r="641" spans="1:41" ht="25.5" x14ac:dyDescent="0.2">
      <c r="A641" t="str">
        <f ca="1">ORÇAMENTO!C641</f>
        <v>S</v>
      </c>
      <c r="B641">
        <f ca="1">ORÇAMENTO!D641</f>
        <v>0</v>
      </c>
      <c r="C641" s="116" t="str">
        <f t="shared" ca="1" si="56"/>
        <v/>
      </c>
      <c r="D641" s="119" t="str">
        <f ca="1">ORÇAMENTO!O641</f>
        <v>-</v>
      </c>
      <c r="E641" s="172" t="str">
        <f t="shared" ca="1" si="64"/>
        <v>(abra o arquivo 'Referência 02-2025.xlsm)</v>
      </c>
      <c r="F641" s="173" t="str">
        <f ca="1">IF(RegimeExecucao="Global","",ORÇAMENTO.Unidade)</f>
        <v>-</v>
      </c>
      <c r="G641" s="124">
        <f ca="1">IF(RegimeExecucao="Global","",ORÇAMENTO!T641)</f>
        <v>12</v>
      </c>
      <c r="H641" s="124">
        <f ca="1">IF(RegimeExecucao="Global","",ORÇAMENTO!W641)</f>
        <v>0</v>
      </c>
      <c r="I641" s="127">
        <f ca="1">ORÇAMENTO!X641</f>
        <v>0</v>
      </c>
      <c r="J641" s="378">
        <f ca="1">IF($A641="S",IF(CAIXA.Modo,BM.AFAnterior,BM.MEDAnterior),IF(AND(RegimeExecucao="Global",$I641&gt;0,COUNTIF($AB$13:$AM$13,BM.medicao-1)&gt;0),M641/$I641*100,0))</f>
        <v>0</v>
      </c>
      <c r="K641" s="124">
        <f t="shared" ca="1" si="58"/>
        <v>0</v>
      </c>
      <c r="L641" s="379">
        <f ca="1">IF($A641="S",IF(CAIXA.Modo,BM.AFAcumulado,BM.MEDAcumulado),IF(AND(RegimeExecucao="Global",$I641&gt;0,COUNTIF($AB$13:$AM$13,BM.medicao)&gt;0),O641/$I641*100,0))</f>
        <v>0</v>
      </c>
      <c r="M641" s="380">
        <f ca="1">IF($A641="S",VTOTALBM,IF($A641=0,0,ROUND(SomaAgrupBM,15-13*ORÇAMENTO!$AF$11)))</f>
        <v>0</v>
      </c>
      <c r="N641" s="381">
        <f t="shared" ca="1" si="59"/>
        <v>0</v>
      </c>
      <c r="O641" s="127">
        <f ca="1">IF($A641="S",VTOTALBM,IF($A641=0,0,ROUND(SomaAgrupBM,15-13*ORÇAMENTO!$AF$11)))</f>
        <v>0</v>
      </c>
      <c r="Q641" s="382"/>
      <c r="R641" s="383"/>
      <c r="T641" s="119" t="str">
        <f t="shared" ca="1" si="60"/>
        <v/>
      </c>
      <c r="U641" s="172" t="str">
        <f t="shared" ca="1" si="61"/>
        <v/>
      </c>
      <c r="V641" s="173" t="str">
        <f ca="1">IF(AND($W641&gt;0,RegimeExecucao="Unitário"),$F641,"")</f>
        <v/>
      </c>
      <c r="W641" s="547">
        <f ca="1">IF($Y641&gt;0,CHOOSE(MATCH(RegimeExecucao,{"Unitário","Global"},0),IF($A641="S",$Y641/$X641,""),($Y641/$X641)*100),0)</f>
        <v>0</v>
      </c>
      <c r="X641" s="384" t="str">
        <f ca="1">IF($Y641&gt;0,CHOOSE(MATCH(RegimeExecucao,{"Unitário","Global"},0),IF($A641="S",ROUND($H641,ORÇAMENTO!$AF$10),""),ROUND($I641,ORÇAMENTO!$AF$11)),"")</f>
        <v/>
      </c>
      <c r="Y641" s="384">
        <f t="shared" ca="1" si="62"/>
        <v>0</v>
      </c>
      <c r="Z641" s="572"/>
      <c r="AB641" s="382"/>
      <c r="AC641" s="516"/>
      <c r="AD641" s="516"/>
      <c r="AE641" s="516"/>
      <c r="AF641" s="516"/>
      <c r="AG641" s="516"/>
      <c r="AH641" s="516"/>
      <c r="AI641" s="516"/>
      <c r="AJ641" s="516"/>
      <c r="AK641" s="516"/>
      <c r="AL641" s="516"/>
      <c r="AM641" s="383"/>
      <c r="AO641">
        <f ca="1">IF($A641="S",IF(BM!$I641=0,0,CHOOSE(MATCH(RegimeExecucao,{"Global","Unitário"},0),ROUND(ROUND(BM.MEDAcumulado,15-13*BM!$A$9)/100*BM!$I641,15-13*ORÇAMENTO!$AF$11),ROUND(ROUND(BM.MEDAcumulado,15-13*BM!$A$9)*ROUND(BM!$H641,15-13*ORÇAMENTO!$AF$10),15-13*ORÇAMENTO!$AF$11))),IF($A641=0,0,ROUND(SomaAgrupBM,15-13*ORÇAMENTO!$AF$11)))</f>
        <v>0</v>
      </c>
    </row>
    <row r="642" spans="1:41" x14ac:dyDescent="0.2">
      <c r="A642" t="str">
        <f ca="1">ORÇAMENTO!C642</f>
        <v>S</v>
      </c>
      <c r="B642">
        <f ca="1">ORÇAMENTO!D642</f>
        <v>0</v>
      </c>
      <c r="C642" s="116" t="str">
        <f t="shared" ca="1" si="56"/>
        <v/>
      </c>
      <c r="D642" s="119" t="str">
        <f ca="1">ORÇAMENTO!O642</f>
        <v>-</v>
      </c>
      <c r="E642" s="172" t="str">
        <f t="shared" ca="1" si="64"/>
        <v>(abra o arquivo 'Referência 02-2025.xlsm)</v>
      </c>
      <c r="F642" s="173" t="str">
        <f ca="1">IF(RegimeExecucao="Global","",ORÇAMENTO.Unidade)</f>
        <v>-</v>
      </c>
      <c r="G642" s="124">
        <f ca="1">IF(RegimeExecucao="Global","",ORÇAMENTO!T642)</f>
        <v>5</v>
      </c>
      <c r="H642" s="124">
        <f ca="1">IF(RegimeExecucao="Global","",ORÇAMENTO!W642)</f>
        <v>0</v>
      </c>
      <c r="I642" s="127">
        <f ca="1">ORÇAMENTO!X642</f>
        <v>0</v>
      </c>
      <c r="J642" s="378">
        <f ca="1">IF($A642="S",IF(CAIXA.Modo,BM.AFAnterior,BM.MEDAnterior),IF(AND(RegimeExecucao="Global",$I642&gt;0,COUNTIF($AB$13:$AM$13,BM.medicao-1)&gt;0),M642/$I642*100,0))</f>
        <v>0</v>
      </c>
      <c r="K642" s="124">
        <f t="shared" ca="1" si="58"/>
        <v>0</v>
      </c>
      <c r="L642" s="379">
        <f ca="1">IF($A642="S",IF(CAIXA.Modo,BM.AFAcumulado,BM.MEDAcumulado),IF(AND(RegimeExecucao="Global",$I642&gt;0,COUNTIF($AB$13:$AM$13,BM.medicao)&gt;0),O642/$I642*100,0))</f>
        <v>0</v>
      </c>
      <c r="M642" s="380">
        <f ca="1">IF($A642="S",VTOTALBM,IF($A642=0,0,ROUND(SomaAgrupBM,15-13*ORÇAMENTO!$AF$11)))</f>
        <v>0</v>
      </c>
      <c r="N642" s="381">
        <f t="shared" ca="1" si="59"/>
        <v>0</v>
      </c>
      <c r="O642" s="127">
        <f ca="1">IF($A642="S",VTOTALBM,IF($A642=0,0,ROUND(SomaAgrupBM,15-13*ORÇAMENTO!$AF$11)))</f>
        <v>0</v>
      </c>
      <c r="Q642" s="382"/>
      <c r="R642" s="383"/>
      <c r="T642" s="119" t="str">
        <f t="shared" ca="1" si="60"/>
        <v/>
      </c>
      <c r="U642" s="172" t="str">
        <f t="shared" ca="1" si="61"/>
        <v/>
      </c>
      <c r="V642" s="173" t="str">
        <f ca="1">IF(AND($W642&gt;0,RegimeExecucao="Unitário"),$F642,"")</f>
        <v/>
      </c>
      <c r="W642" s="547">
        <f ca="1">IF($Y642&gt;0,CHOOSE(MATCH(RegimeExecucao,{"Unitário","Global"},0),IF($A642="S",$Y642/$X642,""),($Y642/$X642)*100),0)</f>
        <v>0</v>
      </c>
      <c r="X642" s="384" t="str">
        <f ca="1">IF($Y642&gt;0,CHOOSE(MATCH(RegimeExecucao,{"Unitário","Global"},0),IF($A642="S",ROUND($H642,ORÇAMENTO!$AF$10),""),ROUND($I642,ORÇAMENTO!$AF$11)),"")</f>
        <v/>
      </c>
      <c r="Y642" s="384">
        <f t="shared" ca="1" si="62"/>
        <v>0</v>
      </c>
      <c r="Z642" s="572"/>
      <c r="AB642" s="382"/>
      <c r="AC642" s="516"/>
      <c r="AD642" s="516"/>
      <c r="AE642" s="516"/>
      <c r="AF642" s="516"/>
      <c r="AG642" s="516"/>
      <c r="AH642" s="516"/>
      <c r="AI642" s="516"/>
      <c r="AJ642" s="516"/>
      <c r="AK642" s="516"/>
      <c r="AL642" s="516"/>
      <c r="AM642" s="383"/>
      <c r="AO642">
        <f ca="1">IF($A642="S",IF(BM!$I642=0,0,CHOOSE(MATCH(RegimeExecucao,{"Global","Unitário"},0),ROUND(ROUND(BM.MEDAcumulado,15-13*BM!$A$9)/100*BM!$I642,15-13*ORÇAMENTO!$AF$11),ROUND(ROUND(BM.MEDAcumulado,15-13*BM!$A$9)*ROUND(BM!$H642,15-13*ORÇAMENTO!$AF$10),15-13*ORÇAMENTO!$AF$11))),IF($A642=0,0,ROUND(SomaAgrupBM,15-13*ORÇAMENTO!$AF$11)))</f>
        <v>0</v>
      </c>
    </row>
    <row r="643" spans="1:41" ht="38.25" x14ac:dyDescent="0.2">
      <c r="A643" t="str">
        <f ca="1">ORÇAMENTO!C643</f>
        <v>S</v>
      </c>
      <c r="B643">
        <f ca="1">ORÇAMENTO!D643</f>
        <v>0</v>
      </c>
      <c r="C643" s="116" t="str">
        <f t="shared" ca="1" si="56"/>
        <v/>
      </c>
      <c r="D643" s="119" t="str">
        <f ca="1">ORÇAMENTO!O643</f>
        <v>-</v>
      </c>
      <c r="E643" s="172" t="str">
        <f t="shared" ca="1" si="64"/>
        <v>(abra o arquivo 'Referência 02-2025.xlsm)</v>
      </c>
      <c r="F643" s="173" t="str">
        <f ca="1">IF(RegimeExecucao="Global","",ORÇAMENTO.Unidade)</f>
        <v>-</v>
      </c>
      <c r="G643" s="124">
        <f ca="1">IF(RegimeExecucao="Global","",ORÇAMENTO!T643)</f>
        <v>4</v>
      </c>
      <c r="H643" s="124">
        <f ca="1">IF(RegimeExecucao="Global","",ORÇAMENTO!W643)</f>
        <v>0</v>
      </c>
      <c r="I643" s="127">
        <f ca="1">ORÇAMENTO!X643</f>
        <v>0</v>
      </c>
      <c r="J643" s="378">
        <f ca="1">IF($A643="S",IF(CAIXA.Modo,BM.AFAnterior,BM.MEDAnterior),IF(AND(RegimeExecucao="Global",$I643&gt;0,COUNTIF($AB$13:$AM$13,BM.medicao-1)&gt;0),M643/$I643*100,0))</f>
        <v>0</v>
      </c>
      <c r="K643" s="124">
        <f t="shared" ca="1" si="58"/>
        <v>0</v>
      </c>
      <c r="L643" s="379">
        <f ca="1">IF($A643="S",IF(CAIXA.Modo,BM.AFAcumulado,BM.MEDAcumulado),IF(AND(RegimeExecucao="Global",$I643&gt;0,COUNTIF($AB$13:$AM$13,BM.medicao)&gt;0),O643/$I643*100,0))</f>
        <v>0</v>
      </c>
      <c r="M643" s="380">
        <f ca="1">IF($A643="S",VTOTALBM,IF($A643=0,0,ROUND(SomaAgrupBM,15-13*ORÇAMENTO!$AF$11)))</f>
        <v>0</v>
      </c>
      <c r="N643" s="381">
        <f t="shared" ca="1" si="59"/>
        <v>0</v>
      </c>
      <c r="O643" s="127">
        <f ca="1">IF($A643="S",VTOTALBM,IF($A643=0,0,ROUND(SomaAgrupBM,15-13*ORÇAMENTO!$AF$11)))</f>
        <v>0</v>
      </c>
      <c r="Q643" s="382"/>
      <c r="R643" s="383"/>
      <c r="T643" s="119" t="str">
        <f t="shared" ca="1" si="60"/>
        <v/>
      </c>
      <c r="U643" s="172" t="str">
        <f t="shared" ca="1" si="61"/>
        <v/>
      </c>
      <c r="V643" s="173" t="str">
        <f ca="1">IF(AND($W643&gt;0,RegimeExecucao="Unitário"),$F643,"")</f>
        <v/>
      </c>
      <c r="W643" s="547">
        <f ca="1">IF($Y643&gt;0,CHOOSE(MATCH(RegimeExecucao,{"Unitário","Global"},0),IF($A643="S",$Y643/$X643,""),($Y643/$X643)*100),0)</f>
        <v>0</v>
      </c>
      <c r="X643" s="384" t="str">
        <f ca="1">IF($Y643&gt;0,CHOOSE(MATCH(RegimeExecucao,{"Unitário","Global"},0),IF($A643="S",ROUND($H643,ORÇAMENTO!$AF$10),""),ROUND($I643,ORÇAMENTO!$AF$11)),"")</f>
        <v/>
      </c>
      <c r="Y643" s="384">
        <f t="shared" ca="1" si="62"/>
        <v>0</v>
      </c>
      <c r="Z643" s="572"/>
      <c r="AB643" s="382"/>
      <c r="AC643" s="516"/>
      <c r="AD643" s="516"/>
      <c r="AE643" s="516"/>
      <c r="AF643" s="516"/>
      <c r="AG643" s="516"/>
      <c r="AH643" s="516"/>
      <c r="AI643" s="516"/>
      <c r="AJ643" s="516"/>
      <c r="AK643" s="516"/>
      <c r="AL643" s="516"/>
      <c r="AM643" s="383"/>
      <c r="AO643">
        <f ca="1">IF($A643="S",IF(BM!$I643=0,0,CHOOSE(MATCH(RegimeExecucao,{"Global","Unitário"},0),ROUND(ROUND(BM.MEDAcumulado,15-13*BM!$A$9)/100*BM!$I643,15-13*ORÇAMENTO!$AF$11),ROUND(ROUND(BM.MEDAcumulado,15-13*BM!$A$9)*ROUND(BM!$H643,15-13*ORÇAMENTO!$AF$10),15-13*ORÇAMENTO!$AF$11))),IF($A643=0,0,ROUND(SomaAgrupBM,15-13*ORÇAMENTO!$AF$11)))</f>
        <v>0</v>
      </c>
    </row>
    <row r="644" spans="1:41" x14ac:dyDescent="0.2">
      <c r="A644">
        <f ca="1">ORÇAMENTO!C644</f>
        <v>3</v>
      </c>
      <c r="B644">
        <f ca="1">ORÇAMENTO!D644</f>
        <v>2</v>
      </c>
      <c r="C644" s="116" t="str">
        <f t="shared" ca="1" si="56"/>
        <v>F</v>
      </c>
      <c r="D644" s="119" t="str">
        <f ca="1">ORÇAMENTO!O644</f>
        <v>1.18.6.</v>
      </c>
      <c r="E644" s="172" t="str">
        <f t="shared" ca="1" si="64"/>
        <v>CABEAMENTO</v>
      </c>
      <c r="F644" s="173" t="str">
        <f ca="1">IF(RegimeExecucao="Global","",ORÇAMENTO.Unidade)</f>
        <v>-</v>
      </c>
      <c r="G644" s="124">
        <f ca="1">IF(RegimeExecucao="Global","",ORÇAMENTO!T644)</f>
        <v>0</v>
      </c>
      <c r="H644" s="124">
        <f ca="1">IF(RegimeExecucao="Global","",ORÇAMENTO!W644)</f>
        <v>0</v>
      </c>
      <c r="I644" s="127">
        <f ca="1">ORÇAMENTO!X644</f>
        <v>0</v>
      </c>
      <c r="J644" s="378">
        <f ca="1">IF($A644="S",IF(CAIXA.Modo,BM.AFAnterior,BM.MEDAnterior),IF(AND(RegimeExecucao="Global",$I644&gt;0,COUNTIF($AB$13:$AM$13,BM.medicao-1)&gt;0),M644/$I644*100,0))</f>
        <v>0</v>
      </c>
      <c r="K644" s="124">
        <f t="shared" ca="1" si="58"/>
        <v>0</v>
      </c>
      <c r="L644" s="379">
        <f ca="1">IF($A644="S",IF(CAIXA.Modo,BM.AFAcumulado,BM.MEDAcumulado),IF(AND(RegimeExecucao="Global",$I644&gt;0,COUNTIF($AB$13:$AM$13,BM.medicao)&gt;0),O644/$I644*100,0))</f>
        <v>0</v>
      </c>
      <c r="M644" s="380">
        <f ca="1">IF($A644="S",VTOTALBM,IF($A644=0,0,ROUND(SomaAgrupBM,15-13*ORÇAMENTO!$AF$11)))</f>
        <v>0</v>
      </c>
      <c r="N644" s="381">
        <f t="shared" ca="1" si="59"/>
        <v>0</v>
      </c>
      <c r="O644" s="127">
        <f ca="1">IF($A644="S",VTOTALBM,IF($A644=0,0,ROUND(SomaAgrupBM,15-13*ORÇAMENTO!$AF$11)))</f>
        <v>0</v>
      </c>
      <c r="Q644" s="382"/>
      <c r="R644" s="383"/>
      <c r="T644" s="119" t="str">
        <f t="shared" ca="1" si="60"/>
        <v/>
      </c>
      <c r="U644" s="172" t="str">
        <f t="shared" ca="1" si="61"/>
        <v/>
      </c>
      <c r="V644" s="173" t="str">
        <f ca="1">IF(AND($W644&gt;0,RegimeExecucao="Unitário"),$F644,"")</f>
        <v/>
      </c>
      <c r="W644" s="547">
        <f ca="1">IF($Y644&gt;0,CHOOSE(MATCH(RegimeExecucao,{"Unitário","Global"},0),IF($A644="S",$Y644/$X644,""),($Y644/$X644)*100),0)</f>
        <v>0</v>
      </c>
      <c r="X644" s="384" t="str">
        <f ca="1">IF($Y644&gt;0,CHOOSE(MATCH(RegimeExecucao,{"Unitário","Global"},0),IF($A644="S",ROUND($H644,ORÇAMENTO!$AF$10),""),ROUND($I644,ORÇAMENTO!$AF$11)),"")</f>
        <v/>
      </c>
      <c r="Y644" s="384">
        <f t="shared" ca="1" si="62"/>
        <v>0</v>
      </c>
      <c r="Z644" s="572"/>
      <c r="AB644" s="382"/>
      <c r="AC644" s="516"/>
      <c r="AD644" s="516"/>
      <c r="AE644" s="516"/>
      <c r="AF644" s="516"/>
      <c r="AG644" s="516"/>
      <c r="AH644" s="516"/>
      <c r="AI644" s="516"/>
      <c r="AJ644" s="516"/>
      <c r="AK644" s="516"/>
      <c r="AL644" s="516"/>
      <c r="AM644" s="383"/>
      <c r="AO644">
        <f ca="1">IF($A644="S",IF(BM!$I644=0,0,CHOOSE(MATCH(RegimeExecucao,{"Global","Unitário"},0),ROUND(ROUND(BM.MEDAcumulado,15-13*BM!$A$9)/100*BM!$I644,15-13*ORÇAMENTO!$AF$11),ROUND(ROUND(BM.MEDAcumulado,15-13*BM!$A$9)*ROUND(BM!$H644,15-13*ORÇAMENTO!$AF$10),15-13*ORÇAMENTO!$AF$11))),IF($A644=0,0,ROUND(SomaAgrupBM,15-13*ORÇAMENTO!$AF$11)))</f>
        <v>0</v>
      </c>
    </row>
    <row r="645" spans="1:41" ht="25.5" x14ac:dyDescent="0.2">
      <c r="A645" t="str">
        <f ca="1">ORÇAMENTO!C645</f>
        <v>S</v>
      </c>
      <c r="B645">
        <f ca="1">ORÇAMENTO!D645</f>
        <v>0</v>
      </c>
      <c r="C645" s="116" t="str">
        <f t="shared" ca="1" si="56"/>
        <v/>
      </c>
      <c r="D645" s="119" t="str">
        <f ca="1">ORÇAMENTO!O645</f>
        <v>-</v>
      </c>
      <c r="E645" s="172" t="str">
        <f t="shared" ca="1" si="64"/>
        <v>(abra o arquivo 'Referência 02-2025.xlsm)</v>
      </c>
      <c r="F645" s="173" t="str">
        <f ca="1">IF(RegimeExecucao="Global","",ORÇAMENTO.Unidade)</f>
        <v>-</v>
      </c>
      <c r="G645" s="124">
        <f ca="1">IF(RegimeExecucao="Global","",ORÇAMENTO!T645)</f>
        <v>1209.5</v>
      </c>
      <c r="H645" s="124">
        <f ca="1">IF(RegimeExecucao="Global","",ORÇAMENTO!W645)</f>
        <v>0</v>
      </c>
      <c r="I645" s="127">
        <f ca="1">ORÇAMENTO!X645</f>
        <v>0</v>
      </c>
      <c r="J645" s="378">
        <f ca="1">IF($A645="S",IF(CAIXA.Modo,BM.AFAnterior,BM.MEDAnterior),IF(AND(RegimeExecucao="Global",$I645&gt;0,COUNTIF($AB$13:$AM$13,BM.medicao-1)&gt;0),M645/$I645*100,0))</f>
        <v>0</v>
      </c>
      <c r="K645" s="124">
        <f t="shared" ca="1" si="58"/>
        <v>0</v>
      </c>
      <c r="L645" s="379">
        <f ca="1">IF($A645="S",IF(CAIXA.Modo,BM.AFAcumulado,BM.MEDAcumulado),IF(AND(RegimeExecucao="Global",$I645&gt;0,COUNTIF($AB$13:$AM$13,BM.medicao)&gt;0),O645/$I645*100,0))</f>
        <v>0</v>
      </c>
      <c r="M645" s="380">
        <f ca="1">IF($A645="S",VTOTALBM,IF($A645=0,0,ROUND(SomaAgrupBM,15-13*ORÇAMENTO!$AF$11)))</f>
        <v>0</v>
      </c>
      <c r="N645" s="381">
        <f t="shared" ca="1" si="59"/>
        <v>0</v>
      </c>
      <c r="O645" s="127">
        <f ca="1">IF($A645="S",VTOTALBM,IF($A645=0,0,ROUND(SomaAgrupBM,15-13*ORÇAMENTO!$AF$11)))</f>
        <v>0</v>
      </c>
      <c r="Q645" s="382"/>
      <c r="R645" s="383"/>
      <c r="T645" s="119" t="str">
        <f t="shared" ca="1" si="60"/>
        <v/>
      </c>
      <c r="U645" s="172" t="str">
        <f t="shared" ca="1" si="61"/>
        <v/>
      </c>
      <c r="V645" s="173" t="str">
        <f ca="1">IF(AND($W645&gt;0,RegimeExecucao="Unitário"),$F645,"")</f>
        <v/>
      </c>
      <c r="W645" s="547">
        <f ca="1">IF($Y645&gt;0,CHOOSE(MATCH(RegimeExecucao,{"Unitário","Global"},0),IF($A645="S",$Y645/$X645,""),($Y645/$X645)*100),0)</f>
        <v>0</v>
      </c>
      <c r="X645" s="384" t="str">
        <f ca="1">IF($Y645&gt;0,CHOOSE(MATCH(RegimeExecucao,{"Unitário","Global"},0),IF($A645="S",ROUND($H645,ORÇAMENTO!$AF$10),""),ROUND($I645,ORÇAMENTO!$AF$11)),"")</f>
        <v/>
      </c>
      <c r="Y645" s="384">
        <f t="shared" ca="1" si="62"/>
        <v>0</v>
      </c>
      <c r="Z645" s="572"/>
      <c r="AB645" s="382"/>
      <c r="AC645" s="516"/>
      <c r="AD645" s="516"/>
      <c r="AE645" s="516"/>
      <c r="AF645" s="516"/>
      <c r="AG645" s="516"/>
      <c r="AH645" s="516"/>
      <c r="AI645" s="516"/>
      <c r="AJ645" s="516"/>
      <c r="AK645" s="516"/>
      <c r="AL645" s="516"/>
      <c r="AM645" s="383"/>
      <c r="AO645">
        <f ca="1">IF($A645="S",IF(BM!$I645=0,0,CHOOSE(MATCH(RegimeExecucao,{"Global","Unitário"},0),ROUND(ROUND(BM.MEDAcumulado,15-13*BM!$A$9)/100*BM!$I645,15-13*ORÇAMENTO!$AF$11),ROUND(ROUND(BM.MEDAcumulado,15-13*BM!$A$9)*ROUND(BM!$H645,15-13*ORÇAMENTO!$AF$10),15-13*ORÇAMENTO!$AF$11))),IF($A645=0,0,ROUND(SomaAgrupBM,15-13*ORÇAMENTO!$AF$11)))</f>
        <v>0</v>
      </c>
    </row>
    <row r="646" spans="1:41" ht="25.5" x14ac:dyDescent="0.2">
      <c r="A646">
        <f ca="1">ORÇAMENTO!C646</f>
        <v>2</v>
      </c>
      <c r="B646">
        <f ca="1">ORÇAMENTO!D646</f>
        <v>7</v>
      </c>
      <c r="C646" s="116" t="str">
        <f t="shared" ca="1" si="56"/>
        <v>F</v>
      </c>
      <c r="D646" s="119" t="str">
        <f ca="1">ORÇAMENTO!O646</f>
        <v>1.19.</v>
      </c>
      <c r="E646" s="172" t="str">
        <f t="shared" ca="1" si="64"/>
        <v>SISTEMA DE PROTEÇÃO CONTRA DESCARGAS ATMOSFÉRICAS (SPDA)</v>
      </c>
      <c r="F646" s="173" t="str">
        <f ca="1">IF(RegimeExecucao="Global","",ORÇAMENTO.Unidade)</f>
        <v>-</v>
      </c>
      <c r="G646" s="124">
        <f ca="1">IF(RegimeExecucao="Global","",ORÇAMENTO!T646)</f>
        <v>0</v>
      </c>
      <c r="H646" s="124">
        <f ca="1">IF(RegimeExecucao="Global","",ORÇAMENTO!W646)</f>
        <v>0</v>
      </c>
      <c r="I646" s="127">
        <f ca="1">ORÇAMENTO!X646</f>
        <v>0</v>
      </c>
      <c r="J646" s="378">
        <f ca="1">IF($A646="S",IF(CAIXA.Modo,BM.AFAnterior,BM.MEDAnterior),IF(AND(RegimeExecucao="Global",$I646&gt;0,COUNTIF($AB$13:$AM$13,BM.medicao-1)&gt;0),M646/$I646*100,0))</f>
        <v>0</v>
      </c>
      <c r="K646" s="124">
        <f t="shared" ca="1" si="58"/>
        <v>0</v>
      </c>
      <c r="L646" s="379">
        <f ca="1">IF($A646="S",IF(CAIXA.Modo,BM.AFAcumulado,BM.MEDAcumulado),IF(AND(RegimeExecucao="Global",$I646&gt;0,COUNTIF($AB$13:$AM$13,BM.medicao)&gt;0),O646/$I646*100,0))</f>
        <v>0</v>
      </c>
      <c r="M646" s="380">
        <f ca="1">IF($A646="S",VTOTALBM,IF($A646=0,0,ROUND(SomaAgrupBM,15-13*ORÇAMENTO!$AF$11)))</f>
        <v>0</v>
      </c>
      <c r="N646" s="381">
        <f t="shared" ca="1" si="59"/>
        <v>0</v>
      </c>
      <c r="O646" s="127">
        <f ca="1">IF($A646="S",VTOTALBM,IF($A646=0,0,ROUND(SomaAgrupBM,15-13*ORÇAMENTO!$AF$11)))</f>
        <v>0</v>
      </c>
      <c r="Q646" s="382"/>
      <c r="R646" s="383"/>
      <c r="T646" s="119" t="str">
        <f t="shared" ca="1" si="60"/>
        <v/>
      </c>
      <c r="U646" s="172" t="str">
        <f t="shared" ca="1" si="61"/>
        <v/>
      </c>
      <c r="V646" s="173" t="str">
        <f ca="1">IF(AND($W646&gt;0,RegimeExecucao="Unitário"),$F646,"")</f>
        <v/>
      </c>
      <c r="W646" s="547">
        <f ca="1">IF($Y646&gt;0,CHOOSE(MATCH(RegimeExecucao,{"Unitário","Global"},0),IF($A646="S",$Y646/$X646,""),($Y646/$X646)*100),0)</f>
        <v>0</v>
      </c>
      <c r="X646" s="384" t="str">
        <f ca="1">IF($Y646&gt;0,CHOOSE(MATCH(RegimeExecucao,{"Unitário","Global"},0),IF($A646="S",ROUND($H646,ORÇAMENTO!$AF$10),""),ROUND($I646,ORÇAMENTO!$AF$11)),"")</f>
        <v/>
      </c>
      <c r="Y646" s="384">
        <f t="shared" ca="1" si="62"/>
        <v>0</v>
      </c>
      <c r="Z646" s="572"/>
      <c r="AB646" s="382"/>
      <c r="AC646" s="516"/>
      <c r="AD646" s="516"/>
      <c r="AE646" s="516"/>
      <c r="AF646" s="516"/>
      <c r="AG646" s="516"/>
      <c r="AH646" s="516"/>
      <c r="AI646" s="516"/>
      <c r="AJ646" s="516"/>
      <c r="AK646" s="516"/>
      <c r="AL646" s="516"/>
      <c r="AM646" s="383"/>
      <c r="AO646">
        <f ca="1">IF($A646="S",IF(BM!$I646=0,0,CHOOSE(MATCH(RegimeExecucao,{"Global","Unitário"},0),ROUND(ROUND(BM.MEDAcumulado,15-13*BM!$A$9)/100*BM!$I646,15-13*ORÇAMENTO!$AF$11),ROUND(ROUND(BM.MEDAcumulado,15-13*BM!$A$9)*ROUND(BM!$H646,15-13*ORÇAMENTO!$AF$10),15-13*ORÇAMENTO!$AF$11))),IF($A646=0,0,ROUND(SomaAgrupBM,15-13*ORÇAMENTO!$AF$11)))</f>
        <v>0</v>
      </c>
    </row>
    <row r="647" spans="1:41" ht="25.5" x14ac:dyDescent="0.2">
      <c r="A647" t="str">
        <f ca="1">ORÇAMENTO!C647</f>
        <v>S</v>
      </c>
      <c r="B647">
        <f ca="1">ORÇAMENTO!D647</f>
        <v>0</v>
      </c>
      <c r="C647" s="116" t="str">
        <f t="shared" ca="1" si="56"/>
        <v/>
      </c>
      <c r="D647" s="119" t="str">
        <f ca="1">ORÇAMENTO!O647</f>
        <v>-</v>
      </c>
      <c r="E647" s="172" t="str">
        <f t="shared" ca="1" si="64"/>
        <v>(abra o arquivo 'Referência 02-2025.xlsm)</v>
      </c>
      <c r="F647" s="173" t="str">
        <f ca="1">IF(RegimeExecucao="Global","",ORÇAMENTO.Unidade)</f>
        <v>-</v>
      </c>
      <c r="G647" s="124">
        <f ca="1">IF(RegimeExecucao="Global","",ORÇAMENTO!T647)</f>
        <v>15</v>
      </c>
      <c r="H647" s="124">
        <f ca="1">IF(RegimeExecucao="Global","",ORÇAMENTO!W647)</f>
        <v>0</v>
      </c>
      <c r="I647" s="127">
        <f ca="1">ORÇAMENTO!X647</f>
        <v>0</v>
      </c>
      <c r="J647" s="378">
        <f ca="1">IF($A647="S",IF(CAIXA.Modo,BM.AFAnterior,BM.MEDAnterior),IF(AND(RegimeExecucao="Global",$I647&gt;0,COUNTIF($AB$13:$AM$13,BM.medicao-1)&gt;0),M647/$I647*100,0))</f>
        <v>0</v>
      </c>
      <c r="K647" s="124">
        <f t="shared" ca="1" si="58"/>
        <v>0</v>
      </c>
      <c r="L647" s="379">
        <f ca="1">IF($A647="S",IF(CAIXA.Modo,BM.AFAcumulado,BM.MEDAcumulado),IF(AND(RegimeExecucao="Global",$I647&gt;0,COUNTIF($AB$13:$AM$13,BM.medicao)&gt;0),O647/$I647*100,0))</f>
        <v>0</v>
      </c>
      <c r="M647" s="380">
        <f ca="1">IF($A647="S",VTOTALBM,IF($A647=0,0,ROUND(SomaAgrupBM,15-13*ORÇAMENTO!$AF$11)))</f>
        <v>0</v>
      </c>
      <c r="N647" s="381">
        <f t="shared" ca="1" si="59"/>
        <v>0</v>
      </c>
      <c r="O647" s="127">
        <f ca="1">IF($A647="S",VTOTALBM,IF($A647=0,0,ROUND(SomaAgrupBM,15-13*ORÇAMENTO!$AF$11)))</f>
        <v>0</v>
      </c>
      <c r="Q647" s="382"/>
      <c r="R647" s="383"/>
      <c r="T647" s="119" t="str">
        <f t="shared" ca="1" si="60"/>
        <v/>
      </c>
      <c r="U647" s="172" t="str">
        <f t="shared" ca="1" si="61"/>
        <v/>
      </c>
      <c r="V647" s="173" t="str">
        <f ca="1">IF(AND($W647&gt;0,RegimeExecucao="Unitário"),$F647,"")</f>
        <v/>
      </c>
      <c r="W647" s="547">
        <f ca="1">IF($Y647&gt;0,CHOOSE(MATCH(RegimeExecucao,{"Unitário","Global"},0),IF($A647="S",$Y647/$X647,""),($Y647/$X647)*100),0)</f>
        <v>0</v>
      </c>
      <c r="X647" s="384" t="str">
        <f ca="1">IF($Y647&gt;0,CHOOSE(MATCH(RegimeExecucao,{"Unitário","Global"},0),IF($A647="S",ROUND($H647,ORÇAMENTO!$AF$10),""),ROUND($I647,ORÇAMENTO!$AF$11)),"")</f>
        <v/>
      </c>
      <c r="Y647" s="384">
        <f t="shared" ca="1" si="62"/>
        <v>0</v>
      </c>
      <c r="Z647" s="572"/>
      <c r="AB647" s="382"/>
      <c r="AC647" s="516"/>
      <c r="AD647" s="516"/>
      <c r="AE647" s="516"/>
      <c r="AF647" s="516"/>
      <c r="AG647" s="516"/>
      <c r="AH647" s="516"/>
      <c r="AI647" s="516"/>
      <c r="AJ647" s="516"/>
      <c r="AK647" s="516"/>
      <c r="AL647" s="516"/>
      <c r="AM647" s="383"/>
      <c r="AO647">
        <f ca="1">IF($A647="S",IF(BM!$I647=0,0,CHOOSE(MATCH(RegimeExecucao,{"Global","Unitário"},0),ROUND(ROUND(BM.MEDAcumulado,15-13*BM!$A$9)/100*BM!$I647,15-13*ORÇAMENTO!$AF$11),ROUND(ROUND(BM.MEDAcumulado,15-13*BM!$A$9)*ROUND(BM!$H647,15-13*ORÇAMENTO!$AF$10),15-13*ORÇAMENTO!$AF$11))),IF($A647=0,0,ROUND(SomaAgrupBM,15-13*ORÇAMENTO!$AF$11)))</f>
        <v>0</v>
      </c>
    </row>
    <row r="648" spans="1:41" ht="25.5" x14ac:dyDescent="0.2">
      <c r="A648" t="str">
        <f ca="1">ORÇAMENTO!C648</f>
        <v>S</v>
      </c>
      <c r="B648">
        <f ca="1">ORÇAMENTO!D648</f>
        <v>0</v>
      </c>
      <c r="C648" s="116" t="str">
        <f t="shared" ca="1" si="56"/>
        <v/>
      </c>
      <c r="D648" s="119" t="str">
        <f ca="1">ORÇAMENTO!O648</f>
        <v>-</v>
      </c>
      <c r="E648" s="172" t="str">
        <f t="shared" ca="1" si="64"/>
        <v>(abra o arquivo 'Referência 02-2025.xlsm)</v>
      </c>
      <c r="F648" s="173" t="str">
        <f ca="1">IF(RegimeExecucao="Global","",ORÇAMENTO.Unidade)</f>
        <v>-</v>
      </c>
      <c r="G648" s="124">
        <f ca="1">IF(RegimeExecucao="Global","",ORÇAMENTO!T648)</f>
        <v>15</v>
      </c>
      <c r="H648" s="124">
        <f ca="1">IF(RegimeExecucao="Global","",ORÇAMENTO!W648)</f>
        <v>0</v>
      </c>
      <c r="I648" s="127">
        <f ca="1">ORÇAMENTO!X648</f>
        <v>0</v>
      </c>
      <c r="J648" s="378">
        <f ca="1">IF($A648="S",IF(CAIXA.Modo,BM.AFAnterior,BM.MEDAnterior),IF(AND(RegimeExecucao="Global",$I648&gt;0,COUNTIF($AB$13:$AM$13,BM.medicao-1)&gt;0),M648/$I648*100,0))</f>
        <v>0</v>
      </c>
      <c r="K648" s="124">
        <f t="shared" ca="1" si="58"/>
        <v>0</v>
      </c>
      <c r="L648" s="379">
        <f ca="1">IF($A648="S",IF(CAIXA.Modo,BM.AFAcumulado,BM.MEDAcumulado),IF(AND(RegimeExecucao="Global",$I648&gt;0,COUNTIF($AB$13:$AM$13,BM.medicao)&gt;0),O648/$I648*100,0))</f>
        <v>0</v>
      </c>
      <c r="M648" s="380">
        <f ca="1">IF($A648="S",VTOTALBM,IF($A648=0,0,ROUND(SomaAgrupBM,15-13*ORÇAMENTO!$AF$11)))</f>
        <v>0</v>
      </c>
      <c r="N648" s="381">
        <f t="shared" ca="1" si="59"/>
        <v>0</v>
      </c>
      <c r="O648" s="127">
        <f ca="1">IF($A648="S",VTOTALBM,IF($A648=0,0,ROUND(SomaAgrupBM,15-13*ORÇAMENTO!$AF$11)))</f>
        <v>0</v>
      </c>
      <c r="Q648" s="382"/>
      <c r="R648" s="383"/>
      <c r="T648" s="119" t="str">
        <f t="shared" ca="1" si="60"/>
        <v/>
      </c>
      <c r="U648" s="172" t="str">
        <f t="shared" ca="1" si="61"/>
        <v/>
      </c>
      <c r="V648" s="173" t="str">
        <f ca="1">IF(AND($W648&gt;0,RegimeExecucao="Unitário"),$F648,"")</f>
        <v/>
      </c>
      <c r="W648" s="547">
        <f ca="1">IF($Y648&gt;0,CHOOSE(MATCH(RegimeExecucao,{"Unitário","Global"},0),IF($A648="S",$Y648/$X648,""),($Y648/$X648)*100),0)</f>
        <v>0</v>
      </c>
      <c r="X648" s="384" t="str">
        <f ca="1">IF($Y648&gt;0,CHOOSE(MATCH(RegimeExecucao,{"Unitário","Global"},0),IF($A648="S",ROUND($H648,ORÇAMENTO!$AF$10),""),ROUND($I648,ORÇAMENTO!$AF$11)),"")</f>
        <v/>
      </c>
      <c r="Y648" s="384">
        <f t="shared" ca="1" si="62"/>
        <v>0</v>
      </c>
      <c r="Z648" s="572"/>
      <c r="AB648" s="382"/>
      <c r="AC648" s="516"/>
      <c r="AD648" s="516"/>
      <c r="AE648" s="516"/>
      <c r="AF648" s="516"/>
      <c r="AG648" s="516"/>
      <c r="AH648" s="516"/>
      <c r="AI648" s="516"/>
      <c r="AJ648" s="516"/>
      <c r="AK648" s="516"/>
      <c r="AL648" s="516"/>
      <c r="AM648" s="383"/>
      <c r="AO648">
        <f ca="1">IF($A648="S",IF(BM!$I648=0,0,CHOOSE(MATCH(RegimeExecucao,{"Global","Unitário"},0),ROUND(ROUND(BM.MEDAcumulado,15-13*BM!$A$9)/100*BM!$I648,15-13*ORÇAMENTO!$AF$11),ROUND(ROUND(BM.MEDAcumulado,15-13*BM!$A$9)*ROUND(BM!$H648,15-13*ORÇAMENTO!$AF$10),15-13*ORÇAMENTO!$AF$11))),IF($A648=0,0,ROUND(SomaAgrupBM,15-13*ORÇAMENTO!$AF$11)))</f>
        <v>0</v>
      </c>
    </row>
    <row r="649" spans="1:41" x14ac:dyDescent="0.2">
      <c r="A649" t="str">
        <f ca="1">ORÇAMENTO!C649</f>
        <v>S</v>
      </c>
      <c r="B649">
        <f ca="1">ORÇAMENTO!D649</f>
        <v>0</v>
      </c>
      <c r="C649" s="116" t="str">
        <f t="shared" ca="1" si="56"/>
        <v/>
      </c>
      <c r="D649" s="119" t="str">
        <f ca="1">ORÇAMENTO!O649</f>
        <v>-</v>
      </c>
      <c r="E649" s="172" t="str">
        <f t="shared" ca="1" si="64"/>
        <v>(abra o arquivo 'Referência 02-2025.xlsm)</v>
      </c>
      <c r="F649" s="173" t="str">
        <f ca="1">IF(RegimeExecucao="Global","",ORÇAMENTO.Unidade)</f>
        <v>-</v>
      </c>
      <c r="G649" s="124">
        <f ca="1">IF(RegimeExecucao="Global","",ORÇAMENTO!T649)</f>
        <v>48</v>
      </c>
      <c r="H649" s="124">
        <f ca="1">IF(RegimeExecucao="Global","",ORÇAMENTO!W649)</f>
        <v>0</v>
      </c>
      <c r="I649" s="127">
        <f ca="1">ORÇAMENTO!X649</f>
        <v>0</v>
      </c>
      <c r="J649" s="378">
        <f ca="1">IF($A649="S",IF(CAIXA.Modo,BM.AFAnterior,BM.MEDAnterior),IF(AND(RegimeExecucao="Global",$I649&gt;0,COUNTIF($AB$13:$AM$13,BM.medicao-1)&gt;0),M649/$I649*100,0))</f>
        <v>0</v>
      </c>
      <c r="K649" s="124">
        <f t="shared" ca="1" si="58"/>
        <v>0</v>
      </c>
      <c r="L649" s="379">
        <f ca="1">IF($A649="S",IF(CAIXA.Modo,BM.AFAcumulado,BM.MEDAcumulado),IF(AND(RegimeExecucao="Global",$I649&gt;0,COUNTIF($AB$13:$AM$13,BM.medicao)&gt;0),O649/$I649*100,0))</f>
        <v>0</v>
      </c>
      <c r="M649" s="380">
        <f ca="1">IF($A649="S",VTOTALBM,IF($A649=0,0,ROUND(SomaAgrupBM,15-13*ORÇAMENTO!$AF$11)))</f>
        <v>0</v>
      </c>
      <c r="N649" s="381">
        <f t="shared" ca="1" si="59"/>
        <v>0</v>
      </c>
      <c r="O649" s="127">
        <f ca="1">IF($A649="S",VTOTALBM,IF($A649=0,0,ROUND(SomaAgrupBM,15-13*ORÇAMENTO!$AF$11)))</f>
        <v>0</v>
      </c>
      <c r="Q649" s="382"/>
      <c r="R649" s="383"/>
      <c r="T649" s="119" t="str">
        <f t="shared" ca="1" si="60"/>
        <v/>
      </c>
      <c r="U649" s="172" t="str">
        <f t="shared" ca="1" si="61"/>
        <v/>
      </c>
      <c r="V649" s="173" t="str">
        <f ca="1">IF(AND($W649&gt;0,RegimeExecucao="Unitário"),$F649,"")</f>
        <v/>
      </c>
      <c r="W649" s="547">
        <f ca="1">IF($Y649&gt;0,CHOOSE(MATCH(RegimeExecucao,{"Unitário","Global"},0),IF($A649="S",$Y649/$X649,""),($Y649/$X649)*100),0)</f>
        <v>0</v>
      </c>
      <c r="X649" s="384" t="str">
        <f ca="1">IF($Y649&gt;0,CHOOSE(MATCH(RegimeExecucao,{"Unitário","Global"},0),IF($A649="S",ROUND($H649,ORÇAMENTO!$AF$10),""),ROUND($I649,ORÇAMENTO!$AF$11)),"")</f>
        <v/>
      </c>
      <c r="Y649" s="384">
        <f t="shared" ca="1" si="62"/>
        <v>0</v>
      </c>
      <c r="Z649" s="572"/>
      <c r="AB649" s="382"/>
      <c r="AC649" s="516"/>
      <c r="AD649" s="516"/>
      <c r="AE649" s="516"/>
      <c r="AF649" s="516"/>
      <c r="AG649" s="516"/>
      <c r="AH649" s="516"/>
      <c r="AI649" s="516"/>
      <c r="AJ649" s="516"/>
      <c r="AK649" s="516"/>
      <c r="AL649" s="516"/>
      <c r="AM649" s="383"/>
      <c r="AO649">
        <f ca="1">IF($A649="S",IF(BM!$I649=0,0,CHOOSE(MATCH(RegimeExecucao,{"Global","Unitário"},0),ROUND(ROUND(BM.MEDAcumulado,15-13*BM!$A$9)/100*BM!$I649,15-13*ORÇAMENTO!$AF$11),ROUND(ROUND(BM.MEDAcumulado,15-13*BM!$A$9)*ROUND(BM!$H649,15-13*ORÇAMENTO!$AF$10),15-13*ORÇAMENTO!$AF$11))),IF($A649=0,0,ROUND(SomaAgrupBM,15-13*ORÇAMENTO!$AF$11)))</f>
        <v>0</v>
      </c>
    </row>
    <row r="650" spans="1:41" ht="25.5" x14ac:dyDescent="0.2">
      <c r="A650" t="str">
        <f ca="1">ORÇAMENTO!C650</f>
        <v>S</v>
      </c>
      <c r="B650">
        <f ca="1">ORÇAMENTO!D650</f>
        <v>0</v>
      </c>
      <c r="C650" s="116" t="str">
        <f t="shared" ca="1" si="56"/>
        <v/>
      </c>
      <c r="D650" s="119" t="str">
        <f ca="1">ORÇAMENTO!O650</f>
        <v>-</v>
      </c>
      <c r="E650" s="172" t="str">
        <f t="shared" ca="1" si="64"/>
        <v>(abra o arquivo 'Referência 02-2025.xlsm)</v>
      </c>
      <c r="F650" s="173" t="str">
        <f ca="1">IF(RegimeExecucao="Global","",ORÇAMENTO.Unidade)</f>
        <v>-</v>
      </c>
      <c r="G650" s="124">
        <f ca="1">IF(RegimeExecucao="Global","",ORÇAMENTO!T650)</f>
        <v>280</v>
      </c>
      <c r="H650" s="124">
        <f ca="1">IF(RegimeExecucao="Global","",ORÇAMENTO!W650)</f>
        <v>0</v>
      </c>
      <c r="I650" s="127">
        <f ca="1">ORÇAMENTO!X650</f>
        <v>0</v>
      </c>
      <c r="J650" s="378">
        <f ca="1">IF($A650="S",IF(CAIXA.Modo,BM.AFAnterior,BM.MEDAnterior),IF(AND(RegimeExecucao="Global",$I650&gt;0,COUNTIF($AB$13:$AM$13,BM.medicao-1)&gt;0),M650/$I650*100,0))</f>
        <v>0</v>
      </c>
      <c r="K650" s="124">
        <f t="shared" ca="1" si="58"/>
        <v>0</v>
      </c>
      <c r="L650" s="379">
        <f ca="1">IF($A650="S",IF(CAIXA.Modo,BM.AFAcumulado,BM.MEDAcumulado),IF(AND(RegimeExecucao="Global",$I650&gt;0,COUNTIF($AB$13:$AM$13,BM.medicao)&gt;0),O650/$I650*100,0))</f>
        <v>0</v>
      </c>
      <c r="M650" s="380">
        <f ca="1">IF($A650="S",VTOTALBM,IF($A650=0,0,ROUND(SomaAgrupBM,15-13*ORÇAMENTO!$AF$11)))</f>
        <v>0</v>
      </c>
      <c r="N650" s="381">
        <f t="shared" ca="1" si="59"/>
        <v>0</v>
      </c>
      <c r="O650" s="127">
        <f ca="1">IF($A650="S",VTOTALBM,IF($A650=0,0,ROUND(SomaAgrupBM,15-13*ORÇAMENTO!$AF$11)))</f>
        <v>0</v>
      </c>
      <c r="Q650" s="382"/>
      <c r="R650" s="383"/>
      <c r="T650" s="119" t="str">
        <f t="shared" ca="1" si="60"/>
        <v/>
      </c>
      <c r="U650" s="172" t="str">
        <f t="shared" ca="1" si="61"/>
        <v/>
      </c>
      <c r="V650" s="173" t="str">
        <f ca="1">IF(AND($W650&gt;0,RegimeExecucao="Unitário"),$F650,"")</f>
        <v/>
      </c>
      <c r="W650" s="547">
        <f ca="1">IF($Y650&gt;0,CHOOSE(MATCH(RegimeExecucao,{"Unitário","Global"},0),IF($A650="S",$Y650/$X650,""),($Y650/$X650)*100),0)</f>
        <v>0</v>
      </c>
      <c r="X650" s="384" t="str">
        <f ca="1">IF($Y650&gt;0,CHOOSE(MATCH(RegimeExecucao,{"Unitário","Global"},0),IF($A650="S",ROUND($H650,ORÇAMENTO!$AF$10),""),ROUND($I650,ORÇAMENTO!$AF$11)),"")</f>
        <v/>
      </c>
      <c r="Y650" s="384">
        <f t="shared" ca="1" si="62"/>
        <v>0</v>
      </c>
      <c r="Z650" s="572"/>
      <c r="AB650" s="382"/>
      <c r="AC650" s="516"/>
      <c r="AD650" s="516"/>
      <c r="AE650" s="516"/>
      <c r="AF650" s="516"/>
      <c r="AG650" s="516"/>
      <c r="AH650" s="516"/>
      <c r="AI650" s="516"/>
      <c r="AJ650" s="516"/>
      <c r="AK650" s="516"/>
      <c r="AL650" s="516"/>
      <c r="AM650" s="383"/>
      <c r="AO650">
        <f ca="1">IF($A650="S",IF(BM!$I650=0,0,CHOOSE(MATCH(RegimeExecucao,{"Global","Unitário"},0),ROUND(ROUND(BM.MEDAcumulado,15-13*BM!$A$9)/100*BM!$I650,15-13*ORÇAMENTO!$AF$11),ROUND(ROUND(BM.MEDAcumulado,15-13*BM!$A$9)*ROUND(BM!$H650,15-13*ORÇAMENTO!$AF$10),15-13*ORÇAMENTO!$AF$11))),IF($A650=0,0,ROUND(SomaAgrupBM,15-13*ORÇAMENTO!$AF$11)))</f>
        <v>0</v>
      </c>
    </row>
    <row r="651" spans="1:41" ht="25.5" x14ac:dyDescent="0.2">
      <c r="A651" t="str">
        <f ca="1">ORÇAMENTO!C651</f>
        <v>S</v>
      </c>
      <c r="B651">
        <f ca="1">ORÇAMENTO!D651</f>
        <v>0</v>
      </c>
      <c r="C651" s="116" t="str">
        <f t="shared" ca="1" si="56"/>
        <v/>
      </c>
      <c r="D651" s="119" t="str">
        <f ca="1">ORÇAMENTO!O651</f>
        <v>-</v>
      </c>
      <c r="E651" s="172" t="str">
        <f t="shared" ca="1" si="64"/>
        <v>(abra o arquivo 'Referência 02-2025.xlsm)</v>
      </c>
      <c r="F651" s="173" t="str">
        <f ca="1">IF(RegimeExecucao="Global","",ORÇAMENTO.Unidade)</f>
        <v>-</v>
      </c>
      <c r="G651" s="124">
        <f ca="1">IF(RegimeExecucao="Global","",ORÇAMENTO!T651)</f>
        <v>310</v>
      </c>
      <c r="H651" s="124">
        <f ca="1">IF(RegimeExecucao="Global","",ORÇAMENTO!W651)</f>
        <v>0</v>
      </c>
      <c r="I651" s="127">
        <f ca="1">ORÇAMENTO!X651</f>
        <v>0</v>
      </c>
      <c r="J651" s="378">
        <f ca="1">IF($A651="S",IF(CAIXA.Modo,BM.AFAnterior,BM.MEDAnterior),IF(AND(RegimeExecucao="Global",$I651&gt;0,COUNTIF($AB$13:$AM$13,BM.medicao-1)&gt;0),M651/$I651*100,0))</f>
        <v>0</v>
      </c>
      <c r="K651" s="124">
        <f t="shared" ca="1" si="58"/>
        <v>0</v>
      </c>
      <c r="L651" s="379">
        <f ca="1">IF($A651="S",IF(CAIXA.Modo,BM.AFAcumulado,BM.MEDAcumulado),IF(AND(RegimeExecucao="Global",$I651&gt;0,COUNTIF($AB$13:$AM$13,BM.medicao)&gt;0),O651/$I651*100,0))</f>
        <v>0</v>
      </c>
      <c r="M651" s="380">
        <f ca="1">IF($A651="S",VTOTALBM,IF($A651=0,0,ROUND(SomaAgrupBM,15-13*ORÇAMENTO!$AF$11)))</f>
        <v>0</v>
      </c>
      <c r="N651" s="381">
        <f t="shared" ca="1" si="59"/>
        <v>0</v>
      </c>
      <c r="O651" s="127">
        <f ca="1">IF($A651="S",VTOTALBM,IF($A651=0,0,ROUND(SomaAgrupBM,15-13*ORÇAMENTO!$AF$11)))</f>
        <v>0</v>
      </c>
      <c r="Q651" s="382"/>
      <c r="R651" s="383"/>
      <c r="T651" s="119" t="str">
        <f t="shared" ca="1" si="60"/>
        <v/>
      </c>
      <c r="U651" s="172" t="str">
        <f t="shared" ca="1" si="61"/>
        <v/>
      </c>
      <c r="V651" s="173" t="str">
        <f ca="1">IF(AND($W651&gt;0,RegimeExecucao="Unitário"),$F651,"")</f>
        <v/>
      </c>
      <c r="W651" s="547">
        <f ca="1">IF($Y651&gt;0,CHOOSE(MATCH(RegimeExecucao,{"Unitário","Global"},0),IF($A651="S",$Y651/$X651,""),($Y651/$X651)*100),0)</f>
        <v>0</v>
      </c>
      <c r="X651" s="384" t="str">
        <f ca="1">IF($Y651&gt;0,CHOOSE(MATCH(RegimeExecucao,{"Unitário","Global"},0),IF($A651="S",ROUND($H651,ORÇAMENTO!$AF$10),""),ROUND($I651,ORÇAMENTO!$AF$11)),"")</f>
        <v/>
      </c>
      <c r="Y651" s="384">
        <f t="shared" ca="1" si="62"/>
        <v>0</v>
      </c>
      <c r="Z651" s="572"/>
      <c r="AB651" s="382"/>
      <c r="AC651" s="516"/>
      <c r="AD651" s="516"/>
      <c r="AE651" s="516"/>
      <c r="AF651" s="516"/>
      <c r="AG651" s="516"/>
      <c r="AH651" s="516"/>
      <c r="AI651" s="516"/>
      <c r="AJ651" s="516"/>
      <c r="AK651" s="516"/>
      <c r="AL651" s="516"/>
      <c r="AM651" s="383"/>
      <c r="AO651">
        <f ca="1">IF($A651="S",IF(BM!$I651=0,0,CHOOSE(MATCH(RegimeExecucao,{"Global","Unitário"},0),ROUND(ROUND(BM.MEDAcumulado,15-13*BM!$A$9)/100*BM!$I651,15-13*ORÇAMENTO!$AF$11),ROUND(ROUND(BM.MEDAcumulado,15-13*BM!$A$9)*ROUND(BM!$H651,15-13*ORÇAMENTO!$AF$10),15-13*ORÇAMENTO!$AF$11))),IF($A651=0,0,ROUND(SomaAgrupBM,15-13*ORÇAMENTO!$AF$11)))</f>
        <v>0</v>
      </c>
    </row>
    <row r="652" spans="1:41" x14ac:dyDescent="0.2">
      <c r="A652" t="str">
        <f ca="1">ORÇAMENTO!C652</f>
        <v>S</v>
      </c>
      <c r="B652">
        <f ca="1">ORÇAMENTO!D652</f>
        <v>0</v>
      </c>
      <c r="C652" s="116" t="str">
        <f t="shared" ca="1" si="56"/>
        <v/>
      </c>
      <c r="D652" s="119" t="str">
        <f ca="1">ORÇAMENTO!O652</f>
        <v>-</v>
      </c>
      <c r="E652" s="172" t="str">
        <f t="shared" ca="1" si="64"/>
        <v>(abra o arquivo 'Referência 02-2025.xlsm)</v>
      </c>
      <c r="F652" s="173" t="str">
        <f ca="1">IF(RegimeExecucao="Global","",ORÇAMENTO.Unidade)</f>
        <v>-</v>
      </c>
      <c r="G652" s="124">
        <f ca="1">IF(RegimeExecucao="Global","",ORÇAMENTO!T652)</f>
        <v>20</v>
      </c>
      <c r="H652" s="124">
        <f ca="1">IF(RegimeExecucao="Global","",ORÇAMENTO!W652)</f>
        <v>0</v>
      </c>
      <c r="I652" s="127">
        <f ca="1">ORÇAMENTO!X652</f>
        <v>0</v>
      </c>
      <c r="J652" s="378">
        <f ca="1">IF($A652="S",IF(CAIXA.Modo,BM.AFAnterior,BM.MEDAnterior),IF(AND(RegimeExecucao="Global",$I652&gt;0,COUNTIF($AB$13:$AM$13,BM.medicao-1)&gt;0),M652/$I652*100,0))</f>
        <v>0</v>
      </c>
      <c r="K652" s="124">
        <f t="shared" ca="1" si="58"/>
        <v>0</v>
      </c>
      <c r="L652" s="379">
        <f ca="1">IF($A652="S",IF(CAIXA.Modo,BM.AFAcumulado,BM.MEDAcumulado),IF(AND(RegimeExecucao="Global",$I652&gt;0,COUNTIF($AB$13:$AM$13,BM.medicao)&gt;0),O652/$I652*100,0))</f>
        <v>0</v>
      </c>
      <c r="M652" s="380">
        <f ca="1">IF($A652="S",VTOTALBM,IF($A652=0,0,ROUND(SomaAgrupBM,15-13*ORÇAMENTO!$AF$11)))</f>
        <v>0</v>
      </c>
      <c r="N652" s="381">
        <f t="shared" ca="1" si="59"/>
        <v>0</v>
      </c>
      <c r="O652" s="127">
        <f ca="1">IF($A652="S",VTOTALBM,IF($A652=0,0,ROUND(SomaAgrupBM,15-13*ORÇAMENTO!$AF$11)))</f>
        <v>0</v>
      </c>
      <c r="Q652" s="382"/>
      <c r="R652" s="383"/>
      <c r="T652" s="119" t="str">
        <f t="shared" ca="1" si="60"/>
        <v/>
      </c>
      <c r="U652" s="172" t="str">
        <f t="shared" ca="1" si="61"/>
        <v/>
      </c>
      <c r="V652" s="173" t="str">
        <f ca="1">IF(AND($W652&gt;0,RegimeExecucao="Unitário"),$F652,"")</f>
        <v/>
      </c>
      <c r="W652" s="547">
        <f ca="1">IF($Y652&gt;0,CHOOSE(MATCH(RegimeExecucao,{"Unitário","Global"},0),IF($A652="S",$Y652/$X652,""),($Y652/$X652)*100),0)</f>
        <v>0</v>
      </c>
      <c r="X652" s="384" t="str">
        <f ca="1">IF($Y652&gt;0,CHOOSE(MATCH(RegimeExecucao,{"Unitário","Global"},0),IF($A652="S",ROUND($H652,ORÇAMENTO!$AF$10),""),ROUND($I652,ORÇAMENTO!$AF$11)),"")</f>
        <v/>
      </c>
      <c r="Y652" s="384">
        <f t="shared" ca="1" si="62"/>
        <v>0</v>
      </c>
      <c r="Z652" s="572"/>
      <c r="AB652" s="382"/>
      <c r="AC652" s="516"/>
      <c r="AD652" s="516"/>
      <c r="AE652" s="516"/>
      <c r="AF652" s="516"/>
      <c r="AG652" s="516"/>
      <c r="AH652" s="516"/>
      <c r="AI652" s="516"/>
      <c r="AJ652" s="516"/>
      <c r="AK652" s="516"/>
      <c r="AL652" s="516"/>
      <c r="AM652" s="383"/>
      <c r="AO652">
        <f ca="1">IF($A652="S",IF(BM!$I652=0,0,CHOOSE(MATCH(RegimeExecucao,{"Global","Unitário"},0),ROUND(ROUND(BM.MEDAcumulado,15-13*BM!$A$9)/100*BM!$I652,15-13*ORÇAMENTO!$AF$11),ROUND(ROUND(BM.MEDAcumulado,15-13*BM!$A$9)*ROUND(BM!$H652,15-13*ORÇAMENTO!$AF$10),15-13*ORÇAMENTO!$AF$11))),IF($A652=0,0,ROUND(SomaAgrupBM,15-13*ORÇAMENTO!$AF$11)))</f>
        <v>0</v>
      </c>
    </row>
    <row r="653" spans="1:41" x14ac:dyDescent="0.2">
      <c r="A653">
        <f ca="1">ORÇAMENTO!C653</f>
        <v>2</v>
      </c>
      <c r="B653">
        <f ca="1">ORÇAMENTO!D653</f>
        <v>12</v>
      </c>
      <c r="C653" s="116" t="str">
        <f t="shared" ca="1" si="56"/>
        <v>F</v>
      </c>
      <c r="D653" s="119" t="str">
        <f ca="1">ORÇAMENTO!O653</f>
        <v>1.20.</v>
      </c>
      <c r="E653" s="172" t="str">
        <f t="shared" si="64"/>
        <v>INSTALAÇÕES DE CLIMATIZAÇÃO</v>
      </c>
      <c r="F653" s="173" t="str">
        <f ca="1">IF(RegimeExecucao="Global","",ORÇAMENTO.Unidade)</f>
        <v>-</v>
      </c>
      <c r="G653" s="124">
        <f ca="1">IF(RegimeExecucao="Global","",ORÇAMENTO!T653)</f>
        <v>0</v>
      </c>
      <c r="H653" s="124">
        <f ca="1">IF(RegimeExecucao="Global","",ORÇAMENTO!W653)</f>
        <v>0</v>
      </c>
      <c r="I653" s="127">
        <f ca="1">ORÇAMENTO!X653</f>
        <v>0</v>
      </c>
      <c r="J653" s="378">
        <f ca="1">IF($A653="S",IF(CAIXA.Modo,BM.AFAnterior,BM.MEDAnterior),IF(AND(RegimeExecucao="Global",$I653&gt;0,COUNTIF($AB$13:$AM$13,BM.medicao-1)&gt;0),M653/$I653*100,0))</f>
        <v>0</v>
      </c>
      <c r="K653" s="124">
        <f t="shared" ca="1" si="58"/>
        <v>0</v>
      </c>
      <c r="L653" s="379">
        <f ca="1">IF($A653="S",IF(CAIXA.Modo,BM.AFAcumulado,BM.MEDAcumulado),IF(AND(RegimeExecucao="Global",$I653&gt;0,COUNTIF($AB$13:$AM$13,BM.medicao)&gt;0),O653/$I653*100,0))</f>
        <v>0</v>
      </c>
      <c r="M653" s="380">
        <f ca="1">IF($A653="S",VTOTALBM,IF($A653=0,0,ROUND(SomaAgrupBM,15-13*ORÇAMENTO!$AF$11)))</f>
        <v>0</v>
      </c>
      <c r="N653" s="381">
        <f t="shared" ca="1" si="59"/>
        <v>0</v>
      </c>
      <c r="O653" s="127">
        <f ca="1">IF($A653="S",VTOTALBM,IF($A653=0,0,ROUND(SomaAgrupBM,15-13*ORÇAMENTO!$AF$11)))</f>
        <v>0</v>
      </c>
      <c r="Q653" s="382"/>
      <c r="R653" s="383"/>
      <c r="T653" s="119" t="str">
        <f t="shared" ca="1" si="60"/>
        <v/>
      </c>
      <c r="U653" s="172" t="str">
        <f t="shared" ca="1" si="61"/>
        <v/>
      </c>
      <c r="V653" s="173" t="str">
        <f ca="1">IF(AND($W653&gt;0,RegimeExecucao="Unitário"),$F653,"")</f>
        <v/>
      </c>
      <c r="W653" s="547">
        <f ca="1">IF($Y653&gt;0,CHOOSE(MATCH(RegimeExecucao,{"Unitário","Global"},0),IF($A653="S",$Y653/$X653,""),($Y653/$X653)*100),0)</f>
        <v>0</v>
      </c>
      <c r="X653" s="384" t="str">
        <f ca="1">IF($Y653&gt;0,CHOOSE(MATCH(RegimeExecucao,{"Unitário","Global"},0),IF($A653="S",ROUND($H653,ORÇAMENTO!$AF$10),""),ROUND($I653,ORÇAMENTO!$AF$11)),"")</f>
        <v/>
      </c>
      <c r="Y653" s="384">
        <f t="shared" ca="1" si="62"/>
        <v>0</v>
      </c>
      <c r="Z653" s="572"/>
      <c r="AB653" s="382"/>
      <c r="AC653" s="516"/>
      <c r="AD653" s="516"/>
      <c r="AE653" s="516"/>
      <c r="AF653" s="516"/>
      <c r="AG653" s="516"/>
      <c r="AH653" s="516"/>
      <c r="AI653" s="516"/>
      <c r="AJ653" s="516"/>
      <c r="AK653" s="516"/>
      <c r="AL653" s="516"/>
      <c r="AM653" s="383"/>
      <c r="AO653">
        <f ca="1">IF($A653="S",IF(BM!$I653=0,0,CHOOSE(MATCH(RegimeExecucao,{"Global","Unitário"},0),ROUND(ROUND(BM.MEDAcumulado,15-13*BM!$A$9)/100*BM!$I653,15-13*ORÇAMENTO!$AF$11),ROUND(ROUND(BM.MEDAcumulado,15-13*BM!$A$9)*ROUND(BM!$H653,15-13*ORÇAMENTO!$AF$10),15-13*ORÇAMENTO!$AF$11))),IF($A653=0,0,ROUND(SomaAgrupBM,15-13*ORÇAMENTO!$AF$11)))</f>
        <v>0</v>
      </c>
    </row>
    <row r="654" spans="1:41" x14ac:dyDescent="0.2">
      <c r="A654">
        <f ca="1">ORÇAMENTO!C654</f>
        <v>3</v>
      </c>
      <c r="B654">
        <f ca="1">ORÇAMENTO!D654</f>
        <v>6</v>
      </c>
      <c r="C654" s="116" t="str">
        <f t="shared" ca="1" si="56"/>
        <v>F</v>
      </c>
      <c r="D654" s="119" t="str">
        <f ca="1">ORÇAMENTO!O654</f>
        <v>1.20.1.</v>
      </c>
      <c r="E654" s="172" t="str">
        <f t="shared" si="64"/>
        <v>DUTOS</v>
      </c>
      <c r="F654" s="173" t="str">
        <f ca="1">IF(RegimeExecucao="Global","",ORÇAMENTO.Unidade)</f>
        <v>-</v>
      </c>
      <c r="G654" s="124">
        <f ca="1">IF(RegimeExecucao="Global","",ORÇAMENTO!T654)</f>
        <v>0</v>
      </c>
      <c r="H654" s="124">
        <f ca="1">IF(RegimeExecucao="Global","",ORÇAMENTO!W654)</f>
        <v>0</v>
      </c>
      <c r="I654" s="127">
        <f ca="1">ORÇAMENTO!X654</f>
        <v>0</v>
      </c>
      <c r="J654" s="378">
        <f ca="1">IF($A654="S",IF(CAIXA.Modo,BM.AFAnterior,BM.MEDAnterior),IF(AND(RegimeExecucao="Global",$I654&gt;0,COUNTIF($AB$13:$AM$13,BM.medicao-1)&gt;0),M654/$I654*100,0))</f>
        <v>0</v>
      </c>
      <c r="K654" s="124">
        <f t="shared" ca="1" si="58"/>
        <v>0</v>
      </c>
      <c r="L654" s="379">
        <f ca="1">IF($A654="S",IF(CAIXA.Modo,BM.AFAcumulado,BM.MEDAcumulado),IF(AND(RegimeExecucao="Global",$I654&gt;0,COUNTIF($AB$13:$AM$13,BM.medicao)&gt;0),O654/$I654*100,0))</f>
        <v>0</v>
      </c>
      <c r="M654" s="380">
        <f ca="1">IF($A654="S",VTOTALBM,IF($A654=0,0,ROUND(SomaAgrupBM,15-13*ORÇAMENTO!$AF$11)))</f>
        <v>0</v>
      </c>
      <c r="N654" s="381">
        <f t="shared" ca="1" si="59"/>
        <v>0</v>
      </c>
      <c r="O654" s="127">
        <f ca="1">IF($A654="S",VTOTALBM,IF($A654=0,0,ROUND(SomaAgrupBM,15-13*ORÇAMENTO!$AF$11)))</f>
        <v>0</v>
      </c>
      <c r="Q654" s="382"/>
      <c r="R654" s="383"/>
      <c r="T654" s="119" t="str">
        <f t="shared" ca="1" si="60"/>
        <v/>
      </c>
      <c r="U654" s="172" t="str">
        <f t="shared" ca="1" si="61"/>
        <v/>
      </c>
      <c r="V654" s="173" t="str">
        <f ca="1">IF(AND($W654&gt;0,RegimeExecucao="Unitário"),$F654,"")</f>
        <v/>
      </c>
      <c r="W654" s="547">
        <f ca="1">IF($Y654&gt;0,CHOOSE(MATCH(RegimeExecucao,{"Unitário","Global"},0),IF($A654="S",$Y654/$X654,""),($Y654/$X654)*100),0)</f>
        <v>0</v>
      </c>
      <c r="X654" s="384" t="str">
        <f ca="1">IF($Y654&gt;0,CHOOSE(MATCH(RegimeExecucao,{"Unitário","Global"},0),IF($A654="S",ROUND($H654,ORÇAMENTO!$AF$10),""),ROUND($I654,ORÇAMENTO!$AF$11)),"")</f>
        <v/>
      </c>
      <c r="Y654" s="384">
        <f t="shared" ca="1" si="62"/>
        <v>0</v>
      </c>
      <c r="Z654" s="572"/>
      <c r="AB654" s="382"/>
      <c r="AC654" s="516"/>
      <c r="AD654" s="516"/>
      <c r="AE654" s="516"/>
      <c r="AF654" s="516"/>
      <c r="AG654" s="516"/>
      <c r="AH654" s="516"/>
      <c r="AI654" s="516"/>
      <c r="AJ654" s="516"/>
      <c r="AK654" s="516"/>
      <c r="AL654" s="516"/>
      <c r="AM654" s="383"/>
      <c r="AO654">
        <f ca="1">IF($A654="S",IF(BM!$I654=0,0,CHOOSE(MATCH(RegimeExecucao,{"Global","Unitário"},0),ROUND(ROUND(BM.MEDAcumulado,15-13*BM!$A$9)/100*BM!$I654,15-13*ORÇAMENTO!$AF$11),ROUND(ROUND(BM.MEDAcumulado,15-13*BM!$A$9)*ROUND(BM!$H654,15-13*ORÇAMENTO!$AF$10),15-13*ORÇAMENTO!$AF$11))),IF($A654=0,0,ROUND(SomaAgrupBM,15-13*ORÇAMENTO!$AF$11)))</f>
        <v>0</v>
      </c>
    </row>
    <row r="655" spans="1:41" ht="38.25" x14ac:dyDescent="0.2">
      <c r="A655" t="str">
        <f ca="1">ORÇAMENTO!C655</f>
        <v>S</v>
      </c>
      <c r="B655">
        <f ca="1">ORÇAMENTO!D655</f>
        <v>0</v>
      </c>
      <c r="C655" s="116" t="str">
        <f t="shared" ca="1" si="56"/>
        <v/>
      </c>
      <c r="D655" s="119" t="str">
        <f ca="1">ORÇAMENTO!O655</f>
        <v>-</v>
      </c>
      <c r="E655" s="172" t="str">
        <f t="shared" ca="1" si="64"/>
        <v>(abra o arquivo 'Referência 02-2025.xlsm)</v>
      </c>
      <c r="F655" s="173" t="str">
        <f ca="1">IF(RegimeExecucao="Global","",ORÇAMENTO.Unidade)</f>
        <v>-</v>
      </c>
      <c r="G655" s="124">
        <f ca="1">IF(RegimeExecucao="Global","",ORÇAMENTO!T655)</f>
        <v>22.6</v>
      </c>
      <c r="H655" s="124">
        <f ca="1">IF(RegimeExecucao="Global","",ORÇAMENTO!W655)</f>
        <v>0</v>
      </c>
      <c r="I655" s="127">
        <f ca="1">ORÇAMENTO!X655</f>
        <v>0</v>
      </c>
      <c r="J655" s="378">
        <f ca="1">IF($A655="S",IF(CAIXA.Modo,BM.AFAnterior,BM.MEDAnterior),IF(AND(RegimeExecucao="Global",$I655&gt;0,COUNTIF($AB$13:$AM$13,BM.medicao-1)&gt;0),M655/$I655*100,0))</f>
        <v>0</v>
      </c>
      <c r="K655" s="124">
        <f t="shared" ca="1" si="58"/>
        <v>0</v>
      </c>
      <c r="L655" s="379">
        <f ca="1">IF($A655="S",IF(CAIXA.Modo,BM.AFAcumulado,BM.MEDAcumulado),IF(AND(RegimeExecucao="Global",$I655&gt;0,COUNTIF($AB$13:$AM$13,BM.medicao)&gt;0),O655/$I655*100,0))</f>
        <v>0</v>
      </c>
      <c r="M655" s="380">
        <f ca="1">IF($A655="S",VTOTALBM,IF($A655=0,0,ROUND(SomaAgrupBM,15-13*ORÇAMENTO!$AF$11)))</f>
        <v>0</v>
      </c>
      <c r="N655" s="381">
        <f t="shared" ca="1" si="59"/>
        <v>0</v>
      </c>
      <c r="O655" s="127">
        <f ca="1">IF($A655="S",VTOTALBM,IF($A655=0,0,ROUND(SomaAgrupBM,15-13*ORÇAMENTO!$AF$11)))</f>
        <v>0</v>
      </c>
      <c r="Q655" s="382"/>
      <c r="R655" s="383"/>
      <c r="T655" s="119" t="str">
        <f t="shared" ca="1" si="60"/>
        <v/>
      </c>
      <c r="U655" s="172" t="str">
        <f t="shared" ca="1" si="61"/>
        <v/>
      </c>
      <c r="V655" s="173" t="str">
        <f ca="1">IF(AND($W655&gt;0,RegimeExecucao="Unitário"),$F655,"")</f>
        <v/>
      </c>
      <c r="W655" s="547">
        <f ca="1">IF($Y655&gt;0,CHOOSE(MATCH(RegimeExecucao,{"Unitário","Global"},0),IF($A655="S",$Y655/$X655,""),($Y655/$X655)*100),0)</f>
        <v>0</v>
      </c>
      <c r="X655" s="384" t="str">
        <f ca="1">IF($Y655&gt;0,CHOOSE(MATCH(RegimeExecucao,{"Unitário","Global"},0),IF($A655="S",ROUND($H655,ORÇAMENTO!$AF$10),""),ROUND($I655,ORÇAMENTO!$AF$11)),"")</f>
        <v/>
      </c>
      <c r="Y655" s="384">
        <f t="shared" ca="1" si="62"/>
        <v>0</v>
      </c>
      <c r="Z655" s="572"/>
      <c r="AB655" s="382"/>
      <c r="AC655" s="516"/>
      <c r="AD655" s="516"/>
      <c r="AE655" s="516"/>
      <c r="AF655" s="516"/>
      <c r="AG655" s="516"/>
      <c r="AH655" s="516"/>
      <c r="AI655" s="516"/>
      <c r="AJ655" s="516"/>
      <c r="AK655" s="516"/>
      <c r="AL655" s="516"/>
      <c r="AM655" s="383"/>
      <c r="AO655">
        <f ca="1">IF($A655="S",IF(BM!$I655=0,0,CHOOSE(MATCH(RegimeExecucao,{"Global","Unitário"},0),ROUND(ROUND(BM.MEDAcumulado,15-13*BM!$A$9)/100*BM!$I655,15-13*ORÇAMENTO!$AF$11),ROUND(ROUND(BM.MEDAcumulado,15-13*BM!$A$9)*ROUND(BM!$H655,15-13*ORÇAMENTO!$AF$10),15-13*ORÇAMENTO!$AF$11))),IF($A655=0,0,ROUND(SomaAgrupBM,15-13*ORÇAMENTO!$AF$11)))</f>
        <v>0</v>
      </c>
    </row>
    <row r="656" spans="1:41" ht="38.25" x14ac:dyDescent="0.2">
      <c r="A656" t="str">
        <f ca="1">ORÇAMENTO!C656</f>
        <v>S</v>
      </c>
      <c r="B656">
        <f ca="1">ORÇAMENTO!D656</f>
        <v>0</v>
      </c>
      <c r="C656" s="116" t="str">
        <f t="shared" ca="1" si="56"/>
        <v/>
      </c>
      <c r="D656" s="119" t="str">
        <f ca="1">ORÇAMENTO!O656</f>
        <v>-</v>
      </c>
      <c r="E656" s="172" t="str">
        <f t="shared" ca="1" si="64"/>
        <v>(abra o arquivo 'Referência 02-2025.xlsm)</v>
      </c>
      <c r="F656" s="173" t="str">
        <f ca="1">IF(RegimeExecucao="Global","",ORÇAMENTO.Unidade)</f>
        <v>-</v>
      </c>
      <c r="G656" s="124">
        <f ca="1">IF(RegimeExecucao="Global","",ORÇAMENTO!T656)</f>
        <v>132.4</v>
      </c>
      <c r="H656" s="124">
        <f ca="1">IF(RegimeExecucao="Global","",ORÇAMENTO!W656)</f>
        <v>0</v>
      </c>
      <c r="I656" s="127">
        <f ca="1">ORÇAMENTO!X656</f>
        <v>0</v>
      </c>
      <c r="J656" s="378">
        <f ca="1">IF($A656="S",IF(CAIXA.Modo,BM.AFAnterior,BM.MEDAnterior),IF(AND(RegimeExecucao="Global",$I656&gt;0,COUNTIF($AB$13:$AM$13,BM.medicao-1)&gt;0),M656/$I656*100,0))</f>
        <v>0</v>
      </c>
      <c r="K656" s="124">
        <f t="shared" ca="1" si="58"/>
        <v>0</v>
      </c>
      <c r="L656" s="379">
        <f ca="1">IF($A656="S",IF(CAIXA.Modo,BM.AFAcumulado,BM.MEDAcumulado),IF(AND(RegimeExecucao="Global",$I656&gt;0,COUNTIF($AB$13:$AM$13,BM.medicao)&gt;0),O656/$I656*100,0))</f>
        <v>0</v>
      </c>
      <c r="M656" s="380">
        <f ca="1">IF($A656="S",VTOTALBM,IF($A656=0,0,ROUND(SomaAgrupBM,15-13*ORÇAMENTO!$AF$11)))</f>
        <v>0</v>
      </c>
      <c r="N656" s="381">
        <f t="shared" ca="1" si="59"/>
        <v>0</v>
      </c>
      <c r="O656" s="127">
        <f ca="1">IF($A656="S",VTOTALBM,IF($A656=0,0,ROUND(SomaAgrupBM,15-13*ORÇAMENTO!$AF$11)))</f>
        <v>0</v>
      </c>
      <c r="Q656" s="382"/>
      <c r="R656" s="383"/>
      <c r="T656" s="119" t="str">
        <f t="shared" ca="1" si="60"/>
        <v/>
      </c>
      <c r="U656" s="172" t="str">
        <f t="shared" ca="1" si="61"/>
        <v/>
      </c>
      <c r="V656" s="173" t="str">
        <f ca="1">IF(AND($W656&gt;0,RegimeExecucao="Unitário"),$F656,"")</f>
        <v/>
      </c>
      <c r="W656" s="547">
        <f ca="1">IF($Y656&gt;0,CHOOSE(MATCH(RegimeExecucao,{"Unitário","Global"},0),IF($A656="S",$Y656/$X656,""),($Y656/$X656)*100),0)</f>
        <v>0</v>
      </c>
      <c r="X656" s="384" t="str">
        <f ca="1">IF($Y656&gt;0,CHOOSE(MATCH(RegimeExecucao,{"Unitário","Global"},0),IF($A656="S",ROUND($H656,ORÇAMENTO!$AF$10),""),ROUND($I656,ORÇAMENTO!$AF$11)),"")</f>
        <v/>
      </c>
      <c r="Y656" s="384">
        <f t="shared" ca="1" si="62"/>
        <v>0</v>
      </c>
      <c r="Z656" s="572"/>
      <c r="AB656" s="382"/>
      <c r="AC656" s="516"/>
      <c r="AD656" s="516"/>
      <c r="AE656" s="516"/>
      <c r="AF656" s="516"/>
      <c r="AG656" s="516"/>
      <c r="AH656" s="516"/>
      <c r="AI656" s="516"/>
      <c r="AJ656" s="516"/>
      <c r="AK656" s="516"/>
      <c r="AL656" s="516"/>
      <c r="AM656" s="383"/>
      <c r="AO656">
        <f ca="1">IF($A656="S",IF(BM!$I656=0,0,CHOOSE(MATCH(RegimeExecucao,{"Global","Unitário"},0),ROUND(ROUND(BM.MEDAcumulado,15-13*BM!$A$9)/100*BM!$I656,15-13*ORÇAMENTO!$AF$11),ROUND(ROUND(BM.MEDAcumulado,15-13*BM!$A$9)*ROUND(BM!$H656,15-13*ORÇAMENTO!$AF$10),15-13*ORÇAMENTO!$AF$11))),IF($A656=0,0,ROUND(SomaAgrupBM,15-13*ORÇAMENTO!$AF$11)))</f>
        <v>0</v>
      </c>
    </row>
    <row r="657" spans="1:41" ht="51" x14ac:dyDescent="0.2">
      <c r="A657" t="str">
        <f ca="1">ORÇAMENTO!C657</f>
        <v>S</v>
      </c>
      <c r="B657">
        <f ca="1">ORÇAMENTO!D657</f>
        <v>0</v>
      </c>
      <c r="C657" s="116" t="str">
        <f t="shared" ca="1" si="56"/>
        <v/>
      </c>
      <c r="D657" s="119" t="str">
        <f ca="1">ORÇAMENTO!O657</f>
        <v>-</v>
      </c>
      <c r="E657" s="172" t="str">
        <f t="shared" ca="1" si="64"/>
        <v>(abra o arquivo 'Referência 02-2025.xlsm)</v>
      </c>
      <c r="F657" s="173" t="str">
        <f ca="1">IF(RegimeExecucao="Global","",ORÇAMENTO.Unidade)</f>
        <v>-</v>
      </c>
      <c r="G657" s="124">
        <f ca="1">IF(RegimeExecucao="Global","",ORÇAMENTO!T657)</f>
        <v>16.899999999999999</v>
      </c>
      <c r="H657" s="124">
        <f ca="1">IF(RegimeExecucao="Global","",ORÇAMENTO!W657)</f>
        <v>0</v>
      </c>
      <c r="I657" s="127">
        <f ca="1">ORÇAMENTO!X657</f>
        <v>0</v>
      </c>
      <c r="J657" s="378">
        <f ca="1">IF($A657="S",IF(CAIXA.Modo,BM.AFAnterior,BM.MEDAnterior),IF(AND(RegimeExecucao="Global",$I657&gt;0,COUNTIF($AB$13:$AM$13,BM.medicao-1)&gt;0),M657/$I657*100,0))</f>
        <v>0</v>
      </c>
      <c r="K657" s="124">
        <f t="shared" ca="1" si="58"/>
        <v>0</v>
      </c>
      <c r="L657" s="379">
        <f ca="1">IF($A657="S",IF(CAIXA.Modo,BM.AFAcumulado,BM.MEDAcumulado),IF(AND(RegimeExecucao="Global",$I657&gt;0,COUNTIF($AB$13:$AM$13,BM.medicao)&gt;0),O657/$I657*100,0))</f>
        <v>0</v>
      </c>
      <c r="M657" s="380">
        <f ca="1">IF($A657="S",VTOTALBM,IF($A657=0,0,ROUND(SomaAgrupBM,15-13*ORÇAMENTO!$AF$11)))</f>
        <v>0</v>
      </c>
      <c r="N657" s="381">
        <f t="shared" ca="1" si="59"/>
        <v>0</v>
      </c>
      <c r="O657" s="127">
        <f ca="1">IF($A657="S",VTOTALBM,IF($A657=0,0,ROUND(SomaAgrupBM,15-13*ORÇAMENTO!$AF$11)))</f>
        <v>0</v>
      </c>
      <c r="Q657" s="382"/>
      <c r="R657" s="383"/>
      <c r="T657" s="119" t="str">
        <f t="shared" ca="1" si="60"/>
        <v/>
      </c>
      <c r="U657" s="172" t="str">
        <f t="shared" ca="1" si="61"/>
        <v/>
      </c>
      <c r="V657" s="173" t="str">
        <f ca="1">IF(AND($W657&gt;0,RegimeExecucao="Unitário"),$F657,"")</f>
        <v/>
      </c>
      <c r="W657" s="547">
        <f ca="1">IF($Y657&gt;0,CHOOSE(MATCH(RegimeExecucao,{"Unitário","Global"},0),IF($A657="S",$Y657/$X657,""),($Y657/$X657)*100),0)</f>
        <v>0</v>
      </c>
      <c r="X657" s="384" t="str">
        <f ca="1">IF($Y657&gt;0,CHOOSE(MATCH(RegimeExecucao,{"Unitário","Global"},0),IF($A657="S",ROUND($H657,ORÇAMENTO!$AF$10),""),ROUND($I657,ORÇAMENTO!$AF$11)),"")</f>
        <v/>
      </c>
      <c r="Y657" s="384">
        <f t="shared" ca="1" si="62"/>
        <v>0</v>
      </c>
      <c r="Z657" s="572"/>
      <c r="AB657" s="382"/>
      <c r="AC657" s="516"/>
      <c r="AD657" s="516"/>
      <c r="AE657" s="516"/>
      <c r="AF657" s="516"/>
      <c r="AG657" s="516"/>
      <c r="AH657" s="516"/>
      <c r="AI657" s="516"/>
      <c r="AJ657" s="516"/>
      <c r="AK657" s="516"/>
      <c r="AL657" s="516"/>
      <c r="AM657" s="383"/>
      <c r="AO657">
        <f ca="1">IF($A657="S",IF(BM!$I657=0,0,CHOOSE(MATCH(RegimeExecucao,{"Global","Unitário"},0),ROUND(ROUND(BM.MEDAcumulado,15-13*BM!$A$9)/100*BM!$I657,15-13*ORÇAMENTO!$AF$11),ROUND(ROUND(BM.MEDAcumulado,15-13*BM!$A$9)*ROUND(BM!$H657,15-13*ORÇAMENTO!$AF$10),15-13*ORÇAMENTO!$AF$11))),IF($A657=0,0,ROUND(SomaAgrupBM,15-13*ORÇAMENTO!$AF$11)))</f>
        <v>0</v>
      </c>
    </row>
    <row r="658" spans="1:41" ht="51" x14ac:dyDescent="0.2">
      <c r="A658" t="str">
        <f ca="1">ORÇAMENTO!C658</f>
        <v>S</v>
      </c>
      <c r="B658">
        <f ca="1">ORÇAMENTO!D658</f>
        <v>0</v>
      </c>
      <c r="C658" s="116" t="str">
        <f t="shared" ca="1" si="56"/>
        <v/>
      </c>
      <c r="D658" s="119" t="str">
        <f ca="1">ORÇAMENTO!O658</f>
        <v>-</v>
      </c>
      <c r="E658" s="172" t="str">
        <f t="shared" ca="1" si="64"/>
        <v>(abra o arquivo 'Referência 02-2025.xlsm)</v>
      </c>
      <c r="F658" s="173" t="str">
        <f ca="1">IF(RegimeExecucao="Global","",ORÇAMENTO.Unidade)</f>
        <v>-</v>
      </c>
      <c r="G658" s="124">
        <f ca="1">IF(RegimeExecucao="Global","",ORÇAMENTO!T658)</f>
        <v>154.9</v>
      </c>
      <c r="H658" s="124">
        <f ca="1">IF(RegimeExecucao="Global","",ORÇAMENTO!W658)</f>
        <v>0</v>
      </c>
      <c r="I658" s="127">
        <f ca="1">ORÇAMENTO!X658</f>
        <v>0</v>
      </c>
      <c r="J658" s="378">
        <f ca="1">IF($A658="S",IF(CAIXA.Modo,BM.AFAnterior,BM.MEDAnterior),IF(AND(RegimeExecucao="Global",$I658&gt;0,COUNTIF($AB$13:$AM$13,BM.medicao-1)&gt;0),M658/$I658*100,0))</f>
        <v>0</v>
      </c>
      <c r="K658" s="124">
        <f t="shared" ca="1" si="58"/>
        <v>0</v>
      </c>
      <c r="L658" s="379">
        <f ca="1">IF($A658="S",IF(CAIXA.Modo,BM.AFAcumulado,BM.MEDAcumulado),IF(AND(RegimeExecucao="Global",$I658&gt;0,COUNTIF($AB$13:$AM$13,BM.medicao)&gt;0),O658/$I658*100,0))</f>
        <v>0</v>
      </c>
      <c r="M658" s="380">
        <f ca="1">IF($A658="S",VTOTALBM,IF($A658=0,0,ROUND(SomaAgrupBM,15-13*ORÇAMENTO!$AF$11)))</f>
        <v>0</v>
      </c>
      <c r="N658" s="381">
        <f t="shared" ca="1" si="59"/>
        <v>0</v>
      </c>
      <c r="O658" s="127">
        <f ca="1">IF($A658="S",VTOTALBM,IF($A658=0,0,ROUND(SomaAgrupBM,15-13*ORÇAMENTO!$AF$11)))</f>
        <v>0</v>
      </c>
      <c r="Q658" s="382"/>
      <c r="R658" s="383"/>
      <c r="T658" s="119" t="str">
        <f t="shared" ca="1" si="60"/>
        <v/>
      </c>
      <c r="U658" s="172" t="str">
        <f t="shared" ca="1" si="61"/>
        <v/>
      </c>
      <c r="V658" s="173" t="str">
        <f ca="1">IF(AND($W658&gt;0,RegimeExecucao="Unitário"),$F658,"")</f>
        <v/>
      </c>
      <c r="W658" s="547">
        <f ca="1">IF($Y658&gt;0,CHOOSE(MATCH(RegimeExecucao,{"Unitário","Global"},0),IF($A658="S",$Y658/$X658,""),($Y658/$X658)*100),0)</f>
        <v>0</v>
      </c>
      <c r="X658" s="384" t="str">
        <f ca="1">IF($Y658&gt;0,CHOOSE(MATCH(RegimeExecucao,{"Unitário","Global"},0),IF($A658="S",ROUND($H658,ORÇAMENTO!$AF$10),""),ROUND($I658,ORÇAMENTO!$AF$11)),"")</f>
        <v/>
      </c>
      <c r="Y658" s="384">
        <f t="shared" ca="1" si="62"/>
        <v>0</v>
      </c>
      <c r="Z658" s="572"/>
      <c r="AB658" s="382"/>
      <c r="AC658" s="516"/>
      <c r="AD658" s="516"/>
      <c r="AE658" s="516"/>
      <c r="AF658" s="516"/>
      <c r="AG658" s="516"/>
      <c r="AH658" s="516"/>
      <c r="AI658" s="516"/>
      <c r="AJ658" s="516"/>
      <c r="AK658" s="516"/>
      <c r="AL658" s="516"/>
      <c r="AM658" s="383"/>
      <c r="AO658">
        <f ca="1">IF($A658="S",IF(BM!$I658=0,0,CHOOSE(MATCH(RegimeExecucao,{"Global","Unitário"},0),ROUND(ROUND(BM.MEDAcumulado,15-13*BM!$A$9)/100*BM!$I658,15-13*ORÇAMENTO!$AF$11),ROUND(ROUND(BM.MEDAcumulado,15-13*BM!$A$9)*ROUND(BM!$H658,15-13*ORÇAMENTO!$AF$10),15-13*ORÇAMENTO!$AF$11))),IF($A658=0,0,ROUND(SomaAgrupBM,15-13*ORÇAMENTO!$AF$11)))</f>
        <v>0</v>
      </c>
    </row>
    <row r="659" spans="1:41" ht="38.25" x14ac:dyDescent="0.2">
      <c r="A659" t="str">
        <f ca="1">ORÇAMENTO!C659</f>
        <v>S</v>
      </c>
      <c r="B659">
        <f ca="1">ORÇAMENTO!D659</f>
        <v>0</v>
      </c>
      <c r="C659" s="116" t="str">
        <f t="shared" ca="1" si="56"/>
        <v/>
      </c>
      <c r="D659" s="119" t="str">
        <f ca="1">ORÇAMENTO!O659</f>
        <v>-</v>
      </c>
      <c r="E659" s="172" t="str">
        <f t="shared" ca="1" si="64"/>
        <v>(abra o arquivo 'Referência 02-2025.xlsm)</v>
      </c>
      <c r="F659" s="173" t="str">
        <f ca="1">IF(RegimeExecucao="Global","",ORÇAMENTO.Unidade)</f>
        <v>-</v>
      </c>
      <c r="G659" s="124">
        <f ca="1">IF(RegimeExecucao="Global","",ORÇAMENTO!T659)</f>
        <v>138</v>
      </c>
      <c r="H659" s="124">
        <f ca="1">IF(RegimeExecucao="Global","",ORÇAMENTO!W659)</f>
        <v>0</v>
      </c>
      <c r="I659" s="127">
        <f ca="1">ORÇAMENTO!X659</f>
        <v>0</v>
      </c>
      <c r="J659" s="378">
        <f ca="1">IF($A659="S",IF(CAIXA.Modo,BM.AFAnterior,BM.MEDAnterior),IF(AND(RegimeExecucao="Global",$I659&gt;0,COUNTIF($AB$13:$AM$13,BM.medicao-1)&gt;0),M659/$I659*100,0))</f>
        <v>0</v>
      </c>
      <c r="K659" s="124">
        <f t="shared" ca="1" si="58"/>
        <v>0</v>
      </c>
      <c r="L659" s="379">
        <f ca="1">IF($A659="S",IF(CAIXA.Modo,BM.AFAcumulado,BM.MEDAcumulado),IF(AND(RegimeExecucao="Global",$I659&gt;0,COUNTIF($AB$13:$AM$13,BM.medicao)&gt;0),O659/$I659*100,0))</f>
        <v>0</v>
      </c>
      <c r="M659" s="380">
        <f ca="1">IF($A659="S",VTOTALBM,IF($A659=0,0,ROUND(SomaAgrupBM,15-13*ORÇAMENTO!$AF$11)))</f>
        <v>0</v>
      </c>
      <c r="N659" s="381">
        <f t="shared" ca="1" si="59"/>
        <v>0</v>
      </c>
      <c r="O659" s="127">
        <f ca="1">IF($A659="S",VTOTALBM,IF($A659=0,0,ROUND(SomaAgrupBM,15-13*ORÇAMENTO!$AF$11)))</f>
        <v>0</v>
      </c>
      <c r="Q659" s="382"/>
      <c r="R659" s="383"/>
      <c r="T659" s="119" t="str">
        <f t="shared" ca="1" si="60"/>
        <v/>
      </c>
      <c r="U659" s="172" t="str">
        <f t="shared" ca="1" si="61"/>
        <v/>
      </c>
      <c r="V659" s="173" t="str">
        <f ca="1">IF(AND($W659&gt;0,RegimeExecucao="Unitário"),$F659,"")</f>
        <v/>
      </c>
      <c r="W659" s="547">
        <f ca="1">IF($Y659&gt;0,CHOOSE(MATCH(RegimeExecucao,{"Unitário","Global"},0),IF($A659="S",$Y659/$X659,""),($Y659/$X659)*100),0)</f>
        <v>0</v>
      </c>
      <c r="X659" s="384" t="str">
        <f ca="1">IF($Y659&gt;0,CHOOSE(MATCH(RegimeExecucao,{"Unitário","Global"},0),IF($A659="S",ROUND($H659,ORÇAMENTO!$AF$10),""),ROUND($I659,ORÇAMENTO!$AF$11)),"")</f>
        <v/>
      </c>
      <c r="Y659" s="384">
        <f t="shared" ca="1" si="62"/>
        <v>0</v>
      </c>
      <c r="Z659" s="572"/>
      <c r="AB659" s="382"/>
      <c r="AC659" s="516"/>
      <c r="AD659" s="516"/>
      <c r="AE659" s="516"/>
      <c r="AF659" s="516"/>
      <c r="AG659" s="516"/>
      <c r="AH659" s="516"/>
      <c r="AI659" s="516"/>
      <c r="AJ659" s="516"/>
      <c r="AK659" s="516"/>
      <c r="AL659" s="516"/>
      <c r="AM659" s="383"/>
      <c r="AO659">
        <f ca="1">IF($A659="S",IF(BM!$I659=0,0,CHOOSE(MATCH(RegimeExecucao,{"Global","Unitário"},0),ROUND(ROUND(BM.MEDAcumulado,15-13*BM!$A$9)/100*BM!$I659,15-13*ORÇAMENTO!$AF$11),ROUND(ROUND(BM.MEDAcumulado,15-13*BM!$A$9)*ROUND(BM!$H659,15-13*ORÇAMENTO!$AF$10),15-13*ORÇAMENTO!$AF$11))),IF($A659=0,0,ROUND(SomaAgrupBM,15-13*ORÇAMENTO!$AF$11)))</f>
        <v>0</v>
      </c>
    </row>
    <row r="660" spans="1:41" x14ac:dyDescent="0.2">
      <c r="A660">
        <f ca="1">ORÇAMENTO!C660</f>
        <v>3</v>
      </c>
      <c r="B660">
        <f ca="1">ORÇAMENTO!D660</f>
        <v>5</v>
      </c>
      <c r="C660" s="116" t="str">
        <f t="shared" ca="1" si="56"/>
        <v>F</v>
      </c>
      <c r="D660" s="119" t="str">
        <f ca="1">ORÇAMENTO!O660</f>
        <v>1.20.2.</v>
      </c>
      <c r="E660" s="172" t="str">
        <f t="shared" si="64"/>
        <v>DRENO</v>
      </c>
      <c r="F660" s="173" t="str">
        <f ca="1">IF(RegimeExecucao="Global","",ORÇAMENTO.Unidade)</f>
        <v>-</v>
      </c>
      <c r="G660" s="124">
        <f ca="1">IF(RegimeExecucao="Global","",ORÇAMENTO!T660)</f>
        <v>0</v>
      </c>
      <c r="H660" s="124">
        <f ca="1">IF(RegimeExecucao="Global","",ORÇAMENTO!W660)</f>
        <v>0</v>
      </c>
      <c r="I660" s="127">
        <f ca="1">ORÇAMENTO!X660</f>
        <v>0</v>
      </c>
      <c r="J660" s="378">
        <f ca="1">IF($A660="S",IF(CAIXA.Modo,BM.AFAnterior,BM.MEDAnterior),IF(AND(RegimeExecucao="Global",$I660&gt;0,COUNTIF($AB$13:$AM$13,BM.medicao-1)&gt;0),M660/$I660*100,0))</f>
        <v>0</v>
      </c>
      <c r="K660" s="124">
        <f t="shared" ca="1" si="58"/>
        <v>0</v>
      </c>
      <c r="L660" s="379">
        <f ca="1">IF($A660="S",IF(CAIXA.Modo,BM.AFAcumulado,BM.MEDAcumulado),IF(AND(RegimeExecucao="Global",$I660&gt;0,COUNTIF($AB$13:$AM$13,BM.medicao)&gt;0),O660/$I660*100,0))</f>
        <v>0</v>
      </c>
      <c r="M660" s="380">
        <f ca="1">IF($A660="S",VTOTALBM,IF($A660=0,0,ROUND(SomaAgrupBM,15-13*ORÇAMENTO!$AF$11)))</f>
        <v>0</v>
      </c>
      <c r="N660" s="381">
        <f t="shared" ca="1" si="59"/>
        <v>0</v>
      </c>
      <c r="O660" s="127">
        <f ca="1">IF($A660="S",VTOTALBM,IF($A660=0,0,ROUND(SomaAgrupBM,15-13*ORÇAMENTO!$AF$11)))</f>
        <v>0</v>
      </c>
      <c r="Q660" s="382"/>
      <c r="R660" s="383"/>
      <c r="T660" s="119" t="str">
        <f t="shared" ca="1" si="60"/>
        <v/>
      </c>
      <c r="U660" s="172" t="str">
        <f t="shared" ca="1" si="61"/>
        <v/>
      </c>
      <c r="V660" s="173" t="str">
        <f ca="1">IF(AND($W660&gt;0,RegimeExecucao="Unitário"),$F660,"")</f>
        <v/>
      </c>
      <c r="W660" s="547">
        <f ca="1">IF($Y660&gt;0,CHOOSE(MATCH(RegimeExecucao,{"Unitário","Global"},0),IF($A660="S",$Y660/$X660,""),($Y660/$X660)*100),0)</f>
        <v>0</v>
      </c>
      <c r="X660" s="384" t="str">
        <f ca="1">IF($Y660&gt;0,CHOOSE(MATCH(RegimeExecucao,{"Unitário","Global"},0),IF($A660="S",ROUND($H660,ORÇAMENTO!$AF$10),""),ROUND($I660,ORÇAMENTO!$AF$11)),"")</f>
        <v/>
      </c>
      <c r="Y660" s="384">
        <f t="shared" ca="1" si="62"/>
        <v>0</v>
      </c>
      <c r="Z660" s="572"/>
      <c r="AB660" s="382"/>
      <c r="AC660" s="516"/>
      <c r="AD660" s="516"/>
      <c r="AE660" s="516"/>
      <c r="AF660" s="516"/>
      <c r="AG660" s="516"/>
      <c r="AH660" s="516"/>
      <c r="AI660" s="516"/>
      <c r="AJ660" s="516"/>
      <c r="AK660" s="516"/>
      <c r="AL660" s="516"/>
      <c r="AM660" s="383"/>
      <c r="AO660">
        <f ca="1">IF($A660="S",IF(BM!$I660=0,0,CHOOSE(MATCH(RegimeExecucao,{"Global","Unitário"},0),ROUND(ROUND(BM.MEDAcumulado,15-13*BM!$A$9)/100*BM!$I660,15-13*ORÇAMENTO!$AF$11),ROUND(ROUND(BM.MEDAcumulado,15-13*BM!$A$9)*ROUND(BM!$H660,15-13*ORÇAMENTO!$AF$10),15-13*ORÇAMENTO!$AF$11))),IF($A660=0,0,ROUND(SomaAgrupBM,15-13*ORÇAMENTO!$AF$11)))</f>
        <v>0</v>
      </c>
    </row>
    <row r="661" spans="1:41" ht="38.25" x14ac:dyDescent="0.2">
      <c r="A661" t="str">
        <f ca="1">ORÇAMENTO!C661</f>
        <v>S</v>
      </c>
      <c r="B661">
        <f ca="1">ORÇAMENTO!D661</f>
        <v>0</v>
      </c>
      <c r="C661" s="116" t="str">
        <f t="shared" ca="1" si="56"/>
        <v/>
      </c>
      <c r="D661" s="119" t="str">
        <f ca="1">ORÇAMENTO!O661</f>
        <v>-</v>
      </c>
      <c r="E661" s="172" t="str">
        <f t="shared" ca="1" si="64"/>
        <v>(abra o arquivo 'Referência 02-2025.xlsm)</v>
      </c>
      <c r="F661" s="173" t="str">
        <f ca="1">IF(RegimeExecucao="Global","",ORÇAMENTO.Unidade)</f>
        <v>-</v>
      </c>
      <c r="G661" s="124">
        <f ca="1">IF(RegimeExecucao="Global","",ORÇAMENTO!T661)</f>
        <v>128.80000000000001</v>
      </c>
      <c r="H661" s="124">
        <f ca="1">IF(RegimeExecucao="Global","",ORÇAMENTO!W661)</f>
        <v>0</v>
      </c>
      <c r="I661" s="127">
        <f ca="1">ORÇAMENTO!X661</f>
        <v>0</v>
      </c>
      <c r="J661" s="378">
        <f ca="1">IF($A661="S",IF(CAIXA.Modo,BM.AFAnterior,BM.MEDAnterior),IF(AND(RegimeExecucao="Global",$I661&gt;0,COUNTIF($AB$13:$AM$13,BM.medicao-1)&gt;0),M661/$I661*100,0))</f>
        <v>0</v>
      </c>
      <c r="K661" s="124">
        <f t="shared" ca="1" si="58"/>
        <v>0</v>
      </c>
      <c r="L661" s="379">
        <f ca="1">IF($A661="S",IF(CAIXA.Modo,BM.AFAcumulado,BM.MEDAcumulado),IF(AND(RegimeExecucao="Global",$I661&gt;0,COUNTIF($AB$13:$AM$13,BM.medicao)&gt;0),O661/$I661*100,0))</f>
        <v>0</v>
      </c>
      <c r="M661" s="380">
        <f ca="1">IF($A661="S",VTOTALBM,IF($A661=0,0,ROUND(SomaAgrupBM,15-13*ORÇAMENTO!$AF$11)))</f>
        <v>0</v>
      </c>
      <c r="N661" s="381">
        <f t="shared" ca="1" si="59"/>
        <v>0</v>
      </c>
      <c r="O661" s="127">
        <f ca="1">IF($A661="S",VTOTALBM,IF($A661=0,0,ROUND(SomaAgrupBM,15-13*ORÇAMENTO!$AF$11)))</f>
        <v>0</v>
      </c>
      <c r="Q661" s="382"/>
      <c r="R661" s="383"/>
      <c r="T661" s="119" t="str">
        <f t="shared" ca="1" si="60"/>
        <v/>
      </c>
      <c r="U661" s="172" t="str">
        <f t="shared" ca="1" si="61"/>
        <v/>
      </c>
      <c r="V661" s="173" t="str">
        <f ca="1">IF(AND($W661&gt;0,RegimeExecucao="Unitário"),$F661,"")</f>
        <v/>
      </c>
      <c r="W661" s="547">
        <f ca="1">IF($Y661&gt;0,CHOOSE(MATCH(RegimeExecucao,{"Unitário","Global"},0),IF($A661="S",$Y661/$X661,""),($Y661/$X661)*100),0)</f>
        <v>0</v>
      </c>
      <c r="X661" s="384" t="str">
        <f ca="1">IF($Y661&gt;0,CHOOSE(MATCH(RegimeExecucao,{"Unitário","Global"},0),IF($A661="S",ROUND($H661,ORÇAMENTO!$AF$10),""),ROUND($I661,ORÇAMENTO!$AF$11)),"")</f>
        <v/>
      </c>
      <c r="Y661" s="384">
        <f t="shared" ca="1" si="62"/>
        <v>0</v>
      </c>
      <c r="Z661" s="572"/>
      <c r="AB661" s="382"/>
      <c r="AC661" s="516"/>
      <c r="AD661" s="516"/>
      <c r="AE661" s="516"/>
      <c r="AF661" s="516"/>
      <c r="AG661" s="516"/>
      <c r="AH661" s="516"/>
      <c r="AI661" s="516"/>
      <c r="AJ661" s="516"/>
      <c r="AK661" s="516"/>
      <c r="AL661" s="516"/>
      <c r="AM661" s="383"/>
      <c r="AO661">
        <f ca="1">IF($A661="S",IF(BM!$I661=0,0,CHOOSE(MATCH(RegimeExecucao,{"Global","Unitário"},0),ROUND(ROUND(BM.MEDAcumulado,15-13*BM!$A$9)/100*BM!$I661,15-13*ORÇAMENTO!$AF$11),ROUND(ROUND(BM.MEDAcumulado,15-13*BM!$A$9)*ROUND(BM!$H661,15-13*ORÇAMENTO!$AF$10),15-13*ORÇAMENTO!$AF$11))),IF($A661=0,0,ROUND(SomaAgrupBM,15-13*ORÇAMENTO!$AF$11)))</f>
        <v>0</v>
      </c>
    </row>
    <row r="662" spans="1:41" ht="38.25" x14ac:dyDescent="0.2">
      <c r="A662" t="str">
        <f ca="1">ORÇAMENTO!C662</f>
        <v>S</v>
      </c>
      <c r="B662">
        <f ca="1">ORÇAMENTO!D662</f>
        <v>0</v>
      </c>
      <c r="C662" s="116" t="str">
        <f t="shared" ca="1" si="56"/>
        <v/>
      </c>
      <c r="D662" s="119" t="str">
        <f ca="1">ORÇAMENTO!O662</f>
        <v>-</v>
      </c>
      <c r="E662" s="172" t="str">
        <f t="shared" ca="1" si="64"/>
        <v>(abra o arquivo 'Referência 02-2025.xlsm)</v>
      </c>
      <c r="F662" s="173" t="str">
        <f ca="1">IF(RegimeExecucao="Global","",ORÇAMENTO.Unidade)</f>
        <v>-</v>
      </c>
      <c r="G662" s="124">
        <f ca="1">IF(RegimeExecucao="Global","",ORÇAMENTO!T662)</f>
        <v>24</v>
      </c>
      <c r="H662" s="124">
        <f ca="1">IF(RegimeExecucao="Global","",ORÇAMENTO!W662)</f>
        <v>0</v>
      </c>
      <c r="I662" s="127">
        <f ca="1">ORÇAMENTO!X662</f>
        <v>0</v>
      </c>
      <c r="J662" s="378">
        <f ca="1">IF($A662="S",IF(CAIXA.Modo,BM.AFAnterior,BM.MEDAnterior),IF(AND(RegimeExecucao="Global",$I662&gt;0,COUNTIF($AB$13:$AM$13,BM.medicao-1)&gt;0),M662/$I662*100,0))</f>
        <v>0</v>
      </c>
      <c r="K662" s="124">
        <f t="shared" ca="1" si="58"/>
        <v>0</v>
      </c>
      <c r="L662" s="379">
        <f ca="1">IF($A662="S",IF(CAIXA.Modo,BM.AFAcumulado,BM.MEDAcumulado),IF(AND(RegimeExecucao="Global",$I662&gt;0,COUNTIF($AB$13:$AM$13,BM.medicao)&gt;0),O662/$I662*100,0))</f>
        <v>0</v>
      </c>
      <c r="M662" s="380">
        <f ca="1">IF($A662="S",VTOTALBM,IF($A662=0,0,ROUND(SomaAgrupBM,15-13*ORÇAMENTO!$AF$11)))</f>
        <v>0</v>
      </c>
      <c r="N662" s="381">
        <f t="shared" ca="1" si="59"/>
        <v>0</v>
      </c>
      <c r="O662" s="127">
        <f ca="1">IF($A662="S",VTOTALBM,IF($A662=0,0,ROUND(SomaAgrupBM,15-13*ORÇAMENTO!$AF$11)))</f>
        <v>0</v>
      </c>
      <c r="Q662" s="382"/>
      <c r="R662" s="383"/>
      <c r="T662" s="119" t="str">
        <f t="shared" ca="1" si="60"/>
        <v/>
      </c>
      <c r="U662" s="172" t="str">
        <f t="shared" ca="1" si="61"/>
        <v/>
      </c>
      <c r="V662" s="173" t="str">
        <f ca="1">IF(AND($W662&gt;0,RegimeExecucao="Unitário"),$F662,"")</f>
        <v/>
      </c>
      <c r="W662" s="547">
        <f ca="1">IF($Y662&gt;0,CHOOSE(MATCH(RegimeExecucao,{"Unitário","Global"},0),IF($A662="S",$Y662/$X662,""),($Y662/$X662)*100),0)</f>
        <v>0</v>
      </c>
      <c r="X662" s="384" t="str">
        <f ca="1">IF($Y662&gt;0,CHOOSE(MATCH(RegimeExecucao,{"Unitário","Global"},0),IF($A662="S",ROUND($H662,ORÇAMENTO!$AF$10),""),ROUND($I662,ORÇAMENTO!$AF$11)),"")</f>
        <v/>
      </c>
      <c r="Y662" s="384">
        <f t="shared" ca="1" si="62"/>
        <v>0</v>
      </c>
      <c r="Z662" s="572"/>
      <c r="AB662" s="382"/>
      <c r="AC662" s="516"/>
      <c r="AD662" s="516"/>
      <c r="AE662" s="516"/>
      <c r="AF662" s="516"/>
      <c r="AG662" s="516"/>
      <c r="AH662" s="516"/>
      <c r="AI662" s="516"/>
      <c r="AJ662" s="516"/>
      <c r="AK662" s="516"/>
      <c r="AL662" s="516"/>
      <c r="AM662" s="383"/>
      <c r="AO662">
        <f ca="1">IF($A662="S",IF(BM!$I662=0,0,CHOOSE(MATCH(RegimeExecucao,{"Global","Unitário"},0),ROUND(ROUND(BM.MEDAcumulado,15-13*BM!$A$9)/100*BM!$I662,15-13*ORÇAMENTO!$AF$11),ROUND(ROUND(BM.MEDAcumulado,15-13*BM!$A$9)*ROUND(BM!$H662,15-13*ORÇAMENTO!$AF$10),15-13*ORÇAMENTO!$AF$11))),IF($A662=0,0,ROUND(SomaAgrupBM,15-13*ORÇAMENTO!$AF$11)))</f>
        <v>0</v>
      </c>
    </row>
    <row r="663" spans="1:41" ht="38.25" x14ac:dyDescent="0.2">
      <c r="A663" t="str">
        <f ca="1">ORÇAMENTO!C663</f>
        <v>S</v>
      </c>
      <c r="B663">
        <f ca="1">ORÇAMENTO!D663</f>
        <v>0</v>
      </c>
      <c r="C663" s="116" t="str">
        <f t="shared" ca="1" si="56"/>
        <v/>
      </c>
      <c r="D663" s="119" t="str">
        <f ca="1">ORÇAMENTO!O663</f>
        <v>-</v>
      </c>
      <c r="E663" s="172" t="str">
        <f t="shared" ca="1" si="64"/>
        <v>(abra o arquivo 'Referência 02-2025.xlsm)</v>
      </c>
      <c r="F663" s="173" t="str">
        <f ca="1">IF(RegimeExecucao="Global","",ORÇAMENTO.Unidade)</f>
        <v>-</v>
      </c>
      <c r="G663" s="124">
        <f ca="1">IF(RegimeExecucao="Global","",ORÇAMENTO!T663)</f>
        <v>19</v>
      </c>
      <c r="H663" s="124">
        <f ca="1">IF(RegimeExecucao="Global","",ORÇAMENTO!W663)</f>
        <v>0</v>
      </c>
      <c r="I663" s="127">
        <f ca="1">ORÇAMENTO!X663</f>
        <v>0</v>
      </c>
      <c r="J663" s="378">
        <f ca="1">IF($A663="S",IF(CAIXA.Modo,BM.AFAnterior,BM.MEDAnterior),IF(AND(RegimeExecucao="Global",$I663&gt;0,COUNTIF($AB$13:$AM$13,BM.medicao-1)&gt;0),M663/$I663*100,0))</f>
        <v>0</v>
      </c>
      <c r="K663" s="124">
        <f t="shared" ca="1" si="58"/>
        <v>0</v>
      </c>
      <c r="L663" s="379">
        <f ca="1">IF($A663="S",IF(CAIXA.Modo,BM.AFAcumulado,BM.MEDAcumulado),IF(AND(RegimeExecucao="Global",$I663&gt;0,COUNTIF($AB$13:$AM$13,BM.medicao)&gt;0),O663/$I663*100,0))</f>
        <v>0</v>
      </c>
      <c r="M663" s="380">
        <f ca="1">IF($A663="S",VTOTALBM,IF($A663=0,0,ROUND(SomaAgrupBM,15-13*ORÇAMENTO!$AF$11)))</f>
        <v>0</v>
      </c>
      <c r="N663" s="381">
        <f t="shared" ca="1" si="59"/>
        <v>0</v>
      </c>
      <c r="O663" s="127">
        <f ca="1">IF($A663="S",VTOTALBM,IF($A663=0,0,ROUND(SomaAgrupBM,15-13*ORÇAMENTO!$AF$11)))</f>
        <v>0</v>
      </c>
      <c r="Q663" s="382"/>
      <c r="R663" s="383"/>
      <c r="T663" s="119" t="str">
        <f t="shared" ca="1" si="60"/>
        <v/>
      </c>
      <c r="U663" s="172" t="str">
        <f t="shared" ca="1" si="61"/>
        <v/>
      </c>
      <c r="V663" s="173" t="str">
        <f ca="1">IF(AND($W663&gt;0,RegimeExecucao="Unitário"),$F663,"")</f>
        <v/>
      </c>
      <c r="W663" s="547">
        <f ca="1">IF($Y663&gt;0,CHOOSE(MATCH(RegimeExecucao,{"Unitário","Global"},0),IF($A663="S",$Y663/$X663,""),($Y663/$X663)*100),0)</f>
        <v>0</v>
      </c>
      <c r="X663" s="384" t="str">
        <f ca="1">IF($Y663&gt;0,CHOOSE(MATCH(RegimeExecucao,{"Unitário","Global"},0),IF($A663="S",ROUND($H663,ORÇAMENTO!$AF$10),""),ROUND($I663,ORÇAMENTO!$AF$11)),"")</f>
        <v/>
      </c>
      <c r="Y663" s="384">
        <f t="shared" ca="1" si="62"/>
        <v>0</v>
      </c>
      <c r="Z663" s="572"/>
      <c r="AB663" s="382"/>
      <c r="AC663" s="516"/>
      <c r="AD663" s="516"/>
      <c r="AE663" s="516"/>
      <c r="AF663" s="516"/>
      <c r="AG663" s="516"/>
      <c r="AH663" s="516"/>
      <c r="AI663" s="516"/>
      <c r="AJ663" s="516"/>
      <c r="AK663" s="516"/>
      <c r="AL663" s="516"/>
      <c r="AM663" s="383"/>
      <c r="AO663">
        <f ca="1">IF($A663="S",IF(BM!$I663=0,0,CHOOSE(MATCH(RegimeExecucao,{"Global","Unitário"},0),ROUND(ROUND(BM.MEDAcumulado,15-13*BM!$A$9)/100*BM!$I663,15-13*ORÇAMENTO!$AF$11),ROUND(ROUND(BM.MEDAcumulado,15-13*BM!$A$9)*ROUND(BM!$H663,15-13*ORÇAMENTO!$AF$10),15-13*ORÇAMENTO!$AF$11))),IF($A663=0,0,ROUND(SomaAgrupBM,15-13*ORÇAMENTO!$AF$11)))</f>
        <v>0</v>
      </c>
    </row>
    <row r="664" spans="1:41" ht="38.25" x14ac:dyDescent="0.2">
      <c r="A664" t="str">
        <f ca="1">ORÇAMENTO!C664</f>
        <v>S</v>
      </c>
      <c r="B664">
        <f ca="1">ORÇAMENTO!D664</f>
        <v>0</v>
      </c>
      <c r="C664" s="116" t="str">
        <f t="shared" ca="1" si="56"/>
        <v/>
      </c>
      <c r="D664" s="119" t="str">
        <f ca="1">ORÇAMENTO!O664</f>
        <v>-</v>
      </c>
      <c r="E664" s="172" t="str">
        <f t="shared" ca="1" si="64"/>
        <v>(abra o arquivo 'Referência 02-2025.xlsm)</v>
      </c>
      <c r="F664" s="173" t="str">
        <f ca="1">IF(RegimeExecucao="Global","",ORÇAMENTO.Unidade)</f>
        <v>-</v>
      </c>
      <c r="G664" s="124">
        <f ca="1">IF(RegimeExecucao="Global","",ORÇAMENTO!T664)</f>
        <v>1</v>
      </c>
      <c r="H664" s="124">
        <f ca="1">IF(RegimeExecucao="Global","",ORÇAMENTO!W664)</f>
        <v>0</v>
      </c>
      <c r="I664" s="127">
        <f ca="1">ORÇAMENTO!X664</f>
        <v>0</v>
      </c>
      <c r="J664" s="378">
        <f ca="1">IF($A664="S",IF(CAIXA.Modo,BM.AFAnterior,BM.MEDAnterior),IF(AND(RegimeExecucao="Global",$I664&gt;0,COUNTIF($AB$13:$AM$13,BM.medicao-1)&gt;0),M664/$I664*100,0))</f>
        <v>0</v>
      </c>
      <c r="K664" s="124">
        <f t="shared" ca="1" si="58"/>
        <v>0</v>
      </c>
      <c r="L664" s="379">
        <f ca="1">IF($A664="S",IF(CAIXA.Modo,BM.AFAcumulado,BM.MEDAcumulado),IF(AND(RegimeExecucao="Global",$I664&gt;0,COUNTIF($AB$13:$AM$13,BM.medicao)&gt;0),O664/$I664*100,0))</f>
        <v>0</v>
      </c>
      <c r="M664" s="380">
        <f ca="1">IF($A664="S",VTOTALBM,IF($A664=0,0,ROUND(SomaAgrupBM,15-13*ORÇAMENTO!$AF$11)))</f>
        <v>0</v>
      </c>
      <c r="N664" s="381">
        <f t="shared" ca="1" si="59"/>
        <v>0</v>
      </c>
      <c r="O664" s="127">
        <f ca="1">IF($A664="S",VTOTALBM,IF($A664=0,0,ROUND(SomaAgrupBM,15-13*ORÇAMENTO!$AF$11)))</f>
        <v>0</v>
      </c>
      <c r="Q664" s="382"/>
      <c r="R664" s="383"/>
      <c r="T664" s="119" t="str">
        <f t="shared" ca="1" si="60"/>
        <v/>
      </c>
      <c r="U664" s="172" t="str">
        <f t="shared" ca="1" si="61"/>
        <v/>
      </c>
      <c r="V664" s="173" t="str">
        <f ca="1">IF(AND($W664&gt;0,RegimeExecucao="Unitário"),$F664,"")</f>
        <v/>
      </c>
      <c r="W664" s="547">
        <f ca="1">IF($Y664&gt;0,CHOOSE(MATCH(RegimeExecucao,{"Unitário","Global"},0),IF($A664="S",$Y664/$X664,""),($Y664/$X664)*100),0)</f>
        <v>0</v>
      </c>
      <c r="X664" s="384" t="str">
        <f ca="1">IF($Y664&gt;0,CHOOSE(MATCH(RegimeExecucao,{"Unitário","Global"},0),IF($A664="S",ROUND($H664,ORÇAMENTO!$AF$10),""),ROUND($I664,ORÇAMENTO!$AF$11)),"")</f>
        <v/>
      </c>
      <c r="Y664" s="384">
        <f t="shared" ca="1" si="62"/>
        <v>0</v>
      </c>
      <c r="Z664" s="572"/>
      <c r="AB664" s="382"/>
      <c r="AC664" s="516"/>
      <c r="AD664" s="516"/>
      <c r="AE664" s="516"/>
      <c r="AF664" s="516"/>
      <c r="AG664" s="516"/>
      <c r="AH664" s="516"/>
      <c r="AI664" s="516"/>
      <c r="AJ664" s="516"/>
      <c r="AK664" s="516"/>
      <c r="AL664" s="516"/>
      <c r="AM664" s="383"/>
      <c r="AO664">
        <f ca="1">IF($A664="S",IF(BM!$I664=0,0,CHOOSE(MATCH(RegimeExecucao,{"Global","Unitário"},0),ROUND(ROUND(BM.MEDAcumulado,15-13*BM!$A$9)/100*BM!$I664,15-13*ORÇAMENTO!$AF$11),ROUND(ROUND(BM.MEDAcumulado,15-13*BM!$A$9)*ROUND(BM!$H664,15-13*ORÇAMENTO!$AF$10),15-13*ORÇAMENTO!$AF$11))),IF($A664=0,0,ROUND(SomaAgrupBM,15-13*ORÇAMENTO!$AF$11)))</f>
        <v>0</v>
      </c>
    </row>
    <row r="665" spans="1:41" x14ac:dyDescent="0.2">
      <c r="A665">
        <f ca="1">ORÇAMENTO!C665</f>
        <v>2</v>
      </c>
      <c r="B665">
        <f ca="1">ORÇAMENTO!D665</f>
        <v>4</v>
      </c>
      <c r="C665" s="116" t="str">
        <f t="shared" ca="1" si="56"/>
        <v>F</v>
      </c>
      <c r="D665" s="119" t="str">
        <f ca="1">ORÇAMENTO!O665</f>
        <v>1.21.</v>
      </c>
      <c r="E665" s="172" t="str">
        <f t="shared" si="64"/>
        <v>INSTALAÇÕES DE EXAUSTÃO MECÂNICA</v>
      </c>
      <c r="F665" s="173" t="str">
        <f ca="1">IF(RegimeExecucao="Global","",ORÇAMENTO.Unidade)</f>
        <v>-</v>
      </c>
      <c r="G665" s="124">
        <f ca="1">IF(RegimeExecucao="Global","",ORÇAMENTO!T665)</f>
        <v>0</v>
      </c>
      <c r="H665" s="124">
        <f ca="1">IF(RegimeExecucao="Global","",ORÇAMENTO!W665)</f>
        <v>0</v>
      </c>
      <c r="I665" s="127">
        <f ca="1">ORÇAMENTO!X665</f>
        <v>0</v>
      </c>
      <c r="J665" s="378">
        <f ca="1">IF($A665="S",IF(CAIXA.Modo,BM.AFAnterior,BM.MEDAnterior),IF(AND(RegimeExecucao="Global",$I665&gt;0,COUNTIF($AB$13:$AM$13,BM.medicao-1)&gt;0),M665/$I665*100,0))</f>
        <v>0</v>
      </c>
      <c r="K665" s="124">
        <f t="shared" ca="1" si="58"/>
        <v>0</v>
      </c>
      <c r="L665" s="379">
        <f ca="1">IF($A665="S",IF(CAIXA.Modo,BM.AFAcumulado,BM.MEDAcumulado),IF(AND(RegimeExecucao="Global",$I665&gt;0,COUNTIF($AB$13:$AM$13,BM.medicao)&gt;0),O665/$I665*100,0))</f>
        <v>0</v>
      </c>
      <c r="M665" s="380">
        <f ca="1">IF($A665="S",VTOTALBM,IF($A665=0,0,ROUND(SomaAgrupBM,15-13*ORÇAMENTO!$AF$11)))</f>
        <v>0</v>
      </c>
      <c r="N665" s="381">
        <f t="shared" ca="1" si="59"/>
        <v>0</v>
      </c>
      <c r="O665" s="127">
        <f ca="1">IF($A665="S",VTOTALBM,IF($A665=0,0,ROUND(SomaAgrupBM,15-13*ORÇAMENTO!$AF$11)))</f>
        <v>0</v>
      </c>
      <c r="Q665" s="382"/>
      <c r="R665" s="383"/>
      <c r="T665" s="119" t="str">
        <f t="shared" ca="1" si="60"/>
        <v/>
      </c>
      <c r="U665" s="172" t="str">
        <f t="shared" ca="1" si="61"/>
        <v/>
      </c>
      <c r="V665" s="173" t="str">
        <f ca="1">IF(AND($W665&gt;0,RegimeExecucao="Unitário"),$F665,"")</f>
        <v/>
      </c>
      <c r="W665" s="547">
        <f ca="1">IF($Y665&gt;0,CHOOSE(MATCH(RegimeExecucao,{"Unitário","Global"},0),IF($A665="S",$Y665/$X665,""),($Y665/$X665)*100),0)</f>
        <v>0</v>
      </c>
      <c r="X665" s="384" t="str">
        <f ca="1">IF($Y665&gt;0,CHOOSE(MATCH(RegimeExecucao,{"Unitário","Global"},0),IF($A665="S",ROUND($H665,ORÇAMENTO!$AF$10),""),ROUND($I665,ORÇAMENTO!$AF$11)),"")</f>
        <v/>
      </c>
      <c r="Y665" s="384">
        <f t="shared" ca="1" si="62"/>
        <v>0</v>
      </c>
      <c r="Z665" s="572"/>
      <c r="AB665" s="382"/>
      <c r="AC665" s="516"/>
      <c r="AD665" s="516"/>
      <c r="AE665" s="516"/>
      <c r="AF665" s="516"/>
      <c r="AG665" s="516"/>
      <c r="AH665" s="516"/>
      <c r="AI665" s="516"/>
      <c r="AJ665" s="516"/>
      <c r="AK665" s="516"/>
      <c r="AL665" s="516"/>
      <c r="AM665" s="383"/>
      <c r="AO665">
        <f ca="1">IF($A665="S",IF(BM!$I665=0,0,CHOOSE(MATCH(RegimeExecucao,{"Global","Unitário"},0),ROUND(ROUND(BM.MEDAcumulado,15-13*BM!$A$9)/100*BM!$I665,15-13*ORÇAMENTO!$AF$11),ROUND(ROUND(BM.MEDAcumulado,15-13*BM!$A$9)*ROUND(BM!$H665,15-13*ORÇAMENTO!$AF$10),15-13*ORÇAMENTO!$AF$11))),IF($A665=0,0,ROUND(SomaAgrupBM,15-13*ORÇAMENTO!$AF$11)))</f>
        <v>0</v>
      </c>
    </row>
    <row r="666" spans="1:41" x14ac:dyDescent="0.2">
      <c r="A666" t="str">
        <f ca="1">ORÇAMENTO!C666</f>
        <v>S</v>
      </c>
      <c r="B666">
        <f ca="1">ORÇAMENTO!D666</f>
        <v>0</v>
      </c>
      <c r="C666" s="116" t="str">
        <f t="shared" ca="1" si="56"/>
        <v/>
      </c>
      <c r="D666" s="119" t="str">
        <f ca="1">ORÇAMENTO!O666</f>
        <v>-</v>
      </c>
      <c r="E666" s="172" t="str">
        <f t="shared" ca="1" si="64"/>
        <v>(abra o arquivo 'Referência 02-2025.xlsm)</v>
      </c>
      <c r="F666" s="173" t="str">
        <f ca="1">IF(RegimeExecucao="Global","",ORÇAMENTO.Unidade)</f>
        <v>-</v>
      </c>
      <c r="G666" s="124">
        <f ca="1">IF(RegimeExecucao="Global","",ORÇAMENTO!T666)</f>
        <v>4</v>
      </c>
      <c r="H666" s="124">
        <f ca="1">IF(RegimeExecucao="Global","",ORÇAMENTO!W666)</f>
        <v>0</v>
      </c>
      <c r="I666" s="127">
        <f ca="1">ORÇAMENTO!X666</f>
        <v>0</v>
      </c>
      <c r="J666" s="378">
        <f ca="1">IF($A666="S",IF(CAIXA.Modo,BM.AFAnterior,BM.MEDAnterior),IF(AND(RegimeExecucao="Global",$I666&gt;0,COUNTIF($AB$13:$AM$13,BM.medicao-1)&gt;0),M666/$I666*100,0))</f>
        <v>0</v>
      </c>
      <c r="K666" s="124">
        <f t="shared" ca="1" si="58"/>
        <v>0</v>
      </c>
      <c r="L666" s="379">
        <f ca="1">IF($A666="S",IF(CAIXA.Modo,BM.AFAcumulado,BM.MEDAcumulado),IF(AND(RegimeExecucao="Global",$I666&gt;0,COUNTIF($AB$13:$AM$13,BM.medicao)&gt;0),O666/$I666*100,0))</f>
        <v>0</v>
      </c>
      <c r="M666" s="380">
        <f ca="1">IF($A666="S",VTOTALBM,IF($A666=0,0,ROUND(SomaAgrupBM,15-13*ORÇAMENTO!$AF$11)))</f>
        <v>0</v>
      </c>
      <c r="N666" s="381">
        <f t="shared" ca="1" si="59"/>
        <v>0</v>
      </c>
      <c r="O666" s="127">
        <f ca="1">IF($A666="S",VTOTALBM,IF($A666=0,0,ROUND(SomaAgrupBM,15-13*ORÇAMENTO!$AF$11)))</f>
        <v>0</v>
      </c>
      <c r="Q666" s="382"/>
      <c r="R666" s="383"/>
      <c r="T666" s="119" t="str">
        <f t="shared" ca="1" si="60"/>
        <v/>
      </c>
      <c r="U666" s="172" t="str">
        <f t="shared" ca="1" si="61"/>
        <v/>
      </c>
      <c r="V666" s="173" t="str">
        <f ca="1">IF(AND($W666&gt;0,RegimeExecucao="Unitário"),$F666,"")</f>
        <v/>
      </c>
      <c r="W666" s="547">
        <f ca="1">IF($Y666&gt;0,CHOOSE(MATCH(RegimeExecucao,{"Unitário","Global"},0),IF($A666="S",$Y666/$X666,""),($Y666/$X666)*100),0)</f>
        <v>0</v>
      </c>
      <c r="X666" s="384" t="str">
        <f ca="1">IF($Y666&gt;0,CHOOSE(MATCH(RegimeExecucao,{"Unitário","Global"},0),IF($A666="S",ROUND($H666,ORÇAMENTO!$AF$10),""),ROUND($I666,ORÇAMENTO!$AF$11)),"")</f>
        <v/>
      </c>
      <c r="Y666" s="384">
        <f t="shared" ca="1" si="62"/>
        <v>0</v>
      </c>
      <c r="Z666" s="572"/>
      <c r="AB666" s="382"/>
      <c r="AC666" s="516"/>
      <c r="AD666" s="516"/>
      <c r="AE666" s="516"/>
      <c r="AF666" s="516"/>
      <c r="AG666" s="516"/>
      <c r="AH666" s="516"/>
      <c r="AI666" s="516"/>
      <c r="AJ666" s="516"/>
      <c r="AK666" s="516"/>
      <c r="AL666" s="516"/>
      <c r="AM666" s="383"/>
      <c r="AO666">
        <f ca="1">IF($A666="S",IF(BM!$I666=0,0,CHOOSE(MATCH(RegimeExecucao,{"Global","Unitário"},0),ROUND(ROUND(BM.MEDAcumulado,15-13*BM!$A$9)/100*BM!$I666,15-13*ORÇAMENTO!$AF$11),ROUND(ROUND(BM.MEDAcumulado,15-13*BM!$A$9)*ROUND(BM!$H666,15-13*ORÇAMENTO!$AF$10),15-13*ORÇAMENTO!$AF$11))),IF($A666=0,0,ROUND(SomaAgrupBM,15-13*ORÇAMENTO!$AF$11)))</f>
        <v>0</v>
      </c>
    </row>
    <row r="667" spans="1:41" x14ac:dyDescent="0.2">
      <c r="A667" t="str">
        <f ca="1">ORÇAMENTO!C667</f>
        <v>S</v>
      </c>
      <c r="B667">
        <f ca="1">ORÇAMENTO!D667</f>
        <v>0</v>
      </c>
      <c r="C667" s="116" t="str">
        <f t="shared" ca="1" si="56"/>
        <v/>
      </c>
      <c r="D667" s="119" t="str">
        <f ca="1">ORÇAMENTO!O667</f>
        <v>-</v>
      </c>
      <c r="E667" s="172" t="str">
        <f t="shared" ca="1" si="64"/>
        <v>(abra o arquivo 'Referência 02-2025.xlsm)</v>
      </c>
      <c r="F667" s="173" t="str">
        <f ca="1">IF(RegimeExecucao="Global","",ORÇAMENTO.Unidade)</f>
        <v>-</v>
      </c>
      <c r="G667" s="124">
        <f ca="1">IF(RegimeExecucao="Global","",ORÇAMENTO!T667)</f>
        <v>7.7</v>
      </c>
      <c r="H667" s="124">
        <f ca="1">IF(RegimeExecucao="Global","",ORÇAMENTO!W667)</f>
        <v>0</v>
      </c>
      <c r="I667" s="127">
        <f ca="1">ORÇAMENTO!X667</f>
        <v>0</v>
      </c>
      <c r="J667" s="378">
        <f ca="1">IF($A667="S",IF(CAIXA.Modo,BM.AFAnterior,BM.MEDAnterior),IF(AND(RegimeExecucao="Global",$I667&gt;0,COUNTIF($AB$13:$AM$13,BM.medicao-1)&gt;0),M667/$I667*100,0))</f>
        <v>0</v>
      </c>
      <c r="K667" s="124">
        <f t="shared" ca="1" si="58"/>
        <v>0</v>
      </c>
      <c r="L667" s="379">
        <f ca="1">IF($A667="S",IF(CAIXA.Modo,BM.AFAcumulado,BM.MEDAcumulado),IF(AND(RegimeExecucao="Global",$I667&gt;0,COUNTIF($AB$13:$AM$13,BM.medicao)&gt;0),O667/$I667*100,0))</f>
        <v>0</v>
      </c>
      <c r="M667" s="380">
        <f ca="1">IF($A667="S",VTOTALBM,IF($A667=0,0,ROUND(SomaAgrupBM,15-13*ORÇAMENTO!$AF$11)))</f>
        <v>0</v>
      </c>
      <c r="N667" s="381">
        <f t="shared" ca="1" si="59"/>
        <v>0</v>
      </c>
      <c r="O667" s="127">
        <f ca="1">IF($A667="S",VTOTALBM,IF($A667=0,0,ROUND(SomaAgrupBM,15-13*ORÇAMENTO!$AF$11)))</f>
        <v>0</v>
      </c>
      <c r="Q667" s="382"/>
      <c r="R667" s="383"/>
      <c r="T667" s="119" t="str">
        <f t="shared" ca="1" si="60"/>
        <v/>
      </c>
      <c r="U667" s="172" t="str">
        <f t="shared" ca="1" si="61"/>
        <v/>
      </c>
      <c r="V667" s="173" t="str">
        <f ca="1">IF(AND($W667&gt;0,RegimeExecucao="Unitário"),$F667,"")</f>
        <v/>
      </c>
      <c r="W667" s="547">
        <f ca="1">IF($Y667&gt;0,CHOOSE(MATCH(RegimeExecucao,{"Unitário","Global"},0),IF($A667="S",$Y667/$X667,""),($Y667/$X667)*100),0)</f>
        <v>0</v>
      </c>
      <c r="X667" s="384" t="str">
        <f ca="1">IF($Y667&gt;0,CHOOSE(MATCH(RegimeExecucao,{"Unitário","Global"},0),IF($A667="S",ROUND($H667,ORÇAMENTO!$AF$10),""),ROUND($I667,ORÇAMENTO!$AF$11)),"")</f>
        <v/>
      </c>
      <c r="Y667" s="384">
        <f t="shared" ca="1" si="62"/>
        <v>0</v>
      </c>
      <c r="Z667" s="572"/>
      <c r="AB667" s="382"/>
      <c r="AC667" s="516"/>
      <c r="AD667" s="516"/>
      <c r="AE667" s="516"/>
      <c r="AF667" s="516"/>
      <c r="AG667" s="516"/>
      <c r="AH667" s="516"/>
      <c r="AI667" s="516"/>
      <c r="AJ667" s="516"/>
      <c r="AK667" s="516"/>
      <c r="AL667" s="516"/>
      <c r="AM667" s="383"/>
      <c r="AO667">
        <f ca="1">IF($A667="S",IF(BM!$I667=0,0,CHOOSE(MATCH(RegimeExecucao,{"Global","Unitário"},0),ROUND(ROUND(BM.MEDAcumulado,15-13*BM!$A$9)/100*BM!$I667,15-13*ORÇAMENTO!$AF$11),ROUND(ROUND(BM.MEDAcumulado,15-13*BM!$A$9)*ROUND(BM!$H667,15-13*ORÇAMENTO!$AF$10),15-13*ORÇAMENTO!$AF$11))),IF($A667=0,0,ROUND(SomaAgrupBM,15-13*ORÇAMENTO!$AF$11)))</f>
        <v>0</v>
      </c>
    </row>
    <row r="668" spans="1:41" x14ac:dyDescent="0.2">
      <c r="A668" t="str">
        <f ca="1">ORÇAMENTO!C668</f>
        <v>S</v>
      </c>
      <c r="B668">
        <f ca="1">ORÇAMENTO!D668</f>
        <v>0</v>
      </c>
      <c r="C668" s="116" t="str">
        <f t="shared" ca="1" si="56"/>
        <v/>
      </c>
      <c r="D668" s="119" t="str">
        <f ca="1">ORÇAMENTO!O668</f>
        <v>-</v>
      </c>
      <c r="E668" s="172" t="str">
        <f t="shared" ca="1" si="64"/>
        <v>(abra o arquivo 'Referência 02-2025.xlsm)</v>
      </c>
      <c r="F668" s="173" t="str">
        <f ca="1">IF(RegimeExecucao="Global","",ORÇAMENTO.Unidade)</f>
        <v>-</v>
      </c>
      <c r="G668" s="124">
        <f ca="1">IF(RegimeExecucao="Global","",ORÇAMENTO!T668)</f>
        <v>1</v>
      </c>
      <c r="H668" s="124">
        <f ca="1">IF(RegimeExecucao="Global","",ORÇAMENTO!W668)</f>
        <v>0</v>
      </c>
      <c r="I668" s="127">
        <f ca="1">ORÇAMENTO!X668</f>
        <v>0</v>
      </c>
      <c r="J668" s="378">
        <f ca="1">IF($A668="S",IF(CAIXA.Modo,BM.AFAnterior,BM.MEDAnterior),IF(AND(RegimeExecucao="Global",$I668&gt;0,COUNTIF($AB$13:$AM$13,BM.medicao-1)&gt;0),M668/$I668*100,0))</f>
        <v>0</v>
      </c>
      <c r="K668" s="124">
        <f t="shared" ca="1" si="58"/>
        <v>0</v>
      </c>
      <c r="L668" s="379">
        <f ca="1">IF($A668="S",IF(CAIXA.Modo,BM.AFAcumulado,BM.MEDAcumulado),IF(AND(RegimeExecucao="Global",$I668&gt;0,COUNTIF($AB$13:$AM$13,BM.medicao)&gt;0),O668/$I668*100,0))</f>
        <v>0</v>
      </c>
      <c r="M668" s="380">
        <f ca="1">IF($A668="S",VTOTALBM,IF($A668=0,0,ROUND(SomaAgrupBM,15-13*ORÇAMENTO!$AF$11)))</f>
        <v>0</v>
      </c>
      <c r="N668" s="381">
        <f t="shared" ca="1" si="59"/>
        <v>0</v>
      </c>
      <c r="O668" s="127">
        <f ca="1">IF($A668="S",VTOTALBM,IF($A668=0,0,ROUND(SomaAgrupBM,15-13*ORÇAMENTO!$AF$11)))</f>
        <v>0</v>
      </c>
      <c r="Q668" s="382"/>
      <c r="R668" s="383"/>
      <c r="T668" s="119" t="str">
        <f t="shared" ca="1" si="60"/>
        <v/>
      </c>
      <c r="U668" s="172" t="str">
        <f t="shared" ca="1" si="61"/>
        <v/>
      </c>
      <c r="V668" s="173" t="str">
        <f ca="1">IF(AND($W668&gt;0,RegimeExecucao="Unitário"),$F668,"")</f>
        <v/>
      </c>
      <c r="W668" s="547">
        <f ca="1">IF($Y668&gt;0,CHOOSE(MATCH(RegimeExecucao,{"Unitário","Global"},0),IF($A668="S",$Y668/$X668,""),($Y668/$X668)*100),0)</f>
        <v>0</v>
      </c>
      <c r="X668" s="384" t="str">
        <f ca="1">IF($Y668&gt;0,CHOOSE(MATCH(RegimeExecucao,{"Unitário","Global"},0),IF($A668="S",ROUND($H668,ORÇAMENTO!$AF$10),""),ROUND($I668,ORÇAMENTO!$AF$11)),"")</f>
        <v/>
      </c>
      <c r="Y668" s="384">
        <f t="shared" ca="1" si="62"/>
        <v>0</v>
      </c>
      <c r="Z668" s="572"/>
      <c r="AB668" s="382"/>
      <c r="AC668" s="516"/>
      <c r="AD668" s="516"/>
      <c r="AE668" s="516"/>
      <c r="AF668" s="516"/>
      <c r="AG668" s="516"/>
      <c r="AH668" s="516"/>
      <c r="AI668" s="516"/>
      <c r="AJ668" s="516"/>
      <c r="AK668" s="516"/>
      <c r="AL668" s="516"/>
      <c r="AM668" s="383"/>
      <c r="AO668">
        <f ca="1">IF($A668="S",IF(BM!$I668=0,0,CHOOSE(MATCH(RegimeExecucao,{"Global","Unitário"},0),ROUND(ROUND(BM.MEDAcumulado,15-13*BM!$A$9)/100*BM!$I668,15-13*ORÇAMENTO!$AF$11),ROUND(ROUND(BM.MEDAcumulado,15-13*BM!$A$9)*ROUND(BM!$H668,15-13*ORÇAMENTO!$AF$10),15-13*ORÇAMENTO!$AF$11))),IF($A668=0,0,ROUND(SomaAgrupBM,15-13*ORÇAMENTO!$AF$11)))</f>
        <v>0</v>
      </c>
    </row>
    <row r="669" spans="1:41" x14ac:dyDescent="0.2">
      <c r="A669">
        <f ca="1">ORÇAMENTO!C669</f>
        <v>2</v>
      </c>
      <c r="B669">
        <f ca="1">ORÇAMENTO!D669</f>
        <v>13</v>
      </c>
      <c r="C669" s="116" t="str">
        <f t="shared" ca="1" si="56"/>
        <v>F</v>
      </c>
      <c r="D669" s="119" t="str">
        <f ca="1">ORÇAMENTO!O669</f>
        <v>1.22.</v>
      </c>
      <c r="E669" s="172" t="str">
        <f t="shared" si="64"/>
        <v>INSTALAÇÕES DE GÁS COMBUSTÍVEL</v>
      </c>
      <c r="F669" s="173" t="str">
        <f ca="1">IF(RegimeExecucao="Global","",ORÇAMENTO.Unidade)</f>
        <v>-</v>
      </c>
      <c r="G669" s="124">
        <f ca="1">IF(RegimeExecucao="Global","",ORÇAMENTO!T669)</f>
        <v>0</v>
      </c>
      <c r="H669" s="124">
        <f ca="1">IF(RegimeExecucao="Global","",ORÇAMENTO!W669)</f>
        <v>0</v>
      </c>
      <c r="I669" s="127">
        <f ca="1">ORÇAMENTO!X669</f>
        <v>0</v>
      </c>
      <c r="J669" s="378">
        <f ca="1">IF($A669="S",IF(CAIXA.Modo,BM.AFAnterior,BM.MEDAnterior),IF(AND(RegimeExecucao="Global",$I669&gt;0,COUNTIF($AB$13:$AM$13,BM.medicao-1)&gt;0),M669/$I669*100,0))</f>
        <v>0</v>
      </c>
      <c r="K669" s="124">
        <f t="shared" ca="1" si="58"/>
        <v>0</v>
      </c>
      <c r="L669" s="379">
        <f ca="1">IF($A669="S",IF(CAIXA.Modo,BM.AFAcumulado,BM.MEDAcumulado),IF(AND(RegimeExecucao="Global",$I669&gt;0,COUNTIF($AB$13:$AM$13,BM.medicao)&gt;0),O669/$I669*100,0))</f>
        <v>0</v>
      </c>
      <c r="M669" s="380">
        <f ca="1">IF($A669="S",VTOTALBM,IF($A669=0,0,ROUND(SomaAgrupBM,15-13*ORÇAMENTO!$AF$11)))</f>
        <v>0</v>
      </c>
      <c r="N669" s="381">
        <f t="shared" ca="1" si="59"/>
        <v>0</v>
      </c>
      <c r="O669" s="127">
        <f ca="1">IF($A669="S",VTOTALBM,IF($A669=0,0,ROUND(SomaAgrupBM,15-13*ORÇAMENTO!$AF$11)))</f>
        <v>0</v>
      </c>
      <c r="Q669" s="382"/>
      <c r="R669" s="383"/>
      <c r="T669" s="119" t="str">
        <f t="shared" ca="1" si="60"/>
        <v/>
      </c>
      <c r="U669" s="172" t="str">
        <f t="shared" ca="1" si="61"/>
        <v/>
      </c>
      <c r="V669" s="173" t="str">
        <f ca="1">IF(AND($W669&gt;0,RegimeExecucao="Unitário"),$F669,"")</f>
        <v/>
      </c>
      <c r="W669" s="547">
        <f ca="1">IF($Y669&gt;0,CHOOSE(MATCH(RegimeExecucao,{"Unitário","Global"},0),IF($A669="S",$Y669/$X669,""),($Y669/$X669)*100),0)</f>
        <v>0</v>
      </c>
      <c r="X669" s="384" t="str">
        <f ca="1">IF($Y669&gt;0,CHOOSE(MATCH(RegimeExecucao,{"Unitário","Global"},0),IF($A669="S",ROUND($H669,ORÇAMENTO!$AF$10),""),ROUND($I669,ORÇAMENTO!$AF$11)),"")</f>
        <v/>
      </c>
      <c r="Y669" s="384">
        <f t="shared" ca="1" si="62"/>
        <v>0</v>
      </c>
      <c r="Z669" s="572"/>
      <c r="AB669" s="382"/>
      <c r="AC669" s="516"/>
      <c r="AD669" s="516"/>
      <c r="AE669" s="516"/>
      <c r="AF669" s="516"/>
      <c r="AG669" s="516"/>
      <c r="AH669" s="516"/>
      <c r="AI669" s="516"/>
      <c r="AJ669" s="516"/>
      <c r="AK669" s="516"/>
      <c r="AL669" s="516"/>
      <c r="AM669" s="383"/>
      <c r="AO669">
        <f ca="1">IF($A669="S",IF(BM!$I669=0,0,CHOOSE(MATCH(RegimeExecucao,{"Global","Unitário"},0),ROUND(ROUND(BM.MEDAcumulado,15-13*BM!$A$9)/100*BM!$I669,15-13*ORÇAMENTO!$AF$11),ROUND(ROUND(BM.MEDAcumulado,15-13*BM!$A$9)*ROUND(BM!$H669,15-13*ORÇAMENTO!$AF$10),15-13*ORÇAMENTO!$AF$11))),IF($A669=0,0,ROUND(SomaAgrupBM,15-13*ORÇAMENTO!$AF$11)))</f>
        <v>0</v>
      </c>
    </row>
    <row r="670" spans="1:41" ht="25.5" x14ac:dyDescent="0.2">
      <c r="A670" t="str">
        <f ca="1">ORÇAMENTO!C670</f>
        <v>S</v>
      </c>
      <c r="B670">
        <f ca="1">ORÇAMENTO!D670</f>
        <v>0</v>
      </c>
      <c r="C670" s="116" t="str">
        <f t="shared" ca="1" si="56"/>
        <v/>
      </c>
      <c r="D670" s="119" t="str">
        <f ca="1">ORÇAMENTO!O670</f>
        <v>-</v>
      </c>
      <c r="E670" s="172" t="str">
        <f t="shared" ca="1" si="64"/>
        <v>(abra o arquivo 'Referência 02-2025.xlsm)</v>
      </c>
      <c r="F670" s="173" t="str">
        <f ca="1">IF(RegimeExecucao="Global","",ORÇAMENTO.Unidade)</f>
        <v>-</v>
      </c>
      <c r="G670" s="124">
        <f ca="1">IF(RegimeExecucao="Global","",ORÇAMENTO!T670)</f>
        <v>2</v>
      </c>
      <c r="H670" s="124">
        <f ca="1">IF(RegimeExecucao="Global","",ORÇAMENTO!W670)</f>
        <v>0</v>
      </c>
      <c r="I670" s="127">
        <f ca="1">ORÇAMENTO!X670</f>
        <v>0</v>
      </c>
      <c r="J670" s="378">
        <f ca="1">IF($A670="S",IF(CAIXA.Modo,BM.AFAnterior,BM.MEDAnterior),IF(AND(RegimeExecucao="Global",$I670&gt;0,COUNTIF($AB$13:$AM$13,BM.medicao-1)&gt;0),M670/$I670*100,0))</f>
        <v>0</v>
      </c>
      <c r="K670" s="124">
        <f t="shared" ca="1" si="58"/>
        <v>0</v>
      </c>
      <c r="L670" s="379">
        <f ca="1">IF($A670="S",IF(CAIXA.Modo,BM.AFAcumulado,BM.MEDAcumulado),IF(AND(RegimeExecucao="Global",$I670&gt;0,COUNTIF($AB$13:$AM$13,BM.medicao)&gt;0),O670/$I670*100,0))</f>
        <v>0</v>
      </c>
      <c r="M670" s="380">
        <f ca="1">IF($A670="S",VTOTALBM,IF($A670=0,0,ROUND(SomaAgrupBM,15-13*ORÇAMENTO!$AF$11)))</f>
        <v>0</v>
      </c>
      <c r="N670" s="381">
        <f t="shared" ca="1" si="59"/>
        <v>0</v>
      </c>
      <c r="O670" s="127">
        <f ca="1">IF($A670="S",VTOTALBM,IF($A670=0,0,ROUND(SomaAgrupBM,15-13*ORÇAMENTO!$AF$11)))</f>
        <v>0</v>
      </c>
      <c r="Q670" s="382"/>
      <c r="R670" s="383"/>
      <c r="T670" s="119" t="str">
        <f t="shared" ca="1" si="60"/>
        <v/>
      </c>
      <c r="U670" s="172" t="str">
        <f t="shared" ca="1" si="61"/>
        <v/>
      </c>
      <c r="V670" s="173" t="str">
        <f ca="1">IF(AND($W670&gt;0,RegimeExecucao="Unitário"),$F670,"")</f>
        <v/>
      </c>
      <c r="W670" s="547">
        <f ca="1">IF($Y670&gt;0,CHOOSE(MATCH(RegimeExecucao,{"Unitário","Global"},0),IF($A670="S",$Y670/$X670,""),($Y670/$X670)*100),0)</f>
        <v>0</v>
      </c>
      <c r="X670" s="384" t="str">
        <f ca="1">IF($Y670&gt;0,CHOOSE(MATCH(RegimeExecucao,{"Unitário","Global"},0),IF($A670="S",ROUND($H670,ORÇAMENTO!$AF$10),""),ROUND($I670,ORÇAMENTO!$AF$11)),"")</f>
        <v/>
      </c>
      <c r="Y670" s="384">
        <f t="shared" ca="1" si="62"/>
        <v>0</v>
      </c>
      <c r="Z670" s="572"/>
      <c r="AB670" s="382"/>
      <c r="AC670" s="516"/>
      <c r="AD670" s="516"/>
      <c r="AE670" s="516"/>
      <c r="AF670" s="516"/>
      <c r="AG670" s="516"/>
      <c r="AH670" s="516"/>
      <c r="AI670" s="516"/>
      <c r="AJ670" s="516"/>
      <c r="AK670" s="516"/>
      <c r="AL670" s="516"/>
      <c r="AM670" s="383"/>
      <c r="AO670">
        <f ca="1">IF($A670="S",IF(BM!$I670=0,0,CHOOSE(MATCH(RegimeExecucao,{"Global","Unitário"},0),ROUND(ROUND(BM.MEDAcumulado,15-13*BM!$A$9)/100*BM!$I670,15-13*ORÇAMENTO!$AF$11),ROUND(ROUND(BM.MEDAcumulado,15-13*BM!$A$9)*ROUND(BM!$H670,15-13*ORÇAMENTO!$AF$10),15-13*ORÇAMENTO!$AF$11))),IF($A670=0,0,ROUND(SomaAgrupBM,15-13*ORÇAMENTO!$AF$11)))</f>
        <v>0</v>
      </c>
    </row>
    <row r="671" spans="1:41" ht="25.5" x14ac:dyDescent="0.2">
      <c r="A671" t="str">
        <f ca="1">ORÇAMENTO!C671</f>
        <v>S</v>
      </c>
      <c r="B671">
        <f ca="1">ORÇAMENTO!D671</f>
        <v>0</v>
      </c>
      <c r="C671" s="116" t="str">
        <f t="shared" ca="1" si="56"/>
        <v/>
      </c>
      <c r="D671" s="119" t="str">
        <f ca="1">ORÇAMENTO!O671</f>
        <v>-</v>
      </c>
      <c r="E671" s="172" t="str">
        <f t="shared" ca="1" si="64"/>
        <v>(abra o arquivo 'Referência 02-2025.xlsm)</v>
      </c>
      <c r="F671" s="173" t="str">
        <f ca="1">IF(RegimeExecucao="Global","",ORÇAMENTO.Unidade)</f>
        <v>-</v>
      </c>
      <c r="G671" s="124">
        <f ca="1">IF(RegimeExecucao="Global","",ORÇAMENTO!T671)</f>
        <v>4</v>
      </c>
      <c r="H671" s="124">
        <f ca="1">IF(RegimeExecucao="Global","",ORÇAMENTO!W671)</f>
        <v>0</v>
      </c>
      <c r="I671" s="127">
        <f ca="1">ORÇAMENTO!X671</f>
        <v>0</v>
      </c>
      <c r="J671" s="378">
        <f ca="1">IF($A671="S",IF(CAIXA.Modo,BM.AFAnterior,BM.MEDAnterior),IF(AND(RegimeExecucao="Global",$I671&gt;0,COUNTIF($AB$13:$AM$13,BM.medicao-1)&gt;0),M671/$I671*100,0))</f>
        <v>0</v>
      </c>
      <c r="K671" s="124">
        <f t="shared" ca="1" si="58"/>
        <v>0</v>
      </c>
      <c r="L671" s="379">
        <f ca="1">IF($A671="S",IF(CAIXA.Modo,BM.AFAcumulado,BM.MEDAcumulado),IF(AND(RegimeExecucao="Global",$I671&gt;0,COUNTIF($AB$13:$AM$13,BM.medicao)&gt;0),O671/$I671*100,0))</f>
        <v>0</v>
      </c>
      <c r="M671" s="380">
        <f ca="1">IF($A671="S",VTOTALBM,IF($A671=0,0,ROUND(SomaAgrupBM,15-13*ORÇAMENTO!$AF$11)))</f>
        <v>0</v>
      </c>
      <c r="N671" s="381">
        <f t="shared" ca="1" si="59"/>
        <v>0</v>
      </c>
      <c r="O671" s="127">
        <f ca="1">IF($A671="S",VTOTALBM,IF($A671=0,0,ROUND(SomaAgrupBM,15-13*ORÇAMENTO!$AF$11)))</f>
        <v>0</v>
      </c>
      <c r="Q671" s="382"/>
      <c r="R671" s="383"/>
      <c r="T671" s="119" t="str">
        <f t="shared" ca="1" si="60"/>
        <v/>
      </c>
      <c r="U671" s="172" t="str">
        <f t="shared" ca="1" si="61"/>
        <v/>
      </c>
      <c r="V671" s="173" t="str">
        <f ca="1">IF(AND($W671&gt;0,RegimeExecucao="Unitário"),$F671,"")</f>
        <v/>
      </c>
      <c r="W671" s="547">
        <f ca="1">IF($Y671&gt;0,CHOOSE(MATCH(RegimeExecucao,{"Unitário","Global"},0),IF($A671="S",$Y671/$X671,""),($Y671/$X671)*100),0)</f>
        <v>0</v>
      </c>
      <c r="X671" s="384" t="str">
        <f ca="1">IF($Y671&gt;0,CHOOSE(MATCH(RegimeExecucao,{"Unitário","Global"},0),IF($A671="S",ROUND($H671,ORÇAMENTO!$AF$10),""),ROUND($I671,ORÇAMENTO!$AF$11)),"")</f>
        <v/>
      </c>
      <c r="Y671" s="384">
        <f t="shared" ca="1" si="62"/>
        <v>0</v>
      </c>
      <c r="Z671" s="572"/>
      <c r="AB671" s="382"/>
      <c r="AC671" s="516"/>
      <c r="AD671" s="516"/>
      <c r="AE671" s="516"/>
      <c r="AF671" s="516"/>
      <c r="AG671" s="516"/>
      <c r="AH671" s="516"/>
      <c r="AI671" s="516"/>
      <c r="AJ671" s="516"/>
      <c r="AK671" s="516"/>
      <c r="AL671" s="516"/>
      <c r="AM671" s="383"/>
      <c r="AO671">
        <f ca="1">IF($A671="S",IF(BM!$I671=0,0,CHOOSE(MATCH(RegimeExecucao,{"Global","Unitário"},0),ROUND(ROUND(BM.MEDAcumulado,15-13*BM!$A$9)/100*BM!$I671,15-13*ORÇAMENTO!$AF$11),ROUND(ROUND(BM.MEDAcumulado,15-13*BM!$A$9)*ROUND(BM!$H671,15-13*ORÇAMENTO!$AF$10),15-13*ORÇAMENTO!$AF$11))),IF($A671=0,0,ROUND(SomaAgrupBM,15-13*ORÇAMENTO!$AF$11)))</f>
        <v>0</v>
      </c>
    </row>
    <row r="672" spans="1:41" x14ac:dyDescent="0.2">
      <c r="A672" t="str">
        <f ca="1">ORÇAMENTO!C672</f>
        <v>S</v>
      </c>
      <c r="B672">
        <f ca="1">ORÇAMENTO!D672</f>
        <v>0</v>
      </c>
      <c r="C672" s="116" t="str">
        <f t="shared" ca="1" si="56"/>
        <v/>
      </c>
      <c r="D672" s="119" t="str">
        <f ca="1">ORÇAMENTO!O672</f>
        <v>-</v>
      </c>
      <c r="E672" s="172" t="str">
        <f t="shared" ca="1" si="64"/>
        <v>(abra o arquivo 'Referência 02-2025.xlsm)</v>
      </c>
      <c r="F672" s="173" t="str">
        <f ca="1">IF(RegimeExecucao="Global","",ORÇAMENTO.Unidade)</f>
        <v>-</v>
      </c>
      <c r="G672" s="124">
        <f ca="1">IF(RegimeExecucao="Global","",ORÇAMENTO!T672)</f>
        <v>1</v>
      </c>
      <c r="H672" s="124">
        <f ca="1">IF(RegimeExecucao="Global","",ORÇAMENTO!W672)</f>
        <v>0</v>
      </c>
      <c r="I672" s="127">
        <f ca="1">ORÇAMENTO!X672</f>
        <v>0</v>
      </c>
      <c r="J672" s="378">
        <f ca="1">IF($A672="S",IF(CAIXA.Modo,BM.AFAnterior,BM.MEDAnterior),IF(AND(RegimeExecucao="Global",$I672&gt;0,COUNTIF($AB$13:$AM$13,BM.medicao-1)&gt;0),M672/$I672*100,0))</f>
        <v>0</v>
      </c>
      <c r="K672" s="124">
        <f t="shared" ca="1" si="58"/>
        <v>0</v>
      </c>
      <c r="L672" s="379">
        <f ca="1">IF($A672="S",IF(CAIXA.Modo,BM.AFAcumulado,BM.MEDAcumulado),IF(AND(RegimeExecucao="Global",$I672&gt;0,COUNTIF($AB$13:$AM$13,BM.medicao)&gt;0),O672/$I672*100,0))</f>
        <v>0</v>
      </c>
      <c r="M672" s="380">
        <f ca="1">IF($A672="S",VTOTALBM,IF($A672=0,0,ROUND(SomaAgrupBM,15-13*ORÇAMENTO!$AF$11)))</f>
        <v>0</v>
      </c>
      <c r="N672" s="381">
        <f t="shared" ca="1" si="59"/>
        <v>0</v>
      </c>
      <c r="O672" s="127">
        <f ca="1">IF($A672="S",VTOTALBM,IF($A672=0,0,ROUND(SomaAgrupBM,15-13*ORÇAMENTO!$AF$11)))</f>
        <v>0</v>
      </c>
      <c r="Q672" s="382"/>
      <c r="R672" s="383"/>
      <c r="T672" s="119" t="str">
        <f t="shared" ca="1" si="60"/>
        <v/>
      </c>
      <c r="U672" s="172" t="str">
        <f t="shared" ca="1" si="61"/>
        <v/>
      </c>
      <c r="V672" s="173" t="str">
        <f ca="1">IF(AND($W672&gt;0,RegimeExecucao="Unitário"),$F672,"")</f>
        <v/>
      </c>
      <c r="W672" s="547">
        <f ca="1">IF($Y672&gt;0,CHOOSE(MATCH(RegimeExecucao,{"Unitário","Global"},0),IF($A672="S",$Y672/$X672,""),($Y672/$X672)*100),0)</f>
        <v>0</v>
      </c>
      <c r="X672" s="384" t="str">
        <f ca="1">IF($Y672&gt;0,CHOOSE(MATCH(RegimeExecucao,{"Unitário","Global"},0),IF($A672="S",ROUND($H672,ORÇAMENTO!$AF$10),""),ROUND($I672,ORÇAMENTO!$AF$11)),"")</f>
        <v/>
      </c>
      <c r="Y672" s="384">
        <f t="shared" ca="1" si="62"/>
        <v>0</v>
      </c>
      <c r="Z672" s="572"/>
      <c r="AB672" s="382"/>
      <c r="AC672" s="516"/>
      <c r="AD672" s="516"/>
      <c r="AE672" s="516"/>
      <c r="AF672" s="516"/>
      <c r="AG672" s="516"/>
      <c r="AH672" s="516"/>
      <c r="AI672" s="516"/>
      <c r="AJ672" s="516"/>
      <c r="AK672" s="516"/>
      <c r="AL672" s="516"/>
      <c r="AM672" s="383"/>
      <c r="AO672">
        <f ca="1">IF($A672="S",IF(BM!$I672=0,0,CHOOSE(MATCH(RegimeExecucao,{"Global","Unitário"},0),ROUND(ROUND(BM.MEDAcumulado,15-13*BM!$A$9)/100*BM!$I672,15-13*ORÇAMENTO!$AF$11),ROUND(ROUND(BM.MEDAcumulado,15-13*BM!$A$9)*ROUND(BM!$H672,15-13*ORÇAMENTO!$AF$10),15-13*ORÇAMENTO!$AF$11))),IF($A672=0,0,ROUND(SomaAgrupBM,15-13*ORÇAMENTO!$AF$11)))</f>
        <v>0</v>
      </c>
    </row>
    <row r="673" spans="1:41" ht="25.5" x14ac:dyDescent="0.2">
      <c r="A673" t="str">
        <f ca="1">ORÇAMENTO!C673</f>
        <v>S</v>
      </c>
      <c r="B673">
        <f ca="1">ORÇAMENTO!D673</f>
        <v>0</v>
      </c>
      <c r="C673" s="116" t="str">
        <f t="shared" ca="1" si="56"/>
        <v/>
      </c>
      <c r="D673" s="119" t="str">
        <f ca="1">ORÇAMENTO!O673</f>
        <v>-</v>
      </c>
      <c r="E673" s="172" t="str">
        <f t="shared" ca="1" si="64"/>
        <v>(abra o arquivo 'Referência 02-2025.xlsm)</v>
      </c>
      <c r="F673" s="173" t="str">
        <f ca="1">IF(RegimeExecucao="Global","",ORÇAMENTO.Unidade)</f>
        <v>-</v>
      </c>
      <c r="G673" s="124">
        <f ca="1">IF(RegimeExecucao="Global","",ORÇAMENTO!T673)</f>
        <v>2</v>
      </c>
      <c r="H673" s="124">
        <f ca="1">IF(RegimeExecucao="Global","",ORÇAMENTO!W673)</f>
        <v>0</v>
      </c>
      <c r="I673" s="127">
        <f ca="1">ORÇAMENTO!X673</f>
        <v>0</v>
      </c>
      <c r="J673" s="378">
        <f ca="1">IF($A673="S",IF(CAIXA.Modo,BM.AFAnterior,BM.MEDAnterior),IF(AND(RegimeExecucao="Global",$I673&gt;0,COUNTIF($AB$13:$AM$13,BM.medicao-1)&gt;0),M673/$I673*100,0))</f>
        <v>0</v>
      </c>
      <c r="K673" s="124">
        <f t="shared" ca="1" si="58"/>
        <v>0</v>
      </c>
      <c r="L673" s="379">
        <f ca="1">IF($A673="S",IF(CAIXA.Modo,BM.AFAcumulado,BM.MEDAcumulado),IF(AND(RegimeExecucao="Global",$I673&gt;0,COUNTIF($AB$13:$AM$13,BM.medicao)&gt;0),O673/$I673*100,0))</f>
        <v>0</v>
      </c>
      <c r="M673" s="380">
        <f ca="1">IF($A673="S",VTOTALBM,IF($A673=0,0,ROUND(SomaAgrupBM,15-13*ORÇAMENTO!$AF$11)))</f>
        <v>0</v>
      </c>
      <c r="N673" s="381">
        <f t="shared" ca="1" si="59"/>
        <v>0</v>
      </c>
      <c r="O673" s="127">
        <f ca="1">IF($A673="S",VTOTALBM,IF($A673=0,0,ROUND(SomaAgrupBM,15-13*ORÇAMENTO!$AF$11)))</f>
        <v>0</v>
      </c>
      <c r="Q673" s="382"/>
      <c r="R673" s="383"/>
      <c r="T673" s="119" t="str">
        <f t="shared" ca="1" si="60"/>
        <v/>
      </c>
      <c r="U673" s="172" t="str">
        <f t="shared" ca="1" si="61"/>
        <v/>
      </c>
      <c r="V673" s="173" t="str">
        <f ca="1">IF(AND($W673&gt;0,RegimeExecucao="Unitário"),$F673,"")</f>
        <v/>
      </c>
      <c r="W673" s="547">
        <f ca="1">IF($Y673&gt;0,CHOOSE(MATCH(RegimeExecucao,{"Unitário","Global"},0),IF($A673="S",$Y673/$X673,""),($Y673/$X673)*100),0)</f>
        <v>0</v>
      </c>
      <c r="X673" s="384" t="str">
        <f ca="1">IF($Y673&gt;0,CHOOSE(MATCH(RegimeExecucao,{"Unitário","Global"},0),IF($A673="S",ROUND($H673,ORÇAMENTO!$AF$10),""),ROUND($I673,ORÇAMENTO!$AF$11)),"")</f>
        <v/>
      </c>
      <c r="Y673" s="384">
        <f t="shared" ca="1" si="62"/>
        <v>0</v>
      </c>
      <c r="Z673" s="572"/>
      <c r="AB673" s="382"/>
      <c r="AC673" s="516"/>
      <c r="AD673" s="516"/>
      <c r="AE673" s="516"/>
      <c r="AF673" s="516"/>
      <c r="AG673" s="516"/>
      <c r="AH673" s="516"/>
      <c r="AI673" s="516"/>
      <c r="AJ673" s="516"/>
      <c r="AK673" s="516"/>
      <c r="AL673" s="516"/>
      <c r="AM673" s="383"/>
      <c r="AO673">
        <f ca="1">IF($A673="S",IF(BM!$I673=0,0,CHOOSE(MATCH(RegimeExecucao,{"Global","Unitário"},0),ROUND(ROUND(BM.MEDAcumulado,15-13*BM!$A$9)/100*BM!$I673,15-13*ORÇAMENTO!$AF$11),ROUND(ROUND(BM.MEDAcumulado,15-13*BM!$A$9)*ROUND(BM!$H673,15-13*ORÇAMENTO!$AF$10),15-13*ORÇAMENTO!$AF$11))),IF($A673=0,0,ROUND(SomaAgrupBM,15-13*ORÇAMENTO!$AF$11)))</f>
        <v>0</v>
      </c>
    </row>
    <row r="674" spans="1:41" ht="38.25" x14ac:dyDescent="0.2">
      <c r="A674" t="str">
        <f ca="1">ORÇAMENTO!C674</f>
        <v>S</v>
      </c>
      <c r="B674">
        <f ca="1">ORÇAMENTO!D674</f>
        <v>0</v>
      </c>
      <c r="C674" s="116" t="str">
        <f t="shared" ca="1" si="56"/>
        <v/>
      </c>
      <c r="D674" s="119" t="str">
        <f ca="1">ORÇAMENTO!O674</f>
        <v>-</v>
      </c>
      <c r="E674" s="172" t="str">
        <f t="shared" ca="1" si="64"/>
        <v>(abra o arquivo 'Referência 02-2025.xlsm)</v>
      </c>
      <c r="F674" s="173" t="str">
        <f ca="1">IF(RegimeExecucao="Global","",ORÇAMENTO.Unidade)</f>
        <v>-</v>
      </c>
      <c r="G674" s="124">
        <f ca="1">IF(RegimeExecucao="Global","",ORÇAMENTO!T674)</f>
        <v>53</v>
      </c>
      <c r="H674" s="124">
        <f ca="1">IF(RegimeExecucao="Global","",ORÇAMENTO!W674)</f>
        <v>0</v>
      </c>
      <c r="I674" s="127">
        <f ca="1">ORÇAMENTO!X674</f>
        <v>0</v>
      </c>
      <c r="J674" s="378">
        <f ca="1">IF($A674="S",IF(CAIXA.Modo,BM.AFAnterior,BM.MEDAnterior),IF(AND(RegimeExecucao="Global",$I674&gt;0,COUNTIF($AB$13:$AM$13,BM.medicao-1)&gt;0),M674/$I674*100,0))</f>
        <v>0</v>
      </c>
      <c r="K674" s="124">
        <f t="shared" ca="1" si="58"/>
        <v>0</v>
      </c>
      <c r="L674" s="379">
        <f ca="1">IF($A674="S",IF(CAIXA.Modo,BM.AFAcumulado,BM.MEDAcumulado),IF(AND(RegimeExecucao="Global",$I674&gt;0,COUNTIF($AB$13:$AM$13,BM.medicao)&gt;0),O674/$I674*100,0))</f>
        <v>0</v>
      </c>
      <c r="M674" s="380">
        <f ca="1">IF($A674="S",VTOTALBM,IF($A674=0,0,ROUND(SomaAgrupBM,15-13*ORÇAMENTO!$AF$11)))</f>
        <v>0</v>
      </c>
      <c r="N674" s="381">
        <f t="shared" ca="1" si="59"/>
        <v>0</v>
      </c>
      <c r="O674" s="127">
        <f ca="1">IF($A674="S",VTOTALBM,IF($A674=0,0,ROUND(SomaAgrupBM,15-13*ORÇAMENTO!$AF$11)))</f>
        <v>0</v>
      </c>
      <c r="Q674" s="382"/>
      <c r="R674" s="383"/>
      <c r="T674" s="119" t="str">
        <f t="shared" ca="1" si="60"/>
        <v/>
      </c>
      <c r="U674" s="172" t="str">
        <f t="shared" ca="1" si="61"/>
        <v/>
      </c>
      <c r="V674" s="173" t="str">
        <f ca="1">IF(AND($W674&gt;0,RegimeExecucao="Unitário"),$F674,"")</f>
        <v/>
      </c>
      <c r="W674" s="547">
        <f ca="1">IF($Y674&gt;0,CHOOSE(MATCH(RegimeExecucao,{"Unitário","Global"},0),IF($A674="S",$Y674/$X674,""),($Y674/$X674)*100),0)</f>
        <v>0</v>
      </c>
      <c r="X674" s="384" t="str">
        <f ca="1">IF($Y674&gt;0,CHOOSE(MATCH(RegimeExecucao,{"Unitário","Global"},0),IF($A674="S",ROUND($H674,ORÇAMENTO!$AF$10),""),ROUND($I674,ORÇAMENTO!$AF$11)),"")</f>
        <v/>
      </c>
      <c r="Y674" s="384">
        <f t="shared" ca="1" si="62"/>
        <v>0</v>
      </c>
      <c r="Z674" s="572"/>
      <c r="AB674" s="382"/>
      <c r="AC674" s="516"/>
      <c r="AD674" s="516"/>
      <c r="AE674" s="516"/>
      <c r="AF674" s="516"/>
      <c r="AG674" s="516"/>
      <c r="AH674" s="516"/>
      <c r="AI674" s="516"/>
      <c r="AJ674" s="516"/>
      <c r="AK674" s="516"/>
      <c r="AL674" s="516"/>
      <c r="AM674" s="383"/>
      <c r="AO674">
        <f ca="1">IF($A674="S",IF(BM!$I674=0,0,CHOOSE(MATCH(RegimeExecucao,{"Global","Unitário"},0),ROUND(ROUND(BM.MEDAcumulado,15-13*BM!$A$9)/100*BM!$I674,15-13*ORÇAMENTO!$AF$11),ROUND(ROUND(BM.MEDAcumulado,15-13*BM!$A$9)*ROUND(BM!$H674,15-13*ORÇAMENTO!$AF$10),15-13*ORÇAMENTO!$AF$11))),IF($A674=0,0,ROUND(SomaAgrupBM,15-13*ORÇAMENTO!$AF$11)))</f>
        <v>0</v>
      </c>
    </row>
    <row r="675" spans="1:41" ht="38.25" x14ac:dyDescent="0.2">
      <c r="A675" t="str">
        <f ca="1">ORÇAMENTO!C675</f>
        <v>S</v>
      </c>
      <c r="B675">
        <f ca="1">ORÇAMENTO!D675</f>
        <v>0</v>
      </c>
      <c r="C675" s="116" t="str">
        <f t="shared" ca="1" si="56"/>
        <v/>
      </c>
      <c r="D675" s="119" t="str">
        <f ca="1">ORÇAMENTO!O675</f>
        <v>-</v>
      </c>
      <c r="E675" s="172" t="str">
        <f t="shared" ca="1" si="64"/>
        <v>(abra o arquivo 'Referência 02-2025.xlsm)</v>
      </c>
      <c r="F675" s="173" t="str">
        <f ca="1">IF(RegimeExecucao="Global","",ORÇAMENTO.Unidade)</f>
        <v>-</v>
      </c>
      <c r="G675" s="124">
        <f ca="1">IF(RegimeExecucao="Global","",ORÇAMENTO!T675)</f>
        <v>1</v>
      </c>
      <c r="H675" s="124">
        <f ca="1">IF(RegimeExecucao="Global","",ORÇAMENTO!W675)</f>
        <v>0</v>
      </c>
      <c r="I675" s="127">
        <f ca="1">ORÇAMENTO!X675</f>
        <v>0</v>
      </c>
      <c r="J675" s="378">
        <f ca="1">IF($A675="S",IF(CAIXA.Modo,BM.AFAnterior,BM.MEDAnterior),IF(AND(RegimeExecucao="Global",$I675&gt;0,COUNTIF($AB$13:$AM$13,BM.medicao-1)&gt;0),M675/$I675*100,0))</f>
        <v>0</v>
      </c>
      <c r="K675" s="124">
        <f t="shared" ca="1" si="58"/>
        <v>0</v>
      </c>
      <c r="L675" s="379">
        <f ca="1">IF($A675="S",IF(CAIXA.Modo,BM.AFAcumulado,BM.MEDAcumulado),IF(AND(RegimeExecucao="Global",$I675&gt;0,COUNTIF($AB$13:$AM$13,BM.medicao)&gt;0),O675/$I675*100,0))</f>
        <v>0</v>
      </c>
      <c r="M675" s="380">
        <f ca="1">IF($A675="S",VTOTALBM,IF($A675=0,0,ROUND(SomaAgrupBM,15-13*ORÇAMENTO!$AF$11)))</f>
        <v>0</v>
      </c>
      <c r="N675" s="381">
        <f t="shared" ca="1" si="59"/>
        <v>0</v>
      </c>
      <c r="O675" s="127">
        <f ca="1">IF($A675="S",VTOTALBM,IF($A675=0,0,ROUND(SomaAgrupBM,15-13*ORÇAMENTO!$AF$11)))</f>
        <v>0</v>
      </c>
      <c r="Q675" s="382"/>
      <c r="R675" s="383"/>
      <c r="T675" s="119" t="str">
        <f t="shared" ca="1" si="60"/>
        <v/>
      </c>
      <c r="U675" s="172" t="str">
        <f t="shared" ca="1" si="61"/>
        <v/>
      </c>
      <c r="V675" s="173" t="str">
        <f ca="1">IF(AND($W675&gt;0,RegimeExecucao="Unitário"),$F675,"")</f>
        <v/>
      </c>
      <c r="W675" s="547">
        <f ca="1">IF($Y675&gt;0,CHOOSE(MATCH(RegimeExecucao,{"Unitário","Global"},0),IF($A675="S",$Y675/$X675,""),($Y675/$X675)*100),0)</f>
        <v>0</v>
      </c>
      <c r="X675" s="384" t="str">
        <f ca="1">IF($Y675&gt;0,CHOOSE(MATCH(RegimeExecucao,{"Unitário","Global"},0),IF($A675="S",ROUND($H675,ORÇAMENTO!$AF$10),""),ROUND($I675,ORÇAMENTO!$AF$11)),"")</f>
        <v/>
      </c>
      <c r="Y675" s="384">
        <f t="shared" ca="1" si="62"/>
        <v>0</v>
      </c>
      <c r="Z675" s="572"/>
      <c r="AB675" s="382"/>
      <c r="AC675" s="516"/>
      <c r="AD675" s="516"/>
      <c r="AE675" s="516"/>
      <c r="AF675" s="516"/>
      <c r="AG675" s="516"/>
      <c r="AH675" s="516"/>
      <c r="AI675" s="516"/>
      <c r="AJ675" s="516"/>
      <c r="AK675" s="516"/>
      <c r="AL675" s="516"/>
      <c r="AM675" s="383"/>
      <c r="AO675">
        <f ca="1">IF($A675="S",IF(BM!$I675=0,0,CHOOSE(MATCH(RegimeExecucao,{"Global","Unitário"},0),ROUND(ROUND(BM.MEDAcumulado,15-13*BM!$A$9)/100*BM!$I675,15-13*ORÇAMENTO!$AF$11),ROUND(ROUND(BM.MEDAcumulado,15-13*BM!$A$9)*ROUND(BM!$H675,15-13*ORÇAMENTO!$AF$10),15-13*ORÇAMENTO!$AF$11))),IF($A675=0,0,ROUND(SomaAgrupBM,15-13*ORÇAMENTO!$AF$11)))</f>
        <v>0</v>
      </c>
    </row>
    <row r="676" spans="1:41" ht="25.5" x14ac:dyDescent="0.2">
      <c r="A676" t="str">
        <f ca="1">ORÇAMENTO!C676</f>
        <v>S</v>
      </c>
      <c r="B676">
        <f ca="1">ORÇAMENTO!D676</f>
        <v>0</v>
      </c>
      <c r="C676" s="116" t="str">
        <f t="shared" ca="1" si="56"/>
        <v/>
      </c>
      <c r="D676" s="119" t="str">
        <f ca="1">ORÇAMENTO!O676</f>
        <v>-</v>
      </c>
      <c r="E676" s="172" t="str">
        <f t="shared" ca="1" si="64"/>
        <v>(abra o arquivo 'Referência 02-2025.xlsm)</v>
      </c>
      <c r="F676" s="173" t="str">
        <f ca="1">IF(RegimeExecucao="Global","",ORÇAMENTO.Unidade)</f>
        <v>-</v>
      </c>
      <c r="G676" s="124">
        <f ca="1">IF(RegimeExecucao="Global","",ORÇAMENTO!T676)</f>
        <v>1</v>
      </c>
      <c r="H676" s="124">
        <f ca="1">IF(RegimeExecucao="Global","",ORÇAMENTO!W676)</f>
        <v>0</v>
      </c>
      <c r="I676" s="127">
        <f ca="1">ORÇAMENTO!X676</f>
        <v>0</v>
      </c>
      <c r="J676" s="378">
        <f ca="1">IF($A676="S",IF(CAIXA.Modo,BM.AFAnterior,BM.MEDAnterior),IF(AND(RegimeExecucao="Global",$I676&gt;0,COUNTIF($AB$13:$AM$13,BM.medicao-1)&gt;0),M676/$I676*100,0))</f>
        <v>0</v>
      </c>
      <c r="K676" s="124">
        <f t="shared" ca="1" si="58"/>
        <v>0</v>
      </c>
      <c r="L676" s="379">
        <f ca="1">IF($A676="S",IF(CAIXA.Modo,BM.AFAcumulado,BM.MEDAcumulado),IF(AND(RegimeExecucao="Global",$I676&gt;0,COUNTIF($AB$13:$AM$13,BM.medicao)&gt;0),O676/$I676*100,0))</f>
        <v>0</v>
      </c>
      <c r="M676" s="380">
        <f ca="1">IF($A676="S",VTOTALBM,IF($A676=0,0,ROUND(SomaAgrupBM,15-13*ORÇAMENTO!$AF$11)))</f>
        <v>0</v>
      </c>
      <c r="N676" s="381">
        <f t="shared" ca="1" si="59"/>
        <v>0</v>
      </c>
      <c r="O676" s="127">
        <f ca="1">IF($A676="S",VTOTALBM,IF($A676=0,0,ROUND(SomaAgrupBM,15-13*ORÇAMENTO!$AF$11)))</f>
        <v>0</v>
      </c>
      <c r="Q676" s="382"/>
      <c r="R676" s="383"/>
      <c r="T676" s="119" t="str">
        <f t="shared" ca="1" si="60"/>
        <v/>
      </c>
      <c r="U676" s="172" t="str">
        <f t="shared" ca="1" si="61"/>
        <v/>
      </c>
      <c r="V676" s="173" t="str">
        <f ca="1">IF(AND($W676&gt;0,RegimeExecucao="Unitário"),$F676,"")</f>
        <v/>
      </c>
      <c r="W676" s="547">
        <f ca="1">IF($Y676&gt;0,CHOOSE(MATCH(RegimeExecucao,{"Unitário","Global"},0),IF($A676="S",$Y676/$X676,""),($Y676/$X676)*100),0)</f>
        <v>0</v>
      </c>
      <c r="X676" s="384" t="str">
        <f ca="1">IF($Y676&gt;0,CHOOSE(MATCH(RegimeExecucao,{"Unitário","Global"},0),IF($A676="S",ROUND($H676,ORÇAMENTO!$AF$10),""),ROUND($I676,ORÇAMENTO!$AF$11)),"")</f>
        <v/>
      </c>
      <c r="Y676" s="384">
        <f t="shared" ca="1" si="62"/>
        <v>0</v>
      </c>
      <c r="Z676" s="572"/>
      <c r="AB676" s="382"/>
      <c r="AC676" s="516"/>
      <c r="AD676" s="516"/>
      <c r="AE676" s="516"/>
      <c r="AF676" s="516"/>
      <c r="AG676" s="516"/>
      <c r="AH676" s="516"/>
      <c r="AI676" s="516"/>
      <c r="AJ676" s="516"/>
      <c r="AK676" s="516"/>
      <c r="AL676" s="516"/>
      <c r="AM676" s="383"/>
      <c r="AO676">
        <f ca="1">IF($A676="S",IF(BM!$I676=0,0,CHOOSE(MATCH(RegimeExecucao,{"Global","Unitário"},0),ROUND(ROUND(BM.MEDAcumulado,15-13*BM!$A$9)/100*BM!$I676,15-13*ORÇAMENTO!$AF$11),ROUND(ROUND(BM.MEDAcumulado,15-13*BM!$A$9)*ROUND(BM!$H676,15-13*ORÇAMENTO!$AF$10),15-13*ORÇAMENTO!$AF$11))),IF($A676=0,0,ROUND(SomaAgrupBM,15-13*ORÇAMENTO!$AF$11)))</f>
        <v>0</v>
      </c>
    </row>
    <row r="677" spans="1:41" ht="38.25" x14ac:dyDescent="0.2">
      <c r="A677" t="str">
        <f ca="1">ORÇAMENTO!C677</f>
        <v>S</v>
      </c>
      <c r="B677">
        <f ca="1">ORÇAMENTO!D677</f>
        <v>0</v>
      </c>
      <c r="C677" s="116" t="str">
        <f t="shared" ca="1" si="56"/>
        <v/>
      </c>
      <c r="D677" s="119" t="str">
        <f ca="1">ORÇAMENTO!O677</f>
        <v>-</v>
      </c>
      <c r="E677" s="172" t="str">
        <f t="shared" ca="1" si="64"/>
        <v>(abra o arquivo 'Referência 02-2025.xlsm)</v>
      </c>
      <c r="F677" s="173" t="str">
        <f ca="1">IF(RegimeExecucao="Global","",ORÇAMENTO.Unidade)</f>
        <v>-</v>
      </c>
      <c r="G677" s="124">
        <f ca="1">IF(RegimeExecucao="Global","",ORÇAMENTO!T677)</f>
        <v>8</v>
      </c>
      <c r="H677" s="124">
        <f ca="1">IF(RegimeExecucao="Global","",ORÇAMENTO!W677)</f>
        <v>0</v>
      </c>
      <c r="I677" s="127">
        <f ca="1">ORÇAMENTO!X677</f>
        <v>0</v>
      </c>
      <c r="J677" s="378">
        <f ca="1">IF($A677="S",IF(CAIXA.Modo,BM.AFAnterior,BM.MEDAnterior),IF(AND(RegimeExecucao="Global",$I677&gt;0,COUNTIF($AB$13:$AM$13,BM.medicao-1)&gt;0),M677/$I677*100,0))</f>
        <v>0</v>
      </c>
      <c r="K677" s="124">
        <f t="shared" ca="1" si="58"/>
        <v>0</v>
      </c>
      <c r="L677" s="379">
        <f ca="1">IF($A677="S",IF(CAIXA.Modo,BM.AFAcumulado,BM.MEDAcumulado),IF(AND(RegimeExecucao="Global",$I677&gt;0,COUNTIF($AB$13:$AM$13,BM.medicao)&gt;0),O677/$I677*100,0))</f>
        <v>0</v>
      </c>
      <c r="M677" s="380">
        <f ca="1">IF($A677="S",VTOTALBM,IF($A677=0,0,ROUND(SomaAgrupBM,15-13*ORÇAMENTO!$AF$11)))</f>
        <v>0</v>
      </c>
      <c r="N677" s="381">
        <f t="shared" ca="1" si="59"/>
        <v>0</v>
      </c>
      <c r="O677" s="127">
        <f ca="1">IF($A677="S",VTOTALBM,IF($A677=0,0,ROUND(SomaAgrupBM,15-13*ORÇAMENTO!$AF$11)))</f>
        <v>0</v>
      </c>
      <c r="Q677" s="382"/>
      <c r="R677" s="383"/>
      <c r="T677" s="119" t="str">
        <f t="shared" ca="1" si="60"/>
        <v/>
      </c>
      <c r="U677" s="172" t="str">
        <f t="shared" ca="1" si="61"/>
        <v/>
      </c>
      <c r="V677" s="173" t="str">
        <f ca="1">IF(AND($W677&gt;0,RegimeExecucao="Unitário"),$F677,"")</f>
        <v/>
      </c>
      <c r="W677" s="547">
        <f ca="1">IF($Y677&gt;0,CHOOSE(MATCH(RegimeExecucao,{"Unitário","Global"},0),IF($A677="S",$Y677/$X677,""),($Y677/$X677)*100),0)</f>
        <v>0</v>
      </c>
      <c r="X677" s="384" t="str">
        <f ca="1">IF($Y677&gt;0,CHOOSE(MATCH(RegimeExecucao,{"Unitário","Global"},0),IF($A677="S",ROUND($H677,ORÇAMENTO!$AF$10),""),ROUND($I677,ORÇAMENTO!$AF$11)),"")</f>
        <v/>
      </c>
      <c r="Y677" s="384">
        <f t="shared" ca="1" si="62"/>
        <v>0</v>
      </c>
      <c r="Z677" s="572"/>
      <c r="AB677" s="382"/>
      <c r="AC677" s="516"/>
      <c r="AD677" s="516"/>
      <c r="AE677" s="516"/>
      <c r="AF677" s="516"/>
      <c r="AG677" s="516"/>
      <c r="AH677" s="516"/>
      <c r="AI677" s="516"/>
      <c r="AJ677" s="516"/>
      <c r="AK677" s="516"/>
      <c r="AL677" s="516"/>
      <c r="AM677" s="383"/>
      <c r="AO677">
        <f ca="1">IF($A677="S",IF(BM!$I677=0,0,CHOOSE(MATCH(RegimeExecucao,{"Global","Unitário"},0),ROUND(ROUND(BM.MEDAcumulado,15-13*BM!$A$9)/100*BM!$I677,15-13*ORÇAMENTO!$AF$11),ROUND(ROUND(BM.MEDAcumulado,15-13*BM!$A$9)*ROUND(BM!$H677,15-13*ORÇAMENTO!$AF$10),15-13*ORÇAMENTO!$AF$11))),IF($A677=0,0,ROUND(SomaAgrupBM,15-13*ORÇAMENTO!$AF$11)))</f>
        <v>0</v>
      </c>
    </row>
    <row r="678" spans="1:41" x14ac:dyDescent="0.2">
      <c r="A678" t="str">
        <f ca="1">ORÇAMENTO!C678</f>
        <v>S</v>
      </c>
      <c r="B678">
        <f ca="1">ORÇAMENTO!D678</f>
        <v>0</v>
      </c>
      <c r="C678" s="116" t="str">
        <f t="shared" ca="1" si="56"/>
        <v/>
      </c>
      <c r="D678" s="119" t="str">
        <f ca="1">ORÇAMENTO!O678</f>
        <v>-</v>
      </c>
      <c r="E678" s="172" t="str">
        <f t="shared" ca="1" si="64"/>
        <v>(abra o arquivo 'Referência 02-2025.xlsm)</v>
      </c>
      <c r="F678" s="173" t="str">
        <f ca="1">IF(RegimeExecucao="Global","",ORÇAMENTO.Unidade)</f>
        <v>-</v>
      </c>
      <c r="G678" s="124">
        <f ca="1">IF(RegimeExecucao="Global","",ORÇAMENTO!T678)</f>
        <v>4</v>
      </c>
      <c r="H678" s="124">
        <f ca="1">IF(RegimeExecucao="Global","",ORÇAMENTO!W678)</f>
        <v>0</v>
      </c>
      <c r="I678" s="127">
        <f ca="1">ORÇAMENTO!X678</f>
        <v>0</v>
      </c>
      <c r="J678" s="378">
        <f ca="1">IF($A678="S",IF(CAIXA.Modo,BM.AFAnterior,BM.MEDAnterior),IF(AND(RegimeExecucao="Global",$I678&gt;0,COUNTIF($AB$13:$AM$13,BM.medicao-1)&gt;0),M678/$I678*100,0))</f>
        <v>0</v>
      </c>
      <c r="K678" s="124">
        <f t="shared" ca="1" si="58"/>
        <v>0</v>
      </c>
      <c r="L678" s="379">
        <f ca="1">IF($A678="S",IF(CAIXA.Modo,BM.AFAcumulado,BM.MEDAcumulado),IF(AND(RegimeExecucao="Global",$I678&gt;0,COUNTIF($AB$13:$AM$13,BM.medicao)&gt;0),O678/$I678*100,0))</f>
        <v>0</v>
      </c>
      <c r="M678" s="380">
        <f ca="1">IF($A678="S",VTOTALBM,IF($A678=0,0,ROUND(SomaAgrupBM,15-13*ORÇAMENTO!$AF$11)))</f>
        <v>0</v>
      </c>
      <c r="N678" s="381">
        <f t="shared" ca="1" si="59"/>
        <v>0</v>
      </c>
      <c r="O678" s="127">
        <f ca="1">IF($A678="S",VTOTALBM,IF($A678=0,0,ROUND(SomaAgrupBM,15-13*ORÇAMENTO!$AF$11)))</f>
        <v>0</v>
      </c>
      <c r="Q678" s="382"/>
      <c r="R678" s="383"/>
      <c r="T678" s="119" t="str">
        <f t="shared" ca="1" si="60"/>
        <v/>
      </c>
      <c r="U678" s="172" t="str">
        <f t="shared" ca="1" si="61"/>
        <v/>
      </c>
      <c r="V678" s="173" t="str">
        <f ca="1">IF(AND($W678&gt;0,RegimeExecucao="Unitário"),$F678,"")</f>
        <v/>
      </c>
      <c r="W678" s="547">
        <f ca="1">IF($Y678&gt;0,CHOOSE(MATCH(RegimeExecucao,{"Unitário","Global"},0),IF($A678="S",$Y678/$X678,""),($Y678/$X678)*100),0)</f>
        <v>0</v>
      </c>
      <c r="X678" s="384" t="str">
        <f ca="1">IF($Y678&gt;0,CHOOSE(MATCH(RegimeExecucao,{"Unitário","Global"},0),IF($A678="S",ROUND($H678,ORÇAMENTO!$AF$10),""),ROUND($I678,ORÇAMENTO!$AF$11)),"")</f>
        <v/>
      </c>
      <c r="Y678" s="384">
        <f t="shared" ca="1" si="62"/>
        <v>0</v>
      </c>
      <c r="Z678" s="572"/>
      <c r="AB678" s="382"/>
      <c r="AC678" s="516"/>
      <c r="AD678" s="516"/>
      <c r="AE678" s="516"/>
      <c r="AF678" s="516"/>
      <c r="AG678" s="516"/>
      <c r="AH678" s="516"/>
      <c r="AI678" s="516"/>
      <c r="AJ678" s="516"/>
      <c r="AK678" s="516"/>
      <c r="AL678" s="516"/>
      <c r="AM678" s="383"/>
      <c r="AO678">
        <f ca="1">IF($A678="S",IF(BM!$I678=0,0,CHOOSE(MATCH(RegimeExecucao,{"Global","Unitário"},0),ROUND(ROUND(BM.MEDAcumulado,15-13*BM!$A$9)/100*BM!$I678,15-13*ORÇAMENTO!$AF$11),ROUND(ROUND(BM.MEDAcumulado,15-13*BM!$A$9)*ROUND(BM!$H678,15-13*ORÇAMENTO!$AF$10),15-13*ORÇAMENTO!$AF$11))),IF($A678=0,0,ROUND(SomaAgrupBM,15-13*ORÇAMENTO!$AF$11)))</f>
        <v>0</v>
      </c>
    </row>
    <row r="679" spans="1:41" ht="38.25" x14ac:dyDescent="0.2">
      <c r="A679" t="str">
        <f ca="1">ORÇAMENTO!C679</f>
        <v>S</v>
      </c>
      <c r="B679">
        <f ca="1">ORÇAMENTO!D679</f>
        <v>0</v>
      </c>
      <c r="C679" s="116" t="str">
        <f t="shared" ca="1" si="56"/>
        <v/>
      </c>
      <c r="D679" s="119" t="str">
        <f ca="1">ORÇAMENTO!O679</f>
        <v>-</v>
      </c>
      <c r="E679" s="172" t="str">
        <f t="shared" ca="1" si="64"/>
        <v>(abra o arquivo 'Referência 02-2025.xlsm)</v>
      </c>
      <c r="F679" s="173" t="str">
        <f ca="1">IF(RegimeExecucao="Global","",ORÇAMENTO.Unidade)</f>
        <v>-</v>
      </c>
      <c r="G679" s="124">
        <f ca="1">IF(RegimeExecucao="Global","",ORÇAMENTO!T679)</f>
        <v>2</v>
      </c>
      <c r="H679" s="124">
        <f ca="1">IF(RegimeExecucao="Global","",ORÇAMENTO!W679)</f>
        <v>0</v>
      </c>
      <c r="I679" s="127">
        <f ca="1">ORÇAMENTO!X679</f>
        <v>0</v>
      </c>
      <c r="J679" s="378">
        <f ca="1">IF($A679="S",IF(CAIXA.Modo,BM.AFAnterior,BM.MEDAnterior),IF(AND(RegimeExecucao="Global",$I679&gt;0,COUNTIF($AB$13:$AM$13,BM.medicao-1)&gt;0),M679/$I679*100,0))</f>
        <v>0</v>
      </c>
      <c r="K679" s="124">
        <f t="shared" ca="1" si="58"/>
        <v>0</v>
      </c>
      <c r="L679" s="379">
        <f ca="1">IF($A679="S",IF(CAIXA.Modo,BM.AFAcumulado,BM.MEDAcumulado),IF(AND(RegimeExecucao="Global",$I679&gt;0,COUNTIF($AB$13:$AM$13,BM.medicao)&gt;0),O679/$I679*100,0))</f>
        <v>0</v>
      </c>
      <c r="M679" s="380">
        <f ca="1">IF($A679="S",VTOTALBM,IF($A679=0,0,ROUND(SomaAgrupBM,15-13*ORÇAMENTO!$AF$11)))</f>
        <v>0</v>
      </c>
      <c r="N679" s="381">
        <f t="shared" ca="1" si="59"/>
        <v>0</v>
      </c>
      <c r="O679" s="127">
        <f ca="1">IF($A679="S",VTOTALBM,IF($A679=0,0,ROUND(SomaAgrupBM,15-13*ORÇAMENTO!$AF$11)))</f>
        <v>0</v>
      </c>
      <c r="Q679" s="382"/>
      <c r="R679" s="383"/>
      <c r="T679" s="119" t="str">
        <f t="shared" ca="1" si="60"/>
        <v/>
      </c>
      <c r="U679" s="172" t="str">
        <f t="shared" ca="1" si="61"/>
        <v/>
      </c>
      <c r="V679" s="173" t="str">
        <f ca="1">IF(AND($W679&gt;0,RegimeExecucao="Unitário"),$F679,"")</f>
        <v/>
      </c>
      <c r="W679" s="547">
        <f ca="1">IF($Y679&gt;0,CHOOSE(MATCH(RegimeExecucao,{"Unitário","Global"},0),IF($A679="S",$Y679/$X679,""),($Y679/$X679)*100),0)</f>
        <v>0</v>
      </c>
      <c r="X679" s="384" t="str">
        <f ca="1">IF($Y679&gt;0,CHOOSE(MATCH(RegimeExecucao,{"Unitário","Global"},0),IF($A679="S",ROUND($H679,ORÇAMENTO!$AF$10),""),ROUND($I679,ORÇAMENTO!$AF$11)),"")</f>
        <v/>
      </c>
      <c r="Y679" s="384">
        <f t="shared" ca="1" si="62"/>
        <v>0</v>
      </c>
      <c r="Z679" s="572"/>
      <c r="AB679" s="382"/>
      <c r="AC679" s="516"/>
      <c r="AD679" s="516"/>
      <c r="AE679" s="516"/>
      <c r="AF679" s="516"/>
      <c r="AG679" s="516"/>
      <c r="AH679" s="516"/>
      <c r="AI679" s="516"/>
      <c r="AJ679" s="516"/>
      <c r="AK679" s="516"/>
      <c r="AL679" s="516"/>
      <c r="AM679" s="383"/>
      <c r="AO679">
        <f ca="1">IF($A679="S",IF(BM!$I679=0,0,CHOOSE(MATCH(RegimeExecucao,{"Global","Unitário"},0),ROUND(ROUND(BM.MEDAcumulado,15-13*BM!$A$9)/100*BM!$I679,15-13*ORÇAMENTO!$AF$11),ROUND(ROUND(BM.MEDAcumulado,15-13*BM!$A$9)*ROUND(BM!$H679,15-13*ORÇAMENTO!$AF$10),15-13*ORÇAMENTO!$AF$11))),IF($A679=0,0,ROUND(SomaAgrupBM,15-13*ORÇAMENTO!$AF$11)))</f>
        <v>0</v>
      </c>
    </row>
    <row r="680" spans="1:41" ht="38.25" x14ac:dyDescent="0.2">
      <c r="A680" t="str">
        <f ca="1">ORÇAMENTO!C680</f>
        <v>S</v>
      </c>
      <c r="B680">
        <f ca="1">ORÇAMENTO!D680</f>
        <v>0</v>
      </c>
      <c r="C680" s="116" t="str">
        <f t="shared" ca="1" si="56"/>
        <v/>
      </c>
      <c r="D680" s="119" t="str">
        <f ca="1">ORÇAMENTO!O680</f>
        <v>-</v>
      </c>
      <c r="E680" s="172" t="str">
        <f t="shared" ca="1" si="64"/>
        <v>(abra o arquivo 'Referência 02-2025.xlsm)</v>
      </c>
      <c r="F680" s="173" t="str">
        <f ca="1">IF(RegimeExecucao="Global","",ORÇAMENTO.Unidade)</f>
        <v>-</v>
      </c>
      <c r="G680" s="124">
        <f ca="1">IF(RegimeExecucao="Global","",ORÇAMENTO!T680)</f>
        <v>6</v>
      </c>
      <c r="H680" s="124">
        <f ca="1">IF(RegimeExecucao="Global","",ORÇAMENTO!W680)</f>
        <v>0</v>
      </c>
      <c r="I680" s="127">
        <f ca="1">ORÇAMENTO!X680</f>
        <v>0</v>
      </c>
      <c r="J680" s="378">
        <f ca="1">IF($A680="S",IF(CAIXA.Modo,BM.AFAnterior,BM.MEDAnterior),IF(AND(RegimeExecucao="Global",$I680&gt;0,COUNTIF($AB$13:$AM$13,BM.medicao-1)&gt;0),M680/$I680*100,0))</f>
        <v>0</v>
      </c>
      <c r="K680" s="124">
        <f t="shared" ca="1" si="58"/>
        <v>0</v>
      </c>
      <c r="L680" s="379">
        <f ca="1">IF($A680="S",IF(CAIXA.Modo,BM.AFAcumulado,BM.MEDAcumulado),IF(AND(RegimeExecucao="Global",$I680&gt;0,COUNTIF($AB$13:$AM$13,BM.medicao)&gt;0),O680/$I680*100,0))</f>
        <v>0</v>
      </c>
      <c r="M680" s="380">
        <f ca="1">IF($A680="S",VTOTALBM,IF($A680=0,0,ROUND(SomaAgrupBM,15-13*ORÇAMENTO!$AF$11)))</f>
        <v>0</v>
      </c>
      <c r="N680" s="381">
        <f t="shared" ca="1" si="59"/>
        <v>0</v>
      </c>
      <c r="O680" s="127">
        <f ca="1">IF($A680="S",VTOTALBM,IF($A680=0,0,ROUND(SomaAgrupBM,15-13*ORÇAMENTO!$AF$11)))</f>
        <v>0</v>
      </c>
      <c r="Q680" s="382"/>
      <c r="R680" s="383"/>
      <c r="T680" s="119" t="str">
        <f t="shared" ca="1" si="60"/>
        <v/>
      </c>
      <c r="U680" s="172" t="str">
        <f t="shared" ca="1" si="61"/>
        <v/>
      </c>
      <c r="V680" s="173" t="str">
        <f ca="1">IF(AND($W680&gt;0,RegimeExecucao="Unitário"),$F680,"")</f>
        <v/>
      </c>
      <c r="W680" s="547">
        <f ca="1">IF($Y680&gt;0,CHOOSE(MATCH(RegimeExecucao,{"Unitário","Global"},0),IF($A680="S",$Y680/$X680,""),($Y680/$X680)*100),0)</f>
        <v>0</v>
      </c>
      <c r="X680" s="384" t="str">
        <f ca="1">IF($Y680&gt;0,CHOOSE(MATCH(RegimeExecucao,{"Unitário","Global"},0),IF($A680="S",ROUND($H680,ORÇAMENTO!$AF$10),""),ROUND($I680,ORÇAMENTO!$AF$11)),"")</f>
        <v/>
      </c>
      <c r="Y680" s="384">
        <f t="shared" ca="1" si="62"/>
        <v>0</v>
      </c>
      <c r="Z680" s="572"/>
      <c r="AB680" s="382"/>
      <c r="AC680" s="516"/>
      <c r="AD680" s="516"/>
      <c r="AE680" s="516"/>
      <c r="AF680" s="516"/>
      <c r="AG680" s="516"/>
      <c r="AH680" s="516"/>
      <c r="AI680" s="516"/>
      <c r="AJ680" s="516"/>
      <c r="AK680" s="516"/>
      <c r="AL680" s="516"/>
      <c r="AM680" s="383"/>
      <c r="AO680">
        <f ca="1">IF($A680="S",IF(BM!$I680=0,0,CHOOSE(MATCH(RegimeExecucao,{"Global","Unitário"},0),ROUND(ROUND(BM.MEDAcumulado,15-13*BM!$A$9)/100*BM!$I680,15-13*ORÇAMENTO!$AF$11),ROUND(ROUND(BM.MEDAcumulado,15-13*BM!$A$9)*ROUND(BM!$H680,15-13*ORÇAMENTO!$AF$10),15-13*ORÇAMENTO!$AF$11))),IF($A680=0,0,ROUND(SomaAgrupBM,15-13*ORÇAMENTO!$AF$11)))</f>
        <v>0</v>
      </c>
    </row>
    <row r="681" spans="1:41" ht="38.25" x14ac:dyDescent="0.2">
      <c r="A681" t="str">
        <f ca="1">ORÇAMENTO!C681</f>
        <v>S</v>
      </c>
      <c r="B681">
        <f ca="1">ORÇAMENTO!D681</f>
        <v>0</v>
      </c>
      <c r="C681" s="116" t="str">
        <f t="shared" ca="1" si="56"/>
        <v/>
      </c>
      <c r="D681" s="119" t="str">
        <f ca="1">ORÇAMENTO!O681</f>
        <v>-</v>
      </c>
      <c r="E681" s="172" t="str">
        <f t="shared" ca="1" si="64"/>
        <v>(abra o arquivo 'Referência 02-2025.xlsm)</v>
      </c>
      <c r="F681" s="173" t="str">
        <f ca="1">IF(RegimeExecucao="Global","",ORÇAMENTO.Unidade)</f>
        <v>-</v>
      </c>
      <c r="G681" s="124">
        <f ca="1">IF(RegimeExecucao="Global","",ORÇAMENTO!T681)</f>
        <v>2</v>
      </c>
      <c r="H681" s="124">
        <f ca="1">IF(RegimeExecucao="Global","",ORÇAMENTO!W681)</f>
        <v>0</v>
      </c>
      <c r="I681" s="127">
        <f ca="1">ORÇAMENTO!X681</f>
        <v>0</v>
      </c>
      <c r="J681" s="378">
        <f ca="1">IF($A681="S",IF(CAIXA.Modo,BM.AFAnterior,BM.MEDAnterior),IF(AND(RegimeExecucao="Global",$I681&gt;0,COUNTIF($AB$13:$AM$13,BM.medicao-1)&gt;0),M681/$I681*100,0))</f>
        <v>0</v>
      </c>
      <c r="K681" s="124">
        <f t="shared" ca="1" si="58"/>
        <v>0</v>
      </c>
      <c r="L681" s="379">
        <f ca="1">IF($A681="S",IF(CAIXA.Modo,BM.AFAcumulado,BM.MEDAcumulado),IF(AND(RegimeExecucao="Global",$I681&gt;0,COUNTIF($AB$13:$AM$13,BM.medicao)&gt;0),O681/$I681*100,0))</f>
        <v>0</v>
      </c>
      <c r="M681" s="380">
        <f ca="1">IF($A681="S",VTOTALBM,IF($A681=0,0,ROUND(SomaAgrupBM,15-13*ORÇAMENTO!$AF$11)))</f>
        <v>0</v>
      </c>
      <c r="N681" s="381">
        <f t="shared" ca="1" si="59"/>
        <v>0</v>
      </c>
      <c r="O681" s="127">
        <f ca="1">IF($A681="S",VTOTALBM,IF($A681=0,0,ROUND(SomaAgrupBM,15-13*ORÇAMENTO!$AF$11)))</f>
        <v>0</v>
      </c>
      <c r="Q681" s="382"/>
      <c r="R681" s="383"/>
      <c r="T681" s="119" t="str">
        <f t="shared" ca="1" si="60"/>
        <v/>
      </c>
      <c r="U681" s="172" t="str">
        <f t="shared" ca="1" si="61"/>
        <v/>
      </c>
      <c r="V681" s="173" t="str">
        <f ca="1">IF(AND($W681&gt;0,RegimeExecucao="Unitário"),$F681,"")</f>
        <v/>
      </c>
      <c r="W681" s="547">
        <f ca="1">IF($Y681&gt;0,CHOOSE(MATCH(RegimeExecucao,{"Unitário","Global"},0),IF($A681="S",$Y681/$X681,""),($Y681/$X681)*100),0)</f>
        <v>0</v>
      </c>
      <c r="X681" s="384" t="str">
        <f ca="1">IF($Y681&gt;0,CHOOSE(MATCH(RegimeExecucao,{"Unitário","Global"},0),IF($A681="S",ROUND($H681,ORÇAMENTO!$AF$10),""),ROUND($I681,ORÇAMENTO!$AF$11)),"")</f>
        <v/>
      </c>
      <c r="Y681" s="384">
        <f t="shared" ca="1" si="62"/>
        <v>0</v>
      </c>
      <c r="Z681" s="572"/>
      <c r="AB681" s="382"/>
      <c r="AC681" s="516"/>
      <c r="AD681" s="516"/>
      <c r="AE681" s="516"/>
      <c r="AF681" s="516"/>
      <c r="AG681" s="516"/>
      <c r="AH681" s="516"/>
      <c r="AI681" s="516"/>
      <c r="AJ681" s="516"/>
      <c r="AK681" s="516"/>
      <c r="AL681" s="516"/>
      <c r="AM681" s="383"/>
      <c r="AO681">
        <f ca="1">IF($A681="S",IF(BM!$I681=0,0,CHOOSE(MATCH(RegimeExecucao,{"Global","Unitário"},0),ROUND(ROUND(BM.MEDAcumulado,15-13*BM!$A$9)/100*BM!$I681,15-13*ORÇAMENTO!$AF$11),ROUND(ROUND(BM.MEDAcumulado,15-13*BM!$A$9)*ROUND(BM!$H681,15-13*ORÇAMENTO!$AF$10),15-13*ORÇAMENTO!$AF$11))),IF($A681=0,0,ROUND(SomaAgrupBM,15-13*ORÇAMENTO!$AF$11)))</f>
        <v>0</v>
      </c>
    </row>
    <row r="682" spans="1:41" x14ac:dyDescent="0.2">
      <c r="A682">
        <f ca="1">ORÇAMENTO!C682</f>
        <v>2</v>
      </c>
      <c r="B682">
        <f ca="1">ORÇAMENTO!D682</f>
        <v>12</v>
      </c>
      <c r="C682" s="116" t="str">
        <f t="shared" ca="1" si="56"/>
        <v>F</v>
      </c>
      <c r="D682" s="119" t="str">
        <f ca="1">ORÇAMENTO!O682</f>
        <v>1.23.</v>
      </c>
      <c r="E682" s="172" t="str">
        <f t="shared" ca="1" si="64"/>
        <v>SERVIÇOS COMPLEMENTARES</v>
      </c>
      <c r="F682" s="173" t="str">
        <f ca="1">IF(RegimeExecucao="Global","",ORÇAMENTO.Unidade)</f>
        <v>-</v>
      </c>
      <c r="G682" s="124">
        <f ca="1">IF(RegimeExecucao="Global","",ORÇAMENTO!T682)</f>
        <v>0</v>
      </c>
      <c r="H682" s="124">
        <f ca="1">IF(RegimeExecucao="Global","",ORÇAMENTO!W682)</f>
        <v>0</v>
      </c>
      <c r="I682" s="127">
        <f ca="1">ORÇAMENTO!X682</f>
        <v>0</v>
      </c>
      <c r="J682" s="378">
        <f ca="1">IF($A682="S",IF(CAIXA.Modo,BM.AFAnterior,BM.MEDAnterior),IF(AND(RegimeExecucao="Global",$I682&gt;0,COUNTIF($AB$13:$AM$13,BM.medicao-1)&gt;0),M682/$I682*100,0))</f>
        <v>0</v>
      </c>
      <c r="K682" s="124">
        <f t="shared" ca="1" si="58"/>
        <v>0</v>
      </c>
      <c r="L682" s="379">
        <f ca="1">IF($A682="S",IF(CAIXA.Modo,BM.AFAcumulado,BM.MEDAcumulado),IF(AND(RegimeExecucao="Global",$I682&gt;0,COUNTIF($AB$13:$AM$13,BM.medicao)&gt;0),O682/$I682*100,0))</f>
        <v>0</v>
      </c>
      <c r="M682" s="380">
        <f ca="1">IF($A682="S",VTOTALBM,IF($A682=0,0,ROUND(SomaAgrupBM,15-13*ORÇAMENTO!$AF$11)))</f>
        <v>0</v>
      </c>
      <c r="N682" s="381">
        <f t="shared" ca="1" si="59"/>
        <v>0</v>
      </c>
      <c r="O682" s="127">
        <f ca="1">IF($A682="S",VTOTALBM,IF($A682=0,0,ROUND(SomaAgrupBM,15-13*ORÇAMENTO!$AF$11)))</f>
        <v>0</v>
      </c>
      <c r="Q682" s="382"/>
      <c r="R682" s="383"/>
      <c r="T682" s="119" t="str">
        <f t="shared" ca="1" si="60"/>
        <v/>
      </c>
      <c r="U682" s="172" t="str">
        <f t="shared" ca="1" si="61"/>
        <v/>
      </c>
      <c r="V682" s="173" t="str">
        <f ca="1">IF(AND($W682&gt;0,RegimeExecucao="Unitário"),$F682,"")</f>
        <v/>
      </c>
      <c r="W682" s="547">
        <f ca="1">IF($Y682&gt;0,CHOOSE(MATCH(RegimeExecucao,{"Unitário","Global"},0),IF($A682="S",$Y682/$X682,""),($Y682/$X682)*100),0)</f>
        <v>0</v>
      </c>
      <c r="X682" s="384" t="str">
        <f ca="1">IF($Y682&gt;0,CHOOSE(MATCH(RegimeExecucao,{"Unitário","Global"},0),IF($A682="S",ROUND($H682,ORÇAMENTO!$AF$10),""),ROUND($I682,ORÇAMENTO!$AF$11)),"")</f>
        <v/>
      </c>
      <c r="Y682" s="384">
        <f t="shared" ca="1" si="62"/>
        <v>0</v>
      </c>
      <c r="Z682" s="572"/>
      <c r="AB682" s="382"/>
      <c r="AC682" s="516"/>
      <c r="AD682" s="516"/>
      <c r="AE682" s="516"/>
      <c r="AF682" s="516"/>
      <c r="AG682" s="516"/>
      <c r="AH682" s="516"/>
      <c r="AI682" s="516"/>
      <c r="AJ682" s="516"/>
      <c r="AK682" s="516"/>
      <c r="AL682" s="516"/>
      <c r="AM682" s="383"/>
      <c r="AO682">
        <f ca="1">IF($A682="S",IF(BM!$I682=0,0,CHOOSE(MATCH(RegimeExecucao,{"Global","Unitário"},0),ROUND(ROUND(BM.MEDAcumulado,15-13*BM!$A$9)/100*BM!$I682,15-13*ORÇAMENTO!$AF$11),ROUND(ROUND(BM.MEDAcumulado,15-13*BM!$A$9)*ROUND(BM!$H682,15-13*ORÇAMENTO!$AF$10),15-13*ORÇAMENTO!$AF$11))),IF($A682=0,0,ROUND(SomaAgrupBM,15-13*ORÇAMENTO!$AF$11)))</f>
        <v>0</v>
      </c>
    </row>
    <row r="683" spans="1:41" x14ac:dyDescent="0.2">
      <c r="A683" t="str">
        <f ca="1">ORÇAMENTO!C683</f>
        <v>S</v>
      </c>
      <c r="B683">
        <f ca="1">ORÇAMENTO!D683</f>
        <v>0</v>
      </c>
      <c r="C683" s="116" t="str">
        <f t="shared" ca="1" si="56"/>
        <v/>
      </c>
      <c r="D683" s="119" t="str">
        <f ca="1">ORÇAMENTO!O683</f>
        <v>-</v>
      </c>
      <c r="E683" s="172" t="str">
        <f t="shared" ca="1" si="64"/>
        <v>(abra o arquivo 'Referência 02-2025.xlsm)</v>
      </c>
      <c r="F683" s="173" t="str">
        <f ca="1">IF(RegimeExecucao="Global","",ORÇAMENTO.Unidade)</f>
        <v>-</v>
      </c>
      <c r="G683" s="124">
        <f ca="1">IF(RegimeExecucao="Global","",ORÇAMENTO!T683)</f>
        <v>1</v>
      </c>
      <c r="H683" s="124">
        <f ca="1">IF(RegimeExecucao="Global","",ORÇAMENTO!W683)</f>
        <v>0</v>
      </c>
      <c r="I683" s="127">
        <f ca="1">ORÇAMENTO!X683</f>
        <v>0</v>
      </c>
      <c r="J683" s="378">
        <f ca="1">IF($A683="S",IF(CAIXA.Modo,BM.AFAnterior,BM.MEDAnterior),IF(AND(RegimeExecucao="Global",$I683&gt;0,COUNTIF($AB$13:$AM$13,BM.medicao-1)&gt;0),M683/$I683*100,0))</f>
        <v>0</v>
      </c>
      <c r="K683" s="124">
        <f t="shared" ca="1" si="58"/>
        <v>0</v>
      </c>
      <c r="L683" s="379">
        <f ca="1">IF($A683="S",IF(CAIXA.Modo,BM.AFAcumulado,BM.MEDAcumulado),IF(AND(RegimeExecucao="Global",$I683&gt;0,COUNTIF($AB$13:$AM$13,BM.medicao)&gt;0),O683/$I683*100,0))</f>
        <v>0</v>
      </c>
      <c r="M683" s="380">
        <f ca="1">IF($A683="S",VTOTALBM,IF($A683=0,0,ROUND(SomaAgrupBM,15-13*ORÇAMENTO!$AF$11)))</f>
        <v>0</v>
      </c>
      <c r="N683" s="381">
        <f t="shared" ca="1" si="59"/>
        <v>0</v>
      </c>
      <c r="O683" s="127">
        <f ca="1">IF($A683="S",VTOTALBM,IF($A683=0,0,ROUND(SomaAgrupBM,15-13*ORÇAMENTO!$AF$11)))</f>
        <v>0</v>
      </c>
      <c r="Q683" s="382"/>
      <c r="R683" s="383"/>
      <c r="T683" s="119" t="str">
        <f t="shared" ca="1" si="60"/>
        <v/>
      </c>
      <c r="U683" s="172" t="str">
        <f t="shared" ca="1" si="61"/>
        <v/>
      </c>
      <c r="V683" s="173" t="str">
        <f ca="1">IF(AND($W683&gt;0,RegimeExecucao="Unitário"),$F683,"")</f>
        <v/>
      </c>
      <c r="W683" s="547">
        <f ca="1">IF($Y683&gt;0,CHOOSE(MATCH(RegimeExecucao,{"Unitário","Global"},0),IF($A683="S",$Y683/$X683,""),($Y683/$X683)*100),0)</f>
        <v>0</v>
      </c>
      <c r="X683" s="384" t="str">
        <f ca="1">IF($Y683&gt;0,CHOOSE(MATCH(RegimeExecucao,{"Unitário","Global"},0),IF($A683="S",ROUND($H683,ORÇAMENTO!$AF$10),""),ROUND($I683,ORÇAMENTO!$AF$11)),"")</f>
        <v/>
      </c>
      <c r="Y683" s="384">
        <f t="shared" ca="1" si="62"/>
        <v>0</v>
      </c>
      <c r="Z683" s="572"/>
      <c r="AB683" s="382"/>
      <c r="AC683" s="516"/>
      <c r="AD683" s="516"/>
      <c r="AE683" s="516"/>
      <c r="AF683" s="516"/>
      <c r="AG683" s="516"/>
      <c r="AH683" s="516"/>
      <c r="AI683" s="516"/>
      <c r="AJ683" s="516"/>
      <c r="AK683" s="516"/>
      <c r="AL683" s="516"/>
      <c r="AM683" s="383"/>
      <c r="AO683">
        <f ca="1">IF($A683="S",IF(BM!$I683=0,0,CHOOSE(MATCH(RegimeExecucao,{"Global","Unitário"},0),ROUND(ROUND(BM.MEDAcumulado,15-13*BM!$A$9)/100*BM!$I683,15-13*ORÇAMENTO!$AF$11),ROUND(ROUND(BM.MEDAcumulado,15-13*BM!$A$9)*ROUND(BM!$H683,15-13*ORÇAMENTO!$AF$10),15-13*ORÇAMENTO!$AF$11))),IF($A683=0,0,ROUND(SomaAgrupBM,15-13*ORÇAMENTO!$AF$11)))</f>
        <v>0</v>
      </c>
    </row>
    <row r="684" spans="1:41" ht="25.5" x14ac:dyDescent="0.2">
      <c r="A684" t="str">
        <f ca="1">ORÇAMENTO!C684</f>
        <v>S</v>
      </c>
      <c r="B684">
        <f ca="1">ORÇAMENTO!D684</f>
        <v>0</v>
      </c>
      <c r="C684" s="116" t="str">
        <f t="shared" ca="1" si="56"/>
        <v/>
      </c>
      <c r="D684" s="119" t="str">
        <f ca="1">ORÇAMENTO!O684</f>
        <v>-</v>
      </c>
      <c r="E684" s="172" t="str">
        <f t="shared" ca="1" si="64"/>
        <v>(abra o arquivo 'Referência 02-2025.xlsm)</v>
      </c>
      <c r="F684" s="173" t="str">
        <f ca="1">IF(RegimeExecucao="Global","",ORÇAMENTO.Unidade)</f>
        <v>-</v>
      </c>
      <c r="G684" s="124">
        <f ca="1">IF(RegimeExecucao="Global","",ORÇAMENTO!T684)</f>
        <v>64.53</v>
      </c>
      <c r="H684" s="124">
        <f ca="1">IF(RegimeExecucao="Global","",ORÇAMENTO!W684)</f>
        <v>0</v>
      </c>
      <c r="I684" s="127">
        <f ca="1">ORÇAMENTO!X684</f>
        <v>0</v>
      </c>
      <c r="J684" s="378">
        <f ca="1">IF($A684="S",IF(CAIXA.Modo,BM.AFAnterior,BM.MEDAnterior),IF(AND(RegimeExecucao="Global",$I684&gt;0,COUNTIF($AB$13:$AM$13,BM.medicao-1)&gt;0),M684/$I684*100,0))</f>
        <v>0</v>
      </c>
      <c r="K684" s="124">
        <f t="shared" ca="1" si="58"/>
        <v>0</v>
      </c>
      <c r="L684" s="379">
        <f ca="1">IF($A684="S",IF(CAIXA.Modo,BM.AFAcumulado,BM.MEDAcumulado),IF(AND(RegimeExecucao="Global",$I684&gt;0,COUNTIF($AB$13:$AM$13,BM.medicao)&gt;0),O684/$I684*100,0))</f>
        <v>0</v>
      </c>
      <c r="M684" s="380">
        <f ca="1">IF($A684="S",VTOTALBM,IF($A684=0,0,ROUND(SomaAgrupBM,15-13*ORÇAMENTO!$AF$11)))</f>
        <v>0</v>
      </c>
      <c r="N684" s="381">
        <f t="shared" ca="1" si="59"/>
        <v>0</v>
      </c>
      <c r="O684" s="127">
        <f ca="1">IF($A684="S",VTOTALBM,IF($A684=0,0,ROUND(SomaAgrupBM,15-13*ORÇAMENTO!$AF$11)))</f>
        <v>0</v>
      </c>
      <c r="Q684" s="382"/>
      <c r="R684" s="383"/>
      <c r="T684" s="119" t="str">
        <f t="shared" ca="1" si="60"/>
        <v/>
      </c>
      <c r="U684" s="172" t="str">
        <f t="shared" ca="1" si="61"/>
        <v/>
      </c>
      <c r="V684" s="173" t="str">
        <f ca="1">IF(AND($W684&gt;0,RegimeExecucao="Unitário"),$F684,"")</f>
        <v/>
      </c>
      <c r="W684" s="547">
        <f ca="1">IF($Y684&gt;0,CHOOSE(MATCH(RegimeExecucao,{"Unitário","Global"},0),IF($A684="S",$Y684/$X684,""),($Y684/$X684)*100),0)</f>
        <v>0</v>
      </c>
      <c r="X684" s="384" t="str">
        <f ca="1">IF($Y684&gt;0,CHOOSE(MATCH(RegimeExecucao,{"Unitário","Global"},0),IF($A684="S",ROUND($H684,ORÇAMENTO!$AF$10),""),ROUND($I684,ORÇAMENTO!$AF$11)),"")</f>
        <v/>
      </c>
      <c r="Y684" s="384">
        <f t="shared" ca="1" si="62"/>
        <v>0</v>
      </c>
      <c r="Z684" s="572"/>
      <c r="AB684" s="382"/>
      <c r="AC684" s="516"/>
      <c r="AD684" s="516"/>
      <c r="AE684" s="516"/>
      <c r="AF684" s="516"/>
      <c r="AG684" s="516"/>
      <c r="AH684" s="516"/>
      <c r="AI684" s="516"/>
      <c r="AJ684" s="516"/>
      <c r="AK684" s="516"/>
      <c r="AL684" s="516"/>
      <c r="AM684" s="383"/>
      <c r="AO684">
        <f ca="1">IF($A684="S",IF(BM!$I684=0,0,CHOOSE(MATCH(RegimeExecucao,{"Global","Unitário"},0),ROUND(ROUND(BM.MEDAcumulado,15-13*BM!$A$9)/100*BM!$I684,15-13*ORÇAMENTO!$AF$11),ROUND(ROUND(BM.MEDAcumulado,15-13*BM!$A$9)*ROUND(BM!$H684,15-13*ORÇAMENTO!$AF$10),15-13*ORÇAMENTO!$AF$11))),IF($A684=0,0,ROUND(SomaAgrupBM,15-13*ORÇAMENTO!$AF$11)))</f>
        <v>0</v>
      </c>
    </row>
    <row r="685" spans="1:41" ht="25.5" x14ac:dyDescent="0.2">
      <c r="A685" t="str">
        <f ca="1">ORÇAMENTO!C685</f>
        <v>S</v>
      </c>
      <c r="B685">
        <f ca="1">ORÇAMENTO!D685</f>
        <v>0</v>
      </c>
      <c r="C685" s="116" t="str">
        <f t="shared" ca="1" si="56"/>
        <v/>
      </c>
      <c r="D685" s="119" t="str">
        <f ca="1">ORÇAMENTO!O685</f>
        <v>-</v>
      </c>
      <c r="E685" s="172" t="str">
        <f t="shared" ca="1" si="64"/>
        <v>(abra o arquivo 'Referência 02-2025.xlsm)</v>
      </c>
      <c r="F685" s="173" t="str">
        <f ca="1">IF(RegimeExecucao="Global","",ORÇAMENTO.Unidade)</f>
        <v>-</v>
      </c>
      <c r="G685" s="124">
        <f ca="1">IF(RegimeExecucao="Global","",ORÇAMENTO!T685)</f>
        <v>2.21</v>
      </c>
      <c r="H685" s="124">
        <f ca="1">IF(RegimeExecucao="Global","",ORÇAMENTO!W685)</f>
        <v>0</v>
      </c>
      <c r="I685" s="127">
        <f ca="1">ORÇAMENTO!X685</f>
        <v>0</v>
      </c>
      <c r="J685" s="378">
        <f ca="1">IF($A685="S",IF(CAIXA.Modo,BM.AFAnterior,BM.MEDAnterior),IF(AND(RegimeExecucao="Global",$I685&gt;0,COUNTIF($AB$13:$AM$13,BM.medicao-1)&gt;0),M685/$I685*100,0))</f>
        <v>0</v>
      </c>
      <c r="K685" s="124">
        <f t="shared" ca="1" si="58"/>
        <v>0</v>
      </c>
      <c r="L685" s="379">
        <f ca="1">IF($A685="S",IF(CAIXA.Modo,BM.AFAcumulado,BM.MEDAcumulado),IF(AND(RegimeExecucao="Global",$I685&gt;0,COUNTIF($AB$13:$AM$13,BM.medicao)&gt;0),O685/$I685*100,0))</f>
        <v>0</v>
      </c>
      <c r="M685" s="380">
        <f ca="1">IF($A685="S",VTOTALBM,IF($A685=0,0,ROUND(SomaAgrupBM,15-13*ORÇAMENTO!$AF$11)))</f>
        <v>0</v>
      </c>
      <c r="N685" s="381">
        <f t="shared" ca="1" si="59"/>
        <v>0</v>
      </c>
      <c r="O685" s="127">
        <f ca="1">IF($A685="S",VTOTALBM,IF($A685=0,0,ROUND(SomaAgrupBM,15-13*ORÇAMENTO!$AF$11)))</f>
        <v>0</v>
      </c>
      <c r="Q685" s="382"/>
      <c r="R685" s="383"/>
      <c r="T685" s="119" t="str">
        <f t="shared" ca="1" si="60"/>
        <v/>
      </c>
      <c r="U685" s="172" t="str">
        <f t="shared" ca="1" si="61"/>
        <v/>
      </c>
      <c r="V685" s="173" t="str">
        <f ca="1">IF(AND($W685&gt;0,RegimeExecucao="Unitário"),$F685,"")</f>
        <v/>
      </c>
      <c r="W685" s="547">
        <f ca="1">IF($Y685&gt;0,CHOOSE(MATCH(RegimeExecucao,{"Unitário","Global"},0),IF($A685="S",$Y685/$X685,""),($Y685/$X685)*100),0)</f>
        <v>0</v>
      </c>
      <c r="X685" s="384" t="str">
        <f ca="1">IF($Y685&gt;0,CHOOSE(MATCH(RegimeExecucao,{"Unitário","Global"},0),IF($A685="S",ROUND($H685,ORÇAMENTO!$AF$10),""),ROUND($I685,ORÇAMENTO!$AF$11)),"")</f>
        <v/>
      </c>
      <c r="Y685" s="384">
        <f t="shared" ca="1" si="62"/>
        <v>0</v>
      </c>
      <c r="Z685" s="572"/>
      <c r="AB685" s="382"/>
      <c r="AC685" s="516"/>
      <c r="AD685" s="516"/>
      <c r="AE685" s="516"/>
      <c r="AF685" s="516"/>
      <c r="AG685" s="516"/>
      <c r="AH685" s="516"/>
      <c r="AI685" s="516"/>
      <c r="AJ685" s="516"/>
      <c r="AK685" s="516"/>
      <c r="AL685" s="516"/>
      <c r="AM685" s="383"/>
      <c r="AO685">
        <f ca="1">IF($A685="S",IF(BM!$I685=0,0,CHOOSE(MATCH(RegimeExecucao,{"Global","Unitário"},0),ROUND(ROUND(BM.MEDAcumulado,15-13*BM!$A$9)/100*BM!$I685,15-13*ORÇAMENTO!$AF$11),ROUND(ROUND(BM.MEDAcumulado,15-13*BM!$A$9)*ROUND(BM!$H685,15-13*ORÇAMENTO!$AF$10),15-13*ORÇAMENTO!$AF$11))),IF($A685=0,0,ROUND(SomaAgrupBM,15-13*ORÇAMENTO!$AF$11)))</f>
        <v>0</v>
      </c>
    </row>
    <row r="686" spans="1:41" ht="25.5" x14ac:dyDescent="0.2">
      <c r="A686" t="str">
        <f ca="1">ORÇAMENTO!C686</f>
        <v>S</v>
      </c>
      <c r="B686">
        <f ca="1">ORÇAMENTO!D686</f>
        <v>0</v>
      </c>
      <c r="C686" s="116" t="str">
        <f t="shared" ca="1" si="56"/>
        <v/>
      </c>
      <c r="D686" s="119" t="str">
        <f ca="1">ORÇAMENTO!O686</f>
        <v>-</v>
      </c>
      <c r="E686" s="172" t="str">
        <f t="shared" ca="1" si="64"/>
        <v>(abra o arquivo 'Referência 02-2025.xlsm)</v>
      </c>
      <c r="F686" s="173" t="str">
        <f ca="1">IF(RegimeExecucao="Global","",ORÇAMENTO.Unidade)</f>
        <v>-</v>
      </c>
      <c r="G686" s="124">
        <f ca="1">IF(RegimeExecucao="Global","",ORÇAMENTO!T686)</f>
        <v>53.79</v>
      </c>
      <c r="H686" s="124">
        <f ca="1">IF(RegimeExecucao="Global","",ORÇAMENTO!W686)</f>
        <v>0</v>
      </c>
      <c r="I686" s="127">
        <f ca="1">ORÇAMENTO!X686</f>
        <v>0</v>
      </c>
      <c r="J686" s="378">
        <f ca="1">IF($A686="S",IF(CAIXA.Modo,BM.AFAnterior,BM.MEDAnterior),IF(AND(RegimeExecucao="Global",$I686&gt;0,COUNTIF($AB$13:$AM$13,BM.medicao-1)&gt;0),M686/$I686*100,0))</f>
        <v>0</v>
      </c>
      <c r="K686" s="124">
        <f t="shared" ca="1" si="58"/>
        <v>0</v>
      </c>
      <c r="L686" s="379">
        <f ca="1">IF($A686="S",IF(CAIXA.Modo,BM.AFAcumulado,BM.MEDAcumulado),IF(AND(RegimeExecucao="Global",$I686&gt;0,COUNTIF($AB$13:$AM$13,BM.medicao)&gt;0),O686/$I686*100,0))</f>
        <v>0</v>
      </c>
      <c r="M686" s="380">
        <f ca="1">IF($A686="S",VTOTALBM,IF($A686=0,0,ROUND(SomaAgrupBM,15-13*ORÇAMENTO!$AF$11)))</f>
        <v>0</v>
      </c>
      <c r="N686" s="381">
        <f t="shared" ca="1" si="59"/>
        <v>0</v>
      </c>
      <c r="O686" s="127">
        <f ca="1">IF($A686="S",VTOTALBM,IF($A686=0,0,ROUND(SomaAgrupBM,15-13*ORÇAMENTO!$AF$11)))</f>
        <v>0</v>
      </c>
      <c r="Q686" s="382"/>
      <c r="R686" s="383"/>
      <c r="T686" s="119" t="str">
        <f t="shared" ca="1" si="60"/>
        <v/>
      </c>
      <c r="U686" s="172" t="str">
        <f t="shared" ca="1" si="61"/>
        <v/>
      </c>
      <c r="V686" s="173" t="str">
        <f ca="1">IF(AND($W686&gt;0,RegimeExecucao="Unitário"),$F686,"")</f>
        <v/>
      </c>
      <c r="W686" s="547">
        <f ca="1">IF($Y686&gt;0,CHOOSE(MATCH(RegimeExecucao,{"Unitário","Global"},0),IF($A686="S",$Y686/$X686,""),($Y686/$X686)*100),0)</f>
        <v>0</v>
      </c>
      <c r="X686" s="384" t="str">
        <f ca="1">IF($Y686&gt;0,CHOOSE(MATCH(RegimeExecucao,{"Unitário","Global"},0),IF($A686="S",ROUND($H686,ORÇAMENTO!$AF$10),""),ROUND($I686,ORÇAMENTO!$AF$11)),"")</f>
        <v/>
      </c>
      <c r="Y686" s="384">
        <f t="shared" ca="1" si="62"/>
        <v>0</v>
      </c>
      <c r="Z686" s="572"/>
      <c r="AB686" s="382"/>
      <c r="AC686" s="516"/>
      <c r="AD686" s="516"/>
      <c r="AE686" s="516"/>
      <c r="AF686" s="516"/>
      <c r="AG686" s="516"/>
      <c r="AH686" s="516"/>
      <c r="AI686" s="516"/>
      <c r="AJ686" s="516"/>
      <c r="AK686" s="516"/>
      <c r="AL686" s="516"/>
      <c r="AM686" s="383"/>
      <c r="AO686">
        <f ca="1">IF($A686="S",IF(BM!$I686=0,0,CHOOSE(MATCH(RegimeExecucao,{"Global","Unitário"},0),ROUND(ROUND(BM.MEDAcumulado,15-13*BM!$A$9)/100*BM!$I686,15-13*ORÇAMENTO!$AF$11),ROUND(ROUND(BM.MEDAcumulado,15-13*BM!$A$9)*ROUND(BM!$H686,15-13*ORÇAMENTO!$AF$10),15-13*ORÇAMENTO!$AF$11))),IF($A686=0,0,ROUND(SomaAgrupBM,15-13*ORÇAMENTO!$AF$11)))</f>
        <v>0</v>
      </c>
    </row>
    <row r="687" spans="1:41" ht="25.5" x14ac:dyDescent="0.2">
      <c r="A687" t="str">
        <f ca="1">ORÇAMENTO!C687</f>
        <v>S</v>
      </c>
      <c r="B687">
        <f ca="1">ORÇAMENTO!D687</f>
        <v>0</v>
      </c>
      <c r="C687" s="116" t="str">
        <f t="shared" ca="1" si="56"/>
        <v/>
      </c>
      <c r="D687" s="119" t="str">
        <f ca="1">ORÇAMENTO!O687</f>
        <v>-</v>
      </c>
      <c r="E687" s="172" t="str">
        <f t="shared" ca="1" si="64"/>
        <v>(abra o arquivo 'Referência 02-2025.xlsm)</v>
      </c>
      <c r="F687" s="173" t="str">
        <f ca="1">IF(RegimeExecucao="Global","",ORÇAMENTO.Unidade)</f>
        <v>-</v>
      </c>
      <c r="G687" s="124">
        <f ca="1">IF(RegimeExecucao="Global","",ORÇAMENTO!T687)</f>
        <v>96.67</v>
      </c>
      <c r="H687" s="124">
        <f ca="1">IF(RegimeExecucao="Global","",ORÇAMENTO!W687)</f>
        <v>0</v>
      </c>
      <c r="I687" s="127">
        <f ca="1">ORÇAMENTO!X687</f>
        <v>0</v>
      </c>
      <c r="J687" s="378">
        <f ca="1">IF($A687="S",IF(CAIXA.Modo,BM.AFAnterior,BM.MEDAnterior),IF(AND(RegimeExecucao="Global",$I687&gt;0,COUNTIF($AB$13:$AM$13,BM.medicao-1)&gt;0),M687/$I687*100,0))</f>
        <v>0</v>
      </c>
      <c r="K687" s="124">
        <f t="shared" ca="1" si="58"/>
        <v>0</v>
      </c>
      <c r="L687" s="379">
        <f ca="1">IF($A687="S",IF(CAIXA.Modo,BM.AFAcumulado,BM.MEDAcumulado),IF(AND(RegimeExecucao="Global",$I687&gt;0,COUNTIF($AB$13:$AM$13,BM.medicao)&gt;0),O687/$I687*100,0))</f>
        <v>0</v>
      </c>
      <c r="M687" s="380">
        <f ca="1">IF($A687="S",VTOTALBM,IF($A687=0,0,ROUND(SomaAgrupBM,15-13*ORÇAMENTO!$AF$11)))</f>
        <v>0</v>
      </c>
      <c r="N687" s="381">
        <f t="shared" ca="1" si="59"/>
        <v>0</v>
      </c>
      <c r="O687" s="127">
        <f ca="1">IF($A687="S",VTOTALBM,IF($A687=0,0,ROUND(SomaAgrupBM,15-13*ORÇAMENTO!$AF$11)))</f>
        <v>0</v>
      </c>
      <c r="Q687" s="382"/>
      <c r="R687" s="383"/>
      <c r="T687" s="119" t="str">
        <f t="shared" ca="1" si="60"/>
        <v/>
      </c>
      <c r="U687" s="172" t="str">
        <f t="shared" ca="1" si="61"/>
        <v/>
      </c>
      <c r="V687" s="173" t="str">
        <f ca="1">IF(AND($W687&gt;0,RegimeExecucao="Unitário"),$F687,"")</f>
        <v/>
      </c>
      <c r="W687" s="547">
        <f ca="1">IF($Y687&gt;0,CHOOSE(MATCH(RegimeExecucao,{"Unitário","Global"},0),IF($A687="S",$Y687/$X687,""),($Y687/$X687)*100),0)</f>
        <v>0</v>
      </c>
      <c r="X687" s="384" t="str">
        <f ca="1">IF($Y687&gt;0,CHOOSE(MATCH(RegimeExecucao,{"Unitário","Global"},0),IF($A687="S",ROUND($H687,ORÇAMENTO!$AF$10),""),ROUND($I687,ORÇAMENTO!$AF$11)),"")</f>
        <v/>
      </c>
      <c r="Y687" s="384">
        <f t="shared" ca="1" si="62"/>
        <v>0</v>
      </c>
      <c r="Z687" s="572"/>
      <c r="AB687" s="382"/>
      <c r="AC687" s="516"/>
      <c r="AD687" s="516"/>
      <c r="AE687" s="516"/>
      <c r="AF687" s="516"/>
      <c r="AG687" s="516"/>
      <c r="AH687" s="516"/>
      <c r="AI687" s="516"/>
      <c r="AJ687" s="516"/>
      <c r="AK687" s="516"/>
      <c r="AL687" s="516"/>
      <c r="AM687" s="383"/>
      <c r="AO687">
        <f ca="1">IF($A687="S",IF(BM!$I687=0,0,CHOOSE(MATCH(RegimeExecucao,{"Global","Unitário"},0),ROUND(ROUND(BM.MEDAcumulado,15-13*BM!$A$9)/100*BM!$I687,15-13*ORÇAMENTO!$AF$11),ROUND(ROUND(BM.MEDAcumulado,15-13*BM!$A$9)*ROUND(BM!$H687,15-13*ORÇAMENTO!$AF$10),15-13*ORÇAMENTO!$AF$11))),IF($A687=0,0,ROUND(SomaAgrupBM,15-13*ORÇAMENTO!$AF$11)))</f>
        <v>0</v>
      </c>
    </row>
    <row r="688" spans="1:41" ht="25.5" x14ac:dyDescent="0.2">
      <c r="A688" t="str">
        <f ca="1">ORÇAMENTO!C688</f>
        <v>S</v>
      </c>
      <c r="B688">
        <f ca="1">ORÇAMENTO!D688</f>
        <v>0</v>
      </c>
      <c r="C688" s="116" t="str">
        <f t="shared" ca="1" si="56"/>
        <v/>
      </c>
      <c r="D688" s="119" t="str">
        <f ca="1">ORÇAMENTO!O688</f>
        <v>-</v>
      </c>
      <c r="E688" s="172" t="str">
        <f t="shared" ca="1" si="64"/>
        <v>(abra o arquivo 'Referência 02-2025.xlsm)</v>
      </c>
      <c r="F688" s="173" t="str">
        <f ca="1">IF(RegimeExecucao="Global","",ORÇAMENTO.Unidade)</f>
        <v>-</v>
      </c>
      <c r="G688" s="124">
        <f ca="1">IF(RegimeExecucao="Global","",ORÇAMENTO!T688)</f>
        <v>135.6</v>
      </c>
      <c r="H688" s="124">
        <f ca="1">IF(RegimeExecucao="Global","",ORÇAMENTO!W688)</f>
        <v>0</v>
      </c>
      <c r="I688" s="127">
        <f ca="1">ORÇAMENTO!X688</f>
        <v>0</v>
      </c>
      <c r="J688" s="378">
        <f ca="1">IF($A688="S",IF(CAIXA.Modo,BM.AFAnterior,BM.MEDAnterior),IF(AND(RegimeExecucao="Global",$I688&gt;0,COUNTIF($AB$13:$AM$13,BM.medicao-1)&gt;0),M688/$I688*100,0))</f>
        <v>0</v>
      </c>
      <c r="K688" s="124">
        <f t="shared" ca="1" si="58"/>
        <v>0</v>
      </c>
      <c r="L688" s="379">
        <f ca="1">IF($A688="S",IF(CAIXA.Modo,BM.AFAcumulado,BM.MEDAcumulado),IF(AND(RegimeExecucao="Global",$I688&gt;0,COUNTIF($AB$13:$AM$13,BM.medicao)&gt;0),O688/$I688*100,0))</f>
        <v>0</v>
      </c>
      <c r="M688" s="380">
        <f ca="1">IF($A688="S",VTOTALBM,IF($A688=0,0,ROUND(SomaAgrupBM,15-13*ORÇAMENTO!$AF$11)))</f>
        <v>0</v>
      </c>
      <c r="N688" s="381">
        <f t="shared" ca="1" si="59"/>
        <v>0</v>
      </c>
      <c r="O688" s="127">
        <f ca="1">IF($A688="S",VTOTALBM,IF($A688=0,0,ROUND(SomaAgrupBM,15-13*ORÇAMENTO!$AF$11)))</f>
        <v>0</v>
      </c>
      <c r="Q688" s="382"/>
      <c r="R688" s="383"/>
      <c r="T688" s="119" t="str">
        <f t="shared" ca="1" si="60"/>
        <v/>
      </c>
      <c r="U688" s="172" t="str">
        <f t="shared" ca="1" si="61"/>
        <v/>
      </c>
      <c r="V688" s="173" t="str">
        <f ca="1">IF(AND($W688&gt;0,RegimeExecucao="Unitário"),$F688,"")</f>
        <v/>
      </c>
      <c r="W688" s="547">
        <f ca="1">IF($Y688&gt;0,CHOOSE(MATCH(RegimeExecucao,{"Unitário","Global"},0),IF($A688="S",$Y688/$X688,""),($Y688/$X688)*100),0)</f>
        <v>0</v>
      </c>
      <c r="X688" s="384" t="str">
        <f ca="1">IF($Y688&gt;0,CHOOSE(MATCH(RegimeExecucao,{"Unitário","Global"},0),IF($A688="S",ROUND($H688,ORÇAMENTO!$AF$10),""),ROUND($I688,ORÇAMENTO!$AF$11)),"")</f>
        <v/>
      </c>
      <c r="Y688" s="384">
        <f t="shared" ca="1" si="62"/>
        <v>0</v>
      </c>
      <c r="Z688" s="572"/>
      <c r="AB688" s="382"/>
      <c r="AC688" s="516"/>
      <c r="AD688" s="516"/>
      <c r="AE688" s="516"/>
      <c r="AF688" s="516"/>
      <c r="AG688" s="516"/>
      <c r="AH688" s="516"/>
      <c r="AI688" s="516"/>
      <c r="AJ688" s="516"/>
      <c r="AK688" s="516"/>
      <c r="AL688" s="516"/>
      <c r="AM688" s="383"/>
      <c r="AO688">
        <f ca="1">IF($A688="S",IF(BM!$I688=0,0,CHOOSE(MATCH(RegimeExecucao,{"Global","Unitário"},0),ROUND(ROUND(BM.MEDAcumulado,15-13*BM!$A$9)/100*BM!$I688,15-13*ORÇAMENTO!$AF$11),ROUND(ROUND(BM.MEDAcumulado,15-13*BM!$A$9)*ROUND(BM!$H688,15-13*ORÇAMENTO!$AF$10),15-13*ORÇAMENTO!$AF$11))),IF($A688=0,0,ROUND(SomaAgrupBM,15-13*ORÇAMENTO!$AF$11)))</f>
        <v>0</v>
      </c>
    </row>
    <row r="689" spans="1:41" ht="38.25" x14ac:dyDescent="0.2">
      <c r="A689" t="str">
        <f ca="1">ORÇAMENTO!C689</f>
        <v>S</v>
      </c>
      <c r="B689">
        <f ca="1">ORÇAMENTO!D689</f>
        <v>0</v>
      </c>
      <c r="C689" s="116" t="str">
        <f t="shared" ca="1" si="56"/>
        <v/>
      </c>
      <c r="D689" s="119" t="str">
        <f ca="1">ORÇAMENTO!O689</f>
        <v>-</v>
      </c>
      <c r="E689" s="172" t="str">
        <f t="shared" ca="1" si="64"/>
        <v>(abra o arquivo 'Referência 02-2025.xlsm)</v>
      </c>
      <c r="F689" s="173" t="str">
        <f ca="1">IF(RegimeExecucao="Global","",ORÇAMENTO.Unidade)</f>
        <v>-</v>
      </c>
      <c r="G689" s="124">
        <f ca="1">IF(RegimeExecucao="Global","",ORÇAMENTO!T689)</f>
        <v>8.4499999999999993</v>
      </c>
      <c r="H689" s="124">
        <f ca="1">IF(RegimeExecucao="Global","",ORÇAMENTO!W689)</f>
        <v>0</v>
      </c>
      <c r="I689" s="127">
        <f ca="1">ORÇAMENTO!X689</f>
        <v>0</v>
      </c>
      <c r="J689" s="378">
        <f ca="1">IF($A689="S",IF(CAIXA.Modo,BM.AFAnterior,BM.MEDAnterior),IF(AND(RegimeExecucao="Global",$I689&gt;0,COUNTIF($AB$13:$AM$13,BM.medicao-1)&gt;0),M689/$I689*100,0))</f>
        <v>0</v>
      </c>
      <c r="K689" s="124">
        <f t="shared" ca="1" si="58"/>
        <v>0</v>
      </c>
      <c r="L689" s="379">
        <f ca="1">IF($A689="S",IF(CAIXA.Modo,BM.AFAcumulado,BM.MEDAcumulado),IF(AND(RegimeExecucao="Global",$I689&gt;0,COUNTIF($AB$13:$AM$13,BM.medicao)&gt;0),O689/$I689*100,0))</f>
        <v>0</v>
      </c>
      <c r="M689" s="380">
        <f ca="1">IF($A689="S",VTOTALBM,IF($A689=0,0,ROUND(SomaAgrupBM,15-13*ORÇAMENTO!$AF$11)))</f>
        <v>0</v>
      </c>
      <c r="N689" s="381">
        <f t="shared" ca="1" si="59"/>
        <v>0</v>
      </c>
      <c r="O689" s="127">
        <f ca="1">IF($A689="S",VTOTALBM,IF($A689=0,0,ROUND(SomaAgrupBM,15-13*ORÇAMENTO!$AF$11)))</f>
        <v>0</v>
      </c>
      <c r="Q689" s="382"/>
      <c r="R689" s="383"/>
      <c r="T689" s="119" t="str">
        <f t="shared" ca="1" si="60"/>
        <v/>
      </c>
      <c r="U689" s="172" t="str">
        <f t="shared" ca="1" si="61"/>
        <v/>
      </c>
      <c r="V689" s="173" t="str">
        <f ca="1">IF(AND($W689&gt;0,RegimeExecucao="Unitário"),$F689,"")</f>
        <v/>
      </c>
      <c r="W689" s="547">
        <f ca="1">IF($Y689&gt;0,CHOOSE(MATCH(RegimeExecucao,{"Unitário","Global"},0),IF($A689="S",$Y689/$X689,""),($Y689/$X689)*100),0)</f>
        <v>0</v>
      </c>
      <c r="X689" s="384" t="str">
        <f ca="1">IF($Y689&gt;0,CHOOSE(MATCH(RegimeExecucao,{"Unitário","Global"},0),IF($A689="S",ROUND($H689,ORÇAMENTO!$AF$10),""),ROUND($I689,ORÇAMENTO!$AF$11)),"")</f>
        <v/>
      </c>
      <c r="Y689" s="384">
        <f t="shared" ca="1" si="62"/>
        <v>0</v>
      </c>
      <c r="Z689" s="572"/>
      <c r="AB689" s="382"/>
      <c r="AC689" s="516"/>
      <c r="AD689" s="516"/>
      <c r="AE689" s="516"/>
      <c r="AF689" s="516"/>
      <c r="AG689" s="516"/>
      <c r="AH689" s="516"/>
      <c r="AI689" s="516"/>
      <c r="AJ689" s="516"/>
      <c r="AK689" s="516"/>
      <c r="AL689" s="516"/>
      <c r="AM689" s="383"/>
      <c r="AO689">
        <f ca="1">IF($A689="S",IF(BM!$I689=0,0,CHOOSE(MATCH(RegimeExecucao,{"Global","Unitário"},0),ROUND(ROUND(BM.MEDAcumulado,15-13*BM!$A$9)/100*BM!$I689,15-13*ORÇAMENTO!$AF$11),ROUND(ROUND(BM.MEDAcumulado,15-13*BM!$A$9)*ROUND(BM!$H689,15-13*ORÇAMENTO!$AF$10),15-13*ORÇAMENTO!$AF$11))),IF($A689=0,0,ROUND(SomaAgrupBM,15-13*ORÇAMENTO!$AF$11)))</f>
        <v>0</v>
      </c>
    </row>
    <row r="690" spans="1:41" ht="38.25" x14ac:dyDescent="0.2">
      <c r="A690" t="str">
        <f ca="1">ORÇAMENTO!C690</f>
        <v>S</v>
      </c>
      <c r="B690">
        <f ca="1">ORÇAMENTO!D690</f>
        <v>0</v>
      </c>
      <c r="C690" s="116" t="str">
        <f t="shared" ca="1" si="56"/>
        <v/>
      </c>
      <c r="D690" s="119" t="str">
        <f ca="1">ORÇAMENTO!O690</f>
        <v>-</v>
      </c>
      <c r="E690" s="172" t="str">
        <f t="shared" ca="1" si="64"/>
        <v>(abra o arquivo 'Referência 02-2025.xlsm)</v>
      </c>
      <c r="F690" s="173" t="str">
        <f ca="1">IF(RegimeExecucao="Global","",ORÇAMENTO.Unidade)</f>
        <v>-</v>
      </c>
      <c r="G690" s="124">
        <f ca="1">IF(RegimeExecucao="Global","",ORÇAMENTO!T690)</f>
        <v>301</v>
      </c>
      <c r="H690" s="124">
        <f ca="1">IF(RegimeExecucao="Global","",ORÇAMENTO!W690)</f>
        <v>0</v>
      </c>
      <c r="I690" s="127">
        <f ca="1">ORÇAMENTO!X690</f>
        <v>0</v>
      </c>
      <c r="J690" s="378">
        <f ca="1">IF($A690="S",IF(CAIXA.Modo,BM.AFAnterior,BM.MEDAnterior),IF(AND(RegimeExecucao="Global",$I690&gt;0,COUNTIF($AB$13:$AM$13,BM.medicao-1)&gt;0),M690/$I690*100,0))</f>
        <v>0</v>
      </c>
      <c r="K690" s="124">
        <f t="shared" ca="1" si="58"/>
        <v>0</v>
      </c>
      <c r="L690" s="379">
        <f ca="1">IF($A690="S",IF(CAIXA.Modo,BM.AFAcumulado,BM.MEDAcumulado),IF(AND(RegimeExecucao="Global",$I690&gt;0,COUNTIF($AB$13:$AM$13,BM.medicao)&gt;0),O690/$I690*100,0))</f>
        <v>0</v>
      </c>
      <c r="M690" s="380">
        <f ca="1">IF($A690="S",VTOTALBM,IF($A690=0,0,ROUND(SomaAgrupBM,15-13*ORÇAMENTO!$AF$11)))</f>
        <v>0</v>
      </c>
      <c r="N690" s="381">
        <f t="shared" ca="1" si="59"/>
        <v>0</v>
      </c>
      <c r="O690" s="127">
        <f ca="1">IF($A690="S",VTOTALBM,IF($A690=0,0,ROUND(SomaAgrupBM,15-13*ORÇAMENTO!$AF$11)))</f>
        <v>0</v>
      </c>
      <c r="Q690" s="382"/>
      <c r="R690" s="383"/>
      <c r="T690" s="119" t="str">
        <f t="shared" ca="1" si="60"/>
        <v/>
      </c>
      <c r="U690" s="172" t="str">
        <f t="shared" ca="1" si="61"/>
        <v/>
      </c>
      <c r="V690" s="173" t="str">
        <f ca="1">IF(AND($W690&gt;0,RegimeExecucao="Unitário"),$F690,"")</f>
        <v/>
      </c>
      <c r="W690" s="547">
        <f ca="1">IF($Y690&gt;0,CHOOSE(MATCH(RegimeExecucao,{"Unitário","Global"},0),IF($A690="S",$Y690/$X690,""),($Y690/$X690)*100),0)</f>
        <v>0</v>
      </c>
      <c r="X690" s="384" t="str">
        <f ca="1">IF($Y690&gt;0,CHOOSE(MATCH(RegimeExecucao,{"Unitário","Global"},0),IF($A690="S",ROUND($H690,ORÇAMENTO!$AF$10),""),ROUND($I690,ORÇAMENTO!$AF$11)),"")</f>
        <v/>
      </c>
      <c r="Y690" s="384">
        <f t="shared" ca="1" si="62"/>
        <v>0</v>
      </c>
      <c r="Z690" s="572"/>
      <c r="AB690" s="382"/>
      <c r="AC690" s="516"/>
      <c r="AD690" s="516"/>
      <c r="AE690" s="516"/>
      <c r="AF690" s="516"/>
      <c r="AG690" s="516"/>
      <c r="AH690" s="516"/>
      <c r="AI690" s="516"/>
      <c r="AJ690" s="516"/>
      <c r="AK690" s="516"/>
      <c r="AL690" s="516"/>
      <c r="AM690" s="383"/>
      <c r="AO690">
        <f ca="1">IF($A690="S",IF(BM!$I690=0,0,CHOOSE(MATCH(RegimeExecucao,{"Global","Unitário"},0),ROUND(ROUND(BM.MEDAcumulado,15-13*BM!$A$9)/100*BM!$I690,15-13*ORÇAMENTO!$AF$11),ROUND(ROUND(BM.MEDAcumulado,15-13*BM!$A$9)*ROUND(BM!$H690,15-13*ORÇAMENTO!$AF$10),15-13*ORÇAMENTO!$AF$11))),IF($A690=0,0,ROUND(SomaAgrupBM,15-13*ORÇAMENTO!$AF$11)))</f>
        <v>0</v>
      </c>
    </row>
    <row r="691" spans="1:41" ht="25.5" x14ac:dyDescent="0.2">
      <c r="A691" t="str">
        <f ca="1">ORÇAMENTO!C691</f>
        <v>S</v>
      </c>
      <c r="B691">
        <f ca="1">ORÇAMENTO!D691</f>
        <v>0</v>
      </c>
      <c r="C691" s="116" t="str">
        <f t="shared" ca="1" si="56"/>
        <v/>
      </c>
      <c r="D691" s="119" t="str">
        <f ca="1">ORÇAMENTO!O691</f>
        <v>-</v>
      </c>
      <c r="E691" s="172" t="str">
        <f t="shared" ca="1" si="64"/>
        <v>(abra o arquivo 'Referência 02-2025.xlsm)</v>
      </c>
      <c r="F691" s="173" t="str">
        <f ca="1">IF(RegimeExecucao="Global","",ORÇAMENTO.Unidade)</f>
        <v>-</v>
      </c>
      <c r="G691" s="124">
        <f ca="1">IF(RegimeExecucao="Global","",ORÇAMENTO!T691)</f>
        <v>23.86</v>
      </c>
      <c r="H691" s="124">
        <f ca="1">IF(RegimeExecucao="Global","",ORÇAMENTO!W691)</f>
        <v>0</v>
      </c>
      <c r="I691" s="127">
        <f ca="1">ORÇAMENTO!X691</f>
        <v>0</v>
      </c>
      <c r="J691" s="378">
        <f ca="1">IF($A691="S",IF(CAIXA.Modo,BM.AFAnterior,BM.MEDAnterior),IF(AND(RegimeExecucao="Global",$I691&gt;0,COUNTIF($AB$13:$AM$13,BM.medicao-1)&gt;0),M691/$I691*100,0))</f>
        <v>0</v>
      </c>
      <c r="K691" s="124">
        <f t="shared" ca="1" si="58"/>
        <v>0</v>
      </c>
      <c r="L691" s="379">
        <f ca="1">IF($A691="S",IF(CAIXA.Modo,BM.AFAcumulado,BM.MEDAcumulado),IF(AND(RegimeExecucao="Global",$I691&gt;0,COUNTIF($AB$13:$AM$13,BM.medicao)&gt;0),O691/$I691*100,0))</f>
        <v>0</v>
      </c>
      <c r="M691" s="380">
        <f ca="1">IF($A691="S",VTOTALBM,IF($A691=0,0,ROUND(SomaAgrupBM,15-13*ORÇAMENTO!$AF$11)))</f>
        <v>0</v>
      </c>
      <c r="N691" s="381">
        <f t="shared" ca="1" si="59"/>
        <v>0</v>
      </c>
      <c r="O691" s="127">
        <f ca="1">IF($A691="S",VTOTALBM,IF($A691=0,0,ROUND(SomaAgrupBM,15-13*ORÇAMENTO!$AF$11)))</f>
        <v>0</v>
      </c>
      <c r="Q691" s="382"/>
      <c r="R691" s="383"/>
      <c r="T691" s="119" t="str">
        <f t="shared" ca="1" si="60"/>
        <v/>
      </c>
      <c r="U691" s="172" t="str">
        <f t="shared" ca="1" si="61"/>
        <v/>
      </c>
      <c r="V691" s="173" t="str">
        <f ca="1">IF(AND($W691&gt;0,RegimeExecucao="Unitário"),$F691,"")</f>
        <v/>
      </c>
      <c r="W691" s="547">
        <f ca="1">IF($Y691&gt;0,CHOOSE(MATCH(RegimeExecucao,{"Unitário","Global"},0),IF($A691="S",$Y691/$X691,""),($Y691/$X691)*100),0)</f>
        <v>0</v>
      </c>
      <c r="X691" s="384" t="str">
        <f ca="1">IF($Y691&gt;0,CHOOSE(MATCH(RegimeExecucao,{"Unitário","Global"},0),IF($A691="S",ROUND($H691,ORÇAMENTO!$AF$10),""),ROUND($I691,ORÇAMENTO!$AF$11)),"")</f>
        <v/>
      </c>
      <c r="Y691" s="384">
        <f t="shared" ca="1" si="62"/>
        <v>0</v>
      </c>
      <c r="Z691" s="572"/>
      <c r="AB691" s="382"/>
      <c r="AC691" s="516"/>
      <c r="AD691" s="516"/>
      <c r="AE691" s="516"/>
      <c r="AF691" s="516"/>
      <c r="AG691" s="516"/>
      <c r="AH691" s="516"/>
      <c r="AI691" s="516"/>
      <c r="AJ691" s="516"/>
      <c r="AK691" s="516"/>
      <c r="AL691" s="516"/>
      <c r="AM691" s="383"/>
      <c r="AO691">
        <f ca="1">IF($A691="S",IF(BM!$I691=0,0,CHOOSE(MATCH(RegimeExecucao,{"Global","Unitário"},0),ROUND(ROUND(BM.MEDAcumulado,15-13*BM!$A$9)/100*BM!$I691,15-13*ORÇAMENTO!$AF$11),ROUND(ROUND(BM.MEDAcumulado,15-13*BM!$A$9)*ROUND(BM!$H691,15-13*ORÇAMENTO!$AF$10),15-13*ORÇAMENTO!$AF$11))),IF($A691=0,0,ROUND(SomaAgrupBM,15-13*ORÇAMENTO!$AF$11)))</f>
        <v>0</v>
      </c>
    </row>
    <row r="692" spans="1:41" ht="25.5" x14ac:dyDescent="0.2">
      <c r="A692" t="str">
        <f ca="1">ORÇAMENTO!C692</f>
        <v>S</v>
      </c>
      <c r="B692">
        <f ca="1">ORÇAMENTO!D692</f>
        <v>0</v>
      </c>
      <c r="C692" s="116" t="str">
        <f t="shared" ca="1" si="56"/>
        <v/>
      </c>
      <c r="D692" s="119" t="str">
        <f ca="1">ORÇAMENTO!O692</f>
        <v>-</v>
      </c>
      <c r="E692" s="172" t="str">
        <f t="shared" ca="1" si="64"/>
        <v>(abra o arquivo 'Referência 02-2025.xlsm)</v>
      </c>
      <c r="F692" s="173" t="str">
        <f ca="1">IF(RegimeExecucao="Global","",ORÇAMENTO.Unidade)</f>
        <v>-</v>
      </c>
      <c r="G692" s="124">
        <f ca="1">IF(RegimeExecucao="Global","",ORÇAMENTO!T692)</f>
        <v>5.44</v>
      </c>
      <c r="H692" s="124">
        <f ca="1">IF(RegimeExecucao="Global","",ORÇAMENTO!W692)</f>
        <v>0</v>
      </c>
      <c r="I692" s="127">
        <f ca="1">ORÇAMENTO!X692</f>
        <v>0</v>
      </c>
      <c r="J692" s="378">
        <f ca="1">IF($A692="S",IF(CAIXA.Modo,BM.AFAnterior,BM.MEDAnterior),IF(AND(RegimeExecucao="Global",$I692&gt;0,COUNTIF($AB$13:$AM$13,BM.medicao-1)&gt;0),M692/$I692*100,0))</f>
        <v>0</v>
      </c>
      <c r="K692" s="124">
        <f t="shared" ca="1" si="58"/>
        <v>0</v>
      </c>
      <c r="L692" s="379">
        <f ca="1">IF($A692="S",IF(CAIXA.Modo,BM.AFAcumulado,BM.MEDAcumulado),IF(AND(RegimeExecucao="Global",$I692&gt;0,COUNTIF($AB$13:$AM$13,BM.medicao)&gt;0),O692/$I692*100,0))</f>
        <v>0</v>
      </c>
      <c r="M692" s="380">
        <f ca="1">IF($A692="S",VTOTALBM,IF($A692=0,0,ROUND(SomaAgrupBM,15-13*ORÇAMENTO!$AF$11)))</f>
        <v>0</v>
      </c>
      <c r="N692" s="381">
        <f t="shared" ca="1" si="59"/>
        <v>0</v>
      </c>
      <c r="O692" s="127">
        <f ca="1">IF($A692="S",VTOTALBM,IF($A692=0,0,ROUND(SomaAgrupBM,15-13*ORÇAMENTO!$AF$11)))</f>
        <v>0</v>
      </c>
      <c r="Q692" s="382"/>
      <c r="R692" s="383"/>
      <c r="T692" s="119" t="str">
        <f t="shared" ca="1" si="60"/>
        <v/>
      </c>
      <c r="U692" s="172" t="str">
        <f t="shared" ca="1" si="61"/>
        <v/>
      </c>
      <c r="V692" s="173" t="str">
        <f ca="1">IF(AND($W692&gt;0,RegimeExecucao="Unitário"),$F692,"")</f>
        <v/>
      </c>
      <c r="W692" s="547">
        <f ca="1">IF($Y692&gt;0,CHOOSE(MATCH(RegimeExecucao,{"Unitário","Global"},0),IF($A692="S",$Y692/$X692,""),($Y692/$X692)*100),0)</f>
        <v>0</v>
      </c>
      <c r="X692" s="384" t="str">
        <f ca="1">IF($Y692&gt;0,CHOOSE(MATCH(RegimeExecucao,{"Unitário","Global"},0),IF($A692="S",ROUND($H692,ORÇAMENTO!$AF$10),""),ROUND($I692,ORÇAMENTO!$AF$11)),"")</f>
        <v/>
      </c>
      <c r="Y692" s="384">
        <f t="shared" ca="1" si="62"/>
        <v>0</v>
      </c>
      <c r="Z692" s="572"/>
      <c r="AB692" s="382"/>
      <c r="AC692" s="516"/>
      <c r="AD692" s="516"/>
      <c r="AE692" s="516"/>
      <c r="AF692" s="516"/>
      <c r="AG692" s="516"/>
      <c r="AH692" s="516"/>
      <c r="AI692" s="516"/>
      <c r="AJ692" s="516"/>
      <c r="AK692" s="516"/>
      <c r="AL692" s="516"/>
      <c r="AM692" s="383"/>
      <c r="AO692">
        <f ca="1">IF($A692="S",IF(BM!$I692=0,0,CHOOSE(MATCH(RegimeExecucao,{"Global","Unitário"},0),ROUND(ROUND(BM.MEDAcumulado,15-13*BM!$A$9)/100*BM!$I692,15-13*ORÇAMENTO!$AF$11),ROUND(ROUND(BM.MEDAcumulado,15-13*BM!$A$9)*ROUND(BM!$H692,15-13*ORÇAMENTO!$AF$10),15-13*ORÇAMENTO!$AF$11))),IF($A692=0,0,ROUND(SomaAgrupBM,15-13*ORÇAMENTO!$AF$11)))</f>
        <v>0</v>
      </c>
    </row>
    <row r="693" spans="1:41" ht="51" x14ac:dyDescent="0.2">
      <c r="A693" t="str">
        <f ca="1">ORÇAMENTO!C693</f>
        <v>S</v>
      </c>
      <c r="B693">
        <f ca="1">ORÇAMENTO!D693</f>
        <v>0</v>
      </c>
      <c r="C693" s="116" t="str">
        <f t="shared" ca="1" si="56"/>
        <v/>
      </c>
      <c r="D693" s="119" t="str">
        <f ca="1">ORÇAMENTO!O693</f>
        <v>-</v>
      </c>
      <c r="E693" s="172" t="str">
        <f t="shared" ca="1" si="64"/>
        <v>(abra o arquivo 'Referência 02-2025.xlsm)</v>
      </c>
      <c r="F693" s="173" t="str">
        <f ca="1">IF(RegimeExecucao="Global","",ORÇAMENTO.Unidade)</f>
        <v>-</v>
      </c>
      <c r="G693" s="124">
        <f ca="1">IF(RegimeExecucao="Global","",ORÇAMENTO!T693)</f>
        <v>3.15</v>
      </c>
      <c r="H693" s="124">
        <f ca="1">IF(RegimeExecucao="Global","",ORÇAMENTO!W693)</f>
        <v>0</v>
      </c>
      <c r="I693" s="127">
        <f ca="1">ORÇAMENTO!X693</f>
        <v>0</v>
      </c>
      <c r="J693" s="378">
        <f ca="1">IF($A693="S",IF(CAIXA.Modo,BM.AFAnterior,BM.MEDAnterior),IF(AND(RegimeExecucao="Global",$I693&gt;0,COUNTIF($AB$13:$AM$13,BM.medicao-1)&gt;0),M693/$I693*100,0))</f>
        <v>0</v>
      </c>
      <c r="K693" s="124">
        <f t="shared" ca="1" si="58"/>
        <v>0</v>
      </c>
      <c r="L693" s="379">
        <f ca="1">IF($A693="S",IF(CAIXA.Modo,BM.AFAcumulado,BM.MEDAcumulado),IF(AND(RegimeExecucao="Global",$I693&gt;0,COUNTIF($AB$13:$AM$13,BM.medicao)&gt;0),O693/$I693*100,0))</f>
        <v>0</v>
      </c>
      <c r="M693" s="380">
        <f ca="1">IF($A693="S",VTOTALBM,IF($A693=0,0,ROUND(SomaAgrupBM,15-13*ORÇAMENTO!$AF$11)))</f>
        <v>0</v>
      </c>
      <c r="N693" s="381">
        <f t="shared" ca="1" si="59"/>
        <v>0</v>
      </c>
      <c r="O693" s="127">
        <f ca="1">IF($A693="S",VTOTALBM,IF($A693=0,0,ROUND(SomaAgrupBM,15-13*ORÇAMENTO!$AF$11)))</f>
        <v>0</v>
      </c>
      <c r="Q693" s="382"/>
      <c r="R693" s="383"/>
      <c r="T693" s="119" t="str">
        <f t="shared" ca="1" si="60"/>
        <v/>
      </c>
      <c r="U693" s="172" t="str">
        <f t="shared" ca="1" si="61"/>
        <v/>
      </c>
      <c r="V693" s="173" t="str">
        <f ca="1">IF(AND($W693&gt;0,RegimeExecucao="Unitário"),$F693,"")</f>
        <v/>
      </c>
      <c r="W693" s="547">
        <f ca="1">IF($Y693&gt;0,CHOOSE(MATCH(RegimeExecucao,{"Unitário","Global"},0),IF($A693="S",$Y693/$X693,""),($Y693/$X693)*100),0)</f>
        <v>0</v>
      </c>
      <c r="X693" s="384" t="str">
        <f ca="1">IF($Y693&gt;0,CHOOSE(MATCH(RegimeExecucao,{"Unitário","Global"},0),IF($A693="S",ROUND($H693,ORÇAMENTO!$AF$10),""),ROUND($I693,ORÇAMENTO!$AF$11)),"")</f>
        <v/>
      </c>
      <c r="Y693" s="384">
        <f t="shared" ca="1" si="62"/>
        <v>0</v>
      </c>
      <c r="Z693" s="572"/>
      <c r="AB693" s="382"/>
      <c r="AC693" s="516"/>
      <c r="AD693" s="516"/>
      <c r="AE693" s="516"/>
      <c r="AF693" s="516"/>
      <c r="AG693" s="516"/>
      <c r="AH693" s="516"/>
      <c r="AI693" s="516"/>
      <c r="AJ693" s="516"/>
      <c r="AK693" s="516"/>
      <c r="AL693" s="516"/>
      <c r="AM693" s="383"/>
      <c r="AO693">
        <f ca="1">IF($A693="S",IF(BM!$I693=0,0,CHOOSE(MATCH(RegimeExecucao,{"Global","Unitário"},0),ROUND(ROUND(BM.MEDAcumulado,15-13*BM!$A$9)/100*BM!$I693,15-13*ORÇAMENTO!$AF$11),ROUND(ROUND(BM.MEDAcumulado,15-13*BM!$A$9)*ROUND(BM!$H693,15-13*ORÇAMENTO!$AF$10),15-13*ORÇAMENTO!$AF$11))),IF($A693=0,0,ROUND(SomaAgrupBM,15-13*ORÇAMENTO!$AF$11)))</f>
        <v>0</v>
      </c>
    </row>
    <row r="694" spans="1:41" x14ac:dyDescent="0.2">
      <c r="A694">
        <f ca="1">ORÇAMENTO!C694</f>
        <v>2</v>
      </c>
      <c r="B694">
        <f ca="1">ORÇAMENTO!D694</f>
        <v>53</v>
      </c>
      <c r="C694" s="116" t="str">
        <f t="shared" ca="1" si="56"/>
        <v>F</v>
      </c>
      <c r="D694" s="119" t="str">
        <f ca="1">ORÇAMENTO!O694</f>
        <v>1.24.</v>
      </c>
      <c r="E694" s="172" t="str">
        <f t="shared" ca="1" si="64"/>
        <v>FECHAMENTO - MURO</v>
      </c>
      <c r="F694" s="173" t="str">
        <f ca="1">IF(RegimeExecucao="Global","",ORÇAMENTO.Unidade)</f>
        <v>-</v>
      </c>
      <c r="G694" s="124">
        <f ca="1">IF(RegimeExecucao="Global","",ORÇAMENTO!T694)</f>
        <v>0</v>
      </c>
      <c r="H694" s="124">
        <f ca="1">IF(RegimeExecucao="Global","",ORÇAMENTO!W694)</f>
        <v>0</v>
      </c>
      <c r="I694" s="127">
        <f ca="1">ORÇAMENTO!X694</f>
        <v>0</v>
      </c>
      <c r="J694" s="378">
        <f ca="1">IF($A694="S",IF(CAIXA.Modo,BM.AFAnterior,BM.MEDAnterior),IF(AND(RegimeExecucao="Global",$I694&gt;0,COUNTIF($AB$13:$AM$13,BM.medicao-1)&gt;0),M694/$I694*100,0))</f>
        <v>0</v>
      </c>
      <c r="K694" s="124">
        <f t="shared" ca="1" si="58"/>
        <v>0</v>
      </c>
      <c r="L694" s="379">
        <f ca="1">IF($A694="S",IF(CAIXA.Modo,BM.AFAcumulado,BM.MEDAcumulado),IF(AND(RegimeExecucao="Global",$I694&gt;0,COUNTIF($AB$13:$AM$13,BM.medicao)&gt;0),O694/$I694*100,0))</f>
        <v>0</v>
      </c>
      <c r="M694" s="380">
        <f ca="1">IF($A694="S",VTOTALBM,IF($A694=0,0,ROUND(SomaAgrupBM,15-13*ORÇAMENTO!$AF$11)))</f>
        <v>0</v>
      </c>
      <c r="N694" s="381">
        <f t="shared" ca="1" si="59"/>
        <v>0</v>
      </c>
      <c r="O694" s="127">
        <f ca="1">IF($A694="S",VTOTALBM,IF($A694=0,0,ROUND(SomaAgrupBM,15-13*ORÇAMENTO!$AF$11)))</f>
        <v>0</v>
      </c>
      <c r="Q694" s="382"/>
      <c r="R694" s="383"/>
      <c r="T694" s="119" t="str">
        <f t="shared" ca="1" si="60"/>
        <v/>
      </c>
      <c r="U694" s="172" t="str">
        <f t="shared" ca="1" si="61"/>
        <v/>
      </c>
      <c r="V694" s="173" t="str">
        <f ca="1">IF(AND($W694&gt;0,RegimeExecucao="Unitário"),$F694,"")</f>
        <v/>
      </c>
      <c r="W694" s="547">
        <f ca="1">IF($Y694&gt;0,CHOOSE(MATCH(RegimeExecucao,{"Unitário","Global"},0),IF($A694="S",$Y694/$X694,""),($Y694/$X694)*100),0)</f>
        <v>0</v>
      </c>
      <c r="X694" s="384" t="str">
        <f ca="1">IF($Y694&gt;0,CHOOSE(MATCH(RegimeExecucao,{"Unitário","Global"},0),IF($A694="S",ROUND($H694,ORÇAMENTO!$AF$10),""),ROUND($I694,ORÇAMENTO!$AF$11)),"")</f>
        <v/>
      </c>
      <c r="Y694" s="384">
        <f t="shared" ca="1" si="62"/>
        <v>0</v>
      </c>
      <c r="Z694" s="572"/>
      <c r="AB694" s="382"/>
      <c r="AC694" s="516"/>
      <c r="AD694" s="516"/>
      <c r="AE694" s="516"/>
      <c r="AF694" s="516"/>
      <c r="AG694" s="516"/>
      <c r="AH694" s="516"/>
      <c r="AI694" s="516"/>
      <c r="AJ694" s="516"/>
      <c r="AK694" s="516"/>
      <c r="AL694" s="516"/>
      <c r="AM694" s="383"/>
      <c r="AO694">
        <f ca="1">IF($A694="S",IF(BM!$I694=0,0,CHOOSE(MATCH(RegimeExecucao,{"Global","Unitário"},0),ROUND(ROUND(BM.MEDAcumulado,15-13*BM!$A$9)/100*BM!$I694,15-13*ORÇAMENTO!$AF$11),ROUND(ROUND(BM.MEDAcumulado,15-13*BM!$A$9)*ROUND(BM!$H694,15-13*ORÇAMENTO!$AF$10),15-13*ORÇAMENTO!$AF$11))),IF($A694=0,0,ROUND(SomaAgrupBM,15-13*ORÇAMENTO!$AF$11)))</f>
        <v>0</v>
      </c>
    </row>
    <row r="695" spans="1:41" x14ac:dyDescent="0.2">
      <c r="A695">
        <f ca="1">ORÇAMENTO!C695</f>
        <v>3</v>
      </c>
      <c r="B695">
        <f ca="1">ORÇAMENTO!D695</f>
        <v>5</v>
      </c>
      <c r="C695" s="116" t="str">
        <f t="shared" ca="1" si="56"/>
        <v>F</v>
      </c>
      <c r="D695" s="119" t="str">
        <f ca="1">ORÇAMENTO!O695</f>
        <v>1.24.1.</v>
      </c>
      <c r="E695" s="172" t="str">
        <f t="shared" ca="1" si="64"/>
        <v>MOVIMENTO DE TERRA PARA FUNDAÇÕES</v>
      </c>
      <c r="F695" s="173" t="str">
        <f ca="1">IF(RegimeExecucao="Global","",ORÇAMENTO.Unidade)</f>
        <v>-</v>
      </c>
      <c r="G695" s="124">
        <f ca="1">IF(RegimeExecucao="Global","",ORÇAMENTO!T695)</f>
        <v>0</v>
      </c>
      <c r="H695" s="124">
        <f ca="1">IF(RegimeExecucao="Global","",ORÇAMENTO!W695)</f>
        <v>0</v>
      </c>
      <c r="I695" s="127">
        <f ca="1">ORÇAMENTO!X695</f>
        <v>0</v>
      </c>
      <c r="J695" s="378">
        <f ca="1">IF($A695="S",IF(CAIXA.Modo,BM.AFAnterior,BM.MEDAnterior),IF(AND(RegimeExecucao="Global",$I695&gt;0,COUNTIF($AB$13:$AM$13,BM.medicao-1)&gt;0),M695/$I695*100,0))</f>
        <v>0</v>
      </c>
      <c r="K695" s="124">
        <f t="shared" ca="1" si="58"/>
        <v>0</v>
      </c>
      <c r="L695" s="379">
        <f ca="1">IF($A695="S",IF(CAIXA.Modo,BM.AFAcumulado,BM.MEDAcumulado),IF(AND(RegimeExecucao="Global",$I695&gt;0,COUNTIF($AB$13:$AM$13,BM.medicao)&gt;0),O695/$I695*100,0))</f>
        <v>0</v>
      </c>
      <c r="M695" s="380">
        <f ca="1">IF($A695="S",VTOTALBM,IF($A695=0,0,ROUND(SomaAgrupBM,15-13*ORÇAMENTO!$AF$11)))</f>
        <v>0</v>
      </c>
      <c r="N695" s="381">
        <f t="shared" ca="1" si="59"/>
        <v>0</v>
      </c>
      <c r="O695" s="127">
        <f ca="1">IF($A695="S",VTOTALBM,IF($A695=0,0,ROUND(SomaAgrupBM,15-13*ORÇAMENTO!$AF$11)))</f>
        <v>0</v>
      </c>
      <c r="Q695" s="382"/>
      <c r="R695" s="383"/>
      <c r="T695" s="119" t="str">
        <f t="shared" ca="1" si="60"/>
        <v/>
      </c>
      <c r="U695" s="172" t="str">
        <f t="shared" ca="1" si="61"/>
        <v/>
      </c>
      <c r="V695" s="173" t="str">
        <f ca="1">IF(AND($W695&gt;0,RegimeExecucao="Unitário"),$F695,"")</f>
        <v/>
      </c>
      <c r="W695" s="547">
        <f ca="1">IF($Y695&gt;0,CHOOSE(MATCH(RegimeExecucao,{"Unitário","Global"},0),IF($A695="S",$Y695/$X695,""),($Y695/$X695)*100),0)</f>
        <v>0</v>
      </c>
      <c r="X695" s="384" t="str">
        <f ca="1">IF($Y695&gt;0,CHOOSE(MATCH(RegimeExecucao,{"Unitário","Global"},0),IF($A695="S",ROUND($H695,ORÇAMENTO!$AF$10),""),ROUND($I695,ORÇAMENTO!$AF$11)),"")</f>
        <v/>
      </c>
      <c r="Y695" s="384">
        <f t="shared" ca="1" si="62"/>
        <v>0</v>
      </c>
      <c r="Z695" s="572"/>
      <c r="AB695" s="382"/>
      <c r="AC695" s="516"/>
      <c r="AD695" s="516"/>
      <c r="AE695" s="516"/>
      <c r="AF695" s="516"/>
      <c r="AG695" s="516"/>
      <c r="AH695" s="516"/>
      <c r="AI695" s="516"/>
      <c r="AJ695" s="516"/>
      <c r="AK695" s="516"/>
      <c r="AL695" s="516"/>
      <c r="AM695" s="383"/>
      <c r="AO695">
        <f ca="1">IF($A695="S",IF(BM!$I695=0,0,CHOOSE(MATCH(RegimeExecucao,{"Global","Unitário"},0),ROUND(ROUND(BM.MEDAcumulado,15-13*BM!$A$9)/100*BM!$I695,15-13*ORÇAMENTO!$AF$11),ROUND(ROUND(BM.MEDAcumulado,15-13*BM!$A$9)*ROUND(BM!$H695,15-13*ORÇAMENTO!$AF$10),15-13*ORÇAMENTO!$AF$11))),IF($A695=0,0,ROUND(SomaAgrupBM,15-13*ORÇAMENTO!$AF$11)))</f>
        <v>0</v>
      </c>
    </row>
    <row r="696" spans="1:41" ht="38.25" x14ac:dyDescent="0.2">
      <c r="A696" t="str">
        <f ca="1">ORÇAMENTO!C696</f>
        <v>S</v>
      </c>
      <c r="B696">
        <f ca="1">ORÇAMENTO!D696</f>
        <v>0</v>
      </c>
      <c r="C696" s="116" t="str">
        <f t="shared" ca="1" si="56"/>
        <v/>
      </c>
      <c r="D696" s="119" t="str">
        <f ca="1">ORÇAMENTO!O696</f>
        <v>-</v>
      </c>
      <c r="E696" s="172" t="str">
        <f t="shared" ca="1" si="64"/>
        <v>(abra o arquivo 'Referência 02-2025.xlsm)</v>
      </c>
      <c r="F696" s="173" t="str">
        <f ca="1">IF(RegimeExecucao="Global","",ORÇAMENTO.Unidade)</f>
        <v>-</v>
      </c>
      <c r="G696" s="124">
        <f ca="1">IF(RegimeExecucao="Global","",ORÇAMENTO!T696)</f>
        <v>109.2</v>
      </c>
      <c r="H696" s="124">
        <f ca="1">IF(RegimeExecucao="Global","",ORÇAMENTO!W696)</f>
        <v>0</v>
      </c>
      <c r="I696" s="127">
        <f ca="1">ORÇAMENTO!X696</f>
        <v>0</v>
      </c>
      <c r="J696" s="378">
        <f ca="1">IF($A696="S",IF(CAIXA.Modo,BM.AFAnterior,BM.MEDAnterior),IF(AND(RegimeExecucao="Global",$I696&gt;0,COUNTIF($AB$13:$AM$13,BM.medicao-1)&gt;0),M696/$I696*100,0))</f>
        <v>0</v>
      </c>
      <c r="K696" s="124">
        <f t="shared" ca="1" si="58"/>
        <v>0</v>
      </c>
      <c r="L696" s="379">
        <f ca="1">IF($A696="S",IF(CAIXA.Modo,BM.AFAcumulado,BM.MEDAcumulado),IF(AND(RegimeExecucao="Global",$I696&gt;0,COUNTIF($AB$13:$AM$13,BM.medicao)&gt;0),O696/$I696*100,0))</f>
        <v>0</v>
      </c>
      <c r="M696" s="380">
        <f ca="1">IF($A696="S",VTOTALBM,IF($A696=0,0,ROUND(SomaAgrupBM,15-13*ORÇAMENTO!$AF$11)))</f>
        <v>0</v>
      </c>
      <c r="N696" s="381">
        <f t="shared" ca="1" si="59"/>
        <v>0</v>
      </c>
      <c r="O696" s="127">
        <f ca="1">IF($A696="S",VTOTALBM,IF($A696=0,0,ROUND(SomaAgrupBM,15-13*ORÇAMENTO!$AF$11)))</f>
        <v>0</v>
      </c>
      <c r="Q696" s="382"/>
      <c r="R696" s="383"/>
      <c r="T696" s="119" t="str">
        <f t="shared" ca="1" si="60"/>
        <v/>
      </c>
      <c r="U696" s="172" t="str">
        <f t="shared" ca="1" si="61"/>
        <v/>
      </c>
      <c r="V696" s="173" t="str">
        <f ca="1">IF(AND($W696&gt;0,RegimeExecucao="Unitário"),$F696,"")</f>
        <v/>
      </c>
      <c r="W696" s="547">
        <f ca="1">IF($Y696&gt;0,CHOOSE(MATCH(RegimeExecucao,{"Unitário","Global"},0),IF($A696="S",$Y696/$X696,""),($Y696/$X696)*100),0)</f>
        <v>0</v>
      </c>
      <c r="X696" s="384" t="str">
        <f ca="1">IF($Y696&gt;0,CHOOSE(MATCH(RegimeExecucao,{"Unitário","Global"},0),IF($A696="S",ROUND($H696,ORÇAMENTO!$AF$10),""),ROUND($I696,ORÇAMENTO!$AF$11)),"")</f>
        <v/>
      </c>
      <c r="Y696" s="384">
        <f t="shared" ca="1" si="62"/>
        <v>0</v>
      </c>
      <c r="Z696" s="572"/>
      <c r="AB696" s="382"/>
      <c r="AC696" s="516"/>
      <c r="AD696" s="516"/>
      <c r="AE696" s="516"/>
      <c r="AF696" s="516"/>
      <c r="AG696" s="516"/>
      <c r="AH696" s="516"/>
      <c r="AI696" s="516"/>
      <c r="AJ696" s="516"/>
      <c r="AK696" s="516"/>
      <c r="AL696" s="516"/>
      <c r="AM696" s="383"/>
      <c r="AO696">
        <f ca="1">IF($A696="S",IF(BM!$I696=0,0,CHOOSE(MATCH(RegimeExecucao,{"Global","Unitário"},0),ROUND(ROUND(BM.MEDAcumulado,15-13*BM!$A$9)/100*BM!$I696,15-13*ORÇAMENTO!$AF$11),ROUND(ROUND(BM.MEDAcumulado,15-13*BM!$A$9)*ROUND(BM!$H696,15-13*ORÇAMENTO!$AF$10),15-13*ORÇAMENTO!$AF$11))),IF($A696=0,0,ROUND(SomaAgrupBM,15-13*ORÇAMENTO!$AF$11)))</f>
        <v>0</v>
      </c>
    </row>
    <row r="697" spans="1:41" ht="38.25" x14ac:dyDescent="0.2">
      <c r="A697" t="str">
        <f ca="1">ORÇAMENTO!C697</f>
        <v>S</v>
      </c>
      <c r="B697">
        <f ca="1">ORÇAMENTO!D697</f>
        <v>0</v>
      </c>
      <c r="C697" s="116" t="str">
        <f t="shared" ca="1" si="56"/>
        <v/>
      </c>
      <c r="D697" s="119" t="str">
        <f ca="1">ORÇAMENTO!O697</f>
        <v>-</v>
      </c>
      <c r="E697" s="172" t="str">
        <f t="shared" ca="1" si="64"/>
        <v>(abra o arquivo 'Referência 02-2025.xlsm)</v>
      </c>
      <c r="F697" s="173" t="str">
        <f ca="1">IF(RegimeExecucao="Global","",ORÇAMENTO.Unidade)</f>
        <v>-</v>
      </c>
      <c r="G697" s="124">
        <f ca="1">IF(RegimeExecucao="Global","",ORÇAMENTO!T697)</f>
        <v>48.36</v>
      </c>
      <c r="H697" s="124">
        <f ca="1">IF(RegimeExecucao="Global","",ORÇAMENTO!W697)</f>
        <v>0</v>
      </c>
      <c r="I697" s="127">
        <f ca="1">ORÇAMENTO!X697</f>
        <v>0</v>
      </c>
      <c r="J697" s="378">
        <f ca="1">IF($A697="S",IF(CAIXA.Modo,BM.AFAnterior,BM.MEDAnterior),IF(AND(RegimeExecucao="Global",$I697&gt;0,COUNTIF($AB$13:$AM$13,BM.medicao-1)&gt;0),M697/$I697*100,0))</f>
        <v>0</v>
      </c>
      <c r="K697" s="124">
        <f t="shared" ca="1" si="58"/>
        <v>0</v>
      </c>
      <c r="L697" s="379">
        <f ca="1">IF($A697="S",IF(CAIXA.Modo,BM.AFAcumulado,BM.MEDAcumulado),IF(AND(RegimeExecucao="Global",$I697&gt;0,COUNTIF($AB$13:$AM$13,BM.medicao)&gt;0),O697/$I697*100,0))</f>
        <v>0</v>
      </c>
      <c r="M697" s="380">
        <f ca="1">IF($A697="S",VTOTALBM,IF($A697=0,0,ROUND(SomaAgrupBM,15-13*ORÇAMENTO!$AF$11)))</f>
        <v>0</v>
      </c>
      <c r="N697" s="381">
        <f t="shared" ca="1" si="59"/>
        <v>0</v>
      </c>
      <c r="O697" s="127">
        <f ca="1">IF($A697="S",VTOTALBM,IF($A697=0,0,ROUND(SomaAgrupBM,15-13*ORÇAMENTO!$AF$11)))</f>
        <v>0</v>
      </c>
      <c r="Q697" s="382"/>
      <c r="R697" s="383"/>
      <c r="T697" s="119" t="str">
        <f t="shared" ca="1" si="60"/>
        <v/>
      </c>
      <c r="U697" s="172" t="str">
        <f t="shared" ca="1" si="61"/>
        <v/>
      </c>
      <c r="V697" s="173" t="str">
        <f ca="1">IF(AND($W697&gt;0,RegimeExecucao="Unitário"),$F697,"")</f>
        <v/>
      </c>
      <c r="W697" s="547">
        <f ca="1">IF($Y697&gt;0,CHOOSE(MATCH(RegimeExecucao,{"Unitário","Global"},0),IF($A697="S",$Y697/$X697,""),($Y697/$X697)*100),0)</f>
        <v>0</v>
      </c>
      <c r="X697" s="384" t="str">
        <f ca="1">IF($Y697&gt;0,CHOOSE(MATCH(RegimeExecucao,{"Unitário","Global"},0),IF($A697="S",ROUND($H697,ORÇAMENTO!$AF$10),""),ROUND($I697,ORÇAMENTO!$AF$11)),"")</f>
        <v/>
      </c>
      <c r="Y697" s="384">
        <f t="shared" ca="1" si="62"/>
        <v>0</v>
      </c>
      <c r="Z697" s="572"/>
      <c r="AB697" s="382"/>
      <c r="AC697" s="516"/>
      <c r="AD697" s="516"/>
      <c r="AE697" s="516"/>
      <c r="AF697" s="516"/>
      <c r="AG697" s="516"/>
      <c r="AH697" s="516"/>
      <c r="AI697" s="516"/>
      <c r="AJ697" s="516"/>
      <c r="AK697" s="516"/>
      <c r="AL697" s="516"/>
      <c r="AM697" s="383"/>
      <c r="AO697">
        <f ca="1">IF($A697="S",IF(BM!$I697=0,0,CHOOSE(MATCH(RegimeExecucao,{"Global","Unitário"},0),ROUND(ROUND(BM.MEDAcumulado,15-13*BM!$A$9)/100*BM!$I697,15-13*ORÇAMENTO!$AF$11),ROUND(ROUND(BM.MEDAcumulado,15-13*BM!$A$9)*ROUND(BM!$H697,15-13*ORÇAMENTO!$AF$10),15-13*ORÇAMENTO!$AF$11))),IF($A697=0,0,ROUND(SomaAgrupBM,15-13*ORÇAMENTO!$AF$11)))</f>
        <v>0</v>
      </c>
    </row>
    <row r="698" spans="1:41" ht="25.5" x14ac:dyDescent="0.2">
      <c r="A698" t="str">
        <f ca="1">ORÇAMENTO!C698</f>
        <v>S</v>
      </c>
      <c r="B698">
        <f ca="1">ORÇAMENTO!D698</f>
        <v>0</v>
      </c>
      <c r="C698" s="116" t="str">
        <f t="shared" ca="1" si="56"/>
        <v/>
      </c>
      <c r="D698" s="119" t="str">
        <f ca="1">ORÇAMENTO!O698</f>
        <v>-</v>
      </c>
      <c r="E698" s="172" t="str">
        <f t="shared" ca="1" si="64"/>
        <v>(abra o arquivo 'Referência 02-2025.xlsm)</v>
      </c>
      <c r="F698" s="173" t="str">
        <f ca="1">IF(RegimeExecucao="Global","",ORÇAMENTO.Unidade)</f>
        <v>-</v>
      </c>
      <c r="G698" s="124">
        <f ca="1">IF(RegimeExecucao="Global","",ORÇAMENTO!T698)</f>
        <v>270.39</v>
      </c>
      <c r="H698" s="124">
        <f ca="1">IF(RegimeExecucao="Global","",ORÇAMENTO!W698)</f>
        <v>0</v>
      </c>
      <c r="I698" s="127">
        <f ca="1">ORÇAMENTO!X698</f>
        <v>0</v>
      </c>
      <c r="J698" s="378">
        <f ca="1">IF($A698="S",IF(CAIXA.Modo,BM.AFAnterior,BM.MEDAnterior),IF(AND(RegimeExecucao="Global",$I698&gt;0,COUNTIF($AB$13:$AM$13,BM.medicao-1)&gt;0),M698/$I698*100,0))</f>
        <v>0</v>
      </c>
      <c r="K698" s="124">
        <f t="shared" ca="1" si="58"/>
        <v>0</v>
      </c>
      <c r="L698" s="379">
        <f ca="1">IF($A698="S",IF(CAIXA.Modo,BM.AFAcumulado,BM.MEDAcumulado),IF(AND(RegimeExecucao="Global",$I698&gt;0,COUNTIF($AB$13:$AM$13,BM.medicao)&gt;0),O698/$I698*100,0))</f>
        <v>0</v>
      </c>
      <c r="M698" s="380">
        <f ca="1">IF($A698="S",VTOTALBM,IF($A698=0,0,ROUND(SomaAgrupBM,15-13*ORÇAMENTO!$AF$11)))</f>
        <v>0</v>
      </c>
      <c r="N698" s="381">
        <f t="shared" ca="1" si="59"/>
        <v>0</v>
      </c>
      <c r="O698" s="127">
        <f ca="1">IF($A698="S",VTOTALBM,IF($A698=0,0,ROUND(SomaAgrupBM,15-13*ORÇAMENTO!$AF$11)))</f>
        <v>0</v>
      </c>
      <c r="Q698" s="382"/>
      <c r="R698" s="383"/>
      <c r="T698" s="119" t="str">
        <f t="shared" ca="1" si="60"/>
        <v/>
      </c>
      <c r="U698" s="172" t="str">
        <f t="shared" ca="1" si="61"/>
        <v/>
      </c>
      <c r="V698" s="173" t="str">
        <f ca="1">IF(AND($W698&gt;0,RegimeExecucao="Unitário"),$F698,"")</f>
        <v/>
      </c>
      <c r="W698" s="547">
        <f ca="1">IF($Y698&gt;0,CHOOSE(MATCH(RegimeExecucao,{"Unitário","Global"},0),IF($A698="S",$Y698/$X698,""),($Y698/$X698)*100),0)</f>
        <v>0</v>
      </c>
      <c r="X698" s="384" t="str">
        <f ca="1">IF($Y698&gt;0,CHOOSE(MATCH(RegimeExecucao,{"Unitário","Global"},0),IF($A698="S",ROUND($H698,ORÇAMENTO!$AF$10),""),ROUND($I698,ORÇAMENTO!$AF$11)),"")</f>
        <v/>
      </c>
      <c r="Y698" s="384">
        <f t="shared" ca="1" si="62"/>
        <v>0</v>
      </c>
      <c r="Z698" s="572"/>
      <c r="AB698" s="382"/>
      <c r="AC698" s="516"/>
      <c r="AD698" s="516"/>
      <c r="AE698" s="516"/>
      <c r="AF698" s="516"/>
      <c r="AG698" s="516"/>
      <c r="AH698" s="516"/>
      <c r="AI698" s="516"/>
      <c r="AJ698" s="516"/>
      <c r="AK698" s="516"/>
      <c r="AL698" s="516"/>
      <c r="AM698" s="383"/>
      <c r="AO698">
        <f ca="1">IF($A698="S",IF(BM!$I698=0,0,CHOOSE(MATCH(RegimeExecucao,{"Global","Unitário"},0),ROUND(ROUND(BM.MEDAcumulado,15-13*BM!$A$9)/100*BM!$I698,15-13*ORÇAMENTO!$AF$11),ROUND(ROUND(BM.MEDAcumulado,15-13*BM!$A$9)*ROUND(BM!$H698,15-13*ORÇAMENTO!$AF$10),15-13*ORÇAMENTO!$AF$11))),IF($A698=0,0,ROUND(SomaAgrupBM,15-13*ORÇAMENTO!$AF$11)))</f>
        <v>0</v>
      </c>
    </row>
    <row r="699" spans="1:41" ht="25.5" x14ac:dyDescent="0.2">
      <c r="A699" t="str">
        <f ca="1">ORÇAMENTO!C699</f>
        <v>S</v>
      </c>
      <c r="B699">
        <f ca="1">ORÇAMENTO!D699</f>
        <v>0</v>
      </c>
      <c r="C699" s="116" t="str">
        <f ca="1">IF(OR($I699&gt;0,$A699=1,$A699=2,$A699=3,$A699=4),"F","")</f>
        <v/>
      </c>
      <c r="D699" s="119" t="str">
        <f ca="1">ORÇAMENTO!O699</f>
        <v>-</v>
      </c>
      <c r="E699" s="172" t="str">
        <f ca="1">ORÇAMENTO.Descricao</f>
        <v>(abra o arquivo 'Referência 02-2025.xlsm)</v>
      </c>
      <c r="F699" s="173" t="str">
        <f ca="1">IF(RegimeExecucao="Global","",ORÇAMENTO.Unidade)</f>
        <v>-</v>
      </c>
      <c r="G699" s="124">
        <f ca="1">IF(RegimeExecucao="Global","",ORÇAMENTO!T699)</f>
        <v>136.37</v>
      </c>
      <c r="H699" s="124">
        <f ca="1">IF(RegimeExecucao="Global","",ORÇAMENTO!W699)</f>
        <v>0</v>
      </c>
      <c r="I699" s="127">
        <f ca="1">ORÇAMENTO!X699</f>
        <v>0</v>
      </c>
      <c r="J699" s="378">
        <f ca="1">IF($A699="S",IF(CAIXA.Modo,BM.AFAnterior,BM.MEDAnterior),IF(AND(RegimeExecucao="Global",$I699&gt;0,COUNTIF($AB$13:$AM$13,BM.medicao-1)&gt;0),M699/$I699*100,0))</f>
        <v>0</v>
      </c>
      <c r="K699" s="124">
        <f ca="1">L699-J699</f>
        <v>0</v>
      </c>
      <c r="L699" s="379">
        <f ca="1">IF($A699="S",IF(CAIXA.Modo,BM.AFAcumulado,BM.MEDAcumulado),IF(AND(RegimeExecucao="Global",$I699&gt;0,COUNTIF($AB$13:$AM$13,BM.medicao)&gt;0),O699/$I699*100,0))</f>
        <v>0</v>
      </c>
      <c r="M699" s="380">
        <f ca="1">IF($A699="S",VTOTALBM,IF($A699=0,0,ROUND(SomaAgrupBM,15-13*ORÇAMENTO!$AF$11)))</f>
        <v>0</v>
      </c>
      <c r="N699" s="381">
        <f ca="1">O699-M699</f>
        <v>0</v>
      </c>
      <c r="O699" s="127">
        <f ca="1">IF($A699="S",VTOTALBM,IF($A699=0,0,ROUND(SomaAgrupBM,15-13*ORÇAMENTO!$AF$11)))</f>
        <v>0</v>
      </c>
      <c r="Q699" s="382"/>
      <c r="R699" s="383"/>
      <c r="T699" s="119" t="str">
        <f ca="1">IF($W699&gt;0,$D699,"")</f>
        <v/>
      </c>
      <c r="U699" s="172" t="str">
        <f ca="1">IF($W699&gt;0,$E699,"")</f>
        <v/>
      </c>
      <c r="V699" s="173" t="str">
        <f ca="1">IF(AND($W699&gt;0,RegimeExecucao="Unitário"),$F699,"")</f>
        <v/>
      </c>
      <c r="W699" s="547">
        <f ca="1">IF($Y699&gt;0,CHOOSE(MATCH(RegimeExecucao,{"Unitário","Global"},0),IF($A699="S",$Y699/$X699,""),($Y699/$X699)*100),0)</f>
        <v>0</v>
      </c>
      <c r="X699" s="384" t="str">
        <f ca="1">IF($Y699&gt;0,CHOOSE(MATCH(RegimeExecucao,{"Unitário","Global"},0),IF($A699="S",ROUND($H699,ORÇAMENTO!$AF$10),""),ROUND($I699,ORÇAMENTO!$AF$11)),"")</f>
        <v/>
      </c>
      <c r="Y699" s="384">
        <f ca="1">AO699-O699</f>
        <v>0</v>
      </c>
      <c r="Z699" s="572"/>
      <c r="AB699" s="382"/>
      <c r="AC699" s="516"/>
      <c r="AD699" s="516"/>
      <c r="AE699" s="516"/>
      <c r="AF699" s="516"/>
      <c r="AG699" s="516"/>
      <c r="AH699" s="516"/>
      <c r="AI699" s="516"/>
      <c r="AJ699" s="516"/>
      <c r="AK699" s="516"/>
      <c r="AL699" s="516"/>
      <c r="AM699" s="383"/>
      <c r="AO699">
        <f ca="1">IF($A699="S",IF(BM!$I699=0,0,CHOOSE(MATCH(RegimeExecucao,{"Global","Unitário"},0),ROUND(ROUND(BM.MEDAcumulado,15-13*BM!$A$9)/100*BM!$I699,15-13*ORÇAMENTO!$AF$11),ROUND(ROUND(BM.MEDAcumulado,15-13*BM!$A$9)*ROUND(BM!$H699,15-13*ORÇAMENTO!$AF$10),15-13*ORÇAMENTO!$AF$11))),IF($A699=0,0,ROUND(SomaAgrupBM,15-13*ORÇAMENTO!$AF$11)))</f>
        <v>0</v>
      </c>
    </row>
    <row r="700" spans="1:41" x14ac:dyDescent="0.2">
      <c r="A700">
        <f ca="1">ORÇAMENTO!C700</f>
        <v>3</v>
      </c>
      <c r="B700">
        <f ca="1">ORÇAMENTO!D700</f>
        <v>8</v>
      </c>
      <c r="C700" s="116" t="str">
        <f t="shared" ca="1" si="56"/>
        <v>F</v>
      </c>
      <c r="D700" s="119" t="str">
        <f ca="1">ORÇAMENTO!O700</f>
        <v>1.24.2.</v>
      </c>
      <c r="E700" s="172" t="str">
        <f t="shared" ca="1" si="64"/>
        <v>CONCRETO ARMADO PARA SAPATAS E BLOCOS</v>
      </c>
      <c r="F700" s="173" t="str">
        <f ca="1">IF(RegimeExecucao="Global","",ORÇAMENTO.Unidade)</f>
        <v>-</v>
      </c>
      <c r="G700" s="124">
        <f ca="1">IF(RegimeExecucao="Global","",ORÇAMENTO!T700)</f>
        <v>0</v>
      </c>
      <c r="H700" s="124">
        <f ca="1">IF(RegimeExecucao="Global","",ORÇAMENTO!W700)</f>
        <v>0</v>
      </c>
      <c r="I700" s="127">
        <f ca="1">ORÇAMENTO!X700</f>
        <v>0</v>
      </c>
      <c r="J700" s="378">
        <f ca="1">IF($A700="S",IF(CAIXA.Modo,BM.AFAnterior,BM.MEDAnterior),IF(AND(RegimeExecucao="Global",$I700&gt;0,COUNTIF($AB$13:$AM$13,BM.medicao-1)&gt;0),M700/$I700*100,0))</f>
        <v>0</v>
      </c>
      <c r="K700" s="124">
        <f t="shared" ca="1" si="58"/>
        <v>0</v>
      </c>
      <c r="L700" s="379">
        <f ca="1">IF($A700="S",IF(CAIXA.Modo,BM.AFAcumulado,BM.MEDAcumulado),IF(AND(RegimeExecucao="Global",$I700&gt;0,COUNTIF($AB$13:$AM$13,BM.medicao)&gt;0),O700/$I700*100,0))</f>
        <v>0</v>
      </c>
      <c r="M700" s="380">
        <f ca="1">IF($A700="S",VTOTALBM,IF($A700=0,0,ROUND(SomaAgrupBM,15-13*ORÇAMENTO!$AF$11)))</f>
        <v>0</v>
      </c>
      <c r="N700" s="381">
        <f t="shared" ca="1" si="59"/>
        <v>0</v>
      </c>
      <c r="O700" s="127">
        <f ca="1">IF($A700="S",VTOTALBM,IF($A700=0,0,ROUND(SomaAgrupBM,15-13*ORÇAMENTO!$AF$11)))</f>
        <v>0</v>
      </c>
      <c r="Q700" s="382"/>
      <c r="R700" s="383"/>
      <c r="T700" s="119" t="str">
        <f t="shared" ca="1" si="60"/>
        <v/>
      </c>
      <c r="U700" s="172" t="str">
        <f t="shared" ca="1" si="61"/>
        <v/>
      </c>
      <c r="V700" s="173" t="str">
        <f ca="1">IF(AND($W700&gt;0,RegimeExecucao="Unitário"),$F700,"")</f>
        <v/>
      </c>
      <c r="W700" s="547">
        <f ca="1">IF($Y700&gt;0,CHOOSE(MATCH(RegimeExecucao,{"Unitário","Global"},0),IF($A700="S",$Y700/$X700,""),($Y700/$X700)*100),0)</f>
        <v>0</v>
      </c>
      <c r="X700" s="384" t="str">
        <f ca="1">IF($Y700&gt;0,CHOOSE(MATCH(RegimeExecucao,{"Unitário","Global"},0),IF($A700="S",ROUND($H700,ORÇAMENTO!$AF$10),""),ROUND($I700,ORÇAMENTO!$AF$11)),"")</f>
        <v/>
      </c>
      <c r="Y700" s="384">
        <f t="shared" ca="1" si="62"/>
        <v>0</v>
      </c>
      <c r="Z700" s="572"/>
      <c r="AB700" s="382"/>
      <c r="AC700" s="516"/>
      <c r="AD700" s="516"/>
      <c r="AE700" s="516"/>
      <c r="AF700" s="516"/>
      <c r="AG700" s="516"/>
      <c r="AH700" s="516"/>
      <c r="AI700" s="516"/>
      <c r="AJ700" s="516"/>
      <c r="AK700" s="516"/>
      <c r="AL700" s="516"/>
      <c r="AM700" s="383"/>
      <c r="AO700">
        <f ca="1">IF($A700="S",IF(BM!$I700=0,0,CHOOSE(MATCH(RegimeExecucao,{"Global","Unitário"},0),ROUND(ROUND(BM.MEDAcumulado,15-13*BM!$A$9)/100*BM!$I700,15-13*ORÇAMENTO!$AF$11),ROUND(ROUND(BM.MEDAcumulado,15-13*BM!$A$9)*ROUND(BM!$H700,15-13*ORÇAMENTO!$AF$10),15-13*ORÇAMENTO!$AF$11))),IF($A700=0,0,ROUND(SomaAgrupBM,15-13*ORÇAMENTO!$AF$11)))</f>
        <v>0</v>
      </c>
    </row>
    <row r="701" spans="1:41" ht="25.5" x14ac:dyDescent="0.2">
      <c r="A701" t="str">
        <f ca="1">ORÇAMENTO!C701</f>
        <v>S</v>
      </c>
      <c r="B701">
        <f ca="1">ORÇAMENTO!D701</f>
        <v>0</v>
      </c>
      <c r="C701" s="116" t="str">
        <f t="shared" ca="1" si="56"/>
        <v/>
      </c>
      <c r="D701" s="119" t="str">
        <f ca="1">ORÇAMENTO!O701</f>
        <v>-</v>
      </c>
      <c r="E701" s="172" t="str">
        <f t="shared" ca="1" si="64"/>
        <v>(abra o arquivo 'Referência 02-2025.xlsm)</v>
      </c>
      <c r="F701" s="173" t="str">
        <f ca="1">IF(RegimeExecucao="Global","",ORÇAMENTO.Unidade)</f>
        <v>-</v>
      </c>
      <c r="G701" s="124">
        <f ca="1">IF(RegimeExecucao="Global","",ORÇAMENTO!T701)</f>
        <v>5.46</v>
      </c>
      <c r="H701" s="124">
        <f ca="1">IF(RegimeExecucao="Global","",ORÇAMENTO!W701)</f>
        <v>0</v>
      </c>
      <c r="I701" s="127">
        <f ca="1">ORÇAMENTO!X701</f>
        <v>0</v>
      </c>
      <c r="J701" s="378">
        <f ca="1">IF($A701="S",IF(CAIXA.Modo,BM.AFAnterior,BM.MEDAnterior),IF(AND(RegimeExecucao="Global",$I701&gt;0,COUNTIF($AB$13:$AM$13,BM.medicao-1)&gt;0),M701/$I701*100,0))</f>
        <v>0</v>
      </c>
      <c r="K701" s="124">
        <f t="shared" ca="1" si="58"/>
        <v>0</v>
      </c>
      <c r="L701" s="379">
        <f ca="1">IF($A701="S",IF(CAIXA.Modo,BM.AFAcumulado,BM.MEDAcumulado),IF(AND(RegimeExecucao="Global",$I701&gt;0,COUNTIF($AB$13:$AM$13,BM.medicao)&gt;0),O701/$I701*100,0))</f>
        <v>0</v>
      </c>
      <c r="M701" s="380">
        <f ca="1">IF($A701="S",VTOTALBM,IF($A701=0,0,ROUND(SomaAgrupBM,15-13*ORÇAMENTO!$AF$11)))</f>
        <v>0</v>
      </c>
      <c r="N701" s="381">
        <f t="shared" ca="1" si="59"/>
        <v>0</v>
      </c>
      <c r="O701" s="127">
        <f ca="1">IF($A701="S",VTOTALBM,IF($A701=0,0,ROUND(SomaAgrupBM,15-13*ORÇAMENTO!$AF$11)))</f>
        <v>0</v>
      </c>
      <c r="Q701" s="382"/>
      <c r="R701" s="383"/>
      <c r="T701" s="119" t="str">
        <f t="shared" ca="1" si="60"/>
        <v/>
      </c>
      <c r="U701" s="172" t="str">
        <f t="shared" ca="1" si="61"/>
        <v/>
      </c>
      <c r="V701" s="173" t="str">
        <f ca="1">IF(AND($W701&gt;0,RegimeExecucao="Unitário"),$F701,"")</f>
        <v/>
      </c>
      <c r="W701" s="547">
        <f ca="1">IF($Y701&gt;0,CHOOSE(MATCH(RegimeExecucao,{"Unitário","Global"},0),IF($A701="S",$Y701/$X701,""),($Y701/$X701)*100),0)</f>
        <v>0</v>
      </c>
      <c r="X701" s="384" t="str">
        <f ca="1">IF($Y701&gt;0,CHOOSE(MATCH(RegimeExecucao,{"Unitário","Global"},0),IF($A701="S",ROUND($H701,ORÇAMENTO!$AF$10),""),ROUND($I701,ORÇAMENTO!$AF$11)),"")</f>
        <v/>
      </c>
      <c r="Y701" s="384">
        <f t="shared" ca="1" si="62"/>
        <v>0</v>
      </c>
      <c r="Z701" s="572"/>
      <c r="AB701" s="382"/>
      <c r="AC701" s="516"/>
      <c r="AD701" s="516"/>
      <c r="AE701" s="516"/>
      <c r="AF701" s="516"/>
      <c r="AG701" s="516"/>
      <c r="AH701" s="516"/>
      <c r="AI701" s="516"/>
      <c r="AJ701" s="516"/>
      <c r="AK701" s="516"/>
      <c r="AL701" s="516"/>
      <c r="AM701" s="383"/>
      <c r="AO701">
        <f ca="1">IF($A701="S",IF(BM!$I701=0,0,CHOOSE(MATCH(RegimeExecucao,{"Global","Unitário"},0),ROUND(ROUND(BM.MEDAcumulado,15-13*BM!$A$9)/100*BM!$I701,15-13*ORÇAMENTO!$AF$11),ROUND(ROUND(BM.MEDAcumulado,15-13*BM!$A$9)*ROUND(BM!$H701,15-13*ORÇAMENTO!$AF$10),15-13*ORÇAMENTO!$AF$11))),IF($A701=0,0,ROUND(SomaAgrupBM,15-13*ORÇAMENTO!$AF$11)))</f>
        <v>0</v>
      </c>
    </row>
    <row r="702" spans="1:41" ht="25.5" x14ac:dyDescent="0.2">
      <c r="A702" t="str">
        <f ca="1">ORÇAMENTO!C702</f>
        <v>S</v>
      </c>
      <c r="B702">
        <f ca="1">ORÇAMENTO!D702</f>
        <v>0</v>
      </c>
      <c r="C702" s="116" t="str">
        <f t="shared" ca="1" si="56"/>
        <v/>
      </c>
      <c r="D702" s="119" t="str">
        <f ca="1">ORÇAMENTO!O702</f>
        <v>-</v>
      </c>
      <c r="E702" s="172" t="str">
        <f t="shared" ca="1" si="64"/>
        <v>(abra o arquivo 'Referência 02-2025.xlsm)</v>
      </c>
      <c r="F702" s="173" t="str">
        <f ca="1">IF(RegimeExecucao="Global","",ORÇAMENTO.Unidade)</f>
        <v>-</v>
      </c>
      <c r="G702" s="124">
        <f ca="1">IF(RegimeExecucao="Global","",ORÇAMENTO!T702)</f>
        <v>109.2</v>
      </c>
      <c r="H702" s="124">
        <f ca="1">IF(RegimeExecucao="Global","",ORÇAMENTO!W702)</f>
        <v>0</v>
      </c>
      <c r="I702" s="127">
        <f ca="1">ORÇAMENTO!X702</f>
        <v>0</v>
      </c>
      <c r="J702" s="378">
        <f ca="1">IF($A702="S",IF(CAIXA.Modo,BM.AFAnterior,BM.MEDAnterior),IF(AND(RegimeExecucao="Global",$I702&gt;0,COUNTIF($AB$13:$AM$13,BM.medicao-1)&gt;0),M702/$I702*100,0))</f>
        <v>0</v>
      </c>
      <c r="K702" s="124">
        <f t="shared" ca="1" si="58"/>
        <v>0</v>
      </c>
      <c r="L702" s="379">
        <f ca="1">IF($A702="S",IF(CAIXA.Modo,BM.AFAcumulado,BM.MEDAcumulado),IF(AND(RegimeExecucao="Global",$I702&gt;0,COUNTIF($AB$13:$AM$13,BM.medicao)&gt;0),O702/$I702*100,0))</f>
        <v>0</v>
      </c>
      <c r="M702" s="380">
        <f ca="1">IF($A702="S",VTOTALBM,IF($A702=0,0,ROUND(SomaAgrupBM,15-13*ORÇAMENTO!$AF$11)))</f>
        <v>0</v>
      </c>
      <c r="N702" s="381">
        <f t="shared" ca="1" si="59"/>
        <v>0</v>
      </c>
      <c r="O702" s="127">
        <f ca="1">IF($A702="S",VTOTALBM,IF($A702=0,0,ROUND(SomaAgrupBM,15-13*ORÇAMENTO!$AF$11)))</f>
        <v>0</v>
      </c>
      <c r="Q702" s="382"/>
      <c r="R702" s="383"/>
      <c r="T702" s="119" t="str">
        <f t="shared" ca="1" si="60"/>
        <v/>
      </c>
      <c r="U702" s="172" t="str">
        <f t="shared" ca="1" si="61"/>
        <v/>
      </c>
      <c r="V702" s="173" t="str">
        <f ca="1">IF(AND($W702&gt;0,RegimeExecucao="Unitário"),$F702,"")</f>
        <v/>
      </c>
      <c r="W702" s="547">
        <f ca="1">IF($Y702&gt;0,CHOOSE(MATCH(RegimeExecucao,{"Unitário","Global"},0),IF($A702="S",$Y702/$X702,""),($Y702/$X702)*100),0)</f>
        <v>0</v>
      </c>
      <c r="X702" s="384" t="str">
        <f ca="1">IF($Y702&gt;0,CHOOSE(MATCH(RegimeExecucao,{"Unitário","Global"},0),IF($A702="S",ROUND($H702,ORÇAMENTO!$AF$10),""),ROUND($I702,ORÇAMENTO!$AF$11)),"")</f>
        <v/>
      </c>
      <c r="Y702" s="384">
        <f t="shared" ca="1" si="62"/>
        <v>0</v>
      </c>
      <c r="Z702" s="572"/>
      <c r="AB702" s="382"/>
      <c r="AC702" s="516"/>
      <c r="AD702" s="516"/>
      <c r="AE702" s="516"/>
      <c r="AF702" s="516"/>
      <c r="AG702" s="516"/>
      <c r="AH702" s="516"/>
      <c r="AI702" s="516"/>
      <c r="AJ702" s="516"/>
      <c r="AK702" s="516"/>
      <c r="AL702" s="516"/>
      <c r="AM702" s="383"/>
      <c r="AO702">
        <f ca="1">IF($A702="S",IF(BM!$I702=0,0,CHOOSE(MATCH(RegimeExecucao,{"Global","Unitário"},0),ROUND(ROUND(BM.MEDAcumulado,15-13*BM!$A$9)/100*BM!$I702,15-13*ORÇAMENTO!$AF$11),ROUND(ROUND(BM.MEDAcumulado,15-13*BM!$A$9)*ROUND(BM!$H702,15-13*ORÇAMENTO!$AF$10),15-13*ORÇAMENTO!$AF$11))),IF($A702=0,0,ROUND(SomaAgrupBM,15-13*ORÇAMENTO!$AF$11)))</f>
        <v>0</v>
      </c>
    </row>
    <row r="703" spans="1:41" ht="38.25" x14ac:dyDescent="0.2">
      <c r="A703" t="str">
        <f ca="1">ORÇAMENTO!C703</f>
        <v>S</v>
      </c>
      <c r="B703">
        <f ca="1">ORÇAMENTO!D703</f>
        <v>0</v>
      </c>
      <c r="C703" s="116" t="str">
        <f t="shared" ca="1" si="56"/>
        <v/>
      </c>
      <c r="D703" s="119" t="str">
        <f ca="1">ORÇAMENTO!O703</f>
        <v>-</v>
      </c>
      <c r="E703" s="172" t="str">
        <f t="shared" ca="1" si="64"/>
        <v>(abra o arquivo 'Referência 02-2025.xlsm)</v>
      </c>
      <c r="F703" s="173" t="str">
        <f ca="1">IF(RegimeExecucao="Global","",ORÇAMENTO.Unidade)</f>
        <v>-</v>
      </c>
      <c r="G703" s="124">
        <f ca="1">IF(RegimeExecucao="Global","",ORÇAMENTO!T703)</f>
        <v>83.33</v>
      </c>
      <c r="H703" s="124">
        <f ca="1">IF(RegimeExecucao="Global","",ORÇAMENTO!W703)</f>
        <v>0</v>
      </c>
      <c r="I703" s="127">
        <f ca="1">ORÇAMENTO!X703</f>
        <v>0</v>
      </c>
      <c r="J703" s="378">
        <f ca="1">IF($A703="S",IF(CAIXA.Modo,BM.AFAnterior,BM.MEDAnterior),IF(AND(RegimeExecucao="Global",$I703&gt;0,COUNTIF($AB$13:$AM$13,BM.medicao-1)&gt;0),M703/$I703*100,0))</f>
        <v>0</v>
      </c>
      <c r="K703" s="124">
        <f t="shared" ca="1" si="58"/>
        <v>0</v>
      </c>
      <c r="L703" s="379">
        <f ca="1">IF($A703="S",IF(CAIXA.Modo,BM.AFAcumulado,BM.MEDAcumulado),IF(AND(RegimeExecucao="Global",$I703&gt;0,COUNTIF($AB$13:$AM$13,BM.medicao)&gt;0),O703/$I703*100,0))</f>
        <v>0</v>
      </c>
      <c r="M703" s="380">
        <f ca="1">IF($A703="S",VTOTALBM,IF($A703=0,0,ROUND(SomaAgrupBM,15-13*ORÇAMENTO!$AF$11)))</f>
        <v>0</v>
      </c>
      <c r="N703" s="381">
        <f t="shared" ca="1" si="59"/>
        <v>0</v>
      </c>
      <c r="O703" s="127">
        <f ca="1">IF($A703="S",VTOTALBM,IF($A703=0,0,ROUND(SomaAgrupBM,15-13*ORÇAMENTO!$AF$11)))</f>
        <v>0</v>
      </c>
      <c r="Q703" s="382"/>
      <c r="R703" s="383"/>
      <c r="T703" s="119" t="str">
        <f t="shared" ca="1" si="60"/>
        <v/>
      </c>
      <c r="U703" s="172" t="str">
        <f t="shared" ca="1" si="61"/>
        <v/>
      </c>
      <c r="V703" s="173" t="str">
        <f ca="1">IF(AND($W703&gt;0,RegimeExecucao="Unitário"),$F703,"")</f>
        <v/>
      </c>
      <c r="W703" s="547">
        <f ca="1">IF($Y703&gt;0,CHOOSE(MATCH(RegimeExecucao,{"Unitário","Global"},0),IF($A703="S",$Y703/$X703,""),($Y703/$X703)*100),0)</f>
        <v>0</v>
      </c>
      <c r="X703" s="384" t="str">
        <f ca="1">IF($Y703&gt;0,CHOOSE(MATCH(RegimeExecucao,{"Unitário","Global"},0),IF($A703="S",ROUND($H703,ORÇAMENTO!$AF$10),""),ROUND($I703,ORÇAMENTO!$AF$11)),"")</f>
        <v/>
      </c>
      <c r="Y703" s="384">
        <f t="shared" ca="1" si="62"/>
        <v>0</v>
      </c>
      <c r="Z703" s="572"/>
      <c r="AB703" s="382"/>
      <c r="AC703" s="516"/>
      <c r="AD703" s="516"/>
      <c r="AE703" s="516"/>
      <c r="AF703" s="516"/>
      <c r="AG703" s="516"/>
      <c r="AH703" s="516"/>
      <c r="AI703" s="516"/>
      <c r="AJ703" s="516"/>
      <c r="AK703" s="516"/>
      <c r="AL703" s="516"/>
      <c r="AM703" s="383"/>
      <c r="AO703">
        <f ca="1">IF($A703="S",IF(BM!$I703=0,0,CHOOSE(MATCH(RegimeExecucao,{"Global","Unitário"},0),ROUND(ROUND(BM.MEDAcumulado,15-13*BM!$A$9)/100*BM!$I703,15-13*ORÇAMENTO!$AF$11),ROUND(ROUND(BM.MEDAcumulado,15-13*BM!$A$9)*ROUND(BM!$H703,15-13*ORÇAMENTO!$AF$10),15-13*ORÇAMENTO!$AF$11))),IF($A703=0,0,ROUND(SomaAgrupBM,15-13*ORÇAMENTO!$AF$11)))</f>
        <v>0</v>
      </c>
    </row>
    <row r="704" spans="1:41" ht="25.5" x14ac:dyDescent="0.2">
      <c r="A704" t="str">
        <f ca="1">ORÇAMENTO!C704</f>
        <v>S</v>
      </c>
      <c r="B704">
        <f ca="1">ORÇAMENTO!D704</f>
        <v>0</v>
      </c>
      <c r="C704" s="116" t="str">
        <f t="shared" ca="1" si="56"/>
        <v/>
      </c>
      <c r="D704" s="119" t="str">
        <f ca="1">ORÇAMENTO!O704</f>
        <v>-</v>
      </c>
      <c r="E704" s="172" t="str">
        <f t="shared" ca="1" si="64"/>
        <v>(abra o arquivo 'Referência 02-2025.xlsm)</v>
      </c>
      <c r="F704" s="173" t="str">
        <f ca="1">IF(RegimeExecucao="Global","",ORÇAMENTO.Unidade)</f>
        <v>-</v>
      </c>
      <c r="G704" s="124">
        <f ca="1">IF(RegimeExecucao="Global","",ORÇAMENTO!T704)</f>
        <v>3050.79</v>
      </c>
      <c r="H704" s="124">
        <f ca="1">IF(RegimeExecucao="Global","",ORÇAMENTO!W704)</f>
        <v>0</v>
      </c>
      <c r="I704" s="127">
        <f ca="1">ORÇAMENTO!X704</f>
        <v>0</v>
      </c>
      <c r="J704" s="378">
        <f ca="1">IF($A704="S",IF(CAIXA.Modo,BM.AFAnterior,BM.MEDAnterior),IF(AND(RegimeExecucao="Global",$I704&gt;0,COUNTIF($AB$13:$AM$13,BM.medicao-1)&gt;0),M704/$I704*100,0))</f>
        <v>0</v>
      </c>
      <c r="K704" s="124">
        <f t="shared" ca="1" si="58"/>
        <v>0</v>
      </c>
      <c r="L704" s="379">
        <f ca="1">IF($A704="S",IF(CAIXA.Modo,BM.AFAcumulado,BM.MEDAcumulado),IF(AND(RegimeExecucao="Global",$I704&gt;0,COUNTIF($AB$13:$AM$13,BM.medicao)&gt;0),O704/$I704*100,0))</f>
        <v>0</v>
      </c>
      <c r="M704" s="380">
        <f ca="1">IF($A704="S",VTOTALBM,IF($A704=0,0,ROUND(SomaAgrupBM,15-13*ORÇAMENTO!$AF$11)))</f>
        <v>0</v>
      </c>
      <c r="N704" s="381">
        <f t="shared" ca="1" si="59"/>
        <v>0</v>
      </c>
      <c r="O704" s="127">
        <f ca="1">IF($A704="S",VTOTALBM,IF($A704=0,0,ROUND(SomaAgrupBM,15-13*ORÇAMENTO!$AF$11)))</f>
        <v>0</v>
      </c>
      <c r="Q704" s="382"/>
      <c r="R704" s="383"/>
      <c r="T704" s="119" t="str">
        <f t="shared" ca="1" si="60"/>
        <v/>
      </c>
      <c r="U704" s="172" t="str">
        <f t="shared" ca="1" si="61"/>
        <v/>
      </c>
      <c r="V704" s="173" t="str">
        <f ca="1">IF(AND($W704&gt;0,RegimeExecucao="Unitário"),$F704,"")</f>
        <v/>
      </c>
      <c r="W704" s="547">
        <f ca="1">IF($Y704&gt;0,CHOOSE(MATCH(RegimeExecucao,{"Unitário","Global"},0),IF($A704="S",$Y704/$X704,""),($Y704/$X704)*100),0)</f>
        <v>0</v>
      </c>
      <c r="X704" s="384" t="str">
        <f ca="1">IF($Y704&gt;0,CHOOSE(MATCH(RegimeExecucao,{"Unitário","Global"},0),IF($A704="S",ROUND($H704,ORÇAMENTO!$AF$10),""),ROUND($I704,ORÇAMENTO!$AF$11)),"")</f>
        <v/>
      </c>
      <c r="Y704" s="384">
        <f t="shared" ca="1" si="62"/>
        <v>0</v>
      </c>
      <c r="Z704" s="572"/>
      <c r="AB704" s="382"/>
      <c r="AC704" s="516"/>
      <c r="AD704" s="516"/>
      <c r="AE704" s="516"/>
      <c r="AF704" s="516"/>
      <c r="AG704" s="516"/>
      <c r="AH704" s="516"/>
      <c r="AI704" s="516"/>
      <c r="AJ704" s="516"/>
      <c r="AK704" s="516"/>
      <c r="AL704" s="516"/>
      <c r="AM704" s="383"/>
      <c r="AO704">
        <f ca="1">IF($A704="S",IF(BM!$I704=0,0,CHOOSE(MATCH(RegimeExecucao,{"Global","Unitário"},0),ROUND(ROUND(BM.MEDAcumulado,15-13*BM!$A$9)/100*BM!$I704,15-13*ORÇAMENTO!$AF$11),ROUND(ROUND(BM.MEDAcumulado,15-13*BM!$A$9)*ROUND(BM!$H704,15-13*ORÇAMENTO!$AF$10),15-13*ORÇAMENTO!$AF$11))),IF($A704=0,0,ROUND(SomaAgrupBM,15-13*ORÇAMENTO!$AF$11)))</f>
        <v>0</v>
      </c>
    </row>
    <row r="705" spans="1:41" ht="38.25" x14ac:dyDescent="0.2">
      <c r="A705" t="str">
        <f ca="1">ORÇAMENTO!C705</f>
        <v>S</v>
      </c>
      <c r="B705">
        <f ca="1">ORÇAMENTO!D705</f>
        <v>0</v>
      </c>
      <c r="C705" s="116" t="str">
        <f t="shared" ca="1" si="56"/>
        <v/>
      </c>
      <c r="D705" s="119" t="str">
        <f ca="1">ORÇAMENTO!O705</f>
        <v>-</v>
      </c>
      <c r="E705" s="172" t="str">
        <f t="shared" ca="1" si="64"/>
        <v>(abra o arquivo 'Referência 02-2025.xlsm)</v>
      </c>
      <c r="F705" s="173" t="str">
        <f ca="1">IF(RegimeExecucao="Global","",ORÇAMENTO.Unidade)</f>
        <v>-</v>
      </c>
      <c r="G705" s="124">
        <f ca="1">IF(RegimeExecucao="Global","",ORÇAMENTO!T705)</f>
        <v>250.16</v>
      </c>
      <c r="H705" s="124">
        <f ca="1">IF(RegimeExecucao="Global","",ORÇAMENTO!W705)</f>
        <v>0</v>
      </c>
      <c r="I705" s="127">
        <f ca="1">ORÇAMENTO!X705</f>
        <v>0</v>
      </c>
      <c r="J705" s="378">
        <f ca="1">IF($A705="S",IF(CAIXA.Modo,BM.AFAnterior,BM.MEDAnterior),IF(AND(RegimeExecucao="Global",$I705&gt;0,COUNTIF($AB$13:$AM$13,BM.medicao-1)&gt;0),M705/$I705*100,0))</f>
        <v>0</v>
      </c>
      <c r="K705" s="124">
        <f t="shared" ca="1" si="58"/>
        <v>0</v>
      </c>
      <c r="L705" s="379">
        <f ca="1">IF($A705="S",IF(CAIXA.Modo,BM.AFAcumulado,BM.MEDAcumulado),IF(AND(RegimeExecucao="Global",$I705&gt;0,COUNTIF($AB$13:$AM$13,BM.medicao)&gt;0),O705/$I705*100,0))</f>
        <v>0</v>
      </c>
      <c r="M705" s="380">
        <f ca="1">IF($A705="S",VTOTALBM,IF($A705=0,0,ROUND(SomaAgrupBM,15-13*ORÇAMENTO!$AF$11)))</f>
        <v>0</v>
      </c>
      <c r="N705" s="381">
        <f t="shared" ca="1" si="59"/>
        <v>0</v>
      </c>
      <c r="O705" s="127">
        <f ca="1">IF($A705="S",VTOTALBM,IF($A705=0,0,ROUND(SomaAgrupBM,15-13*ORÇAMENTO!$AF$11)))</f>
        <v>0</v>
      </c>
      <c r="Q705" s="382"/>
      <c r="R705" s="383"/>
      <c r="T705" s="119" t="str">
        <f t="shared" ca="1" si="60"/>
        <v/>
      </c>
      <c r="U705" s="172" t="str">
        <f t="shared" ca="1" si="61"/>
        <v/>
      </c>
      <c r="V705" s="173" t="str">
        <f ca="1">IF(AND($W705&gt;0,RegimeExecucao="Unitário"),$F705,"")</f>
        <v/>
      </c>
      <c r="W705" s="547">
        <f ca="1">IF($Y705&gt;0,CHOOSE(MATCH(RegimeExecucao,{"Unitário","Global"},0),IF($A705="S",$Y705/$X705,""),($Y705/$X705)*100),0)</f>
        <v>0</v>
      </c>
      <c r="X705" s="384" t="str">
        <f ca="1">IF($Y705&gt;0,CHOOSE(MATCH(RegimeExecucao,{"Unitário","Global"},0),IF($A705="S",ROUND($H705,ORÇAMENTO!$AF$10),""),ROUND($I705,ORÇAMENTO!$AF$11)),"")</f>
        <v/>
      </c>
      <c r="Y705" s="384">
        <f t="shared" ca="1" si="62"/>
        <v>0</v>
      </c>
      <c r="Z705" s="572"/>
      <c r="AB705" s="382"/>
      <c r="AC705" s="516"/>
      <c r="AD705" s="516"/>
      <c r="AE705" s="516"/>
      <c r="AF705" s="516"/>
      <c r="AG705" s="516"/>
      <c r="AH705" s="516"/>
      <c r="AI705" s="516"/>
      <c r="AJ705" s="516"/>
      <c r="AK705" s="516"/>
      <c r="AL705" s="516"/>
      <c r="AM705" s="383"/>
      <c r="AO705">
        <f ca="1">IF($A705="S",IF(BM!$I705=0,0,CHOOSE(MATCH(RegimeExecucao,{"Global","Unitário"},0),ROUND(ROUND(BM.MEDAcumulado,15-13*BM!$A$9)/100*BM!$I705,15-13*ORÇAMENTO!$AF$11),ROUND(ROUND(BM.MEDAcumulado,15-13*BM!$A$9)*ROUND(BM!$H705,15-13*ORÇAMENTO!$AF$10),15-13*ORÇAMENTO!$AF$11))),IF($A705=0,0,ROUND(SomaAgrupBM,15-13*ORÇAMENTO!$AF$11)))</f>
        <v>0</v>
      </c>
    </row>
    <row r="706" spans="1:41" ht="25.5" x14ac:dyDescent="0.2">
      <c r="A706" t="str">
        <f ca="1">ORÇAMENTO!C706</f>
        <v>S</v>
      </c>
      <c r="B706">
        <f ca="1">ORÇAMENTO!D706</f>
        <v>0</v>
      </c>
      <c r="C706" s="116" t="str">
        <f t="shared" ca="1" si="56"/>
        <v/>
      </c>
      <c r="D706" s="119" t="str">
        <f ca="1">ORÇAMENTO!O706</f>
        <v>-</v>
      </c>
      <c r="E706" s="172" t="str">
        <f t="shared" ca="1" si="64"/>
        <v>(abra o arquivo 'Referência 02-2025.xlsm)</v>
      </c>
      <c r="F706" s="173" t="str">
        <f ca="1">IF(RegimeExecucao="Global","",ORÇAMENTO.Unidade)</f>
        <v>-</v>
      </c>
      <c r="G706" s="124">
        <f ca="1">IF(RegimeExecucao="Global","",ORÇAMENTO!T706)</f>
        <v>64.42</v>
      </c>
      <c r="H706" s="124">
        <f ca="1">IF(RegimeExecucao="Global","",ORÇAMENTO!W706)</f>
        <v>0</v>
      </c>
      <c r="I706" s="127">
        <f ca="1">ORÇAMENTO!X706</f>
        <v>0</v>
      </c>
      <c r="J706" s="378">
        <f ca="1">IF($A706="S",IF(CAIXA.Modo,BM.AFAnterior,BM.MEDAnterior),IF(AND(RegimeExecucao="Global",$I706&gt;0,COUNTIF($AB$13:$AM$13,BM.medicao-1)&gt;0),M706/$I706*100,0))</f>
        <v>0</v>
      </c>
      <c r="K706" s="124">
        <f t="shared" ca="1" si="58"/>
        <v>0</v>
      </c>
      <c r="L706" s="379">
        <f ca="1">IF($A706="S",IF(CAIXA.Modo,BM.AFAcumulado,BM.MEDAcumulado),IF(AND(RegimeExecucao="Global",$I706&gt;0,COUNTIF($AB$13:$AM$13,BM.medicao)&gt;0),O706/$I706*100,0))</f>
        <v>0</v>
      </c>
      <c r="M706" s="380">
        <f ca="1">IF($A706="S",VTOTALBM,IF($A706=0,0,ROUND(SomaAgrupBM,15-13*ORÇAMENTO!$AF$11)))</f>
        <v>0</v>
      </c>
      <c r="N706" s="381">
        <f t="shared" ca="1" si="59"/>
        <v>0</v>
      </c>
      <c r="O706" s="127">
        <f ca="1">IF($A706="S",VTOTALBM,IF($A706=0,0,ROUND(SomaAgrupBM,15-13*ORÇAMENTO!$AF$11)))</f>
        <v>0</v>
      </c>
      <c r="Q706" s="382"/>
      <c r="R706" s="383"/>
      <c r="T706" s="119" t="str">
        <f t="shared" ca="1" si="60"/>
        <v/>
      </c>
      <c r="U706" s="172" t="str">
        <f t="shared" ca="1" si="61"/>
        <v/>
      </c>
      <c r="V706" s="173" t="str">
        <f ca="1">IF(AND($W706&gt;0,RegimeExecucao="Unitário"),$F706,"")</f>
        <v/>
      </c>
      <c r="W706" s="547">
        <f ca="1">IF($Y706&gt;0,CHOOSE(MATCH(RegimeExecucao,{"Unitário","Global"},0),IF($A706="S",$Y706/$X706,""),($Y706/$X706)*100),0)</f>
        <v>0</v>
      </c>
      <c r="X706" s="384" t="str">
        <f ca="1">IF($Y706&gt;0,CHOOSE(MATCH(RegimeExecucao,{"Unitário","Global"},0),IF($A706="S",ROUND($H706,ORÇAMENTO!$AF$10),""),ROUND($I706,ORÇAMENTO!$AF$11)),"")</f>
        <v/>
      </c>
      <c r="Y706" s="384">
        <f t="shared" ca="1" si="62"/>
        <v>0</v>
      </c>
      <c r="Z706" s="572"/>
      <c r="AB706" s="382"/>
      <c r="AC706" s="516"/>
      <c r="AD706" s="516"/>
      <c r="AE706" s="516"/>
      <c r="AF706" s="516"/>
      <c r="AG706" s="516"/>
      <c r="AH706" s="516"/>
      <c r="AI706" s="516"/>
      <c r="AJ706" s="516"/>
      <c r="AK706" s="516"/>
      <c r="AL706" s="516"/>
      <c r="AM706" s="383"/>
      <c r="AO706">
        <f ca="1">IF($A706="S",IF(BM!$I706=0,0,CHOOSE(MATCH(RegimeExecucao,{"Global","Unitário"},0),ROUND(ROUND(BM.MEDAcumulado,15-13*BM!$A$9)/100*BM!$I706,15-13*ORÇAMENTO!$AF$11),ROUND(ROUND(BM.MEDAcumulado,15-13*BM!$A$9)*ROUND(BM!$H706,15-13*ORÇAMENTO!$AF$10),15-13*ORÇAMENTO!$AF$11))),IF($A706=0,0,ROUND(SomaAgrupBM,15-13*ORÇAMENTO!$AF$11)))</f>
        <v>0</v>
      </c>
    </row>
    <row r="707" spans="1:41" ht="25.5" x14ac:dyDescent="0.2">
      <c r="A707" t="str">
        <f ca="1">ORÇAMENTO!C707</f>
        <v>S</v>
      </c>
      <c r="B707">
        <f ca="1">ORÇAMENTO!D707</f>
        <v>0</v>
      </c>
      <c r="C707" s="116" t="str">
        <f t="shared" ca="1" si="56"/>
        <v/>
      </c>
      <c r="D707" s="119" t="str">
        <f ca="1">ORÇAMENTO!O707</f>
        <v>-</v>
      </c>
      <c r="E707" s="172" t="str">
        <f t="shared" ca="1" si="64"/>
        <v>(abra o arquivo 'Referência 02-2025.xlsm)</v>
      </c>
      <c r="F707" s="173" t="str">
        <f ca="1">IF(RegimeExecucao="Global","",ORÇAMENTO.Unidade)</f>
        <v>-</v>
      </c>
      <c r="G707" s="124">
        <f ca="1">IF(RegimeExecucao="Global","",ORÇAMENTO!T707)</f>
        <v>13.55</v>
      </c>
      <c r="H707" s="124">
        <f ca="1">IF(RegimeExecucao="Global","",ORÇAMENTO!W707)</f>
        <v>0</v>
      </c>
      <c r="I707" s="127">
        <f ca="1">ORÇAMENTO!X707</f>
        <v>0</v>
      </c>
      <c r="J707" s="378">
        <f ca="1">IF($A707="S",IF(CAIXA.Modo,BM.AFAnterior,BM.MEDAnterior),IF(AND(RegimeExecucao="Global",$I707&gt;0,COUNTIF($AB$13:$AM$13,BM.medicao-1)&gt;0),M707/$I707*100,0))</f>
        <v>0</v>
      </c>
      <c r="K707" s="124">
        <f t="shared" ca="1" si="58"/>
        <v>0</v>
      </c>
      <c r="L707" s="379">
        <f ca="1">IF($A707="S",IF(CAIXA.Modo,BM.AFAcumulado,BM.MEDAcumulado),IF(AND(RegimeExecucao="Global",$I707&gt;0,COUNTIF($AB$13:$AM$13,BM.medicao)&gt;0),O707/$I707*100,0))</f>
        <v>0</v>
      </c>
      <c r="M707" s="380">
        <f ca="1">IF($A707="S",VTOTALBM,IF($A707=0,0,ROUND(SomaAgrupBM,15-13*ORÇAMENTO!$AF$11)))</f>
        <v>0</v>
      </c>
      <c r="N707" s="381">
        <f t="shared" ca="1" si="59"/>
        <v>0</v>
      </c>
      <c r="O707" s="127">
        <f ca="1">IF($A707="S",VTOTALBM,IF($A707=0,0,ROUND(SomaAgrupBM,15-13*ORÇAMENTO!$AF$11)))</f>
        <v>0</v>
      </c>
      <c r="Q707" s="382"/>
      <c r="R707" s="383"/>
      <c r="T707" s="119" t="str">
        <f t="shared" ca="1" si="60"/>
        <v/>
      </c>
      <c r="U707" s="172" t="str">
        <f t="shared" ca="1" si="61"/>
        <v/>
      </c>
      <c r="V707" s="173" t="str">
        <f ca="1">IF(AND($W707&gt;0,RegimeExecucao="Unitário"),$F707,"")</f>
        <v/>
      </c>
      <c r="W707" s="547">
        <f ca="1">IF($Y707&gt;0,CHOOSE(MATCH(RegimeExecucao,{"Unitário","Global"},0),IF($A707="S",$Y707/$X707,""),($Y707/$X707)*100),0)</f>
        <v>0</v>
      </c>
      <c r="X707" s="384" t="str">
        <f ca="1">IF($Y707&gt;0,CHOOSE(MATCH(RegimeExecucao,{"Unitário","Global"},0),IF($A707="S",ROUND($H707,ORÇAMENTO!$AF$10),""),ROUND($I707,ORÇAMENTO!$AF$11)),"")</f>
        <v/>
      </c>
      <c r="Y707" s="384">
        <f t="shared" ca="1" si="62"/>
        <v>0</v>
      </c>
      <c r="Z707" s="572"/>
      <c r="AB707" s="382"/>
      <c r="AC707" s="516"/>
      <c r="AD707" s="516"/>
      <c r="AE707" s="516"/>
      <c r="AF707" s="516"/>
      <c r="AG707" s="516"/>
      <c r="AH707" s="516"/>
      <c r="AI707" s="516"/>
      <c r="AJ707" s="516"/>
      <c r="AK707" s="516"/>
      <c r="AL707" s="516"/>
      <c r="AM707" s="383"/>
      <c r="AO707">
        <f ca="1">IF($A707="S",IF(BM!$I707=0,0,CHOOSE(MATCH(RegimeExecucao,{"Global","Unitário"},0),ROUND(ROUND(BM.MEDAcumulado,15-13*BM!$A$9)/100*BM!$I707,15-13*ORÇAMENTO!$AF$11),ROUND(ROUND(BM.MEDAcumulado,15-13*BM!$A$9)*ROUND(BM!$H707,15-13*ORÇAMENTO!$AF$10),15-13*ORÇAMENTO!$AF$11))),IF($A707=0,0,ROUND(SomaAgrupBM,15-13*ORÇAMENTO!$AF$11)))</f>
        <v>0</v>
      </c>
    </row>
    <row r="708" spans="1:41" x14ac:dyDescent="0.2">
      <c r="A708">
        <f ca="1">ORÇAMENTO!C708</f>
        <v>3</v>
      </c>
      <c r="B708">
        <f ca="1">ORÇAMENTO!D708</f>
        <v>15</v>
      </c>
      <c r="C708" s="116" t="str">
        <f t="shared" ca="1" si="56"/>
        <v>F</v>
      </c>
      <c r="D708" s="119" t="str">
        <f ca="1">ORÇAMENTO!O708</f>
        <v>1.24.3.</v>
      </c>
      <c r="E708" s="172" t="str">
        <f t="shared" ca="1" si="64"/>
        <v>SUPERESTRUTURA</v>
      </c>
      <c r="F708" s="173" t="str">
        <f ca="1">IF(RegimeExecucao="Global","",ORÇAMENTO.Unidade)</f>
        <v>-</v>
      </c>
      <c r="G708" s="124">
        <f ca="1">IF(RegimeExecucao="Global","",ORÇAMENTO!T708)</f>
        <v>0</v>
      </c>
      <c r="H708" s="124">
        <f ca="1">IF(RegimeExecucao="Global","",ORÇAMENTO!W708)</f>
        <v>0</v>
      </c>
      <c r="I708" s="127">
        <f ca="1">ORÇAMENTO!X708</f>
        <v>0</v>
      </c>
      <c r="J708" s="378">
        <f ca="1">IF($A708="S",IF(CAIXA.Modo,BM.AFAnterior,BM.MEDAnterior),IF(AND(RegimeExecucao="Global",$I708&gt;0,COUNTIF($AB$13:$AM$13,BM.medicao-1)&gt;0),M708/$I708*100,0))</f>
        <v>0</v>
      </c>
      <c r="K708" s="124">
        <f t="shared" ca="1" si="58"/>
        <v>0</v>
      </c>
      <c r="L708" s="379">
        <f ca="1">IF($A708="S",IF(CAIXA.Modo,BM.AFAcumulado,BM.MEDAcumulado),IF(AND(RegimeExecucao="Global",$I708&gt;0,COUNTIF($AB$13:$AM$13,BM.medicao)&gt;0),O708/$I708*100,0))</f>
        <v>0</v>
      </c>
      <c r="M708" s="380">
        <f ca="1">IF($A708="S",VTOTALBM,IF($A708=0,0,ROUND(SomaAgrupBM,15-13*ORÇAMENTO!$AF$11)))</f>
        <v>0</v>
      </c>
      <c r="N708" s="381">
        <f t="shared" ca="1" si="59"/>
        <v>0</v>
      </c>
      <c r="O708" s="127">
        <f ca="1">IF($A708="S",VTOTALBM,IF($A708=0,0,ROUND(SomaAgrupBM,15-13*ORÇAMENTO!$AF$11)))</f>
        <v>0</v>
      </c>
      <c r="Q708" s="382"/>
      <c r="R708" s="383"/>
      <c r="T708" s="119" t="str">
        <f t="shared" ca="1" si="60"/>
        <v/>
      </c>
      <c r="U708" s="172" t="str">
        <f t="shared" ca="1" si="61"/>
        <v/>
      </c>
      <c r="V708" s="173" t="str">
        <f ca="1">IF(AND($W708&gt;0,RegimeExecucao="Unitário"),$F708,"")</f>
        <v/>
      </c>
      <c r="W708" s="547">
        <f ca="1">IF($Y708&gt;0,CHOOSE(MATCH(RegimeExecucao,{"Unitário","Global"},0),IF($A708="S",$Y708/$X708,""),($Y708/$X708)*100),0)</f>
        <v>0</v>
      </c>
      <c r="X708" s="384" t="str">
        <f ca="1">IF($Y708&gt;0,CHOOSE(MATCH(RegimeExecucao,{"Unitário","Global"},0),IF($A708="S",ROUND($H708,ORÇAMENTO!$AF$10),""),ROUND($I708,ORÇAMENTO!$AF$11)),"")</f>
        <v/>
      </c>
      <c r="Y708" s="384">
        <f t="shared" ca="1" si="62"/>
        <v>0</v>
      </c>
      <c r="Z708" s="572"/>
      <c r="AB708" s="382"/>
      <c r="AC708" s="516"/>
      <c r="AD708" s="516"/>
      <c r="AE708" s="516"/>
      <c r="AF708" s="516"/>
      <c r="AG708" s="516"/>
      <c r="AH708" s="516"/>
      <c r="AI708" s="516"/>
      <c r="AJ708" s="516"/>
      <c r="AK708" s="516"/>
      <c r="AL708" s="516"/>
      <c r="AM708" s="383"/>
      <c r="AO708">
        <f ca="1">IF($A708="S",IF(BM!$I708=0,0,CHOOSE(MATCH(RegimeExecucao,{"Global","Unitário"},0),ROUND(ROUND(BM.MEDAcumulado,15-13*BM!$A$9)/100*BM!$I708,15-13*ORÇAMENTO!$AF$11),ROUND(ROUND(BM.MEDAcumulado,15-13*BM!$A$9)*ROUND(BM!$H708,15-13*ORÇAMENTO!$AF$10),15-13*ORÇAMENTO!$AF$11))),IF($A708=0,0,ROUND(SomaAgrupBM,15-13*ORÇAMENTO!$AF$11)))</f>
        <v>0</v>
      </c>
    </row>
    <row r="709" spans="1:41" x14ac:dyDescent="0.2">
      <c r="A709">
        <f ca="1">ORÇAMENTO!C709</f>
        <v>4</v>
      </c>
      <c r="B709">
        <f ca="1">ORÇAMENTO!D709</f>
        <v>9</v>
      </c>
      <c r="C709" s="116" t="str">
        <f t="shared" ca="1" si="56"/>
        <v>F</v>
      </c>
      <c r="D709" s="119" t="str">
        <f ca="1">ORÇAMENTO!O709</f>
        <v>1.24.3.1.</v>
      </c>
      <c r="E709" s="172" t="str">
        <f t="shared" si="64"/>
        <v>CONCRETO ARMADO - VIGAS BALDRAME</v>
      </c>
      <c r="F709" s="173" t="str">
        <f ca="1">IF(RegimeExecucao="Global","",ORÇAMENTO.Unidade)</f>
        <v>-</v>
      </c>
      <c r="G709" s="124">
        <f ca="1">IF(RegimeExecucao="Global","",ORÇAMENTO!T709)</f>
        <v>0</v>
      </c>
      <c r="H709" s="124">
        <f ca="1">IF(RegimeExecucao="Global","",ORÇAMENTO!W709)</f>
        <v>0</v>
      </c>
      <c r="I709" s="127">
        <f ca="1">ORÇAMENTO!X709</f>
        <v>0</v>
      </c>
      <c r="J709" s="378">
        <f ca="1">IF($A709="S",IF(CAIXA.Modo,BM.AFAnterior,BM.MEDAnterior),IF(AND(RegimeExecucao="Global",$I709&gt;0,COUNTIF($AB$13:$AM$13,BM.medicao-1)&gt;0),M709/$I709*100,0))</f>
        <v>0</v>
      </c>
      <c r="K709" s="124">
        <f t="shared" ca="1" si="58"/>
        <v>0</v>
      </c>
      <c r="L709" s="379">
        <f ca="1">IF($A709="S",IF(CAIXA.Modo,BM.AFAcumulado,BM.MEDAcumulado),IF(AND(RegimeExecucao="Global",$I709&gt;0,COUNTIF($AB$13:$AM$13,BM.medicao)&gt;0),O709/$I709*100,0))</f>
        <v>0</v>
      </c>
      <c r="M709" s="380">
        <f ca="1">IF($A709="S",VTOTALBM,IF($A709=0,0,ROUND(SomaAgrupBM,15-13*ORÇAMENTO!$AF$11)))</f>
        <v>0</v>
      </c>
      <c r="N709" s="381">
        <f t="shared" ca="1" si="59"/>
        <v>0</v>
      </c>
      <c r="O709" s="127">
        <f ca="1">IF($A709="S",VTOTALBM,IF($A709=0,0,ROUND(SomaAgrupBM,15-13*ORÇAMENTO!$AF$11)))</f>
        <v>0</v>
      </c>
      <c r="Q709" s="382"/>
      <c r="R709" s="383"/>
      <c r="T709" s="119" t="str">
        <f t="shared" ca="1" si="60"/>
        <v/>
      </c>
      <c r="U709" s="172" t="str">
        <f t="shared" ca="1" si="61"/>
        <v/>
      </c>
      <c r="V709" s="173" t="str">
        <f ca="1">IF(AND($W709&gt;0,RegimeExecucao="Unitário"),$F709,"")</f>
        <v/>
      </c>
      <c r="W709" s="547">
        <f ca="1">IF($Y709&gt;0,CHOOSE(MATCH(RegimeExecucao,{"Unitário","Global"},0),IF($A709="S",$Y709/$X709,""),($Y709/$X709)*100),0)</f>
        <v>0</v>
      </c>
      <c r="X709" s="384" t="str">
        <f ca="1">IF($Y709&gt;0,CHOOSE(MATCH(RegimeExecucao,{"Unitário","Global"},0),IF($A709="S",ROUND($H709,ORÇAMENTO!$AF$10),""),ROUND($I709,ORÇAMENTO!$AF$11)),"")</f>
        <v/>
      </c>
      <c r="Y709" s="384">
        <f t="shared" ca="1" si="62"/>
        <v>0</v>
      </c>
      <c r="Z709" s="572"/>
      <c r="AB709" s="382"/>
      <c r="AC709" s="516"/>
      <c r="AD709" s="516"/>
      <c r="AE709" s="516"/>
      <c r="AF709" s="516"/>
      <c r="AG709" s="516"/>
      <c r="AH709" s="516"/>
      <c r="AI709" s="516"/>
      <c r="AJ709" s="516"/>
      <c r="AK709" s="516"/>
      <c r="AL709" s="516"/>
      <c r="AM709" s="383"/>
      <c r="AO709">
        <f ca="1">IF($A709="S",IF(BM!$I709=0,0,CHOOSE(MATCH(RegimeExecucao,{"Global","Unitário"},0),ROUND(ROUND(BM.MEDAcumulado,15-13*BM!$A$9)/100*BM!$I709,15-13*ORÇAMENTO!$AF$11),ROUND(ROUND(BM.MEDAcumulado,15-13*BM!$A$9)*ROUND(BM!$H709,15-13*ORÇAMENTO!$AF$10),15-13*ORÇAMENTO!$AF$11))),IF($A709=0,0,ROUND(SomaAgrupBM,15-13*ORÇAMENTO!$AF$11)))</f>
        <v>0</v>
      </c>
    </row>
    <row r="710" spans="1:41" ht="25.5" x14ac:dyDescent="0.2">
      <c r="A710" t="str">
        <f ca="1">ORÇAMENTO!C710</f>
        <v>S</v>
      </c>
      <c r="B710">
        <f ca="1">ORÇAMENTO!D710</f>
        <v>0</v>
      </c>
      <c r="C710" s="116" t="str">
        <f t="shared" ca="1" si="56"/>
        <v/>
      </c>
      <c r="D710" s="119" t="str">
        <f ca="1">ORÇAMENTO!O710</f>
        <v>-</v>
      </c>
      <c r="E710" s="172" t="str">
        <f t="shared" ca="1" si="64"/>
        <v>(abra o arquivo 'Referência 02-2025.xlsm)</v>
      </c>
      <c r="F710" s="173" t="str">
        <f ca="1">IF(RegimeExecucao="Global","",ORÇAMENTO.Unidade)</f>
        <v>-</v>
      </c>
      <c r="G710" s="124">
        <f ca="1">IF(RegimeExecucao="Global","",ORÇAMENTO!T710)</f>
        <v>8.06</v>
      </c>
      <c r="H710" s="124">
        <f ca="1">IF(RegimeExecucao="Global","",ORÇAMENTO!W710)</f>
        <v>0</v>
      </c>
      <c r="I710" s="127">
        <f ca="1">ORÇAMENTO!X710</f>
        <v>0</v>
      </c>
      <c r="J710" s="378">
        <f ca="1">IF($A710="S",IF(CAIXA.Modo,BM.AFAnterior,BM.MEDAnterior),IF(AND(RegimeExecucao="Global",$I710&gt;0,COUNTIF($AB$13:$AM$13,BM.medicao-1)&gt;0),M710/$I710*100,0))</f>
        <v>0</v>
      </c>
      <c r="K710" s="124">
        <f t="shared" ca="1" si="58"/>
        <v>0</v>
      </c>
      <c r="L710" s="379">
        <f ca="1">IF($A710="S",IF(CAIXA.Modo,BM.AFAcumulado,BM.MEDAcumulado),IF(AND(RegimeExecucao="Global",$I710&gt;0,COUNTIF($AB$13:$AM$13,BM.medicao)&gt;0),O710/$I710*100,0))</f>
        <v>0</v>
      </c>
      <c r="M710" s="380">
        <f ca="1">IF($A710="S",VTOTALBM,IF($A710=0,0,ROUND(SomaAgrupBM,15-13*ORÇAMENTO!$AF$11)))</f>
        <v>0</v>
      </c>
      <c r="N710" s="381">
        <f t="shared" ca="1" si="59"/>
        <v>0</v>
      </c>
      <c r="O710" s="127">
        <f ca="1">IF($A710="S",VTOTALBM,IF($A710=0,0,ROUND(SomaAgrupBM,15-13*ORÇAMENTO!$AF$11)))</f>
        <v>0</v>
      </c>
      <c r="Q710" s="382"/>
      <c r="R710" s="383"/>
      <c r="T710" s="119" t="str">
        <f t="shared" ca="1" si="60"/>
        <v/>
      </c>
      <c r="U710" s="172" t="str">
        <f t="shared" ca="1" si="61"/>
        <v/>
      </c>
      <c r="V710" s="173" t="str">
        <f ca="1">IF(AND($W710&gt;0,RegimeExecucao="Unitário"),$F710,"")</f>
        <v/>
      </c>
      <c r="W710" s="547">
        <f ca="1">IF($Y710&gt;0,CHOOSE(MATCH(RegimeExecucao,{"Unitário","Global"},0),IF($A710="S",$Y710/$X710,""),($Y710/$X710)*100),0)</f>
        <v>0</v>
      </c>
      <c r="X710" s="384" t="str">
        <f ca="1">IF($Y710&gt;0,CHOOSE(MATCH(RegimeExecucao,{"Unitário","Global"},0),IF($A710="S",ROUND($H710,ORÇAMENTO!$AF$10),""),ROUND($I710,ORÇAMENTO!$AF$11)),"")</f>
        <v/>
      </c>
      <c r="Y710" s="384">
        <f t="shared" ca="1" si="62"/>
        <v>0</v>
      </c>
      <c r="Z710" s="572"/>
      <c r="AB710" s="382"/>
      <c r="AC710" s="516"/>
      <c r="AD710" s="516"/>
      <c r="AE710" s="516"/>
      <c r="AF710" s="516"/>
      <c r="AG710" s="516"/>
      <c r="AH710" s="516"/>
      <c r="AI710" s="516"/>
      <c r="AJ710" s="516"/>
      <c r="AK710" s="516"/>
      <c r="AL710" s="516"/>
      <c r="AM710" s="383"/>
      <c r="AO710">
        <f ca="1">IF($A710="S",IF(BM!$I710=0,0,CHOOSE(MATCH(RegimeExecucao,{"Global","Unitário"},0),ROUND(ROUND(BM.MEDAcumulado,15-13*BM!$A$9)/100*BM!$I710,15-13*ORÇAMENTO!$AF$11),ROUND(ROUND(BM.MEDAcumulado,15-13*BM!$A$9)*ROUND(BM!$H710,15-13*ORÇAMENTO!$AF$10),15-13*ORÇAMENTO!$AF$11))),IF($A710=0,0,ROUND(SomaAgrupBM,15-13*ORÇAMENTO!$AF$11)))</f>
        <v>0</v>
      </c>
    </row>
    <row r="711" spans="1:41" ht="25.5" x14ac:dyDescent="0.2">
      <c r="A711" t="str">
        <f ca="1">ORÇAMENTO!C711</f>
        <v>S</v>
      </c>
      <c r="B711">
        <f ca="1">ORÇAMENTO!D711</f>
        <v>0</v>
      </c>
      <c r="C711" s="116" t="str">
        <f t="shared" ca="1" si="56"/>
        <v/>
      </c>
      <c r="D711" s="119" t="str">
        <f ca="1">ORÇAMENTO!O711</f>
        <v>-</v>
      </c>
      <c r="E711" s="172" t="str">
        <f t="shared" ca="1" si="64"/>
        <v>(abra o arquivo 'Referência 02-2025.xlsm)</v>
      </c>
      <c r="F711" s="173" t="str">
        <f ca="1">IF(RegimeExecucao="Global","",ORÇAMENTO.Unidade)</f>
        <v>-</v>
      </c>
      <c r="G711" s="124">
        <f ca="1">IF(RegimeExecucao="Global","",ORÇAMENTO!T711)</f>
        <v>161.19</v>
      </c>
      <c r="H711" s="124">
        <f ca="1">IF(RegimeExecucao="Global","",ORÇAMENTO!W711)</f>
        <v>0</v>
      </c>
      <c r="I711" s="127">
        <f ca="1">ORÇAMENTO!X711</f>
        <v>0</v>
      </c>
      <c r="J711" s="378">
        <f ca="1">IF($A711="S",IF(CAIXA.Modo,BM.AFAnterior,BM.MEDAnterior),IF(AND(RegimeExecucao="Global",$I711&gt;0,COUNTIF($AB$13:$AM$13,BM.medicao-1)&gt;0),M711/$I711*100,0))</f>
        <v>0</v>
      </c>
      <c r="K711" s="124">
        <f t="shared" ca="1" si="58"/>
        <v>0</v>
      </c>
      <c r="L711" s="379">
        <f ca="1">IF($A711="S",IF(CAIXA.Modo,BM.AFAcumulado,BM.MEDAcumulado),IF(AND(RegimeExecucao="Global",$I711&gt;0,COUNTIF($AB$13:$AM$13,BM.medicao)&gt;0),O711/$I711*100,0))</f>
        <v>0</v>
      </c>
      <c r="M711" s="380">
        <f ca="1">IF($A711="S",VTOTALBM,IF($A711=0,0,ROUND(SomaAgrupBM,15-13*ORÇAMENTO!$AF$11)))</f>
        <v>0</v>
      </c>
      <c r="N711" s="381">
        <f t="shared" ca="1" si="59"/>
        <v>0</v>
      </c>
      <c r="O711" s="127">
        <f ca="1">IF($A711="S",VTOTALBM,IF($A711=0,0,ROUND(SomaAgrupBM,15-13*ORÇAMENTO!$AF$11)))</f>
        <v>0</v>
      </c>
      <c r="Q711" s="382"/>
      <c r="R711" s="383"/>
      <c r="T711" s="119" t="str">
        <f t="shared" ca="1" si="60"/>
        <v/>
      </c>
      <c r="U711" s="172" t="str">
        <f t="shared" ca="1" si="61"/>
        <v/>
      </c>
      <c r="V711" s="173" t="str">
        <f ca="1">IF(AND($W711&gt;0,RegimeExecucao="Unitário"),$F711,"")</f>
        <v/>
      </c>
      <c r="W711" s="547">
        <f ca="1">IF($Y711&gt;0,CHOOSE(MATCH(RegimeExecucao,{"Unitário","Global"},0),IF($A711="S",$Y711/$X711,""),($Y711/$X711)*100),0)</f>
        <v>0</v>
      </c>
      <c r="X711" s="384" t="str">
        <f ca="1">IF($Y711&gt;0,CHOOSE(MATCH(RegimeExecucao,{"Unitário","Global"},0),IF($A711="S",ROUND($H711,ORÇAMENTO!$AF$10),""),ROUND($I711,ORÇAMENTO!$AF$11)),"")</f>
        <v/>
      </c>
      <c r="Y711" s="384">
        <f t="shared" ca="1" si="62"/>
        <v>0</v>
      </c>
      <c r="Z711" s="572"/>
      <c r="AB711" s="382"/>
      <c r="AC711" s="516"/>
      <c r="AD711" s="516"/>
      <c r="AE711" s="516"/>
      <c r="AF711" s="516"/>
      <c r="AG711" s="516"/>
      <c r="AH711" s="516"/>
      <c r="AI711" s="516"/>
      <c r="AJ711" s="516"/>
      <c r="AK711" s="516"/>
      <c r="AL711" s="516"/>
      <c r="AM711" s="383"/>
      <c r="AO711">
        <f ca="1">IF($A711="S",IF(BM!$I711=0,0,CHOOSE(MATCH(RegimeExecucao,{"Global","Unitário"},0),ROUND(ROUND(BM.MEDAcumulado,15-13*BM!$A$9)/100*BM!$I711,15-13*ORÇAMENTO!$AF$11),ROUND(ROUND(BM.MEDAcumulado,15-13*BM!$A$9)*ROUND(BM!$H711,15-13*ORÇAMENTO!$AF$10),15-13*ORÇAMENTO!$AF$11))),IF($A711=0,0,ROUND(SomaAgrupBM,15-13*ORÇAMENTO!$AF$11)))</f>
        <v>0</v>
      </c>
    </row>
    <row r="712" spans="1:41" ht="38.25" x14ac:dyDescent="0.2">
      <c r="A712" t="str">
        <f ca="1">ORÇAMENTO!C712</f>
        <v>S</v>
      </c>
      <c r="B712">
        <f ca="1">ORÇAMENTO!D712</f>
        <v>0</v>
      </c>
      <c r="C712" s="116" t="str">
        <f t="shared" ca="1" si="56"/>
        <v/>
      </c>
      <c r="D712" s="119" t="str">
        <f ca="1">ORÇAMENTO!O712</f>
        <v>-</v>
      </c>
      <c r="E712" s="172" t="str">
        <f t="shared" ca="1" si="64"/>
        <v>(abra o arquivo 'Referência 02-2025.xlsm)</v>
      </c>
      <c r="F712" s="173" t="str">
        <f ca="1">IF(RegimeExecucao="Global","",ORÇAMENTO.Unidade)</f>
        <v>-</v>
      </c>
      <c r="G712" s="124">
        <f ca="1">IF(RegimeExecucao="Global","",ORÇAMENTO!T712)</f>
        <v>101.8</v>
      </c>
      <c r="H712" s="124">
        <f ca="1">IF(RegimeExecucao="Global","",ORÇAMENTO!W712)</f>
        <v>0</v>
      </c>
      <c r="I712" s="127">
        <f ca="1">ORÇAMENTO!X712</f>
        <v>0</v>
      </c>
      <c r="J712" s="378">
        <f ca="1">IF($A712="S",IF(CAIXA.Modo,BM.AFAnterior,BM.MEDAnterior),IF(AND(RegimeExecucao="Global",$I712&gt;0,COUNTIF($AB$13:$AM$13,BM.medicao-1)&gt;0),M712/$I712*100,0))</f>
        <v>0</v>
      </c>
      <c r="K712" s="124">
        <f t="shared" ca="1" si="58"/>
        <v>0</v>
      </c>
      <c r="L712" s="379">
        <f ca="1">IF($A712="S",IF(CAIXA.Modo,BM.AFAcumulado,BM.MEDAcumulado),IF(AND(RegimeExecucao="Global",$I712&gt;0,COUNTIF($AB$13:$AM$13,BM.medicao)&gt;0),O712/$I712*100,0))</f>
        <v>0</v>
      </c>
      <c r="M712" s="380">
        <f ca="1">IF($A712="S",VTOTALBM,IF($A712=0,0,ROUND(SomaAgrupBM,15-13*ORÇAMENTO!$AF$11)))</f>
        <v>0</v>
      </c>
      <c r="N712" s="381">
        <f t="shared" ca="1" si="59"/>
        <v>0</v>
      </c>
      <c r="O712" s="127">
        <f ca="1">IF($A712="S",VTOTALBM,IF($A712=0,0,ROUND(SomaAgrupBM,15-13*ORÇAMENTO!$AF$11)))</f>
        <v>0</v>
      </c>
      <c r="Q712" s="382"/>
      <c r="R712" s="383"/>
      <c r="T712" s="119" t="str">
        <f t="shared" ca="1" si="60"/>
        <v/>
      </c>
      <c r="U712" s="172" t="str">
        <f t="shared" ca="1" si="61"/>
        <v/>
      </c>
      <c r="V712" s="173" t="str">
        <f ca="1">IF(AND($W712&gt;0,RegimeExecucao="Unitário"),$F712,"")</f>
        <v/>
      </c>
      <c r="W712" s="547">
        <f ca="1">IF($Y712&gt;0,CHOOSE(MATCH(RegimeExecucao,{"Unitário","Global"},0),IF($A712="S",$Y712/$X712,""),($Y712/$X712)*100),0)</f>
        <v>0</v>
      </c>
      <c r="X712" s="384" t="str">
        <f ca="1">IF($Y712&gt;0,CHOOSE(MATCH(RegimeExecucao,{"Unitário","Global"},0),IF($A712="S",ROUND($H712,ORÇAMENTO!$AF$10),""),ROUND($I712,ORÇAMENTO!$AF$11)),"")</f>
        <v/>
      </c>
      <c r="Y712" s="384">
        <f t="shared" ca="1" si="62"/>
        <v>0</v>
      </c>
      <c r="Z712" s="572"/>
      <c r="AB712" s="382"/>
      <c r="AC712" s="516"/>
      <c r="AD712" s="516"/>
      <c r="AE712" s="516"/>
      <c r="AF712" s="516"/>
      <c r="AG712" s="516"/>
      <c r="AH712" s="516"/>
      <c r="AI712" s="516"/>
      <c r="AJ712" s="516"/>
      <c r="AK712" s="516"/>
      <c r="AL712" s="516"/>
      <c r="AM712" s="383"/>
      <c r="AO712">
        <f ca="1">IF($A712="S",IF(BM!$I712=0,0,CHOOSE(MATCH(RegimeExecucao,{"Global","Unitário"},0),ROUND(ROUND(BM.MEDAcumulado,15-13*BM!$A$9)/100*BM!$I712,15-13*ORÇAMENTO!$AF$11),ROUND(ROUND(BM.MEDAcumulado,15-13*BM!$A$9)*ROUND(BM!$H712,15-13*ORÇAMENTO!$AF$10),15-13*ORÇAMENTO!$AF$11))),IF($A712=0,0,ROUND(SomaAgrupBM,15-13*ORÇAMENTO!$AF$11)))</f>
        <v>0</v>
      </c>
    </row>
    <row r="713" spans="1:41" ht="25.5" x14ac:dyDescent="0.2">
      <c r="A713" t="str">
        <f ca="1">ORÇAMENTO!C713</f>
        <v>S</v>
      </c>
      <c r="B713">
        <f ca="1">ORÇAMENTO!D713</f>
        <v>0</v>
      </c>
      <c r="C713" s="116" t="str">
        <f t="shared" ca="1" si="56"/>
        <v/>
      </c>
      <c r="D713" s="119" t="str">
        <f ca="1">ORÇAMENTO!O713</f>
        <v>-</v>
      </c>
      <c r="E713" s="172" t="str">
        <f t="shared" ca="1" si="64"/>
        <v>(abra o arquivo 'Referência 02-2025.xlsm)</v>
      </c>
      <c r="F713" s="173" t="str">
        <f ca="1">IF(RegimeExecucao="Global","",ORÇAMENTO.Unidade)</f>
        <v>-</v>
      </c>
      <c r="G713" s="124">
        <f ca="1">IF(RegimeExecucao="Global","",ORÇAMENTO!T713)</f>
        <v>98.86</v>
      </c>
      <c r="H713" s="124">
        <f ca="1">IF(RegimeExecucao="Global","",ORÇAMENTO!W713)</f>
        <v>0</v>
      </c>
      <c r="I713" s="127">
        <f ca="1">ORÇAMENTO!X713</f>
        <v>0</v>
      </c>
      <c r="J713" s="378">
        <f ca="1">IF($A713="S",IF(CAIXA.Modo,BM.AFAnterior,BM.MEDAnterior),IF(AND(RegimeExecucao="Global",$I713&gt;0,COUNTIF($AB$13:$AM$13,BM.medicao-1)&gt;0),M713/$I713*100,0))</f>
        <v>0</v>
      </c>
      <c r="K713" s="124">
        <f t="shared" ca="1" si="58"/>
        <v>0</v>
      </c>
      <c r="L713" s="379">
        <f ca="1">IF($A713="S",IF(CAIXA.Modo,BM.AFAcumulado,BM.MEDAcumulado),IF(AND(RegimeExecucao="Global",$I713&gt;0,COUNTIF($AB$13:$AM$13,BM.medicao)&gt;0),O713/$I713*100,0))</f>
        <v>0</v>
      </c>
      <c r="M713" s="380">
        <f ca="1">IF($A713="S",VTOTALBM,IF($A713=0,0,ROUND(SomaAgrupBM,15-13*ORÇAMENTO!$AF$11)))</f>
        <v>0</v>
      </c>
      <c r="N713" s="381">
        <f t="shared" ca="1" si="59"/>
        <v>0</v>
      </c>
      <c r="O713" s="127">
        <f ca="1">IF($A713="S",VTOTALBM,IF($A713=0,0,ROUND(SomaAgrupBM,15-13*ORÇAMENTO!$AF$11)))</f>
        <v>0</v>
      </c>
      <c r="Q713" s="382"/>
      <c r="R713" s="383"/>
      <c r="T713" s="119" t="str">
        <f t="shared" ca="1" si="60"/>
        <v/>
      </c>
      <c r="U713" s="172" t="str">
        <f t="shared" ca="1" si="61"/>
        <v/>
      </c>
      <c r="V713" s="173" t="str">
        <f ca="1">IF(AND($W713&gt;0,RegimeExecucao="Unitário"),$F713,"")</f>
        <v/>
      </c>
      <c r="W713" s="547">
        <f ca="1">IF($Y713&gt;0,CHOOSE(MATCH(RegimeExecucao,{"Unitário","Global"},0),IF($A713="S",$Y713/$X713,""),($Y713/$X713)*100),0)</f>
        <v>0</v>
      </c>
      <c r="X713" s="384" t="str">
        <f ca="1">IF($Y713&gt;0,CHOOSE(MATCH(RegimeExecucao,{"Unitário","Global"},0),IF($A713="S",ROUND($H713,ORÇAMENTO!$AF$10),""),ROUND($I713,ORÇAMENTO!$AF$11)),"")</f>
        <v/>
      </c>
      <c r="Y713" s="384">
        <f t="shared" ca="1" si="62"/>
        <v>0</v>
      </c>
      <c r="Z713" s="572"/>
      <c r="AB713" s="382"/>
      <c r="AC713" s="516"/>
      <c r="AD713" s="516"/>
      <c r="AE713" s="516"/>
      <c r="AF713" s="516"/>
      <c r="AG713" s="516"/>
      <c r="AH713" s="516"/>
      <c r="AI713" s="516"/>
      <c r="AJ713" s="516"/>
      <c r="AK713" s="516"/>
      <c r="AL713" s="516"/>
      <c r="AM713" s="383"/>
      <c r="AO713">
        <f ca="1">IF($A713="S",IF(BM!$I713=0,0,CHOOSE(MATCH(RegimeExecucao,{"Global","Unitário"},0),ROUND(ROUND(BM.MEDAcumulado,15-13*BM!$A$9)/100*BM!$I713,15-13*ORÇAMENTO!$AF$11),ROUND(ROUND(BM.MEDAcumulado,15-13*BM!$A$9)*ROUND(BM!$H713,15-13*ORÇAMENTO!$AF$10),15-13*ORÇAMENTO!$AF$11))),IF($A713=0,0,ROUND(SomaAgrupBM,15-13*ORÇAMENTO!$AF$11)))</f>
        <v>0</v>
      </c>
    </row>
    <row r="714" spans="1:41" ht="38.25" x14ac:dyDescent="0.2">
      <c r="A714" t="str">
        <f ca="1">ORÇAMENTO!C714</f>
        <v>S</v>
      </c>
      <c r="B714">
        <f ca="1">ORÇAMENTO!D714</f>
        <v>0</v>
      </c>
      <c r="C714" s="116" t="str">
        <f t="shared" ca="1" si="56"/>
        <v/>
      </c>
      <c r="D714" s="119" t="str">
        <f ca="1">ORÇAMENTO!O714</f>
        <v>-</v>
      </c>
      <c r="E714" s="172" t="str">
        <f t="shared" ca="1" si="64"/>
        <v>(abra o arquivo 'Referência 02-2025.xlsm)</v>
      </c>
      <c r="F714" s="173" t="str">
        <f ca="1">IF(RegimeExecucao="Global","",ORÇAMENTO.Unidade)</f>
        <v>-</v>
      </c>
      <c r="G714" s="124">
        <f ca="1">IF(RegimeExecucao="Global","",ORÇAMENTO!T714)</f>
        <v>199.64</v>
      </c>
      <c r="H714" s="124">
        <f ca="1">IF(RegimeExecucao="Global","",ORÇAMENTO!W714)</f>
        <v>0</v>
      </c>
      <c r="I714" s="127">
        <f ca="1">ORÇAMENTO!X714</f>
        <v>0</v>
      </c>
      <c r="J714" s="378">
        <f ca="1">IF($A714="S",IF(CAIXA.Modo,BM.AFAnterior,BM.MEDAnterior),IF(AND(RegimeExecucao="Global",$I714&gt;0,COUNTIF($AB$13:$AM$13,BM.medicao-1)&gt;0),M714/$I714*100,0))</f>
        <v>0</v>
      </c>
      <c r="K714" s="124">
        <f t="shared" ca="1" si="58"/>
        <v>0</v>
      </c>
      <c r="L714" s="379">
        <f ca="1">IF($A714="S",IF(CAIXA.Modo,BM.AFAcumulado,BM.MEDAcumulado),IF(AND(RegimeExecucao="Global",$I714&gt;0,COUNTIF($AB$13:$AM$13,BM.medicao)&gt;0),O714/$I714*100,0))</f>
        <v>0</v>
      </c>
      <c r="M714" s="380">
        <f ca="1">IF($A714="S",VTOTALBM,IF($A714=0,0,ROUND(SomaAgrupBM,15-13*ORÇAMENTO!$AF$11)))</f>
        <v>0</v>
      </c>
      <c r="N714" s="381">
        <f t="shared" ca="1" si="59"/>
        <v>0</v>
      </c>
      <c r="O714" s="127">
        <f ca="1">IF($A714="S",VTOTALBM,IF($A714=0,0,ROUND(SomaAgrupBM,15-13*ORÇAMENTO!$AF$11)))</f>
        <v>0</v>
      </c>
      <c r="Q714" s="382"/>
      <c r="R714" s="383"/>
      <c r="T714" s="119" t="str">
        <f t="shared" ca="1" si="60"/>
        <v/>
      </c>
      <c r="U714" s="172" t="str">
        <f t="shared" ca="1" si="61"/>
        <v/>
      </c>
      <c r="V714" s="173" t="str">
        <f ca="1">IF(AND($W714&gt;0,RegimeExecucao="Unitário"),$F714,"")</f>
        <v/>
      </c>
      <c r="W714" s="547">
        <f ca="1">IF($Y714&gt;0,CHOOSE(MATCH(RegimeExecucao,{"Unitário","Global"},0),IF($A714="S",$Y714/$X714,""),($Y714/$X714)*100),0)</f>
        <v>0</v>
      </c>
      <c r="X714" s="384" t="str">
        <f ca="1">IF($Y714&gt;0,CHOOSE(MATCH(RegimeExecucao,{"Unitário","Global"},0),IF($A714="S",ROUND($H714,ORÇAMENTO!$AF$10),""),ROUND($I714,ORÇAMENTO!$AF$11)),"")</f>
        <v/>
      </c>
      <c r="Y714" s="384">
        <f t="shared" ca="1" si="62"/>
        <v>0</v>
      </c>
      <c r="Z714" s="572"/>
      <c r="AB714" s="382"/>
      <c r="AC714" s="516"/>
      <c r="AD714" s="516"/>
      <c r="AE714" s="516"/>
      <c r="AF714" s="516"/>
      <c r="AG714" s="516"/>
      <c r="AH714" s="516"/>
      <c r="AI714" s="516"/>
      <c r="AJ714" s="516"/>
      <c r="AK714" s="516"/>
      <c r="AL714" s="516"/>
      <c r="AM714" s="383"/>
      <c r="AO714">
        <f ca="1">IF($A714="S",IF(BM!$I714=0,0,CHOOSE(MATCH(RegimeExecucao,{"Global","Unitário"},0),ROUND(ROUND(BM.MEDAcumulado,15-13*BM!$A$9)/100*BM!$I714,15-13*ORÇAMENTO!$AF$11),ROUND(ROUND(BM.MEDAcumulado,15-13*BM!$A$9)*ROUND(BM!$H714,15-13*ORÇAMENTO!$AF$10),15-13*ORÇAMENTO!$AF$11))),IF($A714=0,0,ROUND(SomaAgrupBM,15-13*ORÇAMENTO!$AF$11)))</f>
        <v>0</v>
      </c>
    </row>
    <row r="715" spans="1:41" ht="38.25" x14ac:dyDescent="0.2">
      <c r="A715" t="str">
        <f ca="1">ORÇAMENTO!C715</f>
        <v>S</v>
      </c>
      <c r="B715">
        <f ca="1">ORÇAMENTO!D715</f>
        <v>0</v>
      </c>
      <c r="C715" s="116" t="str">
        <f t="shared" ca="1" si="56"/>
        <v/>
      </c>
      <c r="D715" s="119" t="str">
        <f ca="1">ORÇAMENTO!O715</f>
        <v>-</v>
      </c>
      <c r="E715" s="172" t="str">
        <f ca="1">ORÇAMENTO.Descricao</f>
        <v>(abra o arquivo 'Referência 02-2025.xlsm)</v>
      </c>
      <c r="F715" s="173" t="str">
        <f ca="1">IF(RegimeExecucao="Global","",ORÇAMENTO.Unidade)</f>
        <v>-</v>
      </c>
      <c r="G715" s="124">
        <f ca="1">IF(RegimeExecucao="Global","",ORÇAMENTO!T715)</f>
        <v>134.51</v>
      </c>
      <c r="H715" s="124">
        <f ca="1">IF(RegimeExecucao="Global","",ORÇAMENTO!W715)</f>
        <v>0</v>
      </c>
      <c r="I715" s="127">
        <f ca="1">ORÇAMENTO!X715</f>
        <v>0</v>
      </c>
      <c r="J715" s="378">
        <f ca="1">IF($A715="S",IF(CAIXA.Modo,BM.AFAnterior,BM.MEDAnterior),IF(AND(RegimeExecucao="Global",$I715&gt;0,COUNTIF($AB$13:$AM$13,BM.medicao-1)&gt;0),M715/$I715*100,0))</f>
        <v>0</v>
      </c>
      <c r="K715" s="124">
        <f t="shared" ca="1" si="58"/>
        <v>0</v>
      </c>
      <c r="L715" s="379">
        <f ca="1">IF($A715="S",IF(CAIXA.Modo,BM.AFAcumulado,BM.MEDAcumulado),IF(AND(RegimeExecucao="Global",$I715&gt;0,COUNTIF($AB$13:$AM$13,BM.medicao)&gt;0),O715/$I715*100,0))</f>
        <v>0</v>
      </c>
      <c r="M715" s="380">
        <f ca="1">IF($A715="S",VTOTALBM,IF($A715=0,0,ROUND(SomaAgrupBM,15-13*ORÇAMENTO!$AF$11)))</f>
        <v>0</v>
      </c>
      <c r="N715" s="381">
        <f t="shared" ca="1" si="59"/>
        <v>0</v>
      </c>
      <c r="O715" s="127">
        <f ca="1">IF($A715="S",VTOTALBM,IF($A715=0,0,ROUND(SomaAgrupBM,15-13*ORÇAMENTO!$AF$11)))</f>
        <v>0</v>
      </c>
      <c r="Q715" s="382"/>
      <c r="R715" s="383"/>
      <c r="T715" s="119" t="str">
        <f t="shared" ca="1" si="60"/>
        <v/>
      </c>
      <c r="U715" s="172" t="str">
        <f t="shared" ca="1" si="61"/>
        <v/>
      </c>
      <c r="V715" s="173" t="str">
        <f ca="1">IF(AND($W715&gt;0,RegimeExecucao="Unitário"),$F715,"")</f>
        <v/>
      </c>
      <c r="W715" s="547">
        <f ca="1">IF($Y715&gt;0,CHOOSE(MATCH(RegimeExecucao,{"Unitário","Global"},0),IF($A715="S",$Y715/$X715,""),($Y715/$X715)*100),0)</f>
        <v>0</v>
      </c>
      <c r="X715" s="384" t="str">
        <f ca="1">IF($Y715&gt;0,CHOOSE(MATCH(RegimeExecucao,{"Unitário","Global"},0),IF($A715="S",ROUND($H715,ORÇAMENTO!$AF$10),""),ROUND($I715,ORÇAMENTO!$AF$11)),"")</f>
        <v/>
      </c>
      <c r="Y715" s="384">
        <f t="shared" ca="1" si="62"/>
        <v>0</v>
      </c>
      <c r="Z715" s="572"/>
      <c r="AB715" s="382"/>
      <c r="AC715" s="516"/>
      <c r="AD715" s="516"/>
      <c r="AE715" s="516"/>
      <c r="AF715" s="516"/>
      <c r="AG715" s="516"/>
      <c r="AH715" s="516"/>
      <c r="AI715" s="516"/>
      <c r="AJ715" s="516"/>
      <c r="AK715" s="516"/>
      <c r="AL715" s="516"/>
      <c r="AM715" s="383"/>
      <c r="AO715">
        <f ca="1">IF($A715="S",IF(BM!$I715=0,0,CHOOSE(MATCH(RegimeExecucao,{"Global","Unitário"},0),ROUND(ROUND(BM.MEDAcumulado,15-13*BM!$A$9)/100*BM!$I715,15-13*ORÇAMENTO!$AF$11),ROUND(ROUND(BM.MEDAcumulado,15-13*BM!$A$9)*ROUND(BM!$H715,15-13*ORÇAMENTO!$AF$10),15-13*ORÇAMENTO!$AF$11))),IF($A715=0,0,ROUND(SomaAgrupBM,15-13*ORÇAMENTO!$AF$11)))</f>
        <v>0</v>
      </c>
    </row>
    <row r="716" spans="1:41" ht="25.5" x14ac:dyDescent="0.2">
      <c r="A716" t="str">
        <f ca="1">ORÇAMENTO!C716</f>
        <v>S</v>
      </c>
      <c r="B716">
        <f ca="1">ORÇAMENTO!D716</f>
        <v>0</v>
      </c>
      <c r="C716" s="116" t="str">
        <f t="shared" ca="1" si="56"/>
        <v/>
      </c>
      <c r="D716" s="119" t="str">
        <f ca="1">ORÇAMENTO!O716</f>
        <v>-</v>
      </c>
      <c r="E716" s="172" t="str">
        <f ca="1">ORÇAMENTO.Descricao</f>
        <v>(abra o arquivo 'Referência 02-2025.xlsm)</v>
      </c>
      <c r="F716" s="173" t="str">
        <f ca="1">IF(RegimeExecucao="Global","",ORÇAMENTO.Unidade)</f>
        <v>-</v>
      </c>
      <c r="G716" s="124">
        <f ca="1">IF(RegimeExecucao="Global","",ORÇAMENTO!T716)</f>
        <v>210.09</v>
      </c>
      <c r="H716" s="124">
        <f ca="1">IF(RegimeExecucao="Global","",ORÇAMENTO!W716)</f>
        <v>0</v>
      </c>
      <c r="I716" s="127">
        <f ca="1">ORÇAMENTO!X716</f>
        <v>0</v>
      </c>
      <c r="J716" s="378">
        <f ca="1">IF($A716="S",IF(CAIXA.Modo,BM.AFAnterior,BM.MEDAnterior),IF(AND(RegimeExecucao="Global",$I716&gt;0,COUNTIF($AB$13:$AM$13,BM.medicao-1)&gt;0),M716/$I716*100,0))</f>
        <v>0</v>
      </c>
      <c r="K716" s="124">
        <f t="shared" ca="1" si="58"/>
        <v>0</v>
      </c>
      <c r="L716" s="379">
        <f ca="1">IF($A716="S",IF(CAIXA.Modo,BM.AFAcumulado,BM.MEDAcumulado),IF(AND(RegimeExecucao="Global",$I716&gt;0,COUNTIF($AB$13:$AM$13,BM.medicao)&gt;0),O716/$I716*100,0))</f>
        <v>0</v>
      </c>
      <c r="M716" s="380">
        <f ca="1">IF($A716="S",VTOTALBM,IF($A716=0,0,ROUND(SomaAgrupBM,15-13*ORÇAMENTO!$AF$11)))</f>
        <v>0</v>
      </c>
      <c r="N716" s="381">
        <f t="shared" ca="1" si="59"/>
        <v>0</v>
      </c>
      <c r="O716" s="127">
        <f ca="1">IF($A716="S",VTOTALBM,IF($A716=0,0,ROUND(SomaAgrupBM,15-13*ORÇAMENTO!$AF$11)))</f>
        <v>0</v>
      </c>
      <c r="Q716" s="382"/>
      <c r="R716" s="383"/>
      <c r="T716" s="119" t="str">
        <f t="shared" ca="1" si="60"/>
        <v/>
      </c>
      <c r="U716" s="172" t="str">
        <f t="shared" ca="1" si="61"/>
        <v/>
      </c>
      <c r="V716" s="173" t="str">
        <f ca="1">IF(AND($W716&gt;0,RegimeExecucao="Unitário"),$F716,"")</f>
        <v/>
      </c>
      <c r="W716" s="547">
        <f ca="1">IF($Y716&gt;0,CHOOSE(MATCH(RegimeExecucao,{"Unitário","Global"},0),IF($A716="S",$Y716/$X716,""),($Y716/$X716)*100),0)</f>
        <v>0</v>
      </c>
      <c r="X716" s="384" t="str">
        <f ca="1">IF($Y716&gt;0,CHOOSE(MATCH(RegimeExecucao,{"Unitário","Global"},0),IF($A716="S",ROUND($H716,ORÇAMENTO!$AF$10),""),ROUND($I716,ORÇAMENTO!$AF$11)),"")</f>
        <v/>
      </c>
      <c r="Y716" s="384">
        <f t="shared" ca="1" si="62"/>
        <v>0</v>
      </c>
      <c r="Z716" s="572"/>
      <c r="AB716" s="382"/>
      <c r="AC716" s="516"/>
      <c r="AD716" s="516"/>
      <c r="AE716" s="516"/>
      <c r="AF716" s="516"/>
      <c r="AG716" s="516"/>
      <c r="AH716" s="516"/>
      <c r="AI716" s="516"/>
      <c r="AJ716" s="516"/>
      <c r="AK716" s="516"/>
      <c r="AL716" s="516"/>
      <c r="AM716" s="383"/>
      <c r="AO716">
        <f ca="1">IF($A716="S",IF(BM!$I716=0,0,CHOOSE(MATCH(RegimeExecucao,{"Global","Unitário"},0),ROUND(ROUND(BM.MEDAcumulado,15-13*BM!$A$9)/100*BM!$I716,15-13*ORÇAMENTO!$AF$11),ROUND(ROUND(BM.MEDAcumulado,15-13*BM!$A$9)*ROUND(BM!$H716,15-13*ORÇAMENTO!$AF$10),15-13*ORÇAMENTO!$AF$11))),IF($A716=0,0,ROUND(SomaAgrupBM,15-13*ORÇAMENTO!$AF$11)))</f>
        <v>0</v>
      </c>
    </row>
    <row r="717" spans="1:41" ht="38.25" x14ac:dyDescent="0.2">
      <c r="A717" t="str">
        <f ca="1">ORÇAMENTO!C717</f>
        <v>S</v>
      </c>
      <c r="B717">
        <f ca="1">ORÇAMENTO!D717</f>
        <v>0</v>
      </c>
      <c r="C717" s="116" t="str">
        <f t="shared" ca="1" si="56"/>
        <v/>
      </c>
      <c r="D717" s="119" t="str">
        <f ca="1">ORÇAMENTO!O717</f>
        <v>-</v>
      </c>
      <c r="E717" s="172" t="str">
        <f ca="1">ORÇAMENTO.Descricao</f>
        <v>(abra o arquivo 'Referência 02-2025.xlsm)</v>
      </c>
      <c r="F717" s="173" t="str">
        <f ca="1">IF(RegimeExecucao="Global","",ORÇAMENTO.Unidade)</f>
        <v>-</v>
      </c>
      <c r="G717" s="124">
        <f ca="1">IF(RegimeExecucao="Global","",ORÇAMENTO!T717)</f>
        <v>7.64</v>
      </c>
      <c r="H717" s="124">
        <f ca="1">IF(RegimeExecucao="Global","",ORÇAMENTO!W717)</f>
        <v>0</v>
      </c>
      <c r="I717" s="127">
        <f ca="1">ORÇAMENTO!X717</f>
        <v>0</v>
      </c>
      <c r="J717" s="378">
        <f ca="1">IF($A717="S",IF(CAIXA.Modo,BM.AFAnterior,BM.MEDAnterior),IF(AND(RegimeExecucao="Global",$I717&gt;0,COUNTIF($AB$13:$AM$13,BM.medicao-1)&gt;0),M717/$I717*100,0))</f>
        <v>0</v>
      </c>
      <c r="K717" s="124">
        <f t="shared" ca="1" si="58"/>
        <v>0</v>
      </c>
      <c r="L717" s="379">
        <f ca="1">IF($A717="S",IF(CAIXA.Modo,BM.AFAcumulado,BM.MEDAcumulado),IF(AND(RegimeExecucao="Global",$I717&gt;0,COUNTIF($AB$13:$AM$13,BM.medicao)&gt;0),O717/$I717*100,0))</f>
        <v>0</v>
      </c>
      <c r="M717" s="380">
        <f ca="1">IF($A717="S",VTOTALBM,IF($A717=0,0,ROUND(SomaAgrupBM,15-13*ORÇAMENTO!$AF$11)))</f>
        <v>0</v>
      </c>
      <c r="N717" s="381">
        <f t="shared" ca="1" si="59"/>
        <v>0</v>
      </c>
      <c r="O717" s="127">
        <f ca="1">IF($A717="S",VTOTALBM,IF($A717=0,0,ROUND(SomaAgrupBM,15-13*ORÇAMENTO!$AF$11)))</f>
        <v>0</v>
      </c>
      <c r="Q717" s="382"/>
      <c r="R717" s="383"/>
      <c r="T717" s="119" t="str">
        <f t="shared" ca="1" si="60"/>
        <v/>
      </c>
      <c r="U717" s="172" t="str">
        <f t="shared" ca="1" si="61"/>
        <v/>
      </c>
      <c r="V717" s="173" t="str">
        <f ca="1">IF(AND($W717&gt;0,RegimeExecucao="Unitário"),$F717,"")</f>
        <v/>
      </c>
      <c r="W717" s="547">
        <f ca="1">IF($Y717&gt;0,CHOOSE(MATCH(RegimeExecucao,{"Unitário","Global"},0),IF($A717="S",$Y717/$X717,""),($Y717/$X717)*100),0)</f>
        <v>0</v>
      </c>
      <c r="X717" s="384" t="str">
        <f ca="1">IF($Y717&gt;0,CHOOSE(MATCH(RegimeExecucao,{"Unitário","Global"},0),IF($A717="S",ROUND($H717,ORÇAMENTO!$AF$10),""),ROUND($I717,ORÇAMENTO!$AF$11)),"")</f>
        <v/>
      </c>
      <c r="Y717" s="384">
        <f t="shared" ca="1" si="62"/>
        <v>0</v>
      </c>
      <c r="Z717" s="572"/>
      <c r="AB717" s="382"/>
      <c r="AC717" s="516"/>
      <c r="AD717" s="516"/>
      <c r="AE717" s="516"/>
      <c r="AF717" s="516"/>
      <c r="AG717" s="516"/>
      <c r="AH717" s="516"/>
      <c r="AI717" s="516"/>
      <c r="AJ717" s="516"/>
      <c r="AK717" s="516"/>
      <c r="AL717" s="516"/>
      <c r="AM717" s="383"/>
      <c r="AO717">
        <f ca="1">IF($A717="S",IF(BM!$I717=0,0,CHOOSE(MATCH(RegimeExecucao,{"Global","Unitário"},0),ROUND(ROUND(BM.MEDAcumulado,15-13*BM!$A$9)/100*BM!$I717,15-13*ORÇAMENTO!$AF$11),ROUND(ROUND(BM.MEDAcumulado,15-13*BM!$A$9)*ROUND(BM!$H717,15-13*ORÇAMENTO!$AF$10),15-13*ORÇAMENTO!$AF$11))),IF($A717=0,0,ROUND(SomaAgrupBM,15-13*ORÇAMENTO!$AF$11)))</f>
        <v>0</v>
      </c>
    </row>
    <row r="718" spans="1:41" x14ac:dyDescent="0.2">
      <c r="A718">
        <f ca="1">ORÇAMENTO!C718</f>
        <v>4</v>
      </c>
      <c r="B718">
        <f ca="1">ORÇAMENTO!D718</f>
        <v>5</v>
      </c>
      <c r="C718" s="116" t="str">
        <f t="shared" ca="1" si="56"/>
        <v>F</v>
      </c>
      <c r="D718" s="119" t="str">
        <f ca="1">ORÇAMENTO!O718</f>
        <v>1.24.3.2.</v>
      </c>
      <c r="E718" s="172" t="str">
        <f t="shared" ref="E718:E745" si="65">ORÇAMENTO.Descricao</f>
        <v>CONCRETO ARMADO - PILARES</v>
      </c>
      <c r="F718" s="173" t="str">
        <f ca="1">IF(RegimeExecucao="Global","",ORÇAMENTO.Unidade)</f>
        <v>-</v>
      </c>
      <c r="G718" s="124">
        <f ca="1">IF(RegimeExecucao="Global","",ORÇAMENTO!T718)</f>
        <v>0</v>
      </c>
      <c r="H718" s="124">
        <f ca="1">IF(RegimeExecucao="Global","",ORÇAMENTO!W718)</f>
        <v>0</v>
      </c>
      <c r="I718" s="127">
        <f ca="1">ORÇAMENTO!X718</f>
        <v>0</v>
      </c>
      <c r="J718" s="378">
        <f ca="1">IF($A718="S",IF(CAIXA.Modo,BM.AFAnterior,BM.MEDAnterior),IF(AND(RegimeExecucao="Global",$I718&gt;0,COUNTIF($AB$13:$AM$13,BM.medicao-1)&gt;0),M718/$I718*100,0))</f>
        <v>0</v>
      </c>
      <c r="K718" s="124">
        <f t="shared" ca="1" si="58"/>
        <v>0</v>
      </c>
      <c r="L718" s="379">
        <f ca="1">IF($A718="S",IF(CAIXA.Modo,BM.AFAcumulado,BM.MEDAcumulado),IF(AND(RegimeExecucao="Global",$I718&gt;0,COUNTIF($AB$13:$AM$13,BM.medicao)&gt;0),O718/$I718*100,0))</f>
        <v>0</v>
      </c>
      <c r="M718" s="380">
        <f ca="1">IF($A718="S",VTOTALBM,IF($A718=0,0,ROUND(SomaAgrupBM,15-13*ORÇAMENTO!$AF$11)))</f>
        <v>0</v>
      </c>
      <c r="N718" s="381">
        <f t="shared" ca="1" si="59"/>
        <v>0</v>
      </c>
      <c r="O718" s="127">
        <f ca="1">IF($A718="S",VTOTALBM,IF($A718=0,0,ROUND(SomaAgrupBM,15-13*ORÇAMENTO!$AF$11)))</f>
        <v>0</v>
      </c>
      <c r="Q718" s="382"/>
      <c r="R718" s="383"/>
      <c r="T718" s="119" t="str">
        <f t="shared" ca="1" si="60"/>
        <v/>
      </c>
      <c r="U718" s="172" t="str">
        <f t="shared" ca="1" si="61"/>
        <v/>
      </c>
      <c r="V718" s="173" t="str">
        <f ca="1">IF(AND($W718&gt;0,RegimeExecucao="Unitário"),$F718,"")</f>
        <v/>
      </c>
      <c r="W718" s="547">
        <f ca="1">IF($Y718&gt;0,CHOOSE(MATCH(RegimeExecucao,{"Unitário","Global"},0),IF($A718="S",$Y718/$X718,""),($Y718/$X718)*100),0)</f>
        <v>0</v>
      </c>
      <c r="X718" s="384" t="str">
        <f ca="1">IF($Y718&gt;0,CHOOSE(MATCH(RegimeExecucao,{"Unitário","Global"},0),IF($A718="S",ROUND($H718,ORÇAMENTO!$AF$10),""),ROUND($I718,ORÇAMENTO!$AF$11)),"")</f>
        <v/>
      </c>
      <c r="Y718" s="384">
        <f t="shared" ca="1" si="62"/>
        <v>0</v>
      </c>
      <c r="Z718" s="572"/>
      <c r="AB718" s="382"/>
      <c r="AC718" s="516"/>
      <c r="AD718" s="516"/>
      <c r="AE718" s="516"/>
      <c r="AF718" s="516"/>
      <c r="AG718" s="516"/>
      <c r="AH718" s="516"/>
      <c r="AI718" s="516"/>
      <c r="AJ718" s="516"/>
      <c r="AK718" s="516"/>
      <c r="AL718" s="516"/>
      <c r="AM718" s="383"/>
      <c r="AO718">
        <f ca="1">IF($A718="S",IF(BM!$I718=0,0,CHOOSE(MATCH(RegimeExecucao,{"Global","Unitário"},0),ROUND(ROUND(BM.MEDAcumulado,15-13*BM!$A$9)/100*BM!$I718,15-13*ORÇAMENTO!$AF$11),ROUND(ROUND(BM.MEDAcumulado,15-13*BM!$A$9)*ROUND(BM!$H718,15-13*ORÇAMENTO!$AF$10),15-13*ORÇAMENTO!$AF$11))),IF($A718=0,0,ROUND(SomaAgrupBM,15-13*ORÇAMENTO!$AF$11)))</f>
        <v>0</v>
      </c>
    </row>
    <row r="719" spans="1:41" ht="51" x14ac:dyDescent="0.2">
      <c r="A719" t="str">
        <f ca="1">ORÇAMENTO!C719</f>
        <v>S</v>
      </c>
      <c r="B719">
        <f ca="1">ORÇAMENTO!D719</f>
        <v>0</v>
      </c>
      <c r="C719" s="116" t="str">
        <f t="shared" ca="1" si="56"/>
        <v/>
      </c>
      <c r="D719" s="119" t="str">
        <f ca="1">ORÇAMENTO!O719</f>
        <v>-</v>
      </c>
      <c r="E719" s="172" t="str">
        <f t="shared" ca="1" si="65"/>
        <v>(abra o arquivo 'Referência 02-2025.xlsm)</v>
      </c>
      <c r="F719" s="173" t="str">
        <f ca="1">IF(RegimeExecucao="Global","",ORÇAMENTO.Unidade)</f>
        <v>-</v>
      </c>
      <c r="G719" s="124">
        <f ca="1">IF(RegimeExecucao="Global","",ORÇAMENTO!T719)</f>
        <v>94.62</v>
      </c>
      <c r="H719" s="124">
        <f ca="1">IF(RegimeExecucao="Global","",ORÇAMENTO!W719)</f>
        <v>0</v>
      </c>
      <c r="I719" s="127">
        <f ca="1">ORÇAMENTO!X719</f>
        <v>0</v>
      </c>
      <c r="J719" s="378">
        <f ca="1">IF($A719="S",IF(CAIXA.Modo,BM.AFAnterior,BM.MEDAnterior),IF(AND(RegimeExecucao="Global",$I719&gt;0,COUNTIF($AB$13:$AM$13,BM.medicao-1)&gt;0),M719/$I719*100,0))</f>
        <v>0</v>
      </c>
      <c r="K719" s="124">
        <f t="shared" ca="1" si="58"/>
        <v>0</v>
      </c>
      <c r="L719" s="379">
        <f ca="1">IF($A719="S",IF(CAIXA.Modo,BM.AFAcumulado,BM.MEDAcumulado),IF(AND(RegimeExecucao="Global",$I719&gt;0,COUNTIF($AB$13:$AM$13,BM.medicao)&gt;0),O719/$I719*100,0))</f>
        <v>0</v>
      </c>
      <c r="M719" s="380">
        <f ca="1">IF($A719="S",VTOTALBM,IF($A719=0,0,ROUND(SomaAgrupBM,15-13*ORÇAMENTO!$AF$11)))</f>
        <v>0</v>
      </c>
      <c r="N719" s="381">
        <f t="shared" ca="1" si="59"/>
        <v>0</v>
      </c>
      <c r="O719" s="127">
        <f ca="1">IF($A719="S",VTOTALBM,IF($A719=0,0,ROUND(SomaAgrupBM,15-13*ORÇAMENTO!$AF$11)))</f>
        <v>0</v>
      </c>
      <c r="Q719" s="382"/>
      <c r="R719" s="383"/>
      <c r="T719" s="119" t="str">
        <f t="shared" ca="1" si="60"/>
        <v/>
      </c>
      <c r="U719" s="172" t="str">
        <f t="shared" ca="1" si="61"/>
        <v/>
      </c>
      <c r="V719" s="173" t="str">
        <f ca="1">IF(AND($W719&gt;0,RegimeExecucao="Unitário"),$F719,"")</f>
        <v/>
      </c>
      <c r="W719" s="547">
        <f ca="1">IF($Y719&gt;0,CHOOSE(MATCH(RegimeExecucao,{"Unitário","Global"},0),IF($A719="S",$Y719/$X719,""),($Y719/$X719)*100),0)</f>
        <v>0</v>
      </c>
      <c r="X719" s="384" t="str">
        <f ca="1">IF($Y719&gt;0,CHOOSE(MATCH(RegimeExecucao,{"Unitário","Global"},0),IF($A719="S",ROUND($H719,ORÇAMENTO!$AF$10),""),ROUND($I719,ORÇAMENTO!$AF$11)),"")</f>
        <v/>
      </c>
      <c r="Y719" s="384">
        <f t="shared" ca="1" si="62"/>
        <v>0</v>
      </c>
      <c r="Z719" s="572"/>
      <c r="AB719" s="382"/>
      <c r="AC719" s="516"/>
      <c r="AD719" s="516"/>
      <c r="AE719" s="516"/>
      <c r="AF719" s="516"/>
      <c r="AG719" s="516"/>
      <c r="AH719" s="516"/>
      <c r="AI719" s="516"/>
      <c r="AJ719" s="516"/>
      <c r="AK719" s="516"/>
      <c r="AL719" s="516"/>
      <c r="AM719" s="383"/>
      <c r="AO719">
        <f ca="1">IF($A719="S",IF(BM!$I719=0,0,CHOOSE(MATCH(RegimeExecucao,{"Global","Unitário"},0),ROUND(ROUND(BM.MEDAcumulado,15-13*BM!$A$9)/100*BM!$I719,15-13*ORÇAMENTO!$AF$11),ROUND(ROUND(BM.MEDAcumulado,15-13*BM!$A$9)*ROUND(BM!$H719,15-13*ORÇAMENTO!$AF$10),15-13*ORÇAMENTO!$AF$11))),IF($A719=0,0,ROUND(SomaAgrupBM,15-13*ORÇAMENTO!$AF$11)))</f>
        <v>0</v>
      </c>
    </row>
    <row r="720" spans="1:41" ht="38.25" x14ac:dyDescent="0.2">
      <c r="A720" t="str">
        <f ca="1">ORÇAMENTO!C720</f>
        <v>S</v>
      </c>
      <c r="B720">
        <f ca="1">ORÇAMENTO!D720</f>
        <v>0</v>
      </c>
      <c r="C720" s="116" t="str">
        <f t="shared" ca="1" si="56"/>
        <v/>
      </c>
      <c r="D720" s="119" t="str">
        <f ca="1">ORÇAMENTO!O720</f>
        <v>-</v>
      </c>
      <c r="E720" s="172" t="str">
        <f t="shared" ca="1" si="65"/>
        <v>(abra o arquivo 'Referência 02-2025.xlsm)</v>
      </c>
      <c r="F720" s="173" t="str">
        <f ca="1">IF(RegimeExecucao="Global","",ORÇAMENTO.Unidade)</f>
        <v>-</v>
      </c>
      <c r="G720" s="124">
        <f ca="1">IF(RegimeExecucao="Global","",ORÇAMENTO!T720)</f>
        <v>290.24</v>
      </c>
      <c r="H720" s="124">
        <f ca="1">IF(RegimeExecucao="Global","",ORÇAMENTO!W720)</f>
        <v>0</v>
      </c>
      <c r="I720" s="127">
        <f ca="1">ORÇAMENTO!X720</f>
        <v>0</v>
      </c>
      <c r="J720" s="378">
        <f ca="1">IF($A720="S",IF(CAIXA.Modo,BM.AFAnterior,BM.MEDAnterior),IF(AND(RegimeExecucao="Global",$I720&gt;0,COUNTIF($AB$13:$AM$13,BM.medicao-1)&gt;0),M720/$I720*100,0))</f>
        <v>0</v>
      </c>
      <c r="K720" s="124">
        <f t="shared" ca="1" si="58"/>
        <v>0</v>
      </c>
      <c r="L720" s="379">
        <f ca="1">IF($A720="S",IF(CAIXA.Modo,BM.AFAcumulado,BM.MEDAcumulado),IF(AND(RegimeExecucao="Global",$I720&gt;0,COUNTIF($AB$13:$AM$13,BM.medicao)&gt;0),O720/$I720*100,0))</f>
        <v>0</v>
      </c>
      <c r="M720" s="380">
        <f ca="1">IF($A720="S",VTOTALBM,IF($A720=0,0,ROUND(SomaAgrupBM,15-13*ORÇAMENTO!$AF$11)))</f>
        <v>0</v>
      </c>
      <c r="N720" s="381">
        <f t="shared" ca="1" si="59"/>
        <v>0</v>
      </c>
      <c r="O720" s="127">
        <f ca="1">IF($A720="S",VTOTALBM,IF($A720=0,0,ROUND(SomaAgrupBM,15-13*ORÇAMENTO!$AF$11)))</f>
        <v>0</v>
      </c>
      <c r="Q720" s="382"/>
      <c r="R720" s="383"/>
      <c r="T720" s="119" t="str">
        <f t="shared" ca="1" si="60"/>
        <v/>
      </c>
      <c r="U720" s="172" t="str">
        <f t="shared" ca="1" si="61"/>
        <v/>
      </c>
      <c r="V720" s="173" t="str">
        <f ca="1">IF(AND($W720&gt;0,RegimeExecucao="Unitário"),$F720,"")</f>
        <v/>
      </c>
      <c r="W720" s="547">
        <f ca="1">IF($Y720&gt;0,CHOOSE(MATCH(RegimeExecucao,{"Unitário","Global"},0),IF($A720="S",$Y720/$X720,""),($Y720/$X720)*100),0)</f>
        <v>0</v>
      </c>
      <c r="X720" s="384" t="str">
        <f ca="1">IF($Y720&gt;0,CHOOSE(MATCH(RegimeExecucao,{"Unitário","Global"},0),IF($A720="S",ROUND($H720,ORÇAMENTO!$AF$10),""),ROUND($I720,ORÇAMENTO!$AF$11)),"")</f>
        <v/>
      </c>
      <c r="Y720" s="384">
        <f t="shared" ca="1" si="62"/>
        <v>0</v>
      </c>
      <c r="Z720" s="572"/>
      <c r="AB720" s="382"/>
      <c r="AC720" s="516"/>
      <c r="AD720" s="516"/>
      <c r="AE720" s="516"/>
      <c r="AF720" s="516"/>
      <c r="AG720" s="516"/>
      <c r="AH720" s="516"/>
      <c r="AI720" s="516"/>
      <c r="AJ720" s="516"/>
      <c r="AK720" s="516"/>
      <c r="AL720" s="516"/>
      <c r="AM720" s="383"/>
      <c r="AO720">
        <f ca="1">IF($A720="S",IF(BM!$I720=0,0,CHOOSE(MATCH(RegimeExecucao,{"Global","Unitário"},0),ROUND(ROUND(BM.MEDAcumulado,15-13*BM!$A$9)/100*BM!$I720,15-13*ORÇAMENTO!$AF$11),ROUND(ROUND(BM.MEDAcumulado,15-13*BM!$A$9)*ROUND(BM!$H720,15-13*ORÇAMENTO!$AF$10),15-13*ORÇAMENTO!$AF$11))),IF($A720=0,0,ROUND(SomaAgrupBM,15-13*ORÇAMENTO!$AF$11)))</f>
        <v>0</v>
      </c>
    </row>
    <row r="721" spans="1:41" ht="38.25" x14ac:dyDescent="0.2">
      <c r="A721" t="str">
        <f ca="1">ORÇAMENTO!C721</f>
        <v>S</v>
      </c>
      <c r="B721">
        <f ca="1">ORÇAMENTO!D721</f>
        <v>0</v>
      </c>
      <c r="C721" s="116" t="str">
        <f t="shared" ca="1" si="56"/>
        <v/>
      </c>
      <c r="D721" s="119" t="str">
        <f ca="1">ORÇAMENTO!O721</f>
        <v>-</v>
      </c>
      <c r="E721" s="172" t="str">
        <f t="shared" ca="1" si="65"/>
        <v>(abra o arquivo 'Referência 02-2025.xlsm)</v>
      </c>
      <c r="F721" s="173" t="str">
        <f ca="1">IF(RegimeExecucao="Global","",ORÇAMENTO.Unidade)</f>
        <v>-</v>
      </c>
      <c r="G721" s="124">
        <f ca="1">IF(RegimeExecucao="Global","",ORÇAMENTO!T721)</f>
        <v>374.9</v>
      </c>
      <c r="H721" s="124">
        <f ca="1">IF(RegimeExecucao="Global","",ORÇAMENTO!W721)</f>
        <v>0</v>
      </c>
      <c r="I721" s="127">
        <f ca="1">ORÇAMENTO!X721</f>
        <v>0</v>
      </c>
      <c r="J721" s="378">
        <f ca="1">IF($A721="S",IF(CAIXA.Modo,BM.AFAnterior,BM.MEDAnterior),IF(AND(RegimeExecucao="Global",$I721&gt;0,COUNTIF($AB$13:$AM$13,BM.medicao-1)&gt;0),M721/$I721*100,0))</f>
        <v>0</v>
      </c>
      <c r="K721" s="124">
        <f t="shared" ca="1" si="58"/>
        <v>0</v>
      </c>
      <c r="L721" s="379">
        <f ca="1">IF($A721="S",IF(CAIXA.Modo,BM.AFAcumulado,BM.MEDAcumulado),IF(AND(RegimeExecucao="Global",$I721&gt;0,COUNTIF($AB$13:$AM$13,BM.medicao)&gt;0),O721/$I721*100,0))</f>
        <v>0</v>
      </c>
      <c r="M721" s="380">
        <f ca="1">IF($A721="S",VTOTALBM,IF($A721=0,0,ROUND(SomaAgrupBM,15-13*ORÇAMENTO!$AF$11)))</f>
        <v>0</v>
      </c>
      <c r="N721" s="381">
        <f t="shared" ca="1" si="59"/>
        <v>0</v>
      </c>
      <c r="O721" s="127">
        <f ca="1">IF($A721="S",VTOTALBM,IF($A721=0,0,ROUND(SomaAgrupBM,15-13*ORÇAMENTO!$AF$11)))</f>
        <v>0</v>
      </c>
      <c r="Q721" s="382"/>
      <c r="R721" s="383"/>
      <c r="T721" s="119" t="str">
        <f t="shared" ca="1" si="60"/>
        <v/>
      </c>
      <c r="U721" s="172" t="str">
        <f t="shared" ca="1" si="61"/>
        <v/>
      </c>
      <c r="V721" s="173" t="str">
        <f ca="1">IF(AND($W721&gt;0,RegimeExecucao="Unitário"),$F721,"")</f>
        <v/>
      </c>
      <c r="W721" s="547">
        <f ca="1">IF($Y721&gt;0,CHOOSE(MATCH(RegimeExecucao,{"Unitário","Global"},0),IF($A721="S",$Y721/$X721,""),($Y721/$X721)*100),0)</f>
        <v>0</v>
      </c>
      <c r="X721" s="384" t="str">
        <f ca="1">IF($Y721&gt;0,CHOOSE(MATCH(RegimeExecucao,{"Unitário","Global"},0),IF($A721="S",ROUND($H721,ORÇAMENTO!$AF$10),""),ROUND($I721,ORÇAMENTO!$AF$11)),"")</f>
        <v/>
      </c>
      <c r="Y721" s="384">
        <f t="shared" ca="1" si="62"/>
        <v>0</v>
      </c>
      <c r="Z721" s="572"/>
      <c r="AB721" s="382"/>
      <c r="AC721" s="516"/>
      <c r="AD721" s="516"/>
      <c r="AE721" s="516"/>
      <c r="AF721" s="516"/>
      <c r="AG721" s="516"/>
      <c r="AH721" s="516"/>
      <c r="AI721" s="516"/>
      <c r="AJ721" s="516"/>
      <c r="AK721" s="516"/>
      <c r="AL721" s="516"/>
      <c r="AM721" s="383"/>
      <c r="AO721">
        <f ca="1">IF($A721="S",IF(BM!$I721=0,0,CHOOSE(MATCH(RegimeExecucao,{"Global","Unitário"},0),ROUND(ROUND(BM.MEDAcumulado,15-13*BM!$A$9)/100*BM!$I721,15-13*ORÇAMENTO!$AF$11),ROUND(ROUND(BM.MEDAcumulado,15-13*BM!$A$9)*ROUND(BM!$H721,15-13*ORÇAMENTO!$AF$10),15-13*ORÇAMENTO!$AF$11))),IF($A721=0,0,ROUND(SomaAgrupBM,15-13*ORÇAMENTO!$AF$11)))</f>
        <v>0</v>
      </c>
    </row>
    <row r="722" spans="1:41" ht="25.5" x14ac:dyDescent="0.2">
      <c r="A722" t="str">
        <f ca="1">ORÇAMENTO!C722</f>
        <v>S</v>
      </c>
      <c r="B722">
        <f ca="1">ORÇAMENTO!D722</f>
        <v>0</v>
      </c>
      <c r="C722" s="116" t="str">
        <f t="shared" ca="1" si="56"/>
        <v/>
      </c>
      <c r="D722" s="119" t="str">
        <f ca="1">ORÇAMENTO!O722</f>
        <v>-</v>
      </c>
      <c r="E722" s="172" t="str">
        <f t="shared" ca="1" si="65"/>
        <v>(abra o arquivo 'Referência 02-2025.xlsm)</v>
      </c>
      <c r="F722" s="173" t="str">
        <f ca="1">IF(RegimeExecucao="Global","",ORÇAMENTO.Unidade)</f>
        <v>-</v>
      </c>
      <c r="G722" s="124">
        <f ca="1">IF(RegimeExecucao="Global","",ORÇAMENTO!T722)</f>
        <v>4.5199999999999996</v>
      </c>
      <c r="H722" s="124">
        <f ca="1">IF(RegimeExecucao="Global","",ORÇAMENTO!W722)</f>
        <v>0</v>
      </c>
      <c r="I722" s="127">
        <f ca="1">ORÇAMENTO!X722</f>
        <v>0</v>
      </c>
      <c r="J722" s="378">
        <f ca="1">IF($A722="S",IF(CAIXA.Modo,BM.AFAnterior,BM.MEDAnterior),IF(AND(RegimeExecucao="Global",$I722&gt;0,COUNTIF($AB$13:$AM$13,BM.medicao-1)&gt;0),M722/$I722*100,0))</f>
        <v>0</v>
      </c>
      <c r="K722" s="124">
        <f t="shared" ca="1" si="58"/>
        <v>0</v>
      </c>
      <c r="L722" s="379">
        <f ca="1">IF($A722="S",IF(CAIXA.Modo,BM.AFAcumulado,BM.MEDAcumulado),IF(AND(RegimeExecucao="Global",$I722&gt;0,COUNTIF($AB$13:$AM$13,BM.medicao)&gt;0),O722/$I722*100,0))</f>
        <v>0</v>
      </c>
      <c r="M722" s="380">
        <f ca="1">IF($A722="S",VTOTALBM,IF($A722=0,0,ROUND(SomaAgrupBM,15-13*ORÇAMENTO!$AF$11)))</f>
        <v>0</v>
      </c>
      <c r="N722" s="381">
        <f t="shared" ca="1" si="59"/>
        <v>0</v>
      </c>
      <c r="O722" s="127">
        <f ca="1">IF($A722="S",VTOTALBM,IF($A722=0,0,ROUND(SomaAgrupBM,15-13*ORÇAMENTO!$AF$11)))</f>
        <v>0</v>
      </c>
      <c r="Q722" s="382"/>
      <c r="R722" s="383"/>
      <c r="T722" s="119" t="str">
        <f t="shared" ca="1" si="60"/>
        <v/>
      </c>
      <c r="U722" s="172" t="str">
        <f t="shared" ca="1" si="61"/>
        <v/>
      </c>
      <c r="V722" s="173" t="str">
        <f ca="1">IF(AND($W722&gt;0,RegimeExecucao="Unitário"),$F722,"")</f>
        <v/>
      </c>
      <c r="W722" s="547">
        <f ca="1">IF($Y722&gt;0,CHOOSE(MATCH(RegimeExecucao,{"Unitário","Global"},0),IF($A722="S",$Y722/$X722,""),($Y722/$X722)*100),0)</f>
        <v>0</v>
      </c>
      <c r="X722" s="384" t="str">
        <f ca="1">IF($Y722&gt;0,CHOOSE(MATCH(RegimeExecucao,{"Unitário","Global"},0),IF($A722="S",ROUND($H722,ORÇAMENTO!$AF$10),""),ROUND($I722,ORÇAMENTO!$AF$11)),"")</f>
        <v/>
      </c>
      <c r="Y722" s="384">
        <f t="shared" ca="1" si="62"/>
        <v>0</v>
      </c>
      <c r="Z722" s="572"/>
      <c r="AB722" s="382"/>
      <c r="AC722" s="516"/>
      <c r="AD722" s="516"/>
      <c r="AE722" s="516"/>
      <c r="AF722" s="516"/>
      <c r="AG722" s="516"/>
      <c r="AH722" s="516"/>
      <c r="AI722" s="516"/>
      <c r="AJ722" s="516"/>
      <c r="AK722" s="516"/>
      <c r="AL722" s="516"/>
      <c r="AM722" s="383"/>
      <c r="AO722">
        <f ca="1">IF($A722="S",IF(BM!$I722=0,0,CHOOSE(MATCH(RegimeExecucao,{"Global","Unitário"},0),ROUND(ROUND(BM.MEDAcumulado,15-13*BM!$A$9)/100*BM!$I722,15-13*ORÇAMENTO!$AF$11),ROUND(ROUND(BM.MEDAcumulado,15-13*BM!$A$9)*ROUND(BM!$H722,15-13*ORÇAMENTO!$AF$10),15-13*ORÇAMENTO!$AF$11))),IF($A722=0,0,ROUND(SomaAgrupBM,15-13*ORÇAMENTO!$AF$11)))</f>
        <v>0</v>
      </c>
    </row>
    <row r="723" spans="1:41" x14ac:dyDescent="0.2">
      <c r="A723">
        <f ca="1">ORÇAMENTO!C723</f>
        <v>3</v>
      </c>
      <c r="B723">
        <f ca="1">ORÇAMENTO!D723</f>
        <v>6</v>
      </c>
      <c r="C723" s="116" t="str">
        <f t="shared" ca="1" si="56"/>
        <v>F</v>
      </c>
      <c r="D723" s="119" t="str">
        <f ca="1">ORÇAMENTO!O723</f>
        <v>1.24.4.</v>
      </c>
      <c r="E723" s="172" t="str">
        <f t="shared" si="65"/>
        <v>CONCRETO ARMADO - VIGAS</v>
      </c>
      <c r="F723" s="173" t="str">
        <f ca="1">IF(RegimeExecucao="Global","",ORÇAMENTO.Unidade)</f>
        <v>-</v>
      </c>
      <c r="G723" s="124">
        <f ca="1">IF(RegimeExecucao="Global","",ORÇAMENTO!T723)</f>
        <v>0</v>
      </c>
      <c r="H723" s="124">
        <f ca="1">IF(RegimeExecucao="Global","",ORÇAMENTO!W723)</f>
        <v>0</v>
      </c>
      <c r="I723" s="127">
        <f ca="1">ORÇAMENTO!X723</f>
        <v>0</v>
      </c>
      <c r="J723" s="378">
        <f ca="1">IF($A723="S",IF(CAIXA.Modo,BM.AFAnterior,BM.MEDAnterior),IF(AND(RegimeExecucao="Global",$I723&gt;0,COUNTIF($AB$13:$AM$13,BM.medicao-1)&gt;0),M723/$I723*100,0))</f>
        <v>0</v>
      </c>
      <c r="K723" s="124">
        <f t="shared" ca="1" si="58"/>
        <v>0</v>
      </c>
      <c r="L723" s="379">
        <f ca="1">IF($A723="S",IF(CAIXA.Modo,BM.AFAcumulado,BM.MEDAcumulado),IF(AND(RegimeExecucao="Global",$I723&gt;0,COUNTIF($AB$13:$AM$13,BM.medicao)&gt;0),O723/$I723*100,0))</f>
        <v>0</v>
      </c>
      <c r="M723" s="380">
        <f ca="1">IF($A723="S",VTOTALBM,IF($A723=0,0,ROUND(SomaAgrupBM,15-13*ORÇAMENTO!$AF$11)))</f>
        <v>0</v>
      </c>
      <c r="N723" s="381">
        <f t="shared" ca="1" si="59"/>
        <v>0</v>
      </c>
      <c r="O723" s="127">
        <f ca="1">IF($A723="S",VTOTALBM,IF($A723=0,0,ROUND(SomaAgrupBM,15-13*ORÇAMENTO!$AF$11)))</f>
        <v>0</v>
      </c>
      <c r="Q723" s="382"/>
      <c r="R723" s="383"/>
      <c r="T723" s="119" t="str">
        <f t="shared" ca="1" si="60"/>
        <v/>
      </c>
      <c r="U723" s="172" t="str">
        <f t="shared" ca="1" si="61"/>
        <v/>
      </c>
      <c r="V723" s="173" t="str">
        <f ca="1">IF(AND($W723&gt;0,RegimeExecucao="Unitário"),$F723,"")</f>
        <v/>
      </c>
      <c r="W723" s="547">
        <f ca="1">IF($Y723&gt;0,CHOOSE(MATCH(RegimeExecucao,{"Unitário","Global"},0),IF($A723="S",$Y723/$X723,""),($Y723/$X723)*100),0)</f>
        <v>0</v>
      </c>
      <c r="X723" s="384" t="str">
        <f ca="1">IF($Y723&gt;0,CHOOSE(MATCH(RegimeExecucao,{"Unitário","Global"},0),IF($A723="S",ROUND($H723,ORÇAMENTO!$AF$10),""),ROUND($I723,ORÇAMENTO!$AF$11)),"")</f>
        <v/>
      </c>
      <c r="Y723" s="384">
        <f t="shared" ca="1" si="62"/>
        <v>0</v>
      </c>
      <c r="Z723" s="572"/>
      <c r="AB723" s="382"/>
      <c r="AC723" s="516"/>
      <c r="AD723" s="516"/>
      <c r="AE723" s="516"/>
      <c r="AF723" s="516"/>
      <c r="AG723" s="516"/>
      <c r="AH723" s="516"/>
      <c r="AI723" s="516"/>
      <c r="AJ723" s="516"/>
      <c r="AK723" s="516"/>
      <c r="AL723" s="516"/>
      <c r="AM723" s="383"/>
      <c r="AO723">
        <f ca="1">IF($A723="S",IF(BM!$I723=0,0,CHOOSE(MATCH(RegimeExecucao,{"Global","Unitário"},0),ROUND(ROUND(BM.MEDAcumulado,15-13*BM!$A$9)/100*BM!$I723,15-13*ORÇAMENTO!$AF$11),ROUND(ROUND(BM.MEDAcumulado,15-13*BM!$A$9)*ROUND(BM!$H723,15-13*ORÇAMENTO!$AF$10),15-13*ORÇAMENTO!$AF$11))),IF($A723=0,0,ROUND(SomaAgrupBM,15-13*ORÇAMENTO!$AF$11)))</f>
        <v>0</v>
      </c>
    </row>
    <row r="724" spans="1:41" ht="38.25" x14ac:dyDescent="0.2">
      <c r="A724" t="str">
        <f ca="1">ORÇAMENTO!C724</f>
        <v>S</v>
      </c>
      <c r="B724">
        <f ca="1">ORÇAMENTO!D724</f>
        <v>0</v>
      </c>
      <c r="C724" s="116" t="str">
        <f t="shared" ca="1" si="56"/>
        <v/>
      </c>
      <c r="D724" s="119" t="str">
        <f ca="1">ORÇAMENTO!O724</f>
        <v>-</v>
      </c>
      <c r="E724" s="172" t="str">
        <f t="shared" ca="1" si="65"/>
        <v>(abra o arquivo 'Referência 02-2025.xlsm)</v>
      </c>
      <c r="F724" s="173" t="str">
        <f ca="1">IF(RegimeExecucao="Global","",ORÇAMENTO.Unidade)</f>
        <v>-</v>
      </c>
      <c r="G724" s="124">
        <f ca="1">IF(RegimeExecucao="Global","",ORÇAMENTO!T724)</f>
        <v>91.62</v>
      </c>
      <c r="H724" s="124">
        <f ca="1">IF(RegimeExecucao="Global","",ORÇAMENTO!W724)</f>
        <v>0</v>
      </c>
      <c r="I724" s="127">
        <f ca="1">ORÇAMENTO!X724</f>
        <v>0</v>
      </c>
      <c r="J724" s="378">
        <f ca="1">IF($A724="S",IF(CAIXA.Modo,BM.AFAnterior,BM.MEDAnterior),IF(AND(RegimeExecucao="Global",$I724&gt;0,COUNTIF($AB$13:$AM$13,BM.medicao-1)&gt;0),M724/$I724*100,0))</f>
        <v>0</v>
      </c>
      <c r="K724" s="124">
        <f t="shared" ca="1" si="58"/>
        <v>0</v>
      </c>
      <c r="L724" s="379">
        <f ca="1">IF($A724="S",IF(CAIXA.Modo,BM.AFAcumulado,BM.MEDAcumulado),IF(AND(RegimeExecucao="Global",$I724&gt;0,COUNTIF($AB$13:$AM$13,BM.medicao)&gt;0),O724/$I724*100,0))</f>
        <v>0</v>
      </c>
      <c r="M724" s="380">
        <f ca="1">IF($A724="S",VTOTALBM,IF($A724=0,0,ROUND(SomaAgrupBM,15-13*ORÇAMENTO!$AF$11)))</f>
        <v>0</v>
      </c>
      <c r="N724" s="381">
        <f t="shared" ca="1" si="59"/>
        <v>0</v>
      </c>
      <c r="O724" s="127">
        <f ca="1">IF($A724="S",VTOTALBM,IF($A724=0,0,ROUND(SomaAgrupBM,15-13*ORÇAMENTO!$AF$11)))</f>
        <v>0</v>
      </c>
      <c r="Q724" s="382"/>
      <c r="R724" s="383"/>
      <c r="T724" s="119" t="str">
        <f t="shared" ca="1" si="60"/>
        <v/>
      </c>
      <c r="U724" s="172" t="str">
        <f t="shared" ca="1" si="61"/>
        <v/>
      </c>
      <c r="V724" s="173" t="str">
        <f ca="1">IF(AND($W724&gt;0,RegimeExecucao="Unitário"),$F724,"")</f>
        <v/>
      </c>
      <c r="W724" s="547">
        <f ca="1">IF($Y724&gt;0,CHOOSE(MATCH(RegimeExecucao,{"Unitário","Global"},0),IF($A724="S",$Y724/$X724,""),($Y724/$X724)*100),0)</f>
        <v>0</v>
      </c>
      <c r="X724" s="384" t="str">
        <f ca="1">IF($Y724&gt;0,CHOOSE(MATCH(RegimeExecucao,{"Unitário","Global"},0),IF($A724="S",ROUND($H724,ORÇAMENTO!$AF$10),""),ROUND($I724,ORÇAMENTO!$AF$11)),"")</f>
        <v/>
      </c>
      <c r="Y724" s="384">
        <f t="shared" ca="1" si="62"/>
        <v>0</v>
      </c>
      <c r="Z724" s="572"/>
      <c r="AB724" s="382"/>
      <c r="AC724" s="516"/>
      <c r="AD724" s="516"/>
      <c r="AE724" s="516"/>
      <c r="AF724" s="516"/>
      <c r="AG724" s="516"/>
      <c r="AH724" s="516"/>
      <c r="AI724" s="516"/>
      <c r="AJ724" s="516"/>
      <c r="AK724" s="516"/>
      <c r="AL724" s="516"/>
      <c r="AM724" s="383"/>
      <c r="AO724">
        <f ca="1">IF($A724="S",IF(BM!$I724=0,0,CHOOSE(MATCH(RegimeExecucao,{"Global","Unitário"},0),ROUND(ROUND(BM.MEDAcumulado,15-13*BM!$A$9)/100*BM!$I724,15-13*ORÇAMENTO!$AF$11),ROUND(ROUND(BM.MEDAcumulado,15-13*BM!$A$9)*ROUND(BM!$H724,15-13*ORÇAMENTO!$AF$10),15-13*ORÇAMENTO!$AF$11))),IF($A724=0,0,ROUND(SomaAgrupBM,15-13*ORÇAMENTO!$AF$11)))</f>
        <v>0</v>
      </c>
    </row>
    <row r="725" spans="1:41" ht="38.25" x14ac:dyDescent="0.2">
      <c r="A725" t="str">
        <f ca="1">ORÇAMENTO!C725</f>
        <v>S</v>
      </c>
      <c r="B725">
        <f ca="1">ORÇAMENTO!D725</f>
        <v>0</v>
      </c>
      <c r="C725" s="116" t="str">
        <f t="shared" ca="1" si="56"/>
        <v/>
      </c>
      <c r="D725" s="119" t="str">
        <f ca="1">ORÇAMENTO!O725</f>
        <v>-</v>
      </c>
      <c r="E725" s="172" t="str">
        <f t="shared" ca="1" si="65"/>
        <v>(abra o arquivo 'Referência 02-2025.xlsm)</v>
      </c>
      <c r="F725" s="173" t="str">
        <f ca="1">IF(RegimeExecucao="Global","",ORÇAMENTO.Unidade)</f>
        <v>-</v>
      </c>
      <c r="G725" s="124">
        <f ca="1">IF(RegimeExecucao="Global","",ORÇAMENTO!T725)</f>
        <v>266.04000000000002</v>
      </c>
      <c r="H725" s="124">
        <f ca="1">IF(RegimeExecucao="Global","",ORÇAMENTO!W725)</f>
        <v>0</v>
      </c>
      <c r="I725" s="127">
        <f ca="1">ORÇAMENTO!X725</f>
        <v>0</v>
      </c>
      <c r="J725" s="378">
        <f ca="1">IF($A725="S",IF(CAIXA.Modo,BM.AFAnterior,BM.MEDAnterior),IF(AND(RegimeExecucao="Global",$I725&gt;0,COUNTIF($AB$13:$AM$13,BM.medicao-1)&gt;0),M725/$I725*100,0))</f>
        <v>0</v>
      </c>
      <c r="K725" s="124">
        <f t="shared" ca="1" si="58"/>
        <v>0</v>
      </c>
      <c r="L725" s="379">
        <f ca="1">IF($A725="S",IF(CAIXA.Modo,BM.AFAcumulado,BM.MEDAcumulado),IF(AND(RegimeExecucao="Global",$I725&gt;0,COUNTIF($AB$13:$AM$13,BM.medicao)&gt;0),O725/$I725*100,0))</f>
        <v>0</v>
      </c>
      <c r="M725" s="380">
        <f ca="1">IF($A725="S",VTOTALBM,IF($A725=0,0,ROUND(SomaAgrupBM,15-13*ORÇAMENTO!$AF$11)))</f>
        <v>0</v>
      </c>
      <c r="N725" s="381">
        <f t="shared" ca="1" si="59"/>
        <v>0</v>
      </c>
      <c r="O725" s="127">
        <f ca="1">IF($A725="S",VTOTALBM,IF($A725=0,0,ROUND(SomaAgrupBM,15-13*ORÇAMENTO!$AF$11)))</f>
        <v>0</v>
      </c>
      <c r="Q725" s="382"/>
      <c r="R725" s="383"/>
      <c r="T725" s="119" t="str">
        <f t="shared" ca="1" si="60"/>
        <v/>
      </c>
      <c r="U725" s="172" t="str">
        <f t="shared" ca="1" si="61"/>
        <v/>
      </c>
      <c r="V725" s="173" t="str">
        <f ca="1">IF(AND($W725&gt;0,RegimeExecucao="Unitário"),$F725,"")</f>
        <v/>
      </c>
      <c r="W725" s="547">
        <f ca="1">IF($Y725&gt;0,CHOOSE(MATCH(RegimeExecucao,{"Unitário","Global"},0),IF($A725="S",$Y725/$X725,""),($Y725/$X725)*100),0)</f>
        <v>0</v>
      </c>
      <c r="X725" s="384" t="str">
        <f ca="1">IF($Y725&gt;0,CHOOSE(MATCH(RegimeExecucao,{"Unitário","Global"},0),IF($A725="S",ROUND($H725,ORÇAMENTO!$AF$10),""),ROUND($I725,ORÇAMENTO!$AF$11)),"")</f>
        <v/>
      </c>
      <c r="Y725" s="384">
        <f t="shared" ca="1" si="62"/>
        <v>0</v>
      </c>
      <c r="Z725" s="572"/>
      <c r="AB725" s="382"/>
      <c r="AC725" s="516"/>
      <c r="AD725" s="516"/>
      <c r="AE725" s="516"/>
      <c r="AF725" s="516"/>
      <c r="AG725" s="516"/>
      <c r="AH725" s="516"/>
      <c r="AI725" s="516"/>
      <c r="AJ725" s="516"/>
      <c r="AK725" s="516"/>
      <c r="AL725" s="516"/>
      <c r="AM725" s="383"/>
      <c r="AO725">
        <f ca="1">IF($A725="S",IF(BM!$I725=0,0,CHOOSE(MATCH(RegimeExecucao,{"Global","Unitário"},0),ROUND(ROUND(BM.MEDAcumulado,15-13*BM!$A$9)/100*BM!$I725,15-13*ORÇAMENTO!$AF$11),ROUND(ROUND(BM.MEDAcumulado,15-13*BM!$A$9)*ROUND(BM!$H725,15-13*ORÇAMENTO!$AF$10),15-13*ORÇAMENTO!$AF$11))),IF($A725=0,0,ROUND(SomaAgrupBM,15-13*ORÇAMENTO!$AF$11)))</f>
        <v>0</v>
      </c>
    </row>
    <row r="726" spans="1:41" ht="38.25" x14ac:dyDescent="0.2">
      <c r="A726" t="str">
        <f ca="1">ORÇAMENTO!C726</f>
        <v>S</v>
      </c>
      <c r="B726">
        <f ca="1">ORÇAMENTO!D726</f>
        <v>0</v>
      </c>
      <c r="C726" s="116" t="str">
        <f t="shared" ca="1" si="56"/>
        <v/>
      </c>
      <c r="D726" s="119" t="str">
        <f ca="1">ORÇAMENTO!O726</f>
        <v>-</v>
      </c>
      <c r="E726" s="172" t="str">
        <f t="shared" ca="1" si="65"/>
        <v>(abra o arquivo 'Referência 02-2025.xlsm)</v>
      </c>
      <c r="F726" s="173" t="str">
        <f ca="1">IF(RegimeExecucao="Global","",ORÇAMENTO.Unidade)</f>
        <v>-</v>
      </c>
      <c r="G726" s="124">
        <f ca="1">IF(RegimeExecucao="Global","",ORÇAMENTO!T726)</f>
        <v>28.28</v>
      </c>
      <c r="H726" s="124">
        <f ca="1">IF(RegimeExecucao="Global","",ORÇAMENTO!W726)</f>
        <v>0</v>
      </c>
      <c r="I726" s="127">
        <f ca="1">ORÇAMENTO!X726</f>
        <v>0</v>
      </c>
      <c r="J726" s="378">
        <f ca="1">IF($A726="S",IF(CAIXA.Modo,BM.AFAnterior,BM.MEDAnterior),IF(AND(RegimeExecucao="Global",$I726&gt;0,COUNTIF($AB$13:$AM$13,BM.medicao-1)&gt;0),M726/$I726*100,0))</f>
        <v>0</v>
      </c>
      <c r="K726" s="124">
        <f t="shared" ca="1" si="58"/>
        <v>0</v>
      </c>
      <c r="L726" s="379">
        <f ca="1">IF($A726="S",IF(CAIXA.Modo,BM.AFAcumulado,BM.MEDAcumulado),IF(AND(RegimeExecucao="Global",$I726&gt;0,COUNTIF($AB$13:$AM$13,BM.medicao)&gt;0),O726/$I726*100,0))</f>
        <v>0</v>
      </c>
      <c r="M726" s="380">
        <f ca="1">IF($A726="S",VTOTALBM,IF($A726=0,0,ROUND(SomaAgrupBM,15-13*ORÇAMENTO!$AF$11)))</f>
        <v>0</v>
      </c>
      <c r="N726" s="381">
        <f t="shared" ca="1" si="59"/>
        <v>0</v>
      </c>
      <c r="O726" s="127">
        <f ca="1">IF($A726="S",VTOTALBM,IF($A726=0,0,ROUND(SomaAgrupBM,15-13*ORÇAMENTO!$AF$11)))</f>
        <v>0</v>
      </c>
      <c r="Q726" s="382"/>
      <c r="R726" s="383"/>
      <c r="T726" s="119" t="str">
        <f t="shared" ca="1" si="60"/>
        <v/>
      </c>
      <c r="U726" s="172" t="str">
        <f t="shared" ca="1" si="61"/>
        <v/>
      </c>
      <c r="V726" s="173" t="str">
        <f ca="1">IF(AND($W726&gt;0,RegimeExecucao="Unitário"),$F726,"")</f>
        <v/>
      </c>
      <c r="W726" s="547">
        <f ca="1">IF($Y726&gt;0,CHOOSE(MATCH(RegimeExecucao,{"Unitário","Global"},0),IF($A726="S",$Y726/$X726,""),($Y726/$X726)*100),0)</f>
        <v>0</v>
      </c>
      <c r="X726" s="384" t="str">
        <f ca="1">IF($Y726&gt;0,CHOOSE(MATCH(RegimeExecucao,{"Unitário","Global"},0),IF($A726="S",ROUND($H726,ORÇAMENTO!$AF$10),""),ROUND($I726,ORÇAMENTO!$AF$11)),"")</f>
        <v/>
      </c>
      <c r="Y726" s="384">
        <f t="shared" ca="1" si="62"/>
        <v>0</v>
      </c>
      <c r="Z726" s="572"/>
      <c r="AB726" s="382"/>
      <c r="AC726" s="516"/>
      <c r="AD726" s="516"/>
      <c r="AE726" s="516"/>
      <c r="AF726" s="516"/>
      <c r="AG726" s="516"/>
      <c r="AH726" s="516"/>
      <c r="AI726" s="516"/>
      <c r="AJ726" s="516"/>
      <c r="AK726" s="516"/>
      <c r="AL726" s="516"/>
      <c r="AM726" s="383"/>
      <c r="AO726">
        <f ca="1">IF($A726="S",IF(BM!$I726=0,0,CHOOSE(MATCH(RegimeExecucao,{"Global","Unitário"},0),ROUND(ROUND(BM.MEDAcumulado,15-13*BM!$A$9)/100*BM!$I726,15-13*ORÇAMENTO!$AF$11),ROUND(ROUND(BM.MEDAcumulado,15-13*BM!$A$9)*ROUND(BM!$H726,15-13*ORÇAMENTO!$AF$10),15-13*ORÇAMENTO!$AF$11))),IF($A726=0,0,ROUND(SomaAgrupBM,15-13*ORÇAMENTO!$AF$11)))</f>
        <v>0</v>
      </c>
    </row>
    <row r="727" spans="1:41" ht="38.25" x14ac:dyDescent="0.2">
      <c r="A727" t="str">
        <f ca="1">ORÇAMENTO!C727</f>
        <v>S</v>
      </c>
      <c r="B727">
        <f ca="1">ORÇAMENTO!D727</f>
        <v>0</v>
      </c>
      <c r="C727" s="116" t="str">
        <f t="shared" ca="1" si="56"/>
        <v/>
      </c>
      <c r="D727" s="119" t="str">
        <f ca="1">ORÇAMENTO!O727</f>
        <v>-</v>
      </c>
      <c r="E727" s="172" t="str">
        <f t="shared" ca="1" si="65"/>
        <v>(abra o arquivo 'Referência 02-2025.xlsm)</v>
      </c>
      <c r="F727" s="173" t="str">
        <f ca="1">IF(RegimeExecucao="Global","",ORÇAMENTO.Unidade)</f>
        <v>-</v>
      </c>
      <c r="G727" s="124">
        <f ca="1">IF(RegimeExecucao="Global","",ORÇAMENTO!T727)</f>
        <v>128.75</v>
      </c>
      <c r="H727" s="124">
        <f ca="1">IF(RegimeExecucao="Global","",ORÇAMENTO!W727)</f>
        <v>0</v>
      </c>
      <c r="I727" s="127">
        <f ca="1">ORÇAMENTO!X727</f>
        <v>0</v>
      </c>
      <c r="J727" s="378">
        <f ca="1">IF($A727="S",IF(CAIXA.Modo,BM.AFAnterior,BM.MEDAnterior),IF(AND(RegimeExecucao="Global",$I727&gt;0,COUNTIF($AB$13:$AM$13,BM.medicao-1)&gt;0),M727/$I727*100,0))</f>
        <v>0</v>
      </c>
      <c r="K727" s="124">
        <f t="shared" ca="1" si="58"/>
        <v>0</v>
      </c>
      <c r="L727" s="379">
        <f ca="1">IF($A727="S",IF(CAIXA.Modo,BM.AFAcumulado,BM.MEDAcumulado),IF(AND(RegimeExecucao="Global",$I727&gt;0,COUNTIF($AB$13:$AM$13,BM.medicao)&gt;0),O727/$I727*100,0))</f>
        <v>0</v>
      </c>
      <c r="M727" s="380">
        <f ca="1">IF($A727="S",VTOTALBM,IF($A727=0,0,ROUND(SomaAgrupBM,15-13*ORÇAMENTO!$AF$11)))</f>
        <v>0</v>
      </c>
      <c r="N727" s="381">
        <f t="shared" ca="1" si="59"/>
        <v>0</v>
      </c>
      <c r="O727" s="127">
        <f ca="1">IF($A727="S",VTOTALBM,IF($A727=0,0,ROUND(SomaAgrupBM,15-13*ORÇAMENTO!$AF$11)))</f>
        <v>0</v>
      </c>
      <c r="Q727" s="382"/>
      <c r="R727" s="383"/>
      <c r="T727" s="119" t="str">
        <f t="shared" ca="1" si="60"/>
        <v/>
      </c>
      <c r="U727" s="172" t="str">
        <f t="shared" ca="1" si="61"/>
        <v/>
      </c>
      <c r="V727" s="173" t="str">
        <f ca="1">IF(AND($W727&gt;0,RegimeExecucao="Unitário"),$F727,"")</f>
        <v/>
      </c>
      <c r="W727" s="547">
        <f ca="1">IF($Y727&gt;0,CHOOSE(MATCH(RegimeExecucao,{"Unitário","Global"},0),IF($A727="S",$Y727/$X727,""),($Y727/$X727)*100),0)</f>
        <v>0</v>
      </c>
      <c r="X727" s="384" t="str">
        <f ca="1">IF($Y727&gt;0,CHOOSE(MATCH(RegimeExecucao,{"Unitário","Global"},0),IF($A727="S",ROUND($H727,ORÇAMENTO!$AF$10),""),ROUND($I727,ORÇAMENTO!$AF$11)),"")</f>
        <v/>
      </c>
      <c r="Y727" s="384">
        <f t="shared" ca="1" si="62"/>
        <v>0</v>
      </c>
      <c r="Z727" s="572"/>
      <c r="AB727" s="382"/>
      <c r="AC727" s="516"/>
      <c r="AD727" s="516"/>
      <c r="AE727" s="516"/>
      <c r="AF727" s="516"/>
      <c r="AG727" s="516"/>
      <c r="AH727" s="516"/>
      <c r="AI727" s="516"/>
      <c r="AJ727" s="516"/>
      <c r="AK727" s="516"/>
      <c r="AL727" s="516"/>
      <c r="AM727" s="383"/>
      <c r="AO727">
        <f ca="1">IF($A727="S",IF(BM!$I727=0,0,CHOOSE(MATCH(RegimeExecucao,{"Global","Unitário"},0),ROUND(ROUND(BM.MEDAcumulado,15-13*BM!$A$9)/100*BM!$I727,15-13*ORÇAMENTO!$AF$11),ROUND(ROUND(BM.MEDAcumulado,15-13*BM!$A$9)*ROUND(BM!$H727,15-13*ORÇAMENTO!$AF$10),15-13*ORÇAMENTO!$AF$11))),IF($A727=0,0,ROUND(SomaAgrupBM,15-13*ORÇAMENTO!$AF$11)))</f>
        <v>0</v>
      </c>
    </row>
    <row r="728" spans="1:41" ht="38.25" x14ac:dyDescent="0.2">
      <c r="A728" t="str">
        <f ca="1">ORÇAMENTO!C728</f>
        <v>S</v>
      </c>
      <c r="B728">
        <f ca="1">ORÇAMENTO!D728</f>
        <v>0</v>
      </c>
      <c r="C728" s="116" t="str">
        <f t="shared" ca="1" si="56"/>
        <v/>
      </c>
      <c r="D728" s="119" t="str">
        <f ca="1">ORÇAMENTO!O728</f>
        <v>-</v>
      </c>
      <c r="E728" s="172" t="str">
        <f t="shared" ca="1" si="65"/>
        <v>(abra o arquivo 'Referência 02-2025.xlsm)</v>
      </c>
      <c r="F728" s="173" t="str">
        <f ca="1">IF(RegimeExecucao="Global","",ORÇAMENTO.Unidade)</f>
        <v>-</v>
      </c>
      <c r="G728" s="124">
        <f ca="1">IF(RegimeExecucao="Global","",ORÇAMENTO!T728)</f>
        <v>4.75</v>
      </c>
      <c r="H728" s="124">
        <f ca="1">IF(RegimeExecucao="Global","",ORÇAMENTO!W728)</f>
        <v>0</v>
      </c>
      <c r="I728" s="127">
        <f ca="1">ORÇAMENTO!X728</f>
        <v>0</v>
      </c>
      <c r="J728" s="378">
        <f ca="1">IF($A728="S",IF(CAIXA.Modo,BM.AFAnterior,BM.MEDAnterior),IF(AND(RegimeExecucao="Global",$I728&gt;0,COUNTIF($AB$13:$AM$13,BM.medicao-1)&gt;0),M728/$I728*100,0))</f>
        <v>0</v>
      </c>
      <c r="K728" s="124">
        <f t="shared" ca="1" si="58"/>
        <v>0</v>
      </c>
      <c r="L728" s="379">
        <f ca="1">IF($A728="S",IF(CAIXA.Modo,BM.AFAcumulado,BM.MEDAcumulado),IF(AND(RegimeExecucao="Global",$I728&gt;0,COUNTIF($AB$13:$AM$13,BM.medicao)&gt;0),O728/$I728*100,0))</f>
        <v>0</v>
      </c>
      <c r="M728" s="380">
        <f ca="1">IF($A728="S",VTOTALBM,IF($A728=0,0,ROUND(SomaAgrupBM,15-13*ORÇAMENTO!$AF$11)))</f>
        <v>0</v>
      </c>
      <c r="N728" s="381">
        <f t="shared" ca="1" si="59"/>
        <v>0</v>
      </c>
      <c r="O728" s="127">
        <f ca="1">IF($A728="S",VTOTALBM,IF($A728=0,0,ROUND(SomaAgrupBM,15-13*ORÇAMENTO!$AF$11)))</f>
        <v>0</v>
      </c>
      <c r="Q728" s="382"/>
      <c r="R728" s="383"/>
      <c r="T728" s="119" t="str">
        <f t="shared" ca="1" si="60"/>
        <v/>
      </c>
      <c r="U728" s="172" t="str">
        <f t="shared" ca="1" si="61"/>
        <v/>
      </c>
      <c r="V728" s="173" t="str">
        <f ca="1">IF(AND($W728&gt;0,RegimeExecucao="Unitário"),$F728,"")</f>
        <v/>
      </c>
      <c r="W728" s="547">
        <f ca="1">IF($Y728&gt;0,CHOOSE(MATCH(RegimeExecucao,{"Unitário","Global"},0),IF($A728="S",$Y728/$X728,""),($Y728/$X728)*100),0)</f>
        <v>0</v>
      </c>
      <c r="X728" s="384" t="str">
        <f ca="1">IF($Y728&gt;0,CHOOSE(MATCH(RegimeExecucao,{"Unitário","Global"},0),IF($A728="S",ROUND($H728,ORÇAMENTO!$AF$10),""),ROUND($I728,ORÇAMENTO!$AF$11)),"")</f>
        <v/>
      </c>
      <c r="Y728" s="384">
        <f t="shared" ca="1" si="62"/>
        <v>0</v>
      </c>
      <c r="Z728" s="572"/>
      <c r="AB728" s="382"/>
      <c r="AC728" s="516"/>
      <c r="AD728" s="516"/>
      <c r="AE728" s="516"/>
      <c r="AF728" s="516"/>
      <c r="AG728" s="516"/>
      <c r="AH728" s="516"/>
      <c r="AI728" s="516"/>
      <c r="AJ728" s="516"/>
      <c r="AK728" s="516"/>
      <c r="AL728" s="516"/>
      <c r="AM728" s="383"/>
      <c r="AO728">
        <f ca="1">IF($A728="S",IF(BM!$I728=0,0,CHOOSE(MATCH(RegimeExecucao,{"Global","Unitário"},0),ROUND(ROUND(BM.MEDAcumulado,15-13*BM!$A$9)/100*BM!$I728,15-13*ORÇAMENTO!$AF$11),ROUND(ROUND(BM.MEDAcumulado,15-13*BM!$A$9)*ROUND(BM!$H728,15-13*ORÇAMENTO!$AF$10),15-13*ORÇAMENTO!$AF$11))),IF($A728=0,0,ROUND(SomaAgrupBM,15-13*ORÇAMENTO!$AF$11)))</f>
        <v>0</v>
      </c>
    </row>
    <row r="729" spans="1:41" x14ac:dyDescent="0.2">
      <c r="A729">
        <f ca="1">ORÇAMENTO!C729</f>
        <v>3</v>
      </c>
      <c r="B729">
        <f ca="1">ORÇAMENTO!D729</f>
        <v>2</v>
      </c>
      <c r="C729" s="116" t="str">
        <f t="shared" ca="1" si="56"/>
        <v>F</v>
      </c>
      <c r="D729" s="119" t="str">
        <f ca="1">ORÇAMENTO!O729</f>
        <v>1.24.5.</v>
      </c>
      <c r="E729" s="172" t="str">
        <f t="shared" ca="1" si="65"/>
        <v>IMPERMEABILIZAÇÃO</v>
      </c>
      <c r="F729" s="173" t="str">
        <f ca="1">IF(RegimeExecucao="Global","",ORÇAMENTO.Unidade)</f>
        <v>-</v>
      </c>
      <c r="G729" s="124">
        <f ca="1">IF(RegimeExecucao="Global","",ORÇAMENTO!T729)</f>
        <v>0</v>
      </c>
      <c r="H729" s="124">
        <f ca="1">IF(RegimeExecucao="Global","",ORÇAMENTO!W729)</f>
        <v>0</v>
      </c>
      <c r="I729" s="127">
        <f ca="1">ORÇAMENTO!X729</f>
        <v>0</v>
      </c>
      <c r="J729" s="378">
        <f ca="1">IF($A729="S",IF(CAIXA.Modo,BM.AFAnterior,BM.MEDAnterior),IF(AND(RegimeExecucao="Global",$I729&gt;0,COUNTIF($AB$13:$AM$13,BM.medicao-1)&gt;0),M729/$I729*100,0))</f>
        <v>0</v>
      </c>
      <c r="K729" s="124">
        <f t="shared" ca="1" si="58"/>
        <v>0</v>
      </c>
      <c r="L729" s="379">
        <f ca="1">IF($A729="S",IF(CAIXA.Modo,BM.AFAcumulado,BM.MEDAcumulado),IF(AND(RegimeExecucao="Global",$I729&gt;0,COUNTIF($AB$13:$AM$13,BM.medicao)&gt;0),O729/$I729*100,0))</f>
        <v>0</v>
      </c>
      <c r="M729" s="380">
        <f ca="1">IF($A729="S",VTOTALBM,IF($A729=0,0,ROUND(SomaAgrupBM,15-13*ORÇAMENTO!$AF$11)))</f>
        <v>0</v>
      </c>
      <c r="N729" s="381">
        <f t="shared" ca="1" si="59"/>
        <v>0</v>
      </c>
      <c r="O729" s="127">
        <f ca="1">IF($A729="S",VTOTALBM,IF($A729=0,0,ROUND(SomaAgrupBM,15-13*ORÇAMENTO!$AF$11)))</f>
        <v>0</v>
      </c>
      <c r="Q729" s="382"/>
      <c r="R729" s="383"/>
      <c r="T729" s="119" t="str">
        <f t="shared" ca="1" si="60"/>
        <v/>
      </c>
      <c r="U729" s="172" t="str">
        <f t="shared" ca="1" si="61"/>
        <v/>
      </c>
      <c r="V729" s="173" t="str">
        <f ca="1">IF(AND($W729&gt;0,RegimeExecucao="Unitário"),$F729,"")</f>
        <v/>
      </c>
      <c r="W729" s="547">
        <f ca="1">IF($Y729&gt;0,CHOOSE(MATCH(RegimeExecucao,{"Unitário","Global"},0),IF($A729="S",$Y729/$X729,""),($Y729/$X729)*100),0)</f>
        <v>0</v>
      </c>
      <c r="X729" s="384" t="str">
        <f ca="1">IF($Y729&gt;0,CHOOSE(MATCH(RegimeExecucao,{"Unitário","Global"},0),IF($A729="S",ROUND($H729,ORÇAMENTO!$AF$10),""),ROUND($I729,ORÇAMENTO!$AF$11)),"")</f>
        <v/>
      </c>
      <c r="Y729" s="384">
        <f t="shared" ca="1" si="62"/>
        <v>0</v>
      </c>
      <c r="Z729" s="572"/>
      <c r="AB729" s="382"/>
      <c r="AC729" s="516"/>
      <c r="AD729" s="516"/>
      <c r="AE729" s="516"/>
      <c r="AF729" s="516"/>
      <c r="AG729" s="516"/>
      <c r="AH729" s="516"/>
      <c r="AI729" s="516"/>
      <c r="AJ729" s="516"/>
      <c r="AK729" s="516"/>
      <c r="AL729" s="516"/>
      <c r="AM729" s="383"/>
      <c r="AO729">
        <f ca="1">IF($A729="S",IF(BM!$I729=0,0,CHOOSE(MATCH(RegimeExecucao,{"Global","Unitário"},0),ROUND(ROUND(BM.MEDAcumulado,15-13*BM!$A$9)/100*BM!$I729,15-13*ORÇAMENTO!$AF$11),ROUND(ROUND(BM.MEDAcumulado,15-13*BM!$A$9)*ROUND(BM!$H729,15-13*ORÇAMENTO!$AF$10),15-13*ORÇAMENTO!$AF$11))),IF($A729=0,0,ROUND(SomaAgrupBM,15-13*ORÇAMENTO!$AF$11)))</f>
        <v>0</v>
      </c>
    </row>
    <row r="730" spans="1:41" ht="25.5" x14ac:dyDescent="0.2">
      <c r="A730" t="str">
        <f ca="1">ORÇAMENTO!C730</f>
        <v>S</v>
      </c>
      <c r="B730">
        <f ca="1">ORÇAMENTO!D730</f>
        <v>0</v>
      </c>
      <c r="C730" s="116" t="str">
        <f t="shared" ca="1" si="56"/>
        <v/>
      </c>
      <c r="D730" s="119" t="str">
        <f ca="1">ORÇAMENTO!O730</f>
        <v>-</v>
      </c>
      <c r="E730" s="172" t="str">
        <f t="shared" ca="1" si="65"/>
        <v>(abra o arquivo 'Referência 02-2025.xlsm)</v>
      </c>
      <c r="F730" s="173" t="str">
        <f ca="1">IF(RegimeExecucao="Global","",ORÇAMENTO.Unidade)</f>
        <v>-</v>
      </c>
      <c r="G730" s="124">
        <f ca="1">IF(RegimeExecucao="Global","",ORÇAMENTO!T730)</f>
        <v>127.25</v>
      </c>
      <c r="H730" s="124">
        <f ca="1">IF(RegimeExecucao="Global","",ORÇAMENTO!W730)</f>
        <v>0</v>
      </c>
      <c r="I730" s="127">
        <f ca="1">ORÇAMENTO!X730</f>
        <v>0</v>
      </c>
      <c r="J730" s="378">
        <f ca="1">IF($A730="S",IF(CAIXA.Modo,BM.AFAnterior,BM.MEDAnterior),IF(AND(RegimeExecucao="Global",$I730&gt;0,COUNTIF($AB$13:$AM$13,BM.medicao-1)&gt;0),M730/$I730*100,0))</f>
        <v>0</v>
      </c>
      <c r="K730" s="124">
        <f t="shared" ca="1" si="58"/>
        <v>0</v>
      </c>
      <c r="L730" s="379">
        <f ca="1">IF($A730="S",IF(CAIXA.Modo,BM.AFAcumulado,BM.MEDAcumulado),IF(AND(RegimeExecucao="Global",$I730&gt;0,COUNTIF($AB$13:$AM$13,BM.medicao)&gt;0),O730/$I730*100,0))</f>
        <v>0</v>
      </c>
      <c r="M730" s="380">
        <f ca="1">IF($A730="S",VTOTALBM,IF($A730=0,0,ROUND(SomaAgrupBM,15-13*ORÇAMENTO!$AF$11)))</f>
        <v>0</v>
      </c>
      <c r="N730" s="381">
        <f t="shared" ca="1" si="59"/>
        <v>0</v>
      </c>
      <c r="O730" s="127">
        <f ca="1">IF($A730="S",VTOTALBM,IF($A730=0,0,ROUND(SomaAgrupBM,15-13*ORÇAMENTO!$AF$11)))</f>
        <v>0</v>
      </c>
      <c r="Q730" s="382"/>
      <c r="R730" s="383"/>
      <c r="T730" s="119" t="str">
        <f t="shared" ca="1" si="60"/>
        <v/>
      </c>
      <c r="U730" s="172" t="str">
        <f t="shared" ca="1" si="61"/>
        <v/>
      </c>
      <c r="V730" s="173" t="str">
        <f ca="1">IF(AND($W730&gt;0,RegimeExecucao="Unitário"),$F730,"")</f>
        <v/>
      </c>
      <c r="W730" s="547">
        <f ca="1">IF($Y730&gt;0,CHOOSE(MATCH(RegimeExecucao,{"Unitário","Global"},0),IF($A730="S",$Y730/$X730,""),($Y730/$X730)*100),0)</f>
        <v>0</v>
      </c>
      <c r="X730" s="384" t="str">
        <f ca="1">IF($Y730&gt;0,CHOOSE(MATCH(RegimeExecucao,{"Unitário","Global"},0),IF($A730="S",ROUND($H730,ORÇAMENTO!$AF$10),""),ROUND($I730,ORÇAMENTO!$AF$11)),"")</f>
        <v/>
      </c>
      <c r="Y730" s="384">
        <f t="shared" ca="1" si="62"/>
        <v>0</v>
      </c>
      <c r="Z730" s="572"/>
      <c r="AB730" s="382"/>
      <c r="AC730" s="516"/>
      <c r="AD730" s="516"/>
      <c r="AE730" s="516"/>
      <c r="AF730" s="516"/>
      <c r="AG730" s="516"/>
      <c r="AH730" s="516"/>
      <c r="AI730" s="516"/>
      <c r="AJ730" s="516"/>
      <c r="AK730" s="516"/>
      <c r="AL730" s="516"/>
      <c r="AM730" s="383"/>
      <c r="AO730">
        <f ca="1">IF($A730="S",IF(BM!$I730=0,0,CHOOSE(MATCH(RegimeExecucao,{"Global","Unitário"},0),ROUND(ROUND(BM.MEDAcumulado,15-13*BM!$A$9)/100*BM!$I730,15-13*ORÇAMENTO!$AF$11),ROUND(ROUND(BM.MEDAcumulado,15-13*BM!$A$9)*ROUND(BM!$H730,15-13*ORÇAMENTO!$AF$10),15-13*ORÇAMENTO!$AF$11))),IF($A730=0,0,ROUND(SomaAgrupBM,15-13*ORÇAMENTO!$AF$11)))</f>
        <v>0</v>
      </c>
    </row>
    <row r="731" spans="1:41" x14ac:dyDescent="0.2">
      <c r="A731">
        <f ca="1">ORÇAMENTO!C731</f>
        <v>3</v>
      </c>
      <c r="B731">
        <f ca="1">ORÇAMENTO!D731</f>
        <v>3</v>
      </c>
      <c r="C731" s="116" t="str">
        <f t="shared" ca="1" si="56"/>
        <v>F</v>
      </c>
      <c r="D731" s="119" t="str">
        <f ca="1">ORÇAMENTO!O731</f>
        <v>1.24.6.</v>
      </c>
      <c r="E731" s="172" t="str">
        <f t="shared" ca="1" si="65"/>
        <v>ALVENARIA DE VEDAÇÃO - MURO</v>
      </c>
      <c r="F731" s="173" t="str">
        <f ca="1">IF(RegimeExecucao="Global","",ORÇAMENTO.Unidade)</f>
        <v>-</v>
      </c>
      <c r="G731" s="124">
        <f ca="1">IF(RegimeExecucao="Global","",ORÇAMENTO!T731)</f>
        <v>0</v>
      </c>
      <c r="H731" s="124">
        <f ca="1">IF(RegimeExecucao="Global","",ORÇAMENTO!W731)</f>
        <v>0</v>
      </c>
      <c r="I731" s="127">
        <f ca="1">ORÇAMENTO!X731</f>
        <v>0</v>
      </c>
      <c r="J731" s="378">
        <f ca="1">IF($A731="S",IF(CAIXA.Modo,BM.AFAnterior,BM.MEDAnterior),IF(AND(RegimeExecucao="Global",$I731&gt;0,COUNTIF($AB$13:$AM$13,BM.medicao-1)&gt;0),M731/$I731*100,0))</f>
        <v>0</v>
      </c>
      <c r="K731" s="124">
        <f t="shared" ca="1" si="58"/>
        <v>0</v>
      </c>
      <c r="L731" s="379">
        <f ca="1">IF($A731="S",IF(CAIXA.Modo,BM.AFAcumulado,BM.MEDAcumulado),IF(AND(RegimeExecucao="Global",$I731&gt;0,COUNTIF($AB$13:$AM$13,BM.medicao)&gt;0),O731/$I731*100,0))</f>
        <v>0</v>
      </c>
      <c r="M731" s="380">
        <f ca="1">IF($A731="S",VTOTALBM,IF($A731=0,0,ROUND(SomaAgrupBM,15-13*ORÇAMENTO!$AF$11)))</f>
        <v>0</v>
      </c>
      <c r="N731" s="381">
        <f t="shared" ca="1" si="59"/>
        <v>0</v>
      </c>
      <c r="O731" s="127">
        <f ca="1">IF($A731="S",VTOTALBM,IF($A731=0,0,ROUND(SomaAgrupBM,15-13*ORÇAMENTO!$AF$11)))</f>
        <v>0</v>
      </c>
      <c r="Q731" s="382"/>
      <c r="R731" s="383"/>
      <c r="T731" s="119" t="str">
        <f t="shared" ca="1" si="60"/>
        <v/>
      </c>
      <c r="U731" s="172" t="str">
        <f t="shared" ca="1" si="61"/>
        <v/>
      </c>
      <c r="V731" s="173" t="str">
        <f ca="1">IF(AND($W731&gt;0,RegimeExecucao="Unitário"),$F731,"")</f>
        <v/>
      </c>
      <c r="W731" s="547">
        <f ca="1">IF($Y731&gt;0,CHOOSE(MATCH(RegimeExecucao,{"Unitário","Global"},0),IF($A731="S",$Y731/$X731,""),($Y731/$X731)*100),0)</f>
        <v>0</v>
      </c>
      <c r="X731" s="384" t="str">
        <f ca="1">IF($Y731&gt;0,CHOOSE(MATCH(RegimeExecucao,{"Unitário","Global"},0),IF($A731="S",ROUND($H731,ORÇAMENTO!$AF$10),""),ROUND($I731,ORÇAMENTO!$AF$11)),"")</f>
        <v/>
      </c>
      <c r="Y731" s="384">
        <f t="shared" ca="1" si="62"/>
        <v>0</v>
      </c>
      <c r="Z731" s="572"/>
      <c r="AB731" s="382"/>
      <c r="AC731" s="516"/>
      <c r="AD731" s="516"/>
      <c r="AE731" s="516"/>
      <c r="AF731" s="516"/>
      <c r="AG731" s="516"/>
      <c r="AH731" s="516"/>
      <c r="AI731" s="516"/>
      <c r="AJ731" s="516"/>
      <c r="AK731" s="516"/>
      <c r="AL731" s="516"/>
      <c r="AM731" s="383"/>
      <c r="AO731">
        <f ca="1">IF($A731="S",IF(BM!$I731=0,0,CHOOSE(MATCH(RegimeExecucao,{"Global","Unitário"},0),ROUND(ROUND(BM.MEDAcumulado,15-13*BM!$A$9)/100*BM!$I731,15-13*ORÇAMENTO!$AF$11),ROUND(ROUND(BM.MEDAcumulado,15-13*BM!$A$9)*ROUND(BM!$H731,15-13*ORÇAMENTO!$AF$10),15-13*ORÇAMENTO!$AF$11))),IF($A731=0,0,ROUND(SomaAgrupBM,15-13*ORÇAMENTO!$AF$11)))</f>
        <v>0</v>
      </c>
    </row>
    <row r="732" spans="1:41" ht="38.25" x14ac:dyDescent="0.2">
      <c r="A732" t="str">
        <f ca="1">ORÇAMENTO!C732</f>
        <v>S</v>
      </c>
      <c r="B732">
        <f ca="1">ORÇAMENTO!D732</f>
        <v>0</v>
      </c>
      <c r="C732" s="116" t="str">
        <f t="shared" ca="1" si="56"/>
        <v/>
      </c>
      <c r="D732" s="119" t="str">
        <f ca="1">ORÇAMENTO!O732</f>
        <v>-</v>
      </c>
      <c r="E732" s="172" t="str">
        <f t="shared" ca="1" si="65"/>
        <v>(abra o arquivo 'Referência 02-2025.xlsm)</v>
      </c>
      <c r="F732" s="173" t="str">
        <f ca="1">IF(RegimeExecucao="Global","",ORÇAMENTO.Unidade)</f>
        <v>-</v>
      </c>
      <c r="G732" s="124">
        <f ca="1">IF(RegimeExecucao="Global","",ORÇAMENTO!T732)</f>
        <v>374.87</v>
      </c>
      <c r="H732" s="124">
        <f ca="1">IF(RegimeExecucao="Global","",ORÇAMENTO!W732)</f>
        <v>0</v>
      </c>
      <c r="I732" s="127">
        <f ca="1">ORÇAMENTO!X732</f>
        <v>0</v>
      </c>
      <c r="J732" s="378">
        <f ca="1">IF($A732="S",IF(CAIXA.Modo,BM.AFAnterior,BM.MEDAnterior),IF(AND(RegimeExecucao="Global",$I732&gt;0,COUNTIF($AB$13:$AM$13,BM.medicao-1)&gt;0),M732/$I732*100,0))</f>
        <v>0</v>
      </c>
      <c r="K732" s="124">
        <f t="shared" ca="1" si="58"/>
        <v>0</v>
      </c>
      <c r="L732" s="379">
        <f ca="1">IF($A732="S",IF(CAIXA.Modo,BM.AFAcumulado,BM.MEDAcumulado),IF(AND(RegimeExecucao="Global",$I732&gt;0,COUNTIF($AB$13:$AM$13,BM.medicao)&gt;0),O732/$I732*100,0))</f>
        <v>0</v>
      </c>
      <c r="M732" s="380">
        <f ca="1">IF($A732="S",VTOTALBM,IF($A732=0,0,ROUND(SomaAgrupBM,15-13*ORÇAMENTO!$AF$11)))</f>
        <v>0</v>
      </c>
      <c r="N732" s="381">
        <f t="shared" ca="1" si="59"/>
        <v>0</v>
      </c>
      <c r="O732" s="127">
        <f ca="1">IF($A732="S",VTOTALBM,IF($A732=0,0,ROUND(SomaAgrupBM,15-13*ORÇAMENTO!$AF$11)))</f>
        <v>0</v>
      </c>
      <c r="Q732" s="382"/>
      <c r="R732" s="383"/>
      <c r="T732" s="119" t="str">
        <f t="shared" ca="1" si="60"/>
        <v/>
      </c>
      <c r="U732" s="172" t="str">
        <f t="shared" ca="1" si="61"/>
        <v/>
      </c>
      <c r="V732" s="173" t="str">
        <f ca="1">IF(AND($W732&gt;0,RegimeExecucao="Unitário"),$F732,"")</f>
        <v/>
      </c>
      <c r="W732" s="547">
        <f ca="1">IF($Y732&gt;0,CHOOSE(MATCH(RegimeExecucao,{"Unitário","Global"},0),IF($A732="S",$Y732/$X732,""),($Y732/$X732)*100),0)</f>
        <v>0</v>
      </c>
      <c r="X732" s="384" t="str">
        <f ca="1">IF($Y732&gt;0,CHOOSE(MATCH(RegimeExecucao,{"Unitário","Global"},0),IF($A732="S",ROUND($H732,ORÇAMENTO!$AF$10),""),ROUND($I732,ORÇAMENTO!$AF$11)),"")</f>
        <v/>
      </c>
      <c r="Y732" s="384">
        <f t="shared" ca="1" si="62"/>
        <v>0</v>
      </c>
      <c r="Z732" s="572"/>
      <c r="AB732" s="382"/>
      <c r="AC732" s="516"/>
      <c r="AD732" s="516"/>
      <c r="AE732" s="516"/>
      <c r="AF732" s="516"/>
      <c r="AG732" s="516"/>
      <c r="AH732" s="516"/>
      <c r="AI732" s="516"/>
      <c r="AJ732" s="516"/>
      <c r="AK732" s="516"/>
      <c r="AL732" s="516"/>
      <c r="AM732" s="383"/>
      <c r="AO732">
        <f ca="1">IF($A732="S",IF(BM!$I732=0,0,CHOOSE(MATCH(RegimeExecucao,{"Global","Unitário"},0),ROUND(ROUND(BM.MEDAcumulado,15-13*BM!$A$9)/100*BM!$I732,15-13*ORÇAMENTO!$AF$11),ROUND(ROUND(BM.MEDAcumulado,15-13*BM!$A$9)*ROUND(BM!$H732,15-13*ORÇAMENTO!$AF$10),15-13*ORÇAMENTO!$AF$11))),IF($A732=0,0,ROUND(SomaAgrupBM,15-13*ORÇAMENTO!$AF$11)))</f>
        <v>0</v>
      </c>
    </row>
    <row r="733" spans="1:41" ht="25.5" x14ac:dyDescent="0.2">
      <c r="A733" t="str">
        <f ca="1">ORÇAMENTO!C733</f>
        <v>S</v>
      </c>
      <c r="B733">
        <f ca="1">ORÇAMENTO!D733</f>
        <v>0</v>
      </c>
      <c r="C733" s="116" t="str">
        <f t="shared" ca="1" si="56"/>
        <v/>
      </c>
      <c r="D733" s="119" t="str">
        <f ca="1">ORÇAMENTO!O733</f>
        <v>-</v>
      </c>
      <c r="E733" s="172" t="str">
        <f t="shared" ca="1" si="65"/>
        <v>(abra o arquivo 'Referência 02-2025.xlsm)</v>
      </c>
      <c r="F733" s="173" t="str">
        <f ca="1">IF(RegimeExecucao="Global","",ORÇAMENTO.Unidade)</f>
        <v>-</v>
      </c>
      <c r="G733" s="124">
        <f ca="1">IF(RegimeExecucao="Global","",ORÇAMENTO!T733)</f>
        <v>176.95</v>
      </c>
      <c r="H733" s="124">
        <f ca="1">IF(RegimeExecucao="Global","",ORÇAMENTO!W733)</f>
        <v>0</v>
      </c>
      <c r="I733" s="127">
        <f ca="1">ORÇAMENTO!X733</f>
        <v>0</v>
      </c>
      <c r="J733" s="378">
        <f ca="1">IF($A733="S",IF(CAIXA.Modo,BM.AFAnterior,BM.MEDAnterior),IF(AND(RegimeExecucao="Global",$I733&gt;0,COUNTIF($AB$13:$AM$13,BM.medicao-1)&gt;0),M733/$I733*100,0))</f>
        <v>0</v>
      </c>
      <c r="K733" s="124">
        <f t="shared" ca="1" si="58"/>
        <v>0</v>
      </c>
      <c r="L733" s="379">
        <f ca="1">IF($A733="S",IF(CAIXA.Modo,BM.AFAcumulado,BM.MEDAcumulado),IF(AND(RegimeExecucao="Global",$I733&gt;0,COUNTIF($AB$13:$AM$13,BM.medicao)&gt;0),O733/$I733*100,0))</f>
        <v>0</v>
      </c>
      <c r="M733" s="380">
        <f ca="1">IF($A733="S",VTOTALBM,IF($A733=0,0,ROUND(SomaAgrupBM,15-13*ORÇAMENTO!$AF$11)))</f>
        <v>0</v>
      </c>
      <c r="N733" s="381">
        <f t="shared" ca="1" si="59"/>
        <v>0</v>
      </c>
      <c r="O733" s="127">
        <f ca="1">IF($A733="S",VTOTALBM,IF($A733=0,0,ROUND(SomaAgrupBM,15-13*ORÇAMENTO!$AF$11)))</f>
        <v>0</v>
      </c>
      <c r="Q733" s="382"/>
      <c r="R733" s="383"/>
      <c r="T733" s="119" t="str">
        <f t="shared" ca="1" si="60"/>
        <v/>
      </c>
      <c r="U733" s="172" t="str">
        <f t="shared" ca="1" si="61"/>
        <v/>
      </c>
      <c r="V733" s="173" t="str">
        <f ca="1">IF(AND($W733&gt;0,RegimeExecucao="Unitário"),$F733,"")</f>
        <v/>
      </c>
      <c r="W733" s="547">
        <f ca="1">IF($Y733&gt;0,CHOOSE(MATCH(RegimeExecucao,{"Unitário","Global"},0),IF($A733="S",$Y733/$X733,""),($Y733/$X733)*100),0)</f>
        <v>0</v>
      </c>
      <c r="X733" s="384" t="str">
        <f ca="1">IF($Y733&gt;0,CHOOSE(MATCH(RegimeExecucao,{"Unitário","Global"},0),IF($A733="S",ROUND($H733,ORÇAMENTO!$AF$10),""),ROUND($I733,ORÇAMENTO!$AF$11)),"")</f>
        <v/>
      </c>
      <c r="Y733" s="384">
        <f t="shared" ca="1" si="62"/>
        <v>0</v>
      </c>
      <c r="Z733" s="572"/>
      <c r="AB733" s="382"/>
      <c r="AC733" s="516"/>
      <c r="AD733" s="516"/>
      <c r="AE733" s="516"/>
      <c r="AF733" s="516"/>
      <c r="AG733" s="516"/>
      <c r="AH733" s="516"/>
      <c r="AI733" s="516"/>
      <c r="AJ733" s="516"/>
      <c r="AK733" s="516"/>
      <c r="AL733" s="516"/>
      <c r="AM733" s="383"/>
      <c r="AO733">
        <f ca="1">IF($A733="S",IF(BM!$I733=0,0,CHOOSE(MATCH(RegimeExecucao,{"Global","Unitário"},0),ROUND(ROUND(BM.MEDAcumulado,15-13*BM!$A$9)/100*BM!$I733,15-13*ORÇAMENTO!$AF$11),ROUND(ROUND(BM.MEDAcumulado,15-13*BM!$A$9)*ROUND(BM!$H733,15-13*ORÇAMENTO!$AF$10),15-13*ORÇAMENTO!$AF$11))),IF($A733=0,0,ROUND(SomaAgrupBM,15-13*ORÇAMENTO!$AF$11)))</f>
        <v>0</v>
      </c>
    </row>
    <row r="734" spans="1:41" x14ac:dyDescent="0.2">
      <c r="A734">
        <f ca="1">ORÇAMENTO!C734</f>
        <v>3</v>
      </c>
      <c r="B734">
        <f ca="1">ORÇAMENTO!D734</f>
        <v>6</v>
      </c>
      <c r="C734" s="116" t="str">
        <f t="shared" ca="1" si="56"/>
        <v>F</v>
      </c>
      <c r="D734" s="119" t="str">
        <f ca="1">ORÇAMENTO!O734</f>
        <v>1.24.7.</v>
      </c>
      <c r="E734" s="172" t="str">
        <f t="shared" ca="1" si="65"/>
        <v>REVESTIMENTO</v>
      </c>
      <c r="F734" s="173" t="str">
        <f ca="1">IF(RegimeExecucao="Global","",ORÇAMENTO.Unidade)</f>
        <v>-</v>
      </c>
      <c r="G734" s="124">
        <f ca="1">IF(RegimeExecucao="Global","",ORÇAMENTO!T734)</f>
        <v>0</v>
      </c>
      <c r="H734" s="124">
        <f ca="1">IF(RegimeExecucao="Global","",ORÇAMENTO!W734)</f>
        <v>0</v>
      </c>
      <c r="I734" s="127">
        <f ca="1">ORÇAMENTO!X734</f>
        <v>0</v>
      </c>
      <c r="J734" s="378">
        <f ca="1">IF($A734="S",IF(CAIXA.Modo,BM.AFAnterior,BM.MEDAnterior),IF(AND(RegimeExecucao="Global",$I734&gt;0,COUNTIF($AB$13:$AM$13,BM.medicao-1)&gt;0),M734/$I734*100,0))</f>
        <v>0</v>
      </c>
      <c r="K734" s="124">
        <f t="shared" ca="1" si="58"/>
        <v>0</v>
      </c>
      <c r="L734" s="379">
        <f ca="1">IF($A734="S",IF(CAIXA.Modo,BM.AFAcumulado,BM.MEDAcumulado),IF(AND(RegimeExecucao="Global",$I734&gt;0,COUNTIF($AB$13:$AM$13,BM.medicao)&gt;0),O734/$I734*100,0))</f>
        <v>0</v>
      </c>
      <c r="M734" s="380">
        <f ca="1">IF($A734="S",VTOTALBM,IF($A734=0,0,ROUND(SomaAgrupBM,15-13*ORÇAMENTO!$AF$11)))</f>
        <v>0</v>
      </c>
      <c r="N734" s="381">
        <f t="shared" ca="1" si="59"/>
        <v>0</v>
      </c>
      <c r="O734" s="127">
        <f ca="1">IF($A734="S",VTOTALBM,IF($A734=0,0,ROUND(SomaAgrupBM,15-13*ORÇAMENTO!$AF$11)))</f>
        <v>0</v>
      </c>
      <c r="Q734" s="382"/>
      <c r="R734" s="383"/>
      <c r="T734" s="119" t="str">
        <f t="shared" ca="1" si="60"/>
        <v/>
      </c>
      <c r="U734" s="172" t="str">
        <f t="shared" ca="1" si="61"/>
        <v/>
      </c>
      <c r="V734" s="173" t="str">
        <f ca="1">IF(AND($W734&gt;0,RegimeExecucao="Unitário"),$F734,"")</f>
        <v/>
      </c>
      <c r="W734" s="547">
        <f ca="1">IF($Y734&gt;0,CHOOSE(MATCH(RegimeExecucao,{"Unitário","Global"},0),IF($A734="S",$Y734/$X734,""),($Y734/$X734)*100),0)</f>
        <v>0</v>
      </c>
      <c r="X734" s="384" t="str">
        <f ca="1">IF($Y734&gt;0,CHOOSE(MATCH(RegimeExecucao,{"Unitário","Global"},0),IF($A734="S",ROUND($H734,ORÇAMENTO!$AF$10),""),ROUND($I734,ORÇAMENTO!$AF$11)),"")</f>
        <v/>
      </c>
      <c r="Y734" s="384">
        <f t="shared" ca="1" si="62"/>
        <v>0</v>
      </c>
      <c r="Z734" s="572"/>
      <c r="AB734" s="382"/>
      <c r="AC734" s="516"/>
      <c r="AD734" s="516"/>
      <c r="AE734" s="516"/>
      <c r="AF734" s="516"/>
      <c r="AG734" s="516"/>
      <c r="AH734" s="516"/>
      <c r="AI734" s="516"/>
      <c r="AJ734" s="516"/>
      <c r="AK734" s="516"/>
      <c r="AL734" s="516"/>
      <c r="AM734" s="383"/>
      <c r="AO734">
        <f ca="1">IF($A734="S",IF(BM!$I734=0,0,CHOOSE(MATCH(RegimeExecucao,{"Global","Unitário"},0),ROUND(ROUND(BM.MEDAcumulado,15-13*BM!$A$9)/100*BM!$I734,15-13*ORÇAMENTO!$AF$11),ROUND(ROUND(BM.MEDAcumulado,15-13*BM!$A$9)*ROUND(BM!$H734,15-13*ORÇAMENTO!$AF$10),15-13*ORÇAMENTO!$AF$11))),IF($A734=0,0,ROUND(SomaAgrupBM,15-13*ORÇAMENTO!$AF$11)))</f>
        <v>0</v>
      </c>
    </row>
    <row r="735" spans="1:41" ht="38.25" x14ac:dyDescent="0.2">
      <c r="A735" t="str">
        <f ca="1">ORÇAMENTO!C735</f>
        <v>S</v>
      </c>
      <c r="B735">
        <f ca="1">ORÇAMENTO!D735</f>
        <v>0</v>
      </c>
      <c r="C735" s="116" t="str">
        <f t="shared" ca="1" si="56"/>
        <v/>
      </c>
      <c r="D735" s="119" t="str">
        <f ca="1">ORÇAMENTO!O735</f>
        <v>-</v>
      </c>
      <c r="E735" s="172" t="str">
        <f t="shared" ca="1" si="65"/>
        <v>(abra o arquivo 'Referência 02-2025.xlsm)</v>
      </c>
      <c r="F735" s="173" t="str">
        <f ca="1">IF(RegimeExecucao="Global","",ORÇAMENTO.Unidade)</f>
        <v>-</v>
      </c>
      <c r="G735" s="124">
        <f ca="1">IF(RegimeExecucao="Global","",ORÇAMENTO!T735)</f>
        <v>374.87</v>
      </c>
      <c r="H735" s="124">
        <f ca="1">IF(RegimeExecucao="Global","",ORÇAMENTO!W735)</f>
        <v>0</v>
      </c>
      <c r="I735" s="127">
        <f ca="1">ORÇAMENTO!X735</f>
        <v>0</v>
      </c>
      <c r="J735" s="378">
        <f ca="1">IF($A735="S",IF(CAIXA.Modo,BM.AFAnterior,BM.MEDAnterior),IF(AND(RegimeExecucao="Global",$I735&gt;0,COUNTIF($AB$13:$AM$13,BM.medicao-1)&gt;0),M735/$I735*100,0))</f>
        <v>0</v>
      </c>
      <c r="K735" s="124">
        <f t="shared" ca="1" si="58"/>
        <v>0</v>
      </c>
      <c r="L735" s="379">
        <f ca="1">IF($A735="S",IF(CAIXA.Modo,BM.AFAcumulado,BM.MEDAcumulado),IF(AND(RegimeExecucao="Global",$I735&gt;0,COUNTIF($AB$13:$AM$13,BM.medicao)&gt;0),O735/$I735*100,0))</f>
        <v>0</v>
      </c>
      <c r="M735" s="380">
        <f ca="1">IF($A735="S",VTOTALBM,IF($A735=0,0,ROUND(SomaAgrupBM,15-13*ORÇAMENTO!$AF$11)))</f>
        <v>0</v>
      </c>
      <c r="N735" s="381">
        <f t="shared" ca="1" si="59"/>
        <v>0</v>
      </c>
      <c r="O735" s="127">
        <f ca="1">IF($A735="S",VTOTALBM,IF($A735=0,0,ROUND(SomaAgrupBM,15-13*ORÇAMENTO!$AF$11)))</f>
        <v>0</v>
      </c>
      <c r="Q735" s="382"/>
      <c r="R735" s="383"/>
      <c r="T735" s="119" t="str">
        <f t="shared" ca="1" si="60"/>
        <v/>
      </c>
      <c r="U735" s="172" t="str">
        <f t="shared" ca="1" si="61"/>
        <v/>
      </c>
      <c r="V735" s="173" t="str">
        <f ca="1">IF(AND($W735&gt;0,RegimeExecucao="Unitário"),$F735,"")</f>
        <v/>
      </c>
      <c r="W735" s="547">
        <f ca="1">IF($Y735&gt;0,CHOOSE(MATCH(RegimeExecucao,{"Unitário","Global"},0),IF($A735="S",$Y735/$X735,""),($Y735/$X735)*100),0)</f>
        <v>0</v>
      </c>
      <c r="X735" s="384" t="str">
        <f ca="1">IF($Y735&gt;0,CHOOSE(MATCH(RegimeExecucao,{"Unitário","Global"},0),IF($A735="S",ROUND($H735,ORÇAMENTO!$AF$10),""),ROUND($I735,ORÇAMENTO!$AF$11)),"")</f>
        <v/>
      </c>
      <c r="Y735" s="384">
        <f t="shared" ca="1" si="62"/>
        <v>0</v>
      </c>
      <c r="Z735" s="572"/>
      <c r="AB735" s="382"/>
      <c r="AC735" s="516"/>
      <c r="AD735" s="516"/>
      <c r="AE735" s="516"/>
      <c r="AF735" s="516"/>
      <c r="AG735" s="516"/>
      <c r="AH735" s="516"/>
      <c r="AI735" s="516"/>
      <c r="AJ735" s="516"/>
      <c r="AK735" s="516"/>
      <c r="AL735" s="516"/>
      <c r="AM735" s="383"/>
      <c r="AO735">
        <f ca="1">IF($A735="S",IF(BM!$I735=0,0,CHOOSE(MATCH(RegimeExecucao,{"Global","Unitário"},0),ROUND(ROUND(BM.MEDAcumulado,15-13*BM!$A$9)/100*BM!$I735,15-13*ORÇAMENTO!$AF$11),ROUND(ROUND(BM.MEDAcumulado,15-13*BM!$A$9)*ROUND(BM!$H735,15-13*ORÇAMENTO!$AF$10),15-13*ORÇAMENTO!$AF$11))),IF($A735=0,0,ROUND(SomaAgrupBM,15-13*ORÇAMENTO!$AF$11)))</f>
        <v>0</v>
      </c>
    </row>
    <row r="736" spans="1:41" ht="38.25" x14ac:dyDescent="0.2">
      <c r="A736" t="str">
        <f ca="1">ORÇAMENTO!C736</f>
        <v>S</v>
      </c>
      <c r="B736">
        <f ca="1">ORÇAMENTO!D736</f>
        <v>0</v>
      </c>
      <c r="C736" s="116" t="str">
        <f t="shared" ca="1" si="56"/>
        <v/>
      </c>
      <c r="D736" s="119" t="str">
        <f ca="1">ORÇAMENTO!O736</f>
        <v>-</v>
      </c>
      <c r="E736" s="172" t="str">
        <f t="shared" ca="1" si="65"/>
        <v>(abra o arquivo 'Referência 02-2025.xlsm)</v>
      </c>
      <c r="F736" s="173" t="str">
        <f ca="1">IF(RegimeExecucao="Global","",ORÇAMENTO.Unidade)</f>
        <v>-</v>
      </c>
      <c r="G736" s="124">
        <f ca="1">IF(RegimeExecucao="Global","",ORÇAMENTO!T736)</f>
        <v>374.87</v>
      </c>
      <c r="H736" s="124">
        <f ca="1">IF(RegimeExecucao="Global","",ORÇAMENTO!W736)</f>
        <v>0</v>
      </c>
      <c r="I736" s="127">
        <f ca="1">ORÇAMENTO!X736</f>
        <v>0</v>
      </c>
      <c r="J736" s="378">
        <f ca="1">IF($A736="S",IF(CAIXA.Modo,BM.AFAnterior,BM.MEDAnterior),IF(AND(RegimeExecucao="Global",$I736&gt;0,COUNTIF($AB$13:$AM$13,BM.medicao-1)&gt;0),M736/$I736*100,0))</f>
        <v>0</v>
      </c>
      <c r="K736" s="124">
        <f t="shared" ca="1" si="58"/>
        <v>0</v>
      </c>
      <c r="L736" s="379">
        <f ca="1">IF($A736="S",IF(CAIXA.Modo,BM.AFAcumulado,BM.MEDAcumulado),IF(AND(RegimeExecucao="Global",$I736&gt;0,COUNTIF($AB$13:$AM$13,BM.medicao)&gt;0),O736/$I736*100,0))</f>
        <v>0</v>
      </c>
      <c r="M736" s="380">
        <f ca="1">IF($A736="S",VTOTALBM,IF($A736=0,0,ROUND(SomaAgrupBM,15-13*ORÇAMENTO!$AF$11)))</f>
        <v>0</v>
      </c>
      <c r="N736" s="381">
        <f t="shared" ca="1" si="59"/>
        <v>0</v>
      </c>
      <c r="O736" s="127">
        <f ca="1">IF($A736="S",VTOTALBM,IF($A736=0,0,ROUND(SomaAgrupBM,15-13*ORÇAMENTO!$AF$11)))</f>
        <v>0</v>
      </c>
      <c r="Q736" s="382"/>
      <c r="R736" s="383"/>
      <c r="T736" s="119" t="str">
        <f t="shared" ca="1" si="60"/>
        <v/>
      </c>
      <c r="U736" s="172" t="str">
        <f t="shared" ca="1" si="61"/>
        <v/>
      </c>
      <c r="V736" s="173" t="str">
        <f ca="1">IF(AND($W736&gt;0,RegimeExecucao="Unitário"),$F736,"")</f>
        <v/>
      </c>
      <c r="W736" s="547">
        <f ca="1">IF($Y736&gt;0,CHOOSE(MATCH(RegimeExecucao,{"Unitário","Global"},0),IF($A736="S",$Y736/$X736,""),($Y736/$X736)*100),0)</f>
        <v>0</v>
      </c>
      <c r="X736" s="384" t="str">
        <f ca="1">IF($Y736&gt;0,CHOOSE(MATCH(RegimeExecucao,{"Unitário","Global"},0),IF($A736="S",ROUND($H736,ORÇAMENTO!$AF$10),""),ROUND($I736,ORÇAMENTO!$AF$11)),"")</f>
        <v/>
      </c>
      <c r="Y736" s="384">
        <f t="shared" ca="1" si="62"/>
        <v>0</v>
      </c>
      <c r="Z736" s="572"/>
      <c r="AB736" s="382"/>
      <c r="AC736" s="516"/>
      <c r="AD736" s="516"/>
      <c r="AE736" s="516"/>
      <c r="AF736" s="516"/>
      <c r="AG736" s="516"/>
      <c r="AH736" s="516"/>
      <c r="AI736" s="516"/>
      <c r="AJ736" s="516"/>
      <c r="AK736" s="516"/>
      <c r="AL736" s="516"/>
      <c r="AM736" s="383"/>
      <c r="AO736">
        <f ca="1">IF($A736="S",IF(BM!$I736=0,0,CHOOSE(MATCH(RegimeExecucao,{"Global","Unitário"},0),ROUND(ROUND(BM.MEDAcumulado,15-13*BM!$A$9)/100*BM!$I736,15-13*ORÇAMENTO!$AF$11),ROUND(ROUND(BM.MEDAcumulado,15-13*BM!$A$9)*ROUND(BM!$H736,15-13*ORÇAMENTO!$AF$10),15-13*ORÇAMENTO!$AF$11))),IF($A736=0,0,ROUND(SomaAgrupBM,15-13*ORÇAMENTO!$AF$11)))</f>
        <v>0</v>
      </c>
    </row>
    <row r="737" spans="1:41" ht="51" x14ac:dyDescent="0.2">
      <c r="A737" t="str">
        <f ca="1">ORÇAMENTO!C737</f>
        <v>S</v>
      </c>
      <c r="B737">
        <f ca="1">ORÇAMENTO!D737</f>
        <v>0</v>
      </c>
      <c r="C737" s="116" t="str">
        <f t="shared" ca="1" si="56"/>
        <v/>
      </c>
      <c r="D737" s="119" t="str">
        <f ca="1">ORÇAMENTO!O737</f>
        <v>-</v>
      </c>
      <c r="E737" s="172" t="str">
        <f t="shared" ca="1" si="65"/>
        <v>(abra o arquivo 'Referência 02-2025.xlsm)</v>
      </c>
      <c r="F737" s="173" t="str">
        <f ca="1">IF(RegimeExecucao="Global","",ORÇAMENTO.Unidade)</f>
        <v>-</v>
      </c>
      <c r="G737" s="124">
        <f ca="1">IF(RegimeExecucao="Global","",ORÇAMENTO!T737)</f>
        <v>374.87</v>
      </c>
      <c r="H737" s="124">
        <f ca="1">IF(RegimeExecucao="Global","",ORÇAMENTO!W737)</f>
        <v>0</v>
      </c>
      <c r="I737" s="127">
        <f ca="1">ORÇAMENTO!X737</f>
        <v>0</v>
      </c>
      <c r="J737" s="378">
        <f ca="1">IF($A737="S",IF(CAIXA.Modo,BM.AFAnterior,BM.MEDAnterior),IF(AND(RegimeExecucao="Global",$I737&gt;0,COUNTIF($AB$13:$AM$13,BM.medicao-1)&gt;0),M737/$I737*100,0))</f>
        <v>0</v>
      </c>
      <c r="K737" s="124">
        <f t="shared" ca="1" si="58"/>
        <v>0</v>
      </c>
      <c r="L737" s="379">
        <f ca="1">IF($A737="S",IF(CAIXA.Modo,BM.AFAcumulado,BM.MEDAcumulado),IF(AND(RegimeExecucao="Global",$I737&gt;0,COUNTIF($AB$13:$AM$13,BM.medicao)&gt;0),O737/$I737*100,0))</f>
        <v>0</v>
      </c>
      <c r="M737" s="380">
        <f ca="1">IF($A737="S",VTOTALBM,IF($A737=0,0,ROUND(SomaAgrupBM,15-13*ORÇAMENTO!$AF$11)))</f>
        <v>0</v>
      </c>
      <c r="N737" s="381">
        <f t="shared" ca="1" si="59"/>
        <v>0</v>
      </c>
      <c r="O737" s="127">
        <f ca="1">IF($A737="S",VTOTALBM,IF($A737=0,0,ROUND(SomaAgrupBM,15-13*ORÇAMENTO!$AF$11)))</f>
        <v>0</v>
      </c>
      <c r="Q737" s="382"/>
      <c r="R737" s="383"/>
      <c r="T737" s="119" t="str">
        <f t="shared" ca="1" si="60"/>
        <v/>
      </c>
      <c r="U737" s="172" t="str">
        <f t="shared" ca="1" si="61"/>
        <v/>
      </c>
      <c r="V737" s="173" t="str">
        <f ca="1">IF(AND($W737&gt;0,RegimeExecucao="Unitário"),$F737,"")</f>
        <v/>
      </c>
      <c r="W737" s="547">
        <f ca="1">IF($Y737&gt;0,CHOOSE(MATCH(RegimeExecucao,{"Unitário","Global"},0),IF($A737="S",$Y737/$X737,""),($Y737/$X737)*100),0)</f>
        <v>0</v>
      </c>
      <c r="X737" s="384" t="str">
        <f ca="1">IF($Y737&gt;0,CHOOSE(MATCH(RegimeExecucao,{"Unitário","Global"},0),IF($A737="S",ROUND($H737,ORÇAMENTO!$AF$10),""),ROUND($I737,ORÇAMENTO!$AF$11)),"")</f>
        <v/>
      </c>
      <c r="Y737" s="384">
        <f t="shared" ca="1" si="62"/>
        <v>0</v>
      </c>
      <c r="Z737" s="572"/>
      <c r="AB737" s="382"/>
      <c r="AC737" s="516"/>
      <c r="AD737" s="516"/>
      <c r="AE737" s="516"/>
      <c r="AF737" s="516"/>
      <c r="AG737" s="516"/>
      <c r="AH737" s="516"/>
      <c r="AI737" s="516"/>
      <c r="AJ737" s="516"/>
      <c r="AK737" s="516"/>
      <c r="AL737" s="516"/>
      <c r="AM737" s="383"/>
      <c r="AO737">
        <f ca="1">IF($A737="S",IF(BM!$I737=0,0,CHOOSE(MATCH(RegimeExecucao,{"Global","Unitário"},0),ROUND(ROUND(BM.MEDAcumulado,15-13*BM!$A$9)/100*BM!$I737,15-13*ORÇAMENTO!$AF$11),ROUND(ROUND(BM.MEDAcumulado,15-13*BM!$A$9)*ROUND(BM!$H737,15-13*ORÇAMENTO!$AF$10),15-13*ORÇAMENTO!$AF$11))),IF($A737=0,0,ROUND(SomaAgrupBM,15-13*ORÇAMENTO!$AF$11)))</f>
        <v>0</v>
      </c>
    </row>
    <row r="738" spans="1:41" ht="51" x14ac:dyDescent="0.2">
      <c r="A738" t="str">
        <f ca="1">ORÇAMENTO!C738</f>
        <v>S</v>
      </c>
      <c r="B738">
        <f ca="1">ORÇAMENTO!D738</f>
        <v>0</v>
      </c>
      <c r="C738" s="116" t="str">
        <f t="shared" ca="1" si="56"/>
        <v/>
      </c>
      <c r="D738" s="119" t="str">
        <f ca="1">ORÇAMENTO!O738</f>
        <v>-</v>
      </c>
      <c r="E738" s="172" t="str">
        <f t="shared" ca="1" si="65"/>
        <v>(abra o arquivo 'Referência 02-2025.xlsm)</v>
      </c>
      <c r="F738" s="173" t="str">
        <f ca="1">IF(RegimeExecucao="Global","",ORÇAMENTO.Unidade)</f>
        <v>-</v>
      </c>
      <c r="G738" s="124">
        <f ca="1">IF(RegimeExecucao="Global","",ORÇAMENTO!T738)</f>
        <v>374.87</v>
      </c>
      <c r="H738" s="124">
        <f ca="1">IF(RegimeExecucao="Global","",ORÇAMENTO!W738)</f>
        <v>0</v>
      </c>
      <c r="I738" s="127">
        <f ca="1">ORÇAMENTO!X738</f>
        <v>0</v>
      </c>
      <c r="J738" s="378">
        <f ca="1">IF($A738="S",IF(CAIXA.Modo,BM.AFAnterior,BM.MEDAnterior),IF(AND(RegimeExecucao="Global",$I738&gt;0,COUNTIF($AB$13:$AM$13,BM.medicao-1)&gt;0),M738/$I738*100,0))</f>
        <v>0</v>
      </c>
      <c r="K738" s="124">
        <f t="shared" ca="1" si="58"/>
        <v>0</v>
      </c>
      <c r="L738" s="379">
        <f ca="1">IF($A738="S",IF(CAIXA.Modo,BM.AFAcumulado,BM.MEDAcumulado),IF(AND(RegimeExecucao="Global",$I738&gt;0,COUNTIF($AB$13:$AM$13,BM.medicao)&gt;0),O738/$I738*100,0))</f>
        <v>0</v>
      </c>
      <c r="M738" s="380">
        <f ca="1">IF($A738="S",VTOTALBM,IF($A738=0,0,ROUND(SomaAgrupBM,15-13*ORÇAMENTO!$AF$11)))</f>
        <v>0</v>
      </c>
      <c r="N738" s="381">
        <f t="shared" ca="1" si="59"/>
        <v>0</v>
      </c>
      <c r="O738" s="127">
        <f ca="1">IF($A738="S",VTOTALBM,IF($A738=0,0,ROUND(SomaAgrupBM,15-13*ORÇAMENTO!$AF$11)))</f>
        <v>0</v>
      </c>
      <c r="Q738" s="382"/>
      <c r="R738" s="383"/>
      <c r="T738" s="119" t="str">
        <f t="shared" ca="1" si="60"/>
        <v/>
      </c>
      <c r="U738" s="172" t="str">
        <f t="shared" ca="1" si="61"/>
        <v/>
      </c>
      <c r="V738" s="173" t="str">
        <f ca="1">IF(AND($W738&gt;0,RegimeExecucao="Unitário"),$F738,"")</f>
        <v/>
      </c>
      <c r="W738" s="547">
        <f ca="1">IF($Y738&gt;0,CHOOSE(MATCH(RegimeExecucao,{"Unitário","Global"},0),IF($A738="S",$Y738/$X738,""),($Y738/$X738)*100),0)</f>
        <v>0</v>
      </c>
      <c r="X738" s="384" t="str">
        <f ca="1">IF($Y738&gt;0,CHOOSE(MATCH(RegimeExecucao,{"Unitário","Global"},0),IF($A738="S",ROUND($H738,ORÇAMENTO!$AF$10),""),ROUND($I738,ORÇAMENTO!$AF$11)),"")</f>
        <v/>
      </c>
      <c r="Y738" s="384">
        <f t="shared" ca="1" si="62"/>
        <v>0</v>
      </c>
      <c r="Z738" s="572"/>
      <c r="AB738" s="382"/>
      <c r="AC738" s="516"/>
      <c r="AD738" s="516"/>
      <c r="AE738" s="516"/>
      <c r="AF738" s="516"/>
      <c r="AG738" s="516"/>
      <c r="AH738" s="516"/>
      <c r="AI738" s="516"/>
      <c r="AJ738" s="516"/>
      <c r="AK738" s="516"/>
      <c r="AL738" s="516"/>
      <c r="AM738" s="383"/>
      <c r="AO738">
        <f ca="1">IF($A738="S",IF(BM!$I738=0,0,CHOOSE(MATCH(RegimeExecucao,{"Global","Unitário"},0),ROUND(ROUND(BM.MEDAcumulado,15-13*BM!$A$9)/100*BM!$I738,15-13*ORÇAMENTO!$AF$11),ROUND(ROUND(BM.MEDAcumulado,15-13*BM!$A$9)*ROUND(BM!$H738,15-13*ORÇAMENTO!$AF$10),15-13*ORÇAMENTO!$AF$11))),IF($A738=0,0,ROUND(SomaAgrupBM,15-13*ORÇAMENTO!$AF$11)))</f>
        <v>0</v>
      </c>
    </row>
    <row r="739" spans="1:41" x14ac:dyDescent="0.2">
      <c r="A739" t="str">
        <f ca="1">ORÇAMENTO!C739</f>
        <v>S</v>
      </c>
      <c r="B739">
        <f ca="1">ORÇAMENTO!D739</f>
        <v>0</v>
      </c>
      <c r="C739" s="116" t="str">
        <f t="shared" ca="1" si="56"/>
        <v/>
      </c>
      <c r="D739" s="119" t="str">
        <f ca="1">ORÇAMENTO!O739</f>
        <v>-</v>
      </c>
      <c r="E739" s="172" t="str">
        <f t="shared" ca="1" si="65"/>
        <v>(abra o arquivo 'Referência 02-2025.xlsm)</v>
      </c>
      <c r="F739" s="173" t="str">
        <f ca="1">IF(RegimeExecucao="Global","",ORÇAMENTO.Unidade)</f>
        <v>-</v>
      </c>
      <c r="G739" s="124">
        <f ca="1">IF(RegimeExecucao="Global","",ORÇAMENTO!T739)</f>
        <v>110.1</v>
      </c>
      <c r="H739" s="124">
        <f ca="1">IF(RegimeExecucao="Global","",ORÇAMENTO!W739)</f>
        <v>0</v>
      </c>
      <c r="I739" s="127">
        <f ca="1">ORÇAMENTO!X739</f>
        <v>0</v>
      </c>
      <c r="J739" s="378">
        <f ca="1">IF($A739="S",IF(CAIXA.Modo,BM.AFAnterior,BM.MEDAnterior),IF(AND(RegimeExecucao="Global",$I739&gt;0,COUNTIF($AB$13:$AM$13,BM.medicao-1)&gt;0),M739/$I739*100,0))</f>
        <v>0</v>
      </c>
      <c r="K739" s="124">
        <f t="shared" ca="1" si="58"/>
        <v>0</v>
      </c>
      <c r="L739" s="379">
        <f ca="1">IF($A739="S",IF(CAIXA.Modo,BM.AFAcumulado,BM.MEDAcumulado),IF(AND(RegimeExecucao="Global",$I739&gt;0,COUNTIF($AB$13:$AM$13,BM.medicao)&gt;0),O739/$I739*100,0))</f>
        <v>0</v>
      </c>
      <c r="M739" s="380">
        <f ca="1">IF($A739="S",VTOTALBM,IF($A739=0,0,ROUND(SomaAgrupBM,15-13*ORÇAMENTO!$AF$11)))</f>
        <v>0</v>
      </c>
      <c r="N739" s="381">
        <f t="shared" ca="1" si="59"/>
        <v>0</v>
      </c>
      <c r="O739" s="127">
        <f ca="1">IF($A739="S",VTOTALBM,IF($A739=0,0,ROUND(SomaAgrupBM,15-13*ORÇAMENTO!$AF$11)))</f>
        <v>0</v>
      </c>
      <c r="Q739" s="382"/>
      <c r="R739" s="383"/>
      <c r="T739" s="119" t="str">
        <f t="shared" ca="1" si="60"/>
        <v/>
      </c>
      <c r="U739" s="172" t="str">
        <f t="shared" ca="1" si="61"/>
        <v/>
      </c>
      <c r="V739" s="173" t="str">
        <f ca="1">IF(AND($W739&gt;0,RegimeExecucao="Unitário"),$F739,"")</f>
        <v/>
      </c>
      <c r="W739" s="547">
        <f ca="1">IF($Y739&gt;0,CHOOSE(MATCH(RegimeExecucao,{"Unitário","Global"},0),IF($A739="S",$Y739/$X739,""),($Y739/$X739)*100),0)</f>
        <v>0</v>
      </c>
      <c r="X739" s="384" t="str">
        <f ca="1">IF($Y739&gt;0,CHOOSE(MATCH(RegimeExecucao,{"Unitário","Global"},0),IF($A739="S",ROUND($H739,ORÇAMENTO!$AF$10),""),ROUND($I739,ORÇAMENTO!$AF$11)),"")</f>
        <v/>
      </c>
      <c r="Y739" s="384">
        <f t="shared" ca="1" si="62"/>
        <v>0</v>
      </c>
      <c r="Z739" s="572"/>
      <c r="AB739" s="382"/>
      <c r="AC739" s="516"/>
      <c r="AD739" s="516"/>
      <c r="AE739" s="516"/>
      <c r="AF739" s="516"/>
      <c r="AG739" s="516"/>
      <c r="AH739" s="516"/>
      <c r="AI739" s="516"/>
      <c r="AJ739" s="516"/>
      <c r="AK739" s="516"/>
      <c r="AL739" s="516"/>
      <c r="AM739" s="383"/>
      <c r="AO739">
        <f ca="1">IF($A739="S",IF(BM!$I739=0,0,CHOOSE(MATCH(RegimeExecucao,{"Global","Unitário"},0),ROUND(ROUND(BM.MEDAcumulado,15-13*BM!$A$9)/100*BM!$I739,15-13*ORÇAMENTO!$AF$11),ROUND(ROUND(BM.MEDAcumulado,15-13*BM!$A$9)*ROUND(BM!$H739,15-13*ORÇAMENTO!$AF$10),15-13*ORÇAMENTO!$AF$11))),IF($A739=0,0,ROUND(SomaAgrupBM,15-13*ORÇAMENTO!$AF$11)))</f>
        <v>0</v>
      </c>
    </row>
    <row r="740" spans="1:41" x14ac:dyDescent="0.2">
      <c r="A740">
        <f ca="1">ORÇAMENTO!C740</f>
        <v>3</v>
      </c>
      <c r="B740">
        <f ca="1">ORÇAMENTO!D740</f>
        <v>3</v>
      </c>
      <c r="C740" s="116" t="str">
        <f t="shared" ca="1" si="56"/>
        <v>F</v>
      </c>
      <c r="D740" s="119" t="str">
        <f ca="1">ORÇAMENTO!O740</f>
        <v>1.24.8.</v>
      </c>
      <c r="E740" s="172" t="str">
        <f t="shared" ca="1" si="65"/>
        <v>PINTURA</v>
      </c>
      <c r="F740" s="173" t="str">
        <f ca="1">IF(RegimeExecucao="Global","",ORÇAMENTO.Unidade)</f>
        <v>-</v>
      </c>
      <c r="G740" s="124">
        <f ca="1">IF(RegimeExecucao="Global","",ORÇAMENTO!T740)</f>
        <v>0</v>
      </c>
      <c r="H740" s="124">
        <f ca="1">IF(RegimeExecucao="Global","",ORÇAMENTO!W740)</f>
        <v>0</v>
      </c>
      <c r="I740" s="127">
        <f ca="1">ORÇAMENTO!X740</f>
        <v>0</v>
      </c>
      <c r="J740" s="378">
        <f ca="1">IF($A740="S",IF(CAIXA.Modo,BM.AFAnterior,BM.MEDAnterior),IF(AND(RegimeExecucao="Global",$I740&gt;0,COUNTIF($AB$13:$AM$13,BM.medicao-1)&gt;0),M740/$I740*100,0))</f>
        <v>0</v>
      </c>
      <c r="K740" s="124">
        <f t="shared" ca="1" si="58"/>
        <v>0</v>
      </c>
      <c r="L740" s="379">
        <f ca="1">IF($A740="S",IF(CAIXA.Modo,BM.AFAcumulado,BM.MEDAcumulado),IF(AND(RegimeExecucao="Global",$I740&gt;0,COUNTIF($AB$13:$AM$13,BM.medicao)&gt;0),O740/$I740*100,0))</f>
        <v>0</v>
      </c>
      <c r="M740" s="380">
        <f ca="1">IF($A740="S",VTOTALBM,IF($A740=0,0,ROUND(SomaAgrupBM,15-13*ORÇAMENTO!$AF$11)))</f>
        <v>0</v>
      </c>
      <c r="N740" s="381">
        <f t="shared" ca="1" si="59"/>
        <v>0</v>
      </c>
      <c r="O740" s="127">
        <f ca="1">IF($A740="S",VTOTALBM,IF($A740=0,0,ROUND(SomaAgrupBM,15-13*ORÇAMENTO!$AF$11)))</f>
        <v>0</v>
      </c>
      <c r="Q740" s="382"/>
      <c r="R740" s="383"/>
      <c r="T740" s="119" t="str">
        <f t="shared" ca="1" si="60"/>
        <v/>
      </c>
      <c r="U740" s="172" t="str">
        <f t="shared" ca="1" si="61"/>
        <v/>
      </c>
      <c r="V740" s="173" t="str">
        <f ca="1">IF(AND($W740&gt;0,RegimeExecucao="Unitário"),$F740,"")</f>
        <v/>
      </c>
      <c r="W740" s="547">
        <f ca="1">IF($Y740&gt;0,CHOOSE(MATCH(RegimeExecucao,{"Unitário","Global"},0),IF($A740="S",$Y740/$X740,""),($Y740/$X740)*100),0)</f>
        <v>0</v>
      </c>
      <c r="X740" s="384" t="str">
        <f ca="1">IF($Y740&gt;0,CHOOSE(MATCH(RegimeExecucao,{"Unitário","Global"},0),IF($A740="S",ROUND($H740,ORÇAMENTO!$AF$10),""),ROUND($I740,ORÇAMENTO!$AF$11)),"")</f>
        <v/>
      </c>
      <c r="Y740" s="384">
        <f t="shared" ca="1" si="62"/>
        <v>0</v>
      </c>
      <c r="Z740" s="572"/>
      <c r="AB740" s="382"/>
      <c r="AC740" s="516"/>
      <c r="AD740" s="516"/>
      <c r="AE740" s="516"/>
      <c r="AF740" s="516"/>
      <c r="AG740" s="516"/>
      <c r="AH740" s="516"/>
      <c r="AI740" s="516"/>
      <c r="AJ740" s="516"/>
      <c r="AK740" s="516"/>
      <c r="AL740" s="516"/>
      <c r="AM740" s="383"/>
      <c r="AO740">
        <f ca="1">IF($A740="S",IF(BM!$I740=0,0,CHOOSE(MATCH(RegimeExecucao,{"Global","Unitário"},0),ROUND(ROUND(BM.MEDAcumulado,15-13*BM!$A$9)/100*BM!$I740,15-13*ORÇAMENTO!$AF$11),ROUND(ROUND(BM.MEDAcumulado,15-13*BM!$A$9)*ROUND(BM!$H740,15-13*ORÇAMENTO!$AF$10),15-13*ORÇAMENTO!$AF$11))),IF($A740=0,0,ROUND(SomaAgrupBM,15-13*ORÇAMENTO!$AF$11)))</f>
        <v>0</v>
      </c>
    </row>
    <row r="741" spans="1:41" ht="25.5" x14ac:dyDescent="0.2">
      <c r="A741" t="str">
        <f ca="1">ORÇAMENTO!C741</f>
        <v>S</v>
      </c>
      <c r="B741">
        <f ca="1">ORÇAMENTO!D741</f>
        <v>0</v>
      </c>
      <c r="C741" s="116" t="str">
        <f t="shared" ca="1" si="56"/>
        <v/>
      </c>
      <c r="D741" s="119" t="str">
        <f ca="1">ORÇAMENTO!O741</f>
        <v>-</v>
      </c>
      <c r="E741" s="172" t="str">
        <f t="shared" ca="1" si="65"/>
        <v>(abra o arquivo 'Referência 02-2025.xlsm)</v>
      </c>
      <c r="F741" s="173" t="str">
        <f ca="1">IF(RegimeExecucao="Global","",ORÇAMENTO.Unidade)</f>
        <v>-</v>
      </c>
      <c r="G741" s="124">
        <f ca="1">IF(RegimeExecucao="Global","",ORÇAMENTO!T741)</f>
        <v>374.87</v>
      </c>
      <c r="H741" s="124">
        <f ca="1">IF(RegimeExecucao="Global","",ORÇAMENTO!W741)</f>
        <v>0</v>
      </c>
      <c r="I741" s="127">
        <f ca="1">ORÇAMENTO!X741</f>
        <v>0</v>
      </c>
      <c r="J741" s="378">
        <f ca="1">IF($A741="S",IF(CAIXA.Modo,BM.AFAnterior,BM.MEDAnterior),IF(AND(RegimeExecucao="Global",$I741&gt;0,COUNTIF($AB$13:$AM$13,BM.medicao-1)&gt;0),M741/$I741*100,0))</f>
        <v>0</v>
      </c>
      <c r="K741" s="124">
        <f t="shared" ca="1" si="58"/>
        <v>0</v>
      </c>
      <c r="L741" s="379">
        <f ca="1">IF($A741="S",IF(CAIXA.Modo,BM.AFAcumulado,BM.MEDAcumulado),IF(AND(RegimeExecucao="Global",$I741&gt;0,COUNTIF($AB$13:$AM$13,BM.medicao)&gt;0),O741/$I741*100,0))</f>
        <v>0</v>
      </c>
      <c r="M741" s="380">
        <f ca="1">IF($A741="S",VTOTALBM,IF($A741=0,0,ROUND(SomaAgrupBM,15-13*ORÇAMENTO!$AF$11)))</f>
        <v>0</v>
      </c>
      <c r="N741" s="381">
        <f t="shared" ca="1" si="59"/>
        <v>0</v>
      </c>
      <c r="O741" s="127">
        <f ca="1">IF($A741="S",VTOTALBM,IF($A741=0,0,ROUND(SomaAgrupBM,15-13*ORÇAMENTO!$AF$11)))</f>
        <v>0</v>
      </c>
      <c r="Q741" s="382"/>
      <c r="R741" s="383"/>
      <c r="T741" s="119" t="str">
        <f t="shared" ca="1" si="60"/>
        <v/>
      </c>
      <c r="U741" s="172" t="str">
        <f t="shared" ca="1" si="61"/>
        <v/>
      </c>
      <c r="V741" s="173" t="str">
        <f ca="1">IF(AND($W741&gt;0,RegimeExecucao="Unitário"),$F741,"")</f>
        <v/>
      </c>
      <c r="W741" s="547">
        <f ca="1">IF($Y741&gt;0,CHOOSE(MATCH(RegimeExecucao,{"Unitário","Global"},0),IF($A741="S",$Y741/$X741,""),($Y741/$X741)*100),0)</f>
        <v>0</v>
      </c>
      <c r="X741" s="384" t="str">
        <f ca="1">IF($Y741&gt;0,CHOOSE(MATCH(RegimeExecucao,{"Unitário","Global"},0),IF($A741="S",ROUND($H741,ORÇAMENTO!$AF$10),""),ROUND($I741,ORÇAMENTO!$AF$11)),"")</f>
        <v/>
      </c>
      <c r="Y741" s="384">
        <f t="shared" ca="1" si="62"/>
        <v>0</v>
      </c>
      <c r="Z741" s="572"/>
      <c r="AB741" s="382"/>
      <c r="AC741" s="516"/>
      <c r="AD741" s="516"/>
      <c r="AE741" s="516"/>
      <c r="AF741" s="516"/>
      <c r="AG741" s="516"/>
      <c r="AH741" s="516"/>
      <c r="AI741" s="516"/>
      <c r="AJ741" s="516"/>
      <c r="AK741" s="516"/>
      <c r="AL741" s="516"/>
      <c r="AM741" s="383"/>
      <c r="AO741">
        <f ca="1">IF($A741="S",IF(BM!$I741=0,0,CHOOSE(MATCH(RegimeExecucao,{"Global","Unitário"},0),ROUND(ROUND(BM.MEDAcumulado,15-13*BM!$A$9)/100*BM!$I741,15-13*ORÇAMENTO!$AF$11),ROUND(ROUND(BM.MEDAcumulado,15-13*BM!$A$9)*ROUND(BM!$H741,15-13*ORÇAMENTO!$AF$10),15-13*ORÇAMENTO!$AF$11))),IF($A741=0,0,ROUND(SomaAgrupBM,15-13*ORÇAMENTO!$AF$11)))</f>
        <v>0</v>
      </c>
    </row>
    <row r="742" spans="1:41" ht="38.25" x14ac:dyDescent="0.2">
      <c r="A742" t="str">
        <f ca="1">ORÇAMENTO!C742</f>
        <v>S</v>
      </c>
      <c r="B742">
        <f ca="1">ORÇAMENTO!D742</f>
        <v>0</v>
      </c>
      <c r="C742" s="116" t="str">
        <f t="shared" ca="1" si="56"/>
        <v/>
      </c>
      <c r="D742" s="119" t="str">
        <f ca="1">ORÇAMENTO!O742</f>
        <v>-</v>
      </c>
      <c r="E742" s="172" t="str">
        <f t="shared" ca="1" si="65"/>
        <v>(abra o arquivo 'Referência 02-2025.xlsm)</v>
      </c>
      <c r="F742" s="173" t="str">
        <f ca="1">IF(RegimeExecucao="Global","",ORÇAMENTO.Unidade)</f>
        <v>-</v>
      </c>
      <c r="G742" s="124">
        <f ca="1">IF(RegimeExecucao="Global","",ORÇAMENTO!T742)</f>
        <v>374.87</v>
      </c>
      <c r="H742" s="124">
        <f ca="1">IF(RegimeExecucao="Global","",ORÇAMENTO!W742)</f>
        <v>0</v>
      </c>
      <c r="I742" s="127">
        <f ca="1">ORÇAMENTO!X742</f>
        <v>0</v>
      </c>
      <c r="J742" s="378">
        <f ca="1">IF($A742="S",IF(CAIXA.Modo,BM.AFAnterior,BM.MEDAnterior),IF(AND(RegimeExecucao="Global",$I742&gt;0,COUNTIF($AB$13:$AM$13,BM.medicao-1)&gt;0),M742/$I742*100,0))</f>
        <v>0</v>
      </c>
      <c r="K742" s="124">
        <f t="shared" ca="1" si="58"/>
        <v>0</v>
      </c>
      <c r="L742" s="379">
        <f ca="1">IF($A742="S",IF(CAIXA.Modo,BM.AFAcumulado,BM.MEDAcumulado),IF(AND(RegimeExecucao="Global",$I742&gt;0,COUNTIF($AB$13:$AM$13,BM.medicao)&gt;0),O742/$I742*100,0))</f>
        <v>0</v>
      </c>
      <c r="M742" s="380">
        <f ca="1">IF($A742="S",VTOTALBM,IF($A742=0,0,ROUND(SomaAgrupBM,15-13*ORÇAMENTO!$AF$11)))</f>
        <v>0</v>
      </c>
      <c r="N742" s="381">
        <f t="shared" ca="1" si="59"/>
        <v>0</v>
      </c>
      <c r="O742" s="127">
        <f ca="1">IF($A742="S",VTOTALBM,IF($A742=0,0,ROUND(SomaAgrupBM,15-13*ORÇAMENTO!$AF$11)))</f>
        <v>0</v>
      </c>
      <c r="Q742" s="382"/>
      <c r="R742" s="383"/>
      <c r="T742" s="119" t="str">
        <f t="shared" ca="1" si="60"/>
        <v/>
      </c>
      <c r="U742" s="172" t="str">
        <f t="shared" ca="1" si="61"/>
        <v/>
      </c>
      <c r="V742" s="173" t="str">
        <f ca="1">IF(AND($W742&gt;0,RegimeExecucao="Unitário"),$F742,"")</f>
        <v/>
      </c>
      <c r="W742" s="547">
        <f ca="1">IF($Y742&gt;0,CHOOSE(MATCH(RegimeExecucao,{"Unitário","Global"},0),IF($A742="S",$Y742/$X742,""),($Y742/$X742)*100),0)</f>
        <v>0</v>
      </c>
      <c r="X742" s="384" t="str">
        <f ca="1">IF($Y742&gt;0,CHOOSE(MATCH(RegimeExecucao,{"Unitário","Global"},0),IF($A742="S",ROUND($H742,ORÇAMENTO!$AF$10),""),ROUND($I742,ORÇAMENTO!$AF$11)),"")</f>
        <v/>
      </c>
      <c r="Y742" s="384">
        <f t="shared" ca="1" si="62"/>
        <v>0</v>
      </c>
      <c r="Z742" s="572"/>
      <c r="AB742" s="382"/>
      <c r="AC742" s="516"/>
      <c r="AD742" s="516"/>
      <c r="AE742" s="516"/>
      <c r="AF742" s="516"/>
      <c r="AG742" s="516"/>
      <c r="AH742" s="516"/>
      <c r="AI742" s="516"/>
      <c r="AJ742" s="516"/>
      <c r="AK742" s="516"/>
      <c r="AL742" s="516"/>
      <c r="AM742" s="383"/>
      <c r="AO742">
        <f ca="1">IF($A742="S",IF(BM!$I742=0,0,CHOOSE(MATCH(RegimeExecucao,{"Global","Unitário"},0),ROUND(ROUND(BM.MEDAcumulado,15-13*BM!$A$9)/100*BM!$I742,15-13*ORÇAMENTO!$AF$11),ROUND(ROUND(BM.MEDAcumulado,15-13*BM!$A$9)*ROUND(BM!$H742,15-13*ORÇAMENTO!$AF$10),15-13*ORÇAMENTO!$AF$11))),IF($A742=0,0,ROUND(SomaAgrupBM,15-13*ORÇAMENTO!$AF$11)))</f>
        <v>0</v>
      </c>
    </row>
    <row r="743" spans="1:41" x14ac:dyDescent="0.2">
      <c r="A743">
        <f ca="1">ORÇAMENTO!C743</f>
        <v>3</v>
      </c>
      <c r="B743">
        <f ca="1">ORÇAMENTO!D743</f>
        <v>4</v>
      </c>
      <c r="C743" s="116" t="str">
        <f t="shared" ca="1" si="56"/>
        <v>F</v>
      </c>
      <c r="D743" s="119" t="str">
        <f ca="1">ORÇAMENTO!O743</f>
        <v>1.24.9.</v>
      </c>
      <c r="E743" s="172" t="str">
        <f t="shared" ca="1" si="65"/>
        <v>SERVIÇOS FINAIS</v>
      </c>
      <c r="F743" s="173" t="str">
        <f ca="1">IF(RegimeExecucao="Global","",ORÇAMENTO.Unidade)</f>
        <v>-</v>
      </c>
      <c r="G743" s="124">
        <f ca="1">IF(RegimeExecucao="Global","",ORÇAMENTO!T743)</f>
        <v>0</v>
      </c>
      <c r="H743" s="124">
        <f ca="1">IF(RegimeExecucao="Global","",ORÇAMENTO!W743)</f>
        <v>0</v>
      </c>
      <c r="I743" s="127">
        <f ca="1">ORÇAMENTO!X743</f>
        <v>0</v>
      </c>
      <c r="J743" s="378">
        <f ca="1">IF($A743="S",IF(CAIXA.Modo,BM.AFAnterior,BM.MEDAnterior),IF(AND(RegimeExecucao="Global",$I743&gt;0,COUNTIF($AB$13:$AM$13,BM.medicao-1)&gt;0),M743/$I743*100,0))</f>
        <v>0</v>
      </c>
      <c r="K743" s="124">
        <f t="shared" ca="1" si="58"/>
        <v>0</v>
      </c>
      <c r="L743" s="379">
        <f ca="1">IF($A743="S",IF(CAIXA.Modo,BM.AFAcumulado,BM.MEDAcumulado),IF(AND(RegimeExecucao="Global",$I743&gt;0,COUNTIF($AB$13:$AM$13,BM.medicao)&gt;0),O743/$I743*100,0))</f>
        <v>0</v>
      </c>
      <c r="M743" s="380">
        <f ca="1">IF($A743="S",VTOTALBM,IF($A743=0,0,ROUND(SomaAgrupBM,15-13*ORÇAMENTO!$AF$11)))</f>
        <v>0</v>
      </c>
      <c r="N743" s="381">
        <f t="shared" ca="1" si="59"/>
        <v>0</v>
      </c>
      <c r="O743" s="127">
        <f ca="1">IF($A743="S",VTOTALBM,IF($A743=0,0,ROUND(SomaAgrupBM,15-13*ORÇAMENTO!$AF$11)))</f>
        <v>0</v>
      </c>
      <c r="Q743" s="382"/>
      <c r="R743" s="383"/>
      <c r="T743" s="119" t="str">
        <f t="shared" ca="1" si="60"/>
        <v/>
      </c>
      <c r="U743" s="172" t="str">
        <f t="shared" ca="1" si="61"/>
        <v/>
      </c>
      <c r="V743" s="173" t="str">
        <f ca="1">IF(AND($W743&gt;0,RegimeExecucao="Unitário"),$F743,"")</f>
        <v/>
      </c>
      <c r="W743" s="547">
        <f ca="1">IF($Y743&gt;0,CHOOSE(MATCH(RegimeExecucao,{"Unitário","Global"},0),IF($A743="S",$Y743/$X743,""),($Y743/$X743)*100),0)</f>
        <v>0</v>
      </c>
      <c r="X743" s="384" t="str">
        <f ca="1">IF($Y743&gt;0,CHOOSE(MATCH(RegimeExecucao,{"Unitário","Global"},0),IF($A743="S",ROUND($H743,ORÇAMENTO!$AF$10),""),ROUND($I743,ORÇAMENTO!$AF$11)),"")</f>
        <v/>
      </c>
      <c r="Y743" s="384">
        <f t="shared" ca="1" si="62"/>
        <v>0</v>
      </c>
      <c r="Z743" s="572"/>
      <c r="AB743" s="382"/>
      <c r="AC743" s="516"/>
      <c r="AD743" s="516"/>
      <c r="AE743" s="516"/>
      <c r="AF743" s="516"/>
      <c r="AG743" s="516"/>
      <c r="AH743" s="516"/>
      <c r="AI743" s="516"/>
      <c r="AJ743" s="516"/>
      <c r="AK743" s="516"/>
      <c r="AL743" s="516"/>
      <c r="AM743" s="383"/>
      <c r="AO743">
        <f ca="1">IF($A743="S",IF(BM!$I743=0,0,CHOOSE(MATCH(RegimeExecucao,{"Global","Unitário"},0),ROUND(ROUND(BM.MEDAcumulado,15-13*BM!$A$9)/100*BM!$I743,15-13*ORÇAMENTO!$AF$11),ROUND(ROUND(BM.MEDAcumulado,15-13*BM!$A$9)*ROUND(BM!$H743,15-13*ORÇAMENTO!$AF$10),15-13*ORÇAMENTO!$AF$11))),IF($A743=0,0,ROUND(SomaAgrupBM,15-13*ORÇAMENTO!$AF$11)))</f>
        <v>0</v>
      </c>
    </row>
    <row r="744" spans="1:41" x14ac:dyDescent="0.2">
      <c r="A744" t="str">
        <f ca="1">ORÇAMENTO!C744</f>
        <v>S</v>
      </c>
      <c r="B744">
        <f ca="1">ORÇAMENTO!D744</f>
        <v>0</v>
      </c>
      <c r="C744" s="116" t="str">
        <f t="shared" ca="1" si="56"/>
        <v/>
      </c>
      <c r="D744" s="119" t="str">
        <f ca="1">ORÇAMENTO!O744</f>
        <v>-</v>
      </c>
      <c r="E744" s="172" t="str">
        <f t="shared" ca="1" si="65"/>
        <v>(abra o arquivo 'Referência 02-2025.xlsm)</v>
      </c>
      <c r="F744" s="173" t="str">
        <f ca="1">IF(RegimeExecucao="Global","",ORÇAMENTO.Unidade)</f>
        <v>-</v>
      </c>
      <c r="G744" s="124">
        <f ca="1">IF(RegimeExecucao="Global","",ORÇAMENTO!T744)</f>
        <v>1545.99</v>
      </c>
      <c r="H744" s="124">
        <f ca="1">IF(RegimeExecucao="Global","",ORÇAMENTO!W744)</f>
        <v>0</v>
      </c>
      <c r="I744" s="127">
        <f ca="1">ORÇAMENTO!X744</f>
        <v>0</v>
      </c>
      <c r="J744" s="378">
        <f ca="1">IF($A744="S",IF(CAIXA.Modo,BM.AFAnterior,BM.MEDAnterior),IF(AND(RegimeExecucao="Global",$I744&gt;0,COUNTIF($AB$13:$AM$13,BM.medicao-1)&gt;0),M744/$I744*100,0))</f>
        <v>0</v>
      </c>
      <c r="K744" s="124">
        <f t="shared" ca="1" si="58"/>
        <v>0</v>
      </c>
      <c r="L744" s="379">
        <f ca="1">IF($A744="S",IF(CAIXA.Modo,BM.AFAcumulado,BM.MEDAcumulado),IF(AND(RegimeExecucao="Global",$I744&gt;0,COUNTIF($AB$13:$AM$13,BM.medicao)&gt;0),O744/$I744*100,0))</f>
        <v>0</v>
      </c>
      <c r="M744" s="380">
        <f ca="1">IF($A744="S",VTOTALBM,IF($A744=0,0,ROUND(SomaAgrupBM,15-13*ORÇAMENTO!$AF$11)))</f>
        <v>0</v>
      </c>
      <c r="N744" s="381">
        <f t="shared" ca="1" si="59"/>
        <v>0</v>
      </c>
      <c r="O744" s="127">
        <f ca="1">IF($A744="S",VTOTALBM,IF($A744=0,0,ROUND(SomaAgrupBM,15-13*ORÇAMENTO!$AF$11)))</f>
        <v>0</v>
      </c>
      <c r="Q744" s="382"/>
      <c r="R744" s="383"/>
      <c r="T744" s="119" t="str">
        <f t="shared" ca="1" si="60"/>
        <v/>
      </c>
      <c r="U744" s="172" t="str">
        <f t="shared" ca="1" si="61"/>
        <v/>
      </c>
      <c r="V744" s="173" t="str">
        <f ca="1">IF(AND($W744&gt;0,RegimeExecucao="Unitário"),$F744,"")</f>
        <v/>
      </c>
      <c r="W744" s="547">
        <f ca="1">IF($Y744&gt;0,CHOOSE(MATCH(RegimeExecucao,{"Unitário","Global"},0),IF($A744="S",$Y744/$X744,""),($Y744/$X744)*100),0)</f>
        <v>0</v>
      </c>
      <c r="X744" s="384" t="str">
        <f ca="1">IF($Y744&gt;0,CHOOSE(MATCH(RegimeExecucao,{"Unitário","Global"},0),IF($A744="S",ROUND($H744,ORÇAMENTO!$AF$10),""),ROUND($I744,ORÇAMENTO!$AF$11)),"")</f>
        <v/>
      </c>
      <c r="Y744" s="384">
        <f t="shared" ca="1" si="62"/>
        <v>0</v>
      </c>
      <c r="Z744" s="572"/>
      <c r="AB744" s="382"/>
      <c r="AC744" s="516"/>
      <c r="AD744" s="516"/>
      <c r="AE744" s="516"/>
      <c r="AF744" s="516"/>
      <c r="AG744" s="516"/>
      <c r="AH744" s="516"/>
      <c r="AI744" s="516"/>
      <c r="AJ744" s="516"/>
      <c r="AK744" s="516"/>
      <c r="AL744" s="516"/>
      <c r="AM744" s="383"/>
      <c r="AO744">
        <f ca="1">IF($A744="S",IF(BM!$I744=0,0,CHOOSE(MATCH(RegimeExecucao,{"Global","Unitário"},0),ROUND(ROUND(BM.MEDAcumulado,15-13*BM!$A$9)/100*BM!$I744,15-13*ORÇAMENTO!$AF$11),ROUND(ROUND(BM.MEDAcumulado,15-13*BM!$A$9)*ROUND(BM!$H744,15-13*ORÇAMENTO!$AF$10),15-13*ORÇAMENTO!$AF$11))),IF($A744=0,0,ROUND(SomaAgrupBM,15-13*ORÇAMENTO!$AF$11)))</f>
        <v>0</v>
      </c>
    </row>
    <row r="745" spans="1:41" x14ac:dyDescent="0.2">
      <c r="A745" t="str">
        <f ca="1">ORÇAMENTO!C745</f>
        <v>S</v>
      </c>
      <c r="B745">
        <f ca="1">ORÇAMENTO!D745</f>
        <v>0</v>
      </c>
      <c r="C745" s="116" t="str">
        <f t="shared" ca="1" si="56"/>
        <v/>
      </c>
      <c r="D745" s="119" t="str">
        <f ca="1">ORÇAMENTO!O745</f>
        <v>-</v>
      </c>
      <c r="E745" s="172" t="str">
        <f t="shared" ca="1" si="65"/>
        <v>(abra o arquivo 'Referência 02-2025.xlsm)</v>
      </c>
      <c r="F745" s="173" t="str">
        <f ca="1">IF(RegimeExecucao="Global","",ORÇAMENTO.Unidade)</f>
        <v>-</v>
      </c>
      <c r="G745" s="124">
        <f ca="1">IF(RegimeExecucao="Global","",ORÇAMENTO!T745)</f>
        <v>1545.99</v>
      </c>
      <c r="H745" s="124">
        <f ca="1">IF(RegimeExecucao="Global","",ORÇAMENTO!W745)</f>
        <v>0</v>
      </c>
      <c r="I745" s="127">
        <f ca="1">ORÇAMENTO!X745</f>
        <v>0</v>
      </c>
      <c r="J745" s="378">
        <f ca="1">IF($A745="S",IF(CAIXA.Modo,BM.AFAnterior,BM.MEDAnterior),IF(AND(RegimeExecucao="Global",$I745&gt;0,COUNTIF($AB$13:$AM$13,BM.medicao-1)&gt;0),M745/$I745*100,0))</f>
        <v>0</v>
      </c>
      <c r="K745" s="124">
        <f t="shared" ca="1" si="58"/>
        <v>0</v>
      </c>
      <c r="L745" s="379">
        <f ca="1">IF($A745="S",IF(CAIXA.Modo,BM.AFAcumulado,BM.MEDAcumulado),IF(AND(RegimeExecucao="Global",$I745&gt;0,COUNTIF($AB$13:$AM$13,BM.medicao)&gt;0),O745/$I745*100,0))</f>
        <v>0</v>
      </c>
      <c r="M745" s="380">
        <f ca="1">IF($A745="S",VTOTALBM,IF($A745=0,0,ROUND(SomaAgrupBM,15-13*ORÇAMENTO!$AF$11)))</f>
        <v>0</v>
      </c>
      <c r="N745" s="381">
        <f t="shared" ca="1" si="59"/>
        <v>0</v>
      </c>
      <c r="O745" s="127">
        <f ca="1">IF($A745="S",VTOTALBM,IF($A745=0,0,ROUND(SomaAgrupBM,15-13*ORÇAMENTO!$AF$11)))</f>
        <v>0</v>
      </c>
      <c r="Q745" s="382"/>
      <c r="R745" s="383"/>
      <c r="T745" s="119" t="str">
        <f t="shared" ca="1" si="60"/>
        <v/>
      </c>
      <c r="U745" s="172" t="str">
        <f t="shared" ca="1" si="61"/>
        <v/>
      </c>
      <c r="V745" s="173" t="str">
        <f ca="1">IF(AND($W745&gt;0,RegimeExecucao="Unitário"),$F745,"")</f>
        <v/>
      </c>
      <c r="W745" s="547">
        <f ca="1">IF($Y745&gt;0,CHOOSE(MATCH(RegimeExecucao,{"Unitário","Global"},0),IF($A745="S",$Y745/$X745,""),($Y745/$X745)*100),0)</f>
        <v>0</v>
      </c>
      <c r="X745" s="384" t="str">
        <f ca="1">IF($Y745&gt;0,CHOOSE(MATCH(RegimeExecucao,{"Unitário","Global"},0),IF($A745="S",ROUND($H745,ORÇAMENTO!$AF$10),""),ROUND($I745,ORÇAMENTO!$AF$11)),"")</f>
        <v/>
      </c>
      <c r="Y745" s="384">
        <f t="shared" ca="1" si="62"/>
        <v>0</v>
      </c>
      <c r="Z745" s="572"/>
      <c r="AB745" s="382"/>
      <c r="AC745" s="516"/>
      <c r="AD745" s="516"/>
      <c r="AE745" s="516"/>
      <c r="AF745" s="516"/>
      <c r="AG745" s="516"/>
      <c r="AH745" s="516"/>
      <c r="AI745" s="516"/>
      <c r="AJ745" s="516"/>
      <c r="AK745" s="516"/>
      <c r="AL745" s="516"/>
      <c r="AM745" s="383"/>
      <c r="AO745">
        <f ca="1">IF($A745="S",IF(BM!$I745=0,0,CHOOSE(MATCH(RegimeExecucao,{"Global","Unitário"},0),ROUND(ROUND(BM.MEDAcumulado,15-13*BM!$A$9)/100*BM!$I745,15-13*ORÇAMENTO!$AF$11),ROUND(ROUND(BM.MEDAcumulado,15-13*BM!$A$9)*ROUND(BM!$H745,15-13*ORÇAMENTO!$AF$10),15-13*ORÇAMENTO!$AF$11))),IF($A745=0,0,ROUND(SomaAgrupBM,15-13*ORÇAMENTO!$AF$11)))</f>
        <v>0</v>
      </c>
    </row>
    <row r="746" spans="1:41" ht="25.5" x14ac:dyDescent="0.2">
      <c r="A746" t="str">
        <f ca="1">ORÇAMENTO!C746</f>
        <v>S</v>
      </c>
      <c r="B746">
        <f ca="1">ORÇAMENTO!D746</f>
        <v>0</v>
      </c>
      <c r="C746" s="116" t="str">
        <f ca="1">IF(OR($I746&gt;0,$A746=1,$A746=2,$A746=3,$A746=4),"F","")</f>
        <v/>
      </c>
      <c r="D746" s="119" t="str">
        <f ca="1">ORÇAMENTO!O746</f>
        <v>-</v>
      </c>
      <c r="E746" s="172" t="str">
        <f ca="1">ORÇAMENTO.Descricao</f>
        <v>(abra o arquivo 'Referência 02-2025.xlsm)</v>
      </c>
      <c r="F746" s="173" t="str">
        <f ca="1">IF(RegimeExecucao="Global","",ORÇAMENTO.Unidade)</f>
        <v>-</v>
      </c>
      <c r="G746" s="124">
        <f ca="1">IF(RegimeExecucao="Global","",ORÇAMENTO!T746)</f>
        <v>1</v>
      </c>
      <c r="H746" s="124">
        <f ca="1">IF(RegimeExecucao="Global","",ORÇAMENTO!W746)</f>
        <v>0</v>
      </c>
      <c r="I746" s="127">
        <f ca="1">ORÇAMENTO!X746</f>
        <v>0</v>
      </c>
      <c r="J746" s="378">
        <f ca="1">IF($A746="S",IF(CAIXA.Modo,BM.AFAnterior,BM.MEDAnterior),IF(AND(RegimeExecucao="Global",$I746&gt;0,COUNTIF($AB$13:$AM$13,BM.medicao-1)&gt;0),M746/$I746*100,0))</f>
        <v>0</v>
      </c>
      <c r="K746" s="124">
        <f ca="1">L746-J746</f>
        <v>0</v>
      </c>
      <c r="L746" s="379">
        <f ca="1">IF($A746="S",IF(CAIXA.Modo,BM.AFAcumulado,BM.MEDAcumulado),IF(AND(RegimeExecucao="Global",$I746&gt;0,COUNTIF($AB$13:$AM$13,BM.medicao)&gt;0),O746/$I746*100,0))</f>
        <v>0</v>
      </c>
      <c r="M746" s="380">
        <f ca="1">IF($A746="S",VTOTALBM,IF($A746=0,0,ROUND(SomaAgrupBM,15-13*ORÇAMENTO!$AF$11)))</f>
        <v>0</v>
      </c>
      <c r="N746" s="381">
        <f ca="1">O746-M746</f>
        <v>0</v>
      </c>
      <c r="O746" s="127">
        <f ca="1">IF($A746="S",VTOTALBM,IF($A746=0,0,ROUND(SomaAgrupBM,15-13*ORÇAMENTO!$AF$11)))</f>
        <v>0</v>
      </c>
      <c r="Q746" s="382"/>
      <c r="R746" s="383"/>
      <c r="T746" s="119" t="str">
        <f ca="1">IF($W746&gt;0,$D746,"")</f>
        <v/>
      </c>
      <c r="U746" s="172" t="str">
        <f ca="1">IF($W746&gt;0,$E746,"")</f>
        <v/>
      </c>
      <c r="V746" s="173" t="str">
        <f ca="1">IF(AND($W746&gt;0,RegimeExecucao="Unitário"),$F746,"")</f>
        <v/>
      </c>
      <c r="W746" s="547">
        <f ca="1">IF($Y746&gt;0,CHOOSE(MATCH(RegimeExecucao,{"Unitário","Global"},0),IF($A746="S",$Y746/$X746,""),($Y746/$X746)*100),0)</f>
        <v>0</v>
      </c>
      <c r="X746" s="384" t="str">
        <f ca="1">IF($Y746&gt;0,CHOOSE(MATCH(RegimeExecucao,{"Unitário","Global"},0),IF($A746="S",ROUND($H746,ORÇAMENTO!$AF$10),""),ROUND($I746,ORÇAMENTO!$AF$11)),"")</f>
        <v/>
      </c>
      <c r="Y746" s="384">
        <f ca="1">AO746-O746</f>
        <v>0</v>
      </c>
      <c r="Z746" s="572"/>
      <c r="AB746" s="382"/>
      <c r="AC746" s="516"/>
      <c r="AD746" s="516"/>
      <c r="AE746" s="516"/>
      <c r="AF746" s="516"/>
      <c r="AG746" s="516"/>
      <c r="AH746" s="516"/>
      <c r="AI746" s="516"/>
      <c r="AJ746" s="516"/>
      <c r="AK746" s="516"/>
      <c r="AL746" s="516"/>
      <c r="AM746" s="383"/>
      <c r="AO746">
        <f ca="1">IF($A746="S",IF(BM!$I746=0,0,CHOOSE(MATCH(RegimeExecucao,{"Global","Unitário"},0),ROUND(ROUND(BM.MEDAcumulado,15-13*BM!$A$9)/100*BM!$I746,15-13*ORÇAMENTO!$AF$11),ROUND(ROUND(BM.MEDAcumulado,15-13*BM!$A$9)*ROUND(BM!$H746,15-13*ORÇAMENTO!$AF$10),15-13*ORÇAMENTO!$AF$11))),IF($A746=0,0,ROUND(SomaAgrupBM,15-13*ORÇAMENTO!$AF$11)))</f>
        <v>0</v>
      </c>
    </row>
    <row r="747" spans="1:41" ht="5.0999999999999996" customHeight="1" x14ac:dyDescent="0.2">
      <c r="C747" s="116" t="s">
        <v>246</v>
      </c>
      <c r="D747" s="484"/>
      <c r="E747" s="485"/>
      <c r="F747" s="485"/>
      <c r="G747" s="485"/>
      <c r="H747" s="485"/>
      <c r="I747" s="486"/>
      <c r="J747" s="484"/>
      <c r="K747" s="485"/>
      <c r="L747" s="486"/>
      <c r="M747" s="513"/>
      <c r="N747" s="514"/>
      <c r="O747" s="515"/>
      <c r="Q747" s="484"/>
      <c r="R747" s="486"/>
      <c r="T747" s="484"/>
      <c r="U747" s="485"/>
      <c r="V747" s="485"/>
      <c r="W747" s="485"/>
      <c r="X747" s="485"/>
      <c r="Y747" s="485"/>
      <c r="Z747" s="486"/>
      <c r="AB747" s="484"/>
      <c r="AC747" s="485"/>
      <c r="AD747" s="485"/>
      <c r="AE747" s="485"/>
      <c r="AF747" s="485"/>
      <c r="AG747" s="485"/>
      <c r="AH747" s="485"/>
      <c r="AI747" s="485"/>
      <c r="AJ747" s="485"/>
      <c r="AK747" s="485"/>
      <c r="AL747" s="485"/>
      <c r="AM747" s="486"/>
    </row>
    <row r="749" spans="1:41" ht="14.25" x14ac:dyDescent="0.2">
      <c r="D749" s="681" t="s">
        <v>187</v>
      </c>
      <c r="E749" s="681"/>
      <c r="F749" s="681"/>
      <c r="G749" s="681"/>
      <c r="H749" s="681"/>
      <c r="I749" s="681"/>
      <c r="J749" s="681"/>
      <c r="K749" s="681"/>
      <c r="L749" s="681"/>
      <c r="M749" s="681"/>
      <c r="N749" s="681"/>
      <c r="O749" s="681"/>
      <c r="T749" s="682" t="s">
        <v>353</v>
      </c>
      <c r="U749" s="682"/>
      <c r="V749" s="682"/>
      <c r="W749" s="682"/>
      <c r="X749" s="682"/>
      <c r="Y749" s="682"/>
      <c r="Z749" s="682"/>
    </row>
    <row r="750" spans="1:41" ht="12.75" customHeight="1" x14ac:dyDescent="0.2">
      <c r="D750" s="620"/>
      <c r="E750" s="620"/>
      <c r="F750" s="620"/>
      <c r="G750" s="620"/>
      <c r="H750" s="620"/>
      <c r="I750" s="620"/>
      <c r="J750" s="620"/>
      <c r="K750" s="620"/>
      <c r="L750" s="620"/>
      <c r="M750" s="620"/>
      <c r="N750" s="620"/>
      <c r="O750" s="620"/>
      <c r="T750" s="683"/>
      <c r="U750" s="683"/>
      <c r="V750" s="683"/>
      <c r="W750" s="683"/>
      <c r="X750" s="683"/>
      <c r="Y750" s="683"/>
      <c r="Z750" s="683"/>
    </row>
    <row r="751" spans="1:41" ht="12.75" customHeight="1" x14ac:dyDescent="0.2">
      <c r="D751" s="620"/>
      <c r="E751" s="620"/>
      <c r="F751" s="620"/>
      <c r="G751" s="620"/>
      <c r="H751" s="620"/>
      <c r="I751" s="620"/>
      <c r="J751" s="620"/>
      <c r="K751" s="620"/>
      <c r="L751" s="620"/>
      <c r="M751" s="620"/>
      <c r="N751" s="620"/>
      <c r="O751" s="620"/>
      <c r="T751" s="683"/>
      <c r="U751" s="683"/>
      <c r="V751" s="683"/>
      <c r="W751" s="683"/>
      <c r="X751" s="683"/>
      <c r="Y751" s="683"/>
      <c r="Z751" s="683"/>
    </row>
    <row r="752" spans="1:41" ht="12.75" customHeight="1" x14ac:dyDescent="0.2">
      <c r="D752" s="620"/>
      <c r="E752" s="620"/>
      <c r="F752" s="620"/>
      <c r="G752" s="620"/>
      <c r="H752" s="620"/>
      <c r="I752" s="620"/>
      <c r="J752" s="620"/>
      <c r="K752" s="620"/>
      <c r="L752" s="620"/>
      <c r="M752" s="620"/>
      <c r="N752" s="620"/>
      <c r="O752" s="620"/>
      <c r="T752" s="683"/>
      <c r="U752" s="683"/>
      <c r="V752" s="683"/>
      <c r="W752" s="683"/>
      <c r="X752" s="683"/>
      <c r="Y752" s="683"/>
      <c r="Z752" s="683"/>
    </row>
    <row r="753" spans="4:26" ht="14.25" x14ac:dyDescent="0.2">
      <c r="D753" s="534"/>
      <c r="E753" s="534"/>
      <c r="F753" s="534"/>
      <c r="G753" s="534"/>
      <c r="H753" s="534"/>
      <c r="I753" s="534"/>
      <c r="J753" s="534"/>
      <c r="K753" s="534"/>
      <c r="L753" s="534"/>
      <c r="M753" s="534"/>
      <c r="N753" s="534"/>
      <c r="O753" s="534"/>
    </row>
    <row r="754" spans="4:26" ht="15" customHeight="1" x14ac:dyDescent="0.25">
      <c r="D754" s="621" t="str">
        <f ca="1">IF(OR(AND(ORÇAMENTO!$AF$7=FALSE,ORÇAMENTO!$AF$10=FALSE,RegimeExecucao="Global"),AND(ORÇAMENTO!$AF$7=FALSE,ORÇAMENTO!$AF$10=FALSE,ORÇAMENTO!$AF$11=FALSE,BM!$A$9=FALSE)),"Não foi considerado arredondamento nos valores da planilha.",CONCATENATE("Foi considerado arredondamento de duas casas decimais para ",IF(AND(RegimeExecucao="Unitário",ORÇAMENTO!$AF$7=TRUE),"Quantidade; ",""),IF(AND(RegimeExecucao="Unitário",ORÇAMENTO!$AF$10=TRUE),"Preço unitário; ",""),IF(ORÇAMENTO!$AF$11=TRUE,"Preço total; ",""),,IF(BM!$A$9=TRUE,"Medição.","")))</f>
        <v>Foi considerado arredondamento de duas casas decimais para Quantidade; Preço unitário; Preço total; Medição.</v>
      </c>
      <c r="E754" s="621"/>
      <c r="F754" s="621"/>
      <c r="G754" s="621"/>
      <c r="H754" s="621"/>
      <c r="I754" s="621"/>
      <c r="J754" s="621"/>
      <c r="K754" s="621"/>
      <c r="L754" s="621"/>
    </row>
    <row r="755" spans="4:26" x14ac:dyDescent="0.2">
      <c r="D755" s="679"/>
      <c r="E755" s="679"/>
      <c r="F755" s="679"/>
      <c r="G755" s="679"/>
      <c r="H755" s="679"/>
      <c r="I755" s="679"/>
    </row>
    <row r="756" spans="4:26" x14ac:dyDescent="0.2">
      <c r="D756" s="677" t="str">
        <f>IF(CAIXA.Modo,"","Os serviços medidos informados neste BM encontram-se concluídos, estão em conformidade com os projetos e especificações aceitos pela CAIXA e foram executados de acordo com as normas técnicas.")</f>
        <v>Os serviços medidos informados neste BM encontram-se concluídos, estão em conformidade com os projetos e especificações aceitos pela CAIXA e foram executados de acordo com as normas técnicas.</v>
      </c>
      <c r="E756" s="677"/>
      <c r="F756" s="677"/>
      <c r="G756" s="677"/>
      <c r="H756" s="677"/>
      <c r="I756" s="677"/>
      <c r="J756" s="677"/>
      <c r="K756" s="677"/>
      <c r="L756" s="677"/>
      <c r="M756" s="677"/>
      <c r="N756" s="677"/>
      <c r="O756" s="677"/>
    </row>
    <row r="757" spans="4:26" ht="39.950000000000003" customHeight="1" x14ac:dyDescent="0.2">
      <c r="E757" s="144" t="str">
        <f>Import.Município</f>
        <v>Pirapora/MG</v>
      </c>
      <c r="J757" s="678"/>
      <c r="K757" s="678"/>
      <c r="L757" s="678"/>
      <c r="M757" s="678"/>
      <c r="W757" s="678"/>
      <c r="X757" s="678"/>
      <c r="Y757" s="678"/>
      <c r="Z757" s="678"/>
    </row>
    <row r="758" spans="4:26" x14ac:dyDescent="0.2">
      <c r="E758" s="10" t="s">
        <v>188</v>
      </c>
      <c r="J758" s="195" t="s">
        <v>302</v>
      </c>
      <c r="W758" s="195" t="s">
        <v>354</v>
      </c>
    </row>
    <row r="759" spans="4:26" x14ac:dyDescent="0.2">
      <c r="J759" s="78" t="s">
        <v>108</v>
      </c>
      <c r="K759" s="312">
        <f t="array" ref="K759:K762">Import.RespFiscalização</f>
        <v>0</v>
      </c>
      <c r="L759" s="79"/>
      <c r="W759" s="78" t="s">
        <v>108</v>
      </c>
      <c r="X759" s="676"/>
      <c r="Y759" s="676"/>
      <c r="Z759" s="676"/>
    </row>
    <row r="760" spans="4:26" x14ac:dyDescent="0.2">
      <c r="E760" s="552">
        <f ca="1">DADOS!$F$48</f>
        <v>45922</v>
      </c>
      <c r="J760" s="78" t="s">
        <v>127</v>
      </c>
      <c r="K760" s="312">
        <v>0</v>
      </c>
      <c r="L760" s="79"/>
      <c r="W760" s="78" t="s">
        <v>355</v>
      </c>
      <c r="X760" s="676"/>
      <c r="Y760" s="676"/>
      <c r="Z760" s="676"/>
    </row>
    <row r="761" spans="4:26" x14ac:dyDescent="0.2">
      <c r="E761" s="146" t="s">
        <v>189</v>
      </c>
      <c r="J761" s="78" t="s">
        <v>109</v>
      </c>
      <c r="K761" s="312">
        <v>0</v>
      </c>
      <c r="L761" s="79"/>
      <c r="W761" s="78" t="s">
        <v>109</v>
      </c>
      <c r="X761" s="676"/>
      <c r="Y761" s="676"/>
      <c r="Z761" s="676"/>
    </row>
    <row r="762" spans="4:26" x14ac:dyDescent="0.2">
      <c r="J762" s="78" t="s">
        <v>110</v>
      </c>
      <c r="K762" s="13">
        <v>0</v>
      </c>
      <c r="W762" s="78"/>
      <c r="X762" s="13"/>
    </row>
  </sheetData>
  <sheetProtection algorithmName="SHA-512" hashValue="ziIe2ZpQbR0k8lxY6gXX2OhWeC8v+EPBRlBdJ/OsignCNsS+KK662EOcX3E811g3F+YAfIT7Kc3VAI9bKs6Akg==" saltValue="ox2LGbD5UhJaMGGywaBbcQ==" spinCount="100000" sheet="1" objects="1" scenarios="1" autoFilter="0"/>
  <autoFilter ref="C15:C747"/>
  <mergeCells count="35">
    <mergeCell ref="D5:E5"/>
    <mergeCell ref="F5:H5"/>
    <mergeCell ref="J5:N5"/>
    <mergeCell ref="A3:B3"/>
    <mergeCell ref="D4:E4"/>
    <mergeCell ref="F4:H4"/>
    <mergeCell ref="J4:N4"/>
    <mergeCell ref="C8:C12"/>
    <mergeCell ref="F8:H8"/>
    <mergeCell ref="I8:L8"/>
    <mergeCell ref="M8:N8"/>
    <mergeCell ref="E10:I11"/>
    <mergeCell ref="N10:O11"/>
    <mergeCell ref="AB11:AM11"/>
    <mergeCell ref="J12:L12"/>
    <mergeCell ref="M12:O12"/>
    <mergeCell ref="Q12:R12"/>
    <mergeCell ref="F7:H7"/>
    <mergeCell ref="I7:L7"/>
    <mergeCell ref="M7:N7"/>
    <mergeCell ref="T11:U11"/>
    <mergeCell ref="D754:L754"/>
    <mergeCell ref="D755:I755"/>
    <mergeCell ref="AB15:AM15"/>
    <mergeCell ref="D749:O749"/>
    <mergeCell ref="T749:Z749"/>
    <mergeCell ref="D750:O752"/>
    <mergeCell ref="T750:Z752"/>
    <mergeCell ref="D15:E15"/>
    <mergeCell ref="X761:Z761"/>
    <mergeCell ref="D756:O756"/>
    <mergeCell ref="J757:M757"/>
    <mergeCell ref="W757:Z757"/>
    <mergeCell ref="X759:Z759"/>
    <mergeCell ref="X760:Z760"/>
  </mergeCells>
  <phoneticPr fontId="40" type="noConversion"/>
  <conditionalFormatting sqref="D14:O14 T14:Z14 D77:O82 T77:Z82 D105:O121 T105:Z121 D176:O190 T176:Z190 D315:O322 T315:Z322 D418:O427 T418:Z427 T478:Z483 D478:O483 T495:Z500 D495:O500 D533:O540 T533:Z540 D573:O586 T573:Z586 D590:O593 T590:Z593 D603:O619 T603:Z619 D639:O681 T639:Z681 D690:O696 T690:Z696 D708:O718 T708:Z718 D720:O728 T720:Z728 D743:O746 T743:Z746 D367:O379 T367:Z379 D266:O269 T266:Z269">
    <cfRule type="expression" dxfId="472" priority="2888" stopIfTrue="1">
      <formula>OR(ACOMPANHAMENTO="PLE",TIPOORCAMENTO="Proposto",$L14&lt;0,AND($L14&gt;100,RegimeExecucao="Global"),$O14&gt;$I14,$O14&lt;0)</formula>
    </cfRule>
    <cfRule type="expression" dxfId="471" priority="2889" stopIfTrue="1">
      <formula>$A14=1</formula>
    </cfRule>
    <cfRule type="expression" dxfId="470" priority="2890" stopIfTrue="1">
      <formula>$A14&lt;&gt;"S"</formula>
    </cfRule>
  </conditionalFormatting>
  <conditionalFormatting sqref="Q14:R14 AB14:AM14 Q77:R82 AB77:AM82 Q105:R121 AB105:AM121 Q176:R190 AB176:AM190 Q315:R322 AB315:AM322 Q418:R427 AB418:AM427 AB478:AM483 Q478:R483 AB495:AM500 Q495:R500 Q533:R540 AB533:AM540 Q573:R586 AB573:AM586 Q590:R593 AB590:AM593 Q603:R619 AB603:AM619 Q639:R681 AB639:AM681 Q690:R696 AB690:AM696 Q708:R718 AB708:AM718 Q720:R728 AB720:AM728 Q743:R746 AB743:AM746 Q367:R379 AB367:AM379 Q266:R269 AB266:AM269">
    <cfRule type="expression" dxfId="469" priority="2891" stopIfTrue="1">
      <formula>$A14=1</formula>
    </cfRule>
    <cfRule type="expression" dxfId="468" priority="2892" stopIfTrue="1">
      <formula>$A14&lt;&gt;"S"</formula>
    </cfRule>
  </conditionalFormatting>
  <conditionalFormatting sqref="E2">
    <cfRule type="expression" dxfId="467" priority="2893" stopIfTrue="1">
      <formula>Import.RegimeExecução="(SELECIONAR)"</formula>
    </cfRule>
  </conditionalFormatting>
  <conditionalFormatting sqref="F13:H13">
    <cfRule type="expression" dxfId="466" priority="2894" stopIfTrue="1">
      <formula>RegimeExecucao="Global"</formula>
    </cfRule>
  </conditionalFormatting>
  <conditionalFormatting sqref="D15:O15">
    <cfRule type="expression" dxfId="465" priority="2895" stopIfTrue="1">
      <formula>OR(ACOMPANHAMENTO="PLE",TIPOORCAMENTO="Proposto")</formula>
    </cfRule>
  </conditionalFormatting>
  <conditionalFormatting sqref="AB13">
    <cfRule type="cellIs" dxfId="464" priority="2896" stopIfTrue="1" operator="notEqual">
      <formula>1</formula>
    </cfRule>
  </conditionalFormatting>
  <conditionalFormatting sqref="D16:O24 T16:Z24">
    <cfRule type="expression" dxfId="463" priority="596" stopIfTrue="1">
      <formula>OR(ACOMPANHAMENTO="PLE",TIPOORCAMENTO="Proposto",$L16&lt;0,AND($L16&gt;100,RegimeExecucao="Global"),$O16&gt;$I16,$O16&lt;0)</formula>
    </cfRule>
    <cfRule type="expression" dxfId="462" priority="597" stopIfTrue="1">
      <formula>$A16=1</formula>
    </cfRule>
    <cfRule type="expression" dxfId="461" priority="598" stopIfTrue="1">
      <formula>$A16&lt;&gt;"S"</formula>
    </cfRule>
  </conditionalFormatting>
  <conditionalFormatting sqref="Q16:R24 AB16:AM24">
    <cfRule type="expression" dxfId="460" priority="599" stopIfTrue="1">
      <formula>$A16=1</formula>
    </cfRule>
    <cfRule type="expression" dxfId="459" priority="600" stopIfTrue="1">
      <formula>$A16&lt;&gt;"S"</formula>
    </cfRule>
  </conditionalFormatting>
  <conditionalFormatting sqref="D25:O33 T25:Z33">
    <cfRule type="expression" dxfId="458" priority="591" stopIfTrue="1">
      <formula>OR(ACOMPANHAMENTO="PLE",TIPOORCAMENTO="Proposto",$L25&lt;0,AND($L25&gt;100,RegimeExecucao="Global"),$O25&gt;$I25,$O25&lt;0)</formula>
    </cfRule>
    <cfRule type="expression" dxfId="457" priority="592" stopIfTrue="1">
      <formula>$A25=1</formula>
    </cfRule>
    <cfRule type="expression" dxfId="456" priority="593" stopIfTrue="1">
      <formula>$A25&lt;&gt;"S"</formula>
    </cfRule>
  </conditionalFormatting>
  <conditionalFormatting sqref="Q25:R33 AB25:AM33">
    <cfRule type="expression" dxfId="455" priority="594" stopIfTrue="1">
      <formula>$A25=1</formula>
    </cfRule>
    <cfRule type="expression" dxfId="454" priority="595" stopIfTrue="1">
      <formula>$A25&lt;&gt;"S"</formula>
    </cfRule>
  </conditionalFormatting>
  <conditionalFormatting sqref="D34:O38 T34:Z38 T40:Z43 D40:O43">
    <cfRule type="expression" dxfId="453" priority="586" stopIfTrue="1">
      <formula>OR(ACOMPANHAMENTO="PLE",TIPOORCAMENTO="Proposto",$L34&lt;0,AND($L34&gt;100,RegimeExecucao="Global"),$O34&gt;$I34,$O34&lt;0)</formula>
    </cfRule>
    <cfRule type="expression" dxfId="452" priority="587" stopIfTrue="1">
      <formula>$A34=1</formula>
    </cfRule>
    <cfRule type="expression" dxfId="451" priority="588" stopIfTrue="1">
      <formula>$A34&lt;&gt;"S"</formula>
    </cfRule>
  </conditionalFormatting>
  <conditionalFormatting sqref="Q34:R38 AB34:AM38 AB40:AM43 Q40:R43">
    <cfRule type="expression" dxfId="450" priority="589" stopIfTrue="1">
      <formula>$A34=1</formula>
    </cfRule>
    <cfRule type="expression" dxfId="449" priority="590" stopIfTrue="1">
      <formula>$A34&lt;&gt;"S"</formula>
    </cfRule>
  </conditionalFormatting>
  <conditionalFormatting sqref="D44:O46 T44:Z46 T48:Z53 D48:O53">
    <cfRule type="expression" dxfId="448" priority="581" stopIfTrue="1">
      <formula>OR(ACOMPANHAMENTO="PLE",TIPOORCAMENTO="Proposto",$L44&lt;0,AND($L44&gt;100,RegimeExecucao="Global"),$O44&gt;$I44,$O44&lt;0)</formula>
    </cfRule>
    <cfRule type="expression" dxfId="447" priority="582" stopIfTrue="1">
      <formula>$A44=1</formula>
    </cfRule>
    <cfRule type="expression" dxfId="446" priority="583" stopIfTrue="1">
      <formula>$A44&lt;&gt;"S"</formula>
    </cfRule>
  </conditionalFormatting>
  <conditionalFormatting sqref="Q44:R46 AB44:AM46 AB48:AM53 Q48:R53">
    <cfRule type="expression" dxfId="445" priority="584" stopIfTrue="1">
      <formula>$A44=1</formula>
    </cfRule>
    <cfRule type="expression" dxfId="444" priority="585" stopIfTrue="1">
      <formula>$A44&lt;&gt;"S"</formula>
    </cfRule>
  </conditionalFormatting>
  <conditionalFormatting sqref="D54:O57 T54:Z57 T59:Z61 D59:O61 D75:O76 T75:Z76">
    <cfRule type="expression" dxfId="443" priority="576" stopIfTrue="1">
      <formula>OR(ACOMPANHAMENTO="PLE",TIPOORCAMENTO="Proposto",$L54&lt;0,AND($L54&gt;100,RegimeExecucao="Global"),$O54&gt;$I54,$O54&lt;0)</formula>
    </cfRule>
    <cfRule type="expression" dxfId="442" priority="577" stopIfTrue="1">
      <formula>$A54=1</formula>
    </cfRule>
    <cfRule type="expression" dxfId="441" priority="578" stopIfTrue="1">
      <formula>$A54&lt;&gt;"S"</formula>
    </cfRule>
  </conditionalFormatting>
  <conditionalFormatting sqref="Q54:R57 AB54:AM57 AB59:AM61 Q59:R61 Q75:R76 AB75:AM76">
    <cfRule type="expression" dxfId="440" priority="579" stopIfTrue="1">
      <formula>$A54=1</formula>
    </cfRule>
    <cfRule type="expression" dxfId="439" priority="580" stopIfTrue="1">
      <formula>$A54&lt;&gt;"S"</formula>
    </cfRule>
  </conditionalFormatting>
  <conditionalFormatting sqref="D83:O84 T83:Z84 T88:Z93 D88:O93 T86:Z86 D86:O86">
    <cfRule type="expression" dxfId="438" priority="561" stopIfTrue="1">
      <formula>OR(ACOMPANHAMENTO="PLE",TIPOORCAMENTO="Proposto",$L83&lt;0,AND($L83&gt;100,RegimeExecucao="Global"),$O83&gt;$I83,$O83&lt;0)</formula>
    </cfRule>
    <cfRule type="expression" dxfId="437" priority="562" stopIfTrue="1">
      <formula>$A83=1</formula>
    </cfRule>
    <cfRule type="expression" dxfId="436" priority="563" stopIfTrue="1">
      <formula>$A83&lt;&gt;"S"</formula>
    </cfRule>
  </conditionalFormatting>
  <conditionalFormatting sqref="Q83:R84 AB83:AM84 AB88:AM93 Q88:R93 AB86:AM86 Q86:R86">
    <cfRule type="expression" dxfId="435" priority="564" stopIfTrue="1">
      <formula>$A83=1</formula>
    </cfRule>
    <cfRule type="expression" dxfId="434" priority="565" stopIfTrue="1">
      <formula>$A83&lt;&gt;"S"</formula>
    </cfRule>
  </conditionalFormatting>
  <conditionalFormatting sqref="D94:O94 T94:Z94 T100:Z101 D100:O101">
    <cfRule type="expression" dxfId="433" priority="556" stopIfTrue="1">
      <formula>OR(ACOMPANHAMENTO="PLE",TIPOORCAMENTO="Proposto",$L94&lt;0,AND($L94&gt;100,RegimeExecucao="Global"),$O94&gt;$I94,$O94&lt;0)</formula>
    </cfRule>
    <cfRule type="expression" dxfId="432" priority="557" stopIfTrue="1">
      <formula>$A94=1</formula>
    </cfRule>
    <cfRule type="expression" dxfId="431" priority="558" stopIfTrue="1">
      <formula>$A94&lt;&gt;"S"</formula>
    </cfRule>
  </conditionalFormatting>
  <conditionalFormatting sqref="Q94:R94 AB94:AM94 AB100:AM101 Q100:R101">
    <cfRule type="expression" dxfId="430" priority="559" stopIfTrue="1">
      <formula>$A94=1</formula>
    </cfRule>
    <cfRule type="expression" dxfId="429" priority="560" stopIfTrue="1">
      <formula>$A94&lt;&gt;"S"</formula>
    </cfRule>
  </conditionalFormatting>
  <conditionalFormatting sqref="D122:O130 T122:Z130">
    <cfRule type="expression" dxfId="428" priority="541" stopIfTrue="1">
      <formula>OR(ACOMPANHAMENTO="PLE",TIPOORCAMENTO="Proposto",$L122&lt;0,AND($L122&gt;100,RegimeExecucao="Global"),$O122&gt;$I122,$O122&lt;0)</formula>
    </cfRule>
    <cfRule type="expression" dxfId="427" priority="542" stopIfTrue="1">
      <formula>$A122=1</formula>
    </cfRule>
    <cfRule type="expression" dxfId="426" priority="543" stopIfTrue="1">
      <formula>$A122&lt;&gt;"S"</formula>
    </cfRule>
  </conditionalFormatting>
  <conditionalFormatting sqref="Q122:R130 AB122:AM130">
    <cfRule type="expression" dxfId="425" priority="544" stopIfTrue="1">
      <formula>$A122=1</formula>
    </cfRule>
    <cfRule type="expression" dxfId="424" priority="545" stopIfTrue="1">
      <formula>$A122&lt;&gt;"S"</formula>
    </cfRule>
  </conditionalFormatting>
  <conditionalFormatting sqref="D131:O139 T131:Z139">
    <cfRule type="expression" dxfId="423" priority="536" stopIfTrue="1">
      <formula>OR(ACOMPANHAMENTO="PLE",TIPOORCAMENTO="Proposto",$L131&lt;0,AND($L131&gt;100,RegimeExecucao="Global"),$O131&gt;$I131,$O131&lt;0)</formula>
    </cfRule>
    <cfRule type="expression" dxfId="422" priority="537" stopIfTrue="1">
      <formula>$A131=1</formula>
    </cfRule>
    <cfRule type="expression" dxfId="421" priority="538" stopIfTrue="1">
      <formula>$A131&lt;&gt;"S"</formula>
    </cfRule>
  </conditionalFormatting>
  <conditionalFormatting sqref="Q131:R139 AB131:AM139">
    <cfRule type="expression" dxfId="420" priority="539" stopIfTrue="1">
      <formula>$A131=1</formula>
    </cfRule>
    <cfRule type="expression" dxfId="419" priority="540" stopIfTrue="1">
      <formula>$A131&lt;&gt;"S"</formula>
    </cfRule>
  </conditionalFormatting>
  <conditionalFormatting sqref="D140:O148 T140:Z148">
    <cfRule type="expression" dxfId="418" priority="531" stopIfTrue="1">
      <formula>OR(ACOMPANHAMENTO="PLE",TIPOORCAMENTO="Proposto",$L140&lt;0,AND($L140&gt;100,RegimeExecucao="Global"),$O140&gt;$I140,$O140&lt;0)</formula>
    </cfRule>
    <cfRule type="expression" dxfId="417" priority="532" stopIfTrue="1">
      <formula>$A140=1</formula>
    </cfRule>
    <cfRule type="expression" dxfId="416" priority="533" stopIfTrue="1">
      <formula>$A140&lt;&gt;"S"</formula>
    </cfRule>
  </conditionalFormatting>
  <conditionalFormatting sqref="Q140:R148 AB140:AM148">
    <cfRule type="expression" dxfId="415" priority="534" stopIfTrue="1">
      <formula>$A140=1</formula>
    </cfRule>
    <cfRule type="expression" dxfId="414" priority="535" stopIfTrue="1">
      <formula>$A140&lt;&gt;"S"</formula>
    </cfRule>
  </conditionalFormatting>
  <conditionalFormatting sqref="D149:O157 T149:Z157">
    <cfRule type="expression" dxfId="413" priority="526" stopIfTrue="1">
      <formula>OR(ACOMPANHAMENTO="PLE",TIPOORCAMENTO="Proposto",$L149&lt;0,AND($L149&gt;100,RegimeExecucao="Global"),$O149&gt;$I149,$O149&lt;0)</formula>
    </cfRule>
    <cfRule type="expression" dxfId="412" priority="527" stopIfTrue="1">
      <formula>$A149=1</formula>
    </cfRule>
    <cfRule type="expression" dxfId="411" priority="528" stopIfTrue="1">
      <formula>$A149&lt;&gt;"S"</formula>
    </cfRule>
  </conditionalFormatting>
  <conditionalFormatting sqref="Q149:R157 AB149:AM157">
    <cfRule type="expression" dxfId="410" priority="529" stopIfTrue="1">
      <formula>$A149=1</formula>
    </cfRule>
    <cfRule type="expression" dxfId="409" priority="530" stopIfTrue="1">
      <formula>$A149&lt;&gt;"S"</formula>
    </cfRule>
  </conditionalFormatting>
  <conditionalFormatting sqref="D158:O166 T158:Z166">
    <cfRule type="expression" dxfId="408" priority="521" stopIfTrue="1">
      <formula>OR(ACOMPANHAMENTO="PLE",TIPOORCAMENTO="Proposto",$L158&lt;0,AND($L158&gt;100,RegimeExecucao="Global"),$O158&gt;$I158,$O158&lt;0)</formula>
    </cfRule>
    <cfRule type="expression" dxfId="407" priority="522" stopIfTrue="1">
      <formula>$A158=1</formula>
    </cfRule>
    <cfRule type="expression" dxfId="406" priority="523" stopIfTrue="1">
      <formula>$A158&lt;&gt;"S"</formula>
    </cfRule>
  </conditionalFormatting>
  <conditionalFormatting sqref="Q158:R166 AB158:AM166">
    <cfRule type="expression" dxfId="405" priority="524" stopIfTrue="1">
      <formula>$A158=1</formula>
    </cfRule>
    <cfRule type="expression" dxfId="404" priority="525" stopIfTrue="1">
      <formula>$A158&lt;&gt;"S"</formula>
    </cfRule>
  </conditionalFormatting>
  <conditionalFormatting sqref="D167:O175 T167:Z175">
    <cfRule type="expression" dxfId="403" priority="516" stopIfTrue="1">
      <formula>OR(ACOMPANHAMENTO="PLE",TIPOORCAMENTO="Proposto",$L167&lt;0,AND($L167&gt;100,RegimeExecucao="Global"),$O167&gt;$I167,$O167&lt;0)</formula>
    </cfRule>
    <cfRule type="expression" dxfId="402" priority="517" stopIfTrue="1">
      <formula>$A167=1</formula>
    </cfRule>
    <cfRule type="expression" dxfId="401" priority="518" stopIfTrue="1">
      <formula>$A167&lt;&gt;"S"</formula>
    </cfRule>
  </conditionalFormatting>
  <conditionalFormatting sqref="Q167:R175 AB167:AM175">
    <cfRule type="expression" dxfId="400" priority="519" stopIfTrue="1">
      <formula>$A167=1</formula>
    </cfRule>
    <cfRule type="expression" dxfId="399" priority="520" stopIfTrue="1">
      <formula>$A167&lt;&gt;"S"</formula>
    </cfRule>
  </conditionalFormatting>
  <conditionalFormatting sqref="D191:O199 T191:Z199">
    <cfRule type="expression" dxfId="398" priority="501" stopIfTrue="1">
      <formula>OR(ACOMPANHAMENTO="PLE",TIPOORCAMENTO="Proposto",$L191&lt;0,AND($L191&gt;100,RegimeExecucao="Global"),$O191&gt;$I191,$O191&lt;0)</formula>
    </cfRule>
    <cfRule type="expression" dxfId="397" priority="502" stopIfTrue="1">
      <formula>$A191=1</formula>
    </cfRule>
    <cfRule type="expression" dxfId="396" priority="503" stopIfTrue="1">
      <formula>$A191&lt;&gt;"S"</formula>
    </cfRule>
  </conditionalFormatting>
  <conditionalFormatting sqref="Q191:R199 AB191:AM199">
    <cfRule type="expression" dxfId="395" priority="504" stopIfTrue="1">
      <formula>$A191=1</formula>
    </cfRule>
    <cfRule type="expression" dxfId="394" priority="505" stopIfTrue="1">
      <formula>$A191&lt;&gt;"S"</formula>
    </cfRule>
  </conditionalFormatting>
  <conditionalFormatting sqref="T200:Z206 D200:O206 D213:O214 T213:Z214">
    <cfRule type="expression" dxfId="393" priority="496" stopIfTrue="1">
      <formula>OR(ACOMPANHAMENTO="PLE",TIPOORCAMENTO="Proposto",$L200&lt;0,AND($L200&gt;100,RegimeExecucao="Global"),$O200&gt;$I200,$O200&lt;0)</formula>
    </cfRule>
    <cfRule type="expression" dxfId="392" priority="497" stopIfTrue="1">
      <formula>$A200=1</formula>
    </cfRule>
    <cfRule type="expression" dxfId="391" priority="498" stopIfTrue="1">
      <formula>$A200&lt;&gt;"S"</formula>
    </cfRule>
  </conditionalFormatting>
  <conditionalFormatting sqref="AB200:AM206 Q200:R206 Q213:R214 AB213:AM214">
    <cfRule type="expression" dxfId="390" priority="499" stopIfTrue="1">
      <formula>$A200=1</formula>
    </cfRule>
    <cfRule type="expression" dxfId="389" priority="500" stopIfTrue="1">
      <formula>$A200&lt;&gt;"S"</formula>
    </cfRule>
  </conditionalFormatting>
  <conditionalFormatting sqref="D215:O223 T215:Z223">
    <cfRule type="expression" dxfId="388" priority="491" stopIfTrue="1">
      <formula>OR(ACOMPANHAMENTO="PLE",TIPOORCAMENTO="Proposto",$L215&lt;0,AND($L215&gt;100,RegimeExecucao="Global"),$O215&gt;$I215,$O215&lt;0)</formula>
    </cfRule>
    <cfRule type="expression" dxfId="387" priority="492" stopIfTrue="1">
      <formula>$A215=1</formula>
    </cfRule>
    <cfRule type="expression" dxfId="386" priority="493" stopIfTrue="1">
      <formula>$A215&lt;&gt;"S"</formula>
    </cfRule>
  </conditionalFormatting>
  <conditionalFormatting sqref="Q215:R223 AB215:AM223">
    <cfRule type="expression" dxfId="385" priority="494" stopIfTrue="1">
      <formula>$A215=1</formula>
    </cfRule>
    <cfRule type="expression" dxfId="384" priority="495" stopIfTrue="1">
      <formula>$A215&lt;&gt;"S"</formula>
    </cfRule>
  </conditionalFormatting>
  <conditionalFormatting sqref="D224:O225 T224:Z225 T227:Z233 D227:O233">
    <cfRule type="expression" dxfId="383" priority="486" stopIfTrue="1">
      <formula>OR(ACOMPANHAMENTO="PLE",TIPOORCAMENTO="Proposto",$L224&lt;0,AND($L224&gt;100,RegimeExecucao="Global"),$O224&gt;$I224,$O224&lt;0)</formula>
    </cfRule>
    <cfRule type="expression" dxfId="382" priority="487" stopIfTrue="1">
      <formula>$A224=1</formula>
    </cfRule>
    <cfRule type="expression" dxfId="381" priority="488" stopIfTrue="1">
      <formula>$A224&lt;&gt;"S"</formula>
    </cfRule>
  </conditionalFormatting>
  <conditionalFormatting sqref="Q224:R225 AB224:AM225 AB227:AM233 Q227:R233">
    <cfRule type="expression" dxfId="380" priority="489" stopIfTrue="1">
      <formula>$A224=1</formula>
    </cfRule>
    <cfRule type="expression" dxfId="379" priority="490" stopIfTrue="1">
      <formula>$A224&lt;&gt;"S"</formula>
    </cfRule>
  </conditionalFormatting>
  <conditionalFormatting sqref="D234:O235 T234:Z235 T240:Z246 D240:O246">
    <cfRule type="expression" dxfId="378" priority="481" stopIfTrue="1">
      <formula>OR(ACOMPANHAMENTO="PLE",TIPOORCAMENTO="Proposto",$L234&lt;0,AND($L234&gt;100,RegimeExecucao="Global"),$O234&gt;$I234,$O234&lt;0)</formula>
    </cfRule>
    <cfRule type="expression" dxfId="377" priority="482" stopIfTrue="1">
      <formula>$A234=1</formula>
    </cfRule>
    <cfRule type="expression" dxfId="376" priority="483" stopIfTrue="1">
      <formula>$A234&lt;&gt;"S"</formula>
    </cfRule>
  </conditionalFormatting>
  <conditionalFormatting sqref="Q234:R235 AB234:AM235 AB240:AM246 Q240:R246">
    <cfRule type="expression" dxfId="375" priority="484" stopIfTrue="1">
      <formula>$A234=1</formula>
    </cfRule>
    <cfRule type="expression" dxfId="374" priority="485" stopIfTrue="1">
      <formula>$A234&lt;&gt;"S"</formula>
    </cfRule>
  </conditionalFormatting>
  <conditionalFormatting sqref="D247:O249 T247:Z249 T251:Z256 D251:O256">
    <cfRule type="expression" dxfId="373" priority="476" stopIfTrue="1">
      <formula>OR(ACOMPANHAMENTO="PLE",TIPOORCAMENTO="Proposto",$L247&lt;0,AND($L247&gt;100,RegimeExecucao="Global"),$O247&gt;$I247,$O247&lt;0)</formula>
    </cfRule>
    <cfRule type="expression" dxfId="372" priority="477" stopIfTrue="1">
      <formula>$A247=1</formula>
    </cfRule>
    <cfRule type="expression" dxfId="371" priority="478" stopIfTrue="1">
      <formula>$A247&lt;&gt;"S"</formula>
    </cfRule>
  </conditionalFormatting>
  <conditionalFormatting sqref="Q247:R249 AB247:AM249 AB251:AM256 Q251:R256">
    <cfRule type="expression" dxfId="370" priority="479" stopIfTrue="1">
      <formula>$A247=1</formula>
    </cfRule>
    <cfRule type="expression" dxfId="369" priority="480" stopIfTrue="1">
      <formula>$A247&lt;&gt;"S"</formula>
    </cfRule>
  </conditionalFormatting>
  <conditionalFormatting sqref="D257:O265 T257:Z265">
    <cfRule type="expression" dxfId="368" priority="471" stopIfTrue="1">
      <formula>OR(ACOMPANHAMENTO="PLE",TIPOORCAMENTO="Proposto",$L257&lt;0,AND($L257&gt;100,RegimeExecucao="Global"),$O257&gt;$I257,$O257&lt;0)</formula>
    </cfRule>
    <cfRule type="expression" dxfId="367" priority="472" stopIfTrue="1">
      <formula>$A257=1</formula>
    </cfRule>
    <cfRule type="expression" dxfId="366" priority="473" stopIfTrue="1">
      <formula>$A257&lt;&gt;"S"</formula>
    </cfRule>
  </conditionalFormatting>
  <conditionalFormatting sqref="Q257:R265 AB257:AM265">
    <cfRule type="expression" dxfId="365" priority="474" stopIfTrue="1">
      <formula>$A257=1</formula>
    </cfRule>
    <cfRule type="expression" dxfId="364" priority="475" stopIfTrue="1">
      <formula>$A257&lt;&gt;"S"</formula>
    </cfRule>
  </conditionalFormatting>
  <conditionalFormatting sqref="T290:Z291 D290:O291">
    <cfRule type="expression" dxfId="363" priority="466" stopIfTrue="1">
      <formula>OR(ACOMPANHAMENTO="PLE",TIPOORCAMENTO="Proposto",$L290&lt;0,AND($L290&gt;100,RegimeExecucao="Global"),$O290&gt;$I290,$O290&lt;0)</formula>
    </cfRule>
    <cfRule type="expression" dxfId="362" priority="467" stopIfTrue="1">
      <formula>$A290=1</formula>
    </cfRule>
    <cfRule type="expression" dxfId="361" priority="468" stopIfTrue="1">
      <formula>$A290&lt;&gt;"S"</formula>
    </cfRule>
  </conditionalFormatting>
  <conditionalFormatting sqref="AB290:AM291 Q290:R291">
    <cfRule type="expression" dxfId="360" priority="469" stopIfTrue="1">
      <formula>$A290=1</formula>
    </cfRule>
    <cfRule type="expression" dxfId="359" priority="470" stopIfTrue="1">
      <formula>$A290&lt;&gt;"S"</formula>
    </cfRule>
  </conditionalFormatting>
  <conditionalFormatting sqref="D292:O292 T292:Z292">
    <cfRule type="expression" dxfId="358" priority="461" stopIfTrue="1">
      <formula>OR(ACOMPANHAMENTO="PLE",TIPOORCAMENTO="Proposto",$L292&lt;0,AND($L292&gt;100,RegimeExecucao="Global"),$O292&gt;$I292,$O292&lt;0)</formula>
    </cfRule>
    <cfRule type="expression" dxfId="357" priority="462" stopIfTrue="1">
      <formula>$A292=1</formula>
    </cfRule>
    <cfRule type="expression" dxfId="356" priority="463" stopIfTrue="1">
      <formula>$A292&lt;&gt;"S"</formula>
    </cfRule>
  </conditionalFormatting>
  <conditionalFormatting sqref="Q292:R292 AB292:AM292">
    <cfRule type="expression" dxfId="355" priority="464" stopIfTrue="1">
      <formula>$A292=1</formula>
    </cfRule>
    <cfRule type="expression" dxfId="354" priority="465" stopIfTrue="1">
      <formula>$A292&lt;&gt;"S"</formula>
    </cfRule>
  </conditionalFormatting>
  <conditionalFormatting sqref="D293:O301 T293:Z301">
    <cfRule type="expression" dxfId="353" priority="456" stopIfTrue="1">
      <formula>OR(ACOMPANHAMENTO="PLE",TIPOORCAMENTO="Proposto",$L293&lt;0,AND($L293&gt;100,RegimeExecucao="Global"),$O293&gt;$I293,$O293&lt;0)</formula>
    </cfRule>
    <cfRule type="expression" dxfId="352" priority="457" stopIfTrue="1">
      <formula>$A293=1</formula>
    </cfRule>
    <cfRule type="expression" dxfId="351" priority="458" stopIfTrue="1">
      <formula>$A293&lt;&gt;"S"</formula>
    </cfRule>
  </conditionalFormatting>
  <conditionalFormatting sqref="Q293:R301 AB293:AM301">
    <cfRule type="expression" dxfId="350" priority="459" stopIfTrue="1">
      <formula>$A293=1</formula>
    </cfRule>
    <cfRule type="expression" dxfId="349" priority="460" stopIfTrue="1">
      <formula>$A293&lt;&gt;"S"</formula>
    </cfRule>
  </conditionalFormatting>
  <conditionalFormatting sqref="D302:O304 T302:Z304 T306:Z311 D306:O311">
    <cfRule type="expression" dxfId="348" priority="451" stopIfTrue="1">
      <formula>OR(ACOMPANHAMENTO="PLE",TIPOORCAMENTO="Proposto",$L302&lt;0,AND($L302&gt;100,RegimeExecucao="Global"),$O302&gt;$I302,$O302&lt;0)</formula>
    </cfRule>
    <cfRule type="expression" dxfId="347" priority="452" stopIfTrue="1">
      <formula>$A302=1</formula>
    </cfRule>
    <cfRule type="expression" dxfId="346" priority="453" stopIfTrue="1">
      <formula>$A302&lt;&gt;"S"</formula>
    </cfRule>
  </conditionalFormatting>
  <conditionalFormatting sqref="Q302:R304 AB302:AM304 AB306:AM311 Q306:R311">
    <cfRule type="expression" dxfId="345" priority="454" stopIfTrue="1">
      <formula>$A302=1</formula>
    </cfRule>
    <cfRule type="expression" dxfId="344" priority="455" stopIfTrue="1">
      <formula>$A302&lt;&gt;"S"</formula>
    </cfRule>
  </conditionalFormatting>
  <conditionalFormatting sqref="D312:O313 T312:Z313">
    <cfRule type="expression" dxfId="343" priority="446" stopIfTrue="1">
      <formula>OR(ACOMPANHAMENTO="PLE",TIPOORCAMENTO="Proposto",$L312&lt;0,AND($L312&gt;100,RegimeExecucao="Global"),$O312&gt;$I312,$O312&lt;0)</formula>
    </cfRule>
    <cfRule type="expression" dxfId="342" priority="447" stopIfTrue="1">
      <formula>$A312=1</formula>
    </cfRule>
    <cfRule type="expression" dxfId="341" priority="448" stopIfTrue="1">
      <formula>$A312&lt;&gt;"S"</formula>
    </cfRule>
  </conditionalFormatting>
  <conditionalFormatting sqref="Q312:R313 AB312:AM313">
    <cfRule type="expression" dxfId="340" priority="449" stopIfTrue="1">
      <formula>$A312=1</formula>
    </cfRule>
    <cfRule type="expression" dxfId="339" priority="450" stopIfTrue="1">
      <formula>$A312&lt;&gt;"S"</formula>
    </cfRule>
  </conditionalFormatting>
  <conditionalFormatting sqref="D270:O278 T270:Z278">
    <cfRule type="expression" dxfId="338" priority="441" stopIfTrue="1">
      <formula>OR(ACOMPANHAMENTO="PLE",TIPOORCAMENTO="Proposto",$L270&lt;0,AND($L270&gt;100,RegimeExecucao="Global"),$O270&gt;$I270,$O270&lt;0)</formula>
    </cfRule>
    <cfRule type="expression" dxfId="337" priority="442" stopIfTrue="1">
      <formula>$A270=1</formula>
    </cfRule>
    <cfRule type="expression" dxfId="336" priority="443" stopIfTrue="1">
      <formula>$A270&lt;&gt;"S"</formula>
    </cfRule>
  </conditionalFormatting>
  <conditionalFormatting sqref="Q270:R278 AB270:AM278">
    <cfRule type="expression" dxfId="335" priority="444" stopIfTrue="1">
      <formula>$A270=1</formula>
    </cfRule>
    <cfRule type="expression" dxfId="334" priority="445" stopIfTrue="1">
      <formula>$A270&lt;&gt;"S"</formula>
    </cfRule>
  </conditionalFormatting>
  <conditionalFormatting sqref="D279:O287 T279:Z287">
    <cfRule type="expression" dxfId="333" priority="436" stopIfTrue="1">
      <formula>OR(ACOMPANHAMENTO="PLE",TIPOORCAMENTO="Proposto",$L279&lt;0,AND($L279&gt;100,RegimeExecucao="Global"),$O279&gt;$I279,$O279&lt;0)</formula>
    </cfRule>
    <cfRule type="expression" dxfId="332" priority="437" stopIfTrue="1">
      <formula>$A279=1</formula>
    </cfRule>
    <cfRule type="expression" dxfId="331" priority="438" stopIfTrue="1">
      <formula>$A279&lt;&gt;"S"</formula>
    </cfRule>
  </conditionalFormatting>
  <conditionalFormatting sqref="Q279:R287 AB279:AM287">
    <cfRule type="expression" dxfId="330" priority="439" stopIfTrue="1">
      <formula>$A279=1</formula>
    </cfRule>
    <cfRule type="expression" dxfId="329" priority="440" stopIfTrue="1">
      <formula>$A279&lt;&gt;"S"</formula>
    </cfRule>
  </conditionalFormatting>
  <conditionalFormatting sqref="D288:O289 T288:Z289">
    <cfRule type="expression" dxfId="328" priority="431" stopIfTrue="1">
      <formula>OR(ACOMPANHAMENTO="PLE",TIPOORCAMENTO="Proposto",$L288&lt;0,AND($L288&gt;100,RegimeExecucao="Global"),$O288&gt;$I288,$O288&lt;0)</formula>
    </cfRule>
    <cfRule type="expression" dxfId="327" priority="432" stopIfTrue="1">
      <formula>$A288=1</formula>
    </cfRule>
    <cfRule type="expression" dxfId="326" priority="433" stopIfTrue="1">
      <formula>$A288&lt;&gt;"S"</formula>
    </cfRule>
  </conditionalFormatting>
  <conditionalFormatting sqref="Q288:R289 AB288:AM289">
    <cfRule type="expression" dxfId="325" priority="434" stopIfTrue="1">
      <formula>$A288=1</formula>
    </cfRule>
    <cfRule type="expression" dxfId="324" priority="435" stopIfTrue="1">
      <formula>$A288&lt;&gt;"S"</formula>
    </cfRule>
  </conditionalFormatting>
  <conditionalFormatting sqref="D334:O336 T334:Z336 T361:Z364 D361:O364 T340:Z340 D340:O340">
    <cfRule type="expression" dxfId="323" priority="426" stopIfTrue="1">
      <formula>OR(ACOMPANHAMENTO="PLE",TIPOORCAMENTO="Proposto",$L334&lt;0,AND($L334&gt;100,RegimeExecucao="Global"),$O334&gt;$I334,$O334&lt;0)</formula>
    </cfRule>
    <cfRule type="expression" dxfId="322" priority="427" stopIfTrue="1">
      <formula>$A334=1</formula>
    </cfRule>
    <cfRule type="expression" dxfId="321" priority="428" stopIfTrue="1">
      <formula>$A334&lt;&gt;"S"</formula>
    </cfRule>
  </conditionalFormatting>
  <conditionalFormatting sqref="Q334:R336 AB334:AM336 AB361:AM364 Q361:R364 AB340:AM340 Q340:R340">
    <cfRule type="expression" dxfId="320" priority="429" stopIfTrue="1">
      <formula>$A334=1</formula>
    </cfRule>
    <cfRule type="expression" dxfId="319" priority="430" stopIfTrue="1">
      <formula>$A334&lt;&gt;"S"</formula>
    </cfRule>
  </conditionalFormatting>
  <conditionalFormatting sqref="D512:O520 T512:Z520">
    <cfRule type="expression" dxfId="318" priority="421" stopIfTrue="1">
      <formula>OR(ACOMPANHAMENTO="PLE",TIPOORCAMENTO="Proposto",$L512&lt;0,AND($L512&gt;100,RegimeExecucao="Global"),$O512&gt;$I512,$O512&lt;0)</formula>
    </cfRule>
    <cfRule type="expression" dxfId="317" priority="422" stopIfTrue="1">
      <formula>$A512=1</formula>
    </cfRule>
    <cfRule type="expression" dxfId="316" priority="423" stopIfTrue="1">
      <formula>$A512&lt;&gt;"S"</formula>
    </cfRule>
  </conditionalFormatting>
  <conditionalFormatting sqref="Q512:R520 AB512:AM520">
    <cfRule type="expression" dxfId="315" priority="424" stopIfTrue="1">
      <formula>$A512=1</formula>
    </cfRule>
    <cfRule type="expression" dxfId="314" priority="425" stopIfTrue="1">
      <formula>$A512&lt;&gt;"S"</formula>
    </cfRule>
  </conditionalFormatting>
  <conditionalFormatting sqref="D521:O522 T521:Z522">
    <cfRule type="expression" dxfId="313" priority="416" stopIfTrue="1">
      <formula>OR(ACOMPANHAMENTO="PLE",TIPOORCAMENTO="Proposto",$L521&lt;0,AND($L521&gt;100,RegimeExecucao="Global"),$O521&gt;$I521,$O521&lt;0)</formula>
    </cfRule>
    <cfRule type="expression" dxfId="312" priority="417" stopIfTrue="1">
      <formula>$A521=1</formula>
    </cfRule>
    <cfRule type="expression" dxfId="311" priority="418" stopIfTrue="1">
      <formula>$A521&lt;&gt;"S"</formula>
    </cfRule>
  </conditionalFormatting>
  <conditionalFormatting sqref="Q521:R522 AB521:AM522">
    <cfRule type="expression" dxfId="310" priority="419" stopIfTrue="1">
      <formula>$A521=1</formula>
    </cfRule>
    <cfRule type="expression" dxfId="309" priority="420" stopIfTrue="1">
      <formula>$A521&lt;&gt;"S"</formula>
    </cfRule>
  </conditionalFormatting>
  <conditionalFormatting sqref="D323:O331 T323:Z331">
    <cfRule type="expression" dxfId="308" priority="406" stopIfTrue="1">
      <formula>OR(ACOMPANHAMENTO="PLE",TIPOORCAMENTO="Proposto",$L323&lt;0,AND($L323&gt;100,RegimeExecucao="Global"),$O323&gt;$I323,$O323&lt;0)</formula>
    </cfRule>
    <cfRule type="expression" dxfId="307" priority="407" stopIfTrue="1">
      <formula>$A323=1</formula>
    </cfRule>
    <cfRule type="expression" dxfId="306" priority="408" stopIfTrue="1">
      <formula>$A323&lt;&gt;"S"</formula>
    </cfRule>
  </conditionalFormatting>
  <conditionalFormatting sqref="Q323:R331 AB323:AM331">
    <cfRule type="expression" dxfId="305" priority="409" stopIfTrue="1">
      <formula>$A323=1</formula>
    </cfRule>
    <cfRule type="expression" dxfId="304" priority="410" stopIfTrue="1">
      <formula>$A323&lt;&gt;"S"</formula>
    </cfRule>
  </conditionalFormatting>
  <conditionalFormatting sqref="D332:O333 T332:Z333">
    <cfRule type="expression" dxfId="303" priority="401" stopIfTrue="1">
      <formula>OR(ACOMPANHAMENTO="PLE",TIPOORCAMENTO="Proposto",$L332&lt;0,AND($L332&gt;100,RegimeExecucao="Global"),$O332&gt;$I332,$O332&lt;0)</formula>
    </cfRule>
    <cfRule type="expression" dxfId="302" priority="402" stopIfTrue="1">
      <formula>$A332=1</formula>
    </cfRule>
    <cfRule type="expression" dxfId="301" priority="403" stopIfTrue="1">
      <formula>$A332&lt;&gt;"S"</formula>
    </cfRule>
  </conditionalFormatting>
  <conditionalFormatting sqref="Q332:R333 AB332:AM333">
    <cfRule type="expression" dxfId="300" priority="404" stopIfTrue="1">
      <formula>$A332=1</formula>
    </cfRule>
    <cfRule type="expression" dxfId="299" priority="405" stopIfTrue="1">
      <formula>$A332&lt;&gt;"S"</formula>
    </cfRule>
  </conditionalFormatting>
  <conditionalFormatting sqref="D341:O349 T341:Z349">
    <cfRule type="expression" dxfId="298" priority="396" stopIfTrue="1">
      <formula>OR(ACOMPANHAMENTO="PLE",TIPOORCAMENTO="Proposto",$L341&lt;0,AND($L341&gt;100,RegimeExecucao="Global"),$O341&gt;$I341,$O341&lt;0)</formula>
    </cfRule>
    <cfRule type="expression" dxfId="297" priority="397" stopIfTrue="1">
      <formula>$A341=1</formula>
    </cfRule>
    <cfRule type="expression" dxfId="296" priority="398" stopIfTrue="1">
      <formula>$A341&lt;&gt;"S"</formula>
    </cfRule>
  </conditionalFormatting>
  <conditionalFormatting sqref="Q341:R349 AB341:AM349">
    <cfRule type="expression" dxfId="295" priority="399" stopIfTrue="1">
      <formula>$A341=1</formula>
    </cfRule>
    <cfRule type="expression" dxfId="294" priority="400" stopIfTrue="1">
      <formula>$A341&lt;&gt;"S"</formula>
    </cfRule>
  </conditionalFormatting>
  <conditionalFormatting sqref="D350:O358 T350:Z358">
    <cfRule type="expression" dxfId="293" priority="391" stopIfTrue="1">
      <formula>OR(ACOMPANHAMENTO="PLE",TIPOORCAMENTO="Proposto",$L350&lt;0,AND($L350&gt;100,RegimeExecucao="Global"),$O350&gt;$I350,$O350&lt;0)</formula>
    </cfRule>
    <cfRule type="expression" dxfId="292" priority="392" stopIfTrue="1">
      <formula>$A350=1</formula>
    </cfRule>
    <cfRule type="expression" dxfId="291" priority="393" stopIfTrue="1">
      <formula>$A350&lt;&gt;"S"</formula>
    </cfRule>
  </conditionalFormatting>
  <conditionalFormatting sqref="Q350:R358 AB350:AM358">
    <cfRule type="expression" dxfId="290" priority="394" stopIfTrue="1">
      <formula>$A350=1</formula>
    </cfRule>
    <cfRule type="expression" dxfId="289" priority="395" stopIfTrue="1">
      <formula>$A350&lt;&gt;"S"</formula>
    </cfRule>
  </conditionalFormatting>
  <conditionalFormatting sqref="D359:O360 T359:Z360">
    <cfRule type="expression" dxfId="288" priority="386" stopIfTrue="1">
      <formula>OR(ACOMPANHAMENTO="PLE",TIPOORCAMENTO="Proposto",$L359&lt;0,AND($L359&gt;100,RegimeExecucao="Global"),$O359&gt;$I359,$O359&lt;0)</formula>
    </cfRule>
    <cfRule type="expression" dxfId="287" priority="387" stopIfTrue="1">
      <formula>$A359=1</formula>
    </cfRule>
    <cfRule type="expression" dxfId="286" priority="388" stopIfTrue="1">
      <formula>$A359&lt;&gt;"S"</formula>
    </cfRule>
  </conditionalFormatting>
  <conditionalFormatting sqref="Q359:R360 AB359:AM360">
    <cfRule type="expression" dxfId="285" priority="389" stopIfTrue="1">
      <formula>$A359=1</formula>
    </cfRule>
    <cfRule type="expression" dxfId="284" priority="390" stopIfTrue="1">
      <formula>$A359&lt;&gt;"S"</formula>
    </cfRule>
  </conditionalFormatting>
  <conditionalFormatting sqref="D365:O365 T365:Z365 T410:Z417 D410:O417">
    <cfRule type="expression" dxfId="283" priority="381" stopIfTrue="1">
      <formula>OR(ACOMPANHAMENTO="PLE",TIPOORCAMENTO="Proposto",$L365&lt;0,AND($L365&gt;100,RegimeExecucao="Global"),$O365&gt;$I365,$O365&lt;0)</formula>
    </cfRule>
    <cfRule type="expression" dxfId="282" priority="382" stopIfTrue="1">
      <formula>$A365=1</formula>
    </cfRule>
    <cfRule type="expression" dxfId="281" priority="383" stopIfTrue="1">
      <formula>$A365&lt;&gt;"S"</formula>
    </cfRule>
  </conditionalFormatting>
  <conditionalFormatting sqref="Q365:R365 AB365:AM365 AB410:AM417 Q410:R417">
    <cfRule type="expression" dxfId="280" priority="384" stopIfTrue="1">
      <formula>$A365=1</formula>
    </cfRule>
    <cfRule type="expression" dxfId="279" priority="385" stopIfTrue="1">
      <formula>$A365&lt;&gt;"S"</formula>
    </cfRule>
  </conditionalFormatting>
  <conditionalFormatting sqref="D366:O366 T366:Z366 T391:Z398 D391:O398">
    <cfRule type="expression" dxfId="278" priority="366" stopIfTrue="1">
      <formula>OR(ACOMPANHAMENTO="PLE",TIPOORCAMENTO="Proposto",$L366&lt;0,AND($L366&gt;100,RegimeExecucao="Global"),$O366&gt;$I366,$O366&lt;0)</formula>
    </cfRule>
    <cfRule type="expression" dxfId="277" priority="367" stopIfTrue="1">
      <formula>$A366=1</formula>
    </cfRule>
    <cfRule type="expression" dxfId="276" priority="368" stopIfTrue="1">
      <formula>$A366&lt;&gt;"S"</formula>
    </cfRule>
  </conditionalFormatting>
  <conditionalFormatting sqref="Q366:R366 AB366:AM366 AB391:AM398 Q391:R398">
    <cfRule type="expression" dxfId="275" priority="369" stopIfTrue="1">
      <formula>$A366=1</formula>
    </cfRule>
    <cfRule type="expression" dxfId="274" priority="370" stopIfTrue="1">
      <formula>$A366&lt;&gt;"S"</formula>
    </cfRule>
  </conditionalFormatting>
  <conditionalFormatting sqref="D399:O407 T399:Z407">
    <cfRule type="expression" dxfId="273" priority="361" stopIfTrue="1">
      <formula>OR(ACOMPANHAMENTO="PLE",TIPOORCAMENTO="Proposto",$L399&lt;0,AND($L399&gt;100,RegimeExecucao="Global"),$O399&gt;$I399,$O399&lt;0)</formula>
    </cfRule>
    <cfRule type="expression" dxfId="272" priority="362" stopIfTrue="1">
      <formula>$A399=1</formula>
    </cfRule>
    <cfRule type="expression" dxfId="271" priority="363" stopIfTrue="1">
      <formula>$A399&lt;&gt;"S"</formula>
    </cfRule>
  </conditionalFormatting>
  <conditionalFormatting sqref="Q399:R407 AB399:AM407">
    <cfRule type="expression" dxfId="270" priority="364" stopIfTrue="1">
      <formula>$A399=1</formula>
    </cfRule>
    <cfRule type="expression" dxfId="269" priority="365" stopIfTrue="1">
      <formula>$A399&lt;&gt;"S"</formula>
    </cfRule>
  </conditionalFormatting>
  <conditionalFormatting sqref="D408:O409 T408:Z409">
    <cfRule type="expression" dxfId="268" priority="356" stopIfTrue="1">
      <formula>OR(ACOMPANHAMENTO="PLE",TIPOORCAMENTO="Proposto",$L408&lt;0,AND($L408&gt;100,RegimeExecucao="Global"),$O408&gt;$I408,$O408&lt;0)</formula>
    </cfRule>
    <cfRule type="expression" dxfId="267" priority="357" stopIfTrue="1">
      <formula>$A408=1</formula>
    </cfRule>
    <cfRule type="expression" dxfId="266" priority="358" stopIfTrue="1">
      <formula>$A408&lt;&gt;"S"</formula>
    </cfRule>
  </conditionalFormatting>
  <conditionalFormatting sqref="Q408:R409 AB408:AM409">
    <cfRule type="expression" dxfId="265" priority="359" stopIfTrue="1">
      <formula>$A408=1</formula>
    </cfRule>
    <cfRule type="expression" dxfId="264" priority="360" stopIfTrue="1">
      <formula>$A408&lt;&gt;"S"</formula>
    </cfRule>
  </conditionalFormatting>
  <conditionalFormatting sqref="D380:O388 T380:Z388">
    <cfRule type="expression" dxfId="263" priority="346" stopIfTrue="1">
      <formula>OR(ACOMPANHAMENTO="PLE",TIPOORCAMENTO="Proposto",$L380&lt;0,AND($L380&gt;100,RegimeExecucao="Global"),$O380&gt;$I380,$O380&lt;0)</formula>
    </cfRule>
    <cfRule type="expression" dxfId="262" priority="347" stopIfTrue="1">
      <formula>$A380=1</formula>
    </cfRule>
    <cfRule type="expression" dxfId="261" priority="348" stopIfTrue="1">
      <formula>$A380&lt;&gt;"S"</formula>
    </cfRule>
  </conditionalFormatting>
  <conditionalFormatting sqref="Q380:R388 AB380:AM388">
    <cfRule type="expression" dxfId="260" priority="349" stopIfTrue="1">
      <formula>$A380=1</formula>
    </cfRule>
    <cfRule type="expression" dxfId="259" priority="350" stopIfTrue="1">
      <formula>$A380&lt;&gt;"S"</formula>
    </cfRule>
  </conditionalFormatting>
  <conditionalFormatting sqref="D389:O390 T389:Z390">
    <cfRule type="expression" dxfId="258" priority="341" stopIfTrue="1">
      <formula>OR(ACOMPANHAMENTO="PLE",TIPOORCAMENTO="Proposto",$L389&lt;0,AND($L389&gt;100,RegimeExecucao="Global"),$O389&gt;$I389,$O389&lt;0)</formula>
    </cfRule>
    <cfRule type="expression" dxfId="257" priority="342" stopIfTrue="1">
      <formula>$A389=1</formula>
    </cfRule>
    <cfRule type="expression" dxfId="256" priority="343" stopIfTrue="1">
      <formula>$A389&lt;&gt;"S"</formula>
    </cfRule>
  </conditionalFormatting>
  <conditionalFormatting sqref="Q389:R390 AB389:AM390">
    <cfRule type="expression" dxfId="255" priority="344" stopIfTrue="1">
      <formula>$A389=1</formula>
    </cfRule>
    <cfRule type="expression" dxfId="254" priority="345" stopIfTrue="1">
      <formula>$A389&lt;&gt;"S"</formula>
    </cfRule>
  </conditionalFormatting>
  <conditionalFormatting sqref="D501:O509 T501:Z509">
    <cfRule type="expression" dxfId="253" priority="331" stopIfTrue="1">
      <formula>OR(ACOMPANHAMENTO="PLE",TIPOORCAMENTO="Proposto",$L501&lt;0,AND($L501&gt;100,RegimeExecucao="Global"),$O501&gt;$I501,$O501&lt;0)</formula>
    </cfRule>
    <cfRule type="expression" dxfId="252" priority="332" stopIfTrue="1">
      <formula>$A501=1</formula>
    </cfRule>
    <cfRule type="expression" dxfId="251" priority="333" stopIfTrue="1">
      <formula>$A501&lt;&gt;"S"</formula>
    </cfRule>
  </conditionalFormatting>
  <conditionalFormatting sqref="Q501:R509 AB501:AM509">
    <cfRule type="expression" dxfId="250" priority="334" stopIfTrue="1">
      <formula>$A501=1</formula>
    </cfRule>
    <cfRule type="expression" dxfId="249" priority="335" stopIfTrue="1">
      <formula>$A501&lt;&gt;"S"</formula>
    </cfRule>
  </conditionalFormatting>
  <conditionalFormatting sqref="D510:O511 T510:Z511">
    <cfRule type="expression" dxfId="248" priority="326" stopIfTrue="1">
      <formula>OR(ACOMPANHAMENTO="PLE",TIPOORCAMENTO="Proposto",$L510&lt;0,AND($L510&gt;100,RegimeExecucao="Global"),$O510&gt;$I510,$O510&lt;0)</formula>
    </cfRule>
    <cfRule type="expression" dxfId="247" priority="327" stopIfTrue="1">
      <formula>$A510=1</formula>
    </cfRule>
    <cfRule type="expression" dxfId="246" priority="328" stopIfTrue="1">
      <formula>$A510&lt;&gt;"S"</formula>
    </cfRule>
  </conditionalFormatting>
  <conditionalFormatting sqref="Q510:R511 AB510:AM511">
    <cfRule type="expression" dxfId="245" priority="329" stopIfTrue="1">
      <formula>$A510=1</formula>
    </cfRule>
    <cfRule type="expression" dxfId="244" priority="330" stopIfTrue="1">
      <formula>$A510&lt;&gt;"S"</formula>
    </cfRule>
  </conditionalFormatting>
  <conditionalFormatting sqref="D484:O492 T484:Z492">
    <cfRule type="expression" dxfId="243" priority="316" stopIfTrue="1">
      <formula>OR(ACOMPANHAMENTO="PLE",TIPOORCAMENTO="Proposto",$L484&lt;0,AND($L484&gt;100,RegimeExecucao="Global"),$O484&gt;$I484,$O484&lt;0)</formula>
    </cfRule>
    <cfRule type="expression" dxfId="242" priority="317" stopIfTrue="1">
      <formula>$A484=1</formula>
    </cfRule>
    <cfRule type="expression" dxfId="241" priority="318" stopIfTrue="1">
      <formula>$A484&lt;&gt;"S"</formula>
    </cfRule>
  </conditionalFormatting>
  <conditionalFormatting sqref="Q484:R492 AB484:AM492">
    <cfRule type="expression" dxfId="240" priority="319" stopIfTrue="1">
      <formula>$A484=1</formula>
    </cfRule>
    <cfRule type="expression" dxfId="239" priority="320" stopIfTrue="1">
      <formula>$A484&lt;&gt;"S"</formula>
    </cfRule>
  </conditionalFormatting>
  <conditionalFormatting sqref="D493:O494 T493:Z494">
    <cfRule type="expression" dxfId="238" priority="311" stopIfTrue="1">
      <formula>OR(ACOMPANHAMENTO="PLE",TIPOORCAMENTO="Proposto",$L493&lt;0,AND($L493&gt;100,RegimeExecucao="Global"),$O493&gt;$I493,$O493&lt;0)</formula>
    </cfRule>
    <cfRule type="expression" dxfId="237" priority="312" stopIfTrue="1">
      <formula>$A493=1</formula>
    </cfRule>
    <cfRule type="expression" dxfId="236" priority="313" stopIfTrue="1">
      <formula>$A493&lt;&gt;"S"</formula>
    </cfRule>
  </conditionalFormatting>
  <conditionalFormatting sqref="Q493:R494 AB493:AM494">
    <cfRule type="expression" dxfId="235" priority="314" stopIfTrue="1">
      <formula>$A493=1</formula>
    </cfRule>
    <cfRule type="expression" dxfId="234" priority="315" stopIfTrue="1">
      <formula>$A493&lt;&gt;"S"</formula>
    </cfRule>
  </conditionalFormatting>
  <conditionalFormatting sqref="T459:Z466 D459:O466">
    <cfRule type="expression" dxfId="233" priority="306" stopIfTrue="1">
      <formula>OR(ACOMPANHAMENTO="PLE",TIPOORCAMENTO="Proposto",$L459&lt;0,AND($L459&gt;100,RegimeExecucao="Global"),$O459&gt;$I459,$O459&lt;0)</formula>
    </cfRule>
    <cfRule type="expression" dxfId="232" priority="307" stopIfTrue="1">
      <formula>$A459=1</formula>
    </cfRule>
    <cfRule type="expression" dxfId="231" priority="308" stopIfTrue="1">
      <formula>$A459&lt;&gt;"S"</formula>
    </cfRule>
  </conditionalFormatting>
  <conditionalFormatting sqref="AB459:AM466 Q459:R466">
    <cfRule type="expression" dxfId="230" priority="309" stopIfTrue="1">
      <formula>$A459=1</formula>
    </cfRule>
    <cfRule type="expression" dxfId="229" priority="310" stopIfTrue="1">
      <formula>$A459&lt;&gt;"S"</formula>
    </cfRule>
  </conditionalFormatting>
  <conditionalFormatting sqref="D467:O475 T467:Z475">
    <cfRule type="expression" dxfId="228" priority="301" stopIfTrue="1">
      <formula>OR(ACOMPANHAMENTO="PLE",TIPOORCAMENTO="Proposto",$L467&lt;0,AND($L467&gt;100,RegimeExecucao="Global"),$O467&gt;$I467,$O467&lt;0)</formula>
    </cfRule>
    <cfRule type="expression" dxfId="227" priority="302" stopIfTrue="1">
      <formula>$A467=1</formula>
    </cfRule>
    <cfRule type="expression" dxfId="226" priority="303" stopIfTrue="1">
      <formula>$A467&lt;&gt;"S"</formula>
    </cfRule>
  </conditionalFormatting>
  <conditionalFormatting sqref="Q467:R475 AB467:AM475">
    <cfRule type="expression" dxfId="225" priority="304" stopIfTrue="1">
      <formula>$A467=1</formula>
    </cfRule>
    <cfRule type="expression" dxfId="224" priority="305" stopIfTrue="1">
      <formula>$A467&lt;&gt;"S"</formula>
    </cfRule>
  </conditionalFormatting>
  <conditionalFormatting sqref="D476:O477 T476:Z477">
    <cfRule type="expression" dxfId="223" priority="296" stopIfTrue="1">
      <formula>OR(ACOMPANHAMENTO="PLE",TIPOORCAMENTO="Proposto",$L476&lt;0,AND($L476&gt;100,RegimeExecucao="Global"),$O476&gt;$I476,$O476&lt;0)</formula>
    </cfRule>
    <cfRule type="expression" dxfId="222" priority="297" stopIfTrue="1">
      <formula>$A476=1</formula>
    </cfRule>
    <cfRule type="expression" dxfId="221" priority="298" stopIfTrue="1">
      <formula>$A476&lt;&gt;"S"</formula>
    </cfRule>
  </conditionalFormatting>
  <conditionalFormatting sqref="Q476:R477 AB476:AM477">
    <cfRule type="expression" dxfId="220" priority="299" stopIfTrue="1">
      <formula>$A476=1</formula>
    </cfRule>
    <cfRule type="expression" dxfId="219" priority="300" stopIfTrue="1">
      <formula>$A476&lt;&gt;"S"</formula>
    </cfRule>
  </conditionalFormatting>
  <conditionalFormatting sqref="T439:Z446 D439:O446">
    <cfRule type="expression" dxfId="218" priority="291" stopIfTrue="1">
      <formula>OR(ACOMPANHAMENTO="PLE",TIPOORCAMENTO="Proposto",$L439&lt;0,AND($L439&gt;100,RegimeExecucao="Global"),$O439&gt;$I439,$O439&lt;0)</formula>
    </cfRule>
    <cfRule type="expression" dxfId="217" priority="292" stopIfTrue="1">
      <formula>$A439=1</formula>
    </cfRule>
    <cfRule type="expression" dxfId="216" priority="293" stopIfTrue="1">
      <formula>$A439&lt;&gt;"S"</formula>
    </cfRule>
  </conditionalFormatting>
  <conditionalFormatting sqref="AB439:AM446 Q439:R446">
    <cfRule type="expression" dxfId="215" priority="294" stopIfTrue="1">
      <formula>$A439=1</formula>
    </cfRule>
    <cfRule type="expression" dxfId="214" priority="295" stopIfTrue="1">
      <formula>$A439&lt;&gt;"S"</formula>
    </cfRule>
  </conditionalFormatting>
  <conditionalFormatting sqref="D447:O447 T447:Z447 T449:Z456 D449:O456">
    <cfRule type="expression" dxfId="213" priority="286" stopIfTrue="1">
      <formula>OR(ACOMPANHAMENTO="PLE",TIPOORCAMENTO="Proposto",$L447&lt;0,AND($L447&gt;100,RegimeExecucao="Global"),$O447&gt;$I447,$O447&lt;0)</formula>
    </cfRule>
    <cfRule type="expression" dxfId="212" priority="287" stopIfTrue="1">
      <formula>$A447=1</formula>
    </cfRule>
    <cfRule type="expression" dxfId="211" priority="288" stopIfTrue="1">
      <formula>$A447&lt;&gt;"S"</formula>
    </cfRule>
  </conditionalFormatting>
  <conditionalFormatting sqref="Q447:R447 AB447:AM447 AB449:AM456 Q449:R456">
    <cfRule type="expression" dxfId="210" priority="289" stopIfTrue="1">
      <formula>$A447=1</formula>
    </cfRule>
    <cfRule type="expression" dxfId="209" priority="290" stopIfTrue="1">
      <formula>$A447&lt;&gt;"S"</formula>
    </cfRule>
  </conditionalFormatting>
  <conditionalFormatting sqref="D457:O458 T457:Z458">
    <cfRule type="expression" dxfId="208" priority="281" stopIfTrue="1">
      <formula>OR(ACOMPANHAMENTO="PLE",TIPOORCAMENTO="Proposto",$L457&lt;0,AND($L457&gt;100,RegimeExecucao="Global"),$O457&gt;$I457,$O457&lt;0)</formula>
    </cfRule>
    <cfRule type="expression" dxfId="207" priority="282" stopIfTrue="1">
      <formula>$A457=1</formula>
    </cfRule>
    <cfRule type="expression" dxfId="206" priority="283" stopIfTrue="1">
      <formula>$A457&lt;&gt;"S"</formula>
    </cfRule>
  </conditionalFormatting>
  <conditionalFormatting sqref="Q457:R458 AB457:AM458">
    <cfRule type="expression" dxfId="205" priority="284" stopIfTrue="1">
      <formula>$A457=1</formula>
    </cfRule>
    <cfRule type="expression" dxfId="204" priority="285" stopIfTrue="1">
      <formula>$A457&lt;&gt;"S"</formula>
    </cfRule>
  </conditionalFormatting>
  <conditionalFormatting sqref="D428:O436 T428:Z436">
    <cfRule type="expression" dxfId="203" priority="271" stopIfTrue="1">
      <formula>OR(ACOMPANHAMENTO="PLE",TIPOORCAMENTO="Proposto",$L428&lt;0,AND($L428&gt;100,RegimeExecucao="Global"),$O428&gt;$I428,$O428&lt;0)</formula>
    </cfRule>
    <cfRule type="expression" dxfId="202" priority="272" stopIfTrue="1">
      <formula>$A428=1</formula>
    </cfRule>
    <cfRule type="expression" dxfId="201" priority="273" stopIfTrue="1">
      <formula>$A428&lt;&gt;"S"</formula>
    </cfRule>
  </conditionalFormatting>
  <conditionalFormatting sqref="Q428:R436 AB428:AM436">
    <cfRule type="expression" dxfId="200" priority="274" stopIfTrue="1">
      <formula>$A428=1</formula>
    </cfRule>
    <cfRule type="expression" dxfId="199" priority="275" stopIfTrue="1">
      <formula>$A428&lt;&gt;"S"</formula>
    </cfRule>
  </conditionalFormatting>
  <conditionalFormatting sqref="D437:O438 T437:Z438">
    <cfRule type="expression" dxfId="198" priority="266" stopIfTrue="1">
      <formula>OR(ACOMPANHAMENTO="PLE",TIPOORCAMENTO="Proposto",$L437&lt;0,AND($L437&gt;100,RegimeExecucao="Global"),$O437&gt;$I437,$O437&lt;0)</formula>
    </cfRule>
    <cfRule type="expression" dxfId="197" priority="267" stopIfTrue="1">
      <formula>$A437=1</formula>
    </cfRule>
    <cfRule type="expression" dxfId="196" priority="268" stopIfTrue="1">
      <formula>$A437&lt;&gt;"S"</formula>
    </cfRule>
  </conditionalFormatting>
  <conditionalFormatting sqref="Q437:R438 AB437:AM438">
    <cfRule type="expression" dxfId="195" priority="269" stopIfTrue="1">
      <formula>$A437=1</formula>
    </cfRule>
    <cfRule type="expression" dxfId="194" priority="270" stopIfTrue="1">
      <formula>$A437&lt;&gt;"S"</formula>
    </cfRule>
  </conditionalFormatting>
  <conditionalFormatting sqref="D523:O523 T523:Z523 T543:Z550 D543:O550">
    <cfRule type="expression" dxfId="193" priority="261" stopIfTrue="1">
      <formula>OR(ACOMPANHAMENTO="PLE",TIPOORCAMENTO="Proposto",$L523&lt;0,AND($L523&gt;100,RegimeExecucao="Global"),$O523&gt;$I523,$O523&lt;0)</formula>
    </cfRule>
    <cfRule type="expression" dxfId="192" priority="262" stopIfTrue="1">
      <formula>$A523=1</formula>
    </cfRule>
    <cfRule type="expression" dxfId="191" priority="263" stopIfTrue="1">
      <formula>$A523&lt;&gt;"S"</formula>
    </cfRule>
  </conditionalFormatting>
  <conditionalFormatting sqref="Q523:R523 AB523:AM523 AB543:AM550 Q543:R550">
    <cfRule type="expression" dxfId="190" priority="264" stopIfTrue="1">
      <formula>$A523=1</formula>
    </cfRule>
    <cfRule type="expression" dxfId="189" priority="265" stopIfTrue="1">
      <formula>$A523&lt;&gt;"S"</formula>
    </cfRule>
  </conditionalFormatting>
  <conditionalFormatting sqref="D551:O553 T551:Z553 T589:Z589 D589:O589">
    <cfRule type="expression" dxfId="188" priority="256" stopIfTrue="1">
      <formula>OR(ACOMPANHAMENTO="PLE",TIPOORCAMENTO="Proposto",$L551&lt;0,AND($L551&gt;100,RegimeExecucao="Global"),$O551&gt;$I551,$O551&lt;0)</formula>
    </cfRule>
    <cfRule type="expression" dxfId="187" priority="257" stopIfTrue="1">
      <formula>$A551=1</formula>
    </cfRule>
    <cfRule type="expression" dxfId="186" priority="258" stopIfTrue="1">
      <formula>$A551&lt;&gt;"S"</formula>
    </cfRule>
  </conditionalFormatting>
  <conditionalFormatting sqref="Q551:R553 AB551:AM553 AB589:AM589 Q589:R589">
    <cfRule type="expression" dxfId="185" priority="259" stopIfTrue="1">
      <formula>$A551=1</formula>
    </cfRule>
    <cfRule type="expression" dxfId="184" priority="260" stopIfTrue="1">
      <formula>$A551&lt;&gt;"S"</formula>
    </cfRule>
  </conditionalFormatting>
  <conditionalFormatting sqref="D524:O532 T524:Z532">
    <cfRule type="expression" dxfId="183" priority="246" stopIfTrue="1">
      <formula>OR(ACOMPANHAMENTO="PLE",TIPOORCAMENTO="Proposto",$L524&lt;0,AND($L524&gt;100,RegimeExecucao="Global"),$O524&gt;$I524,$O524&lt;0)</formula>
    </cfRule>
    <cfRule type="expression" dxfId="182" priority="247" stopIfTrue="1">
      <formula>$A524=1</formula>
    </cfRule>
    <cfRule type="expression" dxfId="181" priority="248" stopIfTrue="1">
      <formula>$A524&lt;&gt;"S"</formula>
    </cfRule>
  </conditionalFormatting>
  <conditionalFormatting sqref="Q524:R532 AB524:AM532">
    <cfRule type="expression" dxfId="180" priority="249" stopIfTrue="1">
      <formula>$A524=1</formula>
    </cfRule>
    <cfRule type="expression" dxfId="179" priority="250" stopIfTrue="1">
      <formula>$A524&lt;&gt;"S"</formula>
    </cfRule>
  </conditionalFormatting>
  <conditionalFormatting sqref="D541:O542 T541:Z542">
    <cfRule type="expression" dxfId="178" priority="236" stopIfTrue="1">
      <formula>OR(ACOMPANHAMENTO="PLE",TIPOORCAMENTO="Proposto",$L541&lt;0,AND($L541&gt;100,RegimeExecucao="Global"),$O541&gt;$I541,$O541&lt;0)</formula>
    </cfRule>
    <cfRule type="expression" dxfId="177" priority="237" stopIfTrue="1">
      <formula>$A541=1</formula>
    </cfRule>
    <cfRule type="expression" dxfId="176" priority="238" stopIfTrue="1">
      <formula>$A541&lt;&gt;"S"</formula>
    </cfRule>
  </conditionalFormatting>
  <conditionalFormatting sqref="Q541:R542 AB541:AM542">
    <cfRule type="expression" dxfId="175" priority="239" stopIfTrue="1">
      <formula>$A541=1</formula>
    </cfRule>
    <cfRule type="expression" dxfId="174" priority="240" stopIfTrue="1">
      <formula>$A541&lt;&gt;"S"</formula>
    </cfRule>
  </conditionalFormatting>
  <conditionalFormatting sqref="D554:O554 T554:Z554">
    <cfRule type="expression" dxfId="173" priority="231" stopIfTrue="1">
      <formula>OR(ACOMPANHAMENTO="PLE",TIPOORCAMENTO="Proposto",$L554&lt;0,AND($L554&gt;100,RegimeExecucao="Global"),$O554&gt;$I554,$O554&lt;0)</formula>
    </cfRule>
    <cfRule type="expression" dxfId="172" priority="232" stopIfTrue="1">
      <formula>$A554=1</formula>
    </cfRule>
    <cfRule type="expression" dxfId="171" priority="233" stopIfTrue="1">
      <formula>$A554&lt;&gt;"S"</formula>
    </cfRule>
  </conditionalFormatting>
  <conditionalFormatting sqref="Q554:R554 AB554:AM554">
    <cfRule type="expression" dxfId="170" priority="234" stopIfTrue="1">
      <formula>$A554=1</formula>
    </cfRule>
    <cfRule type="expression" dxfId="169" priority="235" stopIfTrue="1">
      <formula>$A554&lt;&gt;"S"</formula>
    </cfRule>
  </conditionalFormatting>
  <conditionalFormatting sqref="D587:O588 T587:Z588">
    <cfRule type="expression" dxfId="168" priority="221" stopIfTrue="1">
      <formula>OR(ACOMPANHAMENTO="PLE",TIPOORCAMENTO="Proposto",$L587&lt;0,AND($L587&gt;100,RegimeExecucao="Global"),$O587&gt;$I587,$O587&lt;0)</formula>
    </cfRule>
    <cfRule type="expression" dxfId="167" priority="222" stopIfTrue="1">
      <formula>$A587=1</formula>
    </cfRule>
    <cfRule type="expression" dxfId="166" priority="223" stopIfTrue="1">
      <formula>$A587&lt;&gt;"S"</formula>
    </cfRule>
  </conditionalFormatting>
  <conditionalFormatting sqref="Q587:R588 AB587:AM588">
    <cfRule type="expression" dxfId="165" priority="224" stopIfTrue="1">
      <formula>$A587=1</formula>
    </cfRule>
    <cfRule type="expression" dxfId="164" priority="225" stopIfTrue="1">
      <formula>$A587&lt;&gt;"S"</formula>
    </cfRule>
  </conditionalFormatting>
  <conditionalFormatting sqref="D555:O563 T555:Z563">
    <cfRule type="expression" dxfId="163" priority="216" stopIfTrue="1">
      <formula>OR(ACOMPANHAMENTO="PLE",TIPOORCAMENTO="Proposto",$L555&lt;0,AND($L555&gt;100,RegimeExecucao="Global"),$O555&gt;$I555,$O555&lt;0)</formula>
    </cfRule>
    <cfRule type="expression" dxfId="162" priority="217" stopIfTrue="1">
      <formula>$A555=1</formula>
    </cfRule>
    <cfRule type="expression" dxfId="161" priority="218" stopIfTrue="1">
      <formula>$A555&lt;&gt;"S"</formula>
    </cfRule>
  </conditionalFormatting>
  <conditionalFormatting sqref="Q555:R563 AB555:AM563">
    <cfRule type="expression" dxfId="160" priority="219" stopIfTrue="1">
      <formula>$A555=1</formula>
    </cfRule>
    <cfRule type="expression" dxfId="159" priority="220" stopIfTrue="1">
      <formula>$A555&lt;&gt;"S"</formula>
    </cfRule>
  </conditionalFormatting>
  <conditionalFormatting sqref="D564:O572 T564:Z572">
    <cfRule type="expression" dxfId="158" priority="211" stopIfTrue="1">
      <formula>OR(ACOMPANHAMENTO="PLE",TIPOORCAMENTO="Proposto",$L564&lt;0,AND($L564&gt;100,RegimeExecucao="Global"),$O564&gt;$I564,$O564&lt;0)</formula>
    </cfRule>
    <cfRule type="expression" dxfId="157" priority="212" stopIfTrue="1">
      <formula>$A564=1</formula>
    </cfRule>
    <cfRule type="expression" dxfId="156" priority="213" stopIfTrue="1">
      <formula>$A564&lt;&gt;"S"</formula>
    </cfRule>
  </conditionalFormatting>
  <conditionalFormatting sqref="Q564:R572 AB564:AM572">
    <cfRule type="expression" dxfId="155" priority="214" stopIfTrue="1">
      <formula>$A564=1</formula>
    </cfRule>
    <cfRule type="expression" dxfId="154" priority="215" stopIfTrue="1">
      <formula>$A564&lt;&gt;"S"</formula>
    </cfRule>
  </conditionalFormatting>
  <conditionalFormatting sqref="T729:Z731 D729:O731">
    <cfRule type="expression" dxfId="153" priority="201" stopIfTrue="1">
      <formula>OR(ACOMPANHAMENTO="PLE",TIPOORCAMENTO="Proposto",$L729&lt;0,AND($L729&gt;100,RegimeExecucao="Global"),$O729&gt;$I729,$O729&lt;0)</formula>
    </cfRule>
    <cfRule type="expression" dxfId="152" priority="202" stopIfTrue="1">
      <formula>$A729=1</formula>
    </cfRule>
    <cfRule type="expression" dxfId="151" priority="203" stopIfTrue="1">
      <formula>$A729&lt;&gt;"S"</formula>
    </cfRule>
  </conditionalFormatting>
  <conditionalFormatting sqref="AB729:AM731 Q729:R731">
    <cfRule type="expression" dxfId="150" priority="204" stopIfTrue="1">
      <formula>$A729=1</formula>
    </cfRule>
    <cfRule type="expression" dxfId="149" priority="205" stopIfTrue="1">
      <formula>$A729&lt;&gt;"S"</formula>
    </cfRule>
  </conditionalFormatting>
  <conditionalFormatting sqref="D732:O740 T732:Z740">
    <cfRule type="expression" dxfId="148" priority="196" stopIfTrue="1">
      <formula>OR(ACOMPANHAMENTO="PLE",TIPOORCAMENTO="Proposto",$L732&lt;0,AND($L732&gt;100,RegimeExecucao="Global"),$O732&gt;$I732,$O732&lt;0)</formula>
    </cfRule>
    <cfRule type="expression" dxfId="147" priority="197" stopIfTrue="1">
      <formula>$A732=1</formula>
    </cfRule>
    <cfRule type="expression" dxfId="146" priority="198" stopIfTrue="1">
      <formula>$A732&lt;&gt;"S"</formula>
    </cfRule>
  </conditionalFormatting>
  <conditionalFormatting sqref="Q732:R740 AB732:AM740">
    <cfRule type="expression" dxfId="145" priority="199" stopIfTrue="1">
      <formula>$A732=1</formula>
    </cfRule>
    <cfRule type="expression" dxfId="144" priority="200" stopIfTrue="1">
      <formula>$A732&lt;&gt;"S"</formula>
    </cfRule>
  </conditionalFormatting>
  <conditionalFormatting sqref="D741:O742 T741:Z742">
    <cfRule type="expression" dxfId="143" priority="191" stopIfTrue="1">
      <formula>OR(ACOMPANHAMENTO="PLE",TIPOORCAMENTO="Proposto",$L741&lt;0,AND($L741&gt;100,RegimeExecucao="Global"),$O741&gt;$I741,$O741&lt;0)</formula>
    </cfRule>
    <cfRule type="expression" dxfId="142" priority="192" stopIfTrue="1">
      <formula>$A741=1</formula>
    </cfRule>
    <cfRule type="expression" dxfId="141" priority="193" stopIfTrue="1">
      <formula>$A741&lt;&gt;"S"</formula>
    </cfRule>
  </conditionalFormatting>
  <conditionalFormatting sqref="Q741:R742 AB741:AM742">
    <cfRule type="expression" dxfId="140" priority="194" stopIfTrue="1">
      <formula>$A741=1</formula>
    </cfRule>
    <cfRule type="expression" dxfId="139" priority="195" stopIfTrue="1">
      <formula>$A741&lt;&gt;"S"</formula>
    </cfRule>
  </conditionalFormatting>
  <conditionalFormatting sqref="D594:O602 T594:Z602">
    <cfRule type="expression" dxfId="138" priority="186" stopIfTrue="1">
      <formula>OR(ACOMPANHAMENTO="PLE",TIPOORCAMENTO="Proposto",$L594&lt;0,AND($L594&gt;100,RegimeExecucao="Global"),$O594&gt;$I594,$O594&lt;0)</formula>
    </cfRule>
    <cfRule type="expression" dxfId="137" priority="187" stopIfTrue="1">
      <formula>$A594=1</formula>
    </cfRule>
    <cfRule type="expression" dxfId="136" priority="188" stopIfTrue="1">
      <formula>$A594&lt;&gt;"S"</formula>
    </cfRule>
  </conditionalFormatting>
  <conditionalFormatting sqref="Q594:R602 AB594:AM602">
    <cfRule type="expression" dxfId="135" priority="189" stopIfTrue="1">
      <formula>$A594=1</formula>
    </cfRule>
    <cfRule type="expression" dxfId="134" priority="190" stopIfTrue="1">
      <formula>$A594&lt;&gt;"S"</formula>
    </cfRule>
  </conditionalFormatting>
  <conditionalFormatting sqref="T700:Z707 D700:O707">
    <cfRule type="expression" dxfId="133" priority="171" stopIfTrue="1">
      <formula>OR(ACOMPANHAMENTO="PLE",TIPOORCAMENTO="Proposto",$L700&lt;0,AND($L700&gt;100,RegimeExecucao="Global"),$O700&gt;$I700,$O700&lt;0)</formula>
    </cfRule>
    <cfRule type="expression" dxfId="132" priority="172" stopIfTrue="1">
      <formula>$A700=1</formula>
    </cfRule>
    <cfRule type="expression" dxfId="131" priority="173" stopIfTrue="1">
      <formula>$A700&lt;&gt;"S"</formula>
    </cfRule>
  </conditionalFormatting>
  <conditionalFormatting sqref="AB700:AM707 Q700:R707">
    <cfRule type="expression" dxfId="130" priority="174" stopIfTrue="1">
      <formula>$A700=1</formula>
    </cfRule>
    <cfRule type="expression" dxfId="129" priority="175" stopIfTrue="1">
      <formula>$A700&lt;&gt;"S"</formula>
    </cfRule>
  </conditionalFormatting>
  <conditionalFormatting sqref="D719:O719 T719:Z719">
    <cfRule type="expression" dxfId="128" priority="161" stopIfTrue="1">
      <formula>OR(ACOMPANHAMENTO="PLE",TIPOORCAMENTO="Proposto",$L719&lt;0,AND($L719&gt;100,RegimeExecucao="Global"),$O719&gt;$I719,$O719&lt;0)</formula>
    </cfRule>
    <cfRule type="expression" dxfId="127" priority="162" stopIfTrue="1">
      <formula>$A719=1</formula>
    </cfRule>
    <cfRule type="expression" dxfId="126" priority="163" stopIfTrue="1">
      <formula>$A719&lt;&gt;"S"</formula>
    </cfRule>
  </conditionalFormatting>
  <conditionalFormatting sqref="Q719:R719 AB719:AM719">
    <cfRule type="expression" dxfId="125" priority="164" stopIfTrue="1">
      <formula>$A719=1</formula>
    </cfRule>
    <cfRule type="expression" dxfId="124" priority="165" stopIfTrue="1">
      <formula>$A719&lt;&gt;"S"</formula>
    </cfRule>
  </conditionalFormatting>
  <conditionalFormatting sqref="T682:Z689 D682:O689">
    <cfRule type="expression" dxfId="123" priority="156" stopIfTrue="1">
      <formula>OR(ACOMPANHAMENTO="PLE",TIPOORCAMENTO="Proposto",$L682&lt;0,AND($L682&gt;100,RegimeExecucao="Global"),$O682&gt;$I682,$O682&lt;0)</formula>
    </cfRule>
    <cfRule type="expression" dxfId="122" priority="157" stopIfTrue="1">
      <formula>$A682=1</formula>
    </cfRule>
    <cfRule type="expression" dxfId="121" priority="158" stopIfTrue="1">
      <formula>$A682&lt;&gt;"S"</formula>
    </cfRule>
  </conditionalFormatting>
  <conditionalFormatting sqref="AB682:AM689 Q682:R689">
    <cfRule type="expression" dxfId="120" priority="159" stopIfTrue="1">
      <formula>$A682=1</formula>
    </cfRule>
    <cfRule type="expression" dxfId="119" priority="160" stopIfTrue="1">
      <formula>$A682&lt;&gt;"S"</formula>
    </cfRule>
  </conditionalFormatting>
  <conditionalFormatting sqref="D697:O698 T697:Z698">
    <cfRule type="expression" dxfId="118" priority="146" stopIfTrue="1">
      <formula>OR(ACOMPANHAMENTO="PLE",TIPOORCAMENTO="Proposto",$L697&lt;0,AND($L697&gt;100,RegimeExecucao="Global"),$O697&gt;$I697,$O697&lt;0)</formula>
    </cfRule>
    <cfRule type="expression" dxfId="117" priority="147" stopIfTrue="1">
      <formula>$A697=1</formula>
    </cfRule>
    <cfRule type="expression" dxfId="116" priority="148" stopIfTrue="1">
      <formula>$A697&lt;&gt;"S"</formula>
    </cfRule>
  </conditionalFormatting>
  <conditionalFormatting sqref="Q697:R698 AB697:AM698">
    <cfRule type="expression" dxfId="115" priority="149" stopIfTrue="1">
      <formula>$A697=1</formula>
    </cfRule>
    <cfRule type="expression" dxfId="114" priority="150" stopIfTrue="1">
      <formula>$A697&lt;&gt;"S"</formula>
    </cfRule>
  </conditionalFormatting>
  <conditionalFormatting sqref="T620:Z627 D620:O627">
    <cfRule type="expression" dxfId="113" priority="126" stopIfTrue="1">
      <formula>OR(ACOMPANHAMENTO="PLE",TIPOORCAMENTO="Proposto",$L620&lt;0,AND($L620&gt;100,RegimeExecucao="Global"),$O620&gt;$I620,$O620&lt;0)</formula>
    </cfRule>
    <cfRule type="expression" dxfId="112" priority="127" stopIfTrue="1">
      <formula>$A620=1</formula>
    </cfRule>
    <cfRule type="expression" dxfId="111" priority="128" stopIfTrue="1">
      <formula>$A620&lt;&gt;"S"</formula>
    </cfRule>
  </conditionalFormatting>
  <conditionalFormatting sqref="AB620:AM627 Q620:R627">
    <cfRule type="expression" dxfId="110" priority="129" stopIfTrue="1">
      <formula>$A620=1</formula>
    </cfRule>
    <cfRule type="expression" dxfId="109" priority="130" stopIfTrue="1">
      <formula>$A620&lt;&gt;"S"</formula>
    </cfRule>
  </conditionalFormatting>
  <conditionalFormatting sqref="D628:O636 T628:Z636">
    <cfRule type="expression" dxfId="108" priority="121" stopIfTrue="1">
      <formula>OR(ACOMPANHAMENTO="PLE",TIPOORCAMENTO="Proposto",$L628&lt;0,AND($L628&gt;100,RegimeExecucao="Global"),$O628&gt;$I628,$O628&lt;0)</formula>
    </cfRule>
    <cfRule type="expression" dxfId="107" priority="122" stopIfTrue="1">
      <formula>$A628=1</formula>
    </cfRule>
    <cfRule type="expression" dxfId="106" priority="123" stopIfTrue="1">
      <formula>$A628&lt;&gt;"S"</formula>
    </cfRule>
  </conditionalFormatting>
  <conditionalFormatting sqref="Q628:R636 AB628:AM636">
    <cfRule type="expression" dxfId="105" priority="124" stopIfTrue="1">
      <formula>$A628=1</formula>
    </cfRule>
    <cfRule type="expression" dxfId="104" priority="125" stopIfTrue="1">
      <formula>$A628&lt;&gt;"S"</formula>
    </cfRule>
  </conditionalFormatting>
  <conditionalFormatting sqref="D637:O638 T637:Z638">
    <cfRule type="expression" dxfId="103" priority="116" stopIfTrue="1">
      <formula>OR(ACOMPANHAMENTO="PLE",TIPOORCAMENTO="Proposto",$L637&lt;0,AND($L637&gt;100,RegimeExecucao="Global"),$O637&gt;$I637,$O637&lt;0)</formula>
    </cfRule>
    <cfRule type="expression" dxfId="102" priority="117" stopIfTrue="1">
      <formula>$A637=1</formula>
    </cfRule>
    <cfRule type="expression" dxfId="101" priority="118" stopIfTrue="1">
      <formula>$A637&lt;&gt;"S"</formula>
    </cfRule>
  </conditionalFormatting>
  <conditionalFormatting sqref="Q637:R638 AB637:AM638">
    <cfRule type="expression" dxfId="100" priority="119" stopIfTrue="1">
      <formula>$A637=1</formula>
    </cfRule>
    <cfRule type="expression" dxfId="99" priority="120" stopIfTrue="1">
      <formula>$A637&lt;&gt;"S"</formula>
    </cfRule>
  </conditionalFormatting>
  <conditionalFormatting sqref="D39:O39 T39:Z39">
    <cfRule type="expression" dxfId="98" priority="96" stopIfTrue="1">
      <formula>OR(ACOMPANHAMENTO="PLE",TIPOORCAMENTO="Proposto",$L39&lt;0,AND($L39&gt;100,RegimeExecucao="Global"),$O39&gt;$I39,$O39&lt;0)</formula>
    </cfRule>
    <cfRule type="expression" dxfId="97" priority="97" stopIfTrue="1">
      <formula>$A39=1</formula>
    </cfRule>
    <cfRule type="expression" dxfId="96" priority="98" stopIfTrue="1">
      <formula>$A39&lt;&gt;"S"</formula>
    </cfRule>
  </conditionalFormatting>
  <conditionalFormatting sqref="Q39:R39 AB39:AM39">
    <cfRule type="expression" dxfId="95" priority="99" stopIfTrue="1">
      <formula>$A39=1</formula>
    </cfRule>
    <cfRule type="expression" dxfId="94" priority="100" stopIfTrue="1">
      <formula>$A39&lt;&gt;"S"</formula>
    </cfRule>
  </conditionalFormatting>
  <conditionalFormatting sqref="D47:O47 T47:Z47">
    <cfRule type="expression" dxfId="93" priority="91" stopIfTrue="1">
      <formula>OR(ACOMPANHAMENTO="PLE",TIPOORCAMENTO="Proposto",$L47&lt;0,AND($L47&gt;100,RegimeExecucao="Global"),$O47&gt;$I47,$O47&lt;0)</formula>
    </cfRule>
    <cfRule type="expression" dxfId="92" priority="92" stopIfTrue="1">
      <formula>$A47=1</formula>
    </cfRule>
    <cfRule type="expression" dxfId="91" priority="93" stopIfTrue="1">
      <formula>$A47&lt;&gt;"S"</formula>
    </cfRule>
  </conditionalFormatting>
  <conditionalFormatting sqref="Q47:R47 AB47:AM47">
    <cfRule type="expression" dxfId="90" priority="94" stopIfTrue="1">
      <formula>$A47=1</formula>
    </cfRule>
    <cfRule type="expression" dxfId="89" priority="95" stopIfTrue="1">
      <formula>$A47&lt;&gt;"S"</formula>
    </cfRule>
  </conditionalFormatting>
  <conditionalFormatting sqref="D58:O58 T58:Z58">
    <cfRule type="expression" dxfId="88" priority="86" stopIfTrue="1">
      <formula>OR(ACOMPANHAMENTO="PLE",TIPOORCAMENTO="Proposto",$L58&lt;0,AND($L58&gt;100,RegimeExecucao="Global"),$O58&gt;$I58,$O58&lt;0)</formula>
    </cfRule>
    <cfRule type="expression" dxfId="87" priority="87" stopIfTrue="1">
      <formula>$A58=1</formula>
    </cfRule>
    <cfRule type="expression" dxfId="86" priority="88" stopIfTrue="1">
      <formula>$A58&lt;&gt;"S"</formula>
    </cfRule>
  </conditionalFormatting>
  <conditionalFormatting sqref="Q58:R58 AB58:AM58">
    <cfRule type="expression" dxfId="85" priority="89" stopIfTrue="1">
      <formula>$A58=1</formula>
    </cfRule>
    <cfRule type="expression" dxfId="84" priority="90" stopIfTrue="1">
      <formula>$A58&lt;&gt;"S"</formula>
    </cfRule>
  </conditionalFormatting>
  <conditionalFormatting sqref="D67:O74 T67:Z74">
    <cfRule type="expression" dxfId="83" priority="81" stopIfTrue="1">
      <formula>OR(ACOMPANHAMENTO="PLE",TIPOORCAMENTO="Proposto",$L67&lt;0,AND($L67&gt;100,RegimeExecucao="Global"),$O67&gt;$I67,$O67&lt;0)</formula>
    </cfRule>
    <cfRule type="expression" dxfId="82" priority="82" stopIfTrue="1">
      <formula>$A67=1</formula>
    </cfRule>
    <cfRule type="expression" dxfId="81" priority="83" stopIfTrue="1">
      <formula>$A67&lt;&gt;"S"</formula>
    </cfRule>
  </conditionalFormatting>
  <conditionalFormatting sqref="Q67:R74 AB67:AM74">
    <cfRule type="expression" dxfId="80" priority="84" stopIfTrue="1">
      <formula>$A67=1</formula>
    </cfRule>
    <cfRule type="expression" dxfId="79" priority="85" stopIfTrue="1">
      <formula>$A67&lt;&gt;"S"</formula>
    </cfRule>
  </conditionalFormatting>
  <conditionalFormatting sqref="D62:O66 T62:Z66">
    <cfRule type="expression" dxfId="78" priority="76" stopIfTrue="1">
      <formula>OR(ACOMPANHAMENTO="PLE",TIPOORCAMENTO="Proposto",$L62&lt;0,AND($L62&gt;100,RegimeExecucao="Global"),$O62&gt;$I62,$O62&lt;0)</formula>
    </cfRule>
    <cfRule type="expression" dxfId="77" priority="77" stopIfTrue="1">
      <formula>$A62=1</formula>
    </cfRule>
    <cfRule type="expression" dxfId="76" priority="78" stopIfTrue="1">
      <formula>$A62&lt;&gt;"S"</formula>
    </cfRule>
  </conditionalFormatting>
  <conditionalFormatting sqref="Q62:R66 AB62:AM66">
    <cfRule type="expression" dxfId="75" priority="79" stopIfTrue="1">
      <formula>$A62=1</formula>
    </cfRule>
    <cfRule type="expression" dxfId="74" priority="80" stopIfTrue="1">
      <formula>$A62&lt;&gt;"S"</formula>
    </cfRule>
  </conditionalFormatting>
  <conditionalFormatting sqref="D87:O87 T87:Z87">
    <cfRule type="expression" dxfId="73" priority="71" stopIfTrue="1">
      <formula>OR(ACOMPANHAMENTO="PLE",TIPOORCAMENTO="Proposto",$L87&lt;0,AND($L87&gt;100,RegimeExecucao="Global"),$O87&gt;$I87,$O87&lt;0)</formula>
    </cfRule>
    <cfRule type="expression" dxfId="72" priority="72" stopIfTrue="1">
      <formula>$A87=1</formula>
    </cfRule>
    <cfRule type="expression" dxfId="71" priority="73" stopIfTrue="1">
      <formula>$A87&lt;&gt;"S"</formula>
    </cfRule>
  </conditionalFormatting>
  <conditionalFormatting sqref="Q87:R87 AB87:AM87">
    <cfRule type="expression" dxfId="70" priority="74" stopIfTrue="1">
      <formula>$A87=1</formula>
    </cfRule>
    <cfRule type="expression" dxfId="69" priority="75" stopIfTrue="1">
      <formula>$A87&lt;&gt;"S"</formula>
    </cfRule>
  </conditionalFormatting>
  <conditionalFormatting sqref="D85:O85 T85:Z85">
    <cfRule type="expression" dxfId="68" priority="66" stopIfTrue="1">
      <formula>OR(ACOMPANHAMENTO="PLE",TIPOORCAMENTO="Proposto",$L85&lt;0,AND($L85&gt;100,RegimeExecucao="Global"),$O85&gt;$I85,$O85&lt;0)</formula>
    </cfRule>
    <cfRule type="expression" dxfId="67" priority="67" stopIfTrue="1">
      <formula>$A85=1</formula>
    </cfRule>
    <cfRule type="expression" dxfId="66" priority="68" stopIfTrue="1">
      <formula>$A85&lt;&gt;"S"</formula>
    </cfRule>
  </conditionalFormatting>
  <conditionalFormatting sqref="Q85:R85 AB85:AM85">
    <cfRule type="expression" dxfId="65" priority="69" stopIfTrue="1">
      <formula>$A85=1</formula>
    </cfRule>
    <cfRule type="expression" dxfId="64" priority="70" stopIfTrue="1">
      <formula>$A85&lt;&gt;"S"</formula>
    </cfRule>
  </conditionalFormatting>
  <conditionalFormatting sqref="D95:O99 T95:Z99">
    <cfRule type="expression" dxfId="63" priority="61" stopIfTrue="1">
      <formula>OR(ACOMPANHAMENTO="PLE",TIPOORCAMENTO="Proposto",$L95&lt;0,AND($L95&gt;100,RegimeExecucao="Global"),$O95&gt;$I95,$O95&lt;0)</formula>
    </cfRule>
    <cfRule type="expression" dxfId="62" priority="62" stopIfTrue="1">
      <formula>$A95=1</formula>
    </cfRule>
    <cfRule type="expression" dxfId="61" priority="63" stopIfTrue="1">
      <formula>$A95&lt;&gt;"S"</formula>
    </cfRule>
  </conditionalFormatting>
  <conditionalFormatting sqref="Q95:R99 AB95:AM99">
    <cfRule type="expression" dxfId="60" priority="64" stopIfTrue="1">
      <formula>$A95=1</formula>
    </cfRule>
    <cfRule type="expression" dxfId="59" priority="65" stopIfTrue="1">
      <formula>$A95&lt;&gt;"S"</formula>
    </cfRule>
  </conditionalFormatting>
  <conditionalFormatting sqref="D102:O104 T102:Z104">
    <cfRule type="expression" dxfId="58" priority="56" stopIfTrue="1">
      <formula>OR(ACOMPANHAMENTO="PLE",TIPOORCAMENTO="Proposto",$L102&lt;0,AND($L102&gt;100,RegimeExecucao="Global"),$O102&gt;$I102,$O102&lt;0)</formula>
    </cfRule>
    <cfRule type="expression" dxfId="57" priority="57" stopIfTrue="1">
      <formula>$A102=1</formula>
    </cfRule>
    <cfRule type="expression" dxfId="56" priority="58" stopIfTrue="1">
      <formula>$A102&lt;&gt;"S"</formula>
    </cfRule>
  </conditionalFormatting>
  <conditionalFormatting sqref="Q102:R104 AB102:AM104">
    <cfRule type="expression" dxfId="55" priority="59" stopIfTrue="1">
      <formula>$A102=1</formula>
    </cfRule>
    <cfRule type="expression" dxfId="54" priority="60" stopIfTrue="1">
      <formula>$A102&lt;&gt;"S"</formula>
    </cfRule>
  </conditionalFormatting>
  <conditionalFormatting sqref="D207:O212 T207:Z212">
    <cfRule type="expression" dxfId="53" priority="41" stopIfTrue="1">
      <formula>OR(ACOMPANHAMENTO="PLE",TIPOORCAMENTO="Proposto",$L207&lt;0,AND($L207&gt;100,RegimeExecucao="Global"),$O207&gt;$I207,$O207&lt;0)</formula>
    </cfRule>
    <cfRule type="expression" dxfId="52" priority="42" stopIfTrue="1">
      <formula>$A207=1</formula>
    </cfRule>
    <cfRule type="expression" dxfId="51" priority="43" stopIfTrue="1">
      <formula>$A207&lt;&gt;"S"</formula>
    </cfRule>
  </conditionalFormatting>
  <conditionalFormatting sqref="Q207:R212 AB207:AM212">
    <cfRule type="expression" dxfId="50" priority="44" stopIfTrue="1">
      <formula>$A207=1</formula>
    </cfRule>
    <cfRule type="expression" dxfId="49" priority="45" stopIfTrue="1">
      <formula>$A207&lt;&gt;"S"</formula>
    </cfRule>
  </conditionalFormatting>
  <conditionalFormatting sqref="D226:O226 T226:Z226">
    <cfRule type="expression" dxfId="48" priority="36" stopIfTrue="1">
      <formula>OR(ACOMPANHAMENTO="PLE",TIPOORCAMENTO="Proposto",$L226&lt;0,AND($L226&gt;100,RegimeExecucao="Global"),$O226&gt;$I226,$O226&lt;0)</formula>
    </cfRule>
    <cfRule type="expression" dxfId="47" priority="37" stopIfTrue="1">
      <formula>$A226=1</formula>
    </cfRule>
    <cfRule type="expression" dxfId="46" priority="38" stopIfTrue="1">
      <formula>$A226&lt;&gt;"S"</formula>
    </cfRule>
  </conditionalFormatting>
  <conditionalFormatting sqref="Q226:R226 AB226:AM226">
    <cfRule type="expression" dxfId="45" priority="39" stopIfTrue="1">
      <formula>$A226=1</formula>
    </cfRule>
    <cfRule type="expression" dxfId="44" priority="40" stopIfTrue="1">
      <formula>$A226&lt;&gt;"S"</formula>
    </cfRule>
  </conditionalFormatting>
  <conditionalFormatting sqref="D236:O239 T236:Z239">
    <cfRule type="expression" dxfId="43" priority="31" stopIfTrue="1">
      <formula>OR(ACOMPANHAMENTO="PLE",TIPOORCAMENTO="Proposto",$L236&lt;0,AND($L236&gt;100,RegimeExecucao="Global"),$O236&gt;$I236,$O236&lt;0)</formula>
    </cfRule>
    <cfRule type="expression" dxfId="42" priority="32" stopIfTrue="1">
      <formula>$A236=1</formula>
    </cfRule>
    <cfRule type="expression" dxfId="41" priority="33" stopIfTrue="1">
      <formula>$A236&lt;&gt;"S"</formula>
    </cfRule>
  </conditionalFormatting>
  <conditionalFormatting sqref="Q236:R239 AB236:AM239">
    <cfRule type="expression" dxfId="40" priority="34" stopIfTrue="1">
      <formula>$A236=1</formula>
    </cfRule>
    <cfRule type="expression" dxfId="39" priority="35" stopIfTrue="1">
      <formula>$A236&lt;&gt;"S"</formula>
    </cfRule>
  </conditionalFormatting>
  <conditionalFormatting sqref="D250:O250 T250:Z250">
    <cfRule type="expression" dxfId="38" priority="26" stopIfTrue="1">
      <formula>OR(ACOMPANHAMENTO="PLE",TIPOORCAMENTO="Proposto",$L250&lt;0,AND($L250&gt;100,RegimeExecucao="Global"),$O250&gt;$I250,$O250&lt;0)</formula>
    </cfRule>
    <cfRule type="expression" dxfId="37" priority="27" stopIfTrue="1">
      <formula>$A250=1</formula>
    </cfRule>
    <cfRule type="expression" dxfId="36" priority="28" stopIfTrue="1">
      <formula>$A250&lt;&gt;"S"</formula>
    </cfRule>
  </conditionalFormatting>
  <conditionalFormatting sqref="Q250:R250 AB250:AM250">
    <cfRule type="expression" dxfId="35" priority="29" stopIfTrue="1">
      <formula>$A250=1</formula>
    </cfRule>
    <cfRule type="expression" dxfId="34" priority="30" stopIfTrue="1">
      <formula>$A250&lt;&gt;"S"</formula>
    </cfRule>
  </conditionalFormatting>
  <conditionalFormatting sqref="D305:O305 T305:Z305">
    <cfRule type="expression" dxfId="33" priority="21" stopIfTrue="1">
      <formula>OR(ACOMPANHAMENTO="PLE",TIPOORCAMENTO="Proposto",$L305&lt;0,AND($L305&gt;100,RegimeExecucao="Global"),$O305&gt;$I305,$O305&lt;0)</formula>
    </cfRule>
    <cfRule type="expression" dxfId="32" priority="22" stopIfTrue="1">
      <formula>$A305=1</formula>
    </cfRule>
    <cfRule type="expression" dxfId="31" priority="23" stopIfTrue="1">
      <formula>$A305&lt;&gt;"S"</formula>
    </cfRule>
  </conditionalFormatting>
  <conditionalFormatting sqref="Q305:R305 AB305:AM305">
    <cfRule type="expression" dxfId="30" priority="24" stopIfTrue="1">
      <formula>$A305=1</formula>
    </cfRule>
    <cfRule type="expression" dxfId="29" priority="25" stopIfTrue="1">
      <formula>$A305&lt;&gt;"S"</formula>
    </cfRule>
  </conditionalFormatting>
  <conditionalFormatting sqref="D314:O314 T314:Z314">
    <cfRule type="expression" dxfId="28" priority="16" stopIfTrue="1">
      <formula>OR(ACOMPANHAMENTO="PLE",TIPOORCAMENTO="Proposto",$L314&lt;0,AND($L314&gt;100,RegimeExecucao="Global"),$O314&gt;$I314,$O314&lt;0)</formula>
    </cfRule>
    <cfRule type="expression" dxfId="27" priority="17" stopIfTrue="1">
      <formula>$A314=1</formula>
    </cfRule>
    <cfRule type="expression" dxfId="26" priority="18" stopIfTrue="1">
      <formula>$A314&lt;&gt;"S"</formula>
    </cfRule>
  </conditionalFormatting>
  <conditionalFormatting sqref="Q314:R314 AB314:AM314">
    <cfRule type="expression" dxfId="25" priority="19" stopIfTrue="1">
      <formula>$A314=1</formula>
    </cfRule>
    <cfRule type="expression" dxfId="24" priority="20" stopIfTrue="1">
      <formula>$A314&lt;&gt;"S"</formula>
    </cfRule>
  </conditionalFormatting>
  <conditionalFormatting sqref="D337:O339 T337:Z339">
    <cfRule type="expression" dxfId="23" priority="11" stopIfTrue="1">
      <formula>OR(ACOMPANHAMENTO="PLE",TIPOORCAMENTO="Proposto",$L337&lt;0,AND($L337&gt;100,RegimeExecucao="Global"),$O337&gt;$I337,$O337&lt;0)</formula>
    </cfRule>
    <cfRule type="expression" dxfId="22" priority="12" stopIfTrue="1">
      <formula>$A337=1</formula>
    </cfRule>
    <cfRule type="expression" dxfId="21" priority="13" stopIfTrue="1">
      <formula>$A337&lt;&gt;"S"</formula>
    </cfRule>
  </conditionalFormatting>
  <conditionalFormatting sqref="Q337:R339 AB337:AM339">
    <cfRule type="expression" dxfId="20" priority="14" stopIfTrue="1">
      <formula>$A337=1</formula>
    </cfRule>
    <cfRule type="expression" dxfId="19" priority="15" stopIfTrue="1">
      <formula>$A337&lt;&gt;"S"</formula>
    </cfRule>
  </conditionalFormatting>
  <conditionalFormatting sqref="D448:O448 T448:Z448">
    <cfRule type="expression" dxfId="18" priority="6" stopIfTrue="1">
      <formula>OR(ACOMPANHAMENTO="PLE",TIPOORCAMENTO="Proposto",$L448&lt;0,AND($L448&gt;100,RegimeExecucao="Global"),$O448&gt;$I448,$O448&lt;0)</formula>
    </cfRule>
    <cfRule type="expression" dxfId="17" priority="7" stopIfTrue="1">
      <formula>$A448=1</formula>
    </cfRule>
    <cfRule type="expression" dxfId="16" priority="8" stopIfTrue="1">
      <formula>$A448&lt;&gt;"S"</formula>
    </cfRule>
  </conditionalFormatting>
  <conditionalFormatting sqref="Q448:R448 AB448:AM448">
    <cfRule type="expression" dxfId="15" priority="9" stopIfTrue="1">
      <formula>$A448=1</formula>
    </cfRule>
    <cfRule type="expression" dxfId="14" priority="10" stopIfTrue="1">
      <formula>$A448&lt;&gt;"S"</formula>
    </cfRule>
  </conditionalFormatting>
  <conditionalFormatting sqref="D699:O699 T699:Z699">
    <cfRule type="expression" dxfId="13" priority="1" stopIfTrue="1">
      <formula>OR(ACOMPANHAMENTO="PLE",TIPOORCAMENTO="Proposto",$L699&lt;0,AND($L699&gt;100,RegimeExecucao="Global"),$O699&gt;$I699,$O699&lt;0)</formula>
    </cfRule>
    <cfRule type="expression" dxfId="12" priority="2" stopIfTrue="1">
      <formula>$A699=1</formula>
    </cfRule>
    <cfRule type="expression" dxfId="11" priority="3" stopIfTrue="1">
      <formula>$A699&lt;&gt;"S"</formula>
    </cfRule>
  </conditionalFormatting>
  <conditionalFormatting sqref="Q699:R699 AB699:AM699">
    <cfRule type="expression" dxfId="10" priority="4" stopIfTrue="1">
      <formula>$A699=1</formula>
    </cfRule>
    <cfRule type="expression" dxfId="9" priority="5" stopIfTrue="1">
      <formula>$A699&lt;&gt;"S"</formula>
    </cfRule>
  </conditionalFormatting>
  <dataValidations count="4">
    <dataValidation type="list" allowBlank="1" showErrorMessage="1" sqref="Z14 Z16:Z746">
      <formula1>"não executado,não previsto no orçamento,material inadequado,desacordo com os projetos,não atende as observações,qualidade insatisfatória,ver observações abaixo"</formula1>
      <formula2>0</formula2>
    </dataValidation>
    <dataValidation type="decimal" errorStyle="warning" allowBlank="1" showErrorMessage="1" errorTitle="Atenção!" error="Digite somente valores entre 0 e a Medição Acumulada." sqref="Q14:R14 Q16:R746">
      <formula1>0</formula1>
      <formula2>BM.MEDAcumulado</formula2>
    </dataValidation>
    <dataValidation type="whole" operator="greaterThan" allowBlank="1" showInputMessage="1" showErrorMessage="1" sqref="O8">
      <formula1>0</formula1>
    </dataValidation>
    <dataValidation type="decimal" errorStyle="warning" allowBlank="1" showErrorMessage="1" errorTitle="Atenção!" error="% medido é superior a 100% (Global)_x000a_ou_x000a_Quantidade é superior a contratada  (P. Unit)_x000a_ou_x000a_Evolução acumulada negativa" sqref="AB14:AM14 AB16:AM746">
      <formula1>BM.MinMed</formula1>
      <formula2>BM.MaxMed</formula2>
    </dataValidation>
  </dataValidations>
  <pageMargins left="0.78740157480314998" right="0.78740157480314998" top="0.78740157480314998" bottom="0.78740157480314998" header="0.59055118110236204" footer="0.59055118110236204"/>
  <pageSetup paperSize="9" scale="59" firstPageNumber="0" fitToHeight="0" orientation="landscape" r:id="rId1"/>
  <headerFooter alignWithMargins="0">
    <oddHeader>&amp;C&amp;14I</oddHeader>
    <oddFooter>&amp;LPMv3.0.6&amp;R&amp;P / 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95" r:id="rId4" name="CaixaArredMed">
              <controlPr defaultSize="0" print="0" autoFill="0" autoLine="0" autoPict="0">
                <anchor moveWithCells="1" sizeWithCells="1">
                  <from>
                    <xdr:col>10</xdr:col>
                    <xdr:colOff>219075</xdr:colOff>
                    <xdr:row>9</xdr:row>
                    <xdr:rowOff>47625</xdr:rowOff>
                  </from>
                  <to>
                    <xdr:col>10</xdr:col>
                    <xdr:colOff>523875</xdr:colOff>
                    <xdr:row>10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5" name="Botão de rotação 23">
              <controlPr defaultSize="0" print="0" autoFill="0" autoLine="0" autoPict="0">
                <anchor moveWithCells="1" sizeWithCells="1">
                  <from>
                    <xdr:col>15</xdr:col>
                    <xdr:colOff>28575</xdr:colOff>
                    <xdr:row>6</xdr:row>
                    <xdr:rowOff>123825</xdr:rowOff>
                  </from>
                  <to>
                    <xdr:col>15</xdr:col>
                    <xdr:colOff>266700</xdr:colOff>
                    <xdr:row>8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4">
    <pageSetUpPr fitToPage="1"/>
  </sheetPr>
  <dimension ref="A1:AO49"/>
  <sheetViews>
    <sheetView showGridLines="0" zoomScale="90" zoomScaleNormal="90" zoomScaleSheetLayoutView="90" workbookViewId="0">
      <pane xSplit="6" ySplit="13" topLeftCell="G14" activePane="bottomRight" state="frozen"/>
      <selection activeCell="D1" sqref="D1"/>
      <selection pane="topRight" activeCell="G1" sqref="G1"/>
      <selection pane="bottomLeft" activeCell="D14" sqref="D14"/>
      <selection pane="bottomRight"/>
    </sheetView>
  </sheetViews>
  <sheetFormatPr defaultRowHeight="12.75" x14ac:dyDescent="0.2"/>
  <cols>
    <col min="1" max="3" width="9.140625" hidden="1" customWidth="1"/>
    <col min="4" max="4" width="3.7109375" customWidth="1"/>
    <col min="5" max="5" width="7.7109375" customWidth="1"/>
    <col min="6" max="6" width="35.7109375" customWidth="1"/>
    <col min="7" max="7" width="15.7109375" customWidth="1"/>
    <col min="8" max="8" width="12.7109375" customWidth="1"/>
    <col min="9" max="9" width="7.7109375" customWidth="1"/>
    <col min="10" max="10" width="16.7109375" customWidth="1"/>
    <col min="11" max="11" width="5.7109375" customWidth="1"/>
    <col min="12" max="15" width="16.7109375" customWidth="1"/>
    <col min="16" max="16" width="11.7109375" customWidth="1"/>
    <col min="17" max="21" width="9.140625" hidden="1" customWidth="1"/>
    <col min="22" max="22" width="12.140625" hidden="1" customWidth="1"/>
    <col min="23" max="24" width="5.7109375" customWidth="1"/>
    <col min="25" max="26" width="16.7109375" customWidth="1"/>
    <col min="27" max="27" width="1.7109375" customWidth="1"/>
    <col min="29" max="41" width="9.140625" hidden="1" customWidth="1"/>
  </cols>
  <sheetData>
    <row r="1" spans="1:41" ht="30" customHeight="1" x14ac:dyDescent="0.2">
      <c r="F1" s="391" t="str">
        <f>CONCATENATE("RRE - RELATÓRIO RESUMO DO EMPREENDIMENTO - ",IF(CAIXA.Modo,"CAIXA","TOMADOR"))</f>
        <v>RRE - RELATÓRIO RESUMO DO EMPREENDIMENTO - TOMADOR</v>
      </c>
      <c r="H1" s="8"/>
      <c r="I1" s="8"/>
      <c r="AD1" s="392" t="s">
        <v>356</v>
      </c>
      <c r="AE1" s="393" t="s">
        <v>357</v>
      </c>
    </row>
    <row r="2" spans="1:41" x14ac:dyDescent="0.2">
      <c r="AC2" s="394" t="str">
        <f>J25</f>
        <v>Repasse</v>
      </c>
      <c r="AD2" s="395">
        <f ca="1">AD6-AD4-AD3</f>
        <v>0</v>
      </c>
      <c r="AE2" s="395">
        <f ca="1">AE6-AE4-AE3</f>
        <v>0</v>
      </c>
    </row>
    <row r="3" spans="1:41" x14ac:dyDescent="0.2">
      <c r="E3" s="611" t="s">
        <v>147</v>
      </c>
      <c r="F3" s="611"/>
      <c r="G3" s="611"/>
      <c r="H3" s="611"/>
      <c r="I3" s="600" t="s">
        <v>146</v>
      </c>
      <c r="J3" s="600"/>
      <c r="K3" s="600"/>
      <c r="L3" s="89" t="s">
        <v>443</v>
      </c>
      <c r="M3" s="152"/>
      <c r="O3" s="396"/>
      <c r="P3" s="315" t="s">
        <v>210</v>
      </c>
      <c r="R3" s="152"/>
      <c r="S3" s="152"/>
      <c r="T3" s="152"/>
      <c r="U3" s="152"/>
      <c r="AC3" s="394" t="s">
        <v>169</v>
      </c>
      <c r="AD3" s="395">
        <f ca="1">SUM(T13:OFFSET(T24,-1,0))</f>
        <v>0</v>
      </c>
      <c r="AE3" s="395">
        <f ca="1">IF(OR($O$28&lt;$M$28,$M$26&gt;$AD$3),MIN($M$26,$L$26),MIN($AD$3,$N$28-$N$27+$M$26))</f>
        <v>0</v>
      </c>
    </row>
    <row r="4" spans="1:41" ht="12.75" customHeight="1" x14ac:dyDescent="0.2">
      <c r="E4" s="616" t="str">
        <f>Import.Proponente</f>
        <v>Prefeitura Municipal de Pirapora</v>
      </c>
      <c r="F4" s="616"/>
      <c r="G4" s="616"/>
      <c r="H4" s="616"/>
      <c r="I4" s="603" t="str">
        <f>Import.CR</f>
        <v>1094391-68</v>
      </c>
      <c r="J4" s="603"/>
      <c r="K4" s="603"/>
      <c r="L4" s="57" t="str">
        <f>Import.TransfereGOV</f>
        <v xml:space="preserve">960797/2024 </v>
      </c>
      <c r="M4" s="689" t="s">
        <v>307</v>
      </c>
      <c r="N4" s="690"/>
      <c r="O4" s="691"/>
      <c r="P4" s="397" t="str">
        <f>import.recurso</f>
        <v>(SELECIONAR)</v>
      </c>
      <c r="R4" s="152"/>
      <c r="S4" s="152"/>
      <c r="T4" s="396"/>
      <c r="U4" s="396"/>
      <c r="AC4" s="394" t="s">
        <v>358</v>
      </c>
      <c r="AD4" s="395">
        <f ca="1">SUM(U13:OFFSET(U24,-1,0))</f>
        <v>0</v>
      </c>
      <c r="AE4" s="395">
        <f ca="1">IF(OR($O$28&lt;$M$28,$M$27&gt;$AD$4),MIN($M$27,$L$27),MIN($AD$4,$N$28+$M$27))</f>
        <v>0</v>
      </c>
    </row>
    <row r="5" spans="1:41" ht="5.0999999999999996" customHeight="1" x14ac:dyDescent="0.2">
      <c r="H5" s="318"/>
      <c r="I5" s="318"/>
      <c r="J5" s="318"/>
      <c r="K5" s="318"/>
      <c r="L5" s="318"/>
      <c r="M5" s="398"/>
      <c r="N5" s="306"/>
      <c r="O5" s="4"/>
      <c r="R5" s="152"/>
      <c r="S5" s="152"/>
      <c r="T5" s="152"/>
      <c r="U5" s="152"/>
    </row>
    <row r="6" spans="1:41" ht="12.75" customHeight="1" x14ac:dyDescent="0.2">
      <c r="E6" s="600" t="s">
        <v>202</v>
      </c>
      <c r="F6" s="600"/>
      <c r="G6" s="600"/>
      <c r="H6" s="600"/>
      <c r="I6" s="716" t="s">
        <v>306</v>
      </c>
      <c r="J6" s="716"/>
      <c r="K6" s="716"/>
      <c r="L6" s="716"/>
      <c r="M6" s="56" t="str">
        <f>IF(import.recurso="FGTS","FINANCIAMENTO","REPASSE")</f>
        <v>REPASSE</v>
      </c>
      <c r="N6" s="98" t="s">
        <v>308</v>
      </c>
      <c r="O6" s="56" t="s">
        <v>309</v>
      </c>
      <c r="P6" s="153" t="s">
        <v>359</v>
      </c>
      <c r="R6" s="152"/>
      <c r="S6" s="152"/>
      <c r="T6" s="152"/>
      <c r="U6" s="152"/>
      <c r="AC6" s="394" t="s">
        <v>360</v>
      </c>
      <c r="AD6" s="395">
        <f ca="1">$O$28</f>
        <v>0</v>
      </c>
      <c r="AE6" s="395">
        <f ca="1">AD6</f>
        <v>0</v>
      </c>
    </row>
    <row r="7" spans="1:41" ht="12.75" customHeight="1" x14ac:dyDescent="0.2">
      <c r="D7" s="593" t="s">
        <v>209</v>
      </c>
      <c r="E7" s="603" t="str">
        <f>Import.Apelido</f>
        <v>CEMEI Santa Mariana Pirapora/MG. Projeto Padrão FNDE- Creche e Pré Escola Tipo I.</v>
      </c>
      <c r="F7" s="603"/>
      <c r="G7" s="603"/>
      <c r="H7" s="603"/>
      <c r="I7" s="713" t="str">
        <f>Import.Município</f>
        <v>Pirapora/MG</v>
      </c>
      <c r="J7" s="713"/>
      <c r="K7" s="713"/>
      <c r="L7" s="713"/>
      <c r="M7" s="399">
        <f>Import.Repasse</f>
        <v>5370972.0300000003</v>
      </c>
      <c r="N7" s="400">
        <f>Import.Contrapartida</f>
        <v>112471.6</v>
      </c>
      <c r="O7" s="399">
        <f>M7+N7</f>
        <v>5483443.6299999999</v>
      </c>
      <c r="P7" s="491">
        <f ca="1">IF(ACOMPANHAMENTO="PLE",PLE.Medicao,BM.medicao)</f>
        <v>1</v>
      </c>
      <c r="R7" s="152"/>
      <c r="S7" s="152"/>
      <c r="T7" s="152"/>
      <c r="U7" s="152"/>
    </row>
    <row r="8" spans="1:41" x14ac:dyDescent="0.2">
      <c r="D8" s="593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R8" s="152"/>
      <c r="S8" s="152"/>
      <c r="T8" s="152"/>
      <c r="U8" s="152"/>
    </row>
    <row r="9" spans="1:41" ht="12.75" customHeight="1" x14ac:dyDescent="0.2">
      <c r="D9" s="593"/>
      <c r="G9" s="714" t="s">
        <v>361</v>
      </c>
      <c r="H9" s="714"/>
      <c r="I9" s="714" t="s">
        <v>362</v>
      </c>
      <c r="J9" s="714"/>
      <c r="K9" s="401"/>
      <c r="L9" s="715" t="s">
        <v>313</v>
      </c>
      <c r="M9" s="402" t="s">
        <v>316</v>
      </c>
      <c r="N9" s="319" t="s">
        <v>238</v>
      </c>
      <c r="P9" s="403"/>
      <c r="R9" s="152"/>
      <c r="S9" s="152"/>
      <c r="T9" s="152"/>
      <c r="U9" s="152"/>
      <c r="V9" s="7" t="s">
        <v>363</v>
      </c>
    </row>
    <row r="10" spans="1:41" ht="12.75" customHeight="1" x14ac:dyDescent="0.2">
      <c r="D10" s="593"/>
      <c r="G10" s="605" t="e">
        <f ca="1">IF(J10="-","-",IF($P$24&lt;J10,"Atrasada",IF($P$24&gt;J10,"Adiantada","Normal")))</f>
        <v>#DIV/0!</v>
      </c>
      <c r="H10" s="605"/>
      <c r="I10" s="404">
        <f ca="1">DATE(YEAR($L$35),MONTH($L$35),1)</f>
        <v>45901</v>
      </c>
      <c r="J10" s="405" t="e">
        <f ca="1">IF($I$10&lt;DATE(YEAR(CRONO!$T$13),MONTH(CRONO!$T$13),1),0,IF($I$10&gt;CRONO!$AE$13,1,INDEX(CRONO!$S$95:$AG$95,MATCH(RRE!$I$10,CRONO!$S$13:$AG$13,0))))</f>
        <v>#DIV/0!</v>
      </c>
      <c r="K10" s="401"/>
      <c r="L10" s="715"/>
      <c r="M10" s="406">
        <f ca="1">QCI!L10</f>
        <v>5370972.0300000003</v>
      </c>
      <c r="N10" s="321">
        <f ca="1">QCI!M10</f>
        <v>112471.6</v>
      </c>
      <c r="P10" s="403"/>
      <c r="R10" s="152"/>
      <c r="S10" s="152"/>
      <c r="T10" s="152"/>
      <c r="U10" s="152"/>
      <c r="AC10" s="710" t="s">
        <v>364</v>
      </c>
      <c r="AD10" s="710"/>
      <c r="AE10" s="710"/>
      <c r="AF10" s="710"/>
      <c r="AG10" s="710"/>
      <c r="AH10" s="710"/>
      <c r="AJ10" s="710" t="s">
        <v>4</v>
      </c>
      <c r="AK10" s="710"/>
      <c r="AL10" s="710"/>
      <c r="AM10" s="710"/>
      <c r="AN10" s="710"/>
      <c r="AO10" s="710"/>
    </row>
    <row r="11" spans="1:41" ht="20.100000000000001" customHeight="1" x14ac:dyDescent="0.2">
      <c r="D11" s="593"/>
      <c r="M11" s="542" t="str">
        <f>IF(CAIXA.Modo,"Valores Aferidos (R$)","Valores Medidos (R$)")</f>
        <v>Valores Medidos (R$)</v>
      </c>
      <c r="N11" s="542"/>
      <c r="O11" s="542"/>
      <c r="R11" s="407"/>
      <c r="S11" s="407"/>
      <c r="T11" s="542"/>
      <c r="U11" s="542"/>
      <c r="V11" s="539" t="s">
        <v>411</v>
      </c>
      <c r="Y11" s="711" t="str">
        <f>IF(CAIXA.Modo,"Valores Aferidos (R$)","Valores Medidos (R$)")</f>
        <v>Valores Medidos (R$)</v>
      </c>
      <c r="Z11" s="711"/>
      <c r="AC11" s="712" t="s">
        <v>365</v>
      </c>
      <c r="AD11" s="712"/>
      <c r="AE11" s="712"/>
      <c r="AF11" s="712" t="s">
        <v>366</v>
      </c>
      <c r="AG11" s="712"/>
      <c r="AH11" s="712"/>
      <c r="AJ11" s="712" t="s">
        <v>365</v>
      </c>
      <c r="AK11" s="712"/>
      <c r="AL11" s="712"/>
      <c r="AM11" s="712" t="s">
        <v>366</v>
      </c>
      <c r="AN11" s="712"/>
      <c r="AO11" s="712"/>
    </row>
    <row r="12" spans="1:41" hidden="1" x14ac:dyDescent="0.2">
      <c r="A12" t="e">
        <f ca="1">MATCH(E12,ORÇAMENTO!$E$15:$E$747,0)-1</f>
        <v>#N/A</v>
      </c>
      <c r="B12" t="e">
        <f ca="1">IF(ISERROR($A12),NA(),OFFSET(ORÇAMENTO!$D$15,$A12,0))</f>
        <v>#N/A</v>
      </c>
      <c r="C12" t="str">
        <f ca="1">QCI!B12</f>
        <v>Branco</v>
      </c>
      <c r="D12" t="str">
        <f ca="1">IF(L12&gt;0,"F","")</f>
        <v/>
      </c>
      <c r="E12" s="322">
        <f>QCI!D12</f>
        <v>-1</v>
      </c>
      <c r="F12" s="408" t="str">
        <f ca="1">QCI!G12</f>
        <v/>
      </c>
      <c r="G12" s="409">
        <f>QCI!H12</f>
        <v>0</v>
      </c>
      <c r="H12" s="287">
        <f>QCI!I12</f>
        <v>0</v>
      </c>
      <c r="I12" s="323" t="str">
        <f ca="1">QCI!J12</f>
        <v/>
      </c>
      <c r="J12" s="410" t="str">
        <f ca="1">QCI!K12</f>
        <v/>
      </c>
      <c r="K12" s="411" t="str">
        <f ca="1">IF($C12="Automático",IF(ACOMPANHAMENTO="BM",BM.medicao,PLE.Medicao),IF(ISBLANK($X12),"",$X12))</f>
        <v/>
      </c>
      <c r="L12" s="327">
        <f ca="1">QCI!$O12</f>
        <v>0</v>
      </c>
      <c r="M12" s="324">
        <f ca="1">ROUND(IF(C12="Automático",AE12+AL12,Y12),2)</f>
        <v>0</v>
      </c>
      <c r="N12" s="325">
        <f ca="1">O12-M12</f>
        <v>0</v>
      </c>
      <c r="O12" s="326">
        <f ca="1">ROUND(IF(C12="Automático",AH12+AO12,Z12),2)</f>
        <v>0</v>
      </c>
      <c r="P12" s="413">
        <f ca="1">O12/(L12+10^-12)</f>
        <v>0</v>
      </c>
      <c r="R12" s="412">
        <f ca="1">ROUND(IF($C12="Automático",AC12+AJ12,$Y12*IF(ISERROR(QCI!$AA12/QCI!$O12),0,QCI!$AA12/QCI!$O12)),2)</f>
        <v>0</v>
      </c>
      <c r="S12" s="412">
        <f ca="1">ROUND(IF($C12="Automático",AD12+AK12,$Y12*IF(ISERROR(QCI!$AB12/QCI!$O12),0,QCI!$AB12/QCI!$O12)),2)</f>
        <v>0</v>
      </c>
      <c r="T12" s="412">
        <f ca="1">ROUND(IF($C12="Automático",AF12+AM12,$Z12*IF(ISERROR(QCI!$AA12/QCI!$O12),0,QCI!$AA12/QCI!$O12)),2)</f>
        <v>0</v>
      </c>
      <c r="U12" s="412">
        <f ca="1">ROUND(IF($C12="Automático",AG12+AN12,$Z12*IF(ISERROR(QCI!$AB12/QCI!$O12),0,QCI!$AB12/QCI!$O12)),2)</f>
        <v>0</v>
      </c>
      <c r="V12" s="540" t="str">
        <f ca="1">IF(AND($L12&gt;0,$J12&lt;&gt;0,$J12&lt;&gt;"",COUNTIF($J12:$J$13,$J12)=1),OFFSET(V12,-1,0)+1,OFFSET(V12,-1,0))</f>
        <v>Lista CTEFs</v>
      </c>
      <c r="X12" s="328"/>
      <c r="Y12" s="329"/>
      <c r="Z12" s="331"/>
      <c r="AC12" s="199">
        <f ca="1">IF(ACOMPANHAMENTO&lt;&gt;"PLE",0,SUMPRODUCT((OFFSET(CÁLCULO!$AX$15:$BH$15,$A12,0,$B12)&lt;=(PLE.Medicao-1))*OFFSET(CÁLCULO!$AB$15:$AL$15,$A12,0,$B12)*OFFSET(ORÇAMENTO!$AA$15,$A12,0,$B12)/(OFFSET(ORÇAMENTO!$X$15,$A12,0,$B12)+10^-12))+IF(AUTOEVENTO="Manual",SUMPRODUCT((OFFSET(CÁLCULO!$M$15,$A12,0,$B12)=1)*OFFSET(ORÇAMENTO!$AA$15,$A12,0,$B12)*(PLE!$AE$9-PLE!$Y$9)),0))</f>
        <v>0</v>
      </c>
      <c r="AD12" s="199">
        <f ca="1">IF(ACOMPANHAMENTO&lt;&gt;"PLE",0,SUMPRODUCT((OFFSET(CÁLCULO!$AX$15:$BH$15,$A12,0,$B12)&lt;=(PLE.Medicao-1))*OFFSET(CÁLCULO!$AB$15:$AL$15,$A12,0,$B12)*OFFSET(ORÇAMENTO!$AB$15,$A12,0,$B12)/(OFFSET(ORÇAMENTO!$X$15,$A12,0,$B12)+10^-12))+IF(AUTOEVENTO="Manual",SUMPRODUCT((OFFSET(CÁLCULO!$M$15,$A12,0,$B12)=1)*OFFSET(ORÇAMENTO!$AB$15,$A12,0,$B12)*(PLE!$AE$9-PLE!$Y$9)),0))</f>
        <v>0</v>
      </c>
      <c r="AE12" s="199">
        <f ca="1">ROUND(IF(ACOMPANHAMENTO&lt;&gt;"PLE",0,SUMIF(OFFSET(CÁLCULO!$AX$15:$BH$15,$A12,0,$B12),"&lt;="&amp;(PLE.Medicao-1),OFFSET(CÁLCULO!$AB$15:$AL$15,$A12,0,$B12))+IF(AUTOEVENTO="Manual",SUMIF(OFFSET(CÁLCULO!$M$15,$A12,0,$B12),1,OFFSET(ORÇAMENTO!$X$15,$A12,0,$B12))*(PLE!$AE$9-PLE!$Y$9),0)),2)</f>
        <v>0</v>
      </c>
      <c r="AF12" s="199">
        <f ca="1">IF(ACOMPANHAMENTO&lt;&gt;"PLE",0,SUMPRODUCT((OFFSET(CÁLCULO!$AX$15:$BH$15,$A12,0,$B12)&lt;=PLE.Medicao)*OFFSET(CÁLCULO!$AB$15:$AL$15,$A12,0,$B12)*OFFSET(ORÇAMENTO!$AA$15,$A12,0,$B12)/(OFFSET(ORÇAMENTO!$X$15,$A12,0,$B12)+10^-12))+IF(AUTOEVENTO="Manual",SUMPRODUCT((OFFSET(CÁLCULO!$M$15,$A12,0,$B12)=1)*OFFSET(ORÇAMENTO!$AA$15,$A12,0,$B12)*PLE!$AE$9),0))</f>
        <v>0</v>
      </c>
      <c r="AG12" s="199">
        <f ca="1">IF(ACOMPANHAMENTO&lt;&gt;"PLE",0,SUMPRODUCT((OFFSET(CÁLCULO!$AX$15:$BH$15,$A12,0,$B12)&lt;=PLE.Medicao)*OFFSET(CÁLCULO!$AB$15:$AL$15,$A12,0,$B12)*OFFSET(ORÇAMENTO!$AB$15,$A12,0,$B12)/(OFFSET(ORÇAMENTO!$X$15,$A12,0,$B12)+10^-12))+IF(AUTOEVENTO="Manual",SUMPRODUCT((OFFSET(CÁLCULO!$M$15,$A12,0,$B12)=1)*OFFSET(ORÇAMENTO!$AB$15,$A12,0,$B12)*PLE!$AE$9),0))</f>
        <v>0</v>
      </c>
      <c r="AH12" s="199">
        <f ca="1">ROUND(IF(ACOMPANHAMENTO&lt;&gt;"PLE",0,SUMIF(OFFSET(CÁLCULO!$AX$15:$BH$15,$A12,0,$B12),"&lt;="&amp;PLE.Medicao,OFFSET(CÁLCULO!$AB$15:$AL$15,$A12,0,$B12))+IF(AUTOEVENTO="Manual",SUMIF(OFFSET(CÁLCULO!$M$15,$A12,0,$B12),1,OFFSET(ORÇAMENTO!$X$15,$A12,0,$B12))*PLE!$AE$9,0)),2)</f>
        <v>0</v>
      </c>
      <c r="AJ12" s="199" t="e">
        <f ca="1">IF(ACOMPANHAMENTO&lt;&gt;"BM",0,SUMPRODUCT(OFFSET(BM!$M$15,$A12,0,$B12)*(OFFSET(BM!$A$15,$A12,0,$B12)="S")*OFFSET(ORÇAMENTO!AA$15,$A12,0,$B12)/(OFFSET(ORÇAMENTO!$X$15,$A12,0,$B12)+10^-12)))</f>
        <v>#N/A</v>
      </c>
      <c r="AK12" s="199" t="e">
        <f ca="1">IF(ACOMPANHAMENTO&lt;&gt;"BM",0,SUMPRODUCT(OFFSET(BM!$M$15,$A12,0,$B12)*(OFFSET(BM!$A$15,$A12,0,$B12)="S")*OFFSET(ORÇAMENTO!AB$15,$A12,0,$B12)/(OFFSET(ORÇAMENTO!$X$15,$A12,0,$B12)+10^-12)))</f>
        <v>#N/A</v>
      </c>
      <c r="AL12" s="199" t="e">
        <f ca="1">IF(ACOMPANHAMENTO&lt;&gt;"BM",0,OFFSET(BM!$M$15,$A12,0))</f>
        <v>#N/A</v>
      </c>
      <c r="AM12" s="199" t="e">
        <f ca="1">IF(ACOMPANHAMENTO&lt;&gt;"BM",0,SUMPRODUCT(OFFSET(BM!$O$15,$A12,0,$B12)*(OFFSET(BM!$A$15,$A12,0,$B12)="S")*OFFSET(ORÇAMENTO!AA$15,$A12,0,$B12)/(OFFSET(ORÇAMENTO!$X$15,$A12,0,$B12)+10^-12)))</f>
        <v>#N/A</v>
      </c>
      <c r="AN12" s="199" t="e">
        <f ca="1">IF(ACOMPANHAMENTO&lt;&gt;"BM",0,SUMPRODUCT(OFFSET(BM!$O$15,$A12,0,$B12)*(OFFSET(BM!$A$15,$A12,0,$B12)="S")*OFFSET(ORÇAMENTO!AB$15,$A12,0,$B12)/(OFFSET(ORÇAMENTO!$X$15,$A12,0,$B12)+10^-12)))</f>
        <v>#N/A</v>
      </c>
      <c r="AO12" s="199" t="e">
        <f ca="1">IF(ACOMPANHAMENTO&lt;&gt;"BM",0,OFFSET(BM!$O$15,$A12,0))</f>
        <v>#N/A</v>
      </c>
    </row>
    <row r="13" spans="1:41" ht="39.950000000000003" customHeight="1" x14ac:dyDescent="0.2">
      <c r="A13" s="333" t="s">
        <v>367</v>
      </c>
      <c r="B13" s="10" t="s">
        <v>221</v>
      </c>
      <c r="C13" s="333" t="s">
        <v>318</v>
      </c>
      <c r="D13" s="108" t="s">
        <v>217</v>
      </c>
      <c r="E13" s="109" t="s">
        <v>195</v>
      </c>
      <c r="F13" s="109" t="s">
        <v>321</v>
      </c>
      <c r="G13" s="109" t="s">
        <v>161</v>
      </c>
      <c r="H13" s="109" t="s">
        <v>203</v>
      </c>
      <c r="I13" s="109" t="s">
        <v>322</v>
      </c>
      <c r="J13" s="109" t="s">
        <v>323</v>
      </c>
      <c r="K13" s="334" t="s">
        <v>368</v>
      </c>
      <c r="L13" s="109" t="s">
        <v>369</v>
      </c>
      <c r="M13" s="334" t="s">
        <v>365</v>
      </c>
      <c r="N13" s="335" t="s">
        <v>372</v>
      </c>
      <c r="O13" s="336" t="s">
        <v>366</v>
      </c>
      <c r="P13" s="109" t="s">
        <v>375</v>
      </c>
      <c r="R13" s="414" t="s">
        <v>370</v>
      </c>
      <c r="S13" s="414" t="s">
        <v>371</v>
      </c>
      <c r="T13" s="414" t="s">
        <v>373</v>
      </c>
      <c r="U13" s="414" t="s">
        <v>374</v>
      </c>
      <c r="V13" s="541"/>
      <c r="X13" s="334" t="s">
        <v>368</v>
      </c>
      <c r="Y13" s="168" t="s">
        <v>365</v>
      </c>
      <c r="Z13" s="169" t="s">
        <v>366</v>
      </c>
      <c r="AC13" s="111" t="s">
        <v>169</v>
      </c>
      <c r="AD13" s="111" t="s">
        <v>358</v>
      </c>
      <c r="AE13" s="111" t="s">
        <v>360</v>
      </c>
      <c r="AF13" s="111" t="s">
        <v>169</v>
      </c>
      <c r="AG13" s="111" t="s">
        <v>358</v>
      </c>
      <c r="AH13" s="111" t="s">
        <v>360</v>
      </c>
      <c r="AJ13" s="111" t="s">
        <v>169</v>
      </c>
      <c r="AK13" s="111" t="s">
        <v>358</v>
      </c>
      <c r="AL13" s="111" t="s">
        <v>360</v>
      </c>
      <c r="AM13" s="111" t="s">
        <v>169</v>
      </c>
      <c r="AN13" s="111" t="s">
        <v>358</v>
      </c>
      <c r="AO13" s="111" t="s">
        <v>360</v>
      </c>
    </row>
    <row r="14" spans="1:41" x14ac:dyDescent="0.2">
      <c r="A14">
        <f ca="1">MATCH(E14,ORÇAMENTO!$E$15:$E$747,0)-1</f>
        <v>1</v>
      </c>
      <c r="B14">
        <f ca="1">IF(ISERROR($A14),NA(),OFFSET(ORÇAMENTO!$D$15,$A14,0))</f>
        <v>731</v>
      </c>
      <c r="C14" t="str">
        <f ca="1">QCI!B14</f>
        <v>Automático</v>
      </c>
      <c r="D14" t="str">
        <f t="shared" ref="D14:D22" ca="1" si="0">IF(L14&gt;0,"F","")</f>
        <v/>
      </c>
      <c r="E14" s="322">
        <f>QCI!D14</f>
        <v>1</v>
      </c>
      <c r="F14" s="408" t="str">
        <f ca="1">QCI!G14</f>
        <v>CEMEI Santa Mariana Pirapora/MG. Projeto Padrão FNDE- Creche e Pré Escola Tipo I.</v>
      </c>
      <c r="G14" s="409" t="str">
        <f>QCI!H14</f>
        <v>Em Análise</v>
      </c>
      <c r="H14" s="287">
        <f>QCI!I14</f>
        <v>1324.27</v>
      </c>
      <c r="I14" s="323" t="str">
        <f ca="1">QCI!J14</f>
        <v>m²</v>
      </c>
      <c r="J14" s="410" t="str">
        <f ca="1">QCI!K14</f>
        <v>LOTE 1</v>
      </c>
      <c r="K14" s="411">
        <f ca="1">IF($C14="Automático",IF(ACOMPANHAMENTO="BM",BM.medicao,PLE.Medicao),IF(ISBLANK($X14),"",$X14))</f>
        <v>1</v>
      </c>
      <c r="L14" s="327">
        <f ca="1">QCI!$O14</f>
        <v>0</v>
      </c>
      <c r="M14" s="324">
        <f t="shared" ref="M14:M22" ca="1" si="1">ROUND(IF(C14="Automático",AE14+AL14,Y14),2)</f>
        <v>0</v>
      </c>
      <c r="N14" s="325">
        <f t="shared" ref="N14:N22" ca="1" si="2">O14-M14</f>
        <v>0</v>
      </c>
      <c r="O14" s="326">
        <f t="shared" ref="O14:O22" ca="1" si="3">ROUND(IF(C14="Automático",AH14+AO14,Z14),2)</f>
        <v>0</v>
      </c>
      <c r="P14" s="413">
        <f t="shared" ref="P14:P22" ca="1" si="4">O14/(L14+10^-12)</f>
        <v>0</v>
      </c>
      <c r="R14" s="412">
        <f ca="1">ROUND(IF($C14="Automático",AC14+AJ14,$Y14*IF(ISERROR(QCI!$AA14/QCI!$O14),0,QCI!$AA14/QCI!$O14)),2)</f>
        <v>0</v>
      </c>
      <c r="S14" s="412">
        <f ca="1">ROUND(IF($C14="Automático",AD14+AK14,$Y14*IF(ISERROR(QCI!$AB14/QCI!$O14),0,QCI!$AB14/QCI!$O14)),2)</f>
        <v>0</v>
      </c>
      <c r="T14" s="412">
        <f ca="1">ROUND(IF($C14="Automático",AF14+AM14,$Z14*IF(ISERROR(QCI!$AA14/QCI!$O14),0,QCI!$AA14/QCI!$O14)),2)</f>
        <v>0</v>
      </c>
      <c r="U14" s="412">
        <f ca="1">ROUND(IF($C14="Automático",AG14+AN14,$Z14*IF(ISERROR(QCI!$AB14/QCI!$O14),0,QCI!$AB14/QCI!$O14)),2)</f>
        <v>0</v>
      </c>
      <c r="V14" s="540">
        <f ca="1">IF(AND($L14&gt;0,$J14&lt;&gt;0,$J14&lt;&gt;"",COUNTIF($J$13:$J14,$J14)=1),OFFSET(V14,-1,0)+1,OFFSET(V14,-1,0))</f>
        <v>0</v>
      </c>
      <c r="X14" s="328"/>
      <c r="Y14" s="329"/>
      <c r="Z14" s="331"/>
      <c r="AC14" s="199">
        <f ca="1">IF(ACOMPANHAMENTO&lt;&gt;"PLE",0,SUMPRODUCT((OFFSET(CÁLCULO!$AX$15:$BH$15,$A14,0,$B14)&lt;=(PLE.Medicao-1))*OFFSET(CÁLCULO!$AB$15:$AL$15,$A14,0,$B14)*OFFSET(ORÇAMENTO!$AA$15,$A14,0,$B14)/(OFFSET(ORÇAMENTO!$X$15,$A14,0,$B14)+10^-12))+IF(AUTOEVENTO="Manual",SUMPRODUCT((OFFSET(CÁLCULO!$M$15,$A14,0,$B14)=1)*OFFSET(ORÇAMENTO!$AA$15,$A14,0,$B14)*(PLE!$AE$9-PLE!$Y$9)),0))</f>
        <v>0</v>
      </c>
      <c r="AD14" s="199">
        <f ca="1">IF(ACOMPANHAMENTO&lt;&gt;"PLE",0,SUMPRODUCT((OFFSET(CÁLCULO!$AX$15:$BH$15,$A14,0,$B14)&lt;=(PLE.Medicao-1))*OFFSET(CÁLCULO!$AB$15:$AL$15,$A14,0,$B14)*OFFSET(ORÇAMENTO!$AB$15,$A14,0,$B14)/(OFFSET(ORÇAMENTO!$X$15,$A14,0,$B14)+10^-12))+IF(AUTOEVENTO="Manual",SUMPRODUCT((OFFSET(CÁLCULO!$M$15,$A14,0,$B14)=1)*OFFSET(ORÇAMENTO!$AB$15,$A14,0,$B14)*(PLE!$AE$9-PLE!$Y$9)),0))</f>
        <v>0</v>
      </c>
      <c r="AE14" s="199">
        <f ca="1">ROUND(IF(ACOMPANHAMENTO&lt;&gt;"PLE",0,SUMIF(OFFSET(CÁLCULO!$AX$15:$BH$15,$A14,0,$B14),"&lt;="&amp;(PLE.Medicao-1),OFFSET(CÁLCULO!$AB$15:$AL$15,$A14,0,$B14))+IF(AUTOEVENTO="Manual",SUMIF(OFFSET(CÁLCULO!$M$15,$A14,0,$B14),1,OFFSET(ORÇAMENTO!$X$15,$A14,0,$B14))*(PLE!$AE$9-PLE!$Y$9),0)),2)</f>
        <v>0</v>
      </c>
      <c r="AF14" s="199">
        <f ca="1">IF(ACOMPANHAMENTO&lt;&gt;"PLE",0,SUMPRODUCT((OFFSET(CÁLCULO!$AX$15:$BH$15,$A14,0,$B14)&lt;=PLE.Medicao)*OFFSET(CÁLCULO!$AB$15:$AL$15,$A14,0,$B14)*OFFSET(ORÇAMENTO!$AA$15,$A14,0,$B14)/(OFFSET(ORÇAMENTO!$X$15,$A14,0,$B14)+10^-12))+IF(AUTOEVENTO="Manual",SUMPRODUCT((OFFSET(CÁLCULO!$M$15,$A14,0,$B14)=1)*OFFSET(ORÇAMENTO!$AA$15,$A14,0,$B14)*PLE!$AE$9),0))</f>
        <v>0</v>
      </c>
      <c r="AG14" s="199">
        <f ca="1">IF(ACOMPANHAMENTO&lt;&gt;"PLE",0,SUMPRODUCT((OFFSET(CÁLCULO!$AX$15:$BH$15,$A14,0,$B14)&lt;=PLE.Medicao)*OFFSET(CÁLCULO!$AB$15:$AL$15,$A14,0,$B14)*OFFSET(ORÇAMENTO!$AB$15,$A14,0,$B14)/(OFFSET(ORÇAMENTO!$X$15,$A14,0,$B14)+10^-12))+IF(AUTOEVENTO="Manual",SUMPRODUCT((OFFSET(CÁLCULO!$M$15,$A14,0,$B14)=1)*OFFSET(ORÇAMENTO!$AB$15,$A14,0,$B14)*PLE!$AE$9),0))</f>
        <v>0</v>
      </c>
      <c r="AH14" s="199">
        <f ca="1">ROUND(IF(ACOMPANHAMENTO&lt;&gt;"PLE",0,SUMIF(OFFSET(CÁLCULO!$AX$15:$BH$15,$A14,0,$B14),"&lt;="&amp;PLE.Medicao,OFFSET(CÁLCULO!$AB$15:$AL$15,$A14,0,$B14))+IF(AUTOEVENTO="Manual",SUMIF(OFFSET(CÁLCULO!$M$15,$A14,0,$B14),1,OFFSET(ORÇAMENTO!$X$15,$A14,0,$B14))*PLE!$AE$9,0)),2)</f>
        <v>0</v>
      </c>
      <c r="AJ14" s="199">
        <f ca="1">IF(ACOMPANHAMENTO&lt;&gt;"BM",0,SUMPRODUCT(OFFSET(BM!$M$15,$A14,0,$B14)*(OFFSET(BM!$A$15,$A14,0,$B14)="S")*OFFSET(ORÇAMENTO!AA$15,$A14,0,$B14)/(OFFSET(ORÇAMENTO!$X$15,$A14,0,$B14)+10^-12)))</f>
        <v>0</v>
      </c>
      <c r="AK14" s="199">
        <f ca="1">IF(ACOMPANHAMENTO&lt;&gt;"BM",0,SUMPRODUCT(OFFSET(BM!$M$15,$A14,0,$B14)*(OFFSET(BM!$A$15,$A14,0,$B14)="S")*OFFSET(ORÇAMENTO!AB$15,$A14,0,$B14)/(OFFSET(ORÇAMENTO!$X$15,$A14,0,$B14)+10^-12)))</f>
        <v>0</v>
      </c>
      <c r="AL14" s="199">
        <f ca="1">IF(ACOMPANHAMENTO&lt;&gt;"BM",0,OFFSET(BM!$M$15,$A14,0))</f>
        <v>0</v>
      </c>
      <c r="AM14" s="199">
        <f ca="1">IF(ACOMPANHAMENTO&lt;&gt;"BM",0,SUMPRODUCT(OFFSET(BM!$O$15,$A14,0,$B14)*(OFFSET(BM!$A$15,$A14,0,$B14)="S")*OFFSET(ORÇAMENTO!AA$15,$A14,0,$B14)/(OFFSET(ORÇAMENTO!$X$15,$A14,0,$B14)+10^-12)))</f>
        <v>0</v>
      </c>
      <c r="AN14" s="199">
        <f ca="1">IF(ACOMPANHAMENTO&lt;&gt;"BM",0,SUMPRODUCT(OFFSET(BM!$O$15,$A14,0,$B14)*(OFFSET(BM!$A$15,$A14,0,$B14)="S")*OFFSET(ORÇAMENTO!AB$15,$A14,0,$B14)/(OFFSET(ORÇAMENTO!$X$15,$A14,0,$B14)+10^-12)))</f>
        <v>0</v>
      </c>
      <c r="AO14" s="199">
        <f ca="1">IF(ACOMPANHAMENTO&lt;&gt;"BM",0,OFFSET(BM!$O$15,$A14,0))</f>
        <v>0</v>
      </c>
    </row>
    <row r="15" spans="1:41" x14ac:dyDescent="0.2">
      <c r="A15" t="e">
        <f ca="1">MATCH(E15,ORÇAMENTO!$E$15:$E$747,0)-1</f>
        <v>#N/A</v>
      </c>
      <c r="B15" t="e">
        <f ca="1">IF(ISERROR($A15),NA(),OFFSET(ORÇAMENTO!$D$15,$A15,0))</f>
        <v>#N/A</v>
      </c>
      <c r="C15" t="str">
        <f ca="1">QCI!B15</f>
        <v>Branco</v>
      </c>
      <c r="D15" t="str">
        <f t="shared" ca="1" si="0"/>
        <v/>
      </c>
      <c r="E15" s="322">
        <f>QCI!D15</f>
        <v>2</v>
      </c>
      <c r="F15" s="408" t="str">
        <f ca="1">QCI!G15</f>
        <v/>
      </c>
      <c r="G15" s="409">
        <f>QCI!H15</f>
        <v>0</v>
      </c>
      <c r="H15" s="287">
        <f>QCI!I15</f>
        <v>0</v>
      </c>
      <c r="I15" s="323" t="str">
        <f ca="1">QCI!J15</f>
        <v/>
      </c>
      <c r="J15" s="410" t="str">
        <f ca="1">QCI!K15</f>
        <v/>
      </c>
      <c r="K15" s="411" t="str">
        <f ca="1">IF($C15="Automático",IF(ACOMPANHAMENTO="BM",BM.medicao,PLE.Medicao),IF(ISBLANK($X15),"",$X15))</f>
        <v/>
      </c>
      <c r="L15" s="327">
        <f ca="1">QCI!$O15</f>
        <v>0</v>
      </c>
      <c r="M15" s="324">
        <f t="shared" ca="1" si="1"/>
        <v>0</v>
      </c>
      <c r="N15" s="325">
        <f t="shared" ca="1" si="2"/>
        <v>0</v>
      </c>
      <c r="O15" s="326">
        <f t="shared" ca="1" si="3"/>
        <v>0</v>
      </c>
      <c r="P15" s="413">
        <f t="shared" ca="1" si="4"/>
        <v>0</v>
      </c>
      <c r="R15" s="412">
        <f ca="1">ROUND(IF($C15="Automático",AC15+AJ15,$Y15*IF(ISERROR(QCI!$AA15/QCI!$O15),0,QCI!$AA15/QCI!$O15)),2)</f>
        <v>0</v>
      </c>
      <c r="S15" s="412">
        <f ca="1">ROUND(IF($C15="Automático",AD15+AK15,$Y15*IF(ISERROR(QCI!$AB15/QCI!$O15),0,QCI!$AB15/QCI!$O15)),2)</f>
        <v>0</v>
      </c>
      <c r="T15" s="412">
        <f ca="1">ROUND(IF($C15="Automático",AF15+AM15,$Z15*IF(ISERROR(QCI!$AA15/QCI!$O15),0,QCI!$AA15/QCI!$O15)),2)</f>
        <v>0</v>
      </c>
      <c r="U15" s="412">
        <f ca="1">ROUND(IF($C15="Automático",AG15+AN15,$Z15*IF(ISERROR(QCI!$AB15/QCI!$O15),0,QCI!$AB15/QCI!$O15)),2)</f>
        <v>0</v>
      </c>
      <c r="V15" s="540">
        <f ca="1">IF(AND($L15&gt;0,$J15&lt;&gt;0,$J15&lt;&gt;"",COUNTIF($J$13:$J15,$J15)=1),OFFSET(V15,-1,0)+1,OFFSET(V15,-1,0))</f>
        <v>0</v>
      </c>
      <c r="X15" s="328"/>
      <c r="Y15" s="329"/>
      <c r="Z15" s="331"/>
      <c r="AC15" s="199">
        <f ca="1">IF(ACOMPANHAMENTO&lt;&gt;"PLE",0,SUMPRODUCT((OFFSET(CÁLCULO!$AX$15:$BH$15,$A15,0,$B15)&lt;=(PLE.Medicao-1))*OFFSET(CÁLCULO!$AB$15:$AL$15,$A15,0,$B15)*OFFSET(ORÇAMENTO!$AA$15,$A15,0,$B15)/(OFFSET(ORÇAMENTO!$X$15,$A15,0,$B15)+10^-12))+IF(AUTOEVENTO="Manual",SUMPRODUCT((OFFSET(CÁLCULO!$M$15,$A15,0,$B15)=1)*OFFSET(ORÇAMENTO!$AA$15,$A15,0,$B15)*(PLE!$AE$9-PLE!$Y$9)),0))</f>
        <v>0</v>
      </c>
      <c r="AD15" s="199">
        <f ca="1">IF(ACOMPANHAMENTO&lt;&gt;"PLE",0,SUMPRODUCT((OFFSET(CÁLCULO!$AX$15:$BH$15,$A15,0,$B15)&lt;=(PLE.Medicao-1))*OFFSET(CÁLCULO!$AB$15:$AL$15,$A15,0,$B15)*OFFSET(ORÇAMENTO!$AB$15,$A15,0,$B15)/(OFFSET(ORÇAMENTO!$X$15,$A15,0,$B15)+10^-12))+IF(AUTOEVENTO="Manual",SUMPRODUCT((OFFSET(CÁLCULO!$M$15,$A15,0,$B15)=1)*OFFSET(ORÇAMENTO!$AB$15,$A15,0,$B15)*(PLE!$AE$9-PLE!$Y$9)),0))</f>
        <v>0</v>
      </c>
      <c r="AE15" s="199">
        <f ca="1">ROUND(IF(ACOMPANHAMENTO&lt;&gt;"PLE",0,SUMIF(OFFSET(CÁLCULO!$AX$15:$BH$15,$A15,0,$B15),"&lt;="&amp;(PLE.Medicao-1),OFFSET(CÁLCULO!$AB$15:$AL$15,$A15,0,$B15))+IF(AUTOEVENTO="Manual",SUMIF(OFFSET(CÁLCULO!$M$15,$A15,0,$B15),1,OFFSET(ORÇAMENTO!$X$15,$A15,0,$B15))*(PLE!$AE$9-PLE!$Y$9),0)),2)</f>
        <v>0</v>
      </c>
      <c r="AF15" s="199">
        <f ca="1">IF(ACOMPANHAMENTO&lt;&gt;"PLE",0,SUMPRODUCT((OFFSET(CÁLCULO!$AX$15:$BH$15,$A15,0,$B15)&lt;=PLE.Medicao)*OFFSET(CÁLCULO!$AB$15:$AL$15,$A15,0,$B15)*OFFSET(ORÇAMENTO!$AA$15,$A15,0,$B15)/(OFFSET(ORÇAMENTO!$X$15,$A15,0,$B15)+10^-12))+IF(AUTOEVENTO="Manual",SUMPRODUCT((OFFSET(CÁLCULO!$M$15,$A15,0,$B15)=1)*OFFSET(ORÇAMENTO!$AA$15,$A15,0,$B15)*PLE!$AE$9),0))</f>
        <v>0</v>
      </c>
      <c r="AG15" s="199">
        <f ca="1">IF(ACOMPANHAMENTO&lt;&gt;"PLE",0,SUMPRODUCT((OFFSET(CÁLCULO!$AX$15:$BH$15,$A15,0,$B15)&lt;=PLE.Medicao)*OFFSET(CÁLCULO!$AB$15:$AL$15,$A15,0,$B15)*OFFSET(ORÇAMENTO!$AB$15,$A15,0,$B15)/(OFFSET(ORÇAMENTO!$X$15,$A15,0,$B15)+10^-12))+IF(AUTOEVENTO="Manual",SUMPRODUCT((OFFSET(CÁLCULO!$M$15,$A15,0,$B15)=1)*OFFSET(ORÇAMENTO!$AB$15,$A15,0,$B15)*PLE!$AE$9),0))</f>
        <v>0</v>
      </c>
      <c r="AH15" s="199">
        <f ca="1">ROUND(IF(ACOMPANHAMENTO&lt;&gt;"PLE",0,SUMIF(OFFSET(CÁLCULO!$AX$15:$BH$15,$A15,0,$B15),"&lt;="&amp;PLE.Medicao,OFFSET(CÁLCULO!$AB$15:$AL$15,$A15,0,$B15))+IF(AUTOEVENTO="Manual",SUMIF(OFFSET(CÁLCULO!$M$15,$A15,0,$B15),1,OFFSET(ORÇAMENTO!$X$15,$A15,0,$B15))*PLE!$AE$9,0)),2)</f>
        <v>0</v>
      </c>
      <c r="AJ15" s="199" t="e">
        <f ca="1">IF(ACOMPANHAMENTO&lt;&gt;"BM",0,SUMPRODUCT(OFFSET(BM!$M$15,$A15,0,$B15)*(OFFSET(BM!$A$15,$A15,0,$B15)="S")*OFFSET(ORÇAMENTO!AA$15,$A15,0,$B15)/(OFFSET(ORÇAMENTO!$X$15,$A15,0,$B15)+10^-12)))</f>
        <v>#N/A</v>
      </c>
      <c r="AK15" s="199" t="e">
        <f ca="1">IF(ACOMPANHAMENTO&lt;&gt;"BM",0,SUMPRODUCT(OFFSET(BM!$M$15,$A15,0,$B15)*(OFFSET(BM!$A$15,$A15,0,$B15)="S")*OFFSET(ORÇAMENTO!AB$15,$A15,0,$B15)/(OFFSET(ORÇAMENTO!$X$15,$A15,0,$B15)+10^-12)))</f>
        <v>#N/A</v>
      </c>
      <c r="AL15" s="199" t="e">
        <f ca="1">IF(ACOMPANHAMENTO&lt;&gt;"BM",0,OFFSET(BM!$M$15,$A15,0))</f>
        <v>#N/A</v>
      </c>
      <c r="AM15" s="199" t="e">
        <f ca="1">IF(ACOMPANHAMENTO&lt;&gt;"BM",0,SUMPRODUCT(OFFSET(BM!$O$15,$A15,0,$B15)*(OFFSET(BM!$A$15,$A15,0,$B15)="S")*OFFSET(ORÇAMENTO!AA$15,$A15,0,$B15)/(OFFSET(ORÇAMENTO!$X$15,$A15,0,$B15)+10^-12)))</f>
        <v>#N/A</v>
      </c>
      <c r="AN15" s="199" t="e">
        <f ca="1">IF(ACOMPANHAMENTO&lt;&gt;"BM",0,SUMPRODUCT(OFFSET(BM!$O$15,$A15,0,$B15)*(OFFSET(BM!$A$15,$A15,0,$B15)="S")*OFFSET(ORÇAMENTO!AB$15,$A15,0,$B15)/(OFFSET(ORÇAMENTO!$X$15,$A15,0,$B15)+10^-12)))</f>
        <v>#N/A</v>
      </c>
      <c r="AO15" s="199" t="e">
        <f ca="1">IF(ACOMPANHAMENTO&lt;&gt;"BM",0,OFFSET(BM!$O$15,$A15,0))</f>
        <v>#N/A</v>
      </c>
    </row>
    <row r="16" spans="1:41" x14ac:dyDescent="0.2">
      <c r="A16" t="e">
        <f ca="1">MATCH(E16,ORÇAMENTO!$E$15:$E$747,0)-1</f>
        <v>#N/A</v>
      </c>
      <c r="B16" t="e">
        <f ca="1">IF(ISERROR($A16),NA(),OFFSET(ORÇAMENTO!$D$15,$A16,0))</f>
        <v>#N/A</v>
      </c>
      <c r="C16" t="str">
        <f ca="1">QCI!B16</f>
        <v>Branco</v>
      </c>
      <c r="D16" t="str">
        <f t="shared" ca="1" si="0"/>
        <v/>
      </c>
      <c r="E16" s="322">
        <f>QCI!D16</f>
        <v>3</v>
      </c>
      <c r="F16" s="408" t="str">
        <f ca="1">QCI!G16</f>
        <v/>
      </c>
      <c r="G16" s="409">
        <f>QCI!H16</f>
        <v>0</v>
      </c>
      <c r="H16" s="287">
        <f>QCI!I16</f>
        <v>0</v>
      </c>
      <c r="I16" s="323" t="str">
        <f ca="1">QCI!J16</f>
        <v/>
      </c>
      <c r="J16" s="410" t="str">
        <f ca="1">QCI!K16</f>
        <v/>
      </c>
      <c r="K16" s="411" t="str">
        <f ca="1">IF($C16="Automático",IF(ACOMPANHAMENTO="BM",BM.medicao,PLE.Medicao),IF(ISBLANK($X16),"",$X16))</f>
        <v/>
      </c>
      <c r="L16" s="327">
        <f ca="1">QCI!$O16</f>
        <v>0</v>
      </c>
      <c r="M16" s="324">
        <f t="shared" ca="1" si="1"/>
        <v>0</v>
      </c>
      <c r="N16" s="325">
        <f t="shared" ca="1" si="2"/>
        <v>0</v>
      </c>
      <c r="O16" s="326">
        <f t="shared" ca="1" si="3"/>
        <v>0</v>
      </c>
      <c r="P16" s="413">
        <f t="shared" ca="1" si="4"/>
        <v>0</v>
      </c>
      <c r="R16" s="412">
        <f ca="1">ROUND(IF($C16="Automático",AC16+AJ16,$Y16*IF(ISERROR(QCI!$AA16/QCI!$O16),0,QCI!$AA16/QCI!$O16)),2)</f>
        <v>0</v>
      </c>
      <c r="S16" s="412">
        <f ca="1">ROUND(IF($C16="Automático",AD16+AK16,$Y16*IF(ISERROR(QCI!$AB16/QCI!$O16),0,QCI!$AB16/QCI!$O16)),2)</f>
        <v>0</v>
      </c>
      <c r="T16" s="412">
        <f ca="1">ROUND(IF($C16="Automático",AF16+AM16,$Z16*IF(ISERROR(QCI!$AA16/QCI!$O16),0,QCI!$AA16/QCI!$O16)),2)</f>
        <v>0</v>
      </c>
      <c r="U16" s="412">
        <f ca="1">ROUND(IF($C16="Automático",AG16+AN16,$Z16*IF(ISERROR(QCI!$AB16/QCI!$O16),0,QCI!$AB16/QCI!$O16)),2)</f>
        <v>0</v>
      </c>
      <c r="V16" s="540">
        <f ca="1">IF(AND($L16&gt;0,$J16&lt;&gt;0,$J16&lt;&gt;"",COUNTIF($J$13:$J16,$J16)=1),OFFSET(V16,-1,0)+1,OFFSET(V16,-1,0))</f>
        <v>0</v>
      </c>
      <c r="X16" s="328"/>
      <c r="Y16" s="329"/>
      <c r="Z16" s="331"/>
      <c r="AC16" s="199">
        <f ca="1">IF(ACOMPANHAMENTO&lt;&gt;"PLE",0,SUMPRODUCT((OFFSET(CÁLCULO!$AX$15:$BH$15,$A16,0,$B16)&lt;=(PLE.Medicao-1))*OFFSET(CÁLCULO!$AB$15:$AL$15,$A16,0,$B16)*OFFSET(ORÇAMENTO!$AA$15,$A16,0,$B16)/(OFFSET(ORÇAMENTO!$X$15,$A16,0,$B16)+10^-12))+IF(AUTOEVENTO="Manual",SUMPRODUCT((OFFSET(CÁLCULO!$M$15,$A16,0,$B16)=1)*OFFSET(ORÇAMENTO!$AA$15,$A16,0,$B16)*(PLE!$AE$9-PLE!$Y$9)),0))</f>
        <v>0</v>
      </c>
      <c r="AD16" s="199">
        <f ca="1">IF(ACOMPANHAMENTO&lt;&gt;"PLE",0,SUMPRODUCT((OFFSET(CÁLCULO!$AX$15:$BH$15,$A16,0,$B16)&lt;=(PLE.Medicao-1))*OFFSET(CÁLCULO!$AB$15:$AL$15,$A16,0,$B16)*OFFSET(ORÇAMENTO!$AB$15,$A16,0,$B16)/(OFFSET(ORÇAMENTO!$X$15,$A16,0,$B16)+10^-12))+IF(AUTOEVENTO="Manual",SUMPRODUCT((OFFSET(CÁLCULO!$M$15,$A16,0,$B16)=1)*OFFSET(ORÇAMENTO!$AB$15,$A16,0,$B16)*(PLE!$AE$9-PLE!$Y$9)),0))</f>
        <v>0</v>
      </c>
      <c r="AE16" s="199">
        <f ca="1">ROUND(IF(ACOMPANHAMENTO&lt;&gt;"PLE",0,SUMIF(OFFSET(CÁLCULO!$AX$15:$BH$15,$A16,0,$B16),"&lt;="&amp;(PLE.Medicao-1),OFFSET(CÁLCULO!$AB$15:$AL$15,$A16,0,$B16))+IF(AUTOEVENTO="Manual",SUMIF(OFFSET(CÁLCULO!$M$15,$A16,0,$B16),1,OFFSET(ORÇAMENTO!$X$15,$A16,0,$B16))*(PLE!$AE$9-PLE!$Y$9),0)),2)</f>
        <v>0</v>
      </c>
      <c r="AF16" s="199">
        <f ca="1">IF(ACOMPANHAMENTO&lt;&gt;"PLE",0,SUMPRODUCT((OFFSET(CÁLCULO!$AX$15:$BH$15,$A16,0,$B16)&lt;=PLE.Medicao)*OFFSET(CÁLCULO!$AB$15:$AL$15,$A16,0,$B16)*OFFSET(ORÇAMENTO!$AA$15,$A16,0,$B16)/(OFFSET(ORÇAMENTO!$X$15,$A16,0,$B16)+10^-12))+IF(AUTOEVENTO="Manual",SUMPRODUCT((OFFSET(CÁLCULO!$M$15,$A16,0,$B16)=1)*OFFSET(ORÇAMENTO!$AA$15,$A16,0,$B16)*PLE!$AE$9),0))</f>
        <v>0</v>
      </c>
      <c r="AG16" s="199">
        <f ca="1">IF(ACOMPANHAMENTO&lt;&gt;"PLE",0,SUMPRODUCT((OFFSET(CÁLCULO!$AX$15:$BH$15,$A16,0,$B16)&lt;=PLE.Medicao)*OFFSET(CÁLCULO!$AB$15:$AL$15,$A16,0,$B16)*OFFSET(ORÇAMENTO!$AB$15,$A16,0,$B16)/(OFFSET(ORÇAMENTO!$X$15,$A16,0,$B16)+10^-12))+IF(AUTOEVENTO="Manual",SUMPRODUCT((OFFSET(CÁLCULO!$M$15,$A16,0,$B16)=1)*OFFSET(ORÇAMENTO!$AB$15,$A16,0,$B16)*PLE!$AE$9),0))</f>
        <v>0</v>
      </c>
      <c r="AH16" s="199">
        <f ca="1">ROUND(IF(ACOMPANHAMENTO&lt;&gt;"PLE",0,SUMIF(OFFSET(CÁLCULO!$AX$15:$BH$15,$A16,0,$B16),"&lt;="&amp;PLE.Medicao,OFFSET(CÁLCULO!$AB$15:$AL$15,$A16,0,$B16))+IF(AUTOEVENTO="Manual",SUMIF(OFFSET(CÁLCULO!$M$15,$A16,0,$B16),1,OFFSET(ORÇAMENTO!$X$15,$A16,0,$B16))*PLE!$AE$9,0)),2)</f>
        <v>0</v>
      </c>
      <c r="AJ16" s="199" t="e">
        <f ca="1">IF(ACOMPANHAMENTO&lt;&gt;"BM",0,SUMPRODUCT(OFFSET(BM!$M$15,$A16,0,$B16)*(OFFSET(BM!$A$15,$A16,0,$B16)="S")*OFFSET(ORÇAMENTO!AA$15,$A16,0,$B16)/(OFFSET(ORÇAMENTO!$X$15,$A16,0,$B16)+10^-12)))</f>
        <v>#N/A</v>
      </c>
      <c r="AK16" s="199" t="e">
        <f ca="1">IF(ACOMPANHAMENTO&lt;&gt;"BM",0,SUMPRODUCT(OFFSET(BM!$M$15,$A16,0,$B16)*(OFFSET(BM!$A$15,$A16,0,$B16)="S")*OFFSET(ORÇAMENTO!AB$15,$A16,0,$B16)/(OFFSET(ORÇAMENTO!$X$15,$A16,0,$B16)+10^-12)))</f>
        <v>#N/A</v>
      </c>
      <c r="AL16" s="199" t="e">
        <f ca="1">IF(ACOMPANHAMENTO&lt;&gt;"BM",0,OFFSET(BM!$M$15,$A16,0))</f>
        <v>#N/A</v>
      </c>
      <c r="AM16" s="199" t="e">
        <f ca="1">IF(ACOMPANHAMENTO&lt;&gt;"BM",0,SUMPRODUCT(OFFSET(BM!$O$15,$A16,0,$B16)*(OFFSET(BM!$A$15,$A16,0,$B16)="S")*OFFSET(ORÇAMENTO!AA$15,$A16,0,$B16)/(OFFSET(ORÇAMENTO!$X$15,$A16,0,$B16)+10^-12)))</f>
        <v>#N/A</v>
      </c>
      <c r="AN16" s="199" t="e">
        <f ca="1">IF(ACOMPANHAMENTO&lt;&gt;"BM",0,SUMPRODUCT(OFFSET(BM!$O$15,$A16,0,$B16)*(OFFSET(BM!$A$15,$A16,0,$B16)="S")*OFFSET(ORÇAMENTO!AB$15,$A16,0,$B16)/(OFFSET(ORÇAMENTO!$X$15,$A16,0,$B16)+10^-12)))</f>
        <v>#N/A</v>
      </c>
      <c r="AO16" s="199" t="e">
        <f ca="1">IF(ACOMPANHAMENTO&lt;&gt;"BM",0,OFFSET(BM!$O$15,$A16,0))</f>
        <v>#N/A</v>
      </c>
    </row>
    <row r="17" spans="1:41" x14ac:dyDescent="0.2">
      <c r="A17" t="e">
        <f ca="1">MATCH(E17,ORÇAMENTO!$E$15:$E$747,0)-1</f>
        <v>#N/A</v>
      </c>
      <c r="B17" t="e">
        <f ca="1">IF(ISERROR($A17),NA(),OFFSET(ORÇAMENTO!$D$15,$A17,0))</f>
        <v>#N/A</v>
      </c>
      <c r="C17" t="str">
        <f ca="1">QCI!B17</f>
        <v>Branco</v>
      </c>
      <c r="D17" t="str">
        <f t="shared" ca="1" si="0"/>
        <v/>
      </c>
      <c r="E17" s="322">
        <f>QCI!D17</f>
        <v>4</v>
      </c>
      <c r="F17" s="408" t="str">
        <f ca="1">QCI!G17</f>
        <v/>
      </c>
      <c r="G17" s="409">
        <f>QCI!H17</f>
        <v>0</v>
      </c>
      <c r="H17" s="287">
        <f>QCI!I17</f>
        <v>0</v>
      </c>
      <c r="I17" s="323" t="str">
        <f ca="1">QCI!J17</f>
        <v/>
      </c>
      <c r="J17" s="410" t="str">
        <f ca="1">QCI!K17</f>
        <v/>
      </c>
      <c r="K17" s="411" t="str">
        <f ca="1">IF($C17="Automático",IF(ACOMPANHAMENTO="BM",BM.medicao,PLE.Medicao),IF(ISBLANK($X17),"",$X17))</f>
        <v/>
      </c>
      <c r="L17" s="327">
        <f ca="1">QCI!$O17</f>
        <v>0</v>
      </c>
      <c r="M17" s="324">
        <f t="shared" ca="1" si="1"/>
        <v>0</v>
      </c>
      <c r="N17" s="325">
        <f t="shared" ca="1" si="2"/>
        <v>0</v>
      </c>
      <c r="O17" s="326">
        <f t="shared" ca="1" si="3"/>
        <v>0</v>
      </c>
      <c r="P17" s="413">
        <f t="shared" ca="1" si="4"/>
        <v>0</v>
      </c>
      <c r="R17" s="412">
        <f ca="1">ROUND(IF($C17="Automático",AC17+AJ17,$Y17*IF(ISERROR(QCI!$AA17/QCI!$O17),0,QCI!$AA17/QCI!$O17)),2)</f>
        <v>0</v>
      </c>
      <c r="S17" s="412">
        <f ca="1">ROUND(IF($C17="Automático",AD17+AK17,$Y17*IF(ISERROR(QCI!$AB17/QCI!$O17),0,QCI!$AB17/QCI!$O17)),2)</f>
        <v>0</v>
      </c>
      <c r="T17" s="412">
        <f ca="1">ROUND(IF($C17="Automático",AF17+AM17,$Z17*IF(ISERROR(QCI!$AA17/QCI!$O17),0,QCI!$AA17/QCI!$O17)),2)</f>
        <v>0</v>
      </c>
      <c r="U17" s="412">
        <f ca="1">ROUND(IF($C17="Automático",AG17+AN17,$Z17*IF(ISERROR(QCI!$AB17/QCI!$O17),0,QCI!$AB17/QCI!$O17)),2)</f>
        <v>0</v>
      </c>
      <c r="V17" s="540">
        <f ca="1">IF(AND($L17&gt;0,$J17&lt;&gt;0,$J17&lt;&gt;"",COUNTIF($J$13:$J17,$J17)=1),OFFSET(V17,-1,0)+1,OFFSET(V17,-1,0))</f>
        <v>0</v>
      </c>
      <c r="X17" s="328"/>
      <c r="Y17" s="329"/>
      <c r="Z17" s="331"/>
      <c r="AC17" s="199">
        <f ca="1">IF(ACOMPANHAMENTO&lt;&gt;"PLE",0,SUMPRODUCT((OFFSET(CÁLCULO!$AX$15:$BH$15,$A17,0,$B17)&lt;=(PLE.Medicao-1))*OFFSET(CÁLCULO!$AB$15:$AL$15,$A17,0,$B17)*OFFSET(ORÇAMENTO!$AA$15,$A17,0,$B17)/(OFFSET(ORÇAMENTO!$X$15,$A17,0,$B17)+10^-12))+IF(AUTOEVENTO="Manual",SUMPRODUCT((OFFSET(CÁLCULO!$M$15,$A17,0,$B17)=1)*OFFSET(ORÇAMENTO!$AA$15,$A17,0,$B17)*(PLE!$AE$9-PLE!$Y$9)),0))</f>
        <v>0</v>
      </c>
      <c r="AD17" s="199">
        <f ca="1">IF(ACOMPANHAMENTO&lt;&gt;"PLE",0,SUMPRODUCT((OFFSET(CÁLCULO!$AX$15:$BH$15,$A17,0,$B17)&lt;=(PLE.Medicao-1))*OFFSET(CÁLCULO!$AB$15:$AL$15,$A17,0,$B17)*OFFSET(ORÇAMENTO!$AB$15,$A17,0,$B17)/(OFFSET(ORÇAMENTO!$X$15,$A17,0,$B17)+10^-12))+IF(AUTOEVENTO="Manual",SUMPRODUCT((OFFSET(CÁLCULO!$M$15,$A17,0,$B17)=1)*OFFSET(ORÇAMENTO!$AB$15,$A17,0,$B17)*(PLE!$AE$9-PLE!$Y$9)),0))</f>
        <v>0</v>
      </c>
      <c r="AE17" s="199">
        <f ca="1">ROUND(IF(ACOMPANHAMENTO&lt;&gt;"PLE",0,SUMIF(OFFSET(CÁLCULO!$AX$15:$BH$15,$A17,0,$B17),"&lt;="&amp;(PLE.Medicao-1),OFFSET(CÁLCULO!$AB$15:$AL$15,$A17,0,$B17))+IF(AUTOEVENTO="Manual",SUMIF(OFFSET(CÁLCULO!$M$15,$A17,0,$B17),1,OFFSET(ORÇAMENTO!$X$15,$A17,0,$B17))*(PLE!$AE$9-PLE!$Y$9),0)),2)</f>
        <v>0</v>
      </c>
      <c r="AF17" s="199">
        <f ca="1">IF(ACOMPANHAMENTO&lt;&gt;"PLE",0,SUMPRODUCT((OFFSET(CÁLCULO!$AX$15:$BH$15,$A17,0,$B17)&lt;=PLE.Medicao)*OFFSET(CÁLCULO!$AB$15:$AL$15,$A17,0,$B17)*OFFSET(ORÇAMENTO!$AA$15,$A17,0,$B17)/(OFFSET(ORÇAMENTO!$X$15,$A17,0,$B17)+10^-12))+IF(AUTOEVENTO="Manual",SUMPRODUCT((OFFSET(CÁLCULO!$M$15,$A17,0,$B17)=1)*OFFSET(ORÇAMENTO!$AA$15,$A17,0,$B17)*PLE!$AE$9),0))</f>
        <v>0</v>
      </c>
      <c r="AG17" s="199">
        <f ca="1">IF(ACOMPANHAMENTO&lt;&gt;"PLE",0,SUMPRODUCT((OFFSET(CÁLCULO!$AX$15:$BH$15,$A17,0,$B17)&lt;=PLE.Medicao)*OFFSET(CÁLCULO!$AB$15:$AL$15,$A17,0,$B17)*OFFSET(ORÇAMENTO!$AB$15,$A17,0,$B17)/(OFFSET(ORÇAMENTO!$X$15,$A17,0,$B17)+10^-12))+IF(AUTOEVENTO="Manual",SUMPRODUCT((OFFSET(CÁLCULO!$M$15,$A17,0,$B17)=1)*OFFSET(ORÇAMENTO!$AB$15,$A17,0,$B17)*PLE!$AE$9),0))</f>
        <v>0</v>
      </c>
      <c r="AH17" s="199">
        <f ca="1">ROUND(IF(ACOMPANHAMENTO&lt;&gt;"PLE",0,SUMIF(OFFSET(CÁLCULO!$AX$15:$BH$15,$A17,0,$B17),"&lt;="&amp;PLE.Medicao,OFFSET(CÁLCULO!$AB$15:$AL$15,$A17,0,$B17))+IF(AUTOEVENTO="Manual",SUMIF(OFFSET(CÁLCULO!$M$15,$A17,0,$B17),1,OFFSET(ORÇAMENTO!$X$15,$A17,0,$B17))*PLE!$AE$9,0)),2)</f>
        <v>0</v>
      </c>
      <c r="AJ17" s="199" t="e">
        <f ca="1">IF(ACOMPANHAMENTO&lt;&gt;"BM",0,SUMPRODUCT(OFFSET(BM!$M$15,$A17,0,$B17)*(OFFSET(BM!$A$15,$A17,0,$B17)="S")*OFFSET(ORÇAMENTO!AA$15,$A17,0,$B17)/(OFFSET(ORÇAMENTO!$X$15,$A17,0,$B17)+10^-12)))</f>
        <v>#N/A</v>
      </c>
      <c r="AK17" s="199" t="e">
        <f ca="1">IF(ACOMPANHAMENTO&lt;&gt;"BM",0,SUMPRODUCT(OFFSET(BM!$M$15,$A17,0,$B17)*(OFFSET(BM!$A$15,$A17,0,$B17)="S")*OFFSET(ORÇAMENTO!AB$15,$A17,0,$B17)/(OFFSET(ORÇAMENTO!$X$15,$A17,0,$B17)+10^-12)))</f>
        <v>#N/A</v>
      </c>
      <c r="AL17" s="199" t="e">
        <f ca="1">IF(ACOMPANHAMENTO&lt;&gt;"BM",0,OFFSET(BM!$M$15,$A17,0))</f>
        <v>#N/A</v>
      </c>
      <c r="AM17" s="199" t="e">
        <f ca="1">IF(ACOMPANHAMENTO&lt;&gt;"BM",0,SUMPRODUCT(OFFSET(BM!$O$15,$A17,0,$B17)*(OFFSET(BM!$A$15,$A17,0,$B17)="S")*OFFSET(ORÇAMENTO!AA$15,$A17,0,$B17)/(OFFSET(ORÇAMENTO!$X$15,$A17,0,$B17)+10^-12)))</f>
        <v>#N/A</v>
      </c>
      <c r="AN17" s="199" t="e">
        <f ca="1">IF(ACOMPANHAMENTO&lt;&gt;"BM",0,SUMPRODUCT(OFFSET(BM!$O$15,$A17,0,$B17)*(OFFSET(BM!$A$15,$A17,0,$B17)="S")*OFFSET(ORÇAMENTO!AB$15,$A17,0,$B17)/(OFFSET(ORÇAMENTO!$X$15,$A17,0,$B17)+10^-12)))</f>
        <v>#N/A</v>
      </c>
      <c r="AO17" s="199" t="e">
        <f ca="1">IF(ACOMPANHAMENTO&lt;&gt;"BM",0,OFFSET(BM!$O$15,$A17,0))</f>
        <v>#N/A</v>
      </c>
    </row>
    <row r="18" spans="1:41" x14ac:dyDescent="0.2">
      <c r="A18" t="e">
        <f ca="1">MATCH(E18,ORÇAMENTO!$E$15:$E$747,0)-1</f>
        <v>#N/A</v>
      </c>
      <c r="B18" t="e">
        <f ca="1">IF(ISERROR($A18),NA(),OFFSET(ORÇAMENTO!$D$15,$A18,0))</f>
        <v>#N/A</v>
      </c>
      <c r="C18" t="str">
        <f ca="1">QCI!B18</f>
        <v>Branco</v>
      </c>
      <c r="D18" t="str">
        <f t="shared" ca="1" si="0"/>
        <v/>
      </c>
      <c r="E18" s="322">
        <f>QCI!D18</f>
        <v>5</v>
      </c>
      <c r="F18" s="408" t="str">
        <f ca="1">QCI!G18</f>
        <v/>
      </c>
      <c r="G18" s="409">
        <f>QCI!H18</f>
        <v>0</v>
      </c>
      <c r="H18" s="287">
        <f>QCI!I18</f>
        <v>0</v>
      </c>
      <c r="I18" s="323" t="str">
        <f ca="1">QCI!J18</f>
        <v/>
      </c>
      <c r="J18" s="410" t="str">
        <f ca="1">QCI!K18</f>
        <v/>
      </c>
      <c r="K18" s="411" t="str">
        <f ca="1">IF($C18="Automático",IF(ACOMPANHAMENTO="BM",BM.medicao,PLE.Medicao),IF(ISBLANK($X18),"",$X18))</f>
        <v/>
      </c>
      <c r="L18" s="327">
        <f ca="1">QCI!$O18</f>
        <v>0</v>
      </c>
      <c r="M18" s="324">
        <f t="shared" ca="1" si="1"/>
        <v>0</v>
      </c>
      <c r="N18" s="325">
        <f t="shared" ca="1" si="2"/>
        <v>0</v>
      </c>
      <c r="O18" s="326">
        <f t="shared" ca="1" si="3"/>
        <v>0</v>
      </c>
      <c r="P18" s="413">
        <f t="shared" ca="1" si="4"/>
        <v>0</v>
      </c>
      <c r="R18" s="412">
        <f ca="1">ROUND(IF($C18="Automático",AC18+AJ18,$Y18*IF(ISERROR(QCI!$AA18/QCI!$O18),0,QCI!$AA18/QCI!$O18)),2)</f>
        <v>0</v>
      </c>
      <c r="S18" s="412">
        <f ca="1">ROUND(IF($C18="Automático",AD18+AK18,$Y18*IF(ISERROR(QCI!$AB18/QCI!$O18),0,QCI!$AB18/QCI!$O18)),2)</f>
        <v>0</v>
      </c>
      <c r="T18" s="412">
        <f ca="1">ROUND(IF($C18="Automático",AF18+AM18,$Z18*IF(ISERROR(QCI!$AA18/QCI!$O18),0,QCI!$AA18/QCI!$O18)),2)</f>
        <v>0</v>
      </c>
      <c r="U18" s="412">
        <f ca="1">ROUND(IF($C18="Automático",AG18+AN18,$Z18*IF(ISERROR(QCI!$AB18/QCI!$O18),0,QCI!$AB18/QCI!$O18)),2)</f>
        <v>0</v>
      </c>
      <c r="V18" s="540">
        <f ca="1">IF(AND($L18&gt;0,$J18&lt;&gt;0,$J18&lt;&gt;"",COUNTIF($J$13:$J18,$J18)=1),OFFSET(V18,-1,0)+1,OFFSET(V18,-1,0))</f>
        <v>0</v>
      </c>
      <c r="X18" s="328"/>
      <c r="Y18" s="329"/>
      <c r="Z18" s="331"/>
      <c r="AC18" s="199">
        <f ca="1">IF(ACOMPANHAMENTO&lt;&gt;"PLE",0,SUMPRODUCT((OFFSET(CÁLCULO!$AX$15:$BH$15,$A18,0,$B18)&lt;=(PLE.Medicao-1))*OFFSET(CÁLCULO!$AB$15:$AL$15,$A18,0,$B18)*OFFSET(ORÇAMENTO!$AA$15,$A18,0,$B18)/(OFFSET(ORÇAMENTO!$X$15,$A18,0,$B18)+10^-12))+IF(AUTOEVENTO="Manual",SUMPRODUCT((OFFSET(CÁLCULO!$M$15,$A18,0,$B18)=1)*OFFSET(ORÇAMENTO!$AA$15,$A18,0,$B18)*(PLE!$AE$9-PLE!$Y$9)),0))</f>
        <v>0</v>
      </c>
      <c r="AD18" s="199">
        <f ca="1">IF(ACOMPANHAMENTO&lt;&gt;"PLE",0,SUMPRODUCT((OFFSET(CÁLCULO!$AX$15:$BH$15,$A18,0,$B18)&lt;=(PLE.Medicao-1))*OFFSET(CÁLCULO!$AB$15:$AL$15,$A18,0,$B18)*OFFSET(ORÇAMENTO!$AB$15,$A18,0,$B18)/(OFFSET(ORÇAMENTO!$X$15,$A18,0,$B18)+10^-12))+IF(AUTOEVENTO="Manual",SUMPRODUCT((OFFSET(CÁLCULO!$M$15,$A18,0,$B18)=1)*OFFSET(ORÇAMENTO!$AB$15,$A18,0,$B18)*(PLE!$AE$9-PLE!$Y$9)),0))</f>
        <v>0</v>
      </c>
      <c r="AE18" s="199">
        <f ca="1">ROUND(IF(ACOMPANHAMENTO&lt;&gt;"PLE",0,SUMIF(OFFSET(CÁLCULO!$AX$15:$BH$15,$A18,0,$B18),"&lt;="&amp;(PLE.Medicao-1),OFFSET(CÁLCULO!$AB$15:$AL$15,$A18,0,$B18))+IF(AUTOEVENTO="Manual",SUMIF(OFFSET(CÁLCULO!$M$15,$A18,0,$B18),1,OFFSET(ORÇAMENTO!$X$15,$A18,0,$B18))*(PLE!$AE$9-PLE!$Y$9),0)),2)</f>
        <v>0</v>
      </c>
      <c r="AF18" s="199">
        <f ca="1">IF(ACOMPANHAMENTO&lt;&gt;"PLE",0,SUMPRODUCT((OFFSET(CÁLCULO!$AX$15:$BH$15,$A18,0,$B18)&lt;=PLE.Medicao)*OFFSET(CÁLCULO!$AB$15:$AL$15,$A18,0,$B18)*OFFSET(ORÇAMENTO!$AA$15,$A18,0,$B18)/(OFFSET(ORÇAMENTO!$X$15,$A18,0,$B18)+10^-12))+IF(AUTOEVENTO="Manual",SUMPRODUCT((OFFSET(CÁLCULO!$M$15,$A18,0,$B18)=1)*OFFSET(ORÇAMENTO!$AA$15,$A18,0,$B18)*PLE!$AE$9),0))</f>
        <v>0</v>
      </c>
      <c r="AG18" s="199">
        <f ca="1">IF(ACOMPANHAMENTO&lt;&gt;"PLE",0,SUMPRODUCT((OFFSET(CÁLCULO!$AX$15:$BH$15,$A18,0,$B18)&lt;=PLE.Medicao)*OFFSET(CÁLCULO!$AB$15:$AL$15,$A18,0,$B18)*OFFSET(ORÇAMENTO!$AB$15,$A18,0,$B18)/(OFFSET(ORÇAMENTO!$X$15,$A18,0,$B18)+10^-12))+IF(AUTOEVENTO="Manual",SUMPRODUCT((OFFSET(CÁLCULO!$M$15,$A18,0,$B18)=1)*OFFSET(ORÇAMENTO!$AB$15,$A18,0,$B18)*PLE!$AE$9),0))</f>
        <v>0</v>
      </c>
      <c r="AH18" s="199">
        <f ca="1">ROUND(IF(ACOMPANHAMENTO&lt;&gt;"PLE",0,SUMIF(OFFSET(CÁLCULO!$AX$15:$BH$15,$A18,0,$B18),"&lt;="&amp;PLE.Medicao,OFFSET(CÁLCULO!$AB$15:$AL$15,$A18,0,$B18))+IF(AUTOEVENTO="Manual",SUMIF(OFFSET(CÁLCULO!$M$15,$A18,0,$B18),1,OFFSET(ORÇAMENTO!$X$15,$A18,0,$B18))*PLE!$AE$9,0)),2)</f>
        <v>0</v>
      </c>
      <c r="AJ18" s="199" t="e">
        <f ca="1">IF(ACOMPANHAMENTO&lt;&gt;"BM",0,SUMPRODUCT(OFFSET(BM!$M$15,$A18,0,$B18)*(OFFSET(BM!$A$15,$A18,0,$B18)="S")*OFFSET(ORÇAMENTO!AA$15,$A18,0,$B18)/(OFFSET(ORÇAMENTO!$X$15,$A18,0,$B18)+10^-12)))</f>
        <v>#N/A</v>
      </c>
      <c r="AK18" s="199" t="e">
        <f ca="1">IF(ACOMPANHAMENTO&lt;&gt;"BM",0,SUMPRODUCT(OFFSET(BM!$M$15,$A18,0,$B18)*(OFFSET(BM!$A$15,$A18,0,$B18)="S")*OFFSET(ORÇAMENTO!AB$15,$A18,0,$B18)/(OFFSET(ORÇAMENTO!$X$15,$A18,0,$B18)+10^-12)))</f>
        <v>#N/A</v>
      </c>
      <c r="AL18" s="199" t="e">
        <f ca="1">IF(ACOMPANHAMENTO&lt;&gt;"BM",0,OFFSET(BM!$M$15,$A18,0))</f>
        <v>#N/A</v>
      </c>
      <c r="AM18" s="199" t="e">
        <f ca="1">IF(ACOMPANHAMENTO&lt;&gt;"BM",0,SUMPRODUCT(OFFSET(BM!$O$15,$A18,0,$B18)*(OFFSET(BM!$A$15,$A18,0,$B18)="S")*OFFSET(ORÇAMENTO!AA$15,$A18,0,$B18)/(OFFSET(ORÇAMENTO!$X$15,$A18,0,$B18)+10^-12)))</f>
        <v>#N/A</v>
      </c>
      <c r="AN18" s="199" t="e">
        <f ca="1">IF(ACOMPANHAMENTO&lt;&gt;"BM",0,SUMPRODUCT(OFFSET(BM!$O$15,$A18,0,$B18)*(OFFSET(BM!$A$15,$A18,0,$B18)="S")*OFFSET(ORÇAMENTO!AB$15,$A18,0,$B18)/(OFFSET(ORÇAMENTO!$X$15,$A18,0,$B18)+10^-12)))</f>
        <v>#N/A</v>
      </c>
      <c r="AO18" s="199" t="e">
        <f ca="1">IF(ACOMPANHAMENTO&lt;&gt;"BM",0,OFFSET(BM!$O$15,$A18,0))</f>
        <v>#N/A</v>
      </c>
    </row>
    <row r="19" spans="1:41" x14ac:dyDescent="0.2">
      <c r="A19" t="e">
        <f ca="1">MATCH(E19,ORÇAMENTO!$E$15:$E$747,0)-1</f>
        <v>#N/A</v>
      </c>
      <c r="B19" t="e">
        <f ca="1">IF(ISERROR($A19),NA(),OFFSET(ORÇAMENTO!$D$15,$A19,0))</f>
        <v>#N/A</v>
      </c>
      <c r="C19" t="str">
        <f ca="1">QCI!B19</f>
        <v>Branco</v>
      </c>
      <c r="D19" t="str">
        <f t="shared" ca="1" si="0"/>
        <v/>
      </c>
      <c r="E19" s="322">
        <f>QCI!D19</f>
        <v>6</v>
      </c>
      <c r="F19" s="408" t="str">
        <f ca="1">QCI!G19</f>
        <v/>
      </c>
      <c r="G19" s="409">
        <f>QCI!H19</f>
        <v>0</v>
      </c>
      <c r="H19" s="287">
        <f>QCI!I19</f>
        <v>0</v>
      </c>
      <c r="I19" s="323" t="str">
        <f ca="1">QCI!J19</f>
        <v/>
      </c>
      <c r="J19" s="410" t="str">
        <f ca="1">QCI!K19</f>
        <v/>
      </c>
      <c r="K19" s="411" t="str">
        <f ca="1">IF($C19="Automático",IF(ACOMPANHAMENTO="BM",BM.medicao,PLE.Medicao),IF(ISBLANK($X19),"",$X19))</f>
        <v/>
      </c>
      <c r="L19" s="327">
        <f ca="1">QCI!$O19</f>
        <v>0</v>
      </c>
      <c r="M19" s="324">
        <f t="shared" ca="1" si="1"/>
        <v>0</v>
      </c>
      <c r="N19" s="325">
        <f t="shared" ca="1" si="2"/>
        <v>0</v>
      </c>
      <c r="O19" s="326">
        <f t="shared" ca="1" si="3"/>
        <v>0</v>
      </c>
      <c r="P19" s="413">
        <f t="shared" ca="1" si="4"/>
        <v>0</v>
      </c>
      <c r="R19" s="412">
        <f ca="1">ROUND(IF($C19="Automático",AC19+AJ19,$Y19*IF(ISERROR(QCI!$AA19/QCI!$O19),0,QCI!$AA19/QCI!$O19)),2)</f>
        <v>0</v>
      </c>
      <c r="S19" s="412">
        <f ca="1">ROUND(IF($C19="Automático",AD19+AK19,$Y19*IF(ISERROR(QCI!$AB19/QCI!$O19),0,QCI!$AB19/QCI!$O19)),2)</f>
        <v>0</v>
      </c>
      <c r="T19" s="412">
        <f ca="1">ROUND(IF($C19="Automático",AF19+AM19,$Z19*IF(ISERROR(QCI!$AA19/QCI!$O19),0,QCI!$AA19/QCI!$O19)),2)</f>
        <v>0</v>
      </c>
      <c r="U19" s="412">
        <f ca="1">ROUND(IF($C19="Automático",AG19+AN19,$Z19*IF(ISERROR(QCI!$AB19/QCI!$O19),0,QCI!$AB19/QCI!$O19)),2)</f>
        <v>0</v>
      </c>
      <c r="V19" s="540">
        <f ca="1">IF(AND($L19&gt;0,$J19&lt;&gt;0,$J19&lt;&gt;"",COUNTIF($J$13:$J19,$J19)=1),OFFSET(V19,-1,0)+1,OFFSET(V19,-1,0))</f>
        <v>0</v>
      </c>
      <c r="X19" s="328"/>
      <c r="Y19" s="329"/>
      <c r="Z19" s="331"/>
      <c r="AC19" s="199">
        <f ca="1">IF(ACOMPANHAMENTO&lt;&gt;"PLE",0,SUMPRODUCT((OFFSET(CÁLCULO!$AX$15:$BH$15,$A19,0,$B19)&lt;=(PLE.Medicao-1))*OFFSET(CÁLCULO!$AB$15:$AL$15,$A19,0,$B19)*OFFSET(ORÇAMENTO!$AA$15,$A19,0,$B19)/(OFFSET(ORÇAMENTO!$X$15,$A19,0,$B19)+10^-12))+IF(AUTOEVENTO="Manual",SUMPRODUCT((OFFSET(CÁLCULO!$M$15,$A19,0,$B19)=1)*OFFSET(ORÇAMENTO!$AA$15,$A19,0,$B19)*(PLE!$AE$9-PLE!$Y$9)),0))</f>
        <v>0</v>
      </c>
      <c r="AD19" s="199">
        <f ca="1">IF(ACOMPANHAMENTO&lt;&gt;"PLE",0,SUMPRODUCT((OFFSET(CÁLCULO!$AX$15:$BH$15,$A19,0,$B19)&lt;=(PLE.Medicao-1))*OFFSET(CÁLCULO!$AB$15:$AL$15,$A19,0,$B19)*OFFSET(ORÇAMENTO!$AB$15,$A19,0,$B19)/(OFFSET(ORÇAMENTO!$X$15,$A19,0,$B19)+10^-12))+IF(AUTOEVENTO="Manual",SUMPRODUCT((OFFSET(CÁLCULO!$M$15,$A19,0,$B19)=1)*OFFSET(ORÇAMENTO!$AB$15,$A19,0,$B19)*(PLE!$AE$9-PLE!$Y$9)),0))</f>
        <v>0</v>
      </c>
      <c r="AE19" s="199">
        <f ca="1">ROUND(IF(ACOMPANHAMENTO&lt;&gt;"PLE",0,SUMIF(OFFSET(CÁLCULO!$AX$15:$BH$15,$A19,0,$B19),"&lt;="&amp;(PLE.Medicao-1),OFFSET(CÁLCULO!$AB$15:$AL$15,$A19,0,$B19))+IF(AUTOEVENTO="Manual",SUMIF(OFFSET(CÁLCULO!$M$15,$A19,0,$B19),1,OFFSET(ORÇAMENTO!$X$15,$A19,0,$B19))*(PLE!$AE$9-PLE!$Y$9),0)),2)</f>
        <v>0</v>
      </c>
      <c r="AF19" s="199">
        <f ca="1">IF(ACOMPANHAMENTO&lt;&gt;"PLE",0,SUMPRODUCT((OFFSET(CÁLCULO!$AX$15:$BH$15,$A19,0,$B19)&lt;=PLE.Medicao)*OFFSET(CÁLCULO!$AB$15:$AL$15,$A19,0,$B19)*OFFSET(ORÇAMENTO!$AA$15,$A19,0,$B19)/(OFFSET(ORÇAMENTO!$X$15,$A19,0,$B19)+10^-12))+IF(AUTOEVENTO="Manual",SUMPRODUCT((OFFSET(CÁLCULO!$M$15,$A19,0,$B19)=1)*OFFSET(ORÇAMENTO!$AA$15,$A19,0,$B19)*PLE!$AE$9),0))</f>
        <v>0</v>
      </c>
      <c r="AG19" s="199">
        <f ca="1">IF(ACOMPANHAMENTO&lt;&gt;"PLE",0,SUMPRODUCT((OFFSET(CÁLCULO!$AX$15:$BH$15,$A19,0,$B19)&lt;=PLE.Medicao)*OFFSET(CÁLCULO!$AB$15:$AL$15,$A19,0,$B19)*OFFSET(ORÇAMENTO!$AB$15,$A19,0,$B19)/(OFFSET(ORÇAMENTO!$X$15,$A19,0,$B19)+10^-12))+IF(AUTOEVENTO="Manual",SUMPRODUCT((OFFSET(CÁLCULO!$M$15,$A19,0,$B19)=1)*OFFSET(ORÇAMENTO!$AB$15,$A19,0,$B19)*PLE!$AE$9),0))</f>
        <v>0</v>
      </c>
      <c r="AH19" s="199">
        <f ca="1">ROUND(IF(ACOMPANHAMENTO&lt;&gt;"PLE",0,SUMIF(OFFSET(CÁLCULO!$AX$15:$BH$15,$A19,0,$B19),"&lt;="&amp;PLE.Medicao,OFFSET(CÁLCULO!$AB$15:$AL$15,$A19,0,$B19))+IF(AUTOEVENTO="Manual",SUMIF(OFFSET(CÁLCULO!$M$15,$A19,0,$B19),1,OFFSET(ORÇAMENTO!$X$15,$A19,0,$B19))*PLE!$AE$9,0)),2)</f>
        <v>0</v>
      </c>
      <c r="AJ19" s="199" t="e">
        <f ca="1">IF(ACOMPANHAMENTO&lt;&gt;"BM",0,SUMPRODUCT(OFFSET(BM!$M$15,$A19,0,$B19)*(OFFSET(BM!$A$15,$A19,0,$B19)="S")*OFFSET(ORÇAMENTO!AA$15,$A19,0,$B19)/(OFFSET(ORÇAMENTO!$X$15,$A19,0,$B19)+10^-12)))</f>
        <v>#N/A</v>
      </c>
      <c r="AK19" s="199" t="e">
        <f ca="1">IF(ACOMPANHAMENTO&lt;&gt;"BM",0,SUMPRODUCT(OFFSET(BM!$M$15,$A19,0,$B19)*(OFFSET(BM!$A$15,$A19,0,$B19)="S")*OFFSET(ORÇAMENTO!AB$15,$A19,0,$B19)/(OFFSET(ORÇAMENTO!$X$15,$A19,0,$B19)+10^-12)))</f>
        <v>#N/A</v>
      </c>
      <c r="AL19" s="199" t="e">
        <f ca="1">IF(ACOMPANHAMENTO&lt;&gt;"BM",0,OFFSET(BM!$M$15,$A19,0))</f>
        <v>#N/A</v>
      </c>
      <c r="AM19" s="199" t="e">
        <f ca="1">IF(ACOMPANHAMENTO&lt;&gt;"BM",0,SUMPRODUCT(OFFSET(BM!$O$15,$A19,0,$B19)*(OFFSET(BM!$A$15,$A19,0,$B19)="S")*OFFSET(ORÇAMENTO!AA$15,$A19,0,$B19)/(OFFSET(ORÇAMENTO!$X$15,$A19,0,$B19)+10^-12)))</f>
        <v>#N/A</v>
      </c>
      <c r="AN19" s="199" t="e">
        <f ca="1">IF(ACOMPANHAMENTO&lt;&gt;"BM",0,SUMPRODUCT(OFFSET(BM!$O$15,$A19,0,$B19)*(OFFSET(BM!$A$15,$A19,0,$B19)="S")*OFFSET(ORÇAMENTO!AB$15,$A19,0,$B19)/(OFFSET(ORÇAMENTO!$X$15,$A19,0,$B19)+10^-12)))</f>
        <v>#N/A</v>
      </c>
      <c r="AO19" s="199" t="e">
        <f ca="1">IF(ACOMPANHAMENTO&lt;&gt;"BM",0,OFFSET(BM!$O$15,$A19,0))</f>
        <v>#N/A</v>
      </c>
    </row>
    <row r="20" spans="1:41" x14ac:dyDescent="0.2">
      <c r="A20" t="e">
        <f ca="1">MATCH(E20,ORÇAMENTO!$E$15:$E$747,0)-1</f>
        <v>#N/A</v>
      </c>
      <c r="B20" t="e">
        <f ca="1">IF(ISERROR($A20),NA(),OFFSET(ORÇAMENTO!$D$15,$A20,0))</f>
        <v>#N/A</v>
      </c>
      <c r="C20" t="str">
        <f ca="1">QCI!B20</f>
        <v>Branco</v>
      </c>
      <c r="D20" t="str">
        <f t="shared" ca="1" si="0"/>
        <v/>
      </c>
      <c r="E20" s="322">
        <f>QCI!D20</f>
        <v>7</v>
      </c>
      <c r="F20" s="408" t="str">
        <f ca="1">QCI!G20</f>
        <v/>
      </c>
      <c r="G20" s="409">
        <f>QCI!H20</f>
        <v>0</v>
      </c>
      <c r="H20" s="287">
        <f>QCI!I20</f>
        <v>0</v>
      </c>
      <c r="I20" s="323" t="str">
        <f ca="1">QCI!J20</f>
        <v/>
      </c>
      <c r="J20" s="410" t="str">
        <f ca="1">QCI!K20</f>
        <v/>
      </c>
      <c r="K20" s="411" t="str">
        <f ca="1">IF($C20="Automático",IF(ACOMPANHAMENTO="BM",BM.medicao,PLE.Medicao),IF(ISBLANK($X20),"",$X20))</f>
        <v/>
      </c>
      <c r="L20" s="327">
        <f ca="1">QCI!$O20</f>
        <v>0</v>
      </c>
      <c r="M20" s="324">
        <f t="shared" ca="1" si="1"/>
        <v>0</v>
      </c>
      <c r="N20" s="325">
        <f t="shared" ca="1" si="2"/>
        <v>0</v>
      </c>
      <c r="O20" s="326">
        <f t="shared" ca="1" si="3"/>
        <v>0</v>
      </c>
      <c r="P20" s="413">
        <f t="shared" ca="1" si="4"/>
        <v>0</v>
      </c>
      <c r="R20" s="412">
        <f ca="1">ROUND(IF($C20="Automático",AC20+AJ20,$Y20*IF(ISERROR(QCI!$AA20/QCI!$O20),0,QCI!$AA20/QCI!$O20)),2)</f>
        <v>0</v>
      </c>
      <c r="S20" s="412">
        <f ca="1">ROUND(IF($C20="Automático",AD20+AK20,$Y20*IF(ISERROR(QCI!$AB20/QCI!$O20),0,QCI!$AB20/QCI!$O20)),2)</f>
        <v>0</v>
      </c>
      <c r="T20" s="412">
        <f ca="1">ROUND(IF($C20="Automático",AF20+AM20,$Z20*IF(ISERROR(QCI!$AA20/QCI!$O20),0,QCI!$AA20/QCI!$O20)),2)</f>
        <v>0</v>
      </c>
      <c r="U20" s="412">
        <f ca="1">ROUND(IF($C20="Automático",AG20+AN20,$Z20*IF(ISERROR(QCI!$AB20/QCI!$O20),0,QCI!$AB20/QCI!$O20)),2)</f>
        <v>0</v>
      </c>
      <c r="V20" s="540">
        <f ca="1">IF(AND($L20&gt;0,$J20&lt;&gt;0,$J20&lt;&gt;"",COUNTIF($J$13:$J20,$J20)=1),OFFSET(V20,-1,0)+1,OFFSET(V20,-1,0))</f>
        <v>0</v>
      </c>
      <c r="X20" s="328"/>
      <c r="Y20" s="329"/>
      <c r="Z20" s="331"/>
      <c r="AC20" s="199">
        <f ca="1">IF(ACOMPANHAMENTO&lt;&gt;"PLE",0,SUMPRODUCT((OFFSET(CÁLCULO!$AX$15:$BH$15,$A20,0,$B20)&lt;=(PLE.Medicao-1))*OFFSET(CÁLCULO!$AB$15:$AL$15,$A20,0,$B20)*OFFSET(ORÇAMENTO!$AA$15,$A20,0,$B20)/(OFFSET(ORÇAMENTO!$X$15,$A20,0,$B20)+10^-12))+IF(AUTOEVENTO="Manual",SUMPRODUCT((OFFSET(CÁLCULO!$M$15,$A20,0,$B20)=1)*OFFSET(ORÇAMENTO!$AA$15,$A20,0,$B20)*(PLE!$AE$9-PLE!$Y$9)),0))</f>
        <v>0</v>
      </c>
      <c r="AD20" s="199">
        <f ca="1">IF(ACOMPANHAMENTO&lt;&gt;"PLE",0,SUMPRODUCT((OFFSET(CÁLCULO!$AX$15:$BH$15,$A20,0,$B20)&lt;=(PLE.Medicao-1))*OFFSET(CÁLCULO!$AB$15:$AL$15,$A20,0,$B20)*OFFSET(ORÇAMENTO!$AB$15,$A20,0,$B20)/(OFFSET(ORÇAMENTO!$X$15,$A20,0,$B20)+10^-12))+IF(AUTOEVENTO="Manual",SUMPRODUCT((OFFSET(CÁLCULO!$M$15,$A20,0,$B20)=1)*OFFSET(ORÇAMENTO!$AB$15,$A20,0,$B20)*(PLE!$AE$9-PLE!$Y$9)),0))</f>
        <v>0</v>
      </c>
      <c r="AE20" s="199">
        <f ca="1">ROUND(IF(ACOMPANHAMENTO&lt;&gt;"PLE",0,SUMIF(OFFSET(CÁLCULO!$AX$15:$BH$15,$A20,0,$B20),"&lt;="&amp;(PLE.Medicao-1),OFFSET(CÁLCULO!$AB$15:$AL$15,$A20,0,$B20))+IF(AUTOEVENTO="Manual",SUMIF(OFFSET(CÁLCULO!$M$15,$A20,0,$B20),1,OFFSET(ORÇAMENTO!$X$15,$A20,0,$B20))*(PLE!$AE$9-PLE!$Y$9),0)),2)</f>
        <v>0</v>
      </c>
      <c r="AF20" s="199">
        <f ca="1">IF(ACOMPANHAMENTO&lt;&gt;"PLE",0,SUMPRODUCT((OFFSET(CÁLCULO!$AX$15:$BH$15,$A20,0,$B20)&lt;=PLE.Medicao)*OFFSET(CÁLCULO!$AB$15:$AL$15,$A20,0,$B20)*OFFSET(ORÇAMENTO!$AA$15,$A20,0,$B20)/(OFFSET(ORÇAMENTO!$X$15,$A20,0,$B20)+10^-12))+IF(AUTOEVENTO="Manual",SUMPRODUCT((OFFSET(CÁLCULO!$M$15,$A20,0,$B20)=1)*OFFSET(ORÇAMENTO!$AA$15,$A20,0,$B20)*PLE!$AE$9),0))</f>
        <v>0</v>
      </c>
      <c r="AG20" s="199">
        <f ca="1">IF(ACOMPANHAMENTO&lt;&gt;"PLE",0,SUMPRODUCT((OFFSET(CÁLCULO!$AX$15:$BH$15,$A20,0,$B20)&lt;=PLE.Medicao)*OFFSET(CÁLCULO!$AB$15:$AL$15,$A20,0,$B20)*OFFSET(ORÇAMENTO!$AB$15,$A20,0,$B20)/(OFFSET(ORÇAMENTO!$X$15,$A20,0,$B20)+10^-12))+IF(AUTOEVENTO="Manual",SUMPRODUCT((OFFSET(CÁLCULO!$M$15,$A20,0,$B20)=1)*OFFSET(ORÇAMENTO!$AB$15,$A20,0,$B20)*PLE!$AE$9),0))</f>
        <v>0</v>
      </c>
      <c r="AH20" s="199">
        <f ca="1">ROUND(IF(ACOMPANHAMENTO&lt;&gt;"PLE",0,SUMIF(OFFSET(CÁLCULO!$AX$15:$BH$15,$A20,0,$B20),"&lt;="&amp;PLE.Medicao,OFFSET(CÁLCULO!$AB$15:$AL$15,$A20,0,$B20))+IF(AUTOEVENTO="Manual",SUMIF(OFFSET(CÁLCULO!$M$15,$A20,0,$B20),1,OFFSET(ORÇAMENTO!$X$15,$A20,0,$B20))*PLE!$AE$9,0)),2)</f>
        <v>0</v>
      </c>
      <c r="AJ20" s="199" t="e">
        <f ca="1">IF(ACOMPANHAMENTO&lt;&gt;"BM",0,SUMPRODUCT(OFFSET(BM!$M$15,$A20,0,$B20)*(OFFSET(BM!$A$15,$A20,0,$B20)="S")*OFFSET(ORÇAMENTO!AA$15,$A20,0,$B20)/(OFFSET(ORÇAMENTO!$X$15,$A20,0,$B20)+10^-12)))</f>
        <v>#N/A</v>
      </c>
      <c r="AK20" s="199" t="e">
        <f ca="1">IF(ACOMPANHAMENTO&lt;&gt;"BM",0,SUMPRODUCT(OFFSET(BM!$M$15,$A20,0,$B20)*(OFFSET(BM!$A$15,$A20,0,$B20)="S")*OFFSET(ORÇAMENTO!AB$15,$A20,0,$B20)/(OFFSET(ORÇAMENTO!$X$15,$A20,0,$B20)+10^-12)))</f>
        <v>#N/A</v>
      </c>
      <c r="AL20" s="199" t="e">
        <f ca="1">IF(ACOMPANHAMENTO&lt;&gt;"BM",0,OFFSET(BM!$M$15,$A20,0))</f>
        <v>#N/A</v>
      </c>
      <c r="AM20" s="199" t="e">
        <f ca="1">IF(ACOMPANHAMENTO&lt;&gt;"BM",0,SUMPRODUCT(OFFSET(BM!$O$15,$A20,0,$B20)*(OFFSET(BM!$A$15,$A20,0,$B20)="S")*OFFSET(ORÇAMENTO!AA$15,$A20,0,$B20)/(OFFSET(ORÇAMENTO!$X$15,$A20,0,$B20)+10^-12)))</f>
        <v>#N/A</v>
      </c>
      <c r="AN20" s="199" t="e">
        <f ca="1">IF(ACOMPANHAMENTO&lt;&gt;"BM",0,SUMPRODUCT(OFFSET(BM!$O$15,$A20,0,$B20)*(OFFSET(BM!$A$15,$A20,0,$B20)="S")*OFFSET(ORÇAMENTO!AB$15,$A20,0,$B20)/(OFFSET(ORÇAMENTO!$X$15,$A20,0,$B20)+10^-12)))</f>
        <v>#N/A</v>
      </c>
      <c r="AO20" s="199" t="e">
        <f ca="1">IF(ACOMPANHAMENTO&lt;&gt;"BM",0,OFFSET(BM!$O$15,$A20,0))</f>
        <v>#N/A</v>
      </c>
    </row>
    <row r="21" spans="1:41" x14ac:dyDescent="0.2">
      <c r="A21" t="e">
        <f ca="1">MATCH(E21,ORÇAMENTO!$E$15:$E$747,0)-1</f>
        <v>#N/A</v>
      </c>
      <c r="B21" t="e">
        <f ca="1">IF(ISERROR($A21),NA(),OFFSET(ORÇAMENTO!$D$15,$A21,0))</f>
        <v>#N/A</v>
      </c>
      <c r="C21" t="str">
        <f ca="1">QCI!B21</f>
        <v>Branco</v>
      </c>
      <c r="D21" t="str">
        <f t="shared" ca="1" si="0"/>
        <v/>
      </c>
      <c r="E21" s="322">
        <f>QCI!D21</f>
        <v>8</v>
      </c>
      <c r="F21" s="408" t="str">
        <f ca="1">QCI!G21</f>
        <v/>
      </c>
      <c r="G21" s="409">
        <f>QCI!H21</f>
        <v>0</v>
      </c>
      <c r="H21" s="287">
        <f>QCI!I21</f>
        <v>0</v>
      </c>
      <c r="I21" s="323" t="str">
        <f ca="1">QCI!J21</f>
        <v/>
      </c>
      <c r="J21" s="410" t="str">
        <f ca="1">QCI!K21</f>
        <v/>
      </c>
      <c r="K21" s="411" t="str">
        <f ca="1">IF($C21="Automático",IF(ACOMPANHAMENTO="BM",BM.medicao,PLE.Medicao),IF(ISBLANK($X21),"",$X21))</f>
        <v/>
      </c>
      <c r="L21" s="327">
        <f ca="1">QCI!$O21</f>
        <v>0</v>
      </c>
      <c r="M21" s="324">
        <f t="shared" ca="1" si="1"/>
        <v>0</v>
      </c>
      <c r="N21" s="325">
        <f t="shared" ca="1" si="2"/>
        <v>0</v>
      </c>
      <c r="O21" s="326">
        <f t="shared" ca="1" si="3"/>
        <v>0</v>
      </c>
      <c r="P21" s="413">
        <f t="shared" ca="1" si="4"/>
        <v>0</v>
      </c>
      <c r="R21" s="412">
        <f ca="1">ROUND(IF($C21="Automático",AC21+AJ21,$Y21*IF(ISERROR(QCI!$AA21/QCI!$O21),0,QCI!$AA21/QCI!$O21)),2)</f>
        <v>0</v>
      </c>
      <c r="S21" s="412">
        <f ca="1">ROUND(IF($C21="Automático",AD21+AK21,$Y21*IF(ISERROR(QCI!$AB21/QCI!$O21),0,QCI!$AB21/QCI!$O21)),2)</f>
        <v>0</v>
      </c>
      <c r="T21" s="412">
        <f ca="1">ROUND(IF($C21="Automático",AF21+AM21,$Z21*IF(ISERROR(QCI!$AA21/QCI!$O21),0,QCI!$AA21/QCI!$O21)),2)</f>
        <v>0</v>
      </c>
      <c r="U21" s="412">
        <f ca="1">ROUND(IF($C21="Automático",AG21+AN21,$Z21*IF(ISERROR(QCI!$AB21/QCI!$O21),0,QCI!$AB21/QCI!$O21)),2)</f>
        <v>0</v>
      </c>
      <c r="V21" s="540">
        <f ca="1">IF(AND($L21&gt;0,$J21&lt;&gt;0,$J21&lt;&gt;"",COUNTIF($J$13:$J21,$J21)=1),OFFSET(V21,-1,0)+1,OFFSET(V21,-1,0))</f>
        <v>0</v>
      </c>
      <c r="X21" s="328"/>
      <c r="Y21" s="329"/>
      <c r="Z21" s="331"/>
      <c r="AC21" s="199">
        <f ca="1">IF(ACOMPANHAMENTO&lt;&gt;"PLE",0,SUMPRODUCT((OFFSET(CÁLCULO!$AX$15:$BH$15,$A21,0,$B21)&lt;=(PLE.Medicao-1))*OFFSET(CÁLCULO!$AB$15:$AL$15,$A21,0,$B21)*OFFSET(ORÇAMENTO!$AA$15,$A21,0,$B21)/(OFFSET(ORÇAMENTO!$X$15,$A21,0,$B21)+10^-12))+IF(AUTOEVENTO="Manual",SUMPRODUCT((OFFSET(CÁLCULO!$M$15,$A21,0,$B21)=1)*OFFSET(ORÇAMENTO!$AA$15,$A21,0,$B21)*(PLE!$AE$9-PLE!$Y$9)),0))</f>
        <v>0</v>
      </c>
      <c r="AD21" s="199">
        <f ca="1">IF(ACOMPANHAMENTO&lt;&gt;"PLE",0,SUMPRODUCT((OFFSET(CÁLCULO!$AX$15:$BH$15,$A21,0,$B21)&lt;=(PLE.Medicao-1))*OFFSET(CÁLCULO!$AB$15:$AL$15,$A21,0,$B21)*OFFSET(ORÇAMENTO!$AB$15,$A21,0,$B21)/(OFFSET(ORÇAMENTO!$X$15,$A21,0,$B21)+10^-12))+IF(AUTOEVENTO="Manual",SUMPRODUCT((OFFSET(CÁLCULO!$M$15,$A21,0,$B21)=1)*OFFSET(ORÇAMENTO!$AB$15,$A21,0,$B21)*(PLE!$AE$9-PLE!$Y$9)),0))</f>
        <v>0</v>
      </c>
      <c r="AE21" s="199">
        <f ca="1">ROUND(IF(ACOMPANHAMENTO&lt;&gt;"PLE",0,SUMIF(OFFSET(CÁLCULO!$AX$15:$BH$15,$A21,0,$B21),"&lt;="&amp;(PLE.Medicao-1),OFFSET(CÁLCULO!$AB$15:$AL$15,$A21,0,$B21))+IF(AUTOEVENTO="Manual",SUMIF(OFFSET(CÁLCULO!$M$15,$A21,0,$B21),1,OFFSET(ORÇAMENTO!$X$15,$A21,0,$B21))*(PLE!$AE$9-PLE!$Y$9),0)),2)</f>
        <v>0</v>
      </c>
      <c r="AF21" s="199">
        <f ca="1">IF(ACOMPANHAMENTO&lt;&gt;"PLE",0,SUMPRODUCT((OFFSET(CÁLCULO!$AX$15:$BH$15,$A21,0,$B21)&lt;=PLE.Medicao)*OFFSET(CÁLCULO!$AB$15:$AL$15,$A21,0,$B21)*OFFSET(ORÇAMENTO!$AA$15,$A21,0,$B21)/(OFFSET(ORÇAMENTO!$X$15,$A21,0,$B21)+10^-12))+IF(AUTOEVENTO="Manual",SUMPRODUCT((OFFSET(CÁLCULO!$M$15,$A21,0,$B21)=1)*OFFSET(ORÇAMENTO!$AA$15,$A21,0,$B21)*PLE!$AE$9),0))</f>
        <v>0</v>
      </c>
      <c r="AG21" s="199">
        <f ca="1">IF(ACOMPANHAMENTO&lt;&gt;"PLE",0,SUMPRODUCT((OFFSET(CÁLCULO!$AX$15:$BH$15,$A21,0,$B21)&lt;=PLE.Medicao)*OFFSET(CÁLCULO!$AB$15:$AL$15,$A21,0,$B21)*OFFSET(ORÇAMENTO!$AB$15,$A21,0,$B21)/(OFFSET(ORÇAMENTO!$X$15,$A21,0,$B21)+10^-12))+IF(AUTOEVENTO="Manual",SUMPRODUCT((OFFSET(CÁLCULO!$M$15,$A21,0,$B21)=1)*OFFSET(ORÇAMENTO!$AB$15,$A21,0,$B21)*PLE!$AE$9),0))</f>
        <v>0</v>
      </c>
      <c r="AH21" s="199">
        <f ca="1">ROUND(IF(ACOMPANHAMENTO&lt;&gt;"PLE",0,SUMIF(OFFSET(CÁLCULO!$AX$15:$BH$15,$A21,0,$B21),"&lt;="&amp;PLE.Medicao,OFFSET(CÁLCULO!$AB$15:$AL$15,$A21,0,$B21))+IF(AUTOEVENTO="Manual",SUMIF(OFFSET(CÁLCULO!$M$15,$A21,0,$B21),1,OFFSET(ORÇAMENTO!$X$15,$A21,0,$B21))*PLE!$AE$9,0)),2)</f>
        <v>0</v>
      </c>
      <c r="AJ21" s="199" t="e">
        <f ca="1">IF(ACOMPANHAMENTO&lt;&gt;"BM",0,SUMPRODUCT(OFFSET(BM!$M$15,$A21,0,$B21)*(OFFSET(BM!$A$15,$A21,0,$B21)="S")*OFFSET(ORÇAMENTO!AA$15,$A21,0,$B21)/(OFFSET(ORÇAMENTO!$X$15,$A21,0,$B21)+10^-12)))</f>
        <v>#N/A</v>
      </c>
      <c r="AK21" s="199" t="e">
        <f ca="1">IF(ACOMPANHAMENTO&lt;&gt;"BM",0,SUMPRODUCT(OFFSET(BM!$M$15,$A21,0,$B21)*(OFFSET(BM!$A$15,$A21,0,$B21)="S")*OFFSET(ORÇAMENTO!AB$15,$A21,0,$B21)/(OFFSET(ORÇAMENTO!$X$15,$A21,0,$B21)+10^-12)))</f>
        <v>#N/A</v>
      </c>
      <c r="AL21" s="199" t="e">
        <f ca="1">IF(ACOMPANHAMENTO&lt;&gt;"BM",0,OFFSET(BM!$M$15,$A21,0))</f>
        <v>#N/A</v>
      </c>
      <c r="AM21" s="199" t="e">
        <f ca="1">IF(ACOMPANHAMENTO&lt;&gt;"BM",0,SUMPRODUCT(OFFSET(BM!$O$15,$A21,0,$B21)*(OFFSET(BM!$A$15,$A21,0,$B21)="S")*OFFSET(ORÇAMENTO!AA$15,$A21,0,$B21)/(OFFSET(ORÇAMENTO!$X$15,$A21,0,$B21)+10^-12)))</f>
        <v>#N/A</v>
      </c>
      <c r="AN21" s="199" t="e">
        <f ca="1">IF(ACOMPANHAMENTO&lt;&gt;"BM",0,SUMPRODUCT(OFFSET(BM!$O$15,$A21,0,$B21)*(OFFSET(BM!$A$15,$A21,0,$B21)="S")*OFFSET(ORÇAMENTO!AB$15,$A21,0,$B21)/(OFFSET(ORÇAMENTO!$X$15,$A21,0,$B21)+10^-12)))</f>
        <v>#N/A</v>
      </c>
      <c r="AO21" s="199" t="e">
        <f ca="1">IF(ACOMPANHAMENTO&lt;&gt;"BM",0,OFFSET(BM!$O$15,$A21,0))</f>
        <v>#N/A</v>
      </c>
    </row>
    <row r="22" spans="1:41" x14ac:dyDescent="0.2">
      <c r="A22" t="e">
        <f ca="1">MATCH(E22,ORÇAMENTO!$E$15:$E$747,0)-1</f>
        <v>#N/A</v>
      </c>
      <c r="B22" t="e">
        <f ca="1">IF(ISERROR($A22),NA(),OFFSET(ORÇAMENTO!$D$15,$A22,0))</f>
        <v>#N/A</v>
      </c>
      <c r="C22" t="str">
        <f ca="1">QCI!B22</f>
        <v>Branco</v>
      </c>
      <c r="D22" t="str">
        <f t="shared" ca="1" si="0"/>
        <v/>
      </c>
      <c r="E22" s="322">
        <f>QCI!D22</f>
        <v>9</v>
      </c>
      <c r="F22" s="408" t="str">
        <f ca="1">QCI!G22</f>
        <v/>
      </c>
      <c r="G22" s="409">
        <f>QCI!H22</f>
        <v>0</v>
      </c>
      <c r="H22" s="287">
        <f>QCI!I22</f>
        <v>0</v>
      </c>
      <c r="I22" s="323" t="str">
        <f ca="1">QCI!J22</f>
        <v/>
      </c>
      <c r="J22" s="410" t="str">
        <f ca="1">QCI!K22</f>
        <v/>
      </c>
      <c r="K22" s="411" t="str">
        <f ca="1">IF($C22="Automático",IF(ACOMPANHAMENTO="BM",BM.medicao,PLE.Medicao),IF(ISBLANK($X22),"",$X22))</f>
        <v/>
      </c>
      <c r="L22" s="327">
        <f ca="1">QCI!$O22</f>
        <v>0</v>
      </c>
      <c r="M22" s="324">
        <f t="shared" ca="1" si="1"/>
        <v>0</v>
      </c>
      <c r="N22" s="325">
        <f t="shared" ca="1" si="2"/>
        <v>0</v>
      </c>
      <c r="O22" s="326">
        <f t="shared" ca="1" si="3"/>
        <v>0</v>
      </c>
      <c r="P22" s="413">
        <f t="shared" ca="1" si="4"/>
        <v>0</v>
      </c>
      <c r="R22" s="412">
        <f ca="1">ROUND(IF($C22="Automático",AC22+AJ22,$Y22*IF(ISERROR(QCI!$AA22/QCI!$O22),0,QCI!$AA22/QCI!$O22)),2)</f>
        <v>0</v>
      </c>
      <c r="S22" s="412">
        <f ca="1">ROUND(IF($C22="Automático",AD22+AK22,$Y22*IF(ISERROR(QCI!$AB22/QCI!$O22),0,QCI!$AB22/QCI!$O22)),2)</f>
        <v>0</v>
      </c>
      <c r="T22" s="412">
        <f ca="1">ROUND(IF($C22="Automático",AF22+AM22,$Z22*IF(ISERROR(QCI!$AA22/QCI!$O22),0,QCI!$AA22/QCI!$O22)),2)</f>
        <v>0</v>
      </c>
      <c r="U22" s="412">
        <f ca="1">ROUND(IF($C22="Automático",AG22+AN22,$Z22*IF(ISERROR(QCI!$AB22/QCI!$O22),0,QCI!$AB22/QCI!$O22)),2)</f>
        <v>0</v>
      </c>
      <c r="V22" s="540">
        <f ca="1">IF(AND($L22&gt;0,$J22&lt;&gt;0,$J22&lt;&gt;"",COUNTIF($J$13:$J22,$J22)=1),OFFSET(V22,-1,0)+1,OFFSET(V22,-1,0))</f>
        <v>0</v>
      </c>
      <c r="X22" s="328"/>
      <c r="Y22" s="329"/>
      <c r="Z22" s="331"/>
      <c r="AC22" s="199">
        <f ca="1">IF(ACOMPANHAMENTO&lt;&gt;"PLE",0,SUMPRODUCT((OFFSET(CÁLCULO!$AX$15:$BH$15,$A22,0,$B22)&lt;=(PLE.Medicao-1))*OFFSET(CÁLCULO!$AB$15:$AL$15,$A22,0,$B22)*OFFSET(ORÇAMENTO!$AA$15,$A22,0,$B22)/(OFFSET(ORÇAMENTO!$X$15,$A22,0,$B22)+10^-12))+IF(AUTOEVENTO="Manual",SUMPRODUCT((OFFSET(CÁLCULO!$M$15,$A22,0,$B22)=1)*OFFSET(ORÇAMENTO!$AA$15,$A22,0,$B22)*(PLE!$AE$9-PLE!$Y$9)),0))</f>
        <v>0</v>
      </c>
      <c r="AD22" s="199">
        <f ca="1">IF(ACOMPANHAMENTO&lt;&gt;"PLE",0,SUMPRODUCT((OFFSET(CÁLCULO!$AX$15:$BH$15,$A22,0,$B22)&lt;=(PLE.Medicao-1))*OFFSET(CÁLCULO!$AB$15:$AL$15,$A22,0,$B22)*OFFSET(ORÇAMENTO!$AB$15,$A22,0,$B22)/(OFFSET(ORÇAMENTO!$X$15,$A22,0,$B22)+10^-12))+IF(AUTOEVENTO="Manual",SUMPRODUCT((OFFSET(CÁLCULO!$M$15,$A22,0,$B22)=1)*OFFSET(ORÇAMENTO!$AB$15,$A22,0,$B22)*(PLE!$AE$9-PLE!$Y$9)),0))</f>
        <v>0</v>
      </c>
      <c r="AE22" s="199">
        <f ca="1">ROUND(IF(ACOMPANHAMENTO&lt;&gt;"PLE",0,SUMIF(OFFSET(CÁLCULO!$AX$15:$BH$15,$A22,0,$B22),"&lt;="&amp;(PLE.Medicao-1),OFFSET(CÁLCULO!$AB$15:$AL$15,$A22,0,$B22))+IF(AUTOEVENTO="Manual",SUMIF(OFFSET(CÁLCULO!$M$15,$A22,0,$B22),1,OFFSET(ORÇAMENTO!$X$15,$A22,0,$B22))*(PLE!$AE$9-PLE!$Y$9),0)),2)</f>
        <v>0</v>
      </c>
      <c r="AF22" s="199">
        <f ca="1">IF(ACOMPANHAMENTO&lt;&gt;"PLE",0,SUMPRODUCT((OFFSET(CÁLCULO!$AX$15:$BH$15,$A22,0,$B22)&lt;=PLE.Medicao)*OFFSET(CÁLCULO!$AB$15:$AL$15,$A22,0,$B22)*OFFSET(ORÇAMENTO!$AA$15,$A22,0,$B22)/(OFFSET(ORÇAMENTO!$X$15,$A22,0,$B22)+10^-12))+IF(AUTOEVENTO="Manual",SUMPRODUCT((OFFSET(CÁLCULO!$M$15,$A22,0,$B22)=1)*OFFSET(ORÇAMENTO!$AA$15,$A22,0,$B22)*PLE!$AE$9),0))</f>
        <v>0</v>
      </c>
      <c r="AG22" s="199">
        <f ca="1">IF(ACOMPANHAMENTO&lt;&gt;"PLE",0,SUMPRODUCT((OFFSET(CÁLCULO!$AX$15:$BH$15,$A22,0,$B22)&lt;=PLE.Medicao)*OFFSET(CÁLCULO!$AB$15:$AL$15,$A22,0,$B22)*OFFSET(ORÇAMENTO!$AB$15,$A22,0,$B22)/(OFFSET(ORÇAMENTO!$X$15,$A22,0,$B22)+10^-12))+IF(AUTOEVENTO="Manual",SUMPRODUCT((OFFSET(CÁLCULO!$M$15,$A22,0,$B22)=1)*OFFSET(ORÇAMENTO!$AB$15,$A22,0,$B22)*PLE!$AE$9),0))</f>
        <v>0</v>
      </c>
      <c r="AH22" s="199">
        <f ca="1">ROUND(IF(ACOMPANHAMENTO&lt;&gt;"PLE",0,SUMIF(OFFSET(CÁLCULO!$AX$15:$BH$15,$A22,0,$B22),"&lt;="&amp;PLE.Medicao,OFFSET(CÁLCULO!$AB$15:$AL$15,$A22,0,$B22))+IF(AUTOEVENTO="Manual",SUMIF(OFFSET(CÁLCULO!$M$15,$A22,0,$B22),1,OFFSET(ORÇAMENTO!$X$15,$A22,0,$B22))*PLE!$AE$9,0)),2)</f>
        <v>0</v>
      </c>
      <c r="AJ22" s="199" t="e">
        <f ca="1">IF(ACOMPANHAMENTO&lt;&gt;"BM",0,SUMPRODUCT(OFFSET(BM!$M$15,$A22,0,$B22)*(OFFSET(BM!$A$15,$A22,0,$B22)="S")*OFFSET(ORÇAMENTO!AA$15,$A22,0,$B22)/(OFFSET(ORÇAMENTO!$X$15,$A22,0,$B22)+10^-12)))</f>
        <v>#N/A</v>
      </c>
      <c r="AK22" s="199" t="e">
        <f ca="1">IF(ACOMPANHAMENTO&lt;&gt;"BM",0,SUMPRODUCT(OFFSET(BM!$M$15,$A22,0,$B22)*(OFFSET(BM!$A$15,$A22,0,$B22)="S")*OFFSET(ORÇAMENTO!AB$15,$A22,0,$B22)/(OFFSET(ORÇAMENTO!$X$15,$A22,0,$B22)+10^-12)))</f>
        <v>#N/A</v>
      </c>
      <c r="AL22" s="199" t="e">
        <f ca="1">IF(ACOMPANHAMENTO&lt;&gt;"BM",0,OFFSET(BM!$M$15,$A22,0))</f>
        <v>#N/A</v>
      </c>
      <c r="AM22" s="199" t="e">
        <f ca="1">IF(ACOMPANHAMENTO&lt;&gt;"BM",0,SUMPRODUCT(OFFSET(BM!$O$15,$A22,0,$B22)*(OFFSET(BM!$A$15,$A22,0,$B22)="S")*OFFSET(ORÇAMENTO!AA$15,$A22,0,$B22)/(OFFSET(ORÇAMENTO!$X$15,$A22,0,$B22)+10^-12)))</f>
        <v>#N/A</v>
      </c>
      <c r="AN22" s="199" t="e">
        <f ca="1">IF(ACOMPANHAMENTO&lt;&gt;"BM",0,SUMPRODUCT(OFFSET(BM!$O$15,$A22,0,$B22)*(OFFSET(BM!$A$15,$A22,0,$B22)="S")*OFFSET(ORÇAMENTO!AB$15,$A22,0,$B22)/(OFFSET(ORÇAMENTO!$X$15,$A22,0,$B22)+10^-12)))</f>
        <v>#N/A</v>
      </c>
      <c r="AO22" s="199" t="e">
        <f ca="1">IF(ACOMPANHAMENTO&lt;&gt;"BM",0,OFFSET(BM!$O$15,$A22,0))</f>
        <v>#N/A</v>
      </c>
    </row>
    <row r="23" spans="1:41" x14ac:dyDescent="0.2">
      <c r="A23" t="e">
        <f ca="1">MATCH(E23,ORÇAMENTO!$E$15:$E$747,0)-1</f>
        <v>#N/A</v>
      </c>
      <c r="B23" t="e">
        <f ca="1">IF(ISERROR($A23),NA(),OFFSET(ORÇAMENTO!$D$15,$A23,0))</f>
        <v>#N/A</v>
      </c>
      <c r="C23" t="str">
        <f ca="1">QCI!B23</f>
        <v>Branco</v>
      </c>
      <c r="D23" t="str">
        <f ca="1">IF(L23&gt;0,"F","")</f>
        <v/>
      </c>
      <c r="E23" s="322">
        <f>QCI!D23</f>
        <v>10</v>
      </c>
      <c r="F23" s="408" t="str">
        <f ca="1">QCI!G23</f>
        <v/>
      </c>
      <c r="G23" s="409">
        <f>QCI!H23</f>
        <v>0</v>
      </c>
      <c r="H23" s="287">
        <f>QCI!I23</f>
        <v>0</v>
      </c>
      <c r="I23" s="323" t="str">
        <f ca="1">QCI!J23</f>
        <v/>
      </c>
      <c r="J23" s="410" t="str">
        <f ca="1">QCI!K23</f>
        <v/>
      </c>
      <c r="K23" s="411" t="str">
        <f ca="1">IF($C23="Automático",IF(ACOMPANHAMENTO="BM",BM.medicao,PLE.Medicao),IF(ISBLANK($X23),"",$X23))</f>
        <v/>
      </c>
      <c r="L23" s="327">
        <f ca="1">QCI!$O23</f>
        <v>0</v>
      </c>
      <c r="M23" s="324">
        <f ca="1">ROUND(IF(C23="Automático",AE23+AL23,Y23),2)</f>
        <v>0</v>
      </c>
      <c r="N23" s="325">
        <f ca="1">O23-M23</f>
        <v>0</v>
      </c>
      <c r="O23" s="326">
        <f ca="1">ROUND(IF(C23="Automático",AH23+AO23,Z23),2)</f>
        <v>0</v>
      </c>
      <c r="P23" s="413">
        <f ca="1">O23/(L23+10^-12)</f>
        <v>0</v>
      </c>
      <c r="R23" s="412">
        <f ca="1">ROUND(IF($C23="Automático",AC23+AJ23,$Y23*IF(ISERROR(QCI!$AA23/QCI!$O23),0,QCI!$AA23/QCI!$O23)),2)</f>
        <v>0</v>
      </c>
      <c r="S23" s="412">
        <f ca="1">ROUND(IF($C23="Automático",AD23+AK23,$Y23*IF(ISERROR(QCI!$AB23/QCI!$O23),0,QCI!$AB23/QCI!$O23)),2)</f>
        <v>0</v>
      </c>
      <c r="T23" s="412">
        <f ca="1">ROUND(IF($C23="Automático",AF23+AM23,$Z23*IF(ISERROR(QCI!$AA23/QCI!$O23),0,QCI!$AA23/QCI!$O23)),2)</f>
        <v>0</v>
      </c>
      <c r="U23" s="412">
        <f ca="1">ROUND(IF($C23="Automático",AG23+AN23,$Z23*IF(ISERROR(QCI!$AB23/QCI!$O23),0,QCI!$AB23/QCI!$O23)),2)</f>
        <v>0</v>
      </c>
      <c r="V23" s="540">
        <f ca="1">IF(AND($L23&gt;0,$J23&lt;&gt;0,$J23&lt;&gt;"",COUNTIF($J$13:$J23,$J23)=1),OFFSET(V23,-1,0)+1,OFFSET(V23,-1,0))</f>
        <v>0</v>
      </c>
      <c r="X23" s="328"/>
      <c r="Y23" s="329"/>
      <c r="Z23" s="331"/>
      <c r="AC23" s="199">
        <f ca="1">IF(ACOMPANHAMENTO&lt;&gt;"PLE",0,SUMPRODUCT((OFFSET(CÁLCULO!$AX$15:$BH$15,$A23,0,$B23)&lt;=(PLE.Medicao-1))*OFFSET(CÁLCULO!$AB$15:$AL$15,$A23,0,$B23)*OFFSET(ORÇAMENTO!$AA$15,$A23,0,$B23)/(OFFSET(ORÇAMENTO!$X$15,$A23,0,$B23)+10^-12))+IF(AUTOEVENTO="Manual",SUMPRODUCT((OFFSET(CÁLCULO!$M$15,$A23,0,$B23)=1)*OFFSET(ORÇAMENTO!$AA$15,$A23,0,$B23)*(PLE!$AE$9-PLE!$Y$9)),0))</f>
        <v>0</v>
      </c>
      <c r="AD23" s="199">
        <f ca="1">IF(ACOMPANHAMENTO&lt;&gt;"PLE",0,SUMPRODUCT((OFFSET(CÁLCULO!$AX$15:$BH$15,$A23,0,$B23)&lt;=(PLE.Medicao-1))*OFFSET(CÁLCULO!$AB$15:$AL$15,$A23,0,$B23)*OFFSET(ORÇAMENTO!$AB$15,$A23,0,$B23)/(OFFSET(ORÇAMENTO!$X$15,$A23,0,$B23)+10^-12))+IF(AUTOEVENTO="Manual",SUMPRODUCT((OFFSET(CÁLCULO!$M$15,$A23,0,$B23)=1)*OFFSET(ORÇAMENTO!$AB$15,$A23,0,$B23)*(PLE!$AE$9-PLE!$Y$9)),0))</f>
        <v>0</v>
      </c>
      <c r="AE23" s="199">
        <f ca="1">ROUND(IF(ACOMPANHAMENTO&lt;&gt;"PLE",0,SUMIF(OFFSET(CÁLCULO!$AX$15:$BH$15,$A23,0,$B23),"&lt;="&amp;(PLE.Medicao-1),OFFSET(CÁLCULO!$AB$15:$AL$15,$A23,0,$B23))+IF(AUTOEVENTO="Manual",SUMIF(OFFSET(CÁLCULO!$M$15,$A23,0,$B23),1,OFFSET(ORÇAMENTO!$X$15,$A23,0,$B23))*(PLE!$AE$9-PLE!$Y$9),0)),2)</f>
        <v>0</v>
      </c>
      <c r="AF23" s="199">
        <f ca="1">IF(ACOMPANHAMENTO&lt;&gt;"PLE",0,SUMPRODUCT((OFFSET(CÁLCULO!$AX$15:$BH$15,$A23,0,$B23)&lt;=PLE.Medicao)*OFFSET(CÁLCULO!$AB$15:$AL$15,$A23,0,$B23)*OFFSET(ORÇAMENTO!$AA$15,$A23,0,$B23)/(OFFSET(ORÇAMENTO!$X$15,$A23,0,$B23)+10^-12))+IF(AUTOEVENTO="Manual",SUMPRODUCT((OFFSET(CÁLCULO!$M$15,$A23,0,$B23)=1)*OFFSET(ORÇAMENTO!$AA$15,$A23,0,$B23)*PLE!$AE$9),0))</f>
        <v>0</v>
      </c>
      <c r="AG23" s="199">
        <f ca="1">IF(ACOMPANHAMENTO&lt;&gt;"PLE",0,SUMPRODUCT((OFFSET(CÁLCULO!$AX$15:$BH$15,$A23,0,$B23)&lt;=PLE.Medicao)*OFFSET(CÁLCULO!$AB$15:$AL$15,$A23,0,$B23)*OFFSET(ORÇAMENTO!$AB$15,$A23,0,$B23)/(OFFSET(ORÇAMENTO!$X$15,$A23,0,$B23)+10^-12))+IF(AUTOEVENTO="Manual",SUMPRODUCT((OFFSET(CÁLCULO!$M$15,$A23,0,$B23)=1)*OFFSET(ORÇAMENTO!$AB$15,$A23,0,$B23)*PLE!$AE$9),0))</f>
        <v>0</v>
      </c>
      <c r="AH23" s="199">
        <f ca="1">ROUND(IF(ACOMPANHAMENTO&lt;&gt;"PLE",0,SUMIF(OFFSET(CÁLCULO!$AX$15:$BH$15,$A23,0,$B23),"&lt;="&amp;PLE.Medicao,OFFSET(CÁLCULO!$AB$15:$AL$15,$A23,0,$B23))+IF(AUTOEVENTO="Manual",SUMIF(OFFSET(CÁLCULO!$M$15,$A23,0,$B23),1,OFFSET(ORÇAMENTO!$X$15,$A23,0,$B23))*PLE!$AE$9,0)),2)</f>
        <v>0</v>
      </c>
      <c r="AJ23" s="199" t="e">
        <f ca="1">IF(ACOMPANHAMENTO&lt;&gt;"BM",0,SUMPRODUCT(OFFSET(BM!$M$15,$A23,0,$B23)*(OFFSET(BM!$A$15,$A23,0,$B23)="S")*OFFSET(ORÇAMENTO!AA$15,$A23,0,$B23)/(OFFSET(ORÇAMENTO!$X$15,$A23,0,$B23)+10^-12)))</f>
        <v>#N/A</v>
      </c>
      <c r="AK23" s="199" t="e">
        <f ca="1">IF(ACOMPANHAMENTO&lt;&gt;"BM",0,SUMPRODUCT(OFFSET(BM!$M$15,$A23,0,$B23)*(OFFSET(BM!$A$15,$A23,0,$B23)="S")*OFFSET(ORÇAMENTO!AB$15,$A23,0,$B23)/(OFFSET(ORÇAMENTO!$X$15,$A23,0,$B23)+10^-12)))</f>
        <v>#N/A</v>
      </c>
      <c r="AL23" s="199" t="e">
        <f ca="1">IF(ACOMPANHAMENTO&lt;&gt;"BM",0,OFFSET(BM!$M$15,$A23,0))</f>
        <v>#N/A</v>
      </c>
      <c r="AM23" s="199" t="e">
        <f ca="1">IF(ACOMPANHAMENTO&lt;&gt;"BM",0,SUMPRODUCT(OFFSET(BM!$O$15,$A23,0,$B23)*(OFFSET(BM!$A$15,$A23,0,$B23)="S")*OFFSET(ORÇAMENTO!AA$15,$A23,0,$B23)/(OFFSET(ORÇAMENTO!$X$15,$A23,0,$B23)+10^-12)))</f>
        <v>#N/A</v>
      </c>
      <c r="AN23" s="199" t="e">
        <f ca="1">IF(ACOMPANHAMENTO&lt;&gt;"BM",0,SUMPRODUCT(OFFSET(BM!$O$15,$A23,0,$B23)*(OFFSET(BM!$A$15,$A23,0,$B23)="S")*OFFSET(ORÇAMENTO!AB$15,$A23,0,$B23)/(OFFSET(ORÇAMENTO!$X$15,$A23,0,$B23)+10^-12)))</f>
        <v>#N/A</v>
      </c>
      <c r="AO23" s="199" t="e">
        <f ca="1">IF(ACOMPANHAMENTO&lt;&gt;"BM",0,OFFSET(BM!$O$15,$A23,0))</f>
        <v>#N/A</v>
      </c>
    </row>
    <row r="24" spans="1:41" ht="12.95" customHeight="1" x14ac:dyDescent="0.2">
      <c r="D24" t="s">
        <v>246</v>
      </c>
      <c r="E24" s="1"/>
      <c r="F24" s="1"/>
      <c r="G24" s="1"/>
      <c r="H24" s="1"/>
      <c r="I24" s="2"/>
      <c r="J24" s="698" t="s">
        <v>376</v>
      </c>
      <c r="K24" s="699"/>
      <c r="L24" s="415">
        <f ca="1">IF(ISERROR(L28/$L28),0,ROUND(L28/$L28,4))</f>
        <v>0</v>
      </c>
      <c r="M24" s="417">
        <f ca="1">IF(ISERROR(M28/$L28),0,ROUND(M28/$L28,4))</f>
        <v>0</v>
      </c>
      <c r="N24" s="416">
        <f ca="1">IF(ISERROR(N28/$L28),0,ROUND(N28/$L28,4))</f>
        <v>0</v>
      </c>
      <c r="O24" s="418">
        <f ca="1">IF(ISERROR(O28/$L28),0,ROUND(O28/$L28,4))</f>
        <v>0</v>
      </c>
      <c r="P24" s="700">
        <f ca="1">O28/(L28+10^-12)</f>
        <v>0</v>
      </c>
      <c r="X24" s="347"/>
      <c r="Y24" s="349"/>
      <c r="Z24" s="350"/>
    </row>
    <row r="25" spans="1:41" ht="12.95" customHeight="1" x14ac:dyDescent="0.2">
      <c r="D25" t="s">
        <v>246</v>
      </c>
      <c r="I25" s="4"/>
      <c r="J25" s="701" t="str">
        <f>IF(import.recurso="FGTS","Financiamento","Repasse")</f>
        <v>Repasse</v>
      </c>
      <c r="K25" s="702"/>
      <c r="L25" s="327">
        <f ca="1">QCI!L24</f>
        <v>0</v>
      </c>
      <c r="M25" s="324">
        <f ca="1">M28-M27-M26</f>
        <v>0</v>
      </c>
      <c r="N25" s="325">
        <f ca="1">O25-M25</f>
        <v>0</v>
      </c>
      <c r="O25" s="326">
        <f ca="1">O28-O27-O26</f>
        <v>0</v>
      </c>
      <c r="P25" s="700"/>
      <c r="X25" s="419"/>
      <c r="Y25" s="420" t="s">
        <v>377</v>
      </c>
      <c r="Z25" s="421" t="s">
        <v>378</v>
      </c>
      <c r="AC25" s="422" t="s">
        <v>379</v>
      </c>
      <c r="AD25" s="422" t="s">
        <v>380</v>
      </c>
    </row>
    <row r="26" spans="1:41" ht="12.95" customHeight="1" x14ac:dyDescent="0.2">
      <c r="D26" t="s">
        <v>246</v>
      </c>
      <c r="I26" s="4"/>
      <c r="J26" s="703" t="s">
        <v>381</v>
      </c>
      <c r="K26" s="704"/>
      <c r="L26" s="423">
        <f ca="1">QCI!M24</f>
        <v>0</v>
      </c>
      <c r="M26" s="424">
        <f ca="1">ROUND(IF(OFFSET($X$26,0,1)&lt;&gt;"",OFFSET($X$26,0,1),SUM(R13:OFFSET(R24,-1,0))),2)</f>
        <v>0</v>
      </c>
      <c r="N26" s="425">
        <f ca="1">O26-M26</f>
        <v>0</v>
      </c>
      <c r="O26" s="426">
        <f ca="1">IF(OFFSET($X$26,0,2)&lt;&gt;"",OFFSET($X$26,0,2),$AE$3)</f>
        <v>0</v>
      </c>
      <c r="P26" s="700"/>
      <c r="X26" s="427" t="s">
        <v>169</v>
      </c>
      <c r="Y26" s="535"/>
      <c r="Z26" s="536"/>
      <c r="AC26" s="428">
        <f ca="1">MIN($L26,$O$28-OFFSET($X$27,0,1))</f>
        <v>0</v>
      </c>
      <c r="AD26" s="428">
        <f ca="1">MIN($L26,$O$28-OFFSET($X$27,0,2))</f>
        <v>0</v>
      </c>
    </row>
    <row r="27" spans="1:41" ht="12.95" customHeight="1" x14ac:dyDescent="0.2">
      <c r="D27" t="s">
        <v>246</v>
      </c>
      <c r="I27" s="4"/>
      <c r="J27" s="705" t="s">
        <v>358</v>
      </c>
      <c r="K27" s="706"/>
      <c r="L27" s="429">
        <f ca="1">QCI!N24</f>
        <v>0</v>
      </c>
      <c r="M27" s="430">
        <f ca="1">ROUND(IF(OFFSET($X$27,0,1)&lt;&gt;"",OFFSET($X$27,0,1),SUM(S13:OFFSET(S24,-1,0))),2)</f>
        <v>0</v>
      </c>
      <c r="N27" s="431">
        <f ca="1">O27-M27</f>
        <v>0</v>
      </c>
      <c r="O27" s="432">
        <f ca="1">IF(OFFSET($X$27,0,2)&lt;&gt;"",OFFSET($X$27,0,2),$AE$4)</f>
        <v>0</v>
      </c>
      <c r="P27" s="700"/>
      <c r="X27" s="433" t="s">
        <v>278</v>
      </c>
      <c r="Y27" s="537"/>
      <c r="Z27" s="538"/>
      <c r="AC27" s="428">
        <f ca="1">MIN($L27,$O$28-OFFSET($X$26,0,1))</f>
        <v>0</v>
      </c>
      <c r="AD27" s="428">
        <f ca="1">MIN($L27,$O$28-OFFSET($X$26,0,2))</f>
        <v>0</v>
      </c>
    </row>
    <row r="28" spans="1:41" ht="15" x14ac:dyDescent="0.2">
      <c r="D28" t="s">
        <v>246</v>
      </c>
      <c r="I28" s="4"/>
      <c r="J28" s="707" t="s">
        <v>360</v>
      </c>
      <c r="K28" s="708"/>
      <c r="L28" s="434">
        <f ca="1">SUM(L13:OFFSET(L24,-1,0))</f>
        <v>0</v>
      </c>
      <c r="M28" s="435">
        <f ca="1">ROUND(SUM(M13:OFFSET(M24,-1,0)),2)</f>
        <v>0</v>
      </c>
      <c r="N28" s="436">
        <f ca="1">O28-M28</f>
        <v>0</v>
      </c>
      <c r="O28" s="437">
        <f ca="1">SUM(O13:OFFSET(O24,-1,0))</f>
        <v>0</v>
      </c>
      <c r="P28" s="700"/>
      <c r="X28" s="359"/>
      <c r="Y28" s="361"/>
      <c r="Z28" s="362"/>
    </row>
    <row r="29" spans="1:41" x14ac:dyDescent="0.2">
      <c r="O29" s="709" t="str">
        <f ca="1">"Acumulado Anterior:  "&amp;TEXT($M$28/($L$28+10^-12),"0,00%")</f>
        <v>Acumulado Anterior:  0,00%</v>
      </c>
      <c r="P29" s="709"/>
    </row>
    <row r="30" spans="1:41" ht="14.25" x14ac:dyDescent="0.2">
      <c r="E30" s="141" t="s">
        <v>187</v>
      </c>
      <c r="P30" s="476"/>
    </row>
    <row r="31" spans="1:41" ht="12.75" customHeight="1" x14ac:dyDescent="0.2">
      <c r="E31" s="692"/>
      <c r="F31" s="693"/>
      <c r="G31" s="693"/>
      <c r="H31" s="693"/>
      <c r="I31" s="693"/>
      <c r="J31" s="693"/>
      <c r="K31" s="693"/>
      <c r="L31" s="693"/>
      <c r="M31" s="693"/>
      <c r="N31" s="693"/>
      <c r="O31" s="693"/>
      <c r="P31" s="694"/>
    </row>
    <row r="32" spans="1:41" ht="12.75" customHeight="1" x14ac:dyDescent="0.2">
      <c r="E32" s="692"/>
      <c r="F32" s="693"/>
      <c r="G32" s="693"/>
      <c r="H32" s="693"/>
      <c r="I32" s="693"/>
      <c r="J32" s="693"/>
      <c r="K32" s="693"/>
      <c r="L32" s="693"/>
      <c r="M32" s="693"/>
      <c r="N32" s="693"/>
      <c r="O32" s="693"/>
      <c r="P32" s="694"/>
      <c r="Y32" s="438"/>
      <c r="Z32" s="438"/>
    </row>
    <row r="33" spans="5:16" ht="12.75" customHeight="1" x14ac:dyDescent="0.2">
      <c r="E33" s="695"/>
      <c r="F33" s="696"/>
      <c r="G33" s="696"/>
      <c r="H33" s="696"/>
      <c r="I33" s="696"/>
      <c r="J33" s="696"/>
      <c r="K33" s="696"/>
      <c r="L33" s="696"/>
      <c r="M33" s="696"/>
      <c r="N33" s="696"/>
      <c r="O33" s="696"/>
      <c r="P33" s="697"/>
    </row>
    <row r="35" spans="5:16" ht="15" x14ac:dyDescent="0.2">
      <c r="E35" s="622" t="str">
        <f>Import.Município</f>
        <v>Pirapora/MG</v>
      </c>
      <c r="F35" s="622"/>
      <c r="G35" s="622"/>
      <c r="I35" s="439"/>
      <c r="L35" s="632">
        <f ca="1">DADOS!$F$25</f>
        <v>45922</v>
      </c>
      <c r="M35" s="632"/>
      <c r="N35" s="632"/>
      <c r="O35" s="632"/>
    </row>
    <row r="36" spans="5:16" x14ac:dyDescent="0.2">
      <c r="E36" s="10" t="s">
        <v>188</v>
      </c>
      <c r="L36" s="10" t="s">
        <v>189</v>
      </c>
    </row>
    <row r="38" spans="5:16" x14ac:dyDescent="0.2">
      <c r="E38" s="194"/>
      <c r="F38" s="194"/>
      <c r="G38" s="194"/>
      <c r="L38" s="194"/>
      <c r="M38" s="194"/>
      <c r="N38" s="194"/>
      <c r="O38" s="194"/>
    </row>
    <row r="39" spans="5:16" x14ac:dyDescent="0.2">
      <c r="E39" s="440" t="str">
        <f>IF(CAIXA.Modo,"Responsável Gerencial CAIXA","Representante Tomador")</f>
        <v>Representante Tomador</v>
      </c>
      <c r="F39" s="7"/>
      <c r="L39" s="440" t="str">
        <f>IF(CAIXA.Modo,"Responsável Técnico CAIXA","Responsável Técnico pela Fiscalização")</f>
        <v>Responsável Técnico pela Fiscalização</v>
      </c>
    </row>
    <row r="40" spans="5:16" x14ac:dyDescent="0.2">
      <c r="E40" s="78" t="s">
        <v>108</v>
      </c>
      <c r="F40" s="312" t="str">
        <f>IF(CAIXA.Modo,DADOS!F60,DADOS!F28)</f>
        <v>Alexandro Costa César</v>
      </c>
      <c r="L40" s="78" t="s">
        <v>108</v>
      </c>
      <c r="M40" s="677">
        <f>IF(CAIXA.Modo,BM!X759,DADOS!F51)</f>
        <v>0</v>
      </c>
      <c r="N40" s="677"/>
      <c r="O40" s="677"/>
    </row>
    <row r="41" spans="5:16" x14ac:dyDescent="0.2">
      <c r="E41" s="78" t="str">
        <f>IF(CAIXA.Modo,"Função:","Cargo:")</f>
        <v>Cargo:</v>
      </c>
      <c r="F41" s="312" t="str">
        <f>IF(CAIXA.Modo,DADOS!F61,DADOS!F29)</f>
        <v>Prefeito Municipal</v>
      </c>
      <c r="L41" s="78" t="str">
        <f>IF(CAIXA.Modo,"Matrícula:","Profissão:")</f>
        <v>Profissão:</v>
      </c>
      <c r="M41" s="677">
        <f>IF(CAIXA.Modo,BM!X760,DADOS!F52)</f>
        <v>0</v>
      </c>
      <c r="N41" s="677"/>
      <c r="O41" s="677"/>
    </row>
    <row r="42" spans="5:16" x14ac:dyDescent="0.2">
      <c r="L42" s="78" t="s">
        <v>109</v>
      </c>
      <c r="M42" s="677">
        <f>IF(CAIXA.Modo,BM!X761,DADOS!F53)</f>
        <v>0</v>
      </c>
      <c r="N42" s="677"/>
      <c r="O42" s="677"/>
    </row>
    <row r="43" spans="5:16" x14ac:dyDescent="0.2">
      <c r="L43" s="78" t="str">
        <f>IF(CAIXA.Modo,"","ART/RRT:")</f>
        <v>ART/RRT:</v>
      </c>
      <c r="M43" s="13">
        <f>IF(CAIXA.Modo,"",DADOS!F54)</f>
        <v>0</v>
      </c>
    </row>
    <row r="45" spans="5:16" x14ac:dyDescent="0.2">
      <c r="E45" s="194"/>
      <c r="F45" s="194"/>
      <c r="G45" s="194"/>
      <c r="L45" s="194"/>
      <c r="M45" s="194"/>
      <c r="N45" s="194"/>
      <c r="O45" s="194"/>
    </row>
    <row r="46" spans="5:16" x14ac:dyDescent="0.2">
      <c r="E46" t="str">
        <f>IF(CAIXA.Modo,"Responsável Social CAIXA","Responsável Social")</f>
        <v>Responsável Social</v>
      </c>
      <c r="L46" t="str">
        <f>IF(CAIXA.Modo,"Responsável Operacional CAIXA","Responsável Financeiro")</f>
        <v>Responsável Financeiro</v>
      </c>
    </row>
    <row r="47" spans="5:16" x14ac:dyDescent="0.2">
      <c r="E47" s="78" t="s">
        <v>108</v>
      </c>
      <c r="F47" s="676"/>
      <c r="G47" s="676"/>
      <c r="L47" s="78" t="s">
        <v>108</v>
      </c>
      <c r="M47" s="676"/>
      <c r="N47" s="676"/>
      <c r="O47" s="676"/>
    </row>
    <row r="48" spans="5:16" x14ac:dyDescent="0.2">
      <c r="E48" s="78" t="str">
        <f>IF(CAIXA.Modo,"Função:","Cargo:")</f>
        <v>Cargo:</v>
      </c>
      <c r="F48" s="676"/>
      <c r="G48" s="676"/>
      <c r="L48" s="78" t="str">
        <f>IF(CAIXA.Modo,"Função:","Cargo:")</f>
        <v>Cargo:</v>
      </c>
      <c r="M48" s="676"/>
      <c r="N48" s="676"/>
      <c r="O48" s="676"/>
    </row>
    <row r="49" spans="5:15" x14ac:dyDescent="0.2">
      <c r="E49" s="78" t="str">
        <f>IF(CAIXA.Modo,"Matr:","")</f>
        <v/>
      </c>
      <c r="F49" s="676"/>
      <c r="G49" s="676"/>
      <c r="L49" s="78" t="str">
        <f>IF(CAIXA.Modo,"Matrícula:","")</f>
        <v/>
      </c>
      <c r="M49" s="676"/>
      <c r="N49" s="676"/>
      <c r="O49" s="676"/>
    </row>
  </sheetData>
  <sheetProtection algorithmName="SHA-512" hashValue="I6ui0OAbI/I6mThkHzSiOMiN8nUu01QJUCVX9Lf+cPsFBZSWV+lOeqm0JNiXIJqHSOtfxCUZzQWR3ahPkury6Q==" saltValue="EaSx+KXwPUiUa7L/4awxLg==" spinCount="100000" sheet="1" objects="1" scenarios="1" autoFilter="0"/>
  <autoFilter ref="D13:D30"/>
  <mergeCells count="40">
    <mergeCell ref="E6:H6"/>
    <mergeCell ref="I6:L6"/>
    <mergeCell ref="E3:H3"/>
    <mergeCell ref="I3:K3"/>
    <mergeCell ref="E4:H4"/>
    <mergeCell ref="I4:K4"/>
    <mergeCell ref="D7:D11"/>
    <mergeCell ref="E7:H7"/>
    <mergeCell ref="I7:L7"/>
    <mergeCell ref="G9:H9"/>
    <mergeCell ref="I9:J9"/>
    <mergeCell ref="L9:L10"/>
    <mergeCell ref="G10:H10"/>
    <mergeCell ref="AJ10:AO10"/>
    <mergeCell ref="Y11:Z11"/>
    <mergeCell ref="AC11:AE11"/>
    <mergeCell ref="AF11:AH11"/>
    <mergeCell ref="AJ11:AL11"/>
    <mergeCell ref="AM11:AO11"/>
    <mergeCell ref="J27:K27"/>
    <mergeCell ref="J28:K28"/>
    <mergeCell ref="O29:P29"/>
    <mergeCell ref="M48:O48"/>
    <mergeCell ref="AC10:AH10"/>
    <mergeCell ref="M4:O4"/>
    <mergeCell ref="M49:O49"/>
    <mergeCell ref="E31:P33"/>
    <mergeCell ref="L35:O35"/>
    <mergeCell ref="M40:O40"/>
    <mergeCell ref="M41:O41"/>
    <mergeCell ref="M42:O42"/>
    <mergeCell ref="M47:O47"/>
    <mergeCell ref="F49:G49"/>
    <mergeCell ref="E35:G35"/>
    <mergeCell ref="F47:G47"/>
    <mergeCell ref="F48:G48"/>
    <mergeCell ref="J24:K24"/>
    <mergeCell ref="P24:P28"/>
    <mergeCell ref="J25:K25"/>
    <mergeCell ref="J26:K26"/>
  </mergeCells>
  <phoneticPr fontId="40" type="noConversion"/>
  <conditionalFormatting sqref="X12:Z12">
    <cfRule type="expression" dxfId="8" priority="82" stopIfTrue="1">
      <formula>OR($C12="Automático",$C12="Branco")</formula>
    </cfRule>
  </conditionalFormatting>
  <conditionalFormatting sqref="F49:G49 M49:O49">
    <cfRule type="expression" dxfId="7" priority="83" stopIfTrue="1">
      <formula>CAIXA.Modo=FALSE</formula>
    </cfRule>
  </conditionalFormatting>
  <conditionalFormatting sqref="M12 M25:M28 O12 O25:O28">
    <cfRule type="cellIs" dxfId="6" priority="84" stopIfTrue="1" operator="notBetween">
      <formula>0</formula>
      <formula>$L12</formula>
    </cfRule>
  </conditionalFormatting>
  <conditionalFormatting sqref="M10:N10">
    <cfRule type="cellIs" dxfId="5" priority="85" stopIfTrue="1" operator="lessThan">
      <formula>0</formula>
    </cfRule>
  </conditionalFormatting>
  <conditionalFormatting sqref="X14:Z22">
    <cfRule type="expression" dxfId="4" priority="3" stopIfTrue="1">
      <formula>OR($C14="Automático",$C14="Branco")</formula>
    </cfRule>
  </conditionalFormatting>
  <conditionalFormatting sqref="M14:M22 O14:O22">
    <cfRule type="cellIs" dxfId="3" priority="4" stopIfTrue="1" operator="notBetween">
      <formula>0</formula>
      <formula>$L14</formula>
    </cfRule>
  </conditionalFormatting>
  <conditionalFormatting sqref="X23:Z23">
    <cfRule type="expression" dxfId="2" priority="1" stopIfTrue="1">
      <formula>OR($C23="Automático",$C23="Branco")</formula>
    </cfRule>
  </conditionalFormatting>
  <conditionalFormatting sqref="M23 O23">
    <cfRule type="cellIs" dxfId="1" priority="2" stopIfTrue="1" operator="notBetween">
      <formula>0</formula>
      <formula>$L23</formula>
    </cfRule>
  </conditionalFormatting>
  <dataValidations disablePrompts="1" count="5">
    <dataValidation type="decimal" errorStyle="warning" allowBlank="1" showInputMessage="1" showErrorMessage="1" errorTitle="Erro de valor" error="Valor menor que 0,00 ou maior que o valor da Contrapartida/Outros." promptTitle="Contrapartida Anterior:" prompt="Deixe essa célula em branco para o cálculo automático. Preencha somente para valores de CP diferentes do previsto." sqref="Y26">
      <formula1>0</formula1>
      <formula2>RRE.MaxCPAnt</formula2>
    </dataValidation>
    <dataValidation type="decimal" errorStyle="warning" allowBlank="1" showInputMessage="1" showErrorMessage="1" errorTitle="Erro de valor" error="Valor menor que 0,00 ou maior que o valor da Contrapartida/Outros." promptTitle="Contrapartida Acumulada:" prompt="Deixe essa célula em branco para o cálculo automático. Preencha somente para valores de CP diferentes do previsto." sqref="Z26">
      <formula1>0</formula1>
      <formula2>RRE.MaxCPAcum</formula2>
    </dataValidation>
    <dataValidation type="decimal" errorStyle="warning" allowBlank="1" showInputMessage="1" showErrorMessage="1" errorTitle="Erro de valor" error="Valor menor que 0,00 ou maior que o valor da Contrapartida/Outros." promptTitle="Outros Anterior:" prompt="Deixe essa célula em branco para o cálculo automático. Preencha somente para valores de Outros diferentes do previsto." sqref="Y27">
      <formula1>0</formula1>
      <formula2>RRE.MaxOUAnt</formula2>
    </dataValidation>
    <dataValidation type="decimal" errorStyle="warning" allowBlank="1" showInputMessage="1" showErrorMessage="1" errorTitle="Erro de valor" error="Valor menor que 0,00 ou maior que o valor da Contrapartida/Outros." promptTitle="Outros Acumulada:" prompt="Deixe essa célula em branco para o cálculo automático. Preencha somente para valores de Outros diferentes do previsto." sqref="Z27">
      <formula1>0</formula1>
      <formula2>RRE.MaxOUAcum</formula2>
    </dataValidation>
    <dataValidation type="decimal" allowBlank="1" showInputMessage="1" showErrorMessage="1" sqref="Y12:Z12 Y14:Z23">
      <formula1>0</formula1>
      <formula2>RRE.VIMeta</formula2>
    </dataValidation>
  </dataValidations>
  <pageMargins left="0.78740157480314998" right="0.78740157480314998" top="0.78740157480314998" bottom="0.78740157480314998" header="0.59055118110236204" footer="0.59055118110236204"/>
  <pageSetup paperSize="9" scale="73" firstPageNumber="0" fitToHeight="0" orientation="landscape" horizontalDpi="300" verticalDpi="300" r:id="rId1"/>
  <headerFooter alignWithMargins="0">
    <oddHeader>&amp;L_&amp;C&amp;14I</oddHeader>
    <oddFooter>&amp;LPMv3.0.6&amp;R&amp;P / &amp;N</oddFooter>
  </headerFooter>
  <colBreaks count="1" manualBreakCount="1">
    <brk id="15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2"/>
  <dimension ref="B1:Q56"/>
  <sheetViews>
    <sheetView showGridLines="0" zoomScale="90" zoomScaleNormal="90" zoomScaleSheetLayoutView="100" workbookViewId="0"/>
  </sheetViews>
  <sheetFormatPr defaultRowHeight="12.75" x14ac:dyDescent="0.2"/>
  <cols>
    <col min="1" max="1" width="2" customWidth="1"/>
    <col min="2" max="2" width="15.7109375" customWidth="1"/>
    <col min="3" max="3" width="6.7109375" customWidth="1"/>
    <col min="4" max="5" width="20.7109375" customWidth="1"/>
    <col min="6" max="6" width="8.7109375" customWidth="1"/>
    <col min="7" max="7" width="12.7109375" customWidth="1"/>
    <col min="8" max="8" width="20.7109375" customWidth="1"/>
    <col min="9" max="9" width="13.7109375" customWidth="1"/>
    <col min="10" max="12" width="16.7109375" customWidth="1"/>
    <col min="14" max="14" width="14.140625" customWidth="1"/>
  </cols>
  <sheetData>
    <row r="1" spans="2:17" x14ac:dyDescent="0.2">
      <c r="B1" s="736"/>
      <c r="C1" s="736"/>
      <c r="D1" s="50"/>
      <c r="E1" s="50"/>
      <c r="F1" s="50"/>
      <c r="G1" s="53" t="s">
        <v>140</v>
      </c>
    </row>
    <row r="2" spans="2:17" x14ac:dyDescent="0.2">
      <c r="B2" s="736"/>
      <c r="C2" s="736"/>
      <c r="D2" s="50"/>
      <c r="E2" s="50"/>
      <c r="F2" s="50"/>
      <c r="G2" s="12" t="s">
        <v>382</v>
      </c>
    </row>
    <row r="3" spans="2:17" ht="26.1" customHeight="1" thickBot="1" x14ac:dyDescent="0.25">
      <c r="B3" s="736"/>
      <c r="C3" s="736"/>
      <c r="D3" s="50"/>
      <c r="E3" s="50"/>
      <c r="F3" s="50"/>
      <c r="G3" s="441"/>
      <c r="I3" s="442" t="s">
        <v>383</v>
      </c>
    </row>
    <row r="4" spans="2:17" ht="12.75" customHeight="1" x14ac:dyDescent="0.2">
      <c r="B4" s="736"/>
      <c r="C4" s="736"/>
      <c r="D4" s="50"/>
      <c r="E4" s="50"/>
      <c r="F4" s="50"/>
      <c r="G4" s="50"/>
      <c r="I4" s="737" t="s">
        <v>384</v>
      </c>
      <c r="J4" s="739" t="s">
        <v>385</v>
      </c>
      <c r="K4" s="739" t="s">
        <v>386</v>
      </c>
      <c r="L4" s="732" t="s">
        <v>387</v>
      </c>
    </row>
    <row r="5" spans="2:17" x14ac:dyDescent="0.2">
      <c r="I5" s="738"/>
      <c r="J5" s="740"/>
      <c r="K5" s="740"/>
      <c r="L5" s="733"/>
    </row>
    <row r="6" spans="2:17" x14ac:dyDescent="0.2">
      <c r="B6" s="443" t="s">
        <v>388</v>
      </c>
      <c r="C6" s="734"/>
      <c r="D6" s="734"/>
      <c r="E6" s="443"/>
      <c r="F6" s="443"/>
      <c r="G6" s="50"/>
      <c r="I6" s="523" t="str">
        <f ca="1">IF(ROW(I6)-ROW(L$5)&gt;MAX(RRE!$V$13:$V$24),"",INDEX(RRE!$J$13:$J$24,MATCH(ROW(I6)-ROW(I$5),RRE!$V$13:$V$24,0)))</f>
        <v/>
      </c>
      <c r="J6" s="524" t="str">
        <f ca="1">IF(I6="","",SUMIF(RRE!$J$13:$J$24,OFÍCIO!$I6,RRE!$L$13:$L$24))</f>
        <v/>
      </c>
      <c r="K6" s="524" t="str">
        <f ca="1">IF(J6="","",SUMIF(RRE!$J$13:$J$24,OFÍCIO!$I6,RRE!$N$13:$N$24))</f>
        <v/>
      </c>
      <c r="L6" s="525" t="str">
        <f ca="1">IF(K6="","",SUMIF(RRE!$J$13:$J$24,OFÍCIO!$I6,RRE!$O$13:$O$24))</f>
        <v/>
      </c>
      <c r="N6" s="10"/>
    </row>
    <row r="7" spans="2:17" x14ac:dyDescent="0.2">
      <c r="B7" s="50"/>
      <c r="C7" s="50"/>
      <c r="D7" s="50"/>
      <c r="E7" s="50"/>
      <c r="F7" s="50"/>
      <c r="G7" s="50"/>
      <c r="I7" s="517" t="str">
        <f ca="1">IF(ROW(I7)-ROW(L$5)&gt;MAX(RRE!$V$13:$V$24),"",INDEX(RRE!$J$13:$J$24,MATCH(ROW(I7)-ROW(I$5),RRE!$V$13:$V$24,0)))</f>
        <v/>
      </c>
      <c r="J7" s="518" t="str">
        <f ca="1">IF(I7="","",SUMIF(RRE!$J$13:$J$24,OFÍCIO!$I7,RRE!$L$13:$L$24))</f>
        <v/>
      </c>
      <c r="K7" s="518" t="str">
        <f ca="1">IF(J7="","",SUMIF(RRE!$J$13:$J$24,OFÍCIO!$I7,RRE!$N$13:$N$24))</f>
        <v/>
      </c>
      <c r="L7" s="519" t="str">
        <f ca="1">IF(K7="","",SUMIF(RRE!$J$13:$J$24,OFÍCIO!$I7,RRE!$O$13:$O$24))</f>
        <v/>
      </c>
    </row>
    <row r="8" spans="2:17" x14ac:dyDescent="0.2">
      <c r="B8" s="735" t="str">
        <f ca="1">CONCATENATE(RRE!$E$35,", ",TEXT(RRE!$L$35,"dd"" de ""mmmm"" de ""aaaa"))</f>
        <v>Pirapora/MG, 22 de setembro de 2025</v>
      </c>
      <c r="C8" s="735"/>
      <c r="D8" s="735"/>
      <c r="E8" s="735"/>
      <c r="F8" s="735"/>
      <c r="G8" s="735"/>
      <c r="H8" s="444"/>
      <c r="I8" s="517" t="str">
        <f ca="1">IF(ROW(I8)-ROW(L$5)&gt;MAX(RRE!$V$13:$V$24),"",INDEX(RRE!$J$13:$J$24,MATCH(ROW(I8)-ROW(I$5),RRE!$V$13:$V$24,0)))</f>
        <v/>
      </c>
      <c r="J8" s="518" t="str">
        <f ca="1">IF(I8="","",SUMIF(RRE!$J$13:$J$24,OFÍCIO!$I8,RRE!$L$13:$L$24))</f>
        <v/>
      </c>
      <c r="K8" s="518" t="str">
        <f ca="1">IF(J8="","",SUMIF(RRE!$J$13:$J$24,OFÍCIO!$I8,RRE!$N$13:$N$24))</f>
        <v/>
      </c>
      <c r="L8" s="519" t="str">
        <f ca="1">IF(K8="","",SUMIF(RRE!$J$13:$J$24,OFÍCIO!$I8,RRE!$O$13:$O$24))</f>
        <v/>
      </c>
      <c r="N8" s="444"/>
      <c r="O8" s="444"/>
      <c r="P8" s="444"/>
      <c r="Q8" s="444"/>
    </row>
    <row r="9" spans="2:17" x14ac:dyDescent="0.2">
      <c r="B9" s="445" t="s">
        <v>389</v>
      </c>
      <c r="C9" s="50"/>
      <c r="D9" s="50"/>
      <c r="G9" s="50"/>
      <c r="H9" s="444"/>
      <c r="I9" s="517" t="str">
        <f ca="1">IF(ROW(I9)-ROW(L$5)&gt;MAX(RRE!$V$13:$V$24),"",INDEX(RRE!$J$13:$J$24,MATCH(ROW(I9)-ROW(I$5),RRE!$V$13:$V$24,0)))</f>
        <v/>
      </c>
      <c r="J9" s="518" t="str">
        <f ca="1">IF(I9="","",SUMIF(RRE!$J$13:$J$24,OFÍCIO!$I9,RRE!$L$13:$L$24))</f>
        <v/>
      </c>
      <c r="K9" s="518" t="str">
        <f ca="1">IF(J9="","",SUMIF(RRE!$J$13:$J$24,OFÍCIO!$I9,RRE!$N$13:$N$24))</f>
        <v/>
      </c>
      <c r="L9" s="519" t="str">
        <f ca="1">IF(K9="","",SUMIF(RRE!$J$13:$J$24,OFÍCIO!$I9,RRE!$O$13:$O$24))</f>
        <v/>
      </c>
      <c r="N9" s="444"/>
      <c r="O9" s="444"/>
      <c r="P9" s="444"/>
      <c r="Q9" s="444"/>
    </row>
    <row r="10" spans="2:17" x14ac:dyDescent="0.2">
      <c r="B10" s="728" t="s">
        <v>390</v>
      </c>
      <c r="C10" s="728"/>
      <c r="D10" s="728"/>
      <c r="G10" s="50"/>
      <c r="H10" s="444"/>
      <c r="I10" s="517" t="str">
        <f ca="1">IF(ROW(I10)-ROW(L$5)&gt;MAX(RRE!$V$13:$V$24),"",INDEX(RRE!$J$13:$J$24,MATCH(ROW(I10)-ROW(I$5),RRE!$V$13:$V$24,0)))</f>
        <v/>
      </c>
      <c r="J10" s="518" t="str">
        <f ca="1">IF(I10="","",SUMIF(RRE!$J$13:$J$24,OFÍCIO!$I10,RRE!$L$13:$L$24))</f>
        <v/>
      </c>
      <c r="K10" s="518" t="str">
        <f ca="1">IF(J10="","",SUMIF(RRE!$J$13:$J$24,OFÍCIO!$I10,RRE!$N$13:$N$24))</f>
        <v/>
      </c>
      <c r="L10" s="519" t="str">
        <f ca="1">IF(K10="","",SUMIF(RRE!$J$13:$J$24,OFÍCIO!$I10,RRE!$O$13:$O$24))</f>
        <v/>
      </c>
      <c r="N10" s="444"/>
      <c r="O10" s="444"/>
      <c r="P10" s="444"/>
      <c r="Q10" s="444"/>
    </row>
    <row r="11" spans="2:17" x14ac:dyDescent="0.2">
      <c r="B11" s="446" t="s">
        <v>410</v>
      </c>
      <c r="C11" s="676"/>
      <c r="D11" s="676"/>
      <c r="G11" s="50"/>
      <c r="H11" s="444"/>
      <c r="I11" s="517" t="str">
        <f ca="1">IF(ROW(I11)-ROW(L$5)&gt;MAX(RRE!$V$13:$V$24),"",INDEX(RRE!$J$13:$J$24,MATCH(ROW(I11)-ROW(I$5),RRE!$V$13:$V$24,0)))</f>
        <v/>
      </c>
      <c r="J11" s="518" t="str">
        <f ca="1">IF(I11="","",SUMIF(RRE!$J$13:$J$24,OFÍCIO!$I11,RRE!$L$13:$L$24))</f>
        <v/>
      </c>
      <c r="K11" s="518" t="str">
        <f ca="1">IF(J11="","",SUMIF(RRE!$J$13:$J$24,OFÍCIO!$I11,RRE!$N$13:$N$24))</f>
        <v/>
      </c>
      <c r="L11" s="519" t="str">
        <f ca="1">IF(K11="","",SUMIF(RRE!$J$13:$J$24,OFÍCIO!$I11,RRE!$O$13:$O$24))</f>
        <v/>
      </c>
      <c r="N11" s="444"/>
      <c r="O11" s="444"/>
      <c r="P11" s="444"/>
      <c r="Q11" s="444"/>
    </row>
    <row r="12" spans="2:17" x14ac:dyDescent="0.2">
      <c r="B12" s="447"/>
      <c r="C12" s="447"/>
      <c r="D12" s="447"/>
      <c r="E12" s="447"/>
      <c r="F12" s="447"/>
      <c r="G12" s="50"/>
      <c r="H12" s="444"/>
      <c r="I12" s="517" t="str">
        <f ca="1">IF(ROW(I12)-ROW(L$5)&gt;MAX(RRE!$V$13:$V$24),"",INDEX(RRE!$J$13:$J$24,MATCH(ROW(I12)-ROW(I$5),RRE!$V$13:$V$24,0)))</f>
        <v/>
      </c>
      <c r="J12" s="518" t="str">
        <f ca="1">IF(I12="","",SUMIF(RRE!$J$13:$J$24,OFÍCIO!$I12,RRE!$L$13:$L$24))</f>
        <v/>
      </c>
      <c r="K12" s="518" t="str">
        <f ca="1">IF(J12="","",SUMIF(RRE!$J$13:$J$24,OFÍCIO!$I12,RRE!$N$13:$N$24))</f>
        <v/>
      </c>
      <c r="L12" s="519" t="str">
        <f ca="1">IF(K12="","",SUMIF(RRE!$J$13:$J$24,OFÍCIO!$I12,RRE!$O$13:$O$24))</f>
        <v/>
      </c>
      <c r="N12" s="444"/>
      <c r="O12" s="444"/>
      <c r="P12" s="444"/>
      <c r="Q12" s="444"/>
    </row>
    <row r="13" spans="2:17" x14ac:dyDescent="0.2">
      <c r="B13" s="50"/>
      <c r="C13" s="50"/>
      <c r="D13" s="50"/>
      <c r="E13" s="50"/>
      <c r="F13" s="50"/>
      <c r="G13" s="50"/>
      <c r="I13" s="517" t="str">
        <f ca="1">IF(ROW(I13)-ROW(L$5)&gt;MAX(RRE!$V$13:$V$24),"",INDEX(RRE!$J$13:$J$24,MATCH(ROW(I13)-ROW(I$5),RRE!$V$13:$V$24,0)))</f>
        <v/>
      </c>
      <c r="J13" s="518" t="str">
        <f ca="1">IF(I13="","",SUMIF(RRE!$J$13:$J$24,OFÍCIO!$I13,RRE!$L$13:$L$24))</f>
        <v/>
      </c>
      <c r="K13" s="518" t="str">
        <f ca="1">IF(J13="","",SUMIF(RRE!$J$13:$J$24,OFÍCIO!$I13,RRE!$N$13:$N$24))</f>
        <v/>
      </c>
      <c r="L13" s="519" t="str">
        <f ca="1">IF(K13="","",SUMIF(RRE!$J$13:$J$24,OFÍCIO!$I13,RRE!$O$13:$O$24))</f>
        <v/>
      </c>
    </row>
    <row r="14" spans="2:17" x14ac:dyDescent="0.2">
      <c r="B14" s="445" t="s">
        <v>391</v>
      </c>
      <c r="C14" s="728" t="str">
        <f ca="1">CONCATENATE(RRE.Numero,"ª"," Solicitação de ",IF(import.recurso="OGU","Desbloqueio","Desembolso")," de Recursos.")</f>
        <v>1ª Solicitação de Desembolso de Recursos.</v>
      </c>
      <c r="D14" s="728"/>
      <c r="E14" s="728"/>
      <c r="F14" s="728"/>
      <c r="G14" s="728"/>
      <c r="I14" s="517" t="str">
        <f ca="1">IF(ROW(I14)-ROW(L$5)&gt;MAX(RRE!$V$13:$V$24),"",INDEX(RRE!$J$13:$J$24,MATCH(ROW(I14)-ROW(I$5),RRE!$V$13:$V$24,0)))</f>
        <v/>
      </c>
      <c r="J14" s="518" t="str">
        <f ca="1">IF(I14="","",SUMIF(RRE!$J$13:$J$24,OFÍCIO!$I14,RRE!$L$13:$L$24))</f>
        <v/>
      </c>
      <c r="K14" s="518" t="str">
        <f ca="1">IF(J14="","",SUMIF(RRE!$J$13:$J$24,OFÍCIO!$I14,RRE!$N$13:$N$24))</f>
        <v/>
      </c>
      <c r="L14" s="519" t="str">
        <f ca="1">IF(K14="","",SUMIF(RRE!$J$13:$J$24,OFÍCIO!$I14,RRE!$O$13:$O$24))</f>
        <v/>
      </c>
    </row>
    <row r="15" spans="2:17" ht="12.75" customHeight="1" x14ac:dyDescent="0.2">
      <c r="B15" s="445" t="s">
        <v>392</v>
      </c>
      <c r="C15" s="729" t="str">
        <f>CONCATENATE("Contrato de ",IF(import.recurso="OGU","Repasse","Financiamento")," - Operação nº ",Import.CR,IF(Import.TransfereGOV="","",CONCATENATE(" - TransfereGOV nº ",Import.TransfereGOV)))</f>
        <v xml:space="preserve">Contrato de Financiamento - Operação nº 1094391-68 - TransfereGOV nº 960797/2024 </v>
      </c>
      <c r="D15" s="729"/>
      <c r="E15" s="729"/>
      <c r="F15" s="729"/>
      <c r="G15" s="729"/>
      <c r="I15" s="517" t="str">
        <f ca="1">IF(ROW(I15)-ROW(L$5)&gt;MAX(RRE!$V$13:$V$24),"",INDEX(RRE!$J$13:$J$24,MATCH(ROW(I15)-ROW(I$5),RRE!$V$13:$V$24,0)))</f>
        <v/>
      </c>
      <c r="J15" s="518" t="str">
        <f ca="1">IF(I15="","",SUMIF(RRE!$J$13:$J$24,OFÍCIO!$I15,RRE!$L$13:$L$24))</f>
        <v/>
      </c>
      <c r="K15" s="518" t="str">
        <f ca="1">IF(J15="","",SUMIF(RRE!$J$13:$J$24,OFÍCIO!$I15,RRE!$N$13:$N$24))</f>
        <v/>
      </c>
      <c r="L15" s="519" t="str">
        <f ca="1">IF(K15="","",SUMIF(RRE!$J$13:$J$24,OFÍCIO!$I15,RRE!$O$13:$O$24))</f>
        <v/>
      </c>
    </row>
    <row r="16" spans="2:17" x14ac:dyDescent="0.2">
      <c r="B16" s="445"/>
      <c r="C16" s="729"/>
      <c r="D16" s="729"/>
      <c r="E16" s="729"/>
      <c r="F16" s="729"/>
      <c r="G16" s="729"/>
      <c r="I16" s="517" t="str">
        <f ca="1">IF(ROW(I16)-ROW(L$5)&gt;MAX(RRE!$V$13:$V$24),"",INDEX(RRE!$J$13:$J$24,MATCH(ROW(I16)-ROW(I$5),RRE!$V$13:$V$24,0)))</f>
        <v/>
      </c>
      <c r="J16" s="518" t="str">
        <f ca="1">IF(I16="","",SUMIF(RRE!$J$13:$J$24,OFÍCIO!$I16,RRE!$L$13:$L$24))</f>
        <v/>
      </c>
      <c r="K16" s="518" t="str">
        <f ca="1">IF(J16="","",SUMIF(RRE!$J$13:$J$24,OFÍCIO!$I16,RRE!$N$13:$N$24))</f>
        <v/>
      </c>
      <c r="L16" s="519" t="str">
        <f ca="1">IF(K16="","",SUMIF(RRE!$J$13:$J$24,OFÍCIO!$I16,RRE!$O$13:$O$24))</f>
        <v/>
      </c>
    </row>
    <row r="17" spans="2:12" x14ac:dyDescent="0.2">
      <c r="B17" s="50"/>
      <c r="C17" s="50"/>
      <c r="D17" s="50"/>
      <c r="E17" s="50"/>
      <c r="F17" s="50"/>
      <c r="G17" s="50"/>
      <c r="I17" s="517" t="str">
        <f ca="1">IF(ROW(I17)-ROW(L$5)&gt;MAX(RRE!$V$13:$V$24),"",INDEX(RRE!$J$13:$J$24,MATCH(ROW(I17)-ROW(I$5),RRE!$V$13:$V$24,0)))</f>
        <v/>
      </c>
      <c r="J17" s="518" t="str">
        <f ca="1">IF(I17="","",SUMIF(RRE!$J$13:$J$24,OFÍCIO!$I17,RRE!$L$13:$L$24))</f>
        <v/>
      </c>
      <c r="K17" s="518" t="str">
        <f ca="1">IF(J17="","",SUMIF(RRE!$J$13:$J$24,OFÍCIO!$I17,RRE!$N$13:$N$24))</f>
        <v/>
      </c>
      <c r="L17" s="519" t="str">
        <f ca="1">IF(K17="","",SUMIF(RRE!$J$13:$J$24,OFÍCIO!$I17,RRE!$O$13:$O$24))</f>
        <v/>
      </c>
    </row>
    <row r="18" spans="2:12" ht="12.75" customHeight="1" x14ac:dyDescent="0.2">
      <c r="B18" s="312" t="s">
        <v>393</v>
      </c>
      <c r="C18" s="724" t="str">
        <f>Import.DescLote</f>
        <v>Centro Municipal de Educação Infantil - CEMEI Santa Mariana Pirapora/MG. Projeto Padrão FNDE- Creche e Pré escola Tipo I.</v>
      </c>
      <c r="D18" s="724"/>
      <c r="E18" s="724"/>
      <c r="F18" s="724"/>
      <c r="G18" s="724"/>
      <c r="I18" s="517" t="str">
        <f ca="1">IF(ROW(I18)-ROW(L$5)&gt;MAX(RRE!$V$13:$V$24),"",INDEX(RRE!$J$13:$J$24,MATCH(ROW(I18)-ROW(I$5),RRE!$V$13:$V$24,0)))</f>
        <v/>
      </c>
      <c r="J18" s="518" t="str">
        <f ca="1">IF(I18="","",SUMIF(RRE!$J$13:$J$24,OFÍCIO!$I18,RRE!$L$13:$L$24))</f>
        <v/>
      </c>
      <c r="K18" s="518" t="str">
        <f ca="1">IF(J18="","",SUMIF(RRE!$J$13:$J$24,OFÍCIO!$I18,RRE!$N$13:$N$24))</f>
        <v/>
      </c>
      <c r="L18" s="519" t="str">
        <f ca="1">IF(K18="","",SUMIF(RRE!$J$13:$J$24,OFÍCIO!$I18,RRE!$O$13:$O$24))</f>
        <v/>
      </c>
    </row>
    <row r="19" spans="2:12" ht="12.75" customHeight="1" x14ac:dyDescent="0.2">
      <c r="B19" s="726" t="s">
        <v>394</v>
      </c>
      <c r="C19" s="727" t="str">
        <f>Import.Proponente</f>
        <v>Prefeitura Municipal de Pirapora</v>
      </c>
      <c r="D19" s="727"/>
      <c r="E19" s="727"/>
      <c r="F19" s="727"/>
      <c r="G19" s="727"/>
      <c r="I19" s="517" t="str">
        <f ca="1">IF(ROW(I19)-ROW(L$5)&gt;MAX(RRE!$V$13:$V$24),"",INDEX(RRE!$J$13:$J$24,MATCH(ROW(I19)-ROW(I$5),RRE!$V$13:$V$24,0)))</f>
        <v/>
      </c>
      <c r="J19" s="518" t="str">
        <f ca="1">IF(I19="","",SUMIF(RRE!$J$13:$J$24,OFÍCIO!$I19,RRE!$L$13:$L$24))</f>
        <v/>
      </c>
      <c r="K19" s="518" t="str">
        <f ca="1">IF(J19="","",SUMIF(RRE!$J$13:$J$24,OFÍCIO!$I19,RRE!$N$13:$N$24))</f>
        <v/>
      </c>
      <c r="L19" s="519" t="str">
        <f ca="1">IF(K19="","",SUMIF(RRE!$J$13:$J$24,OFÍCIO!$I19,RRE!$O$13:$O$24))</f>
        <v/>
      </c>
    </row>
    <row r="20" spans="2:12" x14ac:dyDescent="0.2">
      <c r="B20" s="726"/>
      <c r="C20" s="727"/>
      <c r="D20" s="727"/>
      <c r="E20" s="727"/>
      <c r="F20" s="727"/>
      <c r="G20" s="727"/>
      <c r="I20" s="517" t="str">
        <f ca="1">IF(ROW(I20)-ROW(L$5)&gt;MAX(RRE!$V$13:$V$24),"",INDEX(RRE!$J$13:$J$24,MATCH(ROW(I20)-ROW(I$5),RRE!$V$13:$V$24,0)))</f>
        <v/>
      </c>
      <c r="J20" s="518" t="str">
        <f ca="1">IF(I20="","",SUMIF(RRE!$J$13:$J$24,OFÍCIO!$I20,RRE!$L$13:$L$24))</f>
        <v/>
      </c>
      <c r="K20" s="518" t="str">
        <f ca="1">IF(J20="","",SUMIF(RRE!$J$13:$J$24,OFÍCIO!$I20,RRE!$N$13:$N$24))</f>
        <v/>
      </c>
      <c r="L20" s="519" t="str">
        <f ca="1">IF(K20="","",SUMIF(RRE!$J$13:$J$24,OFÍCIO!$I20,RRE!$O$13:$O$24))</f>
        <v/>
      </c>
    </row>
    <row r="21" spans="2:12" x14ac:dyDescent="0.2">
      <c r="B21" s="50"/>
      <c r="C21" s="50"/>
      <c r="D21" s="50"/>
      <c r="E21" s="50"/>
      <c r="F21" s="50"/>
      <c r="G21" s="50"/>
      <c r="I21" s="517" t="str">
        <f ca="1">IF(ROW(I21)-ROW(L$5)&gt;MAX(RRE!$V$13:$V$24),"",INDEX(RRE!$J$13:$J$24,MATCH(ROW(I21)-ROW(I$5),RRE!$V$13:$V$24,0)))</f>
        <v/>
      </c>
      <c r="J21" s="518" t="str">
        <f ca="1">IF(I21="","",SUMIF(RRE!$J$13:$J$24,OFÍCIO!$I21,RRE!$L$13:$L$24))</f>
        <v/>
      </c>
      <c r="K21" s="518" t="str">
        <f ca="1">IF(J21="","",SUMIF(RRE!$J$13:$J$24,OFÍCIO!$I21,RRE!$N$13:$N$24))</f>
        <v/>
      </c>
      <c r="L21" s="519" t="str">
        <f ca="1">IF(K21="","",SUMIF(RRE!$J$13:$J$24,OFÍCIO!$I21,RRE!$O$13:$O$24))</f>
        <v/>
      </c>
    </row>
    <row r="22" spans="2:12" x14ac:dyDescent="0.2">
      <c r="B22" t="str">
        <f>IF(B11="GIGOV","Senhor Gerente","Senhor Superintendente")</f>
        <v>Senhor Gerente</v>
      </c>
      <c r="D22" s="50"/>
      <c r="E22" s="50"/>
      <c r="F22" s="50"/>
      <c r="G22" s="50"/>
      <c r="I22" s="517" t="str">
        <f ca="1">IF(ROW(I22)-ROW(L$5)&gt;MAX(RRE!$V$13:$V$24),"",INDEX(RRE!$J$13:$J$24,MATCH(ROW(I22)-ROW(I$5),RRE!$V$13:$V$24,0)))</f>
        <v/>
      </c>
      <c r="J22" s="518" t="str">
        <f ca="1">IF(I22="","",SUMIF(RRE!$J$13:$J$24,OFÍCIO!$I22,RRE!$L$13:$L$24))</f>
        <v/>
      </c>
      <c r="K22" s="518" t="str">
        <f ca="1">IF(J22="","",SUMIF(RRE!$J$13:$J$24,OFÍCIO!$I22,RRE!$N$13:$N$24))</f>
        <v/>
      </c>
      <c r="L22" s="519" t="str">
        <f ca="1">IF(K22="","",SUMIF(RRE!$J$13:$J$24,OFÍCIO!$I22,RRE!$O$13:$O$24))</f>
        <v/>
      </c>
    </row>
    <row r="23" spans="2:12" x14ac:dyDescent="0.2">
      <c r="B23" s="50"/>
      <c r="C23" s="50"/>
      <c r="D23" s="50"/>
      <c r="E23" s="50"/>
      <c r="F23" s="50"/>
      <c r="G23" s="50"/>
      <c r="I23" s="517" t="str">
        <f ca="1">IF(ROW(I23)-ROW(L$5)&gt;MAX(RRE!$V$13:$V$24),"",INDEX(RRE!$J$13:$J$24,MATCH(ROW(I23)-ROW(I$5),RRE!$V$13:$V$24,0)))</f>
        <v/>
      </c>
      <c r="J23" s="518" t="str">
        <f ca="1">IF(I23="","",SUMIF(RRE!$J$13:$J$24,OFÍCIO!$I23,RRE!$L$13:$L$24))</f>
        <v/>
      </c>
      <c r="K23" s="518" t="str">
        <f ca="1">IF(J23="","",SUMIF(RRE!$J$13:$J$24,OFÍCIO!$I23,RRE!$N$13:$N$24))</f>
        <v/>
      </c>
      <c r="L23" s="519" t="str">
        <f ca="1">IF(K23="","",SUMIF(RRE!$J$13:$J$24,OFÍCIO!$I23,RRE!$O$13:$O$24))</f>
        <v/>
      </c>
    </row>
    <row r="24" spans="2:12" ht="12.75" customHeight="1" x14ac:dyDescent="0.2">
      <c r="B24" s="724" t="str">
        <f>CONCATENATE("1. Vimos pelo presente, solicitar à Caixa Econômica Federal autorização para ",IF(import.recurso="OGU","desbloqueio","desembolso")," da parcela de recursos relativa ao Contrato de ",IF(import.recurso="OGU","Repasse","Financiamento")," em referência, conforme valores abaixo discriminados e, para tanto, anexamos a documentação necessária ao pleito.")</f>
        <v>1. Vimos pelo presente, solicitar à Caixa Econômica Federal autorização para desembolso da parcela de recursos relativa ao Contrato de Financiamento em referência, conforme valores abaixo discriminados e, para tanto, anexamos a documentação necessária ao pleito.</v>
      </c>
      <c r="C24" s="724"/>
      <c r="D24" s="724"/>
      <c r="E24" s="724"/>
      <c r="F24" s="724"/>
      <c r="G24" s="724"/>
      <c r="I24" s="517" t="str">
        <f ca="1">IF(ROW(I24)-ROW(L$5)&gt;MAX(RRE!$V$13:$V$24),"",INDEX(RRE!$J$13:$J$24,MATCH(ROW(I24)-ROW(I$5),RRE!$V$13:$V$24,0)))</f>
        <v/>
      </c>
      <c r="J24" s="518" t="str">
        <f ca="1">IF(I24="","",SUMIF(RRE!$J$13:$J$24,OFÍCIO!$I24,RRE!$L$13:$L$24))</f>
        <v/>
      </c>
      <c r="K24" s="518" t="str">
        <f ca="1">IF(J24="","",SUMIF(RRE!$J$13:$J$24,OFÍCIO!$I24,RRE!$N$13:$N$24))</f>
        <v/>
      </c>
      <c r="L24" s="519" t="str">
        <f ca="1">IF(K24="","",SUMIF(RRE!$J$13:$J$24,OFÍCIO!$I24,RRE!$O$13:$O$24))</f>
        <v/>
      </c>
    </row>
    <row r="25" spans="2:12" x14ac:dyDescent="0.2">
      <c r="B25" s="724"/>
      <c r="C25" s="724"/>
      <c r="D25" s="724"/>
      <c r="E25" s="724"/>
      <c r="F25" s="724"/>
      <c r="G25" s="724"/>
      <c r="I25" s="517" t="str">
        <f ca="1">IF(ROW(I25)-ROW(L$5)&gt;MAX(RRE!$V$13:$V$24),"",INDEX(RRE!$J$13:$J$24,MATCH(ROW(I25)-ROW(I$5),RRE!$V$13:$V$24,0)))</f>
        <v/>
      </c>
      <c r="J25" s="518" t="str">
        <f ca="1">IF(I25="","",SUMIF(RRE!$J$13:$J$24,OFÍCIO!$I25,RRE!$L$13:$L$24))</f>
        <v/>
      </c>
      <c r="K25" s="518" t="str">
        <f ca="1">IF(J25="","",SUMIF(RRE!$J$13:$J$24,OFÍCIO!$I25,RRE!$N$13:$N$24))</f>
        <v/>
      </c>
      <c r="L25" s="519" t="str">
        <f ca="1">IF(K25="","",SUMIF(RRE!$J$13:$J$24,OFÍCIO!$I25,RRE!$O$13:$O$24))</f>
        <v/>
      </c>
    </row>
    <row r="26" spans="2:12" x14ac:dyDescent="0.2">
      <c r="B26" s="724"/>
      <c r="C26" s="724"/>
      <c r="D26" s="724"/>
      <c r="E26" s="724"/>
      <c r="F26" s="724"/>
      <c r="G26" s="724"/>
      <c r="I26" s="517" t="str">
        <f ca="1">IF(ROW(I26)-ROW(L$5)&gt;MAX(RRE!$V$13:$V$24),"",INDEX(RRE!$J$13:$J$24,MATCH(ROW(I26)-ROW(I$5),RRE!$V$13:$V$24,0)))</f>
        <v/>
      </c>
      <c r="J26" s="518" t="str">
        <f ca="1">IF(I26="","",SUMIF(RRE!$J$13:$J$24,OFÍCIO!$I26,RRE!$L$13:$L$24))</f>
        <v/>
      </c>
      <c r="K26" s="518" t="str">
        <f ca="1">IF(J26="","",SUMIF(RRE!$J$13:$J$24,OFÍCIO!$I26,RRE!$N$13:$N$24))</f>
        <v/>
      </c>
      <c r="L26" s="519" t="str">
        <f ca="1">IF(K26="","",SUMIF(RRE!$J$13:$J$24,OFÍCIO!$I26,RRE!$O$13:$O$24))</f>
        <v/>
      </c>
    </row>
    <row r="27" spans="2:12" x14ac:dyDescent="0.2">
      <c r="B27" s="50"/>
      <c r="C27" s="50"/>
      <c r="D27" s="50"/>
      <c r="E27" s="50"/>
      <c r="F27" s="50"/>
      <c r="G27" s="50"/>
      <c r="I27" s="517" t="str">
        <f ca="1">IF(ROW(I27)-ROW(L$5)&gt;MAX(RRE!$V$13:$V$24),"",INDEX(RRE!$J$13:$J$24,MATCH(ROW(I27)-ROW(I$5),RRE!$V$13:$V$24,0)))</f>
        <v/>
      </c>
      <c r="J27" s="518" t="str">
        <f ca="1">IF(I27="","",SUMIF(RRE!$J$13:$J$24,OFÍCIO!$I27,RRE!$L$13:$L$24))</f>
        <v/>
      </c>
      <c r="K27" s="518" t="str">
        <f ca="1">IF(J27="","",SUMIF(RRE!$J$13:$J$24,OFÍCIO!$I27,RRE!$N$13:$N$24))</f>
        <v/>
      </c>
      <c r="L27" s="519" t="str">
        <f ca="1">IF(K27="","",SUMIF(RRE!$J$13:$J$24,OFÍCIO!$I27,RRE!$O$13:$O$24))</f>
        <v/>
      </c>
    </row>
    <row r="28" spans="2:12" ht="12.75" customHeight="1" x14ac:dyDescent="0.2">
      <c r="B28" s="725"/>
      <c r="C28" s="725"/>
      <c r="D28" s="730" t="s">
        <v>395</v>
      </c>
      <c r="E28" s="730" t="str">
        <f ca="1">"Evolução da "&amp;RRE.Numero&amp;"ª Medição"</f>
        <v>Evolução da 1ª Medição</v>
      </c>
      <c r="F28" s="731" t="s">
        <v>396</v>
      </c>
      <c r="G28" s="731"/>
      <c r="I28" s="517" t="str">
        <f ca="1">IF(ROW(I28)-ROW(L$5)&gt;MAX(RRE!$V$13:$V$24),"",INDEX(RRE!$J$13:$J$24,MATCH(ROW(I28)-ROW(I$5),RRE!$V$13:$V$24,0)))</f>
        <v/>
      </c>
      <c r="J28" s="518" t="str">
        <f ca="1">IF(I28="","",SUMIF(RRE!$J$13:$J$24,OFÍCIO!$I28,RRE!$L$13:$L$24))</f>
        <v/>
      </c>
      <c r="K28" s="518" t="str">
        <f ca="1">IF(J28="","",SUMIF(RRE!$J$13:$J$24,OFÍCIO!$I28,RRE!$N$13:$N$24))</f>
        <v/>
      </c>
      <c r="L28" s="519" t="str">
        <f ca="1">IF(K28="","",SUMIF(RRE!$J$13:$J$24,OFÍCIO!$I28,RRE!$O$13:$O$24))</f>
        <v/>
      </c>
    </row>
    <row r="29" spans="2:12" x14ac:dyDescent="0.2">
      <c r="B29" s="725"/>
      <c r="C29" s="725"/>
      <c r="D29" s="730"/>
      <c r="E29" s="730"/>
      <c r="F29" s="731"/>
      <c r="G29" s="731"/>
      <c r="I29" s="517" t="str">
        <f ca="1">IF(ROW(I29)-ROW(L$5)&gt;MAX(RRE!$V$13:$V$24),"",INDEX(RRE!$J$13:$J$24,MATCH(ROW(I29)-ROW(I$5),RRE!$V$13:$V$24,0)))</f>
        <v/>
      </c>
      <c r="J29" s="518" t="str">
        <f ca="1">IF(I29="","",SUMIF(RRE!$J$13:$J$24,OFÍCIO!$I29,RRE!$L$13:$L$24))</f>
        <v/>
      </c>
      <c r="K29" s="518" t="str">
        <f ca="1">IF(J29="","",SUMIF(RRE!$J$13:$J$24,OFÍCIO!$I29,RRE!$N$13:$N$24))</f>
        <v/>
      </c>
      <c r="L29" s="519" t="str">
        <f ca="1">IF(K29="","",SUMIF(RRE!$J$13:$J$24,OFÍCIO!$I29,RRE!$O$13:$O$24))</f>
        <v/>
      </c>
    </row>
    <row r="30" spans="2:12" x14ac:dyDescent="0.2">
      <c r="B30" s="719" t="str">
        <f>IF(import.recurso="FGTS","Financiamento:","Repasse:")</f>
        <v>Repasse:</v>
      </c>
      <c r="C30" s="719"/>
      <c r="D30" s="448">
        <f ca="1">RRE!L25</f>
        <v>0</v>
      </c>
      <c r="E30" s="448">
        <f ca="1">RRE!N25</f>
        <v>0</v>
      </c>
      <c r="F30" s="720">
        <f ca="1">RRE!O25</f>
        <v>0</v>
      </c>
      <c r="G30" s="720"/>
      <c r="I30" s="517" t="str">
        <f ca="1">IF(ROW(I30)-ROW(L$5)&gt;MAX(RRE!$V$13:$V$24),"",INDEX(RRE!$J$13:$J$24,MATCH(ROW(I30)-ROW(I$5),RRE!$V$13:$V$24,0)))</f>
        <v/>
      </c>
      <c r="J30" s="518" t="str">
        <f ca="1">IF(I30="","",SUMIF(RRE!$J$13:$J$24,OFÍCIO!$I30,RRE!$L$13:$L$24))</f>
        <v/>
      </c>
      <c r="K30" s="518" t="str">
        <f ca="1">IF(J30="","",SUMIF(RRE!$J$13:$J$24,OFÍCIO!$I30,RRE!$N$13:$N$24))</f>
        <v/>
      </c>
      <c r="L30" s="519" t="str">
        <f ca="1">IF(K30="","",SUMIF(RRE!$J$13:$J$24,OFÍCIO!$I30,RRE!$O$13:$O$24))</f>
        <v/>
      </c>
    </row>
    <row r="31" spans="2:12" x14ac:dyDescent="0.2">
      <c r="B31" s="719" t="s">
        <v>397</v>
      </c>
      <c r="C31" s="719"/>
      <c r="D31" s="448">
        <f ca="1">RRE!L26</f>
        <v>0</v>
      </c>
      <c r="E31" s="448">
        <f ca="1">RRE!N26</f>
        <v>0</v>
      </c>
      <c r="F31" s="720">
        <f ca="1">RRE!O26</f>
        <v>0</v>
      </c>
      <c r="G31" s="720"/>
      <c r="I31" s="517" t="str">
        <f ca="1">IF(ROW(I31)-ROW(L$5)&gt;MAX(RRE!$V$13:$V$24),"",INDEX(RRE!$J$13:$J$24,MATCH(ROW(I31)-ROW(I$5),RRE!$V$13:$V$24,0)))</f>
        <v/>
      </c>
      <c r="J31" s="518" t="str">
        <f ca="1">IF(I31="","",SUMIF(RRE!$J$13:$J$24,OFÍCIO!$I31,RRE!$L$13:$L$24))</f>
        <v/>
      </c>
      <c r="K31" s="518" t="str">
        <f ca="1">IF(J31="","",SUMIF(RRE!$J$13:$J$24,OFÍCIO!$I31,RRE!$N$13:$N$24))</f>
        <v/>
      </c>
      <c r="L31" s="519" t="str">
        <f ca="1">IF(K31="","",SUMIF(RRE!$J$13:$J$24,OFÍCIO!$I31,RRE!$O$13:$O$24))</f>
        <v/>
      </c>
    </row>
    <row r="32" spans="2:12" x14ac:dyDescent="0.2">
      <c r="B32" s="719" t="s">
        <v>285</v>
      </c>
      <c r="C32" s="719"/>
      <c r="D32" s="448">
        <f ca="1">RRE!L27</f>
        <v>0</v>
      </c>
      <c r="E32" s="448">
        <f ca="1">RRE!N27</f>
        <v>0</v>
      </c>
      <c r="F32" s="720">
        <f ca="1">RRE!O27</f>
        <v>0</v>
      </c>
      <c r="G32" s="720"/>
      <c r="I32" s="517" t="str">
        <f ca="1">IF(ROW(I32)-ROW(L$5)&gt;MAX(RRE!$V$13:$V$24),"",INDEX(RRE!$J$13:$J$24,MATCH(ROW(I32)-ROW(I$5),RRE!$V$13:$V$24,0)))</f>
        <v/>
      </c>
      <c r="J32" s="518" t="str">
        <f ca="1">IF(I32="","",SUMIF(RRE!$J$13:$J$24,OFÍCIO!$I32,RRE!$L$13:$L$24))</f>
        <v/>
      </c>
      <c r="K32" s="518" t="str">
        <f ca="1">IF(J32="","",SUMIF(RRE!$J$13:$J$24,OFÍCIO!$I32,RRE!$N$13:$N$24))</f>
        <v/>
      </c>
      <c r="L32" s="519" t="str">
        <f ca="1">IF(K32="","",SUMIF(RRE!$J$13:$J$24,OFÍCIO!$I32,RRE!$O$13:$O$24))</f>
        <v/>
      </c>
    </row>
    <row r="33" spans="2:12" x14ac:dyDescent="0.2">
      <c r="B33" s="719" t="s">
        <v>286</v>
      </c>
      <c r="C33" s="719"/>
      <c r="D33" s="448">
        <f ca="1">RRE!L28</f>
        <v>0</v>
      </c>
      <c r="E33" s="448">
        <f ca="1">RRE!N28</f>
        <v>0</v>
      </c>
      <c r="F33" s="720">
        <f ca="1">RRE!O28</f>
        <v>0</v>
      </c>
      <c r="G33" s="720"/>
      <c r="I33" s="517" t="str">
        <f ca="1">IF(ROW(I33)-ROW(L$5)&gt;MAX(RRE!$V$13:$V$24),"",INDEX(RRE!$J$13:$J$24,MATCH(ROW(I33)-ROW(I$5),RRE!$V$13:$V$24,0)))</f>
        <v/>
      </c>
      <c r="J33" s="518" t="str">
        <f ca="1">IF(I33="","",SUMIF(RRE!$J$13:$J$24,OFÍCIO!$I33,RRE!$L$13:$L$24))</f>
        <v/>
      </c>
      <c r="K33" s="518" t="str">
        <f ca="1">IF(J33="","",SUMIF(RRE!$J$13:$J$24,OFÍCIO!$I33,RRE!$N$13:$N$24))</f>
        <v/>
      </c>
      <c r="L33" s="519" t="str">
        <f ca="1">IF(K33="","",SUMIF(RRE!$J$13:$J$24,OFÍCIO!$I33,RRE!$O$13:$O$24))</f>
        <v/>
      </c>
    </row>
    <row r="34" spans="2:12" x14ac:dyDescent="0.2">
      <c r="B34" s="721" t="s">
        <v>398</v>
      </c>
      <c r="C34" s="721"/>
      <c r="D34" s="449" t="s">
        <v>166</v>
      </c>
      <c r="E34" s="450">
        <f ca="1">RRE!$N$28/(RRE!$L$28+10^-12)</f>
        <v>0</v>
      </c>
      <c r="F34" s="722">
        <f ca="1">RRE!P24</f>
        <v>0</v>
      </c>
      <c r="G34" s="722"/>
      <c r="I34" s="517" t="str">
        <f ca="1">IF(ROW(I34)-ROW(L$5)&gt;MAX(RRE!$V$13:$V$24),"",INDEX(RRE!$J$13:$J$24,MATCH(ROW(I34)-ROW(I$5),RRE!$V$13:$V$24,0)))</f>
        <v/>
      </c>
      <c r="J34" s="518" t="str">
        <f ca="1">IF(I34="","",SUMIF(RRE!$J$13:$J$24,OFÍCIO!$I34,RRE!$L$13:$L$24))</f>
        <v/>
      </c>
      <c r="K34" s="518" t="str">
        <f ca="1">IF(J34="","",SUMIF(RRE!$J$13:$J$24,OFÍCIO!$I34,RRE!$N$13:$N$24))</f>
        <v/>
      </c>
      <c r="L34" s="519" t="str">
        <f ca="1">IF(K34="","",SUMIF(RRE!$J$13:$J$24,OFÍCIO!$I34,RRE!$O$13:$O$24))</f>
        <v/>
      </c>
    </row>
    <row r="35" spans="2:12" x14ac:dyDescent="0.2">
      <c r="B35" s="195"/>
      <c r="C35" s="50"/>
      <c r="D35" s="50"/>
      <c r="E35" s="50"/>
      <c r="F35" s="50"/>
      <c r="G35" s="50"/>
      <c r="I35" s="517" t="str">
        <f ca="1">IF(ROW(I35)-ROW(L$5)&gt;MAX(RRE!$V$13:$V$24),"",INDEX(RRE!$J$13:$J$24,MATCH(ROW(I35)-ROW(I$5),RRE!$V$13:$V$24,0)))</f>
        <v/>
      </c>
      <c r="J35" s="518" t="str">
        <f ca="1">IF(I35="","",SUMIF(RRE!$J$13:$J$24,OFÍCIO!$I35,RRE!$L$13:$L$24))</f>
        <v/>
      </c>
      <c r="K35" s="518" t="str">
        <f ca="1">IF(J35="","",SUMIF(RRE!$J$13:$J$24,OFÍCIO!$I35,RRE!$N$13:$N$24))</f>
        <v/>
      </c>
      <c r="L35" s="519" t="str">
        <f ca="1">IF(K35="","",SUMIF(RRE!$J$13:$J$24,OFÍCIO!$I35,RRE!$O$13:$O$24))</f>
        <v/>
      </c>
    </row>
    <row r="36" spans="2:12" x14ac:dyDescent="0.2">
      <c r="B36" s="195"/>
      <c r="C36" s="195"/>
      <c r="D36" s="195"/>
      <c r="E36" s="195"/>
      <c r="F36" s="195"/>
      <c r="G36" s="50"/>
      <c r="I36" s="517" t="str">
        <f ca="1">IF(ROW(I36)-ROW(L$5)&gt;MAX(RRE!$V$13:$V$24),"",INDEX(RRE!$J$13:$J$24,MATCH(ROW(I36)-ROW(I$5),RRE!$V$13:$V$24,0)))</f>
        <v/>
      </c>
      <c r="J36" s="518" t="str">
        <f ca="1">IF(I36="","",SUMIF(RRE!$J$13:$J$24,OFÍCIO!$I36,RRE!$L$13:$L$24))</f>
        <v/>
      </c>
      <c r="K36" s="518" t="str">
        <f ca="1">IF(J36="","",SUMIF(RRE!$J$13:$J$24,OFÍCIO!$I36,RRE!$N$13:$N$24))</f>
        <v/>
      </c>
      <c r="L36" s="519" t="str">
        <f ca="1">IF(K36="","",SUMIF(RRE!$J$13:$J$24,OFÍCIO!$I36,RRE!$O$13:$O$24))</f>
        <v/>
      </c>
    </row>
    <row r="37" spans="2:12" x14ac:dyDescent="0.2">
      <c r="B37" s="723" t="str">
        <f ca="1">IF(RRE.Numero&gt;1,"2. Encaminhamos ainda a documentação relativa à prestação de contas da etapa físico-financeira anterior.","")</f>
        <v/>
      </c>
      <c r="C37" s="723"/>
      <c r="D37" s="723"/>
      <c r="E37" s="723"/>
      <c r="F37" s="723"/>
      <c r="G37" s="723"/>
      <c r="I37" s="517" t="str">
        <f ca="1">IF(ROW(I37)-ROW(L$5)&gt;MAX(RRE!$V$13:$V$24),"",INDEX(RRE!$J$13:$J$24,MATCH(ROW(I37)-ROW(I$5),RRE!$V$13:$V$24,0)))</f>
        <v/>
      </c>
      <c r="J37" s="518" t="str">
        <f ca="1">IF(I37="","",SUMIF(RRE!$J$13:$J$24,OFÍCIO!$I37,RRE!$L$13:$L$24))</f>
        <v/>
      </c>
      <c r="K37" s="518" t="str">
        <f ca="1">IF(J37="","",SUMIF(RRE!$J$13:$J$24,OFÍCIO!$I37,RRE!$N$13:$N$24))</f>
        <v/>
      </c>
      <c r="L37" s="519" t="str">
        <f ca="1">IF(K37="","",SUMIF(RRE!$J$13:$J$24,OFÍCIO!$I37,RRE!$O$13:$O$24))</f>
        <v/>
      </c>
    </row>
    <row r="38" spans="2:12" x14ac:dyDescent="0.2">
      <c r="B38" s="723"/>
      <c r="C38" s="723"/>
      <c r="D38" s="723"/>
      <c r="E38" s="723"/>
      <c r="F38" s="723"/>
      <c r="G38" s="723"/>
      <c r="I38" s="517" t="str">
        <f ca="1">IF(ROW(I38)-ROW(L$5)&gt;MAX(RRE!$V$13:$V$24),"",INDEX(RRE!$J$13:$J$24,MATCH(ROW(I38)-ROW(I$5),RRE!$V$13:$V$24,0)))</f>
        <v/>
      </c>
      <c r="J38" s="518" t="str">
        <f ca="1">IF(I38="","",SUMIF(RRE!$J$13:$J$24,OFÍCIO!$I38,RRE!$L$13:$L$24))</f>
        <v/>
      </c>
      <c r="K38" s="518" t="str">
        <f ca="1">IF(J38="","",SUMIF(RRE!$J$13:$J$24,OFÍCIO!$I38,RRE!$N$13:$N$24))</f>
        <v/>
      </c>
      <c r="L38" s="519" t="str">
        <f ca="1">IF(K38="","",SUMIF(RRE!$J$13:$J$24,OFÍCIO!$I38,RRE!$O$13:$O$24))</f>
        <v/>
      </c>
    </row>
    <row r="39" spans="2:12" ht="12.75" customHeight="1" x14ac:dyDescent="0.2">
      <c r="B39" s="723" t="str">
        <f ca="1">IF(AND(RRE.Numero&gt;1,NOT(ISBLANK(Import.TransfereGOV))),"3. Na oportunidade, informamos que a execução financeira da parcela anterior está devidamente comprovada no TransfereGOV.","")</f>
        <v/>
      </c>
      <c r="C39" s="723"/>
      <c r="D39" s="723"/>
      <c r="E39" s="723"/>
      <c r="F39" s="723"/>
      <c r="G39" s="723"/>
      <c r="I39" s="517" t="str">
        <f ca="1">IF(ROW(I39)-ROW(L$5)&gt;MAX(RRE!$V$13:$V$24),"",INDEX(RRE!$J$13:$J$24,MATCH(ROW(I39)-ROW(I$5),RRE!$V$13:$V$24,0)))</f>
        <v/>
      </c>
      <c r="J39" s="518" t="str">
        <f ca="1">IF(I39="","",SUMIF(RRE!$J$13:$J$24,OFÍCIO!$I39,RRE!$L$13:$L$24))</f>
        <v/>
      </c>
      <c r="K39" s="518" t="str">
        <f ca="1">IF(J39="","",SUMIF(RRE!$J$13:$J$24,OFÍCIO!$I39,RRE!$N$13:$N$24))</f>
        <v/>
      </c>
      <c r="L39" s="519" t="str">
        <f ca="1">IF(K39="","",SUMIF(RRE!$J$13:$J$24,OFÍCIO!$I39,RRE!$O$13:$O$24))</f>
        <v/>
      </c>
    </row>
    <row r="40" spans="2:12" x14ac:dyDescent="0.2">
      <c r="B40" s="723"/>
      <c r="C40" s="723"/>
      <c r="D40" s="723"/>
      <c r="E40" s="723"/>
      <c r="F40" s="723"/>
      <c r="G40" s="723"/>
      <c r="I40" s="517" t="str">
        <f ca="1">IF(ROW(I40)-ROW(L$5)&gt;MAX(RRE!$V$13:$V$24),"",INDEX(RRE!$J$13:$J$24,MATCH(ROW(I40)-ROW(I$5),RRE!$V$13:$V$24,0)))</f>
        <v/>
      </c>
      <c r="J40" s="518" t="str">
        <f ca="1">IF(I40="","",SUMIF(RRE!$J$13:$J$24,OFÍCIO!$I40,RRE!$L$13:$L$24))</f>
        <v/>
      </c>
      <c r="K40" s="518" t="str">
        <f ca="1">IF(J40="","",SUMIF(RRE!$J$13:$J$24,OFÍCIO!$I40,RRE!$N$13:$N$24))</f>
        <v/>
      </c>
      <c r="L40" s="519" t="str">
        <f ca="1">IF(K40="","",SUMIF(RRE!$J$13:$J$24,OFÍCIO!$I40,RRE!$O$13:$O$24))</f>
        <v/>
      </c>
    </row>
    <row r="41" spans="2:12" x14ac:dyDescent="0.2">
      <c r="B41" s="451"/>
      <c r="C41" s="446"/>
      <c r="D41" s="446"/>
      <c r="E41" s="446"/>
      <c r="F41" s="446"/>
      <c r="G41" s="446"/>
      <c r="I41" s="517" t="str">
        <f ca="1">IF(ROW(I41)-ROW(L$5)&gt;MAX(RRE!$V$13:$V$24),"",INDEX(RRE!$J$13:$J$24,MATCH(ROW(I41)-ROW(I$5),RRE!$V$13:$V$24,0)))</f>
        <v/>
      </c>
      <c r="J41" s="518" t="str">
        <f ca="1">IF(I41="","",SUMIF(RRE!$J$13:$J$24,OFÍCIO!$I41,RRE!$L$13:$L$24))</f>
        <v/>
      </c>
      <c r="K41" s="518" t="str">
        <f ca="1">IF(J41="","",SUMIF(RRE!$J$13:$J$24,OFÍCIO!$I41,RRE!$N$13:$N$24))</f>
        <v/>
      </c>
      <c r="L41" s="519" t="str">
        <f ca="1">IF(K41="","",SUMIF(RRE!$J$13:$J$24,OFÍCIO!$I41,RRE!$O$13:$O$24))</f>
        <v/>
      </c>
    </row>
    <row r="42" spans="2:12" ht="12.75" customHeight="1" x14ac:dyDescent="0.2">
      <c r="B42" s="723" t="str">
        <f ca="1">IF($B$37="",0,1)+IF($B$39="",0,1)+2&amp;". Informamos também a manutenção da Placa de Obra em local visível e de acordo com padrão estabelecido pela Presidência da República, constante do Manual Visual de Placas e Adesivos de Obra."</f>
        <v>2. Informamos também a manutenção da Placa de Obra em local visível e de acordo com padrão estabelecido pela Presidência da República, constante do Manual Visual de Placas e Adesivos de Obra.</v>
      </c>
      <c r="C42" s="723"/>
      <c r="D42" s="723"/>
      <c r="E42" s="723"/>
      <c r="F42" s="723"/>
      <c r="G42" s="723"/>
      <c r="I42" s="517" t="str">
        <f ca="1">IF(ROW(I42)-ROW(L$5)&gt;MAX(RRE!$V$13:$V$24),"",INDEX(RRE!$J$13:$J$24,MATCH(ROW(I42)-ROW(I$5),RRE!$V$13:$V$24,0)))</f>
        <v/>
      </c>
      <c r="J42" s="518" t="str">
        <f ca="1">IF(I42="","",SUMIF(RRE!$J$13:$J$24,OFÍCIO!$I42,RRE!$L$13:$L$24))</f>
        <v/>
      </c>
      <c r="K42" s="518" t="str">
        <f ca="1">IF(J42="","",SUMIF(RRE!$J$13:$J$24,OFÍCIO!$I42,RRE!$N$13:$N$24))</f>
        <v/>
      </c>
      <c r="L42" s="519" t="str">
        <f ca="1">IF(K42="","",SUMIF(RRE!$J$13:$J$24,OFÍCIO!$I42,RRE!$O$13:$O$24))</f>
        <v/>
      </c>
    </row>
    <row r="43" spans="2:12" x14ac:dyDescent="0.2">
      <c r="B43" s="723"/>
      <c r="C43" s="723"/>
      <c r="D43" s="723"/>
      <c r="E43" s="723"/>
      <c r="F43" s="723"/>
      <c r="G43" s="723"/>
      <c r="I43" s="517" t="str">
        <f ca="1">IF(ROW(I43)-ROW(L$5)&gt;MAX(RRE!$V$13:$V$24),"",INDEX(RRE!$J$13:$J$24,MATCH(ROW(I43)-ROW(I$5),RRE!$V$13:$V$24,0)))</f>
        <v/>
      </c>
      <c r="J43" s="518" t="str">
        <f ca="1">IF(I43="","",SUMIF(RRE!$J$13:$J$24,OFÍCIO!$I43,RRE!$L$13:$L$24))</f>
        <v/>
      </c>
      <c r="K43" s="518" t="str">
        <f ca="1">IF(J43="","",SUMIF(RRE!$J$13:$J$24,OFÍCIO!$I43,RRE!$N$13:$N$24))</f>
        <v/>
      </c>
      <c r="L43" s="519" t="str">
        <f ca="1">IF(K43="","",SUMIF(RRE!$J$13:$J$24,OFÍCIO!$I43,RRE!$O$13:$O$24))</f>
        <v/>
      </c>
    </row>
    <row r="44" spans="2:12" x14ac:dyDescent="0.2">
      <c r="B44" s="723"/>
      <c r="C44" s="723"/>
      <c r="D44" s="723"/>
      <c r="E44" s="723"/>
      <c r="F44" s="723"/>
      <c r="G44" s="723"/>
      <c r="I44" s="517" t="str">
        <f ca="1">IF(ROW(I44)-ROW(L$5)&gt;MAX(RRE!$V$13:$V$24),"",INDEX(RRE!$J$13:$J$24,MATCH(ROW(I44)-ROW(I$5),RRE!$V$13:$V$24,0)))</f>
        <v/>
      </c>
      <c r="J44" s="518" t="str">
        <f ca="1">IF(I44="","",SUMIF(RRE!$J$13:$J$24,OFÍCIO!$I44,RRE!$L$13:$L$24))</f>
        <v/>
      </c>
      <c r="K44" s="518" t="str">
        <f ca="1">IF(J44="","",SUMIF(RRE!$J$13:$J$24,OFÍCIO!$I44,RRE!$N$13:$N$24))</f>
        <v/>
      </c>
      <c r="L44" s="519" t="str">
        <f ca="1">IF(K44="","",SUMIF(RRE!$J$13:$J$24,OFÍCIO!$I44,RRE!$O$13:$O$24))</f>
        <v/>
      </c>
    </row>
    <row r="45" spans="2:12" x14ac:dyDescent="0.2">
      <c r="B45" s="723"/>
      <c r="C45" s="723"/>
      <c r="D45" s="723"/>
      <c r="E45" s="723"/>
      <c r="F45" s="723"/>
      <c r="G45" s="723"/>
      <c r="I45" s="517" t="str">
        <f ca="1">IF(ROW(I45)-ROW(L$5)&gt;MAX(RRE!$V$13:$V$24),"",INDEX(RRE!$J$13:$J$24,MATCH(ROW(I45)-ROW(I$5),RRE!$V$13:$V$24,0)))</f>
        <v/>
      </c>
      <c r="J45" s="518" t="str">
        <f ca="1">IF(I45="","",SUMIF(RRE!$J$13:$J$24,OFÍCIO!$I45,RRE!$L$13:$L$24))</f>
        <v/>
      </c>
      <c r="K45" s="518" t="str">
        <f ca="1">IF(J45="","",SUMIF(RRE!$J$13:$J$24,OFÍCIO!$I45,RRE!$N$13:$N$24))</f>
        <v/>
      </c>
      <c r="L45" s="519" t="str">
        <f ca="1">IF(K45="","",SUMIF(RRE!$J$13:$J$24,OFÍCIO!$I45,RRE!$O$13:$O$24))</f>
        <v/>
      </c>
    </row>
    <row r="46" spans="2:12" ht="13.5" thickBot="1" x14ac:dyDescent="0.25">
      <c r="B46" s="723"/>
      <c r="C46" s="723"/>
      <c r="D46" s="723"/>
      <c r="E46" s="723"/>
      <c r="F46" s="723"/>
      <c r="G46" s="723"/>
      <c r="I46" s="520" t="str">
        <f ca="1">IF(ROW(I46)-ROW(L$5)&gt;MAX(RRE!$V$13:$V$24),"",INDEX(RRE!$J$13:$J$24,MATCH(ROW(I46)-ROW(I$5),RRE!$V$13:$V$24,0)))</f>
        <v/>
      </c>
      <c r="J46" s="521" t="str">
        <f ca="1">IF(I46="","",SUMIF(RRE!$J$13:$J$24,OFÍCIO!$I46,RRE!$L$13:$L$24))</f>
        <v/>
      </c>
      <c r="K46" s="521" t="str">
        <f ca="1">IF(J46="","",SUMIF(RRE!$J$13:$J$24,OFÍCIO!$I46,RRE!$N$13:$N$24))</f>
        <v/>
      </c>
      <c r="L46" s="522" t="str">
        <f ca="1">IF(K46="","",SUMIF(RRE!$J$13:$J$24,OFÍCIO!$I46,RRE!$O$13:$O$24))</f>
        <v/>
      </c>
    </row>
    <row r="47" spans="2:12" x14ac:dyDescent="0.2">
      <c r="G47" s="318"/>
    </row>
    <row r="48" spans="2:12" x14ac:dyDescent="0.2">
      <c r="G48" s="318"/>
    </row>
    <row r="49" spans="2:7" x14ac:dyDescent="0.2">
      <c r="B49" s="50" t="s">
        <v>399</v>
      </c>
      <c r="G49" s="318"/>
    </row>
    <row r="50" spans="2:7" x14ac:dyDescent="0.2">
      <c r="B50" s="318"/>
      <c r="C50" s="318"/>
      <c r="D50" s="318"/>
      <c r="E50" s="318"/>
      <c r="F50" s="318"/>
      <c r="G50" s="318"/>
    </row>
    <row r="51" spans="2:7" x14ac:dyDescent="0.2">
      <c r="B51" s="50"/>
      <c r="C51" s="50"/>
      <c r="D51" s="50"/>
      <c r="E51" s="50"/>
      <c r="F51" s="50"/>
      <c r="G51" s="50"/>
    </row>
    <row r="52" spans="2:7" x14ac:dyDescent="0.2">
      <c r="B52" s="50"/>
      <c r="C52" s="50"/>
      <c r="D52" s="50"/>
      <c r="E52" s="50"/>
      <c r="F52" s="50"/>
      <c r="G52" s="50"/>
    </row>
    <row r="53" spans="2:7" x14ac:dyDescent="0.2">
      <c r="B53" s="452"/>
      <c r="C53" s="452"/>
      <c r="D53" s="452"/>
      <c r="E53" s="50"/>
      <c r="F53" s="50"/>
      <c r="G53" s="50"/>
    </row>
    <row r="54" spans="2:7" x14ac:dyDescent="0.2">
      <c r="B54" s="717" t="str">
        <f>DADOS!$F$28</f>
        <v>Alexandro Costa César</v>
      </c>
      <c r="C54" s="717"/>
      <c r="D54" s="717"/>
      <c r="E54" s="717"/>
      <c r="F54" s="717"/>
      <c r="G54" s="717"/>
    </row>
    <row r="55" spans="2:7" x14ac:dyDescent="0.2">
      <c r="B55" s="717" t="str">
        <f>DADOS!$F$29</f>
        <v>Prefeito Municipal</v>
      </c>
      <c r="C55" s="717"/>
      <c r="D55" s="717"/>
      <c r="E55" s="717"/>
      <c r="F55" s="717"/>
      <c r="G55" s="717"/>
    </row>
    <row r="56" spans="2:7" x14ac:dyDescent="0.2">
      <c r="B56" s="718"/>
      <c r="C56" s="718"/>
      <c r="D56" s="718"/>
      <c r="E56" s="718"/>
      <c r="F56" s="718"/>
      <c r="G56" s="718"/>
    </row>
  </sheetData>
  <sheetProtection algorithmName="SHA-512" hashValue="YjMpdP9dKpnIqsVwTsTIA5x706cY8tKJvN7tE5lyTjtIcQSlcjNYzn6xcO0VKi49G5iTMh9nnmrNB7ZnZ/SpZg==" saltValue="QTskv9jCpvOmE7LhXhCtgw==" spinCount="100000" sheet="1" objects="1" scenarios="1" autoFilter="0"/>
  <mergeCells count="34">
    <mergeCell ref="L4:L5"/>
    <mergeCell ref="C6:D6"/>
    <mergeCell ref="B8:G8"/>
    <mergeCell ref="B10:D10"/>
    <mergeCell ref="B1:C4"/>
    <mergeCell ref="I4:I5"/>
    <mergeCell ref="J4:J5"/>
    <mergeCell ref="K4:K5"/>
    <mergeCell ref="B24:G26"/>
    <mergeCell ref="B28:C29"/>
    <mergeCell ref="B19:B20"/>
    <mergeCell ref="C19:G20"/>
    <mergeCell ref="C11:D11"/>
    <mergeCell ref="C14:G14"/>
    <mergeCell ref="C15:G16"/>
    <mergeCell ref="C18:G18"/>
    <mergeCell ref="D28:D29"/>
    <mergeCell ref="E28:E29"/>
    <mergeCell ref="F28:G29"/>
    <mergeCell ref="B31:C31"/>
    <mergeCell ref="F31:G31"/>
    <mergeCell ref="B30:C30"/>
    <mergeCell ref="F30:G30"/>
    <mergeCell ref="B54:G54"/>
    <mergeCell ref="B32:C32"/>
    <mergeCell ref="F32:G32"/>
    <mergeCell ref="B55:G56"/>
    <mergeCell ref="B33:C33"/>
    <mergeCell ref="F33:G33"/>
    <mergeCell ref="B34:C34"/>
    <mergeCell ref="F34:G34"/>
    <mergeCell ref="B37:G38"/>
    <mergeCell ref="B39:G40"/>
    <mergeCell ref="B42:G46"/>
  </mergeCells>
  <phoneticPr fontId="40" type="noConversion"/>
  <conditionalFormatting sqref="D30:D33 F30:G33">
    <cfRule type="cellIs" dxfId="0" priority="2" stopIfTrue="1" operator="notBetween">
      <formula>0</formula>
      <formula>D$33</formula>
    </cfRule>
  </conditionalFormatting>
  <dataValidations count="1">
    <dataValidation type="list" allowBlank="1" showErrorMessage="1" sqref="B11">
      <formula1>"GIGOV,SR"</formula1>
      <formula2>0</formula2>
    </dataValidation>
  </dataValidations>
  <pageMargins left="0.78740157480314998" right="0.78740157480314998" top="0.78740157480314998" bottom="0.78740157480314998" header="5.7086614173228396" footer="0.59055118110236204"/>
  <pageSetup paperSize="9" scale="97" firstPageNumber="0" orientation="portrait" horizontalDpi="300" verticalDpi="300" r:id="rId1"/>
  <headerFooter alignWithMargins="0">
    <oddHeader>&amp;L_</oddHeader>
    <oddFooter>&amp;LPMv3.0.6&amp;R&amp;P /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18</vt:i4>
      </vt:variant>
    </vt:vector>
  </HeadingPairs>
  <TitlesOfParts>
    <vt:vector size="32" baseType="lpstr">
      <vt:lpstr>MENU</vt:lpstr>
      <vt:lpstr>DADOS</vt:lpstr>
      <vt:lpstr>NOVO</vt:lpstr>
      <vt:lpstr>BDI</vt:lpstr>
      <vt:lpstr>ORÇAMENTO</vt:lpstr>
      <vt:lpstr>CÁLCULO</vt:lpstr>
      <vt:lpstr>EVENTOS</vt:lpstr>
      <vt:lpstr>CRONO</vt:lpstr>
      <vt:lpstr>CRONOPLE</vt:lpstr>
      <vt:lpstr>PLE</vt:lpstr>
      <vt:lpstr>QCI</vt:lpstr>
      <vt:lpstr>BM</vt:lpstr>
      <vt:lpstr>RRE</vt:lpstr>
      <vt:lpstr>OFÍCIO</vt:lpstr>
      <vt:lpstr>BDI!Area_de_impressao</vt:lpstr>
      <vt:lpstr>BM!Area_de_impressao</vt:lpstr>
      <vt:lpstr>CÁLCULO!Area_de_impressao</vt:lpstr>
      <vt:lpstr>CRONO!Area_de_impressao</vt:lpstr>
      <vt:lpstr>MENU!Area_de_impressao</vt:lpstr>
      <vt:lpstr>OFÍCIO!Area_de_impressao</vt:lpstr>
      <vt:lpstr>ORÇAMENTO!Area_de_impressao</vt:lpstr>
      <vt:lpstr>PLE!Area_de_impressao</vt:lpstr>
      <vt:lpstr>QCI!Area_de_impressao</vt:lpstr>
      <vt:lpstr>RRE!Area_de_impressao</vt:lpstr>
      <vt:lpstr>BDI!Titulos_de_impressao</vt:lpstr>
      <vt:lpstr>BM!Titulos_de_impressao</vt:lpstr>
      <vt:lpstr>CÁLCULO!Titulos_de_impressao</vt:lpstr>
      <vt:lpstr>CRONO!Titulos_de_impressao</vt:lpstr>
      <vt:lpstr>ORÇAMENTO!Titulos_de_impressao</vt:lpstr>
      <vt:lpstr>PLE!Titulos_de_impressao</vt:lpstr>
      <vt:lpstr>QCI!Titulos_de_impressao</vt:lpstr>
      <vt:lpstr>RRE!Titulos_de_impressao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Rafael Natividade de Jesus</cp:lastModifiedBy>
  <cp:revision>5</cp:revision>
  <cp:lastPrinted>2025-02-14T18:45:40Z</cp:lastPrinted>
  <dcterms:created xsi:type="dcterms:W3CDTF">1997-01-10T22:22:50Z</dcterms:created>
  <dcterms:modified xsi:type="dcterms:W3CDTF">2025-09-22T19:51:10Z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de7aacd-7cc4-4c31-9e6f-7ef306428f09_Enabled">
    <vt:lpwstr>true</vt:lpwstr>
  </property>
  <property fmtid="{D5CDD505-2E9C-101B-9397-08002B2CF9AE}" pid="3" name="MSIP_Label_fde7aacd-7cc4-4c31-9e6f-7ef306428f09_SetDate">
    <vt:lpwstr>2023-11-21T19:16:23Z</vt:lpwstr>
  </property>
  <property fmtid="{D5CDD505-2E9C-101B-9397-08002B2CF9AE}" pid="4" name="MSIP_Label_fde7aacd-7cc4-4c31-9e6f-7ef306428f09_Method">
    <vt:lpwstr>Privileged</vt:lpwstr>
  </property>
  <property fmtid="{D5CDD505-2E9C-101B-9397-08002B2CF9AE}" pid="5" name="MSIP_Label_fde7aacd-7cc4-4c31-9e6f-7ef306428f09_Name">
    <vt:lpwstr>_PUBLICO</vt:lpwstr>
  </property>
  <property fmtid="{D5CDD505-2E9C-101B-9397-08002B2CF9AE}" pid="6" name="MSIP_Label_fde7aacd-7cc4-4c31-9e6f-7ef306428f09_SiteId">
    <vt:lpwstr>ab9bba98-684a-43fb-add8-9c2bebede229</vt:lpwstr>
  </property>
  <property fmtid="{D5CDD505-2E9C-101B-9397-08002B2CF9AE}" pid="7" name="MSIP_Label_fde7aacd-7cc4-4c31-9e6f-7ef306428f09_ActionId">
    <vt:lpwstr>a35afa61-0e86-4f3f-84ac-6edb60dde1d6</vt:lpwstr>
  </property>
  <property fmtid="{D5CDD505-2E9C-101B-9397-08002B2CF9AE}" pid="8" name="MSIP_Label_fde7aacd-7cc4-4c31-9e6f-7ef306428f09_ContentBits">
    <vt:lpwstr>1</vt:lpwstr>
  </property>
</Properties>
</file>